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tables/table9.xml" ContentType="application/vnd.openxmlformats-officedocument.spreadsheetml.table+xml"/>
  <Override PartName="/xl/worksheets/sheet16.xml" ContentType="application/vnd.openxmlformats-officedocument.spreadsheetml.worksheet+xml"/>
  <Override PartName="/xl/tables/table10.xml" ContentType="application/vnd.openxmlformats-officedocument.spreadsheetml.table+xml"/>
  <Override PartName="/xl/worksheets/sheet17.xml" ContentType="application/vnd.openxmlformats-officedocument.spreadsheetml.worksheet+xml"/>
  <Override PartName="/xl/tables/table11.xml" ContentType="application/vnd.openxmlformats-officedocument.spreadsheetml.table+xml"/>
  <Override PartName="/xl/worksheets/sheet18.xml" ContentType="application/vnd.openxmlformats-officedocument.spreadsheetml.worksheet+xml"/>
  <Override PartName="/xl/tables/table12.xml" ContentType="application/vnd.openxmlformats-officedocument.spreadsheetml.table+xml"/>
  <Override PartName="/xl/worksheets/sheet19.xml" ContentType="application/vnd.openxmlformats-officedocument.spreadsheetml.worksheet+xml"/>
  <Override PartName="/xl/tables/table13.xml" ContentType="application/vnd.openxmlformats-officedocument.spreadsheetml.table+xml"/>
  <Override PartName="/xl/worksheets/sheet20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Material_Detail" sheetId="3" state="visible" r:id="rId3"/>
    <sheet name="PO_Draft_Chemical" sheetId="4" state="visible" r:id="rId4"/>
    <sheet name="PO_Draft_Hazardous" sheetId="5" state="visible" r:id="rId5"/>
    <sheet name="PO_Draft_Substrate" sheetId="6" state="visible" r:id="rId6"/>
    <sheet name="T_Shipments" sheetId="7" state="visible" r:id="rId7"/>
    <sheet name="T_OpeningStock" sheetId="8" state="visible" r:id="rId8"/>
    <sheet name="T_StockCount" sheetId="9" state="visible" r:id="rId9"/>
    <sheet name="T_SelfStock" sheetId="10" state="visible" r:id="rId10"/>
    <sheet name="T_TTAFStock" sheetId="11" state="visible" r:id="rId11"/>
    <sheet name="M_RawMaterials" sheetId="12" state="visible" r:id="rId12"/>
    <sheet name="M_BOM" sheetId="13" state="visible" r:id="rId13"/>
    <sheet name="PP_Grid" sheetId="14" state="visible" r:id="rId14"/>
    <sheet name="Cal_Weeks" sheetId="15" state="hidden" r:id="rId15"/>
    <sheet name="M_Intermediates" sheetId="16" state="hidden" r:id="rId16"/>
    <sheet name="M_ProductMap" sheetId="17" state="hidden" r:id="rId17"/>
    <sheet name="Grid_Requirement" sheetId="18" state="hidden" r:id="rId18"/>
    <sheet name="Grid_Incoming" sheetId="19" state="hidden" r:id="rId19"/>
    <sheet name="Grid_Stock" sheetId="20" state="hidden" r:id="rId2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/d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B9C"/>
      </patternFill>
    </fill>
    <fill>
      <patternFill patternType="solid">
        <fgColor rgb="00FFE699"/>
      </patternFill>
    </fill>
    <fill>
      <patternFill patternType="solid">
        <fgColor rgb="00FFF9DB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0" fillId="5" borderId="0" pivotButton="0" quotePrefix="0" xfId="0"/>
    <xf numFmtId="0" fontId="6" fillId="4" borderId="0" pivotButton="0" quotePrefix="0" xfId="0"/>
    <xf numFmtId="165" fontId="0" fillId="5" borderId="0" pivotButton="0" quotePrefix="0" xfId="0"/>
    <xf numFmtId="165" fontId="6" fillId="4" borderId="0" pivotButton="0" quotePrefix="0" xfId="0"/>
    <xf numFmtId="0" fontId="2" fillId="3" borderId="1" pivotButton="0" quotePrefix="0" xfId="0"/>
    <xf numFmtId="0" fontId="1" fillId="5" borderId="1" pivotButton="0" quotePrefix="0" xfId="0"/>
    <xf numFmtId="0" fontId="0" fillId="8" borderId="1" pivotButton="0" quotePrefix="0" xfId="0"/>
    <xf numFmtId="0" fontId="0" fillId="7" borderId="1" pivotButton="0" quotePrefix="0" xfId="0"/>
    <xf numFmtId="0" fontId="0" fillId="0" borderId="1" pivotButton="0" quotePrefix="0" xfId="0"/>
    <xf numFmtId="0" fontId="1" fillId="5" borderId="0" pivotButton="0" quotePrefix="0" xfId="0"/>
    <xf numFmtId="165" fontId="6" fillId="5" borderId="0" pivotButton="0" quotePrefix="0" xfId="0"/>
    <xf numFmtId="0" fontId="6" fillId="5" borderId="0" pivotButton="0" quotePrefix="0" xfId="0"/>
    <xf numFmtId="0" fontId="1" fillId="6" borderId="0" pivotButton="0" quotePrefix="0" xfId="0"/>
    <xf numFmtId="0" fontId="1" fillId="7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2" fillId="3" borderId="0" pivotButton="0" quotePrefix="0" xfId="0"/>
    <xf numFmtId="0" fontId="0" fillId="2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ables/table1.xml><?xml version="1.0" encoding="utf-8"?>
<table xmlns="http://schemas.openxmlformats.org/spreadsheetml/2006/main" id="1" name="T_Shipments" displayName="T_Shipments" ref="A1:H251" headerRowCount="1">
  <autoFilter ref="A1:H251"/>
  <tableColumns count="8">
    <tableColumn id="1" name="RM_Cod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</tableColumns>
  <tableStyleInfo name="TableStyleMedium9" showRowStripes="1"/>
</table>
</file>

<file path=xl/tables/table2.xml><?xml version="1.0" encoding="utf-8"?>
<table xmlns="http://schemas.openxmlformats.org/spreadsheetml/2006/main" id="2" name="T_OpeningStock" displayName="T_OpeningStock" ref="A1:C102" headerRowCount="1">
  <autoFilter ref="A1:C102"/>
  <tableColumns count="3">
    <tableColumn id="1" name="RM_Code"/>
    <tableColumn id="2" name="Opening_Qty_要入力"/>
    <tableColumn id="3" name="AsOf"/>
  </tableColumns>
  <tableStyleInfo name="TableStyleMedium9" showRowStripes="1"/>
</table>
</file>

<file path=xl/tables/table3.xml><?xml version="1.0" encoding="utf-8"?>
<table xmlns="http://schemas.openxmlformats.org/spreadsheetml/2006/main" id="3" name="T_StockCount" displayName="T_StockCount" ref="A1:D2" headerRowCount="1">
  <autoFilter ref="A1:D2"/>
  <tableColumns count="4">
    <tableColumn id="1" name="RM_Code"/>
    <tableColumn id="2" name="WeekIndex"/>
    <tableColumn id="3" name="CountedQty"/>
    <tableColumn id="4" name="Notes"/>
  </tableColumns>
  <tableStyleInfo name="TableStyleMedium9" showRowStripes="1"/>
</table>
</file>

<file path=xl/tables/table4.xml><?xml version="1.0" encoding="utf-8"?>
<table xmlns="http://schemas.openxmlformats.org/spreadsheetml/2006/main" id="4" name="T_SelfStock" displayName="T_SelfStock" ref="A1:D123" headerRowCount="1">
  <autoFilter ref="A1:D123"/>
  <tableColumns count="4">
    <tableColumn id="1" name="RM_Code"/>
    <tableColumn id="2" name="WeekIndex"/>
    <tableColumn id="3" name="Date"/>
    <tableColumn id="4" name="Self_Qty"/>
  </tableColumns>
  <tableStyleInfo name="TableStyleMedium9" showRowStripes="1"/>
</table>
</file>

<file path=xl/tables/table5.xml><?xml version="1.0" encoding="utf-8"?>
<table xmlns="http://schemas.openxmlformats.org/spreadsheetml/2006/main" id="5" name="T_TTAFStock" displayName="T_TTAFStock" ref="A1:D46" headerRowCount="1">
  <autoFilter ref="A1:D46"/>
  <tableColumns count="4">
    <tableColumn id="1" name="RM_Code"/>
    <tableColumn id="2" name="WeekIndex"/>
    <tableColumn id="3" name="Date"/>
    <tableColumn id="4" name="TTAF_Qty"/>
  </tableColumns>
  <tableStyleInfo name="TableStyleMedium9" showRowStripes="1"/>
</table>
</file>

<file path=xl/tables/table6.xml><?xml version="1.0" encoding="utf-8"?>
<table xmlns="http://schemas.openxmlformats.org/spreadsheetml/2006/main" id="6" name="M_RawMaterials" displayName="M_RawMaterials" ref="A1:G102" headerRowCount="1">
  <autoFilter ref="A1:G102"/>
  <tableColumns count="7">
    <tableColumn id="1" name="RM_Code"/>
    <tableColumn id="2" name="Description"/>
    <tableColumn id="3" name="Supplier"/>
    <tableColumn id="4" name="Category"/>
    <tableColumn id="5" name="UOM"/>
    <tableColumn id="6" name="SafetyStock_Qty_要入力"/>
    <tableColumn id="7" name="LeadTime_Weeks_要入力"/>
  </tableColumns>
  <tableStyleInfo name="TableStyleMedium9" showRowStripes="1"/>
</table>
</file>

<file path=xl/tables/table7.xml><?xml version="1.0" encoding="utf-8"?>
<table xmlns="http://schemas.openxmlformats.org/spreadsheetml/2006/main" id="7" name="M_BOM" displayName="M_BOM" ref="A1:D712" headerRowCount="1">
  <autoFilter ref="A1:D712"/>
  <tableColumns count="4">
    <tableColumn id="1" name="Intermediate"/>
    <tableColumn id="2" name="RM_Code"/>
    <tableColumn id="3" name="RM_Qty_Per_Batch"/>
    <tableColumn id="4" name="PPGridRow"/>
  </tableColumns>
  <tableStyleInfo name="TableStyleMedium9" showRowStripes="1"/>
</table>
</file>

<file path=xl/tables/table8.xml><?xml version="1.0" encoding="utf-8"?>
<table xmlns="http://schemas.openxmlformats.org/spreadsheetml/2006/main" id="8" name="PP_Grid" displayName="PP_Grid" ref="A1:DA155" headerRowCount="1">
  <autoFilter ref="A1:DA155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9.xml><?xml version="1.0" encoding="utf-8"?>
<table xmlns="http://schemas.openxmlformats.org/spreadsheetml/2006/main" id="9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10.xml><?xml version="1.0" encoding="utf-8"?>
<table xmlns="http://schemas.openxmlformats.org/spreadsheetml/2006/main" id="10" name="M_Intermediates" displayName="M_Intermediates" ref="A1:D155" headerRowCount="1">
  <autoFilter ref="A1:D155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1.xml><?xml version="1.0" encoding="utf-8"?>
<table xmlns="http://schemas.openxmlformats.org/spreadsheetml/2006/main" id="11" name="M_ProductMap" displayName="M_ProductMap" ref="A1:B201" headerRowCount="1">
  <autoFilter ref="A1:B201"/>
  <tableColumns count="2">
    <tableColumn id="1" name="Intermediate"/>
    <tableColumn id="2" name="Product_Code"/>
  </tableColumns>
  <tableStyleInfo name="TableStyleMedium9" showRowStripes="1"/>
</table>
</file>

<file path=xl/tables/table12.xml><?xml version="1.0" encoding="utf-8"?>
<table xmlns="http://schemas.openxmlformats.org/spreadsheetml/2006/main" id="12" name="Grid_Requirement" displayName="Grid_Requirement" ref="A1:DA102" headerRowCount="1">
  <autoFilter ref="A1:DA102"/>
  <tableColumns count="105">
    <tableColumn id="1" name="RM_Cod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Incoming" displayName="Grid_Incoming" ref="A1:DA102" headerRowCount="1">
  <autoFilter ref="A1:DA102"/>
  <tableColumns count="105">
    <tableColumn id="1" name="RM_Cod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Stock" displayName="Grid_Stock" ref="A1:DA102" headerRowCount="1">
  <autoFilter ref="A1:DA102"/>
  <tableColumns count="105">
    <tableColumn id="1" name="RM_Cod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Material_Detail'!A1" TargetMode="External" Id="rId2" /><Relationship Type="http://schemas.openxmlformats.org/officeDocument/2006/relationships/hyperlink" Target="#'PO_Draft_Chemical'!A1" TargetMode="External" Id="rId3" /><Relationship Type="http://schemas.openxmlformats.org/officeDocument/2006/relationships/hyperlink" Target="#'PO_Draft_Hazardous'!A1" TargetMode="External" Id="rId4" /><Relationship Type="http://schemas.openxmlformats.org/officeDocument/2006/relationships/hyperlink" Target="#'PO_Draft_Substrate'!A1" TargetMode="External" Id="rId5" /><Relationship Type="http://schemas.openxmlformats.org/officeDocument/2006/relationships/hyperlink" Target="#'T_Shipments'!A1" TargetMode="External" Id="rId6" /><Relationship Type="http://schemas.openxmlformats.org/officeDocument/2006/relationships/hyperlink" Target="#'T_OpeningStock'!A1" TargetMode="External" Id="rId7" /><Relationship Type="http://schemas.openxmlformats.org/officeDocument/2006/relationships/hyperlink" Target="#'T_StockCount'!A1" TargetMode="External" Id="rId8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Dashboard - 原材料×週の在庫（2年分・横軸で見渡せるメイン画面。まずここ）</t>
        </is>
      </c>
    </row>
    <row r="4">
      <c r="A4" s="3" t="inlineStr">
        <is>
          <t>▶ Material_Detail - 材料ごとの使用状況（どの材料が何に使われているか）</t>
        </is>
      </c>
    </row>
    <row r="5">
      <c r="A5" s="3" t="inlineStr">
        <is>
          <t>▶ PO_Draft_Chemical - 発注書ドラフト（Chemical）</t>
        </is>
      </c>
    </row>
    <row r="6">
      <c r="A6" s="3" t="inlineStr">
        <is>
          <t>▶ PO_Draft_Hazardous - 発注書ドラフト（Hazardous Chemical）</t>
        </is>
      </c>
    </row>
    <row r="7">
      <c r="A7" s="3" t="inlineStr">
        <is>
          <t>▶ PO_Draft_Substrate - 発注書ドラフト（Substrate）</t>
        </is>
      </c>
    </row>
    <row r="8">
      <c r="A8" s="3" t="inlineStr">
        <is>
          <t>▶ T_Shipments - 発注・着荷の入力</t>
        </is>
      </c>
    </row>
    <row r="9">
      <c r="A9" s="3" t="inlineStr">
        <is>
          <t>▶ T_OpeningStock - 期首在庫の入力</t>
        </is>
      </c>
    </row>
    <row r="10">
      <c r="A10" s="3" t="inlineStr">
        <is>
          <t>▶ T_StockCount - 棚卸実績の入力</t>
        </is>
      </c>
    </row>
    <row r="12">
      <c r="A12" t="inlineStr"/>
    </row>
    <row r="13">
      <c r="A13" t="inlineStr">
        <is>
          <t>このブックはPower BI等に読み込ませる中間テーブルではなく、これ自体が完成品です。</t>
        </is>
      </c>
    </row>
    <row r="14">
      <c r="A14" t="inlineStr">
        <is>
          <t>Dashboard と PO_Draft_* が最終的な閲覧・発注画面、それ以外は計算の土台です。</t>
        </is>
      </c>
    </row>
    <row r="15">
      <c r="A15" t="inlineStr"/>
    </row>
    <row r="16">
      <c r="A16" t="inlineStr">
        <is>
          <t>【週番号のルール】すべてExcelの数式で計算（Cal_WeeksのB1=AnchorYearを変えると全体が再計算）</t>
        </is>
      </c>
    </row>
    <row r="17">
      <c r="A17" t="inlineStr">
        <is>
          <t xml:space="preserve">  Week1=1月1日を含む月〜日の週。年が変わると再び1にリセットされます（2026-W52の次は2027-W01）。</t>
        </is>
      </c>
    </row>
    <row r="18">
      <c r="A18" t="inlineStr">
        <is>
          <t xml:space="preserve">  各シートの週見出しは3段: 1段目=月-年(Aug-26等) / 2段目=その週月曜の日付 / 3段目=週No。</t>
        </is>
      </c>
    </row>
    <row r="19">
      <c r="A19" t="inlineStr"/>
    </row>
    <row r="20">
      <c r="A20" t="inlineStr">
        <is>
          <t>【普段見るシート】</t>
        </is>
      </c>
    </row>
    <row r="21">
      <c r="A21" t="inlineStr">
        <is>
          <t xml:space="preserve">  Dashboard           : 原材料×週の在庫を2年分、横軸で見渡せるメイン画面（まずここ）。</t>
        </is>
      </c>
    </row>
    <row r="22">
      <c r="A22" t="inlineStr">
        <is>
          <t xml:space="preserve">                        自社在庫(実績)・TTAF在庫(実績)・実績週の列で内訳も確認できます。</t>
        </is>
      </c>
    </row>
    <row r="23">
      <c r="A23" t="inlineStr">
        <is>
          <t xml:space="preserve">                        C1に'W23'のように入力すると（現在年の週Noとして検索）、</t>
        </is>
      </c>
    </row>
    <row r="24">
      <c r="A24" t="inlineStr">
        <is>
          <t xml:space="preserve">                        Statusのすぐ隣のI列にその週の在庫が常時表示され、</t>
        </is>
      </c>
    </row>
    <row r="25">
      <c r="A25" t="inlineStr">
        <is>
          <t xml:space="preserve">                        該当する週の列も黄色くハイライトされます（マクロ不要・スクロール不要）。</t>
        </is>
      </c>
    </row>
    <row r="26">
      <c r="A26" t="inlineStr">
        <is>
          <t xml:space="preserve">  Material_Detail     : 材料ごとに「どの中間体が・何バッチ・いくら使うか」をブロック表示（トレーサビリティ）。</t>
        </is>
      </c>
    </row>
    <row r="27">
      <c r="A27" t="inlineStr">
        <is>
          <t xml:space="preserve">                        Dashboardと同様にC1に'W23'のように入力すると、D列に選択週の数値が常時表示されます。</t>
        </is>
      </c>
    </row>
    <row r="28">
      <c r="A28" t="inlineStr">
        <is>
          <t xml:space="preserve">  PO_Draft_*          : 要発注分を注文書ひな形に自動転記</t>
        </is>
      </c>
    </row>
    <row r="29">
      <c r="A29" t="inlineStr">
        <is>
          <t xml:space="preserve">  T_Shipments/T_OpeningStock/T_StockCount/T_SelfStock/T_TTAFStock : 入力用</t>
        </is>
      </c>
    </row>
    <row r="30">
      <c r="A30" t="inlineStr"/>
    </row>
    <row r="31">
      <c r="A31" t="inlineStr">
        <is>
          <t xml:space="preserve">  M_RawMaterials・M_BOM・PP_Grid・Grid_Stock・その他非表示シートは内部計算用です。通常は開く必要はありません。</t>
        </is>
      </c>
    </row>
    <row r="32">
      <c r="A32" t="inlineStr"/>
    </row>
    <row r="33">
      <c r="A33" t="inlineStr">
        <is>
          <t>【重要】原単位・バッチ数・自社/TTAF在庫はPythonを使わず、Excel(VBA)マクロだけで更新できます。</t>
        </is>
      </c>
    </row>
    <row r="34">
      <c r="A34" t="inlineStr">
        <is>
          <t xml:space="preserve">  macros/RefreshData.bas を導入し、RefreshWeeklyBatches / RefreshBOM / RefreshSelfStock /</t>
        </is>
      </c>
    </row>
    <row r="35">
      <c r="A35" t="inlineStr">
        <is>
          <t xml:space="preserve">  RefreshTTAFStock を実行してください（対象ファイルを選ぶだけです。詳細はdocs/SOH_System_Guide.md、</t>
        </is>
      </c>
    </row>
    <row r="36">
      <c r="A36" t="inlineStr">
        <is>
          <t xml:space="preserve">  未検証のため要動作確認）。T_Shipments・T_OpeningStock・T_StockCount等には一切触れません。</t>
        </is>
      </c>
    </row>
    <row r="37">
      <c r="A37" t="inlineStr"/>
    </row>
    <row r="38">
      <c r="A38" t="inlineStr">
        <is>
          <t>【毎月の運用】</t>
        </is>
      </c>
    </row>
    <row r="39">
      <c r="A39" t="inlineStr">
        <is>
          <t xml:space="preserve">  1. 「Powder &amp; Slurry &amp; Pgm Plan」の新しい月版でRefreshWeeklyBatchesを実行</t>
        </is>
      </c>
    </row>
    <row r="40">
      <c r="A40" t="inlineStr">
        <is>
          <t xml:space="preserve">  2. 「Usage from Production Engineering」が更新されていればRefreshBOMを実行</t>
        </is>
      </c>
    </row>
    <row r="41">
      <c r="A41" t="inlineStr">
        <is>
          <t xml:space="preserve">  3. 自社倉庫の現物確認を実施したらRefreshSelfStockを実行</t>
        </is>
      </c>
    </row>
    <row r="42">
      <c r="A42" t="inlineStr">
        <is>
          <t xml:space="preserve">  4. CSA Reportが届いたらRefreshTTAFStockを実行し、T_Shipments のETA/着荷日/PO番号/発注日も更新</t>
        </is>
      </c>
    </row>
    <row r="43">
      <c r="A43" t="inlineStr">
        <is>
          <t xml:space="preserve">  5. 棚卸を実施したらT_StockCountに実測値を追記</t>
        </is>
      </c>
    </row>
    <row r="44">
      <c r="A44" t="inlineStr">
        <is>
          <t xml:space="preserve">  6. Dashboardで「要発注」を確認し、PO_Draft_*から注文書を出力</t>
        </is>
      </c>
    </row>
    <row r="45">
      <c r="A45" t="inlineStr">
        <is>
          <t xml:space="preserve">  7. 月初は、前月最終週と当月頭のDashboardを見比べて在庫差異を確認（Plan Increase and Decrease /</t>
        </is>
      </c>
    </row>
    <row r="46">
      <c r="A46" t="inlineStr">
        <is>
          <t xml:space="preserve">     Inventory Releasesの報告フォーマットに転記）</t>
        </is>
      </c>
    </row>
    <row r="47">
      <c r="A47" t="inlineStr"/>
    </row>
    <row r="48">
      <c r="A48" t="inlineStr">
        <is>
          <t>【前提・要確認事項】詳細はdocs/SOH_System_Guide.mdを参照</t>
        </is>
      </c>
    </row>
    <row r="49">
      <c r="A49" t="inlineStr">
        <is>
          <t xml:space="preserve">  - M_RawMaterials の SafetyStock_Qty と LeadTime_Weeks は仮値です。実際の安全在庫水準に置き換えてください。</t>
        </is>
      </c>
    </row>
    <row r="50">
      <c r="A50" t="inlineStr">
        <is>
          <t xml:space="preserve">  - Categoryの割り当て(Chemical/Hazardous Chemical/Substrate)は入手データから機械的に推定した部分があります。要レビュー。</t>
        </is>
      </c>
    </row>
    <row r="51">
      <c r="A51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I107"/>
  <sheetViews>
    <sheetView workbookViewId="0">
      <pane xSplit="9" ySplit="6" topLeftCell="J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4" customWidth="1" min="4" max="4"/>
    <col width="14" customWidth="1" min="5" max="5"/>
    <col width="12" customWidth="1" min="6" max="6"/>
    <col width="12" customWidth="1" min="7" max="7"/>
    <col width="10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をI列に表示中"))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9">
        <f>IFERROR(INDEX(Cal_Weeks!$G$4:$G$107,$F$1),"")</f>
        <v/>
      </c>
      <c r="J3" s="8">
        <f>'Cal_Weeks'!G4</f>
        <v/>
      </c>
      <c r="K3" s="8">
        <f>IF(TEXT('Cal_Weeks'!B5,"mmm-yy")&lt;&gt;TEXT('Cal_Weeks'!B4,"mmm-yy"),'Cal_Weeks'!G5,"")</f>
        <v/>
      </c>
      <c r="L3" s="8">
        <f>IF(TEXT('Cal_Weeks'!B6,"mmm-yy")&lt;&gt;TEXT('Cal_Weeks'!B5,"mmm-yy"),'Cal_Weeks'!G6,"")</f>
        <v/>
      </c>
      <c r="M3" s="8">
        <f>IF(TEXT('Cal_Weeks'!B7,"mmm-yy")&lt;&gt;TEXT('Cal_Weeks'!B6,"mmm-yy"),'Cal_Weeks'!G7,"")</f>
        <v/>
      </c>
      <c r="N3" s="8">
        <f>IF(TEXT('Cal_Weeks'!B8,"mmm-yy")&lt;&gt;TEXT('Cal_Weeks'!B7,"mmm-yy"),'Cal_Weeks'!G8,"")</f>
        <v/>
      </c>
      <c r="O3" s="8">
        <f>IF(TEXT('Cal_Weeks'!B9,"mmm-yy")&lt;&gt;TEXT('Cal_Weeks'!B8,"mmm-yy"),'Cal_Weeks'!G9,"")</f>
        <v/>
      </c>
      <c r="P3" s="8">
        <f>IF(TEXT('Cal_Weeks'!B10,"mmm-yy")&lt;&gt;TEXT('Cal_Weeks'!B9,"mmm-yy"),'Cal_Weeks'!G10,"")</f>
        <v/>
      </c>
      <c r="Q3" s="8">
        <f>IF(TEXT('Cal_Weeks'!B11,"mmm-yy")&lt;&gt;TEXT('Cal_Weeks'!B10,"mmm-yy"),'Cal_Weeks'!G11,"")</f>
        <v/>
      </c>
      <c r="R3" s="8">
        <f>IF(TEXT('Cal_Weeks'!B12,"mmm-yy")&lt;&gt;TEXT('Cal_Weeks'!B11,"mmm-yy"),'Cal_Weeks'!G12,"")</f>
        <v/>
      </c>
      <c r="S3" s="8">
        <f>IF(TEXT('Cal_Weeks'!B13,"mmm-yy")&lt;&gt;TEXT('Cal_Weeks'!B12,"mmm-yy"),'Cal_Weeks'!G13,"")</f>
        <v/>
      </c>
      <c r="T3" s="8">
        <f>IF(TEXT('Cal_Weeks'!B14,"mmm-yy")&lt;&gt;TEXT('Cal_Weeks'!B13,"mmm-yy"),'Cal_Weeks'!G14,"")</f>
        <v/>
      </c>
      <c r="U3" s="8">
        <f>IF(TEXT('Cal_Weeks'!B15,"mmm-yy")&lt;&gt;TEXT('Cal_Weeks'!B14,"mmm-yy"),'Cal_Weeks'!G15,"")</f>
        <v/>
      </c>
      <c r="V3" s="8">
        <f>IF(TEXT('Cal_Weeks'!B16,"mmm-yy")&lt;&gt;TEXT('Cal_Weeks'!B15,"mmm-yy"),'Cal_Weeks'!G16,"")</f>
        <v/>
      </c>
      <c r="W3" s="8">
        <f>IF(TEXT('Cal_Weeks'!B17,"mmm-yy")&lt;&gt;TEXT('Cal_Weeks'!B16,"mmm-yy"),'Cal_Weeks'!G17,"")</f>
        <v/>
      </c>
      <c r="X3" s="8">
        <f>IF(TEXT('Cal_Weeks'!B18,"mmm-yy")&lt;&gt;TEXT('Cal_Weeks'!B17,"mmm-yy"),'Cal_Weeks'!G18,"")</f>
        <v/>
      </c>
      <c r="Y3" s="8">
        <f>IF(TEXT('Cal_Weeks'!B19,"mmm-yy")&lt;&gt;TEXT('Cal_Weeks'!B18,"mmm-yy"),'Cal_Weeks'!G19,"")</f>
        <v/>
      </c>
      <c r="Z3" s="8">
        <f>IF(TEXT('Cal_Weeks'!B20,"mmm-yy")&lt;&gt;TEXT('Cal_Weeks'!B19,"mmm-yy"),'Cal_Weeks'!G20,"")</f>
        <v/>
      </c>
      <c r="AA3" s="8">
        <f>IF(TEXT('Cal_Weeks'!B21,"mmm-yy")&lt;&gt;TEXT('Cal_Weeks'!B20,"mmm-yy"),'Cal_Weeks'!G21,"")</f>
        <v/>
      </c>
      <c r="AB3" s="8">
        <f>IF(TEXT('Cal_Weeks'!B22,"mmm-yy")&lt;&gt;TEXT('Cal_Weeks'!B21,"mmm-yy"),'Cal_Weeks'!G22,"")</f>
        <v/>
      </c>
      <c r="AC3" s="8">
        <f>IF(TEXT('Cal_Weeks'!B23,"mmm-yy")&lt;&gt;TEXT('Cal_Weeks'!B22,"mmm-yy"),'Cal_Weeks'!G23,"")</f>
        <v/>
      </c>
      <c r="AD3" s="8">
        <f>IF(TEXT('Cal_Weeks'!B24,"mmm-yy")&lt;&gt;TEXT('Cal_Weeks'!B23,"mmm-yy"),'Cal_Weeks'!G24,"")</f>
        <v/>
      </c>
      <c r="AE3" s="8">
        <f>IF(TEXT('Cal_Weeks'!B25,"mmm-yy")&lt;&gt;TEXT('Cal_Weeks'!B24,"mmm-yy"),'Cal_Weeks'!G25,"")</f>
        <v/>
      </c>
      <c r="AF3" s="8">
        <f>IF(TEXT('Cal_Weeks'!B26,"mmm-yy")&lt;&gt;TEXT('Cal_Weeks'!B25,"mmm-yy"),'Cal_Weeks'!G26,"")</f>
        <v/>
      </c>
      <c r="AG3" s="8">
        <f>IF(TEXT('Cal_Weeks'!B27,"mmm-yy")&lt;&gt;TEXT('Cal_Weeks'!B26,"mmm-yy"),'Cal_Weeks'!G27,"")</f>
        <v/>
      </c>
      <c r="AH3" s="8">
        <f>IF(TEXT('Cal_Weeks'!B28,"mmm-yy")&lt;&gt;TEXT('Cal_Weeks'!B27,"mmm-yy"),'Cal_Weeks'!G28,"")</f>
        <v/>
      </c>
      <c r="AI3" s="8">
        <f>IF(TEXT('Cal_Weeks'!B29,"mmm-yy")&lt;&gt;TEXT('Cal_Weeks'!B28,"mmm-yy"),'Cal_Weeks'!G29,"")</f>
        <v/>
      </c>
      <c r="AJ3" s="8">
        <f>IF(TEXT('Cal_Weeks'!B30,"mmm-yy")&lt;&gt;TEXT('Cal_Weeks'!B29,"mmm-yy"),'Cal_Weeks'!G30,"")</f>
        <v/>
      </c>
      <c r="AK3" s="8">
        <f>IF(TEXT('Cal_Weeks'!B31,"mmm-yy")&lt;&gt;TEXT('Cal_Weeks'!B30,"mmm-yy"),'Cal_Weeks'!G31,"")</f>
        <v/>
      </c>
      <c r="AL3" s="8">
        <f>IF(TEXT('Cal_Weeks'!B32,"mmm-yy")&lt;&gt;TEXT('Cal_Weeks'!B31,"mmm-yy"),'Cal_Weeks'!G32,"")</f>
        <v/>
      </c>
      <c r="AM3" s="8">
        <f>IF(TEXT('Cal_Weeks'!B33,"mmm-yy")&lt;&gt;TEXT('Cal_Weeks'!B32,"mmm-yy"),'Cal_Weeks'!G33,"")</f>
        <v/>
      </c>
      <c r="AN3" s="8">
        <f>IF(TEXT('Cal_Weeks'!B34,"mmm-yy")&lt;&gt;TEXT('Cal_Weeks'!B33,"mmm-yy"),'Cal_Weeks'!G34,"")</f>
        <v/>
      </c>
      <c r="AO3" s="8">
        <f>IF(TEXT('Cal_Weeks'!B35,"mmm-yy")&lt;&gt;TEXT('Cal_Weeks'!B34,"mmm-yy"),'Cal_Weeks'!G35,"")</f>
        <v/>
      </c>
      <c r="AP3" s="8">
        <f>IF(TEXT('Cal_Weeks'!B36,"mmm-yy")&lt;&gt;TEXT('Cal_Weeks'!B35,"mmm-yy"),'Cal_Weeks'!G36,"")</f>
        <v/>
      </c>
      <c r="AQ3" s="8">
        <f>IF(TEXT('Cal_Weeks'!B37,"mmm-yy")&lt;&gt;TEXT('Cal_Weeks'!B36,"mmm-yy"),'Cal_Weeks'!G37,"")</f>
        <v/>
      </c>
      <c r="AR3" s="8">
        <f>IF(TEXT('Cal_Weeks'!B38,"mmm-yy")&lt;&gt;TEXT('Cal_Weeks'!B37,"mmm-yy"),'Cal_Weeks'!G38,"")</f>
        <v/>
      </c>
      <c r="AS3" s="8">
        <f>IF(TEXT('Cal_Weeks'!B39,"mmm-yy")&lt;&gt;TEXT('Cal_Weeks'!B38,"mmm-yy"),'Cal_Weeks'!G39,"")</f>
        <v/>
      </c>
      <c r="AT3" s="8">
        <f>IF(TEXT('Cal_Weeks'!B40,"mmm-yy")&lt;&gt;TEXT('Cal_Weeks'!B39,"mmm-yy"),'Cal_Weeks'!G40,"")</f>
        <v/>
      </c>
      <c r="AU3" s="8">
        <f>IF(TEXT('Cal_Weeks'!B41,"mmm-yy")&lt;&gt;TEXT('Cal_Weeks'!B40,"mmm-yy"),'Cal_Weeks'!G41,"")</f>
        <v/>
      </c>
      <c r="AV3" s="8">
        <f>IF(TEXT('Cal_Weeks'!B42,"mmm-yy")&lt;&gt;TEXT('Cal_Weeks'!B41,"mmm-yy"),'Cal_Weeks'!G42,"")</f>
        <v/>
      </c>
      <c r="AW3" s="8">
        <f>IF(TEXT('Cal_Weeks'!B43,"mmm-yy")&lt;&gt;TEXT('Cal_Weeks'!B42,"mmm-yy"),'Cal_Weeks'!G43,"")</f>
        <v/>
      </c>
      <c r="AX3" s="8">
        <f>IF(TEXT('Cal_Weeks'!B44,"mmm-yy")&lt;&gt;TEXT('Cal_Weeks'!B43,"mmm-yy"),'Cal_Weeks'!G44,"")</f>
        <v/>
      </c>
      <c r="AY3" s="8">
        <f>IF(TEXT('Cal_Weeks'!B45,"mmm-yy")&lt;&gt;TEXT('Cal_Weeks'!B44,"mmm-yy"),'Cal_Weeks'!G45,"")</f>
        <v/>
      </c>
      <c r="AZ3" s="8">
        <f>IF(TEXT('Cal_Weeks'!B46,"mmm-yy")&lt;&gt;TEXT('Cal_Weeks'!B45,"mmm-yy"),'Cal_Weeks'!G46,"")</f>
        <v/>
      </c>
      <c r="BA3" s="8">
        <f>IF(TEXT('Cal_Weeks'!B47,"mmm-yy")&lt;&gt;TEXT('Cal_Weeks'!B46,"mmm-yy"),'Cal_Weeks'!G47,"")</f>
        <v/>
      </c>
      <c r="BB3" s="8">
        <f>IF(TEXT('Cal_Weeks'!B48,"mmm-yy")&lt;&gt;TEXT('Cal_Weeks'!B47,"mmm-yy"),'Cal_Weeks'!G48,"")</f>
        <v/>
      </c>
      <c r="BC3" s="8">
        <f>IF(TEXT('Cal_Weeks'!B49,"mmm-yy")&lt;&gt;TEXT('Cal_Weeks'!B48,"mmm-yy"),'Cal_Weeks'!G49,"")</f>
        <v/>
      </c>
      <c r="BD3" s="8">
        <f>IF(TEXT('Cal_Weeks'!B50,"mmm-yy")&lt;&gt;TEXT('Cal_Weeks'!B49,"mmm-yy"),'Cal_Weeks'!G50,"")</f>
        <v/>
      </c>
      <c r="BE3" s="8">
        <f>IF(TEXT('Cal_Weeks'!B51,"mmm-yy")&lt;&gt;TEXT('Cal_Weeks'!B50,"mmm-yy"),'Cal_Weeks'!G51,"")</f>
        <v/>
      </c>
      <c r="BF3" s="8">
        <f>IF(TEXT('Cal_Weeks'!B52,"mmm-yy")&lt;&gt;TEXT('Cal_Weeks'!B51,"mmm-yy"),'Cal_Weeks'!G52,"")</f>
        <v/>
      </c>
      <c r="BG3" s="8">
        <f>IF(TEXT('Cal_Weeks'!B53,"mmm-yy")&lt;&gt;TEXT('Cal_Weeks'!B52,"mmm-yy"),'Cal_Weeks'!G53,"")</f>
        <v/>
      </c>
      <c r="BH3" s="8">
        <f>IF(TEXT('Cal_Weeks'!B54,"mmm-yy")&lt;&gt;TEXT('Cal_Weeks'!B53,"mmm-yy"),'Cal_Weeks'!G54,"")</f>
        <v/>
      </c>
      <c r="BI3" s="8">
        <f>IF(TEXT('Cal_Weeks'!B55,"mmm-yy")&lt;&gt;TEXT('Cal_Weeks'!B54,"mmm-yy"),'Cal_Weeks'!G55,"")</f>
        <v/>
      </c>
      <c r="BJ3" s="8">
        <f>IF(TEXT('Cal_Weeks'!B56,"mmm-yy")&lt;&gt;TEXT('Cal_Weeks'!B55,"mmm-yy"),'Cal_Weeks'!G56,"")</f>
        <v/>
      </c>
      <c r="BK3" s="8">
        <f>IF(TEXT('Cal_Weeks'!B57,"mmm-yy")&lt;&gt;TEXT('Cal_Weeks'!B56,"mmm-yy"),'Cal_Weeks'!G57,"")</f>
        <v/>
      </c>
      <c r="BL3" s="8">
        <f>IF(TEXT('Cal_Weeks'!B58,"mmm-yy")&lt;&gt;TEXT('Cal_Weeks'!B57,"mmm-yy"),'Cal_Weeks'!G58,"")</f>
        <v/>
      </c>
      <c r="BM3" s="8">
        <f>IF(TEXT('Cal_Weeks'!B59,"mmm-yy")&lt;&gt;TEXT('Cal_Weeks'!B58,"mmm-yy"),'Cal_Weeks'!G59,"")</f>
        <v/>
      </c>
      <c r="BN3" s="8">
        <f>IF(TEXT('Cal_Weeks'!B60,"mmm-yy")&lt;&gt;TEXT('Cal_Weeks'!B59,"mmm-yy"),'Cal_Weeks'!G60,"")</f>
        <v/>
      </c>
      <c r="BO3" s="8">
        <f>IF(TEXT('Cal_Weeks'!B61,"mmm-yy")&lt;&gt;TEXT('Cal_Weeks'!B60,"mmm-yy"),'Cal_Weeks'!G61,"")</f>
        <v/>
      </c>
      <c r="BP3" s="8">
        <f>IF(TEXT('Cal_Weeks'!B62,"mmm-yy")&lt;&gt;TEXT('Cal_Weeks'!B61,"mmm-yy"),'Cal_Weeks'!G62,"")</f>
        <v/>
      </c>
      <c r="BQ3" s="8">
        <f>IF(TEXT('Cal_Weeks'!B63,"mmm-yy")&lt;&gt;TEXT('Cal_Weeks'!B62,"mmm-yy"),'Cal_Weeks'!G63,"")</f>
        <v/>
      </c>
      <c r="BR3" s="8">
        <f>IF(TEXT('Cal_Weeks'!B64,"mmm-yy")&lt;&gt;TEXT('Cal_Weeks'!B63,"mmm-yy"),'Cal_Weeks'!G64,"")</f>
        <v/>
      </c>
      <c r="BS3" s="8">
        <f>IF(TEXT('Cal_Weeks'!B65,"mmm-yy")&lt;&gt;TEXT('Cal_Weeks'!B64,"mmm-yy"),'Cal_Weeks'!G65,"")</f>
        <v/>
      </c>
      <c r="BT3" s="8">
        <f>IF(TEXT('Cal_Weeks'!B66,"mmm-yy")&lt;&gt;TEXT('Cal_Weeks'!B65,"mmm-yy"),'Cal_Weeks'!G66,"")</f>
        <v/>
      </c>
      <c r="BU3" s="8">
        <f>IF(TEXT('Cal_Weeks'!B67,"mmm-yy")&lt;&gt;TEXT('Cal_Weeks'!B66,"mmm-yy"),'Cal_Weeks'!G67,"")</f>
        <v/>
      </c>
      <c r="BV3" s="8">
        <f>IF(TEXT('Cal_Weeks'!B68,"mmm-yy")&lt;&gt;TEXT('Cal_Weeks'!B67,"mmm-yy"),'Cal_Weeks'!G68,"")</f>
        <v/>
      </c>
      <c r="BW3" s="8">
        <f>IF(TEXT('Cal_Weeks'!B69,"mmm-yy")&lt;&gt;TEXT('Cal_Weeks'!B68,"mmm-yy"),'Cal_Weeks'!G69,"")</f>
        <v/>
      </c>
      <c r="BX3" s="8">
        <f>IF(TEXT('Cal_Weeks'!B70,"mmm-yy")&lt;&gt;TEXT('Cal_Weeks'!B69,"mmm-yy"),'Cal_Weeks'!G70,"")</f>
        <v/>
      </c>
      <c r="BY3" s="8">
        <f>IF(TEXT('Cal_Weeks'!B71,"mmm-yy")&lt;&gt;TEXT('Cal_Weeks'!B70,"mmm-yy"),'Cal_Weeks'!G71,"")</f>
        <v/>
      </c>
      <c r="BZ3" s="8">
        <f>IF(TEXT('Cal_Weeks'!B72,"mmm-yy")&lt;&gt;TEXT('Cal_Weeks'!B71,"mmm-yy"),'Cal_Weeks'!G72,"")</f>
        <v/>
      </c>
      <c r="CA3" s="8">
        <f>IF(TEXT('Cal_Weeks'!B73,"mmm-yy")&lt;&gt;TEXT('Cal_Weeks'!B72,"mmm-yy"),'Cal_Weeks'!G73,"")</f>
        <v/>
      </c>
      <c r="CB3" s="8">
        <f>IF(TEXT('Cal_Weeks'!B74,"mmm-yy")&lt;&gt;TEXT('Cal_Weeks'!B73,"mmm-yy"),'Cal_Weeks'!G74,"")</f>
        <v/>
      </c>
      <c r="CC3" s="8">
        <f>IF(TEXT('Cal_Weeks'!B75,"mmm-yy")&lt;&gt;TEXT('Cal_Weeks'!B74,"mmm-yy"),'Cal_Weeks'!G75,"")</f>
        <v/>
      </c>
      <c r="CD3" s="8">
        <f>IF(TEXT('Cal_Weeks'!B76,"mmm-yy")&lt;&gt;TEXT('Cal_Weeks'!B75,"mmm-yy"),'Cal_Weeks'!G76,"")</f>
        <v/>
      </c>
      <c r="CE3" s="8">
        <f>IF(TEXT('Cal_Weeks'!B77,"mmm-yy")&lt;&gt;TEXT('Cal_Weeks'!B76,"mmm-yy"),'Cal_Weeks'!G77,"")</f>
        <v/>
      </c>
      <c r="CF3" s="8">
        <f>IF(TEXT('Cal_Weeks'!B78,"mmm-yy")&lt;&gt;TEXT('Cal_Weeks'!B77,"mmm-yy"),'Cal_Weeks'!G78,"")</f>
        <v/>
      </c>
      <c r="CG3" s="8">
        <f>IF(TEXT('Cal_Weeks'!B79,"mmm-yy")&lt;&gt;TEXT('Cal_Weeks'!B78,"mmm-yy"),'Cal_Weeks'!G79,"")</f>
        <v/>
      </c>
      <c r="CH3" s="8">
        <f>IF(TEXT('Cal_Weeks'!B80,"mmm-yy")&lt;&gt;TEXT('Cal_Weeks'!B79,"mmm-yy"),'Cal_Weeks'!G80,"")</f>
        <v/>
      </c>
      <c r="CI3" s="8">
        <f>IF(TEXT('Cal_Weeks'!B81,"mmm-yy")&lt;&gt;TEXT('Cal_Weeks'!B80,"mmm-yy"),'Cal_Weeks'!G81,"")</f>
        <v/>
      </c>
      <c r="CJ3" s="8">
        <f>IF(TEXT('Cal_Weeks'!B82,"mmm-yy")&lt;&gt;TEXT('Cal_Weeks'!B81,"mmm-yy"),'Cal_Weeks'!G82,"")</f>
        <v/>
      </c>
      <c r="CK3" s="8">
        <f>IF(TEXT('Cal_Weeks'!B83,"mmm-yy")&lt;&gt;TEXT('Cal_Weeks'!B82,"mmm-yy"),'Cal_Weeks'!G83,"")</f>
        <v/>
      </c>
      <c r="CL3" s="8">
        <f>IF(TEXT('Cal_Weeks'!B84,"mmm-yy")&lt;&gt;TEXT('Cal_Weeks'!B83,"mmm-yy"),'Cal_Weeks'!G84,"")</f>
        <v/>
      </c>
      <c r="CM3" s="8">
        <f>IF(TEXT('Cal_Weeks'!B85,"mmm-yy")&lt;&gt;TEXT('Cal_Weeks'!B84,"mmm-yy"),'Cal_Weeks'!G85,"")</f>
        <v/>
      </c>
      <c r="CN3" s="8">
        <f>IF(TEXT('Cal_Weeks'!B86,"mmm-yy")&lt;&gt;TEXT('Cal_Weeks'!B85,"mmm-yy"),'Cal_Weeks'!G86,"")</f>
        <v/>
      </c>
      <c r="CO3" s="8">
        <f>IF(TEXT('Cal_Weeks'!B87,"mmm-yy")&lt;&gt;TEXT('Cal_Weeks'!B86,"mmm-yy"),'Cal_Weeks'!G87,"")</f>
        <v/>
      </c>
      <c r="CP3" s="8">
        <f>IF(TEXT('Cal_Weeks'!B88,"mmm-yy")&lt;&gt;TEXT('Cal_Weeks'!B87,"mmm-yy"),'Cal_Weeks'!G88,"")</f>
        <v/>
      </c>
      <c r="CQ3" s="8">
        <f>IF(TEXT('Cal_Weeks'!B89,"mmm-yy")&lt;&gt;TEXT('Cal_Weeks'!B88,"mmm-yy"),'Cal_Weeks'!G89,"")</f>
        <v/>
      </c>
      <c r="CR3" s="8">
        <f>IF(TEXT('Cal_Weeks'!B90,"mmm-yy")&lt;&gt;TEXT('Cal_Weeks'!B89,"mmm-yy"),'Cal_Weeks'!G90,"")</f>
        <v/>
      </c>
      <c r="CS3" s="8">
        <f>IF(TEXT('Cal_Weeks'!B91,"mmm-yy")&lt;&gt;TEXT('Cal_Weeks'!B90,"mmm-yy"),'Cal_Weeks'!G91,"")</f>
        <v/>
      </c>
      <c r="CT3" s="8">
        <f>IF(TEXT('Cal_Weeks'!B92,"mmm-yy")&lt;&gt;TEXT('Cal_Weeks'!B91,"mmm-yy"),'Cal_Weeks'!G92,"")</f>
        <v/>
      </c>
      <c r="CU3" s="8">
        <f>IF(TEXT('Cal_Weeks'!B93,"mmm-yy")&lt;&gt;TEXT('Cal_Weeks'!B92,"mmm-yy"),'Cal_Weeks'!G93,"")</f>
        <v/>
      </c>
      <c r="CV3" s="8">
        <f>IF(TEXT('Cal_Weeks'!B94,"mmm-yy")&lt;&gt;TEXT('Cal_Weeks'!B93,"mmm-yy"),'Cal_Weeks'!G94,"")</f>
        <v/>
      </c>
      <c r="CW3" s="8">
        <f>IF(TEXT('Cal_Weeks'!B95,"mmm-yy")&lt;&gt;TEXT('Cal_Weeks'!B94,"mmm-yy"),'Cal_Weeks'!G95,"")</f>
        <v/>
      </c>
      <c r="CX3" s="8">
        <f>IF(TEXT('Cal_Weeks'!B96,"mmm-yy")&lt;&gt;TEXT('Cal_Weeks'!B95,"mmm-yy"),'Cal_Weeks'!G96,"")</f>
        <v/>
      </c>
      <c r="CY3" s="8">
        <f>IF(TEXT('Cal_Weeks'!B97,"mmm-yy")&lt;&gt;TEXT('Cal_Weeks'!B96,"mmm-yy"),'Cal_Weeks'!G97,"")</f>
        <v/>
      </c>
      <c r="CZ3" s="8">
        <f>IF(TEXT('Cal_Weeks'!B98,"mmm-yy")&lt;&gt;TEXT('Cal_Weeks'!B97,"mmm-yy"),'Cal_Weeks'!G98,"")</f>
        <v/>
      </c>
      <c r="DA3" s="8">
        <f>IF(TEXT('Cal_Weeks'!B99,"mmm-yy")&lt;&gt;TEXT('Cal_Weeks'!B98,"mmm-yy"),'Cal_Weeks'!G99,"")</f>
        <v/>
      </c>
      <c r="DB3" s="8">
        <f>IF(TEXT('Cal_Weeks'!B100,"mmm-yy")&lt;&gt;TEXT('Cal_Weeks'!B99,"mmm-yy"),'Cal_Weeks'!G100,"")</f>
        <v/>
      </c>
      <c r="DC3" s="8">
        <f>IF(TEXT('Cal_Weeks'!B101,"mmm-yy")&lt;&gt;TEXT('Cal_Weeks'!B100,"mmm-yy"),'Cal_Weeks'!G101,"")</f>
        <v/>
      </c>
      <c r="DD3" s="8">
        <f>IF(TEXT('Cal_Weeks'!B102,"mmm-yy")&lt;&gt;TEXT('Cal_Weeks'!B101,"mmm-yy"),'Cal_Weeks'!G102,"")</f>
        <v/>
      </c>
      <c r="DE3" s="8">
        <f>IF(TEXT('Cal_Weeks'!B103,"mmm-yy")&lt;&gt;TEXT('Cal_Weeks'!B102,"mmm-yy"),'Cal_Weeks'!G103,"")</f>
        <v/>
      </c>
      <c r="DF3" s="8">
        <f>IF(TEXT('Cal_Weeks'!B104,"mmm-yy")&lt;&gt;TEXT('Cal_Weeks'!B103,"mmm-yy"),'Cal_Weeks'!G104,"")</f>
        <v/>
      </c>
      <c r="DG3" s="8">
        <f>IF(TEXT('Cal_Weeks'!B105,"mmm-yy")&lt;&gt;TEXT('Cal_Weeks'!B104,"mmm-yy"),'Cal_Weeks'!G105,"")</f>
        <v/>
      </c>
      <c r="DH3" s="8">
        <f>IF(TEXT('Cal_Weeks'!B106,"mmm-yy")&lt;&gt;TEXT('Cal_Weeks'!B105,"mmm-yy"),'Cal_Weeks'!G106,"")</f>
        <v/>
      </c>
      <c r="DI3" s="8">
        <f>IF(TEXT('Cal_Weeks'!B107,"mmm-yy")&lt;&gt;TEXT('Cal_Weeks'!B106,"mmm-yy"),'Cal_Weeks'!G107,"")</f>
        <v/>
      </c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1">
        <f>IFERROR(INDEX(Cal_Weeks!$B$4:$B$107,$F$1),"")</f>
        <v/>
      </c>
      <c r="J4" s="12">
        <f>'Cal_Weeks'!B4</f>
        <v/>
      </c>
      <c r="K4" s="12">
        <f>'Cal_Weeks'!B5</f>
        <v/>
      </c>
      <c r="L4" s="12">
        <f>'Cal_Weeks'!B6</f>
        <v/>
      </c>
      <c r="M4" s="12">
        <f>'Cal_Weeks'!B7</f>
        <v/>
      </c>
      <c r="N4" s="12">
        <f>'Cal_Weeks'!B8</f>
        <v/>
      </c>
      <c r="O4" s="12">
        <f>'Cal_Weeks'!B9</f>
        <v/>
      </c>
      <c r="P4" s="12">
        <f>'Cal_Weeks'!B10</f>
        <v/>
      </c>
      <c r="Q4" s="12">
        <f>'Cal_Weeks'!B11</f>
        <v/>
      </c>
      <c r="R4" s="12">
        <f>'Cal_Weeks'!B12</f>
        <v/>
      </c>
      <c r="S4" s="12">
        <f>'Cal_Weeks'!B13</f>
        <v/>
      </c>
      <c r="T4" s="12">
        <f>'Cal_Weeks'!B14</f>
        <v/>
      </c>
      <c r="U4" s="12">
        <f>'Cal_Weeks'!B15</f>
        <v/>
      </c>
      <c r="V4" s="12">
        <f>'Cal_Weeks'!B16</f>
        <v/>
      </c>
      <c r="W4" s="12">
        <f>'Cal_Weeks'!B17</f>
        <v/>
      </c>
      <c r="X4" s="12">
        <f>'Cal_Weeks'!B18</f>
        <v/>
      </c>
      <c r="Y4" s="12">
        <f>'Cal_Weeks'!B19</f>
        <v/>
      </c>
      <c r="Z4" s="12">
        <f>'Cal_Weeks'!B20</f>
        <v/>
      </c>
      <c r="AA4" s="12">
        <f>'Cal_Weeks'!B21</f>
        <v/>
      </c>
      <c r="AB4" s="12">
        <f>'Cal_Weeks'!B22</f>
        <v/>
      </c>
      <c r="AC4" s="12">
        <f>'Cal_Weeks'!B23</f>
        <v/>
      </c>
      <c r="AD4" s="12">
        <f>'Cal_Weeks'!B24</f>
        <v/>
      </c>
      <c r="AE4" s="12">
        <f>'Cal_Weeks'!B25</f>
        <v/>
      </c>
      <c r="AF4" s="12">
        <f>'Cal_Weeks'!B26</f>
        <v/>
      </c>
      <c r="AG4" s="12">
        <f>'Cal_Weeks'!B27</f>
        <v/>
      </c>
      <c r="AH4" s="12">
        <f>'Cal_Weeks'!B28</f>
        <v/>
      </c>
      <c r="AI4" s="12">
        <f>'Cal_Weeks'!B29</f>
        <v/>
      </c>
      <c r="AJ4" s="12">
        <f>'Cal_Weeks'!B30</f>
        <v/>
      </c>
      <c r="AK4" s="12">
        <f>'Cal_Weeks'!B31</f>
        <v/>
      </c>
      <c r="AL4" s="12">
        <f>'Cal_Weeks'!B32</f>
        <v/>
      </c>
      <c r="AM4" s="12">
        <f>'Cal_Weeks'!B33</f>
        <v/>
      </c>
      <c r="AN4" s="12">
        <f>'Cal_Weeks'!B34</f>
        <v/>
      </c>
      <c r="AO4" s="12">
        <f>'Cal_Weeks'!B35</f>
        <v/>
      </c>
      <c r="AP4" s="12">
        <f>'Cal_Weeks'!B36</f>
        <v/>
      </c>
      <c r="AQ4" s="12">
        <f>'Cal_Weeks'!B37</f>
        <v/>
      </c>
      <c r="AR4" s="12">
        <f>'Cal_Weeks'!B38</f>
        <v/>
      </c>
      <c r="AS4" s="12">
        <f>'Cal_Weeks'!B39</f>
        <v/>
      </c>
      <c r="AT4" s="12">
        <f>'Cal_Weeks'!B40</f>
        <v/>
      </c>
      <c r="AU4" s="12">
        <f>'Cal_Weeks'!B41</f>
        <v/>
      </c>
      <c r="AV4" s="12">
        <f>'Cal_Weeks'!B42</f>
        <v/>
      </c>
      <c r="AW4" s="12">
        <f>'Cal_Weeks'!B43</f>
        <v/>
      </c>
      <c r="AX4" s="12">
        <f>'Cal_Weeks'!B44</f>
        <v/>
      </c>
      <c r="AY4" s="12">
        <f>'Cal_Weeks'!B45</f>
        <v/>
      </c>
      <c r="AZ4" s="12">
        <f>'Cal_Weeks'!B46</f>
        <v/>
      </c>
      <c r="BA4" s="12">
        <f>'Cal_Weeks'!B47</f>
        <v/>
      </c>
      <c r="BB4" s="12">
        <f>'Cal_Weeks'!B48</f>
        <v/>
      </c>
      <c r="BC4" s="12">
        <f>'Cal_Weeks'!B49</f>
        <v/>
      </c>
      <c r="BD4" s="12">
        <f>'Cal_Weeks'!B50</f>
        <v/>
      </c>
      <c r="BE4" s="12">
        <f>'Cal_Weeks'!B51</f>
        <v/>
      </c>
      <c r="BF4" s="12">
        <f>'Cal_Weeks'!B52</f>
        <v/>
      </c>
      <c r="BG4" s="12">
        <f>'Cal_Weeks'!B53</f>
        <v/>
      </c>
      <c r="BH4" s="12">
        <f>'Cal_Weeks'!B54</f>
        <v/>
      </c>
      <c r="BI4" s="12">
        <f>'Cal_Weeks'!B55</f>
        <v/>
      </c>
      <c r="BJ4" s="12">
        <f>'Cal_Weeks'!B56</f>
        <v/>
      </c>
      <c r="BK4" s="12">
        <f>'Cal_Weeks'!B57</f>
        <v/>
      </c>
      <c r="BL4" s="12">
        <f>'Cal_Weeks'!B58</f>
        <v/>
      </c>
      <c r="BM4" s="12">
        <f>'Cal_Weeks'!B59</f>
        <v/>
      </c>
      <c r="BN4" s="12">
        <f>'Cal_Weeks'!B60</f>
        <v/>
      </c>
      <c r="BO4" s="12">
        <f>'Cal_Weeks'!B61</f>
        <v/>
      </c>
      <c r="BP4" s="12">
        <f>'Cal_Weeks'!B62</f>
        <v/>
      </c>
      <c r="BQ4" s="12">
        <f>'Cal_Weeks'!B63</f>
        <v/>
      </c>
      <c r="BR4" s="12">
        <f>'Cal_Weeks'!B64</f>
        <v/>
      </c>
      <c r="BS4" s="12">
        <f>'Cal_Weeks'!B65</f>
        <v/>
      </c>
      <c r="BT4" s="12">
        <f>'Cal_Weeks'!B66</f>
        <v/>
      </c>
      <c r="BU4" s="12">
        <f>'Cal_Weeks'!B67</f>
        <v/>
      </c>
      <c r="BV4" s="12">
        <f>'Cal_Weeks'!B68</f>
        <v/>
      </c>
      <c r="BW4" s="12">
        <f>'Cal_Weeks'!B69</f>
        <v/>
      </c>
      <c r="BX4" s="12">
        <f>'Cal_Weeks'!B70</f>
        <v/>
      </c>
      <c r="BY4" s="12">
        <f>'Cal_Weeks'!B71</f>
        <v/>
      </c>
      <c r="BZ4" s="12">
        <f>'Cal_Weeks'!B72</f>
        <v/>
      </c>
      <c r="CA4" s="12">
        <f>'Cal_Weeks'!B73</f>
        <v/>
      </c>
      <c r="CB4" s="12">
        <f>'Cal_Weeks'!B74</f>
        <v/>
      </c>
      <c r="CC4" s="12">
        <f>'Cal_Weeks'!B75</f>
        <v/>
      </c>
      <c r="CD4" s="12">
        <f>'Cal_Weeks'!B76</f>
        <v/>
      </c>
      <c r="CE4" s="12">
        <f>'Cal_Weeks'!B77</f>
        <v/>
      </c>
      <c r="CF4" s="12">
        <f>'Cal_Weeks'!B78</f>
        <v/>
      </c>
      <c r="CG4" s="12">
        <f>'Cal_Weeks'!B79</f>
        <v/>
      </c>
      <c r="CH4" s="12">
        <f>'Cal_Weeks'!B80</f>
        <v/>
      </c>
      <c r="CI4" s="12">
        <f>'Cal_Weeks'!B81</f>
        <v/>
      </c>
      <c r="CJ4" s="12">
        <f>'Cal_Weeks'!B82</f>
        <v/>
      </c>
      <c r="CK4" s="12">
        <f>'Cal_Weeks'!B83</f>
        <v/>
      </c>
      <c r="CL4" s="12">
        <f>'Cal_Weeks'!B84</f>
        <v/>
      </c>
      <c r="CM4" s="12">
        <f>'Cal_Weeks'!B85</f>
        <v/>
      </c>
      <c r="CN4" s="12">
        <f>'Cal_Weeks'!B86</f>
        <v/>
      </c>
      <c r="CO4" s="12">
        <f>'Cal_Weeks'!B87</f>
        <v/>
      </c>
      <c r="CP4" s="12">
        <f>'Cal_Weeks'!B88</f>
        <v/>
      </c>
      <c r="CQ4" s="12">
        <f>'Cal_Weeks'!B89</f>
        <v/>
      </c>
      <c r="CR4" s="12">
        <f>'Cal_Weeks'!B90</f>
        <v/>
      </c>
      <c r="CS4" s="12">
        <f>'Cal_Weeks'!B91</f>
        <v/>
      </c>
      <c r="CT4" s="12">
        <f>'Cal_Weeks'!B92</f>
        <v/>
      </c>
      <c r="CU4" s="12">
        <f>'Cal_Weeks'!B93</f>
        <v/>
      </c>
      <c r="CV4" s="12">
        <f>'Cal_Weeks'!B94</f>
        <v/>
      </c>
      <c r="CW4" s="12">
        <f>'Cal_Weeks'!B95</f>
        <v/>
      </c>
      <c r="CX4" s="12">
        <f>'Cal_Weeks'!B96</f>
        <v/>
      </c>
      <c r="CY4" s="12">
        <f>'Cal_Weeks'!B97</f>
        <v/>
      </c>
      <c r="CZ4" s="12">
        <f>'Cal_Weeks'!B98</f>
        <v/>
      </c>
      <c r="DA4" s="12">
        <f>'Cal_Weeks'!B99</f>
        <v/>
      </c>
      <c r="DB4" s="12">
        <f>'Cal_Weeks'!B100</f>
        <v/>
      </c>
      <c r="DC4" s="12">
        <f>'Cal_Weeks'!B101</f>
        <v/>
      </c>
      <c r="DD4" s="12">
        <f>'Cal_Weeks'!B102</f>
        <v/>
      </c>
      <c r="DE4" s="12">
        <f>'Cal_Weeks'!B103</f>
        <v/>
      </c>
      <c r="DF4" s="12">
        <f>'Cal_Weeks'!B104</f>
        <v/>
      </c>
      <c r="DG4" s="12">
        <f>'Cal_Weeks'!B105</f>
        <v/>
      </c>
      <c r="DH4" s="12">
        <f>'Cal_Weeks'!B106</f>
        <v/>
      </c>
      <c r="DI4" s="12">
        <f>'Cal_Weeks'!B107</f>
        <v/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9">
        <f>IFERROR(INDEX(Cal_Weeks!$D$4:$D$107,$F$1),"")</f>
        <v/>
      </c>
      <c r="J5" s="10">
        <f>'Cal_Weeks'!D4</f>
        <v/>
      </c>
      <c r="K5" s="10">
        <f>'Cal_Weeks'!D5</f>
        <v/>
      </c>
      <c r="L5" s="10">
        <f>'Cal_Weeks'!D6</f>
        <v/>
      </c>
      <c r="M5" s="10">
        <f>'Cal_Weeks'!D7</f>
        <v/>
      </c>
      <c r="N5" s="10">
        <f>'Cal_Weeks'!D8</f>
        <v/>
      </c>
      <c r="O5" s="10">
        <f>'Cal_Weeks'!D9</f>
        <v/>
      </c>
      <c r="P5" s="10">
        <f>'Cal_Weeks'!D10</f>
        <v/>
      </c>
      <c r="Q5" s="10">
        <f>'Cal_Weeks'!D11</f>
        <v/>
      </c>
      <c r="R5" s="10">
        <f>'Cal_Weeks'!D12</f>
        <v/>
      </c>
      <c r="S5" s="10">
        <f>'Cal_Weeks'!D13</f>
        <v/>
      </c>
      <c r="T5" s="10">
        <f>'Cal_Weeks'!D14</f>
        <v/>
      </c>
      <c r="U5" s="10">
        <f>'Cal_Weeks'!D15</f>
        <v/>
      </c>
      <c r="V5" s="10">
        <f>'Cal_Weeks'!D16</f>
        <v/>
      </c>
      <c r="W5" s="10">
        <f>'Cal_Weeks'!D17</f>
        <v/>
      </c>
      <c r="X5" s="10">
        <f>'Cal_Weeks'!D18</f>
        <v/>
      </c>
      <c r="Y5" s="10">
        <f>'Cal_Weeks'!D19</f>
        <v/>
      </c>
      <c r="Z5" s="10">
        <f>'Cal_Weeks'!D20</f>
        <v/>
      </c>
      <c r="AA5" s="10">
        <f>'Cal_Weeks'!D21</f>
        <v/>
      </c>
      <c r="AB5" s="10">
        <f>'Cal_Weeks'!D22</f>
        <v/>
      </c>
      <c r="AC5" s="10">
        <f>'Cal_Weeks'!D23</f>
        <v/>
      </c>
      <c r="AD5" s="10">
        <f>'Cal_Weeks'!D24</f>
        <v/>
      </c>
      <c r="AE5" s="10">
        <f>'Cal_Weeks'!D25</f>
        <v/>
      </c>
      <c r="AF5" s="10">
        <f>'Cal_Weeks'!D26</f>
        <v/>
      </c>
      <c r="AG5" s="10">
        <f>'Cal_Weeks'!D27</f>
        <v/>
      </c>
      <c r="AH5" s="10">
        <f>'Cal_Weeks'!D28</f>
        <v/>
      </c>
      <c r="AI5" s="10">
        <f>'Cal_Weeks'!D29</f>
        <v/>
      </c>
      <c r="AJ5" s="10">
        <f>'Cal_Weeks'!D30</f>
        <v/>
      </c>
      <c r="AK5" s="10">
        <f>'Cal_Weeks'!D31</f>
        <v/>
      </c>
      <c r="AL5" s="10">
        <f>'Cal_Weeks'!D32</f>
        <v/>
      </c>
      <c r="AM5" s="10">
        <f>'Cal_Weeks'!D33</f>
        <v/>
      </c>
      <c r="AN5" s="10">
        <f>'Cal_Weeks'!D34</f>
        <v/>
      </c>
      <c r="AO5" s="10">
        <f>'Cal_Weeks'!D35</f>
        <v/>
      </c>
      <c r="AP5" s="10">
        <f>'Cal_Weeks'!D36</f>
        <v/>
      </c>
      <c r="AQ5" s="10">
        <f>'Cal_Weeks'!D37</f>
        <v/>
      </c>
      <c r="AR5" s="10">
        <f>'Cal_Weeks'!D38</f>
        <v/>
      </c>
      <c r="AS5" s="10">
        <f>'Cal_Weeks'!D39</f>
        <v/>
      </c>
      <c r="AT5" s="10">
        <f>'Cal_Weeks'!D40</f>
        <v/>
      </c>
      <c r="AU5" s="10">
        <f>'Cal_Weeks'!D41</f>
        <v/>
      </c>
      <c r="AV5" s="10">
        <f>'Cal_Weeks'!D42</f>
        <v/>
      </c>
      <c r="AW5" s="10">
        <f>'Cal_Weeks'!D43</f>
        <v/>
      </c>
      <c r="AX5" s="10">
        <f>'Cal_Weeks'!D44</f>
        <v/>
      </c>
      <c r="AY5" s="10">
        <f>'Cal_Weeks'!D45</f>
        <v/>
      </c>
      <c r="AZ5" s="10">
        <f>'Cal_Weeks'!D46</f>
        <v/>
      </c>
      <c r="BA5" s="10">
        <f>'Cal_Weeks'!D47</f>
        <v/>
      </c>
      <c r="BB5" s="10">
        <f>'Cal_Weeks'!D48</f>
        <v/>
      </c>
      <c r="BC5" s="10">
        <f>'Cal_Weeks'!D49</f>
        <v/>
      </c>
      <c r="BD5" s="10">
        <f>'Cal_Weeks'!D50</f>
        <v/>
      </c>
      <c r="BE5" s="10">
        <f>'Cal_Weeks'!D51</f>
        <v/>
      </c>
      <c r="BF5" s="10">
        <f>'Cal_Weeks'!D52</f>
        <v/>
      </c>
      <c r="BG5" s="10">
        <f>'Cal_Weeks'!D53</f>
        <v/>
      </c>
      <c r="BH5" s="10">
        <f>'Cal_Weeks'!D54</f>
        <v/>
      </c>
      <c r="BI5" s="10">
        <f>'Cal_Weeks'!D55</f>
        <v/>
      </c>
      <c r="BJ5" s="10">
        <f>'Cal_Weeks'!D56</f>
        <v/>
      </c>
      <c r="BK5" s="10">
        <f>'Cal_Weeks'!D57</f>
        <v/>
      </c>
      <c r="BL5" s="10">
        <f>'Cal_Weeks'!D58</f>
        <v/>
      </c>
      <c r="BM5" s="10">
        <f>'Cal_Weeks'!D59</f>
        <v/>
      </c>
      <c r="BN5" s="10">
        <f>'Cal_Weeks'!D60</f>
        <v/>
      </c>
      <c r="BO5" s="10">
        <f>'Cal_Weeks'!D61</f>
        <v/>
      </c>
      <c r="BP5" s="10">
        <f>'Cal_Weeks'!D62</f>
        <v/>
      </c>
      <c r="BQ5" s="10">
        <f>'Cal_Weeks'!D63</f>
        <v/>
      </c>
      <c r="BR5" s="10">
        <f>'Cal_Weeks'!D64</f>
        <v/>
      </c>
      <c r="BS5" s="10">
        <f>'Cal_Weeks'!D65</f>
        <v/>
      </c>
      <c r="BT5" s="10">
        <f>'Cal_Weeks'!D66</f>
        <v/>
      </c>
      <c r="BU5" s="10">
        <f>'Cal_Weeks'!D67</f>
        <v/>
      </c>
      <c r="BV5" s="10">
        <f>'Cal_Weeks'!D68</f>
        <v/>
      </c>
      <c r="BW5" s="10">
        <f>'Cal_Weeks'!D69</f>
        <v/>
      </c>
      <c r="BX5" s="10">
        <f>'Cal_Weeks'!D70</f>
        <v/>
      </c>
      <c r="BY5" s="10">
        <f>'Cal_Weeks'!D71</f>
        <v/>
      </c>
      <c r="BZ5" s="10">
        <f>'Cal_Weeks'!D72</f>
        <v/>
      </c>
      <c r="CA5" s="10">
        <f>'Cal_Weeks'!D73</f>
        <v/>
      </c>
      <c r="CB5" s="10">
        <f>'Cal_Weeks'!D74</f>
        <v/>
      </c>
      <c r="CC5" s="10">
        <f>'Cal_Weeks'!D75</f>
        <v/>
      </c>
      <c r="CD5" s="10">
        <f>'Cal_Weeks'!D76</f>
        <v/>
      </c>
      <c r="CE5" s="10">
        <f>'Cal_Weeks'!D77</f>
        <v/>
      </c>
      <c r="CF5" s="10">
        <f>'Cal_Weeks'!D78</f>
        <v/>
      </c>
      <c r="CG5" s="10">
        <f>'Cal_Weeks'!D79</f>
        <v/>
      </c>
      <c r="CH5" s="10">
        <f>'Cal_Weeks'!D80</f>
        <v/>
      </c>
      <c r="CI5" s="10">
        <f>'Cal_Weeks'!D81</f>
        <v/>
      </c>
      <c r="CJ5" s="10">
        <f>'Cal_Weeks'!D82</f>
        <v/>
      </c>
      <c r="CK5" s="10">
        <f>'Cal_Weeks'!D83</f>
        <v/>
      </c>
      <c r="CL5" s="10">
        <f>'Cal_Weeks'!D84</f>
        <v/>
      </c>
      <c r="CM5" s="10">
        <f>'Cal_Weeks'!D85</f>
        <v/>
      </c>
      <c r="CN5" s="10">
        <f>'Cal_Weeks'!D86</f>
        <v/>
      </c>
      <c r="CO5" s="10">
        <f>'Cal_Weeks'!D87</f>
        <v/>
      </c>
      <c r="CP5" s="10">
        <f>'Cal_Weeks'!D88</f>
        <v/>
      </c>
      <c r="CQ5" s="10">
        <f>'Cal_Weeks'!D89</f>
        <v/>
      </c>
      <c r="CR5" s="10">
        <f>'Cal_Weeks'!D90</f>
        <v/>
      </c>
      <c r="CS5" s="10">
        <f>'Cal_Weeks'!D91</f>
        <v/>
      </c>
      <c r="CT5" s="10">
        <f>'Cal_Weeks'!D92</f>
        <v/>
      </c>
      <c r="CU5" s="10">
        <f>'Cal_Weeks'!D93</f>
        <v/>
      </c>
      <c r="CV5" s="10">
        <f>'Cal_Weeks'!D94</f>
        <v/>
      </c>
      <c r="CW5" s="10">
        <f>'Cal_Weeks'!D95</f>
        <v/>
      </c>
      <c r="CX5" s="10">
        <f>'Cal_Weeks'!D96</f>
        <v/>
      </c>
      <c r="CY5" s="10">
        <f>'Cal_Weeks'!D97</f>
        <v/>
      </c>
      <c r="CZ5" s="10">
        <f>'Cal_Weeks'!D98</f>
        <v/>
      </c>
      <c r="DA5" s="10">
        <f>'Cal_Weeks'!D99</f>
        <v/>
      </c>
      <c r="DB5" s="10">
        <f>'Cal_Weeks'!D100</f>
        <v/>
      </c>
      <c r="DC5" s="10">
        <f>'Cal_Weeks'!D101</f>
        <v/>
      </c>
      <c r="DD5" s="10">
        <f>'Cal_Weeks'!D102</f>
        <v/>
      </c>
      <c r="DE5" s="10">
        <f>'Cal_Weeks'!D103</f>
        <v/>
      </c>
      <c r="DF5" s="10">
        <f>'Cal_Weeks'!D104</f>
        <v/>
      </c>
      <c r="DG5" s="10">
        <f>'Cal_Weeks'!D105</f>
        <v/>
      </c>
      <c r="DH5" s="10">
        <f>'Cal_Weeks'!D106</f>
        <v/>
      </c>
      <c r="DI5" s="10">
        <f>'Cal_Weeks'!D107</f>
        <v/>
      </c>
    </row>
    <row r="6">
      <c r="A6" s="13" t="inlineStr">
        <is>
          <t>RM_Code</t>
        </is>
      </c>
      <c r="B6" s="13" t="inlineStr">
        <is>
          <t>Description</t>
        </is>
      </c>
      <c r="C6" s="13" t="inlineStr">
        <is>
          <t>Category</t>
        </is>
      </c>
      <c r="D6" s="13" t="inlineStr">
        <is>
          <t>SafetyStock_Qty</t>
        </is>
      </c>
      <c r="E6" s="13" t="inlineStr">
        <is>
          <t>自社在庫(実績)</t>
        </is>
      </c>
      <c r="F6" s="13" t="inlineStr">
        <is>
          <t>TTAF在庫(実績)</t>
        </is>
      </c>
      <c r="G6" s="13" t="inlineStr">
        <is>
          <t>実績週</t>
        </is>
      </c>
      <c r="H6" s="13" t="inlineStr">
        <is>
          <t>Status</t>
        </is>
      </c>
      <c r="I6" s="14">
        <f>IF($C$1="","選択週",$C$1)</f>
        <v/>
      </c>
      <c r="J6" s="13">
        <f>'Cal_Weeks'!E4</f>
        <v/>
      </c>
      <c r="K6" s="13">
        <f>'Cal_Weeks'!E5</f>
        <v/>
      </c>
      <c r="L6" s="13">
        <f>'Cal_Weeks'!E6</f>
        <v/>
      </c>
      <c r="M6" s="13">
        <f>'Cal_Weeks'!E7</f>
        <v/>
      </c>
      <c r="N6" s="13">
        <f>'Cal_Weeks'!E8</f>
        <v/>
      </c>
      <c r="O6" s="13">
        <f>'Cal_Weeks'!E9</f>
        <v/>
      </c>
      <c r="P6" s="13">
        <f>'Cal_Weeks'!E10</f>
        <v/>
      </c>
      <c r="Q6" s="13">
        <f>'Cal_Weeks'!E11</f>
        <v/>
      </c>
      <c r="R6" s="13">
        <f>'Cal_Weeks'!E12</f>
        <v/>
      </c>
      <c r="S6" s="13">
        <f>'Cal_Weeks'!E13</f>
        <v/>
      </c>
      <c r="T6" s="13">
        <f>'Cal_Weeks'!E14</f>
        <v/>
      </c>
      <c r="U6" s="13">
        <f>'Cal_Weeks'!E15</f>
        <v/>
      </c>
      <c r="V6" s="13">
        <f>'Cal_Weeks'!E16</f>
        <v/>
      </c>
      <c r="W6" s="13">
        <f>'Cal_Weeks'!E17</f>
        <v/>
      </c>
      <c r="X6" s="13">
        <f>'Cal_Weeks'!E18</f>
        <v/>
      </c>
      <c r="Y6" s="13">
        <f>'Cal_Weeks'!E19</f>
        <v/>
      </c>
      <c r="Z6" s="13">
        <f>'Cal_Weeks'!E20</f>
        <v/>
      </c>
      <c r="AA6" s="13">
        <f>'Cal_Weeks'!E21</f>
        <v/>
      </c>
      <c r="AB6" s="13">
        <f>'Cal_Weeks'!E22</f>
        <v/>
      </c>
      <c r="AC6" s="13">
        <f>'Cal_Weeks'!E23</f>
        <v/>
      </c>
      <c r="AD6" s="13">
        <f>'Cal_Weeks'!E24</f>
        <v/>
      </c>
      <c r="AE6" s="13">
        <f>'Cal_Weeks'!E25</f>
        <v/>
      </c>
      <c r="AF6" s="13">
        <f>'Cal_Weeks'!E26</f>
        <v/>
      </c>
      <c r="AG6" s="13">
        <f>'Cal_Weeks'!E27</f>
        <v/>
      </c>
      <c r="AH6" s="13">
        <f>'Cal_Weeks'!E28</f>
        <v/>
      </c>
      <c r="AI6" s="13">
        <f>'Cal_Weeks'!E29</f>
        <v/>
      </c>
      <c r="AJ6" s="13">
        <f>'Cal_Weeks'!E30</f>
        <v/>
      </c>
      <c r="AK6" s="13">
        <f>'Cal_Weeks'!E31</f>
        <v/>
      </c>
      <c r="AL6" s="13">
        <f>'Cal_Weeks'!E32</f>
        <v/>
      </c>
      <c r="AM6" s="13">
        <f>'Cal_Weeks'!E33</f>
        <v/>
      </c>
      <c r="AN6" s="13">
        <f>'Cal_Weeks'!E34</f>
        <v/>
      </c>
      <c r="AO6" s="13">
        <f>'Cal_Weeks'!E35</f>
        <v/>
      </c>
      <c r="AP6" s="13">
        <f>'Cal_Weeks'!E36</f>
        <v/>
      </c>
      <c r="AQ6" s="13">
        <f>'Cal_Weeks'!E37</f>
        <v/>
      </c>
      <c r="AR6" s="13">
        <f>'Cal_Weeks'!E38</f>
        <v/>
      </c>
      <c r="AS6" s="13">
        <f>'Cal_Weeks'!E39</f>
        <v/>
      </c>
      <c r="AT6" s="13">
        <f>'Cal_Weeks'!E40</f>
        <v/>
      </c>
      <c r="AU6" s="13">
        <f>'Cal_Weeks'!E41</f>
        <v/>
      </c>
      <c r="AV6" s="13">
        <f>'Cal_Weeks'!E42</f>
        <v/>
      </c>
      <c r="AW6" s="13">
        <f>'Cal_Weeks'!E43</f>
        <v/>
      </c>
      <c r="AX6" s="13">
        <f>'Cal_Weeks'!E44</f>
        <v/>
      </c>
      <c r="AY6" s="13">
        <f>'Cal_Weeks'!E45</f>
        <v/>
      </c>
      <c r="AZ6" s="13">
        <f>'Cal_Weeks'!E46</f>
        <v/>
      </c>
      <c r="BA6" s="13">
        <f>'Cal_Weeks'!E47</f>
        <v/>
      </c>
      <c r="BB6" s="13">
        <f>'Cal_Weeks'!E48</f>
        <v/>
      </c>
      <c r="BC6" s="13">
        <f>'Cal_Weeks'!E49</f>
        <v/>
      </c>
      <c r="BD6" s="13">
        <f>'Cal_Weeks'!E50</f>
        <v/>
      </c>
      <c r="BE6" s="13">
        <f>'Cal_Weeks'!E51</f>
        <v/>
      </c>
      <c r="BF6" s="13">
        <f>'Cal_Weeks'!E52</f>
        <v/>
      </c>
      <c r="BG6" s="13">
        <f>'Cal_Weeks'!E53</f>
        <v/>
      </c>
      <c r="BH6" s="13">
        <f>'Cal_Weeks'!E54</f>
        <v/>
      </c>
      <c r="BI6" s="13">
        <f>'Cal_Weeks'!E55</f>
        <v/>
      </c>
      <c r="BJ6" s="13">
        <f>'Cal_Weeks'!E56</f>
        <v/>
      </c>
      <c r="BK6" s="13">
        <f>'Cal_Weeks'!E57</f>
        <v/>
      </c>
      <c r="BL6" s="13">
        <f>'Cal_Weeks'!E58</f>
        <v/>
      </c>
      <c r="BM6" s="13">
        <f>'Cal_Weeks'!E59</f>
        <v/>
      </c>
      <c r="BN6" s="13">
        <f>'Cal_Weeks'!E60</f>
        <v/>
      </c>
      <c r="BO6" s="13">
        <f>'Cal_Weeks'!E61</f>
        <v/>
      </c>
      <c r="BP6" s="13">
        <f>'Cal_Weeks'!E62</f>
        <v/>
      </c>
      <c r="BQ6" s="13">
        <f>'Cal_Weeks'!E63</f>
        <v/>
      </c>
      <c r="BR6" s="13">
        <f>'Cal_Weeks'!E64</f>
        <v/>
      </c>
      <c r="BS6" s="13">
        <f>'Cal_Weeks'!E65</f>
        <v/>
      </c>
      <c r="BT6" s="13">
        <f>'Cal_Weeks'!E66</f>
        <v/>
      </c>
      <c r="BU6" s="13">
        <f>'Cal_Weeks'!E67</f>
        <v/>
      </c>
      <c r="BV6" s="13">
        <f>'Cal_Weeks'!E68</f>
        <v/>
      </c>
      <c r="BW6" s="13">
        <f>'Cal_Weeks'!E69</f>
        <v/>
      </c>
      <c r="BX6" s="13">
        <f>'Cal_Weeks'!E70</f>
        <v/>
      </c>
      <c r="BY6" s="13">
        <f>'Cal_Weeks'!E71</f>
        <v/>
      </c>
      <c r="BZ6" s="13">
        <f>'Cal_Weeks'!E72</f>
        <v/>
      </c>
      <c r="CA6" s="13">
        <f>'Cal_Weeks'!E73</f>
        <v/>
      </c>
      <c r="CB6" s="13">
        <f>'Cal_Weeks'!E74</f>
        <v/>
      </c>
      <c r="CC6" s="13">
        <f>'Cal_Weeks'!E75</f>
        <v/>
      </c>
      <c r="CD6" s="13">
        <f>'Cal_Weeks'!E76</f>
        <v/>
      </c>
      <c r="CE6" s="13">
        <f>'Cal_Weeks'!E77</f>
        <v/>
      </c>
      <c r="CF6" s="13">
        <f>'Cal_Weeks'!E78</f>
        <v/>
      </c>
      <c r="CG6" s="13">
        <f>'Cal_Weeks'!E79</f>
        <v/>
      </c>
      <c r="CH6" s="13">
        <f>'Cal_Weeks'!E80</f>
        <v/>
      </c>
      <c r="CI6" s="13">
        <f>'Cal_Weeks'!E81</f>
        <v/>
      </c>
      <c r="CJ6" s="13">
        <f>'Cal_Weeks'!E82</f>
        <v/>
      </c>
      <c r="CK6" s="13">
        <f>'Cal_Weeks'!E83</f>
        <v/>
      </c>
      <c r="CL6" s="13">
        <f>'Cal_Weeks'!E84</f>
        <v/>
      </c>
      <c r="CM6" s="13">
        <f>'Cal_Weeks'!E85</f>
        <v/>
      </c>
      <c r="CN6" s="13">
        <f>'Cal_Weeks'!E86</f>
        <v/>
      </c>
      <c r="CO6" s="13">
        <f>'Cal_Weeks'!E87</f>
        <v/>
      </c>
      <c r="CP6" s="13">
        <f>'Cal_Weeks'!E88</f>
        <v/>
      </c>
      <c r="CQ6" s="13">
        <f>'Cal_Weeks'!E89</f>
        <v/>
      </c>
      <c r="CR6" s="13">
        <f>'Cal_Weeks'!E90</f>
        <v/>
      </c>
      <c r="CS6" s="13">
        <f>'Cal_Weeks'!E91</f>
        <v/>
      </c>
      <c r="CT6" s="13">
        <f>'Cal_Weeks'!E92</f>
        <v/>
      </c>
      <c r="CU6" s="13">
        <f>'Cal_Weeks'!E93</f>
        <v/>
      </c>
      <c r="CV6" s="13">
        <f>'Cal_Weeks'!E94</f>
        <v/>
      </c>
      <c r="CW6" s="13">
        <f>'Cal_Weeks'!E95</f>
        <v/>
      </c>
      <c r="CX6" s="13">
        <f>'Cal_Weeks'!E96</f>
        <v/>
      </c>
      <c r="CY6" s="13">
        <f>'Cal_Weeks'!E97</f>
        <v/>
      </c>
      <c r="CZ6" s="13">
        <f>'Cal_Weeks'!E98</f>
        <v/>
      </c>
      <c r="DA6" s="13">
        <f>'Cal_Weeks'!E99</f>
        <v/>
      </c>
      <c r="DB6" s="13">
        <f>'Cal_Weeks'!E100</f>
        <v/>
      </c>
      <c r="DC6" s="13">
        <f>'Cal_Weeks'!E101</f>
        <v/>
      </c>
      <c r="DD6" s="13">
        <f>'Cal_Weeks'!E102</f>
        <v/>
      </c>
      <c r="DE6" s="13">
        <f>'Cal_Weeks'!E103</f>
        <v/>
      </c>
      <c r="DF6" s="13">
        <f>'Cal_Weeks'!E104</f>
        <v/>
      </c>
      <c r="DG6" s="13">
        <f>'Cal_Weeks'!E105</f>
        <v/>
      </c>
      <c r="DH6" s="13">
        <f>'Cal_Weeks'!E106</f>
        <v/>
      </c>
      <c r="DI6" s="13">
        <f>'Cal_Weeks'!E107</f>
        <v/>
      </c>
    </row>
    <row r="7">
      <c r="A7" s="15" t="inlineStr">
        <is>
          <t>CHEM-1250</t>
        </is>
      </c>
      <c r="B7" s="15">
        <f>IFERROR(INDEX(M_RawMaterials[Description],MATCH($A7,M_RawMaterials[RM_Code],0)),"")</f>
        <v/>
      </c>
      <c r="C7" s="15">
        <f>IFERROR(INDEX(M_RawMaterials[Category],MATCH($A7,M_RawMaterials[RM_Code],0)),"")</f>
        <v/>
      </c>
      <c r="D7" s="15">
        <f>IFERROR(INDEX(M_RawMaterials[SafetyStock_Qty_要入力],MATCH($A7,M_RawMaterials[RM_Code],0)),0)</f>
        <v/>
      </c>
      <c r="E7" s="15">
        <f>IFERROR(LOOKUP(2,1/(T_SelfStock!$A$2:$A$12000=$A7),T_SelfStock!$D$2:$D$12000),"")</f>
        <v/>
      </c>
      <c r="F7" s="15">
        <f>IFERROR(LOOKUP(2,1/(T_TTAFStock!$A$2:$A$12000=$A7),T_TTAFStock!$D$2:$D$12000),"")</f>
        <v/>
      </c>
      <c r="G7" s="15">
        <f>IFERROR(INDEX(Cal_Weeks[Label],LOOKUP(2,1/(T_SelfStock!$A$2:$A$12000=$A7),T_SelfStock!$B$2:$B$12000)),"")</f>
        <v/>
      </c>
      <c r="H7" s="15">
        <f>IF(MIN(J7:DI7)&lt;D7,"要発注","OK")</f>
        <v/>
      </c>
      <c r="I7" s="16">
        <f>IFERROR(INDEX(J7:DI7,$F$1),"")</f>
        <v/>
      </c>
      <c r="J7" s="15">
        <f>'Grid_Stock'!B2</f>
        <v/>
      </c>
      <c r="K7" s="15">
        <f>'Grid_Stock'!C2</f>
        <v/>
      </c>
      <c r="L7" s="15">
        <f>'Grid_Stock'!D2</f>
        <v/>
      </c>
      <c r="M7" s="15">
        <f>'Grid_Stock'!E2</f>
        <v/>
      </c>
      <c r="N7" s="15">
        <f>'Grid_Stock'!F2</f>
        <v/>
      </c>
      <c r="O7" s="15">
        <f>'Grid_Stock'!G2</f>
        <v/>
      </c>
      <c r="P7" s="15">
        <f>'Grid_Stock'!H2</f>
        <v/>
      </c>
      <c r="Q7" s="15">
        <f>'Grid_Stock'!I2</f>
        <v/>
      </c>
      <c r="R7" s="15">
        <f>'Grid_Stock'!J2</f>
        <v/>
      </c>
      <c r="S7" s="15">
        <f>'Grid_Stock'!K2</f>
        <v/>
      </c>
      <c r="T7" s="15">
        <f>'Grid_Stock'!L2</f>
        <v/>
      </c>
      <c r="U7" s="15">
        <f>'Grid_Stock'!M2</f>
        <v/>
      </c>
      <c r="V7" s="15">
        <f>'Grid_Stock'!N2</f>
        <v/>
      </c>
      <c r="W7" s="15">
        <f>'Grid_Stock'!O2</f>
        <v/>
      </c>
      <c r="X7" s="15">
        <f>'Grid_Stock'!P2</f>
        <v/>
      </c>
      <c r="Y7" s="15">
        <f>'Grid_Stock'!Q2</f>
        <v/>
      </c>
      <c r="Z7" s="15">
        <f>'Grid_Stock'!R2</f>
        <v/>
      </c>
      <c r="AA7" s="15">
        <f>'Grid_Stock'!S2</f>
        <v/>
      </c>
      <c r="AB7" s="15">
        <f>'Grid_Stock'!T2</f>
        <v/>
      </c>
      <c r="AC7" s="15">
        <f>'Grid_Stock'!U2</f>
        <v/>
      </c>
      <c r="AD7" s="15">
        <f>'Grid_Stock'!V2</f>
        <v/>
      </c>
      <c r="AE7" s="15">
        <f>'Grid_Stock'!W2</f>
        <v/>
      </c>
      <c r="AF7" s="15">
        <f>'Grid_Stock'!X2</f>
        <v/>
      </c>
      <c r="AG7" s="15">
        <f>'Grid_Stock'!Y2</f>
        <v/>
      </c>
      <c r="AH7" s="15">
        <f>'Grid_Stock'!Z2</f>
        <v/>
      </c>
      <c r="AI7" s="15">
        <f>'Grid_Stock'!AA2</f>
        <v/>
      </c>
      <c r="AJ7" s="15">
        <f>'Grid_Stock'!AB2</f>
        <v/>
      </c>
      <c r="AK7" s="15">
        <f>'Grid_Stock'!AC2</f>
        <v/>
      </c>
      <c r="AL7" s="15">
        <f>'Grid_Stock'!AD2</f>
        <v/>
      </c>
      <c r="AM7" s="15">
        <f>'Grid_Stock'!AE2</f>
        <v/>
      </c>
      <c r="AN7" s="15">
        <f>'Grid_Stock'!AF2</f>
        <v/>
      </c>
      <c r="AO7" s="15">
        <f>'Grid_Stock'!AG2</f>
        <v/>
      </c>
      <c r="AP7" s="15">
        <f>'Grid_Stock'!AH2</f>
        <v/>
      </c>
      <c r="AQ7" s="15">
        <f>'Grid_Stock'!AI2</f>
        <v/>
      </c>
      <c r="AR7" s="15">
        <f>'Grid_Stock'!AJ2</f>
        <v/>
      </c>
      <c r="AS7" s="15">
        <f>'Grid_Stock'!AK2</f>
        <v/>
      </c>
      <c r="AT7" s="15">
        <f>'Grid_Stock'!AL2</f>
        <v/>
      </c>
      <c r="AU7" s="15">
        <f>'Grid_Stock'!AM2</f>
        <v/>
      </c>
      <c r="AV7" s="15">
        <f>'Grid_Stock'!AN2</f>
        <v/>
      </c>
      <c r="AW7" s="15">
        <f>'Grid_Stock'!AO2</f>
        <v/>
      </c>
      <c r="AX7" s="15">
        <f>'Grid_Stock'!AP2</f>
        <v/>
      </c>
      <c r="AY7" s="15">
        <f>'Grid_Stock'!AQ2</f>
        <v/>
      </c>
      <c r="AZ7" s="15">
        <f>'Grid_Stock'!AR2</f>
        <v/>
      </c>
      <c r="BA7" s="15">
        <f>'Grid_Stock'!AS2</f>
        <v/>
      </c>
      <c r="BB7" s="15">
        <f>'Grid_Stock'!AT2</f>
        <v/>
      </c>
      <c r="BC7" s="15">
        <f>'Grid_Stock'!AU2</f>
        <v/>
      </c>
      <c r="BD7" s="15">
        <f>'Grid_Stock'!AV2</f>
        <v/>
      </c>
      <c r="BE7" s="15">
        <f>'Grid_Stock'!AW2</f>
        <v/>
      </c>
      <c r="BF7" s="15">
        <f>'Grid_Stock'!AX2</f>
        <v/>
      </c>
      <c r="BG7" s="15">
        <f>'Grid_Stock'!AY2</f>
        <v/>
      </c>
      <c r="BH7" s="15">
        <f>'Grid_Stock'!AZ2</f>
        <v/>
      </c>
      <c r="BI7" s="15">
        <f>'Grid_Stock'!BA2</f>
        <v/>
      </c>
      <c r="BJ7" s="15">
        <f>'Grid_Stock'!BB2</f>
        <v/>
      </c>
      <c r="BK7" s="15">
        <f>'Grid_Stock'!BC2</f>
        <v/>
      </c>
      <c r="BL7" s="15">
        <f>'Grid_Stock'!BD2</f>
        <v/>
      </c>
      <c r="BM7" s="15">
        <f>'Grid_Stock'!BE2</f>
        <v/>
      </c>
      <c r="BN7" s="15">
        <f>'Grid_Stock'!BF2</f>
        <v/>
      </c>
      <c r="BO7" s="15">
        <f>'Grid_Stock'!BG2</f>
        <v/>
      </c>
      <c r="BP7" s="15">
        <f>'Grid_Stock'!BH2</f>
        <v/>
      </c>
      <c r="BQ7" s="15">
        <f>'Grid_Stock'!BI2</f>
        <v/>
      </c>
      <c r="BR7" s="15">
        <f>'Grid_Stock'!BJ2</f>
        <v/>
      </c>
      <c r="BS7" s="15">
        <f>'Grid_Stock'!BK2</f>
        <v/>
      </c>
      <c r="BT7" s="15">
        <f>'Grid_Stock'!BL2</f>
        <v/>
      </c>
      <c r="BU7" s="15">
        <f>'Grid_Stock'!BM2</f>
        <v/>
      </c>
      <c r="BV7" s="15">
        <f>'Grid_Stock'!BN2</f>
        <v/>
      </c>
      <c r="BW7" s="15">
        <f>'Grid_Stock'!BO2</f>
        <v/>
      </c>
      <c r="BX7" s="15">
        <f>'Grid_Stock'!BP2</f>
        <v/>
      </c>
      <c r="BY7" s="15">
        <f>'Grid_Stock'!BQ2</f>
        <v/>
      </c>
      <c r="BZ7" s="15">
        <f>'Grid_Stock'!BR2</f>
        <v/>
      </c>
      <c r="CA7" s="15">
        <f>'Grid_Stock'!BS2</f>
        <v/>
      </c>
      <c r="CB7" s="15">
        <f>'Grid_Stock'!BT2</f>
        <v/>
      </c>
      <c r="CC7" s="15">
        <f>'Grid_Stock'!BU2</f>
        <v/>
      </c>
      <c r="CD7" s="15">
        <f>'Grid_Stock'!BV2</f>
        <v/>
      </c>
      <c r="CE7" s="15">
        <f>'Grid_Stock'!BW2</f>
        <v/>
      </c>
      <c r="CF7" s="15">
        <f>'Grid_Stock'!BX2</f>
        <v/>
      </c>
      <c r="CG7" s="15">
        <f>'Grid_Stock'!BY2</f>
        <v/>
      </c>
      <c r="CH7" s="15">
        <f>'Grid_Stock'!BZ2</f>
        <v/>
      </c>
      <c r="CI7" s="15">
        <f>'Grid_Stock'!CA2</f>
        <v/>
      </c>
      <c r="CJ7" s="15">
        <f>'Grid_Stock'!CB2</f>
        <v/>
      </c>
      <c r="CK7" s="15">
        <f>'Grid_Stock'!CC2</f>
        <v/>
      </c>
      <c r="CL7" s="15">
        <f>'Grid_Stock'!CD2</f>
        <v/>
      </c>
      <c r="CM7" s="15">
        <f>'Grid_Stock'!CE2</f>
        <v/>
      </c>
      <c r="CN7" s="15">
        <f>'Grid_Stock'!CF2</f>
        <v/>
      </c>
      <c r="CO7" s="15">
        <f>'Grid_Stock'!CG2</f>
        <v/>
      </c>
      <c r="CP7" s="15">
        <f>'Grid_Stock'!CH2</f>
        <v/>
      </c>
      <c r="CQ7" s="15">
        <f>'Grid_Stock'!CI2</f>
        <v/>
      </c>
      <c r="CR7" s="15">
        <f>'Grid_Stock'!CJ2</f>
        <v/>
      </c>
      <c r="CS7" s="15">
        <f>'Grid_Stock'!CK2</f>
        <v/>
      </c>
      <c r="CT7" s="15">
        <f>'Grid_Stock'!CL2</f>
        <v/>
      </c>
      <c r="CU7" s="15">
        <f>'Grid_Stock'!CM2</f>
        <v/>
      </c>
      <c r="CV7" s="15">
        <f>'Grid_Stock'!CN2</f>
        <v/>
      </c>
      <c r="CW7" s="15">
        <f>'Grid_Stock'!CO2</f>
        <v/>
      </c>
      <c r="CX7" s="15">
        <f>'Grid_Stock'!CP2</f>
        <v/>
      </c>
      <c r="CY7" s="15">
        <f>'Grid_Stock'!CQ2</f>
        <v/>
      </c>
      <c r="CZ7" s="15">
        <f>'Grid_Stock'!CR2</f>
        <v/>
      </c>
      <c r="DA7" s="15">
        <f>'Grid_Stock'!CS2</f>
        <v/>
      </c>
      <c r="DB7" s="15">
        <f>'Grid_Stock'!CT2</f>
        <v/>
      </c>
      <c r="DC7" s="15">
        <f>'Grid_Stock'!CU2</f>
        <v/>
      </c>
      <c r="DD7" s="15">
        <f>'Grid_Stock'!CV2</f>
        <v/>
      </c>
      <c r="DE7" s="15">
        <f>'Grid_Stock'!CW2</f>
        <v/>
      </c>
      <c r="DF7" s="15">
        <f>'Grid_Stock'!CX2</f>
        <v/>
      </c>
      <c r="DG7" s="15">
        <f>'Grid_Stock'!CY2</f>
        <v/>
      </c>
      <c r="DH7" s="15">
        <f>'Grid_Stock'!CZ2</f>
        <v/>
      </c>
      <c r="DI7" s="15">
        <f>'Grid_Stock'!DA2</f>
        <v/>
      </c>
    </row>
    <row r="8">
      <c r="A8" s="17" t="inlineStr">
        <is>
          <t>CHEM-1670</t>
        </is>
      </c>
      <c r="B8" s="17">
        <f>IFERROR(INDEX(M_RawMaterials[Description],MATCH($A8,M_RawMaterials[RM_Code],0)),"")</f>
        <v/>
      </c>
      <c r="C8" s="17">
        <f>IFERROR(INDEX(M_RawMaterials[Category],MATCH($A8,M_RawMaterials[RM_Code],0)),"")</f>
        <v/>
      </c>
      <c r="D8" s="17">
        <f>IFERROR(INDEX(M_RawMaterials[SafetyStock_Qty_要入力],MATCH($A8,M_RawMaterials[RM_Code],0)),0)</f>
        <v/>
      </c>
      <c r="E8" s="17">
        <f>IFERROR(LOOKUP(2,1/(T_SelfStock!$A$2:$A$12000=$A8),T_SelfStock!$D$2:$D$12000),"")</f>
        <v/>
      </c>
      <c r="F8" s="17">
        <f>IFERROR(LOOKUP(2,1/(T_TTAFStock!$A$2:$A$12000=$A8),T_TTAFStock!$D$2:$D$12000),"")</f>
        <v/>
      </c>
      <c r="G8" s="17">
        <f>IFERROR(INDEX(Cal_Weeks[Label],LOOKUP(2,1/(T_SelfStock!$A$2:$A$12000=$A8),T_SelfStock!$B$2:$B$12000)),"")</f>
        <v/>
      </c>
      <c r="H8" s="17">
        <f>IF(MIN(J8:DI8)&lt;D8,"要発注","OK")</f>
        <v/>
      </c>
      <c r="I8" s="16">
        <f>IFERROR(INDEX(J8:DI8,$F$1),"")</f>
        <v/>
      </c>
      <c r="J8" s="17">
        <f>'Grid_Stock'!B3</f>
        <v/>
      </c>
      <c r="K8" s="17">
        <f>'Grid_Stock'!C3</f>
        <v/>
      </c>
      <c r="L8" s="17">
        <f>'Grid_Stock'!D3</f>
        <v/>
      </c>
      <c r="M8" s="17">
        <f>'Grid_Stock'!E3</f>
        <v/>
      </c>
      <c r="N8" s="17">
        <f>'Grid_Stock'!F3</f>
        <v/>
      </c>
      <c r="O8" s="17">
        <f>'Grid_Stock'!G3</f>
        <v/>
      </c>
      <c r="P8" s="17">
        <f>'Grid_Stock'!H3</f>
        <v/>
      </c>
      <c r="Q8" s="17">
        <f>'Grid_Stock'!I3</f>
        <v/>
      </c>
      <c r="R8" s="17">
        <f>'Grid_Stock'!J3</f>
        <v/>
      </c>
      <c r="S8" s="17">
        <f>'Grid_Stock'!K3</f>
        <v/>
      </c>
      <c r="T8" s="17">
        <f>'Grid_Stock'!L3</f>
        <v/>
      </c>
      <c r="U8" s="17">
        <f>'Grid_Stock'!M3</f>
        <v/>
      </c>
      <c r="V8" s="17">
        <f>'Grid_Stock'!N3</f>
        <v/>
      </c>
      <c r="W8" s="17">
        <f>'Grid_Stock'!O3</f>
        <v/>
      </c>
      <c r="X8" s="17">
        <f>'Grid_Stock'!P3</f>
        <v/>
      </c>
      <c r="Y8" s="17">
        <f>'Grid_Stock'!Q3</f>
        <v/>
      </c>
      <c r="Z8" s="17">
        <f>'Grid_Stock'!R3</f>
        <v/>
      </c>
      <c r="AA8" s="17">
        <f>'Grid_Stock'!S3</f>
        <v/>
      </c>
      <c r="AB8" s="17">
        <f>'Grid_Stock'!T3</f>
        <v/>
      </c>
      <c r="AC8" s="17">
        <f>'Grid_Stock'!U3</f>
        <v/>
      </c>
      <c r="AD8" s="17">
        <f>'Grid_Stock'!V3</f>
        <v/>
      </c>
      <c r="AE8" s="17">
        <f>'Grid_Stock'!W3</f>
        <v/>
      </c>
      <c r="AF8" s="17">
        <f>'Grid_Stock'!X3</f>
        <v/>
      </c>
      <c r="AG8" s="17">
        <f>'Grid_Stock'!Y3</f>
        <v/>
      </c>
      <c r="AH8" s="17">
        <f>'Grid_Stock'!Z3</f>
        <v/>
      </c>
      <c r="AI8" s="17">
        <f>'Grid_Stock'!AA3</f>
        <v/>
      </c>
      <c r="AJ8" s="17">
        <f>'Grid_Stock'!AB3</f>
        <v/>
      </c>
      <c r="AK8" s="17">
        <f>'Grid_Stock'!AC3</f>
        <v/>
      </c>
      <c r="AL8" s="17">
        <f>'Grid_Stock'!AD3</f>
        <v/>
      </c>
      <c r="AM8" s="17">
        <f>'Grid_Stock'!AE3</f>
        <v/>
      </c>
      <c r="AN8" s="17">
        <f>'Grid_Stock'!AF3</f>
        <v/>
      </c>
      <c r="AO8" s="17">
        <f>'Grid_Stock'!AG3</f>
        <v/>
      </c>
      <c r="AP8" s="17">
        <f>'Grid_Stock'!AH3</f>
        <v/>
      </c>
      <c r="AQ8" s="17">
        <f>'Grid_Stock'!AI3</f>
        <v/>
      </c>
      <c r="AR8" s="17">
        <f>'Grid_Stock'!AJ3</f>
        <v/>
      </c>
      <c r="AS8" s="17">
        <f>'Grid_Stock'!AK3</f>
        <v/>
      </c>
      <c r="AT8" s="17">
        <f>'Grid_Stock'!AL3</f>
        <v/>
      </c>
      <c r="AU8" s="17">
        <f>'Grid_Stock'!AM3</f>
        <v/>
      </c>
      <c r="AV8" s="17">
        <f>'Grid_Stock'!AN3</f>
        <v/>
      </c>
      <c r="AW8" s="17">
        <f>'Grid_Stock'!AO3</f>
        <v/>
      </c>
      <c r="AX8" s="17">
        <f>'Grid_Stock'!AP3</f>
        <v/>
      </c>
      <c r="AY8" s="17">
        <f>'Grid_Stock'!AQ3</f>
        <v/>
      </c>
      <c r="AZ8" s="17">
        <f>'Grid_Stock'!AR3</f>
        <v/>
      </c>
      <c r="BA8" s="17">
        <f>'Grid_Stock'!AS3</f>
        <v/>
      </c>
      <c r="BB8" s="17">
        <f>'Grid_Stock'!AT3</f>
        <v/>
      </c>
      <c r="BC8" s="17">
        <f>'Grid_Stock'!AU3</f>
        <v/>
      </c>
      <c r="BD8" s="17">
        <f>'Grid_Stock'!AV3</f>
        <v/>
      </c>
      <c r="BE8" s="17">
        <f>'Grid_Stock'!AW3</f>
        <v/>
      </c>
      <c r="BF8" s="17">
        <f>'Grid_Stock'!AX3</f>
        <v/>
      </c>
      <c r="BG8" s="17">
        <f>'Grid_Stock'!AY3</f>
        <v/>
      </c>
      <c r="BH8" s="17">
        <f>'Grid_Stock'!AZ3</f>
        <v/>
      </c>
      <c r="BI8" s="17">
        <f>'Grid_Stock'!BA3</f>
        <v/>
      </c>
      <c r="BJ8" s="17">
        <f>'Grid_Stock'!BB3</f>
        <v/>
      </c>
      <c r="BK8" s="17">
        <f>'Grid_Stock'!BC3</f>
        <v/>
      </c>
      <c r="BL8" s="17">
        <f>'Grid_Stock'!BD3</f>
        <v/>
      </c>
      <c r="BM8" s="17">
        <f>'Grid_Stock'!BE3</f>
        <v/>
      </c>
      <c r="BN8" s="17">
        <f>'Grid_Stock'!BF3</f>
        <v/>
      </c>
      <c r="BO8" s="17">
        <f>'Grid_Stock'!BG3</f>
        <v/>
      </c>
      <c r="BP8" s="17">
        <f>'Grid_Stock'!BH3</f>
        <v/>
      </c>
      <c r="BQ8" s="17">
        <f>'Grid_Stock'!BI3</f>
        <v/>
      </c>
      <c r="BR8" s="17">
        <f>'Grid_Stock'!BJ3</f>
        <v/>
      </c>
      <c r="BS8" s="17">
        <f>'Grid_Stock'!BK3</f>
        <v/>
      </c>
      <c r="BT8" s="17">
        <f>'Grid_Stock'!BL3</f>
        <v/>
      </c>
      <c r="BU8" s="17">
        <f>'Grid_Stock'!BM3</f>
        <v/>
      </c>
      <c r="BV8" s="17">
        <f>'Grid_Stock'!BN3</f>
        <v/>
      </c>
      <c r="BW8" s="17">
        <f>'Grid_Stock'!BO3</f>
        <v/>
      </c>
      <c r="BX8" s="17">
        <f>'Grid_Stock'!BP3</f>
        <v/>
      </c>
      <c r="BY8" s="17">
        <f>'Grid_Stock'!BQ3</f>
        <v/>
      </c>
      <c r="BZ8" s="17">
        <f>'Grid_Stock'!BR3</f>
        <v/>
      </c>
      <c r="CA8" s="17">
        <f>'Grid_Stock'!BS3</f>
        <v/>
      </c>
      <c r="CB8" s="17">
        <f>'Grid_Stock'!BT3</f>
        <v/>
      </c>
      <c r="CC8" s="17">
        <f>'Grid_Stock'!BU3</f>
        <v/>
      </c>
      <c r="CD8" s="17">
        <f>'Grid_Stock'!BV3</f>
        <v/>
      </c>
      <c r="CE8" s="17">
        <f>'Grid_Stock'!BW3</f>
        <v/>
      </c>
      <c r="CF8" s="17">
        <f>'Grid_Stock'!BX3</f>
        <v/>
      </c>
      <c r="CG8" s="17">
        <f>'Grid_Stock'!BY3</f>
        <v/>
      </c>
      <c r="CH8" s="17">
        <f>'Grid_Stock'!BZ3</f>
        <v/>
      </c>
      <c r="CI8" s="17">
        <f>'Grid_Stock'!CA3</f>
        <v/>
      </c>
      <c r="CJ8" s="17">
        <f>'Grid_Stock'!CB3</f>
        <v/>
      </c>
      <c r="CK8" s="17">
        <f>'Grid_Stock'!CC3</f>
        <v/>
      </c>
      <c r="CL8" s="17">
        <f>'Grid_Stock'!CD3</f>
        <v/>
      </c>
      <c r="CM8" s="17">
        <f>'Grid_Stock'!CE3</f>
        <v/>
      </c>
      <c r="CN8" s="17">
        <f>'Grid_Stock'!CF3</f>
        <v/>
      </c>
      <c r="CO8" s="17">
        <f>'Grid_Stock'!CG3</f>
        <v/>
      </c>
      <c r="CP8" s="17">
        <f>'Grid_Stock'!CH3</f>
        <v/>
      </c>
      <c r="CQ8" s="17">
        <f>'Grid_Stock'!CI3</f>
        <v/>
      </c>
      <c r="CR8" s="17">
        <f>'Grid_Stock'!CJ3</f>
        <v/>
      </c>
      <c r="CS8" s="17">
        <f>'Grid_Stock'!CK3</f>
        <v/>
      </c>
      <c r="CT8" s="17">
        <f>'Grid_Stock'!CL3</f>
        <v/>
      </c>
      <c r="CU8" s="17">
        <f>'Grid_Stock'!CM3</f>
        <v/>
      </c>
      <c r="CV8" s="17">
        <f>'Grid_Stock'!CN3</f>
        <v/>
      </c>
      <c r="CW8" s="17">
        <f>'Grid_Stock'!CO3</f>
        <v/>
      </c>
      <c r="CX8" s="17">
        <f>'Grid_Stock'!CP3</f>
        <v/>
      </c>
      <c r="CY8" s="17">
        <f>'Grid_Stock'!CQ3</f>
        <v/>
      </c>
      <c r="CZ8" s="17">
        <f>'Grid_Stock'!CR3</f>
        <v/>
      </c>
      <c r="DA8" s="17">
        <f>'Grid_Stock'!CS3</f>
        <v/>
      </c>
      <c r="DB8" s="17">
        <f>'Grid_Stock'!CT3</f>
        <v/>
      </c>
      <c r="DC8" s="17">
        <f>'Grid_Stock'!CU3</f>
        <v/>
      </c>
      <c r="DD8" s="17">
        <f>'Grid_Stock'!CV3</f>
        <v/>
      </c>
      <c r="DE8" s="17">
        <f>'Grid_Stock'!CW3</f>
        <v/>
      </c>
      <c r="DF8" s="17">
        <f>'Grid_Stock'!CX3</f>
        <v/>
      </c>
      <c r="DG8" s="17">
        <f>'Grid_Stock'!CY3</f>
        <v/>
      </c>
      <c r="DH8" s="17">
        <f>'Grid_Stock'!CZ3</f>
        <v/>
      </c>
      <c r="DI8" s="17">
        <f>'Grid_Stock'!DA3</f>
        <v/>
      </c>
    </row>
    <row r="9">
      <c r="A9" s="15" t="inlineStr">
        <is>
          <t>CHEM-1700</t>
        </is>
      </c>
      <c r="B9" s="15">
        <f>IFERROR(INDEX(M_RawMaterials[Description],MATCH($A9,M_RawMaterials[RM_Code],0)),"")</f>
        <v/>
      </c>
      <c r="C9" s="15">
        <f>IFERROR(INDEX(M_RawMaterials[Category],MATCH($A9,M_RawMaterials[RM_Code],0)),"")</f>
        <v/>
      </c>
      <c r="D9" s="15">
        <f>IFERROR(INDEX(M_RawMaterials[SafetyStock_Qty_要入力],MATCH($A9,M_RawMaterials[RM_Code],0)),0)</f>
        <v/>
      </c>
      <c r="E9" s="15">
        <f>IFERROR(LOOKUP(2,1/(T_SelfStock!$A$2:$A$12000=$A9),T_SelfStock!$D$2:$D$12000),"")</f>
        <v/>
      </c>
      <c r="F9" s="15">
        <f>IFERROR(LOOKUP(2,1/(T_TTAFStock!$A$2:$A$12000=$A9),T_TTAFStock!$D$2:$D$12000),"")</f>
        <v/>
      </c>
      <c r="G9" s="15">
        <f>IFERROR(INDEX(Cal_Weeks[Label],LOOKUP(2,1/(T_SelfStock!$A$2:$A$12000=$A9),T_SelfStock!$B$2:$B$12000)),"")</f>
        <v/>
      </c>
      <c r="H9" s="15">
        <f>IF(MIN(J9:DI9)&lt;D9,"要発注","OK")</f>
        <v/>
      </c>
      <c r="I9" s="16">
        <f>IFERROR(INDEX(J9:DI9,$F$1),"")</f>
        <v/>
      </c>
      <c r="J9" s="15">
        <f>'Grid_Stock'!B4</f>
        <v/>
      </c>
      <c r="K9" s="15">
        <f>'Grid_Stock'!C4</f>
        <v/>
      </c>
      <c r="L9" s="15">
        <f>'Grid_Stock'!D4</f>
        <v/>
      </c>
      <c r="M9" s="15">
        <f>'Grid_Stock'!E4</f>
        <v/>
      </c>
      <c r="N9" s="15">
        <f>'Grid_Stock'!F4</f>
        <v/>
      </c>
      <c r="O9" s="15">
        <f>'Grid_Stock'!G4</f>
        <v/>
      </c>
      <c r="P9" s="15">
        <f>'Grid_Stock'!H4</f>
        <v/>
      </c>
      <c r="Q9" s="15">
        <f>'Grid_Stock'!I4</f>
        <v/>
      </c>
      <c r="R9" s="15">
        <f>'Grid_Stock'!J4</f>
        <v/>
      </c>
      <c r="S9" s="15">
        <f>'Grid_Stock'!K4</f>
        <v/>
      </c>
      <c r="T9" s="15">
        <f>'Grid_Stock'!L4</f>
        <v/>
      </c>
      <c r="U9" s="15">
        <f>'Grid_Stock'!M4</f>
        <v/>
      </c>
      <c r="V9" s="15">
        <f>'Grid_Stock'!N4</f>
        <v/>
      </c>
      <c r="W9" s="15">
        <f>'Grid_Stock'!O4</f>
        <v/>
      </c>
      <c r="X9" s="15">
        <f>'Grid_Stock'!P4</f>
        <v/>
      </c>
      <c r="Y9" s="15">
        <f>'Grid_Stock'!Q4</f>
        <v/>
      </c>
      <c r="Z9" s="15">
        <f>'Grid_Stock'!R4</f>
        <v/>
      </c>
      <c r="AA9" s="15">
        <f>'Grid_Stock'!S4</f>
        <v/>
      </c>
      <c r="AB9" s="15">
        <f>'Grid_Stock'!T4</f>
        <v/>
      </c>
      <c r="AC9" s="15">
        <f>'Grid_Stock'!U4</f>
        <v/>
      </c>
      <c r="AD9" s="15">
        <f>'Grid_Stock'!V4</f>
        <v/>
      </c>
      <c r="AE9" s="15">
        <f>'Grid_Stock'!W4</f>
        <v/>
      </c>
      <c r="AF9" s="15">
        <f>'Grid_Stock'!X4</f>
        <v/>
      </c>
      <c r="AG9" s="15">
        <f>'Grid_Stock'!Y4</f>
        <v/>
      </c>
      <c r="AH9" s="15">
        <f>'Grid_Stock'!Z4</f>
        <v/>
      </c>
      <c r="AI9" s="15">
        <f>'Grid_Stock'!AA4</f>
        <v/>
      </c>
      <c r="AJ9" s="15">
        <f>'Grid_Stock'!AB4</f>
        <v/>
      </c>
      <c r="AK9" s="15">
        <f>'Grid_Stock'!AC4</f>
        <v/>
      </c>
      <c r="AL9" s="15">
        <f>'Grid_Stock'!AD4</f>
        <v/>
      </c>
      <c r="AM9" s="15">
        <f>'Grid_Stock'!AE4</f>
        <v/>
      </c>
      <c r="AN9" s="15">
        <f>'Grid_Stock'!AF4</f>
        <v/>
      </c>
      <c r="AO9" s="15">
        <f>'Grid_Stock'!AG4</f>
        <v/>
      </c>
      <c r="AP9" s="15">
        <f>'Grid_Stock'!AH4</f>
        <v/>
      </c>
      <c r="AQ9" s="15">
        <f>'Grid_Stock'!AI4</f>
        <v/>
      </c>
      <c r="AR9" s="15">
        <f>'Grid_Stock'!AJ4</f>
        <v/>
      </c>
      <c r="AS9" s="15">
        <f>'Grid_Stock'!AK4</f>
        <v/>
      </c>
      <c r="AT9" s="15">
        <f>'Grid_Stock'!AL4</f>
        <v/>
      </c>
      <c r="AU9" s="15">
        <f>'Grid_Stock'!AM4</f>
        <v/>
      </c>
      <c r="AV9" s="15">
        <f>'Grid_Stock'!AN4</f>
        <v/>
      </c>
      <c r="AW9" s="15">
        <f>'Grid_Stock'!AO4</f>
        <v/>
      </c>
      <c r="AX9" s="15">
        <f>'Grid_Stock'!AP4</f>
        <v/>
      </c>
      <c r="AY9" s="15">
        <f>'Grid_Stock'!AQ4</f>
        <v/>
      </c>
      <c r="AZ9" s="15">
        <f>'Grid_Stock'!AR4</f>
        <v/>
      </c>
      <c r="BA9" s="15">
        <f>'Grid_Stock'!AS4</f>
        <v/>
      </c>
      <c r="BB9" s="15">
        <f>'Grid_Stock'!AT4</f>
        <v/>
      </c>
      <c r="BC9" s="15">
        <f>'Grid_Stock'!AU4</f>
        <v/>
      </c>
      <c r="BD9" s="15">
        <f>'Grid_Stock'!AV4</f>
        <v/>
      </c>
      <c r="BE9" s="15">
        <f>'Grid_Stock'!AW4</f>
        <v/>
      </c>
      <c r="BF9" s="15">
        <f>'Grid_Stock'!AX4</f>
        <v/>
      </c>
      <c r="BG9" s="15">
        <f>'Grid_Stock'!AY4</f>
        <v/>
      </c>
      <c r="BH9" s="15">
        <f>'Grid_Stock'!AZ4</f>
        <v/>
      </c>
      <c r="BI9" s="15">
        <f>'Grid_Stock'!BA4</f>
        <v/>
      </c>
      <c r="BJ9" s="15">
        <f>'Grid_Stock'!BB4</f>
        <v/>
      </c>
      <c r="BK9" s="15">
        <f>'Grid_Stock'!BC4</f>
        <v/>
      </c>
      <c r="BL9" s="15">
        <f>'Grid_Stock'!BD4</f>
        <v/>
      </c>
      <c r="BM9" s="15">
        <f>'Grid_Stock'!BE4</f>
        <v/>
      </c>
      <c r="BN9" s="15">
        <f>'Grid_Stock'!BF4</f>
        <v/>
      </c>
      <c r="BO9" s="15">
        <f>'Grid_Stock'!BG4</f>
        <v/>
      </c>
      <c r="BP9" s="15">
        <f>'Grid_Stock'!BH4</f>
        <v/>
      </c>
      <c r="BQ9" s="15">
        <f>'Grid_Stock'!BI4</f>
        <v/>
      </c>
      <c r="BR9" s="15">
        <f>'Grid_Stock'!BJ4</f>
        <v/>
      </c>
      <c r="BS9" s="15">
        <f>'Grid_Stock'!BK4</f>
        <v/>
      </c>
      <c r="BT9" s="15">
        <f>'Grid_Stock'!BL4</f>
        <v/>
      </c>
      <c r="BU9" s="15">
        <f>'Grid_Stock'!BM4</f>
        <v/>
      </c>
      <c r="BV9" s="15">
        <f>'Grid_Stock'!BN4</f>
        <v/>
      </c>
      <c r="BW9" s="15">
        <f>'Grid_Stock'!BO4</f>
        <v/>
      </c>
      <c r="BX9" s="15">
        <f>'Grid_Stock'!BP4</f>
        <v/>
      </c>
      <c r="BY9" s="15">
        <f>'Grid_Stock'!BQ4</f>
        <v/>
      </c>
      <c r="BZ9" s="15">
        <f>'Grid_Stock'!BR4</f>
        <v/>
      </c>
      <c r="CA9" s="15">
        <f>'Grid_Stock'!BS4</f>
        <v/>
      </c>
      <c r="CB9" s="15">
        <f>'Grid_Stock'!BT4</f>
        <v/>
      </c>
      <c r="CC9" s="15">
        <f>'Grid_Stock'!BU4</f>
        <v/>
      </c>
      <c r="CD9" s="15">
        <f>'Grid_Stock'!BV4</f>
        <v/>
      </c>
      <c r="CE9" s="15">
        <f>'Grid_Stock'!BW4</f>
        <v/>
      </c>
      <c r="CF9" s="15">
        <f>'Grid_Stock'!BX4</f>
        <v/>
      </c>
      <c r="CG9" s="15">
        <f>'Grid_Stock'!BY4</f>
        <v/>
      </c>
      <c r="CH9" s="15">
        <f>'Grid_Stock'!BZ4</f>
        <v/>
      </c>
      <c r="CI9" s="15">
        <f>'Grid_Stock'!CA4</f>
        <v/>
      </c>
      <c r="CJ9" s="15">
        <f>'Grid_Stock'!CB4</f>
        <v/>
      </c>
      <c r="CK9" s="15">
        <f>'Grid_Stock'!CC4</f>
        <v/>
      </c>
      <c r="CL9" s="15">
        <f>'Grid_Stock'!CD4</f>
        <v/>
      </c>
      <c r="CM9" s="15">
        <f>'Grid_Stock'!CE4</f>
        <v/>
      </c>
      <c r="CN9" s="15">
        <f>'Grid_Stock'!CF4</f>
        <v/>
      </c>
      <c r="CO9" s="15">
        <f>'Grid_Stock'!CG4</f>
        <v/>
      </c>
      <c r="CP9" s="15">
        <f>'Grid_Stock'!CH4</f>
        <v/>
      </c>
      <c r="CQ9" s="15">
        <f>'Grid_Stock'!CI4</f>
        <v/>
      </c>
      <c r="CR9" s="15">
        <f>'Grid_Stock'!CJ4</f>
        <v/>
      </c>
      <c r="CS9" s="15">
        <f>'Grid_Stock'!CK4</f>
        <v/>
      </c>
      <c r="CT9" s="15">
        <f>'Grid_Stock'!CL4</f>
        <v/>
      </c>
      <c r="CU9" s="15">
        <f>'Grid_Stock'!CM4</f>
        <v/>
      </c>
      <c r="CV9" s="15">
        <f>'Grid_Stock'!CN4</f>
        <v/>
      </c>
      <c r="CW9" s="15">
        <f>'Grid_Stock'!CO4</f>
        <v/>
      </c>
      <c r="CX9" s="15">
        <f>'Grid_Stock'!CP4</f>
        <v/>
      </c>
      <c r="CY9" s="15">
        <f>'Grid_Stock'!CQ4</f>
        <v/>
      </c>
      <c r="CZ9" s="15">
        <f>'Grid_Stock'!CR4</f>
        <v/>
      </c>
      <c r="DA9" s="15">
        <f>'Grid_Stock'!CS4</f>
        <v/>
      </c>
      <c r="DB9" s="15">
        <f>'Grid_Stock'!CT4</f>
        <v/>
      </c>
      <c r="DC9" s="15">
        <f>'Grid_Stock'!CU4</f>
        <v/>
      </c>
      <c r="DD9" s="15">
        <f>'Grid_Stock'!CV4</f>
        <v/>
      </c>
      <c r="DE9" s="15">
        <f>'Grid_Stock'!CW4</f>
        <v/>
      </c>
      <c r="DF9" s="15">
        <f>'Grid_Stock'!CX4</f>
        <v/>
      </c>
      <c r="DG9" s="15">
        <f>'Grid_Stock'!CY4</f>
        <v/>
      </c>
      <c r="DH9" s="15">
        <f>'Grid_Stock'!CZ4</f>
        <v/>
      </c>
      <c r="DI9" s="15">
        <f>'Grid_Stock'!DA4</f>
        <v/>
      </c>
    </row>
    <row r="10">
      <c r="A10" s="17" t="inlineStr">
        <is>
          <t>CHEM-1420</t>
        </is>
      </c>
      <c r="B10" s="17">
        <f>IFERROR(INDEX(M_RawMaterials[Description],MATCH($A10,M_RawMaterials[RM_Code],0)),"")</f>
        <v/>
      </c>
      <c r="C10" s="17">
        <f>IFERROR(INDEX(M_RawMaterials[Category],MATCH($A10,M_RawMaterials[RM_Code],0)),"")</f>
        <v/>
      </c>
      <c r="D10" s="17">
        <f>IFERROR(INDEX(M_RawMaterials[SafetyStock_Qty_要入力],MATCH($A10,M_RawMaterials[RM_Code],0)),0)</f>
        <v/>
      </c>
      <c r="E10" s="17">
        <f>IFERROR(LOOKUP(2,1/(T_SelfStock!$A$2:$A$12000=$A10),T_SelfStock!$D$2:$D$12000),"")</f>
        <v/>
      </c>
      <c r="F10" s="17">
        <f>IFERROR(LOOKUP(2,1/(T_TTAFStock!$A$2:$A$12000=$A10),T_TTAFStock!$D$2:$D$12000),"")</f>
        <v/>
      </c>
      <c r="G10" s="17">
        <f>IFERROR(INDEX(Cal_Weeks[Label],LOOKUP(2,1/(T_SelfStock!$A$2:$A$12000=$A10),T_SelfStock!$B$2:$B$12000)),"")</f>
        <v/>
      </c>
      <c r="H10" s="17">
        <f>IF(MIN(J10:DI10)&lt;D10,"要発注","OK")</f>
        <v/>
      </c>
      <c r="I10" s="16">
        <f>IFERROR(INDEX(J10:DI10,$F$1),"")</f>
        <v/>
      </c>
      <c r="J10" s="17">
        <f>'Grid_Stock'!B5</f>
        <v/>
      </c>
      <c r="K10" s="17">
        <f>'Grid_Stock'!C5</f>
        <v/>
      </c>
      <c r="L10" s="17">
        <f>'Grid_Stock'!D5</f>
        <v/>
      </c>
      <c r="M10" s="17">
        <f>'Grid_Stock'!E5</f>
        <v/>
      </c>
      <c r="N10" s="17">
        <f>'Grid_Stock'!F5</f>
        <v/>
      </c>
      <c r="O10" s="17">
        <f>'Grid_Stock'!G5</f>
        <v/>
      </c>
      <c r="P10" s="17">
        <f>'Grid_Stock'!H5</f>
        <v/>
      </c>
      <c r="Q10" s="17">
        <f>'Grid_Stock'!I5</f>
        <v/>
      </c>
      <c r="R10" s="17">
        <f>'Grid_Stock'!J5</f>
        <v/>
      </c>
      <c r="S10" s="17">
        <f>'Grid_Stock'!K5</f>
        <v/>
      </c>
      <c r="T10" s="17">
        <f>'Grid_Stock'!L5</f>
        <v/>
      </c>
      <c r="U10" s="17">
        <f>'Grid_Stock'!M5</f>
        <v/>
      </c>
      <c r="V10" s="17">
        <f>'Grid_Stock'!N5</f>
        <v/>
      </c>
      <c r="W10" s="17">
        <f>'Grid_Stock'!O5</f>
        <v/>
      </c>
      <c r="X10" s="17">
        <f>'Grid_Stock'!P5</f>
        <v/>
      </c>
      <c r="Y10" s="17">
        <f>'Grid_Stock'!Q5</f>
        <v/>
      </c>
      <c r="Z10" s="17">
        <f>'Grid_Stock'!R5</f>
        <v/>
      </c>
      <c r="AA10" s="17">
        <f>'Grid_Stock'!S5</f>
        <v/>
      </c>
      <c r="AB10" s="17">
        <f>'Grid_Stock'!T5</f>
        <v/>
      </c>
      <c r="AC10" s="17">
        <f>'Grid_Stock'!U5</f>
        <v/>
      </c>
      <c r="AD10" s="17">
        <f>'Grid_Stock'!V5</f>
        <v/>
      </c>
      <c r="AE10" s="17">
        <f>'Grid_Stock'!W5</f>
        <v/>
      </c>
      <c r="AF10" s="17">
        <f>'Grid_Stock'!X5</f>
        <v/>
      </c>
      <c r="AG10" s="17">
        <f>'Grid_Stock'!Y5</f>
        <v/>
      </c>
      <c r="AH10" s="17">
        <f>'Grid_Stock'!Z5</f>
        <v/>
      </c>
      <c r="AI10" s="17">
        <f>'Grid_Stock'!AA5</f>
        <v/>
      </c>
      <c r="AJ10" s="17">
        <f>'Grid_Stock'!AB5</f>
        <v/>
      </c>
      <c r="AK10" s="17">
        <f>'Grid_Stock'!AC5</f>
        <v/>
      </c>
      <c r="AL10" s="17">
        <f>'Grid_Stock'!AD5</f>
        <v/>
      </c>
      <c r="AM10" s="17">
        <f>'Grid_Stock'!AE5</f>
        <v/>
      </c>
      <c r="AN10" s="17">
        <f>'Grid_Stock'!AF5</f>
        <v/>
      </c>
      <c r="AO10" s="17">
        <f>'Grid_Stock'!AG5</f>
        <v/>
      </c>
      <c r="AP10" s="17">
        <f>'Grid_Stock'!AH5</f>
        <v/>
      </c>
      <c r="AQ10" s="17">
        <f>'Grid_Stock'!AI5</f>
        <v/>
      </c>
      <c r="AR10" s="17">
        <f>'Grid_Stock'!AJ5</f>
        <v/>
      </c>
      <c r="AS10" s="17">
        <f>'Grid_Stock'!AK5</f>
        <v/>
      </c>
      <c r="AT10" s="17">
        <f>'Grid_Stock'!AL5</f>
        <v/>
      </c>
      <c r="AU10" s="17">
        <f>'Grid_Stock'!AM5</f>
        <v/>
      </c>
      <c r="AV10" s="17">
        <f>'Grid_Stock'!AN5</f>
        <v/>
      </c>
      <c r="AW10" s="17">
        <f>'Grid_Stock'!AO5</f>
        <v/>
      </c>
      <c r="AX10" s="17">
        <f>'Grid_Stock'!AP5</f>
        <v/>
      </c>
      <c r="AY10" s="17">
        <f>'Grid_Stock'!AQ5</f>
        <v/>
      </c>
      <c r="AZ10" s="17">
        <f>'Grid_Stock'!AR5</f>
        <v/>
      </c>
      <c r="BA10" s="17">
        <f>'Grid_Stock'!AS5</f>
        <v/>
      </c>
      <c r="BB10" s="17">
        <f>'Grid_Stock'!AT5</f>
        <v/>
      </c>
      <c r="BC10" s="17">
        <f>'Grid_Stock'!AU5</f>
        <v/>
      </c>
      <c r="BD10" s="17">
        <f>'Grid_Stock'!AV5</f>
        <v/>
      </c>
      <c r="BE10" s="17">
        <f>'Grid_Stock'!AW5</f>
        <v/>
      </c>
      <c r="BF10" s="17">
        <f>'Grid_Stock'!AX5</f>
        <v/>
      </c>
      <c r="BG10" s="17">
        <f>'Grid_Stock'!AY5</f>
        <v/>
      </c>
      <c r="BH10" s="17">
        <f>'Grid_Stock'!AZ5</f>
        <v/>
      </c>
      <c r="BI10" s="17">
        <f>'Grid_Stock'!BA5</f>
        <v/>
      </c>
      <c r="BJ10" s="17">
        <f>'Grid_Stock'!BB5</f>
        <v/>
      </c>
      <c r="BK10" s="17">
        <f>'Grid_Stock'!BC5</f>
        <v/>
      </c>
      <c r="BL10" s="17">
        <f>'Grid_Stock'!BD5</f>
        <v/>
      </c>
      <c r="BM10" s="17">
        <f>'Grid_Stock'!BE5</f>
        <v/>
      </c>
      <c r="BN10" s="17">
        <f>'Grid_Stock'!BF5</f>
        <v/>
      </c>
      <c r="BO10" s="17">
        <f>'Grid_Stock'!BG5</f>
        <v/>
      </c>
      <c r="BP10" s="17">
        <f>'Grid_Stock'!BH5</f>
        <v/>
      </c>
      <c r="BQ10" s="17">
        <f>'Grid_Stock'!BI5</f>
        <v/>
      </c>
      <c r="BR10" s="17">
        <f>'Grid_Stock'!BJ5</f>
        <v/>
      </c>
      <c r="BS10" s="17">
        <f>'Grid_Stock'!BK5</f>
        <v/>
      </c>
      <c r="BT10" s="17">
        <f>'Grid_Stock'!BL5</f>
        <v/>
      </c>
      <c r="BU10" s="17">
        <f>'Grid_Stock'!BM5</f>
        <v/>
      </c>
      <c r="BV10" s="17">
        <f>'Grid_Stock'!BN5</f>
        <v/>
      </c>
      <c r="BW10" s="17">
        <f>'Grid_Stock'!BO5</f>
        <v/>
      </c>
      <c r="BX10" s="17">
        <f>'Grid_Stock'!BP5</f>
        <v/>
      </c>
      <c r="BY10" s="17">
        <f>'Grid_Stock'!BQ5</f>
        <v/>
      </c>
      <c r="BZ10" s="17">
        <f>'Grid_Stock'!BR5</f>
        <v/>
      </c>
      <c r="CA10" s="17">
        <f>'Grid_Stock'!BS5</f>
        <v/>
      </c>
      <c r="CB10" s="17">
        <f>'Grid_Stock'!BT5</f>
        <v/>
      </c>
      <c r="CC10" s="17">
        <f>'Grid_Stock'!BU5</f>
        <v/>
      </c>
      <c r="CD10" s="17">
        <f>'Grid_Stock'!BV5</f>
        <v/>
      </c>
      <c r="CE10" s="17">
        <f>'Grid_Stock'!BW5</f>
        <v/>
      </c>
      <c r="CF10" s="17">
        <f>'Grid_Stock'!BX5</f>
        <v/>
      </c>
      <c r="CG10" s="17">
        <f>'Grid_Stock'!BY5</f>
        <v/>
      </c>
      <c r="CH10" s="17">
        <f>'Grid_Stock'!BZ5</f>
        <v/>
      </c>
      <c r="CI10" s="17">
        <f>'Grid_Stock'!CA5</f>
        <v/>
      </c>
      <c r="CJ10" s="17">
        <f>'Grid_Stock'!CB5</f>
        <v/>
      </c>
      <c r="CK10" s="17">
        <f>'Grid_Stock'!CC5</f>
        <v/>
      </c>
      <c r="CL10" s="17">
        <f>'Grid_Stock'!CD5</f>
        <v/>
      </c>
      <c r="CM10" s="17">
        <f>'Grid_Stock'!CE5</f>
        <v/>
      </c>
      <c r="CN10" s="17">
        <f>'Grid_Stock'!CF5</f>
        <v/>
      </c>
      <c r="CO10" s="17">
        <f>'Grid_Stock'!CG5</f>
        <v/>
      </c>
      <c r="CP10" s="17">
        <f>'Grid_Stock'!CH5</f>
        <v/>
      </c>
      <c r="CQ10" s="17">
        <f>'Grid_Stock'!CI5</f>
        <v/>
      </c>
      <c r="CR10" s="17">
        <f>'Grid_Stock'!CJ5</f>
        <v/>
      </c>
      <c r="CS10" s="17">
        <f>'Grid_Stock'!CK5</f>
        <v/>
      </c>
      <c r="CT10" s="17">
        <f>'Grid_Stock'!CL5</f>
        <v/>
      </c>
      <c r="CU10" s="17">
        <f>'Grid_Stock'!CM5</f>
        <v/>
      </c>
      <c r="CV10" s="17">
        <f>'Grid_Stock'!CN5</f>
        <v/>
      </c>
      <c r="CW10" s="17">
        <f>'Grid_Stock'!CO5</f>
        <v/>
      </c>
      <c r="CX10" s="17">
        <f>'Grid_Stock'!CP5</f>
        <v/>
      </c>
      <c r="CY10" s="17">
        <f>'Grid_Stock'!CQ5</f>
        <v/>
      </c>
      <c r="CZ10" s="17">
        <f>'Grid_Stock'!CR5</f>
        <v/>
      </c>
      <c r="DA10" s="17">
        <f>'Grid_Stock'!CS5</f>
        <v/>
      </c>
      <c r="DB10" s="17">
        <f>'Grid_Stock'!CT5</f>
        <v/>
      </c>
      <c r="DC10" s="17">
        <f>'Grid_Stock'!CU5</f>
        <v/>
      </c>
      <c r="DD10" s="17">
        <f>'Grid_Stock'!CV5</f>
        <v/>
      </c>
      <c r="DE10" s="17">
        <f>'Grid_Stock'!CW5</f>
        <v/>
      </c>
      <c r="DF10" s="17">
        <f>'Grid_Stock'!CX5</f>
        <v/>
      </c>
      <c r="DG10" s="17">
        <f>'Grid_Stock'!CY5</f>
        <v/>
      </c>
      <c r="DH10" s="17">
        <f>'Grid_Stock'!CZ5</f>
        <v/>
      </c>
      <c r="DI10" s="17">
        <f>'Grid_Stock'!DA5</f>
        <v/>
      </c>
    </row>
    <row r="11">
      <c r="A11" s="15" t="inlineStr">
        <is>
          <t>CHEM-1530</t>
        </is>
      </c>
      <c r="B11" s="15">
        <f>IFERROR(INDEX(M_RawMaterials[Description],MATCH($A11,M_RawMaterials[RM_Code],0)),"")</f>
        <v/>
      </c>
      <c r="C11" s="15">
        <f>IFERROR(INDEX(M_RawMaterials[Category],MATCH($A11,M_RawMaterials[RM_Code],0)),"")</f>
        <v/>
      </c>
      <c r="D11" s="15">
        <f>IFERROR(INDEX(M_RawMaterials[SafetyStock_Qty_要入力],MATCH($A11,M_RawMaterials[RM_Code],0)),0)</f>
        <v/>
      </c>
      <c r="E11" s="15">
        <f>IFERROR(LOOKUP(2,1/(T_SelfStock!$A$2:$A$12000=$A11),T_SelfStock!$D$2:$D$12000),"")</f>
        <v/>
      </c>
      <c r="F11" s="15">
        <f>IFERROR(LOOKUP(2,1/(T_TTAFStock!$A$2:$A$12000=$A11),T_TTAFStock!$D$2:$D$12000),"")</f>
        <v/>
      </c>
      <c r="G11" s="15">
        <f>IFERROR(INDEX(Cal_Weeks[Label],LOOKUP(2,1/(T_SelfStock!$A$2:$A$12000=$A11),T_SelfStock!$B$2:$B$12000)),"")</f>
        <v/>
      </c>
      <c r="H11" s="15">
        <f>IF(MIN(J11:DI11)&lt;D11,"要発注","OK")</f>
        <v/>
      </c>
      <c r="I11" s="16">
        <f>IFERROR(INDEX(J11:DI11,$F$1),"")</f>
        <v/>
      </c>
      <c r="J11" s="15">
        <f>'Grid_Stock'!B6</f>
        <v/>
      </c>
      <c r="K11" s="15">
        <f>'Grid_Stock'!C6</f>
        <v/>
      </c>
      <c r="L11" s="15">
        <f>'Grid_Stock'!D6</f>
        <v/>
      </c>
      <c r="M11" s="15">
        <f>'Grid_Stock'!E6</f>
        <v/>
      </c>
      <c r="N11" s="15">
        <f>'Grid_Stock'!F6</f>
        <v/>
      </c>
      <c r="O11" s="15">
        <f>'Grid_Stock'!G6</f>
        <v/>
      </c>
      <c r="P11" s="15">
        <f>'Grid_Stock'!H6</f>
        <v/>
      </c>
      <c r="Q11" s="15">
        <f>'Grid_Stock'!I6</f>
        <v/>
      </c>
      <c r="R11" s="15">
        <f>'Grid_Stock'!J6</f>
        <v/>
      </c>
      <c r="S11" s="15">
        <f>'Grid_Stock'!K6</f>
        <v/>
      </c>
      <c r="T11" s="15">
        <f>'Grid_Stock'!L6</f>
        <v/>
      </c>
      <c r="U11" s="15">
        <f>'Grid_Stock'!M6</f>
        <v/>
      </c>
      <c r="V11" s="15">
        <f>'Grid_Stock'!N6</f>
        <v/>
      </c>
      <c r="W11" s="15">
        <f>'Grid_Stock'!O6</f>
        <v/>
      </c>
      <c r="X11" s="15">
        <f>'Grid_Stock'!P6</f>
        <v/>
      </c>
      <c r="Y11" s="15">
        <f>'Grid_Stock'!Q6</f>
        <v/>
      </c>
      <c r="Z11" s="15">
        <f>'Grid_Stock'!R6</f>
        <v/>
      </c>
      <c r="AA11" s="15">
        <f>'Grid_Stock'!S6</f>
        <v/>
      </c>
      <c r="AB11" s="15">
        <f>'Grid_Stock'!T6</f>
        <v/>
      </c>
      <c r="AC11" s="15">
        <f>'Grid_Stock'!U6</f>
        <v/>
      </c>
      <c r="AD11" s="15">
        <f>'Grid_Stock'!V6</f>
        <v/>
      </c>
      <c r="AE11" s="15">
        <f>'Grid_Stock'!W6</f>
        <v/>
      </c>
      <c r="AF11" s="15">
        <f>'Grid_Stock'!X6</f>
        <v/>
      </c>
      <c r="AG11" s="15">
        <f>'Grid_Stock'!Y6</f>
        <v/>
      </c>
      <c r="AH11" s="15">
        <f>'Grid_Stock'!Z6</f>
        <v/>
      </c>
      <c r="AI11" s="15">
        <f>'Grid_Stock'!AA6</f>
        <v/>
      </c>
      <c r="AJ11" s="15">
        <f>'Grid_Stock'!AB6</f>
        <v/>
      </c>
      <c r="AK11" s="15">
        <f>'Grid_Stock'!AC6</f>
        <v/>
      </c>
      <c r="AL11" s="15">
        <f>'Grid_Stock'!AD6</f>
        <v/>
      </c>
      <c r="AM11" s="15">
        <f>'Grid_Stock'!AE6</f>
        <v/>
      </c>
      <c r="AN11" s="15">
        <f>'Grid_Stock'!AF6</f>
        <v/>
      </c>
      <c r="AO11" s="15">
        <f>'Grid_Stock'!AG6</f>
        <v/>
      </c>
      <c r="AP11" s="15">
        <f>'Grid_Stock'!AH6</f>
        <v/>
      </c>
      <c r="AQ11" s="15">
        <f>'Grid_Stock'!AI6</f>
        <v/>
      </c>
      <c r="AR11" s="15">
        <f>'Grid_Stock'!AJ6</f>
        <v/>
      </c>
      <c r="AS11" s="15">
        <f>'Grid_Stock'!AK6</f>
        <v/>
      </c>
      <c r="AT11" s="15">
        <f>'Grid_Stock'!AL6</f>
        <v/>
      </c>
      <c r="AU11" s="15">
        <f>'Grid_Stock'!AM6</f>
        <v/>
      </c>
      <c r="AV11" s="15">
        <f>'Grid_Stock'!AN6</f>
        <v/>
      </c>
      <c r="AW11" s="15">
        <f>'Grid_Stock'!AO6</f>
        <v/>
      </c>
      <c r="AX11" s="15">
        <f>'Grid_Stock'!AP6</f>
        <v/>
      </c>
      <c r="AY11" s="15">
        <f>'Grid_Stock'!AQ6</f>
        <v/>
      </c>
      <c r="AZ11" s="15">
        <f>'Grid_Stock'!AR6</f>
        <v/>
      </c>
      <c r="BA11" s="15">
        <f>'Grid_Stock'!AS6</f>
        <v/>
      </c>
      <c r="BB11" s="15">
        <f>'Grid_Stock'!AT6</f>
        <v/>
      </c>
      <c r="BC11" s="15">
        <f>'Grid_Stock'!AU6</f>
        <v/>
      </c>
      <c r="BD11" s="15">
        <f>'Grid_Stock'!AV6</f>
        <v/>
      </c>
      <c r="BE11" s="15">
        <f>'Grid_Stock'!AW6</f>
        <v/>
      </c>
      <c r="BF11" s="15">
        <f>'Grid_Stock'!AX6</f>
        <v/>
      </c>
      <c r="BG11" s="15">
        <f>'Grid_Stock'!AY6</f>
        <v/>
      </c>
      <c r="BH11" s="15">
        <f>'Grid_Stock'!AZ6</f>
        <v/>
      </c>
      <c r="BI11" s="15">
        <f>'Grid_Stock'!BA6</f>
        <v/>
      </c>
      <c r="BJ11" s="15">
        <f>'Grid_Stock'!BB6</f>
        <v/>
      </c>
      <c r="BK11" s="15">
        <f>'Grid_Stock'!BC6</f>
        <v/>
      </c>
      <c r="BL11" s="15">
        <f>'Grid_Stock'!BD6</f>
        <v/>
      </c>
      <c r="BM11" s="15">
        <f>'Grid_Stock'!BE6</f>
        <v/>
      </c>
      <c r="BN11" s="15">
        <f>'Grid_Stock'!BF6</f>
        <v/>
      </c>
      <c r="BO11" s="15">
        <f>'Grid_Stock'!BG6</f>
        <v/>
      </c>
      <c r="BP11" s="15">
        <f>'Grid_Stock'!BH6</f>
        <v/>
      </c>
      <c r="BQ11" s="15">
        <f>'Grid_Stock'!BI6</f>
        <v/>
      </c>
      <c r="BR11" s="15">
        <f>'Grid_Stock'!BJ6</f>
        <v/>
      </c>
      <c r="BS11" s="15">
        <f>'Grid_Stock'!BK6</f>
        <v/>
      </c>
      <c r="BT11" s="15">
        <f>'Grid_Stock'!BL6</f>
        <v/>
      </c>
      <c r="BU11" s="15">
        <f>'Grid_Stock'!BM6</f>
        <v/>
      </c>
      <c r="BV11" s="15">
        <f>'Grid_Stock'!BN6</f>
        <v/>
      </c>
      <c r="BW11" s="15">
        <f>'Grid_Stock'!BO6</f>
        <v/>
      </c>
      <c r="BX11" s="15">
        <f>'Grid_Stock'!BP6</f>
        <v/>
      </c>
      <c r="BY11" s="15">
        <f>'Grid_Stock'!BQ6</f>
        <v/>
      </c>
      <c r="BZ11" s="15">
        <f>'Grid_Stock'!BR6</f>
        <v/>
      </c>
      <c r="CA11" s="15">
        <f>'Grid_Stock'!BS6</f>
        <v/>
      </c>
      <c r="CB11" s="15">
        <f>'Grid_Stock'!BT6</f>
        <v/>
      </c>
      <c r="CC11" s="15">
        <f>'Grid_Stock'!BU6</f>
        <v/>
      </c>
      <c r="CD11" s="15">
        <f>'Grid_Stock'!BV6</f>
        <v/>
      </c>
      <c r="CE11" s="15">
        <f>'Grid_Stock'!BW6</f>
        <v/>
      </c>
      <c r="CF11" s="15">
        <f>'Grid_Stock'!BX6</f>
        <v/>
      </c>
      <c r="CG11" s="15">
        <f>'Grid_Stock'!BY6</f>
        <v/>
      </c>
      <c r="CH11" s="15">
        <f>'Grid_Stock'!BZ6</f>
        <v/>
      </c>
      <c r="CI11" s="15">
        <f>'Grid_Stock'!CA6</f>
        <v/>
      </c>
      <c r="CJ11" s="15">
        <f>'Grid_Stock'!CB6</f>
        <v/>
      </c>
      <c r="CK11" s="15">
        <f>'Grid_Stock'!CC6</f>
        <v/>
      </c>
      <c r="CL11" s="15">
        <f>'Grid_Stock'!CD6</f>
        <v/>
      </c>
      <c r="CM11" s="15">
        <f>'Grid_Stock'!CE6</f>
        <v/>
      </c>
      <c r="CN11" s="15">
        <f>'Grid_Stock'!CF6</f>
        <v/>
      </c>
      <c r="CO11" s="15">
        <f>'Grid_Stock'!CG6</f>
        <v/>
      </c>
      <c r="CP11" s="15">
        <f>'Grid_Stock'!CH6</f>
        <v/>
      </c>
      <c r="CQ11" s="15">
        <f>'Grid_Stock'!CI6</f>
        <v/>
      </c>
      <c r="CR11" s="15">
        <f>'Grid_Stock'!CJ6</f>
        <v/>
      </c>
      <c r="CS11" s="15">
        <f>'Grid_Stock'!CK6</f>
        <v/>
      </c>
      <c r="CT11" s="15">
        <f>'Grid_Stock'!CL6</f>
        <v/>
      </c>
      <c r="CU11" s="15">
        <f>'Grid_Stock'!CM6</f>
        <v/>
      </c>
      <c r="CV11" s="15">
        <f>'Grid_Stock'!CN6</f>
        <v/>
      </c>
      <c r="CW11" s="15">
        <f>'Grid_Stock'!CO6</f>
        <v/>
      </c>
      <c r="CX11" s="15">
        <f>'Grid_Stock'!CP6</f>
        <v/>
      </c>
      <c r="CY11" s="15">
        <f>'Grid_Stock'!CQ6</f>
        <v/>
      </c>
      <c r="CZ11" s="15">
        <f>'Grid_Stock'!CR6</f>
        <v/>
      </c>
      <c r="DA11" s="15">
        <f>'Grid_Stock'!CS6</f>
        <v/>
      </c>
      <c r="DB11" s="15">
        <f>'Grid_Stock'!CT6</f>
        <v/>
      </c>
      <c r="DC11" s="15">
        <f>'Grid_Stock'!CU6</f>
        <v/>
      </c>
      <c r="DD11" s="15">
        <f>'Grid_Stock'!CV6</f>
        <v/>
      </c>
      <c r="DE11" s="15">
        <f>'Grid_Stock'!CW6</f>
        <v/>
      </c>
      <c r="DF11" s="15">
        <f>'Grid_Stock'!CX6</f>
        <v/>
      </c>
      <c r="DG11" s="15">
        <f>'Grid_Stock'!CY6</f>
        <v/>
      </c>
      <c r="DH11" s="15">
        <f>'Grid_Stock'!CZ6</f>
        <v/>
      </c>
      <c r="DI11" s="15">
        <f>'Grid_Stock'!DA6</f>
        <v/>
      </c>
    </row>
    <row r="12">
      <c r="A12" s="17" t="inlineStr">
        <is>
          <t>CHEM-1540</t>
        </is>
      </c>
      <c r="B12" s="17">
        <f>IFERROR(INDEX(M_RawMaterials[Description],MATCH($A12,M_RawMaterials[RM_Code],0)),"")</f>
        <v/>
      </c>
      <c r="C12" s="17">
        <f>IFERROR(INDEX(M_RawMaterials[Category],MATCH($A12,M_RawMaterials[RM_Code],0)),"")</f>
        <v/>
      </c>
      <c r="D12" s="17">
        <f>IFERROR(INDEX(M_RawMaterials[SafetyStock_Qty_要入力],MATCH($A12,M_RawMaterials[RM_Code],0)),0)</f>
        <v/>
      </c>
      <c r="E12" s="17">
        <f>IFERROR(LOOKUP(2,1/(T_SelfStock!$A$2:$A$12000=$A12),T_SelfStock!$D$2:$D$12000),"")</f>
        <v/>
      </c>
      <c r="F12" s="17">
        <f>IFERROR(LOOKUP(2,1/(T_TTAFStock!$A$2:$A$12000=$A12),T_TTAFStock!$D$2:$D$12000),"")</f>
        <v/>
      </c>
      <c r="G12" s="17">
        <f>IFERROR(INDEX(Cal_Weeks[Label],LOOKUP(2,1/(T_SelfStock!$A$2:$A$12000=$A12),T_SelfStock!$B$2:$B$12000)),"")</f>
        <v/>
      </c>
      <c r="H12" s="17">
        <f>IF(MIN(J12:DI12)&lt;D12,"要発注","OK")</f>
        <v/>
      </c>
      <c r="I12" s="16">
        <f>IFERROR(INDEX(J12:DI12,$F$1),"")</f>
        <v/>
      </c>
      <c r="J12" s="17">
        <f>'Grid_Stock'!B7</f>
        <v/>
      </c>
      <c r="K12" s="17">
        <f>'Grid_Stock'!C7</f>
        <v/>
      </c>
      <c r="L12" s="17">
        <f>'Grid_Stock'!D7</f>
        <v/>
      </c>
      <c r="M12" s="17">
        <f>'Grid_Stock'!E7</f>
        <v/>
      </c>
      <c r="N12" s="17">
        <f>'Grid_Stock'!F7</f>
        <v/>
      </c>
      <c r="O12" s="17">
        <f>'Grid_Stock'!G7</f>
        <v/>
      </c>
      <c r="P12" s="17">
        <f>'Grid_Stock'!H7</f>
        <v/>
      </c>
      <c r="Q12" s="17">
        <f>'Grid_Stock'!I7</f>
        <v/>
      </c>
      <c r="R12" s="17">
        <f>'Grid_Stock'!J7</f>
        <v/>
      </c>
      <c r="S12" s="17">
        <f>'Grid_Stock'!K7</f>
        <v/>
      </c>
      <c r="T12" s="17">
        <f>'Grid_Stock'!L7</f>
        <v/>
      </c>
      <c r="U12" s="17">
        <f>'Grid_Stock'!M7</f>
        <v/>
      </c>
      <c r="V12" s="17">
        <f>'Grid_Stock'!N7</f>
        <v/>
      </c>
      <c r="W12" s="17">
        <f>'Grid_Stock'!O7</f>
        <v/>
      </c>
      <c r="X12" s="17">
        <f>'Grid_Stock'!P7</f>
        <v/>
      </c>
      <c r="Y12" s="17">
        <f>'Grid_Stock'!Q7</f>
        <v/>
      </c>
      <c r="Z12" s="17">
        <f>'Grid_Stock'!R7</f>
        <v/>
      </c>
      <c r="AA12" s="17">
        <f>'Grid_Stock'!S7</f>
        <v/>
      </c>
      <c r="AB12" s="17">
        <f>'Grid_Stock'!T7</f>
        <v/>
      </c>
      <c r="AC12" s="17">
        <f>'Grid_Stock'!U7</f>
        <v/>
      </c>
      <c r="AD12" s="17">
        <f>'Grid_Stock'!V7</f>
        <v/>
      </c>
      <c r="AE12" s="17">
        <f>'Grid_Stock'!W7</f>
        <v/>
      </c>
      <c r="AF12" s="17">
        <f>'Grid_Stock'!X7</f>
        <v/>
      </c>
      <c r="AG12" s="17">
        <f>'Grid_Stock'!Y7</f>
        <v/>
      </c>
      <c r="AH12" s="17">
        <f>'Grid_Stock'!Z7</f>
        <v/>
      </c>
      <c r="AI12" s="17">
        <f>'Grid_Stock'!AA7</f>
        <v/>
      </c>
      <c r="AJ12" s="17">
        <f>'Grid_Stock'!AB7</f>
        <v/>
      </c>
      <c r="AK12" s="17">
        <f>'Grid_Stock'!AC7</f>
        <v/>
      </c>
      <c r="AL12" s="17">
        <f>'Grid_Stock'!AD7</f>
        <v/>
      </c>
      <c r="AM12" s="17">
        <f>'Grid_Stock'!AE7</f>
        <v/>
      </c>
      <c r="AN12" s="17">
        <f>'Grid_Stock'!AF7</f>
        <v/>
      </c>
      <c r="AO12" s="17">
        <f>'Grid_Stock'!AG7</f>
        <v/>
      </c>
      <c r="AP12" s="17">
        <f>'Grid_Stock'!AH7</f>
        <v/>
      </c>
      <c r="AQ12" s="17">
        <f>'Grid_Stock'!AI7</f>
        <v/>
      </c>
      <c r="AR12" s="17">
        <f>'Grid_Stock'!AJ7</f>
        <v/>
      </c>
      <c r="AS12" s="17">
        <f>'Grid_Stock'!AK7</f>
        <v/>
      </c>
      <c r="AT12" s="17">
        <f>'Grid_Stock'!AL7</f>
        <v/>
      </c>
      <c r="AU12" s="17">
        <f>'Grid_Stock'!AM7</f>
        <v/>
      </c>
      <c r="AV12" s="17">
        <f>'Grid_Stock'!AN7</f>
        <v/>
      </c>
      <c r="AW12" s="17">
        <f>'Grid_Stock'!AO7</f>
        <v/>
      </c>
      <c r="AX12" s="17">
        <f>'Grid_Stock'!AP7</f>
        <v/>
      </c>
      <c r="AY12" s="17">
        <f>'Grid_Stock'!AQ7</f>
        <v/>
      </c>
      <c r="AZ12" s="17">
        <f>'Grid_Stock'!AR7</f>
        <v/>
      </c>
      <c r="BA12" s="17">
        <f>'Grid_Stock'!AS7</f>
        <v/>
      </c>
      <c r="BB12" s="17">
        <f>'Grid_Stock'!AT7</f>
        <v/>
      </c>
      <c r="BC12" s="17">
        <f>'Grid_Stock'!AU7</f>
        <v/>
      </c>
      <c r="BD12" s="17">
        <f>'Grid_Stock'!AV7</f>
        <v/>
      </c>
      <c r="BE12" s="17">
        <f>'Grid_Stock'!AW7</f>
        <v/>
      </c>
      <c r="BF12" s="17">
        <f>'Grid_Stock'!AX7</f>
        <v/>
      </c>
      <c r="BG12" s="17">
        <f>'Grid_Stock'!AY7</f>
        <v/>
      </c>
      <c r="BH12" s="17">
        <f>'Grid_Stock'!AZ7</f>
        <v/>
      </c>
      <c r="BI12" s="17">
        <f>'Grid_Stock'!BA7</f>
        <v/>
      </c>
      <c r="BJ12" s="17">
        <f>'Grid_Stock'!BB7</f>
        <v/>
      </c>
      <c r="BK12" s="17">
        <f>'Grid_Stock'!BC7</f>
        <v/>
      </c>
      <c r="BL12" s="17">
        <f>'Grid_Stock'!BD7</f>
        <v/>
      </c>
      <c r="BM12" s="17">
        <f>'Grid_Stock'!BE7</f>
        <v/>
      </c>
      <c r="BN12" s="17">
        <f>'Grid_Stock'!BF7</f>
        <v/>
      </c>
      <c r="BO12" s="17">
        <f>'Grid_Stock'!BG7</f>
        <v/>
      </c>
      <c r="BP12" s="17">
        <f>'Grid_Stock'!BH7</f>
        <v/>
      </c>
      <c r="BQ12" s="17">
        <f>'Grid_Stock'!BI7</f>
        <v/>
      </c>
      <c r="BR12" s="17">
        <f>'Grid_Stock'!BJ7</f>
        <v/>
      </c>
      <c r="BS12" s="17">
        <f>'Grid_Stock'!BK7</f>
        <v/>
      </c>
      <c r="BT12" s="17">
        <f>'Grid_Stock'!BL7</f>
        <v/>
      </c>
      <c r="BU12" s="17">
        <f>'Grid_Stock'!BM7</f>
        <v/>
      </c>
      <c r="BV12" s="17">
        <f>'Grid_Stock'!BN7</f>
        <v/>
      </c>
      <c r="BW12" s="17">
        <f>'Grid_Stock'!BO7</f>
        <v/>
      </c>
      <c r="BX12" s="17">
        <f>'Grid_Stock'!BP7</f>
        <v/>
      </c>
      <c r="BY12" s="17">
        <f>'Grid_Stock'!BQ7</f>
        <v/>
      </c>
      <c r="BZ12" s="17">
        <f>'Grid_Stock'!BR7</f>
        <v/>
      </c>
      <c r="CA12" s="17">
        <f>'Grid_Stock'!BS7</f>
        <v/>
      </c>
      <c r="CB12" s="17">
        <f>'Grid_Stock'!BT7</f>
        <v/>
      </c>
      <c r="CC12" s="17">
        <f>'Grid_Stock'!BU7</f>
        <v/>
      </c>
      <c r="CD12" s="17">
        <f>'Grid_Stock'!BV7</f>
        <v/>
      </c>
      <c r="CE12" s="17">
        <f>'Grid_Stock'!BW7</f>
        <v/>
      </c>
      <c r="CF12" s="17">
        <f>'Grid_Stock'!BX7</f>
        <v/>
      </c>
      <c r="CG12" s="17">
        <f>'Grid_Stock'!BY7</f>
        <v/>
      </c>
      <c r="CH12" s="17">
        <f>'Grid_Stock'!BZ7</f>
        <v/>
      </c>
      <c r="CI12" s="17">
        <f>'Grid_Stock'!CA7</f>
        <v/>
      </c>
      <c r="CJ12" s="17">
        <f>'Grid_Stock'!CB7</f>
        <v/>
      </c>
      <c r="CK12" s="17">
        <f>'Grid_Stock'!CC7</f>
        <v/>
      </c>
      <c r="CL12" s="17">
        <f>'Grid_Stock'!CD7</f>
        <v/>
      </c>
      <c r="CM12" s="17">
        <f>'Grid_Stock'!CE7</f>
        <v/>
      </c>
      <c r="CN12" s="17">
        <f>'Grid_Stock'!CF7</f>
        <v/>
      </c>
      <c r="CO12" s="17">
        <f>'Grid_Stock'!CG7</f>
        <v/>
      </c>
      <c r="CP12" s="17">
        <f>'Grid_Stock'!CH7</f>
        <v/>
      </c>
      <c r="CQ12" s="17">
        <f>'Grid_Stock'!CI7</f>
        <v/>
      </c>
      <c r="CR12" s="17">
        <f>'Grid_Stock'!CJ7</f>
        <v/>
      </c>
      <c r="CS12" s="17">
        <f>'Grid_Stock'!CK7</f>
        <v/>
      </c>
      <c r="CT12" s="17">
        <f>'Grid_Stock'!CL7</f>
        <v/>
      </c>
      <c r="CU12" s="17">
        <f>'Grid_Stock'!CM7</f>
        <v/>
      </c>
      <c r="CV12" s="17">
        <f>'Grid_Stock'!CN7</f>
        <v/>
      </c>
      <c r="CW12" s="17">
        <f>'Grid_Stock'!CO7</f>
        <v/>
      </c>
      <c r="CX12" s="17">
        <f>'Grid_Stock'!CP7</f>
        <v/>
      </c>
      <c r="CY12" s="17">
        <f>'Grid_Stock'!CQ7</f>
        <v/>
      </c>
      <c r="CZ12" s="17">
        <f>'Grid_Stock'!CR7</f>
        <v/>
      </c>
      <c r="DA12" s="17">
        <f>'Grid_Stock'!CS7</f>
        <v/>
      </c>
      <c r="DB12" s="17">
        <f>'Grid_Stock'!CT7</f>
        <v/>
      </c>
      <c r="DC12" s="17">
        <f>'Grid_Stock'!CU7</f>
        <v/>
      </c>
      <c r="DD12" s="17">
        <f>'Grid_Stock'!CV7</f>
        <v/>
      </c>
      <c r="DE12" s="17">
        <f>'Grid_Stock'!CW7</f>
        <v/>
      </c>
      <c r="DF12" s="17">
        <f>'Grid_Stock'!CX7</f>
        <v/>
      </c>
      <c r="DG12" s="17">
        <f>'Grid_Stock'!CY7</f>
        <v/>
      </c>
      <c r="DH12" s="17">
        <f>'Grid_Stock'!CZ7</f>
        <v/>
      </c>
      <c r="DI12" s="17">
        <f>'Grid_Stock'!DA7</f>
        <v/>
      </c>
    </row>
    <row r="13">
      <c r="A13" s="15" t="inlineStr">
        <is>
          <t>CHEM-1690</t>
        </is>
      </c>
      <c r="B13" s="15">
        <f>IFERROR(INDEX(M_RawMaterials[Description],MATCH($A13,M_RawMaterials[RM_Code],0)),"")</f>
        <v/>
      </c>
      <c r="C13" s="15">
        <f>IFERROR(INDEX(M_RawMaterials[Category],MATCH($A13,M_RawMaterials[RM_Code],0)),"")</f>
        <v/>
      </c>
      <c r="D13" s="15">
        <f>IFERROR(INDEX(M_RawMaterials[SafetyStock_Qty_要入力],MATCH($A13,M_RawMaterials[RM_Code],0)),0)</f>
        <v/>
      </c>
      <c r="E13" s="15">
        <f>IFERROR(LOOKUP(2,1/(T_SelfStock!$A$2:$A$12000=$A13),T_SelfStock!$D$2:$D$12000),"")</f>
        <v/>
      </c>
      <c r="F13" s="15">
        <f>IFERROR(LOOKUP(2,1/(T_TTAFStock!$A$2:$A$12000=$A13),T_TTAFStock!$D$2:$D$12000),"")</f>
        <v/>
      </c>
      <c r="G13" s="15">
        <f>IFERROR(INDEX(Cal_Weeks[Label],LOOKUP(2,1/(T_SelfStock!$A$2:$A$12000=$A13),T_SelfStock!$B$2:$B$12000)),"")</f>
        <v/>
      </c>
      <c r="H13" s="15">
        <f>IF(MIN(J13:DI13)&lt;D13,"要発注","OK")</f>
        <v/>
      </c>
      <c r="I13" s="16">
        <f>IFERROR(INDEX(J13:DI13,$F$1),"")</f>
        <v/>
      </c>
      <c r="J13" s="15">
        <f>'Grid_Stock'!B8</f>
        <v/>
      </c>
      <c r="K13" s="15">
        <f>'Grid_Stock'!C8</f>
        <v/>
      </c>
      <c r="L13" s="15">
        <f>'Grid_Stock'!D8</f>
        <v/>
      </c>
      <c r="M13" s="15">
        <f>'Grid_Stock'!E8</f>
        <v/>
      </c>
      <c r="N13" s="15">
        <f>'Grid_Stock'!F8</f>
        <v/>
      </c>
      <c r="O13" s="15">
        <f>'Grid_Stock'!G8</f>
        <v/>
      </c>
      <c r="P13" s="15">
        <f>'Grid_Stock'!H8</f>
        <v/>
      </c>
      <c r="Q13" s="15">
        <f>'Grid_Stock'!I8</f>
        <v/>
      </c>
      <c r="R13" s="15">
        <f>'Grid_Stock'!J8</f>
        <v/>
      </c>
      <c r="S13" s="15">
        <f>'Grid_Stock'!K8</f>
        <v/>
      </c>
      <c r="T13" s="15">
        <f>'Grid_Stock'!L8</f>
        <v/>
      </c>
      <c r="U13" s="15">
        <f>'Grid_Stock'!M8</f>
        <v/>
      </c>
      <c r="V13" s="15">
        <f>'Grid_Stock'!N8</f>
        <v/>
      </c>
      <c r="W13" s="15">
        <f>'Grid_Stock'!O8</f>
        <v/>
      </c>
      <c r="X13" s="15">
        <f>'Grid_Stock'!P8</f>
        <v/>
      </c>
      <c r="Y13" s="15">
        <f>'Grid_Stock'!Q8</f>
        <v/>
      </c>
      <c r="Z13" s="15">
        <f>'Grid_Stock'!R8</f>
        <v/>
      </c>
      <c r="AA13" s="15">
        <f>'Grid_Stock'!S8</f>
        <v/>
      </c>
      <c r="AB13" s="15">
        <f>'Grid_Stock'!T8</f>
        <v/>
      </c>
      <c r="AC13" s="15">
        <f>'Grid_Stock'!U8</f>
        <v/>
      </c>
      <c r="AD13" s="15">
        <f>'Grid_Stock'!V8</f>
        <v/>
      </c>
      <c r="AE13" s="15">
        <f>'Grid_Stock'!W8</f>
        <v/>
      </c>
      <c r="AF13" s="15">
        <f>'Grid_Stock'!X8</f>
        <v/>
      </c>
      <c r="AG13" s="15">
        <f>'Grid_Stock'!Y8</f>
        <v/>
      </c>
      <c r="AH13" s="15">
        <f>'Grid_Stock'!Z8</f>
        <v/>
      </c>
      <c r="AI13" s="15">
        <f>'Grid_Stock'!AA8</f>
        <v/>
      </c>
      <c r="AJ13" s="15">
        <f>'Grid_Stock'!AB8</f>
        <v/>
      </c>
      <c r="AK13" s="15">
        <f>'Grid_Stock'!AC8</f>
        <v/>
      </c>
      <c r="AL13" s="15">
        <f>'Grid_Stock'!AD8</f>
        <v/>
      </c>
      <c r="AM13" s="15">
        <f>'Grid_Stock'!AE8</f>
        <v/>
      </c>
      <c r="AN13" s="15">
        <f>'Grid_Stock'!AF8</f>
        <v/>
      </c>
      <c r="AO13" s="15">
        <f>'Grid_Stock'!AG8</f>
        <v/>
      </c>
      <c r="AP13" s="15">
        <f>'Grid_Stock'!AH8</f>
        <v/>
      </c>
      <c r="AQ13" s="15">
        <f>'Grid_Stock'!AI8</f>
        <v/>
      </c>
      <c r="AR13" s="15">
        <f>'Grid_Stock'!AJ8</f>
        <v/>
      </c>
      <c r="AS13" s="15">
        <f>'Grid_Stock'!AK8</f>
        <v/>
      </c>
      <c r="AT13" s="15">
        <f>'Grid_Stock'!AL8</f>
        <v/>
      </c>
      <c r="AU13" s="15">
        <f>'Grid_Stock'!AM8</f>
        <v/>
      </c>
      <c r="AV13" s="15">
        <f>'Grid_Stock'!AN8</f>
        <v/>
      </c>
      <c r="AW13" s="15">
        <f>'Grid_Stock'!AO8</f>
        <v/>
      </c>
      <c r="AX13" s="15">
        <f>'Grid_Stock'!AP8</f>
        <v/>
      </c>
      <c r="AY13" s="15">
        <f>'Grid_Stock'!AQ8</f>
        <v/>
      </c>
      <c r="AZ13" s="15">
        <f>'Grid_Stock'!AR8</f>
        <v/>
      </c>
      <c r="BA13" s="15">
        <f>'Grid_Stock'!AS8</f>
        <v/>
      </c>
      <c r="BB13" s="15">
        <f>'Grid_Stock'!AT8</f>
        <v/>
      </c>
      <c r="BC13" s="15">
        <f>'Grid_Stock'!AU8</f>
        <v/>
      </c>
      <c r="BD13" s="15">
        <f>'Grid_Stock'!AV8</f>
        <v/>
      </c>
      <c r="BE13" s="15">
        <f>'Grid_Stock'!AW8</f>
        <v/>
      </c>
      <c r="BF13" s="15">
        <f>'Grid_Stock'!AX8</f>
        <v/>
      </c>
      <c r="BG13" s="15">
        <f>'Grid_Stock'!AY8</f>
        <v/>
      </c>
      <c r="BH13" s="15">
        <f>'Grid_Stock'!AZ8</f>
        <v/>
      </c>
      <c r="BI13" s="15">
        <f>'Grid_Stock'!BA8</f>
        <v/>
      </c>
      <c r="BJ13" s="15">
        <f>'Grid_Stock'!BB8</f>
        <v/>
      </c>
      <c r="BK13" s="15">
        <f>'Grid_Stock'!BC8</f>
        <v/>
      </c>
      <c r="BL13" s="15">
        <f>'Grid_Stock'!BD8</f>
        <v/>
      </c>
      <c r="BM13" s="15">
        <f>'Grid_Stock'!BE8</f>
        <v/>
      </c>
      <c r="BN13" s="15">
        <f>'Grid_Stock'!BF8</f>
        <v/>
      </c>
      <c r="BO13" s="15">
        <f>'Grid_Stock'!BG8</f>
        <v/>
      </c>
      <c r="BP13" s="15">
        <f>'Grid_Stock'!BH8</f>
        <v/>
      </c>
      <c r="BQ13" s="15">
        <f>'Grid_Stock'!BI8</f>
        <v/>
      </c>
      <c r="BR13" s="15">
        <f>'Grid_Stock'!BJ8</f>
        <v/>
      </c>
      <c r="BS13" s="15">
        <f>'Grid_Stock'!BK8</f>
        <v/>
      </c>
      <c r="BT13" s="15">
        <f>'Grid_Stock'!BL8</f>
        <v/>
      </c>
      <c r="BU13" s="15">
        <f>'Grid_Stock'!BM8</f>
        <v/>
      </c>
      <c r="BV13" s="15">
        <f>'Grid_Stock'!BN8</f>
        <v/>
      </c>
      <c r="BW13" s="15">
        <f>'Grid_Stock'!BO8</f>
        <v/>
      </c>
      <c r="BX13" s="15">
        <f>'Grid_Stock'!BP8</f>
        <v/>
      </c>
      <c r="BY13" s="15">
        <f>'Grid_Stock'!BQ8</f>
        <v/>
      </c>
      <c r="BZ13" s="15">
        <f>'Grid_Stock'!BR8</f>
        <v/>
      </c>
      <c r="CA13" s="15">
        <f>'Grid_Stock'!BS8</f>
        <v/>
      </c>
      <c r="CB13" s="15">
        <f>'Grid_Stock'!BT8</f>
        <v/>
      </c>
      <c r="CC13" s="15">
        <f>'Grid_Stock'!BU8</f>
        <v/>
      </c>
      <c r="CD13" s="15">
        <f>'Grid_Stock'!BV8</f>
        <v/>
      </c>
      <c r="CE13" s="15">
        <f>'Grid_Stock'!BW8</f>
        <v/>
      </c>
      <c r="CF13" s="15">
        <f>'Grid_Stock'!BX8</f>
        <v/>
      </c>
      <c r="CG13" s="15">
        <f>'Grid_Stock'!BY8</f>
        <v/>
      </c>
      <c r="CH13" s="15">
        <f>'Grid_Stock'!BZ8</f>
        <v/>
      </c>
      <c r="CI13" s="15">
        <f>'Grid_Stock'!CA8</f>
        <v/>
      </c>
      <c r="CJ13" s="15">
        <f>'Grid_Stock'!CB8</f>
        <v/>
      </c>
      <c r="CK13" s="15">
        <f>'Grid_Stock'!CC8</f>
        <v/>
      </c>
      <c r="CL13" s="15">
        <f>'Grid_Stock'!CD8</f>
        <v/>
      </c>
      <c r="CM13" s="15">
        <f>'Grid_Stock'!CE8</f>
        <v/>
      </c>
      <c r="CN13" s="15">
        <f>'Grid_Stock'!CF8</f>
        <v/>
      </c>
      <c r="CO13" s="15">
        <f>'Grid_Stock'!CG8</f>
        <v/>
      </c>
      <c r="CP13" s="15">
        <f>'Grid_Stock'!CH8</f>
        <v/>
      </c>
      <c r="CQ13" s="15">
        <f>'Grid_Stock'!CI8</f>
        <v/>
      </c>
      <c r="CR13" s="15">
        <f>'Grid_Stock'!CJ8</f>
        <v/>
      </c>
      <c r="CS13" s="15">
        <f>'Grid_Stock'!CK8</f>
        <v/>
      </c>
      <c r="CT13" s="15">
        <f>'Grid_Stock'!CL8</f>
        <v/>
      </c>
      <c r="CU13" s="15">
        <f>'Grid_Stock'!CM8</f>
        <v/>
      </c>
      <c r="CV13" s="15">
        <f>'Grid_Stock'!CN8</f>
        <v/>
      </c>
      <c r="CW13" s="15">
        <f>'Grid_Stock'!CO8</f>
        <v/>
      </c>
      <c r="CX13" s="15">
        <f>'Grid_Stock'!CP8</f>
        <v/>
      </c>
      <c r="CY13" s="15">
        <f>'Grid_Stock'!CQ8</f>
        <v/>
      </c>
      <c r="CZ13" s="15">
        <f>'Grid_Stock'!CR8</f>
        <v/>
      </c>
      <c r="DA13" s="15">
        <f>'Grid_Stock'!CS8</f>
        <v/>
      </c>
      <c r="DB13" s="15">
        <f>'Grid_Stock'!CT8</f>
        <v/>
      </c>
      <c r="DC13" s="15">
        <f>'Grid_Stock'!CU8</f>
        <v/>
      </c>
      <c r="DD13" s="15">
        <f>'Grid_Stock'!CV8</f>
        <v/>
      </c>
      <c r="DE13" s="15">
        <f>'Grid_Stock'!CW8</f>
        <v/>
      </c>
      <c r="DF13" s="15">
        <f>'Grid_Stock'!CX8</f>
        <v/>
      </c>
      <c r="DG13" s="15">
        <f>'Grid_Stock'!CY8</f>
        <v/>
      </c>
      <c r="DH13" s="15">
        <f>'Grid_Stock'!CZ8</f>
        <v/>
      </c>
      <c r="DI13" s="15">
        <f>'Grid_Stock'!DA8</f>
        <v/>
      </c>
    </row>
    <row r="14">
      <c r="A14" s="17" t="inlineStr">
        <is>
          <t>CHEM-1720</t>
        </is>
      </c>
      <c r="B14" s="17">
        <f>IFERROR(INDEX(M_RawMaterials[Description],MATCH($A14,M_RawMaterials[RM_Code],0)),"")</f>
        <v/>
      </c>
      <c r="C14" s="17">
        <f>IFERROR(INDEX(M_RawMaterials[Category],MATCH($A14,M_RawMaterials[RM_Code],0)),"")</f>
        <v/>
      </c>
      <c r="D14" s="17">
        <f>IFERROR(INDEX(M_RawMaterials[SafetyStock_Qty_要入力],MATCH($A14,M_RawMaterials[RM_Code],0)),0)</f>
        <v/>
      </c>
      <c r="E14" s="17">
        <f>IFERROR(LOOKUP(2,1/(T_SelfStock!$A$2:$A$12000=$A14),T_SelfStock!$D$2:$D$12000),"")</f>
        <v/>
      </c>
      <c r="F14" s="17">
        <f>IFERROR(LOOKUP(2,1/(T_TTAFStock!$A$2:$A$12000=$A14),T_TTAFStock!$D$2:$D$12000),"")</f>
        <v/>
      </c>
      <c r="G14" s="17">
        <f>IFERROR(INDEX(Cal_Weeks[Label],LOOKUP(2,1/(T_SelfStock!$A$2:$A$12000=$A14),T_SelfStock!$B$2:$B$12000)),"")</f>
        <v/>
      </c>
      <c r="H14" s="17">
        <f>IF(MIN(J14:DI14)&lt;D14,"要発注","OK")</f>
        <v/>
      </c>
      <c r="I14" s="16">
        <f>IFERROR(INDEX(J14:DI14,$F$1),"")</f>
        <v/>
      </c>
      <c r="J14" s="17">
        <f>'Grid_Stock'!B9</f>
        <v/>
      </c>
      <c r="K14" s="17">
        <f>'Grid_Stock'!C9</f>
        <v/>
      </c>
      <c r="L14" s="17">
        <f>'Grid_Stock'!D9</f>
        <v/>
      </c>
      <c r="M14" s="17">
        <f>'Grid_Stock'!E9</f>
        <v/>
      </c>
      <c r="N14" s="17">
        <f>'Grid_Stock'!F9</f>
        <v/>
      </c>
      <c r="O14" s="17">
        <f>'Grid_Stock'!G9</f>
        <v/>
      </c>
      <c r="P14" s="17">
        <f>'Grid_Stock'!H9</f>
        <v/>
      </c>
      <c r="Q14" s="17">
        <f>'Grid_Stock'!I9</f>
        <v/>
      </c>
      <c r="R14" s="17">
        <f>'Grid_Stock'!J9</f>
        <v/>
      </c>
      <c r="S14" s="17">
        <f>'Grid_Stock'!K9</f>
        <v/>
      </c>
      <c r="T14" s="17">
        <f>'Grid_Stock'!L9</f>
        <v/>
      </c>
      <c r="U14" s="17">
        <f>'Grid_Stock'!M9</f>
        <v/>
      </c>
      <c r="V14" s="17">
        <f>'Grid_Stock'!N9</f>
        <v/>
      </c>
      <c r="W14" s="17">
        <f>'Grid_Stock'!O9</f>
        <v/>
      </c>
      <c r="X14" s="17">
        <f>'Grid_Stock'!P9</f>
        <v/>
      </c>
      <c r="Y14" s="17">
        <f>'Grid_Stock'!Q9</f>
        <v/>
      </c>
      <c r="Z14" s="17">
        <f>'Grid_Stock'!R9</f>
        <v/>
      </c>
      <c r="AA14" s="17">
        <f>'Grid_Stock'!S9</f>
        <v/>
      </c>
      <c r="AB14" s="17">
        <f>'Grid_Stock'!T9</f>
        <v/>
      </c>
      <c r="AC14" s="17">
        <f>'Grid_Stock'!U9</f>
        <v/>
      </c>
      <c r="AD14" s="17">
        <f>'Grid_Stock'!V9</f>
        <v/>
      </c>
      <c r="AE14" s="17">
        <f>'Grid_Stock'!W9</f>
        <v/>
      </c>
      <c r="AF14" s="17">
        <f>'Grid_Stock'!X9</f>
        <v/>
      </c>
      <c r="AG14" s="17">
        <f>'Grid_Stock'!Y9</f>
        <v/>
      </c>
      <c r="AH14" s="17">
        <f>'Grid_Stock'!Z9</f>
        <v/>
      </c>
      <c r="AI14" s="17">
        <f>'Grid_Stock'!AA9</f>
        <v/>
      </c>
      <c r="AJ14" s="17">
        <f>'Grid_Stock'!AB9</f>
        <v/>
      </c>
      <c r="AK14" s="17">
        <f>'Grid_Stock'!AC9</f>
        <v/>
      </c>
      <c r="AL14" s="17">
        <f>'Grid_Stock'!AD9</f>
        <v/>
      </c>
      <c r="AM14" s="17">
        <f>'Grid_Stock'!AE9</f>
        <v/>
      </c>
      <c r="AN14" s="17">
        <f>'Grid_Stock'!AF9</f>
        <v/>
      </c>
      <c r="AO14" s="17">
        <f>'Grid_Stock'!AG9</f>
        <v/>
      </c>
      <c r="AP14" s="17">
        <f>'Grid_Stock'!AH9</f>
        <v/>
      </c>
      <c r="AQ14" s="17">
        <f>'Grid_Stock'!AI9</f>
        <v/>
      </c>
      <c r="AR14" s="17">
        <f>'Grid_Stock'!AJ9</f>
        <v/>
      </c>
      <c r="AS14" s="17">
        <f>'Grid_Stock'!AK9</f>
        <v/>
      </c>
      <c r="AT14" s="17">
        <f>'Grid_Stock'!AL9</f>
        <v/>
      </c>
      <c r="AU14" s="17">
        <f>'Grid_Stock'!AM9</f>
        <v/>
      </c>
      <c r="AV14" s="17">
        <f>'Grid_Stock'!AN9</f>
        <v/>
      </c>
      <c r="AW14" s="17">
        <f>'Grid_Stock'!AO9</f>
        <v/>
      </c>
      <c r="AX14" s="17">
        <f>'Grid_Stock'!AP9</f>
        <v/>
      </c>
      <c r="AY14" s="17">
        <f>'Grid_Stock'!AQ9</f>
        <v/>
      </c>
      <c r="AZ14" s="17">
        <f>'Grid_Stock'!AR9</f>
        <v/>
      </c>
      <c r="BA14" s="17">
        <f>'Grid_Stock'!AS9</f>
        <v/>
      </c>
      <c r="BB14" s="17">
        <f>'Grid_Stock'!AT9</f>
        <v/>
      </c>
      <c r="BC14" s="17">
        <f>'Grid_Stock'!AU9</f>
        <v/>
      </c>
      <c r="BD14" s="17">
        <f>'Grid_Stock'!AV9</f>
        <v/>
      </c>
      <c r="BE14" s="17">
        <f>'Grid_Stock'!AW9</f>
        <v/>
      </c>
      <c r="BF14" s="17">
        <f>'Grid_Stock'!AX9</f>
        <v/>
      </c>
      <c r="BG14" s="17">
        <f>'Grid_Stock'!AY9</f>
        <v/>
      </c>
      <c r="BH14" s="17">
        <f>'Grid_Stock'!AZ9</f>
        <v/>
      </c>
      <c r="BI14" s="17">
        <f>'Grid_Stock'!BA9</f>
        <v/>
      </c>
      <c r="BJ14" s="17">
        <f>'Grid_Stock'!BB9</f>
        <v/>
      </c>
      <c r="BK14" s="17">
        <f>'Grid_Stock'!BC9</f>
        <v/>
      </c>
      <c r="BL14" s="17">
        <f>'Grid_Stock'!BD9</f>
        <v/>
      </c>
      <c r="BM14" s="17">
        <f>'Grid_Stock'!BE9</f>
        <v/>
      </c>
      <c r="BN14" s="17">
        <f>'Grid_Stock'!BF9</f>
        <v/>
      </c>
      <c r="BO14" s="17">
        <f>'Grid_Stock'!BG9</f>
        <v/>
      </c>
      <c r="BP14" s="17">
        <f>'Grid_Stock'!BH9</f>
        <v/>
      </c>
      <c r="BQ14" s="17">
        <f>'Grid_Stock'!BI9</f>
        <v/>
      </c>
      <c r="BR14" s="17">
        <f>'Grid_Stock'!BJ9</f>
        <v/>
      </c>
      <c r="BS14" s="17">
        <f>'Grid_Stock'!BK9</f>
        <v/>
      </c>
      <c r="BT14" s="17">
        <f>'Grid_Stock'!BL9</f>
        <v/>
      </c>
      <c r="BU14" s="17">
        <f>'Grid_Stock'!BM9</f>
        <v/>
      </c>
      <c r="BV14" s="17">
        <f>'Grid_Stock'!BN9</f>
        <v/>
      </c>
      <c r="BW14" s="17">
        <f>'Grid_Stock'!BO9</f>
        <v/>
      </c>
      <c r="BX14" s="17">
        <f>'Grid_Stock'!BP9</f>
        <v/>
      </c>
      <c r="BY14" s="17">
        <f>'Grid_Stock'!BQ9</f>
        <v/>
      </c>
      <c r="BZ14" s="17">
        <f>'Grid_Stock'!BR9</f>
        <v/>
      </c>
      <c r="CA14" s="17">
        <f>'Grid_Stock'!BS9</f>
        <v/>
      </c>
      <c r="CB14" s="17">
        <f>'Grid_Stock'!BT9</f>
        <v/>
      </c>
      <c r="CC14" s="17">
        <f>'Grid_Stock'!BU9</f>
        <v/>
      </c>
      <c r="CD14" s="17">
        <f>'Grid_Stock'!BV9</f>
        <v/>
      </c>
      <c r="CE14" s="17">
        <f>'Grid_Stock'!BW9</f>
        <v/>
      </c>
      <c r="CF14" s="17">
        <f>'Grid_Stock'!BX9</f>
        <v/>
      </c>
      <c r="CG14" s="17">
        <f>'Grid_Stock'!BY9</f>
        <v/>
      </c>
      <c r="CH14" s="17">
        <f>'Grid_Stock'!BZ9</f>
        <v/>
      </c>
      <c r="CI14" s="17">
        <f>'Grid_Stock'!CA9</f>
        <v/>
      </c>
      <c r="CJ14" s="17">
        <f>'Grid_Stock'!CB9</f>
        <v/>
      </c>
      <c r="CK14" s="17">
        <f>'Grid_Stock'!CC9</f>
        <v/>
      </c>
      <c r="CL14" s="17">
        <f>'Grid_Stock'!CD9</f>
        <v/>
      </c>
      <c r="CM14" s="17">
        <f>'Grid_Stock'!CE9</f>
        <v/>
      </c>
      <c r="CN14" s="17">
        <f>'Grid_Stock'!CF9</f>
        <v/>
      </c>
      <c r="CO14" s="17">
        <f>'Grid_Stock'!CG9</f>
        <v/>
      </c>
      <c r="CP14" s="17">
        <f>'Grid_Stock'!CH9</f>
        <v/>
      </c>
      <c r="CQ14" s="17">
        <f>'Grid_Stock'!CI9</f>
        <v/>
      </c>
      <c r="CR14" s="17">
        <f>'Grid_Stock'!CJ9</f>
        <v/>
      </c>
      <c r="CS14" s="17">
        <f>'Grid_Stock'!CK9</f>
        <v/>
      </c>
      <c r="CT14" s="17">
        <f>'Grid_Stock'!CL9</f>
        <v/>
      </c>
      <c r="CU14" s="17">
        <f>'Grid_Stock'!CM9</f>
        <v/>
      </c>
      <c r="CV14" s="17">
        <f>'Grid_Stock'!CN9</f>
        <v/>
      </c>
      <c r="CW14" s="17">
        <f>'Grid_Stock'!CO9</f>
        <v/>
      </c>
      <c r="CX14" s="17">
        <f>'Grid_Stock'!CP9</f>
        <v/>
      </c>
      <c r="CY14" s="17">
        <f>'Grid_Stock'!CQ9</f>
        <v/>
      </c>
      <c r="CZ14" s="17">
        <f>'Grid_Stock'!CR9</f>
        <v/>
      </c>
      <c r="DA14" s="17">
        <f>'Grid_Stock'!CS9</f>
        <v/>
      </c>
      <c r="DB14" s="17">
        <f>'Grid_Stock'!CT9</f>
        <v/>
      </c>
      <c r="DC14" s="17">
        <f>'Grid_Stock'!CU9</f>
        <v/>
      </c>
      <c r="DD14" s="17">
        <f>'Grid_Stock'!CV9</f>
        <v/>
      </c>
      <c r="DE14" s="17">
        <f>'Grid_Stock'!CW9</f>
        <v/>
      </c>
      <c r="DF14" s="17">
        <f>'Grid_Stock'!CX9</f>
        <v/>
      </c>
      <c r="DG14" s="17">
        <f>'Grid_Stock'!CY9</f>
        <v/>
      </c>
      <c r="DH14" s="17">
        <f>'Grid_Stock'!CZ9</f>
        <v/>
      </c>
      <c r="DI14" s="17">
        <f>'Grid_Stock'!DA9</f>
        <v/>
      </c>
    </row>
    <row r="15">
      <c r="A15" s="15" t="inlineStr">
        <is>
          <t>CHEM-1440</t>
        </is>
      </c>
      <c r="B15" s="15">
        <f>IFERROR(INDEX(M_RawMaterials[Description],MATCH($A15,M_RawMaterials[RM_Code],0)),"")</f>
        <v/>
      </c>
      <c r="C15" s="15">
        <f>IFERROR(INDEX(M_RawMaterials[Category],MATCH($A15,M_RawMaterials[RM_Code],0)),"")</f>
        <v/>
      </c>
      <c r="D15" s="15">
        <f>IFERROR(INDEX(M_RawMaterials[SafetyStock_Qty_要入力],MATCH($A15,M_RawMaterials[RM_Code],0)),0)</f>
        <v/>
      </c>
      <c r="E15" s="15">
        <f>IFERROR(LOOKUP(2,1/(T_SelfStock!$A$2:$A$12000=$A15),T_SelfStock!$D$2:$D$12000),"")</f>
        <v/>
      </c>
      <c r="F15" s="15">
        <f>IFERROR(LOOKUP(2,1/(T_TTAFStock!$A$2:$A$12000=$A15),T_TTAFStock!$D$2:$D$12000),"")</f>
        <v/>
      </c>
      <c r="G15" s="15">
        <f>IFERROR(INDEX(Cal_Weeks[Label],LOOKUP(2,1/(T_SelfStock!$A$2:$A$12000=$A15),T_SelfStock!$B$2:$B$12000)),"")</f>
        <v/>
      </c>
      <c r="H15" s="15">
        <f>IF(MIN(J15:DI15)&lt;D15,"要発注","OK")</f>
        <v/>
      </c>
      <c r="I15" s="16">
        <f>IFERROR(INDEX(J15:DI15,$F$1),"")</f>
        <v/>
      </c>
      <c r="J15" s="15">
        <f>'Grid_Stock'!B10</f>
        <v/>
      </c>
      <c r="K15" s="15">
        <f>'Grid_Stock'!C10</f>
        <v/>
      </c>
      <c r="L15" s="15">
        <f>'Grid_Stock'!D10</f>
        <v/>
      </c>
      <c r="M15" s="15">
        <f>'Grid_Stock'!E10</f>
        <v/>
      </c>
      <c r="N15" s="15">
        <f>'Grid_Stock'!F10</f>
        <v/>
      </c>
      <c r="O15" s="15">
        <f>'Grid_Stock'!G10</f>
        <v/>
      </c>
      <c r="P15" s="15">
        <f>'Grid_Stock'!H10</f>
        <v/>
      </c>
      <c r="Q15" s="15">
        <f>'Grid_Stock'!I10</f>
        <v/>
      </c>
      <c r="R15" s="15">
        <f>'Grid_Stock'!J10</f>
        <v/>
      </c>
      <c r="S15" s="15">
        <f>'Grid_Stock'!K10</f>
        <v/>
      </c>
      <c r="T15" s="15">
        <f>'Grid_Stock'!L10</f>
        <v/>
      </c>
      <c r="U15" s="15">
        <f>'Grid_Stock'!M10</f>
        <v/>
      </c>
      <c r="V15" s="15">
        <f>'Grid_Stock'!N10</f>
        <v/>
      </c>
      <c r="W15" s="15">
        <f>'Grid_Stock'!O10</f>
        <v/>
      </c>
      <c r="X15" s="15">
        <f>'Grid_Stock'!P10</f>
        <v/>
      </c>
      <c r="Y15" s="15">
        <f>'Grid_Stock'!Q10</f>
        <v/>
      </c>
      <c r="Z15" s="15">
        <f>'Grid_Stock'!R10</f>
        <v/>
      </c>
      <c r="AA15" s="15">
        <f>'Grid_Stock'!S10</f>
        <v/>
      </c>
      <c r="AB15" s="15">
        <f>'Grid_Stock'!T10</f>
        <v/>
      </c>
      <c r="AC15" s="15">
        <f>'Grid_Stock'!U10</f>
        <v/>
      </c>
      <c r="AD15" s="15">
        <f>'Grid_Stock'!V10</f>
        <v/>
      </c>
      <c r="AE15" s="15">
        <f>'Grid_Stock'!W10</f>
        <v/>
      </c>
      <c r="AF15" s="15">
        <f>'Grid_Stock'!X10</f>
        <v/>
      </c>
      <c r="AG15" s="15">
        <f>'Grid_Stock'!Y10</f>
        <v/>
      </c>
      <c r="AH15" s="15">
        <f>'Grid_Stock'!Z10</f>
        <v/>
      </c>
      <c r="AI15" s="15">
        <f>'Grid_Stock'!AA10</f>
        <v/>
      </c>
      <c r="AJ15" s="15">
        <f>'Grid_Stock'!AB10</f>
        <v/>
      </c>
      <c r="AK15" s="15">
        <f>'Grid_Stock'!AC10</f>
        <v/>
      </c>
      <c r="AL15" s="15">
        <f>'Grid_Stock'!AD10</f>
        <v/>
      </c>
      <c r="AM15" s="15">
        <f>'Grid_Stock'!AE10</f>
        <v/>
      </c>
      <c r="AN15" s="15">
        <f>'Grid_Stock'!AF10</f>
        <v/>
      </c>
      <c r="AO15" s="15">
        <f>'Grid_Stock'!AG10</f>
        <v/>
      </c>
      <c r="AP15" s="15">
        <f>'Grid_Stock'!AH10</f>
        <v/>
      </c>
      <c r="AQ15" s="15">
        <f>'Grid_Stock'!AI10</f>
        <v/>
      </c>
      <c r="AR15" s="15">
        <f>'Grid_Stock'!AJ10</f>
        <v/>
      </c>
      <c r="AS15" s="15">
        <f>'Grid_Stock'!AK10</f>
        <v/>
      </c>
      <c r="AT15" s="15">
        <f>'Grid_Stock'!AL10</f>
        <v/>
      </c>
      <c r="AU15" s="15">
        <f>'Grid_Stock'!AM10</f>
        <v/>
      </c>
      <c r="AV15" s="15">
        <f>'Grid_Stock'!AN10</f>
        <v/>
      </c>
      <c r="AW15" s="15">
        <f>'Grid_Stock'!AO10</f>
        <v/>
      </c>
      <c r="AX15" s="15">
        <f>'Grid_Stock'!AP10</f>
        <v/>
      </c>
      <c r="AY15" s="15">
        <f>'Grid_Stock'!AQ10</f>
        <v/>
      </c>
      <c r="AZ15" s="15">
        <f>'Grid_Stock'!AR10</f>
        <v/>
      </c>
      <c r="BA15" s="15">
        <f>'Grid_Stock'!AS10</f>
        <v/>
      </c>
      <c r="BB15" s="15">
        <f>'Grid_Stock'!AT10</f>
        <v/>
      </c>
      <c r="BC15" s="15">
        <f>'Grid_Stock'!AU10</f>
        <v/>
      </c>
      <c r="BD15" s="15">
        <f>'Grid_Stock'!AV10</f>
        <v/>
      </c>
      <c r="BE15" s="15">
        <f>'Grid_Stock'!AW10</f>
        <v/>
      </c>
      <c r="BF15" s="15">
        <f>'Grid_Stock'!AX10</f>
        <v/>
      </c>
      <c r="BG15" s="15">
        <f>'Grid_Stock'!AY10</f>
        <v/>
      </c>
      <c r="BH15" s="15">
        <f>'Grid_Stock'!AZ10</f>
        <v/>
      </c>
      <c r="BI15" s="15">
        <f>'Grid_Stock'!BA10</f>
        <v/>
      </c>
      <c r="BJ15" s="15">
        <f>'Grid_Stock'!BB10</f>
        <v/>
      </c>
      <c r="BK15" s="15">
        <f>'Grid_Stock'!BC10</f>
        <v/>
      </c>
      <c r="BL15" s="15">
        <f>'Grid_Stock'!BD10</f>
        <v/>
      </c>
      <c r="BM15" s="15">
        <f>'Grid_Stock'!BE10</f>
        <v/>
      </c>
      <c r="BN15" s="15">
        <f>'Grid_Stock'!BF10</f>
        <v/>
      </c>
      <c r="BO15" s="15">
        <f>'Grid_Stock'!BG10</f>
        <v/>
      </c>
      <c r="BP15" s="15">
        <f>'Grid_Stock'!BH10</f>
        <v/>
      </c>
      <c r="BQ15" s="15">
        <f>'Grid_Stock'!BI10</f>
        <v/>
      </c>
      <c r="BR15" s="15">
        <f>'Grid_Stock'!BJ10</f>
        <v/>
      </c>
      <c r="BS15" s="15">
        <f>'Grid_Stock'!BK10</f>
        <v/>
      </c>
      <c r="BT15" s="15">
        <f>'Grid_Stock'!BL10</f>
        <v/>
      </c>
      <c r="BU15" s="15">
        <f>'Grid_Stock'!BM10</f>
        <v/>
      </c>
      <c r="BV15" s="15">
        <f>'Grid_Stock'!BN10</f>
        <v/>
      </c>
      <c r="BW15" s="15">
        <f>'Grid_Stock'!BO10</f>
        <v/>
      </c>
      <c r="BX15" s="15">
        <f>'Grid_Stock'!BP10</f>
        <v/>
      </c>
      <c r="BY15" s="15">
        <f>'Grid_Stock'!BQ10</f>
        <v/>
      </c>
      <c r="BZ15" s="15">
        <f>'Grid_Stock'!BR10</f>
        <v/>
      </c>
      <c r="CA15" s="15">
        <f>'Grid_Stock'!BS10</f>
        <v/>
      </c>
      <c r="CB15" s="15">
        <f>'Grid_Stock'!BT10</f>
        <v/>
      </c>
      <c r="CC15" s="15">
        <f>'Grid_Stock'!BU10</f>
        <v/>
      </c>
      <c r="CD15" s="15">
        <f>'Grid_Stock'!BV10</f>
        <v/>
      </c>
      <c r="CE15" s="15">
        <f>'Grid_Stock'!BW10</f>
        <v/>
      </c>
      <c r="CF15" s="15">
        <f>'Grid_Stock'!BX10</f>
        <v/>
      </c>
      <c r="CG15" s="15">
        <f>'Grid_Stock'!BY10</f>
        <v/>
      </c>
      <c r="CH15" s="15">
        <f>'Grid_Stock'!BZ10</f>
        <v/>
      </c>
      <c r="CI15" s="15">
        <f>'Grid_Stock'!CA10</f>
        <v/>
      </c>
      <c r="CJ15" s="15">
        <f>'Grid_Stock'!CB10</f>
        <v/>
      </c>
      <c r="CK15" s="15">
        <f>'Grid_Stock'!CC10</f>
        <v/>
      </c>
      <c r="CL15" s="15">
        <f>'Grid_Stock'!CD10</f>
        <v/>
      </c>
      <c r="CM15" s="15">
        <f>'Grid_Stock'!CE10</f>
        <v/>
      </c>
      <c r="CN15" s="15">
        <f>'Grid_Stock'!CF10</f>
        <v/>
      </c>
      <c r="CO15" s="15">
        <f>'Grid_Stock'!CG10</f>
        <v/>
      </c>
      <c r="CP15" s="15">
        <f>'Grid_Stock'!CH10</f>
        <v/>
      </c>
      <c r="CQ15" s="15">
        <f>'Grid_Stock'!CI10</f>
        <v/>
      </c>
      <c r="CR15" s="15">
        <f>'Grid_Stock'!CJ10</f>
        <v/>
      </c>
      <c r="CS15" s="15">
        <f>'Grid_Stock'!CK10</f>
        <v/>
      </c>
      <c r="CT15" s="15">
        <f>'Grid_Stock'!CL10</f>
        <v/>
      </c>
      <c r="CU15" s="15">
        <f>'Grid_Stock'!CM10</f>
        <v/>
      </c>
      <c r="CV15" s="15">
        <f>'Grid_Stock'!CN10</f>
        <v/>
      </c>
      <c r="CW15" s="15">
        <f>'Grid_Stock'!CO10</f>
        <v/>
      </c>
      <c r="CX15" s="15">
        <f>'Grid_Stock'!CP10</f>
        <v/>
      </c>
      <c r="CY15" s="15">
        <f>'Grid_Stock'!CQ10</f>
        <v/>
      </c>
      <c r="CZ15" s="15">
        <f>'Grid_Stock'!CR10</f>
        <v/>
      </c>
      <c r="DA15" s="15">
        <f>'Grid_Stock'!CS10</f>
        <v/>
      </c>
      <c r="DB15" s="15">
        <f>'Grid_Stock'!CT10</f>
        <v/>
      </c>
      <c r="DC15" s="15">
        <f>'Grid_Stock'!CU10</f>
        <v/>
      </c>
      <c r="DD15" s="15">
        <f>'Grid_Stock'!CV10</f>
        <v/>
      </c>
      <c r="DE15" s="15">
        <f>'Grid_Stock'!CW10</f>
        <v/>
      </c>
      <c r="DF15" s="15">
        <f>'Grid_Stock'!CX10</f>
        <v/>
      </c>
      <c r="DG15" s="15">
        <f>'Grid_Stock'!CY10</f>
        <v/>
      </c>
      <c r="DH15" s="15">
        <f>'Grid_Stock'!CZ10</f>
        <v/>
      </c>
      <c r="DI15" s="15">
        <f>'Grid_Stock'!DA10</f>
        <v/>
      </c>
    </row>
    <row r="16">
      <c r="A16" s="17" t="inlineStr">
        <is>
          <t>PET FILM(900*1000)</t>
        </is>
      </c>
      <c r="B16" s="17">
        <f>IFERROR(INDEX(M_RawMaterials[Description],MATCH($A16,M_RawMaterials[RM_Code],0)),"")</f>
        <v/>
      </c>
      <c r="C16" s="17">
        <f>IFERROR(INDEX(M_RawMaterials[Category],MATCH($A16,M_RawMaterials[RM_Code],0)),"")</f>
        <v/>
      </c>
      <c r="D16" s="17">
        <f>IFERROR(INDEX(M_RawMaterials[SafetyStock_Qty_要入力],MATCH($A16,M_RawMaterials[RM_Code],0)),0)</f>
        <v/>
      </c>
      <c r="E16" s="17">
        <f>IFERROR(LOOKUP(2,1/(T_SelfStock!$A$2:$A$12000=$A16),T_SelfStock!$D$2:$D$12000),"")</f>
        <v/>
      </c>
      <c r="F16" s="17">
        <f>IFERROR(LOOKUP(2,1/(T_TTAFStock!$A$2:$A$12000=$A16),T_TTAFStock!$D$2:$D$12000),"")</f>
        <v/>
      </c>
      <c r="G16" s="17">
        <f>IFERROR(INDEX(Cal_Weeks[Label],LOOKUP(2,1/(T_SelfStock!$A$2:$A$12000=$A16),T_SelfStock!$B$2:$B$12000)),"")</f>
        <v/>
      </c>
      <c r="H16" s="17">
        <f>IF(MIN(J16:DI16)&lt;D16,"要発注","OK")</f>
        <v/>
      </c>
      <c r="I16" s="16">
        <f>IFERROR(INDEX(J16:DI16,$F$1),"")</f>
        <v/>
      </c>
      <c r="J16" s="17">
        <f>'Grid_Stock'!B11</f>
        <v/>
      </c>
      <c r="K16" s="17">
        <f>'Grid_Stock'!C11</f>
        <v/>
      </c>
      <c r="L16" s="17">
        <f>'Grid_Stock'!D11</f>
        <v/>
      </c>
      <c r="M16" s="17">
        <f>'Grid_Stock'!E11</f>
        <v/>
      </c>
      <c r="N16" s="17">
        <f>'Grid_Stock'!F11</f>
        <v/>
      </c>
      <c r="O16" s="17">
        <f>'Grid_Stock'!G11</f>
        <v/>
      </c>
      <c r="P16" s="17">
        <f>'Grid_Stock'!H11</f>
        <v/>
      </c>
      <c r="Q16" s="17">
        <f>'Grid_Stock'!I11</f>
        <v/>
      </c>
      <c r="R16" s="17">
        <f>'Grid_Stock'!J11</f>
        <v/>
      </c>
      <c r="S16" s="17">
        <f>'Grid_Stock'!K11</f>
        <v/>
      </c>
      <c r="T16" s="17">
        <f>'Grid_Stock'!L11</f>
        <v/>
      </c>
      <c r="U16" s="17">
        <f>'Grid_Stock'!M11</f>
        <v/>
      </c>
      <c r="V16" s="17">
        <f>'Grid_Stock'!N11</f>
        <v/>
      </c>
      <c r="W16" s="17">
        <f>'Grid_Stock'!O11</f>
        <v/>
      </c>
      <c r="X16" s="17">
        <f>'Grid_Stock'!P11</f>
        <v/>
      </c>
      <c r="Y16" s="17">
        <f>'Grid_Stock'!Q11</f>
        <v/>
      </c>
      <c r="Z16" s="17">
        <f>'Grid_Stock'!R11</f>
        <v/>
      </c>
      <c r="AA16" s="17">
        <f>'Grid_Stock'!S11</f>
        <v/>
      </c>
      <c r="AB16" s="17">
        <f>'Grid_Stock'!T11</f>
        <v/>
      </c>
      <c r="AC16" s="17">
        <f>'Grid_Stock'!U11</f>
        <v/>
      </c>
      <c r="AD16" s="17">
        <f>'Grid_Stock'!V11</f>
        <v/>
      </c>
      <c r="AE16" s="17">
        <f>'Grid_Stock'!W11</f>
        <v/>
      </c>
      <c r="AF16" s="17">
        <f>'Grid_Stock'!X11</f>
        <v/>
      </c>
      <c r="AG16" s="17">
        <f>'Grid_Stock'!Y11</f>
        <v/>
      </c>
      <c r="AH16" s="17">
        <f>'Grid_Stock'!Z11</f>
        <v/>
      </c>
      <c r="AI16" s="17">
        <f>'Grid_Stock'!AA11</f>
        <v/>
      </c>
      <c r="AJ16" s="17">
        <f>'Grid_Stock'!AB11</f>
        <v/>
      </c>
      <c r="AK16" s="17">
        <f>'Grid_Stock'!AC11</f>
        <v/>
      </c>
      <c r="AL16" s="17">
        <f>'Grid_Stock'!AD11</f>
        <v/>
      </c>
      <c r="AM16" s="17">
        <f>'Grid_Stock'!AE11</f>
        <v/>
      </c>
      <c r="AN16" s="17">
        <f>'Grid_Stock'!AF11</f>
        <v/>
      </c>
      <c r="AO16" s="17">
        <f>'Grid_Stock'!AG11</f>
        <v/>
      </c>
      <c r="AP16" s="17">
        <f>'Grid_Stock'!AH11</f>
        <v/>
      </c>
      <c r="AQ16" s="17">
        <f>'Grid_Stock'!AI11</f>
        <v/>
      </c>
      <c r="AR16" s="17">
        <f>'Grid_Stock'!AJ11</f>
        <v/>
      </c>
      <c r="AS16" s="17">
        <f>'Grid_Stock'!AK11</f>
        <v/>
      </c>
      <c r="AT16" s="17">
        <f>'Grid_Stock'!AL11</f>
        <v/>
      </c>
      <c r="AU16" s="17">
        <f>'Grid_Stock'!AM11</f>
        <v/>
      </c>
      <c r="AV16" s="17">
        <f>'Grid_Stock'!AN11</f>
        <v/>
      </c>
      <c r="AW16" s="17">
        <f>'Grid_Stock'!AO11</f>
        <v/>
      </c>
      <c r="AX16" s="17">
        <f>'Grid_Stock'!AP11</f>
        <v/>
      </c>
      <c r="AY16" s="17">
        <f>'Grid_Stock'!AQ11</f>
        <v/>
      </c>
      <c r="AZ16" s="17">
        <f>'Grid_Stock'!AR11</f>
        <v/>
      </c>
      <c r="BA16" s="17">
        <f>'Grid_Stock'!AS11</f>
        <v/>
      </c>
      <c r="BB16" s="17">
        <f>'Grid_Stock'!AT11</f>
        <v/>
      </c>
      <c r="BC16" s="17">
        <f>'Grid_Stock'!AU11</f>
        <v/>
      </c>
      <c r="BD16" s="17">
        <f>'Grid_Stock'!AV11</f>
        <v/>
      </c>
      <c r="BE16" s="17">
        <f>'Grid_Stock'!AW11</f>
        <v/>
      </c>
      <c r="BF16" s="17">
        <f>'Grid_Stock'!AX11</f>
        <v/>
      </c>
      <c r="BG16" s="17">
        <f>'Grid_Stock'!AY11</f>
        <v/>
      </c>
      <c r="BH16" s="17">
        <f>'Grid_Stock'!AZ11</f>
        <v/>
      </c>
      <c r="BI16" s="17">
        <f>'Grid_Stock'!BA11</f>
        <v/>
      </c>
      <c r="BJ16" s="17">
        <f>'Grid_Stock'!BB11</f>
        <v/>
      </c>
      <c r="BK16" s="17">
        <f>'Grid_Stock'!BC11</f>
        <v/>
      </c>
      <c r="BL16" s="17">
        <f>'Grid_Stock'!BD11</f>
        <v/>
      </c>
      <c r="BM16" s="17">
        <f>'Grid_Stock'!BE11</f>
        <v/>
      </c>
      <c r="BN16" s="17">
        <f>'Grid_Stock'!BF11</f>
        <v/>
      </c>
      <c r="BO16" s="17">
        <f>'Grid_Stock'!BG11</f>
        <v/>
      </c>
      <c r="BP16" s="17">
        <f>'Grid_Stock'!BH11</f>
        <v/>
      </c>
      <c r="BQ16" s="17">
        <f>'Grid_Stock'!BI11</f>
        <v/>
      </c>
      <c r="BR16" s="17">
        <f>'Grid_Stock'!BJ11</f>
        <v/>
      </c>
      <c r="BS16" s="17">
        <f>'Grid_Stock'!BK11</f>
        <v/>
      </c>
      <c r="BT16" s="17">
        <f>'Grid_Stock'!BL11</f>
        <v/>
      </c>
      <c r="BU16" s="17">
        <f>'Grid_Stock'!BM11</f>
        <v/>
      </c>
      <c r="BV16" s="17">
        <f>'Grid_Stock'!BN11</f>
        <v/>
      </c>
      <c r="BW16" s="17">
        <f>'Grid_Stock'!BO11</f>
        <v/>
      </c>
      <c r="BX16" s="17">
        <f>'Grid_Stock'!BP11</f>
        <v/>
      </c>
      <c r="BY16" s="17">
        <f>'Grid_Stock'!BQ11</f>
        <v/>
      </c>
      <c r="BZ16" s="17">
        <f>'Grid_Stock'!BR11</f>
        <v/>
      </c>
      <c r="CA16" s="17">
        <f>'Grid_Stock'!BS11</f>
        <v/>
      </c>
      <c r="CB16" s="17">
        <f>'Grid_Stock'!BT11</f>
        <v/>
      </c>
      <c r="CC16" s="17">
        <f>'Grid_Stock'!BU11</f>
        <v/>
      </c>
      <c r="CD16" s="17">
        <f>'Grid_Stock'!BV11</f>
        <v/>
      </c>
      <c r="CE16" s="17">
        <f>'Grid_Stock'!BW11</f>
        <v/>
      </c>
      <c r="CF16" s="17">
        <f>'Grid_Stock'!BX11</f>
        <v/>
      </c>
      <c r="CG16" s="17">
        <f>'Grid_Stock'!BY11</f>
        <v/>
      </c>
      <c r="CH16" s="17">
        <f>'Grid_Stock'!BZ11</f>
        <v/>
      </c>
      <c r="CI16" s="17">
        <f>'Grid_Stock'!CA11</f>
        <v/>
      </c>
      <c r="CJ16" s="17">
        <f>'Grid_Stock'!CB11</f>
        <v/>
      </c>
      <c r="CK16" s="17">
        <f>'Grid_Stock'!CC11</f>
        <v/>
      </c>
      <c r="CL16" s="17">
        <f>'Grid_Stock'!CD11</f>
        <v/>
      </c>
      <c r="CM16" s="17">
        <f>'Grid_Stock'!CE11</f>
        <v/>
      </c>
      <c r="CN16" s="17">
        <f>'Grid_Stock'!CF11</f>
        <v/>
      </c>
      <c r="CO16" s="17">
        <f>'Grid_Stock'!CG11</f>
        <v/>
      </c>
      <c r="CP16" s="17">
        <f>'Grid_Stock'!CH11</f>
        <v/>
      </c>
      <c r="CQ16" s="17">
        <f>'Grid_Stock'!CI11</f>
        <v/>
      </c>
      <c r="CR16" s="17">
        <f>'Grid_Stock'!CJ11</f>
        <v/>
      </c>
      <c r="CS16" s="17">
        <f>'Grid_Stock'!CK11</f>
        <v/>
      </c>
      <c r="CT16" s="17">
        <f>'Grid_Stock'!CL11</f>
        <v/>
      </c>
      <c r="CU16" s="17">
        <f>'Grid_Stock'!CM11</f>
        <v/>
      </c>
      <c r="CV16" s="17">
        <f>'Grid_Stock'!CN11</f>
        <v/>
      </c>
      <c r="CW16" s="17">
        <f>'Grid_Stock'!CO11</f>
        <v/>
      </c>
      <c r="CX16" s="17">
        <f>'Grid_Stock'!CP11</f>
        <v/>
      </c>
      <c r="CY16" s="17">
        <f>'Grid_Stock'!CQ11</f>
        <v/>
      </c>
      <c r="CZ16" s="17">
        <f>'Grid_Stock'!CR11</f>
        <v/>
      </c>
      <c r="DA16" s="17">
        <f>'Grid_Stock'!CS11</f>
        <v/>
      </c>
      <c r="DB16" s="17">
        <f>'Grid_Stock'!CT11</f>
        <v/>
      </c>
      <c r="DC16" s="17">
        <f>'Grid_Stock'!CU11</f>
        <v/>
      </c>
      <c r="DD16" s="17">
        <f>'Grid_Stock'!CV11</f>
        <v/>
      </c>
      <c r="DE16" s="17">
        <f>'Grid_Stock'!CW11</f>
        <v/>
      </c>
      <c r="DF16" s="17">
        <f>'Grid_Stock'!CX11</f>
        <v/>
      </c>
      <c r="DG16" s="17">
        <f>'Grid_Stock'!CY11</f>
        <v/>
      </c>
      <c r="DH16" s="17">
        <f>'Grid_Stock'!CZ11</f>
        <v/>
      </c>
      <c r="DI16" s="17">
        <f>'Grid_Stock'!DA11</f>
        <v/>
      </c>
    </row>
    <row r="17">
      <c r="A17" s="15" t="inlineStr">
        <is>
          <t>4HL</t>
        </is>
      </c>
      <c r="B17" s="15">
        <f>IFERROR(INDEX(M_RawMaterials[Description],MATCH($A17,M_RawMaterials[RM_Code],0)),"")</f>
        <v/>
      </c>
      <c r="C17" s="15">
        <f>IFERROR(INDEX(M_RawMaterials[Category],MATCH($A17,M_RawMaterials[RM_Code],0)),"")</f>
        <v/>
      </c>
      <c r="D17" s="15">
        <f>IFERROR(INDEX(M_RawMaterials[SafetyStock_Qty_要入力],MATCH($A17,M_RawMaterials[RM_Code],0)),0)</f>
        <v/>
      </c>
      <c r="E17" s="15">
        <f>IFERROR(LOOKUP(2,1/(T_SelfStock!$A$2:$A$12000=$A17),T_SelfStock!$D$2:$D$12000),"")</f>
        <v/>
      </c>
      <c r="F17" s="15">
        <f>IFERROR(LOOKUP(2,1/(T_TTAFStock!$A$2:$A$12000=$A17),T_TTAFStock!$D$2:$D$12000),"")</f>
        <v/>
      </c>
      <c r="G17" s="15">
        <f>IFERROR(INDEX(Cal_Weeks[Label],LOOKUP(2,1/(T_SelfStock!$A$2:$A$12000=$A17),T_SelfStock!$B$2:$B$12000)),"")</f>
        <v/>
      </c>
      <c r="H17" s="15">
        <f>IF(MIN(J17:DI17)&lt;D17,"要発注","OK")</f>
        <v/>
      </c>
      <c r="I17" s="16">
        <f>IFERROR(INDEX(J17:DI17,$F$1),"")</f>
        <v/>
      </c>
      <c r="J17" s="15">
        <f>'Grid_Stock'!B12</f>
        <v/>
      </c>
      <c r="K17" s="15">
        <f>'Grid_Stock'!C12</f>
        <v/>
      </c>
      <c r="L17" s="15">
        <f>'Grid_Stock'!D12</f>
        <v/>
      </c>
      <c r="M17" s="15">
        <f>'Grid_Stock'!E12</f>
        <v/>
      </c>
      <c r="N17" s="15">
        <f>'Grid_Stock'!F12</f>
        <v/>
      </c>
      <c r="O17" s="15">
        <f>'Grid_Stock'!G12</f>
        <v/>
      </c>
      <c r="P17" s="15">
        <f>'Grid_Stock'!H12</f>
        <v/>
      </c>
      <c r="Q17" s="15">
        <f>'Grid_Stock'!I12</f>
        <v/>
      </c>
      <c r="R17" s="15">
        <f>'Grid_Stock'!J12</f>
        <v/>
      </c>
      <c r="S17" s="15">
        <f>'Grid_Stock'!K12</f>
        <v/>
      </c>
      <c r="T17" s="15">
        <f>'Grid_Stock'!L12</f>
        <v/>
      </c>
      <c r="U17" s="15">
        <f>'Grid_Stock'!M12</f>
        <v/>
      </c>
      <c r="V17" s="15">
        <f>'Grid_Stock'!N12</f>
        <v/>
      </c>
      <c r="W17" s="15">
        <f>'Grid_Stock'!O12</f>
        <v/>
      </c>
      <c r="X17" s="15">
        <f>'Grid_Stock'!P12</f>
        <v/>
      </c>
      <c r="Y17" s="15">
        <f>'Grid_Stock'!Q12</f>
        <v/>
      </c>
      <c r="Z17" s="15">
        <f>'Grid_Stock'!R12</f>
        <v/>
      </c>
      <c r="AA17" s="15">
        <f>'Grid_Stock'!S12</f>
        <v/>
      </c>
      <c r="AB17" s="15">
        <f>'Grid_Stock'!T12</f>
        <v/>
      </c>
      <c r="AC17" s="15">
        <f>'Grid_Stock'!U12</f>
        <v/>
      </c>
      <c r="AD17" s="15">
        <f>'Grid_Stock'!V12</f>
        <v/>
      </c>
      <c r="AE17" s="15">
        <f>'Grid_Stock'!W12</f>
        <v/>
      </c>
      <c r="AF17" s="15">
        <f>'Grid_Stock'!X12</f>
        <v/>
      </c>
      <c r="AG17" s="15">
        <f>'Grid_Stock'!Y12</f>
        <v/>
      </c>
      <c r="AH17" s="15">
        <f>'Grid_Stock'!Z12</f>
        <v/>
      </c>
      <c r="AI17" s="15">
        <f>'Grid_Stock'!AA12</f>
        <v/>
      </c>
      <c r="AJ17" s="15">
        <f>'Grid_Stock'!AB12</f>
        <v/>
      </c>
      <c r="AK17" s="15">
        <f>'Grid_Stock'!AC12</f>
        <v/>
      </c>
      <c r="AL17" s="15">
        <f>'Grid_Stock'!AD12</f>
        <v/>
      </c>
      <c r="AM17" s="15">
        <f>'Grid_Stock'!AE12</f>
        <v/>
      </c>
      <c r="AN17" s="15">
        <f>'Grid_Stock'!AF12</f>
        <v/>
      </c>
      <c r="AO17" s="15">
        <f>'Grid_Stock'!AG12</f>
        <v/>
      </c>
      <c r="AP17" s="15">
        <f>'Grid_Stock'!AH12</f>
        <v/>
      </c>
      <c r="AQ17" s="15">
        <f>'Grid_Stock'!AI12</f>
        <v/>
      </c>
      <c r="AR17" s="15">
        <f>'Grid_Stock'!AJ12</f>
        <v/>
      </c>
      <c r="AS17" s="15">
        <f>'Grid_Stock'!AK12</f>
        <v/>
      </c>
      <c r="AT17" s="15">
        <f>'Grid_Stock'!AL12</f>
        <v/>
      </c>
      <c r="AU17" s="15">
        <f>'Grid_Stock'!AM12</f>
        <v/>
      </c>
      <c r="AV17" s="15">
        <f>'Grid_Stock'!AN12</f>
        <v/>
      </c>
      <c r="AW17" s="15">
        <f>'Grid_Stock'!AO12</f>
        <v/>
      </c>
      <c r="AX17" s="15">
        <f>'Grid_Stock'!AP12</f>
        <v/>
      </c>
      <c r="AY17" s="15">
        <f>'Grid_Stock'!AQ12</f>
        <v/>
      </c>
      <c r="AZ17" s="15">
        <f>'Grid_Stock'!AR12</f>
        <v/>
      </c>
      <c r="BA17" s="15">
        <f>'Grid_Stock'!AS12</f>
        <v/>
      </c>
      <c r="BB17" s="15">
        <f>'Grid_Stock'!AT12</f>
        <v/>
      </c>
      <c r="BC17" s="15">
        <f>'Grid_Stock'!AU12</f>
        <v/>
      </c>
      <c r="BD17" s="15">
        <f>'Grid_Stock'!AV12</f>
        <v/>
      </c>
      <c r="BE17" s="15">
        <f>'Grid_Stock'!AW12</f>
        <v/>
      </c>
      <c r="BF17" s="15">
        <f>'Grid_Stock'!AX12</f>
        <v/>
      </c>
      <c r="BG17" s="15">
        <f>'Grid_Stock'!AY12</f>
        <v/>
      </c>
      <c r="BH17" s="15">
        <f>'Grid_Stock'!AZ12</f>
        <v/>
      </c>
      <c r="BI17" s="15">
        <f>'Grid_Stock'!BA12</f>
        <v/>
      </c>
      <c r="BJ17" s="15">
        <f>'Grid_Stock'!BB12</f>
        <v/>
      </c>
      <c r="BK17" s="15">
        <f>'Grid_Stock'!BC12</f>
        <v/>
      </c>
      <c r="BL17" s="15">
        <f>'Grid_Stock'!BD12</f>
        <v/>
      </c>
      <c r="BM17" s="15">
        <f>'Grid_Stock'!BE12</f>
        <v/>
      </c>
      <c r="BN17" s="15">
        <f>'Grid_Stock'!BF12</f>
        <v/>
      </c>
      <c r="BO17" s="15">
        <f>'Grid_Stock'!BG12</f>
        <v/>
      </c>
      <c r="BP17" s="15">
        <f>'Grid_Stock'!BH12</f>
        <v/>
      </c>
      <c r="BQ17" s="15">
        <f>'Grid_Stock'!BI12</f>
        <v/>
      </c>
      <c r="BR17" s="15">
        <f>'Grid_Stock'!BJ12</f>
        <v/>
      </c>
      <c r="BS17" s="15">
        <f>'Grid_Stock'!BK12</f>
        <v/>
      </c>
      <c r="BT17" s="15">
        <f>'Grid_Stock'!BL12</f>
        <v/>
      </c>
      <c r="BU17" s="15">
        <f>'Grid_Stock'!BM12</f>
        <v/>
      </c>
      <c r="BV17" s="15">
        <f>'Grid_Stock'!BN12</f>
        <v/>
      </c>
      <c r="BW17" s="15">
        <f>'Grid_Stock'!BO12</f>
        <v/>
      </c>
      <c r="BX17" s="15">
        <f>'Grid_Stock'!BP12</f>
        <v/>
      </c>
      <c r="BY17" s="15">
        <f>'Grid_Stock'!BQ12</f>
        <v/>
      </c>
      <c r="BZ17" s="15">
        <f>'Grid_Stock'!BR12</f>
        <v/>
      </c>
      <c r="CA17" s="15">
        <f>'Grid_Stock'!BS12</f>
        <v/>
      </c>
      <c r="CB17" s="15">
        <f>'Grid_Stock'!BT12</f>
        <v/>
      </c>
      <c r="CC17" s="15">
        <f>'Grid_Stock'!BU12</f>
        <v/>
      </c>
      <c r="CD17" s="15">
        <f>'Grid_Stock'!BV12</f>
        <v/>
      </c>
      <c r="CE17" s="15">
        <f>'Grid_Stock'!BW12</f>
        <v/>
      </c>
      <c r="CF17" s="15">
        <f>'Grid_Stock'!BX12</f>
        <v/>
      </c>
      <c r="CG17" s="15">
        <f>'Grid_Stock'!BY12</f>
        <v/>
      </c>
      <c r="CH17" s="15">
        <f>'Grid_Stock'!BZ12</f>
        <v/>
      </c>
      <c r="CI17" s="15">
        <f>'Grid_Stock'!CA12</f>
        <v/>
      </c>
      <c r="CJ17" s="15">
        <f>'Grid_Stock'!CB12</f>
        <v/>
      </c>
      <c r="CK17" s="15">
        <f>'Grid_Stock'!CC12</f>
        <v/>
      </c>
      <c r="CL17" s="15">
        <f>'Grid_Stock'!CD12</f>
        <v/>
      </c>
      <c r="CM17" s="15">
        <f>'Grid_Stock'!CE12</f>
        <v/>
      </c>
      <c r="CN17" s="15">
        <f>'Grid_Stock'!CF12</f>
        <v/>
      </c>
      <c r="CO17" s="15">
        <f>'Grid_Stock'!CG12</f>
        <v/>
      </c>
      <c r="CP17" s="15">
        <f>'Grid_Stock'!CH12</f>
        <v/>
      </c>
      <c r="CQ17" s="15">
        <f>'Grid_Stock'!CI12</f>
        <v/>
      </c>
      <c r="CR17" s="15">
        <f>'Grid_Stock'!CJ12</f>
        <v/>
      </c>
      <c r="CS17" s="15">
        <f>'Grid_Stock'!CK12</f>
        <v/>
      </c>
      <c r="CT17" s="15">
        <f>'Grid_Stock'!CL12</f>
        <v/>
      </c>
      <c r="CU17" s="15">
        <f>'Grid_Stock'!CM12</f>
        <v/>
      </c>
      <c r="CV17" s="15">
        <f>'Grid_Stock'!CN12</f>
        <v/>
      </c>
      <c r="CW17" s="15">
        <f>'Grid_Stock'!CO12</f>
        <v/>
      </c>
      <c r="CX17" s="15">
        <f>'Grid_Stock'!CP12</f>
        <v/>
      </c>
      <c r="CY17" s="15">
        <f>'Grid_Stock'!CQ12</f>
        <v/>
      </c>
      <c r="CZ17" s="15">
        <f>'Grid_Stock'!CR12</f>
        <v/>
      </c>
      <c r="DA17" s="15">
        <f>'Grid_Stock'!CS12</f>
        <v/>
      </c>
      <c r="DB17" s="15">
        <f>'Grid_Stock'!CT12</f>
        <v/>
      </c>
      <c r="DC17" s="15">
        <f>'Grid_Stock'!CU12</f>
        <v/>
      </c>
      <c r="DD17" s="15">
        <f>'Grid_Stock'!CV12</f>
        <v/>
      </c>
      <c r="DE17" s="15">
        <f>'Grid_Stock'!CW12</f>
        <v/>
      </c>
      <c r="DF17" s="15">
        <f>'Grid_Stock'!CX12</f>
        <v/>
      </c>
      <c r="DG17" s="15">
        <f>'Grid_Stock'!CY12</f>
        <v/>
      </c>
      <c r="DH17" s="15">
        <f>'Grid_Stock'!CZ12</f>
        <v/>
      </c>
      <c r="DI17" s="15">
        <f>'Grid_Stock'!DA12</f>
        <v/>
      </c>
    </row>
    <row r="18">
      <c r="A18" s="17" t="inlineStr">
        <is>
          <t>1EK</t>
        </is>
      </c>
      <c r="B18" s="17">
        <f>IFERROR(INDEX(M_RawMaterials[Description],MATCH($A18,M_RawMaterials[RM_Code],0)),"")</f>
        <v/>
      </c>
      <c r="C18" s="17">
        <f>IFERROR(INDEX(M_RawMaterials[Category],MATCH($A18,M_RawMaterials[RM_Code],0)),"")</f>
        <v/>
      </c>
      <c r="D18" s="17">
        <f>IFERROR(INDEX(M_RawMaterials[SafetyStock_Qty_要入力],MATCH($A18,M_RawMaterials[RM_Code],0)),0)</f>
        <v/>
      </c>
      <c r="E18" s="17">
        <f>IFERROR(LOOKUP(2,1/(T_SelfStock!$A$2:$A$12000=$A18),T_SelfStock!$D$2:$D$12000),"")</f>
        <v/>
      </c>
      <c r="F18" s="17">
        <f>IFERROR(LOOKUP(2,1/(T_TTAFStock!$A$2:$A$12000=$A18),T_TTAFStock!$D$2:$D$12000),"")</f>
        <v/>
      </c>
      <c r="G18" s="17">
        <f>IFERROR(INDEX(Cal_Weeks[Label],LOOKUP(2,1/(T_SelfStock!$A$2:$A$12000=$A18),T_SelfStock!$B$2:$B$12000)),"")</f>
        <v/>
      </c>
      <c r="H18" s="17">
        <f>IF(MIN(J18:DI18)&lt;D18,"要発注","OK")</f>
        <v/>
      </c>
      <c r="I18" s="16">
        <f>IFERROR(INDEX(J18:DI18,$F$1),"")</f>
        <v/>
      </c>
      <c r="J18" s="17">
        <f>'Grid_Stock'!B13</f>
        <v/>
      </c>
      <c r="K18" s="17">
        <f>'Grid_Stock'!C13</f>
        <v/>
      </c>
      <c r="L18" s="17">
        <f>'Grid_Stock'!D13</f>
        <v/>
      </c>
      <c r="M18" s="17">
        <f>'Grid_Stock'!E13</f>
        <v/>
      </c>
      <c r="N18" s="17">
        <f>'Grid_Stock'!F13</f>
        <v/>
      </c>
      <c r="O18" s="17">
        <f>'Grid_Stock'!G13</f>
        <v/>
      </c>
      <c r="P18" s="17">
        <f>'Grid_Stock'!H13</f>
        <v/>
      </c>
      <c r="Q18" s="17">
        <f>'Grid_Stock'!I13</f>
        <v/>
      </c>
      <c r="R18" s="17">
        <f>'Grid_Stock'!J13</f>
        <v/>
      </c>
      <c r="S18" s="17">
        <f>'Grid_Stock'!K13</f>
        <v/>
      </c>
      <c r="T18" s="17">
        <f>'Grid_Stock'!L13</f>
        <v/>
      </c>
      <c r="U18" s="17">
        <f>'Grid_Stock'!M13</f>
        <v/>
      </c>
      <c r="V18" s="17">
        <f>'Grid_Stock'!N13</f>
        <v/>
      </c>
      <c r="W18" s="17">
        <f>'Grid_Stock'!O13</f>
        <v/>
      </c>
      <c r="X18" s="17">
        <f>'Grid_Stock'!P13</f>
        <v/>
      </c>
      <c r="Y18" s="17">
        <f>'Grid_Stock'!Q13</f>
        <v/>
      </c>
      <c r="Z18" s="17">
        <f>'Grid_Stock'!R13</f>
        <v/>
      </c>
      <c r="AA18" s="17">
        <f>'Grid_Stock'!S13</f>
        <v/>
      </c>
      <c r="AB18" s="17">
        <f>'Grid_Stock'!T13</f>
        <v/>
      </c>
      <c r="AC18" s="17">
        <f>'Grid_Stock'!U13</f>
        <v/>
      </c>
      <c r="AD18" s="17">
        <f>'Grid_Stock'!V13</f>
        <v/>
      </c>
      <c r="AE18" s="17">
        <f>'Grid_Stock'!W13</f>
        <v/>
      </c>
      <c r="AF18" s="17">
        <f>'Grid_Stock'!X13</f>
        <v/>
      </c>
      <c r="AG18" s="17">
        <f>'Grid_Stock'!Y13</f>
        <v/>
      </c>
      <c r="AH18" s="17">
        <f>'Grid_Stock'!Z13</f>
        <v/>
      </c>
      <c r="AI18" s="17">
        <f>'Grid_Stock'!AA13</f>
        <v/>
      </c>
      <c r="AJ18" s="17">
        <f>'Grid_Stock'!AB13</f>
        <v/>
      </c>
      <c r="AK18" s="17">
        <f>'Grid_Stock'!AC13</f>
        <v/>
      </c>
      <c r="AL18" s="17">
        <f>'Grid_Stock'!AD13</f>
        <v/>
      </c>
      <c r="AM18" s="17">
        <f>'Grid_Stock'!AE13</f>
        <v/>
      </c>
      <c r="AN18" s="17">
        <f>'Grid_Stock'!AF13</f>
        <v/>
      </c>
      <c r="AO18" s="17">
        <f>'Grid_Stock'!AG13</f>
        <v/>
      </c>
      <c r="AP18" s="17">
        <f>'Grid_Stock'!AH13</f>
        <v/>
      </c>
      <c r="AQ18" s="17">
        <f>'Grid_Stock'!AI13</f>
        <v/>
      </c>
      <c r="AR18" s="17">
        <f>'Grid_Stock'!AJ13</f>
        <v/>
      </c>
      <c r="AS18" s="17">
        <f>'Grid_Stock'!AK13</f>
        <v/>
      </c>
      <c r="AT18" s="17">
        <f>'Grid_Stock'!AL13</f>
        <v/>
      </c>
      <c r="AU18" s="17">
        <f>'Grid_Stock'!AM13</f>
        <v/>
      </c>
      <c r="AV18" s="17">
        <f>'Grid_Stock'!AN13</f>
        <v/>
      </c>
      <c r="AW18" s="17">
        <f>'Grid_Stock'!AO13</f>
        <v/>
      </c>
      <c r="AX18" s="17">
        <f>'Grid_Stock'!AP13</f>
        <v/>
      </c>
      <c r="AY18" s="17">
        <f>'Grid_Stock'!AQ13</f>
        <v/>
      </c>
      <c r="AZ18" s="17">
        <f>'Grid_Stock'!AR13</f>
        <v/>
      </c>
      <c r="BA18" s="17">
        <f>'Grid_Stock'!AS13</f>
        <v/>
      </c>
      <c r="BB18" s="17">
        <f>'Grid_Stock'!AT13</f>
        <v/>
      </c>
      <c r="BC18" s="17">
        <f>'Grid_Stock'!AU13</f>
        <v/>
      </c>
      <c r="BD18" s="17">
        <f>'Grid_Stock'!AV13</f>
        <v/>
      </c>
      <c r="BE18" s="17">
        <f>'Grid_Stock'!AW13</f>
        <v/>
      </c>
      <c r="BF18" s="17">
        <f>'Grid_Stock'!AX13</f>
        <v/>
      </c>
      <c r="BG18" s="17">
        <f>'Grid_Stock'!AY13</f>
        <v/>
      </c>
      <c r="BH18" s="17">
        <f>'Grid_Stock'!AZ13</f>
        <v/>
      </c>
      <c r="BI18" s="17">
        <f>'Grid_Stock'!BA13</f>
        <v/>
      </c>
      <c r="BJ18" s="17">
        <f>'Grid_Stock'!BB13</f>
        <v/>
      </c>
      <c r="BK18" s="17">
        <f>'Grid_Stock'!BC13</f>
        <v/>
      </c>
      <c r="BL18" s="17">
        <f>'Grid_Stock'!BD13</f>
        <v/>
      </c>
      <c r="BM18" s="17">
        <f>'Grid_Stock'!BE13</f>
        <v/>
      </c>
      <c r="BN18" s="17">
        <f>'Grid_Stock'!BF13</f>
        <v/>
      </c>
      <c r="BO18" s="17">
        <f>'Grid_Stock'!BG13</f>
        <v/>
      </c>
      <c r="BP18" s="17">
        <f>'Grid_Stock'!BH13</f>
        <v/>
      </c>
      <c r="BQ18" s="17">
        <f>'Grid_Stock'!BI13</f>
        <v/>
      </c>
      <c r="BR18" s="17">
        <f>'Grid_Stock'!BJ13</f>
        <v/>
      </c>
      <c r="BS18" s="17">
        <f>'Grid_Stock'!BK13</f>
        <v/>
      </c>
      <c r="BT18" s="17">
        <f>'Grid_Stock'!BL13</f>
        <v/>
      </c>
      <c r="BU18" s="17">
        <f>'Grid_Stock'!BM13</f>
        <v/>
      </c>
      <c r="BV18" s="17">
        <f>'Grid_Stock'!BN13</f>
        <v/>
      </c>
      <c r="BW18" s="17">
        <f>'Grid_Stock'!BO13</f>
        <v/>
      </c>
      <c r="BX18" s="17">
        <f>'Grid_Stock'!BP13</f>
        <v/>
      </c>
      <c r="BY18" s="17">
        <f>'Grid_Stock'!BQ13</f>
        <v/>
      </c>
      <c r="BZ18" s="17">
        <f>'Grid_Stock'!BR13</f>
        <v/>
      </c>
      <c r="CA18" s="17">
        <f>'Grid_Stock'!BS13</f>
        <v/>
      </c>
      <c r="CB18" s="17">
        <f>'Grid_Stock'!BT13</f>
        <v/>
      </c>
      <c r="CC18" s="17">
        <f>'Grid_Stock'!BU13</f>
        <v/>
      </c>
      <c r="CD18" s="17">
        <f>'Grid_Stock'!BV13</f>
        <v/>
      </c>
      <c r="CE18" s="17">
        <f>'Grid_Stock'!BW13</f>
        <v/>
      </c>
      <c r="CF18" s="17">
        <f>'Grid_Stock'!BX13</f>
        <v/>
      </c>
      <c r="CG18" s="17">
        <f>'Grid_Stock'!BY13</f>
        <v/>
      </c>
      <c r="CH18" s="17">
        <f>'Grid_Stock'!BZ13</f>
        <v/>
      </c>
      <c r="CI18" s="17">
        <f>'Grid_Stock'!CA13</f>
        <v/>
      </c>
      <c r="CJ18" s="17">
        <f>'Grid_Stock'!CB13</f>
        <v/>
      </c>
      <c r="CK18" s="17">
        <f>'Grid_Stock'!CC13</f>
        <v/>
      </c>
      <c r="CL18" s="17">
        <f>'Grid_Stock'!CD13</f>
        <v/>
      </c>
      <c r="CM18" s="17">
        <f>'Grid_Stock'!CE13</f>
        <v/>
      </c>
      <c r="CN18" s="17">
        <f>'Grid_Stock'!CF13</f>
        <v/>
      </c>
      <c r="CO18" s="17">
        <f>'Grid_Stock'!CG13</f>
        <v/>
      </c>
      <c r="CP18" s="17">
        <f>'Grid_Stock'!CH13</f>
        <v/>
      </c>
      <c r="CQ18" s="17">
        <f>'Grid_Stock'!CI13</f>
        <v/>
      </c>
      <c r="CR18" s="17">
        <f>'Grid_Stock'!CJ13</f>
        <v/>
      </c>
      <c r="CS18" s="17">
        <f>'Grid_Stock'!CK13</f>
        <v/>
      </c>
      <c r="CT18" s="17">
        <f>'Grid_Stock'!CL13</f>
        <v/>
      </c>
      <c r="CU18" s="17">
        <f>'Grid_Stock'!CM13</f>
        <v/>
      </c>
      <c r="CV18" s="17">
        <f>'Grid_Stock'!CN13</f>
        <v/>
      </c>
      <c r="CW18" s="17">
        <f>'Grid_Stock'!CO13</f>
        <v/>
      </c>
      <c r="CX18" s="17">
        <f>'Grid_Stock'!CP13</f>
        <v/>
      </c>
      <c r="CY18" s="17">
        <f>'Grid_Stock'!CQ13</f>
        <v/>
      </c>
      <c r="CZ18" s="17">
        <f>'Grid_Stock'!CR13</f>
        <v/>
      </c>
      <c r="DA18" s="17">
        <f>'Grid_Stock'!CS13</f>
        <v/>
      </c>
      <c r="DB18" s="17">
        <f>'Grid_Stock'!CT13</f>
        <v/>
      </c>
      <c r="DC18" s="17">
        <f>'Grid_Stock'!CU13</f>
        <v/>
      </c>
      <c r="DD18" s="17">
        <f>'Grid_Stock'!CV13</f>
        <v/>
      </c>
      <c r="DE18" s="17">
        <f>'Grid_Stock'!CW13</f>
        <v/>
      </c>
      <c r="DF18" s="17">
        <f>'Grid_Stock'!CX13</f>
        <v/>
      </c>
      <c r="DG18" s="17">
        <f>'Grid_Stock'!CY13</f>
        <v/>
      </c>
      <c r="DH18" s="17">
        <f>'Grid_Stock'!CZ13</f>
        <v/>
      </c>
      <c r="DI18" s="17">
        <f>'Grid_Stock'!DA13</f>
        <v/>
      </c>
    </row>
    <row r="19">
      <c r="A19" s="15" t="inlineStr">
        <is>
          <t>7CL</t>
        </is>
      </c>
      <c r="B19" s="15">
        <f>IFERROR(INDEX(M_RawMaterials[Description],MATCH($A19,M_RawMaterials[RM_Code],0)),"")</f>
        <v/>
      </c>
      <c r="C19" s="15">
        <f>IFERROR(INDEX(M_RawMaterials[Category],MATCH($A19,M_RawMaterials[RM_Code],0)),"")</f>
        <v/>
      </c>
      <c r="D19" s="15">
        <f>IFERROR(INDEX(M_RawMaterials[SafetyStock_Qty_要入力],MATCH($A19,M_RawMaterials[RM_Code],0)),0)</f>
        <v/>
      </c>
      <c r="E19" s="15">
        <f>IFERROR(LOOKUP(2,1/(T_SelfStock!$A$2:$A$12000=$A19),T_SelfStock!$D$2:$D$12000),"")</f>
        <v/>
      </c>
      <c r="F19" s="15">
        <f>IFERROR(LOOKUP(2,1/(T_TTAFStock!$A$2:$A$12000=$A19),T_TTAFStock!$D$2:$D$12000),"")</f>
        <v/>
      </c>
      <c r="G19" s="15">
        <f>IFERROR(INDEX(Cal_Weeks[Label],LOOKUP(2,1/(T_SelfStock!$A$2:$A$12000=$A19),T_SelfStock!$B$2:$B$12000)),"")</f>
        <v/>
      </c>
      <c r="H19" s="15">
        <f>IF(MIN(J19:DI19)&lt;D19,"要発注","OK")</f>
        <v/>
      </c>
      <c r="I19" s="16">
        <f>IFERROR(INDEX(J19:DI19,$F$1),"")</f>
        <v/>
      </c>
      <c r="J19" s="15">
        <f>'Grid_Stock'!B14</f>
        <v/>
      </c>
      <c r="K19" s="15">
        <f>'Grid_Stock'!C14</f>
        <v/>
      </c>
      <c r="L19" s="15">
        <f>'Grid_Stock'!D14</f>
        <v/>
      </c>
      <c r="M19" s="15">
        <f>'Grid_Stock'!E14</f>
        <v/>
      </c>
      <c r="N19" s="15">
        <f>'Grid_Stock'!F14</f>
        <v/>
      </c>
      <c r="O19" s="15">
        <f>'Grid_Stock'!G14</f>
        <v/>
      </c>
      <c r="P19" s="15">
        <f>'Grid_Stock'!H14</f>
        <v/>
      </c>
      <c r="Q19" s="15">
        <f>'Grid_Stock'!I14</f>
        <v/>
      </c>
      <c r="R19" s="15">
        <f>'Grid_Stock'!J14</f>
        <v/>
      </c>
      <c r="S19" s="15">
        <f>'Grid_Stock'!K14</f>
        <v/>
      </c>
      <c r="T19" s="15">
        <f>'Grid_Stock'!L14</f>
        <v/>
      </c>
      <c r="U19" s="15">
        <f>'Grid_Stock'!M14</f>
        <v/>
      </c>
      <c r="V19" s="15">
        <f>'Grid_Stock'!N14</f>
        <v/>
      </c>
      <c r="W19" s="15">
        <f>'Grid_Stock'!O14</f>
        <v/>
      </c>
      <c r="X19" s="15">
        <f>'Grid_Stock'!P14</f>
        <v/>
      </c>
      <c r="Y19" s="15">
        <f>'Grid_Stock'!Q14</f>
        <v/>
      </c>
      <c r="Z19" s="15">
        <f>'Grid_Stock'!R14</f>
        <v/>
      </c>
      <c r="AA19" s="15">
        <f>'Grid_Stock'!S14</f>
        <v/>
      </c>
      <c r="AB19" s="15">
        <f>'Grid_Stock'!T14</f>
        <v/>
      </c>
      <c r="AC19" s="15">
        <f>'Grid_Stock'!U14</f>
        <v/>
      </c>
      <c r="AD19" s="15">
        <f>'Grid_Stock'!V14</f>
        <v/>
      </c>
      <c r="AE19" s="15">
        <f>'Grid_Stock'!W14</f>
        <v/>
      </c>
      <c r="AF19" s="15">
        <f>'Grid_Stock'!X14</f>
        <v/>
      </c>
      <c r="AG19" s="15">
        <f>'Grid_Stock'!Y14</f>
        <v/>
      </c>
      <c r="AH19" s="15">
        <f>'Grid_Stock'!Z14</f>
        <v/>
      </c>
      <c r="AI19" s="15">
        <f>'Grid_Stock'!AA14</f>
        <v/>
      </c>
      <c r="AJ19" s="15">
        <f>'Grid_Stock'!AB14</f>
        <v/>
      </c>
      <c r="AK19" s="15">
        <f>'Grid_Stock'!AC14</f>
        <v/>
      </c>
      <c r="AL19" s="15">
        <f>'Grid_Stock'!AD14</f>
        <v/>
      </c>
      <c r="AM19" s="15">
        <f>'Grid_Stock'!AE14</f>
        <v/>
      </c>
      <c r="AN19" s="15">
        <f>'Grid_Stock'!AF14</f>
        <v/>
      </c>
      <c r="AO19" s="15">
        <f>'Grid_Stock'!AG14</f>
        <v/>
      </c>
      <c r="AP19" s="15">
        <f>'Grid_Stock'!AH14</f>
        <v/>
      </c>
      <c r="AQ19" s="15">
        <f>'Grid_Stock'!AI14</f>
        <v/>
      </c>
      <c r="AR19" s="15">
        <f>'Grid_Stock'!AJ14</f>
        <v/>
      </c>
      <c r="AS19" s="15">
        <f>'Grid_Stock'!AK14</f>
        <v/>
      </c>
      <c r="AT19" s="15">
        <f>'Grid_Stock'!AL14</f>
        <v/>
      </c>
      <c r="AU19" s="15">
        <f>'Grid_Stock'!AM14</f>
        <v/>
      </c>
      <c r="AV19" s="15">
        <f>'Grid_Stock'!AN14</f>
        <v/>
      </c>
      <c r="AW19" s="15">
        <f>'Grid_Stock'!AO14</f>
        <v/>
      </c>
      <c r="AX19" s="15">
        <f>'Grid_Stock'!AP14</f>
        <v/>
      </c>
      <c r="AY19" s="15">
        <f>'Grid_Stock'!AQ14</f>
        <v/>
      </c>
      <c r="AZ19" s="15">
        <f>'Grid_Stock'!AR14</f>
        <v/>
      </c>
      <c r="BA19" s="15">
        <f>'Grid_Stock'!AS14</f>
        <v/>
      </c>
      <c r="BB19" s="15">
        <f>'Grid_Stock'!AT14</f>
        <v/>
      </c>
      <c r="BC19" s="15">
        <f>'Grid_Stock'!AU14</f>
        <v/>
      </c>
      <c r="BD19" s="15">
        <f>'Grid_Stock'!AV14</f>
        <v/>
      </c>
      <c r="BE19" s="15">
        <f>'Grid_Stock'!AW14</f>
        <v/>
      </c>
      <c r="BF19" s="15">
        <f>'Grid_Stock'!AX14</f>
        <v/>
      </c>
      <c r="BG19" s="15">
        <f>'Grid_Stock'!AY14</f>
        <v/>
      </c>
      <c r="BH19" s="15">
        <f>'Grid_Stock'!AZ14</f>
        <v/>
      </c>
      <c r="BI19" s="15">
        <f>'Grid_Stock'!BA14</f>
        <v/>
      </c>
      <c r="BJ19" s="15">
        <f>'Grid_Stock'!BB14</f>
        <v/>
      </c>
      <c r="BK19" s="15">
        <f>'Grid_Stock'!BC14</f>
        <v/>
      </c>
      <c r="BL19" s="15">
        <f>'Grid_Stock'!BD14</f>
        <v/>
      </c>
      <c r="BM19" s="15">
        <f>'Grid_Stock'!BE14</f>
        <v/>
      </c>
      <c r="BN19" s="15">
        <f>'Grid_Stock'!BF14</f>
        <v/>
      </c>
      <c r="BO19" s="15">
        <f>'Grid_Stock'!BG14</f>
        <v/>
      </c>
      <c r="BP19" s="15">
        <f>'Grid_Stock'!BH14</f>
        <v/>
      </c>
      <c r="BQ19" s="15">
        <f>'Grid_Stock'!BI14</f>
        <v/>
      </c>
      <c r="BR19" s="15">
        <f>'Grid_Stock'!BJ14</f>
        <v/>
      </c>
      <c r="BS19" s="15">
        <f>'Grid_Stock'!BK14</f>
        <v/>
      </c>
      <c r="BT19" s="15">
        <f>'Grid_Stock'!BL14</f>
        <v/>
      </c>
      <c r="BU19" s="15">
        <f>'Grid_Stock'!BM14</f>
        <v/>
      </c>
      <c r="BV19" s="15">
        <f>'Grid_Stock'!BN14</f>
        <v/>
      </c>
      <c r="BW19" s="15">
        <f>'Grid_Stock'!BO14</f>
        <v/>
      </c>
      <c r="BX19" s="15">
        <f>'Grid_Stock'!BP14</f>
        <v/>
      </c>
      <c r="BY19" s="15">
        <f>'Grid_Stock'!BQ14</f>
        <v/>
      </c>
      <c r="BZ19" s="15">
        <f>'Grid_Stock'!BR14</f>
        <v/>
      </c>
      <c r="CA19" s="15">
        <f>'Grid_Stock'!BS14</f>
        <v/>
      </c>
      <c r="CB19" s="15">
        <f>'Grid_Stock'!BT14</f>
        <v/>
      </c>
      <c r="CC19" s="15">
        <f>'Grid_Stock'!BU14</f>
        <v/>
      </c>
      <c r="CD19" s="15">
        <f>'Grid_Stock'!BV14</f>
        <v/>
      </c>
      <c r="CE19" s="15">
        <f>'Grid_Stock'!BW14</f>
        <v/>
      </c>
      <c r="CF19" s="15">
        <f>'Grid_Stock'!BX14</f>
        <v/>
      </c>
      <c r="CG19" s="15">
        <f>'Grid_Stock'!BY14</f>
        <v/>
      </c>
      <c r="CH19" s="15">
        <f>'Grid_Stock'!BZ14</f>
        <v/>
      </c>
      <c r="CI19" s="15">
        <f>'Grid_Stock'!CA14</f>
        <v/>
      </c>
      <c r="CJ19" s="15">
        <f>'Grid_Stock'!CB14</f>
        <v/>
      </c>
      <c r="CK19" s="15">
        <f>'Grid_Stock'!CC14</f>
        <v/>
      </c>
      <c r="CL19" s="15">
        <f>'Grid_Stock'!CD14</f>
        <v/>
      </c>
      <c r="CM19" s="15">
        <f>'Grid_Stock'!CE14</f>
        <v/>
      </c>
      <c r="CN19" s="15">
        <f>'Grid_Stock'!CF14</f>
        <v/>
      </c>
      <c r="CO19" s="15">
        <f>'Grid_Stock'!CG14</f>
        <v/>
      </c>
      <c r="CP19" s="15">
        <f>'Grid_Stock'!CH14</f>
        <v/>
      </c>
      <c r="CQ19" s="15">
        <f>'Grid_Stock'!CI14</f>
        <v/>
      </c>
      <c r="CR19" s="15">
        <f>'Grid_Stock'!CJ14</f>
        <v/>
      </c>
      <c r="CS19" s="15">
        <f>'Grid_Stock'!CK14</f>
        <v/>
      </c>
      <c r="CT19" s="15">
        <f>'Grid_Stock'!CL14</f>
        <v/>
      </c>
      <c r="CU19" s="15">
        <f>'Grid_Stock'!CM14</f>
        <v/>
      </c>
      <c r="CV19" s="15">
        <f>'Grid_Stock'!CN14</f>
        <v/>
      </c>
      <c r="CW19" s="15">
        <f>'Grid_Stock'!CO14</f>
        <v/>
      </c>
      <c r="CX19" s="15">
        <f>'Grid_Stock'!CP14</f>
        <v/>
      </c>
      <c r="CY19" s="15">
        <f>'Grid_Stock'!CQ14</f>
        <v/>
      </c>
      <c r="CZ19" s="15">
        <f>'Grid_Stock'!CR14</f>
        <v/>
      </c>
      <c r="DA19" s="15">
        <f>'Grid_Stock'!CS14</f>
        <v/>
      </c>
      <c r="DB19" s="15">
        <f>'Grid_Stock'!CT14</f>
        <v/>
      </c>
      <c r="DC19" s="15">
        <f>'Grid_Stock'!CU14</f>
        <v/>
      </c>
      <c r="DD19" s="15">
        <f>'Grid_Stock'!CV14</f>
        <v/>
      </c>
      <c r="DE19" s="15">
        <f>'Grid_Stock'!CW14</f>
        <v/>
      </c>
      <c r="DF19" s="15">
        <f>'Grid_Stock'!CX14</f>
        <v/>
      </c>
      <c r="DG19" s="15">
        <f>'Grid_Stock'!CY14</f>
        <v/>
      </c>
      <c r="DH19" s="15">
        <f>'Grid_Stock'!CZ14</f>
        <v/>
      </c>
      <c r="DI19" s="15">
        <f>'Grid_Stock'!DA14</f>
        <v/>
      </c>
    </row>
    <row r="20">
      <c r="A20" s="17" t="inlineStr">
        <is>
          <t>9RN</t>
        </is>
      </c>
      <c r="B20" s="17">
        <f>IFERROR(INDEX(M_RawMaterials[Description],MATCH($A20,M_RawMaterials[RM_Code],0)),"")</f>
        <v/>
      </c>
      <c r="C20" s="17">
        <f>IFERROR(INDEX(M_RawMaterials[Category],MATCH($A20,M_RawMaterials[RM_Code],0)),"")</f>
        <v/>
      </c>
      <c r="D20" s="17">
        <f>IFERROR(INDEX(M_RawMaterials[SafetyStock_Qty_要入力],MATCH($A20,M_RawMaterials[RM_Code],0)),0)</f>
        <v/>
      </c>
      <c r="E20" s="17">
        <f>IFERROR(LOOKUP(2,1/(T_SelfStock!$A$2:$A$12000=$A20),T_SelfStock!$D$2:$D$12000),"")</f>
        <v/>
      </c>
      <c r="F20" s="17">
        <f>IFERROR(LOOKUP(2,1/(T_TTAFStock!$A$2:$A$12000=$A20),T_TTAFStock!$D$2:$D$12000),"")</f>
        <v/>
      </c>
      <c r="G20" s="17">
        <f>IFERROR(INDEX(Cal_Weeks[Label],LOOKUP(2,1/(T_SelfStock!$A$2:$A$12000=$A20),T_SelfStock!$B$2:$B$12000)),"")</f>
        <v/>
      </c>
      <c r="H20" s="17">
        <f>IF(MIN(J20:DI20)&lt;D20,"要発注","OK")</f>
        <v/>
      </c>
      <c r="I20" s="16">
        <f>IFERROR(INDEX(J20:DI20,$F$1),"")</f>
        <v/>
      </c>
      <c r="J20" s="17">
        <f>'Grid_Stock'!B15</f>
        <v/>
      </c>
      <c r="K20" s="17">
        <f>'Grid_Stock'!C15</f>
        <v/>
      </c>
      <c r="L20" s="17">
        <f>'Grid_Stock'!D15</f>
        <v/>
      </c>
      <c r="M20" s="17">
        <f>'Grid_Stock'!E15</f>
        <v/>
      </c>
      <c r="N20" s="17">
        <f>'Grid_Stock'!F15</f>
        <v/>
      </c>
      <c r="O20" s="17">
        <f>'Grid_Stock'!G15</f>
        <v/>
      </c>
      <c r="P20" s="17">
        <f>'Grid_Stock'!H15</f>
        <v/>
      </c>
      <c r="Q20" s="17">
        <f>'Grid_Stock'!I15</f>
        <v/>
      </c>
      <c r="R20" s="17">
        <f>'Grid_Stock'!J15</f>
        <v/>
      </c>
      <c r="S20" s="17">
        <f>'Grid_Stock'!K15</f>
        <v/>
      </c>
      <c r="T20" s="17">
        <f>'Grid_Stock'!L15</f>
        <v/>
      </c>
      <c r="U20" s="17">
        <f>'Grid_Stock'!M15</f>
        <v/>
      </c>
      <c r="V20" s="17">
        <f>'Grid_Stock'!N15</f>
        <v/>
      </c>
      <c r="W20" s="17">
        <f>'Grid_Stock'!O15</f>
        <v/>
      </c>
      <c r="X20" s="17">
        <f>'Grid_Stock'!P15</f>
        <v/>
      </c>
      <c r="Y20" s="17">
        <f>'Grid_Stock'!Q15</f>
        <v/>
      </c>
      <c r="Z20" s="17">
        <f>'Grid_Stock'!R15</f>
        <v/>
      </c>
      <c r="AA20" s="17">
        <f>'Grid_Stock'!S15</f>
        <v/>
      </c>
      <c r="AB20" s="17">
        <f>'Grid_Stock'!T15</f>
        <v/>
      </c>
      <c r="AC20" s="17">
        <f>'Grid_Stock'!U15</f>
        <v/>
      </c>
      <c r="AD20" s="17">
        <f>'Grid_Stock'!V15</f>
        <v/>
      </c>
      <c r="AE20" s="17">
        <f>'Grid_Stock'!W15</f>
        <v/>
      </c>
      <c r="AF20" s="17">
        <f>'Grid_Stock'!X15</f>
        <v/>
      </c>
      <c r="AG20" s="17">
        <f>'Grid_Stock'!Y15</f>
        <v/>
      </c>
      <c r="AH20" s="17">
        <f>'Grid_Stock'!Z15</f>
        <v/>
      </c>
      <c r="AI20" s="17">
        <f>'Grid_Stock'!AA15</f>
        <v/>
      </c>
      <c r="AJ20" s="17">
        <f>'Grid_Stock'!AB15</f>
        <v/>
      </c>
      <c r="AK20" s="17">
        <f>'Grid_Stock'!AC15</f>
        <v/>
      </c>
      <c r="AL20" s="17">
        <f>'Grid_Stock'!AD15</f>
        <v/>
      </c>
      <c r="AM20" s="17">
        <f>'Grid_Stock'!AE15</f>
        <v/>
      </c>
      <c r="AN20" s="17">
        <f>'Grid_Stock'!AF15</f>
        <v/>
      </c>
      <c r="AO20" s="17">
        <f>'Grid_Stock'!AG15</f>
        <v/>
      </c>
      <c r="AP20" s="17">
        <f>'Grid_Stock'!AH15</f>
        <v/>
      </c>
      <c r="AQ20" s="17">
        <f>'Grid_Stock'!AI15</f>
        <v/>
      </c>
      <c r="AR20" s="17">
        <f>'Grid_Stock'!AJ15</f>
        <v/>
      </c>
      <c r="AS20" s="17">
        <f>'Grid_Stock'!AK15</f>
        <v/>
      </c>
      <c r="AT20" s="17">
        <f>'Grid_Stock'!AL15</f>
        <v/>
      </c>
      <c r="AU20" s="17">
        <f>'Grid_Stock'!AM15</f>
        <v/>
      </c>
      <c r="AV20" s="17">
        <f>'Grid_Stock'!AN15</f>
        <v/>
      </c>
      <c r="AW20" s="17">
        <f>'Grid_Stock'!AO15</f>
        <v/>
      </c>
      <c r="AX20" s="17">
        <f>'Grid_Stock'!AP15</f>
        <v/>
      </c>
      <c r="AY20" s="17">
        <f>'Grid_Stock'!AQ15</f>
        <v/>
      </c>
      <c r="AZ20" s="17">
        <f>'Grid_Stock'!AR15</f>
        <v/>
      </c>
      <c r="BA20" s="17">
        <f>'Grid_Stock'!AS15</f>
        <v/>
      </c>
      <c r="BB20" s="17">
        <f>'Grid_Stock'!AT15</f>
        <v/>
      </c>
      <c r="BC20" s="17">
        <f>'Grid_Stock'!AU15</f>
        <v/>
      </c>
      <c r="BD20" s="17">
        <f>'Grid_Stock'!AV15</f>
        <v/>
      </c>
      <c r="BE20" s="17">
        <f>'Grid_Stock'!AW15</f>
        <v/>
      </c>
      <c r="BF20" s="17">
        <f>'Grid_Stock'!AX15</f>
        <v/>
      </c>
      <c r="BG20" s="17">
        <f>'Grid_Stock'!AY15</f>
        <v/>
      </c>
      <c r="BH20" s="17">
        <f>'Grid_Stock'!AZ15</f>
        <v/>
      </c>
      <c r="BI20" s="17">
        <f>'Grid_Stock'!BA15</f>
        <v/>
      </c>
      <c r="BJ20" s="17">
        <f>'Grid_Stock'!BB15</f>
        <v/>
      </c>
      <c r="BK20" s="17">
        <f>'Grid_Stock'!BC15</f>
        <v/>
      </c>
      <c r="BL20" s="17">
        <f>'Grid_Stock'!BD15</f>
        <v/>
      </c>
      <c r="BM20" s="17">
        <f>'Grid_Stock'!BE15</f>
        <v/>
      </c>
      <c r="BN20" s="17">
        <f>'Grid_Stock'!BF15</f>
        <v/>
      </c>
      <c r="BO20" s="17">
        <f>'Grid_Stock'!BG15</f>
        <v/>
      </c>
      <c r="BP20" s="17">
        <f>'Grid_Stock'!BH15</f>
        <v/>
      </c>
      <c r="BQ20" s="17">
        <f>'Grid_Stock'!BI15</f>
        <v/>
      </c>
      <c r="BR20" s="17">
        <f>'Grid_Stock'!BJ15</f>
        <v/>
      </c>
      <c r="BS20" s="17">
        <f>'Grid_Stock'!BK15</f>
        <v/>
      </c>
      <c r="BT20" s="17">
        <f>'Grid_Stock'!BL15</f>
        <v/>
      </c>
      <c r="BU20" s="17">
        <f>'Grid_Stock'!BM15</f>
        <v/>
      </c>
      <c r="BV20" s="17">
        <f>'Grid_Stock'!BN15</f>
        <v/>
      </c>
      <c r="BW20" s="17">
        <f>'Grid_Stock'!BO15</f>
        <v/>
      </c>
      <c r="BX20" s="17">
        <f>'Grid_Stock'!BP15</f>
        <v/>
      </c>
      <c r="BY20" s="17">
        <f>'Grid_Stock'!BQ15</f>
        <v/>
      </c>
      <c r="BZ20" s="17">
        <f>'Grid_Stock'!BR15</f>
        <v/>
      </c>
      <c r="CA20" s="17">
        <f>'Grid_Stock'!BS15</f>
        <v/>
      </c>
      <c r="CB20" s="17">
        <f>'Grid_Stock'!BT15</f>
        <v/>
      </c>
      <c r="CC20" s="17">
        <f>'Grid_Stock'!BU15</f>
        <v/>
      </c>
      <c r="CD20" s="17">
        <f>'Grid_Stock'!BV15</f>
        <v/>
      </c>
      <c r="CE20" s="17">
        <f>'Grid_Stock'!BW15</f>
        <v/>
      </c>
      <c r="CF20" s="17">
        <f>'Grid_Stock'!BX15</f>
        <v/>
      </c>
      <c r="CG20" s="17">
        <f>'Grid_Stock'!BY15</f>
        <v/>
      </c>
      <c r="CH20" s="17">
        <f>'Grid_Stock'!BZ15</f>
        <v/>
      </c>
      <c r="CI20" s="17">
        <f>'Grid_Stock'!CA15</f>
        <v/>
      </c>
      <c r="CJ20" s="17">
        <f>'Grid_Stock'!CB15</f>
        <v/>
      </c>
      <c r="CK20" s="17">
        <f>'Grid_Stock'!CC15</f>
        <v/>
      </c>
      <c r="CL20" s="17">
        <f>'Grid_Stock'!CD15</f>
        <v/>
      </c>
      <c r="CM20" s="17">
        <f>'Grid_Stock'!CE15</f>
        <v/>
      </c>
      <c r="CN20" s="17">
        <f>'Grid_Stock'!CF15</f>
        <v/>
      </c>
      <c r="CO20" s="17">
        <f>'Grid_Stock'!CG15</f>
        <v/>
      </c>
      <c r="CP20" s="17">
        <f>'Grid_Stock'!CH15</f>
        <v/>
      </c>
      <c r="CQ20" s="17">
        <f>'Grid_Stock'!CI15</f>
        <v/>
      </c>
      <c r="CR20" s="17">
        <f>'Grid_Stock'!CJ15</f>
        <v/>
      </c>
      <c r="CS20" s="17">
        <f>'Grid_Stock'!CK15</f>
        <v/>
      </c>
      <c r="CT20" s="17">
        <f>'Grid_Stock'!CL15</f>
        <v/>
      </c>
      <c r="CU20" s="17">
        <f>'Grid_Stock'!CM15</f>
        <v/>
      </c>
      <c r="CV20" s="17">
        <f>'Grid_Stock'!CN15</f>
        <v/>
      </c>
      <c r="CW20" s="17">
        <f>'Grid_Stock'!CO15</f>
        <v/>
      </c>
      <c r="CX20" s="17">
        <f>'Grid_Stock'!CP15</f>
        <v/>
      </c>
      <c r="CY20" s="17">
        <f>'Grid_Stock'!CQ15</f>
        <v/>
      </c>
      <c r="CZ20" s="17">
        <f>'Grid_Stock'!CR15</f>
        <v/>
      </c>
      <c r="DA20" s="17">
        <f>'Grid_Stock'!CS15</f>
        <v/>
      </c>
      <c r="DB20" s="17">
        <f>'Grid_Stock'!CT15</f>
        <v/>
      </c>
      <c r="DC20" s="17">
        <f>'Grid_Stock'!CU15</f>
        <v/>
      </c>
      <c r="DD20" s="17">
        <f>'Grid_Stock'!CV15</f>
        <v/>
      </c>
      <c r="DE20" s="17">
        <f>'Grid_Stock'!CW15</f>
        <v/>
      </c>
      <c r="DF20" s="17">
        <f>'Grid_Stock'!CX15</f>
        <v/>
      </c>
      <c r="DG20" s="17">
        <f>'Grid_Stock'!CY15</f>
        <v/>
      </c>
      <c r="DH20" s="17">
        <f>'Grid_Stock'!CZ15</f>
        <v/>
      </c>
      <c r="DI20" s="17">
        <f>'Grid_Stock'!DA15</f>
        <v/>
      </c>
    </row>
    <row r="21">
      <c r="A21" s="15" t="inlineStr">
        <is>
          <t>7EP</t>
        </is>
      </c>
      <c r="B21" s="15">
        <f>IFERROR(INDEX(M_RawMaterials[Description],MATCH($A21,M_RawMaterials[RM_Code],0)),"")</f>
        <v/>
      </c>
      <c r="C21" s="15">
        <f>IFERROR(INDEX(M_RawMaterials[Category],MATCH($A21,M_RawMaterials[RM_Code],0)),"")</f>
        <v/>
      </c>
      <c r="D21" s="15">
        <f>IFERROR(INDEX(M_RawMaterials[SafetyStock_Qty_要入力],MATCH($A21,M_RawMaterials[RM_Code],0)),0)</f>
        <v/>
      </c>
      <c r="E21" s="15">
        <f>IFERROR(LOOKUP(2,1/(T_SelfStock!$A$2:$A$12000=$A21),T_SelfStock!$D$2:$D$12000),"")</f>
        <v/>
      </c>
      <c r="F21" s="15">
        <f>IFERROR(LOOKUP(2,1/(T_TTAFStock!$A$2:$A$12000=$A21),T_TTAFStock!$D$2:$D$12000),"")</f>
        <v/>
      </c>
      <c r="G21" s="15">
        <f>IFERROR(INDEX(Cal_Weeks[Label],LOOKUP(2,1/(T_SelfStock!$A$2:$A$12000=$A21),T_SelfStock!$B$2:$B$12000)),"")</f>
        <v/>
      </c>
      <c r="H21" s="15">
        <f>IF(MIN(J21:DI21)&lt;D21,"要発注","OK")</f>
        <v/>
      </c>
      <c r="I21" s="16">
        <f>IFERROR(INDEX(J21:DI21,$F$1),"")</f>
        <v/>
      </c>
      <c r="J21" s="15">
        <f>'Grid_Stock'!B16</f>
        <v/>
      </c>
      <c r="K21" s="15">
        <f>'Grid_Stock'!C16</f>
        <v/>
      </c>
      <c r="L21" s="15">
        <f>'Grid_Stock'!D16</f>
        <v/>
      </c>
      <c r="M21" s="15">
        <f>'Grid_Stock'!E16</f>
        <v/>
      </c>
      <c r="N21" s="15">
        <f>'Grid_Stock'!F16</f>
        <v/>
      </c>
      <c r="O21" s="15">
        <f>'Grid_Stock'!G16</f>
        <v/>
      </c>
      <c r="P21" s="15">
        <f>'Grid_Stock'!H16</f>
        <v/>
      </c>
      <c r="Q21" s="15">
        <f>'Grid_Stock'!I16</f>
        <v/>
      </c>
      <c r="R21" s="15">
        <f>'Grid_Stock'!J16</f>
        <v/>
      </c>
      <c r="S21" s="15">
        <f>'Grid_Stock'!K16</f>
        <v/>
      </c>
      <c r="T21" s="15">
        <f>'Grid_Stock'!L16</f>
        <v/>
      </c>
      <c r="U21" s="15">
        <f>'Grid_Stock'!M16</f>
        <v/>
      </c>
      <c r="V21" s="15">
        <f>'Grid_Stock'!N16</f>
        <v/>
      </c>
      <c r="W21" s="15">
        <f>'Grid_Stock'!O16</f>
        <v/>
      </c>
      <c r="X21" s="15">
        <f>'Grid_Stock'!P16</f>
        <v/>
      </c>
      <c r="Y21" s="15">
        <f>'Grid_Stock'!Q16</f>
        <v/>
      </c>
      <c r="Z21" s="15">
        <f>'Grid_Stock'!R16</f>
        <v/>
      </c>
      <c r="AA21" s="15">
        <f>'Grid_Stock'!S16</f>
        <v/>
      </c>
      <c r="AB21" s="15">
        <f>'Grid_Stock'!T16</f>
        <v/>
      </c>
      <c r="AC21" s="15">
        <f>'Grid_Stock'!U16</f>
        <v/>
      </c>
      <c r="AD21" s="15">
        <f>'Grid_Stock'!V16</f>
        <v/>
      </c>
      <c r="AE21" s="15">
        <f>'Grid_Stock'!W16</f>
        <v/>
      </c>
      <c r="AF21" s="15">
        <f>'Grid_Stock'!X16</f>
        <v/>
      </c>
      <c r="AG21" s="15">
        <f>'Grid_Stock'!Y16</f>
        <v/>
      </c>
      <c r="AH21" s="15">
        <f>'Grid_Stock'!Z16</f>
        <v/>
      </c>
      <c r="AI21" s="15">
        <f>'Grid_Stock'!AA16</f>
        <v/>
      </c>
      <c r="AJ21" s="15">
        <f>'Grid_Stock'!AB16</f>
        <v/>
      </c>
      <c r="AK21" s="15">
        <f>'Grid_Stock'!AC16</f>
        <v/>
      </c>
      <c r="AL21" s="15">
        <f>'Grid_Stock'!AD16</f>
        <v/>
      </c>
      <c r="AM21" s="15">
        <f>'Grid_Stock'!AE16</f>
        <v/>
      </c>
      <c r="AN21" s="15">
        <f>'Grid_Stock'!AF16</f>
        <v/>
      </c>
      <c r="AO21" s="15">
        <f>'Grid_Stock'!AG16</f>
        <v/>
      </c>
      <c r="AP21" s="15">
        <f>'Grid_Stock'!AH16</f>
        <v/>
      </c>
      <c r="AQ21" s="15">
        <f>'Grid_Stock'!AI16</f>
        <v/>
      </c>
      <c r="AR21" s="15">
        <f>'Grid_Stock'!AJ16</f>
        <v/>
      </c>
      <c r="AS21" s="15">
        <f>'Grid_Stock'!AK16</f>
        <v/>
      </c>
      <c r="AT21" s="15">
        <f>'Grid_Stock'!AL16</f>
        <v/>
      </c>
      <c r="AU21" s="15">
        <f>'Grid_Stock'!AM16</f>
        <v/>
      </c>
      <c r="AV21" s="15">
        <f>'Grid_Stock'!AN16</f>
        <v/>
      </c>
      <c r="AW21" s="15">
        <f>'Grid_Stock'!AO16</f>
        <v/>
      </c>
      <c r="AX21" s="15">
        <f>'Grid_Stock'!AP16</f>
        <v/>
      </c>
      <c r="AY21" s="15">
        <f>'Grid_Stock'!AQ16</f>
        <v/>
      </c>
      <c r="AZ21" s="15">
        <f>'Grid_Stock'!AR16</f>
        <v/>
      </c>
      <c r="BA21" s="15">
        <f>'Grid_Stock'!AS16</f>
        <v/>
      </c>
      <c r="BB21" s="15">
        <f>'Grid_Stock'!AT16</f>
        <v/>
      </c>
      <c r="BC21" s="15">
        <f>'Grid_Stock'!AU16</f>
        <v/>
      </c>
      <c r="BD21" s="15">
        <f>'Grid_Stock'!AV16</f>
        <v/>
      </c>
      <c r="BE21" s="15">
        <f>'Grid_Stock'!AW16</f>
        <v/>
      </c>
      <c r="BF21" s="15">
        <f>'Grid_Stock'!AX16</f>
        <v/>
      </c>
      <c r="BG21" s="15">
        <f>'Grid_Stock'!AY16</f>
        <v/>
      </c>
      <c r="BH21" s="15">
        <f>'Grid_Stock'!AZ16</f>
        <v/>
      </c>
      <c r="BI21" s="15">
        <f>'Grid_Stock'!BA16</f>
        <v/>
      </c>
      <c r="BJ21" s="15">
        <f>'Grid_Stock'!BB16</f>
        <v/>
      </c>
      <c r="BK21" s="15">
        <f>'Grid_Stock'!BC16</f>
        <v/>
      </c>
      <c r="BL21" s="15">
        <f>'Grid_Stock'!BD16</f>
        <v/>
      </c>
      <c r="BM21" s="15">
        <f>'Grid_Stock'!BE16</f>
        <v/>
      </c>
      <c r="BN21" s="15">
        <f>'Grid_Stock'!BF16</f>
        <v/>
      </c>
      <c r="BO21" s="15">
        <f>'Grid_Stock'!BG16</f>
        <v/>
      </c>
      <c r="BP21" s="15">
        <f>'Grid_Stock'!BH16</f>
        <v/>
      </c>
      <c r="BQ21" s="15">
        <f>'Grid_Stock'!BI16</f>
        <v/>
      </c>
      <c r="BR21" s="15">
        <f>'Grid_Stock'!BJ16</f>
        <v/>
      </c>
      <c r="BS21" s="15">
        <f>'Grid_Stock'!BK16</f>
        <v/>
      </c>
      <c r="BT21" s="15">
        <f>'Grid_Stock'!BL16</f>
        <v/>
      </c>
      <c r="BU21" s="15">
        <f>'Grid_Stock'!BM16</f>
        <v/>
      </c>
      <c r="BV21" s="15">
        <f>'Grid_Stock'!BN16</f>
        <v/>
      </c>
      <c r="BW21" s="15">
        <f>'Grid_Stock'!BO16</f>
        <v/>
      </c>
      <c r="BX21" s="15">
        <f>'Grid_Stock'!BP16</f>
        <v/>
      </c>
      <c r="BY21" s="15">
        <f>'Grid_Stock'!BQ16</f>
        <v/>
      </c>
      <c r="BZ21" s="15">
        <f>'Grid_Stock'!BR16</f>
        <v/>
      </c>
      <c r="CA21" s="15">
        <f>'Grid_Stock'!BS16</f>
        <v/>
      </c>
      <c r="CB21" s="15">
        <f>'Grid_Stock'!BT16</f>
        <v/>
      </c>
      <c r="CC21" s="15">
        <f>'Grid_Stock'!BU16</f>
        <v/>
      </c>
      <c r="CD21" s="15">
        <f>'Grid_Stock'!BV16</f>
        <v/>
      </c>
      <c r="CE21" s="15">
        <f>'Grid_Stock'!BW16</f>
        <v/>
      </c>
      <c r="CF21" s="15">
        <f>'Grid_Stock'!BX16</f>
        <v/>
      </c>
      <c r="CG21" s="15">
        <f>'Grid_Stock'!BY16</f>
        <v/>
      </c>
      <c r="CH21" s="15">
        <f>'Grid_Stock'!BZ16</f>
        <v/>
      </c>
      <c r="CI21" s="15">
        <f>'Grid_Stock'!CA16</f>
        <v/>
      </c>
      <c r="CJ21" s="15">
        <f>'Grid_Stock'!CB16</f>
        <v/>
      </c>
      <c r="CK21" s="15">
        <f>'Grid_Stock'!CC16</f>
        <v/>
      </c>
      <c r="CL21" s="15">
        <f>'Grid_Stock'!CD16</f>
        <v/>
      </c>
      <c r="CM21" s="15">
        <f>'Grid_Stock'!CE16</f>
        <v/>
      </c>
      <c r="CN21" s="15">
        <f>'Grid_Stock'!CF16</f>
        <v/>
      </c>
      <c r="CO21" s="15">
        <f>'Grid_Stock'!CG16</f>
        <v/>
      </c>
      <c r="CP21" s="15">
        <f>'Grid_Stock'!CH16</f>
        <v/>
      </c>
      <c r="CQ21" s="15">
        <f>'Grid_Stock'!CI16</f>
        <v/>
      </c>
      <c r="CR21" s="15">
        <f>'Grid_Stock'!CJ16</f>
        <v/>
      </c>
      <c r="CS21" s="15">
        <f>'Grid_Stock'!CK16</f>
        <v/>
      </c>
      <c r="CT21" s="15">
        <f>'Grid_Stock'!CL16</f>
        <v/>
      </c>
      <c r="CU21" s="15">
        <f>'Grid_Stock'!CM16</f>
        <v/>
      </c>
      <c r="CV21" s="15">
        <f>'Grid_Stock'!CN16</f>
        <v/>
      </c>
      <c r="CW21" s="15">
        <f>'Grid_Stock'!CO16</f>
        <v/>
      </c>
      <c r="CX21" s="15">
        <f>'Grid_Stock'!CP16</f>
        <v/>
      </c>
      <c r="CY21" s="15">
        <f>'Grid_Stock'!CQ16</f>
        <v/>
      </c>
      <c r="CZ21" s="15">
        <f>'Grid_Stock'!CR16</f>
        <v/>
      </c>
      <c r="DA21" s="15">
        <f>'Grid_Stock'!CS16</f>
        <v/>
      </c>
      <c r="DB21" s="15">
        <f>'Grid_Stock'!CT16</f>
        <v/>
      </c>
      <c r="DC21" s="15">
        <f>'Grid_Stock'!CU16</f>
        <v/>
      </c>
      <c r="DD21" s="15">
        <f>'Grid_Stock'!CV16</f>
        <v/>
      </c>
      <c r="DE21" s="15">
        <f>'Grid_Stock'!CW16</f>
        <v/>
      </c>
      <c r="DF21" s="15">
        <f>'Grid_Stock'!CX16</f>
        <v/>
      </c>
      <c r="DG21" s="15">
        <f>'Grid_Stock'!CY16</f>
        <v/>
      </c>
      <c r="DH21" s="15">
        <f>'Grid_Stock'!CZ16</f>
        <v/>
      </c>
      <c r="DI21" s="15">
        <f>'Grid_Stock'!DA16</f>
        <v/>
      </c>
    </row>
    <row r="22">
      <c r="A22" s="17" t="inlineStr">
        <is>
          <t>F2290</t>
        </is>
      </c>
      <c r="B22" s="17">
        <f>IFERROR(INDEX(M_RawMaterials[Description],MATCH($A22,M_RawMaterials[RM_Code],0)),"")</f>
        <v/>
      </c>
      <c r="C22" s="17">
        <f>IFERROR(INDEX(M_RawMaterials[Category],MATCH($A22,M_RawMaterials[RM_Code],0)),"")</f>
        <v/>
      </c>
      <c r="D22" s="17">
        <f>IFERROR(INDEX(M_RawMaterials[SafetyStock_Qty_要入力],MATCH($A22,M_RawMaterials[RM_Code],0)),0)</f>
        <v/>
      </c>
      <c r="E22" s="17">
        <f>IFERROR(LOOKUP(2,1/(T_SelfStock!$A$2:$A$12000=$A22),T_SelfStock!$D$2:$D$12000),"")</f>
        <v/>
      </c>
      <c r="F22" s="17">
        <f>IFERROR(LOOKUP(2,1/(T_TTAFStock!$A$2:$A$12000=$A22),T_TTAFStock!$D$2:$D$12000),"")</f>
        <v/>
      </c>
      <c r="G22" s="17">
        <f>IFERROR(INDEX(Cal_Weeks[Label],LOOKUP(2,1/(T_SelfStock!$A$2:$A$12000=$A22),T_SelfStock!$B$2:$B$12000)),"")</f>
        <v/>
      </c>
      <c r="H22" s="17">
        <f>IF(MIN(J22:DI22)&lt;D22,"要発注","OK")</f>
        <v/>
      </c>
      <c r="I22" s="16">
        <f>IFERROR(INDEX(J22:DI22,$F$1),"")</f>
        <v/>
      </c>
      <c r="J22" s="17">
        <f>'Grid_Stock'!B17</f>
        <v/>
      </c>
      <c r="K22" s="17">
        <f>'Grid_Stock'!C17</f>
        <v/>
      </c>
      <c r="L22" s="17">
        <f>'Grid_Stock'!D17</f>
        <v/>
      </c>
      <c r="M22" s="17">
        <f>'Grid_Stock'!E17</f>
        <v/>
      </c>
      <c r="N22" s="17">
        <f>'Grid_Stock'!F17</f>
        <v/>
      </c>
      <c r="O22" s="17">
        <f>'Grid_Stock'!G17</f>
        <v/>
      </c>
      <c r="P22" s="17">
        <f>'Grid_Stock'!H17</f>
        <v/>
      </c>
      <c r="Q22" s="17">
        <f>'Grid_Stock'!I17</f>
        <v/>
      </c>
      <c r="R22" s="17">
        <f>'Grid_Stock'!J17</f>
        <v/>
      </c>
      <c r="S22" s="17">
        <f>'Grid_Stock'!K17</f>
        <v/>
      </c>
      <c r="T22" s="17">
        <f>'Grid_Stock'!L17</f>
        <v/>
      </c>
      <c r="U22" s="17">
        <f>'Grid_Stock'!M17</f>
        <v/>
      </c>
      <c r="V22" s="17">
        <f>'Grid_Stock'!N17</f>
        <v/>
      </c>
      <c r="W22" s="17">
        <f>'Grid_Stock'!O17</f>
        <v/>
      </c>
      <c r="X22" s="17">
        <f>'Grid_Stock'!P17</f>
        <v/>
      </c>
      <c r="Y22" s="17">
        <f>'Grid_Stock'!Q17</f>
        <v/>
      </c>
      <c r="Z22" s="17">
        <f>'Grid_Stock'!R17</f>
        <v/>
      </c>
      <c r="AA22" s="17">
        <f>'Grid_Stock'!S17</f>
        <v/>
      </c>
      <c r="AB22" s="17">
        <f>'Grid_Stock'!T17</f>
        <v/>
      </c>
      <c r="AC22" s="17">
        <f>'Grid_Stock'!U17</f>
        <v/>
      </c>
      <c r="AD22" s="17">
        <f>'Grid_Stock'!V17</f>
        <v/>
      </c>
      <c r="AE22" s="17">
        <f>'Grid_Stock'!W17</f>
        <v/>
      </c>
      <c r="AF22" s="17">
        <f>'Grid_Stock'!X17</f>
        <v/>
      </c>
      <c r="AG22" s="17">
        <f>'Grid_Stock'!Y17</f>
        <v/>
      </c>
      <c r="AH22" s="17">
        <f>'Grid_Stock'!Z17</f>
        <v/>
      </c>
      <c r="AI22" s="17">
        <f>'Grid_Stock'!AA17</f>
        <v/>
      </c>
      <c r="AJ22" s="17">
        <f>'Grid_Stock'!AB17</f>
        <v/>
      </c>
      <c r="AK22" s="17">
        <f>'Grid_Stock'!AC17</f>
        <v/>
      </c>
      <c r="AL22" s="17">
        <f>'Grid_Stock'!AD17</f>
        <v/>
      </c>
      <c r="AM22" s="17">
        <f>'Grid_Stock'!AE17</f>
        <v/>
      </c>
      <c r="AN22" s="17">
        <f>'Grid_Stock'!AF17</f>
        <v/>
      </c>
      <c r="AO22" s="17">
        <f>'Grid_Stock'!AG17</f>
        <v/>
      </c>
      <c r="AP22" s="17">
        <f>'Grid_Stock'!AH17</f>
        <v/>
      </c>
      <c r="AQ22" s="17">
        <f>'Grid_Stock'!AI17</f>
        <v/>
      </c>
      <c r="AR22" s="17">
        <f>'Grid_Stock'!AJ17</f>
        <v/>
      </c>
      <c r="AS22" s="17">
        <f>'Grid_Stock'!AK17</f>
        <v/>
      </c>
      <c r="AT22" s="17">
        <f>'Grid_Stock'!AL17</f>
        <v/>
      </c>
      <c r="AU22" s="17">
        <f>'Grid_Stock'!AM17</f>
        <v/>
      </c>
      <c r="AV22" s="17">
        <f>'Grid_Stock'!AN17</f>
        <v/>
      </c>
      <c r="AW22" s="17">
        <f>'Grid_Stock'!AO17</f>
        <v/>
      </c>
      <c r="AX22" s="17">
        <f>'Grid_Stock'!AP17</f>
        <v/>
      </c>
      <c r="AY22" s="17">
        <f>'Grid_Stock'!AQ17</f>
        <v/>
      </c>
      <c r="AZ22" s="17">
        <f>'Grid_Stock'!AR17</f>
        <v/>
      </c>
      <c r="BA22" s="17">
        <f>'Grid_Stock'!AS17</f>
        <v/>
      </c>
      <c r="BB22" s="17">
        <f>'Grid_Stock'!AT17</f>
        <v/>
      </c>
      <c r="BC22" s="17">
        <f>'Grid_Stock'!AU17</f>
        <v/>
      </c>
      <c r="BD22" s="17">
        <f>'Grid_Stock'!AV17</f>
        <v/>
      </c>
      <c r="BE22" s="17">
        <f>'Grid_Stock'!AW17</f>
        <v/>
      </c>
      <c r="BF22" s="17">
        <f>'Grid_Stock'!AX17</f>
        <v/>
      </c>
      <c r="BG22" s="17">
        <f>'Grid_Stock'!AY17</f>
        <v/>
      </c>
      <c r="BH22" s="17">
        <f>'Grid_Stock'!AZ17</f>
        <v/>
      </c>
      <c r="BI22" s="17">
        <f>'Grid_Stock'!BA17</f>
        <v/>
      </c>
      <c r="BJ22" s="17">
        <f>'Grid_Stock'!BB17</f>
        <v/>
      </c>
      <c r="BK22" s="17">
        <f>'Grid_Stock'!BC17</f>
        <v/>
      </c>
      <c r="BL22" s="17">
        <f>'Grid_Stock'!BD17</f>
        <v/>
      </c>
      <c r="BM22" s="17">
        <f>'Grid_Stock'!BE17</f>
        <v/>
      </c>
      <c r="BN22" s="17">
        <f>'Grid_Stock'!BF17</f>
        <v/>
      </c>
      <c r="BO22" s="17">
        <f>'Grid_Stock'!BG17</f>
        <v/>
      </c>
      <c r="BP22" s="17">
        <f>'Grid_Stock'!BH17</f>
        <v/>
      </c>
      <c r="BQ22" s="17">
        <f>'Grid_Stock'!BI17</f>
        <v/>
      </c>
      <c r="BR22" s="17">
        <f>'Grid_Stock'!BJ17</f>
        <v/>
      </c>
      <c r="BS22" s="17">
        <f>'Grid_Stock'!BK17</f>
        <v/>
      </c>
      <c r="BT22" s="17">
        <f>'Grid_Stock'!BL17</f>
        <v/>
      </c>
      <c r="BU22" s="17">
        <f>'Grid_Stock'!BM17</f>
        <v/>
      </c>
      <c r="BV22" s="17">
        <f>'Grid_Stock'!BN17</f>
        <v/>
      </c>
      <c r="BW22" s="17">
        <f>'Grid_Stock'!BO17</f>
        <v/>
      </c>
      <c r="BX22" s="17">
        <f>'Grid_Stock'!BP17</f>
        <v/>
      </c>
      <c r="BY22" s="17">
        <f>'Grid_Stock'!BQ17</f>
        <v/>
      </c>
      <c r="BZ22" s="17">
        <f>'Grid_Stock'!BR17</f>
        <v/>
      </c>
      <c r="CA22" s="17">
        <f>'Grid_Stock'!BS17</f>
        <v/>
      </c>
      <c r="CB22" s="17">
        <f>'Grid_Stock'!BT17</f>
        <v/>
      </c>
      <c r="CC22" s="17">
        <f>'Grid_Stock'!BU17</f>
        <v/>
      </c>
      <c r="CD22" s="17">
        <f>'Grid_Stock'!BV17</f>
        <v/>
      </c>
      <c r="CE22" s="17">
        <f>'Grid_Stock'!BW17</f>
        <v/>
      </c>
      <c r="CF22" s="17">
        <f>'Grid_Stock'!BX17</f>
        <v/>
      </c>
      <c r="CG22" s="17">
        <f>'Grid_Stock'!BY17</f>
        <v/>
      </c>
      <c r="CH22" s="17">
        <f>'Grid_Stock'!BZ17</f>
        <v/>
      </c>
      <c r="CI22" s="17">
        <f>'Grid_Stock'!CA17</f>
        <v/>
      </c>
      <c r="CJ22" s="17">
        <f>'Grid_Stock'!CB17</f>
        <v/>
      </c>
      <c r="CK22" s="17">
        <f>'Grid_Stock'!CC17</f>
        <v/>
      </c>
      <c r="CL22" s="17">
        <f>'Grid_Stock'!CD17</f>
        <v/>
      </c>
      <c r="CM22" s="17">
        <f>'Grid_Stock'!CE17</f>
        <v/>
      </c>
      <c r="CN22" s="17">
        <f>'Grid_Stock'!CF17</f>
        <v/>
      </c>
      <c r="CO22" s="17">
        <f>'Grid_Stock'!CG17</f>
        <v/>
      </c>
      <c r="CP22" s="17">
        <f>'Grid_Stock'!CH17</f>
        <v/>
      </c>
      <c r="CQ22" s="17">
        <f>'Grid_Stock'!CI17</f>
        <v/>
      </c>
      <c r="CR22" s="17">
        <f>'Grid_Stock'!CJ17</f>
        <v/>
      </c>
      <c r="CS22" s="17">
        <f>'Grid_Stock'!CK17</f>
        <v/>
      </c>
      <c r="CT22" s="17">
        <f>'Grid_Stock'!CL17</f>
        <v/>
      </c>
      <c r="CU22" s="17">
        <f>'Grid_Stock'!CM17</f>
        <v/>
      </c>
      <c r="CV22" s="17">
        <f>'Grid_Stock'!CN17</f>
        <v/>
      </c>
      <c r="CW22" s="17">
        <f>'Grid_Stock'!CO17</f>
        <v/>
      </c>
      <c r="CX22" s="17">
        <f>'Grid_Stock'!CP17</f>
        <v/>
      </c>
      <c r="CY22" s="17">
        <f>'Grid_Stock'!CQ17</f>
        <v/>
      </c>
      <c r="CZ22" s="17">
        <f>'Grid_Stock'!CR17</f>
        <v/>
      </c>
      <c r="DA22" s="17">
        <f>'Grid_Stock'!CS17</f>
        <v/>
      </c>
      <c r="DB22" s="17">
        <f>'Grid_Stock'!CT17</f>
        <v/>
      </c>
      <c r="DC22" s="17">
        <f>'Grid_Stock'!CU17</f>
        <v/>
      </c>
      <c r="DD22" s="17">
        <f>'Grid_Stock'!CV17</f>
        <v/>
      </c>
      <c r="DE22" s="17">
        <f>'Grid_Stock'!CW17</f>
        <v/>
      </c>
      <c r="DF22" s="17">
        <f>'Grid_Stock'!CX17</f>
        <v/>
      </c>
      <c r="DG22" s="17">
        <f>'Grid_Stock'!CY17</f>
        <v/>
      </c>
      <c r="DH22" s="17">
        <f>'Grid_Stock'!CZ17</f>
        <v/>
      </c>
      <c r="DI22" s="17">
        <f>'Grid_Stock'!DA17</f>
        <v/>
      </c>
    </row>
    <row r="23">
      <c r="A23" s="15" t="inlineStr">
        <is>
          <t>CHEM-1400</t>
        </is>
      </c>
      <c r="B23" s="15">
        <f>IFERROR(INDEX(M_RawMaterials[Description],MATCH($A23,M_RawMaterials[RM_Code],0)),"")</f>
        <v/>
      </c>
      <c r="C23" s="15">
        <f>IFERROR(INDEX(M_RawMaterials[Category],MATCH($A23,M_RawMaterials[RM_Code],0)),"")</f>
        <v/>
      </c>
      <c r="D23" s="15">
        <f>IFERROR(INDEX(M_RawMaterials[SafetyStock_Qty_要入力],MATCH($A23,M_RawMaterials[RM_Code],0)),0)</f>
        <v/>
      </c>
      <c r="E23" s="15">
        <f>IFERROR(LOOKUP(2,1/(T_SelfStock!$A$2:$A$12000=$A23),T_SelfStock!$D$2:$D$12000),"")</f>
        <v/>
      </c>
      <c r="F23" s="15">
        <f>IFERROR(LOOKUP(2,1/(T_TTAFStock!$A$2:$A$12000=$A23),T_TTAFStock!$D$2:$D$12000),"")</f>
        <v/>
      </c>
      <c r="G23" s="15">
        <f>IFERROR(INDEX(Cal_Weeks[Label],LOOKUP(2,1/(T_SelfStock!$A$2:$A$12000=$A23),T_SelfStock!$B$2:$B$12000)),"")</f>
        <v/>
      </c>
      <c r="H23" s="15">
        <f>IF(MIN(J23:DI23)&lt;D23,"要発注","OK")</f>
        <v/>
      </c>
      <c r="I23" s="16">
        <f>IFERROR(INDEX(J23:DI23,$F$1),"")</f>
        <v/>
      </c>
      <c r="J23" s="15">
        <f>'Grid_Stock'!B18</f>
        <v/>
      </c>
      <c r="K23" s="15">
        <f>'Grid_Stock'!C18</f>
        <v/>
      </c>
      <c r="L23" s="15">
        <f>'Grid_Stock'!D18</f>
        <v/>
      </c>
      <c r="M23" s="15">
        <f>'Grid_Stock'!E18</f>
        <v/>
      </c>
      <c r="N23" s="15">
        <f>'Grid_Stock'!F18</f>
        <v/>
      </c>
      <c r="O23" s="15">
        <f>'Grid_Stock'!G18</f>
        <v/>
      </c>
      <c r="P23" s="15">
        <f>'Grid_Stock'!H18</f>
        <v/>
      </c>
      <c r="Q23" s="15">
        <f>'Grid_Stock'!I18</f>
        <v/>
      </c>
      <c r="R23" s="15">
        <f>'Grid_Stock'!J18</f>
        <v/>
      </c>
      <c r="S23" s="15">
        <f>'Grid_Stock'!K18</f>
        <v/>
      </c>
      <c r="T23" s="15">
        <f>'Grid_Stock'!L18</f>
        <v/>
      </c>
      <c r="U23" s="15">
        <f>'Grid_Stock'!M18</f>
        <v/>
      </c>
      <c r="V23" s="15">
        <f>'Grid_Stock'!N18</f>
        <v/>
      </c>
      <c r="W23" s="15">
        <f>'Grid_Stock'!O18</f>
        <v/>
      </c>
      <c r="X23" s="15">
        <f>'Grid_Stock'!P18</f>
        <v/>
      </c>
      <c r="Y23" s="15">
        <f>'Grid_Stock'!Q18</f>
        <v/>
      </c>
      <c r="Z23" s="15">
        <f>'Grid_Stock'!R18</f>
        <v/>
      </c>
      <c r="AA23" s="15">
        <f>'Grid_Stock'!S18</f>
        <v/>
      </c>
      <c r="AB23" s="15">
        <f>'Grid_Stock'!T18</f>
        <v/>
      </c>
      <c r="AC23" s="15">
        <f>'Grid_Stock'!U18</f>
        <v/>
      </c>
      <c r="AD23" s="15">
        <f>'Grid_Stock'!V18</f>
        <v/>
      </c>
      <c r="AE23" s="15">
        <f>'Grid_Stock'!W18</f>
        <v/>
      </c>
      <c r="AF23" s="15">
        <f>'Grid_Stock'!X18</f>
        <v/>
      </c>
      <c r="AG23" s="15">
        <f>'Grid_Stock'!Y18</f>
        <v/>
      </c>
      <c r="AH23" s="15">
        <f>'Grid_Stock'!Z18</f>
        <v/>
      </c>
      <c r="AI23" s="15">
        <f>'Grid_Stock'!AA18</f>
        <v/>
      </c>
      <c r="AJ23" s="15">
        <f>'Grid_Stock'!AB18</f>
        <v/>
      </c>
      <c r="AK23" s="15">
        <f>'Grid_Stock'!AC18</f>
        <v/>
      </c>
      <c r="AL23" s="15">
        <f>'Grid_Stock'!AD18</f>
        <v/>
      </c>
      <c r="AM23" s="15">
        <f>'Grid_Stock'!AE18</f>
        <v/>
      </c>
      <c r="AN23" s="15">
        <f>'Grid_Stock'!AF18</f>
        <v/>
      </c>
      <c r="AO23" s="15">
        <f>'Grid_Stock'!AG18</f>
        <v/>
      </c>
      <c r="AP23" s="15">
        <f>'Grid_Stock'!AH18</f>
        <v/>
      </c>
      <c r="AQ23" s="15">
        <f>'Grid_Stock'!AI18</f>
        <v/>
      </c>
      <c r="AR23" s="15">
        <f>'Grid_Stock'!AJ18</f>
        <v/>
      </c>
      <c r="AS23" s="15">
        <f>'Grid_Stock'!AK18</f>
        <v/>
      </c>
      <c r="AT23" s="15">
        <f>'Grid_Stock'!AL18</f>
        <v/>
      </c>
      <c r="AU23" s="15">
        <f>'Grid_Stock'!AM18</f>
        <v/>
      </c>
      <c r="AV23" s="15">
        <f>'Grid_Stock'!AN18</f>
        <v/>
      </c>
      <c r="AW23" s="15">
        <f>'Grid_Stock'!AO18</f>
        <v/>
      </c>
      <c r="AX23" s="15">
        <f>'Grid_Stock'!AP18</f>
        <v/>
      </c>
      <c r="AY23" s="15">
        <f>'Grid_Stock'!AQ18</f>
        <v/>
      </c>
      <c r="AZ23" s="15">
        <f>'Grid_Stock'!AR18</f>
        <v/>
      </c>
      <c r="BA23" s="15">
        <f>'Grid_Stock'!AS18</f>
        <v/>
      </c>
      <c r="BB23" s="15">
        <f>'Grid_Stock'!AT18</f>
        <v/>
      </c>
      <c r="BC23" s="15">
        <f>'Grid_Stock'!AU18</f>
        <v/>
      </c>
      <c r="BD23" s="15">
        <f>'Grid_Stock'!AV18</f>
        <v/>
      </c>
      <c r="BE23" s="15">
        <f>'Grid_Stock'!AW18</f>
        <v/>
      </c>
      <c r="BF23" s="15">
        <f>'Grid_Stock'!AX18</f>
        <v/>
      </c>
      <c r="BG23" s="15">
        <f>'Grid_Stock'!AY18</f>
        <v/>
      </c>
      <c r="BH23" s="15">
        <f>'Grid_Stock'!AZ18</f>
        <v/>
      </c>
      <c r="BI23" s="15">
        <f>'Grid_Stock'!BA18</f>
        <v/>
      </c>
      <c r="BJ23" s="15">
        <f>'Grid_Stock'!BB18</f>
        <v/>
      </c>
      <c r="BK23" s="15">
        <f>'Grid_Stock'!BC18</f>
        <v/>
      </c>
      <c r="BL23" s="15">
        <f>'Grid_Stock'!BD18</f>
        <v/>
      </c>
      <c r="BM23" s="15">
        <f>'Grid_Stock'!BE18</f>
        <v/>
      </c>
      <c r="BN23" s="15">
        <f>'Grid_Stock'!BF18</f>
        <v/>
      </c>
      <c r="BO23" s="15">
        <f>'Grid_Stock'!BG18</f>
        <v/>
      </c>
      <c r="BP23" s="15">
        <f>'Grid_Stock'!BH18</f>
        <v/>
      </c>
      <c r="BQ23" s="15">
        <f>'Grid_Stock'!BI18</f>
        <v/>
      </c>
      <c r="BR23" s="15">
        <f>'Grid_Stock'!BJ18</f>
        <v/>
      </c>
      <c r="BS23" s="15">
        <f>'Grid_Stock'!BK18</f>
        <v/>
      </c>
      <c r="BT23" s="15">
        <f>'Grid_Stock'!BL18</f>
        <v/>
      </c>
      <c r="BU23" s="15">
        <f>'Grid_Stock'!BM18</f>
        <v/>
      </c>
      <c r="BV23" s="15">
        <f>'Grid_Stock'!BN18</f>
        <v/>
      </c>
      <c r="BW23" s="15">
        <f>'Grid_Stock'!BO18</f>
        <v/>
      </c>
      <c r="BX23" s="15">
        <f>'Grid_Stock'!BP18</f>
        <v/>
      </c>
      <c r="BY23" s="15">
        <f>'Grid_Stock'!BQ18</f>
        <v/>
      </c>
      <c r="BZ23" s="15">
        <f>'Grid_Stock'!BR18</f>
        <v/>
      </c>
      <c r="CA23" s="15">
        <f>'Grid_Stock'!BS18</f>
        <v/>
      </c>
      <c r="CB23" s="15">
        <f>'Grid_Stock'!BT18</f>
        <v/>
      </c>
      <c r="CC23" s="15">
        <f>'Grid_Stock'!BU18</f>
        <v/>
      </c>
      <c r="CD23" s="15">
        <f>'Grid_Stock'!BV18</f>
        <v/>
      </c>
      <c r="CE23" s="15">
        <f>'Grid_Stock'!BW18</f>
        <v/>
      </c>
      <c r="CF23" s="15">
        <f>'Grid_Stock'!BX18</f>
        <v/>
      </c>
      <c r="CG23" s="15">
        <f>'Grid_Stock'!BY18</f>
        <v/>
      </c>
      <c r="CH23" s="15">
        <f>'Grid_Stock'!BZ18</f>
        <v/>
      </c>
      <c r="CI23" s="15">
        <f>'Grid_Stock'!CA18</f>
        <v/>
      </c>
      <c r="CJ23" s="15">
        <f>'Grid_Stock'!CB18</f>
        <v/>
      </c>
      <c r="CK23" s="15">
        <f>'Grid_Stock'!CC18</f>
        <v/>
      </c>
      <c r="CL23" s="15">
        <f>'Grid_Stock'!CD18</f>
        <v/>
      </c>
      <c r="CM23" s="15">
        <f>'Grid_Stock'!CE18</f>
        <v/>
      </c>
      <c r="CN23" s="15">
        <f>'Grid_Stock'!CF18</f>
        <v/>
      </c>
      <c r="CO23" s="15">
        <f>'Grid_Stock'!CG18</f>
        <v/>
      </c>
      <c r="CP23" s="15">
        <f>'Grid_Stock'!CH18</f>
        <v/>
      </c>
      <c r="CQ23" s="15">
        <f>'Grid_Stock'!CI18</f>
        <v/>
      </c>
      <c r="CR23" s="15">
        <f>'Grid_Stock'!CJ18</f>
        <v/>
      </c>
      <c r="CS23" s="15">
        <f>'Grid_Stock'!CK18</f>
        <v/>
      </c>
      <c r="CT23" s="15">
        <f>'Grid_Stock'!CL18</f>
        <v/>
      </c>
      <c r="CU23" s="15">
        <f>'Grid_Stock'!CM18</f>
        <v/>
      </c>
      <c r="CV23" s="15">
        <f>'Grid_Stock'!CN18</f>
        <v/>
      </c>
      <c r="CW23" s="15">
        <f>'Grid_Stock'!CO18</f>
        <v/>
      </c>
      <c r="CX23" s="15">
        <f>'Grid_Stock'!CP18</f>
        <v/>
      </c>
      <c r="CY23" s="15">
        <f>'Grid_Stock'!CQ18</f>
        <v/>
      </c>
      <c r="CZ23" s="15">
        <f>'Grid_Stock'!CR18</f>
        <v/>
      </c>
      <c r="DA23" s="15">
        <f>'Grid_Stock'!CS18</f>
        <v/>
      </c>
      <c r="DB23" s="15">
        <f>'Grid_Stock'!CT18</f>
        <v/>
      </c>
      <c r="DC23" s="15">
        <f>'Grid_Stock'!CU18</f>
        <v/>
      </c>
      <c r="DD23" s="15">
        <f>'Grid_Stock'!CV18</f>
        <v/>
      </c>
      <c r="DE23" s="15">
        <f>'Grid_Stock'!CW18</f>
        <v/>
      </c>
      <c r="DF23" s="15">
        <f>'Grid_Stock'!CX18</f>
        <v/>
      </c>
      <c r="DG23" s="15">
        <f>'Grid_Stock'!CY18</f>
        <v/>
      </c>
      <c r="DH23" s="15">
        <f>'Grid_Stock'!CZ18</f>
        <v/>
      </c>
      <c r="DI23" s="15">
        <f>'Grid_Stock'!DA18</f>
        <v/>
      </c>
    </row>
    <row r="24">
      <c r="A24" s="17" t="inlineStr">
        <is>
          <t>CHEM-1570</t>
        </is>
      </c>
      <c r="B24" s="17">
        <f>IFERROR(INDEX(M_RawMaterials[Description],MATCH($A24,M_RawMaterials[RM_Code],0)),"")</f>
        <v/>
      </c>
      <c r="C24" s="17">
        <f>IFERROR(INDEX(M_RawMaterials[Category],MATCH($A24,M_RawMaterials[RM_Code],0)),"")</f>
        <v/>
      </c>
      <c r="D24" s="17">
        <f>IFERROR(INDEX(M_RawMaterials[SafetyStock_Qty_要入力],MATCH($A24,M_RawMaterials[RM_Code],0)),0)</f>
        <v/>
      </c>
      <c r="E24" s="17">
        <f>IFERROR(LOOKUP(2,1/(T_SelfStock!$A$2:$A$12000=$A24),T_SelfStock!$D$2:$D$12000),"")</f>
        <v/>
      </c>
      <c r="F24" s="17">
        <f>IFERROR(LOOKUP(2,1/(T_TTAFStock!$A$2:$A$12000=$A24),T_TTAFStock!$D$2:$D$12000),"")</f>
        <v/>
      </c>
      <c r="G24" s="17">
        <f>IFERROR(INDEX(Cal_Weeks[Label],LOOKUP(2,1/(T_SelfStock!$A$2:$A$12000=$A24),T_SelfStock!$B$2:$B$12000)),"")</f>
        <v/>
      </c>
      <c r="H24" s="17">
        <f>IF(MIN(J24:DI24)&lt;D24,"要発注","OK")</f>
        <v/>
      </c>
      <c r="I24" s="16">
        <f>IFERROR(INDEX(J24:DI24,$F$1),"")</f>
        <v/>
      </c>
      <c r="J24" s="17">
        <f>'Grid_Stock'!B19</f>
        <v/>
      </c>
      <c r="K24" s="17">
        <f>'Grid_Stock'!C19</f>
        <v/>
      </c>
      <c r="L24" s="17">
        <f>'Grid_Stock'!D19</f>
        <v/>
      </c>
      <c r="M24" s="17">
        <f>'Grid_Stock'!E19</f>
        <v/>
      </c>
      <c r="N24" s="17">
        <f>'Grid_Stock'!F19</f>
        <v/>
      </c>
      <c r="O24" s="17">
        <f>'Grid_Stock'!G19</f>
        <v/>
      </c>
      <c r="P24" s="17">
        <f>'Grid_Stock'!H19</f>
        <v/>
      </c>
      <c r="Q24" s="17">
        <f>'Grid_Stock'!I19</f>
        <v/>
      </c>
      <c r="R24" s="17">
        <f>'Grid_Stock'!J19</f>
        <v/>
      </c>
      <c r="S24" s="17">
        <f>'Grid_Stock'!K19</f>
        <v/>
      </c>
      <c r="T24" s="17">
        <f>'Grid_Stock'!L19</f>
        <v/>
      </c>
      <c r="U24" s="17">
        <f>'Grid_Stock'!M19</f>
        <v/>
      </c>
      <c r="V24" s="17">
        <f>'Grid_Stock'!N19</f>
        <v/>
      </c>
      <c r="W24" s="17">
        <f>'Grid_Stock'!O19</f>
        <v/>
      </c>
      <c r="X24" s="17">
        <f>'Grid_Stock'!P19</f>
        <v/>
      </c>
      <c r="Y24" s="17">
        <f>'Grid_Stock'!Q19</f>
        <v/>
      </c>
      <c r="Z24" s="17">
        <f>'Grid_Stock'!R19</f>
        <v/>
      </c>
      <c r="AA24" s="17">
        <f>'Grid_Stock'!S19</f>
        <v/>
      </c>
      <c r="AB24" s="17">
        <f>'Grid_Stock'!T19</f>
        <v/>
      </c>
      <c r="AC24" s="17">
        <f>'Grid_Stock'!U19</f>
        <v/>
      </c>
      <c r="AD24" s="17">
        <f>'Grid_Stock'!V19</f>
        <v/>
      </c>
      <c r="AE24" s="17">
        <f>'Grid_Stock'!W19</f>
        <v/>
      </c>
      <c r="AF24" s="17">
        <f>'Grid_Stock'!X19</f>
        <v/>
      </c>
      <c r="AG24" s="17">
        <f>'Grid_Stock'!Y19</f>
        <v/>
      </c>
      <c r="AH24" s="17">
        <f>'Grid_Stock'!Z19</f>
        <v/>
      </c>
      <c r="AI24" s="17">
        <f>'Grid_Stock'!AA19</f>
        <v/>
      </c>
      <c r="AJ24" s="17">
        <f>'Grid_Stock'!AB19</f>
        <v/>
      </c>
      <c r="AK24" s="17">
        <f>'Grid_Stock'!AC19</f>
        <v/>
      </c>
      <c r="AL24" s="17">
        <f>'Grid_Stock'!AD19</f>
        <v/>
      </c>
      <c r="AM24" s="17">
        <f>'Grid_Stock'!AE19</f>
        <v/>
      </c>
      <c r="AN24" s="17">
        <f>'Grid_Stock'!AF19</f>
        <v/>
      </c>
      <c r="AO24" s="17">
        <f>'Grid_Stock'!AG19</f>
        <v/>
      </c>
      <c r="AP24" s="17">
        <f>'Grid_Stock'!AH19</f>
        <v/>
      </c>
      <c r="AQ24" s="17">
        <f>'Grid_Stock'!AI19</f>
        <v/>
      </c>
      <c r="AR24" s="17">
        <f>'Grid_Stock'!AJ19</f>
        <v/>
      </c>
      <c r="AS24" s="17">
        <f>'Grid_Stock'!AK19</f>
        <v/>
      </c>
      <c r="AT24" s="17">
        <f>'Grid_Stock'!AL19</f>
        <v/>
      </c>
      <c r="AU24" s="17">
        <f>'Grid_Stock'!AM19</f>
        <v/>
      </c>
      <c r="AV24" s="17">
        <f>'Grid_Stock'!AN19</f>
        <v/>
      </c>
      <c r="AW24" s="17">
        <f>'Grid_Stock'!AO19</f>
        <v/>
      </c>
      <c r="AX24" s="17">
        <f>'Grid_Stock'!AP19</f>
        <v/>
      </c>
      <c r="AY24" s="17">
        <f>'Grid_Stock'!AQ19</f>
        <v/>
      </c>
      <c r="AZ24" s="17">
        <f>'Grid_Stock'!AR19</f>
        <v/>
      </c>
      <c r="BA24" s="17">
        <f>'Grid_Stock'!AS19</f>
        <v/>
      </c>
      <c r="BB24" s="17">
        <f>'Grid_Stock'!AT19</f>
        <v/>
      </c>
      <c r="BC24" s="17">
        <f>'Grid_Stock'!AU19</f>
        <v/>
      </c>
      <c r="BD24" s="17">
        <f>'Grid_Stock'!AV19</f>
        <v/>
      </c>
      <c r="BE24" s="17">
        <f>'Grid_Stock'!AW19</f>
        <v/>
      </c>
      <c r="BF24" s="17">
        <f>'Grid_Stock'!AX19</f>
        <v/>
      </c>
      <c r="BG24" s="17">
        <f>'Grid_Stock'!AY19</f>
        <v/>
      </c>
      <c r="BH24" s="17">
        <f>'Grid_Stock'!AZ19</f>
        <v/>
      </c>
      <c r="BI24" s="17">
        <f>'Grid_Stock'!BA19</f>
        <v/>
      </c>
      <c r="BJ24" s="17">
        <f>'Grid_Stock'!BB19</f>
        <v/>
      </c>
      <c r="BK24" s="17">
        <f>'Grid_Stock'!BC19</f>
        <v/>
      </c>
      <c r="BL24" s="17">
        <f>'Grid_Stock'!BD19</f>
        <v/>
      </c>
      <c r="BM24" s="17">
        <f>'Grid_Stock'!BE19</f>
        <v/>
      </c>
      <c r="BN24" s="17">
        <f>'Grid_Stock'!BF19</f>
        <v/>
      </c>
      <c r="BO24" s="17">
        <f>'Grid_Stock'!BG19</f>
        <v/>
      </c>
      <c r="BP24" s="17">
        <f>'Grid_Stock'!BH19</f>
        <v/>
      </c>
      <c r="BQ24" s="17">
        <f>'Grid_Stock'!BI19</f>
        <v/>
      </c>
      <c r="BR24" s="17">
        <f>'Grid_Stock'!BJ19</f>
        <v/>
      </c>
      <c r="BS24" s="17">
        <f>'Grid_Stock'!BK19</f>
        <v/>
      </c>
      <c r="BT24" s="17">
        <f>'Grid_Stock'!BL19</f>
        <v/>
      </c>
      <c r="BU24" s="17">
        <f>'Grid_Stock'!BM19</f>
        <v/>
      </c>
      <c r="BV24" s="17">
        <f>'Grid_Stock'!BN19</f>
        <v/>
      </c>
      <c r="BW24" s="17">
        <f>'Grid_Stock'!BO19</f>
        <v/>
      </c>
      <c r="BX24" s="17">
        <f>'Grid_Stock'!BP19</f>
        <v/>
      </c>
      <c r="BY24" s="17">
        <f>'Grid_Stock'!BQ19</f>
        <v/>
      </c>
      <c r="BZ24" s="17">
        <f>'Grid_Stock'!BR19</f>
        <v/>
      </c>
      <c r="CA24" s="17">
        <f>'Grid_Stock'!BS19</f>
        <v/>
      </c>
      <c r="CB24" s="17">
        <f>'Grid_Stock'!BT19</f>
        <v/>
      </c>
      <c r="CC24" s="17">
        <f>'Grid_Stock'!BU19</f>
        <v/>
      </c>
      <c r="CD24" s="17">
        <f>'Grid_Stock'!BV19</f>
        <v/>
      </c>
      <c r="CE24" s="17">
        <f>'Grid_Stock'!BW19</f>
        <v/>
      </c>
      <c r="CF24" s="17">
        <f>'Grid_Stock'!BX19</f>
        <v/>
      </c>
      <c r="CG24" s="17">
        <f>'Grid_Stock'!BY19</f>
        <v/>
      </c>
      <c r="CH24" s="17">
        <f>'Grid_Stock'!BZ19</f>
        <v/>
      </c>
      <c r="CI24" s="17">
        <f>'Grid_Stock'!CA19</f>
        <v/>
      </c>
      <c r="CJ24" s="17">
        <f>'Grid_Stock'!CB19</f>
        <v/>
      </c>
      <c r="CK24" s="17">
        <f>'Grid_Stock'!CC19</f>
        <v/>
      </c>
      <c r="CL24" s="17">
        <f>'Grid_Stock'!CD19</f>
        <v/>
      </c>
      <c r="CM24" s="17">
        <f>'Grid_Stock'!CE19</f>
        <v/>
      </c>
      <c r="CN24" s="17">
        <f>'Grid_Stock'!CF19</f>
        <v/>
      </c>
      <c r="CO24" s="17">
        <f>'Grid_Stock'!CG19</f>
        <v/>
      </c>
      <c r="CP24" s="17">
        <f>'Grid_Stock'!CH19</f>
        <v/>
      </c>
      <c r="CQ24" s="17">
        <f>'Grid_Stock'!CI19</f>
        <v/>
      </c>
      <c r="CR24" s="17">
        <f>'Grid_Stock'!CJ19</f>
        <v/>
      </c>
      <c r="CS24" s="17">
        <f>'Grid_Stock'!CK19</f>
        <v/>
      </c>
      <c r="CT24" s="17">
        <f>'Grid_Stock'!CL19</f>
        <v/>
      </c>
      <c r="CU24" s="17">
        <f>'Grid_Stock'!CM19</f>
        <v/>
      </c>
      <c r="CV24" s="17">
        <f>'Grid_Stock'!CN19</f>
        <v/>
      </c>
      <c r="CW24" s="17">
        <f>'Grid_Stock'!CO19</f>
        <v/>
      </c>
      <c r="CX24" s="17">
        <f>'Grid_Stock'!CP19</f>
        <v/>
      </c>
      <c r="CY24" s="17">
        <f>'Grid_Stock'!CQ19</f>
        <v/>
      </c>
      <c r="CZ24" s="17">
        <f>'Grid_Stock'!CR19</f>
        <v/>
      </c>
      <c r="DA24" s="17">
        <f>'Grid_Stock'!CS19</f>
        <v/>
      </c>
      <c r="DB24" s="17">
        <f>'Grid_Stock'!CT19</f>
        <v/>
      </c>
      <c r="DC24" s="17">
        <f>'Grid_Stock'!CU19</f>
        <v/>
      </c>
      <c r="DD24" s="17">
        <f>'Grid_Stock'!CV19</f>
        <v/>
      </c>
      <c r="DE24" s="17">
        <f>'Grid_Stock'!CW19</f>
        <v/>
      </c>
      <c r="DF24" s="17">
        <f>'Grid_Stock'!CX19</f>
        <v/>
      </c>
      <c r="DG24" s="17">
        <f>'Grid_Stock'!CY19</f>
        <v/>
      </c>
      <c r="DH24" s="17">
        <f>'Grid_Stock'!CZ19</f>
        <v/>
      </c>
      <c r="DI24" s="17">
        <f>'Grid_Stock'!DA19</f>
        <v/>
      </c>
    </row>
    <row r="25">
      <c r="A25" s="15" t="inlineStr">
        <is>
          <t>CHEM-1650</t>
        </is>
      </c>
      <c r="B25" s="15">
        <f>IFERROR(INDEX(M_RawMaterials[Description],MATCH($A25,M_RawMaterials[RM_Code],0)),"")</f>
        <v/>
      </c>
      <c r="C25" s="15">
        <f>IFERROR(INDEX(M_RawMaterials[Category],MATCH($A25,M_RawMaterials[RM_Code],0)),"")</f>
        <v/>
      </c>
      <c r="D25" s="15">
        <f>IFERROR(INDEX(M_RawMaterials[SafetyStock_Qty_要入力],MATCH($A25,M_RawMaterials[RM_Code],0)),0)</f>
        <v/>
      </c>
      <c r="E25" s="15">
        <f>IFERROR(LOOKUP(2,1/(T_SelfStock!$A$2:$A$12000=$A25),T_SelfStock!$D$2:$D$12000),"")</f>
        <v/>
      </c>
      <c r="F25" s="15">
        <f>IFERROR(LOOKUP(2,1/(T_TTAFStock!$A$2:$A$12000=$A25),T_TTAFStock!$D$2:$D$12000),"")</f>
        <v/>
      </c>
      <c r="G25" s="15">
        <f>IFERROR(INDEX(Cal_Weeks[Label],LOOKUP(2,1/(T_SelfStock!$A$2:$A$12000=$A25),T_SelfStock!$B$2:$B$12000)),"")</f>
        <v/>
      </c>
      <c r="H25" s="15">
        <f>IF(MIN(J25:DI25)&lt;D25,"要発注","OK")</f>
        <v/>
      </c>
      <c r="I25" s="16">
        <f>IFERROR(INDEX(J25:DI25,$F$1),"")</f>
        <v/>
      </c>
      <c r="J25" s="15">
        <f>'Grid_Stock'!B20</f>
        <v/>
      </c>
      <c r="K25" s="15">
        <f>'Grid_Stock'!C20</f>
        <v/>
      </c>
      <c r="L25" s="15">
        <f>'Grid_Stock'!D20</f>
        <v/>
      </c>
      <c r="M25" s="15">
        <f>'Grid_Stock'!E20</f>
        <v/>
      </c>
      <c r="N25" s="15">
        <f>'Grid_Stock'!F20</f>
        <v/>
      </c>
      <c r="O25" s="15">
        <f>'Grid_Stock'!G20</f>
        <v/>
      </c>
      <c r="P25" s="15">
        <f>'Grid_Stock'!H20</f>
        <v/>
      </c>
      <c r="Q25" s="15">
        <f>'Grid_Stock'!I20</f>
        <v/>
      </c>
      <c r="R25" s="15">
        <f>'Grid_Stock'!J20</f>
        <v/>
      </c>
      <c r="S25" s="15">
        <f>'Grid_Stock'!K20</f>
        <v/>
      </c>
      <c r="T25" s="15">
        <f>'Grid_Stock'!L20</f>
        <v/>
      </c>
      <c r="U25" s="15">
        <f>'Grid_Stock'!M20</f>
        <v/>
      </c>
      <c r="V25" s="15">
        <f>'Grid_Stock'!N20</f>
        <v/>
      </c>
      <c r="W25" s="15">
        <f>'Grid_Stock'!O20</f>
        <v/>
      </c>
      <c r="X25" s="15">
        <f>'Grid_Stock'!P20</f>
        <v/>
      </c>
      <c r="Y25" s="15">
        <f>'Grid_Stock'!Q20</f>
        <v/>
      </c>
      <c r="Z25" s="15">
        <f>'Grid_Stock'!R20</f>
        <v/>
      </c>
      <c r="AA25" s="15">
        <f>'Grid_Stock'!S20</f>
        <v/>
      </c>
      <c r="AB25" s="15">
        <f>'Grid_Stock'!T20</f>
        <v/>
      </c>
      <c r="AC25" s="15">
        <f>'Grid_Stock'!U20</f>
        <v/>
      </c>
      <c r="AD25" s="15">
        <f>'Grid_Stock'!V20</f>
        <v/>
      </c>
      <c r="AE25" s="15">
        <f>'Grid_Stock'!W20</f>
        <v/>
      </c>
      <c r="AF25" s="15">
        <f>'Grid_Stock'!X20</f>
        <v/>
      </c>
      <c r="AG25" s="15">
        <f>'Grid_Stock'!Y20</f>
        <v/>
      </c>
      <c r="AH25" s="15">
        <f>'Grid_Stock'!Z20</f>
        <v/>
      </c>
      <c r="AI25" s="15">
        <f>'Grid_Stock'!AA20</f>
        <v/>
      </c>
      <c r="AJ25" s="15">
        <f>'Grid_Stock'!AB20</f>
        <v/>
      </c>
      <c r="AK25" s="15">
        <f>'Grid_Stock'!AC20</f>
        <v/>
      </c>
      <c r="AL25" s="15">
        <f>'Grid_Stock'!AD20</f>
        <v/>
      </c>
      <c r="AM25" s="15">
        <f>'Grid_Stock'!AE20</f>
        <v/>
      </c>
      <c r="AN25" s="15">
        <f>'Grid_Stock'!AF20</f>
        <v/>
      </c>
      <c r="AO25" s="15">
        <f>'Grid_Stock'!AG20</f>
        <v/>
      </c>
      <c r="AP25" s="15">
        <f>'Grid_Stock'!AH20</f>
        <v/>
      </c>
      <c r="AQ25" s="15">
        <f>'Grid_Stock'!AI20</f>
        <v/>
      </c>
      <c r="AR25" s="15">
        <f>'Grid_Stock'!AJ20</f>
        <v/>
      </c>
      <c r="AS25" s="15">
        <f>'Grid_Stock'!AK20</f>
        <v/>
      </c>
      <c r="AT25" s="15">
        <f>'Grid_Stock'!AL20</f>
        <v/>
      </c>
      <c r="AU25" s="15">
        <f>'Grid_Stock'!AM20</f>
        <v/>
      </c>
      <c r="AV25" s="15">
        <f>'Grid_Stock'!AN20</f>
        <v/>
      </c>
      <c r="AW25" s="15">
        <f>'Grid_Stock'!AO20</f>
        <v/>
      </c>
      <c r="AX25" s="15">
        <f>'Grid_Stock'!AP20</f>
        <v/>
      </c>
      <c r="AY25" s="15">
        <f>'Grid_Stock'!AQ20</f>
        <v/>
      </c>
      <c r="AZ25" s="15">
        <f>'Grid_Stock'!AR20</f>
        <v/>
      </c>
      <c r="BA25" s="15">
        <f>'Grid_Stock'!AS20</f>
        <v/>
      </c>
      <c r="BB25" s="15">
        <f>'Grid_Stock'!AT20</f>
        <v/>
      </c>
      <c r="BC25" s="15">
        <f>'Grid_Stock'!AU20</f>
        <v/>
      </c>
      <c r="BD25" s="15">
        <f>'Grid_Stock'!AV20</f>
        <v/>
      </c>
      <c r="BE25" s="15">
        <f>'Grid_Stock'!AW20</f>
        <v/>
      </c>
      <c r="BF25" s="15">
        <f>'Grid_Stock'!AX20</f>
        <v/>
      </c>
      <c r="BG25" s="15">
        <f>'Grid_Stock'!AY20</f>
        <v/>
      </c>
      <c r="BH25" s="15">
        <f>'Grid_Stock'!AZ20</f>
        <v/>
      </c>
      <c r="BI25" s="15">
        <f>'Grid_Stock'!BA20</f>
        <v/>
      </c>
      <c r="BJ25" s="15">
        <f>'Grid_Stock'!BB20</f>
        <v/>
      </c>
      <c r="BK25" s="15">
        <f>'Grid_Stock'!BC20</f>
        <v/>
      </c>
      <c r="BL25" s="15">
        <f>'Grid_Stock'!BD20</f>
        <v/>
      </c>
      <c r="BM25" s="15">
        <f>'Grid_Stock'!BE20</f>
        <v/>
      </c>
      <c r="BN25" s="15">
        <f>'Grid_Stock'!BF20</f>
        <v/>
      </c>
      <c r="BO25" s="15">
        <f>'Grid_Stock'!BG20</f>
        <v/>
      </c>
      <c r="BP25" s="15">
        <f>'Grid_Stock'!BH20</f>
        <v/>
      </c>
      <c r="BQ25" s="15">
        <f>'Grid_Stock'!BI20</f>
        <v/>
      </c>
      <c r="BR25" s="15">
        <f>'Grid_Stock'!BJ20</f>
        <v/>
      </c>
      <c r="BS25" s="15">
        <f>'Grid_Stock'!BK20</f>
        <v/>
      </c>
      <c r="BT25" s="15">
        <f>'Grid_Stock'!BL20</f>
        <v/>
      </c>
      <c r="BU25" s="15">
        <f>'Grid_Stock'!BM20</f>
        <v/>
      </c>
      <c r="BV25" s="15">
        <f>'Grid_Stock'!BN20</f>
        <v/>
      </c>
      <c r="BW25" s="15">
        <f>'Grid_Stock'!BO20</f>
        <v/>
      </c>
      <c r="BX25" s="15">
        <f>'Grid_Stock'!BP20</f>
        <v/>
      </c>
      <c r="BY25" s="15">
        <f>'Grid_Stock'!BQ20</f>
        <v/>
      </c>
      <c r="BZ25" s="15">
        <f>'Grid_Stock'!BR20</f>
        <v/>
      </c>
      <c r="CA25" s="15">
        <f>'Grid_Stock'!BS20</f>
        <v/>
      </c>
      <c r="CB25" s="15">
        <f>'Grid_Stock'!BT20</f>
        <v/>
      </c>
      <c r="CC25" s="15">
        <f>'Grid_Stock'!BU20</f>
        <v/>
      </c>
      <c r="CD25" s="15">
        <f>'Grid_Stock'!BV20</f>
        <v/>
      </c>
      <c r="CE25" s="15">
        <f>'Grid_Stock'!BW20</f>
        <v/>
      </c>
      <c r="CF25" s="15">
        <f>'Grid_Stock'!BX20</f>
        <v/>
      </c>
      <c r="CG25" s="15">
        <f>'Grid_Stock'!BY20</f>
        <v/>
      </c>
      <c r="CH25" s="15">
        <f>'Grid_Stock'!BZ20</f>
        <v/>
      </c>
      <c r="CI25" s="15">
        <f>'Grid_Stock'!CA20</f>
        <v/>
      </c>
      <c r="CJ25" s="15">
        <f>'Grid_Stock'!CB20</f>
        <v/>
      </c>
      <c r="CK25" s="15">
        <f>'Grid_Stock'!CC20</f>
        <v/>
      </c>
      <c r="CL25" s="15">
        <f>'Grid_Stock'!CD20</f>
        <v/>
      </c>
      <c r="CM25" s="15">
        <f>'Grid_Stock'!CE20</f>
        <v/>
      </c>
      <c r="CN25" s="15">
        <f>'Grid_Stock'!CF20</f>
        <v/>
      </c>
      <c r="CO25" s="15">
        <f>'Grid_Stock'!CG20</f>
        <v/>
      </c>
      <c r="CP25" s="15">
        <f>'Grid_Stock'!CH20</f>
        <v/>
      </c>
      <c r="CQ25" s="15">
        <f>'Grid_Stock'!CI20</f>
        <v/>
      </c>
      <c r="CR25" s="15">
        <f>'Grid_Stock'!CJ20</f>
        <v/>
      </c>
      <c r="CS25" s="15">
        <f>'Grid_Stock'!CK20</f>
        <v/>
      </c>
      <c r="CT25" s="15">
        <f>'Grid_Stock'!CL20</f>
        <v/>
      </c>
      <c r="CU25" s="15">
        <f>'Grid_Stock'!CM20</f>
        <v/>
      </c>
      <c r="CV25" s="15">
        <f>'Grid_Stock'!CN20</f>
        <v/>
      </c>
      <c r="CW25" s="15">
        <f>'Grid_Stock'!CO20</f>
        <v/>
      </c>
      <c r="CX25" s="15">
        <f>'Grid_Stock'!CP20</f>
        <v/>
      </c>
      <c r="CY25" s="15">
        <f>'Grid_Stock'!CQ20</f>
        <v/>
      </c>
      <c r="CZ25" s="15">
        <f>'Grid_Stock'!CR20</f>
        <v/>
      </c>
      <c r="DA25" s="15">
        <f>'Grid_Stock'!CS20</f>
        <v/>
      </c>
      <c r="DB25" s="15">
        <f>'Grid_Stock'!CT20</f>
        <v/>
      </c>
      <c r="DC25" s="15">
        <f>'Grid_Stock'!CU20</f>
        <v/>
      </c>
      <c r="DD25" s="15">
        <f>'Grid_Stock'!CV20</f>
        <v/>
      </c>
      <c r="DE25" s="15">
        <f>'Grid_Stock'!CW20</f>
        <v/>
      </c>
      <c r="DF25" s="15">
        <f>'Grid_Stock'!CX20</f>
        <v/>
      </c>
      <c r="DG25" s="15">
        <f>'Grid_Stock'!CY20</f>
        <v/>
      </c>
      <c r="DH25" s="15">
        <f>'Grid_Stock'!CZ20</f>
        <v/>
      </c>
      <c r="DI25" s="15">
        <f>'Grid_Stock'!DA20</f>
        <v/>
      </c>
    </row>
    <row r="26">
      <c r="A26" s="17" t="inlineStr">
        <is>
          <t>CHEM-1660</t>
        </is>
      </c>
      <c r="B26" s="17">
        <f>IFERROR(INDEX(M_RawMaterials[Description],MATCH($A26,M_RawMaterials[RM_Code],0)),"")</f>
        <v/>
      </c>
      <c r="C26" s="17">
        <f>IFERROR(INDEX(M_RawMaterials[Category],MATCH($A26,M_RawMaterials[RM_Code],0)),"")</f>
        <v/>
      </c>
      <c r="D26" s="17">
        <f>IFERROR(INDEX(M_RawMaterials[SafetyStock_Qty_要入力],MATCH($A26,M_RawMaterials[RM_Code],0)),0)</f>
        <v/>
      </c>
      <c r="E26" s="17">
        <f>IFERROR(LOOKUP(2,1/(T_SelfStock!$A$2:$A$12000=$A26),T_SelfStock!$D$2:$D$12000),"")</f>
        <v/>
      </c>
      <c r="F26" s="17">
        <f>IFERROR(LOOKUP(2,1/(T_TTAFStock!$A$2:$A$12000=$A26),T_TTAFStock!$D$2:$D$12000),"")</f>
        <v/>
      </c>
      <c r="G26" s="17">
        <f>IFERROR(INDEX(Cal_Weeks[Label],LOOKUP(2,1/(T_SelfStock!$A$2:$A$12000=$A26),T_SelfStock!$B$2:$B$12000)),"")</f>
        <v/>
      </c>
      <c r="H26" s="17">
        <f>IF(MIN(J26:DI26)&lt;D26,"要発注","OK")</f>
        <v/>
      </c>
      <c r="I26" s="16">
        <f>IFERROR(INDEX(J26:DI26,$F$1),"")</f>
        <v/>
      </c>
      <c r="J26" s="17">
        <f>'Grid_Stock'!B21</f>
        <v/>
      </c>
      <c r="K26" s="17">
        <f>'Grid_Stock'!C21</f>
        <v/>
      </c>
      <c r="L26" s="17">
        <f>'Grid_Stock'!D21</f>
        <v/>
      </c>
      <c r="M26" s="17">
        <f>'Grid_Stock'!E21</f>
        <v/>
      </c>
      <c r="N26" s="17">
        <f>'Grid_Stock'!F21</f>
        <v/>
      </c>
      <c r="O26" s="17">
        <f>'Grid_Stock'!G21</f>
        <v/>
      </c>
      <c r="P26" s="17">
        <f>'Grid_Stock'!H21</f>
        <v/>
      </c>
      <c r="Q26" s="17">
        <f>'Grid_Stock'!I21</f>
        <v/>
      </c>
      <c r="R26" s="17">
        <f>'Grid_Stock'!J21</f>
        <v/>
      </c>
      <c r="S26" s="17">
        <f>'Grid_Stock'!K21</f>
        <v/>
      </c>
      <c r="T26" s="17">
        <f>'Grid_Stock'!L21</f>
        <v/>
      </c>
      <c r="U26" s="17">
        <f>'Grid_Stock'!M21</f>
        <v/>
      </c>
      <c r="V26" s="17">
        <f>'Grid_Stock'!N21</f>
        <v/>
      </c>
      <c r="W26" s="17">
        <f>'Grid_Stock'!O21</f>
        <v/>
      </c>
      <c r="X26" s="17">
        <f>'Grid_Stock'!P21</f>
        <v/>
      </c>
      <c r="Y26" s="17">
        <f>'Grid_Stock'!Q21</f>
        <v/>
      </c>
      <c r="Z26" s="17">
        <f>'Grid_Stock'!R21</f>
        <v/>
      </c>
      <c r="AA26" s="17">
        <f>'Grid_Stock'!S21</f>
        <v/>
      </c>
      <c r="AB26" s="17">
        <f>'Grid_Stock'!T21</f>
        <v/>
      </c>
      <c r="AC26" s="17">
        <f>'Grid_Stock'!U21</f>
        <v/>
      </c>
      <c r="AD26" s="17">
        <f>'Grid_Stock'!V21</f>
        <v/>
      </c>
      <c r="AE26" s="17">
        <f>'Grid_Stock'!W21</f>
        <v/>
      </c>
      <c r="AF26" s="17">
        <f>'Grid_Stock'!X21</f>
        <v/>
      </c>
      <c r="AG26" s="17">
        <f>'Grid_Stock'!Y21</f>
        <v/>
      </c>
      <c r="AH26" s="17">
        <f>'Grid_Stock'!Z21</f>
        <v/>
      </c>
      <c r="AI26" s="17">
        <f>'Grid_Stock'!AA21</f>
        <v/>
      </c>
      <c r="AJ26" s="17">
        <f>'Grid_Stock'!AB21</f>
        <v/>
      </c>
      <c r="AK26" s="17">
        <f>'Grid_Stock'!AC21</f>
        <v/>
      </c>
      <c r="AL26" s="17">
        <f>'Grid_Stock'!AD21</f>
        <v/>
      </c>
      <c r="AM26" s="17">
        <f>'Grid_Stock'!AE21</f>
        <v/>
      </c>
      <c r="AN26" s="17">
        <f>'Grid_Stock'!AF21</f>
        <v/>
      </c>
      <c r="AO26" s="17">
        <f>'Grid_Stock'!AG21</f>
        <v/>
      </c>
      <c r="AP26" s="17">
        <f>'Grid_Stock'!AH21</f>
        <v/>
      </c>
      <c r="AQ26" s="17">
        <f>'Grid_Stock'!AI21</f>
        <v/>
      </c>
      <c r="AR26" s="17">
        <f>'Grid_Stock'!AJ21</f>
        <v/>
      </c>
      <c r="AS26" s="17">
        <f>'Grid_Stock'!AK21</f>
        <v/>
      </c>
      <c r="AT26" s="17">
        <f>'Grid_Stock'!AL21</f>
        <v/>
      </c>
      <c r="AU26" s="17">
        <f>'Grid_Stock'!AM21</f>
        <v/>
      </c>
      <c r="AV26" s="17">
        <f>'Grid_Stock'!AN21</f>
        <v/>
      </c>
      <c r="AW26" s="17">
        <f>'Grid_Stock'!AO21</f>
        <v/>
      </c>
      <c r="AX26" s="17">
        <f>'Grid_Stock'!AP21</f>
        <v/>
      </c>
      <c r="AY26" s="17">
        <f>'Grid_Stock'!AQ21</f>
        <v/>
      </c>
      <c r="AZ26" s="17">
        <f>'Grid_Stock'!AR21</f>
        <v/>
      </c>
      <c r="BA26" s="17">
        <f>'Grid_Stock'!AS21</f>
        <v/>
      </c>
      <c r="BB26" s="17">
        <f>'Grid_Stock'!AT21</f>
        <v/>
      </c>
      <c r="BC26" s="17">
        <f>'Grid_Stock'!AU21</f>
        <v/>
      </c>
      <c r="BD26" s="17">
        <f>'Grid_Stock'!AV21</f>
        <v/>
      </c>
      <c r="BE26" s="17">
        <f>'Grid_Stock'!AW21</f>
        <v/>
      </c>
      <c r="BF26" s="17">
        <f>'Grid_Stock'!AX21</f>
        <v/>
      </c>
      <c r="BG26" s="17">
        <f>'Grid_Stock'!AY21</f>
        <v/>
      </c>
      <c r="BH26" s="17">
        <f>'Grid_Stock'!AZ21</f>
        <v/>
      </c>
      <c r="BI26" s="17">
        <f>'Grid_Stock'!BA21</f>
        <v/>
      </c>
      <c r="BJ26" s="17">
        <f>'Grid_Stock'!BB21</f>
        <v/>
      </c>
      <c r="BK26" s="17">
        <f>'Grid_Stock'!BC21</f>
        <v/>
      </c>
      <c r="BL26" s="17">
        <f>'Grid_Stock'!BD21</f>
        <v/>
      </c>
      <c r="BM26" s="17">
        <f>'Grid_Stock'!BE21</f>
        <v/>
      </c>
      <c r="BN26" s="17">
        <f>'Grid_Stock'!BF21</f>
        <v/>
      </c>
      <c r="BO26" s="17">
        <f>'Grid_Stock'!BG21</f>
        <v/>
      </c>
      <c r="BP26" s="17">
        <f>'Grid_Stock'!BH21</f>
        <v/>
      </c>
      <c r="BQ26" s="17">
        <f>'Grid_Stock'!BI21</f>
        <v/>
      </c>
      <c r="BR26" s="17">
        <f>'Grid_Stock'!BJ21</f>
        <v/>
      </c>
      <c r="BS26" s="17">
        <f>'Grid_Stock'!BK21</f>
        <v/>
      </c>
      <c r="BT26" s="17">
        <f>'Grid_Stock'!BL21</f>
        <v/>
      </c>
      <c r="BU26" s="17">
        <f>'Grid_Stock'!BM21</f>
        <v/>
      </c>
      <c r="BV26" s="17">
        <f>'Grid_Stock'!BN21</f>
        <v/>
      </c>
      <c r="BW26" s="17">
        <f>'Grid_Stock'!BO21</f>
        <v/>
      </c>
      <c r="BX26" s="17">
        <f>'Grid_Stock'!BP21</f>
        <v/>
      </c>
      <c r="BY26" s="17">
        <f>'Grid_Stock'!BQ21</f>
        <v/>
      </c>
      <c r="BZ26" s="17">
        <f>'Grid_Stock'!BR21</f>
        <v/>
      </c>
      <c r="CA26" s="17">
        <f>'Grid_Stock'!BS21</f>
        <v/>
      </c>
      <c r="CB26" s="17">
        <f>'Grid_Stock'!BT21</f>
        <v/>
      </c>
      <c r="CC26" s="17">
        <f>'Grid_Stock'!BU21</f>
        <v/>
      </c>
      <c r="CD26" s="17">
        <f>'Grid_Stock'!BV21</f>
        <v/>
      </c>
      <c r="CE26" s="17">
        <f>'Grid_Stock'!BW21</f>
        <v/>
      </c>
      <c r="CF26" s="17">
        <f>'Grid_Stock'!BX21</f>
        <v/>
      </c>
      <c r="CG26" s="17">
        <f>'Grid_Stock'!BY21</f>
        <v/>
      </c>
      <c r="CH26" s="17">
        <f>'Grid_Stock'!BZ21</f>
        <v/>
      </c>
      <c r="CI26" s="17">
        <f>'Grid_Stock'!CA21</f>
        <v/>
      </c>
      <c r="CJ26" s="17">
        <f>'Grid_Stock'!CB21</f>
        <v/>
      </c>
      <c r="CK26" s="17">
        <f>'Grid_Stock'!CC21</f>
        <v/>
      </c>
      <c r="CL26" s="17">
        <f>'Grid_Stock'!CD21</f>
        <v/>
      </c>
      <c r="CM26" s="17">
        <f>'Grid_Stock'!CE21</f>
        <v/>
      </c>
      <c r="CN26" s="17">
        <f>'Grid_Stock'!CF21</f>
        <v/>
      </c>
      <c r="CO26" s="17">
        <f>'Grid_Stock'!CG21</f>
        <v/>
      </c>
      <c r="CP26" s="17">
        <f>'Grid_Stock'!CH21</f>
        <v/>
      </c>
      <c r="CQ26" s="17">
        <f>'Grid_Stock'!CI21</f>
        <v/>
      </c>
      <c r="CR26" s="17">
        <f>'Grid_Stock'!CJ21</f>
        <v/>
      </c>
      <c r="CS26" s="17">
        <f>'Grid_Stock'!CK21</f>
        <v/>
      </c>
      <c r="CT26" s="17">
        <f>'Grid_Stock'!CL21</f>
        <v/>
      </c>
      <c r="CU26" s="17">
        <f>'Grid_Stock'!CM21</f>
        <v/>
      </c>
      <c r="CV26" s="17">
        <f>'Grid_Stock'!CN21</f>
        <v/>
      </c>
      <c r="CW26" s="17">
        <f>'Grid_Stock'!CO21</f>
        <v/>
      </c>
      <c r="CX26" s="17">
        <f>'Grid_Stock'!CP21</f>
        <v/>
      </c>
      <c r="CY26" s="17">
        <f>'Grid_Stock'!CQ21</f>
        <v/>
      </c>
      <c r="CZ26" s="17">
        <f>'Grid_Stock'!CR21</f>
        <v/>
      </c>
      <c r="DA26" s="17">
        <f>'Grid_Stock'!CS21</f>
        <v/>
      </c>
      <c r="DB26" s="17">
        <f>'Grid_Stock'!CT21</f>
        <v/>
      </c>
      <c r="DC26" s="17">
        <f>'Grid_Stock'!CU21</f>
        <v/>
      </c>
      <c r="DD26" s="17">
        <f>'Grid_Stock'!CV21</f>
        <v/>
      </c>
      <c r="DE26" s="17">
        <f>'Grid_Stock'!CW21</f>
        <v/>
      </c>
      <c r="DF26" s="17">
        <f>'Grid_Stock'!CX21</f>
        <v/>
      </c>
      <c r="DG26" s="17">
        <f>'Grid_Stock'!CY21</f>
        <v/>
      </c>
      <c r="DH26" s="17">
        <f>'Grid_Stock'!CZ21</f>
        <v/>
      </c>
      <c r="DI26" s="17">
        <f>'Grid_Stock'!DA21</f>
        <v/>
      </c>
    </row>
    <row r="27">
      <c r="A27" s="15" t="inlineStr">
        <is>
          <t>CHEM-1600</t>
        </is>
      </c>
      <c r="B27" s="15">
        <f>IFERROR(INDEX(M_RawMaterials[Description],MATCH($A27,M_RawMaterials[RM_Code],0)),"")</f>
        <v/>
      </c>
      <c r="C27" s="15">
        <f>IFERROR(INDEX(M_RawMaterials[Category],MATCH($A27,M_RawMaterials[RM_Code],0)),"")</f>
        <v/>
      </c>
      <c r="D27" s="15">
        <f>IFERROR(INDEX(M_RawMaterials[SafetyStock_Qty_要入力],MATCH($A27,M_RawMaterials[RM_Code],0)),0)</f>
        <v/>
      </c>
      <c r="E27" s="15">
        <f>IFERROR(LOOKUP(2,1/(T_SelfStock!$A$2:$A$12000=$A27),T_SelfStock!$D$2:$D$12000),"")</f>
        <v/>
      </c>
      <c r="F27" s="15">
        <f>IFERROR(LOOKUP(2,1/(T_TTAFStock!$A$2:$A$12000=$A27),T_TTAFStock!$D$2:$D$12000),"")</f>
        <v/>
      </c>
      <c r="G27" s="15">
        <f>IFERROR(INDEX(Cal_Weeks[Label],LOOKUP(2,1/(T_SelfStock!$A$2:$A$12000=$A27),T_SelfStock!$B$2:$B$12000)),"")</f>
        <v/>
      </c>
      <c r="H27" s="15">
        <f>IF(MIN(J27:DI27)&lt;D27,"要発注","OK")</f>
        <v/>
      </c>
      <c r="I27" s="16">
        <f>IFERROR(INDEX(J27:DI27,$F$1),"")</f>
        <v/>
      </c>
      <c r="J27" s="15">
        <f>'Grid_Stock'!B22</f>
        <v/>
      </c>
      <c r="K27" s="15">
        <f>'Grid_Stock'!C22</f>
        <v/>
      </c>
      <c r="L27" s="15">
        <f>'Grid_Stock'!D22</f>
        <v/>
      </c>
      <c r="M27" s="15">
        <f>'Grid_Stock'!E22</f>
        <v/>
      </c>
      <c r="N27" s="15">
        <f>'Grid_Stock'!F22</f>
        <v/>
      </c>
      <c r="O27" s="15">
        <f>'Grid_Stock'!G22</f>
        <v/>
      </c>
      <c r="P27" s="15">
        <f>'Grid_Stock'!H22</f>
        <v/>
      </c>
      <c r="Q27" s="15">
        <f>'Grid_Stock'!I22</f>
        <v/>
      </c>
      <c r="R27" s="15">
        <f>'Grid_Stock'!J22</f>
        <v/>
      </c>
      <c r="S27" s="15">
        <f>'Grid_Stock'!K22</f>
        <v/>
      </c>
      <c r="T27" s="15">
        <f>'Grid_Stock'!L22</f>
        <v/>
      </c>
      <c r="U27" s="15">
        <f>'Grid_Stock'!M22</f>
        <v/>
      </c>
      <c r="V27" s="15">
        <f>'Grid_Stock'!N22</f>
        <v/>
      </c>
      <c r="W27" s="15">
        <f>'Grid_Stock'!O22</f>
        <v/>
      </c>
      <c r="X27" s="15">
        <f>'Grid_Stock'!P22</f>
        <v/>
      </c>
      <c r="Y27" s="15">
        <f>'Grid_Stock'!Q22</f>
        <v/>
      </c>
      <c r="Z27" s="15">
        <f>'Grid_Stock'!R22</f>
        <v/>
      </c>
      <c r="AA27" s="15">
        <f>'Grid_Stock'!S22</f>
        <v/>
      </c>
      <c r="AB27" s="15">
        <f>'Grid_Stock'!T22</f>
        <v/>
      </c>
      <c r="AC27" s="15">
        <f>'Grid_Stock'!U22</f>
        <v/>
      </c>
      <c r="AD27" s="15">
        <f>'Grid_Stock'!V22</f>
        <v/>
      </c>
      <c r="AE27" s="15">
        <f>'Grid_Stock'!W22</f>
        <v/>
      </c>
      <c r="AF27" s="15">
        <f>'Grid_Stock'!X22</f>
        <v/>
      </c>
      <c r="AG27" s="15">
        <f>'Grid_Stock'!Y22</f>
        <v/>
      </c>
      <c r="AH27" s="15">
        <f>'Grid_Stock'!Z22</f>
        <v/>
      </c>
      <c r="AI27" s="15">
        <f>'Grid_Stock'!AA22</f>
        <v/>
      </c>
      <c r="AJ27" s="15">
        <f>'Grid_Stock'!AB22</f>
        <v/>
      </c>
      <c r="AK27" s="15">
        <f>'Grid_Stock'!AC22</f>
        <v/>
      </c>
      <c r="AL27" s="15">
        <f>'Grid_Stock'!AD22</f>
        <v/>
      </c>
      <c r="AM27" s="15">
        <f>'Grid_Stock'!AE22</f>
        <v/>
      </c>
      <c r="AN27" s="15">
        <f>'Grid_Stock'!AF22</f>
        <v/>
      </c>
      <c r="AO27" s="15">
        <f>'Grid_Stock'!AG22</f>
        <v/>
      </c>
      <c r="AP27" s="15">
        <f>'Grid_Stock'!AH22</f>
        <v/>
      </c>
      <c r="AQ27" s="15">
        <f>'Grid_Stock'!AI22</f>
        <v/>
      </c>
      <c r="AR27" s="15">
        <f>'Grid_Stock'!AJ22</f>
        <v/>
      </c>
      <c r="AS27" s="15">
        <f>'Grid_Stock'!AK22</f>
        <v/>
      </c>
      <c r="AT27" s="15">
        <f>'Grid_Stock'!AL22</f>
        <v/>
      </c>
      <c r="AU27" s="15">
        <f>'Grid_Stock'!AM22</f>
        <v/>
      </c>
      <c r="AV27" s="15">
        <f>'Grid_Stock'!AN22</f>
        <v/>
      </c>
      <c r="AW27" s="15">
        <f>'Grid_Stock'!AO22</f>
        <v/>
      </c>
      <c r="AX27" s="15">
        <f>'Grid_Stock'!AP22</f>
        <v/>
      </c>
      <c r="AY27" s="15">
        <f>'Grid_Stock'!AQ22</f>
        <v/>
      </c>
      <c r="AZ27" s="15">
        <f>'Grid_Stock'!AR22</f>
        <v/>
      </c>
      <c r="BA27" s="15">
        <f>'Grid_Stock'!AS22</f>
        <v/>
      </c>
      <c r="BB27" s="15">
        <f>'Grid_Stock'!AT22</f>
        <v/>
      </c>
      <c r="BC27" s="15">
        <f>'Grid_Stock'!AU22</f>
        <v/>
      </c>
      <c r="BD27" s="15">
        <f>'Grid_Stock'!AV22</f>
        <v/>
      </c>
      <c r="BE27" s="15">
        <f>'Grid_Stock'!AW22</f>
        <v/>
      </c>
      <c r="BF27" s="15">
        <f>'Grid_Stock'!AX22</f>
        <v/>
      </c>
      <c r="BG27" s="15">
        <f>'Grid_Stock'!AY22</f>
        <v/>
      </c>
      <c r="BH27" s="15">
        <f>'Grid_Stock'!AZ22</f>
        <v/>
      </c>
      <c r="BI27" s="15">
        <f>'Grid_Stock'!BA22</f>
        <v/>
      </c>
      <c r="BJ27" s="15">
        <f>'Grid_Stock'!BB22</f>
        <v/>
      </c>
      <c r="BK27" s="15">
        <f>'Grid_Stock'!BC22</f>
        <v/>
      </c>
      <c r="BL27" s="15">
        <f>'Grid_Stock'!BD22</f>
        <v/>
      </c>
      <c r="BM27" s="15">
        <f>'Grid_Stock'!BE22</f>
        <v/>
      </c>
      <c r="BN27" s="15">
        <f>'Grid_Stock'!BF22</f>
        <v/>
      </c>
      <c r="BO27" s="15">
        <f>'Grid_Stock'!BG22</f>
        <v/>
      </c>
      <c r="BP27" s="15">
        <f>'Grid_Stock'!BH22</f>
        <v/>
      </c>
      <c r="BQ27" s="15">
        <f>'Grid_Stock'!BI22</f>
        <v/>
      </c>
      <c r="BR27" s="15">
        <f>'Grid_Stock'!BJ22</f>
        <v/>
      </c>
      <c r="BS27" s="15">
        <f>'Grid_Stock'!BK22</f>
        <v/>
      </c>
      <c r="BT27" s="15">
        <f>'Grid_Stock'!BL22</f>
        <v/>
      </c>
      <c r="BU27" s="15">
        <f>'Grid_Stock'!BM22</f>
        <v/>
      </c>
      <c r="BV27" s="15">
        <f>'Grid_Stock'!BN22</f>
        <v/>
      </c>
      <c r="BW27" s="15">
        <f>'Grid_Stock'!BO22</f>
        <v/>
      </c>
      <c r="BX27" s="15">
        <f>'Grid_Stock'!BP22</f>
        <v/>
      </c>
      <c r="BY27" s="15">
        <f>'Grid_Stock'!BQ22</f>
        <v/>
      </c>
      <c r="BZ27" s="15">
        <f>'Grid_Stock'!BR22</f>
        <v/>
      </c>
      <c r="CA27" s="15">
        <f>'Grid_Stock'!BS22</f>
        <v/>
      </c>
      <c r="CB27" s="15">
        <f>'Grid_Stock'!BT22</f>
        <v/>
      </c>
      <c r="CC27" s="15">
        <f>'Grid_Stock'!BU22</f>
        <v/>
      </c>
      <c r="CD27" s="15">
        <f>'Grid_Stock'!BV22</f>
        <v/>
      </c>
      <c r="CE27" s="15">
        <f>'Grid_Stock'!BW22</f>
        <v/>
      </c>
      <c r="CF27" s="15">
        <f>'Grid_Stock'!BX22</f>
        <v/>
      </c>
      <c r="CG27" s="15">
        <f>'Grid_Stock'!BY22</f>
        <v/>
      </c>
      <c r="CH27" s="15">
        <f>'Grid_Stock'!BZ22</f>
        <v/>
      </c>
      <c r="CI27" s="15">
        <f>'Grid_Stock'!CA22</f>
        <v/>
      </c>
      <c r="CJ27" s="15">
        <f>'Grid_Stock'!CB22</f>
        <v/>
      </c>
      <c r="CK27" s="15">
        <f>'Grid_Stock'!CC22</f>
        <v/>
      </c>
      <c r="CL27" s="15">
        <f>'Grid_Stock'!CD22</f>
        <v/>
      </c>
      <c r="CM27" s="15">
        <f>'Grid_Stock'!CE22</f>
        <v/>
      </c>
      <c r="CN27" s="15">
        <f>'Grid_Stock'!CF22</f>
        <v/>
      </c>
      <c r="CO27" s="15">
        <f>'Grid_Stock'!CG22</f>
        <v/>
      </c>
      <c r="CP27" s="15">
        <f>'Grid_Stock'!CH22</f>
        <v/>
      </c>
      <c r="CQ27" s="15">
        <f>'Grid_Stock'!CI22</f>
        <v/>
      </c>
      <c r="CR27" s="15">
        <f>'Grid_Stock'!CJ22</f>
        <v/>
      </c>
      <c r="CS27" s="15">
        <f>'Grid_Stock'!CK22</f>
        <v/>
      </c>
      <c r="CT27" s="15">
        <f>'Grid_Stock'!CL22</f>
        <v/>
      </c>
      <c r="CU27" s="15">
        <f>'Grid_Stock'!CM22</f>
        <v/>
      </c>
      <c r="CV27" s="15">
        <f>'Grid_Stock'!CN22</f>
        <v/>
      </c>
      <c r="CW27" s="15">
        <f>'Grid_Stock'!CO22</f>
        <v/>
      </c>
      <c r="CX27" s="15">
        <f>'Grid_Stock'!CP22</f>
        <v/>
      </c>
      <c r="CY27" s="15">
        <f>'Grid_Stock'!CQ22</f>
        <v/>
      </c>
      <c r="CZ27" s="15">
        <f>'Grid_Stock'!CR22</f>
        <v/>
      </c>
      <c r="DA27" s="15">
        <f>'Grid_Stock'!CS22</f>
        <v/>
      </c>
      <c r="DB27" s="15">
        <f>'Grid_Stock'!CT22</f>
        <v/>
      </c>
      <c r="DC27" s="15">
        <f>'Grid_Stock'!CU22</f>
        <v/>
      </c>
      <c r="DD27" s="15">
        <f>'Grid_Stock'!CV22</f>
        <v/>
      </c>
      <c r="DE27" s="15">
        <f>'Grid_Stock'!CW22</f>
        <v/>
      </c>
      <c r="DF27" s="15">
        <f>'Grid_Stock'!CX22</f>
        <v/>
      </c>
      <c r="DG27" s="15">
        <f>'Grid_Stock'!CY22</f>
        <v/>
      </c>
      <c r="DH27" s="15">
        <f>'Grid_Stock'!CZ22</f>
        <v/>
      </c>
      <c r="DI27" s="15">
        <f>'Grid_Stock'!DA22</f>
        <v/>
      </c>
    </row>
    <row r="28">
      <c r="A28" s="17" t="inlineStr">
        <is>
          <t>CHEM-1280</t>
        </is>
      </c>
      <c r="B28" s="17">
        <f>IFERROR(INDEX(M_RawMaterials[Description],MATCH($A28,M_RawMaterials[RM_Code],0)),"")</f>
        <v/>
      </c>
      <c r="C28" s="17">
        <f>IFERROR(INDEX(M_RawMaterials[Category],MATCH($A28,M_RawMaterials[RM_Code],0)),"")</f>
        <v/>
      </c>
      <c r="D28" s="17">
        <f>IFERROR(INDEX(M_RawMaterials[SafetyStock_Qty_要入力],MATCH($A28,M_RawMaterials[RM_Code],0)),0)</f>
        <v/>
      </c>
      <c r="E28" s="17">
        <f>IFERROR(LOOKUP(2,1/(T_SelfStock!$A$2:$A$12000=$A28),T_SelfStock!$D$2:$D$12000),"")</f>
        <v/>
      </c>
      <c r="F28" s="17">
        <f>IFERROR(LOOKUP(2,1/(T_TTAFStock!$A$2:$A$12000=$A28),T_TTAFStock!$D$2:$D$12000),"")</f>
        <v/>
      </c>
      <c r="G28" s="17">
        <f>IFERROR(INDEX(Cal_Weeks[Label],LOOKUP(2,1/(T_SelfStock!$A$2:$A$12000=$A28),T_SelfStock!$B$2:$B$12000)),"")</f>
        <v/>
      </c>
      <c r="H28" s="17">
        <f>IF(MIN(J28:DI28)&lt;D28,"要発注","OK")</f>
        <v/>
      </c>
      <c r="I28" s="16">
        <f>IFERROR(INDEX(J28:DI28,$F$1),"")</f>
        <v/>
      </c>
      <c r="J28" s="17">
        <f>'Grid_Stock'!B23</f>
        <v/>
      </c>
      <c r="K28" s="17">
        <f>'Grid_Stock'!C23</f>
        <v/>
      </c>
      <c r="L28" s="17">
        <f>'Grid_Stock'!D23</f>
        <v/>
      </c>
      <c r="M28" s="17">
        <f>'Grid_Stock'!E23</f>
        <v/>
      </c>
      <c r="N28" s="17">
        <f>'Grid_Stock'!F23</f>
        <v/>
      </c>
      <c r="O28" s="17">
        <f>'Grid_Stock'!G23</f>
        <v/>
      </c>
      <c r="P28" s="17">
        <f>'Grid_Stock'!H23</f>
        <v/>
      </c>
      <c r="Q28" s="17">
        <f>'Grid_Stock'!I23</f>
        <v/>
      </c>
      <c r="R28" s="17">
        <f>'Grid_Stock'!J23</f>
        <v/>
      </c>
      <c r="S28" s="17">
        <f>'Grid_Stock'!K23</f>
        <v/>
      </c>
      <c r="T28" s="17">
        <f>'Grid_Stock'!L23</f>
        <v/>
      </c>
      <c r="U28" s="17">
        <f>'Grid_Stock'!M23</f>
        <v/>
      </c>
      <c r="V28" s="17">
        <f>'Grid_Stock'!N23</f>
        <v/>
      </c>
      <c r="W28" s="17">
        <f>'Grid_Stock'!O23</f>
        <v/>
      </c>
      <c r="X28" s="17">
        <f>'Grid_Stock'!P23</f>
        <v/>
      </c>
      <c r="Y28" s="17">
        <f>'Grid_Stock'!Q23</f>
        <v/>
      </c>
      <c r="Z28" s="17">
        <f>'Grid_Stock'!R23</f>
        <v/>
      </c>
      <c r="AA28" s="17">
        <f>'Grid_Stock'!S23</f>
        <v/>
      </c>
      <c r="AB28" s="17">
        <f>'Grid_Stock'!T23</f>
        <v/>
      </c>
      <c r="AC28" s="17">
        <f>'Grid_Stock'!U23</f>
        <v/>
      </c>
      <c r="AD28" s="17">
        <f>'Grid_Stock'!V23</f>
        <v/>
      </c>
      <c r="AE28" s="17">
        <f>'Grid_Stock'!W23</f>
        <v/>
      </c>
      <c r="AF28" s="17">
        <f>'Grid_Stock'!X23</f>
        <v/>
      </c>
      <c r="AG28" s="17">
        <f>'Grid_Stock'!Y23</f>
        <v/>
      </c>
      <c r="AH28" s="17">
        <f>'Grid_Stock'!Z23</f>
        <v/>
      </c>
      <c r="AI28" s="17">
        <f>'Grid_Stock'!AA23</f>
        <v/>
      </c>
      <c r="AJ28" s="17">
        <f>'Grid_Stock'!AB23</f>
        <v/>
      </c>
      <c r="AK28" s="17">
        <f>'Grid_Stock'!AC23</f>
        <v/>
      </c>
      <c r="AL28" s="17">
        <f>'Grid_Stock'!AD23</f>
        <v/>
      </c>
      <c r="AM28" s="17">
        <f>'Grid_Stock'!AE23</f>
        <v/>
      </c>
      <c r="AN28" s="17">
        <f>'Grid_Stock'!AF23</f>
        <v/>
      </c>
      <c r="AO28" s="17">
        <f>'Grid_Stock'!AG23</f>
        <v/>
      </c>
      <c r="AP28" s="17">
        <f>'Grid_Stock'!AH23</f>
        <v/>
      </c>
      <c r="AQ28" s="17">
        <f>'Grid_Stock'!AI23</f>
        <v/>
      </c>
      <c r="AR28" s="17">
        <f>'Grid_Stock'!AJ23</f>
        <v/>
      </c>
      <c r="AS28" s="17">
        <f>'Grid_Stock'!AK23</f>
        <v/>
      </c>
      <c r="AT28" s="17">
        <f>'Grid_Stock'!AL23</f>
        <v/>
      </c>
      <c r="AU28" s="17">
        <f>'Grid_Stock'!AM23</f>
        <v/>
      </c>
      <c r="AV28" s="17">
        <f>'Grid_Stock'!AN23</f>
        <v/>
      </c>
      <c r="AW28" s="17">
        <f>'Grid_Stock'!AO23</f>
        <v/>
      </c>
      <c r="AX28" s="17">
        <f>'Grid_Stock'!AP23</f>
        <v/>
      </c>
      <c r="AY28" s="17">
        <f>'Grid_Stock'!AQ23</f>
        <v/>
      </c>
      <c r="AZ28" s="17">
        <f>'Grid_Stock'!AR23</f>
        <v/>
      </c>
      <c r="BA28" s="17">
        <f>'Grid_Stock'!AS23</f>
        <v/>
      </c>
      <c r="BB28" s="17">
        <f>'Grid_Stock'!AT23</f>
        <v/>
      </c>
      <c r="BC28" s="17">
        <f>'Grid_Stock'!AU23</f>
        <v/>
      </c>
      <c r="BD28" s="17">
        <f>'Grid_Stock'!AV23</f>
        <v/>
      </c>
      <c r="BE28" s="17">
        <f>'Grid_Stock'!AW23</f>
        <v/>
      </c>
      <c r="BF28" s="17">
        <f>'Grid_Stock'!AX23</f>
        <v/>
      </c>
      <c r="BG28" s="17">
        <f>'Grid_Stock'!AY23</f>
        <v/>
      </c>
      <c r="BH28" s="17">
        <f>'Grid_Stock'!AZ23</f>
        <v/>
      </c>
      <c r="BI28" s="17">
        <f>'Grid_Stock'!BA23</f>
        <v/>
      </c>
      <c r="BJ28" s="17">
        <f>'Grid_Stock'!BB23</f>
        <v/>
      </c>
      <c r="BK28" s="17">
        <f>'Grid_Stock'!BC23</f>
        <v/>
      </c>
      <c r="BL28" s="17">
        <f>'Grid_Stock'!BD23</f>
        <v/>
      </c>
      <c r="BM28" s="17">
        <f>'Grid_Stock'!BE23</f>
        <v/>
      </c>
      <c r="BN28" s="17">
        <f>'Grid_Stock'!BF23</f>
        <v/>
      </c>
      <c r="BO28" s="17">
        <f>'Grid_Stock'!BG23</f>
        <v/>
      </c>
      <c r="BP28" s="17">
        <f>'Grid_Stock'!BH23</f>
        <v/>
      </c>
      <c r="BQ28" s="17">
        <f>'Grid_Stock'!BI23</f>
        <v/>
      </c>
      <c r="BR28" s="17">
        <f>'Grid_Stock'!BJ23</f>
        <v/>
      </c>
      <c r="BS28" s="17">
        <f>'Grid_Stock'!BK23</f>
        <v/>
      </c>
      <c r="BT28" s="17">
        <f>'Grid_Stock'!BL23</f>
        <v/>
      </c>
      <c r="BU28" s="17">
        <f>'Grid_Stock'!BM23</f>
        <v/>
      </c>
      <c r="BV28" s="17">
        <f>'Grid_Stock'!BN23</f>
        <v/>
      </c>
      <c r="BW28" s="17">
        <f>'Grid_Stock'!BO23</f>
        <v/>
      </c>
      <c r="BX28" s="17">
        <f>'Grid_Stock'!BP23</f>
        <v/>
      </c>
      <c r="BY28" s="17">
        <f>'Grid_Stock'!BQ23</f>
        <v/>
      </c>
      <c r="BZ28" s="17">
        <f>'Grid_Stock'!BR23</f>
        <v/>
      </c>
      <c r="CA28" s="17">
        <f>'Grid_Stock'!BS23</f>
        <v/>
      </c>
      <c r="CB28" s="17">
        <f>'Grid_Stock'!BT23</f>
        <v/>
      </c>
      <c r="CC28" s="17">
        <f>'Grid_Stock'!BU23</f>
        <v/>
      </c>
      <c r="CD28" s="17">
        <f>'Grid_Stock'!BV23</f>
        <v/>
      </c>
      <c r="CE28" s="17">
        <f>'Grid_Stock'!BW23</f>
        <v/>
      </c>
      <c r="CF28" s="17">
        <f>'Grid_Stock'!BX23</f>
        <v/>
      </c>
      <c r="CG28" s="17">
        <f>'Grid_Stock'!BY23</f>
        <v/>
      </c>
      <c r="CH28" s="17">
        <f>'Grid_Stock'!BZ23</f>
        <v/>
      </c>
      <c r="CI28" s="17">
        <f>'Grid_Stock'!CA23</f>
        <v/>
      </c>
      <c r="CJ28" s="17">
        <f>'Grid_Stock'!CB23</f>
        <v/>
      </c>
      <c r="CK28" s="17">
        <f>'Grid_Stock'!CC23</f>
        <v/>
      </c>
      <c r="CL28" s="17">
        <f>'Grid_Stock'!CD23</f>
        <v/>
      </c>
      <c r="CM28" s="17">
        <f>'Grid_Stock'!CE23</f>
        <v/>
      </c>
      <c r="CN28" s="17">
        <f>'Grid_Stock'!CF23</f>
        <v/>
      </c>
      <c r="CO28" s="17">
        <f>'Grid_Stock'!CG23</f>
        <v/>
      </c>
      <c r="CP28" s="17">
        <f>'Grid_Stock'!CH23</f>
        <v/>
      </c>
      <c r="CQ28" s="17">
        <f>'Grid_Stock'!CI23</f>
        <v/>
      </c>
      <c r="CR28" s="17">
        <f>'Grid_Stock'!CJ23</f>
        <v/>
      </c>
      <c r="CS28" s="17">
        <f>'Grid_Stock'!CK23</f>
        <v/>
      </c>
      <c r="CT28" s="17">
        <f>'Grid_Stock'!CL23</f>
        <v/>
      </c>
      <c r="CU28" s="17">
        <f>'Grid_Stock'!CM23</f>
        <v/>
      </c>
      <c r="CV28" s="17">
        <f>'Grid_Stock'!CN23</f>
        <v/>
      </c>
      <c r="CW28" s="17">
        <f>'Grid_Stock'!CO23</f>
        <v/>
      </c>
      <c r="CX28" s="17">
        <f>'Grid_Stock'!CP23</f>
        <v/>
      </c>
      <c r="CY28" s="17">
        <f>'Grid_Stock'!CQ23</f>
        <v/>
      </c>
      <c r="CZ28" s="17">
        <f>'Grid_Stock'!CR23</f>
        <v/>
      </c>
      <c r="DA28" s="17">
        <f>'Grid_Stock'!CS23</f>
        <v/>
      </c>
      <c r="DB28" s="17">
        <f>'Grid_Stock'!CT23</f>
        <v/>
      </c>
      <c r="DC28" s="17">
        <f>'Grid_Stock'!CU23</f>
        <v/>
      </c>
      <c r="DD28" s="17">
        <f>'Grid_Stock'!CV23</f>
        <v/>
      </c>
      <c r="DE28" s="17">
        <f>'Grid_Stock'!CW23</f>
        <v/>
      </c>
      <c r="DF28" s="17">
        <f>'Grid_Stock'!CX23</f>
        <v/>
      </c>
      <c r="DG28" s="17">
        <f>'Grid_Stock'!CY23</f>
        <v/>
      </c>
      <c r="DH28" s="17">
        <f>'Grid_Stock'!CZ23</f>
        <v/>
      </c>
      <c r="DI28" s="17">
        <f>'Grid_Stock'!DA23</f>
        <v/>
      </c>
    </row>
    <row r="29">
      <c r="A29" s="15" t="inlineStr">
        <is>
          <t>CHEM-1240</t>
        </is>
      </c>
      <c r="B29" s="15">
        <f>IFERROR(INDEX(M_RawMaterials[Description],MATCH($A29,M_RawMaterials[RM_Code],0)),"")</f>
        <v/>
      </c>
      <c r="C29" s="15">
        <f>IFERROR(INDEX(M_RawMaterials[Category],MATCH($A29,M_RawMaterials[RM_Code],0)),"")</f>
        <v/>
      </c>
      <c r="D29" s="15">
        <f>IFERROR(INDEX(M_RawMaterials[SafetyStock_Qty_要入力],MATCH($A29,M_RawMaterials[RM_Code],0)),0)</f>
        <v/>
      </c>
      <c r="E29" s="15">
        <f>IFERROR(LOOKUP(2,1/(T_SelfStock!$A$2:$A$12000=$A29),T_SelfStock!$D$2:$D$12000),"")</f>
        <v/>
      </c>
      <c r="F29" s="15">
        <f>IFERROR(LOOKUP(2,1/(T_TTAFStock!$A$2:$A$12000=$A29),T_TTAFStock!$D$2:$D$12000),"")</f>
        <v/>
      </c>
      <c r="G29" s="15">
        <f>IFERROR(INDEX(Cal_Weeks[Label],LOOKUP(2,1/(T_SelfStock!$A$2:$A$12000=$A29),T_SelfStock!$B$2:$B$12000)),"")</f>
        <v/>
      </c>
      <c r="H29" s="15">
        <f>IF(MIN(J29:DI29)&lt;D29,"要発注","OK")</f>
        <v/>
      </c>
      <c r="I29" s="16">
        <f>IFERROR(INDEX(J29:DI29,$F$1),"")</f>
        <v/>
      </c>
      <c r="J29" s="15">
        <f>'Grid_Stock'!B24</f>
        <v/>
      </c>
      <c r="K29" s="15">
        <f>'Grid_Stock'!C24</f>
        <v/>
      </c>
      <c r="L29" s="15">
        <f>'Grid_Stock'!D24</f>
        <v/>
      </c>
      <c r="M29" s="15">
        <f>'Grid_Stock'!E24</f>
        <v/>
      </c>
      <c r="N29" s="15">
        <f>'Grid_Stock'!F24</f>
        <v/>
      </c>
      <c r="O29" s="15">
        <f>'Grid_Stock'!G24</f>
        <v/>
      </c>
      <c r="P29" s="15">
        <f>'Grid_Stock'!H24</f>
        <v/>
      </c>
      <c r="Q29" s="15">
        <f>'Grid_Stock'!I24</f>
        <v/>
      </c>
      <c r="R29" s="15">
        <f>'Grid_Stock'!J24</f>
        <v/>
      </c>
      <c r="S29" s="15">
        <f>'Grid_Stock'!K24</f>
        <v/>
      </c>
      <c r="T29" s="15">
        <f>'Grid_Stock'!L24</f>
        <v/>
      </c>
      <c r="U29" s="15">
        <f>'Grid_Stock'!M24</f>
        <v/>
      </c>
      <c r="V29" s="15">
        <f>'Grid_Stock'!N24</f>
        <v/>
      </c>
      <c r="W29" s="15">
        <f>'Grid_Stock'!O24</f>
        <v/>
      </c>
      <c r="X29" s="15">
        <f>'Grid_Stock'!P24</f>
        <v/>
      </c>
      <c r="Y29" s="15">
        <f>'Grid_Stock'!Q24</f>
        <v/>
      </c>
      <c r="Z29" s="15">
        <f>'Grid_Stock'!R24</f>
        <v/>
      </c>
      <c r="AA29" s="15">
        <f>'Grid_Stock'!S24</f>
        <v/>
      </c>
      <c r="AB29" s="15">
        <f>'Grid_Stock'!T24</f>
        <v/>
      </c>
      <c r="AC29" s="15">
        <f>'Grid_Stock'!U24</f>
        <v/>
      </c>
      <c r="AD29" s="15">
        <f>'Grid_Stock'!V24</f>
        <v/>
      </c>
      <c r="AE29" s="15">
        <f>'Grid_Stock'!W24</f>
        <v/>
      </c>
      <c r="AF29" s="15">
        <f>'Grid_Stock'!X24</f>
        <v/>
      </c>
      <c r="AG29" s="15">
        <f>'Grid_Stock'!Y24</f>
        <v/>
      </c>
      <c r="AH29" s="15">
        <f>'Grid_Stock'!Z24</f>
        <v/>
      </c>
      <c r="AI29" s="15">
        <f>'Grid_Stock'!AA24</f>
        <v/>
      </c>
      <c r="AJ29" s="15">
        <f>'Grid_Stock'!AB24</f>
        <v/>
      </c>
      <c r="AK29" s="15">
        <f>'Grid_Stock'!AC24</f>
        <v/>
      </c>
      <c r="AL29" s="15">
        <f>'Grid_Stock'!AD24</f>
        <v/>
      </c>
      <c r="AM29" s="15">
        <f>'Grid_Stock'!AE24</f>
        <v/>
      </c>
      <c r="AN29" s="15">
        <f>'Grid_Stock'!AF24</f>
        <v/>
      </c>
      <c r="AO29" s="15">
        <f>'Grid_Stock'!AG24</f>
        <v/>
      </c>
      <c r="AP29" s="15">
        <f>'Grid_Stock'!AH24</f>
        <v/>
      </c>
      <c r="AQ29" s="15">
        <f>'Grid_Stock'!AI24</f>
        <v/>
      </c>
      <c r="AR29" s="15">
        <f>'Grid_Stock'!AJ24</f>
        <v/>
      </c>
      <c r="AS29" s="15">
        <f>'Grid_Stock'!AK24</f>
        <v/>
      </c>
      <c r="AT29" s="15">
        <f>'Grid_Stock'!AL24</f>
        <v/>
      </c>
      <c r="AU29" s="15">
        <f>'Grid_Stock'!AM24</f>
        <v/>
      </c>
      <c r="AV29" s="15">
        <f>'Grid_Stock'!AN24</f>
        <v/>
      </c>
      <c r="AW29" s="15">
        <f>'Grid_Stock'!AO24</f>
        <v/>
      </c>
      <c r="AX29" s="15">
        <f>'Grid_Stock'!AP24</f>
        <v/>
      </c>
      <c r="AY29" s="15">
        <f>'Grid_Stock'!AQ24</f>
        <v/>
      </c>
      <c r="AZ29" s="15">
        <f>'Grid_Stock'!AR24</f>
        <v/>
      </c>
      <c r="BA29" s="15">
        <f>'Grid_Stock'!AS24</f>
        <v/>
      </c>
      <c r="BB29" s="15">
        <f>'Grid_Stock'!AT24</f>
        <v/>
      </c>
      <c r="BC29" s="15">
        <f>'Grid_Stock'!AU24</f>
        <v/>
      </c>
      <c r="BD29" s="15">
        <f>'Grid_Stock'!AV24</f>
        <v/>
      </c>
      <c r="BE29" s="15">
        <f>'Grid_Stock'!AW24</f>
        <v/>
      </c>
      <c r="BF29" s="15">
        <f>'Grid_Stock'!AX24</f>
        <v/>
      </c>
      <c r="BG29" s="15">
        <f>'Grid_Stock'!AY24</f>
        <v/>
      </c>
      <c r="BH29" s="15">
        <f>'Grid_Stock'!AZ24</f>
        <v/>
      </c>
      <c r="BI29" s="15">
        <f>'Grid_Stock'!BA24</f>
        <v/>
      </c>
      <c r="BJ29" s="15">
        <f>'Grid_Stock'!BB24</f>
        <v/>
      </c>
      <c r="BK29" s="15">
        <f>'Grid_Stock'!BC24</f>
        <v/>
      </c>
      <c r="BL29" s="15">
        <f>'Grid_Stock'!BD24</f>
        <v/>
      </c>
      <c r="BM29" s="15">
        <f>'Grid_Stock'!BE24</f>
        <v/>
      </c>
      <c r="BN29" s="15">
        <f>'Grid_Stock'!BF24</f>
        <v/>
      </c>
      <c r="BO29" s="15">
        <f>'Grid_Stock'!BG24</f>
        <v/>
      </c>
      <c r="BP29" s="15">
        <f>'Grid_Stock'!BH24</f>
        <v/>
      </c>
      <c r="BQ29" s="15">
        <f>'Grid_Stock'!BI24</f>
        <v/>
      </c>
      <c r="BR29" s="15">
        <f>'Grid_Stock'!BJ24</f>
        <v/>
      </c>
      <c r="BS29" s="15">
        <f>'Grid_Stock'!BK24</f>
        <v/>
      </c>
      <c r="BT29" s="15">
        <f>'Grid_Stock'!BL24</f>
        <v/>
      </c>
      <c r="BU29" s="15">
        <f>'Grid_Stock'!BM24</f>
        <v/>
      </c>
      <c r="BV29" s="15">
        <f>'Grid_Stock'!BN24</f>
        <v/>
      </c>
      <c r="BW29" s="15">
        <f>'Grid_Stock'!BO24</f>
        <v/>
      </c>
      <c r="BX29" s="15">
        <f>'Grid_Stock'!BP24</f>
        <v/>
      </c>
      <c r="BY29" s="15">
        <f>'Grid_Stock'!BQ24</f>
        <v/>
      </c>
      <c r="BZ29" s="15">
        <f>'Grid_Stock'!BR24</f>
        <v/>
      </c>
      <c r="CA29" s="15">
        <f>'Grid_Stock'!BS24</f>
        <v/>
      </c>
      <c r="CB29" s="15">
        <f>'Grid_Stock'!BT24</f>
        <v/>
      </c>
      <c r="CC29" s="15">
        <f>'Grid_Stock'!BU24</f>
        <v/>
      </c>
      <c r="CD29" s="15">
        <f>'Grid_Stock'!BV24</f>
        <v/>
      </c>
      <c r="CE29" s="15">
        <f>'Grid_Stock'!BW24</f>
        <v/>
      </c>
      <c r="CF29" s="15">
        <f>'Grid_Stock'!BX24</f>
        <v/>
      </c>
      <c r="CG29" s="15">
        <f>'Grid_Stock'!BY24</f>
        <v/>
      </c>
      <c r="CH29" s="15">
        <f>'Grid_Stock'!BZ24</f>
        <v/>
      </c>
      <c r="CI29" s="15">
        <f>'Grid_Stock'!CA24</f>
        <v/>
      </c>
      <c r="CJ29" s="15">
        <f>'Grid_Stock'!CB24</f>
        <v/>
      </c>
      <c r="CK29" s="15">
        <f>'Grid_Stock'!CC24</f>
        <v/>
      </c>
      <c r="CL29" s="15">
        <f>'Grid_Stock'!CD24</f>
        <v/>
      </c>
      <c r="CM29" s="15">
        <f>'Grid_Stock'!CE24</f>
        <v/>
      </c>
      <c r="CN29" s="15">
        <f>'Grid_Stock'!CF24</f>
        <v/>
      </c>
      <c r="CO29" s="15">
        <f>'Grid_Stock'!CG24</f>
        <v/>
      </c>
      <c r="CP29" s="15">
        <f>'Grid_Stock'!CH24</f>
        <v/>
      </c>
      <c r="CQ29" s="15">
        <f>'Grid_Stock'!CI24</f>
        <v/>
      </c>
      <c r="CR29" s="15">
        <f>'Grid_Stock'!CJ24</f>
        <v/>
      </c>
      <c r="CS29" s="15">
        <f>'Grid_Stock'!CK24</f>
        <v/>
      </c>
      <c r="CT29" s="15">
        <f>'Grid_Stock'!CL24</f>
        <v/>
      </c>
      <c r="CU29" s="15">
        <f>'Grid_Stock'!CM24</f>
        <v/>
      </c>
      <c r="CV29" s="15">
        <f>'Grid_Stock'!CN24</f>
        <v/>
      </c>
      <c r="CW29" s="15">
        <f>'Grid_Stock'!CO24</f>
        <v/>
      </c>
      <c r="CX29" s="15">
        <f>'Grid_Stock'!CP24</f>
        <v/>
      </c>
      <c r="CY29" s="15">
        <f>'Grid_Stock'!CQ24</f>
        <v/>
      </c>
      <c r="CZ29" s="15">
        <f>'Grid_Stock'!CR24</f>
        <v/>
      </c>
      <c r="DA29" s="15">
        <f>'Grid_Stock'!CS24</f>
        <v/>
      </c>
      <c r="DB29" s="15">
        <f>'Grid_Stock'!CT24</f>
        <v/>
      </c>
      <c r="DC29" s="15">
        <f>'Grid_Stock'!CU24</f>
        <v/>
      </c>
      <c r="DD29" s="15">
        <f>'Grid_Stock'!CV24</f>
        <v/>
      </c>
      <c r="DE29" s="15">
        <f>'Grid_Stock'!CW24</f>
        <v/>
      </c>
      <c r="DF29" s="15">
        <f>'Grid_Stock'!CX24</f>
        <v/>
      </c>
      <c r="DG29" s="15">
        <f>'Grid_Stock'!CY24</f>
        <v/>
      </c>
      <c r="DH29" s="15">
        <f>'Grid_Stock'!CZ24</f>
        <v/>
      </c>
      <c r="DI29" s="15">
        <f>'Grid_Stock'!DA24</f>
        <v/>
      </c>
    </row>
    <row r="30">
      <c r="A30" s="17" t="inlineStr">
        <is>
          <t>0JN</t>
        </is>
      </c>
      <c r="B30" s="17">
        <f>IFERROR(INDEX(M_RawMaterials[Description],MATCH($A30,M_RawMaterials[RM_Code],0)),"")</f>
        <v/>
      </c>
      <c r="C30" s="17">
        <f>IFERROR(INDEX(M_RawMaterials[Category],MATCH($A30,M_RawMaterials[RM_Code],0)),"")</f>
        <v/>
      </c>
      <c r="D30" s="17">
        <f>IFERROR(INDEX(M_RawMaterials[SafetyStock_Qty_要入力],MATCH($A30,M_RawMaterials[RM_Code],0)),0)</f>
        <v/>
      </c>
      <c r="E30" s="17">
        <f>IFERROR(LOOKUP(2,1/(T_SelfStock!$A$2:$A$12000=$A30),T_SelfStock!$D$2:$D$12000),"")</f>
        <v/>
      </c>
      <c r="F30" s="17">
        <f>IFERROR(LOOKUP(2,1/(T_TTAFStock!$A$2:$A$12000=$A30),T_TTAFStock!$D$2:$D$12000),"")</f>
        <v/>
      </c>
      <c r="G30" s="17">
        <f>IFERROR(INDEX(Cal_Weeks[Label],LOOKUP(2,1/(T_SelfStock!$A$2:$A$12000=$A30),T_SelfStock!$B$2:$B$12000)),"")</f>
        <v/>
      </c>
      <c r="H30" s="17">
        <f>IF(MIN(J30:DI30)&lt;D30,"要発注","OK")</f>
        <v/>
      </c>
      <c r="I30" s="16">
        <f>IFERROR(INDEX(J30:DI30,$F$1),"")</f>
        <v/>
      </c>
      <c r="J30" s="17">
        <f>'Grid_Stock'!B25</f>
        <v/>
      </c>
      <c r="K30" s="17">
        <f>'Grid_Stock'!C25</f>
        <v/>
      </c>
      <c r="L30" s="17">
        <f>'Grid_Stock'!D25</f>
        <v/>
      </c>
      <c r="M30" s="17">
        <f>'Grid_Stock'!E25</f>
        <v/>
      </c>
      <c r="N30" s="17">
        <f>'Grid_Stock'!F25</f>
        <v/>
      </c>
      <c r="O30" s="17">
        <f>'Grid_Stock'!G25</f>
        <v/>
      </c>
      <c r="P30" s="17">
        <f>'Grid_Stock'!H25</f>
        <v/>
      </c>
      <c r="Q30" s="17">
        <f>'Grid_Stock'!I25</f>
        <v/>
      </c>
      <c r="R30" s="17">
        <f>'Grid_Stock'!J25</f>
        <v/>
      </c>
      <c r="S30" s="17">
        <f>'Grid_Stock'!K25</f>
        <v/>
      </c>
      <c r="T30" s="17">
        <f>'Grid_Stock'!L25</f>
        <v/>
      </c>
      <c r="U30" s="17">
        <f>'Grid_Stock'!M25</f>
        <v/>
      </c>
      <c r="V30" s="17">
        <f>'Grid_Stock'!N25</f>
        <v/>
      </c>
      <c r="W30" s="17">
        <f>'Grid_Stock'!O25</f>
        <v/>
      </c>
      <c r="X30" s="17">
        <f>'Grid_Stock'!P25</f>
        <v/>
      </c>
      <c r="Y30" s="17">
        <f>'Grid_Stock'!Q25</f>
        <v/>
      </c>
      <c r="Z30" s="17">
        <f>'Grid_Stock'!R25</f>
        <v/>
      </c>
      <c r="AA30" s="17">
        <f>'Grid_Stock'!S25</f>
        <v/>
      </c>
      <c r="AB30" s="17">
        <f>'Grid_Stock'!T25</f>
        <v/>
      </c>
      <c r="AC30" s="17">
        <f>'Grid_Stock'!U25</f>
        <v/>
      </c>
      <c r="AD30" s="17">
        <f>'Grid_Stock'!V25</f>
        <v/>
      </c>
      <c r="AE30" s="17">
        <f>'Grid_Stock'!W25</f>
        <v/>
      </c>
      <c r="AF30" s="17">
        <f>'Grid_Stock'!X25</f>
        <v/>
      </c>
      <c r="AG30" s="17">
        <f>'Grid_Stock'!Y25</f>
        <v/>
      </c>
      <c r="AH30" s="17">
        <f>'Grid_Stock'!Z25</f>
        <v/>
      </c>
      <c r="AI30" s="17">
        <f>'Grid_Stock'!AA25</f>
        <v/>
      </c>
      <c r="AJ30" s="17">
        <f>'Grid_Stock'!AB25</f>
        <v/>
      </c>
      <c r="AK30" s="17">
        <f>'Grid_Stock'!AC25</f>
        <v/>
      </c>
      <c r="AL30" s="17">
        <f>'Grid_Stock'!AD25</f>
        <v/>
      </c>
      <c r="AM30" s="17">
        <f>'Grid_Stock'!AE25</f>
        <v/>
      </c>
      <c r="AN30" s="17">
        <f>'Grid_Stock'!AF25</f>
        <v/>
      </c>
      <c r="AO30" s="17">
        <f>'Grid_Stock'!AG25</f>
        <v/>
      </c>
      <c r="AP30" s="17">
        <f>'Grid_Stock'!AH25</f>
        <v/>
      </c>
      <c r="AQ30" s="17">
        <f>'Grid_Stock'!AI25</f>
        <v/>
      </c>
      <c r="AR30" s="17">
        <f>'Grid_Stock'!AJ25</f>
        <v/>
      </c>
      <c r="AS30" s="17">
        <f>'Grid_Stock'!AK25</f>
        <v/>
      </c>
      <c r="AT30" s="17">
        <f>'Grid_Stock'!AL25</f>
        <v/>
      </c>
      <c r="AU30" s="17">
        <f>'Grid_Stock'!AM25</f>
        <v/>
      </c>
      <c r="AV30" s="17">
        <f>'Grid_Stock'!AN25</f>
        <v/>
      </c>
      <c r="AW30" s="17">
        <f>'Grid_Stock'!AO25</f>
        <v/>
      </c>
      <c r="AX30" s="17">
        <f>'Grid_Stock'!AP25</f>
        <v/>
      </c>
      <c r="AY30" s="17">
        <f>'Grid_Stock'!AQ25</f>
        <v/>
      </c>
      <c r="AZ30" s="17">
        <f>'Grid_Stock'!AR25</f>
        <v/>
      </c>
      <c r="BA30" s="17">
        <f>'Grid_Stock'!AS25</f>
        <v/>
      </c>
      <c r="BB30" s="17">
        <f>'Grid_Stock'!AT25</f>
        <v/>
      </c>
      <c r="BC30" s="17">
        <f>'Grid_Stock'!AU25</f>
        <v/>
      </c>
      <c r="BD30" s="17">
        <f>'Grid_Stock'!AV25</f>
        <v/>
      </c>
      <c r="BE30" s="17">
        <f>'Grid_Stock'!AW25</f>
        <v/>
      </c>
      <c r="BF30" s="17">
        <f>'Grid_Stock'!AX25</f>
        <v/>
      </c>
      <c r="BG30" s="17">
        <f>'Grid_Stock'!AY25</f>
        <v/>
      </c>
      <c r="BH30" s="17">
        <f>'Grid_Stock'!AZ25</f>
        <v/>
      </c>
      <c r="BI30" s="17">
        <f>'Grid_Stock'!BA25</f>
        <v/>
      </c>
      <c r="BJ30" s="17">
        <f>'Grid_Stock'!BB25</f>
        <v/>
      </c>
      <c r="BK30" s="17">
        <f>'Grid_Stock'!BC25</f>
        <v/>
      </c>
      <c r="BL30" s="17">
        <f>'Grid_Stock'!BD25</f>
        <v/>
      </c>
      <c r="BM30" s="17">
        <f>'Grid_Stock'!BE25</f>
        <v/>
      </c>
      <c r="BN30" s="17">
        <f>'Grid_Stock'!BF25</f>
        <v/>
      </c>
      <c r="BO30" s="17">
        <f>'Grid_Stock'!BG25</f>
        <v/>
      </c>
      <c r="BP30" s="17">
        <f>'Grid_Stock'!BH25</f>
        <v/>
      </c>
      <c r="BQ30" s="17">
        <f>'Grid_Stock'!BI25</f>
        <v/>
      </c>
      <c r="BR30" s="17">
        <f>'Grid_Stock'!BJ25</f>
        <v/>
      </c>
      <c r="BS30" s="17">
        <f>'Grid_Stock'!BK25</f>
        <v/>
      </c>
      <c r="BT30" s="17">
        <f>'Grid_Stock'!BL25</f>
        <v/>
      </c>
      <c r="BU30" s="17">
        <f>'Grid_Stock'!BM25</f>
        <v/>
      </c>
      <c r="BV30" s="17">
        <f>'Grid_Stock'!BN25</f>
        <v/>
      </c>
      <c r="BW30" s="17">
        <f>'Grid_Stock'!BO25</f>
        <v/>
      </c>
      <c r="BX30" s="17">
        <f>'Grid_Stock'!BP25</f>
        <v/>
      </c>
      <c r="BY30" s="17">
        <f>'Grid_Stock'!BQ25</f>
        <v/>
      </c>
      <c r="BZ30" s="17">
        <f>'Grid_Stock'!BR25</f>
        <v/>
      </c>
      <c r="CA30" s="17">
        <f>'Grid_Stock'!BS25</f>
        <v/>
      </c>
      <c r="CB30" s="17">
        <f>'Grid_Stock'!BT25</f>
        <v/>
      </c>
      <c r="CC30" s="17">
        <f>'Grid_Stock'!BU25</f>
        <v/>
      </c>
      <c r="CD30" s="17">
        <f>'Grid_Stock'!BV25</f>
        <v/>
      </c>
      <c r="CE30" s="17">
        <f>'Grid_Stock'!BW25</f>
        <v/>
      </c>
      <c r="CF30" s="17">
        <f>'Grid_Stock'!BX25</f>
        <v/>
      </c>
      <c r="CG30" s="17">
        <f>'Grid_Stock'!BY25</f>
        <v/>
      </c>
      <c r="CH30" s="17">
        <f>'Grid_Stock'!BZ25</f>
        <v/>
      </c>
      <c r="CI30" s="17">
        <f>'Grid_Stock'!CA25</f>
        <v/>
      </c>
      <c r="CJ30" s="17">
        <f>'Grid_Stock'!CB25</f>
        <v/>
      </c>
      <c r="CK30" s="17">
        <f>'Grid_Stock'!CC25</f>
        <v/>
      </c>
      <c r="CL30" s="17">
        <f>'Grid_Stock'!CD25</f>
        <v/>
      </c>
      <c r="CM30" s="17">
        <f>'Grid_Stock'!CE25</f>
        <v/>
      </c>
      <c r="CN30" s="17">
        <f>'Grid_Stock'!CF25</f>
        <v/>
      </c>
      <c r="CO30" s="17">
        <f>'Grid_Stock'!CG25</f>
        <v/>
      </c>
      <c r="CP30" s="17">
        <f>'Grid_Stock'!CH25</f>
        <v/>
      </c>
      <c r="CQ30" s="17">
        <f>'Grid_Stock'!CI25</f>
        <v/>
      </c>
      <c r="CR30" s="17">
        <f>'Grid_Stock'!CJ25</f>
        <v/>
      </c>
      <c r="CS30" s="17">
        <f>'Grid_Stock'!CK25</f>
        <v/>
      </c>
      <c r="CT30" s="17">
        <f>'Grid_Stock'!CL25</f>
        <v/>
      </c>
      <c r="CU30" s="17">
        <f>'Grid_Stock'!CM25</f>
        <v/>
      </c>
      <c r="CV30" s="17">
        <f>'Grid_Stock'!CN25</f>
        <v/>
      </c>
      <c r="CW30" s="17">
        <f>'Grid_Stock'!CO25</f>
        <v/>
      </c>
      <c r="CX30" s="17">
        <f>'Grid_Stock'!CP25</f>
        <v/>
      </c>
      <c r="CY30" s="17">
        <f>'Grid_Stock'!CQ25</f>
        <v/>
      </c>
      <c r="CZ30" s="17">
        <f>'Grid_Stock'!CR25</f>
        <v/>
      </c>
      <c r="DA30" s="17">
        <f>'Grid_Stock'!CS25</f>
        <v/>
      </c>
      <c r="DB30" s="17">
        <f>'Grid_Stock'!CT25</f>
        <v/>
      </c>
      <c r="DC30" s="17">
        <f>'Grid_Stock'!CU25</f>
        <v/>
      </c>
      <c r="DD30" s="17">
        <f>'Grid_Stock'!CV25</f>
        <v/>
      </c>
      <c r="DE30" s="17">
        <f>'Grid_Stock'!CW25</f>
        <v/>
      </c>
      <c r="DF30" s="17">
        <f>'Grid_Stock'!CX25</f>
        <v/>
      </c>
      <c r="DG30" s="17">
        <f>'Grid_Stock'!CY25</f>
        <v/>
      </c>
      <c r="DH30" s="17">
        <f>'Grid_Stock'!CZ25</f>
        <v/>
      </c>
      <c r="DI30" s="17">
        <f>'Grid_Stock'!DA25</f>
        <v/>
      </c>
    </row>
    <row r="31">
      <c r="A31" s="15" t="inlineStr">
        <is>
          <t>CHEM-1760</t>
        </is>
      </c>
      <c r="B31" s="15">
        <f>IFERROR(INDEX(M_RawMaterials[Description],MATCH($A31,M_RawMaterials[RM_Code],0)),"")</f>
        <v/>
      </c>
      <c r="C31" s="15">
        <f>IFERROR(INDEX(M_RawMaterials[Category],MATCH($A31,M_RawMaterials[RM_Code],0)),"")</f>
        <v/>
      </c>
      <c r="D31" s="15">
        <f>IFERROR(INDEX(M_RawMaterials[SafetyStock_Qty_要入力],MATCH($A31,M_RawMaterials[RM_Code],0)),0)</f>
        <v/>
      </c>
      <c r="E31" s="15">
        <f>IFERROR(LOOKUP(2,1/(T_SelfStock!$A$2:$A$12000=$A31),T_SelfStock!$D$2:$D$12000),"")</f>
        <v/>
      </c>
      <c r="F31" s="15">
        <f>IFERROR(LOOKUP(2,1/(T_TTAFStock!$A$2:$A$12000=$A31),T_TTAFStock!$D$2:$D$12000),"")</f>
        <v/>
      </c>
      <c r="G31" s="15">
        <f>IFERROR(INDEX(Cal_Weeks[Label],LOOKUP(2,1/(T_SelfStock!$A$2:$A$12000=$A31),T_SelfStock!$B$2:$B$12000)),"")</f>
        <v/>
      </c>
      <c r="H31" s="15">
        <f>IF(MIN(J31:DI31)&lt;D31,"要発注","OK")</f>
        <v/>
      </c>
      <c r="I31" s="16">
        <f>IFERROR(INDEX(J31:DI31,$F$1),"")</f>
        <v/>
      </c>
      <c r="J31" s="15">
        <f>'Grid_Stock'!B26</f>
        <v/>
      </c>
      <c r="K31" s="15">
        <f>'Grid_Stock'!C26</f>
        <v/>
      </c>
      <c r="L31" s="15">
        <f>'Grid_Stock'!D26</f>
        <v/>
      </c>
      <c r="M31" s="15">
        <f>'Grid_Stock'!E26</f>
        <v/>
      </c>
      <c r="N31" s="15">
        <f>'Grid_Stock'!F26</f>
        <v/>
      </c>
      <c r="O31" s="15">
        <f>'Grid_Stock'!G26</f>
        <v/>
      </c>
      <c r="P31" s="15">
        <f>'Grid_Stock'!H26</f>
        <v/>
      </c>
      <c r="Q31" s="15">
        <f>'Grid_Stock'!I26</f>
        <v/>
      </c>
      <c r="R31" s="15">
        <f>'Grid_Stock'!J26</f>
        <v/>
      </c>
      <c r="S31" s="15">
        <f>'Grid_Stock'!K26</f>
        <v/>
      </c>
      <c r="T31" s="15">
        <f>'Grid_Stock'!L26</f>
        <v/>
      </c>
      <c r="U31" s="15">
        <f>'Grid_Stock'!M26</f>
        <v/>
      </c>
      <c r="V31" s="15">
        <f>'Grid_Stock'!N26</f>
        <v/>
      </c>
      <c r="W31" s="15">
        <f>'Grid_Stock'!O26</f>
        <v/>
      </c>
      <c r="X31" s="15">
        <f>'Grid_Stock'!P26</f>
        <v/>
      </c>
      <c r="Y31" s="15">
        <f>'Grid_Stock'!Q26</f>
        <v/>
      </c>
      <c r="Z31" s="15">
        <f>'Grid_Stock'!R26</f>
        <v/>
      </c>
      <c r="AA31" s="15">
        <f>'Grid_Stock'!S26</f>
        <v/>
      </c>
      <c r="AB31" s="15">
        <f>'Grid_Stock'!T26</f>
        <v/>
      </c>
      <c r="AC31" s="15">
        <f>'Grid_Stock'!U26</f>
        <v/>
      </c>
      <c r="AD31" s="15">
        <f>'Grid_Stock'!V26</f>
        <v/>
      </c>
      <c r="AE31" s="15">
        <f>'Grid_Stock'!W26</f>
        <v/>
      </c>
      <c r="AF31" s="15">
        <f>'Grid_Stock'!X26</f>
        <v/>
      </c>
      <c r="AG31" s="15">
        <f>'Grid_Stock'!Y26</f>
        <v/>
      </c>
      <c r="AH31" s="15">
        <f>'Grid_Stock'!Z26</f>
        <v/>
      </c>
      <c r="AI31" s="15">
        <f>'Grid_Stock'!AA26</f>
        <v/>
      </c>
      <c r="AJ31" s="15">
        <f>'Grid_Stock'!AB26</f>
        <v/>
      </c>
      <c r="AK31" s="15">
        <f>'Grid_Stock'!AC26</f>
        <v/>
      </c>
      <c r="AL31" s="15">
        <f>'Grid_Stock'!AD26</f>
        <v/>
      </c>
      <c r="AM31" s="15">
        <f>'Grid_Stock'!AE26</f>
        <v/>
      </c>
      <c r="AN31" s="15">
        <f>'Grid_Stock'!AF26</f>
        <v/>
      </c>
      <c r="AO31" s="15">
        <f>'Grid_Stock'!AG26</f>
        <v/>
      </c>
      <c r="AP31" s="15">
        <f>'Grid_Stock'!AH26</f>
        <v/>
      </c>
      <c r="AQ31" s="15">
        <f>'Grid_Stock'!AI26</f>
        <v/>
      </c>
      <c r="AR31" s="15">
        <f>'Grid_Stock'!AJ26</f>
        <v/>
      </c>
      <c r="AS31" s="15">
        <f>'Grid_Stock'!AK26</f>
        <v/>
      </c>
      <c r="AT31" s="15">
        <f>'Grid_Stock'!AL26</f>
        <v/>
      </c>
      <c r="AU31" s="15">
        <f>'Grid_Stock'!AM26</f>
        <v/>
      </c>
      <c r="AV31" s="15">
        <f>'Grid_Stock'!AN26</f>
        <v/>
      </c>
      <c r="AW31" s="15">
        <f>'Grid_Stock'!AO26</f>
        <v/>
      </c>
      <c r="AX31" s="15">
        <f>'Grid_Stock'!AP26</f>
        <v/>
      </c>
      <c r="AY31" s="15">
        <f>'Grid_Stock'!AQ26</f>
        <v/>
      </c>
      <c r="AZ31" s="15">
        <f>'Grid_Stock'!AR26</f>
        <v/>
      </c>
      <c r="BA31" s="15">
        <f>'Grid_Stock'!AS26</f>
        <v/>
      </c>
      <c r="BB31" s="15">
        <f>'Grid_Stock'!AT26</f>
        <v/>
      </c>
      <c r="BC31" s="15">
        <f>'Grid_Stock'!AU26</f>
        <v/>
      </c>
      <c r="BD31" s="15">
        <f>'Grid_Stock'!AV26</f>
        <v/>
      </c>
      <c r="BE31" s="15">
        <f>'Grid_Stock'!AW26</f>
        <v/>
      </c>
      <c r="BF31" s="15">
        <f>'Grid_Stock'!AX26</f>
        <v/>
      </c>
      <c r="BG31" s="15">
        <f>'Grid_Stock'!AY26</f>
        <v/>
      </c>
      <c r="BH31" s="15">
        <f>'Grid_Stock'!AZ26</f>
        <v/>
      </c>
      <c r="BI31" s="15">
        <f>'Grid_Stock'!BA26</f>
        <v/>
      </c>
      <c r="BJ31" s="15">
        <f>'Grid_Stock'!BB26</f>
        <v/>
      </c>
      <c r="BK31" s="15">
        <f>'Grid_Stock'!BC26</f>
        <v/>
      </c>
      <c r="BL31" s="15">
        <f>'Grid_Stock'!BD26</f>
        <v/>
      </c>
      <c r="BM31" s="15">
        <f>'Grid_Stock'!BE26</f>
        <v/>
      </c>
      <c r="BN31" s="15">
        <f>'Grid_Stock'!BF26</f>
        <v/>
      </c>
      <c r="BO31" s="15">
        <f>'Grid_Stock'!BG26</f>
        <v/>
      </c>
      <c r="BP31" s="15">
        <f>'Grid_Stock'!BH26</f>
        <v/>
      </c>
      <c r="BQ31" s="15">
        <f>'Grid_Stock'!BI26</f>
        <v/>
      </c>
      <c r="BR31" s="15">
        <f>'Grid_Stock'!BJ26</f>
        <v/>
      </c>
      <c r="BS31" s="15">
        <f>'Grid_Stock'!BK26</f>
        <v/>
      </c>
      <c r="BT31" s="15">
        <f>'Grid_Stock'!BL26</f>
        <v/>
      </c>
      <c r="BU31" s="15">
        <f>'Grid_Stock'!BM26</f>
        <v/>
      </c>
      <c r="BV31" s="15">
        <f>'Grid_Stock'!BN26</f>
        <v/>
      </c>
      <c r="BW31" s="15">
        <f>'Grid_Stock'!BO26</f>
        <v/>
      </c>
      <c r="BX31" s="15">
        <f>'Grid_Stock'!BP26</f>
        <v/>
      </c>
      <c r="BY31" s="15">
        <f>'Grid_Stock'!BQ26</f>
        <v/>
      </c>
      <c r="BZ31" s="15">
        <f>'Grid_Stock'!BR26</f>
        <v/>
      </c>
      <c r="CA31" s="15">
        <f>'Grid_Stock'!BS26</f>
        <v/>
      </c>
      <c r="CB31" s="15">
        <f>'Grid_Stock'!BT26</f>
        <v/>
      </c>
      <c r="CC31" s="15">
        <f>'Grid_Stock'!BU26</f>
        <v/>
      </c>
      <c r="CD31" s="15">
        <f>'Grid_Stock'!BV26</f>
        <v/>
      </c>
      <c r="CE31" s="15">
        <f>'Grid_Stock'!BW26</f>
        <v/>
      </c>
      <c r="CF31" s="15">
        <f>'Grid_Stock'!BX26</f>
        <v/>
      </c>
      <c r="CG31" s="15">
        <f>'Grid_Stock'!BY26</f>
        <v/>
      </c>
      <c r="CH31" s="15">
        <f>'Grid_Stock'!BZ26</f>
        <v/>
      </c>
      <c r="CI31" s="15">
        <f>'Grid_Stock'!CA26</f>
        <v/>
      </c>
      <c r="CJ31" s="15">
        <f>'Grid_Stock'!CB26</f>
        <v/>
      </c>
      <c r="CK31" s="15">
        <f>'Grid_Stock'!CC26</f>
        <v/>
      </c>
      <c r="CL31" s="15">
        <f>'Grid_Stock'!CD26</f>
        <v/>
      </c>
      <c r="CM31" s="15">
        <f>'Grid_Stock'!CE26</f>
        <v/>
      </c>
      <c r="CN31" s="15">
        <f>'Grid_Stock'!CF26</f>
        <v/>
      </c>
      <c r="CO31" s="15">
        <f>'Grid_Stock'!CG26</f>
        <v/>
      </c>
      <c r="CP31" s="15">
        <f>'Grid_Stock'!CH26</f>
        <v/>
      </c>
      <c r="CQ31" s="15">
        <f>'Grid_Stock'!CI26</f>
        <v/>
      </c>
      <c r="CR31" s="15">
        <f>'Grid_Stock'!CJ26</f>
        <v/>
      </c>
      <c r="CS31" s="15">
        <f>'Grid_Stock'!CK26</f>
        <v/>
      </c>
      <c r="CT31" s="15">
        <f>'Grid_Stock'!CL26</f>
        <v/>
      </c>
      <c r="CU31" s="15">
        <f>'Grid_Stock'!CM26</f>
        <v/>
      </c>
      <c r="CV31" s="15">
        <f>'Grid_Stock'!CN26</f>
        <v/>
      </c>
      <c r="CW31" s="15">
        <f>'Grid_Stock'!CO26</f>
        <v/>
      </c>
      <c r="CX31" s="15">
        <f>'Grid_Stock'!CP26</f>
        <v/>
      </c>
      <c r="CY31" s="15">
        <f>'Grid_Stock'!CQ26</f>
        <v/>
      </c>
      <c r="CZ31" s="15">
        <f>'Grid_Stock'!CR26</f>
        <v/>
      </c>
      <c r="DA31" s="15">
        <f>'Grid_Stock'!CS26</f>
        <v/>
      </c>
      <c r="DB31" s="15">
        <f>'Grid_Stock'!CT26</f>
        <v/>
      </c>
      <c r="DC31" s="15">
        <f>'Grid_Stock'!CU26</f>
        <v/>
      </c>
      <c r="DD31" s="15">
        <f>'Grid_Stock'!CV26</f>
        <v/>
      </c>
      <c r="DE31" s="15">
        <f>'Grid_Stock'!CW26</f>
        <v/>
      </c>
      <c r="DF31" s="15">
        <f>'Grid_Stock'!CX26</f>
        <v/>
      </c>
      <c r="DG31" s="15">
        <f>'Grid_Stock'!CY26</f>
        <v/>
      </c>
      <c r="DH31" s="15">
        <f>'Grid_Stock'!CZ26</f>
        <v/>
      </c>
      <c r="DI31" s="15">
        <f>'Grid_Stock'!DA26</f>
        <v/>
      </c>
    </row>
    <row r="32">
      <c r="A32" s="17" t="inlineStr">
        <is>
          <t>Original Towel</t>
        </is>
      </c>
      <c r="B32" s="17">
        <f>IFERROR(INDEX(M_RawMaterials[Description],MATCH($A32,M_RawMaterials[RM_Code],0)),"")</f>
        <v/>
      </c>
      <c r="C32" s="17">
        <f>IFERROR(INDEX(M_RawMaterials[Category],MATCH($A32,M_RawMaterials[RM_Code],0)),"")</f>
        <v/>
      </c>
      <c r="D32" s="17">
        <f>IFERROR(INDEX(M_RawMaterials[SafetyStock_Qty_要入力],MATCH($A32,M_RawMaterials[RM_Code],0)),0)</f>
        <v/>
      </c>
      <c r="E32" s="17">
        <f>IFERROR(LOOKUP(2,1/(T_SelfStock!$A$2:$A$12000=$A32),T_SelfStock!$D$2:$D$12000),"")</f>
        <v/>
      </c>
      <c r="F32" s="17">
        <f>IFERROR(LOOKUP(2,1/(T_TTAFStock!$A$2:$A$12000=$A32),T_TTAFStock!$D$2:$D$12000),"")</f>
        <v/>
      </c>
      <c r="G32" s="17">
        <f>IFERROR(INDEX(Cal_Weeks[Label],LOOKUP(2,1/(T_SelfStock!$A$2:$A$12000=$A32),T_SelfStock!$B$2:$B$12000)),"")</f>
        <v/>
      </c>
      <c r="H32" s="17">
        <f>IF(MIN(J32:DI32)&lt;D32,"要発注","OK")</f>
        <v/>
      </c>
      <c r="I32" s="16">
        <f>IFERROR(INDEX(J32:DI32,$F$1),"")</f>
        <v/>
      </c>
      <c r="J32" s="17">
        <f>'Grid_Stock'!B27</f>
        <v/>
      </c>
      <c r="K32" s="17">
        <f>'Grid_Stock'!C27</f>
        <v/>
      </c>
      <c r="L32" s="17">
        <f>'Grid_Stock'!D27</f>
        <v/>
      </c>
      <c r="M32" s="17">
        <f>'Grid_Stock'!E27</f>
        <v/>
      </c>
      <c r="N32" s="17">
        <f>'Grid_Stock'!F27</f>
        <v/>
      </c>
      <c r="O32" s="17">
        <f>'Grid_Stock'!G27</f>
        <v/>
      </c>
      <c r="P32" s="17">
        <f>'Grid_Stock'!H27</f>
        <v/>
      </c>
      <c r="Q32" s="17">
        <f>'Grid_Stock'!I27</f>
        <v/>
      </c>
      <c r="R32" s="17">
        <f>'Grid_Stock'!J27</f>
        <v/>
      </c>
      <c r="S32" s="17">
        <f>'Grid_Stock'!K27</f>
        <v/>
      </c>
      <c r="T32" s="17">
        <f>'Grid_Stock'!L27</f>
        <v/>
      </c>
      <c r="U32" s="17">
        <f>'Grid_Stock'!M27</f>
        <v/>
      </c>
      <c r="V32" s="17">
        <f>'Grid_Stock'!N27</f>
        <v/>
      </c>
      <c r="W32" s="17">
        <f>'Grid_Stock'!O27</f>
        <v/>
      </c>
      <c r="X32" s="17">
        <f>'Grid_Stock'!P27</f>
        <v/>
      </c>
      <c r="Y32" s="17">
        <f>'Grid_Stock'!Q27</f>
        <v/>
      </c>
      <c r="Z32" s="17">
        <f>'Grid_Stock'!R27</f>
        <v/>
      </c>
      <c r="AA32" s="17">
        <f>'Grid_Stock'!S27</f>
        <v/>
      </c>
      <c r="AB32" s="17">
        <f>'Grid_Stock'!T27</f>
        <v/>
      </c>
      <c r="AC32" s="17">
        <f>'Grid_Stock'!U27</f>
        <v/>
      </c>
      <c r="AD32" s="17">
        <f>'Grid_Stock'!V27</f>
        <v/>
      </c>
      <c r="AE32" s="17">
        <f>'Grid_Stock'!W27</f>
        <v/>
      </c>
      <c r="AF32" s="17">
        <f>'Grid_Stock'!X27</f>
        <v/>
      </c>
      <c r="AG32" s="17">
        <f>'Grid_Stock'!Y27</f>
        <v/>
      </c>
      <c r="AH32" s="17">
        <f>'Grid_Stock'!Z27</f>
        <v/>
      </c>
      <c r="AI32" s="17">
        <f>'Grid_Stock'!AA27</f>
        <v/>
      </c>
      <c r="AJ32" s="17">
        <f>'Grid_Stock'!AB27</f>
        <v/>
      </c>
      <c r="AK32" s="17">
        <f>'Grid_Stock'!AC27</f>
        <v/>
      </c>
      <c r="AL32" s="17">
        <f>'Grid_Stock'!AD27</f>
        <v/>
      </c>
      <c r="AM32" s="17">
        <f>'Grid_Stock'!AE27</f>
        <v/>
      </c>
      <c r="AN32" s="17">
        <f>'Grid_Stock'!AF27</f>
        <v/>
      </c>
      <c r="AO32" s="17">
        <f>'Grid_Stock'!AG27</f>
        <v/>
      </c>
      <c r="AP32" s="17">
        <f>'Grid_Stock'!AH27</f>
        <v/>
      </c>
      <c r="AQ32" s="17">
        <f>'Grid_Stock'!AI27</f>
        <v/>
      </c>
      <c r="AR32" s="17">
        <f>'Grid_Stock'!AJ27</f>
        <v/>
      </c>
      <c r="AS32" s="17">
        <f>'Grid_Stock'!AK27</f>
        <v/>
      </c>
      <c r="AT32" s="17">
        <f>'Grid_Stock'!AL27</f>
        <v/>
      </c>
      <c r="AU32" s="17">
        <f>'Grid_Stock'!AM27</f>
        <v/>
      </c>
      <c r="AV32" s="17">
        <f>'Grid_Stock'!AN27</f>
        <v/>
      </c>
      <c r="AW32" s="17">
        <f>'Grid_Stock'!AO27</f>
        <v/>
      </c>
      <c r="AX32" s="17">
        <f>'Grid_Stock'!AP27</f>
        <v/>
      </c>
      <c r="AY32" s="17">
        <f>'Grid_Stock'!AQ27</f>
        <v/>
      </c>
      <c r="AZ32" s="17">
        <f>'Grid_Stock'!AR27</f>
        <v/>
      </c>
      <c r="BA32" s="17">
        <f>'Grid_Stock'!AS27</f>
        <v/>
      </c>
      <c r="BB32" s="17">
        <f>'Grid_Stock'!AT27</f>
        <v/>
      </c>
      <c r="BC32" s="17">
        <f>'Grid_Stock'!AU27</f>
        <v/>
      </c>
      <c r="BD32" s="17">
        <f>'Grid_Stock'!AV27</f>
        <v/>
      </c>
      <c r="BE32" s="17">
        <f>'Grid_Stock'!AW27</f>
        <v/>
      </c>
      <c r="BF32" s="17">
        <f>'Grid_Stock'!AX27</f>
        <v/>
      </c>
      <c r="BG32" s="17">
        <f>'Grid_Stock'!AY27</f>
        <v/>
      </c>
      <c r="BH32" s="17">
        <f>'Grid_Stock'!AZ27</f>
        <v/>
      </c>
      <c r="BI32" s="17">
        <f>'Grid_Stock'!BA27</f>
        <v/>
      </c>
      <c r="BJ32" s="17">
        <f>'Grid_Stock'!BB27</f>
        <v/>
      </c>
      <c r="BK32" s="17">
        <f>'Grid_Stock'!BC27</f>
        <v/>
      </c>
      <c r="BL32" s="17">
        <f>'Grid_Stock'!BD27</f>
        <v/>
      </c>
      <c r="BM32" s="17">
        <f>'Grid_Stock'!BE27</f>
        <v/>
      </c>
      <c r="BN32" s="17">
        <f>'Grid_Stock'!BF27</f>
        <v/>
      </c>
      <c r="BO32" s="17">
        <f>'Grid_Stock'!BG27</f>
        <v/>
      </c>
      <c r="BP32" s="17">
        <f>'Grid_Stock'!BH27</f>
        <v/>
      </c>
      <c r="BQ32" s="17">
        <f>'Grid_Stock'!BI27</f>
        <v/>
      </c>
      <c r="BR32" s="17">
        <f>'Grid_Stock'!BJ27</f>
        <v/>
      </c>
      <c r="BS32" s="17">
        <f>'Grid_Stock'!BK27</f>
        <v/>
      </c>
      <c r="BT32" s="17">
        <f>'Grid_Stock'!BL27</f>
        <v/>
      </c>
      <c r="BU32" s="17">
        <f>'Grid_Stock'!BM27</f>
        <v/>
      </c>
      <c r="BV32" s="17">
        <f>'Grid_Stock'!BN27</f>
        <v/>
      </c>
      <c r="BW32" s="17">
        <f>'Grid_Stock'!BO27</f>
        <v/>
      </c>
      <c r="BX32" s="17">
        <f>'Grid_Stock'!BP27</f>
        <v/>
      </c>
      <c r="BY32" s="17">
        <f>'Grid_Stock'!BQ27</f>
        <v/>
      </c>
      <c r="BZ32" s="17">
        <f>'Grid_Stock'!BR27</f>
        <v/>
      </c>
      <c r="CA32" s="17">
        <f>'Grid_Stock'!BS27</f>
        <v/>
      </c>
      <c r="CB32" s="17">
        <f>'Grid_Stock'!BT27</f>
        <v/>
      </c>
      <c r="CC32" s="17">
        <f>'Grid_Stock'!BU27</f>
        <v/>
      </c>
      <c r="CD32" s="17">
        <f>'Grid_Stock'!BV27</f>
        <v/>
      </c>
      <c r="CE32" s="17">
        <f>'Grid_Stock'!BW27</f>
        <v/>
      </c>
      <c r="CF32" s="17">
        <f>'Grid_Stock'!BX27</f>
        <v/>
      </c>
      <c r="CG32" s="17">
        <f>'Grid_Stock'!BY27</f>
        <v/>
      </c>
      <c r="CH32" s="17">
        <f>'Grid_Stock'!BZ27</f>
        <v/>
      </c>
      <c r="CI32" s="17">
        <f>'Grid_Stock'!CA27</f>
        <v/>
      </c>
      <c r="CJ32" s="17">
        <f>'Grid_Stock'!CB27</f>
        <v/>
      </c>
      <c r="CK32" s="17">
        <f>'Grid_Stock'!CC27</f>
        <v/>
      </c>
      <c r="CL32" s="17">
        <f>'Grid_Stock'!CD27</f>
        <v/>
      </c>
      <c r="CM32" s="17">
        <f>'Grid_Stock'!CE27</f>
        <v/>
      </c>
      <c r="CN32" s="17">
        <f>'Grid_Stock'!CF27</f>
        <v/>
      </c>
      <c r="CO32" s="17">
        <f>'Grid_Stock'!CG27</f>
        <v/>
      </c>
      <c r="CP32" s="17">
        <f>'Grid_Stock'!CH27</f>
        <v/>
      </c>
      <c r="CQ32" s="17">
        <f>'Grid_Stock'!CI27</f>
        <v/>
      </c>
      <c r="CR32" s="17">
        <f>'Grid_Stock'!CJ27</f>
        <v/>
      </c>
      <c r="CS32" s="17">
        <f>'Grid_Stock'!CK27</f>
        <v/>
      </c>
      <c r="CT32" s="17">
        <f>'Grid_Stock'!CL27</f>
        <v/>
      </c>
      <c r="CU32" s="17">
        <f>'Grid_Stock'!CM27</f>
        <v/>
      </c>
      <c r="CV32" s="17">
        <f>'Grid_Stock'!CN27</f>
        <v/>
      </c>
      <c r="CW32" s="17">
        <f>'Grid_Stock'!CO27</f>
        <v/>
      </c>
      <c r="CX32" s="17">
        <f>'Grid_Stock'!CP27</f>
        <v/>
      </c>
      <c r="CY32" s="17">
        <f>'Grid_Stock'!CQ27</f>
        <v/>
      </c>
      <c r="CZ32" s="17">
        <f>'Grid_Stock'!CR27</f>
        <v/>
      </c>
      <c r="DA32" s="17">
        <f>'Grid_Stock'!CS27</f>
        <v/>
      </c>
      <c r="DB32" s="17">
        <f>'Grid_Stock'!CT27</f>
        <v/>
      </c>
      <c r="DC32" s="17">
        <f>'Grid_Stock'!CU27</f>
        <v/>
      </c>
      <c r="DD32" s="17">
        <f>'Grid_Stock'!CV27</f>
        <v/>
      </c>
      <c r="DE32" s="17">
        <f>'Grid_Stock'!CW27</f>
        <v/>
      </c>
      <c r="DF32" s="17">
        <f>'Grid_Stock'!CX27</f>
        <v/>
      </c>
      <c r="DG32" s="17">
        <f>'Grid_Stock'!CY27</f>
        <v/>
      </c>
      <c r="DH32" s="17">
        <f>'Grid_Stock'!CZ27</f>
        <v/>
      </c>
      <c r="DI32" s="17">
        <f>'Grid_Stock'!DA27</f>
        <v/>
      </c>
    </row>
    <row r="33">
      <c r="A33" s="15" t="inlineStr">
        <is>
          <t>0LJ</t>
        </is>
      </c>
      <c r="B33" s="15">
        <f>IFERROR(INDEX(M_RawMaterials[Description],MATCH($A33,M_RawMaterials[RM_Code],0)),"")</f>
        <v/>
      </c>
      <c r="C33" s="15">
        <f>IFERROR(INDEX(M_RawMaterials[Category],MATCH($A33,M_RawMaterials[RM_Code],0)),"")</f>
        <v/>
      </c>
      <c r="D33" s="15">
        <f>IFERROR(INDEX(M_RawMaterials[SafetyStock_Qty_要入力],MATCH($A33,M_RawMaterials[RM_Code],0)),0)</f>
        <v/>
      </c>
      <c r="E33" s="15">
        <f>IFERROR(LOOKUP(2,1/(T_SelfStock!$A$2:$A$12000=$A33),T_SelfStock!$D$2:$D$12000),"")</f>
        <v/>
      </c>
      <c r="F33" s="15">
        <f>IFERROR(LOOKUP(2,1/(T_TTAFStock!$A$2:$A$12000=$A33),T_TTAFStock!$D$2:$D$12000),"")</f>
        <v/>
      </c>
      <c r="G33" s="15">
        <f>IFERROR(INDEX(Cal_Weeks[Label],LOOKUP(2,1/(T_SelfStock!$A$2:$A$12000=$A33),T_SelfStock!$B$2:$B$12000)),"")</f>
        <v/>
      </c>
      <c r="H33" s="15">
        <f>IF(MIN(J33:DI33)&lt;D33,"要発注","OK")</f>
        <v/>
      </c>
      <c r="I33" s="16">
        <f>IFERROR(INDEX(J33:DI33,$F$1),"")</f>
        <v/>
      </c>
      <c r="J33" s="15">
        <f>'Grid_Stock'!B28</f>
        <v/>
      </c>
      <c r="K33" s="15">
        <f>'Grid_Stock'!C28</f>
        <v/>
      </c>
      <c r="L33" s="15">
        <f>'Grid_Stock'!D28</f>
        <v/>
      </c>
      <c r="M33" s="15">
        <f>'Grid_Stock'!E28</f>
        <v/>
      </c>
      <c r="N33" s="15">
        <f>'Grid_Stock'!F28</f>
        <v/>
      </c>
      <c r="O33" s="15">
        <f>'Grid_Stock'!G28</f>
        <v/>
      </c>
      <c r="P33" s="15">
        <f>'Grid_Stock'!H28</f>
        <v/>
      </c>
      <c r="Q33" s="15">
        <f>'Grid_Stock'!I28</f>
        <v/>
      </c>
      <c r="R33" s="15">
        <f>'Grid_Stock'!J28</f>
        <v/>
      </c>
      <c r="S33" s="15">
        <f>'Grid_Stock'!K28</f>
        <v/>
      </c>
      <c r="T33" s="15">
        <f>'Grid_Stock'!L28</f>
        <v/>
      </c>
      <c r="U33" s="15">
        <f>'Grid_Stock'!M28</f>
        <v/>
      </c>
      <c r="V33" s="15">
        <f>'Grid_Stock'!N28</f>
        <v/>
      </c>
      <c r="W33" s="15">
        <f>'Grid_Stock'!O28</f>
        <v/>
      </c>
      <c r="X33" s="15">
        <f>'Grid_Stock'!P28</f>
        <v/>
      </c>
      <c r="Y33" s="15">
        <f>'Grid_Stock'!Q28</f>
        <v/>
      </c>
      <c r="Z33" s="15">
        <f>'Grid_Stock'!R28</f>
        <v/>
      </c>
      <c r="AA33" s="15">
        <f>'Grid_Stock'!S28</f>
        <v/>
      </c>
      <c r="AB33" s="15">
        <f>'Grid_Stock'!T28</f>
        <v/>
      </c>
      <c r="AC33" s="15">
        <f>'Grid_Stock'!U28</f>
        <v/>
      </c>
      <c r="AD33" s="15">
        <f>'Grid_Stock'!V28</f>
        <v/>
      </c>
      <c r="AE33" s="15">
        <f>'Grid_Stock'!W28</f>
        <v/>
      </c>
      <c r="AF33" s="15">
        <f>'Grid_Stock'!X28</f>
        <v/>
      </c>
      <c r="AG33" s="15">
        <f>'Grid_Stock'!Y28</f>
        <v/>
      </c>
      <c r="AH33" s="15">
        <f>'Grid_Stock'!Z28</f>
        <v/>
      </c>
      <c r="AI33" s="15">
        <f>'Grid_Stock'!AA28</f>
        <v/>
      </c>
      <c r="AJ33" s="15">
        <f>'Grid_Stock'!AB28</f>
        <v/>
      </c>
      <c r="AK33" s="15">
        <f>'Grid_Stock'!AC28</f>
        <v/>
      </c>
      <c r="AL33" s="15">
        <f>'Grid_Stock'!AD28</f>
        <v/>
      </c>
      <c r="AM33" s="15">
        <f>'Grid_Stock'!AE28</f>
        <v/>
      </c>
      <c r="AN33" s="15">
        <f>'Grid_Stock'!AF28</f>
        <v/>
      </c>
      <c r="AO33" s="15">
        <f>'Grid_Stock'!AG28</f>
        <v/>
      </c>
      <c r="AP33" s="15">
        <f>'Grid_Stock'!AH28</f>
        <v/>
      </c>
      <c r="AQ33" s="15">
        <f>'Grid_Stock'!AI28</f>
        <v/>
      </c>
      <c r="AR33" s="15">
        <f>'Grid_Stock'!AJ28</f>
        <v/>
      </c>
      <c r="AS33" s="15">
        <f>'Grid_Stock'!AK28</f>
        <v/>
      </c>
      <c r="AT33" s="15">
        <f>'Grid_Stock'!AL28</f>
        <v/>
      </c>
      <c r="AU33" s="15">
        <f>'Grid_Stock'!AM28</f>
        <v/>
      </c>
      <c r="AV33" s="15">
        <f>'Grid_Stock'!AN28</f>
        <v/>
      </c>
      <c r="AW33" s="15">
        <f>'Grid_Stock'!AO28</f>
        <v/>
      </c>
      <c r="AX33" s="15">
        <f>'Grid_Stock'!AP28</f>
        <v/>
      </c>
      <c r="AY33" s="15">
        <f>'Grid_Stock'!AQ28</f>
        <v/>
      </c>
      <c r="AZ33" s="15">
        <f>'Grid_Stock'!AR28</f>
        <v/>
      </c>
      <c r="BA33" s="15">
        <f>'Grid_Stock'!AS28</f>
        <v/>
      </c>
      <c r="BB33" s="15">
        <f>'Grid_Stock'!AT28</f>
        <v/>
      </c>
      <c r="BC33" s="15">
        <f>'Grid_Stock'!AU28</f>
        <v/>
      </c>
      <c r="BD33" s="15">
        <f>'Grid_Stock'!AV28</f>
        <v/>
      </c>
      <c r="BE33" s="15">
        <f>'Grid_Stock'!AW28</f>
        <v/>
      </c>
      <c r="BF33" s="15">
        <f>'Grid_Stock'!AX28</f>
        <v/>
      </c>
      <c r="BG33" s="15">
        <f>'Grid_Stock'!AY28</f>
        <v/>
      </c>
      <c r="BH33" s="15">
        <f>'Grid_Stock'!AZ28</f>
        <v/>
      </c>
      <c r="BI33" s="15">
        <f>'Grid_Stock'!BA28</f>
        <v/>
      </c>
      <c r="BJ33" s="15">
        <f>'Grid_Stock'!BB28</f>
        <v/>
      </c>
      <c r="BK33" s="15">
        <f>'Grid_Stock'!BC28</f>
        <v/>
      </c>
      <c r="BL33" s="15">
        <f>'Grid_Stock'!BD28</f>
        <v/>
      </c>
      <c r="BM33" s="15">
        <f>'Grid_Stock'!BE28</f>
        <v/>
      </c>
      <c r="BN33" s="15">
        <f>'Grid_Stock'!BF28</f>
        <v/>
      </c>
      <c r="BO33" s="15">
        <f>'Grid_Stock'!BG28</f>
        <v/>
      </c>
      <c r="BP33" s="15">
        <f>'Grid_Stock'!BH28</f>
        <v/>
      </c>
      <c r="BQ33" s="15">
        <f>'Grid_Stock'!BI28</f>
        <v/>
      </c>
      <c r="BR33" s="15">
        <f>'Grid_Stock'!BJ28</f>
        <v/>
      </c>
      <c r="BS33" s="15">
        <f>'Grid_Stock'!BK28</f>
        <v/>
      </c>
      <c r="BT33" s="15">
        <f>'Grid_Stock'!BL28</f>
        <v/>
      </c>
      <c r="BU33" s="15">
        <f>'Grid_Stock'!BM28</f>
        <v/>
      </c>
      <c r="BV33" s="15">
        <f>'Grid_Stock'!BN28</f>
        <v/>
      </c>
      <c r="BW33" s="15">
        <f>'Grid_Stock'!BO28</f>
        <v/>
      </c>
      <c r="BX33" s="15">
        <f>'Grid_Stock'!BP28</f>
        <v/>
      </c>
      <c r="BY33" s="15">
        <f>'Grid_Stock'!BQ28</f>
        <v/>
      </c>
      <c r="BZ33" s="15">
        <f>'Grid_Stock'!BR28</f>
        <v/>
      </c>
      <c r="CA33" s="15">
        <f>'Grid_Stock'!BS28</f>
        <v/>
      </c>
      <c r="CB33" s="15">
        <f>'Grid_Stock'!BT28</f>
        <v/>
      </c>
      <c r="CC33" s="15">
        <f>'Grid_Stock'!BU28</f>
        <v/>
      </c>
      <c r="CD33" s="15">
        <f>'Grid_Stock'!BV28</f>
        <v/>
      </c>
      <c r="CE33" s="15">
        <f>'Grid_Stock'!BW28</f>
        <v/>
      </c>
      <c r="CF33" s="15">
        <f>'Grid_Stock'!BX28</f>
        <v/>
      </c>
      <c r="CG33" s="15">
        <f>'Grid_Stock'!BY28</f>
        <v/>
      </c>
      <c r="CH33" s="15">
        <f>'Grid_Stock'!BZ28</f>
        <v/>
      </c>
      <c r="CI33" s="15">
        <f>'Grid_Stock'!CA28</f>
        <v/>
      </c>
      <c r="CJ33" s="15">
        <f>'Grid_Stock'!CB28</f>
        <v/>
      </c>
      <c r="CK33" s="15">
        <f>'Grid_Stock'!CC28</f>
        <v/>
      </c>
      <c r="CL33" s="15">
        <f>'Grid_Stock'!CD28</f>
        <v/>
      </c>
      <c r="CM33" s="15">
        <f>'Grid_Stock'!CE28</f>
        <v/>
      </c>
      <c r="CN33" s="15">
        <f>'Grid_Stock'!CF28</f>
        <v/>
      </c>
      <c r="CO33" s="15">
        <f>'Grid_Stock'!CG28</f>
        <v/>
      </c>
      <c r="CP33" s="15">
        <f>'Grid_Stock'!CH28</f>
        <v/>
      </c>
      <c r="CQ33" s="15">
        <f>'Grid_Stock'!CI28</f>
        <v/>
      </c>
      <c r="CR33" s="15">
        <f>'Grid_Stock'!CJ28</f>
        <v/>
      </c>
      <c r="CS33" s="15">
        <f>'Grid_Stock'!CK28</f>
        <v/>
      </c>
      <c r="CT33" s="15">
        <f>'Grid_Stock'!CL28</f>
        <v/>
      </c>
      <c r="CU33" s="15">
        <f>'Grid_Stock'!CM28</f>
        <v/>
      </c>
      <c r="CV33" s="15">
        <f>'Grid_Stock'!CN28</f>
        <v/>
      </c>
      <c r="CW33" s="15">
        <f>'Grid_Stock'!CO28</f>
        <v/>
      </c>
      <c r="CX33" s="15">
        <f>'Grid_Stock'!CP28</f>
        <v/>
      </c>
      <c r="CY33" s="15">
        <f>'Grid_Stock'!CQ28</f>
        <v/>
      </c>
      <c r="CZ33" s="15">
        <f>'Grid_Stock'!CR28</f>
        <v/>
      </c>
      <c r="DA33" s="15">
        <f>'Grid_Stock'!CS28</f>
        <v/>
      </c>
      <c r="DB33" s="15">
        <f>'Grid_Stock'!CT28</f>
        <v/>
      </c>
      <c r="DC33" s="15">
        <f>'Grid_Stock'!CU28</f>
        <v/>
      </c>
      <c r="DD33" s="15">
        <f>'Grid_Stock'!CV28</f>
        <v/>
      </c>
      <c r="DE33" s="15">
        <f>'Grid_Stock'!CW28</f>
        <v/>
      </c>
      <c r="DF33" s="15">
        <f>'Grid_Stock'!CX28</f>
        <v/>
      </c>
      <c r="DG33" s="15">
        <f>'Grid_Stock'!CY28</f>
        <v/>
      </c>
      <c r="DH33" s="15">
        <f>'Grid_Stock'!CZ28</f>
        <v/>
      </c>
      <c r="DI33" s="15">
        <f>'Grid_Stock'!DA28</f>
        <v/>
      </c>
    </row>
    <row r="34">
      <c r="A34" s="17" t="inlineStr">
        <is>
          <t>PP FILM</t>
        </is>
      </c>
      <c r="B34" s="17">
        <f>IFERROR(INDEX(M_RawMaterials[Description],MATCH($A34,M_RawMaterials[RM_Code],0)),"")</f>
        <v/>
      </c>
      <c r="C34" s="17">
        <f>IFERROR(INDEX(M_RawMaterials[Category],MATCH($A34,M_RawMaterials[RM_Code],0)),"")</f>
        <v/>
      </c>
      <c r="D34" s="17">
        <f>IFERROR(INDEX(M_RawMaterials[SafetyStock_Qty_要入力],MATCH($A34,M_RawMaterials[RM_Code],0)),0)</f>
        <v/>
      </c>
      <c r="E34" s="17">
        <f>IFERROR(LOOKUP(2,1/(T_SelfStock!$A$2:$A$12000=$A34),T_SelfStock!$D$2:$D$12000),"")</f>
        <v/>
      </c>
      <c r="F34" s="17">
        <f>IFERROR(LOOKUP(2,1/(T_TTAFStock!$A$2:$A$12000=$A34),T_TTAFStock!$D$2:$D$12000),"")</f>
        <v/>
      </c>
      <c r="G34" s="17">
        <f>IFERROR(INDEX(Cal_Weeks[Label],LOOKUP(2,1/(T_SelfStock!$A$2:$A$12000=$A34),T_SelfStock!$B$2:$B$12000)),"")</f>
        <v/>
      </c>
      <c r="H34" s="17">
        <f>IF(MIN(J34:DI34)&lt;D34,"要発注","OK")</f>
        <v/>
      </c>
      <c r="I34" s="16">
        <f>IFERROR(INDEX(J34:DI34,$F$1),"")</f>
        <v/>
      </c>
      <c r="J34" s="17">
        <f>'Grid_Stock'!B29</f>
        <v/>
      </c>
      <c r="K34" s="17">
        <f>'Grid_Stock'!C29</f>
        <v/>
      </c>
      <c r="L34" s="17">
        <f>'Grid_Stock'!D29</f>
        <v/>
      </c>
      <c r="M34" s="17">
        <f>'Grid_Stock'!E29</f>
        <v/>
      </c>
      <c r="N34" s="17">
        <f>'Grid_Stock'!F29</f>
        <v/>
      </c>
      <c r="O34" s="17">
        <f>'Grid_Stock'!G29</f>
        <v/>
      </c>
      <c r="P34" s="17">
        <f>'Grid_Stock'!H29</f>
        <v/>
      </c>
      <c r="Q34" s="17">
        <f>'Grid_Stock'!I29</f>
        <v/>
      </c>
      <c r="R34" s="17">
        <f>'Grid_Stock'!J29</f>
        <v/>
      </c>
      <c r="S34" s="17">
        <f>'Grid_Stock'!K29</f>
        <v/>
      </c>
      <c r="T34" s="17">
        <f>'Grid_Stock'!L29</f>
        <v/>
      </c>
      <c r="U34" s="17">
        <f>'Grid_Stock'!M29</f>
        <v/>
      </c>
      <c r="V34" s="17">
        <f>'Grid_Stock'!N29</f>
        <v/>
      </c>
      <c r="W34" s="17">
        <f>'Grid_Stock'!O29</f>
        <v/>
      </c>
      <c r="X34" s="17">
        <f>'Grid_Stock'!P29</f>
        <v/>
      </c>
      <c r="Y34" s="17">
        <f>'Grid_Stock'!Q29</f>
        <v/>
      </c>
      <c r="Z34" s="17">
        <f>'Grid_Stock'!R29</f>
        <v/>
      </c>
      <c r="AA34" s="17">
        <f>'Grid_Stock'!S29</f>
        <v/>
      </c>
      <c r="AB34" s="17">
        <f>'Grid_Stock'!T29</f>
        <v/>
      </c>
      <c r="AC34" s="17">
        <f>'Grid_Stock'!U29</f>
        <v/>
      </c>
      <c r="AD34" s="17">
        <f>'Grid_Stock'!V29</f>
        <v/>
      </c>
      <c r="AE34" s="17">
        <f>'Grid_Stock'!W29</f>
        <v/>
      </c>
      <c r="AF34" s="17">
        <f>'Grid_Stock'!X29</f>
        <v/>
      </c>
      <c r="AG34" s="17">
        <f>'Grid_Stock'!Y29</f>
        <v/>
      </c>
      <c r="AH34" s="17">
        <f>'Grid_Stock'!Z29</f>
        <v/>
      </c>
      <c r="AI34" s="17">
        <f>'Grid_Stock'!AA29</f>
        <v/>
      </c>
      <c r="AJ34" s="17">
        <f>'Grid_Stock'!AB29</f>
        <v/>
      </c>
      <c r="AK34" s="17">
        <f>'Grid_Stock'!AC29</f>
        <v/>
      </c>
      <c r="AL34" s="17">
        <f>'Grid_Stock'!AD29</f>
        <v/>
      </c>
      <c r="AM34" s="17">
        <f>'Grid_Stock'!AE29</f>
        <v/>
      </c>
      <c r="AN34" s="17">
        <f>'Grid_Stock'!AF29</f>
        <v/>
      </c>
      <c r="AO34" s="17">
        <f>'Grid_Stock'!AG29</f>
        <v/>
      </c>
      <c r="AP34" s="17">
        <f>'Grid_Stock'!AH29</f>
        <v/>
      </c>
      <c r="AQ34" s="17">
        <f>'Grid_Stock'!AI29</f>
        <v/>
      </c>
      <c r="AR34" s="17">
        <f>'Grid_Stock'!AJ29</f>
        <v/>
      </c>
      <c r="AS34" s="17">
        <f>'Grid_Stock'!AK29</f>
        <v/>
      </c>
      <c r="AT34" s="17">
        <f>'Grid_Stock'!AL29</f>
        <v/>
      </c>
      <c r="AU34" s="17">
        <f>'Grid_Stock'!AM29</f>
        <v/>
      </c>
      <c r="AV34" s="17">
        <f>'Grid_Stock'!AN29</f>
        <v/>
      </c>
      <c r="AW34" s="17">
        <f>'Grid_Stock'!AO29</f>
        <v/>
      </c>
      <c r="AX34" s="17">
        <f>'Grid_Stock'!AP29</f>
        <v/>
      </c>
      <c r="AY34" s="17">
        <f>'Grid_Stock'!AQ29</f>
        <v/>
      </c>
      <c r="AZ34" s="17">
        <f>'Grid_Stock'!AR29</f>
        <v/>
      </c>
      <c r="BA34" s="17">
        <f>'Grid_Stock'!AS29</f>
        <v/>
      </c>
      <c r="BB34" s="17">
        <f>'Grid_Stock'!AT29</f>
        <v/>
      </c>
      <c r="BC34" s="17">
        <f>'Grid_Stock'!AU29</f>
        <v/>
      </c>
      <c r="BD34" s="17">
        <f>'Grid_Stock'!AV29</f>
        <v/>
      </c>
      <c r="BE34" s="17">
        <f>'Grid_Stock'!AW29</f>
        <v/>
      </c>
      <c r="BF34" s="17">
        <f>'Grid_Stock'!AX29</f>
        <v/>
      </c>
      <c r="BG34" s="17">
        <f>'Grid_Stock'!AY29</f>
        <v/>
      </c>
      <c r="BH34" s="17">
        <f>'Grid_Stock'!AZ29</f>
        <v/>
      </c>
      <c r="BI34" s="17">
        <f>'Grid_Stock'!BA29</f>
        <v/>
      </c>
      <c r="BJ34" s="17">
        <f>'Grid_Stock'!BB29</f>
        <v/>
      </c>
      <c r="BK34" s="17">
        <f>'Grid_Stock'!BC29</f>
        <v/>
      </c>
      <c r="BL34" s="17">
        <f>'Grid_Stock'!BD29</f>
        <v/>
      </c>
      <c r="BM34" s="17">
        <f>'Grid_Stock'!BE29</f>
        <v/>
      </c>
      <c r="BN34" s="17">
        <f>'Grid_Stock'!BF29</f>
        <v/>
      </c>
      <c r="BO34" s="17">
        <f>'Grid_Stock'!BG29</f>
        <v/>
      </c>
      <c r="BP34" s="17">
        <f>'Grid_Stock'!BH29</f>
        <v/>
      </c>
      <c r="BQ34" s="17">
        <f>'Grid_Stock'!BI29</f>
        <v/>
      </c>
      <c r="BR34" s="17">
        <f>'Grid_Stock'!BJ29</f>
        <v/>
      </c>
      <c r="BS34" s="17">
        <f>'Grid_Stock'!BK29</f>
        <v/>
      </c>
      <c r="BT34" s="17">
        <f>'Grid_Stock'!BL29</f>
        <v/>
      </c>
      <c r="BU34" s="17">
        <f>'Grid_Stock'!BM29</f>
        <v/>
      </c>
      <c r="BV34" s="17">
        <f>'Grid_Stock'!BN29</f>
        <v/>
      </c>
      <c r="BW34" s="17">
        <f>'Grid_Stock'!BO29</f>
        <v/>
      </c>
      <c r="BX34" s="17">
        <f>'Grid_Stock'!BP29</f>
        <v/>
      </c>
      <c r="BY34" s="17">
        <f>'Grid_Stock'!BQ29</f>
        <v/>
      </c>
      <c r="BZ34" s="17">
        <f>'Grid_Stock'!BR29</f>
        <v/>
      </c>
      <c r="CA34" s="17">
        <f>'Grid_Stock'!BS29</f>
        <v/>
      </c>
      <c r="CB34" s="17">
        <f>'Grid_Stock'!BT29</f>
        <v/>
      </c>
      <c r="CC34" s="17">
        <f>'Grid_Stock'!BU29</f>
        <v/>
      </c>
      <c r="CD34" s="17">
        <f>'Grid_Stock'!BV29</f>
        <v/>
      </c>
      <c r="CE34" s="17">
        <f>'Grid_Stock'!BW29</f>
        <v/>
      </c>
      <c r="CF34" s="17">
        <f>'Grid_Stock'!BX29</f>
        <v/>
      </c>
      <c r="CG34" s="17">
        <f>'Grid_Stock'!BY29</f>
        <v/>
      </c>
      <c r="CH34" s="17">
        <f>'Grid_Stock'!BZ29</f>
        <v/>
      </c>
      <c r="CI34" s="17">
        <f>'Grid_Stock'!CA29</f>
        <v/>
      </c>
      <c r="CJ34" s="17">
        <f>'Grid_Stock'!CB29</f>
        <v/>
      </c>
      <c r="CK34" s="17">
        <f>'Grid_Stock'!CC29</f>
        <v/>
      </c>
      <c r="CL34" s="17">
        <f>'Grid_Stock'!CD29</f>
        <v/>
      </c>
      <c r="CM34" s="17">
        <f>'Grid_Stock'!CE29</f>
        <v/>
      </c>
      <c r="CN34" s="17">
        <f>'Grid_Stock'!CF29</f>
        <v/>
      </c>
      <c r="CO34" s="17">
        <f>'Grid_Stock'!CG29</f>
        <v/>
      </c>
      <c r="CP34" s="17">
        <f>'Grid_Stock'!CH29</f>
        <v/>
      </c>
      <c r="CQ34" s="17">
        <f>'Grid_Stock'!CI29</f>
        <v/>
      </c>
      <c r="CR34" s="17">
        <f>'Grid_Stock'!CJ29</f>
        <v/>
      </c>
      <c r="CS34" s="17">
        <f>'Grid_Stock'!CK29</f>
        <v/>
      </c>
      <c r="CT34" s="17">
        <f>'Grid_Stock'!CL29</f>
        <v/>
      </c>
      <c r="CU34" s="17">
        <f>'Grid_Stock'!CM29</f>
        <v/>
      </c>
      <c r="CV34" s="17">
        <f>'Grid_Stock'!CN29</f>
        <v/>
      </c>
      <c r="CW34" s="17">
        <f>'Grid_Stock'!CO29</f>
        <v/>
      </c>
      <c r="CX34" s="17">
        <f>'Grid_Stock'!CP29</f>
        <v/>
      </c>
      <c r="CY34" s="17">
        <f>'Grid_Stock'!CQ29</f>
        <v/>
      </c>
      <c r="CZ34" s="17">
        <f>'Grid_Stock'!CR29</f>
        <v/>
      </c>
      <c r="DA34" s="17">
        <f>'Grid_Stock'!CS29</f>
        <v/>
      </c>
      <c r="DB34" s="17">
        <f>'Grid_Stock'!CT29</f>
        <v/>
      </c>
      <c r="DC34" s="17">
        <f>'Grid_Stock'!CU29</f>
        <v/>
      </c>
      <c r="DD34" s="17">
        <f>'Grid_Stock'!CV29</f>
        <v/>
      </c>
      <c r="DE34" s="17">
        <f>'Grid_Stock'!CW29</f>
        <v/>
      </c>
      <c r="DF34" s="17">
        <f>'Grid_Stock'!CX29</f>
        <v/>
      </c>
      <c r="DG34" s="17">
        <f>'Grid_Stock'!CY29</f>
        <v/>
      </c>
      <c r="DH34" s="17">
        <f>'Grid_Stock'!CZ29</f>
        <v/>
      </c>
      <c r="DI34" s="17">
        <f>'Grid_Stock'!DA29</f>
        <v/>
      </c>
    </row>
    <row r="35">
      <c r="A35" s="15" t="inlineStr">
        <is>
          <t>CHEM-1200</t>
        </is>
      </c>
      <c r="B35" s="15">
        <f>IFERROR(INDEX(M_RawMaterials[Description],MATCH($A35,M_RawMaterials[RM_Code],0)),"")</f>
        <v/>
      </c>
      <c r="C35" s="15">
        <f>IFERROR(INDEX(M_RawMaterials[Category],MATCH($A35,M_RawMaterials[RM_Code],0)),"")</f>
        <v/>
      </c>
      <c r="D35" s="15">
        <f>IFERROR(INDEX(M_RawMaterials[SafetyStock_Qty_要入力],MATCH($A35,M_RawMaterials[RM_Code],0)),0)</f>
        <v/>
      </c>
      <c r="E35" s="15">
        <f>IFERROR(LOOKUP(2,1/(T_SelfStock!$A$2:$A$12000=$A35),T_SelfStock!$D$2:$D$12000),"")</f>
        <v/>
      </c>
      <c r="F35" s="15">
        <f>IFERROR(LOOKUP(2,1/(T_TTAFStock!$A$2:$A$12000=$A35),T_TTAFStock!$D$2:$D$12000),"")</f>
        <v/>
      </c>
      <c r="G35" s="15">
        <f>IFERROR(INDEX(Cal_Weeks[Label],LOOKUP(2,1/(T_SelfStock!$A$2:$A$12000=$A35),T_SelfStock!$B$2:$B$12000)),"")</f>
        <v/>
      </c>
      <c r="H35" s="15">
        <f>IF(MIN(J35:DI35)&lt;D35,"要発注","OK")</f>
        <v/>
      </c>
      <c r="I35" s="16">
        <f>IFERROR(INDEX(J35:DI35,$F$1),"")</f>
        <v/>
      </c>
      <c r="J35" s="15">
        <f>'Grid_Stock'!B30</f>
        <v/>
      </c>
      <c r="K35" s="15">
        <f>'Grid_Stock'!C30</f>
        <v/>
      </c>
      <c r="L35" s="15">
        <f>'Grid_Stock'!D30</f>
        <v/>
      </c>
      <c r="M35" s="15">
        <f>'Grid_Stock'!E30</f>
        <v/>
      </c>
      <c r="N35" s="15">
        <f>'Grid_Stock'!F30</f>
        <v/>
      </c>
      <c r="O35" s="15">
        <f>'Grid_Stock'!G30</f>
        <v/>
      </c>
      <c r="P35" s="15">
        <f>'Grid_Stock'!H30</f>
        <v/>
      </c>
      <c r="Q35" s="15">
        <f>'Grid_Stock'!I30</f>
        <v/>
      </c>
      <c r="R35" s="15">
        <f>'Grid_Stock'!J30</f>
        <v/>
      </c>
      <c r="S35" s="15">
        <f>'Grid_Stock'!K30</f>
        <v/>
      </c>
      <c r="T35" s="15">
        <f>'Grid_Stock'!L30</f>
        <v/>
      </c>
      <c r="U35" s="15">
        <f>'Grid_Stock'!M30</f>
        <v/>
      </c>
      <c r="V35" s="15">
        <f>'Grid_Stock'!N30</f>
        <v/>
      </c>
      <c r="W35" s="15">
        <f>'Grid_Stock'!O30</f>
        <v/>
      </c>
      <c r="X35" s="15">
        <f>'Grid_Stock'!P30</f>
        <v/>
      </c>
      <c r="Y35" s="15">
        <f>'Grid_Stock'!Q30</f>
        <v/>
      </c>
      <c r="Z35" s="15">
        <f>'Grid_Stock'!R30</f>
        <v/>
      </c>
      <c r="AA35" s="15">
        <f>'Grid_Stock'!S30</f>
        <v/>
      </c>
      <c r="AB35" s="15">
        <f>'Grid_Stock'!T30</f>
        <v/>
      </c>
      <c r="AC35" s="15">
        <f>'Grid_Stock'!U30</f>
        <v/>
      </c>
      <c r="AD35" s="15">
        <f>'Grid_Stock'!V30</f>
        <v/>
      </c>
      <c r="AE35" s="15">
        <f>'Grid_Stock'!W30</f>
        <v/>
      </c>
      <c r="AF35" s="15">
        <f>'Grid_Stock'!X30</f>
        <v/>
      </c>
      <c r="AG35" s="15">
        <f>'Grid_Stock'!Y30</f>
        <v/>
      </c>
      <c r="AH35" s="15">
        <f>'Grid_Stock'!Z30</f>
        <v/>
      </c>
      <c r="AI35" s="15">
        <f>'Grid_Stock'!AA30</f>
        <v/>
      </c>
      <c r="AJ35" s="15">
        <f>'Grid_Stock'!AB30</f>
        <v/>
      </c>
      <c r="AK35" s="15">
        <f>'Grid_Stock'!AC30</f>
        <v/>
      </c>
      <c r="AL35" s="15">
        <f>'Grid_Stock'!AD30</f>
        <v/>
      </c>
      <c r="AM35" s="15">
        <f>'Grid_Stock'!AE30</f>
        <v/>
      </c>
      <c r="AN35" s="15">
        <f>'Grid_Stock'!AF30</f>
        <v/>
      </c>
      <c r="AO35" s="15">
        <f>'Grid_Stock'!AG30</f>
        <v/>
      </c>
      <c r="AP35" s="15">
        <f>'Grid_Stock'!AH30</f>
        <v/>
      </c>
      <c r="AQ35" s="15">
        <f>'Grid_Stock'!AI30</f>
        <v/>
      </c>
      <c r="AR35" s="15">
        <f>'Grid_Stock'!AJ30</f>
        <v/>
      </c>
      <c r="AS35" s="15">
        <f>'Grid_Stock'!AK30</f>
        <v/>
      </c>
      <c r="AT35" s="15">
        <f>'Grid_Stock'!AL30</f>
        <v/>
      </c>
      <c r="AU35" s="15">
        <f>'Grid_Stock'!AM30</f>
        <v/>
      </c>
      <c r="AV35" s="15">
        <f>'Grid_Stock'!AN30</f>
        <v/>
      </c>
      <c r="AW35" s="15">
        <f>'Grid_Stock'!AO30</f>
        <v/>
      </c>
      <c r="AX35" s="15">
        <f>'Grid_Stock'!AP30</f>
        <v/>
      </c>
      <c r="AY35" s="15">
        <f>'Grid_Stock'!AQ30</f>
        <v/>
      </c>
      <c r="AZ35" s="15">
        <f>'Grid_Stock'!AR30</f>
        <v/>
      </c>
      <c r="BA35" s="15">
        <f>'Grid_Stock'!AS30</f>
        <v/>
      </c>
      <c r="BB35" s="15">
        <f>'Grid_Stock'!AT30</f>
        <v/>
      </c>
      <c r="BC35" s="15">
        <f>'Grid_Stock'!AU30</f>
        <v/>
      </c>
      <c r="BD35" s="15">
        <f>'Grid_Stock'!AV30</f>
        <v/>
      </c>
      <c r="BE35" s="15">
        <f>'Grid_Stock'!AW30</f>
        <v/>
      </c>
      <c r="BF35" s="15">
        <f>'Grid_Stock'!AX30</f>
        <v/>
      </c>
      <c r="BG35" s="15">
        <f>'Grid_Stock'!AY30</f>
        <v/>
      </c>
      <c r="BH35" s="15">
        <f>'Grid_Stock'!AZ30</f>
        <v/>
      </c>
      <c r="BI35" s="15">
        <f>'Grid_Stock'!BA30</f>
        <v/>
      </c>
      <c r="BJ35" s="15">
        <f>'Grid_Stock'!BB30</f>
        <v/>
      </c>
      <c r="BK35" s="15">
        <f>'Grid_Stock'!BC30</f>
        <v/>
      </c>
      <c r="BL35" s="15">
        <f>'Grid_Stock'!BD30</f>
        <v/>
      </c>
      <c r="BM35" s="15">
        <f>'Grid_Stock'!BE30</f>
        <v/>
      </c>
      <c r="BN35" s="15">
        <f>'Grid_Stock'!BF30</f>
        <v/>
      </c>
      <c r="BO35" s="15">
        <f>'Grid_Stock'!BG30</f>
        <v/>
      </c>
      <c r="BP35" s="15">
        <f>'Grid_Stock'!BH30</f>
        <v/>
      </c>
      <c r="BQ35" s="15">
        <f>'Grid_Stock'!BI30</f>
        <v/>
      </c>
      <c r="BR35" s="15">
        <f>'Grid_Stock'!BJ30</f>
        <v/>
      </c>
      <c r="BS35" s="15">
        <f>'Grid_Stock'!BK30</f>
        <v/>
      </c>
      <c r="BT35" s="15">
        <f>'Grid_Stock'!BL30</f>
        <v/>
      </c>
      <c r="BU35" s="15">
        <f>'Grid_Stock'!BM30</f>
        <v/>
      </c>
      <c r="BV35" s="15">
        <f>'Grid_Stock'!BN30</f>
        <v/>
      </c>
      <c r="BW35" s="15">
        <f>'Grid_Stock'!BO30</f>
        <v/>
      </c>
      <c r="BX35" s="15">
        <f>'Grid_Stock'!BP30</f>
        <v/>
      </c>
      <c r="BY35" s="15">
        <f>'Grid_Stock'!BQ30</f>
        <v/>
      </c>
      <c r="BZ35" s="15">
        <f>'Grid_Stock'!BR30</f>
        <v/>
      </c>
      <c r="CA35" s="15">
        <f>'Grid_Stock'!BS30</f>
        <v/>
      </c>
      <c r="CB35" s="15">
        <f>'Grid_Stock'!BT30</f>
        <v/>
      </c>
      <c r="CC35" s="15">
        <f>'Grid_Stock'!BU30</f>
        <v/>
      </c>
      <c r="CD35" s="15">
        <f>'Grid_Stock'!BV30</f>
        <v/>
      </c>
      <c r="CE35" s="15">
        <f>'Grid_Stock'!BW30</f>
        <v/>
      </c>
      <c r="CF35" s="15">
        <f>'Grid_Stock'!BX30</f>
        <v/>
      </c>
      <c r="CG35" s="15">
        <f>'Grid_Stock'!BY30</f>
        <v/>
      </c>
      <c r="CH35" s="15">
        <f>'Grid_Stock'!BZ30</f>
        <v/>
      </c>
      <c r="CI35" s="15">
        <f>'Grid_Stock'!CA30</f>
        <v/>
      </c>
      <c r="CJ35" s="15">
        <f>'Grid_Stock'!CB30</f>
        <v/>
      </c>
      <c r="CK35" s="15">
        <f>'Grid_Stock'!CC30</f>
        <v/>
      </c>
      <c r="CL35" s="15">
        <f>'Grid_Stock'!CD30</f>
        <v/>
      </c>
      <c r="CM35" s="15">
        <f>'Grid_Stock'!CE30</f>
        <v/>
      </c>
      <c r="CN35" s="15">
        <f>'Grid_Stock'!CF30</f>
        <v/>
      </c>
      <c r="CO35" s="15">
        <f>'Grid_Stock'!CG30</f>
        <v/>
      </c>
      <c r="CP35" s="15">
        <f>'Grid_Stock'!CH30</f>
        <v/>
      </c>
      <c r="CQ35" s="15">
        <f>'Grid_Stock'!CI30</f>
        <v/>
      </c>
      <c r="CR35" s="15">
        <f>'Grid_Stock'!CJ30</f>
        <v/>
      </c>
      <c r="CS35" s="15">
        <f>'Grid_Stock'!CK30</f>
        <v/>
      </c>
      <c r="CT35" s="15">
        <f>'Grid_Stock'!CL30</f>
        <v/>
      </c>
      <c r="CU35" s="15">
        <f>'Grid_Stock'!CM30</f>
        <v/>
      </c>
      <c r="CV35" s="15">
        <f>'Grid_Stock'!CN30</f>
        <v/>
      </c>
      <c r="CW35" s="15">
        <f>'Grid_Stock'!CO30</f>
        <v/>
      </c>
      <c r="CX35" s="15">
        <f>'Grid_Stock'!CP30</f>
        <v/>
      </c>
      <c r="CY35" s="15">
        <f>'Grid_Stock'!CQ30</f>
        <v/>
      </c>
      <c r="CZ35" s="15">
        <f>'Grid_Stock'!CR30</f>
        <v/>
      </c>
      <c r="DA35" s="15">
        <f>'Grid_Stock'!CS30</f>
        <v/>
      </c>
      <c r="DB35" s="15">
        <f>'Grid_Stock'!CT30</f>
        <v/>
      </c>
      <c r="DC35" s="15">
        <f>'Grid_Stock'!CU30</f>
        <v/>
      </c>
      <c r="DD35" s="15">
        <f>'Grid_Stock'!CV30</f>
        <v/>
      </c>
      <c r="DE35" s="15">
        <f>'Grid_Stock'!CW30</f>
        <v/>
      </c>
      <c r="DF35" s="15">
        <f>'Grid_Stock'!CX30</f>
        <v/>
      </c>
      <c r="DG35" s="15">
        <f>'Grid_Stock'!CY30</f>
        <v/>
      </c>
      <c r="DH35" s="15">
        <f>'Grid_Stock'!CZ30</f>
        <v/>
      </c>
      <c r="DI35" s="15">
        <f>'Grid_Stock'!DA30</f>
        <v/>
      </c>
    </row>
    <row r="36">
      <c r="A36" s="17" t="inlineStr">
        <is>
          <t>ABN</t>
        </is>
      </c>
      <c r="B36" s="17">
        <f>IFERROR(INDEX(M_RawMaterials[Description],MATCH($A36,M_RawMaterials[RM_Code],0)),"")</f>
        <v/>
      </c>
      <c r="C36" s="17">
        <f>IFERROR(INDEX(M_RawMaterials[Category],MATCH($A36,M_RawMaterials[RM_Code],0)),"")</f>
        <v/>
      </c>
      <c r="D36" s="17">
        <f>IFERROR(INDEX(M_RawMaterials[SafetyStock_Qty_要入力],MATCH($A36,M_RawMaterials[RM_Code],0)),0)</f>
        <v/>
      </c>
      <c r="E36" s="17">
        <f>IFERROR(LOOKUP(2,1/(T_SelfStock!$A$2:$A$12000=$A36),T_SelfStock!$D$2:$D$12000),"")</f>
        <v/>
      </c>
      <c r="F36" s="17">
        <f>IFERROR(LOOKUP(2,1/(T_TTAFStock!$A$2:$A$12000=$A36),T_TTAFStock!$D$2:$D$12000),"")</f>
        <v/>
      </c>
      <c r="G36" s="17">
        <f>IFERROR(INDEX(Cal_Weeks[Label],LOOKUP(2,1/(T_SelfStock!$A$2:$A$12000=$A36),T_SelfStock!$B$2:$B$12000)),"")</f>
        <v/>
      </c>
      <c r="H36" s="17">
        <f>IF(MIN(J36:DI36)&lt;D36,"要発注","OK")</f>
        <v/>
      </c>
      <c r="I36" s="16">
        <f>IFERROR(INDEX(J36:DI36,$F$1),"")</f>
        <v/>
      </c>
      <c r="J36" s="17">
        <f>'Grid_Stock'!B31</f>
        <v/>
      </c>
      <c r="K36" s="17">
        <f>'Grid_Stock'!C31</f>
        <v/>
      </c>
      <c r="L36" s="17">
        <f>'Grid_Stock'!D31</f>
        <v/>
      </c>
      <c r="M36" s="17">
        <f>'Grid_Stock'!E31</f>
        <v/>
      </c>
      <c r="N36" s="17">
        <f>'Grid_Stock'!F31</f>
        <v/>
      </c>
      <c r="O36" s="17">
        <f>'Grid_Stock'!G31</f>
        <v/>
      </c>
      <c r="P36" s="17">
        <f>'Grid_Stock'!H31</f>
        <v/>
      </c>
      <c r="Q36" s="17">
        <f>'Grid_Stock'!I31</f>
        <v/>
      </c>
      <c r="R36" s="17">
        <f>'Grid_Stock'!J31</f>
        <v/>
      </c>
      <c r="S36" s="17">
        <f>'Grid_Stock'!K31</f>
        <v/>
      </c>
      <c r="T36" s="17">
        <f>'Grid_Stock'!L31</f>
        <v/>
      </c>
      <c r="U36" s="17">
        <f>'Grid_Stock'!M31</f>
        <v/>
      </c>
      <c r="V36" s="17">
        <f>'Grid_Stock'!N31</f>
        <v/>
      </c>
      <c r="W36" s="17">
        <f>'Grid_Stock'!O31</f>
        <v/>
      </c>
      <c r="X36" s="17">
        <f>'Grid_Stock'!P31</f>
        <v/>
      </c>
      <c r="Y36" s="17">
        <f>'Grid_Stock'!Q31</f>
        <v/>
      </c>
      <c r="Z36" s="17">
        <f>'Grid_Stock'!R31</f>
        <v/>
      </c>
      <c r="AA36" s="17">
        <f>'Grid_Stock'!S31</f>
        <v/>
      </c>
      <c r="AB36" s="17">
        <f>'Grid_Stock'!T31</f>
        <v/>
      </c>
      <c r="AC36" s="17">
        <f>'Grid_Stock'!U31</f>
        <v/>
      </c>
      <c r="AD36" s="17">
        <f>'Grid_Stock'!V31</f>
        <v/>
      </c>
      <c r="AE36" s="17">
        <f>'Grid_Stock'!W31</f>
        <v/>
      </c>
      <c r="AF36" s="17">
        <f>'Grid_Stock'!X31</f>
        <v/>
      </c>
      <c r="AG36" s="17">
        <f>'Grid_Stock'!Y31</f>
        <v/>
      </c>
      <c r="AH36" s="17">
        <f>'Grid_Stock'!Z31</f>
        <v/>
      </c>
      <c r="AI36" s="17">
        <f>'Grid_Stock'!AA31</f>
        <v/>
      </c>
      <c r="AJ36" s="17">
        <f>'Grid_Stock'!AB31</f>
        <v/>
      </c>
      <c r="AK36" s="17">
        <f>'Grid_Stock'!AC31</f>
        <v/>
      </c>
      <c r="AL36" s="17">
        <f>'Grid_Stock'!AD31</f>
        <v/>
      </c>
      <c r="AM36" s="17">
        <f>'Grid_Stock'!AE31</f>
        <v/>
      </c>
      <c r="AN36" s="17">
        <f>'Grid_Stock'!AF31</f>
        <v/>
      </c>
      <c r="AO36" s="17">
        <f>'Grid_Stock'!AG31</f>
        <v/>
      </c>
      <c r="AP36" s="17">
        <f>'Grid_Stock'!AH31</f>
        <v/>
      </c>
      <c r="AQ36" s="17">
        <f>'Grid_Stock'!AI31</f>
        <v/>
      </c>
      <c r="AR36" s="17">
        <f>'Grid_Stock'!AJ31</f>
        <v/>
      </c>
      <c r="AS36" s="17">
        <f>'Grid_Stock'!AK31</f>
        <v/>
      </c>
      <c r="AT36" s="17">
        <f>'Grid_Stock'!AL31</f>
        <v/>
      </c>
      <c r="AU36" s="17">
        <f>'Grid_Stock'!AM31</f>
        <v/>
      </c>
      <c r="AV36" s="17">
        <f>'Grid_Stock'!AN31</f>
        <v/>
      </c>
      <c r="AW36" s="17">
        <f>'Grid_Stock'!AO31</f>
        <v/>
      </c>
      <c r="AX36" s="17">
        <f>'Grid_Stock'!AP31</f>
        <v/>
      </c>
      <c r="AY36" s="17">
        <f>'Grid_Stock'!AQ31</f>
        <v/>
      </c>
      <c r="AZ36" s="17">
        <f>'Grid_Stock'!AR31</f>
        <v/>
      </c>
      <c r="BA36" s="17">
        <f>'Grid_Stock'!AS31</f>
        <v/>
      </c>
      <c r="BB36" s="17">
        <f>'Grid_Stock'!AT31</f>
        <v/>
      </c>
      <c r="BC36" s="17">
        <f>'Grid_Stock'!AU31</f>
        <v/>
      </c>
      <c r="BD36" s="17">
        <f>'Grid_Stock'!AV31</f>
        <v/>
      </c>
      <c r="BE36" s="17">
        <f>'Grid_Stock'!AW31</f>
        <v/>
      </c>
      <c r="BF36" s="17">
        <f>'Grid_Stock'!AX31</f>
        <v/>
      </c>
      <c r="BG36" s="17">
        <f>'Grid_Stock'!AY31</f>
        <v/>
      </c>
      <c r="BH36" s="17">
        <f>'Grid_Stock'!AZ31</f>
        <v/>
      </c>
      <c r="BI36" s="17">
        <f>'Grid_Stock'!BA31</f>
        <v/>
      </c>
      <c r="BJ36" s="17">
        <f>'Grid_Stock'!BB31</f>
        <v/>
      </c>
      <c r="BK36" s="17">
        <f>'Grid_Stock'!BC31</f>
        <v/>
      </c>
      <c r="BL36" s="17">
        <f>'Grid_Stock'!BD31</f>
        <v/>
      </c>
      <c r="BM36" s="17">
        <f>'Grid_Stock'!BE31</f>
        <v/>
      </c>
      <c r="BN36" s="17">
        <f>'Grid_Stock'!BF31</f>
        <v/>
      </c>
      <c r="BO36" s="17">
        <f>'Grid_Stock'!BG31</f>
        <v/>
      </c>
      <c r="BP36" s="17">
        <f>'Grid_Stock'!BH31</f>
        <v/>
      </c>
      <c r="BQ36" s="17">
        <f>'Grid_Stock'!BI31</f>
        <v/>
      </c>
      <c r="BR36" s="17">
        <f>'Grid_Stock'!BJ31</f>
        <v/>
      </c>
      <c r="BS36" s="17">
        <f>'Grid_Stock'!BK31</f>
        <v/>
      </c>
      <c r="BT36" s="17">
        <f>'Grid_Stock'!BL31</f>
        <v/>
      </c>
      <c r="BU36" s="17">
        <f>'Grid_Stock'!BM31</f>
        <v/>
      </c>
      <c r="BV36" s="17">
        <f>'Grid_Stock'!BN31</f>
        <v/>
      </c>
      <c r="BW36" s="17">
        <f>'Grid_Stock'!BO31</f>
        <v/>
      </c>
      <c r="BX36" s="17">
        <f>'Grid_Stock'!BP31</f>
        <v/>
      </c>
      <c r="BY36" s="17">
        <f>'Grid_Stock'!BQ31</f>
        <v/>
      </c>
      <c r="BZ36" s="17">
        <f>'Grid_Stock'!BR31</f>
        <v/>
      </c>
      <c r="CA36" s="17">
        <f>'Grid_Stock'!BS31</f>
        <v/>
      </c>
      <c r="CB36" s="17">
        <f>'Grid_Stock'!BT31</f>
        <v/>
      </c>
      <c r="CC36" s="17">
        <f>'Grid_Stock'!BU31</f>
        <v/>
      </c>
      <c r="CD36" s="17">
        <f>'Grid_Stock'!BV31</f>
        <v/>
      </c>
      <c r="CE36" s="17">
        <f>'Grid_Stock'!BW31</f>
        <v/>
      </c>
      <c r="CF36" s="17">
        <f>'Grid_Stock'!BX31</f>
        <v/>
      </c>
      <c r="CG36" s="17">
        <f>'Grid_Stock'!BY31</f>
        <v/>
      </c>
      <c r="CH36" s="17">
        <f>'Grid_Stock'!BZ31</f>
        <v/>
      </c>
      <c r="CI36" s="17">
        <f>'Grid_Stock'!CA31</f>
        <v/>
      </c>
      <c r="CJ36" s="17">
        <f>'Grid_Stock'!CB31</f>
        <v/>
      </c>
      <c r="CK36" s="17">
        <f>'Grid_Stock'!CC31</f>
        <v/>
      </c>
      <c r="CL36" s="17">
        <f>'Grid_Stock'!CD31</f>
        <v/>
      </c>
      <c r="CM36" s="17">
        <f>'Grid_Stock'!CE31</f>
        <v/>
      </c>
      <c r="CN36" s="17">
        <f>'Grid_Stock'!CF31</f>
        <v/>
      </c>
      <c r="CO36" s="17">
        <f>'Grid_Stock'!CG31</f>
        <v/>
      </c>
      <c r="CP36" s="17">
        <f>'Grid_Stock'!CH31</f>
        <v/>
      </c>
      <c r="CQ36" s="17">
        <f>'Grid_Stock'!CI31</f>
        <v/>
      </c>
      <c r="CR36" s="17">
        <f>'Grid_Stock'!CJ31</f>
        <v/>
      </c>
      <c r="CS36" s="17">
        <f>'Grid_Stock'!CK31</f>
        <v/>
      </c>
      <c r="CT36" s="17">
        <f>'Grid_Stock'!CL31</f>
        <v/>
      </c>
      <c r="CU36" s="17">
        <f>'Grid_Stock'!CM31</f>
        <v/>
      </c>
      <c r="CV36" s="17">
        <f>'Grid_Stock'!CN31</f>
        <v/>
      </c>
      <c r="CW36" s="17">
        <f>'Grid_Stock'!CO31</f>
        <v/>
      </c>
      <c r="CX36" s="17">
        <f>'Grid_Stock'!CP31</f>
        <v/>
      </c>
      <c r="CY36" s="17">
        <f>'Grid_Stock'!CQ31</f>
        <v/>
      </c>
      <c r="CZ36" s="17">
        <f>'Grid_Stock'!CR31</f>
        <v/>
      </c>
      <c r="DA36" s="17">
        <f>'Grid_Stock'!CS31</f>
        <v/>
      </c>
      <c r="DB36" s="17">
        <f>'Grid_Stock'!CT31</f>
        <v/>
      </c>
      <c r="DC36" s="17">
        <f>'Grid_Stock'!CU31</f>
        <v/>
      </c>
      <c r="DD36" s="17">
        <f>'Grid_Stock'!CV31</f>
        <v/>
      </c>
      <c r="DE36" s="17">
        <f>'Grid_Stock'!CW31</f>
        <v/>
      </c>
      <c r="DF36" s="17">
        <f>'Grid_Stock'!CX31</f>
        <v/>
      </c>
      <c r="DG36" s="17">
        <f>'Grid_Stock'!CY31</f>
        <v/>
      </c>
      <c r="DH36" s="17">
        <f>'Grid_Stock'!CZ31</f>
        <v/>
      </c>
      <c r="DI36" s="17">
        <f>'Grid_Stock'!DA31</f>
        <v/>
      </c>
    </row>
    <row r="37">
      <c r="A37" s="15" t="inlineStr">
        <is>
          <t>YAN</t>
        </is>
      </c>
      <c r="B37" s="15">
        <f>IFERROR(INDEX(M_RawMaterials[Description],MATCH($A37,M_RawMaterials[RM_Code],0)),"")</f>
        <v/>
      </c>
      <c r="C37" s="15">
        <f>IFERROR(INDEX(M_RawMaterials[Category],MATCH($A37,M_RawMaterials[RM_Code],0)),"")</f>
        <v/>
      </c>
      <c r="D37" s="15">
        <f>IFERROR(INDEX(M_RawMaterials[SafetyStock_Qty_要入力],MATCH($A37,M_RawMaterials[RM_Code],0)),0)</f>
        <v/>
      </c>
      <c r="E37" s="15">
        <f>IFERROR(LOOKUP(2,1/(T_SelfStock!$A$2:$A$12000=$A37),T_SelfStock!$D$2:$D$12000),"")</f>
        <v/>
      </c>
      <c r="F37" s="15">
        <f>IFERROR(LOOKUP(2,1/(T_TTAFStock!$A$2:$A$12000=$A37),T_TTAFStock!$D$2:$D$12000),"")</f>
        <v/>
      </c>
      <c r="G37" s="15">
        <f>IFERROR(INDEX(Cal_Weeks[Label],LOOKUP(2,1/(T_SelfStock!$A$2:$A$12000=$A37),T_SelfStock!$B$2:$B$12000)),"")</f>
        <v/>
      </c>
      <c r="H37" s="15">
        <f>IF(MIN(J37:DI37)&lt;D37,"要発注","OK")</f>
        <v/>
      </c>
      <c r="I37" s="16">
        <f>IFERROR(INDEX(J37:DI37,$F$1),"")</f>
        <v/>
      </c>
      <c r="J37" s="15">
        <f>'Grid_Stock'!B32</f>
        <v/>
      </c>
      <c r="K37" s="15">
        <f>'Grid_Stock'!C32</f>
        <v/>
      </c>
      <c r="L37" s="15">
        <f>'Grid_Stock'!D32</f>
        <v/>
      </c>
      <c r="M37" s="15">
        <f>'Grid_Stock'!E32</f>
        <v/>
      </c>
      <c r="N37" s="15">
        <f>'Grid_Stock'!F32</f>
        <v/>
      </c>
      <c r="O37" s="15">
        <f>'Grid_Stock'!G32</f>
        <v/>
      </c>
      <c r="P37" s="15">
        <f>'Grid_Stock'!H32</f>
        <v/>
      </c>
      <c r="Q37" s="15">
        <f>'Grid_Stock'!I32</f>
        <v/>
      </c>
      <c r="R37" s="15">
        <f>'Grid_Stock'!J32</f>
        <v/>
      </c>
      <c r="S37" s="15">
        <f>'Grid_Stock'!K32</f>
        <v/>
      </c>
      <c r="T37" s="15">
        <f>'Grid_Stock'!L32</f>
        <v/>
      </c>
      <c r="U37" s="15">
        <f>'Grid_Stock'!M32</f>
        <v/>
      </c>
      <c r="V37" s="15">
        <f>'Grid_Stock'!N32</f>
        <v/>
      </c>
      <c r="W37" s="15">
        <f>'Grid_Stock'!O32</f>
        <v/>
      </c>
      <c r="X37" s="15">
        <f>'Grid_Stock'!P32</f>
        <v/>
      </c>
      <c r="Y37" s="15">
        <f>'Grid_Stock'!Q32</f>
        <v/>
      </c>
      <c r="Z37" s="15">
        <f>'Grid_Stock'!R32</f>
        <v/>
      </c>
      <c r="AA37" s="15">
        <f>'Grid_Stock'!S32</f>
        <v/>
      </c>
      <c r="AB37" s="15">
        <f>'Grid_Stock'!T32</f>
        <v/>
      </c>
      <c r="AC37" s="15">
        <f>'Grid_Stock'!U32</f>
        <v/>
      </c>
      <c r="AD37" s="15">
        <f>'Grid_Stock'!V32</f>
        <v/>
      </c>
      <c r="AE37" s="15">
        <f>'Grid_Stock'!W32</f>
        <v/>
      </c>
      <c r="AF37" s="15">
        <f>'Grid_Stock'!X32</f>
        <v/>
      </c>
      <c r="AG37" s="15">
        <f>'Grid_Stock'!Y32</f>
        <v/>
      </c>
      <c r="AH37" s="15">
        <f>'Grid_Stock'!Z32</f>
        <v/>
      </c>
      <c r="AI37" s="15">
        <f>'Grid_Stock'!AA32</f>
        <v/>
      </c>
      <c r="AJ37" s="15">
        <f>'Grid_Stock'!AB32</f>
        <v/>
      </c>
      <c r="AK37" s="15">
        <f>'Grid_Stock'!AC32</f>
        <v/>
      </c>
      <c r="AL37" s="15">
        <f>'Grid_Stock'!AD32</f>
        <v/>
      </c>
      <c r="AM37" s="15">
        <f>'Grid_Stock'!AE32</f>
        <v/>
      </c>
      <c r="AN37" s="15">
        <f>'Grid_Stock'!AF32</f>
        <v/>
      </c>
      <c r="AO37" s="15">
        <f>'Grid_Stock'!AG32</f>
        <v/>
      </c>
      <c r="AP37" s="15">
        <f>'Grid_Stock'!AH32</f>
        <v/>
      </c>
      <c r="AQ37" s="15">
        <f>'Grid_Stock'!AI32</f>
        <v/>
      </c>
      <c r="AR37" s="15">
        <f>'Grid_Stock'!AJ32</f>
        <v/>
      </c>
      <c r="AS37" s="15">
        <f>'Grid_Stock'!AK32</f>
        <v/>
      </c>
      <c r="AT37" s="15">
        <f>'Grid_Stock'!AL32</f>
        <v/>
      </c>
      <c r="AU37" s="15">
        <f>'Grid_Stock'!AM32</f>
        <v/>
      </c>
      <c r="AV37" s="15">
        <f>'Grid_Stock'!AN32</f>
        <v/>
      </c>
      <c r="AW37" s="15">
        <f>'Grid_Stock'!AO32</f>
        <v/>
      </c>
      <c r="AX37" s="15">
        <f>'Grid_Stock'!AP32</f>
        <v/>
      </c>
      <c r="AY37" s="15">
        <f>'Grid_Stock'!AQ32</f>
        <v/>
      </c>
      <c r="AZ37" s="15">
        <f>'Grid_Stock'!AR32</f>
        <v/>
      </c>
      <c r="BA37" s="15">
        <f>'Grid_Stock'!AS32</f>
        <v/>
      </c>
      <c r="BB37" s="15">
        <f>'Grid_Stock'!AT32</f>
        <v/>
      </c>
      <c r="BC37" s="15">
        <f>'Grid_Stock'!AU32</f>
        <v/>
      </c>
      <c r="BD37" s="15">
        <f>'Grid_Stock'!AV32</f>
        <v/>
      </c>
      <c r="BE37" s="15">
        <f>'Grid_Stock'!AW32</f>
        <v/>
      </c>
      <c r="BF37" s="15">
        <f>'Grid_Stock'!AX32</f>
        <v/>
      </c>
      <c r="BG37" s="15">
        <f>'Grid_Stock'!AY32</f>
        <v/>
      </c>
      <c r="BH37" s="15">
        <f>'Grid_Stock'!AZ32</f>
        <v/>
      </c>
      <c r="BI37" s="15">
        <f>'Grid_Stock'!BA32</f>
        <v/>
      </c>
      <c r="BJ37" s="15">
        <f>'Grid_Stock'!BB32</f>
        <v/>
      </c>
      <c r="BK37" s="15">
        <f>'Grid_Stock'!BC32</f>
        <v/>
      </c>
      <c r="BL37" s="15">
        <f>'Grid_Stock'!BD32</f>
        <v/>
      </c>
      <c r="BM37" s="15">
        <f>'Grid_Stock'!BE32</f>
        <v/>
      </c>
      <c r="BN37" s="15">
        <f>'Grid_Stock'!BF32</f>
        <v/>
      </c>
      <c r="BO37" s="15">
        <f>'Grid_Stock'!BG32</f>
        <v/>
      </c>
      <c r="BP37" s="15">
        <f>'Grid_Stock'!BH32</f>
        <v/>
      </c>
      <c r="BQ37" s="15">
        <f>'Grid_Stock'!BI32</f>
        <v/>
      </c>
      <c r="BR37" s="15">
        <f>'Grid_Stock'!BJ32</f>
        <v/>
      </c>
      <c r="BS37" s="15">
        <f>'Grid_Stock'!BK32</f>
        <v/>
      </c>
      <c r="BT37" s="15">
        <f>'Grid_Stock'!BL32</f>
        <v/>
      </c>
      <c r="BU37" s="15">
        <f>'Grid_Stock'!BM32</f>
        <v/>
      </c>
      <c r="BV37" s="15">
        <f>'Grid_Stock'!BN32</f>
        <v/>
      </c>
      <c r="BW37" s="15">
        <f>'Grid_Stock'!BO32</f>
        <v/>
      </c>
      <c r="BX37" s="15">
        <f>'Grid_Stock'!BP32</f>
        <v/>
      </c>
      <c r="BY37" s="15">
        <f>'Grid_Stock'!BQ32</f>
        <v/>
      </c>
      <c r="BZ37" s="15">
        <f>'Grid_Stock'!BR32</f>
        <v/>
      </c>
      <c r="CA37" s="15">
        <f>'Grid_Stock'!BS32</f>
        <v/>
      </c>
      <c r="CB37" s="15">
        <f>'Grid_Stock'!BT32</f>
        <v/>
      </c>
      <c r="CC37" s="15">
        <f>'Grid_Stock'!BU32</f>
        <v/>
      </c>
      <c r="CD37" s="15">
        <f>'Grid_Stock'!BV32</f>
        <v/>
      </c>
      <c r="CE37" s="15">
        <f>'Grid_Stock'!BW32</f>
        <v/>
      </c>
      <c r="CF37" s="15">
        <f>'Grid_Stock'!BX32</f>
        <v/>
      </c>
      <c r="CG37" s="15">
        <f>'Grid_Stock'!BY32</f>
        <v/>
      </c>
      <c r="CH37" s="15">
        <f>'Grid_Stock'!BZ32</f>
        <v/>
      </c>
      <c r="CI37" s="15">
        <f>'Grid_Stock'!CA32</f>
        <v/>
      </c>
      <c r="CJ37" s="15">
        <f>'Grid_Stock'!CB32</f>
        <v/>
      </c>
      <c r="CK37" s="15">
        <f>'Grid_Stock'!CC32</f>
        <v/>
      </c>
      <c r="CL37" s="15">
        <f>'Grid_Stock'!CD32</f>
        <v/>
      </c>
      <c r="CM37" s="15">
        <f>'Grid_Stock'!CE32</f>
        <v/>
      </c>
      <c r="CN37" s="15">
        <f>'Grid_Stock'!CF32</f>
        <v/>
      </c>
      <c r="CO37" s="15">
        <f>'Grid_Stock'!CG32</f>
        <v/>
      </c>
      <c r="CP37" s="15">
        <f>'Grid_Stock'!CH32</f>
        <v/>
      </c>
      <c r="CQ37" s="15">
        <f>'Grid_Stock'!CI32</f>
        <v/>
      </c>
      <c r="CR37" s="15">
        <f>'Grid_Stock'!CJ32</f>
        <v/>
      </c>
      <c r="CS37" s="15">
        <f>'Grid_Stock'!CK32</f>
        <v/>
      </c>
      <c r="CT37" s="15">
        <f>'Grid_Stock'!CL32</f>
        <v/>
      </c>
      <c r="CU37" s="15">
        <f>'Grid_Stock'!CM32</f>
        <v/>
      </c>
      <c r="CV37" s="15">
        <f>'Grid_Stock'!CN32</f>
        <v/>
      </c>
      <c r="CW37" s="15">
        <f>'Grid_Stock'!CO32</f>
        <v/>
      </c>
      <c r="CX37" s="15">
        <f>'Grid_Stock'!CP32</f>
        <v/>
      </c>
      <c r="CY37" s="15">
        <f>'Grid_Stock'!CQ32</f>
        <v/>
      </c>
      <c r="CZ37" s="15">
        <f>'Grid_Stock'!CR32</f>
        <v/>
      </c>
      <c r="DA37" s="15">
        <f>'Grid_Stock'!CS32</f>
        <v/>
      </c>
      <c r="DB37" s="15">
        <f>'Grid_Stock'!CT32</f>
        <v/>
      </c>
      <c r="DC37" s="15">
        <f>'Grid_Stock'!CU32</f>
        <v/>
      </c>
      <c r="DD37" s="15">
        <f>'Grid_Stock'!CV32</f>
        <v/>
      </c>
      <c r="DE37" s="15">
        <f>'Grid_Stock'!CW32</f>
        <v/>
      </c>
      <c r="DF37" s="15">
        <f>'Grid_Stock'!CX32</f>
        <v/>
      </c>
      <c r="DG37" s="15">
        <f>'Grid_Stock'!CY32</f>
        <v/>
      </c>
      <c r="DH37" s="15">
        <f>'Grid_Stock'!CZ32</f>
        <v/>
      </c>
      <c r="DI37" s="15">
        <f>'Grid_Stock'!DA32</f>
        <v/>
      </c>
    </row>
    <row r="38">
      <c r="A38" s="17" t="inlineStr">
        <is>
          <t>KEJ</t>
        </is>
      </c>
      <c r="B38" s="17">
        <f>IFERROR(INDEX(M_RawMaterials[Description],MATCH($A38,M_RawMaterials[RM_Code],0)),"")</f>
        <v/>
      </c>
      <c r="C38" s="17">
        <f>IFERROR(INDEX(M_RawMaterials[Category],MATCH($A38,M_RawMaterials[RM_Code],0)),"")</f>
        <v/>
      </c>
      <c r="D38" s="17">
        <f>IFERROR(INDEX(M_RawMaterials[SafetyStock_Qty_要入力],MATCH($A38,M_RawMaterials[RM_Code],0)),0)</f>
        <v/>
      </c>
      <c r="E38" s="17">
        <f>IFERROR(LOOKUP(2,1/(T_SelfStock!$A$2:$A$12000=$A38),T_SelfStock!$D$2:$D$12000),"")</f>
        <v/>
      </c>
      <c r="F38" s="17">
        <f>IFERROR(LOOKUP(2,1/(T_TTAFStock!$A$2:$A$12000=$A38),T_TTAFStock!$D$2:$D$12000),"")</f>
        <v/>
      </c>
      <c r="G38" s="17">
        <f>IFERROR(INDEX(Cal_Weeks[Label],LOOKUP(2,1/(T_SelfStock!$A$2:$A$12000=$A38),T_SelfStock!$B$2:$B$12000)),"")</f>
        <v/>
      </c>
      <c r="H38" s="17">
        <f>IF(MIN(J38:DI38)&lt;D38,"要発注","OK")</f>
        <v/>
      </c>
      <c r="I38" s="16">
        <f>IFERROR(INDEX(J38:DI38,$F$1),"")</f>
        <v/>
      </c>
      <c r="J38" s="17">
        <f>'Grid_Stock'!B33</f>
        <v/>
      </c>
      <c r="K38" s="17">
        <f>'Grid_Stock'!C33</f>
        <v/>
      </c>
      <c r="L38" s="17">
        <f>'Grid_Stock'!D33</f>
        <v/>
      </c>
      <c r="M38" s="17">
        <f>'Grid_Stock'!E33</f>
        <v/>
      </c>
      <c r="N38" s="17">
        <f>'Grid_Stock'!F33</f>
        <v/>
      </c>
      <c r="O38" s="17">
        <f>'Grid_Stock'!G33</f>
        <v/>
      </c>
      <c r="P38" s="17">
        <f>'Grid_Stock'!H33</f>
        <v/>
      </c>
      <c r="Q38" s="17">
        <f>'Grid_Stock'!I33</f>
        <v/>
      </c>
      <c r="R38" s="17">
        <f>'Grid_Stock'!J33</f>
        <v/>
      </c>
      <c r="S38" s="17">
        <f>'Grid_Stock'!K33</f>
        <v/>
      </c>
      <c r="T38" s="17">
        <f>'Grid_Stock'!L33</f>
        <v/>
      </c>
      <c r="U38" s="17">
        <f>'Grid_Stock'!M33</f>
        <v/>
      </c>
      <c r="V38" s="17">
        <f>'Grid_Stock'!N33</f>
        <v/>
      </c>
      <c r="W38" s="17">
        <f>'Grid_Stock'!O33</f>
        <v/>
      </c>
      <c r="X38" s="17">
        <f>'Grid_Stock'!P33</f>
        <v/>
      </c>
      <c r="Y38" s="17">
        <f>'Grid_Stock'!Q33</f>
        <v/>
      </c>
      <c r="Z38" s="17">
        <f>'Grid_Stock'!R33</f>
        <v/>
      </c>
      <c r="AA38" s="17">
        <f>'Grid_Stock'!S33</f>
        <v/>
      </c>
      <c r="AB38" s="17">
        <f>'Grid_Stock'!T33</f>
        <v/>
      </c>
      <c r="AC38" s="17">
        <f>'Grid_Stock'!U33</f>
        <v/>
      </c>
      <c r="AD38" s="17">
        <f>'Grid_Stock'!V33</f>
        <v/>
      </c>
      <c r="AE38" s="17">
        <f>'Grid_Stock'!W33</f>
        <v/>
      </c>
      <c r="AF38" s="17">
        <f>'Grid_Stock'!X33</f>
        <v/>
      </c>
      <c r="AG38" s="17">
        <f>'Grid_Stock'!Y33</f>
        <v/>
      </c>
      <c r="AH38" s="17">
        <f>'Grid_Stock'!Z33</f>
        <v/>
      </c>
      <c r="AI38" s="17">
        <f>'Grid_Stock'!AA33</f>
        <v/>
      </c>
      <c r="AJ38" s="17">
        <f>'Grid_Stock'!AB33</f>
        <v/>
      </c>
      <c r="AK38" s="17">
        <f>'Grid_Stock'!AC33</f>
        <v/>
      </c>
      <c r="AL38" s="17">
        <f>'Grid_Stock'!AD33</f>
        <v/>
      </c>
      <c r="AM38" s="17">
        <f>'Grid_Stock'!AE33</f>
        <v/>
      </c>
      <c r="AN38" s="17">
        <f>'Grid_Stock'!AF33</f>
        <v/>
      </c>
      <c r="AO38" s="17">
        <f>'Grid_Stock'!AG33</f>
        <v/>
      </c>
      <c r="AP38" s="17">
        <f>'Grid_Stock'!AH33</f>
        <v/>
      </c>
      <c r="AQ38" s="17">
        <f>'Grid_Stock'!AI33</f>
        <v/>
      </c>
      <c r="AR38" s="17">
        <f>'Grid_Stock'!AJ33</f>
        <v/>
      </c>
      <c r="AS38" s="17">
        <f>'Grid_Stock'!AK33</f>
        <v/>
      </c>
      <c r="AT38" s="17">
        <f>'Grid_Stock'!AL33</f>
        <v/>
      </c>
      <c r="AU38" s="17">
        <f>'Grid_Stock'!AM33</f>
        <v/>
      </c>
      <c r="AV38" s="17">
        <f>'Grid_Stock'!AN33</f>
        <v/>
      </c>
      <c r="AW38" s="17">
        <f>'Grid_Stock'!AO33</f>
        <v/>
      </c>
      <c r="AX38" s="17">
        <f>'Grid_Stock'!AP33</f>
        <v/>
      </c>
      <c r="AY38" s="17">
        <f>'Grid_Stock'!AQ33</f>
        <v/>
      </c>
      <c r="AZ38" s="17">
        <f>'Grid_Stock'!AR33</f>
        <v/>
      </c>
      <c r="BA38" s="17">
        <f>'Grid_Stock'!AS33</f>
        <v/>
      </c>
      <c r="BB38" s="17">
        <f>'Grid_Stock'!AT33</f>
        <v/>
      </c>
      <c r="BC38" s="17">
        <f>'Grid_Stock'!AU33</f>
        <v/>
      </c>
      <c r="BD38" s="17">
        <f>'Grid_Stock'!AV33</f>
        <v/>
      </c>
      <c r="BE38" s="17">
        <f>'Grid_Stock'!AW33</f>
        <v/>
      </c>
      <c r="BF38" s="17">
        <f>'Grid_Stock'!AX33</f>
        <v/>
      </c>
      <c r="BG38" s="17">
        <f>'Grid_Stock'!AY33</f>
        <v/>
      </c>
      <c r="BH38" s="17">
        <f>'Grid_Stock'!AZ33</f>
        <v/>
      </c>
      <c r="BI38" s="17">
        <f>'Grid_Stock'!BA33</f>
        <v/>
      </c>
      <c r="BJ38" s="17">
        <f>'Grid_Stock'!BB33</f>
        <v/>
      </c>
      <c r="BK38" s="17">
        <f>'Grid_Stock'!BC33</f>
        <v/>
      </c>
      <c r="BL38" s="17">
        <f>'Grid_Stock'!BD33</f>
        <v/>
      </c>
      <c r="BM38" s="17">
        <f>'Grid_Stock'!BE33</f>
        <v/>
      </c>
      <c r="BN38" s="17">
        <f>'Grid_Stock'!BF33</f>
        <v/>
      </c>
      <c r="BO38" s="17">
        <f>'Grid_Stock'!BG33</f>
        <v/>
      </c>
      <c r="BP38" s="17">
        <f>'Grid_Stock'!BH33</f>
        <v/>
      </c>
      <c r="BQ38" s="17">
        <f>'Grid_Stock'!BI33</f>
        <v/>
      </c>
      <c r="BR38" s="17">
        <f>'Grid_Stock'!BJ33</f>
        <v/>
      </c>
      <c r="BS38" s="17">
        <f>'Grid_Stock'!BK33</f>
        <v/>
      </c>
      <c r="BT38" s="17">
        <f>'Grid_Stock'!BL33</f>
        <v/>
      </c>
      <c r="BU38" s="17">
        <f>'Grid_Stock'!BM33</f>
        <v/>
      </c>
      <c r="BV38" s="17">
        <f>'Grid_Stock'!BN33</f>
        <v/>
      </c>
      <c r="BW38" s="17">
        <f>'Grid_Stock'!BO33</f>
        <v/>
      </c>
      <c r="BX38" s="17">
        <f>'Grid_Stock'!BP33</f>
        <v/>
      </c>
      <c r="BY38" s="17">
        <f>'Grid_Stock'!BQ33</f>
        <v/>
      </c>
      <c r="BZ38" s="17">
        <f>'Grid_Stock'!BR33</f>
        <v/>
      </c>
      <c r="CA38" s="17">
        <f>'Grid_Stock'!BS33</f>
        <v/>
      </c>
      <c r="CB38" s="17">
        <f>'Grid_Stock'!BT33</f>
        <v/>
      </c>
      <c r="CC38" s="17">
        <f>'Grid_Stock'!BU33</f>
        <v/>
      </c>
      <c r="CD38" s="17">
        <f>'Grid_Stock'!BV33</f>
        <v/>
      </c>
      <c r="CE38" s="17">
        <f>'Grid_Stock'!BW33</f>
        <v/>
      </c>
      <c r="CF38" s="17">
        <f>'Grid_Stock'!BX33</f>
        <v/>
      </c>
      <c r="CG38" s="17">
        <f>'Grid_Stock'!BY33</f>
        <v/>
      </c>
      <c r="CH38" s="17">
        <f>'Grid_Stock'!BZ33</f>
        <v/>
      </c>
      <c r="CI38" s="17">
        <f>'Grid_Stock'!CA33</f>
        <v/>
      </c>
      <c r="CJ38" s="17">
        <f>'Grid_Stock'!CB33</f>
        <v/>
      </c>
      <c r="CK38" s="17">
        <f>'Grid_Stock'!CC33</f>
        <v/>
      </c>
      <c r="CL38" s="17">
        <f>'Grid_Stock'!CD33</f>
        <v/>
      </c>
      <c r="CM38" s="17">
        <f>'Grid_Stock'!CE33</f>
        <v/>
      </c>
      <c r="CN38" s="17">
        <f>'Grid_Stock'!CF33</f>
        <v/>
      </c>
      <c r="CO38" s="17">
        <f>'Grid_Stock'!CG33</f>
        <v/>
      </c>
      <c r="CP38" s="17">
        <f>'Grid_Stock'!CH33</f>
        <v/>
      </c>
      <c r="CQ38" s="17">
        <f>'Grid_Stock'!CI33</f>
        <v/>
      </c>
      <c r="CR38" s="17">
        <f>'Grid_Stock'!CJ33</f>
        <v/>
      </c>
      <c r="CS38" s="17">
        <f>'Grid_Stock'!CK33</f>
        <v/>
      </c>
      <c r="CT38" s="17">
        <f>'Grid_Stock'!CL33</f>
        <v/>
      </c>
      <c r="CU38" s="17">
        <f>'Grid_Stock'!CM33</f>
        <v/>
      </c>
      <c r="CV38" s="17">
        <f>'Grid_Stock'!CN33</f>
        <v/>
      </c>
      <c r="CW38" s="17">
        <f>'Grid_Stock'!CO33</f>
        <v/>
      </c>
      <c r="CX38" s="17">
        <f>'Grid_Stock'!CP33</f>
        <v/>
      </c>
      <c r="CY38" s="17">
        <f>'Grid_Stock'!CQ33</f>
        <v/>
      </c>
      <c r="CZ38" s="17">
        <f>'Grid_Stock'!CR33</f>
        <v/>
      </c>
      <c r="DA38" s="17">
        <f>'Grid_Stock'!CS33</f>
        <v/>
      </c>
      <c r="DB38" s="17">
        <f>'Grid_Stock'!CT33</f>
        <v/>
      </c>
      <c r="DC38" s="17">
        <f>'Grid_Stock'!CU33</f>
        <v/>
      </c>
      <c r="DD38" s="17">
        <f>'Grid_Stock'!CV33</f>
        <v/>
      </c>
      <c r="DE38" s="17">
        <f>'Grid_Stock'!CW33</f>
        <v/>
      </c>
      <c r="DF38" s="17">
        <f>'Grid_Stock'!CX33</f>
        <v/>
      </c>
      <c r="DG38" s="17">
        <f>'Grid_Stock'!CY33</f>
        <v/>
      </c>
      <c r="DH38" s="17">
        <f>'Grid_Stock'!CZ33</f>
        <v/>
      </c>
      <c r="DI38" s="17">
        <f>'Grid_Stock'!DA33</f>
        <v/>
      </c>
    </row>
    <row r="39">
      <c r="A39" s="15" t="inlineStr">
        <is>
          <t>JEJ</t>
        </is>
      </c>
      <c r="B39" s="15">
        <f>IFERROR(INDEX(M_RawMaterials[Description],MATCH($A39,M_RawMaterials[RM_Code],0)),"")</f>
        <v/>
      </c>
      <c r="C39" s="15">
        <f>IFERROR(INDEX(M_RawMaterials[Category],MATCH($A39,M_RawMaterials[RM_Code],0)),"")</f>
        <v/>
      </c>
      <c r="D39" s="15">
        <f>IFERROR(INDEX(M_RawMaterials[SafetyStock_Qty_要入力],MATCH($A39,M_RawMaterials[RM_Code],0)),0)</f>
        <v/>
      </c>
      <c r="E39" s="15">
        <f>IFERROR(LOOKUP(2,1/(T_SelfStock!$A$2:$A$12000=$A39),T_SelfStock!$D$2:$D$12000),"")</f>
        <v/>
      </c>
      <c r="F39" s="15">
        <f>IFERROR(LOOKUP(2,1/(T_TTAFStock!$A$2:$A$12000=$A39),T_TTAFStock!$D$2:$D$12000),"")</f>
        <v/>
      </c>
      <c r="G39" s="15">
        <f>IFERROR(INDEX(Cal_Weeks[Label],LOOKUP(2,1/(T_SelfStock!$A$2:$A$12000=$A39),T_SelfStock!$B$2:$B$12000)),"")</f>
        <v/>
      </c>
      <c r="H39" s="15">
        <f>IF(MIN(J39:DI39)&lt;D39,"要発注","OK")</f>
        <v/>
      </c>
      <c r="I39" s="16">
        <f>IFERROR(INDEX(J39:DI39,$F$1),"")</f>
        <v/>
      </c>
      <c r="J39" s="15">
        <f>'Grid_Stock'!B34</f>
        <v/>
      </c>
      <c r="K39" s="15">
        <f>'Grid_Stock'!C34</f>
        <v/>
      </c>
      <c r="L39" s="15">
        <f>'Grid_Stock'!D34</f>
        <v/>
      </c>
      <c r="M39" s="15">
        <f>'Grid_Stock'!E34</f>
        <v/>
      </c>
      <c r="N39" s="15">
        <f>'Grid_Stock'!F34</f>
        <v/>
      </c>
      <c r="O39" s="15">
        <f>'Grid_Stock'!G34</f>
        <v/>
      </c>
      <c r="P39" s="15">
        <f>'Grid_Stock'!H34</f>
        <v/>
      </c>
      <c r="Q39" s="15">
        <f>'Grid_Stock'!I34</f>
        <v/>
      </c>
      <c r="R39" s="15">
        <f>'Grid_Stock'!J34</f>
        <v/>
      </c>
      <c r="S39" s="15">
        <f>'Grid_Stock'!K34</f>
        <v/>
      </c>
      <c r="T39" s="15">
        <f>'Grid_Stock'!L34</f>
        <v/>
      </c>
      <c r="U39" s="15">
        <f>'Grid_Stock'!M34</f>
        <v/>
      </c>
      <c r="V39" s="15">
        <f>'Grid_Stock'!N34</f>
        <v/>
      </c>
      <c r="W39" s="15">
        <f>'Grid_Stock'!O34</f>
        <v/>
      </c>
      <c r="X39" s="15">
        <f>'Grid_Stock'!P34</f>
        <v/>
      </c>
      <c r="Y39" s="15">
        <f>'Grid_Stock'!Q34</f>
        <v/>
      </c>
      <c r="Z39" s="15">
        <f>'Grid_Stock'!R34</f>
        <v/>
      </c>
      <c r="AA39" s="15">
        <f>'Grid_Stock'!S34</f>
        <v/>
      </c>
      <c r="AB39" s="15">
        <f>'Grid_Stock'!T34</f>
        <v/>
      </c>
      <c r="AC39" s="15">
        <f>'Grid_Stock'!U34</f>
        <v/>
      </c>
      <c r="AD39" s="15">
        <f>'Grid_Stock'!V34</f>
        <v/>
      </c>
      <c r="AE39" s="15">
        <f>'Grid_Stock'!W34</f>
        <v/>
      </c>
      <c r="AF39" s="15">
        <f>'Grid_Stock'!X34</f>
        <v/>
      </c>
      <c r="AG39" s="15">
        <f>'Grid_Stock'!Y34</f>
        <v/>
      </c>
      <c r="AH39" s="15">
        <f>'Grid_Stock'!Z34</f>
        <v/>
      </c>
      <c r="AI39" s="15">
        <f>'Grid_Stock'!AA34</f>
        <v/>
      </c>
      <c r="AJ39" s="15">
        <f>'Grid_Stock'!AB34</f>
        <v/>
      </c>
      <c r="AK39" s="15">
        <f>'Grid_Stock'!AC34</f>
        <v/>
      </c>
      <c r="AL39" s="15">
        <f>'Grid_Stock'!AD34</f>
        <v/>
      </c>
      <c r="AM39" s="15">
        <f>'Grid_Stock'!AE34</f>
        <v/>
      </c>
      <c r="AN39" s="15">
        <f>'Grid_Stock'!AF34</f>
        <v/>
      </c>
      <c r="AO39" s="15">
        <f>'Grid_Stock'!AG34</f>
        <v/>
      </c>
      <c r="AP39" s="15">
        <f>'Grid_Stock'!AH34</f>
        <v/>
      </c>
      <c r="AQ39" s="15">
        <f>'Grid_Stock'!AI34</f>
        <v/>
      </c>
      <c r="AR39" s="15">
        <f>'Grid_Stock'!AJ34</f>
        <v/>
      </c>
      <c r="AS39" s="15">
        <f>'Grid_Stock'!AK34</f>
        <v/>
      </c>
      <c r="AT39" s="15">
        <f>'Grid_Stock'!AL34</f>
        <v/>
      </c>
      <c r="AU39" s="15">
        <f>'Grid_Stock'!AM34</f>
        <v/>
      </c>
      <c r="AV39" s="15">
        <f>'Grid_Stock'!AN34</f>
        <v/>
      </c>
      <c r="AW39" s="15">
        <f>'Grid_Stock'!AO34</f>
        <v/>
      </c>
      <c r="AX39" s="15">
        <f>'Grid_Stock'!AP34</f>
        <v/>
      </c>
      <c r="AY39" s="15">
        <f>'Grid_Stock'!AQ34</f>
        <v/>
      </c>
      <c r="AZ39" s="15">
        <f>'Grid_Stock'!AR34</f>
        <v/>
      </c>
      <c r="BA39" s="15">
        <f>'Grid_Stock'!AS34</f>
        <v/>
      </c>
      <c r="BB39" s="15">
        <f>'Grid_Stock'!AT34</f>
        <v/>
      </c>
      <c r="BC39" s="15">
        <f>'Grid_Stock'!AU34</f>
        <v/>
      </c>
      <c r="BD39" s="15">
        <f>'Grid_Stock'!AV34</f>
        <v/>
      </c>
      <c r="BE39" s="15">
        <f>'Grid_Stock'!AW34</f>
        <v/>
      </c>
      <c r="BF39" s="15">
        <f>'Grid_Stock'!AX34</f>
        <v/>
      </c>
      <c r="BG39" s="15">
        <f>'Grid_Stock'!AY34</f>
        <v/>
      </c>
      <c r="BH39" s="15">
        <f>'Grid_Stock'!AZ34</f>
        <v/>
      </c>
      <c r="BI39" s="15">
        <f>'Grid_Stock'!BA34</f>
        <v/>
      </c>
      <c r="BJ39" s="15">
        <f>'Grid_Stock'!BB34</f>
        <v/>
      </c>
      <c r="BK39" s="15">
        <f>'Grid_Stock'!BC34</f>
        <v/>
      </c>
      <c r="BL39" s="15">
        <f>'Grid_Stock'!BD34</f>
        <v/>
      </c>
      <c r="BM39" s="15">
        <f>'Grid_Stock'!BE34</f>
        <v/>
      </c>
      <c r="BN39" s="15">
        <f>'Grid_Stock'!BF34</f>
        <v/>
      </c>
      <c r="BO39" s="15">
        <f>'Grid_Stock'!BG34</f>
        <v/>
      </c>
      <c r="BP39" s="15">
        <f>'Grid_Stock'!BH34</f>
        <v/>
      </c>
      <c r="BQ39" s="15">
        <f>'Grid_Stock'!BI34</f>
        <v/>
      </c>
      <c r="BR39" s="15">
        <f>'Grid_Stock'!BJ34</f>
        <v/>
      </c>
      <c r="BS39" s="15">
        <f>'Grid_Stock'!BK34</f>
        <v/>
      </c>
      <c r="BT39" s="15">
        <f>'Grid_Stock'!BL34</f>
        <v/>
      </c>
      <c r="BU39" s="15">
        <f>'Grid_Stock'!BM34</f>
        <v/>
      </c>
      <c r="BV39" s="15">
        <f>'Grid_Stock'!BN34</f>
        <v/>
      </c>
      <c r="BW39" s="15">
        <f>'Grid_Stock'!BO34</f>
        <v/>
      </c>
      <c r="BX39" s="15">
        <f>'Grid_Stock'!BP34</f>
        <v/>
      </c>
      <c r="BY39" s="15">
        <f>'Grid_Stock'!BQ34</f>
        <v/>
      </c>
      <c r="BZ39" s="15">
        <f>'Grid_Stock'!BR34</f>
        <v/>
      </c>
      <c r="CA39" s="15">
        <f>'Grid_Stock'!BS34</f>
        <v/>
      </c>
      <c r="CB39" s="15">
        <f>'Grid_Stock'!BT34</f>
        <v/>
      </c>
      <c r="CC39" s="15">
        <f>'Grid_Stock'!BU34</f>
        <v/>
      </c>
      <c r="CD39" s="15">
        <f>'Grid_Stock'!BV34</f>
        <v/>
      </c>
      <c r="CE39" s="15">
        <f>'Grid_Stock'!BW34</f>
        <v/>
      </c>
      <c r="CF39" s="15">
        <f>'Grid_Stock'!BX34</f>
        <v/>
      </c>
      <c r="CG39" s="15">
        <f>'Grid_Stock'!BY34</f>
        <v/>
      </c>
      <c r="CH39" s="15">
        <f>'Grid_Stock'!BZ34</f>
        <v/>
      </c>
      <c r="CI39" s="15">
        <f>'Grid_Stock'!CA34</f>
        <v/>
      </c>
      <c r="CJ39" s="15">
        <f>'Grid_Stock'!CB34</f>
        <v/>
      </c>
      <c r="CK39" s="15">
        <f>'Grid_Stock'!CC34</f>
        <v/>
      </c>
      <c r="CL39" s="15">
        <f>'Grid_Stock'!CD34</f>
        <v/>
      </c>
      <c r="CM39" s="15">
        <f>'Grid_Stock'!CE34</f>
        <v/>
      </c>
      <c r="CN39" s="15">
        <f>'Grid_Stock'!CF34</f>
        <v/>
      </c>
      <c r="CO39" s="15">
        <f>'Grid_Stock'!CG34</f>
        <v/>
      </c>
      <c r="CP39" s="15">
        <f>'Grid_Stock'!CH34</f>
        <v/>
      </c>
      <c r="CQ39" s="15">
        <f>'Grid_Stock'!CI34</f>
        <v/>
      </c>
      <c r="CR39" s="15">
        <f>'Grid_Stock'!CJ34</f>
        <v/>
      </c>
      <c r="CS39" s="15">
        <f>'Grid_Stock'!CK34</f>
        <v/>
      </c>
      <c r="CT39" s="15">
        <f>'Grid_Stock'!CL34</f>
        <v/>
      </c>
      <c r="CU39" s="15">
        <f>'Grid_Stock'!CM34</f>
        <v/>
      </c>
      <c r="CV39" s="15">
        <f>'Grid_Stock'!CN34</f>
        <v/>
      </c>
      <c r="CW39" s="15">
        <f>'Grid_Stock'!CO34</f>
        <v/>
      </c>
      <c r="CX39" s="15">
        <f>'Grid_Stock'!CP34</f>
        <v/>
      </c>
      <c r="CY39" s="15">
        <f>'Grid_Stock'!CQ34</f>
        <v/>
      </c>
      <c r="CZ39" s="15">
        <f>'Grid_Stock'!CR34</f>
        <v/>
      </c>
      <c r="DA39" s="15">
        <f>'Grid_Stock'!CS34</f>
        <v/>
      </c>
      <c r="DB39" s="15">
        <f>'Grid_Stock'!CT34</f>
        <v/>
      </c>
      <c r="DC39" s="15">
        <f>'Grid_Stock'!CU34</f>
        <v/>
      </c>
      <c r="DD39" s="15">
        <f>'Grid_Stock'!CV34</f>
        <v/>
      </c>
      <c r="DE39" s="15">
        <f>'Grid_Stock'!CW34</f>
        <v/>
      </c>
      <c r="DF39" s="15">
        <f>'Grid_Stock'!CX34</f>
        <v/>
      </c>
      <c r="DG39" s="15">
        <f>'Grid_Stock'!CY34</f>
        <v/>
      </c>
      <c r="DH39" s="15">
        <f>'Grid_Stock'!CZ34</f>
        <v/>
      </c>
      <c r="DI39" s="15">
        <f>'Grid_Stock'!DA34</f>
        <v/>
      </c>
    </row>
    <row r="40">
      <c r="A40" s="17" t="inlineStr">
        <is>
          <t>CHEM-1830</t>
        </is>
      </c>
      <c r="B40" s="17">
        <f>IFERROR(INDEX(M_RawMaterials[Description],MATCH($A40,M_RawMaterials[RM_Code],0)),"")</f>
        <v/>
      </c>
      <c r="C40" s="17">
        <f>IFERROR(INDEX(M_RawMaterials[Category],MATCH($A40,M_RawMaterials[RM_Code],0)),"")</f>
        <v/>
      </c>
      <c r="D40" s="17">
        <f>IFERROR(INDEX(M_RawMaterials[SafetyStock_Qty_要入力],MATCH($A40,M_RawMaterials[RM_Code],0)),0)</f>
        <v/>
      </c>
      <c r="E40" s="17">
        <f>IFERROR(LOOKUP(2,1/(T_SelfStock!$A$2:$A$12000=$A40),T_SelfStock!$D$2:$D$12000),"")</f>
        <v/>
      </c>
      <c r="F40" s="17">
        <f>IFERROR(LOOKUP(2,1/(T_TTAFStock!$A$2:$A$12000=$A40),T_TTAFStock!$D$2:$D$12000),"")</f>
        <v/>
      </c>
      <c r="G40" s="17">
        <f>IFERROR(INDEX(Cal_Weeks[Label],LOOKUP(2,1/(T_SelfStock!$A$2:$A$12000=$A40),T_SelfStock!$B$2:$B$12000)),"")</f>
        <v/>
      </c>
      <c r="H40" s="17">
        <f>IF(MIN(J40:DI40)&lt;D40,"要発注","OK")</f>
        <v/>
      </c>
      <c r="I40" s="16">
        <f>IFERROR(INDEX(J40:DI40,$F$1),"")</f>
        <v/>
      </c>
      <c r="J40" s="17">
        <f>'Grid_Stock'!B35</f>
        <v/>
      </c>
      <c r="K40" s="17">
        <f>'Grid_Stock'!C35</f>
        <v/>
      </c>
      <c r="L40" s="17">
        <f>'Grid_Stock'!D35</f>
        <v/>
      </c>
      <c r="M40" s="17">
        <f>'Grid_Stock'!E35</f>
        <v/>
      </c>
      <c r="N40" s="17">
        <f>'Grid_Stock'!F35</f>
        <v/>
      </c>
      <c r="O40" s="17">
        <f>'Grid_Stock'!G35</f>
        <v/>
      </c>
      <c r="P40" s="17">
        <f>'Grid_Stock'!H35</f>
        <v/>
      </c>
      <c r="Q40" s="17">
        <f>'Grid_Stock'!I35</f>
        <v/>
      </c>
      <c r="R40" s="17">
        <f>'Grid_Stock'!J35</f>
        <v/>
      </c>
      <c r="S40" s="17">
        <f>'Grid_Stock'!K35</f>
        <v/>
      </c>
      <c r="T40" s="17">
        <f>'Grid_Stock'!L35</f>
        <v/>
      </c>
      <c r="U40" s="17">
        <f>'Grid_Stock'!M35</f>
        <v/>
      </c>
      <c r="V40" s="17">
        <f>'Grid_Stock'!N35</f>
        <v/>
      </c>
      <c r="W40" s="17">
        <f>'Grid_Stock'!O35</f>
        <v/>
      </c>
      <c r="X40" s="17">
        <f>'Grid_Stock'!P35</f>
        <v/>
      </c>
      <c r="Y40" s="17">
        <f>'Grid_Stock'!Q35</f>
        <v/>
      </c>
      <c r="Z40" s="17">
        <f>'Grid_Stock'!R35</f>
        <v/>
      </c>
      <c r="AA40" s="17">
        <f>'Grid_Stock'!S35</f>
        <v/>
      </c>
      <c r="AB40" s="17">
        <f>'Grid_Stock'!T35</f>
        <v/>
      </c>
      <c r="AC40" s="17">
        <f>'Grid_Stock'!U35</f>
        <v/>
      </c>
      <c r="AD40" s="17">
        <f>'Grid_Stock'!V35</f>
        <v/>
      </c>
      <c r="AE40" s="17">
        <f>'Grid_Stock'!W35</f>
        <v/>
      </c>
      <c r="AF40" s="17">
        <f>'Grid_Stock'!X35</f>
        <v/>
      </c>
      <c r="AG40" s="17">
        <f>'Grid_Stock'!Y35</f>
        <v/>
      </c>
      <c r="AH40" s="17">
        <f>'Grid_Stock'!Z35</f>
        <v/>
      </c>
      <c r="AI40" s="17">
        <f>'Grid_Stock'!AA35</f>
        <v/>
      </c>
      <c r="AJ40" s="17">
        <f>'Grid_Stock'!AB35</f>
        <v/>
      </c>
      <c r="AK40" s="17">
        <f>'Grid_Stock'!AC35</f>
        <v/>
      </c>
      <c r="AL40" s="17">
        <f>'Grid_Stock'!AD35</f>
        <v/>
      </c>
      <c r="AM40" s="17">
        <f>'Grid_Stock'!AE35</f>
        <v/>
      </c>
      <c r="AN40" s="17">
        <f>'Grid_Stock'!AF35</f>
        <v/>
      </c>
      <c r="AO40" s="17">
        <f>'Grid_Stock'!AG35</f>
        <v/>
      </c>
      <c r="AP40" s="17">
        <f>'Grid_Stock'!AH35</f>
        <v/>
      </c>
      <c r="AQ40" s="17">
        <f>'Grid_Stock'!AI35</f>
        <v/>
      </c>
      <c r="AR40" s="17">
        <f>'Grid_Stock'!AJ35</f>
        <v/>
      </c>
      <c r="AS40" s="17">
        <f>'Grid_Stock'!AK35</f>
        <v/>
      </c>
      <c r="AT40" s="17">
        <f>'Grid_Stock'!AL35</f>
        <v/>
      </c>
      <c r="AU40" s="17">
        <f>'Grid_Stock'!AM35</f>
        <v/>
      </c>
      <c r="AV40" s="17">
        <f>'Grid_Stock'!AN35</f>
        <v/>
      </c>
      <c r="AW40" s="17">
        <f>'Grid_Stock'!AO35</f>
        <v/>
      </c>
      <c r="AX40" s="17">
        <f>'Grid_Stock'!AP35</f>
        <v/>
      </c>
      <c r="AY40" s="17">
        <f>'Grid_Stock'!AQ35</f>
        <v/>
      </c>
      <c r="AZ40" s="17">
        <f>'Grid_Stock'!AR35</f>
        <v/>
      </c>
      <c r="BA40" s="17">
        <f>'Grid_Stock'!AS35</f>
        <v/>
      </c>
      <c r="BB40" s="17">
        <f>'Grid_Stock'!AT35</f>
        <v/>
      </c>
      <c r="BC40" s="17">
        <f>'Grid_Stock'!AU35</f>
        <v/>
      </c>
      <c r="BD40" s="17">
        <f>'Grid_Stock'!AV35</f>
        <v/>
      </c>
      <c r="BE40" s="17">
        <f>'Grid_Stock'!AW35</f>
        <v/>
      </c>
      <c r="BF40" s="17">
        <f>'Grid_Stock'!AX35</f>
        <v/>
      </c>
      <c r="BG40" s="17">
        <f>'Grid_Stock'!AY35</f>
        <v/>
      </c>
      <c r="BH40" s="17">
        <f>'Grid_Stock'!AZ35</f>
        <v/>
      </c>
      <c r="BI40" s="17">
        <f>'Grid_Stock'!BA35</f>
        <v/>
      </c>
      <c r="BJ40" s="17">
        <f>'Grid_Stock'!BB35</f>
        <v/>
      </c>
      <c r="BK40" s="17">
        <f>'Grid_Stock'!BC35</f>
        <v/>
      </c>
      <c r="BL40" s="17">
        <f>'Grid_Stock'!BD35</f>
        <v/>
      </c>
      <c r="BM40" s="17">
        <f>'Grid_Stock'!BE35</f>
        <v/>
      </c>
      <c r="BN40" s="17">
        <f>'Grid_Stock'!BF35</f>
        <v/>
      </c>
      <c r="BO40" s="17">
        <f>'Grid_Stock'!BG35</f>
        <v/>
      </c>
      <c r="BP40" s="17">
        <f>'Grid_Stock'!BH35</f>
        <v/>
      </c>
      <c r="BQ40" s="17">
        <f>'Grid_Stock'!BI35</f>
        <v/>
      </c>
      <c r="BR40" s="17">
        <f>'Grid_Stock'!BJ35</f>
        <v/>
      </c>
      <c r="BS40" s="17">
        <f>'Grid_Stock'!BK35</f>
        <v/>
      </c>
      <c r="BT40" s="17">
        <f>'Grid_Stock'!BL35</f>
        <v/>
      </c>
      <c r="BU40" s="17">
        <f>'Grid_Stock'!BM35</f>
        <v/>
      </c>
      <c r="BV40" s="17">
        <f>'Grid_Stock'!BN35</f>
        <v/>
      </c>
      <c r="BW40" s="17">
        <f>'Grid_Stock'!BO35</f>
        <v/>
      </c>
      <c r="BX40" s="17">
        <f>'Grid_Stock'!BP35</f>
        <v/>
      </c>
      <c r="BY40" s="17">
        <f>'Grid_Stock'!BQ35</f>
        <v/>
      </c>
      <c r="BZ40" s="17">
        <f>'Grid_Stock'!BR35</f>
        <v/>
      </c>
      <c r="CA40" s="17">
        <f>'Grid_Stock'!BS35</f>
        <v/>
      </c>
      <c r="CB40" s="17">
        <f>'Grid_Stock'!BT35</f>
        <v/>
      </c>
      <c r="CC40" s="17">
        <f>'Grid_Stock'!BU35</f>
        <v/>
      </c>
      <c r="CD40" s="17">
        <f>'Grid_Stock'!BV35</f>
        <v/>
      </c>
      <c r="CE40" s="17">
        <f>'Grid_Stock'!BW35</f>
        <v/>
      </c>
      <c r="CF40" s="17">
        <f>'Grid_Stock'!BX35</f>
        <v/>
      </c>
      <c r="CG40" s="17">
        <f>'Grid_Stock'!BY35</f>
        <v/>
      </c>
      <c r="CH40" s="17">
        <f>'Grid_Stock'!BZ35</f>
        <v/>
      </c>
      <c r="CI40" s="17">
        <f>'Grid_Stock'!CA35</f>
        <v/>
      </c>
      <c r="CJ40" s="17">
        <f>'Grid_Stock'!CB35</f>
        <v/>
      </c>
      <c r="CK40" s="17">
        <f>'Grid_Stock'!CC35</f>
        <v/>
      </c>
      <c r="CL40" s="17">
        <f>'Grid_Stock'!CD35</f>
        <v/>
      </c>
      <c r="CM40" s="17">
        <f>'Grid_Stock'!CE35</f>
        <v/>
      </c>
      <c r="CN40" s="17">
        <f>'Grid_Stock'!CF35</f>
        <v/>
      </c>
      <c r="CO40" s="17">
        <f>'Grid_Stock'!CG35</f>
        <v/>
      </c>
      <c r="CP40" s="17">
        <f>'Grid_Stock'!CH35</f>
        <v/>
      </c>
      <c r="CQ40" s="17">
        <f>'Grid_Stock'!CI35</f>
        <v/>
      </c>
      <c r="CR40" s="17">
        <f>'Grid_Stock'!CJ35</f>
        <v/>
      </c>
      <c r="CS40" s="17">
        <f>'Grid_Stock'!CK35</f>
        <v/>
      </c>
      <c r="CT40" s="17">
        <f>'Grid_Stock'!CL35</f>
        <v/>
      </c>
      <c r="CU40" s="17">
        <f>'Grid_Stock'!CM35</f>
        <v/>
      </c>
      <c r="CV40" s="17">
        <f>'Grid_Stock'!CN35</f>
        <v/>
      </c>
      <c r="CW40" s="17">
        <f>'Grid_Stock'!CO35</f>
        <v/>
      </c>
      <c r="CX40" s="17">
        <f>'Grid_Stock'!CP35</f>
        <v/>
      </c>
      <c r="CY40" s="17">
        <f>'Grid_Stock'!CQ35</f>
        <v/>
      </c>
      <c r="CZ40" s="17">
        <f>'Grid_Stock'!CR35</f>
        <v/>
      </c>
      <c r="DA40" s="17">
        <f>'Grid_Stock'!CS35</f>
        <v/>
      </c>
      <c r="DB40" s="17">
        <f>'Grid_Stock'!CT35</f>
        <v/>
      </c>
      <c r="DC40" s="17">
        <f>'Grid_Stock'!CU35</f>
        <v/>
      </c>
      <c r="DD40" s="17">
        <f>'Grid_Stock'!CV35</f>
        <v/>
      </c>
      <c r="DE40" s="17">
        <f>'Grid_Stock'!CW35</f>
        <v/>
      </c>
      <c r="DF40" s="17">
        <f>'Grid_Stock'!CX35</f>
        <v/>
      </c>
      <c r="DG40" s="17">
        <f>'Grid_Stock'!CY35</f>
        <v/>
      </c>
      <c r="DH40" s="17">
        <f>'Grid_Stock'!CZ35</f>
        <v/>
      </c>
      <c r="DI40" s="17">
        <f>'Grid_Stock'!DA35</f>
        <v/>
      </c>
    </row>
    <row r="41">
      <c r="A41" s="15" t="inlineStr">
        <is>
          <t>CHEM-1100</t>
        </is>
      </c>
      <c r="B41" s="15">
        <f>IFERROR(INDEX(M_RawMaterials[Description],MATCH($A41,M_RawMaterials[RM_Code],0)),"")</f>
        <v/>
      </c>
      <c r="C41" s="15">
        <f>IFERROR(INDEX(M_RawMaterials[Category],MATCH($A41,M_RawMaterials[RM_Code],0)),"")</f>
        <v/>
      </c>
      <c r="D41" s="15">
        <f>IFERROR(INDEX(M_RawMaterials[SafetyStock_Qty_要入力],MATCH($A41,M_RawMaterials[RM_Code],0)),0)</f>
        <v/>
      </c>
      <c r="E41" s="15">
        <f>IFERROR(LOOKUP(2,1/(T_SelfStock!$A$2:$A$12000=$A41),T_SelfStock!$D$2:$D$12000),"")</f>
        <v/>
      </c>
      <c r="F41" s="15">
        <f>IFERROR(LOOKUP(2,1/(T_TTAFStock!$A$2:$A$12000=$A41),T_TTAFStock!$D$2:$D$12000),"")</f>
        <v/>
      </c>
      <c r="G41" s="15">
        <f>IFERROR(INDEX(Cal_Weeks[Label],LOOKUP(2,1/(T_SelfStock!$A$2:$A$12000=$A41),T_SelfStock!$B$2:$B$12000)),"")</f>
        <v/>
      </c>
      <c r="H41" s="15">
        <f>IF(MIN(J41:DI41)&lt;D41,"要発注","OK")</f>
        <v/>
      </c>
      <c r="I41" s="16">
        <f>IFERROR(INDEX(J41:DI41,$F$1),"")</f>
        <v/>
      </c>
      <c r="J41" s="15">
        <f>'Grid_Stock'!B36</f>
        <v/>
      </c>
      <c r="K41" s="15">
        <f>'Grid_Stock'!C36</f>
        <v/>
      </c>
      <c r="L41" s="15">
        <f>'Grid_Stock'!D36</f>
        <v/>
      </c>
      <c r="M41" s="15">
        <f>'Grid_Stock'!E36</f>
        <v/>
      </c>
      <c r="N41" s="15">
        <f>'Grid_Stock'!F36</f>
        <v/>
      </c>
      <c r="O41" s="15">
        <f>'Grid_Stock'!G36</f>
        <v/>
      </c>
      <c r="P41" s="15">
        <f>'Grid_Stock'!H36</f>
        <v/>
      </c>
      <c r="Q41" s="15">
        <f>'Grid_Stock'!I36</f>
        <v/>
      </c>
      <c r="R41" s="15">
        <f>'Grid_Stock'!J36</f>
        <v/>
      </c>
      <c r="S41" s="15">
        <f>'Grid_Stock'!K36</f>
        <v/>
      </c>
      <c r="T41" s="15">
        <f>'Grid_Stock'!L36</f>
        <v/>
      </c>
      <c r="U41" s="15">
        <f>'Grid_Stock'!M36</f>
        <v/>
      </c>
      <c r="V41" s="15">
        <f>'Grid_Stock'!N36</f>
        <v/>
      </c>
      <c r="W41" s="15">
        <f>'Grid_Stock'!O36</f>
        <v/>
      </c>
      <c r="X41" s="15">
        <f>'Grid_Stock'!P36</f>
        <v/>
      </c>
      <c r="Y41" s="15">
        <f>'Grid_Stock'!Q36</f>
        <v/>
      </c>
      <c r="Z41" s="15">
        <f>'Grid_Stock'!R36</f>
        <v/>
      </c>
      <c r="AA41" s="15">
        <f>'Grid_Stock'!S36</f>
        <v/>
      </c>
      <c r="AB41" s="15">
        <f>'Grid_Stock'!T36</f>
        <v/>
      </c>
      <c r="AC41" s="15">
        <f>'Grid_Stock'!U36</f>
        <v/>
      </c>
      <c r="AD41" s="15">
        <f>'Grid_Stock'!V36</f>
        <v/>
      </c>
      <c r="AE41" s="15">
        <f>'Grid_Stock'!W36</f>
        <v/>
      </c>
      <c r="AF41" s="15">
        <f>'Grid_Stock'!X36</f>
        <v/>
      </c>
      <c r="AG41" s="15">
        <f>'Grid_Stock'!Y36</f>
        <v/>
      </c>
      <c r="AH41" s="15">
        <f>'Grid_Stock'!Z36</f>
        <v/>
      </c>
      <c r="AI41" s="15">
        <f>'Grid_Stock'!AA36</f>
        <v/>
      </c>
      <c r="AJ41" s="15">
        <f>'Grid_Stock'!AB36</f>
        <v/>
      </c>
      <c r="AK41" s="15">
        <f>'Grid_Stock'!AC36</f>
        <v/>
      </c>
      <c r="AL41" s="15">
        <f>'Grid_Stock'!AD36</f>
        <v/>
      </c>
      <c r="AM41" s="15">
        <f>'Grid_Stock'!AE36</f>
        <v/>
      </c>
      <c r="AN41" s="15">
        <f>'Grid_Stock'!AF36</f>
        <v/>
      </c>
      <c r="AO41" s="15">
        <f>'Grid_Stock'!AG36</f>
        <v/>
      </c>
      <c r="AP41" s="15">
        <f>'Grid_Stock'!AH36</f>
        <v/>
      </c>
      <c r="AQ41" s="15">
        <f>'Grid_Stock'!AI36</f>
        <v/>
      </c>
      <c r="AR41" s="15">
        <f>'Grid_Stock'!AJ36</f>
        <v/>
      </c>
      <c r="AS41" s="15">
        <f>'Grid_Stock'!AK36</f>
        <v/>
      </c>
      <c r="AT41" s="15">
        <f>'Grid_Stock'!AL36</f>
        <v/>
      </c>
      <c r="AU41" s="15">
        <f>'Grid_Stock'!AM36</f>
        <v/>
      </c>
      <c r="AV41" s="15">
        <f>'Grid_Stock'!AN36</f>
        <v/>
      </c>
      <c r="AW41" s="15">
        <f>'Grid_Stock'!AO36</f>
        <v/>
      </c>
      <c r="AX41" s="15">
        <f>'Grid_Stock'!AP36</f>
        <v/>
      </c>
      <c r="AY41" s="15">
        <f>'Grid_Stock'!AQ36</f>
        <v/>
      </c>
      <c r="AZ41" s="15">
        <f>'Grid_Stock'!AR36</f>
        <v/>
      </c>
      <c r="BA41" s="15">
        <f>'Grid_Stock'!AS36</f>
        <v/>
      </c>
      <c r="BB41" s="15">
        <f>'Grid_Stock'!AT36</f>
        <v/>
      </c>
      <c r="BC41" s="15">
        <f>'Grid_Stock'!AU36</f>
        <v/>
      </c>
      <c r="BD41" s="15">
        <f>'Grid_Stock'!AV36</f>
        <v/>
      </c>
      <c r="BE41" s="15">
        <f>'Grid_Stock'!AW36</f>
        <v/>
      </c>
      <c r="BF41" s="15">
        <f>'Grid_Stock'!AX36</f>
        <v/>
      </c>
      <c r="BG41" s="15">
        <f>'Grid_Stock'!AY36</f>
        <v/>
      </c>
      <c r="BH41" s="15">
        <f>'Grid_Stock'!AZ36</f>
        <v/>
      </c>
      <c r="BI41" s="15">
        <f>'Grid_Stock'!BA36</f>
        <v/>
      </c>
      <c r="BJ41" s="15">
        <f>'Grid_Stock'!BB36</f>
        <v/>
      </c>
      <c r="BK41" s="15">
        <f>'Grid_Stock'!BC36</f>
        <v/>
      </c>
      <c r="BL41" s="15">
        <f>'Grid_Stock'!BD36</f>
        <v/>
      </c>
      <c r="BM41" s="15">
        <f>'Grid_Stock'!BE36</f>
        <v/>
      </c>
      <c r="BN41" s="15">
        <f>'Grid_Stock'!BF36</f>
        <v/>
      </c>
      <c r="BO41" s="15">
        <f>'Grid_Stock'!BG36</f>
        <v/>
      </c>
      <c r="BP41" s="15">
        <f>'Grid_Stock'!BH36</f>
        <v/>
      </c>
      <c r="BQ41" s="15">
        <f>'Grid_Stock'!BI36</f>
        <v/>
      </c>
      <c r="BR41" s="15">
        <f>'Grid_Stock'!BJ36</f>
        <v/>
      </c>
      <c r="BS41" s="15">
        <f>'Grid_Stock'!BK36</f>
        <v/>
      </c>
      <c r="BT41" s="15">
        <f>'Grid_Stock'!BL36</f>
        <v/>
      </c>
      <c r="BU41" s="15">
        <f>'Grid_Stock'!BM36</f>
        <v/>
      </c>
      <c r="BV41" s="15">
        <f>'Grid_Stock'!BN36</f>
        <v/>
      </c>
      <c r="BW41" s="15">
        <f>'Grid_Stock'!BO36</f>
        <v/>
      </c>
      <c r="BX41" s="15">
        <f>'Grid_Stock'!BP36</f>
        <v/>
      </c>
      <c r="BY41" s="15">
        <f>'Grid_Stock'!BQ36</f>
        <v/>
      </c>
      <c r="BZ41" s="15">
        <f>'Grid_Stock'!BR36</f>
        <v/>
      </c>
      <c r="CA41" s="15">
        <f>'Grid_Stock'!BS36</f>
        <v/>
      </c>
      <c r="CB41" s="15">
        <f>'Grid_Stock'!BT36</f>
        <v/>
      </c>
      <c r="CC41" s="15">
        <f>'Grid_Stock'!BU36</f>
        <v/>
      </c>
      <c r="CD41" s="15">
        <f>'Grid_Stock'!BV36</f>
        <v/>
      </c>
      <c r="CE41" s="15">
        <f>'Grid_Stock'!BW36</f>
        <v/>
      </c>
      <c r="CF41" s="15">
        <f>'Grid_Stock'!BX36</f>
        <v/>
      </c>
      <c r="CG41" s="15">
        <f>'Grid_Stock'!BY36</f>
        <v/>
      </c>
      <c r="CH41" s="15">
        <f>'Grid_Stock'!BZ36</f>
        <v/>
      </c>
      <c r="CI41" s="15">
        <f>'Grid_Stock'!CA36</f>
        <v/>
      </c>
      <c r="CJ41" s="15">
        <f>'Grid_Stock'!CB36</f>
        <v/>
      </c>
      <c r="CK41" s="15">
        <f>'Grid_Stock'!CC36</f>
        <v/>
      </c>
      <c r="CL41" s="15">
        <f>'Grid_Stock'!CD36</f>
        <v/>
      </c>
      <c r="CM41" s="15">
        <f>'Grid_Stock'!CE36</f>
        <v/>
      </c>
      <c r="CN41" s="15">
        <f>'Grid_Stock'!CF36</f>
        <v/>
      </c>
      <c r="CO41" s="15">
        <f>'Grid_Stock'!CG36</f>
        <v/>
      </c>
      <c r="CP41" s="15">
        <f>'Grid_Stock'!CH36</f>
        <v/>
      </c>
      <c r="CQ41" s="15">
        <f>'Grid_Stock'!CI36</f>
        <v/>
      </c>
      <c r="CR41" s="15">
        <f>'Grid_Stock'!CJ36</f>
        <v/>
      </c>
      <c r="CS41" s="15">
        <f>'Grid_Stock'!CK36</f>
        <v/>
      </c>
      <c r="CT41" s="15">
        <f>'Grid_Stock'!CL36</f>
        <v/>
      </c>
      <c r="CU41" s="15">
        <f>'Grid_Stock'!CM36</f>
        <v/>
      </c>
      <c r="CV41" s="15">
        <f>'Grid_Stock'!CN36</f>
        <v/>
      </c>
      <c r="CW41" s="15">
        <f>'Grid_Stock'!CO36</f>
        <v/>
      </c>
      <c r="CX41" s="15">
        <f>'Grid_Stock'!CP36</f>
        <v/>
      </c>
      <c r="CY41" s="15">
        <f>'Grid_Stock'!CQ36</f>
        <v/>
      </c>
      <c r="CZ41" s="15">
        <f>'Grid_Stock'!CR36</f>
        <v/>
      </c>
      <c r="DA41" s="15">
        <f>'Grid_Stock'!CS36</f>
        <v/>
      </c>
      <c r="DB41" s="15">
        <f>'Grid_Stock'!CT36</f>
        <v/>
      </c>
      <c r="DC41" s="15">
        <f>'Grid_Stock'!CU36</f>
        <v/>
      </c>
      <c r="DD41" s="15">
        <f>'Grid_Stock'!CV36</f>
        <v/>
      </c>
      <c r="DE41" s="15">
        <f>'Grid_Stock'!CW36</f>
        <v/>
      </c>
      <c r="DF41" s="15">
        <f>'Grid_Stock'!CX36</f>
        <v/>
      </c>
      <c r="DG41" s="15">
        <f>'Grid_Stock'!CY36</f>
        <v/>
      </c>
      <c r="DH41" s="15">
        <f>'Grid_Stock'!CZ36</f>
        <v/>
      </c>
      <c r="DI41" s="15">
        <f>'Grid_Stock'!DA36</f>
        <v/>
      </c>
    </row>
    <row r="42">
      <c r="A42" s="17" t="inlineStr">
        <is>
          <t>CHEM-1680</t>
        </is>
      </c>
      <c r="B42" s="17">
        <f>IFERROR(INDEX(M_RawMaterials[Description],MATCH($A42,M_RawMaterials[RM_Code],0)),"")</f>
        <v/>
      </c>
      <c r="C42" s="17">
        <f>IFERROR(INDEX(M_RawMaterials[Category],MATCH($A42,M_RawMaterials[RM_Code],0)),"")</f>
        <v/>
      </c>
      <c r="D42" s="17">
        <f>IFERROR(INDEX(M_RawMaterials[SafetyStock_Qty_要入力],MATCH($A42,M_RawMaterials[RM_Code],0)),0)</f>
        <v/>
      </c>
      <c r="E42" s="17">
        <f>IFERROR(LOOKUP(2,1/(T_SelfStock!$A$2:$A$12000=$A42),T_SelfStock!$D$2:$D$12000),"")</f>
        <v/>
      </c>
      <c r="F42" s="17">
        <f>IFERROR(LOOKUP(2,1/(T_TTAFStock!$A$2:$A$12000=$A42),T_TTAFStock!$D$2:$D$12000),"")</f>
        <v/>
      </c>
      <c r="G42" s="17">
        <f>IFERROR(INDEX(Cal_Weeks[Label],LOOKUP(2,1/(T_SelfStock!$A$2:$A$12000=$A42),T_SelfStock!$B$2:$B$12000)),"")</f>
        <v/>
      </c>
      <c r="H42" s="17">
        <f>IF(MIN(J42:DI42)&lt;D42,"要発注","OK")</f>
        <v/>
      </c>
      <c r="I42" s="16">
        <f>IFERROR(INDEX(J42:DI42,$F$1),"")</f>
        <v/>
      </c>
      <c r="J42" s="17">
        <f>'Grid_Stock'!B37</f>
        <v/>
      </c>
      <c r="K42" s="17">
        <f>'Grid_Stock'!C37</f>
        <v/>
      </c>
      <c r="L42" s="17">
        <f>'Grid_Stock'!D37</f>
        <v/>
      </c>
      <c r="M42" s="17">
        <f>'Grid_Stock'!E37</f>
        <v/>
      </c>
      <c r="N42" s="17">
        <f>'Grid_Stock'!F37</f>
        <v/>
      </c>
      <c r="O42" s="17">
        <f>'Grid_Stock'!G37</f>
        <v/>
      </c>
      <c r="P42" s="17">
        <f>'Grid_Stock'!H37</f>
        <v/>
      </c>
      <c r="Q42" s="17">
        <f>'Grid_Stock'!I37</f>
        <v/>
      </c>
      <c r="R42" s="17">
        <f>'Grid_Stock'!J37</f>
        <v/>
      </c>
      <c r="S42" s="17">
        <f>'Grid_Stock'!K37</f>
        <v/>
      </c>
      <c r="T42" s="17">
        <f>'Grid_Stock'!L37</f>
        <v/>
      </c>
      <c r="U42" s="17">
        <f>'Grid_Stock'!M37</f>
        <v/>
      </c>
      <c r="V42" s="17">
        <f>'Grid_Stock'!N37</f>
        <v/>
      </c>
      <c r="W42" s="17">
        <f>'Grid_Stock'!O37</f>
        <v/>
      </c>
      <c r="X42" s="17">
        <f>'Grid_Stock'!P37</f>
        <v/>
      </c>
      <c r="Y42" s="17">
        <f>'Grid_Stock'!Q37</f>
        <v/>
      </c>
      <c r="Z42" s="17">
        <f>'Grid_Stock'!R37</f>
        <v/>
      </c>
      <c r="AA42" s="17">
        <f>'Grid_Stock'!S37</f>
        <v/>
      </c>
      <c r="AB42" s="17">
        <f>'Grid_Stock'!T37</f>
        <v/>
      </c>
      <c r="AC42" s="17">
        <f>'Grid_Stock'!U37</f>
        <v/>
      </c>
      <c r="AD42" s="17">
        <f>'Grid_Stock'!V37</f>
        <v/>
      </c>
      <c r="AE42" s="17">
        <f>'Grid_Stock'!W37</f>
        <v/>
      </c>
      <c r="AF42" s="17">
        <f>'Grid_Stock'!X37</f>
        <v/>
      </c>
      <c r="AG42" s="17">
        <f>'Grid_Stock'!Y37</f>
        <v/>
      </c>
      <c r="AH42" s="17">
        <f>'Grid_Stock'!Z37</f>
        <v/>
      </c>
      <c r="AI42" s="17">
        <f>'Grid_Stock'!AA37</f>
        <v/>
      </c>
      <c r="AJ42" s="17">
        <f>'Grid_Stock'!AB37</f>
        <v/>
      </c>
      <c r="AK42" s="17">
        <f>'Grid_Stock'!AC37</f>
        <v/>
      </c>
      <c r="AL42" s="17">
        <f>'Grid_Stock'!AD37</f>
        <v/>
      </c>
      <c r="AM42" s="17">
        <f>'Grid_Stock'!AE37</f>
        <v/>
      </c>
      <c r="AN42" s="17">
        <f>'Grid_Stock'!AF37</f>
        <v/>
      </c>
      <c r="AO42" s="17">
        <f>'Grid_Stock'!AG37</f>
        <v/>
      </c>
      <c r="AP42" s="17">
        <f>'Grid_Stock'!AH37</f>
        <v/>
      </c>
      <c r="AQ42" s="17">
        <f>'Grid_Stock'!AI37</f>
        <v/>
      </c>
      <c r="AR42" s="17">
        <f>'Grid_Stock'!AJ37</f>
        <v/>
      </c>
      <c r="AS42" s="17">
        <f>'Grid_Stock'!AK37</f>
        <v/>
      </c>
      <c r="AT42" s="17">
        <f>'Grid_Stock'!AL37</f>
        <v/>
      </c>
      <c r="AU42" s="17">
        <f>'Grid_Stock'!AM37</f>
        <v/>
      </c>
      <c r="AV42" s="17">
        <f>'Grid_Stock'!AN37</f>
        <v/>
      </c>
      <c r="AW42" s="17">
        <f>'Grid_Stock'!AO37</f>
        <v/>
      </c>
      <c r="AX42" s="17">
        <f>'Grid_Stock'!AP37</f>
        <v/>
      </c>
      <c r="AY42" s="17">
        <f>'Grid_Stock'!AQ37</f>
        <v/>
      </c>
      <c r="AZ42" s="17">
        <f>'Grid_Stock'!AR37</f>
        <v/>
      </c>
      <c r="BA42" s="17">
        <f>'Grid_Stock'!AS37</f>
        <v/>
      </c>
      <c r="BB42" s="17">
        <f>'Grid_Stock'!AT37</f>
        <v/>
      </c>
      <c r="BC42" s="17">
        <f>'Grid_Stock'!AU37</f>
        <v/>
      </c>
      <c r="BD42" s="17">
        <f>'Grid_Stock'!AV37</f>
        <v/>
      </c>
      <c r="BE42" s="17">
        <f>'Grid_Stock'!AW37</f>
        <v/>
      </c>
      <c r="BF42" s="17">
        <f>'Grid_Stock'!AX37</f>
        <v/>
      </c>
      <c r="BG42" s="17">
        <f>'Grid_Stock'!AY37</f>
        <v/>
      </c>
      <c r="BH42" s="17">
        <f>'Grid_Stock'!AZ37</f>
        <v/>
      </c>
      <c r="BI42" s="17">
        <f>'Grid_Stock'!BA37</f>
        <v/>
      </c>
      <c r="BJ42" s="17">
        <f>'Grid_Stock'!BB37</f>
        <v/>
      </c>
      <c r="BK42" s="17">
        <f>'Grid_Stock'!BC37</f>
        <v/>
      </c>
      <c r="BL42" s="17">
        <f>'Grid_Stock'!BD37</f>
        <v/>
      </c>
      <c r="BM42" s="17">
        <f>'Grid_Stock'!BE37</f>
        <v/>
      </c>
      <c r="BN42" s="17">
        <f>'Grid_Stock'!BF37</f>
        <v/>
      </c>
      <c r="BO42" s="17">
        <f>'Grid_Stock'!BG37</f>
        <v/>
      </c>
      <c r="BP42" s="17">
        <f>'Grid_Stock'!BH37</f>
        <v/>
      </c>
      <c r="BQ42" s="17">
        <f>'Grid_Stock'!BI37</f>
        <v/>
      </c>
      <c r="BR42" s="17">
        <f>'Grid_Stock'!BJ37</f>
        <v/>
      </c>
      <c r="BS42" s="17">
        <f>'Grid_Stock'!BK37</f>
        <v/>
      </c>
      <c r="BT42" s="17">
        <f>'Grid_Stock'!BL37</f>
        <v/>
      </c>
      <c r="BU42" s="17">
        <f>'Grid_Stock'!BM37</f>
        <v/>
      </c>
      <c r="BV42" s="17">
        <f>'Grid_Stock'!BN37</f>
        <v/>
      </c>
      <c r="BW42" s="17">
        <f>'Grid_Stock'!BO37</f>
        <v/>
      </c>
      <c r="BX42" s="17">
        <f>'Grid_Stock'!BP37</f>
        <v/>
      </c>
      <c r="BY42" s="17">
        <f>'Grid_Stock'!BQ37</f>
        <v/>
      </c>
      <c r="BZ42" s="17">
        <f>'Grid_Stock'!BR37</f>
        <v/>
      </c>
      <c r="CA42" s="17">
        <f>'Grid_Stock'!BS37</f>
        <v/>
      </c>
      <c r="CB42" s="17">
        <f>'Grid_Stock'!BT37</f>
        <v/>
      </c>
      <c r="CC42" s="17">
        <f>'Grid_Stock'!BU37</f>
        <v/>
      </c>
      <c r="CD42" s="17">
        <f>'Grid_Stock'!BV37</f>
        <v/>
      </c>
      <c r="CE42" s="17">
        <f>'Grid_Stock'!BW37</f>
        <v/>
      </c>
      <c r="CF42" s="17">
        <f>'Grid_Stock'!BX37</f>
        <v/>
      </c>
      <c r="CG42" s="17">
        <f>'Grid_Stock'!BY37</f>
        <v/>
      </c>
      <c r="CH42" s="17">
        <f>'Grid_Stock'!BZ37</f>
        <v/>
      </c>
      <c r="CI42" s="17">
        <f>'Grid_Stock'!CA37</f>
        <v/>
      </c>
      <c r="CJ42" s="17">
        <f>'Grid_Stock'!CB37</f>
        <v/>
      </c>
      <c r="CK42" s="17">
        <f>'Grid_Stock'!CC37</f>
        <v/>
      </c>
      <c r="CL42" s="17">
        <f>'Grid_Stock'!CD37</f>
        <v/>
      </c>
      <c r="CM42" s="17">
        <f>'Grid_Stock'!CE37</f>
        <v/>
      </c>
      <c r="CN42" s="17">
        <f>'Grid_Stock'!CF37</f>
        <v/>
      </c>
      <c r="CO42" s="17">
        <f>'Grid_Stock'!CG37</f>
        <v/>
      </c>
      <c r="CP42" s="17">
        <f>'Grid_Stock'!CH37</f>
        <v/>
      </c>
      <c r="CQ42" s="17">
        <f>'Grid_Stock'!CI37</f>
        <v/>
      </c>
      <c r="CR42" s="17">
        <f>'Grid_Stock'!CJ37</f>
        <v/>
      </c>
      <c r="CS42" s="17">
        <f>'Grid_Stock'!CK37</f>
        <v/>
      </c>
      <c r="CT42" s="17">
        <f>'Grid_Stock'!CL37</f>
        <v/>
      </c>
      <c r="CU42" s="17">
        <f>'Grid_Stock'!CM37</f>
        <v/>
      </c>
      <c r="CV42" s="17">
        <f>'Grid_Stock'!CN37</f>
        <v/>
      </c>
      <c r="CW42" s="17">
        <f>'Grid_Stock'!CO37</f>
        <v/>
      </c>
      <c r="CX42" s="17">
        <f>'Grid_Stock'!CP37</f>
        <v/>
      </c>
      <c r="CY42" s="17">
        <f>'Grid_Stock'!CQ37</f>
        <v/>
      </c>
      <c r="CZ42" s="17">
        <f>'Grid_Stock'!CR37</f>
        <v/>
      </c>
      <c r="DA42" s="17">
        <f>'Grid_Stock'!CS37</f>
        <v/>
      </c>
      <c r="DB42" s="17">
        <f>'Grid_Stock'!CT37</f>
        <v/>
      </c>
      <c r="DC42" s="17">
        <f>'Grid_Stock'!CU37</f>
        <v/>
      </c>
      <c r="DD42" s="17">
        <f>'Grid_Stock'!CV37</f>
        <v/>
      </c>
      <c r="DE42" s="17">
        <f>'Grid_Stock'!CW37</f>
        <v/>
      </c>
      <c r="DF42" s="17">
        <f>'Grid_Stock'!CX37</f>
        <v/>
      </c>
      <c r="DG42" s="17">
        <f>'Grid_Stock'!CY37</f>
        <v/>
      </c>
      <c r="DH42" s="17">
        <f>'Grid_Stock'!CZ37</f>
        <v/>
      </c>
      <c r="DI42" s="17">
        <f>'Grid_Stock'!DA37</f>
        <v/>
      </c>
    </row>
    <row r="43">
      <c r="A43" s="15" t="inlineStr">
        <is>
          <t>CHEM-1820</t>
        </is>
      </c>
      <c r="B43" s="15">
        <f>IFERROR(INDEX(M_RawMaterials[Description],MATCH($A43,M_RawMaterials[RM_Code],0)),"")</f>
        <v/>
      </c>
      <c r="C43" s="15">
        <f>IFERROR(INDEX(M_RawMaterials[Category],MATCH($A43,M_RawMaterials[RM_Code],0)),"")</f>
        <v/>
      </c>
      <c r="D43" s="15">
        <f>IFERROR(INDEX(M_RawMaterials[SafetyStock_Qty_要入力],MATCH($A43,M_RawMaterials[RM_Code],0)),0)</f>
        <v/>
      </c>
      <c r="E43" s="15">
        <f>IFERROR(LOOKUP(2,1/(T_SelfStock!$A$2:$A$12000=$A43),T_SelfStock!$D$2:$D$12000),"")</f>
        <v/>
      </c>
      <c r="F43" s="15">
        <f>IFERROR(LOOKUP(2,1/(T_TTAFStock!$A$2:$A$12000=$A43),T_TTAFStock!$D$2:$D$12000),"")</f>
        <v/>
      </c>
      <c r="G43" s="15">
        <f>IFERROR(INDEX(Cal_Weeks[Label],LOOKUP(2,1/(T_SelfStock!$A$2:$A$12000=$A43),T_SelfStock!$B$2:$B$12000)),"")</f>
        <v/>
      </c>
      <c r="H43" s="15">
        <f>IF(MIN(J43:DI43)&lt;D43,"要発注","OK")</f>
        <v/>
      </c>
      <c r="I43" s="16">
        <f>IFERROR(INDEX(J43:DI43,$F$1),"")</f>
        <v/>
      </c>
      <c r="J43" s="15">
        <f>'Grid_Stock'!B38</f>
        <v/>
      </c>
      <c r="K43" s="15">
        <f>'Grid_Stock'!C38</f>
        <v/>
      </c>
      <c r="L43" s="15">
        <f>'Grid_Stock'!D38</f>
        <v/>
      </c>
      <c r="M43" s="15">
        <f>'Grid_Stock'!E38</f>
        <v/>
      </c>
      <c r="N43" s="15">
        <f>'Grid_Stock'!F38</f>
        <v/>
      </c>
      <c r="O43" s="15">
        <f>'Grid_Stock'!G38</f>
        <v/>
      </c>
      <c r="P43" s="15">
        <f>'Grid_Stock'!H38</f>
        <v/>
      </c>
      <c r="Q43" s="15">
        <f>'Grid_Stock'!I38</f>
        <v/>
      </c>
      <c r="R43" s="15">
        <f>'Grid_Stock'!J38</f>
        <v/>
      </c>
      <c r="S43" s="15">
        <f>'Grid_Stock'!K38</f>
        <v/>
      </c>
      <c r="T43" s="15">
        <f>'Grid_Stock'!L38</f>
        <v/>
      </c>
      <c r="U43" s="15">
        <f>'Grid_Stock'!M38</f>
        <v/>
      </c>
      <c r="V43" s="15">
        <f>'Grid_Stock'!N38</f>
        <v/>
      </c>
      <c r="W43" s="15">
        <f>'Grid_Stock'!O38</f>
        <v/>
      </c>
      <c r="X43" s="15">
        <f>'Grid_Stock'!P38</f>
        <v/>
      </c>
      <c r="Y43" s="15">
        <f>'Grid_Stock'!Q38</f>
        <v/>
      </c>
      <c r="Z43" s="15">
        <f>'Grid_Stock'!R38</f>
        <v/>
      </c>
      <c r="AA43" s="15">
        <f>'Grid_Stock'!S38</f>
        <v/>
      </c>
      <c r="AB43" s="15">
        <f>'Grid_Stock'!T38</f>
        <v/>
      </c>
      <c r="AC43" s="15">
        <f>'Grid_Stock'!U38</f>
        <v/>
      </c>
      <c r="AD43" s="15">
        <f>'Grid_Stock'!V38</f>
        <v/>
      </c>
      <c r="AE43" s="15">
        <f>'Grid_Stock'!W38</f>
        <v/>
      </c>
      <c r="AF43" s="15">
        <f>'Grid_Stock'!X38</f>
        <v/>
      </c>
      <c r="AG43" s="15">
        <f>'Grid_Stock'!Y38</f>
        <v/>
      </c>
      <c r="AH43" s="15">
        <f>'Grid_Stock'!Z38</f>
        <v/>
      </c>
      <c r="AI43" s="15">
        <f>'Grid_Stock'!AA38</f>
        <v/>
      </c>
      <c r="AJ43" s="15">
        <f>'Grid_Stock'!AB38</f>
        <v/>
      </c>
      <c r="AK43" s="15">
        <f>'Grid_Stock'!AC38</f>
        <v/>
      </c>
      <c r="AL43" s="15">
        <f>'Grid_Stock'!AD38</f>
        <v/>
      </c>
      <c r="AM43" s="15">
        <f>'Grid_Stock'!AE38</f>
        <v/>
      </c>
      <c r="AN43" s="15">
        <f>'Grid_Stock'!AF38</f>
        <v/>
      </c>
      <c r="AO43" s="15">
        <f>'Grid_Stock'!AG38</f>
        <v/>
      </c>
      <c r="AP43" s="15">
        <f>'Grid_Stock'!AH38</f>
        <v/>
      </c>
      <c r="AQ43" s="15">
        <f>'Grid_Stock'!AI38</f>
        <v/>
      </c>
      <c r="AR43" s="15">
        <f>'Grid_Stock'!AJ38</f>
        <v/>
      </c>
      <c r="AS43" s="15">
        <f>'Grid_Stock'!AK38</f>
        <v/>
      </c>
      <c r="AT43" s="15">
        <f>'Grid_Stock'!AL38</f>
        <v/>
      </c>
      <c r="AU43" s="15">
        <f>'Grid_Stock'!AM38</f>
        <v/>
      </c>
      <c r="AV43" s="15">
        <f>'Grid_Stock'!AN38</f>
        <v/>
      </c>
      <c r="AW43" s="15">
        <f>'Grid_Stock'!AO38</f>
        <v/>
      </c>
      <c r="AX43" s="15">
        <f>'Grid_Stock'!AP38</f>
        <v/>
      </c>
      <c r="AY43" s="15">
        <f>'Grid_Stock'!AQ38</f>
        <v/>
      </c>
      <c r="AZ43" s="15">
        <f>'Grid_Stock'!AR38</f>
        <v/>
      </c>
      <c r="BA43" s="15">
        <f>'Grid_Stock'!AS38</f>
        <v/>
      </c>
      <c r="BB43" s="15">
        <f>'Grid_Stock'!AT38</f>
        <v/>
      </c>
      <c r="BC43" s="15">
        <f>'Grid_Stock'!AU38</f>
        <v/>
      </c>
      <c r="BD43" s="15">
        <f>'Grid_Stock'!AV38</f>
        <v/>
      </c>
      <c r="BE43" s="15">
        <f>'Grid_Stock'!AW38</f>
        <v/>
      </c>
      <c r="BF43" s="15">
        <f>'Grid_Stock'!AX38</f>
        <v/>
      </c>
      <c r="BG43" s="15">
        <f>'Grid_Stock'!AY38</f>
        <v/>
      </c>
      <c r="BH43" s="15">
        <f>'Grid_Stock'!AZ38</f>
        <v/>
      </c>
      <c r="BI43" s="15">
        <f>'Grid_Stock'!BA38</f>
        <v/>
      </c>
      <c r="BJ43" s="15">
        <f>'Grid_Stock'!BB38</f>
        <v/>
      </c>
      <c r="BK43" s="15">
        <f>'Grid_Stock'!BC38</f>
        <v/>
      </c>
      <c r="BL43" s="15">
        <f>'Grid_Stock'!BD38</f>
        <v/>
      </c>
      <c r="BM43" s="15">
        <f>'Grid_Stock'!BE38</f>
        <v/>
      </c>
      <c r="BN43" s="15">
        <f>'Grid_Stock'!BF38</f>
        <v/>
      </c>
      <c r="BO43" s="15">
        <f>'Grid_Stock'!BG38</f>
        <v/>
      </c>
      <c r="BP43" s="15">
        <f>'Grid_Stock'!BH38</f>
        <v/>
      </c>
      <c r="BQ43" s="15">
        <f>'Grid_Stock'!BI38</f>
        <v/>
      </c>
      <c r="BR43" s="15">
        <f>'Grid_Stock'!BJ38</f>
        <v/>
      </c>
      <c r="BS43" s="15">
        <f>'Grid_Stock'!BK38</f>
        <v/>
      </c>
      <c r="BT43" s="15">
        <f>'Grid_Stock'!BL38</f>
        <v/>
      </c>
      <c r="BU43" s="15">
        <f>'Grid_Stock'!BM38</f>
        <v/>
      </c>
      <c r="BV43" s="15">
        <f>'Grid_Stock'!BN38</f>
        <v/>
      </c>
      <c r="BW43" s="15">
        <f>'Grid_Stock'!BO38</f>
        <v/>
      </c>
      <c r="BX43" s="15">
        <f>'Grid_Stock'!BP38</f>
        <v/>
      </c>
      <c r="BY43" s="15">
        <f>'Grid_Stock'!BQ38</f>
        <v/>
      </c>
      <c r="BZ43" s="15">
        <f>'Grid_Stock'!BR38</f>
        <v/>
      </c>
      <c r="CA43" s="15">
        <f>'Grid_Stock'!BS38</f>
        <v/>
      </c>
      <c r="CB43" s="15">
        <f>'Grid_Stock'!BT38</f>
        <v/>
      </c>
      <c r="CC43" s="15">
        <f>'Grid_Stock'!BU38</f>
        <v/>
      </c>
      <c r="CD43" s="15">
        <f>'Grid_Stock'!BV38</f>
        <v/>
      </c>
      <c r="CE43" s="15">
        <f>'Grid_Stock'!BW38</f>
        <v/>
      </c>
      <c r="CF43" s="15">
        <f>'Grid_Stock'!BX38</f>
        <v/>
      </c>
      <c r="CG43" s="15">
        <f>'Grid_Stock'!BY38</f>
        <v/>
      </c>
      <c r="CH43" s="15">
        <f>'Grid_Stock'!BZ38</f>
        <v/>
      </c>
      <c r="CI43" s="15">
        <f>'Grid_Stock'!CA38</f>
        <v/>
      </c>
      <c r="CJ43" s="15">
        <f>'Grid_Stock'!CB38</f>
        <v/>
      </c>
      <c r="CK43" s="15">
        <f>'Grid_Stock'!CC38</f>
        <v/>
      </c>
      <c r="CL43" s="15">
        <f>'Grid_Stock'!CD38</f>
        <v/>
      </c>
      <c r="CM43" s="15">
        <f>'Grid_Stock'!CE38</f>
        <v/>
      </c>
      <c r="CN43" s="15">
        <f>'Grid_Stock'!CF38</f>
        <v/>
      </c>
      <c r="CO43" s="15">
        <f>'Grid_Stock'!CG38</f>
        <v/>
      </c>
      <c r="CP43" s="15">
        <f>'Grid_Stock'!CH38</f>
        <v/>
      </c>
      <c r="CQ43" s="15">
        <f>'Grid_Stock'!CI38</f>
        <v/>
      </c>
      <c r="CR43" s="15">
        <f>'Grid_Stock'!CJ38</f>
        <v/>
      </c>
      <c r="CS43" s="15">
        <f>'Grid_Stock'!CK38</f>
        <v/>
      </c>
      <c r="CT43" s="15">
        <f>'Grid_Stock'!CL38</f>
        <v/>
      </c>
      <c r="CU43" s="15">
        <f>'Grid_Stock'!CM38</f>
        <v/>
      </c>
      <c r="CV43" s="15">
        <f>'Grid_Stock'!CN38</f>
        <v/>
      </c>
      <c r="CW43" s="15">
        <f>'Grid_Stock'!CO38</f>
        <v/>
      </c>
      <c r="CX43" s="15">
        <f>'Grid_Stock'!CP38</f>
        <v/>
      </c>
      <c r="CY43" s="15">
        <f>'Grid_Stock'!CQ38</f>
        <v/>
      </c>
      <c r="CZ43" s="15">
        <f>'Grid_Stock'!CR38</f>
        <v/>
      </c>
      <c r="DA43" s="15">
        <f>'Grid_Stock'!CS38</f>
        <v/>
      </c>
      <c r="DB43" s="15">
        <f>'Grid_Stock'!CT38</f>
        <v/>
      </c>
      <c r="DC43" s="15">
        <f>'Grid_Stock'!CU38</f>
        <v/>
      </c>
      <c r="DD43" s="15">
        <f>'Grid_Stock'!CV38</f>
        <v/>
      </c>
      <c r="DE43" s="15">
        <f>'Grid_Stock'!CW38</f>
        <v/>
      </c>
      <c r="DF43" s="15">
        <f>'Grid_Stock'!CX38</f>
        <v/>
      </c>
      <c r="DG43" s="15">
        <f>'Grid_Stock'!CY38</f>
        <v/>
      </c>
      <c r="DH43" s="15">
        <f>'Grid_Stock'!CZ38</f>
        <v/>
      </c>
      <c r="DI43" s="15">
        <f>'Grid_Stock'!DA38</f>
        <v/>
      </c>
    </row>
    <row r="44">
      <c r="A44" s="17" t="inlineStr">
        <is>
          <t>CHEM-1840</t>
        </is>
      </c>
      <c r="B44" s="17">
        <f>IFERROR(INDEX(M_RawMaterials[Description],MATCH($A44,M_RawMaterials[RM_Code],0)),"")</f>
        <v/>
      </c>
      <c r="C44" s="17">
        <f>IFERROR(INDEX(M_RawMaterials[Category],MATCH($A44,M_RawMaterials[RM_Code],0)),"")</f>
        <v/>
      </c>
      <c r="D44" s="17">
        <f>IFERROR(INDEX(M_RawMaterials[SafetyStock_Qty_要入力],MATCH($A44,M_RawMaterials[RM_Code],0)),0)</f>
        <v/>
      </c>
      <c r="E44" s="17">
        <f>IFERROR(LOOKUP(2,1/(T_SelfStock!$A$2:$A$12000=$A44),T_SelfStock!$D$2:$D$12000),"")</f>
        <v/>
      </c>
      <c r="F44" s="17">
        <f>IFERROR(LOOKUP(2,1/(T_TTAFStock!$A$2:$A$12000=$A44),T_TTAFStock!$D$2:$D$12000),"")</f>
        <v/>
      </c>
      <c r="G44" s="17">
        <f>IFERROR(INDEX(Cal_Weeks[Label],LOOKUP(2,1/(T_SelfStock!$A$2:$A$12000=$A44),T_SelfStock!$B$2:$B$12000)),"")</f>
        <v/>
      </c>
      <c r="H44" s="17">
        <f>IF(MIN(J44:DI44)&lt;D44,"要発注","OK")</f>
        <v/>
      </c>
      <c r="I44" s="16">
        <f>IFERROR(INDEX(J44:DI44,$F$1),"")</f>
        <v/>
      </c>
      <c r="J44" s="17">
        <f>'Grid_Stock'!B39</f>
        <v/>
      </c>
      <c r="K44" s="17">
        <f>'Grid_Stock'!C39</f>
        <v/>
      </c>
      <c r="L44" s="17">
        <f>'Grid_Stock'!D39</f>
        <v/>
      </c>
      <c r="M44" s="17">
        <f>'Grid_Stock'!E39</f>
        <v/>
      </c>
      <c r="N44" s="17">
        <f>'Grid_Stock'!F39</f>
        <v/>
      </c>
      <c r="O44" s="17">
        <f>'Grid_Stock'!G39</f>
        <v/>
      </c>
      <c r="P44" s="17">
        <f>'Grid_Stock'!H39</f>
        <v/>
      </c>
      <c r="Q44" s="17">
        <f>'Grid_Stock'!I39</f>
        <v/>
      </c>
      <c r="R44" s="17">
        <f>'Grid_Stock'!J39</f>
        <v/>
      </c>
      <c r="S44" s="17">
        <f>'Grid_Stock'!K39</f>
        <v/>
      </c>
      <c r="T44" s="17">
        <f>'Grid_Stock'!L39</f>
        <v/>
      </c>
      <c r="U44" s="17">
        <f>'Grid_Stock'!M39</f>
        <v/>
      </c>
      <c r="V44" s="17">
        <f>'Grid_Stock'!N39</f>
        <v/>
      </c>
      <c r="W44" s="17">
        <f>'Grid_Stock'!O39</f>
        <v/>
      </c>
      <c r="X44" s="17">
        <f>'Grid_Stock'!P39</f>
        <v/>
      </c>
      <c r="Y44" s="17">
        <f>'Grid_Stock'!Q39</f>
        <v/>
      </c>
      <c r="Z44" s="17">
        <f>'Grid_Stock'!R39</f>
        <v/>
      </c>
      <c r="AA44" s="17">
        <f>'Grid_Stock'!S39</f>
        <v/>
      </c>
      <c r="AB44" s="17">
        <f>'Grid_Stock'!T39</f>
        <v/>
      </c>
      <c r="AC44" s="17">
        <f>'Grid_Stock'!U39</f>
        <v/>
      </c>
      <c r="AD44" s="17">
        <f>'Grid_Stock'!V39</f>
        <v/>
      </c>
      <c r="AE44" s="17">
        <f>'Grid_Stock'!W39</f>
        <v/>
      </c>
      <c r="AF44" s="17">
        <f>'Grid_Stock'!X39</f>
        <v/>
      </c>
      <c r="AG44" s="17">
        <f>'Grid_Stock'!Y39</f>
        <v/>
      </c>
      <c r="AH44" s="17">
        <f>'Grid_Stock'!Z39</f>
        <v/>
      </c>
      <c r="AI44" s="17">
        <f>'Grid_Stock'!AA39</f>
        <v/>
      </c>
      <c r="AJ44" s="17">
        <f>'Grid_Stock'!AB39</f>
        <v/>
      </c>
      <c r="AK44" s="17">
        <f>'Grid_Stock'!AC39</f>
        <v/>
      </c>
      <c r="AL44" s="17">
        <f>'Grid_Stock'!AD39</f>
        <v/>
      </c>
      <c r="AM44" s="17">
        <f>'Grid_Stock'!AE39</f>
        <v/>
      </c>
      <c r="AN44" s="17">
        <f>'Grid_Stock'!AF39</f>
        <v/>
      </c>
      <c r="AO44" s="17">
        <f>'Grid_Stock'!AG39</f>
        <v/>
      </c>
      <c r="AP44" s="17">
        <f>'Grid_Stock'!AH39</f>
        <v/>
      </c>
      <c r="AQ44" s="17">
        <f>'Grid_Stock'!AI39</f>
        <v/>
      </c>
      <c r="AR44" s="17">
        <f>'Grid_Stock'!AJ39</f>
        <v/>
      </c>
      <c r="AS44" s="17">
        <f>'Grid_Stock'!AK39</f>
        <v/>
      </c>
      <c r="AT44" s="17">
        <f>'Grid_Stock'!AL39</f>
        <v/>
      </c>
      <c r="AU44" s="17">
        <f>'Grid_Stock'!AM39</f>
        <v/>
      </c>
      <c r="AV44" s="17">
        <f>'Grid_Stock'!AN39</f>
        <v/>
      </c>
      <c r="AW44" s="17">
        <f>'Grid_Stock'!AO39</f>
        <v/>
      </c>
      <c r="AX44" s="17">
        <f>'Grid_Stock'!AP39</f>
        <v/>
      </c>
      <c r="AY44" s="17">
        <f>'Grid_Stock'!AQ39</f>
        <v/>
      </c>
      <c r="AZ44" s="17">
        <f>'Grid_Stock'!AR39</f>
        <v/>
      </c>
      <c r="BA44" s="17">
        <f>'Grid_Stock'!AS39</f>
        <v/>
      </c>
      <c r="BB44" s="17">
        <f>'Grid_Stock'!AT39</f>
        <v/>
      </c>
      <c r="BC44" s="17">
        <f>'Grid_Stock'!AU39</f>
        <v/>
      </c>
      <c r="BD44" s="17">
        <f>'Grid_Stock'!AV39</f>
        <v/>
      </c>
      <c r="BE44" s="17">
        <f>'Grid_Stock'!AW39</f>
        <v/>
      </c>
      <c r="BF44" s="17">
        <f>'Grid_Stock'!AX39</f>
        <v/>
      </c>
      <c r="BG44" s="17">
        <f>'Grid_Stock'!AY39</f>
        <v/>
      </c>
      <c r="BH44" s="17">
        <f>'Grid_Stock'!AZ39</f>
        <v/>
      </c>
      <c r="BI44" s="17">
        <f>'Grid_Stock'!BA39</f>
        <v/>
      </c>
      <c r="BJ44" s="17">
        <f>'Grid_Stock'!BB39</f>
        <v/>
      </c>
      <c r="BK44" s="17">
        <f>'Grid_Stock'!BC39</f>
        <v/>
      </c>
      <c r="BL44" s="17">
        <f>'Grid_Stock'!BD39</f>
        <v/>
      </c>
      <c r="BM44" s="17">
        <f>'Grid_Stock'!BE39</f>
        <v/>
      </c>
      <c r="BN44" s="17">
        <f>'Grid_Stock'!BF39</f>
        <v/>
      </c>
      <c r="BO44" s="17">
        <f>'Grid_Stock'!BG39</f>
        <v/>
      </c>
      <c r="BP44" s="17">
        <f>'Grid_Stock'!BH39</f>
        <v/>
      </c>
      <c r="BQ44" s="17">
        <f>'Grid_Stock'!BI39</f>
        <v/>
      </c>
      <c r="BR44" s="17">
        <f>'Grid_Stock'!BJ39</f>
        <v/>
      </c>
      <c r="BS44" s="17">
        <f>'Grid_Stock'!BK39</f>
        <v/>
      </c>
      <c r="BT44" s="17">
        <f>'Grid_Stock'!BL39</f>
        <v/>
      </c>
      <c r="BU44" s="17">
        <f>'Grid_Stock'!BM39</f>
        <v/>
      </c>
      <c r="BV44" s="17">
        <f>'Grid_Stock'!BN39</f>
        <v/>
      </c>
      <c r="BW44" s="17">
        <f>'Grid_Stock'!BO39</f>
        <v/>
      </c>
      <c r="BX44" s="17">
        <f>'Grid_Stock'!BP39</f>
        <v/>
      </c>
      <c r="BY44" s="17">
        <f>'Grid_Stock'!BQ39</f>
        <v/>
      </c>
      <c r="BZ44" s="17">
        <f>'Grid_Stock'!BR39</f>
        <v/>
      </c>
      <c r="CA44" s="17">
        <f>'Grid_Stock'!BS39</f>
        <v/>
      </c>
      <c r="CB44" s="17">
        <f>'Grid_Stock'!BT39</f>
        <v/>
      </c>
      <c r="CC44" s="17">
        <f>'Grid_Stock'!BU39</f>
        <v/>
      </c>
      <c r="CD44" s="17">
        <f>'Grid_Stock'!BV39</f>
        <v/>
      </c>
      <c r="CE44" s="17">
        <f>'Grid_Stock'!BW39</f>
        <v/>
      </c>
      <c r="CF44" s="17">
        <f>'Grid_Stock'!BX39</f>
        <v/>
      </c>
      <c r="CG44" s="17">
        <f>'Grid_Stock'!BY39</f>
        <v/>
      </c>
      <c r="CH44" s="17">
        <f>'Grid_Stock'!BZ39</f>
        <v/>
      </c>
      <c r="CI44" s="17">
        <f>'Grid_Stock'!CA39</f>
        <v/>
      </c>
      <c r="CJ44" s="17">
        <f>'Grid_Stock'!CB39</f>
        <v/>
      </c>
      <c r="CK44" s="17">
        <f>'Grid_Stock'!CC39</f>
        <v/>
      </c>
      <c r="CL44" s="17">
        <f>'Grid_Stock'!CD39</f>
        <v/>
      </c>
      <c r="CM44" s="17">
        <f>'Grid_Stock'!CE39</f>
        <v/>
      </c>
      <c r="CN44" s="17">
        <f>'Grid_Stock'!CF39</f>
        <v/>
      </c>
      <c r="CO44" s="17">
        <f>'Grid_Stock'!CG39</f>
        <v/>
      </c>
      <c r="CP44" s="17">
        <f>'Grid_Stock'!CH39</f>
        <v/>
      </c>
      <c r="CQ44" s="17">
        <f>'Grid_Stock'!CI39</f>
        <v/>
      </c>
      <c r="CR44" s="17">
        <f>'Grid_Stock'!CJ39</f>
        <v/>
      </c>
      <c r="CS44" s="17">
        <f>'Grid_Stock'!CK39</f>
        <v/>
      </c>
      <c r="CT44" s="17">
        <f>'Grid_Stock'!CL39</f>
        <v/>
      </c>
      <c r="CU44" s="17">
        <f>'Grid_Stock'!CM39</f>
        <v/>
      </c>
      <c r="CV44" s="17">
        <f>'Grid_Stock'!CN39</f>
        <v/>
      </c>
      <c r="CW44" s="17">
        <f>'Grid_Stock'!CO39</f>
        <v/>
      </c>
      <c r="CX44" s="17">
        <f>'Grid_Stock'!CP39</f>
        <v/>
      </c>
      <c r="CY44" s="17">
        <f>'Grid_Stock'!CQ39</f>
        <v/>
      </c>
      <c r="CZ44" s="17">
        <f>'Grid_Stock'!CR39</f>
        <v/>
      </c>
      <c r="DA44" s="17">
        <f>'Grid_Stock'!CS39</f>
        <v/>
      </c>
      <c r="DB44" s="17">
        <f>'Grid_Stock'!CT39</f>
        <v/>
      </c>
      <c r="DC44" s="17">
        <f>'Grid_Stock'!CU39</f>
        <v/>
      </c>
      <c r="DD44" s="17">
        <f>'Grid_Stock'!CV39</f>
        <v/>
      </c>
      <c r="DE44" s="17">
        <f>'Grid_Stock'!CW39</f>
        <v/>
      </c>
      <c r="DF44" s="17">
        <f>'Grid_Stock'!CX39</f>
        <v/>
      </c>
      <c r="DG44" s="17">
        <f>'Grid_Stock'!CY39</f>
        <v/>
      </c>
      <c r="DH44" s="17">
        <f>'Grid_Stock'!CZ39</f>
        <v/>
      </c>
      <c r="DI44" s="17">
        <f>'Grid_Stock'!DA39</f>
        <v/>
      </c>
    </row>
    <row r="45">
      <c r="A45" s="15" t="inlineStr">
        <is>
          <t>TPP-1469</t>
        </is>
      </c>
      <c r="B45" s="15">
        <f>IFERROR(INDEX(M_RawMaterials[Description],MATCH($A45,M_RawMaterials[RM_Code],0)),"")</f>
        <v/>
      </c>
      <c r="C45" s="15">
        <f>IFERROR(INDEX(M_RawMaterials[Category],MATCH($A45,M_RawMaterials[RM_Code],0)),"")</f>
        <v/>
      </c>
      <c r="D45" s="15">
        <f>IFERROR(INDEX(M_RawMaterials[SafetyStock_Qty_要入力],MATCH($A45,M_RawMaterials[RM_Code],0)),0)</f>
        <v/>
      </c>
      <c r="E45" s="15">
        <f>IFERROR(LOOKUP(2,1/(T_SelfStock!$A$2:$A$12000=$A45),T_SelfStock!$D$2:$D$12000),"")</f>
        <v/>
      </c>
      <c r="F45" s="15">
        <f>IFERROR(LOOKUP(2,1/(T_TTAFStock!$A$2:$A$12000=$A45),T_TTAFStock!$D$2:$D$12000),"")</f>
        <v/>
      </c>
      <c r="G45" s="15">
        <f>IFERROR(INDEX(Cal_Weeks[Label],LOOKUP(2,1/(T_SelfStock!$A$2:$A$12000=$A45),T_SelfStock!$B$2:$B$12000)),"")</f>
        <v/>
      </c>
      <c r="H45" s="15">
        <f>IF(MIN(J45:DI45)&lt;D45,"要発注","OK")</f>
        <v/>
      </c>
      <c r="I45" s="16">
        <f>IFERROR(INDEX(J45:DI45,$F$1),"")</f>
        <v/>
      </c>
      <c r="J45" s="15">
        <f>'Grid_Stock'!B40</f>
        <v/>
      </c>
      <c r="K45" s="15">
        <f>'Grid_Stock'!C40</f>
        <v/>
      </c>
      <c r="L45" s="15">
        <f>'Grid_Stock'!D40</f>
        <v/>
      </c>
      <c r="M45" s="15">
        <f>'Grid_Stock'!E40</f>
        <v/>
      </c>
      <c r="N45" s="15">
        <f>'Grid_Stock'!F40</f>
        <v/>
      </c>
      <c r="O45" s="15">
        <f>'Grid_Stock'!G40</f>
        <v/>
      </c>
      <c r="P45" s="15">
        <f>'Grid_Stock'!H40</f>
        <v/>
      </c>
      <c r="Q45" s="15">
        <f>'Grid_Stock'!I40</f>
        <v/>
      </c>
      <c r="R45" s="15">
        <f>'Grid_Stock'!J40</f>
        <v/>
      </c>
      <c r="S45" s="15">
        <f>'Grid_Stock'!K40</f>
        <v/>
      </c>
      <c r="T45" s="15">
        <f>'Grid_Stock'!L40</f>
        <v/>
      </c>
      <c r="U45" s="15">
        <f>'Grid_Stock'!M40</f>
        <v/>
      </c>
      <c r="V45" s="15">
        <f>'Grid_Stock'!N40</f>
        <v/>
      </c>
      <c r="W45" s="15">
        <f>'Grid_Stock'!O40</f>
        <v/>
      </c>
      <c r="X45" s="15">
        <f>'Grid_Stock'!P40</f>
        <v/>
      </c>
      <c r="Y45" s="15">
        <f>'Grid_Stock'!Q40</f>
        <v/>
      </c>
      <c r="Z45" s="15">
        <f>'Grid_Stock'!R40</f>
        <v/>
      </c>
      <c r="AA45" s="15">
        <f>'Grid_Stock'!S40</f>
        <v/>
      </c>
      <c r="AB45" s="15">
        <f>'Grid_Stock'!T40</f>
        <v/>
      </c>
      <c r="AC45" s="15">
        <f>'Grid_Stock'!U40</f>
        <v/>
      </c>
      <c r="AD45" s="15">
        <f>'Grid_Stock'!V40</f>
        <v/>
      </c>
      <c r="AE45" s="15">
        <f>'Grid_Stock'!W40</f>
        <v/>
      </c>
      <c r="AF45" s="15">
        <f>'Grid_Stock'!X40</f>
        <v/>
      </c>
      <c r="AG45" s="15">
        <f>'Grid_Stock'!Y40</f>
        <v/>
      </c>
      <c r="AH45" s="15">
        <f>'Grid_Stock'!Z40</f>
        <v/>
      </c>
      <c r="AI45" s="15">
        <f>'Grid_Stock'!AA40</f>
        <v/>
      </c>
      <c r="AJ45" s="15">
        <f>'Grid_Stock'!AB40</f>
        <v/>
      </c>
      <c r="AK45" s="15">
        <f>'Grid_Stock'!AC40</f>
        <v/>
      </c>
      <c r="AL45" s="15">
        <f>'Grid_Stock'!AD40</f>
        <v/>
      </c>
      <c r="AM45" s="15">
        <f>'Grid_Stock'!AE40</f>
        <v/>
      </c>
      <c r="AN45" s="15">
        <f>'Grid_Stock'!AF40</f>
        <v/>
      </c>
      <c r="AO45" s="15">
        <f>'Grid_Stock'!AG40</f>
        <v/>
      </c>
      <c r="AP45" s="15">
        <f>'Grid_Stock'!AH40</f>
        <v/>
      </c>
      <c r="AQ45" s="15">
        <f>'Grid_Stock'!AI40</f>
        <v/>
      </c>
      <c r="AR45" s="15">
        <f>'Grid_Stock'!AJ40</f>
        <v/>
      </c>
      <c r="AS45" s="15">
        <f>'Grid_Stock'!AK40</f>
        <v/>
      </c>
      <c r="AT45" s="15">
        <f>'Grid_Stock'!AL40</f>
        <v/>
      </c>
      <c r="AU45" s="15">
        <f>'Grid_Stock'!AM40</f>
        <v/>
      </c>
      <c r="AV45" s="15">
        <f>'Grid_Stock'!AN40</f>
        <v/>
      </c>
      <c r="AW45" s="15">
        <f>'Grid_Stock'!AO40</f>
        <v/>
      </c>
      <c r="AX45" s="15">
        <f>'Grid_Stock'!AP40</f>
        <v/>
      </c>
      <c r="AY45" s="15">
        <f>'Grid_Stock'!AQ40</f>
        <v/>
      </c>
      <c r="AZ45" s="15">
        <f>'Grid_Stock'!AR40</f>
        <v/>
      </c>
      <c r="BA45" s="15">
        <f>'Grid_Stock'!AS40</f>
        <v/>
      </c>
      <c r="BB45" s="15">
        <f>'Grid_Stock'!AT40</f>
        <v/>
      </c>
      <c r="BC45" s="15">
        <f>'Grid_Stock'!AU40</f>
        <v/>
      </c>
      <c r="BD45" s="15">
        <f>'Grid_Stock'!AV40</f>
        <v/>
      </c>
      <c r="BE45" s="15">
        <f>'Grid_Stock'!AW40</f>
        <v/>
      </c>
      <c r="BF45" s="15">
        <f>'Grid_Stock'!AX40</f>
        <v/>
      </c>
      <c r="BG45" s="15">
        <f>'Grid_Stock'!AY40</f>
        <v/>
      </c>
      <c r="BH45" s="15">
        <f>'Grid_Stock'!AZ40</f>
        <v/>
      </c>
      <c r="BI45" s="15">
        <f>'Grid_Stock'!BA40</f>
        <v/>
      </c>
      <c r="BJ45" s="15">
        <f>'Grid_Stock'!BB40</f>
        <v/>
      </c>
      <c r="BK45" s="15">
        <f>'Grid_Stock'!BC40</f>
        <v/>
      </c>
      <c r="BL45" s="15">
        <f>'Grid_Stock'!BD40</f>
        <v/>
      </c>
      <c r="BM45" s="15">
        <f>'Grid_Stock'!BE40</f>
        <v/>
      </c>
      <c r="BN45" s="15">
        <f>'Grid_Stock'!BF40</f>
        <v/>
      </c>
      <c r="BO45" s="15">
        <f>'Grid_Stock'!BG40</f>
        <v/>
      </c>
      <c r="BP45" s="15">
        <f>'Grid_Stock'!BH40</f>
        <v/>
      </c>
      <c r="BQ45" s="15">
        <f>'Grid_Stock'!BI40</f>
        <v/>
      </c>
      <c r="BR45" s="15">
        <f>'Grid_Stock'!BJ40</f>
        <v/>
      </c>
      <c r="BS45" s="15">
        <f>'Grid_Stock'!BK40</f>
        <v/>
      </c>
      <c r="BT45" s="15">
        <f>'Grid_Stock'!BL40</f>
        <v/>
      </c>
      <c r="BU45" s="15">
        <f>'Grid_Stock'!BM40</f>
        <v/>
      </c>
      <c r="BV45" s="15">
        <f>'Grid_Stock'!BN40</f>
        <v/>
      </c>
      <c r="BW45" s="15">
        <f>'Grid_Stock'!BO40</f>
        <v/>
      </c>
      <c r="BX45" s="15">
        <f>'Grid_Stock'!BP40</f>
        <v/>
      </c>
      <c r="BY45" s="15">
        <f>'Grid_Stock'!BQ40</f>
        <v/>
      </c>
      <c r="BZ45" s="15">
        <f>'Grid_Stock'!BR40</f>
        <v/>
      </c>
      <c r="CA45" s="15">
        <f>'Grid_Stock'!BS40</f>
        <v/>
      </c>
      <c r="CB45" s="15">
        <f>'Grid_Stock'!BT40</f>
        <v/>
      </c>
      <c r="CC45" s="15">
        <f>'Grid_Stock'!BU40</f>
        <v/>
      </c>
      <c r="CD45" s="15">
        <f>'Grid_Stock'!BV40</f>
        <v/>
      </c>
      <c r="CE45" s="15">
        <f>'Grid_Stock'!BW40</f>
        <v/>
      </c>
      <c r="CF45" s="15">
        <f>'Grid_Stock'!BX40</f>
        <v/>
      </c>
      <c r="CG45" s="15">
        <f>'Grid_Stock'!BY40</f>
        <v/>
      </c>
      <c r="CH45" s="15">
        <f>'Grid_Stock'!BZ40</f>
        <v/>
      </c>
      <c r="CI45" s="15">
        <f>'Grid_Stock'!CA40</f>
        <v/>
      </c>
      <c r="CJ45" s="15">
        <f>'Grid_Stock'!CB40</f>
        <v/>
      </c>
      <c r="CK45" s="15">
        <f>'Grid_Stock'!CC40</f>
        <v/>
      </c>
      <c r="CL45" s="15">
        <f>'Grid_Stock'!CD40</f>
        <v/>
      </c>
      <c r="CM45" s="15">
        <f>'Grid_Stock'!CE40</f>
        <v/>
      </c>
      <c r="CN45" s="15">
        <f>'Grid_Stock'!CF40</f>
        <v/>
      </c>
      <c r="CO45" s="15">
        <f>'Grid_Stock'!CG40</f>
        <v/>
      </c>
      <c r="CP45" s="15">
        <f>'Grid_Stock'!CH40</f>
        <v/>
      </c>
      <c r="CQ45" s="15">
        <f>'Grid_Stock'!CI40</f>
        <v/>
      </c>
      <c r="CR45" s="15">
        <f>'Grid_Stock'!CJ40</f>
        <v/>
      </c>
      <c r="CS45" s="15">
        <f>'Grid_Stock'!CK40</f>
        <v/>
      </c>
      <c r="CT45" s="15">
        <f>'Grid_Stock'!CL40</f>
        <v/>
      </c>
      <c r="CU45" s="15">
        <f>'Grid_Stock'!CM40</f>
        <v/>
      </c>
      <c r="CV45" s="15">
        <f>'Grid_Stock'!CN40</f>
        <v/>
      </c>
      <c r="CW45" s="15">
        <f>'Grid_Stock'!CO40</f>
        <v/>
      </c>
      <c r="CX45" s="15">
        <f>'Grid_Stock'!CP40</f>
        <v/>
      </c>
      <c r="CY45" s="15">
        <f>'Grid_Stock'!CQ40</f>
        <v/>
      </c>
      <c r="CZ45" s="15">
        <f>'Grid_Stock'!CR40</f>
        <v/>
      </c>
      <c r="DA45" s="15">
        <f>'Grid_Stock'!CS40</f>
        <v/>
      </c>
      <c r="DB45" s="15">
        <f>'Grid_Stock'!CT40</f>
        <v/>
      </c>
      <c r="DC45" s="15">
        <f>'Grid_Stock'!CU40</f>
        <v/>
      </c>
      <c r="DD45" s="15">
        <f>'Grid_Stock'!CV40</f>
        <v/>
      </c>
      <c r="DE45" s="15">
        <f>'Grid_Stock'!CW40</f>
        <v/>
      </c>
      <c r="DF45" s="15">
        <f>'Grid_Stock'!CX40</f>
        <v/>
      </c>
      <c r="DG45" s="15">
        <f>'Grid_Stock'!CY40</f>
        <v/>
      </c>
      <c r="DH45" s="15">
        <f>'Grid_Stock'!CZ40</f>
        <v/>
      </c>
      <c r="DI45" s="15">
        <f>'Grid_Stock'!DA40</f>
        <v/>
      </c>
    </row>
    <row r="46">
      <c r="A46" s="17" t="inlineStr">
        <is>
          <t>TDJ</t>
        </is>
      </c>
      <c r="B46" s="17">
        <f>IFERROR(INDEX(M_RawMaterials[Description],MATCH($A46,M_RawMaterials[RM_Code],0)),"")</f>
        <v/>
      </c>
      <c r="C46" s="17">
        <f>IFERROR(INDEX(M_RawMaterials[Category],MATCH($A46,M_RawMaterials[RM_Code],0)),"")</f>
        <v/>
      </c>
      <c r="D46" s="17">
        <f>IFERROR(INDEX(M_RawMaterials[SafetyStock_Qty_要入力],MATCH($A46,M_RawMaterials[RM_Code],0)),0)</f>
        <v/>
      </c>
      <c r="E46" s="17">
        <f>IFERROR(LOOKUP(2,1/(T_SelfStock!$A$2:$A$12000=$A46),T_SelfStock!$D$2:$D$12000),"")</f>
        <v/>
      </c>
      <c r="F46" s="17">
        <f>IFERROR(LOOKUP(2,1/(T_TTAFStock!$A$2:$A$12000=$A46),T_TTAFStock!$D$2:$D$12000),"")</f>
        <v/>
      </c>
      <c r="G46" s="17">
        <f>IFERROR(INDEX(Cal_Weeks[Label],LOOKUP(2,1/(T_SelfStock!$A$2:$A$12000=$A46),T_SelfStock!$B$2:$B$12000)),"")</f>
        <v/>
      </c>
      <c r="H46" s="17">
        <f>IF(MIN(J46:DI46)&lt;D46,"要発注","OK")</f>
        <v/>
      </c>
      <c r="I46" s="16">
        <f>IFERROR(INDEX(J46:DI46,$F$1),"")</f>
        <v/>
      </c>
      <c r="J46" s="17">
        <f>'Grid_Stock'!B41</f>
        <v/>
      </c>
      <c r="K46" s="17">
        <f>'Grid_Stock'!C41</f>
        <v/>
      </c>
      <c r="L46" s="17">
        <f>'Grid_Stock'!D41</f>
        <v/>
      </c>
      <c r="M46" s="17">
        <f>'Grid_Stock'!E41</f>
        <v/>
      </c>
      <c r="N46" s="17">
        <f>'Grid_Stock'!F41</f>
        <v/>
      </c>
      <c r="O46" s="17">
        <f>'Grid_Stock'!G41</f>
        <v/>
      </c>
      <c r="P46" s="17">
        <f>'Grid_Stock'!H41</f>
        <v/>
      </c>
      <c r="Q46" s="17">
        <f>'Grid_Stock'!I41</f>
        <v/>
      </c>
      <c r="R46" s="17">
        <f>'Grid_Stock'!J41</f>
        <v/>
      </c>
      <c r="S46" s="17">
        <f>'Grid_Stock'!K41</f>
        <v/>
      </c>
      <c r="T46" s="17">
        <f>'Grid_Stock'!L41</f>
        <v/>
      </c>
      <c r="U46" s="17">
        <f>'Grid_Stock'!M41</f>
        <v/>
      </c>
      <c r="V46" s="17">
        <f>'Grid_Stock'!N41</f>
        <v/>
      </c>
      <c r="W46" s="17">
        <f>'Grid_Stock'!O41</f>
        <v/>
      </c>
      <c r="X46" s="17">
        <f>'Grid_Stock'!P41</f>
        <v/>
      </c>
      <c r="Y46" s="17">
        <f>'Grid_Stock'!Q41</f>
        <v/>
      </c>
      <c r="Z46" s="17">
        <f>'Grid_Stock'!R41</f>
        <v/>
      </c>
      <c r="AA46" s="17">
        <f>'Grid_Stock'!S41</f>
        <v/>
      </c>
      <c r="AB46" s="17">
        <f>'Grid_Stock'!T41</f>
        <v/>
      </c>
      <c r="AC46" s="17">
        <f>'Grid_Stock'!U41</f>
        <v/>
      </c>
      <c r="AD46" s="17">
        <f>'Grid_Stock'!V41</f>
        <v/>
      </c>
      <c r="AE46" s="17">
        <f>'Grid_Stock'!W41</f>
        <v/>
      </c>
      <c r="AF46" s="17">
        <f>'Grid_Stock'!X41</f>
        <v/>
      </c>
      <c r="AG46" s="17">
        <f>'Grid_Stock'!Y41</f>
        <v/>
      </c>
      <c r="AH46" s="17">
        <f>'Grid_Stock'!Z41</f>
        <v/>
      </c>
      <c r="AI46" s="17">
        <f>'Grid_Stock'!AA41</f>
        <v/>
      </c>
      <c r="AJ46" s="17">
        <f>'Grid_Stock'!AB41</f>
        <v/>
      </c>
      <c r="AK46" s="17">
        <f>'Grid_Stock'!AC41</f>
        <v/>
      </c>
      <c r="AL46" s="17">
        <f>'Grid_Stock'!AD41</f>
        <v/>
      </c>
      <c r="AM46" s="17">
        <f>'Grid_Stock'!AE41</f>
        <v/>
      </c>
      <c r="AN46" s="17">
        <f>'Grid_Stock'!AF41</f>
        <v/>
      </c>
      <c r="AO46" s="17">
        <f>'Grid_Stock'!AG41</f>
        <v/>
      </c>
      <c r="AP46" s="17">
        <f>'Grid_Stock'!AH41</f>
        <v/>
      </c>
      <c r="AQ46" s="17">
        <f>'Grid_Stock'!AI41</f>
        <v/>
      </c>
      <c r="AR46" s="17">
        <f>'Grid_Stock'!AJ41</f>
        <v/>
      </c>
      <c r="AS46" s="17">
        <f>'Grid_Stock'!AK41</f>
        <v/>
      </c>
      <c r="AT46" s="17">
        <f>'Grid_Stock'!AL41</f>
        <v/>
      </c>
      <c r="AU46" s="17">
        <f>'Grid_Stock'!AM41</f>
        <v/>
      </c>
      <c r="AV46" s="17">
        <f>'Grid_Stock'!AN41</f>
        <v/>
      </c>
      <c r="AW46" s="17">
        <f>'Grid_Stock'!AO41</f>
        <v/>
      </c>
      <c r="AX46" s="17">
        <f>'Grid_Stock'!AP41</f>
        <v/>
      </c>
      <c r="AY46" s="17">
        <f>'Grid_Stock'!AQ41</f>
        <v/>
      </c>
      <c r="AZ46" s="17">
        <f>'Grid_Stock'!AR41</f>
        <v/>
      </c>
      <c r="BA46" s="17">
        <f>'Grid_Stock'!AS41</f>
        <v/>
      </c>
      <c r="BB46" s="17">
        <f>'Grid_Stock'!AT41</f>
        <v/>
      </c>
      <c r="BC46" s="17">
        <f>'Grid_Stock'!AU41</f>
        <v/>
      </c>
      <c r="BD46" s="17">
        <f>'Grid_Stock'!AV41</f>
        <v/>
      </c>
      <c r="BE46" s="17">
        <f>'Grid_Stock'!AW41</f>
        <v/>
      </c>
      <c r="BF46" s="17">
        <f>'Grid_Stock'!AX41</f>
        <v/>
      </c>
      <c r="BG46" s="17">
        <f>'Grid_Stock'!AY41</f>
        <v/>
      </c>
      <c r="BH46" s="17">
        <f>'Grid_Stock'!AZ41</f>
        <v/>
      </c>
      <c r="BI46" s="17">
        <f>'Grid_Stock'!BA41</f>
        <v/>
      </c>
      <c r="BJ46" s="17">
        <f>'Grid_Stock'!BB41</f>
        <v/>
      </c>
      <c r="BK46" s="17">
        <f>'Grid_Stock'!BC41</f>
        <v/>
      </c>
      <c r="BL46" s="17">
        <f>'Grid_Stock'!BD41</f>
        <v/>
      </c>
      <c r="BM46" s="17">
        <f>'Grid_Stock'!BE41</f>
        <v/>
      </c>
      <c r="BN46" s="17">
        <f>'Grid_Stock'!BF41</f>
        <v/>
      </c>
      <c r="BO46" s="17">
        <f>'Grid_Stock'!BG41</f>
        <v/>
      </c>
      <c r="BP46" s="17">
        <f>'Grid_Stock'!BH41</f>
        <v/>
      </c>
      <c r="BQ46" s="17">
        <f>'Grid_Stock'!BI41</f>
        <v/>
      </c>
      <c r="BR46" s="17">
        <f>'Grid_Stock'!BJ41</f>
        <v/>
      </c>
      <c r="BS46" s="17">
        <f>'Grid_Stock'!BK41</f>
        <v/>
      </c>
      <c r="BT46" s="17">
        <f>'Grid_Stock'!BL41</f>
        <v/>
      </c>
      <c r="BU46" s="17">
        <f>'Grid_Stock'!BM41</f>
        <v/>
      </c>
      <c r="BV46" s="17">
        <f>'Grid_Stock'!BN41</f>
        <v/>
      </c>
      <c r="BW46" s="17">
        <f>'Grid_Stock'!BO41</f>
        <v/>
      </c>
      <c r="BX46" s="17">
        <f>'Grid_Stock'!BP41</f>
        <v/>
      </c>
      <c r="BY46" s="17">
        <f>'Grid_Stock'!BQ41</f>
        <v/>
      </c>
      <c r="BZ46" s="17">
        <f>'Grid_Stock'!BR41</f>
        <v/>
      </c>
      <c r="CA46" s="17">
        <f>'Grid_Stock'!BS41</f>
        <v/>
      </c>
      <c r="CB46" s="17">
        <f>'Grid_Stock'!BT41</f>
        <v/>
      </c>
      <c r="CC46" s="17">
        <f>'Grid_Stock'!BU41</f>
        <v/>
      </c>
      <c r="CD46" s="17">
        <f>'Grid_Stock'!BV41</f>
        <v/>
      </c>
      <c r="CE46" s="17">
        <f>'Grid_Stock'!BW41</f>
        <v/>
      </c>
      <c r="CF46" s="17">
        <f>'Grid_Stock'!BX41</f>
        <v/>
      </c>
      <c r="CG46" s="17">
        <f>'Grid_Stock'!BY41</f>
        <v/>
      </c>
      <c r="CH46" s="17">
        <f>'Grid_Stock'!BZ41</f>
        <v/>
      </c>
      <c r="CI46" s="17">
        <f>'Grid_Stock'!CA41</f>
        <v/>
      </c>
      <c r="CJ46" s="17">
        <f>'Grid_Stock'!CB41</f>
        <v/>
      </c>
      <c r="CK46" s="17">
        <f>'Grid_Stock'!CC41</f>
        <v/>
      </c>
      <c r="CL46" s="17">
        <f>'Grid_Stock'!CD41</f>
        <v/>
      </c>
      <c r="CM46" s="17">
        <f>'Grid_Stock'!CE41</f>
        <v/>
      </c>
      <c r="CN46" s="17">
        <f>'Grid_Stock'!CF41</f>
        <v/>
      </c>
      <c r="CO46" s="17">
        <f>'Grid_Stock'!CG41</f>
        <v/>
      </c>
      <c r="CP46" s="17">
        <f>'Grid_Stock'!CH41</f>
        <v/>
      </c>
      <c r="CQ46" s="17">
        <f>'Grid_Stock'!CI41</f>
        <v/>
      </c>
      <c r="CR46" s="17">
        <f>'Grid_Stock'!CJ41</f>
        <v/>
      </c>
      <c r="CS46" s="17">
        <f>'Grid_Stock'!CK41</f>
        <v/>
      </c>
      <c r="CT46" s="17">
        <f>'Grid_Stock'!CL41</f>
        <v/>
      </c>
      <c r="CU46" s="17">
        <f>'Grid_Stock'!CM41</f>
        <v/>
      </c>
      <c r="CV46" s="17">
        <f>'Grid_Stock'!CN41</f>
        <v/>
      </c>
      <c r="CW46" s="17">
        <f>'Grid_Stock'!CO41</f>
        <v/>
      </c>
      <c r="CX46" s="17">
        <f>'Grid_Stock'!CP41</f>
        <v/>
      </c>
      <c r="CY46" s="17">
        <f>'Grid_Stock'!CQ41</f>
        <v/>
      </c>
      <c r="CZ46" s="17">
        <f>'Grid_Stock'!CR41</f>
        <v/>
      </c>
      <c r="DA46" s="17">
        <f>'Grid_Stock'!CS41</f>
        <v/>
      </c>
      <c r="DB46" s="17">
        <f>'Grid_Stock'!CT41</f>
        <v/>
      </c>
      <c r="DC46" s="17">
        <f>'Grid_Stock'!CU41</f>
        <v/>
      </c>
      <c r="DD46" s="17">
        <f>'Grid_Stock'!CV41</f>
        <v/>
      </c>
      <c r="DE46" s="17">
        <f>'Grid_Stock'!CW41</f>
        <v/>
      </c>
      <c r="DF46" s="17">
        <f>'Grid_Stock'!CX41</f>
        <v/>
      </c>
      <c r="DG46" s="17">
        <f>'Grid_Stock'!CY41</f>
        <v/>
      </c>
      <c r="DH46" s="17">
        <f>'Grid_Stock'!CZ41</f>
        <v/>
      </c>
      <c r="DI46" s="17">
        <f>'Grid_Stock'!DA41</f>
        <v/>
      </c>
    </row>
    <row r="47">
      <c r="A47" s="15" t="inlineStr">
        <is>
          <t>CHEM-1730</t>
        </is>
      </c>
      <c r="B47" s="15">
        <f>IFERROR(INDEX(M_RawMaterials[Description],MATCH($A47,M_RawMaterials[RM_Code],0)),"")</f>
        <v/>
      </c>
      <c r="C47" s="15">
        <f>IFERROR(INDEX(M_RawMaterials[Category],MATCH($A47,M_RawMaterials[RM_Code],0)),"")</f>
        <v/>
      </c>
      <c r="D47" s="15">
        <f>IFERROR(INDEX(M_RawMaterials[SafetyStock_Qty_要入力],MATCH($A47,M_RawMaterials[RM_Code],0)),0)</f>
        <v/>
      </c>
      <c r="E47" s="15">
        <f>IFERROR(LOOKUP(2,1/(T_SelfStock!$A$2:$A$12000=$A47),T_SelfStock!$D$2:$D$12000),"")</f>
        <v/>
      </c>
      <c r="F47" s="15">
        <f>IFERROR(LOOKUP(2,1/(T_TTAFStock!$A$2:$A$12000=$A47),T_TTAFStock!$D$2:$D$12000),"")</f>
        <v/>
      </c>
      <c r="G47" s="15">
        <f>IFERROR(INDEX(Cal_Weeks[Label],LOOKUP(2,1/(T_SelfStock!$A$2:$A$12000=$A47),T_SelfStock!$B$2:$B$12000)),"")</f>
        <v/>
      </c>
      <c r="H47" s="15">
        <f>IF(MIN(J47:DI47)&lt;D47,"要発注","OK")</f>
        <v/>
      </c>
      <c r="I47" s="16">
        <f>IFERROR(INDEX(J47:DI47,$F$1),"")</f>
        <v/>
      </c>
      <c r="J47" s="15">
        <f>'Grid_Stock'!B42</f>
        <v/>
      </c>
      <c r="K47" s="15">
        <f>'Grid_Stock'!C42</f>
        <v/>
      </c>
      <c r="L47" s="15">
        <f>'Grid_Stock'!D42</f>
        <v/>
      </c>
      <c r="M47" s="15">
        <f>'Grid_Stock'!E42</f>
        <v/>
      </c>
      <c r="N47" s="15">
        <f>'Grid_Stock'!F42</f>
        <v/>
      </c>
      <c r="O47" s="15">
        <f>'Grid_Stock'!G42</f>
        <v/>
      </c>
      <c r="P47" s="15">
        <f>'Grid_Stock'!H42</f>
        <v/>
      </c>
      <c r="Q47" s="15">
        <f>'Grid_Stock'!I42</f>
        <v/>
      </c>
      <c r="R47" s="15">
        <f>'Grid_Stock'!J42</f>
        <v/>
      </c>
      <c r="S47" s="15">
        <f>'Grid_Stock'!K42</f>
        <v/>
      </c>
      <c r="T47" s="15">
        <f>'Grid_Stock'!L42</f>
        <v/>
      </c>
      <c r="U47" s="15">
        <f>'Grid_Stock'!M42</f>
        <v/>
      </c>
      <c r="V47" s="15">
        <f>'Grid_Stock'!N42</f>
        <v/>
      </c>
      <c r="W47" s="15">
        <f>'Grid_Stock'!O42</f>
        <v/>
      </c>
      <c r="X47" s="15">
        <f>'Grid_Stock'!P42</f>
        <v/>
      </c>
      <c r="Y47" s="15">
        <f>'Grid_Stock'!Q42</f>
        <v/>
      </c>
      <c r="Z47" s="15">
        <f>'Grid_Stock'!R42</f>
        <v/>
      </c>
      <c r="AA47" s="15">
        <f>'Grid_Stock'!S42</f>
        <v/>
      </c>
      <c r="AB47" s="15">
        <f>'Grid_Stock'!T42</f>
        <v/>
      </c>
      <c r="AC47" s="15">
        <f>'Grid_Stock'!U42</f>
        <v/>
      </c>
      <c r="AD47" s="15">
        <f>'Grid_Stock'!V42</f>
        <v/>
      </c>
      <c r="AE47" s="15">
        <f>'Grid_Stock'!W42</f>
        <v/>
      </c>
      <c r="AF47" s="15">
        <f>'Grid_Stock'!X42</f>
        <v/>
      </c>
      <c r="AG47" s="15">
        <f>'Grid_Stock'!Y42</f>
        <v/>
      </c>
      <c r="AH47" s="15">
        <f>'Grid_Stock'!Z42</f>
        <v/>
      </c>
      <c r="AI47" s="15">
        <f>'Grid_Stock'!AA42</f>
        <v/>
      </c>
      <c r="AJ47" s="15">
        <f>'Grid_Stock'!AB42</f>
        <v/>
      </c>
      <c r="AK47" s="15">
        <f>'Grid_Stock'!AC42</f>
        <v/>
      </c>
      <c r="AL47" s="15">
        <f>'Grid_Stock'!AD42</f>
        <v/>
      </c>
      <c r="AM47" s="15">
        <f>'Grid_Stock'!AE42</f>
        <v/>
      </c>
      <c r="AN47" s="15">
        <f>'Grid_Stock'!AF42</f>
        <v/>
      </c>
      <c r="AO47" s="15">
        <f>'Grid_Stock'!AG42</f>
        <v/>
      </c>
      <c r="AP47" s="15">
        <f>'Grid_Stock'!AH42</f>
        <v/>
      </c>
      <c r="AQ47" s="15">
        <f>'Grid_Stock'!AI42</f>
        <v/>
      </c>
      <c r="AR47" s="15">
        <f>'Grid_Stock'!AJ42</f>
        <v/>
      </c>
      <c r="AS47" s="15">
        <f>'Grid_Stock'!AK42</f>
        <v/>
      </c>
      <c r="AT47" s="15">
        <f>'Grid_Stock'!AL42</f>
        <v/>
      </c>
      <c r="AU47" s="15">
        <f>'Grid_Stock'!AM42</f>
        <v/>
      </c>
      <c r="AV47" s="15">
        <f>'Grid_Stock'!AN42</f>
        <v/>
      </c>
      <c r="AW47" s="15">
        <f>'Grid_Stock'!AO42</f>
        <v/>
      </c>
      <c r="AX47" s="15">
        <f>'Grid_Stock'!AP42</f>
        <v/>
      </c>
      <c r="AY47" s="15">
        <f>'Grid_Stock'!AQ42</f>
        <v/>
      </c>
      <c r="AZ47" s="15">
        <f>'Grid_Stock'!AR42</f>
        <v/>
      </c>
      <c r="BA47" s="15">
        <f>'Grid_Stock'!AS42</f>
        <v/>
      </c>
      <c r="BB47" s="15">
        <f>'Grid_Stock'!AT42</f>
        <v/>
      </c>
      <c r="BC47" s="15">
        <f>'Grid_Stock'!AU42</f>
        <v/>
      </c>
      <c r="BD47" s="15">
        <f>'Grid_Stock'!AV42</f>
        <v/>
      </c>
      <c r="BE47" s="15">
        <f>'Grid_Stock'!AW42</f>
        <v/>
      </c>
      <c r="BF47" s="15">
        <f>'Grid_Stock'!AX42</f>
        <v/>
      </c>
      <c r="BG47" s="15">
        <f>'Grid_Stock'!AY42</f>
        <v/>
      </c>
      <c r="BH47" s="15">
        <f>'Grid_Stock'!AZ42</f>
        <v/>
      </c>
      <c r="BI47" s="15">
        <f>'Grid_Stock'!BA42</f>
        <v/>
      </c>
      <c r="BJ47" s="15">
        <f>'Grid_Stock'!BB42</f>
        <v/>
      </c>
      <c r="BK47" s="15">
        <f>'Grid_Stock'!BC42</f>
        <v/>
      </c>
      <c r="BL47" s="15">
        <f>'Grid_Stock'!BD42</f>
        <v/>
      </c>
      <c r="BM47" s="15">
        <f>'Grid_Stock'!BE42</f>
        <v/>
      </c>
      <c r="BN47" s="15">
        <f>'Grid_Stock'!BF42</f>
        <v/>
      </c>
      <c r="BO47" s="15">
        <f>'Grid_Stock'!BG42</f>
        <v/>
      </c>
      <c r="BP47" s="15">
        <f>'Grid_Stock'!BH42</f>
        <v/>
      </c>
      <c r="BQ47" s="15">
        <f>'Grid_Stock'!BI42</f>
        <v/>
      </c>
      <c r="BR47" s="15">
        <f>'Grid_Stock'!BJ42</f>
        <v/>
      </c>
      <c r="BS47" s="15">
        <f>'Grid_Stock'!BK42</f>
        <v/>
      </c>
      <c r="BT47" s="15">
        <f>'Grid_Stock'!BL42</f>
        <v/>
      </c>
      <c r="BU47" s="15">
        <f>'Grid_Stock'!BM42</f>
        <v/>
      </c>
      <c r="BV47" s="15">
        <f>'Grid_Stock'!BN42</f>
        <v/>
      </c>
      <c r="BW47" s="15">
        <f>'Grid_Stock'!BO42</f>
        <v/>
      </c>
      <c r="BX47" s="15">
        <f>'Grid_Stock'!BP42</f>
        <v/>
      </c>
      <c r="BY47" s="15">
        <f>'Grid_Stock'!BQ42</f>
        <v/>
      </c>
      <c r="BZ47" s="15">
        <f>'Grid_Stock'!BR42</f>
        <v/>
      </c>
      <c r="CA47" s="15">
        <f>'Grid_Stock'!BS42</f>
        <v/>
      </c>
      <c r="CB47" s="15">
        <f>'Grid_Stock'!BT42</f>
        <v/>
      </c>
      <c r="CC47" s="15">
        <f>'Grid_Stock'!BU42</f>
        <v/>
      </c>
      <c r="CD47" s="15">
        <f>'Grid_Stock'!BV42</f>
        <v/>
      </c>
      <c r="CE47" s="15">
        <f>'Grid_Stock'!BW42</f>
        <v/>
      </c>
      <c r="CF47" s="15">
        <f>'Grid_Stock'!BX42</f>
        <v/>
      </c>
      <c r="CG47" s="15">
        <f>'Grid_Stock'!BY42</f>
        <v/>
      </c>
      <c r="CH47" s="15">
        <f>'Grid_Stock'!BZ42</f>
        <v/>
      </c>
      <c r="CI47" s="15">
        <f>'Grid_Stock'!CA42</f>
        <v/>
      </c>
      <c r="CJ47" s="15">
        <f>'Grid_Stock'!CB42</f>
        <v/>
      </c>
      <c r="CK47" s="15">
        <f>'Grid_Stock'!CC42</f>
        <v/>
      </c>
      <c r="CL47" s="15">
        <f>'Grid_Stock'!CD42</f>
        <v/>
      </c>
      <c r="CM47" s="15">
        <f>'Grid_Stock'!CE42</f>
        <v/>
      </c>
      <c r="CN47" s="15">
        <f>'Grid_Stock'!CF42</f>
        <v/>
      </c>
      <c r="CO47" s="15">
        <f>'Grid_Stock'!CG42</f>
        <v/>
      </c>
      <c r="CP47" s="15">
        <f>'Grid_Stock'!CH42</f>
        <v/>
      </c>
      <c r="CQ47" s="15">
        <f>'Grid_Stock'!CI42</f>
        <v/>
      </c>
      <c r="CR47" s="15">
        <f>'Grid_Stock'!CJ42</f>
        <v/>
      </c>
      <c r="CS47" s="15">
        <f>'Grid_Stock'!CK42</f>
        <v/>
      </c>
      <c r="CT47" s="15">
        <f>'Grid_Stock'!CL42</f>
        <v/>
      </c>
      <c r="CU47" s="15">
        <f>'Grid_Stock'!CM42</f>
        <v/>
      </c>
      <c r="CV47" s="15">
        <f>'Grid_Stock'!CN42</f>
        <v/>
      </c>
      <c r="CW47" s="15">
        <f>'Grid_Stock'!CO42</f>
        <v/>
      </c>
      <c r="CX47" s="15">
        <f>'Grid_Stock'!CP42</f>
        <v/>
      </c>
      <c r="CY47" s="15">
        <f>'Grid_Stock'!CQ42</f>
        <v/>
      </c>
      <c r="CZ47" s="15">
        <f>'Grid_Stock'!CR42</f>
        <v/>
      </c>
      <c r="DA47" s="15">
        <f>'Grid_Stock'!CS42</f>
        <v/>
      </c>
      <c r="DB47" s="15">
        <f>'Grid_Stock'!CT42</f>
        <v/>
      </c>
      <c r="DC47" s="15">
        <f>'Grid_Stock'!CU42</f>
        <v/>
      </c>
      <c r="DD47" s="15">
        <f>'Grid_Stock'!CV42</f>
        <v/>
      </c>
      <c r="DE47" s="15">
        <f>'Grid_Stock'!CW42</f>
        <v/>
      </c>
      <c r="DF47" s="15">
        <f>'Grid_Stock'!CX42</f>
        <v/>
      </c>
      <c r="DG47" s="15">
        <f>'Grid_Stock'!CY42</f>
        <v/>
      </c>
      <c r="DH47" s="15">
        <f>'Grid_Stock'!CZ42</f>
        <v/>
      </c>
      <c r="DI47" s="15">
        <f>'Grid_Stock'!DA42</f>
        <v/>
      </c>
    </row>
    <row r="48">
      <c r="A48" s="17" t="inlineStr">
        <is>
          <t>CHEM-1110</t>
        </is>
      </c>
      <c r="B48" s="17">
        <f>IFERROR(INDEX(M_RawMaterials[Description],MATCH($A48,M_RawMaterials[RM_Code],0)),"")</f>
        <v/>
      </c>
      <c r="C48" s="17">
        <f>IFERROR(INDEX(M_RawMaterials[Category],MATCH($A48,M_RawMaterials[RM_Code],0)),"")</f>
        <v/>
      </c>
      <c r="D48" s="17">
        <f>IFERROR(INDEX(M_RawMaterials[SafetyStock_Qty_要入力],MATCH($A48,M_RawMaterials[RM_Code],0)),0)</f>
        <v/>
      </c>
      <c r="E48" s="17">
        <f>IFERROR(LOOKUP(2,1/(T_SelfStock!$A$2:$A$12000=$A48),T_SelfStock!$D$2:$D$12000),"")</f>
        <v/>
      </c>
      <c r="F48" s="17">
        <f>IFERROR(LOOKUP(2,1/(T_TTAFStock!$A$2:$A$12000=$A48),T_TTAFStock!$D$2:$D$12000),"")</f>
        <v/>
      </c>
      <c r="G48" s="17">
        <f>IFERROR(INDEX(Cal_Weeks[Label],LOOKUP(2,1/(T_SelfStock!$A$2:$A$12000=$A48),T_SelfStock!$B$2:$B$12000)),"")</f>
        <v/>
      </c>
      <c r="H48" s="17">
        <f>IF(MIN(J48:DI48)&lt;D48,"要発注","OK")</f>
        <v/>
      </c>
      <c r="I48" s="16">
        <f>IFERROR(INDEX(J48:DI48,$F$1),"")</f>
        <v/>
      </c>
      <c r="J48" s="17">
        <f>'Grid_Stock'!B43</f>
        <v/>
      </c>
      <c r="K48" s="17">
        <f>'Grid_Stock'!C43</f>
        <v/>
      </c>
      <c r="L48" s="17">
        <f>'Grid_Stock'!D43</f>
        <v/>
      </c>
      <c r="M48" s="17">
        <f>'Grid_Stock'!E43</f>
        <v/>
      </c>
      <c r="N48" s="17">
        <f>'Grid_Stock'!F43</f>
        <v/>
      </c>
      <c r="O48" s="17">
        <f>'Grid_Stock'!G43</f>
        <v/>
      </c>
      <c r="P48" s="17">
        <f>'Grid_Stock'!H43</f>
        <v/>
      </c>
      <c r="Q48" s="17">
        <f>'Grid_Stock'!I43</f>
        <v/>
      </c>
      <c r="R48" s="17">
        <f>'Grid_Stock'!J43</f>
        <v/>
      </c>
      <c r="S48" s="17">
        <f>'Grid_Stock'!K43</f>
        <v/>
      </c>
      <c r="T48" s="17">
        <f>'Grid_Stock'!L43</f>
        <v/>
      </c>
      <c r="U48" s="17">
        <f>'Grid_Stock'!M43</f>
        <v/>
      </c>
      <c r="V48" s="17">
        <f>'Grid_Stock'!N43</f>
        <v/>
      </c>
      <c r="W48" s="17">
        <f>'Grid_Stock'!O43</f>
        <v/>
      </c>
      <c r="X48" s="17">
        <f>'Grid_Stock'!P43</f>
        <v/>
      </c>
      <c r="Y48" s="17">
        <f>'Grid_Stock'!Q43</f>
        <v/>
      </c>
      <c r="Z48" s="17">
        <f>'Grid_Stock'!R43</f>
        <v/>
      </c>
      <c r="AA48" s="17">
        <f>'Grid_Stock'!S43</f>
        <v/>
      </c>
      <c r="AB48" s="17">
        <f>'Grid_Stock'!T43</f>
        <v/>
      </c>
      <c r="AC48" s="17">
        <f>'Grid_Stock'!U43</f>
        <v/>
      </c>
      <c r="AD48" s="17">
        <f>'Grid_Stock'!V43</f>
        <v/>
      </c>
      <c r="AE48" s="17">
        <f>'Grid_Stock'!W43</f>
        <v/>
      </c>
      <c r="AF48" s="17">
        <f>'Grid_Stock'!X43</f>
        <v/>
      </c>
      <c r="AG48" s="17">
        <f>'Grid_Stock'!Y43</f>
        <v/>
      </c>
      <c r="AH48" s="17">
        <f>'Grid_Stock'!Z43</f>
        <v/>
      </c>
      <c r="AI48" s="17">
        <f>'Grid_Stock'!AA43</f>
        <v/>
      </c>
      <c r="AJ48" s="17">
        <f>'Grid_Stock'!AB43</f>
        <v/>
      </c>
      <c r="AK48" s="17">
        <f>'Grid_Stock'!AC43</f>
        <v/>
      </c>
      <c r="AL48" s="17">
        <f>'Grid_Stock'!AD43</f>
        <v/>
      </c>
      <c r="AM48" s="17">
        <f>'Grid_Stock'!AE43</f>
        <v/>
      </c>
      <c r="AN48" s="17">
        <f>'Grid_Stock'!AF43</f>
        <v/>
      </c>
      <c r="AO48" s="17">
        <f>'Grid_Stock'!AG43</f>
        <v/>
      </c>
      <c r="AP48" s="17">
        <f>'Grid_Stock'!AH43</f>
        <v/>
      </c>
      <c r="AQ48" s="17">
        <f>'Grid_Stock'!AI43</f>
        <v/>
      </c>
      <c r="AR48" s="17">
        <f>'Grid_Stock'!AJ43</f>
        <v/>
      </c>
      <c r="AS48" s="17">
        <f>'Grid_Stock'!AK43</f>
        <v/>
      </c>
      <c r="AT48" s="17">
        <f>'Grid_Stock'!AL43</f>
        <v/>
      </c>
      <c r="AU48" s="17">
        <f>'Grid_Stock'!AM43</f>
        <v/>
      </c>
      <c r="AV48" s="17">
        <f>'Grid_Stock'!AN43</f>
        <v/>
      </c>
      <c r="AW48" s="17">
        <f>'Grid_Stock'!AO43</f>
        <v/>
      </c>
      <c r="AX48" s="17">
        <f>'Grid_Stock'!AP43</f>
        <v/>
      </c>
      <c r="AY48" s="17">
        <f>'Grid_Stock'!AQ43</f>
        <v/>
      </c>
      <c r="AZ48" s="17">
        <f>'Grid_Stock'!AR43</f>
        <v/>
      </c>
      <c r="BA48" s="17">
        <f>'Grid_Stock'!AS43</f>
        <v/>
      </c>
      <c r="BB48" s="17">
        <f>'Grid_Stock'!AT43</f>
        <v/>
      </c>
      <c r="BC48" s="17">
        <f>'Grid_Stock'!AU43</f>
        <v/>
      </c>
      <c r="BD48" s="17">
        <f>'Grid_Stock'!AV43</f>
        <v/>
      </c>
      <c r="BE48" s="17">
        <f>'Grid_Stock'!AW43</f>
        <v/>
      </c>
      <c r="BF48" s="17">
        <f>'Grid_Stock'!AX43</f>
        <v/>
      </c>
      <c r="BG48" s="17">
        <f>'Grid_Stock'!AY43</f>
        <v/>
      </c>
      <c r="BH48" s="17">
        <f>'Grid_Stock'!AZ43</f>
        <v/>
      </c>
      <c r="BI48" s="17">
        <f>'Grid_Stock'!BA43</f>
        <v/>
      </c>
      <c r="BJ48" s="17">
        <f>'Grid_Stock'!BB43</f>
        <v/>
      </c>
      <c r="BK48" s="17">
        <f>'Grid_Stock'!BC43</f>
        <v/>
      </c>
      <c r="BL48" s="17">
        <f>'Grid_Stock'!BD43</f>
        <v/>
      </c>
      <c r="BM48" s="17">
        <f>'Grid_Stock'!BE43</f>
        <v/>
      </c>
      <c r="BN48" s="17">
        <f>'Grid_Stock'!BF43</f>
        <v/>
      </c>
      <c r="BO48" s="17">
        <f>'Grid_Stock'!BG43</f>
        <v/>
      </c>
      <c r="BP48" s="17">
        <f>'Grid_Stock'!BH43</f>
        <v/>
      </c>
      <c r="BQ48" s="17">
        <f>'Grid_Stock'!BI43</f>
        <v/>
      </c>
      <c r="BR48" s="17">
        <f>'Grid_Stock'!BJ43</f>
        <v/>
      </c>
      <c r="BS48" s="17">
        <f>'Grid_Stock'!BK43</f>
        <v/>
      </c>
      <c r="BT48" s="17">
        <f>'Grid_Stock'!BL43</f>
        <v/>
      </c>
      <c r="BU48" s="17">
        <f>'Grid_Stock'!BM43</f>
        <v/>
      </c>
      <c r="BV48" s="17">
        <f>'Grid_Stock'!BN43</f>
        <v/>
      </c>
      <c r="BW48" s="17">
        <f>'Grid_Stock'!BO43</f>
        <v/>
      </c>
      <c r="BX48" s="17">
        <f>'Grid_Stock'!BP43</f>
        <v/>
      </c>
      <c r="BY48" s="17">
        <f>'Grid_Stock'!BQ43</f>
        <v/>
      </c>
      <c r="BZ48" s="17">
        <f>'Grid_Stock'!BR43</f>
        <v/>
      </c>
      <c r="CA48" s="17">
        <f>'Grid_Stock'!BS43</f>
        <v/>
      </c>
      <c r="CB48" s="17">
        <f>'Grid_Stock'!BT43</f>
        <v/>
      </c>
      <c r="CC48" s="17">
        <f>'Grid_Stock'!BU43</f>
        <v/>
      </c>
      <c r="CD48" s="17">
        <f>'Grid_Stock'!BV43</f>
        <v/>
      </c>
      <c r="CE48" s="17">
        <f>'Grid_Stock'!BW43</f>
        <v/>
      </c>
      <c r="CF48" s="17">
        <f>'Grid_Stock'!BX43</f>
        <v/>
      </c>
      <c r="CG48" s="17">
        <f>'Grid_Stock'!BY43</f>
        <v/>
      </c>
      <c r="CH48" s="17">
        <f>'Grid_Stock'!BZ43</f>
        <v/>
      </c>
      <c r="CI48" s="17">
        <f>'Grid_Stock'!CA43</f>
        <v/>
      </c>
      <c r="CJ48" s="17">
        <f>'Grid_Stock'!CB43</f>
        <v/>
      </c>
      <c r="CK48" s="17">
        <f>'Grid_Stock'!CC43</f>
        <v/>
      </c>
      <c r="CL48" s="17">
        <f>'Grid_Stock'!CD43</f>
        <v/>
      </c>
      <c r="CM48" s="17">
        <f>'Grid_Stock'!CE43</f>
        <v/>
      </c>
      <c r="CN48" s="17">
        <f>'Grid_Stock'!CF43</f>
        <v/>
      </c>
      <c r="CO48" s="17">
        <f>'Grid_Stock'!CG43</f>
        <v/>
      </c>
      <c r="CP48" s="17">
        <f>'Grid_Stock'!CH43</f>
        <v/>
      </c>
      <c r="CQ48" s="17">
        <f>'Grid_Stock'!CI43</f>
        <v/>
      </c>
      <c r="CR48" s="17">
        <f>'Grid_Stock'!CJ43</f>
        <v/>
      </c>
      <c r="CS48" s="17">
        <f>'Grid_Stock'!CK43</f>
        <v/>
      </c>
      <c r="CT48" s="17">
        <f>'Grid_Stock'!CL43</f>
        <v/>
      </c>
      <c r="CU48" s="17">
        <f>'Grid_Stock'!CM43</f>
        <v/>
      </c>
      <c r="CV48" s="17">
        <f>'Grid_Stock'!CN43</f>
        <v/>
      </c>
      <c r="CW48" s="17">
        <f>'Grid_Stock'!CO43</f>
        <v/>
      </c>
      <c r="CX48" s="17">
        <f>'Grid_Stock'!CP43</f>
        <v/>
      </c>
      <c r="CY48" s="17">
        <f>'Grid_Stock'!CQ43</f>
        <v/>
      </c>
      <c r="CZ48" s="17">
        <f>'Grid_Stock'!CR43</f>
        <v/>
      </c>
      <c r="DA48" s="17">
        <f>'Grid_Stock'!CS43</f>
        <v/>
      </c>
      <c r="DB48" s="17">
        <f>'Grid_Stock'!CT43</f>
        <v/>
      </c>
      <c r="DC48" s="17">
        <f>'Grid_Stock'!CU43</f>
        <v/>
      </c>
      <c r="DD48" s="17">
        <f>'Grid_Stock'!CV43</f>
        <v/>
      </c>
      <c r="DE48" s="17">
        <f>'Grid_Stock'!CW43</f>
        <v/>
      </c>
      <c r="DF48" s="17">
        <f>'Grid_Stock'!CX43</f>
        <v/>
      </c>
      <c r="DG48" s="17">
        <f>'Grid_Stock'!CY43</f>
        <v/>
      </c>
      <c r="DH48" s="17">
        <f>'Grid_Stock'!CZ43</f>
        <v/>
      </c>
      <c r="DI48" s="17">
        <f>'Grid_Stock'!DA43</f>
        <v/>
      </c>
    </row>
    <row r="49">
      <c r="A49" s="15" t="inlineStr">
        <is>
          <t>CHEM-1120</t>
        </is>
      </c>
      <c r="B49" s="15">
        <f>IFERROR(INDEX(M_RawMaterials[Description],MATCH($A49,M_RawMaterials[RM_Code],0)),"")</f>
        <v/>
      </c>
      <c r="C49" s="15">
        <f>IFERROR(INDEX(M_RawMaterials[Category],MATCH($A49,M_RawMaterials[RM_Code],0)),"")</f>
        <v/>
      </c>
      <c r="D49" s="15">
        <f>IFERROR(INDEX(M_RawMaterials[SafetyStock_Qty_要入力],MATCH($A49,M_RawMaterials[RM_Code],0)),0)</f>
        <v/>
      </c>
      <c r="E49" s="15">
        <f>IFERROR(LOOKUP(2,1/(T_SelfStock!$A$2:$A$12000=$A49),T_SelfStock!$D$2:$D$12000),"")</f>
        <v/>
      </c>
      <c r="F49" s="15">
        <f>IFERROR(LOOKUP(2,1/(T_TTAFStock!$A$2:$A$12000=$A49),T_TTAFStock!$D$2:$D$12000),"")</f>
        <v/>
      </c>
      <c r="G49" s="15">
        <f>IFERROR(INDEX(Cal_Weeks[Label],LOOKUP(2,1/(T_SelfStock!$A$2:$A$12000=$A49),T_SelfStock!$B$2:$B$12000)),"")</f>
        <v/>
      </c>
      <c r="H49" s="15">
        <f>IF(MIN(J49:DI49)&lt;D49,"要発注","OK")</f>
        <v/>
      </c>
      <c r="I49" s="16">
        <f>IFERROR(INDEX(J49:DI49,$F$1),"")</f>
        <v/>
      </c>
      <c r="J49" s="15">
        <f>'Grid_Stock'!B44</f>
        <v/>
      </c>
      <c r="K49" s="15">
        <f>'Grid_Stock'!C44</f>
        <v/>
      </c>
      <c r="L49" s="15">
        <f>'Grid_Stock'!D44</f>
        <v/>
      </c>
      <c r="M49" s="15">
        <f>'Grid_Stock'!E44</f>
        <v/>
      </c>
      <c r="N49" s="15">
        <f>'Grid_Stock'!F44</f>
        <v/>
      </c>
      <c r="O49" s="15">
        <f>'Grid_Stock'!G44</f>
        <v/>
      </c>
      <c r="P49" s="15">
        <f>'Grid_Stock'!H44</f>
        <v/>
      </c>
      <c r="Q49" s="15">
        <f>'Grid_Stock'!I44</f>
        <v/>
      </c>
      <c r="R49" s="15">
        <f>'Grid_Stock'!J44</f>
        <v/>
      </c>
      <c r="S49" s="15">
        <f>'Grid_Stock'!K44</f>
        <v/>
      </c>
      <c r="T49" s="15">
        <f>'Grid_Stock'!L44</f>
        <v/>
      </c>
      <c r="U49" s="15">
        <f>'Grid_Stock'!M44</f>
        <v/>
      </c>
      <c r="V49" s="15">
        <f>'Grid_Stock'!N44</f>
        <v/>
      </c>
      <c r="W49" s="15">
        <f>'Grid_Stock'!O44</f>
        <v/>
      </c>
      <c r="X49" s="15">
        <f>'Grid_Stock'!P44</f>
        <v/>
      </c>
      <c r="Y49" s="15">
        <f>'Grid_Stock'!Q44</f>
        <v/>
      </c>
      <c r="Z49" s="15">
        <f>'Grid_Stock'!R44</f>
        <v/>
      </c>
      <c r="AA49" s="15">
        <f>'Grid_Stock'!S44</f>
        <v/>
      </c>
      <c r="AB49" s="15">
        <f>'Grid_Stock'!T44</f>
        <v/>
      </c>
      <c r="AC49" s="15">
        <f>'Grid_Stock'!U44</f>
        <v/>
      </c>
      <c r="AD49" s="15">
        <f>'Grid_Stock'!V44</f>
        <v/>
      </c>
      <c r="AE49" s="15">
        <f>'Grid_Stock'!W44</f>
        <v/>
      </c>
      <c r="AF49" s="15">
        <f>'Grid_Stock'!X44</f>
        <v/>
      </c>
      <c r="AG49" s="15">
        <f>'Grid_Stock'!Y44</f>
        <v/>
      </c>
      <c r="AH49" s="15">
        <f>'Grid_Stock'!Z44</f>
        <v/>
      </c>
      <c r="AI49" s="15">
        <f>'Grid_Stock'!AA44</f>
        <v/>
      </c>
      <c r="AJ49" s="15">
        <f>'Grid_Stock'!AB44</f>
        <v/>
      </c>
      <c r="AK49" s="15">
        <f>'Grid_Stock'!AC44</f>
        <v/>
      </c>
      <c r="AL49" s="15">
        <f>'Grid_Stock'!AD44</f>
        <v/>
      </c>
      <c r="AM49" s="15">
        <f>'Grid_Stock'!AE44</f>
        <v/>
      </c>
      <c r="AN49" s="15">
        <f>'Grid_Stock'!AF44</f>
        <v/>
      </c>
      <c r="AO49" s="15">
        <f>'Grid_Stock'!AG44</f>
        <v/>
      </c>
      <c r="AP49" s="15">
        <f>'Grid_Stock'!AH44</f>
        <v/>
      </c>
      <c r="AQ49" s="15">
        <f>'Grid_Stock'!AI44</f>
        <v/>
      </c>
      <c r="AR49" s="15">
        <f>'Grid_Stock'!AJ44</f>
        <v/>
      </c>
      <c r="AS49" s="15">
        <f>'Grid_Stock'!AK44</f>
        <v/>
      </c>
      <c r="AT49" s="15">
        <f>'Grid_Stock'!AL44</f>
        <v/>
      </c>
      <c r="AU49" s="15">
        <f>'Grid_Stock'!AM44</f>
        <v/>
      </c>
      <c r="AV49" s="15">
        <f>'Grid_Stock'!AN44</f>
        <v/>
      </c>
      <c r="AW49" s="15">
        <f>'Grid_Stock'!AO44</f>
        <v/>
      </c>
      <c r="AX49" s="15">
        <f>'Grid_Stock'!AP44</f>
        <v/>
      </c>
      <c r="AY49" s="15">
        <f>'Grid_Stock'!AQ44</f>
        <v/>
      </c>
      <c r="AZ49" s="15">
        <f>'Grid_Stock'!AR44</f>
        <v/>
      </c>
      <c r="BA49" s="15">
        <f>'Grid_Stock'!AS44</f>
        <v/>
      </c>
      <c r="BB49" s="15">
        <f>'Grid_Stock'!AT44</f>
        <v/>
      </c>
      <c r="BC49" s="15">
        <f>'Grid_Stock'!AU44</f>
        <v/>
      </c>
      <c r="BD49" s="15">
        <f>'Grid_Stock'!AV44</f>
        <v/>
      </c>
      <c r="BE49" s="15">
        <f>'Grid_Stock'!AW44</f>
        <v/>
      </c>
      <c r="BF49" s="15">
        <f>'Grid_Stock'!AX44</f>
        <v/>
      </c>
      <c r="BG49" s="15">
        <f>'Grid_Stock'!AY44</f>
        <v/>
      </c>
      <c r="BH49" s="15">
        <f>'Grid_Stock'!AZ44</f>
        <v/>
      </c>
      <c r="BI49" s="15">
        <f>'Grid_Stock'!BA44</f>
        <v/>
      </c>
      <c r="BJ49" s="15">
        <f>'Grid_Stock'!BB44</f>
        <v/>
      </c>
      <c r="BK49" s="15">
        <f>'Grid_Stock'!BC44</f>
        <v/>
      </c>
      <c r="BL49" s="15">
        <f>'Grid_Stock'!BD44</f>
        <v/>
      </c>
      <c r="BM49" s="15">
        <f>'Grid_Stock'!BE44</f>
        <v/>
      </c>
      <c r="BN49" s="15">
        <f>'Grid_Stock'!BF44</f>
        <v/>
      </c>
      <c r="BO49" s="15">
        <f>'Grid_Stock'!BG44</f>
        <v/>
      </c>
      <c r="BP49" s="15">
        <f>'Grid_Stock'!BH44</f>
        <v/>
      </c>
      <c r="BQ49" s="15">
        <f>'Grid_Stock'!BI44</f>
        <v/>
      </c>
      <c r="BR49" s="15">
        <f>'Grid_Stock'!BJ44</f>
        <v/>
      </c>
      <c r="BS49" s="15">
        <f>'Grid_Stock'!BK44</f>
        <v/>
      </c>
      <c r="BT49" s="15">
        <f>'Grid_Stock'!BL44</f>
        <v/>
      </c>
      <c r="BU49" s="15">
        <f>'Grid_Stock'!BM44</f>
        <v/>
      </c>
      <c r="BV49" s="15">
        <f>'Grid_Stock'!BN44</f>
        <v/>
      </c>
      <c r="BW49" s="15">
        <f>'Grid_Stock'!BO44</f>
        <v/>
      </c>
      <c r="BX49" s="15">
        <f>'Grid_Stock'!BP44</f>
        <v/>
      </c>
      <c r="BY49" s="15">
        <f>'Grid_Stock'!BQ44</f>
        <v/>
      </c>
      <c r="BZ49" s="15">
        <f>'Grid_Stock'!BR44</f>
        <v/>
      </c>
      <c r="CA49" s="15">
        <f>'Grid_Stock'!BS44</f>
        <v/>
      </c>
      <c r="CB49" s="15">
        <f>'Grid_Stock'!BT44</f>
        <v/>
      </c>
      <c r="CC49" s="15">
        <f>'Grid_Stock'!BU44</f>
        <v/>
      </c>
      <c r="CD49" s="15">
        <f>'Grid_Stock'!BV44</f>
        <v/>
      </c>
      <c r="CE49" s="15">
        <f>'Grid_Stock'!BW44</f>
        <v/>
      </c>
      <c r="CF49" s="15">
        <f>'Grid_Stock'!BX44</f>
        <v/>
      </c>
      <c r="CG49" s="15">
        <f>'Grid_Stock'!BY44</f>
        <v/>
      </c>
      <c r="CH49" s="15">
        <f>'Grid_Stock'!BZ44</f>
        <v/>
      </c>
      <c r="CI49" s="15">
        <f>'Grid_Stock'!CA44</f>
        <v/>
      </c>
      <c r="CJ49" s="15">
        <f>'Grid_Stock'!CB44</f>
        <v/>
      </c>
      <c r="CK49" s="15">
        <f>'Grid_Stock'!CC44</f>
        <v/>
      </c>
      <c r="CL49" s="15">
        <f>'Grid_Stock'!CD44</f>
        <v/>
      </c>
      <c r="CM49" s="15">
        <f>'Grid_Stock'!CE44</f>
        <v/>
      </c>
      <c r="CN49" s="15">
        <f>'Grid_Stock'!CF44</f>
        <v/>
      </c>
      <c r="CO49" s="15">
        <f>'Grid_Stock'!CG44</f>
        <v/>
      </c>
      <c r="CP49" s="15">
        <f>'Grid_Stock'!CH44</f>
        <v/>
      </c>
      <c r="CQ49" s="15">
        <f>'Grid_Stock'!CI44</f>
        <v/>
      </c>
      <c r="CR49" s="15">
        <f>'Grid_Stock'!CJ44</f>
        <v/>
      </c>
      <c r="CS49" s="15">
        <f>'Grid_Stock'!CK44</f>
        <v/>
      </c>
      <c r="CT49" s="15">
        <f>'Grid_Stock'!CL44</f>
        <v/>
      </c>
      <c r="CU49" s="15">
        <f>'Grid_Stock'!CM44</f>
        <v/>
      </c>
      <c r="CV49" s="15">
        <f>'Grid_Stock'!CN44</f>
        <v/>
      </c>
      <c r="CW49" s="15">
        <f>'Grid_Stock'!CO44</f>
        <v/>
      </c>
      <c r="CX49" s="15">
        <f>'Grid_Stock'!CP44</f>
        <v/>
      </c>
      <c r="CY49" s="15">
        <f>'Grid_Stock'!CQ44</f>
        <v/>
      </c>
      <c r="CZ49" s="15">
        <f>'Grid_Stock'!CR44</f>
        <v/>
      </c>
      <c r="DA49" s="15">
        <f>'Grid_Stock'!CS44</f>
        <v/>
      </c>
      <c r="DB49" s="15">
        <f>'Grid_Stock'!CT44</f>
        <v/>
      </c>
      <c r="DC49" s="15">
        <f>'Grid_Stock'!CU44</f>
        <v/>
      </c>
      <c r="DD49" s="15">
        <f>'Grid_Stock'!CV44</f>
        <v/>
      </c>
      <c r="DE49" s="15">
        <f>'Grid_Stock'!CW44</f>
        <v/>
      </c>
      <c r="DF49" s="15">
        <f>'Grid_Stock'!CX44</f>
        <v/>
      </c>
      <c r="DG49" s="15">
        <f>'Grid_Stock'!CY44</f>
        <v/>
      </c>
      <c r="DH49" s="15">
        <f>'Grid_Stock'!CZ44</f>
        <v/>
      </c>
      <c r="DI49" s="15">
        <f>'Grid_Stock'!DA44</f>
        <v/>
      </c>
    </row>
    <row r="50">
      <c r="A50" s="17" t="inlineStr">
        <is>
          <t>CHEM-1010</t>
        </is>
      </c>
      <c r="B50" s="17">
        <f>IFERROR(INDEX(M_RawMaterials[Description],MATCH($A50,M_RawMaterials[RM_Code],0)),"")</f>
        <v/>
      </c>
      <c r="C50" s="17">
        <f>IFERROR(INDEX(M_RawMaterials[Category],MATCH($A50,M_RawMaterials[RM_Code],0)),"")</f>
        <v/>
      </c>
      <c r="D50" s="17">
        <f>IFERROR(INDEX(M_RawMaterials[SafetyStock_Qty_要入力],MATCH($A50,M_RawMaterials[RM_Code],0)),0)</f>
        <v/>
      </c>
      <c r="E50" s="17">
        <f>IFERROR(LOOKUP(2,1/(T_SelfStock!$A$2:$A$12000=$A50),T_SelfStock!$D$2:$D$12000),"")</f>
        <v/>
      </c>
      <c r="F50" s="17">
        <f>IFERROR(LOOKUP(2,1/(T_TTAFStock!$A$2:$A$12000=$A50),T_TTAFStock!$D$2:$D$12000),"")</f>
        <v/>
      </c>
      <c r="G50" s="17">
        <f>IFERROR(INDEX(Cal_Weeks[Label],LOOKUP(2,1/(T_SelfStock!$A$2:$A$12000=$A50),T_SelfStock!$B$2:$B$12000)),"")</f>
        <v/>
      </c>
      <c r="H50" s="17">
        <f>IF(MIN(J50:DI50)&lt;D50,"要発注","OK")</f>
        <v/>
      </c>
      <c r="I50" s="16">
        <f>IFERROR(INDEX(J50:DI50,$F$1),"")</f>
        <v/>
      </c>
      <c r="J50" s="17">
        <f>'Grid_Stock'!B45</f>
        <v/>
      </c>
      <c r="K50" s="17">
        <f>'Grid_Stock'!C45</f>
        <v/>
      </c>
      <c r="L50" s="17">
        <f>'Grid_Stock'!D45</f>
        <v/>
      </c>
      <c r="M50" s="17">
        <f>'Grid_Stock'!E45</f>
        <v/>
      </c>
      <c r="N50" s="17">
        <f>'Grid_Stock'!F45</f>
        <v/>
      </c>
      <c r="O50" s="17">
        <f>'Grid_Stock'!G45</f>
        <v/>
      </c>
      <c r="P50" s="17">
        <f>'Grid_Stock'!H45</f>
        <v/>
      </c>
      <c r="Q50" s="17">
        <f>'Grid_Stock'!I45</f>
        <v/>
      </c>
      <c r="R50" s="17">
        <f>'Grid_Stock'!J45</f>
        <v/>
      </c>
      <c r="S50" s="17">
        <f>'Grid_Stock'!K45</f>
        <v/>
      </c>
      <c r="T50" s="17">
        <f>'Grid_Stock'!L45</f>
        <v/>
      </c>
      <c r="U50" s="17">
        <f>'Grid_Stock'!M45</f>
        <v/>
      </c>
      <c r="V50" s="17">
        <f>'Grid_Stock'!N45</f>
        <v/>
      </c>
      <c r="W50" s="17">
        <f>'Grid_Stock'!O45</f>
        <v/>
      </c>
      <c r="X50" s="17">
        <f>'Grid_Stock'!P45</f>
        <v/>
      </c>
      <c r="Y50" s="17">
        <f>'Grid_Stock'!Q45</f>
        <v/>
      </c>
      <c r="Z50" s="17">
        <f>'Grid_Stock'!R45</f>
        <v/>
      </c>
      <c r="AA50" s="17">
        <f>'Grid_Stock'!S45</f>
        <v/>
      </c>
      <c r="AB50" s="17">
        <f>'Grid_Stock'!T45</f>
        <v/>
      </c>
      <c r="AC50" s="17">
        <f>'Grid_Stock'!U45</f>
        <v/>
      </c>
      <c r="AD50" s="17">
        <f>'Grid_Stock'!V45</f>
        <v/>
      </c>
      <c r="AE50" s="17">
        <f>'Grid_Stock'!W45</f>
        <v/>
      </c>
      <c r="AF50" s="17">
        <f>'Grid_Stock'!X45</f>
        <v/>
      </c>
      <c r="AG50" s="17">
        <f>'Grid_Stock'!Y45</f>
        <v/>
      </c>
      <c r="AH50" s="17">
        <f>'Grid_Stock'!Z45</f>
        <v/>
      </c>
      <c r="AI50" s="17">
        <f>'Grid_Stock'!AA45</f>
        <v/>
      </c>
      <c r="AJ50" s="17">
        <f>'Grid_Stock'!AB45</f>
        <v/>
      </c>
      <c r="AK50" s="17">
        <f>'Grid_Stock'!AC45</f>
        <v/>
      </c>
      <c r="AL50" s="17">
        <f>'Grid_Stock'!AD45</f>
        <v/>
      </c>
      <c r="AM50" s="17">
        <f>'Grid_Stock'!AE45</f>
        <v/>
      </c>
      <c r="AN50" s="17">
        <f>'Grid_Stock'!AF45</f>
        <v/>
      </c>
      <c r="AO50" s="17">
        <f>'Grid_Stock'!AG45</f>
        <v/>
      </c>
      <c r="AP50" s="17">
        <f>'Grid_Stock'!AH45</f>
        <v/>
      </c>
      <c r="AQ50" s="17">
        <f>'Grid_Stock'!AI45</f>
        <v/>
      </c>
      <c r="AR50" s="17">
        <f>'Grid_Stock'!AJ45</f>
        <v/>
      </c>
      <c r="AS50" s="17">
        <f>'Grid_Stock'!AK45</f>
        <v/>
      </c>
      <c r="AT50" s="17">
        <f>'Grid_Stock'!AL45</f>
        <v/>
      </c>
      <c r="AU50" s="17">
        <f>'Grid_Stock'!AM45</f>
        <v/>
      </c>
      <c r="AV50" s="17">
        <f>'Grid_Stock'!AN45</f>
        <v/>
      </c>
      <c r="AW50" s="17">
        <f>'Grid_Stock'!AO45</f>
        <v/>
      </c>
      <c r="AX50" s="17">
        <f>'Grid_Stock'!AP45</f>
        <v/>
      </c>
      <c r="AY50" s="17">
        <f>'Grid_Stock'!AQ45</f>
        <v/>
      </c>
      <c r="AZ50" s="17">
        <f>'Grid_Stock'!AR45</f>
        <v/>
      </c>
      <c r="BA50" s="17">
        <f>'Grid_Stock'!AS45</f>
        <v/>
      </c>
      <c r="BB50" s="17">
        <f>'Grid_Stock'!AT45</f>
        <v/>
      </c>
      <c r="BC50" s="17">
        <f>'Grid_Stock'!AU45</f>
        <v/>
      </c>
      <c r="BD50" s="17">
        <f>'Grid_Stock'!AV45</f>
        <v/>
      </c>
      <c r="BE50" s="17">
        <f>'Grid_Stock'!AW45</f>
        <v/>
      </c>
      <c r="BF50" s="17">
        <f>'Grid_Stock'!AX45</f>
        <v/>
      </c>
      <c r="BG50" s="17">
        <f>'Grid_Stock'!AY45</f>
        <v/>
      </c>
      <c r="BH50" s="17">
        <f>'Grid_Stock'!AZ45</f>
        <v/>
      </c>
      <c r="BI50" s="17">
        <f>'Grid_Stock'!BA45</f>
        <v/>
      </c>
      <c r="BJ50" s="17">
        <f>'Grid_Stock'!BB45</f>
        <v/>
      </c>
      <c r="BK50" s="17">
        <f>'Grid_Stock'!BC45</f>
        <v/>
      </c>
      <c r="BL50" s="17">
        <f>'Grid_Stock'!BD45</f>
        <v/>
      </c>
      <c r="BM50" s="17">
        <f>'Grid_Stock'!BE45</f>
        <v/>
      </c>
      <c r="BN50" s="17">
        <f>'Grid_Stock'!BF45</f>
        <v/>
      </c>
      <c r="BO50" s="17">
        <f>'Grid_Stock'!BG45</f>
        <v/>
      </c>
      <c r="BP50" s="17">
        <f>'Grid_Stock'!BH45</f>
        <v/>
      </c>
      <c r="BQ50" s="17">
        <f>'Grid_Stock'!BI45</f>
        <v/>
      </c>
      <c r="BR50" s="17">
        <f>'Grid_Stock'!BJ45</f>
        <v/>
      </c>
      <c r="BS50" s="17">
        <f>'Grid_Stock'!BK45</f>
        <v/>
      </c>
      <c r="BT50" s="17">
        <f>'Grid_Stock'!BL45</f>
        <v/>
      </c>
      <c r="BU50" s="17">
        <f>'Grid_Stock'!BM45</f>
        <v/>
      </c>
      <c r="BV50" s="17">
        <f>'Grid_Stock'!BN45</f>
        <v/>
      </c>
      <c r="BW50" s="17">
        <f>'Grid_Stock'!BO45</f>
        <v/>
      </c>
      <c r="BX50" s="17">
        <f>'Grid_Stock'!BP45</f>
        <v/>
      </c>
      <c r="BY50" s="17">
        <f>'Grid_Stock'!BQ45</f>
        <v/>
      </c>
      <c r="BZ50" s="17">
        <f>'Grid_Stock'!BR45</f>
        <v/>
      </c>
      <c r="CA50" s="17">
        <f>'Grid_Stock'!BS45</f>
        <v/>
      </c>
      <c r="CB50" s="17">
        <f>'Grid_Stock'!BT45</f>
        <v/>
      </c>
      <c r="CC50" s="17">
        <f>'Grid_Stock'!BU45</f>
        <v/>
      </c>
      <c r="CD50" s="17">
        <f>'Grid_Stock'!BV45</f>
        <v/>
      </c>
      <c r="CE50" s="17">
        <f>'Grid_Stock'!BW45</f>
        <v/>
      </c>
      <c r="CF50" s="17">
        <f>'Grid_Stock'!BX45</f>
        <v/>
      </c>
      <c r="CG50" s="17">
        <f>'Grid_Stock'!BY45</f>
        <v/>
      </c>
      <c r="CH50" s="17">
        <f>'Grid_Stock'!BZ45</f>
        <v/>
      </c>
      <c r="CI50" s="17">
        <f>'Grid_Stock'!CA45</f>
        <v/>
      </c>
      <c r="CJ50" s="17">
        <f>'Grid_Stock'!CB45</f>
        <v/>
      </c>
      <c r="CK50" s="17">
        <f>'Grid_Stock'!CC45</f>
        <v/>
      </c>
      <c r="CL50" s="17">
        <f>'Grid_Stock'!CD45</f>
        <v/>
      </c>
      <c r="CM50" s="17">
        <f>'Grid_Stock'!CE45</f>
        <v/>
      </c>
      <c r="CN50" s="17">
        <f>'Grid_Stock'!CF45</f>
        <v/>
      </c>
      <c r="CO50" s="17">
        <f>'Grid_Stock'!CG45</f>
        <v/>
      </c>
      <c r="CP50" s="17">
        <f>'Grid_Stock'!CH45</f>
        <v/>
      </c>
      <c r="CQ50" s="17">
        <f>'Grid_Stock'!CI45</f>
        <v/>
      </c>
      <c r="CR50" s="17">
        <f>'Grid_Stock'!CJ45</f>
        <v/>
      </c>
      <c r="CS50" s="17">
        <f>'Grid_Stock'!CK45</f>
        <v/>
      </c>
      <c r="CT50" s="17">
        <f>'Grid_Stock'!CL45</f>
        <v/>
      </c>
      <c r="CU50" s="17">
        <f>'Grid_Stock'!CM45</f>
        <v/>
      </c>
      <c r="CV50" s="17">
        <f>'Grid_Stock'!CN45</f>
        <v/>
      </c>
      <c r="CW50" s="17">
        <f>'Grid_Stock'!CO45</f>
        <v/>
      </c>
      <c r="CX50" s="17">
        <f>'Grid_Stock'!CP45</f>
        <v/>
      </c>
      <c r="CY50" s="17">
        <f>'Grid_Stock'!CQ45</f>
        <v/>
      </c>
      <c r="CZ50" s="17">
        <f>'Grid_Stock'!CR45</f>
        <v/>
      </c>
      <c r="DA50" s="17">
        <f>'Grid_Stock'!CS45</f>
        <v/>
      </c>
      <c r="DB50" s="17">
        <f>'Grid_Stock'!CT45</f>
        <v/>
      </c>
      <c r="DC50" s="17">
        <f>'Grid_Stock'!CU45</f>
        <v/>
      </c>
      <c r="DD50" s="17">
        <f>'Grid_Stock'!CV45</f>
        <v/>
      </c>
      <c r="DE50" s="17">
        <f>'Grid_Stock'!CW45</f>
        <v/>
      </c>
      <c r="DF50" s="17">
        <f>'Grid_Stock'!CX45</f>
        <v/>
      </c>
      <c r="DG50" s="17">
        <f>'Grid_Stock'!CY45</f>
        <v/>
      </c>
      <c r="DH50" s="17">
        <f>'Grid_Stock'!CZ45</f>
        <v/>
      </c>
      <c r="DI50" s="17">
        <f>'Grid_Stock'!DA45</f>
        <v/>
      </c>
    </row>
    <row r="51">
      <c r="A51" s="15" t="inlineStr">
        <is>
          <t>CHEM-1410</t>
        </is>
      </c>
      <c r="B51" s="15">
        <f>IFERROR(INDEX(M_RawMaterials[Description],MATCH($A51,M_RawMaterials[RM_Code],0)),"")</f>
        <v/>
      </c>
      <c r="C51" s="15">
        <f>IFERROR(INDEX(M_RawMaterials[Category],MATCH($A51,M_RawMaterials[RM_Code],0)),"")</f>
        <v/>
      </c>
      <c r="D51" s="15">
        <f>IFERROR(INDEX(M_RawMaterials[SafetyStock_Qty_要入力],MATCH($A51,M_RawMaterials[RM_Code],0)),0)</f>
        <v/>
      </c>
      <c r="E51" s="15">
        <f>IFERROR(LOOKUP(2,1/(T_SelfStock!$A$2:$A$12000=$A51),T_SelfStock!$D$2:$D$12000),"")</f>
        <v/>
      </c>
      <c r="F51" s="15">
        <f>IFERROR(LOOKUP(2,1/(T_TTAFStock!$A$2:$A$12000=$A51),T_TTAFStock!$D$2:$D$12000),"")</f>
        <v/>
      </c>
      <c r="G51" s="15">
        <f>IFERROR(INDEX(Cal_Weeks[Label],LOOKUP(2,1/(T_SelfStock!$A$2:$A$12000=$A51),T_SelfStock!$B$2:$B$12000)),"")</f>
        <v/>
      </c>
      <c r="H51" s="15">
        <f>IF(MIN(J51:DI51)&lt;D51,"要発注","OK")</f>
        <v/>
      </c>
      <c r="I51" s="16">
        <f>IFERROR(INDEX(J51:DI51,$F$1),"")</f>
        <v/>
      </c>
      <c r="J51" s="15">
        <f>'Grid_Stock'!B46</f>
        <v/>
      </c>
      <c r="K51" s="15">
        <f>'Grid_Stock'!C46</f>
        <v/>
      </c>
      <c r="L51" s="15">
        <f>'Grid_Stock'!D46</f>
        <v/>
      </c>
      <c r="M51" s="15">
        <f>'Grid_Stock'!E46</f>
        <v/>
      </c>
      <c r="N51" s="15">
        <f>'Grid_Stock'!F46</f>
        <v/>
      </c>
      <c r="O51" s="15">
        <f>'Grid_Stock'!G46</f>
        <v/>
      </c>
      <c r="P51" s="15">
        <f>'Grid_Stock'!H46</f>
        <v/>
      </c>
      <c r="Q51" s="15">
        <f>'Grid_Stock'!I46</f>
        <v/>
      </c>
      <c r="R51" s="15">
        <f>'Grid_Stock'!J46</f>
        <v/>
      </c>
      <c r="S51" s="15">
        <f>'Grid_Stock'!K46</f>
        <v/>
      </c>
      <c r="T51" s="15">
        <f>'Grid_Stock'!L46</f>
        <v/>
      </c>
      <c r="U51" s="15">
        <f>'Grid_Stock'!M46</f>
        <v/>
      </c>
      <c r="V51" s="15">
        <f>'Grid_Stock'!N46</f>
        <v/>
      </c>
      <c r="W51" s="15">
        <f>'Grid_Stock'!O46</f>
        <v/>
      </c>
      <c r="X51" s="15">
        <f>'Grid_Stock'!P46</f>
        <v/>
      </c>
      <c r="Y51" s="15">
        <f>'Grid_Stock'!Q46</f>
        <v/>
      </c>
      <c r="Z51" s="15">
        <f>'Grid_Stock'!R46</f>
        <v/>
      </c>
      <c r="AA51" s="15">
        <f>'Grid_Stock'!S46</f>
        <v/>
      </c>
      <c r="AB51" s="15">
        <f>'Grid_Stock'!T46</f>
        <v/>
      </c>
      <c r="AC51" s="15">
        <f>'Grid_Stock'!U46</f>
        <v/>
      </c>
      <c r="AD51" s="15">
        <f>'Grid_Stock'!V46</f>
        <v/>
      </c>
      <c r="AE51" s="15">
        <f>'Grid_Stock'!W46</f>
        <v/>
      </c>
      <c r="AF51" s="15">
        <f>'Grid_Stock'!X46</f>
        <v/>
      </c>
      <c r="AG51" s="15">
        <f>'Grid_Stock'!Y46</f>
        <v/>
      </c>
      <c r="AH51" s="15">
        <f>'Grid_Stock'!Z46</f>
        <v/>
      </c>
      <c r="AI51" s="15">
        <f>'Grid_Stock'!AA46</f>
        <v/>
      </c>
      <c r="AJ51" s="15">
        <f>'Grid_Stock'!AB46</f>
        <v/>
      </c>
      <c r="AK51" s="15">
        <f>'Grid_Stock'!AC46</f>
        <v/>
      </c>
      <c r="AL51" s="15">
        <f>'Grid_Stock'!AD46</f>
        <v/>
      </c>
      <c r="AM51" s="15">
        <f>'Grid_Stock'!AE46</f>
        <v/>
      </c>
      <c r="AN51" s="15">
        <f>'Grid_Stock'!AF46</f>
        <v/>
      </c>
      <c r="AO51" s="15">
        <f>'Grid_Stock'!AG46</f>
        <v/>
      </c>
      <c r="AP51" s="15">
        <f>'Grid_Stock'!AH46</f>
        <v/>
      </c>
      <c r="AQ51" s="15">
        <f>'Grid_Stock'!AI46</f>
        <v/>
      </c>
      <c r="AR51" s="15">
        <f>'Grid_Stock'!AJ46</f>
        <v/>
      </c>
      <c r="AS51" s="15">
        <f>'Grid_Stock'!AK46</f>
        <v/>
      </c>
      <c r="AT51" s="15">
        <f>'Grid_Stock'!AL46</f>
        <v/>
      </c>
      <c r="AU51" s="15">
        <f>'Grid_Stock'!AM46</f>
        <v/>
      </c>
      <c r="AV51" s="15">
        <f>'Grid_Stock'!AN46</f>
        <v/>
      </c>
      <c r="AW51" s="15">
        <f>'Grid_Stock'!AO46</f>
        <v/>
      </c>
      <c r="AX51" s="15">
        <f>'Grid_Stock'!AP46</f>
        <v/>
      </c>
      <c r="AY51" s="15">
        <f>'Grid_Stock'!AQ46</f>
        <v/>
      </c>
      <c r="AZ51" s="15">
        <f>'Grid_Stock'!AR46</f>
        <v/>
      </c>
      <c r="BA51" s="15">
        <f>'Grid_Stock'!AS46</f>
        <v/>
      </c>
      <c r="BB51" s="15">
        <f>'Grid_Stock'!AT46</f>
        <v/>
      </c>
      <c r="BC51" s="15">
        <f>'Grid_Stock'!AU46</f>
        <v/>
      </c>
      <c r="BD51" s="15">
        <f>'Grid_Stock'!AV46</f>
        <v/>
      </c>
      <c r="BE51" s="15">
        <f>'Grid_Stock'!AW46</f>
        <v/>
      </c>
      <c r="BF51" s="15">
        <f>'Grid_Stock'!AX46</f>
        <v/>
      </c>
      <c r="BG51" s="15">
        <f>'Grid_Stock'!AY46</f>
        <v/>
      </c>
      <c r="BH51" s="15">
        <f>'Grid_Stock'!AZ46</f>
        <v/>
      </c>
      <c r="BI51" s="15">
        <f>'Grid_Stock'!BA46</f>
        <v/>
      </c>
      <c r="BJ51" s="15">
        <f>'Grid_Stock'!BB46</f>
        <v/>
      </c>
      <c r="BK51" s="15">
        <f>'Grid_Stock'!BC46</f>
        <v/>
      </c>
      <c r="BL51" s="15">
        <f>'Grid_Stock'!BD46</f>
        <v/>
      </c>
      <c r="BM51" s="15">
        <f>'Grid_Stock'!BE46</f>
        <v/>
      </c>
      <c r="BN51" s="15">
        <f>'Grid_Stock'!BF46</f>
        <v/>
      </c>
      <c r="BO51" s="15">
        <f>'Grid_Stock'!BG46</f>
        <v/>
      </c>
      <c r="BP51" s="15">
        <f>'Grid_Stock'!BH46</f>
        <v/>
      </c>
      <c r="BQ51" s="15">
        <f>'Grid_Stock'!BI46</f>
        <v/>
      </c>
      <c r="BR51" s="15">
        <f>'Grid_Stock'!BJ46</f>
        <v/>
      </c>
      <c r="BS51" s="15">
        <f>'Grid_Stock'!BK46</f>
        <v/>
      </c>
      <c r="BT51" s="15">
        <f>'Grid_Stock'!BL46</f>
        <v/>
      </c>
      <c r="BU51" s="15">
        <f>'Grid_Stock'!BM46</f>
        <v/>
      </c>
      <c r="BV51" s="15">
        <f>'Grid_Stock'!BN46</f>
        <v/>
      </c>
      <c r="BW51" s="15">
        <f>'Grid_Stock'!BO46</f>
        <v/>
      </c>
      <c r="BX51" s="15">
        <f>'Grid_Stock'!BP46</f>
        <v/>
      </c>
      <c r="BY51" s="15">
        <f>'Grid_Stock'!BQ46</f>
        <v/>
      </c>
      <c r="BZ51" s="15">
        <f>'Grid_Stock'!BR46</f>
        <v/>
      </c>
      <c r="CA51" s="15">
        <f>'Grid_Stock'!BS46</f>
        <v/>
      </c>
      <c r="CB51" s="15">
        <f>'Grid_Stock'!BT46</f>
        <v/>
      </c>
      <c r="CC51" s="15">
        <f>'Grid_Stock'!BU46</f>
        <v/>
      </c>
      <c r="CD51" s="15">
        <f>'Grid_Stock'!BV46</f>
        <v/>
      </c>
      <c r="CE51" s="15">
        <f>'Grid_Stock'!BW46</f>
        <v/>
      </c>
      <c r="CF51" s="15">
        <f>'Grid_Stock'!BX46</f>
        <v/>
      </c>
      <c r="CG51" s="15">
        <f>'Grid_Stock'!BY46</f>
        <v/>
      </c>
      <c r="CH51" s="15">
        <f>'Grid_Stock'!BZ46</f>
        <v/>
      </c>
      <c r="CI51" s="15">
        <f>'Grid_Stock'!CA46</f>
        <v/>
      </c>
      <c r="CJ51" s="15">
        <f>'Grid_Stock'!CB46</f>
        <v/>
      </c>
      <c r="CK51" s="15">
        <f>'Grid_Stock'!CC46</f>
        <v/>
      </c>
      <c r="CL51" s="15">
        <f>'Grid_Stock'!CD46</f>
        <v/>
      </c>
      <c r="CM51" s="15">
        <f>'Grid_Stock'!CE46</f>
        <v/>
      </c>
      <c r="CN51" s="15">
        <f>'Grid_Stock'!CF46</f>
        <v/>
      </c>
      <c r="CO51" s="15">
        <f>'Grid_Stock'!CG46</f>
        <v/>
      </c>
      <c r="CP51" s="15">
        <f>'Grid_Stock'!CH46</f>
        <v/>
      </c>
      <c r="CQ51" s="15">
        <f>'Grid_Stock'!CI46</f>
        <v/>
      </c>
      <c r="CR51" s="15">
        <f>'Grid_Stock'!CJ46</f>
        <v/>
      </c>
      <c r="CS51" s="15">
        <f>'Grid_Stock'!CK46</f>
        <v/>
      </c>
      <c r="CT51" s="15">
        <f>'Grid_Stock'!CL46</f>
        <v/>
      </c>
      <c r="CU51" s="15">
        <f>'Grid_Stock'!CM46</f>
        <v/>
      </c>
      <c r="CV51" s="15">
        <f>'Grid_Stock'!CN46</f>
        <v/>
      </c>
      <c r="CW51" s="15">
        <f>'Grid_Stock'!CO46</f>
        <v/>
      </c>
      <c r="CX51" s="15">
        <f>'Grid_Stock'!CP46</f>
        <v/>
      </c>
      <c r="CY51" s="15">
        <f>'Grid_Stock'!CQ46</f>
        <v/>
      </c>
      <c r="CZ51" s="15">
        <f>'Grid_Stock'!CR46</f>
        <v/>
      </c>
      <c r="DA51" s="15">
        <f>'Grid_Stock'!CS46</f>
        <v/>
      </c>
      <c r="DB51" s="15">
        <f>'Grid_Stock'!CT46</f>
        <v/>
      </c>
      <c r="DC51" s="15">
        <f>'Grid_Stock'!CU46</f>
        <v/>
      </c>
      <c r="DD51" s="15">
        <f>'Grid_Stock'!CV46</f>
        <v/>
      </c>
      <c r="DE51" s="15">
        <f>'Grid_Stock'!CW46</f>
        <v/>
      </c>
      <c r="DF51" s="15">
        <f>'Grid_Stock'!CX46</f>
        <v/>
      </c>
      <c r="DG51" s="15">
        <f>'Grid_Stock'!CY46</f>
        <v/>
      </c>
      <c r="DH51" s="15">
        <f>'Grid_Stock'!CZ46</f>
        <v/>
      </c>
      <c r="DI51" s="15">
        <f>'Grid_Stock'!DA46</f>
        <v/>
      </c>
    </row>
    <row r="52">
      <c r="A52" s="17" t="inlineStr">
        <is>
          <t>CHEM-1430</t>
        </is>
      </c>
      <c r="B52" s="17">
        <f>IFERROR(INDEX(M_RawMaterials[Description],MATCH($A52,M_RawMaterials[RM_Code],0)),"")</f>
        <v/>
      </c>
      <c r="C52" s="17">
        <f>IFERROR(INDEX(M_RawMaterials[Category],MATCH($A52,M_RawMaterials[RM_Code],0)),"")</f>
        <v/>
      </c>
      <c r="D52" s="17">
        <f>IFERROR(INDEX(M_RawMaterials[SafetyStock_Qty_要入力],MATCH($A52,M_RawMaterials[RM_Code],0)),0)</f>
        <v/>
      </c>
      <c r="E52" s="17">
        <f>IFERROR(LOOKUP(2,1/(T_SelfStock!$A$2:$A$12000=$A52),T_SelfStock!$D$2:$D$12000),"")</f>
        <v/>
      </c>
      <c r="F52" s="17">
        <f>IFERROR(LOOKUP(2,1/(T_TTAFStock!$A$2:$A$12000=$A52),T_TTAFStock!$D$2:$D$12000),"")</f>
        <v/>
      </c>
      <c r="G52" s="17">
        <f>IFERROR(INDEX(Cal_Weeks[Label],LOOKUP(2,1/(T_SelfStock!$A$2:$A$12000=$A52),T_SelfStock!$B$2:$B$12000)),"")</f>
        <v/>
      </c>
      <c r="H52" s="17">
        <f>IF(MIN(J52:DI52)&lt;D52,"要発注","OK")</f>
        <v/>
      </c>
      <c r="I52" s="16">
        <f>IFERROR(INDEX(J52:DI52,$F$1),"")</f>
        <v/>
      </c>
      <c r="J52" s="17">
        <f>'Grid_Stock'!B47</f>
        <v/>
      </c>
      <c r="K52" s="17">
        <f>'Grid_Stock'!C47</f>
        <v/>
      </c>
      <c r="L52" s="17">
        <f>'Grid_Stock'!D47</f>
        <v/>
      </c>
      <c r="M52" s="17">
        <f>'Grid_Stock'!E47</f>
        <v/>
      </c>
      <c r="N52" s="17">
        <f>'Grid_Stock'!F47</f>
        <v/>
      </c>
      <c r="O52" s="17">
        <f>'Grid_Stock'!G47</f>
        <v/>
      </c>
      <c r="P52" s="17">
        <f>'Grid_Stock'!H47</f>
        <v/>
      </c>
      <c r="Q52" s="17">
        <f>'Grid_Stock'!I47</f>
        <v/>
      </c>
      <c r="R52" s="17">
        <f>'Grid_Stock'!J47</f>
        <v/>
      </c>
      <c r="S52" s="17">
        <f>'Grid_Stock'!K47</f>
        <v/>
      </c>
      <c r="T52" s="17">
        <f>'Grid_Stock'!L47</f>
        <v/>
      </c>
      <c r="U52" s="17">
        <f>'Grid_Stock'!M47</f>
        <v/>
      </c>
      <c r="V52" s="17">
        <f>'Grid_Stock'!N47</f>
        <v/>
      </c>
      <c r="W52" s="17">
        <f>'Grid_Stock'!O47</f>
        <v/>
      </c>
      <c r="X52" s="17">
        <f>'Grid_Stock'!P47</f>
        <v/>
      </c>
      <c r="Y52" s="17">
        <f>'Grid_Stock'!Q47</f>
        <v/>
      </c>
      <c r="Z52" s="17">
        <f>'Grid_Stock'!R47</f>
        <v/>
      </c>
      <c r="AA52" s="17">
        <f>'Grid_Stock'!S47</f>
        <v/>
      </c>
      <c r="AB52" s="17">
        <f>'Grid_Stock'!T47</f>
        <v/>
      </c>
      <c r="AC52" s="17">
        <f>'Grid_Stock'!U47</f>
        <v/>
      </c>
      <c r="AD52" s="17">
        <f>'Grid_Stock'!V47</f>
        <v/>
      </c>
      <c r="AE52" s="17">
        <f>'Grid_Stock'!W47</f>
        <v/>
      </c>
      <c r="AF52" s="17">
        <f>'Grid_Stock'!X47</f>
        <v/>
      </c>
      <c r="AG52" s="17">
        <f>'Grid_Stock'!Y47</f>
        <v/>
      </c>
      <c r="AH52" s="17">
        <f>'Grid_Stock'!Z47</f>
        <v/>
      </c>
      <c r="AI52" s="17">
        <f>'Grid_Stock'!AA47</f>
        <v/>
      </c>
      <c r="AJ52" s="17">
        <f>'Grid_Stock'!AB47</f>
        <v/>
      </c>
      <c r="AK52" s="17">
        <f>'Grid_Stock'!AC47</f>
        <v/>
      </c>
      <c r="AL52" s="17">
        <f>'Grid_Stock'!AD47</f>
        <v/>
      </c>
      <c r="AM52" s="17">
        <f>'Grid_Stock'!AE47</f>
        <v/>
      </c>
      <c r="AN52" s="17">
        <f>'Grid_Stock'!AF47</f>
        <v/>
      </c>
      <c r="AO52" s="17">
        <f>'Grid_Stock'!AG47</f>
        <v/>
      </c>
      <c r="AP52" s="17">
        <f>'Grid_Stock'!AH47</f>
        <v/>
      </c>
      <c r="AQ52" s="17">
        <f>'Grid_Stock'!AI47</f>
        <v/>
      </c>
      <c r="AR52" s="17">
        <f>'Grid_Stock'!AJ47</f>
        <v/>
      </c>
      <c r="AS52" s="17">
        <f>'Grid_Stock'!AK47</f>
        <v/>
      </c>
      <c r="AT52" s="17">
        <f>'Grid_Stock'!AL47</f>
        <v/>
      </c>
      <c r="AU52" s="17">
        <f>'Grid_Stock'!AM47</f>
        <v/>
      </c>
      <c r="AV52" s="17">
        <f>'Grid_Stock'!AN47</f>
        <v/>
      </c>
      <c r="AW52" s="17">
        <f>'Grid_Stock'!AO47</f>
        <v/>
      </c>
      <c r="AX52" s="17">
        <f>'Grid_Stock'!AP47</f>
        <v/>
      </c>
      <c r="AY52" s="17">
        <f>'Grid_Stock'!AQ47</f>
        <v/>
      </c>
      <c r="AZ52" s="17">
        <f>'Grid_Stock'!AR47</f>
        <v/>
      </c>
      <c r="BA52" s="17">
        <f>'Grid_Stock'!AS47</f>
        <v/>
      </c>
      <c r="BB52" s="17">
        <f>'Grid_Stock'!AT47</f>
        <v/>
      </c>
      <c r="BC52" s="17">
        <f>'Grid_Stock'!AU47</f>
        <v/>
      </c>
      <c r="BD52" s="17">
        <f>'Grid_Stock'!AV47</f>
        <v/>
      </c>
      <c r="BE52" s="17">
        <f>'Grid_Stock'!AW47</f>
        <v/>
      </c>
      <c r="BF52" s="17">
        <f>'Grid_Stock'!AX47</f>
        <v/>
      </c>
      <c r="BG52" s="17">
        <f>'Grid_Stock'!AY47</f>
        <v/>
      </c>
      <c r="BH52" s="17">
        <f>'Grid_Stock'!AZ47</f>
        <v/>
      </c>
      <c r="BI52" s="17">
        <f>'Grid_Stock'!BA47</f>
        <v/>
      </c>
      <c r="BJ52" s="17">
        <f>'Grid_Stock'!BB47</f>
        <v/>
      </c>
      <c r="BK52" s="17">
        <f>'Grid_Stock'!BC47</f>
        <v/>
      </c>
      <c r="BL52" s="17">
        <f>'Grid_Stock'!BD47</f>
        <v/>
      </c>
      <c r="BM52" s="17">
        <f>'Grid_Stock'!BE47</f>
        <v/>
      </c>
      <c r="BN52" s="17">
        <f>'Grid_Stock'!BF47</f>
        <v/>
      </c>
      <c r="BO52" s="17">
        <f>'Grid_Stock'!BG47</f>
        <v/>
      </c>
      <c r="BP52" s="17">
        <f>'Grid_Stock'!BH47</f>
        <v/>
      </c>
      <c r="BQ52" s="17">
        <f>'Grid_Stock'!BI47</f>
        <v/>
      </c>
      <c r="BR52" s="17">
        <f>'Grid_Stock'!BJ47</f>
        <v/>
      </c>
      <c r="BS52" s="17">
        <f>'Grid_Stock'!BK47</f>
        <v/>
      </c>
      <c r="BT52" s="17">
        <f>'Grid_Stock'!BL47</f>
        <v/>
      </c>
      <c r="BU52" s="17">
        <f>'Grid_Stock'!BM47</f>
        <v/>
      </c>
      <c r="BV52" s="17">
        <f>'Grid_Stock'!BN47</f>
        <v/>
      </c>
      <c r="BW52" s="17">
        <f>'Grid_Stock'!BO47</f>
        <v/>
      </c>
      <c r="BX52" s="17">
        <f>'Grid_Stock'!BP47</f>
        <v/>
      </c>
      <c r="BY52" s="17">
        <f>'Grid_Stock'!BQ47</f>
        <v/>
      </c>
      <c r="BZ52" s="17">
        <f>'Grid_Stock'!BR47</f>
        <v/>
      </c>
      <c r="CA52" s="17">
        <f>'Grid_Stock'!BS47</f>
        <v/>
      </c>
      <c r="CB52" s="17">
        <f>'Grid_Stock'!BT47</f>
        <v/>
      </c>
      <c r="CC52" s="17">
        <f>'Grid_Stock'!BU47</f>
        <v/>
      </c>
      <c r="CD52" s="17">
        <f>'Grid_Stock'!BV47</f>
        <v/>
      </c>
      <c r="CE52" s="17">
        <f>'Grid_Stock'!BW47</f>
        <v/>
      </c>
      <c r="CF52" s="17">
        <f>'Grid_Stock'!BX47</f>
        <v/>
      </c>
      <c r="CG52" s="17">
        <f>'Grid_Stock'!BY47</f>
        <v/>
      </c>
      <c r="CH52" s="17">
        <f>'Grid_Stock'!BZ47</f>
        <v/>
      </c>
      <c r="CI52" s="17">
        <f>'Grid_Stock'!CA47</f>
        <v/>
      </c>
      <c r="CJ52" s="17">
        <f>'Grid_Stock'!CB47</f>
        <v/>
      </c>
      <c r="CK52" s="17">
        <f>'Grid_Stock'!CC47</f>
        <v/>
      </c>
      <c r="CL52" s="17">
        <f>'Grid_Stock'!CD47</f>
        <v/>
      </c>
      <c r="CM52" s="17">
        <f>'Grid_Stock'!CE47</f>
        <v/>
      </c>
      <c r="CN52" s="17">
        <f>'Grid_Stock'!CF47</f>
        <v/>
      </c>
      <c r="CO52" s="17">
        <f>'Grid_Stock'!CG47</f>
        <v/>
      </c>
      <c r="CP52" s="17">
        <f>'Grid_Stock'!CH47</f>
        <v/>
      </c>
      <c r="CQ52" s="17">
        <f>'Grid_Stock'!CI47</f>
        <v/>
      </c>
      <c r="CR52" s="17">
        <f>'Grid_Stock'!CJ47</f>
        <v/>
      </c>
      <c r="CS52" s="17">
        <f>'Grid_Stock'!CK47</f>
        <v/>
      </c>
      <c r="CT52" s="17">
        <f>'Grid_Stock'!CL47</f>
        <v/>
      </c>
      <c r="CU52" s="17">
        <f>'Grid_Stock'!CM47</f>
        <v/>
      </c>
      <c r="CV52" s="17">
        <f>'Grid_Stock'!CN47</f>
        <v/>
      </c>
      <c r="CW52" s="17">
        <f>'Grid_Stock'!CO47</f>
        <v/>
      </c>
      <c r="CX52" s="17">
        <f>'Grid_Stock'!CP47</f>
        <v/>
      </c>
      <c r="CY52" s="17">
        <f>'Grid_Stock'!CQ47</f>
        <v/>
      </c>
      <c r="CZ52" s="17">
        <f>'Grid_Stock'!CR47</f>
        <v/>
      </c>
      <c r="DA52" s="17">
        <f>'Grid_Stock'!CS47</f>
        <v/>
      </c>
      <c r="DB52" s="17">
        <f>'Grid_Stock'!CT47</f>
        <v/>
      </c>
      <c r="DC52" s="17">
        <f>'Grid_Stock'!CU47</f>
        <v/>
      </c>
      <c r="DD52" s="17">
        <f>'Grid_Stock'!CV47</f>
        <v/>
      </c>
      <c r="DE52" s="17">
        <f>'Grid_Stock'!CW47</f>
        <v/>
      </c>
      <c r="DF52" s="17">
        <f>'Grid_Stock'!CX47</f>
        <v/>
      </c>
      <c r="DG52" s="17">
        <f>'Grid_Stock'!CY47</f>
        <v/>
      </c>
      <c r="DH52" s="17">
        <f>'Grid_Stock'!CZ47</f>
        <v/>
      </c>
      <c r="DI52" s="17">
        <f>'Grid_Stock'!DA47</f>
        <v/>
      </c>
    </row>
    <row r="53">
      <c r="A53" s="15" t="inlineStr">
        <is>
          <t>CHEM-1450</t>
        </is>
      </c>
      <c r="B53" s="15">
        <f>IFERROR(INDEX(M_RawMaterials[Description],MATCH($A53,M_RawMaterials[RM_Code],0)),"")</f>
        <v/>
      </c>
      <c r="C53" s="15">
        <f>IFERROR(INDEX(M_RawMaterials[Category],MATCH($A53,M_RawMaterials[RM_Code],0)),"")</f>
        <v/>
      </c>
      <c r="D53" s="15">
        <f>IFERROR(INDEX(M_RawMaterials[SafetyStock_Qty_要入力],MATCH($A53,M_RawMaterials[RM_Code],0)),0)</f>
        <v/>
      </c>
      <c r="E53" s="15">
        <f>IFERROR(LOOKUP(2,1/(T_SelfStock!$A$2:$A$12000=$A53),T_SelfStock!$D$2:$D$12000),"")</f>
        <v/>
      </c>
      <c r="F53" s="15">
        <f>IFERROR(LOOKUP(2,1/(T_TTAFStock!$A$2:$A$12000=$A53),T_TTAFStock!$D$2:$D$12000),"")</f>
        <v/>
      </c>
      <c r="G53" s="15">
        <f>IFERROR(INDEX(Cal_Weeks[Label],LOOKUP(2,1/(T_SelfStock!$A$2:$A$12000=$A53),T_SelfStock!$B$2:$B$12000)),"")</f>
        <v/>
      </c>
      <c r="H53" s="15">
        <f>IF(MIN(J53:DI53)&lt;D53,"要発注","OK")</f>
        <v/>
      </c>
      <c r="I53" s="16">
        <f>IFERROR(INDEX(J53:DI53,$F$1),"")</f>
        <v/>
      </c>
      <c r="J53" s="15">
        <f>'Grid_Stock'!B48</f>
        <v/>
      </c>
      <c r="K53" s="15">
        <f>'Grid_Stock'!C48</f>
        <v/>
      </c>
      <c r="L53" s="15">
        <f>'Grid_Stock'!D48</f>
        <v/>
      </c>
      <c r="M53" s="15">
        <f>'Grid_Stock'!E48</f>
        <v/>
      </c>
      <c r="N53" s="15">
        <f>'Grid_Stock'!F48</f>
        <v/>
      </c>
      <c r="O53" s="15">
        <f>'Grid_Stock'!G48</f>
        <v/>
      </c>
      <c r="P53" s="15">
        <f>'Grid_Stock'!H48</f>
        <v/>
      </c>
      <c r="Q53" s="15">
        <f>'Grid_Stock'!I48</f>
        <v/>
      </c>
      <c r="R53" s="15">
        <f>'Grid_Stock'!J48</f>
        <v/>
      </c>
      <c r="S53" s="15">
        <f>'Grid_Stock'!K48</f>
        <v/>
      </c>
      <c r="T53" s="15">
        <f>'Grid_Stock'!L48</f>
        <v/>
      </c>
      <c r="U53" s="15">
        <f>'Grid_Stock'!M48</f>
        <v/>
      </c>
      <c r="V53" s="15">
        <f>'Grid_Stock'!N48</f>
        <v/>
      </c>
      <c r="W53" s="15">
        <f>'Grid_Stock'!O48</f>
        <v/>
      </c>
      <c r="X53" s="15">
        <f>'Grid_Stock'!P48</f>
        <v/>
      </c>
      <c r="Y53" s="15">
        <f>'Grid_Stock'!Q48</f>
        <v/>
      </c>
      <c r="Z53" s="15">
        <f>'Grid_Stock'!R48</f>
        <v/>
      </c>
      <c r="AA53" s="15">
        <f>'Grid_Stock'!S48</f>
        <v/>
      </c>
      <c r="AB53" s="15">
        <f>'Grid_Stock'!T48</f>
        <v/>
      </c>
      <c r="AC53" s="15">
        <f>'Grid_Stock'!U48</f>
        <v/>
      </c>
      <c r="AD53" s="15">
        <f>'Grid_Stock'!V48</f>
        <v/>
      </c>
      <c r="AE53" s="15">
        <f>'Grid_Stock'!W48</f>
        <v/>
      </c>
      <c r="AF53" s="15">
        <f>'Grid_Stock'!X48</f>
        <v/>
      </c>
      <c r="AG53" s="15">
        <f>'Grid_Stock'!Y48</f>
        <v/>
      </c>
      <c r="AH53" s="15">
        <f>'Grid_Stock'!Z48</f>
        <v/>
      </c>
      <c r="AI53" s="15">
        <f>'Grid_Stock'!AA48</f>
        <v/>
      </c>
      <c r="AJ53" s="15">
        <f>'Grid_Stock'!AB48</f>
        <v/>
      </c>
      <c r="AK53" s="15">
        <f>'Grid_Stock'!AC48</f>
        <v/>
      </c>
      <c r="AL53" s="15">
        <f>'Grid_Stock'!AD48</f>
        <v/>
      </c>
      <c r="AM53" s="15">
        <f>'Grid_Stock'!AE48</f>
        <v/>
      </c>
      <c r="AN53" s="15">
        <f>'Grid_Stock'!AF48</f>
        <v/>
      </c>
      <c r="AO53" s="15">
        <f>'Grid_Stock'!AG48</f>
        <v/>
      </c>
      <c r="AP53" s="15">
        <f>'Grid_Stock'!AH48</f>
        <v/>
      </c>
      <c r="AQ53" s="15">
        <f>'Grid_Stock'!AI48</f>
        <v/>
      </c>
      <c r="AR53" s="15">
        <f>'Grid_Stock'!AJ48</f>
        <v/>
      </c>
      <c r="AS53" s="15">
        <f>'Grid_Stock'!AK48</f>
        <v/>
      </c>
      <c r="AT53" s="15">
        <f>'Grid_Stock'!AL48</f>
        <v/>
      </c>
      <c r="AU53" s="15">
        <f>'Grid_Stock'!AM48</f>
        <v/>
      </c>
      <c r="AV53" s="15">
        <f>'Grid_Stock'!AN48</f>
        <v/>
      </c>
      <c r="AW53" s="15">
        <f>'Grid_Stock'!AO48</f>
        <v/>
      </c>
      <c r="AX53" s="15">
        <f>'Grid_Stock'!AP48</f>
        <v/>
      </c>
      <c r="AY53" s="15">
        <f>'Grid_Stock'!AQ48</f>
        <v/>
      </c>
      <c r="AZ53" s="15">
        <f>'Grid_Stock'!AR48</f>
        <v/>
      </c>
      <c r="BA53" s="15">
        <f>'Grid_Stock'!AS48</f>
        <v/>
      </c>
      <c r="BB53" s="15">
        <f>'Grid_Stock'!AT48</f>
        <v/>
      </c>
      <c r="BC53" s="15">
        <f>'Grid_Stock'!AU48</f>
        <v/>
      </c>
      <c r="BD53" s="15">
        <f>'Grid_Stock'!AV48</f>
        <v/>
      </c>
      <c r="BE53" s="15">
        <f>'Grid_Stock'!AW48</f>
        <v/>
      </c>
      <c r="BF53" s="15">
        <f>'Grid_Stock'!AX48</f>
        <v/>
      </c>
      <c r="BG53" s="15">
        <f>'Grid_Stock'!AY48</f>
        <v/>
      </c>
      <c r="BH53" s="15">
        <f>'Grid_Stock'!AZ48</f>
        <v/>
      </c>
      <c r="BI53" s="15">
        <f>'Grid_Stock'!BA48</f>
        <v/>
      </c>
      <c r="BJ53" s="15">
        <f>'Grid_Stock'!BB48</f>
        <v/>
      </c>
      <c r="BK53" s="15">
        <f>'Grid_Stock'!BC48</f>
        <v/>
      </c>
      <c r="BL53" s="15">
        <f>'Grid_Stock'!BD48</f>
        <v/>
      </c>
      <c r="BM53" s="15">
        <f>'Grid_Stock'!BE48</f>
        <v/>
      </c>
      <c r="BN53" s="15">
        <f>'Grid_Stock'!BF48</f>
        <v/>
      </c>
      <c r="BO53" s="15">
        <f>'Grid_Stock'!BG48</f>
        <v/>
      </c>
      <c r="BP53" s="15">
        <f>'Grid_Stock'!BH48</f>
        <v/>
      </c>
      <c r="BQ53" s="15">
        <f>'Grid_Stock'!BI48</f>
        <v/>
      </c>
      <c r="BR53" s="15">
        <f>'Grid_Stock'!BJ48</f>
        <v/>
      </c>
      <c r="BS53" s="15">
        <f>'Grid_Stock'!BK48</f>
        <v/>
      </c>
      <c r="BT53" s="15">
        <f>'Grid_Stock'!BL48</f>
        <v/>
      </c>
      <c r="BU53" s="15">
        <f>'Grid_Stock'!BM48</f>
        <v/>
      </c>
      <c r="BV53" s="15">
        <f>'Grid_Stock'!BN48</f>
        <v/>
      </c>
      <c r="BW53" s="15">
        <f>'Grid_Stock'!BO48</f>
        <v/>
      </c>
      <c r="BX53" s="15">
        <f>'Grid_Stock'!BP48</f>
        <v/>
      </c>
      <c r="BY53" s="15">
        <f>'Grid_Stock'!BQ48</f>
        <v/>
      </c>
      <c r="BZ53" s="15">
        <f>'Grid_Stock'!BR48</f>
        <v/>
      </c>
      <c r="CA53" s="15">
        <f>'Grid_Stock'!BS48</f>
        <v/>
      </c>
      <c r="CB53" s="15">
        <f>'Grid_Stock'!BT48</f>
        <v/>
      </c>
      <c r="CC53" s="15">
        <f>'Grid_Stock'!BU48</f>
        <v/>
      </c>
      <c r="CD53" s="15">
        <f>'Grid_Stock'!BV48</f>
        <v/>
      </c>
      <c r="CE53" s="15">
        <f>'Grid_Stock'!BW48</f>
        <v/>
      </c>
      <c r="CF53" s="15">
        <f>'Grid_Stock'!BX48</f>
        <v/>
      </c>
      <c r="CG53" s="15">
        <f>'Grid_Stock'!BY48</f>
        <v/>
      </c>
      <c r="CH53" s="15">
        <f>'Grid_Stock'!BZ48</f>
        <v/>
      </c>
      <c r="CI53" s="15">
        <f>'Grid_Stock'!CA48</f>
        <v/>
      </c>
      <c r="CJ53" s="15">
        <f>'Grid_Stock'!CB48</f>
        <v/>
      </c>
      <c r="CK53" s="15">
        <f>'Grid_Stock'!CC48</f>
        <v/>
      </c>
      <c r="CL53" s="15">
        <f>'Grid_Stock'!CD48</f>
        <v/>
      </c>
      <c r="CM53" s="15">
        <f>'Grid_Stock'!CE48</f>
        <v/>
      </c>
      <c r="CN53" s="15">
        <f>'Grid_Stock'!CF48</f>
        <v/>
      </c>
      <c r="CO53" s="15">
        <f>'Grid_Stock'!CG48</f>
        <v/>
      </c>
      <c r="CP53" s="15">
        <f>'Grid_Stock'!CH48</f>
        <v/>
      </c>
      <c r="CQ53" s="15">
        <f>'Grid_Stock'!CI48</f>
        <v/>
      </c>
      <c r="CR53" s="15">
        <f>'Grid_Stock'!CJ48</f>
        <v/>
      </c>
      <c r="CS53" s="15">
        <f>'Grid_Stock'!CK48</f>
        <v/>
      </c>
      <c r="CT53" s="15">
        <f>'Grid_Stock'!CL48</f>
        <v/>
      </c>
      <c r="CU53" s="15">
        <f>'Grid_Stock'!CM48</f>
        <v/>
      </c>
      <c r="CV53" s="15">
        <f>'Grid_Stock'!CN48</f>
        <v/>
      </c>
      <c r="CW53" s="15">
        <f>'Grid_Stock'!CO48</f>
        <v/>
      </c>
      <c r="CX53" s="15">
        <f>'Grid_Stock'!CP48</f>
        <v/>
      </c>
      <c r="CY53" s="15">
        <f>'Grid_Stock'!CQ48</f>
        <v/>
      </c>
      <c r="CZ53" s="15">
        <f>'Grid_Stock'!CR48</f>
        <v/>
      </c>
      <c r="DA53" s="15">
        <f>'Grid_Stock'!CS48</f>
        <v/>
      </c>
      <c r="DB53" s="15">
        <f>'Grid_Stock'!CT48</f>
        <v/>
      </c>
      <c r="DC53" s="15">
        <f>'Grid_Stock'!CU48</f>
        <v/>
      </c>
      <c r="DD53" s="15">
        <f>'Grid_Stock'!CV48</f>
        <v/>
      </c>
      <c r="DE53" s="15">
        <f>'Grid_Stock'!CW48</f>
        <v/>
      </c>
      <c r="DF53" s="15">
        <f>'Grid_Stock'!CX48</f>
        <v/>
      </c>
      <c r="DG53" s="15">
        <f>'Grid_Stock'!CY48</f>
        <v/>
      </c>
      <c r="DH53" s="15">
        <f>'Grid_Stock'!CZ48</f>
        <v/>
      </c>
      <c r="DI53" s="15">
        <f>'Grid_Stock'!DA48</f>
        <v/>
      </c>
    </row>
    <row r="54">
      <c r="A54" s="17" t="inlineStr">
        <is>
          <t>CHEM-1470</t>
        </is>
      </c>
      <c r="B54" s="17">
        <f>IFERROR(INDEX(M_RawMaterials[Description],MATCH($A54,M_RawMaterials[RM_Code],0)),"")</f>
        <v/>
      </c>
      <c r="C54" s="17">
        <f>IFERROR(INDEX(M_RawMaterials[Category],MATCH($A54,M_RawMaterials[RM_Code],0)),"")</f>
        <v/>
      </c>
      <c r="D54" s="17">
        <f>IFERROR(INDEX(M_RawMaterials[SafetyStock_Qty_要入力],MATCH($A54,M_RawMaterials[RM_Code],0)),0)</f>
        <v/>
      </c>
      <c r="E54" s="17">
        <f>IFERROR(LOOKUP(2,1/(T_SelfStock!$A$2:$A$12000=$A54),T_SelfStock!$D$2:$D$12000),"")</f>
        <v/>
      </c>
      <c r="F54" s="17">
        <f>IFERROR(LOOKUP(2,1/(T_TTAFStock!$A$2:$A$12000=$A54),T_TTAFStock!$D$2:$D$12000),"")</f>
        <v/>
      </c>
      <c r="G54" s="17">
        <f>IFERROR(INDEX(Cal_Weeks[Label],LOOKUP(2,1/(T_SelfStock!$A$2:$A$12000=$A54),T_SelfStock!$B$2:$B$12000)),"")</f>
        <v/>
      </c>
      <c r="H54" s="17">
        <f>IF(MIN(J54:DI54)&lt;D54,"要発注","OK")</f>
        <v/>
      </c>
      <c r="I54" s="16">
        <f>IFERROR(INDEX(J54:DI54,$F$1),"")</f>
        <v/>
      </c>
      <c r="J54" s="17">
        <f>'Grid_Stock'!B49</f>
        <v/>
      </c>
      <c r="K54" s="17">
        <f>'Grid_Stock'!C49</f>
        <v/>
      </c>
      <c r="L54" s="17">
        <f>'Grid_Stock'!D49</f>
        <v/>
      </c>
      <c r="M54" s="17">
        <f>'Grid_Stock'!E49</f>
        <v/>
      </c>
      <c r="N54" s="17">
        <f>'Grid_Stock'!F49</f>
        <v/>
      </c>
      <c r="O54" s="17">
        <f>'Grid_Stock'!G49</f>
        <v/>
      </c>
      <c r="P54" s="17">
        <f>'Grid_Stock'!H49</f>
        <v/>
      </c>
      <c r="Q54" s="17">
        <f>'Grid_Stock'!I49</f>
        <v/>
      </c>
      <c r="R54" s="17">
        <f>'Grid_Stock'!J49</f>
        <v/>
      </c>
      <c r="S54" s="17">
        <f>'Grid_Stock'!K49</f>
        <v/>
      </c>
      <c r="T54" s="17">
        <f>'Grid_Stock'!L49</f>
        <v/>
      </c>
      <c r="U54" s="17">
        <f>'Grid_Stock'!M49</f>
        <v/>
      </c>
      <c r="V54" s="17">
        <f>'Grid_Stock'!N49</f>
        <v/>
      </c>
      <c r="W54" s="17">
        <f>'Grid_Stock'!O49</f>
        <v/>
      </c>
      <c r="X54" s="17">
        <f>'Grid_Stock'!P49</f>
        <v/>
      </c>
      <c r="Y54" s="17">
        <f>'Grid_Stock'!Q49</f>
        <v/>
      </c>
      <c r="Z54" s="17">
        <f>'Grid_Stock'!R49</f>
        <v/>
      </c>
      <c r="AA54" s="17">
        <f>'Grid_Stock'!S49</f>
        <v/>
      </c>
      <c r="AB54" s="17">
        <f>'Grid_Stock'!T49</f>
        <v/>
      </c>
      <c r="AC54" s="17">
        <f>'Grid_Stock'!U49</f>
        <v/>
      </c>
      <c r="AD54" s="17">
        <f>'Grid_Stock'!V49</f>
        <v/>
      </c>
      <c r="AE54" s="17">
        <f>'Grid_Stock'!W49</f>
        <v/>
      </c>
      <c r="AF54" s="17">
        <f>'Grid_Stock'!X49</f>
        <v/>
      </c>
      <c r="AG54" s="17">
        <f>'Grid_Stock'!Y49</f>
        <v/>
      </c>
      <c r="AH54" s="17">
        <f>'Grid_Stock'!Z49</f>
        <v/>
      </c>
      <c r="AI54" s="17">
        <f>'Grid_Stock'!AA49</f>
        <v/>
      </c>
      <c r="AJ54" s="17">
        <f>'Grid_Stock'!AB49</f>
        <v/>
      </c>
      <c r="AK54" s="17">
        <f>'Grid_Stock'!AC49</f>
        <v/>
      </c>
      <c r="AL54" s="17">
        <f>'Grid_Stock'!AD49</f>
        <v/>
      </c>
      <c r="AM54" s="17">
        <f>'Grid_Stock'!AE49</f>
        <v/>
      </c>
      <c r="AN54" s="17">
        <f>'Grid_Stock'!AF49</f>
        <v/>
      </c>
      <c r="AO54" s="17">
        <f>'Grid_Stock'!AG49</f>
        <v/>
      </c>
      <c r="AP54" s="17">
        <f>'Grid_Stock'!AH49</f>
        <v/>
      </c>
      <c r="AQ54" s="17">
        <f>'Grid_Stock'!AI49</f>
        <v/>
      </c>
      <c r="AR54" s="17">
        <f>'Grid_Stock'!AJ49</f>
        <v/>
      </c>
      <c r="AS54" s="17">
        <f>'Grid_Stock'!AK49</f>
        <v/>
      </c>
      <c r="AT54" s="17">
        <f>'Grid_Stock'!AL49</f>
        <v/>
      </c>
      <c r="AU54" s="17">
        <f>'Grid_Stock'!AM49</f>
        <v/>
      </c>
      <c r="AV54" s="17">
        <f>'Grid_Stock'!AN49</f>
        <v/>
      </c>
      <c r="AW54" s="17">
        <f>'Grid_Stock'!AO49</f>
        <v/>
      </c>
      <c r="AX54" s="17">
        <f>'Grid_Stock'!AP49</f>
        <v/>
      </c>
      <c r="AY54" s="17">
        <f>'Grid_Stock'!AQ49</f>
        <v/>
      </c>
      <c r="AZ54" s="17">
        <f>'Grid_Stock'!AR49</f>
        <v/>
      </c>
      <c r="BA54" s="17">
        <f>'Grid_Stock'!AS49</f>
        <v/>
      </c>
      <c r="BB54" s="17">
        <f>'Grid_Stock'!AT49</f>
        <v/>
      </c>
      <c r="BC54" s="17">
        <f>'Grid_Stock'!AU49</f>
        <v/>
      </c>
      <c r="BD54" s="17">
        <f>'Grid_Stock'!AV49</f>
        <v/>
      </c>
      <c r="BE54" s="17">
        <f>'Grid_Stock'!AW49</f>
        <v/>
      </c>
      <c r="BF54" s="17">
        <f>'Grid_Stock'!AX49</f>
        <v/>
      </c>
      <c r="BG54" s="17">
        <f>'Grid_Stock'!AY49</f>
        <v/>
      </c>
      <c r="BH54" s="17">
        <f>'Grid_Stock'!AZ49</f>
        <v/>
      </c>
      <c r="BI54" s="17">
        <f>'Grid_Stock'!BA49</f>
        <v/>
      </c>
      <c r="BJ54" s="17">
        <f>'Grid_Stock'!BB49</f>
        <v/>
      </c>
      <c r="BK54" s="17">
        <f>'Grid_Stock'!BC49</f>
        <v/>
      </c>
      <c r="BL54" s="17">
        <f>'Grid_Stock'!BD49</f>
        <v/>
      </c>
      <c r="BM54" s="17">
        <f>'Grid_Stock'!BE49</f>
        <v/>
      </c>
      <c r="BN54" s="17">
        <f>'Grid_Stock'!BF49</f>
        <v/>
      </c>
      <c r="BO54" s="17">
        <f>'Grid_Stock'!BG49</f>
        <v/>
      </c>
      <c r="BP54" s="17">
        <f>'Grid_Stock'!BH49</f>
        <v/>
      </c>
      <c r="BQ54" s="17">
        <f>'Grid_Stock'!BI49</f>
        <v/>
      </c>
      <c r="BR54" s="17">
        <f>'Grid_Stock'!BJ49</f>
        <v/>
      </c>
      <c r="BS54" s="17">
        <f>'Grid_Stock'!BK49</f>
        <v/>
      </c>
      <c r="BT54" s="17">
        <f>'Grid_Stock'!BL49</f>
        <v/>
      </c>
      <c r="BU54" s="17">
        <f>'Grid_Stock'!BM49</f>
        <v/>
      </c>
      <c r="BV54" s="17">
        <f>'Grid_Stock'!BN49</f>
        <v/>
      </c>
      <c r="BW54" s="17">
        <f>'Grid_Stock'!BO49</f>
        <v/>
      </c>
      <c r="BX54" s="17">
        <f>'Grid_Stock'!BP49</f>
        <v/>
      </c>
      <c r="BY54" s="17">
        <f>'Grid_Stock'!BQ49</f>
        <v/>
      </c>
      <c r="BZ54" s="17">
        <f>'Grid_Stock'!BR49</f>
        <v/>
      </c>
      <c r="CA54" s="17">
        <f>'Grid_Stock'!BS49</f>
        <v/>
      </c>
      <c r="CB54" s="17">
        <f>'Grid_Stock'!BT49</f>
        <v/>
      </c>
      <c r="CC54" s="17">
        <f>'Grid_Stock'!BU49</f>
        <v/>
      </c>
      <c r="CD54" s="17">
        <f>'Grid_Stock'!BV49</f>
        <v/>
      </c>
      <c r="CE54" s="17">
        <f>'Grid_Stock'!BW49</f>
        <v/>
      </c>
      <c r="CF54" s="17">
        <f>'Grid_Stock'!BX49</f>
        <v/>
      </c>
      <c r="CG54" s="17">
        <f>'Grid_Stock'!BY49</f>
        <v/>
      </c>
      <c r="CH54" s="17">
        <f>'Grid_Stock'!BZ49</f>
        <v/>
      </c>
      <c r="CI54" s="17">
        <f>'Grid_Stock'!CA49</f>
        <v/>
      </c>
      <c r="CJ54" s="17">
        <f>'Grid_Stock'!CB49</f>
        <v/>
      </c>
      <c r="CK54" s="17">
        <f>'Grid_Stock'!CC49</f>
        <v/>
      </c>
      <c r="CL54" s="17">
        <f>'Grid_Stock'!CD49</f>
        <v/>
      </c>
      <c r="CM54" s="17">
        <f>'Grid_Stock'!CE49</f>
        <v/>
      </c>
      <c r="CN54" s="17">
        <f>'Grid_Stock'!CF49</f>
        <v/>
      </c>
      <c r="CO54" s="17">
        <f>'Grid_Stock'!CG49</f>
        <v/>
      </c>
      <c r="CP54" s="17">
        <f>'Grid_Stock'!CH49</f>
        <v/>
      </c>
      <c r="CQ54" s="17">
        <f>'Grid_Stock'!CI49</f>
        <v/>
      </c>
      <c r="CR54" s="17">
        <f>'Grid_Stock'!CJ49</f>
        <v/>
      </c>
      <c r="CS54" s="17">
        <f>'Grid_Stock'!CK49</f>
        <v/>
      </c>
      <c r="CT54" s="17">
        <f>'Grid_Stock'!CL49</f>
        <v/>
      </c>
      <c r="CU54" s="17">
        <f>'Grid_Stock'!CM49</f>
        <v/>
      </c>
      <c r="CV54" s="17">
        <f>'Grid_Stock'!CN49</f>
        <v/>
      </c>
      <c r="CW54" s="17">
        <f>'Grid_Stock'!CO49</f>
        <v/>
      </c>
      <c r="CX54" s="17">
        <f>'Grid_Stock'!CP49</f>
        <v/>
      </c>
      <c r="CY54" s="17">
        <f>'Grid_Stock'!CQ49</f>
        <v/>
      </c>
      <c r="CZ54" s="17">
        <f>'Grid_Stock'!CR49</f>
        <v/>
      </c>
      <c r="DA54" s="17">
        <f>'Grid_Stock'!CS49</f>
        <v/>
      </c>
      <c r="DB54" s="17">
        <f>'Grid_Stock'!CT49</f>
        <v/>
      </c>
      <c r="DC54" s="17">
        <f>'Grid_Stock'!CU49</f>
        <v/>
      </c>
      <c r="DD54" s="17">
        <f>'Grid_Stock'!CV49</f>
        <v/>
      </c>
      <c r="DE54" s="17">
        <f>'Grid_Stock'!CW49</f>
        <v/>
      </c>
      <c r="DF54" s="17">
        <f>'Grid_Stock'!CX49</f>
        <v/>
      </c>
      <c r="DG54" s="17">
        <f>'Grid_Stock'!CY49</f>
        <v/>
      </c>
      <c r="DH54" s="17">
        <f>'Grid_Stock'!CZ49</f>
        <v/>
      </c>
      <c r="DI54" s="17">
        <f>'Grid_Stock'!DA49</f>
        <v/>
      </c>
    </row>
    <row r="55">
      <c r="A55" s="15" t="inlineStr">
        <is>
          <t>CHEM-1480</t>
        </is>
      </c>
      <c r="B55" s="15">
        <f>IFERROR(INDEX(M_RawMaterials[Description],MATCH($A55,M_RawMaterials[RM_Code],0)),"")</f>
        <v/>
      </c>
      <c r="C55" s="15">
        <f>IFERROR(INDEX(M_RawMaterials[Category],MATCH($A55,M_RawMaterials[RM_Code],0)),"")</f>
        <v/>
      </c>
      <c r="D55" s="15">
        <f>IFERROR(INDEX(M_RawMaterials[SafetyStock_Qty_要入力],MATCH($A55,M_RawMaterials[RM_Code],0)),0)</f>
        <v/>
      </c>
      <c r="E55" s="15">
        <f>IFERROR(LOOKUP(2,1/(T_SelfStock!$A$2:$A$12000=$A55),T_SelfStock!$D$2:$D$12000),"")</f>
        <v/>
      </c>
      <c r="F55" s="15">
        <f>IFERROR(LOOKUP(2,1/(T_TTAFStock!$A$2:$A$12000=$A55),T_TTAFStock!$D$2:$D$12000),"")</f>
        <v/>
      </c>
      <c r="G55" s="15">
        <f>IFERROR(INDEX(Cal_Weeks[Label],LOOKUP(2,1/(T_SelfStock!$A$2:$A$12000=$A55),T_SelfStock!$B$2:$B$12000)),"")</f>
        <v/>
      </c>
      <c r="H55" s="15">
        <f>IF(MIN(J55:DI55)&lt;D55,"要発注","OK")</f>
        <v/>
      </c>
      <c r="I55" s="16">
        <f>IFERROR(INDEX(J55:DI55,$F$1),"")</f>
        <v/>
      </c>
      <c r="J55" s="15">
        <f>'Grid_Stock'!B50</f>
        <v/>
      </c>
      <c r="K55" s="15">
        <f>'Grid_Stock'!C50</f>
        <v/>
      </c>
      <c r="L55" s="15">
        <f>'Grid_Stock'!D50</f>
        <v/>
      </c>
      <c r="M55" s="15">
        <f>'Grid_Stock'!E50</f>
        <v/>
      </c>
      <c r="N55" s="15">
        <f>'Grid_Stock'!F50</f>
        <v/>
      </c>
      <c r="O55" s="15">
        <f>'Grid_Stock'!G50</f>
        <v/>
      </c>
      <c r="P55" s="15">
        <f>'Grid_Stock'!H50</f>
        <v/>
      </c>
      <c r="Q55" s="15">
        <f>'Grid_Stock'!I50</f>
        <v/>
      </c>
      <c r="R55" s="15">
        <f>'Grid_Stock'!J50</f>
        <v/>
      </c>
      <c r="S55" s="15">
        <f>'Grid_Stock'!K50</f>
        <v/>
      </c>
      <c r="T55" s="15">
        <f>'Grid_Stock'!L50</f>
        <v/>
      </c>
      <c r="U55" s="15">
        <f>'Grid_Stock'!M50</f>
        <v/>
      </c>
      <c r="V55" s="15">
        <f>'Grid_Stock'!N50</f>
        <v/>
      </c>
      <c r="W55" s="15">
        <f>'Grid_Stock'!O50</f>
        <v/>
      </c>
      <c r="X55" s="15">
        <f>'Grid_Stock'!P50</f>
        <v/>
      </c>
      <c r="Y55" s="15">
        <f>'Grid_Stock'!Q50</f>
        <v/>
      </c>
      <c r="Z55" s="15">
        <f>'Grid_Stock'!R50</f>
        <v/>
      </c>
      <c r="AA55" s="15">
        <f>'Grid_Stock'!S50</f>
        <v/>
      </c>
      <c r="AB55" s="15">
        <f>'Grid_Stock'!T50</f>
        <v/>
      </c>
      <c r="AC55" s="15">
        <f>'Grid_Stock'!U50</f>
        <v/>
      </c>
      <c r="AD55" s="15">
        <f>'Grid_Stock'!V50</f>
        <v/>
      </c>
      <c r="AE55" s="15">
        <f>'Grid_Stock'!W50</f>
        <v/>
      </c>
      <c r="AF55" s="15">
        <f>'Grid_Stock'!X50</f>
        <v/>
      </c>
      <c r="AG55" s="15">
        <f>'Grid_Stock'!Y50</f>
        <v/>
      </c>
      <c r="AH55" s="15">
        <f>'Grid_Stock'!Z50</f>
        <v/>
      </c>
      <c r="AI55" s="15">
        <f>'Grid_Stock'!AA50</f>
        <v/>
      </c>
      <c r="AJ55" s="15">
        <f>'Grid_Stock'!AB50</f>
        <v/>
      </c>
      <c r="AK55" s="15">
        <f>'Grid_Stock'!AC50</f>
        <v/>
      </c>
      <c r="AL55" s="15">
        <f>'Grid_Stock'!AD50</f>
        <v/>
      </c>
      <c r="AM55" s="15">
        <f>'Grid_Stock'!AE50</f>
        <v/>
      </c>
      <c r="AN55" s="15">
        <f>'Grid_Stock'!AF50</f>
        <v/>
      </c>
      <c r="AO55" s="15">
        <f>'Grid_Stock'!AG50</f>
        <v/>
      </c>
      <c r="AP55" s="15">
        <f>'Grid_Stock'!AH50</f>
        <v/>
      </c>
      <c r="AQ55" s="15">
        <f>'Grid_Stock'!AI50</f>
        <v/>
      </c>
      <c r="AR55" s="15">
        <f>'Grid_Stock'!AJ50</f>
        <v/>
      </c>
      <c r="AS55" s="15">
        <f>'Grid_Stock'!AK50</f>
        <v/>
      </c>
      <c r="AT55" s="15">
        <f>'Grid_Stock'!AL50</f>
        <v/>
      </c>
      <c r="AU55" s="15">
        <f>'Grid_Stock'!AM50</f>
        <v/>
      </c>
      <c r="AV55" s="15">
        <f>'Grid_Stock'!AN50</f>
        <v/>
      </c>
      <c r="AW55" s="15">
        <f>'Grid_Stock'!AO50</f>
        <v/>
      </c>
      <c r="AX55" s="15">
        <f>'Grid_Stock'!AP50</f>
        <v/>
      </c>
      <c r="AY55" s="15">
        <f>'Grid_Stock'!AQ50</f>
        <v/>
      </c>
      <c r="AZ55" s="15">
        <f>'Grid_Stock'!AR50</f>
        <v/>
      </c>
      <c r="BA55" s="15">
        <f>'Grid_Stock'!AS50</f>
        <v/>
      </c>
      <c r="BB55" s="15">
        <f>'Grid_Stock'!AT50</f>
        <v/>
      </c>
      <c r="BC55" s="15">
        <f>'Grid_Stock'!AU50</f>
        <v/>
      </c>
      <c r="BD55" s="15">
        <f>'Grid_Stock'!AV50</f>
        <v/>
      </c>
      <c r="BE55" s="15">
        <f>'Grid_Stock'!AW50</f>
        <v/>
      </c>
      <c r="BF55" s="15">
        <f>'Grid_Stock'!AX50</f>
        <v/>
      </c>
      <c r="BG55" s="15">
        <f>'Grid_Stock'!AY50</f>
        <v/>
      </c>
      <c r="BH55" s="15">
        <f>'Grid_Stock'!AZ50</f>
        <v/>
      </c>
      <c r="BI55" s="15">
        <f>'Grid_Stock'!BA50</f>
        <v/>
      </c>
      <c r="BJ55" s="15">
        <f>'Grid_Stock'!BB50</f>
        <v/>
      </c>
      <c r="BK55" s="15">
        <f>'Grid_Stock'!BC50</f>
        <v/>
      </c>
      <c r="BL55" s="15">
        <f>'Grid_Stock'!BD50</f>
        <v/>
      </c>
      <c r="BM55" s="15">
        <f>'Grid_Stock'!BE50</f>
        <v/>
      </c>
      <c r="BN55" s="15">
        <f>'Grid_Stock'!BF50</f>
        <v/>
      </c>
      <c r="BO55" s="15">
        <f>'Grid_Stock'!BG50</f>
        <v/>
      </c>
      <c r="BP55" s="15">
        <f>'Grid_Stock'!BH50</f>
        <v/>
      </c>
      <c r="BQ55" s="15">
        <f>'Grid_Stock'!BI50</f>
        <v/>
      </c>
      <c r="BR55" s="15">
        <f>'Grid_Stock'!BJ50</f>
        <v/>
      </c>
      <c r="BS55" s="15">
        <f>'Grid_Stock'!BK50</f>
        <v/>
      </c>
      <c r="BT55" s="15">
        <f>'Grid_Stock'!BL50</f>
        <v/>
      </c>
      <c r="BU55" s="15">
        <f>'Grid_Stock'!BM50</f>
        <v/>
      </c>
      <c r="BV55" s="15">
        <f>'Grid_Stock'!BN50</f>
        <v/>
      </c>
      <c r="BW55" s="15">
        <f>'Grid_Stock'!BO50</f>
        <v/>
      </c>
      <c r="BX55" s="15">
        <f>'Grid_Stock'!BP50</f>
        <v/>
      </c>
      <c r="BY55" s="15">
        <f>'Grid_Stock'!BQ50</f>
        <v/>
      </c>
      <c r="BZ55" s="15">
        <f>'Grid_Stock'!BR50</f>
        <v/>
      </c>
      <c r="CA55" s="15">
        <f>'Grid_Stock'!BS50</f>
        <v/>
      </c>
      <c r="CB55" s="15">
        <f>'Grid_Stock'!BT50</f>
        <v/>
      </c>
      <c r="CC55" s="15">
        <f>'Grid_Stock'!BU50</f>
        <v/>
      </c>
      <c r="CD55" s="15">
        <f>'Grid_Stock'!BV50</f>
        <v/>
      </c>
      <c r="CE55" s="15">
        <f>'Grid_Stock'!BW50</f>
        <v/>
      </c>
      <c r="CF55" s="15">
        <f>'Grid_Stock'!BX50</f>
        <v/>
      </c>
      <c r="CG55" s="15">
        <f>'Grid_Stock'!BY50</f>
        <v/>
      </c>
      <c r="CH55" s="15">
        <f>'Grid_Stock'!BZ50</f>
        <v/>
      </c>
      <c r="CI55" s="15">
        <f>'Grid_Stock'!CA50</f>
        <v/>
      </c>
      <c r="CJ55" s="15">
        <f>'Grid_Stock'!CB50</f>
        <v/>
      </c>
      <c r="CK55" s="15">
        <f>'Grid_Stock'!CC50</f>
        <v/>
      </c>
      <c r="CL55" s="15">
        <f>'Grid_Stock'!CD50</f>
        <v/>
      </c>
      <c r="CM55" s="15">
        <f>'Grid_Stock'!CE50</f>
        <v/>
      </c>
      <c r="CN55" s="15">
        <f>'Grid_Stock'!CF50</f>
        <v/>
      </c>
      <c r="CO55" s="15">
        <f>'Grid_Stock'!CG50</f>
        <v/>
      </c>
      <c r="CP55" s="15">
        <f>'Grid_Stock'!CH50</f>
        <v/>
      </c>
      <c r="CQ55" s="15">
        <f>'Grid_Stock'!CI50</f>
        <v/>
      </c>
      <c r="CR55" s="15">
        <f>'Grid_Stock'!CJ50</f>
        <v/>
      </c>
      <c r="CS55" s="15">
        <f>'Grid_Stock'!CK50</f>
        <v/>
      </c>
      <c r="CT55" s="15">
        <f>'Grid_Stock'!CL50</f>
        <v/>
      </c>
      <c r="CU55" s="15">
        <f>'Grid_Stock'!CM50</f>
        <v/>
      </c>
      <c r="CV55" s="15">
        <f>'Grid_Stock'!CN50</f>
        <v/>
      </c>
      <c r="CW55" s="15">
        <f>'Grid_Stock'!CO50</f>
        <v/>
      </c>
      <c r="CX55" s="15">
        <f>'Grid_Stock'!CP50</f>
        <v/>
      </c>
      <c r="CY55" s="15">
        <f>'Grid_Stock'!CQ50</f>
        <v/>
      </c>
      <c r="CZ55" s="15">
        <f>'Grid_Stock'!CR50</f>
        <v/>
      </c>
      <c r="DA55" s="15">
        <f>'Grid_Stock'!CS50</f>
        <v/>
      </c>
      <c r="DB55" s="15">
        <f>'Grid_Stock'!CT50</f>
        <v/>
      </c>
      <c r="DC55" s="15">
        <f>'Grid_Stock'!CU50</f>
        <v/>
      </c>
      <c r="DD55" s="15">
        <f>'Grid_Stock'!CV50</f>
        <v/>
      </c>
      <c r="DE55" s="15">
        <f>'Grid_Stock'!CW50</f>
        <v/>
      </c>
      <c r="DF55" s="15">
        <f>'Grid_Stock'!CX50</f>
        <v/>
      </c>
      <c r="DG55" s="15">
        <f>'Grid_Stock'!CY50</f>
        <v/>
      </c>
      <c r="DH55" s="15">
        <f>'Grid_Stock'!CZ50</f>
        <v/>
      </c>
      <c r="DI55" s="15">
        <f>'Grid_Stock'!DA50</f>
        <v/>
      </c>
    </row>
    <row r="56">
      <c r="A56" s="17" t="inlineStr">
        <is>
          <t>CHEM-1560</t>
        </is>
      </c>
      <c r="B56" s="17">
        <f>IFERROR(INDEX(M_RawMaterials[Description],MATCH($A56,M_RawMaterials[RM_Code],0)),"")</f>
        <v/>
      </c>
      <c r="C56" s="17">
        <f>IFERROR(INDEX(M_RawMaterials[Category],MATCH($A56,M_RawMaterials[RM_Code],0)),"")</f>
        <v/>
      </c>
      <c r="D56" s="17">
        <f>IFERROR(INDEX(M_RawMaterials[SafetyStock_Qty_要入力],MATCH($A56,M_RawMaterials[RM_Code],0)),0)</f>
        <v/>
      </c>
      <c r="E56" s="17">
        <f>IFERROR(LOOKUP(2,1/(T_SelfStock!$A$2:$A$12000=$A56),T_SelfStock!$D$2:$D$12000),"")</f>
        <v/>
      </c>
      <c r="F56" s="17">
        <f>IFERROR(LOOKUP(2,1/(T_TTAFStock!$A$2:$A$12000=$A56),T_TTAFStock!$D$2:$D$12000),"")</f>
        <v/>
      </c>
      <c r="G56" s="17">
        <f>IFERROR(INDEX(Cal_Weeks[Label],LOOKUP(2,1/(T_SelfStock!$A$2:$A$12000=$A56),T_SelfStock!$B$2:$B$12000)),"")</f>
        <v/>
      </c>
      <c r="H56" s="17">
        <f>IF(MIN(J56:DI56)&lt;D56,"要発注","OK")</f>
        <v/>
      </c>
      <c r="I56" s="16">
        <f>IFERROR(INDEX(J56:DI56,$F$1),"")</f>
        <v/>
      </c>
      <c r="J56" s="17">
        <f>'Grid_Stock'!B51</f>
        <v/>
      </c>
      <c r="K56" s="17">
        <f>'Grid_Stock'!C51</f>
        <v/>
      </c>
      <c r="L56" s="17">
        <f>'Grid_Stock'!D51</f>
        <v/>
      </c>
      <c r="M56" s="17">
        <f>'Grid_Stock'!E51</f>
        <v/>
      </c>
      <c r="N56" s="17">
        <f>'Grid_Stock'!F51</f>
        <v/>
      </c>
      <c r="O56" s="17">
        <f>'Grid_Stock'!G51</f>
        <v/>
      </c>
      <c r="P56" s="17">
        <f>'Grid_Stock'!H51</f>
        <v/>
      </c>
      <c r="Q56" s="17">
        <f>'Grid_Stock'!I51</f>
        <v/>
      </c>
      <c r="R56" s="17">
        <f>'Grid_Stock'!J51</f>
        <v/>
      </c>
      <c r="S56" s="17">
        <f>'Grid_Stock'!K51</f>
        <v/>
      </c>
      <c r="T56" s="17">
        <f>'Grid_Stock'!L51</f>
        <v/>
      </c>
      <c r="U56" s="17">
        <f>'Grid_Stock'!M51</f>
        <v/>
      </c>
      <c r="V56" s="17">
        <f>'Grid_Stock'!N51</f>
        <v/>
      </c>
      <c r="W56" s="17">
        <f>'Grid_Stock'!O51</f>
        <v/>
      </c>
      <c r="X56" s="17">
        <f>'Grid_Stock'!P51</f>
        <v/>
      </c>
      <c r="Y56" s="17">
        <f>'Grid_Stock'!Q51</f>
        <v/>
      </c>
      <c r="Z56" s="17">
        <f>'Grid_Stock'!R51</f>
        <v/>
      </c>
      <c r="AA56" s="17">
        <f>'Grid_Stock'!S51</f>
        <v/>
      </c>
      <c r="AB56" s="17">
        <f>'Grid_Stock'!T51</f>
        <v/>
      </c>
      <c r="AC56" s="17">
        <f>'Grid_Stock'!U51</f>
        <v/>
      </c>
      <c r="AD56" s="17">
        <f>'Grid_Stock'!V51</f>
        <v/>
      </c>
      <c r="AE56" s="17">
        <f>'Grid_Stock'!W51</f>
        <v/>
      </c>
      <c r="AF56" s="17">
        <f>'Grid_Stock'!X51</f>
        <v/>
      </c>
      <c r="AG56" s="17">
        <f>'Grid_Stock'!Y51</f>
        <v/>
      </c>
      <c r="AH56" s="17">
        <f>'Grid_Stock'!Z51</f>
        <v/>
      </c>
      <c r="AI56" s="17">
        <f>'Grid_Stock'!AA51</f>
        <v/>
      </c>
      <c r="AJ56" s="17">
        <f>'Grid_Stock'!AB51</f>
        <v/>
      </c>
      <c r="AK56" s="17">
        <f>'Grid_Stock'!AC51</f>
        <v/>
      </c>
      <c r="AL56" s="17">
        <f>'Grid_Stock'!AD51</f>
        <v/>
      </c>
      <c r="AM56" s="17">
        <f>'Grid_Stock'!AE51</f>
        <v/>
      </c>
      <c r="AN56" s="17">
        <f>'Grid_Stock'!AF51</f>
        <v/>
      </c>
      <c r="AO56" s="17">
        <f>'Grid_Stock'!AG51</f>
        <v/>
      </c>
      <c r="AP56" s="17">
        <f>'Grid_Stock'!AH51</f>
        <v/>
      </c>
      <c r="AQ56" s="17">
        <f>'Grid_Stock'!AI51</f>
        <v/>
      </c>
      <c r="AR56" s="17">
        <f>'Grid_Stock'!AJ51</f>
        <v/>
      </c>
      <c r="AS56" s="17">
        <f>'Grid_Stock'!AK51</f>
        <v/>
      </c>
      <c r="AT56" s="17">
        <f>'Grid_Stock'!AL51</f>
        <v/>
      </c>
      <c r="AU56" s="17">
        <f>'Grid_Stock'!AM51</f>
        <v/>
      </c>
      <c r="AV56" s="17">
        <f>'Grid_Stock'!AN51</f>
        <v/>
      </c>
      <c r="AW56" s="17">
        <f>'Grid_Stock'!AO51</f>
        <v/>
      </c>
      <c r="AX56" s="17">
        <f>'Grid_Stock'!AP51</f>
        <v/>
      </c>
      <c r="AY56" s="17">
        <f>'Grid_Stock'!AQ51</f>
        <v/>
      </c>
      <c r="AZ56" s="17">
        <f>'Grid_Stock'!AR51</f>
        <v/>
      </c>
      <c r="BA56" s="17">
        <f>'Grid_Stock'!AS51</f>
        <v/>
      </c>
      <c r="BB56" s="17">
        <f>'Grid_Stock'!AT51</f>
        <v/>
      </c>
      <c r="BC56" s="17">
        <f>'Grid_Stock'!AU51</f>
        <v/>
      </c>
      <c r="BD56" s="17">
        <f>'Grid_Stock'!AV51</f>
        <v/>
      </c>
      <c r="BE56" s="17">
        <f>'Grid_Stock'!AW51</f>
        <v/>
      </c>
      <c r="BF56" s="17">
        <f>'Grid_Stock'!AX51</f>
        <v/>
      </c>
      <c r="BG56" s="17">
        <f>'Grid_Stock'!AY51</f>
        <v/>
      </c>
      <c r="BH56" s="17">
        <f>'Grid_Stock'!AZ51</f>
        <v/>
      </c>
      <c r="BI56" s="17">
        <f>'Grid_Stock'!BA51</f>
        <v/>
      </c>
      <c r="BJ56" s="17">
        <f>'Grid_Stock'!BB51</f>
        <v/>
      </c>
      <c r="BK56" s="17">
        <f>'Grid_Stock'!BC51</f>
        <v/>
      </c>
      <c r="BL56" s="17">
        <f>'Grid_Stock'!BD51</f>
        <v/>
      </c>
      <c r="BM56" s="17">
        <f>'Grid_Stock'!BE51</f>
        <v/>
      </c>
      <c r="BN56" s="17">
        <f>'Grid_Stock'!BF51</f>
        <v/>
      </c>
      <c r="BO56" s="17">
        <f>'Grid_Stock'!BG51</f>
        <v/>
      </c>
      <c r="BP56" s="17">
        <f>'Grid_Stock'!BH51</f>
        <v/>
      </c>
      <c r="BQ56" s="17">
        <f>'Grid_Stock'!BI51</f>
        <v/>
      </c>
      <c r="BR56" s="17">
        <f>'Grid_Stock'!BJ51</f>
        <v/>
      </c>
      <c r="BS56" s="17">
        <f>'Grid_Stock'!BK51</f>
        <v/>
      </c>
      <c r="BT56" s="17">
        <f>'Grid_Stock'!BL51</f>
        <v/>
      </c>
      <c r="BU56" s="17">
        <f>'Grid_Stock'!BM51</f>
        <v/>
      </c>
      <c r="BV56" s="17">
        <f>'Grid_Stock'!BN51</f>
        <v/>
      </c>
      <c r="BW56" s="17">
        <f>'Grid_Stock'!BO51</f>
        <v/>
      </c>
      <c r="BX56" s="17">
        <f>'Grid_Stock'!BP51</f>
        <v/>
      </c>
      <c r="BY56" s="17">
        <f>'Grid_Stock'!BQ51</f>
        <v/>
      </c>
      <c r="BZ56" s="17">
        <f>'Grid_Stock'!BR51</f>
        <v/>
      </c>
      <c r="CA56" s="17">
        <f>'Grid_Stock'!BS51</f>
        <v/>
      </c>
      <c r="CB56" s="17">
        <f>'Grid_Stock'!BT51</f>
        <v/>
      </c>
      <c r="CC56" s="17">
        <f>'Grid_Stock'!BU51</f>
        <v/>
      </c>
      <c r="CD56" s="17">
        <f>'Grid_Stock'!BV51</f>
        <v/>
      </c>
      <c r="CE56" s="17">
        <f>'Grid_Stock'!BW51</f>
        <v/>
      </c>
      <c r="CF56" s="17">
        <f>'Grid_Stock'!BX51</f>
        <v/>
      </c>
      <c r="CG56" s="17">
        <f>'Grid_Stock'!BY51</f>
        <v/>
      </c>
      <c r="CH56" s="17">
        <f>'Grid_Stock'!BZ51</f>
        <v/>
      </c>
      <c r="CI56" s="17">
        <f>'Grid_Stock'!CA51</f>
        <v/>
      </c>
      <c r="CJ56" s="17">
        <f>'Grid_Stock'!CB51</f>
        <v/>
      </c>
      <c r="CK56" s="17">
        <f>'Grid_Stock'!CC51</f>
        <v/>
      </c>
      <c r="CL56" s="17">
        <f>'Grid_Stock'!CD51</f>
        <v/>
      </c>
      <c r="CM56" s="17">
        <f>'Grid_Stock'!CE51</f>
        <v/>
      </c>
      <c r="CN56" s="17">
        <f>'Grid_Stock'!CF51</f>
        <v/>
      </c>
      <c r="CO56" s="17">
        <f>'Grid_Stock'!CG51</f>
        <v/>
      </c>
      <c r="CP56" s="17">
        <f>'Grid_Stock'!CH51</f>
        <v/>
      </c>
      <c r="CQ56" s="17">
        <f>'Grid_Stock'!CI51</f>
        <v/>
      </c>
      <c r="CR56" s="17">
        <f>'Grid_Stock'!CJ51</f>
        <v/>
      </c>
      <c r="CS56" s="17">
        <f>'Grid_Stock'!CK51</f>
        <v/>
      </c>
      <c r="CT56" s="17">
        <f>'Grid_Stock'!CL51</f>
        <v/>
      </c>
      <c r="CU56" s="17">
        <f>'Grid_Stock'!CM51</f>
        <v/>
      </c>
      <c r="CV56" s="17">
        <f>'Grid_Stock'!CN51</f>
        <v/>
      </c>
      <c r="CW56" s="17">
        <f>'Grid_Stock'!CO51</f>
        <v/>
      </c>
      <c r="CX56" s="17">
        <f>'Grid_Stock'!CP51</f>
        <v/>
      </c>
      <c r="CY56" s="17">
        <f>'Grid_Stock'!CQ51</f>
        <v/>
      </c>
      <c r="CZ56" s="17">
        <f>'Grid_Stock'!CR51</f>
        <v/>
      </c>
      <c r="DA56" s="17">
        <f>'Grid_Stock'!CS51</f>
        <v/>
      </c>
      <c r="DB56" s="17">
        <f>'Grid_Stock'!CT51</f>
        <v/>
      </c>
      <c r="DC56" s="17">
        <f>'Grid_Stock'!CU51</f>
        <v/>
      </c>
      <c r="DD56" s="17">
        <f>'Grid_Stock'!CV51</f>
        <v/>
      </c>
      <c r="DE56" s="17">
        <f>'Grid_Stock'!CW51</f>
        <v/>
      </c>
      <c r="DF56" s="17">
        <f>'Grid_Stock'!CX51</f>
        <v/>
      </c>
      <c r="DG56" s="17">
        <f>'Grid_Stock'!CY51</f>
        <v/>
      </c>
      <c r="DH56" s="17">
        <f>'Grid_Stock'!CZ51</f>
        <v/>
      </c>
      <c r="DI56" s="17">
        <f>'Grid_Stock'!DA51</f>
        <v/>
      </c>
    </row>
    <row r="57">
      <c r="A57" s="15" t="inlineStr">
        <is>
          <t>CHEM-1520</t>
        </is>
      </c>
      <c r="B57" s="15">
        <f>IFERROR(INDEX(M_RawMaterials[Description],MATCH($A57,M_RawMaterials[RM_Code],0)),"")</f>
        <v/>
      </c>
      <c r="C57" s="15">
        <f>IFERROR(INDEX(M_RawMaterials[Category],MATCH($A57,M_RawMaterials[RM_Code],0)),"")</f>
        <v/>
      </c>
      <c r="D57" s="15">
        <f>IFERROR(INDEX(M_RawMaterials[SafetyStock_Qty_要入力],MATCH($A57,M_RawMaterials[RM_Code],0)),0)</f>
        <v/>
      </c>
      <c r="E57" s="15">
        <f>IFERROR(LOOKUP(2,1/(T_SelfStock!$A$2:$A$12000=$A57),T_SelfStock!$D$2:$D$12000),"")</f>
        <v/>
      </c>
      <c r="F57" s="15">
        <f>IFERROR(LOOKUP(2,1/(T_TTAFStock!$A$2:$A$12000=$A57),T_TTAFStock!$D$2:$D$12000),"")</f>
        <v/>
      </c>
      <c r="G57" s="15">
        <f>IFERROR(INDEX(Cal_Weeks[Label],LOOKUP(2,1/(T_SelfStock!$A$2:$A$12000=$A57),T_SelfStock!$B$2:$B$12000)),"")</f>
        <v/>
      </c>
      <c r="H57" s="15">
        <f>IF(MIN(J57:DI57)&lt;D57,"要発注","OK")</f>
        <v/>
      </c>
      <c r="I57" s="16">
        <f>IFERROR(INDEX(J57:DI57,$F$1),"")</f>
        <v/>
      </c>
      <c r="J57" s="15">
        <f>'Grid_Stock'!B52</f>
        <v/>
      </c>
      <c r="K57" s="15">
        <f>'Grid_Stock'!C52</f>
        <v/>
      </c>
      <c r="L57" s="15">
        <f>'Grid_Stock'!D52</f>
        <v/>
      </c>
      <c r="M57" s="15">
        <f>'Grid_Stock'!E52</f>
        <v/>
      </c>
      <c r="N57" s="15">
        <f>'Grid_Stock'!F52</f>
        <v/>
      </c>
      <c r="O57" s="15">
        <f>'Grid_Stock'!G52</f>
        <v/>
      </c>
      <c r="P57" s="15">
        <f>'Grid_Stock'!H52</f>
        <v/>
      </c>
      <c r="Q57" s="15">
        <f>'Grid_Stock'!I52</f>
        <v/>
      </c>
      <c r="R57" s="15">
        <f>'Grid_Stock'!J52</f>
        <v/>
      </c>
      <c r="S57" s="15">
        <f>'Grid_Stock'!K52</f>
        <v/>
      </c>
      <c r="T57" s="15">
        <f>'Grid_Stock'!L52</f>
        <v/>
      </c>
      <c r="U57" s="15">
        <f>'Grid_Stock'!M52</f>
        <v/>
      </c>
      <c r="V57" s="15">
        <f>'Grid_Stock'!N52</f>
        <v/>
      </c>
      <c r="W57" s="15">
        <f>'Grid_Stock'!O52</f>
        <v/>
      </c>
      <c r="X57" s="15">
        <f>'Grid_Stock'!P52</f>
        <v/>
      </c>
      <c r="Y57" s="15">
        <f>'Grid_Stock'!Q52</f>
        <v/>
      </c>
      <c r="Z57" s="15">
        <f>'Grid_Stock'!R52</f>
        <v/>
      </c>
      <c r="AA57" s="15">
        <f>'Grid_Stock'!S52</f>
        <v/>
      </c>
      <c r="AB57" s="15">
        <f>'Grid_Stock'!T52</f>
        <v/>
      </c>
      <c r="AC57" s="15">
        <f>'Grid_Stock'!U52</f>
        <v/>
      </c>
      <c r="AD57" s="15">
        <f>'Grid_Stock'!V52</f>
        <v/>
      </c>
      <c r="AE57" s="15">
        <f>'Grid_Stock'!W52</f>
        <v/>
      </c>
      <c r="AF57" s="15">
        <f>'Grid_Stock'!X52</f>
        <v/>
      </c>
      <c r="AG57" s="15">
        <f>'Grid_Stock'!Y52</f>
        <v/>
      </c>
      <c r="AH57" s="15">
        <f>'Grid_Stock'!Z52</f>
        <v/>
      </c>
      <c r="AI57" s="15">
        <f>'Grid_Stock'!AA52</f>
        <v/>
      </c>
      <c r="AJ57" s="15">
        <f>'Grid_Stock'!AB52</f>
        <v/>
      </c>
      <c r="AK57" s="15">
        <f>'Grid_Stock'!AC52</f>
        <v/>
      </c>
      <c r="AL57" s="15">
        <f>'Grid_Stock'!AD52</f>
        <v/>
      </c>
      <c r="AM57" s="15">
        <f>'Grid_Stock'!AE52</f>
        <v/>
      </c>
      <c r="AN57" s="15">
        <f>'Grid_Stock'!AF52</f>
        <v/>
      </c>
      <c r="AO57" s="15">
        <f>'Grid_Stock'!AG52</f>
        <v/>
      </c>
      <c r="AP57" s="15">
        <f>'Grid_Stock'!AH52</f>
        <v/>
      </c>
      <c r="AQ57" s="15">
        <f>'Grid_Stock'!AI52</f>
        <v/>
      </c>
      <c r="AR57" s="15">
        <f>'Grid_Stock'!AJ52</f>
        <v/>
      </c>
      <c r="AS57" s="15">
        <f>'Grid_Stock'!AK52</f>
        <v/>
      </c>
      <c r="AT57" s="15">
        <f>'Grid_Stock'!AL52</f>
        <v/>
      </c>
      <c r="AU57" s="15">
        <f>'Grid_Stock'!AM52</f>
        <v/>
      </c>
      <c r="AV57" s="15">
        <f>'Grid_Stock'!AN52</f>
        <v/>
      </c>
      <c r="AW57" s="15">
        <f>'Grid_Stock'!AO52</f>
        <v/>
      </c>
      <c r="AX57" s="15">
        <f>'Grid_Stock'!AP52</f>
        <v/>
      </c>
      <c r="AY57" s="15">
        <f>'Grid_Stock'!AQ52</f>
        <v/>
      </c>
      <c r="AZ57" s="15">
        <f>'Grid_Stock'!AR52</f>
        <v/>
      </c>
      <c r="BA57" s="15">
        <f>'Grid_Stock'!AS52</f>
        <v/>
      </c>
      <c r="BB57" s="15">
        <f>'Grid_Stock'!AT52</f>
        <v/>
      </c>
      <c r="BC57" s="15">
        <f>'Grid_Stock'!AU52</f>
        <v/>
      </c>
      <c r="BD57" s="15">
        <f>'Grid_Stock'!AV52</f>
        <v/>
      </c>
      <c r="BE57" s="15">
        <f>'Grid_Stock'!AW52</f>
        <v/>
      </c>
      <c r="BF57" s="15">
        <f>'Grid_Stock'!AX52</f>
        <v/>
      </c>
      <c r="BG57" s="15">
        <f>'Grid_Stock'!AY52</f>
        <v/>
      </c>
      <c r="BH57" s="15">
        <f>'Grid_Stock'!AZ52</f>
        <v/>
      </c>
      <c r="BI57" s="15">
        <f>'Grid_Stock'!BA52</f>
        <v/>
      </c>
      <c r="BJ57" s="15">
        <f>'Grid_Stock'!BB52</f>
        <v/>
      </c>
      <c r="BK57" s="15">
        <f>'Grid_Stock'!BC52</f>
        <v/>
      </c>
      <c r="BL57" s="15">
        <f>'Grid_Stock'!BD52</f>
        <v/>
      </c>
      <c r="BM57" s="15">
        <f>'Grid_Stock'!BE52</f>
        <v/>
      </c>
      <c r="BN57" s="15">
        <f>'Grid_Stock'!BF52</f>
        <v/>
      </c>
      <c r="BO57" s="15">
        <f>'Grid_Stock'!BG52</f>
        <v/>
      </c>
      <c r="BP57" s="15">
        <f>'Grid_Stock'!BH52</f>
        <v/>
      </c>
      <c r="BQ57" s="15">
        <f>'Grid_Stock'!BI52</f>
        <v/>
      </c>
      <c r="BR57" s="15">
        <f>'Grid_Stock'!BJ52</f>
        <v/>
      </c>
      <c r="BS57" s="15">
        <f>'Grid_Stock'!BK52</f>
        <v/>
      </c>
      <c r="BT57" s="15">
        <f>'Grid_Stock'!BL52</f>
        <v/>
      </c>
      <c r="BU57" s="15">
        <f>'Grid_Stock'!BM52</f>
        <v/>
      </c>
      <c r="BV57" s="15">
        <f>'Grid_Stock'!BN52</f>
        <v/>
      </c>
      <c r="BW57" s="15">
        <f>'Grid_Stock'!BO52</f>
        <v/>
      </c>
      <c r="BX57" s="15">
        <f>'Grid_Stock'!BP52</f>
        <v/>
      </c>
      <c r="BY57" s="15">
        <f>'Grid_Stock'!BQ52</f>
        <v/>
      </c>
      <c r="BZ57" s="15">
        <f>'Grid_Stock'!BR52</f>
        <v/>
      </c>
      <c r="CA57" s="15">
        <f>'Grid_Stock'!BS52</f>
        <v/>
      </c>
      <c r="CB57" s="15">
        <f>'Grid_Stock'!BT52</f>
        <v/>
      </c>
      <c r="CC57" s="15">
        <f>'Grid_Stock'!BU52</f>
        <v/>
      </c>
      <c r="CD57" s="15">
        <f>'Grid_Stock'!BV52</f>
        <v/>
      </c>
      <c r="CE57" s="15">
        <f>'Grid_Stock'!BW52</f>
        <v/>
      </c>
      <c r="CF57" s="15">
        <f>'Grid_Stock'!BX52</f>
        <v/>
      </c>
      <c r="CG57" s="15">
        <f>'Grid_Stock'!BY52</f>
        <v/>
      </c>
      <c r="CH57" s="15">
        <f>'Grid_Stock'!BZ52</f>
        <v/>
      </c>
      <c r="CI57" s="15">
        <f>'Grid_Stock'!CA52</f>
        <v/>
      </c>
      <c r="CJ57" s="15">
        <f>'Grid_Stock'!CB52</f>
        <v/>
      </c>
      <c r="CK57" s="15">
        <f>'Grid_Stock'!CC52</f>
        <v/>
      </c>
      <c r="CL57" s="15">
        <f>'Grid_Stock'!CD52</f>
        <v/>
      </c>
      <c r="CM57" s="15">
        <f>'Grid_Stock'!CE52</f>
        <v/>
      </c>
      <c r="CN57" s="15">
        <f>'Grid_Stock'!CF52</f>
        <v/>
      </c>
      <c r="CO57" s="15">
        <f>'Grid_Stock'!CG52</f>
        <v/>
      </c>
      <c r="CP57" s="15">
        <f>'Grid_Stock'!CH52</f>
        <v/>
      </c>
      <c r="CQ57" s="15">
        <f>'Grid_Stock'!CI52</f>
        <v/>
      </c>
      <c r="CR57" s="15">
        <f>'Grid_Stock'!CJ52</f>
        <v/>
      </c>
      <c r="CS57" s="15">
        <f>'Grid_Stock'!CK52</f>
        <v/>
      </c>
      <c r="CT57" s="15">
        <f>'Grid_Stock'!CL52</f>
        <v/>
      </c>
      <c r="CU57" s="15">
        <f>'Grid_Stock'!CM52</f>
        <v/>
      </c>
      <c r="CV57" s="15">
        <f>'Grid_Stock'!CN52</f>
        <v/>
      </c>
      <c r="CW57" s="15">
        <f>'Grid_Stock'!CO52</f>
        <v/>
      </c>
      <c r="CX57" s="15">
        <f>'Grid_Stock'!CP52</f>
        <v/>
      </c>
      <c r="CY57" s="15">
        <f>'Grid_Stock'!CQ52</f>
        <v/>
      </c>
      <c r="CZ57" s="15">
        <f>'Grid_Stock'!CR52</f>
        <v/>
      </c>
      <c r="DA57" s="15">
        <f>'Grid_Stock'!CS52</f>
        <v/>
      </c>
      <c r="DB57" s="15">
        <f>'Grid_Stock'!CT52</f>
        <v/>
      </c>
      <c r="DC57" s="15">
        <f>'Grid_Stock'!CU52</f>
        <v/>
      </c>
      <c r="DD57" s="15">
        <f>'Grid_Stock'!CV52</f>
        <v/>
      </c>
      <c r="DE57" s="15">
        <f>'Grid_Stock'!CW52</f>
        <v/>
      </c>
      <c r="DF57" s="15">
        <f>'Grid_Stock'!CX52</f>
        <v/>
      </c>
      <c r="DG57" s="15">
        <f>'Grid_Stock'!CY52</f>
        <v/>
      </c>
      <c r="DH57" s="15">
        <f>'Grid_Stock'!CZ52</f>
        <v/>
      </c>
      <c r="DI57" s="15">
        <f>'Grid_Stock'!DA52</f>
        <v/>
      </c>
    </row>
    <row r="58">
      <c r="A58" s="17" t="inlineStr">
        <is>
          <t>CHEM-1580</t>
        </is>
      </c>
      <c r="B58" s="17">
        <f>IFERROR(INDEX(M_RawMaterials[Description],MATCH($A58,M_RawMaterials[RM_Code],0)),"")</f>
        <v/>
      </c>
      <c r="C58" s="17">
        <f>IFERROR(INDEX(M_RawMaterials[Category],MATCH($A58,M_RawMaterials[RM_Code],0)),"")</f>
        <v/>
      </c>
      <c r="D58" s="17">
        <f>IFERROR(INDEX(M_RawMaterials[SafetyStock_Qty_要入力],MATCH($A58,M_RawMaterials[RM_Code],0)),0)</f>
        <v/>
      </c>
      <c r="E58" s="17">
        <f>IFERROR(LOOKUP(2,1/(T_SelfStock!$A$2:$A$12000=$A58),T_SelfStock!$D$2:$D$12000),"")</f>
        <v/>
      </c>
      <c r="F58" s="17">
        <f>IFERROR(LOOKUP(2,1/(T_TTAFStock!$A$2:$A$12000=$A58),T_TTAFStock!$D$2:$D$12000),"")</f>
        <v/>
      </c>
      <c r="G58" s="17">
        <f>IFERROR(INDEX(Cal_Weeks[Label],LOOKUP(2,1/(T_SelfStock!$A$2:$A$12000=$A58),T_SelfStock!$B$2:$B$12000)),"")</f>
        <v/>
      </c>
      <c r="H58" s="17">
        <f>IF(MIN(J58:DI58)&lt;D58,"要発注","OK")</f>
        <v/>
      </c>
      <c r="I58" s="16">
        <f>IFERROR(INDEX(J58:DI58,$F$1),"")</f>
        <v/>
      </c>
      <c r="J58" s="17">
        <f>'Grid_Stock'!B53</f>
        <v/>
      </c>
      <c r="K58" s="17">
        <f>'Grid_Stock'!C53</f>
        <v/>
      </c>
      <c r="L58" s="17">
        <f>'Grid_Stock'!D53</f>
        <v/>
      </c>
      <c r="M58" s="17">
        <f>'Grid_Stock'!E53</f>
        <v/>
      </c>
      <c r="N58" s="17">
        <f>'Grid_Stock'!F53</f>
        <v/>
      </c>
      <c r="O58" s="17">
        <f>'Grid_Stock'!G53</f>
        <v/>
      </c>
      <c r="P58" s="17">
        <f>'Grid_Stock'!H53</f>
        <v/>
      </c>
      <c r="Q58" s="17">
        <f>'Grid_Stock'!I53</f>
        <v/>
      </c>
      <c r="R58" s="17">
        <f>'Grid_Stock'!J53</f>
        <v/>
      </c>
      <c r="S58" s="17">
        <f>'Grid_Stock'!K53</f>
        <v/>
      </c>
      <c r="T58" s="17">
        <f>'Grid_Stock'!L53</f>
        <v/>
      </c>
      <c r="U58" s="17">
        <f>'Grid_Stock'!M53</f>
        <v/>
      </c>
      <c r="V58" s="17">
        <f>'Grid_Stock'!N53</f>
        <v/>
      </c>
      <c r="W58" s="17">
        <f>'Grid_Stock'!O53</f>
        <v/>
      </c>
      <c r="X58" s="17">
        <f>'Grid_Stock'!P53</f>
        <v/>
      </c>
      <c r="Y58" s="17">
        <f>'Grid_Stock'!Q53</f>
        <v/>
      </c>
      <c r="Z58" s="17">
        <f>'Grid_Stock'!R53</f>
        <v/>
      </c>
      <c r="AA58" s="17">
        <f>'Grid_Stock'!S53</f>
        <v/>
      </c>
      <c r="AB58" s="17">
        <f>'Grid_Stock'!T53</f>
        <v/>
      </c>
      <c r="AC58" s="17">
        <f>'Grid_Stock'!U53</f>
        <v/>
      </c>
      <c r="AD58" s="17">
        <f>'Grid_Stock'!V53</f>
        <v/>
      </c>
      <c r="AE58" s="17">
        <f>'Grid_Stock'!W53</f>
        <v/>
      </c>
      <c r="AF58" s="17">
        <f>'Grid_Stock'!X53</f>
        <v/>
      </c>
      <c r="AG58" s="17">
        <f>'Grid_Stock'!Y53</f>
        <v/>
      </c>
      <c r="AH58" s="17">
        <f>'Grid_Stock'!Z53</f>
        <v/>
      </c>
      <c r="AI58" s="17">
        <f>'Grid_Stock'!AA53</f>
        <v/>
      </c>
      <c r="AJ58" s="17">
        <f>'Grid_Stock'!AB53</f>
        <v/>
      </c>
      <c r="AK58" s="17">
        <f>'Grid_Stock'!AC53</f>
        <v/>
      </c>
      <c r="AL58" s="17">
        <f>'Grid_Stock'!AD53</f>
        <v/>
      </c>
      <c r="AM58" s="17">
        <f>'Grid_Stock'!AE53</f>
        <v/>
      </c>
      <c r="AN58" s="17">
        <f>'Grid_Stock'!AF53</f>
        <v/>
      </c>
      <c r="AO58" s="17">
        <f>'Grid_Stock'!AG53</f>
        <v/>
      </c>
      <c r="AP58" s="17">
        <f>'Grid_Stock'!AH53</f>
        <v/>
      </c>
      <c r="AQ58" s="17">
        <f>'Grid_Stock'!AI53</f>
        <v/>
      </c>
      <c r="AR58" s="17">
        <f>'Grid_Stock'!AJ53</f>
        <v/>
      </c>
      <c r="AS58" s="17">
        <f>'Grid_Stock'!AK53</f>
        <v/>
      </c>
      <c r="AT58" s="17">
        <f>'Grid_Stock'!AL53</f>
        <v/>
      </c>
      <c r="AU58" s="17">
        <f>'Grid_Stock'!AM53</f>
        <v/>
      </c>
      <c r="AV58" s="17">
        <f>'Grid_Stock'!AN53</f>
        <v/>
      </c>
      <c r="AW58" s="17">
        <f>'Grid_Stock'!AO53</f>
        <v/>
      </c>
      <c r="AX58" s="17">
        <f>'Grid_Stock'!AP53</f>
        <v/>
      </c>
      <c r="AY58" s="17">
        <f>'Grid_Stock'!AQ53</f>
        <v/>
      </c>
      <c r="AZ58" s="17">
        <f>'Grid_Stock'!AR53</f>
        <v/>
      </c>
      <c r="BA58" s="17">
        <f>'Grid_Stock'!AS53</f>
        <v/>
      </c>
      <c r="BB58" s="17">
        <f>'Grid_Stock'!AT53</f>
        <v/>
      </c>
      <c r="BC58" s="17">
        <f>'Grid_Stock'!AU53</f>
        <v/>
      </c>
      <c r="BD58" s="17">
        <f>'Grid_Stock'!AV53</f>
        <v/>
      </c>
      <c r="BE58" s="17">
        <f>'Grid_Stock'!AW53</f>
        <v/>
      </c>
      <c r="BF58" s="17">
        <f>'Grid_Stock'!AX53</f>
        <v/>
      </c>
      <c r="BG58" s="17">
        <f>'Grid_Stock'!AY53</f>
        <v/>
      </c>
      <c r="BH58" s="17">
        <f>'Grid_Stock'!AZ53</f>
        <v/>
      </c>
      <c r="BI58" s="17">
        <f>'Grid_Stock'!BA53</f>
        <v/>
      </c>
      <c r="BJ58" s="17">
        <f>'Grid_Stock'!BB53</f>
        <v/>
      </c>
      <c r="BK58" s="17">
        <f>'Grid_Stock'!BC53</f>
        <v/>
      </c>
      <c r="BL58" s="17">
        <f>'Grid_Stock'!BD53</f>
        <v/>
      </c>
      <c r="BM58" s="17">
        <f>'Grid_Stock'!BE53</f>
        <v/>
      </c>
      <c r="BN58" s="17">
        <f>'Grid_Stock'!BF53</f>
        <v/>
      </c>
      <c r="BO58" s="17">
        <f>'Grid_Stock'!BG53</f>
        <v/>
      </c>
      <c r="BP58" s="17">
        <f>'Grid_Stock'!BH53</f>
        <v/>
      </c>
      <c r="BQ58" s="17">
        <f>'Grid_Stock'!BI53</f>
        <v/>
      </c>
      <c r="BR58" s="17">
        <f>'Grid_Stock'!BJ53</f>
        <v/>
      </c>
      <c r="BS58" s="17">
        <f>'Grid_Stock'!BK53</f>
        <v/>
      </c>
      <c r="BT58" s="17">
        <f>'Grid_Stock'!BL53</f>
        <v/>
      </c>
      <c r="BU58" s="17">
        <f>'Grid_Stock'!BM53</f>
        <v/>
      </c>
      <c r="BV58" s="17">
        <f>'Grid_Stock'!BN53</f>
        <v/>
      </c>
      <c r="BW58" s="17">
        <f>'Grid_Stock'!BO53</f>
        <v/>
      </c>
      <c r="BX58" s="17">
        <f>'Grid_Stock'!BP53</f>
        <v/>
      </c>
      <c r="BY58" s="17">
        <f>'Grid_Stock'!BQ53</f>
        <v/>
      </c>
      <c r="BZ58" s="17">
        <f>'Grid_Stock'!BR53</f>
        <v/>
      </c>
      <c r="CA58" s="17">
        <f>'Grid_Stock'!BS53</f>
        <v/>
      </c>
      <c r="CB58" s="17">
        <f>'Grid_Stock'!BT53</f>
        <v/>
      </c>
      <c r="CC58" s="17">
        <f>'Grid_Stock'!BU53</f>
        <v/>
      </c>
      <c r="CD58" s="17">
        <f>'Grid_Stock'!BV53</f>
        <v/>
      </c>
      <c r="CE58" s="17">
        <f>'Grid_Stock'!BW53</f>
        <v/>
      </c>
      <c r="CF58" s="17">
        <f>'Grid_Stock'!BX53</f>
        <v/>
      </c>
      <c r="CG58" s="17">
        <f>'Grid_Stock'!BY53</f>
        <v/>
      </c>
      <c r="CH58" s="17">
        <f>'Grid_Stock'!BZ53</f>
        <v/>
      </c>
      <c r="CI58" s="17">
        <f>'Grid_Stock'!CA53</f>
        <v/>
      </c>
      <c r="CJ58" s="17">
        <f>'Grid_Stock'!CB53</f>
        <v/>
      </c>
      <c r="CK58" s="17">
        <f>'Grid_Stock'!CC53</f>
        <v/>
      </c>
      <c r="CL58" s="17">
        <f>'Grid_Stock'!CD53</f>
        <v/>
      </c>
      <c r="CM58" s="17">
        <f>'Grid_Stock'!CE53</f>
        <v/>
      </c>
      <c r="CN58" s="17">
        <f>'Grid_Stock'!CF53</f>
        <v/>
      </c>
      <c r="CO58" s="17">
        <f>'Grid_Stock'!CG53</f>
        <v/>
      </c>
      <c r="CP58" s="17">
        <f>'Grid_Stock'!CH53</f>
        <v/>
      </c>
      <c r="CQ58" s="17">
        <f>'Grid_Stock'!CI53</f>
        <v/>
      </c>
      <c r="CR58" s="17">
        <f>'Grid_Stock'!CJ53</f>
        <v/>
      </c>
      <c r="CS58" s="17">
        <f>'Grid_Stock'!CK53</f>
        <v/>
      </c>
      <c r="CT58" s="17">
        <f>'Grid_Stock'!CL53</f>
        <v/>
      </c>
      <c r="CU58" s="17">
        <f>'Grid_Stock'!CM53</f>
        <v/>
      </c>
      <c r="CV58" s="17">
        <f>'Grid_Stock'!CN53</f>
        <v/>
      </c>
      <c r="CW58" s="17">
        <f>'Grid_Stock'!CO53</f>
        <v/>
      </c>
      <c r="CX58" s="17">
        <f>'Grid_Stock'!CP53</f>
        <v/>
      </c>
      <c r="CY58" s="17">
        <f>'Grid_Stock'!CQ53</f>
        <v/>
      </c>
      <c r="CZ58" s="17">
        <f>'Grid_Stock'!CR53</f>
        <v/>
      </c>
      <c r="DA58" s="17">
        <f>'Grid_Stock'!CS53</f>
        <v/>
      </c>
      <c r="DB58" s="17">
        <f>'Grid_Stock'!CT53</f>
        <v/>
      </c>
      <c r="DC58" s="17">
        <f>'Grid_Stock'!CU53</f>
        <v/>
      </c>
      <c r="DD58" s="17">
        <f>'Grid_Stock'!CV53</f>
        <v/>
      </c>
      <c r="DE58" s="17">
        <f>'Grid_Stock'!CW53</f>
        <v/>
      </c>
      <c r="DF58" s="17">
        <f>'Grid_Stock'!CX53</f>
        <v/>
      </c>
      <c r="DG58" s="17">
        <f>'Grid_Stock'!CY53</f>
        <v/>
      </c>
      <c r="DH58" s="17">
        <f>'Grid_Stock'!CZ53</f>
        <v/>
      </c>
      <c r="DI58" s="17">
        <f>'Grid_Stock'!DA53</f>
        <v/>
      </c>
    </row>
    <row r="59">
      <c r="A59" s="15" t="inlineStr">
        <is>
          <t>CHEM-1550</t>
        </is>
      </c>
      <c r="B59" s="15">
        <f>IFERROR(INDEX(M_RawMaterials[Description],MATCH($A59,M_RawMaterials[RM_Code],0)),"")</f>
        <v/>
      </c>
      <c r="C59" s="15">
        <f>IFERROR(INDEX(M_RawMaterials[Category],MATCH($A59,M_RawMaterials[RM_Code],0)),"")</f>
        <v/>
      </c>
      <c r="D59" s="15">
        <f>IFERROR(INDEX(M_RawMaterials[SafetyStock_Qty_要入力],MATCH($A59,M_RawMaterials[RM_Code],0)),0)</f>
        <v/>
      </c>
      <c r="E59" s="15">
        <f>IFERROR(LOOKUP(2,1/(T_SelfStock!$A$2:$A$12000=$A59),T_SelfStock!$D$2:$D$12000),"")</f>
        <v/>
      </c>
      <c r="F59" s="15">
        <f>IFERROR(LOOKUP(2,1/(T_TTAFStock!$A$2:$A$12000=$A59),T_TTAFStock!$D$2:$D$12000),"")</f>
        <v/>
      </c>
      <c r="G59" s="15">
        <f>IFERROR(INDEX(Cal_Weeks[Label],LOOKUP(2,1/(T_SelfStock!$A$2:$A$12000=$A59),T_SelfStock!$B$2:$B$12000)),"")</f>
        <v/>
      </c>
      <c r="H59" s="15">
        <f>IF(MIN(J59:DI59)&lt;D59,"要発注","OK")</f>
        <v/>
      </c>
      <c r="I59" s="16">
        <f>IFERROR(INDEX(J59:DI59,$F$1),"")</f>
        <v/>
      </c>
      <c r="J59" s="15">
        <f>'Grid_Stock'!B54</f>
        <v/>
      </c>
      <c r="K59" s="15">
        <f>'Grid_Stock'!C54</f>
        <v/>
      </c>
      <c r="L59" s="15">
        <f>'Grid_Stock'!D54</f>
        <v/>
      </c>
      <c r="M59" s="15">
        <f>'Grid_Stock'!E54</f>
        <v/>
      </c>
      <c r="N59" s="15">
        <f>'Grid_Stock'!F54</f>
        <v/>
      </c>
      <c r="O59" s="15">
        <f>'Grid_Stock'!G54</f>
        <v/>
      </c>
      <c r="P59" s="15">
        <f>'Grid_Stock'!H54</f>
        <v/>
      </c>
      <c r="Q59" s="15">
        <f>'Grid_Stock'!I54</f>
        <v/>
      </c>
      <c r="R59" s="15">
        <f>'Grid_Stock'!J54</f>
        <v/>
      </c>
      <c r="S59" s="15">
        <f>'Grid_Stock'!K54</f>
        <v/>
      </c>
      <c r="T59" s="15">
        <f>'Grid_Stock'!L54</f>
        <v/>
      </c>
      <c r="U59" s="15">
        <f>'Grid_Stock'!M54</f>
        <v/>
      </c>
      <c r="V59" s="15">
        <f>'Grid_Stock'!N54</f>
        <v/>
      </c>
      <c r="W59" s="15">
        <f>'Grid_Stock'!O54</f>
        <v/>
      </c>
      <c r="X59" s="15">
        <f>'Grid_Stock'!P54</f>
        <v/>
      </c>
      <c r="Y59" s="15">
        <f>'Grid_Stock'!Q54</f>
        <v/>
      </c>
      <c r="Z59" s="15">
        <f>'Grid_Stock'!R54</f>
        <v/>
      </c>
      <c r="AA59" s="15">
        <f>'Grid_Stock'!S54</f>
        <v/>
      </c>
      <c r="AB59" s="15">
        <f>'Grid_Stock'!T54</f>
        <v/>
      </c>
      <c r="AC59" s="15">
        <f>'Grid_Stock'!U54</f>
        <v/>
      </c>
      <c r="AD59" s="15">
        <f>'Grid_Stock'!V54</f>
        <v/>
      </c>
      <c r="AE59" s="15">
        <f>'Grid_Stock'!W54</f>
        <v/>
      </c>
      <c r="AF59" s="15">
        <f>'Grid_Stock'!X54</f>
        <v/>
      </c>
      <c r="AG59" s="15">
        <f>'Grid_Stock'!Y54</f>
        <v/>
      </c>
      <c r="AH59" s="15">
        <f>'Grid_Stock'!Z54</f>
        <v/>
      </c>
      <c r="AI59" s="15">
        <f>'Grid_Stock'!AA54</f>
        <v/>
      </c>
      <c r="AJ59" s="15">
        <f>'Grid_Stock'!AB54</f>
        <v/>
      </c>
      <c r="AK59" s="15">
        <f>'Grid_Stock'!AC54</f>
        <v/>
      </c>
      <c r="AL59" s="15">
        <f>'Grid_Stock'!AD54</f>
        <v/>
      </c>
      <c r="AM59" s="15">
        <f>'Grid_Stock'!AE54</f>
        <v/>
      </c>
      <c r="AN59" s="15">
        <f>'Grid_Stock'!AF54</f>
        <v/>
      </c>
      <c r="AO59" s="15">
        <f>'Grid_Stock'!AG54</f>
        <v/>
      </c>
      <c r="AP59" s="15">
        <f>'Grid_Stock'!AH54</f>
        <v/>
      </c>
      <c r="AQ59" s="15">
        <f>'Grid_Stock'!AI54</f>
        <v/>
      </c>
      <c r="AR59" s="15">
        <f>'Grid_Stock'!AJ54</f>
        <v/>
      </c>
      <c r="AS59" s="15">
        <f>'Grid_Stock'!AK54</f>
        <v/>
      </c>
      <c r="AT59" s="15">
        <f>'Grid_Stock'!AL54</f>
        <v/>
      </c>
      <c r="AU59" s="15">
        <f>'Grid_Stock'!AM54</f>
        <v/>
      </c>
      <c r="AV59" s="15">
        <f>'Grid_Stock'!AN54</f>
        <v/>
      </c>
      <c r="AW59" s="15">
        <f>'Grid_Stock'!AO54</f>
        <v/>
      </c>
      <c r="AX59" s="15">
        <f>'Grid_Stock'!AP54</f>
        <v/>
      </c>
      <c r="AY59" s="15">
        <f>'Grid_Stock'!AQ54</f>
        <v/>
      </c>
      <c r="AZ59" s="15">
        <f>'Grid_Stock'!AR54</f>
        <v/>
      </c>
      <c r="BA59" s="15">
        <f>'Grid_Stock'!AS54</f>
        <v/>
      </c>
      <c r="BB59" s="15">
        <f>'Grid_Stock'!AT54</f>
        <v/>
      </c>
      <c r="BC59" s="15">
        <f>'Grid_Stock'!AU54</f>
        <v/>
      </c>
      <c r="BD59" s="15">
        <f>'Grid_Stock'!AV54</f>
        <v/>
      </c>
      <c r="BE59" s="15">
        <f>'Grid_Stock'!AW54</f>
        <v/>
      </c>
      <c r="BF59" s="15">
        <f>'Grid_Stock'!AX54</f>
        <v/>
      </c>
      <c r="BG59" s="15">
        <f>'Grid_Stock'!AY54</f>
        <v/>
      </c>
      <c r="BH59" s="15">
        <f>'Grid_Stock'!AZ54</f>
        <v/>
      </c>
      <c r="BI59" s="15">
        <f>'Grid_Stock'!BA54</f>
        <v/>
      </c>
      <c r="BJ59" s="15">
        <f>'Grid_Stock'!BB54</f>
        <v/>
      </c>
      <c r="BK59" s="15">
        <f>'Grid_Stock'!BC54</f>
        <v/>
      </c>
      <c r="BL59" s="15">
        <f>'Grid_Stock'!BD54</f>
        <v/>
      </c>
      <c r="BM59" s="15">
        <f>'Grid_Stock'!BE54</f>
        <v/>
      </c>
      <c r="BN59" s="15">
        <f>'Grid_Stock'!BF54</f>
        <v/>
      </c>
      <c r="BO59" s="15">
        <f>'Grid_Stock'!BG54</f>
        <v/>
      </c>
      <c r="BP59" s="15">
        <f>'Grid_Stock'!BH54</f>
        <v/>
      </c>
      <c r="BQ59" s="15">
        <f>'Grid_Stock'!BI54</f>
        <v/>
      </c>
      <c r="BR59" s="15">
        <f>'Grid_Stock'!BJ54</f>
        <v/>
      </c>
      <c r="BS59" s="15">
        <f>'Grid_Stock'!BK54</f>
        <v/>
      </c>
      <c r="BT59" s="15">
        <f>'Grid_Stock'!BL54</f>
        <v/>
      </c>
      <c r="BU59" s="15">
        <f>'Grid_Stock'!BM54</f>
        <v/>
      </c>
      <c r="BV59" s="15">
        <f>'Grid_Stock'!BN54</f>
        <v/>
      </c>
      <c r="BW59" s="15">
        <f>'Grid_Stock'!BO54</f>
        <v/>
      </c>
      <c r="BX59" s="15">
        <f>'Grid_Stock'!BP54</f>
        <v/>
      </c>
      <c r="BY59" s="15">
        <f>'Grid_Stock'!BQ54</f>
        <v/>
      </c>
      <c r="BZ59" s="15">
        <f>'Grid_Stock'!BR54</f>
        <v/>
      </c>
      <c r="CA59" s="15">
        <f>'Grid_Stock'!BS54</f>
        <v/>
      </c>
      <c r="CB59" s="15">
        <f>'Grid_Stock'!BT54</f>
        <v/>
      </c>
      <c r="CC59" s="15">
        <f>'Grid_Stock'!BU54</f>
        <v/>
      </c>
      <c r="CD59" s="15">
        <f>'Grid_Stock'!BV54</f>
        <v/>
      </c>
      <c r="CE59" s="15">
        <f>'Grid_Stock'!BW54</f>
        <v/>
      </c>
      <c r="CF59" s="15">
        <f>'Grid_Stock'!BX54</f>
        <v/>
      </c>
      <c r="CG59" s="15">
        <f>'Grid_Stock'!BY54</f>
        <v/>
      </c>
      <c r="CH59" s="15">
        <f>'Grid_Stock'!BZ54</f>
        <v/>
      </c>
      <c r="CI59" s="15">
        <f>'Grid_Stock'!CA54</f>
        <v/>
      </c>
      <c r="CJ59" s="15">
        <f>'Grid_Stock'!CB54</f>
        <v/>
      </c>
      <c r="CK59" s="15">
        <f>'Grid_Stock'!CC54</f>
        <v/>
      </c>
      <c r="CL59" s="15">
        <f>'Grid_Stock'!CD54</f>
        <v/>
      </c>
      <c r="CM59" s="15">
        <f>'Grid_Stock'!CE54</f>
        <v/>
      </c>
      <c r="CN59" s="15">
        <f>'Grid_Stock'!CF54</f>
        <v/>
      </c>
      <c r="CO59" s="15">
        <f>'Grid_Stock'!CG54</f>
        <v/>
      </c>
      <c r="CP59" s="15">
        <f>'Grid_Stock'!CH54</f>
        <v/>
      </c>
      <c r="CQ59" s="15">
        <f>'Grid_Stock'!CI54</f>
        <v/>
      </c>
      <c r="CR59" s="15">
        <f>'Grid_Stock'!CJ54</f>
        <v/>
      </c>
      <c r="CS59" s="15">
        <f>'Grid_Stock'!CK54</f>
        <v/>
      </c>
      <c r="CT59" s="15">
        <f>'Grid_Stock'!CL54</f>
        <v/>
      </c>
      <c r="CU59" s="15">
        <f>'Grid_Stock'!CM54</f>
        <v/>
      </c>
      <c r="CV59" s="15">
        <f>'Grid_Stock'!CN54</f>
        <v/>
      </c>
      <c r="CW59" s="15">
        <f>'Grid_Stock'!CO54</f>
        <v/>
      </c>
      <c r="CX59" s="15">
        <f>'Grid_Stock'!CP54</f>
        <v/>
      </c>
      <c r="CY59" s="15">
        <f>'Grid_Stock'!CQ54</f>
        <v/>
      </c>
      <c r="CZ59" s="15">
        <f>'Grid_Stock'!CR54</f>
        <v/>
      </c>
      <c r="DA59" s="15">
        <f>'Grid_Stock'!CS54</f>
        <v/>
      </c>
      <c r="DB59" s="15">
        <f>'Grid_Stock'!CT54</f>
        <v/>
      </c>
      <c r="DC59" s="15">
        <f>'Grid_Stock'!CU54</f>
        <v/>
      </c>
      <c r="DD59" s="15">
        <f>'Grid_Stock'!CV54</f>
        <v/>
      </c>
      <c r="DE59" s="15">
        <f>'Grid_Stock'!CW54</f>
        <v/>
      </c>
      <c r="DF59" s="15">
        <f>'Grid_Stock'!CX54</f>
        <v/>
      </c>
      <c r="DG59" s="15">
        <f>'Grid_Stock'!CY54</f>
        <v/>
      </c>
      <c r="DH59" s="15">
        <f>'Grid_Stock'!CZ54</f>
        <v/>
      </c>
      <c r="DI59" s="15">
        <f>'Grid_Stock'!DA54</f>
        <v/>
      </c>
    </row>
    <row r="60">
      <c r="A60" s="17" t="inlineStr">
        <is>
          <t>CHEM-1510</t>
        </is>
      </c>
      <c r="B60" s="17">
        <f>IFERROR(INDEX(M_RawMaterials[Description],MATCH($A60,M_RawMaterials[RM_Code],0)),"")</f>
        <v/>
      </c>
      <c r="C60" s="17">
        <f>IFERROR(INDEX(M_RawMaterials[Category],MATCH($A60,M_RawMaterials[RM_Code],0)),"")</f>
        <v/>
      </c>
      <c r="D60" s="17">
        <f>IFERROR(INDEX(M_RawMaterials[SafetyStock_Qty_要入力],MATCH($A60,M_RawMaterials[RM_Code],0)),0)</f>
        <v/>
      </c>
      <c r="E60" s="17">
        <f>IFERROR(LOOKUP(2,1/(T_SelfStock!$A$2:$A$12000=$A60),T_SelfStock!$D$2:$D$12000),"")</f>
        <v/>
      </c>
      <c r="F60" s="17">
        <f>IFERROR(LOOKUP(2,1/(T_TTAFStock!$A$2:$A$12000=$A60),T_TTAFStock!$D$2:$D$12000),"")</f>
        <v/>
      </c>
      <c r="G60" s="17">
        <f>IFERROR(INDEX(Cal_Weeks[Label],LOOKUP(2,1/(T_SelfStock!$A$2:$A$12000=$A60),T_SelfStock!$B$2:$B$12000)),"")</f>
        <v/>
      </c>
      <c r="H60" s="17">
        <f>IF(MIN(J60:DI60)&lt;D60,"要発注","OK")</f>
        <v/>
      </c>
      <c r="I60" s="16">
        <f>IFERROR(INDEX(J60:DI60,$F$1),"")</f>
        <v/>
      </c>
      <c r="J60" s="17">
        <f>'Grid_Stock'!B55</f>
        <v/>
      </c>
      <c r="K60" s="17">
        <f>'Grid_Stock'!C55</f>
        <v/>
      </c>
      <c r="L60" s="17">
        <f>'Grid_Stock'!D55</f>
        <v/>
      </c>
      <c r="M60" s="17">
        <f>'Grid_Stock'!E55</f>
        <v/>
      </c>
      <c r="N60" s="17">
        <f>'Grid_Stock'!F55</f>
        <v/>
      </c>
      <c r="O60" s="17">
        <f>'Grid_Stock'!G55</f>
        <v/>
      </c>
      <c r="P60" s="17">
        <f>'Grid_Stock'!H55</f>
        <v/>
      </c>
      <c r="Q60" s="17">
        <f>'Grid_Stock'!I55</f>
        <v/>
      </c>
      <c r="R60" s="17">
        <f>'Grid_Stock'!J55</f>
        <v/>
      </c>
      <c r="S60" s="17">
        <f>'Grid_Stock'!K55</f>
        <v/>
      </c>
      <c r="T60" s="17">
        <f>'Grid_Stock'!L55</f>
        <v/>
      </c>
      <c r="U60" s="17">
        <f>'Grid_Stock'!M55</f>
        <v/>
      </c>
      <c r="V60" s="17">
        <f>'Grid_Stock'!N55</f>
        <v/>
      </c>
      <c r="W60" s="17">
        <f>'Grid_Stock'!O55</f>
        <v/>
      </c>
      <c r="X60" s="17">
        <f>'Grid_Stock'!P55</f>
        <v/>
      </c>
      <c r="Y60" s="17">
        <f>'Grid_Stock'!Q55</f>
        <v/>
      </c>
      <c r="Z60" s="17">
        <f>'Grid_Stock'!R55</f>
        <v/>
      </c>
      <c r="AA60" s="17">
        <f>'Grid_Stock'!S55</f>
        <v/>
      </c>
      <c r="AB60" s="17">
        <f>'Grid_Stock'!T55</f>
        <v/>
      </c>
      <c r="AC60" s="17">
        <f>'Grid_Stock'!U55</f>
        <v/>
      </c>
      <c r="AD60" s="17">
        <f>'Grid_Stock'!V55</f>
        <v/>
      </c>
      <c r="AE60" s="17">
        <f>'Grid_Stock'!W55</f>
        <v/>
      </c>
      <c r="AF60" s="17">
        <f>'Grid_Stock'!X55</f>
        <v/>
      </c>
      <c r="AG60" s="17">
        <f>'Grid_Stock'!Y55</f>
        <v/>
      </c>
      <c r="AH60" s="17">
        <f>'Grid_Stock'!Z55</f>
        <v/>
      </c>
      <c r="AI60" s="17">
        <f>'Grid_Stock'!AA55</f>
        <v/>
      </c>
      <c r="AJ60" s="17">
        <f>'Grid_Stock'!AB55</f>
        <v/>
      </c>
      <c r="AK60" s="17">
        <f>'Grid_Stock'!AC55</f>
        <v/>
      </c>
      <c r="AL60" s="17">
        <f>'Grid_Stock'!AD55</f>
        <v/>
      </c>
      <c r="AM60" s="17">
        <f>'Grid_Stock'!AE55</f>
        <v/>
      </c>
      <c r="AN60" s="17">
        <f>'Grid_Stock'!AF55</f>
        <v/>
      </c>
      <c r="AO60" s="17">
        <f>'Grid_Stock'!AG55</f>
        <v/>
      </c>
      <c r="AP60" s="17">
        <f>'Grid_Stock'!AH55</f>
        <v/>
      </c>
      <c r="AQ60" s="17">
        <f>'Grid_Stock'!AI55</f>
        <v/>
      </c>
      <c r="AR60" s="17">
        <f>'Grid_Stock'!AJ55</f>
        <v/>
      </c>
      <c r="AS60" s="17">
        <f>'Grid_Stock'!AK55</f>
        <v/>
      </c>
      <c r="AT60" s="17">
        <f>'Grid_Stock'!AL55</f>
        <v/>
      </c>
      <c r="AU60" s="17">
        <f>'Grid_Stock'!AM55</f>
        <v/>
      </c>
      <c r="AV60" s="17">
        <f>'Grid_Stock'!AN55</f>
        <v/>
      </c>
      <c r="AW60" s="17">
        <f>'Grid_Stock'!AO55</f>
        <v/>
      </c>
      <c r="AX60" s="17">
        <f>'Grid_Stock'!AP55</f>
        <v/>
      </c>
      <c r="AY60" s="17">
        <f>'Grid_Stock'!AQ55</f>
        <v/>
      </c>
      <c r="AZ60" s="17">
        <f>'Grid_Stock'!AR55</f>
        <v/>
      </c>
      <c r="BA60" s="17">
        <f>'Grid_Stock'!AS55</f>
        <v/>
      </c>
      <c r="BB60" s="17">
        <f>'Grid_Stock'!AT55</f>
        <v/>
      </c>
      <c r="BC60" s="17">
        <f>'Grid_Stock'!AU55</f>
        <v/>
      </c>
      <c r="BD60" s="17">
        <f>'Grid_Stock'!AV55</f>
        <v/>
      </c>
      <c r="BE60" s="17">
        <f>'Grid_Stock'!AW55</f>
        <v/>
      </c>
      <c r="BF60" s="17">
        <f>'Grid_Stock'!AX55</f>
        <v/>
      </c>
      <c r="BG60" s="17">
        <f>'Grid_Stock'!AY55</f>
        <v/>
      </c>
      <c r="BH60" s="17">
        <f>'Grid_Stock'!AZ55</f>
        <v/>
      </c>
      <c r="BI60" s="17">
        <f>'Grid_Stock'!BA55</f>
        <v/>
      </c>
      <c r="BJ60" s="17">
        <f>'Grid_Stock'!BB55</f>
        <v/>
      </c>
      <c r="BK60" s="17">
        <f>'Grid_Stock'!BC55</f>
        <v/>
      </c>
      <c r="BL60" s="17">
        <f>'Grid_Stock'!BD55</f>
        <v/>
      </c>
      <c r="BM60" s="17">
        <f>'Grid_Stock'!BE55</f>
        <v/>
      </c>
      <c r="BN60" s="17">
        <f>'Grid_Stock'!BF55</f>
        <v/>
      </c>
      <c r="BO60" s="17">
        <f>'Grid_Stock'!BG55</f>
        <v/>
      </c>
      <c r="BP60" s="17">
        <f>'Grid_Stock'!BH55</f>
        <v/>
      </c>
      <c r="BQ60" s="17">
        <f>'Grid_Stock'!BI55</f>
        <v/>
      </c>
      <c r="BR60" s="17">
        <f>'Grid_Stock'!BJ55</f>
        <v/>
      </c>
      <c r="BS60" s="17">
        <f>'Grid_Stock'!BK55</f>
        <v/>
      </c>
      <c r="BT60" s="17">
        <f>'Grid_Stock'!BL55</f>
        <v/>
      </c>
      <c r="BU60" s="17">
        <f>'Grid_Stock'!BM55</f>
        <v/>
      </c>
      <c r="BV60" s="17">
        <f>'Grid_Stock'!BN55</f>
        <v/>
      </c>
      <c r="BW60" s="17">
        <f>'Grid_Stock'!BO55</f>
        <v/>
      </c>
      <c r="BX60" s="17">
        <f>'Grid_Stock'!BP55</f>
        <v/>
      </c>
      <c r="BY60" s="17">
        <f>'Grid_Stock'!BQ55</f>
        <v/>
      </c>
      <c r="BZ60" s="17">
        <f>'Grid_Stock'!BR55</f>
        <v/>
      </c>
      <c r="CA60" s="17">
        <f>'Grid_Stock'!BS55</f>
        <v/>
      </c>
      <c r="CB60" s="17">
        <f>'Grid_Stock'!BT55</f>
        <v/>
      </c>
      <c r="CC60" s="17">
        <f>'Grid_Stock'!BU55</f>
        <v/>
      </c>
      <c r="CD60" s="17">
        <f>'Grid_Stock'!BV55</f>
        <v/>
      </c>
      <c r="CE60" s="17">
        <f>'Grid_Stock'!BW55</f>
        <v/>
      </c>
      <c r="CF60" s="17">
        <f>'Grid_Stock'!BX55</f>
        <v/>
      </c>
      <c r="CG60" s="17">
        <f>'Grid_Stock'!BY55</f>
        <v/>
      </c>
      <c r="CH60" s="17">
        <f>'Grid_Stock'!BZ55</f>
        <v/>
      </c>
      <c r="CI60" s="17">
        <f>'Grid_Stock'!CA55</f>
        <v/>
      </c>
      <c r="CJ60" s="17">
        <f>'Grid_Stock'!CB55</f>
        <v/>
      </c>
      <c r="CK60" s="17">
        <f>'Grid_Stock'!CC55</f>
        <v/>
      </c>
      <c r="CL60" s="17">
        <f>'Grid_Stock'!CD55</f>
        <v/>
      </c>
      <c r="CM60" s="17">
        <f>'Grid_Stock'!CE55</f>
        <v/>
      </c>
      <c r="CN60" s="17">
        <f>'Grid_Stock'!CF55</f>
        <v/>
      </c>
      <c r="CO60" s="17">
        <f>'Grid_Stock'!CG55</f>
        <v/>
      </c>
      <c r="CP60" s="17">
        <f>'Grid_Stock'!CH55</f>
        <v/>
      </c>
      <c r="CQ60" s="17">
        <f>'Grid_Stock'!CI55</f>
        <v/>
      </c>
      <c r="CR60" s="17">
        <f>'Grid_Stock'!CJ55</f>
        <v/>
      </c>
      <c r="CS60" s="17">
        <f>'Grid_Stock'!CK55</f>
        <v/>
      </c>
      <c r="CT60" s="17">
        <f>'Grid_Stock'!CL55</f>
        <v/>
      </c>
      <c r="CU60" s="17">
        <f>'Grid_Stock'!CM55</f>
        <v/>
      </c>
      <c r="CV60" s="17">
        <f>'Grid_Stock'!CN55</f>
        <v/>
      </c>
      <c r="CW60" s="17">
        <f>'Grid_Stock'!CO55</f>
        <v/>
      </c>
      <c r="CX60" s="17">
        <f>'Grid_Stock'!CP55</f>
        <v/>
      </c>
      <c r="CY60" s="17">
        <f>'Grid_Stock'!CQ55</f>
        <v/>
      </c>
      <c r="CZ60" s="17">
        <f>'Grid_Stock'!CR55</f>
        <v/>
      </c>
      <c r="DA60" s="17">
        <f>'Grid_Stock'!CS55</f>
        <v/>
      </c>
      <c r="DB60" s="17">
        <f>'Grid_Stock'!CT55</f>
        <v/>
      </c>
      <c r="DC60" s="17">
        <f>'Grid_Stock'!CU55</f>
        <v/>
      </c>
      <c r="DD60" s="17">
        <f>'Grid_Stock'!CV55</f>
        <v/>
      </c>
      <c r="DE60" s="17">
        <f>'Grid_Stock'!CW55</f>
        <v/>
      </c>
      <c r="DF60" s="17">
        <f>'Grid_Stock'!CX55</f>
        <v/>
      </c>
      <c r="DG60" s="17">
        <f>'Grid_Stock'!CY55</f>
        <v/>
      </c>
      <c r="DH60" s="17">
        <f>'Grid_Stock'!CZ55</f>
        <v/>
      </c>
      <c r="DI60" s="17">
        <f>'Grid_Stock'!DA55</f>
        <v/>
      </c>
    </row>
    <row r="61">
      <c r="A61" s="15" t="inlineStr">
        <is>
          <t>CHEM-1080</t>
        </is>
      </c>
      <c r="B61" s="15">
        <f>IFERROR(INDEX(M_RawMaterials[Description],MATCH($A61,M_RawMaterials[RM_Code],0)),"")</f>
        <v/>
      </c>
      <c r="C61" s="15">
        <f>IFERROR(INDEX(M_RawMaterials[Category],MATCH($A61,M_RawMaterials[RM_Code],0)),"")</f>
        <v/>
      </c>
      <c r="D61" s="15">
        <f>IFERROR(INDEX(M_RawMaterials[SafetyStock_Qty_要入力],MATCH($A61,M_RawMaterials[RM_Code],0)),0)</f>
        <v/>
      </c>
      <c r="E61" s="15">
        <f>IFERROR(LOOKUP(2,1/(T_SelfStock!$A$2:$A$12000=$A61),T_SelfStock!$D$2:$D$12000),"")</f>
        <v/>
      </c>
      <c r="F61" s="15">
        <f>IFERROR(LOOKUP(2,1/(T_TTAFStock!$A$2:$A$12000=$A61),T_TTAFStock!$D$2:$D$12000),"")</f>
        <v/>
      </c>
      <c r="G61" s="15">
        <f>IFERROR(INDEX(Cal_Weeks[Label],LOOKUP(2,1/(T_SelfStock!$A$2:$A$12000=$A61),T_SelfStock!$B$2:$B$12000)),"")</f>
        <v/>
      </c>
      <c r="H61" s="15">
        <f>IF(MIN(J61:DI61)&lt;D61,"要発注","OK")</f>
        <v/>
      </c>
      <c r="I61" s="16">
        <f>IFERROR(INDEX(J61:DI61,$F$1),"")</f>
        <v/>
      </c>
      <c r="J61" s="15">
        <f>'Grid_Stock'!B56</f>
        <v/>
      </c>
      <c r="K61" s="15">
        <f>'Grid_Stock'!C56</f>
        <v/>
      </c>
      <c r="L61" s="15">
        <f>'Grid_Stock'!D56</f>
        <v/>
      </c>
      <c r="M61" s="15">
        <f>'Grid_Stock'!E56</f>
        <v/>
      </c>
      <c r="N61" s="15">
        <f>'Grid_Stock'!F56</f>
        <v/>
      </c>
      <c r="O61" s="15">
        <f>'Grid_Stock'!G56</f>
        <v/>
      </c>
      <c r="P61" s="15">
        <f>'Grid_Stock'!H56</f>
        <v/>
      </c>
      <c r="Q61" s="15">
        <f>'Grid_Stock'!I56</f>
        <v/>
      </c>
      <c r="R61" s="15">
        <f>'Grid_Stock'!J56</f>
        <v/>
      </c>
      <c r="S61" s="15">
        <f>'Grid_Stock'!K56</f>
        <v/>
      </c>
      <c r="T61" s="15">
        <f>'Grid_Stock'!L56</f>
        <v/>
      </c>
      <c r="U61" s="15">
        <f>'Grid_Stock'!M56</f>
        <v/>
      </c>
      <c r="V61" s="15">
        <f>'Grid_Stock'!N56</f>
        <v/>
      </c>
      <c r="W61" s="15">
        <f>'Grid_Stock'!O56</f>
        <v/>
      </c>
      <c r="X61" s="15">
        <f>'Grid_Stock'!P56</f>
        <v/>
      </c>
      <c r="Y61" s="15">
        <f>'Grid_Stock'!Q56</f>
        <v/>
      </c>
      <c r="Z61" s="15">
        <f>'Grid_Stock'!R56</f>
        <v/>
      </c>
      <c r="AA61" s="15">
        <f>'Grid_Stock'!S56</f>
        <v/>
      </c>
      <c r="AB61" s="15">
        <f>'Grid_Stock'!T56</f>
        <v/>
      </c>
      <c r="AC61" s="15">
        <f>'Grid_Stock'!U56</f>
        <v/>
      </c>
      <c r="AD61" s="15">
        <f>'Grid_Stock'!V56</f>
        <v/>
      </c>
      <c r="AE61" s="15">
        <f>'Grid_Stock'!W56</f>
        <v/>
      </c>
      <c r="AF61" s="15">
        <f>'Grid_Stock'!X56</f>
        <v/>
      </c>
      <c r="AG61" s="15">
        <f>'Grid_Stock'!Y56</f>
        <v/>
      </c>
      <c r="AH61" s="15">
        <f>'Grid_Stock'!Z56</f>
        <v/>
      </c>
      <c r="AI61" s="15">
        <f>'Grid_Stock'!AA56</f>
        <v/>
      </c>
      <c r="AJ61" s="15">
        <f>'Grid_Stock'!AB56</f>
        <v/>
      </c>
      <c r="AK61" s="15">
        <f>'Grid_Stock'!AC56</f>
        <v/>
      </c>
      <c r="AL61" s="15">
        <f>'Grid_Stock'!AD56</f>
        <v/>
      </c>
      <c r="AM61" s="15">
        <f>'Grid_Stock'!AE56</f>
        <v/>
      </c>
      <c r="AN61" s="15">
        <f>'Grid_Stock'!AF56</f>
        <v/>
      </c>
      <c r="AO61" s="15">
        <f>'Grid_Stock'!AG56</f>
        <v/>
      </c>
      <c r="AP61" s="15">
        <f>'Grid_Stock'!AH56</f>
        <v/>
      </c>
      <c r="AQ61" s="15">
        <f>'Grid_Stock'!AI56</f>
        <v/>
      </c>
      <c r="AR61" s="15">
        <f>'Grid_Stock'!AJ56</f>
        <v/>
      </c>
      <c r="AS61" s="15">
        <f>'Grid_Stock'!AK56</f>
        <v/>
      </c>
      <c r="AT61" s="15">
        <f>'Grid_Stock'!AL56</f>
        <v/>
      </c>
      <c r="AU61" s="15">
        <f>'Grid_Stock'!AM56</f>
        <v/>
      </c>
      <c r="AV61" s="15">
        <f>'Grid_Stock'!AN56</f>
        <v/>
      </c>
      <c r="AW61" s="15">
        <f>'Grid_Stock'!AO56</f>
        <v/>
      </c>
      <c r="AX61" s="15">
        <f>'Grid_Stock'!AP56</f>
        <v/>
      </c>
      <c r="AY61" s="15">
        <f>'Grid_Stock'!AQ56</f>
        <v/>
      </c>
      <c r="AZ61" s="15">
        <f>'Grid_Stock'!AR56</f>
        <v/>
      </c>
      <c r="BA61" s="15">
        <f>'Grid_Stock'!AS56</f>
        <v/>
      </c>
      <c r="BB61" s="15">
        <f>'Grid_Stock'!AT56</f>
        <v/>
      </c>
      <c r="BC61" s="15">
        <f>'Grid_Stock'!AU56</f>
        <v/>
      </c>
      <c r="BD61" s="15">
        <f>'Grid_Stock'!AV56</f>
        <v/>
      </c>
      <c r="BE61" s="15">
        <f>'Grid_Stock'!AW56</f>
        <v/>
      </c>
      <c r="BF61" s="15">
        <f>'Grid_Stock'!AX56</f>
        <v/>
      </c>
      <c r="BG61" s="15">
        <f>'Grid_Stock'!AY56</f>
        <v/>
      </c>
      <c r="BH61" s="15">
        <f>'Grid_Stock'!AZ56</f>
        <v/>
      </c>
      <c r="BI61" s="15">
        <f>'Grid_Stock'!BA56</f>
        <v/>
      </c>
      <c r="BJ61" s="15">
        <f>'Grid_Stock'!BB56</f>
        <v/>
      </c>
      <c r="BK61" s="15">
        <f>'Grid_Stock'!BC56</f>
        <v/>
      </c>
      <c r="BL61" s="15">
        <f>'Grid_Stock'!BD56</f>
        <v/>
      </c>
      <c r="BM61" s="15">
        <f>'Grid_Stock'!BE56</f>
        <v/>
      </c>
      <c r="BN61" s="15">
        <f>'Grid_Stock'!BF56</f>
        <v/>
      </c>
      <c r="BO61" s="15">
        <f>'Grid_Stock'!BG56</f>
        <v/>
      </c>
      <c r="BP61" s="15">
        <f>'Grid_Stock'!BH56</f>
        <v/>
      </c>
      <c r="BQ61" s="15">
        <f>'Grid_Stock'!BI56</f>
        <v/>
      </c>
      <c r="BR61" s="15">
        <f>'Grid_Stock'!BJ56</f>
        <v/>
      </c>
      <c r="BS61" s="15">
        <f>'Grid_Stock'!BK56</f>
        <v/>
      </c>
      <c r="BT61" s="15">
        <f>'Grid_Stock'!BL56</f>
        <v/>
      </c>
      <c r="BU61" s="15">
        <f>'Grid_Stock'!BM56</f>
        <v/>
      </c>
      <c r="BV61" s="15">
        <f>'Grid_Stock'!BN56</f>
        <v/>
      </c>
      <c r="BW61" s="15">
        <f>'Grid_Stock'!BO56</f>
        <v/>
      </c>
      <c r="BX61" s="15">
        <f>'Grid_Stock'!BP56</f>
        <v/>
      </c>
      <c r="BY61" s="15">
        <f>'Grid_Stock'!BQ56</f>
        <v/>
      </c>
      <c r="BZ61" s="15">
        <f>'Grid_Stock'!BR56</f>
        <v/>
      </c>
      <c r="CA61" s="15">
        <f>'Grid_Stock'!BS56</f>
        <v/>
      </c>
      <c r="CB61" s="15">
        <f>'Grid_Stock'!BT56</f>
        <v/>
      </c>
      <c r="CC61" s="15">
        <f>'Grid_Stock'!BU56</f>
        <v/>
      </c>
      <c r="CD61" s="15">
        <f>'Grid_Stock'!BV56</f>
        <v/>
      </c>
      <c r="CE61" s="15">
        <f>'Grid_Stock'!BW56</f>
        <v/>
      </c>
      <c r="CF61" s="15">
        <f>'Grid_Stock'!BX56</f>
        <v/>
      </c>
      <c r="CG61" s="15">
        <f>'Grid_Stock'!BY56</f>
        <v/>
      </c>
      <c r="CH61" s="15">
        <f>'Grid_Stock'!BZ56</f>
        <v/>
      </c>
      <c r="CI61" s="15">
        <f>'Grid_Stock'!CA56</f>
        <v/>
      </c>
      <c r="CJ61" s="15">
        <f>'Grid_Stock'!CB56</f>
        <v/>
      </c>
      <c r="CK61" s="15">
        <f>'Grid_Stock'!CC56</f>
        <v/>
      </c>
      <c r="CL61" s="15">
        <f>'Grid_Stock'!CD56</f>
        <v/>
      </c>
      <c r="CM61" s="15">
        <f>'Grid_Stock'!CE56</f>
        <v/>
      </c>
      <c r="CN61" s="15">
        <f>'Grid_Stock'!CF56</f>
        <v/>
      </c>
      <c r="CO61" s="15">
        <f>'Grid_Stock'!CG56</f>
        <v/>
      </c>
      <c r="CP61" s="15">
        <f>'Grid_Stock'!CH56</f>
        <v/>
      </c>
      <c r="CQ61" s="15">
        <f>'Grid_Stock'!CI56</f>
        <v/>
      </c>
      <c r="CR61" s="15">
        <f>'Grid_Stock'!CJ56</f>
        <v/>
      </c>
      <c r="CS61" s="15">
        <f>'Grid_Stock'!CK56</f>
        <v/>
      </c>
      <c r="CT61" s="15">
        <f>'Grid_Stock'!CL56</f>
        <v/>
      </c>
      <c r="CU61" s="15">
        <f>'Grid_Stock'!CM56</f>
        <v/>
      </c>
      <c r="CV61" s="15">
        <f>'Grid_Stock'!CN56</f>
        <v/>
      </c>
      <c r="CW61" s="15">
        <f>'Grid_Stock'!CO56</f>
        <v/>
      </c>
      <c r="CX61" s="15">
        <f>'Grid_Stock'!CP56</f>
        <v/>
      </c>
      <c r="CY61" s="15">
        <f>'Grid_Stock'!CQ56</f>
        <v/>
      </c>
      <c r="CZ61" s="15">
        <f>'Grid_Stock'!CR56</f>
        <v/>
      </c>
      <c r="DA61" s="15">
        <f>'Grid_Stock'!CS56</f>
        <v/>
      </c>
      <c r="DB61" s="15">
        <f>'Grid_Stock'!CT56</f>
        <v/>
      </c>
      <c r="DC61" s="15">
        <f>'Grid_Stock'!CU56</f>
        <v/>
      </c>
      <c r="DD61" s="15">
        <f>'Grid_Stock'!CV56</f>
        <v/>
      </c>
      <c r="DE61" s="15">
        <f>'Grid_Stock'!CW56</f>
        <v/>
      </c>
      <c r="DF61" s="15">
        <f>'Grid_Stock'!CX56</f>
        <v/>
      </c>
      <c r="DG61" s="15">
        <f>'Grid_Stock'!CY56</f>
        <v/>
      </c>
      <c r="DH61" s="15">
        <f>'Grid_Stock'!CZ56</f>
        <v/>
      </c>
      <c r="DI61" s="15">
        <f>'Grid_Stock'!DA56</f>
        <v/>
      </c>
    </row>
    <row r="62">
      <c r="A62" s="17" t="inlineStr">
        <is>
          <t>CHEM-1770</t>
        </is>
      </c>
      <c r="B62" s="17">
        <f>IFERROR(INDEX(M_RawMaterials[Description],MATCH($A62,M_RawMaterials[RM_Code],0)),"")</f>
        <v/>
      </c>
      <c r="C62" s="17">
        <f>IFERROR(INDEX(M_RawMaterials[Category],MATCH($A62,M_RawMaterials[RM_Code],0)),"")</f>
        <v/>
      </c>
      <c r="D62" s="17">
        <f>IFERROR(INDEX(M_RawMaterials[SafetyStock_Qty_要入力],MATCH($A62,M_RawMaterials[RM_Code],0)),0)</f>
        <v/>
      </c>
      <c r="E62" s="17">
        <f>IFERROR(LOOKUP(2,1/(T_SelfStock!$A$2:$A$12000=$A62),T_SelfStock!$D$2:$D$12000),"")</f>
        <v/>
      </c>
      <c r="F62" s="17">
        <f>IFERROR(LOOKUP(2,1/(T_TTAFStock!$A$2:$A$12000=$A62),T_TTAFStock!$D$2:$D$12000),"")</f>
        <v/>
      </c>
      <c r="G62" s="17">
        <f>IFERROR(INDEX(Cal_Weeks[Label],LOOKUP(2,1/(T_SelfStock!$A$2:$A$12000=$A62),T_SelfStock!$B$2:$B$12000)),"")</f>
        <v/>
      </c>
      <c r="H62" s="17">
        <f>IF(MIN(J62:DI62)&lt;D62,"要発注","OK")</f>
        <v/>
      </c>
      <c r="I62" s="16">
        <f>IFERROR(INDEX(J62:DI62,$F$1),"")</f>
        <v/>
      </c>
      <c r="J62" s="17">
        <f>'Grid_Stock'!B57</f>
        <v/>
      </c>
      <c r="K62" s="17">
        <f>'Grid_Stock'!C57</f>
        <v/>
      </c>
      <c r="L62" s="17">
        <f>'Grid_Stock'!D57</f>
        <v/>
      </c>
      <c r="M62" s="17">
        <f>'Grid_Stock'!E57</f>
        <v/>
      </c>
      <c r="N62" s="17">
        <f>'Grid_Stock'!F57</f>
        <v/>
      </c>
      <c r="O62" s="17">
        <f>'Grid_Stock'!G57</f>
        <v/>
      </c>
      <c r="P62" s="17">
        <f>'Grid_Stock'!H57</f>
        <v/>
      </c>
      <c r="Q62" s="17">
        <f>'Grid_Stock'!I57</f>
        <v/>
      </c>
      <c r="R62" s="17">
        <f>'Grid_Stock'!J57</f>
        <v/>
      </c>
      <c r="S62" s="17">
        <f>'Grid_Stock'!K57</f>
        <v/>
      </c>
      <c r="T62" s="17">
        <f>'Grid_Stock'!L57</f>
        <v/>
      </c>
      <c r="U62" s="17">
        <f>'Grid_Stock'!M57</f>
        <v/>
      </c>
      <c r="V62" s="17">
        <f>'Grid_Stock'!N57</f>
        <v/>
      </c>
      <c r="W62" s="17">
        <f>'Grid_Stock'!O57</f>
        <v/>
      </c>
      <c r="X62" s="17">
        <f>'Grid_Stock'!P57</f>
        <v/>
      </c>
      <c r="Y62" s="17">
        <f>'Grid_Stock'!Q57</f>
        <v/>
      </c>
      <c r="Z62" s="17">
        <f>'Grid_Stock'!R57</f>
        <v/>
      </c>
      <c r="AA62" s="17">
        <f>'Grid_Stock'!S57</f>
        <v/>
      </c>
      <c r="AB62" s="17">
        <f>'Grid_Stock'!T57</f>
        <v/>
      </c>
      <c r="AC62" s="17">
        <f>'Grid_Stock'!U57</f>
        <v/>
      </c>
      <c r="AD62" s="17">
        <f>'Grid_Stock'!V57</f>
        <v/>
      </c>
      <c r="AE62" s="17">
        <f>'Grid_Stock'!W57</f>
        <v/>
      </c>
      <c r="AF62" s="17">
        <f>'Grid_Stock'!X57</f>
        <v/>
      </c>
      <c r="AG62" s="17">
        <f>'Grid_Stock'!Y57</f>
        <v/>
      </c>
      <c r="AH62" s="17">
        <f>'Grid_Stock'!Z57</f>
        <v/>
      </c>
      <c r="AI62" s="17">
        <f>'Grid_Stock'!AA57</f>
        <v/>
      </c>
      <c r="AJ62" s="17">
        <f>'Grid_Stock'!AB57</f>
        <v/>
      </c>
      <c r="AK62" s="17">
        <f>'Grid_Stock'!AC57</f>
        <v/>
      </c>
      <c r="AL62" s="17">
        <f>'Grid_Stock'!AD57</f>
        <v/>
      </c>
      <c r="AM62" s="17">
        <f>'Grid_Stock'!AE57</f>
        <v/>
      </c>
      <c r="AN62" s="17">
        <f>'Grid_Stock'!AF57</f>
        <v/>
      </c>
      <c r="AO62" s="17">
        <f>'Grid_Stock'!AG57</f>
        <v/>
      </c>
      <c r="AP62" s="17">
        <f>'Grid_Stock'!AH57</f>
        <v/>
      </c>
      <c r="AQ62" s="17">
        <f>'Grid_Stock'!AI57</f>
        <v/>
      </c>
      <c r="AR62" s="17">
        <f>'Grid_Stock'!AJ57</f>
        <v/>
      </c>
      <c r="AS62" s="17">
        <f>'Grid_Stock'!AK57</f>
        <v/>
      </c>
      <c r="AT62" s="17">
        <f>'Grid_Stock'!AL57</f>
        <v/>
      </c>
      <c r="AU62" s="17">
        <f>'Grid_Stock'!AM57</f>
        <v/>
      </c>
      <c r="AV62" s="17">
        <f>'Grid_Stock'!AN57</f>
        <v/>
      </c>
      <c r="AW62" s="17">
        <f>'Grid_Stock'!AO57</f>
        <v/>
      </c>
      <c r="AX62" s="17">
        <f>'Grid_Stock'!AP57</f>
        <v/>
      </c>
      <c r="AY62" s="17">
        <f>'Grid_Stock'!AQ57</f>
        <v/>
      </c>
      <c r="AZ62" s="17">
        <f>'Grid_Stock'!AR57</f>
        <v/>
      </c>
      <c r="BA62" s="17">
        <f>'Grid_Stock'!AS57</f>
        <v/>
      </c>
      <c r="BB62" s="17">
        <f>'Grid_Stock'!AT57</f>
        <v/>
      </c>
      <c r="BC62" s="17">
        <f>'Grid_Stock'!AU57</f>
        <v/>
      </c>
      <c r="BD62" s="17">
        <f>'Grid_Stock'!AV57</f>
        <v/>
      </c>
      <c r="BE62" s="17">
        <f>'Grid_Stock'!AW57</f>
        <v/>
      </c>
      <c r="BF62" s="17">
        <f>'Grid_Stock'!AX57</f>
        <v/>
      </c>
      <c r="BG62" s="17">
        <f>'Grid_Stock'!AY57</f>
        <v/>
      </c>
      <c r="BH62" s="17">
        <f>'Grid_Stock'!AZ57</f>
        <v/>
      </c>
      <c r="BI62" s="17">
        <f>'Grid_Stock'!BA57</f>
        <v/>
      </c>
      <c r="BJ62" s="17">
        <f>'Grid_Stock'!BB57</f>
        <v/>
      </c>
      <c r="BK62" s="17">
        <f>'Grid_Stock'!BC57</f>
        <v/>
      </c>
      <c r="BL62" s="17">
        <f>'Grid_Stock'!BD57</f>
        <v/>
      </c>
      <c r="BM62" s="17">
        <f>'Grid_Stock'!BE57</f>
        <v/>
      </c>
      <c r="BN62" s="17">
        <f>'Grid_Stock'!BF57</f>
        <v/>
      </c>
      <c r="BO62" s="17">
        <f>'Grid_Stock'!BG57</f>
        <v/>
      </c>
      <c r="BP62" s="17">
        <f>'Grid_Stock'!BH57</f>
        <v/>
      </c>
      <c r="BQ62" s="17">
        <f>'Grid_Stock'!BI57</f>
        <v/>
      </c>
      <c r="BR62" s="17">
        <f>'Grid_Stock'!BJ57</f>
        <v/>
      </c>
      <c r="BS62" s="17">
        <f>'Grid_Stock'!BK57</f>
        <v/>
      </c>
      <c r="BT62" s="17">
        <f>'Grid_Stock'!BL57</f>
        <v/>
      </c>
      <c r="BU62" s="17">
        <f>'Grid_Stock'!BM57</f>
        <v/>
      </c>
      <c r="BV62" s="17">
        <f>'Grid_Stock'!BN57</f>
        <v/>
      </c>
      <c r="BW62" s="17">
        <f>'Grid_Stock'!BO57</f>
        <v/>
      </c>
      <c r="BX62" s="17">
        <f>'Grid_Stock'!BP57</f>
        <v/>
      </c>
      <c r="BY62" s="17">
        <f>'Grid_Stock'!BQ57</f>
        <v/>
      </c>
      <c r="BZ62" s="17">
        <f>'Grid_Stock'!BR57</f>
        <v/>
      </c>
      <c r="CA62" s="17">
        <f>'Grid_Stock'!BS57</f>
        <v/>
      </c>
      <c r="CB62" s="17">
        <f>'Grid_Stock'!BT57</f>
        <v/>
      </c>
      <c r="CC62" s="17">
        <f>'Grid_Stock'!BU57</f>
        <v/>
      </c>
      <c r="CD62" s="17">
        <f>'Grid_Stock'!BV57</f>
        <v/>
      </c>
      <c r="CE62" s="17">
        <f>'Grid_Stock'!BW57</f>
        <v/>
      </c>
      <c r="CF62" s="17">
        <f>'Grid_Stock'!BX57</f>
        <v/>
      </c>
      <c r="CG62" s="17">
        <f>'Grid_Stock'!BY57</f>
        <v/>
      </c>
      <c r="CH62" s="17">
        <f>'Grid_Stock'!BZ57</f>
        <v/>
      </c>
      <c r="CI62" s="17">
        <f>'Grid_Stock'!CA57</f>
        <v/>
      </c>
      <c r="CJ62" s="17">
        <f>'Grid_Stock'!CB57</f>
        <v/>
      </c>
      <c r="CK62" s="17">
        <f>'Grid_Stock'!CC57</f>
        <v/>
      </c>
      <c r="CL62" s="17">
        <f>'Grid_Stock'!CD57</f>
        <v/>
      </c>
      <c r="CM62" s="17">
        <f>'Grid_Stock'!CE57</f>
        <v/>
      </c>
      <c r="CN62" s="17">
        <f>'Grid_Stock'!CF57</f>
        <v/>
      </c>
      <c r="CO62" s="17">
        <f>'Grid_Stock'!CG57</f>
        <v/>
      </c>
      <c r="CP62" s="17">
        <f>'Grid_Stock'!CH57</f>
        <v/>
      </c>
      <c r="CQ62" s="17">
        <f>'Grid_Stock'!CI57</f>
        <v/>
      </c>
      <c r="CR62" s="17">
        <f>'Grid_Stock'!CJ57</f>
        <v/>
      </c>
      <c r="CS62" s="17">
        <f>'Grid_Stock'!CK57</f>
        <v/>
      </c>
      <c r="CT62" s="17">
        <f>'Grid_Stock'!CL57</f>
        <v/>
      </c>
      <c r="CU62" s="17">
        <f>'Grid_Stock'!CM57</f>
        <v/>
      </c>
      <c r="CV62" s="17">
        <f>'Grid_Stock'!CN57</f>
        <v/>
      </c>
      <c r="CW62" s="17">
        <f>'Grid_Stock'!CO57</f>
        <v/>
      </c>
      <c r="CX62" s="17">
        <f>'Grid_Stock'!CP57</f>
        <v/>
      </c>
      <c r="CY62" s="17">
        <f>'Grid_Stock'!CQ57</f>
        <v/>
      </c>
      <c r="CZ62" s="17">
        <f>'Grid_Stock'!CR57</f>
        <v/>
      </c>
      <c r="DA62" s="17">
        <f>'Grid_Stock'!CS57</f>
        <v/>
      </c>
      <c r="DB62" s="17">
        <f>'Grid_Stock'!CT57</f>
        <v/>
      </c>
      <c r="DC62" s="17">
        <f>'Grid_Stock'!CU57</f>
        <v/>
      </c>
      <c r="DD62" s="17">
        <f>'Grid_Stock'!CV57</f>
        <v/>
      </c>
      <c r="DE62" s="17">
        <f>'Grid_Stock'!CW57</f>
        <v/>
      </c>
      <c r="DF62" s="17">
        <f>'Grid_Stock'!CX57</f>
        <v/>
      </c>
      <c r="DG62" s="17">
        <f>'Grid_Stock'!CY57</f>
        <v/>
      </c>
      <c r="DH62" s="17">
        <f>'Grid_Stock'!CZ57</f>
        <v/>
      </c>
      <c r="DI62" s="17">
        <f>'Grid_Stock'!DA57</f>
        <v/>
      </c>
    </row>
    <row r="63">
      <c r="A63" s="15" t="inlineStr">
        <is>
          <t>CHEM-1850</t>
        </is>
      </c>
      <c r="B63" s="15">
        <f>IFERROR(INDEX(M_RawMaterials[Description],MATCH($A63,M_RawMaterials[RM_Code],0)),"")</f>
        <v/>
      </c>
      <c r="C63" s="15">
        <f>IFERROR(INDEX(M_RawMaterials[Category],MATCH($A63,M_RawMaterials[RM_Code],0)),"")</f>
        <v/>
      </c>
      <c r="D63" s="15">
        <f>IFERROR(INDEX(M_RawMaterials[SafetyStock_Qty_要入力],MATCH($A63,M_RawMaterials[RM_Code],0)),0)</f>
        <v/>
      </c>
      <c r="E63" s="15">
        <f>IFERROR(LOOKUP(2,1/(T_SelfStock!$A$2:$A$12000=$A63),T_SelfStock!$D$2:$D$12000),"")</f>
        <v/>
      </c>
      <c r="F63" s="15">
        <f>IFERROR(LOOKUP(2,1/(T_TTAFStock!$A$2:$A$12000=$A63),T_TTAFStock!$D$2:$D$12000),"")</f>
        <v/>
      </c>
      <c r="G63" s="15">
        <f>IFERROR(INDEX(Cal_Weeks[Label],LOOKUP(2,1/(T_SelfStock!$A$2:$A$12000=$A63),T_SelfStock!$B$2:$B$12000)),"")</f>
        <v/>
      </c>
      <c r="H63" s="15">
        <f>IF(MIN(J63:DI63)&lt;D63,"要発注","OK")</f>
        <v/>
      </c>
      <c r="I63" s="16">
        <f>IFERROR(INDEX(J63:DI63,$F$1),"")</f>
        <v/>
      </c>
      <c r="J63" s="15">
        <f>'Grid_Stock'!B58</f>
        <v/>
      </c>
      <c r="K63" s="15">
        <f>'Grid_Stock'!C58</f>
        <v/>
      </c>
      <c r="L63" s="15">
        <f>'Grid_Stock'!D58</f>
        <v/>
      </c>
      <c r="M63" s="15">
        <f>'Grid_Stock'!E58</f>
        <v/>
      </c>
      <c r="N63" s="15">
        <f>'Grid_Stock'!F58</f>
        <v/>
      </c>
      <c r="O63" s="15">
        <f>'Grid_Stock'!G58</f>
        <v/>
      </c>
      <c r="P63" s="15">
        <f>'Grid_Stock'!H58</f>
        <v/>
      </c>
      <c r="Q63" s="15">
        <f>'Grid_Stock'!I58</f>
        <v/>
      </c>
      <c r="R63" s="15">
        <f>'Grid_Stock'!J58</f>
        <v/>
      </c>
      <c r="S63" s="15">
        <f>'Grid_Stock'!K58</f>
        <v/>
      </c>
      <c r="T63" s="15">
        <f>'Grid_Stock'!L58</f>
        <v/>
      </c>
      <c r="U63" s="15">
        <f>'Grid_Stock'!M58</f>
        <v/>
      </c>
      <c r="V63" s="15">
        <f>'Grid_Stock'!N58</f>
        <v/>
      </c>
      <c r="W63" s="15">
        <f>'Grid_Stock'!O58</f>
        <v/>
      </c>
      <c r="X63" s="15">
        <f>'Grid_Stock'!P58</f>
        <v/>
      </c>
      <c r="Y63" s="15">
        <f>'Grid_Stock'!Q58</f>
        <v/>
      </c>
      <c r="Z63" s="15">
        <f>'Grid_Stock'!R58</f>
        <v/>
      </c>
      <c r="AA63" s="15">
        <f>'Grid_Stock'!S58</f>
        <v/>
      </c>
      <c r="AB63" s="15">
        <f>'Grid_Stock'!T58</f>
        <v/>
      </c>
      <c r="AC63" s="15">
        <f>'Grid_Stock'!U58</f>
        <v/>
      </c>
      <c r="AD63" s="15">
        <f>'Grid_Stock'!V58</f>
        <v/>
      </c>
      <c r="AE63" s="15">
        <f>'Grid_Stock'!W58</f>
        <v/>
      </c>
      <c r="AF63" s="15">
        <f>'Grid_Stock'!X58</f>
        <v/>
      </c>
      <c r="AG63" s="15">
        <f>'Grid_Stock'!Y58</f>
        <v/>
      </c>
      <c r="AH63" s="15">
        <f>'Grid_Stock'!Z58</f>
        <v/>
      </c>
      <c r="AI63" s="15">
        <f>'Grid_Stock'!AA58</f>
        <v/>
      </c>
      <c r="AJ63" s="15">
        <f>'Grid_Stock'!AB58</f>
        <v/>
      </c>
      <c r="AK63" s="15">
        <f>'Grid_Stock'!AC58</f>
        <v/>
      </c>
      <c r="AL63" s="15">
        <f>'Grid_Stock'!AD58</f>
        <v/>
      </c>
      <c r="AM63" s="15">
        <f>'Grid_Stock'!AE58</f>
        <v/>
      </c>
      <c r="AN63" s="15">
        <f>'Grid_Stock'!AF58</f>
        <v/>
      </c>
      <c r="AO63" s="15">
        <f>'Grid_Stock'!AG58</f>
        <v/>
      </c>
      <c r="AP63" s="15">
        <f>'Grid_Stock'!AH58</f>
        <v/>
      </c>
      <c r="AQ63" s="15">
        <f>'Grid_Stock'!AI58</f>
        <v/>
      </c>
      <c r="AR63" s="15">
        <f>'Grid_Stock'!AJ58</f>
        <v/>
      </c>
      <c r="AS63" s="15">
        <f>'Grid_Stock'!AK58</f>
        <v/>
      </c>
      <c r="AT63" s="15">
        <f>'Grid_Stock'!AL58</f>
        <v/>
      </c>
      <c r="AU63" s="15">
        <f>'Grid_Stock'!AM58</f>
        <v/>
      </c>
      <c r="AV63" s="15">
        <f>'Grid_Stock'!AN58</f>
        <v/>
      </c>
      <c r="AW63" s="15">
        <f>'Grid_Stock'!AO58</f>
        <v/>
      </c>
      <c r="AX63" s="15">
        <f>'Grid_Stock'!AP58</f>
        <v/>
      </c>
      <c r="AY63" s="15">
        <f>'Grid_Stock'!AQ58</f>
        <v/>
      </c>
      <c r="AZ63" s="15">
        <f>'Grid_Stock'!AR58</f>
        <v/>
      </c>
      <c r="BA63" s="15">
        <f>'Grid_Stock'!AS58</f>
        <v/>
      </c>
      <c r="BB63" s="15">
        <f>'Grid_Stock'!AT58</f>
        <v/>
      </c>
      <c r="BC63" s="15">
        <f>'Grid_Stock'!AU58</f>
        <v/>
      </c>
      <c r="BD63" s="15">
        <f>'Grid_Stock'!AV58</f>
        <v/>
      </c>
      <c r="BE63" s="15">
        <f>'Grid_Stock'!AW58</f>
        <v/>
      </c>
      <c r="BF63" s="15">
        <f>'Grid_Stock'!AX58</f>
        <v/>
      </c>
      <c r="BG63" s="15">
        <f>'Grid_Stock'!AY58</f>
        <v/>
      </c>
      <c r="BH63" s="15">
        <f>'Grid_Stock'!AZ58</f>
        <v/>
      </c>
      <c r="BI63" s="15">
        <f>'Grid_Stock'!BA58</f>
        <v/>
      </c>
      <c r="BJ63" s="15">
        <f>'Grid_Stock'!BB58</f>
        <v/>
      </c>
      <c r="BK63" s="15">
        <f>'Grid_Stock'!BC58</f>
        <v/>
      </c>
      <c r="BL63" s="15">
        <f>'Grid_Stock'!BD58</f>
        <v/>
      </c>
      <c r="BM63" s="15">
        <f>'Grid_Stock'!BE58</f>
        <v/>
      </c>
      <c r="BN63" s="15">
        <f>'Grid_Stock'!BF58</f>
        <v/>
      </c>
      <c r="BO63" s="15">
        <f>'Grid_Stock'!BG58</f>
        <v/>
      </c>
      <c r="BP63" s="15">
        <f>'Grid_Stock'!BH58</f>
        <v/>
      </c>
      <c r="BQ63" s="15">
        <f>'Grid_Stock'!BI58</f>
        <v/>
      </c>
      <c r="BR63" s="15">
        <f>'Grid_Stock'!BJ58</f>
        <v/>
      </c>
      <c r="BS63" s="15">
        <f>'Grid_Stock'!BK58</f>
        <v/>
      </c>
      <c r="BT63" s="15">
        <f>'Grid_Stock'!BL58</f>
        <v/>
      </c>
      <c r="BU63" s="15">
        <f>'Grid_Stock'!BM58</f>
        <v/>
      </c>
      <c r="BV63" s="15">
        <f>'Grid_Stock'!BN58</f>
        <v/>
      </c>
      <c r="BW63" s="15">
        <f>'Grid_Stock'!BO58</f>
        <v/>
      </c>
      <c r="BX63" s="15">
        <f>'Grid_Stock'!BP58</f>
        <v/>
      </c>
      <c r="BY63" s="15">
        <f>'Grid_Stock'!BQ58</f>
        <v/>
      </c>
      <c r="BZ63" s="15">
        <f>'Grid_Stock'!BR58</f>
        <v/>
      </c>
      <c r="CA63" s="15">
        <f>'Grid_Stock'!BS58</f>
        <v/>
      </c>
      <c r="CB63" s="15">
        <f>'Grid_Stock'!BT58</f>
        <v/>
      </c>
      <c r="CC63" s="15">
        <f>'Grid_Stock'!BU58</f>
        <v/>
      </c>
      <c r="CD63" s="15">
        <f>'Grid_Stock'!BV58</f>
        <v/>
      </c>
      <c r="CE63" s="15">
        <f>'Grid_Stock'!BW58</f>
        <v/>
      </c>
      <c r="CF63" s="15">
        <f>'Grid_Stock'!BX58</f>
        <v/>
      </c>
      <c r="CG63" s="15">
        <f>'Grid_Stock'!BY58</f>
        <v/>
      </c>
      <c r="CH63" s="15">
        <f>'Grid_Stock'!BZ58</f>
        <v/>
      </c>
      <c r="CI63" s="15">
        <f>'Grid_Stock'!CA58</f>
        <v/>
      </c>
      <c r="CJ63" s="15">
        <f>'Grid_Stock'!CB58</f>
        <v/>
      </c>
      <c r="CK63" s="15">
        <f>'Grid_Stock'!CC58</f>
        <v/>
      </c>
      <c r="CL63" s="15">
        <f>'Grid_Stock'!CD58</f>
        <v/>
      </c>
      <c r="CM63" s="15">
        <f>'Grid_Stock'!CE58</f>
        <v/>
      </c>
      <c r="CN63" s="15">
        <f>'Grid_Stock'!CF58</f>
        <v/>
      </c>
      <c r="CO63" s="15">
        <f>'Grid_Stock'!CG58</f>
        <v/>
      </c>
      <c r="CP63" s="15">
        <f>'Grid_Stock'!CH58</f>
        <v/>
      </c>
      <c r="CQ63" s="15">
        <f>'Grid_Stock'!CI58</f>
        <v/>
      </c>
      <c r="CR63" s="15">
        <f>'Grid_Stock'!CJ58</f>
        <v/>
      </c>
      <c r="CS63" s="15">
        <f>'Grid_Stock'!CK58</f>
        <v/>
      </c>
      <c r="CT63" s="15">
        <f>'Grid_Stock'!CL58</f>
        <v/>
      </c>
      <c r="CU63" s="15">
        <f>'Grid_Stock'!CM58</f>
        <v/>
      </c>
      <c r="CV63" s="15">
        <f>'Grid_Stock'!CN58</f>
        <v/>
      </c>
      <c r="CW63" s="15">
        <f>'Grid_Stock'!CO58</f>
        <v/>
      </c>
      <c r="CX63" s="15">
        <f>'Grid_Stock'!CP58</f>
        <v/>
      </c>
      <c r="CY63" s="15">
        <f>'Grid_Stock'!CQ58</f>
        <v/>
      </c>
      <c r="CZ63" s="15">
        <f>'Grid_Stock'!CR58</f>
        <v/>
      </c>
      <c r="DA63" s="15">
        <f>'Grid_Stock'!CS58</f>
        <v/>
      </c>
      <c r="DB63" s="15">
        <f>'Grid_Stock'!CT58</f>
        <v/>
      </c>
      <c r="DC63" s="15">
        <f>'Grid_Stock'!CU58</f>
        <v/>
      </c>
      <c r="DD63" s="15">
        <f>'Grid_Stock'!CV58</f>
        <v/>
      </c>
      <c r="DE63" s="15">
        <f>'Grid_Stock'!CW58</f>
        <v/>
      </c>
      <c r="DF63" s="15">
        <f>'Grid_Stock'!CX58</f>
        <v/>
      </c>
      <c r="DG63" s="15">
        <f>'Grid_Stock'!CY58</f>
        <v/>
      </c>
      <c r="DH63" s="15">
        <f>'Grid_Stock'!CZ58</f>
        <v/>
      </c>
      <c r="DI63" s="15">
        <f>'Grid_Stock'!DA58</f>
        <v/>
      </c>
    </row>
    <row r="64">
      <c r="A64" s="17" t="inlineStr">
        <is>
          <t>CHEM-1780</t>
        </is>
      </c>
      <c r="B64" s="17">
        <f>IFERROR(INDEX(M_RawMaterials[Description],MATCH($A64,M_RawMaterials[RM_Code],0)),"")</f>
        <v/>
      </c>
      <c r="C64" s="17">
        <f>IFERROR(INDEX(M_RawMaterials[Category],MATCH($A64,M_RawMaterials[RM_Code],0)),"")</f>
        <v/>
      </c>
      <c r="D64" s="17">
        <f>IFERROR(INDEX(M_RawMaterials[SafetyStock_Qty_要入力],MATCH($A64,M_RawMaterials[RM_Code],0)),0)</f>
        <v/>
      </c>
      <c r="E64" s="17">
        <f>IFERROR(LOOKUP(2,1/(T_SelfStock!$A$2:$A$12000=$A64),T_SelfStock!$D$2:$D$12000),"")</f>
        <v/>
      </c>
      <c r="F64" s="17">
        <f>IFERROR(LOOKUP(2,1/(T_TTAFStock!$A$2:$A$12000=$A64),T_TTAFStock!$D$2:$D$12000),"")</f>
        <v/>
      </c>
      <c r="G64" s="17">
        <f>IFERROR(INDEX(Cal_Weeks[Label],LOOKUP(2,1/(T_SelfStock!$A$2:$A$12000=$A64),T_SelfStock!$B$2:$B$12000)),"")</f>
        <v/>
      </c>
      <c r="H64" s="17">
        <f>IF(MIN(J64:DI64)&lt;D64,"要発注","OK")</f>
        <v/>
      </c>
      <c r="I64" s="16">
        <f>IFERROR(INDEX(J64:DI64,$F$1),"")</f>
        <v/>
      </c>
      <c r="J64" s="17">
        <f>'Grid_Stock'!B59</f>
        <v/>
      </c>
      <c r="K64" s="17">
        <f>'Grid_Stock'!C59</f>
        <v/>
      </c>
      <c r="L64" s="17">
        <f>'Grid_Stock'!D59</f>
        <v/>
      </c>
      <c r="M64" s="17">
        <f>'Grid_Stock'!E59</f>
        <v/>
      </c>
      <c r="N64" s="17">
        <f>'Grid_Stock'!F59</f>
        <v/>
      </c>
      <c r="O64" s="17">
        <f>'Grid_Stock'!G59</f>
        <v/>
      </c>
      <c r="P64" s="17">
        <f>'Grid_Stock'!H59</f>
        <v/>
      </c>
      <c r="Q64" s="17">
        <f>'Grid_Stock'!I59</f>
        <v/>
      </c>
      <c r="R64" s="17">
        <f>'Grid_Stock'!J59</f>
        <v/>
      </c>
      <c r="S64" s="17">
        <f>'Grid_Stock'!K59</f>
        <v/>
      </c>
      <c r="T64" s="17">
        <f>'Grid_Stock'!L59</f>
        <v/>
      </c>
      <c r="U64" s="17">
        <f>'Grid_Stock'!M59</f>
        <v/>
      </c>
      <c r="V64" s="17">
        <f>'Grid_Stock'!N59</f>
        <v/>
      </c>
      <c r="W64" s="17">
        <f>'Grid_Stock'!O59</f>
        <v/>
      </c>
      <c r="X64" s="17">
        <f>'Grid_Stock'!P59</f>
        <v/>
      </c>
      <c r="Y64" s="17">
        <f>'Grid_Stock'!Q59</f>
        <v/>
      </c>
      <c r="Z64" s="17">
        <f>'Grid_Stock'!R59</f>
        <v/>
      </c>
      <c r="AA64" s="17">
        <f>'Grid_Stock'!S59</f>
        <v/>
      </c>
      <c r="AB64" s="17">
        <f>'Grid_Stock'!T59</f>
        <v/>
      </c>
      <c r="AC64" s="17">
        <f>'Grid_Stock'!U59</f>
        <v/>
      </c>
      <c r="AD64" s="17">
        <f>'Grid_Stock'!V59</f>
        <v/>
      </c>
      <c r="AE64" s="17">
        <f>'Grid_Stock'!W59</f>
        <v/>
      </c>
      <c r="AF64" s="17">
        <f>'Grid_Stock'!X59</f>
        <v/>
      </c>
      <c r="AG64" s="17">
        <f>'Grid_Stock'!Y59</f>
        <v/>
      </c>
      <c r="AH64" s="17">
        <f>'Grid_Stock'!Z59</f>
        <v/>
      </c>
      <c r="AI64" s="17">
        <f>'Grid_Stock'!AA59</f>
        <v/>
      </c>
      <c r="AJ64" s="17">
        <f>'Grid_Stock'!AB59</f>
        <v/>
      </c>
      <c r="AK64" s="17">
        <f>'Grid_Stock'!AC59</f>
        <v/>
      </c>
      <c r="AL64" s="17">
        <f>'Grid_Stock'!AD59</f>
        <v/>
      </c>
      <c r="AM64" s="17">
        <f>'Grid_Stock'!AE59</f>
        <v/>
      </c>
      <c r="AN64" s="17">
        <f>'Grid_Stock'!AF59</f>
        <v/>
      </c>
      <c r="AO64" s="17">
        <f>'Grid_Stock'!AG59</f>
        <v/>
      </c>
      <c r="AP64" s="17">
        <f>'Grid_Stock'!AH59</f>
        <v/>
      </c>
      <c r="AQ64" s="17">
        <f>'Grid_Stock'!AI59</f>
        <v/>
      </c>
      <c r="AR64" s="17">
        <f>'Grid_Stock'!AJ59</f>
        <v/>
      </c>
      <c r="AS64" s="17">
        <f>'Grid_Stock'!AK59</f>
        <v/>
      </c>
      <c r="AT64" s="17">
        <f>'Grid_Stock'!AL59</f>
        <v/>
      </c>
      <c r="AU64" s="17">
        <f>'Grid_Stock'!AM59</f>
        <v/>
      </c>
      <c r="AV64" s="17">
        <f>'Grid_Stock'!AN59</f>
        <v/>
      </c>
      <c r="AW64" s="17">
        <f>'Grid_Stock'!AO59</f>
        <v/>
      </c>
      <c r="AX64" s="17">
        <f>'Grid_Stock'!AP59</f>
        <v/>
      </c>
      <c r="AY64" s="17">
        <f>'Grid_Stock'!AQ59</f>
        <v/>
      </c>
      <c r="AZ64" s="17">
        <f>'Grid_Stock'!AR59</f>
        <v/>
      </c>
      <c r="BA64" s="17">
        <f>'Grid_Stock'!AS59</f>
        <v/>
      </c>
      <c r="BB64" s="17">
        <f>'Grid_Stock'!AT59</f>
        <v/>
      </c>
      <c r="BC64" s="17">
        <f>'Grid_Stock'!AU59</f>
        <v/>
      </c>
      <c r="BD64" s="17">
        <f>'Grid_Stock'!AV59</f>
        <v/>
      </c>
      <c r="BE64" s="17">
        <f>'Grid_Stock'!AW59</f>
        <v/>
      </c>
      <c r="BF64" s="17">
        <f>'Grid_Stock'!AX59</f>
        <v/>
      </c>
      <c r="BG64" s="17">
        <f>'Grid_Stock'!AY59</f>
        <v/>
      </c>
      <c r="BH64" s="17">
        <f>'Grid_Stock'!AZ59</f>
        <v/>
      </c>
      <c r="BI64" s="17">
        <f>'Grid_Stock'!BA59</f>
        <v/>
      </c>
      <c r="BJ64" s="17">
        <f>'Grid_Stock'!BB59</f>
        <v/>
      </c>
      <c r="BK64" s="17">
        <f>'Grid_Stock'!BC59</f>
        <v/>
      </c>
      <c r="BL64" s="17">
        <f>'Grid_Stock'!BD59</f>
        <v/>
      </c>
      <c r="BM64" s="17">
        <f>'Grid_Stock'!BE59</f>
        <v/>
      </c>
      <c r="BN64" s="17">
        <f>'Grid_Stock'!BF59</f>
        <v/>
      </c>
      <c r="BO64" s="17">
        <f>'Grid_Stock'!BG59</f>
        <v/>
      </c>
      <c r="BP64" s="17">
        <f>'Grid_Stock'!BH59</f>
        <v/>
      </c>
      <c r="BQ64" s="17">
        <f>'Grid_Stock'!BI59</f>
        <v/>
      </c>
      <c r="BR64" s="17">
        <f>'Grid_Stock'!BJ59</f>
        <v/>
      </c>
      <c r="BS64" s="17">
        <f>'Grid_Stock'!BK59</f>
        <v/>
      </c>
      <c r="BT64" s="17">
        <f>'Grid_Stock'!BL59</f>
        <v/>
      </c>
      <c r="BU64" s="17">
        <f>'Grid_Stock'!BM59</f>
        <v/>
      </c>
      <c r="BV64" s="17">
        <f>'Grid_Stock'!BN59</f>
        <v/>
      </c>
      <c r="BW64" s="17">
        <f>'Grid_Stock'!BO59</f>
        <v/>
      </c>
      <c r="BX64" s="17">
        <f>'Grid_Stock'!BP59</f>
        <v/>
      </c>
      <c r="BY64" s="17">
        <f>'Grid_Stock'!BQ59</f>
        <v/>
      </c>
      <c r="BZ64" s="17">
        <f>'Grid_Stock'!BR59</f>
        <v/>
      </c>
      <c r="CA64" s="17">
        <f>'Grid_Stock'!BS59</f>
        <v/>
      </c>
      <c r="CB64" s="17">
        <f>'Grid_Stock'!BT59</f>
        <v/>
      </c>
      <c r="CC64" s="17">
        <f>'Grid_Stock'!BU59</f>
        <v/>
      </c>
      <c r="CD64" s="17">
        <f>'Grid_Stock'!BV59</f>
        <v/>
      </c>
      <c r="CE64" s="17">
        <f>'Grid_Stock'!BW59</f>
        <v/>
      </c>
      <c r="CF64" s="17">
        <f>'Grid_Stock'!BX59</f>
        <v/>
      </c>
      <c r="CG64" s="17">
        <f>'Grid_Stock'!BY59</f>
        <v/>
      </c>
      <c r="CH64" s="17">
        <f>'Grid_Stock'!BZ59</f>
        <v/>
      </c>
      <c r="CI64" s="17">
        <f>'Grid_Stock'!CA59</f>
        <v/>
      </c>
      <c r="CJ64" s="17">
        <f>'Grid_Stock'!CB59</f>
        <v/>
      </c>
      <c r="CK64" s="17">
        <f>'Grid_Stock'!CC59</f>
        <v/>
      </c>
      <c r="CL64" s="17">
        <f>'Grid_Stock'!CD59</f>
        <v/>
      </c>
      <c r="CM64" s="17">
        <f>'Grid_Stock'!CE59</f>
        <v/>
      </c>
      <c r="CN64" s="17">
        <f>'Grid_Stock'!CF59</f>
        <v/>
      </c>
      <c r="CO64" s="17">
        <f>'Grid_Stock'!CG59</f>
        <v/>
      </c>
      <c r="CP64" s="17">
        <f>'Grid_Stock'!CH59</f>
        <v/>
      </c>
      <c r="CQ64" s="17">
        <f>'Grid_Stock'!CI59</f>
        <v/>
      </c>
      <c r="CR64" s="17">
        <f>'Grid_Stock'!CJ59</f>
        <v/>
      </c>
      <c r="CS64" s="17">
        <f>'Grid_Stock'!CK59</f>
        <v/>
      </c>
      <c r="CT64" s="17">
        <f>'Grid_Stock'!CL59</f>
        <v/>
      </c>
      <c r="CU64" s="17">
        <f>'Grid_Stock'!CM59</f>
        <v/>
      </c>
      <c r="CV64" s="17">
        <f>'Grid_Stock'!CN59</f>
        <v/>
      </c>
      <c r="CW64" s="17">
        <f>'Grid_Stock'!CO59</f>
        <v/>
      </c>
      <c r="CX64" s="17">
        <f>'Grid_Stock'!CP59</f>
        <v/>
      </c>
      <c r="CY64" s="17">
        <f>'Grid_Stock'!CQ59</f>
        <v/>
      </c>
      <c r="CZ64" s="17">
        <f>'Grid_Stock'!CR59</f>
        <v/>
      </c>
      <c r="DA64" s="17">
        <f>'Grid_Stock'!CS59</f>
        <v/>
      </c>
      <c r="DB64" s="17">
        <f>'Grid_Stock'!CT59</f>
        <v/>
      </c>
      <c r="DC64" s="17">
        <f>'Grid_Stock'!CU59</f>
        <v/>
      </c>
      <c r="DD64" s="17">
        <f>'Grid_Stock'!CV59</f>
        <v/>
      </c>
      <c r="DE64" s="17">
        <f>'Grid_Stock'!CW59</f>
        <v/>
      </c>
      <c r="DF64" s="17">
        <f>'Grid_Stock'!CX59</f>
        <v/>
      </c>
      <c r="DG64" s="17">
        <f>'Grid_Stock'!CY59</f>
        <v/>
      </c>
      <c r="DH64" s="17">
        <f>'Grid_Stock'!CZ59</f>
        <v/>
      </c>
      <c r="DI64" s="17">
        <f>'Grid_Stock'!DA59</f>
        <v/>
      </c>
    </row>
    <row r="65">
      <c r="A65" s="15" t="inlineStr">
        <is>
          <t>CHEM-1020</t>
        </is>
      </c>
      <c r="B65" s="15">
        <f>IFERROR(INDEX(M_RawMaterials[Description],MATCH($A65,M_RawMaterials[RM_Code],0)),"")</f>
        <v/>
      </c>
      <c r="C65" s="15">
        <f>IFERROR(INDEX(M_RawMaterials[Category],MATCH($A65,M_RawMaterials[RM_Code],0)),"")</f>
        <v/>
      </c>
      <c r="D65" s="15">
        <f>IFERROR(INDEX(M_RawMaterials[SafetyStock_Qty_要入力],MATCH($A65,M_RawMaterials[RM_Code],0)),0)</f>
        <v/>
      </c>
      <c r="E65" s="15">
        <f>IFERROR(LOOKUP(2,1/(T_SelfStock!$A$2:$A$12000=$A65),T_SelfStock!$D$2:$D$12000),"")</f>
        <v/>
      </c>
      <c r="F65" s="15">
        <f>IFERROR(LOOKUP(2,1/(T_TTAFStock!$A$2:$A$12000=$A65),T_TTAFStock!$D$2:$D$12000),"")</f>
        <v/>
      </c>
      <c r="G65" s="15">
        <f>IFERROR(INDEX(Cal_Weeks[Label],LOOKUP(2,1/(T_SelfStock!$A$2:$A$12000=$A65),T_SelfStock!$B$2:$B$12000)),"")</f>
        <v/>
      </c>
      <c r="H65" s="15">
        <f>IF(MIN(J65:DI65)&lt;D65,"要発注","OK")</f>
        <v/>
      </c>
      <c r="I65" s="16">
        <f>IFERROR(INDEX(J65:DI65,$F$1),"")</f>
        <v/>
      </c>
      <c r="J65" s="15">
        <f>'Grid_Stock'!B60</f>
        <v/>
      </c>
      <c r="K65" s="15">
        <f>'Grid_Stock'!C60</f>
        <v/>
      </c>
      <c r="L65" s="15">
        <f>'Grid_Stock'!D60</f>
        <v/>
      </c>
      <c r="M65" s="15">
        <f>'Grid_Stock'!E60</f>
        <v/>
      </c>
      <c r="N65" s="15">
        <f>'Grid_Stock'!F60</f>
        <v/>
      </c>
      <c r="O65" s="15">
        <f>'Grid_Stock'!G60</f>
        <v/>
      </c>
      <c r="P65" s="15">
        <f>'Grid_Stock'!H60</f>
        <v/>
      </c>
      <c r="Q65" s="15">
        <f>'Grid_Stock'!I60</f>
        <v/>
      </c>
      <c r="R65" s="15">
        <f>'Grid_Stock'!J60</f>
        <v/>
      </c>
      <c r="S65" s="15">
        <f>'Grid_Stock'!K60</f>
        <v/>
      </c>
      <c r="T65" s="15">
        <f>'Grid_Stock'!L60</f>
        <v/>
      </c>
      <c r="U65" s="15">
        <f>'Grid_Stock'!M60</f>
        <v/>
      </c>
      <c r="V65" s="15">
        <f>'Grid_Stock'!N60</f>
        <v/>
      </c>
      <c r="W65" s="15">
        <f>'Grid_Stock'!O60</f>
        <v/>
      </c>
      <c r="X65" s="15">
        <f>'Grid_Stock'!P60</f>
        <v/>
      </c>
      <c r="Y65" s="15">
        <f>'Grid_Stock'!Q60</f>
        <v/>
      </c>
      <c r="Z65" s="15">
        <f>'Grid_Stock'!R60</f>
        <v/>
      </c>
      <c r="AA65" s="15">
        <f>'Grid_Stock'!S60</f>
        <v/>
      </c>
      <c r="AB65" s="15">
        <f>'Grid_Stock'!T60</f>
        <v/>
      </c>
      <c r="AC65" s="15">
        <f>'Grid_Stock'!U60</f>
        <v/>
      </c>
      <c r="AD65" s="15">
        <f>'Grid_Stock'!V60</f>
        <v/>
      </c>
      <c r="AE65" s="15">
        <f>'Grid_Stock'!W60</f>
        <v/>
      </c>
      <c r="AF65" s="15">
        <f>'Grid_Stock'!X60</f>
        <v/>
      </c>
      <c r="AG65" s="15">
        <f>'Grid_Stock'!Y60</f>
        <v/>
      </c>
      <c r="AH65" s="15">
        <f>'Grid_Stock'!Z60</f>
        <v/>
      </c>
      <c r="AI65" s="15">
        <f>'Grid_Stock'!AA60</f>
        <v/>
      </c>
      <c r="AJ65" s="15">
        <f>'Grid_Stock'!AB60</f>
        <v/>
      </c>
      <c r="AK65" s="15">
        <f>'Grid_Stock'!AC60</f>
        <v/>
      </c>
      <c r="AL65" s="15">
        <f>'Grid_Stock'!AD60</f>
        <v/>
      </c>
      <c r="AM65" s="15">
        <f>'Grid_Stock'!AE60</f>
        <v/>
      </c>
      <c r="AN65" s="15">
        <f>'Grid_Stock'!AF60</f>
        <v/>
      </c>
      <c r="AO65" s="15">
        <f>'Grid_Stock'!AG60</f>
        <v/>
      </c>
      <c r="AP65" s="15">
        <f>'Grid_Stock'!AH60</f>
        <v/>
      </c>
      <c r="AQ65" s="15">
        <f>'Grid_Stock'!AI60</f>
        <v/>
      </c>
      <c r="AR65" s="15">
        <f>'Grid_Stock'!AJ60</f>
        <v/>
      </c>
      <c r="AS65" s="15">
        <f>'Grid_Stock'!AK60</f>
        <v/>
      </c>
      <c r="AT65" s="15">
        <f>'Grid_Stock'!AL60</f>
        <v/>
      </c>
      <c r="AU65" s="15">
        <f>'Grid_Stock'!AM60</f>
        <v/>
      </c>
      <c r="AV65" s="15">
        <f>'Grid_Stock'!AN60</f>
        <v/>
      </c>
      <c r="AW65" s="15">
        <f>'Grid_Stock'!AO60</f>
        <v/>
      </c>
      <c r="AX65" s="15">
        <f>'Grid_Stock'!AP60</f>
        <v/>
      </c>
      <c r="AY65" s="15">
        <f>'Grid_Stock'!AQ60</f>
        <v/>
      </c>
      <c r="AZ65" s="15">
        <f>'Grid_Stock'!AR60</f>
        <v/>
      </c>
      <c r="BA65" s="15">
        <f>'Grid_Stock'!AS60</f>
        <v/>
      </c>
      <c r="BB65" s="15">
        <f>'Grid_Stock'!AT60</f>
        <v/>
      </c>
      <c r="BC65" s="15">
        <f>'Grid_Stock'!AU60</f>
        <v/>
      </c>
      <c r="BD65" s="15">
        <f>'Grid_Stock'!AV60</f>
        <v/>
      </c>
      <c r="BE65" s="15">
        <f>'Grid_Stock'!AW60</f>
        <v/>
      </c>
      <c r="BF65" s="15">
        <f>'Grid_Stock'!AX60</f>
        <v/>
      </c>
      <c r="BG65" s="15">
        <f>'Grid_Stock'!AY60</f>
        <v/>
      </c>
      <c r="BH65" s="15">
        <f>'Grid_Stock'!AZ60</f>
        <v/>
      </c>
      <c r="BI65" s="15">
        <f>'Grid_Stock'!BA60</f>
        <v/>
      </c>
      <c r="BJ65" s="15">
        <f>'Grid_Stock'!BB60</f>
        <v/>
      </c>
      <c r="BK65" s="15">
        <f>'Grid_Stock'!BC60</f>
        <v/>
      </c>
      <c r="BL65" s="15">
        <f>'Grid_Stock'!BD60</f>
        <v/>
      </c>
      <c r="BM65" s="15">
        <f>'Grid_Stock'!BE60</f>
        <v/>
      </c>
      <c r="BN65" s="15">
        <f>'Grid_Stock'!BF60</f>
        <v/>
      </c>
      <c r="BO65" s="15">
        <f>'Grid_Stock'!BG60</f>
        <v/>
      </c>
      <c r="BP65" s="15">
        <f>'Grid_Stock'!BH60</f>
        <v/>
      </c>
      <c r="BQ65" s="15">
        <f>'Grid_Stock'!BI60</f>
        <v/>
      </c>
      <c r="BR65" s="15">
        <f>'Grid_Stock'!BJ60</f>
        <v/>
      </c>
      <c r="BS65" s="15">
        <f>'Grid_Stock'!BK60</f>
        <v/>
      </c>
      <c r="BT65" s="15">
        <f>'Grid_Stock'!BL60</f>
        <v/>
      </c>
      <c r="BU65" s="15">
        <f>'Grid_Stock'!BM60</f>
        <v/>
      </c>
      <c r="BV65" s="15">
        <f>'Grid_Stock'!BN60</f>
        <v/>
      </c>
      <c r="BW65" s="15">
        <f>'Grid_Stock'!BO60</f>
        <v/>
      </c>
      <c r="BX65" s="15">
        <f>'Grid_Stock'!BP60</f>
        <v/>
      </c>
      <c r="BY65" s="15">
        <f>'Grid_Stock'!BQ60</f>
        <v/>
      </c>
      <c r="BZ65" s="15">
        <f>'Grid_Stock'!BR60</f>
        <v/>
      </c>
      <c r="CA65" s="15">
        <f>'Grid_Stock'!BS60</f>
        <v/>
      </c>
      <c r="CB65" s="15">
        <f>'Grid_Stock'!BT60</f>
        <v/>
      </c>
      <c r="CC65" s="15">
        <f>'Grid_Stock'!BU60</f>
        <v/>
      </c>
      <c r="CD65" s="15">
        <f>'Grid_Stock'!BV60</f>
        <v/>
      </c>
      <c r="CE65" s="15">
        <f>'Grid_Stock'!BW60</f>
        <v/>
      </c>
      <c r="CF65" s="15">
        <f>'Grid_Stock'!BX60</f>
        <v/>
      </c>
      <c r="CG65" s="15">
        <f>'Grid_Stock'!BY60</f>
        <v/>
      </c>
      <c r="CH65" s="15">
        <f>'Grid_Stock'!BZ60</f>
        <v/>
      </c>
      <c r="CI65" s="15">
        <f>'Grid_Stock'!CA60</f>
        <v/>
      </c>
      <c r="CJ65" s="15">
        <f>'Grid_Stock'!CB60</f>
        <v/>
      </c>
      <c r="CK65" s="15">
        <f>'Grid_Stock'!CC60</f>
        <v/>
      </c>
      <c r="CL65" s="15">
        <f>'Grid_Stock'!CD60</f>
        <v/>
      </c>
      <c r="CM65" s="15">
        <f>'Grid_Stock'!CE60</f>
        <v/>
      </c>
      <c r="CN65" s="15">
        <f>'Grid_Stock'!CF60</f>
        <v/>
      </c>
      <c r="CO65" s="15">
        <f>'Grid_Stock'!CG60</f>
        <v/>
      </c>
      <c r="CP65" s="15">
        <f>'Grid_Stock'!CH60</f>
        <v/>
      </c>
      <c r="CQ65" s="15">
        <f>'Grid_Stock'!CI60</f>
        <v/>
      </c>
      <c r="CR65" s="15">
        <f>'Grid_Stock'!CJ60</f>
        <v/>
      </c>
      <c r="CS65" s="15">
        <f>'Grid_Stock'!CK60</f>
        <v/>
      </c>
      <c r="CT65" s="15">
        <f>'Grid_Stock'!CL60</f>
        <v/>
      </c>
      <c r="CU65" s="15">
        <f>'Grid_Stock'!CM60</f>
        <v/>
      </c>
      <c r="CV65" s="15">
        <f>'Grid_Stock'!CN60</f>
        <v/>
      </c>
      <c r="CW65" s="15">
        <f>'Grid_Stock'!CO60</f>
        <v/>
      </c>
      <c r="CX65" s="15">
        <f>'Grid_Stock'!CP60</f>
        <v/>
      </c>
      <c r="CY65" s="15">
        <f>'Grid_Stock'!CQ60</f>
        <v/>
      </c>
      <c r="CZ65" s="15">
        <f>'Grid_Stock'!CR60</f>
        <v/>
      </c>
      <c r="DA65" s="15">
        <f>'Grid_Stock'!CS60</f>
        <v/>
      </c>
      <c r="DB65" s="15">
        <f>'Grid_Stock'!CT60</f>
        <v/>
      </c>
      <c r="DC65" s="15">
        <f>'Grid_Stock'!CU60</f>
        <v/>
      </c>
      <c r="DD65" s="15">
        <f>'Grid_Stock'!CV60</f>
        <v/>
      </c>
      <c r="DE65" s="15">
        <f>'Grid_Stock'!CW60</f>
        <v/>
      </c>
      <c r="DF65" s="15">
        <f>'Grid_Stock'!CX60</f>
        <v/>
      </c>
      <c r="DG65" s="15">
        <f>'Grid_Stock'!CY60</f>
        <v/>
      </c>
      <c r="DH65" s="15">
        <f>'Grid_Stock'!CZ60</f>
        <v/>
      </c>
      <c r="DI65" s="15">
        <f>'Grid_Stock'!DA60</f>
        <v/>
      </c>
    </row>
    <row r="66">
      <c r="A66" s="17" t="inlineStr">
        <is>
          <t>CSA Code</t>
        </is>
      </c>
      <c r="B66" s="17">
        <f>IFERROR(INDEX(M_RawMaterials[Description],MATCH($A66,M_RawMaterials[RM_Code],0)),"")</f>
        <v/>
      </c>
      <c r="C66" s="17">
        <f>IFERROR(INDEX(M_RawMaterials[Category],MATCH($A66,M_RawMaterials[RM_Code],0)),"")</f>
        <v/>
      </c>
      <c r="D66" s="17">
        <f>IFERROR(INDEX(M_RawMaterials[SafetyStock_Qty_要入力],MATCH($A66,M_RawMaterials[RM_Code],0)),0)</f>
        <v/>
      </c>
      <c r="E66" s="17">
        <f>IFERROR(LOOKUP(2,1/(T_SelfStock!$A$2:$A$12000=$A66),T_SelfStock!$D$2:$D$12000),"")</f>
        <v/>
      </c>
      <c r="F66" s="17">
        <f>IFERROR(LOOKUP(2,1/(T_TTAFStock!$A$2:$A$12000=$A66),T_TTAFStock!$D$2:$D$12000),"")</f>
        <v/>
      </c>
      <c r="G66" s="17">
        <f>IFERROR(INDEX(Cal_Weeks[Label],LOOKUP(2,1/(T_SelfStock!$A$2:$A$12000=$A66),T_SelfStock!$B$2:$B$12000)),"")</f>
        <v/>
      </c>
      <c r="H66" s="17">
        <f>IF(MIN(J66:DI66)&lt;D66,"要発注","OK")</f>
        <v/>
      </c>
      <c r="I66" s="16">
        <f>IFERROR(INDEX(J66:DI66,$F$1),"")</f>
        <v/>
      </c>
      <c r="J66" s="17">
        <f>'Grid_Stock'!B61</f>
        <v/>
      </c>
      <c r="K66" s="17">
        <f>'Grid_Stock'!C61</f>
        <v/>
      </c>
      <c r="L66" s="17">
        <f>'Grid_Stock'!D61</f>
        <v/>
      </c>
      <c r="M66" s="17">
        <f>'Grid_Stock'!E61</f>
        <v/>
      </c>
      <c r="N66" s="17">
        <f>'Grid_Stock'!F61</f>
        <v/>
      </c>
      <c r="O66" s="17">
        <f>'Grid_Stock'!G61</f>
        <v/>
      </c>
      <c r="P66" s="17">
        <f>'Grid_Stock'!H61</f>
        <v/>
      </c>
      <c r="Q66" s="17">
        <f>'Grid_Stock'!I61</f>
        <v/>
      </c>
      <c r="R66" s="17">
        <f>'Grid_Stock'!J61</f>
        <v/>
      </c>
      <c r="S66" s="17">
        <f>'Grid_Stock'!K61</f>
        <v/>
      </c>
      <c r="T66" s="17">
        <f>'Grid_Stock'!L61</f>
        <v/>
      </c>
      <c r="U66" s="17">
        <f>'Grid_Stock'!M61</f>
        <v/>
      </c>
      <c r="V66" s="17">
        <f>'Grid_Stock'!N61</f>
        <v/>
      </c>
      <c r="W66" s="17">
        <f>'Grid_Stock'!O61</f>
        <v/>
      </c>
      <c r="X66" s="17">
        <f>'Grid_Stock'!P61</f>
        <v/>
      </c>
      <c r="Y66" s="17">
        <f>'Grid_Stock'!Q61</f>
        <v/>
      </c>
      <c r="Z66" s="17">
        <f>'Grid_Stock'!R61</f>
        <v/>
      </c>
      <c r="AA66" s="17">
        <f>'Grid_Stock'!S61</f>
        <v/>
      </c>
      <c r="AB66" s="17">
        <f>'Grid_Stock'!T61</f>
        <v/>
      </c>
      <c r="AC66" s="17">
        <f>'Grid_Stock'!U61</f>
        <v/>
      </c>
      <c r="AD66" s="17">
        <f>'Grid_Stock'!V61</f>
        <v/>
      </c>
      <c r="AE66" s="17">
        <f>'Grid_Stock'!W61</f>
        <v/>
      </c>
      <c r="AF66" s="17">
        <f>'Grid_Stock'!X61</f>
        <v/>
      </c>
      <c r="AG66" s="17">
        <f>'Grid_Stock'!Y61</f>
        <v/>
      </c>
      <c r="AH66" s="17">
        <f>'Grid_Stock'!Z61</f>
        <v/>
      </c>
      <c r="AI66" s="17">
        <f>'Grid_Stock'!AA61</f>
        <v/>
      </c>
      <c r="AJ66" s="17">
        <f>'Grid_Stock'!AB61</f>
        <v/>
      </c>
      <c r="AK66" s="17">
        <f>'Grid_Stock'!AC61</f>
        <v/>
      </c>
      <c r="AL66" s="17">
        <f>'Grid_Stock'!AD61</f>
        <v/>
      </c>
      <c r="AM66" s="17">
        <f>'Grid_Stock'!AE61</f>
        <v/>
      </c>
      <c r="AN66" s="17">
        <f>'Grid_Stock'!AF61</f>
        <v/>
      </c>
      <c r="AO66" s="17">
        <f>'Grid_Stock'!AG61</f>
        <v/>
      </c>
      <c r="AP66" s="17">
        <f>'Grid_Stock'!AH61</f>
        <v/>
      </c>
      <c r="AQ66" s="17">
        <f>'Grid_Stock'!AI61</f>
        <v/>
      </c>
      <c r="AR66" s="17">
        <f>'Grid_Stock'!AJ61</f>
        <v/>
      </c>
      <c r="AS66" s="17">
        <f>'Grid_Stock'!AK61</f>
        <v/>
      </c>
      <c r="AT66" s="17">
        <f>'Grid_Stock'!AL61</f>
        <v/>
      </c>
      <c r="AU66" s="17">
        <f>'Grid_Stock'!AM61</f>
        <v/>
      </c>
      <c r="AV66" s="17">
        <f>'Grid_Stock'!AN61</f>
        <v/>
      </c>
      <c r="AW66" s="17">
        <f>'Grid_Stock'!AO61</f>
        <v/>
      </c>
      <c r="AX66" s="17">
        <f>'Grid_Stock'!AP61</f>
        <v/>
      </c>
      <c r="AY66" s="17">
        <f>'Grid_Stock'!AQ61</f>
        <v/>
      </c>
      <c r="AZ66" s="17">
        <f>'Grid_Stock'!AR61</f>
        <v/>
      </c>
      <c r="BA66" s="17">
        <f>'Grid_Stock'!AS61</f>
        <v/>
      </c>
      <c r="BB66" s="17">
        <f>'Grid_Stock'!AT61</f>
        <v/>
      </c>
      <c r="BC66" s="17">
        <f>'Grid_Stock'!AU61</f>
        <v/>
      </c>
      <c r="BD66" s="17">
        <f>'Grid_Stock'!AV61</f>
        <v/>
      </c>
      <c r="BE66" s="17">
        <f>'Grid_Stock'!AW61</f>
        <v/>
      </c>
      <c r="BF66" s="17">
        <f>'Grid_Stock'!AX61</f>
        <v/>
      </c>
      <c r="BG66" s="17">
        <f>'Grid_Stock'!AY61</f>
        <v/>
      </c>
      <c r="BH66" s="17">
        <f>'Grid_Stock'!AZ61</f>
        <v/>
      </c>
      <c r="BI66" s="17">
        <f>'Grid_Stock'!BA61</f>
        <v/>
      </c>
      <c r="BJ66" s="17">
        <f>'Grid_Stock'!BB61</f>
        <v/>
      </c>
      <c r="BK66" s="17">
        <f>'Grid_Stock'!BC61</f>
        <v/>
      </c>
      <c r="BL66" s="17">
        <f>'Grid_Stock'!BD61</f>
        <v/>
      </c>
      <c r="BM66" s="17">
        <f>'Grid_Stock'!BE61</f>
        <v/>
      </c>
      <c r="BN66" s="17">
        <f>'Grid_Stock'!BF61</f>
        <v/>
      </c>
      <c r="BO66" s="17">
        <f>'Grid_Stock'!BG61</f>
        <v/>
      </c>
      <c r="BP66" s="17">
        <f>'Grid_Stock'!BH61</f>
        <v/>
      </c>
      <c r="BQ66" s="17">
        <f>'Grid_Stock'!BI61</f>
        <v/>
      </c>
      <c r="BR66" s="17">
        <f>'Grid_Stock'!BJ61</f>
        <v/>
      </c>
      <c r="BS66" s="17">
        <f>'Grid_Stock'!BK61</f>
        <v/>
      </c>
      <c r="BT66" s="17">
        <f>'Grid_Stock'!BL61</f>
        <v/>
      </c>
      <c r="BU66" s="17">
        <f>'Grid_Stock'!BM61</f>
        <v/>
      </c>
      <c r="BV66" s="17">
        <f>'Grid_Stock'!BN61</f>
        <v/>
      </c>
      <c r="BW66" s="17">
        <f>'Grid_Stock'!BO61</f>
        <v/>
      </c>
      <c r="BX66" s="17">
        <f>'Grid_Stock'!BP61</f>
        <v/>
      </c>
      <c r="BY66" s="17">
        <f>'Grid_Stock'!BQ61</f>
        <v/>
      </c>
      <c r="BZ66" s="17">
        <f>'Grid_Stock'!BR61</f>
        <v/>
      </c>
      <c r="CA66" s="17">
        <f>'Grid_Stock'!BS61</f>
        <v/>
      </c>
      <c r="CB66" s="17">
        <f>'Grid_Stock'!BT61</f>
        <v/>
      </c>
      <c r="CC66" s="17">
        <f>'Grid_Stock'!BU61</f>
        <v/>
      </c>
      <c r="CD66" s="17">
        <f>'Grid_Stock'!BV61</f>
        <v/>
      </c>
      <c r="CE66" s="17">
        <f>'Grid_Stock'!BW61</f>
        <v/>
      </c>
      <c r="CF66" s="17">
        <f>'Grid_Stock'!BX61</f>
        <v/>
      </c>
      <c r="CG66" s="17">
        <f>'Grid_Stock'!BY61</f>
        <v/>
      </c>
      <c r="CH66" s="17">
        <f>'Grid_Stock'!BZ61</f>
        <v/>
      </c>
      <c r="CI66" s="17">
        <f>'Grid_Stock'!CA61</f>
        <v/>
      </c>
      <c r="CJ66" s="17">
        <f>'Grid_Stock'!CB61</f>
        <v/>
      </c>
      <c r="CK66" s="17">
        <f>'Grid_Stock'!CC61</f>
        <v/>
      </c>
      <c r="CL66" s="17">
        <f>'Grid_Stock'!CD61</f>
        <v/>
      </c>
      <c r="CM66" s="17">
        <f>'Grid_Stock'!CE61</f>
        <v/>
      </c>
      <c r="CN66" s="17">
        <f>'Grid_Stock'!CF61</f>
        <v/>
      </c>
      <c r="CO66" s="17">
        <f>'Grid_Stock'!CG61</f>
        <v/>
      </c>
      <c r="CP66" s="17">
        <f>'Grid_Stock'!CH61</f>
        <v/>
      </c>
      <c r="CQ66" s="17">
        <f>'Grid_Stock'!CI61</f>
        <v/>
      </c>
      <c r="CR66" s="17">
        <f>'Grid_Stock'!CJ61</f>
        <v/>
      </c>
      <c r="CS66" s="17">
        <f>'Grid_Stock'!CK61</f>
        <v/>
      </c>
      <c r="CT66" s="17">
        <f>'Grid_Stock'!CL61</f>
        <v/>
      </c>
      <c r="CU66" s="17">
        <f>'Grid_Stock'!CM61</f>
        <v/>
      </c>
      <c r="CV66" s="17">
        <f>'Grid_Stock'!CN61</f>
        <v/>
      </c>
      <c r="CW66" s="17">
        <f>'Grid_Stock'!CO61</f>
        <v/>
      </c>
      <c r="CX66" s="17">
        <f>'Grid_Stock'!CP61</f>
        <v/>
      </c>
      <c r="CY66" s="17">
        <f>'Grid_Stock'!CQ61</f>
        <v/>
      </c>
      <c r="CZ66" s="17">
        <f>'Grid_Stock'!CR61</f>
        <v/>
      </c>
      <c r="DA66" s="17">
        <f>'Grid_Stock'!CS61</f>
        <v/>
      </c>
      <c r="DB66" s="17">
        <f>'Grid_Stock'!CT61</f>
        <v/>
      </c>
      <c r="DC66" s="17">
        <f>'Grid_Stock'!CU61</f>
        <v/>
      </c>
      <c r="DD66" s="17">
        <f>'Grid_Stock'!CV61</f>
        <v/>
      </c>
      <c r="DE66" s="17">
        <f>'Grid_Stock'!CW61</f>
        <v/>
      </c>
      <c r="DF66" s="17">
        <f>'Grid_Stock'!CX61</f>
        <v/>
      </c>
      <c r="DG66" s="17">
        <f>'Grid_Stock'!CY61</f>
        <v/>
      </c>
      <c r="DH66" s="17">
        <f>'Grid_Stock'!CZ61</f>
        <v/>
      </c>
      <c r="DI66" s="17">
        <f>'Grid_Stock'!DA61</f>
        <v/>
      </c>
    </row>
    <row r="67">
      <c r="A67" s="15" t="inlineStr">
        <is>
          <t>Ester Film</t>
        </is>
      </c>
      <c r="B67" s="15">
        <f>IFERROR(INDEX(M_RawMaterials[Description],MATCH($A67,M_RawMaterials[RM_Code],0)),"")</f>
        <v/>
      </c>
      <c r="C67" s="15">
        <f>IFERROR(INDEX(M_RawMaterials[Category],MATCH($A67,M_RawMaterials[RM_Code],0)),"")</f>
        <v/>
      </c>
      <c r="D67" s="15">
        <f>IFERROR(INDEX(M_RawMaterials[SafetyStock_Qty_要入力],MATCH($A67,M_RawMaterials[RM_Code],0)),0)</f>
        <v/>
      </c>
      <c r="E67" s="15">
        <f>IFERROR(LOOKUP(2,1/(T_SelfStock!$A$2:$A$12000=$A67),T_SelfStock!$D$2:$D$12000),"")</f>
        <v/>
      </c>
      <c r="F67" s="15">
        <f>IFERROR(LOOKUP(2,1/(T_TTAFStock!$A$2:$A$12000=$A67),T_TTAFStock!$D$2:$D$12000),"")</f>
        <v/>
      </c>
      <c r="G67" s="15">
        <f>IFERROR(INDEX(Cal_Weeks[Label],LOOKUP(2,1/(T_SelfStock!$A$2:$A$12000=$A67),T_SelfStock!$B$2:$B$12000)),"")</f>
        <v/>
      </c>
      <c r="H67" s="15">
        <f>IF(MIN(J67:DI67)&lt;D67,"要発注","OK")</f>
        <v/>
      </c>
      <c r="I67" s="16">
        <f>IFERROR(INDEX(J67:DI67,$F$1),"")</f>
        <v/>
      </c>
      <c r="J67" s="15">
        <f>'Grid_Stock'!B62</f>
        <v/>
      </c>
      <c r="K67" s="15">
        <f>'Grid_Stock'!C62</f>
        <v/>
      </c>
      <c r="L67" s="15">
        <f>'Grid_Stock'!D62</f>
        <v/>
      </c>
      <c r="M67" s="15">
        <f>'Grid_Stock'!E62</f>
        <v/>
      </c>
      <c r="N67" s="15">
        <f>'Grid_Stock'!F62</f>
        <v/>
      </c>
      <c r="O67" s="15">
        <f>'Grid_Stock'!G62</f>
        <v/>
      </c>
      <c r="P67" s="15">
        <f>'Grid_Stock'!H62</f>
        <v/>
      </c>
      <c r="Q67" s="15">
        <f>'Grid_Stock'!I62</f>
        <v/>
      </c>
      <c r="R67" s="15">
        <f>'Grid_Stock'!J62</f>
        <v/>
      </c>
      <c r="S67" s="15">
        <f>'Grid_Stock'!K62</f>
        <v/>
      </c>
      <c r="T67" s="15">
        <f>'Grid_Stock'!L62</f>
        <v/>
      </c>
      <c r="U67" s="15">
        <f>'Grid_Stock'!M62</f>
        <v/>
      </c>
      <c r="V67" s="15">
        <f>'Grid_Stock'!N62</f>
        <v/>
      </c>
      <c r="W67" s="15">
        <f>'Grid_Stock'!O62</f>
        <v/>
      </c>
      <c r="X67" s="15">
        <f>'Grid_Stock'!P62</f>
        <v/>
      </c>
      <c r="Y67" s="15">
        <f>'Grid_Stock'!Q62</f>
        <v/>
      </c>
      <c r="Z67" s="15">
        <f>'Grid_Stock'!R62</f>
        <v/>
      </c>
      <c r="AA67" s="15">
        <f>'Grid_Stock'!S62</f>
        <v/>
      </c>
      <c r="AB67" s="15">
        <f>'Grid_Stock'!T62</f>
        <v/>
      </c>
      <c r="AC67" s="15">
        <f>'Grid_Stock'!U62</f>
        <v/>
      </c>
      <c r="AD67" s="15">
        <f>'Grid_Stock'!V62</f>
        <v/>
      </c>
      <c r="AE67" s="15">
        <f>'Grid_Stock'!W62</f>
        <v/>
      </c>
      <c r="AF67" s="15">
        <f>'Grid_Stock'!X62</f>
        <v/>
      </c>
      <c r="AG67" s="15">
        <f>'Grid_Stock'!Y62</f>
        <v/>
      </c>
      <c r="AH67" s="15">
        <f>'Grid_Stock'!Z62</f>
        <v/>
      </c>
      <c r="AI67" s="15">
        <f>'Grid_Stock'!AA62</f>
        <v/>
      </c>
      <c r="AJ67" s="15">
        <f>'Grid_Stock'!AB62</f>
        <v/>
      </c>
      <c r="AK67" s="15">
        <f>'Grid_Stock'!AC62</f>
        <v/>
      </c>
      <c r="AL67" s="15">
        <f>'Grid_Stock'!AD62</f>
        <v/>
      </c>
      <c r="AM67" s="15">
        <f>'Grid_Stock'!AE62</f>
        <v/>
      </c>
      <c r="AN67" s="15">
        <f>'Grid_Stock'!AF62</f>
        <v/>
      </c>
      <c r="AO67" s="15">
        <f>'Grid_Stock'!AG62</f>
        <v/>
      </c>
      <c r="AP67" s="15">
        <f>'Grid_Stock'!AH62</f>
        <v/>
      </c>
      <c r="AQ67" s="15">
        <f>'Grid_Stock'!AI62</f>
        <v/>
      </c>
      <c r="AR67" s="15">
        <f>'Grid_Stock'!AJ62</f>
        <v/>
      </c>
      <c r="AS67" s="15">
        <f>'Grid_Stock'!AK62</f>
        <v/>
      </c>
      <c r="AT67" s="15">
        <f>'Grid_Stock'!AL62</f>
        <v/>
      </c>
      <c r="AU67" s="15">
        <f>'Grid_Stock'!AM62</f>
        <v/>
      </c>
      <c r="AV67" s="15">
        <f>'Grid_Stock'!AN62</f>
        <v/>
      </c>
      <c r="AW67" s="15">
        <f>'Grid_Stock'!AO62</f>
        <v/>
      </c>
      <c r="AX67" s="15">
        <f>'Grid_Stock'!AP62</f>
        <v/>
      </c>
      <c r="AY67" s="15">
        <f>'Grid_Stock'!AQ62</f>
        <v/>
      </c>
      <c r="AZ67" s="15">
        <f>'Grid_Stock'!AR62</f>
        <v/>
      </c>
      <c r="BA67" s="15">
        <f>'Grid_Stock'!AS62</f>
        <v/>
      </c>
      <c r="BB67" s="15">
        <f>'Grid_Stock'!AT62</f>
        <v/>
      </c>
      <c r="BC67" s="15">
        <f>'Grid_Stock'!AU62</f>
        <v/>
      </c>
      <c r="BD67" s="15">
        <f>'Grid_Stock'!AV62</f>
        <v/>
      </c>
      <c r="BE67" s="15">
        <f>'Grid_Stock'!AW62</f>
        <v/>
      </c>
      <c r="BF67" s="15">
        <f>'Grid_Stock'!AX62</f>
        <v/>
      </c>
      <c r="BG67" s="15">
        <f>'Grid_Stock'!AY62</f>
        <v/>
      </c>
      <c r="BH67" s="15">
        <f>'Grid_Stock'!AZ62</f>
        <v/>
      </c>
      <c r="BI67" s="15">
        <f>'Grid_Stock'!BA62</f>
        <v/>
      </c>
      <c r="BJ67" s="15">
        <f>'Grid_Stock'!BB62</f>
        <v/>
      </c>
      <c r="BK67" s="15">
        <f>'Grid_Stock'!BC62</f>
        <v/>
      </c>
      <c r="BL67" s="15">
        <f>'Grid_Stock'!BD62</f>
        <v/>
      </c>
      <c r="BM67" s="15">
        <f>'Grid_Stock'!BE62</f>
        <v/>
      </c>
      <c r="BN67" s="15">
        <f>'Grid_Stock'!BF62</f>
        <v/>
      </c>
      <c r="BO67" s="15">
        <f>'Grid_Stock'!BG62</f>
        <v/>
      </c>
      <c r="BP67" s="15">
        <f>'Grid_Stock'!BH62</f>
        <v/>
      </c>
      <c r="BQ67" s="15">
        <f>'Grid_Stock'!BI62</f>
        <v/>
      </c>
      <c r="BR67" s="15">
        <f>'Grid_Stock'!BJ62</f>
        <v/>
      </c>
      <c r="BS67" s="15">
        <f>'Grid_Stock'!BK62</f>
        <v/>
      </c>
      <c r="BT67" s="15">
        <f>'Grid_Stock'!BL62</f>
        <v/>
      </c>
      <c r="BU67" s="15">
        <f>'Grid_Stock'!BM62</f>
        <v/>
      </c>
      <c r="BV67" s="15">
        <f>'Grid_Stock'!BN62</f>
        <v/>
      </c>
      <c r="BW67" s="15">
        <f>'Grid_Stock'!BO62</f>
        <v/>
      </c>
      <c r="BX67" s="15">
        <f>'Grid_Stock'!BP62</f>
        <v/>
      </c>
      <c r="BY67" s="15">
        <f>'Grid_Stock'!BQ62</f>
        <v/>
      </c>
      <c r="BZ67" s="15">
        <f>'Grid_Stock'!BR62</f>
        <v/>
      </c>
      <c r="CA67" s="15">
        <f>'Grid_Stock'!BS62</f>
        <v/>
      </c>
      <c r="CB67" s="15">
        <f>'Grid_Stock'!BT62</f>
        <v/>
      </c>
      <c r="CC67" s="15">
        <f>'Grid_Stock'!BU62</f>
        <v/>
      </c>
      <c r="CD67" s="15">
        <f>'Grid_Stock'!BV62</f>
        <v/>
      </c>
      <c r="CE67" s="15">
        <f>'Grid_Stock'!BW62</f>
        <v/>
      </c>
      <c r="CF67" s="15">
        <f>'Grid_Stock'!BX62</f>
        <v/>
      </c>
      <c r="CG67" s="15">
        <f>'Grid_Stock'!BY62</f>
        <v/>
      </c>
      <c r="CH67" s="15">
        <f>'Grid_Stock'!BZ62</f>
        <v/>
      </c>
      <c r="CI67" s="15">
        <f>'Grid_Stock'!CA62</f>
        <v/>
      </c>
      <c r="CJ67" s="15">
        <f>'Grid_Stock'!CB62</f>
        <v/>
      </c>
      <c r="CK67" s="15">
        <f>'Grid_Stock'!CC62</f>
        <v/>
      </c>
      <c r="CL67" s="15">
        <f>'Grid_Stock'!CD62</f>
        <v/>
      </c>
      <c r="CM67" s="15">
        <f>'Grid_Stock'!CE62</f>
        <v/>
      </c>
      <c r="CN67" s="15">
        <f>'Grid_Stock'!CF62</f>
        <v/>
      </c>
      <c r="CO67" s="15">
        <f>'Grid_Stock'!CG62</f>
        <v/>
      </c>
      <c r="CP67" s="15">
        <f>'Grid_Stock'!CH62</f>
        <v/>
      </c>
      <c r="CQ67" s="15">
        <f>'Grid_Stock'!CI62</f>
        <v/>
      </c>
      <c r="CR67" s="15">
        <f>'Grid_Stock'!CJ62</f>
        <v/>
      </c>
      <c r="CS67" s="15">
        <f>'Grid_Stock'!CK62</f>
        <v/>
      </c>
      <c r="CT67" s="15">
        <f>'Grid_Stock'!CL62</f>
        <v/>
      </c>
      <c r="CU67" s="15">
        <f>'Grid_Stock'!CM62</f>
        <v/>
      </c>
      <c r="CV67" s="15">
        <f>'Grid_Stock'!CN62</f>
        <v/>
      </c>
      <c r="CW67" s="15">
        <f>'Grid_Stock'!CO62</f>
        <v/>
      </c>
      <c r="CX67" s="15">
        <f>'Grid_Stock'!CP62</f>
        <v/>
      </c>
      <c r="CY67" s="15">
        <f>'Grid_Stock'!CQ62</f>
        <v/>
      </c>
      <c r="CZ67" s="15">
        <f>'Grid_Stock'!CR62</f>
        <v/>
      </c>
      <c r="DA67" s="15">
        <f>'Grid_Stock'!CS62</f>
        <v/>
      </c>
      <c r="DB67" s="15">
        <f>'Grid_Stock'!CT62</f>
        <v/>
      </c>
      <c r="DC67" s="15">
        <f>'Grid_Stock'!CU62</f>
        <v/>
      </c>
      <c r="DD67" s="15">
        <f>'Grid_Stock'!CV62</f>
        <v/>
      </c>
      <c r="DE67" s="15">
        <f>'Grid_Stock'!CW62</f>
        <v/>
      </c>
      <c r="DF67" s="15">
        <f>'Grid_Stock'!CX62</f>
        <v/>
      </c>
      <c r="DG67" s="15">
        <f>'Grid_Stock'!CY62</f>
        <v/>
      </c>
      <c r="DH67" s="15">
        <f>'Grid_Stock'!CZ62</f>
        <v/>
      </c>
      <c r="DI67" s="15">
        <f>'Grid_Stock'!DA62</f>
        <v/>
      </c>
    </row>
    <row r="68">
      <c r="A68" s="17" t="inlineStr">
        <is>
          <t>PP Film</t>
        </is>
      </c>
      <c r="B68" s="17">
        <f>IFERROR(INDEX(M_RawMaterials[Description],MATCH($A68,M_RawMaterials[RM_Code],0)),"")</f>
        <v/>
      </c>
      <c r="C68" s="17">
        <f>IFERROR(INDEX(M_RawMaterials[Category],MATCH($A68,M_RawMaterials[RM_Code],0)),"")</f>
        <v/>
      </c>
      <c r="D68" s="17">
        <f>IFERROR(INDEX(M_RawMaterials[SafetyStock_Qty_要入力],MATCH($A68,M_RawMaterials[RM_Code],0)),0)</f>
        <v/>
      </c>
      <c r="E68" s="17">
        <f>IFERROR(LOOKUP(2,1/(T_SelfStock!$A$2:$A$12000=$A68),T_SelfStock!$D$2:$D$12000),"")</f>
        <v/>
      </c>
      <c r="F68" s="17">
        <f>IFERROR(LOOKUP(2,1/(T_TTAFStock!$A$2:$A$12000=$A68),T_TTAFStock!$D$2:$D$12000),"")</f>
        <v/>
      </c>
      <c r="G68" s="17">
        <f>IFERROR(INDEX(Cal_Weeks[Label],LOOKUP(2,1/(T_SelfStock!$A$2:$A$12000=$A68),T_SelfStock!$B$2:$B$12000)),"")</f>
        <v/>
      </c>
      <c r="H68" s="17">
        <f>IF(MIN(J68:DI68)&lt;D68,"要発注","OK")</f>
        <v/>
      </c>
      <c r="I68" s="16">
        <f>IFERROR(INDEX(J68:DI68,$F$1),"")</f>
        <v/>
      </c>
      <c r="J68" s="17">
        <f>'Grid_Stock'!B63</f>
        <v/>
      </c>
      <c r="K68" s="17">
        <f>'Grid_Stock'!C63</f>
        <v/>
      </c>
      <c r="L68" s="17">
        <f>'Grid_Stock'!D63</f>
        <v/>
      </c>
      <c r="M68" s="17">
        <f>'Grid_Stock'!E63</f>
        <v/>
      </c>
      <c r="N68" s="17">
        <f>'Grid_Stock'!F63</f>
        <v/>
      </c>
      <c r="O68" s="17">
        <f>'Grid_Stock'!G63</f>
        <v/>
      </c>
      <c r="P68" s="17">
        <f>'Grid_Stock'!H63</f>
        <v/>
      </c>
      <c r="Q68" s="17">
        <f>'Grid_Stock'!I63</f>
        <v/>
      </c>
      <c r="R68" s="17">
        <f>'Grid_Stock'!J63</f>
        <v/>
      </c>
      <c r="S68" s="17">
        <f>'Grid_Stock'!K63</f>
        <v/>
      </c>
      <c r="T68" s="17">
        <f>'Grid_Stock'!L63</f>
        <v/>
      </c>
      <c r="U68" s="17">
        <f>'Grid_Stock'!M63</f>
        <v/>
      </c>
      <c r="V68" s="17">
        <f>'Grid_Stock'!N63</f>
        <v/>
      </c>
      <c r="W68" s="17">
        <f>'Grid_Stock'!O63</f>
        <v/>
      </c>
      <c r="X68" s="17">
        <f>'Grid_Stock'!P63</f>
        <v/>
      </c>
      <c r="Y68" s="17">
        <f>'Grid_Stock'!Q63</f>
        <v/>
      </c>
      <c r="Z68" s="17">
        <f>'Grid_Stock'!R63</f>
        <v/>
      </c>
      <c r="AA68" s="17">
        <f>'Grid_Stock'!S63</f>
        <v/>
      </c>
      <c r="AB68" s="17">
        <f>'Grid_Stock'!T63</f>
        <v/>
      </c>
      <c r="AC68" s="17">
        <f>'Grid_Stock'!U63</f>
        <v/>
      </c>
      <c r="AD68" s="17">
        <f>'Grid_Stock'!V63</f>
        <v/>
      </c>
      <c r="AE68" s="17">
        <f>'Grid_Stock'!W63</f>
        <v/>
      </c>
      <c r="AF68" s="17">
        <f>'Grid_Stock'!X63</f>
        <v/>
      </c>
      <c r="AG68" s="17">
        <f>'Grid_Stock'!Y63</f>
        <v/>
      </c>
      <c r="AH68" s="17">
        <f>'Grid_Stock'!Z63</f>
        <v/>
      </c>
      <c r="AI68" s="17">
        <f>'Grid_Stock'!AA63</f>
        <v/>
      </c>
      <c r="AJ68" s="17">
        <f>'Grid_Stock'!AB63</f>
        <v/>
      </c>
      <c r="AK68" s="17">
        <f>'Grid_Stock'!AC63</f>
        <v/>
      </c>
      <c r="AL68" s="17">
        <f>'Grid_Stock'!AD63</f>
        <v/>
      </c>
      <c r="AM68" s="17">
        <f>'Grid_Stock'!AE63</f>
        <v/>
      </c>
      <c r="AN68" s="17">
        <f>'Grid_Stock'!AF63</f>
        <v/>
      </c>
      <c r="AO68" s="17">
        <f>'Grid_Stock'!AG63</f>
        <v/>
      </c>
      <c r="AP68" s="17">
        <f>'Grid_Stock'!AH63</f>
        <v/>
      </c>
      <c r="AQ68" s="17">
        <f>'Grid_Stock'!AI63</f>
        <v/>
      </c>
      <c r="AR68" s="17">
        <f>'Grid_Stock'!AJ63</f>
        <v/>
      </c>
      <c r="AS68" s="17">
        <f>'Grid_Stock'!AK63</f>
        <v/>
      </c>
      <c r="AT68" s="17">
        <f>'Grid_Stock'!AL63</f>
        <v/>
      </c>
      <c r="AU68" s="17">
        <f>'Grid_Stock'!AM63</f>
        <v/>
      </c>
      <c r="AV68" s="17">
        <f>'Grid_Stock'!AN63</f>
        <v/>
      </c>
      <c r="AW68" s="17">
        <f>'Grid_Stock'!AO63</f>
        <v/>
      </c>
      <c r="AX68" s="17">
        <f>'Grid_Stock'!AP63</f>
        <v/>
      </c>
      <c r="AY68" s="17">
        <f>'Grid_Stock'!AQ63</f>
        <v/>
      </c>
      <c r="AZ68" s="17">
        <f>'Grid_Stock'!AR63</f>
        <v/>
      </c>
      <c r="BA68" s="17">
        <f>'Grid_Stock'!AS63</f>
        <v/>
      </c>
      <c r="BB68" s="17">
        <f>'Grid_Stock'!AT63</f>
        <v/>
      </c>
      <c r="BC68" s="17">
        <f>'Grid_Stock'!AU63</f>
        <v/>
      </c>
      <c r="BD68" s="17">
        <f>'Grid_Stock'!AV63</f>
        <v/>
      </c>
      <c r="BE68" s="17">
        <f>'Grid_Stock'!AW63</f>
        <v/>
      </c>
      <c r="BF68" s="17">
        <f>'Grid_Stock'!AX63</f>
        <v/>
      </c>
      <c r="BG68" s="17">
        <f>'Grid_Stock'!AY63</f>
        <v/>
      </c>
      <c r="BH68" s="17">
        <f>'Grid_Stock'!AZ63</f>
        <v/>
      </c>
      <c r="BI68" s="17">
        <f>'Grid_Stock'!BA63</f>
        <v/>
      </c>
      <c r="BJ68" s="17">
        <f>'Grid_Stock'!BB63</f>
        <v/>
      </c>
      <c r="BK68" s="17">
        <f>'Grid_Stock'!BC63</f>
        <v/>
      </c>
      <c r="BL68" s="17">
        <f>'Grid_Stock'!BD63</f>
        <v/>
      </c>
      <c r="BM68" s="17">
        <f>'Grid_Stock'!BE63</f>
        <v/>
      </c>
      <c r="BN68" s="17">
        <f>'Grid_Stock'!BF63</f>
        <v/>
      </c>
      <c r="BO68" s="17">
        <f>'Grid_Stock'!BG63</f>
        <v/>
      </c>
      <c r="BP68" s="17">
        <f>'Grid_Stock'!BH63</f>
        <v/>
      </c>
      <c r="BQ68" s="17">
        <f>'Grid_Stock'!BI63</f>
        <v/>
      </c>
      <c r="BR68" s="17">
        <f>'Grid_Stock'!BJ63</f>
        <v/>
      </c>
      <c r="BS68" s="17">
        <f>'Grid_Stock'!BK63</f>
        <v/>
      </c>
      <c r="BT68" s="17">
        <f>'Grid_Stock'!BL63</f>
        <v/>
      </c>
      <c r="BU68" s="17">
        <f>'Grid_Stock'!BM63</f>
        <v/>
      </c>
      <c r="BV68" s="17">
        <f>'Grid_Stock'!BN63</f>
        <v/>
      </c>
      <c r="BW68" s="17">
        <f>'Grid_Stock'!BO63</f>
        <v/>
      </c>
      <c r="BX68" s="17">
        <f>'Grid_Stock'!BP63</f>
        <v/>
      </c>
      <c r="BY68" s="17">
        <f>'Grid_Stock'!BQ63</f>
        <v/>
      </c>
      <c r="BZ68" s="17">
        <f>'Grid_Stock'!BR63</f>
        <v/>
      </c>
      <c r="CA68" s="17">
        <f>'Grid_Stock'!BS63</f>
        <v/>
      </c>
      <c r="CB68" s="17">
        <f>'Grid_Stock'!BT63</f>
        <v/>
      </c>
      <c r="CC68" s="17">
        <f>'Grid_Stock'!BU63</f>
        <v/>
      </c>
      <c r="CD68" s="17">
        <f>'Grid_Stock'!BV63</f>
        <v/>
      </c>
      <c r="CE68" s="17">
        <f>'Grid_Stock'!BW63</f>
        <v/>
      </c>
      <c r="CF68" s="17">
        <f>'Grid_Stock'!BX63</f>
        <v/>
      </c>
      <c r="CG68" s="17">
        <f>'Grid_Stock'!BY63</f>
        <v/>
      </c>
      <c r="CH68" s="17">
        <f>'Grid_Stock'!BZ63</f>
        <v/>
      </c>
      <c r="CI68" s="17">
        <f>'Grid_Stock'!CA63</f>
        <v/>
      </c>
      <c r="CJ68" s="17">
        <f>'Grid_Stock'!CB63</f>
        <v/>
      </c>
      <c r="CK68" s="17">
        <f>'Grid_Stock'!CC63</f>
        <v/>
      </c>
      <c r="CL68" s="17">
        <f>'Grid_Stock'!CD63</f>
        <v/>
      </c>
      <c r="CM68" s="17">
        <f>'Grid_Stock'!CE63</f>
        <v/>
      </c>
      <c r="CN68" s="17">
        <f>'Grid_Stock'!CF63</f>
        <v/>
      </c>
      <c r="CO68" s="17">
        <f>'Grid_Stock'!CG63</f>
        <v/>
      </c>
      <c r="CP68" s="17">
        <f>'Grid_Stock'!CH63</f>
        <v/>
      </c>
      <c r="CQ68" s="17">
        <f>'Grid_Stock'!CI63</f>
        <v/>
      </c>
      <c r="CR68" s="17">
        <f>'Grid_Stock'!CJ63</f>
        <v/>
      </c>
      <c r="CS68" s="17">
        <f>'Grid_Stock'!CK63</f>
        <v/>
      </c>
      <c r="CT68" s="17">
        <f>'Grid_Stock'!CL63</f>
        <v/>
      </c>
      <c r="CU68" s="17">
        <f>'Grid_Stock'!CM63</f>
        <v/>
      </c>
      <c r="CV68" s="17">
        <f>'Grid_Stock'!CN63</f>
        <v/>
      </c>
      <c r="CW68" s="17">
        <f>'Grid_Stock'!CO63</f>
        <v/>
      </c>
      <c r="CX68" s="17">
        <f>'Grid_Stock'!CP63</f>
        <v/>
      </c>
      <c r="CY68" s="17">
        <f>'Grid_Stock'!CQ63</f>
        <v/>
      </c>
      <c r="CZ68" s="17">
        <f>'Grid_Stock'!CR63</f>
        <v/>
      </c>
      <c r="DA68" s="17">
        <f>'Grid_Stock'!CS63</f>
        <v/>
      </c>
      <c r="DB68" s="17">
        <f>'Grid_Stock'!CT63</f>
        <v/>
      </c>
      <c r="DC68" s="17">
        <f>'Grid_Stock'!CU63</f>
        <v/>
      </c>
      <c r="DD68" s="17">
        <f>'Grid_Stock'!CV63</f>
        <v/>
      </c>
      <c r="DE68" s="17">
        <f>'Grid_Stock'!CW63</f>
        <v/>
      </c>
      <c r="DF68" s="17">
        <f>'Grid_Stock'!CX63</f>
        <v/>
      </c>
      <c r="DG68" s="17">
        <f>'Grid_Stock'!CY63</f>
        <v/>
      </c>
      <c r="DH68" s="17">
        <f>'Grid_Stock'!CZ63</f>
        <v/>
      </c>
      <c r="DI68" s="17">
        <f>'Grid_Stock'!DA63</f>
        <v/>
      </c>
    </row>
    <row r="69">
      <c r="A69" s="15" t="inlineStr">
        <is>
          <t>5SN</t>
        </is>
      </c>
      <c r="B69" s="15">
        <f>IFERROR(INDEX(M_RawMaterials[Description],MATCH($A69,M_RawMaterials[RM_Code],0)),"")</f>
        <v/>
      </c>
      <c r="C69" s="15">
        <f>IFERROR(INDEX(M_RawMaterials[Category],MATCH($A69,M_RawMaterials[RM_Code],0)),"")</f>
        <v/>
      </c>
      <c r="D69" s="15">
        <f>IFERROR(INDEX(M_RawMaterials[SafetyStock_Qty_要入力],MATCH($A69,M_RawMaterials[RM_Code],0)),0)</f>
        <v/>
      </c>
      <c r="E69" s="15">
        <f>IFERROR(LOOKUP(2,1/(T_SelfStock!$A$2:$A$12000=$A69),T_SelfStock!$D$2:$D$12000),"")</f>
        <v/>
      </c>
      <c r="F69" s="15">
        <f>IFERROR(LOOKUP(2,1/(T_TTAFStock!$A$2:$A$12000=$A69),T_TTAFStock!$D$2:$D$12000),"")</f>
        <v/>
      </c>
      <c r="G69" s="15">
        <f>IFERROR(INDEX(Cal_Weeks[Label],LOOKUP(2,1/(T_SelfStock!$A$2:$A$12000=$A69),T_SelfStock!$B$2:$B$12000)),"")</f>
        <v/>
      </c>
      <c r="H69" s="15">
        <f>IF(MIN(J69:DI69)&lt;D69,"要発注","OK")</f>
        <v/>
      </c>
      <c r="I69" s="16">
        <f>IFERROR(INDEX(J69:DI69,$F$1),"")</f>
        <v/>
      </c>
      <c r="J69" s="15">
        <f>'Grid_Stock'!B64</f>
        <v/>
      </c>
      <c r="K69" s="15">
        <f>'Grid_Stock'!C64</f>
        <v/>
      </c>
      <c r="L69" s="15">
        <f>'Grid_Stock'!D64</f>
        <v/>
      </c>
      <c r="M69" s="15">
        <f>'Grid_Stock'!E64</f>
        <v/>
      </c>
      <c r="N69" s="15">
        <f>'Grid_Stock'!F64</f>
        <v/>
      </c>
      <c r="O69" s="15">
        <f>'Grid_Stock'!G64</f>
        <v/>
      </c>
      <c r="P69" s="15">
        <f>'Grid_Stock'!H64</f>
        <v/>
      </c>
      <c r="Q69" s="15">
        <f>'Grid_Stock'!I64</f>
        <v/>
      </c>
      <c r="R69" s="15">
        <f>'Grid_Stock'!J64</f>
        <v/>
      </c>
      <c r="S69" s="15">
        <f>'Grid_Stock'!K64</f>
        <v/>
      </c>
      <c r="T69" s="15">
        <f>'Grid_Stock'!L64</f>
        <v/>
      </c>
      <c r="U69" s="15">
        <f>'Grid_Stock'!M64</f>
        <v/>
      </c>
      <c r="V69" s="15">
        <f>'Grid_Stock'!N64</f>
        <v/>
      </c>
      <c r="W69" s="15">
        <f>'Grid_Stock'!O64</f>
        <v/>
      </c>
      <c r="X69" s="15">
        <f>'Grid_Stock'!P64</f>
        <v/>
      </c>
      <c r="Y69" s="15">
        <f>'Grid_Stock'!Q64</f>
        <v/>
      </c>
      <c r="Z69" s="15">
        <f>'Grid_Stock'!R64</f>
        <v/>
      </c>
      <c r="AA69" s="15">
        <f>'Grid_Stock'!S64</f>
        <v/>
      </c>
      <c r="AB69" s="15">
        <f>'Grid_Stock'!T64</f>
        <v/>
      </c>
      <c r="AC69" s="15">
        <f>'Grid_Stock'!U64</f>
        <v/>
      </c>
      <c r="AD69" s="15">
        <f>'Grid_Stock'!V64</f>
        <v/>
      </c>
      <c r="AE69" s="15">
        <f>'Grid_Stock'!W64</f>
        <v/>
      </c>
      <c r="AF69" s="15">
        <f>'Grid_Stock'!X64</f>
        <v/>
      </c>
      <c r="AG69" s="15">
        <f>'Grid_Stock'!Y64</f>
        <v/>
      </c>
      <c r="AH69" s="15">
        <f>'Grid_Stock'!Z64</f>
        <v/>
      </c>
      <c r="AI69" s="15">
        <f>'Grid_Stock'!AA64</f>
        <v/>
      </c>
      <c r="AJ69" s="15">
        <f>'Grid_Stock'!AB64</f>
        <v/>
      </c>
      <c r="AK69" s="15">
        <f>'Grid_Stock'!AC64</f>
        <v/>
      </c>
      <c r="AL69" s="15">
        <f>'Grid_Stock'!AD64</f>
        <v/>
      </c>
      <c r="AM69" s="15">
        <f>'Grid_Stock'!AE64</f>
        <v/>
      </c>
      <c r="AN69" s="15">
        <f>'Grid_Stock'!AF64</f>
        <v/>
      </c>
      <c r="AO69" s="15">
        <f>'Grid_Stock'!AG64</f>
        <v/>
      </c>
      <c r="AP69" s="15">
        <f>'Grid_Stock'!AH64</f>
        <v/>
      </c>
      <c r="AQ69" s="15">
        <f>'Grid_Stock'!AI64</f>
        <v/>
      </c>
      <c r="AR69" s="15">
        <f>'Grid_Stock'!AJ64</f>
        <v/>
      </c>
      <c r="AS69" s="15">
        <f>'Grid_Stock'!AK64</f>
        <v/>
      </c>
      <c r="AT69" s="15">
        <f>'Grid_Stock'!AL64</f>
        <v/>
      </c>
      <c r="AU69" s="15">
        <f>'Grid_Stock'!AM64</f>
        <v/>
      </c>
      <c r="AV69" s="15">
        <f>'Grid_Stock'!AN64</f>
        <v/>
      </c>
      <c r="AW69" s="15">
        <f>'Grid_Stock'!AO64</f>
        <v/>
      </c>
      <c r="AX69" s="15">
        <f>'Grid_Stock'!AP64</f>
        <v/>
      </c>
      <c r="AY69" s="15">
        <f>'Grid_Stock'!AQ64</f>
        <v/>
      </c>
      <c r="AZ69" s="15">
        <f>'Grid_Stock'!AR64</f>
        <v/>
      </c>
      <c r="BA69" s="15">
        <f>'Grid_Stock'!AS64</f>
        <v/>
      </c>
      <c r="BB69" s="15">
        <f>'Grid_Stock'!AT64</f>
        <v/>
      </c>
      <c r="BC69" s="15">
        <f>'Grid_Stock'!AU64</f>
        <v/>
      </c>
      <c r="BD69" s="15">
        <f>'Grid_Stock'!AV64</f>
        <v/>
      </c>
      <c r="BE69" s="15">
        <f>'Grid_Stock'!AW64</f>
        <v/>
      </c>
      <c r="BF69" s="15">
        <f>'Grid_Stock'!AX64</f>
        <v/>
      </c>
      <c r="BG69" s="15">
        <f>'Grid_Stock'!AY64</f>
        <v/>
      </c>
      <c r="BH69" s="15">
        <f>'Grid_Stock'!AZ64</f>
        <v/>
      </c>
      <c r="BI69" s="15">
        <f>'Grid_Stock'!BA64</f>
        <v/>
      </c>
      <c r="BJ69" s="15">
        <f>'Grid_Stock'!BB64</f>
        <v/>
      </c>
      <c r="BK69" s="15">
        <f>'Grid_Stock'!BC64</f>
        <v/>
      </c>
      <c r="BL69" s="15">
        <f>'Grid_Stock'!BD64</f>
        <v/>
      </c>
      <c r="BM69" s="15">
        <f>'Grid_Stock'!BE64</f>
        <v/>
      </c>
      <c r="BN69" s="15">
        <f>'Grid_Stock'!BF64</f>
        <v/>
      </c>
      <c r="BO69" s="15">
        <f>'Grid_Stock'!BG64</f>
        <v/>
      </c>
      <c r="BP69" s="15">
        <f>'Grid_Stock'!BH64</f>
        <v/>
      </c>
      <c r="BQ69" s="15">
        <f>'Grid_Stock'!BI64</f>
        <v/>
      </c>
      <c r="BR69" s="15">
        <f>'Grid_Stock'!BJ64</f>
        <v/>
      </c>
      <c r="BS69" s="15">
        <f>'Grid_Stock'!BK64</f>
        <v/>
      </c>
      <c r="BT69" s="15">
        <f>'Grid_Stock'!BL64</f>
        <v/>
      </c>
      <c r="BU69" s="15">
        <f>'Grid_Stock'!BM64</f>
        <v/>
      </c>
      <c r="BV69" s="15">
        <f>'Grid_Stock'!BN64</f>
        <v/>
      </c>
      <c r="BW69" s="15">
        <f>'Grid_Stock'!BO64</f>
        <v/>
      </c>
      <c r="BX69" s="15">
        <f>'Grid_Stock'!BP64</f>
        <v/>
      </c>
      <c r="BY69" s="15">
        <f>'Grid_Stock'!BQ64</f>
        <v/>
      </c>
      <c r="BZ69" s="15">
        <f>'Grid_Stock'!BR64</f>
        <v/>
      </c>
      <c r="CA69" s="15">
        <f>'Grid_Stock'!BS64</f>
        <v/>
      </c>
      <c r="CB69" s="15">
        <f>'Grid_Stock'!BT64</f>
        <v/>
      </c>
      <c r="CC69" s="15">
        <f>'Grid_Stock'!BU64</f>
        <v/>
      </c>
      <c r="CD69" s="15">
        <f>'Grid_Stock'!BV64</f>
        <v/>
      </c>
      <c r="CE69" s="15">
        <f>'Grid_Stock'!BW64</f>
        <v/>
      </c>
      <c r="CF69" s="15">
        <f>'Grid_Stock'!BX64</f>
        <v/>
      </c>
      <c r="CG69" s="15">
        <f>'Grid_Stock'!BY64</f>
        <v/>
      </c>
      <c r="CH69" s="15">
        <f>'Grid_Stock'!BZ64</f>
        <v/>
      </c>
      <c r="CI69" s="15">
        <f>'Grid_Stock'!CA64</f>
        <v/>
      </c>
      <c r="CJ69" s="15">
        <f>'Grid_Stock'!CB64</f>
        <v/>
      </c>
      <c r="CK69" s="15">
        <f>'Grid_Stock'!CC64</f>
        <v/>
      </c>
      <c r="CL69" s="15">
        <f>'Grid_Stock'!CD64</f>
        <v/>
      </c>
      <c r="CM69" s="15">
        <f>'Grid_Stock'!CE64</f>
        <v/>
      </c>
      <c r="CN69" s="15">
        <f>'Grid_Stock'!CF64</f>
        <v/>
      </c>
      <c r="CO69" s="15">
        <f>'Grid_Stock'!CG64</f>
        <v/>
      </c>
      <c r="CP69" s="15">
        <f>'Grid_Stock'!CH64</f>
        <v/>
      </c>
      <c r="CQ69" s="15">
        <f>'Grid_Stock'!CI64</f>
        <v/>
      </c>
      <c r="CR69" s="15">
        <f>'Grid_Stock'!CJ64</f>
        <v/>
      </c>
      <c r="CS69" s="15">
        <f>'Grid_Stock'!CK64</f>
        <v/>
      </c>
      <c r="CT69" s="15">
        <f>'Grid_Stock'!CL64</f>
        <v/>
      </c>
      <c r="CU69" s="15">
        <f>'Grid_Stock'!CM64</f>
        <v/>
      </c>
      <c r="CV69" s="15">
        <f>'Grid_Stock'!CN64</f>
        <v/>
      </c>
      <c r="CW69" s="15">
        <f>'Grid_Stock'!CO64</f>
        <v/>
      </c>
      <c r="CX69" s="15">
        <f>'Grid_Stock'!CP64</f>
        <v/>
      </c>
      <c r="CY69" s="15">
        <f>'Grid_Stock'!CQ64</f>
        <v/>
      </c>
      <c r="CZ69" s="15">
        <f>'Grid_Stock'!CR64</f>
        <v/>
      </c>
      <c r="DA69" s="15">
        <f>'Grid_Stock'!CS64</f>
        <v/>
      </c>
      <c r="DB69" s="15">
        <f>'Grid_Stock'!CT64</f>
        <v/>
      </c>
      <c r="DC69" s="15">
        <f>'Grid_Stock'!CU64</f>
        <v/>
      </c>
      <c r="DD69" s="15">
        <f>'Grid_Stock'!CV64</f>
        <v/>
      </c>
      <c r="DE69" s="15">
        <f>'Grid_Stock'!CW64</f>
        <v/>
      </c>
      <c r="DF69" s="15">
        <f>'Grid_Stock'!CX64</f>
        <v/>
      </c>
      <c r="DG69" s="15">
        <f>'Grid_Stock'!CY64</f>
        <v/>
      </c>
      <c r="DH69" s="15">
        <f>'Grid_Stock'!CZ64</f>
        <v/>
      </c>
      <c r="DI69" s="15">
        <f>'Grid_Stock'!DA64</f>
        <v/>
      </c>
    </row>
    <row r="70">
      <c r="A70" s="17" t="inlineStr">
        <is>
          <t>1JN</t>
        </is>
      </c>
      <c r="B70" s="17">
        <f>IFERROR(INDEX(M_RawMaterials[Description],MATCH($A70,M_RawMaterials[RM_Code],0)),"")</f>
        <v/>
      </c>
      <c r="C70" s="17">
        <f>IFERROR(INDEX(M_RawMaterials[Category],MATCH($A70,M_RawMaterials[RM_Code],0)),"")</f>
        <v/>
      </c>
      <c r="D70" s="17">
        <f>IFERROR(INDEX(M_RawMaterials[SafetyStock_Qty_要入力],MATCH($A70,M_RawMaterials[RM_Code],0)),0)</f>
        <v/>
      </c>
      <c r="E70" s="17">
        <f>IFERROR(LOOKUP(2,1/(T_SelfStock!$A$2:$A$12000=$A70),T_SelfStock!$D$2:$D$12000),"")</f>
        <v/>
      </c>
      <c r="F70" s="17">
        <f>IFERROR(LOOKUP(2,1/(T_TTAFStock!$A$2:$A$12000=$A70),T_TTAFStock!$D$2:$D$12000),"")</f>
        <v/>
      </c>
      <c r="G70" s="17">
        <f>IFERROR(INDEX(Cal_Weeks[Label],LOOKUP(2,1/(T_SelfStock!$A$2:$A$12000=$A70),T_SelfStock!$B$2:$B$12000)),"")</f>
        <v/>
      </c>
      <c r="H70" s="17">
        <f>IF(MIN(J70:DI70)&lt;D70,"要発注","OK")</f>
        <v/>
      </c>
      <c r="I70" s="16">
        <f>IFERROR(INDEX(J70:DI70,$F$1),"")</f>
        <v/>
      </c>
      <c r="J70" s="17">
        <f>'Grid_Stock'!B65</f>
        <v/>
      </c>
      <c r="K70" s="17">
        <f>'Grid_Stock'!C65</f>
        <v/>
      </c>
      <c r="L70" s="17">
        <f>'Grid_Stock'!D65</f>
        <v/>
      </c>
      <c r="M70" s="17">
        <f>'Grid_Stock'!E65</f>
        <v/>
      </c>
      <c r="N70" s="17">
        <f>'Grid_Stock'!F65</f>
        <v/>
      </c>
      <c r="O70" s="17">
        <f>'Grid_Stock'!G65</f>
        <v/>
      </c>
      <c r="P70" s="17">
        <f>'Grid_Stock'!H65</f>
        <v/>
      </c>
      <c r="Q70" s="17">
        <f>'Grid_Stock'!I65</f>
        <v/>
      </c>
      <c r="R70" s="17">
        <f>'Grid_Stock'!J65</f>
        <v/>
      </c>
      <c r="S70" s="17">
        <f>'Grid_Stock'!K65</f>
        <v/>
      </c>
      <c r="T70" s="17">
        <f>'Grid_Stock'!L65</f>
        <v/>
      </c>
      <c r="U70" s="17">
        <f>'Grid_Stock'!M65</f>
        <v/>
      </c>
      <c r="V70" s="17">
        <f>'Grid_Stock'!N65</f>
        <v/>
      </c>
      <c r="W70" s="17">
        <f>'Grid_Stock'!O65</f>
        <v/>
      </c>
      <c r="X70" s="17">
        <f>'Grid_Stock'!P65</f>
        <v/>
      </c>
      <c r="Y70" s="17">
        <f>'Grid_Stock'!Q65</f>
        <v/>
      </c>
      <c r="Z70" s="17">
        <f>'Grid_Stock'!R65</f>
        <v/>
      </c>
      <c r="AA70" s="17">
        <f>'Grid_Stock'!S65</f>
        <v/>
      </c>
      <c r="AB70" s="17">
        <f>'Grid_Stock'!T65</f>
        <v/>
      </c>
      <c r="AC70" s="17">
        <f>'Grid_Stock'!U65</f>
        <v/>
      </c>
      <c r="AD70" s="17">
        <f>'Grid_Stock'!V65</f>
        <v/>
      </c>
      <c r="AE70" s="17">
        <f>'Grid_Stock'!W65</f>
        <v/>
      </c>
      <c r="AF70" s="17">
        <f>'Grid_Stock'!X65</f>
        <v/>
      </c>
      <c r="AG70" s="17">
        <f>'Grid_Stock'!Y65</f>
        <v/>
      </c>
      <c r="AH70" s="17">
        <f>'Grid_Stock'!Z65</f>
        <v/>
      </c>
      <c r="AI70" s="17">
        <f>'Grid_Stock'!AA65</f>
        <v/>
      </c>
      <c r="AJ70" s="17">
        <f>'Grid_Stock'!AB65</f>
        <v/>
      </c>
      <c r="AK70" s="17">
        <f>'Grid_Stock'!AC65</f>
        <v/>
      </c>
      <c r="AL70" s="17">
        <f>'Grid_Stock'!AD65</f>
        <v/>
      </c>
      <c r="AM70" s="17">
        <f>'Grid_Stock'!AE65</f>
        <v/>
      </c>
      <c r="AN70" s="17">
        <f>'Grid_Stock'!AF65</f>
        <v/>
      </c>
      <c r="AO70" s="17">
        <f>'Grid_Stock'!AG65</f>
        <v/>
      </c>
      <c r="AP70" s="17">
        <f>'Grid_Stock'!AH65</f>
        <v/>
      </c>
      <c r="AQ70" s="17">
        <f>'Grid_Stock'!AI65</f>
        <v/>
      </c>
      <c r="AR70" s="17">
        <f>'Grid_Stock'!AJ65</f>
        <v/>
      </c>
      <c r="AS70" s="17">
        <f>'Grid_Stock'!AK65</f>
        <v/>
      </c>
      <c r="AT70" s="17">
        <f>'Grid_Stock'!AL65</f>
        <v/>
      </c>
      <c r="AU70" s="17">
        <f>'Grid_Stock'!AM65</f>
        <v/>
      </c>
      <c r="AV70" s="17">
        <f>'Grid_Stock'!AN65</f>
        <v/>
      </c>
      <c r="AW70" s="17">
        <f>'Grid_Stock'!AO65</f>
        <v/>
      </c>
      <c r="AX70" s="17">
        <f>'Grid_Stock'!AP65</f>
        <v/>
      </c>
      <c r="AY70" s="17">
        <f>'Grid_Stock'!AQ65</f>
        <v/>
      </c>
      <c r="AZ70" s="17">
        <f>'Grid_Stock'!AR65</f>
        <v/>
      </c>
      <c r="BA70" s="17">
        <f>'Grid_Stock'!AS65</f>
        <v/>
      </c>
      <c r="BB70" s="17">
        <f>'Grid_Stock'!AT65</f>
        <v/>
      </c>
      <c r="BC70" s="17">
        <f>'Grid_Stock'!AU65</f>
        <v/>
      </c>
      <c r="BD70" s="17">
        <f>'Grid_Stock'!AV65</f>
        <v/>
      </c>
      <c r="BE70" s="17">
        <f>'Grid_Stock'!AW65</f>
        <v/>
      </c>
      <c r="BF70" s="17">
        <f>'Grid_Stock'!AX65</f>
        <v/>
      </c>
      <c r="BG70" s="17">
        <f>'Grid_Stock'!AY65</f>
        <v/>
      </c>
      <c r="BH70" s="17">
        <f>'Grid_Stock'!AZ65</f>
        <v/>
      </c>
      <c r="BI70" s="17">
        <f>'Grid_Stock'!BA65</f>
        <v/>
      </c>
      <c r="BJ70" s="17">
        <f>'Grid_Stock'!BB65</f>
        <v/>
      </c>
      <c r="BK70" s="17">
        <f>'Grid_Stock'!BC65</f>
        <v/>
      </c>
      <c r="BL70" s="17">
        <f>'Grid_Stock'!BD65</f>
        <v/>
      </c>
      <c r="BM70" s="17">
        <f>'Grid_Stock'!BE65</f>
        <v/>
      </c>
      <c r="BN70" s="17">
        <f>'Grid_Stock'!BF65</f>
        <v/>
      </c>
      <c r="BO70" s="17">
        <f>'Grid_Stock'!BG65</f>
        <v/>
      </c>
      <c r="BP70" s="17">
        <f>'Grid_Stock'!BH65</f>
        <v/>
      </c>
      <c r="BQ70" s="17">
        <f>'Grid_Stock'!BI65</f>
        <v/>
      </c>
      <c r="BR70" s="17">
        <f>'Grid_Stock'!BJ65</f>
        <v/>
      </c>
      <c r="BS70" s="17">
        <f>'Grid_Stock'!BK65</f>
        <v/>
      </c>
      <c r="BT70" s="17">
        <f>'Grid_Stock'!BL65</f>
        <v/>
      </c>
      <c r="BU70" s="17">
        <f>'Grid_Stock'!BM65</f>
        <v/>
      </c>
      <c r="BV70" s="17">
        <f>'Grid_Stock'!BN65</f>
        <v/>
      </c>
      <c r="BW70" s="17">
        <f>'Grid_Stock'!BO65</f>
        <v/>
      </c>
      <c r="BX70" s="17">
        <f>'Grid_Stock'!BP65</f>
        <v/>
      </c>
      <c r="BY70" s="17">
        <f>'Grid_Stock'!BQ65</f>
        <v/>
      </c>
      <c r="BZ70" s="17">
        <f>'Grid_Stock'!BR65</f>
        <v/>
      </c>
      <c r="CA70" s="17">
        <f>'Grid_Stock'!BS65</f>
        <v/>
      </c>
      <c r="CB70" s="17">
        <f>'Grid_Stock'!BT65</f>
        <v/>
      </c>
      <c r="CC70" s="17">
        <f>'Grid_Stock'!BU65</f>
        <v/>
      </c>
      <c r="CD70" s="17">
        <f>'Grid_Stock'!BV65</f>
        <v/>
      </c>
      <c r="CE70" s="17">
        <f>'Grid_Stock'!BW65</f>
        <v/>
      </c>
      <c r="CF70" s="17">
        <f>'Grid_Stock'!BX65</f>
        <v/>
      </c>
      <c r="CG70" s="17">
        <f>'Grid_Stock'!BY65</f>
        <v/>
      </c>
      <c r="CH70" s="17">
        <f>'Grid_Stock'!BZ65</f>
        <v/>
      </c>
      <c r="CI70" s="17">
        <f>'Grid_Stock'!CA65</f>
        <v/>
      </c>
      <c r="CJ70" s="17">
        <f>'Grid_Stock'!CB65</f>
        <v/>
      </c>
      <c r="CK70" s="17">
        <f>'Grid_Stock'!CC65</f>
        <v/>
      </c>
      <c r="CL70" s="17">
        <f>'Grid_Stock'!CD65</f>
        <v/>
      </c>
      <c r="CM70" s="17">
        <f>'Grid_Stock'!CE65</f>
        <v/>
      </c>
      <c r="CN70" s="17">
        <f>'Grid_Stock'!CF65</f>
        <v/>
      </c>
      <c r="CO70" s="17">
        <f>'Grid_Stock'!CG65</f>
        <v/>
      </c>
      <c r="CP70" s="17">
        <f>'Grid_Stock'!CH65</f>
        <v/>
      </c>
      <c r="CQ70" s="17">
        <f>'Grid_Stock'!CI65</f>
        <v/>
      </c>
      <c r="CR70" s="17">
        <f>'Grid_Stock'!CJ65</f>
        <v/>
      </c>
      <c r="CS70" s="17">
        <f>'Grid_Stock'!CK65</f>
        <v/>
      </c>
      <c r="CT70" s="17">
        <f>'Grid_Stock'!CL65</f>
        <v/>
      </c>
      <c r="CU70" s="17">
        <f>'Grid_Stock'!CM65</f>
        <v/>
      </c>
      <c r="CV70" s="17">
        <f>'Grid_Stock'!CN65</f>
        <v/>
      </c>
      <c r="CW70" s="17">
        <f>'Grid_Stock'!CO65</f>
        <v/>
      </c>
      <c r="CX70" s="17">
        <f>'Grid_Stock'!CP65</f>
        <v/>
      </c>
      <c r="CY70" s="17">
        <f>'Grid_Stock'!CQ65</f>
        <v/>
      </c>
      <c r="CZ70" s="17">
        <f>'Grid_Stock'!CR65</f>
        <v/>
      </c>
      <c r="DA70" s="17">
        <f>'Grid_Stock'!CS65</f>
        <v/>
      </c>
      <c r="DB70" s="17">
        <f>'Grid_Stock'!CT65</f>
        <v/>
      </c>
      <c r="DC70" s="17">
        <f>'Grid_Stock'!CU65</f>
        <v/>
      </c>
      <c r="DD70" s="17">
        <f>'Grid_Stock'!CV65</f>
        <v/>
      </c>
      <c r="DE70" s="17">
        <f>'Grid_Stock'!CW65</f>
        <v/>
      </c>
      <c r="DF70" s="17">
        <f>'Grid_Stock'!CX65</f>
        <v/>
      </c>
      <c r="DG70" s="17">
        <f>'Grid_Stock'!CY65</f>
        <v/>
      </c>
      <c r="DH70" s="17">
        <f>'Grid_Stock'!CZ65</f>
        <v/>
      </c>
      <c r="DI70" s="17">
        <f>'Grid_Stock'!DA65</f>
        <v/>
      </c>
    </row>
    <row r="71">
      <c r="A71" s="15" t="inlineStr">
        <is>
          <t>V03</t>
        </is>
      </c>
      <c r="B71" s="15">
        <f>IFERROR(INDEX(M_RawMaterials[Description],MATCH($A71,M_RawMaterials[RM_Code],0)),"")</f>
        <v/>
      </c>
      <c r="C71" s="15">
        <f>IFERROR(INDEX(M_RawMaterials[Category],MATCH($A71,M_RawMaterials[RM_Code],0)),"")</f>
        <v/>
      </c>
      <c r="D71" s="15">
        <f>IFERROR(INDEX(M_RawMaterials[SafetyStock_Qty_要入力],MATCH($A71,M_RawMaterials[RM_Code],0)),0)</f>
        <v/>
      </c>
      <c r="E71" s="15">
        <f>IFERROR(LOOKUP(2,1/(T_SelfStock!$A$2:$A$12000=$A71),T_SelfStock!$D$2:$D$12000),"")</f>
        <v/>
      </c>
      <c r="F71" s="15">
        <f>IFERROR(LOOKUP(2,1/(T_TTAFStock!$A$2:$A$12000=$A71),T_TTAFStock!$D$2:$D$12000),"")</f>
        <v/>
      </c>
      <c r="G71" s="15">
        <f>IFERROR(INDEX(Cal_Weeks[Label],LOOKUP(2,1/(T_SelfStock!$A$2:$A$12000=$A71),T_SelfStock!$B$2:$B$12000)),"")</f>
        <v/>
      </c>
      <c r="H71" s="15">
        <f>IF(MIN(J71:DI71)&lt;D71,"要発注","OK")</f>
        <v/>
      </c>
      <c r="I71" s="16">
        <f>IFERROR(INDEX(J71:DI71,$F$1),"")</f>
        <v/>
      </c>
      <c r="J71" s="15">
        <f>'Grid_Stock'!B66</f>
        <v/>
      </c>
      <c r="K71" s="15">
        <f>'Grid_Stock'!C66</f>
        <v/>
      </c>
      <c r="L71" s="15">
        <f>'Grid_Stock'!D66</f>
        <v/>
      </c>
      <c r="M71" s="15">
        <f>'Grid_Stock'!E66</f>
        <v/>
      </c>
      <c r="N71" s="15">
        <f>'Grid_Stock'!F66</f>
        <v/>
      </c>
      <c r="O71" s="15">
        <f>'Grid_Stock'!G66</f>
        <v/>
      </c>
      <c r="P71" s="15">
        <f>'Grid_Stock'!H66</f>
        <v/>
      </c>
      <c r="Q71" s="15">
        <f>'Grid_Stock'!I66</f>
        <v/>
      </c>
      <c r="R71" s="15">
        <f>'Grid_Stock'!J66</f>
        <v/>
      </c>
      <c r="S71" s="15">
        <f>'Grid_Stock'!K66</f>
        <v/>
      </c>
      <c r="T71" s="15">
        <f>'Grid_Stock'!L66</f>
        <v/>
      </c>
      <c r="U71" s="15">
        <f>'Grid_Stock'!M66</f>
        <v/>
      </c>
      <c r="V71" s="15">
        <f>'Grid_Stock'!N66</f>
        <v/>
      </c>
      <c r="W71" s="15">
        <f>'Grid_Stock'!O66</f>
        <v/>
      </c>
      <c r="X71" s="15">
        <f>'Grid_Stock'!P66</f>
        <v/>
      </c>
      <c r="Y71" s="15">
        <f>'Grid_Stock'!Q66</f>
        <v/>
      </c>
      <c r="Z71" s="15">
        <f>'Grid_Stock'!R66</f>
        <v/>
      </c>
      <c r="AA71" s="15">
        <f>'Grid_Stock'!S66</f>
        <v/>
      </c>
      <c r="AB71" s="15">
        <f>'Grid_Stock'!T66</f>
        <v/>
      </c>
      <c r="AC71" s="15">
        <f>'Grid_Stock'!U66</f>
        <v/>
      </c>
      <c r="AD71" s="15">
        <f>'Grid_Stock'!V66</f>
        <v/>
      </c>
      <c r="AE71" s="15">
        <f>'Grid_Stock'!W66</f>
        <v/>
      </c>
      <c r="AF71" s="15">
        <f>'Grid_Stock'!X66</f>
        <v/>
      </c>
      <c r="AG71" s="15">
        <f>'Grid_Stock'!Y66</f>
        <v/>
      </c>
      <c r="AH71" s="15">
        <f>'Grid_Stock'!Z66</f>
        <v/>
      </c>
      <c r="AI71" s="15">
        <f>'Grid_Stock'!AA66</f>
        <v/>
      </c>
      <c r="AJ71" s="15">
        <f>'Grid_Stock'!AB66</f>
        <v/>
      </c>
      <c r="AK71" s="15">
        <f>'Grid_Stock'!AC66</f>
        <v/>
      </c>
      <c r="AL71" s="15">
        <f>'Grid_Stock'!AD66</f>
        <v/>
      </c>
      <c r="AM71" s="15">
        <f>'Grid_Stock'!AE66</f>
        <v/>
      </c>
      <c r="AN71" s="15">
        <f>'Grid_Stock'!AF66</f>
        <v/>
      </c>
      <c r="AO71" s="15">
        <f>'Grid_Stock'!AG66</f>
        <v/>
      </c>
      <c r="AP71" s="15">
        <f>'Grid_Stock'!AH66</f>
        <v/>
      </c>
      <c r="AQ71" s="15">
        <f>'Grid_Stock'!AI66</f>
        <v/>
      </c>
      <c r="AR71" s="15">
        <f>'Grid_Stock'!AJ66</f>
        <v/>
      </c>
      <c r="AS71" s="15">
        <f>'Grid_Stock'!AK66</f>
        <v/>
      </c>
      <c r="AT71" s="15">
        <f>'Grid_Stock'!AL66</f>
        <v/>
      </c>
      <c r="AU71" s="15">
        <f>'Grid_Stock'!AM66</f>
        <v/>
      </c>
      <c r="AV71" s="15">
        <f>'Grid_Stock'!AN66</f>
        <v/>
      </c>
      <c r="AW71" s="15">
        <f>'Grid_Stock'!AO66</f>
        <v/>
      </c>
      <c r="AX71" s="15">
        <f>'Grid_Stock'!AP66</f>
        <v/>
      </c>
      <c r="AY71" s="15">
        <f>'Grid_Stock'!AQ66</f>
        <v/>
      </c>
      <c r="AZ71" s="15">
        <f>'Grid_Stock'!AR66</f>
        <v/>
      </c>
      <c r="BA71" s="15">
        <f>'Grid_Stock'!AS66</f>
        <v/>
      </c>
      <c r="BB71" s="15">
        <f>'Grid_Stock'!AT66</f>
        <v/>
      </c>
      <c r="BC71" s="15">
        <f>'Grid_Stock'!AU66</f>
        <v/>
      </c>
      <c r="BD71" s="15">
        <f>'Grid_Stock'!AV66</f>
        <v/>
      </c>
      <c r="BE71" s="15">
        <f>'Grid_Stock'!AW66</f>
        <v/>
      </c>
      <c r="BF71" s="15">
        <f>'Grid_Stock'!AX66</f>
        <v/>
      </c>
      <c r="BG71" s="15">
        <f>'Grid_Stock'!AY66</f>
        <v/>
      </c>
      <c r="BH71" s="15">
        <f>'Grid_Stock'!AZ66</f>
        <v/>
      </c>
      <c r="BI71" s="15">
        <f>'Grid_Stock'!BA66</f>
        <v/>
      </c>
      <c r="BJ71" s="15">
        <f>'Grid_Stock'!BB66</f>
        <v/>
      </c>
      <c r="BK71" s="15">
        <f>'Grid_Stock'!BC66</f>
        <v/>
      </c>
      <c r="BL71" s="15">
        <f>'Grid_Stock'!BD66</f>
        <v/>
      </c>
      <c r="BM71" s="15">
        <f>'Grid_Stock'!BE66</f>
        <v/>
      </c>
      <c r="BN71" s="15">
        <f>'Grid_Stock'!BF66</f>
        <v/>
      </c>
      <c r="BO71" s="15">
        <f>'Grid_Stock'!BG66</f>
        <v/>
      </c>
      <c r="BP71" s="15">
        <f>'Grid_Stock'!BH66</f>
        <v/>
      </c>
      <c r="BQ71" s="15">
        <f>'Grid_Stock'!BI66</f>
        <v/>
      </c>
      <c r="BR71" s="15">
        <f>'Grid_Stock'!BJ66</f>
        <v/>
      </c>
      <c r="BS71" s="15">
        <f>'Grid_Stock'!BK66</f>
        <v/>
      </c>
      <c r="BT71" s="15">
        <f>'Grid_Stock'!BL66</f>
        <v/>
      </c>
      <c r="BU71" s="15">
        <f>'Grid_Stock'!BM66</f>
        <v/>
      </c>
      <c r="BV71" s="15">
        <f>'Grid_Stock'!BN66</f>
        <v/>
      </c>
      <c r="BW71" s="15">
        <f>'Grid_Stock'!BO66</f>
        <v/>
      </c>
      <c r="BX71" s="15">
        <f>'Grid_Stock'!BP66</f>
        <v/>
      </c>
      <c r="BY71" s="15">
        <f>'Grid_Stock'!BQ66</f>
        <v/>
      </c>
      <c r="BZ71" s="15">
        <f>'Grid_Stock'!BR66</f>
        <v/>
      </c>
      <c r="CA71" s="15">
        <f>'Grid_Stock'!BS66</f>
        <v/>
      </c>
      <c r="CB71" s="15">
        <f>'Grid_Stock'!BT66</f>
        <v/>
      </c>
      <c r="CC71" s="15">
        <f>'Grid_Stock'!BU66</f>
        <v/>
      </c>
      <c r="CD71" s="15">
        <f>'Grid_Stock'!BV66</f>
        <v/>
      </c>
      <c r="CE71" s="15">
        <f>'Grid_Stock'!BW66</f>
        <v/>
      </c>
      <c r="CF71" s="15">
        <f>'Grid_Stock'!BX66</f>
        <v/>
      </c>
      <c r="CG71" s="15">
        <f>'Grid_Stock'!BY66</f>
        <v/>
      </c>
      <c r="CH71" s="15">
        <f>'Grid_Stock'!BZ66</f>
        <v/>
      </c>
      <c r="CI71" s="15">
        <f>'Grid_Stock'!CA66</f>
        <v/>
      </c>
      <c r="CJ71" s="15">
        <f>'Grid_Stock'!CB66</f>
        <v/>
      </c>
      <c r="CK71" s="15">
        <f>'Grid_Stock'!CC66</f>
        <v/>
      </c>
      <c r="CL71" s="15">
        <f>'Grid_Stock'!CD66</f>
        <v/>
      </c>
      <c r="CM71" s="15">
        <f>'Grid_Stock'!CE66</f>
        <v/>
      </c>
      <c r="CN71" s="15">
        <f>'Grid_Stock'!CF66</f>
        <v/>
      </c>
      <c r="CO71" s="15">
        <f>'Grid_Stock'!CG66</f>
        <v/>
      </c>
      <c r="CP71" s="15">
        <f>'Grid_Stock'!CH66</f>
        <v/>
      </c>
      <c r="CQ71" s="15">
        <f>'Grid_Stock'!CI66</f>
        <v/>
      </c>
      <c r="CR71" s="15">
        <f>'Grid_Stock'!CJ66</f>
        <v/>
      </c>
      <c r="CS71" s="15">
        <f>'Grid_Stock'!CK66</f>
        <v/>
      </c>
      <c r="CT71" s="15">
        <f>'Grid_Stock'!CL66</f>
        <v/>
      </c>
      <c r="CU71" s="15">
        <f>'Grid_Stock'!CM66</f>
        <v/>
      </c>
      <c r="CV71" s="15">
        <f>'Grid_Stock'!CN66</f>
        <v/>
      </c>
      <c r="CW71" s="15">
        <f>'Grid_Stock'!CO66</f>
        <v/>
      </c>
      <c r="CX71" s="15">
        <f>'Grid_Stock'!CP66</f>
        <v/>
      </c>
      <c r="CY71" s="15">
        <f>'Grid_Stock'!CQ66</f>
        <v/>
      </c>
      <c r="CZ71" s="15">
        <f>'Grid_Stock'!CR66</f>
        <v/>
      </c>
      <c r="DA71" s="15">
        <f>'Grid_Stock'!CS66</f>
        <v/>
      </c>
      <c r="DB71" s="15">
        <f>'Grid_Stock'!CT66</f>
        <v/>
      </c>
      <c r="DC71" s="15">
        <f>'Grid_Stock'!CU66</f>
        <v/>
      </c>
      <c r="DD71" s="15">
        <f>'Grid_Stock'!CV66</f>
        <v/>
      </c>
      <c r="DE71" s="15">
        <f>'Grid_Stock'!CW66</f>
        <v/>
      </c>
      <c r="DF71" s="15">
        <f>'Grid_Stock'!CX66</f>
        <v/>
      </c>
      <c r="DG71" s="15">
        <f>'Grid_Stock'!CY66</f>
        <v/>
      </c>
      <c r="DH71" s="15">
        <f>'Grid_Stock'!CZ66</f>
        <v/>
      </c>
      <c r="DI71" s="15">
        <f>'Grid_Stock'!DA66</f>
        <v/>
      </c>
    </row>
    <row r="72">
      <c r="A72" s="17" t="inlineStr">
        <is>
          <t>V19</t>
        </is>
      </c>
      <c r="B72" s="17">
        <f>IFERROR(INDEX(M_RawMaterials[Description],MATCH($A72,M_RawMaterials[RM_Code],0)),"")</f>
        <v/>
      </c>
      <c r="C72" s="17">
        <f>IFERROR(INDEX(M_RawMaterials[Category],MATCH($A72,M_RawMaterials[RM_Code],0)),"")</f>
        <v/>
      </c>
      <c r="D72" s="17">
        <f>IFERROR(INDEX(M_RawMaterials[SafetyStock_Qty_要入力],MATCH($A72,M_RawMaterials[RM_Code],0)),0)</f>
        <v/>
      </c>
      <c r="E72" s="17">
        <f>IFERROR(LOOKUP(2,1/(T_SelfStock!$A$2:$A$12000=$A72),T_SelfStock!$D$2:$D$12000),"")</f>
        <v/>
      </c>
      <c r="F72" s="17">
        <f>IFERROR(LOOKUP(2,1/(T_TTAFStock!$A$2:$A$12000=$A72),T_TTAFStock!$D$2:$D$12000),"")</f>
        <v/>
      </c>
      <c r="G72" s="17">
        <f>IFERROR(INDEX(Cal_Weeks[Label],LOOKUP(2,1/(T_SelfStock!$A$2:$A$12000=$A72),T_SelfStock!$B$2:$B$12000)),"")</f>
        <v/>
      </c>
      <c r="H72" s="17">
        <f>IF(MIN(J72:DI72)&lt;D72,"要発注","OK")</f>
        <v/>
      </c>
      <c r="I72" s="16">
        <f>IFERROR(INDEX(J72:DI72,$F$1),"")</f>
        <v/>
      </c>
      <c r="J72" s="17">
        <f>'Grid_Stock'!B67</f>
        <v/>
      </c>
      <c r="K72" s="17">
        <f>'Grid_Stock'!C67</f>
        <v/>
      </c>
      <c r="L72" s="17">
        <f>'Grid_Stock'!D67</f>
        <v/>
      </c>
      <c r="M72" s="17">
        <f>'Grid_Stock'!E67</f>
        <v/>
      </c>
      <c r="N72" s="17">
        <f>'Grid_Stock'!F67</f>
        <v/>
      </c>
      <c r="O72" s="17">
        <f>'Grid_Stock'!G67</f>
        <v/>
      </c>
      <c r="P72" s="17">
        <f>'Grid_Stock'!H67</f>
        <v/>
      </c>
      <c r="Q72" s="17">
        <f>'Grid_Stock'!I67</f>
        <v/>
      </c>
      <c r="R72" s="17">
        <f>'Grid_Stock'!J67</f>
        <v/>
      </c>
      <c r="S72" s="17">
        <f>'Grid_Stock'!K67</f>
        <v/>
      </c>
      <c r="T72" s="17">
        <f>'Grid_Stock'!L67</f>
        <v/>
      </c>
      <c r="U72" s="17">
        <f>'Grid_Stock'!M67</f>
        <v/>
      </c>
      <c r="V72" s="17">
        <f>'Grid_Stock'!N67</f>
        <v/>
      </c>
      <c r="W72" s="17">
        <f>'Grid_Stock'!O67</f>
        <v/>
      </c>
      <c r="X72" s="17">
        <f>'Grid_Stock'!P67</f>
        <v/>
      </c>
      <c r="Y72" s="17">
        <f>'Grid_Stock'!Q67</f>
        <v/>
      </c>
      <c r="Z72" s="17">
        <f>'Grid_Stock'!R67</f>
        <v/>
      </c>
      <c r="AA72" s="17">
        <f>'Grid_Stock'!S67</f>
        <v/>
      </c>
      <c r="AB72" s="17">
        <f>'Grid_Stock'!T67</f>
        <v/>
      </c>
      <c r="AC72" s="17">
        <f>'Grid_Stock'!U67</f>
        <v/>
      </c>
      <c r="AD72" s="17">
        <f>'Grid_Stock'!V67</f>
        <v/>
      </c>
      <c r="AE72" s="17">
        <f>'Grid_Stock'!W67</f>
        <v/>
      </c>
      <c r="AF72" s="17">
        <f>'Grid_Stock'!X67</f>
        <v/>
      </c>
      <c r="AG72" s="17">
        <f>'Grid_Stock'!Y67</f>
        <v/>
      </c>
      <c r="AH72" s="17">
        <f>'Grid_Stock'!Z67</f>
        <v/>
      </c>
      <c r="AI72" s="17">
        <f>'Grid_Stock'!AA67</f>
        <v/>
      </c>
      <c r="AJ72" s="17">
        <f>'Grid_Stock'!AB67</f>
        <v/>
      </c>
      <c r="AK72" s="17">
        <f>'Grid_Stock'!AC67</f>
        <v/>
      </c>
      <c r="AL72" s="17">
        <f>'Grid_Stock'!AD67</f>
        <v/>
      </c>
      <c r="AM72" s="17">
        <f>'Grid_Stock'!AE67</f>
        <v/>
      </c>
      <c r="AN72" s="17">
        <f>'Grid_Stock'!AF67</f>
        <v/>
      </c>
      <c r="AO72" s="17">
        <f>'Grid_Stock'!AG67</f>
        <v/>
      </c>
      <c r="AP72" s="17">
        <f>'Grid_Stock'!AH67</f>
        <v/>
      </c>
      <c r="AQ72" s="17">
        <f>'Grid_Stock'!AI67</f>
        <v/>
      </c>
      <c r="AR72" s="17">
        <f>'Grid_Stock'!AJ67</f>
        <v/>
      </c>
      <c r="AS72" s="17">
        <f>'Grid_Stock'!AK67</f>
        <v/>
      </c>
      <c r="AT72" s="17">
        <f>'Grid_Stock'!AL67</f>
        <v/>
      </c>
      <c r="AU72" s="17">
        <f>'Grid_Stock'!AM67</f>
        <v/>
      </c>
      <c r="AV72" s="17">
        <f>'Grid_Stock'!AN67</f>
        <v/>
      </c>
      <c r="AW72" s="17">
        <f>'Grid_Stock'!AO67</f>
        <v/>
      </c>
      <c r="AX72" s="17">
        <f>'Grid_Stock'!AP67</f>
        <v/>
      </c>
      <c r="AY72" s="17">
        <f>'Grid_Stock'!AQ67</f>
        <v/>
      </c>
      <c r="AZ72" s="17">
        <f>'Grid_Stock'!AR67</f>
        <v/>
      </c>
      <c r="BA72" s="17">
        <f>'Grid_Stock'!AS67</f>
        <v/>
      </c>
      <c r="BB72" s="17">
        <f>'Grid_Stock'!AT67</f>
        <v/>
      </c>
      <c r="BC72" s="17">
        <f>'Grid_Stock'!AU67</f>
        <v/>
      </c>
      <c r="BD72" s="17">
        <f>'Grid_Stock'!AV67</f>
        <v/>
      </c>
      <c r="BE72" s="17">
        <f>'Grid_Stock'!AW67</f>
        <v/>
      </c>
      <c r="BF72" s="17">
        <f>'Grid_Stock'!AX67</f>
        <v/>
      </c>
      <c r="BG72" s="17">
        <f>'Grid_Stock'!AY67</f>
        <v/>
      </c>
      <c r="BH72" s="17">
        <f>'Grid_Stock'!AZ67</f>
        <v/>
      </c>
      <c r="BI72" s="17">
        <f>'Grid_Stock'!BA67</f>
        <v/>
      </c>
      <c r="BJ72" s="17">
        <f>'Grid_Stock'!BB67</f>
        <v/>
      </c>
      <c r="BK72" s="17">
        <f>'Grid_Stock'!BC67</f>
        <v/>
      </c>
      <c r="BL72" s="17">
        <f>'Grid_Stock'!BD67</f>
        <v/>
      </c>
      <c r="BM72" s="17">
        <f>'Grid_Stock'!BE67</f>
        <v/>
      </c>
      <c r="BN72" s="17">
        <f>'Grid_Stock'!BF67</f>
        <v/>
      </c>
      <c r="BO72" s="17">
        <f>'Grid_Stock'!BG67</f>
        <v/>
      </c>
      <c r="BP72" s="17">
        <f>'Grid_Stock'!BH67</f>
        <v/>
      </c>
      <c r="BQ72" s="17">
        <f>'Grid_Stock'!BI67</f>
        <v/>
      </c>
      <c r="BR72" s="17">
        <f>'Grid_Stock'!BJ67</f>
        <v/>
      </c>
      <c r="BS72" s="17">
        <f>'Grid_Stock'!BK67</f>
        <v/>
      </c>
      <c r="BT72" s="17">
        <f>'Grid_Stock'!BL67</f>
        <v/>
      </c>
      <c r="BU72" s="17">
        <f>'Grid_Stock'!BM67</f>
        <v/>
      </c>
      <c r="BV72" s="17">
        <f>'Grid_Stock'!BN67</f>
        <v/>
      </c>
      <c r="BW72" s="17">
        <f>'Grid_Stock'!BO67</f>
        <v/>
      </c>
      <c r="BX72" s="17">
        <f>'Grid_Stock'!BP67</f>
        <v/>
      </c>
      <c r="BY72" s="17">
        <f>'Grid_Stock'!BQ67</f>
        <v/>
      </c>
      <c r="BZ72" s="17">
        <f>'Grid_Stock'!BR67</f>
        <v/>
      </c>
      <c r="CA72" s="17">
        <f>'Grid_Stock'!BS67</f>
        <v/>
      </c>
      <c r="CB72" s="17">
        <f>'Grid_Stock'!BT67</f>
        <v/>
      </c>
      <c r="CC72" s="17">
        <f>'Grid_Stock'!BU67</f>
        <v/>
      </c>
      <c r="CD72" s="17">
        <f>'Grid_Stock'!BV67</f>
        <v/>
      </c>
      <c r="CE72" s="17">
        <f>'Grid_Stock'!BW67</f>
        <v/>
      </c>
      <c r="CF72" s="17">
        <f>'Grid_Stock'!BX67</f>
        <v/>
      </c>
      <c r="CG72" s="17">
        <f>'Grid_Stock'!BY67</f>
        <v/>
      </c>
      <c r="CH72" s="17">
        <f>'Grid_Stock'!BZ67</f>
        <v/>
      </c>
      <c r="CI72" s="17">
        <f>'Grid_Stock'!CA67</f>
        <v/>
      </c>
      <c r="CJ72" s="17">
        <f>'Grid_Stock'!CB67</f>
        <v/>
      </c>
      <c r="CK72" s="17">
        <f>'Grid_Stock'!CC67</f>
        <v/>
      </c>
      <c r="CL72" s="17">
        <f>'Grid_Stock'!CD67</f>
        <v/>
      </c>
      <c r="CM72" s="17">
        <f>'Grid_Stock'!CE67</f>
        <v/>
      </c>
      <c r="CN72" s="17">
        <f>'Grid_Stock'!CF67</f>
        <v/>
      </c>
      <c r="CO72" s="17">
        <f>'Grid_Stock'!CG67</f>
        <v/>
      </c>
      <c r="CP72" s="17">
        <f>'Grid_Stock'!CH67</f>
        <v/>
      </c>
      <c r="CQ72" s="17">
        <f>'Grid_Stock'!CI67</f>
        <v/>
      </c>
      <c r="CR72" s="17">
        <f>'Grid_Stock'!CJ67</f>
        <v/>
      </c>
      <c r="CS72" s="17">
        <f>'Grid_Stock'!CK67</f>
        <v/>
      </c>
      <c r="CT72" s="17">
        <f>'Grid_Stock'!CL67</f>
        <v/>
      </c>
      <c r="CU72" s="17">
        <f>'Grid_Stock'!CM67</f>
        <v/>
      </c>
      <c r="CV72" s="17">
        <f>'Grid_Stock'!CN67</f>
        <v/>
      </c>
      <c r="CW72" s="17">
        <f>'Grid_Stock'!CO67</f>
        <v/>
      </c>
      <c r="CX72" s="17">
        <f>'Grid_Stock'!CP67</f>
        <v/>
      </c>
      <c r="CY72" s="17">
        <f>'Grid_Stock'!CQ67</f>
        <v/>
      </c>
      <c r="CZ72" s="17">
        <f>'Grid_Stock'!CR67</f>
        <v/>
      </c>
      <c r="DA72" s="17">
        <f>'Grid_Stock'!CS67</f>
        <v/>
      </c>
      <c r="DB72" s="17">
        <f>'Grid_Stock'!CT67</f>
        <v/>
      </c>
      <c r="DC72" s="17">
        <f>'Grid_Stock'!CU67</f>
        <v/>
      </c>
      <c r="DD72" s="17">
        <f>'Grid_Stock'!CV67</f>
        <v/>
      </c>
      <c r="DE72" s="17">
        <f>'Grid_Stock'!CW67</f>
        <v/>
      </c>
      <c r="DF72" s="17">
        <f>'Grid_Stock'!CX67</f>
        <v/>
      </c>
      <c r="DG72" s="17">
        <f>'Grid_Stock'!CY67</f>
        <v/>
      </c>
      <c r="DH72" s="17">
        <f>'Grid_Stock'!CZ67</f>
        <v/>
      </c>
      <c r="DI72" s="17">
        <f>'Grid_Stock'!DA67</f>
        <v/>
      </c>
    </row>
    <row r="73">
      <c r="A73" s="15" t="inlineStr">
        <is>
          <t>3TP</t>
        </is>
      </c>
      <c r="B73" s="15">
        <f>IFERROR(INDEX(M_RawMaterials[Description],MATCH($A73,M_RawMaterials[RM_Code],0)),"")</f>
        <v/>
      </c>
      <c r="C73" s="15">
        <f>IFERROR(INDEX(M_RawMaterials[Category],MATCH($A73,M_RawMaterials[RM_Code],0)),"")</f>
        <v/>
      </c>
      <c r="D73" s="15">
        <f>IFERROR(INDEX(M_RawMaterials[SafetyStock_Qty_要入力],MATCH($A73,M_RawMaterials[RM_Code],0)),0)</f>
        <v/>
      </c>
      <c r="E73" s="15">
        <f>IFERROR(LOOKUP(2,1/(T_SelfStock!$A$2:$A$12000=$A73),T_SelfStock!$D$2:$D$12000),"")</f>
        <v/>
      </c>
      <c r="F73" s="15">
        <f>IFERROR(LOOKUP(2,1/(T_TTAFStock!$A$2:$A$12000=$A73),T_TTAFStock!$D$2:$D$12000),"")</f>
        <v/>
      </c>
      <c r="G73" s="15">
        <f>IFERROR(INDEX(Cal_Weeks[Label],LOOKUP(2,1/(T_SelfStock!$A$2:$A$12000=$A73),T_SelfStock!$B$2:$B$12000)),"")</f>
        <v/>
      </c>
      <c r="H73" s="15">
        <f>IF(MIN(J73:DI73)&lt;D73,"要発注","OK")</f>
        <v/>
      </c>
      <c r="I73" s="16">
        <f>IFERROR(INDEX(J73:DI73,$F$1),"")</f>
        <v/>
      </c>
      <c r="J73" s="15">
        <f>'Grid_Stock'!B68</f>
        <v/>
      </c>
      <c r="K73" s="15">
        <f>'Grid_Stock'!C68</f>
        <v/>
      </c>
      <c r="L73" s="15">
        <f>'Grid_Stock'!D68</f>
        <v/>
      </c>
      <c r="M73" s="15">
        <f>'Grid_Stock'!E68</f>
        <v/>
      </c>
      <c r="N73" s="15">
        <f>'Grid_Stock'!F68</f>
        <v/>
      </c>
      <c r="O73" s="15">
        <f>'Grid_Stock'!G68</f>
        <v/>
      </c>
      <c r="P73" s="15">
        <f>'Grid_Stock'!H68</f>
        <v/>
      </c>
      <c r="Q73" s="15">
        <f>'Grid_Stock'!I68</f>
        <v/>
      </c>
      <c r="R73" s="15">
        <f>'Grid_Stock'!J68</f>
        <v/>
      </c>
      <c r="S73" s="15">
        <f>'Grid_Stock'!K68</f>
        <v/>
      </c>
      <c r="T73" s="15">
        <f>'Grid_Stock'!L68</f>
        <v/>
      </c>
      <c r="U73" s="15">
        <f>'Grid_Stock'!M68</f>
        <v/>
      </c>
      <c r="V73" s="15">
        <f>'Grid_Stock'!N68</f>
        <v/>
      </c>
      <c r="W73" s="15">
        <f>'Grid_Stock'!O68</f>
        <v/>
      </c>
      <c r="X73" s="15">
        <f>'Grid_Stock'!P68</f>
        <v/>
      </c>
      <c r="Y73" s="15">
        <f>'Grid_Stock'!Q68</f>
        <v/>
      </c>
      <c r="Z73" s="15">
        <f>'Grid_Stock'!R68</f>
        <v/>
      </c>
      <c r="AA73" s="15">
        <f>'Grid_Stock'!S68</f>
        <v/>
      </c>
      <c r="AB73" s="15">
        <f>'Grid_Stock'!T68</f>
        <v/>
      </c>
      <c r="AC73" s="15">
        <f>'Grid_Stock'!U68</f>
        <v/>
      </c>
      <c r="AD73" s="15">
        <f>'Grid_Stock'!V68</f>
        <v/>
      </c>
      <c r="AE73" s="15">
        <f>'Grid_Stock'!W68</f>
        <v/>
      </c>
      <c r="AF73" s="15">
        <f>'Grid_Stock'!X68</f>
        <v/>
      </c>
      <c r="AG73" s="15">
        <f>'Grid_Stock'!Y68</f>
        <v/>
      </c>
      <c r="AH73" s="15">
        <f>'Grid_Stock'!Z68</f>
        <v/>
      </c>
      <c r="AI73" s="15">
        <f>'Grid_Stock'!AA68</f>
        <v/>
      </c>
      <c r="AJ73" s="15">
        <f>'Grid_Stock'!AB68</f>
        <v/>
      </c>
      <c r="AK73" s="15">
        <f>'Grid_Stock'!AC68</f>
        <v/>
      </c>
      <c r="AL73" s="15">
        <f>'Grid_Stock'!AD68</f>
        <v/>
      </c>
      <c r="AM73" s="15">
        <f>'Grid_Stock'!AE68</f>
        <v/>
      </c>
      <c r="AN73" s="15">
        <f>'Grid_Stock'!AF68</f>
        <v/>
      </c>
      <c r="AO73" s="15">
        <f>'Grid_Stock'!AG68</f>
        <v/>
      </c>
      <c r="AP73" s="15">
        <f>'Grid_Stock'!AH68</f>
        <v/>
      </c>
      <c r="AQ73" s="15">
        <f>'Grid_Stock'!AI68</f>
        <v/>
      </c>
      <c r="AR73" s="15">
        <f>'Grid_Stock'!AJ68</f>
        <v/>
      </c>
      <c r="AS73" s="15">
        <f>'Grid_Stock'!AK68</f>
        <v/>
      </c>
      <c r="AT73" s="15">
        <f>'Grid_Stock'!AL68</f>
        <v/>
      </c>
      <c r="AU73" s="15">
        <f>'Grid_Stock'!AM68</f>
        <v/>
      </c>
      <c r="AV73" s="15">
        <f>'Grid_Stock'!AN68</f>
        <v/>
      </c>
      <c r="AW73" s="15">
        <f>'Grid_Stock'!AO68</f>
        <v/>
      </c>
      <c r="AX73" s="15">
        <f>'Grid_Stock'!AP68</f>
        <v/>
      </c>
      <c r="AY73" s="15">
        <f>'Grid_Stock'!AQ68</f>
        <v/>
      </c>
      <c r="AZ73" s="15">
        <f>'Grid_Stock'!AR68</f>
        <v/>
      </c>
      <c r="BA73" s="15">
        <f>'Grid_Stock'!AS68</f>
        <v/>
      </c>
      <c r="BB73" s="15">
        <f>'Grid_Stock'!AT68</f>
        <v/>
      </c>
      <c r="BC73" s="15">
        <f>'Grid_Stock'!AU68</f>
        <v/>
      </c>
      <c r="BD73" s="15">
        <f>'Grid_Stock'!AV68</f>
        <v/>
      </c>
      <c r="BE73" s="15">
        <f>'Grid_Stock'!AW68</f>
        <v/>
      </c>
      <c r="BF73" s="15">
        <f>'Grid_Stock'!AX68</f>
        <v/>
      </c>
      <c r="BG73" s="15">
        <f>'Grid_Stock'!AY68</f>
        <v/>
      </c>
      <c r="BH73" s="15">
        <f>'Grid_Stock'!AZ68</f>
        <v/>
      </c>
      <c r="BI73" s="15">
        <f>'Grid_Stock'!BA68</f>
        <v/>
      </c>
      <c r="BJ73" s="15">
        <f>'Grid_Stock'!BB68</f>
        <v/>
      </c>
      <c r="BK73" s="15">
        <f>'Grid_Stock'!BC68</f>
        <v/>
      </c>
      <c r="BL73" s="15">
        <f>'Grid_Stock'!BD68</f>
        <v/>
      </c>
      <c r="BM73" s="15">
        <f>'Grid_Stock'!BE68</f>
        <v/>
      </c>
      <c r="BN73" s="15">
        <f>'Grid_Stock'!BF68</f>
        <v/>
      </c>
      <c r="BO73" s="15">
        <f>'Grid_Stock'!BG68</f>
        <v/>
      </c>
      <c r="BP73" s="15">
        <f>'Grid_Stock'!BH68</f>
        <v/>
      </c>
      <c r="BQ73" s="15">
        <f>'Grid_Stock'!BI68</f>
        <v/>
      </c>
      <c r="BR73" s="15">
        <f>'Grid_Stock'!BJ68</f>
        <v/>
      </c>
      <c r="BS73" s="15">
        <f>'Grid_Stock'!BK68</f>
        <v/>
      </c>
      <c r="BT73" s="15">
        <f>'Grid_Stock'!BL68</f>
        <v/>
      </c>
      <c r="BU73" s="15">
        <f>'Grid_Stock'!BM68</f>
        <v/>
      </c>
      <c r="BV73" s="15">
        <f>'Grid_Stock'!BN68</f>
        <v/>
      </c>
      <c r="BW73" s="15">
        <f>'Grid_Stock'!BO68</f>
        <v/>
      </c>
      <c r="BX73" s="15">
        <f>'Grid_Stock'!BP68</f>
        <v/>
      </c>
      <c r="BY73" s="15">
        <f>'Grid_Stock'!BQ68</f>
        <v/>
      </c>
      <c r="BZ73" s="15">
        <f>'Grid_Stock'!BR68</f>
        <v/>
      </c>
      <c r="CA73" s="15">
        <f>'Grid_Stock'!BS68</f>
        <v/>
      </c>
      <c r="CB73" s="15">
        <f>'Grid_Stock'!BT68</f>
        <v/>
      </c>
      <c r="CC73" s="15">
        <f>'Grid_Stock'!BU68</f>
        <v/>
      </c>
      <c r="CD73" s="15">
        <f>'Grid_Stock'!BV68</f>
        <v/>
      </c>
      <c r="CE73" s="15">
        <f>'Grid_Stock'!BW68</f>
        <v/>
      </c>
      <c r="CF73" s="15">
        <f>'Grid_Stock'!BX68</f>
        <v/>
      </c>
      <c r="CG73" s="15">
        <f>'Grid_Stock'!BY68</f>
        <v/>
      </c>
      <c r="CH73" s="15">
        <f>'Grid_Stock'!BZ68</f>
        <v/>
      </c>
      <c r="CI73" s="15">
        <f>'Grid_Stock'!CA68</f>
        <v/>
      </c>
      <c r="CJ73" s="15">
        <f>'Grid_Stock'!CB68</f>
        <v/>
      </c>
      <c r="CK73" s="15">
        <f>'Grid_Stock'!CC68</f>
        <v/>
      </c>
      <c r="CL73" s="15">
        <f>'Grid_Stock'!CD68</f>
        <v/>
      </c>
      <c r="CM73" s="15">
        <f>'Grid_Stock'!CE68</f>
        <v/>
      </c>
      <c r="CN73" s="15">
        <f>'Grid_Stock'!CF68</f>
        <v/>
      </c>
      <c r="CO73" s="15">
        <f>'Grid_Stock'!CG68</f>
        <v/>
      </c>
      <c r="CP73" s="15">
        <f>'Grid_Stock'!CH68</f>
        <v/>
      </c>
      <c r="CQ73" s="15">
        <f>'Grid_Stock'!CI68</f>
        <v/>
      </c>
      <c r="CR73" s="15">
        <f>'Grid_Stock'!CJ68</f>
        <v/>
      </c>
      <c r="CS73" s="15">
        <f>'Grid_Stock'!CK68</f>
        <v/>
      </c>
      <c r="CT73" s="15">
        <f>'Grid_Stock'!CL68</f>
        <v/>
      </c>
      <c r="CU73" s="15">
        <f>'Grid_Stock'!CM68</f>
        <v/>
      </c>
      <c r="CV73" s="15">
        <f>'Grid_Stock'!CN68</f>
        <v/>
      </c>
      <c r="CW73" s="15">
        <f>'Grid_Stock'!CO68</f>
        <v/>
      </c>
      <c r="CX73" s="15">
        <f>'Grid_Stock'!CP68</f>
        <v/>
      </c>
      <c r="CY73" s="15">
        <f>'Grid_Stock'!CQ68</f>
        <v/>
      </c>
      <c r="CZ73" s="15">
        <f>'Grid_Stock'!CR68</f>
        <v/>
      </c>
      <c r="DA73" s="15">
        <f>'Grid_Stock'!CS68</f>
        <v/>
      </c>
      <c r="DB73" s="15">
        <f>'Grid_Stock'!CT68</f>
        <v/>
      </c>
      <c r="DC73" s="15">
        <f>'Grid_Stock'!CU68</f>
        <v/>
      </c>
      <c r="DD73" s="15">
        <f>'Grid_Stock'!CV68</f>
        <v/>
      </c>
      <c r="DE73" s="15">
        <f>'Grid_Stock'!CW68</f>
        <v/>
      </c>
      <c r="DF73" s="15">
        <f>'Grid_Stock'!CX68</f>
        <v/>
      </c>
      <c r="DG73" s="15">
        <f>'Grid_Stock'!CY68</f>
        <v/>
      </c>
      <c r="DH73" s="15">
        <f>'Grid_Stock'!CZ68</f>
        <v/>
      </c>
      <c r="DI73" s="15">
        <f>'Grid_Stock'!DA68</f>
        <v/>
      </c>
    </row>
    <row r="74">
      <c r="A74" s="17" t="inlineStr">
        <is>
          <t>CHEM-1740</t>
        </is>
      </c>
      <c r="B74" s="17">
        <f>IFERROR(INDEX(M_RawMaterials[Description],MATCH($A74,M_RawMaterials[RM_Code],0)),"")</f>
        <v/>
      </c>
      <c r="C74" s="17">
        <f>IFERROR(INDEX(M_RawMaterials[Category],MATCH($A74,M_RawMaterials[RM_Code],0)),"")</f>
        <v/>
      </c>
      <c r="D74" s="17">
        <f>IFERROR(INDEX(M_RawMaterials[SafetyStock_Qty_要入力],MATCH($A74,M_RawMaterials[RM_Code],0)),0)</f>
        <v/>
      </c>
      <c r="E74" s="17">
        <f>IFERROR(LOOKUP(2,1/(T_SelfStock!$A$2:$A$12000=$A74),T_SelfStock!$D$2:$D$12000),"")</f>
        <v/>
      </c>
      <c r="F74" s="17">
        <f>IFERROR(LOOKUP(2,1/(T_TTAFStock!$A$2:$A$12000=$A74),T_TTAFStock!$D$2:$D$12000),"")</f>
        <v/>
      </c>
      <c r="G74" s="17">
        <f>IFERROR(INDEX(Cal_Weeks[Label],LOOKUP(2,1/(T_SelfStock!$A$2:$A$12000=$A74),T_SelfStock!$B$2:$B$12000)),"")</f>
        <v/>
      </c>
      <c r="H74" s="17">
        <f>IF(MIN(J74:DI74)&lt;D74,"要発注","OK")</f>
        <v/>
      </c>
      <c r="I74" s="16">
        <f>IFERROR(INDEX(J74:DI74,$F$1),"")</f>
        <v/>
      </c>
      <c r="J74" s="17">
        <f>'Grid_Stock'!B69</f>
        <v/>
      </c>
      <c r="K74" s="17">
        <f>'Grid_Stock'!C69</f>
        <v/>
      </c>
      <c r="L74" s="17">
        <f>'Grid_Stock'!D69</f>
        <v/>
      </c>
      <c r="M74" s="17">
        <f>'Grid_Stock'!E69</f>
        <v/>
      </c>
      <c r="N74" s="17">
        <f>'Grid_Stock'!F69</f>
        <v/>
      </c>
      <c r="O74" s="17">
        <f>'Grid_Stock'!G69</f>
        <v/>
      </c>
      <c r="P74" s="17">
        <f>'Grid_Stock'!H69</f>
        <v/>
      </c>
      <c r="Q74" s="17">
        <f>'Grid_Stock'!I69</f>
        <v/>
      </c>
      <c r="R74" s="17">
        <f>'Grid_Stock'!J69</f>
        <v/>
      </c>
      <c r="S74" s="17">
        <f>'Grid_Stock'!K69</f>
        <v/>
      </c>
      <c r="T74" s="17">
        <f>'Grid_Stock'!L69</f>
        <v/>
      </c>
      <c r="U74" s="17">
        <f>'Grid_Stock'!M69</f>
        <v/>
      </c>
      <c r="V74" s="17">
        <f>'Grid_Stock'!N69</f>
        <v/>
      </c>
      <c r="W74" s="17">
        <f>'Grid_Stock'!O69</f>
        <v/>
      </c>
      <c r="X74" s="17">
        <f>'Grid_Stock'!P69</f>
        <v/>
      </c>
      <c r="Y74" s="17">
        <f>'Grid_Stock'!Q69</f>
        <v/>
      </c>
      <c r="Z74" s="17">
        <f>'Grid_Stock'!R69</f>
        <v/>
      </c>
      <c r="AA74" s="17">
        <f>'Grid_Stock'!S69</f>
        <v/>
      </c>
      <c r="AB74" s="17">
        <f>'Grid_Stock'!T69</f>
        <v/>
      </c>
      <c r="AC74" s="17">
        <f>'Grid_Stock'!U69</f>
        <v/>
      </c>
      <c r="AD74" s="17">
        <f>'Grid_Stock'!V69</f>
        <v/>
      </c>
      <c r="AE74" s="17">
        <f>'Grid_Stock'!W69</f>
        <v/>
      </c>
      <c r="AF74" s="17">
        <f>'Grid_Stock'!X69</f>
        <v/>
      </c>
      <c r="AG74" s="17">
        <f>'Grid_Stock'!Y69</f>
        <v/>
      </c>
      <c r="AH74" s="17">
        <f>'Grid_Stock'!Z69</f>
        <v/>
      </c>
      <c r="AI74" s="17">
        <f>'Grid_Stock'!AA69</f>
        <v/>
      </c>
      <c r="AJ74" s="17">
        <f>'Grid_Stock'!AB69</f>
        <v/>
      </c>
      <c r="AK74" s="17">
        <f>'Grid_Stock'!AC69</f>
        <v/>
      </c>
      <c r="AL74" s="17">
        <f>'Grid_Stock'!AD69</f>
        <v/>
      </c>
      <c r="AM74" s="17">
        <f>'Grid_Stock'!AE69</f>
        <v/>
      </c>
      <c r="AN74" s="17">
        <f>'Grid_Stock'!AF69</f>
        <v/>
      </c>
      <c r="AO74" s="17">
        <f>'Grid_Stock'!AG69</f>
        <v/>
      </c>
      <c r="AP74" s="17">
        <f>'Grid_Stock'!AH69</f>
        <v/>
      </c>
      <c r="AQ74" s="17">
        <f>'Grid_Stock'!AI69</f>
        <v/>
      </c>
      <c r="AR74" s="17">
        <f>'Grid_Stock'!AJ69</f>
        <v/>
      </c>
      <c r="AS74" s="17">
        <f>'Grid_Stock'!AK69</f>
        <v/>
      </c>
      <c r="AT74" s="17">
        <f>'Grid_Stock'!AL69</f>
        <v/>
      </c>
      <c r="AU74" s="17">
        <f>'Grid_Stock'!AM69</f>
        <v/>
      </c>
      <c r="AV74" s="17">
        <f>'Grid_Stock'!AN69</f>
        <v/>
      </c>
      <c r="AW74" s="17">
        <f>'Grid_Stock'!AO69</f>
        <v/>
      </c>
      <c r="AX74" s="17">
        <f>'Grid_Stock'!AP69</f>
        <v/>
      </c>
      <c r="AY74" s="17">
        <f>'Grid_Stock'!AQ69</f>
        <v/>
      </c>
      <c r="AZ74" s="17">
        <f>'Grid_Stock'!AR69</f>
        <v/>
      </c>
      <c r="BA74" s="17">
        <f>'Grid_Stock'!AS69</f>
        <v/>
      </c>
      <c r="BB74" s="17">
        <f>'Grid_Stock'!AT69</f>
        <v/>
      </c>
      <c r="BC74" s="17">
        <f>'Grid_Stock'!AU69</f>
        <v/>
      </c>
      <c r="BD74" s="17">
        <f>'Grid_Stock'!AV69</f>
        <v/>
      </c>
      <c r="BE74" s="17">
        <f>'Grid_Stock'!AW69</f>
        <v/>
      </c>
      <c r="BF74" s="17">
        <f>'Grid_Stock'!AX69</f>
        <v/>
      </c>
      <c r="BG74" s="17">
        <f>'Grid_Stock'!AY69</f>
        <v/>
      </c>
      <c r="BH74" s="17">
        <f>'Grid_Stock'!AZ69</f>
        <v/>
      </c>
      <c r="BI74" s="17">
        <f>'Grid_Stock'!BA69</f>
        <v/>
      </c>
      <c r="BJ74" s="17">
        <f>'Grid_Stock'!BB69</f>
        <v/>
      </c>
      <c r="BK74" s="17">
        <f>'Grid_Stock'!BC69</f>
        <v/>
      </c>
      <c r="BL74" s="17">
        <f>'Grid_Stock'!BD69</f>
        <v/>
      </c>
      <c r="BM74" s="17">
        <f>'Grid_Stock'!BE69</f>
        <v/>
      </c>
      <c r="BN74" s="17">
        <f>'Grid_Stock'!BF69</f>
        <v/>
      </c>
      <c r="BO74" s="17">
        <f>'Grid_Stock'!BG69</f>
        <v/>
      </c>
      <c r="BP74" s="17">
        <f>'Grid_Stock'!BH69</f>
        <v/>
      </c>
      <c r="BQ74" s="17">
        <f>'Grid_Stock'!BI69</f>
        <v/>
      </c>
      <c r="BR74" s="17">
        <f>'Grid_Stock'!BJ69</f>
        <v/>
      </c>
      <c r="BS74" s="17">
        <f>'Grid_Stock'!BK69</f>
        <v/>
      </c>
      <c r="BT74" s="17">
        <f>'Grid_Stock'!BL69</f>
        <v/>
      </c>
      <c r="BU74" s="17">
        <f>'Grid_Stock'!BM69</f>
        <v/>
      </c>
      <c r="BV74" s="17">
        <f>'Grid_Stock'!BN69</f>
        <v/>
      </c>
      <c r="BW74" s="17">
        <f>'Grid_Stock'!BO69</f>
        <v/>
      </c>
      <c r="BX74" s="17">
        <f>'Grid_Stock'!BP69</f>
        <v/>
      </c>
      <c r="BY74" s="17">
        <f>'Grid_Stock'!BQ69</f>
        <v/>
      </c>
      <c r="BZ74" s="17">
        <f>'Grid_Stock'!BR69</f>
        <v/>
      </c>
      <c r="CA74" s="17">
        <f>'Grid_Stock'!BS69</f>
        <v/>
      </c>
      <c r="CB74" s="17">
        <f>'Grid_Stock'!BT69</f>
        <v/>
      </c>
      <c r="CC74" s="17">
        <f>'Grid_Stock'!BU69</f>
        <v/>
      </c>
      <c r="CD74" s="17">
        <f>'Grid_Stock'!BV69</f>
        <v/>
      </c>
      <c r="CE74" s="17">
        <f>'Grid_Stock'!BW69</f>
        <v/>
      </c>
      <c r="CF74" s="17">
        <f>'Grid_Stock'!BX69</f>
        <v/>
      </c>
      <c r="CG74" s="17">
        <f>'Grid_Stock'!BY69</f>
        <v/>
      </c>
      <c r="CH74" s="17">
        <f>'Grid_Stock'!BZ69</f>
        <v/>
      </c>
      <c r="CI74" s="17">
        <f>'Grid_Stock'!CA69</f>
        <v/>
      </c>
      <c r="CJ74" s="17">
        <f>'Grid_Stock'!CB69</f>
        <v/>
      </c>
      <c r="CK74" s="17">
        <f>'Grid_Stock'!CC69</f>
        <v/>
      </c>
      <c r="CL74" s="17">
        <f>'Grid_Stock'!CD69</f>
        <v/>
      </c>
      <c r="CM74" s="17">
        <f>'Grid_Stock'!CE69</f>
        <v/>
      </c>
      <c r="CN74" s="17">
        <f>'Grid_Stock'!CF69</f>
        <v/>
      </c>
      <c r="CO74" s="17">
        <f>'Grid_Stock'!CG69</f>
        <v/>
      </c>
      <c r="CP74" s="17">
        <f>'Grid_Stock'!CH69</f>
        <v/>
      </c>
      <c r="CQ74" s="17">
        <f>'Grid_Stock'!CI69</f>
        <v/>
      </c>
      <c r="CR74" s="17">
        <f>'Grid_Stock'!CJ69</f>
        <v/>
      </c>
      <c r="CS74" s="17">
        <f>'Grid_Stock'!CK69</f>
        <v/>
      </c>
      <c r="CT74" s="17">
        <f>'Grid_Stock'!CL69</f>
        <v/>
      </c>
      <c r="CU74" s="17">
        <f>'Grid_Stock'!CM69</f>
        <v/>
      </c>
      <c r="CV74" s="17">
        <f>'Grid_Stock'!CN69</f>
        <v/>
      </c>
      <c r="CW74" s="17">
        <f>'Grid_Stock'!CO69</f>
        <v/>
      </c>
      <c r="CX74" s="17">
        <f>'Grid_Stock'!CP69</f>
        <v/>
      </c>
      <c r="CY74" s="17">
        <f>'Grid_Stock'!CQ69</f>
        <v/>
      </c>
      <c r="CZ74" s="17">
        <f>'Grid_Stock'!CR69</f>
        <v/>
      </c>
      <c r="DA74" s="17">
        <f>'Grid_Stock'!CS69</f>
        <v/>
      </c>
      <c r="DB74" s="17">
        <f>'Grid_Stock'!CT69</f>
        <v/>
      </c>
      <c r="DC74" s="17">
        <f>'Grid_Stock'!CU69</f>
        <v/>
      </c>
      <c r="DD74" s="17">
        <f>'Grid_Stock'!CV69</f>
        <v/>
      </c>
      <c r="DE74" s="17">
        <f>'Grid_Stock'!CW69</f>
        <v/>
      </c>
      <c r="DF74" s="17">
        <f>'Grid_Stock'!CX69</f>
        <v/>
      </c>
      <c r="DG74" s="17">
        <f>'Grid_Stock'!CY69</f>
        <v/>
      </c>
      <c r="DH74" s="17">
        <f>'Grid_Stock'!CZ69</f>
        <v/>
      </c>
      <c r="DI74" s="17">
        <f>'Grid_Stock'!DA69</f>
        <v/>
      </c>
    </row>
    <row r="75">
      <c r="A75" s="15" t="inlineStr">
        <is>
          <t>CHEM-1750</t>
        </is>
      </c>
      <c r="B75" s="15">
        <f>IFERROR(INDEX(M_RawMaterials[Description],MATCH($A75,M_RawMaterials[RM_Code],0)),"")</f>
        <v/>
      </c>
      <c r="C75" s="15">
        <f>IFERROR(INDEX(M_RawMaterials[Category],MATCH($A75,M_RawMaterials[RM_Code],0)),"")</f>
        <v/>
      </c>
      <c r="D75" s="15">
        <f>IFERROR(INDEX(M_RawMaterials[SafetyStock_Qty_要入力],MATCH($A75,M_RawMaterials[RM_Code],0)),0)</f>
        <v/>
      </c>
      <c r="E75" s="15">
        <f>IFERROR(LOOKUP(2,1/(T_SelfStock!$A$2:$A$12000=$A75),T_SelfStock!$D$2:$D$12000),"")</f>
        <v/>
      </c>
      <c r="F75" s="15">
        <f>IFERROR(LOOKUP(2,1/(T_TTAFStock!$A$2:$A$12000=$A75),T_TTAFStock!$D$2:$D$12000),"")</f>
        <v/>
      </c>
      <c r="G75" s="15">
        <f>IFERROR(INDEX(Cal_Weeks[Label],LOOKUP(2,1/(T_SelfStock!$A$2:$A$12000=$A75),T_SelfStock!$B$2:$B$12000)),"")</f>
        <v/>
      </c>
      <c r="H75" s="15">
        <f>IF(MIN(J75:DI75)&lt;D75,"要発注","OK")</f>
        <v/>
      </c>
      <c r="I75" s="16">
        <f>IFERROR(INDEX(J75:DI75,$F$1),"")</f>
        <v/>
      </c>
      <c r="J75" s="15">
        <f>'Grid_Stock'!B70</f>
        <v/>
      </c>
      <c r="K75" s="15">
        <f>'Grid_Stock'!C70</f>
        <v/>
      </c>
      <c r="L75" s="15">
        <f>'Grid_Stock'!D70</f>
        <v/>
      </c>
      <c r="M75" s="15">
        <f>'Grid_Stock'!E70</f>
        <v/>
      </c>
      <c r="N75" s="15">
        <f>'Grid_Stock'!F70</f>
        <v/>
      </c>
      <c r="O75" s="15">
        <f>'Grid_Stock'!G70</f>
        <v/>
      </c>
      <c r="P75" s="15">
        <f>'Grid_Stock'!H70</f>
        <v/>
      </c>
      <c r="Q75" s="15">
        <f>'Grid_Stock'!I70</f>
        <v/>
      </c>
      <c r="R75" s="15">
        <f>'Grid_Stock'!J70</f>
        <v/>
      </c>
      <c r="S75" s="15">
        <f>'Grid_Stock'!K70</f>
        <v/>
      </c>
      <c r="T75" s="15">
        <f>'Grid_Stock'!L70</f>
        <v/>
      </c>
      <c r="U75" s="15">
        <f>'Grid_Stock'!M70</f>
        <v/>
      </c>
      <c r="V75" s="15">
        <f>'Grid_Stock'!N70</f>
        <v/>
      </c>
      <c r="W75" s="15">
        <f>'Grid_Stock'!O70</f>
        <v/>
      </c>
      <c r="X75" s="15">
        <f>'Grid_Stock'!P70</f>
        <v/>
      </c>
      <c r="Y75" s="15">
        <f>'Grid_Stock'!Q70</f>
        <v/>
      </c>
      <c r="Z75" s="15">
        <f>'Grid_Stock'!R70</f>
        <v/>
      </c>
      <c r="AA75" s="15">
        <f>'Grid_Stock'!S70</f>
        <v/>
      </c>
      <c r="AB75" s="15">
        <f>'Grid_Stock'!T70</f>
        <v/>
      </c>
      <c r="AC75" s="15">
        <f>'Grid_Stock'!U70</f>
        <v/>
      </c>
      <c r="AD75" s="15">
        <f>'Grid_Stock'!V70</f>
        <v/>
      </c>
      <c r="AE75" s="15">
        <f>'Grid_Stock'!W70</f>
        <v/>
      </c>
      <c r="AF75" s="15">
        <f>'Grid_Stock'!X70</f>
        <v/>
      </c>
      <c r="AG75" s="15">
        <f>'Grid_Stock'!Y70</f>
        <v/>
      </c>
      <c r="AH75" s="15">
        <f>'Grid_Stock'!Z70</f>
        <v/>
      </c>
      <c r="AI75" s="15">
        <f>'Grid_Stock'!AA70</f>
        <v/>
      </c>
      <c r="AJ75" s="15">
        <f>'Grid_Stock'!AB70</f>
        <v/>
      </c>
      <c r="AK75" s="15">
        <f>'Grid_Stock'!AC70</f>
        <v/>
      </c>
      <c r="AL75" s="15">
        <f>'Grid_Stock'!AD70</f>
        <v/>
      </c>
      <c r="AM75" s="15">
        <f>'Grid_Stock'!AE70</f>
        <v/>
      </c>
      <c r="AN75" s="15">
        <f>'Grid_Stock'!AF70</f>
        <v/>
      </c>
      <c r="AO75" s="15">
        <f>'Grid_Stock'!AG70</f>
        <v/>
      </c>
      <c r="AP75" s="15">
        <f>'Grid_Stock'!AH70</f>
        <v/>
      </c>
      <c r="AQ75" s="15">
        <f>'Grid_Stock'!AI70</f>
        <v/>
      </c>
      <c r="AR75" s="15">
        <f>'Grid_Stock'!AJ70</f>
        <v/>
      </c>
      <c r="AS75" s="15">
        <f>'Grid_Stock'!AK70</f>
        <v/>
      </c>
      <c r="AT75" s="15">
        <f>'Grid_Stock'!AL70</f>
        <v/>
      </c>
      <c r="AU75" s="15">
        <f>'Grid_Stock'!AM70</f>
        <v/>
      </c>
      <c r="AV75" s="15">
        <f>'Grid_Stock'!AN70</f>
        <v/>
      </c>
      <c r="AW75" s="15">
        <f>'Grid_Stock'!AO70</f>
        <v/>
      </c>
      <c r="AX75" s="15">
        <f>'Grid_Stock'!AP70</f>
        <v/>
      </c>
      <c r="AY75" s="15">
        <f>'Grid_Stock'!AQ70</f>
        <v/>
      </c>
      <c r="AZ75" s="15">
        <f>'Grid_Stock'!AR70</f>
        <v/>
      </c>
      <c r="BA75" s="15">
        <f>'Grid_Stock'!AS70</f>
        <v/>
      </c>
      <c r="BB75" s="15">
        <f>'Grid_Stock'!AT70</f>
        <v/>
      </c>
      <c r="BC75" s="15">
        <f>'Grid_Stock'!AU70</f>
        <v/>
      </c>
      <c r="BD75" s="15">
        <f>'Grid_Stock'!AV70</f>
        <v/>
      </c>
      <c r="BE75" s="15">
        <f>'Grid_Stock'!AW70</f>
        <v/>
      </c>
      <c r="BF75" s="15">
        <f>'Grid_Stock'!AX70</f>
        <v/>
      </c>
      <c r="BG75" s="15">
        <f>'Grid_Stock'!AY70</f>
        <v/>
      </c>
      <c r="BH75" s="15">
        <f>'Grid_Stock'!AZ70</f>
        <v/>
      </c>
      <c r="BI75" s="15">
        <f>'Grid_Stock'!BA70</f>
        <v/>
      </c>
      <c r="BJ75" s="15">
        <f>'Grid_Stock'!BB70</f>
        <v/>
      </c>
      <c r="BK75" s="15">
        <f>'Grid_Stock'!BC70</f>
        <v/>
      </c>
      <c r="BL75" s="15">
        <f>'Grid_Stock'!BD70</f>
        <v/>
      </c>
      <c r="BM75" s="15">
        <f>'Grid_Stock'!BE70</f>
        <v/>
      </c>
      <c r="BN75" s="15">
        <f>'Grid_Stock'!BF70</f>
        <v/>
      </c>
      <c r="BO75" s="15">
        <f>'Grid_Stock'!BG70</f>
        <v/>
      </c>
      <c r="BP75" s="15">
        <f>'Grid_Stock'!BH70</f>
        <v/>
      </c>
      <c r="BQ75" s="15">
        <f>'Grid_Stock'!BI70</f>
        <v/>
      </c>
      <c r="BR75" s="15">
        <f>'Grid_Stock'!BJ70</f>
        <v/>
      </c>
      <c r="BS75" s="15">
        <f>'Grid_Stock'!BK70</f>
        <v/>
      </c>
      <c r="BT75" s="15">
        <f>'Grid_Stock'!BL70</f>
        <v/>
      </c>
      <c r="BU75" s="15">
        <f>'Grid_Stock'!BM70</f>
        <v/>
      </c>
      <c r="BV75" s="15">
        <f>'Grid_Stock'!BN70</f>
        <v/>
      </c>
      <c r="BW75" s="15">
        <f>'Grid_Stock'!BO70</f>
        <v/>
      </c>
      <c r="BX75" s="15">
        <f>'Grid_Stock'!BP70</f>
        <v/>
      </c>
      <c r="BY75" s="15">
        <f>'Grid_Stock'!BQ70</f>
        <v/>
      </c>
      <c r="BZ75" s="15">
        <f>'Grid_Stock'!BR70</f>
        <v/>
      </c>
      <c r="CA75" s="15">
        <f>'Grid_Stock'!BS70</f>
        <v/>
      </c>
      <c r="CB75" s="15">
        <f>'Grid_Stock'!BT70</f>
        <v/>
      </c>
      <c r="CC75" s="15">
        <f>'Grid_Stock'!BU70</f>
        <v/>
      </c>
      <c r="CD75" s="15">
        <f>'Grid_Stock'!BV70</f>
        <v/>
      </c>
      <c r="CE75" s="15">
        <f>'Grid_Stock'!BW70</f>
        <v/>
      </c>
      <c r="CF75" s="15">
        <f>'Grid_Stock'!BX70</f>
        <v/>
      </c>
      <c r="CG75" s="15">
        <f>'Grid_Stock'!BY70</f>
        <v/>
      </c>
      <c r="CH75" s="15">
        <f>'Grid_Stock'!BZ70</f>
        <v/>
      </c>
      <c r="CI75" s="15">
        <f>'Grid_Stock'!CA70</f>
        <v/>
      </c>
      <c r="CJ75" s="15">
        <f>'Grid_Stock'!CB70</f>
        <v/>
      </c>
      <c r="CK75" s="15">
        <f>'Grid_Stock'!CC70</f>
        <v/>
      </c>
      <c r="CL75" s="15">
        <f>'Grid_Stock'!CD70</f>
        <v/>
      </c>
      <c r="CM75" s="15">
        <f>'Grid_Stock'!CE70</f>
        <v/>
      </c>
      <c r="CN75" s="15">
        <f>'Grid_Stock'!CF70</f>
        <v/>
      </c>
      <c r="CO75" s="15">
        <f>'Grid_Stock'!CG70</f>
        <v/>
      </c>
      <c r="CP75" s="15">
        <f>'Grid_Stock'!CH70</f>
        <v/>
      </c>
      <c r="CQ75" s="15">
        <f>'Grid_Stock'!CI70</f>
        <v/>
      </c>
      <c r="CR75" s="15">
        <f>'Grid_Stock'!CJ70</f>
        <v/>
      </c>
      <c r="CS75" s="15">
        <f>'Grid_Stock'!CK70</f>
        <v/>
      </c>
      <c r="CT75" s="15">
        <f>'Grid_Stock'!CL70</f>
        <v/>
      </c>
      <c r="CU75" s="15">
        <f>'Grid_Stock'!CM70</f>
        <v/>
      </c>
      <c r="CV75" s="15">
        <f>'Grid_Stock'!CN70</f>
        <v/>
      </c>
      <c r="CW75" s="15">
        <f>'Grid_Stock'!CO70</f>
        <v/>
      </c>
      <c r="CX75" s="15">
        <f>'Grid_Stock'!CP70</f>
        <v/>
      </c>
      <c r="CY75" s="15">
        <f>'Grid_Stock'!CQ70</f>
        <v/>
      </c>
      <c r="CZ75" s="15">
        <f>'Grid_Stock'!CR70</f>
        <v/>
      </c>
      <c r="DA75" s="15">
        <f>'Grid_Stock'!CS70</f>
        <v/>
      </c>
      <c r="DB75" s="15">
        <f>'Grid_Stock'!CT70</f>
        <v/>
      </c>
      <c r="DC75" s="15">
        <f>'Grid_Stock'!CU70</f>
        <v/>
      </c>
      <c r="DD75" s="15">
        <f>'Grid_Stock'!CV70</f>
        <v/>
      </c>
      <c r="DE75" s="15">
        <f>'Grid_Stock'!CW70</f>
        <v/>
      </c>
      <c r="DF75" s="15">
        <f>'Grid_Stock'!CX70</f>
        <v/>
      </c>
      <c r="DG75" s="15">
        <f>'Grid_Stock'!CY70</f>
        <v/>
      </c>
      <c r="DH75" s="15">
        <f>'Grid_Stock'!CZ70</f>
        <v/>
      </c>
      <c r="DI75" s="15">
        <f>'Grid_Stock'!DA70</f>
        <v/>
      </c>
    </row>
    <row r="76">
      <c r="A76" s="17" t="inlineStr">
        <is>
          <t>848530</t>
        </is>
      </c>
      <c r="B76" s="17">
        <f>IFERROR(INDEX(M_RawMaterials[Description],MATCH($A76,M_RawMaterials[RM_Code],0)),"")</f>
        <v/>
      </c>
      <c r="C76" s="17">
        <f>IFERROR(INDEX(M_RawMaterials[Category],MATCH($A76,M_RawMaterials[RM_Code],0)),"")</f>
        <v/>
      </c>
      <c r="D76" s="17">
        <f>IFERROR(INDEX(M_RawMaterials[SafetyStock_Qty_要入力],MATCH($A76,M_RawMaterials[RM_Code],0)),0)</f>
        <v/>
      </c>
      <c r="E76" s="17">
        <f>IFERROR(LOOKUP(2,1/(T_SelfStock!$A$2:$A$12000=$A76),T_SelfStock!$D$2:$D$12000),"")</f>
        <v/>
      </c>
      <c r="F76" s="17">
        <f>IFERROR(LOOKUP(2,1/(T_TTAFStock!$A$2:$A$12000=$A76),T_TTAFStock!$D$2:$D$12000),"")</f>
        <v/>
      </c>
      <c r="G76" s="17">
        <f>IFERROR(INDEX(Cal_Weeks[Label],LOOKUP(2,1/(T_SelfStock!$A$2:$A$12000=$A76),T_SelfStock!$B$2:$B$12000)),"")</f>
        <v/>
      </c>
      <c r="H76" s="17">
        <f>IF(MIN(J76:DI76)&lt;D76,"要発注","OK")</f>
        <v/>
      </c>
      <c r="I76" s="16">
        <f>IFERROR(INDEX(J76:DI76,$F$1),"")</f>
        <v/>
      </c>
      <c r="J76" s="17">
        <f>'Grid_Stock'!B71</f>
        <v/>
      </c>
      <c r="K76" s="17">
        <f>'Grid_Stock'!C71</f>
        <v/>
      </c>
      <c r="L76" s="17">
        <f>'Grid_Stock'!D71</f>
        <v/>
      </c>
      <c r="M76" s="17">
        <f>'Grid_Stock'!E71</f>
        <v/>
      </c>
      <c r="N76" s="17">
        <f>'Grid_Stock'!F71</f>
        <v/>
      </c>
      <c r="O76" s="17">
        <f>'Grid_Stock'!G71</f>
        <v/>
      </c>
      <c r="P76" s="17">
        <f>'Grid_Stock'!H71</f>
        <v/>
      </c>
      <c r="Q76" s="17">
        <f>'Grid_Stock'!I71</f>
        <v/>
      </c>
      <c r="R76" s="17">
        <f>'Grid_Stock'!J71</f>
        <v/>
      </c>
      <c r="S76" s="17">
        <f>'Grid_Stock'!K71</f>
        <v/>
      </c>
      <c r="T76" s="17">
        <f>'Grid_Stock'!L71</f>
        <v/>
      </c>
      <c r="U76" s="17">
        <f>'Grid_Stock'!M71</f>
        <v/>
      </c>
      <c r="V76" s="17">
        <f>'Grid_Stock'!N71</f>
        <v/>
      </c>
      <c r="W76" s="17">
        <f>'Grid_Stock'!O71</f>
        <v/>
      </c>
      <c r="X76" s="17">
        <f>'Grid_Stock'!P71</f>
        <v/>
      </c>
      <c r="Y76" s="17">
        <f>'Grid_Stock'!Q71</f>
        <v/>
      </c>
      <c r="Z76" s="17">
        <f>'Grid_Stock'!R71</f>
        <v/>
      </c>
      <c r="AA76" s="17">
        <f>'Grid_Stock'!S71</f>
        <v/>
      </c>
      <c r="AB76" s="17">
        <f>'Grid_Stock'!T71</f>
        <v/>
      </c>
      <c r="AC76" s="17">
        <f>'Grid_Stock'!U71</f>
        <v/>
      </c>
      <c r="AD76" s="17">
        <f>'Grid_Stock'!V71</f>
        <v/>
      </c>
      <c r="AE76" s="17">
        <f>'Grid_Stock'!W71</f>
        <v/>
      </c>
      <c r="AF76" s="17">
        <f>'Grid_Stock'!X71</f>
        <v/>
      </c>
      <c r="AG76" s="17">
        <f>'Grid_Stock'!Y71</f>
        <v/>
      </c>
      <c r="AH76" s="17">
        <f>'Grid_Stock'!Z71</f>
        <v/>
      </c>
      <c r="AI76" s="17">
        <f>'Grid_Stock'!AA71</f>
        <v/>
      </c>
      <c r="AJ76" s="17">
        <f>'Grid_Stock'!AB71</f>
        <v/>
      </c>
      <c r="AK76" s="17">
        <f>'Grid_Stock'!AC71</f>
        <v/>
      </c>
      <c r="AL76" s="17">
        <f>'Grid_Stock'!AD71</f>
        <v/>
      </c>
      <c r="AM76" s="17">
        <f>'Grid_Stock'!AE71</f>
        <v/>
      </c>
      <c r="AN76" s="17">
        <f>'Grid_Stock'!AF71</f>
        <v/>
      </c>
      <c r="AO76" s="17">
        <f>'Grid_Stock'!AG71</f>
        <v/>
      </c>
      <c r="AP76" s="17">
        <f>'Grid_Stock'!AH71</f>
        <v/>
      </c>
      <c r="AQ76" s="17">
        <f>'Grid_Stock'!AI71</f>
        <v/>
      </c>
      <c r="AR76" s="17">
        <f>'Grid_Stock'!AJ71</f>
        <v/>
      </c>
      <c r="AS76" s="17">
        <f>'Grid_Stock'!AK71</f>
        <v/>
      </c>
      <c r="AT76" s="17">
        <f>'Grid_Stock'!AL71</f>
        <v/>
      </c>
      <c r="AU76" s="17">
        <f>'Grid_Stock'!AM71</f>
        <v/>
      </c>
      <c r="AV76" s="17">
        <f>'Grid_Stock'!AN71</f>
        <v/>
      </c>
      <c r="AW76" s="17">
        <f>'Grid_Stock'!AO71</f>
        <v/>
      </c>
      <c r="AX76" s="17">
        <f>'Grid_Stock'!AP71</f>
        <v/>
      </c>
      <c r="AY76" s="17">
        <f>'Grid_Stock'!AQ71</f>
        <v/>
      </c>
      <c r="AZ76" s="17">
        <f>'Grid_Stock'!AR71</f>
        <v/>
      </c>
      <c r="BA76" s="17">
        <f>'Grid_Stock'!AS71</f>
        <v/>
      </c>
      <c r="BB76" s="17">
        <f>'Grid_Stock'!AT71</f>
        <v/>
      </c>
      <c r="BC76" s="17">
        <f>'Grid_Stock'!AU71</f>
        <v/>
      </c>
      <c r="BD76" s="17">
        <f>'Grid_Stock'!AV71</f>
        <v/>
      </c>
      <c r="BE76" s="17">
        <f>'Grid_Stock'!AW71</f>
        <v/>
      </c>
      <c r="BF76" s="17">
        <f>'Grid_Stock'!AX71</f>
        <v/>
      </c>
      <c r="BG76" s="17">
        <f>'Grid_Stock'!AY71</f>
        <v/>
      </c>
      <c r="BH76" s="17">
        <f>'Grid_Stock'!AZ71</f>
        <v/>
      </c>
      <c r="BI76" s="17">
        <f>'Grid_Stock'!BA71</f>
        <v/>
      </c>
      <c r="BJ76" s="17">
        <f>'Grid_Stock'!BB71</f>
        <v/>
      </c>
      <c r="BK76" s="17">
        <f>'Grid_Stock'!BC71</f>
        <v/>
      </c>
      <c r="BL76" s="17">
        <f>'Grid_Stock'!BD71</f>
        <v/>
      </c>
      <c r="BM76" s="17">
        <f>'Grid_Stock'!BE71</f>
        <v/>
      </c>
      <c r="BN76" s="17">
        <f>'Grid_Stock'!BF71</f>
        <v/>
      </c>
      <c r="BO76" s="17">
        <f>'Grid_Stock'!BG71</f>
        <v/>
      </c>
      <c r="BP76" s="17">
        <f>'Grid_Stock'!BH71</f>
        <v/>
      </c>
      <c r="BQ76" s="17">
        <f>'Grid_Stock'!BI71</f>
        <v/>
      </c>
      <c r="BR76" s="17">
        <f>'Grid_Stock'!BJ71</f>
        <v/>
      </c>
      <c r="BS76" s="17">
        <f>'Grid_Stock'!BK71</f>
        <v/>
      </c>
      <c r="BT76" s="17">
        <f>'Grid_Stock'!BL71</f>
        <v/>
      </c>
      <c r="BU76" s="17">
        <f>'Grid_Stock'!BM71</f>
        <v/>
      </c>
      <c r="BV76" s="17">
        <f>'Grid_Stock'!BN71</f>
        <v/>
      </c>
      <c r="BW76" s="17">
        <f>'Grid_Stock'!BO71</f>
        <v/>
      </c>
      <c r="BX76" s="17">
        <f>'Grid_Stock'!BP71</f>
        <v/>
      </c>
      <c r="BY76" s="17">
        <f>'Grid_Stock'!BQ71</f>
        <v/>
      </c>
      <c r="BZ76" s="17">
        <f>'Grid_Stock'!BR71</f>
        <v/>
      </c>
      <c r="CA76" s="17">
        <f>'Grid_Stock'!BS71</f>
        <v/>
      </c>
      <c r="CB76" s="17">
        <f>'Grid_Stock'!BT71</f>
        <v/>
      </c>
      <c r="CC76" s="17">
        <f>'Grid_Stock'!BU71</f>
        <v/>
      </c>
      <c r="CD76" s="17">
        <f>'Grid_Stock'!BV71</f>
        <v/>
      </c>
      <c r="CE76" s="17">
        <f>'Grid_Stock'!BW71</f>
        <v/>
      </c>
      <c r="CF76" s="17">
        <f>'Grid_Stock'!BX71</f>
        <v/>
      </c>
      <c r="CG76" s="17">
        <f>'Grid_Stock'!BY71</f>
        <v/>
      </c>
      <c r="CH76" s="17">
        <f>'Grid_Stock'!BZ71</f>
        <v/>
      </c>
      <c r="CI76" s="17">
        <f>'Grid_Stock'!CA71</f>
        <v/>
      </c>
      <c r="CJ76" s="17">
        <f>'Grid_Stock'!CB71</f>
        <v/>
      </c>
      <c r="CK76" s="17">
        <f>'Grid_Stock'!CC71</f>
        <v/>
      </c>
      <c r="CL76" s="17">
        <f>'Grid_Stock'!CD71</f>
        <v/>
      </c>
      <c r="CM76" s="17">
        <f>'Grid_Stock'!CE71</f>
        <v/>
      </c>
      <c r="CN76" s="17">
        <f>'Grid_Stock'!CF71</f>
        <v/>
      </c>
      <c r="CO76" s="17">
        <f>'Grid_Stock'!CG71</f>
        <v/>
      </c>
      <c r="CP76" s="17">
        <f>'Grid_Stock'!CH71</f>
        <v/>
      </c>
      <c r="CQ76" s="17">
        <f>'Grid_Stock'!CI71</f>
        <v/>
      </c>
      <c r="CR76" s="17">
        <f>'Grid_Stock'!CJ71</f>
        <v/>
      </c>
      <c r="CS76" s="17">
        <f>'Grid_Stock'!CK71</f>
        <v/>
      </c>
      <c r="CT76" s="17">
        <f>'Grid_Stock'!CL71</f>
        <v/>
      </c>
      <c r="CU76" s="17">
        <f>'Grid_Stock'!CM71</f>
        <v/>
      </c>
      <c r="CV76" s="17">
        <f>'Grid_Stock'!CN71</f>
        <v/>
      </c>
      <c r="CW76" s="17">
        <f>'Grid_Stock'!CO71</f>
        <v/>
      </c>
      <c r="CX76" s="17">
        <f>'Grid_Stock'!CP71</f>
        <v/>
      </c>
      <c r="CY76" s="17">
        <f>'Grid_Stock'!CQ71</f>
        <v/>
      </c>
      <c r="CZ76" s="17">
        <f>'Grid_Stock'!CR71</f>
        <v/>
      </c>
      <c r="DA76" s="17">
        <f>'Grid_Stock'!CS71</f>
        <v/>
      </c>
      <c r="DB76" s="17">
        <f>'Grid_Stock'!CT71</f>
        <v/>
      </c>
      <c r="DC76" s="17">
        <f>'Grid_Stock'!CU71</f>
        <v/>
      </c>
      <c r="DD76" s="17">
        <f>'Grid_Stock'!CV71</f>
        <v/>
      </c>
      <c r="DE76" s="17">
        <f>'Grid_Stock'!CW71</f>
        <v/>
      </c>
      <c r="DF76" s="17">
        <f>'Grid_Stock'!CX71</f>
        <v/>
      </c>
      <c r="DG76" s="17">
        <f>'Grid_Stock'!CY71</f>
        <v/>
      </c>
      <c r="DH76" s="17">
        <f>'Grid_Stock'!CZ71</f>
        <v/>
      </c>
      <c r="DI76" s="17">
        <f>'Grid_Stock'!DA71</f>
        <v/>
      </c>
    </row>
    <row r="77">
      <c r="A77" s="15" t="inlineStr">
        <is>
          <t>848531</t>
        </is>
      </c>
      <c r="B77" s="15">
        <f>IFERROR(INDEX(M_RawMaterials[Description],MATCH($A77,M_RawMaterials[RM_Code],0)),"")</f>
        <v/>
      </c>
      <c r="C77" s="15">
        <f>IFERROR(INDEX(M_RawMaterials[Category],MATCH($A77,M_RawMaterials[RM_Code],0)),"")</f>
        <v/>
      </c>
      <c r="D77" s="15">
        <f>IFERROR(INDEX(M_RawMaterials[SafetyStock_Qty_要入力],MATCH($A77,M_RawMaterials[RM_Code],0)),0)</f>
        <v/>
      </c>
      <c r="E77" s="15">
        <f>IFERROR(LOOKUP(2,1/(T_SelfStock!$A$2:$A$12000=$A77),T_SelfStock!$D$2:$D$12000),"")</f>
        <v/>
      </c>
      <c r="F77" s="15">
        <f>IFERROR(LOOKUP(2,1/(T_TTAFStock!$A$2:$A$12000=$A77),T_TTAFStock!$D$2:$D$12000),"")</f>
        <v/>
      </c>
      <c r="G77" s="15">
        <f>IFERROR(INDEX(Cal_Weeks[Label],LOOKUP(2,1/(T_SelfStock!$A$2:$A$12000=$A77),T_SelfStock!$B$2:$B$12000)),"")</f>
        <v/>
      </c>
      <c r="H77" s="15">
        <f>IF(MIN(J77:DI77)&lt;D77,"要発注","OK")</f>
        <v/>
      </c>
      <c r="I77" s="16">
        <f>IFERROR(INDEX(J77:DI77,$F$1),"")</f>
        <v/>
      </c>
      <c r="J77" s="15">
        <f>'Grid_Stock'!B72</f>
        <v/>
      </c>
      <c r="K77" s="15">
        <f>'Grid_Stock'!C72</f>
        <v/>
      </c>
      <c r="L77" s="15">
        <f>'Grid_Stock'!D72</f>
        <v/>
      </c>
      <c r="M77" s="15">
        <f>'Grid_Stock'!E72</f>
        <v/>
      </c>
      <c r="N77" s="15">
        <f>'Grid_Stock'!F72</f>
        <v/>
      </c>
      <c r="O77" s="15">
        <f>'Grid_Stock'!G72</f>
        <v/>
      </c>
      <c r="P77" s="15">
        <f>'Grid_Stock'!H72</f>
        <v/>
      </c>
      <c r="Q77" s="15">
        <f>'Grid_Stock'!I72</f>
        <v/>
      </c>
      <c r="R77" s="15">
        <f>'Grid_Stock'!J72</f>
        <v/>
      </c>
      <c r="S77" s="15">
        <f>'Grid_Stock'!K72</f>
        <v/>
      </c>
      <c r="T77" s="15">
        <f>'Grid_Stock'!L72</f>
        <v/>
      </c>
      <c r="U77" s="15">
        <f>'Grid_Stock'!M72</f>
        <v/>
      </c>
      <c r="V77" s="15">
        <f>'Grid_Stock'!N72</f>
        <v/>
      </c>
      <c r="W77" s="15">
        <f>'Grid_Stock'!O72</f>
        <v/>
      </c>
      <c r="X77" s="15">
        <f>'Grid_Stock'!P72</f>
        <v/>
      </c>
      <c r="Y77" s="15">
        <f>'Grid_Stock'!Q72</f>
        <v/>
      </c>
      <c r="Z77" s="15">
        <f>'Grid_Stock'!R72</f>
        <v/>
      </c>
      <c r="AA77" s="15">
        <f>'Grid_Stock'!S72</f>
        <v/>
      </c>
      <c r="AB77" s="15">
        <f>'Grid_Stock'!T72</f>
        <v/>
      </c>
      <c r="AC77" s="15">
        <f>'Grid_Stock'!U72</f>
        <v/>
      </c>
      <c r="AD77" s="15">
        <f>'Grid_Stock'!V72</f>
        <v/>
      </c>
      <c r="AE77" s="15">
        <f>'Grid_Stock'!W72</f>
        <v/>
      </c>
      <c r="AF77" s="15">
        <f>'Grid_Stock'!X72</f>
        <v/>
      </c>
      <c r="AG77" s="15">
        <f>'Grid_Stock'!Y72</f>
        <v/>
      </c>
      <c r="AH77" s="15">
        <f>'Grid_Stock'!Z72</f>
        <v/>
      </c>
      <c r="AI77" s="15">
        <f>'Grid_Stock'!AA72</f>
        <v/>
      </c>
      <c r="AJ77" s="15">
        <f>'Grid_Stock'!AB72</f>
        <v/>
      </c>
      <c r="AK77" s="15">
        <f>'Grid_Stock'!AC72</f>
        <v/>
      </c>
      <c r="AL77" s="15">
        <f>'Grid_Stock'!AD72</f>
        <v/>
      </c>
      <c r="AM77" s="15">
        <f>'Grid_Stock'!AE72</f>
        <v/>
      </c>
      <c r="AN77" s="15">
        <f>'Grid_Stock'!AF72</f>
        <v/>
      </c>
      <c r="AO77" s="15">
        <f>'Grid_Stock'!AG72</f>
        <v/>
      </c>
      <c r="AP77" s="15">
        <f>'Grid_Stock'!AH72</f>
        <v/>
      </c>
      <c r="AQ77" s="15">
        <f>'Grid_Stock'!AI72</f>
        <v/>
      </c>
      <c r="AR77" s="15">
        <f>'Grid_Stock'!AJ72</f>
        <v/>
      </c>
      <c r="AS77" s="15">
        <f>'Grid_Stock'!AK72</f>
        <v/>
      </c>
      <c r="AT77" s="15">
        <f>'Grid_Stock'!AL72</f>
        <v/>
      </c>
      <c r="AU77" s="15">
        <f>'Grid_Stock'!AM72</f>
        <v/>
      </c>
      <c r="AV77" s="15">
        <f>'Grid_Stock'!AN72</f>
        <v/>
      </c>
      <c r="AW77" s="15">
        <f>'Grid_Stock'!AO72</f>
        <v/>
      </c>
      <c r="AX77" s="15">
        <f>'Grid_Stock'!AP72</f>
        <v/>
      </c>
      <c r="AY77" s="15">
        <f>'Grid_Stock'!AQ72</f>
        <v/>
      </c>
      <c r="AZ77" s="15">
        <f>'Grid_Stock'!AR72</f>
        <v/>
      </c>
      <c r="BA77" s="15">
        <f>'Grid_Stock'!AS72</f>
        <v/>
      </c>
      <c r="BB77" s="15">
        <f>'Grid_Stock'!AT72</f>
        <v/>
      </c>
      <c r="BC77" s="15">
        <f>'Grid_Stock'!AU72</f>
        <v/>
      </c>
      <c r="BD77" s="15">
        <f>'Grid_Stock'!AV72</f>
        <v/>
      </c>
      <c r="BE77" s="15">
        <f>'Grid_Stock'!AW72</f>
        <v/>
      </c>
      <c r="BF77" s="15">
        <f>'Grid_Stock'!AX72</f>
        <v/>
      </c>
      <c r="BG77" s="15">
        <f>'Grid_Stock'!AY72</f>
        <v/>
      </c>
      <c r="BH77" s="15">
        <f>'Grid_Stock'!AZ72</f>
        <v/>
      </c>
      <c r="BI77" s="15">
        <f>'Grid_Stock'!BA72</f>
        <v/>
      </c>
      <c r="BJ77" s="15">
        <f>'Grid_Stock'!BB72</f>
        <v/>
      </c>
      <c r="BK77" s="15">
        <f>'Grid_Stock'!BC72</f>
        <v/>
      </c>
      <c r="BL77" s="15">
        <f>'Grid_Stock'!BD72</f>
        <v/>
      </c>
      <c r="BM77" s="15">
        <f>'Grid_Stock'!BE72</f>
        <v/>
      </c>
      <c r="BN77" s="15">
        <f>'Grid_Stock'!BF72</f>
        <v/>
      </c>
      <c r="BO77" s="15">
        <f>'Grid_Stock'!BG72</f>
        <v/>
      </c>
      <c r="BP77" s="15">
        <f>'Grid_Stock'!BH72</f>
        <v/>
      </c>
      <c r="BQ77" s="15">
        <f>'Grid_Stock'!BI72</f>
        <v/>
      </c>
      <c r="BR77" s="15">
        <f>'Grid_Stock'!BJ72</f>
        <v/>
      </c>
      <c r="BS77" s="15">
        <f>'Grid_Stock'!BK72</f>
        <v/>
      </c>
      <c r="BT77" s="15">
        <f>'Grid_Stock'!BL72</f>
        <v/>
      </c>
      <c r="BU77" s="15">
        <f>'Grid_Stock'!BM72</f>
        <v/>
      </c>
      <c r="BV77" s="15">
        <f>'Grid_Stock'!BN72</f>
        <v/>
      </c>
      <c r="BW77" s="15">
        <f>'Grid_Stock'!BO72</f>
        <v/>
      </c>
      <c r="BX77" s="15">
        <f>'Grid_Stock'!BP72</f>
        <v/>
      </c>
      <c r="BY77" s="15">
        <f>'Grid_Stock'!BQ72</f>
        <v/>
      </c>
      <c r="BZ77" s="15">
        <f>'Grid_Stock'!BR72</f>
        <v/>
      </c>
      <c r="CA77" s="15">
        <f>'Grid_Stock'!BS72</f>
        <v/>
      </c>
      <c r="CB77" s="15">
        <f>'Grid_Stock'!BT72</f>
        <v/>
      </c>
      <c r="CC77" s="15">
        <f>'Grid_Stock'!BU72</f>
        <v/>
      </c>
      <c r="CD77" s="15">
        <f>'Grid_Stock'!BV72</f>
        <v/>
      </c>
      <c r="CE77" s="15">
        <f>'Grid_Stock'!BW72</f>
        <v/>
      </c>
      <c r="CF77" s="15">
        <f>'Grid_Stock'!BX72</f>
        <v/>
      </c>
      <c r="CG77" s="15">
        <f>'Grid_Stock'!BY72</f>
        <v/>
      </c>
      <c r="CH77" s="15">
        <f>'Grid_Stock'!BZ72</f>
        <v/>
      </c>
      <c r="CI77" s="15">
        <f>'Grid_Stock'!CA72</f>
        <v/>
      </c>
      <c r="CJ77" s="15">
        <f>'Grid_Stock'!CB72</f>
        <v/>
      </c>
      <c r="CK77" s="15">
        <f>'Grid_Stock'!CC72</f>
        <v/>
      </c>
      <c r="CL77" s="15">
        <f>'Grid_Stock'!CD72</f>
        <v/>
      </c>
      <c r="CM77" s="15">
        <f>'Grid_Stock'!CE72</f>
        <v/>
      </c>
      <c r="CN77" s="15">
        <f>'Grid_Stock'!CF72</f>
        <v/>
      </c>
      <c r="CO77" s="15">
        <f>'Grid_Stock'!CG72</f>
        <v/>
      </c>
      <c r="CP77" s="15">
        <f>'Grid_Stock'!CH72</f>
        <v/>
      </c>
      <c r="CQ77" s="15">
        <f>'Grid_Stock'!CI72</f>
        <v/>
      </c>
      <c r="CR77" s="15">
        <f>'Grid_Stock'!CJ72</f>
        <v/>
      </c>
      <c r="CS77" s="15">
        <f>'Grid_Stock'!CK72</f>
        <v/>
      </c>
      <c r="CT77" s="15">
        <f>'Grid_Stock'!CL72</f>
        <v/>
      </c>
      <c r="CU77" s="15">
        <f>'Grid_Stock'!CM72</f>
        <v/>
      </c>
      <c r="CV77" s="15">
        <f>'Grid_Stock'!CN72</f>
        <v/>
      </c>
      <c r="CW77" s="15">
        <f>'Grid_Stock'!CO72</f>
        <v/>
      </c>
      <c r="CX77" s="15">
        <f>'Grid_Stock'!CP72</f>
        <v/>
      </c>
      <c r="CY77" s="15">
        <f>'Grid_Stock'!CQ72</f>
        <v/>
      </c>
      <c r="CZ77" s="15">
        <f>'Grid_Stock'!CR72</f>
        <v/>
      </c>
      <c r="DA77" s="15">
        <f>'Grid_Stock'!CS72</f>
        <v/>
      </c>
      <c r="DB77" s="15">
        <f>'Grid_Stock'!CT72</f>
        <v/>
      </c>
      <c r="DC77" s="15">
        <f>'Grid_Stock'!CU72</f>
        <v/>
      </c>
      <c r="DD77" s="15">
        <f>'Grid_Stock'!CV72</f>
        <v/>
      </c>
      <c r="DE77" s="15">
        <f>'Grid_Stock'!CW72</f>
        <v/>
      </c>
      <c r="DF77" s="15">
        <f>'Grid_Stock'!CX72</f>
        <v/>
      </c>
      <c r="DG77" s="15">
        <f>'Grid_Stock'!CY72</f>
        <v/>
      </c>
      <c r="DH77" s="15">
        <f>'Grid_Stock'!CZ72</f>
        <v/>
      </c>
      <c r="DI77" s="15">
        <f>'Grid_Stock'!DA72</f>
        <v/>
      </c>
    </row>
    <row r="78">
      <c r="A78" s="17" t="inlineStr">
        <is>
          <t>846227</t>
        </is>
      </c>
      <c r="B78" s="17">
        <f>IFERROR(INDEX(M_RawMaterials[Description],MATCH($A78,M_RawMaterials[RM_Code],0)),"")</f>
        <v/>
      </c>
      <c r="C78" s="17">
        <f>IFERROR(INDEX(M_RawMaterials[Category],MATCH($A78,M_RawMaterials[RM_Code],0)),"")</f>
        <v/>
      </c>
      <c r="D78" s="17">
        <f>IFERROR(INDEX(M_RawMaterials[SafetyStock_Qty_要入力],MATCH($A78,M_RawMaterials[RM_Code],0)),0)</f>
        <v/>
      </c>
      <c r="E78" s="17">
        <f>IFERROR(LOOKUP(2,1/(T_SelfStock!$A$2:$A$12000=$A78),T_SelfStock!$D$2:$D$12000),"")</f>
        <v/>
      </c>
      <c r="F78" s="17">
        <f>IFERROR(LOOKUP(2,1/(T_TTAFStock!$A$2:$A$12000=$A78),T_TTAFStock!$D$2:$D$12000),"")</f>
        <v/>
      </c>
      <c r="G78" s="17">
        <f>IFERROR(INDEX(Cal_Weeks[Label],LOOKUP(2,1/(T_SelfStock!$A$2:$A$12000=$A78),T_SelfStock!$B$2:$B$12000)),"")</f>
        <v/>
      </c>
      <c r="H78" s="17">
        <f>IF(MIN(J78:DI78)&lt;D78,"要発注","OK")</f>
        <v/>
      </c>
      <c r="I78" s="16">
        <f>IFERROR(INDEX(J78:DI78,$F$1),"")</f>
        <v/>
      </c>
      <c r="J78" s="17">
        <f>'Grid_Stock'!B73</f>
        <v/>
      </c>
      <c r="K78" s="17">
        <f>'Grid_Stock'!C73</f>
        <v/>
      </c>
      <c r="L78" s="17">
        <f>'Grid_Stock'!D73</f>
        <v/>
      </c>
      <c r="M78" s="17">
        <f>'Grid_Stock'!E73</f>
        <v/>
      </c>
      <c r="N78" s="17">
        <f>'Grid_Stock'!F73</f>
        <v/>
      </c>
      <c r="O78" s="17">
        <f>'Grid_Stock'!G73</f>
        <v/>
      </c>
      <c r="P78" s="17">
        <f>'Grid_Stock'!H73</f>
        <v/>
      </c>
      <c r="Q78" s="17">
        <f>'Grid_Stock'!I73</f>
        <v/>
      </c>
      <c r="R78" s="17">
        <f>'Grid_Stock'!J73</f>
        <v/>
      </c>
      <c r="S78" s="17">
        <f>'Grid_Stock'!K73</f>
        <v/>
      </c>
      <c r="T78" s="17">
        <f>'Grid_Stock'!L73</f>
        <v/>
      </c>
      <c r="U78" s="17">
        <f>'Grid_Stock'!M73</f>
        <v/>
      </c>
      <c r="V78" s="17">
        <f>'Grid_Stock'!N73</f>
        <v/>
      </c>
      <c r="W78" s="17">
        <f>'Grid_Stock'!O73</f>
        <v/>
      </c>
      <c r="X78" s="17">
        <f>'Grid_Stock'!P73</f>
        <v/>
      </c>
      <c r="Y78" s="17">
        <f>'Grid_Stock'!Q73</f>
        <v/>
      </c>
      <c r="Z78" s="17">
        <f>'Grid_Stock'!R73</f>
        <v/>
      </c>
      <c r="AA78" s="17">
        <f>'Grid_Stock'!S73</f>
        <v/>
      </c>
      <c r="AB78" s="17">
        <f>'Grid_Stock'!T73</f>
        <v/>
      </c>
      <c r="AC78" s="17">
        <f>'Grid_Stock'!U73</f>
        <v/>
      </c>
      <c r="AD78" s="17">
        <f>'Grid_Stock'!V73</f>
        <v/>
      </c>
      <c r="AE78" s="17">
        <f>'Grid_Stock'!W73</f>
        <v/>
      </c>
      <c r="AF78" s="17">
        <f>'Grid_Stock'!X73</f>
        <v/>
      </c>
      <c r="AG78" s="17">
        <f>'Grid_Stock'!Y73</f>
        <v/>
      </c>
      <c r="AH78" s="17">
        <f>'Grid_Stock'!Z73</f>
        <v/>
      </c>
      <c r="AI78" s="17">
        <f>'Grid_Stock'!AA73</f>
        <v/>
      </c>
      <c r="AJ78" s="17">
        <f>'Grid_Stock'!AB73</f>
        <v/>
      </c>
      <c r="AK78" s="17">
        <f>'Grid_Stock'!AC73</f>
        <v/>
      </c>
      <c r="AL78" s="17">
        <f>'Grid_Stock'!AD73</f>
        <v/>
      </c>
      <c r="AM78" s="17">
        <f>'Grid_Stock'!AE73</f>
        <v/>
      </c>
      <c r="AN78" s="17">
        <f>'Grid_Stock'!AF73</f>
        <v/>
      </c>
      <c r="AO78" s="17">
        <f>'Grid_Stock'!AG73</f>
        <v/>
      </c>
      <c r="AP78" s="17">
        <f>'Grid_Stock'!AH73</f>
        <v/>
      </c>
      <c r="AQ78" s="17">
        <f>'Grid_Stock'!AI73</f>
        <v/>
      </c>
      <c r="AR78" s="17">
        <f>'Grid_Stock'!AJ73</f>
        <v/>
      </c>
      <c r="AS78" s="17">
        <f>'Grid_Stock'!AK73</f>
        <v/>
      </c>
      <c r="AT78" s="17">
        <f>'Grid_Stock'!AL73</f>
        <v/>
      </c>
      <c r="AU78" s="17">
        <f>'Grid_Stock'!AM73</f>
        <v/>
      </c>
      <c r="AV78" s="17">
        <f>'Grid_Stock'!AN73</f>
        <v/>
      </c>
      <c r="AW78" s="17">
        <f>'Grid_Stock'!AO73</f>
        <v/>
      </c>
      <c r="AX78" s="17">
        <f>'Grid_Stock'!AP73</f>
        <v/>
      </c>
      <c r="AY78" s="17">
        <f>'Grid_Stock'!AQ73</f>
        <v/>
      </c>
      <c r="AZ78" s="17">
        <f>'Grid_Stock'!AR73</f>
        <v/>
      </c>
      <c r="BA78" s="17">
        <f>'Grid_Stock'!AS73</f>
        <v/>
      </c>
      <c r="BB78" s="17">
        <f>'Grid_Stock'!AT73</f>
        <v/>
      </c>
      <c r="BC78" s="17">
        <f>'Grid_Stock'!AU73</f>
        <v/>
      </c>
      <c r="BD78" s="17">
        <f>'Grid_Stock'!AV73</f>
        <v/>
      </c>
      <c r="BE78" s="17">
        <f>'Grid_Stock'!AW73</f>
        <v/>
      </c>
      <c r="BF78" s="17">
        <f>'Grid_Stock'!AX73</f>
        <v/>
      </c>
      <c r="BG78" s="17">
        <f>'Grid_Stock'!AY73</f>
        <v/>
      </c>
      <c r="BH78" s="17">
        <f>'Grid_Stock'!AZ73</f>
        <v/>
      </c>
      <c r="BI78" s="17">
        <f>'Grid_Stock'!BA73</f>
        <v/>
      </c>
      <c r="BJ78" s="17">
        <f>'Grid_Stock'!BB73</f>
        <v/>
      </c>
      <c r="BK78" s="17">
        <f>'Grid_Stock'!BC73</f>
        <v/>
      </c>
      <c r="BL78" s="17">
        <f>'Grid_Stock'!BD73</f>
        <v/>
      </c>
      <c r="BM78" s="17">
        <f>'Grid_Stock'!BE73</f>
        <v/>
      </c>
      <c r="BN78" s="17">
        <f>'Grid_Stock'!BF73</f>
        <v/>
      </c>
      <c r="BO78" s="17">
        <f>'Grid_Stock'!BG73</f>
        <v/>
      </c>
      <c r="BP78" s="17">
        <f>'Grid_Stock'!BH73</f>
        <v/>
      </c>
      <c r="BQ78" s="17">
        <f>'Grid_Stock'!BI73</f>
        <v/>
      </c>
      <c r="BR78" s="17">
        <f>'Grid_Stock'!BJ73</f>
        <v/>
      </c>
      <c r="BS78" s="17">
        <f>'Grid_Stock'!BK73</f>
        <v/>
      </c>
      <c r="BT78" s="17">
        <f>'Grid_Stock'!BL73</f>
        <v/>
      </c>
      <c r="BU78" s="17">
        <f>'Grid_Stock'!BM73</f>
        <v/>
      </c>
      <c r="BV78" s="17">
        <f>'Grid_Stock'!BN73</f>
        <v/>
      </c>
      <c r="BW78" s="17">
        <f>'Grid_Stock'!BO73</f>
        <v/>
      </c>
      <c r="BX78" s="17">
        <f>'Grid_Stock'!BP73</f>
        <v/>
      </c>
      <c r="BY78" s="17">
        <f>'Grid_Stock'!BQ73</f>
        <v/>
      </c>
      <c r="BZ78" s="17">
        <f>'Grid_Stock'!BR73</f>
        <v/>
      </c>
      <c r="CA78" s="17">
        <f>'Grid_Stock'!BS73</f>
        <v/>
      </c>
      <c r="CB78" s="17">
        <f>'Grid_Stock'!BT73</f>
        <v/>
      </c>
      <c r="CC78" s="17">
        <f>'Grid_Stock'!BU73</f>
        <v/>
      </c>
      <c r="CD78" s="17">
        <f>'Grid_Stock'!BV73</f>
        <v/>
      </c>
      <c r="CE78" s="17">
        <f>'Grid_Stock'!BW73</f>
        <v/>
      </c>
      <c r="CF78" s="17">
        <f>'Grid_Stock'!BX73</f>
        <v/>
      </c>
      <c r="CG78" s="17">
        <f>'Grid_Stock'!BY73</f>
        <v/>
      </c>
      <c r="CH78" s="17">
        <f>'Grid_Stock'!BZ73</f>
        <v/>
      </c>
      <c r="CI78" s="17">
        <f>'Grid_Stock'!CA73</f>
        <v/>
      </c>
      <c r="CJ78" s="17">
        <f>'Grid_Stock'!CB73</f>
        <v/>
      </c>
      <c r="CK78" s="17">
        <f>'Grid_Stock'!CC73</f>
        <v/>
      </c>
      <c r="CL78" s="17">
        <f>'Grid_Stock'!CD73</f>
        <v/>
      </c>
      <c r="CM78" s="17">
        <f>'Grid_Stock'!CE73</f>
        <v/>
      </c>
      <c r="CN78" s="17">
        <f>'Grid_Stock'!CF73</f>
        <v/>
      </c>
      <c r="CO78" s="17">
        <f>'Grid_Stock'!CG73</f>
        <v/>
      </c>
      <c r="CP78" s="17">
        <f>'Grid_Stock'!CH73</f>
        <v/>
      </c>
      <c r="CQ78" s="17">
        <f>'Grid_Stock'!CI73</f>
        <v/>
      </c>
      <c r="CR78" s="17">
        <f>'Grid_Stock'!CJ73</f>
        <v/>
      </c>
      <c r="CS78" s="17">
        <f>'Grid_Stock'!CK73</f>
        <v/>
      </c>
      <c r="CT78" s="17">
        <f>'Grid_Stock'!CL73</f>
        <v/>
      </c>
      <c r="CU78" s="17">
        <f>'Grid_Stock'!CM73</f>
        <v/>
      </c>
      <c r="CV78" s="17">
        <f>'Grid_Stock'!CN73</f>
        <v/>
      </c>
      <c r="CW78" s="17">
        <f>'Grid_Stock'!CO73</f>
        <v/>
      </c>
      <c r="CX78" s="17">
        <f>'Grid_Stock'!CP73</f>
        <v/>
      </c>
      <c r="CY78" s="17">
        <f>'Grid_Stock'!CQ73</f>
        <v/>
      </c>
      <c r="CZ78" s="17">
        <f>'Grid_Stock'!CR73</f>
        <v/>
      </c>
      <c r="DA78" s="17">
        <f>'Grid_Stock'!CS73</f>
        <v/>
      </c>
      <c r="DB78" s="17">
        <f>'Grid_Stock'!CT73</f>
        <v/>
      </c>
      <c r="DC78" s="17">
        <f>'Grid_Stock'!CU73</f>
        <v/>
      </c>
      <c r="DD78" s="17">
        <f>'Grid_Stock'!CV73</f>
        <v/>
      </c>
      <c r="DE78" s="17">
        <f>'Grid_Stock'!CW73</f>
        <v/>
      </c>
      <c r="DF78" s="17">
        <f>'Grid_Stock'!CX73</f>
        <v/>
      </c>
      <c r="DG78" s="17">
        <f>'Grid_Stock'!CY73</f>
        <v/>
      </c>
      <c r="DH78" s="17">
        <f>'Grid_Stock'!CZ73</f>
        <v/>
      </c>
      <c r="DI78" s="17">
        <f>'Grid_Stock'!DA73</f>
        <v/>
      </c>
    </row>
    <row r="79">
      <c r="A79" s="15" t="inlineStr">
        <is>
          <t>OLJ</t>
        </is>
      </c>
      <c r="B79" s="15">
        <f>IFERROR(INDEX(M_RawMaterials[Description],MATCH($A79,M_RawMaterials[RM_Code],0)),"")</f>
        <v/>
      </c>
      <c r="C79" s="15">
        <f>IFERROR(INDEX(M_RawMaterials[Category],MATCH($A79,M_RawMaterials[RM_Code],0)),"")</f>
        <v/>
      </c>
      <c r="D79" s="15">
        <f>IFERROR(INDEX(M_RawMaterials[SafetyStock_Qty_要入力],MATCH($A79,M_RawMaterials[RM_Code],0)),0)</f>
        <v/>
      </c>
      <c r="E79" s="15">
        <f>IFERROR(LOOKUP(2,1/(T_SelfStock!$A$2:$A$12000=$A79),T_SelfStock!$D$2:$D$12000),"")</f>
        <v/>
      </c>
      <c r="F79" s="15">
        <f>IFERROR(LOOKUP(2,1/(T_TTAFStock!$A$2:$A$12000=$A79),T_TTAFStock!$D$2:$D$12000),"")</f>
        <v/>
      </c>
      <c r="G79" s="15">
        <f>IFERROR(INDEX(Cal_Weeks[Label],LOOKUP(2,1/(T_SelfStock!$A$2:$A$12000=$A79),T_SelfStock!$B$2:$B$12000)),"")</f>
        <v/>
      </c>
      <c r="H79" s="15">
        <f>IF(MIN(J79:DI79)&lt;D79,"要発注","OK")</f>
        <v/>
      </c>
      <c r="I79" s="16">
        <f>IFERROR(INDEX(J79:DI79,$F$1),"")</f>
        <v/>
      </c>
      <c r="J79" s="15">
        <f>'Grid_Stock'!B74</f>
        <v/>
      </c>
      <c r="K79" s="15">
        <f>'Grid_Stock'!C74</f>
        <v/>
      </c>
      <c r="L79" s="15">
        <f>'Grid_Stock'!D74</f>
        <v/>
      </c>
      <c r="M79" s="15">
        <f>'Grid_Stock'!E74</f>
        <v/>
      </c>
      <c r="N79" s="15">
        <f>'Grid_Stock'!F74</f>
        <v/>
      </c>
      <c r="O79" s="15">
        <f>'Grid_Stock'!G74</f>
        <v/>
      </c>
      <c r="P79" s="15">
        <f>'Grid_Stock'!H74</f>
        <v/>
      </c>
      <c r="Q79" s="15">
        <f>'Grid_Stock'!I74</f>
        <v/>
      </c>
      <c r="R79" s="15">
        <f>'Grid_Stock'!J74</f>
        <v/>
      </c>
      <c r="S79" s="15">
        <f>'Grid_Stock'!K74</f>
        <v/>
      </c>
      <c r="T79" s="15">
        <f>'Grid_Stock'!L74</f>
        <v/>
      </c>
      <c r="U79" s="15">
        <f>'Grid_Stock'!M74</f>
        <v/>
      </c>
      <c r="V79" s="15">
        <f>'Grid_Stock'!N74</f>
        <v/>
      </c>
      <c r="W79" s="15">
        <f>'Grid_Stock'!O74</f>
        <v/>
      </c>
      <c r="X79" s="15">
        <f>'Grid_Stock'!P74</f>
        <v/>
      </c>
      <c r="Y79" s="15">
        <f>'Grid_Stock'!Q74</f>
        <v/>
      </c>
      <c r="Z79" s="15">
        <f>'Grid_Stock'!R74</f>
        <v/>
      </c>
      <c r="AA79" s="15">
        <f>'Grid_Stock'!S74</f>
        <v/>
      </c>
      <c r="AB79" s="15">
        <f>'Grid_Stock'!T74</f>
        <v/>
      </c>
      <c r="AC79" s="15">
        <f>'Grid_Stock'!U74</f>
        <v/>
      </c>
      <c r="AD79" s="15">
        <f>'Grid_Stock'!V74</f>
        <v/>
      </c>
      <c r="AE79" s="15">
        <f>'Grid_Stock'!W74</f>
        <v/>
      </c>
      <c r="AF79" s="15">
        <f>'Grid_Stock'!X74</f>
        <v/>
      </c>
      <c r="AG79" s="15">
        <f>'Grid_Stock'!Y74</f>
        <v/>
      </c>
      <c r="AH79" s="15">
        <f>'Grid_Stock'!Z74</f>
        <v/>
      </c>
      <c r="AI79" s="15">
        <f>'Grid_Stock'!AA74</f>
        <v/>
      </c>
      <c r="AJ79" s="15">
        <f>'Grid_Stock'!AB74</f>
        <v/>
      </c>
      <c r="AK79" s="15">
        <f>'Grid_Stock'!AC74</f>
        <v/>
      </c>
      <c r="AL79" s="15">
        <f>'Grid_Stock'!AD74</f>
        <v/>
      </c>
      <c r="AM79" s="15">
        <f>'Grid_Stock'!AE74</f>
        <v/>
      </c>
      <c r="AN79" s="15">
        <f>'Grid_Stock'!AF74</f>
        <v/>
      </c>
      <c r="AO79" s="15">
        <f>'Grid_Stock'!AG74</f>
        <v/>
      </c>
      <c r="AP79" s="15">
        <f>'Grid_Stock'!AH74</f>
        <v/>
      </c>
      <c r="AQ79" s="15">
        <f>'Grid_Stock'!AI74</f>
        <v/>
      </c>
      <c r="AR79" s="15">
        <f>'Grid_Stock'!AJ74</f>
        <v/>
      </c>
      <c r="AS79" s="15">
        <f>'Grid_Stock'!AK74</f>
        <v/>
      </c>
      <c r="AT79" s="15">
        <f>'Grid_Stock'!AL74</f>
        <v/>
      </c>
      <c r="AU79" s="15">
        <f>'Grid_Stock'!AM74</f>
        <v/>
      </c>
      <c r="AV79" s="15">
        <f>'Grid_Stock'!AN74</f>
        <v/>
      </c>
      <c r="AW79" s="15">
        <f>'Grid_Stock'!AO74</f>
        <v/>
      </c>
      <c r="AX79" s="15">
        <f>'Grid_Stock'!AP74</f>
        <v/>
      </c>
      <c r="AY79" s="15">
        <f>'Grid_Stock'!AQ74</f>
        <v/>
      </c>
      <c r="AZ79" s="15">
        <f>'Grid_Stock'!AR74</f>
        <v/>
      </c>
      <c r="BA79" s="15">
        <f>'Grid_Stock'!AS74</f>
        <v/>
      </c>
      <c r="BB79" s="15">
        <f>'Grid_Stock'!AT74</f>
        <v/>
      </c>
      <c r="BC79" s="15">
        <f>'Grid_Stock'!AU74</f>
        <v/>
      </c>
      <c r="BD79" s="15">
        <f>'Grid_Stock'!AV74</f>
        <v/>
      </c>
      <c r="BE79" s="15">
        <f>'Grid_Stock'!AW74</f>
        <v/>
      </c>
      <c r="BF79" s="15">
        <f>'Grid_Stock'!AX74</f>
        <v/>
      </c>
      <c r="BG79" s="15">
        <f>'Grid_Stock'!AY74</f>
        <v/>
      </c>
      <c r="BH79" s="15">
        <f>'Grid_Stock'!AZ74</f>
        <v/>
      </c>
      <c r="BI79" s="15">
        <f>'Grid_Stock'!BA74</f>
        <v/>
      </c>
      <c r="BJ79" s="15">
        <f>'Grid_Stock'!BB74</f>
        <v/>
      </c>
      <c r="BK79" s="15">
        <f>'Grid_Stock'!BC74</f>
        <v/>
      </c>
      <c r="BL79" s="15">
        <f>'Grid_Stock'!BD74</f>
        <v/>
      </c>
      <c r="BM79" s="15">
        <f>'Grid_Stock'!BE74</f>
        <v/>
      </c>
      <c r="BN79" s="15">
        <f>'Grid_Stock'!BF74</f>
        <v/>
      </c>
      <c r="BO79" s="15">
        <f>'Grid_Stock'!BG74</f>
        <v/>
      </c>
      <c r="BP79" s="15">
        <f>'Grid_Stock'!BH74</f>
        <v/>
      </c>
      <c r="BQ79" s="15">
        <f>'Grid_Stock'!BI74</f>
        <v/>
      </c>
      <c r="BR79" s="15">
        <f>'Grid_Stock'!BJ74</f>
        <v/>
      </c>
      <c r="BS79" s="15">
        <f>'Grid_Stock'!BK74</f>
        <v/>
      </c>
      <c r="BT79" s="15">
        <f>'Grid_Stock'!BL74</f>
        <v/>
      </c>
      <c r="BU79" s="15">
        <f>'Grid_Stock'!BM74</f>
        <v/>
      </c>
      <c r="BV79" s="15">
        <f>'Grid_Stock'!BN74</f>
        <v/>
      </c>
      <c r="BW79" s="15">
        <f>'Grid_Stock'!BO74</f>
        <v/>
      </c>
      <c r="BX79" s="15">
        <f>'Grid_Stock'!BP74</f>
        <v/>
      </c>
      <c r="BY79" s="15">
        <f>'Grid_Stock'!BQ74</f>
        <v/>
      </c>
      <c r="BZ79" s="15">
        <f>'Grid_Stock'!BR74</f>
        <v/>
      </c>
      <c r="CA79" s="15">
        <f>'Grid_Stock'!BS74</f>
        <v/>
      </c>
      <c r="CB79" s="15">
        <f>'Grid_Stock'!BT74</f>
        <v/>
      </c>
      <c r="CC79" s="15">
        <f>'Grid_Stock'!BU74</f>
        <v/>
      </c>
      <c r="CD79" s="15">
        <f>'Grid_Stock'!BV74</f>
        <v/>
      </c>
      <c r="CE79" s="15">
        <f>'Grid_Stock'!BW74</f>
        <v/>
      </c>
      <c r="CF79" s="15">
        <f>'Grid_Stock'!BX74</f>
        <v/>
      </c>
      <c r="CG79" s="15">
        <f>'Grid_Stock'!BY74</f>
        <v/>
      </c>
      <c r="CH79" s="15">
        <f>'Grid_Stock'!BZ74</f>
        <v/>
      </c>
      <c r="CI79" s="15">
        <f>'Grid_Stock'!CA74</f>
        <v/>
      </c>
      <c r="CJ79" s="15">
        <f>'Grid_Stock'!CB74</f>
        <v/>
      </c>
      <c r="CK79" s="15">
        <f>'Grid_Stock'!CC74</f>
        <v/>
      </c>
      <c r="CL79" s="15">
        <f>'Grid_Stock'!CD74</f>
        <v/>
      </c>
      <c r="CM79" s="15">
        <f>'Grid_Stock'!CE74</f>
        <v/>
      </c>
      <c r="CN79" s="15">
        <f>'Grid_Stock'!CF74</f>
        <v/>
      </c>
      <c r="CO79" s="15">
        <f>'Grid_Stock'!CG74</f>
        <v/>
      </c>
      <c r="CP79" s="15">
        <f>'Grid_Stock'!CH74</f>
        <v/>
      </c>
      <c r="CQ79" s="15">
        <f>'Grid_Stock'!CI74</f>
        <v/>
      </c>
      <c r="CR79" s="15">
        <f>'Grid_Stock'!CJ74</f>
        <v/>
      </c>
      <c r="CS79" s="15">
        <f>'Grid_Stock'!CK74</f>
        <v/>
      </c>
      <c r="CT79" s="15">
        <f>'Grid_Stock'!CL74</f>
        <v/>
      </c>
      <c r="CU79" s="15">
        <f>'Grid_Stock'!CM74</f>
        <v/>
      </c>
      <c r="CV79" s="15">
        <f>'Grid_Stock'!CN74</f>
        <v/>
      </c>
      <c r="CW79" s="15">
        <f>'Grid_Stock'!CO74</f>
        <v/>
      </c>
      <c r="CX79" s="15">
        <f>'Grid_Stock'!CP74</f>
        <v/>
      </c>
      <c r="CY79" s="15">
        <f>'Grid_Stock'!CQ74</f>
        <v/>
      </c>
      <c r="CZ79" s="15">
        <f>'Grid_Stock'!CR74</f>
        <v/>
      </c>
      <c r="DA79" s="15">
        <f>'Grid_Stock'!CS74</f>
        <v/>
      </c>
      <c r="DB79" s="15">
        <f>'Grid_Stock'!CT74</f>
        <v/>
      </c>
      <c r="DC79" s="15">
        <f>'Grid_Stock'!CU74</f>
        <v/>
      </c>
      <c r="DD79" s="15">
        <f>'Grid_Stock'!CV74</f>
        <v/>
      </c>
      <c r="DE79" s="15">
        <f>'Grid_Stock'!CW74</f>
        <v/>
      </c>
      <c r="DF79" s="15">
        <f>'Grid_Stock'!CX74</f>
        <v/>
      </c>
      <c r="DG79" s="15">
        <f>'Grid_Stock'!CY74</f>
        <v/>
      </c>
      <c r="DH79" s="15">
        <f>'Grid_Stock'!CZ74</f>
        <v/>
      </c>
      <c r="DI79" s="15">
        <f>'Grid_Stock'!DA74</f>
        <v/>
      </c>
    </row>
    <row r="80">
      <c r="A80" s="17" t="inlineStr">
        <is>
          <t>CHEM-1500</t>
        </is>
      </c>
      <c r="B80" s="17">
        <f>IFERROR(INDEX(M_RawMaterials[Description],MATCH($A80,M_RawMaterials[RM_Code],0)),"")</f>
        <v/>
      </c>
      <c r="C80" s="17">
        <f>IFERROR(INDEX(M_RawMaterials[Category],MATCH($A80,M_RawMaterials[RM_Code],0)),"")</f>
        <v/>
      </c>
      <c r="D80" s="17">
        <f>IFERROR(INDEX(M_RawMaterials[SafetyStock_Qty_要入力],MATCH($A80,M_RawMaterials[RM_Code],0)),0)</f>
        <v/>
      </c>
      <c r="E80" s="17">
        <f>IFERROR(LOOKUP(2,1/(T_SelfStock!$A$2:$A$12000=$A80),T_SelfStock!$D$2:$D$12000),"")</f>
        <v/>
      </c>
      <c r="F80" s="17">
        <f>IFERROR(LOOKUP(2,1/(T_TTAFStock!$A$2:$A$12000=$A80),T_TTAFStock!$D$2:$D$12000),"")</f>
        <v/>
      </c>
      <c r="G80" s="17">
        <f>IFERROR(INDEX(Cal_Weeks[Label],LOOKUP(2,1/(T_SelfStock!$A$2:$A$12000=$A80),T_SelfStock!$B$2:$B$12000)),"")</f>
        <v/>
      </c>
      <c r="H80" s="17">
        <f>IF(MIN(J80:DI80)&lt;D80,"要発注","OK")</f>
        <v/>
      </c>
      <c r="I80" s="16">
        <f>IFERROR(INDEX(J80:DI80,$F$1),"")</f>
        <v/>
      </c>
      <c r="J80" s="17">
        <f>'Grid_Stock'!B75</f>
        <v/>
      </c>
      <c r="K80" s="17">
        <f>'Grid_Stock'!C75</f>
        <v/>
      </c>
      <c r="L80" s="17">
        <f>'Grid_Stock'!D75</f>
        <v/>
      </c>
      <c r="M80" s="17">
        <f>'Grid_Stock'!E75</f>
        <v/>
      </c>
      <c r="N80" s="17">
        <f>'Grid_Stock'!F75</f>
        <v/>
      </c>
      <c r="O80" s="17">
        <f>'Grid_Stock'!G75</f>
        <v/>
      </c>
      <c r="P80" s="17">
        <f>'Grid_Stock'!H75</f>
        <v/>
      </c>
      <c r="Q80" s="17">
        <f>'Grid_Stock'!I75</f>
        <v/>
      </c>
      <c r="R80" s="17">
        <f>'Grid_Stock'!J75</f>
        <v/>
      </c>
      <c r="S80" s="17">
        <f>'Grid_Stock'!K75</f>
        <v/>
      </c>
      <c r="T80" s="17">
        <f>'Grid_Stock'!L75</f>
        <v/>
      </c>
      <c r="U80" s="17">
        <f>'Grid_Stock'!M75</f>
        <v/>
      </c>
      <c r="V80" s="17">
        <f>'Grid_Stock'!N75</f>
        <v/>
      </c>
      <c r="W80" s="17">
        <f>'Grid_Stock'!O75</f>
        <v/>
      </c>
      <c r="X80" s="17">
        <f>'Grid_Stock'!P75</f>
        <v/>
      </c>
      <c r="Y80" s="17">
        <f>'Grid_Stock'!Q75</f>
        <v/>
      </c>
      <c r="Z80" s="17">
        <f>'Grid_Stock'!R75</f>
        <v/>
      </c>
      <c r="AA80" s="17">
        <f>'Grid_Stock'!S75</f>
        <v/>
      </c>
      <c r="AB80" s="17">
        <f>'Grid_Stock'!T75</f>
        <v/>
      </c>
      <c r="AC80" s="17">
        <f>'Grid_Stock'!U75</f>
        <v/>
      </c>
      <c r="AD80" s="17">
        <f>'Grid_Stock'!V75</f>
        <v/>
      </c>
      <c r="AE80" s="17">
        <f>'Grid_Stock'!W75</f>
        <v/>
      </c>
      <c r="AF80" s="17">
        <f>'Grid_Stock'!X75</f>
        <v/>
      </c>
      <c r="AG80" s="17">
        <f>'Grid_Stock'!Y75</f>
        <v/>
      </c>
      <c r="AH80" s="17">
        <f>'Grid_Stock'!Z75</f>
        <v/>
      </c>
      <c r="AI80" s="17">
        <f>'Grid_Stock'!AA75</f>
        <v/>
      </c>
      <c r="AJ80" s="17">
        <f>'Grid_Stock'!AB75</f>
        <v/>
      </c>
      <c r="AK80" s="17">
        <f>'Grid_Stock'!AC75</f>
        <v/>
      </c>
      <c r="AL80" s="17">
        <f>'Grid_Stock'!AD75</f>
        <v/>
      </c>
      <c r="AM80" s="17">
        <f>'Grid_Stock'!AE75</f>
        <v/>
      </c>
      <c r="AN80" s="17">
        <f>'Grid_Stock'!AF75</f>
        <v/>
      </c>
      <c r="AO80" s="17">
        <f>'Grid_Stock'!AG75</f>
        <v/>
      </c>
      <c r="AP80" s="17">
        <f>'Grid_Stock'!AH75</f>
        <v/>
      </c>
      <c r="AQ80" s="17">
        <f>'Grid_Stock'!AI75</f>
        <v/>
      </c>
      <c r="AR80" s="17">
        <f>'Grid_Stock'!AJ75</f>
        <v/>
      </c>
      <c r="AS80" s="17">
        <f>'Grid_Stock'!AK75</f>
        <v/>
      </c>
      <c r="AT80" s="17">
        <f>'Grid_Stock'!AL75</f>
        <v/>
      </c>
      <c r="AU80" s="17">
        <f>'Grid_Stock'!AM75</f>
        <v/>
      </c>
      <c r="AV80" s="17">
        <f>'Grid_Stock'!AN75</f>
        <v/>
      </c>
      <c r="AW80" s="17">
        <f>'Grid_Stock'!AO75</f>
        <v/>
      </c>
      <c r="AX80" s="17">
        <f>'Grid_Stock'!AP75</f>
        <v/>
      </c>
      <c r="AY80" s="17">
        <f>'Grid_Stock'!AQ75</f>
        <v/>
      </c>
      <c r="AZ80" s="17">
        <f>'Grid_Stock'!AR75</f>
        <v/>
      </c>
      <c r="BA80" s="17">
        <f>'Grid_Stock'!AS75</f>
        <v/>
      </c>
      <c r="BB80" s="17">
        <f>'Grid_Stock'!AT75</f>
        <v/>
      </c>
      <c r="BC80" s="17">
        <f>'Grid_Stock'!AU75</f>
        <v/>
      </c>
      <c r="BD80" s="17">
        <f>'Grid_Stock'!AV75</f>
        <v/>
      </c>
      <c r="BE80" s="17">
        <f>'Grid_Stock'!AW75</f>
        <v/>
      </c>
      <c r="BF80" s="17">
        <f>'Grid_Stock'!AX75</f>
        <v/>
      </c>
      <c r="BG80" s="17">
        <f>'Grid_Stock'!AY75</f>
        <v/>
      </c>
      <c r="BH80" s="17">
        <f>'Grid_Stock'!AZ75</f>
        <v/>
      </c>
      <c r="BI80" s="17">
        <f>'Grid_Stock'!BA75</f>
        <v/>
      </c>
      <c r="BJ80" s="17">
        <f>'Grid_Stock'!BB75</f>
        <v/>
      </c>
      <c r="BK80" s="17">
        <f>'Grid_Stock'!BC75</f>
        <v/>
      </c>
      <c r="BL80" s="17">
        <f>'Grid_Stock'!BD75</f>
        <v/>
      </c>
      <c r="BM80" s="17">
        <f>'Grid_Stock'!BE75</f>
        <v/>
      </c>
      <c r="BN80" s="17">
        <f>'Grid_Stock'!BF75</f>
        <v/>
      </c>
      <c r="BO80" s="17">
        <f>'Grid_Stock'!BG75</f>
        <v/>
      </c>
      <c r="BP80" s="17">
        <f>'Grid_Stock'!BH75</f>
        <v/>
      </c>
      <c r="BQ80" s="17">
        <f>'Grid_Stock'!BI75</f>
        <v/>
      </c>
      <c r="BR80" s="17">
        <f>'Grid_Stock'!BJ75</f>
        <v/>
      </c>
      <c r="BS80" s="17">
        <f>'Grid_Stock'!BK75</f>
        <v/>
      </c>
      <c r="BT80" s="17">
        <f>'Grid_Stock'!BL75</f>
        <v/>
      </c>
      <c r="BU80" s="17">
        <f>'Grid_Stock'!BM75</f>
        <v/>
      </c>
      <c r="BV80" s="17">
        <f>'Grid_Stock'!BN75</f>
        <v/>
      </c>
      <c r="BW80" s="17">
        <f>'Grid_Stock'!BO75</f>
        <v/>
      </c>
      <c r="BX80" s="17">
        <f>'Grid_Stock'!BP75</f>
        <v/>
      </c>
      <c r="BY80" s="17">
        <f>'Grid_Stock'!BQ75</f>
        <v/>
      </c>
      <c r="BZ80" s="17">
        <f>'Grid_Stock'!BR75</f>
        <v/>
      </c>
      <c r="CA80" s="17">
        <f>'Grid_Stock'!BS75</f>
        <v/>
      </c>
      <c r="CB80" s="17">
        <f>'Grid_Stock'!BT75</f>
        <v/>
      </c>
      <c r="CC80" s="17">
        <f>'Grid_Stock'!BU75</f>
        <v/>
      </c>
      <c r="CD80" s="17">
        <f>'Grid_Stock'!BV75</f>
        <v/>
      </c>
      <c r="CE80" s="17">
        <f>'Grid_Stock'!BW75</f>
        <v/>
      </c>
      <c r="CF80" s="17">
        <f>'Grid_Stock'!BX75</f>
        <v/>
      </c>
      <c r="CG80" s="17">
        <f>'Grid_Stock'!BY75</f>
        <v/>
      </c>
      <c r="CH80" s="17">
        <f>'Grid_Stock'!BZ75</f>
        <v/>
      </c>
      <c r="CI80" s="17">
        <f>'Grid_Stock'!CA75</f>
        <v/>
      </c>
      <c r="CJ80" s="17">
        <f>'Grid_Stock'!CB75</f>
        <v/>
      </c>
      <c r="CK80" s="17">
        <f>'Grid_Stock'!CC75</f>
        <v/>
      </c>
      <c r="CL80" s="17">
        <f>'Grid_Stock'!CD75</f>
        <v/>
      </c>
      <c r="CM80" s="17">
        <f>'Grid_Stock'!CE75</f>
        <v/>
      </c>
      <c r="CN80" s="17">
        <f>'Grid_Stock'!CF75</f>
        <v/>
      </c>
      <c r="CO80" s="17">
        <f>'Grid_Stock'!CG75</f>
        <v/>
      </c>
      <c r="CP80" s="17">
        <f>'Grid_Stock'!CH75</f>
        <v/>
      </c>
      <c r="CQ80" s="17">
        <f>'Grid_Stock'!CI75</f>
        <v/>
      </c>
      <c r="CR80" s="17">
        <f>'Grid_Stock'!CJ75</f>
        <v/>
      </c>
      <c r="CS80" s="17">
        <f>'Grid_Stock'!CK75</f>
        <v/>
      </c>
      <c r="CT80" s="17">
        <f>'Grid_Stock'!CL75</f>
        <v/>
      </c>
      <c r="CU80" s="17">
        <f>'Grid_Stock'!CM75</f>
        <v/>
      </c>
      <c r="CV80" s="17">
        <f>'Grid_Stock'!CN75</f>
        <v/>
      </c>
      <c r="CW80" s="17">
        <f>'Grid_Stock'!CO75</f>
        <v/>
      </c>
      <c r="CX80" s="17">
        <f>'Grid_Stock'!CP75</f>
        <v/>
      </c>
      <c r="CY80" s="17">
        <f>'Grid_Stock'!CQ75</f>
        <v/>
      </c>
      <c r="CZ80" s="17">
        <f>'Grid_Stock'!CR75</f>
        <v/>
      </c>
      <c r="DA80" s="17">
        <f>'Grid_Stock'!CS75</f>
        <v/>
      </c>
      <c r="DB80" s="17">
        <f>'Grid_Stock'!CT75</f>
        <v/>
      </c>
      <c r="DC80" s="17">
        <f>'Grid_Stock'!CU75</f>
        <v/>
      </c>
      <c r="DD80" s="17">
        <f>'Grid_Stock'!CV75</f>
        <v/>
      </c>
      <c r="DE80" s="17">
        <f>'Grid_Stock'!CW75</f>
        <v/>
      </c>
      <c r="DF80" s="17">
        <f>'Grid_Stock'!CX75</f>
        <v/>
      </c>
      <c r="DG80" s="17">
        <f>'Grid_Stock'!CY75</f>
        <v/>
      </c>
      <c r="DH80" s="17">
        <f>'Grid_Stock'!CZ75</f>
        <v/>
      </c>
      <c r="DI80" s="17">
        <f>'Grid_Stock'!DA75</f>
        <v/>
      </c>
    </row>
    <row r="81">
      <c r="A81" s="15" t="inlineStr">
        <is>
          <t>CHEM-1810</t>
        </is>
      </c>
      <c r="B81" s="15">
        <f>IFERROR(INDEX(M_RawMaterials[Description],MATCH($A81,M_RawMaterials[RM_Code],0)),"")</f>
        <v/>
      </c>
      <c r="C81" s="15">
        <f>IFERROR(INDEX(M_RawMaterials[Category],MATCH($A81,M_RawMaterials[RM_Code],0)),"")</f>
        <v/>
      </c>
      <c r="D81" s="15">
        <f>IFERROR(INDEX(M_RawMaterials[SafetyStock_Qty_要入力],MATCH($A81,M_RawMaterials[RM_Code],0)),0)</f>
        <v/>
      </c>
      <c r="E81" s="15">
        <f>IFERROR(LOOKUP(2,1/(T_SelfStock!$A$2:$A$12000=$A81),T_SelfStock!$D$2:$D$12000),"")</f>
        <v/>
      </c>
      <c r="F81" s="15">
        <f>IFERROR(LOOKUP(2,1/(T_TTAFStock!$A$2:$A$12000=$A81),T_TTAFStock!$D$2:$D$12000),"")</f>
        <v/>
      </c>
      <c r="G81" s="15">
        <f>IFERROR(INDEX(Cal_Weeks[Label],LOOKUP(2,1/(T_SelfStock!$A$2:$A$12000=$A81),T_SelfStock!$B$2:$B$12000)),"")</f>
        <v/>
      </c>
      <c r="H81" s="15">
        <f>IF(MIN(J81:DI81)&lt;D81,"要発注","OK")</f>
        <v/>
      </c>
      <c r="I81" s="16">
        <f>IFERROR(INDEX(J81:DI81,$F$1),"")</f>
        <v/>
      </c>
      <c r="J81" s="15">
        <f>'Grid_Stock'!B76</f>
        <v/>
      </c>
      <c r="K81" s="15">
        <f>'Grid_Stock'!C76</f>
        <v/>
      </c>
      <c r="L81" s="15">
        <f>'Grid_Stock'!D76</f>
        <v/>
      </c>
      <c r="M81" s="15">
        <f>'Grid_Stock'!E76</f>
        <v/>
      </c>
      <c r="N81" s="15">
        <f>'Grid_Stock'!F76</f>
        <v/>
      </c>
      <c r="O81" s="15">
        <f>'Grid_Stock'!G76</f>
        <v/>
      </c>
      <c r="P81" s="15">
        <f>'Grid_Stock'!H76</f>
        <v/>
      </c>
      <c r="Q81" s="15">
        <f>'Grid_Stock'!I76</f>
        <v/>
      </c>
      <c r="R81" s="15">
        <f>'Grid_Stock'!J76</f>
        <v/>
      </c>
      <c r="S81" s="15">
        <f>'Grid_Stock'!K76</f>
        <v/>
      </c>
      <c r="T81" s="15">
        <f>'Grid_Stock'!L76</f>
        <v/>
      </c>
      <c r="U81" s="15">
        <f>'Grid_Stock'!M76</f>
        <v/>
      </c>
      <c r="V81" s="15">
        <f>'Grid_Stock'!N76</f>
        <v/>
      </c>
      <c r="W81" s="15">
        <f>'Grid_Stock'!O76</f>
        <v/>
      </c>
      <c r="X81" s="15">
        <f>'Grid_Stock'!P76</f>
        <v/>
      </c>
      <c r="Y81" s="15">
        <f>'Grid_Stock'!Q76</f>
        <v/>
      </c>
      <c r="Z81" s="15">
        <f>'Grid_Stock'!R76</f>
        <v/>
      </c>
      <c r="AA81" s="15">
        <f>'Grid_Stock'!S76</f>
        <v/>
      </c>
      <c r="AB81" s="15">
        <f>'Grid_Stock'!T76</f>
        <v/>
      </c>
      <c r="AC81" s="15">
        <f>'Grid_Stock'!U76</f>
        <v/>
      </c>
      <c r="AD81" s="15">
        <f>'Grid_Stock'!V76</f>
        <v/>
      </c>
      <c r="AE81" s="15">
        <f>'Grid_Stock'!W76</f>
        <v/>
      </c>
      <c r="AF81" s="15">
        <f>'Grid_Stock'!X76</f>
        <v/>
      </c>
      <c r="AG81" s="15">
        <f>'Grid_Stock'!Y76</f>
        <v/>
      </c>
      <c r="AH81" s="15">
        <f>'Grid_Stock'!Z76</f>
        <v/>
      </c>
      <c r="AI81" s="15">
        <f>'Grid_Stock'!AA76</f>
        <v/>
      </c>
      <c r="AJ81" s="15">
        <f>'Grid_Stock'!AB76</f>
        <v/>
      </c>
      <c r="AK81" s="15">
        <f>'Grid_Stock'!AC76</f>
        <v/>
      </c>
      <c r="AL81" s="15">
        <f>'Grid_Stock'!AD76</f>
        <v/>
      </c>
      <c r="AM81" s="15">
        <f>'Grid_Stock'!AE76</f>
        <v/>
      </c>
      <c r="AN81" s="15">
        <f>'Grid_Stock'!AF76</f>
        <v/>
      </c>
      <c r="AO81" s="15">
        <f>'Grid_Stock'!AG76</f>
        <v/>
      </c>
      <c r="AP81" s="15">
        <f>'Grid_Stock'!AH76</f>
        <v/>
      </c>
      <c r="AQ81" s="15">
        <f>'Grid_Stock'!AI76</f>
        <v/>
      </c>
      <c r="AR81" s="15">
        <f>'Grid_Stock'!AJ76</f>
        <v/>
      </c>
      <c r="AS81" s="15">
        <f>'Grid_Stock'!AK76</f>
        <v/>
      </c>
      <c r="AT81" s="15">
        <f>'Grid_Stock'!AL76</f>
        <v/>
      </c>
      <c r="AU81" s="15">
        <f>'Grid_Stock'!AM76</f>
        <v/>
      </c>
      <c r="AV81" s="15">
        <f>'Grid_Stock'!AN76</f>
        <v/>
      </c>
      <c r="AW81" s="15">
        <f>'Grid_Stock'!AO76</f>
        <v/>
      </c>
      <c r="AX81" s="15">
        <f>'Grid_Stock'!AP76</f>
        <v/>
      </c>
      <c r="AY81" s="15">
        <f>'Grid_Stock'!AQ76</f>
        <v/>
      </c>
      <c r="AZ81" s="15">
        <f>'Grid_Stock'!AR76</f>
        <v/>
      </c>
      <c r="BA81" s="15">
        <f>'Grid_Stock'!AS76</f>
        <v/>
      </c>
      <c r="BB81" s="15">
        <f>'Grid_Stock'!AT76</f>
        <v/>
      </c>
      <c r="BC81" s="15">
        <f>'Grid_Stock'!AU76</f>
        <v/>
      </c>
      <c r="BD81" s="15">
        <f>'Grid_Stock'!AV76</f>
        <v/>
      </c>
      <c r="BE81" s="15">
        <f>'Grid_Stock'!AW76</f>
        <v/>
      </c>
      <c r="BF81" s="15">
        <f>'Grid_Stock'!AX76</f>
        <v/>
      </c>
      <c r="BG81" s="15">
        <f>'Grid_Stock'!AY76</f>
        <v/>
      </c>
      <c r="BH81" s="15">
        <f>'Grid_Stock'!AZ76</f>
        <v/>
      </c>
      <c r="BI81" s="15">
        <f>'Grid_Stock'!BA76</f>
        <v/>
      </c>
      <c r="BJ81" s="15">
        <f>'Grid_Stock'!BB76</f>
        <v/>
      </c>
      <c r="BK81" s="15">
        <f>'Grid_Stock'!BC76</f>
        <v/>
      </c>
      <c r="BL81" s="15">
        <f>'Grid_Stock'!BD76</f>
        <v/>
      </c>
      <c r="BM81" s="15">
        <f>'Grid_Stock'!BE76</f>
        <v/>
      </c>
      <c r="BN81" s="15">
        <f>'Grid_Stock'!BF76</f>
        <v/>
      </c>
      <c r="BO81" s="15">
        <f>'Grid_Stock'!BG76</f>
        <v/>
      </c>
      <c r="BP81" s="15">
        <f>'Grid_Stock'!BH76</f>
        <v/>
      </c>
      <c r="BQ81" s="15">
        <f>'Grid_Stock'!BI76</f>
        <v/>
      </c>
      <c r="BR81" s="15">
        <f>'Grid_Stock'!BJ76</f>
        <v/>
      </c>
      <c r="BS81" s="15">
        <f>'Grid_Stock'!BK76</f>
        <v/>
      </c>
      <c r="BT81" s="15">
        <f>'Grid_Stock'!BL76</f>
        <v/>
      </c>
      <c r="BU81" s="15">
        <f>'Grid_Stock'!BM76</f>
        <v/>
      </c>
      <c r="BV81" s="15">
        <f>'Grid_Stock'!BN76</f>
        <v/>
      </c>
      <c r="BW81" s="15">
        <f>'Grid_Stock'!BO76</f>
        <v/>
      </c>
      <c r="BX81" s="15">
        <f>'Grid_Stock'!BP76</f>
        <v/>
      </c>
      <c r="BY81" s="15">
        <f>'Grid_Stock'!BQ76</f>
        <v/>
      </c>
      <c r="BZ81" s="15">
        <f>'Grid_Stock'!BR76</f>
        <v/>
      </c>
      <c r="CA81" s="15">
        <f>'Grid_Stock'!BS76</f>
        <v/>
      </c>
      <c r="CB81" s="15">
        <f>'Grid_Stock'!BT76</f>
        <v/>
      </c>
      <c r="CC81" s="15">
        <f>'Grid_Stock'!BU76</f>
        <v/>
      </c>
      <c r="CD81" s="15">
        <f>'Grid_Stock'!BV76</f>
        <v/>
      </c>
      <c r="CE81" s="15">
        <f>'Grid_Stock'!BW76</f>
        <v/>
      </c>
      <c r="CF81" s="15">
        <f>'Grid_Stock'!BX76</f>
        <v/>
      </c>
      <c r="CG81" s="15">
        <f>'Grid_Stock'!BY76</f>
        <v/>
      </c>
      <c r="CH81" s="15">
        <f>'Grid_Stock'!BZ76</f>
        <v/>
      </c>
      <c r="CI81" s="15">
        <f>'Grid_Stock'!CA76</f>
        <v/>
      </c>
      <c r="CJ81" s="15">
        <f>'Grid_Stock'!CB76</f>
        <v/>
      </c>
      <c r="CK81" s="15">
        <f>'Grid_Stock'!CC76</f>
        <v/>
      </c>
      <c r="CL81" s="15">
        <f>'Grid_Stock'!CD76</f>
        <v/>
      </c>
      <c r="CM81" s="15">
        <f>'Grid_Stock'!CE76</f>
        <v/>
      </c>
      <c r="CN81" s="15">
        <f>'Grid_Stock'!CF76</f>
        <v/>
      </c>
      <c r="CO81" s="15">
        <f>'Grid_Stock'!CG76</f>
        <v/>
      </c>
      <c r="CP81" s="15">
        <f>'Grid_Stock'!CH76</f>
        <v/>
      </c>
      <c r="CQ81" s="15">
        <f>'Grid_Stock'!CI76</f>
        <v/>
      </c>
      <c r="CR81" s="15">
        <f>'Grid_Stock'!CJ76</f>
        <v/>
      </c>
      <c r="CS81" s="15">
        <f>'Grid_Stock'!CK76</f>
        <v/>
      </c>
      <c r="CT81" s="15">
        <f>'Grid_Stock'!CL76</f>
        <v/>
      </c>
      <c r="CU81" s="15">
        <f>'Grid_Stock'!CM76</f>
        <v/>
      </c>
      <c r="CV81" s="15">
        <f>'Grid_Stock'!CN76</f>
        <v/>
      </c>
      <c r="CW81" s="15">
        <f>'Grid_Stock'!CO76</f>
        <v/>
      </c>
      <c r="CX81" s="15">
        <f>'Grid_Stock'!CP76</f>
        <v/>
      </c>
      <c r="CY81" s="15">
        <f>'Grid_Stock'!CQ76</f>
        <v/>
      </c>
      <c r="CZ81" s="15">
        <f>'Grid_Stock'!CR76</f>
        <v/>
      </c>
      <c r="DA81" s="15">
        <f>'Grid_Stock'!CS76</f>
        <v/>
      </c>
      <c r="DB81" s="15">
        <f>'Grid_Stock'!CT76</f>
        <v/>
      </c>
      <c r="DC81" s="15">
        <f>'Grid_Stock'!CU76</f>
        <v/>
      </c>
      <c r="DD81" s="15">
        <f>'Grid_Stock'!CV76</f>
        <v/>
      </c>
      <c r="DE81" s="15">
        <f>'Grid_Stock'!CW76</f>
        <v/>
      </c>
      <c r="DF81" s="15">
        <f>'Grid_Stock'!CX76</f>
        <v/>
      </c>
      <c r="DG81" s="15">
        <f>'Grid_Stock'!CY76</f>
        <v/>
      </c>
      <c r="DH81" s="15">
        <f>'Grid_Stock'!CZ76</f>
        <v/>
      </c>
      <c r="DI81" s="15">
        <f>'Grid_Stock'!DA76</f>
        <v/>
      </c>
    </row>
    <row r="82">
      <c r="A82" s="17" t="inlineStr">
        <is>
          <t>Chem-1220</t>
        </is>
      </c>
      <c r="B82" s="17">
        <f>IFERROR(INDEX(M_RawMaterials[Description],MATCH($A82,M_RawMaterials[RM_Code],0)),"")</f>
        <v/>
      </c>
      <c r="C82" s="17">
        <f>IFERROR(INDEX(M_RawMaterials[Category],MATCH($A82,M_RawMaterials[RM_Code],0)),"")</f>
        <v/>
      </c>
      <c r="D82" s="17">
        <f>IFERROR(INDEX(M_RawMaterials[SafetyStock_Qty_要入力],MATCH($A82,M_RawMaterials[RM_Code],0)),0)</f>
        <v/>
      </c>
      <c r="E82" s="17">
        <f>IFERROR(LOOKUP(2,1/(T_SelfStock!$A$2:$A$12000=$A82),T_SelfStock!$D$2:$D$12000),"")</f>
        <v/>
      </c>
      <c r="F82" s="17">
        <f>IFERROR(LOOKUP(2,1/(T_TTAFStock!$A$2:$A$12000=$A82),T_TTAFStock!$D$2:$D$12000),"")</f>
        <v/>
      </c>
      <c r="G82" s="17">
        <f>IFERROR(INDEX(Cal_Weeks[Label],LOOKUP(2,1/(T_SelfStock!$A$2:$A$12000=$A82),T_SelfStock!$B$2:$B$12000)),"")</f>
        <v/>
      </c>
      <c r="H82" s="17">
        <f>IF(MIN(J82:DI82)&lt;D82,"要発注","OK")</f>
        <v/>
      </c>
      <c r="I82" s="16">
        <f>IFERROR(INDEX(J82:DI82,$F$1),"")</f>
        <v/>
      </c>
      <c r="J82" s="17">
        <f>'Grid_Stock'!B77</f>
        <v/>
      </c>
      <c r="K82" s="17">
        <f>'Grid_Stock'!C77</f>
        <v/>
      </c>
      <c r="L82" s="17">
        <f>'Grid_Stock'!D77</f>
        <v/>
      </c>
      <c r="M82" s="17">
        <f>'Grid_Stock'!E77</f>
        <v/>
      </c>
      <c r="N82" s="17">
        <f>'Grid_Stock'!F77</f>
        <v/>
      </c>
      <c r="O82" s="17">
        <f>'Grid_Stock'!G77</f>
        <v/>
      </c>
      <c r="P82" s="17">
        <f>'Grid_Stock'!H77</f>
        <v/>
      </c>
      <c r="Q82" s="17">
        <f>'Grid_Stock'!I77</f>
        <v/>
      </c>
      <c r="R82" s="17">
        <f>'Grid_Stock'!J77</f>
        <v/>
      </c>
      <c r="S82" s="17">
        <f>'Grid_Stock'!K77</f>
        <v/>
      </c>
      <c r="T82" s="17">
        <f>'Grid_Stock'!L77</f>
        <v/>
      </c>
      <c r="U82" s="17">
        <f>'Grid_Stock'!M77</f>
        <v/>
      </c>
      <c r="V82" s="17">
        <f>'Grid_Stock'!N77</f>
        <v/>
      </c>
      <c r="W82" s="17">
        <f>'Grid_Stock'!O77</f>
        <v/>
      </c>
      <c r="X82" s="17">
        <f>'Grid_Stock'!P77</f>
        <v/>
      </c>
      <c r="Y82" s="17">
        <f>'Grid_Stock'!Q77</f>
        <v/>
      </c>
      <c r="Z82" s="17">
        <f>'Grid_Stock'!R77</f>
        <v/>
      </c>
      <c r="AA82" s="17">
        <f>'Grid_Stock'!S77</f>
        <v/>
      </c>
      <c r="AB82" s="17">
        <f>'Grid_Stock'!T77</f>
        <v/>
      </c>
      <c r="AC82" s="17">
        <f>'Grid_Stock'!U77</f>
        <v/>
      </c>
      <c r="AD82" s="17">
        <f>'Grid_Stock'!V77</f>
        <v/>
      </c>
      <c r="AE82" s="17">
        <f>'Grid_Stock'!W77</f>
        <v/>
      </c>
      <c r="AF82" s="17">
        <f>'Grid_Stock'!X77</f>
        <v/>
      </c>
      <c r="AG82" s="17">
        <f>'Grid_Stock'!Y77</f>
        <v/>
      </c>
      <c r="AH82" s="17">
        <f>'Grid_Stock'!Z77</f>
        <v/>
      </c>
      <c r="AI82" s="17">
        <f>'Grid_Stock'!AA77</f>
        <v/>
      </c>
      <c r="AJ82" s="17">
        <f>'Grid_Stock'!AB77</f>
        <v/>
      </c>
      <c r="AK82" s="17">
        <f>'Grid_Stock'!AC77</f>
        <v/>
      </c>
      <c r="AL82" s="17">
        <f>'Grid_Stock'!AD77</f>
        <v/>
      </c>
      <c r="AM82" s="17">
        <f>'Grid_Stock'!AE77</f>
        <v/>
      </c>
      <c r="AN82" s="17">
        <f>'Grid_Stock'!AF77</f>
        <v/>
      </c>
      <c r="AO82" s="17">
        <f>'Grid_Stock'!AG77</f>
        <v/>
      </c>
      <c r="AP82" s="17">
        <f>'Grid_Stock'!AH77</f>
        <v/>
      </c>
      <c r="AQ82" s="17">
        <f>'Grid_Stock'!AI77</f>
        <v/>
      </c>
      <c r="AR82" s="17">
        <f>'Grid_Stock'!AJ77</f>
        <v/>
      </c>
      <c r="AS82" s="17">
        <f>'Grid_Stock'!AK77</f>
        <v/>
      </c>
      <c r="AT82" s="17">
        <f>'Grid_Stock'!AL77</f>
        <v/>
      </c>
      <c r="AU82" s="17">
        <f>'Grid_Stock'!AM77</f>
        <v/>
      </c>
      <c r="AV82" s="17">
        <f>'Grid_Stock'!AN77</f>
        <v/>
      </c>
      <c r="AW82" s="17">
        <f>'Grid_Stock'!AO77</f>
        <v/>
      </c>
      <c r="AX82" s="17">
        <f>'Grid_Stock'!AP77</f>
        <v/>
      </c>
      <c r="AY82" s="17">
        <f>'Grid_Stock'!AQ77</f>
        <v/>
      </c>
      <c r="AZ82" s="17">
        <f>'Grid_Stock'!AR77</f>
        <v/>
      </c>
      <c r="BA82" s="17">
        <f>'Grid_Stock'!AS77</f>
        <v/>
      </c>
      <c r="BB82" s="17">
        <f>'Grid_Stock'!AT77</f>
        <v/>
      </c>
      <c r="BC82" s="17">
        <f>'Grid_Stock'!AU77</f>
        <v/>
      </c>
      <c r="BD82" s="17">
        <f>'Grid_Stock'!AV77</f>
        <v/>
      </c>
      <c r="BE82" s="17">
        <f>'Grid_Stock'!AW77</f>
        <v/>
      </c>
      <c r="BF82" s="17">
        <f>'Grid_Stock'!AX77</f>
        <v/>
      </c>
      <c r="BG82" s="17">
        <f>'Grid_Stock'!AY77</f>
        <v/>
      </c>
      <c r="BH82" s="17">
        <f>'Grid_Stock'!AZ77</f>
        <v/>
      </c>
      <c r="BI82" s="17">
        <f>'Grid_Stock'!BA77</f>
        <v/>
      </c>
      <c r="BJ82" s="17">
        <f>'Grid_Stock'!BB77</f>
        <v/>
      </c>
      <c r="BK82" s="17">
        <f>'Grid_Stock'!BC77</f>
        <v/>
      </c>
      <c r="BL82" s="17">
        <f>'Grid_Stock'!BD77</f>
        <v/>
      </c>
      <c r="BM82" s="17">
        <f>'Grid_Stock'!BE77</f>
        <v/>
      </c>
      <c r="BN82" s="17">
        <f>'Grid_Stock'!BF77</f>
        <v/>
      </c>
      <c r="BO82" s="17">
        <f>'Grid_Stock'!BG77</f>
        <v/>
      </c>
      <c r="BP82" s="17">
        <f>'Grid_Stock'!BH77</f>
        <v/>
      </c>
      <c r="BQ82" s="17">
        <f>'Grid_Stock'!BI77</f>
        <v/>
      </c>
      <c r="BR82" s="17">
        <f>'Grid_Stock'!BJ77</f>
        <v/>
      </c>
      <c r="BS82" s="17">
        <f>'Grid_Stock'!BK77</f>
        <v/>
      </c>
      <c r="BT82" s="17">
        <f>'Grid_Stock'!BL77</f>
        <v/>
      </c>
      <c r="BU82" s="17">
        <f>'Grid_Stock'!BM77</f>
        <v/>
      </c>
      <c r="BV82" s="17">
        <f>'Grid_Stock'!BN77</f>
        <v/>
      </c>
      <c r="BW82" s="17">
        <f>'Grid_Stock'!BO77</f>
        <v/>
      </c>
      <c r="BX82" s="17">
        <f>'Grid_Stock'!BP77</f>
        <v/>
      </c>
      <c r="BY82" s="17">
        <f>'Grid_Stock'!BQ77</f>
        <v/>
      </c>
      <c r="BZ82" s="17">
        <f>'Grid_Stock'!BR77</f>
        <v/>
      </c>
      <c r="CA82" s="17">
        <f>'Grid_Stock'!BS77</f>
        <v/>
      </c>
      <c r="CB82" s="17">
        <f>'Grid_Stock'!BT77</f>
        <v/>
      </c>
      <c r="CC82" s="17">
        <f>'Grid_Stock'!BU77</f>
        <v/>
      </c>
      <c r="CD82" s="17">
        <f>'Grid_Stock'!BV77</f>
        <v/>
      </c>
      <c r="CE82" s="17">
        <f>'Grid_Stock'!BW77</f>
        <v/>
      </c>
      <c r="CF82" s="17">
        <f>'Grid_Stock'!BX77</f>
        <v/>
      </c>
      <c r="CG82" s="17">
        <f>'Grid_Stock'!BY77</f>
        <v/>
      </c>
      <c r="CH82" s="17">
        <f>'Grid_Stock'!BZ77</f>
        <v/>
      </c>
      <c r="CI82" s="17">
        <f>'Grid_Stock'!CA77</f>
        <v/>
      </c>
      <c r="CJ82" s="17">
        <f>'Grid_Stock'!CB77</f>
        <v/>
      </c>
      <c r="CK82" s="17">
        <f>'Grid_Stock'!CC77</f>
        <v/>
      </c>
      <c r="CL82" s="17">
        <f>'Grid_Stock'!CD77</f>
        <v/>
      </c>
      <c r="CM82" s="17">
        <f>'Grid_Stock'!CE77</f>
        <v/>
      </c>
      <c r="CN82" s="17">
        <f>'Grid_Stock'!CF77</f>
        <v/>
      </c>
      <c r="CO82" s="17">
        <f>'Grid_Stock'!CG77</f>
        <v/>
      </c>
      <c r="CP82" s="17">
        <f>'Grid_Stock'!CH77</f>
        <v/>
      </c>
      <c r="CQ82" s="17">
        <f>'Grid_Stock'!CI77</f>
        <v/>
      </c>
      <c r="CR82" s="17">
        <f>'Grid_Stock'!CJ77</f>
        <v/>
      </c>
      <c r="CS82" s="17">
        <f>'Grid_Stock'!CK77</f>
        <v/>
      </c>
      <c r="CT82" s="17">
        <f>'Grid_Stock'!CL77</f>
        <v/>
      </c>
      <c r="CU82" s="17">
        <f>'Grid_Stock'!CM77</f>
        <v/>
      </c>
      <c r="CV82" s="17">
        <f>'Grid_Stock'!CN77</f>
        <v/>
      </c>
      <c r="CW82" s="17">
        <f>'Grid_Stock'!CO77</f>
        <v/>
      </c>
      <c r="CX82" s="17">
        <f>'Grid_Stock'!CP77</f>
        <v/>
      </c>
      <c r="CY82" s="17">
        <f>'Grid_Stock'!CQ77</f>
        <v/>
      </c>
      <c r="CZ82" s="17">
        <f>'Grid_Stock'!CR77</f>
        <v/>
      </c>
      <c r="DA82" s="17">
        <f>'Grid_Stock'!CS77</f>
        <v/>
      </c>
      <c r="DB82" s="17">
        <f>'Grid_Stock'!CT77</f>
        <v/>
      </c>
      <c r="DC82" s="17">
        <f>'Grid_Stock'!CU77</f>
        <v/>
      </c>
      <c r="DD82" s="17">
        <f>'Grid_Stock'!CV77</f>
        <v/>
      </c>
      <c r="DE82" s="17">
        <f>'Grid_Stock'!CW77</f>
        <v/>
      </c>
      <c r="DF82" s="17">
        <f>'Grid_Stock'!CX77</f>
        <v/>
      </c>
      <c r="DG82" s="17">
        <f>'Grid_Stock'!CY77</f>
        <v/>
      </c>
      <c r="DH82" s="17">
        <f>'Grid_Stock'!CZ77</f>
        <v/>
      </c>
      <c r="DI82" s="17">
        <f>'Grid_Stock'!DA77</f>
        <v/>
      </c>
    </row>
    <row r="83">
      <c r="A83" s="15" t="inlineStr">
        <is>
          <t>Chem-1610</t>
        </is>
      </c>
      <c r="B83" s="15">
        <f>IFERROR(INDEX(M_RawMaterials[Description],MATCH($A83,M_RawMaterials[RM_Code],0)),"")</f>
        <v/>
      </c>
      <c r="C83" s="15">
        <f>IFERROR(INDEX(M_RawMaterials[Category],MATCH($A83,M_RawMaterials[RM_Code],0)),"")</f>
        <v/>
      </c>
      <c r="D83" s="15">
        <f>IFERROR(INDEX(M_RawMaterials[SafetyStock_Qty_要入力],MATCH($A83,M_RawMaterials[RM_Code],0)),0)</f>
        <v/>
      </c>
      <c r="E83" s="15">
        <f>IFERROR(LOOKUP(2,1/(T_SelfStock!$A$2:$A$12000=$A83),T_SelfStock!$D$2:$D$12000),"")</f>
        <v/>
      </c>
      <c r="F83" s="15">
        <f>IFERROR(LOOKUP(2,1/(T_TTAFStock!$A$2:$A$12000=$A83),T_TTAFStock!$D$2:$D$12000),"")</f>
        <v/>
      </c>
      <c r="G83" s="15">
        <f>IFERROR(INDEX(Cal_Weeks[Label],LOOKUP(2,1/(T_SelfStock!$A$2:$A$12000=$A83),T_SelfStock!$B$2:$B$12000)),"")</f>
        <v/>
      </c>
      <c r="H83" s="15">
        <f>IF(MIN(J83:DI83)&lt;D83,"要発注","OK")</f>
        <v/>
      </c>
      <c r="I83" s="16">
        <f>IFERROR(INDEX(J83:DI83,$F$1),"")</f>
        <v/>
      </c>
      <c r="J83" s="15">
        <f>'Grid_Stock'!B78</f>
        <v/>
      </c>
      <c r="K83" s="15">
        <f>'Grid_Stock'!C78</f>
        <v/>
      </c>
      <c r="L83" s="15">
        <f>'Grid_Stock'!D78</f>
        <v/>
      </c>
      <c r="M83" s="15">
        <f>'Grid_Stock'!E78</f>
        <v/>
      </c>
      <c r="N83" s="15">
        <f>'Grid_Stock'!F78</f>
        <v/>
      </c>
      <c r="O83" s="15">
        <f>'Grid_Stock'!G78</f>
        <v/>
      </c>
      <c r="P83" s="15">
        <f>'Grid_Stock'!H78</f>
        <v/>
      </c>
      <c r="Q83" s="15">
        <f>'Grid_Stock'!I78</f>
        <v/>
      </c>
      <c r="R83" s="15">
        <f>'Grid_Stock'!J78</f>
        <v/>
      </c>
      <c r="S83" s="15">
        <f>'Grid_Stock'!K78</f>
        <v/>
      </c>
      <c r="T83" s="15">
        <f>'Grid_Stock'!L78</f>
        <v/>
      </c>
      <c r="U83" s="15">
        <f>'Grid_Stock'!M78</f>
        <v/>
      </c>
      <c r="V83" s="15">
        <f>'Grid_Stock'!N78</f>
        <v/>
      </c>
      <c r="W83" s="15">
        <f>'Grid_Stock'!O78</f>
        <v/>
      </c>
      <c r="X83" s="15">
        <f>'Grid_Stock'!P78</f>
        <v/>
      </c>
      <c r="Y83" s="15">
        <f>'Grid_Stock'!Q78</f>
        <v/>
      </c>
      <c r="Z83" s="15">
        <f>'Grid_Stock'!R78</f>
        <v/>
      </c>
      <c r="AA83" s="15">
        <f>'Grid_Stock'!S78</f>
        <v/>
      </c>
      <c r="AB83" s="15">
        <f>'Grid_Stock'!T78</f>
        <v/>
      </c>
      <c r="AC83" s="15">
        <f>'Grid_Stock'!U78</f>
        <v/>
      </c>
      <c r="AD83" s="15">
        <f>'Grid_Stock'!V78</f>
        <v/>
      </c>
      <c r="AE83" s="15">
        <f>'Grid_Stock'!W78</f>
        <v/>
      </c>
      <c r="AF83" s="15">
        <f>'Grid_Stock'!X78</f>
        <v/>
      </c>
      <c r="AG83" s="15">
        <f>'Grid_Stock'!Y78</f>
        <v/>
      </c>
      <c r="AH83" s="15">
        <f>'Grid_Stock'!Z78</f>
        <v/>
      </c>
      <c r="AI83" s="15">
        <f>'Grid_Stock'!AA78</f>
        <v/>
      </c>
      <c r="AJ83" s="15">
        <f>'Grid_Stock'!AB78</f>
        <v/>
      </c>
      <c r="AK83" s="15">
        <f>'Grid_Stock'!AC78</f>
        <v/>
      </c>
      <c r="AL83" s="15">
        <f>'Grid_Stock'!AD78</f>
        <v/>
      </c>
      <c r="AM83" s="15">
        <f>'Grid_Stock'!AE78</f>
        <v/>
      </c>
      <c r="AN83" s="15">
        <f>'Grid_Stock'!AF78</f>
        <v/>
      </c>
      <c r="AO83" s="15">
        <f>'Grid_Stock'!AG78</f>
        <v/>
      </c>
      <c r="AP83" s="15">
        <f>'Grid_Stock'!AH78</f>
        <v/>
      </c>
      <c r="AQ83" s="15">
        <f>'Grid_Stock'!AI78</f>
        <v/>
      </c>
      <c r="AR83" s="15">
        <f>'Grid_Stock'!AJ78</f>
        <v/>
      </c>
      <c r="AS83" s="15">
        <f>'Grid_Stock'!AK78</f>
        <v/>
      </c>
      <c r="AT83" s="15">
        <f>'Grid_Stock'!AL78</f>
        <v/>
      </c>
      <c r="AU83" s="15">
        <f>'Grid_Stock'!AM78</f>
        <v/>
      </c>
      <c r="AV83" s="15">
        <f>'Grid_Stock'!AN78</f>
        <v/>
      </c>
      <c r="AW83" s="15">
        <f>'Grid_Stock'!AO78</f>
        <v/>
      </c>
      <c r="AX83" s="15">
        <f>'Grid_Stock'!AP78</f>
        <v/>
      </c>
      <c r="AY83" s="15">
        <f>'Grid_Stock'!AQ78</f>
        <v/>
      </c>
      <c r="AZ83" s="15">
        <f>'Grid_Stock'!AR78</f>
        <v/>
      </c>
      <c r="BA83" s="15">
        <f>'Grid_Stock'!AS78</f>
        <v/>
      </c>
      <c r="BB83" s="15">
        <f>'Grid_Stock'!AT78</f>
        <v/>
      </c>
      <c r="BC83" s="15">
        <f>'Grid_Stock'!AU78</f>
        <v/>
      </c>
      <c r="BD83" s="15">
        <f>'Grid_Stock'!AV78</f>
        <v/>
      </c>
      <c r="BE83" s="15">
        <f>'Grid_Stock'!AW78</f>
        <v/>
      </c>
      <c r="BF83" s="15">
        <f>'Grid_Stock'!AX78</f>
        <v/>
      </c>
      <c r="BG83" s="15">
        <f>'Grid_Stock'!AY78</f>
        <v/>
      </c>
      <c r="BH83" s="15">
        <f>'Grid_Stock'!AZ78</f>
        <v/>
      </c>
      <c r="BI83" s="15">
        <f>'Grid_Stock'!BA78</f>
        <v/>
      </c>
      <c r="BJ83" s="15">
        <f>'Grid_Stock'!BB78</f>
        <v/>
      </c>
      <c r="BK83" s="15">
        <f>'Grid_Stock'!BC78</f>
        <v/>
      </c>
      <c r="BL83" s="15">
        <f>'Grid_Stock'!BD78</f>
        <v/>
      </c>
      <c r="BM83" s="15">
        <f>'Grid_Stock'!BE78</f>
        <v/>
      </c>
      <c r="BN83" s="15">
        <f>'Grid_Stock'!BF78</f>
        <v/>
      </c>
      <c r="BO83" s="15">
        <f>'Grid_Stock'!BG78</f>
        <v/>
      </c>
      <c r="BP83" s="15">
        <f>'Grid_Stock'!BH78</f>
        <v/>
      </c>
      <c r="BQ83" s="15">
        <f>'Grid_Stock'!BI78</f>
        <v/>
      </c>
      <c r="BR83" s="15">
        <f>'Grid_Stock'!BJ78</f>
        <v/>
      </c>
      <c r="BS83" s="15">
        <f>'Grid_Stock'!BK78</f>
        <v/>
      </c>
      <c r="BT83" s="15">
        <f>'Grid_Stock'!BL78</f>
        <v/>
      </c>
      <c r="BU83" s="15">
        <f>'Grid_Stock'!BM78</f>
        <v/>
      </c>
      <c r="BV83" s="15">
        <f>'Grid_Stock'!BN78</f>
        <v/>
      </c>
      <c r="BW83" s="15">
        <f>'Grid_Stock'!BO78</f>
        <v/>
      </c>
      <c r="BX83" s="15">
        <f>'Grid_Stock'!BP78</f>
        <v/>
      </c>
      <c r="BY83" s="15">
        <f>'Grid_Stock'!BQ78</f>
        <v/>
      </c>
      <c r="BZ83" s="15">
        <f>'Grid_Stock'!BR78</f>
        <v/>
      </c>
      <c r="CA83" s="15">
        <f>'Grid_Stock'!BS78</f>
        <v/>
      </c>
      <c r="CB83" s="15">
        <f>'Grid_Stock'!BT78</f>
        <v/>
      </c>
      <c r="CC83" s="15">
        <f>'Grid_Stock'!BU78</f>
        <v/>
      </c>
      <c r="CD83" s="15">
        <f>'Grid_Stock'!BV78</f>
        <v/>
      </c>
      <c r="CE83" s="15">
        <f>'Grid_Stock'!BW78</f>
        <v/>
      </c>
      <c r="CF83" s="15">
        <f>'Grid_Stock'!BX78</f>
        <v/>
      </c>
      <c r="CG83" s="15">
        <f>'Grid_Stock'!BY78</f>
        <v/>
      </c>
      <c r="CH83" s="15">
        <f>'Grid_Stock'!BZ78</f>
        <v/>
      </c>
      <c r="CI83" s="15">
        <f>'Grid_Stock'!CA78</f>
        <v/>
      </c>
      <c r="CJ83" s="15">
        <f>'Grid_Stock'!CB78</f>
        <v/>
      </c>
      <c r="CK83" s="15">
        <f>'Grid_Stock'!CC78</f>
        <v/>
      </c>
      <c r="CL83" s="15">
        <f>'Grid_Stock'!CD78</f>
        <v/>
      </c>
      <c r="CM83" s="15">
        <f>'Grid_Stock'!CE78</f>
        <v/>
      </c>
      <c r="CN83" s="15">
        <f>'Grid_Stock'!CF78</f>
        <v/>
      </c>
      <c r="CO83" s="15">
        <f>'Grid_Stock'!CG78</f>
        <v/>
      </c>
      <c r="CP83" s="15">
        <f>'Grid_Stock'!CH78</f>
        <v/>
      </c>
      <c r="CQ83" s="15">
        <f>'Grid_Stock'!CI78</f>
        <v/>
      </c>
      <c r="CR83" s="15">
        <f>'Grid_Stock'!CJ78</f>
        <v/>
      </c>
      <c r="CS83" s="15">
        <f>'Grid_Stock'!CK78</f>
        <v/>
      </c>
      <c r="CT83" s="15">
        <f>'Grid_Stock'!CL78</f>
        <v/>
      </c>
      <c r="CU83" s="15">
        <f>'Grid_Stock'!CM78</f>
        <v/>
      </c>
      <c r="CV83" s="15">
        <f>'Grid_Stock'!CN78</f>
        <v/>
      </c>
      <c r="CW83" s="15">
        <f>'Grid_Stock'!CO78</f>
        <v/>
      </c>
      <c r="CX83" s="15">
        <f>'Grid_Stock'!CP78</f>
        <v/>
      </c>
      <c r="CY83" s="15">
        <f>'Grid_Stock'!CQ78</f>
        <v/>
      </c>
      <c r="CZ83" s="15">
        <f>'Grid_Stock'!CR78</f>
        <v/>
      </c>
      <c r="DA83" s="15">
        <f>'Grid_Stock'!CS78</f>
        <v/>
      </c>
      <c r="DB83" s="15">
        <f>'Grid_Stock'!CT78</f>
        <v/>
      </c>
      <c r="DC83" s="15">
        <f>'Grid_Stock'!CU78</f>
        <v/>
      </c>
      <c r="DD83" s="15">
        <f>'Grid_Stock'!CV78</f>
        <v/>
      </c>
      <c r="DE83" s="15">
        <f>'Grid_Stock'!CW78</f>
        <v/>
      </c>
      <c r="DF83" s="15">
        <f>'Grid_Stock'!CX78</f>
        <v/>
      </c>
      <c r="DG83" s="15">
        <f>'Grid_Stock'!CY78</f>
        <v/>
      </c>
      <c r="DH83" s="15">
        <f>'Grid_Stock'!CZ78</f>
        <v/>
      </c>
      <c r="DI83" s="15">
        <f>'Grid_Stock'!DA78</f>
        <v/>
      </c>
    </row>
    <row r="84">
      <c r="A84" s="17" t="inlineStr">
        <is>
          <t>Chem-1490</t>
        </is>
      </c>
      <c r="B84" s="17">
        <f>IFERROR(INDEX(M_RawMaterials[Description],MATCH($A84,M_RawMaterials[RM_Code],0)),"")</f>
        <v/>
      </c>
      <c r="C84" s="17">
        <f>IFERROR(INDEX(M_RawMaterials[Category],MATCH($A84,M_RawMaterials[RM_Code],0)),"")</f>
        <v/>
      </c>
      <c r="D84" s="17">
        <f>IFERROR(INDEX(M_RawMaterials[SafetyStock_Qty_要入力],MATCH($A84,M_RawMaterials[RM_Code],0)),0)</f>
        <v/>
      </c>
      <c r="E84" s="17">
        <f>IFERROR(LOOKUP(2,1/(T_SelfStock!$A$2:$A$12000=$A84),T_SelfStock!$D$2:$D$12000),"")</f>
        <v/>
      </c>
      <c r="F84" s="17">
        <f>IFERROR(LOOKUP(2,1/(T_TTAFStock!$A$2:$A$12000=$A84),T_TTAFStock!$D$2:$D$12000),"")</f>
        <v/>
      </c>
      <c r="G84" s="17">
        <f>IFERROR(INDEX(Cal_Weeks[Label],LOOKUP(2,1/(T_SelfStock!$A$2:$A$12000=$A84),T_SelfStock!$B$2:$B$12000)),"")</f>
        <v/>
      </c>
      <c r="H84" s="17">
        <f>IF(MIN(J84:DI84)&lt;D84,"要発注","OK")</f>
        <v/>
      </c>
      <c r="I84" s="16">
        <f>IFERROR(INDEX(J84:DI84,$F$1),"")</f>
        <v/>
      </c>
      <c r="J84" s="17">
        <f>'Grid_Stock'!B79</f>
        <v/>
      </c>
      <c r="K84" s="17">
        <f>'Grid_Stock'!C79</f>
        <v/>
      </c>
      <c r="L84" s="17">
        <f>'Grid_Stock'!D79</f>
        <v/>
      </c>
      <c r="M84" s="17">
        <f>'Grid_Stock'!E79</f>
        <v/>
      </c>
      <c r="N84" s="17">
        <f>'Grid_Stock'!F79</f>
        <v/>
      </c>
      <c r="O84" s="17">
        <f>'Grid_Stock'!G79</f>
        <v/>
      </c>
      <c r="P84" s="17">
        <f>'Grid_Stock'!H79</f>
        <v/>
      </c>
      <c r="Q84" s="17">
        <f>'Grid_Stock'!I79</f>
        <v/>
      </c>
      <c r="R84" s="17">
        <f>'Grid_Stock'!J79</f>
        <v/>
      </c>
      <c r="S84" s="17">
        <f>'Grid_Stock'!K79</f>
        <v/>
      </c>
      <c r="T84" s="17">
        <f>'Grid_Stock'!L79</f>
        <v/>
      </c>
      <c r="U84" s="17">
        <f>'Grid_Stock'!M79</f>
        <v/>
      </c>
      <c r="V84" s="17">
        <f>'Grid_Stock'!N79</f>
        <v/>
      </c>
      <c r="W84" s="17">
        <f>'Grid_Stock'!O79</f>
        <v/>
      </c>
      <c r="X84" s="17">
        <f>'Grid_Stock'!P79</f>
        <v/>
      </c>
      <c r="Y84" s="17">
        <f>'Grid_Stock'!Q79</f>
        <v/>
      </c>
      <c r="Z84" s="17">
        <f>'Grid_Stock'!R79</f>
        <v/>
      </c>
      <c r="AA84" s="17">
        <f>'Grid_Stock'!S79</f>
        <v/>
      </c>
      <c r="AB84" s="17">
        <f>'Grid_Stock'!T79</f>
        <v/>
      </c>
      <c r="AC84" s="17">
        <f>'Grid_Stock'!U79</f>
        <v/>
      </c>
      <c r="AD84" s="17">
        <f>'Grid_Stock'!V79</f>
        <v/>
      </c>
      <c r="AE84" s="17">
        <f>'Grid_Stock'!W79</f>
        <v/>
      </c>
      <c r="AF84" s="17">
        <f>'Grid_Stock'!X79</f>
        <v/>
      </c>
      <c r="AG84" s="17">
        <f>'Grid_Stock'!Y79</f>
        <v/>
      </c>
      <c r="AH84" s="17">
        <f>'Grid_Stock'!Z79</f>
        <v/>
      </c>
      <c r="AI84" s="17">
        <f>'Grid_Stock'!AA79</f>
        <v/>
      </c>
      <c r="AJ84" s="17">
        <f>'Grid_Stock'!AB79</f>
        <v/>
      </c>
      <c r="AK84" s="17">
        <f>'Grid_Stock'!AC79</f>
        <v/>
      </c>
      <c r="AL84" s="17">
        <f>'Grid_Stock'!AD79</f>
        <v/>
      </c>
      <c r="AM84" s="17">
        <f>'Grid_Stock'!AE79</f>
        <v/>
      </c>
      <c r="AN84" s="17">
        <f>'Grid_Stock'!AF79</f>
        <v/>
      </c>
      <c r="AO84" s="17">
        <f>'Grid_Stock'!AG79</f>
        <v/>
      </c>
      <c r="AP84" s="17">
        <f>'Grid_Stock'!AH79</f>
        <v/>
      </c>
      <c r="AQ84" s="17">
        <f>'Grid_Stock'!AI79</f>
        <v/>
      </c>
      <c r="AR84" s="17">
        <f>'Grid_Stock'!AJ79</f>
        <v/>
      </c>
      <c r="AS84" s="17">
        <f>'Grid_Stock'!AK79</f>
        <v/>
      </c>
      <c r="AT84" s="17">
        <f>'Grid_Stock'!AL79</f>
        <v/>
      </c>
      <c r="AU84" s="17">
        <f>'Grid_Stock'!AM79</f>
        <v/>
      </c>
      <c r="AV84" s="17">
        <f>'Grid_Stock'!AN79</f>
        <v/>
      </c>
      <c r="AW84" s="17">
        <f>'Grid_Stock'!AO79</f>
        <v/>
      </c>
      <c r="AX84" s="17">
        <f>'Grid_Stock'!AP79</f>
        <v/>
      </c>
      <c r="AY84" s="17">
        <f>'Grid_Stock'!AQ79</f>
        <v/>
      </c>
      <c r="AZ84" s="17">
        <f>'Grid_Stock'!AR79</f>
        <v/>
      </c>
      <c r="BA84" s="17">
        <f>'Grid_Stock'!AS79</f>
        <v/>
      </c>
      <c r="BB84" s="17">
        <f>'Grid_Stock'!AT79</f>
        <v/>
      </c>
      <c r="BC84" s="17">
        <f>'Grid_Stock'!AU79</f>
        <v/>
      </c>
      <c r="BD84" s="17">
        <f>'Grid_Stock'!AV79</f>
        <v/>
      </c>
      <c r="BE84" s="17">
        <f>'Grid_Stock'!AW79</f>
        <v/>
      </c>
      <c r="BF84" s="17">
        <f>'Grid_Stock'!AX79</f>
        <v/>
      </c>
      <c r="BG84" s="17">
        <f>'Grid_Stock'!AY79</f>
        <v/>
      </c>
      <c r="BH84" s="17">
        <f>'Grid_Stock'!AZ79</f>
        <v/>
      </c>
      <c r="BI84" s="17">
        <f>'Grid_Stock'!BA79</f>
        <v/>
      </c>
      <c r="BJ84" s="17">
        <f>'Grid_Stock'!BB79</f>
        <v/>
      </c>
      <c r="BK84" s="17">
        <f>'Grid_Stock'!BC79</f>
        <v/>
      </c>
      <c r="BL84" s="17">
        <f>'Grid_Stock'!BD79</f>
        <v/>
      </c>
      <c r="BM84" s="17">
        <f>'Grid_Stock'!BE79</f>
        <v/>
      </c>
      <c r="BN84" s="17">
        <f>'Grid_Stock'!BF79</f>
        <v/>
      </c>
      <c r="BO84" s="17">
        <f>'Grid_Stock'!BG79</f>
        <v/>
      </c>
      <c r="BP84" s="17">
        <f>'Grid_Stock'!BH79</f>
        <v/>
      </c>
      <c r="BQ84" s="17">
        <f>'Grid_Stock'!BI79</f>
        <v/>
      </c>
      <c r="BR84" s="17">
        <f>'Grid_Stock'!BJ79</f>
        <v/>
      </c>
      <c r="BS84" s="17">
        <f>'Grid_Stock'!BK79</f>
        <v/>
      </c>
      <c r="BT84" s="17">
        <f>'Grid_Stock'!BL79</f>
        <v/>
      </c>
      <c r="BU84" s="17">
        <f>'Grid_Stock'!BM79</f>
        <v/>
      </c>
      <c r="BV84" s="17">
        <f>'Grid_Stock'!BN79</f>
        <v/>
      </c>
      <c r="BW84" s="17">
        <f>'Grid_Stock'!BO79</f>
        <v/>
      </c>
      <c r="BX84" s="17">
        <f>'Grid_Stock'!BP79</f>
        <v/>
      </c>
      <c r="BY84" s="17">
        <f>'Grid_Stock'!BQ79</f>
        <v/>
      </c>
      <c r="BZ84" s="17">
        <f>'Grid_Stock'!BR79</f>
        <v/>
      </c>
      <c r="CA84" s="17">
        <f>'Grid_Stock'!BS79</f>
        <v/>
      </c>
      <c r="CB84" s="17">
        <f>'Grid_Stock'!BT79</f>
        <v/>
      </c>
      <c r="CC84" s="17">
        <f>'Grid_Stock'!BU79</f>
        <v/>
      </c>
      <c r="CD84" s="17">
        <f>'Grid_Stock'!BV79</f>
        <v/>
      </c>
      <c r="CE84" s="17">
        <f>'Grid_Stock'!BW79</f>
        <v/>
      </c>
      <c r="CF84" s="17">
        <f>'Grid_Stock'!BX79</f>
        <v/>
      </c>
      <c r="CG84" s="17">
        <f>'Grid_Stock'!BY79</f>
        <v/>
      </c>
      <c r="CH84" s="17">
        <f>'Grid_Stock'!BZ79</f>
        <v/>
      </c>
      <c r="CI84" s="17">
        <f>'Grid_Stock'!CA79</f>
        <v/>
      </c>
      <c r="CJ84" s="17">
        <f>'Grid_Stock'!CB79</f>
        <v/>
      </c>
      <c r="CK84" s="17">
        <f>'Grid_Stock'!CC79</f>
        <v/>
      </c>
      <c r="CL84" s="17">
        <f>'Grid_Stock'!CD79</f>
        <v/>
      </c>
      <c r="CM84" s="17">
        <f>'Grid_Stock'!CE79</f>
        <v/>
      </c>
      <c r="CN84" s="17">
        <f>'Grid_Stock'!CF79</f>
        <v/>
      </c>
      <c r="CO84" s="17">
        <f>'Grid_Stock'!CG79</f>
        <v/>
      </c>
      <c r="CP84" s="17">
        <f>'Grid_Stock'!CH79</f>
        <v/>
      </c>
      <c r="CQ84" s="17">
        <f>'Grid_Stock'!CI79</f>
        <v/>
      </c>
      <c r="CR84" s="17">
        <f>'Grid_Stock'!CJ79</f>
        <v/>
      </c>
      <c r="CS84" s="17">
        <f>'Grid_Stock'!CK79</f>
        <v/>
      </c>
      <c r="CT84" s="17">
        <f>'Grid_Stock'!CL79</f>
        <v/>
      </c>
      <c r="CU84" s="17">
        <f>'Grid_Stock'!CM79</f>
        <v/>
      </c>
      <c r="CV84" s="17">
        <f>'Grid_Stock'!CN79</f>
        <v/>
      </c>
      <c r="CW84" s="17">
        <f>'Grid_Stock'!CO79</f>
        <v/>
      </c>
      <c r="CX84" s="17">
        <f>'Grid_Stock'!CP79</f>
        <v/>
      </c>
      <c r="CY84" s="17">
        <f>'Grid_Stock'!CQ79</f>
        <v/>
      </c>
      <c r="CZ84" s="17">
        <f>'Grid_Stock'!CR79</f>
        <v/>
      </c>
      <c r="DA84" s="17">
        <f>'Grid_Stock'!CS79</f>
        <v/>
      </c>
      <c r="DB84" s="17">
        <f>'Grid_Stock'!CT79</f>
        <v/>
      </c>
      <c r="DC84" s="17">
        <f>'Grid_Stock'!CU79</f>
        <v/>
      </c>
      <c r="DD84" s="17">
        <f>'Grid_Stock'!CV79</f>
        <v/>
      </c>
      <c r="DE84" s="17">
        <f>'Grid_Stock'!CW79</f>
        <v/>
      </c>
      <c r="DF84" s="17">
        <f>'Grid_Stock'!CX79</f>
        <v/>
      </c>
      <c r="DG84" s="17">
        <f>'Grid_Stock'!CY79</f>
        <v/>
      </c>
      <c r="DH84" s="17">
        <f>'Grid_Stock'!CZ79</f>
        <v/>
      </c>
      <c r="DI84" s="17">
        <f>'Grid_Stock'!DA79</f>
        <v/>
      </c>
    </row>
    <row r="85">
      <c r="A85" s="15" t="inlineStr">
        <is>
          <t>Chem-1790</t>
        </is>
      </c>
      <c r="B85" s="15">
        <f>IFERROR(INDEX(M_RawMaterials[Description],MATCH($A85,M_RawMaterials[RM_Code],0)),"")</f>
        <v/>
      </c>
      <c r="C85" s="15">
        <f>IFERROR(INDEX(M_RawMaterials[Category],MATCH($A85,M_RawMaterials[RM_Code],0)),"")</f>
        <v/>
      </c>
      <c r="D85" s="15">
        <f>IFERROR(INDEX(M_RawMaterials[SafetyStock_Qty_要入力],MATCH($A85,M_RawMaterials[RM_Code],0)),0)</f>
        <v/>
      </c>
      <c r="E85" s="15">
        <f>IFERROR(LOOKUP(2,1/(T_SelfStock!$A$2:$A$12000=$A85),T_SelfStock!$D$2:$D$12000),"")</f>
        <v/>
      </c>
      <c r="F85" s="15">
        <f>IFERROR(LOOKUP(2,1/(T_TTAFStock!$A$2:$A$12000=$A85),T_TTAFStock!$D$2:$D$12000),"")</f>
        <v/>
      </c>
      <c r="G85" s="15">
        <f>IFERROR(INDEX(Cal_Weeks[Label],LOOKUP(2,1/(T_SelfStock!$A$2:$A$12000=$A85),T_SelfStock!$B$2:$B$12000)),"")</f>
        <v/>
      </c>
      <c r="H85" s="15">
        <f>IF(MIN(J85:DI85)&lt;D85,"要発注","OK")</f>
        <v/>
      </c>
      <c r="I85" s="16">
        <f>IFERROR(INDEX(J85:DI85,$F$1),"")</f>
        <v/>
      </c>
      <c r="J85" s="15">
        <f>'Grid_Stock'!B80</f>
        <v/>
      </c>
      <c r="K85" s="15">
        <f>'Grid_Stock'!C80</f>
        <v/>
      </c>
      <c r="L85" s="15">
        <f>'Grid_Stock'!D80</f>
        <v/>
      </c>
      <c r="M85" s="15">
        <f>'Grid_Stock'!E80</f>
        <v/>
      </c>
      <c r="N85" s="15">
        <f>'Grid_Stock'!F80</f>
        <v/>
      </c>
      <c r="O85" s="15">
        <f>'Grid_Stock'!G80</f>
        <v/>
      </c>
      <c r="P85" s="15">
        <f>'Grid_Stock'!H80</f>
        <v/>
      </c>
      <c r="Q85" s="15">
        <f>'Grid_Stock'!I80</f>
        <v/>
      </c>
      <c r="R85" s="15">
        <f>'Grid_Stock'!J80</f>
        <v/>
      </c>
      <c r="S85" s="15">
        <f>'Grid_Stock'!K80</f>
        <v/>
      </c>
      <c r="T85" s="15">
        <f>'Grid_Stock'!L80</f>
        <v/>
      </c>
      <c r="U85" s="15">
        <f>'Grid_Stock'!M80</f>
        <v/>
      </c>
      <c r="V85" s="15">
        <f>'Grid_Stock'!N80</f>
        <v/>
      </c>
      <c r="W85" s="15">
        <f>'Grid_Stock'!O80</f>
        <v/>
      </c>
      <c r="X85" s="15">
        <f>'Grid_Stock'!P80</f>
        <v/>
      </c>
      <c r="Y85" s="15">
        <f>'Grid_Stock'!Q80</f>
        <v/>
      </c>
      <c r="Z85" s="15">
        <f>'Grid_Stock'!R80</f>
        <v/>
      </c>
      <c r="AA85" s="15">
        <f>'Grid_Stock'!S80</f>
        <v/>
      </c>
      <c r="AB85" s="15">
        <f>'Grid_Stock'!T80</f>
        <v/>
      </c>
      <c r="AC85" s="15">
        <f>'Grid_Stock'!U80</f>
        <v/>
      </c>
      <c r="AD85" s="15">
        <f>'Grid_Stock'!V80</f>
        <v/>
      </c>
      <c r="AE85" s="15">
        <f>'Grid_Stock'!W80</f>
        <v/>
      </c>
      <c r="AF85" s="15">
        <f>'Grid_Stock'!X80</f>
        <v/>
      </c>
      <c r="AG85" s="15">
        <f>'Grid_Stock'!Y80</f>
        <v/>
      </c>
      <c r="AH85" s="15">
        <f>'Grid_Stock'!Z80</f>
        <v/>
      </c>
      <c r="AI85" s="15">
        <f>'Grid_Stock'!AA80</f>
        <v/>
      </c>
      <c r="AJ85" s="15">
        <f>'Grid_Stock'!AB80</f>
        <v/>
      </c>
      <c r="AK85" s="15">
        <f>'Grid_Stock'!AC80</f>
        <v/>
      </c>
      <c r="AL85" s="15">
        <f>'Grid_Stock'!AD80</f>
        <v/>
      </c>
      <c r="AM85" s="15">
        <f>'Grid_Stock'!AE80</f>
        <v/>
      </c>
      <c r="AN85" s="15">
        <f>'Grid_Stock'!AF80</f>
        <v/>
      </c>
      <c r="AO85" s="15">
        <f>'Grid_Stock'!AG80</f>
        <v/>
      </c>
      <c r="AP85" s="15">
        <f>'Grid_Stock'!AH80</f>
        <v/>
      </c>
      <c r="AQ85" s="15">
        <f>'Grid_Stock'!AI80</f>
        <v/>
      </c>
      <c r="AR85" s="15">
        <f>'Grid_Stock'!AJ80</f>
        <v/>
      </c>
      <c r="AS85" s="15">
        <f>'Grid_Stock'!AK80</f>
        <v/>
      </c>
      <c r="AT85" s="15">
        <f>'Grid_Stock'!AL80</f>
        <v/>
      </c>
      <c r="AU85" s="15">
        <f>'Grid_Stock'!AM80</f>
        <v/>
      </c>
      <c r="AV85" s="15">
        <f>'Grid_Stock'!AN80</f>
        <v/>
      </c>
      <c r="AW85" s="15">
        <f>'Grid_Stock'!AO80</f>
        <v/>
      </c>
      <c r="AX85" s="15">
        <f>'Grid_Stock'!AP80</f>
        <v/>
      </c>
      <c r="AY85" s="15">
        <f>'Grid_Stock'!AQ80</f>
        <v/>
      </c>
      <c r="AZ85" s="15">
        <f>'Grid_Stock'!AR80</f>
        <v/>
      </c>
      <c r="BA85" s="15">
        <f>'Grid_Stock'!AS80</f>
        <v/>
      </c>
      <c r="BB85" s="15">
        <f>'Grid_Stock'!AT80</f>
        <v/>
      </c>
      <c r="BC85" s="15">
        <f>'Grid_Stock'!AU80</f>
        <v/>
      </c>
      <c r="BD85" s="15">
        <f>'Grid_Stock'!AV80</f>
        <v/>
      </c>
      <c r="BE85" s="15">
        <f>'Grid_Stock'!AW80</f>
        <v/>
      </c>
      <c r="BF85" s="15">
        <f>'Grid_Stock'!AX80</f>
        <v/>
      </c>
      <c r="BG85" s="15">
        <f>'Grid_Stock'!AY80</f>
        <v/>
      </c>
      <c r="BH85" s="15">
        <f>'Grid_Stock'!AZ80</f>
        <v/>
      </c>
      <c r="BI85" s="15">
        <f>'Grid_Stock'!BA80</f>
        <v/>
      </c>
      <c r="BJ85" s="15">
        <f>'Grid_Stock'!BB80</f>
        <v/>
      </c>
      <c r="BK85" s="15">
        <f>'Grid_Stock'!BC80</f>
        <v/>
      </c>
      <c r="BL85" s="15">
        <f>'Grid_Stock'!BD80</f>
        <v/>
      </c>
      <c r="BM85" s="15">
        <f>'Grid_Stock'!BE80</f>
        <v/>
      </c>
      <c r="BN85" s="15">
        <f>'Grid_Stock'!BF80</f>
        <v/>
      </c>
      <c r="BO85" s="15">
        <f>'Grid_Stock'!BG80</f>
        <v/>
      </c>
      <c r="BP85" s="15">
        <f>'Grid_Stock'!BH80</f>
        <v/>
      </c>
      <c r="BQ85" s="15">
        <f>'Grid_Stock'!BI80</f>
        <v/>
      </c>
      <c r="BR85" s="15">
        <f>'Grid_Stock'!BJ80</f>
        <v/>
      </c>
      <c r="BS85" s="15">
        <f>'Grid_Stock'!BK80</f>
        <v/>
      </c>
      <c r="BT85" s="15">
        <f>'Grid_Stock'!BL80</f>
        <v/>
      </c>
      <c r="BU85" s="15">
        <f>'Grid_Stock'!BM80</f>
        <v/>
      </c>
      <c r="BV85" s="15">
        <f>'Grid_Stock'!BN80</f>
        <v/>
      </c>
      <c r="BW85" s="15">
        <f>'Grid_Stock'!BO80</f>
        <v/>
      </c>
      <c r="BX85" s="15">
        <f>'Grid_Stock'!BP80</f>
        <v/>
      </c>
      <c r="BY85" s="15">
        <f>'Grid_Stock'!BQ80</f>
        <v/>
      </c>
      <c r="BZ85" s="15">
        <f>'Grid_Stock'!BR80</f>
        <v/>
      </c>
      <c r="CA85" s="15">
        <f>'Grid_Stock'!BS80</f>
        <v/>
      </c>
      <c r="CB85" s="15">
        <f>'Grid_Stock'!BT80</f>
        <v/>
      </c>
      <c r="CC85" s="15">
        <f>'Grid_Stock'!BU80</f>
        <v/>
      </c>
      <c r="CD85" s="15">
        <f>'Grid_Stock'!BV80</f>
        <v/>
      </c>
      <c r="CE85" s="15">
        <f>'Grid_Stock'!BW80</f>
        <v/>
      </c>
      <c r="CF85" s="15">
        <f>'Grid_Stock'!BX80</f>
        <v/>
      </c>
      <c r="CG85" s="15">
        <f>'Grid_Stock'!BY80</f>
        <v/>
      </c>
      <c r="CH85" s="15">
        <f>'Grid_Stock'!BZ80</f>
        <v/>
      </c>
      <c r="CI85" s="15">
        <f>'Grid_Stock'!CA80</f>
        <v/>
      </c>
      <c r="CJ85" s="15">
        <f>'Grid_Stock'!CB80</f>
        <v/>
      </c>
      <c r="CK85" s="15">
        <f>'Grid_Stock'!CC80</f>
        <v/>
      </c>
      <c r="CL85" s="15">
        <f>'Grid_Stock'!CD80</f>
        <v/>
      </c>
      <c r="CM85" s="15">
        <f>'Grid_Stock'!CE80</f>
        <v/>
      </c>
      <c r="CN85" s="15">
        <f>'Grid_Stock'!CF80</f>
        <v/>
      </c>
      <c r="CO85" s="15">
        <f>'Grid_Stock'!CG80</f>
        <v/>
      </c>
      <c r="CP85" s="15">
        <f>'Grid_Stock'!CH80</f>
        <v/>
      </c>
      <c r="CQ85" s="15">
        <f>'Grid_Stock'!CI80</f>
        <v/>
      </c>
      <c r="CR85" s="15">
        <f>'Grid_Stock'!CJ80</f>
        <v/>
      </c>
      <c r="CS85" s="15">
        <f>'Grid_Stock'!CK80</f>
        <v/>
      </c>
      <c r="CT85" s="15">
        <f>'Grid_Stock'!CL80</f>
        <v/>
      </c>
      <c r="CU85" s="15">
        <f>'Grid_Stock'!CM80</f>
        <v/>
      </c>
      <c r="CV85" s="15">
        <f>'Grid_Stock'!CN80</f>
        <v/>
      </c>
      <c r="CW85" s="15">
        <f>'Grid_Stock'!CO80</f>
        <v/>
      </c>
      <c r="CX85" s="15">
        <f>'Grid_Stock'!CP80</f>
        <v/>
      </c>
      <c r="CY85" s="15">
        <f>'Grid_Stock'!CQ80</f>
        <v/>
      </c>
      <c r="CZ85" s="15">
        <f>'Grid_Stock'!CR80</f>
        <v/>
      </c>
      <c r="DA85" s="15">
        <f>'Grid_Stock'!CS80</f>
        <v/>
      </c>
      <c r="DB85" s="15">
        <f>'Grid_Stock'!CT80</f>
        <v/>
      </c>
      <c r="DC85" s="15">
        <f>'Grid_Stock'!CU80</f>
        <v/>
      </c>
      <c r="DD85" s="15">
        <f>'Grid_Stock'!CV80</f>
        <v/>
      </c>
      <c r="DE85" s="15">
        <f>'Grid_Stock'!CW80</f>
        <v/>
      </c>
      <c r="DF85" s="15">
        <f>'Grid_Stock'!CX80</f>
        <v/>
      </c>
      <c r="DG85" s="15">
        <f>'Grid_Stock'!CY80</f>
        <v/>
      </c>
      <c r="DH85" s="15">
        <f>'Grid_Stock'!CZ80</f>
        <v/>
      </c>
      <c r="DI85" s="15">
        <f>'Grid_Stock'!DA80</f>
        <v/>
      </c>
    </row>
    <row r="86">
      <c r="A86" s="17" t="inlineStr">
        <is>
          <t>Chem-1800</t>
        </is>
      </c>
      <c r="B86" s="17">
        <f>IFERROR(INDEX(M_RawMaterials[Description],MATCH($A86,M_RawMaterials[RM_Code],0)),"")</f>
        <v/>
      </c>
      <c r="C86" s="17">
        <f>IFERROR(INDEX(M_RawMaterials[Category],MATCH($A86,M_RawMaterials[RM_Code],0)),"")</f>
        <v/>
      </c>
      <c r="D86" s="17">
        <f>IFERROR(INDEX(M_RawMaterials[SafetyStock_Qty_要入力],MATCH($A86,M_RawMaterials[RM_Code],0)),0)</f>
        <v/>
      </c>
      <c r="E86" s="17">
        <f>IFERROR(LOOKUP(2,1/(T_SelfStock!$A$2:$A$12000=$A86),T_SelfStock!$D$2:$D$12000),"")</f>
        <v/>
      </c>
      <c r="F86" s="17">
        <f>IFERROR(LOOKUP(2,1/(T_TTAFStock!$A$2:$A$12000=$A86),T_TTAFStock!$D$2:$D$12000),"")</f>
        <v/>
      </c>
      <c r="G86" s="17">
        <f>IFERROR(INDEX(Cal_Weeks[Label],LOOKUP(2,1/(T_SelfStock!$A$2:$A$12000=$A86),T_SelfStock!$B$2:$B$12000)),"")</f>
        <v/>
      </c>
      <c r="H86" s="17">
        <f>IF(MIN(J86:DI86)&lt;D86,"要発注","OK")</f>
        <v/>
      </c>
      <c r="I86" s="16">
        <f>IFERROR(INDEX(J86:DI86,$F$1),"")</f>
        <v/>
      </c>
      <c r="J86" s="17">
        <f>'Grid_Stock'!B81</f>
        <v/>
      </c>
      <c r="K86" s="17">
        <f>'Grid_Stock'!C81</f>
        <v/>
      </c>
      <c r="L86" s="17">
        <f>'Grid_Stock'!D81</f>
        <v/>
      </c>
      <c r="M86" s="17">
        <f>'Grid_Stock'!E81</f>
        <v/>
      </c>
      <c r="N86" s="17">
        <f>'Grid_Stock'!F81</f>
        <v/>
      </c>
      <c r="O86" s="17">
        <f>'Grid_Stock'!G81</f>
        <v/>
      </c>
      <c r="P86" s="17">
        <f>'Grid_Stock'!H81</f>
        <v/>
      </c>
      <c r="Q86" s="17">
        <f>'Grid_Stock'!I81</f>
        <v/>
      </c>
      <c r="R86" s="17">
        <f>'Grid_Stock'!J81</f>
        <v/>
      </c>
      <c r="S86" s="17">
        <f>'Grid_Stock'!K81</f>
        <v/>
      </c>
      <c r="T86" s="17">
        <f>'Grid_Stock'!L81</f>
        <v/>
      </c>
      <c r="U86" s="17">
        <f>'Grid_Stock'!M81</f>
        <v/>
      </c>
      <c r="V86" s="17">
        <f>'Grid_Stock'!N81</f>
        <v/>
      </c>
      <c r="W86" s="17">
        <f>'Grid_Stock'!O81</f>
        <v/>
      </c>
      <c r="X86" s="17">
        <f>'Grid_Stock'!P81</f>
        <v/>
      </c>
      <c r="Y86" s="17">
        <f>'Grid_Stock'!Q81</f>
        <v/>
      </c>
      <c r="Z86" s="17">
        <f>'Grid_Stock'!R81</f>
        <v/>
      </c>
      <c r="AA86" s="17">
        <f>'Grid_Stock'!S81</f>
        <v/>
      </c>
      <c r="AB86" s="17">
        <f>'Grid_Stock'!T81</f>
        <v/>
      </c>
      <c r="AC86" s="17">
        <f>'Grid_Stock'!U81</f>
        <v/>
      </c>
      <c r="AD86" s="17">
        <f>'Grid_Stock'!V81</f>
        <v/>
      </c>
      <c r="AE86" s="17">
        <f>'Grid_Stock'!W81</f>
        <v/>
      </c>
      <c r="AF86" s="17">
        <f>'Grid_Stock'!X81</f>
        <v/>
      </c>
      <c r="AG86" s="17">
        <f>'Grid_Stock'!Y81</f>
        <v/>
      </c>
      <c r="AH86" s="17">
        <f>'Grid_Stock'!Z81</f>
        <v/>
      </c>
      <c r="AI86" s="17">
        <f>'Grid_Stock'!AA81</f>
        <v/>
      </c>
      <c r="AJ86" s="17">
        <f>'Grid_Stock'!AB81</f>
        <v/>
      </c>
      <c r="AK86" s="17">
        <f>'Grid_Stock'!AC81</f>
        <v/>
      </c>
      <c r="AL86" s="17">
        <f>'Grid_Stock'!AD81</f>
        <v/>
      </c>
      <c r="AM86" s="17">
        <f>'Grid_Stock'!AE81</f>
        <v/>
      </c>
      <c r="AN86" s="17">
        <f>'Grid_Stock'!AF81</f>
        <v/>
      </c>
      <c r="AO86" s="17">
        <f>'Grid_Stock'!AG81</f>
        <v/>
      </c>
      <c r="AP86" s="17">
        <f>'Grid_Stock'!AH81</f>
        <v/>
      </c>
      <c r="AQ86" s="17">
        <f>'Grid_Stock'!AI81</f>
        <v/>
      </c>
      <c r="AR86" s="17">
        <f>'Grid_Stock'!AJ81</f>
        <v/>
      </c>
      <c r="AS86" s="17">
        <f>'Grid_Stock'!AK81</f>
        <v/>
      </c>
      <c r="AT86" s="17">
        <f>'Grid_Stock'!AL81</f>
        <v/>
      </c>
      <c r="AU86" s="17">
        <f>'Grid_Stock'!AM81</f>
        <v/>
      </c>
      <c r="AV86" s="17">
        <f>'Grid_Stock'!AN81</f>
        <v/>
      </c>
      <c r="AW86" s="17">
        <f>'Grid_Stock'!AO81</f>
        <v/>
      </c>
      <c r="AX86" s="17">
        <f>'Grid_Stock'!AP81</f>
        <v/>
      </c>
      <c r="AY86" s="17">
        <f>'Grid_Stock'!AQ81</f>
        <v/>
      </c>
      <c r="AZ86" s="17">
        <f>'Grid_Stock'!AR81</f>
        <v/>
      </c>
      <c r="BA86" s="17">
        <f>'Grid_Stock'!AS81</f>
        <v/>
      </c>
      <c r="BB86" s="17">
        <f>'Grid_Stock'!AT81</f>
        <v/>
      </c>
      <c r="BC86" s="17">
        <f>'Grid_Stock'!AU81</f>
        <v/>
      </c>
      <c r="BD86" s="17">
        <f>'Grid_Stock'!AV81</f>
        <v/>
      </c>
      <c r="BE86" s="17">
        <f>'Grid_Stock'!AW81</f>
        <v/>
      </c>
      <c r="BF86" s="17">
        <f>'Grid_Stock'!AX81</f>
        <v/>
      </c>
      <c r="BG86" s="17">
        <f>'Grid_Stock'!AY81</f>
        <v/>
      </c>
      <c r="BH86" s="17">
        <f>'Grid_Stock'!AZ81</f>
        <v/>
      </c>
      <c r="BI86" s="17">
        <f>'Grid_Stock'!BA81</f>
        <v/>
      </c>
      <c r="BJ86" s="17">
        <f>'Grid_Stock'!BB81</f>
        <v/>
      </c>
      <c r="BK86" s="17">
        <f>'Grid_Stock'!BC81</f>
        <v/>
      </c>
      <c r="BL86" s="17">
        <f>'Grid_Stock'!BD81</f>
        <v/>
      </c>
      <c r="BM86" s="17">
        <f>'Grid_Stock'!BE81</f>
        <v/>
      </c>
      <c r="BN86" s="17">
        <f>'Grid_Stock'!BF81</f>
        <v/>
      </c>
      <c r="BO86" s="17">
        <f>'Grid_Stock'!BG81</f>
        <v/>
      </c>
      <c r="BP86" s="17">
        <f>'Grid_Stock'!BH81</f>
        <v/>
      </c>
      <c r="BQ86" s="17">
        <f>'Grid_Stock'!BI81</f>
        <v/>
      </c>
      <c r="BR86" s="17">
        <f>'Grid_Stock'!BJ81</f>
        <v/>
      </c>
      <c r="BS86" s="17">
        <f>'Grid_Stock'!BK81</f>
        <v/>
      </c>
      <c r="BT86" s="17">
        <f>'Grid_Stock'!BL81</f>
        <v/>
      </c>
      <c r="BU86" s="17">
        <f>'Grid_Stock'!BM81</f>
        <v/>
      </c>
      <c r="BV86" s="17">
        <f>'Grid_Stock'!BN81</f>
        <v/>
      </c>
      <c r="BW86" s="17">
        <f>'Grid_Stock'!BO81</f>
        <v/>
      </c>
      <c r="BX86" s="17">
        <f>'Grid_Stock'!BP81</f>
        <v/>
      </c>
      <c r="BY86" s="17">
        <f>'Grid_Stock'!BQ81</f>
        <v/>
      </c>
      <c r="BZ86" s="17">
        <f>'Grid_Stock'!BR81</f>
        <v/>
      </c>
      <c r="CA86" s="17">
        <f>'Grid_Stock'!BS81</f>
        <v/>
      </c>
      <c r="CB86" s="17">
        <f>'Grid_Stock'!BT81</f>
        <v/>
      </c>
      <c r="CC86" s="17">
        <f>'Grid_Stock'!BU81</f>
        <v/>
      </c>
      <c r="CD86" s="17">
        <f>'Grid_Stock'!BV81</f>
        <v/>
      </c>
      <c r="CE86" s="17">
        <f>'Grid_Stock'!BW81</f>
        <v/>
      </c>
      <c r="CF86" s="17">
        <f>'Grid_Stock'!BX81</f>
        <v/>
      </c>
      <c r="CG86" s="17">
        <f>'Grid_Stock'!BY81</f>
        <v/>
      </c>
      <c r="CH86" s="17">
        <f>'Grid_Stock'!BZ81</f>
        <v/>
      </c>
      <c r="CI86" s="17">
        <f>'Grid_Stock'!CA81</f>
        <v/>
      </c>
      <c r="CJ86" s="17">
        <f>'Grid_Stock'!CB81</f>
        <v/>
      </c>
      <c r="CK86" s="17">
        <f>'Grid_Stock'!CC81</f>
        <v/>
      </c>
      <c r="CL86" s="17">
        <f>'Grid_Stock'!CD81</f>
        <v/>
      </c>
      <c r="CM86" s="17">
        <f>'Grid_Stock'!CE81</f>
        <v/>
      </c>
      <c r="CN86" s="17">
        <f>'Grid_Stock'!CF81</f>
        <v/>
      </c>
      <c r="CO86" s="17">
        <f>'Grid_Stock'!CG81</f>
        <v/>
      </c>
      <c r="CP86" s="17">
        <f>'Grid_Stock'!CH81</f>
        <v/>
      </c>
      <c r="CQ86" s="17">
        <f>'Grid_Stock'!CI81</f>
        <v/>
      </c>
      <c r="CR86" s="17">
        <f>'Grid_Stock'!CJ81</f>
        <v/>
      </c>
      <c r="CS86" s="17">
        <f>'Grid_Stock'!CK81</f>
        <v/>
      </c>
      <c r="CT86" s="17">
        <f>'Grid_Stock'!CL81</f>
        <v/>
      </c>
      <c r="CU86" s="17">
        <f>'Grid_Stock'!CM81</f>
        <v/>
      </c>
      <c r="CV86" s="17">
        <f>'Grid_Stock'!CN81</f>
        <v/>
      </c>
      <c r="CW86" s="17">
        <f>'Grid_Stock'!CO81</f>
        <v/>
      </c>
      <c r="CX86" s="17">
        <f>'Grid_Stock'!CP81</f>
        <v/>
      </c>
      <c r="CY86" s="17">
        <f>'Grid_Stock'!CQ81</f>
        <v/>
      </c>
      <c r="CZ86" s="17">
        <f>'Grid_Stock'!CR81</f>
        <v/>
      </c>
      <c r="DA86" s="17">
        <f>'Grid_Stock'!CS81</f>
        <v/>
      </c>
      <c r="DB86" s="17">
        <f>'Grid_Stock'!CT81</f>
        <v/>
      </c>
      <c r="DC86" s="17">
        <f>'Grid_Stock'!CU81</f>
        <v/>
      </c>
      <c r="DD86" s="17">
        <f>'Grid_Stock'!CV81</f>
        <v/>
      </c>
      <c r="DE86" s="17">
        <f>'Grid_Stock'!CW81</f>
        <v/>
      </c>
      <c r="DF86" s="17">
        <f>'Grid_Stock'!CX81</f>
        <v/>
      </c>
      <c r="DG86" s="17">
        <f>'Grid_Stock'!CY81</f>
        <v/>
      </c>
      <c r="DH86" s="17">
        <f>'Grid_Stock'!CZ81</f>
        <v/>
      </c>
      <c r="DI86" s="17">
        <f>'Grid_Stock'!DA81</f>
        <v/>
      </c>
    </row>
    <row r="87">
      <c r="A87" s="15" t="inlineStr">
        <is>
          <t>A043</t>
        </is>
      </c>
      <c r="B87" s="15">
        <f>IFERROR(INDEX(M_RawMaterials[Description],MATCH($A87,M_RawMaterials[RM_Code],0)),"")</f>
        <v/>
      </c>
      <c r="C87" s="15">
        <f>IFERROR(INDEX(M_RawMaterials[Category],MATCH($A87,M_RawMaterials[RM_Code],0)),"")</f>
        <v/>
      </c>
      <c r="D87" s="15">
        <f>IFERROR(INDEX(M_RawMaterials[SafetyStock_Qty_要入力],MATCH($A87,M_RawMaterials[RM_Code],0)),0)</f>
        <v/>
      </c>
      <c r="E87" s="15">
        <f>IFERROR(LOOKUP(2,1/(T_SelfStock!$A$2:$A$12000=$A87),T_SelfStock!$D$2:$D$12000),"")</f>
        <v/>
      </c>
      <c r="F87" s="15">
        <f>IFERROR(LOOKUP(2,1/(T_TTAFStock!$A$2:$A$12000=$A87),T_TTAFStock!$D$2:$D$12000),"")</f>
        <v/>
      </c>
      <c r="G87" s="15">
        <f>IFERROR(INDEX(Cal_Weeks[Label],LOOKUP(2,1/(T_SelfStock!$A$2:$A$12000=$A87),T_SelfStock!$B$2:$B$12000)),"")</f>
        <v/>
      </c>
      <c r="H87" s="15">
        <f>IF(MIN(J87:DI87)&lt;D87,"要発注","OK")</f>
        <v/>
      </c>
      <c r="I87" s="16">
        <f>IFERROR(INDEX(J87:DI87,$F$1),"")</f>
        <v/>
      </c>
      <c r="J87" s="15">
        <f>'Grid_Stock'!B82</f>
        <v/>
      </c>
      <c r="K87" s="15">
        <f>'Grid_Stock'!C82</f>
        <v/>
      </c>
      <c r="L87" s="15">
        <f>'Grid_Stock'!D82</f>
        <v/>
      </c>
      <c r="M87" s="15">
        <f>'Grid_Stock'!E82</f>
        <v/>
      </c>
      <c r="N87" s="15">
        <f>'Grid_Stock'!F82</f>
        <v/>
      </c>
      <c r="O87" s="15">
        <f>'Grid_Stock'!G82</f>
        <v/>
      </c>
      <c r="P87" s="15">
        <f>'Grid_Stock'!H82</f>
        <v/>
      </c>
      <c r="Q87" s="15">
        <f>'Grid_Stock'!I82</f>
        <v/>
      </c>
      <c r="R87" s="15">
        <f>'Grid_Stock'!J82</f>
        <v/>
      </c>
      <c r="S87" s="15">
        <f>'Grid_Stock'!K82</f>
        <v/>
      </c>
      <c r="T87" s="15">
        <f>'Grid_Stock'!L82</f>
        <v/>
      </c>
      <c r="U87" s="15">
        <f>'Grid_Stock'!M82</f>
        <v/>
      </c>
      <c r="V87" s="15">
        <f>'Grid_Stock'!N82</f>
        <v/>
      </c>
      <c r="W87" s="15">
        <f>'Grid_Stock'!O82</f>
        <v/>
      </c>
      <c r="X87" s="15">
        <f>'Grid_Stock'!P82</f>
        <v/>
      </c>
      <c r="Y87" s="15">
        <f>'Grid_Stock'!Q82</f>
        <v/>
      </c>
      <c r="Z87" s="15">
        <f>'Grid_Stock'!R82</f>
        <v/>
      </c>
      <c r="AA87" s="15">
        <f>'Grid_Stock'!S82</f>
        <v/>
      </c>
      <c r="AB87" s="15">
        <f>'Grid_Stock'!T82</f>
        <v/>
      </c>
      <c r="AC87" s="15">
        <f>'Grid_Stock'!U82</f>
        <v/>
      </c>
      <c r="AD87" s="15">
        <f>'Grid_Stock'!V82</f>
        <v/>
      </c>
      <c r="AE87" s="15">
        <f>'Grid_Stock'!W82</f>
        <v/>
      </c>
      <c r="AF87" s="15">
        <f>'Grid_Stock'!X82</f>
        <v/>
      </c>
      <c r="AG87" s="15">
        <f>'Grid_Stock'!Y82</f>
        <v/>
      </c>
      <c r="AH87" s="15">
        <f>'Grid_Stock'!Z82</f>
        <v/>
      </c>
      <c r="AI87" s="15">
        <f>'Grid_Stock'!AA82</f>
        <v/>
      </c>
      <c r="AJ87" s="15">
        <f>'Grid_Stock'!AB82</f>
        <v/>
      </c>
      <c r="AK87" s="15">
        <f>'Grid_Stock'!AC82</f>
        <v/>
      </c>
      <c r="AL87" s="15">
        <f>'Grid_Stock'!AD82</f>
        <v/>
      </c>
      <c r="AM87" s="15">
        <f>'Grid_Stock'!AE82</f>
        <v/>
      </c>
      <c r="AN87" s="15">
        <f>'Grid_Stock'!AF82</f>
        <v/>
      </c>
      <c r="AO87" s="15">
        <f>'Grid_Stock'!AG82</f>
        <v/>
      </c>
      <c r="AP87" s="15">
        <f>'Grid_Stock'!AH82</f>
        <v/>
      </c>
      <c r="AQ87" s="15">
        <f>'Grid_Stock'!AI82</f>
        <v/>
      </c>
      <c r="AR87" s="15">
        <f>'Grid_Stock'!AJ82</f>
        <v/>
      </c>
      <c r="AS87" s="15">
        <f>'Grid_Stock'!AK82</f>
        <v/>
      </c>
      <c r="AT87" s="15">
        <f>'Grid_Stock'!AL82</f>
        <v/>
      </c>
      <c r="AU87" s="15">
        <f>'Grid_Stock'!AM82</f>
        <v/>
      </c>
      <c r="AV87" s="15">
        <f>'Grid_Stock'!AN82</f>
        <v/>
      </c>
      <c r="AW87" s="15">
        <f>'Grid_Stock'!AO82</f>
        <v/>
      </c>
      <c r="AX87" s="15">
        <f>'Grid_Stock'!AP82</f>
        <v/>
      </c>
      <c r="AY87" s="15">
        <f>'Grid_Stock'!AQ82</f>
        <v/>
      </c>
      <c r="AZ87" s="15">
        <f>'Grid_Stock'!AR82</f>
        <v/>
      </c>
      <c r="BA87" s="15">
        <f>'Grid_Stock'!AS82</f>
        <v/>
      </c>
      <c r="BB87" s="15">
        <f>'Grid_Stock'!AT82</f>
        <v/>
      </c>
      <c r="BC87" s="15">
        <f>'Grid_Stock'!AU82</f>
        <v/>
      </c>
      <c r="BD87" s="15">
        <f>'Grid_Stock'!AV82</f>
        <v/>
      </c>
      <c r="BE87" s="15">
        <f>'Grid_Stock'!AW82</f>
        <v/>
      </c>
      <c r="BF87" s="15">
        <f>'Grid_Stock'!AX82</f>
        <v/>
      </c>
      <c r="BG87" s="15">
        <f>'Grid_Stock'!AY82</f>
        <v/>
      </c>
      <c r="BH87" s="15">
        <f>'Grid_Stock'!AZ82</f>
        <v/>
      </c>
      <c r="BI87" s="15">
        <f>'Grid_Stock'!BA82</f>
        <v/>
      </c>
      <c r="BJ87" s="15">
        <f>'Grid_Stock'!BB82</f>
        <v/>
      </c>
      <c r="BK87" s="15">
        <f>'Grid_Stock'!BC82</f>
        <v/>
      </c>
      <c r="BL87" s="15">
        <f>'Grid_Stock'!BD82</f>
        <v/>
      </c>
      <c r="BM87" s="15">
        <f>'Grid_Stock'!BE82</f>
        <v/>
      </c>
      <c r="BN87" s="15">
        <f>'Grid_Stock'!BF82</f>
        <v/>
      </c>
      <c r="BO87" s="15">
        <f>'Grid_Stock'!BG82</f>
        <v/>
      </c>
      <c r="BP87" s="15">
        <f>'Grid_Stock'!BH82</f>
        <v/>
      </c>
      <c r="BQ87" s="15">
        <f>'Grid_Stock'!BI82</f>
        <v/>
      </c>
      <c r="BR87" s="15">
        <f>'Grid_Stock'!BJ82</f>
        <v/>
      </c>
      <c r="BS87" s="15">
        <f>'Grid_Stock'!BK82</f>
        <v/>
      </c>
      <c r="BT87" s="15">
        <f>'Grid_Stock'!BL82</f>
        <v/>
      </c>
      <c r="BU87" s="15">
        <f>'Grid_Stock'!BM82</f>
        <v/>
      </c>
      <c r="BV87" s="15">
        <f>'Grid_Stock'!BN82</f>
        <v/>
      </c>
      <c r="BW87" s="15">
        <f>'Grid_Stock'!BO82</f>
        <v/>
      </c>
      <c r="BX87" s="15">
        <f>'Grid_Stock'!BP82</f>
        <v/>
      </c>
      <c r="BY87" s="15">
        <f>'Grid_Stock'!BQ82</f>
        <v/>
      </c>
      <c r="BZ87" s="15">
        <f>'Grid_Stock'!BR82</f>
        <v/>
      </c>
      <c r="CA87" s="15">
        <f>'Grid_Stock'!BS82</f>
        <v/>
      </c>
      <c r="CB87" s="15">
        <f>'Grid_Stock'!BT82</f>
        <v/>
      </c>
      <c r="CC87" s="15">
        <f>'Grid_Stock'!BU82</f>
        <v/>
      </c>
      <c r="CD87" s="15">
        <f>'Grid_Stock'!BV82</f>
        <v/>
      </c>
      <c r="CE87" s="15">
        <f>'Grid_Stock'!BW82</f>
        <v/>
      </c>
      <c r="CF87" s="15">
        <f>'Grid_Stock'!BX82</f>
        <v/>
      </c>
      <c r="CG87" s="15">
        <f>'Grid_Stock'!BY82</f>
        <v/>
      </c>
      <c r="CH87" s="15">
        <f>'Grid_Stock'!BZ82</f>
        <v/>
      </c>
      <c r="CI87" s="15">
        <f>'Grid_Stock'!CA82</f>
        <v/>
      </c>
      <c r="CJ87" s="15">
        <f>'Grid_Stock'!CB82</f>
        <v/>
      </c>
      <c r="CK87" s="15">
        <f>'Grid_Stock'!CC82</f>
        <v/>
      </c>
      <c r="CL87" s="15">
        <f>'Grid_Stock'!CD82</f>
        <v/>
      </c>
      <c r="CM87" s="15">
        <f>'Grid_Stock'!CE82</f>
        <v/>
      </c>
      <c r="CN87" s="15">
        <f>'Grid_Stock'!CF82</f>
        <v/>
      </c>
      <c r="CO87" s="15">
        <f>'Grid_Stock'!CG82</f>
        <v/>
      </c>
      <c r="CP87" s="15">
        <f>'Grid_Stock'!CH82</f>
        <v/>
      </c>
      <c r="CQ87" s="15">
        <f>'Grid_Stock'!CI82</f>
        <v/>
      </c>
      <c r="CR87" s="15">
        <f>'Grid_Stock'!CJ82</f>
        <v/>
      </c>
      <c r="CS87" s="15">
        <f>'Grid_Stock'!CK82</f>
        <v/>
      </c>
      <c r="CT87" s="15">
        <f>'Grid_Stock'!CL82</f>
        <v/>
      </c>
      <c r="CU87" s="15">
        <f>'Grid_Stock'!CM82</f>
        <v/>
      </c>
      <c r="CV87" s="15">
        <f>'Grid_Stock'!CN82</f>
        <v/>
      </c>
      <c r="CW87" s="15">
        <f>'Grid_Stock'!CO82</f>
        <v/>
      </c>
      <c r="CX87" s="15">
        <f>'Grid_Stock'!CP82</f>
        <v/>
      </c>
      <c r="CY87" s="15">
        <f>'Grid_Stock'!CQ82</f>
        <v/>
      </c>
      <c r="CZ87" s="15">
        <f>'Grid_Stock'!CR82</f>
        <v/>
      </c>
      <c r="DA87" s="15">
        <f>'Grid_Stock'!CS82</f>
        <v/>
      </c>
      <c r="DB87" s="15">
        <f>'Grid_Stock'!CT82</f>
        <v/>
      </c>
      <c r="DC87" s="15">
        <f>'Grid_Stock'!CU82</f>
        <v/>
      </c>
      <c r="DD87" s="15">
        <f>'Grid_Stock'!CV82</f>
        <v/>
      </c>
      <c r="DE87" s="15">
        <f>'Grid_Stock'!CW82</f>
        <v/>
      </c>
      <c r="DF87" s="15">
        <f>'Grid_Stock'!CX82</f>
        <v/>
      </c>
      <c r="DG87" s="15">
        <f>'Grid_Stock'!CY82</f>
        <v/>
      </c>
      <c r="DH87" s="15">
        <f>'Grid_Stock'!CZ82</f>
        <v/>
      </c>
      <c r="DI87" s="15">
        <f>'Grid_Stock'!DA82</f>
        <v/>
      </c>
    </row>
    <row r="88">
      <c r="A88" s="17" t="inlineStr">
        <is>
          <t>CHEM-1220</t>
        </is>
      </c>
      <c r="B88" s="17">
        <f>IFERROR(INDEX(M_RawMaterials[Description],MATCH($A88,M_RawMaterials[RM_Code],0)),"")</f>
        <v/>
      </c>
      <c r="C88" s="17">
        <f>IFERROR(INDEX(M_RawMaterials[Category],MATCH($A88,M_RawMaterials[RM_Code],0)),"")</f>
        <v/>
      </c>
      <c r="D88" s="17">
        <f>IFERROR(INDEX(M_RawMaterials[SafetyStock_Qty_要入力],MATCH($A88,M_RawMaterials[RM_Code],0)),0)</f>
        <v/>
      </c>
      <c r="E88" s="17">
        <f>IFERROR(LOOKUP(2,1/(T_SelfStock!$A$2:$A$12000=$A88),T_SelfStock!$D$2:$D$12000),"")</f>
        <v/>
      </c>
      <c r="F88" s="17">
        <f>IFERROR(LOOKUP(2,1/(T_TTAFStock!$A$2:$A$12000=$A88),T_TTAFStock!$D$2:$D$12000),"")</f>
        <v/>
      </c>
      <c r="G88" s="17">
        <f>IFERROR(INDEX(Cal_Weeks[Label],LOOKUP(2,1/(T_SelfStock!$A$2:$A$12000=$A88),T_SelfStock!$B$2:$B$12000)),"")</f>
        <v/>
      </c>
      <c r="H88" s="17">
        <f>IF(MIN(J88:DI88)&lt;D88,"要発注","OK")</f>
        <v/>
      </c>
      <c r="I88" s="16">
        <f>IFERROR(INDEX(J88:DI88,$F$1),"")</f>
        <v/>
      </c>
      <c r="J88" s="17">
        <f>'Grid_Stock'!B83</f>
        <v/>
      </c>
      <c r="K88" s="17">
        <f>'Grid_Stock'!C83</f>
        <v/>
      </c>
      <c r="L88" s="17">
        <f>'Grid_Stock'!D83</f>
        <v/>
      </c>
      <c r="M88" s="17">
        <f>'Grid_Stock'!E83</f>
        <v/>
      </c>
      <c r="N88" s="17">
        <f>'Grid_Stock'!F83</f>
        <v/>
      </c>
      <c r="O88" s="17">
        <f>'Grid_Stock'!G83</f>
        <v/>
      </c>
      <c r="P88" s="17">
        <f>'Grid_Stock'!H83</f>
        <v/>
      </c>
      <c r="Q88" s="17">
        <f>'Grid_Stock'!I83</f>
        <v/>
      </c>
      <c r="R88" s="17">
        <f>'Grid_Stock'!J83</f>
        <v/>
      </c>
      <c r="S88" s="17">
        <f>'Grid_Stock'!K83</f>
        <v/>
      </c>
      <c r="T88" s="17">
        <f>'Grid_Stock'!L83</f>
        <v/>
      </c>
      <c r="U88" s="17">
        <f>'Grid_Stock'!M83</f>
        <v/>
      </c>
      <c r="V88" s="17">
        <f>'Grid_Stock'!N83</f>
        <v/>
      </c>
      <c r="W88" s="17">
        <f>'Grid_Stock'!O83</f>
        <v/>
      </c>
      <c r="X88" s="17">
        <f>'Grid_Stock'!P83</f>
        <v/>
      </c>
      <c r="Y88" s="17">
        <f>'Grid_Stock'!Q83</f>
        <v/>
      </c>
      <c r="Z88" s="17">
        <f>'Grid_Stock'!R83</f>
        <v/>
      </c>
      <c r="AA88" s="17">
        <f>'Grid_Stock'!S83</f>
        <v/>
      </c>
      <c r="AB88" s="17">
        <f>'Grid_Stock'!T83</f>
        <v/>
      </c>
      <c r="AC88" s="17">
        <f>'Grid_Stock'!U83</f>
        <v/>
      </c>
      <c r="AD88" s="17">
        <f>'Grid_Stock'!V83</f>
        <v/>
      </c>
      <c r="AE88" s="17">
        <f>'Grid_Stock'!W83</f>
        <v/>
      </c>
      <c r="AF88" s="17">
        <f>'Grid_Stock'!X83</f>
        <v/>
      </c>
      <c r="AG88" s="17">
        <f>'Grid_Stock'!Y83</f>
        <v/>
      </c>
      <c r="AH88" s="17">
        <f>'Grid_Stock'!Z83</f>
        <v/>
      </c>
      <c r="AI88" s="17">
        <f>'Grid_Stock'!AA83</f>
        <v/>
      </c>
      <c r="AJ88" s="17">
        <f>'Grid_Stock'!AB83</f>
        <v/>
      </c>
      <c r="AK88" s="17">
        <f>'Grid_Stock'!AC83</f>
        <v/>
      </c>
      <c r="AL88" s="17">
        <f>'Grid_Stock'!AD83</f>
        <v/>
      </c>
      <c r="AM88" s="17">
        <f>'Grid_Stock'!AE83</f>
        <v/>
      </c>
      <c r="AN88" s="17">
        <f>'Grid_Stock'!AF83</f>
        <v/>
      </c>
      <c r="AO88" s="17">
        <f>'Grid_Stock'!AG83</f>
        <v/>
      </c>
      <c r="AP88" s="17">
        <f>'Grid_Stock'!AH83</f>
        <v/>
      </c>
      <c r="AQ88" s="17">
        <f>'Grid_Stock'!AI83</f>
        <v/>
      </c>
      <c r="AR88" s="17">
        <f>'Grid_Stock'!AJ83</f>
        <v/>
      </c>
      <c r="AS88" s="17">
        <f>'Grid_Stock'!AK83</f>
        <v/>
      </c>
      <c r="AT88" s="17">
        <f>'Grid_Stock'!AL83</f>
        <v/>
      </c>
      <c r="AU88" s="17">
        <f>'Grid_Stock'!AM83</f>
        <v/>
      </c>
      <c r="AV88" s="17">
        <f>'Grid_Stock'!AN83</f>
        <v/>
      </c>
      <c r="AW88" s="17">
        <f>'Grid_Stock'!AO83</f>
        <v/>
      </c>
      <c r="AX88" s="17">
        <f>'Grid_Stock'!AP83</f>
        <v/>
      </c>
      <c r="AY88" s="17">
        <f>'Grid_Stock'!AQ83</f>
        <v/>
      </c>
      <c r="AZ88" s="17">
        <f>'Grid_Stock'!AR83</f>
        <v/>
      </c>
      <c r="BA88" s="17">
        <f>'Grid_Stock'!AS83</f>
        <v/>
      </c>
      <c r="BB88" s="17">
        <f>'Grid_Stock'!AT83</f>
        <v/>
      </c>
      <c r="BC88" s="17">
        <f>'Grid_Stock'!AU83</f>
        <v/>
      </c>
      <c r="BD88" s="17">
        <f>'Grid_Stock'!AV83</f>
        <v/>
      </c>
      <c r="BE88" s="17">
        <f>'Grid_Stock'!AW83</f>
        <v/>
      </c>
      <c r="BF88" s="17">
        <f>'Grid_Stock'!AX83</f>
        <v/>
      </c>
      <c r="BG88" s="17">
        <f>'Grid_Stock'!AY83</f>
        <v/>
      </c>
      <c r="BH88" s="17">
        <f>'Grid_Stock'!AZ83</f>
        <v/>
      </c>
      <c r="BI88" s="17">
        <f>'Grid_Stock'!BA83</f>
        <v/>
      </c>
      <c r="BJ88" s="17">
        <f>'Grid_Stock'!BB83</f>
        <v/>
      </c>
      <c r="BK88" s="17">
        <f>'Grid_Stock'!BC83</f>
        <v/>
      </c>
      <c r="BL88" s="17">
        <f>'Grid_Stock'!BD83</f>
        <v/>
      </c>
      <c r="BM88" s="17">
        <f>'Grid_Stock'!BE83</f>
        <v/>
      </c>
      <c r="BN88" s="17">
        <f>'Grid_Stock'!BF83</f>
        <v/>
      </c>
      <c r="BO88" s="17">
        <f>'Grid_Stock'!BG83</f>
        <v/>
      </c>
      <c r="BP88" s="17">
        <f>'Grid_Stock'!BH83</f>
        <v/>
      </c>
      <c r="BQ88" s="17">
        <f>'Grid_Stock'!BI83</f>
        <v/>
      </c>
      <c r="BR88" s="17">
        <f>'Grid_Stock'!BJ83</f>
        <v/>
      </c>
      <c r="BS88" s="17">
        <f>'Grid_Stock'!BK83</f>
        <v/>
      </c>
      <c r="BT88" s="17">
        <f>'Grid_Stock'!BL83</f>
        <v/>
      </c>
      <c r="BU88" s="17">
        <f>'Grid_Stock'!BM83</f>
        <v/>
      </c>
      <c r="BV88" s="17">
        <f>'Grid_Stock'!BN83</f>
        <v/>
      </c>
      <c r="BW88" s="17">
        <f>'Grid_Stock'!BO83</f>
        <v/>
      </c>
      <c r="BX88" s="17">
        <f>'Grid_Stock'!BP83</f>
        <v/>
      </c>
      <c r="BY88" s="17">
        <f>'Grid_Stock'!BQ83</f>
        <v/>
      </c>
      <c r="BZ88" s="17">
        <f>'Grid_Stock'!BR83</f>
        <v/>
      </c>
      <c r="CA88" s="17">
        <f>'Grid_Stock'!BS83</f>
        <v/>
      </c>
      <c r="CB88" s="17">
        <f>'Grid_Stock'!BT83</f>
        <v/>
      </c>
      <c r="CC88" s="17">
        <f>'Grid_Stock'!BU83</f>
        <v/>
      </c>
      <c r="CD88" s="17">
        <f>'Grid_Stock'!BV83</f>
        <v/>
      </c>
      <c r="CE88" s="17">
        <f>'Grid_Stock'!BW83</f>
        <v/>
      </c>
      <c r="CF88" s="17">
        <f>'Grid_Stock'!BX83</f>
        <v/>
      </c>
      <c r="CG88" s="17">
        <f>'Grid_Stock'!BY83</f>
        <v/>
      </c>
      <c r="CH88" s="17">
        <f>'Grid_Stock'!BZ83</f>
        <v/>
      </c>
      <c r="CI88" s="17">
        <f>'Grid_Stock'!CA83</f>
        <v/>
      </c>
      <c r="CJ88" s="17">
        <f>'Grid_Stock'!CB83</f>
        <v/>
      </c>
      <c r="CK88" s="17">
        <f>'Grid_Stock'!CC83</f>
        <v/>
      </c>
      <c r="CL88" s="17">
        <f>'Grid_Stock'!CD83</f>
        <v/>
      </c>
      <c r="CM88" s="17">
        <f>'Grid_Stock'!CE83</f>
        <v/>
      </c>
      <c r="CN88" s="17">
        <f>'Grid_Stock'!CF83</f>
        <v/>
      </c>
      <c r="CO88" s="17">
        <f>'Grid_Stock'!CG83</f>
        <v/>
      </c>
      <c r="CP88" s="17">
        <f>'Grid_Stock'!CH83</f>
        <v/>
      </c>
      <c r="CQ88" s="17">
        <f>'Grid_Stock'!CI83</f>
        <v/>
      </c>
      <c r="CR88" s="17">
        <f>'Grid_Stock'!CJ83</f>
        <v/>
      </c>
      <c r="CS88" s="17">
        <f>'Grid_Stock'!CK83</f>
        <v/>
      </c>
      <c r="CT88" s="17">
        <f>'Grid_Stock'!CL83</f>
        <v/>
      </c>
      <c r="CU88" s="17">
        <f>'Grid_Stock'!CM83</f>
        <v/>
      </c>
      <c r="CV88" s="17">
        <f>'Grid_Stock'!CN83</f>
        <v/>
      </c>
      <c r="CW88" s="17">
        <f>'Grid_Stock'!CO83</f>
        <v/>
      </c>
      <c r="CX88" s="17">
        <f>'Grid_Stock'!CP83</f>
        <v/>
      </c>
      <c r="CY88" s="17">
        <f>'Grid_Stock'!CQ83</f>
        <v/>
      </c>
      <c r="CZ88" s="17">
        <f>'Grid_Stock'!CR83</f>
        <v/>
      </c>
      <c r="DA88" s="17">
        <f>'Grid_Stock'!CS83</f>
        <v/>
      </c>
      <c r="DB88" s="17">
        <f>'Grid_Stock'!CT83</f>
        <v/>
      </c>
      <c r="DC88" s="17">
        <f>'Grid_Stock'!CU83</f>
        <v/>
      </c>
      <c r="DD88" s="17">
        <f>'Grid_Stock'!CV83</f>
        <v/>
      </c>
      <c r="DE88" s="17">
        <f>'Grid_Stock'!CW83</f>
        <v/>
      </c>
      <c r="DF88" s="17">
        <f>'Grid_Stock'!CX83</f>
        <v/>
      </c>
      <c r="DG88" s="17">
        <f>'Grid_Stock'!CY83</f>
        <v/>
      </c>
      <c r="DH88" s="17">
        <f>'Grid_Stock'!CZ83</f>
        <v/>
      </c>
      <c r="DI88" s="17">
        <f>'Grid_Stock'!DA83</f>
        <v/>
      </c>
    </row>
    <row r="89">
      <c r="A89" s="15" t="inlineStr">
        <is>
          <t>CHEM-1260</t>
        </is>
      </c>
      <c r="B89" s="15">
        <f>IFERROR(INDEX(M_RawMaterials[Description],MATCH($A89,M_RawMaterials[RM_Code],0)),"")</f>
        <v/>
      </c>
      <c r="C89" s="15">
        <f>IFERROR(INDEX(M_RawMaterials[Category],MATCH($A89,M_RawMaterials[RM_Code],0)),"")</f>
        <v/>
      </c>
      <c r="D89" s="15">
        <f>IFERROR(INDEX(M_RawMaterials[SafetyStock_Qty_要入力],MATCH($A89,M_RawMaterials[RM_Code],0)),0)</f>
        <v/>
      </c>
      <c r="E89" s="15">
        <f>IFERROR(LOOKUP(2,1/(T_SelfStock!$A$2:$A$12000=$A89),T_SelfStock!$D$2:$D$12000),"")</f>
        <v/>
      </c>
      <c r="F89" s="15">
        <f>IFERROR(LOOKUP(2,1/(T_TTAFStock!$A$2:$A$12000=$A89),T_TTAFStock!$D$2:$D$12000),"")</f>
        <v/>
      </c>
      <c r="G89" s="15">
        <f>IFERROR(INDEX(Cal_Weeks[Label],LOOKUP(2,1/(T_SelfStock!$A$2:$A$12000=$A89),T_SelfStock!$B$2:$B$12000)),"")</f>
        <v/>
      </c>
      <c r="H89" s="15">
        <f>IF(MIN(J89:DI89)&lt;D89,"要発注","OK")</f>
        <v/>
      </c>
      <c r="I89" s="16">
        <f>IFERROR(INDEX(J89:DI89,$F$1),"")</f>
        <v/>
      </c>
      <c r="J89" s="15">
        <f>'Grid_Stock'!B84</f>
        <v/>
      </c>
      <c r="K89" s="15">
        <f>'Grid_Stock'!C84</f>
        <v/>
      </c>
      <c r="L89" s="15">
        <f>'Grid_Stock'!D84</f>
        <v/>
      </c>
      <c r="M89" s="15">
        <f>'Grid_Stock'!E84</f>
        <v/>
      </c>
      <c r="N89" s="15">
        <f>'Grid_Stock'!F84</f>
        <v/>
      </c>
      <c r="O89" s="15">
        <f>'Grid_Stock'!G84</f>
        <v/>
      </c>
      <c r="P89" s="15">
        <f>'Grid_Stock'!H84</f>
        <v/>
      </c>
      <c r="Q89" s="15">
        <f>'Grid_Stock'!I84</f>
        <v/>
      </c>
      <c r="R89" s="15">
        <f>'Grid_Stock'!J84</f>
        <v/>
      </c>
      <c r="S89" s="15">
        <f>'Grid_Stock'!K84</f>
        <v/>
      </c>
      <c r="T89" s="15">
        <f>'Grid_Stock'!L84</f>
        <v/>
      </c>
      <c r="U89" s="15">
        <f>'Grid_Stock'!M84</f>
        <v/>
      </c>
      <c r="V89" s="15">
        <f>'Grid_Stock'!N84</f>
        <v/>
      </c>
      <c r="W89" s="15">
        <f>'Grid_Stock'!O84</f>
        <v/>
      </c>
      <c r="X89" s="15">
        <f>'Grid_Stock'!P84</f>
        <v/>
      </c>
      <c r="Y89" s="15">
        <f>'Grid_Stock'!Q84</f>
        <v/>
      </c>
      <c r="Z89" s="15">
        <f>'Grid_Stock'!R84</f>
        <v/>
      </c>
      <c r="AA89" s="15">
        <f>'Grid_Stock'!S84</f>
        <v/>
      </c>
      <c r="AB89" s="15">
        <f>'Grid_Stock'!T84</f>
        <v/>
      </c>
      <c r="AC89" s="15">
        <f>'Grid_Stock'!U84</f>
        <v/>
      </c>
      <c r="AD89" s="15">
        <f>'Grid_Stock'!V84</f>
        <v/>
      </c>
      <c r="AE89" s="15">
        <f>'Grid_Stock'!W84</f>
        <v/>
      </c>
      <c r="AF89" s="15">
        <f>'Grid_Stock'!X84</f>
        <v/>
      </c>
      <c r="AG89" s="15">
        <f>'Grid_Stock'!Y84</f>
        <v/>
      </c>
      <c r="AH89" s="15">
        <f>'Grid_Stock'!Z84</f>
        <v/>
      </c>
      <c r="AI89" s="15">
        <f>'Grid_Stock'!AA84</f>
        <v/>
      </c>
      <c r="AJ89" s="15">
        <f>'Grid_Stock'!AB84</f>
        <v/>
      </c>
      <c r="AK89" s="15">
        <f>'Grid_Stock'!AC84</f>
        <v/>
      </c>
      <c r="AL89" s="15">
        <f>'Grid_Stock'!AD84</f>
        <v/>
      </c>
      <c r="AM89" s="15">
        <f>'Grid_Stock'!AE84</f>
        <v/>
      </c>
      <c r="AN89" s="15">
        <f>'Grid_Stock'!AF84</f>
        <v/>
      </c>
      <c r="AO89" s="15">
        <f>'Grid_Stock'!AG84</f>
        <v/>
      </c>
      <c r="AP89" s="15">
        <f>'Grid_Stock'!AH84</f>
        <v/>
      </c>
      <c r="AQ89" s="15">
        <f>'Grid_Stock'!AI84</f>
        <v/>
      </c>
      <c r="AR89" s="15">
        <f>'Grid_Stock'!AJ84</f>
        <v/>
      </c>
      <c r="AS89" s="15">
        <f>'Grid_Stock'!AK84</f>
        <v/>
      </c>
      <c r="AT89" s="15">
        <f>'Grid_Stock'!AL84</f>
        <v/>
      </c>
      <c r="AU89" s="15">
        <f>'Grid_Stock'!AM84</f>
        <v/>
      </c>
      <c r="AV89" s="15">
        <f>'Grid_Stock'!AN84</f>
        <v/>
      </c>
      <c r="AW89" s="15">
        <f>'Grid_Stock'!AO84</f>
        <v/>
      </c>
      <c r="AX89" s="15">
        <f>'Grid_Stock'!AP84</f>
        <v/>
      </c>
      <c r="AY89" s="15">
        <f>'Grid_Stock'!AQ84</f>
        <v/>
      </c>
      <c r="AZ89" s="15">
        <f>'Grid_Stock'!AR84</f>
        <v/>
      </c>
      <c r="BA89" s="15">
        <f>'Grid_Stock'!AS84</f>
        <v/>
      </c>
      <c r="BB89" s="15">
        <f>'Grid_Stock'!AT84</f>
        <v/>
      </c>
      <c r="BC89" s="15">
        <f>'Grid_Stock'!AU84</f>
        <v/>
      </c>
      <c r="BD89" s="15">
        <f>'Grid_Stock'!AV84</f>
        <v/>
      </c>
      <c r="BE89" s="15">
        <f>'Grid_Stock'!AW84</f>
        <v/>
      </c>
      <c r="BF89" s="15">
        <f>'Grid_Stock'!AX84</f>
        <v/>
      </c>
      <c r="BG89" s="15">
        <f>'Grid_Stock'!AY84</f>
        <v/>
      </c>
      <c r="BH89" s="15">
        <f>'Grid_Stock'!AZ84</f>
        <v/>
      </c>
      <c r="BI89" s="15">
        <f>'Grid_Stock'!BA84</f>
        <v/>
      </c>
      <c r="BJ89" s="15">
        <f>'Grid_Stock'!BB84</f>
        <v/>
      </c>
      <c r="BK89" s="15">
        <f>'Grid_Stock'!BC84</f>
        <v/>
      </c>
      <c r="BL89" s="15">
        <f>'Grid_Stock'!BD84</f>
        <v/>
      </c>
      <c r="BM89" s="15">
        <f>'Grid_Stock'!BE84</f>
        <v/>
      </c>
      <c r="BN89" s="15">
        <f>'Grid_Stock'!BF84</f>
        <v/>
      </c>
      <c r="BO89" s="15">
        <f>'Grid_Stock'!BG84</f>
        <v/>
      </c>
      <c r="BP89" s="15">
        <f>'Grid_Stock'!BH84</f>
        <v/>
      </c>
      <c r="BQ89" s="15">
        <f>'Grid_Stock'!BI84</f>
        <v/>
      </c>
      <c r="BR89" s="15">
        <f>'Grid_Stock'!BJ84</f>
        <v/>
      </c>
      <c r="BS89" s="15">
        <f>'Grid_Stock'!BK84</f>
        <v/>
      </c>
      <c r="BT89" s="15">
        <f>'Grid_Stock'!BL84</f>
        <v/>
      </c>
      <c r="BU89" s="15">
        <f>'Grid_Stock'!BM84</f>
        <v/>
      </c>
      <c r="BV89" s="15">
        <f>'Grid_Stock'!BN84</f>
        <v/>
      </c>
      <c r="BW89" s="15">
        <f>'Grid_Stock'!BO84</f>
        <v/>
      </c>
      <c r="BX89" s="15">
        <f>'Grid_Stock'!BP84</f>
        <v/>
      </c>
      <c r="BY89" s="15">
        <f>'Grid_Stock'!BQ84</f>
        <v/>
      </c>
      <c r="BZ89" s="15">
        <f>'Grid_Stock'!BR84</f>
        <v/>
      </c>
      <c r="CA89" s="15">
        <f>'Grid_Stock'!BS84</f>
        <v/>
      </c>
      <c r="CB89" s="15">
        <f>'Grid_Stock'!BT84</f>
        <v/>
      </c>
      <c r="CC89" s="15">
        <f>'Grid_Stock'!BU84</f>
        <v/>
      </c>
      <c r="CD89" s="15">
        <f>'Grid_Stock'!BV84</f>
        <v/>
      </c>
      <c r="CE89" s="15">
        <f>'Grid_Stock'!BW84</f>
        <v/>
      </c>
      <c r="CF89" s="15">
        <f>'Grid_Stock'!BX84</f>
        <v/>
      </c>
      <c r="CG89" s="15">
        <f>'Grid_Stock'!BY84</f>
        <v/>
      </c>
      <c r="CH89" s="15">
        <f>'Grid_Stock'!BZ84</f>
        <v/>
      </c>
      <c r="CI89" s="15">
        <f>'Grid_Stock'!CA84</f>
        <v/>
      </c>
      <c r="CJ89" s="15">
        <f>'Grid_Stock'!CB84</f>
        <v/>
      </c>
      <c r="CK89" s="15">
        <f>'Grid_Stock'!CC84</f>
        <v/>
      </c>
      <c r="CL89" s="15">
        <f>'Grid_Stock'!CD84</f>
        <v/>
      </c>
      <c r="CM89" s="15">
        <f>'Grid_Stock'!CE84</f>
        <v/>
      </c>
      <c r="CN89" s="15">
        <f>'Grid_Stock'!CF84</f>
        <v/>
      </c>
      <c r="CO89" s="15">
        <f>'Grid_Stock'!CG84</f>
        <v/>
      </c>
      <c r="CP89" s="15">
        <f>'Grid_Stock'!CH84</f>
        <v/>
      </c>
      <c r="CQ89" s="15">
        <f>'Grid_Stock'!CI84</f>
        <v/>
      </c>
      <c r="CR89" s="15">
        <f>'Grid_Stock'!CJ84</f>
        <v/>
      </c>
      <c r="CS89" s="15">
        <f>'Grid_Stock'!CK84</f>
        <v/>
      </c>
      <c r="CT89" s="15">
        <f>'Grid_Stock'!CL84</f>
        <v/>
      </c>
      <c r="CU89" s="15">
        <f>'Grid_Stock'!CM84</f>
        <v/>
      </c>
      <c r="CV89" s="15">
        <f>'Grid_Stock'!CN84</f>
        <v/>
      </c>
      <c r="CW89" s="15">
        <f>'Grid_Stock'!CO84</f>
        <v/>
      </c>
      <c r="CX89" s="15">
        <f>'Grid_Stock'!CP84</f>
        <v/>
      </c>
      <c r="CY89" s="15">
        <f>'Grid_Stock'!CQ84</f>
        <v/>
      </c>
      <c r="CZ89" s="15">
        <f>'Grid_Stock'!CR84</f>
        <v/>
      </c>
      <c r="DA89" s="15">
        <f>'Grid_Stock'!CS84</f>
        <v/>
      </c>
      <c r="DB89" s="15">
        <f>'Grid_Stock'!CT84</f>
        <v/>
      </c>
      <c r="DC89" s="15">
        <f>'Grid_Stock'!CU84</f>
        <v/>
      </c>
      <c r="DD89" s="15">
        <f>'Grid_Stock'!CV84</f>
        <v/>
      </c>
      <c r="DE89" s="15">
        <f>'Grid_Stock'!CW84</f>
        <v/>
      </c>
      <c r="DF89" s="15">
        <f>'Grid_Stock'!CX84</f>
        <v/>
      </c>
      <c r="DG89" s="15">
        <f>'Grid_Stock'!CY84</f>
        <v/>
      </c>
      <c r="DH89" s="15">
        <f>'Grid_Stock'!CZ84</f>
        <v/>
      </c>
      <c r="DI89" s="15">
        <f>'Grid_Stock'!DA84</f>
        <v/>
      </c>
    </row>
    <row r="90">
      <c r="A90" s="17" t="inlineStr">
        <is>
          <t>CHEM-1790</t>
        </is>
      </c>
      <c r="B90" s="17">
        <f>IFERROR(INDEX(M_RawMaterials[Description],MATCH($A90,M_RawMaterials[RM_Code],0)),"")</f>
        <v/>
      </c>
      <c r="C90" s="17">
        <f>IFERROR(INDEX(M_RawMaterials[Category],MATCH($A90,M_RawMaterials[RM_Code],0)),"")</f>
        <v/>
      </c>
      <c r="D90" s="17">
        <f>IFERROR(INDEX(M_RawMaterials[SafetyStock_Qty_要入力],MATCH($A90,M_RawMaterials[RM_Code],0)),0)</f>
        <v/>
      </c>
      <c r="E90" s="17">
        <f>IFERROR(LOOKUP(2,1/(T_SelfStock!$A$2:$A$12000=$A90),T_SelfStock!$D$2:$D$12000),"")</f>
        <v/>
      </c>
      <c r="F90" s="17">
        <f>IFERROR(LOOKUP(2,1/(T_TTAFStock!$A$2:$A$12000=$A90),T_TTAFStock!$D$2:$D$12000),"")</f>
        <v/>
      </c>
      <c r="G90" s="17">
        <f>IFERROR(INDEX(Cal_Weeks[Label],LOOKUP(2,1/(T_SelfStock!$A$2:$A$12000=$A90),T_SelfStock!$B$2:$B$12000)),"")</f>
        <v/>
      </c>
      <c r="H90" s="17">
        <f>IF(MIN(J90:DI90)&lt;D90,"要発注","OK")</f>
        <v/>
      </c>
      <c r="I90" s="16">
        <f>IFERROR(INDEX(J90:DI90,$F$1),"")</f>
        <v/>
      </c>
      <c r="J90" s="17">
        <f>'Grid_Stock'!B85</f>
        <v/>
      </c>
      <c r="K90" s="17">
        <f>'Grid_Stock'!C85</f>
        <v/>
      </c>
      <c r="L90" s="17">
        <f>'Grid_Stock'!D85</f>
        <v/>
      </c>
      <c r="M90" s="17">
        <f>'Grid_Stock'!E85</f>
        <v/>
      </c>
      <c r="N90" s="17">
        <f>'Grid_Stock'!F85</f>
        <v/>
      </c>
      <c r="O90" s="17">
        <f>'Grid_Stock'!G85</f>
        <v/>
      </c>
      <c r="P90" s="17">
        <f>'Grid_Stock'!H85</f>
        <v/>
      </c>
      <c r="Q90" s="17">
        <f>'Grid_Stock'!I85</f>
        <v/>
      </c>
      <c r="R90" s="17">
        <f>'Grid_Stock'!J85</f>
        <v/>
      </c>
      <c r="S90" s="17">
        <f>'Grid_Stock'!K85</f>
        <v/>
      </c>
      <c r="T90" s="17">
        <f>'Grid_Stock'!L85</f>
        <v/>
      </c>
      <c r="U90" s="17">
        <f>'Grid_Stock'!M85</f>
        <v/>
      </c>
      <c r="V90" s="17">
        <f>'Grid_Stock'!N85</f>
        <v/>
      </c>
      <c r="W90" s="17">
        <f>'Grid_Stock'!O85</f>
        <v/>
      </c>
      <c r="X90" s="17">
        <f>'Grid_Stock'!P85</f>
        <v/>
      </c>
      <c r="Y90" s="17">
        <f>'Grid_Stock'!Q85</f>
        <v/>
      </c>
      <c r="Z90" s="17">
        <f>'Grid_Stock'!R85</f>
        <v/>
      </c>
      <c r="AA90" s="17">
        <f>'Grid_Stock'!S85</f>
        <v/>
      </c>
      <c r="AB90" s="17">
        <f>'Grid_Stock'!T85</f>
        <v/>
      </c>
      <c r="AC90" s="17">
        <f>'Grid_Stock'!U85</f>
        <v/>
      </c>
      <c r="AD90" s="17">
        <f>'Grid_Stock'!V85</f>
        <v/>
      </c>
      <c r="AE90" s="17">
        <f>'Grid_Stock'!W85</f>
        <v/>
      </c>
      <c r="AF90" s="17">
        <f>'Grid_Stock'!X85</f>
        <v/>
      </c>
      <c r="AG90" s="17">
        <f>'Grid_Stock'!Y85</f>
        <v/>
      </c>
      <c r="AH90" s="17">
        <f>'Grid_Stock'!Z85</f>
        <v/>
      </c>
      <c r="AI90" s="17">
        <f>'Grid_Stock'!AA85</f>
        <v/>
      </c>
      <c r="AJ90" s="17">
        <f>'Grid_Stock'!AB85</f>
        <v/>
      </c>
      <c r="AK90" s="17">
        <f>'Grid_Stock'!AC85</f>
        <v/>
      </c>
      <c r="AL90" s="17">
        <f>'Grid_Stock'!AD85</f>
        <v/>
      </c>
      <c r="AM90" s="17">
        <f>'Grid_Stock'!AE85</f>
        <v/>
      </c>
      <c r="AN90" s="17">
        <f>'Grid_Stock'!AF85</f>
        <v/>
      </c>
      <c r="AO90" s="17">
        <f>'Grid_Stock'!AG85</f>
        <v/>
      </c>
      <c r="AP90" s="17">
        <f>'Grid_Stock'!AH85</f>
        <v/>
      </c>
      <c r="AQ90" s="17">
        <f>'Grid_Stock'!AI85</f>
        <v/>
      </c>
      <c r="AR90" s="17">
        <f>'Grid_Stock'!AJ85</f>
        <v/>
      </c>
      <c r="AS90" s="17">
        <f>'Grid_Stock'!AK85</f>
        <v/>
      </c>
      <c r="AT90" s="17">
        <f>'Grid_Stock'!AL85</f>
        <v/>
      </c>
      <c r="AU90" s="17">
        <f>'Grid_Stock'!AM85</f>
        <v/>
      </c>
      <c r="AV90" s="17">
        <f>'Grid_Stock'!AN85</f>
        <v/>
      </c>
      <c r="AW90" s="17">
        <f>'Grid_Stock'!AO85</f>
        <v/>
      </c>
      <c r="AX90" s="17">
        <f>'Grid_Stock'!AP85</f>
        <v/>
      </c>
      <c r="AY90" s="17">
        <f>'Grid_Stock'!AQ85</f>
        <v/>
      </c>
      <c r="AZ90" s="17">
        <f>'Grid_Stock'!AR85</f>
        <v/>
      </c>
      <c r="BA90" s="17">
        <f>'Grid_Stock'!AS85</f>
        <v/>
      </c>
      <c r="BB90" s="17">
        <f>'Grid_Stock'!AT85</f>
        <v/>
      </c>
      <c r="BC90" s="17">
        <f>'Grid_Stock'!AU85</f>
        <v/>
      </c>
      <c r="BD90" s="17">
        <f>'Grid_Stock'!AV85</f>
        <v/>
      </c>
      <c r="BE90" s="17">
        <f>'Grid_Stock'!AW85</f>
        <v/>
      </c>
      <c r="BF90" s="17">
        <f>'Grid_Stock'!AX85</f>
        <v/>
      </c>
      <c r="BG90" s="17">
        <f>'Grid_Stock'!AY85</f>
        <v/>
      </c>
      <c r="BH90" s="17">
        <f>'Grid_Stock'!AZ85</f>
        <v/>
      </c>
      <c r="BI90" s="17">
        <f>'Grid_Stock'!BA85</f>
        <v/>
      </c>
      <c r="BJ90" s="17">
        <f>'Grid_Stock'!BB85</f>
        <v/>
      </c>
      <c r="BK90" s="17">
        <f>'Grid_Stock'!BC85</f>
        <v/>
      </c>
      <c r="BL90" s="17">
        <f>'Grid_Stock'!BD85</f>
        <v/>
      </c>
      <c r="BM90" s="17">
        <f>'Grid_Stock'!BE85</f>
        <v/>
      </c>
      <c r="BN90" s="17">
        <f>'Grid_Stock'!BF85</f>
        <v/>
      </c>
      <c r="BO90" s="17">
        <f>'Grid_Stock'!BG85</f>
        <v/>
      </c>
      <c r="BP90" s="17">
        <f>'Grid_Stock'!BH85</f>
        <v/>
      </c>
      <c r="BQ90" s="17">
        <f>'Grid_Stock'!BI85</f>
        <v/>
      </c>
      <c r="BR90" s="17">
        <f>'Grid_Stock'!BJ85</f>
        <v/>
      </c>
      <c r="BS90" s="17">
        <f>'Grid_Stock'!BK85</f>
        <v/>
      </c>
      <c r="BT90" s="17">
        <f>'Grid_Stock'!BL85</f>
        <v/>
      </c>
      <c r="BU90" s="17">
        <f>'Grid_Stock'!BM85</f>
        <v/>
      </c>
      <c r="BV90" s="17">
        <f>'Grid_Stock'!BN85</f>
        <v/>
      </c>
      <c r="BW90" s="17">
        <f>'Grid_Stock'!BO85</f>
        <v/>
      </c>
      <c r="BX90" s="17">
        <f>'Grid_Stock'!BP85</f>
        <v/>
      </c>
      <c r="BY90" s="17">
        <f>'Grid_Stock'!BQ85</f>
        <v/>
      </c>
      <c r="BZ90" s="17">
        <f>'Grid_Stock'!BR85</f>
        <v/>
      </c>
      <c r="CA90" s="17">
        <f>'Grid_Stock'!BS85</f>
        <v/>
      </c>
      <c r="CB90" s="17">
        <f>'Grid_Stock'!BT85</f>
        <v/>
      </c>
      <c r="CC90" s="17">
        <f>'Grid_Stock'!BU85</f>
        <v/>
      </c>
      <c r="CD90" s="17">
        <f>'Grid_Stock'!BV85</f>
        <v/>
      </c>
      <c r="CE90" s="17">
        <f>'Grid_Stock'!BW85</f>
        <v/>
      </c>
      <c r="CF90" s="17">
        <f>'Grid_Stock'!BX85</f>
        <v/>
      </c>
      <c r="CG90" s="17">
        <f>'Grid_Stock'!BY85</f>
        <v/>
      </c>
      <c r="CH90" s="17">
        <f>'Grid_Stock'!BZ85</f>
        <v/>
      </c>
      <c r="CI90" s="17">
        <f>'Grid_Stock'!CA85</f>
        <v/>
      </c>
      <c r="CJ90" s="17">
        <f>'Grid_Stock'!CB85</f>
        <v/>
      </c>
      <c r="CK90" s="17">
        <f>'Grid_Stock'!CC85</f>
        <v/>
      </c>
      <c r="CL90" s="17">
        <f>'Grid_Stock'!CD85</f>
        <v/>
      </c>
      <c r="CM90" s="17">
        <f>'Grid_Stock'!CE85</f>
        <v/>
      </c>
      <c r="CN90" s="17">
        <f>'Grid_Stock'!CF85</f>
        <v/>
      </c>
      <c r="CO90" s="17">
        <f>'Grid_Stock'!CG85</f>
        <v/>
      </c>
      <c r="CP90" s="17">
        <f>'Grid_Stock'!CH85</f>
        <v/>
      </c>
      <c r="CQ90" s="17">
        <f>'Grid_Stock'!CI85</f>
        <v/>
      </c>
      <c r="CR90" s="17">
        <f>'Grid_Stock'!CJ85</f>
        <v/>
      </c>
      <c r="CS90" s="17">
        <f>'Grid_Stock'!CK85</f>
        <v/>
      </c>
      <c r="CT90" s="17">
        <f>'Grid_Stock'!CL85</f>
        <v/>
      </c>
      <c r="CU90" s="17">
        <f>'Grid_Stock'!CM85</f>
        <v/>
      </c>
      <c r="CV90" s="17">
        <f>'Grid_Stock'!CN85</f>
        <v/>
      </c>
      <c r="CW90" s="17">
        <f>'Grid_Stock'!CO85</f>
        <v/>
      </c>
      <c r="CX90" s="17">
        <f>'Grid_Stock'!CP85</f>
        <v/>
      </c>
      <c r="CY90" s="17">
        <f>'Grid_Stock'!CQ85</f>
        <v/>
      </c>
      <c r="CZ90" s="17">
        <f>'Grid_Stock'!CR85</f>
        <v/>
      </c>
      <c r="DA90" s="17">
        <f>'Grid_Stock'!CS85</f>
        <v/>
      </c>
      <c r="DB90" s="17">
        <f>'Grid_Stock'!CT85</f>
        <v/>
      </c>
      <c r="DC90" s="17">
        <f>'Grid_Stock'!CU85</f>
        <v/>
      </c>
      <c r="DD90" s="17">
        <f>'Grid_Stock'!CV85</f>
        <v/>
      </c>
      <c r="DE90" s="17">
        <f>'Grid_Stock'!CW85</f>
        <v/>
      </c>
      <c r="DF90" s="17">
        <f>'Grid_Stock'!CX85</f>
        <v/>
      </c>
      <c r="DG90" s="17">
        <f>'Grid_Stock'!CY85</f>
        <v/>
      </c>
      <c r="DH90" s="17">
        <f>'Grid_Stock'!CZ85</f>
        <v/>
      </c>
      <c r="DI90" s="17">
        <f>'Grid_Stock'!DA85</f>
        <v/>
      </c>
    </row>
    <row r="91">
      <c r="A91" s="15" t="inlineStr">
        <is>
          <t>TSZ-616</t>
        </is>
      </c>
      <c r="B91" s="15">
        <f>IFERROR(INDEX(M_RawMaterials[Description],MATCH($A91,M_RawMaterials[RM_Code],0)),"")</f>
        <v/>
      </c>
      <c r="C91" s="15">
        <f>IFERROR(INDEX(M_RawMaterials[Category],MATCH($A91,M_RawMaterials[RM_Code],0)),"")</f>
        <v/>
      </c>
      <c r="D91" s="15">
        <f>IFERROR(INDEX(M_RawMaterials[SafetyStock_Qty_要入力],MATCH($A91,M_RawMaterials[RM_Code],0)),0)</f>
        <v/>
      </c>
      <c r="E91" s="15">
        <f>IFERROR(LOOKUP(2,1/(T_SelfStock!$A$2:$A$12000=$A91),T_SelfStock!$D$2:$D$12000),"")</f>
        <v/>
      </c>
      <c r="F91" s="15">
        <f>IFERROR(LOOKUP(2,1/(T_TTAFStock!$A$2:$A$12000=$A91),T_TTAFStock!$D$2:$D$12000),"")</f>
        <v/>
      </c>
      <c r="G91" s="15">
        <f>IFERROR(INDEX(Cal_Weeks[Label],LOOKUP(2,1/(T_SelfStock!$A$2:$A$12000=$A91),T_SelfStock!$B$2:$B$12000)),"")</f>
        <v/>
      </c>
      <c r="H91" s="15">
        <f>IF(MIN(J91:DI91)&lt;D91,"要発注","OK")</f>
        <v/>
      </c>
      <c r="I91" s="16">
        <f>IFERROR(INDEX(J91:DI91,$F$1),"")</f>
        <v/>
      </c>
      <c r="J91" s="15">
        <f>'Grid_Stock'!B86</f>
        <v/>
      </c>
      <c r="K91" s="15">
        <f>'Grid_Stock'!C86</f>
        <v/>
      </c>
      <c r="L91" s="15">
        <f>'Grid_Stock'!D86</f>
        <v/>
      </c>
      <c r="M91" s="15">
        <f>'Grid_Stock'!E86</f>
        <v/>
      </c>
      <c r="N91" s="15">
        <f>'Grid_Stock'!F86</f>
        <v/>
      </c>
      <c r="O91" s="15">
        <f>'Grid_Stock'!G86</f>
        <v/>
      </c>
      <c r="P91" s="15">
        <f>'Grid_Stock'!H86</f>
        <v/>
      </c>
      <c r="Q91" s="15">
        <f>'Grid_Stock'!I86</f>
        <v/>
      </c>
      <c r="R91" s="15">
        <f>'Grid_Stock'!J86</f>
        <v/>
      </c>
      <c r="S91" s="15">
        <f>'Grid_Stock'!K86</f>
        <v/>
      </c>
      <c r="T91" s="15">
        <f>'Grid_Stock'!L86</f>
        <v/>
      </c>
      <c r="U91" s="15">
        <f>'Grid_Stock'!M86</f>
        <v/>
      </c>
      <c r="V91" s="15">
        <f>'Grid_Stock'!N86</f>
        <v/>
      </c>
      <c r="W91" s="15">
        <f>'Grid_Stock'!O86</f>
        <v/>
      </c>
      <c r="X91" s="15">
        <f>'Grid_Stock'!P86</f>
        <v/>
      </c>
      <c r="Y91" s="15">
        <f>'Grid_Stock'!Q86</f>
        <v/>
      </c>
      <c r="Z91" s="15">
        <f>'Grid_Stock'!R86</f>
        <v/>
      </c>
      <c r="AA91" s="15">
        <f>'Grid_Stock'!S86</f>
        <v/>
      </c>
      <c r="AB91" s="15">
        <f>'Grid_Stock'!T86</f>
        <v/>
      </c>
      <c r="AC91" s="15">
        <f>'Grid_Stock'!U86</f>
        <v/>
      </c>
      <c r="AD91" s="15">
        <f>'Grid_Stock'!V86</f>
        <v/>
      </c>
      <c r="AE91" s="15">
        <f>'Grid_Stock'!W86</f>
        <v/>
      </c>
      <c r="AF91" s="15">
        <f>'Grid_Stock'!X86</f>
        <v/>
      </c>
      <c r="AG91" s="15">
        <f>'Grid_Stock'!Y86</f>
        <v/>
      </c>
      <c r="AH91" s="15">
        <f>'Grid_Stock'!Z86</f>
        <v/>
      </c>
      <c r="AI91" s="15">
        <f>'Grid_Stock'!AA86</f>
        <v/>
      </c>
      <c r="AJ91" s="15">
        <f>'Grid_Stock'!AB86</f>
        <v/>
      </c>
      <c r="AK91" s="15">
        <f>'Grid_Stock'!AC86</f>
        <v/>
      </c>
      <c r="AL91" s="15">
        <f>'Grid_Stock'!AD86</f>
        <v/>
      </c>
      <c r="AM91" s="15">
        <f>'Grid_Stock'!AE86</f>
        <v/>
      </c>
      <c r="AN91" s="15">
        <f>'Grid_Stock'!AF86</f>
        <v/>
      </c>
      <c r="AO91" s="15">
        <f>'Grid_Stock'!AG86</f>
        <v/>
      </c>
      <c r="AP91" s="15">
        <f>'Grid_Stock'!AH86</f>
        <v/>
      </c>
      <c r="AQ91" s="15">
        <f>'Grid_Stock'!AI86</f>
        <v/>
      </c>
      <c r="AR91" s="15">
        <f>'Grid_Stock'!AJ86</f>
        <v/>
      </c>
      <c r="AS91" s="15">
        <f>'Grid_Stock'!AK86</f>
        <v/>
      </c>
      <c r="AT91" s="15">
        <f>'Grid_Stock'!AL86</f>
        <v/>
      </c>
      <c r="AU91" s="15">
        <f>'Grid_Stock'!AM86</f>
        <v/>
      </c>
      <c r="AV91" s="15">
        <f>'Grid_Stock'!AN86</f>
        <v/>
      </c>
      <c r="AW91" s="15">
        <f>'Grid_Stock'!AO86</f>
        <v/>
      </c>
      <c r="AX91" s="15">
        <f>'Grid_Stock'!AP86</f>
        <v/>
      </c>
      <c r="AY91" s="15">
        <f>'Grid_Stock'!AQ86</f>
        <v/>
      </c>
      <c r="AZ91" s="15">
        <f>'Grid_Stock'!AR86</f>
        <v/>
      </c>
      <c r="BA91" s="15">
        <f>'Grid_Stock'!AS86</f>
        <v/>
      </c>
      <c r="BB91" s="15">
        <f>'Grid_Stock'!AT86</f>
        <v/>
      </c>
      <c r="BC91" s="15">
        <f>'Grid_Stock'!AU86</f>
        <v/>
      </c>
      <c r="BD91" s="15">
        <f>'Grid_Stock'!AV86</f>
        <v/>
      </c>
      <c r="BE91" s="15">
        <f>'Grid_Stock'!AW86</f>
        <v/>
      </c>
      <c r="BF91" s="15">
        <f>'Grid_Stock'!AX86</f>
        <v/>
      </c>
      <c r="BG91" s="15">
        <f>'Grid_Stock'!AY86</f>
        <v/>
      </c>
      <c r="BH91" s="15">
        <f>'Grid_Stock'!AZ86</f>
        <v/>
      </c>
      <c r="BI91" s="15">
        <f>'Grid_Stock'!BA86</f>
        <v/>
      </c>
      <c r="BJ91" s="15">
        <f>'Grid_Stock'!BB86</f>
        <v/>
      </c>
      <c r="BK91" s="15">
        <f>'Grid_Stock'!BC86</f>
        <v/>
      </c>
      <c r="BL91" s="15">
        <f>'Grid_Stock'!BD86</f>
        <v/>
      </c>
      <c r="BM91" s="15">
        <f>'Grid_Stock'!BE86</f>
        <v/>
      </c>
      <c r="BN91" s="15">
        <f>'Grid_Stock'!BF86</f>
        <v/>
      </c>
      <c r="BO91" s="15">
        <f>'Grid_Stock'!BG86</f>
        <v/>
      </c>
      <c r="BP91" s="15">
        <f>'Grid_Stock'!BH86</f>
        <v/>
      </c>
      <c r="BQ91" s="15">
        <f>'Grid_Stock'!BI86</f>
        <v/>
      </c>
      <c r="BR91" s="15">
        <f>'Grid_Stock'!BJ86</f>
        <v/>
      </c>
      <c r="BS91" s="15">
        <f>'Grid_Stock'!BK86</f>
        <v/>
      </c>
      <c r="BT91" s="15">
        <f>'Grid_Stock'!BL86</f>
        <v/>
      </c>
      <c r="BU91" s="15">
        <f>'Grid_Stock'!BM86</f>
        <v/>
      </c>
      <c r="BV91" s="15">
        <f>'Grid_Stock'!BN86</f>
        <v/>
      </c>
      <c r="BW91" s="15">
        <f>'Grid_Stock'!BO86</f>
        <v/>
      </c>
      <c r="BX91" s="15">
        <f>'Grid_Stock'!BP86</f>
        <v/>
      </c>
      <c r="BY91" s="15">
        <f>'Grid_Stock'!BQ86</f>
        <v/>
      </c>
      <c r="BZ91" s="15">
        <f>'Grid_Stock'!BR86</f>
        <v/>
      </c>
      <c r="CA91" s="15">
        <f>'Grid_Stock'!BS86</f>
        <v/>
      </c>
      <c r="CB91" s="15">
        <f>'Grid_Stock'!BT86</f>
        <v/>
      </c>
      <c r="CC91" s="15">
        <f>'Grid_Stock'!BU86</f>
        <v/>
      </c>
      <c r="CD91" s="15">
        <f>'Grid_Stock'!BV86</f>
        <v/>
      </c>
      <c r="CE91" s="15">
        <f>'Grid_Stock'!BW86</f>
        <v/>
      </c>
      <c r="CF91" s="15">
        <f>'Grid_Stock'!BX86</f>
        <v/>
      </c>
      <c r="CG91" s="15">
        <f>'Grid_Stock'!BY86</f>
        <v/>
      </c>
      <c r="CH91" s="15">
        <f>'Grid_Stock'!BZ86</f>
        <v/>
      </c>
      <c r="CI91" s="15">
        <f>'Grid_Stock'!CA86</f>
        <v/>
      </c>
      <c r="CJ91" s="15">
        <f>'Grid_Stock'!CB86</f>
        <v/>
      </c>
      <c r="CK91" s="15">
        <f>'Grid_Stock'!CC86</f>
        <v/>
      </c>
      <c r="CL91" s="15">
        <f>'Grid_Stock'!CD86</f>
        <v/>
      </c>
      <c r="CM91" s="15">
        <f>'Grid_Stock'!CE86</f>
        <v/>
      </c>
      <c r="CN91" s="15">
        <f>'Grid_Stock'!CF86</f>
        <v/>
      </c>
      <c r="CO91" s="15">
        <f>'Grid_Stock'!CG86</f>
        <v/>
      </c>
      <c r="CP91" s="15">
        <f>'Grid_Stock'!CH86</f>
        <v/>
      </c>
      <c r="CQ91" s="15">
        <f>'Grid_Stock'!CI86</f>
        <v/>
      </c>
      <c r="CR91" s="15">
        <f>'Grid_Stock'!CJ86</f>
        <v/>
      </c>
      <c r="CS91" s="15">
        <f>'Grid_Stock'!CK86</f>
        <v/>
      </c>
      <c r="CT91" s="15">
        <f>'Grid_Stock'!CL86</f>
        <v/>
      </c>
      <c r="CU91" s="15">
        <f>'Grid_Stock'!CM86</f>
        <v/>
      </c>
      <c r="CV91" s="15">
        <f>'Grid_Stock'!CN86</f>
        <v/>
      </c>
      <c r="CW91" s="15">
        <f>'Grid_Stock'!CO86</f>
        <v/>
      </c>
      <c r="CX91" s="15">
        <f>'Grid_Stock'!CP86</f>
        <v/>
      </c>
      <c r="CY91" s="15">
        <f>'Grid_Stock'!CQ86</f>
        <v/>
      </c>
      <c r="CZ91" s="15">
        <f>'Grid_Stock'!CR86</f>
        <v/>
      </c>
      <c r="DA91" s="15">
        <f>'Grid_Stock'!CS86</f>
        <v/>
      </c>
      <c r="DB91" s="15">
        <f>'Grid_Stock'!CT86</f>
        <v/>
      </c>
      <c r="DC91" s="15">
        <f>'Grid_Stock'!CU86</f>
        <v/>
      </c>
      <c r="DD91" s="15">
        <f>'Grid_Stock'!CV86</f>
        <v/>
      </c>
      <c r="DE91" s="15">
        <f>'Grid_Stock'!CW86</f>
        <v/>
      </c>
      <c r="DF91" s="15">
        <f>'Grid_Stock'!CX86</f>
        <v/>
      </c>
      <c r="DG91" s="15">
        <f>'Grid_Stock'!CY86</f>
        <v/>
      </c>
      <c r="DH91" s="15">
        <f>'Grid_Stock'!CZ86</f>
        <v/>
      </c>
      <c r="DI91" s="15">
        <f>'Grid_Stock'!DA86</f>
        <v/>
      </c>
    </row>
    <row r="92">
      <c r="A92" s="17" t="inlineStr">
        <is>
          <t>CHEM-1180</t>
        </is>
      </c>
      <c r="B92" s="17">
        <f>IFERROR(INDEX(M_RawMaterials[Description],MATCH($A92,M_RawMaterials[RM_Code],0)),"")</f>
        <v/>
      </c>
      <c r="C92" s="17">
        <f>IFERROR(INDEX(M_RawMaterials[Category],MATCH($A92,M_RawMaterials[RM_Code],0)),"")</f>
        <v/>
      </c>
      <c r="D92" s="17">
        <f>IFERROR(INDEX(M_RawMaterials[SafetyStock_Qty_要入力],MATCH($A92,M_RawMaterials[RM_Code],0)),0)</f>
        <v/>
      </c>
      <c r="E92" s="17">
        <f>IFERROR(LOOKUP(2,1/(T_SelfStock!$A$2:$A$12000=$A92),T_SelfStock!$D$2:$D$12000),"")</f>
        <v/>
      </c>
      <c r="F92" s="17">
        <f>IFERROR(LOOKUP(2,1/(T_TTAFStock!$A$2:$A$12000=$A92),T_TTAFStock!$D$2:$D$12000),"")</f>
        <v/>
      </c>
      <c r="G92" s="17">
        <f>IFERROR(INDEX(Cal_Weeks[Label],LOOKUP(2,1/(T_SelfStock!$A$2:$A$12000=$A92),T_SelfStock!$B$2:$B$12000)),"")</f>
        <v/>
      </c>
      <c r="H92" s="17">
        <f>IF(MIN(J92:DI92)&lt;D92,"要発注","OK")</f>
        <v/>
      </c>
      <c r="I92" s="16">
        <f>IFERROR(INDEX(J92:DI92,$F$1),"")</f>
        <v/>
      </c>
      <c r="J92" s="17">
        <f>'Grid_Stock'!B87</f>
        <v/>
      </c>
      <c r="K92" s="17">
        <f>'Grid_Stock'!C87</f>
        <v/>
      </c>
      <c r="L92" s="17">
        <f>'Grid_Stock'!D87</f>
        <v/>
      </c>
      <c r="M92" s="17">
        <f>'Grid_Stock'!E87</f>
        <v/>
      </c>
      <c r="N92" s="17">
        <f>'Grid_Stock'!F87</f>
        <v/>
      </c>
      <c r="O92" s="17">
        <f>'Grid_Stock'!G87</f>
        <v/>
      </c>
      <c r="P92" s="17">
        <f>'Grid_Stock'!H87</f>
        <v/>
      </c>
      <c r="Q92" s="17">
        <f>'Grid_Stock'!I87</f>
        <v/>
      </c>
      <c r="R92" s="17">
        <f>'Grid_Stock'!J87</f>
        <v/>
      </c>
      <c r="S92" s="17">
        <f>'Grid_Stock'!K87</f>
        <v/>
      </c>
      <c r="T92" s="17">
        <f>'Grid_Stock'!L87</f>
        <v/>
      </c>
      <c r="U92" s="17">
        <f>'Grid_Stock'!M87</f>
        <v/>
      </c>
      <c r="V92" s="17">
        <f>'Grid_Stock'!N87</f>
        <v/>
      </c>
      <c r="W92" s="17">
        <f>'Grid_Stock'!O87</f>
        <v/>
      </c>
      <c r="X92" s="17">
        <f>'Grid_Stock'!P87</f>
        <v/>
      </c>
      <c r="Y92" s="17">
        <f>'Grid_Stock'!Q87</f>
        <v/>
      </c>
      <c r="Z92" s="17">
        <f>'Grid_Stock'!R87</f>
        <v/>
      </c>
      <c r="AA92" s="17">
        <f>'Grid_Stock'!S87</f>
        <v/>
      </c>
      <c r="AB92" s="17">
        <f>'Grid_Stock'!T87</f>
        <v/>
      </c>
      <c r="AC92" s="17">
        <f>'Grid_Stock'!U87</f>
        <v/>
      </c>
      <c r="AD92" s="17">
        <f>'Grid_Stock'!V87</f>
        <v/>
      </c>
      <c r="AE92" s="17">
        <f>'Grid_Stock'!W87</f>
        <v/>
      </c>
      <c r="AF92" s="17">
        <f>'Grid_Stock'!X87</f>
        <v/>
      </c>
      <c r="AG92" s="17">
        <f>'Grid_Stock'!Y87</f>
        <v/>
      </c>
      <c r="AH92" s="17">
        <f>'Grid_Stock'!Z87</f>
        <v/>
      </c>
      <c r="AI92" s="17">
        <f>'Grid_Stock'!AA87</f>
        <v/>
      </c>
      <c r="AJ92" s="17">
        <f>'Grid_Stock'!AB87</f>
        <v/>
      </c>
      <c r="AK92" s="17">
        <f>'Grid_Stock'!AC87</f>
        <v/>
      </c>
      <c r="AL92" s="17">
        <f>'Grid_Stock'!AD87</f>
        <v/>
      </c>
      <c r="AM92" s="17">
        <f>'Grid_Stock'!AE87</f>
        <v/>
      </c>
      <c r="AN92" s="17">
        <f>'Grid_Stock'!AF87</f>
        <v/>
      </c>
      <c r="AO92" s="17">
        <f>'Grid_Stock'!AG87</f>
        <v/>
      </c>
      <c r="AP92" s="17">
        <f>'Grid_Stock'!AH87</f>
        <v/>
      </c>
      <c r="AQ92" s="17">
        <f>'Grid_Stock'!AI87</f>
        <v/>
      </c>
      <c r="AR92" s="17">
        <f>'Grid_Stock'!AJ87</f>
        <v/>
      </c>
      <c r="AS92" s="17">
        <f>'Grid_Stock'!AK87</f>
        <v/>
      </c>
      <c r="AT92" s="17">
        <f>'Grid_Stock'!AL87</f>
        <v/>
      </c>
      <c r="AU92" s="17">
        <f>'Grid_Stock'!AM87</f>
        <v/>
      </c>
      <c r="AV92" s="17">
        <f>'Grid_Stock'!AN87</f>
        <v/>
      </c>
      <c r="AW92" s="17">
        <f>'Grid_Stock'!AO87</f>
        <v/>
      </c>
      <c r="AX92" s="17">
        <f>'Grid_Stock'!AP87</f>
        <v/>
      </c>
      <c r="AY92" s="17">
        <f>'Grid_Stock'!AQ87</f>
        <v/>
      </c>
      <c r="AZ92" s="17">
        <f>'Grid_Stock'!AR87</f>
        <v/>
      </c>
      <c r="BA92" s="17">
        <f>'Grid_Stock'!AS87</f>
        <v/>
      </c>
      <c r="BB92" s="17">
        <f>'Grid_Stock'!AT87</f>
        <v/>
      </c>
      <c r="BC92" s="17">
        <f>'Grid_Stock'!AU87</f>
        <v/>
      </c>
      <c r="BD92" s="17">
        <f>'Grid_Stock'!AV87</f>
        <v/>
      </c>
      <c r="BE92" s="17">
        <f>'Grid_Stock'!AW87</f>
        <v/>
      </c>
      <c r="BF92" s="17">
        <f>'Grid_Stock'!AX87</f>
        <v/>
      </c>
      <c r="BG92" s="17">
        <f>'Grid_Stock'!AY87</f>
        <v/>
      </c>
      <c r="BH92" s="17">
        <f>'Grid_Stock'!AZ87</f>
        <v/>
      </c>
      <c r="BI92" s="17">
        <f>'Grid_Stock'!BA87</f>
        <v/>
      </c>
      <c r="BJ92" s="17">
        <f>'Grid_Stock'!BB87</f>
        <v/>
      </c>
      <c r="BK92" s="17">
        <f>'Grid_Stock'!BC87</f>
        <v/>
      </c>
      <c r="BL92" s="17">
        <f>'Grid_Stock'!BD87</f>
        <v/>
      </c>
      <c r="BM92" s="17">
        <f>'Grid_Stock'!BE87</f>
        <v/>
      </c>
      <c r="BN92" s="17">
        <f>'Grid_Stock'!BF87</f>
        <v/>
      </c>
      <c r="BO92" s="17">
        <f>'Grid_Stock'!BG87</f>
        <v/>
      </c>
      <c r="BP92" s="17">
        <f>'Grid_Stock'!BH87</f>
        <v/>
      </c>
      <c r="BQ92" s="17">
        <f>'Grid_Stock'!BI87</f>
        <v/>
      </c>
      <c r="BR92" s="17">
        <f>'Grid_Stock'!BJ87</f>
        <v/>
      </c>
      <c r="BS92" s="17">
        <f>'Grid_Stock'!BK87</f>
        <v/>
      </c>
      <c r="BT92" s="17">
        <f>'Grid_Stock'!BL87</f>
        <v/>
      </c>
      <c r="BU92" s="17">
        <f>'Grid_Stock'!BM87</f>
        <v/>
      </c>
      <c r="BV92" s="17">
        <f>'Grid_Stock'!BN87</f>
        <v/>
      </c>
      <c r="BW92" s="17">
        <f>'Grid_Stock'!BO87</f>
        <v/>
      </c>
      <c r="BX92" s="17">
        <f>'Grid_Stock'!BP87</f>
        <v/>
      </c>
      <c r="BY92" s="17">
        <f>'Grid_Stock'!BQ87</f>
        <v/>
      </c>
      <c r="BZ92" s="17">
        <f>'Grid_Stock'!BR87</f>
        <v/>
      </c>
      <c r="CA92" s="17">
        <f>'Grid_Stock'!BS87</f>
        <v/>
      </c>
      <c r="CB92" s="17">
        <f>'Grid_Stock'!BT87</f>
        <v/>
      </c>
      <c r="CC92" s="17">
        <f>'Grid_Stock'!BU87</f>
        <v/>
      </c>
      <c r="CD92" s="17">
        <f>'Grid_Stock'!BV87</f>
        <v/>
      </c>
      <c r="CE92" s="17">
        <f>'Grid_Stock'!BW87</f>
        <v/>
      </c>
      <c r="CF92" s="17">
        <f>'Grid_Stock'!BX87</f>
        <v/>
      </c>
      <c r="CG92" s="17">
        <f>'Grid_Stock'!BY87</f>
        <v/>
      </c>
      <c r="CH92" s="17">
        <f>'Grid_Stock'!BZ87</f>
        <v/>
      </c>
      <c r="CI92" s="17">
        <f>'Grid_Stock'!CA87</f>
        <v/>
      </c>
      <c r="CJ92" s="17">
        <f>'Grid_Stock'!CB87</f>
        <v/>
      </c>
      <c r="CK92" s="17">
        <f>'Grid_Stock'!CC87</f>
        <v/>
      </c>
      <c r="CL92" s="17">
        <f>'Grid_Stock'!CD87</f>
        <v/>
      </c>
      <c r="CM92" s="17">
        <f>'Grid_Stock'!CE87</f>
        <v/>
      </c>
      <c r="CN92" s="17">
        <f>'Grid_Stock'!CF87</f>
        <v/>
      </c>
      <c r="CO92" s="17">
        <f>'Grid_Stock'!CG87</f>
        <v/>
      </c>
      <c r="CP92" s="17">
        <f>'Grid_Stock'!CH87</f>
        <v/>
      </c>
      <c r="CQ92" s="17">
        <f>'Grid_Stock'!CI87</f>
        <v/>
      </c>
      <c r="CR92" s="17">
        <f>'Grid_Stock'!CJ87</f>
        <v/>
      </c>
      <c r="CS92" s="17">
        <f>'Grid_Stock'!CK87</f>
        <v/>
      </c>
      <c r="CT92" s="17">
        <f>'Grid_Stock'!CL87</f>
        <v/>
      </c>
      <c r="CU92" s="17">
        <f>'Grid_Stock'!CM87</f>
        <v/>
      </c>
      <c r="CV92" s="17">
        <f>'Grid_Stock'!CN87</f>
        <v/>
      </c>
      <c r="CW92" s="17">
        <f>'Grid_Stock'!CO87</f>
        <v/>
      </c>
      <c r="CX92" s="17">
        <f>'Grid_Stock'!CP87</f>
        <v/>
      </c>
      <c r="CY92" s="17">
        <f>'Grid_Stock'!CQ87</f>
        <v/>
      </c>
      <c r="CZ92" s="17">
        <f>'Grid_Stock'!CR87</f>
        <v/>
      </c>
      <c r="DA92" s="17">
        <f>'Grid_Stock'!CS87</f>
        <v/>
      </c>
      <c r="DB92" s="17">
        <f>'Grid_Stock'!CT87</f>
        <v/>
      </c>
      <c r="DC92" s="17">
        <f>'Grid_Stock'!CU87</f>
        <v/>
      </c>
      <c r="DD92" s="17">
        <f>'Grid_Stock'!CV87</f>
        <v/>
      </c>
      <c r="DE92" s="17">
        <f>'Grid_Stock'!CW87</f>
        <v/>
      </c>
      <c r="DF92" s="17">
        <f>'Grid_Stock'!CX87</f>
        <v/>
      </c>
      <c r="DG92" s="17">
        <f>'Grid_Stock'!CY87</f>
        <v/>
      </c>
      <c r="DH92" s="17">
        <f>'Grid_Stock'!CZ87</f>
        <v/>
      </c>
      <c r="DI92" s="17">
        <f>'Grid_Stock'!DA87</f>
        <v/>
      </c>
    </row>
    <row r="93">
      <c r="A93" s="15" t="inlineStr">
        <is>
          <t>TSZ-938</t>
        </is>
      </c>
      <c r="B93" s="15">
        <f>IFERROR(INDEX(M_RawMaterials[Description],MATCH($A93,M_RawMaterials[RM_Code],0)),"")</f>
        <v/>
      </c>
      <c r="C93" s="15">
        <f>IFERROR(INDEX(M_RawMaterials[Category],MATCH($A93,M_RawMaterials[RM_Code],0)),"")</f>
        <v/>
      </c>
      <c r="D93" s="15">
        <f>IFERROR(INDEX(M_RawMaterials[SafetyStock_Qty_要入力],MATCH($A93,M_RawMaterials[RM_Code],0)),0)</f>
        <v/>
      </c>
      <c r="E93" s="15">
        <f>IFERROR(LOOKUP(2,1/(T_SelfStock!$A$2:$A$12000=$A93),T_SelfStock!$D$2:$D$12000),"")</f>
        <v/>
      </c>
      <c r="F93" s="15">
        <f>IFERROR(LOOKUP(2,1/(T_TTAFStock!$A$2:$A$12000=$A93),T_TTAFStock!$D$2:$D$12000),"")</f>
        <v/>
      </c>
      <c r="G93" s="15">
        <f>IFERROR(INDEX(Cal_Weeks[Label],LOOKUP(2,1/(T_SelfStock!$A$2:$A$12000=$A93),T_SelfStock!$B$2:$B$12000)),"")</f>
        <v/>
      </c>
      <c r="H93" s="15">
        <f>IF(MIN(J93:DI93)&lt;D93,"要発注","OK")</f>
        <v/>
      </c>
      <c r="I93" s="16">
        <f>IFERROR(INDEX(J93:DI93,$F$1),"")</f>
        <v/>
      </c>
      <c r="J93" s="15">
        <f>'Grid_Stock'!B88</f>
        <v/>
      </c>
      <c r="K93" s="15">
        <f>'Grid_Stock'!C88</f>
        <v/>
      </c>
      <c r="L93" s="15">
        <f>'Grid_Stock'!D88</f>
        <v/>
      </c>
      <c r="M93" s="15">
        <f>'Grid_Stock'!E88</f>
        <v/>
      </c>
      <c r="N93" s="15">
        <f>'Grid_Stock'!F88</f>
        <v/>
      </c>
      <c r="O93" s="15">
        <f>'Grid_Stock'!G88</f>
        <v/>
      </c>
      <c r="P93" s="15">
        <f>'Grid_Stock'!H88</f>
        <v/>
      </c>
      <c r="Q93" s="15">
        <f>'Grid_Stock'!I88</f>
        <v/>
      </c>
      <c r="R93" s="15">
        <f>'Grid_Stock'!J88</f>
        <v/>
      </c>
      <c r="S93" s="15">
        <f>'Grid_Stock'!K88</f>
        <v/>
      </c>
      <c r="T93" s="15">
        <f>'Grid_Stock'!L88</f>
        <v/>
      </c>
      <c r="U93" s="15">
        <f>'Grid_Stock'!M88</f>
        <v/>
      </c>
      <c r="V93" s="15">
        <f>'Grid_Stock'!N88</f>
        <v/>
      </c>
      <c r="W93" s="15">
        <f>'Grid_Stock'!O88</f>
        <v/>
      </c>
      <c r="X93" s="15">
        <f>'Grid_Stock'!P88</f>
        <v/>
      </c>
      <c r="Y93" s="15">
        <f>'Grid_Stock'!Q88</f>
        <v/>
      </c>
      <c r="Z93" s="15">
        <f>'Grid_Stock'!R88</f>
        <v/>
      </c>
      <c r="AA93" s="15">
        <f>'Grid_Stock'!S88</f>
        <v/>
      </c>
      <c r="AB93" s="15">
        <f>'Grid_Stock'!T88</f>
        <v/>
      </c>
      <c r="AC93" s="15">
        <f>'Grid_Stock'!U88</f>
        <v/>
      </c>
      <c r="AD93" s="15">
        <f>'Grid_Stock'!V88</f>
        <v/>
      </c>
      <c r="AE93" s="15">
        <f>'Grid_Stock'!W88</f>
        <v/>
      </c>
      <c r="AF93" s="15">
        <f>'Grid_Stock'!X88</f>
        <v/>
      </c>
      <c r="AG93" s="15">
        <f>'Grid_Stock'!Y88</f>
        <v/>
      </c>
      <c r="AH93" s="15">
        <f>'Grid_Stock'!Z88</f>
        <v/>
      </c>
      <c r="AI93" s="15">
        <f>'Grid_Stock'!AA88</f>
        <v/>
      </c>
      <c r="AJ93" s="15">
        <f>'Grid_Stock'!AB88</f>
        <v/>
      </c>
      <c r="AK93" s="15">
        <f>'Grid_Stock'!AC88</f>
        <v/>
      </c>
      <c r="AL93" s="15">
        <f>'Grid_Stock'!AD88</f>
        <v/>
      </c>
      <c r="AM93" s="15">
        <f>'Grid_Stock'!AE88</f>
        <v/>
      </c>
      <c r="AN93" s="15">
        <f>'Grid_Stock'!AF88</f>
        <v/>
      </c>
      <c r="AO93" s="15">
        <f>'Grid_Stock'!AG88</f>
        <v/>
      </c>
      <c r="AP93" s="15">
        <f>'Grid_Stock'!AH88</f>
        <v/>
      </c>
      <c r="AQ93" s="15">
        <f>'Grid_Stock'!AI88</f>
        <v/>
      </c>
      <c r="AR93" s="15">
        <f>'Grid_Stock'!AJ88</f>
        <v/>
      </c>
      <c r="AS93" s="15">
        <f>'Grid_Stock'!AK88</f>
        <v/>
      </c>
      <c r="AT93" s="15">
        <f>'Grid_Stock'!AL88</f>
        <v/>
      </c>
      <c r="AU93" s="15">
        <f>'Grid_Stock'!AM88</f>
        <v/>
      </c>
      <c r="AV93" s="15">
        <f>'Grid_Stock'!AN88</f>
        <v/>
      </c>
      <c r="AW93" s="15">
        <f>'Grid_Stock'!AO88</f>
        <v/>
      </c>
      <c r="AX93" s="15">
        <f>'Grid_Stock'!AP88</f>
        <v/>
      </c>
      <c r="AY93" s="15">
        <f>'Grid_Stock'!AQ88</f>
        <v/>
      </c>
      <c r="AZ93" s="15">
        <f>'Grid_Stock'!AR88</f>
        <v/>
      </c>
      <c r="BA93" s="15">
        <f>'Grid_Stock'!AS88</f>
        <v/>
      </c>
      <c r="BB93" s="15">
        <f>'Grid_Stock'!AT88</f>
        <v/>
      </c>
      <c r="BC93" s="15">
        <f>'Grid_Stock'!AU88</f>
        <v/>
      </c>
      <c r="BD93" s="15">
        <f>'Grid_Stock'!AV88</f>
        <v/>
      </c>
      <c r="BE93" s="15">
        <f>'Grid_Stock'!AW88</f>
        <v/>
      </c>
      <c r="BF93" s="15">
        <f>'Grid_Stock'!AX88</f>
        <v/>
      </c>
      <c r="BG93" s="15">
        <f>'Grid_Stock'!AY88</f>
        <v/>
      </c>
      <c r="BH93" s="15">
        <f>'Grid_Stock'!AZ88</f>
        <v/>
      </c>
      <c r="BI93" s="15">
        <f>'Grid_Stock'!BA88</f>
        <v/>
      </c>
      <c r="BJ93" s="15">
        <f>'Grid_Stock'!BB88</f>
        <v/>
      </c>
      <c r="BK93" s="15">
        <f>'Grid_Stock'!BC88</f>
        <v/>
      </c>
      <c r="BL93" s="15">
        <f>'Grid_Stock'!BD88</f>
        <v/>
      </c>
      <c r="BM93" s="15">
        <f>'Grid_Stock'!BE88</f>
        <v/>
      </c>
      <c r="BN93" s="15">
        <f>'Grid_Stock'!BF88</f>
        <v/>
      </c>
      <c r="BO93" s="15">
        <f>'Grid_Stock'!BG88</f>
        <v/>
      </c>
      <c r="BP93" s="15">
        <f>'Grid_Stock'!BH88</f>
        <v/>
      </c>
      <c r="BQ93" s="15">
        <f>'Grid_Stock'!BI88</f>
        <v/>
      </c>
      <c r="BR93" s="15">
        <f>'Grid_Stock'!BJ88</f>
        <v/>
      </c>
      <c r="BS93" s="15">
        <f>'Grid_Stock'!BK88</f>
        <v/>
      </c>
      <c r="BT93" s="15">
        <f>'Grid_Stock'!BL88</f>
        <v/>
      </c>
      <c r="BU93" s="15">
        <f>'Grid_Stock'!BM88</f>
        <v/>
      </c>
      <c r="BV93" s="15">
        <f>'Grid_Stock'!BN88</f>
        <v/>
      </c>
      <c r="BW93" s="15">
        <f>'Grid_Stock'!BO88</f>
        <v/>
      </c>
      <c r="BX93" s="15">
        <f>'Grid_Stock'!BP88</f>
        <v/>
      </c>
      <c r="BY93" s="15">
        <f>'Grid_Stock'!BQ88</f>
        <v/>
      </c>
      <c r="BZ93" s="15">
        <f>'Grid_Stock'!BR88</f>
        <v/>
      </c>
      <c r="CA93" s="15">
        <f>'Grid_Stock'!BS88</f>
        <v/>
      </c>
      <c r="CB93" s="15">
        <f>'Grid_Stock'!BT88</f>
        <v/>
      </c>
      <c r="CC93" s="15">
        <f>'Grid_Stock'!BU88</f>
        <v/>
      </c>
      <c r="CD93" s="15">
        <f>'Grid_Stock'!BV88</f>
        <v/>
      </c>
      <c r="CE93" s="15">
        <f>'Grid_Stock'!BW88</f>
        <v/>
      </c>
      <c r="CF93" s="15">
        <f>'Grid_Stock'!BX88</f>
        <v/>
      </c>
      <c r="CG93" s="15">
        <f>'Grid_Stock'!BY88</f>
        <v/>
      </c>
      <c r="CH93" s="15">
        <f>'Grid_Stock'!BZ88</f>
        <v/>
      </c>
      <c r="CI93" s="15">
        <f>'Grid_Stock'!CA88</f>
        <v/>
      </c>
      <c r="CJ93" s="15">
        <f>'Grid_Stock'!CB88</f>
        <v/>
      </c>
      <c r="CK93" s="15">
        <f>'Grid_Stock'!CC88</f>
        <v/>
      </c>
      <c r="CL93" s="15">
        <f>'Grid_Stock'!CD88</f>
        <v/>
      </c>
      <c r="CM93" s="15">
        <f>'Grid_Stock'!CE88</f>
        <v/>
      </c>
      <c r="CN93" s="15">
        <f>'Grid_Stock'!CF88</f>
        <v/>
      </c>
      <c r="CO93" s="15">
        <f>'Grid_Stock'!CG88</f>
        <v/>
      </c>
      <c r="CP93" s="15">
        <f>'Grid_Stock'!CH88</f>
        <v/>
      </c>
      <c r="CQ93" s="15">
        <f>'Grid_Stock'!CI88</f>
        <v/>
      </c>
      <c r="CR93" s="15">
        <f>'Grid_Stock'!CJ88</f>
        <v/>
      </c>
      <c r="CS93" s="15">
        <f>'Grid_Stock'!CK88</f>
        <v/>
      </c>
      <c r="CT93" s="15">
        <f>'Grid_Stock'!CL88</f>
        <v/>
      </c>
      <c r="CU93" s="15">
        <f>'Grid_Stock'!CM88</f>
        <v/>
      </c>
      <c r="CV93" s="15">
        <f>'Grid_Stock'!CN88</f>
        <v/>
      </c>
      <c r="CW93" s="15">
        <f>'Grid_Stock'!CO88</f>
        <v/>
      </c>
      <c r="CX93" s="15">
        <f>'Grid_Stock'!CP88</f>
        <v/>
      </c>
      <c r="CY93" s="15">
        <f>'Grid_Stock'!CQ88</f>
        <v/>
      </c>
      <c r="CZ93" s="15">
        <f>'Grid_Stock'!CR88</f>
        <v/>
      </c>
      <c r="DA93" s="15">
        <f>'Grid_Stock'!CS88</f>
        <v/>
      </c>
      <c r="DB93" s="15">
        <f>'Grid_Stock'!CT88</f>
        <v/>
      </c>
      <c r="DC93" s="15">
        <f>'Grid_Stock'!CU88</f>
        <v/>
      </c>
      <c r="DD93" s="15">
        <f>'Grid_Stock'!CV88</f>
        <v/>
      </c>
      <c r="DE93" s="15">
        <f>'Grid_Stock'!CW88</f>
        <v/>
      </c>
      <c r="DF93" s="15">
        <f>'Grid_Stock'!CX88</f>
        <v/>
      </c>
      <c r="DG93" s="15">
        <f>'Grid_Stock'!CY88</f>
        <v/>
      </c>
      <c r="DH93" s="15">
        <f>'Grid_Stock'!CZ88</f>
        <v/>
      </c>
      <c r="DI93" s="15">
        <f>'Grid_Stock'!DA88</f>
        <v/>
      </c>
    </row>
    <row r="94">
      <c r="A94" s="17" t="inlineStr">
        <is>
          <t>CHEM-1460</t>
        </is>
      </c>
      <c r="B94" s="17">
        <f>IFERROR(INDEX(M_RawMaterials[Description],MATCH($A94,M_RawMaterials[RM_Code],0)),"")</f>
        <v/>
      </c>
      <c r="C94" s="17">
        <f>IFERROR(INDEX(M_RawMaterials[Category],MATCH($A94,M_RawMaterials[RM_Code],0)),"")</f>
        <v/>
      </c>
      <c r="D94" s="17">
        <f>IFERROR(INDEX(M_RawMaterials[SafetyStock_Qty_要入力],MATCH($A94,M_RawMaterials[RM_Code],0)),0)</f>
        <v/>
      </c>
      <c r="E94" s="17">
        <f>IFERROR(LOOKUP(2,1/(T_SelfStock!$A$2:$A$12000=$A94),T_SelfStock!$D$2:$D$12000),"")</f>
        <v/>
      </c>
      <c r="F94" s="17">
        <f>IFERROR(LOOKUP(2,1/(T_TTAFStock!$A$2:$A$12000=$A94),T_TTAFStock!$D$2:$D$12000),"")</f>
        <v/>
      </c>
      <c r="G94" s="17">
        <f>IFERROR(INDEX(Cal_Weeks[Label],LOOKUP(2,1/(T_SelfStock!$A$2:$A$12000=$A94),T_SelfStock!$B$2:$B$12000)),"")</f>
        <v/>
      </c>
      <c r="H94" s="17">
        <f>IF(MIN(J94:DI94)&lt;D94,"要発注","OK")</f>
        <v/>
      </c>
      <c r="I94" s="16">
        <f>IFERROR(INDEX(J94:DI94,$F$1),"")</f>
        <v/>
      </c>
      <c r="J94" s="17">
        <f>'Grid_Stock'!B89</f>
        <v/>
      </c>
      <c r="K94" s="17">
        <f>'Grid_Stock'!C89</f>
        <v/>
      </c>
      <c r="L94" s="17">
        <f>'Grid_Stock'!D89</f>
        <v/>
      </c>
      <c r="M94" s="17">
        <f>'Grid_Stock'!E89</f>
        <v/>
      </c>
      <c r="N94" s="17">
        <f>'Grid_Stock'!F89</f>
        <v/>
      </c>
      <c r="O94" s="17">
        <f>'Grid_Stock'!G89</f>
        <v/>
      </c>
      <c r="P94" s="17">
        <f>'Grid_Stock'!H89</f>
        <v/>
      </c>
      <c r="Q94" s="17">
        <f>'Grid_Stock'!I89</f>
        <v/>
      </c>
      <c r="R94" s="17">
        <f>'Grid_Stock'!J89</f>
        <v/>
      </c>
      <c r="S94" s="17">
        <f>'Grid_Stock'!K89</f>
        <v/>
      </c>
      <c r="T94" s="17">
        <f>'Grid_Stock'!L89</f>
        <v/>
      </c>
      <c r="U94" s="17">
        <f>'Grid_Stock'!M89</f>
        <v/>
      </c>
      <c r="V94" s="17">
        <f>'Grid_Stock'!N89</f>
        <v/>
      </c>
      <c r="W94" s="17">
        <f>'Grid_Stock'!O89</f>
        <v/>
      </c>
      <c r="X94" s="17">
        <f>'Grid_Stock'!P89</f>
        <v/>
      </c>
      <c r="Y94" s="17">
        <f>'Grid_Stock'!Q89</f>
        <v/>
      </c>
      <c r="Z94" s="17">
        <f>'Grid_Stock'!R89</f>
        <v/>
      </c>
      <c r="AA94" s="17">
        <f>'Grid_Stock'!S89</f>
        <v/>
      </c>
      <c r="AB94" s="17">
        <f>'Grid_Stock'!T89</f>
        <v/>
      </c>
      <c r="AC94" s="17">
        <f>'Grid_Stock'!U89</f>
        <v/>
      </c>
      <c r="AD94" s="17">
        <f>'Grid_Stock'!V89</f>
        <v/>
      </c>
      <c r="AE94" s="17">
        <f>'Grid_Stock'!W89</f>
        <v/>
      </c>
      <c r="AF94" s="17">
        <f>'Grid_Stock'!X89</f>
        <v/>
      </c>
      <c r="AG94" s="17">
        <f>'Grid_Stock'!Y89</f>
        <v/>
      </c>
      <c r="AH94" s="17">
        <f>'Grid_Stock'!Z89</f>
        <v/>
      </c>
      <c r="AI94" s="17">
        <f>'Grid_Stock'!AA89</f>
        <v/>
      </c>
      <c r="AJ94" s="17">
        <f>'Grid_Stock'!AB89</f>
        <v/>
      </c>
      <c r="AK94" s="17">
        <f>'Grid_Stock'!AC89</f>
        <v/>
      </c>
      <c r="AL94" s="17">
        <f>'Grid_Stock'!AD89</f>
        <v/>
      </c>
      <c r="AM94" s="17">
        <f>'Grid_Stock'!AE89</f>
        <v/>
      </c>
      <c r="AN94" s="17">
        <f>'Grid_Stock'!AF89</f>
        <v/>
      </c>
      <c r="AO94" s="17">
        <f>'Grid_Stock'!AG89</f>
        <v/>
      </c>
      <c r="AP94" s="17">
        <f>'Grid_Stock'!AH89</f>
        <v/>
      </c>
      <c r="AQ94" s="17">
        <f>'Grid_Stock'!AI89</f>
        <v/>
      </c>
      <c r="AR94" s="17">
        <f>'Grid_Stock'!AJ89</f>
        <v/>
      </c>
      <c r="AS94" s="17">
        <f>'Grid_Stock'!AK89</f>
        <v/>
      </c>
      <c r="AT94" s="17">
        <f>'Grid_Stock'!AL89</f>
        <v/>
      </c>
      <c r="AU94" s="17">
        <f>'Grid_Stock'!AM89</f>
        <v/>
      </c>
      <c r="AV94" s="17">
        <f>'Grid_Stock'!AN89</f>
        <v/>
      </c>
      <c r="AW94" s="17">
        <f>'Grid_Stock'!AO89</f>
        <v/>
      </c>
      <c r="AX94" s="17">
        <f>'Grid_Stock'!AP89</f>
        <v/>
      </c>
      <c r="AY94" s="17">
        <f>'Grid_Stock'!AQ89</f>
        <v/>
      </c>
      <c r="AZ94" s="17">
        <f>'Grid_Stock'!AR89</f>
        <v/>
      </c>
      <c r="BA94" s="17">
        <f>'Grid_Stock'!AS89</f>
        <v/>
      </c>
      <c r="BB94" s="17">
        <f>'Grid_Stock'!AT89</f>
        <v/>
      </c>
      <c r="BC94" s="17">
        <f>'Grid_Stock'!AU89</f>
        <v/>
      </c>
      <c r="BD94" s="17">
        <f>'Grid_Stock'!AV89</f>
        <v/>
      </c>
      <c r="BE94" s="17">
        <f>'Grid_Stock'!AW89</f>
        <v/>
      </c>
      <c r="BF94" s="17">
        <f>'Grid_Stock'!AX89</f>
        <v/>
      </c>
      <c r="BG94" s="17">
        <f>'Grid_Stock'!AY89</f>
        <v/>
      </c>
      <c r="BH94" s="17">
        <f>'Grid_Stock'!AZ89</f>
        <v/>
      </c>
      <c r="BI94" s="17">
        <f>'Grid_Stock'!BA89</f>
        <v/>
      </c>
      <c r="BJ94" s="17">
        <f>'Grid_Stock'!BB89</f>
        <v/>
      </c>
      <c r="BK94" s="17">
        <f>'Grid_Stock'!BC89</f>
        <v/>
      </c>
      <c r="BL94" s="17">
        <f>'Grid_Stock'!BD89</f>
        <v/>
      </c>
      <c r="BM94" s="17">
        <f>'Grid_Stock'!BE89</f>
        <v/>
      </c>
      <c r="BN94" s="17">
        <f>'Grid_Stock'!BF89</f>
        <v/>
      </c>
      <c r="BO94" s="17">
        <f>'Grid_Stock'!BG89</f>
        <v/>
      </c>
      <c r="BP94" s="17">
        <f>'Grid_Stock'!BH89</f>
        <v/>
      </c>
      <c r="BQ94" s="17">
        <f>'Grid_Stock'!BI89</f>
        <v/>
      </c>
      <c r="BR94" s="17">
        <f>'Grid_Stock'!BJ89</f>
        <v/>
      </c>
      <c r="BS94" s="17">
        <f>'Grid_Stock'!BK89</f>
        <v/>
      </c>
      <c r="BT94" s="17">
        <f>'Grid_Stock'!BL89</f>
        <v/>
      </c>
      <c r="BU94" s="17">
        <f>'Grid_Stock'!BM89</f>
        <v/>
      </c>
      <c r="BV94" s="17">
        <f>'Grid_Stock'!BN89</f>
        <v/>
      </c>
      <c r="BW94" s="17">
        <f>'Grid_Stock'!BO89</f>
        <v/>
      </c>
      <c r="BX94" s="17">
        <f>'Grid_Stock'!BP89</f>
        <v/>
      </c>
      <c r="BY94" s="17">
        <f>'Grid_Stock'!BQ89</f>
        <v/>
      </c>
      <c r="BZ94" s="17">
        <f>'Grid_Stock'!BR89</f>
        <v/>
      </c>
      <c r="CA94" s="17">
        <f>'Grid_Stock'!BS89</f>
        <v/>
      </c>
      <c r="CB94" s="17">
        <f>'Grid_Stock'!BT89</f>
        <v/>
      </c>
      <c r="CC94" s="17">
        <f>'Grid_Stock'!BU89</f>
        <v/>
      </c>
      <c r="CD94" s="17">
        <f>'Grid_Stock'!BV89</f>
        <v/>
      </c>
      <c r="CE94" s="17">
        <f>'Grid_Stock'!BW89</f>
        <v/>
      </c>
      <c r="CF94" s="17">
        <f>'Grid_Stock'!BX89</f>
        <v/>
      </c>
      <c r="CG94" s="17">
        <f>'Grid_Stock'!BY89</f>
        <v/>
      </c>
      <c r="CH94" s="17">
        <f>'Grid_Stock'!BZ89</f>
        <v/>
      </c>
      <c r="CI94" s="17">
        <f>'Grid_Stock'!CA89</f>
        <v/>
      </c>
      <c r="CJ94" s="17">
        <f>'Grid_Stock'!CB89</f>
        <v/>
      </c>
      <c r="CK94" s="17">
        <f>'Grid_Stock'!CC89</f>
        <v/>
      </c>
      <c r="CL94" s="17">
        <f>'Grid_Stock'!CD89</f>
        <v/>
      </c>
      <c r="CM94" s="17">
        <f>'Grid_Stock'!CE89</f>
        <v/>
      </c>
      <c r="CN94" s="17">
        <f>'Grid_Stock'!CF89</f>
        <v/>
      </c>
      <c r="CO94" s="17">
        <f>'Grid_Stock'!CG89</f>
        <v/>
      </c>
      <c r="CP94" s="17">
        <f>'Grid_Stock'!CH89</f>
        <v/>
      </c>
      <c r="CQ94" s="17">
        <f>'Grid_Stock'!CI89</f>
        <v/>
      </c>
      <c r="CR94" s="17">
        <f>'Grid_Stock'!CJ89</f>
        <v/>
      </c>
      <c r="CS94" s="17">
        <f>'Grid_Stock'!CK89</f>
        <v/>
      </c>
      <c r="CT94" s="17">
        <f>'Grid_Stock'!CL89</f>
        <v/>
      </c>
      <c r="CU94" s="17">
        <f>'Grid_Stock'!CM89</f>
        <v/>
      </c>
      <c r="CV94" s="17">
        <f>'Grid_Stock'!CN89</f>
        <v/>
      </c>
      <c r="CW94" s="17">
        <f>'Grid_Stock'!CO89</f>
        <v/>
      </c>
      <c r="CX94" s="17">
        <f>'Grid_Stock'!CP89</f>
        <v/>
      </c>
      <c r="CY94" s="17">
        <f>'Grid_Stock'!CQ89</f>
        <v/>
      </c>
      <c r="CZ94" s="17">
        <f>'Grid_Stock'!CR89</f>
        <v/>
      </c>
      <c r="DA94" s="17">
        <f>'Grid_Stock'!CS89</f>
        <v/>
      </c>
      <c r="DB94" s="17">
        <f>'Grid_Stock'!CT89</f>
        <v/>
      </c>
      <c r="DC94" s="17">
        <f>'Grid_Stock'!CU89</f>
        <v/>
      </c>
      <c r="DD94" s="17">
        <f>'Grid_Stock'!CV89</f>
        <v/>
      </c>
      <c r="DE94" s="17">
        <f>'Grid_Stock'!CW89</f>
        <v/>
      </c>
      <c r="DF94" s="17">
        <f>'Grid_Stock'!CX89</f>
        <v/>
      </c>
      <c r="DG94" s="17">
        <f>'Grid_Stock'!CY89</f>
        <v/>
      </c>
      <c r="DH94" s="17">
        <f>'Grid_Stock'!CZ89</f>
        <v/>
      </c>
      <c r="DI94" s="17">
        <f>'Grid_Stock'!DA89</f>
        <v/>
      </c>
    </row>
    <row r="95">
      <c r="A95" s="15" t="inlineStr">
        <is>
          <t>CHEM-1490</t>
        </is>
      </c>
      <c r="B95" s="15">
        <f>IFERROR(INDEX(M_RawMaterials[Description],MATCH($A95,M_RawMaterials[RM_Code],0)),"")</f>
        <v/>
      </c>
      <c r="C95" s="15">
        <f>IFERROR(INDEX(M_RawMaterials[Category],MATCH($A95,M_RawMaterials[RM_Code],0)),"")</f>
        <v/>
      </c>
      <c r="D95" s="15">
        <f>IFERROR(INDEX(M_RawMaterials[SafetyStock_Qty_要入力],MATCH($A95,M_RawMaterials[RM_Code],0)),0)</f>
        <v/>
      </c>
      <c r="E95" s="15">
        <f>IFERROR(LOOKUP(2,1/(T_SelfStock!$A$2:$A$12000=$A95),T_SelfStock!$D$2:$D$12000),"")</f>
        <v/>
      </c>
      <c r="F95" s="15">
        <f>IFERROR(LOOKUP(2,1/(T_TTAFStock!$A$2:$A$12000=$A95),T_TTAFStock!$D$2:$D$12000),"")</f>
        <v/>
      </c>
      <c r="G95" s="15">
        <f>IFERROR(INDEX(Cal_Weeks[Label],LOOKUP(2,1/(T_SelfStock!$A$2:$A$12000=$A95),T_SelfStock!$B$2:$B$12000)),"")</f>
        <v/>
      </c>
      <c r="H95" s="15">
        <f>IF(MIN(J95:DI95)&lt;D95,"要発注","OK")</f>
        <v/>
      </c>
      <c r="I95" s="16">
        <f>IFERROR(INDEX(J95:DI95,$F$1),"")</f>
        <v/>
      </c>
      <c r="J95" s="15">
        <f>'Grid_Stock'!B90</f>
        <v/>
      </c>
      <c r="K95" s="15">
        <f>'Grid_Stock'!C90</f>
        <v/>
      </c>
      <c r="L95" s="15">
        <f>'Grid_Stock'!D90</f>
        <v/>
      </c>
      <c r="M95" s="15">
        <f>'Grid_Stock'!E90</f>
        <v/>
      </c>
      <c r="N95" s="15">
        <f>'Grid_Stock'!F90</f>
        <v/>
      </c>
      <c r="O95" s="15">
        <f>'Grid_Stock'!G90</f>
        <v/>
      </c>
      <c r="P95" s="15">
        <f>'Grid_Stock'!H90</f>
        <v/>
      </c>
      <c r="Q95" s="15">
        <f>'Grid_Stock'!I90</f>
        <v/>
      </c>
      <c r="R95" s="15">
        <f>'Grid_Stock'!J90</f>
        <v/>
      </c>
      <c r="S95" s="15">
        <f>'Grid_Stock'!K90</f>
        <v/>
      </c>
      <c r="T95" s="15">
        <f>'Grid_Stock'!L90</f>
        <v/>
      </c>
      <c r="U95" s="15">
        <f>'Grid_Stock'!M90</f>
        <v/>
      </c>
      <c r="V95" s="15">
        <f>'Grid_Stock'!N90</f>
        <v/>
      </c>
      <c r="W95" s="15">
        <f>'Grid_Stock'!O90</f>
        <v/>
      </c>
      <c r="X95" s="15">
        <f>'Grid_Stock'!P90</f>
        <v/>
      </c>
      <c r="Y95" s="15">
        <f>'Grid_Stock'!Q90</f>
        <v/>
      </c>
      <c r="Z95" s="15">
        <f>'Grid_Stock'!R90</f>
        <v/>
      </c>
      <c r="AA95" s="15">
        <f>'Grid_Stock'!S90</f>
        <v/>
      </c>
      <c r="AB95" s="15">
        <f>'Grid_Stock'!T90</f>
        <v/>
      </c>
      <c r="AC95" s="15">
        <f>'Grid_Stock'!U90</f>
        <v/>
      </c>
      <c r="AD95" s="15">
        <f>'Grid_Stock'!V90</f>
        <v/>
      </c>
      <c r="AE95" s="15">
        <f>'Grid_Stock'!W90</f>
        <v/>
      </c>
      <c r="AF95" s="15">
        <f>'Grid_Stock'!X90</f>
        <v/>
      </c>
      <c r="AG95" s="15">
        <f>'Grid_Stock'!Y90</f>
        <v/>
      </c>
      <c r="AH95" s="15">
        <f>'Grid_Stock'!Z90</f>
        <v/>
      </c>
      <c r="AI95" s="15">
        <f>'Grid_Stock'!AA90</f>
        <v/>
      </c>
      <c r="AJ95" s="15">
        <f>'Grid_Stock'!AB90</f>
        <v/>
      </c>
      <c r="AK95" s="15">
        <f>'Grid_Stock'!AC90</f>
        <v/>
      </c>
      <c r="AL95" s="15">
        <f>'Grid_Stock'!AD90</f>
        <v/>
      </c>
      <c r="AM95" s="15">
        <f>'Grid_Stock'!AE90</f>
        <v/>
      </c>
      <c r="AN95" s="15">
        <f>'Grid_Stock'!AF90</f>
        <v/>
      </c>
      <c r="AO95" s="15">
        <f>'Grid_Stock'!AG90</f>
        <v/>
      </c>
      <c r="AP95" s="15">
        <f>'Grid_Stock'!AH90</f>
        <v/>
      </c>
      <c r="AQ95" s="15">
        <f>'Grid_Stock'!AI90</f>
        <v/>
      </c>
      <c r="AR95" s="15">
        <f>'Grid_Stock'!AJ90</f>
        <v/>
      </c>
      <c r="AS95" s="15">
        <f>'Grid_Stock'!AK90</f>
        <v/>
      </c>
      <c r="AT95" s="15">
        <f>'Grid_Stock'!AL90</f>
        <v/>
      </c>
      <c r="AU95" s="15">
        <f>'Grid_Stock'!AM90</f>
        <v/>
      </c>
      <c r="AV95" s="15">
        <f>'Grid_Stock'!AN90</f>
        <v/>
      </c>
      <c r="AW95" s="15">
        <f>'Grid_Stock'!AO90</f>
        <v/>
      </c>
      <c r="AX95" s="15">
        <f>'Grid_Stock'!AP90</f>
        <v/>
      </c>
      <c r="AY95" s="15">
        <f>'Grid_Stock'!AQ90</f>
        <v/>
      </c>
      <c r="AZ95" s="15">
        <f>'Grid_Stock'!AR90</f>
        <v/>
      </c>
      <c r="BA95" s="15">
        <f>'Grid_Stock'!AS90</f>
        <v/>
      </c>
      <c r="BB95" s="15">
        <f>'Grid_Stock'!AT90</f>
        <v/>
      </c>
      <c r="BC95" s="15">
        <f>'Grid_Stock'!AU90</f>
        <v/>
      </c>
      <c r="BD95" s="15">
        <f>'Grid_Stock'!AV90</f>
        <v/>
      </c>
      <c r="BE95" s="15">
        <f>'Grid_Stock'!AW90</f>
        <v/>
      </c>
      <c r="BF95" s="15">
        <f>'Grid_Stock'!AX90</f>
        <v/>
      </c>
      <c r="BG95" s="15">
        <f>'Grid_Stock'!AY90</f>
        <v/>
      </c>
      <c r="BH95" s="15">
        <f>'Grid_Stock'!AZ90</f>
        <v/>
      </c>
      <c r="BI95" s="15">
        <f>'Grid_Stock'!BA90</f>
        <v/>
      </c>
      <c r="BJ95" s="15">
        <f>'Grid_Stock'!BB90</f>
        <v/>
      </c>
      <c r="BK95" s="15">
        <f>'Grid_Stock'!BC90</f>
        <v/>
      </c>
      <c r="BL95" s="15">
        <f>'Grid_Stock'!BD90</f>
        <v/>
      </c>
      <c r="BM95" s="15">
        <f>'Grid_Stock'!BE90</f>
        <v/>
      </c>
      <c r="BN95" s="15">
        <f>'Grid_Stock'!BF90</f>
        <v/>
      </c>
      <c r="BO95" s="15">
        <f>'Grid_Stock'!BG90</f>
        <v/>
      </c>
      <c r="BP95" s="15">
        <f>'Grid_Stock'!BH90</f>
        <v/>
      </c>
      <c r="BQ95" s="15">
        <f>'Grid_Stock'!BI90</f>
        <v/>
      </c>
      <c r="BR95" s="15">
        <f>'Grid_Stock'!BJ90</f>
        <v/>
      </c>
      <c r="BS95" s="15">
        <f>'Grid_Stock'!BK90</f>
        <v/>
      </c>
      <c r="BT95" s="15">
        <f>'Grid_Stock'!BL90</f>
        <v/>
      </c>
      <c r="BU95" s="15">
        <f>'Grid_Stock'!BM90</f>
        <v/>
      </c>
      <c r="BV95" s="15">
        <f>'Grid_Stock'!BN90</f>
        <v/>
      </c>
      <c r="BW95" s="15">
        <f>'Grid_Stock'!BO90</f>
        <v/>
      </c>
      <c r="BX95" s="15">
        <f>'Grid_Stock'!BP90</f>
        <v/>
      </c>
      <c r="BY95" s="15">
        <f>'Grid_Stock'!BQ90</f>
        <v/>
      </c>
      <c r="BZ95" s="15">
        <f>'Grid_Stock'!BR90</f>
        <v/>
      </c>
      <c r="CA95" s="15">
        <f>'Grid_Stock'!BS90</f>
        <v/>
      </c>
      <c r="CB95" s="15">
        <f>'Grid_Stock'!BT90</f>
        <v/>
      </c>
      <c r="CC95" s="15">
        <f>'Grid_Stock'!BU90</f>
        <v/>
      </c>
      <c r="CD95" s="15">
        <f>'Grid_Stock'!BV90</f>
        <v/>
      </c>
      <c r="CE95" s="15">
        <f>'Grid_Stock'!BW90</f>
        <v/>
      </c>
      <c r="CF95" s="15">
        <f>'Grid_Stock'!BX90</f>
        <v/>
      </c>
      <c r="CG95" s="15">
        <f>'Grid_Stock'!BY90</f>
        <v/>
      </c>
      <c r="CH95" s="15">
        <f>'Grid_Stock'!BZ90</f>
        <v/>
      </c>
      <c r="CI95" s="15">
        <f>'Grid_Stock'!CA90</f>
        <v/>
      </c>
      <c r="CJ95" s="15">
        <f>'Grid_Stock'!CB90</f>
        <v/>
      </c>
      <c r="CK95" s="15">
        <f>'Grid_Stock'!CC90</f>
        <v/>
      </c>
      <c r="CL95" s="15">
        <f>'Grid_Stock'!CD90</f>
        <v/>
      </c>
      <c r="CM95" s="15">
        <f>'Grid_Stock'!CE90</f>
        <v/>
      </c>
      <c r="CN95" s="15">
        <f>'Grid_Stock'!CF90</f>
        <v/>
      </c>
      <c r="CO95" s="15">
        <f>'Grid_Stock'!CG90</f>
        <v/>
      </c>
      <c r="CP95" s="15">
        <f>'Grid_Stock'!CH90</f>
        <v/>
      </c>
      <c r="CQ95" s="15">
        <f>'Grid_Stock'!CI90</f>
        <v/>
      </c>
      <c r="CR95" s="15">
        <f>'Grid_Stock'!CJ90</f>
        <v/>
      </c>
      <c r="CS95" s="15">
        <f>'Grid_Stock'!CK90</f>
        <v/>
      </c>
      <c r="CT95" s="15">
        <f>'Grid_Stock'!CL90</f>
        <v/>
      </c>
      <c r="CU95" s="15">
        <f>'Grid_Stock'!CM90</f>
        <v/>
      </c>
      <c r="CV95" s="15">
        <f>'Grid_Stock'!CN90</f>
        <v/>
      </c>
      <c r="CW95" s="15">
        <f>'Grid_Stock'!CO90</f>
        <v/>
      </c>
      <c r="CX95" s="15">
        <f>'Grid_Stock'!CP90</f>
        <v/>
      </c>
      <c r="CY95" s="15">
        <f>'Grid_Stock'!CQ90</f>
        <v/>
      </c>
      <c r="CZ95" s="15">
        <f>'Grid_Stock'!CR90</f>
        <v/>
      </c>
      <c r="DA95" s="15">
        <f>'Grid_Stock'!CS90</f>
        <v/>
      </c>
      <c r="DB95" s="15">
        <f>'Grid_Stock'!CT90</f>
        <v/>
      </c>
      <c r="DC95" s="15">
        <f>'Grid_Stock'!CU90</f>
        <v/>
      </c>
      <c r="DD95" s="15">
        <f>'Grid_Stock'!CV90</f>
        <v/>
      </c>
      <c r="DE95" s="15">
        <f>'Grid_Stock'!CW90</f>
        <v/>
      </c>
      <c r="DF95" s="15">
        <f>'Grid_Stock'!CX90</f>
        <v/>
      </c>
      <c r="DG95" s="15">
        <f>'Grid_Stock'!CY90</f>
        <v/>
      </c>
      <c r="DH95" s="15">
        <f>'Grid_Stock'!CZ90</f>
        <v/>
      </c>
      <c r="DI95" s="15">
        <f>'Grid_Stock'!DA90</f>
        <v/>
      </c>
    </row>
    <row r="96">
      <c r="A96" s="17" t="inlineStr">
        <is>
          <t>CHEM-1610</t>
        </is>
      </c>
      <c r="B96" s="17">
        <f>IFERROR(INDEX(M_RawMaterials[Description],MATCH($A96,M_RawMaterials[RM_Code],0)),"")</f>
        <v/>
      </c>
      <c r="C96" s="17">
        <f>IFERROR(INDEX(M_RawMaterials[Category],MATCH($A96,M_RawMaterials[RM_Code],0)),"")</f>
        <v/>
      </c>
      <c r="D96" s="17">
        <f>IFERROR(INDEX(M_RawMaterials[SafetyStock_Qty_要入力],MATCH($A96,M_RawMaterials[RM_Code],0)),0)</f>
        <v/>
      </c>
      <c r="E96" s="17">
        <f>IFERROR(LOOKUP(2,1/(T_SelfStock!$A$2:$A$12000=$A96),T_SelfStock!$D$2:$D$12000),"")</f>
        <v/>
      </c>
      <c r="F96" s="17">
        <f>IFERROR(LOOKUP(2,1/(T_TTAFStock!$A$2:$A$12000=$A96),T_TTAFStock!$D$2:$D$12000),"")</f>
        <v/>
      </c>
      <c r="G96" s="17">
        <f>IFERROR(INDEX(Cal_Weeks[Label],LOOKUP(2,1/(T_SelfStock!$A$2:$A$12000=$A96),T_SelfStock!$B$2:$B$12000)),"")</f>
        <v/>
      </c>
      <c r="H96" s="17">
        <f>IF(MIN(J96:DI96)&lt;D96,"要発注","OK")</f>
        <v/>
      </c>
      <c r="I96" s="16">
        <f>IFERROR(INDEX(J96:DI96,$F$1),"")</f>
        <v/>
      </c>
      <c r="J96" s="17">
        <f>'Grid_Stock'!B91</f>
        <v/>
      </c>
      <c r="K96" s="17">
        <f>'Grid_Stock'!C91</f>
        <v/>
      </c>
      <c r="L96" s="17">
        <f>'Grid_Stock'!D91</f>
        <v/>
      </c>
      <c r="M96" s="17">
        <f>'Grid_Stock'!E91</f>
        <v/>
      </c>
      <c r="N96" s="17">
        <f>'Grid_Stock'!F91</f>
        <v/>
      </c>
      <c r="O96" s="17">
        <f>'Grid_Stock'!G91</f>
        <v/>
      </c>
      <c r="P96" s="17">
        <f>'Grid_Stock'!H91</f>
        <v/>
      </c>
      <c r="Q96" s="17">
        <f>'Grid_Stock'!I91</f>
        <v/>
      </c>
      <c r="R96" s="17">
        <f>'Grid_Stock'!J91</f>
        <v/>
      </c>
      <c r="S96" s="17">
        <f>'Grid_Stock'!K91</f>
        <v/>
      </c>
      <c r="T96" s="17">
        <f>'Grid_Stock'!L91</f>
        <v/>
      </c>
      <c r="U96" s="17">
        <f>'Grid_Stock'!M91</f>
        <v/>
      </c>
      <c r="V96" s="17">
        <f>'Grid_Stock'!N91</f>
        <v/>
      </c>
      <c r="W96" s="17">
        <f>'Grid_Stock'!O91</f>
        <v/>
      </c>
      <c r="X96" s="17">
        <f>'Grid_Stock'!P91</f>
        <v/>
      </c>
      <c r="Y96" s="17">
        <f>'Grid_Stock'!Q91</f>
        <v/>
      </c>
      <c r="Z96" s="17">
        <f>'Grid_Stock'!R91</f>
        <v/>
      </c>
      <c r="AA96" s="17">
        <f>'Grid_Stock'!S91</f>
        <v/>
      </c>
      <c r="AB96" s="17">
        <f>'Grid_Stock'!T91</f>
        <v/>
      </c>
      <c r="AC96" s="17">
        <f>'Grid_Stock'!U91</f>
        <v/>
      </c>
      <c r="AD96" s="17">
        <f>'Grid_Stock'!V91</f>
        <v/>
      </c>
      <c r="AE96" s="17">
        <f>'Grid_Stock'!W91</f>
        <v/>
      </c>
      <c r="AF96" s="17">
        <f>'Grid_Stock'!X91</f>
        <v/>
      </c>
      <c r="AG96" s="17">
        <f>'Grid_Stock'!Y91</f>
        <v/>
      </c>
      <c r="AH96" s="17">
        <f>'Grid_Stock'!Z91</f>
        <v/>
      </c>
      <c r="AI96" s="17">
        <f>'Grid_Stock'!AA91</f>
        <v/>
      </c>
      <c r="AJ96" s="17">
        <f>'Grid_Stock'!AB91</f>
        <v/>
      </c>
      <c r="AK96" s="17">
        <f>'Grid_Stock'!AC91</f>
        <v/>
      </c>
      <c r="AL96" s="17">
        <f>'Grid_Stock'!AD91</f>
        <v/>
      </c>
      <c r="AM96" s="17">
        <f>'Grid_Stock'!AE91</f>
        <v/>
      </c>
      <c r="AN96" s="17">
        <f>'Grid_Stock'!AF91</f>
        <v/>
      </c>
      <c r="AO96" s="17">
        <f>'Grid_Stock'!AG91</f>
        <v/>
      </c>
      <c r="AP96" s="17">
        <f>'Grid_Stock'!AH91</f>
        <v/>
      </c>
      <c r="AQ96" s="17">
        <f>'Grid_Stock'!AI91</f>
        <v/>
      </c>
      <c r="AR96" s="17">
        <f>'Grid_Stock'!AJ91</f>
        <v/>
      </c>
      <c r="AS96" s="17">
        <f>'Grid_Stock'!AK91</f>
        <v/>
      </c>
      <c r="AT96" s="17">
        <f>'Grid_Stock'!AL91</f>
        <v/>
      </c>
      <c r="AU96" s="17">
        <f>'Grid_Stock'!AM91</f>
        <v/>
      </c>
      <c r="AV96" s="17">
        <f>'Grid_Stock'!AN91</f>
        <v/>
      </c>
      <c r="AW96" s="17">
        <f>'Grid_Stock'!AO91</f>
        <v/>
      </c>
      <c r="AX96" s="17">
        <f>'Grid_Stock'!AP91</f>
        <v/>
      </c>
      <c r="AY96" s="17">
        <f>'Grid_Stock'!AQ91</f>
        <v/>
      </c>
      <c r="AZ96" s="17">
        <f>'Grid_Stock'!AR91</f>
        <v/>
      </c>
      <c r="BA96" s="17">
        <f>'Grid_Stock'!AS91</f>
        <v/>
      </c>
      <c r="BB96" s="17">
        <f>'Grid_Stock'!AT91</f>
        <v/>
      </c>
      <c r="BC96" s="17">
        <f>'Grid_Stock'!AU91</f>
        <v/>
      </c>
      <c r="BD96" s="17">
        <f>'Grid_Stock'!AV91</f>
        <v/>
      </c>
      <c r="BE96" s="17">
        <f>'Grid_Stock'!AW91</f>
        <v/>
      </c>
      <c r="BF96" s="17">
        <f>'Grid_Stock'!AX91</f>
        <v/>
      </c>
      <c r="BG96" s="17">
        <f>'Grid_Stock'!AY91</f>
        <v/>
      </c>
      <c r="BH96" s="17">
        <f>'Grid_Stock'!AZ91</f>
        <v/>
      </c>
      <c r="BI96" s="17">
        <f>'Grid_Stock'!BA91</f>
        <v/>
      </c>
      <c r="BJ96" s="17">
        <f>'Grid_Stock'!BB91</f>
        <v/>
      </c>
      <c r="BK96" s="17">
        <f>'Grid_Stock'!BC91</f>
        <v/>
      </c>
      <c r="BL96" s="17">
        <f>'Grid_Stock'!BD91</f>
        <v/>
      </c>
      <c r="BM96" s="17">
        <f>'Grid_Stock'!BE91</f>
        <v/>
      </c>
      <c r="BN96" s="17">
        <f>'Grid_Stock'!BF91</f>
        <v/>
      </c>
      <c r="BO96" s="17">
        <f>'Grid_Stock'!BG91</f>
        <v/>
      </c>
      <c r="BP96" s="17">
        <f>'Grid_Stock'!BH91</f>
        <v/>
      </c>
      <c r="BQ96" s="17">
        <f>'Grid_Stock'!BI91</f>
        <v/>
      </c>
      <c r="BR96" s="17">
        <f>'Grid_Stock'!BJ91</f>
        <v/>
      </c>
      <c r="BS96" s="17">
        <f>'Grid_Stock'!BK91</f>
        <v/>
      </c>
      <c r="BT96" s="17">
        <f>'Grid_Stock'!BL91</f>
        <v/>
      </c>
      <c r="BU96" s="17">
        <f>'Grid_Stock'!BM91</f>
        <v/>
      </c>
      <c r="BV96" s="17">
        <f>'Grid_Stock'!BN91</f>
        <v/>
      </c>
      <c r="BW96" s="17">
        <f>'Grid_Stock'!BO91</f>
        <v/>
      </c>
      <c r="BX96" s="17">
        <f>'Grid_Stock'!BP91</f>
        <v/>
      </c>
      <c r="BY96" s="17">
        <f>'Grid_Stock'!BQ91</f>
        <v/>
      </c>
      <c r="BZ96" s="17">
        <f>'Grid_Stock'!BR91</f>
        <v/>
      </c>
      <c r="CA96" s="17">
        <f>'Grid_Stock'!BS91</f>
        <v/>
      </c>
      <c r="CB96" s="17">
        <f>'Grid_Stock'!BT91</f>
        <v/>
      </c>
      <c r="CC96" s="17">
        <f>'Grid_Stock'!BU91</f>
        <v/>
      </c>
      <c r="CD96" s="17">
        <f>'Grid_Stock'!BV91</f>
        <v/>
      </c>
      <c r="CE96" s="17">
        <f>'Grid_Stock'!BW91</f>
        <v/>
      </c>
      <c r="CF96" s="17">
        <f>'Grid_Stock'!BX91</f>
        <v/>
      </c>
      <c r="CG96" s="17">
        <f>'Grid_Stock'!BY91</f>
        <v/>
      </c>
      <c r="CH96" s="17">
        <f>'Grid_Stock'!BZ91</f>
        <v/>
      </c>
      <c r="CI96" s="17">
        <f>'Grid_Stock'!CA91</f>
        <v/>
      </c>
      <c r="CJ96" s="17">
        <f>'Grid_Stock'!CB91</f>
        <v/>
      </c>
      <c r="CK96" s="17">
        <f>'Grid_Stock'!CC91</f>
        <v/>
      </c>
      <c r="CL96" s="17">
        <f>'Grid_Stock'!CD91</f>
        <v/>
      </c>
      <c r="CM96" s="17">
        <f>'Grid_Stock'!CE91</f>
        <v/>
      </c>
      <c r="CN96" s="17">
        <f>'Grid_Stock'!CF91</f>
        <v/>
      </c>
      <c r="CO96" s="17">
        <f>'Grid_Stock'!CG91</f>
        <v/>
      </c>
      <c r="CP96" s="17">
        <f>'Grid_Stock'!CH91</f>
        <v/>
      </c>
      <c r="CQ96" s="17">
        <f>'Grid_Stock'!CI91</f>
        <v/>
      </c>
      <c r="CR96" s="17">
        <f>'Grid_Stock'!CJ91</f>
        <v/>
      </c>
      <c r="CS96" s="17">
        <f>'Grid_Stock'!CK91</f>
        <v/>
      </c>
      <c r="CT96" s="17">
        <f>'Grid_Stock'!CL91</f>
        <v/>
      </c>
      <c r="CU96" s="17">
        <f>'Grid_Stock'!CM91</f>
        <v/>
      </c>
      <c r="CV96" s="17">
        <f>'Grid_Stock'!CN91</f>
        <v/>
      </c>
      <c r="CW96" s="17">
        <f>'Grid_Stock'!CO91</f>
        <v/>
      </c>
      <c r="CX96" s="17">
        <f>'Grid_Stock'!CP91</f>
        <v/>
      </c>
      <c r="CY96" s="17">
        <f>'Grid_Stock'!CQ91</f>
        <v/>
      </c>
      <c r="CZ96" s="17">
        <f>'Grid_Stock'!CR91</f>
        <v/>
      </c>
      <c r="DA96" s="17">
        <f>'Grid_Stock'!CS91</f>
        <v/>
      </c>
      <c r="DB96" s="17">
        <f>'Grid_Stock'!CT91</f>
        <v/>
      </c>
      <c r="DC96" s="17">
        <f>'Grid_Stock'!CU91</f>
        <v/>
      </c>
      <c r="DD96" s="17">
        <f>'Grid_Stock'!CV91</f>
        <v/>
      </c>
      <c r="DE96" s="17">
        <f>'Grid_Stock'!CW91</f>
        <v/>
      </c>
      <c r="DF96" s="17">
        <f>'Grid_Stock'!CX91</f>
        <v/>
      </c>
      <c r="DG96" s="17">
        <f>'Grid_Stock'!CY91</f>
        <v/>
      </c>
      <c r="DH96" s="17">
        <f>'Grid_Stock'!CZ91</f>
        <v/>
      </c>
      <c r="DI96" s="17">
        <f>'Grid_Stock'!DA91</f>
        <v/>
      </c>
    </row>
    <row r="97">
      <c r="A97" s="15" t="inlineStr">
        <is>
          <t>CHEM-1640</t>
        </is>
      </c>
      <c r="B97" s="15">
        <f>IFERROR(INDEX(M_RawMaterials[Description],MATCH($A97,M_RawMaterials[RM_Code],0)),"")</f>
        <v/>
      </c>
      <c r="C97" s="15">
        <f>IFERROR(INDEX(M_RawMaterials[Category],MATCH($A97,M_RawMaterials[RM_Code],0)),"")</f>
        <v/>
      </c>
      <c r="D97" s="15">
        <f>IFERROR(INDEX(M_RawMaterials[SafetyStock_Qty_要入力],MATCH($A97,M_RawMaterials[RM_Code],0)),0)</f>
        <v/>
      </c>
      <c r="E97" s="15">
        <f>IFERROR(LOOKUP(2,1/(T_SelfStock!$A$2:$A$12000=$A97),T_SelfStock!$D$2:$D$12000),"")</f>
        <v/>
      </c>
      <c r="F97" s="15">
        <f>IFERROR(LOOKUP(2,1/(T_TTAFStock!$A$2:$A$12000=$A97),T_TTAFStock!$D$2:$D$12000),"")</f>
        <v/>
      </c>
      <c r="G97" s="15">
        <f>IFERROR(INDEX(Cal_Weeks[Label],LOOKUP(2,1/(T_SelfStock!$A$2:$A$12000=$A97),T_SelfStock!$B$2:$B$12000)),"")</f>
        <v/>
      </c>
      <c r="H97" s="15">
        <f>IF(MIN(J97:DI97)&lt;D97,"要発注","OK")</f>
        <v/>
      </c>
      <c r="I97" s="16">
        <f>IFERROR(INDEX(J97:DI97,$F$1),"")</f>
        <v/>
      </c>
      <c r="J97" s="15">
        <f>'Grid_Stock'!B92</f>
        <v/>
      </c>
      <c r="K97" s="15">
        <f>'Grid_Stock'!C92</f>
        <v/>
      </c>
      <c r="L97" s="15">
        <f>'Grid_Stock'!D92</f>
        <v/>
      </c>
      <c r="M97" s="15">
        <f>'Grid_Stock'!E92</f>
        <v/>
      </c>
      <c r="N97" s="15">
        <f>'Grid_Stock'!F92</f>
        <v/>
      </c>
      <c r="O97" s="15">
        <f>'Grid_Stock'!G92</f>
        <v/>
      </c>
      <c r="P97" s="15">
        <f>'Grid_Stock'!H92</f>
        <v/>
      </c>
      <c r="Q97" s="15">
        <f>'Grid_Stock'!I92</f>
        <v/>
      </c>
      <c r="R97" s="15">
        <f>'Grid_Stock'!J92</f>
        <v/>
      </c>
      <c r="S97" s="15">
        <f>'Grid_Stock'!K92</f>
        <v/>
      </c>
      <c r="T97" s="15">
        <f>'Grid_Stock'!L92</f>
        <v/>
      </c>
      <c r="U97" s="15">
        <f>'Grid_Stock'!M92</f>
        <v/>
      </c>
      <c r="V97" s="15">
        <f>'Grid_Stock'!N92</f>
        <v/>
      </c>
      <c r="W97" s="15">
        <f>'Grid_Stock'!O92</f>
        <v/>
      </c>
      <c r="X97" s="15">
        <f>'Grid_Stock'!P92</f>
        <v/>
      </c>
      <c r="Y97" s="15">
        <f>'Grid_Stock'!Q92</f>
        <v/>
      </c>
      <c r="Z97" s="15">
        <f>'Grid_Stock'!R92</f>
        <v/>
      </c>
      <c r="AA97" s="15">
        <f>'Grid_Stock'!S92</f>
        <v/>
      </c>
      <c r="AB97" s="15">
        <f>'Grid_Stock'!T92</f>
        <v/>
      </c>
      <c r="AC97" s="15">
        <f>'Grid_Stock'!U92</f>
        <v/>
      </c>
      <c r="AD97" s="15">
        <f>'Grid_Stock'!V92</f>
        <v/>
      </c>
      <c r="AE97" s="15">
        <f>'Grid_Stock'!W92</f>
        <v/>
      </c>
      <c r="AF97" s="15">
        <f>'Grid_Stock'!X92</f>
        <v/>
      </c>
      <c r="AG97" s="15">
        <f>'Grid_Stock'!Y92</f>
        <v/>
      </c>
      <c r="AH97" s="15">
        <f>'Grid_Stock'!Z92</f>
        <v/>
      </c>
      <c r="AI97" s="15">
        <f>'Grid_Stock'!AA92</f>
        <v/>
      </c>
      <c r="AJ97" s="15">
        <f>'Grid_Stock'!AB92</f>
        <v/>
      </c>
      <c r="AK97" s="15">
        <f>'Grid_Stock'!AC92</f>
        <v/>
      </c>
      <c r="AL97" s="15">
        <f>'Grid_Stock'!AD92</f>
        <v/>
      </c>
      <c r="AM97" s="15">
        <f>'Grid_Stock'!AE92</f>
        <v/>
      </c>
      <c r="AN97" s="15">
        <f>'Grid_Stock'!AF92</f>
        <v/>
      </c>
      <c r="AO97" s="15">
        <f>'Grid_Stock'!AG92</f>
        <v/>
      </c>
      <c r="AP97" s="15">
        <f>'Grid_Stock'!AH92</f>
        <v/>
      </c>
      <c r="AQ97" s="15">
        <f>'Grid_Stock'!AI92</f>
        <v/>
      </c>
      <c r="AR97" s="15">
        <f>'Grid_Stock'!AJ92</f>
        <v/>
      </c>
      <c r="AS97" s="15">
        <f>'Grid_Stock'!AK92</f>
        <v/>
      </c>
      <c r="AT97" s="15">
        <f>'Grid_Stock'!AL92</f>
        <v/>
      </c>
      <c r="AU97" s="15">
        <f>'Grid_Stock'!AM92</f>
        <v/>
      </c>
      <c r="AV97" s="15">
        <f>'Grid_Stock'!AN92</f>
        <v/>
      </c>
      <c r="AW97" s="15">
        <f>'Grid_Stock'!AO92</f>
        <v/>
      </c>
      <c r="AX97" s="15">
        <f>'Grid_Stock'!AP92</f>
        <v/>
      </c>
      <c r="AY97" s="15">
        <f>'Grid_Stock'!AQ92</f>
        <v/>
      </c>
      <c r="AZ97" s="15">
        <f>'Grid_Stock'!AR92</f>
        <v/>
      </c>
      <c r="BA97" s="15">
        <f>'Grid_Stock'!AS92</f>
        <v/>
      </c>
      <c r="BB97" s="15">
        <f>'Grid_Stock'!AT92</f>
        <v/>
      </c>
      <c r="BC97" s="15">
        <f>'Grid_Stock'!AU92</f>
        <v/>
      </c>
      <c r="BD97" s="15">
        <f>'Grid_Stock'!AV92</f>
        <v/>
      </c>
      <c r="BE97" s="15">
        <f>'Grid_Stock'!AW92</f>
        <v/>
      </c>
      <c r="BF97" s="15">
        <f>'Grid_Stock'!AX92</f>
        <v/>
      </c>
      <c r="BG97" s="15">
        <f>'Grid_Stock'!AY92</f>
        <v/>
      </c>
      <c r="BH97" s="15">
        <f>'Grid_Stock'!AZ92</f>
        <v/>
      </c>
      <c r="BI97" s="15">
        <f>'Grid_Stock'!BA92</f>
        <v/>
      </c>
      <c r="BJ97" s="15">
        <f>'Grid_Stock'!BB92</f>
        <v/>
      </c>
      <c r="BK97" s="15">
        <f>'Grid_Stock'!BC92</f>
        <v/>
      </c>
      <c r="BL97" s="15">
        <f>'Grid_Stock'!BD92</f>
        <v/>
      </c>
      <c r="BM97" s="15">
        <f>'Grid_Stock'!BE92</f>
        <v/>
      </c>
      <c r="BN97" s="15">
        <f>'Grid_Stock'!BF92</f>
        <v/>
      </c>
      <c r="BO97" s="15">
        <f>'Grid_Stock'!BG92</f>
        <v/>
      </c>
      <c r="BP97" s="15">
        <f>'Grid_Stock'!BH92</f>
        <v/>
      </c>
      <c r="BQ97" s="15">
        <f>'Grid_Stock'!BI92</f>
        <v/>
      </c>
      <c r="BR97" s="15">
        <f>'Grid_Stock'!BJ92</f>
        <v/>
      </c>
      <c r="BS97" s="15">
        <f>'Grid_Stock'!BK92</f>
        <v/>
      </c>
      <c r="BT97" s="15">
        <f>'Grid_Stock'!BL92</f>
        <v/>
      </c>
      <c r="BU97" s="15">
        <f>'Grid_Stock'!BM92</f>
        <v/>
      </c>
      <c r="BV97" s="15">
        <f>'Grid_Stock'!BN92</f>
        <v/>
      </c>
      <c r="BW97" s="15">
        <f>'Grid_Stock'!BO92</f>
        <v/>
      </c>
      <c r="BX97" s="15">
        <f>'Grid_Stock'!BP92</f>
        <v/>
      </c>
      <c r="BY97" s="15">
        <f>'Grid_Stock'!BQ92</f>
        <v/>
      </c>
      <c r="BZ97" s="15">
        <f>'Grid_Stock'!BR92</f>
        <v/>
      </c>
      <c r="CA97" s="15">
        <f>'Grid_Stock'!BS92</f>
        <v/>
      </c>
      <c r="CB97" s="15">
        <f>'Grid_Stock'!BT92</f>
        <v/>
      </c>
      <c r="CC97" s="15">
        <f>'Grid_Stock'!BU92</f>
        <v/>
      </c>
      <c r="CD97" s="15">
        <f>'Grid_Stock'!BV92</f>
        <v/>
      </c>
      <c r="CE97" s="15">
        <f>'Grid_Stock'!BW92</f>
        <v/>
      </c>
      <c r="CF97" s="15">
        <f>'Grid_Stock'!BX92</f>
        <v/>
      </c>
      <c r="CG97" s="15">
        <f>'Grid_Stock'!BY92</f>
        <v/>
      </c>
      <c r="CH97" s="15">
        <f>'Grid_Stock'!BZ92</f>
        <v/>
      </c>
      <c r="CI97" s="15">
        <f>'Grid_Stock'!CA92</f>
        <v/>
      </c>
      <c r="CJ97" s="15">
        <f>'Grid_Stock'!CB92</f>
        <v/>
      </c>
      <c r="CK97" s="15">
        <f>'Grid_Stock'!CC92</f>
        <v/>
      </c>
      <c r="CL97" s="15">
        <f>'Grid_Stock'!CD92</f>
        <v/>
      </c>
      <c r="CM97" s="15">
        <f>'Grid_Stock'!CE92</f>
        <v/>
      </c>
      <c r="CN97" s="15">
        <f>'Grid_Stock'!CF92</f>
        <v/>
      </c>
      <c r="CO97" s="15">
        <f>'Grid_Stock'!CG92</f>
        <v/>
      </c>
      <c r="CP97" s="15">
        <f>'Grid_Stock'!CH92</f>
        <v/>
      </c>
      <c r="CQ97" s="15">
        <f>'Grid_Stock'!CI92</f>
        <v/>
      </c>
      <c r="CR97" s="15">
        <f>'Grid_Stock'!CJ92</f>
        <v/>
      </c>
      <c r="CS97" s="15">
        <f>'Grid_Stock'!CK92</f>
        <v/>
      </c>
      <c r="CT97" s="15">
        <f>'Grid_Stock'!CL92</f>
        <v/>
      </c>
      <c r="CU97" s="15">
        <f>'Grid_Stock'!CM92</f>
        <v/>
      </c>
      <c r="CV97" s="15">
        <f>'Grid_Stock'!CN92</f>
        <v/>
      </c>
      <c r="CW97" s="15">
        <f>'Grid_Stock'!CO92</f>
        <v/>
      </c>
      <c r="CX97" s="15">
        <f>'Grid_Stock'!CP92</f>
        <v/>
      </c>
      <c r="CY97" s="15">
        <f>'Grid_Stock'!CQ92</f>
        <v/>
      </c>
      <c r="CZ97" s="15">
        <f>'Grid_Stock'!CR92</f>
        <v/>
      </c>
      <c r="DA97" s="15">
        <f>'Grid_Stock'!CS92</f>
        <v/>
      </c>
      <c r="DB97" s="15">
        <f>'Grid_Stock'!CT92</f>
        <v/>
      </c>
      <c r="DC97" s="15">
        <f>'Grid_Stock'!CU92</f>
        <v/>
      </c>
      <c r="DD97" s="15">
        <f>'Grid_Stock'!CV92</f>
        <v/>
      </c>
      <c r="DE97" s="15">
        <f>'Grid_Stock'!CW92</f>
        <v/>
      </c>
      <c r="DF97" s="15">
        <f>'Grid_Stock'!CX92</f>
        <v/>
      </c>
      <c r="DG97" s="15">
        <f>'Grid_Stock'!CY92</f>
        <v/>
      </c>
      <c r="DH97" s="15">
        <f>'Grid_Stock'!CZ92</f>
        <v/>
      </c>
      <c r="DI97" s="15">
        <f>'Grid_Stock'!DA92</f>
        <v/>
      </c>
    </row>
    <row r="98">
      <c r="A98" s="17" t="inlineStr">
        <is>
          <t>CHEM-1030</t>
        </is>
      </c>
      <c r="B98" s="17">
        <f>IFERROR(INDEX(M_RawMaterials[Description],MATCH($A98,M_RawMaterials[RM_Code],0)),"")</f>
        <v/>
      </c>
      <c r="C98" s="17">
        <f>IFERROR(INDEX(M_RawMaterials[Category],MATCH($A98,M_RawMaterials[RM_Code],0)),"")</f>
        <v/>
      </c>
      <c r="D98" s="17">
        <f>IFERROR(INDEX(M_RawMaterials[SafetyStock_Qty_要入力],MATCH($A98,M_RawMaterials[RM_Code],0)),0)</f>
        <v/>
      </c>
      <c r="E98" s="17">
        <f>IFERROR(LOOKUP(2,1/(T_SelfStock!$A$2:$A$12000=$A98),T_SelfStock!$D$2:$D$12000),"")</f>
        <v/>
      </c>
      <c r="F98" s="17">
        <f>IFERROR(LOOKUP(2,1/(T_TTAFStock!$A$2:$A$12000=$A98),T_TTAFStock!$D$2:$D$12000),"")</f>
        <v/>
      </c>
      <c r="G98" s="17">
        <f>IFERROR(INDEX(Cal_Weeks[Label],LOOKUP(2,1/(T_SelfStock!$A$2:$A$12000=$A98),T_SelfStock!$B$2:$B$12000)),"")</f>
        <v/>
      </c>
      <c r="H98" s="17">
        <f>IF(MIN(J98:DI98)&lt;D98,"要発注","OK")</f>
        <v/>
      </c>
      <c r="I98" s="16">
        <f>IFERROR(INDEX(J98:DI98,$F$1),"")</f>
        <v/>
      </c>
      <c r="J98" s="17">
        <f>'Grid_Stock'!B93</f>
        <v/>
      </c>
      <c r="K98" s="17">
        <f>'Grid_Stock'!C93</f>
        <v/>
      </c>
      <c r="L98" s="17">
        <f>'Grid_Stock'!D93</f>
        <v/>
      </c>
      <c r="M98" s="17">
        <f>'Grid_Stock'!E93</f>
        <v/>
      </c>
      <c r="N98" s="17">
        <f>'Grid_Stock'!F93</f>
        <v/>
      </c>
      <c r="O98" s="17">
        <f>'Grid_Stock'!G93</f>
        <v/>
      </c>
      <c r="P98" s="17">
        <f>'Grid_Stock'!H93</f>
        <v/>
      </c>
      <c r="Q98" s="17">
        <f>'Grid_Stock'!I93</f>
        <v/>
      </c>
      <c r="R98" s="17">
        <f>'Grid_Stock'!J93</f>
        <v/>
      </c>
      <c r="S98" s="17">
        <f>'Grid_Stock'!K93</f>
        <v/>
      </c>
      <c r="T98" s="17">
        <f>'Grid_Stock'!L93</f>
        <v/>
      </c>
      <c r="U98" s="17">
        <f>'Grid_Stock'!M93</f>
        <v/>
      </c>
      <c r="V98" s="17">
        <f>'Grid_Stock'!N93</f>
        <v/>
      </c>
      <c r="W98" s="17">
        <f>'Grid_Stock'!O93</f>
        <v/>
      </c>
      <c r="X98" s="17">
        <f>'Grid_Stock'!P93</f>
        <v/>
      </c>
      <c r="Y98" s="17">
        <f>'Grid_Stock'!Q93</f>
        <v/>
      </c>
      <c r="Z98" s="17">
        <f>'Grid_Stock'!R93</f>
        <v/>
      </c>
      <c r="AA98" s="17">
        <f>'Grid_Stock'!S93</f>
        <v/>
      </c>
      <c r="AB98" s="17">
        <f>'Grid_Stock'!T93</f>
        <v/>
      </c>
      <c r="AC98" s="17">
        <f>'Grid_Stock'!U93</f>
        <v/>
      </c>
      <c r="AD98" s="17">
        <f>'Grid_Stock'!V93</f>
        <v/>
      </c>
      <c r="AE98" s="17">
        <f>'Grid_Stock'!W93</f>
        <v/>
      </c>
      <c r="AF98" s="17">
        <f>'Grid_Stock'!X93</f>
        <v/>
      </c>
      <c r="AG98" s="17">
        <f>'Grid_Stock'!Y93</f>
        <v/>
      </c>
      <c r="AH98" s="17">
        <f>'Grid_Stock'!Z93</f>
        <v/>
      </c>
      <c r="AI98" s="17">
        <f>'Grid_Stock'!AA93</f>
        <v/>
      </c>
      <c r="AJ98" s="17">
        <f>'Grid_Stock'!AB93</f>
        <v/>
      </c>
      <c r="AK98" s="17">
        <f>'Grid_Stock'!AC93</f>
        <v/>
      </c>
      <c r="AL98" s="17">
        <f>'Grid_Stock'!AD93</f>
        <v/>
      </c>
      <c r="AM98" s="17">
        <f>'Grid_Stock'!AE93</f>
        <v/>
      </c>
      <c r="AN98" s="17">
        <f>'Grid_Stock'!AF93</f>
        <v/>
      </c>
      <c r="AO98" s="17">
        <f>'Grid_Stock'!AG93</f>
        <v/>
      </c>
      <c r="AP98" s="17">
        <f>'Grid_Stock'!AH93</f>
        <v/>
      </c>
      <c r="AQ98" s="17">
        <f>'Grid_Stock'!AI93</f>
        <v/>
      </c>
      <c r="AR98" s="17">
        <f>'Grid_Stock'!AJ93</f>
        <v/>
      </c>
      <c r="AS98" s="17">
        <f>'Grid_Stock'!AK93</f>
        <v/>
      </c>
      <c r="AT98" s="17">
        <f>'Grid_Stock'!AL93</f>
        <v/>
      </c>
      <c r="AU98" s="17">
        <f>'Grid_Stock'!AM93</f>
        <v/>
      </c>
      <c r="AV98" s="17">
        <f>'Grid_Stock'!AN93</f>
        <v/>
      </c>
      <c r="AW98" s="17">
        <f>'Grid_Stock'!AO93</f>
        <v/>
      </c>
      <c r="AX98" s="17">
        <f>'Grid_Stock'!AP93</f>
        <v/>
      </c>
      <c r="AY98" s="17">
        <f>'Grid_Stock'!AQ93</f>
        <v/>
      </c>
      <c r="AZ98" s="17">
        <f>'Grid_Stock'!AR93</f>
        <v/>
      </c>
      <c r="BA98" s="17">
        <f>'Grid_Stock'!AS93</f>
        <v/>
      </c>
      <c r="BB98" s="17">
        <f>'Grid_Stock'!AT93</f>
        <v/>
      </c>
      <c r="BC98" s="17">
        <f>'Grid_Stock'!AU93</f>
        <v/>
      </c>
      <c r="BD98" s="17">
        <f>'Grid_Stock'!AV93</f>
        <v/>
      </c>
      <c r="BE98" s="17">
        <f>'Grid_Stock'!AW93</f>
        <v/>
      </c>
      <c r="BF98" s="17">
        <f>'Grid_Stock'!AX93</f>
        <v/>
      </c>
      <c r="BG98" s="17">
        <f>'Grid_Stock'!AY93</f>
        <v/>
      </c>
      <c r="BH98" s="17">
        <f>'Grid_Stock'!AZ93</f>
        <v/>
      </c>
      <c r="BI98" s="17">
        <f>'Grid_Stock'!BA93</f>
        <v/>
      </c>
      <c r="BJ98" s="17">
        <f>'Grid_Stock'!BB93</f>
        <v/>
      </c>
      <c r="BK98" s="17">
        <f>'Grid_Stock'!BC93</f>
        <v/>
      </c>
      <c r="BL98" s="17">
        <f>'Grid_Stock'!BD93</f>
        <v/>
      </c>
      <c r="BM98" s="17">
        <f>'Grid_Stock'!BE93</f>
        <v/>
      </c>
      <c r="BN98" s="17">
        <f>'Grid_Stock'!BF93</f>
        <v/>
      </c>
      <c r="BO98" s="17">
        <f>'Grid_Stock'!BG93</f>
        <v/>
      </c>
      <c r="BP98" s="17">
        <f>'Grid_Stock'!BH93</f>
        <v/>
      </c>
      <c r="BQ98" s="17">
        <f>'Grid_Stock'!BI93</f>
        <v/>
      </c>
      <c r="BR98" s="17">
        <f>'Grid_Stock'!BJ93</f>
        <v/>
      </c>
      <c r="BS98" s="17">
        <f>'Grid_Stock'!BK93</f>
        <v/>
      </c>
      <c r="BT98" s="17">
        <f>'Grid_Stock'!BL93</f>
        <v/>
      </c>
      <c r="BU98" s="17">
        <f>'Grid_Stock'!BM93</f>
        <v/>
      </c>
      <c r="BV98" s="17">
        <f>'Grid_Stock'!BN93</f>
        <v/>
      </c>
      <c r="BW98" s="17">
        <f>'Grid_Stock'!BO93</f>
        <v/>
      </c>
      <c r="BX98" s="17">
        <f>'Grid_Stock'!BP93</f>
        <v/>
      </c>
      <c r="BY98" s="17">
        <f>'Grid_Stock'!BQ93</f>
        <v/>
      </c>
      <c r="BZ98" s="17">
        <f>'Grid_Stock'!BR93</f>
        <v/>
      </c>
      <c r="CA98" s="17">
        <f>'Grid_Stock'!BS93</f>
        <v/>
      </c>
      <c r="CB98" s="17">
        <f>'Grid_Stock'!BT93</f>
        <v/>
      </c>
      <c r="CC98" s="17">
        <f>'Grid_Stock'!BU93</f>
        <v/>
      </c>
      <c r="CD98" s="17">
        <f>'Grid_Stock'!BV93</f>
        <v/>
      </c>
      <c r="CE98" s="17">
        <f>'Grid_Stock'!BW93</f>
        <v/>
      </c>
      <c r="CF98" s="17">
        <f>'Grid_Stock'!BX93</f>
        <v/>
      </c>
      <c r="CG98" s="17">
        <f>'Grid_Stock'!BY93</f>
        <v/>
      </c>
      <c r="CH98" s="17">
        <f>'Grid_Stock'!BZ93</f>
        <v/>
      </c>
      <c r="CI98" s="17">
        <f>'Grid_Stock'!CA93</f>
        <v/>
      </c>
      <c r="CJ98" s="17">
        <f>'Grid_Stock'!CB93</f>
        <v/>
      </c>
      <c r="CK98" s="17">
        <f>'Grid_Stock'!CC93</f>
        <v/>
      </c>
      <c r="CL98" s="17">
        <f>'Grid_Stock'!CD93</f>
        <v/>
      </c>
      <c r="CM98" s="17">
        <f>'Grid_Stock'!CE93</f>
        <v/>
      </c>
      <c r="CN98" s="17">
        <f>'Grid_Stock'!CF93</f>
        <v/>
      </c>
      <c r="CO98" s="17">
        <f>'Grid_Stock'!CG93</f>
        <v/>
      </c>
      <c r="CP98" s="17">
        <f>'Grid_Stock'!CH93</f>
        <v/>
      </c>
      <c r="CQ98" s="17">
        <f>'Grid_Stock'!CI93</f>
        <v/>
      </c>
      <c r="CR98" s="17">
        <f>'Grid_Stock'!CJ93</f>
        <v/>
      </c>
      <c r="CS98" s="17">
        <f>'Grid_Stock'!CK93</f>
        <v/>
      </c>
      <c r="CT98" s="17">
        <f>'Grid_Stock'!CL93</f>
        <v/>
      </c>
      <c r="CU98" s="17">
        <f>'Grid_Stock'!CM93</f>
        <v/>
      </c>
      <c r="CV98" s="17">
        <f>'Grid_Stock'!CN93</f>
        <v/>
      </c>
      <c r="CW98" s="17">
        <f>'Grid_Stock'!CO93</f>
        <v/>
      </c>
      <c r="CX98" s="17">
        <f>'Grid_Stock'!CP93</f>
        <v/>
      </c>
      <c r="CY98" s="17">
        <f>'Grid_Stock'!CQ93</f>
        <v/>
      </c>
      <c r="CZ98" s="17">
        <f>'Grid_Stock'!CR93</f>
        <v/>
      </c>
      <c r="DA98" s="17">
        <f>'Grid_Stock'!CS93</f>
        <v/>
      </c>
      <c r="DB98" s="17">
        <f>'Grid_Stock'!CT93</f>
        <v/>
      </c>
      <c r="DC98" s="17">
        <f>'Grid_Stock'!CU93</f>
        <v/>
      </c>
      <c r="DD98" s="17">
        <f>'Grid_Stock'!CV93</f>
        <v/>
      </c>
      <c r="DE98" s="17">
        <f>'Grid_Stock'!CW93</f>
        <v/>
      </c>
      <c r="DF98" s="17">
        <f>'Grid_Stock'!CX93</f>
        <v/>
      </c>
      <c r="DG98" s="17">
        <f>'Grid_Stock'!CY93</f>
        <v/>
      </c>
      <c r="DH98" s="17">
        <f>'Grid_Stock'!CZ93</f>
        <v/>
      </c>
      <c r="DI98" s="17">
        <f>'Grid_Stock'!DA93</f>
        <v/>
      </c>
    </row>
    <row r="99">
      <c r="A99" s="15" t="inlineStr">
        <is>
          <t>CHEM-1800</t>
        </is>
      </c>
      <c r="B99" s="15">
        <f>IFERROR(INDEX(M_RawMaterials[Description],MATCH($A99,M_RawMaterials[RM_Code],0)),"")</f>
        <v/>
      </c>
      <c r="C99" s="15">
        <f>IFERROR(INDEX(M_RawMaterials[Category],MATCH($A99,M_RawMaterials[RM_Code],0)),"")</f>
        <v/>
      </c>
      <c r="D99" s="15">
        <f>IFERROR(INDEX(M_RawMaterials[SafetyStock_Qty_要入力],MATCH($A99,M_RawMaterials[RM_Code],0)),0)</f>
        <v/>
      </c>
      <c r="E99" s="15">
        <f>IFERROR(LOOKUP(2,1/(T_SelfStock!$A$2:$A$12000=$A99),T_SelfStock!$D$2:$D$12000),"")</f>
        <v/>
      </c>
      <c r="F99" s="15">
        <f>IFERROR(LOOKUP(2,1/(T_TTAFStock!$A$2:$A$12000=$A99),T_TTAFStock!$D$2:$D$12000),"")</f>
        <v/>
      </c>
      <c r="G99" s="15">
        <f>IFERROR(INDEX(Cal_Weeks[Label],LOOKUP(2,1/(T_SelfStock!$A$2:$A$12000=$A99),T_SelfStock!$B$2:$B$12000)),"")</f>
        <v/>
      </c>
      <c r="H99" s="15">
        <f>IF(MIN(J99:DI99)&lt;D99,"要発注","OK")</f>
        <v/>
      </c>
      <c r="I99" s="16">
        <f>IFERROR(INDEX(J99:DI99,$F$1),"")</f>
        <v/>
      </c>
      <c r="J99" s="15">
        <f>'Grid_Stock'!B94</f>
        <v/>
      </c>
      <c r="K99" s="15">
        <f>'Grid_Stock'!C94</f>
        <v/>
      </c>
      <c r="L99" s="15">
        <f>'Grid_Stock'!D94</f>
        <v/>
      </c>
      <c r="M99" s="15">
        <f>'Grid_Stock'!E94</f>
        <v/>
      </c>
      <c r="N99" s="15">
        <f>'Grid_Stock'!F94</f>
        <v/>
      </c>
      <c r="O99" s="15">
        <f>'Grid_Stock'!G94</f>
        <v/>
      </c>
      <c r="P99" s="15">
        <f>'Grid_Stock'!H94</f>
        <v/>
      </c>
      <c r="Q99" s="15">
        <f>'Grid_Stock'!I94</f>
        <v/>
      </c>
      <c r="R99" s="15">
        <f>'Grid_Stock'!J94</f>
        <v/>
      </c>
      <c r="S99" s="15">
        <f>'Grid_Stock'!K94</f>
        <v/>
      </c>
      <c r="T99" s="15">
        <f>'Grid_Stock'!L94</f>
        <v/>
      </c>
      <c r="U99" s="15">
        <f>'Grid_Stock'!M94</f>
        <v/>
      </c>
      <c r="V99" s="15">
        <f>'Grid_Stock'!N94</f>
        <v/>
      </c>
      <c r="W99" s="15">
        <f>'Grid_Stock'!O94</f>
        <v/>
      </c>
      <c r="X99" s="15">
        <f>'Grid_Stock'!P94</f>
        <v/>
      </c>
      <c r="Y99" s="15">
        <f>'Grid_Stock'!Q94</f>
        <v/>
      </c>
      <c r="Z99" s="15">
        <f>'Grid_Stock'!R94</f>
        <v/>
      </c>
      <c r="AA99" s="15">
        <f>'Grid_Stock'!S94</f>
        <v/>
      </c>
      <c r="AB99" s="15">
        <f>'Grid_Stock'!T94</f>
        <v/>
      </c>
      <c r="AC99" s="15">
        <f>'Grid_Stock'!U94</f>
        <v/>
      </c>
      <c r="AD99" s="15">
        <f>'Grid_Stock'!V94</f>
        <v/>
      </c>
      <c r="AE99" s="15">
        <f>'Grid_Stock'!W94</f>
        <v/>
      </c>
      <c r="AF99" s="15">
        <f>'Grid_Stock'!X94</f>
        <v/>
      </c>
      <c r="AG99" s="15">
        <f>'Grid_Stock'!Y94</f>
        <v/>
      </c>
      <c r="AH99" s="15">
        <f>'Grid_Stock'!Z94</f>
        <v/>
      </c>
      <c r="AI99" s="15">
        <f>'Grid_Stock'!AA94</f>
        <v/>
      </c>
      <c r="AJ99" s="15">
        <f>'Grid_Stock'!AB94</f>
        <v/>
      </c>
      <c r="AK99" s="15">
        <f>'Grid_Stock'!AC94</f>
        <v/>
      </c>
      <c r="AL99" s="15">
        <f>'Grid_Stock'!AD94</f>
        <v/>
      </c>
      <c r="AM99" s="15">
        <f>'Grid_Stock'!AE94</f>
        <v/>
      </c>
      <c r="AN99" s="15">
        <f>'Grid_Stock'!AF94</f>
        <v/>
      </c>
      <c r="AO99" s="15">
        <f>'Grid_Stock'!AG94</f>
        <v/>
      </c>
      <c r="AP99" s="15">
        <f>'Grid_Stock'!AH94</f>
        <v/>
      </c>
      <c r="AQ99" s="15">
        <f>'Grid_Stock'!AI94</f>
        <v/>
      </c>
      <c r="AR99" s="15">
        <f>'Grid_Stock'!AJ94</f>
        <v/>
      </c>
      <c r="AS99" s="15">
        <f>'Grid_Stock'!AK94</f>
        <v/>
      </c>
      <c r="AT99" s="15">
        <f>'Grid_Stock'!AL94</f>
        <v/>
      </c>
      <c r="AU99" s="15">
        <f>'Grid_Stock'!AM94</f>
        <v/>
      </c>
      <c r="AV99" s="15">
        <f>'Grid_Stock'!AN94</f>
        <v/>
      </c>
      <c r="AW99" s="15">
        <f>'Grid_Stock'!AO94</f>
        <v/>
      </c>
      <c r="AX99" s="15">
        <f>'Grid_Stock'!AP94</f>
        <v/>
      </c>
      <c r="AY99" s="15">
        <f>'Grid_Stock'!AQ94</f>
        <v/>
      </c>
      <c r="AZ99" s="15">
        <f>'Grid_Stock'!AR94</f>
        <v/>
      </c>
      <c r="BA99" s="15">
        <f>'Grid_Stock'!AS94</f>
        <v/>
      </c>
      <c r="BB99" s="15">
        <f>'Grid_Stock'!AT94</f>
        <v/>
      </c>
      <c r="BC99" s="15">
        <f>'Grid_Stock'!AU94</f>
        <v/>
      </c>
      <c r="BD99" s="15">
        <f>'Grid_Stock'!AV94</f>
        <v/>
      </c>
      <c r="BE99" s="15">
        <f>'Grid_Stock'!AW94</f>
        <v/>
      </c>
      <c r="BF99" s="15">
        <f>'Grid_Stock'!AX94</f>
        <v/>
      </c>
      <c r="BG99" s="15">
        <f>'Grid_Stock'!AY94</f>
        <v/>
      </c>
      <c r="BH99" s="15">
        <f>'Grid_Stock'!AZ94</f>
        <v/>
      </c>
      <c r="BI99" s="15">
        <f>'Grid_Stock'!BA94</f>
        <v/>
      </c>
      <c r="BJ99" s="15">
        <f>'Grid_Stock'!BB94</f>
        <v/>
      </c>
      <c r="BK99" s="15">
        <f>'Grid_Stock'!BC94</f>
        <v/>
      </c>
      <c r="BL99" s="15">
        <f>'Grid_Stock'!BD94</f>
        <v/>
      </c>
      <c r="BM99" s="15">
        <f>'Grid_Stock'!BE94</f>
        <v/>
      </c>
      <c r="BN99" s="15">
        <f>'Grid_Stock'!BF94</f>
        <v/>
      </c>
      <c r="BO99" s="15">
        <f>'Grid_Stock'!BG94</f>
        <v/>
      </c>
      <c r="BP99" s="15">
        <f>'Grid_Stock'!BH94</f>
        <v/>
      </c>
      <c r="BQ99" s="15">
        <f>'Grid_Stock'!BI94</f>
        <v/>
      </c>
      <c r="BR99" s="15">
        <f>'Grid_Stock'!BJ94</f>
        <v/>
      </c>
      <c r="BS99" s="15">
        <f>'Grid_Stock'!BK94</f>
        <v/>
      </c>
      <c r="BT99" s="15">
        <f>'Grid_Stock'!BL94</f>
        <v/>
      </c>
      <c r="BU99" s="15">
        <f>'Grid_Stock'!BM94</f>
        <v/>
      </c>
      <c r="BV99" s="15">
        <f>'Grid_Stock'!BN94</f>
        <v/>
      </c>
      <c r="BW99" s="15">
        <f>'Grid_Stock'!BO94</f>
        <v/>
      </c>
      <c r="BX99" s="15">
        <f>'Grid_Stock'!BP94</f>
        <v/>
      </c>
      <c r="BY99" s="15">
        <f>'Grid_Stock'!BQ94</f>
        <v/>
      </c>
      <c r="BZ99" s="15">
        <f>'Grid_Stock'!BR94</f>
        <v/>
      </c>
      <c r="CA99" s="15">
        <f>'Grid_Stock'!BS94</f>
        <v/>
      </c>
      <c r="CB99" s="15">
        <f>'Grid_Stock'!BT94</f>
        <v/>
      </c>
      <c r="CC99" s="15">
        <f>'Grid_Stock'!BU94</f>
        <v/>
      </c>
      <c r="CD99" s="15">
        <f>'Grid_Stock'!BV94</f>
        <v/>
      </c>
      <c r="CE99" s="15">
        <f>'Grid_Stock'!BW94</f>
        <v/>
      </c>
      <c r="CF99" s="15">
        <f>'Grid_Stock'!BX94</f>
        <v/>
      </c>
      <c r="CG99" s="15">
        <f>'Grid_Stock'!BY94</f>
        <v/>
      </c>
      <c r="CH99" s="15">
        <f>'Grid_Stock'!BZ94</f>
        <v/>
      </c>
      <c r="CI99" s="15">
        <f>'Grid_Stock'!CA94</f>
        <v/>
      </c>
      <c r="CJ99" s="15">
        <f>'Grid_Stock'!CB94</f>
        <v/>
      </c>
      <c r="CK99" s="15">
        <f>'Grid_Stock'!CC94</f>
        <v/>
      </c>
      <c r="CL99" s="15">
        <f>'Grid_Stock'!CD94</f>
        <v/>
      </c>
      <c r="CM99" s="15">
        <f>'Grid_Stock'!CE94</f>
        <v/>
      </c>
      <c r="CN99" s="15">
        <f>'Grid_Stock'!CF94</f>
        <v/>
      </c>
      <c r="CO99" s="15">
        <f>'Grid_Stock'!CG94</f>
        <v/>
      </c>
      <c r="CP99" s="15">
        <f>'Grid_Stock'!CH94</f>
        <v/>
      </c>
      <c r="CQ99" s="15">
        <f>'Grid_Stock'!CI94</f>
        <v/>
      </c>
      <c r="CR99" s="15">
        <f>'Grid_Stock'!CJ94</f>
        <v/>
      </c>
      <c r="CS99" s="15">
        <f>'Grid_Stock'!CK94</f>
        <v/>
      </c>
      <c r="CT99" s="15">
        <f>'Grid_Stock'!CL94</f>
        <v/>
      </c>
      <c r="CU99" s="15">
        <f>'Grid_Stock'!CM94</f>
        <v/>
      </c>
      <c r="CV99" s="15">
        <f>'Grid_Stock'!CN94</f>
        <v/>
      </c>
      <c r="CW99" s="15">
        <f>'Grid_Stock'!CO94</f>
        <v/>
      </c>
      <c r="CX99" s="15">
        <f>'Grid_Stock'!CP94</f>
        <v/>
      </c>
      <c r="CY99" s="15">
        <f>'Grid_Stock'!CQ94</f>
        <v/>
      </c>
      <c r="CZ99" s="15">
        <f>'Grid_Stock'!CR94</f>
        <v/>
      </c>
      <c r="DA99" s="15">
        <f>'Grid_Stock'!CS94</f>
        <v/>
      </c>
      <c r="DB99" s="15">
        <f>'Grid_Stock'!CT94</f>
        <v/>
      </c>
      <c r="DC99" s="15">
        <f>'Grid_Stock'!CU94</f>
        <v/>
      </c>
      <c r="DD99" s="15">
        <f>'Grid_Stock'!CV94</f>
        <v/>
      </c>
      <c r="DE99" s="15">
        <f>'Grid_Stock'!CW94</f>
        <v/>
      </c>
      <c r="DF99" s="15">
        <f>'Grid_Stock'!CX94</f>
        <v/>
      </c>
      <c r="DG99" s="15">
        <f>'Grid_Stock'!CY94</f>
        <v/>
      </c>
      <c r="DH99" s="15">
        <f>'Grid_Stock'!CZ94</f>
        <v/>
      </c>
      <c r="DI99" s="15">
        <f>'Grid_Stock'!DA94</f>
        <v/>
      </c>
    </row>
    <row r="100">
      <c r="A100" s="17" t="inlineStr">
        <is>
          <t>CHEM-1710</t>
        </is>
      </c>
      <c r="B100" s="17">
        <f>IFERROR(INDEX(M_RawMaterials[Description],MATCH($A100,M_RawMaterials[RM_Code],0)),"")</f>
        <v/>
      </c>
      <c r="C100" s="17">
        <f>IFERROR(INDEX(M_RawMaterials[Category],MATCH($A100,M_RawMaterials[RM_Code],0)),"")</f>
        <v/>
      </c>
      <c r="D100" s="17">
        <f>IFERROR(INDEX(M_RawMaterials[SafetyStock_Qty_要入力],MATCH($A100,M_RawMaterials[RM_Code],0)),0)</f>
        <v/>
      </c>
      <c r="E100" s="17">
        <f>IFERROR(LOOKUP(2,1/(T_SelfStock!$A$2:$A$12000=$A100),T_SelfStock!$D$2:$D$12000),"")</f>
        <v/>
      </c>
      <c r="F100" s="17">
        <f>IFERROR(LOOKUP(2,1/(T_TTAFStock!$A$2:$A$12000=$A100),T_TTAFStock!$D$2:$D$12000),"")</f>
        <v/>
      </c>
      <c r="G100" s="17">
        <f>IFERROR(INDEX(Cal_Weeks[Label],LOOKUP(2,1/(T_SelfStock!$A$2:$A$12000=$A100),T_SelfStock!$B$2:$B$12000)),"")</f>
        <v/>
      </c>
      <c r="H100" s="17">
        <f>IF(MIN(J100:DI100)&lt;D100,"要発注","OK")</f>
        <v/>
      </c>
      <c r="I100" s="16">
        <f>IFERROR(INDEX(J100:DI100,$F$1),"")</f>
        <v/>
      </c>
      <c r="J100" s="17">
        <f>'Grid_Stock'!B95</f>
        <v/>
      </c>
      <c r="K100" s="17">
        <f>'Grid_Stock'!C95</f>
        <v/>
      </c>
      <c r="L100" s="17">
        <f>'Grid_Stock'!D95</f>
        <v/>
      </c>
      <c r="M100" s="17">
        <f>'Grid_Stock'!E95</f>
        <v/>
      </c>
      <c r="N100" s="17">
        <f>'Grid_Stock'!F95</f>
        <v/>
      </c>
      <c r="O100" s="17">
        <f>'Grid_Stock'!G95</f>
        <v/>
      </c>
      <c r="P100" s="17">
        <f>'Grid_Stock'!H95</f>
        <v/>
      </c>
      <c r="Q100" s="17">
        <f>'Grid_Stock'!I95</f>
        <v/>
      </c>
      <c r="R100" s="17">
        <f>'Grid_Stock'!J95</f>
        <v/>
      </c>
      <c r="S100" s="17">
        <f>'Grid_Stock'!K95</f>
        <v/>
      </c>
      <c r="T100" s="17">
        <f>'Grid_Stock'!L95</f>
        <v/>
      </c>
      <c r="U100" s="17">
        <f>'Grid_Stock'!M95</f>
        <v/>
      </c>
      <c r="V100" s="17">
        <f>'Grid_Stock'!N95</f>
        <v/>
      </c>
      <c r="W100" s="17">
        <f>'Grid_Stock'!O95</f>
        <v/>
      </c>
      <c r="X100" s="17">
        <f>'Grid_Stock'!P95</f>
        <v/>
      </c>
      <c r="Y100" s="17">
        <f>'Grid_Stock'!Q95</f>
        <v/>
      </c>
      <c r="Z100" s="17">
        <f>'Grid_Stock'!R95</f>
        <v/>
      </c>
      <c r="AA100" s="17">
        <f>'Grid_Stock'!S95</f>
        <v/>
      </c>
      <c r="AB100" s="17">
        <f>'Grid_Stock'!T95</f>
        <v/>
      </c>
      <c r="AC100" s="17">
        <f>'Grid_Stock'!U95</f>
        <v/>
      </c>
      <c r="AD100" s="17">
        <f>'Grid_Stock'!V95</f>
        <v/>
      </c>
      <c r="AE100" s="17">
        <f>'Grid_Stock'!W95</f>
        <v/>
      </c>
      <c r="AF100" s="17">
        <f>'Grid_Stock'!X95</f>
        <v/>
      </c>
      <c r="AG100" s="17">
        <f>'Grid_Stock'!Y95</f>
        <v/>
      </c>
      <c r="AH100" s="17">
        <f>'Grid_Stock'!Z95</f>
        <v/>
      </c>
      <c r="AI100" s="17">
        <f>'Grid_Stock'!AA95</f>
        <v/>
      </c>
      <c r="AJ100" s="17">
        <f>'Grid_Stock'!AB95</f>
        <v/>
      </c>
      <c r="AK100" s="17">
        <f>'Grid_Stock'!AC95</f>
        <v/>
      </c>
      <c r="AL100" s="17">
        <f>'Grid_Stock'!AD95</f>
        <v/>
      </c>
      <c r="AM100" s="17">
        <f>'Grid_Stock'!AE95</f>
        <v/>
      </c>
      <c r="AN100" s="17">
        <f>'Grid_Stock'!AF95</f>
        <v/>
      </c>
      <c r="AO100" s="17">
        <f>'Grid_Stock'!AG95</f>
        <v/>
      </c>
      <c r="AP100" s="17">
        <f>'Grid_Stock'!AH95</f>
        <v/>
      </c>
      <c r="AQ100" s="17">
        <f>'Grid_Stock'!AI95</f>
        <v/>
      </c>
      <c r="AR100" s="17">
        <f>'Grid_Stock'!AJ95</f>
        <v/>
      </c>
      <c r="AS100" s="17">
        <f>'Grid_Stock'!AK95</f>
        <v/>
      </c>
      <c r="AT100" s="17">
        <f>'Grid_Stock'!AL95</f>
        <v/>
      </c>
      <c r="AU100" s="17">
        <f>'Grid_Stock'!AM95</f>
        <v/>
      </c>
      <c r="AV100" s="17">
        <f>'Grid_Stock'!AN95</f>
        <v/>
      </c>
      <c r="AW100" s="17">
        <f>'Grid_Stock'!AO95</f>
        <v/>
      </c>
      <c r="AX100" s="17">
        <f>'Grid_Stock'!AP95</f>
        <v/>
      </c>
      <c r="AY100" s="17">
        <f>'Grid_Stock'!AQ95</f>
        <v/>
      </c>
      <c r="AZ100" s="17">
        <f>'Grid_Stock'!AR95</f>
        <v/>
      </c>
      <c r="BA100" s="17">
        <f>'Grid_Stock'!AS95</f>
        <v/>
      </c>
      <c r="BB100" s="17">
        <f>'Grid_Stock'!AT95</f>
        <v/>
      </c>
      <c r="BC100" s="17">
        <f>'Grid_Stock'!AU95</f>
        <v/>
      </c>
      <c r="BD100" s="17">
        <f>'Grid_Stock'!AV95</f>
        <v/>
      </c>
      <c r="BE100" s="17">
        <f>'Grid_Stock'!AW95</f>
        <v/>
      </c>
      <c r="BF100" s="17">
        <f>'Grid_Stock'!AX95</f>
        <v/>
      </c>
      <c r="BG100" s="17">
        <f>'Grid_Stock'!AY95</f>
        <v/>
      </c>
      <c r="BH100" s="17">
        <f>'Grid_Stock'!AZ95</f>
        <v/>
      </c>
      <c r="BI100" s="17">
        <f>'Grid_Stock'!BA95</f>
        <v/>
      </c>
      <c r="BJ100" s="17">
        <f>'Grid_Stock'!BB95</f>
        <v/>
      </c>
      <c r="BK100" s="17">
        <f>'Grid_Stock'!BC95</f>
        <v/>
      </c>
      <c r="BL100" s="17">
        <f>'Grid_Stock'!BD95</f>
        <v/>
      </c>
      <c r="BM100" s="17">
        <f>'Grid_Stock'!BE95</f>
        <v/>
      </c>
      <c r="BN100" s="17">
        <f>'Grid_Stock'!BF95</f>
        <v/>
      </c>
      <c r="BO100" s="17">
        <f>'Grid_Stock'!BG95</f>
        <v/>
      </c>
      <c r="BP100" s="17">
        <f>'Grid_Stock'!BH95</f>
        <v/>
      </c>
      <c r="BQ100" s="17">
        <f>'Grid_Stock'!BI95</f>
        <v/>
      </c>
      <c r="BR100" s="17">
        <f>'Grid_Stock'!BJ95</f>
        <v/>
      </c>
      <c r="BS100" s="17">
        <f>'Grid_Stock'!BK95</f>
        <v/>
      </c>
      <c r="BT100" s="17">
        <f>'Grid_Stock'!BL95</f>
        <v/>
      </c>
      <c r="BU100" s="17">
        <f>'Grid_Stock'!BM95</f>
        <v/>
      </c>
      <c r="BV100" s="17">
        <f>'Grid_Stock'!BN95</f>
        <v/>
      </c>
      <c r="BW100" s="17">
        <f>'Grid_Stock'!BO95</f>
        <v/>
      </c>
      <c r="BX100" s="17">
        <f>'Grid_Stock'!BP95</f>
        <v/>
      </c>
      <c r="BY100" s="17">
        <f>'Grid_Stock'!BQ95</f>
        <v/>
      </c>
      <c r="BZ100" s="17">
        <f>'Grid_Stock'!BR95</f>
        <v/>
      </c>
      <c r="CA100" s="17">
        <f>'Grid_Stock'!BS95</f>
        <v/>
      </c>
      <c r="CB100" s="17">
        <f>'Grid_Stock'!BT95</f>
        <v/>
      </c>
      <c r="CC100" s="17">
        <f>'Grid_Stock'!BU95</f>
        <v/>
      </c>
      <c r="CD100" s="17">
        <f>'Grid_Stock'!BV95</f>
        <v/>
      </c>
      <c r="CE100" s="17">
        <f>'Grid_Stock'!BW95</f>
        <v/>
      </c>
      <c r="CF100" s="17">
        <f>'Grid_Stock'!BX95</f>
        <v/>
      </c>
      <c r="CG100" s="17">
        <f>'Grid_Stock'!BY95</f>
        <v/>
      </c>
      <c r="CH100" s="17">
        <f>'Grid_Stock'!BZ95</f>
        <v/>
      </c>
      <c r="CI100" s="17">
        <f>'Grid_Stock'!CA95</f>
        <v/>
      </c>
      <c r="CJ100" s="17">
        <f>'Grid_Stock'!CB95</f>
        <v/>
      </c>
      <c r="CK100" s="17">
        <f>'Grid_Stock'!CC95</f>
        <v/>
      </c>
      <c r="CL100" s="17">
        <f>'Grid_Stock'!CD95</f>
        <v/>
      </c>
      <c r="CM100" s="17">
        <f>'Grid_Stock'!CE95</f>
        <v/>
      </c>
      <c r="CN100" s="17">
        <f>'Grid_Stock'!CF95</f>
        <v/>
      </c>
      <c r="CO100" s="17">
        <f>'Grid_Stock'!CG95</f>
        <v/>
      </c>
      <c r="CP100" s="17">
        <f>'Grid_Stock'!CH95</f>
        <v/>
      </c>
      <c r="CQ100" s="17">
        <f>'Grid_Stock'!CI95</f>
        <v/>
      </c>
      <c r="CR100" s="17">
        <f>'Grid_Stock'!CJ95</f>
        <v/>
      </c>
      <c r="CS100" s="17">
        <f>'Grid_Stock'!CK95</f>
        <v/>
      </c>
      <c r="CT100" s="17">
        <f>'Grid_Stock'!CL95</f>
        <v/>
      </c>
      <c r="CU100" s="17">
        <f>'Grid_Stock'!CM95</f>
        <v/>
      </c>
      <c r="CV100" s="17">
        <f>'Grid_Stock'!CN95</f>
        <v/>
      </c>
      <c r="CW100" s="17">
        <f>'Grid_Stock'!CO95</f>
        <v/>
      </c>
      <c r="CX100" s="17">
        <f>'Grid_Stock'!CP95</f>
        <v/>
      </c>
      <c r="CY100" s="17">
        <f>'Grid_Stock'!CQ95</f>
        <v/>
      </c>
      <c r="CZ100" s="17">
        <f>'Grid_Stock'!CR95</f>
        <v/>
      </c>
      <c r="DA100" s="17">
        <f>'Grid_Stock'!CS95</f>
        <v/>
      </c>
      <c r="DB100" s="17">
        <f>'Grid_Stock'!CT95</f>
        <v/>
      </c>
      <c r="DC100" s="17">
        <f>'Grid_Stock'!CU95</f>
        <v/>
      </c>
      <c r="DD100" s="17">
        <f>'Grid_Stock'!CV95</f>
        <v/>
      </c>
      <c r="DE100" s="17">
        <f>'Grid_Stock'!CW95</f>
        <v/>
      </c>
      <c r="DF100" s="17">
        <f>'Grid_Stock'!CX95</f>
        <v/>
      </c>
      <c r="DG100" s="17">
        <f>'Grid_Stock'!CY95</f>
        <v/>
      </c>
      <c r="DH100" s="17">
        <f>'Grid_Stock'!CZ95</f>
        <v/>
      </c>
      <c r="DI100" s="17">
        <f>'Grid_Stock'!DA95</f>
        <v/>
      </c>
    </row>
    <row r="101">
      <c r="A101" s="15" t="inlineStr">
        <is>
          <t>CHEM-1170</t>
        </is>
      </c>
      <c r="B101" s="15">
        <f>IFERROR(INDEX(M_RawMaterials[Description],MATCH($A101,M_RawMaterials[RM_Code],0)),"")</f>
        <v/>
      </c>
      <c r="C101" s="15">
        <f>IFERROR(INDEX(M_RawMaterials[Category],MATCH($A101,M_RawMaterials[RM_Code],0)),"")</f>
        <v/>
      </c>
      <c r="D101" s="15">
        <f>IFERROR(INDEX(M_RawMaterials[SafetyStock_Qty_要入力],MATCH($A101,M_RawMaterials[RM_Code],0)),0)</f>
        <v/>
      </c>
      <c r="E101" s="15">
        <f>IFERROR(LOOKUP(2,1/(T_SelfStock!$A$2:$A$12000=$A101),T_SelfStock!$D$2:$D$12000),"")</f>
        <v/>
      </c>
      <c r="F101" s="15">
        <f>IFERROR(LOOKUP(2,1/(T_TTAFStock!$A$2:$A$12000=$A101),T_TTAFStock!$D$2:$D$12000),"")</f>
        <v/>
      </c>
      <c r="G101" s="15">
        <f>IFERROR(INDEX(Cal_Weeks[Label],LOOKUP(2,1/(T_SelfStock!$A$2:$A$12000=$A101),T_SelfStock!$B$2:$B$12000)),"")</f>
        <v/>
      </c>
      <c r="H101" s="15">
        <f>IF(MIN(J101:DI101)&lt;D101,"要発注","OK")</f>
        <v/>
      </c>
      <c r="I101" s="16">
        <f>IFERROR(INDEX(J101:DI101,$F$1),"")</f>
        <v/>
      </c>
      <c r="J101" s="15">
        <f>'Grid_Stock'!B96</f>
        <v/>
      </c>
      <c r="K101" s="15">
        <f>'Grid_Stock'!C96</f>
        <v/>
      </c>
      <c r="L101" s="15">
        <f>'Grid_Stock'!D96</f>
        <v/>
      </c>
      <c r="M101" s="15">
        <f>'Grid_Stock'!E96</f>
        <v/>
      </c>
      <c r="N101" s="15">
        <f>'Grid_Stock'!F96</f>
        <v/>
      </c>
      <c r="O101" s="15">
        <f>'Grid_Stock'!G96</f>
        <v/>
      </c>
      <c r="P101" s="15">
        <f>'Grid_Stock'!H96</f>
        <v/>
      </c>
      <c r="Q101" s="15">
        <f>'Grid_Stock'!I96</f>
        <v/>
      </c>
      <c r="R101" s="15">
        <f>'Grid_Stock'!J96</f>
        <v/>
      </c>
      <c r="S101" s="15">
        <f>'Grid_Stock'!K96</f>
        <v/>
      </c>
      <c r="T101" s="15">
        <f>'Grid_Stock'!L96</f>
        <v/>
      </c>
      <c r="U101" s="15">
        <f>'Grid_Stock'!M96</f>
        <v/>
      </c>
      <c r="V101" s="15">
        <f>'Grid_Stock'!N96</f>
        <v/>
      </c>
      <c r="W101" s="15">
        <f>'Grid_Stock'!O96</f>
        <v/>
      </c>
      <c r="X101" s="15">
        <f>'Grid_Stock'!P96</f>
        <v/>
      </c>
      <c r="Y101" s="15">
        <f>'Grid_Stock'!Q96</f>
        <v/>
      </c>
      <c r="Z101" s="15">
        <f>'Grid_Stock'!R96</f>
        <v/>
      </c>
      <c r="AA101" s="15">
        <f>'Grid_Stock'!S96</f>
        <v/>
      </c>
      <c r="AB101" s="15">
        <f>'Grid_Stock'!T96</f>
        <v/>
      </c>
      <c r="AC101" s="15">
        <f>'Grid_Stock'!U96</f>
        <v/>
      </c>
      <c r="AD101" s="15">
        <f>'Grid_Stock'!V96</f>
        <v/>
      </c>
      <c r="AE101" s="15">
        <f>'Grid_Stock'!W96</f>
        <v/>
      </c>
      <c r="AF101" s="15">
        <f>'Grid_Stock'!X96</f>
        <v/>
      </c>
      <c r="AG101" s="15">
        <f>'Grid_Stock'!Y96</f>
        <v/>
      </c>
      <c r="AH101" s="15">
        <f>'Grid_Stock'!Z96</f>
        <v/>
      </c>
      <c r="AI101" s="15">
        <f>'Grid_Stock'!AA96</f>
        <v/>
      </c>
      <c r="AJ101" s="15">
        <f>'Grid_Stock'!AB96</f>
        <v/>
      </c>
      <c r="AK101" s="15">
        <f>'Grid_Stock'!AC96</f>
        <v/>
      </c>
      <c r="AL101" s="15">
        <f>'Grid_Stock'!AD96</f>
        <v/>
      </c>
      <c r="AM101" s="15">
        <f>'Grid_Stock'!AE96</f>
        <v/>
      </c>
      <c r="AN101" s="15">
        <f>'Grid_Stock'!AF96</f>
        <v/>
      </c>
      <c r="AO101" s="15">
        <f>'Grid_Stock'!AG96</f>
        <v/>
      </c>
      <c r="AP101" s="15">
        <f>'Grid_Stock'!AH96</f>
        <v/>
      </c>
      <c r="AQ101" s="15">
        <f>'Grid_Stock'!AI96</f>
        <v/>
      </c>
      <c r="AR101" s="15">
        <f>'Grid_Stock'!AJ96</f>
        <v/>
      </c>
      <c r="AS101" s="15">
        <f>'Grid_Stock'!AK96</f>
        <v/>
      </c>
      <c r="AT101" s="15">
        <f>'Grid_Stock'!AL96</f>
        <v/>
      </c>
      <c r="AU101" s="15">
        <f>'Grid_Stock'!AM96</f>
        <v/>
      </c>
      <c r="AV101" s="15">
        <f>'Grid_Stock'!AN96</f>
        <v/>
      </c>
      <c r="AW101" s="15">
        <f>'Grid_Stock'!AO96</f>
        <v/>
      </c>
      <c r="AX101" s="15">
        <f>'Grid_Stock'!AP96</f>
        <v/>
      </c>
      <c r="AY101" s="15">
        <f>'Grid_Stock'!AQ96</f>
        <v/>
      </c>
      <c r="AZ101" s="15">
        <f>'Grid_Stock'!AR96</f>
        <v/>
      </c>
      <c r="BA101" s="15">
        <f>'Grid_Stock'!AS96</f>
        <v/>
      </c>
      <c r="BB101" s="15">
        <f>'Grid_Stock'!AT96</f>
        <v/>
      </c>
      <c r="BC101" s="15">
        <f>'Grid_Stock'!AU96</f>
        <v/>
      </c>
      <c r="BD101" s="15">
        <f>'Grid_Stock'!AV96</f>
        <v/>
      </c>
      <c r="BE101" s="15">
        <f>'Grid_Stock'!AW96</f>
        <v/>
      </c>
      <c r="BF101" s="15">
        <f>'Grid_Stock'!AX96</f>
        <v/>
      </c>
      <c r="BG101" s="15">
        <f>'Grid_Stock'!AY96</f>
        <v/>
      </c>
      <c r="BH101" s="15">
        <f>'Grid_Stock'!AZ96</f>
        <v/>
      </c>
      <c r="BI101" s="15">
        <f>'Grid_Stock'!BA96</f>
        <v/>
      </c>
      <c r="BJ101" s="15">
        <f>'Grid_Stock'!BB96</f>
        <v/>
      </c>
      <c r="BK101" s="15">
        <f>'Grid_Stock'!BC96</f>
        <v/>
      </c>
      <c r="BL101" s="15">
        <f>'Grid_Stock'!BD96</f>
        <v/>
      </c>
      <c r="BM101" s="15">
        <f>'Grid_Stock'!BE96</f>
        <v/>
      </c>
      <c r="BN101" s="15">
        <f>'Grid_Stock'!BF96</f>
        <v/>
      </c>
      <c r="BO101" s="15">
        <f>'Grid_Stock'!BG96</f>
        <v/>
      </c>
      <c r="BP101" s="15">
        <f>'Grid_Stock'!BH96</f>
        <v/>
      </c>
      <c r="BQ101" s="15">
        <f>'Grid_Stock'!BI96</f>
        <v/>
      </c>
      <c r="BR101" s="15">
        <f>'Grid_Stock'!BJ96</f>
        <v/>
      </c>
      <c r="BS101" s="15">
        <f>'Grid_Stock'!BK96</f>
        <v/>
      </c>
      <c r="BT101" s="15">
        <f>'Grid_Stock'!BL96</f>
        <v/>
      </c>
      <c r="BU101" s="15">
        <f>'Grid_Stock'!BM96</f>
        <v/>
      </c>
      <c r="BV101" s="15">
        <f>'Grid_Stock'!BN96</f>
        <v/>
      </c>
      <c r="BW101" s="15">
        <f>'Grid_Stock'!BO96</f>
        <v/>
      </c>
      <c r="BX101" s="15">
        <f>'Grid_Stock'!BP96</f>
        <v/>
      </c>
      <c r="BY101" s="15">
        <f>'Grid_Stock'!BQ96</f>
        <v/>
      </c>
      <c r="BZ101" s="15">
        <f>'Grid_Stock'!BR96</f>
        <v/>
      </c>
      <c r="CA101" s="15">
        <f>'Grid_Stock'!BS96</f>
        <v/>
      </c>
      <c r="CB101" s="15">
        <f>'Grid_Stock'!BT96</f>
        <v/>
      </c>
      <c r="CC101" s="15">
        <f>'Grid_Stock'!BU96</f>
        <v/>
      </c>
      <c r="CD101" s="15">
        <f>'Grid_Stock'!BV96</f>
        <v/>
      </c>
      <c r="CE101" s="15">
        <f>'Grid_Stock'!BW96</f>
        <v/>
      </c>
      <c r="CF101" s="15">
        <f>'Grid_Stock'!BX96</f>
        <v/>
      </c>
      <c r="CG101" s="15">
        <f>'Grid_Stock'!BY96</f>
        <v/>
      </c>
      <c r="CH101" s="15">
        <f>'Grid_Stock'!BZ96</f>
        <v/>
      </c>
      <c r="CI101" s="15">
        <f>'Grid_Stock'!CA96</f>
        <v/>
      </c>
      <c r="CJ101" s="15">
        <f>'Grid_Stock'!CB96</f>
        <v/>
      </c>
      <c r="CK101" s="15">
        <f>'Grid_Stock'!CC96</f>
        <v/>
      </c>
      <c r="CL101" s="15">
        <f>'Grid_Stock'!CD96</f>
        <v/>
      </c>
      <c r="CM101" s="15">
        <f>'Grid_Stock'!CE96</f>
        <v/>
      </c>
      <c r="CN101" s="15">
        <f>'Grid_Stock'!CF96</f>
        <v/>
      </c>
      <c r="CO101" s="15">
        <f>'Grid_Stock'!CG96</f>
        <v/>
      </c>
      <c r="CP101" s="15">
        <f>'Grid_Stock'!CH96</f>
        <v/>
      </c>
      <c r="CQ101" s="15">
        <f>'Grid_Stock'!CI96</f>
        <v/>
      </c>
      <c r="CR101" s="15">
        <f>'Grid_Stock'!CJ96</f>
        <v/>
      </c>
      <c r="CS101" s="15">
        <f>'Grid_Stock'!CK96</f>
        <v/>
      </c>
      <c r="CT101" s="15">
        <f>'Grid_Stock'!CL96</f>
        <v/>
      </c>
      <c r="CU101" s="15">
        <f>'Grid_Stock'!CM96</f>
        <v/>
      </c>
      <c r="CV101" s="15">
        <f>'Grid_Stock'!CN96</f>
        <v/>
      </c>
      <c r="CW101" s="15">
        <f>'Grid_Stock'!CO96</f>
        <v/>
      </c>
      <c r="CX101" s="15">
        <f>'Grid_Stock'!CP96</f>
        <v/>
      </c>
      <c r="CY101" s="15">
        <f>'Grid_Stock'!CQ96</f>
        <v/>
      </c>
      <c r="CZ101" s="15">
        <f>'Grid_Stock'!CR96</f>
        <v/>
      </c>
      <c r="DA101" s="15">
        <f>'Grid_Stock'!CS96</f>
        <v/>
      </c>
      <c r="DB101" s="15">
        <f>'Grid_Stock'!CT96</f>
        <v/>
      </c>
      <c r="DC101" s="15">
        <f>'Grid_Stock'!CU96</f>
        <v/>
      </c>
      <c r="DD101" s="15">
        <f>'Grid_Stock'!CV96</f>
        <v/>
      </c>
      <c r="DE101" s="15">
        <f>'Grid_Stock'!CW96</f>
        <v/>
      </c>
      <c r="DF101" s="15">
        <f>'Grid_Stock'!CX96</f>
        <v/>
      </c>
      <c r="DG101" s="15">
        <f>'Grid_Stock'!CY96</f>
        <v/>
      </c>
      <c r="DH101" s="15">
        <f>'Grid_Stock'!CZ96</f>
        <v/>
      </c>
      <c r="DI101" s="15">
        <f>'Grid_Stock'!DA96</f>
        <v/>
      </c>
    </row>
    <row r="102">
      <c r="A102" s="17" t="inlineStr">
        <is>
          <t>CHEM-1620</t>
        </is>
      </c>
      <c r="B102" s="17">
        <f>IFERROR(INDEX(M_RawMaterials[Description],MATCH($A102,M_RawMaterials[RM_Code],0)),"")</f>
        <v/>
      </c>
      <c r="C102" s="17">
        <f>IFERROR(INDEX(M_RawMaterials[Category],MATCH($A102,M_RawMaterials[RM_Code],0)),"")</f>
        <v/>
      </c>
      <c r="D102" s="17">
        <f>IFERROR(INDEX(M_RawMaterials[SafetyStock_Qty_要入力],MATCH($A102,M_RawMaterials[RM_Code],0)),0)</f>
        <v/>
      </c>
      <c r="E102" s="17">
        <f>IFERROR(LOOKUP(2,1/(T_SelfStock!$A$2:$A$12000=$A102),T_SelfStock!$D$2:$D$12000),"")</f>
        <v/>
      </c>
      <c r="F102" s="17">
        <f>IFERROR(LOOKUP(2,1/(T_TTAFStock!$A$2:$A$12000=$A102),T_TTAFStock!$D$2:$D$12000),"")</f>
        <v/>
      </c>
      <c r="G102" s="17">
        <f>IFERROR(INDEX(Cal_Weeks[Label],LOOKUP(2,1/(T_SelfStock!$A$2:$A$12000=$A102),T_SelfStock!$B$2:$B$12000)),"")</f>
        <v/>
      </c>
      <c r="H102" s="17">
        <f>IF(MIN(J102:DI102)&lt;D102,"要発注","OK")</f>
        <v/>
      </c>
      <c r="I102" s="16">
        <f>IFERROR(INDEX(J102:DI102,$F$1),"")</f>
        <v/>
      </c>
      <c r="J102" s="17">
        <f>'Grid_Stock'!B97</f>
        <v/>
      </c>
      <c r="K102" s="17">
        <f>'Grid_Stock'!C97</f>
        <v/>
      </c>
      <c r="L102" s="17">
        <f>'Grid_Stock'!D97</f>
        <v/>
      </c>
      <c r="M102" s="17">
        <f>'Grid_Stock'!E97</f>
        <v/>
      </c>
      <c r="N102" s="17">
        <f>'Grid_Stock'!F97</f>
        <v/>
      </c>
      <c r="O102" s="17">
        <f>'Grid_Stock'!G97</f>
        <v/>
      </c>
      <c r="P102" s="17">
        <f>'Grid_Stock'!H97</f>
        <v/>
      </c>
      <c r="Q102" s="17">
        <f>'Grid_Stock'!I97</f>
        <v/>
      </c>
      <c r="R102" s="17">
        <f>'Grid_Stock'!J97</f>
        <v/>
      </c>
      <c r="S102" s="17">
        <f>'Grid_Stock'!K97</f>
        <v/>
      </c>
      <c r="T102" s="17">
        <f>'Grid_Stock'!L97</f>
        <v/>
      </c>
      <c r="U102" s="17">
        <f>'Grid_Stock'!M97</f>
        <v/>
      </c>
      <c r="V102" s="17">
        <f>'Grid_Stock'!N97</f>
        <v/>
      </c>
      <c r="W102" s="17">
        <f>'Grid_Stock'!O97</f>
        <v/>
      </c>
      <c r="X102" s="17">
        <f>'Grid_Stock'!P97</f>
        <v/>
      </c>
      <c r="Y102" s="17">
        <f>'Grid_Stock'!Q97</f>
        <v/>
      </c>
      <c r="Z102" s="17">
        <f>'Grid_Stock'!R97</f>
        <v/>
      </c>
      <c r="AA102" s="17">
        <f>'Grid_Stock'!S97</f>
        <v/>
      </c>
      <c r="AB102" s="17">
        <f>'Grid_Stock'!T97</f>
        <v/>
      </c>
      <c r="AC102" s="17">
        <f>'Grid_Stock'!U97</f>
        <v/>
      </c>
      <c r="AD102" s="17">
        <f>'Grid_Stock'!V97</f>
        <v/>
      </c>
      <c r="AE102" s="17">
        <f>'Grid_Stock'!W97</f>
        <v/>
      </c>
      <c r="AF102" s="17">
        <f>'Grid_Stock'!X97</f>
        <v/>
      </c>
      <c r="AG102" s="17">
        <f>'Grid_Stock'!Y97</f>
        <v/>
      </c>
      <c r="AH102" s="17">
        <f>'Grid_Stock'!Z97</f>
        <v/>
      </c>
      <c r="AI102" s="17">
        <f>'Grid_Stock'!AA97</f>
        <v/>
      </c>
      <c r="AJ102" s="17">
        <f>'Grid_Stock'!AB97</f>
        <v/>
      </c>
      <c r="AK102" s="17">
        <f>'Grid_Stock'!AC97</f>
        <v/>
      </c>
      <c r="AL102" s="17">
        <f>'Grid_Stock'!AD97</f>
        <v/>
      </c>
      <c r="AM102" s="17">
        <f>'Grid_Stock'!AE97</f>
        <v/>
      </c>
      <c r="AN102" s="17">
        <f>'Grid_Stock'!AF97</f>
        <v/>
      </c>
      <c r="AO102" s="17">
        <f>'Grid_Stock'!AG97</f>
        <v/>
      </c>
      <c r="AP102" s="17">
        <f>'Grid_Stock'!AH97</f>
        <v/>
      </c>
      <c r="AQ102" s="17">
        <f>'Grid_Stock'!AI97</f>
        <v/>
      </c>
      <c r="AR102" s="17">
        <f>'Grid_Stock'!AJ97</f>
        <v/>
      </c>
      <c r="AS102" s="17">
        <f>'Grid_Stock'!AK97</f>
        <v/>
      </c>
      <c r="AT102" s="17">
        <f>'Grid_Stock'!AL97</f>
        <v/>
      </c>
      <c r="AU102" s="17">
        <f>'Grid_Stock'!AM97</f>
        <v/>
      </c>
      <c r="AV102" s="17">
        <f>'Grid_Stock'!AN97</f>
        <v/>
      </c>
      <c r="AW102" s="17">
        <f>'Grid_Stock'!AO97</f>
        <v/>
      </c>
      <c r="AX102" s="17">
        <f>'Grid_Stock'!AP97</f>
        <v/>
      </c>
      <c r="AY102" s="17">
        <f>'Grid_Stock'!AQ97</f>
        <v/>
      </c>
      <c r="AZ102" s="17">
        <f>'Grid_Stock'!AR97</f>
        <v/>
      </c>
      <c r="BA102" s="17">
        <f>'Grid_Stock'!AS97</f>
        <v/>
      </c>
      <c r="BB102" s="17">
        <f>'Grid_Stock'!AT97</f>
        <v/>
      </c>
      <c r="BC102" s="17">
        <f>'Grid_Stock'!AU97</f>
        <v/>
      </c>
      <c r="BD102" s="17">
        <f>'Grid_Stock'!AV97</f>
        <v/>
      </c>
      <c r="BE102" s="17">
        <f>'Grid_Stock'!AW97</f>
        <v/>
      </c>
      <c r="BF102" s="17">
        <f>'Grid_Stock'!AX97</f>
        <v/>
      </c>
      <c r="BG102" s="17">
        <f>'Grid_Stock'!AY97</f>
        <v/>
      </c>
      <c r="BH102" s="17">
        <f>'Grid_Stock'!AZ97</f>
        <v/>
      </c>
      <c r="BI102" s="17">
        <f>'Grid_Stock'!BA97</f>
        <v/>
      </c>
      <c r="BJ102" s="17">
        <f>'Grid_Stock'!BB97</f>
        <v/>
      </c>
      <c r="BK102" s="17">
        <f>'Grid_Stock'!BC97</f>
        <v/>
      </c>
      <c r="BL102" s="17">
        <f>'Grid_Stock'!BD97</f>
        <v/>
      </c>
      <c r="BM102" s="17">
        <f>'Grid_Stock'!BE97</f>
        <v/>
      </c>
      <c r="BN102" s="17">
        <f>'Grid_Stock'!BF97</f>
        <v/>
      </c>
      <c r="BO102" s="17">
        <f>'Grid_Stock'!BG97</f>
        <v/>
      </c>
      <c r="BP102" s="17">
        <f>'Grid_Stock'!BH97</f>
        <v/>
      </c>
      <c r="BQ102" s="17">
        <f>'Grid_Stock'!BI97</f>
        <v/>
      </c>
      <c r="BR102" s="17">
        <f>'Grid_Stock'!BJ97</f>
        <v/>
      </c>
      <c r="BS102" s="17">
        <f>'Grid_Stock'!BK97</f>
        <v/>
      </c>
      <c r="BT102" s="17">
        <f>'Grid_Stock'!BL97</f>
        <v/>
      </c>
      <c r="BU102" s="17">
        <f>'Grid_Stock'!BM97</f>
        <v/>
      </c>
      <c r="BV102" s="17">
        <f>'Grid_Stock'!BN97</f>
        <v/>
      </c>
      <c r="BW102" s="17">
        <f>'Grid_Stock'!BO97</f>
        <v/>
      </c>
      <c r="BX102" s="17">
        <f>'Grid_Stock'!BP97</f>
        <v/>
      </c>
      <c r="BY102" s="17">
        <f>'Grid_Stock'!BQ97</f>
        <v/>
      </c>
      <c r="BZ102" s="17">
        <f>'Grid_Stock'!BR97</f>
        <v/>
      </c>
      <c r="CA102" s="17">
        <f>'Grid_Stock'!BS97</f>
        <v/>
      </c>
      <c r="CB102" s="17">
        <f>'Grid_Stock'!BT97</f>
        <v/>
      </c>
      <c r="CC102" s="17">
        <f>'Grid_Stock'!BU97</f>
        <v/>
      </c>
      <c r="CD102" s="17">
        <f>'Grid_Stock'!BV97</f>
        <v/>
      </c>
      <c r="CE102" s="17">
        <f>'Grid_Stock'!BW97</f>
        <v/>
      </c>
      <c r="CF102" s="17">
        <f>'Grid_Stock'!BX97</f>
        <v/>
      </c>
      <c r="CG102" s="17">
        <f>'Grid_Stock'!BY97</f>
        <v/>
      </c>
      <c r="CH102" s="17">
        <f>'Grid_Stock'!BZ97</f>
        <v/>
      </c>
      <c r="CI102" s="17">
        <f>'Grid_Stock'!CA97</f>
        <v/>
      </c>
      <c r="CJ102" s="17">
        <f>'Grid_Stock'!CB97</f>
        <v/>
      </c>
      <c r="CK102" s="17">
        <f>'Grid_Stock'!CC97</f>
        <v/>
      </c>
      <c r="CL102" s="17">
        <f>'Grid_Stock'!CD97</f>
        <v/>
      </c>
      <c r="CM102" s="17">
        <f>'Grid_Stock'!CE97</f>
        <v/>
      </c>
      <c r="CN102" s="17">
        <f>'Grid_Stock'!CF97</f>
        <v/>
      </c>
      <c r="CO102" s="17">
        <f>'Grid_Stock'!CG97</f>
        <v/>
      </c>
      <c r="CP102" s="17">
        <f>'Grid_Stock'!CH97</f>
        <v/>
      </c>
      <c r="CQ102" s="17">
        <f>'Grid_Stock'!CI97</f>
        <v/>
      </c>
      <c r="CR102" s="17">
        <f>'Grid_Stock'!CJ97</f>
        <v/>
      </c>
      <c r="CS102" s="17">
        <f>'Grid_Stock'!CK97</f>
        <v/>
      </c>
      <c r="CT102" s="17">
        <f>'Grid_Stock'!CL97</f>
        <v/>
      </c>
      <c r="CU102" s="17">
        <f>'Grid_Stock'!CM97</f>
        <v/>
      </c>
      <c r="CV102" s="17">
        <f>'Grid_Stock'!CN97</f>
        <v/>
      </c>
      <c r="CW102" s="17">
        <f>'Grid_Stock'!CO97</f>
        <v/>
      </c>
      <c r="CX102" s="17">
        <f>'Grid_Stock'!CP97</f>
        <v/>
      </c>
      <c r="CY102" s="17">
        <f>'Grid_Stock'!CQ97</f>
        <v/>
      </c>
      <c r="CZ102" s="17">
        <f>'Grid_Stock'!CR97</f>
        <v/>
      </c>
      <c r="DA102" s="17">
        <f>'Grid_Stock'!CS97</f>
        <v/>
      </c>
      <c r="DB102" s="17">
        <f>'Grid_Stock'!CT97</f>
        <v/>
      </c>
      <c r="DC102" s="17">
        <f>'Grid_Stock'!CU97</f>
        <v/>
      </c>
      <c r="DD102" s="17">
        <f>'Grid_Stock'!CV97</f>
        <v/>
      </c>
      <c r="DE102" s="17">
        <f>'Grid_Stock'!CW97</f>
        <v/>
      </c>
      <c r="DF102" s="17">
        <f>'Grid_Stock'!CX97</f>
        <v/>
      </c>
      <c r="DG102" s="17">
        <f>'Grid_Stock'!CY97</f>
        <v/>
      </c>
      <c r="DH102" s="17">
        <f>'Grid_Stock'!CZ97</f>
        <v/>
      </c>
      <c r="DI102" s="17">
        <f>'Grid_Stock'!DA97</f>
        <v/>
      </c>
    </row>
    <row r="103">
      <c r="A103" s="15" t="inlineStr">
        <is>
          <t>CHEM-1050</t>
        </is>
      </c>
      <c r="B103" s="15">
        <f>IFERROR(INDEX(M_RawMaterials[Description],MATCH($A103,M_RawMaterials[RM_Code],0)),"")</f>
        <v/>
      </c>
      <c r="C103" s="15">
        <f>IFERROR(INDEX(M_RawMaterials[Category],MATCH($A103,M_RawMaterials[RM_Code],0)),"")</f>
        <v/>
      </c>
      <c r="D103" s="15">
        <f>IFERROR(INDEX(M_RawMaterials[SafetyStock_Qty_要入力],MATCH($A103,M_RawMaterials[RM_Code],0)),0)</f>
        <v/>
      </c>
      <c r="E103" s="15">
        <f>IFERROR(LOOKUP(2,1/(T_SelfStock!$A$2:$A$12000=$A103),T_SelfStock!$D$2:$D$12000),"")</f>
        <v/>
      </c>
      <c r="F103" s="15">
        <f>IFERROR(LOOKUP(2,1/(T_TTAFStock!$A$2:$A$12000=$A103),T_TTAFStock!$D$2:$D$12000),"")</f>
        <v/>
      </c>
      <c r="G103" s="15">
        <f>IFERROR(INDEX(Cal_Weeks[Label],LOOKUP(2,1/(T_SelfStock!$A$2:$A$12000=$A103),T_SelfStock!$B$2:$B$12000)),"")</f>
        <v/>
      </c>
      <c r="H103" s="15">
        <f>IF(MIN(J103:DI103)&lt;D103,"要発注","OK")</f>
        <v/>
      </c>
      <c r="I103" s="16">
        <f>IFERROR(INDEX(J103:DI103,$F$1),"")</f>
        <v/>
      </c>
      <c r="J103" s="15">
        <f>'Grid_Stock'!B98</f>
        <v/>
      </c>
      <c r="K103" s="15">
        <f>'Grid_Stock'!C98</f>
        <v/>
      </c>
      <c r="L103" s="15">
        <f>'Grid_Stock'!D98</f>
        <v/>
      </c>
      <c r="M103" s="15">
        <f>'Grid_Stock'!E98</f>
        <v/>
      </c>
      <c r="N103" s="15">
        <f>'Grid_Stock'!F98</f>
        <v/>
      </c>
      <c r="O103" s="15">
        <f>'Grid_Stock'!G98</f>
        <v/>
      </c>
      <c r="P103" s="15">
        <f>'Grid_Stock'!H98</f>
        <v/>
      </c>
      <c r="Q103" s="15">
        <f>'Grid_Stock'!I98</f>
        <v/>
      </c>
      <c r="R103" s="15">
        <f>'Grid_Stock'!J98</f>
        <v/>
      </c>
      <c r="S103" s="15">
        <f>'Grid_Stock'!K98</f>
        <v/>
      </c>
      <c r="T103" s="15">
        <f>'Grid_Stock'!L98</f>
        <v/>
      </c>
      <c r="U103" s="15">
        <f>'Grid_Stock'!M98</f>
        <v/>
      </c>
      <c r="V103" s="15">
        <f>'Grid_Stock'!N98</f>
        <v/>
      </c>
      <c r="W103" s="15">
        <f>'Grid_Stock'!O98</f>
        <v/>
      </c>
      <c r="X103" s="15">
        <f>'Grid_Stock'!P98</f>
        <v/>
      </c>
      <c r="Y103" s="15">
        <f>'Grid_Stock'!Q98</f>
        <v/>
      </c>
      <c r="Z103" s="15">
        <f>'Grid_Stock'!R98</f>
        <v/>
      </c>
      <c r="AA103" s="15">
        <f>'Grid_Stock'!S98</f>
        <v/>
      </c>
      <c r="AB103" s="15">
        <f>'Grid_Stock'!T98</f>
        <v/>
      </c>
      <c r="AC103" s="15">
        <f>'Grid_Stock'!U98</f>
        <v/>
      </c>
      <c r="AD103" s="15">
        <f>'Grid_Stock'!V98</f>
        <v/>
      </c>
      <c r="AE103" s="15">
        <f>'Grid_Stock'!W98</f>
        <v/>
      </c>
      <c r="AF103" s="15">
        <f>'Grid_Stock'!X98</f>
        <v/>
      </c>
      <c r="AG103" s="15">
        <f>'Grid_Stock'!Y98</f>
        <v/>
      </c>
      <c r="AH103" s="15">
        <f>'Grid_Stock'!Z98</f>
        <v/>
      </c>
      <c r="AI103" s="15">
        <f>'Grid_Stock'!AA98</f>
        <v/>
      </c>
      <c r="AJ103" s="15">
        <f>'Grid_Stock'!AB98</f>
        <v/>
      </c>
      <c r="AK103" s="15">
        <f>'Grid_Stock'!AC98</f>
        <v/>
      </c>
      <c r="AL103" s="15">
        <f>'Grid_Stock'!AD98</f>
        <v/>
      </c>
      <c r="AM103" s="15">
        <f>'Grid_Stock'!AE98</f>
        <v/>
      </c>
      <c r="AN103" s="15">
        <f>'Grid_Stock'!AF98</f>
        <v/>
      </c>
      <c r="AO103" s="15">
        <f>'Grid_Stock'!AG98</f>
        <v/>
      </c>
      <c r="AP103" s="15">
        <f>'Grid_Stock'!AH98</f>
        <v/>
      </c>
      <c r="AQ103" s="15">
        <f>'Grid_Stock'!AI98</f>
        <v/>
      </c>
      <c r="AR103" s="15">
        <f>'Grid_Stock'!AJ98</f>
        <v/>
      </c>
      <c r="AS103" s="15">
        <f>'Grid_Stock'!AK98</f>
        <v/>
      </c>
      <c r="AT103" s="15">
        <f>'Grid_Stock'!AL98</f>
        <v/>
      </c>
      <c r="AU103" s="15">
        <f>'Grid_Stock'!AM98</f>
        <v/>
      </c>
      <c r="AV103" s="15">
        <f>'Grid_Stock'!AN98</f>
        <v/>
      </c>
      <c r="AW103" s="15">
        <f>'Grid_Stock'!AO98</f>
        <v/>
      </c>
      <c r="AX103" s="15">
        <f>'Grid_Stock'!AP98</f>
        <v/>
      </c>
      <c r="AY103" s="15">
        <f>'Grid_Stock'!AQ98</f>
        <v/>
      </c>
      <c r="AZ103" s="15">
        <f>'Grid_Stock'!AR98</f>
        <v/>
      </c>
      <c r="BA103" s="15">
        <f>'Grid_Stock'!AS98</f>
        <v/>
      </c>
      <c r="BB103" s="15">
        <f>'Grid_Stock'!AT98</f>
        <v/>
      </c>
      <c r="BC103" s="15">
        <f>'Grid_Stock'!AU98</f>
        <v/>
      </c>
      <c r="BD103" s="15">
        <f>'Grid_Stock'!AV98</f>
        <v/>
      </c>
      <c r="BE103" s="15">
        <f>'Grid_Stock'!AW98</f>
        <v/>
      </c>
      <c r="BF103" s="15">
        <f>'Grid_Stock'!AX98</f>
        <v/>
      </c>
      <c r="BG103" s="15">
        <f>'Grid_Stock'!AY98</f>
        <v/>
      </c>
      <c r="BH103" s="15">
        <f>'Grid_Stock'!AZ98</f>
        <v/>
      </c>
      <c r="BI103" s="15">
        <f>'Grid_Stock'!BA98</f>
        <v/>
      </c>
      <c r="BJ103" s="15">
        <f>'Grid_Stock'!BB98</f>
        <v/>
      </c>
      <c r="BK103" s="15">
        <f>'Grid_Stock'!BC98</f>
        <v/>
      </c>
      <c r="BL103" s="15">
        <f>'Grid_Stock'!BD98</f>
        <v/>
      </c>
      <c r="BM103" s="15">
        <f>'Grid_Stock'!BE98</f>
        <v/>
      </c>
      <c r="BN103" s="15">
        <f>'Grid_Stock'!BF98</f>
        <v/>
      </c>
      <c r="BO103" s="15">
        <f>'Grid_Stock'!BG98</f>
        <v/>
      </c>
      <c r="BP103" s="15">
        <f>'Grid_Stock'!BH98</f>
        <v/>
      </c>
      <c r="BQ103" s="15">
        <f>'Grid_Stock'!BI98</f>
        <v/>
      </c>
      <c r="BR103" s="15">
        <f>'Grid_Stock'!BJ98</f>
        <v/>
      </c>
      <c r="BS103" s="15">
        <f>'Grid_Stock'!BK98</f>
        <v/>
      </c>
      <c r="BT103" s="15">
        <f>'Grid_Stock'!BL98</f>
        <v/>
      </c>
      <c r="BU103" s="15">
        <f>'Grid_Stock'!BM98</f>
        <v/>
      </c>
      <c r="BV103" s="15">
        <f>'Grid_Stock'!BN98</f>
        <v/>
      </c>
      <c r="BW103" s="15">
        <f>'Grid_Stock'!BO98</f>
        <v/>
      </c>
      <c r="BX103" s="15">
        <f>'Grid_Stock'!BP98</f>
        <v/>
      </c>
      <c r="BY103" s="15">
        <f>'Grid_Stock'!BQ98</f>
        <v/>
      </c>
      <c r="BZ103" s="15">
        <f>'Grid_Stock'!BR98</f>
        <v/>
      </c>
      <c r="CA103" s="15">
        <f>'Grid_Stock'!BS98</f>
        <v/>
      </c>
      <c r="CB103" s="15">
        <f>'Grid_Stock'!BT98</f>
        <v/>
      </c>
      <c r="CC103" s="15">
        <f>'Grid_Stock'!BU98</f>
        <v/>
      </c>
      <c r="CD103" s="15">
        <f>'Grid_Stock'!BV98</f>
        <v/>
      </c>
      <c r="CE103" s="15">
        <f>'Grid_Stock'!BW98</f>
        <v/>
      </c>
      <c r="CF103" s="15">
        <f>'Grid_Stock'!BX98</f>
        <v/>
      </c>
      <c r="CG103" s="15">
        <f>'Grid_Stock'!BY98</f>
        <v/>
      </c>
      <c r="CH103" s="15">
        <f>'Grid_Stock'!BZ98</f>
        <v/>
      </c>
      <c r="CI103" s="15">
        <f>'Grid_Stock'!CA98</f>
        <v/>
      </c>
      <c r="CJ103" s="15">
        <f>'Grid_Stock'!CB98</f>
        <v/>
      </c>
      <c r="CK103" s="15">
        <f>'Grid_Stock'!CC98</f>
        <v/>
      </c>
      <c r="CL103" s="15">
        <f>'Grid_Stock'!CD98</f>
        <v/>
      </c>
      <c r="CM103" s="15">
        <f>'Grid_Stock'!CE98</f>
        <v/>
      </c>
      <c r="CN103" s="15">
        <f>'Grid_Stock'!CF98</f>
        <v/>
      </c>
      <c r="CO103" s="15">
        <f>'Grid_Stock'!CG98</f>
        <v/>
      </c>
      <c r="CP103" s="15">
        <f>'Grid_Stock'!CH98</f>
        <v/>
      </c>
      <c r="CQ103" s="15">
        <f>'Grid_Stock'!CI98</f>
        <v/>
      </c>
      <c r="CR103" s="15">
        <f>'Grid_Stock'!CJ98</f>
        <v/>
      </c>
      <c r="CS103" s="15">
        <f>'Grid_Stock'!CK98</f>
        <v/>
      </c>
      <c r="CT103" s="15">
        <f>'Grid_Stock'!CL98</f>
        <v/>
      </c>
      <c r="CU103" s="15">
        <f>'Grid_Stock'!CM98</f>
        <v/>
      </c>
      <c r="CV103" s="15">
        <f>'Grid_Stock'!CN98</f>
        <v/>
      </c>
      <c r="CW103" s="15">
        <f>'Grid_Stock'!CO98</f>
        <v/>
      </c>
      <c r="CX103" s="15">
        <f>'Grid_Stock'!CP98</f>
        <v/>
      </c>
      <c r="CY103" s="15">
        <f>'Grid_Stock'!CQ98</f>
        <v/>
      </c>
      <c r="CZ103" s="15">
        <f>'Grid_Stock'!CR98</f>
        <v/>
      </c>
      <c r="DA103" s="15">
        <f>'Grid_Stock'!CS98</f>
        <v/>
      </c>
      <c r="DB103" s="15">
        <f>'Grid_Stock'!CT98</f>
        <v/>
      </c>
      <c r="DC103" s="15">
        <f>'Grid_Stock'!CU98</f>
        <v/>
      </c>
      <c r="DD103" s="15">
        <f>'Grid_Stock'!CV98</f>
        <v/>
      </c>
      <c r="DE103" s="15">
        <f>'Grid_Stock'!CW98</f>
        <v/>
      </c>
      <c r="DF103" s="15">
        <f>'Grid_Stock'!CX98</f>
        <v/>
      </c>
      <c r="DG103" s="15">
        <f>'Grid_Stock'!CY98</f>
        <v/>
      </c>
      <c r="DH103" s="15">
        <f>'Grid_Stock'!CZ98</f>
        <v/>
      </c>
      <c r="DI103" s="15">
        <f>'Grid_Stock'!DA98</f>
        <v/>
      </c>
    </row>
    <row r="104">
      <c r="A104" s="17" t="inlineStr">
        <is>
          <t>CHEM-1190</t>
        </is>
      </c>
      <c r="B104" s="17">
        <f>IFERROR(INDEX(M_RawMaterials[Description],MATCH($A104,M_RawMaterials[RM_Code],0)),"")</f>
        <v/>
      </c>
      <c r="C104" s="17">
        <f>IFERROR(INDEX(M_RawMaterials[Category],MATCH($A104,M_RawMaterials[RM_Code],0)),"")</f>
        <v/>
      </c>
      <c r="D104" s="17">
        <f>IFERROR(INDEX(M_RawMaterials[SafetyStock_Qty_要入力],MATCH($A104,M_RawMaterials[RM_Code],0)),0)</f>
        <v/>
      </c>
      <c r="E104" s="17">
        <f>IFERROR(LOOKUP(2,1/(T_SelfStock!$A$2:$A$12000=$A104),T_SelfStock!$D$2:$D$12000),"")</f>
        <v/>
      </c>
      <c r="F104" s="17">
        <f>IFERROR(LOOKUP(2,1/(T_TTAFStock!$A$2:$A$12000=$A104),T_TTAFStock!$D$2:$D$12000),"")</f>
        <v/>
      </c>
      <c r="G104" s="17">
        <f>IFERROR(INDEX(Cal_Weeks[Label],LOOKUP(2,1/(T_SelfStock!$A$2:$A$12000=$A104),T_SelfStock!$B$2:$B$12000)),"")</f>
        <v/>
      </c>
      <c r="H104" s="17">
        <f>IF(MIN(J104:DI104)&lt;D104,"要発注","OK")</f>
        <v/>
      </c>
      <c r="I104" s="16">
        <f>IFERROR(INDEX(J104:DI104,$F$1),"")</f>
        <v/>
      </c>
      <c r="J104" s="17">
        <f>'Grid_Stock'!B99</f>
        <v/>
      </c>
      <c r="K104" s="17">
        <f>'Grid_Stock'!C99</f>
        <v/>
      </c>
      <c r="L104" s="17">
        <f>'Grid_Stock'!D99</f>
        <v/>
      </c>
      <c r="M104" s="17">
        <f>'Grid_Stock'!E99</f>
        <v/>
      </c>
      <c r="N104" s="17">
        <f>'Grid_Stock'!F99</f>
        <v/>
      </c>
      <c r="O104" s="17">
        <f>'Grid_Stock'!G99</f>
        <v/>
      </c>
      <c r="P104" s="17">
        <f>'Grid_Stock'!H99</f>
        <v/>
      </c>
      <c r="Q104" s="17">
        <f>'Grid_Stock'!I99</f>
        <v/>
      </c>
      <c r="R104" s="17">
        <f>'Grid_Stock'!J99</f>
        <v/>
      </c>
      <c r="S104" s="17">
        <f>'Grid_Stock'!K99</f>
        <v/>
      </c>
      <c r="T104" s="17">
        <f>'Grid_Stock'!L99</f>
        <v/>
      </c>
      <c r="U104" s="17">
        <f>'Grid_Stock'!M99</f>
        <v/>
      </c>
      <c r="V104" s="17">
        <f>'Grid_Stock'!N99</f>
        <v/>
      </c>
      <c r="W104" s="17">
        <f>'Grid_Stock'!O99</f>
        <v/>
      </c>
      <c r="X104" s="17">
        <f>'Grid_Stock'!P99</f>
        <v/>
      </c>
      <c r="Y104" s="17">
        <f>'Grid_Stock'!Q99</f>
        <v/>
      </c>
      <c r="Z104" s="17">
        <f>'Grid_Stock'!R99</f>
        <v/>
      </c>
      <c r="AA104" s="17">
        <f>'Grid_Stock'!S99</f>
        <v/>
      </c>
      <c r="AB104" s="17">
        <f>'Grid_Stock'!T99</f>
        <v/>
      </c>
      <c r="AC104" s="17">
        <f>'Grid_Stock'!U99</f>
        <v/>
      </c>
      <c r="AD104" s="17">
        <f>'Grid_Stock'!V99</f>
        <v/>
      </c>
      <c r="AE104" s="17">
        <f>'Grid_Stock'!W99</f>
        <v/>
      </c>
      <c r="AF104" s="17">
        <f>'Grid_Stock'!X99</f>
        <v/>
      </c>
      <c r="AG104" s="17">
        <f>'Grid_Stock'!Y99</f>
        <v/>
      </c>
      <c r="AH104" s="17">
        <f>'Grid_Stock'!Z99</f>
        <v/>
      </c>
      <c r="AI104" s="17">
        <f>'Grid_Stock'!AA99</f>
        <v/>
      </c>
      <c r="AJ104" s="17">
        <f>'Grid_Stock'!AB99</f>
        <v/>
      </c>
      <c r="AK104" s="17">
        <f>'Grid_Stock'!AC99</f>
        <v/>
      </c>
      <c r="AL104" s="17">
        <f>'Grid_Stock'!AD99</f>
        <v/>
      </c>
      <c r="AM104" s="17">
        <f>'Grid_Stock'!AE99</f>
        <v/>
      </c>
      <c r="AN104" s="17">
        <f>'Grid_Stock'!AF99</f>
        <v/>
      </c>
      <c r="AO104" s="17">
        <f>'Grid_Stock'!AG99</f>
        <v/>
      </c>
      <c r="AP104" s="17">
        <f>'Grid_Stock'!AH99</f>
        <v/>
      </c>
      <c r="AQ104" s="17">
        <f>'Grid_Stock'!AI99</f>
        <v/>
      </c>
      <c r="AR104" s="17">
        <f>'Grid_Stock'!AJ99</f>
        <v/>
      </c>
      <c r="AS104" s="17">
        <f>'Grid_Stock'!AK99</f>
        <v/>
      </c>
      <c r="AT104" s="17">
        <f>'Grid_Stock'!AL99</f>
        <v/>
      </c>
      <c r="AU104" s="17">
        <f>'Grid_Stock'!AM99</f>
        <v/>
      </c>
      <c r="AV104" s="17">
        <f>'Grid_Stock'!AN99</f>
        <v/>
      </c>
      <c r="AW104" s="17">
        <f>'Grid_Stock'!AO99</f>
        <v/>
      </c>
      <c r="AX104" s="17">
        <f>'Grid_Stock'!AP99</f>
        <v/>
      </c>
      <c r="AY104" s="17">
        <f>'Grid_Stock'!AQ99</f>
        <v/>
      </c>
      <c r="AZ104" s="17">
        <f>'Grid_Stock'!AR99</f>
        <v/>
      </c>
      <c r="BA104" s="17">
        <f>'Grid_Stock'!AS99</f>
        <v/>
      </c>
      <c r="BB104" s="17">
        <f>'Grid_Stock'!AT99</f>
        <v/>
      </c>
      <c r="BC104" s="17">
        <f>'Grid_Stock'!AU99</f>
        <v/>
      </c>
      <c r="BD104" s="17">
        <f>'Grid_Stock'!AV99</f>
        <v/>
      </c>
      <c r="BE104" s="17">
        <f>'Grid_Stock'!AW99</f>
        <v/>
      </c>
      <c r="BF104" s="17">
        <f>'Grid_Stock'!AX99</f>
        <v/>
      </c>
      <c r="BG104" s="17">
        <f>'Grid_Stock'!AY99</f>
        <v/>
      </c>
      <c r="BH104" s="17">
        <f>'Grid_Stock'!AZ99</f>
        <v/>
      </c>
      <c r="BI104" s="17">
        <f>'Grid_Stock'!BA99</f>
        <v/>
      </c>
      <c r="BJ104" s="17">
        <f>'Grid_Stock'!BB99</f>
        <v/>
      </c>
      <c r="BK104" s="17">
        <f>'Grid_Stock'!BC99</f>
        <v/>
      </c>
      <c r="BL104" s="17">
        <f>'Grid_Stock'!BD99</f>
        <v/>
      </c>
      <c r="BM104" s="17">
        <f>'Grid_Stock'!BE99</f>
        <v/>
      </c>
      <c r="BN104" s="17">
        <f>'Grid_Stock'!BF99</f>
        <v/>
      </c>
      <c r="BO104" s="17">
        <f>'Grid_Stock'!BG99</f>
        <v/>
      </c>
      <c r="BP104" s="17">
        <f>'Grid_Stock'!BH99</f>
        <v/>
      </c>
      <c r="BQ104" s="17">
        <f>'Grid_Stock'!BI99</f>
        <v/>
      </c>
      <c r="BR104" s="17">
        <f>'Grid_Stock'!BJ99</f>
        <v/>
      </c>
      <c r="BS104" s="17">
        <f>'Grid_Stock'!BK99</f>
        <v/>
      </c>
      <c r="BT104" s="17">
        <f>'Grid_Stock'!BL99</f>
        <v/>
      </c>
      <c r="BU104" s="17">
        <f>'Grid_Stock'!BM99</f>
        <v/>
      </c>
      <c r="BV104" s="17">
        <f>'Grid_Stock'!BN99</f>
        <v/>
      </c>
      <c r="BW104" s="17">
        <f>'Grid_Stock'!BO99</f>
        <v/>
      </c>
      <c r="BX104" s="17">
        <f>'Grid_Stock'!BP99</f>
        <v/>
      </c>
      <c r="BY104" s="17">
        <f>'Grid_Stock'!BQ99</f>
        <v/>
      </c>
      <c r="BZ104" s="17">
        <f>'Grid_Stock'!BR99</f>
        <v/>
      </c>
      <c r="CA104" s="17">
        <f>'Grid_Stock'!BS99</f>
        <v/>
      </c>
      <c r="CB104" s="17">
        <f>'Grid_Stock'!BT99</f>
        <v/>
      </c>
      <c r="CC104" s="17">
        <f>'Grid_Stock'!BU99</f>
        <v/>
      </c>
      <c r="CD104" s="17">
        <f>'Grid_Stock'!BV99</f>
        <v/>
      </c>
      <c r="CE104" s="17">
        <f>'Grid_Stock'!BW99</f>
        <v/>
      </c>
      <c r="CF104" s="17">
        <f>'Grid_Stock'!BX99</f>
        <v/>
      </c>
      <c r="CG104" s="17">
        <f>'Grid_Stock'!BY99</f>
        <v/>
      </c>
      <c r="CH104" s="17">
        <f>'Grid_Stock'!BZ99</f>
        <v/>
      </c>
      <c r="CI104" s="17">
        <f>'Grid_Stock'!CA99</f>
        <v/>
      </c>
      <c r="CJ104" s="17">
        <f>'Grid_Stock'!CB99</f>
        <v/>
      </c>
      <c r="CK104" s="17">
        <f>'Grid_Stock'!CC99</f>
        <v/>
      </c>
      <c r="CL104" s="17">
        <f>'Grid_Stock'!CD99</f>
        <v/>
      </c>
      <c r="CM104" s="17">
        <f>'Grid_Stock'!CE99</f>
        <v/>
      </c>
      <c r="CN104" s="17">
        <f>'Grid_Stock'!CF99</f>
        <v/>
      </c>
      <c r="CO104" s="17">
        <f>'Grid_Stock'!CG99</f>
        <v/>
      </c>
      <c r="CP104" s="17">
        <f>'Grid_Stock'!CH99</f>
        <v/>
      </c>
      <c r="CQ104" s="17">
        <f>'Grid_Stock'!CI99</f>
        <v/>
      </c>
      <c r="CR104" s="17">
        <f>'Grid_Stock'!CJ99</f>
        <v/>
      </c>
      <c r="CS104" s="17">
        <f>'Grid_Stock'!CK99</f>
        <v/>
      </c>
      <c r="CT104" s="17">
        <f>'Grid_Stock'!CL99</f>
        <v/>
      </c>
      <c r="CU104" s="17">
        <f>'Grid_Stock'!CM99</f>
        <v/>
      </c>
      <c r="CV104" s="17">
        <f>'Grid_Stock'!CN99</f>
        <v/>
      </c>
      <c r="CW104" s="17">
        <f>'Grid_Stock'!CO99</f>
        <v/>
      </c>
      <c r="CX104" s="17">
        <f>'Grid_Stock'!CP99</f>
        <v/>
      </c>
      <c r="CY104" s="17">
        <f>'Grid_Stock'!CQ99</f>
        <v/>
      </c>
      <c r="CZ104" s="17">
        <f>'Grid_Stock'!CR99</f>
        <v/>
      </c>
      <c r="DA104" s="17">
        <f>'Grid_Stock'!CS99</f>
        <v/>
      </c>
      <c r="DB104" s="17">
        <f>'Grid_Stock'!CT99</f>
        <v/>
      </c>
      <c r="DC104" s="17">
        <f>'Grid_Stock'!CU99</f>
        <v/>
      </c>
      <c r="DD104" s="17">
        <f>'Grid_Stock'!CV99</f>
        <v/>
      </c>
      <c r="DE104" s="17">
        <f>'Grid_Stock'!CW99</f>
        <v/>
      </c>
      <c r="DF104" s="17">
        <f>'Grid_Stock'!CX99</f>
        <v/>
      </c>
      <c r="DG104" s="17">
        <f>'Grid_Stock'!CY99</f>
        <v/>
      </c>
      <c r="DH104" s="17">
        <f>'Grid_Stock'!CZ99</f>
        <v/>
      </c>
      <c r="DI104" s="17">
        <f>'Grid_Stock'!DA99</f>
        <v/>
      </c>
    </row>
    <row r="105">
      <c r="A105" s="15" t="inlineStr">
        <is>
          <t>CHEM-1630</t>
        </is>
      </c>
      <c r="B105" s="15">
        <f>IFERROR(INDEX(M_RawMaterials[Description],MATCH($A105,M_RawMaterials[RM_Code],0)),"")</f>
        <v/>
      </c>
      <c r="C105" s="15">
        <f>IFERROR(INDEX(M_RawMaterials[Category],MATCH($A105,M_RawMaterials[RM_Code],0)),"")</f>
        <v/>
      </c>
      <c r="D105" s="15">
        <f>IFERROR(INDEX(M_RawMaterials[SafetyStock_Qty_要入力],MATCH($A105,M_RawMaterials[RM_Code],0)),0)</f>
        <v/>
      </c>
      <c r="E105" s="15">
        <f>IFERROR(LOOKUP(2,1/(T_SelfStock!$A$2:$A$12000=$A105),T_SelfStock!$D$2:$D$12000),"")</f>
        <v/>
      </c>
      <c r="F105" s="15">
        <f>IFERROR(LOOKUP(2,1/(T_TTAFStock!$A$2:$A$12000=$A105),T_TTAFStock!$D$2:$D$12000),"")</f>
        <v/>
      </c>
      <c r="G105" s="15">
        <f>IFERROR(INDEX(Cal_Weeks[Label],LOOKUP(2,1/(T_SelfStock!$A$2:$A$12000=$A105),T_SelfStock!$B$2:$B$12000)),"")</f>
        <v/>
      </c>
      <c r="H105" s="15">
        <f>IF(MIN(J105:DI105)&lt;D105,"要発注","OK")</f>
        <v/>
      </c>
      <c r="I105" s="16">
        <f>IFERROR(INDEX(J105:DI105,$F$1),"")</f>
        <v/>
      </c>
      <c r="J105" s="15">
        <f>'Grid_Stock'!B100</f>
        <v/>
      </c>
      <c r="K105" s="15">
        <f>'Grid_Stock'!C100</f>
        <v/>
      </c>
      <c r="L105" s="15">
        <f>'Grid_Stock'!D100</f>
        <v/>
      </c>
      <c r="M105" s="15">
        <f>'Grid_Stock'!E100</f>
        <v/>
      </c>
      <c r="N105" s="15">
        <f>'Grid_Stock'!F100</f>
        <v/>
      </c>
      <c r="O105" s="15">
        <f>'Grid_Stock'!G100</f>
        <v/>
      </c>
      <c r="P105" s="15">
        <f>'Grid_Stock'!H100</f>
        <v/>
      </c>
      <c r="Q105" s="15">
        <f>'Grid_Stock'!I100</f>
        <v/>
      </c>
      <c r="R105" s="15">
        <f>'Grid_Stock'!J100</f>
        <v/>
      </c>
      <c r="S105" s="15">
        <f>'Grid_Stock'!K100</f>
        <v/>
      </c>
      <c r="T105" s="15">
        <f>'Grid_Stock'!L100</f>
        <v/>
      </c>
      <c r="U105" s="15">
        <f>'Grid_Stock'!M100</f>
        <v/>
      </c>
      <c r="V105" s="15">
        <f>'Grid_Stock'!N100</f>
        <v/>
      </c>
      <c r="W105" s="15">
        <f>'Grid_Stock'!O100</f>
        <v/>
      </c>
      <c r="X105" s="15">
        <f>'Grid_Stock'!P100</f>
        <v/>
      </c>
      <c r="Y105" s="15">
        <f>'Grid_Stock'!Q100</f>
        <v/>
      </c>
      <c r="Z105" s="15">
        <f>'Grid_Stock'!R100</f>
        <v/>
      </c>
      <c r="AA105" s="15">
        <f>'Grid_Stock'!S100</f>
        <v/>
      </c>
      <c r="AB105" s="15">
        <f>'Grid_Stock'!T100</f>
        <v/>
      </c>
      <c r="AC105" s="15">
        <f>'Grid_Stock'!U100</f>
        <v/>
      </c>
      <c r="AD105" s="15">
        <f>'Grid_Stock'!V100</f>
        <v/>
      </c>
      <c r="AE105" s="15">
        <f>'Grid_Stock'!W100</f>
        <v/>
      </c>
      <c r="AF105" s="15">
        <f>'Grid_Stock'!X100</f>
        <v/>
      </c>
      <c r="AG105" s="15">
        <f>'Grid_Stock'!Y100</f>
        <v/>
      </c>
      <c r="AH105" s="15">
        <f>'Grid_Stock'!Z100</f>
        <v/>
      </c>
      <c r="AI105" s="15">
        <f>'Grid_Stock'!AA100</f>
        <v/>
      </c>
      <c r="AJ105" s="15">
        <f>'Grid_Stock'!AB100</f>
        <v/>
      </c>
      <c r="AK105" s="15">
        <f>'Grid_Stock'!AC100</f>
        <v/>
      </c>
      <c r="AL105" s="15">
        <f>'Grid_Stock'!AD100</f>
        <v/>
      </c>
      <c r="AM105" s="15">
        <f>'Grid_Stock'!AE100</f>
        <v/>
      </c>
      <c r="AN105" s="15">
        <f>'Grid_Stock'!AF100</f>
        <v/>
      </c>
      <c r="AO105" s="15">
        <f>'Grid_Stock'!AG100</f>
        <v/>
      </c>
      <c r="AP105" s="15">
        <f>'Grid_Stock'!AH100</f>
        <v/>
      </c>
      <c r="AQ105" s="15">
        <f>'Grid_Stock'!AI100</f>
        <v/>
      </c>
      <c r="AR105" s="15">
        <f>'Grid_Stock'!AJ100</f>
        <v/>
      </c>
      <c r="AS105" s="15">
        <f>'Grid_Stock'!AK100</f>
        <v/>
      </c>
      <c r="AT105" s="15">
        <f>'Grid_Stock'!AL100</f>
        <v/>
      </c>
      <c r="AU105" s="15">
        <f>'Grid_Stock'!AM100</f>
        <v/>
      </c>
      <c r="AV105" s="15">
        <f>'Grid_Stock'!AN100</f>
        <v/>
      </c>
      <c r="AW105" s="15">
        <f>'Grid_Stock'!AO100</f>
        <v/>
      </c>
      <c r="AX105" s="15">
        <f>'Grid_Stock'!AP100</f>
        <v/>
      </c>
      <c r="AY105" s="15">
        <f>'Grid_Stock'!AQ100</f>
        <v/>
      </c>
      <c r="AZ105" s="15">
        <f>'Grid_Stock'!AR100</f>
        <v/>
      </c>
      <c r="BA105" s="15">
        <f>'Grid_Stock'!AS100</f>
        <v/>
      </c>
      <c r="BB105" s="15">
        <f>'Grid_Stock'!AT100</f>
        <v/>
      </c>
      <c r="BC105" s="15">
        <f>'Grid_Stock'!AU100</f>
        <v/>
      </c>
      <c r="BD105" s="15">
        <f>'Grid_Stock'!AV100</f>
        <v/>
      </c>
      <c r="BE105" s="15">
        <f>'Grid_Stock'!AW100</f>
        <v/>
      </c>
      <c r="BF105" s="15">
        <f>'Grid_Stock'!AX100</f>
        <v/>
      </c>
      <c r="BG105" s="15">
        <f>'Grid_Stock'!AY100</f>
        <v/>
      </c>
      <c r="BH105" s="15">
        <f>'Grid_Stock'!AZ100</f>
        <v/>
      </c>
      <c r="BI105" s="15">
        <f>'Grid_Stock'!BA100</f>
        <v/>
      </c>
      <c r="BJ105" s="15">
        <f>'Grid_Stock'!BB100</f>
        <v/>
      </c>
      <c r="BK105" s="15">
        <f>'Grid_Stock'!BC100</f>
        <v/>
      </c>
      <c r="BL105" s="15">
        <f>'Grid_Stock'!BD100</f>
        <v/>
      </c>
      <c r="BM105" s="15">
        <f>'Grid_Stock'!BE100</f>
        <v/>
      </c>
      <c r="BN105" s="15">
        <f>'Grid_Stock'!BF100</f>
        <v/>
      </c>
      <c r="BO105" s="15">
        <f>'Grid_Stock'!BG100</f>
        <v/>
      </c>
      <c r="BP105" s="15">
        <f>'Grid_Stock'!BH100</f>
        <v/>
      </c>
      <c r="BQ105" s="15">
        <f>'Grid_Stock'!BI100</f>
        <v/>
      </c>
      <c r="BR105" s="15">
        <f>'Grid_Stock'!BJ100</f>
        <v/>
      </c>
      <c r="BS105" s="15">
        <f>'Grid_Stock'!BK100</f>
        <v/>
      </c>
      <c r="BT105" s="15">
        <f>'Grid_Stock'!BL100</f>
        <v/>
      </c>
      <c r="BU105" s="15">
        <f>'Grid_Stock'!BM100</f>
        <v/>
      </c>
      <c r="BV105" s="15">
        <f>'Grid_Stock'!BN100</f>
        <v/>
      </c>
      <c r="BW105" s="15">
        <f>'Grid_Stock'!BO100</f>
        <v/>
      </c>
      <c r="BX105" s="15">
        <f>'Grid_Stock'!BP100</f>
        <v/>
      </c>
      <c r="BY105" s="15">
        <f>'Grid_Stock'!BQ100</f>
        <v/>
      </c>
      <c r="BZ105" s="15">
        <f>'Grid_Stock'!BR100</f>
        <v/>
      </c>
      <c r="CA105" s="15">
        <f>'Grid_Stock'!BS100</f>
        <v/>
      </c>
      <c r="CB105" s="15">
        <f>'Grid_Stock'!BT100</f>
        <v/>
      </c>
      <c r="CC105" s="15">
        <f>'Grid_Stock'!BU100</f>
        <v/>
      </c>
      <c r="CD105" s="15">
        <f>'Grid_Stock'!BV100</f>
        <v/>
      </c>
      <c r="CE105" s="15">
        <f>'Grid_Stock'!BW100</f>
        <v/>
      </c>
      <c r="CF105" s="15">
        <f>'Grid_Stock'!BX100</f>
        <v/>
      </c>
      <c r="CG105" s="15">
        <f>'Grid_Stock'!BY100</f>
        <v/>
      </c>
      <c r="CH105" s="15">
        <f>'Grid_Stock'!BZ100</f>
        <v/>
      </c>
      <c r="CI105" s="15">
        <f>'Grid_Stock'!CA100</f>
        <v/>
      </c>
      <c r="CJ105" s="15">
        <f>'Grid_Stock'!CB100</f>
        <v/>
      </c>
      <c r="CK105" s="15">
        <f>'Grid_Stock'!CC100</f>
        <v/>
      </c>
      <c r="CL105" s="15">
        <f>'Grid_Stock'!CD100</f>
        <v/>
      </c>
      <c r="CM105" s="15">
        <f>'Grid_Stock'!CE100</f>
        <v/>
      </c>
      <c r="CN105" s="15">
        <f>'Grid_Stock'!CF100</f>
        <v/>
      </c>
      <c r="CO105" s="15">
        <f>'Grid_Stock'!CG100</f>
        <v/>
      </c>
      <c r="CP105" s="15">
        <f>'Grid_Stock'!CH100</f>
        <v/>
      </c>
      <c r="CQ105" s="15">
        <f>'Grid_Stock'!CI100</f>
        <v/>
      </c>
      <c r="CR105" s="15">
        <f>'Grid_Stock'!CJ100</f>
        <v/>
      </c>
      <c r="CS105" s="15">
        <f>'Grid_Stock'!CK100</f>
        <v/>
      </c>
      <c r="CT105" s="15">
        <f>'Grid_Stock'!CL100</f>
        <v/>
      </c>
      <c r="CU105" s="15">
        <f>'Grid_Stock'!CM100</f>
        <v/>
      </c>
      <c r="CV105" s="15">
        <f>'Grid_Stock'!CN100</f>
        <v/>
      </c>
      <c r="CW105" s="15">
        <f>'Grid_Stock'!CO100</f>
        <v/>
      </c>
      <c r="CX105" s="15">
        <f>'Grid_Stock'!CP100</f>
        <v/>
      </c>
      <c r="CY105" s="15">
        <f>'Grid_Stock'!CQ100</f>
        <v/>
      </c>
      <c r="CZ105" s="15">
        <f>'Grid_Stock'!CR100</f>
        <v/>
      </c>
      <c r="DA105" s="15">
        <f>'Grid_Stock'!CS100</f>
        <v/>
      </c>
      <c r="DB105" s="15">
        <f>'Grid_Stock'!CT100</f>
        <v/>
      </c>
      <c r="DC105" s="15">
        <f>'Grid_Stock'!CU100</f>
        <v/>
      </c>
      <c r="DD105" s="15">
        <f>'Grid_Stock'!CV100</f>
        <v/>
      </c>
      <c r="DE105" s="15">
        <f>'Grid_Stock'!CW100</f>
        <v/>
      </c>
      <c r="DF105" s="15">
        <f>'Grid_Stock'!CX100</f>
        <v/>
      </c>
      <c r="DG105" s="15">
        <f>'Grid_Stock'!CY100</f>
        <v/>
      </c>
      <c r="DH105" s="15">
        <f>'Grid_Stock'!CZ100</f>
        <v/>
      </c>
      <c r="DI105" s="15">
        <f>'Grid_Stock'!DA100</f>
        <v/>
      </c>
    </row>
    <row r="106">
      <c r="A106" s="17" t="inlineStr">
        <is>
          <t>CHEM-1090</t>
        </is>
      </c>
      <c r="B106" s="17">
        <f>IFERROR(INDEX(M_RawMaterials[Description],MATCH($A106,M_RawMaterials[RM_Code],0)),"")</f>
        <v/>
      </c>
      <c r="C106" s="17">
        <f>IFERROR(INDEX(M_RawMaterials[Category],MATCH($A106,M_RawMaterials[RM_Code],0)),"")</f>
        <v/>
      </c>
      <c r="D106" s="17">
        <f>IFERROR(INDEX(M_RawMaterials[SafetyStock_Qty_要入力],MATCH($A106,M_RawMaterials[RM_Code],0)),0)</f>
        <v/>
      </c>
      <c r="E106" s="17">
        <f>IFERROR(LOOKUP(2,1/(T_SelfStock!$A$2:$A$12000=$A106),T_SelfStock!$D$2:$D$12000),"")</f>
        <v/>
      </c>
      <c r="F106" s="17">
        <f>IFERROR(LOOKUP(2,1/(T_TTAFStock!$A$2:$A$12000=$A106),T_TTAFStock!$D$2:$D$12000),"")</f>
        <v/>
      </c>
      <c r="G106" s="17">
        <f>IFERROR(INDEX(Cal_Weeks[Label],LOOKUP(2,1/(T_SelfStock!$A$2:$A$12000=$A106),T_SelfStock!$B$2:$B$12000)),"")</f>
        <v/>
      </c>
      <c r="H106" s="17">
        <f>IF(MIN(J106:DI106)&lt;D106,"要発注","OK")</f>
        <v/>
      </c>
      <c r="I106" s="16">
        <f>IFERROR(INDEX(J106:DI106,$F$1),"")</f>
        <v/>
      </c>
      <c r="J106" s="17">
        <f>'Grid_Stock'!B101</f>
        <v/>
      </c>
      <c r="K106" s="17">
        <f>'Grid_Stock'!C101</f>
        <v/>
      </c>
      <c r="L106" s="17">
        <f>'Grid_Stock'!D101</f>
        <v/>
      </c>
      <c r="M106" s="17">
        <f>'Grid_Stock'!E101</f>
        <v/>
      </c>
      <c r="N106" s="17">
        <f>'Grid_Stock'!F101</f>
        <v/>
      </c>
      <c r="O106" s="17">
        <f>'Grid_Stock'!G101</f>
        <v/>
      </c>
      <c r="P106" s="17">
        <f>'Grid_Stock'!H101</f>
        <v/>
      </c>
      <c r="Q106" s="17">
        <f>'Grid_Stock'!I101</f>
        <v/>
      </c>
      <c r="R106" s="17">
        <f>'Grid_Stock'!J101</f>
        <v/>
      </c>
      <c r="S106" s="17">
        <f>'Grid_Stock'!K101</f>
        <v/>
      </c>
      <c r="T106" s="17">
        <f>'Grid_Stock'!L101</f>
        <v/>
      </c>
      <c r="U106" s="17">
        <f>'Grid_Stock'!M101</f>
        <v/>
      </c>
      <c r="V106" s="17">
        <f>'Grid_Stock'!N101</f>
        <v/>
      </c>
      <c r="W106" s="17">
        <f>'Grid_Stock'!O101</f>
        <v/>
      </c>
      <c r="X106" s="17">
        <f>'Grid_Stock'!P101</f>
        <v/>
      </c>
      <c r="Y106" s="17">
        <f>'Grid_Stock'!Q101</f>
        <v/>
      </c>
      <c r="Z106" s="17">
        <f>'Grid_Stock'!R101</f>
        <v/>
      </c>
      <c r="AA106" s="17">
        <f>'Grid_Stock'!S101</f>
        <v/>
      </c>
      <c r="AB106" s="17">
        <f>'Grid_Stock'!T101</f>
        <v/>
      </c>
      <c r="AC106" s="17">
        <f>'Grid_Stock'!U101</f>
        <v/>
      </c>
      <c r="AD106" s="17">
        <f>'Grid_Stock'!V101</f>
        <v/>
      </c>
      <c r="AE106" s="17">
        <f>'Grid_Stock'!W101</f>
        <v/>
      </c>
      <c r="AF106" s="17">
        <f>'Grid_Stock'!X101</f>
        <v/>
      </c>
      <c r="AG106" s="17">
        <f>'Grid_Stock'!Y101</f>
        <v/>
      </c>
      <c r="AH106" s="17">
        <f>'Grid_Stock'!Z101</f>
        <v/>
      </c>
      <c r="AI106" s="17">
        <f>'Grid_Stock'!AA101</f>
        <v/>
      </c>
      <c r="AJ106" s="17">
        <f>'Grid_Stock'!AB101</f>
        <v/>
      </c>
      <c r="AK106" s="17">
        <f>'Grid_Stock'!AC101</f>
        <v/>
      </c>
      <c r="AL106" s="17">
        <f>'Grid_Stock'!AD101</f>
        <v/>
      </c>
      <c r="AM106" s="17">
        <f>'Grid_Stock'!AE101</f>
        <v/>
      </c>
      <c r="AN106" s="17">
        <f>'Grid_Stock'!AF101</f>
        <v/>
      </c>
      <c r="AO106" s="17">
        <f>'Grid_Stock'!AG101</f>
        <v/>
      </c>
      <c r="AP106" s="17">
        <f>'Grid_Stock'!AH101</f>
        <v/>
      </c>
      <c r="AQ106" s="17">
        <f>'Grid_Stock'!AI101</f>
        <v/>
      </c>
      <c r="AR106" s="17">
        <f>'Grid_Stock'!AJ101</f>
        <v/>
      </c>
      <c r="AS106" s="17">
        <f>'Grid_Stock'!AK101</f>
        <v/>
      </c>
      <c r="AT106" s="17">
        <f>'Grid_Stock'!AL101</f>
        <v/>
      </c>
      <c r="AU106" s="17">
        <f>'Grid_Stock'!AM101</f>
        <v/>
      </c>
      <c r="AV106" s="17">
        <f>'Grid_Stock'!AN101</f>
        <v/>
      </c>
      <c r="AW106" s="17">
        <f>'Grid_Stock'!AO101</f>
        <v/>
      </c>
      <c r="AX106" s="17">
        <f>'Grid_Stock'!AP101</f>
        <v/>
      </c>
      <c r="AY106" s="17">
        <f>'Grid_Stock'!AQ101</f>
        <v/>
      </c>
      <c r="AZ106" s="17">
        <f>'Grid_Stock'!AR101</f>
        <v/>
      </c>
      <c r="BA106" s="17">
        <f>'Grid_Stock'!AS101</f>
        <v/>
      </c>
      <c r="BB106" s="17">
        <f>'Grid_Stock'!AT101</f>
        <v/>
      </c>
      <c r="BC106" s="17">
        <f>'Grid_Stock'!AU101</f>
        <v/>
      </c>
      <c r="BD106" s="17">
        <f>'Grid_Stock'!AV101</f>
        <v/>
      </c>
      <c r="BE106" s="17">
        <f>'Grid_Stock'!AW101</f>
        <v/>
      </c>
      <c r="BF106" s="17">
        <f>'Grid_Stock'!AX101</f>
        <v/>
      </c>
      <c r="BG106" s="17">
        <f>'Grid_Stock'!AY101</f>
        <v/>
      </c>
      <c r="BH106" s="17">
        <f>'Grid_Stock'!AZ101</f>
        <v/>
      </c>
      <c r="BI106" s="17">
        <f>'Grid_Stock'!BA101</f>
        <v/>
      </c>
      <c r="BJ106" s="17">
        <f>'Grid_Stock'!BB101</f>
        <v/>
      </c>
      <c r="BK106" s="17">
        <f>'Grid_Stock'!BC101</f>
        <v/>
      </c>
      <c r="BL106" s="17">
        <f>'Grid_Stock'!BD101</f>
        <v/>
      </c>
      <c r="BM106" s="17">
        <f>'Grid_Stock'!BE101</f>
        <v/>
      </c>
      <c r="BN106" s="17">
        <f>'Grid_Stock'!BF101</f>
        <v/>
      </c>
      <c r="BO106" s="17">
        <f>'Grid_Stock'!BG101</f>
        <v/>
      </c>
      <c r="BP106" s="17">
        <f>'Grid_Stock'!BH101</f>
        <v/>
      </c>
      <c r="BQ106" s="17">
        <f>'Grid_Stock'!BI101</f>
        <v/>
      </c>
      <c r="BR106" s="17">
        <f>'Grid_Stock'!BJ101</f>
        <v/>
      </c>
      <c r="BS106" s="17">
        <f>'Grid_Stock'!BK101</f>
        <v/>
      </c>
      <c r="BT106" s="17">
        <f>'Grid_Stock'!BL101</f>
        <v/>
      </c>
      <c r="BU106" s="17">
        <f>'Grid_Stock'!BM101</f>
        <v/>
      </c>
      <c r="BV106" s="17">
        <f>'Grid_Stock'!BN101</f>
        <v/>
      </c>
      <c r="BW106" s="17">
        <f>'Grid_Stock'!BO101</f>
        <v/>
      </c>
      <c r="BX106" s="17">
        <f>'Grid_Stock'!BP101</f>
        <v/>
      </c>
      <c r="BY106" s="17">
        <f>'Grid_Stock'!BQ101</f>
        <v/>
      </c>
      <c r="BZ106" s="17">
        <f>'Grid_Stock'!BR101</f>
        <v/>
      </c>
      <c r="CA106" s="17">
        <f>'Grid_Stock'!BS101</f>
        <v/>
      </c>
      <c r="CB106" s="17">
        <f>'Grid_Stock'!BT101</f>
        <v/>
      </c>
      <c r="CC106" s="17">
        <f>'Grid_Stock'!BU101</f>
        <v/>
      </c>
      <c r="CD106" s="17">
        <f>'Grid_Stock'!BV101</f>
        <v/>
      </c>
      <c r="CE106" s="17">
        <f>'Grid_Stock'!BW101</f>
        <v/>
      </c>
      <c r="CF106" s="17">
        <f>'Grid_Stock'!BX101</f>
        <v/>
      </c>
      <c r="CG106" s="17">
        <f>'Grid_Stock'!BY101</f>
        <v/>
      </c>
      <c r="CH106" s="17">
        <f>'Grid_Stock'!BZ101</f>
        <v/>
      </c>
      <c r="CI106" s="17">
        <f>'Grid_Stock'!CA101</f>
        <v/>
      </c>
      <c r="CJ106" s="17">
        <f>'Grid_Stock'!CB101</f>
        <v/>
      </c>
      <c r="CK106" s="17">
        <f>'Grid_Stock'!CC101</f>
        <v/>
      </c>
      <c r="CL106" s="17">
        <f>'Grid_Stock'!CD101</f>
        <v/>
      </c>
      <c r="CM106" s="17">
        <f>'Grid_Stock'!CE101</f>
        <v/>
      </c>
      <c r="CN106" s="17">
        <f>'Grid_Stock'!CF101</f>
        <v/>
      </c>
      <c r="CO106" s="17">
        <f>'Grid_Stock'!CG101</f>
        <v/>
      </c>
      <c r="CP106" s="17">
        <f>'Grid_Stock'!CH101</f>
        <v/>
      </c>
      <c r="CQ106" s="17">
        <f>'Grid_Stock'!CI101</f>
        <v/>
      </c>
      <c r="CR106" s="17">
        <f>'Grid_Stock'!CJ101</f>
        <v/>
      </c>
      <c r="CS106" s="17">
        <f>'Grid_Stock'!CK101</f>
        <v/>
      </c>
      <c r="CT106" s="17">
        <f>'Grid_Stock'!CL101</f>
        <v/>
      </c>
      <c r="CU106" s="17">
        <f>'Grid_Stock'!CM101</f>
        <v/>
      </c>
      <c r="CV106" s="17">
        <f>'Grid_Stock'!CN101</f>
        <v/>
      </c>
      <c r="CW106" s="17">
        <f>'Grid_Stock'!CO101</f>
        <v/>
      </c>
      <c r="CX106" s="17">
        <f>'Grid_Stock'!CP101</f>
        <v/>
      </c>
      <c r="CY106" s="17">
        <f>'Grid_Stock'!CQ101</f>
        <v/>
      </c>
      <c r="CZ106" s="17">
        <f>'Grid_Stock'!CR101</f>
        <v/>
      </c>
      <c r="DA106" s="17">
        <f>'Grid_Stock'!CS101</f>
        <v/>
      </c>
      <c r="DB106" s="17">
        <f>'Grid_Stock'!CT101</f>
        <v/>
      </c>
      <c r="DC106" s="17">
        <f>'Grid_Stock'!CU101</f>
        <v/>
      </c>
      <c r="DD106" s="17">
        <f>'Grid_Stock'!CV101</f>
        <v/>
      </c>
      <c r="DE106" s="17">
        <f>'Grid_Stock'!CW101</f>
        <v/>
      </c>
      <c r="DF106" s="17">
        <f>'Grid_Stock'!CX101</f>
        <v/>
      </c>
      <c r="DG106" s="17">
        <f>'Grid_Stock'!CY101</f>
        <v/>
      </c>
      <c r="DH106" s="17">
        <f>'Grid_Stock'!CZ101</f>
        <v/>
      </c>
      <c r="DI106" s="17">
        <f>'Grid_Stock'!DA101</f>
        <v/>
      </c>
    </row>
    <row r="107">
      <c r="A107" s="15" t="inlineStr">
        <is>
          <t>CHEM-1310</t>
        </is>
      </c>
      <c r="B107" s="15">
        <f>IFERROR(INDEX(M_RawMaterials[Description],MATCH($A107,M_RawMaterials[RM_Code],0)),"")</f>
        <v/>
      </c>
      <c r="C107" s="15">
        <f>IFERROR(INDEX(M_RawMaterials[Category],MATCH($A107,M_RawMaterials[RM_Code],0)),"")</f>
        <v/>
      </c>
      <c r="D107" s="15">
        <f>IFERROR(INDEX(M_RawMaterials[SafetyStock_Qty_要入力],MATCH($A107,M_RawMaterials[RM_Code],0)),0)</f>
        <v/>
      </c>
      <c r="E107" s="15">
        <f>IFERROR(LOOKUP(2,1/(T_SelfStock!$A$2:$A$12000=$A107),T_SelfStock!$D$2:$D$12000),"")</f>
        <v/>
      </c>
      <c r="F107" s="15">
        <f>IFERROR(LOOKUP(2,1/(T_TTAFStock!$A$2:$A$12000=$A107),T_TTAFStock!$D$2:$D$12000),"")</f>
        <v/>
      </c>
      <c r="G107" s="15">
        <f>IFERROR(INDEX(Cal_Weeks[Label],LOOKUP(2,1/(T_SelfStock!$A$2:$A$12000=$A107),T_SelfStock!$B$2:$B$12000)),"")</f>
        <v/>
      </c>
      <c r="H107" s="15">
        <f>IF(MIN(J107:DI107)&lt;D107,"要発注","OK")</f>
        <v/>
      </c>
      <c r="I107" s="16">
        <f>IFERROR(INDEX(J107:DI107,$F$1),"")</f>
        <v/>
      </c>
      <c r="J107" s="15">
        <f>'Grid_Stock'!B102</f>
        <v/>
      </c>
      <c r="K107" s="15">
        <f>'Grid_Stock'!C102</f>
        <v/>
      </c>
      <c r="L107" s="15">
        <f>'Grid_Stock'!D102</f>
        <v/>
      </c>
      <c r="M107" s="15">
        <f>'Grid_Stock'!E102</f>
        <v/>
      </c>
      <c r="N107" s="15">
        <f>'Grid_Stock'!F102</f>
        <v/>
      </c>
      <c r="O107" s="15">
        <f>'Grid_Stock'!G102</f>
        <v/>
      </c>
      <c r="P107" s="15">
        <f>'Grid_Stock'!H102</f>
        <v/>
      </c>
      <c r="Q107" s="15">
        <f>'Grid_Stock'!I102</f>
        <v/>
      </c>
      <c r="R107" s="15">
        <f>'Grid_Stock'!J102</f>
        <v/>
      </c>
      <c r="S107" s="15">
        <f>'Grid_Stock'!K102</f>
        <v/>
      </c>
      <c r="T107" s="15">
        <f>'Grid_Stock'!L102</f>
        <v/>
      </c>
      <c r="U107" s="15">
        <f>'Grid_Stock'!M102</f>
        <v/>
      </c>
      <c r="V107" s="15">
        <f>'Grid_Stock'!N102</f>
        <v/>
      </c>
      <c r="W107" s="15">
        <f>'Grid_Stock'!O102</f>
        <v/>
      </c>
      <c r="X107" s="15">
        <f>'Grid_Stock'!P102</f>
        <v/>
      </c>
      <c r="Y107" s="15">
        <f>'Grid_Stock'!Q102</f>
        <v/>
      </c>
      <c r="Z107" s="15">
        <f>'Grid_Stock'!R102</f>
        <v/>
      </c>
      <c r="AA107" s="15">
        <f>'Grid_Stock'!S102</f>
        <v/>
      </c>
      <c r="AB107" s="15">
        <f>'Grid_Stock'!T102</f>
        <v/>
      </c>
      <c r="AC107" s="15">
        <f>'Grid_Stock'!U102</f>
        <v/>
      </c>
      <c r="AD107" s="15">
        <f>'Grid_Stock'!V102</f>
        <v/>
      </c>
      <c r="AE107" s="15">
        <f>'Grid_Stock'!W102</f>
        <v/>
      </c>
      <c r="AF107" s="15">
        <f>'Grid_Stock'!X102</f>
        <v/>
      </c>
      <c r="AG107" s="15">
        <f>'Grid_Stock'!Y102</f>
        <v/>
      </c>
      <c r="AH107" s="15">
        <f>'Grid_Stock'!Z102</f>
        <v/>
      </c>
      <c r="AI107" s="15">
        <f>'Grid_Stock'!AA102</f>
        <v/>
      </c>
      <c r="AJ107" s="15">
        <f>'Grid_Stock'!AB102</f>
        <v/>
      </c>
      <c r="AK107" s="15">
        <f>'Grid_Stock'!AC102</f>
        <v/>
      </c>
      <c r="AL107" s="15">
        <f>'Grid_Stock'!AD102</f>
        <v/>
      </c>
      <c r="AM107" s="15">
        <f>'Grid_Stock'!AE102</f>
        <v/>
      </c>
      <c r="AN107" s="15">
        <f>'Grid_Stock'!AF102</f>
        <v/>
      </c>
      <c r="AO107" s="15">
        <f>'Grid_Stock'!AG102</f>
        <v/>
      </c>
      <c r="AP107" s="15">
        <f>'Grid_Stock'!AH102</f>
        <v/>
      </c>
      <c r="AQ107" s="15">
        <f>'Grid_Stock'!AI102</f>
        <v/>
      </c>
      <c r="AR107" s="15">
        <f>'Grid_Stock'!AJ102</f>
        <v/>
      </c>
      <c r="AS107" s="15">
        <f>'Grid_Stock'!AK102</f>
        <v/>
      </c>
      <c r="AT107" s="15">
        <f>'Grid_Stock'!AL102</f>
        <v/>
      </c>
      <c r="AU107" s="15">
        <f>'Grid_Stock'!AM102</f>
        <v/>
      </c>
      <c r="AV107" s="15">
        <f>'Grid_Stock'!AN102</f>
        <v/>
      </c>
      <c r="AW107" s="15">
        <f>'Grid_Stock'!AO102</f>
        <v/>
      </c>
      <c r="AX107" s="15">
        <f>'Grid_Stock'!AP102</f>
        <v/>
      </c>
      <c r="AY107" s="15">
        <f>'Grid_Stock'!AQ102</f>
        <v/>
      </c>
      <c r="AZ107" s="15">
        <f>'Grid_Stock'!AR102</f>
        <v/>
      </c>
      <c r="BA107" s="15">
        <f>'Grid_Stock'!AS102</f>
        <v/>
      </c>
      <c r="BB107" s="15">
        <f>'Grid_Stock'!AT102</f>
        <v/>
      </c>
      <c r="BC107" s="15">
        <f>'Grid_Stock'!AU102</f>
        <v/>
      </c>
      <c r="BD107" s="15">
        <f>'Grid_Stock'!AV102</f>
        <v/>
      </c>
      <c r="BE107" s="15">
        <f>'Grid_Stock'!AW102</f>
        <v/>
      </c>
      <c r="BF107" s="15">
        <f>'Grid_Stock'!AX102</f>
        <v/>
      </c>
      <c r="BG107" s="15">
        <f>'Grid_Stock'!AY102</f>
        <v/>
      </c>
      <c r="BH107" s="15">
        <f>'Grid_Stock'!AZ102</f>
        <v/>
      </c>
      <c r="BI107" s="15">
        <f>'Grid_Stock'!BA102</f>
        <v/>
      </c>
      <c r="BJ107" s="15">
        <f>'Grid_Stock'!BB102</f>
        <v/>
      </c>
      <c r="BK107" s="15">
        <f>'Grid_Stock'!BC102</f>
        <v/>
      </c>
      <c r="BL107" s="15">
        <f>'Grid_Stock'!BD102</f>
        <v/>
      </c>
      <c r="BM107" s="15">
        <f>'Grid_Stock'!BE102</f>
        <v/>
      </c>
      <c r="BN107" s="15">
        <f>'Grid_Stock'!BF102</f>
        <v/>
      </c>
      <c r="BO107" s="15">
        <f>'Grid_Stock'!BG102</f>
        <v/>
      </c>
      <c r="BP107" s="15">
        <f>'Grid_Stock'!BH102</f>
        <v/>
      </c>
      <c r="BQ107" s="15">
        <f>'Grid_Stock'!BI102</f>
        <v/>
      </c>
      <c r="BR107" s="15">
        <f>'Grid_Stock'!BJ102</f>
        <v/>
      </c>
      <c r="BS107" s="15">
        <f>'Grid_Stock'!BK102</f>
        <v/>
      </c>
      <c r="BT107" s="15">
        <f>'Grid_Stock'!BL102</f>
        <v/>
      </c>
      <c r="BU107" s="15">
        <f>'Grid_Stock'!BM102</f>
        <v/>
      </c>
      <c r="BV107" s="15">
        <f>'Grid_Stock'!BN102</f>
        <v/>
      </c>
      <c r="BW107" s="15">
        <f>'Grid_Stock'!BO102</f>
        <v/>
      </c>
      <c r="BX107" s="15">
        <f>'Grid_Stock'!BP102</f>
        <v/>
      </c>
      <c r="BY107" s="15">
        <f>'Grid_Stock'!BQ102</f>
        <v/>
      </c>
      <c r="BZ107" s="15">
        <f>'Grid_Stock'!BR102</f>
        <v/>
      </c>
      <c r="CA107" s="15">
        <f>'Grid_Stock'!BS102</f>
        <v/>
      </c>
      <c r="CB107" s="15">
        <f>'Grid_Stock'!BT102</f>
        <v/>
      </c>
      <c r="CC107" s="15">
        <f>'Grid_Stock'!BU102</f>
        <v/>
      </c>
      <c r="CD107" s="15">
        <f>'Grid_Stock'!BV102</f>
        <v/>
      </c>
      <c r="CE107" s="15">
        <f>'Grid_Stock'!BW102</f>
        <v/>
      </c>
      <c r="CF107" s="15">
        <f>'Grid_Stock'!BX102</f>
        <v/>
      </c>
      <c r="CG107" s="15">
        <f>'Grid_Stock'!BY102</f>
        <v/>
      </c>
      <c r="CH107" s="15">
        <f>'Grid_Stock'!BZ102</f>
        <v/>
      </c>
      <c r="CI107" s="15">
        <f>'Grid_Stock'!CA102</f>
        <v/>
      </c>
      <c r="CJ107" s="15">
        <f>'Grid_Stock'!CB102</f>
        <v/>
      </c>
      <c r="CK107" s="15">
        <f>'Grid_Stock'!CC102</f>
        <v/>
      </c>
      <c r="CL107" s="15">
        <f>'Grid_Stock'!CD102</f>
        <v/>
      </c>
      <c r="CM107" s="15">
        <f>'Grid_Stock'!CE102</f>
        <v/>
      </c>
      <c r="CN107" s="15">
        <f>'Grid_Stock'!CF102</f>
        <v/>
      </c>
      <c r="CO107" s="15">
        <f>'Grid_Stock'!CG102</f>
        <v/>
      </c>
      <c r="CP107" s="15">
        <f>'Grid_Stock'!CH102</f>
        <v/>
      </c>
      <c r="CQ107" s="15">
        <f>'Grid_Stock'!CI102</f>
        <v/>
      </c>
      <c r="CR107" s="15">
        <f>'Grid_Stock'!CJ102</f>
        <v/>
      </c>
      <c r="CS107" s="15">
        <f>'Grid_Stock'!CK102</f>
        <v/>
      </c>
      <c r="CT107" s="15">
        <f>'Grid_Stock'!CL102</f>
        <v/>
      </c>
      <c r="CU107" s="15">
        <f>'Grid_Stock'!CM102</f>
        <v/>
      </c>
      <c r="CV107" s="15">
        <f>'Grid_Stock'!CN102</f>
        <v/>
      </c>
      <c r="CW107" s="15">
        <f>'Grid_Stock'!CO102</f>
        <v/>
      </c>
      <c r="CX107" s="15">
        <f>'Grid_Stock'!CP102</f>
        <v/>
      </c>
      <c r="CY107" s="15">
        <f>'Grid_Stock'!CQ102</f>
        <v/>
      </c>
      <c r="CZ107" s="15">
        <f>'Grid_Stock'!CR102</f>
        <v/>
      </c>
      <c r="DA107" s="15">
        <f>'Grid_Stock'!CS102</f>
        <v/>
      </c>
      <c r="DB107" s="15">
        <f>'Grid_Stock'!CT102</f>
        <v/>
      </c>
      <c r="DC107" s="15">
        <f>'Grid_Stock'!CU102</f>
        <v/>
      </c>
      <c r="DD107" s="15">
        <f>'Grid_Stock'!CV102</f>
        <v/>
      </c>
      <c r="DE107" s="15">
        <f>'Grid_Stock'!CW102</f>
        <v/>
      </c>
      <c r="DF107" s="15">
        <f>'Grid_Stock'!CX102</f>
        <v/>
      </c>
      <c r="DG107" s="15">
        <f>'Grid_Stock'!CY102</f>
        <v/>
      </c>
      <c r="DH107" s="15">
        <f>'Grid_Stock'!CZ102</f>
        <v/>
      </c>
      <c r="DI107" s="15">
        <f>'Grid_Stock'!DA102</f>
        <v/>
      </c>
    </row>
  </sheetData>
  <conditionalFormatting sqref="I7:DI107">
    <cfRule type="expression" priority="1" dxfId="0">
      <formula>I7&lt;$D7</formula>
    </cfRule>
  </conditionalFormatting>
  <conditionalFormatting sqref="H7:H107">
    <cfRule type="cellIs" priority="2" operator="equal" dxfId="1">
      <formula>"要発注"</formula>
    </cfRule>
  </conditionalFormatting>
  <conditionalFormatting sqref="J6:DI107">
    <cfRule type="expression" priority="3" dxfId="2">
      <formula>(COLUMN()-COLUMN($J$1)+1)=$F$1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1663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2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10" customWidth="1" min="109" max="109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をD列に表示中"))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18">
        <f>IFERROR(INDEX(Cal_Weeks!$G$4:$G$107,$F$1),"")</f>
        <v/>
      </c>
      <c r="E3" s="8">
        <f>'Cal_Weeks'!G4</f>
        <v/>
      </c>
      <c r="F3" s="8">
        <f>IF(TEXT('Cal_Weeks'!B5,"mmm-yy")&lt;&gt;TEXT('Cal_Weeks'!B4,"mmm-yy"),'Cal_Weeks'!G5,"")</f>
        <v/>
      </c>
      <c r="G3" s="8">
        <f>IF(TEXT('Cal_Weeks'!B6,"mmm-yy")&lt;&gt;TEXT('Cal_Weeks'!B5,"mmm-yy"),'Cal_Weeks'!G6,"")</f>
        <v/>
      </c>
      <c r="H3" s="8">
        <f>IF(TEXT('Cal_Weeks'!B7,"mmm-yy")&lt;&gt;TEXT('Cal_Weeks'!B6,"mmm-yy"),'Cal_Weeks'!G7,"")</f>
        <v/>
      </c>
      <c r="I3" s="8">
        <f>IF(TEXT('Cal_Weeks'!B8,"mmm-yy")&lt;&gt;TEXT('Cal_Weeks'!B7,"mmm-yy"),'Cal_Weeks'!G8,"")</f>
        <v/>
      </c>
      <c r="J3" s="8">
        <f>IF(TEXT('Cal_Weeks'!B9,"mmm-yy")&lt;&gt;TEXT('Cal_Weeks'!B8,"mmm-yy"),'Cal_Weeks'!G9,"")</f>
        <v/>
      </c>
      <c r="K3" s="8">
        <f>IF(TEXT('Cal_Weeks'!B10,"mmm-yy")&lt;&gt;TEXT('Cal_Weeks'!B9,"mmm-yy"),'Cal_Weeks'!G10,"")</f>
        <v/>
      </c>
      <c r="L3" s="8">
        <f>IF(TEXT('Cal_Weeks'!B11,"mmm-yy")&lt;&gt;TEXT('Cal_Weeks'!B10,"mmm-yy"),'Cal_Weeks'!G11,"")</f>
        <v/>
      </c>
      <c r="M3" s="8">
        <f>IF(TEXT('Cal_Weeks'!B12,"mmm-yy")&lt;&gt;TEXT('Cal_Weeks'!B11,"mmm-yy"),'Cal_Weeks'!G12,"")</f>
        <v/>
      </c>
      <c r="N3" s="8">
        <f>IF(TEXT('Cal_Weeks'!B13,"mmm-yy")&lt;&gt;TEXT('Cal_Weeks'!B12,"mmm-yy"),'Cal_Weeks'!G13,"")</f>
        <v/>
      </c>
      <c r="O3" s="8">
        <f>IF(TEXT('Cal_Weeks'!B14,"mmm-yy")&lt;&gt;TEXT('Cal_Weeks'!B13,"mmm-yy"),'Cal_Weeks'!G14,"")</f>
        <v/>
      </c>
      <c r="P3" s="8">
        <f>IF(TEXT('Cal_Weeks'!B15,"mmm-yy")&lt;&gt;TEXT('Cal_Weeks'!B14,"mmm-yy"),'Cal_Weeks'!G15,"")</f>
        <v/>
      </c>
      <c r="Q3" s="8">
        <f>IF(TEXT('Cal_Weeks'!B16,"mmm-yy")&lt;&gt;TEXT('Cal_Weeks'!B15,"mmm-yy"),'Cal_Weeks'!G16,"")</f>
        <v/>
      </c>
      <c r="R3" s="8">
        <f>IF(TEXT('Cal_Weeks'!B17,"mmm-yy")&lt;&gt;TEXT('Cal_Weeks'!B16,"mmm-yy"),'Cal_Weeks'!G17,"")</f>
        <v/>
      </c>
      <c r="S3" s="8">
        <f>IF(TEXT('Cal_Weeks'!B18,"mmm-yy")&lt;&gt;TEXT('Cal_Weeks'!B17,"mmm-yy"),'Cal_Weeks'!G18,"")</f>
        <v/>
      </c>
      <c r="T3" s="8">
        <f>IF(TEXT('Cal_Weeks'!B19,"mmm-yy")&lt;&gt;TEXT('Cal_Weeks'!B18,"mmm-yy"),'Cal_Weeks'!G19,"")</f>
        <v/>
      </c>
      <c r="U3" s="8">
        <f>IF(TEXT('Cal_Weeks'!B20,"mmm-yy")&lt;&gt;TEXT('Cal_Weeks'!B19,"mmm-yy"),'Cal_Weeks'!G20,"")</f>
        <v/>
      </c>
      <c r="V3" s="8">
        <f>IF(TEXT('Cal_Weeks'!B21,"mmm-yy")&lt;&gt;TEXT('Cal_Weeks'!B20,"mmm-yy"),'Cal_Weeks'!G21,"")</f>
        <v/>
      </c>
      <c r="W3" s="8">
        <f>IF(TEXT('Cal_Weeks'!B22,"mmm-yy")&lt;&gt;TEXT('Cal_Weeks'!B21,"mmm-yy"),'Cal_Weeks'!G22,"")</f>
        <v/>
      </c>
      <c r="X3" s="8">
        <f>IF(TEXT('Cal_Weeks'!B23,"mmm-yy")&lt;&gt;TEXT('Cal_Weeks'!B22,"mmm-yy"),'Cal_Weeks'!G23,"")</f>
        <v/>
      </c>
      <c r="Y3" s="8">
        <f>IF(TEXT('Cal_Weeks'!B24,"mmm-yy")&lt;&gt;TEXT('Cal_Weeks'!B23,"mmm-yy"),'Cal_Weeks'!G24,"")</f>
        <v/>
      </c>
      <c r="Z3" s="8">
        <f>IF(TEXT('Cal_Weeks'!B25,"mmm-yy")&lt;&gt;TEXT('Cal_Weeks'!B24,"mmm-yy"),'Cal_Weeks'!G25,"")</f>
        <v/>
      </c>
      <c r="AA3" s="8">
        <f>IF(TEXT('Cal_Weeks'!B26,"mmm-yy")&lt;&gt;TEXT('Cal_Weeks'!B25,"mmm-yy"),'Cal_Weeks'!G26,"")</f>
        <v/>
      </c>
      <c r="AB3" s="8">
        <f>IF(TEXT('Cal_Weeks'!B27,"mmm-yy")&lt;&gt;TEXT('Cal_Weeks'!B26,"mmm-yy"),'Cal_Weeks'!G27,"")</f>
        <v/>
      </c>
      <c r="AC3" s="8">
        <f>IF(TEXT('Cal_Weeks'!B28,"mmm-yy")&lt;&gt;TEXT('Cal_Weeks'!B27,"mmm-yy"),'Cal_Weeks'!G28,"")</f>
        <v/>
      </c>
      <c r="AD3" s="8">
        <f>IF(TEXT('Cal_Weeks'!B29,"mmm-yy")&lt;&gt;TEXT('Cal_Weeks'!B28,"mmm-yy"),'Cal_Weeks'!G29,"")</f>
        <v/>
      </c>
      <c r="AE3" s="8">
        <f>IF(TEXT('Cal_Weeks'!B30,"mmm-yy")&lt;&gt;TEXT('Cal_Weeks'!B29,"mmm-yy"),'Cal_Weeks'!G30,"")</f>
        <v/>
      </c>
      <c r="AF3" s="8">
        <f>IF(TEXT('Cal_Weeks'!B31,"mmm-yy")&lt;&gt;TEXT('Cal_Weeks'!B30,"mmm-yy"),'Cal_Weeks'!G31,"")</f>
        <v/>
      </c>
      <c r="AG3" s="8">
        <f>IF(TEXT('Cal_Weeks'!B32,"mmm-yy")&lt;&gt;TEXT('Cal_Weeks'!B31,"mmm-yy"),'Cal_Weeks'!G32,"")</f>
        <v/>
      </c>
      <c r="AH3" s="8">
        <f>IF(TEXT('Cal_Weeks'!B33,"mmm-yy")&lt;&gt;TEXT('Cal_Weeks'!B32,"mmm-yy"),'Cal_Weeks'!G33,"")</f>
        <v/>
      </c>
      <c r="AI3" s="8">
        <f>IF(TEXT('Cal_Weeks'!B34,"mmm-yy")&lt;&gt;TEXT('Cal_Weeks'!B33,"mmm-yy"),'Cal_Weeks'!G34,"")</f>
        <v/>
      </c>
      <c r="AJ3" s="8">
        <f>IF(TEXT('Cal_Weeks'!B35,"mmm-yy")&lt;&gt;TEXT('Cal_Weeks'!B34,"mmm-yy"),'Cal_Weeks'!G35,"")</f>
        <v/>
      </c>
      <c r="AK3" s="8">
        <f>IF(TEXT('Cal_Weeks'!B36,"mmm-yy")&lt;&gt;TEXT('Cal_Weeks'!B35,"mmm-yy"),'Cal_Weeks'!G36,"")</f>
        <v/>
      </c>
      <c r="AL3" s="8">
        <f>IF(TEXT('Cal_Weeks'!B37,"mmm-yy")&lt;&gt;TEXT('Cal_Weeks'!B36,"mmm-yy"),'Cal_Weeks'!G37,"")</f>
        <v/>
      </c>
      <c r="AM3" s="8">
        <f>IF(TEXT('Cal_Weeks'!B38,"mmm-yy")&lt;&gt;TEXT('Cal_Weeks'!B37,"mmm-yy"),'Cal_Weeks'!G38,"")</f>
        <v/>
      </c>
      <c r="AN3" s="8">
        <f>IF(TEXT('Cal_Weeks'!B39,"mmm-yy")&lt;&gt;TEXT('Cal_Weeks'!B38,"mmm-yy"),'Cal_Weeks'!G39,"")</f>
        <v/>
      </c>
      <c r="AO3" s="8">
        <f>IF(TEXT('Cal_Weeks'!B40,"mmm-yy")&lt;&gt;TEXT('Cal_Weeks'!B39,"mmm-yy"),'Cal_Weeks'!G40,"")</f>
        <v/>
      </c>
      <c r="AP3" s="8">
        <f>IF(TEXT('Cal_Weeks'!B41,"mmm-yy")&lt;&gt;TEXT('Cal_Weeks'!B40,"mmm-yy"),'Cal_Weeks'!G41,"")</f>
        <v/>
      </c>
      <c r="AQ3" s="8">
        <f>IF(TEXT('Cal_Weeks'!B42,"mmm-yy")&lt;&gt;TEXT('Cal_Weeks'!B41,"mmm-yy"),'Cal_Weeks'!G42,"")</f>
        <v/>
      </c>
      <c r="AR3" s="8">
        <f>IF(TEXT('Cal_Weeks'!B43,"mmm-yy")&lt;&gt;TEXT('Cal_Weeks'!B42,"mmm-yy"),'Cal_Weeks'!G43,"")</f>
        <v/>
      </c>
      <c r="AS3" s="8">
        <f>IF(TEXT('Cal_Weeks'!B44,"mmm-yy")&lt;&gt;TEXT('Cal_Weeks'!B43,"mmm-yy"),'Cal_Weeks'!G44,"")</f>
        <v/>
      </c>
      <c r="AT3" s="8">
        <f>IF(TEXT('Cal_Weeks'!B45,"mmm-yy")&lt;&gt;TEXT('Cal_Weeks'!B44,"mmm-yy"),'Cal_Weeks'!G45,"")</f>
        <v/>
      </c>
      <c r="AU3" s="8">
        <f>IF(TEXT('Cal_Weeks'!B46,"mmm-yy")&lt;&gt;TEXT('Cal_Weeks'!B45,"mmm-yy"),'Cal_Weeks'!G46,"")</f>
        <v/>
      </c>
      <c r="AV3" s="8">
        <f>IF(TEXT('Cal_Weeks'!B47,"mmm-yy")&lt;&gt;TEXT('Cal_Weeks'!B46,"mmm-yy"),'Cal_Weeks'!G47,"")</f>
        <v/>
      </c>
      <c r="AW3" s="8">
        <f>IF(TEXT('Cal_Weeks'!B48,"mmm-yy")&lt;&gt;TEXT('Cal_Weeks'!B47,"mmm-yy"),'Cal_Weeks'!G48,"")</f>
        <v/>
      </c>
      <c r="AX3" s="8">
        <f>IF(TEXT('Cal_Weeks'!B49,"mmm-yy")&lt;&gt;TEXT('Cal_Weeks'!B48,"mmm-yy"),'Cal_Weeks'!G49,"")</f>
        <v/>
      </c>
      <c r="AY3" s="8">
        <f>IF(TEXT('Cal_Weeks'!B50,"mmm-yy")&lt;&gt;TEXT('Cal_Weeks'!B49,"mmm-yy"),'Cal_Weeks'!G50,"")</f>
        <v/>
      </c>
      <c r="AZ3" s="8">
        <f>IF(TEXT('Cal_Weeks'!B51,"mmm-yy")&lt;&gt;TEXT('Cal_Weeks'!B50,"mmm-yy"),'Cal_Weeks'!G51,"")</f>
        <v/>
      </c>
      <c r="BA3" s="8">
        <f>IF(TEXT('Cal_Weeks'!B52,"mmm-yy")&lt;&gt;TEXT('Cal_Weeks'!B51,"mmm-yy"),'Cal_Weeks'!G52,"")</f>
        <v/>
      </c>
      <c r="BB3" s="8">
        <f>IF(TEXT('Cal_Weeks'!B53,"mmm-yy")&lt;&gt;TEXT('Cal_Weeks'!B52,"mmm-yy"),'Cal_Weeks'!G53,"")</f>
        <v/>
      </c>
      <c r="BC3" s="8">
        <f>IF(TEXT('Cal_Weeks'!B54,"mmm-yy")&lt;&gt;TEXT('Cal_Weeks'!B53,"mmm-yy"),'Cal_Weeks'!G54,"")</f>
        <v/>
      </c>
      <c r="BD3" s="8">
        <f>IF(TEXT('Cal_Weeks'!B55,"mmm-yy")&lt;&gt;TEXT('Cal_Weeks'!B54,"mmm-yy"),'Cal_Weeks'!G55,"")</f>
        <v/>
      </c>
      <c r="BE3" s="8">
        <f>IF(TEXT('Cal_Weeks'!B56,"mmm-yy")&lt;&gt;TEXT('Cal_Weeks'!B55,"mmm-yy"),'Cal_Weeks'!G56,"")</f>
        <v/>
      </c>
      <c r="BF3" s="8">
        <f>IF(TEXT('Cal_Weeks'!B57,"mmm-yy")&lt;&gt;TEXT('Cal_Weeks'!B56,"mmm-yy"),'Cal_Weeks'!G57,"")</f>
        <v/>
      </c>
      <c r="BG3" s="8">
        <f>IF(TEXT('Cal_Weeks'!B58,"mmm-yy")&lt;&gt;TEXT('Cal_Weeks'!B57,"mmm-yy"),'Cal_Weeks'!G58,"")</f>
        <v/>
      </c>
      <c r="BH3" s="8">
        <f>IF(TEXT('Cal_Weeks'!B59,"mmm-yy")&lt;&gt;TEXT('Cal_Weeks'!B58,"mmm-yy"),'Cal_Weeks'!G59,"")</f>
        <v/>
      </c>
      <c r="BI3" s="8">
        <f>IF(TEXT('Cal_Weeks'!B60,"mmm-yy")&lt;&gt;TEXT('Cal_Weeks'!B59,"mmm-yy"),'Cal_Weeks'!G60,"")</f>
        <v/>
      </c>
      <c r="BJ3" s="8">
        <f>IF(TEXT('Cal_Weeks'!B61,"mmm-yy")&lt;&gt;TEXT('Cal_Weeks'!B60,"mmm-yy"),'Cal_Weeks'!G61,"")</f>
        <v/>
      </c>
      <c r="BK3" s="8">
        <f>IF(TEXT('Cal_Weeks'!B62,"mmm-yy")&lt;&gt;TEXT('Cal_Weeks'!B61,"mmm-yy"),'Cal_Weeks'!G62,"")</f>
        <v/>
      </c>
      <c r="BL3" s="8">
        <f>IF(TEXT('Cal_Weeks'!B63,"mmm-yy")&lt;&gt;TEXT('Cal_Weeks'!B62,"mmm-yy"),'Cal_Weeks'!G63,"")</f>
        <v/>
      </c>
      <c r="BM3" s="8">
        <f>IF(TEXT('Cal_Weeks'!B64,"mmm-yy")&lt;&gt;TEXT('Cal_Weeks'!B63,"mmm-yy"),'Cal_Weeks'!G64,"")</f>
        <v/>
      </c>
      <c r="BN3" s="8">
        <f>IF(TEXT('Cal_Weeks'!B65,"mmm-yy")&lt;&gt;TEXT('Cal_Weeks'!B64,"mmm-yy"),'Cal_Weeks'!G65,"")</f>
        <v/>
      </c>
      <c r="BO3" s="8">
        <f>IF(TEXT('Cal_Weeks'!B66,"mmm-yy")&lt;&gt;TEXT('Cal_Weeks'!B65,"mmm-yy"),'Cal_Weeks'!G66,"")</f>
        <v/>
      </c>
      <c r="BP3" s="8">
        <f>IF(TEXT('Cal_Weeks'!B67,"mmm-yy")&lt;&gt;TEXT('Cal_Weeks'!B66,"mmm-yy"),'Cal_Weeks'!G67,"")</f>
        <v/>
      </c>
      <c r="BQ3" s="8">
        <f>IF(TEXT('Cal_Weeks'!B68,"mmm-yy")&lt;&gt;TEXT('Cal_Weeks'!B67,"mmm-yy"),'Cal_Weeks'!G68,"")</f>
        <v/>
      </c>
      <c r="BR3" s="8">
        <f>IF(TEXT('Cal_Weeks'!B69,"mmm-yy")&lt;&gt;TEXT('Cal_Weeks'!B68,"mmm-yy"),'Cal_Weeks'!G69,"")</f>
        <v/>
      </c>
      <c r="BS3" s="8">
        <f>IF(TEXT('Cal_Weeks'!B70,"mmm-yy")&lt;&gt;TEXT('Cal_Weeks'!B69,"mmm-yy"),'Cal_Weeks'!G70,"")</f>
        <v/>
      </c>
      <c r="BT3" s="8">
        <f>IF(TEXT('Cal_Weeks'!B71,"mmm-yy")&lt;&gt;TEXT('Cal_Weeks'!B70,"mmm-yy"),'Cal_Weeks'!G71,"")</f>
        <v/>
      </c>
      <c r="BU3" s="8">
        <f>IF(TEXT('Cal_Weeks'!B72,"mmm-yy")&lt;&gt;TEXT('Cal_Weeks'!B71,"mmm-yy"),'Cal_Weeks'!G72,"")</f>
        <v/>
      </c>
      <c r="BV3" s="8">
        <f>IF(TEXT('Cal_Weeks'!B73,"mmm-yy")&lt;&gt;TEXT('Cal_Weeks'!B72,"mmm-yy"),'Cal_Weeks'!G73,"")</f>
        <v/>
      </c>
      <c r="BW3" s="8">
        <f>IF(TEXT('Cal_Weeks'!B74,"mmm-yy")&lt;&gt;TEXT('Cal_Weeks'!B73,"mmm-yy"),'Cal_Weeks'!G74,"")</f>
        <v/>
      </c>
      <c r="BX3" s="8">
        <f>IF(TEXT('Cal_Weeks'!B75,"mmm-yy")&lt;&gt;TEXT('Cal_Weeks'!B74,"mmm-yy"),'Cal_Weeks'!G75,"")</f>
        <v/>
      </c>
      <c r="BY3" s="8">
        <f>IF(TEXT('Cal_Weeks'!B76,"mmm-yy")&lt;&gt;TEXT('Cal_Weeks'!B75,"mmm-yy"),'Cal_Weeks'!G76,"")</f>
        <v/>
      </c>
      <c r="BZ3" s="8">
        <f>IF(TEXT('Cal_Weeks'!B77,"mmm-yy")&lt;&gt;TEXT('Cal_Weeks'!B76,"mmm-yy"),'Cal_Weeks'!G77,"")</f>
        <v/>
      </c>
      <c r="CA3" s="8">
        <f>IF(TEXT('Cal_Weeks'!B78,"mmm-yy")&lt;&gt;TEXT('Cal_Weeks'!B77,"mmm-yy"),'Cal_Weeks'!G78,"")</f>
        <v/>
      </c>
      <c r="CB3" s="8">
        <f>IF(TEXT('Cal_Weeks'!B79,"mmm-yy")&lt;&gt;TEXT('Cal_Weeks'!B78,"mmm-yy"),'Cal_Weeks'!G79,"")</f>
        <v/>
      </c>
      <c r="CC3" s="8">
        <f>IF(TEXT('Cal_Weeks'!B80,"mmm-yy")&lt;&gt;TEXT('Cal_Weeks'!B79,"mmm-yy"),'Cal_Weeks'!G80,"")</f>
        <v/>
      </c>
      <c r="CD3" s="8">
        <f>IF(TEXT('Cal_Weeks'!B81,"mmm-yy")&lt;&gt;TEXT('Cal_Weeks'!B80,"mmm-yy"),'Cal_Weeks'!G81,"")</f>
        <v/>
      </c>
      <c r="CE3" s="8">
        <f>IF(TEXT('Cal_Weeks'!B82,"mmm-yy")&lt;&gt;TEXT('Cal_Weeks'!B81,"mmm-yy"),'Cal_Weeks'!G82,"")</f>
        <v/>
      </c>
      <c r="CF3" s="8">
        <f>IF(TEXT('Cal_Weeks'!B83,"mmm-yy")&lt;&gt;TEXT('Cal_Weeks'!B82,"mmm-yy"),'Cal_Weeks'!G83,"")</f>
        <v/>
      </c>
      <c r="CG3" s="8">
        <f>IF(TEXT('Cal_Weeks'!B84,"mmm-yy")&lt;&gt;TEXT('Cal_Weeks'!B83,"mmm-yy"),'Cal_Weeks'!G84,"")</f>
        <v/>
      </c>
      <c r="CH3" s="8">
        <f>IF(TEXT('Cal_Weeks'!B85,"mmm-yy")&lt;&gt;TEXT('Cal_Weeks'!B84,"mmm-yy"),'Cal_Weeks'!G85,"")</f>
        <v/>
      </c>
      <c r="CI3" s="8">
        <f>IF(TEXT('Cal_Weeks'!B86,"mmm-yy")&lt;&gt;TEXT('Cal_Weeks'!B85,"mmm-yy"),'Cal_Weeks'!G86,"")</f>
        <v/>
      </c>
      <c r="CJ3" s="8">
        <f>IF(TEXT('Cal_Weeks'!B87,"mmm-yy")&lt;&gt;TEXT('Cal_Weeks'!B86,"mmm-yy"),'Cal_Weeks'!G87,"")</f>
        <v/>
      </c>
      <c r="CK3" s="8">
        <f>IF(TEXT('Cal_Weeks'!B88,"mmm-yy")&lt;&gt;TEXT('Cal_Weeks'!B87,"mmm-yy"),'Cal_Weeks'!G88,"")</f>
        <v/>
      </c>
      <c r="CL3" s="8">
        <f>IF(TEXT('Cal_Weeks'!B89,"mmm-yy")&lt;&gt;TEXT('Cal_Weeks'!B88,"mmm-yy"),'Cal_Weeks'!G89,"")</f>
        <v/>
      </c>
      <c r="CM3" s="8">
        <f>IF(TEXT('Cal_Weeks'!B90,"mmm-yy")&lt;&gt;TEXT('Cal_Weeks'!B89,"mmm-yy"),'Cal_Weeks'!G90,"")</f>
        <v/>
      </c>
      <c r="CN3" s="8">
        <f>IF(TEXT('Cal_Weeks'!B91,"mmm-yy")&lt;&gt;TEXT('Cal_Weeks'!B90,"mmm-yy"),'Cal_Weeks'!G91,"")</f>
        <v/>
      </c>
      <c r="CO3" s="8">
        <f>IF(TEXT('Cal_Weeks'!B92,"mmm-yy")&lt;&gt;TEXT('Cal_Weeks'!B91,"mmm-yy"),'Cal_Weeks'!G92,"")</f>
        <v/>
      </c>
      <c r="CP3" s="8">
        <f>IF(TEXT('Cal_Weeks'!B93,"mmm-yy")&lt;&gt;TEXT('Cal_Weeks'!B92,"mmm-yy"),'Cal_Weeks'!G93,"")</f>
        <v/>
      </c>
      <c r="CQ3" s="8">
        <f>IF(TEXT('Cal_Weeks'!B94,"mmm-yy")&lt;&gt;TEXT('Cal_Weeks'!B93,"mmm-yy"),'Cal_Weeks'!G94,"")</f>
        <v/>
      </c>
      <c r="CR3" s="8">
        <f>IF(TEXT('Cal_Weeks'!B95,"mmm-yy")&lt;&gt;TEXT('Cal_Weeks'!B94,"mmm-yy"),'Cal_Weeks'!G95,"")</f>
        <v/>
      </c>
      <c r="CS3" s="8">
        <f>IF(TEXT('Cal_Weeks'!B96,"mmm-yy")&lt;&gt;TEXT('Cal_Weeks'!B95,"mmm-yy"),'Cal_Weeks'!G96,"")</f>
        <v/>
      </c>
      <c r="CT3" s="8">
        <f>IF(TEXT('Cal_Weeks'!B97,"mmm-yy")&lt;&gt;TEXT('Cal_Weeks'!B96,"mmm-yy"),'Cal_Weeks'!G97,"")</f>
        <v/>
      </c>
      <c r="CU3" s="8">
        <f>IF(TEXT('Cal_Weeks'!B98,"mmm-yy")&lt;&gt;TEXT('Cal_Weeks'!B97,"mmm-yy"),'Cal_Weeks'!G98,"")</f>
        <v/>
      </c>
      <c r="CV3" s="8">
        <f>IF(TEXT('Cal_Weeks'!B99,"mmm-yy")&lt;&gt;TEXT('Cal_Weeks'!B98,"mmm-yy"),'Cal_Weeks'!G99,"")</f>
        <v/>
      </c>
      <c r="CW3" s="8">
        <f>IF(TEXT('Cal_Weeks'!B100,"mmm-yy")&lt;&gt;TEXT('Cal_Weeks'!B99,"mmm-yy"),'Cal_Weeks'!G100,"")</f>
        <v/>
      </c>
      <c r="CX3" s="8">
        <f>IF(TEXT('Cal_Weeks'!B101,"mmm-yy")&lt;&gt;TEXT('Cal_Weeks'!B100,"mmm-yy"),'Cal_Weeks'!G101,"")</f>
        <v/>
      </c>
      <c r="CY3" s="8">
        <f>IF(TEXT('Cal_Weeks'!B102,"mmm-yy")&lt;&gt;TEXT('Cal_Weeks'!B101,"mmm-yy"),'Cal_Weeks'!G102,"")</f>
        <v/>
      </c>
      <c r="CZ3" s="8">
        <f>IF(TEXT('Cal_Weeks'!B103,"mmm-yy")&lt;&gt;TEXT('Cal_Weeks'!B102,"mmm-yy"),'Cal_Weeks'!G103,"")</f>
        <v/>
      </c>
      <c r="DA3" s="8">
        <f>IF(TEXT('Cal_Weeks'!B104,"mmm-yy")&lt;&gt;TEXT('Cal_Weeks'!B103,"mmm-yy"),'Cal_Weeks'!G104,"")</f>
        <v/>
      </c>
      <c r="DB3" s="8">
        <f>IF(TEXT('Cal_Weeks'!B105,"mmm-yy")&lt;&gt;TEXT('Cal_Weeks'!B104,"mmm-yy"),'Cal_Weeks'!G105,"")</f>
        <v/>
      </c>
      <c r="DC3" s="8">
        <f>IF(TEXT('Cal_Weeks'!B106,"mmm-yy")&lt;&gt;TEXT('Cal_Weeks'!B105,"mmm-yy"),'Cal_Weeks'!G106,"")</f>
        <v/>
      </c>
      <c r="DD3" s="8">
        <f>IF(TEXT('Cal_Weeks'!B107,"mmm-yy")&lt;&gt;TEXT('Cal_Weeks'!B106,"mmm-yy"),'Cal_Weeks'!G107,"")</f>
        <v/>
      </c>
    </row>
    <row r="4">
      <c r="A4" s="10" t="n"/>
      <c r="B4" s="10" t="n"/>
      <c r="C4" s="10" t="n"/>
      <c r="D4" s="19">
        <f>IFERROR(INDEX(Cal_Weeks!$B$4:$B$107,$F$1),"")</f>
        <v/>
      </c>
      <c r="E4" s="12">
        <f>'Cal_Weeks'!B4</f>
        <v/>
      </c>
      <c r="F4" s="12">
        <f>'Cal_Weeks'!B5</f>
        <v/>
      </c>
      <c r="G4" s="12">
        <f>'Cal_Weeks'!B6</f>
        <v/>
      </c>
      <c r="H4" s="12">
        <f>'Cal_Weeks'!B7</f>
        <v/>
      </c>
      <c r="I4" s="12">
        <f>'Cal_Weeks'!B8</f>
        <v/>
      </c>
      <c r="J4" s="12">
        <f>'Cal_Weeks'!B9</f>
        <v/>
      </c>
      <c r="K4" s="12">
        <f>'Cal_Weeks'!B10</f>
        <v/>
      </c>
      <c r="L4" s="12">
        <f>'Cal_Weeks'!B11</f>
        <v/>
      </c>
      <c r="M4" s="12">
        <f>'Cal_Weeks'!B12</f>
        <v/>
      </c>
      <c r="N4" s="12">
        <f>'Cal_Weeks'!B13</f>
        <v/>
      </c>
      <c r="O4" s="12">
        <f>'Cal_Weeks'!B14</f>
        <v/>
      </c>
      <c r="P4" s="12">
        <f>'Cal_Weeks'!B15</f>
        <v/>
      </c>
      <c r="Q4" s="12">
        <f>'Cal_Weeks'!B16</f>
        <v/>
      </c>
      <c r="R4" s="12">
        <f>'Cal_Weeks'!B17</f>
        <v/>
      </c>
      <c r="S4" s="12">
        <f>'Cal_Weeks'!B18</f>
        <v/>
      </c>
      <c r="T4" s="12">
        <f>'Cal_Weeks'!B19</f>
        <v/>
      </c>
      <c r="U4" s="12">
        <f>'Cal_Weeks'!B20</f>
        <v/>
      </c>
      <c r="V4" s="12">
        <f>'Cal_Weeks'!B21</f>
        <v/>
      </c>
      <c r="W4" s="12">
        <f>'Cal_Weeks'!B22</f>
        <v/>
      </c>
      <c r="X4" s="12">
        <f>'Cal_Weeks'!B23</f>
        <v/>
      </c>
      <c r="Y4" s="12">
        <f>'Cal_Weeks'!B24</f>
        <v/>
      </c>
      <c r="Z4" s="12">
        <f>'Cal_Weeks'!B25</f>
        <v/>
      </c>
      <c r="AA4" s="12">
        <f>'Cal_Weeks'!B26</f>
        <v/>
      </c>
      <c r="AB4" s="12">
        <f>'Cal_Weeks'!B27</f>
        <v/>
      </c>
      <c r="AC4" s="12">
        <f>'Cal_Weeks'!B28</f>
        <v/>
      </c>
      <c r="AD4" s="12">
        <f>'Cal_Weeks'!B29</f>
        <v/>
      </c>
      <c r="AE4" s="12">
        <f>'Cal_Weeks'!B30</f>
        <v/>
      </c>
      <c r="AF4" s="12">
        <f>'Cal_Weeks'!B31</f>
        <v/>
      </c>
      <c r="AG4" s="12">
        <f>'Cal_Weeks'!B32</f>
        <v/>
      </c>
      <c r="AH4" s="12">
        <f>'Cal_Weeks'!B33</f>
        <v/>
      </c>
      <c r="AI4" s="12">
        <f>'Cal_Weeks'!B34</f>
        <v/>
      </c>
      <c r="AJ4" s="12">
        <f>'Cal_Weeks'!B35</f>
        <v/>
      </c>
      <c r="AK4" s="12">
        <f>'Cal_Weeks'!B36</f>
        <v/>
      </c>
      <c r="AL4" s="12">
        <f>'Cal_Weeks'!B37</f>
        <v/>
      </c>
      <c r="AM4" s="12">
        <f>'Cal_Weeks'!B38</f>
        <v/>
      </c>
      <c r="AN4" s="12">
        <f>'Cal_Weeks'!B39</f>
        <v/>
      </c>
      <c r="AO4" s="12">
        <f>'Cal_Weeks'!B40</f>
        <v/>
      </c>
      <c r="AP4" s="12">
        <f>'Cal_Weeks'!B41</f>
        <v/>
      </c>
      <c r="AQ4" s="12">
        <f>'Cal_Weeks'!B42</f>
        <v/>
      </c>
      <c r="AR4" s="12">
        <f>'Cal_Weeks'!B43</f>
        <v/>
      </c>
      <c r="AS4" s="12">
        <f>'Cal_Weeks'!B44</f>
        <v/>
      </c>
      <c r="AT4" s="12">
        <f>'Cal_Weeks'!B45</f>
        <v/>
      </c>
      <c r="AU4" s="12">
        <f>'Cal_Weeks'!B46</f>
        <v/>
      </c>
      <c r="AV4" s="12">
        <f>'Cal_Weeks'!B47</f>
        <v/>
      </c>
      <c r="AW4" s="12">
        <f>'Cal_Weeks'!B48</f>
        <v/>
      </c>
      <c r="AX4" s="12">
        <f>'Cal_Weeks'!B49</f>
        <v/>
      </c>
      <c r="AY4" s="12">
        <f>'Cal_Weeks'!B50</f>
        <v/>
      </c>
      <c r="AZ4" s="12">
        <f>'Cal_Weeks'!B51</f>
        <v/>
      </c>
      <c r="BA4" s="12">
        <f>'Cal_Weeks'!B52</f>
        <v/>
      </c>
      <c r="BB4" s="12">
        <f>'Cal_Weeks'!B53</f>
        <v/>
      </c>
      <c r="BC4" s="12">
        <f>'Cal_Weeks'!B54</f>
        <v/>
      </c>
      <c r="BD4" s="12">
        <f>'Cal_Weeks'!B55</f>
        <v/>
      </c>
      <c r="BE4" s="12">
        <f>'Cal_Weeks'!B56</f>
        <v/>
      </c>
      <c r="BF4" s="12">
        <f>'Cal_Weeks'!B57</f>
        <v/>
      </c>
      <c r="BG4" s="12">
        <f>'Cal_Weeks'!B58</f>
        <v/>
      </c>
      <c r="BH4" s="12">
        <f>'Cal_Weeks'!B59</f>
        <v/>
      </c>
      <c r="BI4" s="12">
        <f>'Cal_Weeks'!B60</f>
        <v/>
      </c>
      <c r="BJ4" s="12">
        <f>'Cal_Weeks'!B61</f>
        <v/>
      </c>
      <c r="BK4" s="12">
        <f>'Cal_Weeks'!B62</f>
        <v/>
      </c>
      <c r="BL4" s="12">
        <f>'Cal_Weeks'!B63</f>
        <v/>
      </c>
      <c r="BM4" s="12">
        <f>'Cal_Weeks'!B64</f>
        <v/>
      </c>
      <c r="BN4" s="12">
        <f>'Cal_Weeks'!B65</f>
        <v/>
      </c>
      <c r="BO4" s="12">
        <f>'Cal_Weeks'!B66</f>
        <v/>
      </c>
      <c r="BP4" s="12">
        <f>'Cal_Weeks'!B67</f>
        <v/>
      </c>
      <c r="BQ4" s="12">
        <f>'Cal_Weeks'!B68</f>
        <v/>
      </c>
      <c r="BR4" s="12">
        <f>'Cal_Weeks'!B69</f>
        <v/>
      </c>
      <c r="BS4" s="12">
        <f>'Cal_Weeks'!B70</f>
        <v/>
      </c>
      <c r="BT4" s="12">
        <f>'Cal_Weeks'!B71</f>
        <v/>
      </c>
      <c r="BU4" s="12">
        <f>'Cal_Weeks'!B72</f>
        <v/>
      </c>
      <c r="BV4" s="12">
        <f>'Cal_Weeks'!B73</f>
        <v/>
      </c>
      <c r="BW4" s="12">
        <f>'Cal_Weeks'!B74</f>
        <v/>
      </c>
      <c r="BX4" s="12">
        <f>'Cal_Weeks'!B75</f>
        <v/>
      </c>
      <c r="BY4" s="12">
        <f>'Cal_Weeks'!B76</f>
        <v/>
      </c>
      <c r="BZ4" s="12">
        <f>'Cal_Weeks'!B77</f>
        <v/>
      </c>
      <c r="CA4" s="12">
        <f>'Cal_Weeks'!B78</f>
        <v/>
      </c>
      <c r="CB4" s="12">
        <f>'Cal_Weeks'!B79</f>
        <v/>
      </c>
      <c r="CC4" s="12">
        <f>'Cal_Weeks'!B80</f>
        <v/>
      </c>
      <c r="CD4" s="12">
        <f>'Cal_Weeks'!B81</f>
        <v/>
      </c>
      <c r="CE4" s="12">
        <f>'Cal_Weeks'!B82</f>
        <v/>
      </c>
      <c r="CF4" s="12">
        <f>'Cal_Weeks'!B83</f>
        <v/>
      </c>
      <c r="CG4" s="12">
        <f>'Cal_Weeks'!B84</f>
        <v/>
      </c>
      <c r="CH4" s="12">
        <f>'Cal_Weeks'!B85</f>
        <v/>
      </c>
      <c r="CI4" s="12">
        <f>'Cal_Weeks'!B86</f>
        <v/>
      </c>
      <c r="CJ4" s="12">
        <f>'Cal_Weeks'!B87</f>
        <v/>
      </c>
      <c r="CK4" s="12">
        <f>'Cal_Weeks'!B88</f>
        <v/>
      </c>
      <c r="CL4" s="12">
        <f>'Cal_Weeks'!B89</f>
        <v/>
      </c>
      <c r="CM4" s="12">
        <f>'Cal_Weeks'!B90</f>
        <v/>
      </c>
      <c r="CN4" s="12">
        <f>'Cal_Weeks'!B91</f>
        <v/>
      </c>
      <c r="CO4" s="12">
        <f>'Cal_Weeks'!B92</f>
        <v/>
      </c>
      <c r="CP4" s="12">
        <f>'Cal_Weeks'!B93</f>
        <v/>
      </c>
      <c r="CQ4" s="12">
        <f>'Cal_Weeks'!B94</f>
        <v/>
      </c>
      <c r="CR4" s="12">
        <f>'Cal_Weeks'!B95</f>
        <v/>
      </c>
      <c r="CS4" s="12">
        <f>'Cal_Weeks'!B96</f>
        <v/>
      </c>
      <c r="CT4" s="12">
        <f>'Cal_Weeks'!B97</f>
        <v/>
      </c>
      <c r="CU4" s="12">
        <f>'Cal_Weeks'!B98</f>
        <v/>
      </c>
      <c r="CV4" s="12">
        <f>'Cal_Weeks'!B99</f>
        <v/>
      </c>
      <c r="CW4" s="12">
        <f>'Cal_Weeks'!B100</f>
        <v/>
      </c>
      <c r="CX4" s="12">
        <f>'Cal_Weeks'!B101</f>
        <v/>
      </c>
      <c r="CY4" s="12">
        <f>'Cal_Weeks'!B102</f>
        <v/>
      </c>
      <c r="CZ4" s="12">
        <f>'Cal_Weeks'!B103</f>
        <v/>
      </c>
      <c r="DA4" s="12">
        <f>'Cal_Weeks'!B104</f>
        <v/>
      </c>
      <c r="DB4" s="12">
        <f>'Cal_Weeks'!B105</f>
        <v/>
      </c>
      <c r="DC4" s="12">
        <f>'Cal_Weeks'!B106</f>
        <v/>
      </c>
      <c r="DD4" s="12">
        <f>'Cal_Weeks'!B107</f>
        <v/>
      </c>
    </row>
    <row r="5">
      <c r="A5" s="10" t="n"/>
      <c r="B5" s="10" t="n"/>
      <c r="C5" s="10" t="n"/>
      <c r="D5" s="20">
        <f>IFERROR(INDEX(Cal_Weeks!$D$4:$D$107,$F$1),"")</f>
        <v/>
      </c>
      <c r="E5" s="10">
        <f>'Cal_Weeks'!D4</f>
        <v/>
      </c>
      <c r="F5" s="10">
        <f>'Cal_Weeks'!D5</f>
        <v/>
      </c>
      <c r="G5" s="10">
        <f>'Cal_Weeks'!D6</f>
        <v/>
      </c>
      <c r="H5" s="10">
        <f>'Cal_Weeks'!D7</f>
        <v/>
      </c>
      <c r="I5" s="10">
        <f>'Cal_Weeks'!D8</f>
        <v/>
      </c>
      <c r="J5" s="10">
        <f>'Cal_Weeks'!D9</f>
        <v/>
      </c>
      <c r="K5" s="10">
        <f>'Cal_Weeks'!D10</f>
        <v/>
      </c>
      <c r="L5" s="10">
        <f>'Cal_Weeks'!D11</f>
        <v/>
      </c>
      <c r="M5" s="10">
        <f>'Cal_Weeks'!D12</f>
        <v/>
      </c>
      <c r="N5" s="10">
        <f>'Cal_Weeks'!D13</f>
        <v/>
      </c>
      <c r="O5" s="10">
        <f>'Cal_Weeks'!D14</f>
        <v/>
      </c>
      <c r="P5" s="10">
        <f>'Cal_Weeks'!D15</f>
        <v/>
      </c>
      <c r="Q5" s="10">
        <f>'Cal_Weeks'!D16</f>
        <v/>
      </c>
      <c r="R5" s="10">
        <f>'Cal_Weeks'!D17</f>
        <v/>
      </c>
      <c r="S5" s="10">
        <f>'Cal_Weeks'!D18</f>
        <v/>
      </c>
      <c r="T5" s="10">
        <f>'Cal_Weeks'!D19</f>
        <v/>
      </c>
      <c r="U5" s="10">
        <f>'Cal_Weeks'!D20</f>
        <v/>
      </c>
      <c r="V5" s="10">
        <f>'Cal_Weeks'!D21</f>
        <v/>
      </c>
      <c r="W5" s="10">
        <f>'Cal_Weeks'!D22</f>
        <v/>
      </c>
      <c r="X5" s="10">
        <f>'Cal_Weeks'!D23</f>
        <v/>
      </c>
      <c r="Y5" s="10">
        <f>'Cal_Weeks'!D24</f>
        <v/>
      </c>
      <c r="Z5" s="10">
        <f>'Cal_Weeks'!D25</f>
        <v/>
      </c>
      <c r="AA5" s="10">
        <f>'Cal_Weeks'!D26</f>
        <v/>
      </c>
      <c r="AB5" s="10">
        <f>'Cal_Weeks'!D27</f>
        <v/>
      </c>
      <c r="AC5" s="10">
        <f>'Cal_Weeks'!D28</f>
        <v/>
      </c>
      <c r="AD5" s="10">
        <f>'Cal_Weeks'!D29</f>
        <v/>
      </c>
      <c r="AE5" s="10">
        <f>'Cal_Weeks'!D30</f>
        <v/>
      </c>
      <c r="AF5" s="10">
        <f>'Cal_Weeks'!D31</f>
        <v/>
      </c>
      <c r="AG5" s="10">
        <f>'Cal_Weeks'!D32</f>
        <v/>
      </c>
      <c r="AH5" s="10">
        <f>'Cal_Weeks'!D33</f>
        <v/>
      </c>
      <c r="AI5" s="10">
        <f>'Cal_Weeks'!D34</f>
        <v/>
      </c>
      <c r="AJ5" s="10">
        <f>'Cal_Weeks'!D35</f>
        <v/>
      </c>
      <c r="AK5" s="10">
        <f>'Cal_Weeks'!D36</f>
        <v/>
      </c>
      <c r="AL5" s="10">
        <f>'Cal_Weeks'!D37</f>
        <v/>
      </c>
      <c r="AM5" s="10">
        <f>'Cal_Weeks'!D38</f>
        <v/>
      </c>
      <c r="AN5" s="10">
        <f>'Cal_Weeks'!D39</f>
        <v/>
      </c>
      <c r="AO5" s="10">
        <f>'Cal_Weeks'!D40</f>
        <v/>
      </c>
      <c r="AP5" s="10">
        <f>'Cal_Weeks'!D41</f>
        <v/>
      </c>
      <c r="AQ5" s="10">
        <f>'Cal_Weeks'!D42</f>
        <v/>
      </c>
      <c r="AR5" s="10">
        <f>'Cal_Weeks'!D43</f>
        <v/>
      </c>
      <c r="AS5" s="10">
        <f>'Cal_Weeks'!D44</f>
        <v/>
      </c>
      <c r="AT5" s="10">
        <f>'Cal_Weeks'!D45</f>
        <v/>
      </c>
      <c r="AU5" s="10">
        <f>'Cal_Weeks'!D46</f>
        <v/>
      </c>
      <c r="AV5" s="10">
        <f>'Cal_Weeks'!D47</f>
        <v/>
      </c>
      <c r="AW5" s="10">
        <f>'Cal_Weeks'!D48</f>
        <v/>
      </c>
      <c r="AX5" s="10">
        <f>'Cal_Weeks'!D49</f>
        <v/>
      </c>
      <c r="AY5" s="10">
        <f>'Cal_Weeks'!D50</f>
        <v/>
      </c>
      <c r="AZ5" s="10">
        <f>'Cal_Weeks'!D51</f>
        <v/>
      </c>
      <c r="BA5" s="10">
        <f>'Cal_Weeks'!D52</f>
        <v/>
      </c>
      <c r="BB5" s="10">
        <f>'Cal_Weeks'!D53</f>
        <v/>
      </c>
      <c r="BC5" s="10">
        <f>'Cal_Weeks'!D54</f>
        <v/>
      </c>
      <c r="BD5" s="10">
        <f>'Cal_Weeks'!D55</f>
        <v/>
      </c>
      <c r="BE5" s="10">
        <f>'Cal_Weeks'!D56</f>
        <v/>
      </c>
      <c r="BF5" s="10">
        <f>'Cal_Weeks'!D57</f>
        <v/>
      </c>
      <c r="BG5" s="10">
        <f>'Cal_Weeks'!D58</f>
        <v/>
      </c>
      <c r="BH5" s="10">
        <f>'Cal_Weeks'!D59</f>
        <v/>
      </c>
      <c r="BI5" s="10">
        <f>'Cal_Weeks'!D60</f>
        <v/>
      </c>
      <c r="BJ5" s="10">
        <f>'Cal_Weeks'!D61</f>
        <v/>
      </c>
      <c r="BK5" s="10">
        <f>'Cal_Weeks'!D62</f>
        <v/>
      </c>
      <c r="BL5" s="10">
        <f>'Cal_Weeks'!D63</f>
        <v/>
      </c>
      <c r="BM5" s="10">
        <f>'Cal_Weeks'!D64</f>
        <v/>
      </c>
      <c r="BN5" s="10">
        <f>'Cal_Weeks'!D65</f>
        <v/>
      </c>
      <c r="BO5" s="10">
        <f>'Cal_Weeks'!D66</f>
        <v/>
      </c>
      <c r="BP5" s="10">
        <f>'Cal_Weeks'!D67</f>
        <v/>
      </c>
      <c r="BQ5" s="10">
        <f>'Cal_Weeks'!D68</f>
        <v/>
      </c>
      <c r="BR5" s="10">
        <f>'Cal_Weeks'!D69</f>
        <v/>
      </c>
      <c r="BS5" s="10">
        <f>'Cal_Weeks'!D70</f>
        <v/>
      </c>
      <c r="BT5" s="10">
        <f>'Cal_Weeks'!D71</f>
        <v/>
      </c>
      <c r="BU5" s="10">
        <f>'Cal_Weeks'!D72</f>
        <v/>
      </c>
      <c r="BV5" s="10">
        <f>'Cal_Weeks'!D73</f>
        <v/>
      </c>
      <c r="BW5" s="10">
        <f>'Cal_Weeks'!D74</f>
        <v/>
      </c>
      <c r="BX5" s="10">
        <f>'Cal_Weeks'!D75</f>
        <v/>
      </c>
      <c r="BY5" s="10">
        <f>'Cal_Weeks'!D76</f>
        <v/>
      </c>
      <c r="BZ5" s="10">
        <f>'Cal_Weeks'!D77</f>
        <v/>
      </c>
      <c r="CA5" s="10">
        <f>'Cal_Weeks'!D78</f>
        <v/>
      </c>
      <c r="CB5" s="10">
        <f>'Cal_Weeks'!D79</f>
        <v/>
      </c>
      <c r="CC5" s="10">
        <f>'Cal_Weeks'!D80</f>
        <v/>
      </c>
      <c r="CD5" s="10">
        <f>'Cal_Weeks'!D81</f>
        <v/>
      </c>
      <c r="CE5" s="10">
        <f>'Cal_Weeks'!D82</f>
        <v/>
      </c>
      <c r="CF5" s="10">
        <f>'Cal_Weeks'!D83</f>
        <v/>
      </c>
      <c r="CG5" s="10">
        <f>'Cal_Weeks'!D84</f>
        <v/>
      </c>
      <c r="CH5" s="10">
        <f>'Cal_Weeks'!D85</f>
        <v/>
      </c>
      <c r="CI5" s="10">
        <f>'Cal_Weeks'!D86</f>
        <v/>
      </c>
      <c r="CJ5" s="10">
        <f>'Cal_Weeks'!D87</f>
        <v/>
      </c>
      <c r="CK5" s="10">
        <f>'Cal_Weeks'!D88</f>
        <v/>
      </c>
      <c r="CL5" s="10">
        <f>'Cal_Weeks'!D89</f>
        <v/>
      </c>
      <c r="CM5" s="10">
        <f>'Cal_Weeks'!D90</f>
        <v/>
      </c>
      <c r="CN5" s="10">
        <f>'Cal_Weeks'!D91</f>
        <v/>
      </c>
      <c r="CO5" s="10">
        <f>'Cal_Weeks'!D92</f>
        <v/>
      </c>
      <c r="CP5" s="10">
        <f>'Cal_Weeks'!D93</f>
        <v/>
      </c>
      <c r="CQ5" s="10">
        <f>'Cal_Weeks'!D94</f>
        <v/>
      </c>
      <c r="CR5" s="10">
        <f>'Cal_Weeks'!D95</f>
        <v/>
      </c>
      <c r="CS5" s="10">
        <f>'Cal_Weeks'!D96</f>
        <v/>
      </c>
      <c r="CT5" s="10">
        <f>'Cal_Weeks'!D97</f>
        <v/>
      </c>
      <c r="CU5" s="10">
        <f>'Cal_Weeks'!D98</f>
        <v/>
      </c>
      <c r="CV5" s="10">
        <f>'Cal_Weeks'!D99</f>
        <v/>
      </c>
      <c r="CW5" s="10">
        <f>'Cal_Weeks'!D100</f>
        <v/>
      </c>
      <c r="CX5" s="10">
        <f>'Cal_Weeks'!D101</f>
        <v/>
      </c>
      <c r="CY5" s="10">
        <f>'Cal_Weeks'!D102</f>
        <v/>
      </c>
      <c r="CZ5" s="10">
        <f>'Cal_Weeks'!D103</f>
        <v/>
      </c>
      <c r="DA5" s="10">
        <f>'Cal_Weeks'!D104</f>
        <v/>
      </c>
      <c r="DB5" s="10">
        <f>'Cal_Weeks'!D105</f>
        <v/>
      </c>
      <c r="DC5" s="10">
        <f>'Cal_Weeks'!D106</f>
        <v/>
      </c>
      <c r="DD5" s="10">
        <f>'Cal_Weeks'!D107</f>
        <v/>
      </c>
    </row>
    <row r="6">
      <c r="A6" s="8" t="inlineStr">
        <is>
          <t>RM_Code</t>
        </is>
      </c>
      <c r="B6" s="8" t="inlineStr">
        <is>
          <t>項目</t>
        </is>
      </c>
      <c r="C6" s="8" t="inlineStr">
        <is>
          <t>1バッチ使用量(kg)</t>
        </is>
      </c>
      <c r="D6" s="18">
        <f>IF($C$1="","選択週",$C$1)</f>
        <v/>
      </c>
      <c r="E6" s="8">
        <f>'Cal_Weeks'!E4</f>
        <v/>
      </c>
      <c r="F6" s="8">
        <f>'Cal_Weeks'!E5</f>
        <v/>
      </c>
      <c r="G6" s="8">
        <f>'Cal_Weeks'!E6</f>
        <v/>
      </c>
      <c r="H6" s="8">
        <f>'Cal_Weeks'!E7</f>
        <v/>
      </c>
      <c r="I6" s="8">
        <f>'Cal_Weeks'!E8</f>
        <v/>
      </c>
      <c r="J6" s="8">
        <f>'Cal_Weeks'!E9</f>
        <v/>
      </c>
      <c r="K6" s="8">
        <f>'Cal_Weeks'!E10</f>
        <v/>
      </c>
      <c r="L6" s="8">
        <f>'Cal_Weeks'!E11</f>
        <v/>
      </c>
      <c r="M6" s="8">
        <f>'Cal_Weeks'!E12</f>
        <v/>
      </c>
      <c r="N6" s="8">
        <f>'Cal_Weeks'!E13</f>
        <v/>
      </c>
      <c r="O6" s="8">
        <f>'Cal_Weeks'!E14</f>
        <v/>
      </c>
      <c r="P6" s="8">
        <f>'Cal_Weeks'!E15</f>
        <v/>
      </c>
      <c r="Q6" s="8">
        <f>'Cal_Weeks'!E16</f>
        <v/>
      </c>
      <c r="R6" s="8">
        <f>'Cal_Weeks'!E17</f>
        <v/>
      </c>
      <c r="S6" s="8">
        <f>'Cal_Weeks'!E18</f>
        <v/>
      </c>
      <c r="T6" s="8">
        <f>'Cal_Weeks'!E19</f>
        <v/>
      </c>
      <c r="U6" s="8">
        <f>'Cal_Weeks'!E20</f>
        <v/>
      </c>
      <c r="V6" s="8">
        <f>'Cal_Weeks'!E21</f>
        <v/>
      </c>
      <c r="W6" s="8">
        <f>'Cal_Weeks'!E22</f>
        <v/>
      </c>
      <c r="X6" s="8">
        <f>'Cal_Weeks'!E23</f>
        <v/>
      </c>
      <c r="Y6" s="8">
        <f>'Cal_Weeks'!E24</f>
        <v/>
      </c>
      <c r="Z6" s="8">
        <f>'Cal_Weeks'!E25</f>
        <v/>
      </c>
      <c r="AA6" s="8">
        <f>'Cal_Weeks'!E26</f>
        <v/>
      </c>
      <c r="AB6" s="8">
        <f>'Cal_Weeks'!E27</f>
        <v/>
      </c>
      <c r="AC6" s="8">
        <f>'Cal_Weeks'!E28</f>
        <v/>
      </c>
      <c r="AD6" s="8">
        <f>'Cal_Weeks'!E29</f>
        <v/>
      </c>
      <c r="AE6" s="8">
        <f>'Cal_Weeks'!E30</f>
        <v/>
      </c>
      <c r="AF6" s="8">
        <f>'Cal_Weeks'!E31</f>
        <v/>
      </c>
      <c r="AG6" s="8">
        <f>'Cal_Weeks'!E32</f>
        <v/>
      </c>
      <c r="AH6" s="8">
        <f>'Cal_Weeks'!E33</f>
        <v/>
      </c>
      <c r="AI6" s="8">
        <f>'Cal_Weeks'!E34</f>
        <v/>
      </c>
      <c r="AJ6" s="8">
        <f>'Cal_Weeks'!E35</f>
        <v/>
      </c>
      <c r="AK6" s="8">
        <f>'Cal_Weeks'!E36</f>
        <v/>
      </c>
      <c r="AL6" s="8">
        <f>'Cal_Weeks'!E37</f>
        <v/>
      </c>
      <c r="AM6" s="8">
        <f>'Cal_Weeks'!E38</f>
        <v/>
      </c>
      <c r="AN6" s="8">
        <f>'Cal_Weeks'!E39</f>
        <v/>
      </c>
      <c r="AO6" s="8">
        <f>'Cal_Weeks'!E40</f>
        <v/>
      </c>
      <c r="AP6" s="8">
        <f>'Cal_Weeks'!E41</f>
        <v/>
      </c>
      <c r="AQ6" s="8">
        <f>'Cal_Weeks'!E42</f>
        <v/>
      </c>
      <c r="AR6" s="8">
        <f>'Cal_Weeks'!E43</f>
        <v/>
      </c>
      <c r="AS6" s="8">
        <f>'Cal_Weeks'!E44</f>
        <v/>
      </c>
      <c r="AT6" s="8">
        <f>'Cal_Weeks'!E45</f>
        <v/>
      </c>
      <c r="AU6" s="8">
        <f>'Cal_Weeks'!E46</f>
        <v/>
      </c>
      <c r="AV6" s="8">
        <f>'Cal_Weeks'!E47</f>
        <v/>
      </c>
      <c r="AW6" s="8">
        <f>'Cal_Weeks'!E48</f>
        <v/>
      </c>
      <c r="AX6" s="8">
        <f>'Cal_Weeks'!E49</f>
        <v/>
      </c>
      <c r="AY6" s="8">
        <f>'Cal_Weeks'!E50</f>
        <v/>
      </c>
      <c r="AZ6" s="8">
        <f>'Cal_Weeks'!E51</f>
        <v/>
      </c>
      <c r="BA6" s="8">
        <f>'Cal_Weeks'!E52</f>
        <v/>
      </c>
      <c r="BB6" s="8">
        <f>'Cal_Weeks'!E53</f>
        <v/>
      </c>
      <c r="BC6" s="8">
        <f>'Cal_Weeks'!E54</f>
        <v/>
      </c>
      <c r="BD6" s="8">
        <f>'Cal_Weeks'!E55</f>
        <v/>
      </c>
      <c r="BE6" s="8">
        <f>'Cal_Weeks'!E56</f>
        <v/>
      </c>
      <c r="BF6" s="8">
        <f>'Cal_Weeks'!E57</f>
        <v/>
      </c>
      <c r="BG6" s="8">
        <f>'Cal_Weeks'!E58</f>
        <v/>
      </c>
      <c r="BH6" s="8">
        <f>'Cal_Weeks'!E59</f>
        <v/>
      </c>
      <c r="BI6" s="8">
        <f>'Cal_Weeks'!E60</f>
        <v/>
      </c>
      <c r="BJ6" s="8">
        <f>'Cal_Weeks'!E61</f>
        <v/>
      </c>
      <c r="BK6" s="8">
        <f>'Cal_Weeks'!E62</f>
        <v/>
      </c>
      <c r="BL6" s="8">
        <f>'Cal_Weeks'!E63</f>
        <v/>
      </c>
      <c r="BM6" s="8">
        <f>'Cal_Weeks'!E64</f>
        <v/>
      </c>
      <c r="BN6" s="8">
        <f>'Cal_Weeks'!E65</f>
        <v/>
      </c>
      <c r="BO6" s="8">
        <f>'Cal_Weeks'!E66</f>
        <v/>
      </c>
      <c r="BP6" s="8">
        <f>'Cal_Weeks'!E67</f>
        <v/>
      </c>
      <c r="BQ6" s="8">
        <f>'Cal_Weeks'!E68</f>
        <v/>
      </c>
      <c r="BR6" s="8">
        <f>'Cal_Weeks'!E69</f>
        <v/>
      </c>
      <c r="BS6" s="8">
        <f>'Cal_Weeks'!E70</f>
        <v/>
      </c>
      <c r="BT6" s="8">
        <f>'Cal_Weeks'!E71</f>
        <v/>
      </c>
      <c r="BU6" s="8">
        <f>'Cal_Weeks'!E72</f>
        <v/>
      </c>
      <c r="BV6" s="8">
        <f>'Cal_Weeks'!E73</f>
        <v/>
      </c>
      <c r="BW6" s="8">
        <f>'Cal_Weeks'!E74</f>
        <v/>
      </c>
      <c r="BX6" s="8">
        <f>'Cal_Weeks'!E75</f>
        <v/>
      </c>
      <c r="BY6" s="8">
        <f>'Cal_Weeks'!E76</f>
        <v/>
      </c>
      <c r="BZ6" s="8">
        <f>'Cal_Weeks'!E77</f>
        <v/>
      </c>
      <c r="CA6" s="8">
        <f>'Cal_Weeks'!E78</f>
        <v/>
      </c>
      <c r="CB6" s="8">
        <f>'Cal_Weeks'!E79</f>
        <v/>
      </c>
      <c r="CC6" s="8">
        <f>'Cal_Weeks'!E80</f>
        <v/>
      </c>
      <c r="CD6" s="8">
        <f>'Cal_Weeks'!E81</f>
        <v/>
      </c>
      <c r="CE6" s="8">
        <f>'Cal_Weeks'!E82</f>
        <v/>
      </c>
      <c r="CF6" s="8">
        <f>'Cal_Weeks'!E83</f>
        <v/>
      </c>
      <c r="CG6" s="8">
        <f>'Cal_Weeks'!E84</f>
        <v/>
      </c>
      <c r="CH6" s="8">
        <f>'Cal_Weeks'!E85</f>
        <v/>
      </c>
      <c r="CI6" s="8">
        <f>'Cal_Weeks'!E86</f>
        <v/>
      </c>
      <c r="CJ6" s="8">
        <f>'Cal_Weeks'!E87</f>
        <v/>
      </c>
      <c r="CK6" s="8">
        <f>'Cal_Weeks'!E88</f>
        <v/>
      </c>
      <c r="CL6" s="8">
        <f>'Cal_Weeks'!E89</f>
        <v/>
      </c>
      <c r="CM6" s="8">
        <f>'Cal_Weeks'!E90</f>
        <v/>
      </c>
      <c r="CN6" s="8">
        <f>'Cal_Weeks'!E91</f>
        <v/>
      </c>
      <c r="CO6" s="8">
        <f>'Cal_Weeks'!E92</f>
        <v/>
      </c>
      <c r="CP6" s="8">
        <f>'Cal_Weeks'!E93</f>
        <v/>
      </c>
      <c r="CQ6" s="8">
        <f>'Cal_Weeks'!E94</f>
        <v/>
      </c>
      <c r="CR6" s="8">
        <f>'Cal_Weeks'!E95</f>
        <v/>
      </c>
      <c r="CS6" s="8">
        <f>'Cal_Weeks'!E96</f>
        <v/>
      </c>
      <c r="CT6" s="8">
        <f>'Cal_Weeks'!E97</f>
        <v/>
      </c>
      <c r="CU6" s="8">
        <f>'Cal_Weeks'!E98</f>
        <v/>
      </c>
      <c r="CV6" s="8">
        <f>'Cal_Weeks'!E99</f>
        <v/>
      </c>
      <c r="CW6" s="8">
        <f>'Cal_Weeks'!E100</f>
        <v/>
      </c>
      <c r="CX6" s="8">
        <f>'Cal_Weeks'!E101</f>
        <v/>
      </c>
      <c r="CY6" s="8">
        <f>'Cal_Weeks'!E102</f>
        <v/>
      </c>
      <c r="CZ6" s="8">
        <f>'Cal_Weeks'!E103</f>
        <v/>
      </c>
      <c r="DA6" s="8">
        <f>'Cal_Weeks'!E104</f>
        <v/>
      </c>
      <c r="DB6" s="8">
        <f>'Cal_Weeks'!E105</f>
        <v/>
      </c>
      <c r="DC6" s="8">
        <f>'Cal_Weeks'!E106</f>
        <v/>
      </c>
      <c r="DD6" s="8">
        <f>'Cal_Weeks'!E107</f>
        <v/>
      </c>
    </row>
    <row r="7">
      <c r="A7" s="21" t="inlineStr">
        <is>
          <t>CHEM-1220</t>
        </is>
      </c>
      <c r="B7" s="21" t="inlineStr">
        <is>
          <t>Actalys Lisa</t>
        </is>
      </c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  <c r="DD7" s="21" t="n"/>
    </row>
    <row r="8">
      <c r="B8" t="inlineStr">
        <is>
          <t>TSP-049</t>
        </is>
      </c>
      <c r="C8" t="inlineStr">
        <is>
          <t>No. of batches</t>
        </is>
      </c>
      <c r="D8">
        <f>IFERROR(INDEX(E8:DD8,$F$1),"")</f>
        <v/>
      </c>
      <c r="E8">
        <f>IFERROR(INDEX(PP_Grid[#Data],$DE8,2),0)</f>
        <v/>
      </c>
      <c r="F8">
        <f>IFERROR(INDEX(PP_Grid[#Data],$DE8,3),0)</f>
        <v/>
      </c>
      <c r="G8">
        <f>IFERROR(INDEX(PP_Grid[#Data],$DE8,4),0)</f>
        <v/>
      </c>
      <c r="H8">
        <f>IFERROR(INDEX(PP_Grid[#Data],$DE8,5),0)</f>
        <v/>
      </c>
      <c r="I8">
        <f>IFERROR(INDEX(PP_Grid[#Data],$DE8,6),0)</f>
        <v/>
      </c>
      <c r="J8">
        <f>IFERROR(INDEX(PP_Grid[#Data],$DE8,7),0)</f>
        <v/>
      </c>
      <c r="K8">
        <f>IFERROR(INDEX(PP_Grid[#Data],$DE8,8),0)</f>
        <v/>
      </c>
      <c r="L8">
        <f>IFERROR(INDEX(PP_Grid[#Data],$DE8,9),0)</f>
        <v/>
      </c>
      <c r="M8">
        <f>IFERROR(INDEX(PP_Grid[#Data],$DE8,10),0)</f>
        <v/>
      </c>
      <c r="N8">
        <f>IFERROR(INDEX(PP_Grid[#Data],$DE8,11),0)</f>
        <v/>
      </c>
      <c r="O8">
        <f>IFERROR(INDEX(PP_Grid[#Data],$DE8,12),0)</f>
        <v/>
      </c>
      <c r="P8">
        <f>IFERROR(INDEX(PP_Grid[#Data],$DE8,13),0)</f>
        <v/>
      </c>
      <c r="Q8">
        <f>IFERROR(INDEX(PP_Grid[#Data],$DE8,14),0)</f>
        <v/>
      </c>
      <c r="R8">
        <f>IFERROR(INDEX(PP_Grid[#Data],$DE8,15),0)</f>
        <v/>
      </c>
      <c r="S8">
        <f>IFERROR(INDEX(PP_Grid[#Data],$DE8,16),0)</f>
        <v/>
      </c>
      <c r="T8">
        <f>IFERROR(INDEX(PP_Grid[#Data],$DE8,17),0)</f>
        <v/>
      </c>
      <c r="U8">
        <f>IFERROR(INDEX(PP_Grid[#Data],$DE8,18),0)</f>
        <v/>
      </c>
      <c r="V8">
        <f>IFERROR(INDEX(PP_Grid[#Data],$DE8,19),0)</f>
        <v/>
      </c>
      <c r="W8">
        <f>IFERROR(INDEX(PP_Grid[#Data],$DE8,20),0)</f>
        <v/>
      </c>
      <c r="X8">
        <f>IFERROR(INDEX(PP_Grid[#Data],$DE8,21),0)</f>
        <v/>
      </c>
      <c r="Y8">
        <f>IFERROR(INDEX(PP_Grid[#Data],$DE8,22),0)</f>
        <v/>
      </c>
      <c r="Z8">
        <f>IFERROR(INDEX(PP_Grid[#Data],$DE8,23),0)</f>
        <v/>
      </c>
      <c r="AA8">
        <f>IFERROR(INDEX(PP_Grid[#Data],$DE8,24),0)</f>
        <v/>
      </c>
      <c r="AB8">
        <f>IFERROR(INDEX(PP_Grid[#Data],$DE8,25),0)</f>
        <v/>
      </c>
      <c r="AC8">
        <f>IFERROR(INDEX(PP_Grid[#Data],$DE8,26),0)</f>
        <v/>
      </c>
      <c r="AD8">
        <f>IFERROR(INDEX(PP_Grid[#Data],$DE8,27),0)</f>
        <v/>
      </c>
      <c r="AE8">
        <f>IFERROR(INDEX(PP_Grid[#Data],$DE8,28),0)</f>
        <v/>
      </c>
      <c r="AF8">
        <f>IFERROR(INDEX(PP_Grid[#Data],$DE8,29),0)</f>
        <v/>
      </c>
      <c r="AG8">
        <f>IFERROR(INDEX(PP_Grid[#Data],$DE8,30),0)</f>
        <v/>
      </c>
      <c r="AH8">
        <f>IFERROR(INDEX(PP_Grid[#Data],$DE8,31),0)</f>
        <v/>
      </c>
      <c r="AI8">
        <f>IFERROR(INDEX(PP_Grid[#Data],$DE8,32),0)</f>
        <v/>
      </c>
      <c r="AJ8">
        <f>IFERROR(INDEX(PP_Grid[#Data],$DE8,33),0)</f>
        <v/>
      </c>
      <c r="AK8">
        <f>IFERROR(INDEX(PP_Grid[#Data],$DE8,34),0)</f>
        <v/>
      </c>
      <c r="AL8">
        <f>IFERROR(INDEX(PP_Grid[#Data],$DE8,35),0)</f>
        <v/>
      </c>
      <c r="AM8">
        <f>IFERROR(INDEX(PP_Grid[#Data],$DE8,36),0)</f>
        <v/>
      </c>
      <c r="AN8">
        <f>IFERROR(INDEX(PP_Grid[#Data],$DE8,37),0)</f>
        <v/>
      </c>
      <c r="AO8">
        <f>IFERROR(INDEX(PP_Grid[#Data],$DE8,38),0)</f>
        <v/>
      </c>
      <c r="AP8">
        <f>IFERROR(INDEX(PP_Grid[#Data],$DE8,39),0)</f>
        <v/>
      </c>
      <c r="AQ8">
        <f>IFERROR(INDEX(PP_Grid[#Data],$DE8,40),0)</f>
        <v/>
      </c>
      <c r="AR8">
        <f>IFERROR(INDEX(PP_Grid[#Data],$DE8,41),0)</f>
        <v/>
      </c>
      <c r="AS8">
        <f>IFERROR(INDEX(PP_Grid[#Data],$DE8,42),0)</f>
        <v/>
      </c>
      <c r="AT8">
        <f>IFERROR(INDEX(PP_Grid[#Data],$DE8,43),0)</f>
        <v/>
      </c>
      <c r="AU8">
        <f>IFERROR(INDEX(PP_Grid[#Data],$DE8,44),0)</f>
        <v/>
      </c>
      <c r="AV8">
        <f>IFERROR(INDEX(PP_Grid[#Data],$DE8,45),0)</f>
        <v/>
      </c>
      <c r="AW8">
        <f>IFERROR(INDEX(PP_Grid[#Data],$DE8,46),0)</f>
        <v/>
      </c>
      <c r="AX8">
        <f>IFERROR(INDEX(PP_Grid[#Data],$DE8,47),0)</f>
        <v/>
      </c>
      <c r="AY8">
        <f>IFERROR(INDEX(PP_Grid[#Data],$DE8,48),0)</f>
        <v/>
      </c>
      <c r="AZ8">
        <f>IFERROR(INDEX(PP_Grid[#Data],$DE8,49),0)</f>
        <v/>
      </c>
      <c r="BA8">
        <f>IFERROR(INDEX(PP_Grid[#Data],$DE8,50),0)</f>
        <v/>
      </c>
      <c r="BB8">
        <f>IFERROR(INDEX(PP_Grid[#Data],$DE8,51),0)</f>
        <v/>
      </c>
      <c r="BC8">
        <f>IFERROR(INDEX(PP_Grid[#Data],$DE8,52),0)</f>
        <v/>
      </c>
      <c r="BD8">
        <f>IFERROR(INDEX(PP_Grid[#Data],$DE8,53),0)</f>
        <v/>
      </c>
      <c r="BE8">
        <f>IFERROR(INDEX(PP_Grid[#Data],$DE8,54),0)</f>
        <v/>
      </c>
      <c r="BF8">
        <f>IFERROR(INDEX(PP_Grid[#Data],$DE8,55),0)</f>
        <v/>
      </c>
      <c r="BG8">
        <f>IFERROR(INDEX(PP_Grid[#Data],$DE8,56),0)</f>
        <v/>
      </c>
      <c r="BH8">
        <f>IFERROR(INDEX(PP_Grid[#Data],$DE8,57),0)</f>
        <v/>
      </c>
      <c r="BI8">
        <f>IFERROR(INDEX(PP_Grid[#Data],$DE8,58),0)</f>
        <v/>
      </c>
      <c r="BJ8">
        <f>IFERROR(INDEX(PP_Grid[#Data],$DE8,59),0)</f>
        <v/>
      </c>
      <c r="BK8">
        <f>IFERROR(INDEX(PP_Grid[#Data],$DE8,60),0)</f>
        <v/>
      </c>
      <c r="BL8">
        <f>IFERROR(INDEX(PP_Grid[#Data],$DE8,61),0)</f>
        <v/>
      </c>
      <c r="BM8">
        <f>IFERROR(INDEX(PP_Grid[#Data],$DE8,62),0)</f>
        <v/>
      </c>
      <c r="BN8">
        <f>IFERROR(INDEX(PP_Grid[#Data],$DE8,63),0)</f>
        <v/>
      </c>
      <c r="BO8">
        <f>IFERROR(INDEX(PP_Grid[#Data],$DE8,64),0)</f>
        <v/>
      </c>
      <c r="BP8">
        <f>IFERROR(INDEX(PP_Grid[#Data],$DE8,65),0)</f>
        <v/>
      </c>
      <c r="BQ8">
        <f>IFERROR(INDEX(PP_Grid[#Data],$DE8,66),0)</f>
        <v/>
      </c>
      <c r="BR8">
        <f>IFERROR(INDEX(PP_Grid[#Data],$DE8,67),0)</f>
        <v/>
      </c>
      <c r="BS8">
        <f>IFERROR(INDEX(PP_Grid[#Data],$DE8,68),0)</f>
        <v/>
      </c>
      <c r="BT8">
        <f>IFERROR(INDEX(PP_Grid[#Data],$DE8,69),0)</f>
        <v/>
      </c>
      <c r="BU8">
        <f>IFERROR(INDEX(PP_Grid[#Data],$DE8,70),0)</f>
        <v/>
      </c>
      <c r="BV8">
        <f>IFERROR(INDEX(PP_Grid[#Data],$DE8,71),0)</f>
        <v/>
      </c>
      <c r="BW8">
        <f>IFERROR(INDEX(PP_Grid[#Data],$DE8,72),0)</f>
        <v/>
      </c>
      <c r="BX8">
        <f>IFERROR(INDEX(PP_Grid[#Data],$DE8,73),0)</f>
        <v/>
      </c>
      <c r="BY8">
        <f>IFERROR(INDEX(PP_Grid[#Data],$DE8,74),0)</f>
        <v/>
      </c>
      <c r="BZ8">
        <f>IFERROR(INDEX(PP_Grid[#Data],$DE8,75),0)</f>
        <v/>
      </c>
      <c r="CA8">
        <f>IFERROR(INDEX(PP_Grid[#Data],$DE8,76),0)</f>
        <v/>
      </c>
      <c r="CB8">
        <f>IFERROR(INDEX(PP_Grid[#Data],$DE8,77),0)</f>
        <v/>
      </c>
      <c r="CC8">
        <f>IFERROR(INDEX(PP_Grid[#Data],$DE8,78),0)</f>
        <v/>
      </c>
      <c r="CD8">
        <f>IFERROR(INDEX(PP_Grid[#Data],$DE8,79),0)</f>
        <v/>
      </c>
      <c r="CE8">
        <f>IFERROR(INDEX(PP_Grid[#Data],$DE8,80),0)</f>
        <v/>
      </c>
      <c r="CF8">
        <f>IFERROR(INDEX(PP_Grid[#Data],$DE8,81),0)</f>
        <v/>
      </c>
      <c r="CG8">
        <f>IFERROR(INDEX(PP_Grid[#Data],$DE8,82),0)</f>
        <v/>
      </c>
      <c r="CH8">
        <f>IFERROR(INDEX(PP_Grid[#Data],$DE8,83),0)</f>
        <v/>
      </c>
      <c r="CI8">
        <f>IFERROR(INDEX(PP_Grid[#Data],$DE8,84),0)</f>
        <v/>
      </c>
      <c r="CJ8">
        <f>IFERROR(INDEX(PP_Grid[#Data],$DE8,85),0)</f>
        <v/>
      </c>
      <c r="CK8">
        <f>IFERROR(INDEX(PP_Grid[#Data],$DE8,86),0)</f>
        <v/>
      </c>
      <c r="CL8">
        <f>IFERROR(INDEX(PP_Grid[#Data],$DE8,87),0)</f>
        <v/>
      </c>
      <c r="CM8">
        <f>IFERROR(INDEX(PP_Grid[#Data],$DE8,88),0)</f>
        <v/>
      </c>
      <c r="CN8">
        <f>IFERROR(INDEX(PP_Grid[#Data],$DE8,89),0)</f>
        <v/>
      </c>
      <c r="CO8">
        <f>IFERROR(INDEX(PP_Grid[#Data],$DE8,90),0)</f>
        <v/>
      </c>
      <c r="CP8">
        <f>IFERROR(INDEX(PP_Grid[#Data],$DE8,91),0)</f>
        <v/>
      </c>
      <c r="CQ8">
        <f>IFERROR(INDEX(PP_Grid[#Data],$DE8,92),0)</f>
        <v/>
      </c>
      <c r="CR8">
        <f>IFERROR(INDEX(PP_Grid[#Data],$DE8,93),0)</f>
        <v/>
      </c>
      <c r="CS8">
        <f>IFERROR(INDEX(PP_Grid[#Data],$DE8,94),0)</f>
        <v/>
      </c>
      <c r="CT8">
        <f>IFERROR(INDEX(PP_Grid[#Data],$DE8,95),0)</f>
        <v/>
      </c>
      <c r="CU8">
        <f>IFERROR(INDEX(PP_Grid[#Data],$DE8,96),0)</f>
        <v/>
      </c>
      <c r="CV8">
        <f>IFERROR(INDEX(PP_Grid[#Data],$DE8,97),0)</f>
        <v/>
      </c>
      <c r="CW8">
        <f>IFERROR(INDEX(PP_Grid[#Data],$DE8,98),0)</f>
        <v/>
      </c>
      <c r="CX8">
        <f>IFERROR(INDEX(PP_Grid[#Data],$DE8,99),0)</f>
        <v/>
      </c>
      <c r="CY8">
        <f>IFERROR(INDEX(PP_Grid[#Data],$DE8,100),0)</f>
        <v/>
      </c>
      <c r="CZ8">
        <f>IFERROR(INDEX(PP_Grid[#Data],$DE8,101),0)</f>
        <v/>
      </c>
      <c r="DA8">
        <f>IFERROR(INDEX(PP_Grid[#Data],$DE8,102),0)</f>
        <v/>
      </c>
      <c r="DB8">
        <f>IFERROR(INDEX(PP_Grid[#Data],$DE8,103),0)</f>
        <v/>
      </c>
      <c r="DC8">
        <f>IFERROR(INDEX(PP_Grid[#Data],$DE8,104),0)</f>
        <v/>
      </c>
      <c r="DD8">
        <f>IFERROR(INDEX(PP_Grid[#Data],$DE8,105),0)</f>
        <v/>
      </c>
      <c r="DE8" s="7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SUMIFS(M_BOM[RM_Qty_Per_Batch],M_BOM[Intermediate],$B8,M_BOM[RM_Code],$A7)</f>
        <v/>
      </c>
      <c r="D9">
        <f>IFERROR(INDEX(E9:DD9,$F$1),"")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  <c r="DD9">
        <f>$C9*DD8</f>
        <v/>
      </c>
    </row>
    <row r="10">
      <c r="B10" t="inlineStr">
        <is>
          <t>TSP-067</t>
        </is>
      </c>
      <c r="C10" t="inlineStr">
        <is>
          <t>No. of batches</t>
        </is>
      </c>
      <c r="D10">
        <f>IFERROR(INDEX(E10:DD10,$F$1),"")</f>
        <v/>
      </c>
      <c r="E10">
        <f>IFERROR(INDEX(PP_Grid[#Data],$DE10,2),0)</f>
        <v/>
      </c>
      <c r="F10">
        <f>IFERROR(INDEX(PP_Grid[#Data],$DE10,3),0)</f>
        <v/>
      </c>
      <c r="G10">
        <f>IFERROR(INDEX(PP_Grid[#Data],$DE10,4),0)</f>
        <v/>
      </c>
      <c r="H10">
        <f>IFERROR(INDEX(PP_Grid[#Data],$DE10,5),0)</f>
        <v/>
      </c>
      <c r="I10">
        <f>IFERROR(INDEX(PP_Grid[#Data],$DE10,6),0)</f>
        <v/>
      </c>
      <c r="J10">
        <f>IFERROR(INDEX(PP_Grid[#Data],$DE10,7),0)</f>
        <v/>
      </c>
      <c r="K10">
        <f>IFERROR(INDEX(PP_Grid[#Data],$DE10,8),0)</f>
        <v/>
      </c>
      <c r="L10">
        <f>IFERROR(INDEX(PP_Grid[#Data],$DE10,9),0)</f>
        <v/>
      </c>
      <c r="M10">
        <f>IFERROR(INDEX(PP_Grid[#Data],$DE10,10),0)</f>
        <v/>
      </c>
      <c r="N10">
        <f>IFERROR(INDEX(PP_Grid[#Data],$DE10,11),0)</f>
        <v/>
      </c>
      <c r="O10">
        <f>IFERROR(INDEX(PP_Grid[#Data],$DE10,12),0)</f>
        <v/>
      </c>
      <c r="P10">
        <f>IFERROR(INDEX(PP_Grid[#Data],$DE10,13),0)</f>
        <v/>
      </c>
      <c r="Q10">
        <f>IFERROR(INDEX(PP_Grid[#Data],$DE10,14),0)</f>
        <v/>
      </c>
      <c r="R10">
        <f>IFERROR(INDEX(PP_Grid[#Data],$DE10,15),0)</f>
        <v/>
      </c>
      <c r="S10">
        <f>IFERROR(INDEX(PP_Grid[#Data],$DE10,16),0)</f>
        <v/>
      </c>
      <c r="T10">
        <f>IFERROR(INDEX(PP_Grid[#Data],$DE10,17),0)</f>
        <v/>
      </c>
      <c r="U10">
        <f>IFERROR(INDEX(PP_Grid[#Data],$DE10,18),0)</f>
        <v/>
      </c>
      <c r="V10">
        <f>IFERROR(INDEX(PP_Grid[#Data],$DE10,19),0)</f>
        <v/>
      </c>
      <c r="W10">
        <f>IFERROR(INDEX(PP_Grid[#Data],$DE10,20),0)</f>
        <v/>
      </c>
      <c r="X10">
        <f>IFERROR(INDEX(PP_Grid[#Data],$DE10,21),0)</f>
        <v/>
      </c>
      <c r="Y10">
        <f>IFERROR(INDEX(PP_Grid[#Data],$DE10,22),0)</f>
        <v/>
      </c>
      <c r="Z10">
        <f>IFERROR(INDEX(PP_Grid[#Data],$DE10,23),0)</f>
        <v/>
      </c>
      <c r="AA10">
        <f>IFERROR(INDEX(PP_Grid[#Data],$DE10,24),0)</f>
        <v/>
      </c>
      <c r="AB10">
        <f>IFERROR(INDEX(PP_Grid[#Data],$DE10,25),0)</f>
        <v/>
      </c>
      <c r="AC10">
        <f>IFERROR(INDEX(PP_Grid[#Data],$DE10,26),0)</f>
        <v/>
      </c>
      <c r="AD10">
        <f>IFERROR(INDEX(PP_Grid[#Data],$DE10,27),0)</f>
        <v/>
      </c>
      <c r="AE10">
        <f>IFERROR(INDEX(PP_Grid[#Data],$DE10,28),0)</f>
        <v/>
      </c>
      <c r="AF10">
        <f>IFERROR(INDEX(PP_Grid[#Data],$DE10,29),0)</f>
        <v/>
      </c>
      <c r="AG10">
        <f>IFERROR(INDEX(PP_Grid[#Data],$DE10,30),0)</f>
        <v/>
      </c>
      <c r="AH10">
        <f>IFERROR(INDEX(PP_Grid[#Data],$DE10,31),0)</f>
        <v/>
      </c>
      <c r="AI10">
        <f>IFERROR(INDEX(PP_Grid[#Data],$DE10,32),0)</f>
        <v/>
      </c>
      <c r="AJ10">
        <f>IFERROR(INDEX(PP_Grid[#Data],$DE10,33),0)</f>
        <v/>
      </c>
      <c r="AK10">
        <f>IFERROR(INDEX(PP_Grid[#Data],$DE10,34),0)</f>
        <v/>
      </c>
      <c r="AL10">
        <f>IFERROR(INDEX(PP_Grid[#Data],$DE10,35),0)</f>
        <v/>
      </c>
      <c r="AM10">
        <f>IFERROR(INDEX(PP_Grid[#Data],$DE10,36),0)</f>
        <v/>
      </c>
      <c r="AN10">
        <f>IFERROR(INDEX(PP_Grid[#Data],$DE10,37),0)</f>
        <v/>
      </c>
      <c r="AO10">
        <f>IFERROR(INDEX(PP_Grid[#Data],$DE10,38),0)</f>
        <v/>
      </c>
      <c r="AP10">
        <f>IFERROR(INDEX(PP_Grid[#Data],$DE10,39),0)</f>
        <v/>
      </c>
      <c r="AQ10">
        <f>IFERROR(INDEX(PP_Grid[#Data],$DE10,40),0)</f>
        <v/>
      </c>
      <c r="AR10">
        <f>IFERROR(INDEX(PP_Grid[#Data],$DE10,41),0)</f>
        <v/>
      </c>
      <c r="AS10">
        <f>IFERROR(INDEX(PP_Grid[#Data],$DE10,42),0)</f>
        <v/>
      </c>
      <c r="AT10">
        <f>IFERROR(INDEX(PP_Grid[#Data],$DE10,43),0)</f>
        <v/>
      </c>
      <c r="AU10">
        <f>IFERROR(INDEX(PP_Grid[#Data],$DE10,44),0)</f>
        <v/>
      </c>
      <c r="AV10">
        <f>IFERROR(INDEX(PP_Grid[#Data],$DE10,45),0)</f>
        <v/>
      </c>
      <c r="AW10">
        <f>IFERROR(INDEX(PP_Grid[#Data],$DE10,46),0)</f>
        <v/>
      </c>
      <c r="AX10">
        <f>IFERROR(INDEX(PP_Grid[#Data],$DE10,47),0)</f>
        <v/>
      </c>
      <c r="AY10">
        <f>IFERROR(INDEX(PP_Grid[#Data],$DE10,48),0)</f>
        <v/>
      </c>
      <c r="AZ10">
        <f>IFERROR(INDEX(PP_Grid[#Data],$DE10,49),0)</f>
        <v/>
      </c>
      <c r="BA10">
        <f>IFERROR(INDEX(PP_Grid[#Data],$DE10,50),0)</f>
        <v/>
      </c>
      <c r="BB10">
        <f>IFERROR(INDEX(PP_Grid[#Data],$DE10,51),0)</f>
        <v/>
      </c>
      <c r="BC10">
        <f>IFERROR(INDEX(PP_Grid[#Data],$DE10,52),0)</f>
        <v/>
      </c>
      <c r="BD10">
        <f>IFERROR(INDEX(PP_Grid[#Data],$DE10,53),0)</f>
        <v/>
      </c>
      <c r="BE10">
        <f>IFERROR(INDEX(PP_Grid[#Data],$DE10,54),0)</f>
        <v/>
      </c>
      <c r="BF10">
        <f>IFERROR(INDEX(PP_Grid[#Data],$DE10,55),0)</f>
        <v/>
      </c>
      <c r="BG10">
        <f>IFERROR(INDEX(PP_Grid[#Data],$DE10,56),0)</f>
        <v/>
      </c>
      <c r="BH10">
        <f>IFERROR(INDEX(PP_Grid[#Data],$DE10,57),0)</f>
        <v/>
      </c>
      <c r="BI10">
        <f>IFERROR(INDEX(PP_Grid[#Data],$DE10,58),0)</f>
        <v/>
      </c>
      <c r="BJ10">
        <f>IFERROR(INDEX(PP_Grid[#Data],$DE10,59),0)</f>
        <v/>
      </c>
      <c r="BK10">
        <f>IFERROR(INDEX(PP_Grid[#Data],$DE10,60),0)</f>
        <v/>
      </c>
      <c r="BL10">
        <f>IFERROR(INDEX(PP_Grid[#Data],$DE10,61),0)</f>
        <v/>
      </c>
      <c r="BM10">
        <f>IFERROR(INDEX(PP_Grid[#Data],$DE10,62),0)</f>
        <v/>
      </c>
      <c r="BN10">
        <f>IFERROR(INDEX(PP_Grid[#Data],$DE10,63),0)</f>
        <v/>
      </c>
      <c r="BO10">
        <f>IFERROR(INDEX(PP_Grid[#Data],$DE10,64),0)</f>
        <v/>
      </c>
      <c r="BP10">
        <f>IFERROR(INDEX(PP_Grid[#Data],$DE10,65),0)</f>
        <v/>
      </c>
      <c r="BQ10">
        <f>IFERROR(INDEX(PP_Grid[#Data],$DE10,66),0)</f>
        <v/>
      </c>
      <c r="BR10">
        <f>IFERROR(INDEX(PP_Grid[#Data],$DE10,67),0)</f>
        <v/>
      </c>
      <c r="BS10">
        <f>IFERROR(INDEX(PP_Grid[#Data],$DE10,68),0)</f>
        <v/>
      </c>
      <c r="BT10">
        <f>IFERROR(INDEX(PP_Grid[#Data],$DE10,69),0)</f>
        <v/>
      </c>
      <c r="BU10">
        <f>IFERROR(INDEX(PP_Grid[#Data],$DE10,70),0)</f>
        <v/>
      </c>
      <c r="BV10">
        <f>IFERROR(INDEX(PP_Grid[#Data],$DE10,71),0)</f>
        <v/>
      </c>
      <c r="BW10">
        <f>IFERROR(INDEX(PP_Grid[#Data],$DE10,72),0)</f>
        <v/>
      </c>
      <c r="BX10">
        <f>IFERROR(INDEX(PP_Grid[#Data],$DE10,73),0)</f>
        <v/>
      </c>
      <c r="BY10">
        <f>IFERROR(INDEX(PP_Grid[#Data],$DE10,74),0)</f>
        <v/>
      </c>
      <c r="BZ10">
        <f>IFERROR(INDEX(PP_Grid[#Data],$DE10,75),0)</f>
        <v/>
      </c>
      <c r="CA10">
        <f>IFERROR(INDEX(PP_Grid[#Data],$DE10,76),0)</f>
        <v/>
      </c>
      <c r="CB10">
        <f>IFERROR(INDEX(PP_Grid[#Data],$DE10,77),0)</f>
        <v/>
      </c>
      <c r="CC10">
        <f>IFERROR(INDEX(PP_Grid[#Data],$DE10,78),0)</f>
        <v/>
      </c>
      <c r="CD10">
        <f>IFERROR(INDEX(PP_Grid[#Data],$DE10,79),0)</f>
        <v/>
      </c>
      <c r="CE10">
        <f>IFERROR(INDEX(PP_Grid[#Data],$DE10,80),0)</f>
        <v/>
      </c>
      <c r="CF10">
        <f>IFERROR(INDEX(PP_Grid[#Data],$DE10,81),0)</f>
        <v/>
      </c>
      <c r="CG10">
        <f>IFERROR(INDEX(PP_Grid[#Data],$DE10,82),0)</f>
        <v/>
      </c>
      <c r="CH10">
        <f>IFERROR(INDEX(PP_Grid[#Data],$DE10,83),0)</f>
        <v/>
      </c>
      <c r="CI10">
        <f>IFERROR(INDEX(PP_Grid[#Data],$DE10,84),0)</f>
        <v/>
      </c>
      <c r="CJ10">
        <f>IFERROR(INDEX(PP_Grid[#Data],$DE10,85),0)</f>
        <v/>
      </c>
      <c r="CK10">
        <f>IFERROR(INDEX(PP_Grid[#Data],$DE10,86),0)</f>
        <v/>
      </c>
      <c r="CL10">
        <f>IFERROR(INDEX(PP_Grid[#Data],$DE10,87),0)</f>
        <v/>
      </c>
      <c r="CM10">
        <f>IFERROR(INDEX(PP_Grid[#Data],$DE10,88),0)</f>
        <v/>
      </c>
      <c r="CN10">
        <f>IFERROR(INDEX(PP_Grid[#Data],$DE10,89),0)</f>
        <v/>
      </c>
      <c r="CO10">
        <f>IFERROR(INDEX(PP_Grid[#Data],$DE10,90),0)</f>
        <v/>
      </c>
      <c r="CP10">
        <f>IFERROR(INDEX(PP_Grid[#Data],$DE10,91),0)</f>
        <v/>
      </c>
      <c r="CQ10">
        <f>IFERROR(INDEX(PP_Grid[#Data],$DE10,92),0)</f>
        <v/>
      </c>
      <c r="CR10">
        <f>IFERROR(INDEX(PP_Grid[#Data],$DE10,93),0)</f>
        <v/>
      </c>
      <c r="CS10">
        <f>IFERROR(INDEX(PP_Grid[#Data],$DE10,94),0)</f>
        <v/>
      </c>
      <c r="CT10">
        <f>IFERROR(INDEX(PP_Grid[#Data],$DE10,95),0)</f>
        <v/>
      </c>
      <c r="CU10">
        <f>IFERROR(INDEX(PP_Grid[#Data],$DE10,96),0)</f>
        <v/>
      </c>
      <c r="CV10">
        <f>IFERROR(INDEX(PP_Grid[#Data],$DE10,97),0)</f>
        <v/>
      </c>
      <c r="CW10">
        <f>IFERROR(INDEX(PP_Grid[#Data],$DE10,98),0)</f>
        <v/>
      </c>
      <c r="CX10">
        <f>IFERROR(INDEX(PP_Grid[#Data],$DE10,99),0)</f>
        <v/>
      </c>
      <c r="CY10">
        <f>IFERROR(INDEX(PP_Grid[#Data],$DE10,100),0)</f>
        <v/>
      </c>
      <c r="CZ10">
        <f>IFERROR(INDEX(PP_Grid[#Data],$DE10,101),0)</f>
        <v/>
      </c>
      <c r="DA10">
        <f>IFERROR(INDEX(PP_Grid[#Data],$DE10,102),0)</f>
        <v/>
      </c>
      <c r="DB10">
        <f>IFERROR(INDEX(PP_Grid[#Data],$DE10,103),0)</f>
        <v/>
      </c>
      <c r="DC10">
        <f>IFERROR(INDEX(PP_Grid[#Data],$DE10,104),0)</f>
        <v/>
      </c>
      <c r="DD10">
        <f>IFERROR(INDEX(PP_Grid[#Data],$DE10,105),0)</f>
        <v/>
      </c>
      <c r="DE10" s="7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SUMIFS(M_BOM[RM_Qty_Per_Batch],M_BOM[Intermediate],$B10,M_BOM[RM_Code],$A7)</f>
        <v/>
      </c>
      <c r="D11">
        <f>IFERROR(INDEX(E11:DD11,$F$1),"")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  <c r="DD11">
        <f>$C11*DD10</f>
        <v/>
      </c>
    </row>
    <row r="12">
      <c r="B12" t="inlineStr">
        <is>
          <t>TSP-069</t>
        </is>
      </c>
      <c r="C12" t="inlineStr">
        <is>
          <t>No. of batches</t>
        </is>
      </c>
      <c r="D12">
        <f>IFERROR(INDEX(E12:DD12,$F$1),"")</f>
        <v/>
      </c>
      <c r="E12">
        <f>IFERROR(INDEX(PP_Grid[#Data],$DE12,2),0)</f>
        <v/>
      </c>
      <c r="F12">
        <f>IFERROR(INDEX(PP_Grid[#Data],$DE12,3),0)</f>
        <v/>
      </c>
      <c r="G12">
        <f>IFERROR(INDEX(PP_Grid[#Data],$DE12,4),0)</f>
        <v/>
      </c>
      <c r="H12">
        <f>IFERROR(INDEX(PP_Grid[#Data],$DE12,5),0)</f>
        <v/>
      </c>
      <c r="I12">
        <f>IFERROR(INDEX(PP_Grid[#Data],$DE12,6),0)</f>
        <v/>
      </c>
      <c r="J12">
        <f>IFERROR(INDEX(PP_Grid[#Data],$DE12,7),0)</f>
        <v/>
      </c>
      <c r="K12">
        <f>IFERROR(INDEX(PP_Grid[#Data],$DE12,8),0)</f>
        <v/>
      </c>
      <c r="L12">
        <f>IFERROR(INDEX(PP_Grid[#Data],$DE12,9),0)</f>
        <v/>
      </c>
      <c r="M12">
        <f>IFERROR(INDEX(PP_Grid[#Data],$DE12,10),0)</f>
        <v/>
      </c>
      <c r="N12">
        <f>IFERROR(INDEX(PP_Grid[#Data],$DE12,11),0)</f>
        <v/>
      </c>
      <c r="O12">
        <f>IFERROR(INDEX(PP_Grid[#Data],$DE12,12),0)</f>
        <v/>
      </c>
      <c r="P12">
        <f>IFERROR(INDEX(PP_Grid[#Data],$DE12,13),0)</f>
        <v/>
      </c>
      <c r="Q12">
        <f>IFERROR(INDEX(PP_Grid[#Data],$DE12,14),0)</f>
        <v/>
      </c>
      <c r="R12">
        <f>IFERROR(INDEX(PP_Grid[#Data],$DE12,15),0)</f>
        <v/>
      </c>
      <c r="S12">
        <f>IFERROR(INDEX(PP_Grid[#Data],$DE12,16),0)</f>
        <v/>
      </c>
      <c r="T12">
        <f>IFERROR(INDEX(PP_Grid[#Data],$DE12,17),0)</f>
        <v/>
      </c>
      <c r="U12">
        <f>IFERROR(INDEX(PP_Grid[#Data],$DE12,18),0)</f>
        <v/>
      </c>
      <c r="V12">
        <f>IFERROR(INDEX(PP_Grid[#Data],$DE12,19),0)</f>
        <v/>
      </c>
      <c r="W12">
        <f>IFERROR(INDEX(PP_Grid[#Data],$DE12,20),0)</f>
        <v/>
      </c>
      <c r="X12">
        <f>IFERROR(INDEX(PP_Grid[#Data],$DE12,21),0)</f>
        <v/>
      </c>
      <c r="Y12">
        <f>IFERROR(INDEX(PP_Grid[#Data],$DE12,22),0)</f>
        <v/>
      </c>
      <c r="Z12">
        <f>IFERROR(INDEX(PP_Grid[#Data],$DE12,23),0)</f>
        <v/>
      </c>
      <c r="AA12">
        <f>IFERROR(INDEX(PP_Grid[#Data],$DE12,24),0)</f>
        <v/>
      </c>
      <c r="AB12">
        <f>IFERROR(INDEX(PP_Grid[#Data],$DE12,25),0)</f>
        <v/>
      </c>
      <c r="AC12">
        <f>IFERROR(INDEX(PP_Grid[#Data],$DE12,26),0)</f>
        <v/>
      </c>
      <c r="AD12">
        <f>IFERROR(INDEX(PP_Grid[#Data],$DE12,27),0)</f>
        <v/>
      </c>
      <c r="AE12">
        <f>IFERROR(INDEX(PP_Grid[#Data],$DE12,28),0)</f>
        <v/>
      </c>
      <c r="AF12">
        <f>IFERROR(INDEX(PP_Grid[#Data],$DE12,29),0)</f>
        <v/>
      </c>
      <c r="AG12">
        <f>IFERROR(INDEX(PP_Grid[#Data],$DE12,30),0)</f>
        <v/>
      </c>
      <c r="AH12">
        <f>IFERROR(INDEX(PP_Grid[#Data],$DE12,31),0)</f>
        <v/>
      </c>
      <c r="AI12">
        <f>IFERROR(INDEX(PP_Grid[#Data],$DE12,32),0)</f>
        <v/>
      </c>
      <c r="AJ12">
        <f>IFERROR(INDEX(PP_Grid[#Data],$DE12,33),0)</f>
        <v/>
      </c>
      <c r="AK12">
        <f>IFERROR(INDEX(PP_Grid[#Data],$DE12,34),0)</f>
        <v/>
      </c>
      <c r="AL12">
        <f>IFERROR(INDEX(PP_Grid[#Data],$DE12,35),0)</f>
        <v/>
      </c>
      <c r="AM12">
        <f>IFERROR(INDEX(PP_Grid[#Data],$DE12,36),0)</f>
        <v/>
      </c>
      <c r="AN12">
        <f>IFERROR(INDEX(PP_Grid[#Data],$DE12,37),0)</f>
        <v/>
      </c>
      <c r="AO12">
        <f>IFERROR(INDEX(PP_Grid[#Data],$DE12,38),0)</f>
        <v/>
      </c>
      <c r="AP12">
        <f>IFERROR(INDEX(PP_Grid[#Data],$DE12,39),0)</f>
        <v/>
      </c>
      <c r="AQ12">
        <f>IFERROR(INDEX(PP_Grid[#Data],$DE12,40),0)</f>
        <v/>
      </c>
      <c r="AR12">
        <f>IFERROR(INDEX(PP_Grid[#Data],$DE12,41),0)</f>
        <v/>
      </c>
      <c r="AS12">
        <f>IFERROR(INDEX(PP_Grid[#Data],$DE12,42),0)</f>
        <v/>
      </c>
      <c r="AT12">
        <f>IFERROR(INDEX(PP_Grid[#Data],$DE12,43),0)</f>
        <v/>
      </c>
      <c r="AU12">
        <f>IFERROR(INDEX(PP_Grid[#Data],$DE12,44),0)</f>
        <v/>
      </c>
      <c r="AV12">
        <f>IFERROR(INDEX(PP_Grid[#Data],$DE12,45),0)</f>
        <v/>
      </c>
      <c r="AW12">
        <f>IFERROR(INDEX(PP_Grid[#Data],$DE12,46),0)</f>
        <v/>
      </c>
      <c r="AX12">
        <f>IFERROR(INDEX(PP_Grid[#Data],$DE12,47),0)</f>
        <v/>
      </c>
      <c r="AY12">
        <f>IFERROR(INDEX(PP_Grid[#Data],$DE12,48),0)</f>
        <v/>
      </c>
      <c r="AZ12">
        <f>IFERROR(INDEX(PP_Grid[#Data],$DE12,49),0)</f>
        <v/>
      </c>
      <c r="BA12">
        <f>IFERROR(INDEX(PP_Grid[#Data],$DE12,50),0)</f>
        <v/>
      </c>
      <c r="BB12">
        <f>IFERROR(INDEX(PP_Grid[#Data],$DE12,51),0)</f>
        <v/>
      </c>
      <c r="BC12">
        <f>IFERROR(INDEX(PP_Grid[#Data],$DE12,52),0)</f>
        <v/>
      </c>
      <c r="BD12">
        <f>IFERROR(INDEX(PP_Grid[#Data],$DE12,53),0)</f>
        <v/>
      </c>
      <c r="BE12">
        <f>IFERROR(INDEX(PP_Grid[#Data],$DE12,54),0)</f>
        <v/>
      </c>
      <c r="BF12">
        <f>IFERROR(INDEX(PP_Grid[#Data],$DE12,55),0)</f>
        <v/>
      </c>
      <c r="BG12">
        <f>IFERROR(INDEX(PP_Grid[#Data],$DE12,56),0)</f>
        <v/>
      </c>
      <c r="BH12">
        <f>IFERROR(INDEX(PP_Grid[#Data],$DE12,57),0)</f>
        <v/>
      </c>
      <c r="BI12">
        <f>IFERROR(INDEX(PP_Grid[#Data],$DE12,58),0)</f>
        <v/>
      </c>
      <c r="BJ12">
        <f>IFERROR(INDEX(PP_Grid[#Data],$DE12,59),0)</f>
        <v/>
      </c>
      <c r="BK12">
        <f>IFERROR(INDEX(PP_Grid[#Data],$DE12,60),0)</f>
        <v/>
      </c>
      <c r="BL12">
        <f>IFERROR(INDEX(PP_Grid[#Data],$DE12,61),0)</f>
        <v/>
      </c>
      <c r="BM12">
        <f>IFERROR(INDEX(PP_Grid[#Data],$DE12,62),0)</f>
        <v/>
      </c>
      <c r="BN12">
        <f>IFERROR(INDEX(PP_Grid[#Data],$DE12,63),0)</f>
        <v/>
      </c>
      <c r="BO12">
        <f>IFERROR(INDEX(PP_Grid[#Data],$DE12,64),0)</f>
        <v/>
      </c>
      <c r="BP12">
        <f>IFERROR(INDEX(PP_Grid[#Data],$DE12,65),0)</f>
        <v/>
      </c>
      <c r="BQ12">
        <f>IFERROR(INDEX(PP_Grid[#Data],$DE12,66),0)</f>
        <v/>
      </c>
      <c r="BR12">
        <f>IFERROR(INDEX(PP_Grid[#Data],$DE12,67),0)</f>
        <v/>
      </c>
      <c r="BS12">
        <f>IFERROR(INDEX(PP_Grid[#Data],$DE12,68),0)</f>
        <v/>
      </c>
      <c r="BT12">
        <f>IFERROR(INDEX(PP_Grid[#Data],$DE12,69),0)</f>
        <v/>
      </c>
      <c r="BU12">
        <f>IFERROR(INDEX(PP_Grid[#Data],$DE12,70),0)</f>
        <v/>
      </c>
      <c r="BV12">
        <f>IFERROR(INDEX(PP_Grid[#Data],$DE12,71),0)</f>
        <v/>
      </c>
      <c r="BW12">
        <f>IFERROR(INDEX(PP_Grid[#Data],$DE12,72),0)</f>
        <v/>
      </c>
      <c r="BX12">
        <f>IFERROR(INDEX(PP_Grid[#Data],$DE12,73),0)</f>
        <v/>
      </c>
      <c r="BY12">
        <f>IFERROR(INDEX(PP_Grid[#Data],$DE12,74),0)</f>
        <v/>
      </c>
      <c r="BZ12">
        <f>IFERROR(INDEX(PP_Grid[#Data],$DE12,75),0)</f>
        <v/>
      </c>
      <c r="CA12">
        <f>IFERROR(INDEX(PP_Grid[#Data],$DE12,76),0)</f>
        <v/>
      </c>
      <c r="CB12">
        <f>IFERROR(INDEX(PP_Grid[#Data],$DE12,77),0)</f>
        <v/>
      </c>
      <c r="CC12">
        <f>IFERROR(INDEX(PP_Grid[#Data],$DE12,78),0)</f>
        <v/>
      </c>
      <c r="CD12">
        <f>IFERROR(INDEX(PP_Grid[#Data],$DE12,79),0)</f>
        <v/>
      </c>
      <c r="CE12">
        <f>IFERROR(INDEX(PP_Grid[#Data],$DE12,80),0)</f>
        <v/>
      </c>
      <c r="CF12">
        <f>IFERROR(INDEX(PP_Grid[#Data],$DE12,81),0)</f>
        <v/>
      </c>
      <c r="CG12">
        <f>IFERROR(INDEX(PP_Grid[#Data],$DE12,82),0)</f>
        <v/>
      </c>
      <c r="CH12">
        <f>IFERROR(INDEX(PP_Grid[#Data],$DE12,83),0)</f>
        <v/>
      </c>
      <c r="CI12">
        <f>IFERROR(INDEX(PP_Grid[#Data],$DE12,84),0)</f>
        <v/>
      </c>
      <c r="CJ12">
        <f>IFERROR(INDEX(PP_Grid[#Data],$DE12,85),0)</f>
        <v/>
      </c>
      <c r="CK12">
        <f>IFERROR(INDEX(PP_Grid[#Data],$DE12,86),0)</f>
        <v/>
      </c>
      <c r="CL12">
        <f>IFERROR(INDEX(PP_Grid[#Data],$DE12,87),0)</f>
        <v/>
      </c>
      <c r="CM12">
        <f>IFERROR(INDEX(PP_Grid[#Data],$DE12,88),0)</f>
        <v/>
      </c>
      <c r="CN12">
        <f>IFERROR(INDEX(PP_Grid[#Data],$DE12,89),0)</f>
        <v/>
      </c>
      <c r="CO12">
        <f>IFERROR(INDEX(PP_Grid[#Data],$DE12,90),0)</f>
        <v/>
      </c>
      <c r="CP12">
        <f>IFERROR(INDEX(PP_Grid[#Data],$DE12,91),0)</f>
        <v/>
      </c>
      <c r="CQ12">
        <f>IFERROR(INDEX(PP_Grid[#Data],$DE12,92),0)</f>
        <v/>
      </c>
      <c r="CR12">
        <f>IFERROR(INDEX(PP_Grid[#Data],$DE12,93),0)</f>
        <v/>
      </c>
      <c r="CS12">
        <f>IFERROR(INDEX(PP_Grid[#Data],$DE12,94),0)</f>
        <v/>
      </c>
      <c r="CT12">
        <f>IFERROR(INDEX(PP_Grid[#Data],$DE12,95),0)</f>
        <v/>
      </c>
      <c r="CU12">
        <f>IFERROR(INDEX(PP_Grid[#Data],$DE12,96),0)</f>
        <v/>
      </c>
      <c r="CV12">
        <f>IFERROR(INDEX(PP_Grid[#Data],$DE12,97),0)</f>
        <v/>
      </c>
      <c r="CW12">
        <f>IFERROR(INDEX(PP_Grid[#Data],$DE12,98),0)</f>
        <v/>
      </c>
      <c r="CX12">
        <f>IFERROR(INDEX(PP_Grid[#Data],$DE12,99),0)</f>
        <v/>
      </c>
      <c r="CY12">
        <f>IFERROR(INDEX(PP_Grid[#Data],$DE12,100),0)</f>
        <v/>
      </c>
      <c r="CZ12">
        <f>IFERROR(INDEX(PP_Grid[#Data],$DE12,101),0)</f>
        <v/>
      </c>
      <c r="DA12">
        <f>IFERROR(INDEX(PP_Grid[#Data],$DE12,102),0)</f>
        <v/>
      </c>
      <c r="DB12">
        <f>IFERROR(INDEX(PP_Grid[#Data],$DE12,103),0)</f>
        <v/>
      </c>
      <c r="DC12">
        <f>IFERROR(INDEX(PP_Grid[#Data],$DE12,104),0)</f>
        <v/>
      </c>
      <c r="DD12">
        <f>IFERROR(INDEX(PP_Grid[#Data],$DE12,105),0)</f>
        <v/>
      </c>
      <c r="DE12" s="7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SUMIFS(M_BOM[RM_Qty_Per_Batch],M_BOM[Intermediate],$B12,M_BOM[RM_Code],$A7)</f>
        <v/>
      </c>
      <c r="D13">
        <f>IFERROR(INDEX(E13:DD13,$F$1),"")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  <c r="DD13">
        <f>$C13*DD12</f>
        <v/>
      </c>
    </row>
    <row r="14">
      <c r="B14" t="inlineStr">
        <is>
          <t>TSP-077</t>
        </is>
      </c>
      <c r="C14" t="inlineStr">
        <is>
          <t>No. of batches</t>
        </is>
      </c>
      <c r="D14">
        <f>IFERROR(INDEX(E14:DD14,$F$1),"")</f>
        <v/>
      </c>
      <c r="E14">
        <f>IFERROR(INDEX(PP_Grid[#Data],$DE14,2),0)</f>
        <v/>
      </c>
      <c r="F14">
        <f>IFERROR(INDEX(PP_Grid[#Data],$DE14,3),0)</f>
        <v/>
      </c>
      <c r="G14">
        <f>IFERROR(INDEX(PP_Grid[#Data],$DE14,4),0)</f>
        <v/>
      </c>
      <c r="H14">
        <f>IFERROR(INDEX(PP_Grid[#Data],$DE14,5),0)</f>
        <v/>
      </c>
      <c r="I14">
        <f>IFERROR(INDEX(PP_Grid[#Data],$DE14,6),0)</f>
        <v/>
      </c>
      <c r="J14">
        <f>IFERROR(INDEX(PP_Grid[#Data],$DE14,7),0)</f>
        <v/>
      </c>
      <c r="K14">
        <f>IFERROR(INDEX(PP_Grid[#Data],$DE14,8),0)</f>
        <v/>
      </c>
      <c r="L14">
        <f>IFERROR(INDEX(PP_Grid[#Data],$DE14,9),0)</f>
        <v/>
      </c>
      <c r="M14">
        <f>IFERROR(INDEX(PP_Grid[#Data],$DE14,10),0)</f>
        <v/>
      </c>
      <c r="N14">
        <f>IFERROR(INDEX(PP_Grid[#Data],$DE14,11),0)</f>
        <v/>
      </c>
      <c r="O14">
        <f>IFERROR(INDEX(PP_Grid[#Data],$DE14,12),0)</f>
        <v/>
      </c>
      <c r="P14">
        <f>IFERROR(INDEX(PP_Grid[#Data],$DE14,13),0)</f>
        <v/>
      </c>
      <c r="Q14">
        <f>IFERROR(INDEX(PP_Grid[#Data],$DE14,14),0)</f>
        <v/>
      </c>
      <c r="R14">
        <f>IFERROR(INDEX(PP_Grid[#Data],$DE14,15),0)</f>
        <v/>
      </c>
      <c r="S14">
        <f>IFERROR(INDEX(PP_Grid[#Data],$DE14,16),0)</f>
        <v/>
      </c>
      <c r="T14">
        <f>IFERROR(INDEX(PP_Grid[#Data],$DE14,17),0)</f>
        <v/>
      </c>
      <c r="U14">
        <f>IFERROR(INDEX(PP_Grid[#Data],$DE14,18),0)</f>
        <v/>
      </c>
      <c r="V14">
        <f>IFERROR(INDEX(PP_Grid[#Data],$DE14,19),0)</f>
        <v/>
      </c>
      <c r="W14">
        <f>IFERROR(INDEX(PP_Grid[#Data],$DE14,20),0)</f>
        <v/>
      </c>
      <c r="X14">
        <f>IFERROR(INDEX(PP_Grid[#Data],$DE14,21),0)</f>
        <v/>
      </c>
      <c r="Y14">
        <f>IFERROR(INDEX(PP_Grid[#Data],$DE14,22),0)</f>
        <v/>
      </c>
      <c r="Z14">
        <f>IFERROR(INDEX(PP_Grid[#Data],$DE14,23),0)</f>
        <v/>
      </c>
      <c r="AA14">
        <f>IFERROR(INDEX(PP_Grid[#Data],$DE14,24),0)</f>
        <v/>
      </c>
      <c r="AB14">
        <f>IFERROR(INDEX(PP_Grid[#Data],$DE14,25),0)</f>
        <v/>
      </c>
      <c r="AC14">
        <f>IFERROR(INDEX(PP_Grid[#Data],$DE14,26),0)</f>
        <v/>
      </c>
      <c r="AD14">
        <f>IFERROR(INDEX(PP_Grid[#Data],$DE14,27),0)</f>
        <v/>
      </c>
      <c r="AE14">
        <f>IFERROR(INDEX(PP_Grid[#Data],$DE14,28),0)</f>
        <v/>
      </c>
      <c r="AF14">
        <f>IFERROR(INDEX(PP_Grid[#Data],$DE14,29),0)</f>
        <v/>
      </c>
      <c r="AG14">
        <f>IFERROR(INDEX(PP_Grid[#Data],$DE14,30),0)</f>
        <v/>
      </c>
      <c r="AH14">
        <f>IFERROR(INDEX(PP_Grid[#Data],$DE14,31),0)</f>
        <v/>
      </c>
      <c r="AI14">
        <f>IFERROR(INDEX(PP_Grid[#Data],$DE14,32),0)</f>
        <v/>
      </c>
      <c r="AJ14">
        <f>IFERROR(INDEX(PP_Grid[#Data],$DE14,33),0)</f>
        <v/>
      </c>
      <c r="AK14">
        <f>IFERROR(INDEX(PP_Grid[#Data],$DE14,34),0)</f>
        <v/>
      </c>
      <c r="AL14">
        <f>IFERROR(INDEX(PP_Grid[#Data],$DE14,35),0)</f>
        <v/>
      </c>
      <c r="AM14">
        <f>IFERROR(INDEX(PP_Grid[#Data],$DE14,36),0)</f>
        <v/>
      </c>
      <c r="AN14">
        <f>IFERROR(INDEX(PP_Grid[#Data],$DE14,37),0)</f>
        <v/>
      </c>
      <c r="AO14">
        <f>IFERROR(INDEX(PP_Grid[#Data],$DE14,38),0)</f>
        <v/>
      </c>
      <c r="AP14">
        <f>IFERROR(INDEX(PP_Grid[#Data],$DE14,39),0)</f>
        <v/>
      </c>
      <c r="AQ14">
        <f>IFERROR(INDEX(PP_Grid[#Data],$DE14,40),0)</f>
        <v/>
      </c>
      <c r="AR14">
        <f>IFERROR(INDEX(PP_Grid[#Data],$DE14,41),0)</f>
        <v/>
      </c>
      <c r="AS14">
        <f>IFERROR(INDEX(PP_Grid[#Data],$DE14,42),0)</f>
        <v/>
      </c>
      <c r="AT14">
        <f>IFERROR(INDEX(PP_Grid[#Data],$DE14,43),0)</f>
        <v/>
      </c>
      <c r="AU14">
        <f>IFERROR(INDEX(PP_Grid[#Data],$DE14,44),0)</f>
        <v/>
      </c>
      <c r="AV14">
        <f>IFERROR(INDEX(PP_Grid[#Data],$DE14,45),0)</f>
        <v/>
      </c>
      <c r="AW14">
        <f>IFERROR(INDEX(PP_Grid[#Data],$DE14,46),0)</f>
        <v/>
      </c>
      <c r="AX14">
        <f>IFERROR(INDEX(PP_Grid[#Data],$DE14,47),0)</f>
        <v/>
      </c>
      <c r="AY14">
        <f>IFERROR(INDEX(PP_Grid[#Data],$DE14,48),0)</f>
        <v/>
      </c>
      <c r="AZ14">
        <f>IFERROR(INDEX(PP_Grid[#Data],$DE14,49),0)</f>
        <v/>
      </c>
      <c r="BA14">
        <f>IFERROR(INDEX(PP_Grid[#Data],$DE14,50),0)</f>
        <v/>
      </c>
      <c r="BB14">
        <f>IFERROR(INDEX(PP_Grid[#Data],$DE14,51),0)</f>
        <v/>
      </c>
      <c r="BC14">
        <f>IFERROR(INDEX(PP_Grid[#Data],$DE14,52),0)</f>
        <v/>
      </c>
      <c r="BD14">
        <f>IFERROR(INDEX(PP_Grid[#Data],$DE14,53),0)</f>
        <v/>
      </c>
      <c r="BE14">
        <f>IFERROR(INDEX(PP_Grid[#Data],$DE14,54),0)</f>
        <v/>
      </c>
      <c r="BF14">
        <f>IFERROR(INDEX(PP_Grid[#Data],$DE14,55),0)</f>
        <v/>
      </c>
      <c r="BG14">
        <f>IFERROR(INDEX(PP_Grid[#Data],$DE14,56),0)</f>
        <v/>
      </c>
      <c r="BH14">
        <f>IFERROR(INDEX(PP_Grid[#Data],$DE14,57),0)</f>
        <v/>
      </c>
      <c r="BI14">
        <f>IFERROR(INDEX(PP_Grid[#Data],$DE14,58),0)</f>
        <v/>
      </c>
      <c r="BJ14">
        <f>IFERROR(INDEX(PP_Grid[#Data],$DE14,59),0)</f>
        <v/>
      </c>
      <c r="BK14">
        <f>IFERROR(INDEX(PP_Grid[#Data],$DE14,60),0)</f>
        <v/>
      </c>
      <c r="BL14">
        <f>IFERROR(INDEX(PP_Grid[#Data],$DE14,61),0)</f>
        <v/>
      </c>
      <c r="BM14">
        <f>IFERROR(INDEX(PP_Grid[#Data],$DE14,62),0)</f>
        <v/>
      </c>
      <c r="BN14">
        <f>IFERROR(INDEX(PP_Grid[#Data],$DE14,63),0)</f>
        <v/>
      </c>
      <c r="BO14">
        <f>IFERROR(INDEX(PP_Grid[#Data],$DE14,64),0)</f>
        <v/>
      </c>
      <c r="BP14">
        <f>IFERROR(INDEX(PP_Grid[#Data],$DE14,65),0)</f>
        <v/>
      </c>
      <c r="BQ14">
        <f>IFERROR(INDEX(PP_Grid[#Data],$DE14,66),0)</f>
        <v/>
      </c>
      <c r="BR14">
        <f>IFERROR(INDEX(PP_Grid[#Data],$DE14,67),0)</f>
        <v/>
      </c>
      <c r="BS14">
        <f>IFERROR(INDEX(PP_Grid[#Data],$DE14,68),0)</f>
        <v/>
      </c>
      <c r="BT14">
        <f>IFERROR(INDEX(PP_Grid[#Data],$DE14,69),0)</f>
        <v/>
      </c>
      <c r="BU14">
        <f>IFERROR(INDEX(PP_Grid[#Data],$DE14,70),0)</f>
        <v/>
      </c>
      <c r="BV14">
        <f>IFERROR(INDEX(PP_Grid[#Data],$DE14,71),0)</f>
        <v/>
      </c>
      <c r="BW14">
        <f>IFERROR(INDEX(PP_Grid[#Data],$DE14,72),0)</f>
        <v/>
      </c>
      <c r="BX14">
        <f>IFERROR(INDEX(PP_Grid[#Data],$DE14,73),0)</f>
        <v/>
      </c>
      <c r="BY14">
        <f>IFERROR(INDEX(PP_Grid[#Data],$DE14,74),0)</f>
        <v/>
      </c>
      <c r="BZ14">
        <f>IFERROR(INDEX(PP_Grid[#Data],$DE14,75),0)</f>
        <v/>
      </c>
      <c r="CA14">
        <f>IFERROR(INDEX(PP_Grid[#Data],$DE14,76),0)</f>
        <v/>
      </c>
      <c r="CB14">
        <f>IFERROR(INDEX(PP_Grid[#Data],$DE14,77),0)</f>
        <v/>
      </c>
      <c r="CC14">
        <f>IFERROR(INDEX(PP_Grid[#Data],$DE14,78),0)</f>
        <v/>
      </c>
      <c r="CD14">
        <f>IFERROR(INDEX(PP_Grid[#Data],$DE14,79),0)</f>
        <v/>
      </c>
      <c r="CE14">
        <f>IFERROR(INDEX(PP_Grid[#Data],$DE14,80),0)</f>
        <v/>
      </c>
      <c r="CF14">
        <f>IFERROR(INDEX(PP_Grid[#Data],$DE14,81),0)</f>
        <v/>
      </c>
      <c r="CG14">
        <f>IFERROR(INDEX(PP_Grid[#Data],$DE14,82),0)</f>
        <v/>
      </c>
      <c r="CH14">
        <f>IFERROR(INDEX(PP_Grid[#Data],$DE14,83),0)</f>
        <v/>
      </c>
      <c r="CI14">
        <f>IFERROR(INDEX(PP_Grid[#Data],$DE14,84),0)</f>
        <v/>
      </c>
      <c r="CJ14">
        <f>IFERROR(INDEX(PP_Grid[#Data],$DE14,85),0)</f>
        <v/>
      </c>
      <c r="CK14">
        <f>IFERROR(INDEX(PP_Grid[#Data],$DE14,86),0)</f>
        <v/>
      </c>
      <c r="CL14">
        <f>IFERROR(INDEX(PP_Grid[#Data],$DE14,87),0)</f>
        <v/>
      </c>
      <c r="CM14">
        <f>IFERROR(INDEX(PP_Grid[#Data],$DE14,88),0)</f>
        <v/>
      </c>
      <c r="CN14">
        <f>IFERROR(INDEX(PP_Grid[#Data],$DE14,89),0)</f>
        <v/>
      </c>
      <c r="CO14">
        <f>IFERROR(INDEX(PP_Grid[#Data],$DE14,90),0)</f>
        <v/>
      </c>
      <c r="CP14">
        <f>IFERROR(INDEX(PP_Grid[#Data],$DE14,91),0)</f>
        <v/>
      </c>
      <c r="CQ14">
        <f>IFERROR(INDEX(PP_Grid[#Data],$DE14,92),0)</f>
        <v/>
      </c>
      <c r="CR14">
        <f>IFERROR(INDEX(PP_Grid[#Data],$DE14,93),0)</f>
        <v/>
      </c>
      <c r="CS14">
        <f>IFERROR(INDEX(PP_Grid[#Data],$DE14,94),0)</f>
        <v/>
      </c>
      <c r="CT14">
        <f>IFERROR(INDEX(PP_Grid[#Data],$DE14,95),0)</f>
        <v/>
      </c>
      <c r="CU14">
        <f>IFERROR(INDEX(PP_Grid[#Data],$DE14,96),0)</f>
        <v/>
      </c>
      <c r="CV14">
        <f>IFERROR(INDEX(PP_Grid[#Data],$DE14,97),0)</f>
        <v/>
      </c>
      <c r="CW14">
        <f>IFERROR(INDEX(PP_Grid[#Data],$DE14,98),0)</f>
        <v/>
      </c>
      <c r="CX14">
        <f>IFERROR(INDEX(PP_Grid[#Data],$DE14,99),0)</f>
        <v/>
      </c>
      <c r="CY14">
        <f>IFERROR(INDEX(PP_Grid[#Data],$DE14,100),0)</f>
        <v/>
      </c>
      <c r="CZ14">
        <f>IFERROR(INDEX(PP_Grid[#Data],$DE14,101),0)</f>
        <v/>
      </c>
      <c r="DA14">
        <f>IFERROR(INDEX(PP_Grid[#Data],$DE14,102),0)</f>
        <v/>
      </c>
      <c r="DB14">
        <f>IFERROR(INDEX(PP_Grid[#Data],$DE14,103),0)</f>
        <v/>
      </c>
      <c r="DC14">
        <f>IFERROR(INDEX(PP_Grid[#Data],$DE14,104),0)</f>
        <v/>
      </c>
      <c r="DD14">
        <f>IFERROR(INDEX(PP_Grid[#Data],$DE14,105),0)</f>
        <v/>
      </c>
      <c r="DE14" s="7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SUMIFS(M_BOM[RM_Qty_Per_Batch],M_BOM[Intermediate],$B14,M_BOM[RM_Code],$A7)</f>
        <v/>
      </c>
      <c r="D15">
        <f>IFERROR(INDEX(E15:DD15,$F$1),"")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  <c r="DD15">
        <f>$C15*DD14</f>
        <v/>
      </c>
    </row>
    <row r="16">
      <c r="B16" t="inlineStr">
        <is>
          <t>TPP-204</t>
        </is>
      </c>
      <c r="C16" t="inlineStr">
        <is>
          <t>No. of batches</t>
        </is>
      </c>
      <c r="D16">
        <f>IFERROR(INDEX(E16:DD16,$F$1),"")</f>
        <v/>
      </c>
      <c r="E16">
        <f>IFERROR(INDEX(PP_Grid[#Data],$DE16,2),0)</f>
        <v/>
      </c>
      <c r="F16">
        <f>IFERROR(INDEX(PP_Grid[#Data],$DE16,3),0)</f>
        <v/>
      </c>
      <c r="G16">
        <f>IFERROR(INDEX(PP_Grid[#Data],$DE16,4),0)</f>
        <v/>
      </c>
      <c r="H16">
        <f>IFERROR(INDEX(PP_Grid[#Data],$DE16,5),0)</f>
        <v/>
      </c>
      <c r="I16">
        <f>IFERROR(INDEX(PP_Grid[#Data],$DE16,6),0)</f>
        <v/>
      </c>
      <c r="J16">
        <f>IFERROR(INDEX(PP_Grid[#Data],$DE16,7),0)</f>
        <v/>
      </c>
      <c r="K16">
        <f>IFERROR(INDEX(PP_Grid[#Data],$DE16,8),0)</f>
        <v/>
      </c>
      <c r="L16">
        <f>IFERROR(INDEX(PP_Grid[#Data],$DE16,9),0)</f>
        <v/>
      </c>
      <c r="M16">
        <f>IFERROR(INDEX(PP_Grid[#Data],$DE16,10),0)</f>
        <v/>
      </c>
      <c r="N16">
        <f>IFERROR(INDEX(PP_Grid[#Data],$DE16,11),0)</f>
        <v/>
      </c>
      <c r="O16">
        <f>IFERROR(INDEX(PP_Grid[#Data],$DE16,12),0)</f>
        <v/>
      </c>
      <c r="P16">
        <f>IFERROR(INDEX(PP_Grid[#Data],$DE16,13),0)</f>
        <v/>
      </c>
      <c r="Q16">
        <f>IFERROR(INDEX(PP_Grid[#Data],$DE16,14),0)</f>
        <v/>
      </c>
      <c r="R16">
        <f>IFERROR(INDEX(PP_Grid[#Data],$DE16,15),0)</f>
        <v/>
      </c>
      <c r="S16">
        <f>IFERROR(INDEX(PP_Grid[#Data],$DE16,16),0)</f>
        <v/>
      </c>
      <c r="T16">
        <f>IFERROR(INDEX(PP_Grid[#Data],$DE16,17),0)</f>
        <v/>
      </c>
      <c r="U16">
        <f>IFERROR(INDEX(PP_Grid[#Data],$DE16,18),0)</f>
        <v/>
      </c>
      <c r="V16">
        <f>IFERROR(INDEX(PP_Grid[#Data],$DE16,19),0)</f>
        <v/>
      </c>
      <c r="W16">
        <f>IFERROR(INDEX(PP_Grid[#Data],$DE16,20),0)</f>
        <v/>
      </c>
      <c r="X16">
        <f>IFERROR(INDEX(PP_Grid[#Data],$DE16,21),0)</f>
        <v/>
      </c>
      <c r="Y16">
        <f>IFERROR(INDEX(PP_Grid[#Data],$DE16,22),0)</f>
        <v/>
      </c>
      <c r="Z16">
        <f>IFERROR(INDEX(PP_Grid[#Data],$DE16,23),0)</f>
        <v/>
      </c>
      <c r="AA16">
        <f>IFERROR(INDEX(PP_Grid[#Data],$DE16,24),0)</f>
        <v/>
      </c>
      <c r="AB16">
        <f>IFERROR(INDEX(PP_Grid[#Data],$DE16,25),0)</f>
        <v/>
      </c>
      <c r="AC16">
        <f>IFERROR(INDEX(PP_Grid[#Data],$DE16,26),0)</f>
        <v/>
      </c>
      <c r="AD16">
        <f>IFERROR(INDEX(PP_Grid[#Data],$DE16,27),0)</f>
        <v/>
      </c>
      <c r="AE16">
        <f>IFERROR(INDEX(PP_Grid[#Data],$DE16,28),0)</f>
        <v/>
      </c>
      <c r="AF16">
        <f>IFERROR(INDEX(PP_Grid[#Data],$DE16,29),0)</f>
        <v/>
      </c>
      <c r="AG16">
        <f>IFERROR(INDEX(PP_Grid[#Data],$DE16,30),0)</f>
        <v/>
      </c>
      <c r="AH16">
        <f>IFERROR(INDEX(PP_Grid[#Data],$DE16,31),0)</f>
        <v/>
      </c>
      <c r="AI16">
        <f>IFERROR(INDEX(PP_Grid[#Data],$DE16,32),0)</f>
        <v/>
      </c>
      <c r="AJ16">
        <f>IFERROR(INDEX(PP_Grid[#Data],$DE16,33),0)</f>
        <v/>
      </c>
      <c r="AK16">
        <f>IFERROR(INDEX(PP_Grid[#Data],$DE16,34),0)</f>
        <v/>
      </c>
      <c r="AL16">
        <f>IFERROR(INDEX(PP_Grid[#Data],$DE16,35),0)</f>
        <v/>
      </c>
      <c r="AM16">
        <f>IFERROR(INDEX(PP_Grid[#Data],$DE16,36),0)</f>
        <v/>
      </c>
      <c r="AN16">
        <f>IFERROR(INDEX(PP_Grid[#Data],$DE16,37),0)</f>
        <v/>
      </c>
      <c r="AO16">
        <f>IFERROR(INDEX(PP_Grid[#Data],$DE16,38),0)</f>
        <v/>
      </c>
      <c r="AP16">
        <f>IFERROR(INDEX(PP_Grid[#Data],$DE16,39),0)</f>
        <v/>
      </c>
      <c r="AQ16">
        <f>IFERROR(INDEX(PP_Grid[#Data],$DE16,40),0)</f>
        <v/>
      </c>
      <c r="AR16">
        <f>IFERROR(INDEX(PP_Grid[#Data],$DE16,41),0)</f>
        <v/>
      </c>
      <c r="AS16">
        <f>IFERROR(INDEX(PP_Grid[#Data],$DE16,42),0)</f>
        <v/>
      </c>
      <c r="AT16">
        <f>IFERROR(INDEX(PP_Grid[#Data],$DE16,43),0)</f>
        <v/>
      </c>
      <c r="AU16">
        <f>IFERROR(INDEX(PP_Grid[#Data],$DE16,44),0)</f>
        <v/>
      </c>
      <c r="AV16">
        <f>IFERROR(INDEX(PP_Grid[#Data],$DE16,45),0)</f>
        <v/>
      </c>
      <c r="AW16">
        <f>IFERROR(INDEX(PP_Grid[#Data],$DE16,46),0)</f>
        <v/>
      </c>
      <c r="AX16">
        <f>IFERROR(INDEX(PP_Grid[#Data],$DE16,47),0)</f>
        <v/>
      </c>
      <c r="AY16">
        <f>IFERROR(INDEX(PP_Grid[#Data],$DE16,48),0)</f>
        <v/>
      </c>
      <c r="AZ16">
        <f>IFERROR(INDEX(PP_Grid[#Data],$DE16,49),0)</f>
        <v/>
      </c>
      <c r="BA16">
        <f>IFERROR(INDEX(PP_Grid[#Data],$DE16,50),0)</f>
        <v/>
      </c>
      <c r="BB16">
        <f>IFERROR(INDEX(PP_Grid[#Data],$DE16,51),0)</f>
        <v/>
      </c>
      <c r="BC16">
        <f>IFERROR(INDEX(PP_Grid[#Data],$DE16,52),0)</f>
        <v/>
      </c>
      <c r="BD16">
        <f>IFERROR(INDEX(PP_Grid[#Data],$DE16,53),0)</f>
        <v/>
      </c>
      <c r="BE16">
        <f>IFERROR(INDEX(PP_Grid[#Data],$DE16,54),0)</f>
        <v/>
      </c>
      <c r="BF16">
        <f>IFERROR(INDEX(PP_Grid[#Data],$DE16,55),0)</f>
        <v/>
      </c>
      <c r="BG16">
        <f>IFERROR(INDEX(PP_Grid[#Data],$DE16,56),0)</f>
        <v/>
      </c>
      <c r="BH16">
        <f>IFERROR(INDEX(PP_Grid[#Data],$DE16,57),0)</f>
        <v/>
      </c>
      <c r="BI16">
        <f>IFERROR(INDEX(PP_Grid[#Data],$DE16,58),0)</f>
        <v/>
      </c>
      <c r="BJ16">
        <f>IFERROR(INDEX(PP_Grid[#Data],$DE16,59),0)</f>
        <v/>
      </c>
      <c r="BK16">
        <f>IFERROR(INDEX(PP_Grid[#Data],$DE16,60),0)</f>
        <v/>
      </c>
      <c r="BL16">
        <f>IFERROR(INDEX(PP_Grid[#Data],$DE16,61),0)</f>
        <v/>
      </c>
      <c r="BM16">
        <f>IFERROR(INDEX(PP_Grid[#Data],$DE16,62),0)</f>
        <v/>
      </c>
      <c r="BN16">
        <f>IFERROR(INDEX(PP_Grid[#Data],$DE16,63),0)</f>
        <v/>
      </c>
      <c r="BO16">
        <f>IFERROR(INDEX(PP_Grid[#Data],$DE16,64),0)</f>
        <v/>
      </c>
      <c r="BP16">
        <f>IFERROR(INDEX(PP_Grid[#Data],$DE16,65),0)</f>
        <v/>
      </c>
      <c r="BQ16">
        <f>IFERROR(INDEX(PP_Grid[#Data],$DE16,66),0)</f>
        <v/>
      </c>
      <c r="BR16">
        <f>IFERROR(INDEX(PP_Grid[#Data],$DE16,67),0)</f>
        <v/>
      </c>
      <c r="BS16">
        <f>IFERROR(INDEX(PP_Grid[#Data],$DE16,68),0)</f>
        <v/>
      </c>
      <c r="BT16">
        <f>IFERROR(INDEX(PP_Grid[#Data],$DE16,69),0)</f>
        <v/>
      </c>
      <c r="BU16">
        <f>IFERROR(INDEX(PP_Grid[#Data],$DE16,70),0)</f>
        <v/>
      </c>
      <c r="BV16">
        <f>IFERROR(INDEX(PP_Grid[#Data],$DE16,71),0)</f>
        <v/>
      </c>
      <c r="BW16">
        <f>IFERROR(INDEX(PP_Grid[#Data],$DE16,72),0)</f>
        <v/>
      </c>
      <c r="BX16">
        <f>IFERROR(INDEX(PP_Grid[#Data],$DE16,73),0)</f>
        <v/>
      </c>
      <c r="BY16">
        <f>IFERROR(INDEX(PP_Grid[#Data],$DE16,74),0)</f>
        <v/>
      </c>
      <c r="BZ16">
        <f>IFERROR(INDEX(PP_Grid[#Data],$DE16,75),0)</f>
        <v/>
      </c>
      <c r="CA16">
        <f>IFERROR(INDEX(PP_Grid[#Data],$DE16,76),0)</f>
        <v/>
      </c>
      <c r="CB16">
        <f>IFERROR(INDEX(PP_Grid[#Data],$DE16,77),0)</f>
        <v/>
      </c>
      <c r="CC16">
        <f>IFERROR(INDEX(PP_Grid[#Data],$DE16,78),0)</f>
        <v/>
      </c>
      <c r="CD16">
        <f>IFERROR(INDEX(PP_Grid[#Data],$DE16,79),0)</f>
        <v/>
      </c>
      <c r="CE16">
        <f>IFERROR(INDEX(PP_Grid[#Data],$DE16,80),0)</f>
        <v/>
      </c>
      <c r="CF16">
        <f>IFERROR(INDEX(PP_Grid[#Data],$DE16,81),0)</f>
        <v/>
      </c>
      <c r="CG16">
        <f>IFERROR(INDEX(PP_Grid[#Data],$DE16,82),0)</f>
        <v/>
      </c>
      <c r="CH16">
        <f>IFERROR(INDEX(PP_Grid[#Data],$DE16,83),0)</f>
        <v/>
      </c>
      <c r="CI16">
        <f>IFERROR(INDEX(PP_Grid[#Data],$DE16,84),0)</f>
        <v/>
      </c>
      <c r="CJ16">
        <f>IFERROR(INDEX(PP_Grid[#Data],$DE16,85),0)</f>
        <v/>
      </c>
      <c r="CK16">
        <f>IFERROR(INDEX(PP_Grid[#Data],$DE16,86),0)</f>
        <v/>
      </c>
      <c r="CL16">
        <f>IFERROR(INDEX(PP_Grid[#Data],$DE16,87),0)</f>
        <v/>
      </c>
      <c r="CM16">
        <f>IFERROR(INDEX(PP_Grid[#Data],$DE16,88),0)</f>
        <v/>
      </c>
      <c r="CN16">
        <f>IFERROR(INDEX(PP_Grid[#Data],$DE16,89),0)</f>
        <v/>
      </c>
      <c r="CO16">
        <f>IFERROR(INDEX(PP_Grid[#Data],$DE16,90),0)</f>
        <v/>
      </c>
      <c r="CP16">
        <f>IFERROR(INDEX(PP_Grid[#Data],$DE16,91),0)</f>
        <v/>
      </c>
      <c r="CQ16">
        <f>IFERROR(INDEX(PP_Grid[#Data],$DE16,92),0)</f>
        <v/>
      </c>
      <c r="CR16">
        <f>IFERROR(INDEX(PP_Grid[#Data],$DE16,93),0)</f>
        <v/>
      </c>
      <c r="CS16">
        <f>IFERROR(INDEX(PP_Grid[#Data],$DE16,94),0)</f>
        <v/>
      </c>
      <c r="CT16">
        <f>IFERROR(INDEX(PP_Grid[#Data],$DE16,95),0)</f>
        <v/>
      </c>
      <c r="CU16">
        <f>IFERROR(INDEX(PP_Grid[#Data],$DE16,96),0)</f>
        <v/>
      </c>
      <c r="CV16">
        <f>IFERROR(INDEX(PP_Grid[#Data],$DE16,97),0)</f>
        <v/>
      </c>
      <c r="CW16">
        <f>IFERROR(INDEX(PP_Grid[#Data],$DE16,98),0)</f>
        <v/>
      </c>
      <c r="CX16">
        <f>IFERROR(INDEX(PP_Grid[#Data],$DE16,99),0)</f>
        <v/>
      </c>
      <c r="CY16">
        <f>IFERROR(INDEX(PP_Grid[#Data],$DE16,100),0)</f>
        <v/>
      </c>
      <c r="CZ16">
        <f>IFERROR(INDEX(PP_Grid[#Data],$DE16,101),0)</f>
        <v/>
      </c>
      <c r="DA16">
        <f>IFERROR(INDEX(PP_Grid[#Data],$DE16,102),0)</f>
        <v/>
      </c>
      <c r="DB16">
        <f>IFERROR(INDEX(PP_Grid[#Data],$DE16,103),0)</f>
        <v/>
      </c>
      <c r="DC16">
        <f>IFERROR(INDEX(PP_Grid[#Data],$DE16,104),0)</f>
        <v/>
      </c>
      <c r="DD16">
        <f>IFERROR(INDEX(PP_Grid[#Data],$DE16,105),0)</f>
        <v/>
      </c>
      <c r="DE16" s="7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SUMIFS(M_BOM[RM_Qty_Per_Batch],M_BOM[Intermediate],$B16,M_BOM[RM_Code],$A7)</f>
        <v/>
      </c>
      <c r="D17">
        <f>IFERROR(INDEX(E17:DD17,$F$1),"")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  <c r="DD17">
        <f>$C17*DD16</f>
        <v/>
      </c>
    </row>
    <row r="18">
      <c r="B18" t="inlineStr">
        <is>
          <t>TPP-356</t>
        </is>
      </c>
      <c r="C18" t="inlineStr">
        <is>
          <t>No. of batches</t>
        </is>
      </c>
      <c r="D18">
        <f>IFERROR(INDEX(E18:DD18,$F$1),"")</f>
        <v/>
      </c>
      <c r="E18">
        <f>IFERROR(INDEX(PP_Grid[#Data],$DE18,2),0)</f>
        <v/>
      </c>
      <c r="F18">
        <f>IFERROR(INDEX(PP_Grid[#Data],$DE18,3),0)</f>
        <v/>
      </c>
      <c r="G18">
        <f>IFERROR(INDEX(PP_Grid[#Data],$DE18,4),0)</f>
        <v/>
      </c>
      <c r="H18">
        <f>IFERROR(INDEX(PP_Grid[#Data],$DE18,5),0)</f>
        <v/>
      </c>
      <c r="I18">
        <f>IFERROR(INDEX(PP_Grid[#Data],$DE18,6),0)</f>
        <v/>
      </c>
      <c r="J18">
        <f>IFERROR(INDEX(PP_Grid[#Data],$DE18,7),0)</f>
        <v/>
      </c>
      <c r="K18">
        <f>IFERROR(INDEX(PP_Grid[#Data],$DE18,8),0)</f>
        <v/>
      </c>
      <c r="L18">
        <f>IFERROR(INDEX(PP_Grid[#Data],$DE18,9),0)</f>
        <v/>
      </c>
      <c r="M18">
        <f>IFERROR(INDEX(PP_Grid[#Data],$DE18,10),0)</f>
        <v/>
      </c>
      <c r="N18">
        <f>IFERROR(INDEX(PP_Grid[#Data],$DE18,11),0)</f>
        <v/>
      </c>
      <c r="O18">
        <f>IFERROR(INDEX(PP_Grid[#Data],$DE18,12),0)</f>
        <v/>
      </c>
      <c r="P18">
        <f>IFERROR(INDEX(PP_Grid[#Data],$DE18,13),0)</f>
        <v/>
      </c>
      <c r="Q18">
        <f>IFERROR(INDEX(PP_Grid[#Data],$DE18,14),0)</f>
        <v/>
      </c>
      <c r="R18">
        <f>IFERROR(INDEX(PP_Grid[#Data],$DE18,15),0)</f>
        <v/>
      </c>
      <c r="S18">
        <f>IFERROR(INDEX(PP_Grid[#Data],$DE18,16),0)</f>
        <v/>
      </c>
      <c r="T18">
        <f>IFERROR(INDEX(PP_Grid[#Data],$DE18,17),0)</f>
        <v/>
      </c>
      <c r="U18">
        <f>IFERROR(INDEX(PP_Grid[#Data],$DE18,18),0)</f>
        <v/>
      </c>
      <c r="V18">
        <f>IFERROR(INDEX(PP_Grid[#Data],$DE18,19),0)</f>
        <v/>
      </c>
      <c r="W18">
        <f>IFERROR(INDEX(PP_Grid[#Data],$DE18,20),0)</f>
        <v/>
      </c>
      <c r="X18">
        <f>IFERROR(INDEX(PP_Grid[#Data],$DE18,21),0)</f>
        <v/>
      </c>
      <c r="Y18">
        <f>IFERROR(INDEX(PP_Grid[#Data],$DE18,22),0)</f>
        <v/>
      </c>
      <c r="Z18">
        <f>IFERROR(INDEX(PP_Grid[#Data],$DE18,23),0)</f>
        <v/>
      </c>
      <c r="AA18">
        <f>IFERROR(INDEX(PP_Grid[#Data],$DE18,24),0)</f>
        <v/>
      </c>
      <c r="AB18">
        <f>IFERROR(INDEX(PP_Grid[#Data],$DE18,25),0)</f>
        <v/>
      </c>
      <c r="AC18">
        <f>IFERROR(INDEX(PP_Grid[#Data],$DE18,26),0)</f>
        <v/>
      </c>
      <c r="AD18">
        <f>IFERROR(INDEX(PP_Grid[#Data],$DE18,27),0)</f>
        <v/>
      </c>
      <c r="AE18">
        <f>IFERROR(INDEX(PP_Grid[#Data],$DE18,28),0)</f>
        <v/>
      </c>
      <c r="AF18">
        <f>IFERROR(INDEX(PP_Grid[#Data],$DE18,29),0)</f>
        <v/>
      </c>
      <c r="AG18">
        <f>IFERROR(INDEX(PP_Grid[#Data],$DE18,30),0)</f>
        <v/>
      </c>
      <c r="AH18">
        <f>IFERROR(INDEX(PP_Grid[#Data],$DE18,31),0)</f>
        <v/>
      </c>
      <c r="AI18">
        <f>IFERROR(INDEX(PP_Grid[#Data],$DE18,32),0)</f>
        <v/>
      </c>
      <c r="AJ18">
        <f>IFERROR(INDEX(PP_Grid[#Data],$DE18,33),0)</f>
        <v/>
      </c>
      <c r="AK18">
        <f>IFERROR(INDEX(PP_Grid[#Data],$DE18,34),0)</f>
        <v/>
      </c>
      <c r="AL18">
        <f>IFERROR(INDEX(PP_Grid[#Data],$DE18,35),0)</f>
        <v/>
      </c>
      <c r="AM18">
        <f>IFERROR(INDEX(PP_Grid[#Data],$DE18,36),0)</f>
        <v/>
      </c>
      <c r="AN18">
        <f>IFERROR(INDEX(PP_Grid[#Data],$DE18,37),0)</f>
        <v/>
      </c>
      <c r="AO18">
        <f>IFERROR(INDEX(PP_Grid[#Data],$DE18,38),0)</f>
        <v/>
      </c>
      <c r="AP18">
        <f>IFERROR(INDEX(PP_Grid[#Data],$DE18,39),0)</f>
        <v/>
      </c>
      <c r="AQ18">
        <f>IFERROR(INDEX(PP_Grid[#Data],$DE18,40),0)</f>
        <v/>
      </c>
      <c r="AR18">
        <f>IFERROR(INDEX(PP_Grid[#Data],$DE18,41),0)</f>
        <v/>
      </c>
      <c r="AS18">
        <f>IFERROR(INDEX(PP_Grid[#Data],$DE18,42),0)</f>
        <v/>
      </c>
      <c r="AT18">
        <f>IFERROR(INDEX(PP_Grid[#Data],$DE18,43),0)</f>
        <v/>
      </c>
      <c r="AU18">
        <f>IFERROR(INDEX(PP_Grid[#Data],$DE18,44),0)</f>
        <v/>
      </c>
      <c r="AV18">
        <f>IFERROR(INDEX(PP_Grid[#Data],$DE18,45),0)</f>
        <v/>
      </c>
      <c r="AW18">
        <f>IFERROR(INDEX(PP_Grid[#Data],$DE18,46),0)</f>
        <v/>
      </c>
      <c r="AX18">
        <f>IFERROR(INDEX(PP_Grid[#Data],$DE18,47),0)</f>
        <v/>
      </c>
      <c r="AY18">
        <f>IFERROR(INDEX(PP_Grid[#Data],$DE18,48),0)</f>
        <v/>
      </c>
      <c r="AZ18">
        <f>IFERROR(INDEX(PP_Grid[#Data],$DE18,49),0)</f>
        <v/>
      </c>
      <c r="BA18">
        <f>IFERROR(INDEX(PP_Grid[#Data],$DE18,50),0)</f>
        <v/>
      </c>
      <c r="BB18">
        <f>IFERROR(INDEX(PP_Grid[#Data],$DE18,51),0)</f>
        <v/>
      </c>
      <c r="BC18">
        <f>IFERROR(INDEX(PP_Grid[#Data],$DE18,52),0)</f>
        <v/>
      </c>
      <c r="BD18">
        <f>IFERROR(INDEX(PP_Grid[#Data],$DE18,53),0)</f>
        <v/>
      </c>
      <c r="BE18">
        <f>IFERROR(INDEX(PP_Grid[#Data],$DE18,54),0)</f>
        <v/>
      </c>
      <c r="BF18">
        <f>IFERROR(INDEX(PP_Grid[#Data],$DE18,55),0)</f>
        <v/>
      </c>
      <c r="BG18">
        <f>IFERROR(INDEX(PP_Grid[#Data],$DE18,56),0)</f>
        <v/>
      </c>
      <c r="BH18">
        <f>IFERROR(INDEX(PP_Grid[#Data],$DE18,57),0)</f>
        <v/>
      </c>
      <c r="BI18">
        <f>IFERROR(INDEX(PP_Grid[#Data],$DE18,58),0)</f>
        <v/>
      </c>
      <c r="BJ18">
        <f>IFERROR(INDEX(PP_Grid[#Data],$DE18,59),0)</f>
        <v/>
      </c>
      <c r="BK18">
        <f>IFERROR(INDEX(PP_Grid[#Data],$DE18,60),0)</f>
        <v/>
      </c>
      <c r="BL18">
        <f>IFERROR(INDEX(PP_Grid[#Data],$DE18,61),0)</f>
        <v/>
      </c>
      <c r="BM18">
        <f>IFERROR(INDEX(PP_Grid[#Data],$DE18,62),0)</f>
        <v/>
      </c>
      <c r="BN18">
        <f>IFERROR(INDEX(PP_Grid[#Data],$DE18,63),0)</f>
        <v/>
      </c>
      <c r="BO18">
        <f>IFERROR(INDEX(PP_Grid[#Data],$DE18,64),0)</f>
        <v/>
      </c>
      <c r="BP18">
        <f>IFERROR(INDEX(PP_Grid[#Data],$DE18,65),0)</f>
        <v/>
      </c>
      <c r="BQ18">
        <f>IFERROR(INDEX(PP_Grid[#Data],$DE18,66),0)</f>
        <v/>
      </c>
      <c r="BR18">
        <f>IFERROR(INDEX(PP_Grid[#Data],$DE18,67),0)</f>
        <v/>
      </c>
      <c r="BS18">
        <f>IFERROR(INDEX(PP_Grid[#Data],$DE18,68),0)</f>
        <v/>
      </c>
      <c r="BT18">
        <f>IFERROR(INDEX(PP_Grid[#Data],$DE18,69),0)</f>
        <v/>
      </c>
      <c r="BU18">
        <f>IFERROR(INDEX(PP_Grid[#Data],$DE18,70),0)</f>
        <v/>
      </c>
      <c r="BV18">
        <f>IFERROR(INDEX(PP_Grid[#Data],$DE18,71),0)</f>
        <v/>
      </c>
      <c r="BW18">
        <f>IFERROR(INDEX(PP_Grid[#Data],$DE18,72),0)</f>
        <v/>
      </c>
      <c r="BX18">
        <f>IFERROR(INDEX(PP_Grid[#Data],$DE18,73),0)</f>
        <v/>
      </c>
      <c r="BY18">
        <f>IFERROR(INDEX(PP_Grid[#Data],$DE18,74),0)</f>
        <v/>
      </c>
      <c r="BZ18">
        <f>IFERROR(INDEX(PP_Grid[#Data],$DE18,75),0)</f>
        <v/>
      </c>
      <c r="CA18">
        <f>IFERROR(INDEX(PP_Grid[#Data],$DE18,76),0)</f>
        <v/>
      </c>
      <c r="CB18">
        <f>IFERROR(INDEX(PP_Grid[#Data],$DE18,77),0)</f>
        <v/>
      </c>
      <c r="CC18">
        <f>IFERROR(INDEX(PP_Grid[#Data],$DE18,78),0)</f>
        <v/>
      </c>
      <c r="CD18">
        <f>IFERROR(INDEX(PP_Grid[#Data],$DE18,79),0)</f>
        <v/>
      </c>
      <c r="CE18">
        <f>IFERROR(INDEX(PP_Grid[#Data],$DE18,80),0)</f>
        <v/>
      </c>
      <c r="CF18">
        <f>IFERROR(INDEX(PP_Grid[#Data],$DE18,81),0)</f>
        <v/>
      </c>
      <c r="CG18">
        <f>IFERROR(INDEX(PP_Grid[#Data],$DE18,82),0)</f>
        <v/>
      </c>
      <c r="CH18">
        <f>IFERROR(INDEX(PP_Grid[#Data],$DE18,83),0)</f>
        <v/>
      </c>
      <c r="CI18">
        <f>IFERROR(INDEX(PP_Grid[#Data],$DE18,84),0)</f>
        <v/>
      </c>
      <c r="CJ18">
        <f>IFERROR(INDEX(PP_Grid[#Data],$DE18,85),0)</f>
        <v/>
      </c>
      <c r="CK18">
        <f>IFERROR(INDEX(PP_Grid[#Data],$DE18,86),0)</f>
        <v/>
      </c>
      <c r="CL18">
        <f>IFERROR(INDEX(PP_Grid[#Data],$DE18,87),0)</f>
        <v/>
      </c>
      <c r="CM18">
        <f>IFERROR(INDEX(PP_Grid[#Data],$DE18,88),0)</f>
        <v/>
      </c>
      <c r="CN18">
        <f>IFERROR(INDEX(PP_Grid[#Data],$DE18,89),0)</f>
        <v/>
      </c>
      <c r="CO18">
        <f>IFERROR(INDEX(PP_Grid[#Data],$DE18,90),0)</f>
        <v/>
      </c>
      <c r="CP18">
        <f>IFERROR(INDEX(PP_Grid[#Data],$DE18,91),0)</f>
        <v/>
      </c>
      <c r="CQ18">
        <f>IFERROR(INDEX(PP_Grid[#Data],$DE18,92),0)</f>
        <v/>
      </c>
      <c r="CR18">
        <f>IFERROR(INDEX(PP_Grid[#Data],$DE18,93),0)</f>
        <v/>
      </c>
      <c r="CS18">
        <f>IFERROR(INDEX(PP_Grid[#Data],$DE18,94),0)</f>
        <v/>
      </c>
      <c r="CT18">
        <f>IFERROR(INDEX(PP_Grid[#Data],$DE18,95),0)</f>
        <v/>
      </c>
      <c r="CU18">
        <f>IFERROR(INDEX(PP_Grid[#Data],$DE18,96),0)</f>
        <v/>
      </c>
      <c r="CV18">
        <f>IFERROR(INDEX(PP_Grid[#Data],$DE18,97),0)</f>
        <v/>
      </c>
      <c r="CW18">
        <f>IFERROR(INDEX(PP_Grid[#Data],$DE18,98),0)</f>
        <v/>
      </c>
      <c r="CX18">
        <f>IFERROR(INDEX(PP_Grid[#Data],$DE18,99),0)</f>
        <v/>
      </c>
      <c r="CY18">
        <f>IFERROR(INDEX(PP_Grid[#Data],$DE18,100),0)</f>
        <v/>
      </c>
      <c r="CZ18">
        <f>IFERROR(INDEX(PP_Grid[#Data],$DE18,101),0)</f>
        <v/>
      </c>
      <c r="DA18">
        <f>IFERROR(INDEX(PP_Grid[#Data],$DE18,102),0)</f>
        <v/>
      </c>
      <c r="DB18">
        <f>IFERROR(INDEX(PP_Grid[#Data],$DE18,103),0)</f>
        <v/>
      </c>
      <c r="DC18">
        <f>IFERROR(INDEX(PP_Grid[#Data],$DE18,104),0)</f>
        <v/>
      </c>
      <c r="DD18">
        <f>IFERROR(INDEX(PP_Grid[#Data],$DE18,105),0)</f>
        <v/>
      </c>
      <c r="DE18" s="7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SUMIFS(M_BOM[RM_Qty_Per_Batch],M_BOM[Intermediate],$B18,M_BOM[RM_Code],$A7)</f>
        <v/>
      </c>
      <c r="D19">
        <f>IFERROR(INDEX(E19:DD19,$F$1),"")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  <c r="DD19">
        <f>$C19*DD18</f>
        <v/>
      </c>
    </row>
    <row r="20">
      <c r="B20" t="inlineStr">
        <is>
          <t>No of times used</t>
        </is>
      </c>
      <c r="C20" t="inlineStr">
        <is>
          <t>No. of batches</t>
        </is>
      </c>
      <c r="D20">
        <f>IFERROR(INDEX(E20:DD20,$F$1),"")</f>
        <v/>
      </c>
      <c r="E20">
        <f>IFERROR(INDEX(PP_Grid[#Data],$DE20,2),0)</f>
        <v/>
      </c>
      <c r="F20">
        <f>IFERROR(INDEX(PP_Grid[#Data],$DE20,3),0)</f>
        <v/>
      </c>
      <c r="G20">
        <f>IFERROR(INDEX(PP_Grid[#Data],$DE20,4),0)</f>
        <v/>
      </c>
      <c r="H20">
        <f>IFERROR(INDEX(PP_Grid[#Data],$DE20,5),0)</f>
        <v/>
      </c>
      <c r="I20">
        <f>IFERROR(INDEX(PP_Grid[#Data],$DE20,6),0)</f>
        <v/>
      </c>
      <c r="J20">
        <f>IFERROR(INDEX(PP_Grid[#Data],$DE20,7),0)</f>
        <v/>
      </c>
      <c r="K20">
        <f>IFERROR(INDEX(PP_Grid[#Data],$DE20,8),0)</f>
        <v/>
      </c>
      <c r="L20">
        <f>IFERROR(INDEX(PP_Grid[#Data],$DE20,9),0)</f>
        <v/>
      </c>
      <c r="M20">
        <f>IFERROR(INDEX(PP_Grid[#Data],$DE20,10),0)</f>
        <v/>
      </c>
      <c r="N20">
        <f>IFERROR(INDEX(PP_Grid[#Data],$DE20,11),0)</f>
        <v/>
      </c>
      <c r="O20">
        <f>IFERROR(INDEX(PP_Grid[#Data],$DE20,12),0)</f>
        <v/>
      </c>
      <c r="P20">
        <f>IFERROR(INDEX(PP_Grid[#Data],$DE20,13),0)</f>
        <v/>
      </c>
      <c r="Q20">
        <f>IFERROR(INDEX(PP_Grid[#Data],$DE20,14),0)</f>
        <v/>
      </c>
      <c r="R20">
        <f>IFERROR(INDEX(PP_Grid[#Data],$DE20,15),0)</f>
        <v/>
      </c>
      <c r="S20">
        <f>IFERROR(INDEX(PP_Grid[#Data],$DE20,16),0)</f>
        <v/>
      </c>
      <c r="T20">
        <f>IFERROR(INDEX(PP_Grid[#Data],$DE20,17),0)</f>
        <v/>
      </c>
      <c r="U20">
        <f>IFERROR(INDEX(PP_Grid[#Data],$DE20,18),0)</f>
        <v/>
      </c>
      <c r="V20">
        <f>IFERROR(INDEX(PP_Grid[#Data],$DE20,19),0)</f>
        <v/>
      </c>
      <c r="W20">
        <f>IFERROR(INDEX(PP_Grid[#Data],$DE20,20),0)</f>
        <v/>
      </c>
      <c r="X20">
        <f>IFERROR(INDEX(PP_Grid[#Data],$DE20,21),0)</f>
        <v/>
      </c>
      <c r="Y20">
        <f>IFERROR(INDEX(PP_Grid[#Data],$DE20,22),0)</f>
        <v/>
      </c>
      <c r="Z20">
        <f>IFERROR(INDEX(PP_Grid[#Data],$DE20,23),0)</f>
        <v/>
      </c>
      <c r="AA20">
        <f>IFERROR(INDEX(PP_Grid[#Data],$DE20,24),0)</f>
        <v/>
      </c>
      <c r="AB20">
        <f>IFERROR(INDEX(PP_Grid[#Data],$DE20,25),0)</f>
        <v/>
      </c>
      <c r="AC20">
        <f>IFERROR(INDEX(PP_Grid[#Data],$DE20,26),0)</f>
        <v/>
      </c>
      <c r="AD20">
        <f>IFERROR(INDEX(PP_Grid[#Data],$DE20,27),0)</f>
        <v/>
      </c>
      <c r="AE20">
        <f>IFERROR(INDEX(PP_Grid[#Data],$DE20,28),0)</f>
        <v/>
      </c>
      <c r="AF20">
        <f>IFERROR(INDEX(PP_Grid[#Data],$DE20,29),0)</f>
        <v/>
      </c>
      <c r="AG20">
        <f>IFERROR(INDEX(PP_Grid[#Data],$DE20,30),0)</f>
        <v/>
      </c>
      <c r="AH20">
        <f>IFERROR(INDEX(PP_Grid[#Data],$DE20,31),0)</f>
        <v/>
      </c>
      <c r="AI20">
        <f>IFERROR(INDEX(PP_Grid[#Data],$DE20,32),0)</f>
        <v/>
      </c>
      <c r="AJ20">
        <f>IFERROR(INDEX(PP_Grid[#Data],$DE20,33),0)</f>
        <v/>
      </c>
      <c r="AK20">
        <f>IFERROR(INDEX(PP_Grid[#Data],$DE20,34),0)</f>
        <v/>
      </c>
      <c r="AL20">
        <f>IFERROR(INDEX(PP_Grid[#Data],$DE20,35),0)</f>
        <v/>
      </c>
      <c r="AM20">
        <f>IFERROR(INDEX(PP_Grid[#Data],$DE20,36),0)</f>
        <v/>
      </c>
      <c r="AN20">
        <f>IFERROR(INDEX(PP_Grid[#Data],$DE20,37),0)</f>
        <v/>
      </c>
      <c r="AO20">
        <f>IFERROR(INDEX(PP_Grid[#Data],$DE20,38),0)</f>
        <v/>
      </c>
      <c r="AP20">
        <f>IFERROR(INDEX(PP_Grid[#Data],$DE20,39),0)</f>
        <v/>
      </c>
      <c r="AQ20">
        <f>IFERROR(INDEX(PP_Grid[#Data],$DE20,40),0)</f>
        <v/>
      </c>
      <c r="AR20">
        <f>IFERROR(INDEX(PP_Grid[#Data],$DE20,41),0)</f>
        <v/>
      </c>
      <c r="AS20">
        <f>IFERROR(INDEX(PP_Grid[#Data],$DE20,42),0)</f>
        <v/>
      </c>
      <c r="AT20">
        <f>IFERROR(INDEX(PP_Grid[#Data],$DE20,43),0)</f>
        <v/>
      </c>
      <c r="AU20">
        <f>IFERROR(INDEX(PP_Grid[#Data],$DE20,44),0)</f>
        <v/>
      </c>
      <c r="AV20">
        <f>IFERROR(INDEX(PP_Grid[#Data],$DE20,45),0)</f>
        <v/>
      </c>
      <c r="AW20">
        <f>IFERROR(INDEX(PP_Grid[#Data],$DE20,46),0)</f>
        <v/>
      </c>
      <c r="AX20">
        <f>IFERROR(INDEX(PP_Grid[#Data],$DE20,47),0)</f>
        <v/>
      </c>
      <c r="AY20">
        <f>IFERROR(INDEX(PP_Grid[#Data],$DE20,48),0)</f>
        <v/>
      </c>
      <c r="AZ20">
        <f>IFERROR(INDEX(PP_Grid[#Data],$DE20,49),0)</f>
        <v/>
      </c>
      <c r="BA20">
        <f>IFERROR(INDEX(PP_Grid[#Data],$DE20,50),0)</f>
        <v/>
      </c>
      <c r="BB20">
        <f>IFERROR(INDEX(PP_Grid[#Data],$DE20,51),0)</f>
        <v/>
      </c>
      <c r="BC20">
        <f>IFERROR(INDEX(PP_Grid[#Data],$DE20,52),0)</f>
        <v/>
      </c>
      <c r="BD20">
        <f>IFERROR(INDEX(PP_Grid[#Data],$DE20,53),0)</f>
        <v/>
      </c>
      <c r="BE20">
        <f>IFERROR(INDEX(PP_Grid[#Data],$DE20,54),0)</f>
        <v/>
      </c>
      <c r="BF20">
        <f>IFERROR(INDEX(PP_Grid[#Data],$DE20,55),0)</f>
        <v/>
      </c>
      <c r="BG20">
        <f>IFERROR(INDEX(PP_Grid[#Data],$DE20,56),0)</f>
        <v/>
      </c>
      <c r="BH20">
        <f>IFERROR(INDEX(PP_Grid[#Data],$DE20,57),0)</f>
        <v/>
      </c>
      <c r="BI20">
        <f>IFERROR(INDEX(PP_Grid[#Data],$DE20,58),0)</f>
        <v/>
      </c>
      <c r="BJ20">
        <f>IFERROR(INDEX(PP_Grid[#Data],$DE20,59),0)</f>
        <v/>
      </c>
      <c r="BK20">
        <f>IFERROR(INDEX(PP_Grid[#Data],$DE20,60),0)</f>
        <v/>
      </c>
      <c r="BL20">
        <f>IFERROR(INDEX(PP_Grid[#Data],$DE20,61),0)</f>
        <v/>
      </c>
      <c r="BM20">
        <f>IFERROR(INDEX(PP_Grid[#Data],$DE20,62),0)</f>
        <v/>
      </c>
      <c r="BN20">
        <f>IFERROR(INDEX(PP_Grid[#Data],$DE20,63),0)</f>
        <v/>
      </c>
      <c r="BO20">
        <f>IFERROR(INDEX(PP_Grid[#Data],$DE20,64),0)</f>
        <v/>
      </c>
      <c r="BP20">
        <f>IFERROR(INDEX(PP_Grid[#Data],$DE20,65),0)</f>
        <v/>
      </c>
      <c r="BQ20">
        <f>IFERROR(INDEX(PP_Grid[#Data],$DE20,66),0)</f>
        <v/>
      </c>
      <c r="BR20">
        <f>IFERROR(INDEX(PP_Grid[#Data],$DE20,67),0)</f>
        <v/>
      </c>
      <c r="BS20">
        <f>IFERROR(INDEX(PP_Grid[#Data],$DE20,68),0)</f>
        <v/>
      </c>
      <c r="BT20">
        <f>IFERROR(INDEX(PP_Grid[#Data],$DE20,69),0)</f>
        <v/>
      </c>
      <c r="BU20">
        <f>IFERROR(INDEX(PP_Grid[#Data],$DE20,70),0)</f>
        <v/>
      </c>
      <c r="BV20">
        <f>IFERROR(INDEX(PP_Grid[#Data],$DE20,71),0)</f>
        <v/>
      </c>
      <c r="BW20">
        <f>IFERROR(INDEX(PP_Grid[#Data],$DE20,72),0)</f>
        <v/>
      </c>
      <c r="BX20">
        <f>IFERROR(INDEX(PP_Grid[#Data],$DE20,73),0)</f>
        <v/>
      </c>
      <c r="BY20">
        <f>IFERROR(INDEX(PP_Grid[#Data],$DE20,74),0)</f>
        <v/>
      </c>
      <c r="BZ20">
        <f>IFERROR(INDEX(PP_Grid[#Data],$DE20,75),0)</f>
        <v/>
      </c>
      <c r="CA20">
        <f>IFERROR(INDEX(PP_Grid[#Data],$DE20,76),0)</f>
        <v/>
      </c>
      <c r="CB20">
        <f>IFERROR(INDEX(PP_Grid[#Data],$DE20,77),0)</f>
        <v/>
      </c>
      <c r="CC20">
        <f>IFERROR(INDEX(PP_Grid[#Data],$DE20,78),0)</f>
        <v/>
      </c>
      <c r="CD20">
        <f>IFERROR(INDEX(PP_Grid[#Data],$DE20,79),0)</f>
        <v/>
      </c>
      <c r="CE20">
        <f>IFERROR(INDEX(PP_Grid[#Data],$DE20,80),0)</f>
        <v/>
      </c>
      <c r="CF20">
        <f>IFERROR(INDEX(PP_Grid[#Data],$DE20,81),0)</f>
        <v/>
      </c>
      <c r="CG20">
        <f>IFERROR(INDEX(PP_Grid[#Data],$DE20,82),0)</f>
        <v/>
      </c>
      <c r="CH20">
        <f>IFERROR(INDEX(PP_Grid[#Data],$DE20,83),0)</f>
        <v/>
      </c>
      <c r="CI20">
        <f>IFERROR(INDEX(PP_Grid[#Data],$DE20,84),0)</f>
        <v/>
      </c>
      <c r="CJ20">
        <f>IFERROR(INDEX(PP_Grid[#Data],$DE20,85),0)</f>
        <v/>
      </c>
      <c r="CK20">
        <f>IFERROR(INDEX(PP_Grid[#Data],$DE20,86),0)</f>
        <v/>
      </c>
      <c r="CL20">
        <f>IFERROR(INDEX(PP_Grid[#Data],$DE20,87),0)</f>
        <v/>
      </c>
      <c r="CM20">
        <f>IFERROR(INDEX(PP_Grid[#Data],$DE20,88),0)</f>
        <v/>
      </c>
      <c r="CN20">
        <f>IFERROR(INDEX(PP_Grid[#Data],$DE20,89),0)</f>
        <v/>
      </c>
      <c r="CO20">
        <f>IFERROR(INDEX(PP_Grid[#Data],$DE20,90),0)</f>
        <v/>
      </c>
      <c r="CP20">
        <f>IFERROR(INDEX(PP_Grid[#Data],$DE20,91),0)</f>
        <v/>
      </c>
      <c r="CQ20">
        <f>IFERROR(INDEX(PP_Grid[#Data],$DE20,92),0)</f>
        <v/>
      </c>
      <c r="CR20">
        <f>IFERROR(INDEX(PP_Grid[#Data],$DE20,93),0)</f>
        <v/>
      </c>
      <c r="CS20">
        <f>IFERROR(INDEX(PP_Grid[#Data],$DE20,94),0)</f>
        <v/>
      </c>
      <c r="CT20">
        <f>IFERROR(INDEX(PP_Grid[#Data],$DE20,95),0)</f>
        <v/>
      </c>
      <c r="CU20">
        <f>IFERROR(INDEX(PP_Grid[#Data],$DE20,96),0)</f>
        <v/>
      </c>
      <c r="CV20">
        <f>IFERROR(INDEX(PP_Grid[#Data],$DE20,97),0)</f>
        <v/>
      </c>
      <c r="CW20">
        <f>IFERROR(INDEX(PP_Grid[#Data],$DE20,98),0)</f>
        <v/>
      </c>
      <c r="CX20">
        <f>IFERROR(INDEX(PP_Grid[#Data],$DE20,99),0)</f>
        <v/>
      </c>
      <c r="CY20">
        <f>IFERROR(INDEX(PP_Grid[#Data],$DE20,100),0)</f>
        <v/>
      </c>
      <c r="CZ20">
        <f>IFERROR(INDEX(PP_Grid[#Data],$DE20,101),0)</f>
        <v/>
      </c>
      <c r="DA20">
        <f>IFERROR(INDEX(PP_Grid[#Data],$DE20,102),0)</f>
        <v/>
      </c>
      <c r="DB20">
        <f>IFERROR(INDEX(PP_Grid[#Data],$DE20,103),0)</f>
        <v/>
      </c>
      <c r="DC20">
        <f>IFERROR(INDEX(PP_Grid[#Data],$DE20,104),0)</f>
        <v/>
      </c>
      <c r="DD20">
        <f>IFERROR(INDEX(PP_Grid[#Data],$DE20,105),0)</f>
        <v/>
      </c>
      <c r="DE20" s="7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SUMIFS(M_BOM[RM_Qty_Per_Batch],M_BOM[Intermediate],$B20,M_BOM[RM_Code],$A7)</f>
        <v/>
      </c>
      <c r="D21">
        <f>IFERROR(INDEX(E21:DD21,$F$1),"")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  <c r="DD21">
        <f>$C21*DD20</f>
        <v/>
      </c>
    </row>
    <row r="22">
      <c r="B22" s="4" t="inlineStr">
        <is>
          <t>合計使用量(kg)/週</t>
        </is>
      </c>
      <c r="D22" s="22">
        <f>IFERROR(INDEX(E22:DD22,$F$1),"")</f>
        <v/>
      </c>
      <c r="E22">
        <f>'Grid_Requirement'!B83</f>
        <v/>
      </c>
      <c r="F22">
        <f>'Grid_Requirement'!C83</f>
        <v/>
      </c>
      <c r="G22">
        <f>'Grid_Requirement'!D83</f>
        <v/>
      </c>
      <c r="H22">
        <f>'Grid_Requirement'!E83</f>
        <v/>
      </c>
      <c r="I22">
        <f>'Grid_Requirement'!F83</f>
        <v/>
      </c>
      <c r="J22">
        <f>'Grid_Requirement'!G83</f>
        <v/>
      </c>
      <c r="K22">
        <f>'Grid_Requirement'!H83</f>
        <v/>
      </c>
      <c r="L22">
        <f>'Grid_Requirement'!I83</f>
        <v/>
      </c>
      <c r="M22">
        <f>'Grid_Requirement'!J83</f>
        <v/>
      </c>
      <c r="N22">
        <f>'Grid_Requirement'!K83</f>
        <v/>
      </c>
      <c r="O22">
        <f>'Grid_Requirement'!L83</f>
        <v/>
      </c>
      <c r="P22">
        <f>'Grid_Requirement'!M83</f>
        <v/>
      </c>
      <c r="Q22">
        <f>'Grid_Requirement'!N83</f>
        <v/>
      </c>
      <c r="R22">
        <f>'Grid_Requirement'!O83</f>
        <v/>
      </c>
      <c r="S22">
        <f>'Grid_Requirement'!P83</f>
        <v/>
      </c>
      <c r="T22">
        <f>'Grid_Requirement'!Q83</f>
        <v/>
      </c>
      <c r="U22">
        <f>'Grid_Requirement'!R83</f>
        <v/>
      </c>
      <c r="V22">
        <f>'Grid_Requirement'!S83</f>
        <v/>
      </c>
      <c r="W22">
        <f>'Grid_Requirement'!T83</f>
        <v/>
      </c>
      <c r="X22">
        <f>'Grid_Requirement'!U83</f>
        <v/>
      </c>
      <c r="Y22">
        <f>'Grid_Requirement'!V83</f>
        <v/>
      </c>
      <c r="Z22">
        <f>'Grid_Requirement'!W83</f>
        <v/>
      </c>
      <c r="AA22">
        <f>'Grid_Requirement'!X83</f>
        <v/>
      </c>
      <c r="AB22">
        <f>'Grid_Requirement'!Y83</f>
        <v/>
      </c>
      <c r="AC22">
        <f>'Grid_Requirement'!Z83</f>
        <v/>
      </c>
      <c r="AD22">
        <f>'Grid_Requirement'!AA83</f>
        <v/>
      </c>
      <c r="AE22">
        <f>'Grid_Requirement'!AB83</f>
        <v/>
      </c>
      <c r="AF22">
        <f>'Grid_Requirement'!AC83</f>
        <v/>
      </c>
      <c r="AG22">
        <f>'Grid_Requirement'!AD83</f>
        <v/>
      </c>
      <c r="AH22">
        <f>'Grid_Requirement'!AE83</f>
        <v/>
      </c>
      <c r="AI22">
        <f>'Grid_Requirement'!AF83</f>
        <v/>
      </c>
      <c r="AJ22">
        <f>'Grid_Requirement'!AG83</f>
        <v/>
      </c>
      <c r="AK22">
        <f>'Grid_Requirement'!AH83</f>
        <v/>
      </c>
      <c r="AL22">
        <f>'Grid_Requirement'!AI83</f>
        <v/>
      </c>
      <c r="AM22">
        <f>'Grid_Requirement'!AJ83</f>
        <v/>
      </c>
      <c r="AN22">
        <f>'Grid_Requirement'!AK83</f>
        <v/>
      </c>
      <c r="AO22">
        <f>'Grid_Requirement'!AL83</f>
        <v/>
      </c>
      <c r="AP22">
        <f>'Grid_Requirement'!AM83</f>
        <v/>
      </c>
      <c r="AQ22">
        <f>'Grid_Requirement'!AN83</f>
        <v/>
      </c>
      <c r="AR22">
        <f>'Grid_Requirement'!AO83</f>
        <v/>
      </c>
      <c r="AS22">
        <f>'Grid_Requirement'!AP83</f>
        <v/>
      </c>
      <c r="AT22">
        <f>'Grid_Requirement'!AQ83</f>
        <v/>
      </c>
      <c r="AU22">
        <f>'Grid_Requirement'!AR83</f>
        <v/>
      </c>
      <c r="AV22">
        <f>'Grid_Requirement'!AS83</f>
        <v/>
      </c>
      <c r="AW22">
        <f>'Grid_Requirement'!AT83</f>
        <v/>
      </c>
      <c r="AX22">
        <f>'Grid_Requirement'!AU83</f>
        <v/>
      </c>
      <c r="AY22">
        <f>'Grid_Requirement'!AV83</f>
        <v/>
      </c>
      <c r="AZ22">
        <f>'Grid_Requirement'!AW83</f>
        <v/>
      </c>
      <c r="BA22">
        <f>'Grid_Requirement'!AX83</f>
        <v/>
      </c>
      <c r="BB22">
        <f>'Grid_Requirement'!AY83</f>
        <v/>
      </c>
      <c r="BC22">
        <f>'Grid_Requirement'!AZ83</f>
        <v/>
      </c>
      <c r="BD22">
        <f>'Grid_Requirement'!BA83</f>
        <v/>
      </c>
      <c r="BE22">
        <f>'Grid_Requirement'!BB83</f>
        <v/>
      </c>
      <c r="BF22">
        <f>'Grid_Requirement'!BC83</f>
        <v/>
      </c>
      <c r="BG22">
        <f>'Grid_Requirement'!BD83</f>
        <v/>
      </c>
      <c r="BH22">
        <f>'Grid_Requirement'!BE83</f>
        <v/>
      </c>
      <c r="BI22">
        <f>'Grid_Requirement'!BF83</f>
        <v/>
      </c>
      <c r="BJ22">
        <f>'Grid_Requirement'!BG83</f>
        <v/>
      </c>
      <c r="BK22">
        <f>'Grid_Requirement'!BH83</f>
        <v/>
      </c>
      <c r="BL22">
        <f>'Grid_Requirement'!BI83</f>
        <v/>
      </c>
      <c r="BM22">
        <f>'Grid_Requirement'!BJ83</f>
        <v/>
      </c>
      <c r="BN22">
        <f>'Grid_Requirement'!BK83</f>
        <v/>
      </c>
      <c r="BO22">
        <f>'Grid_Requirement'!BL83</f>
        <v/>
      </c>
      <c r="BP22">
        <f>'Grid_Requirement'!BM83</f>
        <v/>
      </c>
      <c r="BQ22">
        <f>'Grid_Requirement'!BN83</f>
        <v/>
      </c>
      <c r="BR22">
        <f>'Grid_Requirement'!BO83</f>
        <v/>
      </c>
      <c r="BS22">
        <f>'Grid_Requirement'!BP83</f>
        <v/>
      </c>
      <c r="BT22">
        <f>'Grid_Requirement'!BQ83</f>
        <v/>
      </c>
      <c r="BU22">
        <f>'Grid_Requirement'!BR83</f>
        <v/>
      </c>
      <c r="BV22">
        <f>'Grid_Requirement'!BS83</f>
        <v/>
      </c>
      <c r="BW22">
        <f>'Grid_Requirement'!BT83</f>
        <v/>
      </c>
      <c r="BX22">
        <f>'Grid_Requirement'!BU83</f>
        <v/>
      </c>
      <c r="BY22">
        <f>'Grid_Requirement'!BV83</f>
        <v/>
      </c>
      <c r="BZ22">
        <f>'Grid_Requirement'!BW83</f>
        <v/>
      </c>
      <c r="CA22">
        <f>'Grid_Requirement'!BX83</f>
        <v/>
      </c>
      <c r="CB22">
        <f>'Grid_Requirement'!BY83</f>
        <v/>
      </c>
      <c r="CC22">
        <f>'Grid_Requirement'!BZ83</f>
        <v/>
      </c>
      <c r="CD22">
        <f>'Grid_Requirement'!CA83</f>
        <v/>
      </c>
      <c r="CE22">
        <f>'Grid_Requirement'!CB83</f>
        <v/>
      </c>
      <c r="CF22">
        <f>'Grid_Requirement'!CC83</f>
        <v/>
      </c>
      <c r="CG22">
        <f>'Grid_Requirement'!CD83</f>
        <v/>
      </c>
      <c r="CH22">
        <f>'Grid_Requirement'!CE83</f>
        <v/>
      </c>
      <c r="CI22">
        <f>'Grid_Requirement'!CF83</f>
        <v/>
      </c>
      <c r="CJ22">
        <f>'Grid_Requirement'!CG83</f>
        <v/>
      </c>
      <c r="CK22">
        <f>'Grid_Requirement'!CH83</f>
        <v/>
      </c>
      <c r="CL22">
        <f>'Grid_Requirement'!CI83</f>
        <v/>
      </c>
      <c r="CM22">
        <f>'Grid_Requirement'!CJ83</f>
        <v/>
      </c>
      <c r="CN22">
        <f>'Grid_Requirement'!CK83</f>
        <v/>
      </c>
      <c r="CO22">
        <f>'Grid_Requirement'!CL83</f>
        <v/>
      </c>
      <c r="CP22">
        <f>'Grid_Requirement'!CM83</f>
        <v/>
      </c>
      <c r="CQ22">
        <f>'Grid_Requirement'!CN83</f>
        <v/>
      </c>
      <c r="CR22">
        <f>'Grid_Requirement'!CO83</f>
        <v/>
      </c>
      <c r="CS22">
        <f>'Grid_Requirement'!CP83</f>
        <v/>
      </c>
      <c r="CT22">
        <f>'Grid_Requirement'!CQ83</f>
        <v/>
      </c>
      <c r="CU22">
        <f>'Grid_Requirement'!CR83</f>
        <v/>
      </c>
      <c r="CV22">
        <f>'Grid_Requirement'!CS83</f>
        <v/>
      </c>
      <c r="CW22">
        <f>'Grid_Requirement'!CT83</f>
        <v/>
      </c>
      <c r="CX22">
        <f>'Grid_Requirement'!CU83</f>
        <v/>
      </c>
      <c r="CY22">
        <f>'Grid_Requirement'!CV83</f>
        <v/>
      </c>
      <c r="CZ22">
        <f>'Grid_Requirement'!CW83</f>
        <v/>
      </c>
      <c r="DA22">
        <f>'Grid_Requirement'!CX83</f>
        <v/>
      </c>
      <c r="DB22">
        <f>'Grid_Requirement'!CY83</f>
        <v/>
      </c>
      <c r="DC22">
        <f>'Grid_Requirement'!CZ83</f>
        <v/>
      </c>
      <c r="DD22">
        <f>'Grid_Requirement'!DA83</f>
        <v/>
      </c>
    </row>
    <row r="23">
      <c r="B23" s="23" t="inlineStr">
        <is>
          <t>（在庫・入荷予定はDashboard参照）</t>
        </is>
      </c>
    </row>
    <row r="25">
      <c r="A25" s="21" t="inlineStr">
        <is>
          <t>CHEM-1410</t>
        </is>
      </c>
      <c r="B25" s="21" t="inlineStr">
        <is>
          <t>SCFa100L4</t>
        </is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1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</row>
    <row r="26">
      <c r="B26" t="inlineStr">
        <is>
          <t>TSP-049</t>
        </is>
      </c>
      <c r="C26" t="inlineStr">
        <is>
          <t>No. of batches</t>
        </is>
      </c>
      <c r="D26">
        <f>IFERROR(INDEX(E26:DD26,$F$1),"")</f>
        <v/>
      </c>
      <c r="E26">
        <f>IFERROR(INDEX(PP_Grid[#Data],$DE26,2),0)</f>
        <v/>
      </c>
      <c r="F26">
        <f>IFERROR(INDEX(PP_Grid[#Data],$DE26,3),0)</f>
        <v/>
      </c>
      <c r="G26">
        <f>IFERROR(INDEX(PP_Grid[#Data],$DE26,4),0)</f>
        <v/>
      </c>
      <c r="H26">
        <f>IFERROR(INDEX(PP_Grid[#Data],$DE26,5),0)</f>
        <v/>
      </c>
      <c r="I26">
        <f>IFERROR(INDEX(PP_Grid[#Data],$DE26,6),0)</f>
        <v/>
      </c>
      <c r="J26">
        <f>IFERROR(INDEX(PP_Grid[#Data],$DE26,7),0)</f>
        <v/>
      </c>
      <c r="K26">
        <f>IFERROR(INDEX(PP_Grid[#Data],$DE26,8),0)</f>
        <v/>
      </c>
      <c r="L26">
        <f>IFERROR(INDEX(PP_Grid[#Data],$DE26,9),0)</f>
        <v/>
      </c>
      <c r="M26">
        <f>IFERROR(INDEX(PP_Grid[#Data],$DE26,10),0)</f>
        <v/>
      </c>
      <c r="N26">
        <f>IFERROR(INDEX(PP_Grid[#Data],$DE26,11),0)</f>
        <v/>
      </c>
      <c r="O26">
        <f>IFERROR(INDEX(PP_Grid[#Data],$DE26,12),0)</f>
        <v/>
      </c>
      <c r="P26">
        <f>IFERROR(INDEX(PP_Grid[#Data],$DE26,13),0)</f>
        <v/>
      </c>
      <c r="Q26">
        <f>IFERROR(INDEX(PP_Grid[#Data],$DE26,14),0)</f>
        <v/>
      </c>
      <c r="R26">
        <f>IFERROR(INDEX(PP_Grid[#Data],$DE26,15),0)</f>
        <v/>
      </c>
      <c r="S26">
        <f>IFERROR(INDEX(PP_Grid[#Data],$DE26,16),0)</f>
        <v/>
      </c>
      <c r="T26">
        <f>IFERROR(INDEX(PP_Grid[#Data],$DE26,17),0)</f>
        <v/>
      </c>
      <c r="U26">
        <f>IFERROR(INDEX(PP_Grid[#Data],$DE26,18),0)</f>
        <v/>
      </c>
      <c r="V26">
        <f>IFERROR(INDEX(PP_Grid[#Data],$DE26,19),0)</f>
        <v/>
      </c>
      <c r="W26">
        <f>IFERROR(INDEX(PP_Grid[#Data],$DE26,20),0)</f>
        <v/>
      </c>
      <c r="X26">
        <f>IFERROR(INDEX(PP_Grid[#Data],$DE26,21),0)</f>
        <v/>
      </c>
      <c r="Y26">
        <f>IFERROR(INDEX(PP_Grid[#Data],$DE26,22),0)</f>
        <v/>
      </c>
      <c r="Z26">
        <f>IFERROR(INDEX(PP_Grid[#Data],$DE26,23),0)</f>
        <v/>
      </c>
      <c r="AA26">
        <f>IFERROR(INDEX(PP_Grid[#Data],$DE26,24),0)</f>
        <v/>
      </c>
      <c r="AB26">
        <f>IFERROR(INDEX(PP_Grid[#Data],$DE26,25),0)</f>
        <v/>
      </c>
      <c r="AC26">
        <f>IFERROR(INDEX(PP_Grid[#Data],$DE26,26),0)</f>
        <v/>
      </c>
      <c r="AD26">
        <f>IFERROR(INDEX(PP_Grid[#Data],$DE26,27),0)</f>
        <v/>
      </c>
      <c r="AE26">
        <f>IFERROR(INDEX(PP_Grid[#Data],$DE26,28),0)</f>
        <v/>
      </c>
      <c r="AF26">
        <f>IFERROR(INDEX(PP_Grid[#Data],$DE26,29),0)</f>
        <v/>
      </c>
      <c r="AG26">
        <f>IFERROR(INDEX(PP_Grid[#Data],$DE26,30),0)</f>
        <v/>
      </c>
      <c r="AH26">
        <f>IFERROR(INDEX(PP_Grid[#Data],$DE26,31),0)</f>
        <v/>
      </c>
      <c r="AI26">
        <f>IFERROR(INDEX(PP_Grid[#Data],$DE26,32),0)</f>
        <v/>
      </c>
      <c r="AJ26">
        <f>IFERROR(INDEX(PP_Grid[#Data],$DE26,33),0)</f>
        <v/>
      </c>
      <c r="AK26">
        <f>IFERROR(INDEX(PP_Grid[#Data],$DE26,34),0)</f>
        <v/>
      </c>
      <c r="AL26">
        <f>IFERROR(INDEX(PP_Grid[#Data],$DE26,35),0)</f>
        <v/>
      </c>
      <c r="AM26">
        <f>IFERROR(INDEX(PP_Grid[#Data],$DE26,36),0)</f>
        <v/>
      </c>
      <c r="AN26">
        <f>IFERROR(INDEX(PP_Grid[#Data],$DE26,37),0)</f>
        <v/>
      </c>
      <c r="AO26">
        <f>IFERROR(INDEX(PP_Grid[#Data],$DE26,38),0)</f>
        <v/>
      </c>
      <c r="AP26">
        <f>IFERROR(INDEX(PP_Grid[#Data],$DE26,39),0)</f>
        <v/>
      </c>
      <c r="AQ26">
        <f>IFERROR(INDEX(PP_Grid[#Data],$DE26,40),0)</f>
        <v/>
      </c>
      <c r="AR26">
        <f>IFERROR(INDEX(PP_Grid[#Data],$DE26,41),0)</f>
        <v/>
      </c>
      <c r="AS26">
        <f>IFERROR(INDEX(PP_Grid[#Data],$DE26,42),0)</f>
        <v/>
      </c>
      <c r="AT26">
        <f>IFERROR(INDEX(PP_Grid[#Data],$DE26,43),0)</f>
        <v/>
      </c>
      <c r="AU26">
        <f>IFERROR(INDEX(PP_Grid[#Data],$DE26,44),0)</f>
        <v/>
      </c>
      <c r="AV26">
        <f>IFERROR(INDEX(PP_Grid[#Data],$DE26,45),0)</f>
        <v/>
      </c>
      <c r="AW26">
        <f>IFERROR(INDEX(PP_Grid[#Data],$DE26,46),0)</f>
        <v/>
      </c>
      <c r="AX26">
        <f>IFERROR(INDEX(PP_Grid[#Data],$DE26,47),0)</f>
        <v/>
      </c>
      <c r="AY26">
        <f>IFERROR(INDEX(PP_Grid[#Data],$DE26,48),0)</f>
        <v/>
      </c>
      <c r="AZ26">
        <f>IFERROR(INDEX(PP_Grid[#Data],$DE26,49),0)</f>
        <v/>
      </c>
      <c r="BA26">
        <f>IFERROR(INDEX(PP_Grid[#Data],$DE26,50),0)</f>
        <v/>
      </c>
      <c r="BB26">
        <f>IFERROR(INDEX(PP_Grid[#Data],$DE26,51),0)</f>
        <v/>
      </c>
      <c r="BC26">
        <f>IFERROR(INDEX(PP_Grid[#Data],$DE26,52),0)</f>
        <v/>
      </c>
      <c r="BD26">
        <f>IFERROR(INDEX(PP_Grid[#Data],$DE26,53),0)</f>
        <v/>
      </c>
      <c r="BE26">
        <f>IFERROR(INDEX(PP_Grid[#Data],$DE26,54),0)</f>
        <v/>
      </c>
      <c r="BF26">
        <f>IFERROR(INDEX(PP_Grid[#Data],$DE26,55),0)</f>
        <v/>
      </c>
      <c r="BG26">
        <f>IFERROR(INDEX(PP_Grid[#Data],$DE26,56),0)</f>
        <v/>
      </c>
      <c r="BH26">
        <f>IFERROR(INDEX(PP_Grid[#Data],$DE26,57),0)</f>
        <v/>
      </c>
      <c r="BI26">
        <f>IFERROR(INDEX(PP_Grid[#Data],$DE26,58),0)</f>
        <v/>
      </c>
      <c r="BJ26">
        <f>IFERROR(INDEX(PP_Grid[#Data],$DE26,59),0)</f>
        <v/>
      </c>
      <c r="BK26">
        <f>IFERROR(INDEX(PP_Grid[#Data],$DE26,60),0)</f>
        <v/>
      </c>
      <c r="BL26">
        <f>IFERROR(INDEX(PP_Grid[#Data],$DE26,61),0)</f>
        <v/>
      </c>
      <c r="BM26">
        <f>IFERROR(INDEX(PP_Grid[#Data],$DE26,62),0)</f>
        <v/>
      </c>
      <c r="BN26">
        <f>IFERROR(INDEX(PP_Grid[#Data],$DE26,63),0)</f>
        <v/>
      </c>
      <c r="BO26">
        <f>IFERROR(INDEX(PP_Grid[#Data],$DE26,64),0)</f>
        <v/>
      </c>
      <c r="BP26">
        <f>IFERROR(INDEX(PP_Grid[#Data],$DE26,65),0)</f>
        <v/>
      </c>
      <c r="BQ26">
        <f>IFERROR(INDEX(PP_Grid[#Data],$DE26,66),0)</f>
        <v/>
      </c>
      <c r="BR26">
        <f>IFERROR(INDEX(PP_Grid[#Data],$DE26,67),0)</f>
        <v/>
      </c>
      <c r="BS26">
        <f>IFERROR(INDEX(PP_Grid[#Data],$DE26,68),0)</f>
        <v/>
      </c>
      <c r="BT26">
        <f>IFERROR(INDEX(PP_Grid[#Data],$DE26,69),0)</f>
        <v/>
      </c>
      <c r="BU26">
        <f>IFERROR(INDEX(PP_Grid[#Data],$DE26,70),0)</f>
        <v/>
      </c>
      <c r="BV26">
        <f>IFERROR(INDEX(PP_Grid[#Data],$DE26,71),0)</f>
        <v/>
      </c>
      <c r="BW26">
        <f>IFERROR(INDEX(PP_Grid[#Data],$DE26,72),0)</f>
        <v/>
      </c>
      <c r="BX26">
        <f>IFERROR(INDEX(PP_Grid[#Data],$DE26,73),0)</f>
        <v/>
      </c>
      <c r="BY26">
        <f>IFERROR(INDEX(PP_Grid[#Data],$DE26,74),0)</f>
        <v/>
      </c>
      <c r="BZ26">
        <f>IFERROR(INDEX(PP_Grid[#Data],$DE26,75),0)</f>
        <v/>
      </c>
      <c r="CA26">
        <f>IFERROR(INDEX(PP_Grid[#Data],$DE26,76),0)</f>
        <v/>
      </c>
      <c r="CB26">
        <f>IFERROR(INDEX(PP_Grid[#Data],$DE26,77),0)</f>
        <v/>
      </c>
      <c r="CC26">
        <f>IFERROR(INDEX(PP_Grid[#Data],$DE26,78),0)</f>
        <v/>
      </c>
      <c r="CD26">
        <f>IFERROR(INDEX(PP_Grid[#Data],$DE26,79),0)</f>
        <v/>
      </c>
      <c r="CE26">
        <f>IFERROR(INDEX(PP_Grid[#Data],$DE26,80),0)</f>
        <v/>
      </c>
      <c r="CF26">
        <f>IFERROR(INDEX(PP_Grid[#Data],$DE26,81),0)</f>
        <v/>
      </c>
      <c r="CG26">
        <f>IFERROR(INDEX(PP_Grid[#Data],$DE26,82),0)</f>
        <v/>
      </c>
      <c r="CH26">
        <f>IFERROR(INDEX(PP_Grid[#Data],$DE26,83),0)</f>
        <v/>
      </c>
      <c r="CI26">
        <f>IFERROR(INDEX(PP_Grid[#Data],$DE26,84),0)</f>
        <v/>
      </c>
      <c r="CJ26">
        <f>IFERROR(INDEX(PP_Grid[#Data],$DE26,85),0)</f>
        <v/>
      </c>
      <c r="CK26">
        <f>IFERROR(INDEX(PP_Grid[#Data],$DE26,86),0)</f>
        <v/>
      </c>
      <c r="CL26">
        <f>IFERROR(INDEX(PP_Grid[#Data],$DE26,87),0)</f>
        <v/>
      </c>
      <c r="CM26">
        <f>IFERROR(INDEX(PP_Grid[#Data],$DE26,88),0)</f>
        <v/>
      </c>
      <c r="CN26">
        <f>IFERROR(INDEX(PP_Grid[#Data],$DE26,89),0)</f>
        <v/>
      </c>
      <c r="CO26">
        <f>IFERROR(INDEX(PP_Grid[#Data],$DE26,90),0)</f>
        <v/>
      </c>
      <c r="CP26">
        <f>IFERROR(INDEX(PP_Grid[#Data],$DE26,91),0)</f>
        <v/>
      </c>
      <c r="CQ26">
        <f>IFERROR(INDEX(PP_Grid[#Data],$DE26,92),0)</f>
        <v/>
      </c>
      <c r="CR26">
        <f>IFERROR(INDEX(PP_Grid[#Data],$DE26,93),0)</f>
        <v/>
      </c>
      <c r="CS26">
        <f>IFERROR(INDEX(PP_Grid[#Data],$DE26,94),0)</f>
        <v/>
      </c>
      <c r="CT26">
        <f>IFERROR(INDEX(PP_Grid[#Data],$DE26,95),0)</f>
        <v/>
      </c>
      <c r="CU26">
        <f>IFERROR(INDEX(PP_Grid[#Data],$DE26,96),0)</f>
        <v/>
      </c>
      <c r="CV26">
        <f>IFERROR(INDEX(PP_Grid[#Data],$DE26,97),0)</f>
        <v/>
      </c>
      <c r="CW26">
        <f>IFERROR(INDEX(PP_Grid[#Data],$DE26,98),0)</f>
        <v/>
      </c>
      <c r="CX26">
        <f>IFERROR(INDEX(PP_Grid[#Data],$DE26,99),0)</f>
        <v/>
      </c>
      <c r="CY26">
        <f>IFERROR(INDEX(PP_Grid[#Data],$DE26,100),0)</f>
        <v/>
      </c>
      <c r="CZ26">
        <f>IFERROR(INDEX(PP_Grid[#Data],$DE26,101),0)</f>
        <v/>
      </c>
      <c r="DA26">
        <f>IFERROR(INDEX(PP_Grid[#Data],$DE26,102),0)</f>
        <v/>
      </c>
      <c r="DB26">
        <f>IFERROR(INDEX(PP_Grid[#Data],$DE26,103),0)</f>
        <v/>
      </c>
      <c r="DC26">
        <f>IFERROR(INDEX(PP_Grid[#Data],$DE26,104),0)</f>
        <v/>
      </c>
      <c r="DD26">
        <f>IFERROR(INDEX(PP_Grid[#Data],$DE26,105),0)</f>
        <v/>
      </c>
      <c r="DE26" s="7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SUMIFS(M_BOM[RM_Qty_Per_Batch],M_BOM[Intermediate],$B26,M_BOM[RM_Code],$A25)</f>
        <v/>
      </c>
      <c r="D27">
        <f>IFERROR(INDEX(E27:DD27,$F$1),"")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  <c r="DD27">
        <f>$C27*DD26</f>
        <v/>
      </c>
    </row>
    <row r="28">
      <c r="B28" t="inlineStr">
        <is>
          <t>TSP-050</t>
        </is>
      </c>
      <c r="C28" t="inlineStr">
        <is>
          <t>No. of batches</t>
        </is>
      </c>
      <c r="D28">
        <f>IFERROR(INDEX(E28:DD28,$F$1),"")</f>
        <v/>
      </c>
      <c r="E28">
        <f>IFERROR(INDEX(PP_Grid[#Data],$DE28,2),0)</f>
        <v/>
      </c>
      <c r="F28">
        <f>IFERROR(INDEX(PP_Grid[#Data],$DE28,3),0)</f>
        <v/>
      </c>
      <c r="G28">
        <f>IFERROR(INDEX(PP_Grid[#Data],$DE28,4),0)</f>
        <v/>
      </c>
      <c r="H28">
        <f>IFERROR(INDEX(PP_Grid[#Data],$DE28,5),0)</f>
        <v/>
      </c>
      <c r="I28">
        <f>IFERROR(INDEX(PP_Grid[#Data],$DE28,6),0)</f>
        <v/>
      </c>
      <c r="J28">
        <f>IFERROR(INDEX(PP_Grid[#Data],$DE28,7),0)</f>
        <v/>
      </c>
      <c r="K28">
        <f>IFERROR(INDEX(PP_Grid[#Data],$DE28,8),0)</f>
        <v/>
      </c>
      <c r="L28">
        <f>IFERROR(INDEX(PP_Grid[#Data],$DE28,9),0)</f>
        <v/>
      </c>
      <c r="M28">
        <f>IFERROR(INDEX(PP_Grid[#Data],$DE28,10),0)</f>
        <v/>
      </c>
      <c r="N28">
        <f>IFERROR(INDEX(PP_Grid[#Data],$DE28,11),0)</f>
        <v/>
      </c>
      <c r="O28">
        <f>IFERROR(INDEX(PP_Grid[#Data],$DE28,12),0)</f>
        <v/>
      </c>
      <c r="P28">
        <f>IFERROR(INDEX(PP_Grid[#Data],$DE28,13),0)</f>
        <v/>
      </c>
      <c r="Q28">
        <f>IFERROR(INDEX(PP_Grid[#Data],$DE28,14),0)</f>
        <v/>
      </c>
      <c r="R28">
        <f>IFERROR(INDEX(PP_Grid[#Data],$DE28,15),0)</f>
        <v/>
      </c>
      <c r="S28">
        <f>IFERROR(INDEX(PP_Grid[#Data],$DE28,16),0)</f>
        <v/>
      </c>
      <c r="T28">
        <f>IFERROR(INDEX(PP_Grid[#Data],$DE28,17),0)</f>
        <v/>
      </c>
      <c r="U28">
        <f>IFERROR(INDEX(PP_Grid[#Data],$DE28,18),0)</f>
        <v/>
      </c>
      <c r="V28">
        <f>IFERROR(INDEX(PP_Grid[#Data],$DE28,19),0)</f>
        <v/>
      </c>
      <c r="W28">
        <f>IFERROR(INDEX(PP_Grid[#Data],$DE28,20),0)</f>
        <v/>
      </c>
      <c r="X28">
        <f>IFERROR(INDEX(PP_Grid[#Data],$DE28,21),0)</f>
        <v/>
      </c>
      <c r="Y28">
        <f>IFERROR(INDEX(PP_Grid[#Data],$DE28,22),0)</f>
        <v/>
      </c>
      <c r="Z28">
        <f>IFERROR(INDEX(PP_Grid[#Data],$DE28,23),0)</f>
        <v/>
      </c>
      <c r="AA28">
        <f>IFERROR(INDEX(PP_Grid[#Data],$DE28,24),0)</f>
        <v/>
      </c>
      <c r="AB28">
        <f>IFERROR(INDEX(PP_Grid[#Data],$DE28,25),0)</f>
        <v/>
      </c>
      <c r="AC28">
        <f>IFERROR(INDEX(PP_Grid[#Data],$DE28,26),0)</f>
        <v/>
      </c>
      <c r="AD28">
        <f>IFERROR(INDEX(PP_Grid[#Data],$DE28,27),0)</f>
        <v/>
      </c>
      <c r="AE28">
        <f>IFERROR(INDEX(PP_Grid[#Data],$DE28,28),0)</f>
        <v/>
      </c>
      <c r="AF28">
        <f>IFERROR(INDEX(PP_Grid[#Data],$DE28,29),0)</f>
        <v/>
      </c>
      <c r="AG28">
        <f>IFERROR(INDEX(PP_Grid[#Data],$DE28,30),0)</f>
        <v/>
      </c>
      <c r="AH28">
        <f>IFERROR(INDEX(PP_Grid[#Data],$DE28,31),0)</f>
        <v/>
      </c>
      <c r="AI28">
        <f>IFERROR(INDEX(PP_Grid[#Data],$DE28,32),0)</f>
        <v/>
      </c>
      <c r="AJ28">
        <f>IFERROR(INDEX(PP_Grid[#Data],$DE28,33),0)</f>
        <v/>
      </c>
      <c r="AK28">
        <f>IFERROR(INDEX(PP_Grid[#Data],$DE28,34),0)</f>
        <v/>
      </c>
      <c r="AL28">
        <f>IFERROR(INDEX(PP_Grid[#Data],$DE28,35),0)</f>
        <v/>
      </c>
      <c r="AM28">
        <f>IFERROR(INDEX(PP_Grid[#Data],$DE28,36),0)</f>
        <v/>
      </c>
      <c r="AN28">
        <f>IFERROR(INDEX(PP_Grid[#Data],$DE28,37),0)</f>
        <v/>
      </c>
      <c r="AO28">
        <f>IFERROR(INDEX(PP_Grid[#Data],$DE28,38),0)</f>
        <v/>
      </c>
      <c r="AP28">
        <f>IFERROR(INDEX(PP_Grid[#Data],$DE28,39),0)</f>
        <v/>
      </c>
      <c r="AQ28">
        <f>IFERROR(INDEX(PP_Grid[#Data],$DE28,40),0)</f>
        <v/>
      </c>
      <c r="AR28">
        <f>IFERROR(INDEX(PP_Grid[#Data],$DE28,41),0)</f>
        <v/>
      </c>
      <c r="AS28">
        <f>IFERROR(INDEX(PP_Grid[#Data],$DE28,42),0)</f>
        <v/>
      </c>
      <c r="AT28">
        <f>IFERROR(INDEX(PP_Grid[#Data],$DE28,43),0)</f>
        <v/>
      </c>
      <c r="AU28">
        <f>IFERROR(INDEX(PP_Grid[#Data],$DE28,44),0)</f>
        <v/>
      </c>
      <c r="AV28">
        <f>IFERROR(INDEX(PP_Grid[#Data],$DE28,45),0)</f>
        <v/>
      </c>
      <c r="AW28">
        <f>IFERROR(INDEX(PP_Grid[#Data],$DE28,46),0)</f>
        <v/>
      </c>
      <c r="AX28">
        <f>IFERROR(INDEX(PP_Grid[#Data],$DE28,47),0)</f>
        <v/>
      </c>
      <c r="AY28">
        <f>IFERROR(INDEX(PP_Grid[#Data],$DE28,48),0)</f>
        <v/>
      </c>
      <c r="AZ28">
        <f>IFERROR(INDEX(PP_Grid[#Data],$DE28,49),0)</f>
        <v/>
      </c>
      <c r="BA28">
        <f>IFERROR(INDEX(PP_Grid[#Data],$DE28,50),0)</f>
        <v/>
      </c>
      <c r="BB28">
        <f>IFERROR(INDEX(PP_Grid[#Data],$DE28,51),0)</f>
        <v/>
      </c>
      <c r="BC28">
        <f>IFERROR(INDEX(PP_Grid[#Data],$DE28,52),0)</f>
        <v/>
      </c>
      <c r="BD28">
        <f>IFERROR(INDEX(PP_Grid[#Data],$DE28,53),0)</f>
        <v/>
      </c>
      <c r="BE28">
        <f>IFERROR(INDEX(PP_Grid[#Data],$DE28,54),0)</f>
        <v/>
      </c>
      <c r="BF28">
        <f>IFERROR(INDEX(PP_Grid[#Data],$DE28,55),0)</f>
        <v/>
      </c>
      <c r="BG28">
        <f>IFERROR(INDEX(PP_Grid[#Data],$DE28,56),0)</f>
        <v/>
      </c>
      <c r="BH28">
        <f>IFERROR(INDEX(PP_Grid[#Data],$DE28,57),0)</f>
        <v/>
      </c>
      <c r="BI28">
        <f>IFERROR(INDEX(PP_Grid[#Data],$DE28,58),0)</f>
        <v/>
      </c>
      <c r="BJ28">
        <f>IFERROR(INDEX(PP_Grid[#Data],$DE28,59),0)</f>
        <v/>
      </c>
      <c r="BK28">
        <f>IFERROR(INDEX(PP_Grid[#Data],$DE28,60),0)</f>
        <v/>
      </c>
      <c r="BL28">
        <f>IFERROR(INDEX(PP_Grid[#Data],$DE28,61),0)</f>
        <v/>
      </c>
      <c r="BM28">
        <f>IFERROR(INDEX(PP_Grid[#Data],$DE28,62),0)</f>
        <v/>
      </c>
      <c r="BN28">
        <f>IFERROR(INDEX(PP_Grid[#Data],$DE28,63),0)</f>
        <v/>
      </c>
      <c r="BO28">
        <f>IFERROR(INDEX(PP_Grid[#Data],$DE28,64),0)</f>
        <v/>
      </c>
      <c r="BP28">
        <f>IFERROR(INDEX(PP_Grid[#Data],$DE28,65),0)</f>
        <v/>
      </c>
      <c r="BQ28">
        <f>IFERROR(INDEX(PP_Grid[#Data],$DE28,66),0)</f>
        <v/>
      </c>
      <c r="BR28">
        <f>IFERROR(INDEX(PP_Grid[#Data],$DE28,67),0)</f>
        <v/>
      </c>
      <c r="BS28">
        <f>IFERROR(INDEX(PP_Grid[#Data],$DE28,68),0)</f>
        <v/>
      </c>
      <c r="BT28">
        <f>IFERROR(INDEX(PP_Grid[#Data],$DE28,69),0)</f>
        <v/>
      </c>
      <c r="BU28">
        <f>IFERROR(INDEX(PP_Grid[#Data],$DE28,70),0)</f>
        <v/>
      </c>
      <c r="BV28">
        <f>IFERROR(INDEX(PP_Grid[#Data],$DE28,71),0)</f>
        <v/>
      </c>
      <c r="BW28">
        <f>IFERROR(INDEX(PP_Grid[#Data],$DE28,72),0)</f>
        <v/>
      </c>
      <c r="BX28">
        <f>IFERROR(INDEX(PP_Grid[#Data],$DE28,73),0)</f>
        <v/>
      </c>
      <c r="BY28">
        <f>IFERROR(INDEX(PP_Grid[#Data],$DE28,74),0)</f>
        <v/>
      </c>
      <c r="BZ28">
        <f>IFERROR(INDEX(PP_Grid[#Data],$DE28,75),0)</f>
        <v/>
      </c>
      <c r="CA28">
        <f>IFERROR(INDEX(PP_Grid[#Data],$DE28,76),0)</f>
        <v/>
      </c>
      <c r="CB28">
        <f>IFERROR(INDEX(PP_Grid[#Data],$DE28,77),0)</f>
        <v/>
      </c>
      <c r="CC28">
        <f>IFERROR(INDEX(PP_Grid[#Data],$DE28,78),0)</f>
        <v/>
      </c>
      <c r="CD28">
        <f>IFERROR(INDEX(PP_Grid[#Data],$DE28,79),0)</f>
        <v/>
      </c>
      <c r="CE28">
        <f>IFERROR(INDEX(PP_Grid[#Data],$DE28,80),0)</f>
        <v/>
      </c>
      <c r="CF28">
        <f>IFERROR(INDEX(PP_Grid[#Data],$DE28,81),0)</f>
        <v/>
      </c>
      <c r="CG28">
        <f>IFERROR(INDEX(PP_Grid[#Data],$DE28,82),0)</f>
        <v/>
      </c>
      <c r="CH28">
        <f>IFERROR(INDEX(PP_Grid[#Data],$DE28,83),0)</f>
        <v/>
      </c>
      <c r="CI28">
        <f>IFERROR(INDEX(PP_Grid[#Data],$DE28,84),0)</f>
        <v/>
      </c>
      <c r="CJ28">
        <f>IFERROR(INDEX(PP_Grid[#Data],$DE28,85),0)</f>
        <v/>
      </c>
      <c r="CK28">
        <f>IFERROR(INDEX(PP_Grid[#Data],$DE28,86),0)</f>
        <v/>
      </c>
      <c r="CL28">
        <f>IFERROR(INDEX(PP_Grid[#Data],$DE28,87),0)</f>
        <v/>
      </c>
      <c r="CM28">
        <f>IFERROR(INDEX(PP_Grid[#Data],$DE28,88),0)</f>
        <v/>
      </c>
      <c r="CN28">
        <f>IFERROR(INDEX(PP_Grid[#Data],$DE28,89),0)</f>
        <v/>
      </c>
      <c r="CO28">
        <f>IFERROR(INDEX(PP_Grid[#Data],$DE28,90),0)</f>
        <v/>
      </c>
      <c r="CP28">
        <f>IFERROR(INDEX(PP_Grid[#Data],$DE28,91),0)</f>
        <v/>
      </c>
      <c r="CQ28">
        <f>IFERROR(INDEX(PP_Grid[#Data],$DE28,92),0)</f>
        <v/>
      </c>
      <c r="CR28">
        <f>IFERROR(INDEX(PP_Grid[#Data],$DE28,93),0)</f>
        <v/>
      </c>
      <c r="CS28">
        <f>IFERROR(INDEX(PP_Grid[#Data],$DE28,94),0)</f>
        <v/>
      </c>
      <c r="CT28">
        <f>IFERROR(INDEX(PP_Grid[#Data],$DE28,95),0)</f>
        <v/>
      </c>
      <c r="CU28">
        <f>IFERROR(INDEX(PP_Grid[#Data],$DE28,96),0)</f>
        <v/>
      </c>
      <c r="CV28">
        <f>IFERROR(INDEX(PP_Grid[#Data],$DE28,97),0)</f>
        <v/>
      </c>
      <c r="CW28">
        <f>IFERROR(INDEX(PP_Grid[#Data],$DE28,98),0)</f>
        <v/>
      </c>
      <c r="CX28">
        <f>IFERROR(INDEX(PP_Grid[#Data],$DE28,99),0)</f>
        <v/>
      </c>
      <c r="CY28">
        <f>IFERROR(INDEX(PP_Grid[#Data],$DE28,100),0)</f>
        <v/>
      </c>
      <c r="CZ28">
        <f>IFERROR(INDEX(PP_Grid[#Data],$DE28,101),0)</f>
        <v/>
      </c>
      <c r="DA28">
        <f>IFERROR(INDEX(PP_Grid[#Data],$DE28,102),0)</f>
        <v/>
      </c>
      <c r="DB28">
        <f>IFERROR(INDEX(PP_Grid[#Data],$DE28,103),0)</f>
        <v/>
      </c>
      <c r="DC28">
        <f>IFERROR(INDEX(PP_Grid[#Data],$DE28,104),0)</f>
        <v/>
      </c>
      <c r="DD28">
        <f>IFERROR(INDEX(PP_Grid[#Data],$DE28,105),0)</f>
        <v/>
      </c>
      <c r="DE28" s="7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SUMIFS(M_BOM[RM_Qty_Per_Batch],M_BOM[Intermediate],$B28,M_BOM[RM_Code],$A25)</f>
        <v/>
      </c>
      <c r="D29">
        <f>IFERROR(INDEX(E29:DD29,$F$1),"")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  <c r="DD29">
        <f>$C29*DD28</f>
        <v/>
      </c>
    </row>
    <row r="30">
      <c r="B30" t="inlineStr">
        <is>
          <t>TSP-067</t>
        </is>
      </c>
      <c r="C30" t="inlineStr">
        <is>
          <t>No. of batches</t>
        </is>
      </c>
      <c r="D30">
        <f>IFERROR(INDEX(E30:DD30,$F$1),"")</f>
        <v/>
      </c>
      <c r="E30">
        <f>IFERROR(INDEX(PP_Grid[#Data],$DE30,2),0)</f>
        <v/>
      </c>
      <c r="F30">
        <f>IFERROR(INDEX(PP_Grid[#Data],$DE30,3),0)</f>
        <v/>
      </c>
      <c r="G30">
        <f>IFERROR(INDEX(PP_Grid[#Data],$DE30,4),0)</f>
        <v/>
      </c>
      <c r="H30">
        <f>IFERROR(INDEX(PP_Grid[#Data],$DE30,5),0)</f>
        <v/>
      </c>
      <c r="I30">
        <f>IFERROR(INDEX(PP_Grid[#Data],$DE30,6),0)</f>
        <v/>
      </c>
      <c r="J30">
        <f>IFERROR(INDEX(PP_Grid[#Data],$DE30,7),0)</f>
        <v/>
      </c>
      <c r="K30">
        <f>IFERROR(INDEX(PP_Grid[#Data],$DE30,8),0)</f>
        <v/>
      </c>
      <c r="L30">
        <f>IFERROR(INDEX(PP_Grid[#Data],$DE30,9),0)</f>
        <v/>
      </c>
      <c r="M30">
        <f>IFERROR(INDEX(PP_Grid[#Data],$DE30,10),0)</f>
        <v/>
      </c>
      <c r="N30">
        <f>IFERROR(INDEX(PP_Grid[#Data],$DE30,11),0)</f>
        <v/>
      </c>
      <c r="O30">
        <f>IFERROR(INDEX(PP_Grid[#Data],$DE30,12),0)</f>
        <v/>
      </c>
      <c r="P30">
        <f>IFERROR(INDEX(PP_Grid[#Data],$DE30,13),0)</f>
        <v/>
      </c>
      <c r="Q30">
        <f>IFERROR(INDEX(PP_Grid[#Data],$DE30,14),0)</f>
        <v/>
      </c>
      <c r="R30">
        <f>IFERROR(INDEX(PP_Grid[#Data],$DE30,15),0)</f>
        <v/>
      </c>
      <c r="S30">
        <f>IFERROR(INDEX(PP_Grid[#Data],$DE30,16),0)</f>
        <v/>
      </c>
      <c r="T30">
        <f>IFERROR(INDEX(PP_Grid[#Data],$DE30,17),0)</f>
        <v/>
      </c>
      <c r="U30">
        <f>IFERROR(INDEX(PP_Grid[#Data],$DE30,18),0)</f>
        <v/>
      </c>
      <c r="V30">
        <f>IFERROR(INDEX(PP_Grid[#Data],$DE30,19),0)</f>
        <v/>
      </c>
      <c r="W30">
        <f>IFERROR(INDEX(PP_Grid[#Data],$DE30,20),0)</f>
        <v/>
      </c>
      <c r="X30">
        <f>IFERROR(INDEX(PP_Grid[#Data],$DE30,21),0)</f>
        <v/>
      </c>
      <c r="Y30">
        <f>IFERROR(INDEX(PP_Grid[#Data],$DE30,22),0)</f>
        <v/>
      </c>
      <c r="Z30">
        <f>IFERROR(INDEX(PP_Grid[#Data],$DE30,23),0)</f>
        <v/>
      </c>
      <c r="AA30">
        <f>IFERROR(INDEX(PP_Grid[#Data],$DE30,24),0)</f>
        <v/>
      </c>
      <c r="AB30">
        <f>IFERROR(INDEX(PP_Grid[#Data],$DE30,25),0)</f>
        <v/>
      </c>
      <c r="AC30">
        <f>IFERROR(INDEX(PP_Grid[#Data],$DE30,26),0)</f>
        <v/>
      </c>
      <c r="AD30">
        <f>IFERROR(INDEX(PP_Grid[#Data],$DE30,27),0)</f>
        <v/>
      </c>
      <c r="AE30">
        <f>IFERROR(INDEX(PP_Grid[#Data],$DE30,28),0)</f>
        <v/>
      </c>
      <c r="AF30">
        <f>IFERROR(INDEX(PP_Grid[#Data],$DE30,29),0)</f>
        <v/>
      </c>
      <c r="AG30">
        <f>IFERROR(INDEX(PP_Grid[#Data],$DE30,30),0)</f>
        <v/>
      </c>
      <c r="AH30">
        <f>IFERROR(INDEX(PP_Grid[#Data],$DE30,31),0)</f>
        <v/>
      </c>
      <c r="AI30">
        <f>IFERROR(INDEX(PP_Grid[#Data],$DE30,32),0)</f>
        <v/>
      </c>
      <c r="AJ30">
        <f>IFERROR(INDEX(PP_Grid[#Data],$DE30,33),0)</f>
        <v/>
      </c>
      <c r="AK30">
        <f>IFERROR(INDEX(PP_Grid[#Data],$DE30,34),0)</f>
        <v/>
      </c>
      <c r="AL30">
        <f>IFERROR(INDEX(PP_Grid[#Data],$DE30,35),0)</f>
        <v/>
      </c>
      <c r="AM30">
        <f>IFERROR(INDEX(PP_Grid[#Data],$DE30,36),0)</f>
        <v/>
      </c>
      <c r="AN30">
        <f>IFERROR(INDEX(PP_Grid[#Data],$DE30,37),0)</f>
        <v/>
      </c>
      <c r="AO30">
        <f>IFERROR(INDEX(PP_Grid[#Data],$DE30,38),0)</f>
        <v/>
      </c>
      <c r="AP30">
        <f>IFERROR(INDEX(PP_Grid[#Data],$DE30,39),0)</f>
        <v/>
      </c>
      <c r="AQ30">
        <f>IFERROR(INDEX(PP_Grid[#Data],$DE30,40),0)</f>
        <v/>
      </c>
      <c r="AR30">
        <f>IFERROR(INDEX(PP_Grid[#Data],$DE30,41),0)</f>
        <v/>
      </c>
      <c r="AS30">
        <f>IFERROR(INDEX(PP_Grid[#Data],$DE30,42),0)</f>
        <v/>
      </c>
      <c r="AT30">
        <f>IFERROR(INDEX(PP_Grid[#Data],$DE30,43),0)</f>
        <v/>
      </c>
      <c r="AU30">
        <f>IFERROR(INDEX(PP_Grid[#Data],$DE30,44),0)</f>
        <v/>
      </c>
      <c r="AV30">
        <f>IFERROR(INDEX(PP_Grid[#Data],$DE30,45),0)</f>
        <v/>
      </c>
      <c r="AW30">
        <f>IFERROR(INDEX(PP_Grid[#Data],$DE30,46),0)</f>
        <v/>
      </c>
      <c r="AX30">
        <f>IFERROR(INDEX(PP_Grid[#Data],$DE30,47),0)</f>
        <v/>
      </c>
      <c r="AY30">
        <f>IFERROR(INDEX(PP_Grid[#Data],$DE30,48),0)</f>
        <v/>
      </c>
      <c r="AZ30">
        <f>IFERROR(INDEX(PP_Grid[#Data],$DE30,49),0)</f>
        <v/>
      </c>
      <c r="BA30">
        <f>IFERROR(INDEX(PP_Grid[#Data],$DE30,50),0)</f>
        <v/>
      </c>
      <c r="BB30">
        <f>IFERROR(INDEX(PP_Grid[#Data],$DE30,51),0)</f>
        <v/>
      </c>
      <c r="BC30">
        <f>IFERROR(INDEX(PP_Grid[#Data],$DE30,52),0)</f>
        <v/>
      </c>
      <c r="BD30">
        <f>IFERROR(INDEX(PP_Grid[#Data],$DE30,53),0)</f>
        <v/>
      </c>
      <c r="BE30">
        <f>IFERROR(INDEX(PP_Grid[#Data],$DE30,54),0)</f>
        <v/>
      </c>
      <c r="BF30">
        <f>IFERROR(INDEX(PP_Grid[#Data],$DE30,55),0)</f>
        <v/>
      </c>
      <c r="BG30">
        <f>IFERROR(INDEX(PP_Grid[#Data],$DE30,56),0)</f>
        <v/>
      </c>
      <c r="BH30">
        <f>IFERROR(INDEX(PP_Grid[#Data],$DE30,57),0)</f>
        <v/>
      </c>
      <c r="BI30">
        <f>IFERROR(INDEX(PP_Grid[#Data],$DE30,58),0)</f>
        <v/>
      </c>
      <c r="BJ30">
        <f>IFERROR(INDEX(PP_Grid[#Data],$DE30,59),0)</f>
        <v/>
      </c>
      <c r="BK30">
        <f>IFERROR(INDEX(PP_Grid[#Data],$DE30,60),0)</f>
        <v/>
      </c>
      <c r="BL30">
        <f>IFERROR(INDEX(PP_Grid[#Data],$DE30,61),0)</f>
        <v/>
      </c>
      <c r="BM30">
        <f>IFERROR(INDEX(PP_Grid[#Data],$DE30,62),0)</f>
        <v/>
      </c>
      <c r="BN30">
        <f>IFERROR(INDEX(PP_Grid[#Data],$DE30,63),0)</f>
        <v/>
      </c>
      <c r="BO30">
        <f>IFERROR(INDEX(PP_Grid[#Data],$DE30,64),0)</f>
        <v/>
      </c>
      <c r="BP30">
        <f>IFERROR(INDEX(PP_Grid[#Data],$DE30,65),0)</f>
        <v/>
      </c>
      <c r="BQ30">
        <f>IFERROR(INDEX(PP_Grid[#Data],$DE30,66),0)</f>
        <v/>
      </c>
      <c r="BR30">
        <f>IFERROR(INDEX(PP_Grid[#Data],$DE30,67),0)</f>
        <v/>
      </c>
      <c r="BS30">
        <f>IFERROR(INDEX(PP_Grid[#Data],$DE30,68),0)</f>
        <v/>
      </c>
      <c r="BT30">
        <f>IFERROR(INDEX(PP_Grid[#Data],$DE30,69),0)</f>
        <v/>
      </c>
      <c r="BU30">
        <f>IFERROR(INDEX(PP_Grid[#Data],$DE30,70),0)</f>
        <v/>
      </c>
      <c r="BV30">
        <f>IFERROR(INDEX(PP_Grid[#Data],$DE30,71),0)</f>
        <v/>
      </c>
      <c r="BW30">
        <f>IFERROR(INDEX(PP_Grid[#Data],$DE30,72),0)</f>
        <v/>
      </c>
      <c r="BX30">
        <f>IFERROR(INDEX(PP_Grid[#Data],$DE30,73),0)</f>
        <v/>
      </c>
      <c r="BY30">
        <f>IFERROR(INDEX(PP_Grid[#Data],$DE30,74),0)</f>
        <v/>
      </c>
      <c r="BZ30">
        <f>IFERROR(INDEX(PP_Grid[#Data],$DE30,75),0)</f>
        <v/>
      </c>
      <c r="CA30">
        <f>IFERROR(INDEX(PP_Grid[#Data],$DE30,76),0)</f>
        <v/>
      </c>
      <c r="CB30">
        <f>IFERROR(INDEX(PP_Grid[#Data],$DE30,77),0)</f>
        <v/>
      </c>
      <c r="CC30">
        <f>IFERROR(INDEX(PP_Grid[#Data],$DE30,78),0)</f>
        <v/>
      </c>
      <c r="CD30">
        <f>IFERROR(INDEX(PP_Grid[#Data],$DE30,79),0)</f>
        <v/>
      </c>
      <c r="CE30">
        <f>IFERROR(INDEX(PP_Grid[#Data],$DE30,80),0)</f>
        <v/>
      </c>
      <c r="CF30">
        <f>IFERROR(INDEX(PP_Grid[#Data],$DE30,81),0)</f>
        <v/>
      </c>
      <c r="CG30">
        <f>IFERROR(INDEX(PP_Grid[#Data],$DE30,82),0)</f>
        <v/>
      </c>
      <c r="CH30">
        <f>IFERROR(INDEX(PP_Grid[#Data],$DE30,83),0)</f>
        <v/>
      </c>
      <c r="CI30">
        <f>IFERROR(INDEX(PP_Grid[#Data],$DE30,84),0)</f>
        <v/>
      </c>
      <c r="CJ30">
        <f>IFERROR(INDEX(PP_Grid[#Data],$DE30,85),0)</f>
        <v/>
      </c>
      <c r="CK30">
        <f>IFERROR(INDEX(PP_Grid[#Data],$DE30,86),0)</f>
        <v/>
      </c>
      <c r="CL30">
        <f>IFERROR(INDEX(PP_Grid[#Data],$DE30,87),0)</f>
        <v/>
      </c>
      <c r="CM30">
        <f>IFERROR(INDEX(PP_Grid[#Data],$DE30,88),0)</f>
        <v/>
      </c>
      <c r="CN30">
        <f>IFERROR(INDEX(PP_Grid[#Data],$DE30,89),0)</f>
        <v/>
      </c>
      <c r="CO30">
        <f>IFERROR(INDEX(PP_Grid[#Data],$DE30,90),0)</f>
        <v/>
      </c>
      <c r="CP30">
        <f>IFERROR(INDEX(PP_Grid[#Data],$DE30,91),0)</f>
        <v/>
      </c>
      <c r="CQ30">
        <f>IFERROR(INDEX(PP_Grid[#Data],$DE30,92),0)</f>
        <v/>
      </c>
      <c r="CR30">
        <f>IFERROR(INDEX(PP_Grid[#Data],$DE30,93),0)</f>
        <v/>
      </c>
      <c r="CS30">
        <f>IFERROR(INDEX(PP_Grid[#Data],$DE30,94),0)</f>
        <v/>
      </c>
      <c r="CT30">
        <f>IFERROR(INDEX(PP_Grid[#Data],$DE30,95),0)</f>
        <v/>
      </c>
      <c r="CU30">
        <f>IFERROR(INDEX(PP_Grid[#Data],$DE30,96),0)</f>
        <v/>
      </c>
      <c r="CV30">
        <f>IFERROR(INDEX(PP_Grid[#Data],$DE30,97),0)</f>
        <v/>
      </c>
      <c r="CW30">
        <f>IFERROR(INDEX(PP_Grid[#Data],$DE30,98),0)</f>
        <v/>
      </c>
      <c r="CX30">
        <f>IFERROR(INDEX(PP_Grid[#Data],$DE30,99),0)</f>
        <v/>
      </c>
      <c r="CY30">
        <f>IFERROR(INDEX(PP_Grid[#Data],$DE30,100),0)</f>
        <v/>
      </c>
      <c r="CZ30">
        <f>IFERROR(INDEX(PP_Grid[#Data],$DE30,101),0)</f>
        <v/>
      </c>
      <c r="DA30">
        <f>IFERROR(INDEX(PP_Grid[#Data],$DE30,102),0)</f>
        <v/>
      </c>
      <c r="DB30">
        <f>IFERROR(INDEX(PP_Grid[#Data],$DE30,103),0)</f>
        <v/>
      </c>
      <c r="DC30">
        <f>IFERROR(INDEX(PP_Grid[#Data],$DE30,104),0)</f>
        <v/>
      </c>
      <c r="DD30">
        <f>IFERROR(INDEX(PP_Grid[#Data],$DE30,105),0)</f>
        <v/>
      </c>
      <c r="DE30" s="7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SUMIFS(M_BOM[RM_Qty_Per_Batch],M_BOM[Intermediate],$B30,M_BOM[RM_Code],$A25)</f>
        <v/>
      </c>
      <c r="D31">
        <f>IFERROR(INDEX(E31:DD31,$F$1),"")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  <c r="DD31">
        <f>$C31*DD30</f>
        <v/>
      </c>
    </row>
    <row r="32">
      <c r="B32" t="inlineStr">
        <is>
          <t>TSP-069</t>
        </is>
      </c>
      <c r="C32" t="inlineStr">
        <is>
          <t>No. of batches</t>
        </is>
      </c>
      <c r="D32">
        <f>IFERROR(INDEX(E32:DD32,$F$1),"")</f>
        <v/>
      </c>
      <c r="E32">
        <f>IFERROR(INDEX(PP_Grid[#Data],$DE32,2),0)</f>
        <v/>
      </c>
      <c r="F32">
        <f>IFERROR(INDEX(PP_Grid[#Data],$DE32,3),0)</f>
        <v/>
      </c>
      <c r="G32">
        <f>IFERROR(INDEX(PP_Grid[#Data],$DE32,4),0)</f>
        <v/>
      </c>
      <c r="H32">
        <f>IFERROR(INDEX(PP_Grid[#Data],$DE32,5),0)</f>
        <v/>
      </c>
      <c r="I32">
        <f>IFERROR(INDEX(PP_Grid[#Data],$DE32,6),0)</f>
        <v/>
      </c>
      <c r="J32">
        <f>IFERROR(INDEX(PP_Grid[#Data],$DE32,7),0)</f>
        <v/>
      </c>
      <c r="K32">
        <f>IFERROR(INDEX(PP_Grid[#Data],$DE32,8),0)</f>
        <v/>
      </c>
      <c r="L32">
        <f>IFERROR(INDEX(PP_Grid[#Data],$DE32,9),0)</f>
        <v/>
      </c>
      <c r="M32">
        <f>IFERROR(INDEX(PP_Grid[#Data],$DE32,10),0)</f>
        <v/>
      </c>
      <c r="N32">
        <f>IFERROR(INDEX(PP_Grid[#Data],$DE32,11),0)</f>
        <v/>
      </c>
      <c r="O32">
        <f>IFERROR(INDEX(PP_Grid[#Data],$DE32,12),0)</f>
        <v/>
      </c>
      <c r="P32">
        <f>IFERROR(INDEX(PP_Grid[#Data],$DE32,13),0)</f>
        <v/>
      </c>
      <c r="Q32">
        <f>IFERROR(INDEX(PP_Grid[#Data],$DE32,14),0)</f>
        <v/>
      </c>
      <c r="R32">
        <f>IFERROR(INDEX(PP_Grid[#Data],$DE32,15),0)</f>
        <v/>
      </c>
      <c r="S32">
        <f>IFERROR(INDEX(PP_Grid[#Data],$DE32,16),0)</f>
        <v/>
      </c>
      <c r="T32">
        <f>IFERROR(INDEX(PP_Grid[#Data],$DE32,17),0)</f>
        <v/>
      </c>
      <c r="U32">
        <f>IFERROR(INDEX(PP_Grid[#Data],$DE32,18),0)</f>
        <v/>
      </c>
      <c r="V32">
        <f>IFERROR(INDEX(PP_Grid[#Data],$DE32,19),0)</f>
        <v/>
      </c>
      <c r="W32">
        <f>IFERROR(INDEX(PP_Grid[#Data],$DE32,20),0)</f>
        <v/>
      </c>
      <c r="X32">
        <f>IFERROR(INDEX(PP_Grid[#Data],$DE32,21),0)</f>
        <v/>
      </c>
      <c r="Y32">
        <f>IFERROR(INDEX(PP_Grid[#Data],$DE32,22),0)</f>
        <v/>
      </c>
      <c r="Z32">
        <f>IFERROR(INDEX(PP_Grid[#Data],$DE32,23),0)</f>
        <v/>
      </c>
      <c r="AA32">
        <f>IFERROR(INDEX(PP_Grid[#Data],$DE32,24),0)</f>
        <v/>
      </c>
      <c r="AB32">
        <f>IFERROR(INDEX(PP_Grid[#Data],$DE32,25),0)</f>
        <v/>
      </c>
      <c r="AC32">
        <f>IFERROR(INDEX(PP_Grid[#Data],$DE32,26),0)</f>
        <v/>
      </c>
      <c r="AD32">
        <f>IFERROR(INDEX(PP_Grid[#Data],$DE32,27),0)</f>
        <v/>
      </c>
      <c r="AE32">
        <f>IFERROR(INDEX(PP_Grid[#Data],$DE32,28),0)</f>
        <v/>
      </c>
      <c r="AF32">
        <f>IFERROR(INDEX(PP_Grid[#Data],$DE32,29),0)</f>
        <v/>
      </c>
      <c r="AG32">
        <f>IFERROR(INDEX(PP_Grid[#Data],$DE32,30),0)</f>
        <v/>
      </c>
      <c r="AH32">
        <f>IFERROR(INDEX(PP_Grid[#Data],$DE32,31),0)</f>
        <v/>
      </c>
      <c r="AI32">
        <f>IFERROR(INDEX(PP_Grid[#Data],$DE32,32),0)</f>
        <v/>
      </c>
      <c r="AJ32">
        <f>IFERROR(INDEX(PP_Grid[#Data],$DE32,33),0)</f>
        <v/>
      </c>
      <c r="AK32">
        <f>IFERROR(INDEX(PP_Grid[#Data],$DE32,34),0)</f>
        <v/>
      </c>
      <c r="AL32">
        <f>IFERROR(INDEX(PP_Grid[#Data],$DE32,35),0)</f>
        <v/>
      </c>
      <c r="AM32">
        <f>IFERROR(INDEX(PP_Grid[#Data],$DE32,36),0)</f>
        <v/>
      </c>
      <c r="AN32">
        <f>IFERROR(INDEX(PP_Grid[#Data],$DE32,37),0)</f>
        <v/>
      </c>
      <c r="AO32">
        <f>IFERROR(INDEX(PP_Grid[#Data],$DE32,38),0)</f>
        <v/>
      </c>
      <c r="AP32">
        <f>IFERROR(INDEX(PP_Grid[#Data],$DE32,39),0)</f>
        <v/>
      </c>
      <c r="AQ32">
        <f>IFERROR(INDEX(PP_Grid[#Data],$DE32,40),0)</f>
        <v/>
      </c>
      <c r="AR32">
        <f>IFERROR(INDEX(PP_Grid[#Data],$DE32,41),0)</f>
        <v/>
      </c>
      <c r="AS32">
        <f>IFERROR(INDEX(PP_Grid[#Data],$DE32,42),0)</f>
        <v/>
      </c>
      <c r="AT32">
        <f>IFERROR(INDEX(PP_Grid[#Data],$DE32,43),0)</f>
        <v/>
      </c>
      <c r="AU32">
        <f>IFERROR(INDEX(PP_Grid[#Data],$DE32,44),0)</f>
        <v/>
      </c>
      <c r="AV32">
        <f>IFERROR(INDEX(PP_Grid[#Data],$DE32,45),0)</f>
        <v/>
      </c>
      <c r="AW32">
        <f>IFERROR(INDEX(PP_Grid[#Data],$DE32,46),0)</f>
        <v/>
      </c>
      <c r="AX32">
        <f>IFERROR(INDEX(PP_Grid[#Data],$DE32,47),0)</f>
        <v/>
      </c>
      <c r="AY32">
        <f>IFERROR(INDEX(PP_Grid[#Data],$DE32,48),0)</f>
        <v/>
      </c>
      <c r="AZ32">
        <f>IFERROR(INDEX(PP_Grid[#Data],$DE32,49),0)</f>
        <v/>
      </c>
      <c r="BA32">
        <f>IFERROR(INDEX(PP_Grid[#Data],$DE32,50),0)</f>
        <v/>
      </c>
      <c r="BB32">
        <f>IFERROR(INDEX(PP_Grid[#Data],$DE32,51),0)</f>
        <v/>
      </c>
      <c r="BC32">
        <f>IFERROR(INDEX(PP_Grid[#Data],$DE32,52),0)</f>
        <v/>
      </c>
      <c r="BD32">
        <f>IFERROR(INDEX(PP_Grid[#Data],$DE32,53),0)</f>
        <v/>
      </c>
      <c r="BE32">
        <f>IFERROR(INDEX(PP_Grid[#Data],$DE32,54),0)</f>
        <v/>
      </c>
      <c r="BF32">
        <f>IFERROR(INDEX(PP_Grid[#Data],$DE32,55),0)</f>
        <v/>
      </c>
      <c r="BG32">
        <f>IFERROR(INDEX(PP_Grid[#Data],$DE32,56),0)</f>
        <v/>
      </c>
      <c r="BH32">
        <f>IFERROR(INDEX(PP_Grid[#Data],$DE32,57),0)</f>
        <v/>
      </c>
      <c r="BI32">
        <f>IFERROR(INDEX(PP_Grid[#Data],$DE32,58),0)</f>
        <v/>
      </c>
      <c r="BJ32">
        <f>IFERROR(INDEX(PP_Grid[#Data],$DE32,59),0)</f>
        <v/>
      </c>
      <c r="BK32">
        <f>IFERROR(INDEX(PP_Grid[#Data],$DE32,60),0)</f>
        <v/>
      </c>
      <c r="BL32">
        <f>IFERROR(INDEX(PP_Grid[#Data],$DE32,61),0)</f>
        <v/>
      </c>
      <c r="BM32">
        <f>IFERROR(INDEX(PP_Grid[#Data],$DE32,62),0)</f>
        <v/>
      </c>
      <c r="BN32">
        <f>IFERROR(INDEX(PP_Grid[#Data],$DE32,63),0)</f>
        <v/>
      </c>
      <c r="BO32">
        <f>IFERROR(INDEX(PP_Grid[#Data],$DE32,64),0)</f>
        <v/>
      </c>
      <c r="BP32">
        <f>IFERROR(INDEX(PP_Grid[#Data],$DE32,65),0)</f>
        <v/>
      </c>
      <c r="BQ32">
        <f>IFERROR(INDEX(PP_Grid[#Data],$DE32,66),0)</f>
        <v/>
      </c>
      <c r="BR32">
        <f>IFERROR(INDEX(PP_Grid[#Data],$DE32,67),0)</f>
        <v/>
      </c>
      <c r="BS32">
        <f>IFERROR(INDEX(PP_Grid[#Data],$DE32,68),0)</f>
        <v/>
      </c>
      <c r="BT32">
        <f>IFERROR(INDEX(PP_Grid[#Data],$DE32,69),0)</f>
        <v/>
      </c>
      <c r="BU32">
        <f>IFERROR(INDEX(PP_Grid[#Data],$DE32,70),0)</f>
        <v/>
      </c>
      <c r="BV32">
        <f>IFERROR(INDEX(PP_Grid[#Data],$DE32,71),0)</f>
        <v/>
      </c>
      <c r="BW32">
        <f>IFERROR(INDEX(PP_Grid[#Data],$DE32,72),0)</f>
        <v/>
      </c>
      <c r="BX32">
        <f>IFERROR(INDEX(PP_Grid[#Data],$DE32,73),0)</f>
        <v/>
      </c>
      <c r="BY32">
        <f>IFERROR(INDEX(PP_Grid[#Data],$DE32,74),0)</f>
        <v/>
      </c>
      <c r="BZ32">
        <f>IFERROR(INDEX(PP_Grid[#Data],$DE32,75),0)</f>
        <v/>
      </c>
      <c r="CA32">
        <f>IFERROR(INDEX(PP_Grid[#Data],$DE32,76),0)</f>
        <v/>
      </c>
      <c r="CB32">
        <f>IFERROR(INDEX(PP_Grid[#Data],$DE32,77),0)</f>
        <v/>
      </c>
      <c r="CC32">
        <f>IFERROR(INDEX(PP_Grid[#Data],$DE32,78),0)</f>
        <v/>
      </c>
      <c r="CD32">
        <f>IFERROR(INDEX(PP_Grid[#Data],$DE32,79),0)</f>
        <v/>
      </c>
      <c r="CE32">
        <f>IFERROR(INDEX(PP_Grid[#Data],$DE32,80),0)</f>
        <v/>
      </c>
      <c r="CF32">
        <f>IFERROR(INDEX(PP_Grid[#Data],$DE32,81),0)</f>
        <v/>
      </c>
      <c r="CG32">
        <f>IFERROR(INDEX(PP_Grid[#Data],$DE32,82),0)</f>
        <v/>
      </c>
      <c r="CH32">
        <f>IFERROR(INDEX(PP_Grid[#Data],$DE32,83),0)</f>
        <v/>
      </c>
      <c r="CI32">
        <f>IFERROR(INDEX(PP_Grid[#Data],$DE32,84),0)</f>
        <v/>
      </c>
      <c r="CJ32">
        <f>IFERROR(INDEX(PP_Grid[#Data],$DE32,85),0)</f>
        <v/>
      </c>
      <c r="CK32">
        <f>IFERROR(INDEX(PP_Grid[#Data],$DE32,86),0)</f>
        <v/>
      </c>
      <c r="CL32">
        <f>IFERROR(INDEX(PP_Grid[#Data],$DE32,87),0)</f>
        <v/>
      </c>
      <c r="CM32">
        <f>IFERROR(INDEX(PP_Grid[#Data],$DE32,88),0)</f>
        <v/>
      </c>
      <c r="CN32">
        <f>IFERROR(INDEX(PP_Grid[#Data],$DE32,89),0)</f>
        <v/>
      </c>
      <c r="CO32">
        <f>IFERROR(INDEX(PP_Grid[#Data],$DE32,90),0)</f>
        <v/>
      </c>
      <c r="CP32">
        <f>IFERROR(INDEX(PP_Grid[#Data],$DE32,91),0)</f>
        <v/>
      </c>
      <c r="CQ32">
        <f>IFERROR(INDEX(PP_Grid[#Data],$DE32,92),0)</f>
        <v/>
      </c>
      <c r="CR32">
        <f>IFERROR(INDEX(PP_Grid[#Data],$DE32,93),0)</f>
        <v/>
      </c>
      <c r="CS32">
        <f>IFERROR(INDEX(PP_Grid[#Data],$DE32,94),0)</f>
        <v/>
      </c>
      <c r="CT32">
        <f>IFERROR(INDEX(PP_Grid[#Data],$DE32,95),0)</f>
        <v/>
      </c>
      <c r="CU32">
        <f>IFERROR(INDEX(PP_Grid[#Data],$DE32,96),0)</f>
        <v/>
      </c>
      <c r="CV32">
        <f>IFERROR(INDEX(PP_Grid[#Data],$DE32,97),0)</f>
        <v/>
      </c>
      <c r="CW32">
        <f>IFERROR(INDEX(PP_Grid[#Data],$DE32,98),0)</f>
        <v/>
      </c>
      <c r="CX32">
        <f>IFERROR(INDEX(PP_Grid[#Data],$DE32,99),0)</f>
        <v/>
      </c>
      <c r="CY32">
        <f>IFERROR(INDEX(PP_Grid[#Data],$DE32,100),0)</f>
        <v/>
      </c>
      <c r="CZ32">
        <f>IFERROR(INDEX(PP_Grid[#Data],$DE32,101),0)</f>
        <v/>
      </c>
      <c r="DA32">
        <f>IFERROR(INDEX(PP_Grid[#Data],$DE32,102),0)</f>
        <v/>
      </c>
      <c r="DB32">
        <f>IFERROR(INDEX(PP_Grid[#Data],$DE32,103),0)</f>
        <v/>
      </c>
      <c r="DC32">
        <f>IFERROR(INDEX(PP_Grid[#Data],$DE32,104),0)</f>
        <v/>
      </c>
      <c r="DD32">
        <f>IFERROR(INDEX(PP_Grid[#Data],$DE32,105),0)</f>
        <v/>
      </c>
      <c r="DE32" s="7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SUMIFS(M_BOM[RM_Qty_Per_Batch],M_BOM[Intermediate],$B32,M_BOM[RM_Code],$A25)</f>
        <v/>
      </c>
      <c r="D33">
        <f>IFERROR(INDEX(E33:DD33,$F$1),"")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  <c r="DD33">
        <f>$C33*DD32</f>
        <v/>
      </c>
    </row>
    <row r="34">
      <c r="B34" t="inlineStr">
        <is>
          <t>TSP-070</t>
        </is>
      </c>
      <c r="C34" t="inlineStr">
        <is>
          <t>No. of batches</t>
        </is>
      </c>
      <c r="D34">
        <f>IFERROR(INDEX(E34:DD34,$F$1),"")</f>
        <v/>
      </c>
      <c r="E34">
        <f>IFERROR(INDEX(PP_Grid[#Data],$DE34,2),0)</f>
        <v/>
      </c>
      <c r="F34">
        <f>IFERROR(INDEX(PP_Grid[#Data],$DE34,3),0)</f>
        <v/>
      </c>
      <c r="G34">
        <f>IFERROR(INDEX(PP_Grid[#Data],$DE34,4),0)</f>
        <v/>
      </c>
      <c r="H34">
        <f>IFERROR(INDEX(PP_Grid[#Data],$DE34,5),0)</f>
        <v/>
      </c>
      <c r="I34">
        <f>IFERROR(INDEX(PP_Grid[#Data],$DE34,6),0)</f>
        <v/>
      </c>
      <c r="J34">
        <f>IFERROR(INDEX(PP_Grid[#Data],$DE34,7),0)</f>
        <v/>
      </c>
      <c r="K34">
        <f>IFERROR(INDEX(PP_Grid[#Data],$DE34,8),0)</f>
        <v/>
      </c>
      <c r="L34">
        <f>IFERROR(INDEX(PP_Grid[#Data],$DE34,9),0)</f>
        <v/>
      </c>
      <c r="M34">
        <f>IFERROR(INDEX(PP_Grid[#Data],$DE34,10),0)</f>
        <v/>
      </c>
      <c r="N34">
        <f>IFERROR(INDEX(PP_Grid[#Data],$DE34,11),0)</f>
        <v/>
      </c>
      <c r="O34">
        <f>IFERROR(INDEX(PP_Grid[#Data],$DE34,12),0)</f>
        <v/>
      </c>
      <c r="P34">
        <f>IFERROR(INDEX(PP_Grid[#Data],$DE34,13),0)</f>
        <v/>
      </c>
      <c r="Q34">
        <f>IFERROR(INDEX(PP_Grid[#Data],$DE34,14),0)</f>
        <v/>
      </c>
      <c r="R34">
        <f>IFERROR(INDEX(PP_Grid[#Data],$DE34,15),0)</f>
        <v/>
      </c>
      <c r="S34">
        <f>IFERROR(INDEX(PP_Grid[#Data],$DE34,16),0)</f>
        <v/>
      </c>
      <c r="T34">
        <f>IFERROR(INDEX(PP_Grid[#Data],$DE34,17),0)</f>
        <v/>
      </c>
      <c r="U34">
        <f>IFERROR(INDEX(PP_Grid[#Data],$DE34,18),0)</f>
        <v/>
      </c>
      <c r="V34">
        <f>IFERROR(INDEX(PP_Grid[#Data],$DE34,19),0)</f>
        <v/>
      </c>
      <c r="W34">
        <f>IFERROR(INDEX(PP_Grid[#Data],$DE34,20),0)</f>
        <v/>
      </c>
      <c r="X34">
        <f>IFERROR(INDEX(PP_Grid[#Data],$DE34,21),0)</f>
        <v/>
      </c>
      <c r="Y34">
        <f>IFERROR(INDEX(PP_Grid[#Data],$DE34,22),0)</f>
        <v/>
      </c>
      <c r="Z34">
        <f>IFERROR(INDEX(PP_Grid[#Data],$DE34,23),0)</f>
        <v/>
      </c>
      <c r="AA34">
        <f>IFERROR(INDEX(PP_Grid[#Data],$DE34,24),0)</f>
        <v/>
      </c>
      <c r="AB34">
        <f>IFERROR(INDEX(PP_Grid[#Data],$DE34,25),0)</f>
        <v/>
      </c>
      <c r="AC34">
        <f>IFERROR(INDEX(PP_Grid[#Data],$DE34,26),0)</f>
        <v/>
      </c>
      <c r="AD34">
        <f>IFERROR(INDEX(PP_Grid[#Data],$DE34,27),0)</f>
        <v/>
      </c>
      <c r="AE34">
        <f>IFERROR(INDEX(PP_Grid[#Data],$DE34,28),0)</f>
        <v/>
      </c>
      <c r="AF34">
        <f>IFERROR(INDEX(PP_Grid[#Data],$DE34,29),0)</f>
        <v/>
      </c>
      <c r="AG34">
        <f>IFERROR(INDEX(PP_Grid[#Data],$DE34,30),0)</f>
        <v/>
      </c>
      <c r="AH34">
        <f>IFERROR(INDEX(PP_Grid[#Data],$DE34,31),0)</f>
        <v/>
      </c>
      <c r="AI34">
        <f>IFERROR(INDEX(PP_Grid[#Data],$DE34,32),0)</f>
        <v/>
      </c>
      <c r="AJ34">
        <f>IFERROR(INDEX(PP_Grid[#Data],$DE34,33),0)</f>
        <v/>
      </c>
      <c r="AK34">
        <f>IFERROR(INDEX(PP_Grid[#Data],$DE34,34),0)</f>
        <v/>
      </c>
      <c r="AL34">
        <f>IFERROR(INDEX(PP_Grid[#Data],$DE34,35),0)</f>
        <v/>
      </c>
      <c r="AM34">
        <f>IFERROR(INDEX(PP_Grid[#Data],$DE34,36),0)</f>
        <v/>
      </c>
      <c r="AN34">
        <f>IFERROR(INDEX(PP_Grid[#Data],$DE34,37),0)</f>
        <v/>
      </c>
      <c r="AO34">
        <f>IFERROR(INDEX(PP_Grid[#Data],$DE34,38),0)</f>
        <v/>
      </c>
      <c r="AP34">
        <f>IFERROR(INDEX(PP_Grid[#Data],$DE34,39),0)</f>
        <v/>
      </c>
      <c r="AQ34">
        <f>IFERROR(INDEX(PP_Grid[#Data],$DE34,40),0)</f>
        <v/>
      </c>
      <c r="AR34">
        <f>IFERROR(INDEX(PP_Grid[#Data],$DE34,41),0)</f>
        <v/>
      </c>
      <c r="AS34">
        <f>IFERROR(INDEX(PP_Grid[#Data],$DE34,42),0)</f>
        <v/>
      </c>
      <c r="AT34">
        <f>IFERROR(INDEX(PP_Grid[#Data],$DE34,43),0)</f>
        <v/>
      </c>
      <c r="AU34">
        <f>IFERROR(INDEX(PP_Grid[#Data],$DE34,44),0)</f>
        <v/>
      </c>
      <c r="AV34">
        <f>IFERROR(INDEX(PP_Grid[#Data],$DE34,45),0)</f>
        <v/>
      </c>
      <c r="AW34">
        <f>IFERROR(INDEX(PP_Grid[#Data],$DE34,46),0)</f>
        <v/>
      </c>
      <c r="AX34">
        <f>IFERROR(INDEX(PP_Grid[#Data],$DE34,47),0)</f>
        <v/>
      </c>
      <c r="AY34">
        <f>IFERROR(INDEX(PP_Grid[#Data],$DE34,48),0)</f>
        <v/>
      </c>
      <c r="AZ34">
        <f>IFERROR(INDEX(PP_Grid[#Data],$DE34,49),0)</f>
        <v/>
      </c>
      <c r="BA34">
        <f>IFERROR(INDEX(PP_Grid[#Data],$DE34,50),0)</f>
        <v/>
      </c>
      <c r="BB34">
        <f>IFERROR(INDEX(PP_Grid[#Data],$DE34,51),0)</f>
        <v/>
      </c>
      <c r="BC34">
        <f>IFERROR(INDEX(PP_Grid[#Data],$DE34,52),0)</f>
        <v/>
      </c>
      <c r="BD34">
        <f>IFERROR(INDEX(PP_Grid[#Data],$DE34,53),0)</f>
        <v/>
      </c>
      <c r="BE34">
        <f>IFERROR(INDEX(PP_Grid[#Data],$DE34,54),0)</f>
        <v/>
      </c>
      <c r="BF34">
        <f>IFERROR(INDEX(PP_Grid[#Data],$DE34,55),0)</f>
        <v/>
      </c>
      <c r="BG34">
        <f>IFERROR(INDEX(PP_Grid[#Data],$DE34,56),0)</f>
        <v/>
      </c>
      <c r="BH34">
        <f>IFERROR(INDEX(PP_Grid[#Data],$DE34,57),0)</f>
        <v/>
      </c>
      <c r="BI34">
        <f>IFERROR(INDEX(PP_Grid[#Data],$DE34,58),0)</f>
        <v/>
      </c>
      <c r="BJ34">
        <f>IFERROR(INDEX(PP_Grid[#Data],$DE34,59),0)</f>
        <v/>
      </c>
      <c r="BK34">
        <f>IFERROR(INDEX(PP_Grid[#Data],$DE34,60),0)</f>
        <v/>
      </c>
      <c r="BL34">
        <f>IFERROR(INDEX(PP_Grid[#Data],$DE34,61),0)</f>
        <v/>
      </c>
      <c r="BM34">
        <f>IFERROR(INDEX(PP_Grid[#Data],$DE34,62),0)</f>
        <v/>
      </c>
      <c r="BN34">
        <f>IFERROR(INDEX(PP_Grid[#Data],$DE34,63),0)</f>
        <v/>
      </c>
      <c r="BO34">
        <f>IFERROR(INDEX(PP_Grid[#Data],$DE34,64),0)</f>
        <v/>
      </c>
      <c r="BP34">
        <f>IFERROR(INDEX(PP_Grid[#Data],$DE34,65),0)</f>
        <v/>
      </c>
      <c r="BQ34">
        <f>IFERROR(INDEX(PP_Grid[#Data],$DE34,66),0)</f>
        <v/>
      </c>
      <c r="BR34">
        <f>IFERROR(INDEX(PP_Grid[#Data],$DE34,67),0)</f>
        <v/>
      </c>
      <c r="BS34">
        <f>IFERROR(INDEX(PP_Grid[#Data],$DE34,68),0)</f>
        <v/>
      </c>
      <c r="BT34">
        <f>IFERROR(INDEX(PP_Grid[#Data],$DE34,69),0)</f>
        <v/>
      </c>
      <c r="BU34">
        <f>IFERROR(INDEX(PP_Grid[#Data],$DE34,70),0)</f>
        <v/>
      </c>
      <c r="BV34">
        <f>IFERROR(INDEX(PP_Grid[#Data],$DE34,71),0)</f>
        <v/>
      </c>
      <c r="BW34">
        <f>IFERROR(INDEX(PP_Grid[#Data],$DE34,72),0)</f>
        <v/>
      </c>
      <c r="BX34">
        <f>IFERROR(INDEX(PP_Grid[#Data],$DE34,73),0)</f>
        <v/>
      </c>
      <c r="BY34">
        <f>IFERROR(INDEX(PP_Grid[#Data],$DE34,74),0)</f>
        <v/>
      </c>
      <c r="BZ34">
        <f>IFERROR(INDEX(PP_Grid[#Data],$DE34,75),0)</f>
        <v/>
      </c>
      <c r="CA34">
        <f>IFERROR(INDEX(PP_Grid[#Data],$DE34,76),0)</f>
        <v/>
      </c>
      <c r="CB34">
        <f>IFERROR(INDEX(PP_Grid[#Data],$DE34,77),0)</f>
        <v/>
      </c>
      <c r="CC34">
        <f>IFERROR(INDEX(PP_Grid[#Data],$DE34,78),0)</f>
        <v/>
      </c>
      <c r="CD34">
        <f>IFERROR(INDEX(PP_Grid[#Data],$DE34,79),0)</f>
        <v/>
      </c>
      <c r="CE34">
        <f>IFERROR(INDEX(PP_Grid[#Data],$DE34,80),0)</f>
        <v/>
      </c>
      <c r="CF34">
        <f>IFERROR(INDEX(PP_Grid[#Data],$DE34,81),0)</f>
        <v/>
      </c>
      <c r="CG34">
        <f>IFERROR(INDEX(PP_Grid[#Data],$DE34,82),0)</f>
        <v/>
      </c>
      <c r="CH34">
        <f>IFERROR(INDEX(PP_Grid[#Data],$DE34,83),0)</f>
        <v/>
      </c>
      <c r="CI34">
        <f>IFERROR(INDEX(PP_Grid[#Data],$DE34,84),0)</f>
        <v/>
      </c>
      <c r="CJ34">
        <f>IFERROR(INDEX(PP_Grid[#Data],$DE34,85),0)</f>
        <v/>
      </c>
      <c r="CK34">
        <f>IFERROR(INDEX(PP_Grid[#Data],$DE34,86),0)</f>
        <v/>
      </c>
      <c r="CL34">
        <f>IFERROR(INDEX(PP_Grid[#Data],$DE34,87),0)</f>
        <v/>
      </c>
      <c r="CM34">
        <f>IFERROR(INDEX(PP_Grid[#Data],$DE34,88),0)</f>
        <v/>
      </c>
      <c r="CN34">
        <f>IFERROR(INDEX(PP_Grid[#Data],$DE34,89),0)</f>
        <v/>
      </c>
      <c r="CO34">
        <f>IFERROR(INDEX(PP_Grid[#Data],$DE34,90),0)</f>
        <v/>
      </c>
      <c r="CP34">
        <f>IFERROR(INDEX(PP_Grid[#Data],$DE34,91),0)</f>
        <v/>
      </c>
      <c r="CQ34">
        <f>IFERROR(INDEX(PP_Grid[#Data],$DE34,92),0)</f>
        <v/>
      </c>
      <c r="CR34">
        <f>IFERROR(INDEX(PP_Grid[#Data],$DE34,93),0)</f>
        <v/>
      </c>
      <c r="CS34">
        <f>IFERROR(INDEX(PP_Grid[#Data],$DE34,94),0)</f>
        <v/>
      </c>
      <c r="CT34">
        <f>IFERROR(INDEX(PP_Grid[#Data],$DE34,95),0)</f>
        <v/>
      </c>
      <c r="CU34">
        <f>IFERROR(INDEX(PP_Grid[#Data],$DE34,96),0)</f>
        <v/>
      </c>
      <c r="CV34">
        <f>IFERROR(INDEX(PP_Grid[#Data],$DE34,97),0)</f>
        <v/>
      </c>
      <c r="CW34">
        <f>IFERROR(INDEX(PP_Grid[#Data],$DE34,98),0)</f>
        <v/>
      </c>
      <c r="CX34">
        <f>IFERROR(INDEX(PP_Grid[#Data],$DE34,99),0)</f>
        <v/>
      </c>
      <c r="CY34">
        <f>IFERROR(INDEX(PP_Grid[#Data],$DE34,100),0)</f>
        <v/>
      </c>
      <c r="CZ34">
        <f>IFERROR(INDEX(PP_Grid[#Data],$DE34,101),0)</f>
        <v/>
      </c>
      <c r="DA34">
        <f>IFERROR(INDEX(PP_Grid[#Data],$DE34,102),0)</f>
        <v/>
      </c>
      <c r="DB34">
        <f>IFERROR(INDEX(PP_Grid[#Data],$DE34,103),0)</f>
        <v/>
      </c>
      <c r="DC34">
        <f>IFERROR(INDEX(PP_Grid[#Data],$DE34,104),0)</f>
        <v/>
      </c>
      <c r="DD34">
        <f>IFERROR(INDEX(PP_Grid[#Data],$DE34,105),0)</f>
        <v/>
      </c>
      <c r="DE34" s="7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SUMIFS(M_BOM[RM_Qty_Per_Batch],M_BOM[Intermediate],$B34,M_BOM[RM_Code],$A25)</f>
        <v/>
      </c>
      <c r="D35">
        <f>IFERROR(INDEX(E35:DD35,$F$1),"")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  <c r="DD35">
        <f>$C35*DD34</f>
        <v/>
      </c>
    </row>
    <row r="36">
      <c r="B36" t="inlineStr">
        <is>
          <t>TSP-077</t>
        </is>
      </c>
      <c r="C36" t="inlineStr">
        <is>
          <t>No. of batches</t>
        </is>
      </c>
      <c r="D36">
        <f>IFERROR(INDEX(E36:DD36,$F$1),"")</f>
        <v/>
      </c>
      <c r="E36">
        <f>IFERROR(INDEX(PP_Grid[#Data],$DE36,2),0)</f>
        <v/>
      </c>
      <c r="F36">
        <f>IFERROR(INDEX(PP_Grid[#Data],$DE36,3),0)</f>
        <v/>
      </c>
      <c r="G36">
        <f>IFERROR(INDEX(PP_Grid[#Data],$DE36,4),0)</f>
        <v/>
      </c>
      <c r="H36">
        <f>IFERROR(INDEX(PP_Grid[#Data],$DE36,5),0)</f>
        <v/>
      </c>
      <c r="I36">
        <f>IFERROR(INDEX(PP_Grid[#Data],$DE36,6),0)</f>
        <v/>
      </c>
      <c r="J36">
        <f>IFERROR(INDEX(PP_Grid[#Data],$DE36,7),0)</f>
        <v/>
      </c>
      <c r="K36">
        <f>IFERROR(INDEX(PP_Grid[#Data],$DE36,8),0)</f>
        <v/>
      </c>
      <c r="L36">
        <f>IFERROR(INDEX(PP_Grid[#Data],$DE36,9),0)</f>
        <v/>
      </c>
      <c r="M36">
        <f>IFERROR(INDEX(PP_Grid[#Data],$DE36,10),0)</f>
        <v/>
      </c>
      <c r="N36">
        <f>IFERROR(INDEX(PP_Grid[#Data],$DE36,11),0)</f>
        <v/>
      </c>
      <c r="O36">
        <f>IFERROR(INDEX(PP_Grid[#Data],$DE36,12),0)</f>
        <v/>
      </c>
      <c r="P36">
        <f>IFERROR(INDEX(PP_Grid[#Data],$DE36,13),0)</f>
        <v/>
      </c>
      <c r="Q36">
        <f>IFERROR(INDEX(PP_Grid[#Data],$DE36,14),0)</f>
        <v/>
      </c>
      <c r="R36">
        <f>IFERROR(INDEX(PP_Grid[#Data],$DE36,15),0)</f>
        <v/>
      </c>
      <c r="S36">
        <f>IFERROR(INDEX(PP_Grid[#Data],$DE36,16),0)</f>
        <v/>
      </c>
      <c r="T36">
        <f>IFERROR(INDEX(PP_Grid[#Data],$DE36,17),0)</f>
        <v/>
      </c>
      <c r="U36">
        <f>IFERROR(INDEX(PP_Grid[#Data],$DE36,18),0)</f>
        <v/>
      </c>
      <c r="V36">
        <f>IFERROR(INDEX(PP_Grid[#Data],$DE36,19),0)</f>
        <v/>
      </c>
      <c r="W36">
        <f>IFERROR(INDEX(PP_Grid[#Data],$DE36,20),0)</f>
        <v/>
      </c>
      <c r="X36">
        <f>IFERROR(INDEX(PP_Grid[#Data],$DE36,21),0)</f>
        <v/>
      </c>
      <c r="Y36">
        <f>IFERROR(INDEX(PP_Grid[#Data],$DE36,22),0)</f>
        <v/>
      </c>
      <c r="Z36">
        <f>IFERROR(INDEX(PP_Grid[#Data],$DE36,23),0)</f>
        <v/>
      </c>
      <c r="AA36">
        <f>IFERROR(INDEX(PP_Grid[#Data],$DE36,24),0)</f>
        <v/>
      </c>
      <c r="AB36">
        <f>IFERROR(INDEX(PP_Grid[#Data],$DE36,25),0)</f>
        <v/>
      </c>
      <c r="AC36">
        <f>IFERROR(INDEX(PP_Grid[#Data],$DE36,26),0)</f>
        <v/>
      </c>
      <c r="AD36">
        <f>IFERROR(INDEX(PP_Grid[#Data],$DE36,27),0)</f>
        <v/>
      </c>
      <c r="AE36">
        <f>IFERROR(INDEX(PP_Grid[#Data],$DE36,28),0)</f>
        <v/>
      </c>
      <c r="AF36">
        <f>IFERROR(INDEX(PP_Grid[#Data],$DE36,29),0)</f>
        <v/>
      </c>
      <c r="AG36">
        <f>IFERROR(INDEX(PP_Grid[#Data],$DE36,30),0)</f>
        <v/>
      </c>
      <c r="AH36">
        <f>IFERROR(INDEX(PP_Grid[#Data],$DE36,31),0)</f>
        <v/>
      </c>
      <c r="AI36">
        <f>IFERROR(INDEX(PP_Grid[#Data],$DE36,32),0)</f>
        <v/>
      </c>
      <c r="AJ36">
        <f>IFERROR(INDEX(PP_Grid[#Data],$DE36,33),0)</f>
        <v/>
      </c>
      <c r="AK36">
        <f>IFERROR(INDEX(PP_Grid[#Data],$DE36,34),0)</f>
        <v/>
      </c>
      <c r="AL36">
        <f>IFERROR(INDEX(PP_Grid[#Data],$DE36,35),0)</f>
        <v/>
      </c>
      <c r="AM36">
        <f>IFERROR(INDEX(PP_Grid[#Data],$DE36,36),0)</f>
        <v/>
      </c>
      <c r="AN36">
        <f>IFERROR(INDEX(PP_Grid[#Data],$DE36,37),0)</f>
        <v/>
      </c>
      <c r="AO36">
        <f>IFERROR(INDEX(PP_Grid[#Data],$DE36,38),0)</f>
        <v/>
      </c>
      <c r="AP36">
        <f>IFERROR(INDEX(PP_Grid[#Data],$DE36,39),0)</f>
        <v/>
      </c>
      <c r="AQ36">
        <f>IFERROR(INDEX(PP_Grid[#Data],$DE36,40),0)</f>
        <v/>
      </c>
      <c r="AR36">
        <f>IFERROR(INDEX(PP_Grid[#Data],$DE36,41),0)</f>
        <v/>
      </c>
      <c r="AS36">
        <f>IFERROR(INDEX(PP_Grid[#Data],$DE36,42),0)</f>
        <v/>
      </c>
      <c r="AT36">
        <f>IFERROR(INDEX(PP_Grid[#Data],$DE36,43),0)</f>
        <v/>
      </c>
      <c r="AU36">
        <f>IFERROR(INDEX(PP_Grid[#Data],$DE36,44),0)</f>
        <v/>
      </c>
      <c r="AV36">
        <f>IFERROR(INDEX(PP_Grid[#Data],$DE36,45),0)</f>
        <v/>
      </c>
      <c r="AW36">
        <f>IFERROR(INDEX(PP_Grid[#Data],$DE36,46),0)</f>
        <v/>
      </c>
      <c r="AX36">
        <f>IFERROR(INDEX(PP_Grid[#Data],$DE36,47),0)</f>
        <v/>
      </c>
      <c r="AY36">
        <f>IFERROR(INDEX(PP_Grid[#Data],$DE36,48),0)</f>
        <v/>
      </c>
      <c r="AZ36">
        <f>IFERROR(INDEX(PP_Grid[#Data],$DE36,49),0)</f>
        <v/>
      </c>
      <c r="BA36">
        <f>IFERROR(INDEX(PP_Grid[#Data],$DE36,50),0)</f>
        <v/>
      </c>
      <c r="BB36">
        <f>IFERROR(INDEX(PP_Grid[#Data],$DE36,51),0)</f>
        <v/>
      </c>
      <c r="BC36">
        <f>IFERROR(INDEX(PP_Grid[#Data],$DE36,52),0)</f>
        <v/>
      </c>
      <c r="BD36">
        <f>IFERROR(INDEX(PP_Grid[#Data],$DE36,53),0)</f>
        <v/>
      </c>
      <c r="BE36">
        <f>IFERROR(INDEX(PP_Grid[#Data],$DE36,54),0)</f>
        <v/>
      </c>
      <c r="BF36">
        <f>IFERROR(INDEX(PP_Grid[#Data],$DE36,55),0)</f>
        <v/>
      </c>
      <c r="BG36">
        <f>IFERROR(INDEX(PP_Grid[#Data],$DE36,56),0)</f>
        <v/>
      </c>
      <c r="BH36">
        <f>IFERROR(INDEX(PP_Grid[#Data],$DE36,57),0)</f>
        <v/>
      </c>
      <c r="BI36">
        <f>IFERROR(INDEX(PP_Grid[#Data],$DE36,58),0)</f>
        <v/>
      </c>
      <c r="BJ36">
        <f>IFERROR(INDEX(PP_Grid[#Data],$DE36,59),0)</f>
        <v/>
      </c>
      <c r="BK36">
        <f>IFERROR(INDEX(PP_Grid[#Data],$DE36,60),0)</f>
        <v/>
      </c>
      <c r="BL36">
        <f>IFERROR(INDEX(PP_Grid[#Data],$DE36,61),0)</f>
        <v/>
      </c>
      <c r="BM36">
        <f>IFERROR(INDEX(PP_Grid[#Data],$DE36,62),0)</f>
        <v/>
      </c>
      <c r="BN36">
        <f>IFERROR(INDEX(PP_Grid[#Data],$DE36,63),0)</f>
        <v/>
      </c>
      <c r="BO36">
        <f>IFERROR(INDEX(PP_Grid[#Data],$DE36,64),0)</f>
        <v/>
      </c>
      <c r="BP36">
        <f>IFERROR(INDEX(PP_Grid[#Data],$DE36,65),0)</f>
        <v/>
      </c>
      <c r="BQ36">
        <f>IFERROR(INDEX(PP_Grid[#Data],$DE36,66),0)</f>
        <v/>
      </c>
      <c r="BR36">
        <f>IFERROR(INDEX(PP_Grid[#Data],$DE36,67),0)</f>
        <v/>
      </c>
      <c r="BS36">
        <f>IFERROR(INDEX(PP_Grid[#Data],$DE36,68),0)</f>
        <v/>
      </c>
      <c r="BT36">
        <f>IFERROR(INDEX(PP_Grid[#Data],$DE36,69),0)</f>
        <v/>
      </c>
      <c r="BU36">
        <f>IFERROR(INDEX(PP_Grid[#Data],$DE36,70),0)</f>
        <v/>
      </c>
      <c r="BV36">
        <f>IFERROR(INDEX(PP_Grid[#Data],$DE36,71),0)</f>
        <v/>
      </c>
      <c r="BW36">
        <f>IFERROR(INDEX(PP_Grid[#Data],$DE36,72),0)</f>
        <v/>
      </c>
      <c r="BX36">
        <f>IFERROR(INDEX(PP_Grid[#Data],$DE36,73),0)</f>
        <v/>
      </c>
      <c r="BY36">
        <f>IFERROR(INDEX(PP_Grid[#Data],$DE36,74),0)</f>
        <v/>
      </c>
      <c r="BZ36">
        <f>IFERROR(INDEX(PP_Grid[#Data],$DE36,75),0)</f>
        <v/>
      </c>
      <c r="CA36">
        <f>IFERROR(INDEX(PP_Grid[#Data],$DE36,76),0)</f>
        <v/>
      </c>
      <c r="CB36">
        <f>IFERROR(INDEX(PP_Grid[#Data],$DE36,77),0)</f>
        <v/>
      </c>
      <c r="CC36">
        <f>IFERROR(INDEX(PP_Grid[#Data],$DE36,78),0)</f>
        <v/>
      </c>
      <c r="CD36">
        <f>IFERROR(INDEX(PP_Grid[#Data],$DE36,79),0)</f>
        <v/>
      </c>
      <c r="CE36">
        <f>IFERROR(INDEX(PP_Grid[#Data],$DE36,80),0)</f>
        <v/>
      </c>
      <c r="CF36">
        <f>IFERROR(INDEX(PP_Grid[#Data],$DE36,81),0)</f>
        <v/>
      </c>
      <c r="CG36">
        <f>IFERROR(INDEX(PP_Grid[#Data],$DE36,82),0)</f>
        <v/>
      </c>
      <c r="CH36">
        <f>IFERROR(INDEX(PP_Grid[#Data],$DE36,83),0)</f>
        <v/>
      </c>
      <c r="CI36">
        <f>IFERROR(INDEX(PP_Grid[#Data],$DE36,84),0)</f>
        <v/>
      </c>
      <c r="CJ36">
        <f>IFERROR(INDEX(PP_Grid[#Data],$DE36,85),0)</f>
        <v/>
      </c>
      <c r="CK36">
        <f>IFERROR(INDEX(PP_Grid[#Data],$DE36,86),0)</f>
        <v/>
      </c>
      <c r="CL36">
        <f>IFERROR(INDEX(PP_Grid[#Data],$DE36,87),0)</f>
        <v/>
      </c>
      <c r="CM36">
        <f>IFERROR(INDEX(PP_Grid[#Data],$DE36,88),0)</f>
        <v/>
      </c>
      <c r="CN36">
        <f>IFERROR(INDEX(PP_Grid[#Data],$DE36,89),0)</f>
        <v/>
      </c>
      <c r="CO36">
        <f>IFERROR(INDEX(PP_Grid[#Data],$DE36,90),0)</f>
        <v/>
      </c>
      <c r="CP36">
        <f>IFERROR(INDEX(PP_Grid[#Data],$DE36,91),0)</f>
        <v/>
      </c>
      <c r="CQ36">
        <f>IFERROR(INDEX(PP_Grid[#Data],$DE36,92),0)</f>
        <v/>
      </c>
      <c r="CR36">
        <f>IFERROR(INDEX(PP_Grid[#Data],$DE36,93),0)</f>
        <v/>
      </c>
      <c r="CS36">
        <f>IFERROR(INDEX(PP_Grid[#Data],$DE36,94),0)</f>
        <v/>
      </c>
      <c r="CT36">
        <f>IFERROR(INDEX(PP_Grid[#Data],$DE36,95),0)</f>
        <v/>
      </c>
      <c r="CU36">
        <f>IFERROR(INDEX(PP_Grid[#Data],$DE36,96),0)</f>
        <v/>
      </c>
      <c r="CV36">
        <f>IFERROR(INDEX(PP_Grid[#Data],$DE36,97),0)</f>
        <v/>
      </c>
      <c r="CW36">
        <f>IFERROR(INDEX(PP_Grid[#Data],$DE36,98),0)</f>
        <v/>
      </c>
      <c r="CX36">
        <f>IFERROR(INDEX(PP_Grid[#Data],$DE36,99),0)</f>
        <v/>
      </c>
      <c r="CY36">
        <f>IFERROR(INDEX(PP_Grid[#Data],$DE36,100),0)</f>
        <v/>
      </c>
      <c r="CZ36">
        <f>IFERROR(INDEX(PP_Grid[#Data],$DE36,101),0)</f>
        <v/>
      </c>
      <c r="DA36">
        <f>IFERROR(INDEX(PP_Grid[#Data],$DE36,102),0)</f>
        <v/>
      </c>
      <c r="DB36">
        <f>IFERROR(INDEX(PP_Grid[#Data],$DE36,103),0)</f>
        <v/>
      </c>
      <c r="DC36">
        <f>IFERROR(INDEX(PP_Grid[#Data],$DE36,104),0)</f>
        <v/>
      </c>
      <c r="DD36">
        <f>IFERROR(INDEX(PP_Grid[#Data],$DE36,105),0)</f>
        <v/>
      </c>
      <c r="DE36" s="7">
        <f>IFERROR(MATCH($B36,PP_Grid[Intermediate],0),99999)</f>
        <v/>
      </c>
    </row>
    <row r="37">
      <c r="B37" t="inlineStr">
        <is>
          <t>使用量(kg)</t>
        </is>
      </c>
      <c r="C37">
        <f>SUMIFS(M_BOM[RM_Qty_Per_Batch],M_BOM[Intermediate],$B36,M_BOM[RM_Code],$A25)</f>
        <v/>
      </c>
      <c r="D37">
        <f>IFERROR(INDEX(E37:DD37,$F$1),"")</f>
        <v/>
      </c>
      <c r="E37">
        <f>$C37*E36</f>
        <v/>
      </c>
      <c r="F37">
        <f>$C37*F36</f>
        <v/>
      </c>
      <c r="G37">
        <f>$C37*G36</f>
        <v/>
      </c>
      <c r="H37">
        <f>$C37*H36</f>
        <v/>
      </c>
      <c r="I37">
        <f>$C37*I36</f>
        <v/>
      </c>
      <c r="J37">
        <f>$C37*J36</f>
        <v/>
      </c>
      <c r="K37">
        <f>$C37*K36</f>
        <v/>
      </c>
      <c r="L37">
        <f>$C37*L36</f>
        <v/>
      </c>
      <c r="M37">
        <f>$C37*M36</f>
        <v/>
      </c>
      <c r="N37">
        <f>$C37*N36</f>
        <v/>
      </c>
      <c r="O37">
        <f>$C37*O36</f>
        <v/>
      </c>
      <c r="P37">
        <f>$C37*P36</f>
        <v/>
      </c>
      <c r="Q37">
        <f>$C37*Q36</f>
        <v/>
      </c>
      <c r="R37">
        <f>$C37*R36</f>
        <v/>
      </c>
      <c r="S37">
        <f>$C37*S36</f>
        <v/>
      </c>
      <c r="T37">
        <f>$C37*T36</f>
        <v/>
      </c>
      <c r="U37">
        <f>$C37*U36</f>
        <v/>
      </c>
      <c r="V37">
        <f>$C37*V36</f>
        <v/>
      </c>
      <c r="W37">
        <f>$C37*W36</f>
        <v/>
      </c>
      <c r="X37">
        <f>$C37*X36</f>
        <v/>
      </c>
      <c r="Y37">
        <f>$C37*Y36</f>
        <v/>
      </c>
      <c r="Z37">
        <f>$C37*Z36</f>
        <v/>
      </c>
      <c r="AA37">
        <f>$C37*AA36</f>
        <v/>
      </c>
      <c r="AB37">
        <f>$C37*AB36</f>
        <v/>
      </c>
      <c r="AC37">
        <f>$C37*AC36</f>
        <v/>
      </c>
      <c r="AD37">
        <f>$C37*AD36</f>
        <v/>
      </c>
      <c r="AE37">
        <f>$C37*AE36</f>
        <v/>
      </c>
      <c r="AF37">
        <f>$C37*AF36</f>
        <v/>
      </c>
      <c r="AG37">
        <f>$C37*AG36</f>
        <v/>
      </c>
      <c r="AH37">
        <f>$C37*AH36</f>
        <v/>
      </c>
      <c r="AI37">
        <f>$C37*AI36</f>
        <v/>
      </c>
      <c r="AJ37">
        <f>$C37*AJ36</f>
        <v/>
      </c>
      <c r="AK37">
        <f>$C37*AK36</f>
        <v/>
      </c>
      <c r="AL37">
        <f>$C37*AL36</f>
        <v/>
      </c>
      <c r="AM37">
        <f>$C37*AM36</f>
        <v/>
      </c>
      <c r="AN37">
        <f>$C37*AN36</f>
        <v/>
      </c>
      <c r="AO37">
        <f>$C37*AO36</f>
        <v/>
      </c>
      <c r="AP37">
        <f>$C37*AP36</f>
        <v/>
      </c>
      <c r="AQ37">
        <f>$C37*AQ36</f>
        <v/>
      </c>
      <c r="AR37">
        <f>$C37*AR36</f>
        <v/>
      </c>
      <c r="AS37">
        <f>$C37*AS36</f>
        <v/>
      </c>
      <c r="AT37">
        <f>$C37*AT36</f>
        <v/>
      </c>
      <c r="AU37">
        <f>$C37*AU36</f>
        <v/>
      </c>
      <c r="AV37">
        <f>$C37*AV36</f>
        <v/>
      </c>
      <c r="AW37">
        <f>$C37*AW36</f>
        <v/>
      </c>
      <c r="AX37">
        <f>$C37*AX36</f>
        <v/>
      </c>
      <c r="AY37">
        <f>$C37*AY36</f>
        <v/>
      </c>
      <c r="AZ37">
        <f>$C37*AZ36</f>
        <v/>
      </c>
      <c r="BA37">
        <f>$C37*BA36</f>
        <v/>
      </c>
      <c r="BB37">
        <f>$C37*BB36</f>
        <v/>
      </c>
      <c r="BC37">
        <f>$C37*BC36</f>
        <v/>
      </c>
      <c r="BD37">
        <f>$C37*BD36</f>
        <v/>
      </c>
      <c r="BE37">
        <f>$C37*BE36</f>
        <v/>
      </c>
      <c r="BF37">
        <f>$C37*BF36</f>
        <v/>
      </c>
      <c r="BG37">
        <f>$C37*BG36</f>
        <v/>
      </c>
      <c r="BH37">
        <f>$C37*BH36</f>
        <v/>
      </c>
      <c r="BI37">
        <f>$C37*BI36</f>
        <v/>
      </c>
      <c r="BJ37">
        <f>$C37*BJ36</f>
        <v/>
      </c>
      <c r="BK37">
        <f>$C37*BK36</f>
        <v/>
      </c>
      <c r="BL37">
        <f>$C37*BL36</f>
        <v/>
      </c>
      <c r="BM37">
        <f>$C37*BM36</f>
        <v/>
      </c>
      <c r="BN37">
        <f>$C37*BN36</f>
        <v/>
      </c>
      <c r="BO37">
        <f>$C37*BO36</f>
        <v/>
      </c>
      <c r="BP37">
        <f>$C37*BP36</f>
        <v/>
      </c>
      <c r="BQ37">
        <f>$C37*BQ36</f>
        <v/>
      </c>
      <c r="BR37">
        <f>$C37*BR36</f>
        <v/>
      </c>
      <c r="BS37">
        <f>$C37*BS36</f>
        <v/>
      </c>
      <c r="BT37">
        <f>$C37*BT36</f>
        <v/>
      </c>
      <c r="BU37">
        <f>$C37*BU36</f>
        <v/>
      </c>
      <c r="BV37">
        <f>$C37*BV36</f>
        <v/>
      </c>
      <c r="BW37">
        <f>$C37*BW36</f>
        <v/>
      </c>
      <c r="BX37">
        <f>$C37*BX36</f>
        <v/>
      </c>
      <c r="BY37">
        <f>$C37*BY36</f>
        <v/>
      </c>
      <c r="BZ37">
        <f>$C37*BZ36</f>
        <v/>
      </c>
      <c r="CA37">
        <f>$C37*CA36</f>
        <v/>
      </c>
      <c r="CB37">
        <f>$C37*CB36</f>
        <v/>
      </c>
      <c r="CC37">
        <f>$C37*CC36</f>
        <v/>
      </c>
      <c r="CD37">
        <f>$C37*CD36</f>
        <v/>
      </c>
      <c r="CE37">
        <f>$C37*CE36</f>
        <v/>
      </c>
      <c r="CF37">
        <f>$C37*CF36</f>
        <v/>
      </c>
      <c r="CG37">
        <f>$C37*CG36</f>
        <v/>
      </c>
      <c r="CH37">
        <f>$C37*CH36</f>
        <v/>
      </c>
      <c r="CI37">
        <f>$C37*CI36</f>
        <v/>
      </c>
      <c r="CJ37">
        <f>$C37*CJ36</f>
        <v/>
      </c>
      <c r="CK37">
        <f>$C37*CK36</f>
        <v/>
      </c>
      <c r="CL37">
        <f>$C37*CL36</f>
        <v/>
      </c>
      <c r="CM37">
        <f>$C37*CM36</f>
        <v/>
      </c>
      <c r="CN37">
        <f>$C37*CN36</f>
        <v/>
      </c>
      <c r="CO37">
        <f>$C37*CO36</f>
        <v/>
      </c>
      <c r="CP37">
        <f>$C37*CP36</f>
        <v/>
      </c>
      <c r="CQ37">
        <f>$C37*CQ36</f>
        <v/>
      </c>
      <c r="CR37">
        <f>$C37*CR36</f>
        <v/>
      </c>
      <c r="CS37">
        <f>$C37*CS36</f>
        <v/>
      </c>
      <c r="CT37">
        <f>$C37*CT36</f>
        <v/>
      </c>
      <c r="CU37">
        <f>$C37*CU36</f>
        <v/>
      </c>
      <c r="CV37">
        <f>$C37*CV36</f>
        <v/>
      </c>
      <c r="CW37">
        <f>$C37*CW36</f>
        <v/>
      </c>
      <c r="CX37">
        <f>$C37*CX36</f>
        <v/>
      </c>
      <c r="CY37">
        <f>$C37*CY36</f>
        <v/>
      </c>
      <c r="CZ37">
        <f>$C37*CZ36</f>
        <v/>
      </c>
      <c r="DA37">
        <f>$C37*DA36</f>
        <v/>
      </c>
      <c r="DB37">
        <f>$C37*DB36</f>
        <v/>
      </c>
      <c r="DC37">
        <f>$C37*DC36</f>
        <v/>
      </c>
      <c r="DD37">
        <f>$C37*DD36</f>
        <v/>
      </c>
    </row>
    <row r="38">
      <c r="B38" t="inlineStr">
        <is>
          <t>TSP-078</t>
        </is>
      </c>
      <c r="C38" t="inlineStr">
        <is>
          <t>No. of batches</t>
        </is>
      </c>
      <c r="D38">
        <f>IFERROR(INDEX(E38:DD38,$F$1),"")</f>
        <v/>
      </c>
      <c r="E38">
        <f>IFERROR(INDEX(PP_Grid[#Data],$DE38,2),0)</f>
        <v/>
      </c>
      <c r="F38">
        <f>IFERROR(INDEX(PP_Grid[#Data],$DE38,3),0)</f>
        <v/>
      </c>
      <c r="G38">
        <f>IFERROR(INDEX(PP_Grid[#Data],$DE38,4),0)</f>
        <v/>
      </c>
      <c r="H38">
        <f>IFERROR(INDEX(PP_Grid[#Data],$DE38,5),0)</f>
        <v/>
      </c>
      <c r="I38">
        <f>IFERROR(INDEX(PP_Grid[#Data],$DE38,6),0)</f>
        <v/>
      </c>
      <c r="J38">
        <f>IFERROR(INDEX(PP_Grid[#Data],$DE38,7),0)</f>
        <v/>
      </c>
      <c r="K38">
        <f>IFERROR(INDEX(PP_Grid[#Data],$DE38,8),0)</f>
        <v/>
      </c>
      <c r="L38">
        <f>IFERROR(INDEX(PP_Grid[#Data],$DE38,9),0)</f>
        <v/>
      </c>
      <c r="M38">
        <f>IFERROR(INDEX(PP_Grid[#Data],$DE38,10),0)</f>
        <v/>
      </c>
      <c r="N38">
        <f>IFERROR(INDEX(PP_Grid[#Data],$DE38,11),0)</f>
        <v/>
      </c>
      <c r="O38">
        <f>IFERROR(INDEX(PP_Grid[#Data],$DE38,12),0)</f>
        <v/>
      </c>
      <c r="P38">
        <f>IFERROR(INDEX(PP_Grid[#Data],$DE38,13),0)</f>
        <v/>
      </c>
      <c r="Q38">
        <f>IFERROR(INDEX(PP_Grid[#Data],$DE38,14),0)</f>
        <v/>
      </c>
      <c r="R38">
        <f>IFERROR(INDEX(PP_Grid[#Data],$DE38,15),0)</f>
        <v/>
      </c>
      <c r="S38">
        <f>IFERROR(INDEX(PP_Grid[#Data],$DE38,16),0)</f>
        <v/>
      </c>
      <c r="T38">
        <f>IFERROR(INDEX(PP_Grid[#Data],$DE38,17),0)</f>
        <v/>
      </c>
      <c r="U38">
        <f>IFERROR(INDEX(PP_Grid[#Data],$DE38,18),0)</f>
        <v/>
      </c>
      <c r="V38">
        <f>IFERROR(INDEX(PP_Grid[#Data],$DE38,19),0)</f>
        <v/>
      </c>
      <c r="W38">
        <f>IFERROR(INDEX(PP_Grid[#Data],$DE38,20),0)</f>
        <v/>
      </c>
      <c r="X38">
        <f>IFERROR(INDEX(PP_Grid[#Data],$DE38,21),0)</f>
        <v/>
      </c>
      <c r="Y38">
        <f>IFERROR(INDEX(PP_Grid[#Data],$DE38,22),0)</f>
        <v/>
      </c>
      <c r="Z38">
        <f>IFERROR(INDEX(PP_Grid[#Data],$DE38,23),0)</f>
        <v/>
      </c>
      <c r="AA38">
        <f>IFERROR(INDEX(PP_Grid[#Data],$DE38,24),0)</f>
        <v/>
      </c>
      <c r="AB38">
        <f>IFERROR(INDEX(PP_Grid[#Data],$DE38,25),0)</f>
        <v/>
      </c>
      <c r="AC38">
        <f>IFERROR(INDEX(PP_Grid[#Data],$DE38,26),0)</f>
        <v/>
      </c>
      <c r="AD38">
        <f>IFERROR(INDEX(PP_Grid[#Data],$DE38,27),0)</f>
        <v/>
      </c>
      <c r="AE38">
        <f>IFERROR(INDEX(PP_Grid[#Data],$DE38,28),0)</f>
        <v/>
      </c>
      <c r="AF38">
        <f>IFERROR(INDEX(PP_Grid[#Data],$DE38,29),0)</f>
        <v/>
      </c>
      <c r="AG38">
        <f>IFERROR(INDEX(PP_Grid[#Data],$DE38,30),0)</f>
        <v/>
      </c>
      <c r="AH38">
        <f>IFERROR(INDEX(PP_Grid[#Data],$DE38,31),0)</f>
        <v/>
      </c>
      <c r="AI38">
        <f>IFERROR(INDEX(PP_Grid[#Data],$DE38,32),0)</f>
        <v/>
      </c>
      <c r="AJ38">
        <f>IFERROR(INDEX(PP_Grid[#Data],$DE38,33),0)</f>
        <v/>
      </c>
      <c r="AK38">
        <f>IFERROR(INDEX(PP_Grid[#Data],$DE38,34),0)</f>
        <v/>
      </c>
      <c r="AL38">
        <f>IFERROR(INDEX(PP_Grid[#Data],$DE38,35),0)</f>
        <v/>
      </c>
      <c r="AM38">
        <f>IFERROR(INDEX(PP_Grid[#Data],$DE38,36),0)</f>
        <v/>
      </c>
      <c r="AN38">
        <f>IFERROR(INDEX(PP_Grid[#Data],$DE38,37),0)</f>
        <v/>
      </c>
      <c r="AO38">
        <f>IFERROR(INDEX(PP_Grid[#Data],$DE38,38),0)</f>
        <v/>
      </c>
      <c r="AP38">
        <f>IFERROR(INDEX(PP_Grid[#Data],$DE38,39),0)</f>
        <v/>
      </c>
      <c r="AQ38">
        <f>IFERROR(INDEX(PP_Grid[#Data],$DE38,40),0)</f>
        <v/>
      </c>
      <c r="AR38">
        <f>IFERROR(INDEX(PP_Grid[#Data],$DE38,41),0)</f>
        <v/>
      </c>
      <c r="AS38">
        <f>IFERROR(INDEX(PP_Grid[#Data],$DE38,42),0)</f>
        <v/>
      </c>
      <c r="AT38">
        <f>IFERROR(INDEX(PP_Grid[#Data],$DE38,43),0)</f>
        <v/>
      </c>
      <c r="AU38">
        <f>IFERROR(INDEX(PP_Grid[#Data],$DE38,44),0)</f>
        <v/>
      </c>
      <c r="AV38">
        <f>IFERROR(INDEX(PP_Grid[#Data],$DE38,45),0)</f>
        <v/>
      </c>
      <c r="AW38">
        <f>IFERROR(INDEX(PP_Grid[#Data],$DE38,46),0)</f>
        <v/>
      </c>
      <c r="AX38">
        <f>IFERROR(INDEX(PP_Grid[#Data],$DE38,47),0)</f>
        <v/>
      </c>
      <c r="AY38">
        <f>IFERROR(INDEX(PP_Grid[#Data],$DE38,48),0)</f>
        <v/>
      </c>
      <c r="AZ38">
        <f>IFERROR(INDEX(PP_Grid[#Data],$DE38,49),0)</f>
        <v/>
      </c>
      <c r="BA38">
        <f>IFERROR(INDEX(PP_Grid[#Data],$DE38,50),0)</f>
        <v/>
      </c>
      <c r="BB38">
        <f>IFERROR(INDEX(PP_Grid[#Data],$DE38,51),0)</f>
        <v/>
      </c>
      <c r="BC38">
        <f>IFERROR(INDEX(PP_Grid[#Data],$DE38,52),0)</f>
        <v/>
      </c>
      <c r="BD38">
        <f>IFERROR(INDEX(PP_Grid[#Data],$DE38,53),0)</f>
        <v/>
      </c>
      <c r="BE38">
        <f>IFERROR(INDEX(PP_Grid[#Data],$DE38,54),0)</f>
        <v/>
      </c>
      <c r="BF38">
        <f>IFERROR(INDEX(PP_Grid[#Data],$DE38,55),0)</f>
        <v/>
      </c>
      <c r="BG38">
        <f>IFERROR(INDEX(PP_Grid[#Data],$DE38,56),0)</f>
        <v/>
      </c>
      <c r="BH38">
        <f>IFERROR(INDEX(PP_Grid[#Data],$DE38,57),0)</f>
        <v/>
      </c>
      <c r="BI38">
        <f>IFERROR(INDEX(PP_Grid[#Data],$DE38,58),0)</f>
        <v/>
      </c>
      <c r="BJ38">
        <f>IFERROR(INDEX(PP_Grid[#Data],$DE38,59),0)</f>
        <v/>
      </c>
      <c r="BK38">
        <f>IFERROR(INDEX(PP_Grid[#Data],$DE38,60),0)</f>
        <v/>
      </c>
      <c r="BL38">
        <f>IFERROR(INDEX(PP_Grid[#Data],$DE38,61),0)</f>
        <v/>
      </c>
      <c r="BM38">
        <f>IFERROR(INDEX(PP_Grid[#Data],$DE38,62),0)</f>
        <v/>
      </c>
      <c r="BN38">
        <f>IFERROR(INDEX(PP_Grid[#Data],$DE38,63),0)</f>
        <v/>
      </c>
      <c r="BO38">
        <f>IFERROR(INDEX(PP_Grid[#Data],$DE38,64),0)</f>
        <v/>
      </c>
      <c r="BP38">
        <f>IFERROR(INDEX(PP_Grid[#Data],$DE38,65),0)</f>
        <v/>
      </c>
      <c r="BQ38">
        <f>IFERROR(INDEX(PP_Grid[#Data],$DE38,66),0)</f>
        <v/>
      </c>
      <c r="BR38">
        <f>IFERROR(INDEX(PP_Grid[#Data],$DE38,67),0)</f>
        <v/>
      </c>
      <c r="BS38">
        <f>IFERROR(INDEX(PP_Grid[#Data],$DE38,68),0)</f>
        <v/>
      </c>
      <c r="BT38">
        <f>IFERROR(INDEX(PP_Grid[#Data],$DE38,69),0)</f>
        <v/>
      </c>
      <c r="BU38">
        <f>IFERROR(INDEX(PP_Grid[#Data],$DE38,70),0)</f>
        <v/>
      </c>
      <c r="BV38">
        <f>IFERROR(INDEX(PP_Grid[#Data],$DE38,71),0)</f>
        <v/>
      </c>
      <c r="BW38">
        <f>IFERROR(INDEX(PP_Grid[#Data],$DE38,72),0)</f>
        <v/>
      </c>
      <c r="BX38">
        <f>IFERROR(INDEX(PP_Grid[#Data],$DE38,73),0)</f>
        <v/>
      </c>
      <c r="BY38">
        <f>IFERROR(INDEX(PP_Grid[#Data],$DE38,74),0)</f>
        <v/>
      </c>
      <c r="BZ38">
        <f>IFERROR(INDEX(PP_Grid[#Data],$DE38,75),0)</f>
        <v/>
      </c>
      <c r="CA38">
        <f>IFERROR(INDEX(PP_Grid[#Data],$DE38,76),0)</f>
        <v/>
      </c>
      <c r="CB38">
        <f>IFERROR(INDEX(PP_Grid[#Data],$DE38,77),0)</f>
        <v/>
      </c>
      <c r="CC38">
        <f>IFERROR(INDEX(PP_Grid[#Data],$DE38,78),0)</f>
        <v/>
      </c>
      <c r="CD38">
        <f>IFERROR(INDEX(PP_Grid[#Data],$DE38,79),0)</f>
        <v/>
      </c>
      <c r="CE38">
        <f>IFERROR(INDEX(PP_Grid[#Data],$DE38,80),0)</f>
        <v/>
      </c>
      <c r="CF38">
        <f>IFERROR(INDEX(PP_Grid[#Data],$DE38,81),0)</f>
        <v/>
      </c>
      <c r="CG38">
        <f>IFERROR(INDEX(PP_Grid[#Data],$DE38,82),0)</f>
        <v/>
      </c>
      <c r="CH38">
        <f>IFERROR(INDEX(PP_Grid[#Data],$DE38,83),0)</f>
        <v/>
      </c>
      <c r="CI38">
        <f>IFERROR(INDEX(PP_Grid[#Data],$DE38,84),0)</f>
        <v/>
      </c>
      <c r="CJ38">
        <f>IFERROR(INDEX(PP_Grid[#Data],$DE38,85),0)</f>
        <v/>
      </c>
      <c r="CK38">
        <f>IFERROR(INDEX(PP_Grid[#Data],$DE38,86),0)</f>
        <v/>
      </c>
      <c r="CL38">
        <f>IFERROR(INDEX(PP_Grid[#Data],$DE38,87),0)</f>
        <v/>
      </c>
      <c r="CM38">
        <f>IFERROR(INDEX(PP_Grid[#Data],$DE38,88),0)</f>
        <v/>
      </c>
      <c r="CN38">
        <f>IFERROR(INDEX(PP_Grid[#Data],$DE38,89),0)</f>
        <v/>
      </c>
      <c r="CO38">
        <f>IFERROR(INDEX(PP_Grid[#Data],$DE38,90),0)</f>
        <v/>
      </c>
      <c r="CP38">
        <f>IFERROR(INDEX(PP_Grid[#Data],$DE38,91),0)</f>
        <v/>
      </c>
      <c r="CQ38">
        <f>IFERROR(INDEX(PP_Grid[#Data],$DE38,92),0)</f>
        <v/>
      </c>
      <c r="CR38">
        <f>IFERROR(INDEX(PP_Grid[#Data],$DE38,93),0)</f>
        <v/>
      </c>
      <c r="CS38">
        <f>IFERROR(INDEX(PP_Grid[#Data],$DE38,94),0)</f>
        <v/>
      </c>
      <c r="CT38">
        <f>IFERROR(INDEX(PP_Grid[#Data],$DE38,95),0)</f>
        <v/>
      </c>
      <c r="CU38">
        <f>IFERROR(INDEX(PP_Grid[#Data],$DE38,96),0)</f>
        <v/>
      </c>
      <c r="CV38">
        <f>IFERROR(INDEX(PP_Grid[#Data],$DE38,97),0)</f>
        <v/>
      </c>
      <c r="CW38">
        <f>IFERROR(INDEX(PP_Grid[#Data],$DE38,98),0)</f>
        <v/>
      </c>
      <c r="CX38">
        <f>IFERROR(INDEX(PP_Grid[#Data],$DE38,99),0)</f>
        <v/>
      </c>
      <c r="CY38">
        <f>IFERROR(INDEX(PP_Grid[#Data],$DE38,100),0)</f>
        <v/>
      </c>
      <c r="CZ38">
        <f>IFERROR(INDEX(PP_Grid[#Data],$DE38,101),0)</f>
        <v/>
      </c>
      <c r="DA38">
        <f>IFERROR(INDEX(PP_Grid[#Data],$DE38,102),0)</f>
        <v/>
      </c>
      <c r="DB38">
        <f>IFERROR(INDEX(PP_Grid[#Data],$DE38,103),0)</f>
        <v/>
      </c>
      <c r="DC38">
        <f>IFERROR(INDEX(PP_Grid[#Data],$DE38,104),0)</f>
        <v/>
      </c>
      <c r="DD38">
        <f>IFERROR(INDEX(PP_Grid[#Data],$DE38,105),0)</f>
        <v/>
      </c>
      <c r="DE38" s="7">
        <f>IFERROR(MATCH($B38,PP_Grid[Intermediate],0),99999)</f>
        <v/>
      </c>
    </row>
    <row r="39">
      <c r="B39" t="inlineStr">
        <is>
          <t>使用量(kg)</t>
        </is>
      </c>
      <c r="C39">
        <f>SUMIFS(M_BOM[RM_Qty_Per_Batch],M_BOM[Intermediate],$B38,M_BOM[RM_Code],$A25)</f>
        <v/>
      </c>
      <c r="D39">
        <f>IFERROR(INDEX(E39:DD39,$F$1),"")</f>
        <v/>
      </c>
      <c r="E39">
        <f>$C39*E38</f>
        <v/>
      </c>
      <c r="F39">
        <f>$C39*F38</f>
        <v/>
      </c>
      <c r="G39">
        <f>$C39*G38</f>
        <v/>
      </c>
      <c r="H39">
        <f>$C39*H38</f>
        <v/>
      </c>
      <c r="I39">
        <f>$C39*I38</f>
        <v/>
      </c>
      <c r="J39">
        <f>$C39*J38</f>
        <v/>
      </c>
      <c r="K39">
        <f>$C39*K38</f>
        <v/>
      </c>
      <c r="L39">
        <f>$C39*L38</f>
        <v/>
      </c>
      <c r="M39">
        <f>$C39*M38</f>
        <v/>
      </c>
      <c r="N39">
        <f>$C39*N38</f>
        <v/>
      </c>
      <c r="O39">
        <f>$C39*O38</f>
        <v/>
      </c>
      <c r="P39">
        <f>$C39*P38</f>
        <v/>
      </c>
      <c r="Q39">
        <f>$C39*Q38</f>
        <v/>
      </c>
      <c r="R39">
        <f>$C39*R38</f>
        <v/>
      </c>
      <c r="S39">
        <f>$C39*S38</f>
        <v/>
      </c>
      <c r="T39">
        <f>$C39*T38</f>
        <v/>
      </c>
      <c r="U39">
        <f>$C39*U38</f>
        <v/>
      </c>
      <c r="V39">
        <f>$C39*V38</f>
        <v/>
      </c>
      <c r="W39">
        <f>$C39*W38</f>
        <v/>
      </c>
      <c r="X39">
        <f>$C39*X38</f>
        <v/>
      </c>
      <c r="Y39">
        <f>$C39*Y38</f>
        <v/>
      </c>
      <c r="Z39">
        <f>$C39*Z38</f>
        <v/>
      </c>
      <c r="AA39">
        <f>$C39*AA38</f>
        <v/>
      </c>
      <c r="AB39">
        <f>$C39*AB38</f>
        <v/>
      </c>
      <c r="AC39">
        <f>$C39*AC38</f>
        <v/>
      </c>
      <c r="AD39">
        <f>$C39*AD38</f>
        <v/>
      </c>
      <c r="AE39">
        <f>$C39*AE38</f>
        <v/>
      </c>
      <c r="AF39">
        <f>$C39*AF38</f>
        <v/>
      </c>
      <c r="AG39">
        <f>$C39*AG38</f>
        <v/>
      </c>
      <c r="AH39">
        <f>$C39*AH38</f>
        <v/>
      </c>
      <c r="AI39">
        <f>$C39*AI38</f>
        <v/>
      </c>
      <c r="AJ39">
        <f>$C39*AJ38</f>
        <v/>
      </c>
      <c r="AK39">
        <f>$C39*AK38</f>
        <v/>
      </c>
      <c r="AL39">
        <f>$C39*AL38</f>
        <v/>
      </c>
      <c r="AM39">
        <f>$C39*AM38</f>
        <v/>
      </c>
      <c r="AN39">
        <f>$C39*AN38</f>
        <v/>
      </c>
      <c r="AO39">
        <f>$C39*AO38</f>
        <v/>
      </c>
      <c r="AP39">
        <f>$C39*AP38</f>
        <v/>
      </c>
      <c r="AQ39">
        <f>$C39*AQ38</f>
        <v/>
      </c>
      <c r="AR39">
        <f>$C39*AR38</f>
        <v/>
      </c>
      <c r="AS39">
        <f>$C39*AS38</f>
        <v/>
      </c>
      <c r="AT39">
        <f>$C39*AT38</f>
        <v/>
      </c>
      <c r="AU39">
        <f>$C39*AU38</f>
        <v/>
      </c>
      <c r="AV39">
        <f>$C39*AV38</f>
        <v/>
      </c>
      <c r="AW39">
        <f>$C39*AW38</f>
        <v/>
      </c>
      <c r="AX39">
        <f>$C39*AX38</f>
        <v/>
      </c>
      <c r="AY39">
        <f>$C39*AY38</f>
        <v/>
      </c>
      <c r="AZ39">
        <f>$C39*AZ38</f>
        <v/>
      </c>
      <c r="BA39">
        <f>$C39*BA38</f>
        <v/>
      </c>
      <c r="BB39">
        <f>$C39*BB38</f>
        <v/>
      </c>
      <c r="BC39">
        <f>$C39*BC38</f>
        <v/>
      </c>
      <c r="BD39">
        <f>$C39*BD38</f>
        <v/>
      </c>
      <c r="BE39">
        <f>$C39*BE38</f>
        <v/>
      </c>
      <c r="BF39">
        <f>$C39*BF38</f>
        <v/>
      </c>
      <c r="BG39">
        <f>$C39*BG38</f>
        <v/>
      </c>
      <c r="BH39">
        <f>$C39*BH38</f>
        <v/>
      </c>
      <c r="BI39">
        <f>$C39*BI38</f>
        <v/>
      </c>
      <c r="BJ39">
        <f>$C39*BJ38</f>
        <v/>
      </c>
      <c r="BK39">
        <f>$C39*BK38</f>
        <v/>
      </c>
      <c r="BL39">
        <f>$C39*BL38</f>
        <v/>
      </c>
      <c r="BM39">
        <f>$C39*BM38</f>
        <v/>
      </c>
      <c r="BN39">
        <f>$C39*BN38</f>
        <v/>
      </c>
      <c r="BO39">
        <f>$C39*BO38</f>
        <v/>
      </c>
      <c r="BP39">
        <f>$C39*BP38</f>
        <v/>
      </c>
      <c r="BQ39">
        <f>$C39*BQ38</f>
        <v/>
      </c>
      <c r="BR39">
        <f>$C39*BR38</f>
        <v/>
      </c>
      <c r="BS39">
        <f>$C39*BS38</f>
        <v/>
      </c>
      <c r="BT39">
        <f>$C39*BT38</f>
        <v/>
      </c>
      <c r="BU39">
        <f>$C39*BU38</f>
        <v/>
      </c>
      <c r="BV39">
        <f>$C39*BV38</f>
        <v/>
      </c>
      <c r="BW39">
        <f>$C39*BW38</f>
        <v/>
      </c>
      <c r="BX39">
        <f>$C39*BX38</f>
        <v/>
      </c>
      <c r="BY39">
        <f>$C39*BY38</f>
        <v/>
      </c>
      <c r="BZ39">
        <f>$C39*BZ38</f>
        <v/>
      </c>
      <c r="CA39">
        <f>$C39*CA38</f>
        <v/>
      </c>
      <c r="CB39">
        <f>$C39*CB38</f>
        <v/>
      </c>
      <c r="CC39">
        <f>$C39*CC38</f>
        <v/>
      </c>
      <c r="CD39">
        <f>$C39*CD38</f>
        <v/>
      </c>
      <c r="CE39">
        <f>$C39*CE38</f>
        <v/>
      </c>
      <c r="CF39">
        <f>$C39*CF38</f>
        <v/>
      </c>
      <c r="CG39">
        <f>$C39*CG38</f>
        <v/>
      </c>
      <c r="CH39">
        <f>$C39*CH38</f>
        <v/>
      </c>
      <c r="CI39">
        <f>$C39*CI38</f>
        <v/>
      </c>
      <c r="CJ39">
        <f>$C39*CJ38</f>
        <v/>
      </c>
      <c r="CK39">
        <f>$C39*CK38</f>
        <v/>
      </c>
      <c r="CL39">
        <f>$C39*CL38</f>
        <v/>
      </c>
      <c r="CM39">
        <f>$C39*CM38</f>
        <v/>
      </c>
      <c r="CN39">
        <f>$C39*CN38</f>
        <v/>
      </c>
      <c r="CO39">
        <f>$C39*CO38</f>
        <v/>
      </c>
      <c r="CP39">
        <f>$C39*CP38</f>
        <v/>
      </c>
      <c r="CQ39">
        <f>$C39*CQ38</f>
        <v/>
      </c>
      <c r="CR39">
        <f>$C39*CR38</f>
        <v/>
      </c>
      <c r="CS39">
        <f>$C39*CS38</f>
        <v/>
      </c>
      <c r="CT39">
        <f>$C39*CT38</f>
        <v/>
      </c>
      <c r="CU39">
        <f>$C39*CU38</f>
        <v/>
      </c>
      <c r="CV39">
        <f>$C39*CV38</f>
        <v/>
      </c>
      <c r="CW39">
        <f>$C39*CW38</f>
        <v/>
      </c>
      <c r="CX39">
        <f>$C39*CX38</f>
        <v/>
      </c>
      <c r="CY39">
        <f>$C39*CY38</f>
        <v/>
      </c>
      <c r="CZ39">
        <f>$C39*CZ38</f>
        <v/>
      </c>
      <c r="DA39">
        <f>$C39*DA38</f>
        <v/>
      </c>
      <c r="DB39">
        <f>$C39*DB38</f>
        <v/>
      </c>
      <c r="DC39">
        <f>$C39*DC38</f>
        <v/>
      </c>
      <c r="DD39">
        <f>$C39*DD38</f>
        <v/>
      </c>
    </row>
    <row r="40">
      <c r="B40" t="inlineStr">
        <is>
          <t>TSP-088</t>
        </is>
      </c>
      <c r="C40" t="inlineStr">
        <is>
          <t>No. of batches</t>
        </is>
      </c>
      <c r="D40">
        <f>IFERROR(INDEX(E40:DD40,$F$1),"")</f>
        <v/>
      </c>
      <c r="E40">
        <f>IFERROR(INDEX(PP_Grid[#Data],$DE40,2),0)</f>
        <v/>
      </c>
      <c r="F40">
        <f>IFERROR(INDEX(PP_Grid[#Data],$DE40,3),0)</f>
        <v/>
      </c>
      <c r="G40">
        <f>IFERROR(INDEX(PP_Grid[#Data],$DE40,4),0)</f>
        <v/>
      </c>
      <c r="H40">
        <f>IFERROR(INDEX(PP_Grid[#Data],$DE40,5),0)</f>
        <v/>
      </c>
      <c r="I40">
        <f>IFERROR(INDEX(PP_Grid[#Data],$DE40,6),0)</f>
        <v/>
      </c>
      <c r="J40">
        <f>IFERROR(INDEX(PP_Grid[#Data],$DE40,7),0)</f>
        <v/>
      </c>
      <c r="K40">
        <f>IFERROR(INDEX(PP_Grid[#Data],$DE40,8),0)</f>
        <v/>
      </c>
      <c r="L40">
        <f>IFERROR(INDEX(PP_Grid[#Data],$DE40,9),0)</f>
        <v/>
      </c>
      <c r="M40">
        <f>IFERROR(INDEX(PP_Grid[#Data],$DE40,10),0)</f>
        <v/>
      </c>
      <c r="N40">
        <f>IFERROR(INDEX(PP_Grid[#Data],$DE40,11),0)</f>
        <v/>
      </c>
      <c r="O40">
        <f>IFERROR(INDEX(PP_Grid[#Data],$DE40,12),0)</f>
        <v/>
      </c>
      <c r="P40">
        <f>IFERROR(INDEX(PP_Grid[#Data],$DE40,13),0)</f>
        <v/>
      </c>
      <c r="Q40">
        <f>IFERROR(INDEX(PP_Grid[#Data],$DE40,14),0)</f>
        <v/>
      </c>
      <c r="R40">
        <f>IFERROR(INDEX(PP_Grid[#Data],$DE40,15),0)</f>
        <v/>
      </c>
      <c r="S40">
        <f>IFERROR(INDEX(PP_Grid[#Data],$DE40,16),0)</f>
        <v/>
      </c>
      <c r="T40">
        <f>IFERROR(INDEX(PP_Grid[#Data],$DE40,17),0)</f>
        <v/>
      </c>
      <c r="U40">
        <f>IFERROR(INDEX(PP_Grid[#Data],$DE40,18),0)</f>
        <v/>
      </c>
      <c r="V40">
        <f>IFERROR(INDEX(PP_Grid[#Data],$DE40,19),0)</f>
        <v/>
      </c>
      <c r="W40">
        <f>IFERROR(INDEX(PP_Grid[#Data],$DE40,20),0)</f>
        <v/>
      </c>
      <c r="X40">
        <f>IFERROR(INDEX(PP_Grid[#Data],$DE40,21),0)</f>
        <v/>
      </c>
      <c r="Y40">
        <f>IFERROR(INDEX(PP_Grid[#Data],$DE40,22),0)</f>
        <v/>
      </c>
      <c r="Z40">
        <f>IFERROR(INDEX(PP_Grid[#Data],$DE40,23),0)</f>
        <v/>
      </c>
      <c r="AA40">
        <f>IFERROR(INDEX(PP_Grid[#Data],$DE40,24),0)</f>
        <v/>
      </c>
      <c r="AB40">
        <f>IFERROR(INDEX(PP_Grid[#Data],$DE40,25),0)</f>
        <v/>
      </c>
      <c r="AC40">
        <f>IFERROR(INDEX(PP_Grid[#Data],$DE40,26),0)</f>
        <v/>
      </c>
      <c r="AD40">
        <f>IFERROR(INDEX(PP_Grid[#Data],$DE40,27),0)</f>
        <v/>
      </c>
      <c r="AE40">
        <f>IFERROR(INDEX(PP_Grid[#Data],$DE40,28),0)</f>
        <v/>
      </c>
      <c r="AF40">
        <f>IFERROR(INDEX(PP_Grid[#Data],$DE40,29),0)</f>
        <v/>
      </c>
      <c r="AG40">
        <f>IFERROR(INDEX(PP_Grid[#Data],$DE40,30),0)</f>
        <v/>
      </c>
      <c r="AH40">
        <f>IFERROR(INDEX(PP_Grid[#Data],$DE40,31),0)</f>
        <v/>
      </c>
      <c r="AI40">
        <f>IFERROR(INDEX(PP_Grid[#Data],$DE40,32),0)</f>
        <v/>
      </c>
      <c r="AJ40">
        <f>IFERROR(INDEX(PP_Grid[#Data],$DE40,33),0)</f>
        <v/>
      </c>
      <c r="AK40">
        <f>IFERROR(INDEX(PP_Grid[#Data],$DE40,34),0)</f>
        <v/>
      </c>
      <c r="AL40">
        <f>IFERROR(INDEX(PP_Grid[#Data],$DE40,35),0)</f>
        <v/>
      </c>
      <c r="AM40">
        <f>IFERROR(INDEX(PP_Grid[#Data],$DE40,36),0)</f>
        <v/>
      </c>
      <c r="AN40">
        <f>IFERROR(INDEX(PP_Grid[#Data],$DE40,37),0)</f>
        <v/>
      </c>
      <c r="AO40">
        <f>IFERROR(INDEX(PP_Grid[#Data],$DE40,38),0)</f>
        <v/>
      </c>
      <c r="AP40">
        <f>IFERROR(INDEX(PP_Grid[#Data],$DE40,39),0)</f>
        <v/>
      </c>
      <c r="AQ40">
        <f>IFERROR(INDEX(PP_Grid[#Data],$DE40,40),0)</f>
        <v/>
      </c>
      <c r="AR40">
        <f>IFERROR(INDEX(PP_Grid[#Data],$DE40,41),0)</f>
        <v/>
      </c>
      <c r="AS40">
        <f>IFERROR(INDEX(PP_Grid[#Data],$DE40,42),0)</f>
        <v/>
      </c>
      <c r="AT40">
        <f>IFERROR(INDEX(PP_Grid[#Data],$DE40,43),0)</f>
        <v/>
      </c>
      <c r="AU40">
        <f>IFERROR(INDEX(PP_Grid[#Data],$DE40,44),0)</f>
        <v/>
      </c>
      <c r="AV40">
        <f>IFERROR(INDEX(PP_Grid[#Data],$DE40,45),0)</f>
        <v/>
      </c>
      <c r="AW40">
        <f>IFERROR(INDEX(PP_Grid[#Data],$DE40,46),0)</f>
        <v/>
      </c>
      <c r="AX40">
        <f>IFERROR(INDEX(PP_Grid[#Data],$DE40,47),0)</f>
        <v/>
      </c>
      <c r="AY40">
        <f>IFERROR(INDEX(PP_Grid[#Data],$DE40,48),0)</f>
        <v/>
      </c>
      <c r="AZ40">
        <f>IFERROR(INDEX(PP_Grid[#Data],$DE40,49),0)</f>
        <v/>
      </c>
      <c r="BA40">
        <f>IFERROR(INDEX(PP_Grid[#Data],$DE40,50),0)</f>
        <v/>
      </c>
      <c r="BB40">
        <f>IFERROR(INDEX(PP_Grid[#Data],$DE40,51),0)</f>
        <v/>
      </c>
      <c r="BC40">
        <f>IFERROR(INDEX(PP_Grid[#Data],$DE40,52),0)</f>
        <v/>
      </c>
      <c r="BD40">
        <f>IFERROR(INDEX(PP_Grid[#Data],$DE40,53),0)</f>
        <v/>
      </c>
      <c r="BE40">
        <f>IFERROR(INDEX(PP_Grid[#Data],$DE40,54),0)</f>
        <v/>
      </c>
      <c r="BF40">
        <f>IFERROR(INDEX(PP_Grid[#Data],$DE40,55),0)</f>
        <v/>
      </c>
      <c r="BG40">
        <f>IFERROR(INDEX(PP_Grid[#Data],$DE40,56),0)</f>
        <v/>
      </c>
      <c r="BH40">
        <f>IFERROR(INDEX(PP_Grid[#Data],$DE40,57),0)</f>
        <v/>
      </c>
      <c r="BI40">
        <f>IFERROR(INDEX(PP_Grid[#Data],$DE40,58),0)</f>
        <v/>
      </c>
      <c r="BJ40">
        <f>IFERROR(INDEX(PP_Grid[#Data],$DE40,59),0)</f>
        <v/>
      </c>
      <c r="BK40">
        <f>IFERROR(INDEX(PP_Grid[#Data],$DE40,60),0)</f>
        <v/>
      </c>
      <c r="BL40">
        <f>IFERROR(INDEX(PP_Grid[#Data],$DE40,61),0)</f>
        <v/>
      </c>
      <c r="BM40">
        <f>IFERROR(INDEX(PP_Grid[#Data],$DE40,62),0)</f>
        <v/>
      </c>
      <c r="BN40">
        <f>IFERROR(INDEX(PP_Grid[#Data],$DE40,63),0)</f>
        <v/>
      </c>
      <c r="BO40">
        <f>IFERROR(INDEX(PP_Grid[#Data],$DE40,64),0)</f>
        <v/>
      </c>
      <c r="BP40">
        <f>IFERROR(INDEX(PP_Grid[#Data],$DE40,65),0)</f>
        <v/>
      </c>
      <c r="BQ40">
        <f>IFERROR(INDEX(PP_Grid[#Data],$DE40,66),0)</f>
        <v/>
      </c>
      <c r="BR40">
        <f>IFERROR(INDEX(PP_Grid[#Data],$DE40,67),0)</f>
        <v/>
      </c>
      <c r="BS40">
        <f>IFERROR(INDEX(PP_Grid[#Data],$DE40,68),0)</f>
        <v/>
      </c>
      <c r="BT40">
        <f>IFERROR(INDEX(PP_Grid[#Data],$DE40,69),0)</f>
        <v/>
      </c>
      <c r="BU40">
        <f>IFERROR(INDEX(PP_Grid[#Data],$DE40,70),0)</f>
        <v/>
      </c>
      <c r="BV40">
        <f>IFERROR(INDEX(PP_Grid[#Data],$DE40,71),0)</f>
        <v/>
      </c>
      <c r="BW40">
        <f>IFERROR(INDEX(PP_Grid[#Data],$DE40,72),0)</f>
        <v/>
      </c>
      <c r="BX40">
        <f>IFERROR(INDEX(PP_Grid[#Data],$DE40,73),0)</f>
        <v/>
      </c>
      <c r="BY40">
        <f>IFERROR(INDEX(PP_Grid[#Data],$DE40,74),0)</f>
        <v/>
      </c>
      <c r="BZ40">
        <f>IFERROR(INDEX(PP_Grid[#Data],$DE40,75),0)</f>
        <v/>
      </c>
      <c r="CA40">
        <f>IFERROR(INDEX(PP_Grid[#Data],$DE40,76),0)</f>
        <v/>
      </c>
      <c r="CB40">
        <f>IFERROR(INDEX(PP_Grid[#Data],$DE40,77),0)</f>
        <v/>
      </c>
      <c r="CC40">
        <f>IFERROR(INDEX(PP_Grid[#Data],$DE40,78),0)</f>
        <v/>
      </c>
      <c r="CD40">
        <f>IFERROR(INDEX(PP_Grid[#Data],$DE40,79),0)</f>
        <v/>
      </c>
      <c r="CE40">
        <f>IFERROR(INDEX(PP_Grid[#Data],$DE40,80),0)</f>
        <v/>
      </c>
      <c r="CF40">
        <f>IFERROR(INDEX(PP_Grid[#Data],$DE40,81),0)</f>
        <v/>
      </c>
      <c r="CG40">
        <f>IFERROR(INDEX(PP_Grid[#Data],$DE40,82),0)</f>
        <v/>
      </c>
      <c r="CH40">
        <f>IFERROR(INDEX(PP_Grid[#Data],$DE40,83),0)</f>
        <v/>
      </c>
      <c r="CI40">
        <f>IFERROR(INDEX(PP_Grid[#Data],$DE40,84),0)</f>
        <v/>
      </c>
      <c r="CJ40">
        <f>IFERROR(INDEX(PP_Grid[#Data],$DE40,85),0)</f>
        <v/>
      </c>
      <c r="CK40">
        <f>IFERROR(INDEX(PP_Grid[#Data],$DE40,86),0)</f>
        <v/>
      </c>
      <c r="CL40">
        <f>IFERROR(INDEX(PP_Grid[#Data],$DE40,87),0)</f>
        <v/>
      </c>
      <c r="CM40">
        <f>IFERROR(INDEX(PP_Grid[#Data],$DE40,88),0)</f>
        <v/>
      </c>
      <c r="CN40">
        <f>IFERROR(INDEX(PP_Grid[#Data],$DE40,89),0)</f>
        <v/>
      </c>
      <c r="CO40">
        <f>IFERROR(INDEX(PP_Grid[#Data],$DE40,90),0)</f>
        <v/>
      </c>
      <c r="CP40">
        <f>IFERROR(INDEX(PP_Grid[#Data],$DE40,91),0)</f>
        <v/>
      </c>
      <c r="CQ40">
        <f>IFERROR(INDEX(PP_Grid[#Data],$DE40,92),0)</f>
        <v/>
      </c>
      <c r="CR40">
        <f>IFERROR(INDEX(PP_Grid[#Data],$DE40,93),0)</f>
        <v/>
      </c>
      <c r="CS40">
        <f>IFERROR(INDEX(PP_Grid[#Data],$DE40,94),0)</f>
        <v/>
      </c>
      <c r="CT40">
        <f>IFERROR(INDEX(PP_Grid[#Data],$DE40,95),0)</f>
        <v/>
      </c>
      <c r="CU40">
        <f>IFERROR(INDEX(PP_Grid[#Data],$DE40,96),0)</f>
        <v/>
      </c>
      <c r="CV40">
        <f>IFERROR(INDEX(PP_Grid[#Data],$DE40,97),0)</f>
        <v/>
      </c>
      <c r="CW40">
        <f>IFERROR(INDEX(PP_Grid[#Data],$DE40,98),0)</f>
        <v/>
      </c>
      <c r="CX40">
        <f>IFERROR(INDEX(PP_Grid[#Data],$DE40,99),0)</f>
        <v/>
      </c>
      <c r="CY40">
        <f>IFERROR(INDEX(PP_Grid[#Data],$DE40,100),0)</f>
        <v/>
      </c>
      <c r="CZ40">
        <f>IFERROR(INDEX(PP_Grid[#Data],$DE40,101),0)</f>
        <v/>
      </c>
      <c r="DA40">
        <f>IFERROR(INDEX(PP_Grid[#Data],$DE40,102),0)</f>
        <v/>
      </c>
      <c r="DB40">
        <f>IFERROR(INDEX(PP_Grid[#Data],$DE40,103),0)</f>
        <v/>
      </c>
      <c r="DC40">
        <f>IFERROR(INDEX(PP_Grid[#Data],$DE40,104),0)</f>
        <v/>
      </c>
      <c r="DD40">
        <f>IFERROR(INDEX(PP_Grid[#Data],$DE40,105),0)</f>
        <v/>
      </c>
      <c r="DE40" s="7">
        <f>IFERROR(MATCH($B40,PP_Grid[Intermediate],0),99999)</f>
        <v/>
      </c>
    </row>
    <row r="41">
      <c r="B41" t="inlineStr">
        <is>
          <t>使用量(kg)</t>
        </is>
      </c>
      <c r="C41">
        <f>SUMIFS(M_BOM[RM_Qty_Per_Batch],M_BOM[Intermediate],$B40,M_BOM[RM_Code],$A25)</f>
        <v/>
      </c>
      <c r="D41">
        <f>IFERROR(INDEX(E41:DD41,$F$1),"")</f>
        <v/>
      </c>
      <c r="E41">
        <f>$C41*E40</f>
        <v/>
      </c>
      <c r="F41">
        <f>$C41*F40</f>
        <v/>
      </c>
      <c r="G41">
        <f>$C41*G40</f>
        <v/>
      </c>
      <c r="H41">
        <f>$C41*H40</f>
        <v/>
      </c>
      <c r="I41">
        <f>$C41*I40</f>
        <v/>
      </c>
      <c r="J41">
        <f>$C41*J40</f>
        <v/>
      </c>
      <c r="K41">
        <f>$C41*K40</f>
        <v/>
      </c>
      <c r="L41">
        <f>$C41*L40</f>
        <v/>
      </c>
      <c r="M41">
        <f>$C41*M40</f>
        <v/>
      </c>
      <c r="N41">
        <f>$C41*N40</f>
        <v/>
      </c>
      <c r="O41">
        <f>$C41*O40</f>
        <v/>
      </c>
      <c r="P41">
        <f>$C41*P40</f>
        <v/>
      </c>
      <c r="Q41">
        <f>$C41*Q40</f>
        <v/>
      </c>
      <c r="R41">
        <f>$C41*R40</f>
        <v/>
      </c>
      <c r="S41">
        <f>$C41*S40</f>
        <v/>
      </c>
      <c r="T41">
        <f>$C41*T40</f>
        <v/>
      </c>
      <c r="U41">
        <f>$C41*U40</f>
        <v/>
      </c>
      <c r="V41">
        <f>$C41*V40</f>
        <v/>
      </c>
      <c r="W41">
        <f>$C41*W40</f>
        <v/>
      </c>
      <c r="X41">
        <f>$C41*X40</f>
        <v/>
      </c>
      <c r="Y41">
        <f>$C41*Y40</f>
        <v/>
      </c>
      <c r="Z41">
        <f>$C41*Z40</f>
        <v/>
      </c>
      <c r="AA41">
        <f>$C41*AA40</f>
        <v/>
      </c>
      <c r="AB41">
        <f>$C41*AB40</f>
        <v/>
      </c>
      <c r="AC41">
        <f>$C41*AC40</f>
        <v/>
      </c>
      <c r="AD41">
        <f>$C41*AD40</f>
        <v/>
      </c>
      <c r="AE41">
        <f>$C41*AE40</f>
        <v/>
      </c>
      <c r="AF41">
        <f>$C41*AF40</f>
        <v/>
      </c>
      <c r="AG41">
        <f>$C41*AG40</f>
        <v/>
      </c>
      <c r="AH41">
        <f>$C41*AH40</f>
        <v/>
      </c>
      <c r="AI41">
        <f>$C41*AI40</f>
        <v/>
      </c>
      <c r="AJ41">
        <f>$C41*AJ40</f>
        <v/>
      </c>
      <c r="AK41">
        <f>$C41*AK40</f>
        <v/>
      </c>
      <c r="AL41">
        <f>$C41*AL40</f>
        <v/>
      </c>
      <c r="AM41">
        <f>$C41*AM40</f>
        <v/>
      </c>
      <c r="AN41">
        <f>$C41*AN40</f>
        <v/>
      </c>
      <c r="AO41">
        <f>$C41*AO40</f>
        <v/>
      </c>
      <c r="AP41">
        <f>$C41*AP40</f>
        <v/>
      </c>
      <c r="AQ41">
        <f>$C41*AQ40</f>
        <v/>
      </c>
      <c r="AR41">
        <f>$C41*AR40</f>
        <v/>
      </c>
      <c r="AS41">
        <f>$C41*AS40</f>
        <v/>
      </c>
      <c r="AT41">
        <f>$C41*AT40</f>
        <v/>
      </c>
      <c r="AU41">
        <f>$C41*AU40</f>
        <v/>
      </c>
      <c r="AV41">
        <f>$C41*AV40</f>
        <v/>
      </c>
      <c r="AW41">
        <f>$C41*AW40</f>
        <v/>
      </c>
      <c r="AX41">
        <f>$C41*AX40</f>
        <v/>
      </c>
      <c r="AY41">
        <f>$C41*AY40</f>
        <v/>
      </c>
      <c r="AZ41">
        <f>$C41*AZ40</f>
        <v/>
      </c>
      <c r="BA41">
        <f>$C41*BA40</f>
        <v/>
      </c>
      <c r="BB41">
        <f>$C41*BB40</f>
        <v/>
      </c>
      <c r="BC41">
        <f>$C41*BC40</f>
        <v/>
      </c>
      <c r="BD41">
        <f>$C41*BD40</f>
        <v/>
      </c>
      <c r="BE41">
        <f>$C41*BE40</f>
        <v/>
      </c>
      <c r="BF41">
        <f>$C41*BF40</f>
        <v/>
      </c>
      <c r="BG41">
        <f>$C41*BG40</f>
        <v/>
      </c>
      <c r="BH41">
        <f>$C41*BH40</f>
        <v/>
      </c>
      <c r="BI41">
        <f>$C41*BI40</f>
        <v/>
      </c>
      <c r="BJ41">
        <f>$C41*BJ40</f>
        <v/>
      </c>
      <c r="BK41">
        <f>$C41*BK40</f>
        <v/>
      </c>
      <c r="BL41">
        <f>$C41*BL40</f>
        <v/>
      </c>
      <c r="BM41">
        <f>$C41*BM40</f>
        <v/>
      </c>
      <c r="BN41">
        <f>$C41*BN40</f>
        <v/>
      </c>
      <c r="BO41">
        <f>$C41*BO40</f>
        <v/>
      </c>
      <c r="BP41">
        <f>$C41*BP40</f>
        <v/>
      </c>
      <c r="BQ41">
        <f>$C41*BQ40</f>
        <v/>
      </c>
      <c r="BR41">
        <f>$C41*BR40</f>
        <v/>
      </c>
      <c r="BS41">
        <f>$C41*BS40</f>
        <v/>
      </c>
      <c r="BT41">
        <f>$C41*BT40</f>
        <v/>
      </c>
      <c r="BU41">
        <f>$C41*BU40</f>
        <v/>
      </c>
      <c r="BV41">
        <f>$C41*BV40</f>
        <v/>
      </c>
      <c r="BW41">
        <f>$C41*BW40</f>
        <v/>
      </c>
      <c r="BX41">
        <f>$C41*BX40</f>
        <v/>
      </c>
      <c r="BY41">
        <f>$C41*BY40</f>
        <v/>
      </c>
      <c r="BZ41">
        <f>$C41*BZ40</f>
        <v/>
      </c>
      <c r="CA41">
        <f>$C41*CA40</f>
        <v/>
      </c>
      <c r="CB41">
        <f>$C41*CB40</f>
        <v/>
      </c>
      <c r="CC41">
        <f>$C41*CC40</f>
        <v/>
      </c>
      <c r="CD41">
        <f>$C41*CD40</f>
        <v/>
      </c>
      <c r="CE41">
        <f>$C41*CE40</f>
        <v/>
      </c>
      <c r="CF41">
        <f>$C41*CF40</f>
        <v/>
      </c>
      <c r="CG41">
        <f>$C41*CG40</f>
        <v/>
      </c>
      <c r="CH41">
        <f>$C41*CH40</f>
        <v/>
      </c>
      <c r="CI41">
        <f>$C41*CI40</f>
        <v/>
      </c>
      <c r="CJ41">
        <f>$C41*CJ40</f>
        <v/>
      </c>
      <c r="CK41">
        <f>$C41*CK40</f>
        <v/>
      </c>
      <c r="CL41">
        <f>$C41*CL40</f>
        <v/>
      </c>
      <c r="CM41">
        <f>$C41*CM40</f>
        <v/>
      </c>
      <c r="CN41">
        <f>$C41*CN40</f>
        <v/>
      </c>
      <c r="CO41">
        <f>$C41*CO40</f>
        <v/>
      </c>
      <c r="CP41">
        <f>$C41*CP40</f>
        <v/>
      </c>
      <c r="CQ41">
        <f>$C41*CQ40</f>
        <v/>
      </c>
      <c r="CR41">
        <f>$C41*CR40</f>
        <v/>
      </c>
      <c r="CS41">
        <f>$C41*CS40</f>
        <v/>
      </c>
      <c r="CT41">
        <f>$C41*CT40</f>
        <v/>
      </c>
      <c r="CU41">
        <f>$C41*CU40</f>
        <v/>
      </c>
      <c r="CV41">
        <f>$C41*CV40</f>
        <v/>
      </c>
      <c r="CW41">
        <f>$C41*CW40</f>
        <v/>
      </c>
      <c r="CX41">
        <f>$C41*CX40</f>
        <v/>
      </c>
      <c r="CY41">
        <f>$C41*CY40</f>
        <v/>
      </c>
      <c r="CZ41">
        <f>$C41*CZ40</f>
        <v/>
      </c>
      <c r="DA41">
        <f>$C41*DA40</f>
        <v/>
      </c>
      <c r="DB41">
        <f>$C41*DB40</f>
        <v/>
      </c>
      <c r="DC41">
        <f>$C41*DC40</f>
        <v/>
      </c>
      <c r="DD41">
        <f>$C41*DD40</f>
        <v/>
      </c>
    </row>
    <row r="42">
      <c r="B42" t="inlineStr">
        <is>
          <t>TSP-089</t>
        </is>
      </c>
      <c r="C42" t="inlineStr">
        <is>
          <t>No. of batches</t>
        </is>
      </c>
      <c r="D42">
        <f>IFERROR(INDEX(E42:DD42,$F$1),"")</f>
        <v/>
      </c>
      <c r="E42">
        <f>IFERROR(INDEX(PP_Grid[#Data],$DE42,2),0)</f>
        <v/>
      </c>
      <c r="F42">
        <f>IFERROR(INDEX(PP_Grid[#Data],$DE42,3),0)</f>
        <v/>
      </c>
      <c r="G42">
        <f>IFERROR(INDEX(PP_Grid[#Data],$DE42,4),0)</f>
        <v/>
      </c>
      <c r="H42">
        <f>IFERROR(INDEX(PP_Grid[#Data],$DE42,5),0)</f>
        <v/>
      </c>
      <c r="I42">
        <f>IFERROR(INDEX(PP_Grid[#Data],$DE42,6),0)</f>
        <v/>
      </c>
      <c r="J42">
        <f>IFERROR(INDEX(PP_Grid[#Data],$DE42,7),0)</f>
        <v/>
      </c>
      <c r="K42">
        <f>IFERROR(INDEX(PP_Grid[#Data],$DE42,8),0)</f>
        <v/>
      </c>
      <c r="L42">
        <f>IFERROR(INDEX(PP_Grid[#Data],$DE42,9),0)</f>
        <v/>
      </c>
      <c r="M42">
        <f>IFERROR(INDEX(PP_Grid[#Data],$DE42,10),0)</f>
        <v/>
      </c>
      <c r="N42">
        <f>IFERROR(INDEX(PP_Grid[#Data],$DE42,11),0)</f>
        <v/>
      </c>
      <c r="O42">
        <f>IFERROR(INDEX(PP_Grid[#Data],$DE42,12),0)</f>
        <v/>
      </c>
      <c r="P42">
        <f>IFERROR(INDEX(PP_Grid[#Data],$DE42,13),0)</f>
        <v/>
      </c>
      <c r="Q42">
        <f>IFERROR(INDEX(PP_Grid[#Data],$DE42,14),0)</f>
        <v/>
      </c>
      <c r="R42">
        <f>IFERROR(INDEX(PP_Grid[#Data],$DE42,15),0)</f>
        <v/>
      </c>
      <c r="S42">
        <f>IFERROR(INDEX(PP_Grid[#Data],$DE42,16),0)</f>
        <v/>
      </c>
      <c r="T42">
        <f>IFERROR(INDEX(PP_Grid[#Data],$DE42,17),0)</f>
        <v/>
      </c>
      <c r="U42">
        <f>IFERROR(INDEX(PP_Grid[#Data],$DE42,18),0)</f>
        <v/>
      </c>
      <c r="V42">
        <f>IFERROR(INDEX(PP_Grid[#Data],$DE42,19),0)</f>
        <v/>
      </c>
      <c r="W42">
        <f>IFERROR(INDEX(PP_Grid[#Data],$DE42,20),0)</f>
        <v/>
      </c>
      <c r="X42">
        <f>IFERROR(INDEX(PP_Grid[#Data],$DE42,21),0)</f>
        <v/>
      </c>
      <c r="Y42">
        <f>IFERROR(INDEX(PP_Grid[#Data],$DE42,22),0)</f>
        <v/>
      </c>
      <c r="Z42">
        <f>IFERROR(INDEX(PP_Grid[#Data],$DE42,23),0)</f>
        <v/>
      </c>
      <c r="AA42">
        <f>IFERROR(INDEX(PP_Grid[#Data],$DE42,24),0)</f>
        <v/>
      </c>
      <c r="AB42">
        <f>IFERROR(INDEX(PP_Grid[#Data],$DE42,25),0)</f>
        <v/>
      </c>
      <c r="AC42">
        <f>IFERROR(INDEX(PP_Grid[#Data],$DE42,26),0)</f>
        <v/>
      </c>
      <c r="AD42">
        <f>IFERROR(INDEX(PP_Grid[#Data],$DE42,27),0)</f>
        <v/>
      </c>
      <c r="AE42">
        <f>IFERROR(INDEX(PP_Grid[#Data],$DE42,28),0)</f>
        <v/>
      </c>
      <c r="AF42">
        <f>IFERROR(INDEX(PP_Grid[#Data],$DE42,29),0)</f>
        <v/>
      </c>
      <c r="AG42">
        <f>IFERROR(INDEX(PP_Grid[#Data],$DE42,30),0)</f>
        <v/>
      </c>
      <c r="AH42">
        <f>IFERROR(INDEX(PP_Grid[#Data],$DE42,31),0)</f>
        <v/>
      </c>
      <c r="AI42">
        <f>IFERROR(INDEX(PP_Grid[#Data],$DE42,32),0)</f>
        <v/>
      </c>
      <c r="AJ42">
        <f>IFERROR(INDEX(PP_Grid[#Data],$DE42,33),0)</f>
        <v/>
      </c>
      <c r="AK42">
        <f>IFERROR(INDEX(PP_Grid[#Data],$DE42,34),0)</f>
        <v/>
      </c>
      <c r="AL42">
        <f>IFERROR(INDEX(PP_Grid[#Data],$DE42,35),0)</f>
        <v/>
      </c>
      <c r="AM42">
        <f>IFERROR(INDEX(PP_Grid[#Data],$DE42,36),0)</f>
        <v/>
      </c>
      <c r="AN42">
        <f>IFERROR(INDEX(PP_Grid[#Data],$DE42,37),0)</f>
        <v/>
      </c>
      <c r="AO42">
        <f>IFERROR(INDEX(PP_Grid[#Data],$DE42,38),0)</f>
        <v/>
      </c>
      <c r="AP42">
        <f>IFERROR(INDEX(PP_Grid[#Data],$DE42,39),0)</f>
        <v/>
      </c>
      <c r="AQ42">
        <f>IFERROR(INDEX(PP_Grid[#Data],$DE42,40),0)</f>
        <v/>
      </c>
      <c r="AR42">
        <f>IFERROR(INDEX(PP_Grid[#Data],$DE42,41),0)</f>
        <v/>
      </c>
      <c r="AS42">
        <f>IFERROR(INDEX(PP_Grid[#Data],$DE42,42),0)</f>
        <v/>
      </c>
      <c r="AT42">
        <f>IFERROR(INDEX(PP_Grid[#Data],$DE42,43),0)</f>
        <v/>
      </c>
      <c r="AU42">
        <f>IFERROR(INDEX(PP_Grid[#Data],$DE42,44),0)</f>
        <v/>
      </c>
      <c r="AV42">
        <f>IFERROR(INDEX(PP_Grid[#Data],$DE42,45),0)</f>
        <v/>
      </c>
      <c r="AW42">
        <f>IFERROR(INDEX(PP_Grid[#Data],$DE42,46),0)</f>
        <v/>
      </c>
      <c r="AX42">
        <f>IFERROR(INDEX(PP_Grid[#Data],$DE42,47),0)</f>
        <v/>
      </c>
      <c r="AY42">
        <f>IFERROR(INDEX(PP_Grid[#Data],$DE42,48),0)</f>
        <v/>
      </c>
      <c r="AZ42">
        <f>IFERROR(INDEX(PP_Grid[#Data],$DE42,49),0)</f>
        <v/>
      </c>
      <c r="BA42">
        <f>IFERROR(INDEX(PP_Grid[#Data],$DE42,50),0)</f>
        <v/>
      </c>
      <c r="BB42">
        <f>IFERROR(INDEX(PP_Grid[#Data],$DE42,51),0)</f>
        <v/>
      </c>
      <c r="BC42">
        <f>IFERROR(INDEX(PP_Grid[#Data],$DE42,52),0)</f>
        <v/>
      </c>
      <c r="BD42">
        <f>IFERROR(INDEX(PP_Grid[#Data],$DE42,53),0)</f>
        <v/>
      </c>
      <c r="BE42">
        <f>IFERROR(INDEX(PP_Grid[#Data],$DE42,54),0)</f>
        <v/>
      </c>
      <c r="BF42">
        <f>IFERROR(INDEX(PP_Grid[#Data],$DE42,55),0)</f>
        <v/>
      </c>
      <c r="BG42">
        <f>IFERROR(INDEX(PP_Grid[#Data],$DE42,56),0)</f>
        <v/>
      </c>
      <c r="BH42">
        <f>IFERROR(INDEX(PP_Grid[#Data],$DE42,57),0)</f>
        <v/>
      </c>
      <c r="BI42">
        <f>IFERROR(INDEX(PP_Grid[#Data],$DE42,58),0)</f>
        <v/>
      </c>
      <c r="BJ42">
        <f>IFERROR(INDEX(PP_Grid[#Data],$DE42,59),0)</f>
        <v/>
      </c>
      <c r="BK42">
        <f>IFERROR(INDEX(PP_Grid[#Data],$DE42,60),0)</f>
        <v/>
      </c>
      <c r="BL42">
        <f>IFERROR(INDEX(PP_Grid[#Data],$DE42,61),0)</f>
        <v/>
      </c>
      <c r="BM42">
        <f>IFERROR(INDEX(PP_Grid[#Data],$DE42,62),0)</f>
        <v/>
      </c>
      <c r="BN42">
        <f>IFERROR(INDEX(PP_Grid[#Data],$DE42,63),0)</f>
        <v/>
      </c>
      <c r="BO42">
        <f>IFERROR(INDEX(PP_Grid[#Data],$DE42,64),0)</f>
        <v/>
      </c>
      <c r="BP42">
        <f>IFERROR(INDEX(PP_Grid[#Data],$DE42,65),0)</f>
        <v/>
      </c>
      <c r="BQ42">
        <f>IFERROR(INDEX(PP_Grid[#Data],$DE42,66),0)</f>
        <v/>
      </c>
      <c r="BR42">
        <f>IFERROR(INDEX(PP_Grid[#Data],$DE42,67),0)</f>
        <v/>
      </c>
      <c r="BS42">
        <f>IFERROR(INDEX(PP_Grid[#Data],$DE42,68),0)</f>
        <v/>
      </c>
      <c r="BT42">
        <f>IFERROR(INDEX(PP_Grid[#Data],$DE42,69),0)</f>
        <v/>
      </c>
      <c r="BU42">
        <f>IFERROR(INDEX(PP_Grid[#Data],$DE42,70),0)</f>
        <v/>
      </c>
      <c r="BV42">
        <f>IFERROR(INDEX(PP_Grid[#Data],$DE42,71),0)</f>
        <v/>
      </c>
      <c r="BW42">
        <f>IFERROR(INDEX(PP_Grid[#Data],$DE42,72),0)</f>
        <v/>
      </c>
      <c r="BX42">
        <f>IFERROR(INDEX(PP_Grid[#Data],$DE42,73),0)</f>
        <v/>
      </c>
      <c r="BY42">
        <f>IFERROR(INDEX(PP_Grid[#Data],$DE42,74),0)</f>
        <v/>
      </c>
      <c r="BZ42">
        <f>IFERROR(INDEX(PP_Grid[#Data],$DE42,75),0)</f>
        <v/>
      </c>
      <c r="CA42">
        <f>IFERROR(INDEX(PP_Grid[#Data],$DE42,76),0)</f>
        <v/>
      </c>
      <c r="CB42">
        <f>IFERROR(INDEX(PP_Grid[#Data],$DE42,77),0)</f>
        <v/>
      </c>
      <c r="CC42">
        <f>IFERROR(INDEX(PP_Grid[#Data],$DE42,78),0)</f>
        <v/>
      </c>
      <c r="CD42">
        <f>IFERROR(INDEX(PP_Grid[#Data],$DE42,79),0)</f>
        <v/>
      </c>
      <c r="CE42">
        <f>IFERROR(INDEX(PP_Grid[#Data],$DE42,80),0)</f>
        <v/>
      </c>
      <c r="CF42">
        <f>IFERROR(INDEX(PP_Grid[#Data],$DE42,81),0)</f>
        <v/>
      </c>
      <c r="CG42">
        <f>IFERROR(INDEX(PP_Grid[#Data],$DE42,82),0)</f>
        <v/>
      </c>
      <c r="CH42">
        <f>IFERROR(INDEX(PP_Grid[#Data],$DE42,83),0)</f>
        <v/>
      </c>
      <c r="CI42">
        <f>IFERROR(INDEX(PP_Grid[#Data],$DE42,84),0)</f>
        <v/>
      </c>
      <c r="CJ42">
        <f>IFERROR(INDEX(PP_Grid[#Data],$DE42,85),0)</f>
        <v/>
      </c>
      <c r="CK42">
        <f>IFERROR(INDEX(PP_Grid[#Data],$DE42,86),0)</f>
        <v/>
      </c>
      <c r="CL42">
        <f>IFERROR(INDEX(PP_Grid[#Data],$DE42,87),0)</f>
        <v/>
      </c>
      <c r="CM42">
        <f>IFERROR(INDEX(PP_Grid[#Data],$DE42,88),0)</f>
        <v/>
      </c>
      <c r="CN42">
        <f>IFERROR(INDEX(PP_Grid[#Data],$DE42,89),0)</f>
        <v/>
      </c>
      <c r="CO42">
        <f>IFERROR(INDEX(PP_Grid[#Data],$DE42,90),0)</f>
        <v/>
      </c>
      <c r="CP42">
        <f>IFERROR(INDEX(PP_Grid[#Data],$DE42,91),0)</f>
        <v/>
      </c>
      <c r="CQ42">
        <f>IFERROR(INDEX(PP_Grid[#Data],$DE42,92),0)</f>
        <v/>
      </c>
      <c r="CR42">
        <f>IFERROR(INDEX(PP_Grid[#Data],$DE42,93),0)</f>
        <v/>
      </c>
      <c r="CS42">
        <f>IFERROR(INDEX(PP_Grid[#Data],$DE42,94),0)</f>
        <v/>
      </c>
      <c r="CT42">
        <f>IFERROR(INDEX(PP_Grid[#Data],$DE42,95),0)</f>
        <v/>
      </c>
      <c r="CU42">
        <f>IFERROR(INDEX(PP_Grid[#Data],$DE42,96),0)</f>
        <v/>
      </c>
      <c r="CV42">
        <f>IFERROR(INDEX(PP_Grid[#Data],$DE42,97),0)</f>
        <v/>
      </c>
      <c r="CW42">
        <f>IFERROR(INDEX(PP_Grid[#Data],$DE42,98),0)</f>
        <v/>
      </c>
      <c r="CX42">
        <f>IFERROR(INDEX(PP_Grid[#Data],$DE42,99),0)</f>
        <v/>
      </c>
      <c r="CY42">
        <f>IFERROR(INDEX(PP_Grid[#Data],$DE42,100),0)</f>
        <v/>
      </c>
      <c r="CZ42">
        <f>IFERROR(INDEX(PP_Grid[#Data],$DE42,101),0)</f>
        <v/>
      </c>
      <c r="DA42">
        <f>IFERROR(INDEX(PP_Grid[#Data],$DE42,102),0)</f>
        <v/>
      </c>
      <c r="DB42">
        <f>IFERROR(INDEX(PP_Grid[#Data],$DE42,103),0)</f>
        <v/>
      </c>
      <c r="DC42">
        <f>IFERROR(INDEX(PP_Grid[#Data],$DE42,104),0)</f>
        <v/>
      </c>
      <c r="DD42">
        <f>IFERROR(INDEX(PP_Grid[#Data],$DE42,105),0)</f>
        <v/>
      </c>
      <c r="DE42" s="7">
        <f>IFERROR(MATCH($B42,PP_Grid[Intermediate],0),99999)</f>
        <v/>
      </c>
    </row>
    <row r="43">
      <c r="B43" t="inlineStr">
        <is>
          <t>使用量(kg)</t>
        </is>
      </c>
      <c r="C43">
        <f>SUMIFS(M_BOM[RM_Qty_Per_Batch],M_BOM[Intermediate],$B42,M_BOM[RM_Code],$A25)</f>
        <v/>
      </c>
      <c r="D43">
        <f>IFERROR(INDEX(E43:DD43,$F$1),"")</f>
        <v/>
      </c>
      <c r="E43">
        <f>$C43*E42</f>
        <v/>
      </c>
      <c r="F43">
        <f>$C43*F42</f>
        <v/>
      </c>
      <c r="G43">
        <f>$C43*G42</f>
        <v/>
      </c>
      <c r="H43">
        <f>$C43*H42</f>
        <v/>
      </c>
      <c r="I43">
        <f>$C43*I42</f>
        <v/>
      </c>
      <c r="J43">
        <f>$C43*J42</f>
        <v/>
      </c>
      <c r="K43">
        <f>$C43*K42</f>
        <v/>
      </c>
      <c r="L43">
        <f>$C43*L42</f>
        <v/>
      </c>
      <c r="M43">
        <f>$C43*M42</f>
        <v/>
      </c>
      <c r="N43">
        <f>$C43*N42</f>
        <v/>
      </c>
      <c r="O43">
        <f>$C43*O42</f>
        <v/>
      </c>
      <c r="P43">
        <f>$C43*P42</f>
        <v/>
      </c>
      <c r="Q43">
        <f>$C43*Q42</f>
        <v/>
      </c>
      <c r="R43">
        <f>$C43*R42</f>
        <v/>
      </c>
      <c r="S43">
        <f>$C43*S42</f>
        <v/>
      </c>
      <c r="T43">
        <f>$C43*T42</f>
        <v/>
      </c>
      <c r="U43">
        <f>$C43*U42</f>
        <v/>
      </c>
      <c r="V43">
        <f>$C43*V42</f>
        <v/>
      </c>
      <c r="W43">
        <f>$C43*W42</f>
        <v/>
      </c>
      <c r="X43">
        <f>$C43*X42</f>
        <v/>
      </c>
      <c r="Y43">
        <f>$C43*Y42</f>
        <v/>
      </c>
      <c r="Z43">
        <f>$C43*Z42</f>
        <v/>
      </c>
      <c r="AA43">
        <f>$C43*AA42</f>
        <v/>
      </c>
      <c r="AB43">
        <f>$C43*AB42</f>
        <v/>
      </c>
      <c r="AC43">
        <f>$C43*AC42</f>
        <v/>
      </c>
      <c r="AD43">
        <f>$C43*AD42</f>
        <v/>
      </c>
      <c r="AE43">
        <f>$C43*AE42</f>
        <v/>
      </c>
      <c r="AF43">
        <f>$C43*AF42</f>
        <v/>
      </c>
      <c r="AG43">
        <f>$C43*AG42</f>
        <v/>
      </c>
      <c r="AH43">
        <f>$C43*AH42</f>
        <v/>
      </c>
      <c r="AI43">
        <f>$C43*AI42</f>
        <v/>
      </c>
      <c r="AJ43">
        <f>$C43*AJ42</f>
        <v/>
      </c>
      <c r="AK43">
        <f>$C43*AK42</f>
        <v/>
      </c>
      <c r="AL43">
        <f>$C43*AL42</f>
        <v/>
      </c>
      <c r="AM43">
        <f>$C43*AM42</f>
        <v/>
      </c>
      <c r="AN43">
        <f>$C43*AN42</f>
        <v/>
      </c>
      <c r="AO43">
        <f>$C43*AO42</f>
        <v/>
      </c>
      <c r="AP43">
        <f>$C43*AP42</f>
        <v/>
      </c>
      <c r="AQ43">
        <f>$C43*AQ42</f>
        <v/>
      </c>
      <c r="AR43">
        <f>$C43*AR42</f>
        <v/>
      </c>
      <c r="AS43">
        <f>$C43*AS42</f>
        <v/>
      </c>
      <c r="AT43">
        <f>$C43*AT42</f>
        <v/>
      </c>
      <c r="AU43">
        <f>$C43*AU42</f>
        <v/>
      </c>
      <c r="AV43">
        <f>$C43*AV42</f>
        <v/>
      </c>
      <c r="AW43">
        <f>$C43*AW42</f>
        <v/>
      </c>
      <c r="AX43">
        <f>$C43*AX42</f>
        <v/>
      </c>
      <c r="AY43">
        <f>$C43*AY42</f>
        <v/>
      </c>
      <c r="AZ43">
        <f>$C43*AZ42</f>
        <v/>
      </c>
      <c r="BA43">
        <f>$C43*BA42</f>
        <v/>
      </c>
      <c r="BB43">
        <f>$C43*BB42</f>
        <v/>
      </c>
      <c r="BC43">
        <f>$C43*BC42</f>
        <v/>
      </c>
      <c r="BD43">
        <f>$C43*BD42</f>
        <v/>
      </c>
      <c r="BE43">
        <f>$C43*BE42</f>
        <v/>
      </c>
      <c r="BF43">
        <f>$C43*BF42</f>
        <v/>
      </c>
      <c r="BG43">
        <f>$C43*BG42</f>
        <v/>
      </c>
      <c r="BH43">
        <f>$C43*BH42</f>
        <v/>
      </c>
      <c r="BI43">
        <f>$C43*BI42</f>
        <v/>
      </c>
      <c r="BJ43">
        <f>$C43*BJ42</f>
        <v/>
      </c>
      <c r="BK43">
        <f>$C43*BK42</f>
        <v/>
      </c>
      <c r="BL43">
        <f>$C43*BL42</f>
        <v/>
      </c>
      <c r="BM43">
        <f>$C43*BM42</f>
        <v/>
      </c>
      <c r="BN43">
        <f>$C43*BN42</f>
        <v/>
      </c>
      <c r="BO43">
        <f>$C43*BO42</f>
        <v/>
      </c>
      <c r="BP43">
        <f>$C43*BP42</f>
        <v/>
      </c>
      <c r="BQ43">
        <f>$C43*BQ42</f>
        <v/>
      </c>
      <c r="BR43">
        <f>$C43*BR42</f>
        <v/>
      </c>
      <c r="BS43">
        <f>$C43*BS42</f>
        <v/>
      </c>
      <c r="BT43">
        <f>$C43*BT42</f>
        <v/>
      </c>
      <c r="BU43">
        <f>$C43*BU42</f>
        <v/>
      </c>
      <c r="BV43">
        <f>$C43*BV42</f>
        <v/>
      </c>
      <c r="BW43">
        <f>$C43*BW42</f>
        <v/>
      </c>
      <c r="BX43">
        <f>$C43*BX42</f>
        <v/>
      </c>
      <c r="BY43">
        <f>$C43*BY42</f>
        <v/>
      </c>
      <c r="BZ43">
        <f>$C43*BZ42</f>
        <v/>
      </c>
      <c r="CA43">
        <f>$C43*CA42</f>
        <v/>
      </c>
      <c r="CB43">
        <f>$C43*CB42</f>
        <v/>
      </c>
      <c r="CC43">
        <f>$C43*CC42</f>
        <v/>
      </c>
      <c r="CD43">
        <f>$C43*CD42</f>
        <v/>
      </c>
      <c r="CE43">
        <f>$C43*CE42</f>
        <v/>
      </c>
      <c r="CF43">
        <f>$C43*CF42</f>
        <v/>
      </c>
      <c r="CG43">
        <f>$C43*CG42</f>
        <v/>
      </c>
      <c r="CH43">
        <f>$C43*CH42</f>
        <v/>
      </c>
      <c r="CI43">
        <f>$C43*CI42</f>
        <v/>
      </c>
      <c r="CJ43">
        <f>$C43*CJ42</f>
        <v/>
      </c>
      <c r="CK43">
        <f>$C43*CK42</f>
        <v/>
      </c>
      <c r="CL43">
        <f>$C43*CL42</f>
        <v/>
      </c>
      <c r="CM43">
        <f>$C43*CM42</f>
        <v/>
      </c>
      <c r="CN43">
        <f>$C43*CN42</f>
        <v/>
      </c>
      <c r="CO43">
        <f>$C43*CO42</f>
        <v/>
      </c>
      <c r="CP43">
        <f>$C43*CP42</f>
        <v/>
      </c>
      <c r="CQ43">
        <f>$C43*CQ42</f>
        <v/>
      </c>
      <c r="CR43">
        <f>$C43*CR42</f>
        <v/>
      </c>
      <c r="CS43">
        <f>$C43*CS42</f>
        <v/>
      </c>
      <c r="CT43">
        <f>$C43*CT42</f>
        <v/>
      </c>
      <c r="CU43">
        <f>$C43*CU42</f>
        <v/>
      </c>
      <c r="CV43">
        <f>$C43*CV42</f>
        <v/>
      </c>
      <c r="CW43">
        <f>$C43*CW42</f>
        <v/>
      </c>
      <c r="CX43">
        <f>$C43*CX42</f>
        <v/>
      </c>
      <c r="CY43">
        <f>$C43*CY42</f>
        <v/>
      </c>
      <c r="CZ43">
        <f>$C43*CZ42</f>
        <v/>
      </c>
      <c r="DA43">
        <f>$C43*DA42</f>
        <v/>
      </c>
      <c r="DB43">
        <f>$C43*DB42</f>
        <v/>
      </c>
      <c r="DC43">
        <f>$C43*DC42</f>
        <v/>
      </c>
      <c r="DD43">
        <f>$C43*DD42</f>
        <v/>
      </c>
    </row>
    <row r="44">
      <c r="B44" t="inlineStr">
        <is>
          <t>TSP-105</t>
        </is>
      </c>
      <c r="C44" t="inlineStr">
        <is>
          <t>No. of batches</t>
        </is>
      </c>
      <c r="D44">
        <f>IFERROR(INDEX(E44:DD44,$F$1),"")</f>
        <v/>
      </c>
      <c r="E44">
        <f>IFERROR(INDEX(PP_Grid[#Data],$DE44,2),0)</f>
        <v/>
      </c>
      <c r="F44">
        <f>IFERROR(INDEX(PP_Grid[#Data],$DE44,3),0)</f>
        <v/>
      </c>
      <c r="G44">
        <f>IFERROR(INDEX(PP_Grid[#Data],$DE44,4),0)</f>
        <v/>
      </c>
      <c r="H44">
        <f>IFERROR(INDEX(PP_Grid[#Data],$DE44,5),0)</f>
        <v/>
      </c>
      <c r="I44">
        <f>IFERROR(INDEX(PP_Grid[#Data],$DE44,6),0)</f>
        <v/>
      </c>
      <c r="J44">
        <f>IFERROR(INDEX(PP_Grid[#Data],$DE44,7),0)</f>
        <v/>
      </c>
      <c r="K44">
        <f>IFERROR(INDEX(PP_Grid[#Data],$DE44,8),0)</f>
        <v/>
      </c>
      <c r="L44">
        <f>IFERROR(INDEX(PP_Grid[#Data],$DE44,9),0)</f>
        <v/>
      </c>
      <c r="M44">
        <f>IFERROR(INDEX(PP_Grid[#Data],$DE44,10),0)</f>
        <v/>
      </c>
      <c r="N44">
        <f>IFERROR(INDEX(PP_Grid[#Data],$DE44,11),0)</f>
        <v/>
      </c>
      <c r="O44">
        <f>IFERROR(INDEX(PP_Grid[#Data],$DE44,12),0)</f>
        <v/>
      </c>
      <c r="P44">
        <f>IFERROR(INDEX(PP_Grid[#Data],$DE44,13),0)</f>
        <v/>
      </c>
      <c r="Q44">
        <f>IFERROR(INDEX(PP_Grid[#Data],$DE44,14),0)</f>
        <v/>
      </c>
      <c r="R44">
        <f>IFERROR(INDEX(PP_Grid[#Data],$DE44,15),0)</f>
        <v/>
      </c>
      <c r="S44">
        <f>IFERROR(INDEX(PP_Grid[#Data],$DE44,16),0)</f>
        <v/>
      </c>
      <c r="T44">
        <f>IFERROR(INDEX(PP_Grid[#Data],$DE44,17),0)</f>
        <v/>
      </c>
      <c r="U44">
        <f>IFERROR(INDEX(PP_Grid[#Data],$DE44,18),0)</f>
        <v/>
      </c>
      <c r="V44">
        <f>IFERROR(INDEX(PP_Grid[#Data],$DE44,19),0)</f>
        <v/>
      </c>
      <c r="W44">
        <f>IFERROR(INDEX(PP_Grid[#Data],$DE44,20),0)</f>
        <v/>
      </c>
      <c r="X44">
        <f>IFERROR(INDEX(PP_Grid[#Data],$DE44,21),0)</f>
        <v/>
      </c>
      <c r="Y44">
        <f>IFERROR(INDEX(PP_Grid[#Data],$DE44,22),0)</f>
        <v/>
      </c>
      <c r="Z44">
        <f>IFERROR(INDEX(PP_Grid[#Data],$DE44,23),0)</f>
        <v/>
      </c>
      <c r="AA44">
        <f>IFERROR(INDEX(PP_Grid[#Data],$DE44,24),0)</f>
        <v/>
      </c>
      <c r="AB44">
        <f>IFERROR(INDEX(PP_Grid[#Data],$DE44,25),0)</f>
        <v/>
      </c>
      <c r="AC44">
        <f>IFERROR(INDEX(PP_Grid[#Data],$DE44,26),0)</f>
        <v/>
      </c>
      <c r="AD44">
        <f>IFERROR(INDEX(PP_Grid[#Data],$DE44,27),0)</f>
        <v/>
      </c>
      <c r="AE44">
        <f>IFERROR(INDEX(PP_Grid[#Data],$DE44,28),0)</f>
        <v/>
      </c>
      <c r="AF44">
        <f>IFERROR(INDEX(PP_Grid[#Data],$DE44,29),0)</f>
        <v/>
      </c>
      <c r="AG44">
        <f>IFERROR(INDEX(PP_Grid[#Data],$DE44,30),0)</f>
        <v/>
      </c>
      <c r="AH44">
        <f>IFERROR(INDEX(PP_Grid[#Data],$DE44,31),0)</f>
        <v/>
      </c>
      <c r="AI44">
        <f>IFERROR(INDEX(PP_Grid[#Data],$DE44,32),0)</f>
        <v/>
      </c>
      <c r="AJ44">
        <f>IFERROR(INDEX(PP_Grid[#Data],$DE44,33),0)</f>
        <v/>
      </c>
      <c r="AK44">
        <f>IFERROR(INDEX(PP_Grid[#Data],$DE44,34),0)</f>
        <v/>
      </c>
      <c r="AL44">
        <f>IFERROR(INDEX(PP_Grid[#Data],$DE44,35),0)</f>
        <v/>
      </c>
      <c r="AM44">
        <f>IFERROR(INDEX(PP_Grid[#Data],$DE44,36),0)</f>
        <v/>
      </c>
      <c r="AN44">
        <f>IFERROR(INDEX(PP_Grid[#Data],$DE44,37),0)</f>
        <v/>
      </c>
      <c r="AO44">
        <f>IFERROR(INDEX(PP_Grid[#Data],$DE44,38),0)</f>
        <v/>
      </c>
      <c r="AP44">
        <f>IFERROR(INDEX(PP_Grid[#Data],$DE44,39),0)</f>
        <v/>
      </c>
      <c r="AQ44">
        <f>IFERROR(INDEX(PP_Grid[#Data],$DE44,40),0)</f>
        <v/>
      </c>
      <c r="AR44">
        <f>IFERROR(INDEX(PP_Grid[#Data],$DE44,41),0)</f>
        <v/>
      </c>
      <c r="AS44">
        <f>IFERROR(INDEX(PP_Grid[#Data],$DE44,42),0)</f>
        <v/>
      </c>
      <c r="AT44">
        <f>IFERROR(INDEX(PP_Grid[#Data],$DE44,43),0)</f>
        <v/>
      </c>
      <c r="AU44">
        <f>IFERROR(INDEX(PP_Grid[#Data],$DE44,44),0)</f>
        <v/>
      </c>
      <c r="AV44">
        <f>IFERROR(INDEX(PP_Grid[#Data],$DE44,45),0)</f>
        <v/>
      </c>
      <c r="AW44">
        <f>IFERROR(INDEX(PP_Grid[#Data],$DE44,46),0)</f>
        <v/>
      </c>
      <c r="AX44">
        <f>IFERROR(INDEX(PP_Grid[#Data],$DE44,47),0)</f>
        <v/>
      </c>
      <c r="AY44">
        <f>IFERROR(INDEX(PP_Grid[#Data],$DE44,48),0)</f>
        <v/>
      </c>
      <c r="AZ44">
        <f>IFERROR(INDEX(PP_Grid[#Data],$DE44,49),0)</f>
        <v/>
      </c>
      <c r="BA44">
        <f>IFERROR(INDEX(PP_Grid[#Data],$DE44,50),0)</f>
        <v/>
      </c>
      <c r="BB44">
        <f>IFERROR(INDEX(PP_Grid[#Data],$DE44,51),0)</f>
        <v/>
      </c>
      <c r="BC44">
        <f>IFERROR(INDEX(PP_Grid[#Data],$DE44,52),0)</f>
        <v/>
      </c>
      <c r="BD44">
        <f>IFERROR(INDEX(PP_Grid[#Data],$DE44,53),0)</f>
        <v/>
      </c>
      <c r="BE44">
        <f>IFERROR(INDEX(PP_Grid[#Data],$DE44,54),0)</f>
        <v/>
      </c>
      <c r="BF44">
        <f>IFERROR(INDEX(PP_Grid[#Data],$DE44,55),0)</f>
        <v/>
      </c>
      <c r="BG44">
        <f>IFERROR(INDEX(PP_Grid[#Data],$DE44,56),0)</f>
        <v/>
      </c>
      <c r="BH44">
        <f>IFERROR(INDEX(PP_Grid[#Data],$DE44,57),0)</f>
        <v/>
      </c>
      <c r="BI44">
        <f>IFERROR(INDEX(PP_Grid[#Data],$DE44,58),0)</f>
        <v/>
      </c>
      <c r="BJ44">
        <f>IFERROR(INDEX(PP_Grid[#Data],$DE44,59),0)</f>
        <v/>
      </c>
      <c r="BK44">
        <f>IFERROR(INDEX(PP_Grid[#Data],$DE44,60),0)</f>
        <v/>
      </c>
      <c r="BL44">
        <f>IFERROR(INDEX(PP_Grid[#Data],$DE44,61),0)</f>
        <v/>
      </c>
      <c r="BM44">
        <f>IFERROR(INDEX(PP_Grid[#Data],$DE44,62),0)</f>
        <v/>
      </c>
      <c r="BN44">
        <f>IFERROR(INDEX(PP_Grid[#Data],$DE44,63),0)</f>
        <v/>
      </c>
      <c r="BO44">
        <f>IFERROR(INDEX(PP_Grid[#Data],$DE44,64),0)</f>
        <v/>
      </c>
      <c r="BP44">
        <f>IFERROR(INDEX(PP_Grid[#Data],$DE44,65),0)</f>
        <v/>
      </c>
      <c r="BQ44">
        <f>IFERROR(INDEX(PP_Grid[#Data],$DE44,66),0)</f>
        <v/>
      </c>
      <c r="BR44">
        <f>IFERROR(INDEX(PP_Grid[#Data],$DE44,67),0)</f>
        <v/>
      </c>
      <c r="BS44">
        <f>IFERROR(INDEX(PP_Grid[#Data],$DE44,68),0)</f>
        <v/>
      </c>
      <c r="BT44">
        <f>IFERROR(INDEX(PP_Grid[#Data],$DE44,69),0)</f>
        <v/>
      </c>
      <c r="BU44">
        <f>IFERROR(INDEX(PP_Grid[#Data],$DE44,70),0)</f>
        <v/>
      </c>
      <c r="BV44">
        <f>IFERROR(INDEX(PP_Grid[#Data],$DE44,71),0)</f>
        <v/>
      </c>
      <c r="BW44">
        <f>IFERROR(INDEX(PP_Grid[#Data],$DE44,72),0)</f>
        <v/>
      </c>
      <c r="BX44">
        <f>IFERROR(INDEX(PP_Grid[#Data],$DE44,73),0)</f>
        <v/>
      </c>
      <c r="BY44">
        <f>IFERROR(INDEX(PP_Grid[#Data],$DE44,74),0)</f>
        <v/>
      </c>
      <c r="BZ44">
        <f>IFERROR(INDEX(PP_Grid[#Data],$DE44,75),0)</f>
        <v/>
      </c>
      <c r="CA44">
        <f>IFERROR(INDEX(PP_Grid[#Data],$DE44,76),0)</f>
        <v/>
      </c>
      <c r="CB44">
        <f>IFERROR(INDEX(PP_Grid[#Data],$DE44,77),0)</f>
        <v/>
      </c>
      <c r="CC44">
        <f>IFERROR(INDEX(PP_Grid[#Data],$DE44,78),0)</f>
        <v/>
      </c>
      <c r="CD44">
        <f>IFERROR(INDEX(PP_Grid[#Data],$DE44,79),0)</f>
        <v/>
      </c>
      <c r="CE44">
        <f>IFERROR(INDEX(PP_Grid[#Data],$DE44,80),0)</f>
        <v/>
      </c>
      <c r="CF44">
        <f>IFERROR(INDEX(PP_Grid[#Data],$DE44,81),0)</f>
        <v/>
      </c>
      <c r="CG44">
        <f>IFERROR(INDEX(PP_Grid[#Data],$DE44,82),0)</f>
        <v/>
      </c>
      <c r="CH44">
        <f>IFERROR(INDEX(PP_Grid[#Data],$DE44,83),0)</f>
        <v/>
      </c>
      <c r="CI44">
        <f>IFERROR(INDEX(PP_Grid[#Data],$DE44,84),0)</f>
        <v/>
      </c>
      <c r="CJ44">
        <f>IFERROR(INDEX(PP_Grid[#Data],$DE44,85),0)</f>
        <v/>
      </c>
      <c r="CK44">
        <f>IFERROR(INDEX(PP_Grid[#Data],$DE44,86),0)</f>
        <v/>
      </c>
      <c r="CL44">
        <f>IFERROR(INDEX(PP_Grid[#Data],$DE44,87),0)</f>
        <v/>
      </c>
      <c r="CM44">
        <f>IFERROR(INDEX(PP_Grid[#Data],$DE44,88),0)</f>
        <v/>
      </c>
      <c r="CN44">
        <f>IFERROR(INDEX(PP_Grid[#Data],$DE44,89),0)</f>
        <v/>
      </c>
      <c r="CO44">
        <f>IFERROR(INDEX(PP_Grid[#Data],$DE44,90),0)</f>
        <v/>
      </c>
      <c r="CP44">
        <f>IFERROR(INDEX(PP_Grid[#Data],$DE44,91),0)</f>
        <v/>
      </c>
      <c r="CQ44">
        <f>IFERROR(INDEX(PP_Grid[#Data],$DE44,92),0)</f>
        <v/>
      </c>
      <c r="CR44">
        <f>IFERROR(INDEX(PP_Grid[#Data],$DE44,93),0)</f>
        <v/>
      </c>
      <c r="CS44">
        <f>IFERROR(INDEX(PP_Grid[#Data],$DE44,94),0)</f>
        <v/>
      </c>
      <c r="CT44">
        <f>IFERROR(INDEX(PP_Grid[#Data],$DE44,95),0)</f>
        <v/>
      </c>
      <c r="CU44">
        <f>IFERROR(INDEX(PP_Grid[#Data],$DE44,96),0)</f>
        <v/>
      </c>
      <c r="CV44">
        <f>IFERROR(INDEX(PP_Grid[#Data],$DE44,97),0)</f>
        <v/>
      </c>
      <c r="CW44">
        <f>IFERROR(INDEX(PP_Grid[#Data],$DE44,98),0)</f>
        <v/>
      </c>
      <c r="CX44">
        <f>IFERROR(INDEX(PP_Grid[#Data],$DE44,99),0)</f>
        <v/>
      </c>
      <c r="CY44">
        <f>IFERROR(INDEX(PP_Grid[#Data],$DE44,100),0)</f>
        <v/>
      </c>
      <c r="CZ44">
        <f>IFERROR(INDEX(PP_Grid[#Data],$DE44,101),0)</f>
        <v/>
      </c>
      <c r="DA44">
        <f>IFERROR(INDEX(PP_Grid[#Data],$DE44,102),0)</f>
        <v/>
      </c>
      <c r="DB44">
        <f>IFERROR(INDEX(PP_Grid[#Data],$DE44,103),0)</f>
        <v/>
      </c>
      <c r="DC44">
        <f>IFERROR(INDEX(PP_Grid[#Data],$DE44,104),0)</f>
        <v/>
      </c>
      <c r="DD44">
        <f>IFERROR(INDEX(PP_Grid[#Data],$DE44,105),0)</f>
        <v/>
      </c>
      <c r="DE44" s="7">
        <f>IFERROR(MATCH($B44,PP_Grid[Intermediate],0),99999)</f>
        <v/>
      </c>
    </row>
    <row r="45">
      <c r="B45" t="inlineStr">
        <is>
          <t>使用量(kg)</t>
        </is>
      </c>
      <c r="C45">
        <f>SUMIFS(M_BOM[RM_Qty_Per_Batch],M_BOM[Intermediate],$B44,M_BOM[RM_Code],$A25)</f>
        <v/>
      </c>
      <c r="D45">
        <f>IFERROR(INDEX(E45:DD45,$F$1),"")</f>
        <v/>
      </c>
      <c r="E45">
        <f>$C45*E44</f>
        <v/>
      </c>
      <c r="F45">
        <f>$C45*F44</f>
        <v/>
      </c>
      <c r="G45">
        <f>$C45*G44</f>
        <v/>
      </c>
      <c r="H45">
        <f>$C45*H44</f>
        <v/>
      </c>
      <c r="I45">
        <f>$C45*I44</f>
        <v/>
      </c>
      <c r="J45">
        <f>$C45*J44</f>
        <v/>
      </c>
      <c r="K45">
        <f>$C45*K44</f>
        <v/>
      </c>
      <c r="L45">
        <f>$C45*L44</f>
        <v/>
      </c>
      <c r="M45">
        <f>$C45*M44</f>
        <v/>
      </c>
      <c r="N45">
        <f>$C45*N44</f>
        <v/>
      </c>
      <c r="O45">
        <f>$C45*O44</f>
        <v/>
      </c>
      <c r="P45">
        <f>$C45*P44</f>
        <v/>
      </c>
      <c r="Q45">
        <f>$C45*Q44</f>
        <v/>
      </c>
      <c r="R45">
        <f>$C45*R44</f>
        <v/>
      </c>
      <c r="S45">
        <f>$C45*S44</f>
        <v/>
      </c>
      <c r="T45">
        <f>$C45*T44</f>
        <v/>
      </c>
      <c r="U45">
        <f>$C45*U44</f>
        <v/>
      </c>
      <c r="V45">
        <f>$C45*V44</f>
        <v/>
      </c>
      <c r="W45">
        <f>$C45*W44</f>
        <v/>
      </c>
      <c r="X45">
        <f>$C45*X44</f>
        <v/>
      </c>
      <c r="Y45">
        <f>$C45*Y44</f>
        <v/>
      </c>
      <c r="Z45">
        <f>$C45*Z44</f>
        <v/>
      </c>
      <c r="AA45">
        <f>$C45*AA44</f>
        <v/>
      </c>
      <c r="AB45">
        <f>$C45*AB44</f>
        <v/>
      </c>
      <c r="AC45">
        <f>$C45*AC44</f>
        <v/>
      </c>
      <c r="AD45">
        <f>$C45*AD44</f>
        <v/>
      </c>
      <c r="AE45">
        <f>$C45*AE44</f>
        <v/>
      </c>
      <c r="AF45">
        <f>$C45*AF44</f>
        <v/>
      </c>
      <c r="AG45">
        <f>$C45*AG44</f>
        <v/>
      </c>
      <c r="AH45">
        <f>$C45*AH44</f>
        <v/>
      </c>
      <c r="AI45">
        <f>$C45*AI44</f>
        <v/>
      </c>
      <c r="AJ45">
        <f>$C45*AJ44</f>
        <v/>
      </c>
      <c r="AK45">
        <f>$C45*AK44</f>
        <v/>
      </c>
      <c r="AL45">
        <f>$C45*AL44</f>
        <v/>
      </c>
      <c r="AM45">
        <f>$C45*AM44</f>
        <v/>
      </c>
      <c r="AN45">
        <f>$C45*AN44</f>
        <v/>
      </c>
      <c r="AO45">
        <f>$C45*AO44</f>
        <v/>
      </c>
      <c r="AP45">
        <f>$C45*AP44</f>
        <v/>
      </c>
      <c r="AQ45">
        <f>$C45*AQ44</f>
        <v/>
      </c>
      <c r="AR45">
        <f>$C45*AR44</f>
        <v/>
      </c>
      <c r="AS45">
        <f>$C45*AS44</f>
        <v/>
      </c>
      <c r="AT45">
        <f>$C45*AT44</f>
        <v/>
      </c>
      <c r="AU45">
        <f>$C45*AU44</f>
        <v/>
      </c>
      <c r="AV45">
        <f>$C45*AV44</f>
        <v/>
      </c>
      <c r="AW45">
        <f>$C45*AW44</f>
        <v/>
      </c>
      <c r="AX45">
        <f>$C45*AX44</f>
        <v/>
      </c>
      <c r="AY45">
        <f>$C45*AY44</f>
        <v/>
      </c>
      <c r="AZ45">
        <f>$C45*AZ44</f>
        <v/>
      </c>
      <c r="BA45">
        <f>$C45*BA44</f>
        <v/>
      </c>
      <c r="BB45">
        <f>$C45*BB44</f>
        <v/>
      </c>
      <c r="BC45">
        <f>$C45*BC44</f>
        <v/>
      </c>
      <c r="BD45">
        <f>$C45*BD44</f>
        <v/>
      </c>
      <c r="BE45">
        <f>$C45*BE44</f>
        <v/>
      </c>
      <c r="BF45">
        <f>$C45*BF44</f>
        <v/>
      </c>
      <c r="BG45">
        <f>$C45*BG44</f>
        <v/>
      </c>
      <c r="BH45">
        <f>$C45*BH44</f>
        <v/>
      </c>
      <c r="BI45">
        <f>$C45*BI44</f>
        <v/>
      </c>
      <c r="BJ45">
        <f>$C45*BJ44</f>
        <v/>
      </c>
      <c r="BK45">
        <f>$C45*BK44</f>
        <v/>
      </c>
      <c r="BL45">
        <f>$C45*BL44</f>
        <v/>
      </c>
      <c r="BM45">
        <f>$C45*BM44</f>
        <v/>
      </c>
      <c r="BN45">
        <f>$C45*BN44</f>
        <v/>
      </c>
      <c r="BO45">
        <f>$C45*BO44</f>
        <v/>
      </c>
      <c r="BP45">
        <f>$C45*BP44</f>
        <v/>
      </c>
      <c r="BQ45">
        <f>$C45*BQ44</f>
        <v/>
      </c>
      <c r="BR45">
        <f>$C45*BR44</f>
        <v/>
      </c>
      <c r="BS45">
        <f>$C45*BS44</f>
        <v/>
      </c>
      <c r="BT45">
        <f>$C45*BT44</f>
        <v/>
      </c>
      <c r="BU45">
        <f>$C45*BU44</f>
        <v/>
      </c>
      <c r="BV45">
        <f>$C45*BV44</f>
        <v/>
      </c>
      <c r="BW45">
        <f>$C45*BW44</f>
        <v/>
      </c>
      <c r="BX45">
        <f>$C45*BX44</f>
        <v/>
      </c>
      <c r="BY45">
        <f>$C45*BY44</f>
        <v/>
      </c>
      <c r="BZ45">
        <f>$C45*BZ44</f>
        <v/>
      </c>
      <c r="CA45">
        <f>$C45*CA44</f>
        <v/>
      </c>
      <c r="CB45">
        <f>$C45*CB44</f>
        <v/>
      </c>
      <c r="CC45">
        <f>$C45*CC44</f>
        <v/>
      </c>
      <c r="CD45">
        <f>$C45*CD44</f>
        <v/>
      </c>
      <c r="CE45">
        <f>$C45*CE44</f>
        <v/>
      </c>
      <c r="CF45">
        <f>$C45*CF44</f>
        <v/>
      </c>
      <c r="CG45">
        <f>$C45*CG44</f>
        <v/>
      </c>
      <c r="CH45">
        <f>$C45*CH44</f>
        <v/>
      </c>
      <c r="CI45">
        <f>$C45*CI44</f>
        <v/>
      </c>
      <c r="CJ45">
        <f>$C45*CJ44</f>
        <v/>
      </c>
      <c r="CK45">
        <f>$C45*CK44</f>
        <v/>
      </c>
      <c r="CL45">
        <f>$C45*CL44</f>
        <v/>
      </c>
      <c r="CM45">
        <f>$C45*CM44</f>
        <v/>
      </c>
      <c r="CN45">
        <f>$C45*CN44</f>
        <v/>
      </c>
      <c r="CO45">
        <f>$C45*CO44</f>
        <v/>
      </c>
      <c r="CP45">
        <f>$C45*CP44</f>
        <v/>
      </c>
      <c r="CQ45">
        <f>$C45*CQ44</f>
        <v/>
      </c>
      <c r="CR45">
        <f>$C45*CR44</f>
        <v/>
      </c>
      <c r="CS45">
        <f>$C45*CS44</f>
        <v/>
      </c>
      <c r="CT45">
        <f>$C45*CT44</f>
        <v/>
      </c>
      <c r="CU45">
        <f>$C45*CU44</f>
        <v/>
      </c>
      <c r="CV45">
        <f>$C45*CV44</f>
        <v/>
      </c>
      <c r="CW45">
        <f>$C45*CW44</f>
        <v/>
      </c>
      <c r="CX45">
        <f>$C45*CX44</f>
        <v/>
      </c>
      <c r="CY45">
        <f>$C45*CY44</f>
        <v/>
      </c>
      <c r="CZ45">
        <f>$C45*CZ44</f>
        <v/>
      </c>
      <c r="DA45">
        <f>$C45*DA44</f>
        <v/>
      </c>
      <c r="DB45">
        <f>$C45*DB44</f>
        <v/>
      </c>
      <c r="DC45">
        <f>$C45*DC44</f>
        <v/>
      </c>
      <c r="DD45">
        <f>$C45*DD44</f>
        <v/>
      </c>
    </row>
    <row r="46">
      <c r="B46" t="inlineStr">
        <is>
          <t>TSP-206</t>
        </is>
      </c>
      <c r="C46" t="inlineStr">
        <is>
          <t>No. of batches</t>
        </is>
      </c>
      <c r="D46">
        <f>IFERROR(INDEX(E46:DD46,$F$1),"")</f>
        <v/>
      </c>
      <c r="E46">
        <f>IFERROR(INDEX(PP_Grid[#Data],$DE46,2),0)</f>
        <v/>
      </c>
      <c r="F46">
        <f>IFERROR(INDEX(PP_Grid[#Data],$DE46,3),0)</f>
        <v/>
      </c>
      <c r="G46">
        <f>IFERROR(INDEX(PP_Grid[#Data],$DE46,4),0)</f>
        <v/>
      </c>
      <c r="H46">
        <f>IFERROR(INDEX(PP_Grid[#Data],$DE46,5),0)</f>
        <v/>
      </c>
      <c r="I46">
        <f>IFERROR(INDEX(PP_Grid[#Data],$DE46,6),0)</f>
        <v/>
      </c>
      <c r="J46">
        <f>IFERROR(INDEX(PP_Grid[#Data],$DE46,7),0)</f>
        <v/>
      </c>
      <c r="K46">
        <f>IFERROR(INDEX(PP_Grid[#Data],$DE46,8),0)</f>
        <v/>
      </c>
      <c r="L46">
        <f>IFERROR(INDEX(PP_Grid[#Data],$DE46,9),0)</f>
        <v/>
      </c>
      <c r="M46">
        <f>IFERROR(INDEX(PP_Grid[#Data],$DE46,10),0)</f>
        <v/>
      </c>
      <c r="N46">
        <f>IFERROR(INDEX(PP_Grid[#Data],$DE46,11),0)</f>
        <v/>
      </c>
      <c r="O46">
        <f>IFERROR(INDEX(PP_Grid[#Data],$DE46,12),0)</f>
        <v/>
      </c>
      <c r="P46">
        <f>IFERROR(INDEX(PP_Grid[#Data],$DE46,13),0)</f>
        <v/>
      </c>
      <c r="Q46">
        <f>IFERROR(INDEX(PP_Grid[#Data],$DE46,14),0)</f>
        <v/>
      </c>
      <c r="R46">
        <f>IFERROR(INDEX(PP_Grid[#Data],$DE46,15),0)</f>
        <v/>
      </c>
      <c r="S46">
        <f>IFERROR(INDEX(PP_Grid[#Data],$DE46,16),0)</f>
        <v/>
      </c>
      <c r="T46">
        <f>IFERROR(INDEX(PP_Grid[#Data],$DE46,17),0)</f>
        <v/>
      </c>
      <c r="U46">
        <f>IFERROR(INDEX(PP_Grid[#Data],$DE46,18),0)</f>
        <v/>
      </c>
      <c r="V46">
        <f>IFERROR(INDEX(PP_Grid[#Data],$DE46,19),0)</f>
        <v/>
      </c>
      <c r="W46">
        <f>IFERROR(INDEX(PP_Grid[#Data],$DE46,20),0)</f>
        <v/>
      </c>
      <c r="X46">
        <f>IFERROR(INDEX(PP_Grid[#Data],$DE46,21),0)</f>
        <v/>
      </c>
      <c r="Y46">
        <f>IFERROR(INDEX(PP_Grid[#Data],$DE46,22),0)</f>
        <v/>
      </c>
      <c r="Z46">
        <f>IFERROR(INDEX(PP_Grid[#Data],$DE46,23),0)</f>
        <v/>
      </c>
      <c r="AA46">
        <f>IFERROR(INDEX(PP_Grid[#Data],$DE46,24),0)</f>
        <v/>
      </c>
      <c r="AB46">
        <f>IFERROR(INDEX(PP_Grid[#Data],$DE46,25),0)</f>
        <v/>
      </c>
      <c r="AC46">
        <f>IFERROR(INDEX(PP_Grid[#Data],$DE46,26),0)</f>
        <v/>
      </c>
      <c r="AD46">
        <f>IFERROR(INDEX(PP_Grid[#Data],$DE46,27),0)</f>
        <v/>
      </c>
      <c r="AE46">
        <f>IFERROR(INDEX(PP_Grid[#Data],$DE46,28),0)</f>
        <v/>
      </c>
      <c r="AF46">
        <f>IFERROR(INDEX(PP_Grid[#Data],$DE46,29),0)</f>
        <v/>
      </c>
      <c r="AG46">
        <f>IFERROR(INDEX(PP_Grid[#Data],$DE46,30),0)</f>
        <v/>
      </c>
      <c r="AH46">
        <f>IFERROR(INDEX(PP_Grid[#Data],$DE46,31),0)</f>
        <v/>
      </c>
      <c r="AI46">
        <f>IFERROR(INDEX(PP_Grid[#Data],$DE46,32),0)</f>
        <v/>
      </c>
      <c r="AJ46">
        <f>IFERROR(INDEX(PP_Grid[#Data],$DE46,33),0)</f>
        <v/>
      </c>
      <c r="AK46">
        <f>IFERROR(INDEX(PP_Grid[#Data],$DE46,34),0)</f>
        <v/>
      </c>
      <c r="AL46">
        <f>IFERROR(INDEX(PP_Grid[#Data],$DE46,35),0)</f>
        <v/>
      </c>
      <c r="AM46">
        <f>IFERROR(INDEX(PP_Grid[#Data],$DE46,36),0)</f>
        <v/>
      </c>
      <c r="AN46">
        <f>IFERROR(INDEX(PP_Grid[#Data],$DE46,37),0)</f>
        <v/>
      </c>
      <c r="AO46">
        <f>IFERROR(INDEX(PP_Grid[#Data],$DE46,38),0)</f>
        <v/>
      </c>
      <c r="AP46">
        <f>IFERROR(INDEX(PP_Grid[#Data],$DE46,39),0)</f>
        <v/>
      </c>
      <c r="AQ46">
        <f>IFERROR(INDEX(PP_Grid[#Data],$DE46,40),0)</f>
        <v/>
      </c>
      <c r="AR46">
        <f>IFERROR(INDEX(PP_Grid[#Data],$DE46,41),0)</f>
        <v/>
      </c>
      <c r="AS46">
        <f>IFERROR(INDEX(PP_Grid[#Data],$DE46,42),0)</f>
        <v/>
      </c>
      <c r="AT46">
        <f>IFERROR(INDEX(PP_Grid[#Data],$DE46,43),0)</f>
        <v/>
      </c>
      <c r="AU46">
        <f>IFERROR(INDEX(PP_Grid[#Data],$DE46,44),0)</f>
        <v/>
      </c>
      <c r="AV46">
        <f>IFERROR(INDEX(PP_Grid[#Data],$DE46,45),0)</f>
        <v/>
      </c>
      <c r="AW46">
        <f>IFERROR(INDEX(PP_Grid[#Data],$DE46,46),0)</f>
        <v/>
      </c>
      <c r="AX46">
        <f>IFERROR(INDEX(PP_Grid[#Data],$DE46,47),0)</f>
        <v/>
      </c>
      <c r="AY46">
        <f>IFERROR(INDEX(PP_Grid[#Data],$DE46,48),0)</f>
        <v/>
      </c>
      <c r="AZ46">
        <f>IFERROR(INDEX(PP_Grid[#Data],$DE46,49),0)</f>
        <v/>
      </c>
      <c r="BA46">
        <f>IFERROR(INDEX(PP_Grid[#Data],$DE46,50),0)</f>
        <v/>
      </c>
      <c r="BB46">
        <f>IFERROR(INDEX(PP_Grid[#Data],$DE46,51),0)</f>
        <v/>
      </c>
      <c r="BC46">
        <f>IFERROR(INDEX(PP_Grid[#Data],$DE46,52),0)</f>
        <v/>
      </c>
      <c r="BD46">
        <f>IFERROR(INDEX(PP_Grid[#Data],$DE46,53),0)</f>
        <v/>
      </c>
      <c r="BE46">
        <f>IFERROR(INDEX(PP_Grid[#Data],$DE46,54),0)</f>
        <v/>
      </c>
      <c r="BF46">
        <f>IFERROR(INDEX(PP_Grid[#Data],$DE46,55),0)</f>
        <v/>
      </c>
      <c r="BG46">
        <f>IFERROR(INDEX(PP_Grid[#Data],$DE46,56),0)</f>
        <v/>
      </c>
      <c r="BH46">
        <f>IFERROR(INDEX(PP_Grid[#Data],$DE46,57),0)</f>
        <v/>
      </c>
      <c r="BI46">
        <f>IFERROR(INDEX(PP_Grid[#Data],$DE46,58),0)</f>
        <v/>
      </c>
      <c r="BJ46">
        <f>IFERROR(INDEX(PP_Grid[#Data],$DE46,59),0)</f>
        <v/>
      </c>
      <c r="BK46">
        <f>IFERROR(INDEX(PP_Grid[#Data],$DE46,60),0)</f>
        <v/>
      </c>
      <c r="BL46">
        <f>IFERROR(INDEX(PP_Grid[#Data],$DE46,61),0)</f>
        <v/>
      </c>
      <c r="BM46">
        <f>IFERROR(INDEX(PP_Grid[#Data],$DE46,62),0)</f>
        <v/>
      </c>
      <c r="BN46">
        <f>IFERROR(INDEX(PP_Grid[#Data],$DE46,63),0)</f>
        <v/>
      </c>
      <c r="BO46">
        <f>IFERROR(INDEX(PP_Grid[#Data],$DE46,64),0)</f>
        <v/>
      </c>
      <c r="BP46">
        <f>IFERROR(INDEX(PP_Grid[#Data],$DE46,65),0)</f>
        <v/>
      </c>
      <c r="BQ46">
        <f>IFERROR(INDEX(PP_Grid[#Data],$DE46,66),0)</f>
        <v/>
      </c>
      <c r="BR46">
        <f>IFERROR(INDEX(PP_Grid[#Data],$DE46,67),0)</f>
        <v/>
      </c>
      <c r="BS46">
        <f>IFERROR(INDEX(PP_Grid[#Data],$DE46,68),0)</f>
        <v/>
      </c>
      <c r="BT46">
        <f>IFERROR(INDEX(PP_Grid[#Data],$DE46,69),0)</f>
        <v/>
      </c>
      <c r="BU46">
        <f>IFERROR(INDEX(PP_Grid[#Data],$DE46,70),0)</f>
        <v/>
      </c>
      <c r="BV46">
        <f>IFERROR(INDEX(PP_Grid[#Data],$DE46,71),0)</f>
        <v/>
      </c>
      <c r="BW46">
        <f>IFERROR(INDEX(PP_Grid[#Data],$DE46,72),0)</f>
        <v/>
      </c>
      <c r="BX46">
        <f>IFERROR(INDEX(PP_Grid[#Data],$DE46,73),0)</f>
        <v/>
      </c>
      <c r="BY46">
        <f>IFERROR(INDEX(PP_Grid[#Data],$DE46,74),0)</f>
        <v/>
      </c>
      <c r="BZ46">
        <f>IFERROR(INDEX(PP_Grid[#Data],$DE46,75),0)</f>
        <v/>
      </c>
      <c r="CA46">
        <f>IFERROR(INDEX(PP_Grid[#Data],$DE46,76),0)</f>
        <v/>
      </c>
      <c r="CB46">
        <f>IFERROR(INDEX(PP_Grid[#Data],$DE46,77),0)</f>
        <v/>
      </c>
      <c r="CC46">
        <f>IFERROR(INDEX(PP_Grid[#Data],$DE46,78),0)</f>
        <v/>
      </c>
      <c r="CD46">
        <f>IFERROR(INDEX(PP_Grid[#Data],$DE46,79),0)</f>
        <v/>
      </c>
      <c r="CE46">
        <f>IFERROR(INDEX(PP_Grid[#Data],$DE46,80),0)</f>
        <v/>
      </c>
      <c r="CF46">
        <f>IFERROR(INDEX(PP_Grid[#Data],$DE46,81),0)</f>
        <v/>
      </c>
      <c r="CG46">
        <f>IFERROR(INDEX(PP_Grid[#Data],$DE46,82),0)</f>
        <v/>
      </c>
      <c r="CH46">
        <f>IFERROR(INDEX(PP_Grid[#Data],$DE46,83),0)</f>
        <v/>
      </c>
      <c r="CI46">
        <f>IFERROR(INDEX(PP_Grid[#Data],$DE46,84),0)</f>
        <v/>
      </c>
      <c r="CJ46">
        <f>IFERROR(INDEX(PP_Grid[#Data],$DE46,85),0)</f>
        <v/>
      </c>
      <c r="CK46">
        <f>IFERROR(INDEX(PP_Grid[#Data],$DE46,86),0)</f>
        <v/>
      </c>
      <c r="CL46">
        <f>IFERROR(INDEX(PP_Grid[#Data],$DE46,87),0)</f>
        <v/>
      </c>
      <c r="CM46">
        <f>IFERROR(INDEX(PP_Grid[#Data],$DE46,88),0)</f>
        <v/>
      </c>
      <c r="CN46">
        <f>IFERROR(INDEX(PP_Grid[#Data],$DE46,89),0)</f>
        <v/>
      </c>
      <c r="CO46">
        <f>IFERROR(INDEX(PP_Grid[#Data],$DE46,90),0)</f>
        <v/>
      </c>
      <c r="CP46">
        <f>IFERROR(INDEX(PP_Grid[#Data],$DE46,91),0)</f>
        <v/>
      </c>
      <c r="CQ46">
        <f>IFERROR(INDEX(PP_Grid[#Data],$DE46,92),0)</f>
        <v/>
      </c>
      <c r="CR46">
        <f>IFERROR(INDEX(PP_Grid[#Data],$DE46,93),0)</f>
        <v/>
      </c>
      <c r="CS46">
        <f>IFERROR(INDEX(PP_Grid[#Data],$DE46,94),0)</f>
        <v/>
      </c>
      <c r="CT46">
        <f>IFERROR(INDEX(PP_Grid[#Data],$DE46,95),0)</f>
        <v/>
      </c>
      <c r="CU46">
        <f>IFERROR(INDEX(PP_Grid[#Data],$DE46,96),0)</f>
        <v/>
      </c>
      <c r="CV46">
        <f>IFERROR(INDEX(PP_Grid[#Data],$DE46,97),0)</f>
        <v/>
      </c>
      <c r="CW46">
        <f>IFERROR(INDEX(PP_Grid[#Data],$DE46,98),0)</f>
        <v/>
      </c>
      <c r="CX46">
        <f>IFERROR(INDEX(PP_Grid[#Data],$DE46,99),0)</f>
        <v/>
      </c>
      <c r="CY46">
        <f>IFERROR(INDEX(PP_Grid[#Data],$DE46,100),0)</f>
        <v/>
      </c>
      <c r="CZ46">
        <f>IFERROR(INDEX(PP_Grid[#Data],$DE46,101),0)</f>
        <v/>
      </c>
      <c r="DA46">
        <f>IFERROR(INDEX(PP_Grid[#Data],$DE46,102),0)</f>
        <v/>
      </c>
      <c r="DB46">
        <f>IFERROR(INDEX(PP_Grid[#Data],$DE46,103),0)</f>
        <v/>
      </c>
      <c r="DC46">
        <f>IFERROR(INDEX(PP_Grid[#Data],$DE46,104),0)</f>
        <v/>
      </c>
      <c r="DD46">
        <f>IFERROR(INDEX(PP_Grid[#Data],$DE46,105),0)</f>
        <v/>
      </c>
      <c r="DE46" s="7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SUMIFS(M_BOM[RM_Qty_Per_Batch],M_BOM[Intermediate],$B46,M_BOM[RM_Code],$A25)</f>
        <v/>
      </c>
      <c r="D47">
        <f>IFERROR(INDEX(E47:DD47,$F$1),"")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  <c r="DD47">
        <f>$C47*DD46</f>
        <v/>
      </c>
    </row>
    <row r="48">
      <c r="B48" t="inlineStr">
        <is>
          <t>TSP-219</t>
        </is>
      </c>
      <c r="C48" t="inlineStr">
        <is>
          <t>No. of batches</t>
        </is>
      </c>
      <c r="D48">
        <f>IFERROR(INDEX(E48:DD48,$F$1),"")</f>
        <v/>
      </c>
      <c r="E48">
        <f>IFERROR(INDEX(PP_Grid[#Data],$DE48,2),0)</f>
        <v/>
      </c>
      <c r="F48">
        <f>IFERROR(INDEX(PP_Grid[#Data],$DE48,3),0)</f>
        <v/>
      </c>
      <c r="G48">
        <f>IFERROR(INDEX(PP_Grid[#Data],$DE48,4),0)</f>
        <v/>
      </c>
      <c r="H48">
        <f>IFERROR(INDEX(PP_Grid[#Data],$DE48,5),0)</f>
        <v/>
      </c>
      <c r="I48">
        <f>IFERROR(INDEX(PP_Grid[#Data],$DE48,6),0)</f>
        <v/>
      </c>
      <c r="J48">
        <f>IFERROR(INDEX(PP_Grid[#Data],$DE48,7),0)</f>
        <v/>
      </c>
      <c r="K48">
        <f>IFERROR(INDEX(PP_Grid[#Data],$DE48,8),0)</f>
        <v/>
      </c>
      <c r="L48">
        <f>IFERROR(INDEX(PP_Grid[#Data],$DE48,9),0)</f>
        <v/>
      </c>
      <c r="M48">
        <f>IFERROR(INDEX(PP_Grid[#Data],$DE48,10),0)</f>
        <v/>
      </c>
      <c r="N48">
        <f>IFERROR(INDEX(PP_Grid[#Data],$DE48,11),0)</f>
        <v/>
      </c>
      <c r="O48">
        <f>IFERROR(INDEX(PP_Grid[#Data],$DE48,12),0)</f>
        <v/>
      </c>
      <c r="P48">
        <f>IFERROR(INDEX(PP_Grid[#Data],$DE48,13),0)</f>
        <v/>
      </c>
      <c r="Q48">
        <f>IFERROR(INDEX(PP_Grid[#Data],$DE48,14),0)</f>
        <v/>
      </c>
      <c r="R48">
        <f>IFERROR(INDEX(PP_Grid[#Data],$DE48,15),0)</f>
        <v/>
      </c>
      <c r="S48">
        <f>IFERROR(INDEX(PP_Grid[#Data],$DE48,16),0)</f>
        <v/>
      </c>
      <c r="T48">
        <f>IFERROR(INDEX(PP_Grid[#Data],$DE48,17),0)</f>
        <v/>
      </c>
      <c r="U48">
        <f>IFERROR(INDEX(PP_Grid[#Data],$DE48,18),0)</f>
        <v/>
      </c>
      <c r="V48">
        <f>IFERROR(INDEX(PP_Grid[#Data],$DE48,19),0)</f>
        <v/>
      </c>
      <c r="W48">
        <f>IFERROR(INDEX(PP_Grid[#Data],$DE48,20),0)</f>
        <v/>
      </c>
      <c r="X48">
        <f>IFERROR(INDEX(PP_Grid[#Data],$DE48,21),0)</f>
        <v/>
      </c>
      <c r="Y48">
        <f>IFERROR(INDEX(PP_Grid[#Data],$DE48,22),0)</f>
        <v/>
      </c>
      <c r="Z48">
        <f>IFERROR(INDEX(PP_Grid[#Data],$DE48,23),0)</f>
        <v/>
      </c>
      <c r="AA48">
        <f>IFERROR(INDEX(PP_Grid[#Data],$DE48,24),0)</f>
        <v/>
      </c>
      <c r="AB48">
        <f>IFERROR(INDEX(PP_Grid[#Data],$DE48,25),0)</f>
        <v/>
      </c>
      <c r="AC48">
        <f>IFERROR(INDEX(PP_Grid[#Data],$DE48,26),0)</f>
        <v/>
      </c>
      <c r="AD48">
        <f>IFERROR(INDEX(PP_Grid[#Data],$DE48,27),0)</f>
        <v/>
      </c>
      <c r="AE48">
        <f>IFERROR(INDEX(PP_Grid[#Data],$DE48,28),0)</f>
        <v/>
      </c>
      <c r="AF48">
        <f>IFERROR(INDEX(PP_Grid[#Data],$DE48,29),0)</f>
        <v/>
      </c>
      <c r="AG48">
        <f>IFERROR(INDEX(PP_Grid[#Data],$DE48,30),0)</f>
        <v/>
      </c>
      <c r="AH48">
        <f>IFERROR(INDEX(PP_Grid[#Data],$DE48,31),0)</f>
        <v/>
      </c>
      <c r="AI48">
        <f>IFERROR(INDEX(PP_Grid[#Data],$DE48,32),0)</f>
        <v/>
      </c>
      <c r="AJ48">
        <f>IFERROR(INDEX(PP_Grid[#Data],$DE48,33),0)</f>
        <v/>
      </c>
      <c r="AK48">
        <f>IFERROR(INDEX(PP_Grid[#Data],$DE48,34),0)</f>
        <v/>
      </c>
      <c r="AL48">
        <f>IFERROR(INDEX(PP_Grid[#Data],$DE48,35),0)</f>
        <v/>
      </c>
      <c r="AM48">
        <f>IFERROR(INDEX(PP_Grid[#Data],$DE48,36),0)</f>
        <v/>
      </c>
      <c r="AN48">
        <f>IFERROR(INDEX(PP_Grid[#Data],$DE48,37),0)</f>
        <v/>
      </c>
      <c r="AO48">
        <f>IFERROR(INDEX(PP_Grid[#Data],$DE48,38),0)</f>
        <v/>
      </c>
      <c r="AP48">
        <f>IFERROR(INDEX(PP_Grid[#Data],$DE48,39),0)</f>
        <v/>
      </c>
      <c r="AQ48">
        <f>IFERROR(INDEX(PP_Grid[#Data],$DE48,40),0)</f>
        <v/>
      </c>
      <c r="AR48">
        <f>IFERROR(INDEX(PP_Grid[#Data],$DE48,41),0)</f>
        <v/>
      </c>
      <c r="AS48">
        <f>IFERROR(INDEX(PP_Grid[#Data],$DE48,42),0)</f>
        <v/>
      </c>
      <c r="AT48">
        <f>IFERROR(INDEX(PP_Grid[#Data],$DE48,43),0)</f>
        <v/>
      </c>
      <c r="AU48">
        <f>IFERROR(INDEX(PP_Grid[#Data],$DE48,44),0)</f>
        <v/>
      </c>
      <c r="AV48">
        <f>IFERROR(INDEX(PP_Grid[#Data],$DE48,45),0)</f>
        <v/>
      </c>
      <c r="AW48">
        <f>IFERROR(INDEX(PP_Grid[#Data],$DE48,46),0)</f>
        <v/>
      </c>
      <c r="AX48">
        <f>IFERROR(INDEX(PP_Grid[#Data],$DE48,47),0)</f>
        <v/>
      </c>
      <c r="AY48">
        <f>IFERROR(INDEX(PP_Grid[#Data],$DE48,48),0)</f>
        <v/>
      </c>
      <c r="AZ48">
        <f>IFERROR(INDEX(PP_Grid[#Data],$DE48,49),0)</f>
        <v/>
      </c>
      <c r="BA48">
        <f>IFERROR(INDEX(PP_Grid[#Data],$DE48,50),0)</f>
        <v/>
      </c>
      <c r="BB48">
        <f>IFERROR(INDEX(PP_Grid[#Data],$DE48,51),0)</f>
        <v/>
      </c>
      <c r="BC48">
        <f>IFERROR(INDEX(PP_Grid[#Data],$DE48,52),0)</f>
        <v/>
      </c>
      <c r="BD48">
        <f>IFERROR(INDEX(PP_Grid[#Data],$DE48,53),0)</f>
        <v/>
      </c>
      <c r="BE48">
        <f>IFERROR(INDEX(PP_Grid[#Data],$DE48,54),0)</f>
        <v/>
      </c>
      <c r="BF48">
        <f>IFERROR(INDEX(PP_Grid[#Data],$DE48,55),0)</f>
        <v/>
      </c>
      <c r="BG48">
        <f>IFERROR(INDEX(PP_Grid[#Data],$DE48,56),0)</f>
        <v/>
      </c>
      <c r="BH48">
        <f>IFERROR(INDEX(PP_Grid[#Data],$DE48,57),0)</f>
        <v/>
      </c>
      <c r="BI48">
        <f>IFERROR(INDEX(PP_Grid[#Data],$DE48,58),0)</f>
        <v/>
      </c>
      <c r="BJ48">
        <f>IFERROR(INDEX(PP_Grid[#Data],$DE48,59),0)</f>
        <v/>
      </c>
      <c r="BK48">
        <f>IFERROR(INDEX(PP_Grid[#Data],$DE48,60),0)</f>
        <v/>
      </c>
      <c r="BL48">
        <f>IFERROR(INDEX(PP_Grid[#Data],$DE48,61),0)</f>
        <v/>
      </c>
      <c r="BM48">
        <f>IFERROR(INDEX(PP_Grid[#Data],$DE48,62),0)</f>
        <v/>
      </c>
      <c r="BN48">
        <f>IFERROR(INDEX(PP_Grid[#Data],$DE48,63),0)</f>
        <v/>
      </c>
      <c r="BO48">
        <f>IFERROR(INDEX(PP_Grid[#Data],$DE48,64),0)</f>
        <v/>
      </c>
      <c r="BP48">
        <f>IFERROR(INDEX(PP_Grid[#Data],$DE48,65),0)</f>
        <v/>
      </c>
      <c r="BQ48">
        <f>IFERROR(INDEX(PP_Grid[#Data],$DE48,66),0)</f>
        <v/>
      </c>
      <c r="BR48">
        <f>IFERROR(INDEX(PP_Grid[#Data],$DE48,67),0)</f>
        <v/>
      </c>
      <c r="BS48">
        <f>IFERROR(INDEX(PP_Grid[#Data],$DE48,68),0)</f>
        <v/>
      </c>
      <c r="BT48">
        <f>IFERROR(INDEX(PP_Grid[#Data],$DE48,69),0)</f>
        <v/>
      </c>
      <c r="BU48">
        <f>IFERROR(INDEX(PP_Grid[#Data],$DE48,70),0)</f>
        <v/>
      </c>
      <c r="BV48">
        <f>IFERROR(INDEX(PP_Grid[#Data],$DE48,71),0)</f>
        <v/>
      </c>
      <c r="BW48">
        <f>IFERROR(INDEX(PP_Grid[#Data],$DE48,72),0)</f>
        <v/>
      </c>
      <c r="BX48">
        <f>IFERROR(INDEX(PP_Grid[#Data],$DE48,73),0)</f>
        <v/>
      </c>
      <c r="BY48">
        <f>IFERROR(INDEX(PP_Grid[#Data],$DE48,74),0)</f>
        <v/>
      </c>
      <c r="BZ48">
        <f>IFERROR(INDEX(PP_Grid[#Data],$DE48,75),0)</f>
        <v/>
      </c>
      <c r="CA48">
        <f>IFERROR(INDEX(PP_Grid[#Data],$DE48,76),0)</f>
        <v/>
      </c>
      <c r="CB48">
        <f>IFERROR(INDEX(PP_Grid[#Data],$DE48,77),0)</f>
        <v/>
      </c>
      <c r="CC48">
        <f>IFERROR(INDEX(PP_Grid[#Data],$DE48,78),0)</f>
        <v/>
      </c>
      <c r="CD48">
        <f>IFERROR(INDEX(PP_Grid[#Data],$DE48,79),0)</f>
        <v/>
      </c>
      <c r="CE48">
        <f>IFERROR(INDEX(PP_Grid[#Data],$DE48,80),0)</f>
        <v/>
      </c>
      <c r="CF48">
        <f>IFERROR(INDEX(PP_Grid[#Data],$DE48,81),0)</f>
        <v/>
      </c>
      <c r="CG48">
        <f>IFERROR(INDEX(PP_Grid[#Data],$DE48,82),0)</f>
        <v/>
      </c>
      <c r="CH48">
        <f>IFERROR(INDEX(PP_Grid[#Data],$DE48,83),0)</f>
        <v/>
      </c>
      <c r="CI48">
        <f>IFERROR(INDEX(PP_Grid[#Data],$DE48,84),0)</f>
        <v/>
      </c>
      <c r="CJ48">
        <f>IFERROR(INDEX(PP_Grid[#Data],$DE48,85),0)</f>
        <v/>
      </c>
      <c r="CK48">
        <f>IFERROR(INDEX(PP_Grid[#Data],$DE48,86),0)</f>
        <v/>
      </c>
      <c r="CL48">
        <f>IFERROR(INDEX(PP_Grid[#Data],$DE48,87),0)</f>
        <v/>
      </c>
      <c r="CM48">
        <f>IFERROR(INDEX(PP_Grid[#Data],$DE48,88),0)</f>
        <v/>
      </c>
      <c r="CN48">
        <f>IFERROR(INDEX(PP_Grid[#Data],$DE48,89),0)</f>
        <v/>
      </c>
      <c r="CO48">
        <f>IFERROR(INDEX(PP_Grid[#Data],$DE48,90),0)</f>
        <v/>
      </c>
      <c r="CP48">
        <f>IFERROR(INDEX(PP_Grid[#Data],$DE48,91),0)</f>
        <v/>
      </c>
      <c r="CQ48">
        <f>IFERROR(INDEX(PP_Grid[#Data],$DE48,92),0)</f>
        <v/>
      </c>
      <c r="CR48">
        <f>IFERROR(INDEX(PP_Grid[#Data],$DE48,93),0)</f>
        <v/>
      </c>
      <c r="CS48">
        <f>IFERROR(INDEX(PP_Grid[#Data],$DE48,94),0)</f>
        <v/>
      </c>
      <c r="CT48">
        <f>IFERROR(INDEX(PP_Grid[#Data],$DE48,95),0)</f>
        <v/>
      </c>
      <c r="CU48">
        <f>IFERROR(INDEX(PP_Grid[#Data],$DE48,96),0)</f>
        <v/>
      </c>
      <c r="CV48">
        <f>IFERROR(INDEX(PP_Grid[#Data],$DE48,97),0)</f>
        <v/>
      </c>
      <c r="CW48">
        <f>IFERROR(INDEX(PP_Grid[#Data],$DE48,98),0)</f>
        <v/>
      </c>
      <c r="CX48">
        <f>IFERROR(INDEX(PP_Grid[#Data],$DE48,99),0)</f>
        <v/>
      </c>
      <c r="CY48">
        <f>IFERROR(INDEX(PP_Grid[#Data],$DE48,100),0)</f>
        <v/>
      </c>
      <c r="CZ48">
        <f>IFERROR(INDEX(PP_Grid[#Data],$DE48,101),0)</f>
        <v/>
      </c>
      <c r="DA48">
        <f>IFERROR(INDEX(PP_Grid[#Data],$DE48,102),0)</f>
        <v/>
      </c>
      <c r="DB48">
        <f>IFERROR(INDEX(PP_Grid[#Data],$DE48,103),0)</f>
        <v/>
      </c>
      <c r="DC48">
        <f>IFERROR(INDEX(PP_Grid[#Data],$DE48,104),0)</f>
        <v/>
      </c>
      <c r="DD48">
        <f>IFERROR(INDEX(PP_Grid[#Data],$DE48,105),0)</f>
        <v/>
      </c>
      <c r="DE48" s="7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SUMIFS(M_BOM[RM_Qty_Per_Batch],M_BOM[Intermediate],$B48,M_BOM[RM_Code],$A25)</f>
        <v/>
      </c>
      <c r="D49">
        <f>IFERROR(INDEX(E49:DD49,$F$1),"")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  <c r="DD49">
        <f>$C49*DD48</f>
        <v/>
      </c>
    </row>
    <row r="50">
      <c r="B50" t="inlineStr">
        <is>
          <t>TSP-360</t>
        </is>
      </c>
      <c r="C50" t="inlineStr">
        <is>
          <t>No. of batches</t>
        </is>
      </c>
      <c r="D50">
        <f>IFERROR(INDEX(E50:DD50,$F$1),"")</f>
        <v/>
      </c>
      <c r="E50">
        <f>IFERROR(INDEX(PP_Grid[#Data],$DE50,2),0)</f>
        <v/>
      </c>
      <c r="F50">
        <f>IFERROR(INDEX(PP_Grid[#Data],$DE50,3),0)</f>
        <v/>
      </c>
      <c r="G50">
        <f>IFERROR(INDEX(PP_Grid[#Data],$DE50,4),0)</f>
        <v/>
      </c>
      <c r="H50">
        <f>IFERROR(INDEX(PP_Grid[#Data],$DE50,5),0)</f>
        <v/>
      </c>
      <c r="I50">
        <f>IFERROR(INDEX(PP_Grid[#Data],$DE50,6),0)</f>
        <v/>
      </c>
      <c r="J50">
        <f>IFERROR(INDEX(PP_Grid[#Data],$DE50,7),0)</f>
        <v/>
      </c>
      <c r="K50">
        <f>IFERROR(INDEX(PP_Grid[#Data],$DE50,8),0)</f>
        <v/>
      </c>
      <c r="L50">
        <f>IFERROR(INDEX(PP_Grid[#Data],$DE50,9),0)</f>
        <v/>
      </c>
      <c r="M50">
        <f>IFERROR(INDEX(PP_Grid[#Data],$DE50,10),0)</f>
        <v/>
      </c>
      <c r="N50">
        <f>IFERROR(INDEX(PP_Grid[#Data],$DE50,11),0)</f>
        <v/>
      </c>
      <c r="O50">
        <f>IFERROR(INDEX(PP_Grid[#Data],$DE50,12),0)</f>
        <v/>
      </c>
      <c r="P50">
        <f>IFERROR(INDEX(PP_Grid[#Data],$DE50,13),0)</f>
        <v/>
      </c>
      <c r="Q50">
        <f>IFERROR(INDEX(PP_Grid[#Data],$DE50,14),0)</f>
        <v/>
      </c>
      <c r="R50">
        <f>IFERROR(INDEX(PP_Grid[#Data],$DE50,15),0)</f>
        <v/>
      </c>
      <c r="S50">
        <f>IFERROR(INDEX(PP_Grid[#Data],$DE50,16),0)</f>
        <v/>
      </c>
      <c r="T50">
        <f>IFERROR(INDEX(PP_Grid[#Data],$DE50,17),0)</f>
        <v/>
      </c>
      <c r="U50">
        <f>IFERROR(INDEX(PP_Grid[#Data],$DE50,18),0)</f>
        <v/>
      </c>
      <c r="V50">
        <f>IFERROR(INDEX(PP_Grid[#Data],$DE50,19),0)</f>
        <v/>
      </c>
      <c r="W50">
        <f>IFERROR(INDEX(PP_Grid[#Data],$DE50,20),0)</f>
        <v/>
      </c>
      <c r="X50">
        <f>IFERROR(INDEX(PP_Grid[#Data],$DE50,21),0)</f>
        <v/>
      </c>
      <c r="Y50">
        <f>IFERROR(INDEX(PP_Grid[#Data],$DE50,22),0)</f>
        <v/>
      </c>
      <c r="Z50">
        <f>IFERROR(INDEX(PP_Grid[#Data],$DE50,23),0)</f>
        <v/>
      </c>
      <c r="AA50">
        <f>IFERROR(INDEX(PP_Grid[#Data],$DE50,24),0)</f>
        <v/>
      </c>
      <c r="AB50">
        <f>IFERROR(INDEX(PP_Grid[#Data],$DE50,25),0)</f>
        <v/>
      </c>
      <c r="AC50">
        <f>IFERROR(INDEX(PP_Grid[#Data],$DE50,26),0)</f>
        <v/>
      </c>
      <c r="AD50">
        <f>IFERROR(INDEX(PP_Grid[#Data],$DE50,27),0)</f>
        <v/>
      </c>
      <c r="AE50">
        <f>IFERROR(INDEX(PP_Grid[#Data],$DE50,28),0)</f>
        <v/>
      </c>
      <c r="AF50">
        <f>IFERROR(INDEX(PP_Grid[#Data],$DE50,29),0)</f>
        <v/>
      </c>
      <c r="AG50">
        <f>IFERROR(INDEX(PP_Grid[#Data],$DE50,30),0)</f>
        <v/>
      </c>
      <c r="AH50">
        <f>IFERROR(INDEX(PP_Grid[#Data],$DE50,31),0)</f>
        <v/>
      </c>
      <c r="AI50">
        <f>IFERROR(INDEX(PP_Grid[#Data],$DE50,32),0)</f>
        <v/>
      </c>
      <c r="AJ50">
        <f>IFERROR(INDEX(PP_Grid[#Data],$DE50,33),0)</f>
        <v/>
      </c>
      <c r="AK50">
        <f>IFERROR(INDEX(PP_Grid[#Data],$DE50,34),0)</f>
        <v/>
      </c>
      <c r="AL50">
        <f>IFERROR(INDEX(PP_Grid[#Data],$DE50,35),0)</f>
        <v/>
      </c>
      <c r="AM50">
        <f>IFERROR(INDEX(PP_Grid[#Data],$DE50,36),0)</f>
        <v/>
      </c>
      <c r="AN50">
        <f>IFERROR(INDEX(PP_Grid[#Data],$DE50,37),0)</f>
        <v/>
      </c>
      <c r="AO50">
        <f>IFERROR(INDEX(PP_Grid[#Data],$DE50,38),0)</f>
        <v/>
      </c>
      <c r="AP50">
        <f>IFERROR(INDEX(PP_Grid[#Data],$DE50,39),0)</f>
        <v/>
      </c>
      <c r="AQ50">
        <f>IFERROR(INDEX(PP_Grid[#Data],$DE50,40),0)</f>
        <v/>
      </c>
      <c r="AR50">
        <f>IFERROR(INDEX(PP_Grid[#Data],$DE50,41),0)</f>
        <v/>
      </c>
      <c r="AS50">
        <f>IFERROR(INDEX(PP_Grid[#Data],$DE50,42),0)</f>
        <v/>
      </c>
      <c r="AT50">
        <f>IFERROR(INDEX(PP_Grid[#Data],$DE50,43),0)</f>
        <v/>
      </c>
      <c r="AU50">
        <f>IFERROR(INDEX(PP_Grid[#Data],$DE50,44),0)</f>
        <v/>
      </c>
      <c r="AV50">
        <f>IFERROR(INDEX(PP_Grid[#Data],$DE50,45),0)</f>
        <v/>
      </c>
      <c r="AW50">
        <f>IFERROR(INDEX(PP_Grid[#Data],$DE50,46),0)</f>
        <v/>
      </c>
      <c r="AX50">
        <f>IFERROR(INDEX(PP_Grid[#Data],$DE50,47),0)</f>
        <v/>
      </c>
      <c r="AY50">
        <f>IFERROR(INDEX(PP_Grid[#Data],$DE50,48),0)</f>
        <v/>
      </c>
      <c r="AZ50">
        <f>IFERROR(INDEX(PP_Grid[#Data],$DE50,49),0)</f>
        <v/>
      </c>
      <c r="BA50">
        <f>IFERROR(INDEX(PP_Grid[#Data],$DE50,50),0)</f>
        <v/>
      </c>
      <c r="BB50">
        <f>IFERROR(INDEX(PP_Grid[#Data],$DE50,51),0)</f>
        <v/>
      </c>
      <c r="BC50">
        <f>IFERROR(INDEX(PP_Grid[#Data],$DE50,52),0)</f>
        <v/>
      </c>
      <c r="BD50">
        <f>IFERROR(INDEX(PP_Grid[#Data],$DE50,53),0)</f>
        <v/>
      </c>
      <c r="BE50">
        <f>IFERROR(INDEX(PP_Grid[#Data],$DE50,54),0)</f>
        <v/>
      </c>
      <c r="BF50">
        <f>IFERROR(INDEX(PP_Grid[#Data],$DE50,55),0)</f>
        <v/>
      </c>
      <c r="BG50">
        <f>IFERROR(INDEX(PP_Grid[#Data],$DE50,56),0)</f>
        <v/>
      </c>
      <c r="BH50">
        <f>IFERROR(INDEX(PP_Grid[#Data],$DE50,57),0)</f>
        <v/>
      </c>
      <c r="BI50">
        <f>IFERROR(INDEX(PP_Grid[#Data],$DE50,58),0)</f>
        <v/>
      </c>
      <c r="BJ50">
        <f>IFERROR(INDEX(PP_Grid[#Data],$DE50,59),0)</f>
        <v/>
      </c>
      <c r="BK50">
        <f>IFERROR(INDEX(PP_Grid[#Data],$DE50,60),0)</f>
        <v/>
      </c>
      <c r="BL50">
        <f>IFERROR(INDEX(PP_Grid[#Data],$DE50,61),0)</f>
        <v/>
      </c>
      <c r="BM50">
        <f>IFERROR(INDEX(PP_Grid[#Data],$DE50,62),0)</f>
        <v/>
      </c>
      <c r="BN50">
        <f>IFERROR(INDEX(PP_Grid[#Data],$DE50,63),0)</f>
        <v/>
      </c>
      <c r="BO50">
        <f>IFERROR(INDEX(PP_Grid[#Data],$DE50,64),0)</f>
        <v/>
      </c>
      <c r="BP50">
        <f>IFERROR(INDEX(PP_Grid[#Data],$DE50,65),0)</f>
        <v/>
      </c>
      <c r="BQ50">
        <f>IFERROR(INDEX(PP_Grid[#Data],$DE50,66),0)</f>
        <v/>
      </c>
      <c r="BR50">
        <f>IFERROR(INDEX(PP_Grid[#Data],$DE50,67),0)</f>
        <v/>
      </c>
      <c r="BS50">
        <f>IFERROR(INDEX(PP_Grid[#Data],$DE50,68),0)</f>
        <v/>
      </c>
      <c r="BT50">
        <f>IFERROR(INDEX(PP_Grid[#Data],$DE50,69),0)</f>
        <v/>
      </c>
      <c r="BU50">
        <f>IFERROR(INDEX(PP_Grid[#Data],$DE50,70),0)</f>
        <v/>
      </c>
      <c r="BV50">
        <f>IFERROR(INDEX(PP_Grid[#Data],$DE50,71),0)</f>
        <v/>
      </c>
      <c r="BW50">
        <f>IFERROR(INDEX(PP_Grid[#Data],$DE50,72),0)</f>
        <v/>
      </c>
      <c r="BX50">
        <f>IFERROR(INDEX(PP_Grid[#Data],$DE50,73),0)</f>
        <v/>
      </c>
      <c r="BY50">
        <f>IFERROR(INDEX(PP_Grid[#Data],$DE50,74),0)</f>
        <v/>
      </c>
      <c r="BZ50">
        <f>IFERROR(INDEX(PP_Grid[#Data],$DE50,75),0)</f>
        <v/>
      </c>
      <c r="CA50">
        <f>IFERROR(INDEX(PP_Grid[#Data],$DE50,76),0)</f>
        <v/>
      </c>
      <c r="CB50">
        <f>IFERROR(INDEX(PP_Grid[#Data],$DE50,77),0)</f>
        <v/>
      </c>
      <c r="CC50">
        <f>IFERROR(INDEX(PP_Grid[#Data],$DE50,78),0)</f>
        <v/>
      </c>
      <c r="CD50">
        <f>IFERROR(INDEX(PP_Grid[#Data],$DE50,79),0)</f>
        <v/>
      </c>
      <c r="CE50">
        <f>IFERROR(INDEX(PP_Grid[#Data],$DE50,80),0)</f>
        <v/>
      </c>
      <c r="CF50">
        <f>IFERROR(INDEX(PP_Grid[#Data],$DE50,81),0)</f>
        <v/>
      </c>
      <c r="CG50">
        <f>IFERROR(INDEX(PP_Grid[#Data],$DE50,82),0)</f>
        <v/>
      </c>
      <c r="CH50">
        <f>IFERROR(INDEX(PP_Grid[#Data],$DE50,83),0)</f>
        <v/>
      </c>
      <c r="CI50">
        <f>IFERROR(INDEX(PP_Grid[#Data],$DE50,84),0)</f>
        <v/>
      </c>
      <c r="CJ50">
        <f>IFERROR(INDEX(PP_Grid[#Data],$DE50,85),0)</f>
        <v/>
      </c>
      <c r="CK50">
        <f>IFERROR(INDEX(PP_Grid[#Data],$DE50,86),0)</f>
        <v/>
      </c>
      <c r="CL50">
        <f>IFERROR(INDEX(PP_Grid[#Data],$DE50,87),0)</f>
        <v/>
      </c>
      <c r="CM50">
        <f>IFERROR(INDEX(PP_Grid[#Data],$DE50,88),0)</f>
        <v/>
      </c>
      <c r="CN50">
        <f>IFERROR(INDEX(PP_Grid[#Data],$DE50,89),0)</f>
        <v/>
      </c>
      <c r="CO50">
        <f>IFERROR(INDEX(PP_Grid[#Data],$DE50,90),0)</f>
        <v/>
      </c>
      <c r="CP50">
        <f>IFERROR(INDEX(PP_Grid[#Data],$DE50,91),0)</f>
        <v/>
      </c>
      <c r="CQ50">
        <f>IFERROR(INDEX(PP_Grid[#Data],$DE50,92),0)</f>
        <v/>
      </c>
      <c r="CR50">
        <f>IFERROR(INDEX(PP_Grid[#Data],$DE50,93),0)</f>
        <v/>
      </c>
      <c r="CS50">
        <f>IFERROR(INDEX(PP_Grid[#Data],$DE50,94),0)</f>
        <v/>
      </c>
      <c r="CT50">
        <f>IFERROR(INDEX(PP_Grid[#Data],$DE50,95),0)</f>
        <v/>
      </c>
      <c r="CU50">
        <f>IFERROR(INDEX(PP_Grid[#Data],$DE50,96),0)</f>
        <v/>
      </c>
      <c r="CV50">
        <f>IFERROR(INDEX(PP_Grid[#Data],$DE50,97),0)</f>
        <v/>
      </c>
      <c r="CW50">
        <f>IFERROR(INDEX(PP_Grid[#Data],$DE50,98),0)</f>
        <v/>
      </c>
      <c r="CX50">
        <f>IFERROR(INDEX(PP_Grid[#Data],$DE50,99),0)</f>
        <v/>
      </c>
      <c r="CY50">
        <f>IFERROR(INDEX(PP_Grid[#Data],$DE50,100),0)</f>
        <v/>
      </c>
      <c r="CZ50">
        <f>IFERROR(INDEX(PP_Grid[#Data],$DE50,101),0)</f>
        <v/>
      </c>
      <c r="DA50">
        <f>IFERROR(INDEX(PP_Grid[#Data],$DE50,102),0)</f>
        <v/>
      </c>
      <c r="DB50">
        <f>IFERROR(INDEX(PP_Grid[#Data],$DE50,103),0)</f>
        <v/>
      </c>
      <c r="DC50">
        <f>IFERROR(INDEX(PP_Grid[#Data],$DE50,104),0)</f>
        <v/>
      </c>
      <c r="DD50">
        <f>IFERROR(INDEX(PP_Grid[#Data],$DE50,105),0)</f>
        <v/>
      </c>
      <c r="DE50" s="7">
        <f>IFERROR(MATCH($B50,PP_Grid[Intermediate],0),99999)</f>
        <v/>
      </c>
    </row>
    <row r="51">
      <c r="B51" t="inlineStr">
        <is>
          <t>使用量(kg)</t>
        </is>
      </c>
      <c r="C51">
        <f>SUMIFS(M_BOM[RM_Qty_Per_Batch],M_BOM[Intermediate],$B50,M_BOM[RM_Code],$A25)</f>
        <v/>
      </c>
      <c r="D51">
        <f>IFERROR(INDEX(E51:DD51,$F$1),"")</f>
        <v/>
      </c>
      <c r="E51">
        <f>$C51*E50</f>
        <v/>
      </c>
      <c r="F51">
        <f>$C51*F50</f>
        <v/>
      </c>
      <c r="G51">
        <f>$C51*G50</f>
        <v/>
      </c>
      <c r="H51">
        <f>$C51*H50</f>
        <v/>
      </c>
      <c r="I51">
        <f>$C51*I50</f>
        <v/>
      </c>
      <c r="J51">
        <f>$C51*J50</f>
        <v/>
      </c>
      <c r="K51">
        <f>$C51*K50</f>
        <v/>
      </c>
      <c r="L51">
        <f>$C51*L50</f>
        <v/>
      </c>
      <c r="M51">
        <f>$C51*M50</f>
        <v/>
      </c>
      <c r="N51">
        <f>$C51*N50</f>
        <v/>
      </c>
      <c r="O51">
        <f>$C51*O50</f>
        <v/>
      </c>
      <c r="P51">
        <f>$C51*P50</f>
        <v/>
      </c>
      <c r="Q51">
        <f>$C51*Q50</f>
        <v/>
      </c>
      <c r="R51">
        <f>$C51*R50</f>
        <v/>
      </c>
      <c r="S51">
        <f>$C51*S50</f>
        <v/>
      </c>
      <c r="T51">
        <f>$C51*T50</f>
        <v/>
      </c>
      <c r="U51">
        <f>$C51*U50</f>
        <v/>
      </c>
      <c r="V51">
        <f>$C51*V50</f>
        <v/>
      </c>
      <c r="W51">
        <f>$C51*W50</f>
        <v/>
      </c>
      <c r="X51">
        <f>$C51*X50</f>
        <v/>
      </c>
      <c r="Y51">
        <f>$C51*Y50</f>
        <v/>
      </c>
      <c r="Z51">
        <f>$C51*Z50</f>
        <v/>
      </c>
      <c r="AA51">
        <f>$C51*AA50</f>
        <v/>
      </c>
      <c r="AB51">
        <f>$C51*AB50</f>
        <v/>
      </c>
      <c r="AC51">
        <f>$C51*AC50</f>
        <v/>
      </c>
      <c r="AD51">
        <f>$C51*AD50</f>
        <v/>
      </c>
      <c r="AE51">
        <f>$C51*AE50</f>
        <v/>
      </c>
      <c r="AF51">
        <f>$C51*AF50</f>
        <v/>
      </c>
      <c r="AG51">
        <f>$C51*AG50</f>
        <v/>
      </c>
      <c r="AH51">
        <f>$C51*AH50</f>
        <v/>
      </c>
      <c r="AI51">
        <f>$C51*AI50</f>
        <v/>
      </c>
      <c r="AJ51">
        <f>$C51*AJ50</f>
        <v/>
      </c>
      <c r="AK51">
        <f>$C51*AK50</f>
        <v/>
      </c>
      <c r="AL51">
        <f>$C51*AL50</f>
        <v/>
      </c>
      <c r="AM51">
        <f>$C51*AM50</f>
        <v/>
      </c>
      <c r="AN51">
        <f>$C51*AN50</f>
        <v/>
      </c>
      <c r="AO51">
        <f>$C51*AO50</f>
        <v/>
      </c>
      <c r="AP51">
        <f>$C51*AP50</f>
        <v/>
      </c>
      <c r="AQ51">
        <f>$C51*AQ50</f>
        <v/>
      </c>
      <c r="AR51">
        <f>$C51*AR50</f>
        <v/>
      </c>
      <c r="AS51">
        <f>$C51*AS50</f>
        <v/>
      </c>
      <c r="AT51">
        <f>$C51*AT50</f>
        <v/>
      </c>
      <c r="AU51">
        <f>$C51*AU50</f>
        <v/>
      </c>
      <c r="AV51">
        <f>$C51*AV50</f>
        <v/>
      </c>
      <c r="AW51">
        <f>$C51*AW50</f>
        <v/>
      </c>
      <c r="AX51">
        <f>$C51*AX50</f>
        <v/>
      </c>
      <c r="AY51">
        <f>$C51*AY50</f>
        <v/>
      </c>
      <c r="AZ51">
        <f>$C51*AZ50</f>
        <v/>
      </c>
      <c r="BA51">
        <f>$C51*BA50</f>
        <v/>
      </c>
      <c r="BB51">
        <f>$C51*BB50</f>
        <v/>
      </c>
      <c r="BC51">
        <f>$C51*BC50</f>
        <v/>
      </c>
      <c r="BD51">
        <f>$C51*BD50</f>
        <v/>
      </c>
      <c r="BE51">
        <f>$C51*BE50</f>
        <v/>
      </c>
      <c r="BF51">
        <f>$C51*BF50</f>
        <v/>
      </c>
      <c r="BG51">
        <f>$C51*BG50</f>
        <v/>
      </c>
      <c r="BH51">
        <f>$C51*BH50</f>
        <v/>
      </c>
      <c r="BI51">
        <f>$C51*BI50</f>
        <v/>
      </c>
      <c r="BJ51">
        <f>$C51*BJ50</f>
        <v/>
      </c>
      <c r="BK51">
        <f>$C51*BK50</f>
        <v/>
      </c>
      <c r="BL51">
        <f>$C51*BL50</f>
        <v/>
      </c>
      <c r="BM51">
        <f>$C51*BM50</f>
        <v/>
      </c>
      <c r="BN51">
        <f>$C51*BN50</f>
        <v/>
      </c>
      <c r="BO51">
        <f>$C51*BO50</f>
        <v/>
      </c>
      <c r="BP51">
        <f>$C51*BP50</f>
        <v/>
      </c>
      <c r="BQ51">
        <f>$C51*BQ50</f>
        <v/>
      </c>
      <c r="BR51">
        <f>$C51*BR50</f>
        <v/>
      </c>
      <c r="BS51">
        <f>$C51*BS50</f>
        <v/>
      </c>
      <c r="BT51">
        <f>$C51*BT50</f>
        <v/>
      </c>
      <c r="BU51">
        <f>$C51*BU50</f>
        <v/>
      </c>
      <c r="BV51">
        <f>$C51*BV50</f>
        <v/>
      </c>
      <c r="BW51">
        <f>$C51*BW50</f>
        <v/>
      </c>
      <c r="BX51">
        <f>$C51*BX50</f>
        <v/>
      </c>
      <c r="BY51">
        <f>$C51*BY50</f>
        <v/>
      </c>
      <c r="BZ51">
        <f>$C51*BZ50</f>
        <v/>
      </c>
      <c r="CA51">
        <f>$C51*CA50</f>
        <v/>
      </c>
      <c r="CB51">
        <f>$C51*CB50</f>
        <v/>
      </c>
      <c r="CC51">
        <f>$C51*CC50</f>
        <v/>
      </c>
      <c r="CD51">
        <f>$C51*CD50</f>
        <v/>
      </c>
      <c r="CE51">
        <f>$C51*CE50</f>
        <v/>
      </c>
      <c r="CF51">
        <f>$C51*CF50</f>
        <v/>
      </c>
      <c r="CG51">
        <f>$C51*CG50</f>
        <v/>
      </c>
      <c r="CH51">
        <f>$C51*CH50</f>
        <v/>
      </c>
      <c r="CI51">
        <f>$C51*CI50</f>
        <v/>
      </c>
      <c r="CJ51">
        <f>$C51*CJ50</f>
        <v/>
      </c>
      <c r="CK51">
        <f>$C51*CK50</f>
        <v/>
      </c>
      <c r="CL51">
        <f>$C51*CL50</f>
        <v/>
      </c>
      <c r="CM51">
        <f>$C51*CM50</f>
        <v/>
      </c>
      <c r="CN51">
        <f>$C51*CN50</f>
        <v/>
      </c>
      <c r="CO51">
        <f>$C51*CO50</f>
        <v/>
      </c>
      <c r="CP51">
        <f>$C51*CP50</f>
        <v/>
      </c>
      <c r="CQ51">
        <f>$C51*CQ50</f>
        <v/>
      </c>
      <c r="CR51">
        <f>$C51*CR50</f>
        <v/>
      </c>
      <c r="CS51">
        <f>$C51*CS50</f>
        <v/>
      </c>
      <c r="CT51">
        <f>$C51*CT50</f>
        <v/>
      </c>
      <c r="CU51">
        <f>$C51*CU50</f>
        <v/>
      </c>
      <c r="CV51">
        <f>$C51*CV50</f>
        <v/>
      </c>
      <c r="CW51">
        <f>$C51*CW50</f>
        <v/>
      </c>
      <c r="CX51">
        <f>$C51*CX50</f>
        <v/>
      </c>
      <c r="CY51">
        <f>$C51*CY50</f>
        <v/>
      </c>
      <c r="CZ51">
        <f>$C51*CZ50</f>
        <v/>
      </c>
      <c r="DA51">
        <f>$C51*DA50</f>
        <v/>
      </c>
      <c r="DB51">
        <f>$C51*DB50</f>
        <v/>
      </c>
      <c r="DC51">
        <f>$C51*DC50</f>
        <v/>
      </c>
      <c r="DD51">
        <f>$C51*DD50</f>
        <v/>
      </c>
    </row>
    <row r="52">
      <c r="B52" t="inlineStr">
        <is>
          <t>TSP-544</t>
        </is>
      </c>
      <c r="C52" t="inlineStr">
        <is>
          <t>No. of batches</t>
        </is>
      </c>
      <c r="D52">
        <f>IFERROR(INDEX(E52:DD52,$F$1),"")</f>
        <v/>
      </c>
      <c r="E52">
        <f>IFERROR(INDEX(PP_Grid[#Data],$DE52,2),0)</f>
        <v/>
      </c>
      <c r="F52">
        <f>IFERROR(INDEX(PP_Grid[#Data],$DE52,3),0)</f>
        <v/>
      </c>
      <c r="G52">
        <f>IFERROR(INDEX(PP_Grid[#Data],$DE52,4),0)</f>
        <v/>
      </c>
      <c r="H52">
        <f>IFERROR(INDEX(PP_Grid[#Data],$DE52,5),0)</f>
        <v/>
      </c>
      <c r="I52">
        <f>IFERROR(INDEX(PP_Grid[#Data],$DE52,6),0)</f>
        <v/>
      </c>
      <c r="J52">
        <f>IFERROR(INDEX(PP_Grid[#Data],$DE52,7),0)</f>
        <v/>
      </c>
      <c r="K52">
        <f>IFERROR(INDEX(PP_Grid[#Data],$DE52,8),0)</f>
        <v/>
      </c>
      <c r="L52">
        <f>IFERROR(INDEX(PP_Grid[#Data],$DE52,9),0)</f>
        <v/>
      </c>
      <c r="M52">
        <f>IFERROR(INDEX(PP_Grid[#Data],$DE52,10),0)</f>
        <v/>
      </c>
      <c r="N52">
        <f>IFERROR(INDEX(PP_Grid[#Data],$DE52,11),0)</f>
        <v/>
      </c>
      <c r="O52">
        <f>IFERROR(INDEX(PP_Grid[#Data],$DE52,12),0)</f>
        <v/>
      </c>
      <c r="P52">
        <f>IFERROR(INDEX(PP_Grid[#Data],$DE52,13),0)</f>
        <v/>
      </c>
      <c r="Q52">
        <f>IFERROR(INDEX(PP_Grid[#Data],$DE52,14),0)</f>
        <v/>
      </c>
      <c r="R52">
        <f>IFERROR(INDEX(PP_Grid[#Data],$DE52,15),0)</f>
        <v/>
      </c>
      <c r="S52">
        <f>IFERROR(INDEX(PP_Grid[#Data],$DE52,16),0)</f>
        <v/>
      </c>
      <c r="T52">
        <f>IFERROR(INDEX(PP_Grid[#Data],$DE52,17),0)</f>
        <v/>
      </c>
      <c r="U52">
        <f>IFERROR(INDEX(PP_Grid[#Data],$DE52,18),0)</f>
        <v/>
      </c>
      <c r="V52">
        <f>IFERROR(INDEX(PP_Grid[#Data],$DE52,19),0)</f>
        <v/>
      </c>
      <c r="W52">
        <f>IFERROR(INDEX(PP_Grid[#Data],$DE52,20),0)</f>
        <v/>
      </c>
      <c r="X52">
        <f>IFERROR(INDEX(PP_Grid[#Data],$DE52,21),0)</f>
        <v/>
      </c>
      <c r="Y52">
        <f>IFERROR(INDEX(PP_Grid[#Data],$DE52,22),0)</f>
        <v/>
      </c>
      <c r="Z52">
        <f>IFERROR(INDEX(PP_Grid[#Data],$DE52,23),0)</f>
        <v/>
      </c>
      <c r="AA52">
        <f>IFERROR(INDEX(PP_Grid[#Data],$DE52,24),0)</f>
        <v/>
      </c>
      <c r="AB52">
        <f>IFERROR(INDEX(PP_Grid[#Data],$DE52,25),0)</f>
        <v/>
      </c>
      <c r="AC52">
        <f>IFERROR(INDEX(PP_Grid[#Data],$DE52,26),0)</f>
        <v/>
      </c>
      <c r="AD52">
        <f>IFERROR(INDEX(PP_Grid[#Data],$DE52,27),0)</f>
        <v/>
      </c>
      <c r="AE52">
        <f>IFERROR(INDEX(PP_Grid[#Data],$DE52,28),0)</f>
        <v/>
      </c>
      <c r="AF52">
        <f>IFERROR(INDEX(PP_Grid[#Data],$DE52,29),0)</f>
        <v/>
      </c>
      <c r="AG52">
        <f>IFERROR(INDEX(PP_Grid[#Data],$DE52,30),0)</f>
        <v/>
      </c>
      <c r="AH52">
        <f>IFERROR(INDEX(PP_Grid[#Data],$DE52,31),0)</f>
        <v/>
      </c>
      <c r="AI52">
        <f>IFERROR(INDEX(PP_Grid[#Data],$DE52,32),0)</f>
        <v/>
      </c>
      <c r="AJ52">
        <f>IFERROR(INDEX(PP_Grid[#Data],$DE52,33),0)</f>
        <v/>
      </c>
      <c r="AK52">
        <f>IFERROR(INDEX(PP_Grid[#Data],$DE52,34),0)</f>
        <v/>
      </c>
      <c r="AL52">
        <f>IFERROR(INDEX(PP_Grid[#Data],$DE52,35),0)</f>
        <v/>
      </c>
      <c r="AM52">
        <f>IFERROR(INDEX(PP_Grid[#Data],$DE52,36),0)</f>
        <v/>
      </c>
      <c r="AN52">
        <f>IFERROR(INDEX(PP_Grid[#Data],$DE52,37),0)</f>
        <v/>
      </c>
      <c r="AO52">
        <f>IFERROR(INDEX(PP_Grid[#Data],$DE52,38),0)</f>
        <v/>
      </c>
      <c r="AP52">
        <f>IFERROR(INDEX(PP_Grid[#Data],$DE52,39),0)</f>
        <v/>
      </c>
      <c r="AQ52">
        <f>IFERROR(INDEX(PP_Grid[#Data],$DE52,40),0)</f>
        <v/>
      </c>
      <c r="AR52">
        <f>IFERROR(INDEX(PP_Grid[#Data],$DE52,41),0)</f>
        <v/>
      </c>
      <c r="AS52">
        <f>IFERROR(INDEX(PP_Grid[#Data],$DE52,42),0)</f>
        <v/>
      </c>
      <c r="AT52">
        <f>IFERROR(INDEX(PP_Grid[#Data],$DE52,43),0)</f>
        <v/>
      </c>
      <c r="AU52">
        <f>IFERROR(INDEX(PP_Grid[#Data],$DE52,44),0)</f>
        <v/>
      </c>
      <c r="AV52">
        <f>IFERROR(INDEX(PP_Grid[#Data],$DE52,45),0)</f>
        <v/>
      </c>
      <c r="AW52">
        <f>IFERROR(INDEX(PP_Grid[#Data],$DE52,46),0)</f>
        <v/>
      </c>
      <c r="AX52">
        <f>IFERROR(INDEX(PP_Grid[#Data],$DE52,47),0)</f>
        <v/>
      </c>
      <c r="AY52">
        <f>IFERROR(INDEX(PP_Grid[#Data],$DE52,48),0)</f>
        <v/>
      </c>
      <c r="AZ52">
        <f>IFERROR(INDEX(PP_Grid[#Data],$DE52,49),0)</f>
        <v/>
      </c>
      <c r="BA52">
        <f>IFERROR(INDEX(PP_Grid[#Data],$DE52,50),0)</f>
        <v/>
      </c>
      <c r="BB52">
        <f>IFERROR(INDEX(PP_Grid[#Data],$DE52,51),0)</f>
        <v/>
      </c>
      <c r="BC52">
        <f>IFERROR(INDEX(PP_Grid[#Data],$DE52,52),0)</f>
        <v/>
      </c>
      <c r="BD52">
        <f>IFERROR(INDEX(PP_Grid[#Data],$DE52,53),0)</f>
        <v/>
      </c>
      <c r="BE52">
        <f>IFERROR(INDEX(PP_Grid[#Data],$DE52,54),0)</f>
        <v/>
      </c>
      <c r="BF52">
        <f>IFERROR(INDEX(PP_Grid[#Data],$DE52,55),0)</f>
        <v/>
      </c>
      <c r="BG52">
        <f>IFERROR(INDEX(PP_Grid[#Data],$DE52,56),0)</f>
        <v/>
      </c>
      <c r="BH52">
        <f>IFERROR(INDEX(PP_Grid[#Data],$DE52,57),0)</f>
        <v/>
      </c>
      <c r="BI52">
        <f>IFERROR(INDEX(PP_Grid[#Data],$DE52,58),0)</f>
        <v/>
      </c>
      <c r="BJ52">
        <f>IFERROR(INDEX(PP_Grid[#Data],$DE52,59),0)</f>
        <v/>
      </c>
      <c r="BK52">
        <f>IFERROR(INDEX(PP_Grid[#Data],$DE52,60),0)</f>
        <v/>
      </c>
      <c r="BL52">
        <f>IFERROR(INDEX(PP_Grid[#Data],$DE52,61),0)</f>
        <v/>
      </c>
      <c r="BM52">
        <f>IFERROR(INDEX(PP_Grid[#Data],$DE52,62),0)</f>
        <v/>
      </c>
      <c r="BN52">
        <f>IFERROR(INDEX(PP_Grid[#Data],$DE52,63),0)</f>
        <v/>
      </c>
      <c r="BO52">
        <f>IFERROR(INDEX(PP_Grid[#Data],$DE52,64),0)</f>
        <v/>
      </c>
      <c r="BP52">
        <f>IFERROR(INDEX(PP_Grid[#Data],$DE52,65),0)</f>
        <v/>
      </c>
      <c r="BQ52">
        <f>IFERROR(INDEX(PP_Grid[#Data],$DE52,66),0)</f>
        <v/>
      </c>
      <c r="BR52">
        <f>IFERROR(INDEX(PP_Grid[#Data],$DE52,67),0)</f>
        <v/>
      </c>
      <c r="BS52">
        <f>IFERROR(INDEX(PP_Grid[#Data],$DE52,68),0)</f>
        <v/>
      </c>
      <c r="BT52">
        <f>IFERROR(INDEX(PP_Grid[#Data],$DE52,69),0)</f>
        <v/>
      </c>
      <c r="BU52">
        <f>IFERROR(INDEX(PP_Grid[#Data],$DE52,70),0)</f>
        <v/>
      </c>
      <c r="BV52">
        <f>IFERROR(INDEX(PP_Grid[#Data],$DE52,71),0)</f>
        <v/>
      </c>
      <c r="BW52">
        <f>IFERROR(INDEX(PP_Grid[#Data],$DE52,72),0)</f>
        <v/>
      </c>
      <c r="BX52">
        <f>IFERROR(INDEX(PP_Grid[#Data],$DE52,73),0)</f>
        <v/>
      </c>
      <c r="BY52">
        <f>IFERROR(INDEX(PP_Grid[#Data],$DE52,74),0)</f>
        <v/>
      </c>
      <c r="BZ52">
        <f>IFERROR(INDEX(PP_Grid[#Data],$DE52,75),0)</f>
        <v/>
      </c>
      <c r="CA52">
        <f>IFERROR(INDEX(PP_Grid[#Data],$DE52,76),0)</f>
        <v/>
      </c>
      <c r="CB52">
        <f>IFERROR(INDEX(PP_Grid[#Data],$DE52,77),0)</f>
        <v/>
      </c>
      <c r="CC52">
        <f>IFERROR(INDEX(PP_Grid[#Data],$DE52,78),0)</f>
        <v/>
      </c>
      <c r="CD52">
        <f>IFERROR(INDEX(PP_Grid[#Data],$DE52,79),0)</f>
        <v/>
      </c>
      <c r="CE52">
        <f>IFERROR(INDEX(PP_Grid[#Data],$DE52,80),0)</f>
        <v/>
      </c>
      <c r="CF52">
        <f>IFERROR(INDEX(PP_Grid[#Data],$DE52,81),0)</f>
        <v/>
      </c>
      <c r="CG52">
        <f>IFERROR(INDEX(PP_Grid[#Data],$DE52,82),0)</f>
        <v/>
      </c>
      <c r="CH52">
        <f>IFERROR(INDEX(PP_Grid[#Data],$DE52,83),0)</f>
        <v/>
      </c>
      <c r="CI52">
        <f>IFERROR(INDEX(PP_Grid[#Data],$DE52,84),0)</f>
        <v/>
      </c>
      <c r="CJ52">
        <f>IFERROR(INDEX(PP_Grid[#Data],$DE52,85),0)</f>
        <v/>
      </c>
      <c r="CK52">
        <f>IFERROR(INDEX(PP_Grid[#Data],$DE52,86),0)</f>
        <v/>
      </c>
      <c r="CL52">
        <f>IFERROR(INDEX(PP_Grid[#Data],$DE52,87),0)</f>
        <v/>
      </c>
      <c r="CM52">
        <f>IFERROR(INDEX(PP_Grid[#Data],$DE52,88),0)</f>
        <v/>
      </c>
      <c r="CN52">
        <f>IFERROR(INDEX(PP_Grid[#Data],$DE52,89),0)</f>
        <v/>
      </c>
      <c r="CO52">
        <f>IFERROR(INDEX(PP_Grid[#Data],$DE52,90),0)</f>
        <v/>
      </c>
      <c r="CP52">
        <f>IFERROR(INDEX(PP_Grid[#Data],$DE52,91),0)</f>
        <v/>
      </c>
      <c r="CQ52">
        <f>IFERROR(INDEX(PP_Grid[#Data],$DE52,92),0)</f>
        <v/>
      </c>
      <c r="CR52">
        <f>IFERROR(INDEX(PP_Grid[#Data],$DE52,93),0)</f>
        <v/>
      </c>
      <c r="CS52">
        <f>IFERROR(INDEX(PP_Grid[#Data],$DE52,94),0)</f>
        <v/>
      </c>
      <c r="CT52">
        <f>IFERROR(INDEX(PP_Grid[#Data],$DE52,95),0)</f>
        <v/>
      </c>
      <c r="CU52">
        <f>IFERROR(INDEX(PP_Grid[#Data],$DE52,96),0)</f>
        <v/>
      </c>
      <c r="CV52">
        <f>IFERROR(INDEX(PP_Grid[#Data],$DE52,97),0)</f>
        <v/>
      </c>
      <c r="CW52">
        <f>IFERROR(INDEX(PP_Grid[#Data],$DE52,98),0)</f>
        <v/>
      </c>
      <c r="CX52">
        <f>IFERROR(INDEX(PP_Grid[#Data],$DE52,99),0)</f>
        <v/>
      </c>
      <c r="CY52">
        <f>IFERROR(INDEX(PP_Grid[#Data],$DE52,100),0)</f>
        <v/>
      </c>
      <c r="CZ52">
        <f>IFERROR(INDEX(PP_Grid[#Data],$DE52,101),0)</f>
        <v/>
      </c>
      <c r="DA52">
        <f>IFERROR(INDEX(PP_Grid[#Data],$DE52,102),0)</f>
        <v/>
      </c>
      <c r="DB52">
        <f>IFERROR(INDEX(PP_Grid[#Data],$DE52,103),0)</f>
        <v/>
      </c>
      <c r="DC52">
        <f>IFERROR(INDEX(PP_Grid[#Data],$DE52,104),0)</f>
        <v/>
      </c>
      <c r="DD52">
        <f>IFERROR(INDEX(PP_Grid[#Data],$DE52,105),0)</f>
        <v/>
      </c>
      <c r="DE52" s="7">
        <f>IFERROR(MATCH($B52,PP_Grid[Intermediate],0),99999)</f>
        <v/>
      </c>
    </row>
    <row r="53">
      <c r="B53" t="inlineStr">
        <is>
          <t>使用量(kg)</t>
        </is>
      </c>
      <c r="C53">
        <f>SUMIFS(M_BOM[RM_Qty_Per_Batch],M_BOM[Intermediate],$B52,M_BOM[RM_Code],$A25)</f>
        <v/>
      </c>
      <c r="D53">
        <f>IFERROR(INDEX(E53:DD53,$F$1),"")</f>
        <v/>
      </c>
      <c r="E53">
        <f>$C53*E52</f>
        <v/>
      </c>
      <c r="F53">
        <f>$C53*F52</f>
        <v/>
      </c>
      <c r="G53">
        <f>$C53*G52</f>
        <v/>
      </c>
      <c r="H53">
        <f>$C53*H52</f>
        <v/>
      </c>
      <c r="I53">
        <f>$C53*I52</f>
        <v/>
      </c>
      <c r="J53">
        <f>$C53*J52</f>
        <v/>
      </c>
      <c r="K53">
        <f>$C53*K52</f>
        <v/>
      </c>
      <c r="L53">
        <f>$C53*L52</f>
        <v/>
      </c>
      <c r="M53">
        <f>$C53*M52</f>
        <v/>
      </c>
      <c r="N53">
        <f>$C53*N52</f>
        <v/>
      </c>
      <c r="O53">
        <f>$C53*O52</f>
        <v/>
      </c>
      <c r="P53">
        <f>$C53*P52</f>
        <v/>
      </c>
      <c r="Q53">
        <f>$C53*Q52</f>
        <v/>
      </c>
      <c r="R53">
        <f>$C53*R52</f>
        <v/>
      </c>
      <c r="S53">
        <f>$C53*S52</f>
        <v/>
      </c>
      <c r="T53">
        <f>$C53*T52</f>
        <v/>
      </c>
      <c r="U53">
        <f>$C53*U52</f>
        <v/>
      </c>
      <c r="V53">
        <f>$C53*V52</f>
        <v/>
      </c>
      <c r="W53">
        <f>$C53*W52</f>
        <v/>
      </c>
      <c r="X53">
        <f>$C53*X52</f>
        <v/>
      </c>
      <c r="Y53">
        <f>$C53*Y52</f>
        <v/>
      </c>
      <c r="Z53">
        <f>$C53*Z52</f>
        <v/>
      </c>
      <c r="AA53">
        <f>$C53*AA52</f>
        <v/>
      </c>
      <c r="AB53">
        <f>$C53*AB52</f>
        <v/>
      </c>
      <c r="AC53">
        <f>$C53*AC52</f>
        <v/>
      </c>
      <c r="AD53">
        <f>$C53*AD52</f>
        <v/>
      </c>
      <c r="AE53">
        <f>$C53*AE52</f>
        <v/>
      </c>
      <c r="AF53">
        <f>$C53*AF52</f>
        <v/>
      </c>
      <c r="AG53">
        <f>$C53*AG52</f>
        <v/>
      </c>
      <c r="AH53">
        <f>$C53*AH52</f>
        <v/>
      </c>
      <c r="AI53">
        <f>$C53*AI52</f>
        <v/>
      </c>
      <c r="AJ53">
        <f>$C53*AJ52</f>
        <v/>
      </c>
      <c r="AK53">
        <f>$C53*AK52</f>
        <v/>
      </c>
      <c r="AL53">
        <f>$C53*AL52</f>
        <v/>
      </c>
      <c r="AM53">
        <f>$C53*AM52</f>
        <v/>
      </c>
      <c r="AN53">
        <f>$C53*AN52</f>
        <v/>
      </c>
      <c r="AO53">
        <f>$C53*AO52</f>
        <v/>
      </c>
      <c r="AP53">
        <f>$C53*AP52</f>
        <v/>
      </c>
      <c r="AQ53">
        <f>$C53*AQ52</f>
        <v/>
      </c>
      <c r="AR53">
        <f>$C53*AR52</f>
        <v/>
      </c>
      <c r="AS53">
        <f>$C53*AS52</f>
        <v/>
      </c>
      <c r="AT53">
        <f>$C53*AT52</f>
        <v/>
      </c>
      <c r="AU53">
        <f>$C53*AU52</f>
        <v/>
      </c>
      <c r="AV53">
        <f>$C53*AV52</f>
        <v/>
      </c>
      <c r="AW53">
        <f>$C53*AW52</f>
        <v/>
      </c>
      <c r="AX53">
        <f>$C53*AX52</f>
        <v/>
      </c>
      <c r="AY53">
        <f>$C53*AY52</f>
        <v/>
      </c>
      <c r="AZ53">
        <f>$C53*AZ52</f>
        <v/>
      </c>
      <c r="BA53">
        <f>$C53*BA52</f>
        <v/>
      </c>
      <c r="BB53">
        <f>$C53*BB52</f>
        <v/>
      </c>
      <c r="BC53">
        <f>$C53*BC52</f>
        <v/>
      </c>
      <c r="BD53">
        <f>$C53*BD52</f>
        <v/>
      </c>
      <c r="BE53">
        <f>$C53*BE52</f>
        <v/>
      </c>
      <c r="BF53">
        <f>$C53*BF52</f>
        <v/>
      </c>
      <c r="BG53">
        <f>$C53*BG52</f>
        <v/>
      </c>
      <c r="BH53">
        <f>$C53*BH52</f>
        <v/>
      </c>
      <c r="BI53">
        <f>$C53*BI52</f>
        <v/>
      </c>
      <c r="BJ53">
        <f>$C53*BJ52</f>
        <v/>
      </c>
      <c r="BK53">
        <f>$C53*BK52</f>
        <v/>
      </c>
      <c r="BL53">
        <f>$C53*BL52</f>
        <v/>
      </c>
      <c r="BM53">
        <f>$C53*BM52</f>
        <v/>
      </c>
      <c r="BN53">
        <f>$C53*BN52</f>
        <v/>
      </c>
      <c r="BO53">
        <f>$C53*BO52</f>
        <v/>
      </c>
      <c r="BP53">
        <f>$C53*BP52</f>
        <v/>
      </c>
      <c r="BQ53">
        <f>$C53*BQ52</f>
        <v/>
      </c>
      <c r="BR53">
        <f>$C53*BR52</f>
        <v/>
      </c>
      <c r="BS53">
        <f>$C53*BS52</f>
        <v/>
      </c>
      <c r="BT53">
        <f>$C53*BT52</f>
        <v/>
      </c>
      <c r="BU53">
        <f>$C53*BU52</f>
        <v/>
      </c>
      <c r="BV53">
        <f>$C53*BV52</f>
        <v/>
      </c>
      <c r="BW53">
        <f>$C53*BW52</f>
        <v/>
      </c>
      <c r="BX53">
        <f>$C53*BX52</f>
        <v/>
      </c>
      <c r="BY53">
        <f>$C53*BY52</f>
        <v/>
      </c>
      <c r="BZ53">
        <f>$C53*BZ52</f>
        <v/>
      </c>
      <c r="CA53">
        <f>$C53*CA52</f>
        <v/>
      </c>
      <c r="CB53">
        <f>$C53*CB52</f>
        <v/>
      </c>
      <c r="CC53">
        <f>$C53*CC52</f>
        <v/>
      </c>
      <c r="CD53">
        <f>$C53*CD52</f>
        <v/>
      </c>
      <c r="CE53">
        <f>$C53*CE52</f>
        <v/>
      </c>
      <c r="CF53">
        <f>$C53*CF52</f>
        <v/>
      </c>
      <c r="CG53">
        <f>$C53*CG52</f>
        <v/>
      </c>
      <c r="CH53">
        <f>$C53*CH52</f>
        <v/>
      </c>
      <c r="CI53">
        <f>$C53*CI52</f>
        <v/>
      </c>
      <c r="CJ53">
        <f>$C53*CJ52</f>
        <v/>
      </c>
      <c r="CK53">
        <f>$C53*CK52</f>
        <v/>
      </c>
      <c r="CL53">
        <f>$C53*CL52</f>
        <v/>
      </c>
      <c r="CM53">
        <f>$C53*CM52</f>
        <v/>
      </c>
      <c r="CN53">
        <f>$C53*CN52</f>
        <v/>
      </c>
      <c r="CO53">
        <f>$C53*CO52</f>
        <v/>
      </c>
      <c r="CP53">
        <f>$C53*CP52</f>
        <v/>
      </c>
      <c r="CQ53">
        <f>$C53*CQ52</f>
        <v/>
      </c>
      <c r="CR53">
        <f>$C53*CR52</f>
        <v/>
      </c>
      <c r="CS53">
        <f>$C53*CS52</f>
        <v/>
      </c>
      <c r="CT53">
        <f>$C53*CT52</f>
        <v/>
      </c>
      <c r="CU53">
        <f>$C53*CU52</f>
        <v/>
      </c>
      <c r="CV53">
        <f>$C53*CV52</f>
        <v/>
      </c>
      <c r="CW53">
        <f>$C53*CW52</f>
        <v/>
      </c>
      <c r="CX53">
        <f>$C53*CX52</f>
        <v/>
      </c>
      <c r="CY53">
        <f>$C53*CY52</f>
        <v/>
      </c>
      <c r="CZ53">
        <f>$C53*CZ52</f>
        <v/>
      </c>
      <c r="DA53">
        <f>$C53*DA52</f>
        <v/>
      </c>
      <c r="DB53">
        <f>$C53*DB52</f>
        <v/>
      </c>
      <c r="DC53">
        <f>$C53*DC52</f>
        <v/>
      </c>
      <c r="DD53">
        <f>$C53*DD52</f>
        <v/>
      </c>
    </row>
    <row r="54">
      <c r="B54" t="inlineStr">
        <is>
          <t>TSP-618</t>
        </is>
      </c>
      <c r="C54" t="inlineStr">
        <is>
          <t>No. of batches</t>
        </is>
      </c>
      <c r="D54">
        <f>IFERROR(INDEX(E54:DD54,$F$1),"")</f>
        <v/>
      </c>
      <c r="E54">
        <f>IFERROR(INDEX(PP_Grid[#Data],$DE54,2),0)</f>
        <v/>
      </c>
      <c r="F54">
        <f>IFERROR(INDEX(PP_Grid[#Data],$DE54,3),0)</f>
        <v/>
      </c>
      <c r="G54">
        <f>IFERROR(INDEX(PP_Grid[#Data],$DE54,4),0)</f>
        <v/>
      </c>
      <c r="H54">
        <f>IFERROR(INDEX(PP_Grid[#Data],$DE54,5),0)</f>
        <v/>
      </c>
      <c r="I54">
        <f>IFERROR(INDEX(PP_Grid[#Data],$DE54,6),0)</f>
        <v/>
      </c>
      <c r="J54">
        <f>IFERROR(INDEX(PP_Grid[#Data],$DE54,7),0)</f>
        <v/>
      </c>
      <c r="K54">
        <f>IFERROR(INDEX(PP_Grid[#Data],$DE54,8),0)</f>
        <v/>
      </c>
      <c r="L54">
        <f>IFERROR(INDEX(PP_Grid[#Data],$DE54,9),0)</f>
        <v/>
      </c>
      <c r="M54">
        <f>IFERROR(INDEX(PP_Grid[#Data],$DE54,10),0)</f>
        <v/>
      </c>
      <c r="N54">
        <f>IFERROR(INDEX(PP_Grid[#Data],$DE54,11),0)</f>
        <v/>
      </c>
      <c r="O54">
        <f>IFERROR(INDEX(PP_Grid[#Data],$DE54,12),0)</f>
        <v/>
      </c>
      <c r="P54">
        <f>IFERROR(INDEX(PP_Grid[#Data],$DE54,13),0)</f>
        <v/>
      </c>
      <c r="Q54">
        <f>IFERROR(INDEX(PP_Grid[#Data],$DE54,14),0)</f>
        <v/>
      </c>
      <c r="R54">
        <f>IFERROR(INDEX(PP_Grid[#Data],$DE54,15),0)</f>
        <v/>
      </c>
      <c r="S54">
        <f>IFERROR(INDEX(PP_Grid[#Data],$DE54,16),0)</f>
        <v/>
      </c>
      <c r="T54">
        <f>IFERROR(INDEX(PP_Grid[#Data],$DE54,17),0)</f>
        <v/>
      </c>
      <c r="U54">
        <f>IFERROR(INDEX(PP_Grid[#Data],$DE54,18),0)</f>
        <v/>
      </c>
      <c r="V54">
        <f>IFERROR(INDEX(PP_Grid[#Data],$DE54,19),0)</f>
        <v/>
      </c>
      <c r="W54">
        <f>IFERROR(INDEX(PP_Grid[#Data],$DE54,20),0)</f>
        <v/>
      </c>
      <c r="X54">
        <f>IFERROR(INDEX(PP_Grid[#Data],$DE54,21),0)</f>
        <v/>
      </c>
      <c r="Y54">
        <f>IFERROR(INDEX(PP_Grid[#Data],$DE54,22),0)</f>
        <v/>
      </c>
      <c r="Z54">
        <f>IFERROR(INDEX(PP_Grid[#Data],$DE54,23),0)</f>
        <v/>
      </c>
      <c r="AA54">
        <f>IFERROR(INDEX(PP_Grid[#Data],$DE54,24),0)</f>
        <v/>
      </c>
      <c r="AB54">
        <f>IFERROR(INDEX(PP_Grid[#Data],$DE54,25),0)</f>
        <v/>
      </c>
      <c r="AC54">
        <f>IFERROR(INDEX(PP_Grid[#Data],$DE54,26),0)</f>
        <v/>
      </c>
      <c r="AD54">
        <f>IFERROR(INDEX(PP_Grid[#Data],$DE54,27),0)</f>
        <v/>
      </c>
      <c r="AE54">
        <f>IFERROR(INDEX(PP_Grid[#Data],$DE54,28),0)</f>
        <v/>
      </c>
      <c r="AF54">
        <f>IFERROR(INDEX(PP_Grid[#Data],$DE54,29),0)</f>
        <v/>
      </c>
      <c r="AG54">
        <f>IFERROR(INDEX(PP_Grid[#Data],$DE54,30),0)</f>
        <v/>
      </c>
      <c r="AH54">
        <f>IFERROR(INDEX(PP_Grid[#Data],$DE54,31),0)</f>
        <v/>
      </c>
      <c r="AI54">
        <f>IFERROR(INDEX(PP_Grid[#Data],$DE54,32),0)</f>
        <v/>
      </c>
      <c r="AJ54">
        <f>IFERROR(INDEX(PP_Grid[#Data],$DE54,33),0)</f>
        <v/>
      </c>
      <c r="AK54">
        <f>IFERROR(INDEX(PP_Grid[#Data],$DE54,34),0)</f>
        <v/>
      </c>
      <c r="AL54">
        <f>IFERROR(INDEX(PP_Grid[#Data],$DE54,35),0)</f>
        <v/>
      </c>
      <c r="AM54">
        <f>IFERROR(INDEX(PP_Grid[#Data],$DE54,36),0)</f>
        <v/>
      </c>
      <c r="AN54">
        <f>IFERROR(INDEX(PP_Grid[#Data],$DE54,37),0)</f>
        <v/>
      </c>
      <c r="AO54">
        <f>IFERROR(INDEX(PP_Grid[#Data],$DE54,38),0)</f>
        <v/>
      </c>
      <c r="AP54">
        <f>IFERROR(INDEX(PP_Grid[#Data],$DE54,39),0)</f>
        <v/>
      </c>
      <c r="AQ54">
        <f>IFERROR(INDEX(PP_Grid[#Data],$DE54,40),0)</f>
        <v/>
      </c>
      <c r="AR54">
        <f>IFERROR(INDEX(PP_Grid[#Data],$DE54,41),0)</f>
        <v/>
      </c>
      <c r="AS54">
        <f>IFERROR(INDEX(PP_Grid[#Data],$DE54,42),0)</f>
        <v/>
      </c>
      <c r="AT54">
        <f>IFERROR(INDEX(PP_Grid[#Data],$DE54,43),0)</f>
        <v/>
      </c>
      <c r="AU54">
        <f>IFERROR(INDEX(PP_Grid[#Data],$DE54,44),0)</f>
        <v/>
      </c>
      <c r="AV54">
        <f>IFERROR(INDEX(PP_Grid[#Data],$DE54,45),0)</f>
        <v/>
      </c>
      <c r="AW54">
        <f>IFERROR(INDEX(PP_Grid[#Data],$DE54,46),0)</f>
        <v/>
      </c>
      <c r="AX54">
        <f>IFERROR(INDEX(PP_Grid[#Data],$DE54,47),0)</f>
        <v/>
      </c>
      <c r="AY54">
        <f>IFERROR(INDEX(PP_Grid[#Data],$DE54,48),0)</f>
        <v/>
      </c>
      <c r="AZ54">
        <f>IFERROR(INDEX(PP_Grid[#Data],$DE54,49),0)</f>
        <v/>
      </c>
      <c r="BA54">
        <f>IFERROR(INDEX(PP_Grid[#Data],$DE54,50),0)</f>
        <v/>
      </c>
      <c r="BB54">
        <f>IFERROR(INDEX(PP_Grid[#Data],$DE54,51),0)</f>
        <v/>
      </c>
      <c r="BC54">
        <f>IFERROR(INDEX(PP_Grid[#Data],$DE54,52),0)</f>
        <v/>
      </c>
      <c r="BD54">
        <f>IFERROR(INDEX(PP_Grid[#Data],$DE54,53),0)</f>
        <v/>
      </c>
      <c r="BE54">
        <f>IFERROR(INDEX(PP_Grid[#Data],$DE54,54),0)</f>
        <v/>
      </c>
      <c r="BF54">
        <f>IFERROR(INDEX(PP_Grid[#Data],$DE54,55),0)</f>
        <v/>
      </c>
      <c r="BG54">
        <f>IFERROR(INDEX(PP_Grid[#Data],$DE54,56),0)</f>
        <v/>
      </c>
      <c r="BH54">
        <f>IFERROR(INDEX(PP_Grid[#Data],$DE54,57),0)</f>
        <v/>
      </c>
      <c r="BI54">
        <f>IFERROR(INDEX(PP_Grid[#Data],$DE54,58),0)</f>
        <v/>
      </c>
      <c r="BJ54">
        <f>IFERROR(INDEX(PP_Grid[#Data],$DE54,59),0)</f>
        <v/>
      </c>
      <c r="BK54">
        <f>IFERROR(INDEX(PP_Grid[#Data],$DE54,60),0)</f>
        <v/>
      </c>
      <c r="BL54">
        <f>IFERROR(INDEX(PP_Grid[#Data],$DE54,61),0)</f>
        <v/>
      </c>
      <c r="BM54">
        <f>IFERROR(INDEX(PP_Grid[#Data],$DE54,62),0)</f>
        <v/>
      </c>
      <c r="BN54">
        <f>IFERROR(INDEX(PP_Grid[#Data],$DE54,63),0)</f>
        <v/>
      </c>
      <c r="BO54">
        <f>IFERROR(INDEX(PP_Grid[#Data],$DE54,64),0)</f>
        <v/>
      </c>
      <c r="BP54">
        <f>IFERROR(INDEX(PP_Grid[#Data],$DE54,65),0)</f>
        <v/>
      </c>
      <c r="BQ54">
        <f>IFERROR(INDEX(PP_Grid[#Data],$DE54,66),0)</f>
        <v/>
      </c>
      <c r="BR54">
        <f>IFERROR(INDEX(PP_Grid[#Data],$DE54,67),0)</f>
        <v/>
      </c>
      <c r="BS54">
        <f>IFERROR(INDEX(PP_Grid[#Data],$DE54,68),0)</f>
        <v/>
      </c>
      <c r="BT54">
        <f>IFERROR(INDEX(PP_Grid[#Data],$DE54,69),0)</f>
        <v/>
      </c>
      <c r="BU54">
        <f>IFERROR(INDEX(PP_Grid[#Data],$DE54,70),0)</f>
        <v/>
      </c>
      <c r="BV54">
        <f>IFERROR(INDEX(PP_Grid[#Data],$DE54,71),0)</f>
        <v/>
      </c>
      <c r="BW54">
        <f>IFERROR(INDEX(PP_Grid[#Data],$DE54,72),0)</f>
        <v/>
      </c>
      <c r="BX54">
        <f>IFERROR(INDEX(PP_Grid[#Data],$DE54,73),0)</f>
        <v/>
      </c>
      <c r="BY54">
        <f>IFERROR(INDEX(PP_Grid[#Data],$DE54,74),0)</f>
        <v/>
      </c>
      <c r="BZ54">
        <f>IFERROR(INDEX(PP_Grid[#Data],$DE54,75),0)</f>
        <v/>
      </c>
      <c r="CA54">
        <f>IFERROR(INDEX(PP_Grid[#Data],$DE54,76),0)</f>
        <v/>
      </c>
      <c r="CB54">
        <f>IFERROR(INDEX(PP_Grid[#Data],$DE54,77),0)</f>
        <v/>
      </c>
      <c r="CC54">
        <f>IFERROR(INDEX(PP_Grid[#Data],$DE54,78),0)</f>
        <v/>
      </c>
      <c r="CD54">
        <f>IFERROR(INDEX(PP_Grid[#Data],$DE54,79),0)</f>
        <v/>
      </c>
      <c r="CE54">
        <f>IFERROR(INDEX(PP_Grid[#Data],$DE54,80),0)</f>
        <v/>
      </c>
      <c r="CF54">
        <f>IFERROR(INDEX(PP_Grid[#Data],$DE54,81),0)</f>
        <v/>
      </c>
      <c r="CG54">
        <f>IFERROR(INDEX(PP_Grid[#Data],$DE54,82),0)</f>
        <v/>
      </c>
      <c r="CH54">
        <f>IFERROR(INDEX(PP_Grid[#Data],$DE54,83),0)</f>
        <v/>
      </c>
      <c r="CI54">
        <f>IFERROR(INDEX(PP_Grid[#Data],$DE54,84),0)</f>
        <v/>
      </c>
      <c r="CJ54">
        <f>IFERROR(INDEX(PP_Grid[#Data],$DE54,85),0)</f>
        <v/>
      </c>
      <c r="CK54">
        <f>IFERROR(INDEX(PP_Grid[#Data],$DE54,86),0)</f>
        <v/>
      </c>
      <c r="CL54">
        <f>IFERROR(INDEX(PP_Grid[#Data],$DE54,87),0)</f>
        <v/>
      </c>
      <c r="CM54">
        <f>IFERROR(INDEX(PP_Grid[#Data],$DE54,88),0)</f>
        <v/>
      </c>
      <c r="CN54">
        <f>IFERROR(INDEX(PP_Grid[#Data],$DE54,89),0)</f>
        <v/>
      </c>
      <c r="CO54">
        <f>IFERROR(INDEX(PP_Grid[#Data],$DE54,90),0)</f>
        <v/>
      </c>
      <c r="CP54">
        <f>IFERROR(INDEX(PP_Grid[#Data],$DE54,91),0)</f>
        <v/>
      </c>
      <c r="CQ54">
        <f>IFERROR(INDEX(PP_Grid[#Data],$DE54,92),0)</f>
        <v/>
      </c>
      <c r="CR54">
        <f>IFERROR(INDEX(PP_Grid[#Data],$DE54,93),0)</f>
        <v/>
      </c>
      <c r="CS54">
        <f>IFERROR(INDEX(PP_Grid[#Data],$DE54,94),0)</f>
        <v/>
      </c>
      <c r="CT54">
        <f>IFERROR(INDEX(PP_Grid[#Data],$DE54,95),0)</f>
        <v/>
      </c>
      <c r="CU54">
        <f>IFERROR(INDEX(PP_Grid[#Data],$DE54,96),0)</f>
        <v/>
      </c>
      <c r="CV54">
        <f>IFERROR(INDEX(PP_Grid[#Data],$DE54,97),0)</f>
        <v/>
      </c>
      <c r="CW54">
        <f>IFERROR(INDEX(PP_Grid[#Data],$DE54,98),0)</f>
        <v/>
      </c>
      <c r="CX54">
        <f>IFERROR(INDEX(PP_Grid[#Data],$DE54,99),0)</f>
        <v/>
      </c>
      <c r="CY54">
        <f>IFERROR(INDEX(PP_Grid[#Data],$DE54,100),0)</f>
        <v/>
      </c>
      <c r="CZ54">
        <f>IFERROR(INDEX(PP_Grid[#Data],$DE54,101),0)</f>
        <v/>
      </c>
      <c r="DA54">
        <f>IFERROR(INDEX(PP_Grid[#Data],$DE54,102),0)</f>
        <v/>
      </c>
      <c r="DB54">
        <f>IFERROR(INDEX(PP_Grid[#Data],$DE54,103),0)</f>
        <v/>
      </c>
      <c r="DC54">
        <f>IFERROR(INDEX(PP_Grid[#Data],$DE54,104),0)</f>
        <v/>
      </c>
      <c r="DD54">
        <f>IFERROR(INDEX(PP_Grid[#Data],$DE54,105),0)</f>
        <v/>
      </c>
      <c r="DE54" s="7">
        <f>IFERROR(MATCH($B54,PP_Grid[Intermediate],0),99999)</f>
        <v/>
      </c>
    </row>
    <row r="55">
      <c r="B55" t="inlineStr">
        <is>
          <t>使用量(kg)</t>
        </is>
      </c>
      <c r="C55">
        <f>SUMIFS(M_BOM[RM_Qty_Per_Batch],M_BOM[Intermediate],$B54,M_BOM[RM_Code],$A25)</f>
        <v/>
      </c>
      <c r="D55">
        <f>IFERROR(INDEX(E55:DD55,$F$1),"")</f>
        <v/>
      </c>
      <c r="E55">
        <f>$C55*E54</f>
        <v/>
      </c>
      <c r="F55">
        <f>$C55*F54</f>
        <v/>
      </c>
      <c r="G55">
        <f>$C55*G54</f>
        <v/>
      </c>
      <c r="H55">
        <f>$C55*H54</f>
        <v/>
      </c>
      <c r="I55">
        <f>$C55*I54</f>
        <v/>
      </c>
      <c r="J55">
        <f>$C55*J54</f>
        <v/>
      </c>
      <c r="K55">
        <f>$C55*K54</f>
        <v/>
      </c>
      <c r="L55">
        <f>$C55*L54</f>
        <v/>
      </c>
      <c r="M55">
        <f>$C55*M54</f>
        <v/>
      </c>
      <c r="N55">
        <f>$C55*N54</f>
        <v/>
      </c>
      <c r="O55">
        <f>$C55*O54</f>
        <v/>
      </c>
      <c r="P55">
        <f>$C55*P54</f>
        <v/>
      </c>
      <c r="Q55">
        <f>$C55*Q54</f>
        <v/>
      </c>
      <c r="R55">
        <f>$C55*R54</f>
        <v/>
      </c>
      <c r="S55">
        <f>$C55*S54</f>
        <v/>
      </c>
      <c r="T55">
        <f>$C55*T54</f>
        <v/>
      </c>
      <c r="U55">
        <f>$C55*U54</f>
        <v/>
      </c>
      <c r="V55">
        <f>$C55*V54</f>
        <v/>
      </c>
      <c r="W55">
        <f>$C55*W54</f>
        <v/>
      </c>
      <c r="X55">
        <f>$C55*X54</f>
        <v/>
      </c>
      <c r="Y55">
        <f>$C55*Y54</f>
        <v/>
      </c>
      <c r="Z55">
        <f>$C55*Z54</f>
        <v/>
      </c>
      <c r="AA55">
        <f>$C55*AA54</f>
        <v/>
      </c>
      <c r="AB55">
        <f>$C55*AB54</f>
        <v/>
      </c>
      <c r="AC55">
        <f>$C55*AC54</f>
        <v/>
      </c>
      <c r="AD55">
        <f>$C55*AD54</f>
        <v/>
      </c>
      <c r="AE55">
        <f>$C55*AE54</f>
        <v/>
      </c>
      <c r="AF55">
        <f>$C55*AF54</f>
        <v/>
      </c>
      <c r="AG55">
        <f>$C55*AG54</f>
        <v/>
      </c>
      <c r="AH55">
        <f>$C55*AH54</f>
        <v/>
      </c>
      <c r="AI55">
        <f>$C55*AI54</f>
        <v/>
      </c>
      <c r="AJ55">
        <f>$C55*AJ54</f>
        <v/>
      </c>
      <c r="AK55">
        <f>$C55*AK54</f>
        <v/>
      </c>
      <c r="AL55">
        <f>$C55*AL54</f>
        <v/>
      </c>
      <c r="AM55">
        <f>$C55*AM54</f>
        <v/>
      </c>
      <c r="AN55">
        <f>$C55*AN54</f>
        <v/>
      </c>
      <c r="AO55">
        <f>$C55*AO54</f>
        <v/>
      </c>
      <c r="AP55">
        <f>$C55*AP54</f>
        <v/>
      </c>
      <c r="AQ55">
        <f>$C55*AQ54</f>
        <v/>
      </c>
      <c r="AR55">
        <f>$C55*AR54</f>
        <v/>
      </c>
      <c r="AS55">
        <f>$C55*AS54</f>
        <v/>
      </c>
      <c r="AT55">
        <f>$C55*AT54</f>
        <v/>
      </c>
      <c r="AU55">
        <f>$C55*AU54</f>
        <v/>
      </c>
      <c r="AV55">
        <f>$C55*AV54</f>
        <v/>
      </c>
      <c r="AW55">
        <f>$C55*AW54</f>
        <v/>
      </c>
      <c r="AX55">
        <f>$C55*AX54</f>
        <v/>
      </c>
      <c r="AY55">
        <f>$C55*AY54</f>
        <v/>
      </c>
      <c r="AZ55">
        <f>$C55*AZ54</f>
        <v/>
      </c>
      <c r="BA55">
        <f>$C55*BA54</f>
        <v/>
      </c>
      <c r="BB55">
        <f>$C55*BB54</f>
        <v/>
      </c>
      <c r="BC55">
        <f>$C55*BC54</f>
        <v/>
      </c>
      <c r="BD55">
        <f>$C55*BD54</f>
        <v/>
      </c>
      <c r="BE55">
        <f>$C55*BE54</f>
        <v/>
      </c>
      <c r="BF55">
        <f>$C55*BF54</f>
        <v/>
      </c>
      <c r="BG55">
        <f>$C55*BG54</f>
        <v/>
      </c>
      <c r="BH55">
        <f>$C55*BH54</f>
        <v/>
      </c>
      <c r="BI55">
        <f>$C55*BI54</f>
        <v/>
      </c>
      <c r="BJ55">
        <f>$C55*BJ54</f>
        <v/>
      </c>
      <c r="BK55">
        <f>$C55*BK54</f>
        <v/>
      </c>
      <c r="BL55">
        <f>$C55*BL54</f>
        <v/>
      </c>
      <c r="BM55">
        <f>$C55*BM54</f>
        <v/>
      </c>
      <c r="BN55">
        <f>$C55*BN54</f>
        <v/>
      </c>
      <c r="BO55">
        <f>$C55*BO54</f>
        <v/>
      </c>
      <c r="BP55">
        <f>$C55*BP54</f>
        <v/>
      </c>
      <c r="BQ55">
        <f>$C55*BQ54</f>
        <v/>
      </c>
      <c r="BR55">
        <f>$C55*BR54</f>
        <v/>
      </c>
      <c r="BS55">
        <f>$C55*BS54</f>
        <v/>
      </c>
      <c r="BT55">
        <f>$C55*BT54</f>
        <v/>
      </c>
      <c r="BU55">
        <f>$C55*BU54</f>
        <v/>
      </c>
      <c r="BV55">
        <f>$C55*BV54</f>
        <v/>
      </c>
      <c r="BW55">
        <f>$C55*BW54</f>
        <v/>
      </c>
      <c r="BX55">
        <f>$C55*BX54</f>
        <v/>
      </c>
      <c r="BY55">
        <f>$C55*BY54</f>
        <v/>
      </c>
      <c r="BZ55">
        <f>$C55*BZ54</f>
        <v/>
      </c>
      <c r="CA55">
        <f>$C55*CA54</f>
        <v/>
      </c>
      <c r="CB55">
        <f>$C55*CB54</f>
        <v/>
      </c>
      <c r="CC55">
        <f>$C55*CC54</f>
        <v/>
      </c>
      <c r="CD55">
        <f>$C55*CD54</f>
        <v/>
      </c>
      <c r="CE55">
        <f>$C55*CE54</f>
        <v/>
      </c>
      <c r="CF55">
        <f>$C55*CF54</f>
        <v/>
      </c>
      <c r="CG55">
        <f>$C55*CG54</f>
        <v/>
      </c>
      <c r="CH55">
        <f>$C55*CH54</f>
        <v/>
      </c>
      <c r="CI55">
        <f>$C55*CI54</f>
        <v/>
      </c>
      <c r="CJ55">
        <f>$C55*CJ54</f>
        <v/>
      </c>
      <c r="CK55">
        <f>$C55*CK54</f>
        <v/>
      </c>
      <c r="CL55">
        <f>$C55*CL54</f>
        <v/>
      </c>
      <c r="CM55">
        <f>$C55*CM54</f>
        <v/>
      </c>
      <c r="CN55">
        <f>$C55*CN54</f>
        <v/>
      </c>
      <c r="CO55">
        <f>$C55*CO54</f>
        <v/>
      </c>
      <c r="CP55">
        <f>$C55*CP54</f>
        <v/>
      </c>
      <c r="CQ55">
        <f>$C55*CQ54</f>
        <v/>
      </c>
      <c r="CR55">
        <f>$C55*CR54</f>
        <v/>
      </c>
      <c r="CS55">
        <f>$C55*CS54</f>
        <v/>
      </c>
      <c r="CT55">
        <f>$C55*CT54</f>
        <v/>
      </c>
      <c r="CU55">
        <f>$C55*CU54</f>
        <v/>
      </c>
      <c r="CV55">
        <f>$C55*CV54</f>
        <v/>
      </c>
      <c r="CW55">
        <f>$C55*CW54</f>
        <v/>
      </c>
      <c r="CX55">
        <f>$C55*CX54</f>
        <v/>
      </c>
      <c r="CY55">
        <f>$C55*CY54</f>
        <v/>
      </c>
      <c r="CZ55">
        <f>$C55*CZ54</f>
        <v/>
      </c>
      <c r="DA55">
        <f>$C55*DA54</f>
        <v/>
      </c>
      <c r="DB55">
        <f>$C55*DB54</f>
        <v/>
      </c>
      <c r="DC55">
        <f>$C55*DC54</f>
        <v/>
      </c>
      <c r="DD55">
        <f>$C55*DD54</f>
        <v/>
      </c>
    </row>
    <row r="56">
      <c r="B56" t="inlineStr">
        <is>
          <t>TSP-710</t>
        </is>
      </c>
      <c r="C56" t="inlineStr">
        <is>
          <t>No. of batches</t>
        </is>
      </c>
      <c r="D56">
        <f>IFERROR(INDEX(E56:DD56,$F$1),"")</f>
        <v/>
      </c>
      <c r="E56">
        <f>IFERROR(INDEX(PP_Grid[#Data],$DE56,2),0)</f>
        <v/>
      </c>
      <c r="F56">
        <f>IFERROR(INDEX(PP_Grid[#Data],$DE56,3),0)</f>
        <v/>
      </c>
      <c r="G56">
        <f>IFERROR(INDEX(PP_Grid[#Data],$DE56,4),0)</f>
        <v/>
      </c>
      <c r="H56">
        <f>IFERROR(INDEX(PP_Grid[#Data],$DE56,5),0)</f>
        <v/>
      </c>
      <c r="I56">
        <f>IFERROR(INDEX(PP_Grid[#Data],$DE56,6),0)</f>
        <v/>
      </c>
      <c r="J56">
        <f>IFERROR(INDEX(PP_Grid[#Data],$DE56,7),0)</f>
        <v/>
      </c>
      <c r="K56">
        <f>IFERROR(INDEX(PP_Grid[#Data],$DE56,8),0)</f>
        <v/>
      </c>
      <c r="L56">
        <f>IFERROR(INDEX(PP_Grid[#Data],$DE56,9),0)</f>
        <v/>
      </c>
      <c r="M56">
        <f>IFERROR(INDEX(PP_Grid[#Data],$DE56,10),0)</f>
        <v/>
      </c>
      <c r="N56">
        <f>IFERROR(INDEX(PP_Grid[#Data],$DE56,11),0)</f>
        <v/>
      </c>
      <c r="O56">
        <f>IFERROR(INDEX(PP_Grid[#Data],$DE56,12),0)</f>
        <v/>
      </c>
      <c r="P56">
        <f>IFERROR(INDEX(PP_Grid[#Data],$DE56,13),0)</f>
        <v/>
      </c>
      <c r="Q56">
        <f>IFERROR(INDEX(PP_Grid[#Data],$DE56,14),0)</f>
        <v/>
      </c>
      <c r="R56">
        <f>IFERROR(INDEX(PP_Grid[#Data],$DE56,15),0)</f>
        <v/>
      </c>
      <c r="S56">
        <f>IFERROR(INDEX(PP_Grid[#Data],$DE56,16),0)</f>
        <v/>
      </c>
      <c r="T56">
        <f>IFERROR(INDEX(PP_Grid[#Data],$DE56,17),0)</f>
        <v/>
      </c>
      <c r="U56">
        <f>IFERROR(INDEX(PP_Grid[#Data],$DE56,18),0)</f>
        <v/>
      </c>
      <c r="V56">
        <f>IFERROR(INDEX(PP_Grid[#Data],$DE56,19),0)</f>
        <v/>
      </c>
      <c r="W56">
        <f>IFERROR(INDEX(PP_Grid[#Data],$DE56,20),0)</f>
        <v/>
      </c>
      <c r="X56">
        <f>IFERROR(INDEX(PP_Grid[#Data],$DE56,21),0)</f>
        <v/>
      </c>
      <c r="Y56">
        <f>IFERROR(INDEX(PP_Grid[#Data],$DE56,22),0)</f>
        <v/>
      </c>
      <c r="Z56">
        <f>IFERROR(INDEX(PP_Grid[#Data],$DE56,23),0)</f>
        <v/>
      </c>
      <c r="AA56">
        <f>IFERROR(INDEX(PP_Grid[#Data],$DE56,24),0)</f>
        <v/>
      </c>
      <c r="AB56">
        <f>IFERROR(INDEX(PP_Grid[#Data],$DE56,25),0)</f>
        <v/>
      </c>
      <c r="AC56">
        <f>IFERROR(INDEX(PP_Grid[#Data],$DE56,26),0)</f>
        <v/>
      </c>
      <c r="AD56">
        <f>IFERROR(INDEX(PP_Grid[#Data],$DE56,27),0)</f>
        <v/>
      </c>
      <c r="AE56">
        <f>IFERROR(INDEX(PP_Grid[#Data],$DE56,28),0)</f>
        <v/>
      </c>
      <c r="AF56">
        <f>IFERROR(INDEX(PP_Grid[#Data],$DE56,29),0)</f>
        <v/>
      </c>
      <c r="AG56">
        <f>IFERROR(INDEX(PP_Grid[#Data],$DE56,30),0)</f>
        <v/>
      </c>
      <c r="AH56">
        <f>IFERROR(INDEX(PP_Grid[#Data],$DE56,31),0)</f>
        <v/>
      </c>
      <c r="AI56">
        <f>IFERROR(INDEX(PP_Grid[#Data],$DE56,32),0)</f>
        <v/>
      </c>
      <c r="AJ56">
        <f>IFERROR(INDEX(PP_Grid[#Data],$DE56,33),0)</f>
        <v/>
      </c>
      <c r="AK56">
        <f>IFERROR(INDEX(PP_Grid[#Data],$DE56,34),0)</f>
        <v/>
      </c>
      <c r="AL56">
        <f>IFERROR(INDEX(PP_Grid[#Data],$DE56,35),0)</f>
        <v/>
      </c>
      <c r="AM56">
        <f>IFERROR(INDEX(PP_Grid[#Data],$DE56,36),0)</f>
        <v/>
      </c>
      <c r="AN56">
        <f>IFERROR(INDEX(PP_Grid[#Data],$DE56,37),0)</f>
        <v/>
      </c>
      <c r="AO56">
        <f>IFERROR(INDEX(PP_Grid[#Data],$DE56,38),0)</f>
        <v/>
      </c>
      <c r="AP56">
        <f>IFERROR(INDEX(PP_Grid[#Data],$DE56,39),0)</f>
        <v/>
      </c>
      <c r="AQ56">
        <f>IFERROR(INDEX(PP_Grid[#Data],$DE56,40),0)</f>
        <v/>
      </c>
      <c r="AR56">
        <f>IFERROR(INDEX(PP_Grid[#Data],$DE56,41),0)</f>
        <v/>
      </c>
      <c r="AS56">
        <f>IFERROR(INDEX(PP_Grid[#Data],$DE56,42),0)</f>
        <v/>
      </c>
      <c r="AT56">
        <f>IFERROR(INDEX(PP_Grid[#Data],$DE56,43),0)</f>
        <v/>
      </c>
      <c r="AU56">
        <f>IFERROR(INDEX(PP_Grid[#Data],$DE56,44),0)</f>
        <v/>
      </c>
      <c r="AV56">
        <f>IFERROR(INDEX(PP_Grid[#Data],$DE56,45),0)</f>
        <v/>
      </c>
      <c r="AW56">
        <f>IFERROR(INDEX(PP_Grid[#Data],$DE56,46),0)</f>
        <v/>
      </c>
      <c r="AX56">
        <f>IFERROR(INDEX(PP_Grid[#Data],$DE56,47),0)</f>
        <v/>
      </c>
      <c r="AY56">
        <f>IFERROR(INDEX(PP_Grid[#Data],$DE56,48),0)</f>
        <v/>
      </c>
      <c r="AZ56">
        <f>IFERROR(INDEX(PP_Grid[#Data],$DE56,49),0)</f>
        <v/>
      </c>
      <c r="BA56">
        <f>IFERROR(INDEX(PP_Grid[#Data],$DE56,50),0)</f>
        <v/>
      </c>
      <c r="BB56">
        <f>IFERROR(INDEX(PP_Grid[#Data],$DE56,51),0)</f>
        <v/>
      </c>
      <c r="BC56">
        <f>IFERROR(INDEX(PP_Grid[#Data],$DE56,52),0)</f>
        <v/>
      </c>
      <c r="BD56">
        <f>IFERROR(INDEX(PP_Grid[#Data],$DE56,53),0)</f>
        <v/>
      </c>
      <c r="BE56">
        <f>IFERROR(INDEX(PP_Grid[#Data],$DE56,54),0)</f>
        <v/>
      </c>
      <c r="BF56">
        <f>IFERROR(INDEX(PP_Grid[#Data],$DE56,55),0)</f>
        <v/>
      </c>
      <c r="BG56">
        <f>IFERROR(INDEX(PP_Grid[#Data],$DE56,56),0)</f>
        <v/>
      </c>
      <c r="BH56">
        <f>IFERROR(INDEX(PP_Grid[#Data],$DE56,57),0)</f>
        <v/>
      </c>
      <c r="BI56">
        <f>IFERROR(INDEX(PP_Grid[#Data],$DE56,58),0)</f>
        <v/>
      </c>
      <c r="BJ56">
        <f>IFERROR(INDEX(PP_Grid[#Data],$DE56,59),0)</f>
        <v/>
      </c>
      <c r="BK56">
        <f>IFERROR(INDEX(PP_Grid[#Data],$DE56,60),0)</f>
        <v/>
      </c>
      <c r="BL56">
        <f>IFERROR(INDEX(PP_Grid[#Data],$DE56,61),0)</f>
        <v/>
      </c>
      <c r="BM56">
        <f>IFERROR(INDEX(PP_Grid[#Data],$DE56,62),0)</f>
        <v/>
      </c>
      <c r="BN56">
        <f>IFERROR(INDEX(PP_Grid[#Data],$DE56,63),0)</f>
        <v/>
      </c>
      <c r="BO56">
        <f>IFERROR(INDEX(PP_Grid[#Data],$DE56,64),0)</f>
        <v/>
      </c>
      <c r="BP56">
        <f>IFERROR(INDEX(PP_Grid[#Data],$DE56,65),0)</f>
        <v/>
      </c>
      <c r="BQ56">
        <f>IFERROR(INDEX(PP_Grid[#Data],$DE56,66),0)</f>
        <v/>
      </c>
      <c r="BR56">
        <f>IFERROR(INDEX(PP_Grid[#Data],$DE56,67),0)</f>
        <v/>
      </c>
      <c r="BS56">
        <f>IFERROR(INDEX(PP_Grid[#Data],$DE56,68),0)</f>
        <v/>
      </c>
      <c r="BT56">
        <f>IFERROR(INDEX(PP_Grid[#Data],$DE56,69),0)</f>
        <v/>
      </c>
      <c r="BU56">
        <f>IFERROR(INDEX(PP_Grid[#Data],$DE56,70),0)</f>
        <v/>
      </c>
      <c r="BV56">
        <f>IFERROR(INDEX(PP_Grid[#Data],$DE56,71),0)</f>
        <v/>
      </c>
      <c r="BW56">
        <f>IFERROR(INDEX(PP_Grid[#Data],$DE56,72),0)</f>
        <v/>
      </c>
      <c r="BX56">
        <f>IFERROR(INDEX(PP_Grid[#Data],$DE56,73),0)</f>
        <v/>
      </c>
      <c r="BY56">
        <f>IFERROR(INDEX(PP_Grid[#Data],$DE56,74),0)</f>
        <v/>
      </c>
      <c r="BZ56">
        <f>IFERROR(INDEX(PP_Grid[#Data],$DE56,75),0)</f>
        <v/>
      </c>
      <c r="CA56">
        <f>IFERROR(INDEX(PP_Grid[#Data],$DE56,76),0)</f>
        <v/>
      </c>
      <c r="CB56">
        <f>IFERROR(INDEX(PP_Grid[#Data],$DE56,77),0)</f>
        <v/>
      </c>
      <c r="CC56">
        <f>IFERROR(INDEX(PP_Grid[#Data],$DE56,78),0)</f>
        <v/>
      </c>
      <c r="CD56">
        <f>IFERROR(INDEX(PP_Grid[#Data],$DE56,79),0)</f>
        <v/>
      </c>
      <c r="CE56">
        <f>IFERROR(INDEX(PP_Grid[#Data],$DE56,80),0)</f>
        <v/>
      </c>
      <c r="CF56">
        <f>IFERROR(INDEX(PP_Grid[#Data],$DE56,81),0)</f>
        <v/>
      </c>
      <c r="CG56">
        <f>IFERROR(INDEX(PP_Grid[#Data],$DE56,82),0)</f>
        <v/>
      </c>
      <c r="CH56">
        <f>IFERROR(INDEX(PP_Grid[#Data],$DE56,83),0)</f>
        <v/>
      </c>
      <c r="CI56">
        <f>IFERROR(INDEX(PP_Grid[#Data],$DE56,84),0)</f>
        <v/>
      </c>
      <c r="CJ56">
        <f>IFERROR(INDEX(PP_Grid[#Data],$DE56,85),0)</f>
        <v/>
      </c>
      <c r="CK56">
        <f>IFERROR(INDEX(PP_Grid[#Data],$DE56,86),0)</f>
        <v/>
      </c>
      <c r="CL56">
        <f>IFERROR(INDEX(PP_Grid[#Data],$DE56,87),0)</f>
        <v/>
      </c>
      <c r="CM56">
        <f>IFERROR(INDEX(PP_Grid[#Data],$DE56,88),0)</f>
        <v/>
      </c>
      <c r="CN56">
        <f>IFERROR(INDEX(PP_Grid[#Data],$DE56,89),0)</f>
        <v/>
      </c>
      <c r="CO56">
        <f>IFERROR(INDEX(PP_Grid[#Data],$DE56,90),0)</f>
        <v/>
      </c>
      <c r="CP56">
        <f>IFERROR(INDEX(PP_Grid[#Data],$DE56,91),0)</f>
        <v/>
      </c>
      <c r="CQ56">
        <f>IFERROR(INDEX(PP_Grid[#Data],$DE56,92),0)</f>
        <v/>
      </c>
      <c r="CR56">
        <f>IFERROR(INDEX(PP_Grid[#Data],$DE56,93),0)</f>
        <v/>
      </c>
      <c r="CS56">
        <f>IFERROR(INDEX(PP_Grid[#Data],$DE56,94),0)</f>
        <v/>
      </c>
      <c r="CT56">
        <f>IFERROR(INDEX(PP_Grid[#Data],$DE56,95),0)</f>
        <v/>
      </c>
      <c r="CU56">
        <f>IFERROR(INDEX(PP_Grid[#Data],$DE56,96),0)</f>
        <v/>
      </c>
      <c r="CV56">
        <f>IFERROR(INDEX(PP_Grid[#Data],$DE56,97),0)</f>
        <v/>
      </c>
      <c r="CW56">
        <f>IFERROR(INDEX(PP_Grid[#Data],$DE56,98),0)</f>
        <v/>
      </c>
      <c r="CX56">
        <f>IFERROR(INDEX(PP_Grid[#Data],$DE56,99),0)</f>
        <v/>
      </c>
      <c r="CY56">
        <f>IFERROR(INDEX(PP_Grid[#Data],$DE56,100),0)</f>
        <v/>
      </c>
      <c r="CZ56">
        <f>IFERROR(INDEX(PP_Grid[#Data],$DE56,101),0)</f>
        <v/>
      </c>
      <c r="DA56">
        <f>IFERROR(INDEX(PP_Grid[#Data],$DE56,102),0)</f>
        <v/>
      </c>
      <c r="DB56">
        <f>IFERROR(INDEX(PP_Grid[#Data],$DE56,103),0)</f>
        <v/>
      </c>
      <c r="DC56">
        <f>IFERROR(INDEX(PP_Grid[#Data],$DE56,104),0)</f>
        <v/>
      </c>
      <c r="DD56">
        <f>IFERROR(INDEX(PP_Grid[#Data],$DE56,105),0)</f>
        <v/>
      </c>
      <c r="DE56" s="7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SUMIFS(M_BOM[RM_Qty_Per_Batch],M_BOM[Intermediate],$B56,M_BOM[RM_Code],$A25)</f>
        <v/>
      </c>
      <c r="D57">
        <f>IFERROR(INDEX(E57:DD57,$F$1),"")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  <c r="DD57">
        <f>$C57*DD56</f>
        <v/>
      </c>
    </row>
    <row r="58">
      <c r="B58" t="inlineStr">
        <is>
          <t>TSP-828</t>
        </is>
      </c>
      <c r="C58" t="inlineStr">
        <is>
          <t>No. of batches</t>
        </is>
      </c>
      <c r="D58">
        <f>IFERROR(INDEX(E58:DD58,$F$1),"")</f>
        <v/>
      </c>
      <c r="E58">
        <f>IFERROR(INDEX(PP_Grid[#Data],$DE58,2),0)</f>
        <v/>
      </c>
      <c r="F58">
        <f>IFERROR(INDEX(PP_Grid[#Data],$DE58,3),0)</f>
        <v/>
      </c>
      <c r="G58">
        <f>IFERROR(INDEX(PP_Grid[#Data],$DE58,4),0)</f>
        <v/>
      </c>
      <c r="H58">
        <f>IFERROR(INDEX(PP_Grid[#Data],$DE58,5),0)</f>
        <v/>
      </c>
      <c r="I58">
        <f>IFERROR(INDEX(PP_Grid[#Data],$DE58,6),0)</f>
        <v/>
      </c>
      <c r="J58">
        <f>IFERROR(INDEX(PP_Grid[#Data],$DE58,7),0)</f>
        <v/>
      </c>
      <c r="K58">
        <f>IFERROR(INDEX(PP_Grid[#Data],$DE58,8),0)</f>
        <v/>
      </c>
      <c r="L58">
        <f>IFERROR(INDEX(PP_Grid[#Data],$DE58,9),0)</f>
        <v/>
      </c>
      <c r="M58">
        <f>IFERROR(INDEX(PP_Grid[#Data],$DE58,10),0)</f>
        <v/>
      </c>
      <c r="N58">
        <f>IFERROR(INDEX(PP_Grid[#Data],$DE58,11),0)</f>
        <v/>
      </c>
      <c r="O58">
        <f>IFERROR(INDEX(PP_Grid[#Data],$DE58,12),0)</f>
        <v/>
      </c>
      <c r="P58">
        <f>IFERROR(INDEX(PP_Grid[#Data],$DE58,13),0)</f>
        <v/>
      </c>
      <c r="Q58">
        <f>IFERROR(INDEX(PP_Grid[#Data],$DE58,14),0)</f>
        <v/>
      </c>
      <c r="R58">
        <f>IFERROR(INDEX(PP_Grid[#Data],$DE58,15),0)</f>
        <v/>
      </c>
      <c r="S58">
        <f>IFERROR(INDEX(PP_Grid[#Data],$DE58,16),0)</f>
        <v/>
      </c>
      <c r="T58">
        <f>IFERROR(INDEX(PP_Grid[#Data],$DE58,17),0)</f>
        <v/>
      </c>
      <c r="U58">
        <f>IFERROR(INDEX(PP_Grid[#Data],$DE58,18),0)</f>
        <v/>
      </c>
      <c r="V58">
        <f>IFERROR(INDEX(PP_Grid[#Data],$DE58,19),0)</f>
        <v/>
      </c>
      <c r="W58">
        <f>IFERROR(INDEX(PP_Grid[#Data],$DE58,20),0)</f>
        <v/>
      </c>
      <c r="X58">
        <f>IFERROR(INDEX(PP_Grid[#Data],$DE58,21),0)</f>
        <v/>
      </c>
      <c r="Y58">
        <f>IFERROR(INDEX(PP_Grid[#Data],$DE58,22),0)</f>
        <v/>
      </c>
      <c r="Z58">
        <f>IFERROR(INDEX(PP_Grid[#Data],$DE58,23),0)</f>
        <v/>
      </c>
      <c r="AA58">
        <f>IFERROR(INDEX(PP_Grid[#Data],$DE58,24),0)</f>
        <v/>
      </c>
      <c r="AB58">
        <f>IFERROR(INDEX(PP_Grid[#Data],$DE58,25),0)</f>
        <v/>
      </c>
      <c r="AC58">
        <f>IFERROR(INDEX(PP_Grid[#Data],$DE58,26),0)</f>
        <v/>
      </c>
      <c r="AD58">
        <f>IFERROR(INDEX(PP_Grid[#Data],$DE58,27),0)</f>
        <v/>
      </c>
      <c r="AE58">
        <f>IFERROR(INDEX(PP_Grid[#Data],$DE58,28),0)</f>
        <v/>
      </c>
      <c r="AF58">
        <f>IFERROR(INDEX(PP_Grid[#Data],$DE58,29),0)</f>
        <v/>
      </c>
      <c r="AG58">
        <f>IFERROR(INDEX(PP_Grid[#Data],$DE58,30),0)</f>
        <v/>
      </c>
      <c r="AH58">
        <f>IFERROR(INDEX(PP_Grid[#Data],$DE58,31),0)</f>
        <v/>
      </c>
      <c r="AI58">
        <f>IFERROR(INDEX(PP_Grid[#Data],$DE58,32),0)</f>
        <v/>
      </c>
      <c r="AJ58">
        <f>IFERROR(INDEX(PP_Grid[#Data],$DE58,33),0)</f>
        <v/>
      </c>
      <c r="AK58">
        <f>IFERROR(INDEX(PP_Grid[#Data],$DE58,34),0)</f>
        <v/>
      </c>
      <c r="AL58">
        <f>IFERROR(INDEX(PP_Grid[#Data],$DE58,35),0)</f>
        <v/>
      </c>
      <c r="AM58">
        <f>IFERROR(INDEX(PP_Grid[#Data],$DE58,36),0)</f>
        <v/>
      </c>
      <c r="AN58">
        <f>IFERROR(INDEX(PP_Grid[#Data],$DE58,37),0)</f>
        <v/>
      </c>
      <c r="AO58">
        <f>IFERROR(INDEX(PP_Grid[#Data],$DE58,38),0)</f>
        <v/>
      </c>
      <c r="AP58">
        <f>IFERROR(INDEX(PP_Grid[#Data],$DE58,39),0)</f>
        <v/>
      </c>
      <c r="AQ58">
        <f>IFERROR(INDEX(PP_Grid[#Data],$DE58,40),0)</f>
        <v/>
      </c>
      <c r="AR58">
        <f>IFERROR(INDEX(PP_Grid[#Data],$DE58,41),0)</f>
        <v/>
      </c>
      <c r="AS58">
        <f>IFERROR(INDEX(PP_Grid[#Data],$DE58,42),0)</f>
        <v/>
      </c>
      <c r="AT58">
        <f>IFERROR(INDEX(PP_Grid[#Data],$DE58,43),0)</f>
        <v/>
      </c>
      <c r="AU58">
        <f>IFERROR(INDEX(PP_Grid[#Data],$DE58,44),0)</f>
        <v/>
      </c>
      <c r="AV58">
        <f>IFERROR(INDEX(PP_Grid[#Data],$DE58,45),0)</f>
        <v/>
      </c>
      <c r="AW58">
        <f>IFERROR(INDEX(PP_Grid[#Data],$DE58,46),0)</f>
        <v/>
      </c>
      <c r="AX58">
        <f>IFERROR(INDEX(PP_Grid[#Data],$DE58,47),0)</f>
        <v/>
      </c>
      <c r="AY58">
        <f>IFERROR(INDEX(PP_Grid[#Data],$DE58,48),0)</f>
        <v/>
      </c>
      <c r="AZ58">
        <f>IFERROR(INDEX(PP_Grid[#Data],$DE58,49),0)</f>
        <v/>
      </c>
      <c r="BA58">
        <f>IFERROR(INDEX(PP_Grid[#Data],$DE58,50),0)</f>
        <v/>
      </c>
      <c r="BB58">
        <f>IFERROR(INDEX(PP_Grid[#Data],$DE58,51),0)</f>
        <v/>
      </c>
      <c r="BC58">
        <f>IFERROR(INDEX(PP_Grid[#Data],$DE58,52),0)</f>
        <v/>
      </c>
      <c r="BD58">
        <f>IFERROR(INDEX(PP_Grid[#Data],$DE58,53),0)</f>
        <v/>
      </c>
      <c r="BE58">
        <f>IFERROR(INDEX(PP_Grid[#Data],$DE58,54),0)</f>
        <v/>
      </c>
      <c r="BF58">
        <f>IFERROR(INDEX(PP_Grid[#Data],$DE58,55),0)</f>
        <v/>
      </c>
      <c r="BG58">
        <f>IFERROR(INDEX(PP_Grid[#Data],$DE58,56),0)</f>
        <v/>
      </c>
      <c r="BH58">
        <f>IFERROR(INDEX(PP_Grid[#Data],$DE58,57),0)</f>
        <v/>
      </c>
      <c r="BI58">
        <f>IFERROR(INDEX(PP_Grid[#Data],$DE58,58),0)</f>
        <v/>
      </c>
      <c r="BJ58">
        <f>IFERROR(INDEX(PP_Grid[#Data],$DE58,59),0)</f>
        <v/>
      </c>
      <c r="BK58">
        <f>IFERROR(INDEX(PP_Grid[#Data],$DE58,60),0)</f>
        <v/>
      </c>
      <c r="BL58">
        <f>IFERROR(INDEX(PP_Grid[#Data],$DE58,61),0)</f>
        <v/>
      </c>
      <c r="BM58">
        <f>IFERROR(INDEX(PP_Grid[#Data],$DE58,62),0)</f>
        <v/>
      </c>
      <c r="BN58">
        <f>IFERROR(INDEX(PP_Grid[#Data],$DE58,63),0)</f>
        <v/>
      </c>
      <c r="BO58">
        <f>IFERROR(INDEX(PP_Grid[#Data],$DE58,64),0)</f>
        <v/>
      </c>
      <c r="BP58">
        <f>IFERROR(INDEX(PP_Grid[#Data],$DE58,65),0)</f>
        <v/>
      </c>
      <c r="BQ58">
        <f>IFERROR(INDEX(PP_Grid[#Data],$DE58,66),0)</f>
        <v/>
      </c>
      <c r="BR58">
        <f>IFERROR(INDEX(PP_Grid[#Data],$DE58,67),0)</f>
        <v/>
      </c>
      <c r="BS58">
        <f>IFERROR(INDEX(PP_Grid[#Data],$DE58,68),0)</f>
        <v/>
      </c>
      <c r="BT58">
        <f>IFERROR(INDEX(PP_Grid[#Data],$DE58,69),0)</f>
        <v/>
      </c>
      <c r="BU58">
        <f>IFERROR(INDEX(PP_Grid[#Data],$DE58,70),0)</f>
        <v/>
      </c>
      <c r="BV58">
        <f>IFERROR(INDEX(PP_Grid[#Data],$DE58,71),0)</f>
        <v/>
      </c>
      <c r="BW58">
        <f>IFERROR(INDEX(PP_Grid[#Data],$DE58,72),0)</f>
        <v/>
      </c>
      <c r="BX58">
        <f>IFERROR(INDEX(PP_Grid[#Data],$DE58,73),0)</f>
        <v/>
      </c>
      <c r="BY58">
        <f>IFERROR(INDEX(PP_Grid[#Data],$DE58,74),0)</f>
        <v/>
      </c>
      <c r="BZ58">
        <f>IFERROR(INDEX(PP_Grid[#Data],$DE58,75),0)</f>
        <v/>
      </c>
      <c r="CA58">
        <f>IFERROR(INDEX(PP_Grid[#Data],$DE58,76),0)</f>
        <v/>
      </c>
      <c r="CB58">
        <f>IFERROR(INDEX(PP_Grid[#Data],$DE58,77),0)</f>
        <v/>
      </c>
      <c r="CC58">
        <f>IFERROR(INDEX(PP_Grid[#Data],$DE58,78),0)</f>
        <v/>
      </c>
      <c r="CD58">
        <f>IFERROR(INDEX(PP_Grid[#Data],$DE58,79),0)</f>
        <v/>
      </c>
      <c r="CE58">
        <f>IFERROR(INDEX(PP_Grid[#Data],$DE58,80),0)</f>
        <v/>
      </c>
      <c r="CF58">
        <f>IFERROR(INDEX(PP_Grid[#Data],$DE58,81),0)</f>
        <v/>
      </c>
      <c r="CG58">
        <f>IFERROR(INDEX(PP_Grid[#Data],$DE58,82),0)</f>
        <v/>
      </c>
      <c r="CH58">
        <f>IFERROR(INDEX(PP_Grid[#Data],$DE58,83),0)</f>
        <v/>
      </c>
      <c r="CI58">
        <f>IFERROR(INDEX(PP_Grid[#Data],$DE58,84),0)</f>
        <v/>
      </c>
      <c r="CJ58">
        <f>IFERROR(INDEX(PP_Grid[#Data],$DE58,85),0)</f>
        <v/>
      </c>
      <c r="CK58">
        <f>IFERROR(INDEX(PP_Grid[#Data],$DE58,86),0)</f>
        <v/>
      </c>
      <c r="CL58">
        <f>IFERROR(INDEX(PP_Grid[#Data],$DE58,87),0)</f>
        <v/>
      </c>
      <c r="CM58">
        <f>IFERROR(INDEX(PP_Grid[#Data],$DE58,88),0)</f>
        <v/>
      </c>
      <c r="CN58">
        <f>IFERROR(INDEX(PP_Grid[#Data],$DE58,89),0)</f>
        <v/>
      </c>
      <c r="CO58">
        <f>IFERROR(INDEX(PP_Grid[#Data],$DE58,90),0)</f>
        <v/>
      </c>
      <c r="CP58">
        <f>IFERROR(INDEX(PP_Grid[#Data],$DE58,91),0)</f>
        <v/>
      </c>
      <c r="CQ58">
        <f>IFERROR(INDEX(PP_Grid[#Data],$DE58,92),0)</f>
        <v/>
      </c>
      <c r="CR58">
        <f>IFERROR(INDEX(PP_Grid[#Data],$DE58,93),0)</f>
        <v/>
      </c>
      <c r="CS58">
        <f>IFERROR(INDEX(PP_Grid[#Data],$DE58,94),0)</f>
        <v/>
      </c>
      <c r="CT58">
        <f>IFERROR(INDEX(PP_Grid[#Data],$DE58,95),0)</f>
        <v/>
      </c>
      <c r="CU58">
        <f>IFERROR(INDEX(PP_Grid[#Data],$DE58,96),0)</f>
        <v/>
      </c>
      <c r="CV58">
        <f>IFERROR(INDEX(PP_Grid[#Data],$DE58,97),0)</f>
        <v/>
      </c>
      <c r="CW58">
        <f>IFERROR(INDEX(PP_Grid[#Data],$DE58,98),0)</f>
        <v/>
      </c>
      <c r="CX58">
        <f>IFERROR(INDEX(PP_Grid[#Data],$DE58,99),0)</f>
        <v/>
      </c>
      <c r="CY58">
        <f>IFERROR(INDEX(PP_Grid[#Data],$DE58,100),0)</f>
        <v/>
      </c>
      <c r="CZ58">
        <f>IFERROR(INDEX(PP_Grid[#Data],$DE58,101),0)</f>
        <v/>
      </c>
      <c r="DA58">
        <f>IFERROR(INDEX(PP_Grid[#Data],$DE58,102),0)</f>
        <v/>
      </c>
      <c r="DB58">
        <f>IFERROR(INDEX(PP_Grid[#Data],$DE58,103),0)</f>
        <v/>
      </c>
      <c r="DC58">
        <f>IFERROR(INDEX(PP_Grid[#Data],$DE58,104),0)</f>
        <v/>
      </c>
      <c r="DD58">
        <f>IFERROR(INDEX(PP_Grid[#Data],$DE58,105),0)</f>
        <v/>
      </c>
      <c r="DE58" s="7">
        <f>IFERROR(MATCH($B58,PP_Grid[Intermediate],0),99999)</f>
        <v/>
      </c>
    </row>
    <row r="59">
      <c r="B59" t="inlineStr">
        <is>
          <t>使用量(kg)</t>
        </is>
      </c>
      <c r="C59">
        <f>SUMIFS(M_BOM[RM_Qty_Per_Batch],M_BOM[Intermediate],$B58,M_BOM[RM_Code],$A25)</f>
        <v/>
      </c>
      <c r="D59">
        <f>IFERROR(INDEX(E59:DD59,$F$1),"")</f>
        <v/>
      </c>
      <c r="E59">
        <f>$C59*E58</f>
        <v/>
      </c>
      <c r="F59">
        <f>$C59*F58</f>
        <v/>
      </c>
      <c r="G59">
        <f>$C59*G58</f>
        <v/>
      </c>
      <c r="H59">
        <f>$C59*H58</f>
        <v/>
      </c>
      <c r="I59">
        <f>$C59*I58</f>
        <v/>
      </c>
      <c r="J59">
        <f>$C59*J58</f>
        <v/>
      </c>
      <c r="K59">
        <f>$C59*K58</f>
        <v/>
      </c>
      <c r="L59">
        <f>$C59*L58</f>
        <v/>
      </c>
      <c r="M59">
        <f>$C59*M58</f>
        <v/>
      </c>
      <c r="N59">
        <f>$C59*N58</f>
        <v/>
      </c>
      <c r="O59">
        <f>$C59*O58</f>
        <v/>
      </c>
      <c r="P59">
        <f>$C59*P58</f>
        <v/>
      </c>
      <c r="Q59">
        <f>$C59*Q58</f>
        <v/>
      </c>
      <c r="R59">
        <f>$C59*R58</f>
        <v/>
      </c>
      <c r="S59">
        <f>$C59*S58</f>
        <v/>
      </c>
      <c r="T59">
        <f>$C59*T58</f>
        <v/>
      </c>
      <c r="U59">
        <f>$C59*U58</f>
        <v/>
      </c>
      <c r="V59">
        <f>$C59*V58</f>
        <v/>
      </c>
      <c r="W59">
        <f>$C59*W58</f>
        <v/>
      </c>
      <c r="X59">
        <f>$C59*X58</f>
        <v/>
      </c>
      <c r="Y59">
        <f>$C59*Y58</f>
        <v/>
      </c>
      <c r="Z59">
        <f>$C59*Z58</f>
        <v/>
      </c>
      <c r="AA59">
        <f>$C59*AA58</f>
        <v/>
      </c>
      <c r="AB59">
        <f>$C59*AB58</f>
        <v/>
      </c>
      <c r="AC59">
        <f>$C59*AC58</f>
        <v/>
      </c>
      <c r="AD59">
        <f>$C59*AD58</f>
        <v/>
      </c>
      <c r="AE59">
        <f>$C59*AE58</f>
        <v/>
      </c>
      <c r="AF59">
        <f>$C59*AF58</f>
        <v/>
      </c>
      <c r="AG59">
        <f>$C59*AG58</f>
        <v/>
      </c>
      <c r="AH59">
        <f>$C59*AH58</f>
        <v/>
      </c>
      <c r="AI59">
        <f>$C59*AI58</f>
        <v/>
      </c>
      <c r="AJ59">
        <f>$C59*AJ58</f>
        <v/>
      </c>
      <c r="AK59">
        <f>$C59*AK58</f>
        <v/>
      </c>
      <c r="AL59">
        <f>$C59*AL58</f>
        <v/>
      </c>
      <c r="AM59">
        <f>$C59*AM58</f>
        <v/>
      </c>
      <c r="AN59">
        <f>$C59*AN58</f>
        <v/>
      </c>
      <c r="AO59">
        <f>$C59*AO58</f>
        <v/>
      </c>
      <c r="AP59">
        <f>$C59*AP58</f>
        <v/>
      </c>
      <c r="AQ59">
        <f>$C59*AQ58</f>
        <v/>
      </c>
      <c r="AR59">
        <f>$C59*AR58</f>
        <v/>
      </c>
      <c r="AS59">
        <f>$C59*AS58</f>
        <v/>
      </c>
      <c r="AT59">
        <f>$C59*AT58</f>
        <v/>
      </c>
      <c r="AU59">
        <f>$C59*AU58</f>
        <v/>
      </c>
      <c r="AV59">
        <f>$C59*AV58</f>
        <v/>
      </c>
      <c r="AW59">
        <f>$C59*AW58</f>
        <v/>
      </c>
      <c r="AX59">
        <f>$C59*AX58</f>
        <v/>
      </c>
      <c r="AY59">
        <f>$C59*AY58</f>
        <v/>
      </c>
      <c r="AZ59">
        <f>$C59*AZ58</f>
        <v/>
      </c>
      <c r="BA59">
        <f>$C59*BA58</f>
        <v/>
      </c>
      <c r="BB59">
        <f>$C59*BB58</f>
        <v/>
      </c>
      <c r="BC59">
        <f>$C59*BC58</f>
        <v/>
      </c>
      <c r="BD59">
        <f>$C59*BD58</f>
        <v/>
      </c>
      <c r="BE59">
        <f>$C59*BE58</f>
        <v/>
      </c>
      <c r="BF59">
        <f>$C59*BF58</f>
        <v/>
      </c>
      <c r="BG59">
        <f>$C59*BG58</f>
        <v/>
      </c>
      <c r="BH59">
        <f>$C59*BH58</f>
        <v/>
      </c>
      <c r="BI59">
        <f>$C59*BI58</f>
        <v/>
      </c>
      <c r="BJ59">
        <f>$C59*BJ58</f>
        <v/>
      </c>
      <c r="BK59">
        <f>$C59*BK58</f>
        <v/>
      </c>
      <c r="BL59">
        <f>$C59*BL58</f>
        <v/>
      </c>
      <c r="BM59">
        <f>$C59*BM58</f>
        <v/>
      </c>
      <c r="BN59">
        <f>$C59*BN58</f>
        <v/>
      </c>
      <c r="BO59">
        <f>$C59*BO58</f>
        <v/>
      </c>
      <c r="BP59">
        <f>$C59*BP58</f>
        <v/>
      </c>
      <c r="BQ59">
        <f>$C59*BQ58</f>
        <v/>
      </c>
      <c r="BR59">
        <f>$C59*BR58</f>
        <v/>
      </c>
      <c r="BS59">
        <f>$C59*BS58</f>
        <v/>
      </c>
      <c r="BT59">
        <f>$C59*BT58</f>
        <v/>
      </c>
      <c r="BU59">
        <f>$C59*BU58</f>
        <v/>
      </c>
      <c r="BV59">
        <f>$C59*BV58</f>
        <v/>
      </c>
      <c r="BW59">
        <f>$C59*BW58</f>
        <v/>
      </c>
      <c r="BX59">
        <f>$C59*BX58</f>
        <v/>
      </c>
      <c r="BY59">
        <f>$C59*BY58</f>
        <v/>
      </c>
      <c r="BZ59">
        <f>$C59*BZ58</f>
        <v/>
      </c>
      <c r="CA59">
        <f>$C59*CA58</f>
        <v/>
      </c>
      <c r="CB59">
        <f>$C59*CB58</f>
        <v/>
      </c>
      <c r="CC59">
        <f>$C59*CC58</f>
        <v/>
      </c>
      <c r="CD59">
        <f>$C59*CD58</f>
        <v/>
      </c>
      <c r="CE59">
        <f>$C59*CE58</f>
        <v/>
      </c>
      <c r="CF59">
        <f>$C59*CF58</f>
        <v/>
      </c>
      <c r="CG59">
        <f>$C59*CG58</f>
        <v/>
      </c>
      <c r="CH59">
        <f>$C59*CH58</f>
        <v/>
      </c>
      <c r="CI59">
        <f>$C59*CI58</f>
        <v/>
      </c>
      <c r="CJ59">
        <f>$C59*CJ58</f>
        <v/>
      </c>
      <c r="CK59">
        <f>$C59*CK58</f>
        <v/>
      </c>
      <c r="CL59">
        <f>$C59*CL58</f>
        <v/>
      </c>
      <c r="CM59">
        <f>$C59*CM58</f>
        <v/>
      </c>
      <c r="CN59">
        <f>$C59*CN58</f>
        <v/>
      </c>
      <c r="CO59">
        <f>$C59*CO58</f>
        <v/>
      </c>
      <c r="CP59">
        <f>$C59*CP58</f>
        <v/>
      </c>
      <c r="CQ59">
        <f>$C59*CQ58</f>
        <v/>
      </c>
      <c r="CR59">
        <f>$C59*CR58</f>
        <v/>
      </c>
      <c r="CS59">
        <f>$C59*CS58</f>
        <v/>
      </c>
      <c r="CT59">
        <f>$C59*CT58</f>
        <v/>
      </c>
      <c r="CU59">
        <f>$C59*CU58</f>
        <v/>
      </c>
      <c r="CV59">
        <f>$C59*CV58</f>
        <v/>
      </c>
      <c r="CW59">
        <f>$C59*CW58</f>
        <v/>
      </c>
      <c r="CX59">
        <f>$C59*CX58</f>
        <v/>
      </c>
      <c r="CY59">
        <f>$C59*CY58</f>
        <v/>
      </c>
      <c r="CZ59">
        <f>$C59*CZ58</f>
        <v/>
      </c>
      <c r="DA59">
        <f>$C59*DA58</f>
        <v/>
      </c>
      <c r="DB59">
        <f>$C59*DB58</f>
        <v/>
      </c>
      <c r="DC59">
        <f>$C59*DC58</f>
        <v/>
      </c>
      <c r="DD59">
        <f>$C59*DD58</f>
        <v/>
      </c>
    </row>
    <row r="60">
      <c r="B60" t="inlineStr">
        <is>
          <t>TSP-924</t>
        </is>
      </c>
      <c r="C60" t="inlineStr">
        <is>
          <t>No. of batches</t>
        </is>
      </c>
      <c r="D60">
        <f>IFERROR(INDEX(E60:DD60,$F$1),"")</f>
        <v/>
      </c>
      <c r="E60">
        <f>IFERROR(INDEX(PP_Grid[#Data],$DE60,2),0)</f>
        <v/>
      </c>
      <c r="F60">
        <f>IFERROR(INDEX(PP_Grid[#Data],$DE60,3),0)</f>
        <v/>
      </c>
      <c r="G60">
        <f>IFERROR(INDEX(PP_Grid[#Data],$DE60,4),0)</f>
        <v/>
      </c>
      <c r="H60">
        <f>IFERROR(INDEX(PP_Grid[#Data],$DE60,5),0)</f>
        <v/>
      </c>
      <c r="I60">
        <f>IFERROR(INDEX(PP_Grid[#Data],$DE60,6),0)</f>
        <v/>
      </c>
      <c r="J60">
        <f>IFERROR(INDEX(PP_Grid[#Data],$DE60,7),0)</f>
        <v/>
      </c>
      <c r="K60">
        <f>IFERROR(INDEX(PP_Grid[#Data],$DE60,8),0)</f>
        <v/>
      </c>
      <c r="L60">
        <f>IFERROR(INDEX(PP_Grid[#Data],$DE60,9),0)</f>
        <v/>
      </c>
      <c r="M60">
        <f>IFERROR(INDEX(PP_Grid[#Data],$DE60,10),0)</f>
        <v/>
      </c>
      <c r="N60">
        <f>IFERROR(INDEX(PP_Grid[#Data],$DE60,11),0)</f>
        <v/>
      </c>
      <c r="O60">
        <f>IFERROR(INDEX(PP_Grid[#Data],$DE60,12),0)</f>
        <v/>
      </c>
      <c r="P60">
        <f>IFERROR(INDEX(PP_Grid[#Data],$DE60,13),0)</f>
        <v/>
      </c>
      <c r="Q60">
        <f>IFERROR(INDEX(PP_Grid[#Data],$DE60,14),0)</f>
        <v/>
      </c>
      <c r="R60">
        <f>IFERROR(INDEX(PP_Grid[#Data],$DE60,15),0)</f>
        <v/>
      </c>
      <c r="S60">
        <f>IFERROR(INDEX(PP_Grid[#Data],$DE60,16),0)</f>
        <v/>
      </c>
      <c r="T60">
        <f>IFERROR(INDEX(PP_Grid[#Data],$DE60,17),0)</f>
        <v/>
      </c>
      <c r="U60">
        <f>IFERROR(INDEX(PP_Grid[#Data],$DE60,18),0)</f>
        <v/>
      </c>
      <c r="V60">
        <f>IFERROR(INDEX(PP_Grid[#Data],$DE60,19),0)</f>
        <v/>
      </c>
      <c r="W60">
        <f>IFERROR(INDEX(PP_Grid[#Data],$DE60,20),0)</f>
        <v/>
      </c>
      <c r="X60">
        <f>IFERROR(INDEX(PP_Grid[#Data],$DE60,21),0)</f>
        <v/>
      </c>
      <c r="Y60">
        <f>IFERROR(INDEX(PP_Grid[#Data],$DE60,22),0)</f>
        <v/>
      </c>
      <c r="Z60">
        <f>IFERROR(INDEX(PP_Grid[#Data],$DE60,23),0)</f>
        <v/>
      </c>
      <c r="AA60">
        <f>IFERROR(INDEX(PP_Grid[#Data],$DE60,24),0)</f>
        <v/>
      </c>
      <c r="AB60">
        <f>IFERROR(INDEX(PP_Grid[#Data],$DE60,25),0)</f>
        <v/>
      </c>
      <c r="AC60">
        <f>IFERROR(INDEX(PP_Grid[#Data],$DE60,26),0)</f>
        <v/>
      </c>
      <c r="AD60">
        <f>IFERROR(INDEX(PP_Grid[#Data],$DE60,27),0)</f>
        <v/>
      </c>
      <c r="AE60">
        <f>IFERROR(INDEX(PP_Grid[#Data],$DE60,28),0)</f>
        <v/>
      </c>
      <c r="AF60">
        <f>IFERROR(INDEX(PP_Grid[#Data],$DE60,29),0)</f>
        <v/>
      </c>
      <c r="AG60">
        <f>IFERROR(INDEX(PP_Grid[#Data],$DE60,30),0)</f>
        <v/>
      </c>
      <c r="AH60">
        <f>IFERROR(INDEX(PP_Grid[#Data],$DE60,31),0)</f>
        <v/>
      </c>
      <c r="AI60">
        <f>IFERROR(INDEX(PP_Grid[#Data],$DE60,32),0)</f>
        <v/>
      </c>
      <c r="AJ60">
        <f>IFERROR(INDEX(PP_Grid[#Data],$DE60,33),0)</f>
        <v/>
      </c>
      <c r="AK60">
        <f>IFERROR(INDEX(PP_Grid[#Data],$DE60,34),0)</f>
        <v/>
      </c>
      <c r="AL60">
        <f>IFERROR(INDEX(PP_Grid[#Data],$DE60,35),0)</f>
        <v/>
      </c>
      <c r="AM60">
        <f>IFERROR(INDEX(PP_Grid[#Data],$DE60,36),0)</f>
        <v/>
      </c>
      <c r="AN60">
        <f>IFERROR(INDEX(PP_Grid[#Data],$DE60,37),0)</f>
        <v/>
      </c>
      <c r="AO60">
        <f>IFERROR(INDEX(PP_Grid[#Data],$DE60,38),0)</f>
        <v/>
      </c>
      <c r="AP60">
        <f>IFERROR(INDEX(PP_Grid[#Data],$DE60,39),0)</f>
        <v/>
      </c>
      <c r="AQ60">
        <f>IFERROR(INDEX(PP_Grid[#Data],$DE60,40),0)</f>
        <v/>
      </c>
      <c r="AR60">
        <f>IFERROR(INDEX(PP_Grid[#Data],$DE60,41),0)</f>
        <v/>
      </c>
      <c r="AS60">
        <f>IFERROR(INDEX(PP_Grid[#Data],$DE60,42),0)</f>
        <v/>
      </c>
      <c r="AT60">
        <f>IFERROR(INDEX(PP_Grid[#Data],$DE60,43),0)</f>
        <v/>
      </c>
      <c r="AU60">
        <f>IFERROR(INDEX(PP_Grid[#Data],$DE60,44),0)</f>
        <v/>
      </c>
      <c r="AV60">
        <f>IFERROR(INDEX(PP_Grid[#Data],$DE60,45),0)</f>
        <v/>
      </c>
      <c r="AW60">
        <f>IFERROR(INDEX(PP_Grid[#Data],$DE60,46),0)</f>
        <v/>
      </c>
      <c r="AX60">
        <f>IFERROR(INDEX(PP_Grid[#Data],$DE60,47),0)</f>
        <v/>
      </c>
      <c r="AY60">
        <f>IFERROR(INDEX(PP_Grid[#Data],$DE60,48),0)</f>
        <v/>
      </c>
      <c r="AZ60">
        <f>IFERROR(INDEX(PP_Grid[#Data],$DE60,49),0)</f>
        <v/>
      </c>
      <c r="BA60">
        <f>IFERROR(INDEX(PP_Grid[#Data],$DE60,50),0)</f>
        <v/>
      </c>
      <c r="BB60">
        <f>IFERROR(INDEX(PP_Grid[#Data],$DE60,51),0)</f>
        <v/>
      </c>
      <c r="BC60">
        <f>IFERROR(INDEX(PP_Grid[#Data],$DE60,52),0)</f>
        <v/>
      </c>
      <c r="BD60">
        <f>IFERROR(INDEX(PP_Grid[#Data],$DE60,53),0)</f>
        <v/>
      </c>
      <c r="BE60">
        <f>IFERROR(INDEX(PP_Grid[#Data],$DE60,54),0)</f>
        <v/>
      </c>
      <c r="BF60">
        <f>IFERROR(INDEX(PP_Grid[#Data],$DE60,55),0)</f>
        <v/>
      </c>
      <c r="BG60">
        <f>IFERROR(INDEX(PP_Grid[#Data],$DE60,56),0)</f>
        <v/>
      </c>
      <c r="BH60">
        <f>IFERROR(INDEX(PP_Grid[#Data],$DE60,57),0)</f>
        <v/>
      </c>
      <c r="BI60">
        <f>IFERROR(INDEX(PP_Grid[#Data],$DE60,58),0)</f>
        <v/>
      </c>
      <c r="BJ60">
        <f>IFERROR(INDEX(PP_Grid[#Data],$DE60,59),0)</f>
        <v/>
      </c>
      <c r="BK60">
        <f>IFERROR(INDEX(PP_Grid[#Data],$DE60,60),0)</f>
        <v/>
      </c>
      <c r="BL60">
        <f>IFERROR(INDEX(PP_Grid[#Data],$DE60,61),0)</f>
        <v/>
      </c>
      <c r="BM60">
        <f>IFERROR(INDEX(PP_Grid[#Data],$DE60,62),0)</f>
        <v/>
      </c>
      <c r="BN60">
        <f>IFERROR(INDEX(PP_Grid[#Data],$DE60,63),0)</f>
        <v/>
      </c>
      <c r="BO60">
        <f>IFERROR(INDEX(PP_Grid[#Data],$DE60,64),0)</f>
        <v/>
      </c>
      <c r="BP60">
        <f>IFERROR(INDEX(PP_Grid[#Data],$DE60,65),0)</f>
        <v/>
      </c>
      <c r="BQ60">
        <f>IFERROR(INDEX(PP_Grid[#Data],$DE60,66),0)</f>
        <v/>
      </c>
      <c r="BR60">
        <f>IFERROR(INDEX(PP_Grid[#Data],$DE60,67),0)</f>
        <v/>
      </c>
      <c r="BS60">
        <f>IFERROR(INDEX(PP_Grid[#Data],$DE60,68),0)</f>
        <v/>
      </c>
      <c r="BT60">
        <f>IFERROR(INDEX(PP_Grid[#Data],$DE60,69),0)</f>
        <v/>
      </c>
      <c r="BU60">
        <f>IFERROR(INDEX(PP_Grid[#Data],$DE60,70),0)</f>
        <v/>
      </c>
      <c r="BV60">
        <f>IFERROR(INDEX(PP_Grid[#Data],$DE60,71),0)</f>
        <v/>
      </c>
      <c r="BW60">
        <f>IFERROR(INDEX(PP_Grid[#Data],$DE60,72),0)</f>
        <v/>
      </c>
      <c r="BX60">
        <f>IFERROR(INDEX(PP_Grid[#Data],$DE60,73),0)</f>
        <v/>
      </c>
      <c r="BY60">
        <f>IFERROR(INDEX(PP_Grid[#Data],$DE60,74),0)</f>
        <v/>
      </c>
      <c r="BZ60">
        <f>IFERROR(INDEX(PP_Grid[#Data],$DE60,75),0)</f>
        <v/>
      </c>
      <c r="CA60">
        <f>IFERROR(INDEX(PP_Grid[#Data],$DE60,76),0)</f>
        <v/>
      </c>
      <c r="CB60">
        <f>IFERROR(INDEX(PP_Grid[#Data],$DE60,77),0)</f>
        <v/>
      </c>
      <c r="CC60">
        <f>IFERROR(INDEX(PP_Grid[#Data],$DE60,78),0)</f>
        <v/>
      </c>
      <c r="CD60">
        <f>IFERROR(INDEX(PP_Grid[#Data],$DE60,79),0)</f>
        <v/>
      </c>
      <c r="CE60">
        <f>IFERROR(INDEX(PP_Grid[#Data],$DE60,80),0)</f>
        <v/>
      </c>
      <c r="CF60">
        <f>IFERROR(INDEX(PP_Grid[#Data],$DE60,81),0)</f>
        <v/>
      </c>
      <c r="CG60">
        <f>IFERROR(INDEX(PP_Grid[#Data],$DE60,82),0)</f>
        <v/>
      </c>
      <c r="CH60">
        <f>IFERROR(INDEX(PP_Grid[#Data],$DE60,83),0)</f>
        <v/>
      </c>
      <c r="CI60">
        <f>IFERROR(INDEX(PP_Grid[#Data],$DE60,84),0)</f>
        <v/>
      </c>
      <c r="CJ60">
        <f>IFERROR(INDEX(PP_Grid[#Data],$DE60,85),0)</f>
        <v/>
      </c>
      <c r="CK60">
        <f>IFERROR(INDEX(PP_Grid[#Data],$DE60,86),0)</f>
        <v/>
      </c>
      <c r="CL60">
        <f>IFERROR(INDEX(PP_Grid[#Data],$DE60,87),0)</f>
        <v/>
      </c>
      <c r="CM60">
        <f>IFERROR(INDEX(PP_Grid[#Data],$DE60,88),0)</f>
        <v/>
      </c>
      <c r="CN60">
        <f>IFERROR(INDEX(PP_Grid[#Data],$DE60,89),0)</f>
        <v/>
      </c>
      <c r="CO60">
        <f>IFERROR(INDEX(PP_Grid[#Data],$DE60,90),0)</f>
        <v/>
      </c>
      <c r="CP60">
        <f>IFERROR(INDEX(PP_Grid[#Data],$DE60,91),0)</f>
        <v/>
      </c>
      <c r="CQ60">
        <f>IFERROR(INDEX(PP_Grid[#Data],$DE60,92),0)</f>
        <v/>
      </c>
      <c r="CR60">
        <f>IFERROR(INDEX(PP_Grid[#Data],$DE60,93),0)</f>
        <v/>
      </c>
      <c r="CS60">
        <f>IFERROR(INDEX(PP_Grid[#Data],$DE60,94),0)</f>
        <v/>
      </c>
      <c r="CT60">
        <f>IFERROR(INDEX(PP_Grid[#Data],$DE60,95),0)</f>
        <v/>
      </c>
      <c r="CU60">
        <f>IFERROR(INDEX(PP_Grid[#Data],$DE60,96),0)</f>
        <v/>
      </c>
      <c r="CV60">
        <f>IFERROR(INDEX(PP_Grid[#Data],$DE60,97),0)</f>
        <v/>
      </c>
      <c r="CW60">
        <f>IFERROR(INDEX(PP_Grid[#Data],$DE60,98),0)</f>
        <v/>
      </c>
      <c r="CX60">
        <f>IFERROR(INDEX(PP_Grid[#Data],$DE60,99),0)</f>
        <v/>
      </c>
      <c r="CY60">
        <f>IFERROR(INDEX(PP_Grid[#Data],$DE60,100),0)</f>
        <v/>
      </c>
      <c r="CZ60">
        <f>IFERROR(INDEX(PP_Grid[#Data],$DE60,101),0)</f>
        <v/>
      </c>
      <c r="DA60">
        <f>IFERROR(INDEX(PP_Grid[#Data],$DE60,102),0)</f>
        <v/>
      </c>
      <c r="DB60">
        <f>IFERROR(INDEX(PP_Grid[#Data],$DE60,103),0)</f>
        <v/>
      </c>
      <c r="DC60">
        <f>IFERROR(INDEX(PP_Grid[#Data],$DE60,104),0)</f>
        <v/>
      </c>
      <c r="DD60">
        <f>IFERROR(INDEX(PP_Grid[#Data],$DE60,105),0)</f>
        <v/>
      </c>
      <c r="DE60" s="7">
        <f>IFERROR(MATCH($B60,PP_Grid[Intermediate],0),99999)</f>
        <v/>
      </c>
    </row>
    <row r="61">
      <c r="B61" t="inlineStr">
        <is>
          <t>使用量(kg)</t>
        </is>
      </c>
      <c r="C61">
        <f>SUMIFS(M_BOM[RM_Qty_Per_Batch],M_BOM[Intermediate],$B60,M_BOM[RM_Code],$A25)</f>
        <v/>
      </c>
      <c r="D61">
        <f>IFERROR(INDEX(E61:DD61,$F$1),"")</f>
        <v/>
      </c>
      <c r="E61">
        <f>$C61*E60</f>
        <v/>
      </c>
      <c r="F61">
        <f>$C61*F60</f>
        <v/>
      </c>
      <c r="G61">
        <f>$C61*G60</f>
        <v/>
      </c>
      <c r="H61">
        <f>$C61*H60</f>
        <v/>
      </c>
      <c r="I61">
        <f>$C61*I60</f>
        <v/>
      </c>
      <c r="J61">
        <f>$C61*J60</f>
        <v/>
      </c>
      <c r="K61">
        <f>$C61*K60</f>
        <v/>
      </c>
      <c r="L61">
        <f>$C61*L60</f>
        <v/>
      </c>
      <c r="M61">
        <f>$C61*M60</f>
        <v/>
      </c>
      <c r="N61">
        <f>$C61*N60</f>
        <v/>
      </c>
      <c r="O61">
        <f>$C61*O60</f>
        <v/>
      </c>
      <c r="P61">
        <f>$C61*P60</f>
        <v/>
      </c>
      <c r="Q61">
        <f>$C61*Q60</f>
        <v/>
      </c>
      <c r="R61">
        <f>$C61*R60</f>
        <v/>
      </c>
      <c r="S61">
        <f>$C61*S60</f>
        <v/>
      </c>
      <c r="T61">
        <f>$C61*T60</f>
        <v/>
      </c>
      <c r="U61">
        <f>$C61*U60</f>
        <v/>
      </c>
      <c r="V61">
        <f>$C61*V60</f>
        <v/>
      </c>
      <c r="W61">
        <f>$C61*W60</f>
        <v/>
      </c>
      <c r="X61">
        <f>$C61*X60</f>
        <v/>
      </c>
      <c r="Y61">
        <f>$C61*Y60</f>
        <v/>
      </c>
      <c r="Z61">
        <f>$C61*Z60</f>
        <v/>
      </c>
      <c r="AA61">
        <f>$C61*AA60</f>
        <v/>
      </c>
      <c r="AB61">
        <f>$C61*AB60</f>
        <v/>
      </c>
      <c r="AC61">
        <f>$C61*AC60</f>
        <v/>
      </c>
      <c r="AD61">
        <f>$C61*AD60</f>
        <v/>
      </c>
      <c r="AE61">
        <f>$C61*AE60</f>
        <v/>
      </c>
      <c r="AF61">
        <f>$C61*AF60</f>
        <v/>
      </c>
      <c r="AG61">
        <f>$C61*AG60</f>
        <v/>
      </c>
      <c r="AH61">
        <f>$C61*AH60</f>
        <v/>
      </c>
      <c r="AI61">
        <f>$C61*AI60</f>
        <v/>
      </c>
      <c r="AJ61">
        <f>$C61*AJ60</f>
        <v/>
      </c>
      <c r="AK61">
        <f>$C61*AK60</f>
        <v/>
      </c>
      <c r="AL61">
        <f>$C61*AL60</f>
        <v/>
      </c>
      <c r="AM61">
        <f>$C61*AM60</f>
        <v/>
      </c>
      <c r="AN61">
        <f>$C61*AN60</f>
        <v/>
      </c>
      <c r="AO61">
        <f>$C61*AO60</f>
        <v/>
      </c>
      <c r="AP61">
        <f>$C61*AP60</f>
        <v/>
      </c>
      <c r="AQ61">
        <f>$C61*AQ60</f>
        <v/>
      </c>
      <c r="AR61">
        <f>$C61*AR60</f>
        <v/>
      </c>
      <c r="AS61">
        <f>$C61*AS60</f>
        <v/>
      </c>
      <c r="AT61">
        <f>$C61*AT60</f>
        <v/>
      </c>
      <c r="AU61">
        <f>$C61*AU60</f>
        <v/>
      </c>
      <c r="AV61">
        <f>$C61*AV60</f>
        <v/>
      </c>
      <c r="AW61">
        <f>$C61*AW60</f>
        <v/>
      </c>
      <c r="AX61">
        <f>$C61*AX60</f>
        <v/>
      </c>
      <c r="AY61">
        <f>$C61*AY60</f>
        <v/>
      </c>
      <c r="AZ61">
        <f>$C61*AZ60</f>
        <v/>
      </c>
      <c r="BA61">
        <f>$C61*BA60</f>
        <v/>
      </c>
      <c r="BB61">
        <f>$C61*BB60</f>
        <v/>
      </c>
      <c r="BC61">
        <f>$C61*BC60</f>
        <v/>
      </c>
      <c r="BD61">
        <f>$C61*BD60</f>
        <v/>
      </c>
      <c r="BE61">
        <f>$C61*BE60</f>
        <v/>
      </c>
      <c r="BF61">
        <f>$C61*BF60</f>
        <v/>
      </c>
      <c r="BG61">
        <f>$C61*BG60</f>
        <v/>
      </c>
      <c r="BH61">
        <f>$C61*BH60</f>
        <v/>
      </c>
      <c r="BI61">
        <f>$C61*BI60</f>
        <v/>
      </c>
      <c r="BJ61">
        <f>$C61*BJ60</f>
        <v/>
      </c>
      <c r="BK61">
        <f>$C61*BK60</f>
        <v/>
      </c>
      <c r="BL61">
        <f>$C61*BL60</f>
        <v/>
      </c>
      <c r="BM61">
        <f>$C61*BM60</f>
        <v/>
      </c>
      <c r="BN61">
        <f>$C61*BN60</f>
        <v/>
      </c>
      <c r="BO61">
        <f>$C61*BO60</f>
        <v/>
      </c>
      <c r="BP61">
        <f>$C61*BP60</f>
        <v/>
      </c>
      <c r="BQ61">
        <f>$C61*BQ60</f>
        <v/>
      </c>
      <c r="BR61">
        <f>$C61*BR60</f>
        <v/>
      </c>
      <c r="BS61">
        <f>$C61*BS60</f>
        <v/>
      </c>
      <c r="BT61">
        <f>$C61*BT60</f>
        <v/>
      </c>
      <c r="BU61">
        <f>$C61*BU60</f>
        <v/>
      </c>
      <c r="BV61">
        <f>$C61*BV60</f>
        <v/>
      </c>
      <c r="BW61">
        <f>$C61*BW60</f>
        <v/>
      </c>
      <c r="BX61">
        <f>$C61*BX60</f>
        <v/>
      </c>
      <c r="BY61">
        <f>$C61*BY60</f>
        <v/>
      </c>
      <c r="BZ61">
        <f>$C61*BZ60</f>
        <v/>
      </c>
      <c r="CA61">
        <f>$C61*CA60</f>
        <v/>
      </c>
      <c r="CB61">
        <f>$C61*CB60</f>
        <v/>
      </c>
      <c r="CC61">
        <f>$C61*CC60</f>
        <v/>
      </c>
      <c r="CD61">
        <f>$C61*CD60</f>
        <v/>
      </c>
      <c r="CE61">
        <f>$C61*CE60</f>
        <v/>
      </c>
      <c r="CF61">
        <f>$C61*CF60</f>
        <v/>
      </c>
      <c r="CG61">
        <f>$C61*CG60</f>
        <v/>
      </c>
      <c r="CH61">
        <f>$C61*CH60</f>
        <v/>
      </c>
      <c r="CI61">
        <f>$C61*CI60</f>
        <v/>
      </c>
      <c r="CJ61">
        <f>$C61*CJ60</f>
        <v/>
      </c>
      <c r="CK61">
        <f>$C61*CK60</f>
        <v/>
      </c>
      <c r="CL61">
        <f>$C61*CL60</f>
        <v/>
      </c>
      <c r="CM61">
        <f>$C61*CM60</f>
        <v/>
      </c>
      <c r="CN61">
        <f>$C61*CN60</f>
        <v/>
      </c>
      <c r="CO61">
        <f>$C61*CO60</f>
        <v/>
      </c>
      <c r="CP61">
        <f>$C61*CP60</f>
        <v/>
      </c>
      <c r="CQ61">
        <f>$C61*CQ60</f>
        <v/>
      </c>
      <c r="CR61">
        <f>$C61*CR60</f>
        <v/>
      </c>
      <c r="CS61">
        <f>$C61*CS60</f>
        <v/>
      </c>
      <c r="CT61">
        <f>$C61*CT60</f>
        <v/>
      </c>
      <c r="CU61">
        <f>$C61*CU60</f>
        <v/>
      </c>
      <c r="CV61">
        <f>$C61*CV60</f>
        <v/>
      </c>
      <c r="CW61">
        <f>$C61*CW60</f>
        <v/>
      </c>
      <c r="CX61">
        <f>$C61*CX60</f>
        <v/>
      </c>
      <c r="CY61">
        <f>$C61*CY60</f>
        <v/>
      </c>
      <c r="CZ61">
        <f>$C61*CZ60</f>
        <v/>
      </c>
      <c r="DA61">
        <f>$C61*DA60</f>
        <v/>
      </c>
      <c r="DB61">
        <f>$C61*DB60</f>
        <v/>
      </c>
      <c r="DC61">
        <f>$C61*DC60</f>
        <v/>
      </c>
      <c r="DD61">
        <f>$C61*DD60</f>
        <v/>
      </c>
    </row>
    <row r="62">
      <c r="B62" t="inlineStr">
        <is>
          <t>TSP-925</t>
        </is>
      </c>
      <c r="C62" t="inlineStr">
        <is>
          <t>No. of batches</t>
        </is>
      </c>
      <c r="D62">
        <f>IFERROR(INDEX(E62:DD62,$F$1),"")</f>
        <v/>
      </c>
      <c r="E62">
        <f>IFERROR(INDEX(PP_Grid[#Data],$DE62,2),0)</f>
        <v/>
      </c>
      <c r="F62">
        <f>IFERROR(INDEX(PP_Grid[#Data],$DE62,3),0)</f>
        <v/>
      </c>
      <c r="G62">
        <f>IFERROR(INDEX(PP_Grid[#Data],$DE62,4),0)</f>
        <v/>
      </c>
      <c r="H62">
        <f>IFERROR(INDEX(PP_Grid[#Data],$DE62,5),0)</f>
        <v/>
      </c>
      <c r="I62">
        <f>IFERROR(INDEX(PP_Grid[#Data],$DE62,6),0)</f>
        <v/>
      </c>
      <c r="J62">
        <f>IFERROR(INDEX(PP_Grid[#Data],$DE62,7),0)</f>
        <v/>
      </c>
      <c r="K62">
        <f>IFERROR(INDEX(PP_Grid[#Data],$DE62,8),0)</f>
        <v/>
      </c>
      <c r="L62">
        <f>IFERROR(INDEX(PP_Grid[#Data],$DE62,9),0)</f>
        <v/>
      </c>
      <c r="M62">
        <f>IFERROR(INDEX(PP_Grid[#Data],$DE62,10),0)</f>
        <v/>
      </c>
      <c r="N62">
        <f>IFERROR(INDEX(PP_Grid[#Data],$DE62,11),0)</f>
        <v/>
      </c>
      <c r="O62">
        <f>IFERROR(INDEX(PP_Grid[#Data],$DE62,12),0)</f>
        <v/>
      </c>
      <c r="P62">
        <f>IFERROR(INDEX(PP_Grid[#Data],$DE62,13),0)</f>
        <v/>
      </c>
      <c r="Q62">
        <f>IFERROR(INDEX(PP_Grid[#Data],$DE62,14),0)</f>
        <v/>
      </c>
      <c r="R62">
        <f>IFERROR(INDEX(PP_Grid[#Data],$DE62,15),0)</f>
        <v/>
      </c>
      <c r="S62">
        <f>IFERROR(INDEX(PP_Grid[#Data],$DE62,16),0)</f>
        <v/>
      </c>
      <c r="T62">
        <f>IFERROR(INDEX(PP_Grid[#Data],$DE62,17),0)</f>
        <v/>
      </c>
      <c r="U62">
        <f>IFERROR(INDEX(PP_Grid[#Data],$DE62,18),0)</f>
        <v/>
      </c>
      <c r="V62">
        <f>IFERROR(INDEX(PP_Grid[#Data],$DE62,19),0)</f>
        <v/>
      </c>
      <c r="W62">
        <f>IFERROR(INDEX(PP_Grid[#Data],$DE62,20),0)</f>
        <v/>
      </c>
      <c r="X62">
        <f>IFERROR(INDEX(PP_Grid[#Data],$DE62,21),0)</f>
        <v/>
      </c>
      <c r="Y62">
        <f>IFERROR(INDEX(PP_Grid[#Data],$DE62,22),0)</f>
        <v/>
      </c>
      <c r="Z62">
        <f>IFERROR(INDEX(PP_Grid[#Data],$DE62,23),0)</f>
        <v/>
      </c>
      <c r="AA62">
        <f>IFERROR(INDEX(PP_Grid[#Data],$DE62,24),0)</f>
        <v/>
      </c>
      <c r="AB62">
        <f>IFERROR(INDEX(PP_Grid[#Data],$DE62,25),0)</f>
        <v/>
      </c>
      <c r="AC62">
        <f>IFERROR(INDEX(PP_Grid[#Data],$DE62,26),0)</f>
        <v/>
      </c>
      <c r="AD62">
        <f>IFERROR(INDEX(PP_Grid[#Data],$DE62,27),0)</f>
        <v/>
      </c>
      <c r="AE62">
        <f>IFERROR(INDEX(PP_Grid[#Data],$DE62,28),0)</f>
        <v/>
      </c>
      <c r="AF62">
        <f>IFERROR(INDEX(PP_Grid[#Data],$DE62,29),0)</f>
        <v/>
      </c>
      <c r="AG62">
        <f>IFERROR(INDEX(PP_Grid[#Data],$DE62,30),0)</f>
        <v/>
      </c>
      <c r="AH62">
        <f>IFERROR(INDEX(PP_Grid[#Data],$DE62,31),0)</f>
        <v/>
      </c>
      <c r="AI62">
        <f>IFERROR(INDEX(PP_Grid[#Data],$DE62,32),0)</f>
        <v/>
      </c>
      <c r="AJ62">
        <f>IFERROR(INDEX(PP_Grid[#Data],$DE62,33),0)</f>
        <v/>
      </c>
      <c r="AK62">
        <f>IFERROR(INDEX(PP_Grid[#Data],$DE62,34),0)</f>
        <v/>
      </c>
      <c r="AL62">
        <f>IFERROR(INDEX(PP_Grid[#Data],$DE62,35),0)</f>
        <v/>
      </c>
      <c r="AM62">
        <f>IFERROR(INDEX(PP_Grid[#Data],$DE62,36),0)</f>
        <v/>
      </c>
      <c r="AN62">
        <f>IFERROR(INDEX(PP_Grid[#Data],$DE62,37),0)</f>
        <v/>
      </c>
      <c r="AO62">
        <f>IFERROR(INDEX(PP_Grid[#Data],$DE62,38),0)</f>
        <v/>
      </c>
      <c r="AP62">
        <f>IFERROR(INDEX(PP_Grid[#Data],$DE62,39),0)</f>
        <v/>
      </c>
      <c r="AQ62">
        <f>IFERROR(INDEX(PP_Grid[#Data],$DE62,40),0)</f>
        <v/>
      </c>
      <c r="AR62">
        <f>IFERROR(INDEX(PP_Grid[#Data],$DE62,41),0)</f>
        <v/>
      </c>
      <c r="AS62">
        <f>IFERROR(INDEX(PP_Grid[#Data],$DE62,42),0)</f>
        <v/>
      </c>
      <c r="AT62">
        <f>IFERROR(INDEX(PP_Grid[#Data],$DE62,43),0)</f>
        <v/>
      </c>
      <c r="AU62">
        <f>IFERROR(INDEX(PP_Grid[#Data],$DE62,44),0)</f>
        <v/>
      </c>
      <c r="AV62">
        <f>IFERROR(INDEX(PP_Grid[#Data],$DE62,45),0)</f>
        <v/>
      </c>
      <c r="AW62">
        <f>IFERROR(INDEX(PP_Grid[#Data],$DE62,46),0)</f>
        <v/>
      </c>
      <c r="AX62">
        <f>IFERROR(INDEX(PP_Grid[#Data],$DE62,47),0)</f>
        <v/>
      </c>
      <c r="AY62">
        <f>IFERROR(INDEX(PP_Grid[#Data],$DE62,48),0)</f>
        <v/>
      </c>
      <c r="AZ62">
        <f>IFERROR(INDEX(PP_Grid[#Data],$DE62,49),0)</f>
        <v/>
      </c>
      <c r="BA62">
        <f>IFERROR(INDEX(PP_Grid[#Data],$DE62,50),0)</f>
        <v/>
      </c>
      <c r="BB62">
        <f>IFERROR(INDEX(PP_Grid[#Data],$DE62,51),0)</f>
        <v/>
      </c>
      <c r="BC62">
        <f>IFERROR(INDEX(PP_Grid[#Data],$DE62,52),0)</f>
        <v/>
      </c>
      <c r="BD62">
        <f>IFERROR(INDEX(PP_Grid[#Data],$DE62,53),0)</f>
        <v/>
      </c>
      <c r="BE62">
        <f>IFERROR(INDEX(PP_Grid[#Data],$DE62,54),0)</f>
        <v/>
      </c>
      <c r="BF62">
        <f>IFERROR(INDEX(PP_Grid[#Data],$DE62,55),0)</f>
        <v/>
      </c>
      <c r="BG62">
        <f>IFERROR(INDEX(PP_Grid[#Data],$DE62,56),0)</f>
        <v/>
      </c>
      <c r="BH62">
        <f>IFERROR(INDEX(PP_Grid[#Data],$DE62,57),0)</f>
        <v/>
      </c>
      <c r="BI62">
        <f>IFERROR(INDEX(PP_Grid[#Data],$DE62,58),0)</f>
        <v/>
      </c>
      <c r="BJ62">
        <f>IFERROR(INDEX(PP_Grid[#Data],$DE62,59),0)</f>
        <v/>
      </c>
      <c r="BK62">
        <f>IFERROR(INDEX(PP_Grid[#Data],$DE62,60),0)</f>
        <v/>
      </c>
      <c r="BL62">
        <f>IFERROR(INDEX(PP_Grid[#Data],$DE62,61),0)</f>
        <v/>
      </c>
      <c r="BM62">
        <f>IFERROR(INDEX(PP_Grid[#Data],$DE62,62),0)</f>
        <v/>
      </c>
      <c r="BN62">
        <f>IFERROR(INDEX(PP_Grid[#Data],$DE62,63),0)</f>
        <v/>
      </c>
      <c r="BO62">
        <f>IFERROR(INDEX(PP_Grid[#Data],$DE62,64),0)</f>
        <v/>
      </c>
      <c r="BP62">
        <f>IFERROR(INDEX(PP_Grid[#Data],$DE62,65),0)</f>
        <v/>
      </c>
      <c r="BQ62">
        <f>IFERROR(INDEX(PP_Grid[#Data],$DE62,66),0)</f>
        <v/>
      </c>
      <c r="BR62">
        <f>IFERROR(INDEX(PP_Grid[#Data],$DE62,67),0)</f>
        <v/>
      </c>
      <c r="BS62">
        <f>IFERROR(INDEX(PP_Grid[#Data],$DE62,68),0)</f>
        <v/>
      </c>
      <c r="BT62">
        <f>IFERROR(INDEX(PP_Grid[#Data],$DE62,69),0)</f>
        <v/>
      </c>
      <c r="BU62">
        <f>IFERROR(INDEX(PP_Grid[#Data],$DE62,70),0)</f>
        <v/>
      </c>
      <c r="BV62">
        <f>IFERROR(INDEX(PP_Grid[#Data],$DE62,71),0)</f>
        <v/>
      </c>
      <c r="BW62">
        <f>IFERROR(INDEX(PP_Grid[#Data],$DE62,72),0)</f>
        <v/>
      </c>
      <c r="BX62">
        <f>IFERROR(INDEX(PP_Grid[#Data],$DE62,73),0)</f>
        <v/>
      </c>
      <c r="BY62">
        <f>IFERROR(INDEX(PP_Grid[#Data],$DE62,74),0)</f>
        <v/>
      </c>
      <c r="BZ62">
        <f>IFERROR(INDEX(PP_Grid[#Data],$DE62,75),0)</f>
        <v/>
      </c>
      <c r="CA62">
        <f>IFERROR(INDEX(PP_Grid[#Data],$DE62,76),0)</f>
        <v/>
      </c>
      <c r="CB62">
        <f>IFERROR(INDEX(PP_Grid[#Data],$DE62,77),0)</f>
        <v/>
      </c>
      <c r="CC62">
        <f>IFERROR(INDEX(PP_Grid[#Data],$DE62,78),0)</f>
        <v/>
      </c>
      <c r="CD62">
        <f>IFERROR(INDEX(PP_Grid[#Data],$DE62,79),0)</f>
        <v/>
      </c>
      <c r="CE62">
        <f>IFERROR(INDEX(PP_Grid[#Data],$DE62,80),0)</f>
        <v/>
      </c>
      <c r="CF62">
        <f>IFERROR(INDEX(PP_Grid[#Data],$DE62,81),0)</f>
        <v/>
      </c>
      <c r="CG62">
        <f>IFERROR(INDEX(PP_Grid[#Data],$DE62,82),0)</f>
        <v/>
      </c>
      <c r="CH62">
        <f>IFERROR(INDEX(PP_Grid[#Data],$DE62,83),0)</f>
        <v/>
      </c>
      <c r="CI62">
        <f>IFERROR(INDEX(PP_Grid[#Data],$DE62,84),0)</f>
        <v/>
      </c>
      <c r="CJ62">
        <f>IFERROR(INDEX(PP_Grid[#Data],$DE62,85),0)</f>
        <v/>
      </c>
      <c r="CK62">
        <f>IFERROR(INDEX(PP_Grid[#Data],$DE62,86),0)</f>
        <v/>
      </c>
      <c r="CL62">
        <f>IFERROR(INDEX(PP_Grid[#Data],$DE62,87),0)</f>
        <v/>
      </c>
      <c r="CM62">
        <f>IFERROR(INDEX(PP_Grid[#Data],$DE62,88),0)</f>
        <v/>
      </c>
      <c r="CN62">
        <f>IFERROR(INDEX(PP_Grid[#Data],$DE62,89),0)</f>
        <v/>
      </c>
      <c r="CO62">
        <f>IFERROR(INDEX(PP_Grid[#Data],$DE62,90),0)</f>
        <v/>
      </c>
      <c r="CP62">
        <f>IFERROR(INDEX(PP_Grid[#Data],$DE62,91),0)</f>
        <v/>
      </c>
      <c r="CQ62">
        <f>IFERROR(INDEX(PP_Grid[#Data],$DE62,92),0)</f>
        <v/>
      </c>
      <c r="CR62">
        <f>IFERROR(INDEX(PP_Grid[#Data],$DE62,93),0)</f>
        <v/>
      </c>
      <c r="CS62">
        <f>IFERROR(INDEX(PP_Grid[#Data],$DE62,94),0)</f>
        <v/>
      </c>
      <c r="CT62">
        <f>IFERROR(INDEX(PP_Grid[#Data],$DE62,95),0)</f>
        <v/>
      </c>
      <c r="CU62">
        <f>IFERROR(INDEX(PP_Grid[#Data],$DE62,96),0)</f>
        <v/>
      </c>
      <c r="CV62">
        <f>IFERROR(INDEX(PP_Grid[#Data],$DE62,97),0)</f>
        <v/>
      </c>
      <c r="CW62">
        <f>IFERROR(INDEX(PP_Grid[#Data],$DE62,98),0)</f>
        <v/>
      </c>
      <c r="CX62">
        <f>IFERROR(INDEX(PP_Grid[#Data],$DE62,99),0)</f>
        <v/>
      </c>
      <c r="CY62">
        <f>IFERROR(INDEX(PP_Grid[#Data],$DE62,100),0)</f>
        <v/>
      </c>
      <c r="CZ62">
        <f>IFERROR(INDEX(PP_Grid[#Data],$DE62,101),0)</f>
        <v/>
      </c>
      <c r="DA62">
        <f>IFERROR(INDEX(PP_Grid[#Data],$DE62,102),0)</f>
        <v/>
      </c>
      <c r="DB62">
        <f>IFERROR(INDEX(PP_Grid[#Data],$DE62,103),0)</f>
        <v/>
      </c>
      <c r="DC62">
        <f>IFERROR(INDEX(PP_Grid[#Data],$DE62,104),0)</f>
        <v/>
      </c>
      <c r="DD62">
        <f>IFERROR(INDEX(PP_Grid[#Data],$DE62,105),0)</f>
        <v/>
      </c>
      <c r="DE62" s="7">
        <f>IFERROR(MATCH($B62,PP_Grid[Intermediate],0),99999)</f>
        <v/>
      </c>
    </row>
    <row r="63">
      <c r="B63" t="inlineStr">
        <is>
          <t>使用量(kg)</t>
        </is>
      </c>
      <c r="C63">
        <f>SUMIFS(M_BOM[RM_Qty_Per_Batch],M_BOM[Intermediate],$B62,M_BOM[RM_Code],$A25)</f>
        <v/>
      </c>
      <c r="D63">
        <f>IFERROR(INDEX(E63:DD63,$F$1),"")</f>
        <v/>
      </c>
      <c r="E63">
        <f>$C63*E62</f>
        <v/>
      </c>
      <c r="F63">
        <f>$C63*F62</f>
        <v/>
      </c>
      <c r="G63">
        <f>$C63*G62</f>
        <v/>
      </c>
      <c r="H63">
        <f>$C63*H62</f>
        <v/>
      </c>
      <c r="I63">
        <f>$C63*I62</f>
        <v/>
      </c>
      <c r="J63">
        <f>$C63*J62</f>
        <v/>
      </c>
      <c r="K63">
        <f>$C63*K62</f>
        <v/>
      </c>
      <c r="L63">
        <f>$C63*L62</f>
        <v/>
      </c>
      <c r="M63">
        <f>$C63*M62</f>
        <v/>
      </c>
      <c r="N63">
        <f>$C63*N62</f>
        <v/>
      </c>
      <c r="O63">
        <f>$C63*O62</f>
        <v/>
      </c>
      <c r="P63">
        <f>$C63*P62</f>
        <v/>
      </c>
      <c r="Q63">
        <f>$C63*Q62</f>
        <v/>
      </c>
      <c r="R63">
        <f>$C63*R62</f>
        <v/>
      </c>
      <c r="S63">
        <f>$C63*S62</f>
        <v/>
      </c>
      <c r="T63">
        <f>$C63*T62</f>
        <v/>
      </c>
      <c r="U63">
        <f>$C63*U62</f>
        <v/>
      </c>
      <c r="V63">
        <f>$C63*V62</f>
        <v/>
      </c>
      <c r="W63">
        <f>$C63*W62</f>
        <v/>
      </c>
      <c r="X63">
        <f>$C63*X62</f>
        <v/>
      </c>
      <c r="Y63">
        <f>$C63*Y62</f>
        <v/>
      </c>
      <c r="Z63">
        <f>$C63*Z62</f>
        <v/>
      </c>
      <c r="AA63">
        <f>$C63*AA62</f>
        <v/>
      </c>
      <c r="AB63">
        <f>$C63*AB62</f>
        <v/>
      </c>
      <c r="AC63">
        <f>$C63*AC62</f>
        <v/>
      </c>
      <c r="AD63">
        <f>$C63*AD62</f>
        <v/>
      </c>
      <c r="AE63">
        <f>$C63*AE62</f>
        <v/>
      </c>
      <c r="AF63">
        <f>$C63*AF62</f>
        <v/>
      </c>
      <c r="AG63">
        <f>$C63*AG62</f>
        <v/>
      </c>
      <c r="AH63">
        <f>$C63*AH62</f>
        <v/>
      </c>
      <c r="AI63">
        <f>$C63*AI62</f>
        <v/>
      </c>
      <c r="AJ63">
        <f>$C63*AJ62</f>
        <v/>
      </c>
      <c r="AK63">
        <f>$C63*AK62</f>
        <v/>
      </c>
      <c r="AL63">
        <f>$C63*AL62</f>
        <v/>
      </c>
      <c r="AM63">
        <f>$C63*AM62</f>
        <v/>
      </c>
      <c r="AN63">
        <f>$C63*AN62</f>
        <v/>
      </c>
      <c r="AO63">
        <f>$C63*AO62</f>
        <v/>
      </c>
      <c r="AP63">
        <f>$C63*AP62</f>
        <v/>
      </c>
      <c r="AQ63">
        <f>$C63*AQ62</f>
        <v/>
      </c>
      <c r="AR63">
        <f>$C63*AR62</f>
        <v/>
      </c>
      <c r="AS63">
        <f>$C63*AS62</f>
        <v/>
      </c>
      <c r="AT63">
        <f>$C63*AT62</f>
        <v/>
      </c>
      <c r="AU63">
        <f>$C63*AU62</f>
        <v/>
      </c>
      <c r="AV63">
        <f>$C63*AV62</f>
        <v/>
      </c>
      <c r="AW63">
        <f>$C63*AW62</f>
        <v/>
      </c>
      <c r="AX63">
        <f>$C63*AX62</f>
        <v/>
      </c>
      <c r="AY63">
        <f>$C63*AY62</f>
        <v/>
      </c>
      <c r="AZ63">
        <f>$C63*AZ62</f>
        <v/>
      </c>
      <c r="BA63">
        <f>$C63*BA62</f>
        <v/>
      </c>
      <c r="BB63">
        <f>$C63*BB62</f>
        <v/>
      </c>
      <c r="BC63">
        <f>$C63*BC62</f>
        <v/>
      </c>
      <c r="BD63">
        <f>$C63*BD62</f>
        <v/>
      </c>
      <c r="BE63">
        <f>$C63*BE62</f>
        <v/>
      </c>
      <c r="BF63">
        <f>$C63*BF62</f>
        <v/>
      </c>
      <c r="BG63">
        <f>$C63*BG62</f>
        <v/>
      </c>
      <c r="BH63">
        <f>$C63*BH62</f>
        <v/>
      </c>
      <c r="BI63">
        <f>$C63*BI62</f>
        <v/>
      </c>
      <c r="BJ63">
        <f>$C63*BJ62</f>
        <v/>
      </c>
      <c r="BK63">
        <f>$C63*BK62</f>
        <v/>
      </c>
      <c r="BL63">
        <f>$C63*BL62</f>
        <v/>
      </c>
      <c r="BM63">
        <f>$C63*BM62</f>
        <v/>
      </c>
      <c r="BN63">
        <f>$C63*BN62</f>
        <v/>
      </c>
      <c r="BO63">
        <f>$C63*BO62</f>
        <v/>
      </c>
      <c r="BP63">
        <f>$C63*BP62</f>
        <v/>
      </c>
      <c r="BQ63">
        <f>$C63*BQ62</f>
        <v/>
      </c>
      <c r="BR63">
        <f>$C63*BR62</f>
        <v/>
      </c>
      <c r="BS63">
        <f>$C63*BS62</f>
        <v/>
      </c>
      <c r="BT63">
        <f>$C63*BT62</f>
        <v/>
      </c>
      <c r="BU63">
        <f>$C63*BU62</f>
        <v/>
      </c>
      <c r="BV63">
        <f>$C63*BV62</f>
        <v/>
      </c>
      <c r="BW63">
        <f>$C63*BW62</f>
        <v/>
      </c>
      <c r="BX63">
        <f>$C63*BX62</f>
        <v/>
      </c>
      <c r="BY63">
        <f>$C63*BY62</f>
        <v/>
      </c>
      <c r="BZ63">
        <f>$C63*BZ62</f>
        <v/>
      </c>
      <c r="CA63">
        <f>$C63*CA62</f>
        <v/>
      </c>
      <c r="CB63">
        <f>$C63*CB62</f>
        <v/>
      </c>
      <c r="CC63">
        <f>$C63*CC62</f>
        <v/>
      </c>
      <c r="CD63">
        <f>$C63*CD62</f>
        <v/>
      </c>
      <c r="CE63">
        <f>$C63*CE62</f>
        <v/>
      </c>
      <c r="CF63">
        <f>$C63*CF62</f>
        <v/>
      </c>
      <c r="CG63">
        <f>$C63*CG62</f>
        <v/>
      </c>
      <c r="CH63">
        <f>$C63*CH62</f>
        <v/>
      </c>
      <c r="CI63">
        <f>$C63*CI62</f>
        <v/>
      </c>
      <c r="CJ63">
        <f>$C63*CJ62</f>
        <v/>
      </c>
      <c r="CK63">
        <f>$C63*CK62</f>
        <v/>
      </c>
      <c r="CL63">
        <f>$C63*CL62</f>
        <v/>
      </c>
      <c r="CM63">
        <f>$C63*CM62</f>
        <v/>
      </c>
      <c r="CN63">
        <f>$C63*CN62</f>
        <v/>
      </c>
      <c r="CO63">
        <f>$C63*CO62</f>
        <v/>
      </c>
      <c r="CP63">
        <f>$C63*CP62</f>
        <v/>
      </c>
      <c r="CQ63">
        <f>$C63*CQ62</f>
        <v/>
      </c>
      <c r="CR63">
        <f>$C63*CR62</f>
        <v/>
      </c>
      <c r="CS63">
        <f>$C63*CS62</f>
        <v/>
      </c>
      <c r="CT63">
        <f>$C63*CT62</f>
        <v/>
      </c>
      <c r="CU63">
        <f>$C63*CU62</f>
        <v/>
      </c>
      <c r="CV63">
        <f>$C63*CV62</f>
        <v/>
      </c>
      <c r="CW63">
        <f>$C63*CW62</f>
        <v/>
      </c>
      <c r="CX63">
        <f>$C63*CX62</f>
        <v/>
      </c>
      <c r="CY63">
        <f>$C63*CY62</f>
        <v/>
      </c>
      <c r="CZ63">
        <f>$C63*CZ62</f>
        <v/>
      </c>
      <c r="DA63">
        <f>$C63*DA62</f>
        <v/>
      </c>
      <c r="DB63">
        <f>$C63*DB62</f>
        <v/>
      </c>
      <c r="DC63">
        <f>$C63*DC62</f>
        <v/>
      </c>
      <c r="DD63">
        <f>$C63*DD62</f>
        <v/>
      </c>
    </row>
    <row r="64">
      <c r="B64" t="inlineStr">
        <is>
          <t>TSP-1388</t>
        </is>
      </c>
      <c r="C64" t="inlineStr">
        <is>
          <t>No. of batches</t>
        </is>
      </c>
      <c r="D64">
        <f>IFERROR(INDEX(E64:DD64,$F$1),"")</f>
        <v/>
      </c>
      <c r="E64">
        <f>IFERROR(INDEX(PP_Grid[#Data],$DE64,2),0)</f>
        <v/>
      </c>
      <c r="F64">
        <f>IFERROR(INDEX(PP_Grid[#Data],$DE64,3),0)</f>
        <v/>
      </c>
      <c r="G64">
        <f>IFERROR(INDEX(PP_Grid[#Data],$DE64,4),0)</f>
        <v/>
      </c>
      <c r="H64">
        <f>IFERROR(INDEX(PP_Grid[#Data],$DE64,5),0)</f>
        <v/>
      </c>
      <c r="I64">
        <f>IFERROR(INDEX(PP_Grid[#Data],$DE64,6),0)</f>
        <v/>
      </c>
      <c r="J64">
        <f>IFERROR(INDEX(PP_Grid[#Data],$DE64,7),0)</f>
        <v/>
      </c>
      <c r="K64">
        <f>IFERROR(INDEX(PP_Grid[#Data],$DE64,8),0)</f>
        <v/>
      </c>
      <c r="L64">
        <f>IFERROR(INDEX(PP_Grid[#Data],$DE64,9),0)</f>
        <v/>
      </c>
      <c r="M64">
        <f>IFERROR(INDEX(PP_Grid[#Data],$DE64,10),0)</f>
        <v/>
      </c>
      <c r="N64">
        <f>IFERROR(INDEX(PP_Grid[#Data],$DE64,11),0)</f>
        <v/>
      </c>
      <c r="O64">
        <f>IFERROR(INDEX(PP_Grid[#Data],$DE64,12),0)</f>
        <v/>
      </c>
      <c r="P64">
        <f>IFERROR(INDEX(PP_Grid[#Data],$DE64,13),0)</f>
        <v/>
      </c>
      <c r="Q64">
        <f>IFERROR(INDEX(PP_Grid[#Data],$DE64,14),0)</f>
        <v/>
      </c>
      <c r="R64">
        <f>IFERROR(INDEX(PP_Grid[#Data],$DE64,15),0)</f>
        <v/>
      </c>
      <c r="S64">
        <f>IFERROR(INDEX(PP_Grid[#Data],$DE64,16),0)</f>
        <v/>
      </c>
      <c r="T64">
        <f>IFERROR(INDEX(PP_Grid[#Data],$DE64,17),0)</f>
        <v/>
      </c>
      <c r="U64">
        <f>IFERROR(INDEX(PP_Grid[#Data],$DE64,18),0)</f>
        <v/>
      </c>
      <c r="V64">
        <f>IFERROR(INDEX(PP_Grid[#Data],$DE64,19),0)</f>
        <v/>
      </c>
      <c r="W64">
        <f>IFERROR(INDEX(PP_Grid[#Data],$DE64,20),0)</f>
        <v/>
      </c>
      <c r="X64">
        <f>IFERROR(INDEX(PP_Grid[#Data],$DE64,21),0)</f>
        <v/>
      </c>
      <c r="Y64">
        <f>IFERROR(INDEX(PP_Grid[#Data],$DE64,22),0)</f>
        <v/>
      </c>
      <c r="Z64">
        <f>IFERROR(INDEX(PP_Grid[#Data],$DE64,23),0)</f>
        <v/>
      </c>
      <c r="AA64">
        <f>IFERROR(INDEX(PP_Grid[#Data],$DE64,24),0)</f>
        <v/>
      </c>
      <c r="AB64">
        <f>IFERROR(INDEX(PP_Grid[#Data],$DE64,25),0)</f>
        <v/>
      </c>
      <c r="AC64">
        <f>IFERROR(INDEX(PP_Grid[#Data],$DE64,26),0)</f>
        <v/>
      </c>
      <c r="AD64">
        <f>IFERROR(INDEX(PP_Grid[#Data],$DE64,27),0)</f>
        <v/>
      </c>
      <c r="AE64">
        <f>IFERROR(INDEX(PP_Grid[#Data],$DE64,28),0)</f>
        <v/>
      </c>
      <c r="AF64">
        <f>IFERROR(INDEX(PP_Grid[#Data],$DE64,29),0)</f>
        <v/>
      </c>
      <c r="AG64">
        <f>IFERROR(INDEX(PP_Grid[#Data],$DE64,30),0)</f>
        <v/>
      </c>
      <c r="AH64">
        <f>IFERROR(INDEX(PP_Grid[#Data],$DE64,31),0)</f>
        <v/>
      </c>
      <c r="AI64">
        <f>IFERROR(INDEX(PP_Grid[#Data],$DE64,32),0)</f>
        <v/>
      </c>
      <c r="AJ64">
        <f>IFERROR(INDEX(PP_Grid[#Data],$DE64,33),0)</f>
        <v/>
      </c>
      <c r="AK64">
        <f>IFERROR(INDEX(PP_Grid[#Data],$DE64,34),0)</f>
        <v/>
      </c>
      <c r="AL64">
        <f>IFERROR(INDEX(PP_Grid[#Data],$DE64,35),0)</f>
        <v/>
      </c>
      <c r="AM64">
        <f>IFERROR(INDEX(PP_Grid[#Data],$DE64,36),0)</f>
        <v/>
      </c>
      <c r="AN64">
        <f>IFERROR(INDEX(PP_Grid[#Data],$DE64,37),0)</f>
        <v/>
      </c>
      <c r="AO64">
        <f>IFERROR(INDEX(PP_Grid[#Data],$DE64,38),0)</f>
        <v/>
      </c>
      <c r="AP64">
        <f>IFERROR(INDEX(PP_Grid[#Data],$DE64,39),0)</f>
        <v/>
      </c>
      <c r="AQ64">
        <f>IFERROR(INDEX(PP_Grid[#Data],$DE64,40),0)</f>
        <v/>
      </c>
      <c r="AR64">
        <f>IFERROR(INDEX(PP_Grid[#Data],$DE64,41),0)</f>
        <v/>
      </c>
      <c r="AS64">
        <f>IFERROR(INDEX(PP_Grid[#Data],$DE64,42),0)</f>
        <v/>
      </c>
      <c r="AT64">
        <f>IFERROR(INDEX(PP_Grid[#Data],$DE64,43),0)</f>
        <v/>
      </c>
      <c r="AU64">
        <f>IFERROR(INDEX(PP_Grid[#Data],$DE64,44),0)</f>
        <v/>
      </c>
      <c r="AV64">
        <f>IFERROR(INDEX(PP_Grid[#Data],$DE64,45),0)</f>
        <v/>
      </c>
      <c r="AW64">
        <f>IFERROR(INDEX(PP_Grid[#Data],$DE64,46),0)</f>
        <v/>
      </c>
      <c r="AX64">
        <f>IFERROR(INDEX(PP_Grid[#Data],$DE64,47),0)</f>
        <v/>
      </c>
      <c r="AY64">
        <f>IFERROR(INDEX(PP_Grid[#Data],$DE64,48),0)</f>
        <v/>
      </c>
      <c r="AZ64">
        <f>IFERROR(INDEX(PP_Grid[#Data],$DE64,49),0)</f>
        <v/>
      </c>
      <c r="BA64">
        <f>IFERROR(INDEX(PP_Grid[#Data],$DE64,50),0)</f>
        <v/>
      </c>
      <c r="BB64">
        <f>IFERROR(INDEX(PP_Grid[#Data],$DE64,51),0)</f>
        <v/>
      </c>
      <c r="BC64">
        <f>IFERROR(INDEX(PP_Grid[#Data],$DE64,52),0)</f>
        <v/>
      </c>
      <c r="BD64">
        <f>IFERROR(INDEX(PP_Grid[#Data],$DE64,53),0)</f>
        <v/>
      </c>
      <c r="BE64">
        <f>IFERROR(INDEX(PP_Grid[#Data],$DE64,54),0)</f>
        <v/>
      </c>
      <c r="BF64">
        <f>IFERROR(INDEX(PP_Grid[#Data],$DE64,55),0)</f>
        <v/>
      </c>
      <c r="BG64">
        <f>IFERROR(INDEX(PP_Grid[#Data],$DE64,56),0)</f>
        <v/>
      </c>
      <c r="BH64">
        <f>IFERROR(INDEX(PP_Grid[#Data],$DE64,57),0)</f>
        <v/>
      </c>
      <c r="BI64">
        <f>IFERROR(INDEX(PP_Grid[#Data],$DE64,58),0)</f>
        <v/>
      </c>
      <c r="BJ64">
        <f>IFERROR(INDEX(PP_Grid[#Data],$DE64,59),0)</f>
        <v/>
      </c>
      <c r="BK64">
        <f>IFERROR(INDEX(PP_Grid[#Data],$DE64,60),0)</f>
        <v/>
      </c>
      <c r="BL64">
        <f>IFERROR(INDEX(PP_Grid[#Data],$DE64,61),0)</f>
        <v/>
      </c>
      <c r="BM64">
        <f>IFERROR(INDEX(PP_Grid[#Data],$DE64,62),0)</f>
        <v/>
      </c>
      <c r="BN64">
        <f>IFERROR(INDEX(PP_Grid[#Data],$DE64,63),0)</f>
        <v/>
      </c>
      <c r="BO64">
        <f>IFERROR(INDEX(PP_Grid[#Data],$DE64,64),0)</f>
        <v/>
      </c>
      <c r="BP64">
        <f>IFERROR(INDEX(PP_Grid[#Data],$DE64,65),0)</f>
        <v/>
      </c>
      <c r="BQ64">
        <f>IFERROR(INDEX(PP_Grid[#Data],$DE64,66),0)</f>
        <v/>
      </c>
      <c r="BR64">
        <f>IFERROR(INDEX(PP_Grid[#Data],$DE64,67),0)</f>
        <v/>
      </c>
      <c r="BS64">
        <f>IFERROR(INDEX(PP_Grid[#Data],$DE64,68),0)</f>
        <v/>
      </c>
      <c r="BT64">
        <f>IFERROR(INDEX(PP_Grid[#Data],$DE64,69),0)</f>
        <v/>
      </c>
      <c r="BU64">
        <f>IFERROR(INDEX(PP_Grid[#Data],$DE64,70),0)</f>
        <v/>
      </c>
      <c r="BV64">
        <f>IFERROR(INDEX(PP_Grid[#Data],$DE64,71),0)</f>
        <v/>
      </c>
      <c r="BW64">
        <f>IFERROR(INDEX(PP_Grid[#Data],$DE64,72),0)</f>
        <v/>
      </c>
      <c r="BX64">
        <f>IFERROR(INDEX(PP_Grid[#Data],$DE64,73),0)</f>
        <v/>
      </c>
      <c r="BY64">
        <f>IFERROR(INDEX(PP_Grid[#Data],$DE64,74),0)</f>
        <v/>
      </c>
      <c r="BZ64">
        <f>IFERROR(INDEX(PP_Grid[#Data],$DE64,75),0)</f>
        <v/>
      </c>
      <c r="CA64">
        <f>IFERROR(INDEX(PP_Grid[#Data],$DE64,76),0)</f>
        <v/>
      </c>
      <c r="CB64">
        <f>IFERROR(INDEX(PP_Grid[#Data],$DE64,77),0)</f>
        <v/>
      </c>
      <c r="CC64">
        <f>IFERROR(INDEX(PP_Grid[#Data],$DE64,78),0)</f>
        <v/>
      </c>
      <c r="CD64">
        <f>IFERROR(INDEX(PP_Grid[#Data],$DE64,79),0)</f>
        <v/>
      </c>
      <c r="CE64">
        <f>IFERROR(INDEX(PP_Grid[#Data],$DE64,80),0)</f>
        <v/>
      </c>
      <c r="CF64">
        <f>IFERROR(INDEX(PP_Grid[#Data],$DE64,81),0)</f>
        <v/>
      </c>
      <c r="CG64">
        <f>IFERROR(INDEX(PP_Grid[#Data],$DE64,82),0)</f>
        <v/>
      </c>
      <c r="CH64">
        <f>IFERROR(INDEX(PP_Grid[#Data],$DE64,83),0)</f>
        <v/>
      </c>
      <c r="CI64">
        <f>IFERROR(INDEX(PP_Grid[#Data],$DE64,84),0)</f>
        <v/>
      </c>
      <c r="CJ64">
        <f>IFERROR(INDEX(PP_Grid[#Data],$DE64,85),0)</f>
        <v/>
      </c>
      <c r="CK64">
        <f>IFERROR(INDEX(PP_Grid[#Data],$DE64,86),0)</f>
        <v/>
      </c>
      <c r="CL64">
        <f>IFERROR(INDEX(PP_Grid[#Data],$DE64,87),0)</f>
        <v/>
      </c>
      <c r="CM64">
        <f>IFERROR(INDEX(PP_Grid[#Data],$DE64,88),0)</f>
        <v/>
      </c>
      <c r="CN64">
        <f>IFERROR(INDEX(PP_Grid[#Data],$DE64,89),0)</f>
        <v/>
      </c>
      <c r="CO64">
        <f>IFERROR(INDEX(PP_Grid[#Data],$DE64,90),0)</f>
        <v/>
      </c>
      <c r="CP64">
        <f>IFERROR(INDEX(PP_Grid[#Data],$DE64,91),0)</f>
        <v/>
      </c>
      <c r="CQ64">
        <f>IFERROR(INDEX(PP_Grid[#Data],$DE64,92),0)</f>
        <v/>
      </c>
      <c r="CR64">
        <f>IFERROR(INDEX(PP_Grid[#Data],$DE64,93),0)</f>
        <v/>
      </c>
      <c r="CS64">
        <f>IFERROR(INDEX(PP_Grid[#Data],$DE64,94),0)</f>
        <v/>
      </c>
      <c r="CT64">
        <f>IFERROR(INDEX(PP_Grid[#Data],$DE64,95),0)</f>
        <v/>
      </c>
      <c r="CU64">
        <f>IFERROR(INDEX(PP_Grid[#Data],$DE64,96),0)</f>
        <v/>
      </c>
      <c r="CV64">
        <f>IFERROR(INDEX(PP_Grid[#Data],$DE64,97),0)</f>
        <v/>
      </c>
      <c r="CW64">
        <f>IFERROR(INDEX(PP_Grid[#Data],$DE64,98),0)</f>
        <v/>
      </c>
      <c r="CX64">
        <f>IFERROR(INDEX(PP_Grid[#Data],$DE64,99),0)</f>
        <v/>
      </c>
      <c r="CY64">
        <f>IFERROR(INDEX(PP_Grid[#Data],$DE64,100),0)</f>
        <v/>
      </c>
      <c r="CZ64">
        <f>IFERROR(INDEX(PP_Grid[#Data],$DE64,101),0)</f>
        <v/>
      </c>
      <c r="DA64">
        <f>IFERROR(INDEX(PP_Grid[#Data],$DE64,102),0)</f>
        <v/>
      </c>
      <c r="DB64">
        <f>IFERROR(INDEX(PP_Grid[#Data],$DE64,103),0)</f>
        <v/>
      </c>
      <c r="DC64">
        <f>IFERROR(INDEX(PP_Grid[#Data],$DE64,104),0)</f>
        <v/>
      </c>
      <c r="DD64">
        <f>IFERROR(INDEX(PP_Grid[#Data],$DE64,105),0)</f>
        <v/>
      </c>
      <c r="DE64" s="7">
        <f>IFERROR(MATCH($B64,PP_Grid[Intermediate],0),99999)</f>
        <v/>
      </c>
    </row>
    <row r="65">
      <c r="B65" t="inlineStr">
        <is>
          <t>使用量(kg)</t>
        </is>
      </c>
      <c r="C65">
        <f>SUMIFS(M_BOM[RM_Qty_Per_Batch],M_BOM[Intermediate],$B64,M_BOM[RM_Code],$A25)</f>
        <v/>
      </c>
      <c r="D65">
        <f>IFERROR(INDEX(E65:DD65,$F$1),"")</f>
        <v/>
      </c>
      <c r="E65">
        <f>$C65*E64</f>
        <v/>
      </c>
      <c r="F65">
        <f>$C65*F64</f>
        <v/>
      </c>
      <c r="G65">
        <f>$C65*G64</f>
        <v/>
      </c>
      <c r="H65">
        <f>$C65*H64</f>
        <v/>
      </c>
      <c r="I65">
        <f>$C65*I64</f>
        <v/>
      </c>
      <c r="J65">
        <f>$C65*J64</f>
        <v/>
      </c>
      <c r="K65">
        <f>$C65*K64</f>
        <v/>
      </c>
      <c r="L65">
        <f>$C65*L64</f>
        <v/>
      </c>
      <c r="M65">
        <f>$C65*M64</f>
        <v/>
      </c>
      <c r="N65">
        <f>$C65*N64</f>
        <v/>
      </c>
      <c r="O65">
        <f>$C65*O64</f>
        <v/>
      </c>
      <c r="P65">
        <f>$C65*P64</f>
        <v/>
      </c>
      <c r="Q65">
        <f>$C65*Q64</f>
        <v/>
      </c>
      <c r="R65">
        <f>$C65*R64</f>
        <v/>
      </c>
      <c r="S65">
        <f>$C65*S64</f>
        <v/>
      </c>
      <c r="T65">
        <f>$C65*T64</f>
        <v/>
      </c>
      <c r="U65">
        <f>$C65*U64</f>
        <v/>
      </c>
      <c r="V65">
        <f>$C65*V64</f>
        <v/>
      </c>
      <c r="W65">
        <f>$C65*W64</f>
        <v/>
      </c>
      <c r="X65">
        <f>$C65*X64</f>
        <v/>
      </c>
      <c r="Y65">
        <f>$C65*Y64</f>
        <v/>
      </c>
      <c r="Z65">
        <f>$C65*Z64</f>
        <v/>
      </c>
      <c r="AA65">
        <f>$C65*AA64</f>
        <v/>
      </c>
      <c r="AB65">
        <f>$C65*AB64</f>
        <v/>
      </c>
      <c r="AC65">
        <f>$C65*AC64</f>
        <v/>
      </c>
      <c r="AD65">
        <f>$C65*AD64</f>
        <v/>
      </c>
      <c r="AE65">
        <f>$C65*AE64</f>
        <v/>
      </c>
      <c r="AF65">
        <f>$C65*AF64</f>
        <v/>
      </c>
      <c r="AG65">
        <f>$C65*AG64</f>
        <v/>
      </c>
      <c r="AH65">
        <f>$C65*AH64</f>
        <v/>
      </c>
      <c r="AI65">
        <f>$C65*AI64</f>
        <v/>
      </c>
      <c r="AJ65">
        <f>$C65*AJ64</f>
        <v/>
      </c>
      <c r="AK65">
        <f>$C65*AK64</f>
        <v/>
      </c>
      <c r="AL65">
        <f>$C65*AL64</f>
        <v/>
      </c>
      <c r="AM65">
        <f>$C65*AM64</f>
        <v/>
      </c>
      <c r="AN65">
        <f>$C65*AN64</f>
        <v/>
      </c>
      <c r="AO65">
        <f>$C65*AO64</f>
        <v/>
      </c>
      <c r="AP65">
        <f>$C65*AP64</f>
        <v/>
      </c>
      <c r="AQ65">
        <f>$C65*AQ64</f>
        <v/>
      </c>
      <c r="AR65">
        <f>$C65*AR64</f>
        <v/>
      </c>
      <c r="AS65">
        <f>$C65*AS64</f>
        <v/>
      </c>
      <c r="AT65">
        <f>$C65*AT64</f>
        <v/>
      </c>
      <c r="AU65">
        <f>$C65*AU64</f>
        <v/>
      </c>
      <c r="AV65">
        <f>$C65*AV64</f>
        <v/>
      </c>
      <c r="AW65">
        <f>$C65*AW64</f>
        <v/>
      </c>
      <c r="AX65">
        <f>$C65*AX64</f>
        <v/>
      </c>
      <c r="AY65">
        <f>$C65*AY64</f>
        <v/>
      </c>
      <c r="AZ65">
        <f>$C65*AZ64</f>
        <v/>
      </c>
      <c r="BA65">
        <f>$C65*BA64</f>
        <v/>
      </c>
      <c r="BB65">
        <f>$C65*BB64</f>
        <v/>
      </c>
      <c r="BC65">
        <f>$C65*BC64</f>
        <v/>
      </c>
      <c r="BD65">
        <f>$C65*BD64</f>
        <v/>
      </c>
      <c r="BE65">
        <f>$C65*BE64</f>
        <v/>
      </c>
      <c r="BF65">
        <f>$C65*BF64</f>
        <v/>
      </c>
      <c r="BG65">
        <f>$C65*BG64</f>
        <v/>
      </c>
      <c r="BH65">
        <f>$C65*BH64</f>
        <v/>
      </c>
      <c r="BI65">
        <f>$C65*BI64</f>
        <v/>
      </c>
      <c r="BJ65">
        <f>$C65*BJ64</f>
        <v/>
      </c>
      <c r="BK65">
        <f>$C65*BK64</f>
        <v/>
      </c>
      <c r="BL65">
        <f>$C65*BL64</f>
        <v/>
      </c>
      <c r="BM65">
        <f>$C65*BM64</f>
        <v/>
      </c>
      <c r="BN65">
        <f>$C65*BN64</f>
        <v/>
      </c>
      <c r="BO65">
        <f>$C65*BO64</f>
        <v/>
      </c>
      <c r="BP65">
        <f>$C65*BP64</f>
        <v/>
      </c>
      <c r="BQ65">
        <f>$C65*BQ64</f>
        <v/>
      </c>
      <c r="BR65">
        <f>$C65*BR64</f>
        <v/>
      </c>
      <c r="BS65">
        <f>$C65*BS64</f>
        <v/>
      </c>
      <c r="BT65">
        <f>$C65*BT64</f>
        <v/>
      </c>
      <c r="BU65">
        <f>$C65*BU64</f>
        <v/>
      </c>
      <c r="BV65">
        <f>$C65*BV64</f>
        <v/>
      </c>
      <c r="BW65">
        <f>$C65*BW64</f>
        <v/>
      </c>
      <c r="BX65">
        <f>$C65*BX64</f>
        <v/>
      </c>
      <c r="BY65">
        <f>$C65*BY64</f>
        <v/>
      </c>
      <c r="BZ65">
        <f>$C65*BZ64</f>
        <v/>
      </c>
      <c r="CA65">
        <f>$C65*CA64</f>
        <v/>
      </c>
      <c r="CB65">
        <f>$C65*CB64</f>
        <v/>
      </c>
      <c r="CC65">
        <f>$C65*CC64</f>
        <v/>
      </c>
      <c r="CD65">
        <f>$C65*CD64</f>
        <v/>
      </c>
      <c r="CE65">
        <f>$C65*CE64</f>
        <v/>
      </c>
      <c r="CF65">
        <f>$C65*CF64</f>
        <v/>
      </c>
      <c r="CG65">
        <f>$C65*CG64</f>
        <v/>
      </c>
      <c r="CH65">
        <f>$C65*CH64</f>
        <v/>
      </c>
      <c r="CI65">
        <f>$C65*CI64</f>
        <v/>
      </c>
      <c r="CJ65">
        <f>$C65*CJ64</f>
        <v/>
      </c>
      <c r="CK65">
        <f>$C65*CK64</f>
        <v/>
      </c>
      <c r="CL65">
        <f>$C65*CL64</f>
        <v/>
      </c>
      <c r="CM65">
        <f>$C65*CM64</f>
        <v/>
      </c>
      <c r="CN65">
        <f>$C65*CN64</f>
        <v/>
      </c>
      <c r="CO65">
        <f>$C65*CO64</f>
        <v/>
      </c>
      <c r="CP65">
        <f>$C65*CP64</f>
        <v/>
      </c>
      <c r="CQ65">
        <f>$C65*CQ64</f>
        <v/>
      </c>
      <c r="CR65">
        <f>$C65*CR64</f>
        <v/>
      </c>
      <c r="CS65">
        <f>$C65*CS64</f>
        <v/>
      </c>
      <c r="CT65">
        <f>$C65*CT64</f>
        <v/>
      </c>
      <c r="CU65">
        <f>$C65*CU64</f>
        <v/>
      </c>
      <c r="CV65">
        <f>$C65*CV64</f>
        <v/>
      </c>
      <c r="CW65">
        <f>$C65*CW64</f>
        <v/>
      </c>
      <c r="CX65">
        <f>$C65*CX64</f>
        <v/>
      </c>
      <c r="CY65">
        <f>$C65*CY64</f>
        <v/>
      </c>
      <c r="CZ65">
        <f>$C65*CZ64</f>
        <v/>
      </c>
      <c r="DA65">
        <f>$C65*DA64</f>
        <v/>
      </c>
      <c r="DB65">
        <f>$C65*DB64</f>
        <v/>
      </c>
      <c r="DC65">
        <f>$C65*DC64</f>
        <v/>
      </c>
      <c r="DD65">
        <f>$C65*DD64</f>
        <v/>
      </c>
    </row>
    <row r="66">
      <c r="B66" t="inlineStr">
        <is>
          <t>TSP-1449</t>
        </is>
      </c>
      <c r="C66" t="inlineStr">
        <is>
          <t>No. of batches</t>
        </is>
      </c>
      <c r="D66">
        <f>IFERROR(INDEX(E66:DD66,$F$1),"")</f>
        <v/>
      </c>
      <c r="E66">
        <f>IFERROR(INDEX(PP_Grid[#Data],$DE66,2),0)</f>
        <v/>
      </c>
      <c r="F66">
        <f>IFERROR(INDEX(PP_Grid[#Data],$DE66,3),0)</f>
        <v/>
      </c>
      <c r="G66">
        <f>IFERROR(INDEX(PP_Grid[#Data],$DE66,4),0)</f>
        <v/>
      </c>
      <c r="H66">
        <f>IFERROR(INDEX(PP_Grid[#Data],$DE66,5),0)</f>
        <v/>
      </c>
      <c r="I66">
        <f>IFERROR(INDEX(PP_Grid[#Data],$DE66,6),0)</f>
        <v/>
      </c>
      <c r="J66">
        <f>IFERROR(INDEX(PP_Grid[#Data],$DE66,7),0)</f>
        <v/>
      </c>
      <c r="K66">
        <f>IFERROR(INDEX(PP_Grid[#Data],$DE66,8),0)</f>
        <v/>
      </c>
      <c r="L66">
        <f>IFERROR(INDEX(PP_Grid[#Data],$DE66,9),0)</f>
        <v/>
      </c>
      <c r="M66">
        <f>IFERROR(INDEX(PP_Grid[#Data],$DE66,10),0)</f>
        <v/>
      </c>
      <c r="N66">
        <f>IFERROR(INDEX(PP_Grid[#Data],$DE66,11),0)</f>
        <v/>
      </c>
      <c r="O66">
        <f>IFERROR(INDEX(PP_Grid[#Data],$DE66,12),0)</f>
        <v/>
      </c>
      <c r="P66">
        <f>IFERROR(INDEX(PP_Grid[#Data],$DE66,13),0)</f>
        <v/>
      </c>
      <c r="Q66">
        <f>IFERROR(INDEX(PP_Grid[#Data],$DE66,14),0)</f>
        <v/>
      </c>
      <c r="R66">
        <f>IFERROR(INDEX(PP_Grid[#Data],$DE66,15),0)</f>
        <v/>
      </c>
      <c r="S66">
        <f>IFERROR(INDEX(PP_Grid[#Data],$DE66,16),0)</f>
        <v/>
      </c>
      <c r="T66">
        <f>IFERROR(INDEX(PP_Grid[#Data],$DE66,17),0)</f>
        <v/>
      </c>
      <c r="U66">
        <f>IFERROR(INDEX(PP_Grid[#Data],$DE66,18),0)</f>
        <v/>
      </c>
      <c r="V66">
        <f>IFERROR(INDEX(PP_Grid[#Data],$DE66,19),0)</f>
        <v/>
      </c>
      <c r="W66">
        <f>IFERROR(INDEX(PP_Grid[#Data],$DE66,20),0)</f>
        <v/>
      </c>
      <c r="X66">
        <f>IFERROR(INDEX(PP_Grid[#Data],$DE66,21),0)</f>
        <v/>
      </c>
      <c r="Y66">
        <f>IFERROR(INDEX(PP_Grid[#Data],$DE66,22),0)</f>
        <v/>
      </c>
      <c r="Z66">
        <f>IFERROR(INDEX(PP_Grid[#Data],$DE66,23),0)</f>
        <v/>
      </c>
      <c r="AA66">
        <f>IFERROR(INDEX(PP_Grid[#Data],$DE66,24),0)</f>
        <v/>
      </c>
      <c r="AB66">
        <f>IFERROR(INDEX(PP_Grid[#Data],$DE66,25),0)</f>
        <v/>
      </c>
      <c r="AC66">
        <f>IFERROR(INDEX(PP_Grid[#Data],$DE66,26),0)</f>
        <v/>
      </c>
      <c r="AD66">
        <f>IFERROR(INDEX(PP_Grid[#Data],$DE66,27),0)</f>
        <v/>
      </c>
      <c r="AE66">
        <f>IFERROR(INDEX(PP_Grid[#Data],$DE66,28),0)</f>
        <v/>
      </c>
      <c r="AF66">
        <f>IFERROR(INDEX(PP_Grid[#Data],$DE66,29),0)</f>
        <v/>
      </c>
      <c r="AG66">
        <f>IFERROR(INDEX(PP_Grid[#Data],$DE66,30),0)</f>
        <v/>
      </c>
      <c r="AH66">
        <f>IFERROR(INDEX(PP_Grid[#Data],$DE66,31),0)</f>
        <v/>
      </c>
      <c r="AI66">
        <f>IFERROR(INDEX(PP_Grid[#Data],$DE66,32),0)</f>
        <v/>
      </c>
      <c r="AJ66">
        <f>IFERROR(INDEX(PP_Grid[#Data],$DE66,33),0)</f>
        <v/>
      </c>
      <c r="AK66">
        <f>IFERROR(INDEX(PP_Grid[#Data],$DE66,34),0)</f>
        <v/>
      </c>
      <c r="AL66">
        <f>IFERROR(INDEX(PP_Grid[#Data],$DE66,35),0)</f>
        <v/>
      </c>
      <c r="AM66">
        <f>IFERROR(INDEX(PP_Grid[#Data],$DE66,36),0)</f>
        <v/>
      </c>
      <c r="AN66">
        <f>IFERROR(INDEX(PP_Grid[#Data],$DE66,37),0)</f>
        <v/>
      </c>
      <c r="AO66">
        <f>IFERROR(INDEX(PP_Grid[#Data],$DE66,38),0)</f>
        <v/>
      </c>
      <c r="AP66">
        <f>IFERROR(INDEX(PP_Grid[#Data],$DE66,39),0)</f>
        <v/>
      </c>
      <c r="AQ66">
        <f>IFERROR(INDEX(PP_Grid[#Data],$DE66,40),0)</f>
        <v/>
      </c>
      <c r="AR66">
        <f>IFERROR(INDEX(PP_Grid[#Data],$DE66,41),0)</f>
        <v/>
      </c>
      <c r="AS66">
        <f>IFERROR(INDEX(PP_Grid[#Data],$DE66,42),0)</f>
        <v/>
      </c>
      <c r="AT66">
        <f>IFERROR(INDEX(PP_Grid[#Data],$DE66,43),0)</f>
        <v/>
      </c>
      <c r="AU66">
        <f>IFERROR(INDEX(PP_Grid[#Data],$DE66,44),0)</f>
        <v/>
      </c>
      <c r="AV66">
        <f>IFERROR(INDEX(PP_Grid[#Data],$DE66,45),0)</f>
        <v/>
      </c>
      <c r="AW66">
        <f>IFERROR(INDEX(PP_Grid[#Data],$DE66,46),0)</f>
        <v/>
      </c>
      <c r="AX66">
        <f>IFERROR(INDEX(PP_Grid[#Data],$DE66,47),0)</f>
        <v/>
      </c>
      <c r="AY66">
        <f>IFERROR(INDEX(PP_Grid[#Data],$DE66,48),0)</f>
        <v/>
      </c>
      <c r="AZ66">
        <f>IFERROR(INDEX(PP_Grid[#Data],$DE66,49),0)</f>
        <v/>
      </c>
      <c r="BA66">
        <f>IFERROR(INDEX(PP_Grid[#Data],$DE66,50),0)</f>
        <v/>
      </c>
      <c r="BB66">
        <f>IFERROR(INDEX(PP_Grid[#Data],$DE66,51),0)</f>
        <v/>
      </c>
      <c r="BC66">
        <f>IFERROR(INDEX(PP_Grid[#Data],$DE66,52),0)</f>
        <v/>
      </c>
      <c r="BD66">
        <f>IFERROR(INDEX(PP_Grid[#Data],$DE66,53),0)</f>
        <v/>
      </c>
      <c r="BE66">
        <f>IFERROR(INDEX(PP_Grid[#Data],$DE66,54),0)</f>
        <v/>
      </c>
      <c r="BF66">
        <f>IFERROR(INDEX(PP_Grid[#Data],$DE66,55),0)</f>
        <v/>
      </c>
      <c r="BG66">
        <f>IFERROR(INDEX(PP_Grid[#Data],$DE66,56),0)</f>
        <v/>
      </c>
      <c r="BH66">
        <f>IFERROR(INDEX(PP_Grid[#Data],$DE66,57),0)</f>
        <v/>
      </c>
      <c r="BI66">
        <f>IFERROR(INDEX(PP_Grid[#Data],$DE66,58),0)</f>
        <v/>
      </c>
      <c r="BJ66">
        <f>IFERROR(INDEX(PP_Grid[#Data],$DE66,59),0)</f>
        <v/>
      </c>
      <c r="BK66">
        <f>IFERROR(INDEX(PP_Grid[#Data],$DE66,60),0)</f>
        <v/>
      </c>
      <c r="BL66">
        <f>IFERROR(INDEX(PP_Grid[#Data],$DE66,61),0)</f>
        <v/>
      </c>
      <c r="BM66">
        <f>IFERROR(INDEX(PP_Grid[#Data],$DE66,62),0)</f>
        <v/>
      </c>
      <c r="BN66">
        <f>IFERROR(INDEX(PP_Grid[#Data],$DE66,63),0)</f>
        <v/>
      </c>
      <c r="BO66">
        <f>IFERROR(INDEX(PP_Grid[#Data],$DE66,64),0)</f>
        <v/>
      </c>
      <c r="BP66">
        <f>IFERROR(INDEX(PP_Grid[#Data],$DE66,65),0)</f>
        <v/>
      </c>
      <c r="BQ66">
        <f>IFERROR(INDEX(PP_Grid[#Data],$DE66,66),0)</f>
        <v/>
      </c>
      <c r="BR66">
        <f>IFERROR(INDEX(PP_Grid[#Data],$DE66,67),0)</f>
        <v/>
      </c>
      <c r="BS66">
        <f>IFERROR(INDEX(PP_Grid[#Data],$DE66,68),0)</f>
        <v/>
      </c>
      <c r="BT66">
        <f>IFERROR(INDEX(PP_Grid[#Data],$DE66,69),0)</f>
        <v/>
      </c>
      <c r="BU66">
        <f>IFERROR(INDEX(PP_Grid[#Data],$DE66,70),0)</f>
        <v/>
      </c>
      <c r="BV66">
        <f>IFERROR(INDEX(PP_Grid[#Data],$DE66,71),0)</f>
        <v/>
      </c>
      <c r="BW66">
        <f>IFERROR(INDEX(PP_Grid[#Data],$DE66,72),0)</f>
        <v/>
      </c>
      <c r="BX66">
        <f>IFERROR(INDEX(PP_Grid[#Data],$DE66,73),0)</f>
        <v/>
      </c>
      <c r="BY66">
        <f>IFERROR(INDEX(PP_Grid[#Data],$DE66,74),0)</f>
        <v/>
      </c>
      <c r="BZ66">
        <f>IFERROR(INDEX(PP_Grid[#Data],$DE66,75),0)</f>
        <v/>
      </c>
      <c r="CA66">
        <f>IFERROR(INDEX(PP_Grid[#Data],$DE66,76),0)</f>
        <v/>
      </c>
      <c r="CB66">
        <f>IFERROR(INDEX(PP_Grid[#Data],$DE66,77),0)</f>
        <v/>
      </c>
      <c r="CC66">
        <f>IFERROR(INDEX(PP_Grid[#Data],$DE66,78),0)</f>
        <v/>
      </c>
      <c r="CD66">
        <f>IFERROR(INDEX(PP_Grid[#Data],$DE66,79),0)</f>
        <v/>
      </c>
      <c r="CE66">
        <f>IFERROR(INDEX(PP_Grid[#Data],$DE66,80),0)</f>
        <v/>
      </c>
      <c r="CF66">
        <f>IFERROR(INDEX(PP_Grid[#Data],$DE66,81),0)</f>
        <v/>
      </c>
      <c r="CG66">
        <f>IFERROR(INDEX(PP_Grid[#Data],$DE66,82),0)</f>
        <v/>
      </c>
      <c r="CH66">
        <f>IFERROR(INDEX(PP_Grid[#Data],$DE66,83),0)</f>
        <v/>
      </c>
      <c r="CI66">
        <f>IFERROR(INDEX(PP_Grid[#Data],$DE66,84),0)</f>
        <v/>
      </c>
      <c r="CJ66">
        <f>IFERROR(INDEX(PP_Grid[#Data],$DE66,85),0)</f>
        <v/>
      </c>
      <c r="CK66">
        <f>IFERROR(INDEX(PP_Grid[#Data],$DE66,86),0)</f>
        <v/>
      </c>
      <c r="CL66">
        <f>IFERROR(INDEX(PP_Grid[#Data],$DE66,87),0)</f>
        <v/>
      </c>
      <c r="CM66">
        <f>IFERROR(INDEX(PP_Grid[#Data],$DE66,88),0)</f>
        <v/>
      </c>
      <c r="CN66">
        <f>IFERROR(INDEX(PP_Grid[#Data],$DE66,89),0)</f>
        <v/>
      </c>
      <c r="CO66">
        <f>IFERROR(INDEX(PP_Grid[#Data],$DE66,90),0)</f>
        <v/>
      </c>
      <c r="CP66">
        <f>IFERROR(INDEX(PP_Grid[#Data],$DE66,91),0)</f>
        <v/>
      </c>
      <c r="CQ66">
        <f>IFERROR(INDEX(PP_Grid[#Data],$DE66,92),0)</f>
        <v/>
      </c>
      <c r="CR66">
        <f>IFERROR(INDEX(PP_Grid[#Data],$DE66,93),0)</f>
        <v/>
      </c>
      <c r="CS66">
        <f>IFERROR(INDEX(PP_Grid[#Data],$DE66,94),0)</f>
        <v/>
      </c>
      <c r="CT66">
        <f>IFERROR(INDEX(PP_Grid[#Data],$DE66,95),0)</f>
        <v/>
      </c>
      <c r="CU66">
        <f>IFERROR(INDEX(PP_Grid[#Data],$DE66,96),0)</f>
        <v/>
      </c>
      <c r="CV66">
        <f>IFERROR(INDEX(PP_Grid[#Data],$DE66,97),0)</f>
        <v/>
      </c>
      <c r="CW66">
        <f>IFERROR(INDEX(PP_Grid[#Data],$DE66,98),0)</f>
        <v/>
      </c>
      <c r="CX66">
        <f>IFERROR(INDEX(PP_Grid[#Data],$DE66,99),0)</f>
        <v/>
      </c>
      <c r="CY66">
        <f>IFERROR(INDEX(PP_Grid[#Data],$DE66,100),0)</f>
        <v/>
      </c>
      <c r="CZ66">
        <f>IFERROR(INDEX(PP_Grid[#Data],$DE66,101),0)</f>
        <v/>
      </c>
      <c r="DA66">
        <f>IFERROR(INDEX(PP_Grid[#Data],$DE66,102),0)</f>
        <v/>
      </c>
      <c r="DB66">
        <f>IFERROR(INDEX(PP_Grid[#Data],$DE66,103),0)</f>
        <v/>
      </c>
      <c r="DC66">
        <f>IFERROR(INDEX(PP_Grid[#Data],$DE66,104),0)</f>
        <v/>
      </c>
      <c r="DD66">
        <f>IFERROR(INDEX(PP_Grid[#Data],$DE66,105),0)</f>
        <v/>
      </c>
      <c r="DE66" s="7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SUMIFS(M_BOM[RM_Qty_Per_Batch],M_BOM[Intermediate],$B66,M_BOM[RM_Code],$A25)</f>
        <v/>
      </c>
      <c r="D67">
        <f>IFERROR(INDEX(E67:DD67,$F$1),"")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  <c r="DD67">
        <f>$C67*DD66</f>
        <v/>
      </c>
    </row>
    <row r="68">
      <c r="B68" t="inlineStr">
        <is>
          <t>VSP-567</t>
        </is>
      </c>
      <c r="C68" t="inlineStr">
        <is>
          <t>No. of batches</t>
        </is>
      </c>
      <c r="D68">
        <f>IFERROR(INDEX(E68:DD68,$F$1),"")</f>
        <v/>
      </c>
      <c r="E68">
        <f>IFERROR(INDEX(PP_Grid[#Data],$DE68,2),0)</f>
        <v/>
      </c>
      <c r="F68">
        <f>IFERROR(INDEX(PP_Grid[#Data],$DE68,3),0)</f>
        <v/>
      </c>
      <c r="G68">
        <f>IFERROR(INDEX(PP_Grid[#Data],$DE68,4),0)</f>
        <v/>
      </c>
      <c r="H68">
        <f>IFERROR(INDEX(PP_Grid[#Data],$DE68,5),0)</f>
        <v/>
      </c>
      <c r="I68">
        <f>IFERROR(INDEX(PP_Grid[#Data],$DE68,6),0)</f>
        <v/>
      </c>
      <c r="J68">
        <f>IFERROR(INDEX(PP_Grid[#Data],$DE68,7),0)</f>
        <v/>
      </c>
      <c r="K68">
        <f>IFERROR(INDEX(PP_Grid[#Data],$DE68,8),0)</f>
        <v/>
      </c>
      <c r="L68">
        <f>IFERROR(INDEX(PP_Grid[#Data],$DE68,9),0)</f>
        <v/>
      </c>
      <c r="M68">
        <f>IFERROR(INDEX(PP_Grid[#Data],$DE68,10),0)</f>
        <v/>
      </c>
      <c r="N68">
        <f>IFERROR(INDEX(PP_Grid[#Data],$DE68,11),0)</f>
        <v/>
      </c>
      <c r="O68">
        <f>IFERROR(INDEX(PP_Grid[#Data],$DE68,12),0)</f>
        <v/>
      </c>
      <c r="P68">
        <f>IFERROR(INDEX(PP_Grid[#Data],$DE68,13),0)</f>
        <v/>
      </c>
      <c r="Q68">
        <f>IFERROR(INDEX(PP_Grid[#Data],$DE68,14),0)</f>
        <v/>
      </c>
      <c r="R68">
        <f>IFERROR(INDEX(PP_Grid[#Data],$DE68,15),0)</f>
        <v/>
      </c>
      <c r="S68">
        <f>IFERROR(INDEX(PP_Grid[#Data],$DE68,16),0)</f>
        <v/>
      </c>
      <c r="T68">
        <f>IFERROR(INDEX(PP_Grid[#Data],$DE68,17),0)</f>
        <v/>
      </c>
      <c r="U68">
        <f>IFERROR(INDEX(PP_Grid[#Data],$DE68,18),0)</f>
        <v/>
      </c>
      <c r="V68">
        <f>IFERROR(INDEX(PP_Grid[#Data],$DE68,19),0)</f>
        <v/>
      </c>
      <c r="W68">
        <f>IFERROR(INDEX(PP_Grid[#Data],$DE68,20),0)</f>
        <v/>
      </c>
      <c r="X68">
        <f>IFERROR(INDEX(PP_Grid[#Data],$DE68,21),0)</f>
        <v/>
      </c>
      <c r="Y68">
        <f>IFERROR(INDEX(PP_Grid[#Data],$DE68,22),0)</f>
        <v/>
      </c>
      <c r="Z68">
        <f>IFERROR(INDEX(PP_Grid[#Data],$DE68,23),0)</f>
        <v/>
      </c>
      <c r="AA68">
        <f>IFERROR(INDEX(PP_Grid[#Data],$DE68,24),0)</f>
        <v/>
      </c>
      <c r="AB68">
        <f>IFERROR(INDEX(PP_Grid[#Data],$DE68,25),0)</f>
        <v/>
      </c>
      <c r="AC68">
        <f>IFERROR(INDEX(PP_Grid[#Data],$DE68,26),0)</f>
        <v/>
      </c>
      <c r="AD68">
        <f>IFERROR(INDEX(PP_Grid[#Data],$DE68,27),0)</f>
        <v/>
      </c>
      <c r="AE68">
        <f>IFERROR(INDEX(PP_Grid[#Data],$DE68,28),0)</f>
        <v/>
      </c>
      <c r="AF68">
        <f>IFERROR(INDEX(PP_Grid[#Data],$DE68,29),0)</f>
        <v/>
      </c>
      <c r="AG68">
        <f>IFERROR(INDEX(PP_Grid[#Data],$DE68,30),0)</f>
        <v/>
      </c>
      <c r="AH68">
        <f>IFERROR(INDEX(PP_Grid[#Data],$DE68,31),0)</f>
        <v/>
      </c>
      <c r="AI68">
        <f>IFERROR(INDEX(PP_Grid[#Data],$DE68,32),0)</f>
        <v/>
      </c>
      <c r="AJ68">
        <f>IFERROR(INDEX(PP_Grid[#Data],$DE68,33),0)</f>
        <v/>
      </c>
      <c r="AK68">
        <f>IFERROR(INDEX(PP_Grid[#Data],$DE68,34),0)</f>
        <v/>
      </c>
      <c r="AL68">
        <f>IFERROR(INDEX(PP_Grid[#Data],$DE68,35),0)</f>
        <v/>
      </c>
      <c r="AM68">
        <f>IFERROR(INDEX(PP_Grid[#Data],$DE68,36),0)</f>
        <v/>
      </c>
      <c r="AN68">
        <f>IFERROR(INDEX(PP_Grid[#Data],$DE68,37),0)</f>
        <v/>
      </c>
      <c r="AO68">
        <f>IFERROR(INDEX(PP_Grid[#Data],$DE68,38),0)</f>
        <v/>
      </c>
      <c r="AP68">
        <f>IFERROR(INDEX(PP_Grid[#Data],$DE68,39),0)</f>
        <v/>
      </c>
      <c r="AQ68">
        <f>IFERROR(INDEX(PP_Grid[#Data],$DE68,40),0)</f>
        <v/>
      </c>
      <c r="AR68">
        <f>IFERROR(INDEX(PP_Grid[#Data],$DE68,41),0)</f>
        <v/>
      </c>
      <c r="AS68">
        <f>IFERROR(INDEX(PP_Grid[#Data],$DE68,42),0)</f>
        <v/>
      </c>
      <c r="AT68">
        <f>IFERROR(INDEX(PP_Grid[#Data],$DE68,43),0)</f>
        <v/>
      </c>
      <c r="AU68">
        <f>IFERROR(INDEX(PP_Grid[#Data],$DE68,44),0)</f>
        <v/>
      </c>
      <c r="AV68">
        <f>IFERROR(INDEX(PP_Grid[#Data],$DE68,45),0)</f>
        <v/>
      </c>
      <c r="AW68">
        <f>IFERROR(INDEX(PP_Grid[#Data],$DE68,46),0)</f>
        <v/>
      </c>
      <c r="AX68">
        <f>IFERROR(INDEX(PP_Grid[#Data],$DE68,47),0)</f>
        <v/>
      </c>
      <c r="AY68">
        <f>IFERROR(INDEX(PP_Grid[#Data],$DE68,48),0)</f>
        <v/>
      </c>
      <c r="AZ68">
        <f>IFERROR(INDEX(PP_Grid[#Data],$DE68,49),0)</f>
        <v/>
      </c>
      <c r="BA68">
        <f>IFERROR(INDEX(PP_Grid[#Data],$DE68,50),0)</f>
        <v/>
      </c>
      <c r="BB68">
        <f>IFERROR(INDEX(PP_Grid[#Data],$DE68,51),0)</f>
        <v/>
      </c>
      <c r="BC68">
        <f>IFERROR(INDEX(PP_Grid[#Data],$DE68,52),0)</f>
        <v/>
      </c>
      <c r="BD68">
        <f>IFERROR(INDEX(PP_Grid[#Data],$DE68,53),0)</f>
        <v/>
      </c>
      <c r="BE68">
        <f>IFERROR(INDEX(PP_Grid[#Data],$DE68,54),0)</f>
        <v/>
      </c>
      <c r="BF68">
        <f>IFERROR(INDEX(PP_Grid[#Data],$DE68,55),0)</f>
        <v/>
      </c>
      <c r="BG68">
        <f>IFERROR(INDEX(PP_Grid[#Data],$DE68,56),0)</f>
        <v/>
      </c>
      <c r="BH68">
        <f>IFERROR(INDEX(PP_Grid[#Data],$DE68,57),0)</f>
        <v/>
      </c>
      <c r="BI68">
        <f>IFERROR(INDEX(PP_Grid[#Data],$DE68,58),0)</f>
        <v/>
      </c>
      <c r="BJ68">
        <f>IFERROR(INDEX(PP_Grid[#Data],$DE68,59),0)</f>
        <v/>
      </c>
      <c r="BK68">
        <f>IFERROR(INDEX(PP_Grid[#Data],$DE68,60),0)</f>
        <v/>
      </c>
      <c r="BL68">
        <f>IFERROR(INDEX(PP_Grid[#Data],$DE68,61),0)</f>
        <v/>
      </c>
      <c r="BM68">
        <f>IFERROR(INDEX(PP_Grid[#Data],$DE68,62),0)</f>
        <v/>
      </c>
      <c r="BN68">
        <f>IFERROR(INDEX(PP_Grid[#Data],$DE68,63),0)</f>
        <v/>
      </c>
      <c r="BO68">
        <f>IFERROR(INDEX(PP_Grid[#Data],$DE68,64),0)</f>
        <v/>
      </c>
      <c r="BP68">
        <f>IFERROR(INDEX(PP_Grid[#Data],$DE68,65),0)</f>
        <v/>
      </c>
      <c r="BQ68">
        <f>IFERROR(INDEX(PP_Grid[#Data],$DE68,66),0)</f>
        <v/>
      </c>
      <c r="BR68">
        <f>IFERROR(INDEX(PP_Grid[#Data],$DE68,67),0)</f>
        <v/>
      </c>
      <c r="BS68">
        <f>IFERROR(INDEX(PP_Grid[#Data],$DE68,68),0)</f>
        <v/>
      </c>
      <c r="BT68">
        <f>IFERROR(INDEX(PP_Grid[#Data],$DE68,69),0)</f>
        <v/>
      </c>
      <c r="BU68">
        <f>IFERROR(INDEX(PP_Grid[#Data],$DE68,70),0)</f>
        <v/>
      </c>
      <c r="BV68">
        <f>IFERROR(INDEX(PP_Grid[#Data],$DE68,71),0)</f>
        <v/>
      </c>
      <c r="BW68">
        <f>IFERROR(INDEX(PP_Grid[#Data],$DE68,72),0)</f>
        <v/>
      </c>
      <c r="BX68">
        <f>IFERROR(INDEX(PP_Grid[#Data],$DE68,73),0)</f>
        <v/>
      </c>
      <c r="BY68">
        <f>IFERROR(INDEX(PP_Grid[#Data],$DE68,74),0)</f>
        <v/>
      </c>
      <c r="BZ68">
        <f>IFERROR(INDEX(PP_Grid[#Data],$DE68,75),0)</f>
        <v/>
      </c>
      <c r="CA68">
        <f>IFERROR(INDEX(PP_Grid[#Data],$DE68,76),0)</f>
        <v/>
      </c>
      <c r="CB68">
        <f>IFERROR(INDEX(PP_Grid[#Data],$DE68,77),0)</f>
        <v/>
      </c>
      <c r="CC68">
        <f>IFERROR(INDEX(PP_Grid[#Data],$DE68,78),0)</f>
        <v/>
      </c>
      <c r="CD68">
        <f>IFERROR(INDEX(PP_Grid[#Data],$DE68,79),0)</f>
        <v/>
      </c>
      <c r="CE68">
        <f>IFERROR(INDEX(PP_Grid[#Data],$DE68,80),0)</f>
        <v/>
      </c>
      <c r="CF68">
        <f>IFERROR(INDEX(PP_Grid[#Data],$DE68,81),0)</f>
        <v/>
      </c>
      <c r="CG68">
        <f>IFERROR(INDEX(PP_Grid[#Data],$DE68,82),0)</f>
        <v/>
      </c>
      <c r="CH68">
        <f>IFERROR(INDEX(PP_Grid[#Data],$DE68,83),0)</f>
        <v/>
      </c>
      <c r="CI68">
        <f>IFERROR(INDEX(PP_Grid[#Data],$DE68,84),0)</f>
        <v/>
      </c>
      <c r="CJ68">
        <f>IFERROR(INDEX(PP_Grid[#Data],$DE68,85),0)</f>
        <v/>
      </c>
      <c r="CK68">
        <f>IFERROR(INDEX(PP_Grid[#Data],$DE68,86),0)</f>
        <v/>
      </c>
      <c r="CL68">
        <f>IFERROR(INDEX(PP_Grid[#Data],$DE68,87),0)</f>
        <v/>
      </c>
      <c r="CM68">
        <f>IFERROR(INDEX(PP_Grid[#Data],$DE68,88),0)</f>
        <v/>
      </c>
      <c r="CN68">
        <f>IFERROR(INDEX(PP_Grid[#Data],$DE68,89),0)</f>
        <v/>
      </c>
      <c r="CO68">
        <f>IFERROR(INDEX(PP_Grid[#Data],$DE68,90),0)</f>
        <v/>
      </c>
      <c r="CP68">
        <f>IFERROR(INDEX(PP_Grid[#Data],$DE68,91),0)</f>
        <v/>
      </c>
      <c r="CQ68">
        <f>IFERROR(INDEX(PP_Grid[#Data],$DE68,92),0)</f>
        <v/>
      </c>
      <c r="CR68">
        <f>IFERROR(INDEX(PP_Grid[#Data],$DE68,93),0)</f>
        <v/>
      </c>
      <c r="CS68">
        <f>IFERROR(INDEX(PP_Grid[#Data],$DE68,94),0)</f>
        <v/>
      </c>
      <c r="CT68">
        <f>IFERROR(INDEX(PP_Grid[#Data],$DE68,95),0)</f>
        <v/>
      </c>
      <c r="CU68">
        <f>IFERROR(INDEX(PP_Grid[#Data],$DE68,96),0)</f>
        <v/>
      </c>
      <c r="CV68">
        <f>IFERROR(INDEX(PP_Grid[#Data],$DE68,97),0)</f>
        <v/>
      </c>
      <c r="CW68">
        <f>IFERROR(INDEX(PP_Grid[#Data],$DE68,98),0)</f>
        <v/>
      </c>
      <c r="CX68">
        <f>IFERROR(INDEX(PP_Grid[#Data],$DE68,99),0)</f>
        <v/>
      </c>
      <c r="CY68">
        <f>IFERROR(INDEX(PP_Grid[#Data],$DE68,100),0)</f>
        <v/>
      </c>
      <c r="CZ68">
        <f>IFERROR(INDEX(PP_Grid[#Data],$DE68,101),0)</f>
        <v/>
      </c>
      <c r="DA68">
        <f>IFERROR(INDEX(PP_Grid[#Data],$DE68,102),0)</f>
        <v/>
      </c>
      <c r="DB68">
        <f>IFERROR(INDEX(PP_Grid[#Data],$DE68,103),0)</f>
        <v/>
      </c>
      <c r="DC68">
        <f>IFERROR(INDEX(PP_Grid[#Data],$DE68,104),0)</f>
        <v/>
      </c>
      <c r="DD68">
        <f>IFERROR(INDEX(PP_Grid[#Data],$DE68,105),0)</f>
        <v/>
      </c>
      <c r="DE68" s="7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SUMIFS(M_BOM[RM_Qty_Per_Batch],M_BOM[Intermediate],$B68,M_BOM[RM_Code],$A25)</f>
        <v/>
      </c>
      <c r="D69">
        <f>IFERROR(INDEX(E69:DD69,$F$1),"")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  <c r="DD69">
        <f>$C69*DD68</f>
        <v/>
      </c>
    </row>
    <row r="70">
      <c r="B70" t="inlineStr">
        <is>
          <t>VSP-600</t>
        </is>
      </c>
      <c r="C70" t="inlineStr">
        <is>
          <t>No. of batches</t>
        </is>
      </c>
      <c r="D70">
        <f>IFERROR(INDEX(E70:DD70,$F$1),"")</f>
        <v/>
      </c>
      <c r="E70">
        <f>IFERROR(INDEX(PP_Grid[#Data],$DE70,2),0)</f>
        <v/>
      </c>
      <c r="F70">
        <f>IFERROR(INDEX(PP_Grid[#Data],$DE70,3),0)</f>
        <v/>
      </c>
      <c r="G70">
        <f>IFERROR(INDEX(PP_Grid[#Data],$DE70,4),0)</f>
        <v/>
      </c>
      <c r="H70">
        <f>IFERROR(INDEX(PP_Grid[#Data],$DE70,5),0)</f>
        <v/>
      </c>
      <c r="I70">
        <f>IFERROR(INDEX(PP_Grid[#Data],$DE70,6),0)</f>
        <v/>
      </c>
      <c r="J70">
        <f>IFERROR(INDEX(PP_Grid[#Data],$DE70,7),0)</f>
        <v/>
      </c>
      <c r="K70">
        <f>IFERROR(INDEX(PP_Grid[#Data],$DE70,8),0)</f>
        <v/>
      </c>
      <c r="L70">
        <f>IFERROR(INDEX(PP_Grid[#Data],$DE70,9),0)</f>
        <v/>
      </c>
      <c r="M70">
        <f>IFERROR(INDEX(PP_Grid[#Data],$DE70,10),0)</f>
        <v/>
      </c>
      <c r="N70">
        <f>IFERROR(INDEX(PP_Grid[#Data],$DE70,11),0)</f>
        <v/>
      </c>
      <c r="O70">
        <f>IFERROR(INDEX(PP_Grid[#Data],$DE70,12),0)</f>
        <v/>
      </c>
      <c r="P70">
        <f>IFERROR(INDEX(PP_Grid[#Data],$DE70,13),0)</f>
        <v/>
      </c>
      <c r="Q70">
        <f>IFERROR(INDEX(PP_Grid[#Data],$DE70,14),0)</f>
        <v/>
      </c>
      <c r="R70">
        <f>IFERROR(INDEX(PP_Grid[#Data],$DE70,15),0)</f>
        <v/>
      </c>
      <c r="S70">
        <f>IFERROR(INDEX(PP_Grid[#Data],$DE70,16),0)</f>
        <v/>
      </c>
      <c r="T70">
        <f>IFERROR(INDEX(PP_Grid[#Data],$DE70,17),0)</f>
        <v/>
      </c>
      <c r="U70">
        <f>IFERROR(INDEX(PP_Grid[#Data],$DE70,18),0)</f>
        <v/>
      </c>
      <c r="V70">
        <f>IFERROR(INDEX(PP_Grid[#Data],$DE70,19),0)</f>
        <v/>
      </c>
      <c r="W70">
        <f>IFERROR(INDEX(PP_Grid[#Data],$DE70,20),0)</f>
        <v/>
      </c>
      <c r="X70">
        <f>IFERROR(INDEX(PP_Grid[#Data],$DE70,21),0)</f>
        <v/>
      </c>
      <c r="Y70">
        <f>IFERROR(INDEX(PP_Grid[#Data],$DE70,22),0)</f>
        <v/>
      </c>
      <c r="Z70">
        <f>IFERROR(INDEX(PP_Grid[#Data],$DE70,23),0)</f>
        <v/>
      </c>
      <c r="AA70">
        <f>IFERROR(INDEX(PP_Grid[#Data],$DE70,24),0)</f>
        <v/>
      </c>
      <c r="AB70">
        <f>IFERROR(INDEX(PP_Grid[#Data],$DE70,25),0)</f>
        <v/>
      </c>
      <c r="AC70">
        <f>IFERROR(INDEX(PP_Grid[#Data],$DE70,26),0)</f>
        <v/>
      </c>
      <c r="AD70">
        <f>IFERROR(INDEX(PP_Grid[#Data],$DE70,27),0)</f>
        <v/>
      </c>
      <c r="AE70">
        <f>IFERROR(INDEX(PP_Grid[#Data],$DE70,28),0)</f>
        <v/>
      </c>
      <c r="AF70">
        <f>IFERROR(INDEX(PP_Grid[#Data],$DE70,29),0)</f>
        <v/>
      </c>
      <c r="AG70">
        <f>IFERROR(INDEX(PP_Grid[#Data],$DE70,30),0)</f>
        <v/>
      </c>
      <c r="AH70">
        <f>IFERROR(INDEX(PP_Grid[#Data],$DE70,31),0)</f>
        <v/>
      </c>
      <c r="AI70">
        <f>IFERROR(INDEX(PP_Grid[#Data],$DE70,32),0)</f>
        <v/>
      </c>
      <c r="AJ70">
        <f>IFERROR(INDEX(PP_Grid[#Data],$DE70,33),0)</f>
        <v/>
      </c>
      <c r="AK70">
        <f>IFERROR(INDEX(PP_Grid[#Data],$DE70,34),0)</f>
        <v/>
      </c>
      <c r="AL70">
        <f>IFERROR(INDEX(PP_Grid[#Data],$DE70,35),0)</f>
        <v/>
      </c>
      <c r="AM70">
        <f>IFERROR(INDEX(PP_Grid[#Data],$DE70,36),0)</f>
        <v/>
      </c>
      <c r="AN70">
        <f>IFERROR(INDEX(PP_Grid[#Data],$DE70,37),0)</f>
        <v/>
      </c>
      <c r="AO70">
        <f>IFERROR(INDEX(PP_Grid[#Data],$DE70,38),0)</f>
        <v/>
      </c>
      <c r="AP70">
        <f>IFERROR(INDEX(PP_Grid[#Data],$DE70,39),0)</f>
        <v/>
      </c>
      <c r="AQ70">
        <f>IFERROR(INDEX(PP_Grid[#Data],$DE70,40),0)</f>
        <v/>
      </c>
      <c r="AR70">
        <f>IFERROR(INDEX(PP_Grid[#Data],$DE70,41),0)</f>
        <v/>
      </c>
      <c r="AS70">
        <f>IFERROR(INDEX(PP_Grid[#Data],$DE70,42),0)</f>
        <v/>
      </c>
      <c r="AT70">
        <f>IFERROR(INDEX(PP_Grid[#Data],$DE70,43),0)</f>
        <v/>
      </c>
      <c r="AU70">
        <f>IFERROR(INDEX(PP_Grid[#Data],$DE70,44),0)</f>
        <v/>
      </c>
      <c r="AV70">
        <f>IFERROR(INDEX(PP_Grid[#Data],$DE70,45),0)</f>
        <v/>
      </c>
      <c r="AW70">
        <f>IFERROR(INDEX(PP_Grid[#Data],$DE70,46),0)</f>
        <v/>
      </c>
      <c r="AX70">
        <f>IFERROR(INDEX(PP_Grid[#Data],$DE70,47),0)</f>
        <v/>
      </c>
      <c r="AY70">
        <f>IFERROR(INDEX(PP_Grid[#Data],$DE70,48),0)</f>
        <v/>
      </c>
      <c r="AZ70">
        <f>IFERROR(INDEX(PP_Grid[#Data],$DE70,49),0)</f>
        <v/>
      </c>
      <c r="BA70">
        <f>IFERROR(INDEX(PP_Grid[#Data],$DE70,50),0)</f>
        <v/>
      </c>
      <c r="BB70">
        <f>IFERROR(INDEX(PP_Grid[#Data],$DE70,51),0)</f>
        <v/>
      </c>
      <c r="BC70">
        <f>IFERROR(INDEX(PP_Grid[#Data],$DE70,52),0)</f>
        <v/>
      </c>
      <c r="BD70">
        <f>IFERROR(INDEX(PP_Grid[#Data],$DE70,53),0)</f>
        <v/>
      </c>
      <c r="BE70">
        <f>IFERROR(INDEX(PP_Grid[#Data],$DE70,54),0)</f>
        <v/>
      </c>
      <c r="BF70">
        <f>IFERROR(INDEX(PP_Grid[#Data],$DE70,55),0)</f>
        <v/>
      </c>
      <c r="BG70">
        <f>IFERROR(INDEX(PP_Grid[#Data],$DE70,56),0)</f>
        <v/>
      </c>
      <c r="BH70">
        <f>IFERROR(INDEX(PP_Grid[#Data],$DE70,57),0)</f>
        <v/>
      </c>
      <c r="BI70">
        <f>IFERROR(INDEX(PP_Grid[#Data],$DE70,58),0)</f>
        <v/>
      </c>
      <c r="BJ70">
        <f>IFERROR(INDEX(PP_Grid[#Data],$DE70,59),0)</f>
        <v/>
      </c>
      <c r="BK70">
        <f>IFERROR(INDEX(PP_Grid[#Data],$DE70,60),0)</f>
        <v/>
      </c>
      <c r="BL70">
        <f>IFERROR(INDEX(PP_Grid[#Data],$DE70,61),0)</f>
        <v/>
      </c>
      <c r="BM70">
        <f>IFERROR(INDEX(PP_Grid[#Data],$DE70,62),0)</f>
        <v/>
      </c>
      <c r="BN70">
        <f>IFERROR(INDEX(PP_Grid[#Data],$DE70,63),0)</f>
        <v/>
      </c>
      <c r="BO70">
        <f>IFERROR(INDEX(PP_Grid[#Data],$DE70,64),0)</f>
        <v/>
      </c>
      <c r="BP70">
        <f>IFERROR(INDEX(PP_Grid[#Data],$DE70,65),0)</f>
        <v/>
      </c>
      <c r="BQ70">
        <f>IFERROR(INDEX(PP_Grid[#Data],$DE70,66),0)</f>
        <v/>
      </c>
      <c r="BR70">
        <f>IFERROR(INDEX(PP_Grid[#Data],$DE70,67),0)</f>
        <v/>
      </c>
      <c r="BS70">
        <f>IFERROR(INDEX(PP_Grid[#Data],$DE70,68),0)</f>
        <v/>
      </c>
      <c r="BT70">
        <f>IFERROR(INDEX(PP_Grid[#Data],$DE70,69),0)</f>
        <v/>
      </c>
      <c r="BU70">
        <f>IFERROR(INDEX(PP_Grid[#Data],$DE70,70),0)</f>
        <v/>
      </c>
      <c r="BV70">
        <f>IFERROR(INDEX(PP_Grid[#Data],$DE70,71),0)</f>
        <v/>
      </c>
      <c r="BW70">
        <f>IFERROR(INDEX(PP_Grid[#Data],$DE70,72),0)</f>
        <v/>
      </c>
      <c r="BX70">
        <f>IFERROR(INDEX(PP_Grid[#Data],$DE70,73),0)</f>
        <v/>
      </c>
      <c r="BY70">
        <f>IFERROR(INDEX(PP_Grid[#Data],$DE70,74),0)</f>
        <v/>
      </c>
      <c r="BZ70">
        <f>IFERROR(INDEX(PP_Grid[#Data],$DE70,75),0)</f>
        <v/>
      </c>
      <c r="CA70">
        <f>IFERROR(INDEX(PP_Grid[#Data],$DE70,76),0)</f>
        <v/>
      </c>
      <c r="CB70">
        <f>IFERROR(INDEX(PP_Grid[#Data],$DE70,77),0)</f>
        <v/>
      </c>
      <c r="CC70">
        <f>IFERROR(INDEX(PP_Grid[#Data],$DE70,78),0)</f>
        <v/>
      </c>
      <c r="CD70">
        <f>IFERROR(INDEX(PP_Grid[#Data],$DE70,79),0)</f>
        <v/>
      </c>
      <c r="CE70">
        <f>IFERROR(INDEX(PP_Grid[#Data],$DE70,80),0)</f>
        <v/>
      </c>
      <c r="CF70">
        <f>IFERROR(INDEX(PP_Grid[#Data],$DE70,81),0)</f>
        <v/>
      </c>
      <c r="CG70">
        <f>IFERROR(INDEX(PP_Grid[#Data],$DE70,82),0)</f>
        <v/>
      </c>
      <c r="CH70">
        <f>IFERROR(INDEX(PP_Grid[#Data],$DE70,83),0)</f>
        <v/>
      </c>
      <c r="CI70">
        <f>IFERROR(INDEX(PP_Grid[#Data],$DE70,84),0)</f>
        <v/>
      </c>
      <c r="CJ70">
        <f>IFERROR(INDEX(PP_Grid[#Data],$DE70,85),0)</f>
        <v/>
      </c>
      <c r="CK70">
        <f>IFERROR(INDEX(PP_Grid[#Data],$DE70,86),0)</f>
        <v/>
      </c>
      <c r="CL70">
        <f>IFERROR(INDEX(PP_Grid[#Data],$DE70,87),0)</f>
        <v/>
      </c>
      <c r="CM70">
        <f>IFERROR(INDEX(PP_Grid[#Data],$DE70,88),0)</f>
        <v/>
      </c>
      <c r="CN70">
        <f>IFERROR(INDEX(PP_Grid[#Data],$DE70,89),0)</f>
        <v/>
      </c>
      <c r="CO70">
        <f>IFERROR(INDEX(PP_Grid[#Data],$DE70,90),0)</f>
        <v/>
      </c>
      <c r="CP70">
        <f>IFERROR(INDEX(PP_Grid[#Data],$DE70,91),0)</f>
        <v/>
      </c>
      <c r="CQ70">
        <f>IFERROR(INDEX(PP_Grid[#Data],$DE70,92),0)</f>
        <v/>
      </c>
      <c r="CR70">
        <f>IFERROR(INDEX(PP_Grid[#Data],$DE70,93),0)</f>
        <v/>
      </c>
      <c r="CS70">
        <f>IFERROR(INDEX(PP_Grid[#Data],$DE70,94),0)</f>
        <v/>
      </c>
      <c r="CT70">
        <f>IFERROR(INDEX(PP_Grid[#Data],$DE70,95),0)</f>
        <v/>
      </c>
      <c r="CU70">
        <f>IFERROR(INDEX(PP_Grid[#Data],$DE70,96),0)</f>
        <v/>
      </c>
      <c r="CV70">
        <f>IFERROR(INDEX(PP_Grid[#Data],$DE70,97),0)</f>
        <v/>
      </c>
      <c r="CW70">
        <f>IFERROR(INDEX(PP_Grid[#Data],$DE70,98),0)</f>
        <v/>
      </c>
      <c r="CX70">
        <f>IFERROR(INDEX(PP_Grid[#Data],$DE70,99),0)</f>
        <v/>
      </c>
      <c r="CY70">
        <f>IFERROR(INDEX(PP_Grid[#Data],$DE70,100),0)</f>
        <v/>
      </c>
      <c r="CZ70">
        <f>IFERROR(INDEX(PP_Grid[#Data],$DE70,101),0)</f>
        <v/>
      </c>
      <c r="DA70">
        <f>IFERROR(INDEX(PP_Grid[#Data],$DE70,102),0)</f>
        <v/>
      </c>
      <c r="DB70">
        <f>IFERROR(INDEX(PP_Grid[#Data],$DE70,103),0)</f>
        <v/>
      </c>
      <c r="DC70">
        <f>IFERROR(INDEX(PP_Grid[#Data],$DE70,104),0)</f>
        <v/>
      </c>
      <c r="DD70">
        <f>IFERROR(INDEX(PP_Grid[#Data],$DE70,105),0)</f>
        <v/>
      </c>
      <c r="DE70" s="7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SUMIFS(M_BOM[RM_Qty_Per_Batch],M_BOM[Intermediate],$B70,M_BOM[RM_Code],$A25)</f>
        <v/>
      </c>
      <c r="D71">
        <f>IFERROR(INDEX(E71:DD71,$F$1),"")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  <c r="DD71">
        <f>$C71*DD70</f>
        <v/>
      </c>
    </row>
    <row r="72">
      <c r="B72" t="inlineStr">
        <is>
          <t>VSP-601</t>
        </is>
      </c>
      <c r="C72" t="inlineStr">
        <is>
          <t>No. of batches</t>
        </is>
      </c>
      <c r="D72">
        <f>IFERROR(INDEX(E72:DD72,$F$1),"")</f>
        <v/>
      </c>
      <c r="E72">
        <f>IFERROR(INDEX(PP_Grid[#Data],$DE72,2),0)</f>
        <v/>
      </c>
      <c r="F72">
        <f>IFERROR(INDEX(PP_Grid[#Data],$DE72,3),0)</f>
        <v/>
      </c>
      <c r="G72">
        <f>IFERROR(INDEX(PP_Grid[#Data],$DE72,4),0)</f>
        <v/>
      </c>
      <c r="H72">
        <f>IFERROR(INDEX(PP_Grid[#Data],$DE72,5),0)</f>
        <v/>
      </c>
      <c r="I72">
        <f>IFERROR(INDEX(PP_Grid[#Data],$DE72,6),0)</f>
        <v/>
      </c>
      <c r="J72">
        <f>IFERROR(INDEX(PP_Grid[#Data],$DE72,7),0)</f>
        <v/>
      </c>
      <c r="K72">
        <f>IFERROR(INDEX(PP_Grid[#Data],$DE72,8),0)</f>
        <v/>
      </c>
      <c r="L72">
        <f>IFERROR(INDEX(PP_Grid[#Data],$DE72,9),0)</f>
        <v/>
      </c>
      <c r="M72">
        <f>IFERROR(INDEX(PP_Grid[#Data],$DE72,10),0)</f>
        <v/>
      </c>
      <c r="N72">
        <f>IFERROR(INDEX(PP_Grid[#Data],$DE72,11),0)</f>
        <v/>
      </c>
      <c r="O72">
        <f>IFERROR(INDEX(PP_Grid[#Data],$DE72,12),0)</f>
        <v/>
      </c>
      <c r="P72">
        <f>IFERROR(INDEX(PP_Grid[#Data],$DE72,13),0)</f>
        <v/>
      </c>
      <c r="Q72">
        <f>IFERROR(INDEX(PP_Grid[#Data],$DE72,14),0)</f>
        <v/>
      </c>
      <c r="R72">
        <f>IFERROR(INDEX(PP_Grid[#Data],$DE72,15),0)</f>
        <v/>
      </c>
      <c r="S72">
        <f>IFERROR(INDEX(PP_Grid[#Data],$DE72,16),0)</f>
        <v/>
      </c>
      <c r="T72">
        <f>IFERROR(INDEX(PP_Grid[#Data],$DE72,17),0)</f>
        <v/>
      </c>
      <c r="U72">
        <f>IFERROR(INDEX(PP_Grid[#Data],$DE72,18),0)</f>
        <v/>
      </c>
      <c r="V72">
        <f>IFERROR(INDEX(PP_Grid[#Data],$DE72,19),0)</f>
        <v/>
      </c>
      <c r="W72">
        <f>IFERROR(INDEX(PP_Grid[#Data],$DE72,20),0)</f>
        <v/>
      </c>
      <c r="X72">
        <f>IFERROR(INDEX(PP_Grid[#Data],$DE72,21),0)</f>
        <v/>
      </c>
      <c r="Y72">
        <f>IFERROR(INDEX(PP_Grid[#Data],$DE72,22),0)</f>
        <v/>
      </c>
      <c r="Z72">
        <f>IFERROR(INDEX(PP_Grid[#Data],$DE72,23),0)</f>
        <v/>
      </c>
      <c r="AA72">
        <f>IFERROR(INDEX(PP_Grid[#Data],$DE72,24),0)</f>
        <v/>
      </c>
      <c r="AB72">
        <f>IFERROR(INDEX(PP_Grid[#Data],$DE72,25),0)</f>
        <v/>
      </c>
      <c r="AC72">
        <f>IFERROR(INDEX(PP_Grid[#Data],$DE72,26),0)</f>
        <v/>
      </c>
      <c r="AD72">
        <f>IFERROR(INDEX(PP_Grid[#Data],$DE72,27),0)</f>
        <v/>
      </c>
      <c r="AE72">
        <f>IFERROR(INDEX(PP_Grid[#Data],$DE72,28),0)</f>
        <v/>
      </c>
      <c r="AF72">
        <f>IFERROR(INDEX(PP_Grid[#Data],$DE72,29),0)</f>
        <v/>
      </c>
      <c r="AG72">
        <f>IFERROR(INDEX(PP_Grid[#Data],$DE72,30),0)</f>
        <v/>
      </c>
      <c r="AH72">
        <f>IFERROR(INDEX(PP_Grid[#Data],$DE72,31),0)</f>
        <v/>
      </c>
      <c r="AI72">
        <f>IFERROR(INDEX(PP_Grid[#Data],$DE72,32),0)</f>
        <v/>
      </c>
      <c r="AJ72">
        <f>IFERROR(INDEX(PP_Grid[#Data],$DE72,33),0)</f>
        <v/>
      </c>
      <c r="AK72">
        <f>IFERROR(INDEX(PP_Grid[#Data],$DE72,34),0)</f>
        <v/>
      </c>
      <c r="AL72">
        <f>IFERROR(INDEX(PP_Grid[#Data],$DE72,35),0)</f>
        <v/>
      </c>
      <c r="AM72">
        <f>IFERROR(INDEX(PP_Grid[#Data],$DE72,36),0)</f>
        <v/>
      </c>
      <c r="AN72">
        <f>IFERROR(INDEX(PP_Grid[#Data],$DE72,37),0)</f>
        <v/>
      </c>
      <c r="AO72">
        <f>IFERROR(INDEX(PP_Grid[#Data],$DE72,38),0)</f>
        <v/>
      </c>
      <c r="AP72">
        <f>IFERROR(INDEX(PP_Grid[#Data],$DE72,39),0)</f>
        <v/>
      </c>
      <c r="AQ72">
        <f>IFERROR(INDEX(PP_Grid[#Data],$DE72,40),0)</f>
        <v/>
      </c>
      <c r="AR72">
        <f>IFERROR(INDEX(PP_Grid[#Data],$DE72,41),0)</f>
        <v/>
      </c>
      <c r="AS72">
        <f>IFERROR(INDEX(PP_Grid[#Data],$DE72,42),0)</f>
        <v/>
      </c>
      <c r="AT72">
        <f>IFERROR(INDEX(PP_Grid[#Data],$DE72,43),0)</f>
        <v/>
      </c>
      <c r="AU72">
        <f>IFERROR(INDEX(PP_Grid[#Data],$DE72,44),0)</f>
        <v/>
      </c>
      <c r="AV72">
        <f>IFERROR(INDEX(PP_Grid[#Data],$DE72,45),0)</f>
        <v/>
      </c>
      <c r="AW72">
        <f>IFERROR(INDEX(PP_Grid[#Data],$DE72,46),0)</f>
        <v/>
      </c>
      <c r="AX72">
        <f>IFERROR(INDEX(PP_Grid[#Data],$DE72,47),0)</f>
        <v/>
      </c>
      <c r="AY72">
        <f>IFERROR(INDEX(PP_Grid[#Data],$DE72,48),0)</f>
        <v/>
      </c>
      <c r="AZ72">
        <f>IFERROR(INDEX(PP_Grid[#Data],$DE72,49),0)</f>
        <v/>
      </c>
      <c r="BA72">
        <f>IFERROR(INDEX(PP_Grid[#Data],$DE72,50),0)</f>
        <v/>
      </c>
      <c r="BB72">
        <f>IFERROR(INDEX(PP_Grid[#Data],$DE72,51),0)</f>
        <v/>
      </c>
      <c r="BC72">
        <f>IFERROR(INDEX(PP_Grid[#Data],$DE72,52),0)</f>
        <v/>
      </c>
      <c r="BD72">
        <f>IFERROR(INDEX(PP_Grid[#Data],$DE72,53),0)</f>
        <v/>
      </c>
      <c r="BE72">
        <f>IFERROR(INDEX(PP_Grid[#Data],$DE72,54),0)</f>
        <v/>
      </c>
      <c r="BF72">
        <f>IFERROR(INDEX(PP_Grid[#Data],$DE72,55),0)</f>
        <v/>
      </c>
      <c r="BG72">
        <f>IFERROR(INDEX(PP_Grid[#Data],$DE72,56),0)</f>
        <v/>
      </c>
      <c r="BH72">
        <f>IFERROR(INDEX(PP_Grid[#Data],$DE72,57),0)</f>
        <v/>
      </c>
      <c r="BI72">
        <f>IFERROR(INDEX(PP_Grid[#Data],$DE72,58),0)</f>
        <v/>
      </c>
      <c r="BJ72">
        <f>IFERROR(INDEX(PP_Grid[#Data],$DE72,59),0)</f>
        <v/>
      </c>
      <c r="BK72">
        <f>IFERROR(INDEX(PP_Grid[#Data],$DE72,60),0)</f>
        <v/>
      </c>
      <c r="BL72">
        <f>IFERROR(INDEX(PP_Grid[#Data],$DE72,61),0)</f>
        <v/>
      </c>
      <c r="BM72">
        <f>IFERROR(INDEX(PP_Grid[#Data],$DE72,62),0)</f>
        <v/>
      </c>
      <c r="BN72">
        <f>IFERROR(INDEX(PP_Grid[#Data],$DE72,63),0)</f>
        <v/>
      </c>
      <c r="BO72">
        <f>IFERROR(INDEX(PP_Grid[#Data],$DE72,64),0)</f>
        <v/>
      </c>
      <c r="BP72">
        <f>IFERROR(INDEX(PP_Grid[#Data],$DE72,65),0)</f>
        <v/>
      </c>
      <c r="BQ72">
        <f>IFERROR(INDEX(PP_Grid[#Data],$DE72,66),0)</f>
        <v/>
      </c>
      <c r="BR72">
        <f>IFERROR(INDEX(PP_Grid[#Data],$DE72,67),0)</f>
        <v/>
      </c>
      <c r="BS72">
        <f>IFERROR(INDEX(PP_Grid[#Data],$DE72,68),0)</f>
        <v/>
      </c>
      <c r="BT72">
        <f>IFERROR(INDEX(PP_Grid[#Data],$DE72,69),0)</f>
        <v/>
      </c>
      <c r="BU72">
        <f>IFERROR(INDEX(PP_Grid[#Data],$DE72,70),0)</f>
        <v/>
      </c>
      <c r="BV72">
        <f>IFERROR(INDEX(PP_Grid[#Data],$DE72,71),0)</f>
        <v/>
      </c>
      <c r="BW72">
        <f>IFERROR(INDEX(PP_Grid[#Data],$DE72,72),0)</f>
        <v/>
      </c>
      <c r="BX72">
        <f>IFERROR(INDEX(PP_Grid[#Data],$DE72,73),0)</f>
        <v/>
      </c>
      <c r="BY72">
        <f>IFERROR(INDEX(PP_Grid[#Data],$DE72,74),0)</f>
        <v/>
      </c>
      <c r="BZ72">
        <f>IFERROR(INDEX(PP_Grid[#Data],$DE72,75),0)</f>
        <v/>
      </c>
      <c r="CA72">
        <f>IFERROR(INDEX(PP_Grid[#Data],$DE72,76),0)</f>
        <v/>
      </c>
      <c r="CB72">
        <f>IFERROR(INDEX(PP_Grid[#Data],$DE72,77),0)</f>
        <v/>
      </c>
      <c r="CC72">
        <f>IFERROR(INDEX(PP_Grid[#Data],$DE72,78),0)</f>
        <v/>
      </c>
      <c r="CD72">
        <f>IFERROR(INDEX(PP_Grid[#Data],$DE72,79),0)</f>
        <v/>
      </c>
      <c r="CE72">
        <f>IFERROR(INDEX(PP_Grid[#Data],$DE72,80),0)</f>
        <v/>
      </c>
      <c r="CF72">
        <f>IFERROR(INDEX(PP_Grid[#Data],$DE72,81),0)</f>
        <v/>
      </c>
      <c r="CG72">
        <f>IFERROR(INDEX(PP_Grid[#Data],$DE72,82),0)</f>
        <v/>
      </c>
      <c r="CH72">
        <f>IFERROR(INDEX(PP_Grid[#Data],$DE72,83),0)</f>
        <v/>
      </c>
      <c r="CI72">
        <f>IFERROR(INDEX(PP_Grid[#Data],$DE72,84),0)</f>
        <v/>
      </c>
      <c r="CJ72">
        <f>IFERROR(INDEX(PP_Grid[#Data],$DE72,85),0)</f>
        <v/>
      </c>
      <c r="CK72">
        <f>IFERROR(INDEX(PP_Grid[#Data],$DE72,86),0)</f>
        <v/>
      </c>
      <c r="CL72">
        <f>IFERROR(INDEX(PP_Grid[#Data],$DE72,87),0)</f>
        <v/>
      </c>
      <c r="CM72">
        <f>IFERROR(INDEX(PP_Grid[#Data],$DE72,88),0)</f>
        <v/>
      </c>
      <c r="CN72">
        <f>IFERROR(INDEX(PP_Grid[#Data],$DE72,89),0)</f>
        <v/>
      </c>
      <c r="CO72">
        <f>IFERROR(INDEX(PP_Grid[#Data],$DE72,90),0)</f>
        <v/>
      </c>
      <c r="CP72">
        <f>IFERROR(INDEX(PP_Grid[#Data],$DE72,91),0)</f>
        <v/>
      </c>
      <c r="CQ72">
        <f>IFERROR(INDEX(PP_Grid[#Data],$DE72,92),0)</f>
        <v/>
      </c>
      <c r="CR72">
        <f>IFERROR(INDEX(PP_Grid[#Data],$DE72,93),0)</f>
        <v/>
      </c>
      <c r="CS72">
        <f>IFERROR(INDEX(PP_Grid[#Data],$DE72,94),0)</f>
        <v/>
      </c>
      <c r="CT72">
        <f>IFERROR(INDEX(PP_Grid[#Data],$DE72,95),0)</f>
        <v/>
      </c>
      <c r="CU72">
        <f>IFERROR(INDEX(PP_Grid[#Data],$DE72,96),0)</f>
        <v/>
      </c>
      <c r="CV72">
        <f>IFERROR(INDEX(PP_Grid[#Data],$DE72,97),0)</f>
        <v/>
      </c>
      <c r="CW72">
        <f>IFERROR(INDEX(PP_Grid[#Data],$DE72,98),0)</f>
        <v/>
      </c>
      <c r="CX72">
        <f>IFERROR(INDEX(PP_Grid[#Data],$DE72,99),0)</f>
        <v/>
      </c>
      <c r="CY72">
        <f>IFERROR(INDEX(PP_Grid[#Data],$DE72,100),0)</f>
        <v/>
      </c>
      <c r="CZ72">
        <f>IFERROR(INDEX(PP_Grid[#Data],$DE72,101),0)</f>
        <v/>
      </c>
      <c r="DA72">
        <f>IFERROR(INDEX(PP_Grid[#Data],$DE72,102),0)</f>
        <v/>
      </c>
      <c r="DB72">
        <f>IFERROR(INDEX(PP_Grid[#Data],$DE72,103),0)</f>
        <v/>
      </c>
      <c r="DC72">
        <f>IFERROR(INDEX(PP_Grid[#Data],$DE72,104),0)</f>
        <v/>
      </c>
      <c r="DD72">
        <f>IFERROR(INDEX(PP_Grid[#Data],$DE72,105),0)</f>
        <v/>
      </c>
      <c r="DE72" s="7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SUMIFS(M_BOM[RM_Qty_Per_Batch],M_BOM[Intermediate],$B72,M_BOM[RM_Code],$A25)</f>
        <v/>
      </c>
      <c r="D73">
        <f>IFERROR(INDEX(E73:DD73,$F$1),"")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  <c r="DD73">
        <f>$C73*DD72</f>
        <v/>
      </c>
    </row>
    <row r="74">
      <c r="B74" t="inlineStr">
        <is>
          <t>VSP-602</t>
        </is>
      </c>
      <c r="C74" t="inlineStr">
        <is>
          <t>No. of batches</t>
        </is>
      </c>
      <c r="D74">
        <f>IFERROR(INDEX(E74:DD74,$F$1),"")</f>
        <v/>
      </c>
      <c r="E74">
        <f>IFERROR(INDEX(PP_Grid[#Data],$DE74,2),0)</f>
        <v/>
      </c>
      <c r="F74">
        <f>IFERROR(INDEX(PP_Grid[#Data],$DE74,3),0)</f>
        <v/>
      </c>
      <c r="G74">
        <f>IFERROR(INDEX(PP_Grid[#Data],$DE74,4),0)</f>
        <v/>
      </c>
      <c r="H74">
        <f>IFERROR(INDEX(PP_Grid[#Data],$DE74,5),0)</f>
        <v/>
      </c>
      <c r="I74">
        <f>IFERROR(INDEX(PP_Grid[#Data],$DE74,6),0)</f>
        <v/>
      </c>
      <c r="J74">
        <f>IFERROR(INDEX(PP_Grid[#Data],$DE74,7),0)</f>
        <v/>
      </c>
      <c r="K74">
        <f>IFERROR(INDEX(PP_Grid[#Data],$DE74,8),0)</f>
        <v/>
      </c>
      <c r="L74">
        <f>IFERROR(INDEX(PP_Grid[#Data],$DE74,9),0)</f>
        <v/>
      </c>
      <c r="M74">
        <f>IFERROR(INDEX(PP_Grid[#Data],$DE74,10),0)</f>
        <v/>
      </c>
      <c r="N74">
        <f>IFERROR(INDEX(PP_Grid[#Data],$DE74,11),0)</f>
        <v/>
      </c>
      <c r="O74">
        <f>IFERROR(INDEX(PP_Grid[#Data],$DE74,12),0)</f>
        <v/>
      </c>
      <c r="P74">
        <f>IFERROR(INDEX(PP_Grid[#Data],$DE74,13),0)</f>
        <v/>
      </c>
      <c r="Q74">
        <f>IFERROR(INDEX(PP_Grid[#Data],$DE74,14),0)</f>
        <v/>
      </c>
      <c r="R74">
        <f>IFERROR(INDEX(PP_Grid[#Data],$DE74,15),0)</f>
        <v/>
      </c>
      <c r="S74">
        <f>IFERROR(INDEX(PP_Grid[#Data],$DE74,16),0)</f>
        <v/>
      </c>
      <c r="T74">
        <f>IFERROR(INDEX(PP_Grid[#Data],$DE74,17),0)</f>
        <v/>
      </c>
      <c r="U74">
        <f>IFERROR(INDEX(PP_Grid[#Data],$DE74,18),0)</f>
        <v/>
      </c>
      <c r="V74">
        <f>IFERROR(INDEX(PP_Grid[#Data],$DE74,19),0)</f>
        <v/>
      </c>
      <c r="W74">
        <f>IFERROR(INDEX(PP_Grid[#Data],$DE74,20),0)</f>
        <v/>
      </c>
      <c r="X74">
        <f>IFERROR(INDEX(PP_Grid[#Data],$DE74,21),0)</f>
        <v/>
      </c>
      <c r="Y74">
        <f>IFERROR(INDEX(PP_Grid[#Data],$DE74,22),0)</f>
        <v/>
      </c>
      <c r="Z74">
        <f>IFERROR(INDEX(PP_Grid[#Data],$DE74,23),0)</f>
        <v/>
      </c>
      <c r="AA74">
        <f>IFERROR(INDEX(PP_Grid[#Data],$DE74,24),0)</f>
        <v/>
      </c>
      <c r="AB74">
        <f>IFERROR(INDEX(PP_Grid[#Data],$DE74,25),0)</f>
        <v/>
      </c>
      <c r="AC74">
        <f>IFERROR(INDEX(PP_Grid[#Data],$DE74,26),0)</f>
        <v/>
      </c>
      <c r="AD74">
        <f>IFERROR(INDEX(PP_Grid[#Data],$DE74,27),0)</f>
        <v/>
      </c>
      <c r="AE74">
        <f>IFERROR(INDEX(PP_Grid[#Data],$DE74,28),0)</f>
        <v/>
      </c>
      <c r="AF74">
        <f>IFERROR(INDEX(PP_Grid[#Data],$DE74,29),0)</f>
        <v/>
      </c>
      <c r="AG74">
        <f>IFERROR(INDEX(PP_Grid[#Data],$DE74,30),0)</f>
        <v/>
      </c>
      <c r="AH74">
        <f>IFERROR(INDEX(PP_Grid[#Data],$DE74,31),0)</f>
        <v/>
      </c>
      <c r="AI74">
        <f>IFERROR(INDEX(PP_Grid[#Data],$DE74,32),0)</f>
        <v/>
      </c>
      <c r="AJ74">
        <f>IFERROR(INDEX(PP_Grid[#Data],$DE74,33),0)</f>
        <v/>
      </c>
      <c r="AK74">
        <f>IFERROR(INDEX(PP_Grid[#Data],$DE74,34),0)</f>
        <v/>
      </c>
      <c r="AL74">
        <f>IFERROR(INDEX(PP_Grid[#Data],$DE74,35),0)</f>
        <v/>
      </c>
      <c r="AM74">
        <f>IFERROR(INDEX(PP_Grid[#Data],$DE74,36),0)</f>
        <v/>
      </c>
      <c r="AN74">
        <f>IFERROR(INDEX(PP_Grid[#Data],$DE74,37),0)</f>
        <v/>
      </c>
      <c r="AO74">
        <f>IFERROR(INDEX(PP_Grid[#Data],$DE74,38),0)</f>
        <v/>
      </c>
      <c r="AP74">
        <f>IFERROR(INDEX(PP_Grid[#Data],$DE74,39),0)</f>
        <v/>
      </c>
      <c r="AQ74">
        <f>IFERROR(INDEX(PP_Grid[#Data],$DE74,40),0)</f>
        <v/>
      </c>
      <c r="AR74">
        <f>IFERROR(INDEX(PP_Grid[#Data],$DE74,41),0)</f>
        <v/>
      </c>
      <c r="AS74">
        <f>IFERROR(INDEX(PP_Grid[#Data],$DE74,42),0)</f>
        <v/>
      </c>
      <c r="AT74">
        <f>IFERROR(INDEX(PP_Grid[#Data],$DE74,43),0)</f>
        <v/>
      </c>
      <c r="AU74">
        <f>IFERROR(INDEX(PP_Grid[#Data],$DE74,44),0)</f>
        <v/>
      </c>
      <c r="AV74">
        <f>IFERROR(INDEX(PP_Grid[#Data],$DE74,45),0)</f>
        <v/>
      </c>
      <c r="AW74">
        <f>IFERROR(INDEX(PP_Grid[#Data],$DE74,46),0)</f>
        <v/>
      </c>
      <c r="AX74">
        <f>IFERROR(INDEX(PP_Grid[#Data],$DE74,47),0)</f>
        <v/>
      </c>
      <c r="AY74">
        <f>IFERROR(INDEX(PP_Grid[#Data],$DE74,48),0)</f>
        <v/>
      </c>
      <c r="AZ74">
        <f>IFERROR(INDEX(PP_Grid[#Data],$DE74,49),0)</f>
        <v/>
      </c>
      <c r="BA74">
        <f>IFERROR(INDEX(PP_Grid[#Data],$DE74,50),0)</f>
        <v/>
      </c>
      <c r="BB74">
        <f>IFERROR(INDEX(PP_Grid[#Data],$DE74,51),0)</f>
        <v/>
      </c>
      <c r="BC74">
        <f>IFERROR(INDEX(PP_Grid[#Data],$DE74,52),0)</f>
        <v/>
      </c>
      <c r="BD74">
        <f>IFERROR(INDEX(PP_Grid[#Data],$DE74,53),0)</f>
        <v/>
      </c>
      <c r="BE74">
        <f>IFERROR(INDEX(PP_Grid[#Data],$DE74,54),0)</f>
        <v/>
      </c>
      <c r="BF74">
        <f>IFERROR(INDEX(PP_Grid[#Data],$DE74,55),0)</f>
        <v/>
      </c>
      <c r="BG74">
        <f>IFERROR(INDEX(PP_Grid[#Data],$DE74,56),0)</f>
        <v/>
      </c>
      <c r="BH74">
        <f>IFERROR(INDEX(PP_Grid[#Data],$DE74,57),0)</f>
        <v/>
      </c>
      <c r="BI74">
        <f>IFERROR(INDEX(PP_Grid[#Data],$DE74,58),0)</f>
        <v/>
      </c>
      <c r="BJ74">
        <f>IFERROR(INDEX(PP_Grid[#Data],$DE74,59),0)</f>
        <v/>
      </c>
      <c r="BK74">
        <f>IFERROR(INDEX(PP_Grid[#Data],$DE74,60),0)</f>
        <v/>
      </c>
      <c r="BL74">
        <f>IFERROR(INDEX(PP_Grid[#Data],$DE74,61),0)</f>
        <v/>
      </c>
      <c r="BM74">
        <f>IFERROR(INDEX(PP_Grid[#Data],$DE74,62),0)</f>
        <v/>
      </c>
      <c r="BN74">
        <f>IFERROR(INDEX(PP_Grid[#Data],$DE74,63),0)</f>
        <v/>
      </c>
      <c r="BO74">
        <f>IFERROR(INDEX(PP_Grid[#Data],$DE74,64),0)</f>
        <v/>
      </c>
      <c r="BP74">
        <f>IFERROR(INDEX(PP_Grid[#Data],$DE74,65),0)</f>
        <v/>
      </c>
      <c r="BQ74">
        <f>IFERROR(INDEX(PP_Grid[#Data],$DE74,66),0)</f>
        <v/>
      </c>
      <c r="BR74">
        <f>IFERROR(INDEX(PP_Grid[#Data],$DE74,67),0)</f>
        <v/>
      </c>
      <c r="BS74">
        <f>IFERROR(INDEX(PP_Grid[#Data],$DE74,68),0)</f>
        <v/>
      </c>
      <c r="BT74">
        <f>IFERROR(INDEX(PP_Grid[#Data],$DE74,69),0)</f>
        <v/>
      </c>
      <c r="BU74">
        <f>IFERROR(INDEX(PP_Grid[#Data],$DE74,70),0)</f>
        <v/>
      </c>
      <c r="BV74">
        <f>IFERROR(INDEX(PP_Grid[#Data],$DE74,71),0)</f>
        <v/>
      </c>
      <c r="BW74">
        <f>IFERROR(INDEX(PP_Grid[#Data],$DE74,72),0)</f>
        <v/>
      </c>
      <c r="BX74">
        <f>IFERROR(INDEX(PP_Grid[#Data],$DE74,73),0)</f>
        <v/>
      </c>
      <c r="BY74">
        <f>IFERROR(INDEX(PP_Grid[#Data],$DE74,74),0)</f>
        <v/>
      </c>
      <c r="BZ74">
        <f>IFERROR(INDEX(PP_Grid[#Data],$DE74,75),0)</f>
        <v/>
      </c>
      <c r="CA74">
        <f>IFERROR(INDEX(PP_Grid[#Data],$DE74,76),0)</f>
        <v/>
      </c>
      <c r="CB74">
        <f>IFERROR(INDEX(PP_Grid[#Data],$DE74,77),0)</f>
        <v/>
      </c>
      <c r="CC74">
        <f>IFERROR(INDEX(PP_Grid[#Data],$DE74,78),0)</f>
        <v/>
      </c>
      <c r="CD74">
        <f>IFERROR(INDEX(PP_Grid[#Data],$DE74,79),0)</f>
        <v/>
      </c>
      <c r="CE74">
        <f>IFERROR(INDEX(PP_Grid[#Data],$DE74,80),0)</f>
        <v/>
      </c>
      <c r="CF74">
        <f>IFERROR(INDEX(PP_Grid[#Data],$DE74,81),0)</f>
        <v/>
      </c>
      <c r="CG74">
        <f>IFERROR(INDEX(PP_Grid[#Data],$DE74,82),0)</f>
        <v/>
      </c>
      <c r="CH74">
        <f>IFERROR(INDEX(PP_Grid[#Data],$DE74,83),0)</f>
        <v/>
      </c>
      <c r="CI74">
        <f>IFERROR(INDEX(PP_Grid[#Data],$DE74,84),0)</f>
        <v/>
      </c>
      <c r="CJ74">
        <f>IFERROR(INDEX(PP_Grid[#Data],$DE74,85),0)</f>
        <v/>
      </c>
      <c r="CK74">
        <f>IFERROR(INDEX(PP_Grid[#Data],$DE74,86),0)</f>
        <v/>
      </c>
      <c r="CL74">
        <f>IFERROR(INDEX(PP_Grid[#Data],$DE74,87),0)</f>
        <v/>
      </c>
      <c r="CM74">
        <f>IFERROR(INDEX(PP_Grid[#Data],$DE74,88),0)</f>
        <v/>
      </c>
      <c r="CN74">
        <f>IFERROR(INDEX(PP_Grid[#Data],$DE74,89),0)</f>
        <v/>
      </c>
      <c r="CO74">
        <f>IFERROR(INDEX(PP_Grid[#Data],$DE74,90),0)</f>
        <v/>
      </c>
      <c r="CP74">
        <f>IFERROR(INDEX(PP_Grid[#Data],$DE74,91),0)</f>
        <v/>
      </c>
      <c r="CQ74">
        <f>IFERROR(INDEX(PP_Grid[#Data],$DE74,92),0)</f>
        <v/>
      </c>
      <c r="CR74">
        <f>IFERROR(INDEX(PP_Grid[#Data],$DE74,93),0)</f>
        <v/>
      </c>
      <c r="CS74">
        <f>IFERROR(INDEX(PP_Grid[#Data],$DE74,94),0)</f>
        <v/>
      </c>
      <c r="CT74">
        <f>IFERROR(INDEX(PP_Grid[#Data],$DE74,95),0)</f>
        <v/>
      </c>
      <c r="CU74">
        <f>IFERROR(INDEX(PP_Grid[#Data],$DE74,96),0)</f>
        <v/>
      </c>
      <c r="CV74">
        <f>IFERROR(INDEX(PP_Grid[#Data],$DE74,97),0)</f>
        <v/>
      </c>
      <c r="CW74">
        <f>IFERROR(INDEX(PP_Grid[#Data],$DE74,98),0)</f>
        <v/>
      </c>
      <c r="CX74">
        <f>IFERROR(INDEX(PP_Grid[#Data],$DE74,99),0)</f>
        <v/>
      </c>
      <c r="CY74">
        <f>IFERROR(INDEX(PP_Grid[#Data],$DE74,100),0)</f>
        <v/>
      </c>
      <c r="CZ74">
        <f>IFERROR(INDEX(PP_Grid[#Data],$DE74,101),0)</f>
        <v/>
      </c>
      <c r="DA74">
        <f>IFERROR(INDEX(PP_Grid[#Data],$DE74,102),0)</f>
        <v/>
      </c>
      <c r="DB74">
        <f>IFERROR(INDEX(PP_Grid[#Data],$DE74,103),0)</f>
        <v/>
      </c>
      <c r="DC74">
        <f>IFERROR(INDEX(PP_Grid[#Data],$DE74,104),0)</f>
        <v/>
      </c>
      <c r="DD74">
        <f>IFERROR(INDEX(PP_Grid[#Data],$DE74,105),0)</f>
        <v/>
      </c>
      <c r="DE74" s="7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SUMIFS(M_BOM[RM_Qty_Per_Batch],M_BOM[Intermediate],$B74,M_BOM[RM_Code],$A25)</f>
        <v/>
      </c>
      <c r="D75">
        <f>IFERROR(INDEX(E75:DD75,$F$1),"")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  <c r="DD75">
        <f>$C75*DD74</f>
        <v/>
      </c>
    </row>
    <row r="76">
      <c r="B76" t="inlineStr">
        <is>
          <t>VSP-603</t>
        </is>
      </c>
      <c r="C76" t="inlineStr">
        <is>
          <t>No. of batches</t>
        </is>
      </c>
      <c r="D76">
        <f>IFERROR(INDEX(E76:DD76,$F$1),"")</f>
        <v/>
      </c>
      <c r="E76">
        <f>IFERROR(INDEX(PP_Grid[#Data],$DE76,2),0)</f>
        <v/>
      </c>
      <c r="F76">
        <f>IFERROR(INDEX(PP_Grid[#Data],$DE76,3),0)</f>
        <v/>
      </c>
      <c r="G76">
        <f>IFERROR(INDEX(PP_Grid[#Data],$DE76,4),0)</f>
        <v/>
      </c>
      <c r="H76">
        <f>IFERROR(INDEX(PP_Grid[#Data],$DE76,5),0)</f>
        <v/>
      </c>
      <c r="I76">
        <f>IFERROR(INDEX(PP_Grid[#Data],$DE76,6),0)</f>
        <v/>
      </c>
      <c r="J76">
        <f>IFERROR(INDEX(PP_Grid[#Data],$DE76,7),0)</f>
        <v/>
      </c>
      <c r="K76">
        <f>IFERROR(INDEX(PP_Grid[#Data],$DE76,8),0)</f>
        <v/>
      </c>
      <c r="L76">
        <f>IFERROR(INDEX(PP_Grid[#Data],$DE76,9),0)</f>
        <v/>
      </c>
      <c r="M76">
        <f>IFERROR(INDEX(PP_Grid[#Data],$DE76,10),0)</f>
        <v/>
      </c>
      <c r="N76">
        <f>IFERROR(INDEX(PP_Grid[#Data],$DE76,11),0)</f>
        <v/>
      </c>
      <c r="O76">
        <f>IFERROR(INDEX(PP_Grid[#Data],$DE76,12),0)</f>
        <v/>
      </c>
      <c r="P76">
        <f>IFERROR(INDEX(PP_Grid[#Data],$DE76,13),0)</f>
        <v/>
      </c>
      <c r="Q76">
        <f>IFERROR(INDEX(PP_Grid[#Data],$DE76,14),0)</f>
        <v/>
      </c>
      <c r="R76">
        <f>IFERROR(INDEX(PP_Grid[#Data],$DE76,15),0)</f>
        <v/>
      </c>
      <c r="S76">
        <f>IFERROR(INDEX(PP_Grid[#Data],$DE76,16),0)</f>
        <v/>
      </c>
      <c r="T76">
        <f>IFERROR(INDEX(PP_Grid[#Data],$DE76,17),0)</f>
        <v/>
      </c>
      <c r="U76">
        <f>IFERROR(INDEX(PP_Grid[#Data],$DE76,18),0)</f>
        <v/>
      </c>
      <c r="V76">
        <f>IFERROR(INDEX(PP_Grid[#Data],$DE76,19),0)</f>
        <v/>
      </c>
      <c r="W76">
        <f>IFERROR(INDEX(PP_Grid[#Data],$DE76,20),0)</f>
        <v/>
      </c>
      <c r="X76">
        <f>IFERROR(INDEX(PP_Grid[#Data],$DE76,21),0)</f>
        <v/>
      </c>
      <c r="Y76">
        <f>IFERROR(INDEX(PP_Grid[#Data],$DE76,22),0)</f>
        <v/>
      </c>
      <c r="Z76">
        <f>IFERROR(INDEX(PP_Grid[#Data],$DE76,23),0)</f>
        <v/>
      </c>
      <c r="AA76">
        <f>IFERROR(INDEX(PP_Grid[#Data],$DE76,24),0)</f>
        <v/>
      </c>
      <c r="AB76">
        <f>IFERROR(INDEX(PP_Grid[#Data],$DE76,25),0)</f>
        <v/>
      </c>
      <c r="AC76">
        <f>IFERROR(INDEX(PP_Grid[#Data],$DE76,26),0)</f>
        <v/>
      </c>
      <c r="AD76">
        <f>IFERROR(INDEX(PP_Grid[#Data],$DE76,27),0)</f>
        <v/>
      </c>
      <c r="AE76">
        <f>IFERROR(INDEX(PP_Grid[#Data],$DE76,28),0)</f>
        <v/>
      </c>
      <c r="AF76">
        <f>IFERROR(INDEX(PP_Grid[#Data],$DE76,29),0)</f>
        <v/>
      </c>
      <c r="AG76">
        <f>IFERROR(INDEX(PP_Grid[#Data],$DE76,30),0)</f>
        <v/>
      </c>
      <c r="AH76">
        <f>IFERROR(INDEX(PP_Grid[#Data],$DE76,31),0)</f>
        <v/>
      </c>
      <c r="AI76">
        <f>IFERROR(INDEX(PP_Grid[#Data],$DE76,32),0)</f>
        <v/>
      </c>
      <c r="AJ76">
        <f>IFERROR(INDEX(PP_Grid[#Data],$DE76,33),0)</f>
        <v/>
      </c>
      <c r="AK76">
        <f>IFERROR(INDEX(PP_Grid[#Data],$DE76,34),0)</f>
        <v/>
      </c>
      <c r="AL76">
        <f>IFERROR(INDEX(PP_Grid[#Data],$DE76,35),0)</f>
        <v/>
      </c>
      <c r="AM76">
        <f>IFERROR(INDEX(PP_Grid[#Data],$DE76,36),0)</f>
        <v/>
      </c>
      <c r="AN76">
        <f>IFERROR(INDEX(PP_Grid[#Data],$DE76,37),0)</f>
        <v/>
      </c>
      <c r="AO76">
        <f>IFERROR(INDEX(PP_Grid[#Data],$DE76,38),0)</f>
        <v/>
      </c>
      <c r="AP76">
        <f>IFERROR(INDEX(PP_Grid[#Data],$DE76,39),0)</f>
        <v/>
      </c>
      <c r="AQ76">
        <f>IFERROR(INDEX(PP_Grid[#Data],$DE76,40),0)</f>
        <v/>
      </c>
      <c r="AR76">
        <f>IFERROR(INDEX(PP_Grid[#Data],$DE76,41),0)</f>
        <v/>
      </c>
      <c r="AS76">
        <f>IFERROR(INDEX(PP_Grid[#Data],$DE76,42),0)</f>
        <v/>
      </c>
      <c r="AT76">
        <f>IFERROR(INDEX(PP_Grid[#Data],$DE76,43),0)</f>
        <v/>
      </c>
      <c r="AU76">
        <f>IFERROR(INDEX(PP_Grid[#Data],$DE76,44),0)</f>
        <v/>
      </c>
      <c r="AV76">
        <f>IFERROR(INDEX(PP_Grid[#Data],$DE76,45),0)</f>
        <v/>
      </c>
      <c r="AW76">
        <f>IFERROR(INDEX(PP_Grid[#Data],$DE76,46),0)</f>
        <v/>
      </c>
      <c r="AX76">
        <f>IFERROR(INDEX(PP_Grid[#Data],$DE76,47),0)</f>
        <v/>
      </c>
      <c r="AY76">
        <f>IFERROR(INDEX(PP_Grid[#Data],$DE76,48),0)</f>
        <v/>
      </c>
      <c r="AZ76">
        <f>IFERROR(INDEX(PP_Grid[#Data],$DE76,49),0)</f>
        <v/>
      </c>
      <c r="BA76">
        <f>IFERROR(INDEX(PP_Grid[#Data],$DE76,50),0)</f>
        <v/>
      </c>
      <c r="BB76">
        <f>IFERROR(INDEX(PP_Grid[#Data],$DE76,51),0)</f>
        <v/>
      </c>
      <c r="BC76">
        <f>IFERROR(INDEX(PP_Grid[#Data],$DE76,52),0)</f>
        <v/>
      </c>
      <c r="BD76">
        <f>IFERROR(INDEX(PP_Grid[#Data],$DE76,53),0)</f>
        <v/>
      </c>
      <c r="BE76">
        <f>IFERROR(INDEX(PP_Grid[#Data],$DE76,54),0)</f>
        <v/>
      </c>
      <c r="BF76">
        <f>IFERROR(INDEX(PP_Grid[#Data],$DE76,55),0)</f>
        <v/>
      </c>
      <c r="BG76">
        <f>IFERROR(INDEX(PP_Grid[#Data],$DE76,56),0)</f>
        <v/>
      </c>
      <c r="BH76">
        <f>IFERROR(INDEX(PP_Grid[#Data],$DE76,57),0)</f>
        <v/>
      </c>
      <c r="BI76">
        <f>IFERROR(INDEX(PP_Grid[#Data],$DE76,58),0)</f>
        <v/>
      </c>
      <c r="BJ76">
        <f>IFERROR(INDEX(PP_Grid[#Data],$DE76,59),0)</f>
        <v/>
      </c>
      <c r="BK76">
        <f>IFERROR(INDEX(PP_Grid[#Data],$DE76,60),0)</f>
        <v/>
      </c>
      <c r="BL76">
        <f>IFERROR(INDEX(PP_Grid[#Data],$DE76,61),0)</f>
        <v/>
      </c>
      <c r="BM76">
        <f>IFERROR(INDEX(PP_Grid[#Data],$DE76,62),0)</f>
        <v/>
      </c>
      <c r="BN76">
        <f>IFERROR(INDEX(PP_Grid[#Data],$DE76,63),0)</f>
        <v/>
      </c>
      <c r="BO76">
        <f>IFERROR(INDEX(PP_Grid[#Data],$DE76,64),0)</f>
        <v/>
      </c>
      <c r="BP76">
        <f>IFERROR(INDEX(PP_Grid[#Data],$DE76,65),0)</f>
        <v/>
      </c>
      <c r="BQ76">
        <f>IFERROR(INDEX(PP_Grid[#Data],$DE76,66),0)</f>
        <v/>
      </c>
      <c r="BR76">
        <f>IFERROR(INDEX(PP_Grid[#Data],$DE76,67),0)</f>
        <v/>
      </c>
      <c r="BS76">
        <f>IFERROR(INDEX(PP_Grid[#Data],$DE76,68),0)</f>
        <v/>
      </c>
      <c r="BT76">
        <f>IFERROR(INDEX(PP_Grid[#Data],$DE76,69),0)</f>
        <v/>
      </c>
      <c r="BU76">
        <f>IFERROR(INDEX(PP_Grid[#Data],$DE76,70),0)</f>
        <v/>
      </c>
      <c r="BV76">
        <f>IFERROR(INDEX(PP_Grid[#Data],$DE76,71),0)</f>
        <v/>
      </c>
      <c r="BW76">
        <f>IFERROR(INDEX(PP_Grid[#Data],$DE76,72),0)</f>
        <v/>
      </c>
      <c r="BX76">
        <f>IFERROR(INDEX(PP_Grid[#Data],$DE76,73),0)</f>
        <v/>
      </c>
      <c r="BY76">
        <f>IFERROR(INDEX(PP_Grid[#Data],$DE76,74),0)</f>
        <v/>
      </c>
      <c r="BZ76">
        <f>IFERROR(INDEX(PP_Grid[#Data],$DE76,75),0)</f>
        <v/>
      </c>
      <c r="CA76">
        <f>IFERROR(INDEX(PP_Grid[#Data],$DE76,76),0)</f>
        <v/>
      </c>
      <c r="CB76">
        <f>IFERROR(INDEX(PP_Grid[#Data],$DE76,77),0)</f>
        <v/>
      </c>
      <c r="CC76">
        <f>IFERROR(INDEX(PP_Grid[#Data],$DE76,78),0)</f>
        <v/>
      </c>
      <c r="CD76">
        <f>IFERROR(INDEX(PP_Grid[#Data],$DE76,79),0)</f>
        <v/>
      </c>
      <c r="CE76">
        <f>IFERROR(INDEX(PP_Grid[#Data],$DE76,80),0)</f>
        <v/>
      </c>
      <c r="CF76">
        <f>IFERROR(INDEX(PP_Grid[#Data],$DE76,81),0)</f>
        <v/>
      </c>
      <c r="CG76">
        <f>IFERROR(INDEX(PP_Grid[#Data],$DE76,82),0)</f>
        <v/>
      </c>
      <c r="CH76">
        <f>IFERROR(INDEX(PP_Grid[#Data],$DE76,83),0)</f>
        <v/>
      </c>
      <c r="CI76">
        <f>IFERROR(INDEX(PP_Grid[#Data],$DE76,84),0)</f>
        <v/>
      </c>
      <c r="CJ76">
        <f>IFERROR(INDEX(PP_Grid[#Data],$DE76,85),0)</f>
        <v/>
      </c>
      <c r="CK76">
        <f>IFERROR(INDEX(PP_Grid[#Data],$DE76,86),0)</f>
        <v/>
      </c>
      <c r="CL76">
        <f>IFERROR(INDEX(PP_Grid[#Data],$DE76,87),0)</f>
        <v/>
      </c>
      <c r="CM76">
        <f>IFERROR(INDEX(PP_Grid[#Data],$DE76,88),0)</f>
        <v/>
      </c>
      <c r="CN76">
        <f>IFERROR(INDEX(PP_Grid[#Data],$DE76,89),0)</f>
        <v/>
      </c>
      <c r="CO76">
        <f>IFERROR(INDEX(PP_Grid[#Data],$DE76,90),0)</f>
        <v/>
      </c>
      <c r="CP76">
        <f>IFERROR(INDEX(PP_Grid[#Data],$DE76,91),0)</f>
        <v/>
      </c>
      <c r="CQ76">
        <f>IFERROR(INDEX(PP_Grid[#Data],$DE76,92),0)</f>
        <v/>
      </c>
      <c r="CR76">
        <f>IFERROR(INDEX(PP_Grid[#Data],$DE76,93),0)</f>
        <v/>
      </c>
      <c r="CS76">
        <f>IFERROR(INDEX(PP_Grid[#Data],$DE76,94),0)</f>
        <v/>
      </c>
      <c r="CT76">
        <f>IFERROR(INDEX(PP_Grid[#Data],$DE76,95),0)</f>
        <v/>
      </c>
      <c r="CU76">
        <f>IFERROR(INDEX(PP_Grid[#Data],$DE76,96),0)</f>
        <v/>
      </c>
      <c r="CV76">
        <f>IFERROR(INDEX(PP_Grid[#Data],$DE76,97),0)</f>
        <v/>
      </c>
      <c r="CW76">
        <f>IFERROR(INDEX(PP_Grid[#Data],$DE76,98),0)</f>
        <v/>
      </c>
      <c r="CX76">
        <f>IFERROR(INDEX(PP_Grid[#Data],$DE76,99),0)</f>
        <v/>
      </c>
      <c r="CY76">
        <f>IFERROR(INDEX(PP_Grid[#Data],$DE76,100),0)</f>
        <v/>
      </c>
      <c r="CZ76">
        <f>IFERROR(INDEX(PP_Grid[#Data],$DE76,101),0)</f>
        <v/>
      </c>
      <c r="DA76">
        <f>IFERROR(INDEX(PP_Grid[#Data],$DE76,102),0)</f>
        <v/>
      </c>
      <c r="DB76">
        <f>IFERROR(INDEX(PP_Grid[#Data],$DE76,103),0)</f>
        <v/>
      </c>
      <c r="DC76">
        <f>IFERROR(INDEX(PP_Grid[#Data],$DE76,104),0)</f>
        <v/>
      </c>
      <c r="DD76">
        <f>IFERROR(INDEX(PP_Grid[#Data],$DE76,105),0)</f>
        <v/>
      </c>
      <c r="DE76" s="7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SUMIFS(M_BOM[RM_Qty_Per_Batch],M_BOM[Intermediate],$B76,M_BOM[RM_Code],$A25)</f>
        <v/>
      </c>
      <c r="D77">
        <f>IFERROR(INDEX(E77:DD77,$F$1),"")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  <c r="DD77">
        <f>$C77*DD76</f>
        <v/>
      </c>
    </row>
    <row r="78">
      <c r="B78" t="inlineStr">
        <is>
          <t>VSP-604</t>
        </is>
      </c>
      <c r="C78" t="inlineStr">
        <is>
          <t>No. of batches</t>
        </is>
      </c>
      <c r="D78">
        <f>IFERROR(INDEX(E78:DD78,$F$1),"")</f>
        <v/>
      </c>
      <c r="E78">
        <f>IFERROR(INDEX(PP_Grid[#Data],$DE78,2),0)</f>
        <v/>
      </c>
      <c r="F78">
        <f>IFERROR(INDEX(PP_Grid[#Data],$DE78,3),0)</f>
        <v/>
      </c>
      <c r="G78">
        <f>IFERROR(INDEX(PP_Grid[#Data],$DE78,4),0)</f>
        <v/>
      </c>
      <c r="H78">
        <f>IFERROR(INDEX(PP_Grid[#Data],$DE78,5),0)</f>
        <v/>
      </c>
      <c r="I78">
        <f>IFERROR(INDEX(PP_Grid[#Data],$DE78,6),0)</f>
        <v/>
      </c>
      <c r="J78">
        <f>IFERROR(INDEX(PP_Grid[#Data],$DE78,7),0)</f>
        <v/>
      </c>
      <c r="K78">
        <f>IFERROR(INDEX(PP_Grid[#Data],$DE78,8),0)</f>
        <v/>
      </c>
      <c r="L78">
        <f>IFERROR(INDEX(PP_Grid[#Data],$DE78,9),0)</f>
        <v/>
      </c>
      <c r="M78">
        <f>IFERROR(INDEX(PP_Grid[#Data],$DE78,10),0)</f>
        <v/>
      </c>
      <c r="N78">
        <f>IFERROR(INDEX(PP_Grid[#Data],$DE78,11),0)</f>
        <v/>
      </c>
      <c r="O78">
        <f>IFERROR(INDEX(PP_Grid[#Data],$DE78,12),0)</f>
        <v/>
      </c>
      <c r="P78">
        <f>IFERROR(INDEX(PP_Grid[#Data],$DE78,13),0)</f>
        <v/>
      </c>
      <c r="Q78">
        <f>IFERROR(INDEX(PP_Grid[#Data],$DE78,14),0)</f>
        <v/>
      </c>
      <c r="R78">
        <f>IFERROR(INDEX(PP_Grid[#Data],$DE78,15),0)</f>
        <v/>
      </c>
      <c r="S78">
        <f>IFERROR(INDEX(PP_Grid[#Data],$DE78,16),0)</f>
        <v/>
      </c>
      <c r="T78">
        <f>IFERROR(INDEX(PP_Grid[#Data],$DE78,17),0)</f>
        <v/>
      </c>
      <c r="U78">
        <f>IFERROR(INDEX(PP_Grid[#Data],$DE78,18),0)</f>
        <v/>
      </c>
      <c r="V78">
        <f>IFERROR(INDEX(PP_Grid[#Data],$DE78,19),0)</f>
        <v/>
      </c>
      <c r="W78">
        <f>IFERROR(INDEX(PP_Grid[#Data],$DE78,20),0)</f>
        <v/>
      </c>
      <c r="X78">
        <f>IFERROR(INDEX(PP_Grid[#Data],$DE78,21),0)</f>
        <v/>
      </c>
      <c r="Y78">
        <f>IFERROR(INDEX(PP_Grid[#Data],$DE78,22),0)</f>
        <v/>
      </c>
      <c r="Z78">
        <f>IFERROR(INDEX(PP_Grid[#Data],$DE78,23),0)</f>
        <v/>
      </c>
      <c r="AA78">
        <f>IFERROR(INDEX(PP_Grid[#Data],$DE78,24),0)</f>
        <v/>
      </c>
      <c r="AB78">
        <f>IFERROR(INDEX(PP_Grid[#Data],$DE78,25),0)</f>
        <v/>
      </c>
      <c r="AC78">
        <f>IFERROR(INDEX(PP_Grid[#Data],$DE78,26),0)</f>
        <v/>
      </c>
      <c r="AD78">
        <f>IFERROR(INDEX(PP_Grid[#Data],$DE78,27),0)</f>
        <v/>
      </c>
      <c r="AE78">
        <f>IFERROR(INDEX(PP_Grid[#Data],$DE78,28),0)</f>
        <v/>
      </c>
      <c r="AF78">
        <f>IFERROR(INDEX(PP_Grid[#Data],$DE78,29),0)</f>
        <v/>
      </c>
      <c r="AG78">
        <f>IFERROR(INDEX(PP_Grid[#Data],$DE78,30),0)</f>
        <v/>
      </c>
      <c r="AH78">
        <f>IFERROR(INDEX(PP_Grid[#Data],$DE78,31),0)</f>
        <v/>
      </c>
      <c r="AI78">
        <f>IFERROR(INDEX(PP_Grid[#Data],$DE78,32),0)</f>
        <v/>
      </c>
      <c r="AJ78">
        <f>IFERROR(INDEX(PP_Grid[#Data],$DE78,33),0)</f>
        <v/>
      </c>
      <c r="AK78">
        <f>IFERROR(INDEX(PP_Grid[#Data],$DE78,34),0)</f>
        <v/>
      </c>
      <c r="AL78">
        <f>IFERROR(INDEX(PP_Grid[#Data],$DE78,35),0)</f>
        <v/>
      </c>
      <c r="AM78">
        <f>IFERROR(INDEX(PP_Grid[#Data],$DE78,36),0)</f>
        <v/>
      </c>
      <c r="AN78">
        <f>IFERROR(INDEX(PP_Grid[#Data],$DE78,37),0)</f>
        <v/>
      </c>
      <c r="AO78">
        <f>IFERROR(INDEX(PP_Grid[#Data],$DE78,38),0)</f>
        <v/>
      </c>
      <c r="AP78">
        <f>IFERROR(INDEX(PP_Grid[#Data],$DE78,39),0)</f>
        <v/>
      </c>
      <c r="AQ78">
        <f>IFERROR(INDEX(PP_Grid[#Data],$DE78,40),0)</f>
        <v/>
      </c>
      <c r="AR78">
        <f>IFERROR(INDEX(PP_Grid[#Data],$DE78,41),0)</f>
        <v/>
      </c>
      <c r="AS78">
        <f>IFERROR(INDEX(PP_Grid[#Data],$DE78,42),0)</f>
        <v/>
      </c>
      <c r="AT78">
        <f>IFERROR(INDEX(PP_Grid[#Data],$DE78,43),0)</f>
        <v/>
      </c>
      <c r="AU78">
        <f>IFERROR(INDEX(PP_Grid[#Data],$DE78,44),0)</f>
        <v/>
      </c>
      <c r="AV78">
        <f>IFERROR(INDEX(PP_Grid[#Data],$DE78,45),0)</f>
        <v/>
      </c>
      <c r="AW78">
        <f>IFERROR(INDEX(PP_Grid[#Data],$DE78,46),0)</f>
        <v/>
      </c>
      <c r="AX78">
        <f>IFERROR(INDEX(PP_Grid[#Data],$DE78,47),0)</f>
        <v/>
      </c>
      <c r="AY78">
        <f>IFERROR(INDEX(PP_Grid[#Data],$DE78,48),0)</f>
        <v/>
      </c>
      <c r="AZ78">
        <f>IFERROR(INDEX(PP_Grid[#Data],$DE78,49),0)</f>
        <v/>
      </c>
      <c r="BA78">
        <f>IFERROR(INDEX(PP_Grid[#Data],$DE78,50),0)</f>
        <v/>
      </c>
      <c r="BB78">
        <f>IFERROR(INDEX(PP_Grid[#Data],$DE78,51),0)</f>
        <v/>
      </c>
      <c r="BC78">
        <f>IFERROR(INDEX(PP_Grid[#Data],$DE78,52),0)</f>
        <v/>
      </c>
      <c r="BD78">
        <f>IFERROR(INDEX(PP_Grid[#Data],$DE78,53),0)</f>
        <v/>
      </c>
      <c r="BE78">
        <f>IFERROR(INDEX(PP_Grid[#Data],$DE78,54),0)</f>
        <v/>
      </c>
      <c r="BF78">
        <f>IFERROR(INDEX(PP_Grid[#Data],$DE78,55),0)</f>
        <v/>
      </c>
      <c r="BG78">
        <f>IFERROR(INDEX(PP_Grid[#Data],$DE78,56),0)</f>
        <v/>
      </c>
      <c r="BH78">
        <f>IFERROR(INDEX(PP_Grid[#Data],$DE78,57),0)</f>
        <v/>
      </c>
      <c r="BI78">
        <f>IFERROR(INDEX(PP_Grid[#Data],$DE78,58),0)</f>
        <v/>
      </c>
      <c r="BJ78">
        <f>IFERROR(INDEX(PP_Grid[#Data],$DE78,59),0)</f>
        <v/>
      </c>
      <c r="BK78">
        <f>IFERROR(INDEX(PP_Grid[#Data],$DE78,60),0)</f>
        <v/>
      </c>
      <c r="BL78">
        <f>IFERROR(INDEX(PP_Grid[#Data],$DE78,61),0)</f>
        <v/>
      </c>
      <c r="BM78">
        <f>IFERROR(INDEX(PP_Grid[#Data],$DE78,62),0)</f>
        <v/>
      </c>
      <c r="BN78">
        <f>IFERROR(INDEX(PP_Grid[#Data],$DE78,63),0)</f>
        <v/>
      </c>
      <c r="BO78">
        <f>IFERROR(INDEX(PP_Grid[#Data],$DE78,64),0)</f>
        <v/>
      </c>
      <c r="BP78">
        <f>IFERROR(INDEX(PP_Grid[#Data],$DE78,65),0)</f>
        <v/>
      </c>
      <c r="BQ78">
        <f>IFERROR(INDEX(PP_Grid[#Data],$DE78,66),0)</f>
        <v/>
      </c>
      <c r="BR78">
        <f>IFERROR(INDEX(PP_Grid[#Data],$DE78,67),0)</f>
        <v/>
      </c>
      <c r="BS78">
        <f>IFERROR(INDEX(PP_Grid[#Data],$DE78,68),0)</f>
        <v/>
      </c>
      <c r="BT78">
        <f>IFERROR(INDEX(PP_Grid[#Data],$DE78,69),0)</f>
        <v/>
      </c>
      <c r="BU78">
        <f>IFERROR(INDEX(PP_Grid[#Data],$DE78,70),0)</f>
        <v/>
      </c>
      <c r="BV78">
        <f>IFERROR(INDEX(PP_Grid[#Data],$DE78,71),0)</f>
        <v/>
      </c>
      <c r="BW78">
        <f>IFERROR(INDEX(PP_Grid[#Data],$DE78,72),0)</f>
        <v/>
      </c>
      <c r="BX78">
        <f>IFERROR(INDEX(PP_Grid[#Data],$DE78,73),0)</f>
        <v/>
      </c>
      <c r="BY78">
        <f>IFERROR(INDEX(PP_Grid[#Data],$DE78,74),0)</f>
        <v/>
      </c>
      <c r="BZ78">
        <f>IFERROR(INDEX(PP_Grid[#Data],$DE78,75),0)</f>
        <v/>
      </c>
      <c r="CA78">
        <f>IFERROR(INDEX(PP_Grid[#Data],$DE78,76),0)</f>
        <v/>
      </c>
      <c r="CB78">
        <f>IFERROR(INDEX(PP_Grid[#Data],$DE78,77),0)</f>
        <v/>
      </c>
      <c r="CC78">
        <f>IFERROR(INDEX(PP_Grid[#Data],$DE78,78),0)</f>
        <v/>
      </c>
      <c r="CD78">
        <f>IFERROR(INDEX(PP_Grid[#Data],$DE78,79),0)</f>
        <v/>
      </c>
      <c r="CE78">
        <f>IFERROR(INDEX(PP_Grid[#Data],$DE78,80),0)</f>
        <v/>
      </c>
      <c r="CF78">
        <f>IFERROR(INDEX(PP_Grid[#Data],$DE78,81),0)</f>
        <v/>
      </c>
      <c r="CG78">
        <f>IFERROR(INDEX(PP_Grid[#Data],$DE78,82),0)</f>
        <v/>
      </c>
      <c r="CH78">
        <f>IFERROR(INDEX(PP_Grid[#Data],$DE78,83),0)</f>
        <v/>
      </c>
      <c r="CI78">
        <f>IFERROR(INDEX(PP_Grid[#Data],$DE78,84),0)</f>
        <v/>
      </c>
      <c r="CJ78">
        <f>IFERROR(INDEX(PP_Grid[#Data],$DE78,85),0)</f>
        <v/>
      </c>
      <c r="CK78">
        <f>IFERROR(INDEX(PP_Grid[#Data],$DE78,86),0)</f>
        <v/>
      </c>
      <c r="CL78">
        <f>IFERROR(INDEX(PP_Grid[#Data],$DE78,87),0)</f>
        <v/>
      </c>
      <c r="CM78">
        <f>IFERROR(INDEX(PP_Grid[#Data],$DE78,88),0)</f>
        <v/>
      </c>
      <c r="CN78">
        <f>IFERROR(INDEX(PP_Grid[#Data],$DE78,89),0)</f>
        <v/>
      </c>
      <c r="CO78">
        <f>IFERROR(INDEX(PP_Grid[#Data],$DE78,90),0)</f>
        <v/>
      </c>
      <c r="CP78">
        <f>IFERROR(INDEX(PP_Grid[#Data],$DE78,91),0)</f>
        <v/>
      </c>
      <c r="CQ78">
        <f>IFERROR(INDEX(PP_Grid[#Data],$DE78,92),0)</f>
        <v/>
      </c>
      <c r="CR78">
        <f>IFERROR(INDEX(PP_Grid[#Data],$DE78,93),0)</f>
        <v/>
      </c>
      <c r="CS78">
        <f>IFERROR(INDEX(PP_Grid[#Data],$DE78,94),0)</f>
        <v/>
      </c>
      <c r="CT78">
        <f>IFERROR(INDEX(PP_Grid[#Data],$DE78,95),0)</f>
        <v/>
      </c>
      <c r="CU78">
        <f>IFERROR(INDEX(PP_Grid[#Data],$DE78,96),0)</f>
        <v/>
      </c>
      <c r="CV78">
        <f>IFERROR(INDEX(PP_Grid[#Data],$DE78,97),0)</f>
        <v/>
      </c>
      <c r="CW78">
        <f>IFERROR(INDEX(PP_Grid[#Data],$DE78,98),0)</f>
        <v/>
      </c>
      <c r="CX78">
        <f>IFERROR(INDEX(PP_Grid[#Data],$DE78,99),0)</f>
        <v/>
      </c>
      <c r="CY78">
        <f>IFERROR(INDEX(PP_Grid[#Data],$DE78,100),0)</f>
        <v/>
      </c>
      <c r="CZ78">
        <f>IFERROR(INDEX(PP_Grid[#Data],$DE78,101),0)</f>
        <v/>
      </c>
      <c r="DA78">
        <f>IFERROR(INDEX(PP_Grid[#Data],$DE78,102),0)</f>
        <v/>
      </c>
      <c r="DB78">
        <f>IFERROR(INDEX(PP_Grid[#Data],$DE78,103),0)</f>
        <v/>
      </c>
      <c r="DC78">
        <f>IFERROR(INDEX(PP_Grid[#Data],$DE78,104),0)</f>
        <v/>
      </c>
      <c r="DD78">
        <f>IFERROR(INDEX(PP_Grid[#Data],$DE78,105),0)</f>
        <v/>
      </c>
      <c r="DE78" s="7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SUMIFS(M_BOM[RM_Qty_Per_Batch],M_BOM[Intermediate],$B78,M_BOM[RM_Code],$A25)</f>
        <v/>
      </c>
      <c r="D79">
        <f>IFERROR(INDEX(E79:DD79,$F$1),"")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  <c r="DD79">
        <f>$C79*DD78</f>
        <v/>
      </c>
    </row>
    <row r="80">
      <c r="B80" t="inlineStr">
        <is>
          <t>VSP-605</t>
        </is>
      </c>
      <c r="C80" t="inlineStr">
        <is>
          <t>No. of batches</t>
        </is>
      </c>
      <c r="D80">
        <f>IFERROR(INDEX(E80:DD80,$F$1),"")</f>
        <v/>
      </c>
      <c r="E80">
        <f>IFERROR(INDEX(PP_Grid[#Data],$DE80,2),0)</f>
        <v/>
      </c>
      <c r="F80">
        <f>IFERROR(INDEX(PP_Grid[#Data],$DE80,3),0)</f>
        <v/>
      </c>
      <c r="G80">
        <f>IFERROR(INDEX(PP_Grid[#Data],$DE80,4),0)</f>
        <v/>
      </c>
      <c r="H80">
        <f>IFERROR(INDEX(PP_Grid[#Data],$DE80,5),0)</f>
        <v/>
      </c>
      <c r="I80">
        <f>IFERROR(INDEX(PP_Grid[#Data],$DE80,6),0)</f>
        <v/>
      </c>
      <c r="J80">
        <f>IFERROR(INDEX(PP_Grid[#Data],$DE80,7),0)</f>
        <v/>
      </c>
      <c r="K80">
        <f>IFERROR(INDEX(PP_Grid[#Data],$DE80,8),0)</f>
        <v/>
      </c>
      <c r="L80">
        <f>IFERROR(INDEX(PP_Grid[#Data],$DE80,9),0)</f>
        <v/>
      </c>
      <c r="M80">
        <f>IFERROR(INDEX(PP_Grid[#Data],$DE80,10),0)</f>
        <v/>
      </c>
      <c r="N80">
        <f>IFERROR(INDEX(PP_Grid[#Data],$DE80,11),0)</f>
        <v/>
      </c>
      <c r="O80">
        <f>IFERROR(INDEX(PP_Grid[#Data],$DE80,12),0)</f>
        <v/>
      </c>
      <c r="P80">
        <f>IFERROR(INDEX(PP_Grid[#Data],$DE80,13),0)</f>
        <v/>
      </c>
      <c r="Q80">
        <f>IFERROR(INDEX(PP_Grid[#Data],$DE80,14),0)</f>
        <v/>
      </c>
      <c r="R80">
        <f>IFERROR(INDEX(PP_Grid[#Data],$DE80,15),0)</f>
        <v/>
      </c>
      <c r="S80">
        <f>IFERROR(INDEX(PP_Grid[#Data],$DE80,16),0)</f>
        <v/>
      </c>
      <c r="T80">
        <f>IFERROR(INDEX(PP_Grid[#Data],$DE80,17),0)</f>
        <v/>
      </c>
      <c r="U80">
        <f>IFERROR(INDEX(PP_Grid[#Data],$DE80,18),0)</f>
        <v/>
      </c>
      <c r="V80">
        <f>IFERROR(INDEX(PP_Grid[#Data],$DE80,19),0)</f>
        <v/>
      </c>
      <c r="W80">
        <f>IFERROR(INDEX(PP_Grid[#Data],$DE80,20),0)</f>
        <v/>
      </c>
      <c r="X80">
        <f>IFERROR(INDEX(PP_Grid[#Data],$DE80,21),0)</f>
        <v/>
      </c>
      <c r="Y80">
        <f>IFERROR(INDEX(PP_Grid[#Data],$DE80,22),0)</f>
        <v/>
      </c>
      <c r="Z80">
        <f>IFERROR(INDEX(PP_Grid[#Data],$DE80,23),0)</f>
        <v/>
      </c>
      <c r="AA80">
        <f>IFERROR(INDEX(PP_Grid[#Data],$DE80,24),0)</f>
        <v/>
      </c>
      <c r="AB80">
        <f>IFERROR(INDEX(PP_Grid[#Data],$DE80,25),0)</f>
        <v/>
      </c>
      <c r="AC80">
        <f>IFERROR(INDEX(PP_Grid[#Data],$DE80,26),0)</f>
        <v/>
      </c>
      <c r="AD80">
        <f>IFERROR(INDEX(PP_Grid[#Data],$DE80,27),0)</f>
        <v/>
      </c>
      <c r="AE80">
        <f>IFERROR(INDEX(PP_Grid[#Data],$DE80,28),0)</f>
        <v/>
      </c>
      <c r="AF80">
        <f>IFERROR(INDEX(PP_Grid[#Data],$DE80,29),0)</f>
        <v/>
      </c>
      <c r="AG80">
        <f>IFERROR(INDEX(PP_Grid[#Data],$DE80,30),0)</f>
        <v/>
      </c>
      <c r="AH80">
        <f>IFERROR(INDEX(PP_Grid[#Data],$DE80,31),0)</f>
        <v/>
      </c>
      <c r="AI80">
        <f>IFERROR(INDEX(PP_Grid[#Data],$DE80,32),0)</f>
        <v/>
      </c>
      <c r="AJ80">
        <f>IFERROR(INDEX(PP_Grid[#Data],$DE80,33),0)</f>
        <v/>
      </c>
      <c r="AK80">
        <f>IFERROR(INDEX(PP_Grid[#Data],$DE80,34),0)</f>
        <v/>
      </c>
      <c r="AL80">
        <f>IFERROR(INDEX(PP_Grid[#Data],$DE80,35),0)</f>
        <v/>
      </c>
      <c r="AM80">
        <f>IFERROR(INDEX(PP_Grid[#Data],$DE80,36),0)</f>
        <v/>
      </c>
      <c r="AN80">
        <f>IFERROR(INDEX(PP_Grid[#Data],$DE80,37),0)</f>
        <v/>
      </c>
      <c r="AO80">
        <f>IFERROR(INDEX(PP_Grid[#Data],$DE80,38),0)</f>
        <v/>
      </c>
      <c r="AP80">
        <f>IFERROR(INDEX(PP_Grid[#Data],$DE80,39),0)</f>
        <v/>
      </c>
      <c r="AQ80">
        <f>IFERROR(INDEX(PP_Grid[#Data],$DE80,40),0)</f>
        <v/>
      </c>
      <c r="AR80">
        <f>IFERROR(INDEX(PP_Grid[#Data],$DE80,41),0)</f>
        <v/>
      </c>
      <c r="AS80">
        <f>IFERROR(INDEX(PP_Grid[#Data],$DE80,42),0)</f>
        <v/>
      </c>
      <c r="AT80">
        <f>IFERROR(INDEX(PP_Grid[#Data],$DE80,43),0)</f>
        <v/>
      </c>
      <c r="AU80">
        <f>IFERROR(INDEX(PP_Grid[#Data],$DE80,44),0)</f>
        <v/>
      </c>
      <c r="AV80">
        <f>IFERROR(INDEX(PP_Grid[#Data],$DE80,45),0)</f>
        <v/>
      </c>
      <c r="AW80">
        <f>IFERROR(INDEX(PP_Grid[#Data],$DE80,46),0)</f>
        <v/>
      </c>
      <c r="AX80">
        <f>IFERROR(INDEX(PP_Grid[#Data],$DE80,47),0)</f>
        <v/>
      </c>
      <c r="AY80">
        <f>IFERROR(INDEX(PP_Grid[#Data],$DE80,48),0)</f>
        <v/>
      </c>
      <c r="AZ80">
        <f>IFERROR(INDEX(PP_Grid[#Data],$DE80,49),0)</f>
        <v/>
      </c>
      <c r="BA80">
        <f>IFERROR(INDEX(PP_Grid[#Data],$DE80,50),0)</f>
        <v/>
      </c>
      <c r="BB80">
        <f>IFERROR(INDEX(PP_Grid[#Data],$DE80,51),0)</f>
        <v/>
      </c>
      <c r="BC80">
        <f>IFERROR(INDEX(PP_Grid[#Data],$DE80,52),0)</f>
        <v/>
      </c>
      <c r="BD80">
        <f>IFERROR(INDEX(PP_Grid[#Data],$DE80,53),0)</f>
        <v/>
      </c>
      <c r="BE80">
        <f>IFERROR(INDEX(PP_Grid[#Data],$DE80,54),0)</f>
        <v/>
      </c>
      <c r="BF80">
        <f>IFERROR(INDEX(PP_Grid[#Data],$DE80,55),0)</f>
        <v/>
      </c>
      <c r="BG80">
        <f>IFERROR(INDEX(PP_Grid[#Data],$DE80,56),0)</f>
        <v/>
      </c>
      <c r="BH80">
        <f>IFERROR(INDEX(PP_Grid[#Data],$DE80,57),0)</f>
        <v/>
      </c>
      <c r="BI80">
        <f>IFERROR(INDEX(PP_Grid[#Data],$DE80,58),0)</f>
        <v/>
      </c>
      <c r="BJ80">
        <f>IFERROR(INDEX(PP_Grid[#Data],$DE80,59),0)</f>
        <v/>
      </c>
      <c r="BK80">
        <f>IFERROR(INDEX(PP_Grid[#Data],$DE80,60),0)</f>
        <v/>
      </c>
      <c r="BL80">
        <f>IFERROR(INDEX(PP_Grid[#Data],$DE80,61),0)</f>
        <v/>
      </c>
      <c r="BM80">
        <f>IFERROR(INDEX(PP_Grid[#Data],$DE80,62),0)</f>
        <v/>
      </c>
      <c r="BN80">
        <f>IFERROR(INDEX(PP_Grid[#Data],$DE80,63),0)</f>
        <v/>
      </c>
      <c r="BO80">
        <f>IFERROR(INDEX(PP_Grid[#Data],$DE80,64),0)</f>
        <v/>
      </c>
      <c r="BP80">
        <f>IFERROR(INDEX(PP_Grid[#Data],$DE80,65),0)</f>
        <v/>
      </c>
      <c r="BQ80">
        <f>IFERROR(INDEX(PP_Grid[#Data],$DE80,66),0)</f>
        <v/>
      </c>
      <c r="BR80">
        <f>IFERROR(INDEX(PP_Grid[#Data],$DE80,67),0)</f>
        <v/>
      </c>
      <c r="BS80">
        <f>IFERROR(INDEX(PP_Grid[#Data],$DE80,68),0)</f>
        <v/>
      </c>
      <c r="BT80">
        <f>IFERROR(INDEX(PP_Grid[#Data],$DE80,69),0)</f>
        <v/>
      </c>
      <c r="BU80">
        <f>IFERROR(INDEX(PP_Grid[#Data],$DE80,70),0)</f>
        <v/>
      </c>
      <c r="BV80">
        <f>IFERROR(INDEX(PP_Grid[#Data],$DE80,71),0)</f>
        <v/>
      </c>
      <c r="BW80">
        <f>IFERROR(INDEX(PP_Grid[#Data],$DE80,72),0)</f>
        <v/>
      </c>
      <c r="BX80">
        <f>IFERROR(INDEX(PP_Grid[#Data],$DE80,73),0)</f>
        <v/>
      </c>
      <c r="BY80">
        <f>IFERROR(INDEX(PP_Grid[#Data],$DE80,74),0)</f>
        <v/>
      </c>
      <c r="BZ80">
        <f>IFERROR(INDEX(PP_Grid[#Data],$DE80,75),0)</f>
        <v/>
      </c>
      <c r="CA80">
        <f>IFERROR(INDEX(PP_Grid[#Data],$DE80,76),0)</f>
        <v/>
      </c>
      <c r="CB80">
        <f>IFERROR(INDEX(PP_Grid[#Data],$DE80,77),0)</f>
        <v/>
      </c>
      <c r="CC80">
        <f>IFERROR(INDEX(PP_Grid[#Data],$DE80,78),0)</f>
        <v/>
      </c>
      <c r="CD80">
        <f>IFERROR(INDEX(PP_Grid[#Data],$DE80,79),0)</f>
        <v/>
      </c>
      <c r="CE80">
        <f>IFERROR(INDEX(PP_Grid[#Data],$DE80,80),0)</f>
        <v/>
      </c>
      <c r="CF80">
        <f>IFERROR(INDEX(PP_Grid[#Data],$DE80,81),0)</f>
        <v/>
      </c>
      <c r="CG80">
        <f>IFERROR(INDEX(PP_Grid[#Data],$DE80,82),0)</f>
        <v/>
      </c>
      <c r="CH80">
        <f>IFERROR(INDEX(PP_Grid[#Data],$DE80,83),0)</f>
        <v/>
      </c>
      <c r="CI80">
        <f>IFERROR(INDEX(PP_Grid[#Data],$DE80,84),0)</f>
        <v/>
      </c>
      <c r="CJ80">
        <f>IFERROR(INDEX(PP_Grid[#Data],$DE80,85),0)</f>
        <v/>
      </c>
      <c r="CK80">
        <f>IFERROR(INDEX(PP_Grid[#Data],$DE80,86),0)</f>
        <v/>
      </c>
      <c r="CL80">
        <f>IFERROR(INDEX(PP_Grid[#Data],$DE80,87),0)</f>
        <v/>
      </c>
      <c r="CM80">
        <f>IFERROR(INDEX(PP_Grid[#Data],$DE80,88),0)</f>
        <v/>
      </c>
      <c r="CN80">
        <f>IFERROR(INDEX(PP_Grid[#Data],$DE80,89),0)</f>
        <v/>
      </c>
      <c r="CO80">
        <f>IFERROR(INDEX(PP_Grid[#Data],$DE80,90),0)</f>
        <v/>
      </c>
      <c r="CP80">
        <f>IFERROR(INDEX(PP_Grid[#Data],$DE80,91),0)</f>
        <v/>
      </c>
      <c r="CQ80">
        <f>IFERROR(INDEX(PP_Grid[#Data],$DE80,92),0)</f>
        <v/>
      </c>
      <c r="CR80">
        <f>IFERROR(INDEX(PP_Grid[#Data],$DE80,93),0)</f>
        <v/>
      </c>
      <c r="CS80">
        <f>IFERROR(INDEX(PP_Grid[#Data],$DE80,94),0)</f>
        <v/>
      </c>
      <c r="CT80">
        <f>IFERROR(INDEX(PP_Grid[#Data],$DE80,95),0)</f>
        <v/>
      </c>
      <c r="CU80">
        <f>IFERROR(INDEX(PP_Grid[#Data],$DE80,96),0)</f>
        <v/>
      </c>
      <c r="CV80">
        <f>IFERROR(INDEX(PP_Grid[#Data],$DE80,97),0)</f>
        <v/>
      </c>
      <c r="CW80">
        <f>IFERROR(INDEX(PP_Grid[#Data],$DE80,98),0)</f>
        <v/>
      </c>
      <c r="CX80">
        <f>IFERROR(INDEX(PP_Grid[#Data],$DE80,99),0)</f>
        <v/>
      </c>
      <c r="CY80">
        <f>IFERROR(INDEX(PP_Grid[#Data],$DE80,100),0)</f>
        <v/>
      </c>
      <c r="CZ80">
        <f>IFERROR(INDEX(PP_Grid[#Data],$DE80,101),0)</f>
        <v/>
      </c>
      <c r="DA80">
        <f>IFERROR(INDEX(PP_Grid[#Data],$DE80,102),0)</f>
        <v/>
      </c>
      <c r="DB80">
        <f>IFERROR(INDEX(PP_Grid[#Data],$DE80,103),0)</f>
        <v/>
      </c>
      <c r="DC80">
        <f>IFERROR(INDEX(PP_Grid[#Data],$DE80,104),0)</f>
        <v/>
      </c>
      <c r="DD80">
        <f>IFERROR(INDEX(PP_Grid[#Data],$DE80,105),0)</f>
        <v/>
      </c>
      <c r="DE80" s="7">
        <f>IFERROR(MATCH($B80,PP_Grid[Intermediate],0),99999)</f>
        <v/>
      </c>
    </row>
    <row r="81">
      <c r="B81" t="inlineStr">
        <is>
          <t>使用量(kg)</t>
        </is>
      </c>
      <c r="C81">
        <f>SUMIFS(M_BOM[RM_Qty_Per_Batch],M_BOM[Intermediate],$B80,M_BOM[RM_Code],$A25)</f>
        <v/>
      </c>
      <c r="D81">
        <f>IFERROR(INDEX(E81:DD81,$F$1),"")</f>
        <v/>
      </c>
      <c r="E81">
        <f>$C81*E80</f>
        <v/>
      </c>
      <c r="F81">
        <f>$C81*F80</f>
        <v/>
      </c>
      <c r="G81">
        <f>$C81*G80</f>
        <v/>
      </c>
      <c r="H81">
        <f>$C81*H80</f>
        <v/>
      </c>
      <c r="I81">
        <f>$C81*I80</f>
        <v/>
      </c>
      <c r="J81">
        <f>$C81*J80</f>
        <v/>
      </c>
      <c r="K81">
        <f>$C81*K80</f>
        <v/>
      </c>
      <c r="L81">
        <f>$C81*L80</f>
        <v/>
      </c>
      <c r="M81">
        <f>$C81*M80</f>
        <v/>
      </c>
      <c r="N81">
        <f>$C81*N80</f>
        <v/>
      </c>
      <c r="O81">
        <f>$C81*O80</f>
        <v/>
      </c>
      <c r="P81">
        <f>$C81*P80</f>
        <v/>
      </c>
      <c r="Q81">
        <f>$C81*Q80</f>
        <v/>
      </c>
      <c r="R81">
        <f>$C81*R80</f>
        <v/>
      </c>
      <c r="S81">
        <f>$C81*S80</f>
        <v/>
      </c>
      <c r="T81">
        <f>$C81*T80</f>
        <v/>
      </c>
      <c r="U81">
        <f>$C81*U80</f>
        <v/>
      </c>
      <c r="V81">
        <f>$C81*V80</f>
        <v/>
      </c>
      <c r="W81">
        <f>$C81*W80</f>
        <v/>
      </c>
      <c r="X81">
        <f>$C81*X80</f>
        <v/>
      </c>
      <c r="Y81">
        <f>$C81*Y80</f>
        <v/>
      </c>
      <c r="Z81">
        <f>$C81*Z80</f>
        <v/>
      </c>
      <c r="AA81">
        <f>$C81*AA80</f>
        <v/>
      </c>
      <c r="AB81">
        <f>$C81*AB80</f>
        <v/>
      </c>
      <c r="AC81">
        <f>$C81*AC80</f>
        <v/>
      </c>
      <c r="AD81">
        <f>$C81*AD80</f>
        <v/>
      </c>
      <c r="AE81">
        <f>$C81*AE80</f>
        <v/>
      </c>
      <c r="AF81">
        <f>$C81*AF80</f>
        <v/>
      </c>
      <c r="AG81">
        <f>$C81*AG80</f>
        <v/>
      </c>
      <c r="AH81">
        <f>$C81*AH80</f>
        <v/>
      </c>
      <c r="AI81">
        <f>$C81*AI80</f>
        <v/>
      </c>
      <c r="AJ81">
        <f>$C81*AJ80</f>
        <v/>
      </c>
      <c r="AK81">
        <f>$C81*AK80</f>
        <v/>
      </c>
      <c r="AL81">
        <f>$C81*AL80</f>
        <v/>
      </c>
      <c r="AM81">
        <f>$C81*AM80</f>
        <v/>
      </c>
      <c r="AN81">
        <f>$C81*AN80</f>
        <v/>
      </c>
      <c r="AO81">
        <f>$C81*AO80</f>
        <v/>
      </c>
      <c r="AP81">
        <f>$C81*AP80</f>
        <v/>
      </c>
      <c r="AQ81">
        <f>$C81*AQ80</f>
        <v/>
      </c>
      <c r="AR81">
        <f>$C81*AR80</f>
        <v/>
      </c>
      <c r="AS81">
        <f>$C81*AS80</f>
        <v/>
      </c>
      <c r="AT81">
        <f>$C81*AT80</f>
        <v/>
      </c>
      <c r="AU81">
        <f>$C81*AU80</f>
        <v/>
      </c>
      <c r="AV81">
        <f>$C81*AV80</f>
        <v/>
      </c>
      <c r="AW81">
        <f>$C81*AW80</f>
        <v/>
      </c>
      <c r="AX81">
        <f>$C81*AX80</f>
        <v/>
      </c>
      <c r="AY81">
        <f>$C81*AY80</f>
        <v/>
      </c>
      <c r="AZ81">
        <f>$C81*AZ80</f>
        <v/>
      </c>
      <c r="BA81">
        <f>$C81*BA80</f>
        <v/>
      </c>
      <c r="BB81">
        <f>$C81*BB80</f>
        <v/>
      </c>
      <c r="BC81">
        <f>$C81*BC80</f>
        <v/>
      </c>
      <c r="BD81">
        <f>$C81*BD80</f>
        <v/>
      </c>
      <c r="BE81">
        <f>$C81*BE80</f>
        <v/>
      </c>
      <c r="BF81">
        <f>$C81*BF80</f>
        <v/>
      </c>
      <c r="BG81">
        <f>$C81*BG80</f>
        <v/>
      </c>
      <c r="BH81">
        <f>$C81*BH80</f>
        <v/>
      </c>
      <c r="BI81">
        <f>$C81*BI80</f>
        <v/>
      </c>
      <c r="BJ81">
        <f>$C81*BJ80</f>
        <v/>
      </c>
      <c r="BK81">
        <f>$C81*BK80</f>
        <v/>
      </c>
      <c r="BL81">
        <f>$C81*BL80</f>
        <v/>
      </c>
      <c r="BM81">
        <f>$C81*BM80</f>
        <v/>
      </c>
      <c r="BN81">
        <f>$C81*BN80</f>
        <v/>
      </c>
      <c r="BO81">
        <f>$C81*BO80</f>
        <v/>
      </c>
      <c r="BP81">
        <f>$C81*BP80</f>
        <v/>
      </c>
      <c r="BQ81">
        <f>$C81*BQ80</f>
        <v/>
      </c>
      <c r="BR81">
        <f>$C81*BR80</f>
        <v/>
      </c>
      <c r="BS81">
        <f>$C81*BS80</f>
        <v/>
      </c>
      <c r="BT81">
        <f>$C81*BT80</f>
        <v/>
      </c>
      <c r="BU81">
        <f>$C81*BU80</f>
        <v/>
      </c>
      <c r="BV81">
        <f>$C81*BV80</f>
        <v/>
      </c>
      <c r="BW81">
        <f>$C81*BW80</f>
        <v/>
      </c>
      <c r="BX81">
        <f>$C81*BX80</f>
        <v/>
      </c>
      <c r="BY81">
        <f>$C81*BY80</f>
        <v/>
      </c>
      <c r="BZ81">
        <f>$C81*BZ80</f>
        <v/>
      </c>
      <c r="CA81">
        <f>$C81*CA80</f>
        <v/>
      </c>
      <c r="CB81">
        <f>$C81*CB80</f>
        <v/>
      </c>
      <c r="CC81">
        <f>$C81*CC80</f>
        <v/>
      </c>
      <c r="CD81">
        <f>$C81*CD80</f>
        <v/>
      </c>
      <c r="CE81">
        <f>$C81*CE80</f>
        <v/>
      </c>
      <c r="CF81">
        <f>$C81*CF80</f>
        <v/>
      </c>
      <c r="CG81">
        <f>$C81*CG80</f>
        <v/>
      </c>
      <c r="CH81">
        <f>$C81*CH80</f>
        <v/>
      </c>
      <c r="CI81">
        <f>$C81*CI80</f>
        <v/>
      </c>
      <c r="CJ81">
        <f>$C81*CJ80</f>
        <v/>
      </c>
      <c r="CK81">
        <f>$C81*CK80</f>
        <v/>
      </c>
      <c r="CL81">
        <f>$C81*CL80</f>
        <v/>
      </c>
      <c r="CM81">
        <f>$C81*CM80</f>
        <v/>
      </c>
      <c r="CN81">
        <f>$C81*CN80</f>
        <v/>
      </c>
      <c r="CO81">
        <f>$C81*CO80</f>
        <v/>
      </c>
      <c r="CP81">
        <f>$C81*CP80</f>
        <v/>
      </c>
      <c r="CQ81">
        <f>$C81*CQ80</f>
        <v/>
      </c>
      <c r="CR81">
        <f>$C81*CR80</f>
        <v/>
      </c>
      <c r="CS81">
        <f>$C81*CS80</f>
        <v/>
      </c>
      <c r="CT81">
        <f>$C81*CT80</f>
        <v/>
      </c>
      <c r="CU81">
        <f>$C81*CU80</f>
        <v/>
      </c>
      <c r="CV81">
        <f>$C81*CV80</f>
        <v/>
      </c>
      <c r="CW81">
        <f>$C81*CW80</f>
        <v/>
      </c>
      <c r="CX81">
        <f>$C81*CX80</f>
        <v/>
      </c>
      <c r="CY81">
        <f>$C81*CY80</f>
        <v/>
      </c>
      <c r="CZ81">
        <f>$C81*CZ80</f>
        <v/>
      </c>
      <c r="DA81">
        <f>$C81*DA80</f>
        <v/>
      </c>
      <c r="DB81">
        <f>$C81*DB80</f>
        <v/>
      </c>
      <c r="DC81">
        <f>$C81*DC80</f>
        <v/>
      </c>
      <c r="DD81">
        <f>$C81*DD80</f>
        <v/>
      </c>
    </row>
    <row r="82">
      <c r="B82" t="inlineStr">
        <is>
          <t>VSP-606</t>
        </is>
      </c>
      <c r="C82" t="inlineStr">
        <is>
          <t>No. of batches</t>
        </is>
      </c>
      <c r="D82">
        <f>IFERROR(INDEX(E82:DD82,$F$1),"")</f>
        <v/>
      </c>
      <c r="E82">
        <f>IFERROR(INDEX(PP_Grid[#Data],$DE82,2),0)</f>
        <v/>
      </c>
      <c r="F82">
        <f>IFERROR(INDEX(PP_Grid[#Data],$DE82,3),0)</f>
        <v/>
      </c>
      <c r="G82">
        <f>IFERROR(INDEX(PP_Grid[#Data],$DE82,4),0)</f>
        <v/>
      </c>
      <c r="H82">
        <f>IFERROR(INDEX(PP_Grid[#Data],$DE82,5),0)</f>
        <v/>
      </c>
      <c r="I82">
        <f>IFERROR(INDEX(PP_Grid[#Data],$DE82,6),0)</f>
        <v/>
      </c>
      <c r="J82">
        <f>IFERROR(INDEX(PP_Grid[#Data],$DE82,7),0)</f>
        <v/>
      </c>
      <c r="K82">
        <f>IFERROR(INDEX(PP_Grid[#Data],$DE82,8),0)</f>
        <v/>
      </c>
      <c r="L82">
        <f>IFERROR(INDEX(PP_Grid[#Data],$DE82,9),0)</f>
        <v/>
      </c>
      <c r="M82">
        <f>IFERROR(INDEX(PP_Grid[#Data],$DE82,10),0)</f>
        <v/>
      </c>
      <c r="N82">
        <f>IFERROR(INDEX(PP_Grid[#Data],$DE82,11),0)</f>
        <v/>
      </c>
      <c r="O82">
        <f>IFERROR(INDEX(PP_Grid[#Data],$DE82,12),0)</f>
        <v/>
      </c>
      <c r="P82">
        <f>IFERROR(INDEX(PP_Grid[#Data],$DE82,13),0)</f>
        <v/>
      </c>
      <c r="Q82">
        <f>IFERROR(INDEX(PP_Grid[#Data],$DE82,14),0)</f>
        <v/>
      </c>
      <c r="R82">
        <f>IFERROR(INDEX(PP_Grid[#Data],$DE82,15),0)</f>
        <v/>
      </c>
      <c r="S82">
        <f>IFERROR(INDEX(PP_Grid[#Data],$DE82,16),0)</f>
        <v/>
      </c>
      <c r="T82">
        <f>IFERROR(INDEX(PP_Grid[#Data],$DE82,17),0)</f>
        <v/>
      </c>
      <c r="U82">
        <f>IFERROR(INDEX(PP_Grid[#Data],$DE82,18),0)</f>
        <v/>
      </c>
      <c r="V82">
        <f>IFERROR(INDEX(PP_Grid[#Data],$DE82,19),0)</f>
        <v/>
      </c>
      <c r="W82">
        <f>IFERROR(INDEX(PP_Grid[#Data],$DE82,20),0)</f>
        <v/>
      </c>
      <c r="X82">
        <f>IFERROR(INDEX(PP_Grid[#Data],$DE82,21),0)</f>
        <v/>
      </c>
      <c r="Y82">
        <f>IFERROR(INDEX(PP_Grid[#Data],$DE82,22),0)</f>
        <v/>
      </c>
      <c r="Z82">
        <f>IFERROR(INDEX(PP_Grid[#Data],$DE82,23),0)</f>
        <v/>
      </c>
      <c r="AA82">
        <f>IFERROR(INDEX(PP_Grid[#Data],$DE82,24),0)</f>
        <v/>
      </c>
      <c r="AB82">
        <f>IFERROR(INDEX(PP_Grid[#Data],$DE82,25),0)</f>
        <v/>
      </c>
      <c r="AC82">
        <f>IFERROR(INDEX(PP_Grid[#Data],$DE82,26),0)</f>
        <v/>
      </c>
      <c r="AD82">
        <f>IFERROR(INDEX(PP_Grid[#Data],$DE82,27),0)</f>
        <v/>
      </c>
      <c r="AE82">
        <f>IFERROR(INDEX(PP_Grid[#Data],$DE82,28),0)</f>
        <v/>
      </c>
      <c r="AF82">
        <f>IFERROR(INDEX(PP_Grid[#Data],$DE82,29),0)</f>
        <v/>
      </c>
      <c r="AG82">
        <f>IFERROR(INDEX(PP_Grid[#Data],$DE82,30),0)</f>
        <v/>
      </c>
      <c r="AH82">
        <f>IFERROR(INDEX(PP_Grid[#Data],$DE82,31),0)</f>
        <v/>
      </c>
      <c r="AI82">
        <f>IFERROR(INDEX(PP_Grid[#Data],$DE82,32),0)</f>
        <v/>
      </c>
      <c r="AJ82">
        <f>IFERROR(INDEX(PP_Grid[#Data],$DE82,33),0)</f>
        <v/>
      </c>
      <c r="AK82">
        <f>IFERROR(INDEX(PP_Grid[#Data],$DE82,34),0)</f>
        <v/>
      </c>
      <c r="AL82">
        <f>IFERROR(INDEX(PP_Grid[#Data],$DE82,35),0)</f>
        <v/>
      </c>
      <c r="AM82">
        <f>IFERROR(INDEX(PP_Grid[#Data],$DE82,36),0)</f>
        <v/>
      </c>
      <c r="AN82">
        <f>IFERROR(INDEX(PP_Grid[#Data],$DE82,37),0)</f>
        <v/>
      </c>
      <c r="AO82">
        <f>IFERROR(INDEX(PP_Grid[#Data],$DE82,38),0)</f>
        <v/>
      </c>
      <c r="AP82">
        <f>IFERROR(INDEX(PP_Grid[#Data],$DE82,39),0)</f>
        <v/>
      </c>
      <c r="AQ82">
        <f>IFERROR(INDEX(PP_Grid[#Data],$DE82,40),0)</f>
        <v/>
      </c>
      <c r="AR82">
        <f>IFERROR(INDEX(PP_Grid[#Data],$DE82,41),0)</f>
        <v/>
      </c>
      <c r="AS82">
        <f>IFERROR(INDEX(PP_Grid[#Data],$DE82,42),0)</f>
        <v/>
      </c>
      <c r="AT82">
        <f>IFERROR(INDEX(PP_Grid[#Data],$DE82,43),0)</f>
        <v/>
      </c>
      <c r="AU82">
        <f>IFERROR(INDEX(PP_Grid[#Data],$DE82,44),0)</f>
        <v/>
      </c>
      <c r="AV82">
        <f>IFERROR(INDEX(PP_Grid[#Data],$DE82,45),0)</f>
        <v/>
      </c>
      <c r="AW82">
        <f>IFERROR(INDEX(PP_Grid[#Data],$DE82,46),0)</f>
        <v/>
      </c>
      <c r="AX82">
        <f>IFERROR(INDEX(PP_Grid[#Data],$DE82,47),0)</f>
        <v/>
      </c>
      <c r="AY82">
        <f>IFERROR(INDEX(PP_Grid[#Data],$DE82,48),0)</f>
        <v/>
      </c>
      <c r="AZ82">
        <f>IFERROR(INDEX(PP_Grid[#Data],$DE82,49),0)</f>
        <v/>
      </c>
      <c r="BA82">
        <f>IFERROR(INDEX(PP_Grid[#Data],$DE82,50),0)</f>
        <v/>
      </c>
      <c r="BB82">
        <f>IFERROR(INDEX(PP_Grid[#Data],$DE82,51),0)</f>
        <v/>
      </c>
      <c r="BC82">
        <f>IFERROR(INDEX(PP_Grid[#Data],$DE82,52),0)</f>
        <v/>
      </c>
      <c r="BD82">
        <f>IFERROR(INDEX(PP_Grid[#Data],$DE82,53),0)</f>
        <v/>
      </c>
      <c r="BE82">
        <f>IFERROR(INDEX(PP_Grid[#Data],$DE82,54),0)</f>
        <v/>
      </c>
      <c r="BF82">
        <f>IFERROR(INDEX(PP_Grid[#Data],$DE82,55),0)</f>
        <v/>
      </c>
      <c r="BG82">
        <f>IFERROR(INDEX(PP_Grid[#Data],$DE82,56),0)</f>
        <v/>
      </c>
      <c r="BH82">
        <f>IFERROR(INDEX(PP_Grid[#Data],$DE82,57),0)</f>
        <v/>
      </c>
      <c r="BI82">
        <f>IFERROR(INDEX(PP_Grid[#Data],$DE82,58),0)</f>
        <v/>
      </c>
      <c r="BJ82">
        <f>IFERROR(INDEX(PP_Grid[#Data],$DE82,59),0)</f>
        <v/>
      </c>
      <c r="BK82">
        <f>IFERROR(INDEX(PP_Grid[#Data],$DE82,60),0)</f>
        <v/>
      </c>
      <c r="BL82">
        <f>IFERROR(INDEX(PP_Grid[#Data],$DE82,61),0)</f>
        <v/>
      </c>
      <c r="BM82">
        <f>IFERROR(INDEX(PP_Grid[#Data],$DE82,62),0)</f>
        <v/>
      </c>
      <c r="BN82">
        <f>IFERROR(INDEX(PP_Grid[#Data],$DE82,63),0)</f>
        <v/>
      </c>
      <c r="BO82">
        <f>IFERROR(INDEX(PP_Grid[#Data],$DE82,64),0)</f>
        <v/>
      </c>
      <c r="BP82">
        <f>IFERROR(INDEX(PP_Grid[#Data],$DE82,65),0)</f>
        <v/>
      </c>
      <c r="BQ82">
        <f>IFERROR(INDEX(PP_Grid[#Data],$DE82,66),0)</f>
        <v/>
      </c>
      <c r="BR82">
        <f>IFERROR(INDEX(PP_Grid[#Data],$DE82,67),0)</f>
        <v/>
      </c>
      <c r="BS82">
        <f>IFERROR(INDEX(PP_Grid[#Data],$DE82,68),0)</f>
        <v/>
      </c>
      <c r="BT82">
        <f>IFERROR(INDEX(PP_Grid[#Data],$DE82,69),0)</f>
        <v/>
      </c>
      <c r="BU82">
        <f>IFERROR(INDEX(PP_Grid[#Data],$DE82,70),0)</f>
        <v/>
      </c>
      <c r="BV82">
        <f>IFERROR(INDEX(PP_Grid[#Data],$DE82,71),0)</f>
        <v/>
      </c>
      <c r="BW82">
        <f>IFERROR(INDEX(PP_Grid[#Data],$DE82,72),0)</f>
        <v/>
      </c>
      <c r="BX82">
        <f>IFERROR(INDEX(PP_Grid[#Data],$DE82,73),0)</f>
        <v/>
      </c>
      <c r="BY82">
        <f>IFERROR(INDEX(PP_Grid[#Data],$DE82,74),0)</f>
        <v/>
      </c>
      <c r="BZ82">
        <f>IFERROR(INDEX(PP_Grid[#Data],$DE82,75),0)</f>
        <v/>
      </c>
      <c r="CA82">
        <f>IFERROR(INDEX(PP_Grid[#Data],$DE82,76),0)</f>
        <v/>
      </c>
      <c r="CB82">
        <f>IFERROR(INDEX(PP_Grid[#Data],$DE82,77),0)</f>
        <v/>
      </c>
      <c r="CC82">
        <f>IFERROR(INDEX(PP_Grid[#Data],$DE82,78),0)</f>
        <v/>
      </c>
      <c r="CD82">
        <f>IFERROR(INDEX(PP_Grid[#Data],$DE82,79),0)</f>
        <v/>
      </c>
      <c r="CE82">
        <f>IFERROR(INDEX(PP_Grid[#Data],$DE82,80),0)</f>
        <v/>
      </c>
      <c r="CF82">
        <f>IFERROR(INDEX(PP_Grid[#Data],$DE82,81),0)</f>
        <v/>
      </c>
      <c r="CG82">
        <f>IFERROR(INDEX(PP_Grid[#Data],$DE82,82),0)</f>
        <v/>
      </c>
      <c r="CH82">
        <f>IFERROR(INDEX(PP_Grid[#Data],$DE82,83),0)</f>
        <v/>
      </c>
      <c r="CI82">
        <f>IFERROR(INDEX(PP_Grid[#Data],$DE82,84),0)</f>
        <v/>
      </c>
      <c r="CJ82">
        <f>IFERROR(INDEX(PP_Grid[#Data],$DE82,85),0)</f>
        <v/>
      </c>
      <c r="CK82">
        <f>IFERROR(INDEX(PP_Grid[#Data],$DE82,86),0)</f>
        <v/>
      </c>
      <c r="CL82">
        <f>IFERROR(INDEX(PP_Grid[#Data],$DE82,87),0)</f>
        <v/>
      </c>
      <c r="CM82">
        <f>IFERROR(INDEX(PP_Grid[#Data],$DE82,88),0)</f>
        <v/>
      </c>
      <c r="CN82">
        <f>IFERROR(INDEX(PP_Grid[#Data],$DE82,89),0)</f>
        <v/>
      </c>
      <c r="CO82">
        <f>IFERROR(INDEX(PP_Grid[#Data],$DE82,90),0)</f>
        <v/>
      </c>
      <c r="CP82">
        <f>IFERROR(INDEX(PP_Grid[#Data],$DE82,91),0)</f>
        <v/>
      </c>
      <c r="CQ82">
        <f>IFERROR(INDEX(PP_Grid[#Data],$DE82,92),0)</f>
        <v/>
      </c>
      <c r="CR82">
        <f>IFERROR(INDEX(PP_Grid[#Data],$DE82,93),0)</f>
        <v/>
      </c>
      <c r="CS82">
        <f>IFERROR(INDEX(PP_Grid[#Data],$DE82,94),0)</f>
        <v/>
      </c>
      <c r="CT82">
        <f>IFERROR(INDEX(PP_Grid[#Data],$DE82,95),0)</f>
        <v/>
      </c>
      <c r="CU82">
        <f>IFERROR(INDEX(PP_Grid[#Data],$DE82,96),0)</f>
        <v/>
      </c>
      <c r="CV82">
        <f>IFERROR(INDEX(PP_Grid[#Data],$DE82,97),0)</f>
        <v/>
      </c>
      <c r="CW82">
        <f>IFERROR(INDEX(PP_Grid[#Data],$DE82,98),0)</f>
        <v/>
      </c>
      <c r="CX82">
        <f>IFERROR(INDEX(PP_Grid[#Data],$DE82,99),0)</f>
        <v/>
      </c>
      <c r="CY82">
        <f>IFERROR(INDEX(PP_Grid[#Data],$DE82,100),0)</f>
        <v/>
      </c>
      <c r="CZ82">
        <f>IFERROR(INDEX(PP_Grid[#Data],$DE82,101),0)</f>
        <v/>
      </c>
      <c r="DA82">
        <f>IFERROR(INDEX(PP_Grid[#Data],$DE82,102),0)</f>
        <v/>
      </c>
      <c r="DB82">
        <f>IFERROR(INDEX(PP_Grid[#Data],$DE82,103),0)</f>
        <v/>
      </c>
      <c r="DC82">
        <f>IFERROR(INDEX(PP_Grid[#Data],$DE82,104),0)</f>
        <v/>
      </c>
      <c r="DD82">
        <f>IFERROR(INDEX(PP_Grid[#Data],$DE82,105),0)</f>
        <v/>
      </c>
      <c r="DE82" s="7">
        <f>IFERROR(MATCH($B82,PP_Grid[Intermediate],0),99999)</f>
        <v/>
      </c>
    </row>
    <row r="83">
      <c r="B83" t="inlineStr">
        <is>
          <t>使用量(kg)</t>
        </is>
      </c>
      <c r="C83">
        <f>SUMIFS(M_BOM[RM_Qty_Per_Batch],M_BOM[Intermediate],$B82,M_BOM[RM_Code],$A25)</f>
        <v/>
      </c>
      <c r="D83">
        <f>IFERROR(INDEX(E83:DD83,$F$1),"")</f>
        <v/>
      </c>
      <c r="E83">
        <f>$C83*E82</f>
        <v/>
      </c>
      <c r="F83">
        <f>$C83*F82</f>
        <v/>
      </c>
      <c r="G83">
        <f>$C83*G82</f>
        <v/>
      </c>
      <c r="H83">
        <f>$C83*H82</f>
        <v/>
      </c>
      <c r="I83">
        <f>$C83*I82</f>
        <v/>
      </c>
      <c r="J83">
        <f>$C83*J82</f>
        <v/>
      </c>
      <c r="K83">
        <f>$C83*K82</f>
        <v/>
      </c>
      <c r="L83">
        <f>$C83*L82</f>
        <v/>
      </c>
      <c r="M83">
        <f>$C83*M82</f>
        <v/>
      </c>
      <c r="N83">
        <f>$C83*N82</f>
        <v/>
      </c>
      <c r="O83">
        <f>$C83*O82</f>
        <v/>
      </c>
      <c r="P83">
        <f>$C83*P82</f>
        <v/>
      </c>
      <c r="Q83">
        <f>$C83*Q82</f>
        <v/>
      </c>
      <c r="R83">
        <f>$C83*R82</f>
        <v/>
      </c>
      <c r="S83">
        <f>$C83*S82</f>
        <v/>
      </c>
      <c r="T83">
        <f>$C83*T82</f>
        <v/>
      </c>
      <c r="U83">
        <f>$C83*U82</f>
        <v/>
      </c>
      <c r="V83">
        <f>$C83*V82</f>
        <v/>
      </c>
      <c r="W83">
        <f>$C83*W82</f>
        <v/>
      </c>
      <c r="X83">
        <f>$C83*X82</f>
        <v/>
      </c>
      <c r="Y83">
        <f>$C83*Y82</f>
        <v/>
      </c>
      <c r="Z83">
        <f>$C83*Z82</f>
        <v/>
      </c>
      <c r="AA83">
        <f>$C83*AA82</f>
        <v/>
      </c>
      <c r="AB83">
        <f>$C83*AB82</f>
        <v/>
      </c>
      <c r="AC83">
        <f>$C83*AC82</f>
        <v/>
      </c>
      <c r="AD83">
        <f>$C83*AD82</f>
        <v/>
      </c>
      <c r="AE83">
        <f>$C83*AE82</f>
        <v/>
      </c>
      <c r="AF83">
        <f>$C83*AF82</f>
        <v/>
      </c>
      <c r="AG83">
        <f>$C83*AG82</f>
        <v/>
      </c>
      <c r="AH83">
        <f>$C83*AH82</f>
        <v/>
      </c>
      <c r="AI83">
        <f>$C83*AI82</f>
        <v/>
      </c>
      <c r="AJ83">
        <f>$C83*AJ82</f>
        <v/>
      </c>
      <c r="AK83">
        <f>$C83*AK82</f>
        <v/>
      </c>
      <c r="AL83">
        <f>$C83*AL82</f>
        <v/>
      </c>
      <c r="AM83">
        <f>$C83*AM82</f>
        <v/>
      </c>
      <c r="AN83">
        <f>$C83*AN82</f>
        <v/>
      </c>
      <c r="AO83">
        <f>$C83*AO82</f>
        <v/>
      </c>
      <c r="AP83">
        <f>$C83*AP82</f>
        <v/>
      </c>
      <c r="AQ83">
        <f>$C83*AQ82</f>
        <v/>
      </c>
      <c r="AR83">
        <f>$C83*AR82</f>
        <v/>
      </c>
      <c r="AS83">
        <f>$C83*AS82</f>
        <v/>
      </c>
      <c r="AT83">
        <f>$C83*AT82</f>
        <v/>
      </c>
      <c r="AU83">
        <f>$C83*AU82</f>
        <v/>
      </c>
      <c r="AV83">
        <f>$C83*AV82</f>
        <v/>
      </c>
      <c r="AW83">
        <f>$C83*AW82</f>
        <v/>
      </c>
      <c r="AX83">
        <f>$C83*AX82</f>
        <v/>
      </c>
      <c r="AY83">
        <f>$C83*AY82</f>
        <v/>
      </c>
      <c r="AZ83">
        <f>$C83*AZ82</f>
        <v/>
      </c>
      <c r="BA83">
        <f>$C83*BA82</f>
        <v/>
      </c>
      <c r="BB83">
        <f>$C83*BB82</f>
        <v/>
      </c>
      <c r="BC83">
        <f>$C83*BC82</f>
        <v/>
      </c>
      <c r="BD83">
        <f>$C83*BD82</f>
        <v/>
      </c>
      <c r="BE83">
        <f>$C83*BE82</f>
        <v/>
      </c>
      <c r="BF83">
        <f>$C83*BF82</f>
        <v/>
      </c>
      <c r="BG83">
        <f>$C83*BG82</f>
        <v/>
      </c>
      <c r="BH83">
        <f>$C83*BH82</f>
        <v/>
      </c>
      <c r="BI83">
        <f>$C83*BI82</f>
        <v/>
      </c>
      <c r="BJ83">
        <f>$C83*BJ82</f>
        <v/>
      </c>
      <c r="BK83">
        <f>$C83*BK82</f>
        <v/>
      </c>
      <c r="BL83">
        <f>$C83*BL82</f>
        <v/>
      </c>
      <c r="BM83">
        <f>$C83*BM82</f>
        <v/>
      </c>
      <c r="BN83">
        <f>$C83*BN82</f>
        <v/>
      </c>
      <c r="BO83">
        <f>$C83*BO82</f>
        <v/>
      </c>
      <c r="BP83">
        <f>$C83*BP82</f>
        <v/>
      </c>
      <c r="BQ83">
        <f>$C83*BQ82</f>
        <v/>
      </c>
      <c r="BR83">
        <f>$C83*BR82</f>
        <v/>
      </c>
      <c r="BS83">
        <f>$C83*BS82</f>
        <v/>
      </c>
      <c r="BT83">
        <f>$C83*BT82</f>
        <v/>
      </c>
      <c r="BU83">
        <f>$C83*BU82</f>
        <v/>
      </c>
      <c r="BV83">
        <f>$C83*BV82</f>
        <v/>
      </c>
      <c r="BW83">
        <f>$C83*BW82</f>
        <v/>
      </c>
      <c r="BX83">
        <f>$C83*BX82</f>
        <v/>
      </c>
      <c r="BY83">
        <f>$C83*BY82</f>
        <v/>
      </c>
      <c r="BZ83">
        <f>$C83*BZ82</f>
        <v/>
      </c>
      <c r="CA83">
        <f>$C83*CA82</f>
        <v/>
      </c>
      <c r="CB83">
        <f>$C83*CB82</f>
        <v/>
      </c>
      <c r="CC83">
        <f>$C83*CC82</f>
        <v/>
      </c>
      <c r="CD83">
        <f>$C83*CD82</f>
        <v/>
      </c>
      <c r="CE83">
        <f>$C83*CE82</f>
        <v/>
      </c>
      <c r="CF83">
        <f>$C83*CF82</f>
        <v/>
      </c>
      <c r="CG83">
        <f>$C83*CG82</f>
        <v/>
      </c>
      <c r="CH83">
        <f>$C83*CH82</f>
        <v/>
      </c>
      <c r="CI83">
        <f>$C83*CI82</f>
        <v/>
      </c>
      <c r="CJ83">
        <f>$C83*CJ82</f>
        <v/>
      </c>
      <c r="CK83">
        <f>$C83*CK82</f>
        <v/>
      </c>
      <c r="CL83">
        <f>$C83*CL82</f>
        <v/>
      </c>
      <c r="CM83">
        <f>$C83*CM82</f>
        <v/>
      </c>
      <c r="CN83">
        <f>$C83*CN82</f>
        <v/>
      </c>
      <c r="CO83">
        <f>$C83*CO82</f>
        <v/>
      </c>
      <c r="CP83">
        <f>$C83*CP82</f>
        <v/>
      </c>
      <c r="CQ83">
        <f>$C83*CQ82</f>
        <v/>
      </c>
      <c r="CR83">
        <f>$C83*CR82</f>
        <v/>
      </c>
      <c r="CS83">
        <f>$C83*CS82</f>
        <v/>
      </c>
      <c r="CT83">
        <f>$C83*CT82</f>
        <v/>
      </c>
      <c r="CU83">
        <f>$C83*CU82</f>
        <v/>
      </c>
      <c r="CV83">
        <f>$C83*CV82</f>
        <v/>
      </c>
      <c r="CW83">
        <f>$C83*CW82</f>
        <v/>
      </c>
      <c r="CX83">
        <f>$C83*CX82</f>
        <v/>
      </c>
      <c r="CY83">
        <f>$C83*CY82</f>
        <v/>
      </c>
      <c r="CZ83">
        <f>$C83*CZ82</f>
        <v/>
      </c>
      <c r="DA83">
        <f>$C83*DA82</f>
        <v/>
      </c>
      <c r="DB83">
        <f>$C83*DB82</f>
        <v/>
      </c>
      <c r="DC83">
        <f>$C83*DC82</f>
        <v/>
      </c>
      <c r="DD83">
        <f>$C83*DD82</f>
        <v/>
      </c>
    </row>
    <row r="84">
      <c r="B84" t="inlineStr">
        <is>
          <t>VSP-607</t>
        </is>
      </c>
      <c r="C84" t="inlineStr">
        <is>
          <t>No. of batches</t>
        </is>
      </c>
      <c r="D84">
        <f>IFERROR(INDEX(E84:DD84,$F$1),"")</f>
        <v/>
      </c>
      <c r="E84">
        <f>IFERROR(INDEX(PP_Grid[#Data],$DE84,2),0)</f>
        <v/>
      </c>
      <c r="F84">
        <f>IFERROR(INDEX(PP_Grid[#Data],$DE84,3),0)</f>
        <v/>
      </c>
      <c r="G84">
        <f>IFERROR(INDEX(PP_Grid[#Data],$DE84,4),0)</f>
        <v/>
      </c>
      <c r="H84">
        <f>IFERROR(INDEX(PP_Grid[#Data],$DE84,5),0)</f>
        <v/>
      </c>
      <c r="I84">
        <f>IFERROR(INDEX(PP_Grid[#Data],$DE84,6),0)</f>
        <v/>
      </c>
      <c r="J84">
        <f>IFERROR(INDEX(PP_Grid[#Data],$DE84,7),0)</f>
        <v/>
      </c>
      <c r="K84">
        <f>IFERROR(INDEX(PP_Grid[#Data],$DE84,8),0)</f>
        <v/>
      </c>
      <c r="L84">
        <f>IFERROR(INDEX(PP_Grid[#Data],$DE84,9),0)</f>
        <v/>
      </c>
      <c r="M84">
        <f>IFERROR(INDEX(PP_Grid[#Data],$DE84,10),0)</f>
        <v/>
      </c>
      <c r="N84">
        <f>IFERROR(INDEX(PP_Grid[#Data],$DE84,11),0)</f>
        <v/>
      </c>
      <c r="O84">
        <f>IFERROR(INDEX(PP_Grid[#Data],$DE84,12),0)</f>
        <v/>
      </c>
      <c r="P84">
        <f>IFERROR(INDEX(PP_Grid[#Data],$DE84,13),0)</f>
        <v/>
      </c>
      <c r="Q84">
        <f>IFERROR(INDEX(PP_Grid[#Data],$DE84,14),0)</f>
        <v/>
      </c>
      <c r="R84">
        <f>IFERROR(INDEX(PP_Grid[#Data],$DE84,15),0)</f>
        <v/>
      </c>
      <c r="S84">
        <f>IFERROR(INDEX(PP_Grid[#Data],$DE84,16),0)</f>
        <v/>
      </c>
      <c r="T84">
        <f>IFERROR(INDEX(PP_Grid[#Data],$DE84,17),0)</f>
        <v/>
      </c>
      <c r="U84">
        <f>IFERROR(INDEX(PP_Grid[#Data],$DE84,18),0)</f>
        <v/>
      </c>
      <c r="V84">
        <f>IFERROR(INDEX(PP_Grid[#Data],$DE84,19),0)</f>
        <v/>
      </c>
      <c r="W84">
        <f>IFERROR(INDEX(PP_Grid[#Data],$DE84,20),0)</f>
        <v/>
      </c>
      <c r="X84">
        <f>IFERROR(INDEX(PP_Grid[#Data],$DE84,21),0)</f>
        <v/>
      </c>
      <c r="Y84">
        <f>IFERROR(INDEX(PP_Grid[#Data],$DE84,22),0)</f>
        <v/>
      </c>
      <c r="Z84">
        <f>IFERROR(INDEX(PP_Grid[#Data],$DE84,23),0)</f>
        <v/>
      </c>
      <c r="AA84">
        <f>IFERROR(INDEX(PP_Grid[#Data],$DE84,24),0)</f>
        <v/>
      </c>
      <c r="AB84">
        <f>IFERROR(INDEX(PP_Grid[#Data],$DE84,25),0)</f>
        <v/>
      </c>
      <c r="AC84">
        <f>IFERROR(INDEX(PP_Grid[#Data],$DE84,26),0)</f>
        <v/>
      </c>
      <c r="AD84">
        <f>IFERROR(INDEX(PP_Grid[#Data],$DE84,27),0)</f>
        <v/>
      </c>
      <c r="AE84">
        <f>IFERROR(INDEX(PP_Grid[#Data],$DE84,28),0)</f>
        <v/>
      </c>
      <c r="AF84">
        <f>IFERROR(INDEX(PP_Grid[#Data],$DE84,29),0)</f>
        <v/>
      </c>
      <c r="AG84">
        <f>IFERROR(INDEX(PP_Grid[#Data],$DE84,30),0)</f>
        <v/>
      </c>
      <c r="AH84">
        <f>IFERROR(INDEX(PP_Grid[#Data],$DE84,31),0)</f>
        <v/>
      </c>
      <c r="AI84">
        <f>IFERROR(INDEX(PP_Grid[#Data],$DE84,32),0)</f>
        <v/>
      </c>
      <c r="AJ84">
        <f>IFERROR(INDEX(PP_Grid[#Data],$DE84,33),0)</f>
        <v/>
      </c>
      <c r="AK84">
        <f>IFERROR(INDEX(PP_Grid[#Data],$DE84,34),0)</f>
        <v/>
      </c>
      <c r="AL84">
        <f>IFERROR(INDEX(PP_Grid[#Data],$DE84,35),0)</f>
        <v/>
      </c>
      <c r="AM84">
        <f>IFERROR(INDEX(PP_Grid[#Data],$DE84,36),0)</f>
        <v/>
      </c>
      <c r="AN84">
        <f>IFERROR(INDEX(PP_Grid[#Data],$DE84,37),0)</f>
        <v/>
      </c>
      <c r="AO84">
        <f>IFERROR(INDEX(PP_Grid[#Data],$DE84,38),0)</f>
        <v/>
      </c>
      <c r="AP84">
        <f>IFERROR(INDEX(PP_Grid[#Data],$DE84,39),0)</f>
        <v/>
      </c>
      <c r="AQ84">
        <f>IFERROR(INDEX(PP_Grid[#Data],$DE84,40),0)</f>
        <v/>
      </c>
      <c r="AR84">
        <f>IFERROR(INDEX(PP_Grid[#Data],$DE84,41),0)</f>
        <v/>
      </c>
      <c r="AS84">
        <f>IFERROR(INDEX(PP_Grid[#Data],$DE84,42),0)</f>
        <v/>
      </c>
      <c r="AT84">
        <f>IFERROR(INDEX(PP_Grid[#Data],$DE84,43),0)</f>
        <v/>
      </c>
      <c r="AU84">
        <f>IFERROR(INDEX(PP_Grid[#Data],$DE84,44),0)</f>
        <v/>
      </c>
      <c r="AV84">
        <f>IFERROR(INDEX(PP_Grid[#Data],$DE84,45),0)</f>
        <v/>
      </c>
      <c r="AW84">
        <f>IFERROR(INDEX(PP_Grid[#Data],$DE84,46),0)</f>
        <v/>
      </c>
      <c r="AX84">
        <f>IFERROR(INDEX(PP_Grid[#Data],$DE84,47),0)</f>
        <v/>
      </c>
      <c r="AY84">
        <f>IFERROR(INDEX(PP_Grid[#Data],$DE84,48),0)</f>
        <v/>
      </c>
      <c r="AZ84">
        <f>IFERROR(INDEX(PP_Grid[#Data],$DE84,49),0)</f>
        <v/>
      </c>
      <c r="BA84">
        <f>IFERROR(INDEX(PP_Grid[#Data],$DE84,50),0)</f>
        <v/>
      </c>
      <c r="BB84">
        <f>IFERROR(INDEX(PP_Grid[#Data],$DE84,51),0)</f>
        <v/>
      </c>
      <c r="BC84">
        <f>IFERROR(INDEX(PP_Grid[#Data],$DE84,52),0)</f>
        <v/>
      </c>
      <c r="BD84">
        <f>IFERROR(INDEX(PP_Grid[#Data],$DE84,53),0)</f>
        <v/>
      </c>
      <c r="BE84">
        <f>IFERROR(INDEX(PP_Grid[#Data],$DE84,54),0)</f>
        <v/>
      </c>
      <c r="BF84">
        <f>IFERROR(INDEX(PP_Grid[#Data],$DE84,55),0)</f>
        <v/>
      </c>
      <c r="BG84">
        <f>IFERROR(INDEX(PP_Grid[#Data],$DE84,56),0)</f>
        <v/>
      </c>
      <c r="BH84">
        <f>IFERROR(INDEX(PP_Grid[#Data],$DE84,57),0)</f>
        <v/>
      </c>
      <c r="BI84">
        <f>IFERROR(INDEX(PP_Grid[#Data],$DE84,58),0)</f>
        <v/>
      </c>
      <c r="BJ84">
        <f>IFERROR(INDEX(PP_Grid[#Data],$DE84,59),0)</f>
        <v/>
      </c>
      <c r="BK84">
        <f>IFERROR(INDEX(PP_Grid[#Data],$DE84,60),0)</f>
        <v/>
      </c>
      <c r="BL84">
        <f>IFERROR(INDEX(PP_Grid[#Data],$DE84,61),0)</f>
        <v/>
      </c>
      <c r="BM84">
        <f>IFERROR(INDEX(PP_Grid[#Data],$DE84,62),0)</f>
        <v/>
      </c>
      <c r="BN84">
        <f>IFERROR(INDEX(PP_Grid[#Data],$DE84,63),0)</f>
        <v/>
      </c>
      <c r="BO84">
        <f>IFERROR(INDEX(PP_Grid[#Data],$DE84,64),0)</f>
        <v/>
      </c>
      <c r="BP84">
        <f>IFERROR(INDEX(PP_Grid[#Data],$DE84,65),0)</f>
        <v/>
      </c>
      <c r="BQ84">
        <f>IFERROR(INDEX(PP_Grid[#Data],$DE84,66),0)</f>
        <v/>
      </c>
      <c r="BR84">
        <f>IFERROR(INDEX(PP_Grid[#Data],$DE84,67),0)</f>
        <v/>
      </c>
      <c r="BS84">
        <f>IFERROR(INDEX(PP_Grid[#Data],$DE84,68),0)</f>
        <v/>
      </c>
      <c r="BT84">
        <f>IFERROR(INDEX(PP_Grid[#Data],$DE84,69),0)</f>
        <v/>
      </c>
      <c r="BU84">
        <f>IFERROR(INDEX(PP_Grid[#Data],$DE84,70),0)</f>
        <v/>
      </c>
      <c r="BV84">
        <f>IFERROR(INDEX(PP_Grid[#Data],$DE84,71),0)</f>
        <v/>
      </c>
      <c r="BW84">
        <f>IFERROR(INDEX(PP_Grid[#Data],$DE84,72),0)</f>
        <v/>
      </c>
      <c r="BX84">
        <f>IFERROR(INDEX(PP_Grid[#Data],$DE84,73),0)</f>
        <v/>
      </c>
      <c r="BY84">
        <f>IFERROR(INDEX(PP_Grid[#Data],$DE84,74),0)</f>
        <v/>
      </c>
      <c r="BZ84">
        <f>IFERROR(INDEX(PP_Grid[#Data],$DE84,75),0)</f>
        <v/>
      </c>
      <c r="CA84">
        <f>IFERROR(INDEX(PP_Grid[#Data],$DE84,76),0)</f>
        <v/>
      </c>
      <c r="CB84">
        <f>IFERROR(INDEX(PP_Grid[#Data],$DE84,77),0)</f>
        <v/>
      </c>
      <c r="CC84">
        <f>IFERROR(INDEX(PP_Grid[#Data],$DE84,78),0)</f>
        <v/>
      </c>
      <c r="CD84">
        <f>IFERROR(INDEX(PP_Grid[#Data],$DE84,79),0)</f>
        <v/>
      </c>
      <c r="CE84">
        <f>IFERROR(INDEX(PP_Grid[#Data],$DE84,80),0)</f>
        <v/>
      </c>
      <c r="CF84">
        <f>IFERROR(INDEX(PP_Grid[#Data],$DE84,81),0)</f>
        <v/>
      </c>
      <c r="CG84">
        <f>IFERROR(INDEX(PP_Grid[#Data],$DE84,82),0)</f>
        <v/>
      </c>
      <c r="CH84">
        <f>IFERROR(INDEX(PP_Grid[#Data],$DE84,83),0)</f>
        <v/>
      </c>
      <c r="CI84">
        <f>IFERROR(INDEX(PP_Grid[#Data],$DE84,84),0)</f>
        <v/>
      </c>
      <c r="CJ84">
        <f>IFERROR(INDEX(PP_Grid[#Data],$DE84,85),0)</f>
        <v/>
      </c>
      <c r="CK84">
        <f>IFERROR(INDEX(PP_Grid[#Data],$DE84,86),0)</f>
        <v/>
      </c>
      <c r="CL84">
        <f>IFERROR(INDEX(PP_Grid[#Data],$DE84,87),0)</f>
        <v/>
      </c>
      <c r="CM84">
        <f>IFERROR(INDEX(PP_Grid[#Data],$DE84,88),0)</f>
        <v/>
      </c>
      <c r="CN84">
        <f>IFERROR(INDEX(PP_Grid[#Data],$DE84,89),0)</f>
        <v/>
      </c>
      <c r="CO84">
        <f>IFERROR(INDEX(PP_Grid[#Data],$DE84,90),0)</f>
        <v/>
      </c>
      <c r="CP84">
        <f>IFERROR(INDEX(PP_Grid[#Data],$DE84,91),0)</f>
        <v/>
      </c>
      <c r="CQ84">
        <f>IFERROR(INDEX(PP_Grid[#Data],$DE84,92),0)</f>
        <v/>
      </c>
      <c r="CR84">
        <f>IFERROR(INDEX(PP_Grid[#Data],$DE84,93),0)</f>
        <v/>
      </c>
      <c r="CS84">
        <f>IFERROR(INDEX(PP_Grid[#Data],$DE84,94),0)</f>
        <v/>
      </c>
      <c r="CT84">
        <f>IFERROR(INDEX(PP_Grid[#Data],$DE84,95),0)</f>
        <v/>
      </c>
      <c r="CU84">
        <f>IFERROR(INDEX(PP_Grid[#Data],$DE84,96),0)</f>
        <v/>
      </c>
      <c r="CV84">
        <f>IFERROR(INDEX(PP_Grid[#Data],$DE84,97),0)</f>
        <v/>
      </c>
      <c r="CW84">
        <f>IFERROR(INDEX(PP_Grid[#Data],$DE84,98),0)</f>
        <v/>
      </c>
      <c r="CX84">
        <f>IFERROR(INDEX(PP_Grid[#Data],$DE84,99),0)</f>
        <v/>
      </c>
      <c r="CY84">
        <f>IFERROR(INDEX(PP_Grid[#Data],$DE84,100),0)</f>
        <v/>
      </c>
      <c r="CZ84">
        <f>IFERROR(INDEX(PP_Grid[#Data],$DE84,101),0)</f>
        <v/>
      </c>
      <c r="DA84">
        <f>IFERROR(INDEX(PP_Grid[#Data],$DE84,102),0)</f>
        <v/>
      </c>
      <c r="DB84">
        <f>IFERROR(INDEX(PP_Grid[#Data],$DE84,103),0)</f>
        <v/>
      </c>
      <c r="DC84">
        <f>IFERROR(INDEX(PP_Grid[#Data],$DE84,104),0)</f>
        <v/>
      </c>
      <c r="DD84">
        <f>IFERROR(INDEX(PP_Grid[#Data],$DE84,105),0)</f>
        <v/>
      </c>
      <c r="DE84" s="7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SUMIFS(M_BOM[RM_Qty_Per_Batch],M_BOM[Intermediate],$B84,M_BOM[RM_Code],$A25)</f>
        <v/>
      </c>
      <c r="D85">
        <f>IFERROR(INDEX(E85:DD85,$F$1),"")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  <c r="DD85">
        <f>$C85*DD84</f>
        <v/>
      </c>
    </row>
    <row r="86">
      <c r="B86" t="inlineStr">
        <is>
          <t>VSP-738</t>
        </is>
      </c>
      <c r="C86" t="inlineStr">
        <is>
          <t>No. of batches</t>
        </is>
      </c>
      <c r="D86">
        <f>IFERROR(INDEX(E86:DD86,$F$1),"")</f>
        <v/>
      </c>
      <c r="E86">
        <f>IFERROR(INDEX(PP_Grid[#Data],$DE86,2),0)</f>
        <v/>
      </c>
      <c r="F86">
        <f>IFERROR(INDEX(PP_Grid[#Data],$DE86,3),0)</f>
        <v/>
      </c>
      <c r="G86">
        <f>IFERROR(INDEX(PP_Grid[#Data],$DE86,4),0)</f>
        <v/>
      </c>
      <c r="H86">
        <f>IFERROR(INDEX(PP_Grid[#Data],$DE86,5),0)</f>
        <v/>
      </c>
      <c r="I86">
        <f>IFERROR(INDEX(PP_Grid[#Data],$DE86,6),0)</f>
        <v/>
      </c>
      <c r="J86">
        <f>IFERROR(INDEX(PP_Grid[#Data],$DE86,7),0)</f>
        <v/>
      </c>
      <c r="K86">
        <f>IFERROR(INDEX(PP_Grid[#Data],$DE86,8),0)</f>
        <v/>
      </c>
      <c r="L86">
        <f>IFERROR(INDEX(PP_Grid[#Data],$DE86,9),0)</f>
        <v/>
      </c>
      <c r="M86">
        <f>IFERROR(INDEX(PP_Grid[#Data],$DE86,10),0)</f>
        <v/>
      </c>
      <c r="N86">
        <f>IFERROR(INDEX(PP_Grid[#Data],$DE86,11),0)</f>
        <v/>
      </c>
      <c r="O86">
        <f>IFERROR(INDEX(PP_Grid[#Data],$DE86,12),0)</f>
        <v/>
      </c>
      <c r="P86">
        <f>IFERROR(INDEX(PP_Grid[#Data],$DE86,13),0)</f>
        <v/>
      </c>
      <c r="Q86">
        <f>IFERROR(INDEX(PP_Grid[#Data],$DE86,14),0)</f>
        <v/>
      </c>
      <c r="R86">
        <f>IFERROR(INDEX(PP_Grid[#Data],$DE86,15),0)</f>
        <v/>
      </c>
      <c r="S86">
        <f>IFERROR(INDEX(PP_Grid[#Data],$DE86,16),0)</f>
        <v/>
      </c>
      <c r="T86">
        <f>IFERROR(INDEX(PP_Grid[#Data],$DE86,17),0)</f>
        <v/>
      </c>
      <c r="U86">
        <f>IFERROR(INDEX(PP_Grid[#Data],$DE86,18),0)</f>
        <v/>
      </c>
      <c r="V86">
        <f>IFERROR(INDEX(PP_Grid[#Data],$DE86,19),0)</f>
        <v/>
      </c>
      <c r="W86">
        <f>IFERROR(INDEX(PP_Grid[#Data],$DE86,20),0)</f>
        <v/>
      </c>
      <c r="X86">
        <f>IFERROR(INDEX(PP_Grid[#Data],$DE86,21),0)</f>
        <v/>
      </c>
      <c r="Y86">
        <f>IFERROR(INDEX(PP_Grid[#Data],$DE86,22),0)</f>
        <v/>
      </c>
      <c r="Z86">
        <f>IFERROR(INDEX(PP_Grid[#Data],$DE86,23),0)</f>
        <v/>
      </c>
      <c r="AA86">
        <f>IFERROR(INDEX(PP_Grid[#Data],$DE86,24),0)</f>
        <v/>
      </c>
      <c r="AB86">
        <f>IFERROR(INDEX(PP_Grid[#Data],$DE86,25),0)</f>
        <v/>
      </c>
      <c r="AC86">
        <f>IFERROR(INDEX(PP_Grid[#Data],$DE86,26),0)</f>
        <v/>
      </c>
      <c r="AD86">
        <f>IFERROR(INDEX(PP_Grid[#Data],$DE86,27),0)</f>
        <v/>
      </c>
      <c r="AE86">
        <f>IFERROR(INDEX(PP_Grid[#Data],$DE86,28),0)</f>
        <v/>
      </c>
      <c r="AF86">
        <f>IFERROR(INDEX(PP_Grid[#Data],$DE86,29),0)</f>
        <v/>
      </c>
      <c r="AG86">
        <f>IFERROR(INDEX(PP_Grid[#Data],$DE86,30),0)</f>
        <v/>
      </c>
      <c r="AH86">
        <f>IFERROR(INDEX(PP_Grid[#Data],$DE86,31),0)</f>
        <v/>
      </c>
      <c r="AI86">
        <f>IFERROR(INDEX(PP_Grid[#Data],$DE86,32),0)</f>
        <v/>
      </c>
      <c r="AJ86">
        <f>IFERROR(INDEX(PP_Grid[#Data],$DE86,33),0)</f>
        <v/>
      </c>
      <c r="AK86">
        <f>IFERROR(INDEX(PP_Grid[#Data],$DE86,34),0)</f>
        <v/>
      </c>
      <c r="AL86">
        <f>IFERROR(INDEX(PP_Grid[#Data],$DE86,35),0)</f>
        <v/>
      </c>
      <c r="AM86">
        <f>IFERROR(INDEX(PP_Grid[#Data],$DE86,36),0)</f>
        <v/>
      </c>
      <c r="AN86">
        <f>IFERROR(INDEX(PP_Grid[#Data],$DE86,37),0)</f>
        <v/>
      </c>
      <c r="AO86">
        <f>IFERROR(INDEX(PP_Grid[#Data],$DE86,38),0)</f>
        <v/>
      </c>
      <c r="AP86">
        <f>IFERROR(INDEX(PP_Grid[#Data],$DE86,39),0)</f>
        <v/>
      </c>
      <c r="AQ86">
        <f>IFERROR(INDEX(PP_Grid[#Data],$DE86,40),0)</f>
        <v/>
      </c>
      <c r="AR86">
        <f>IFERROR(INDEX(PP_Grid[#Data],$DE86,41),0)</f>
        <v/>
      </c>
      <c r="AS86">
        <f>IFERROR(INDEX(PP_Grid[#Data],$DE86,42),0)</f>
        <v/>
      </c>
      <c r="AT86">
        <f>IFERROR(INDEX(PP_Grid[#Data],$DE86,43),0)</f>
        <v/>
      </c>
      <c r="AU86">
        <f>IFERROR(INDEX(PP_Grid[#Data],$DE86,44),0)</f>
        <v/>
      </c>
      <c r="AV86">
        <f>IFERROR(INDEX(PP_Grid[#Data],$DE86,45),0)</f>
        <v/>
      </c>
      <c r="AW86">
        <f>IFERROR(INDEX(PP_Grid[#Data],$DE86,46),0)</f>
        <v/>
      </c>
      <c r="AX86">
        <f>IFERROR(INDEX(PP_Grid[#Data],$DE86,47),0)</f>
        <v/>
      </c>
      <c r="AY86">
        <f>IFERROR(INDEX(PP_Grid[#Data],$DE86,48),0)</f>
        <v/>
      </c>
      <c r="AZ86">
        <f>IFERROR(INDEX(PP_Grid[#Data],$DE86,49),0)</f>
        <v/>
      </c>
      <c r="BA86">
        <f>IFERROR(INDEX(PP_Grid[#Data],$DE86,50),0)</f>
        <v/>
      </c>
      <c r="BB86">
        <f>IFERROR(INDEX(PP_Grid[#Data],$DE86,51),0)</f>
        <v/>
      </c>
      <c r="BC86">
        <f>IFERROR(INDEX(PP_Grid[#Data],$DE86,52),0)</f>
        <v/>
      </c>
      <c r="BD86">
        <f>IFERROR(INDEX(PP_Grid[#Data],$DE86,53),0)</f>
        <v/>
      </c>
      <c r="BE86">
        <f>IFERROR(INDEX(PP_Grid[#Data],$DE86,54),0)</f>
        <v/>
      </c>
      <c r="BF86">
        <f>IFERROR(INDEX(PP_Grid[#Data],$DE86,55),0)</f>
        <v/>
      </c>
      <c r="BG86">
        <f>IFERROR(INDEX(PP_Grid[#Data],$DE86,56),0)</f>
        <v/>
      </c>
      <c r="BH86">
        <f>IFERROR(INDEX(PP_Grid[#Data],$DE86,57),0)</f>
        <v/>
      </c>
      <c r="BI86">
        <f>IFERROR(INDEX(PP_Grid[#Data],$DE86,58),0)</f>
        <v/>
      </c>
      <c r="BJ86">
        <f>IFERROR(INDEX(PP_Grid[#Data],$DE86,59),0)</f>
        <v/>
      </c>
      <c r="BK86">
        <f>IFERROR(INDEX(PP_Grid[#Data],$DE86,60),0)</f>
        <v/>
      </c>
      <c r="BL86">
        <f>IFERROR(INDEX(PP_Grid[#Data],$DE86,61),0)</f>
        <v/>
      </c>
      <c r="BM86">
        <f>IFERROR(INDEX(PP_Grid[#Data],$DE86,62),0)</f>
        <v/>
      </c>
      <c r="BN86">
        <f>IFERROR(INDEX(PP_Grid[#Data],$DE86,63),0)</f>
        <v/>
      </c>
      <c r="BO86">
        <f>IFERROR(INDEX(PP_Grid[#Data],$DE86,64),0)</f>
        <v/>
      </c>
      <c r="BP86">
        <f>IFERROR(INDEX(PP_Grid[#Data],$DE86,65),0)</f>
        <v/>
      </c>
      <c r="BQ86">
        <f>IFERROR(INDEX(PP_Grid[#Data],$DE86,66),0)</f>
        <v/>
      </c>
      <c r="BR86">
        <f>IFERROR(INDEX(PP_Grid[#Data],$DE86,67),0)</f>
        <v/>
      </c>
      <c r="BS86">
        <f>IFERROR(INDEX(PP_Grid[#Data],$DE86,68),0)</f>
        <v/>
      </c>
      <c r="BT86">
        <f>IFERROR(INDEX(PP_Grid[#Data],$DE86,69),0)</f>
        <v/>
      </c>
      <c r="BU86">
        <f>IFERROR(INDEX(PP_Grid[#Data],$DE86,70),0)</f>
        <v/>
      </c>
      <c r="BV86">
        <f>IFERROR(INDEX(PP_Grid[#Data],$DE86,71),0)</f>
        <v/>
      </c>
      <c r="BW86">
        <f>IFERROR(INDEX(PP_Grid[#Data],$DE86,72),0)</f>
        <v/>
      </c>
      <c r="BX86">
        <f>IFERROR(INDEX(PP_Grid[#Data],$DE86,73),0)</f>
        <v/>
      </c>
      <c r="BY86">
        <f>IFERROR(INDEX(PP_Grid[#Data],$DE86,74),0)</f>
        <v/>
      </c>
      <c r="BZ86">
        <f>IFERROR(INDEX(PP_Grid[#Data],$DE86,75),0)</f>
        <v/>
      </c>
      <c r="CA86">
        <f>IFERROR(INDEX(PP_Grid[#Data],$DE86,76),0)</f>
        <v/>
      </c>
      <c r="CB86">
        <f>IFERROR(INDEX(PP_Grid[#Data],$DE86,77),0)</f>
        <v/>
      </c>
      <c r="CC86">
        <f>IFERROR(INDEX(PP_Grid[#Data],$DE86,78),0)</f>
        <v/>
      </c>
      <c r="CD86">
        <f>IFERROR(INDEX(PP_Grid[#Data],$DE86,79),0)</f>
        <v/>
      </c>
      <c r="CE86">
        <f>IFERROR(INDEX(PP_Grid[#Data],$DE86,80),0)</f>
        <v/>
      </c>
      <c r="CF86">
        <f>IFERROR(INDEX(PP_Grid[#Data],$DE86,81),0)</f>
        <v/>
      </c>
      <c r="CG86">
        <f>IFERROR(INDEX(PP_Grid[#Data],$DE86,82),0)</f>
        <v/>
      </c>
      <c r="CH86">
        <f>IFERROR(INDEX(PP_Grid[#Data],$DE86,83),0)</f>
        <v/>
      </c>
      <c r="CI86">
        <f>IFERROR(INDEX(PP_Grid[#Data],$DE86,84),0)</f>
        <v/>
      </c>
      <c r="CJ86">
        <f>IFERROR(INDEX(PP_Grid[#Data],$DE86,85),0)</f>
        <v/>
      </c>
      <c r="CK86">
        <f>IFERROR(INDEX(PP_Grid[#Data],$DE86,86),0)</f>
        <v/>
      </c>
      <c r="CL86">
        <f>IFERROR(INDEX(PP_Grid[#Data],$DE86,87),0)</f>
        <v/>
      </c>
      <c r="CM86">
        <f>IFERROR(INDEX(PP_Grid[#Data],$DE86,88),0)</f>
        <v/>
      </c>
      <c r="CN86">
        <f>IFERROR(INDEX(PP_Grid[#Data],$DE86,89),0)</f>
        <v/>
      </c>
      <c r="CO86">
        <f>IFERROR(INDEX(PP_Grid[#Data],$DE86,90),0)</f>
        <v/>
      </c>
      <c r="CP86">
        <f>IFERROR(INDEX(PP_Grid[#Data],$DE86,91),0)</f>
        <v/>
      </c>
      <c r="CQ86">
        <f>IFERROR(INDEX(PP_Grid[#Data],$DE86,92),0)</f>
        <v/>
      </c>
      <c r="CR86">
        <f>IFERROR(INDEX(PP_Grid[#Data],$DE86,93),0)</f>
        <v/>
      </c>
      <c r="CS86">
        <f>IFERROR(INDEX(PP_Grid[#Data],$DE86,94),0)</f>
        <v/>
      </c>
      <c r="CT86">
        <f>IFERROR(INDEX(PP_Grid[#Data],$DE86,95),0)</f>
        <v/>
      </c>
      <c r="CU86">
        <f>IFERROR(INDEX(PP_Grid[#Data],$DE86,96),0)</f>
        <v/>
      </c>
      <c r="CV86">
        <f>IFERROR(INDEX(PP_Grid[#Data],$DE86,97),0)</f>
        <v/>
      </c>
      <c r="CW86">
        <f>IFERROR(INDEX(PP_Grid[#Data],$DE86,98),0)</f>
        <v/>
      </c>
      <c r="CX86">
        <f>IFERROR(INDEX(PP_Grid[#Data],$DE86,99),0)</f>
        <v/>
      </c>
      <c r="CY86">
        <f>IFERROR(INDEX(PP_Grid[#Data],$DE86,100),0)</f>
        <v/>
      </c>
      <c r="CZ86">
        <f>IFERROR(INDEX(PP_Grid[#Data],$DE86,101),0)</f>
        <v/>
      </c>
      <c r="DA86">
        <f>IFERROR(INDEX(PP_Grid[#Data],$DE86,102),0)</f>
        <v/>
      </c>
      <c r="DB86">
        <f>IFERROR(INDEX(PP_Grid[#Data],$DE86,103),0)</f>
        <v/>
      </c>
      <c r="DC86">
        <f>IFERROR(INDEX(PP_Grid[#Data],$DE86,104),0)</f>
        <v/>
      </c>
      <c r="DD86">
        <f>IFERROR(INDEX(PP_Grid[#Data],$DE86,105),0)</f>
        <v/>
      </c>
      <c r="DE86" s="7">
        <f>IFERROR(MATCH($B86,PP_Grid[Intermediate],0),99999)</f>
        <v/>
      </c>
    </row>
    <row r="87">
      <c r="B87" t="inlineStr">
        <is>
          <t>使用量(kg)</t>
        </is>
      </c>
      <c r="C87">
        <f>SUMIFS(M_BOM[RM_Qty_Per_Batch],M_BOM[Intermediate],$B86,M_BOM[RM_Code],$A25)</f>
        <v/>
      </c>
      <c r="D87">
        <f>IFERROR(INDEX(E87:DD87,$F$1),"")</f>
        <v/>
      </c>
      <c r="E87">
        <f>$C87*E86</f>
        <v/>
      </c>
      <c r="F87">
        <f>$C87*F86</f>
        <v/>
      </c>
      <c r="G87">
        <f>$C87*G86</f>
        <v/>
      </c>
      <c r="H87">
        <f>$C87*H86</f>
        <v/>
      </c>
      <c r="I87">
        <f>$C87*I86</f>
        <v/>
      </c>
      <c r="J87">
        <f>$C87*J86</f>
        <v/>
      </c>
      <c r="K87">
        <f>$C87*K86</f>
        <v/>
      </c>
      <c r="L87">
        <f>$C87*L86</f>
        <v/>
      </c>
      <c r="M87">
        <f>$C87*M86</f>
        <v/>
      </c>
      <c r="N87">
        <f>$C87*N86</f>
        <v/>
      </c>
      <c r="O87">
        <f>$C87*O86</f>
        <v/>
      </c>
      <c r="P87">
        <f>$C87*P86</f>
        <v/>
      </c>
      <c r="Q87">
        <f>$C87*Q86</f>
        <v/>
      </c>
      <c r="R87">
        <f>$C87*R86</f>
        <v/>
      </c>
      <c r="S87">
        <f>$C87*S86</f>
        <v/>
      </c>
      <c r="T87">
        <f>$C87*T86</f>
        <v/>
      </c>
      <c r="U87">
        <f>$C87*U86</f>
        <v/>
      </c>
      <c r="V87">
        <f>$C87*V86</f>
        <v/>
      </c>
      <c r="W87">
        <f>$C87*W86</f>
        <v/>
      </c>
      <c r="X87">
        <f>$C87*X86</f>
        <v/>
      </c>
      <c r="Y87">
        <f>$C87*Y86</f>
        <v/>
      </c>
      <c r="Z87">
        <f>$C87*Z86</f>
        <v/>
      </c>
      <c r="AA87">
        <f>$C87*AA86</f>
        <v/>
      </c>
      <c r="AB87">
        <f>$C87*AB86</f>
        <v/>
      </c>
      <c r="AC87">
        <f>$C87*AC86</f>
        <v/>
      </c>
      <c r="AD87">
        <f>$C87*AD86</f>
        <v/>
      </c>
      <c r="AE87">
        <f>$C87*AE86</f>
        <v/>
      </c>
      <c r="AF87">
        <f>$C87*AF86</f>
        <v/>
      </c>
      <c r="AG87">
        <f>$C87*AG86</f>
        <v/>
      </c>
      <c r="AH87">
        <f>$C87*AH86</f>
        <v/>
      </c>
      <c r="AI87">
        <f>$C87*AI86</f>
        <v/>
      </c>
      <c r="AJ87">
        <f>$C87*AJ86</f>
        <v/>
      </c>
      <c r="AK87">
        <f>$C87*AK86</f>
        <v/>
      </c>
      <c r="AL87">
        <f>$C87*AL86</f>
        <v/>
      </c>
      <c r="AM87">
        <f>$C87*AM86</f>
        <v/>
      </c>
      <c r="AN87">
        <f>$C87*AN86</f>
        <v/>
      </c>
      <c r="AO87">
        <f>$C87*AO86</f>
        <v/>
      </c>
      <c r="AP87">
        <f>$C87*AP86</f>
        <v/>
      </c>
      <c r="AQ87">
        <f>$C87*AQ86</f>
        <v/>
      </c>
      <c r="AR87">
        <f>$C87*AR86</f>
        <v/>
      </c>
      <c r="AS87">
        <f>$C87*AS86</f>
        <v/>
      </c>
      <c r="AT87">
        <f>$C87*AT86</f>
        <v/>
      </c>
      <c r="AU87">
        <f>$C87*AU86</f>
        <v/>
      </c>
      <c r="AV87">
        <f>$C87*AV86</f>
        <v/>
      </c>
      <c r="AW87">
        <f>$C87*AW86</f>
        <v/>
      </c>
      <c r="AX87">
        <f>$C87*AX86</f>
        <v/>
      </c>
      <c r="AY87">
        <f>$C87*AY86</f>
        <v/>
      </c>
      <c r="AZ87">
        <f>$C87*AZ86</f>
        <v/>
      </c>
      <c r="BA87">
        <f>$C87*BA86</f>
        <v/>
      </c>
      <c r="BB87">
        <f>$C87*BB86</f>
        <v/>
      </c>
      <c r="BC87">
        <f>$C87*BC86</f>
        <v/>
      </c>
      <c r="BD87">
        <f>$C87*BD86</f>
        <v/>
      </c>
      <c r="BE87">
        <f>$C87*BE86</f>
        <v/>
      </c>
      <c r="BF87">
        <f>$C87*BF86</f>
        <v/>
      </c>
      <c r="BG87">
        <f>$C87*BG86</f>
        <v/>
      </c>
      <c r="BH87">
        <f>$C87*BH86</f>
        <v/>
      </c>
      <c r="BI87">
        <f>$C87*BI86</f>
        <v/>
      </c>
      <c r="BJ87">
        <f>$C87*BJ86</f>
        <v/>
      </c>
      <c r="BK87">
        <f>$C87*BK86</f>
        <v/>
      </c>
      <c r="BL87">
        <f>$C87*BL86</f>
        <v/>
      </c>
      <c r="BM87">
        <f>$C87*BM86</f>
        <v/>
      </c>
      <c r="BN87">
        <f>$C87*BN86</f>
        <v/>
      </c>
      <c r="BO87">
        <f>$C87*BO86</f>
        <v/>
      </c>
      <c r="BP87">
        <f>$C87*BP86</f>
        <v/>
      </c>
      <c r="BQ87">
        <f>$C87*BQ86</f>
        <v/>
      </c>
      <c r="BR87">
        <f>$C87*BR86</f>
        <v/>
      </c>
      <c r="BS87">
        <f>$C87*BS86</f>
        <v/>
      </c>
      <c r="BT87">
        <f>$C87*BT86</f>
        <v/>
      </c>
      <c r="BU87">
        <f>$C87*BU86</f>
        <v/>
      </c>
      <c r="BV87">
        <f>$C87*BV86</f>
        <v/>
      </c>
      <c r="BW87">
        <f>$C87*BW86</f>
        <v/>
      </c>
      <c r="BX87">
        <f>$C87*BX86</f>
        <v/>
      </c>
      <c r="BY87">
        <f>$C87*BY86</f>
        <v/>
      </c>
      <c r="BZ87">
        <f>$C87*BZ86</f>
        <v/>
      </c>
      <c r="CA87">
        <f>$C87*CA86</f>
        <v/>
      </c>
      <c r="CB87">
        <f>$C87*CB86</f>
        <v/>
      </c>
      <c r="CC87">
        <f>$C87*CC86</f>
        <v/>
      </c>
      <c r="CD87">
        <f>$C87*CD86</f>
        <v/>
      </c>
      <c r="CE87">
        <f>$C87*CE86</f>
        <v/>
      </c>
      <c r="CF87">
        <f>$C87*CF86</f>
        <v/>
      </c>
      <c r="CG87">
        <f>$C87*CG86</f>
        <v/>
      </c>
      <c r="CH87">
        <f>$C87*CH86</f>
        <v/>
      </c>
      <c r="CI87">
        <f>$C87*CI86</f>
        <v/>
      </c>
      <c r="CJ87">
        <f>$C87*CJ86</f>
        <v/>
      </c>
      <c r="CK87">
        <f>$C87*CK86</f>
        <v/>
      </c>
      <c r="CL87">
        <f>$C87*CL86</f>
        <v/>
      </c>
      <c r="CM87">
        <f>$C87*CM86</f>
        <v/>
      </c>
      <c r="CN87">
        <f>$C87*CN86</f>
        <v/>
      </c>
      <c r="CO87">
        <f>$C87*CO86</f>
        <v/>
      </c>
      <c r="CP87">
        <f>$C87*CP86</f>
        <v/>
      </c>
      <c r="CQ87">
        <f>$C87*CQ86</f>
        <v/>
      </c>
      <c r="CR87">
        <f>$C87*CR86</f>
        <v/>
      </c>
      <c r="CS87">
        <f>$C87*CS86</f>
        <v/>
      </c>
      <c r="CT87">
        <f>$C87*CT86</f>
        <v/>
      </c>
      <c r="CU87">
        <f>$C87*CU86</f>
        <v/>
      </c>
      <c r="CV87">
        <f>$C87*CV86</f>
        <v/>
      </c>
      <c r="CW87">
        <f>$C87*CW86</f>
        <v/>
      </c>
      <c r="CX87">
        <f>$C87*CX86</f>
        <v/>
      </c>
      <c r="CY87">
        <f>$C87*CY86</f>
        <v/>
      </c>
      <c r="CZ87">
        <f>$C87*CZ86</f>
        <v/>
      </c>
      <c r="DA87">
        <f>$C87*DA86</f>
        <v/>
      </c>
      <c r="DB87">
        <f>$C87*DB86</f>
        <v/>
      </c>
      <c r="DC87">
        <f>$C87*DC86</f>
        <v/>
      </c>
      <c r="DD87">
        <f>$C87*DD86</f>
        <v/>
      </c>
    </row>
    <row r="88">
      <c r="B88" t="inlineStr">
        <is>
          <t>VSP-739</t>
        </is>
      </c>
      <c r="C88" t="inlineStr">
        <is>
          <t>No. of batches</t>
        </is>
      </c>
      <c r="D88">
        <f>IFERROR(INDEX(E88:DD88,$F$1),"")</f>
        <v/>
      </c>
      <c r="E88">
        <f>IFERROR(INDEX(PP_Grid[#Data],$DE88,2),0)</f>
        <v/>
      </c>
      <c r="F88">
        <f>IFERROR(INDEX(PP_Grid[#Data],$DE88,3),0)</f>
        <v/>
      </c>
      <c r="G88">
        <f>IFERROR(INDEX(PP_Grid[#Data],$DE88,4),0)</f>
        <v/>
      </c>
      <c r="H88">
        <f>IFERROR(INDEX(PP_Grid[#Data],$DE88,5),0)</f>
        <v/>
      </c>
      <c r="I88">
        <f>IFERROR(INDEX(PP_Grid[#Data],$DE88,6),0)</f>
        <v/>
      </c>
      <c r="J88">
        <f>IFERROR(INDEX(PP_Grid[#Data],$DE88,7),0)</f>
        <v/>
      </c>
      <c r="K88">
        <f>IFERROR(INDEX(PP_Grid[#Data],$DE88,8),0)</f>
        <v/>
      </c>
      <c r="L88">
        <f>IFERROR(INDEX(PP_Grid[#Data],$DE88,9),0)</f>
        <v/>
      </c>
      <c r="M88">
        <f>IFERROR(INDEX(PP_Grid[#Data],$DE88,10),0)</f>
        <v/>
      </c>
      <c r="N88">
        <f>IFERROR(INDEX(PP_Grid[#Data],$DE88,11),0)</f>
        <v/>
      </c>
      <c r="O88">
        <f>IFERROR(INDEX(PP_Grid[#Data],$DE88,12),0)</f>
        <v/>
      </c>
      <c r="P88">
        <f>IFERROR(INDEX(PP_Grid[#Data],$DE88,13),0)</f>
        <v/>
      </c>
      <c r="Q88">
        <f>IFERROR(INDEX(PP_Grid[#Data],$DE88,14),0)</f>
        <v/>
      </c>
      <c r="R88">
        <f>IFERROR(INDEX(PP_Grid[#Data],$DE88,15),0)</f>
        <v/>
      </c>
      <c r="S88">
        <f>IFERROR(INDEX(PP_Grid[#Data],$DE88,16),0)</f>
        <v/>
      </c>
      <c r="T88">
        <f>IFERROR(INDEX(PP_Grid[#Data],$DE88,17),0)</f>
        <v/>
      </c>
      <c r="U88">
        <f>IFERROR(INDEX(PP_Grid[#Data],$DE88,18),0)</f>
        <v/>
      </c>
      <c r="V88">
        <f>IFERROR(INDEX(PP_Grid[#Data],$DE88,19),0)</f>
        <v/>
      </c>
      <c r="W88">
        <f>IFERROR(INDEX(PP_Grid[#Data],$DE88,20),0)</f>
        <v/>
      </c>
      <c r="X88">
        <f>IFERROR(INDEX(PP_Grid[#Data],$DE88,21),0)</f>
        <v/>
      </c>
      <c r="Y88">
        <f>IFERROR(INDEX(PP_Grid[#Data],$DE88,22),0)</f>
        <v/>
      </c>
      <c r="Z88">
        <f>IFERROR(INDEX(PP_Grid[#Data],$DE88,23),0)</f>
        <v/>
      </c>
      <c r="AA88">
        <f>IFERROR(INDEX(PP_Grid[#Data],$DE88,24),0)</f>
        <v/>
      </c>
      <c r="AB88">
        <f>IFERROR(INDEX(PP_Grid[#Data],$DE88,25),0)</f>
        <v/>
      </c>
      <c r="AC88">
        <f>IFERROR(INDEX(PP_Grid[#Data],$DE88,26),0)</f>
        <v/>
      </c>
      <c r="AD88">
        <f>IFERROR(INDEX(PP_Grid[#Data],$DE88,27),0)</f>
        <v/>
      </c>
      <c r="AE88">
        <f>IFERROR(INDEX(PP_Grid[#Data],$DE88,28),0)</f>
        <v/>
      </c>
      <c r="AF88">
        <f>IFERROR(INDEX(PP_Grid[#Data],$DE88,29),0)</f>
        <v/>
      </c>
      <c r="AG88">
        <f>IFERROR(INDEX(PP_Grid[#Data],$DE88,30),0)</f>
        <v/>
      </c>
      <c r="AH88">
        <f>IFERROR(INDEX(PP_Grid[#Data],$DE88,31),0)</f>
        <v/>
      </c>
      <c r="AI88">
        <f>IFERROR(INDEX(PP_Grid[#Data],$DE88,32),0)</f>
        <v/>
      </c>
      <c r="AJ88">
        <f>IFERROR(INDEX(PP_Grid[#Data],$DE88,33),0)</f>
        <v/>
      </c>
      <c r="AK88">
        <f>IFERROR(INDEX(PP_Grid[#Data],$DE88,34),0)</f>
        <v/>
      </c>
      <c r="AL88">
        <f>IFERROR(INDEX(PP_Grid[#Data],$DE88,35),0)</f>
        <v/>
      </c>
      <c r="AM88">
        <f>IFERROR(INDEX(PP_Grid[#Data],$DE88,36),0)</f>
        <v/>
      </c>
      <c r="AN88">
        <f>IFERROR(INDEX(PP_Grid[#Data],$DE88,37),0)</f>
        <v/>
      </c>
      <c r="AO88">
        <f>IFERROR(INDEX(PP_Grid[#Data],$DE88,38),0)</f>
        <v/>
      </c>
      <c r="AP88">
        <f>IFERROR(INDEX(PP_Grid[#Data],$DE88,39),0)</f>
        <v/>
      </c>
      <c r="AQ88">
        <f>IFERROR(INDEX(PP_Grid[#Data],$DE88,40),0)</f>
        <v/>
      </c>
      <c r="AR88">
        <f>IFERROR(INDEX(PP_Grid[#Data],$DE88,41),0)</f>
        <v/>
      </c>
      <c r="AS88">
        <f>IFERROR(INDEX(PP_Grid[#Data],$DE88,42),0)</f>
        <v/>
      </c>
      <c r="AT88">
        <f>IFERROR(INDEX(PP_Grid[#Data],$DE88,43),0)</f>
        <v/>
      </c>
      <c r="AU88">
        <f>IFERROR(INDEX(PP_Grid[#Data],$DE88,44),0)</f>
        <v/>
      </c>
      <c r="AV88">
        <f>IFERROR(INDEX(PP_Grid[#Data],$DE88,45),0)</f>
        <v/>
      </c>
      <c r="AW88">
        <f>IFERROR(INDEX(PP_Grid[#Data],$DE88,46),0)</f>
        <v/>
      </c>
      <c r="AX88">
        <f>IFERROR(INDEX(PP_Grid[#Data],$DE88,47),0)</f>
        <v/>
      </c>
      <c r="AY88">
        <f>IFERROR(INDEX(PP_Grid[#Data],$DE88,48),0)</f>
        <v/>
      </c>
      <c r="AZ88">
        <f>IFERROR(INDEX(PP_Grid[#Data],$DE88,49),0)</f>
        <v/>
      </c>
      <c r="BA88">
        <f>IFERROR(INDEX(PP_Grid[#Data],$DE88,50),0)</f>
        <v/>
      </c>
      <c r="BB88">
        <f>IFERROR(INDEX(PP_Grid[#Data],$DE88,51),0)</f>
        <v/>
      </c>
      <c r="BC88">
        <f>IFERROR(INDEX(PP_Grid[#Data],$DE88,52),0)</f>
        <v/>
      </c>
      <c r="BD88">
        <f>IFERROR(INDEX(PP_Grid[#Data],$DE88,53),0)</f>
        <v/>
      </c>
      <c r="BE88">
        <f>IFERROR(INDEX(PP_Grid[#Data],$DE88,54),0)</f>
        <v/>
      </c>
      <c r="BF88">
        <f>IFERROR(INDEX(PP_Grid[#Data],$DE88,55),0)</f>
        <v/>
      </c>
      <c r="BG88">
        <f>IFERROR(INDEX(PP_Grid[#Data],$DE88,56),0)</f>
        <v/>
      </c>
      <c r="BH88">
        <f>IFERROR(INDEX(PP_Grid[#Data],$DE88,57),0)</f>
        <v/>
      </c>
      <c r="BI88">
        <f>IFERROR(INDEX(PP_Grid[#Data],$DE88,58),0)</f>
        <v/>
      </c>
      <c r="BJ88">
        <f>IFERROR(INDEX(PP_Grid[#Data],$DE88,59),0)</f>
        <v/>
      </c>
      <c r="BK88">
        <f>IFERROR(INDEX(PP_Grid[#Data],$DE88,60),0)</f>
        <v/>
      </c>
      <c r="BL88">
        <f>IFERROR(INDEX(PP_Grid[#Data],$DE88,61),0)</f>
        <v/>
      </c>
      <c r="BM88">
        <f>IFERROR(INDEX(PP_Grid[#Data],$DE88,62),0)</f>
        <v/>
      </c>
      <c r="BN88">
        <f>IFERROR(INDEX(PP_Grid[#Data],$DE88,63),0)</f>
        <v/>
      </c>
      <c r="BO88">
        <f>IFERROR(INDEX(PP_Grid[#Data],$DE88,64),0)</f>
        <v/>
      </c>
      <c r="BP88">
        <f>IFERROR(INDEX(PP_Grid[#Data],$DE88,65),0)</f>
        <v/>
      </c>
      <c r="BQ88">
        <f>IFERROR(INDEX(PP_Grid[#Data],$DE88,66),0)</f>
        <v/>
      </c>
      <c r="BR88">
        <f>IFERROR(INDEX(PP_Grid[#Data],$DE88,67),0)</f>
        <v/>
      </c>
      <c r="BS88">
        <f>IFERROR(INDEX(PP_Grid[#Data],$DE88,68),0)</f>
        <v/>
      </c>
      <c r="BT88">
        <f>IFERROR(INDEX(PP_Grid[#Data],$DE88,69),0)</f>
        <v/>
      </c>
      <c r="BU88">
        <f>IFERROR(INDEX(PP_Grid[#Data],$DE88,70),0)</f>
        <v/>
      </c>
      <c r="BV88">
        <f>IFERROR(INDEX(PP_Grid[#Data],$DE88,71),0)</f>
        <v/>
      </c>
      <c r="BW88">
        <f>IFERROR(INDEX(PP_Grid[#Data],$DE88,72),0)</f>
        <v/>
      </c>
      <c r="BX88">
        <f>IFERROR(INDEX(PP_Grid[#Data],$DE88,73),0)</f>
        <v/>
      </c>
      <c r="BY88">
        <f>IFERROR(INDEX(PP_Grid[#Data],$DE88,74),0)</f>
        <v/>
      </c>
      <c r="BZ88">
        <f>IFERROR(INDEX(PP_Grid[#Data],$DE88,75),0)</f>
        <v/>
      </c>
      <c r="CA88">
        <f>IFERROR(INDEX(PP_Grid[#Data],$DE88,76),0)</f>
        <v/>
      </c>
      <c r="CB88">
        <f>IFERROR(INDEX(PP_Grid[#Data],$DE88,77),0)</f>
        <v/>
      </c>
      <c r="CC88">
        <f>IFERROR(INDEX(PP_Grid[#Data],$DE88,78),0)</f>
        <v/>
      </c>
      <c r="CD88">
        <f>IFERROR(INDEX(PP_Grid[#Data],$DE88,79),0)</f>
        <v/>
      </c>
      <c r="CE88">
        <f>IFERROR(INDEX(PP_Grid[#Data],$DE88,80),0)</f>
        <v/>
      </c>
      <c r="CF88">
        <f>IFERROR(INDEX(PP_Grid[#Data],$DE88,81),0)</f>
        <v/>
      </c>
      <c r="CG88">
        <f>IFERROR(INDEX(PP_Grid[#Data],$DE88,82),0)</f>
        <v/>
      </c>
      <c r="CH88">
        <f>IFERROR(INDEX(PP_Grid[#Data],$DE88,83),0)</f>
        <v/>
      </c>
      <c r="CI88">
        <f>IFERROR(INDEX(PP_Grid[#Data],$DE88,84),0)</f>
        <v/>
      </c>
      <c r="CJ88">
        <f>IFERROR(INDEX(PP_Grid[#Data],$DE88,85),0)</f>
        <v/>
      </c>
      <c r="CK88">
        <f>IFERROR(INDEX(PP_Grid[#Data],$DE88,86),0)</f>
        <v/>
      </c>
      <c r="CL88">
        <f>IFERROR(INDEX(PP_Grid[#Data],$DE88,87),0)</f>
        <v/>
      </c>
      <c r="CM88">
        <f>IFERROR(INDEX(PP_Grid[#Data],$DE88,88),0)</f>
        <v/>
      </c>
      <c r="CN88">
        <f>IFERROR(INDEX(PP_Grid[#Data],$DE88,89),0)</f>
        <v/>
      </c>
      <c r="CO88">
        <f>IFERROR(INDEX(PP_Grid[#Data],$DE88,90),0)</f>
        <v/>
      </c>
      <c r="CP88">
        <f>IFERROR(INDEX(PP_Grid[#Data],$DE88,91),0)</f>
        <v/>
      </c>
      <c r="CQ88">
        <f>IFERROR(INDEX(PP_Grid[#Data],$DE88,92),0)</f>
        <v/>
      </c>
      <c r="CR88">
        <f>IFERROR(INDEX(PP_Grid[#Data],$DE88,93),0)</f>
        <v/>
      </c>
      <c r="CS88">
        <f>IFERROR(INDEX(PP_Grid[#Data],$DE88,94),0)</f>
        <v/>
      </c>
      <c r="CT88">
        <f>IFERROR(INDEX(PP_Grid[#Data],$DE88,95),0)</f>
        <v/>
      </c>
      <c r="CU88">
        <f>IFERROR(INDEX(PP_Grid[#Data],$DE88,96),0)</f>
        <v/>
      </c>
      <c r="CV88">
        <f>IFERROR(INDEX(PP_Grid[#Data],$DE88,97),0)</f>
        <v/>
      </c>
      <c r="CW88">
        <f>IFERROR(INDEX(PP_Grid[#Data],$DE88,98),0)</f>
        <v/>
      </c>
      <c r="CX88">
        <f>IFERROR(INDEX(PP_Grid[#Data],$DE88,99),0)</f>
        <v/>
      </c>
      <c r="CY88">
        <f>IFERROR(INDEX(PP_Grid[#Data],$DE88,100),0)</f>
        <v/>
      </c>
      <c r="CZ88">
        <f>IFERROR(INDEX(PP_Grid[#Data],$DE88,101),0)</f>
        <v/>
      </c>
      <c r="DA88">
        <f>IFERROR(INDEX(PP_Grid[#Data],$DE88,102),0)</f>
        <v/>
      </c>
      <c r="DB88">
        <f>IFERROR(INDEX(PP_Grid[#Data],$DE88,103),0)</f>
        <v/>
      </c>
      <c r="DC88">
        <f>IFERROR(INDEX(PP_Grid[#Data],$DE88,104),0)</f>
        <v/>
      </c>
      <c r="DD88">
        <f>IFERROR(INDEX(PP_Grid[#Data],$DE88,105),0)</f>
        <v/>
      </c>
      <c r="DE88" s="7">
        <f>IFERROR(MATCH($B88,PP_Grid[Intermediate],0),99999)</f>
        <v/>
      </c>
    </row>
    <row r="89">
      <c r="B89" t="inlineStr">
        <is>
          <t>使用量(kg)</t>
        </is>
      </c>
      <c r="C89">
        <f>SUMIFS(M_BOM[RM_Qty_Per_Batch],M_BOM[Intermediate],$B88,M_BOM[RM_Code],$A25)</f>
        <v/>
      </c>
      <c r="D89">
        <f>IFERROR(INDEX(E89:DD89,$F$1),"")</f>
        <v/>
      </c>
      <c r="E89">
        <f>$C89*E88</f>
        <v/>
      </c>
      <c r="F89">
        <f>$C89*F88</f>
        <v/>
      </c>
      <c r="G89">
        <f>$C89*G88</f>
        <v/>
      </c>
      <c r="H89">
        <f>$C89*H88</f>
        <v/>
      </c>
      <c r="I89">
        <f>$C89*I88</f>
        <v/>
      </c>
      <c r="J89">
        <f>$C89*J88</f>
        <v/>
      </c>
      <c r="K89">
        <f>$C89*K88</f>
        <v/>
      </c>
      <c r="L89">
        <f>$C89*L88</f>
        <v/>
      </c>
      <c r="M89">
        <f>$C89*M88</f>
        <v/>
      </c>
      <c r="N89">
        <f>$C89*N88</f>
        <v/>
      </c>
      <c r="O89">
        <f>$C89*O88</f>
        <v/>
      </c>
      <c r="P89">
        <f>$C89*P88</f>
        <v/>
      </c>
      <c r="Q89">
        <f>$C89*Q88</f>
        <v/>
      </c>
      <c r="R89">
        <f>$C89*R88</f>
        <v/>
      </c>
      <c r="S89">
        <f>$C89*S88</f>
        <v/>
      </c>
      <c r="T89">
        <f>$C89*T88</f>
        <v/>
      </c>
      <c r="U89">
        <f>$C89*U88</f>
        <v/>
      </c>
      <c r="V89">
        <f>$C89*V88</f>
        <v/>
      </c>
      <c r="W89">
        <f>$C89*W88</f>
        <v/>
      </c>
      <c r="X89">
        <f>$C89*X88</f>
        <v/>
      </c>
      <c r="Y89">
        <f>$C89*Y88</f>
        <v/>
      </c>
      <c r="Z89">
        <f>$C89*Z88</f>
        <v/>
      </c>
      <c r="AA89">
        <f>$C89*AA88</f>
        <v/>
      </c>
      <c r="AB89">
        <f>$C89*AB88</f>
        <v/>
      </c>
      <c r="AC89">
        <f>$C89*AC88</f>
        <v/>
      </c>
      <c r="AD89">
        <f>$C89*AD88</f>
        <v/>
      </c>
      <c r="AE89">
        <f>$C89*AE88</f>
        <v/>
      </c>
      <c r="AF89">
        <f>$C89*AF88</f>
        <v/>
      </c>
      <c r="AG89">
        <f>$C89*AG88</f>
        <v/>
      </c>
      <c r="AH89">
        <f>$C89*AH88</f>
        <v/>
      </c>
      <c r="AI89">
        <f>$C89*AI88</f>
        <v/>
      </c>
      <c r="AJ89">
        <f>$C89*AJ88</f>
        <v/>
      </c>
      <c r="AK89">
        <f>$C89*AK88</f>
        <v/>
      </c>
      <c r="AL89">
        <f>$C89*AL88</f>
        <v/>
      </c>
      <c r="AM89">
        <f>$C89*AM88</f>
        <v/>
      </c>
      <c r="AN89">
        <f>$C89*AN88</f>
        <v/>
      </c>
      <c r="AO89">
        <f>$C89*AO88</f>
        <v/>
      </c>
      <c r="AP89">
        <f>$C89*AP88</f>
        <v/>
      </c>
      <c r="AQ89">
        <f>$C89*AQ88</f>
        <v/>
      </c>
      <c r="AR89">
        <f>$C89*AR88</f>
        <v/>
      </c>
      <c r="AS89">
        <f>$C89*AS88</f>
        <v/>
      </c>
      <c r="AT89">
        <f>$C89*AT88</f>
        <v/>
      </c>
      <c r="AU89">
        <f>$C89*AU88</f>
        <v/>
      </c>
      <c r="AV89">
        <f>$C89*AV88</f>
        <v/>
      </c>
      <c r="AW89">
        <f>$C89*AW88</f>
        <v/>
      </c>
      <c r="AX89">
        <f>$C89*AX88</f>
        <v/>
      </c>
      <c r="AY89">
        <f>$C89*AY88</f>
        <v/>
      </c>
      <c r="AZ89">
        <f>$C89*AZ88</f>
        <v/>
      </c>
      <c r="BA89">
        <f>$C89*BA88</f>
        <v/>
      </c>
      <c r="BB89">
        <f>$C89*BB88</f>
        <v/>
      </c>
      <c r="BC89">
        <f>$C89*BC88</f>
        <v/>
      </c>
      <c r="BD89">
        <f>$C89*BD88</f>
        <v/>
      </c>
      <c r="BE89">
        <f>$C89*BE88</f>
        <v/>
      </c>
      <c r="BF89">
        <f>$C89*BF88</f>
        <v/>
      </c>
      <c r="BG89">
        <f>$C89*BG88</f>
        <v/>
      </c>
      <c r="BH89">
        <f>$C89*BH88</f>
        <v/>
      </c>
      <c r="BI89">
        <f>$C89*BI88</f>
        <v/>
      </c>
      <c r="BJ89">
        <f>$C89*BJ88</f>
        <v/>
      </c>
      <c r="BK89">
        <f>$C89*BK88</f>
        <v/>
      </c>
      <c r="BL89">
        <f>$C89*BL88</f>
        <v/>
      </c>
      <c r="BM89">
        <f>$C89*BM88</f>
        <v/>
      </c>
      <c r="BN89">
        <f>$C89*BN88</f>
        <v/>
      </c>
      <c r="BO89">
        <f>$C89*BO88</f>
        <v/>
      </c>
      <c r="BP89">
        <f>$C89*BP88</f>
        <v/>
      </c>
      <c r="BQ89">
        <f>$C89*BQ88</f>
        <v/>
      </c>
      <c r="BR89">
        <f>$C89*BR88</f>
        <v/>
      </c>
      <c r="BS89">
        <f>$C89*BS88</f>
        <v/>
      </c>
      <c r="BT89">
        <f>$C89*BT88</f>
        <v/>
      </c>
      <c r="BU89">
        <f>$C89*BU88</f>
        <v/>
      </c>
      <c r="BV89">
        <f>$C89*BV88</f>
        <v/>
      </c>
      <c r="BW89">
        <f>$C89*BW88</f>
        <v/>
      </c>
      <c r="BX89">
        <f>$C89*BX88</f>
        <v/>
      </c>
      <c r="BY89">
        <f>$C89*BY88</f>
        <v/>
      </c>
      <c r="BZ89">
        <f>$C89*BZ88</f>
        <v/>
      </c>
      <c r="CA89">
        <f>$C89*CA88</f>
        <v/>
      </c>
      <c r="CB89">
        <f>$C89*CB88</f>
        <v/>
      </c>
      <c r="CC89">
        <f>$C89*CC88</f>
        <v/>
      </c>
      <c r="CD89">
        <f>$C89*CD88</f>
        <v/>
      </c>
      <c r="CE89">
        <f>$C89*CE88</f>
        <v/>
      </c>
      <c r="CF89">
        <f>$C89*CF88</f>
        <v/>
      </c>
      <c r="CG89">
        <f>$C89*CG88</f>
        <v/>
      </c>
      <c r="CH89">
        <f>$C89*CH88</f>
        <v/>
      </c>
      <c r="CI89">
        <f>$C89*CI88</f>
        <v/>
      </c>
      <c r="CJ89">
        <f>$C89*CJ88</f>
        <v/>
      </c>
      <c r="CK89">
        <f>$C89*CK88</f>
        <v/>
      </c>
      <c r="CL89">
        <f>$C89*CL88</f>
        <v/>
      </c>
      <c r="CM89">
        <f>$C89*CM88</f>
        <v/>
      </c>
      <c r="CN89">
        <f>$C89*CN88</f>
        <v/>
      </c>
      <c r="CO89">
        <f>$C89*CO88</f>
        <v/>
      </c>
      <c r="CP89">
        <f>$C89*CP88</f>
        <v/>
      </c>
      <c r="CQ89">
        <f>$C89*CQ88</f>
        <v/>
      </c>
      <c r="CR89">
        <f>$C89*CR88</f>
        <v/>
      </c>
      <c r="CS89">
        <f>$C89*CS88</f>
        <v/>
      </c>
      <c r="CT89">
        <f>$C89*CT88</f>
        <v/>
      </c>
      <c r="CU89">
        <f>$C89*CU88</f>
        <v/>
      </c>
      <c r="CV89">
        <f>$C89*CV88</f>
        <v/>
      </c>
      <c r="CW89">
        <f>$C89*CW88</f>
        <v/>
      </c>
      <c r="CX89">
        <f>$C89*CX88</f>
        <v/>
      </c>
      <c r="CY89">
        <f>$C89*CY88</f>
        <v/>
      </c>
      <c r="CZ89">
        <f>$C89*CZ88</f>
        <v/>
      </c>
      <c r="DA89">
        <f>$C89*DA88</f>
        <v/>
      </c>
      <c r="DB89">
        <f>$C89*DB88</f>
        <v/>
      </c>
      <c r="DC89">
        <f>$C89*DC88</f>
        <v/>
      </c>
      <c r="DD89">
        <f>$C89*DD88</f>
        <v/>
      </c>
    </row>
    <row r="90">
      <c r="B90" t="inlineStr">
        <is>
          <t>VSP-740</t>
        </is>
      </c>
      <c r="C90" t="inlineStr">
        <is>
          <t>No. of batches</t>
        </is>
      </c>
      <c r="D90">
        <f>IFERROR(INDEX(E90:DD90,$F$1),"")</f>
        <v/>
      </c>
      <c r="E90">
        <f>IFERROR(INDEX(PP_Grid[#Data],$DE90,2),0)</f>
        <v/>
      </c>
      <c r="F90">
        <f>IFERROR(INDEX(PP_Grid[#Data],$DE90,3),0)</f>
        <v/>
      </c>
      <c r="G90">
        <f>IFERROR(INDEX(PP_Grid[#Data],$DE90,4),0)</f>
        <v/>
      </c>
      <c r="H90">
        <f>IFERROR(INDEX(PP_Grid[#Data],$DE90,5),0)</f>
        <v/>
      </c>
      <c r="I90">
        <f>IFERROR(INDEX(PP_Grid[#Data],$DE90,6),0)</f>
        <v/>
      </c>
      <c r="J90">
        <f>IFERROR(INDEX(PP_Grid[#Data],$DE90,7),0)</f>
        <v/>
      </c>
      <c r="K90">
        <f>IFERROR(INDEX(PP_Grid[#Data],$DE90,8),0)</f>
        <v/>
      </c>
      <c r="L90">
        <f>IFERROR(INDEX(PP_Grid[#Data],$DE90,9),0)</f>
        <v/>
      </c>
      <c r="M90">
        <f>IFERROR(INDEX(PP_Grid[#Data],$DE90,10),0)</f>
        <v/>
      </c>
      <c r="N90">
        <f>IFERROR(INDEX(PP_Grid[#Data],$DE90,11),0)</f>
        <v/>
      </c>
      <c r="O90">
        <f>IFERROR(INDEX(PP_Grid[#Data],$DE90,12),0)</f>
        <v/>
      </c>
      <c r="P90">
        <f>IFERROR(INDEX(PP_Grid[#Data],$DE90,13),0)</f>
        <v/>
      </c>
      <c r="Q90">
        <f>IFERROR(INDEX(PP_Grid[#Data],$DE90,14),0)</f>
        <v/>
      </c>
      <c r="R90">
        <f>IFERROR(INDEX(PP_Grid[#Data],$DE90,15),0)</f>
        <v/>
      </c>
      <c r="S90">
        <f>IFERROR(INDEX(PP_Grid[#Data],$DE90,16),0)</f>
        <v/>
      </c>
      <c r="T90">
        <f>IFERROR(INDEX(PP_Grid[#Data],$DE90,17),0)</f>
        <v/>
      </c>
      <c r="U90">
        <f>IFERROR(INDEX(PP_Grid[#Data],$DE90,18),0)</f>
        <v/>
      </c>
      <c r="V90">
        <f>IFERROR(INDEX(PP_Grid[#Data],$DE90,19),0)</f>
        <v/>
      </c>
      <c r="W90">
        <f>IFERROR(INDEX(PP_Grid[#Data],$DE90,20),0)</f>
        <v/>
      </c>
      <c r="X90">
        <f>IFERROR(INDEX(PP_Grid[#Data],$DE90,21),0)</f>
        <v/>
      </c>
      <c r="Y90">
        <f>IFERROR(INDEX(PP_Grid[#Data],$DE90,22),0)</f>
        <v/>
      </c>
      <c r="Z90">
        <f>IFERROR(INDEX(PP_Grid[#Data],$DE90,23),0)</f>
        <v/>
      </c>
      <c r="AA90">
        <f>IFERROR(INDEX(PP_Grid[#Data],$DE90,24),0)</f>
        <v/>
      </c>
      <c r="AB90">
        <f>IFERROR(INDEX(PP_Grid[#Data],$DE90,25),0)</f>
        <v/>
      </c>
      <c r="AC90">
        <f>IFERROR(INDEX(PP_Grid[#Data],$DE90,26),0)</f>
        <v/>
      </c>
      <c r="AD90">
        <f>IFERROR(INDEX(PP_Grid[#Data],$DE90,27),0)</f>
        <v/>
      </c>
      <c r="AE90">
        <f>IFERROR(INDEX(PP_Grid[#Data],$DE90,28),0)</f>
        <v/>
      </c>
      <c r="AF90">
        <f>IFERROR(INDEX(PP_Grid[#Data],$DE90,29),0)</f>
        <v/>
      </c>
      <c r="AG90">
        <f>IFERROR(INDEX(PP_Grid[#Data],$DE90,30),0)</f>
        <v/>
      </c>
      <c r="AH90">
        <f>IFERROR(INDEX(PP_Grid[#Data],$DE90,31),0)</f>
        <v/>
      </c>
      <c r="AI90">
        <f>IFERROR(INDEX(PP_Grid[#Data],$DE90,32),0)</f>
        <v/>
      </c>
      <c r="AJ90">
        <f>IFERROR(INDEX(PP_Grid[#Data],$DE90,33),0)</f>
        <v/>
      </c>
      <c r="AK90">
        <f>IFERROR(INDEX(PP_Grid[#Data],$DE90,34),0)</f>
        <v/>
      </c>
      <c r="AL90">
        <f>IFERROR(INDEX(PP_Grid[#Data],$DE90,35),0)</f>
        <v/>
      </c>
      <c r="AM90">
        <f>IFERROR(INDEX(PP_Grid[#Data],$DE90,36),0)</f>
        <v/>
      </c>
      <c r="AN90">
        <f>IFERROR(INDEX(PP_Grid[#Data],$DE90,37),0)</f>
        <v/>
      </c>
      <c r="AO90">
        <f>IFERROR(INDEX(PP_Grid[#Data],$DE90,38),0)</f>
        <v/>
      </c>
      <c r="AP90">
        <f>IFERROR(INDEX(PP_Grid[#Data],$DE90,39),0)</f>
        <v/>
      </c>
      <c r="AQ90">
        <f>IFERROR(INDEX(PP_Grid[#Data],$DE90,40),0)</f>
        <v/>
      </c>
      <c r="AR90">
        <f>IFERROR(INDEX(PP_Grid[#Data],$DE90,41),0)</f>
        <v/>
      </c>
      <c r="AS90">
        <f>IFERROR(INDEX(PP_Grid[#Data],$DE90,42),0)</f>
        <v/>
      </c>
      <c r="AT90">
        <f>IFERROR(INDEX(PP_Grid[#Data],$DE90,43),0)</f>
        <v/>
      </c>
      <c r="AU90">
        <f>IFERROR(INDEX(PP_Grid[#Data],$DE90,44),0)</f>
        <v/>
      </c>
      <c r="AV90">
        <f>IFERROR(INDEX(PP_Grid[#Data],$DE90,45),0)</f>
        <v/>
      </c>
      <c r="AW90">
        <f>IFERROR(INDEX(PP_Grid[#Data],$DE90,46),0)</f>
        <v/>
      </c>
      <c r="AX90">
        <f>IFERROR(INDEX(PP_Grid[#Data],$DE90,47),0)</f>
        <v/>
      </c>
      <c r="AY90">
        <f>IFERROR(INDEX(PP_Grid[#Data],$DE90,48),0)</f>
        <v/>
      </c>
      <c r="AZ90">
        <f>IFERROR(INDEX(PP_Grid[#Data],$DE90,49),0)</f>
        <v/>
      </c>
      <c r="BA90">
        <f>IFERROR(INDEX(PP_Grid[#Data],$DE90,50),0)</f>
        <v/>
      </c>
      <c r="BB90">
        <f>IFERROR(INDEX(PP_Grid[#Data],$DE90,51),0)</f>
        <v/>
      </c>
      <c r="BC90">
        <f>IFERROR(INDEX(PP_Grid[#Data],$DE90,52),0)</f>
        <v/>
      </c>
      <c r="BD90">
        <f>IFERROR(INDEX(PP_Grid[#Data],$DE90,53),0)</f>
        <v/>
      </c>
      <c r="BE90">
        <f>IFERROR(INDEX(PP_Grid[#Data],$DE90,54),0)</f>
        <v/>
      </c>
      <c r="BF90">
        <f>IFERROR(INDEX(PP_Grid[#Data],$DE90,55),0)</f>
        <v/>
      </c>
      <c r="BG90">
        <f>IFERROR(INDEX(PP_Grid[#Data],$DE90,56),0)</f>
        <v/>
      </c>
      <c r="BH90">
        <f>IFERROR(INDEX(PP_Grid[#Data],$DE90,57),0)</f>
        <v/>
      </c>
      <c r="BI90">
        <f>IFERROR(INDEX(PP_Grid[#Data],$DE90,58),0)</f>
        <v/>
      </c>
      <c r="BJ90">
        <f>IFERROR(INDEX(PP_Grid[#Data],$DE90,59),0)</f>
        <v/>
      </c>
      <c r="BK90">
        <f>IFERROR(INDEX(PP_Grid[#Data],$DE90,60),0)</f>
        <v/>
      </c>
      <c r="BL90">
        <f>IFERROR(INDEX(PP_Grid[#Data],$DE90,61),0)</f>
        <v/>
      </c>
      <c r="BM90">
        <f>IFERROR(INDEX(PP_Grid[#Data],$DE90,62),0)</f>
        <v/>
      </c>
      <c r="BN90">
        <f>IFERROR(INDEX(PP_Grid[#Data],$DE90,63),0)</f>
        <v/>
      </c>
      <c r="BO90">
        <f>IFERROR(INDEX(PP_Grid[#Data],$DE90,64),0)</f>
        <v/>
      </c>
      <c r="BP90">
        <f>IFERROR(INDEX(PP_Grid[#Data],$DE90,65),0)</f>
        <v/>
      </c>
      <c r="BQ90">
        <f>IFERROR(INDEX(PP_Grid[#Data],$DE90,66),0)</f>
        <v/>
      </c>
      <c r="BR90">
        <f>IFERROR(INDEX(PP_Grid[#Data],$DE90,67),0)</f>
        <v/>
      </c>
      <c r="BS90">
        <f>IFERROR(INDEX(PP_Grid[#Data],$DE90,68),0)</f>
        <v/>
      </c>
      <c r="BT90">
        <f>IFERROR(INDEX(PP_Grid[#Data],$DE90,69),0)</f>
        <v/>
      </c>
      <c r="BU90">
        <f>IFERROR(INDEX(PP_Grid[#Data],$DE90,70),0)</f>
        <v/>
      </c>
      <c r="BV90">
        <f>IFERROR(INDEX(PP_Grid[#Data],$DE90,71),0)</f>
        <v/>
      </c>
      <c r="BW90">
        <f>IFERROR(INDEX(PP_Grid[#Data],$DE90,72),0)</f>
        <v/>
      </c>
      <c r="BX90">
        <f>IFERROR(INDEX(PP_Grid[#Data],$DE90,73),0)</f>
        <v/>
      </c>
      <c r="BY90">
        <f>IFERROR(INDEX(PP_Grid[#Data],$DE90,74),0)</f>
        <v/>
      </c>
      <c r="BZ90">
        <f>IFERROR(INDEX(PP_Grid[#Data],$DE90,75),0)</f>
        <v/>
      </c>
      <c r="CA90">
        <f>IFERROR(INDEX(PP_Grid[#Data],$DE90,76),0)</f>
        <v/>
      </c>
      <c r="CB90">
        <f>IFERROR(INDEX(PP_Grid[#Data],$DE90,77),0)</f>
        <v/>
      </c>
      <c r="CC90">
        <f>IFERROR(INDEX(PP_Grid[#Data],$DE90,78),0)</f>
        <v/>
      </c>
      <c r="CD90">
        <f>IFERROR(INDEX(PP_Grid[#Data],$DE90,79),0)</f>
        <v/>
      </c>
      <c r="CE90">
        <f>IFERROR(INDEX(PP_Grid[#Data],$DE90,80),0)</f>
        <v/>
      </c>
      <c r="CF90">
        <f>IFERROR(INDEX(PP_Grid[#Data],$DE90,81),0)</f>
        <v/>
      </c>
      <c r="CG90">
        <f>IFERROR(INDEX(PP_Grid[#Data],$DE90,82),0)</f>
        <v/>
      </c>
      <c r="CH90">
        <f>IFERROR(INDEX(PP_Grid[#Data],$DE90,83),0)</f>
        <v/>
      </c>
      <c r="CI90">
        <f>IFERROR(INDEX(PP_Grid[#Data],$DE90,84),0)</f>
        <v/>
      </c>
      <c r="CJ90">
        <f>IFERROR(INDEX(PP_Grid[#Data],$DE90,85),0)</f>
        <v/>
      </c>
      <c r="CK90">
        <f>IFERROR(INDEX(PP_Grid[#Data],$DE90,86),0)</f>
        <v/>
      </c>
      <c r="CL90">
        <f>IFERROR(INDEX(PP_Grid[#Data],$DE90,87),0)</f>
        <v/>
      </c>
      <c r="CM90">
        <f>IFERROR(INDEX(PP_Grid[#Data],$DE90,88),0)</f>
        <v/>
      </c>
      <c r="CN90">
        <f>IFERROR(INDEX(PP_Grid[#Data],$DE90,89),0)</f>
        <v/>
      </c>
      <c r="CO90">
        <f>IFERROR(INDEX(PP_Grid[#Data],$DE90,90),0)</f>
        <v/>
      </c>
      <c r="CP90">
        <f>IFERROR(INDEX(PP_Grid[#Data],$DE90,91),0)</f>
        <v/>
      </c>
      <c r="CQ90">
        <f>IFERROR(INDEX(PP_Grid[#Data],$DE90,92),0)</f>
        <v/>
      </c>
      <c r="CR90">
        <f>IFERROR(INDEX(PP_Grid[#Data],$DE90,93),0)</f>
        <v/>
      </c>
      <c r="CS90">
        <f>IFERROR(INDEX(PP_Grid[#Data],$DE90,94),0)</f>
        <v/>
      </c>
      <c r="CT90">
        <f>IFERROR(INDEX(PP_Grid[#Data],$DE90,95),0)</f>
        <v/>
      </c>
      <c r="CU90">
        <f>IFERROR(INDEX(PP_Grid[#Data],$DE90,96),0)</f>
        <v/>
      </c>
      <c r="CV90">
        <f>IFERROR(INDEX(PP_Grid[#Data],$DE90,97),0)</f>
        <v/>
      </c>
      <c r="CW90">
        <f>IFERROR(INDEX(PP_Grid[#Data],$DE90,98),0)</f>
        <v/>
      </c>
      <c r="CX90">
        <f>IFERROR(INDEX(PP_Grid[#Data],$DE90,99),0)</f>
        <v/>
      </c>
      <c r="CY90">
        <f>IFERROR(INDEX(PP_Grid[#Data],$DE90,100),0)</f>
        <v/>
      </c>
      <c r="CZ90">
        <f>IFERROR(INDEX(PP_Grid[#Data],$DE90,101),0)</f>
        <v/>
      </c>
      <c r="DA90">
        <f>IFERROR(INDEX(PP_Grid[#Data],$DE90,102),0)</f>
        <v/>
      </c>
      <c r="DB90">
        <f>IFERROR(INDEX(PP_Grid[#Data],$DE90,103),0)</f>
        <v/>
      </c>
      <c r="DC90">
        <f>IFERROR(INDEX(PP_Grid[#Data],$DE90,104),0)</f>
        <v/>
      </c>
      <c r="DD90">
        <f>IFERROR(INDEX(PP_Grid[#Data],$DE90,105),0)</f>
        <v/>
      </c>
      <c r="DE90" s="7">
        <f>IFERROR(MATCH($B90,PP_Grid[Intermediate],0),99999)</f>
        <v/>
      </c>
    </row>
    <row r="91">
      <c r="B91" t="inlineStr">
        <is>
          <t>使用量(kg)</t>
        </is>
      </c>
      <c r="C91">
        <f>SUMIFS(M_BOM[RM_Qty_Per_Batch],M_BOM[Intermediate],$B90,M_BOM[RM_Code],$A25)</f>
        <v/>
      </c>
      <c r="D91">
        <f>IFERROR(INDEX(E91:DD91,$F$1),"")</f>
        <v/>
      </c>
      <c r="E91">
        <f>$C91*E90</f>
        <v/>
      </c>
      <c r="F91">
        <f>$C91*F90</f>
        <v/>
      </c>
      <c r="G91">
        <f>$C91*G90</f>
        <v/>
      </c>
      <c r="H91">
        <f>$C91*H90</f>
        <v/>
      </c>
      <c r="I91">
        <f>$C91*I90</f>
        <v/>
      </c>
      <c r="J91">
        <f>$C91*J90</f>
        <v/>
      </c>
      <c r="K91">
        <f>$C91*K90</f>
        <v/>
      </c>
      <c r="L91">
        <f>$C91*L90</f>
        <v/>
      </c>
      <c r="M91">
        <f>$C91*M90</f>
        <v/>
      </c>
      <c r="N91">
        <f>$C91*N90</f>
        <v/>
      </c>
      <c r="O91">
        <f>$C91*O90</f>
        <v/>
      </c>
      <c r="P91">
        <f>$C91*P90</f>
        <v/>
      </c>
      <c r="Q91">
        <f>$C91*Q90</f>
        <v/>
      </c>
      <c r="R91">
        <f>$C91*R90</f>
        <v/>
      </c>
      <c r="S91">
        <f>$C91*S90</f>
        <v/>
      </c>
      <c r="T91">
        <f>$C91*T90</f>
        <v/>
      </c>
      <c r="U91">
        <f>$C91*U90</f>
        <v/>
      </c>
      <c r="V91">
        <f>$C91*V90</f>
        <v/>
      </c>
      <c r="W91">
        <f>$C91*W90</f>
        <v/>
      </c>
      <c r="X91">
        <f>$C91*X90</f>
        <v/>
      </c>
      <c r="Y91">
        <f>$C91*Y90</f>
        <v/>
      </c>
      <c r="Z91">
        <f>$C91*Z90</f>
        <v/>
      </c>
      <c r="AA91">
        <f>$C91*AA90</f>
        <v/>
      </c>
      <c r="AB91">
        <f>$C91*AB90</f>
        <v/>
      </c>
      <c r="AC91">
        <f>$C91*AC90</f>
        <v/>
      </c>
      <c r="AD91">
        <f>$C91*AD90</f>
        <v/>
      </c>
      <c r="AE91">
        <f>$C91*AE90</f>
        <v/>
      </c>
      <c r="AF91">
        <f>$C91*AF90</f>
        <v/>
      </c>
      <c r="AG91">
        <f>$C91*AG90</f>
        <v/>
      </c>
      <c r="AH91">
        <f>$C91*AH90</f>
        <v/>
      </c>
      <c r="AI91">
        <f>$C91*AI90</f>
        <v/>
      </c>
      <c r="AJ91">
        <f>$C91*AJ90</f>
        <v/>
      </c>
      <c r="AK91">
        <f>$C91*AK90</f>
        <v/>
      </c>
      <c r="AL91">
        <f>$C91*AL90</f>
        <v/>
      </c>
      <c r="AM91">
        <f>$C91*AM90</f>
        <v/>
      </c>
      <c r="AN91">
        <f>$C91*AN90</f>
        <v/>
      </c>
      <c r="AO91">
        <f>$C91*AO90</f>
        <v/>
      </c>
      <c r="AP91">
        <f>$C91*AP90</f>
        <v/>
      </c>
      <c r="AQ91">
        <f>$C91*AQ90</f>
        <v/>
      </c>
      <c r="AR91">
        <f>$C91*AR90</f>
        <v/>
      </c>
      <c r="AS91">
        <f>$C91*AS90</f>
        <v/>
      </c>
      <c r="AT91">
        <f>$C91*AT90</f>
        <v/>
      </c>
      <c r="AU91">
        <f>$C91*AU90</f>
        <v/>
      </c>
      <c r="AV91">
        <f>$C91*AV90</f>
        <v/>
      </c>
      <c r="AW91">
        <f>$C91*AW90</f>
        <v/>
      </c>
      <c r="AX91">
        <f>$C91*AX90</f>
        <v/>
      </c>
      <c r="AY91">
        <f>$C91*AY90</f>
        <v/>
      </c>
      <c r="AZ91">
        <f>$C91*AZ90</f>
        <v/>
      </c>
      <c r="BA91">
        <f>$C91*BA90</f>
        <v/>
      </c>
      <c r="BB91">
        <f>$C91*BB90</f>
        <v/>
      </c>
      <c r="BC91">
        <f>$C91*BC90</f>
        <v/>
      </c>
      <c r="BD91">
        <f>$C91*BD90</f>
        <v/>
      </c>
      <c r="BE91">
        <f>$C91*BE90</f>
        <v/>
      </c>
      <c r="BF91">
        <f>$C91*BF90</f>
        <v/>
      </c>
      <c r="BG91">
        <f>$C91*BG90</f>
        <v/>
      </c>
      <c r="BH91">
        <f>$C91*BH90</f>
        <v/>
      </c>
      <c r="BI91">
        <f>$C91*BI90</f>
        <v/>
      </c>
      <c r="BJ91">
        <f>$C91*BJ90</f>
        <v/>
      </c>
      <c r="BK91">
        <f>$C91*BK90</f>
        <v/>
      </c>
      <c r="BL91">
        <f>$C91*BL90</f>
        <v/>
      </c>
      <c r="BM91">
        <f>$C91*BM90</f>
        <v/>
      </c>
      <c r="BN91">
        <f>$C91*BN90</f>
        <v/>
      </c>
      <c r="BO91">
        <f>$C91*BO90</f>
        <v/>
      </c>
      <c r="BP91">
        <f>$C91*BP90</f>
        <v/>
      </c>
      <c r="BQ91">
        <f>$C91*BQ90</f>
        <v/>
      </c>
      <c r="BR91">
        <f>$C91*BR90</f>
        <v/>
      </c>
      <c r="BS91">
        <f>$C91*BS90</f>
        <v/>
      </c>
      <c r="BT91">
        <f>$C91*BT90</f>
        <v/>
      </c>
      <c r="BU91">
        <f>$C91*BU90</f>
        <v/>
      </c>
      <c r="BV91">
        <f>$C91*BV90</f>
        <v/>
      </c>
      <c r="BW91">
        <f>$C91*BW90</f>
        <v/>
      </c>
      <c r="BX91">
        <f>$C91*BX90</f>
        <v/>
      </c>
      <c r="BY91">
        <f>$C91*BY90</f>
        <v/>
      </c>
      <c r="BZ91">
        <f>$C91*BZ90</f>
        <v/>
      </c>
      <c r="CA91">
        <f>$C91*CA90</f>
        <v/>
      </c>
      <c r="CB91">
        <f>$C91*CB90</f>
        <v/>
      </c>
      <c r="CC91">
        <f>$C91*CC90</f>
        <v/>
      </c>
      <c r="CD91">
        <f>$C91*CD90</f>
        <v/>
      </c>
      <c r="CE91">
        <f>$C91*CE90</f>
        <v/>
      </c>
      <c r="CF91">
        <f>$C91*CF90</f>
        <v/>
      </c>
      <c r="CG91">
        <f>$C91*CG90</f>
        <v/>
      </c>
      <c r="CH91">
        <f>$C91*CH90</f>
        <v/>
      </c>
      <c r="CI91">
        <f>$C91*CI90</f>
        <v/>
      </c>
      <c r="CJ91">
        <f>$C91*CJ90</f>
        <v/>
      </c>
      <c r="CK91">
        <f>$C91*CK90</f>
        <v/>
      </c>
      <c r="CL91">
        <f>$C91*CL90</f>
        <v/>
      </c>
      <c r="CM91">
        <f>$C91*CM90</f>
        <v/>
      </c>
      <c r="CN91">
        <f>$C91*CN90</f>
        <v/>
      </c>
      <c r="CO91">
        <f>$C91*CO90</f>
        <v/>
      </c>
      <c r="CP91">
        <f>$C91*CP90</f>
        <v/>
      </c>
      <c r="CQ91">
        <f>$C91*CQ90</f>
        <v/>
      </c>
      <c r="CR91">
        <f>$C91*CR90</f>
        <v/>
      </c>
      <c r="CS91">
        <f>$C91*CS90</f>
        <v/>
      </c>
      <c r="CT91">
        <f>$C91*CT90</f>
        <v/>
      </c>
      <c r="CU91">
        <f>$C91*CU90</f>
        <v/>
      </c>
      <c r="CV91">
        <f>$C91*CV90</f>
        <v/>
      </c>
      <c r="CW91">
        <f>$C91*CW90</f>
        <v/>
      </c>
      <c r="CX91">
        <f>$C91*CX90</f>
        <v/>
      </c>
      <c r="CY91">
        <f>$C91*CY90</f>
        <v/>
      </c>
      <c r="CZ91">
        <f>$C91*CZ90</f>
        <v/>
      </c>
      <c r="DA91">
        <f>$C91*DA90</f>
        <v/>
      </c>
      <c r="DB91">
        <f>$C91*DB90</f>
        <v/>
      </c>
      <c r="DC91">
        <f>$C91*DC90</f>
        <v/>
      </c>
      <c r="DD91">
        <f>$C91*DD90</f>
        <v/>
      </c>
    </row>
    <row r="92">
      <c r="B92" t="inlineStr">
        <is>
          <t>VSP-746</t>
        </is>
      </c>
      <c r="C92" t="inlineStr">
        <is>
          <t>No. of batches</t>
        </is>
      </c>
      <c r="D92">
        <f>IFERROR(INDEX(E92:DD92,$F$1),"")</f>
        <v/>
      </c>
      <c r="E92">
        <f>IFERROR(INDEX(PP_Grid[#Data],$DE92,2),0)</f>
        <v/>
      </c>
      <c r="F92">
        <f>IFERROR(INDEX(PP_Grid[#Data],$DE92,3),0)</f>
        <v/>
      </c>
      <c r="G92">
        <f>IFERROR(INDEX(PP_Grid[#Data],$DE92,4),0)</f>
        <v/>
      </c>
      <c r="H92">
        <f>IFERROR(INDEX(PP_Grid[#Data],$DE92,5),0)</f>
        <v/>
      </c>
      <c r="I92">
        <f>IFERROR(INDEX(PP_Grid[#Data],$DE92,6),0)</f>
        <v/>
      </c>
      <c r="J92">
        <f>IFERROR(INDEX(PP_Grid[#Data],$DE92,7),0)</f>
        <v/>
      </c>
      <c r="K92">
        <f>IFERROR(INDEX(PP_Grid[#Data],$DE92,8),0)</f>
        <v/>
      </c>
      <c r="L92">
        <f>IFERROR(INDEX(PP_Grid[#Data],$DE92,9),0)</f>
        <v/>
      </c>
      <c r="M92">
        <f>IFERROR(INDEX(PP_Grid[#Data],$DE92,10),0)</f>
        <v/>
      </c>
      <c r="N92">
        <f>IFERROR(INDEX(PP_Grid[#Data],$DE92,11),0)</f>
        <v/>
      </c>
      <c r="O92">
        <f>IFERROR(INDEX(PP_Grid[#Data],$DE92,12),0)</f>
        <v/>
      </c>
      <c r="P92">
        <f>IFERROR(INDEX(PP_Grid[#Data],$DE92,13),0)</f>
        <v/>
      </c>
      <c r="Q92">
        <f>IFERROR(INDEX(PP_Grid[#Data],$DE92,14),0)</f>
        <v/>
      </c>
      <c r="R92">
        <f>IFERROR(INDEX(PP_Grid[#Data],$DE92,15),0)</f>
        <v/>
      </c>
      <c r="S92">
        <f>IFERROR(INDEX(PP_Grid[#Data],$DE92,16),0)</f>
        <v/>
      </c>
      <c r="T92">
        <f>IFERROR(INDEX(PP_Grid[#Data],$DE92,17),0)</f>
        <v/>
      </c>
      <c r="U92">
        <f>IFERROR(INDEX(PP_Grid[#Data],$DE92,18),0)</f>
        <v/>
      </c>
      <c r="V92">
        <f>IFERROR(INDEX(PP_Grid[#Data],$DE92,19),0)</f>
        <v/>
      </c>
      <c r="W92">
        <f>IFERROR(INDEX(PP_Grid[#Data],$DE92,20),0)</f>
        <v/>
      </c>
      <c r="X92">
        <f>IFERROR(INDEX(PP_Grid[#Data],$DE92,21),0)</f>
        <v/>
      </c>
      <c r="Y92">
        <f>IFERROR(INDEX(PP_Grid[#Data],$DE92,22),0)</f>
        <v/>
      </c>
      <c r="Z92">
        <f>IFERROR(INDEX(PP_Grid[#Data],$DE92,23),0)</f>
        <v/>
      </c>
      <c r="AA92">
        <f>IFERROR(INDEX(PP_Grid[#Data],$DE92,24),0)</f>
        <v/>
      </c>
      <c r="AB92">
        <f>IFERROR(INDEX(PP_Grid[#Data],$DE92,25),0)</f>
        <v/>
      </c>
      <c r="AC92">
        <f>IFERROR(INDEX(PP_Grid[#Data],$DE92,26),0)</f>
        <v/>
      </c>
      <c r="AD92">
        <f>IFERROR(INDEX(PP_Grid[#Data],$DE92,27),0)</f>
        <v/>
      </c>
      <c r="AE92">
        <f>IFERROR(INDEX(PP_Grid[#Data],$DE92,28),0)</f>
        <v/>
      </c>
      <c r="AF92">
        <f>IFERROR(INDEX(PP_Grid[#Data],$DE92,29),0)</f>
        <v/>
      </c>
      <c r="AG92">
        <f>IFERROR(INDEX(PP_Grid[#Data],$DE92,30),0)</f>
        <v/>
      </c>
      <c r="AH92">
        <f>IFERROR(INDEX(PP_Grid[#Data],$DE92,31),0)</f>
        <v/>
      </c>
      <c r="AI92">
        <f>IFERROR(INDEX(PP_Grid[#Data],$DE92,32),0)</f>
        <v/>
      </c>
      <c r="AJ92">
        <f>IFERROR(INDEX(PP_Grid[#Data],$DE92,33),0)</f>
        <v/>
      </c>
      <c r="AK92">
        <f>IFERROR(INDEX(PP_Grid[#Data],$DE92,34),0)</f>
        <v/>
      </c>
      <c r="AL92">
        <f>IFERROR(INDEX(PP_Grid[#Data],$DE92,35),0)</f>
        <v/>
      </c>
      <c r="AM92">
        <f>IFERROR(INDEX(PP_Grid[#Data],$DE92,36),0)</f>
        <v/>
      </c>
      <c r="AN92">
        <f>IFERROR(INDEX(PP_Grid[#Data],$DE92,37),0)</f>
        <v/>
      </c>
      <c r="AO92">
        <f>IFERROR(INDEX(PP_Grid[#Data],$DE92,38),0)</f>
        <v/>
      </c>
      <c r="AP92">
        <f>IFERROR(INDEX(PP_Grid[#Data],$DE92,39),0)</f>
        <v/>
      </c>
      <c r="AQ92">
        <f>IFERROR(INDEX(PP_Grid[#Data],$DE92,40),0)</f>
        <v/>
      </c>
      <c r="AR92">
        <f>IFERROR(INDEX(PP_Grid[#Data],$DE92,41),0)</f>
        <v/>
      </c>
      <c r="AS92">
        <f>IFERROR(INDEX(PP_Grid[#Data],$DE92,42),0)</f>
        <v/>
      </c>
      <c r="AT92">
        <f>IFERROR(INDEX(PP_Grid[#Data],$DE92,43),0)</f>
        <v/>
      </c>
      <c r="AU92">
        <f>IFERROR(INDEX(PP_Grid[#Data],$DE92,44),0)</f>
        <v/>
      </c>
      <c r="AV92">
        <f>IFERROR(INDEX(PP_Grid[#Data],$DE92,45),0)</f>
        <v/>
      </c>
      <c r="AW92">
        <f>IFERROR(INDEX(PP_Grid[#Data],$DE92,46),0)</f>
        <v/>
      </c>
      <c r="AX92">
        <f>IFERROR(INDEX(PP_Grid[#Data],$DE92,47),0)</f>
        <v/>
      </c>
      <c r="AY92">
        <f>IFERROR(INDEX(PP_Grid[#Data],$DE92,48),0)</f>
        <v/>
      </c>
      <c r="AZ92">
        <f>IFERROR(INDEX(PP_Grid[#Data],$DE92,49),0)</f>
        <v/>
      </c>
      <c r="BA92">
        <f>IFERROR(INDEX(PP_Grid[#Data],$DE92,50),0)</f>
        <v/>
      </c>
      <c r="BB92">
        <f>IFERROR(INDEX(PP_Grid[#Data],$DE92,51),0)</f>
        <v/>
      </c>
      <c r="BC92">
        <f>IFERROR(INDEX(PP_Grid[#Data],$DE92,52),0)</f>
        <v/>
      </c>
      <c r="BD92">
        <f>IFERROR(INDEX(PP_Grid[#Data],$DE92,53),0)</f>
        <v/>
      </c>
      <c r="BE92">
        <f>IFERROR(INDEX(PP_Grid[#Data],$DE92,54),0)</f>
        <v/>
      </c>
      <c r="BF92">
        <f>IFERROR(INDEX(PP_Grid[#Data],$DE92,55),0)</f>
        <v/>
      </c>
      <c r="BG92">
        <f>IFERROR(INDEX(PP_Grid[#Data],$DE92,56),0)</f>
        <v/>
      </c>
      <c r="BH92">
        <f>IFERROR(INDEX(PP_Grid[#Data],$DE92,57),0)</f>
        <v/>
      </c>
      <c r="BI92">
        <f>IFERROR(INDEX(PP_Grid[#Data],$DE92,58),0)</f>
        <v/>
      </c>
      <c r="BJ92">
        <f>IFERROR(INDEX(PP_Grid[#Data],$DE92,59),0)</f>
        <v/>
      </c>
      <c r="BK92">
        <f>IFERROR(INDEX(PP_Grid[#Data],$DE92,60),0)</f>
        <v/>
      </c>
      <c r="BL92">
        <f>IFERROR(INDEX(PP_Grid[#Data],$DE92,61),0)</f>
        <v/>
      </c>
      <c r="BM92">
        <f>IFERROR(INDEX(PP_Grid[#Data],$DE92,62),0)</f>
        <v/>
      </c>
      <c r="BN92">
        <f>IFERROR(INDEX(PP_Grid[#Data],$DE92,63),0)</f>
        <v/>
      </c>
      <c r="BO92">
        <f>IFERROR(INDEX(PP_Grid[#Data],$DE92,64),0)</f>
        <v/>
      </c>
      <c r="BP92">
        <f>IFERROR(INDEX(PP_Grid[#Data],$DE92,65),0)</f>
        <v/>
      </c>
      <c r="BQ92">
        <f>IFERROR(INDEX(PP_Grid[#Data],$DE92,66),0)</f>
        <v/>
      </c>
      <c r="BR92">
        <f>IFERROR(INDEX(PP_Grid[#Data],$DE92,67),0)</f>
        <v/>
      </c>
      <c r="BS92">
        <f>IFERROR(INDEX(PP_Grid[#Data],$DE92,68),0)</f>
        <v/>
      </c>
      <c r="BT92">
        <f>IFERROR(INDEX(PP_Grid[#Data],$DE92,69),0)</f>
        <v/>
      </c>
      <c r="BU92">
        <f>IFERROR(INDEX(PP_Grid[#Data],$DE92,70),0)</f>
        <v/>
      </c>
      <c r="BV92">
        <f>IFERROR(INDEX(PP_Grid[#Data],$DE92,71),0)</f>
        <v/>
      </c>
      <c r="BW92">
        <f>IFERROR(INDEX(PP_Grid[#Data],$DE92,72),0)</f>
        <v/>
      </c>
      <c r="BX92">
        <f>IFERROR(INDEX(PP_Grid[#Data],$DE92,73),0)</f>
        <v/>
      </c>
      <c r="BY92">
        <f>IFERROR(INDEX(PP_Grid[#Data],$DE92,74),0)</f>
        <v/>
      </c>
      <c r="BZ92">
        <f>IFERROR(INDEX(PP_Grid[#Data],$DE92,75),0)</f>
        <v/>
      </c>
      <c r="CA92">
        <f>IFERROR(INDEX(PP_Grid[#Data],$DE92,76),0)</f>
        <v/>
      </c>
      <c r="CB92">
        <f>IFERROR(INDEX(PP_Grid[#Data],$DE92,77),0)</f>
        <v/>
      </c>
      <c r="CC92">
        <f>IFERROR(INDEX(PP_Grid[#Data],$DE92,78),0)</f>
        <v/>
      </c>
      <c r="CD92">
        <f>IFERROR(INDEX(PP_Grid[#Data],$DE92,79),0)</f>
        <v/>
      </c>
      <c r="CE92">
        <f>IFERROR(INDEX(PP_Grid[#Data],$DE92,80),0)</f>
        <v/>
      </c>
      <c r="CF92">
        <f>IFERROR(INDEX(PP_Grid[#Data],$DE92,81),0)</f>
        <v/>
      </c>
      <c r="CG92">
        <f>IFERROR(INDEX(PP_Grid[#Data],$DE92,82),0)</f>
        <v/>
      </c>
      <c r="CH92">
        <f>IFERROR(INDEX(PP_Grid[#Data],$DE92,83),0)</f>
        <v/>
      </c>
      <c r="CI92">
        <f>IFERROR(INDEX(PP_Grid[#Data],$DE92,84),0)</f>
        <v/>
      </c>
      <c r="CJ92">
        <f>IFERROR(INDEX(PP_Grid[#Data],$DE92,85),0)</f>
        <v/>
      </c>
      <c r="CK92">
        <f>IFERROR(INDEX(PP_Grid[#Data],$DE92,86),0)</f>
        <v/>
      </c>
      <c r="CL92">
        <f>IFERROR(INDEX(PP_Grid[#Data],$DE92,87),0)</f>
        <v/>
      </c>
      <c r="CM92">
        <f>IFERROR(INDEX(PP_Grid[#Data],$DE92,88),0)</f>
        <v/>
      </c>
      <c r="CN92">
        <f>IFERROR(INDEX(PP_Grid[#Data],$DE92,89),0)</f>
        <v/>
      </c>
      <c r="CO92">
        <f>IFERROR(INDEX(PP_Grid[#Data],$DE92,90),0)</f>
        <v/>
      </c>
      <c r="CP92">
        <f>IFERROR(INDEX(PP_Grid[#Data],$DE92,91),0)</f>
        <v/>
      </c>
      <c r="CQ92">
        <f>IFERROR(INDEX(PP_Grid[#Data],$DE92,92),0)</f>
        <v/>
      </c>
      <c r="CR92">
        <f>IFERROR(INDEX(PP_Grid[#Data],$DE92,93),0)</f>
        <v/>
      </c>
      <c r="CS92">
        <f>IFERROR(INDEX(PP_Grid[#Data],$DE92,94),0)</f>
        <v/>
      </c>
      <c r="CT92">
        <f>IFERROR(INDEX(PP_Grid[#Data],$DE92,95),0)</f>
        <v/>
      </c>
      <c r="CU92">
        <f>IFERROR(INDEX(PP_Grid[#Data],$DE92,96),0)</f>
        <v/>
      </c>
      <c r="CV92">
        <f>IFERROR(INDEX(PP_Grid[#Data],$DE92,97),0)</f>
        <v/>
      </c>
      <c r="CW92">
        <f>IFERROR(INDEX(PP_Grid[#Data],$DE92,98),0)</f>
        <v/>
      </c>
      <c r="CX92">
        <f>IFERROR(INDEX(PP_Grid[#Data],$DE92,99),0)</f>
        <v/>
      </c>
      <c r="CY92">
        <f>IFERROR(INDEX(PP_Grid[#Data],$DE92,100),0)</f>
        <v/>
      </c>
      <c r="CZ92">
        <f>IFERROR(INDEX(PP_Grid[#Data],$DE92,101),0)</f>
        <v/>
      </c>
      <c r="DA92">
        <f>IFERROR(INDEX(PP_Grid[#Data],$DE92,102),0)</f>
        <v/>
      </c>
      <c r="DB92">
        <f>IFERROR(INDEX(PP_Grid[#Data],$DE92,103),0)</f>
        <v/>
      </c>
      <c r="DC92">
        <f>IFERROR(INDEX(PP_Grid[#Data],$DE92,104),0)</f>
        <v/>
      </c>
      <c r="DD92">
        <f>IFERROR(INDEX(PP_Grid[#Data],$DE92,105),0)</f>
        <v/>
      </c>
      <c r="DE92" s="7">
        <f>IFERROR(MATCH($B92,PP_Grid[Intermediate],0),99999)</f>
        <v/>
      </c>
    </row>
    <row r="93">
      <c r="B93" t="inlineStr">
        <is>
          <t>使用量(kg)</t>
        </is>
      </c>
      <c r="C93">
        <f>SUMIFS(M_BOM[RM_Qty_Per_Batch],M_BOM[Intermediate],$B92,M_BOM[RM_Code],$A25)</f>
        <v/>
      </c>
      <c r="D93">
        <f>IFERROR(INDEX(E93:DD93,$F$1),"")</f>
        <v/>
      </c>
      <c r="E93">
        <f>$C93*E92</f>
        <v/>
      </c>
      <c r="F93">
        <f>$C93*F92</f>
        <v/>
      </c>
      <c r="G93">
        <f>$C93*G92</f>
        <v/>
      </c>
      <c r="H93">
        <f>$C93*H92</f>
        <v/>
      </c>
      <c r="I93">
        <f>$C93*I92</f>
        <v/>
      </c>
      <c r="J93">
        <f>$C93*J92</f>
        <v/>
      </c>
      <c r="K93">
        <f>$C93*K92</f>
        <v/>
      </c>
      <c r="L93">
        <f>$C93*L92</f>
        <v/>
      </c>
      <c r="M93">
        <f>$C93*M92</f>
        <v/>
      </c>
      <c r="N93">
        <f>$C93*N92</f>
        <v/>
      </c>
      <c r="O93">
        <f>$C93*O92</f>
        <v/>
      </c>
      <c r="P93">
        <f>$C93*P92</f>
        <v/>
      </c>
      <c r="Q93">
        <f>$C93*Q92</f>
        <v/>
      </c>
      <c r="R93">
        <f>$C93*R92</f>
        <v/>
      </c>
      <c r="S93">
        <f>$C93*S92</f>
        <v/>
      </c>
      <c r="T93">
        <f>$C93*T92</f>
        <v/>
      </c>
      <c r="U93">
        <f>$C93*U92</f>
        <v/>
      </c>
      <c r="V93">
        <f>$C93*V92</f>
        <v/>
      </c>
      <c r="W93">
        <f>$C93*W92</f>
        <v/>
      </c>
      <c r="X93">
        <f>$C93*X92</f>
        <v/>
      </c>
      <c r="Y93">
        <f>$C93*Y92</f>
        <v/>
      </c>
      <c r="Z93">
        <f>$C93*Z92</f>
        <v/>
      </c>
      <c r="AA93">
        <f>$C93*AA92</f>
        <v/>
      </c>
      <c r="AB93">
        <f>$C93*AB92</f>
        <v/>
      </c>
      <c r="AC93">
        <f>$C93*AC92</f>
        <v/>
      </c>
      <c r="AD93">
        <f>$C93*AD92</f>
        <v/>
      </c>
      <c r="AE93">
        <f>$C93*AE92</f>
        <v/>
      </c>
      <c r="AF93">
        <f>$C93*AF92</f>
        <v/>
      </c>
      <c r="AG93">
        <f>$C93*AG92</f>
        <v/>
      </c>
      <c r="AH93">
        <f>$C93*AH92</f>
        <v/>
      </c>
      <c r="AI93">
        <f>$C93*AI92</f>
        <v/>
      </c>
      <c r="AJ93">
        <f>$C93*AJ92</f>
        <v/>
      </c>
      <c r="AK93">
        <f>$C93*AK92</f>
        <v/>
      </c>
      <c r="AL93">
        <f>$C93*AL92</f>
        <v/>
      </c>
      <c r="AM93">
        <f>$C93*AM92</f>
        <v/>
      </c>
      <c r="AN93">
        <f>$C93*AN92</f>
        <v/>
      </c>
      <c r="AO93">
        <f>$C93*AO92</f>
        <v/>
      </c>
      <c r="AP93">
        <f>$C93*AP92</f>
        <v/>
      </c>
      <c r="AQ93">
        <f>$C93*AQ92</f>
        <v/>
      </c>
      <c r="AR93">
        <f>$C93*AR92</f>
        <v/>
      </c>
      <c r="AS93">
        <f>$C93*AS92</f>
        <v/>
      </c>
      <c r="AT93">
        <f>$C93*AT92</f>
        <v/>
      </c>
      <c r="AU93">
        <f>$C93*AU92</f>
        <v/>
      </c>
      <c r="AV93">
        <f>$C93*AV92</f>
        <v/>
      </c>
      <c r="AW93">
        <f>$C93*AW92</f>
        <v/>
      </c>
      <c r="AX93">
        <f>$C93*AX92</f>
        <v/>
      </c>
      <c r="AY93">
        <f>$C93*AY92</f>
        <v/>
      </c>
      <c r="AZ93">
        <f>$C93*AZ92</f>
        <v/>
      </c>
      <c r="BA93">
        <f>$C93*BA92</f>
        <v/>
      </c>
      <c r="BB93">
        <f>$C93*BB92</f>
        <v/>
      </c>
      <c r="BC93">
        <f>$C93*BC92</f>
        <v/>
      </c>
      <c r="BD93">
        <f>$C93*BD92</f>
        <v/>
      </c>
      <c r="BE93">
        <f>$C93*BE92</f>
        <v/>
      </c>
      <c r="BF93">
        <f>$C93*BF92</f>
        <v/>
      </c>
      <c r="BG93">
        <f>$C93*BG92</f>
        <v/>
      </c>
      <c r="BH93">
        <f>$C93*BH92</f>
        <v/>
      </c>
      <c r="BI93">
        <f>$C93*BI92</f>
        <v/>
      </c>
      <c r="BJ93">
        <f>$C93*BJ92</f>
        <v/>
      </c>
      <c r="BK93">
        <f>$C93*BK92</f>
        <v/>
      </c>
      <c r="BL93">
        <f>$C93*BL92</f>
        <v/>
      </c>
      <c r="BM93">
        <f>$C93*BM92</f>
        <v/>
      </c>
      <c r="BN93">
        <f>$C93*BN92</f>
        <v/>
      </c>
      <c r="BO93">
        <f>$C93*BO92</f>
        <v/>
      </c>
      <c r="BP93">
        <f>$C93*BP92</f>
        <v/>
      </c>
      <c r="BQ93">
        <f>$C93*BQ92</f>
        <v/>
      </c>
      <c r="BR93">
        <f>$C93*BR92</f>
        <v/>
      </c>
      <c r="BS93">
        <f>$C93*BS92</f>
        <v/>
      </c>
      <c r="BT93">
        <f>$C93*BT92</f>
        <v/>
      </c>
      <c r="BU93">
        <f>$C93*BU92</f>
        <v/>
      </c>
      <c r="BV93">
        <f>$C93*BV92</f>
        <v/>
      </c>
      <c r="BW93">
        <f>$C93*BW92</f>
        <v/>
      </c>
      <c r="BX93">
        <f>$C93*BX92</f>
        <v/>
      </c>
      <c r="BY93">
        <f>$C93*BY92</f>
        <v/>
      </c>
      <c r="BZ93">
        <f>$C93*BZ92</f>
        <v/>
      </c>
      <c r="CA93">
        <f>$C93*CA92</f>
        <v/>
      </c>
      <c r="CB93">
        <f>$C93*CB92</f>
        <v/>
      </c>
      <c r="CC93">
        <f>$C93*CC92</f>
        <v/>
      </c>
      <c r="CD93">
        <f>$C93*CD92</f>
        <v/>
      </c>
      <c r="CE93">
        <f>$C93*CE92</f>
        <v/>
      </c>
      <c r="CF93">
        <f>$C93*CF92</f>
        <v/>
      </c>
      <c r="CG93">
        <f>$C93*CG92</f>
        <v/>
      </c>
      <c r="CH93">
        <f>$C93*CH92</f>
        <v/>
      </c>
      <c r="CI93">
        <f>$C93*CI92</f>
        <v/>
      </c>
      <c r="CJ93">
        <f>$C93*CJ92</f>
        <v/>
      </c>
      <c r="CK93">
        <f>$C93*CK92</f>
        <v/>
      </c>
      <c r="CL93">
        <f>$C93*CL92</f>
        <v/>
      </c>
      <c r="CM93">
        <f>$C93*CM92</f>
        <v/>
      </c>
      <c r="CN93">
        <f>$C93*CN92</f>
        <v/>
      </c>
      <c r="CO93">
        <f>$C93*CO92</f>
        <v/>
      </c>
      <c r="CP93">
        <f>$C93*CP92</f>
        <v/>
      </c>
      <c r="CQ93">
        <f>$C93*CQ92</f>
        <v/>
      </c>
      <c r="CR93">
        <f>$C93*CR92</f>
        <v/>
      </c>
      <c r="CS93">
        <f>$C93*CS92</f>
        <v/>
      </c>
      <c r="CT93">
        <f>$C93*CT92</f>
        <v/>
      </c>
      <c r="CU93">
        <f>$C93*CU92</f>
        <v/>
      </c>
      <c r="CV93">
        <f>$C93*CV92</f>
        <v/>
      </c>
      <c r="CW93">
        <f>$C93*CW92</f>
        <v/>
      </c>
      <c r="CX93">
        <f>$C93*CX92</f>
        <v/>
      </c>
      <c r="CY93">
        <f>$C93*CY92</f>
        <v/>
      </c>
      <c r="CZ93">
        <f>$C93*CZ92</f>
        <v/>
      </c>
      <c r="DA93">
        <f>$C93*DA92</f>
        <v/>
      </c>
      <c r="DB93">
        <f>$C93*DB92</f>
        <v/>
      </c>
      <c r="DC93">
        <f>$C93*DC92</f>
        <v/>
      </c>
      <c r="DD93">
        <f>$C93*DD92</f>
        <v/>
      </c>
    </row>
    <row r="94">
      <c r="B94" t="inlineStr">
        <is>
          <t>VSP-820</t>
        </is>
      </c>
      <c r="C94" t="inlineStr">
        <is>
          <t>No. of batches</t>
        </is>
      </c>
      <c r="D94">
        <f>IFERROR(INDEX(E94:DD94,$F$1),"")</f>
        <v/>
      </c>
      <c r="E94">
        <f>IFERROR(INDEX(PP_Grid[#Data],$DE94,2),0)</f>
        <v/>
      </c>
      <c r="F94">
        <f>IFERROR(INDEX(PP_Grid[#Data],$DE94,3),0)</f>
        <v/>
      </c>
      <c r="G94">
        <f>IFERROR(INDEX(PP_Grid[#Data],$DE94,4),0)</f>
        <v/>
      </c>
      <c r="H94">
        <f>IFERROR(INDEX(PP_Grid[#Data],$DE94,5),0)</f>
        <v/>
      </c>
      <c r="I94">
        <f>IFERROR(INDEX(PP_Grid[#Data],$DE94,6),0)</f>
        <v/>
      </c>
      <c r="J94">
        <f>IFERROR(INDEX(PP_Grid[#Data],$DE94,7),0)</f>
        <v/>
      </c>
      <c r="K94">
        <f>IFERROR(INDEX(PP_Grid[#Data],$DE94,8),0)</f>
        <v/>
      </c>
      <c r="L94">
        <f>IFERROR(INDEX(PP_Grid[#Data],$DE94,9),0)</f>
        <v/>
      </c>
      <c r="M94">
        <f>IFERROR(INDEX(PP_Grid[#Data],$DE94,10),0)</f>
        <v/>
      </c>
      <c r="N94">
        <f>IFERROR(INDEX(PP_Grid[#Data],$DE94,11),0)</f>
        <v/>
      </c>
      <c r="O94">
        <f>IFERROR(INDEX(PP_Grid[#Data],$DE94,12),0)</f>
        <v/>
      </c>
      <c r="P94">
        <f>IFERROR(INDEX(PP_Grid[#Data],$DE94,13),0)</f>
        <v/>
      </c>
      <c r="Q94">
        <f>IFERROR(INDEX(PP_Grid[#Data],$DE94,14),0)</f>
        <v/>
      </c>
      <c r="R94">
        <f>IFERROR(INDEX(PP_Grid[#Data],$DE94,15),0)</f>
        <v/>
      </c>
      <c r="S94">
        <f>IFERROR(INDEX(PP_Grid[#Data],$DE94,16),0)</f>
        <v/>
      </c>
      <c r="T94">
        <f>IFERROR(INDEX(PP_Grid[#Data],$DE94,17),0)</f>
        <v/>
      </c>
      <c r="U94">
        <f>IFERROR(INDEX(PP_Grid[#Data],$DE94,18),0)</f>
        <v/>
      </c>
      <c r="V94">
        <f>IFERROR(INDEX(PP_Grid[#Data],$DE94,19),0)</f>
        <v/>
      </c>
      <c r="W94">
        <f>IFERROR(INDEX(PP_Grid[#Data],$DE94,20),0)</f>
        <v/>
      </c>
      <c r="X94">
        <f>IFERROR(INDEX(PP_Grid[#Data],$DE94,21),0)</f>
        <v/>
      </c>
      <c r="Y94">
        <f>IFERROR(INDEX(PP_Grid[#Data],$DE94,22),0)</f>
        <v/>
      </c>
      <c r="Z94">
        <f>IFERROR(INDEX(PP_Grid[#Data],$DE94,23),0)</f>
        <v/>
      </c>
      <c r="AA94">
        <f>IFERROR(INDEX(PP_Grid[#Data],$DE94,24),0)</f>
        <v/>
      </c>
      <c r="AB94">
        <f>IFERROR(INDEX(PP_Grid[#Data],$DE94,25),0)</f>
        <v/>
      </c>
      <c r="AC94">
        <f>IFERROR(INDEX(PP_Grid[#Data],$DE94,26),0)</f>
        <v/>
      </c>
      <c r="AD94">
        <f>IFERROR(INDEX(PP_Grid[#Data],$DE94,27),0)</f>
        <v/>
      </c>
      <c r="AE94">
        <f>IFERROR(INDEX(PP_Grid[#Data],$DE94,28),0)</f>
        <v/>
      </c>
      <c r="AF94">
        <f>IFERROR(INDEX(PP_Grid[#Data],$DE94,29),0)</f>
        <v/>
      </c>
      <c r="AG94">
        <f>IFERROR(INDEX(PP_Grid[#Data],$DE94,30),0)</f>
        <v/>
      </c>
      <c r="AH94">
        <f>IFERROR(INDEX(PP_Grid[#Data],$DE94,31),0)</f>
        <v/>
      </c>
      <c r="AI94">
        <f>IFERROR(INDEX(PP_Grid[#Data],$DE94,32),0)</f>
        <v/>
      </c>
      <c r="AJ94">
        <f>IFERROR(INDEX(PP_Grid[#Data],$DE94,33),0)</f>
        <v/>
      </c>
      <c r="AK94">
        <f>IFERROR(INDEX(PP_Grid[#Data],$DE94,34),0)</f>
        <v/>
      </c>
      <c r="AL94">
        <f>IFERROR(INDEX(PP_Grid[#Data],$DE94,35),0)</f>
        <v/>
      </c>
      <c r="AM94">
        <f>IFERROR(INDEX(PP_Grid[#Data],$DE94,36),0)</f>
        <v/>
      </c>
      <c r="AN94">
        <f>IFERROR(INDEX(PP_Grid[#Data],$DE94,37),0)</f>
        <v/>
      </c>
      <c r="AO94">
        <f>IFERROR(INDEX(PP_Grid[#Data],$DE94,38),0)</f>
        <v/>
      </c>
      <c r="AP94">
        <f>IFERROR(INDEX(PP_Grid[#Data],$DE94,39),0)</f>
        <v/>
      </c>
      <c r="AQ94">
        <f>IFERROR(INDEX(PP_Grid[#Data],$DE94,40),0)</f>
        <v/>
      </c>
      <c r="AR94">
        <f>IFERROR(INDEX(PP_Grid[#Data],$DE94,41),0)</f>
        <v/>
      </c>
      <c r="AS94">
        <f>IFERROR(INDEX(PP_Grid[#Data],$DE94,42),0)</f>
        <v/>
      </c>
      <c r="AT94">
        <f>IFERROR(INDEX(PP_Grid[#Data],$DE94,43),0)</f>
        <v/>
      </c>
      <c r="AU94">
        <f>IFERROR(INDEX(PP_Grid[#Data],$DE94,44),0)</f>
        <v/>
      </c>
      <c r="AV94">
        <f>IFERROR(INDEX(PP_Grid[#Data],$DE94,45),0)</f>
        <v/>
      </c>
      <c r="AW94">
        <f>IFERROR(INDEX(PP_Grid[#Data],$DE94,46),0)</f>
        <v/>
      </c>
      <c r="AX94">
        <f>IFERROR(INDEX(PP_Grid[#Data],$DE94,47),0)</f>
        <v/>
      </c>
      <c r="AY94">
        <f>IFERROR(INDEX(PP_Grid[#Data],$DE94,48),0)</f>
        <v/>
      </c>
      <c r="AZ94">
        <f>IFERROR(INDEX(PP_Grid[#Data],$DE94,49),0)</f>
        <v/>
      </c>
      <c r="BA94">
        <f>IFERROR(INDEX(PP_Grid[#Data],$DE94,50),0)</f>
        <v/>
      </c>
      <c r="BB94">
        <f>IFERROR(INDEX(PP_Grid[#Data],$DE94,51),0)</f>
        <v/>
      </c>
      <c r="BC94">
        <f>IFERROR(INDEX(PP_Grid[#Data],$DE94,52),0)</f>
        <v/>
      </c>
      <c r="BD94">
        <f>IFERROR(INDEX(PP_Grid[#Data],$DE94,53),0)</f>
        <v/>
      </c>
      <c r="BE94">
        <f>IFERROR(INDEX(PP_Grid[#Data],$DE94,54),0)</f>
        <v/>
      </c>
      <c r="BF94">
        <f>IFERROR(INDEX(PP_Grid[#Data],$DE94,55),0)</f>
        <v/>
      </c>
      <c r="BG94">
        <f>IFERROR(INDEX(PP_Grid[#Data],$DE94,56),0)</f>
        <v/>
      </c>
      <c r="BH94">
        <f>IFERROR(INDEX(PP_Grid[#Data],$DE94,57),0)</f>
        <v/>
      </c>
      <c r="BI94">
        <f>IFERROR(INDEX(PP_Grid[#Data],$DE94,58),0)</f>
        <v/>
      </c>
      <c r="BJ94">
        <f>IFERROR(INDEX(PP_Grid[#Data],$DE94,59),0)</f>
        <v/>
      </c>
      <c r="BK94">
        <f>IFERROR(INDEX(PP_Grid[#Data],$DE94,60),0)</f>
        <v/>
      </c>
      <c r="BL94">
        <f>IFERROR(INDEX(PP_Grid[#Data],$DE94,61),0)</f>
        <v/>
      </c>
      <c r="BM94">
        <f>IFERROR(INDEX(PP_Grid[#Data],$DE94,62),0)</f>
        <v/>
      </c>
      <c r="BN94">
        <f>IFERROR(INDEX(PP_Grid[#Data],$DE94,63),0)</f>
        <v/>
      </c>
      <c r="BO94">
        <f>IFERROR(INDEX(PP_Grid[#Data],$DE94,64),0)</f>
        <v/>
      </c>
      <c r="BP94">
        <f>IFERROR(INDEX(PP_Grid[#Data],$DE94,65),0)</f>
        <v/>
      </c>
      <c r="BQ94">
        <f>IFERROR(INDEX(PP_Grid[#Data],$DE94,66),0)</f>
        <v/>
      </c>
      <c r="BR94">
        <f>IFERROR(INDEX(PP_Grid[#Data],$DE94,67),0)</f>
        <v/>
      </c>
      <c r="BS94">
        <f>IFERROR(INDEX(PP_Grid[#Data],$DE94,68),0)</f>
        <v/>
      </c>
      <c r="BT94">
        <f>IFERROR(INDEX(PP_Grid[#Data],$DE94,69),0)</f>
        <v/>
      </c>
      <c r="BU94">
        <f>IFERROR(INDEX(PP_Grid[#Data],$DE94,70),0)</f>
        <v/>
      </c>
      <c r="BV94">
        <f>IFERROR(INDEX(PP_Grid[#Data],$DE94,71),0)</f>
        <v/>
      </c>
      <c r="BW94">
        <f>IFERROR(INDEX(PP_Grid[#Data],$DE94,72),0)</f>
        <v/>
      </c>
      <c r="BX94">
        <f>IFERROR(INDEX(PP_Grid[#Data],$DE94,73),0)</f>
        <v/>
      </c>
      <c r="BY94">
        <f>IFERROR(INDEX(PP_Grid[#Data],$DE94,74),0)</f>
        <v/>
      </c>
      <c r="BZ94">
        <f>IFERROR(INDEX(PP_Grid[#Data],$DE94,75),0)</f>
        <v/>
      </c>
      <c r="CA94">
        <f>IFERROR(INDEX(PP_Grid[#Data],$DE94,76),0)</f>
        <v/>
      </c>
      <c r="CB94">
        <f>IFERROR(INDEX(PP_Grid[#Data],$DE94,77),0)</f>
        <v/>
      </c>
      <c r="CC94">
        <f>IFERROR(INDEX(PP_Grid[#Data],$DE94,78),0)</f>
        <v/>
      </c>
      <c r="CD94">
        <f>IFERROR(INDEX(PP_Grid[#Data],$DE94,79),0)</f>
        <v/>
      </c>
      <c r="CE94">
        <f>IFERROR(INDEX(PP_Grid[#Data],$DE94,80),0)</f>
        <v/>
      </c>
      <c r="CF94">
        <f>IFERROR(INDEX(PP_Grid[#Data],$DE94,81),0)</f>
        <v/>
      </c>
      <c r="CG94">
        <f>IFERROR(INDEX(PP_Grid[#Data],$DE94,82),0)</f>
        <v/>
      </c>
      <c r="CH94">
        <f>IFERROR(INDEX(PP_Grid[#Data],$DE94,83),0)</f>
        <v/>
      </c>
      <c r="CI94">
        <f>IFERROR(INDEX(PP_Grid[#Data],$DE94,84),0)</f>
        <v/>
      </c>
      <c r="CJ94">
        <f>IFERROR(INDEX(PP_Grid[#Data],$DE94,85),0)</f>
        <v/>
      </c>
      <c r="CK94">
        <f>IFERROR(INDEX(PP_Grid[#Data],$DE94,86),0)</f>
        <v/>
      </c>
      <c r="CL94">
        <f>IFERROR(INDEX(PP_Grid[#Data],$DE94,87),0)</f>
        <v/>
      </c>
      <c r="CM94">
        <f>IFERROR(INDEX(PP_Grid[#Data],$DE94,88),0)</f>
        <v/>
      </c>
      <c r="CN94">
        <f>IFERROR(INDEX(PP_Grid[#Data],$DE94,89),0)</f>
        <v/>
      </c>
      <c r="CO94">
        <f>IFERROR(INDEX(PP_Grid[#Data],$DE94,90),0)</f>
        <v/>
      </c>
      <c r="CP94">
        <f>IFERROR(INDEX(PP_Grid[#Data],$DE94,91),0)</f>
        <v/>
      </c>
      <c r="CQ94">
        <f>IFERROR(INDEX(PP_Grid[#Data],$DE94,92),0)</f>
        <v/>
      </c>
      <c r="CR94">
        <f>IFERROR(INDEX(PP_Grid[#Data],$DE94,93),0)</f>
        <v/>
      </c>
      <c r="CS94">
        <f>IFERROR(INDEX(PP_Grid[#Data],$DE94,94),0)</f>
        <v/>
      </c>
      <c r="CT94">
        <f>IFERROR(INDEX(PP_Grid[#Data],$DE94,95),0)</f>
        <v/>
      </c>
      <c r="CU94">
        <f>IFERROR(INDEX(PP_Grid[#Data],$DE94,96),0)</f>
        <v/>
      </c>
      <c r="CV94">
        <f>IFERROR(INDEX(PP_Grid[#Data],$DE94,97),0)</f>
        <v/>
      </c>
      <c r="CW94">
        <f>IFERROR(INDEX(PP_Grid[#Data],$DE94,98),0)</f>
        <v/>
      </c>
      <c r="CX94">
        <f>IFERROR(INDEX(PP_Grid[#Data],$DE94,99),0)</f>
        <v/>
      </c>
      <c r="CY94">
        <f>IFERROR(INDEX(PP_Grid[#Data],$DE94,100),0)</f>
        <v/>
      </c>
      <c r="CZ94">
        <f>IFERROR(INDEX(PP_Grid[#Data],$DE94,101),0)</f>
        <v/>
      </c>
      <c r="DA94">
        <f>IFERROR(INDEX(PP_Grid[#Data],$DE94,102),0)</f>
        <v/>
      </c>
      <c r="DB94">
        <f>IFERROR(INDEX(PP_Grid[#Data],$DE94,103),0)</f>
        <v/>
      </c>
      <c r="DC94">
        <f>IFERROR(INDEX(PP_Grid[#Data],$DE94,104),0)</f>
        <v/>
      </c>
      <c r="DD94">
        <f>IFERROR(INDEX(PP_Grid[#Data],$DE94,105),0)</f>
        <v/>
      </c>
      <c r="DE94" s="7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SUMIFS(M_BOM[RM_Qty_Per_Batch],M_BOM[Intermediate],$B94,M_BOM[RM_Code],$A25)</f>
        <v/>
      </c>
      <c r="D95">
        <f>IFERROR(INDEX(E95:DD95,$F$1),"")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  <c r="DD95">
        <f>$C95*DD94</f>
        <v/>
      </c>
    </row>
    <row r="96">
      <c r="B96" t="inlineStr">
        <is>
          <t>VSP-822</t>
        </is>
      </c>
      <c r="C96" t="inlineStr">
        <is>
          <t>No. of batches</t>
        </is>
      </c>
      <c r="D96">
        <f>IFERROR(INDEX(E96:DD96,$F$1),"")</f>
        <v/>
      </c>
      <c r="E96">
        <f>IFERROR(INDEX(PP_Grid[#Data],$DE96,2),0)</f>
        <v/>
      </c>
      <c r="F96">
        <f>IFERROR(INDEX(PP_Grid[#Data],$DE96,3),0)</f>
        <v/>
      </c>
      <c r="G96">
        <f>IFERROR(INDEX(PP_Grid[#Data],$DE96,4),0)</f>
        <v/>
      </c>
      <c r="H96">
        <f>IFERROR(INDEX(PP_Grid[#Data],$DE96,5),0)</f>
        <v/>
      </c>
      <c r="I96">
        <f>IFERROR(INDEX(PP_Grid[#Data],$DE96,6),0)</f>
        <v/>
      </c>
      <c r="J96">
        <f>IFERROR(INDEX(PP_Grid[#Data],$DE96,7),0)</f>
        <v/>
      </c>
      <c r="K96">
        <f>IFERROR(INDEX(PP_Grid[#Data],$DE96,8),0)</f>
        <v/>
      </c>
      <c r="L96">
        <f>IFERROR(INDEX(PP_Grid[#Data],$DE96,9),0)</f>
        <v/>
      </c>
      <c r="M96">
        <f>IFERROR(INDEX(PP_Grid[#Data],$DE96,10),0)</f>
        <v/>
      </c>
      <c r="N96">
        <f>IFERROR(INDEX(PP_Grid[#Data],$DE96,11),0)</f>
        <v/>
      </c>
      <c r="O96">
        <f>IFERROR(INDEX(PP_Grid[#Data],$DE96,12),0)</f>
        <v/>
      </c>
      <c r="P96">
        <f>IFERROR(INDEX(PP_Grid[#Data],$DE96,13),0)</f>
        <v/>
      </c>
      <c r="Q96">
        <f>IFERROR(INDEX(PP_Grid[#Data],$DE96,14),0)</f>
        <v/>
      </c>
      <c r="R96">
        <f>IFERROR(INDEX(PP_Grid[#Data],$DE96,15),0)</f>
        <v/>
      </c>
      <c r="S96">
        <f>IFERROR(INDEX(PP_Grid[#Data],$DE96,16),0)</f>
        <v/>
      </c>
      <c r="T96">
        <f>IFERROR(INDEX(PP_Grid[#Data],$DE96,17),0)</f>
        <v/>
      </c>
      <c r="U96">
        <f>IFERROR(INDEX(PP_Grid[#Data],$DE96,18),0)</f>
        <v/>
      </c>
      <c r="V96">
        <f>IFERROR(INDEX(PP_Grid[#Data],$DE96,19),0)</f>
        <v/>
      </c>
      <c r="W96">
        <f>IFERROR(INDEX(PP_Grid[#Data],$DE96,20),0)</f>
        <v/>
      </c>
      <c r="X96">
        <f>IFERROR(INDEX(PP_Grid[#Data],$DE96,21),0)</f>
        <v/>
      </c>
      <c r="Y96">
        <f>IFERROR(INDEX(PP_Grid[#Data],$DE96,22),0)</f>
        <v/>
      </c>
      <c r="Z96">
        <f>IFERROR(INDEX(PP_Grid[#Data],$DE96,23),0)</f>
        <v/>
      </c>
      <c r="AA96">
        <f>IFERROR(INDEX(PP_Grid[#Data],$DE96,24),0)</f>
        <v/>
      </c>
      <c r="AB96">
        <f>IFERROR(INDEX(PP_Grid[#Data],$DE96,25),0)</f>
        <v/>
      </c>
      <c r="AC96">
        <f>IFERROR(INDEX(PP_Grid[#Data],$DE96,26),0)</f>
        <v/>
      </c>
      <c r="AD96">
        <f>IFERROR(INDEX(PP_Grid[#Data],$DE96,27),0)</f>
        <v/>
      </c>
      <c r="AE96">
        <f>IFERROR(INDEX(PP_Grid[#Data],$DE96,28),0)</f>
        <v/>
      </c>
      <c r="AF96">
        <f>IFERROR(INDEX(PP_Grid[#Data],$DE96,29),0)</f>
        <v/>
      </c>
      <c r="AG96">
        <f>IFERROR(INDEX(PP_Grid[#Data],$DE96,30),0)</f>
        <v/>
      </c>
      <c r="AH96">
        <f>IFERROR(INDEX(PP_Grid[#Data],$DE96,31),0)</f>
        <v/>
      </c>
      <c r="AI96">
        <f>IFERROR(INDEX(PP_Grid[#Data],$DE96,32),0)</f>
        <v/>
      </c>
      <c r="AJ96">
        <f>IFERROR(INDEX(PP_Grid[#Data],$DE96,33),0)</f>
        <v/>
      </c>
      <c r="AK96">
        <f>IFERROR(INDEX(PP_Grid[#Data],$DE96,34),0)</f>
        <v/>
      </c>
      <c r="AL96">
        <f>IFERROR(INDEX(PP_Grid[#Data],$DE96,35),0)</f>
        <v/>
      </c>
      <c r="AM96">
        <f>IFERROR(INDEX(PP_Grid[#Data],$DE96,36),0)</f>
        <v/>
      </c>
      <c r="AN96">
        <f>IFERROR(INDEX(PP_Grid[#Data],$DE96,37),0)</f>
        <v/>
      </c>
      <c r="AO96">
        <f>IFERROR(INDEX(PP_Grid[#Data],$DE96,38),0)</f>
        <v/>
      </c>
      <c r="AP96">
        <f>IFERROR(INDEX(PP_Grid[#Data],$DE96,39),0)</f>
        <v/>
      </c>
      <c r="AQ96">
        <f>IFERROR(INDEX(PP_Grid[#Data],$DE96,40),0)</f>
        <v/>
      </c>
      <c r="AR96">
        <f>IFERROR(INDEX(PP_Grid[#Data],$DE96,41),0)</f>
        <v/>
      </c>
      <c r="AS96">
        <f>IFERROR(INDEX(PP_Grid[#Data],$DE96,42),0)</f>
        <v/>
      </c>
      <c r="AT96">
        <f>IFERROR(INDEX(PP_Grid[#Data],$DE96,43),0)</f>
        <v/>
      </c>
      <c r="AU96">
        <f>IFERROR(INDEX(PP_Grid[#Data],$DE96,44),0)</f>
        <v/>
      </c>
      <c r="AV96">
        <f>IFERROR(INDEX(PP_Grid[#Data],$DE96,45),0)</f>
        <v/>
      </c>
      <c r="AW96">
        <f>IFERROR(INDEX(PP_Grid[#Data],$DE96,46),0)</f>
        <v/>
      </c>
      <c r="AX96">
        <f>IFERROR(INDEX(PP_Grid[#Data],$DE96,47),0)</f>
        <v/>
      </c>
      <c r="AY96">
        <f>IFERROR(INDEX(PP_Grid[#Data],$DE96,48),0)</f>
        <v/>
      </c>
      <c r="AZ96">
        <f>IFERROR(INDEX(PP_Grid[#Data],$DE96,49),0)</f>
        <v/>
      </c>
      <c r="BA96">
        <f>IFERROR(INDEX(PP_Grid[#Data],$DE96,50),0)</f>
        <v/>
      </c>
      <c r="BB96">
        <f>IFERROR(INDEX(PP_Grid[#Data],$DE96,51),0)</f>
        <v/>
      </c>
      <c r="BC96">
        <f>IFERROR(INDEX(PP_Grid[#Data],$DE96,52),0)</f>
        <v/>
      </c>
      <c r="BD96">
        <f>IFERROR(INDEX(PP_Grid[#Data],$DE96,53),0)</f>
        <v/>
      </c>
      <c r="BE96">
        <f>IFERROR(INDEX(PP_Grid[#Data],$DE96,54),0)</f>
        <v/>
      </c>
      <c r="BF96">
        <f>IFERROR(INDEX(PP_Grid[#Data],$DE96,55),0)</f>
        <v/>
      </c>
      <c r="BG96">
        <f>IFERROR(INDEX(PP_Grid[#Data],$DE96,56),0)</f>
        <v/>
      </c>
      <c r="BH96">
        <f>IFERROR(INDEX(PP_Grid[#Data],$DE96,57),0)</f>
        <v/>
      </c>
      <c r="BI96">
        <f>IFERROR(INDEX(PP_Grid[#Data],$DE96,58),0)</f>
        <v/>
      </c>
      <c r="BJ96">
        <f>IFERROR(INDEX(PP_Grid[#Data],$DE96,59),0)</f>
        <v/>
      </c>
      <c r="BK96">
        <f>IFERROR(INDEX(PP_Grid[#Data],$DE96,60),0)</f>
        <v/>
      </c>
      <c r="BL96">
        <f>IFERROR(INDEX(PP_Grid[#Data],$DE96,61),0)</f>
        <v/>
      </c>
      <c r="BM96">
        <f>IFERROR(INDEX(PP_Grid[#Data],$DE96,62),0)</f>
        <v/>
      </c>
      <c r="BN96">
        <f>IFERROR(INDEX(PP_Grid[#Data],$DE96,63),0)</f>
        <v/>
      </c>
      <c r="BO96">
        <f>IFERROR(INDEX(PP_Grid[#Data],$DE96,64),0)</f>
        <v/>
      </c>
      <c r="BP96">
        <f>IFERROR(INDEX(PP_Grid[#Data],$DE96,65),0)</f>
        <v/>
      </c>
      <c r="BQ96">
        <f>IFERROR(INDEX(PP_Grid[#Data],$DE96,66),0)</f>
        <v/>
      </c>
      <c r="BR96">
        <f>IFERROR(INDEX(PP_Grid[#Data],$DE96,67),0)</f>
        <v/>
      </c>
      <c r="BS96">
        <f>IFERROR(INDEX(PP_Grid[#Data],$DE96,68),0)</f>
        <v/>
      </c>
      <c r="BT96">
        <f>IFERROR(INDEX(PP_Grid[#Data],$DE96,69),0)</f>
        <v/>
      </c>
      <c r="BU96">
        <f>IFERROR(INDEX(PP_Grid[#Data],$DE96,70),0)</f>
        <v/>
      </c>
      <c r="BV96">
        <f>IFERROR(INDEX(PP_Grid[#Data],$DE96,71),0)</f>
        <v/>
      </c>
      <c r="BW96">
        <f>IFERROR(INDEX(PP_Grid[#Data],$DE96,72),0)</f>
        <v/>
      </c>
      <c r="BX96">
        <f>IFERROR(INDEX(PP_Grid[#Data],$DE96,73),0)</f>
        <v/>
      </c>
      <c r="BY96">
        <f>IFERROR(INDEX(PP_Grid[#Data],$DE96,74),0)</f>
        <v/>
      </c>
      <c r="BZ96">
        <f>IFERROR(INDEX(PP_Grid[#Data],$DE96,75),0)</f>
        <v/>
      </c>
      <c r="CA96">
        <f>IFERROR(INDEX(PP_Grid[#Data],$DE96,76),0)</f>
        <v/>
      </c>
      <c r="CB96">
        <f>IFERROR(INDEX(PP_Grid[#Data],$DE96,77),0)</f>
        <v/>
      </c>
      <c r="CC96">
        <f>IFERROR(INDEX(PP_Grid[#Data],$DE96,78),0)</f>
        <v/>
      </c>
      <c r="CD96">
        <f>IFERROR(INDEX(PP_Grid[#Data],$DE96,79),0)</f>
        <v/>
      </c>
      <c r="CE96">
        <f>IFERROR(INDEX(PP_Grid[#Data],$DE96,80),0)</f>
        <v/>
      </c>
      <c r="CF96">
        <f>IFERROR(INDEX(PP_Grid[#Data],$DE96,81),0)</f>
        <v/>
      </c>
      <c r="CG96">
        <f>IFERROR(INDEX(PP_Grid[#Data],$DE96,82),0)</f>
        <v/>
      </c>
      <c r="CH96">
        <f>IFERROR(INDEX(PP_Grid[#Data],$DE96,83),0)</f>
        <v/>
      </c>
      <c r="CI96">
        <f>IFERROR(INDEX(PP_Grid[#Data],$DE96,84),0)</f>
        <v/>
      </c>
      <c r="CJ96">
        <f>IFERROR(INDEX(PP_Grid[#Data],$DE96,85),0)</f>
        <v/>
      </c>
      <c r="CK96">
        <f>IFERROR(INDEX(PP_Grid[#Data],$DE96,86),0)</f>
        <v/>
      </c>
      <c r="CL96">
        <f>IFERROR(INDEX(PP_Grid[#Data],$DE96,87),0)</f>
        <v/>
      </c>
      <c r="CM96">
        <f>IFERROR(INDEX(PP_Grid[#Data],$DE96,88),0)</f>
        <v/>
      </c>
      <c r="CN96">
        <f>IFERROR(INDEX(PP_Grid[#Data],$DE96,89),0)</f>
        <v/>
      </c>
      <c r="CO96">
        <f>IFERROR(INDEX(PP_Grid[#Data],$DE96,90),0)</f>
        <v/>
      </c>
      <c r="CP96">
        <f>IFERROR(INDEX(PP_Grid[#Data],$DE96,91),0)</f>
        <v/>
      </c>
      <c r="CQ96">
        <f>IFERROR(INDEX(PP_Grid[#Data],$DE96,92),0)</f>
        <v/>
      </c>
      <c r="CR96">
        <f>IFERROR(INDEX(PP_Grid[#Data],$DE96,93),0)</f>
        <v/>
      </c>
      <c r="CS96">
        <f>IFERROR(INDEX(PP_Grid[#Data],$DE96,94),0)</f>
        <v/>
      </c>
      <c r="CT96">
        <f>IFERROR(INDEX(PP_Grid[#Data],$DE96,95),0)</f>
        <v/>
      </c>
      <c r="CU96">
        <f>IFERROR(INDEX(PP_Grid[#Data],$DE96,96),0)</f>
        <v/>
      </c>
      <c r="CV96">
        <f>IFERROR(INDEX(PP_Grid[#Data],$DE96,97),0)</f>
        <v/>
      </c>
      <c r="CW96">
        <f>IFERROR(INDEX(PP_Grid[#Data],$DE96,98),0)</f>
        <v/>
      </c>
      <c r="CX96">
        <f>IFERROR(INDEX(PP_Grid[#Data],$DE96,99),0)</f>
        <v/>
      </c>
      <c r="CY96">
        <f>IFERROR(INDEX(PP_Grid[#Data],$DE96,100),0)</f>
        <v/>
      </c>
      <c r="CZ96">
        <f>IFERROR(INDEX(PP_Grid[#Data],$DE96,101),0)</f>
        <v/>
      </c>
      <c r="DA96">
        <f>IFERROR(INDEX(PP_Grid[#Data],$DE96,102),0)</f>
        <v/>
      </c>
      <c r="DB96">
        <f>IFERROR(INDEX(PP_Grid[#Data],$DE96,103),0)</f>
        <v/>
      </c>
      <c r="DC96">
        <f>IFERROR(INDEX(PP_Grid[#Data],$DE96,104),0)</f>
        <v/>
      </c>
      <c r="DD96">
        <f>IFERROR(INDEX(PP_Grid[#Data],$DE96,105),0)</f>
        <v/>
      </c>
      <c r="DE96" s="7">
        <f>IFERROR(MATCH($B96,PP_Grid[Intermediate],0),99999)</f>
        <v/>
      </c>
    </row>
    <row r="97">
      <c r="B97" t="inlineStr">
        <is>
          <t>使用量(kg)</t>
        </is>
      </c>
      <c r="C97">
        <f>SUMIFS(M_BOM[RM_Qty_Per_Batch],M_BOM[Intermediate],$B96,M_BOM[RM_Code],$A25)</f>
        <v/>
      </c>
      <c r="D97">
        <f>IFERROR(INDEX(E97:DD97,$F$1),"")</f>
        <v/>
      </c>
      <c r="E97">
        <f>$C97*E96</f>
        <v/>
      </c>
      <c r="F97">
        <f>$C97*F96</f>
        <v/>
      </c>
      <c r="G97">
        <f>$C97*G96</f>
        <v/>
      </c>
      <c r="H97">
        <f>$C97*H96</f>
        <v/>
      </c>
      <c r="I97">
        <f>$C97*I96</f>
        <v/>
      </c>
      <c r="J97">
        <f>$C97*J96</f>
        <v/>
      </c>
      <c r="K97">
        <f>$C97*K96</f>
        <v/>
      </c>
      <c r="L97">
        <f>$C97*L96</f>
        <v/>
      </c>
      <c r="M97">
        <f>$C97*M96</f>
        <v/>
      </c>
      <c r="N97">
        <f>$C97*N96</f>
        <v/>
      </c>
      <c r="O97">
        <f>$C97*O96</f>
        <v/>
      </c>
      <c r="P97">
        <f>$C97*P96</f>
        <v/>
      </c>
      <c r="Q97">
        <f>$C97*Q96</f>
        <v/>
      </c>
      <c r="R97">
        <f>$C97*R96</f>
        <v/>
      </c>
      <c r="S97">
        <f>$C97*S96</f>
        <v/>
      </c>
      <c r="T97">
        <f>$C97*T96</f>
        <v/>
      </c>
      <c r="U97">
        <f>$C97*U96</f>
        <v/>
      </c>
      <c r="V97">
        <f>$C97*V96</f>
        <v/>
      </c>
      <c r="W97">
        <f>$C97*W96</f>
        <v/>
      </c>
      <c r="X97">
        <f>$C97*X96</f>
        <v/>
      </c>
      <c r="Y97">
        <f>$C97*Y96</f>
        <v/>
      </c>
      <c r="Z97">
        <f>$C97*Z96</f>
        <v/>
      </c>
      <c r="AA97">
        <f>$C97*AA96</f>
        <v/>
      </c>
      <c r="AB97">
        <f>$C97*AB96</f>
        <v/>
      </c>
      <c r="AC97">
        <f>$C97*AC96</f>
        <v/>
      </c>
      <c r="AD97">
        <f>$C97*AD96</f>
        <v/>
      </c>
      <c r="AE97">
        <f>$C97*AE96</f>
        <v/>
      </c>
      <c r="AF97">
        <f>$C97*AF96</f>
        <v/>
      </c>
      <c r="AG97">
        <f>$C97*AG96</f>
        <v/>
      </c>
      <c r="AH97">
        <f>$C97*AH96</f>
        <v/>
      </c>
      <c r="AI97">
        <f>$C97*AI96</f>
        <v/>
      </c>
      <c r="AJ97">
        <f>$C97*AJ96</f>
        <v/>
      </c>
      <c r="AK97">
        <f>$C97*AK96</f>
        <v/>
      </c>
      <c r="AL97">
        <f>$C97*AL96</f>
        <v/>
      </c>
      <c r="AM97">
        <f>$C97*AM96</f>
        <v/>
      </c>
      <c r="AN97">
        <f>$C97*AN96</f>
        <v/>
      </c>
      <c r="AO97">
        <f>$C97*AO96</f>
        <v/>
      </c>
      <c r="AP97">
        <f>$C97*AP96</f>
        <v/>
      </c>
      <c r="AQ97">
        <f>$C97*AQ96</f>
        <v/>
      </c>
      <c r="AR97">
        <f>$C97*AR96</f>
        <v/>
      </c>
      <c r="AS97">
        <f>$C97*AS96</f>
        <v/>
      </c>
      <c r="AT97">
        <f>$C97*AT96</f>
        <v/>
      </c>
      <c r="AU97">
        <f>$C97*AU96</f>
        <v/>
      </c>
      <c r="AV97">
        <f>$C97*AV96</f>
        <v/>
      </c>
      <c r="AW97">
        <f>$C97*AW96</f>
        <v/>
      </c>
      <c r="AX97">
        <f>$C97*AX96</f>
        <v/>
      </c>
      <c r="AY97">
        <f>$C97*AY96</f>
        <v/>
      </c>
      <c r="AZ97">
        <f>$C97*AZ96</f>
        <v/>
      </c>
      <c r="BA97">
        <f>$C97*BA96</f>
        <v/>
      </c>
      <c r="BB97">
        <f>$C97*BB96</f>
        <v/>
      </c>
      <c r="BC97">
        <f>$C97*BC96</f>
        <v/>
      </c>
      <c r="BD97">
        <f>$C97*BD96</f>
        <v/>
      </c>
      <c r="BE97">
        <f>$C97*BE96</f>
        <v/>
      </c>
      <c r="BF97">
        <f>$C97*BF96</f>
        <v/>
      </c>
      <c r="BG97">
        <f>$C97*BG96</f>
        <v/>
      </c>
      <c r="BH97">
        <f>$C97*BH96</f>
        <v/>
      </c>
      <c r="BI97">
        <f>$C97*BI96</f>
        <v/>
      </c>
      <c r="BJ97">
        <f>$C97*BJ96</f>
        <v/>
      </c>
      <c r="BK97">
        <f>$C97*BK96</f>
        <v/>
      </c>
      <c r="BL97">
        <f>$C97*BL96</f>
        <v/>
      </c>
      <c r="BM97">
        <f>$C97*BM96</f>
        <v/>
      </c>
      <c r="BN97">
        <f>$C97*BN96</f>
        <v/>
      </c>
      <c r="BO97">
        <f>$C97*BO96</f>
        <v/>
      </c>
      <c r="BP97">
        <f>$C97*BP96</f>
        <v/>
      </c>
      <c r="BQ97">
        <f>$C97*BQ96</f>
        <v/>
      </c>
      <c r="BR97">
        <f>$C97*BR96</f>
        <v/>
      </c>
      <c r="BS97">
        <f>$C97*BS96</f>
        <v/>
      </c>
      <c r="BT97">
        <f>$C97*BT96</f>
        <v/>
      </c>
      <c r="BU97">
        <f>$C97*BU96</f>
        <v/>
      </c>
      <c r="BV97">
        <f>$C97*BV96</f>
        <v/>
      </c>
      <c r="BW97">
        <f>$C97*BW96</f>
        <v/>
      </c>
      <c r="BX97">
        <f>$C97*BX96</f>
        <v/>
      </c>
      <c r="BY97">
        <f>$C97*BY96</f>
        <v/>
      </c>
      <c r="BZ97">
        <f>$C97*BZ96</f>
        <v/>
      </c>
      <c r="CA97">
        <f>$C97*CA96</f>
        <v/>
      </c>
      <c r="CB97">
        <f>$C97*CB96</f>
        <v/>
      </c>
      <c r="CC97">
        <f>$C97*CC96</f>
        <v/>
      </c>
      <c r="CD97">
        <f>$C97*CD96</f>
        <v/>
      </c>
      <c r="CE97">
        <f>$C97*CE96</f>
        <v/>
      </c>
      <c r="CF97">
        <f>$C97*CF96</f>
        <v/>
      </c>
      <c r="CG97">
        <f>$C97*CG96</f>
        <v/>
      </c>
      <c r="CH97">
        <f>$C97*CH96</f>
        <v/>
      </c>
      <c r="CI97">
        <f>$C97*CI96</f>
        <v/>
      </c>
      <c r="CJ97">
        <f>$C97*CJ96</f>
        <v/>
      </c>
      <c r="CK97">
        <f>$C97*CK96</f>
        <v/>
      </c>
      <c r="CL97">
        <f>$C97*CL96</f>
        <v/>
      </c>
      <c r="CM97">
        <f>$C97*CM96</f>
        <v/>
      </c>
      <c r="CN97">
        <f>$C97*CN96</f>
        <v/>
      </c>
      <c r="CO97">
        <f>$C97*CO96</f>
        <v/>
      </c>
      <c r="CP97">
        <f>$C97*CP96</f>
        <v/>
      </c>
      <c r="CQ97">
        <f>$C97*CQ96</f>
        <v/>
      </c>
      <c r="CR97">
        <f>$C97*CR96</f>
        <v/>
      </c>
      <c r="CS97">
        <f>$C97*CS96</f>
        <v/>
      </c>
      <c r="CT97">
        <f>$C97*CT96</f>
        <v/>
      </c>
      <c r="CU97">
        <f>$C97*CU96</f>
        <v/>
      </c>
      <c r="CV97">
        <f>$C97*CV96</f>
        <v/>
      </c>
      <c r="CW97">
        <f>$C97*CW96</f>
        <v/>
      </c>
      <c r="CX97">
        <f>$C97*CX96</f>
        <v/>
      </c>
      <c r="CY97">
        <f>$C97*CY96</f>
        <v/>
      </c>
      <c r="CZ97">
        <f>$C97*CZ96</f>
        <v/>
      </c>
      <c r="DA97">
        <f>$C97*DA96</f>
        <v/>
      </c>
      <c r="DB97">
        <f>$C97*DB96</f>
        <v/>
      </c>
      <c r="DC97">
        <f>$C97*DC96</f>
        <v/>
      </c>
      <c r="DD97">
        <f>$C97*DD96</f>
        <v/>
      </c>
    </row>
    <row r="98">
      <c r="B98" t="inlineStr">
        <is>
          <t>VSP-869</t>
        </is>
      </c>
      <c r="C98" t="inlineStr">
        <is>
          <t>No. of batches</t>
        </is>
      </c>
      <c r="D98">
        <f>IFERROR(INDEX(E98:DD98,$F$1),"")</f>
        <v/>
      </c>
      <c r="E98">
        <f>IFERROR(INDEX(PP_Grid[#Data],$DE98,2),0)</f>
        <v/>
      </c>
      <c r="F98">
        <f>IFERROR(INDEX(PP_Grid[#Data],$DE98,3),0)</f>
        <v/>
      </c>
      <c r="G98">
        <f>IFERROR(INDEX(PP_Grid[#Data],$DE98,4),0)</f>
        <v/>
      </c>
      <c r="H98">
        <f>IFERROR(INDEX(PP_Grid[#Data],$DE98,5),0)</f>
        <v/>
      </c>
      <c r="I98">
        <f>IFERROR(INDEX(PP_Grid[#Data],$DE98,6),0)</f>
        <v/>
      </c>
      <c r="J98">
        <f>IFERROR(INDEX(PP_Grid[#Data],$DE98,7),0)</f>
        <v/>
      </c>
      <c r="K98">
        <f>IFERROR(INDEX(PP_Grid[#Data],$DE98,8),0)</f>
        <v/>
      </c>
      <c r="L98">
        <f>IFERROR(INDEX(PP_Grid[#Data],$DE98,9),0)</f>
        <v/>
      </c>
      <c r="M98">
        <f>IFERROR(INDEX(PP_Grid[#Data],$DE98,10),0)</f>
        <v/>
      </c>
      <c r="N98">
        <f>IFERROR(INDEX(PP_Grid[#Data],$DE98,11),0)</f>
        <v/>
      </c>
      <c r="O98">
        <f>IFERROR(INDEX(PP_Grid[#Data],$DE98,12),0)</f>
        <v/>
      </c>
      <c r="P98">
        <f>IFERROR(INDEX(PP_Grid[#Data],$DE98,13),0)</f>
        <v/>
      </c>
      <c r="Q98">
        <f>IFERROR(INDEX(PP_Grid[#Data],$DE98,14),0)</f>
        <v/>
      </c>
      <c r="R98">
        <f>IFERROR(INDEX(PP_Grid[#Data],$DE98,15),0)</f>
        <v/>
      </c>
      <c r="S98">
        <f>IFERROR(INDEX(PP_Grid[#Data],$DE98,16),0)</f>
        <v/>
      </c>
      <c r="T98">
        <f>IFERROR(INDEX(PP_Grid[#Data],$DE98,17),0)</f>
        <v/>
      </c>
      <c r="U98">
        <f>IFERROR(INDEX(PP_Grid[#Data],$DE98,18),0)</f>
        <v/>
      </c>
      <c r="V98">
        <f>IFERROR(INDEX(PP_Grid[#Data],$DE98,19),0)</f>
        <v/>
      </c>
      <c r="W98">
        <f>IFERROR(INDEX(PP_Grid[#Data],$DE98,20),0)</f>
        <v/>
      </c>
      <c r="X98">
        <f>IFERROR(INDEX(PP_Grid[#Data],$DE98,21),0)</f>
        <v/>
      </c>
      <c r="Y98">
        <f>IFERROR(INDEX(PP_Grid[#Data],$DE98,22),0)</f>
        <v/>
      </c>
      <c r="Z98">
        <f>IFERROR(INDEX(PP_Grid[#Data],$DE98,23),0)</f>
        <v/>
      </c>
      <c r="AA98">
        <f>IFERROR(INDEX(PP_Grid[#Data],$DE98,24),0)</f>
        <v/>
      </c>
      <c r="AB98">
        <f>IFERROR(INDEX(PP_Grid[#Data],$DE98,25),0)</f>
        <v/>
      </c>
      <c r="AC98">
        <f>IFERROR(INDEX(PP_Grid[#Data],$DE98,26),0)</f>
        <v/>
      </c>
      <c r="AD98">
        <f>IFERROR(INDEX(PP_Grid[#Data],$DE98,27),0)</f>
        <v/>
      </c>
      <c r="AE98">
        <f>IFERROR(INDEX(PP_Grid[#Data],$DE98,28),0)</f>
        <v/>
      </c>
      <c r="AF98">
        <f>IFERROR(INDEX(PP_Grid[#Data],$DE98,29),0)</f>
        <v/>
      </c>
      <c r="AG98">
        <f>IFERROR(INDEX(PP_Grid[#Data],$DE98,30),0)</f>
        <v/>
      </c>
      <c r="AH98">
        <f>IFERROR(INDEX(PP_Grid[#Data],$DE98,31),0)</f>
        <v/>
      </c>
      <c r="AI98">
        <f>IFERROR(INDEX(PP_Grid[#Data],$DE98,32),0)</f>
        <v/>
      </c>
      <c r="AJ98">
        <f>IFERROR(INDEX(PP_Grid[#Data],$DE98,33),0)</f>
        <v/>
      </c>
      <c r="AK98">
        <f>IFERROR(INDEX(PP_Grid[#Data],$DE98,34),0)</f>
        <v/>
      </c>
      <c r="AL98">
        <f>IFERROR(INDEX(PP_Grid[#Data],$DE98,35),0)</f>
        <v/>
      </c>
      <c r="AM98">
        <f>IFERROR(INDEX(PP_Grid[#Data],$DE98,36),0)</f>
        <v/>
      </c>
      <c r="AN98">
        <f>IFERROR(INDEX(PP_Grid[#Data],$DE98,37),0)</f>
        <v/>
      </c>
      <c r="AO98">
        <f>IFERROR(INDEX(PP_Grid[#Data],$DE98,38),0)</f>
        <v/>
      </c>
      <c r="AP98">
        <f>IFERROR(INDEX(PP_Grid[#Data],$DE98,39),0)</f>
        <v/>
      </c>
      <c r="AQ98">
        <f>IFERROR(INDEX(PP_Grid[#Data],$DE98,40),0)</f>
        <v/>
      </c>
      <c r="AR98">
        <f>IFERROR(INDEX(PP_Grid[#Data],$DE98,41),0)</f>
        <v/>
      </c>
      <c r="AS98">
        <f>IFERROR(INDEX(PP_Grid[#Data],$DE98,42),0)</f>
        <v/>
      </c>
      <c r="AT98">
        <f>IFERROR(INDEX(PP_Grid[#Data],$DE98,43),0)</f>
        <v/>
      </c>
      <c r="AU98">
        <f>IFERROR(INDEX(PP_Grid[#Data],$DE98,44),0)</f>
        <v/>
      </c>
      <c r="AV98">
        <f>IFERROR(INDEX(PP_Grid[#Data],$DE98,45),0)</f>
        <v/>
      </c>
      <c r="AW98">
        <f>IFERROR(INDEX(PP_Grid[#Data],$DE98,46),0)</f>
        <v/>
      </c>
      <c r="AX98">
        <f>IFERROR(INDEX(PP_Grid[#Data],$DE98,47),0)</f>
        <v/>
      </c>
      <c r="AY98">
        <f>IFERROR(INDEX(PP_Grid[#Data],$DE98,48),0)</f>
        <v/>
      </c>
      <c r="AZ98">
        <f>IFERROR(INDEX(PP_Grid[#Data],$DE98,49),0)</f>
        <v/>
      </c>
      <c r="BA98">
        <f>IFERROR(INDEX(PP_Grid[#Data],$DE98,50),0)</f>
        <v/>
      </c>
      <c r="BB98">
        <f>IFERROR(INDEX(PP_Grid[#Data],$DE98,51),0)</f>
        <v/>
      </c>
      <c r="BC98">
        <f>IFERROR(INDEX(PP_Grid[#Data],$DE98,52),0)</f>
        <v/>
      </c>
      <c r="BD98">
        <f>IFERROR(INDEX(PP_Grid[#Data],$DE98,53),0)</f>
        <v/>
      </c>
      <c r="BE98">
        <f>IFERROR(INDEX(PP_Grid[#Data],$DE98,54),0)</f>
        <v/>
      </c>
      <c r="BF98">
        <f>IFERROR(INDEX(PP_Grid[#Data],$DE98,55),0)</f>
        <v/>
      </c>
      <c r="BG98">
        <f>IFERROR(INDEX(PP_Grid[#Data],$DE98,56),0)</f>
        <v/>
      </c>
      <c r="BH98">
        <f>IFERROR(INDEX(PP_Grid[#Data],$DE98,57),0)</f>
        <v/>
      </c>
      <c r="BI98">
        <f>IFERROR(INDEX(PP_Grid[#Data],$DE98,58),0)</f>
        <v/>
      </c>
      <c r="BJ98">
        <f>IFERROR(INDEX(PP_Grid[#Data],$DE98,59),0)</f>
        <v/>
      </c>
      <c r="BK98">
        <f>IFERROR(INDEX(PP_Grid[#Data],$DE98,60),0)</f>
        <v/>
      </c>
      <c r="BL98">
        <f>IFERROR(INDEX(PP_Grid[#Data],$DE98,61),0)</f>
        <v/>
      </c>
      <c r="BM98">
        <f>IFERROR(INDEX(PP_Grid[#Data],$DE98,62),0)</f>
        <v/>
      </c>
      <c r="BN98">
        <f>IFERROR(INDEX(PP_Grid[#Data],$DE98,63),0)</f>
        <v/>
      </c>
      <c r="BO98">
        <f>IFERROR(INDEX(PP_Grid[#Data],$DE98,64),0)</f>
        <v/>
      </c>
      <c r="BP98">
        <f>IFERROR(INDEX(PP_Grid[#Data],$DE98,65),0)</f>
        <v/>
      </c>
      <c r="BQ98">
        <f>IFERROR(INDEX(PP_Grid[#Data],$DE98,66),0)</f>
        <v/>
      </c>
      <c r="BR98">
        <f>IFERROR(INDEX(PP_Grid[#Data],$DE98,67),0)</f>
        <v/>
      </c>
      <c r="BS98">
        <f>IFERROR(INDEX(PP_Grid[#Data],$DE98,68),0)</f>
        <v/>
      </c>
      <c r="BT98">
        <f>IFERROR(INDEX(PP_Grid[#Data],$DE98,69),0)</f>
        <v/>
      </c>
      <c r="BU98">
        <f>IFERROR(INDEX(PP_Grid[#Data],$DE98,70),0)</f>
        <v/>
      </c>
      <c r="BV98">
        <f>IFERROR(INDEX(PP_Grid[#Data],$DE98,71),0)</f>
        <v/>
      </c>
      <c r="BW98">
        <f>IFERROR(INDEX(PP_Grid[#Data],$DE98,72),0)</f>
        <v/>
      </c>
      <c r="BX98">
        <f>IFERROR(INDEX(PP_Grid[#Data],$DE98,73),0)</f>
        <v/>
      </c>
      <c r="BY98">
        <f>IFERROR(INDEX(PP_Grid[#Data],$DE98,74),0)</f>
        <v/>
      </c>
      <c r="BZ98">
        <f>IFERROR(INDEX(PP_Grid[#Data],$DE98,75),0)</f>
        <v/>
      </c>
      <c r="CA98">
        <f>IFERROR(INDEX(PP_Grid[#Data],$DE98,76),0)</f>
        <v/>
      </c>
      <c r="CB98">
        <f>IFERROR(INDEX(PP_Grid[#Data],$DE98,77),0)</f>
        <v/>
      </c>
      <c r="CC98">
        <f>IFERROR(INDEX(PP_Grid[#Data],$DE98,78),0)</f>
        <v/>
      </c>
      <c r="CD98">
        <f>IFERROR(INDEX(PP_Grid[#Data],$DE98,79),0)</f>
        <v/>
      </c>
      <c r="CE98">
        <f>IFERROR(INDEX(PP_Grid[#Data],$DE98,80),0)</f>
        <v/>
      </c>
      <c r="CF98">
        <f>IFERROR(INDEX(PP_Grid[#Data],$DE98,81),0)</f>
        <v/>
      </c>
      <c r="CG98">
        <f>IFERROR(INDEX(PP_Grid[#Data],$DE98,82),0)</f>
        <v/>
      </c>
      <c r="CH98">
        <f>IFERROR(INDEX(PP_Grid[#Data],$DE98,83),0)</f>
        <v/>
      </c>
      <c r="CI98">
        <f>IFERROR(INDEX(PP_Grid[#Data],$DE98,84),0)</f>
        <v/>
      </c>
      <c r="CJ98">
        <f>IFERROR(INDEX(PP_Grid[#Data],$DE98,85),0)</f>
        <v/>
      </c>
      <c r="CK98">
        <f>IFERROR(INDEX(PP_Grid[#Data],$DE98,86),0)</f>
        <v/>
      </c>
      <c r="CL98">
        <f>IFERROR(INDEX(PP_Grid[#Data],$DE98,87),0)</f>
        <v/>
      </c>
      <c r="CM98">
        <f>IFERROR(INDEX(PP_Grid[#Data],$DE98,88),0)</f>
        <v/>
      </c>
      <c r="CN98">
        <f>IFERROR(INDEX(PP_Grid[#Data],$DE98,89),0)</f>
        <v/>
      </c>
      <c r="CO98">
        <f>IFERROR(INDEX(PP_Grid[#Data],$DE98,90),0)</f>
        <v/>
      </c>
      <c r="CP98">
        <f>IFERROR(INDEX(PP_Grid[#Data],$DE98,91),0)</f>
        <v/>
      </c>
      <c r="CQ98">
        <f>IFERROR(INDEX(PP_Grid[#Data],$DE98,92),0)</f>
        <v/>
      </c>
      <c r="CR98">
        <f>IFERROR(INDEX(PP_Grid[#Data],$DE98,93),0)</f>
        <v/>
      </c>
      <c r="CS98">
        <f>IFERROR(INDEX(PP_Grid[#Data],$DE98,94),0)</f>
        <v/>
      </c>
      <c r="CT98">
        <f>IFERROR(INDEX(PP_Grid[#Data],$DE98,95),0)</f>
        <v/>
      </c>
      <c r="CU98">
        <f>IFERROR(INDEX(PP_Grid[#Data],$DE98,96),0)</f>
        <v/>
      </c>
      <c r="CV98">
        <f>IFERROR(INDEX(PP_Grid[#Data],$DE98,97),0)</f>
        <v/>
      </c>
      <c r="CW98">
        <f>IFERROR(INDEX(PP_Grid[#Data],$DE98,98),0)</f>
        <v/>
      </c>
      <c r="CX98">
        <f>IFERROR(INDEX(PP_Grid[#Data],$DE98,99),0)</f>
        <v/>
      </c>
      <c r="CY98">
        <f>IFERROR(INDEX(PP_Grid[#Data],$DE98,100),0)</f>
        <v/>
      </c>
      <c r="CZ98">
        <f>IFERROR(INDEX(PP_Grid[#Data],$DE98,101),0)</f>
        <v/>
      </c>
      <c r="DA98">
        <f>IFERROR(INDEX(PP_Grid[#Data],$DE98,102),0)</f>
        <v/>
      </c>
      <c r="DB98">
        <f>IFERROR(INDEX(PP_Grid[#Data],$DE98,103),0)</f>
        <v/>
      </c>
      <c r="DC98">
        <f>IFERROR(INDEX(PP_Grid[#Data],$DE98,104),0)</f>
        <v/>
      </c>
      <c r="DD98">
        <f>IFERROR(INDEX(PP_Grid[#Data],$DE98,105),0)</f>
        <v/>
      </c>
      <c r="DE98" s="7">
        <f>IFERROR(MATCH($B98,PP_Grid[Intermediate],0),99999)</f>
        <v/>
      </c>
    </row>
    <row r="99">
      <c r="B99" t="inlineStr">
        <is>
          <t>使用量(kg)</t>
        </is>
      </c>
      <c r="C99">
        <f>SUMIFS(M_BOM[RM_Qty_Per_Batch],M_BOM[Intermediate],$B98,M_BOM[RM_Code],$A25)</f>
        <v/>
      </c>
      <c r="D99">
        <f>IFERROR(INDEX(E99:DD99,$F$1),"")</f>
        <v/>
      </c>
      <c r="E99">
        <f>$C99*E98</f>
        <v/>
      </c>
      <c r="F99">
        <f>$C99*F98</f>
        <v/>
      </c>
      <c r="G99">
        <f>$C99*G98</f>
        <v/>
      </c>
      <c r="H99">
        <f>$C99*H98</f>
        <v/>
      </c>
      <c r="I99">
        <f>$C99*I98</f>
        <v/>
      </c>
      <c r="J99">
        <f>$C99*J98</f>
        <v/>
      </c>
      <c r="K99">
        <f>$C99*K98</f>
        <v/>
      </c>
      <c r="L99">
        <f>$C99*L98</f>
        <v/>
      </c>
      <c r="M99">
        <f>$C99*M98</f>
        <v/>
      </c>
      <c r="N99">
        <f>$C99*N98</f>
        <v/>
      </c>
      <c r="O99">
        <f>$C99*O98</f>
        <v/>
      </c>
      <c r="P99">
        <f>$C99*P98</f>
        <v/>
      </c>
      <c r="Q99">
        <f>$C99*Q98</f>
        <v/>
      </c>
      <c r="R99">
        <f>$C99*R98</f>
        <v/>
      </c>
      <c r="S99">
        <f>$C99*S98</f>
        <v/>
      </c>
      <c r="T99">
        <f>$C99*T98</f>
        <v/>
      </c>
      <c r="U99">
        <f>$C99*U98</f>
        <v/>
      </c>
      <c r="V99">
        <f>$C99*V98</f>
        <v/>
      </c>
      <c r="W99">
        <f>$C99*W98</f>
        <v/>
      </c>
      <c r="X99">
        <f>$C99*X98</f>
        <v/>
      </c>
      <c r="Y99">
        <f>$C99*Y98</f>
        <v/>
      </c>
      <c r="Z99">
        <f>$C99*Z98</f>
        <v/>
      </c>
      <c r="AA99">
        <f>$C99*AA98</f>
        <v/>
      </c>
      <c r="AB99">
        <f>$C99*AB98</f>
        <v/>
      </c>
      <c r="AC99">
        <f>$C99*AC98</f>
        <v/>
      </c>
      <c r="AD99">
        <f>$C99*AD98</f>
        <v/>
      </c>
      <c r="AE99">
        <f>$C99*AE98</f>
        <v/>
      </c>
      <c r="AF99">
        <f>$C99*AF98</f>
        <v/>
      </c>
      <c r="AG99">
        <f>$C99*AG98</f>
        <v/>
      </c>
      <c r="AH99">
        <f>$C99*AH98</f>
        <v/>
      </c>
      <c r="AI99">
        <f>$C99*AI98</f>
        <v/>
      </c>
      <c r="AJ99">
        <f>$C99*AJ98</f>
        <v/>
      </c>
      <c r="AK99">
        <f>$C99*AK98</f>
        <v/>
      </c>
      <c r="AL99">
        <f>$C99*AL98</f>
        <v/>
      </c>
      <c r="AM99">
        <f>$C99*AM98</f>
        <v/>
      </c>
      <c r="AN99">
        <f>$C99*AN98</f>
        <v/>
      </c>
      <c r="AO99">
        <f>$C99*AO98</f>
        <v/>
      </c>
      <c r="AP99">
        <f>$C99*AP98</f>
        <v/>
      </c>
      <c r="AQ99">
        <f>$C99*AQ98</f>
        <v/>
      </c>
      <c r="AR99">
        <f>$C99*AR98</f>
        <v/>
      </c>
      <c r="AS99">
        <f>$C99*AS98</f>
        <v/>
      </c>
      <c r="AT99">
        <f>$C99*AT98</f>
        <v/>
      </c>
      <c r="AU99">
        <f>$C99*AU98</f>
        <v/>
      </c>
      <c r="AV99">
        <f>$C99*AV98</f>
        <v/>
      </c>
      <c r="AW99">
        <f>$C99*AW98</f>
        <v/>
      </c>
      <c r="AX99">
        <f>$C99*AX98</f>
        <v/>
      </c>
      <c r="AY99">
        <f>$C99*AY98</f>
        <v/>
      </c>
      <c r="AZ99">
        <f>$C99*AZ98</f>
        <v/>
      </c>
      <c r="BA99">
        <f>$C99*BA98</f>
        <v/>
      </c>
      <c r="BB99">
        <f>$C99*BB98</f>
        <v/>
      </c>
      <c r="BC99">
        <f>$C99*BC98</f>
        <v/>
      </c>
      <c r="BD99">
        <f>$C99*BD98</f>
        <v/>
      </c>
      <c r="BE99">
        <f>$C99*BE98</f>
        <v/>
      </c>
      <c r="BF99">
        <f>$C99*BF98</f>
        <v/>
      </c>
      <c r="BG99">
        <f>$C99*BG98</f>
        <v/>
      </c>
      <c r="BH99">
        <f>$C99*BH98</f>
        <v/>
      </c>
      <c r="BI99">
        <f>$C99*BI98</f>
        <v/>
      </c>
      <c r="BJ99">
        <f>$C99*BJ98</f>
        <v/>
      </c>
      <c r="BK99">
        <f>$C99*BK98</f>
        <v/>
      </c>
      <c r="BL99">
        <f>$C99*BL98</f>
        <v/>
      </c>
      <c r="BM99">
        <f>$C99*BM98</f>
        <v/>
      </c>
      <c r="BN99">
        <f>$C99*BN98</f>
        <v/>
      </c>
      <c r="BO99">
        <f>$C99*BO98</f>
        <v/>
      </c>
      <c r="BP99">
        <f>$C99*BP98</f>
        <v/>
      </c>
      <c r="BQ99">
        <f>$C99*BQ98</f>
        <v/>
      </c>
      <c r="BR99">
        <f>$C99*BR98</f>
        <v/>
      </c>
      <c r="BS99">
        <f>$C99*BS98</f>
        <v/>
      </c>
      <c r="BT99">
        <f>$C99*BT98</f>
        <v/>
      </c>
      <c r="BU99">
        <f>$C99*BU98</f>
        <v/>
      </c>
      <c r="BV99">
        <f>$C99*BV98</f>
        <v/>
      </c>
      <c r="BW99">
        <f>$C99*BW98</f>
        <v/>
      </c>
      <c r="BX99">
        <f>$C99*BX98</f>
        <v/>
      </c>
      <c r="BY99">
        <f>$C99*BY98</f>
        <v/>
      </c>
      <c r="BZ99">
        <f>$C99*BZ98</f>
        <v/>
      </c>
      <c r="CA99">
        <f>$C99*CA98</f>
        <v/>
      </c>
      <c r="CB99">
        <f>$C99*CB98</f>
        <v/>
      </c>
      <c r="CC99">
        <f>$C99*CC98</f>
        <v/>
      </c>
      <c r="CD99">
        <f>$C99*CD98</f>
        <v/>
      </c>
      <c r="CE99">
        <f>$C99*CE98</f>
        <v/>
      </c>
      <c r="CF99">
        <f>$C99*CF98</f>
        <v/>
      </c>
      <c r="CG99">
        <f>$C99*CG98</f>
        <v/>
      </c>
      <c r="CH99">
        <f>$C99*CH98</f>
        <v/>
      </c>
      <c r="CI99">
        <f>$C99*CI98</f>
        <v/>
      </c>
      <c r="CJ99">
        <f>$C99*CJ98</f>
        <v/>
      </c>
      <c r="CK99">
        <f>$C99*CK98</f>
        <v/>
      </c>
      <c r="CL99">
        <f>$C99*CL98</f>
        <v/>
      </c>
      <c r="CM99">
        <f>$C99*CM98</f>
        <v/>
      </c>
      <c r="CN99">
        <f>$C99*CN98</f>
        <v/>
      </c>
      <c r="CO99">
        <f>$C99*CO98</f>
        <v/>
      </c>
      <c r="CP99">
        <f>$C99*CP98</f>
        <v/>
      </c>
      <c r="CQ99">
        <f>$C99*CQ98</f>
        <v/>
      </c>
      <c r="CR99">
        <f>$C99*CR98</f>
        <v/>
      </c>
      <c r="CS99">
        <f>$C99*CS98</f>
        <v/>
      </c>
      <c r="CT99">
        <f>$C99*CT98</f>
        <v/>
      </c>
      <c r="CU99">
        <f>$C99*CU98</f>
        <v/>
      </c>
      <c r="CV99">
        <f>$C99*CV98</f>
        <v/>
      </c>
      <c r="CW99">
        <f>$C99*CW98</f>
        <v/>
      </c>
      <c r="CX99">
        <f>$C99*CX98</f>
        <v/>
      </c>
      <c r="CY99">
        <f>$C99*CY98</f>
        <v/>
      </c>
      <c r="CZ99">
        <f>$C99*CZ98</f>
        <v/>
      </c>
      <c r="DA99">
        <f>$C99*DA98</f>
        <v/>
      </c>
      <c r="DB99">
        <f>$C99*DB98</f>
        <v/>
      </c>
      <c r="DC99">
        <f>$C99*DC98</f>
        <v/>
      </c>
      <c r="DD99">
        <f>$C99*DD98</f>
        <v/>
      </c>
    </row>
    <row r="100">
      <c r="B100" t="inlineStr">
        <is>
          <t>VSP-870</t>
        </is>
      </c>
      <c r="C100" t="inlineStr">
        <is>
          <t>No. of batches</t>
        </is>
      </c>
      <c r="D100">
        <f>IFERROR(INDEX(E100:DD100,$F$1),"")</f>
        <v/>
      </c>
      <c r="E100">
        <f>IFERROR(INDEX(PP_Grid[#Data],$DE100,2),0)</f>
        <v/>
      </c>
      <c r="F100">
        <f>IFERROR(INDEX(PP_Grid[#Data],$DE100,3),0)</f>
        <v/>
      </c>
      <c r="G100">
        <f>IFERROR(INDEX(PP_Grid[#Data],$DE100,4),0)</f>
        <v/>
      </c>
      <c r="H100">
        <f>IFERROR(INDEX(PP_Grid[#Data],$DE100,5),0)</f>
        <v/>
      </c>
      <c r="I100">
        <f>IFERROR(INDEX(PP_Grid[#Data],$DE100,6),0)</f>
        <v/>
      </c>
      <c r="J100">
        <f>IFERROR(INDEX(PP_Grid[#Data],$DE100,7),0)</f>
        <v/>
      </c>
      <c r="K100">
        <f>IFERROR(INDEX(PP_Grid[#Data],$DE100,8),0)</f>
        <v/>
      </c>
      <c r="L100">
        <f>IFERROR(INDEX(PP_Grid[#Data],$DE100,9),0)</f>
        <v/>
      </c>
      <c r="M100">
        <f>IFERROR(INDEX(PP_Grid[#Data],$DE100,10),0)</f>
        <v/>
      </c>
      <c r="N100">
        <f>IFERROR(INDEX(PP_Grid[#Data],$DE100,11),0)</f>
        <v/>
      </c>
      <c r="O100">
        <f>IFERROR(INDEX(PP_Grid[#Data],$DE100,12),0)</f>
        <v/>
      </c>
      <c r="P100">
        <f>IFERROR(INDEX(PP_Grid[#Data],$DE100,13),0)</f>
        <v/>
      </c>
      <c r="Q100">
        <f>IFERROR(INDEX(PP_Grid[#Data],$DE100,14),0)</f>
        <v/>
      </c>
      <c r="R100">
        <f>IFERROR(INDEX(PP_Grid[#Data],$DE100,15),0)</f>
        <v/>
      </c>
      <c r="S100">
        <f>IFERROR(INDEX(PP_Grid[#Data],$DE100,16),0)</f>
        <v/>
      </c>
      <c r="T100">
        <f>IFERROR(INDEX(PP_Grid[#Data],$DE100,17),0)</f>
        <v/>
      </c>
      <c r="U100">
        <f>IFERROR(INDEX(PP_Grid[#Data],$DE100,18),0)</f>
        <v/>
      </c>
      <c r="V100">
        <f>IFERROR(INDEX(PP_Grid[#Data],$DE100,19),0)</f>
        <v/>
      </c>
      <c r="W100">
        <f>IFERROR(INDEX(PP_Grid[#Data],$DE100,20),0)</f>
        <v/>
      </c>
      <c r="X100">
        <f>IFERROR(INDEX(PP_Grid[#Data],$DE100,21),0)</f>
        <v/>
      </c>
      <c r="Y100">
        <f>IFERROR(INDEX(PP_Grid[#Data],$DE100,22),0)</f>
        <v/>
      </c>
      <c r="Z100">
        <f>IFERROR(INDEX(PP_Grid[#Data],$DE100,23),0)</f>
        <v/>
      </c>
      <c r="AA100">
        <f>IFERROR(INDEX(PP_Grid[#Data],$DE100,24),0)</f>
        <v/>
      </c>
      <c r="AB100">
        <f>IFERROR(INDEX(PP_Grid[#Data],$DE100,25),0)</f>
        <v/>
      </c>
      <c r="AC100">
        <f>IFERROR(INDEX(PP_Grid[#Data],$DE100,26),0)</f>
        <v/>
      </c>
      <c r="AD100">
        <f>IFERROR(INDEX(PP_Grid[#Data],$DE100,27),0)</f>
        <v/>
      </c>
      <c r="AE100">
        <f>IFERROR(INDEX(PP_Grid[#Data],$DE100,28),0)</f>
        <v/>
      </c>
      <c r="AF100">
        <f>IFERROR(INDEX(PP_Grid[#Data],$DE100,29),0)</f>
        <v/>
      </c>
      <c r="AG100">
        <f>IFERROR(INDEX(PP_Grid[#Data],$DE100,30),0)</f>
        <v/>
      </c>
      <c r="AH100">
        <f>IFERROR(INDEX(PP_Grid[#Data],$DE100,31),0)</f>
        <v/>
      </c>
      <c r="AI100">
        <f>IFERROR(INDEX(PP_Grid[#Data],$DE100,32),0)</f>
        <v/>
      </c>
      <c r="AJ100">
        <f>IFERROR(INDEX(PP_Grid[#Data],$DE100,33),0)</f>
        <v/>
      </c>
      <c r="AK100">
        <f>IFERROR(INDEX(PP_Grid[#Data],$DE100,34),0)</f>
        <v/>
      </c>
      <c r="AL100">
        <f>IFERROR(INDEX(PP_Grid[#Data],$DE100,35),0)</f>
        <v/>
      </c>
      <c r="AM100">
        <f>IFERROR(INDEX(PP_Grid[#Data],$DE100,36),0)</f>
        <v/>
      </c>
      <c r="AN100">
        <f>IFERROR(INDEX(PP_Grid[#Data],$DE100,37),0)</f>
        <v/>
      </c>
      <c r="AO100">
        <f>IFERROR(INDEX(PP_Grid[#Data],$DE100,38),0)</f>
        <v/>
      </c>
      <c r="AP100">
        <f>IFERROR(INDEX(PP_Grid[#Data],$DE100,39),0)</f>
        <v/>
      </c>
      <c r="AQ100">
        <f>IFERROR(INDEX(PP_Grid[#Data],$DE100,40),0)</f>
        <v/>
      </c>
      <c r="AR100">
        <f>IFERROR(INDEX(PP_Grid[#Data],$DE100,41),0)</f>
        <v/>
      </c>
      <c r="AS100">
        <f>IFERROR(INDEX(PP_Grid[#Data],$DE100,42),0)</f>
        <v/>
      </c>
      <c r="AT100">
        <f>IFERROR(INDEX(PP_Grid[#Data],$DE100,43),0)</f>
        <v/>
      </c>
      <c r="AU100">
        <f>IFERROR(INDEX(PP_Grid[#Data],$DE100,44),0)</f>
        <v/>
      </c>
      <c r="AV100">
        <f>IFERROR(INDEX(PP_Grid[#Data],$DE100,45),0)</f>
        <v/>
      </c>
      <c r="AW100">
        <f>IFERROR(INDEX(PP_Grid[#Data],$DE100,46),0)</f>
        <v/>
      </c>
      <c r="AX100">
        <f>IFERROR(INDEX(PP_Grid[#Data],$DE100,47),0)</f>
        <v/>
      </c>
      <c r="AY100">
        <f>IFERROR(INDEX(PP_Grid[#Data],$DE100,48),0)</f>
        <v/>
      </c>
      <c r="AZ100">
        <f>IFERROR(INDEX(PP_Grid[#Data],$DE100,49),0)</f>
        <v/>
      </c>
      <c r="BA100">
        <f>IFERROR(INDEX(PP_Grid[#Data],$DE100,50),0)</f>
        <v/>
      </c>
      <c r="BB100">
        <f>IFERROR(INDEX(PP_Grid[#Data],$DE100,51),0)</f>
        <v/>
      </c>
      <c r="BC100">
        <f>IFERROR(INDEX(PP_Grid[#Data],$DE100,52),0)</f>
        <v/>
      </c>
      <c r="BD100">
        <f>IFERROR(INDEX(PP_Grid[#Data],$DE100,53),0)</f>
        <v/>
      </c>
      <c r="BE100">
        <f>IFERROR(INDEX(PP_Grid[#Data],$DE100,54),0)</f>
        <v/>
      </c>
      <c r="BF100">
        <f>IFERROR(INDEX(PP_Grid[#Data],$DE100,55),0)</f>
        <v/>
      </c>
      <c r="BG100">
        <f>IFERROR(INDEX(PP_Grid[#Data],$DE100,56),0)</f>
        <v/>
      </c>
      <c r="BH100">
        <f>IFERROR(INDEX(PP_Grid[#Data],$DE100,57),0)</f>
        <v/>
      </c>
      <c r="BI100">
        <f>IFERROR(INDEX(PP_Grid[#Data],$DE100,58),0)</f>
        <v/>
      </c>
      <c r="BJ100">
        <f>IFERROR(INDEX(PP_Grid[#Data],$DE100,59),0)</f>
        <v/>
      </c>
      <c r="BK100">
        <f>IFERROR(INDEX(PP_Grid[#Data],$DE100,60),0)</f>
        <v/>
      </c>
      <c r="BL100">
        <f>IFERROR(INDEX(PP_Grid[#Data],$DE100,61),0)</f>
        <v/>
      </c>
      <c r="BM100">
        <f>IFERROR(INDEX(PP_Grid[#Data],$DE100,62),0)</f>
        <v/>
      </c>
      <c r="BN100">
        <f>IFERROR(INDEX(PP_Grid[#Data],$DE100,63),0)</f>
        <v/>
      </c>
      <c r="BO100">
        <f>IFERROR(INDEX(PP_Grid[#Data],$DE100,64),0)</f>
        <v/>
      </c>
      <c r="BP100">
        <f>IFERROR(INDEX(PP_Grid[#Data],$DE100,65),0)</f>
        <v/>
      </c>
      <c r="BQ100">
        <f>IFERROR(INDEX(PP_Grid[#Data],$DE100,66),0)</f>
        <v/>
      </c>
      <c r="BR100">
        <f>IFERROR(INDEX(PP_Grid[#Data],$DE100,67),0)</f>
        <v/>
      </c>
      <c r="BS100">
        <f>IFERROR(INDEX(PP_Grid[#Data],$DE100,68),0)</f>
        <v/>
      </c>
      <c r="BT100">
        <f>IFERROR(INDEX(PP_Grid[#Data],$DE100,69),0)</f>
        <v/>
      </c>
      <c r="BU100">
        <f>IFERROR(INDEX(PP_Grid[#Data],$DE100,70),0)</f>
        <v/>
      </c>
      <c r="BV100">
        <f>IFERROR(INDEX(PP_Grid[#Data],$DE100,71),0)</f>
        <v/>
      </c>
      <c r="BW100">
        <f>IFERROR(INDEX(PP_Grid[#Data],$DE100,72),0)</f>
        <v/>
      </c>
      <c r="BX100">
        <f>IFERROR(INDEX(PP_Grid[#Data],$DE100,73),0)</f>
        <v/>
      </c>
      <c r="BY100">
        <f>IFERROR(INDEX(PP_Grid[#Data],$DE100,74),0)</f>
        <v/>
      </c>
      <c r="BZ100">
        <f>IFERROR(INDEX(PP_Grid[#Data],$DE100,75),0)</f>
        <v/>
      </c>
      <c r="CA100">
        <f>IFERROR(INDEX(PP_Grid[#Data],$DE100,76),0)</f>
        <v/>
      </c>
      <c r="CB100">
        <f>IFERROR(INDEX(PP_Grid[#Data],$DE100,77),0)</f>
        <v/>
      </c>
      <c r="CC100">
        <f>IFERROR(INDEX(PP_Grid[#Data],$DE100,78),0)</f>
        <v/>
      </c>
      <c r="CD100">
        <f>IFERROR(INDEX(PP_Grid[#Data],$DE100,79),0)</f>
        <v/>
      </c>
      <c r="CE100">
        <f>IFERROR(INDEX(PP_Grid[#Data],$DE100,80),0)</f>
        <v/>
      </c>
      <c r="CF100">
        <f>IFERROR(INDEX(PP_Grid[#Data],$DE100,81),0)</f>
        <v/>
      </c>
      <c r="CG100">
        <f>IFERROR(INDEX(PP_Grid[#Data],$DE100,82),0)</f>
        <v/>
      </c>
      <c r="CH100">
        <f>IFERROR(INDEX(PP_Grid[#Data],$DE100,83),0)</f>
        <v/>
      </c>
      <c r="CI100">
        <f>IFERROR(INDEX(PP_Grid[#Data],$DE100,84),0)</f>
        <v/>
      </c>
      <c r="CJ100">
        <f>IFERROR(INDEX(PP_Grid[#Data],$DE100,85),0)</f>
        <v/>
      </c>
      <c r="CK100">
        <f>IFERROR(INDEX(PP_Grid[#Data],$DE100,86),0)</f>
        <v/>
      </c>
      <c r="CL100">
        <f>IFERROR(INDEX(PP_Grid[#Data],$DE100,87),0)</f>
        <v/>
      </c>
      <c r="CM100">
        <f>IFERROR(INDEX(PP_Grid[#Data],$DE100,88),0)</f>
        <v/>
      </c>
      <c r="CN100">
        <f>IFERROR(INDEX(PP_Grid[#Data],$DE100,89),0)</f>
        <v/>
      </c>
      <c r="CO100">
        <f>IFERROR(INDEX(PP_Grid[#Data],$DE100,90),0)</f>
        <v/>
      </c>
      <c r="CP100">
        <f>IFERROR(INDEX(PP_Grid[#Data],$DE100,91),0)</f>
        <v/>
      </c>
      <c r="CQ100">
        <f>IFERROR(INDEX(PP_Grid[#Data],$DE100,92),0)</f>
        <v/>
      </c>
      <c r="CR100">
        <f>IFERROR(INDEX(PP_Grid[#Data],$DE100,93),0)</f>
        <v/>
      </c>
      <c r="CS100">
        <f>IFERROR(INDEX(PP_Grid[#Data],$DE100,94),0)</f>
        <v/>
      </c>
      <c r="CT100">
        <f>IFERROR(INDEX(PP_Grid[#Data],$DE100,95),0)</f>
        <v/>
      </c>
      <c r="CU100">
        <f>IFERROR(INDEX(PP_Grid[#Data],$DE100,96),0)</f>
        <v/>
      </c>
      <c r="CV100">
        <f>IFERROR(INDEX(PP_Grid[#Data],$DE100,97),0)</f>
        <v/>
      </c>
      <c r="CW100">
        <f>IFERROR(INDEX(PP_Grid[#Data],$DE100,98),0)</f>
        <v/>
      </c>
      <c r="CX100">
        <f>IFERROR(INDEX(PP_Grid[#Data],$DE100,99),0)</f>
        <v/>
      </c>
      <c r="CY100">
        <f>IFERROR(INDEX(PP_Grid[#Data],$DE100,100),0)</f>
        <v/>
      </c>
      <c r="CZ100">
        <f>IFERROR(INDEX(PP_Grid[#Data],$DE100,101),0)</f>
        <v/>
      </c>
      <c r="DA100">
        <f>IFERROR(INDEX(PP_Grid[#Data],$DE100,102),0)</f>
        <v/>
      </c>
      <c r="DB100">
        <f>IFERROR(INDEX(PP_Grid[#Data],$DE100,103),0)</f>
        <v/>
      </c>
      <c r="DC100">
        <f>IFERROR(INDEX(PP_Grid[#Data],$DE100,104),0)</f>
        <v/>
      </c>
      <c r="DD100">
        <f>IFERROR(INDEX(PP_Grid[#Data],$DE100,105),0)</f>
        <v/>
      </c>
      <c r="DE100" s="7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SUMIFS(M_BOM[RM_Qty_Per_Batch],M_BOM[Intermediate],$B100,M_BOM[RM_Code],$A25)</f>
        <v/>
      </c>
      <c r="D101">
        <f>IFERROR(INDEX(E101:DD101,$F$1),"")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  <c r="DD101">
        <f>$C101*DD100</f>
        <v/>
      </c>
    </row>
    <row r="102">
      <c r="B102" t="inlineStr">
        <is>
          <t>VSP-910</t>
        </is>
      </c>
      <c r="C102" t="inlineStr">
        <is>
          <t>No. of batches</t>
        </is>
      </c>
      <c r="D102">
        <f>IFERROR(INDEX(E102:DD102,$F$1),"")</f>
        <v/>
      </c>
      <c r="E102">
        <f>IFERROR(INDEX(PP_Grid[#Data],$DE102,2),0)</f>
        <v/>
      </c>
      <c r="F102">
        <f>IFERROR(INDEX(PP_Grid[#Data],$DE102,3),0)</f>
        <v/>
      </c>
      <c r="G102">
        <f>IFERROR(INDEX(PP_Grid[#Data],$DE102,4),0)</f>
        <v/>
      </c>
      <c r="H102">
        <f>IFERROR(INDEX(PP_Grid[#Data],$DE102,5),0)</f>
        <v/>
      </c>
      <c r="I102">
        <f>IFERROR(INDEX(PP_Grid[#Data],$DE102,6),0)</f>
        <v/>
      </c>
      <c r="J102">
        <f>IFERROR(INDEX(PP_Grid[#Data],$DE102,7),0)</f>
        <v/>
      </c>
      <c r="K102">
        <f>IFERROR(INDEX(PP_Grid[#Data],$DE102,8),0)</f>
        <v/>
      </c>
      <c r="L102">
        <f>IFERROR(INDEX(PP_Grid[#Data],$DE102,9),0)</f>
        <v/>
      </c>
      <c r="M102">
        <f>IFERROR(INDEX(PP_Grid[#Data],$DE102,10),0)</f>
        <v/>
      </c>
      <c r="N102">
        <f>IFERROR(INDEX(PP_Grid[#Data],$DE102,11),0)</f>
        <v/>
      </c>
      <c r="O102">
        <f>IFERROR(INDEX(PP_Grid[#Data],$DE102,12),0)</f>
        <v/>
      </c>
      <c r="P102">
        <f>IFERROR(INDEX(PP_Grid[#Data],$DE102,13),0)</f>
        <v/>
      </c>
      <c r="Q102">
        <f>IFERROR(INDEX(PP_Grid[#Data],$DE102,14),0)</f>
        <v/>
      </c>
      <c r="R102">
        <f>IFERROR(INDEX(PP_Grid[#Data],$DE102,15),0)</f>
        <v/>
      </c>
      <c r="S102">
        <f>IFERROR(INDEX(PP_Grid[#Data],$DE102,16),0)</f>
        <v/>
      </c>
      <c r="T102">
        <f>IFERROR(INDEX(PP_Grid[#Data],$DE102,17),0)</f>
        <v/>
      </c>
      <c r="U102">
        <f>IFERROR(INDEX(PP_Grid[#Data],$DE102,18),0)</f>
        <v/>
      </c>
      <c r="V102">
        <f>IFERROR(INDEX(PP_Grid[#Data],$DE102,19),0)</f>
        <v/>
      </c>
      <c r="W102">
        <f>IFERROR(INDEX(PP_Grid[#Data],$DE102,20),0)</f>
        <v/>
      </c>
      <c r="X102">
        <f>IFERROR(INDEX(PP_Grid[#Data],$DE102,21),0)</f>
        <v/>
      </c>
      <c r="Y102">
        <f>IFERROR(INDEX(PP_Grid[#Data],$DE102,22),0)</f>
        <v/>
      </c>
      <c r="Z102">
        <f>IFERROR(INDEX(PP_Grid[#Data],$DE102,23),0)</f>
        <v/>
      </c>
      <c r="AA102">
        <f>IFERROR(INDEX(PP_Grid[#Data],$DE102,24),0)</f>
        <v/>
      </c>
      <c r="AB102">
        <f>IFERROR(INDEX(PP_Grid[#Data],$DE102,25),0)</f>
        <v/>
      </c>
      <c r="AC102">
        <f>IFERROR(INDEX(PP_Grid[#Data],$DE102,26),0)</f>
        <v/>
      </c>
      <c r="AD102">
        <f>IFERROR(INDEX(PP_Grid[#Data],$DE102,27),0)</f>
        <v/>
      </c>
      <c r="AE102">
        <f>IFERROR(INDEX(PP_Grid[#Data],$DE102,28),0)</f>
        <v/>
      </c>
      <c r="AF102">
        <f>IFERROR(INDEX(PP_Grid[#Data],$DE102,29),0)</f>
        <v/>
      </c>
      <c r="AG102">
        <f>IFERROR(INDEX(PP_Grid[#Data],$DE102,30),0)</f>
        <v/>
      </c>
      <c r="AH102">
        <f>IFERROR(INDEX(PP_Grid[#Data],$DE102,31),0)</f>
        <v/>
      </c>
      <c r="AI102">
        <f>IFERROR(INDEX(PP_Grid[#Data],$DE102,32),0)</f>
        <v/>
      </c>
      <c r="AJ102">
        <f>IFERROR(INDEX(PP_Grid[#Data],$DE102,33),0)</f>
        <v/>
      </c>
      <c r="AK102">
        <f>IFERROR(INDEX(PP_Grid[#Data],$DE102,34),0)</f>
        <v/>
      </c>
      <c r="AL102">
        <f>IFERROR(INDEX(PP_Grid[#Data],$DE102,35),0)</f>
        <v/>
      </c>
      <c r="AM102">
        <f>IFERROR(INDEX(PP_Grid[#Data],$DE102,36),0)</f>
        <v/>
      </c>
      <c r="AN102">
        <f>IFERROR(INDEX(PP_Grid[#Data],$DE102,37),0)</f>
        <v/>
      </c>
      <c r="AO102">
        <f>IFERROR(INDEX(PP_Grid[#Data],$DE102,38),0)</f>
        <v/>
      </c>
      <c r="AP102">
        <f>IFERROR(INDEX(PP_Grid[#Data],$DE102,39),0)</f>
        <v/>
      </c>
      <c r="AQ102">
        <f>IFERROR(INDEX(PP_Grid[#Data],$DE102,40),0)</f>
        <v/>
      </c>
      <c r="AR102">
        <f>IFERROR(INDEX(PP_Grid[#Data],$DE102,41),0)</f>
        <v/>
      </c>
      <c r="AS102">
        <f>IFERROR(INDEX(PP_Grid[#Data],$DE102,42),0)</f>
        <v/>
      </c>
      <c r="AT102">
        <f>IFERROR(INDEX(PP_Grid[#Data],$DE102,43),0)</f>
        <v/>
      </c>
      <c r="AU102">
        <f>IFERROR(INDEX(PP_Grid[#Data],$DE102,44),0)</f>
        <v/>
      </c>
      <c r="AV102">
        <f>IFERROR(INDEX(PP_Grid[#Data],$DE102,45),0)</f>
        <v/>
      </c>
      <c r="AW102">
        <f>IFERROR(INDEX(PP_Grid[#Data],$DE102,46),0)</f>
        <v/>
      </c>
      <c r="AX102">
        <f>IFERROR(INDEX(PP_Grid[#Data],$DE102,47),0)</f>
        <v/>
      </c>
      <c r="AY102">
        <f>IFERROR(INDEX(PP_Grid[#Data],$DE102,48),0)</f>
        <v/>
      </c>
      <c r="AZ102">
        <f>IFERROR(INDEX(PP_Grid[#Data],$DE102,49),0)</f>
        <v/>
      </c>
      <c r="BA102">
        <f>IFERROR(INDEX(PP_Grid[#Data],$DE102,50),0)</f>
        <v/>
      </c>
      <c r="BB102">
        <f>IFERROR(INDEX(PP_Grid[#Data],$DE102,51),0)</f>
        <v/>
      </c>
      <c r="BC102">
        <f>IFERROR(INDEX(PP_Grid[#Data],$DE102,52),0)</f>
        <v/>
      </c>
      <c r="BD102">
        <f>IFERROR(INDEX(PP_Grid[#Data],$DE102,53),0)</f>
        <v/>
      </c>
      <c r="BE102">
        <f>IFERROR(INDEX(PP_Grid[#Data],$DE102,54),0)</f>
        <v/>
      </c>
      <c r="BF102">
        <f>IFERROR(INDEX(PP_Grid[#Data],$DE102,55),0)</f>
        <v/>
      </c>
      <c r="BG102">
        <f>IFERROR(INDEX(PP_Grid[#Data],$DE102,56),0)</f>
        <v/>
      </c>
      <c r="BH102">
        <f>IFERROR(INDEX(PP_Grid[#Data],$DE102,57),0)</f>
        <v/>
      </c>
      <c r="BI102">
        <f>IFERROR(INDEX(PP_Grid[#Data],$DE102,58),0)</f>
        <v/>
      </c>
      <c r="BJ102">
        <f>IFERROR(INDEX(PP_Grid[#Data],$DE102,59),0)</f>
        <v/>
      </c>
      <c r="BK102">
        <f>IFERROR(INDEX(PP_Grid[#Data],$DE102,60),0)</f>
        <v/>
      </c>
      <c r="BL102">
        <f>IFERROR(INDEX(PP_Grid[#Data],$DE102,61),0)</f>
        <v/>
      </c>
      <c r="BM102">
        <f>IFERROR(INDEX(PP_Grid[#Data],$DE102,62),0)</f>
        <v/>
      </c>
      <c r="BN102">
        <f>IFERROR(INDEX(PP_Grid[#Data],$DE102,63),0)</f>
        <v/>
      </c>
      <c r="BO102">
        <f>IFERROR(INDEX(PP_Grid[#Data],$DE102,64),0)</f>
        <v/>
      </c>
      <c r="BP102">
        <f>IFERROR(INDEX(PP_Grid[#Data],$DE102,65),0)</f>
        <v/>
      </c>
      <c r="BQ102">
        <f>IFERROR(INDEX(PP_Grid[#Data],$DE102,66),0)</f>
        <v/>
      </c>
      <c r="BR102">
        <f>IFERROR(INDEX(PP_Grid[#Data],$DE102,67),0)</f>
        <v/>
      </c>
      <c r="BS102">
        <f>IFERROR(INDEX(PP_Grid[#Data],$DE102,68),0)</f>
        <v/>
      </c>
      <c r="BT102">
        <f>IFERROR(INDEX(PP_Grid[#Data],$DE102,69),0)</f>
        <v/>
      </c>
      <c r="BU102">
        <f>IFERROR(INDEX(PP_Grid[#Data],$DE102,70),0)</f>
        <v/>
      </c>
      <c r="BV102">
        <f>IFERROR(INDEX(PP_Grid[#Data],$DE102,71),0)</f>
        <v/>
      </c>
      <c r="BW102">
        <f>IFERROR(INDEX(PP_Grid[#Data],$DE102,72),0)</f>
        <v/>
      </c>
      <c r="BX102">
        <f>IFERROR(INDEX(PP_Grid[#Data],$DE102,73),0)</f>
        <v/>
      </c>
      <c r="BY102">
        <f>IFERROR(INDEX(PP_Grid[#Data],$DE102,74),0)</f>
        <v/>
      </c>
      <c r="BZ102">
        <f>IFERROR(INDEX(PP_Grid[#Data],$DE102,75),0)</f>
        <v/>
      </c>
      <c r="CA102">
        <f>IFERROR(INDEX(PP_Grid[#Data],$DE102,76),0)</f>
        <v/>
      </c>
      <c r="CB102">
        <f>IFERROR(INDEX(PP_Grid[#Data],$DE102,77),0)</f>
        <v/>
      </c>
      <c r="CC102">
        <f>IFERROR(INDEX(PP_Grid[#Data],$DE102,78),0)</f>
        <v/>
      </c>
      <c r="CD102">
        <f>IFERROR(INDEX(PP_Grid[#Data],$DE102,79),0)</f>
        <v/>
      </c>
      <c r="CE102">
        <f>IFERROR(INDEX(PP_Grid[#Data],$DE102,80),0)</f>
        <v/>
      </c>
      <c r="CF102">
        <f>IFERROR(INDEX(PP_Grid[#Data],$DE102,81),0)</f>
        <v/>
      </c>
      <c r="CG102">
        <f>IFERROR(INDEX(PP_Grid[#Data],$DE102,82),0)</f>
        <v/>
      </c>
      <c r="CH102">
        <f>IFERROR(INDEX(PP_Grid[#Data],$DE102,83),0)</f>
        <v/>
      </c>
      <c r="CI102">
        <f>IFERROR(INDEX(PP_Grid[#Data],$DE102,84),0)</f>
        <v/>
      </c>
      <c r="CJ102">
        <f>IFERROR(INDEX(PP_Grid[#Data],$DE102,85),0)</f>
        <v/>
      </c>
      <c r="CK102">
        <f>IFERROR(INDEX(PP_Grid[#Data],$DE102,86),0)</f>
        <v/>
      </c>
      <c r="CL102">
        <f>IFERROR(INDEX(PP_Grid[#Data],$DE102,87),0)</f>
        <v/>
      </c>
      <c r="CM102">
        <f>IFERROR(INDEX(PP_Grid[#Data],$DE102,88),0)</f>
        <v/>
      </c>
      <c r="CN102">
        <f>IFERROR(INDEX(PP_Grid[#Data],$DE102,89),0)</f>
        <v/>
      </c>
      <c r="CO102">
        <f>IFERROR(INDEX(PP_Grid[#Data],$DE102,90),0)</f>
        <v/>
      </c>
      <c r="CP102">
        <f>IFERROR(INDEX(PP_Grid[#Data],$DE102,91),0)</f>
        <v/>
      </c>
      <c r="CQ102">
        <f>IFERROR(INDEX(PP_Grid[#Data],$DE102,92),0)</f>
        <v/>
      </c>
      <c r="CR102">
        <f>IFERROR(INDEX(PP_Grid[#Data],$DE102,93),0)</f>
        <v/>
      </c>
      <c r="CS102">
        <f>IFERROR(INDEX(PP_Grid[#Data],$DE102,94),0)</f>
        <v/>
      </c>
      <c r="CT102">
        <f>IFERROR(INDEX(PP_Grid[#Data],$DE102,95),0)</f>
        <v/>
      </c>
      <c r="CU102">
        <f>IFERROR(INDEX(PP_Grid[#Data],$DE102,96),0)</f>
        <v/>
      </c>
      <c r="CV102">
        <f>IFERROR(INDEX(PP_Grid[#Data],$DE102,97),0)</f>
        <v/>
      </c>
      <c r="CW102">
        <f>IFERROR(INDEX(PP_Grid[#Data],$DE102,98),0)</f>
        <v/>
      </c>
      <c r="CX102">
        <f>IFERROR(INDEX(PP_Grid[#Data],$DE102,99),0)</f>
        <v/>
      </c>
      <c r="CY102">
        <f>IFERROR(INDEX(PP_Grid[#Data],$DE102,100),0)</f>
        <v/>
      </c>
      <c r="CZ102">
        <f>IFERROR(INDEX(PP_Grid[#Data],$DE102,101),0)</f>
        <v/>
      </c>
      <c r="DA102">
        <f>IFERROR(INDEX(PP_Grid[#Data],$DE102,102),0)</f>
        <v/>
      </c>
      <c r="DB102">
        <f>IFERROR(INDEX(PP_Grid[#Data],$DE102,103),0)</f>
        <v/>
      </c>
      <c r="DC102">
        <f>IFERROR(INDEX(PP_Grid[#Data],$DE102,104),0)</f>
        <v/>
      </c>
      <c r="DD102">
        <f>IFERROR(INDEX(PP_Grid[#Data],$DE102,105),0)</f>
        <v/>
      </c>
      <c r="DE102" s="7">
        <f>IFERROR(MATCH($B102,PP_Grid[Intermediate],0),99999)</f>
        <v/>
      </c>
    </row>
    <row r="103">
      <c r="B103" t="inlineStr">
        <is>
          <t>使用量(kg)</t>
        </is>
      </c>
      <c r="C103">
        <f>SUMIFS(M_BOM[RM_Qty_Per_Batch],M_BOM[Intermediate],$B102,M_BOM[RM_Code],$A25)</f>
        <v/>
      </c>
      <c r="D103">
        <f>IFERROR(INDEX(E103:DD103,$F$1),"")</f>
        <v/>
      </c>
      <c r="E103">
        <f>$C103*E102</f>
        <v/>
      </c>
      <c r="F103">
        <f>$C103*F102</f>
        <v/>
      </c>
      <c r="G103">
        <f>$C103*G102</f>
        <v/>
      </c>
      <c r="H103">
        <f>$C103*H102</f>
        <v/>
      </c>
      <c r="I103">
        <f>$C103*I102</f>
        <v/>
      </c>
      <c r="J103">
        <f>$C103*J102</f>
        <v/>
      </c>
      <c r="K103">
        <f>$C103*K102</f>
        <v/>
      </c>
      <c r="L103">
        <f>$C103*L102</f>
        <v/>
      </c>
      <c r="M103">
        <f>$C103*M102</f>
        <v/>
      </c>
      <c r="N103">
        <f>$C103*N102</f>
        <v/>
      </c>
      <c r="O103">
        <f>$C103*O102</f>
        <v/>
      </c>
      <c r="P103">
        <f>$C103*P102</f>
        <v/>
      </c>
      <c r="Q103">
        <f>$C103*Q102</f>
        <v/>
      </c>
      <c r="R103">
        <f>$C103*R102</f>
        <v/>
      </c>
      <c r="S103">
        <f>$C103*S102</f>
        <v/>
      </c>
      <c r="T103">
        <f>$C103*T102</f>
        <v/>
      </c>
      <c r="U103">
        <f>$C103*U102</f>
        <v/>
      </c>
      <c r="V103">
        <f>$C103*V102</f>
        <v/>
      </c>
      <c r="W103">
        <f>$C103*W102</f>
        <v/>
      </c>
      <c r="X103">
        <f>$C103*X102</f>
        <v/>
      </c>
      <c r="Y103">
        <f>$C103*Y102</f>
        <v/>
      </c>
      <c r="Z103">
        <f>$C103*Z102</f>
        <v/>
      </c>
      <c r="AA103">
        <f>$C103*AA102</f>
        <v/>
      </c>
      <c r="AB103">
        <f>$C103*AB102</f>
        <v/>
      </c>
      <c r="AC103">
        <f>$C103*AC102</f>
        <v/>
      </c>
      <c r="AD103">
        <f>$C103*AD102</f>
        <v/>
      </c>
      <c r="AE103">
        <f>$C103*AE102</f>
        <v/>
      </c>
      <c r="AF103">
        <f>$C103*AF102</f>
        <v/>
      </c>
      <c r="AG103">
        <f>$C103*AG102</f>
        <v/>
      </c>
      <c r="AH103">
        <f>$C103*AH102</f>
        <v/>
      </c>
      <c r="AI103">
        <f>$C103*AI102</f>
        <v/>
      </c>
      <c r="AJ103">
        <f>$C103*AJ102</f>
        <v/>
      </c>
      <c r="AK103">
        <f>$C103*AK102</f>
        <v/>
      </c>
      <c r="AL103">
        <f>$C103*AL102</f>
        <v/>
      </c>
      <c r="AM103">
        <f>$C103*AM102</f>
        <v/>
      </c>
      <c r="AN103">
        <f>$C103*AN102</f>
        <v/>
      </c>
      <c r="AO103">
        <f>$C103*AO102</f>
        <v/>
      </c>
      <c r="AP103">
        <f>$C103*AP102</f>
        <v/>
      </c>
      <c r="AQ103">
        <f>$C103*AQ102</f>
        <v/>
      </c>
      <c r="AR103">
        <f>$C103*AR102</f>
        <v/>
      </c>
      <c r="AS103">
        <f>$C103*AS102</f>
        <v/>
      </c>
      <c r="AT103">
        <f>$C103*AT102</f>
        <v/>
      </c>
      <c r="AU103">
        <f>$C103*AU102</f>
        <v/>
      </c>
      <c r="AV103">
        <f>$C103*AV102</f>
        <v/>
      </c>
      <c r="AW103">
        <f>$C103*AW102</f>
        <v/>
      </c>
      <c r="AX103">
        <f>$C103*AX102</f>
        <v/>
      </c>
      <c r="AY103">
        <f>$C103*AY102</f>
        <v/>
      </c>
      <c r="AZ103">
        <f>$C103*AZ102</f>
        <v/>
      </c>
      <c r="BA103">
        <f>$C103*BA102</f>
        <v/>
      </c>
      <c r="BB103">
        <f>$C103*BB102</f>
        <v/>
      </c>
      <c r="BC103">
        <f>$C103*BC102</f>
        <v/>
      </c>
      <c r="BD103">
        <f>$C103*BD102</f>
        <v/>
      </c>
      <c r="BE103">
        <f>$C103*BE102</f>
        <v/>
      </c>
      <c r="BF103">
        <f>$C103*BF102</f>
        <v/>
      </c>
      <c r="BG103">
        <f>$C103*BG102</f>
        <v/>
      </c>
      <c r="BH103">
        <f>$C103*BH102</f>
        <v/>
      </c>
      <c r="BI103">
        <f>$C103*BI102</f>
        <v/>
      </c>
      <c r="BJ103">
        <f>$C103*BJ102</f>
        <v/>
      </c>
      <c r="BK103">
        <f>$C103*BK102</f>
        <v/>
      </c>
      <c r="BL103">
        <f>$C103*BL102</f>
        <v/>
      </c>
      <c r="BM103">
        <f>$C103*BM102</f>
        <v/>
      </c>
      <c r="BN103">
        <f>$C103*BN102</f>
        <v/>
      </c>
      <c r="BO103">
        <f>$C103*BO102</f>
        <v/>
      </c>
      <c r="BP103">
        <f>$C103*BP102</f>
        <v/>
      </c>
      <c r="BQ103">
        <f>$C103*BQ102</f>
        <v/>
      </c>
      <c r="BR103">
        <f>$C103*BR102</f>
        <v/>
      </c>
      <c r="BS103">
        <f>$C103*BS102</f>
        <v/>
      </c>
      <c r="BT103">
        <f>$C103*BT102</f>
        <v/>
      </c>
      <c r="BU103">
        <f>$C103*BU102</f>
        <v/>
      </c>
      <c r="BV103">
        <f>$C103*BV102</f>
        <v/>
      </c>
      <c r="BW103">
        <f>$C103*BW102</f>
        <v/>
      </c>
      <c r="BX103">
        <f>$C103*BX102</f>
        <v/>
      </c>
      <c r="BY103">
        <f>$C103*BY102</f>
        <v/>
      </c>
      <c r="BZ103">
        <f>$C103*BZ102</f>
        <v/>
      </c>
      <c r="CA103">
        <f>$C103*CA102</f>
        <v/>
      </c>
      <c r="CB103">
        <f>$C103*CB102</f>
        <v/>
      </c>
      <c r="CC103">
        <f>$C103*CC102</f>
        <v/>
      </c>
      <c r="CD103">
        <f>$C103*CD102</f>
        <v/>
      </c>
      <c r="CE103">
        <f>$C103*CE102</f>
        <v/>
      </c>
      <c r="CF103">
        <f>$C103*CF102</f>
        <v/>
      </c>
      <c r="CG103">
        <f>$C103*CG102</f>
        <v/>
      </c>
      <c r="CH103">
        <f>$C103*CH102</f>
        <v/>
      </c>
      <c r="CI103">
        <f>$C103*CI102</f>
        <v/>
      </c>
      <c r="CJ103">
        <f>$C103*CJ102</f>
        <v/>
      </c>
      <c r="CK103">
        <f>$C103*CK102</f>
        <v/>
      </c>
      <c r="CL103">
        <f>$C103*CL102</f>
        <v/>
      </c>
      <c r="CM103">
        <f>$C103*CM102</f>
        <v/>
      </c>
      <c r="CN103">
        <f>$C103*CN102</f>
        <v/>
      </c>
      <c r="CO103">
        <f>$C103*CO102</f>
        <v/>
      </c>
      <c r="CP103">
        <f>$C103*CP102</f>
        <v/>
      </c>
      <c r="CQ103">
        <f>$C103*CQ102</f>
        <v/>
      </c>
      <c r="CR103">
        <f>$C103*CR102</f>
        <v/>
      </c>
      <c r="CS103">
        <f>$C103*CS102</f>
        <v/>
      </c>
      <c r="CT103">
        <f>$C103*CT102</f>
        <v/>
      </c>
      <c r="CU103">
        <f>$C103*CU102</f>
        <v/>
      </c>
      <c r="CV103">
        <f>$C103*CV102</f>
        <v/>
      </c>
      <c r="CW103">
        <f>$C103*CW102</f>
        <v/>
      </c>
      <c r="CX103">
        <f>$C103*CX102</f>
        <v/>
      </c>
      <c r="CY103">
        <f>$C103*CY102</f>
        <v/>
      </c>
      <c r="CZ103">
        <f>$C103*CZ102</f>
        <v/>
      </c>
      <c r="DA103">
        <f>$C103*DA102</f>
        <v/>
      </c>
      <c r="DB103">
        <f>$C103*DB102</f>
        <v/>
      </c>
      <c r="DC103">
        <f>$C103*DC102</f>
        <v/>
      </c>
      <c r="DD103">
        <f>$C103*DD102</f>
        <v/>
      </c>
    </row>
    <row r="104">
      <c r="B104" t="inlineStr">
        <is>
          <t>VSP-989</t>
        </is>
      </c>
      <c r="C104" t="inlineStr">
        <is>
          <t>No. of batches</t>
        </is>
      </c>
      <c r="D104">
        <f>IFERROR(INDEX(E104:DD104,$F$1),"")</f>
        <v/>
      </c>
      <c r="E104">
        <f>IFERROR(INDEX(PP_Grid[#Data],$DE104,2),0)</f>
        <v/>
      </c>
      <c r="F104">
        <f>IFERROR(INDEX(PP_Grid[#Data],$DE104,3),0)</f>
        <v/>
      </c>
      <c r="G104">
        <f>IFERROR(INDEX(PP_Grid[#Data],$DE104,4),0)</f>
        <v/>
      </c>
      <c r="H104">
        <f>IFERROR(INDEX(PP_Grid[#Data],$DE104,5),0)</f>
        <v/>
      </c>
      <c r="I104">
        <f>IFERROR(INDEX(PP_Grid[#Data],$DE104,6),0)</f>
        <v/>
      </c>
      <c r="J104">
        <f>IFERROR(INDEX(PP_Grid[#Data],$DE104,7),0)</f>
        <v/>
      </c>
      <c r="K104">
        <f>IFERROR(INDEX(PP_Grid[#Data],$DE104,8),0)</f>
        <v/>
      </c>
      <c r="L104">
        <f>IFERROR(INDEX(PP_Grid[#Data],$DE104,9),0)</f>
        <v/>
      </c>
      <c r="M104">
        <f>IFERROR(INDEX(PP_Grid[#Data],$DE104,10),0)</f>
        <v/>
      </c>
      <c r="N104">
        <f>IFERROR(INDEX(PP_Grid[#Data],$DE104,11),0)</f>
        <v/>
      </c>
      <c r="O104">
        <f>IFERROR(INDEX(PP_Grid[#Data],$DE104,12),0)</f>
        <v/>
      </c>
      <c r="P104">
        <f>IFERROR(INDEX(PP_Grid[#Data],$DE104,13),0)</f>
        <v/>
      </c>
      <c r="Q104">
        <f>IFERROR(INDEX(PP_Grid[#Data],$DE104,14),0)</f>
        <v/>
      </c>
      <c r="R104">
        <f>IFERROR(INDEX(PP_Grid[#Data],$DE104,15),0)</f>
        <v/>
      </c>
      <c r="S104">
        <f>IFERROR(INDEX(PP_Grid[#Data],$DE104,16),0)</f>
        <v/>
      </c>
      <c r="T104">
        <f>IFERROR(INDEX(PP_Grid[#Data],$DE104,17),0)</f>
        <v/>
      </c>
      <c r="U104">
        <f>IFERROR(INDEX(PP_Grid[#Data],$DE104,18),0)</f>
        <v/>
      </c>
      <c r="V104">
        <f>IFERROR(INDEX(PP_Grid[#Data],$DE104,19),0)</f>
        <v/>
      </c>
      <c r="W104">
        <f>IFERROR(INDEX(PP_Grid[#Data],$DE104,20),0)</f>
        <v/>
      </c>
      <c r="X104">
        <f>IFERROR(INDEX(PP_Grid[#Data],$DE104,21),0)</f>
        <v/>
      </c>
      <c r="Y104">
        <f>IFERROR(INDEX(PP_Grid[#Data],$DE104,22),0)</f>
        <v/>
      </c>
      <c r="Z104">
        <f>IFERROR(INDEX(PP_Grid[#Data],$DE104,23),0)</f>
        <v/>
      </c>
      <c r="AA104">
        <f>IFERROR(INDEX(PP_Grid[#Data],$DE104,24),0)</f>
        <v/>
      </c>
      <c r="AB104">
        <f>IFERROR(INDEX(PP_Grid[#Data],$DE104,25),0)</f>
        <v/>
      </c>
      <c r="AC104">
        <f>IFERROR(INDEX(PP_Grid[#Data],$DE104,26),0)</f>
        <v/>
      </c>
      <c r="AD104">
        <f>IFERROR(INDEX(PP_Grid[#Data],$DE104,27),0)</f>
        <v/>
      </c>
      <c r="AE104">
        <f>IFERROR(INDEX(PP_Grid[#Data],$DE104,28),0)</f>
        <v/>
      </c>
      <c r="AF104">
        <f>IFERROR(INDEX(PP_Grid[#Data],$DE104,29),0)</f>
        <v/>
      </c>
      <c r="AG104">
        <f>IFERROR(INDEX(PP_Grid[#Data],$DE104,30),0)</f>
        <v/>
      </c>
      <c r="AH104">
        <f>IFERROR(INDEX(PP_Grid[#Data],$DE104,31),0)</f>
        <v/>
      </c>
      <c r="AI104">
        <f>IFERROR(INDEX(PP_Grid[#Data],$DE104,32),0)</f>
        <v/>
      </c>
      <c r="AJ104">
        <f>IFERROR(INDEX(PP_Grid[#Data],$DE104,33),0)</f>
        <v/>
      </c>
      <c r="AK104">
        <f>IFERROR(INDEX(PP_Grid[#Data],$DE104,34),0)</f>
        <v/>
      </c>
      <c r="AL104">
        <f>IFERROR(INDEX(PP_Grid[#Data],$DE104,35),0)</f>
        <v/>
      </c>
      <c r="AM104">
        <f>IFERROR(INDEX(PP_Grid[#Data],$DE104,36),0)</f>
        <v/>
      </c>
      <c r="AN104">
        <f>IFERROR(INDEX(PP_Grid[#Data],$DE104,37),0)</f>
        <v/>
      </c>
      <c r="AO104">
        <f>IFERROR(INDEX(PP_Grid[#Data],$DE104,38),0)</f>
        <v/>
      </c>
      <c r="AP104">
        <f>IFERROR(INDEX(PP_Grid[#Data],$DE104,39),0)</f>
        <v/>
      </c>
      <c r="AQ104">
        <f>IFERROR(INDEX(PP_Grid[#Data],$DE104,40),0)</f>
        <v/>
      </c>
      <c r="AR104">
        <f>IFERROR(INDEX(PP_Grid[#Data],$DE104,41),0)</f>
        <v/>
      </c>
      <c r="AS104">
        <f>IFERROR(INDEX(PP_Grid[#Data],$DE104,42),0)</f>
        <v/>
      </c>
      <c r="AT104">
        <f>IFERROR(INDEX(PP_Grid[#Data],$DE104,43),0)</f>
        <v/>
      </c>
      <c r="AU104">
        <f>IFERROR(INDEX(PP_Grid[#Data],$DE104,44),0)</f>
        <v/>
      </c>
      <c r="AV104">
        <f>IFERROR(INDEX(PP_Grid[#Data],$DE104,45),0)</f>
        <v/>
      </c>
      <c r="AW104">
        <f>IFERROR(INDEX(PP_Grid[#Data],$DE104,46),0)</f>
        <v/>
      </c>
      <c r="AX104">
        <f>IFERROR(INDEX(PP_Grid[#Data],$DE104,47),0)</f>
        <v/>
      </c>
      <c r="AY104">
        <f>IFERROR(INDEX(PP_Grid[#Data],$DE104,48),0)</f>
        <v/>
      </c>
      <c r="AZ104">
        <f>IFERROR(INDEX(PP_Grid[#Data],$DE104,49),0)</f>
        <v/>
      </c>
      <c r="BA104">
        <f>IFERROR(INDEX(PP_Grid[#Data],$DE104,50),0)</f>
        <v/>
      </c>
      <c r="BB104">
        <f>IFERROR(INDEX(PP_Grid[#Data],$DE104,51),0)</f>
        <v/>
      </c>
      <c r="BC104">
        <f>IFERROR(INDEX(PP_Grid[#Data],$DE104,52),0)</f>
        <v/>
      </c>
      <c r="BD104">
        <f>IFERROR(INDEX(PP_Grid[#Data],$DE104,53),0)</f>
        <v/>
      </c>
      <c r="BE104">
        <f>IFERROR(INDEX(PP_Grid[#Data],$DE104,54),0)</f>
        <v/>
      </c>
      <c r="BF104">
        <f>IFERROR(INDEX(PP_Grid[#Data],$DE104,55),0)</f>
        <v/>
      </c>
      <c r="BG104">
        <f>IFERROR(INDEX(PP_Grid[#Data],$DE104,56),0)</f>
        <v/>
      </c>
      <c r="BH104">
        <f>IFERROR(INDEX(PP_Grid[#Data],$DE104,57),0)</f>
        <v/>
      </c>
      <c r="BI104">
        <f>IFERROR(INDEX(PP_Grid[#Data],$DE104,58),0)</f>
        <v/>
      </c>
      <c r="BJ104">
        <f>IFERROR(INDEX(PP_Grid[#Data],$DE104,59),0)</f>
        <v/>
      </c>
      <c r="BK104">
        <f>IFERROR(INDEX(PP_Grid[#Data],$DE104,60),0)</f>
        <v/>
      </c>
      <c r="BL104">
        <f>IFERROR(INDEX(PP_Grid[#Data],$DE104,61),0)</f>
        <v/>
      </c>
      <c r="BM104">
        <f>IFERROR(INDEX(PP_Grid[#Data],$DE104,62),0)</f>
        <v/>
      </c>
      <c r="BN104">
        <f>IFERROR(INDEX(PP_Grid[#Data],$DE104,63),0)</f>
        <v/>
      </c>
      <c r="BO104">
        <f>IFERROR(INDEX(PP_Grid[#Data],$DE104,64),0)</f>
        <v/>
      </c>
      <c r="BP104">
        <f>IFERROR(INDEX(PP_Grid[#Data],$DE104,65),0)</f>
        <v/>
      </c>
      <c r="BQ104">
        <f>IFERROR(INDEX(PP_Grid[#Data],$DE104,66),0)</f>
        <v/>
      </c>
      <c r="BR104">
        <f>IFERROR(INDEX(PP_Grid[#Data],$DE104,67),0)</f>
        <v/>
      </c>
      <c r="BS104">
        <f>IFERROR(INDEX(PP_Grid[#Data],$DE104,68),0)</f>
        <v/>
      </c>
      <c r="BT104">
        <f>IFERROR(INDEX(PP_Grid[#Data],$DE104,69),0)</f>
        <v/>
      </c>
      <c r="BU104">
        <f>IFERROR(INDEX(PP_Grid[#Data],$DE104,70),0)</f>
        <v/>
      </c>
      <c r="BV104">
        <f>IFERROR(INDEX(PP_Grid[#Data],$DE104,71),0)</f>
        <v/>
      </c>
      <c r="BW104">
        <f>IFERROR(INDEX(PP_Grid[#Data],$DE104,72),0)</f>
        <v/>
      </c>
      <c r="BX104">
        <f>IFERROR(INDEX(PP_Grid[#Data],$DE104,73),0)</f>
        <v/>
      </c>
      <c r="BY104">
        <f>IFERROR(INDEX(PP_Grid[#Data],$DE104,74),0)</f>
        <v/>
      </c>
      <c r="BZ104">
        <f>IFERROR(INDEX(PP_Grid[#Data],$DE104,75),0)</f>
        <v/>
      </c>
      <c r="CA104">
        <f>IFERROR(INDEX(PP_Grid[#Data],$DE104,76),0)</f>
        <v/>
      </c>
      <c r="CB104">
        <f>IFERROR(INDEX(PP_Grid[#Data],$DE104,77),0)</f>
        <v/>
      </c>
      <c r="CC104">
        <f>IFERROR(INDEX(PP_Grid[#Data],$DE104,78),0)</f>
        <v/>
      </c>
      <c r="CD104">
        <f>IFERROR(INDEX(PP_Grid[#Data],$DE104,79),0)</f>
        <v/>
      </c>
      <c r="CE104">
        <f>IFERROR(INDEX(PP_Grid[#Data],$DE104,80),0)</f>
        <v/>
      </c>
      <c r="CF104">
        <f>IFERROR(INDEX(PP_Grid[#Data],$DE104,81),0)</f>
        <v/>
      </c>
      <c r="CG104">
        <f>IFERROR(INDEX(PP_Grid[#Data],$DE104,82),0)</f>
        <v/>
      </c>
      <c r="CH104">
        <f>IFERROR(INDEX(PP_Grid[#Data],$DE104,83),0)</f>
        <v/>
      </c>
      <c r="CI104">
        <f>IFERROR(INDEX(PP_Grid[#Data],$DE104,84),0)</f>
        <v/>
      </c>
      <c r="CJ104">
        <f>IFERROR(INDEX(PP_Grid[#Data],$DE104,85),0)</f>
        <v/>
      </c>
      <c r="CK104">
        <f>IFERROR(INDEX(PP_Grid[#Data],$DE104,86),0)</f>
        <v/>
      </c>
      <c r="CL104">
        <f>IFERROR(INDEX(PP_Grid[#Data],$DE104,87),0)</f>
        <v/>
      </c>
      <c r="CM104">
        <f>IFERROR(INDEX(PP_Grid[#Data],$DE104,88),0)</f>
        <v/>
      </c>
      <c r="CN104">
        <f>IFERROR(INDEX(PP_Grid[#Data],$DE104,89),0)</f>
        <v/>
      </c>
      <c r="CO104">
        <f>IFERROR(INDEX(PP_Grid[#Data],$DE104,90),0)</f>
        <v/>
      </c>
      <c r="CP104">
        <f>IFERROR(INDEX(PP_Grid[#Data],$DE104,91),0)</f>
        <v/>
      </c>
      <c r="CQ104">
        <f>IFERROR(INDEX(PP_Grid[#Data],$DE104,92),0)</f>
        <v/>
      </c>
      <c r="CR104">
        <f>IFERROR(INDEX(PP_Grid[#Data],$DE104,93),0)</f>
        <v/>
      </c>
      <c r="CS104">
        <f>IFERROR(INDEX(PP_Grid[#Data],$DE104,94),0)</f>
        <v/>
      </c>
      <c r="CT104">
        <f>IFERROR(INDEX(PP_Grid[#Data],$DE104,95),0)</f>
        <v/>
      </c>
      <c r="CU104">
        <f>IFERROR(INDEX(PP_Grid[#Data],$DE104,96),0)</f>
        <v/>
      </c>
      <c r="CV104">
        <f>IFERROR(INDEX(PP_Grid[#Data],$DE104,97),0)</f>
        <v/>
      </c>
      <c r="CW104">
        <f>IFERROR(INDEX(PP_Grid[#Data],$DE104,98),0)</f>
        <v/>
      </c>
      <c r="CX104">
        <f>IFERROR(INDEX(PP_Grid[#Data],$DE104,99),0)</f>
        <v/>
      </c>
      <c r="CY104">
        <f>IFERROR(INDEX(PP_Grid[#Data],$DE104,100),0)</f>
        <v/>
      </c>
      <c r="CZ104">
        <f>IFERROR(INDEX(PP_Grid[#Data],$DE104,101),0)</f>
        <v/>
      </c>
      <c r="DA104">
        <f>IFERROR(INDEX(PP_Grid[#Data],$DE104,102),0)</f>
        <v/>
      </c>
      <c r="DB104">
        <f>IFERROR(INDEX(PP_Grid[#Data],$DE104,103),0)</f>
        <v/>
      </c>
      <c r="DC104">
        <f>IFERROR(INDEX(PP_Grid[#Data],$DE104,104),0)</f>
        <v/>
      </c>
      <c r="DD104">
        <f>IFERROR(INDEX(PP_Grid[#Data],$DE104,105),0)</f>
        <v/>
      </c>
      <c r="DE104" s="7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SUMIFS(M_BOM[RM_Qty_Per_Batch],M_BOM[Intermediate],$B104,M_BOM[RM_Code],$A25)</f>
        <v/>
      </c>
      <c r="D105">
        <f>IFERROR(INDEX(E105:DD105,$F$1),"")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  <c r="DD105">
        <f>$C105*DD104</f>
        <v/>
      </c>
    </row>
    <row r="106">
      <c r="B106" t="inlineStr">
        <is>
          <t>VSP-990</t>
        </is>
      </c>
      <c r="C106" t="inlineStr">
        <is>
          <t>No. of batches</t>
        </is>
      </c>
      <c r="D106">
        <f>IFERROR(INDEX(E106:DD106,$F$1),"")</f>
        <v/>
      </c>
      <c r="E106">
        <f>IFERROR(INDEX(PP_Grid[#Data],$DE106,2),0)</f>
        <v/>
      </c>
      <c r="F106">
        <f>IFERROR(INDEX(PP_Grid[#Data],$DE106,3),0)</f>
        <v/>
      </c>
      <c r="G106">
        <f>IFERROR(INDEX(PP_Grid[#Data],$DE106,4),0)</f>
        <v/>
      </c>
      <c r="H106">
        <f>IFERROR(INDEX(PP_Grid[#Data],$DE106,5),0)</f>
        <v/>
      </c>
      <c r="I106">
        <f>IFERROR(INDEX(PP_Grid[#Data],$DE106,6),0)</f>
        <v/>
      </c>
      <c r="J106">
        <f>IFERROR(INDEX(PP_Grid[#Data],$DE106,7),0)</f>
        <v/>
      </c>
      <c r="K106">
        <f>IFERROR(INDEX(PP_Grid[#Data],$DE106,8),0)</f>
        <v/>
      </c>
      <c r="L106">
        <f>IFERROR(INDEX(PP_Grid[#Data],$DE106,9),0)</f>
        <v/>
      </c>
      <c r="M106">
        <f>IFERROR(INDEX(PP_Grid[#Data],$DE106,10),0)</f>
        <v/>
      </c>
      <c r="N106">
        <f>IFERROR(INDEX(PP_Grid[#Data],$DE106,11),0)</f>
        <v/>
      </c>
      <c r="O106">
        <f>IFERROR(INDEX(PP_Grid[#Data],$DE106,12),0)</f>
        <v/>
      </c>
      <c r="P106">
        <f>IFERROR(INDEX(PP_Grid[#Data],$DE106,13),0)</f>
        <v/>
      </c>
      <c r="Q106">
        <f>IFERROR(INDEX(PP_Grid[#Data],$DE106,14),0)</f>
        <v/>
      </c>
      <c r="R106">
        <f>IFERROR(INDEX(PP_Grid[#Data],$DE106,15),0)</f>
        <v/>
      </c>
      <c r="S106">
        <f>IFERROR(INDEX(PP_Grid[#Data],$DE106,16),0)</f>
        <v/>
      </c>
      <c r="T106">
        <f>IFERROR(INDEX(PP_Grid[#Data],$DE106,17),0)</f>
        <v/>
      </c>
      <c r="U106">
        <f>IFERROR(INDEX(PP_Grid[#Data],$DE106,18),0)</f>
        <v/>
      </c>
      <c r="V106">
        <f>IFERROR(INDEX(PP_Grid[#Data],$DE106,19),0)</f>
        <v/>
      </c>
      <c r="W106">
        <f>IFERROR(INDEX(PP_Grid[#Data],$DE106,20),0)</f>
        <v/>
      </c>
      <c r="X106">
        <f>IFERROR(INDEX(PP_Grid[#Data],$DE106,21),0)</f>
        <v/>
      </c>
      <c r="Y106">
        <f>IFERROR(INDEX(PP_Grid[#Data],$DE106,22),0)</f>
        <v/>
      </c>
      <c r="Z106">
        <f>IFERROR(INDEX(PP_Grid[#Data],$DE106,23),0)</f>
        <v/>
      </c>
      <c r="AA106">
        <f>IFERROR(INDEX(PP_Grid[#Data],$DE106,24),0)</f>
        <v/>
      </c>
      <c r="AB106">
        <f>IFERROR(INDEX(PP_Grid[#Data],$DE106,25),0)</f>
        <v/>
      </c>
      <c r="AC106">
        <f>IFERROR(INDEX(PP_Grid[#Data],$DE106,26),0)</f>
        <v/>
      </c>
      <c r="AD106">
        <f>IFERROR(INDEX(PP_Grid[#Data],$DE106,27),0)</f>
        <v/>
      </c>
      <c r="AE106">
        <f>IFERROR(INDEX(PP_Grid[#Data],$DE106,28),0)</f>
        <v/>
      </c>
      <c r="AF106">
        <f>IFERROR(INDEX(PP_Grid[#Data],$DE106,29),0)</f>
        <v/>
      </c>
      <c r="AG106">
        <f>IFERROR(INDEX(PP_Grid[#Data],$DE106,30),0)</f>
        <v/>
      </c>
      <c r="AH106">
        <f>IFERROR(INDEX(PP_Grid[#Data],$DE106,31),0)</f>
        <v/>
      </c>
      <c r="AI106">
        <f>IFERROR(INDEX(PP_Grid[#Data],$DE106,32),0)</f>
        <v/>
      </c>
      <c r="AJ106">
        <f>IFERROR(INDEX(PP_Grid[#Data],$DE106,33),0)</f>
        <v/>
      </c>
      <c r="AK106">
        <f>IFERROR(INDEX(PP_Grid[#Data],$DE106,34),0)</f>
        <v/>
      </c>
      <c r="AL106">
        <f>IFERROR(INDEX(PP_Grid[#Data],$DE106,35),0)</f>
        <v/>
      </c>
      <c r="AM106">
        <f>IFERROR(INDEX(PP_Grid[#Data],$DE106,36),0)</f>
        <v/>
      </c>
      <c r="AN106">
        <f>IFERROR(INDEX(PP_Grid[#Data],$DE106,37),0)</f>
        <v/>
      </c>
      <c r="AO106">
        <f>IFERROR(INDEX(PP_Grid[#Data],$DE106,38),0)</f>
        <v/>
      </c>
      <c r="AP106">
        <f>IFERROR(INDEX(PP_Grid[#Data],$DE106,39),0)</f>
        <v/>
      </c>
      <c r="AQ106">
        <f>IFERROR(INDEX(PP_Grid[#Data],$DE106,40),0)</f>
        <v/>
      </c>
      <c r="AR106">
        <f>IFERROR(INDEX(PP_Grid[#Data],$DE106,41),0)</f>
        <v/>
      </c>
      <c r="AS106">
        <f>IFERROR(INDEX(PP_Grid[#Data],$DE106,42),0)</f>
        <v/>
      </c>
      <c r="AT106">
        <f>IFERROR(INDEX(PP_Grid[#Data],$DE106,43),0)</f>
        <v/>
      </c>
      <c r="AU106">
        <f>IFERROR(INDEX(PP_Grid[#Data],$DE106,44),0)</f>
        <v/>
      </c>
      <c r="AV106">
        <f>IFERROR(INDEX(PP_Grid[#Data],$DE106,45),0)</f>
        <v/>
      </c>
      <c r="AW106">
        <f>IFERROR(INDEX(PP_Grid[#Data],$DE106,46),0)</f>
        <v/>
      </c>
      <c r="AX106">
        <f>IFERROR(INDEX(PP_Grid[#Data],$DE106,47),0)</f>
        <v/>
      </c>
      <c r="AY106">
        <f>IFERROR(INDEX(PP_Grid[#Data],$DE106,48),0)</f>
        <v/>
      </c>
      <c r="AZ106">
        <f>IFERROR(INDEX(PP_Grid[#Data],$DE106,49),0)</f>
        <v/>
      </c>
      <c r="BA106">
        <f>IFERROR(INDEX(PP_Grid[#Data],$DE106,50),0)</f>
        <v/>
      </c>
      <c r="BB106">
        <f>IFERROR(INDEX(PP_Grid[#Data],$DE106,51),0)</f>
        <v/>
      </c>
      <c r="BC106">
        <f>IFERROR(INDEX(PP_Grid[#Data],$DE106,52),0)</f>
        <v/>
      </c>
      <c r="BD106">
        <f>IFERROR(INDEX(PP_Grid[#Data],$DE106,53),0)</f>
        <v/>
      </c>
      <c r="BE106">
        <f>IFERROR(INDEX(PP_Grid[#Data],$DE106,54),0)</f>
        <v/>
      </c>
      <c r="BF106">
        <f>IFERROR(INDEX(PP_Grid[#Data],$DE106,55),0)</f>
        <v/>
      </c>
      <c r="BG106">
        <f>IFERROR(INDEX(PP_Grid[#Data],$DE106,56),0)</f>
        <v/>
      </c>
      <c r="BH106">
        <f>IFERROR(INDEX(PP_Grid[#Data],$DE106,57),0)</f>
        <v/>
      </c>
      <c r="BI106">
        <f>IFERROR(INDEX(PP_Grid[#Data],$DE106,58),0)</f>
        <v/>
      </c>
      <c r="BJ106">
        <f>IFERROR(INDEX(PP_Grid[#Data],$DE106,59),0)</f>
        <v/>
      </c>
      <c r="BK106">
        <f>IFERROR(INDEX(PP_Grid[#Data],$DE106,60),0)</f>
        <v/>
      </c>
      <c r="BL106">
        <f>IFERROR(INDEX(PP_Grid[#Data],$DE106,61),0)</f>
        <v/>
      </c>
      <c r="BM106">
        <f>IFERROR(INDEX(PP_Grid[#Data],$DE106,62),0)</f>
        <v/>
      </c>
      <c r="BN106">
        <f>IFERROR(INDEX(PP_Grid[#Data],$DE106,63),0)</f>
        <v/>
      </c>
      <c r="BO106">
        <f>IFERROR(INDEX(PP_Grid[#Data],$DE106,64),0)</f>
        <v/>
      </c>
      <c r="BP106">
        <f>IFERROR(INDEX(PP_Grid[#Data],$DE106,65),0)</f>
        <v/>
      </c>
      <c r="BQ106">
        <f>IFERROR(INDEX(PP_Grid[#Data],$DE106,66),0)</f>
        <v/>
      </c>
      <c r="BR106">
        <f>IFERROR(INDEX(PP_Grid[#Data],$DE106,67),0)</f>
        <v/>
      </c>
      <c r="BS106">
        <f>IFERROR(INDEX(PP_Grid[#Data],$DE106,68),0)</f>
        <v/>
      </c>
      <c r="BT106">
        <f>IFERROR(INDEX(PP_Grid[#Data],$DE106,69),0)</f>
        <v/>
      </c>
      <c r="BU106">
        <f>IFERROR(INDEX(PP_Grid[#Data],$DE106,70),0)</f>
        <v/>
      </c>
      <c r="BV106">
        <f>IFERROR(INDEX(PP_Grid[#Data],$DE106,71),0)</f>
        <v/>
      </c>
      <c r="BW106">
        <f>IFERROR(INDEX(PP_Grid[#Data],$DE106,72),0)</f>
        <v/>
      </c>
      <c r="BX106">
        <f>IFERROR(INDEX(PP_Grid[#Data],$DE106,73),0)</f>
        <v/>
      </c>
      <c r="BY106">
        <f>IFERROR(INDEX(PP_Grid[#Data],$DE106,74),0)</f>
        <v/>
      </c>
      <c r="BZ106">
        <f>IFERROR(INDEX(PP_Grid[#Data],$DE106,75),0)</f>
        <v/>
      </c>
      <c r="CA106">
        <f>IFERROR(INDEX(PP_Grid[#Data],$DE106,76),0)</f>
        <v/>
      </c>
      <c r="CB106">
        <f>IFERROR(INDEX(PP_Grid[#Data],$DE106,77),0)</f>
        <v/>
      </c>
      <c r="CC106">
        <f>IFERROR(INDEX(PP_Grid[#Data],$DE106,78),0)</f>
        <v/>
      </c>
      <c r="CD106">
        <f>IFERROR(INDEX(PP_Grid[#Data],$DE106,79),0)</f>
        <v/>
      </c>
      <c r="CE106">
        <f>IFERROR(INDEX(PP_Grid[#Data],$DE106,80),0)</f>
        <v/>
      </c>
      <c r="CF106">
        <f>IFERROR(INDEX(PP_Grid[#Data],$DE106,81),0)</f>
        <v/>
      </c>
      <c r="CG106">
        <f>IFERROR(INDEX(PP_Grid[#Data],$DE106,82),0)</f>
        <v/>
      </c>
      <c r="CH106">
        <f>IFERROR(INDEX(PP_Grid[#Data],$DE106,83),0)</f>
        <v/>
      </c>
      <c r="CI106">
        <f>IFERROR(INDEX(PP_Grid[#Data],$DE106,84),0)</f>
        <v/>
      </c>
      <c r="CJ106">
        <f>IFERROR(INDEX(PP_Grid[#Data],$DE106,85),0)</f>
        <v/>
      </c>
      <c r="CK106">
        <f>IFERROR(INDEX(PP_Grid[#Data],$DE106,86),0)</f>
        <v/>
      </c>
      <c r="CL106">
        <f>IFERROR(INDEX(PP_Grid[#Data],$DE106,87),0)</f>
        <v/>
      </c>
      <c r="CM106">
        <f>IFERROR(INDEX(PP_Grid[#Data],$DE106,88),0)</f>
        <v/>
      </c>
      <c r="CN106">
        <f>IFERROR(INDEX(PP_Grid[#Data],$DE106,89),0)</f>
        <v/>
      </c>
      <c r="CO106">
        <f>IFERROR(INDEX(PP_Grid[#Data],$DE106,90),0)</f>
        <v/>
      </c>
      <c r="CP106">
        <f>IFERROR(INDEX(PP_Grid[#Data],$DE106,91),0)</f>
        <v/>
      </c>
      <c r="CQ106">
        <f>IFERROR(INDEX(PP_Grid[#Data],$DE106,92),0)</f>
        <v/>
      </c>
      <c r="CR106">
        <f>IFERROR(INDEX(PP_Grid[#Data],$DE106,93),0)</f>
        <v/>
      </c>
      <c r="CS106">
        <f>IFERROR(INDEX(PP_Grid[#Data],$DE106,94),0)</f>
        <v/>
      </c>
      <c r="CT106">
        <f>IFERROR(INDEX(PP_Grid[#Data],$DE106,95),0)</f>
        <v/>
      </c>
      <c r="CU106">
        <f>IFERROR(INDEX(PP_Grid[#Data],$DE106,96),0)</f>
        <v/>
      </c>
      <c r="CV106">
        <f>IFERROR(INDEX(PP_Grid[#Data],$DE106,97),0)</f>
        <v/>
      </c>
      <c r="CW106">
        <f>IFERROR(INDEX(PP_Grid[#Data],$DE106,98),0)</f>
        <v/>
      </c>
      <c r="CX106">
        <f>IFERROR(INDEX(PP_Grid[#Data],$DE106,99),0)</f>
        <v/>
      </c>
      <c r="CY106">
        <f>IFERROR(INDEX(PP_Grid[#Data],$DE106,100),0)</f>
        <v/>
      </c>
      <c r="CZ106">
        <f>IFERROR(INDEX(PP_Grid[#Data],$DE106,101),0)</f>
        <v/>
      </c>
      <c r="DA106">
        <f>IFERROR(INDEX(PP_Grid[#Data],$DE106,102),0)</f>
        <v/>
      </c>
      <c r="DB106">
        <f>IFERROR(INDEX(PP_Grid[#Data],$DE106,103),0)</f>
        <v/>
      </c>
      <c r="DC106">
        <f>IFERROR(INDEX(PP_Grid[#Data],$DE106,104),0)</f>
        <v/>
      </c>
      <c r="DD106">
        <f>IFERROR(INDEX(PP_Grid[#Data],$DE106,105),0)</f>
        <v/>
      </c>
      <c r="DE106" s="7">
        <f>IFERROR(MATCH($B106,PP_Grid[Intermediate],0),99999)</f>
        <v/>
      </c>
    </row>
    <row r="107">
      <c r="B107" t="inlineStr">
        <is>
          <t>使用量(kg)</t>
        </is>
      </c>
      <c r="C107">
        <f>SUMIFS(M_BOM[RM_Qty_Per_Batch],M_BOM[Intermediate],$B106,M_BOM[RM_Code],$A25)</f>
        <v/>
      </c>
      <c r="D107">
        <f>IFERROR(INDEX(E107:DD107,$F$1),"")</f>
        <v/>
      </c>
      <c r="E107">
        <f>$C107*E106</f>
        <v/>
      </c>
      <c r="F107">
        <f>$C107*F106</f>
        <v/>
      </c>
      <c r="G107">
        <f>$C107*G106</f>
        <v/>
      </c>
      <c r="H107">
        <f>$C107*H106</f>
        <v/>
      </c>
      <c r="I107">
        <f>$C107*I106</f>
        <v/>
      </c>
      <c r="J107">
        <f>$C107*J106</f>
        <v/>
      </c>
      <c r="K107">
        <f>$C107*K106</f>
        <v/>
      </c>
      <c r="L107">
        <f>$C107*L106</f>
        <v/>
      </c>
      <c r="M107">
        <f>$C107*M106</f>
        <v/>
      </c>
      <c r="N107">
        <f>$C107*N106</f>
        <v/>
      </c>
      <c r="O107">
        <f>$C107*O106</f>
        <v/>
      </c>
      <c r="P107">
        <f>$C107*P106</f>
        <v/>
      </c>
      <c r="Q107">
        <f>$C107*Q106</f>
        <v/>
      </c>
      <c r="R107">
        <f>$C107*R106</f>
        <v/>
      </c>
      <c r="S107">
        <f>$C107*S106</f>
        <v/>
      </c>
      <c r="T107">
        <f>$C107*T106</f>
        <v/>
      </c>
      <c r="U107">
        <f>$C107*U106</f>
        <v/>
      </c>
      <c r="V107">
        <f>$C107*V106</f>
        <v/>
      </c>
      <c r="W107">
        <f>$C107*W106</f>
        <v/>
      </c>
      <c r="X107">
        <f>$C107*X106</f>
        <v/>
      </c>
      <c r="Y107">
        <f>$C107*Y106</f>
        <v/>
      </c>
      <c r="Z107">
        <f>$C107*Z106</f>
        <v/>
      </c>
      <c r="AA107">
        <f>$C107*AA106</f>
        <v/>
      </c>
      <c r="AB107">
        <f>$C107*AB106</f>
        <v/>
      </c>
      <c r="AC107">
        <f>$C107*AC106</f>
        <v/>
      </c>
      <c r="AD107">
        <f>$C107*AD106</f>
        <v/>
      </c>
      <c r="AE107">
        <f>$C107*AE106</f>
        <v/>
      </c>
      <c r="AF107">
        <f>$C107*AF106</f>
        <v/>
      </c>
      <c r="AG107">
        <f>$C107*AG106</f>
        <v/>
      </c>
      <c r="AH107">
        <f>$C107*AH106</f>
        <v/>
      </c>
      <c r="AI107">
        <f>$C107*AI106</f>
        <v/>
      </c>
      <c r="AJ107">
        <f>$C107*AJ106</f>
        <v/>
      </c>
      <c r="AK107">
        <f>$C107*AK106</f>
        <v/>
      </c>
      <c r="AL107">
        <f>$C107*AL106</f>
        <v/>
      </c>
      <c r="AM107">
        <f>$C107*AM106</f>
        <v/>
      </c>
      <c r="AN107">
        <f>$C107*AN106</f>
        <v/>
      </c>
      <c r="AO107">
        <f>$C107*AO106</f>
        <v/>
      </c>
      <c r="AP107">
        <f>$C107*AP106</f>
        <v/>
      </c>
      <c r="AQ107">
        <f>$C107*AQ106</f>
        <v/>
      </c>
      <c r="AR107">
        <f>$C107*AR106</f>
        <v/>
      </c>
      <c r="AS107">
        <f>$C107*AS106</f>
        <v/>
      </c>
      <c r="AT107">
        <f>$C107*AT106</f>
        <v/>
      </c>
      <c r="AU107">
        <f>$C107*AU106</f>
        <v/>
      </c>
      <c r="AV107">
        <f>$C107*AV106</f>
        <v/>
      </c>
      <c r="AW107">
        <f>$C107*AW106</f>
        <v/>
      </c>
      <c r="AX107">
        <f>$C107*AX106</f>
        <v/>
      </c>
      <c r="AY107">
        <f>$C107*AY106</f>
        <v/>
      </c>
      <c r="AZ107">
        <f>$C107*AZ106</f>
        <v/>
      </c>
      <c r="BA107">
        <f>$C107*BA106</f>
        <v/>
      </c>
      <c r="BB107">
        <f>$C107*BB106</f>
        <v/>
      </c>
      <c r="BC107">
        <f>$C107*BC106</f>
        <v/>
      </c>
      <c r="BD107">
        <f>$C107*BD106</f>
        <v/>
      </c>
      <c r="BE107">
        <f>$C107*BE106</f>
        <v/>
      </c>
      <c r="BF107">
        <f>$C107*BF106</f>
        <v/>
      </c>
      <c r="BG107">
        <f>$C107*BG106</f>
        <v/>
      </c>
      <c r="BH107">
        <f>$C107*BH106</f>
        <v/>
      </c>
      <c r="BI107">
        <f>$C107*BI106</f>
        <v/>
      </c>
      <c r="BJ107">
        <f>$C107*BJ106</f>
        <v/>
      </c>
      <c r="BK107">
        <f>$C107*BK106</f>
        <v/>
      </c>
      <c r="BL107">
        <f>$C107*BL106</f>
        <v/>
      </c>
      <c r="BM107">
        <f>$C107*BM106</f>
        <v/>
      </c>
      <c r="BN107">
        <f>$C107*BN106</f>
        <v/>
      </c>
      <c r="BO107">
        <f>$C107*BO106</f>
        <v/>
      </c>
      <c r="BP107">
        <f>$C107*BP106</f>
        <v/>
      </c>
      <c r="BQ107">
        <f>$C107*BQ106</f>
        <v/>
      </c>
      <c r="BR107">
        <f>$C107*BR106</f>
        <v/>
      </c>
      <c r="BS107">
        <f>$C107*BS106</f>
        <v/>
      </c>
      <c r="BT107">
        <f>$C107*BT106</f>
        <v/>
      </c>
      <c r="BU107">
        <f>$C107*BU106</f>
        <v/>
      </c>
      <c r="BV107">
        <f>$C107*BV106</f>
        <v/>
      </c>
      <c r="BW107">
        <f>$C107*BW106</f>
        <v/>
      </c>
      <c r="BX107">
        <f>$C107*BX106</f>
        <v/>
      </c>
      <c r="BY107">
        <f>$C107*BY106</f>
        <v/>
      </c>
      <c r="BZ107">
        <f>$C107*BZ106</f>
        <v/>
      </c>
      <c r="CA107">
        <f>$C107*CA106</f>
        <v/>
      </c>
      <c r="CB107">
        <f>$C107*CB106</f>
        <v/>
      </c>
      <c r="CC107">
        <f>$C107*CC106</f>
        <v/>
      </c>
      <c r="CD107">
        <f>$C107*CD106</f>
        <v/>
      </c>
      <c r="CE107">
        <f>$C107*CE106</f>
        <v/>
      </c>
      <c r="CF107">
        <f>$C107*CF106</f>
        <v/>
      </c>
      <c r="CG107">
        <f>$C107*CG106</f>
        <v/>
      </c>
      <c r="CH107">
        <f>$C107*CH106</f>
        <v/>
      </c>
      <c r="CI107">
        <f>$C107*CI106</f>
        <v/>
      </c>
      <c r="CJ107">
        <f>$C107*CJ106</f>
        <v/>
      </c>
      <c r="CK107">
        <f>$C107*CK106</f>
        <v/>
      </c>
      <c r="CL107">
        <f>$C107*CL106</f>
        <v/>
      </c>
      <c r="CM107">
        <f>$C107*CM106</f>
        <v/>
      </c>
      <c r="CN107">
        <f>$C107*CN106</f>
        <v/>
      </c>
      <c r="CO107">
        <f>$C107*CO106</f>
        <v/>
      </c>
      <c r="CP107">
        <f>$C107*CP106</f>
        <v/>
      </c>
      <c r="CQ107">
        <f>$C107*CQ106</f>
        <v/>
      </c>
      <c r="CR107">
        <f>$C107*CR106</f>
        <v/>
      </c>
      <c r="CS107">
        <f>$C107*CS106</f>
        <v/>
      </c>
      <c r="CT107">
        <f>$C107*CT106</f>
        <v/>
      </c>
      <c r="CU107">
        <f>$C107*CU106</f>
        <v/>
      </c>
      <c r="CV107">
        <f>$C107*CV106</f>
        <v/>
      </c>
      <c r="CW107">
        <f>$C107*CW106</f>
        <v/>
      </c>
      <c r="CX107">
        <f>$C107*CX106</f>
        <v/>
      </c>
      <c r="CY107">
        <f>$C107*CY106</f>
        <v/>
      </c>
      <c r="CZ107">
        <f>$C107*CZ106</f>
        <v/>
      </c>
      <c r="DA107">
        <f>$C107*DA106</f>
        <v/>
      </c>
      <c r="DB107">
        <f>$C107*DB106</f>
        <v/>
      </c>
      <c r="DC107">
        <f>$C107*DC106</f>
        <v/>
      </c>
      <c r="DD107">
        <f>$C107*DD106</f>
        <v/>
      </c>
    </row>
    <row r="108">
      <c r="B108" t="inlineStr">
        <is>
          <t>VSP-999</t>
        </is>
      </c>
      <c r="C108" t="inlineStr">
        <is>
          <t>No. of batches</t>
        </is>
      </c>
      <c r="D108">
        <f>IFERROR(INDEX(E108:DD108,$F$1),"")</f>
        <v/>
      </c>
      <c r="E108">
        <f>IFERROR(INDEX(PP_Grid[#Data],$DE108,2),0)</f>
        <v/>
      </c>
      <c r="F108">
        <f>IFERROR(INDEX(PP_Grid[#Data],$DE108,3),0)</f>
        <v/>
      </c>
      <c r="G108">
        <f>IFERROR(INDEX(PP_Grid[#Data],$DE108,4),0)</f>
        <v/>
      </c>
      <c r="H108">
        <f>IFERROR(INDEX(PP_Grid[#Data],$DE108,5),0)</f>
        <v/>
      </c>
      <c r="I108">
        <f>IFERROR(INDEX(PP_Grid[#Data],$DE108,6),0)</f>
        <v/>
      </c>
      <c r="J108">
        <f>IFERROR(INDEX(PP_Grid[#Data],$DE108,7),0)</f>
        <v/>
      </c>
      <c r="K108">
        <f>IFERROR(INDEX(PP_Grid[#Data],$DE108,8),0)</f>
        <v/>
      </c>
      <c r="L108">
        <f>IFERROR(INDEX(PP_Grid[#Data],$DE108,9),0)</f>
        <v/>
      </c>
      <c r="M108">
        <f>IFERROR(INDEX(PP_Grid[#Data],$DE108,10),0)</f>
        <v/>
      </c>
      <c r="N108">
        <f>IFERROR(INDEX(PP_Grid[#Data],$DE108,11),0)</f>
        <v/>
      </c>
      <c r="O108">
        <f>IFERROR(INDEX(PP_Grid[#Data],$DE108,12),0)</f>
        <v/>
      </c>
      <c r="P108">
        <f>IFERROR(INDEX(PP_Grid[#Data],$DE108,13),0)</f>
        <v/>
      </c>
      <c r="Q108">
        <f>IFERROR(INDEX(PP_Grid[#Data],$DE108,14),0)</f>
        <v/>
      </c>
      <c r="R108">
        <f>IFERROR(INDEX(PP_Grid[#Data],$DE108,15),0)</f>
        <v/>
      </c>
      <c r="S108">
        <f>IFERROR(INDEX(PP_Grid[#Data],$DE108,16),0)</f>
        <v/>
      </c>
      <c r="T108">
        <f>IFERROR(INDEX(PP_Grid[#Data],$DE108,17),0)</f>
        <v/>
      </c>
      <c r="U108">
        <f>IFERROR(INDEX(PP_Grid[#Data],$DE108,18),0)</f>
        <v/>
      </c>
      <c r="V108">
        <f>IFERROR(INDEX(PP_Grid[#Data],$DE108,19),0)</f>
        <v/>
      </c>
      <c r="W108">
        <f>IFERROR(INDEX(PP_Grid[#Data],$DE108,20),0)</f>
        <v/>
      </c>
      <c r="X108">
        <f>IFERROR(INDEX(PP_Grid[#Data],$DE108,21),0)</f>
        <v/>
      </c>
      <c r="Y108">
        <f>IFERROR(INDEX(PP_Grid[#Data],$DE108,22),0)</f>
        <v/>
      </c>
      <c r="Z108">
        <f>IFERROR(INDEX(PP_Grid[#Data],$DE108,23),0)</f>
        <v/>
      </c>
      <c r="AA108">
        <f>IFERROR(INDEX(PP_Grid[#Data],$DE108,24),0)</f>
        <v/>
      </c>
      <c r="AB108">
        <f>IFERROR(INDEX(PP_Grid[#Data],$DE108,25),0)</f>
        <v/>
      </c>
      <c r="AC108">
        <f>IFERROR(INDEX(PP_Grid[#Data],$DE108,26),0)</f>
        <v/>
      </c>
      <c r="AD108">
        <f>IFERROR(INDEX(PP_Grid[#Data],$DE108,27),0)</f>
        <v/>
      </c>
      <c r="AE108">
        <f>IFERROR(INDEX(PP_Grid[#Data],$DE108,28),0)</f>
        <v/>
      </c>
      <c r="AF108">
        <f>IFERROR(INDEX(PP_Grid[#Data],$DE108,29),0)</f>
        <v/>
      </c>
      <c r="AG108">
        <f>IFERROR(INDEX(PP_Grid[#Data],$DE108,30),0)</f>
        <v/>
      </c>
      <c r="AH108">
        <f>IFERROR(INDEX(PP_Grid[#Data],$DE108,31),0)</f>
        <v/>
      </c>
      <c r="AI108">
        <f>IFERROR(INDEX(PP_Grid[#Data],$DE108,32),0)</f>
        <v/>
      </c>
      <c r="AJ108">
        <f>IFERROR(INDEX(PP_Grid[#Data],$DE108,33),0)</f>
        <v/>
      </c>
      <c r="AK108">
        <f>IFERROR(INDEX(PP_Grid[#Data],$DE108,34),0)</f>
        <v/>
      </c>
      <c r="AL108">
        <f>IFERROR(INDEX(PP_Grid[#Data],$DE108,35),0)</f>
        <v/>
      </c>
      <c r="AM108">
        <f>IFERROR(INDEX(PP_Grid[#Data],$DE108,36),0)</f>
        <v/>
      </c>
      <c r="AN108">
        <f>IFERROR(INDEX(PP_Grid[#Data],$DE108,37),0)</f>
        <v/>
      </c>
      <c r="AO108">
        <f>IFERROR(INDEX(PP_Grid[#Data],$DE108,38),0)</f>
        <v/>
      </c>
      <c r="AP108">
        <f>IFERROR(INDEX(PP_Grid[#Data],$DE108,39),0)</f>
        <v/>
      </c>
      <c r="AQ108">
        <f>IFERROR(INDEX(PP_Grid[#Data],$DE108,40),0)</f>
        <v/>
      </c>
      <c r="AR108">
        <f>IFERROR(INDEX(PP_Grid[#Data],$DE108,41),0)</f>
        <v/>
      </c>
      <c r="AS108">
        <f>IFERROR(INDEX(PP_Grid[#Data],$DE108,42),0)</f>
        <v/>
      </c>
      <c r="AT108">
        <f>IFERROR(INDEX(PP_Grid[#Data],$DE108,43),0)</f>
        <v/>
      </c>
      <c r="AU108">
        <f>IFERROR(INDEX(PP_Grid[#Data],$DE108,44),0)</f>
        <v/>
      </c>
      <c r="AV108">
        <f>IFERROR(INDEX(PP_Grid[#Data],$DE108,45),0)</f>
        <v/>
      </c>
      <c r="AW108">
        <f>IFERROR(INDEX(PP_Grid[#Data],$DE108,46),0)</f>
        <v/>
      </c>
      <c r="AX108">
        <f>IFERROR(INDEX(PP_Grid[#Data],$DE108,47),0)</f>
        <v/>
      </c>
      <c r="AY108">
        <f>IFERROR(INDEX(PP_Grid[#Data],$DE108,48),0)</f>
        <v/>
      </c>
      <c r="AZ108">
        <f>IFERROR(INDEX(PP_Grid[#Data],$DE108,49),0)</f>
        <v/>
      </c>
      <c r="BA108">
        <f>IFERROR(INDEX(PP_Grid[#Data],$DE108,50),0)</f>
        <v/>
      </c>
      <c r="BB108">
        <f>IFERROR(INDEX(PP_Grid[#Data],$DE108,51),0)</f>
        <v/>
      </c>
      <c r="BC108">
        <f>IFERROR(INDEX(PP_Grid[#Data],$DE108,52),0)</f>
        <v/>
      </c>
      <c r="BD108">
        <f>IFERROR(INDEX(PP_Grid[#Data],$DE108,53),0)</f>
        <v/>
      </c>
      <c r="BE108">
        <f>IFERROR(INDEX(PP_Grid[#Data],$DE108,54),0)</f>
        <v/>
      </c>
      <c r="BF108">
        <f>IFERROR(INDEX(PP_Grid[#Data],$DE108,55),0)</f>
        <v/>
      </c>
      <c r="BG108">
        <f>IFERROR(INDEX(PP_Grid[#Data],$DE108,56),0)</f>
        <v/>
      </c>
      <c r="BH108">
        <f>IFERROR(INDEX(PP_Grid[#Data],$DE108,57),0)</f>
        <v/>
      </c>
      <c r="BI108">
        <f>IFERROR(INDEX(PP_Grid[#Data],$DE108,58),0)</f>
        <v/>
      </c>
      <c r="BJ108">
        <f>IFERROR(INDEX(PP_Grid[#Data],$DE108,59),0)</f>
        <v/>
      </c>
      <c r="BK108">
        <f>IFERROR(INDEX(PP_Grid[#Data],$DE108,60),0)</f>
        <v/>
      </c>
      <c r="BL108">
        <f>IFERROR(INDEX(PP_Grid[#Data],$DE108,61),0)</f>
        <v/>
      </c>
      <c r="BM108">
        <f>IFERROR(INDEX(PP_Grid[#Data],$DE108,62),0)</f>
        <v/>
      </c>
      <c r="BN108">
        <f>IFERROR(INDEX(PP_Grid[#Data],$DE108,63),0)</f>
        <v/>
      </c>
      <c r="BO108">
        <f>IFERROR(INDEX(PP_Grid[#Data],$DE108,64),0)</f>
        <v/>
      </c>
      <c r="BP108">
        <f>IFERROR(INDEX(PP_Grid[#Data],$DE108,65),0)</f>
        <v/>
      </c>
      <c r="BQ108">
        <f>IFERROR(INDEX(PP_Grid[#Data],$DE108,66),0)</f>
        <v/>
      </c>
      <c r="BR108">
        <f>IFERROR(INDEX(PP_Grid[#Data],$DE108,67),0)</f>
        <v/>
      </c>
      <c r="BS108">
        <f>IFERROR(INDEX(PP_Grid[#Data],$DE108,68),0)</f>
        <v/>
      </c>
      <c r="BT108">
        <f>IFERROR(INDEX(PP_Grid[#Data],$DE108,69),0)</f>
        <v/>
      </c>
      <c r="BU108">
        <f>IFERROR(INDEX(PP_Grid[#Data],$DE108,70),0)</f>
        <v/>
      </c>
      <c r="BV108">
        <f>IFERROR(INDEX(PP_Grid[#Data],$DE108,71),0)</f>
        <v/>
      </c>
      <c r="BW108">
        <f>IFERROR(INDEX(PP_Grid[#Data],$DE108,72),0)</f>
        <v/>
      </c>
      <c r="BX108">
        <f>IFERROR(INDEX(PP_Grid[#Data],$DE108,73),0)</f>
        <v/>
      </c>
      <c r="BY108">
        <f>IFERROR(INDEX(PP_Grid[#Data],$DE108,74),0)</f>
        <v/>
      </c>
      <c r="BZ108">
        <f>IFERROR(INDEX(PP_Grid[#Data],$DE108,75),0)</f>
        <v/>
      </c>
      <c r="CA108">
        <f>IFERROR(INDEX(PP_Grid[#Data],$DE108,76),0)</f>
        <v/>
      </c>
      <c r="CB108">
        <f>IFERROR(INDEX(PP_Grid[#Data],$DE108,77),0)</f>
        <v/>
      </c>
      <c r="CC108">
        <f>IFERROR(INDEX(PP_Grid[#Data],$DE108,78),0)</f>
        <v/>
      </c>
      <c r="CD108">
        <f>IFERROR(INDEX(PP_Grid[#Data],$DE108,79),0)</f>
        <v/>
      </c>
      <c r="CE108">
        <f>IFERROR(INDEX(PP_Grid[#Data],$DE108,80),0)</f>
        <v/>
      </c>
      <c r="CF108">
        <f>IFERROR(INDEX(PP_Grid[#Data],$DE108,81),0)</f>
        <v/>
      </c>
      <c r="CG108">
        <f>IFERROR(INDEX(PP_Grid[#Data],$DE108,82),0)</f>
        <v/>
      </c>
      <c r="CH108">
        <f>IFERROR(INDEX(PP_Grid[#Data],$DE108,83),0)</f>
        <v/>
      </c>
      <c r="CI108">
        <f>IFERROR(INDEX(PP_Grid[#Data],$DE108,84),0)</f>
        <v/>
      </c>
      <c r="CJ108">
        <f>IFERROR(INDEX(PP_Grid[#Data],$DE108,85),0)</f>
        <v/>
      </c>
      <c r="CK108">
        <f>IFERROR(INDEX(PP_Grid[#Data],$DE108,86),0)</f>
        <v/>
      </c>
      <c r="CL108">
        <f>IFERROR(INDEX(PP_Grid[#Data],$DE108,87),0)</f>
        <v/>
      </c>
      <c r="CM108">
        <f>IFERROR(INDEX(PP_Grid[#Data],$DE108,88),0)</f>
        <v/>
      </c>
      <c r="CN108">
        <f>IFERROR(INDEX(PP_Grid[#Data],$DE108,89),0)</f>
        <v/>
      </c>
      <c r="CO108">
        <f>IFERROR(INDEX(PP_Grid[#Data],$DE108,90),0)</f>
        <v/>
      </c>
      <c r="CP108">
        <f>IFERROR(INDEX(PP_Grid[#Data],$DE108,91),0)</f>
        <v/>
      </c>
      <c r="CQ108">
        <f>IFERROR(INDEX(PP_Grid[#Data],$DE108,92),0)</f>
        <v/>
      </c>
      <c r="CR108">
        <f>IFERROR(INDEX(PP_Grid[#Data],$DE108,93),0)</f>
        <v/>
      </c>
      <c r="CS108">
        <f>IFERROR(INDEX(PP_Grid[#Data],$DE108,94),0)</f>
        <v/>
      </c>
      <c r="CT108">
        <f>IFERROR(INDEX(PP_Grid[#Data],$DE108,95),0)</f>
        <v/>
      </c>
      <c r="CU108">
        <f>IFERROR(INDEX(PP_Grid[#Data],$DE108,96),0)</f>
        <v/>
      </c>
      <c r="CV108">
        <f>IFERROR(INDEX(PP_Grid[#Data],$DE108,97),0)</f>
        <v/>
      </c>
      <c r="CW108">
        <f>IFERROR(INDEX(PP_Grid[#Data],$DE108,98),0)</f>
        <v/>
      </c>
      <c r="CX108">
        <f>IFERROR(INDEX(PP_Grid[#Data],$DE108,99),0)</f>
        <v/>
      </c>
      <c r="CY108">
        <f>IFERROR(INDEX(PP_Grid[#Data],$DE108,100),0)</f>
        <v/>
      </c>
      <c r="CZ108">
        <f>IFERROR(INDEX(PP_Grid[#Data],$DE108,101),0)</f>
        <v/>
      </c>
      <c r="DA108">
        <f>IFERROR(INDEX(PP_Grid[#Data],$DE108,102),0)</f>
        <v/>
      </c>
      <c r="DB108">
        <f>IFERROR(INDEX(PP_Grid[#Data],$DE108,103),0)</f>
        <v/>
      </c>
      <c r="DC108">
        <f>IFERROR(INDEX(PP_Grid[#Data],$DE108,104),0)</f>
        <v/>
      </c>
      <c r="DD108">
        <f>IFERROR(INDEX(PP_Grid[#Data],$DE108,105),0)</f>
        <v/>
      </c>
      <c r="DE108" s="7">
        <f>IFERROR(MATCH($B108,PP_Grid[Intermediate],0),99999)</f>
        <v/>
      </c>
    </row>
    <row r="109">
      <c r="B109" t="inlineStr">
        <is>
          <t>使用量(kg)</t>
        </is>
      </c>
      <c r="C109">
        <f>SUMIFS(M_BOM[RM_Qty_Per_Batch],M_BOM[Intermediate],$B108,M_BOM[RM_Code],$A25)</f>
        <v/>
      </c>
      <c r="D109">
        <f>IFERROR(INDEX(E109:DD109,$F$1),"")</f>
        <v/>
      </c>
      <c r="E109">
        <f>$C109*E108</f>
        <v/>
      </c>
      <c r="F109">
        <f>$C109*F108</f>
        <v/>
      </c>
      <c r="G109">
        <f>$C109*G108</f>
        <v/>
      </c>
      <c r="H109">
        <f>$C109*H108</f>
        <v/>
      </c>
      <c r="I109">
        <f>$C109*I108</f>
        <v/>
      </c>
      <c r="J109">
        <f>$C109*J108</f>
        <v/>
      </c>
      <c r="K109">
        <f>$C109*K108</f>
        <v/>
      </c>
      <c r="L109">
        <f>$C109*L108</f>
        <v/>
      </c>
      <c r="M109">
        <f>$C109*M108</f>
        <v/>
      </c>
      <c r="N109">
        <f>$C109*N108</f>
        <v/>
      </c>
      <c r="O109">
        <f>$C109*O108</f>
        <v/>
      </c>
      <c r="P109">
        <f>$C109*P108</f>
        <v/>
      </c>
      <c r="Q109">
        <f>$C109*Q108</f>
        <v/>
      </c>
      <c r="R109">
        <f>$C109*R108</f>
        <v/>
      </c>
      <c r="S109">
        <f>$C109*S108</f>
        <v/>
      </c>
      <c r="T109">
        <f>$C109*T108</f>
        <v/>
      </c>
      <c r="U109">
        <f>$C109*U108</f>
        <v/>
      </c>
      <c r="V109">
        <f>$C109*V108</f>
        <v/>
      </c>
      <c r="W109">
        <f>$C109*W108</f>
        <v/>
      </c>
      <c r="X109">
        <f>$C109*X108</f>
        <v/>
      </c>
      <c r="Y109">
        <f>$C109*Y108</f>
        <v/>
      </c>
      <c r="Z109">
        <f>$C109*Z108</f>
        <v/>
      </c>
      <c r="AA109">
        <f>$C109*AA108</f>
        <v/>
      </c>
      <c r="AB109">
        <f>$C109*AB108</f>
        <v/>
      </c>
      <c r="AC109">
        <f>$C109*AC108</f>
        <v/>
      </c>
      <c r="AD109">
        <f>$C109*AD108</f>
        <v/>
      </c>
      <c r="AE109">
        <f>$C109*AE108</f>
        <v/>
      </c>
      <c r="AF109">
        <f>$C109*AF108</f>
        <v/>
      </c>
      <c r="AG109">
        <f>$C109*AG108</f>
        <v/>
      </c>
      <c r="AH109">
        <f>$C109*AH108</f>
        <v/>
      </c>
      <c r="AI109">
        <f>$C109*AI108</f>
        <v/>
      </c>
      <c r="AJ109">
        <f>$C109*AJ108</f>
        <v/>
      </c>
      <c r="AK109">
        <f>$C109*AK108</f>
        <v/>
      </c>
      <c r="AL109">
        <f>$C109*AL108</f>
        <v/>
      </c>
      <c r="AM109">
        <f>$C109*AM108</f>
        <v/>
      </c>
      <c r="AN109">
        <f>$C109*AN108</f>
        <v/>
      </c>
      <c r="AO109">
        <f>$C109*AO108</f>
        <v/>
      </c>
      <c r="AP109">
        <f>$C109*AP108</f>
        <v/>
      </c>
      <c r="AQ109">
        <f>$C109*AQ108</f>
        <v/>
      </c>
      <c r="AR109">
        <f>$C109*AR108</f>
        <v/>
      </c>
      <c r="AS109">
        <f>$C109*AS108</f>
        <v/>
      </c>
      <c r="AT109">
        <f>$C109*AT108</f>
        <v/>
      </c>
      <c r="AU109">
        <f>$C109*AU108</f>
        <v/>
      </c>
      <c r="AV109">
        <f>$C109*AV108</f>
        <v/>
      </c>
      <c r="AW109">
        <f>$C109*AW108</f>
        <v/>
      </c>
      <c r="AX109">
        <f>$C109*AX108</f>
        <v/>
      </c>
      <c r="AY109">
        <f>$C109*AY108</f>
        <v/>
      </c>
      <c r="AZ109">
        <f>$C109*AZ108</f>
        <v/>
      </c>
      <c r="BA109">
        <f>$C109*BA108</f>
        <v/>
      </c>
      <c r="BB109">
        <f>$C109*BB108</f>
        <v/>
      </c>
      <c r="BC109">
        <f>$C109*BC108</f>
        <v/>
      </c>
      <c r="BD109">
        <f>$C109*BD108</f>
        <v/>
      </c>
      <c r="BE109">
        <f>$C109*BE108</f>
        <v/>
      </c>
      <c r="BF109">
        <f>$C109*BF108</f>
        <v/>
      </c>
      <c r="BG109">
        <f>$C109*BG108</f>
        <v/>
      </c>
      <c r="BH109">
        <f>$C109*BH108</f>
        <v/>
      </c>
      <c r="BI109">
        <f>$C109*BI108</f>
        <v/>
      </c>
      <c r="BJ109">
        <f>$C109*BJ108</f>
        <v/>
      </c>
      <c r="BK109">
        <f>$C109*BK108</f>
        <v/>
      </c>
      <c r="BL109">
        <f>$C109*BL108</f>
        <v/>
      </c>
      <c r="BM109">
        <f>$C109*BM108</f>
        <v/>
      </c>
      <c r="BN109">
        <f>$C109*BN108</f>
        <v/>
      </c>
      <c r="BO109">
        <f>$C109*BO108</f>
        <v/>
      </c>
      <c r="BP109">
        <f>$C109*BP108</f>
        <v/>
      </c>
      <c r="BQ109">
        <f>$C109*BQ108</f>
        <v/>
      </c>
      <c r="BR109">
        <f>$C109*BR108</f>
        <v/>
      </c>
      <c r="BS109">
        <f>$C109*BS108</f>
        <v/>
      </c>
      <c r="BT109">
        <f>$C109*BT108</f>
        <v/>
      </c>
      <c r="BU109">
        <f>$C109*BU108</f>
        <v/>
      </c>
      <c r="BV109">
        <f>$C109*BV108</f>
        <v/>
      </c>
      <c r="BW109">
        <f>$C109*BW108</f>
        <v/>
      </c>
      <c r="BX109">
        <f>$C109*BX108</f>
        <v/>
      </c>
      <c r="BY109">
        <f>$C109*BY108</f>
        <v/>
      </c>
      <c r="BZ109">
        <f>$C109*BZ108</f>
        <v/>
      </c>
      <c r="CA109">
        <f>$C109*CA108</f>
        <v/>
      </c>
      <c r="CB109">
        <f>$C109*CB108</f>
        <v/>
      </c>
      <c r="CC109">
        <f>$C109*CC108</f>
        <v/>
      </c>
      <c r="CD109">
        <f>$C109*CD108</f>
        <v/>
      </c>
      <c r="CE109">
        <f>$C109*CE108</f>
        <v/>
      </c>
      <c r="CF109">
        <f>$C109*CF108</f>
        <v/>
      </c>
      <c r="CG109">
        <f>$C109*CG108</f>
        <v/>
      </c>
      <c r="CH109">
        <f>$C109*CH108</f>
        <v/>
      </c>
      <c r="CI109">
        <f>$C109*CI108</f>
        <v/>
      </c>
      <c r="CJ109">
        <f>$C109*CJ108</f>
        <v/>
      </c>
      <c r="CK109">
        <f>$C109*CK108</f>
        <v/>
      </c>
      <c r="CL109">
        <f>$C109*CL108</f>
        <v/>
      </c>
      <c r="CM109">
        <f>$C109*CM108</f>
        <v/>
      </c>
      <c r="CN109">
        <f>$C109*CN108</f>
        <v/>
      </c>
      <c r="CO109">
        <f>$C109*CO108</f>
        <v/>
      </c>
      <c r="CP109">
        <f>$C109*CP108</f>
        <v/>
      </c>
      <c r="CQ109">
        <f>$C109*CQ108</f>
        <v/>
      </c>
      <c r="CR109">
        <f>$C109*CR108</f>
        <v/>
      </c>
      <c r="CS109">
        <f>$C109*CS108</f>
        <v/>
      </c>
      <c r="CT109">
        <f>$C109*CT108</f>
        <v/>
      </c>
      <c r="CU109">
        <f>$C109*CU108</f>
        <v/>
      </c>
      <c r="CV109">
        <f>$C109*CV108</f>
        <v/>
      </c>
      <c r="CW109">
        <f>$C109*CW108</f>
        <v/>
      </c>
      <c r="CX109">
        <f>$C109*CX108</f>
        <v/>
      </c>
      <c r="CY109">
        <f>$C109*CY108</f>
        <v/>
      </c>
      <c r="CZ109">
        <f>$C109*CZ108</f>
        <v/>
      </c>
      <c r="DA109">
        <f>$C109*DA108</f>
        <v/>
      </c>
      <c r="DB109">
        <f>$C109*DB108</f>
        <v/>
      </c>
      <c r="DC109">
        <f>$C109*DC108</f>
        <v/>
      </c>
      <c r="DD109">
        <f>$C109*DD108</f>
        <v/>
      </c>
    </row>
    <row r="110">
      <c r="B110" t="inlineStr">
        <is>
          <t>VSP-1000</t>
        </is>
      </c>
      <c r="C110" t="inlineStr">
        <is>
          <t>No. of batches</t>
        </is>
      </c>
      <c r="D110">
        <f>IFERROR(INDEX(E110:DD110,$F$1),"")</f>
        <v/>
      </c>
      <c r="E110">
        <f>IFERROR(INDEX(PP_Grid[#Data],$DE110,2),0)</f>
        <v/>
      </c>
      <c r="F110">
        <f>IFERROR(INDEX(PP_Grid[#Data],$DE110,3),0)</f>
        <v/>
      </c>
      <c r="G110">
        <f>IFERROR(INDEX(PP_Grid[#Data],$DE110,4),0)</f>
        <v/>
      </c>
      <c r="H110">
        <f>IFERROR(INDEX(PP_Grid[#Data],$DE110,5),0)</f>
        <v/>
      </c>
      <c r="I110">
        <f>IFERROR(INDEX(PP_Grid[#Data],$DE110,6),0)</f>
        <v/>
      </c>
      <c r="J110">
        <f>IFERROR(INDEX(PP_Grid[#Data],$DE110,7),0)</f>
        <v/>
      </c>
      <c r="K110">
        <f>IFERROR(INDEX(PP_Grid[#Data],$DE110,8),0)</f>
        <v/>
      </c>
      <c r="L110">
        <f>IFERROR(INDEX(PP_Grid[#Data],$DE110,9),0)</f>
        <v/>
      </c>
      <c r="M110">
        <f>IFERROR(INDEX(PP_Grid[#Data],$DE110,10),0)</f>
        <v/>
      </c>
      <c r="N110">
        <f>IFERROR(INDEX(PP_Grid[#Data],$DE110,11),0)</f>
        <v/>
      </c>
      <c r="O110">
        <f>IFERROR(INDEX(PP_Grid[#Data],$DE110,12),0)</f>
        <v/>
      </c>
      <c r="P110">
        <f>IFERROR(INDEX(PP_Grid[#Data],$DE110,13),0)</f>
        <v/>
      </c>
      <c r="Q110">
        <f>IFERROR(INDEX(PP_Grid[#Data],$DE110,14),0)</f>
        <v/>
      </c>
      <c r="R110">
        <f>IFERROR(INDEX(PP_Grid[#Data],$DE110,15),0)</f>
        <v/>
      </c>
      <c r="S110">
        <f>IFERROR(INDEX(PP_Grid[#Data],$DE110,16),0)</f>
        <v/>
      </c>
      <c r="T110">
        <f>IFERROR(INDEX(PP_Grid[#Data],$DE110,17),0)</f>
        <v/>
      </c>
      <c r="U110">
        <f>IFERROR(INDEX(PP_Grid[#Data],$DE110,18),0)</f>
        <v/>
      </c>
      <c r="V110">
        <f>IFERROR(INDEX(PP_Grid[#Data],$DE110,19),0)</f>
        <v/>
      </c>
      <c r="W110">
        <f>IFERROR(INDEX(PP_Grid[#Data],$DE110,20),0)</f>
        <v/>
      </c>
      <c r="X110">
        <f>IFERROR(INDEX(PP_Grid[#Data],$DE110,21),0)</f>
        <v/>
      </c>
      <c r="Y110">
        <f>IFERROR(INDEX(PP_Grid[#Data],$DE110,22),0)</f>
        <v/>
      </c>
      <c r="Z110">
        <f>IFERROR(INDEX(PP_Grid[#Data],$DE110,23),0)</f>
        <v/>
      </c>
      <c r="AA110">
        <f>IFERROR(INDEX(PP_Grid[#Data],$DE110,24),0)</f>
        <v/>
      </c>
      <c r="AB110">
        <f>IFERROR(INDEX(PP_Grid[#Data],$DE110,25),0)</f>
        <v/>
      </c>
      <c r="AC110">
        <f>IFERROR(INDEX(PP_Grid[#Data],$DE110,26),0)</f>
        <v/>
      </c>
      <c r="AD110">
        <f>IFERROR(INDEX(PP_Grid[#Data],$DE110,27),0)</f>
        <v/>
      </c>
      <c r="AE110">
        <f>IFERROR(INDEX(PP_Grid[#Data],$DE110,28),0)</f>
        <v/>
      </c>
      <c r="AF110">
        <f>IFERROR(INDEX(PP_Grid[#Data],$DE110,29),0)</f>
        <v/>
      </c>
      <c r="AG110">
        <f>IFERROR(INDEX(PP_Grid[#Data],$DE110,30),0)</f>
        <v/>
      </c>
      <c r="AH110">
        <f>IFERROR(INDEX(PP_Grid[#Data],$DE110,31),0)</f>
        <v/>
      </c>
      <c r="AI110">
        <f>IFERROR(INDEX(PP_Grid[#Data],$DE110,32),0)</f>
        <v/>
      </c>
      <c r="AJ110">
        <f>IFERROR(INDEX(PP_Grid[#Data],$DE110,33),0)</f>
        <v/>
      </c>
      <c r="AK110">
        <f>IFERROR(INDEX(PP_Grid[#Data],$DE110,34),0)</f>
        <v/>
      </c>
      <c r="AL110">
        <f>IFERROR(INDEX(PP_Grid[#Data],$DE110,35),0)</f>
        <v/>
      </c>
      <c r="AM110">
        <f>IFERROR(INDEX(PP_Grid[#Data],$DE110,36),0)</f>
        <v/>
      </c>
      <c r="AN110">
        <f>IFERROR(INDEX(PP_Grid[#Data],$DE110,37),0)</f>
        <v/>
      </c>
      <c r="AO110">
        <f>IFERROR(INDEX(PP_Grid[#Data],$DE110,38),0)</f>
        <v/>
      </c>
      <c r="AP110">
        <f>IFERROR(INDEX(PP_Grid[#Data],$DE110,39),0)</f>
        <v/>
      </c>
      <c r="AQ110">
        <f>IFERROR(INDEX(PP_Grid[#Data],$DE110,40),0)</f>
        <v/>
      </c>
      <c r="AR110">
        <f>IFERROR(INDEX(PP_Grid[#Data],$DE110,41),0)</f>
        <v/>
      </c>
      <c r="AS110">
        <f>IFERROR(INDEX(PP_Grid[#Data],$DE110,42),0)</f>
        <v/>
      </c>
      <c r="AT110">
        <f>IFERROR(INDEX(PP_Grid[#Data],$DE110,43),0)</f>
        <v/>
      </c>
      <c r="AU110">
        <f>IFERROR(INDEX(PP_Grid[#Data],$DE110,44),0)</f>
        <v/>
      </c>
      <c r="AV110">
        <f>IFERROR(INDEX(PP_Grid[#Data],$DE110,45),0)</f>
        <v/>
      </c>
      <c r="AW110">
        <f>IFERROR(INDEX(PP_Grid[#Data],$DE110,46),0)</f>
        <v/>
      </c>
      <c r="AX110">
        <f>IFERROR(INDEX(PP_Grid[#Data],$DE110,47),0)</f>
        <v/>
      </c>
      <c r="AY110">
        <f>IFERROR(INDEX(PP_Grid[#Data],$DE110,48),0)</f>
        <v/>
      </c>
      <c r="AZ110">
        <f>IFERROR(INDEX(PP_Grid[#Data],$DE110,49),0)</f>
        <v/>
      </c>
      <c r="BA110">
        <f>IFERROR(INDEX(PP_Grid[#Data],$DE110,50),0)</f>
        <v/>
      </c>
      <c r="BB110">
        <f>IFERROR(INDEX(PP_Grid[#Data],$DE110,51),0)</f>
        <v/>
      </c>
      <c r="BC110">
        <f>IFERROR(INDEX(PP_Grid[#Data],$DE110,52),0)</f>
        <v/>
      </c>
      <c r="BD110">
        <f>IFERROR(INDEX(PP_Grid[#Data],$DE110,53),0)</f>
        <v/>
      </c>
      <c r="BE110">
        <f>IFERROR(INDEX(PP_Grid[#Data],$DE110,54),0)</f>
        <v/>
      </c>
      <c r="BF110">
        <f>IFERROR(INDEX(PP_Grid[#Data],$DE110,55),0)</f>
        <v/>
      </c>
      <c r="BG110">
        <f>IFERROR(INDEX(PP_Grid[#Data],$DE110,56),0)</f>
        <v/>
      </c>
      <c r="BH110">
        <f>IFERROR(INDEX(PP_Grid[#Data],$DE110,57),0)</f>
        <v/>
      </c>
      <c r="BI110">
        <f>IFERROR(INDEX(PP_Grid[#Data],$DE110,58),0)</f>
        <v/>
      </c>
      <c r="BJ110">
        <f>IFERROR(INDEX(PP_Grid[#Data],$DE110,59),0)</f>
        <v/>
      </c>
      <c r="BK110">
        <f>IFERROR(INDEX(PP_Grid[#Data],$DE110,60),0)</f>
        <v/>
      </c>
      <c r="BL110">
        <f>IFERROR(INDEX(PP_Grid[#Data],$DE110,61),0)</f>
        <v/>
      </c>
      <c r="BM110">
        <f>IFERROR(INDEX(PP_Grid[#Data],$DE110,62),0)</f>
        <v/>
      </c>
      <c r="BN110">
        <f>IFERROR(INDEX(PP_Grid[#Data],$DE110,63),0)</f>
        <v/>
      </c>
      <c r="BO110">
        <f>IFERROR(INDEX(PP_Grid[#Data],$DE110,64),0)</f>
        <v/>
      </c>
      <c r="BP110">
        <f>IFERROR(INDEX(PP_Grid[#Data],$DE110,65),0)</f>
        <v/>
      </c>
      <c r="BQ110">
        <f>IFERROR(INDEX(PP_Grid[#Data],$DE110,66),0)</f>
        <v/>
      </c>
      <c r="BR110">
        <f>IFERROR(INDEX(PP_Grid[#Data],$DE110,67),0)</f>
        <v/>
      </c>
      <c r="BS110">
        <f>IFERROR(INDEX(PP_Grid[#Data],$DE110,68),0)</f>
        <v/>
      </c>
      <c r="BT110">
        <f>IFERROR(INDEX(PP_Grid[#Data],$DE110,69),0)</f>
        <v/>
      </c>
      <c r="BU110">
        <f>IFERROR(INDEX(PP_Grid[#Data],$DE110,70),0)</f>
        <v/>
      </c>
      <c r="BV110">
        <f>IFERROR(INDEX(PP_Grid[#Data],$DE110,71),0)</f>
        <v/>
      </c>
      <c r="BW110">
        <f>IFERROR(INDEX(PP_Grid[#Data],$DE110,72),0)</f>
        <v/>
      </c>
      <c r="BX110">
        <f>IFERROR(INDEX(PP_Grid[#Data],$DE110,73),0)</f>
        <v/>
      </c>
      <c r="BY110">
        <f>IFERROR(INDEX(PP_Grid[#Data],$DE110,74),0)</f>
        <v/>
      </c>
      <c r="BZ110">
        <f>IFERROR(INDEX(PP_Grid[#Data],$DE110,75),0)</f>
        <v/>
      </c>
      <c r="CA110">
        <f>IFERROR(INDEX(PP_Grid[#Data],$DE110,76),0)</f>
        <v/>
      </c>
      <c r="CB110">
        <f>IFERROR(INDEX(PP_Grid[#Data],$DE110,77),0)</f>
        <v/>
      </c>
      <c r="CC110">
        <f>IFERROR(INDEX(PP_Grid[#Data],$DE110,78),0)</f>
        <v/>
      </c>
      <c r="CD110">
        <f>IFERROR(INDEX(PP_Grid[#Data],$DE110,79),0)</f>
        <v/>
      </c>
      <c r="CE110">
        <f>IFERROR(INDEX(PP_Grid[#Data],$DE110,80),0)</f>
        <v/>
      </c>
      <c r="CF110">
        <f>IFERROR(INDEX(PP_Grid[#Data],$DE110,81),0)</f>
        <v/>
      </c>
      <c r="CG110">
        <f>IFERROR(INDEX(PP_Grid[#Data],$DE110,82),0)</f>
        <v/>
      </c>
      <c r="CH110">
        <f>IFERROR(INDEX(PP_Grid[#Data],$DE110,83),0)</f>
        <v/>
      </c>
      <c r="CI110">
        <f>IFERROR(INDEX(PP_Grid[#Data],$DE110,84),0)</f>
        <v/>
      </c>
      <c r="CJ110">
        <f>IFERROR(INDEX(PP_Grid[#Data],$DE110,85),0)</f>
        <v/>
      </c>
      <c r="CK110">
        <f>IFERROR(INDEX(PP_Grid[#Data],$DE110,86),0)</f>
        <v/>
      </c>
      <c r="CL110">
        <f>IFERROR(INDEX(PP_Grid[#Data],$DE110,87),0)</f>
        <v/>
      </c>
      <c r="CM110">
        <f>IFERROR(INDEX(PP_Grid[#Data],$DE110,88),0)</f>
        <v/>
      </c>
      <c r="CN110">
        <f>IFERROR(INDEX(PP_Grid[#Data],$DE110,89),0)</f>
        <v/>
      </c>
      <c r="CO110">
        <f>IFERROR(INDEX(PP_Grid[#Data],$DE110,90),0)</f>
        <v/>
      </c>
      <c r="CP110">
        <f>IFERROR(INDEX(PP_Grid[#Data],$DE110,91),0)</f>
        <v/>
      </c>
      <c r="CQ110">
        <f>IFERROR(INDEX(PP_Grid[#Data],$DE110,92),0)</f>
        <v/>
      </c>
      <c r="CR110">
        <f>IFERROR(INDEX(PP_Grid[#Data],$DE110,93),0)</f>
        <v/>
      </c>
      <c r="CS110">
        <f>IFERROR(INDEX(PP_Grid[#Data],$DE110,94),0)</f>
        <v/>
      </c>
      <c r="CT110">
        <f>IFERROR(INDEX(PP_Grid[#Data],$DE110,95),0)</f>
        <v/>
      </c>
      <c r="CU110">
        <f>IFERROR(INDEX(PP_Grid[#Data],$DE110,96),0)</f>
        <v/>
      </c>
      <c r="CV110">
        <f>IFERROR(INDEX(PP_Grid[#Data],$DE110,97),0)</f>
        <v/>
      </c>
      <c r="CW110">
        <f>IFERROR(INDEX(PP_Grid[#Data],$DE110,98),0)</f>
        <v/>
      </c>
      <c r="CX110">
        <f>IFERROR(INDEX(PP_Grid[#Data],$DE110,99),0)</f>
        <v/>
      </c>
      <c r="CY110">
        <f>IFERROR(INDEX(PP_Grid[#Data],$DE110,100),0)</f>
        <v/>
      </c>
      <c r="CZ110">
        <f>IFERROR(INDEX(PP_Grid[#Data],$DE110,101),0)</f>
        <v/>
      </c>
      <c r="DA110">
        <f>IFERROR(INDEX(PP_Grid[#Data],$DE110,102),0)</f>
        <v/>
      </c>
      <c r="DB110">
        <f>IFERROR(INDEX(PP_Grid[#Data],$DE110,103),0)</f>
        <v/>
      </c>
      <c r="DC110">
        <f>IFERROR(INDEX(PP_Grid[#Data],$DE110,104),0)</f>
        <v/>
      </c>
      <c r="DD110">
        <f>IFERROR(INDEX(PP_Grid[#Data],$DE110,105),0)</f>
        <v/>
      </c>
      <c r="DE110" s="7">
        <f>IFERROR(MATCH($B110,PP_Grid[Intermediate],0),99999)</f>
        <v/>
      </c>
    </row>
    <row r="111">
      <c r="B111" t="inlineStr">
        <is>
          <t>使用量(kg)</t>
        </is>
      </c>
      <c r="C111">
        <f>SUMIFS(M_BOM[RM_Qty_Per_Batch],M_BOM[Intermediate],$B110,M_BOM[RM_Code],$A25)</f>
        <v/>
      </c>
      <c r="D111">
        <f>IFERROR(INDEX(E111:DD111,$F$1),"")</f>
        <v/>
      </c>
      <c r="E111">
        <f>$C111*E110</f>
        <v/>
      </c>
      <c r="F111">
        <f>$C111*F110</f>
        <v/>
      </c>
      <c r="G111">
        <f>$C111*G110</f>
        <v/>
      </c>
      <c r="H111">
        <f>$C111*H110</f>
        <v/>
      </c>
      <c r="I111">
        <f>$C111*I110</f>
        <v/>
      </c>
      <c r="J111">
        <f>$C111*J110</f>
        <v/>
      </c>
      <c r="K111">
        <f>$C111*K110</f>
        <v/>
      </c>
      <c r="L111">
        <f>$C111*L110</f>
        <v/>
      </c>
      <c r="M111">
        <f>$C111*M110</f>
        <v/>
      </c>
      <c r="N111">
        <f>$C111*N110</f>
        <v/>
      </c>
      <c r="O111">
        <f>$C111*O110</f>
        <v/>
      </c>
      <c r="P111">
        <f>$C111*P110</f>
        <v/>
      </c>
      <c r="Q111">
        <f>$C111*Q110</f>
        <v/>
      </c>
      <c r="R111">
        <f>$C111*R110</f>
        <v/>
      </c>
      <c r="S111">
        <f>$C111*S110</f>
        <v/>
      </c>
      <c r="T111">
        <f>$C111*T110</f>
        <v/>
      </c>
      <c r="U111">
        <f>$C111*U110</f>
        <v/>
      </c>
      <c r="V111">
        <f>$C111*V110</f>
        <v/>
      </c>
      <c r="W111">
        <f>$C111*W110</f>
        <v/>
      </c>
      <c r="X111">
        <f>$C111*X110</f>
        <v/>
      </c>
      <c r="Y111">
        <f>$C111*Y110</f>
        <v/>
      </c>
      <c r="Z111">
        <f>$C111*Z110</f>
        <v/>
      </c>
      <c r="AA111">
        <f>$C111*AA110</f>
        <v/>
      </c>
      <c r="AB111">
        <f>$C111*AB110</f>
        <v/>
      </c>
      <c r="AC111">
        <f>$C111*AC110</f>
        <v/>
      </c>
      <c r="AD111">
        <f>$C111*AD110</f>
        <v/>
      </c>
      <c r="AE111">
        <f>$C111*AE110</f>
        <v/>
      </c>
      <c r="AF111">
        <f>$C111*AF110</f>
        <v/>
      </c>
      <c r="AG111">
        <f>$C111*AG110</f>
        <v/>
      </c>
      <c r="AH111">
        <f>$C111*AH110</f>
        <v/>
      </c>
      <c r="AI111">
        <f>$C111*AI110</f>
        <v/>
      </c>
      <c r="AJ111">
        <f>$C111*AJ110</f>
        <v/>
      </c>
      <c r="AK111">
        <f>$C111*AK110</f>
        <v/>
      </c>
      <c r="AL111">
        <f>$C111*AL110</f>
        <v/>
      </c>
      <c r="AM111">
        <f>$C111*AM110</f>
        <v/>
      </c>
      <c r="AN111">
        <f>$C111*AN110</f>
        <v/>
      </c>
      <c r="AO111">
        <f>$C111*AO110</f>
        <v/>
      </c>
      <c r="AP111">
        <f>$C111*AP110</f>
        <v/>
      </c>
      <c r="AQ111">
        <f>$C111*AQ110</f>
        <v/>
      </c>
      <c r="AR111">
        <f>$C111*AR110</f>
        <v/>
      </c>
      <c r="AS111">
        <f>$C111*AS110</f>
        <v/>
      </c>
      <c r="AT111">
        <f>$C111*AT110</f>
        <v/>
      </c>
      <c r="AU111">
        <f>$C111*AU110</f>
        <v/>
      </c>
      <c r="AV111">
        <f>$C111*AV110</f>
        <v/>
      </c>
      <c r="AW111">
        <f>$C111*AW110</f>
        <v/>
      </c>
      <c r="AX111">
        <f>$C111*AX110</f>
        <v/>
      </c>
      <c r="AY111">
        <f>$C111*AY110</f>
        <v/>
      </c>
      <c r="AZ111">
        <f>$C111*AZ110</f>
        <v/>
      </c>
      <c r="BA111">
        <f>$C111*BA110</f>
        <v/>
      </c>
      <c r="BB111">
        <f>$C111*BB110</f>
        <v/>
      </c>
      <c r="BC111">
        <f>$C111*BC110</f>
        <v/>
      </c>
      <c r="BD111">
        <f>$C111*BD110</f>
        <v/>
      </c>
      <c r="BE111">
        <f>$C111*BE110</f>
        <v/>
      </c>
      <c r="BF111">
        <f>$C111*BF110</f>
        <v/>
      </c>
      <c r="BG111">
        <f>$C111*BG110</f>
        <v/>
      </c>
      <c r="BH111">
        <f>$C111*BH110</f>
        <v/>
      </c>
      <c r="BI111">
        <f>$C111*BI110</f>
        <v/>
      </c>
      <c r="BJ111">
        <f>$C111*BJ110</f>
        <v/>
      </c>
      <c r="BK111">
        <f>$C111*BK110</f>
        <v/>
      </c>
      <c r="BL111">
        <f>$C111*BL110</f>
        <v/>
      </c>
      <c r="BM111">
        <f>$C111*BM110</f>
        <v/>
      </c>
      <c r="BN111">
        <f>$C111*BN110</f>
        <v/>
      </c>
      <c r="BO111">
        <f>$C111*BO110</f>
        <v/>
      </c>
      <c r="BP111">
        <f>$C111*BP110</f>
        <v/>
      </c>
      <c r="BQ111">
        <f>$C111*BQ110</f>
        <v/>
      </c>
      <c r="BR111">
        <f>$C111*BR110</f>
        <v/>
      </c>
      <c r="BS111">
        <f>$C111*BS110</f>
        <v/>
      </c>
      <c r="BT111">
        <f>$C111*BT110</f>
        <v/>
      </c>
      <c r="BU111">
        <f>$C111*BU110</f>
        <v/>
      </c>
      <c r="BV111">
        <f>$C111*BV110</f>
        <v/>
      </c>
      <c r="BW111">
        <f>$C111*BW110</f>
        <v/>
      </c>
      <c r="BX111">
        <f>$C111*BX110</f>
        <v/>
      </c>
      <c r="BY111">
        <f>$C111*BY110</f>
        <v/>
      </c>
      <c r="BZ111">
        <f>$C111*BZ110</f>
        <v/>
      </c>
      <c r="CA111">
        <f>$C111*CA110</f>
        <v/>
      </c>
      <c r="CB111">
        <f>$C111*CB110</f>
        <v/>
      </c>
      <c r="CC111">
        <f>$C111*CC110</f>
        <v/>
      </c>
      <c r="CD111">
        <f>$C111*CD110</f>
        <v/>
      </c>
      <c r="CE111">
        <f>$C111*CE110</f>
        <v/>
      </c>
      <c r="CF111">
        <f>$C111*CF110</f>
        <v/>
      </c>
      <c r="CG111">
        <f>$C111*CG110</f>
        <v/>
      </c>
      <c r="CH111">
        <f>$C111*CH110</f>
        <v/>
      </c>
      <c r="CI111">
        <f>$C111*CI110</f>
        <v/>
      </c>
      <c r="CJ111">
        <f>$C111*CJ110</f>
        <v/>
      </c>
      <c r="CK111">
        <f>$C111*CK110</f>
        <v/>
      </c>
      <c r="CL111">
        <f>$C111*CL110</f>
        <v/>
      </c>
      <c r="CM111">
        <f>$C111*CM110</f>
        <v/>
      </c>
      <c r="CN111">
        <f>$C111*CN110</f>
        <v/>
      </c>
      <c r="CO111">
        <f>$C111*CO110</f>
        <v/>
      </c>
      <c r="CP111">
        <f>$C111*CP110</f>
        <v/>
      </c>
      <c r="CQ111">
        <f>$C111*CQ110</f>
        <v/>
      </c>
      <c r="CR111">
        <f>$C111*CR110</f>
        <v/>
      </c>
      <c r="CS111">
        <f>$C111*CS110</f>
        <v/>
      </c>
      <c r="CT111">
        <f>$C111*CT110</f>
        <v/>
      </c>
      <c r="CU111">
        <f>$C111*CU110</f>
        <v/>
      </c>
      <c r="CV111">
        <f>$C111*CV110</f>
        <v/>
      </c>
      <c r="CW111">
        <f>$C111*CW110</f>
        <v/>
      </c>
      <c r="CX111">
        <f>$C111*CX110</f>
        <v/>
      </c>
      <c r="CY111">
        <f>$C111*CY110</f>
        <v/>
      </c>
      <c r="CZ111">
        <f>$C111*CZ110</f>
        <v/>
      </c>
      <c r="DA111">
        <f>$C111*DA110</f>
        <v/>
      </c>
      <c r="DB111">
        <f>$C111*DB110</f>
        <v/>
      </c>
      <c r="DC111">
        <f>$C111*DC110</f>
        <v/>
      </c>
      <c r="DD111">
        <f>$C111*DD110</f>
        <v/>
      </c>
    </row>
    <row r="112">
      <c r="B112" t="inlineStr">
        <is>
          <t>VSZ-745</t>
        </is>
      </c>
      <c r="C112" t="inlineStr">
        <is>
          <t>No. of batches</t>
        </is>
      </c>
      <c r="D112">
        <f>IFERROR(INDEX(E112:DD112,$F$1),"")</f>
        <v/>
      </c>
      <c r="E112">
        <f>IFERROR(INDEX(PP_Grid[#Data],$DE112,2),0)</f>
        <v/>
      </c>
      <c r="F112">
        <f>IFERROR(INDEX(PP_Grid[#Data],$DE112,3),0)</f>
        <v/>
      </c>
      <c r="G112">
        <f>IFERROR(INDEX(PP_Grid[#Data],$DE112,4),0)</f>
        <v/>
      </c>
      <c r="H112">
        <f>IFERROR(INDEX(PP_Grid[#Data],$DE112,5),0)</f>
        <v/>
      </c>
      <c r="I112">
        <f>IFERROR(INDEX(PP_Grid[#Data],$DE112,6),0)</f>
        <v/>
      </c>
      <c r="J112">
        <f>IFERROR(INDEX(PP_Grid[#Data],$DE112,7),0)</f>
        <v/>
      </c>
      <c r="K112">
        <f>IFERROR(INDEX(PP_Grid[#Data],$DE112,8),0)</f>
        <v/>
      </c>
      <c r="L112">
        <f>IFERROR(INDEX(PP_Grid[#Data],$DE112,9),0)</f>
        <v/>
      </c>
      <c r="M112">
        <f>IFERROR(INDEX(PP_Grid[#Data],$DE112,10),0)</f>
        <v/>
      </c>
      <c r="N112">
        <f>IFERROR(INDEX(PP_Grid[#Data],$DE112,11),0)</f>
        <v/>
      </c>
      <c r="O112">
        <f>IFERROR(INDEX(PP_Grid[#Data],$DE112,12),0)</f>
        <v/>
      </c>
      <c r="P112">
        <f>IFERROR(INDEX(PP_Grid[#Data],$DE112,13),0)</f>
        <v/>
      </c>
      <c r="Q112">
        <f>IFERROR(INDEX(PP_Grid[#Data],$DE112,14),0)</f>
        <v/>
      </c>
      <c r="R112">
        <f>IFERROR(INDEX(PP_Grid[#Data],$DE112,15),0)</f>
        <v/>
      </c>
      <c r="S112">
        <f>IFERROR(INDEX(PP_Grid[#Data],$DE112,16),0)</f>
        <v/>
      </c>
      <c r="T112">
        <f>IFERROR(INDEX(PP_Grid[#Data],$DE112,17),0)</f>
        <v/>
      </c>
      <c r="U112">
        <f>IFERROR(INDEX(PP_Grid[#Data],$DE112,18),0)</f>
        <v/>
      </c>
      <c r="V112">
        <f>IFERROR(INDEX(PP_Grid[#Data],$DE112,19),0)</f>
        <v/>
      </c>
      <c r="W112">
        <f>IFERROR(INDEX(PP_Grid[#Data],$DE112,20),0)</f>
        <v/>
      </c>
      <c r="X112">
        <f>IFERROR(INDEX(PP_Grid[#Data],$DE112,21),0)</f>
        <v/>
      </c>
      <c r="Y112">
        <f>IFERROR(INDEX(PP_Grid[#Data],$DE112,22),0)</f>
        <v/>
      </c>
      <c r="Z112">
        <f>IFERROR(INDEX(PP_Grid[#Data],$DE112,23),0)</f>
        <v/>
      </c>
      <c r="AA112">
        <f>IFERROR(INDEX(PP_Grid[#Data],$DE112,24),0)</f>
        <v/>
      </c>
      <c r="AB112">
        <f>IFERROR(INDEX(PP_Grid[#Data],$DE112,25),0)</f>
        <v/>
      </c>
      <c r="AC112">
        <f>IFERROR(INDEX(PP_Grid[#Data],$DE112,26),0)</f>
        <v/>
      </c>
      <c r="AD112">
        <f>IFERROR(INDEX(PP_Grid[#Data],$DE112,27),0)</f>
        <v/>
      </c>
      <c r="AE112">
        <f>IFERROR(INDEX(PP_Grid[#Data],$DE112,28),0)</f>
        <v/>
      </c>
      <c r="AF112">
        <f>IFERROR(INDEX(PP_Grid[#Data],$DE112,29),0)</f>
        <v/>
      </c>
      <c r="AG112">
        <f>IFERROR(INDEX(PP_Grid[#Data],$DE112,30),0)</f>
        <v/>
      </c>
      <c r="AH112">
        <f>IFERROR(INDEX(PP_Grid[#Data],$DE112,31),0)</f>
        <v/>
      </c>
      <c r="AI112">
        <f>IFERROR(INDEX(PP_Grid[#Data],$DE112,32),0)</f>
        <v/>
      </c>
      <c r="AJ112">
        <f>IFERROR(INDEX(PP_Grid[#Data],$DE112,33),0)</f>
        <v/>
      </c>
      <c r="AK112">
        <f>IFERROR(INDEX(PP_Grid[#Data],$DE112,34),0)</f>
        <v/>
      </c>
      <c r="AL112">
        <f>IFERROR(INDEX(PP_Grid[#Data],$DE112,35),0)</f>
        <v/>
      </c>
      <c r="AM112">
        <f>IFERROR(INDEX(PP_Grid[#Data],$DE112,36),0)</f>
        <v/>
      </c>
      <c r="AN112">
        <f>IFERROR(INDEX(PP_Grid[#Data],$DE112,37),0)</f>
        <v/>
      </c>
      <c r="AO112">
        <f>IFERROR(INDEX(PP_Grid[#Data],$DE112,38),0)</f>
        <v/>
      </c>
      <c r="AP112">
        <f>IFERROR(INDEX(PP_Grid[#Data],$DE112,39),0)</f>
        <v/>
      </c>
      <c r="AQ112">
        <f>IFERROR(INDEX(PP_Grid[#Data],$DE112,40),0)</f>
        <v/>
      </c>
      <c r="AR112">
        <f>IFERROR(INDEX(PP_Grid[#Data],$DE112,41),0)</f>
        <v/>
      </c>
      <c r="AS112">
        <f>IFERROR(INDEX(PP_Grid[#Data],$DE112,42),0)</f>
        <v/>
      </c>
      <c r="AT112">
        <f>IFERROR(INDEX(PP_Grid[#Data],$DE112,43),0)</f>
        <v/>
      </c>
      <c r="AU112">
        <f>IFERROR(INDEX(PP_Grid[#Data],$DE112,44),0)</f>
        <v/>
      </c>
      <c r="AV112">
        <f>IFERROR(INDEX(PP_Grid[#Data],$DE112,45),0)</f>
        <v/>
      </c>
      <c r="AW112">
        <f>IFERROR(INDEX(PP_Grid[#Data],$DE112,46),0)</f>
        <v/>
      </c>
      <c r="AX112">
        <f>IFERROR(INDEX(PP_Grid[#Data],$DE112,47),0)</f>
        <v/>
      </c>
      <c r="AY112">
        <f>IFERROR(INDEX(PP_Grid[#Data],$DE112,48),0)</f>
        <v/>
      </c>
      <c r="AZ112">
        <f>IFERROR(INDEX(PP_Grid[#Data],$DE112,49),0)</f>
        <v/>
      </c>
      <c r="BA112">
        <f>IFERROR(INDEX(PP_Grid[#Data],$DE112,50),0)</f>
        <v/>
      </c>
      <c r="BB112">
        <f>IFERROR(INDEX(PP_Grid[#Data],$DE112,51),0)</f>
        <v/>
      </c>
      <c r="BC112">
        <f>IFERROR(INDEX(PP_Grid[#Data],$DE112,52),0)</f>
        <v/>
      </c>
      <c r="BD112">
        <f>IFERROR(INDEX(PP_Grid[#Data],$DE112,53),0)</f>
        <v/>
      </c>
      <c r="BE112">
        <f>IFERROR(INDEX(PP_Grid[#Data],$DE112,54),0)</f>
        <v/>
      </c>
      <c r="BF112">
        <f>IFERROR(INDEX(PP_Grid[#Data],$DE112,55),0)</f>
        <v/>
      </c>
      <c r="BG112">
        <f>IFERROR(INDEX(PP_Grid[#Data],$DE112,56),0)</f>
        <v/>
      </c>
      <c r="BH112">
        <f>IFERROR(INDEX(PP_Grid[#Data],$DE112,57),0)</f>
        <v/>
      </c>
      <c r="BI112">
        <f>IFERROR(INDEX(PP_Grid[#Data],$DE112,58),0)</f>
        <v/>
      </c>
      <c r="BJ112">
        <f>IFERROR(INDEX(PP_Grid[#Data],$DE112,59),0)</f>
        <v/>
      </c>
      <c r="BK112">
        <f>IFERROR(INDEX(PP_Grid[#Data],$DE112,60),0)</f>
        <v/>
      </c>
      <c r="BL112">
        <f>IFERROR(INDEX(PP_Grid[#Data],$DE112,61),0)</f>
        <v/>
      </c>
      <c r="BM112">
        <f>IFERROR(INDEX(PP_Grid[#Data],$DE112,62),0)</f>
        <v/>
      </c>
      <c r="BN112">
        <f>IFERROR(INDEX(PP_Grid[#Data],$DE112,63),0)</f>
        <v/>
      </c>
      <c r="BO112">
        <f>IFERROR(INDEX(PP_Grid[#Data],$DE112,64),0)</f>
        <v/>
      </c>
      <c r="BP112">
        <f>IFERROR(INDEX(PP_Grid[#Data],$DE112,65),0)</f>
        <v/>
      </c>
      <c r="BQ112">
        <f>IFERROR(INDEX(PP_Grid[#Data],$DE112,66),0)</f>
        <v/>
      </c>
      <c r="BR112">
        <f>IFERROR(INDEX(PP_Grid[#Data],$DE112,67),0)</f>
        <v/>
      </c>
      <c r="BS112">
        <f>IFERROR(INDEX(PP_Grid[#Data],$DE112,68),0)</f>
        <v/>
      </c>
      <c r="BT112">
        <f>IFERROR(INDEX(PP_Grid[#Data],$DE112,69),0)</f>
        <v/>
      </c>
      <c r="BU112">
        <f>IFERROR(INDEX(PP_Grid[#Data],$DE112,70),0)</f>
        <v/>
      </c>
      <c r="BV112">
        <f>IFERROR(INDEX(PP_Grid[#Data],$DE112,71),0)</f>
        <v/>
      </c>
      <c r="BW112">
        <f>IFERROR(INDEX(PP_Grid[#Data],$DE112,72),0)</f>
        <v/>
      </c>
      <c r="BX112">
        <f>IFERROR(INDEX(PP_Grid[#Data],$DE112,73),0)</f>
        <v/>
      </c>
      <c r="BY112">
        <f>IFERROR(INDEX(PP_Grid[#Data],$DE112,74),0)</f>
        <v/>
      </c>
      <c r="BZ112">
        <f>IFERROR(INDEX(PP_Grid[#Data],$DE112,75),0)</f>
        <v/>
      </c>
      <c r="CA112">
        <f>IFERROR(INDEX(PP_Grid[#Data],$DE112,76),0)</f>
        <v/>
      </c>
      <c r="CB112">
        <f>IFERROR(INDEX(PP_Grid[#Data],$DE112,77),0)</f>
        <v/>
      </c>
      <c r="CC112">
        <f>IFERROR(INDEX(PP_Grid[#Data],$DE112,78),0)</f>
        <v/>
      </c>
      <c r="CD112">
        <f>IFERROR(INDEX(PP_Grid[#Data],$DE112,79),0)</f>
        <v/>
      </c>
      <c r="CE112">
        <f>IFERROR(INDEX(PP_Grid[#Data],$DE112,80),0)</f>
        <v/>
      </c>
      <c r="CF112">
        <f>IFERROR(INDEX(PP_Grid[#Data],$DE112,81),0)</f>
        <v/>
      </c>
      <c r="CG112">
        <f>IFERROR(INDEX(PP_Grid[#Data],$DE112,82),0)</f>
        <v/>
      </c>
      <c r="CH112">
        <f>IFERROR(INDEX(PP_Grid[#Data],$DE112,83),0)</f>
        <v/>
      </c>
      <c r="CI112">
        <f>IFERROR(INDEX(PP_Grid[#Data],$DE112,84),0)</f>
        <v/>
      </c>
      <c r="CJ112">
        <f>IFERROR(INDEX(PP_Grid[#Data],$DE112,85),0)</f>
        <v/>
      </c>
      <c r="CK112">
        <f>IFERROR(INDEX(PP_Grid[#Data],$DE112,86),0)</f>
        <v/>
      </c>
      <c r="CL112">
        <f>IFERROR(INDEX(PP_Grid[#Data],$DE112,87),0)</f>
        <v/>
      </c>
      <c r="CM112">
        <f>IFERROR(INDEX(PP_Grid[#Data],$DE112,88),0)</f>
        <v/>
      </c>
      <c r="CN112">
        <f>IFERROR(INDEX(PP_Grid[#Data],$DE112,89),0)</f>
        <v/>
      </c>
      <c r="CO112">
        <f>IFERROR(INDEX(PP_Grid[#Data],$DE112,90),0)</f>
        <v/>
      </c>
      <c r="CP112">
        <f>IFERROR(INDEX(PP_Grid[#Data],$DE112,91),0)</f>
        <v/>
      </c>
      <c r="CQ112">
        <f>IFERROR(INDEX(PP_Grid[#Data],$DE112,92),0)</f>
        <v/>
      </c>
      <c r="CR112">
        <f>IFERROR(INDEX(PP_Grid[#Data],$DE112,93),0)</f>
        <v/>
      </c>
      <c r="CS112">
        <f>IFERROR(INDEX(PP_Grid[#Data],$DE112,94),0)</f>
        <v/>
      </c>
      <c r="CT112">
        <f>IFERROR(INDEX(PP_Grid[#Data],$DE112,95),0)</f>
        <v/>
      </c>
      <c r="CU112">
        <f>IFERROR(INDEX(PP_Grid[#Data],$DE112,96),0)</f>
        <v/>
      </c>
      <c r="CV112">
        <f>IFERROR(INDEX(PP_Grid[#Data],$DE112,97),0)</f>
        <v/>
      </c>
      <c r="CW112">
        <f>IFERROR(INDEX(PP_Grid[#Data],$DE112,98),0)</f>
        <v/>
      </c>
      <c r="CX112">
        <f>IFERROR(INDEX(PP_Grid[#Data],$DE112,99),0)</f>
        <v/>
      </c>
      <c r="CY112">
        <f>IFERROR(INDEX(PP_Grid[#Data],$DE112,100),0)</f>
        <v/>
      </c>
      <c r="CZ112">
        <f>IFERROR(INDEX(PP_Grid[#Data],$DE112,101),0)</f>
        <v/>
      </c>
      <c r="DA112">
        <f>IFERROR(INDEX(PP_Grid[#Data],$DE112,102),0)</f>
        <v/>
      </c>
      <c r="DB112">
        <f>IFERROR(INDEX(PP_Grid[#Data],$DE112,103),0)</f>
        <v/>
      </c>
      <c r="DC112">
        <f>IFERROR(INDEX(PP_Grid[#Data],$DE112,104),0)</f>
        <v/>
      </c>
      <c r="DD112">
        <f>IFERROR(INDEX(PP_Grid[#Data],$DE112,105),0)</f>
        <v/>
      </c>
      <c r="DE112" s="7">
        <f>IFERROR(MATCH($B112,PP_Grid[Intermediate],0),99999)</f>
        <v/>
      </c>
    </row>
    <row r="113">
      <c r="B113" t="inlineStr">
        <is>
          <t>使用量(kg)</t>
        </is>
      </c>
      <c r="C113">
        <f>SUMIFS(M_BOM[RM_Qty_Per_Batch],M_BOM[Intermediate],$B112,M_BOM[RM_Code],$A25)</f>
        <v/>
      </c>
      <c r="D113">
        <f>IFERROR(INDEX(E113:DD113,$F$1),"")</f>
        <v/>
      </c>
      <c r="E113">
        <f>$C113*E112</f>
        <v/>
      </c>
      <c r="F113">
        <f>$C113*F112</f>
        <v/>
      </c>
      <c r="G113">
        <f>$C113*G112</f>
        <v/>
      </c>
      <c r="H113">
        <f>$C113*H112</f>
        <v/>
      </c>
      <c r="I113">
        <f>$C113*I112</f>
        <v/>
      </c>
      <c r="J113">
        <f>$C113*J112</f>
        <v/>
      </c>
      <c r="K113">
        <f>$C113*K112</f>
        <v/>
      </c>
      <c r="L113">
        <f>$C113*L112</f>
        <v/>
      </c>
      <c r="M113">
        <f>$C113*M112</f>
        <v/>
      </c>
      <c r="N113">
        <f>$C113*N112</f>
        <v/>
      </c>
      <c r="O113">
        <f>$C113*O112</f>
        <v/>
      </c>
      <c r="P113">
        <f>$C113*P112</f>
        <v/>
      </c>
      <c r="Q113">
        <f>$C113*Q112</f>
        <v/>
      </c>
      <c r="R113">
        <f>$C113*R112</f>
        <v/>
      </c>
      <c r="S113">
        <f>$C113*S112</f>
        <v/>
      </c>
      <c r="T113">
        <f>$C113*T112</f>
        <v/>
      </c>
      <c r="U113">
        <f>$C113*U112</f>
        <v/>
      </c>
      <c r="V113">
        <f>$C113*V112</f>
        <v/>
      </c>
      <c r="W113">
        <f>$C113*W112</f>
        <v/>
      </c>
      <c r="X113">
        <f>$C113*X112</f>
        <v/>
      </c>
      <c r="Y113">
        <f>$C113*Y112</f>
        <v/>
      </c>
      <c r="Z113">
        <f>$C113*Z112</f>
        <v/>
      </c>
      <c r="AA113">
        <f>$C113*AA112</f>
        <v/>
      </c>
      <c r="AB113">
        <f>$C113*AB112</f>
        <v/>
      </c>
      <c r="AC113">
        <f>$C113*AC112</f>
        <v/>
      </c>
      <c r="AD113">
        <f>$C113*AD112</f>
        <v/>
      </c>
      <c r="AE113">
        <f>$C113*AE112</f>
        <v/>
      </c>
      <c r="AF113">
        <f>$C113*AF112</f>
        <v/>
      </c>
      <c r="AG113">
        <f>$C113*AG112</f>
        <v/>
      </c>
      <c r="AH113">
        <f>$C113*AH112</f>
        <v/>
      </c>
      <c r="AI113">
        <f>$C113*AI112</f>
        <v/>
      </c>
      <c r="AJ113">
        <f>$C113*AJ112</f>
        <v/>
      </c>
      <c r="AK113">
        <f>$C113*AK112</f>
        <v/>
      </c>
      <c r="AL113">
        <f>$C113*AL112</f>
        <v/>
      </c>
      <c r="AM113">
        <f>$C113*AM112</f>
        <v/>
      </c>
      <c r="AN113">
        <f>$C113*AN112</f>
        <v/>
      </c>
      <c r="AO113">
        <f>$C113*AO112</f>
        <v/>
      </c>
      <c r="AP113">
        <f>$C113*AP112</f>
        <v/>
      </c>
      <c r="AQ113">
        <f>$C113*AQ112</f>
        <v/>
      </c>
      <c r="AR113">
        <f>$C113*AR112</f>
        <v/>
      </c>
      <c r="AS113">
        <f>$C113*AS112</f>
        <v/>
      </c>
      <c r="AT113">
        <f>$C113*AT112</f>
        <v/>
      </c>
      <c r="AU113">
        <f>$C113*AU112</f>
        <v/>
      </c>
      <c r="AV113">
        <f>$C113*AV112</f>
        <v/>
      </c>
      <c r="AW113">
        <f>$C113*AW112</f>
        <v/>
      </c>
      <c r="AX113">
        <f>$C113*AX112</f>
        <v/>
      </c>
      <c r="AY113">
        <f>$C113*AY112</f>
        <v/>
      </c>
      <c r="AZ113">
        <f>$C113*AZ112</f>
        <v/>
      </c>
      <c r="BA113">
        <f>$C113*BA112</f>
        <v/>
      </c>
      <c r="BB113">
        <f>$C113*BB112</f>
        <v/>
      </c>
      <c r="BC113">
        <f>$C113*BC112</f>
        <v/>
      </c>
      <c r="BD113">
        <f>$C113*BD112</f>
        <v/>
      </c>
      <c r="BE113">
        <f>$C113*BE112</f>
        <v/>
      </c>
      <c r="BF113">
        <f>$C113*BF112</f>
        <v/>
      </c>
      <c r="BG113">
        <f>$C113*BG112</f>
        <v/>
      </c>
      <c r="BH113">
        <f>$C113*BH112</f>
        <v/>
      </c>
      <c r="BI113">
        <f>$C113*BI112</f>
        <v/>
      </c>
      <c r="BJ113">
        <f>$C113*BJ112</f>
        <v/>
      </c>
      <c r="BK113">
        <f>$C113*BK112</f>
        <v/>
      </c>
      <c r="BL113">
        <f>$C113*BL112</f>
        <v/>
      </c>
      <c r="BM113">
        <f>$C113*BM112</f>
        <v/>
      </c>
      <c r="BN113">
        <f>$C113*BN112</f>
        <v/>
      </c>
      <c r="BO113">
        <f>$C113*BO112</f>
        <v/>
      </c>
      <c r="BP113">
        <f>$C113*BP112</f>
        <v/>
      </c>
      <c r="BQ113">
        <f>$C113*BQ112</f>
        <v/>
      </c>
      <c r="BR113">
        <f>$C113*BR112</f>
        <v/>
      </c>
      <c r="BS113">
        <f>$C113*BS112</f>
        <v/>
      </c>
      <c r="BT113">
        <f>$C113*BT112</f>
        <v/>
      </c>
      <c r="BU113">
        <f>$C113*BU112</f>
        <v/>
      </c>
      <c r="BV113">
        <f>$C113*BV112</f>
        <v/>
      </c>
      <c r="BW113">
        <f>$C113*BW112</f>
        <v/>
      </c>
      <c r="BX113">
        <f>$C113*BX112</f>
        <v/>
      </c>
      <c r="BY113">
        <f>$C113*BY112</f>
        <v/>
      </c>
      <c r="BZ113">
        <f>$C113*BZ112</f>
        <v/>
      </c>
      <c r="CA113">
        <f>$C113*CA112</f>
        <v/>
      </c>
      <c r="CB113">
        <f>$C113*CB112</f>
        <v/>
      </c>
      <c r="CC113">
        <f>$C113*CC112</f>
        <v/>
      </c>
      <c r="CD113">
        <f>$C113*CD112</f>
        <v/>
      </c>
      <c r="CE113">
        <f>$C113*CE112</f>
        <v/>
      </c>
      <c r="CF113">
        <f>$C113*CF112</f>
        <v/>
      </c>
      <c r="CG113">
        <f>$C113*CG112</f>
        <v/>
      </c>
      <c r="CH113">
        <f>$C113*CH112</f>
        <v/>
      </c>
      <c r="CI113">
        <f>$C113*CI112</f>
        <v/>
      </c>
      <c r="CJ113">
        <f>$C113*CJ112</f>
        <v/>
      </c>
      <c r="CK113">
        <f>$C113*CK112</f>
        <v/>
      </c>
      <c r="CL113">
        <f>$C113*CL112</f>
        <v/>
      </c>
      <c r="CM113">
        <f>$C113*CM112</f>
        <v/>
      </c>
      <c r="CN113">
        <f>$C113*CN112</f>
        <v/>
      </c>
      <c r="CO113">
        <f>$C113*CO112</f>
        <v/>
      </c>
      <c r="CP113">
        <f>$C113*CP112</f>
        <v/>
      </c>
      <c r="CQ113">
        <f>$C113*CQ112</f>
        <v/>
      </c>
      <c r="CR113">
        <f>$C113*CR112</f>
        <v/>
      </c>
      <c r="CS113">
        <f>$C113*CS112</f>
        <v/>
      </c>
      <c r="CT113">
        <f>$C113*CT112</f>
        <v/>
      </c>
      <c r="CU113">
        <f>$C113*CU112</f>
        <v/>
      </c>
      <c r="CV113">
        <f>$C113*CV112</f>
        <v/>
      </c>
      <c r="CW113">
        <f>$C113*CW112</f>
        <v/>
      </c>
      <c r="CX113">
        <f>$C113*CX112</f>
        <v/>
      </c>
      <c r="CY113">
        <f>$C113*CY112</f>
        <v/>
      </c>
      <c r="CZ113">
        <f>$C113*CZ112</f>
        <v/>
      </c>
      <c r="DA113">
        <f>$C113*DA112</f>
        <v/>
      </c>
      <c r="DB113">
        <f>$C113*DB112</f>
        <v/>
      </c>
      <c r="DC113">
        <f>$C113*DC112</f>
        <v/>
      </c>
      <c r="DD113">
        <f>$C113*DD112</f>
        <v/>
      </c>
    </row>
    <row r="114">
      <c r="B114" t="inlineStr">
        <is>
          <t>TPP-190</t>
        </is>
      </c>
      <c r="C114" t="inlineStr">
        <is>
          <t>No. of batches</t>
        </is>
      </c>
      <c r="D114">
        <f>IFERROR(INDEX(E114:DD114,$F$1),"")</f>
        <v/>
      </c>
      <c r="E114">
        <f>IFERROR(INDEX(PP_Grid[#Data],$DE114,2),0)</f>
        <v/>
      </c>
      <c r="F114">
        <f>IFERROR(INDEX(PP_Grid[#Data],$DE114,3),0)</f>
        <v/>
      </c>
      <c r="G114">
        <f>IFERROR(INDEX(PP_Grid[#Data],$DE114,4),0)</f>
        <v/>
      </c>
      <c r="H114">
        <f>IFERROR(INDEX(PP_Grid[#Data],$DE114,5),0)</f>
        <v/>
      </c>
      <c r="I114">
        <f>IFERROR(INDEX(PP_Grid[#Data],$DE114,6),0)</f>
        <v/>
      </c>
      <c r="J114">
        <f>IFERROR(INDEX(PP_Grid[#Data],$DE114,7),0)</f>
        <v/>
      </c>
      <c r="K114">
        <f>IFERROR(INDEX(PP_Grid[#Data],$DE114,8),0)</f>
        <v/>
      </c>
      <c r="L114">
        <f>IFERROR(INDEX(PP_Grid[#Data],$DE114,9),0)</f>
        <v/>
      </c>
      <c r="M114">
        <f>IFERROR(INDEX(PP_Grid[#Data],$DE114,10),0)</f>
        <v/>
      </c>
      <c r="N114">
        <f>IFERROR(INDEX(PP_Grid[#Data],$DE114,11),0)</f>
        <v/>
      </c>
      <c r="O114">
        <f>IFERROR(INDEX(PP_Grid[#Data],$DE114,12),0)</f>
        <v/>
      </c>
      <c r="P114">
        <f>IFERROR(INDEX(PP_Grid[#Data],$DE114,13),0)</f>
        <v/>
      </c>
      <c r="Q114">
        <f>IFERROR(INDEX(PP_Grid[#Data],$DE114,14),0)</f>
        <v/>
      </c>
      <c r="R114">
        <f>IFERROR(INDEX(PP_Grid[#Data],$DE114,15),0)</f>
        <v/>
      </c>
      <c r="S114">
        <f>IFERROR(INDEX(PP_Grid[#Data],$DE114,16),0)</f>
        <v/>
      </c>
      <c r="T114">
        <f>IFERROR(INDEX(PP_Grid[#Data],$DE114,17),0)</f>
        <v/>
      </c>
      <c r="U114">
        <f>IFERROR(INDEX(PP_Grid[#Data],$DE114,18),0)</f>
        <v/>
      </c>
      <c r="V114">
        <f>IFERROR(INDEX(PP_Grid[#Data],$DE114,19),0)</f>
        <v/>
      </c>
      <c r="W114">
        <f>IFERROR(INDEX(PP_Grid[#Data],$DE114,20),0)</f>
        <v/>
      </c>
      <c r="X114">
        <f>IFERROR(INDEX(PP_Grid[#Data],$DE114,21),0)</f>
        <v/>
      </c>
      <c r="Y114">
        <f>IFERROR(INDEX(PP_Grid[#Data],$DE114,22),0)</f>
        <v/>
      </c>
      <c r="Z114">
        <f>IFERROR(INDEX(PP_Grid[#Data],$DE114,23),0)</f>
        <v/>
      </c>
      <c r="AA114">
        <f>IFERROR(INDEX(PP_Grid[#Data],$DE114,24),0)</f>
        <v/>
      </c>
      <c r="AB114">
        <f>IFERROR(INDEX(PP_Grid[#Data],$DE114,25),0)</f>
        <v/>
      </c>
      <c r="AC114">
        <f>IFERROR(INDEX(PP_Grid[#Data],$DE114,26),0)</f>
        <v/>
      </c>
      <c r="AD114">
        <f>IFERROR(INDEX(PP_Grid[#Data],$DE114,27),0)</f>
        <v/>
      </c>
      <c r="AE114">
        <f>IFERROR(INDEX(PP_Grid[#Data],$DE114,28),0)</f>
        <v/>
      </c>
      <c r="AF114">
        <f>IFERROR(INDEX(PP_Grid[#Data],$DE114,29),0)</f>
        <v/>
      </c>
      <c r="AG114">
        <f>IFERROR(INDEX(PP_Grid[#Data],$DE114,30),0)</f>
        <v/>
      </c>
      <c r="AH114">
        <f>IFERROR(INDEX(PP_Grid[#Data],$DE114,31),0)</f>
        <v/>
      </c>
      <c r="AI114">
        <f>IFERROR(INDEX(PP_Grid[#Data],$DE114,32),0)</f>
        <v/>
      </c>
      <c r="AJ114">
        <f>IFERROR(INDEX(PP_Grid[#Data],$DE114,33),0)</f>
        <v/>
      </c>
      <c r="AK114">
        <f>IFERROR(INDEX(PP_Grid[#Data],$DE114,34),0)</f>
        <v/>
      </c>
      <c r="AL114">
        <f>IFERROR(INDEX(PP_Grid[#Data],$DE114,35),0)</f>
        <v/>
      </c>
      <c r="AM114">
        <f>IFERROR(INDEX(PP_Grid[#Data],$DE114,36),0)</f>
        <v/>
      </c>
      <c r="AN114">
        <f>IFERROR(INDEX(PP_Grid[#Data],$DE114,37),0)</f>
        <v/>
      </c>
      <c r="AO114">
        <f>IFERROR(INDEX(PP_Grid[#Data],$DE114,38),0)</f>
        <v/>
      </c>
      <c r="AP114">
        <f>IFERROR(INDEX(PP_Grid[#Data],$DE114,39),0)</f>
        <v/>
      </c>
      <c r="AQ114">
        <f>IFERROR(INDEX(PP_Grid[#Data],$DE114,40),0)</f>
        <v/>
      </c>
      <c r="AR114">
        <f>IFERROR(INDEX(PP_Grid[#Data],$DE114,41),0)</f>
        <v/>
      </c>
      <c r="AS114">
        <f>IFERROR(INDEX(PP_Grid[#Data],$DE114,42),0)</f>
        <v/>
      </c>
      <c r="AT114">
        <f>IFERROR(INDEX(PP_Grid[#Data],$DE114,43),0)</f>
        <v/>
      </c>
      <c r="AU114">
        <f>IFERROR(INDEX(PP_Grid[#Data],$DE114,44),0)</f>
        <v/>
      </c>
      <c r="AV114">
        <f>IFERROR(INDEX(PP_Grid[#Data],$DE114,45),0)</f>
        <v/>
      </c>
      <c r="AW114">
        <f>IFERROR(INDEX(PP_Grid[#Data],$DE114,46),0)</f>
        <v/>
      </c>
      <c r="AX114">
        <f>IFERROR(INDEX(PP_Grid[#Data],$DE114,47),0)</f>
        <v/>
      </c>
      <c r="AY114">
        <f>IFERROR(INDEX(PP_Grid[#Data],$DE114,48),0)</f>
        <v/>
      </c>
      <c r="AZ114">
        <f>IFERROR(INDEX(PP_Grid[#Data],$DE114,49),0)</f>
        <v/>
      </c>
      <c r="BA114">
        <f>IFERROR(INDEX(PP_Grid[#Data],$DE114,50),0)</f>
        <v/>
      </c>
      <c r="BB114">
        <f>IFERROR(INDEX(PP_Grid[#Data],$DE114,51),0)</f>
        <v/>
      </c>
      <c r="BC114">
        <f>IFERROR(INDEX(PP_Grid[#Data],$DE114,52),0)</f>
        <v/>
      </c>
      <c r="BD114">
        <f>IFERROR(INDEX(PP_Grid[#Data],$DE114,53),0)</f>
        <v/>
      </c>
      <c r="BE114">
        <f>IFERROR(INDEX(PP_Grid[#Data],$DE114,54),0)</f>
        <v/>
      </c>
      <c r="BF114">
        <f>IFERROR(INDEX(PP_Grid[#Data],$DE114,55),0)</f>
        <v/>
      </c>
      <c r="BG114">
        <f>IFERROR(INDEX(PP_Grid[#Data],$DE114,56),0)</f>
        <v/>
      </c>
      <c r="BH114">
        <f>IFERROR(INDEX(PP_Grid[#Data],$DE114,57),0)</f>
        <v/>
      </c>
      <c r="BI114">
        <f>IFERROR(INDEX(PP_Grid[#Data],$DE114,58),0)</f>
        <v/>
      </c>
      <c r="BJ114">
        <f>IFERROR(INDEX(PP_Grid[#Data],$DE114,59),0)</f>
        <v/>
      </c>
      <c r="BK114">
        <f>IFERROR(INDEX(PP_Grid[#Data],$DE114,60),0)</f>
        <v/>
      </c>
      <c r="BL114">
        <f>IFERROR(INDEX(PP_Grid[#Data],$DE114,61),0)</f>
        <v/>
      </c>
      <c r="BM114">
        <f>IFERROR(INDEX(PP_Grid[#Data],$DE114,62),0)</f>
        <v/>
      </c>
      <c r="BN114">
        <f>IFERROR(INDEX(PP_Grid[#Data],$DE114,63),0)</f>
        <v/>
      </c>
      <c r="BO114">
        <f>IFERROR(INDEX(PP_Grid[#Data],$DE114,64),0)</f>
        <v/>
      </c>
      <c r="BP114">
        <f>IFERROR(INDEX(PP_Grid[#Data],$DE114,65),0)</f>
        <v/>
      </c>
      <c r="BQ114">
        <f>IFERROR(INDEX(PP_Grid[#Data],$DE114,66),0)</f>
        <v/>
      </c>
      <c r="BR114">
        <f>IFERROR(INDEX(PP_Grid[#Data],$DE114,67),0)</f>
        <v/>
      </c>
      <c r="BS114">
        <f>IFERROR(INDEX(PP_Grid[#Data],$DE114,68),0)</f>
        <v/>
      </c>
      <c r="BT114">
        <f>IFERROR(INDEX(PP_Grid[#Data],$DE114,69),0)</f>
        <v/>
      </c>
      <c r="BU114">
        <f>IFERROR(INDEX(PP_Grid[#Data],$DE114,70),0)</f>
        <v/>
      </c>
      <c r="BV114">
        <f>IFERROR(INDEX(PP_Grid[#Data],$DE114,71),0)</f>
        <v/>
      </c>
      <c r="BW114">
        <f>IFERROR(INDEX(PP_Grid[#Data],$DE114,72),0)</f>
        <v/>
      </c>
      <c r="BX114">
        <f>IFERROR(INDEX(PP_Grid[#Data],$DE114,73),0)</f>
        <v/>
      </c>
      <c r="BY114">
        <f>IFERROR(INDEX(PP_Grid[#Data],$DE114,74),0)</f>
        <v/>
      </c>
      <c r="BZ114">
        <f>IFERROR(INDEX(PP_Grid[#Data],$DE114,75),0)</f>
        <v/>
      </c>
      <c r="CA114">
        <f>IFERROR(INDEX(PP_Grid[#Data],$DE114,76),0)</f>
        <v/>
      </c>
      <c r="CB114">
        <f>IFERROR(INDEX(PP_Grid[#Data],$DE114,77),0)</f>
        <v/>
      </c>
      <c r="CC114">
        <f>IFERROR(INDEX(PP_Grid[#Data],$DE114,78),0)</f>
        <v/>
      </c>
      <c r="CD114">
        <f>IFERROR(INDEX(PP_Grid[#Data],$DE114,79),0)</f>
        <v/>
      </c>
      <c r="CE114">
        <f>IFERROR(INDEX(PP_Grid[#Data],$DE114,80),0)</f>
        <v/>
      </c>
      <c r="CF114">
        <f>IFERROR(INDEX(PP_Grid[#Data],$DE114,81),0)</f>
        <v/>
      </c>
      <c r="CG114">
        <f>IFERROR(INDEX(PP_Grid[#Data],$DE114,82),0)</f>
        <v/>
      </c>
      <c r="CH114">
        <f>IFERROR(INDEX(PP_Grid[#Data],$DE114,83),0)</f>
        <v/>
      </c>
      <c r="CI114">
        <f>IFERROR(INDEX(PP_Grid[#Data],$DE114,84),0)</f>
        <v/>
      </c>
      <c r="CJ114">
        <f>IFERROR(INDEX(PP_Grid[#Data],$DE114,85),0)</f>
        <v/>
      </c>
      <c r="CK114">
        <f>IFERROR(INDEX(PP_Grid[#Data],$DE114,86),0)</f>
        <v/>
      </c>
      <c r="CL114">
        <f>IFERROR(INDEX(PP_Grid[#Data],$DE114,87),0)</f>
        <v/>
      </c>
      <c r="CM114">
        <f>IFERROR(INDEX(PP_Grid[#Data],$DE114,88),0)</f>
        <v/>
      </c>
      <c r="CN114">
        <f>IFERROR(INDEX(PP_Grid[#Data],$DE114,89),0)</f>
        <v/>
      </c>
      <c r="CO114">
        <f>IFERROR(INDEX(PP_Grid[#Data],$DE114,90),0)</f>
        <v/>
      </c>
      <c r="CP114">
        <f>IFERROR(INDEX(PP_Grid[#Data],$DE114,91),0)</f>
        <v/>
      </c>
      <c r="CQ114">
        <f>IFERROR(INDEX(PP_Grid[#Data],$DE114,92),0)</f>
        <v/>
      </c>
      <c r="CR114">
        <f>IFERROR(INDEX(PP_Grid[#Data],$DE114,93),0)</f>
        <v/>
      </c>
      <c r="CS114">
        <f>IFERROR(INDEX(PP_Grid[#Data],$DE114,94),0)</f>
        <v/>
      </c>
      <c r="CT114">
        <f>IFERROR(INDEX(PP_Grid[#Data],$DE114,95),0)</f>
        <v/>
      </c>
      <c r="CU114">
        <f>IFERROR(INDEX(PP_Grid[#Data],$DE114,96),0)</f>
        <v/>
      </c>
      <c r="CV114">
        <f>IFERROR(INDEX(PP_Grid[#Data],$DE114,97),0)</f>
        <v/>
      </c>
      <c r="CW114">
        <f>IFERROR(INDEX(PP_Grid[#Data],$DE114,98),0)</f>
        <v/>
      </c>
      <c r="CX114">
        <f>IFERROR(INDEX(PP_Grid[#Data],$DE114,99),0)</f>
        <v/>
      </c>
      <c r="CY114">
        <f>IFERROR(INDEX(PP_Grid[#Data],$DE114,100),0)</f>
        <v/>
      </c>
      <c r="CZ114">
        <f>IFERROR(INDEX(PP_Grid[#Data],$DE114,101),0)</f>
        <v/>
      </c>
      <c r="DA114">
        <f>IFERROR(INDEX(PP_Grid[#Data],$DE114,102),0)</f>
        <v/>
      </c>
      <c r="DB114">
        <f>IFERROR(INDEX(PP_Grid[#Data],$DE114,103),0)</f>
        <v/>
      </c>
      <c r="DC114">
        <f>IFERROR(INDEX(PP_Grid[#Data],$DE114,104),0)</f>
        <v/>
      </c>
      <c r="DD114">
        <f>IFERROR(INDEX(PP_Grid[#Data],$DE114,105),0)</f>
        <v/>
      </c>
      <c r="DE114" s="7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SUMIFS(M_BOM[RM_Qty_Per_Batch],M_BOM[Intermediate],$B114,M_BOM[RM_Code],$A25)</f>
        <v/>
      </c>
      <c r="D115">
        <f>IFERROR(INDEX(E115:DD115,$F$1),"")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  <c r="DD115">
        <f>$C115*DD114</f>
        <v/>
      </c>
    </row>
    <row r="116">
      <c r="B116" t="inlineStr">
        <is>
          <t>TPP-204</t>
        </is>
      </c>
      <c r="C116" t="inlineStr">
        <is>
          <t>No. of batches</t>
        </is>
      </c>
      <c r="D116">
        <f>IFERROR(INDEX(E116:DD116,$F$1),"")</f>
        <v/>
      </c>
      <c r="E116">
        <f>IFERROR(INDEX(PP_Grid[#Data],$DE116,2),0)</f>
        <v/>
      </c>
      <c r="F116">
        <f>IFERROR(INDEX(PP_Grid[#Data],$DE116,3),0)</f>
        <v/>
      </c>
      <c r="G116">
        <f>IFERROR(INDEX(PP_Grid[#Data],$DE116,4),0)</f>
        <v/>
      </c>
      <c r="H116">
        <f>IFERROR(INDEX(PP_Grid[#Data],$DE116,5),0)</f>
        <v/>
      </c>
      <c r="I116">
        <f>IFERROR(INDEX(PP_Grid[#Data],$DE116,6),0)</f>
        <v/>
      </c>
      <c r="J116">
        <f>IFERROR(INDEX(PP_Grid[#Data],$DE116,7),0)</f>
        <v/>
      </c>
      <c r="K116">
        <f>IFERROR(INDEX(PP_Grid[#Data],$DE116,8),0)</f>
        <v/>
      </c>
      <c r="L116">
        <f>IFERROR(INDEX(PP_Grid[#Data],$DE116,9),0)</f>
        <v/>
      </c>
      <c r="M116">
        <f>IFERROR(INDEX(PP_Grid[#Data],$DE116,10),0)</f>
        <v/>
      </c>
      <c r="N116">
        <f>IFERROR(INDEX(PP_Grid[#Data],$DE116,11),0)</f>
        <v/>
      </c>
      <c r="O116">
        <f>IFERROR(INDEX(PP_Grid[#Data],$DE116,12),0)</f>
        <v/>
      </c>
      <c r="P116">
        <f>IFERROR(INDEX(PP_Grid[#Data],$DE116,13),0)</f>
        <v/>
      </c>
      <c r="Q116">
        <f>IFERROR(INDEX(PP_Grid[#Data],$DE116,14),0)</f>
        <v/>
      </c>
      <c r="R116">
        <f>IFERROR(INDEX(PP_Grid[#Data],$DE116,15),0)</f>
        <v/>
      </c>
      <c r="S116">
        <f>IFERROR(INDEX(PP_Grid[#Data],$DE116,16),0)</f>
        <v/>
      </c>
      <c r="T116">
        <f>IFERROR(INDEX(PP_Grid[#Data],$DE116,17),0)</f>
        <v/>
      </c>
      <c r="U116">
        <f>IFERROR(INDEX(PP_Grid[#Data],$DE116,18),0)</f>
        <v/>
      </c>
      <c r="V116">
        <f>IFERROR(INDEX(PP_Grid[#Data],$DE116,19),0)</f>
        <v/>
      </c>
      <c r="W116">
        <f>IFERROR(INDEX(PP_Grid[#Data],$DE116,20),0)</f>
        <v/>
      </c>
      <c r="X116">
        <f>IFERROR(INDEX(PP_Grid[#Data],$DE116,21),0)</f>
        <v/>
      </c>
      <c r="Y116">
        <f>IFERROR(INDEX(PP_Grid[#Data],$DE116,22),0)</f>
        <v/>
      </c>
      <c r="Z116">
        <f>IFERROR(INDEX(PP_Grid[#Data],$DE116,23),0)</f>
        <v/>
      </c>
      <c r="AA116">
        <f>IFERROR(INDEX(PP_Grid[#Data],$DE116,24),0)</f>
        <v/>
      </c>
      <c r="AB116">
        <f>IFERROR(INDEX(PP_Grid[#Data],$DE116,25),0)</f>
        <v/>
      </c>
      <c r="AC116">
        <f>IFERROR(INDEX(PP_Grid[#Data],$DE116,26),0)</f>
        <v/>
      </c>
      <c r="AD116">
        <f>IFERROR(INDEX(PP_Grid[#Data],$DE116,27),0)</f>
        <v/>
      </c>
      <c r="AE116">
        <f>IFERROR(INDEX(PP_Grid[#Data],$DE116,28),0)</f>
        <v/>
      </c>
      <c r="AF116">
        <f>IFERROR(INDEX(PP_Grid[#Data],$DE116,29),0)</f>
        <v/>
      </c>
      <c r="AG116">
        <f>IFERROR(INDEX(PP_Grid[#Data],$DE116,30),0)</f>
        <v/>
      </c>
      <c r="AH116">
        <f>IFERROR(INDEX(PP_Grid[#Data],$DE116,31),0)</f>
        <v/>
      </c>
      <c r="AI116">
        <f>IFERROR(INDEX(PP_Grid[#Data],$DE116,32),0)</f>
        <v/>
      </c>
      <c r="AJ116">
        <f>IFERROR(INDEX(PP_Grid[#Data],$DE116,33),0)</f>
        <v/>
      </c>
      <c r="AK116">
        <f>IFERROR(INDEX(PP_Grid[#Data],$DE116,34),0)</f>
        <v/>
      </c>
      <c r="AL116">
        <f>IFERROR(INDEX(PP_Grid[#Data],$DE116,35),0)</f>
        <v/>
      </c>
      <c r="AM116">
        <f>IFERROR(INDEX(PP_Grid[#Data],$DE116,36),0)</f>
        <v/>
      </c>
      <c r="AN116">
        <f>IFERROR(INDEX(PP_Grid[#Data],$DE116,37),0)</f>
        <v/>
      </c>
      <c r="AO116">
        <f>IFERROR(INDEX(PP_Grid[#Data],$DE116,38),0)</f>
        <v/>
      </c>
      <c r="AP116">
        <f>IFERROR(INDEX(PP_Grid[#Data],$DE116,39),0)</f>
        <v/>
      </c>
      <c r="AQ116">
        <f>IFERROR(INDEX(PP_Grid[#Data],$DE116,40),0)</f>
        <v/>
      </c>
      <c r="AR116">
        <f>IFERROR(INDEX(PP_Grid[#Data],$DE116,41),0)</f>
        <v/>
      </c>
      <c r="AS116">
        <f>IFERROR(INDEX(PP_Grid[#Data],$DE116,42),0)</f>
        <v/>
      </c>
      <c r="AT116">
        <f>IFERROR(INDEX(PP_Grid[#Data],$DE116,43),0)</f>
        <v/>
      </c>
      <c r="AU116">
        <f>IFERROR(INDEX(PP_Grid[#Data],$DE116,44),0)</f>
        <v/>
      </c>
      <c r="AV116">
        <f>IFERROR(INDEX(PP_Grid[#Data],$DE116,45),0)</f>
        <v/>
      </c>
      <c r="AW116">
        <f>IFERROR(INDEX(PP_Grid[#Data],$DE116,46),0)</f>
        <v/>
      </c>
      <c r="AX116">
        <f>IFERROR(INDEX(PP_Grid[#Data],$DE116,47),0)</f>
        <v/>
      </c>
      <c r="AY116">
        <f>IFERROR(INDEX(PP_Grid[#Data],$DE116,48),0)</f>
        <v/>
      </c>
      <c r="AZ116">
        <f>IFERROR(INDEX(PP_Grid[#Data],$DE116,49),0)</f>
        <v/>
      </c>
      <c r="BA116">
        <f>IFERROR(INDEX(PP_Grid[#Data],$DE116,50),0)</f>
        <v/>
      </c>
      <c r="BB116">
        <f>IFERROR(INDEX(PP_Grid[#Data],$DE116,51),0)</f>
        <v/>
      </c>
      <c r="BC116">
        <f>IFERROR(INDEX(PP_Grid[#Data],$DE116,52),0)</f>
        <v/>
      </c>
      <c r="BD116">
        <f>IFERROR(INDEX(PP_Grid[#Data],$DE116,53),0)</f>
        <v/>
      </c>
      <c r="BE116">
        <f>IFERROR(INDEX(PP_Grid[#Data],$DE116,54),0)</f>
        <v/>
      </c>
      <c r="BF116">
        <f>IFERROR(INDEX(PP_Grid[#Data],$DE116,55),0)</f>
        <v/>
      </c>
      <c r="BG116">
        <f>IFERROR(INDEX(PP_Grid[#Data],$DE116,56),0)</f>
        <v/>
      </c>
      <c r="BH116">
        <f>IFERROR(INDEX(PP_Grid[#Data],$DE116,57),0)</f>
        <v/>
      </c>
      <c r="BI116">
        <f>IFERROR(INDEX(PP_Grid[#Data],$DE116,58),0)</f>
        <v/>
      </c>
      <c r="BJ116">
        <f>IFERROR(INDEX(PP_Grid[#Data],$DE116,59),0)</f>
        <v/>
      </c>
      <c r="BK116">
        <f>IFERROR(INDEX(PP_Grid[#Data],$DE116,60),0)</f>
        <v/>
      </c>
      <c r="BL116">
        <f>IFERROR(INDEX(PP_Grid[#Data],$DE116,61),0)</f>
        <v/>
      </c>
      <c r="BM116">
        <f>IFERROR(INDEX(PP_Grid[#Data],$DE116,62),0)</f>
        <v/>
      </c>
      <c r="BN116">
        <f>IFERROR(INDEX(PP_Grid[#Data],$DE116,63),0)</f>
        <v/>
      </c>
      <c r="BO116">
        <f>IFERROR(INDEX(PP_Grid[#Data],$DE116,64),0)</f>
        <v/>
      </c>
      <c r="BP116">
        <f>IFERROR(INDEX(PP_Grid[#Data],$DE116,65),0)</f>
        <v/>
      </c>
      <c r="BQ116">
        <f>IFERROR(INDEX(PP_Grid[#Data],$DE116,66),0)</f>
        <v/>
      </c>
      <c r="BR116">
        <f>IFERROR(INDEX(PP_Grid[#Data],$DE116,67),0)</f>
        <v/>
      </c>
      <c r="BS116">
        <f>IFERROR(INDEX(PP_Grid[#Data],$DE116,68),0)</f>
        <v/>
      </c>
      <c r="BT116">
        <f>IFERROR(INDEX(PP_Grid[#Data],$DE116,69),0)</f>
        <v/>
      </c>
      <c r="BU116">
        <f>IFERROR(INDEX(PP_Grid[#Data],$DE116,70),0)</f>
        <v/>
      </c>
      <c r="BV116">
        <f>IFERROR(INDEX(PP_Grid[#Data],$DE116,71),0)</f>
        <v/>
      </c>
      <c r="BW116">
        <f>IFERROR(INDEX(PP_Grid[#Data],$DE116,72),0)</f>
        <v/>
      </c>
      <c r="BX116">
        <f>IFERROR(INDEX(PP_Grid[#Data],$DE116,73),0)</f>
        <v/>
      </c>
      <c r="BY116">
        <f>IFERROR(INDEX(PP_Grid[#Data],$DE116,74),0)</f>
        <v/>
      </c>
      <c r="BZ116">
        <f>IFERROR(INDEX(PP_Grid[#Data],$DE116,75),0)</f>
        <v/>
      </c>
      <c r="CA116">
        <f>IFERROR(INDEX(PP_Grid[#Data],$DE116,76),0)</f>
        <v/>
      </c>
      <c r="CB116">
        <f>IFERROR(INDEX(PP_Grid[#Data],$DE116,77),0)</f>
        <v/>
      </c>
      <c r="CC116">
        <f>IFERROR(INDEX(PP_Grid[#Data],$DE116,78),0)</f>
        <v/>
      </c>
      <c r="CD116">
        <f>IFERROR(INDEX(PP_Grid[#Data],$DE116,79),0)</f>
        <v/>
      </c>
      <c r="CE116">
        <f>IFERROR(INDEX(PP_Grid[#Data],$DE116,80),0)</f>
        <v/>
      </c>
      <c r="CF116">
        <f>IFERROR(INDEX(PP_Grid[#Data],$DE116,81),0)</f>
        <v/>
      </c>
      <c r="CG116">
        <f>IFERROR(INDEX(PP_Grid[#Data],$DE116,82),0)</f>
        <v/>
      </c>
      <c r="CH116">
        <f>IFERROR(INDEX(PP_Grid[#Data],$DE116,83),0)</f>
        <v/>
      </c>
      <c r="CI116">
        <f>IFERROR(INDEX(PP_Grid[#Data],$DE116,84),0)</f>
        <v/>
      </c>
      <c r="CJ116">
        <f>IFERROR(INDEX(PP_Grid[#Data],$DE116,85),0)</f>
        <v/>
      </c>
      <c r="CK116">
        <f>IFERROR(INDEX(PP_Grid[#Data],$DE116,86),0)</f>
        <v/>
      </c>
      <c r="CL116">
        <f>IFERROR(INDEX(PP_Grid[#Data],$DE116,87),0)</f>
        <v/>
      </c>
      <c r="CM116">
        <f>IFERROR(INDEX(PP_Grid[#Data],$DE116,88),0)</f>
        <v/>
      </c>
      <c r="CN116">
        <f>IFERROR(INDEX(PP_Grid[#Data],$DE116,89),0)</f>
        <v/>
      </c>
      <c r="CO116">
        <f>IFERROR(INDEX(PP_Grid[#Data],$DE116,90),0)</f>
        <v/>
      </c>
      <c r="CP116">
        <f>IFERROR(INDEX(PP_Grid[#Data],$DE116,91),0)</f>
        <v/>
      </c>
      <c r="CQ116">
        <f>IFERROR(INDEX(PP_Grid[#Data],$DE116,92),0)</f>
        <v/>
      </c>
      <c r="CR116">
        <f>IFERROR(INDEX(PP_Grid[#Data],$DE116,93),0)</f>
        <v/>
      </c>
      <c r="CS116">
        <f>IFERROR(INDEX(PP_Grid[#Data],$DE116,94),0)</f>
        <v/>
      </c>
      <c r="CT116">
        <f>IFERROR(INDEX(PP_Grid[#Data],$DE116,95),0)</f>
        <v/>
      </c>
      <c r="CU116">
        <f>IFERROR(INDEX(PP_Grid[#Data],$DE116,96),0)</f>
        <v/>
      </c>
      <c r="CV116">
        <f>IFERROR(INDEX(PP_Grid[#Data],$DE116,97),0)</f>
        <v/>
      </c>
      <c r="CW116">
        <f>IFERROR(INDEX(PP_Grid[#Data],$DE116,98),0)</f>
        <v/>
      </c>
      <c r="CX116">
        <f>IFERROR(INDEX(PP_Grid[#Data],$DE116,99),0)</f>
        <v/>
      </c>
      <c r="CY116">
        <f>IFERROR(INDEX(PP_Grid[#Data],$DE116,100),0)</f>
        <v/>
      </c>
      <c r="CZ116">
        <f>IFERROR(INDEX(PP_Grid[#Data],$DE116,101),0)</f>
        <v/>
      </c>
      <c r="DA116">
        <f>IFERROR(INDEX(PP_Grid[#Data],$DE116,102),0)</f>
        <v/>
      </c>
      <c r="DB116">
        <f>IFERROR(INDEX(PP_Grid[#Data],$DE116,103),0)</f>
        <v/>
      </c>
      <c r="DC116">
        <f>IFERROR(INDEX(PP_Grid[#Data],$DE116,104),0)</f>
        <v/>
      </c>
      <c r="DD116">
        <f>IFERROR(INDEX(PP_Grid[#Data],$DE116,105),0)</f>
        <v/>
      </c>
      <c r="DE116" s="7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SUMIFS(M_BOM[RM_Qty_Per_Batch],M_BOM[Intermediate],$B116,M_BOM[RM_Code],$A25)</f>
        <v/>
      </c>
      <c r="D117">
        <f>IFERROR(INDEX(E117:DD117,$F$1),"")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  <c r="DD117">
        <f>$C117*DD116</f>
        <v/>
      </c>
    </row>
    <row r="118">
      <c r="B118" t="inlineStr">
        <is>
          <t>TPP-356</t>
        </is>
      </c>
      <c r="C118" t="inlineStr">
        <is>
          <t>No. of batches</t>
        </is>
      </c>
      <c r="D118">
        <f>IFERROR(INDEX(E118:DD118,$F$1),"")</f>
        <v/>
      </c>
      <c r="E118">
        <f>IFERROR(INDEX(PP_Grid[#Data],$DE118,2),0)</f>
        <v/>
      </c>
      <c r="F118">
        <f>IFERROR(INDEX(PP_Grid[#Data],$DE118,3),0)</f>
        <v/>
      </c>
      <c r="G118">
        <f>IFERROR(INDEX(PP_Grid[#Data],$DE118,4),0)</f>
        <v/>
      </c>
      <c r="H118">
        <f>IFERROR(INDEX(PP_Grid[#Data],$DE118,5),0)</f>
        <v/>
      </c>
      <c r="I118">
        <f>IFERROR(INDEX(PP_Grid[#Data],$DE118,6),0)</f>
        <v/>
      </c>
      <c r="J118">
        <f>IFERROR(INDEX(PP_Grid[#Data],$DE118,7),0)</f>
        <v/>
      </c>
      <c r="K118">
        <f>IFERROR(INDEX(PP_Grid[#Data],$DE118,8),0)</f>
        <v/>
      </c>
      <c r="L118">
        <f>IFERROR(INDEX(PP_Grid[#Data],$DE118,9),0)</f>
        <v/>
      </c>
      <c r="M118">
        <f>IFERROR(INDEX(PP_Grid[#Data],$DE118,10),0)</f>
        <v/>
      </c>
      <c r="N118">
        <f>IFERROR(INDEX(PP_Grid[#Data],$DE118,11),0)</f>
        <v/>
      </c>
      <c r="O118">
        <f>IFERROR(INDEX(PP_Grid[#Data],$DE118,12),0)</f>
        <v/>
      </c>
      <c r="P118">
        <f>IFERROR(INDEX(PP_Grid[#Data],$DE118,13),0)</f>
        <v/>
      </c>
      <c r="Q118">
        <f>IFERROR(INDEX(PP_Grid[#Data],$DE118,14),0)</f>
        <v/>
      </c>
      <c r="R118">
        <f>IFERROR(INDEX(PP_Grid[#Data],$DE118,15),0)</f>
        <v/>
      </c>
      <c r="S118">
        <f>IFERROR(INDEX(PP_Grid[#Data],$DE118,16),0)</f>
        <v/>
      </c>
      <c r="T118">
        <f>IFERROR(INDEX(PP_Grid[#Data],$DE118,17),0)</f>
        <v/>
      </c>
      <c r="U118">
        <f>IFERROR(INDEX(PP_Grid[#Data],$DE118,18),0)</f>
        <v/>
      </c>
      <c r="V118">
        <f>IFERROR(INDEX(PP_Grid[#Data],$DE118,19),0)</f>
        <v/>
      </c>
      <c r="W118">
        <f>IFERROR(INDEX(PP_Grid[#Data],$DE118,20),0)</f>
        <v/>
      </c>
      <c r="X118">
        <f>IFERROR(INDEX(PP_Grid[#Data],$DE118,21),0)</f>
        <v/>
      </c>
      <c r="Y118">
        <f>IFERROR(INDEX(PP_Grid[#Data],$DE118,22),0)</f>
        <v/>
      </c>
      <c r="Z118">
        <f>IFERROR(INDEX(PP_Grid[#Data],$DE118,23),0)</f>
        <v/>
      </c>
      <c r="AA118">
        <f>IFERROR(INDEX(PP_Grid[#Data],$DE118,24),0)</f>
        <v/>
      </c>
      <c r="AB118">
        <f>IFERROR(INDEX(PP_Grid[#Data],$DE118,25),0)</f>
        <v/>
      </c>
      <c r="AC118">
        <f>IFERROR(INDEX(PP_Grid[#Data],$DE118,26),0)</f>
        <v/>
      </c>
      <c r="AD118">
        <f>IFERROR(INDEX(PP_Grid[#Data],$DE118,27),0)</f>
        <v/>
      </c>
      <c r="AE118">
        <f>IFERROR(INDEX(PP_Grid[#Data],$DE118,28),0)</f>
        <v/>
      </c>
      <c r="AF118">
        <f>IFERROR(INDEX(PP_Grid[#Data],$DE118,29),0)</f>
        <v/>
      </c>
      <c r="AG118">
        <f>IFERROR(INDEX(PP_Grid[#Data],$DE118,30),0)</f>
        <v/>
      </c>
      <c r="AH118">
        <f>IFERROR(INDEX(PP_Grid[#Data],$DE118,31),0)</f>
        <v/>
      </c>
      <c r="AI118">
        <f>IFERROR(INDEX(PP_Grid[#Data],$DE118,32),0)</f>
        <v/>
      </c>
      <c r="AJ118">
        <f>IFERROR(INDEX(PP_Grid[#Data],$DE118,33),0)</f>
        <v/>
      </c>
      <c r="AK118">
        <f>IFERROR(INDEX(PP_Grid[#Data],$DE118,34),0)</f>
        <v/>
      </c>
      <c r="AL118">
        <f>IFERROR(INDEX(PP_Grid[#Data],$DE118,35),0)</f>
        <v/>
      </c>
      <c r="AM118">
        <f>IFERROR(INDEX(PP_Grid[#Data],$DE118,36),0)</f>
        <v/>
      </c>
      <c r="AN118">
        <f>IFERROR(INDEX(PP_Grid[#Data],$DE118,37),0)</f>
        <v/>
      </c>
      <c r="AO118">
        <f>IFERROR(INDEX(PP_Grid[#Data],$DE118,38),0)</f>
        <v/>
      </c>
      <c r="AP118">
        <f>IFERROR(INDEX(PP_Grid[#Data],$DE118,39),0)</f>
        <v/>
      </c>
      <c r="AQ118">
        <f>IFERROR(INDEX(PP_Grid[#Data],$DE118,40),0)</f>
        <v/>
      </c>
      <c r="AR118">
        <f>IFERROR(INDEX(PP_Grid[#Data],$DE118,41),0)</f>
        <v/>
      </c>
      <c r="AS118">
        <f>IFERROR(INDEX(PP_Grid[#Data],$DE118,42),0)</f>
        <v/>
      </c>
      <c r="AT118">
        <f>IFERROR(INDEX(PP_Grid[#Data],$DE118,43),0)</f>
        <v/>
      </c>
      <c r="AU118">
        <f>IFERROR(INDEX(PP_Grid[#Data],$DE118,44),0)</f>
        <v/>
      </c>
      <c r="AV118">
        <f>IFERROR(INDEX(PP_Grid[#Data],$DE118,45),0)</f>
        <v/>
      </c>
      <c r="AW118">
        <f>IFERROR(INDEX(PP_Grid[#Data],$DE118,46),0)</f>
        <v/>
      </c>
      <c r="AX118">
        <f>IFERROR(INDEX(PP_Grid[#Data],$DE118,47),0)</f>
        <v/>
      </c>
      <c r="AY118">
        <f>IFERROR(INDEX(PP_Grid[#Data],$DE118,48),0)</f>
        <v/>
      </c>
      <c r="AZ118">
        <f>IFERROR(INDEX(PP_Grid[#Data],$DE118,49),0)</f>
        <v/>
      </c>
      <c r="BA118">
        <f>IFERROR(INDEX(PP_Grid[#Data],$DE118,50),0)</f>
        <v/>
      </c>
      <c r="BB118">
        <f>IFERROR(INDEX(PP_Grid[#Data],$DE118,51),0)</f>
        <v/>
      </c>
      <c r="BC118">
        <f>IFERROR(INDEX(PP_Grid[#Data],$DE118,52),0)</f>
        <v/>
      </c>
      <c r="BD118">
        <f>IFERROR(INDEX(PP_Grid[#Data],$DE118,53),0)</f>
        <v/>
      </c>
      <c r="BE118">
        <f>IFERROR(INDEX(PP_Grid[#Data],$DE118,54),0)</f>
        <v/>
      </c>
      <c r="BF118">
        <f>IFERROR(INDEX(PP_Grid[#Data],$DE118,55),0)</f>
        <v/>
      </c>
      <c r="BG118">
        <f>IFERROR(INDEX(PP_Grid[#Data],$DE118,56),0)</f>
        <v/>
      </c>
      <c r="BH118">
        <f>IFERROR(INDEX(PP_Grid[#Data],$DE118,57),0)</f>
        <v/>
      </c>
      <c r="BI118">
        <f>IFERROR(INDEX(PP_Grid[#Data],$DE118,58),0)</f>
        <v/>
      </c>
      <c r="BJ118">
        <f>IFERROR(INDEX(PP_Grid[#Data],$DE118,59),0)</f>
        <v/>
      </c>
      <c r="BK118">
        <f>IFERROR(INDEX(PP_Grid[#Data],$DE118,60),0)</f>
        <v/>
      </c>
      <c r="BL118">
        <f>IFERROR(INDEX(PP_Grid[#Data],$DE118,61),0)</f>
        <v/>
      </c>
      <c r="BM118">
        <f>IFERROR(INDEX(PP_Grid[#Data],$DE118,62),0)</f>
        <v/>
      </c>
      <c r="BN118">
        <f>IFERROR(INDEX(PP_Grid[#Data],$DE118,63),0)</f>
        <v/>
      </c>
      <c r="BO118">
        <f>IFERROR(INDEX(PP_Grid[#Data],$DE118,64),0)</f>
        <v/>
      </c>
      <c r="BP118">
        <f>IFERROR(INDEX(PP_Grid[#Data],$DE118,65),0)</f>
        <v/>
      </c>
      <c r="BQ118">
        <f>IFERROR(INDEX(PP_Grid[#Data],$DE118,66),0)</f>
        <v/>
      </c>
      <c r="BR118">
        <f>IFERROR(INDEX(PP_Grid[#Data],$DE118,67),0)</f>
        <v/>
      </c>
      <c r="BS118">
        <f>IFERROR(INDEX(PP_Grid[#Data],$DE118,68),0)</f>
        <v/>
      </c>
      <c r="BT118">
        <f>IFERROR(INDEX(PP_Grid[#Data],$DE118,69),0)</f>
        <v/>
      </c>
      <c r="BU118">
        <f>IFERROR(INDEX(PP_Grid[#Data],$DE118,70),0)</f>
        <v/>
      </c>
      <c r="BV118">
        <f>IFERROR(INDEX(PP_Grid[#Data],$DE118,71),0)</f>
        <v/>
      </c>
      <c r="BW118">
        <f>IFERROR(INDEX(PP_Grid[#Data],$DE118,72),0)</f>
        <v/>
      </c>
      <c r="BX118">
        <f>IFERROR(INDEX(PP_Grid[#Data],$DE118,73),0)</f>
        <v/>
      </c>
      <c r="BY118">
        <f>IFERROR(INDEX(PP_Grid[#Data],$DE118,74),0)</f>
        <v/>
      </c>
      <c r="BZ118">
        <f>IFERROR(INDEX(PP_Grid[#Data],$DE118,75),0)</f>
        <v/>
      </c>
      <c r="CA118">
        <f>IFERROR(INDEX(PP_Grid[#Data],$DE118,76),0)</f>
        <v/>
      </c>
      <c r="CB118">
        <f>IFERROR(INDEX(PP_Grid[#Data],$DE118,77),0)</f>
        <v/>
      </c>
      <c r="CC118">
        <f>IFERROR(INDEX(PP_Grid[#Data],$DE118,78),0)</f>
        <v/>
      </c>
      <c r="CD118">
        <f>IFERROR(INDEX(PP_Grid[#Data],$DE118,79),0)</f>
        <v/>
      </c>
      <c r="CE118">
        <f>IFERROR(INDEX(PP_Grid[#Data],$DE118,80),0)</f>
        <v/>
      </c>
      <c r="CF118">
        <f>IFERROR(INDEX(PP_Grid[#Data],$DE118,81),0)</f>
        <v/>
      </c>
      <c r="CG118">
        <f>IFERROR(INDEX(PP_Grid[#Data],$DE118,82),0)</f>
        <v/>
      </c>
      <c r="CH118">
        <f>IFERROR(INDEX(PP_Grid[#Data],$DE118,83),0)</f>
        <v/>
      </c>
      <c r="CI118">
        <f>IFERROR(INDEX(PP_Grid[#Data],$DE118,84),0)</f>
        <v/>
      </c>
      <c r="CJ118">
        <f>IFERROR(INDEX(PP_Grid[#Data],$DE118,85),0)</f>
        <v/>
      </c>
      <c r="CK118">
        <f>IFERROR(INDEX(PP_Grid[#Data],$DE118,86),0)</f>
        <v/>
      </c>
      <c r="CL118">
        <f>IFERROR(INDEX(PP_Grid[#Data],$DE118,87),0)</f>
        <v/>
      </c>
      <c r="CM118">
        <f>IFERROR(INDEX(PP_Grid[#Data],$DE118,88),0)</f>
        <v/>
      </c>
      <c r="CN118">
        <f>IFERROR(INDEX(PP_Grid[#Data],$DE118,89),0)</f>
        <v/>
      </c>
      <c r="CO118">
        <f>IFERROR(INDEX(PP_Grid[#Data],$DE118,90),0)</f>
        <v/>
      </c>
      <c r="CP118">
        <f>IFERROR(INDEX(PP_Grid[#Data],$DE118,91),0)</f>
        <v/>
      </c>
      <c r="CQ118">
        <f>IFERROR(INDEX(PP_Grid[#Data],$DE118,92),0)</f>
        <v/>
      </c>
      <c r="CR118">
        <f>IFERROR(INDEX(PP_Grid[#Data],$DE118,93),0)</f>
        <v/>
      </c>
      <c r="CS118">
        <f>IFERROR(INDEX(PP_Grid[#Data],$DE118,94),0)</f>
        <v/>
      </c>
      <c r="CT118">
        <f>IFERROR(INDEX(PP_Grid[#Data],$DE118,95),0)</f>
        <v/>
      </c>
      <c r="CU118">
        <f>IFERROR(INDEX(PP_Grid[#Data],$DE118,96),0)</f>
        <v/>
      </c>
      <c r="CV118">
        <f>IFERROR(INDEX(PP_Grid[#Data],$DE118,97),0)</f>
        <v/>
      </c>
      <c r="CW118">
        <f>IFERROR(INDEX(PP_Grid[#Data],$DE118,98),0)</f>
        <v/>
      </c>
      <c r="CX118">
        <f>IFERROR(INDEX(PP_Grid[#Data],$DE118,99),0)</f>
        <v/>
      </c>
      <c r="CY118">
        <f>IFERROR(INDEX(PP_Grid[#Data],$DE118,100),0)</f>
        <v/>
      </c>
      <c r="CZ118">
        <f>IFERROR(INDEX(PP_Grid[#Data],$DE118,101),0)</f>
        <v/>
      </c>
      <c r="DA118">
        <f>IFERROR(INDEX(PP_Grid[#Data],$DE118,102),0)</f>
        <v/>
      </c>
      <c r="DB118">
        <f>IFERROR(INDEX(PP_Grid[#Data],$DE118,103),0)</f>
        <v/>
      </c>
      <c r="DC118">
        <f>IFERROR(INDEX(PP_Grid[#Data],$DE118,104),0)</f>
        <v/>
      </c>
      <c r="DD118">
        <f>IFERROR(INDEX(PP_Grid[#Data],$DE118,105),0)</f>
        <v/>
      </c>
      <c r="DE118" s="7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SUMIFS(M_BOM[RM_Qty_Per_Batch],M_BOM[Intermediate],$B118,M_BOM[RM_Code],$A25)</f>
        <v/>
      </c>
      <c r="D119">
        <f>IFERROR(INDEX(E119:DD119,$F$1),"")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  <c r="DD119">
        <f>$C119*DD118</f>
        <v/>
      </c>
    </row>
    <row r="120">
      <c r="B120" t="inlineStr">
        <is>
          <t>TPP-701</t>
        </is>
      </c>
      <c r="C120" t="inlineStr">
        <is>
          <t>No. of batches</t>
        </is>
      </c>
      <c r="D120">
        <f>IFERROR(INDEX(E120:DD120,$F$1),"")</f>
        <v/>
      </c>
      <c r="E120">
        <f>IFERROR(INDEX(PP_Grid[#Data],$DE120,2),0)</f>
        <v/>
      </c>
      <c r="F120">
        <f>IFERROR(INDEX(PP_Grid[#Data],$DE120,3),0)</f>
        <v/>
      </c>
      <c r="G120">
        <f>IFERROR(INDEX(PP_Grid[#Data],$DE120,4),0)</f>
        <v/>
      </c>
      <c r="H120">
        <f>IFERROR(INDEX(PP_Grid[#Data],$DE120,5),0)</f>
        <v/>
      </c>
      <c r="I120">
        <f>IFERROR(INDEX(PP_Grid[#Data],$DE120,6),0)</f>
        <v/>
      </c>
      <c r="J120">
        <f>IFERROR(INDEX(PP_Grid[#Data],$DE120,7),0)</f>
        <v/>
      </c>
      <c r="K120">
        <f>IFERROR(INDEX(PP_Grid[#Data],$DE120,8),0)</f>
        <v/>
      </c>
      <c r="L120">
        <f>IFERROR(INDEX(PP_Grid[#Data],$DE120,9),0)</f>
        <v/>
      </c>
      <c r="M120">
        <f>IFERROR(INDEX(PP_Grid[#Data],$DE120,10),0)</f>
        <v/>
      </c>
      <c r="N120">
        <f>IFERROR(INDEX(PP_Grid[#Data],$DE120,11),0)</f>
        <v/>
      </c>
      <c r="O120">
        <f>IFERROR(INDEX(PP_Grid[#Data],$DE120,12),0)</f>
        <v/>
      </c>
      <c r="P120">
        <f>IFERROR(INDEX(PP_Grid[#Data],$DE120,13),0)</f>
        <v/>
      </c>
      <c r="Q120">
        <f>IFERROR(INDEX(PP_Grid[#Data],$DE120,14),0)</f>
        <v/>
      </c>
      <c r="R120">
        <f>IFERROR(INDEX(PP_Grid[#Data],$DE120,15),0)</f>
        <v/>
      </c>
      <c r="S120">
        <f>IFERROR(INDEX(PP_Grid[#Data],$DE120,16),0)</f>
        <v/>
      </c>
      <c r="T120">
        <f>IFERROR(INDEX(PP_Grid[#Data],$DE120,17),0)</f>
        <v/>
      </c>
      <c r="U120">
        <f>IFERROR(INDEX(PP_Grid[#Data],$DE120,18),0)</f>
        <v/>
      </c>
      <c r="V120">
        <f>IFERROR(INDEX(PP_Grid[#Data],$DE120,19),0)</f>
        <v/>
      </c>
      <c r="W120">
        <f>IFERROR(INDEX(PP_Grid[#Data],$DE120,20),0)</f>
        <v/>
      </c>
      <c r="X120">
        <f>IFERROR(INDEX(PP_Grid[#Data],$DE120,21),0)</f>
        <v/>
      </c>
      <c r="Y120">
        <f>IFERROR(INDEX(PP_Grid[#Data],$DE120,22),0)</f>
        <v/>
      </c>
      <c r="Z120">
        <f>IFERROR(INDEX(PP_Grid[#Data],$DE120,23),0)</f>
        <v/>
      </c>
      <c r="AA120">
        <f>IFERROR(INDEX(PP_Grid[#Data],$DE120,24),0)</f>
        <v/>
      </c>
      <c r="AB120">
        <f>IFERROR(INDEX(PP_Grid[#Data],$DE120,25),0)</f>
        <v/>
      </c>
      <c r="AC120">
        <f>IFERROR(INDEX(PP_Grid[#Data],$DE120,26),0)</f>
        <v/>
      </c>
      <c r="AD120">
        <f>IFERROR(INDEX(PP_Grid[#Data],$DE120,27),0)</f>
        <v/>
      </c>
      <c r="AE120">
        <f>IFERROR(INDEX(PP_Grid[#Data],$DE120,28),0)</f>
        <v/>
      </c>
      <c r="AF120">
        <f>IFERROR(INDEX(PP_Grid[#Data],$DE120,29),0)</f>
        <v/>
      </c>
      <c r="AG120">
        <f>IFERROR(INDEX(PP_Grid[#Data],$DE120,30),0)</f>
        <v/>
      </c>
      <c r="AH120">
        <f>IFERROR(INDEX(PP_Grid[#Data],$DE120,31),0)</f>
        <v/>
      </c>
      <c r="AI120">
        <f>IFERROR(INDEX(PP_Grid[#Data],$DE120,32),0)</f>
        <v/>
      </c>
      <c r="AJ120">
        <f>IFERROR(INDEX(PP_Grid[#Data],$DE120,33),0)</f>
        <v/>
      </c>
      <c r="AK120">
        <f>IFERROR(INDEX(PP_Grid[#Data],$DE120,34),0)</f>
        <v/>
      </c>
      <c r="AL120">
        <f>IFERROR(INDEX(PP_Grid[#Data],$DE120,35),0)</f>
        <v/>
      </c>
      <c r="AM120">
        <f>IFERROR(INDEX(PP_Grid[#Data],$DE120,36),0)</f>
        <v/>
      </c>
      <c r="AN120">
        <f>IFERROR(INDEX(PP_Grid[#Data],$DE120,37),0)</f>
        <v/>
      </c>
      <c r="AO120">
        <f>IFERROR(INDEX(PP_Grid[#Data],$DE120,38),0)</f>
        <v/>
      </c>
      <c r="AP120">
        <f>IFERROR(INDEX(PP_Grid[#Data],$DE120,39),0)</f>
        <v/>
      </c>
      <c r="AQ120">
        <f>IFERROR(INDEX(PP_Grid[#Data],$DE120,40),0)</f>
        <v/>
      </c>
      <c r="AR120">
        <f>IFERROR(INDEX(PP_Grid[#Data],$DE120,41),0)</f>
        <v/>
      </c>
      <c r="AS120">
        <f>IFERROR(INDEX(PP_Grid[#Data],$DE120,42),0)</f>
        <v/>
      </c>
      <c r="AT120">
        <f>IFERROR(INDEX(PP_Grid[#Data],$DE120,43),0)</f>
        <v/>
      </c>
      <c r="AU120">
        <f>IFERROR(INDEX(PP_Grid[#Data],$DE120,44),0)</f>
        <v/>
      </c>
      <c r="AV120">
        <f>IFERROR(INDEX(PP_Grid[#Data],$DE120,45),0)</f>
        <v/>
      </c>
      <c r="AW120">
        <f>IFERROR(INDEX(PP_Grid[#Data],$DE120,46),0)</f>
        <v/>
      </c>
      <c r="AX120">
        <f>IFERROR(INDEX(PP_Grid[#Data],$DE120,47),0)</f>
        <v/>
      </c>
      <c r="AY120">
        <f>IFERROR(INDEX(PP_Grid[#Data],$DE120,48),0)</f>
        <v/>
      </c>
      <c r="AZ120">
        <f>IFERROR(INDEX(PP_Grid[#Data],$DE120,49),0)</f>
        <v/>
      </c>
      <c r="BA120">
        <f>IFERROR(INDEX(PP_Grid[#Data],$DE120,50),0)</f>
        <v/>
      </c>
      <c r="BB120">
        <f>IFERROR(INDEX(PP_Grid[#Data],$DE120,51),0)</f>
        <v/>
      </c>
      <c r="BC120">
        <f>IFERROR(INDEX(PP_Grid[#Data],$DE120,52),0)</f>
        <v/>
      </c>
      <c r="BD120">
        <f>IFERROR(INDEX(PP_Grid[#Data],$DE120,53),0)</f>
        <v/>
      </c>
      <c r="BE120">
        <f>IFERROR(INDEX(PP_Grid[#Data],$DE120,54),0)</f>
        <v/>
      </c>
      <c r="BF120">
        <f>IFERROR(INDEX(PP_Grid[#Data],$DE120,55),0)</f>
        <v/>
      </c>
      <c r="BG120">
        <f>IFERROR(INDEX(PP_Grid[#Data],$DE120,56),0)</f>
        <v/>
      </c>
      <c r="BH120">
        <f>IFERROR(INDEX(PP_Grid[#Data],$DE120,57),0)</f>
        <v/>
      </c>
      <c r="BI120">
        <f>IFERROR(INDEX(PP_Grid[#Data],$DE120,58),0)</f>
        <v/>
      </c>
      <c r="BJ120">
        <f>IFERROR(INDEX(PP_Grid[#Data],$DE120,59),0)</f>
        <v/>
      </c>
      <c r="BK120">
        <f>IFERROR(INDEX(PP_Grid[#Data],$DE120,60),0)</f>
        <v/>
      </c>
      <c r="BL120">
        <f>IFERROR(INDEX(PP_Grid[#Data],$DE120,61),0)</f>
        <v/>
      </c>
      <c r="BM120">
        <f>IFERROR(INDEX(PP_Grid[#Data],$DE120,62),0)</f>
        <v/>
      </c>
      <c r="BN120">
        <f>IFERROR(INDEX(PP_Grid[#Data],$DE120,63),0)</f>
        <v/>
      </c>
      <c r="BO120">
        <f>IFERROR(INDEX(PP_Grid[#Data],$DE120,64),0)</f>
        <v/>
      </c>
      <c r="BP120">
        <f>IFERROR(INDEX(PP_Grid[#Data],$DE120,65),0)</f>
        <v/>
      </c>
      <c r="BQ120">
        <f>IFERROR(INDEX(PP_Grid[#Data],$DE120,66),0)</f>
        <v/>
      </c>
      <c r="BR120">
        <f>IFERROR(INDEX(PP_Grid[#Data],$DE120,67),0)</f>
        <v/>
      </c>
      <c r="BS120">
        <f>IFERROR(INDEX(PP_Grid[#Data],$DE120,68),0)</f>
        <v/>
      </c>
      <c r="BT120">
        <f>IFERROR(INDEX(PP_Grid[#Data],$DE120,69),0)</f>
        <v/>
      </c>
      <c r="BU120">
        <f>IFERROR(INDEX(PP_Grid[#Data],$DE120,70),0)</f>
        <v/>
      </c>
      <c r="BV120">
        <f>IFERROR(INDEX(PP_Grid[#Data],$DE120,71),0)</f>
        <v/>
      </c>
      <c r="BW120">
        <f>IFERROR(INDEX(PP_Grid[#Data],$DE120,72),0)</f>
        <v/>
      </c>
      <c r="BX120">
        <f>IFERROR(INDEX(PP_Grid[#Data],$DE120,73),0)</f>
        <v/>
      </c>
      <c r="BY120">
        <f>IFERROR(INDEX(PP_Grid[#Data],$DE120,74),0)</f>
        <v/>
      </c>
      <c r="BZ120">
        <f>IFERROR(INDEX(PP_Grid[#Data],$DE120,75),0)</f>
        <v/>
      </c>
      <c r="CA120">
        <f>IFERROR(INDEX(PP_Grid[#Data],$DE120,76),0)</f>
        <v/>
      </c>
      <c r="CB120">
        <f>IFERROR(INDEX(PP_Grid[#Data],$DE120,77),0)</f>
        <v/>
      </c>
      <c r="CC120">
        <f>IFERROR(INDEX(PP_Grid[#Data],$DE120,78),0)</f>
        <v/>
      </c>
      <c r="CD120">
        <f>IFERROR(INDEX(PP_Grid[#Data],$DE120,79),0)</f>
        <v/>
      </c>
      <c r="CE120">
        <f>IFERROR(INDEX(PP_Grid[#Data],$DE120,80),0)</f>
        <v/>
      </c>
      <c r="CF120">
        <f>IFERROR(INDEX(PP_Grid[#Data],$DE120,81),0)</f>
        <v/>
      </c>
      <c r="CG120">
        <f>IFERROR(INDEX(PP_Grid[#Data],$DE120,82),0)</f>
        <v/>
      </c>
      <c r="CH120">
        <f>IFERROR(INDEX(PP_Grid[#Data],$DE120,83),0)</f>
        <v/>
      </c>
      <c r="CI120">
        <f>IFERROR(INDEX(PP_Grid[#Data],$DE120,84),0)</f>
        <v/>
      </c>
      <c r="CJ120">
        <f>IFERROR(INDEX(PP_Grid[#Data],$DE120,85),0)</f>
        <v/>
      </c>
      <c r="CK120">
        <f>IFERROR(INDEX(PP_Grid[#Data],$DE120,86),0)</f>
        <v/>
      </c>
      <c r="CL120">
        <f>IFERROR(INDEX(PP_Grid[#Data],$DE120,87),0)</f>
        <v/>
      </c>
      <c r="CM120">
        <f>IFERROR(INDEX(PP_Grid[#Data],$DE120,88),0)</f>
        <v/>
      </c>
      <c r="CN120">
        <f>IFERROR(INDEX(PP_Grid[#Data],$DE120,89),0)</f>
        <v/>
      </c>
      <c r="CO120">
        <f>IFERROR(INDEX(PP_Grid[#Data],$DE120,90),0)</f>
        <v/>
      </c>
      <c r="CP120">
        <f>IFERROR(INDEX(PP_Grid[#Data],$DE120,91),0)</f>
        <v/>
      </c>
      <c r="CQ120">
        <f>IFERROR(INDEX(PP_Grid[#Data],$DE120,92),0)</f>
        <v/>
      </c>
      <c r="CR120">
        <f>IFERROR(INDEX(PP_Grid[#Data],$DE120,93),0)</f>
        <v/>
      </c>
      <c r="CS120">
        <f>IFERROR(INDEX(PP_Grid[#Data],$DE120,94),0)</f>
        <v/>
      </c>
      <c r="CT120">
        <f>IFERROR(INDEX(PP_Grid[#Data],$DE120,95),0)</f>
        <v/>
      </c>
      <c r="CU120">
        <f>IFERROR(INDEX(PP_Grid[#Data],$DE120,96),0)</f>
        <v/>
      </c>
      <c r="CV120">
        <f>IFERROR(INDEX(PP_Grid[#Data],$DE120,97),0)</f>
        <v/>
      </c>
      <c r="CW120">
        <f>IFERROR(INDEX(PP_Grid[#Data],$DE120,98),0)</f>
        <v/>
      </c>
      <c r="CX120">
        <f>IFERROR(INDEX(PP_Grid[#Data],$DE120,99),0)</f>
        <v/>
      </c>
      <c r="CY120">
        <f>IFERROR(INDEX(PP_Grid[#Data],$DE120,100),0)</f>
        <v/>
      </c>
      <c r="CZ120">
        <f>IFERROR(INDEX(PP_Grid[#Data],$DE120,101),0)</f>
        <v/>
      </c>
      <c r="DA120">
        <f>IFERROR(INDEX(PP_Grid[#Data],$DE120,102),0)</f>
        <v/>
      </c>
      <c r="DB120">
        <f>IFERROR(INDEX(PP_Grid[#Data],$DE120,103),0)</f>
        <v/>
      </c>
      <c r="DC120">
        <f>IFERROR(INDEX(PP_Grid[#Data],$DE120,104),0)</f>
        <v/>
      </c>
      <c r="DD120">
        <f>IFERROR(INDEX(PP_Grid[#Data],$DE120,105),0)</f>
        <v/>
      </c>
      <c r="DE120" s="7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SUMIFS(M_BOM[RM_Qty_Per_Batch],M_BOM[Intermediate],$B120,M_BOM[RM_Code],$A25)</f>
        <v/>
      </c>
      <c r="D121">
        <f>IFERROR(INDEX(E121:DD121,$F$1),"")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  <c r="DD121">
        <f>$C121*DD120</f>
        <v/>
      </c>
    </row>
    <row r="122">
      <c r="B122" t="inlineStr">
        <is>
          <t>TPP-700</t>
        </is>
      </c>
      <c r="C122" t="inlineStr">
        <is>
          <t>No. of batches</t>
        </is>
      </c>
      <c r="D122">
        <f>IFERROR(INDEX(E122:DD122,$F$1),"")</f>
        <v/>
      </c>
      <c r="E122">
        <f>IFERROR(INDEX(PP_Grid[#Data],$DE122,2),0)</f>
        <v/>
      </c>
      <c r="F122">
        <f>IFERROR(INDEX(PP_Grid[#Data],$DE122,3),0)</f>
        <v/>
      </c>
      <c r="G122">
        <f>IFERROR(INDEX(PP_Grid[#Data],$DE122,4),0)</f>
        <v/>
      </c>
      <c r="H122">
        <f>IFERROR(INDEX(PP_Grid[#Data],$DE122,5),0)</f>
        <v/>
      </c>
      <c r="I122">
        <f>IFERROR(INDEX(PP_Grid[#Data],$DE122,6),0)</f>
        <v/>
      </c>
      <c r="J122">
        <f>IFERROR(INDEX(PP_Grid[#Data],$DE122,7),0)</f>
        <v/>
      </c>
      <c r="K122">
        <f>IFERROR(INDEX(PP_Grid[#Data],$DE122,8),0)</f>
        <v/>
      </c>
      <c r="L122">
        <f>IFERROR(INDEX(PP_Grid[#Data],$DE122,9),0)</f>
        <v/>
      </c>
      <c r="M122">
        <f>IFERROR(INDEX(PP_Grid[#Data],$DE122,10),0)</f>
        <v/>
      </c>
      <c r="N122">
        <f>IFERROR(INDEX(PP_Grid[#Data],$DE122,11),0)</f>
        <v/>
      </c>
      <c r="O122">
        <f>IFERROR(INDEX(PP_Grid[#Data],$DE122,12),0)</f>
        <v/>
      </c>
      <c r="P122">
        <f>IFERROR(INDEX(PP_Grid[#Data],$DE122,13),0)</f>
        <v/>
      </c>
      <c r="Q122">
        <f>IFERROR(INDEX(PP_Grid[#Data],$DE122,14),0)</f>
        <v/>
      </c>
      <c r="R122">
        <f>IFERROR(INDEX(PP_Grid[#Data],$DE122,15),0)</f>
        <v/>
      </c>
      <c r="S122">
        <f>IFERROR(INDEX(PP_Grid[#Data],$DE122,16),0)</f>
        <v/>
      </c>
      <c r="T122">
        <f>IFERROR(INDEX(PP_Grid[#Data],$DE122,17),0)</f>
        <v/>
      </c>
      <c r="U122">
        <f>IFERROR(INDEX(PP_Grid[#Data],$DE122,18),0)</f>
        <v/>
      </c>
      <c r="V122">
        <f>IFERROR(INDEX(PP_Grid[#Data],$DE122,19),0)</f>
        <v/>
      </c>
      <c r="W122">
        <f>IFERROR(INDEX(PP_Grid[#Data],$DE122,20),0)</f>
        <v/>
      </c>
      <c r="X122">
        <f>IFERROR(INDEX(PP_Grid[#Data],$DE122,21),0)</f>
        <v/>
      </c>
      <c r="Y122">
        <f>IFERROR(INDEX(PP_Grid[#Data],$DE122,22),0)</f>
        <v/>
      </c>
      <c r="Z122">
        <f>IFERROR(INDEX(PP_Grid[#Data],$DE122,23),0)</f>
        <v/>
      </c>
      <c r="AA122">
        <f>IFERROR(INDEX(PP_Grid[#Data],$DE122,24),0)</f>
        <v/>
      </c>
      <c r="AB122">
        <f>IFERROR(INDEX(PP_Grid[#Data],$DE122,25),0)</f>
        <v/>
      </c>
      <c r="AC122">
        <f>IFERROR(INDEX(PP_Grid[#Data],$DE122,26),0)</f>
        <v/>
      </c>
      <c r="AD122">
        <f>IFERROR(INDEX(PP_Grid[#Data],$DE122,27),0)</f>
        <v/>
      </c>
      <c r="AE122">
        <f>IFERROR(INDEX(PP_Grid[#Data],$DE122,28),0)</f>
        <v/>
      </c>
      <c r="AF122">
        <f>IFERROR(INDEX(PP_Grid[#Data],$DE122,29),0)</f>
        <v/>
      </c>
      <c r="AG122">
        <f>IFERROR(INDEX(PP_Grid[#Data],$DE122,30),0)</f>
        <v/>
      </c>
      <c r="AH122">
        <f>IFERROR(INDEX(PP_Grid[#Data],$DE122,31),0)</f>
        <v/>
      </c>
      <c r="AI122">
        <f>IFERROR(INDEX(PP_Grid[#Data],$DE122,32),0)</f>
        <v/>
      </c>
      <c r="AJ122">
        <f>IFERROR(INDEX(PP_Grid[#Data],$DE122,33),0)</f>
        <v/>
      </c>
      <c r="AK122">
        <f>IFERROR(INDEX(PP_Grid[#Data],$DE122,34),0)</f>
        <v/>
      </c>
      <c r="AL122">
        <f>IFERROR(INDEX(PP_Grid[#Data],$DE122,35),0)</f>
        <v/>
      </c>
      <c r="AM122">
        <f>IFERROR(INDEX(PP_Grid[#Data],$DE122,36),0)</f>
        <v/>
      </c>
      <c r="AN122">
        <f>IFERROR(INDEX(PP_Grid[#Data],$DE122,37),0)</f>
        <v/>
      </c>
      <c r="AO122">
        <f>IFERROR(INDEX(PP_Grid[#Data],$DE122,38),0)</f>
        <v/>
      </c>
      <c r="AP122">
        <f>IFERROR(INDEX(PP_Grid[#Data],$DE122,39),0)</f>
        <v/>
      </c>
      <c r="AQ122">
        <f>IFERROR(INDEX(PP_Grid[#Data],$DE122,40),0)</f>
        <v/>
      </c>
      <c r="AR122">
        <f>IFERROR(INDEX(PP_Grid[#Data],$DE122,41),0)</f>
        <v/>
      </c>
      <c r="AS122">
        <f>IFERROR(INDEX(PP_Grid[#Data],$DE122,42),0)</f>
        <v/>
      </c>
      <c r="AT122">
        <f>IFERROR(INDEX(PP_Grid[#Data],$DE122,43),0)</f>
        <v/>
      </c>
      <c r="AU122">
        <f>IFERROR(INDEX(PP_Grid[#Data],$DE122,44),0)</f>
        <v/>
      </c>
      <c r="AV122">
        <f>IFERROR(INDEX(PP_Grid[#Data],$DE122,45),0)</f>
        <v/>
      </c>
      <c r="AW122">
        <f>IFERROR(INDEX(PP_Grid[#Data],$DE122,46),0)</f>
        <v/>
      </c>
      <c r="AX122">
        <f>IFERROR(INDEX(PP_Grid[#Data],$DE122,47),0)</f>
        <v/>
      </c>
      <c r="AY122">
        <f>IFERROR(INDEX(PP_Grid[#Data],$DE122,48),0)</f>
        <v/>
      </c>
      <c r="AZ122">
        <f>IFERROR(INDEX(PP_Grid[#Data],$DE122,49),0)</f>
        <v/>
      </c>
      <c r="BA122">
        <f>IFERROR(INDEX(PP_Grid[#Data],$DE122,50),0)</f>
        <v/>
      </c>
      <c r="BB122">
        <f>IFERROR(INDEX(PP_Grid[#Data],$DE122,51),0)</f>
        <v/>
      </c>
      <c r="BC122">
        <f>IFERROR(INDEX(PP_Grid[#Data],$DE122,52),0)</f>
        <v/>
      </c>
      <c r="BD122">
        <f>IFERROR(INDEX(PP_Grid[#Data],$DE122,53),0)</f>
        <v/>
      </c>
      <c r="BE122">
        <f>IFERROR(INDEX(PP_Grid[#Data],$DE122,54),0)</f>
        <v/>
      </c>
      <c r="BF122">
        <f>IFERROR(INDEX(PP_Grid[#Data],$DE122,55),0)</f>
        <v/>
      </c>
      <c r="BG122">
        <f>IFERROR(INDEX(PP_Grid[#Data],$DE122,56),0)</f>
        <v/>
      </c>
      <c r="BH122">
        <f>IFERROR(INDEX(PP_Grid[#Data],$DE122,57),0)</f>
        <v/>
      </c>
      <c r="BI122">
        <f>IFERROR(INDEX(PP_Grid[#Data],$DE122,58),0)</f>
        <v/>
      </c>
      <c r="BJ122">
        <f>IFERROR(INDEX(PP_Grid[#Data],$DE122,59),0)</f>
        <v/>
      </c>
      <c r="BK122">
        <f>IFERROR(INDEX(PP_Grid[#Data],$DE122,60),0)</f>
        <v/>
      </c>
      <c r="BL122">
        <f>IFERROR(INDEX(PP_Grid[#Data],$DE122,61),0)</f>
        <v/>
      </c>
      <c r="BM122">
        <f>IFERROR(INDEX(PP_Grid[#Data],$DE122,62),0)</f>
        <v/>
      </c>
      <c r="BN122">
        <f>IFERROR(INDEX(PP_Grid[#Data],$DE122,63),0)</f>
        <v/>
      </c>
      <c r="BO122">
        <f>IFERROR(INDEX(PP_Grid[#Data],$DE122,64),0)</f>
        <v/>
      </c>
      <c r="BP122">
        <f>IFERROR(INDEX(PP_Grid[#Data],$DE122,65),0)</f>
        <v/>
      </c>
      <c r="BQ122">
        <f>IFERROR(INDEX(PP_Grid[#Data],$DE122,66),0)</f>
        <v/>
      </c>
      <c r="BR122">
        <f>IFERROR(INDEX(PP_Grid[#Data],$DE122,67),0)</f>
        <v/>
      </c>
      <c r="BS122">
        <f>IFERROR(INDEX(PP_Grid[#Data],$DE122,68),0)</f>
        <v/>
      </c>
      <c r="BT122">
        <f>IFERROR(INDEX(PP_Grid[#Data],$DE122,69),0)</f>
        <v/>
      </c>
      <c r="BU122">
        <f>IFERROR(INDEX(PP_Grid[#Data],$DE122,70),0)</f>
        <v/>
      </c>
      <c r="BV122">
        <f>IFERROR(INDEX(PP_Grid[#Data],$DE122,71),0)</f>
        <v/>
      </c>
      <c r="BW122">
        <f>IFERROR(INDEX(PP_Grid[#Data],$DE122,72),0)</f>
        <v/>
      </c>
      <c r="BX122">
        <f>IFERROR(INDEX(PP_Grid[#Data],$DE122,73),0)</f>
        <v/>
      </c>
      <c r="BY122">
        <f>IFERROR(INDEX(PP_Grid[#Data],$DE122,74),0)</f>
        <v/>
      </c>
      <c r="BZ122">
        <f>IFERROR(INDEX(PP_Grid[#Data],$DE122,75),0)</f>
        <v/>
      </c>
      <c r="CA122">
        <f>IFERROR(INDEX(PP_Grid[#Data],$DE122,76),0)</f>
        <v/>
      </c>
      <c r="CB122">
        <f>IFERROR(INDEX(PP_Grid[#Data],$DE122,77),0)</f>
        <v/>
      </c>
      <c r="CC122">
        <f>IFERROR(INDEX(PP_Grid[#Data],$DE122,78),0)</f>
        <v/>
      </c>
      <c r="CD122">
        <f>IFERROR(INDEX(PP_Grid[#Data],$DE122,79),0)</f>
        <v/>
      </c>
      <c r="CE122">
        <f>IFERROR(INDEX(PP_Grid[#Data],$DE122,80),0)</f>
        <v/>
      </c>
      <c r="CF122">
        <f>IFERROR(INDEX(PP_Grid[#Data],$DE122,81),0)</f>
        <v/>
      </c>
      <c r="CG122">
        <f>IFERROR(INDEX(PP_Grid[#Data],$DE122,82),0)</f>
        <v/>
      </c>
      <c r="CH122">
        <f>IFERROR(INDEX(PP_Grid[#Data],$DE122,83),0)</f>
        <v/>
      </c>
      <c r="CI122">
        <f>IFERROR(INDEX(PP_Grid[#Data],$DE122,84),0)</f>
        <v/>
      </c>
      <c r="CJ122">
        <f>IFERROR(INDEX(PP_Grid[#Data],$DE122,85),0)</f>
        <v/>
      </c>
      <c r="CK122">
        <f>IFERROR(INDEX(PP_Grid[#Data],$DE122,86),0)</f>
        <v/>
      </c>
      <c r="CL122">
        <f>IFERROR(INDEX(PP_Grid[#Data],$DE122,87),0)</f>
        <v/>
      </c>
      <c r="CM122">
        <f>IFERROR(INDEX(PP_Grid[#Data],$DE122,88),0)</f>
        <v/>
      </c>
      <c r="CN122">
        <f>IFERROR(INDEX(PP_Grid[#Data],$DE122,89),0)</f>
        <v/>
      </c>
      <c r="CO122">
        <f>IFERROR(INDEX(PP_Grid[#Data],$DE122,90),0)</f>
        <v/>
      </c>
      <c r="CP122">
        <f>IFERROR(INDEX(PP_Grid[#Data],$DE122,91),0)</f>
        <v/>
      </c>
      <c r="CQ122">
        <f>IFERROR(INDEX(PP_Grid[#Data],$DE122,92),0)</f>
        <v/>
      </c>
      <c r="CR122">
        <f>IFERROR(INDEX(PP_Grid[#Data],$DE122,93),0)</f>
        <v/>
      </c>
      <c r="CS122">
        <f>IFERROR(INDEX(PP_Grid[#Data],$DE122,94),0)</f>
        <v/>
      </c>
      <c r="CT122">
        <f>IFERROR(INDEX(PP_Grid[#Data],$DE122,95),0)</f>
        <v/>
      </c>
      <c r="CU122">
        <f>IFERROR(INDEX(PP_Grid[#Data],$DE122,96),0)</f>
        <v/>
      </c>
      <c r="CV122">
        <f>IFERROR(INDEX(PP_Grid[#Data],$DE122,97),0)</f>
        <v/>
      </c>
      <c r="CW122">
        <f>IFERROR(INDEX(PP_Grid[#Data],$DE122,98),0)</f>
        <v/>
      </c>
      <c r="CX122">
        <f>IFERROR(INDEX(PP_Grid[#Data],$DE122,99),0)</f>
        <v/>
      </c>
      <c r="CY122">
        <f>IFERROR(INDEX(PP_Grid[#Data],$DE122,100),0)</f>
        <v/>
      </c>
      <c r="CZ122">
        <f>IFERROR(INDEX(PP_Grid[#Data],$DE122,101),0)</f>
        <v/>
      </c>
      <c r="DA122">
        <f>IFERROR(INDEX(PP_Grid[#Data],$DE122,102),0)</f>
        <v/>
      </c>
      <c r="DB122">
        <f>IFERROR(INDEX(PP_Grid[#Data],$DE122,103),0)</f>
        <v/>
      </c>
      <c r="DC122">
        <f>IFERROR(INDEX(PP_Grid[#Data],$DE122,104),0)</f>
        <v/>
      </c>
      <c r="DD122">
        <f>IFERROR(INDEX(PP_Grid[#Data],$DE122,105),0)</f>
        <v/>
      </c>
      <c r="DE122" s="7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SUMIFS(M_BOM[RM_Qty_Per_Batch],M_BOM[Intermediate],$B122,M_BOM[RM_Code],$A25)</f>
        <v/>
      </c>
      <c r="D123">
        <f>IFERROR(INDEX(E123:DD123,$F$1),"")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  <c r="DD123">
        <f>$C123*DD122</f>
        <v/>
      </c>
    </row>
    <row r="124">
      <c r="B124" t="inlineStr">
        <is>
          <t>TPP-704</t>
        </is>
      </c>
      <c r="C124" t="inlineStr">
        <is>
          <t>No. of batches</t>
        </is>
      </c>
      <c r="D124">
        <f>IFERROR(INDEX(E124:DD124,$F$1),"")</f>
        <v/>
      </c>
      <c r="E124">
        <f>IFERROR(INDEX(PP_Grid[#Data],$DE124,2),0)</f>
        <v/>
      </c>
      <c r="F124">
        <f>IFERROR(INDEX(PP_Grid[#Data],$DE124,3),0)</f>
        <v/>
      </c>
      <c r="G124">
        <f>IFERROR(INDEX(PP_Grid[#Data],$DE124,4),0)</f>
        <v/>
      </c>
      <c r="H124">
        <f>IFERROR(INDEX(PP_Grid[#Data],$DE124,5),0)</f>
        <v/>
      </c>
      <c r="I124">
        <f>IFERROR(INDEX(PP_Grid[#Data],$DE124,6),0)</f>
        <v/>
      </c>
      <c r="J124">
        <f>IFERROR(INDEX(PP_Grid[#Data],$DE124,7),0)</f>
        <v/>
      </c>
      <c r="K124">
        <f>IFERROR(INDEX(PP_Grid[#Data],$DE124,8),0)</f>
        <v/>
      </c>
      <c r="L124">
        <f>IFERROR(INDEX(PP_Grid[#Data],$DE124,9),0)</f>
        <v/>
      </c>
      <c r="M124">
        <f>IFERROR(INDEX(PP_Grid[#Data],$DE124,10),0)</f>
        <v/>
      </c>
      <c r="N124">
        <f>IFERROR(INDEX(PP_Grid[#Data],$DE124,11),0)</f>
        <v/>
      </c>
      <c r="O124">
        <f>IFERROR(INDEX(PP_Grid[#Data],$DE124,12),0)</f>
        <v/>
      </c>
      <c r="P124">
        <f>IFERROR(INDEX(PP_Grid[#Data],$DE124,13),0)</f>
        <v/>
      </c>
      <c r="Q124">
        <f>IFERROR(INDEX(PP_Grid[#Data],$DE124,14),0)</f>
        <v/>
      </c>
      <c r="R124">
        <f>IFERROR(INDEX(PP_Grid[#Data],$DE124,15),0)</f>
        <v/>
      </c>
      <c r="S124">
        <f>IFERROR(INDEX(PP_Grid[#Data],$DE124,16),0)</f>
        <v/>
      </c>
      <c r="T124">
        <f>IFERROR(INDEX(PP_Grid[#Data],$DE124,17),0)</f>
        <v/>
      </c>
      <c r="U124">
        <f>IFERROR(INDEX(PP_Grid[#Data],$DE124,18),0)</f>
        <v/>
      </c>
      <c r="V124">
        <f>IFERROR(INDEX(PP_Grid[#Data],$DE124,19),0)</f>
        <v/>
      </c>
      <c r="W124">
        <f>IFERROR(INDEX(PP_Grid[#Data],$DE124,20),0)</f>
        <v/>
      </c>
      <c r="X124">
        <f>IFERROR(INDEX(PP_Grid[#Data],$DE124,21),0)</f>
        <v/>
      </c>
      <c r="Y124">
        <f>IFERROR(INDEX(PP_Grid[#Data],$DE124,22),0)</f>
        <v/>
      </c>
      <c r="Z124">
        <f>IFERROR(INDEX(PP_Grid[#Data],$DE124,23),0)</f>
        <v/>
      </c>
      <c r="AA124">
        <f>IFERROR(INDEX(PP_Grid[#Data],$DE124,24),0)</f>
        <v/>
      </c>
      <c r="AB124">
        <f>IFERROR(INDEX(PP_Grid[#Data],$DE124,25),0)</f>
        <v/>
      </c>
      <c r="AC124">
        <f>IFERROR(INDEX(PP_Grid[#Data],$DE124,26),0)</f>
        <v/>
      </c>
      <c r="AD124">
        <f>IFERROR(INDEX(PP_Grid[#Data],$DE124,27),0)</f>
        <v/>
      </c>
      <c r="AE124">
        <f>IFERROR(INDEX(PP_Grid[#Data],$DE124,28),0)</f>
        <v/>
      </c>
      <c r="AF124">
        <f>IFERROR(INDEX(PP_Grid[#Data],$DE124,29),0)</f>
        <v/>
      </c>
      <c r="AG124">
        <f>IFERROR(INDEX(PP_Grid[#Data],$DE124,30),0)</f>
        <v/>
      </c>
      <c r="AH124">
        <f>IFERROR(INDEX(PP_Grid[#Data],$DE124,31),0)</f>
        <v/>
      </c>
      <c r="AI124">
        <f>IFERROR(INDEX(PP_Grid[#Data],$DE124,32),0)</f>
        <v/>
      </c>
      <c r="AJ124">
        <f>IFERROR(INDEX(PP_Grid[#Data],$DE124,33),0)</f>
        <v/>
      </c>
      <c r="AK124">
        <f>IFERROR(INDEX(PP_Grid[#Data],$DE124,34),0)</f>
        <v/>
      </c>
      <c r="AL124">
        <f>IFERROR(INDEX(PP_Grid[#Data],$DE124,35),0)</f>
        <v/>
      </c>
      <c r="AM124">
        <f>IFERROR(INDEX(PP_Grid[#Data],$DE124,36),0)</f>
        <v/>
      </c>
      <c r="AN124">
        <f>IFERROR(INDEX(PP_Grid[#Data],$DE124,37),0)</f>
        <v/>
      </c>
      <c r="AO124">
        <f>IFERROR(INDEX(PP_Grid[#Data],$DE124,38),0)</f>
        <v/>
      </c>
      <c r="AP124">
        <f>IFERROR(INDEX(PP_Grid[#Data],$DE124,39),0)</f>
        <v/>
      </c>
      <c r="AQ124">
        <f>IFERROR(INDEX(PP_Grid[#Data],$DE124,40),0)</f>
        <v/>
      </c>
      <c r="AR124">
        <f>IFERROR(INDEX(PP_Grid[#Data],$DE124,41),0)</f>
        <v/>
      </c>
      <c r="AS124">
        <f>IFERROR(INDEX(PP_Grid[#Data],$DE124,42),0)</f>
        <v/>
      </c>
      <c r="AT124">
        <f>IFERROR(INDEX(PP_Grid[#Data],$DE124,43),0)</f>
        <v/>
      </c>
      <c r="AU124">
        <f>IFERROR(INDEX(PP_Grid[#Data],$DE124,44),0)</f>
        <v/>
      </c>
      <c r="AV124">
        <f>IFERROR(INDEX(PP_Grid[#Data],$DE124,45),0)</f>
        <v/>
      </c>
      <c r="AW124">
        <f>IFERROR(INDEX(PP_Grid[#Data],$DE124,46),0)</f>
        <v/>
      </c>
      <c r="AX124">
        <f>IFERROR(INDEX(PP_Grid[#Data],$DE124,47),0)</f>
        <v/>
      </c>
      <c r="AY124">
        <f>IFERROR(INDEX(PP_Grid[#Data],$DE124,48),0)</f>
        <v/>
      </c>
      <c r="AZ124">
        <f>IFERROR(INDEX(PP_Grid[#Data],$DE124,49),0)</f>
        <v/>
      </c>
      <c r="BA124">
        <f>IFERROR(INDEX(PP_Grid[#Data],$DE124,50),0)</f>
        <v/>
      </c>
      <c r="BB124">
        <f>IFERROR(INDEX(PP_Grid[#Data],$DE124,51),0)</f>
        <v/>
      </c>
      <c r="BC124">
        <f>IFERROR(INDEX(PP_Grid[#Data],$DE124,52),0)</f>
        <v/>
      </c>
      <c r="BD124">
        <f>IFERROR(INDEX(PP_Grid[#Data],$DE124,53),0)</f>
        <v/>
      </c>
      <c r="BE124">
        <f>IFERROR(INDEX(PP_Grid[#Data],$DE124,54),0)</f>
        <v/>
      </c>
      <c r="BF124">
        <f>IFERROR(INDEX(PP_Grid[#Data],$DE124,55),0)</f>
        <v/>
      </c>
      <c r="BG124">
        <f>IFERROR(INDEX(PP_Grid[#Data],$DE124,56),0)</f>
        <v/>
      </c>
      <c r="BH124">
        <f>IFERROR(INDEX(PP_Grid[#Data],$DE124,57),0)</f>
        <v/>
      </c>
      <c r="BI124">
        <f>IFERROR(INDEX(PP_Grid[#Data],$DE124,58),0)</f>
        <v/>
      </c>
      <c r="BJ124">
        <f>IFERROR(INDEX(PP_Grid[#Data],$DE124,59),0)</f>
        <v/>
      </c>
      <c r="BK124">
        <f>IFERROR(INDEX(PP_Grid[#Data],$DE124,60),0)</f>
        <v/>
      </c>
      <c r="BL124">
        <f>IFERROR(INDEX(PP_Grid[#Data],$DE124,61),0)</f>
        <v/>
      </c>
      <c r="BM124">
        <f>IFERROR(INDEX(PP_Grid[#Data],$DE124,62),0)</f>
        <v/>
      </c>
      <c r="BN124">
        <f>IFERROR(INDEX(PP_Grid[#Data],$DE124,63),0)</f>
        <v/>
      </c>
      <c r="BO124">
        <f>IFERROR(INDEX(PP_Grid[#Data],$DE124,64),0)</f>
        <v/>
      </c>
      <c r="BP124">
        <f>IFERROR(INDEX(PP_Grid[#Data],$DE124,65),0)</f>
        <v/>
      </c>
      <c r="BQ124">
        <f>IFERROR(INDEX(PP_Grid[#Data],$DE124,66),0)</f>
        <v/>
      </c>
      <c r="BR124">
        <f>IFERROR(INDEX(PP_Grid[#Data],$DE124,67),0)</f>
        <v/>
      </c>
      <c r="BS124">
        <f>IFERROR(INDEX(PP_Grid[#Data],$DE124,68),0)</f>
        <v/>
      </c>
      <c r="BT124">
        <f>IFERROR(INDEX(PP_Grid[#Data],$DE124,69),0)</f>
        <v/>
      </c>
      <c r="BU124">
        <f>IFERROR(INDEX(PP_Grid[#Data],$DE124,70),0)</f>
        <v/>
      </c>
      <c r="BV124">
        <f>IFERROR(INDEX(PP_Grid[#Data],$DE124,71),0)</f>
        <v/>
      </c>
      <c r="BW124">
        <f>IFERROR(INDEX(PP_Grid[#Data],$DE124,72),0)</f>
        <v/>
      </c>
      <c r="BX124">
        <f>IFERROR(INDEX(PP_Grid[#Data],$DE124,73),0)</f>
        <v/>
      </c>
      <c r="BY124">
        <f>IFERROR(INDEX(PP_Grid[#Data],$DE124,74),0)</f>
        <v/>
      </c>
      <c r="BZ124">
        <f>IFERROR(INDEX(PP_Grid[#Data],$DE124,75),0)</f>
        <v/>
      </c>
      <c r="CA124">
        <f>IFERROR(INDEX(PP_Grid[#Data],$DE124,76),0)</f>
        <v/>
      </c>
      <c r="CB124">
        <f>IFERROR(INDEX(PP_Grid[#Data],$DE124,77),0)</f>
        <v/>
      </c>
      <c r="CC124">
        <f>IFERROR(INDEX(PP_Grid[#Data],$DE124,78),0)</f>
        <v/>
      </c>
      <c r="CD124">
        <f>IFERROR(INDEX(PP_Grid[#Data],$DE124,79),0)</f>
        <v/>
      </c>
      <c r="CE124">
        <f>IFERROR(INDEX(PP_Grid[#Data],$DE124,80),0)</f>
        <v/>
      </c>
      <c r="CF124">
        <f>IFERROR(INDEX(PP_Grid[#Data],$DE124,81),0)</f>
        <v/>
      </c>
      <c r="CG124">
        <f>IFERROR(INDEX(PP_Grid[#Data],$DE124,82),0)</f>
        <v/>
      </c>
      <c r="CH124">
        <f>IFERROR(INDEX(PP_Grid[#Data],$DE124,83),0)</f>
        <v/>
      </c>
      <c r="CI124">
        <f>IFERROR(INDEX(PP_Grid[#Data],$DE124,84),0)</f>
        <v/>
      </c>
      <c r="CJ124">
        <f>IFERROR(INDEX(PP_Grid[#Data],$DE124,85),0)</f>
        <v/>
      </c>
      <c r="CK124">
        <f>IFERROR(INDEX(PP_Grid[#Data],$DE124,86),0)</f>
        <v/>
      </c>
      <c r="CL124">
        <f>IFERROR(INDEX(PP_Grid[#Data],$DE124,87),0)</f>
        <v/>
      </c>
      <c r="CM124">
        <f>IFERROR(INDEX(PP_Grid[#Data],$DE124,88),0)</f>
        <v/>
      </c>
      <c r="CN124">
        <f>IFERROR(INDEX(PP_Grid[#Data],$DE124,89),0)</f>
        <v/>
      </c>
      <c r="CO124">
        <f>IFERROR(INDEX(PP_Grid[#Data],$DE124,90),0)</f>
        <v/>
      </c>
      <c r="CP124">
        <f>IFERROR(INDEX(PP_Grid[#Data],$DE124,91),0)</f>
        <v/>
      </c>
      <c r="CQ124">
        <f>IFERROR(INDEX(PP_Grid[#Data],$DE124,92),0)</f>
        <v/>
      </c>
      <c r="CR124">
        <f>IFERROR(INDEX(PP_Grid[#Data],$DE124,93),0)</f>
        <v/>
      </c>
      <c r="CS124">
        <f>IFERROR(INDEX(PP_Grid[#Data],$DE124,94),0)</f>
        <v/>
      </c>
      <c r="CT124">
        <f>IFERROR(INDEX(PP_Grid[#Data],$DE124,95),0)</f>
        <v/>
      </c>
      <c r="CU124">
        <f>IFERROR(INDEX(PP_Grid[#Data],$DE124,96),0)</f>
        <v/>
      </c>
      <c r="CV124">
        <f>IFERROR(INDEX(PP_Grid[#Data],$DE124,97),0)</f>
        <v/>
      </c>
      <c r="CW124">
        <f>IFERROR(INDEX(PP_Grid[#Data],$DE124,98),0)</f>
        <v/>
      </c>
      <c r="CX124">
        <f>IFERROR(INDEX(PP_Grid[#Data],$DE124,99),0)</f>
        <v/>
      </c>
      <c r="CY124">
        <f>IFERROR(INDEX(PP_Grid[#Data],$DE124,100),0)</f>
        <v/>
      </c>
      <c r="CZ124">
        <f>IFERROR(INDEX(PP_Grid[#Data],$DE124,101),0)</f>
        <v/>
      </c>
      <c r="DA124">
        <f>IFERROR(INDEX(PP_Grid[#Data],$DE124,102),0)</f>
        <v/>
      </c>
      <c r="DB124">
        <f>IFERROR(INDEX(PP_Grid[#Data],$DE124,103),0)</f>
        <v/>
      </c>
      <c r="DC124">
        <f>IFERROR(INDEX(PP_Grid[#Data],$DE124,104),0)</f>
        <v/>
      </c>
      <c r="DD124">
        <f>IFERROR(INDEX(PP_Grid[#Data],$DE124,105),0)</f>
        <v/>
      </c>
      <c r="DE124" s="7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SUMIFS(M_BOM[RM_Qty_Per_Batch],M_BOM[Intermediate],$B124,M_BOM[RM_Code],$A25)</f>
        <v/>
      </c>
      <c r="D125">
        <f>IFERROR(INDEX(E125:DD125,$F$1),"")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  <c r="DD125">
        <f>$C125*DD124</f>
        <v/>
      </c>
    </row>
    <row r="126">
      <c r="B126" t="inlineStr">
        <is>
          <t>TPP-699</t>
        </is>
      </c>
      <c r="C126" t="inlineStr">
        <is>
          <t>No. of batches</t>
        </is>
      </c>
      <c r="D126">
        <f>IFERROR(INDEX(E126:DD126,$F$1),"")</f>
        <v/>
      </c>
      <c r="E126">
        <f>IFERROR(INDEX(PP_Grid[#Data],$DE126,2),0)</f>
        <v/>
      </c>
      <c r="F126">
        <f>IFERROR(INDEX(PP_Grid[#Data],$DE126,3),0)</f>
        <v/>
      </c>
      <c r="G126">
        <f>IFERROR(INDEX(PP_Grid[#Data],$DE126,4),0)</f>
        <v/>
      </c>
      <c r="H126">
        <f>IFERROR(INDEX(PP_Grid[#Data],$DE126,5),0)</f>
        <v/>
      </c>
      <c r="I126">
        <f>IFERROR(INDEX(PP_Grid[#Data],$DE126,6),0)</f>
        <v/>
      </c>
      <c r="J126">
        <f>IFERROR(INDEX(PP_Grid[#Data],$DE126,7),0)</f>
        <v/>
      </c>
      <c r="K126">
        <f>IFERROR(INDEX(PP_Grid[#Data],$DE126,8),0)</f>
        <v/>
      </c>
      <c r="L126">
        <f>IFERROR(INDEX(PP_Grid[#Data],$DE126,9),0)</f>
        <v/>
      </c>
      <c r="M126">
        <f>IFERROR(INDEX(PP_Grid[#Data],$DE126,10),0)</f>
        <v/>
      </c>
      <c r="N126">
        <f>IFERROR(INDEX(PP_Grid[#Data],$DE126,11),0)</f>
        <v/>
      </c>
      <c r="O126">
        <f>IFERROR(INDEX(PP_Grid[#Data],$DE126,12),0)</f>
        <v/>
      </c>
      <c r="P126">
        <f>IFERROR(INDEX(PP_Grid[#Data],$DE126,13),0)</f>
        <v/>
      </c>
      <c r="Q126">
        <f>IFERROR(INDEX(PP_Grid[#Data],$DE126,14),0)</f>
        <v/>
      </c>
      <c r="R126">
        <f>IFERROR(INDEX(PP_Grid[#Data],$DE126,15),0)</f>
        <v/>
      </c>
      <c r="S126">
        <f>IFERROR(INDEX(PP_Grid[#Data],$DE126,16),0)</f>
        <v/>
      </c>
      <c r="T126">
        <f>IFERROR(INDEX(PP_Grid[#Data],$DE126,17),0)</f>
        <v/>
      </c>
      <c r="U126">
        <f>IFERROR(INDEX(PP_Grid[#Data],$DE126,18),0)</f>
        <v/>
      </c>
      <c r="V126">
        <f>IFERROR(INDEX(PP_Grid[#Data],$DE126,19),0)</f>
        <v/>
      </c>
      <c r="W126">
        <f>IFERROR(INDEX(PP_Grid[#Data],$DE126,20),0)</f>
        <v/>
      </c>
      <c r="X126">
        <f>IFERROR(INDEX(PP_Grid[#Data],$DE126,21),0)</f>
        <v/>
      </c>
      <c r="Y126">
        <f>IFERROR(INDEX(PP_Grid[#Data],$DE126,22),0)</f>
        <v/>
      </c>
      <c r="Z126">
        <f>IFERROR(INDEX(PP_Grid[#Data],$DE126,23),0)</f>
        <v/>
      </c>
      <c r="AA126">
        <f>IFERROR(INDEX(PP_Grid[#Data],$DE126,24),0)</f>
        <v/>
      </c>
      <c r="AB126">
        <f>IFERROR(INDEX(PP_Grid[#Data],$DE126,25),0)</f>
        <v/>
      </c>
      <c r="AC126">
        <f>IFERROR(INDEX(PP_Grid[#Data],$DE126,26),0)</f>
        <v/>
      </c>
      <c r="AD126">
        <f>IFERROR(INDEX(PP_Grid[#Data],$DE126,27),0)</f>
        <v/>
      </c>
      <c r="AE126">
        <f>IFERROR(INDEX(PP_Grid[#Data],$DE126,28),0)</f>
        <v/>
      </c>
      <c r="AF126">
        <f>IFERROR(INDEX(PP_Grid[#Data],$DE126,29),0)</f>
        <v/>
      </c>
      <c r="AG126">
        <f>IFERROR(INDEX(PP_Grid[#Data],$DE126,30),0)</f>
        <v/>
      </c>
      <c r="AH126">
        <f>IFERROR(INDEX(PP_Grid[#Data],$DE126,31),0)</f>
        <v/>
      </c>
      <c r="AI126">
        <f>IFERROR(INDEX(PP_Grid[#Data],$DE126,32),0)</f>
        <v/>
      </c>
      <c r="AJ126">
        <f>IFERROR(INDEX(PP_Grid[#Data],$DE126,33),0)</f>
        <v/>
      </c>
      <c r="AK126">
        <f>IFERROR(INDEX(PP_Grid[#Data],$DE126,34),0)</f>
        <v/>
      </c>
      <c r="AL126">
        <f>IFERROR(INDEX(PP_Grid[#Data],$DE126,35),0)</f>
        <v/>
      </c>
      <c r="AM126">
        <f>IFERROR(INDEX(PP_Grid[#Data],$DE126,36),0)</f>
        <v/>
      </c>
      <c r="AN126">
        <f>IFERROR(INDEX(PP_Grid[#Data],$DE126,37),0)</f>
        <v/>
      </c>
      <c r="AO126">
        <f>IFERROR(INDEX(PP_Grid[#Data],$DE126,38),0)</f>
        <v/>
      </c>
      <c r="AP126">
        <f>IFERROR(INDEX(PP_Grid[#Data],$DE126,39),0)</f>
        <v/>
      </c>
      <c r="AQ126">
        <f>IFERROR(INDEX(PP_Grid[#Data],$DE126,40),0)</f>
        <v/>
      </c>
      <c r="AR126">
        <f>IFERROR(INDEX(PP_Grid[#Data],$DE126,41),0)</f>
        <v/>
      </c>
      <c r="AS126">
        <f>IFERROR(INDEX(PP_Grid[#Data],$DE126,42),0)</f>
        <v/>
      </c>
      <c r="AT126">
        <f>IFERROR(INDEX(PP_Grid[#Data],$DE126,43),0)</f>
        <v/>
      </c>
      <c r="AU126">
        <f>IFERROR(INDEX(PP_Grid[#Data],$DE126,44),0)</f>
        <v/>
      </c>
      <c r="AV126">
        <f>IFERROR(INDEX(PP_Grid[#Data],$DE126,45),0)</f>
        <v/>
      </c>
      <c r="AW126">
        <f>IFERROR(INDEX(PP_Grid[#Data],$DE126,46),0)</f>
        <v/>
      </c>
      <c r="AX126">
        <f>IFERROR(INDEX(PP_Grid[#Data],$DE126,47),0)</f>
        <v/>
      </c>
      <c r="AY126">
        <f>IFERROR(INDEX(PP_Grid[#Data],$DE126,48),0)</f>
        <v/>
      </c>
      <c r="AZ126">
        <f>IFERROR(INDEX(PP_Grid[#Data],$DE126,49),0)</f>
        <v/>
      </c>
      <c r="BA126">
        <f>IFERROR(INDEX(PP_Grid[#Data],$DE126,50),0)</f>
        <v/>
      </c>
      <c r="BB126">
        <f>IFERROR(INDEX(PP_Grid[#Data],$DE126,51),0)</f>
        <v/>
      </c>
      <c r="BC126">
        <f>IFERROR(INDEX(PP_Grid[#Data],$DE126,52),0)</f>
        <v/>
      </c>
      <c r="BD126">
        <f>IFERROR(INDEX(PP_Grid[#Data],$DE126,53),0)</f>
        <v/>
      </c>
      <c r="BE126">
        <f>IFERROR(INDEX(PP_Grid[#Data],$DE126,54),0)</f>
        <v/>
      </c>
      <c r="BF126">
        <f>IFERROR(INDEX(PP_Grid[#Data],$DE126,55),0)</f>
        <v/>
      </c>
      <c r="BG126">
        <f>IFERROR(INDEX(PP_Grid[#Data],$DE126,56),0)</f>
        <v/>
      </c>
      <c r="BH126">
        <f>IFERROR(INDEX(PP_Grid[#Data],$DE126,57),0)</f>
        <v/>
      </c>
      <c r="BI126">
        <f>IFERROR(INDEX(PP_Grid[#Data],$DE126,58),0)</f>
        <v/>
      </c>
      <c r="BJ126">
        <f>IFERROR(INDEX(PP_Grid[#Data],$DE126,59),0)</f>
        <v/>
      </c>
      <c r="BK126">
        <f>IFERROR(INDEX(PP_Grid[#Data],$DE126,60),0)</f>
        <v/>
      </c>
      <c r="BL126">
        <f>IFERROR(INDEX(PP_Grid[#Data],$DE126,61),0)</f>
        <v/>
      </c>
      <c r="BM126">
        <f>IFERROR(INDEX(PP_Grid[#Data],$DE126,62),0)</f>
        <v/>
      </c>
      <c r="BN126">
        <f>IFERROR(INDEX(PP_Grid[#Data],$DE126,63),0)</f>
        <v/>
      </c>
      <c r="BO126">
        <f>IFERROR(INDEX(PP_Grid[#Data],$DE126,64),0)</f>
        <v/>
      </c>
      <c r="BP126">
        <f>IFERROR(INDEX(PP_Grid[#Data],$DE126,65),0)</f>
        <v/>
      </c>
      <c r="BQ126">
        <f>IFERROR(INDEX(PP_Grid[#Data],$DE126,66),0)</f>
        <v/>
      </c>
      <c r="BR126">
        <f>IFERROR(INDEX(PP_Grid[#Data],$DE126,67),0)</f>
        <v/>
      </c>
      <c r="BS126">
        <f>IFERROR(INDEX(PP_Grid[#Data],$DE126,68),0)</f>
        <v/>
      </c>
      <c r="BT126">
        <f>IFERROR(INDEX(PP_Grid[#Data],$DE126,69),0)</f>
        <v/>
      </c>
      <c r="BU126">
        <f>IFERROR(INDEX(PP_Grid[#Data],$DE126,70),0)</f>
        <v/>
      </c>
      <c r="BV126">
        <f>IFERROR(INDEX(PP_Grid[#Data],$DE126,71),0)</f>
        <v/>
      </c>
      <c r="BW126">
        <f>IFERROR(INDEX(PP_Grid[#Data],$DE126,72),0)</f>
        <v/>
      </c>
      <c r="BX126">
        <f>IFERROR(INDEX(PP_Grid[#Data],$DE126,73),0)</f>
        <v/>
      </c>
      <c r="BY126">
        <f>IFERROR(INDEX(PP_Grid[#Data],$DE126,74),0)</f>
        <v/>
      </c>
      <c r="BZ126">
        <f>IFERROR(INDEX(PP_Grid[#Data],$DE126,75),0)</f>
        <v/>
      </c>
      <c r="CA126">
        <f>IFERROR(INDEX(PP_Grid[#Data],$DE126,76),0)</f>
        <v/>
      </c>
      <c r="CB126">
        <f>IFERROR(INDEX(PP_Grid[#Data],$DE126,77),0)</f>
        <v/>
      </c>
      <c r="CC126">
        <f>IFERROR(INDEX(PP_Grid[#Data],$DE126,78),0)</f>
        <v/>
      </c>
      <c r="CD126">
        <f>IFERROR(INDEX(PP_Grid[#Data],$DE126,79),0)</f>
        <v/>
      </c>
      <c r="CE126">
        <f>IFERROR(INDEX(PP_Grid[#Data],$DE126,80),0)</f>
        <v/>
      </c>
      <c r="CF126">
        <f>IFERROR(INDEX(PP_Grid[#Data],$DE126,81),0)</f>
        <v/>
      </c>
      <c r="CG126">
        <f>IFERROR(INDEX(PP_Grid[#Data],$DE126,82),0)</f>
        <v/>
      </c>
      <c r="CH126">
        <f>IFERROR(INDEX(PP_Grid[#Data],$DE126,83),0)</f>
        <v/>
      </c>
      <c r="CI126">
        <f>IFERROR(INDEX(PP_Grid[#Data],$DE126,84),0)</f>
        <v/>
      </c>
      <c r="CJ126">
        <f>IFERROR(INDEX(PP_Grid[#Data],$DE126,85),0)</f>
        <v/>
      </c>
      <c r="CK126">
        <f>IFERROR(INDEX(PP_Grid[#Data],$DE126,86),0)</f>
        <v/>
      </c>
      <c r="CL126">
        <f>IFERROR(INDEX(PP_Grid[#Data],$DE126,87),0)</f>
        <v/>
      </c>
      <c r="CM126">
        <f>IFERROR(INDEX(PP_Grid[#Data],$DE126,88),0)</f>
        <v/>
      </c>
      <c r="CN126">
        <f>IFERROR(INDEX(PP_Grid[#Data],$DE126,89),0)</f>
        <v/>
      </c>
      <c r="CO126">
        <f>IFERROR(INDEX(PP_Grid[#Data],$DE126,90),0)</f>
        <v/>
      </c>
      <c r="CP126">
        <f>IFERROR(INDEX(PP_Grid[#Data],$DE126,91),0)</f>
        <v/>
      </c>
      <c r="CQ126">
        <f>IFERROR(INDEX(PP_Grid[#Data],$DE126,92),0)</f>
        <v/>
      </c>
      <c r="CR126">
        <f>IFERROR(INDEX(PP_Grid[#Data],$DE126,93),0)</f>
        <v/>
      </c>
      <c r="CS126">
        <f>IFERROR(INDEX(PP_Grid[#Data],$DE126,94),0)</f>
        <v/>
      </c>
      <c r="CT126">
        <f>IFERROR(INDEX(PP_Grid[#Data],$DE126,95),0)</f>
        <v/>
      </c>
      <c r="CU126">
        <f>IFERROR(INDEX(PP_Grid[#Data],$DE126,96),0)</f>
        <v/>
      </c>
      <c r="CV126">
        <f>IFERROR(INDEX(PP_Grid[#Data],$DE126,97),0)</f>
        <v/>
      </c>
      <c r="CW126">
        <f>IFERROR(INDEX(PP_Grid[#Data],$DE126,98),0)</f>
        <v/>
      </c>
      <c r="CX126">
        <f>IFERROR(INDEX(PP_Grid[#Data],$DE126,99),0)</f>
        <v/>
      </c>
      <c r="CY126">
        <f>IFERROR(INDEX(PP_Grid[#Data],$DE126,100),0)</f>
        <v/>
      </c>
      <c r="CZ126">
        <f>IFERROR(INDEX(PP_Grid[#Data],$DE126,101),0)</f>
        <v/>
      </c>
      <c r="DA126">
        <f>IFERROR(INDEX(PP_Grid[#Data],$DE126,102),0)</f>
        <v/>
      </c>
      <c r="DB126">
        <f>IFERROR(INDEX(PP_Grid[#Data],$DE126,103),0)</f>
        <v/>
      </c>
      <c r="DC126">
        <f>IFERROR(INDEX(PP_Grid[#Data],$DE126,104),0)</f>
        <v/>
      </c>
      <c r="DD126">
        <f>IFERROR(INDEX(PP_Grid[#Data],$DE126,105),0)</f>
        <v/>
      </c>
      <c r="DE126" s="7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SUMIFS(M_BOM[RM_Qty_Per_Batch],M_BOM[Intermediate],$B126,M_BOM[RM_Code],$A25)</f>
        <v/>
      </c>
      <c r="D127">
        <f>IFERROR(INDEX(E127:DD127,$F$1),"")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  <c r="DD127">
        <f>$C127*DD126</f>
        <v/>
      </c>
    </row>
    <row r="128">
      <c r="B128" t="inlineStr">
        <is>
          <t>TPP-649</t>
        </is>
      </c>
      <c r="C128" t="inlineStr">
        <is>
          <t>No. of batches</t>
        </is>
      </c>
      <c r="D128">
        <f>IFERROR(INDEX(E128:DD128,$F$1),"")</f>
        <v/>
      </c>
      <c r="E128">
        <f>IFERROR(INDEX(PP_Grid[#Data],$DE128,2),0)</f>
        <v/>
      </c>
      <c r="F128">
        <f>IFERROR(INDEX(PP_Grid[#Data],$DE128,3),0)</f>
        <v/>
      </c>
      <c r="G128">
        <f>IFERROR(INDEX(PP_Grid[#Data],$DE128,4),0)</f>
        <v/>
      </c>
      <c r="H128">
        <f>IFERROR(INDEX(PP_Grid[#Data],$DE128,5),0)</f>
        <v/>
      </c>
      <c r="I128">
        <f>IFERROR(INDEX(PP_Grid[#Data],$DE128,6),0)</f>
        <v/>
      </c>
      <c r="J128">
        <f>IFERROR(INDEX(PP_Grid[#Data],$DE128,7),0)</f>
        <v/>
      </c>
      <c r="K128">
        <f>IFERROR(INDEX(PP_Grid[#Data],$DE128,8),0)</f>
        <v/>
      </c>
      <c r="L128">
        <f>IFERROR(INDEX(PP_Grid[#Data],$DE128,9),0)</f>
        <v/>
      </c>
      <c r="M128">
        <f>IFERROR(INDEX(PP_Grid[#Data],$DE128,10),0)</f>
        <v/>
      </c>
      <c r="N128">
        <f>IFERROR(INDEX(PP_Grid[#Data],$DE128,11),0)</f>
        <v/>
      </c>
      <c r="O128">
        <f>IFERROR(INDEX(PP_Grid[#Data],$DE128,12),0)</f>
        <v/>
      </c>
      <c r="P128">
        <f>IFERROR(INDEX(PP_Grid[#Data],$DE128,13),0)</f>
        <v/>
      </c>
      <c r="Q128">
        <f>IFERROR(INDEX(PP_Grid[#Data],$DE128,14),0)</f>
        <v/>
      </c>
      <c r="R128">
        <f>IFERROR(INDEX(PP_Grid[#Data],$DE128,15),0)</f>
        <v/>
      </c>
      <c r="S128">
        <f>IFERROR(INDEX(PP_Grid[#Data],$DE128,16),0)</f>
        <v/>
      </c>
      <c r="T128">
        <f>IFERROR(INDEX(PP_Grid[#Data],$DE128,17),0)</f>
        <v/>
      </c>
      <c r="U128">
        <f>IFERROR(INDEX(PP_Grid[#Data],$DE128,18),0)</f>
        <v/>
      </c>
      <c r="V128">
        <f>IFERROR(INDEX(PP_Grid[#Data],$DE128,19),0)</f>
        <v/>
      </c>
      <c r="W128">
        <f>IFERROR(INDEX(PP_Grid[#Data],$DE128,20),0)</f>
        <v/>
      </c>
      <c r="X128">
        <f>IFERROR(INDEX(PP_Grid[#Data],$DE128,21),0)</f>
        <v/>
      </c>
      <c r="Y128">
        <f>IFERROR(INDEX(PP_Grid[#Data],$DE128,22),0)</f>
        <v/>
      </c>
      <c r="Z128">
        <f>IFERROR(INDEX(PP_Grid[#Data],$DE128,23),0)</f>
        <v/>
      </c>
      <c r="AA128">
        <f>IFERROR(INDEX(PP_Grid[#Data],$DE128,24),0)</f>
        <v/>
      </c>
      <c r="AB128">
        <f>IFERROR(INDEX(PP_Grid[#Data],$DE128,25),0)</f>
        <v/>
      </c>
      <c r="AC128">
        <f>IFERROR(INDEX(PP_Grid[#Data],$DE128,26),0)</f>
        <v/>
      </c>
      <c r="AD128">
        <f>IFERROR(INDEX(PP_Grid[#Data],$DE128,27),0)</f>
        <v/>
      </c>
      <c r="AE128">
        <f>IFERROR(INDEX(PP_Grid[#Data],$DE128,28),0)</f>
        <v/>
      </c>
      <c r="AF128">
        <f>IFERROR(INDEX(PP_Grid[#Data],$DE128,29),0)</f>
        <v/>
      </c>
      <c r="AG128">
        <f>IFERROR(INDEX(PP_Grid[#Data],$DE128,30),0)</f>
        <v/>
      </c>
      <c r="AH128">
        <f>IFERROR(INDEX(PP_Grid[#Data],$DE128,31),0)</f>
        <v/>
      </c>
      <c r="AI128">
        <f>IFERROR(INDEX(PP_Grid[#Data],$DE128,32),0)</f>
        <v/>
      </c>
      <c r="AJ128">
        <f>IFERROR(INDEX(PP_Grid[#Data],$DE128,33),0)</f>
        <v/>
      </c>
      <c r="AK128">
        <f>IFERROR(INDEX(PP_Grid[#Data],$DE128,34),0)</f>
        <v/>
      </c>
      <c r="AL128">
        <f>IFERROR(INDEX(PP_Grid[#Data],$DE128,35),0)</f>
        <v/>
      </c>
      <c r="AM128">
        <f>IFERROR(INDEX(PP_Grid[#Data],$DE128,36),0)</f>
        <v/>
      </c>
      <c r="AN128">
        <f>IFERROR(INDEX(PP_Grid[#Data],$DE128,37),0)</f>
        <v/>
      </c>
      <c r="AO128">
        <f>IFERROR(INDEX(PP_Grid[#Data],$DE128,38),0)</f>
        <v/>
      </c>
      <c r="AP128">
        <f>IFERROR(INDEX(PP_Grid[#Data],$DE128,39),0)</f>
        <v/>
      </c>
      <c r="AQ128">
        <f>IFERROR(INDEX(PP_Grid[#Data],$DE128,40),0)</f>
        <v/>
      </c>
      <c r="AR128">
        <f>IFERROR(INDEX(PP_Grid[#Data],$DE128,41),0)</f>
        <v/>
      </c>
      <c r="AS128">
        <f>IFERROR(INDEX(PP_Grid[#Data],$DE128,42),0)</f>
        <v/>
      </c>
      <c r="AT128">
        <f>IFERROR(INDEX(PP_Grid[#Data],$DE128,43),0)</f>
        <v/>
      </c>
      <c r="AU128">
        <f>IFERROR(INDEX(PP_Grid[#Data],$DE128,44),0)</f>
        <v/>
      </c>
      <c r="AV128">
        <f>IFERROR(INDEX(PP_Grid[#Data],$DE128,45),0)</f>
        <v/>
      </c>
      <c r="AW128">
        <f>IFERROR(INDEX(PP_Grid[#Data],$DE128,46),0)</f>
        <v/>
      </c>
      <c r="AX128">
        <f>IFERROR(INDEX(PP_Grid[#Data],$DE128,47),0)</f>
        <v/>
      </c>
      <c r="AY128">
        <f>IFERROR(INDEX(PP_Grid[#Data],$DE128,48),0)</f>
        <v/>
      </c>
      <c r="AZ128">
        <f>IFERROR(INDEX(PP_Grid[#Data],$DE128,49),0)</f>
        <v/>
      </c>
      <c r="BA128">
        <f>IFERROR(INDEX(PP_Grid[#Data],$DE128,50),0)</f>
        <v/>
      </c>
      <c r="BB128">
        <f>IFERROR(INDEX(PP_Grid[#Data],$DE128,51),0)</f>
        <v/>
      </c>
      <c r="BC128">
        <f>IFERROR(INDEX(PP_Grid[#Data],$DE128,52),0)</f>
        <v/>
      </c>
      <c r="BD128">
        <f>IFERROR(INDEX(PP_Grid[#Data],$DE128,53),0)</f>
        <v/>
      </c>
      <c r="BE128">
        <f>IFERROR(INDEX(PP_Grid[#Data],$DE128,54),0)</f>
        <v/>
      </c>
      <c r="BF128">
        <f>IFERROR(INDEX(PP_Grid[#Data],$DE128,55),0)</f>
        <v/>
      </c>
      <c r="BG128">
        <f>IFERROR(INDEX(PP_Grid[#Data],$DE128,56),0)</f>
        <v/>
      </c>
      <c r="BH128">
        <f>IFERROR(INDEX(PP_Grid[#Data],$DE128,57),0)</f>
        <v/>
      </c>
      <c r="BI128">
        <f>IFERROR(INDEX(PP_Grid[#Data],$DE128,58),0)</f>
        <v/>
      </c>
      <c r="BJ128">
        <f>IFERROR(INDEX(PP_Grid[#Data],$DE128,59),0)</f>
        <v/>
      </c>
      <c r="BK128">
        <f>IFERROR(INDEX(PP_Grid[#Data],$DE128,60),0)</f>
        <v/>
      </c>
      <c r="BL128">
        <f>IFERROR(INDEX(PP_Grid[#Data],$DE128,61),0)</f>
        <v/>
      </c>
      <c r="BM128">
        <f>IFERROR(INDEX(PP_Grid[#Data],$DE128,62),0)</f>
        <v/>
      </c>
      <c r="BN128">
        <f>IFERROR(INDEX(PP_Grid[#Data],$DE128,63),0)</f>
        <v/>
      </c>
      <c r="BO128">
        <f>IFERROR(INDEX(PP_Grid[#Data],$DE128,64),0)</f>
        <v/>
      </c>
      <c r="BP128">
        <f>IFERROR(INDEX(PP_Grid[#Data],$DE128,65),0)</f>
        <v/>
      </c>
      <c r="BQ128">
        <f>IFERROR(INDEX(PP_Grid[#Data],$DE128,66),0)</f>
        <v/>
      </c>
      <c r="BR128">
        <f>IFERROR(INDEX(PP_Grid[#Data],$DE128,67),0)</f>
        <v/>
      </c>
      <c r="BS128">
        <f>IFERROR(INDEX(PP_Grid[#Data],$DE128,68),0)</f>
        <v/>
      </c>
      <c r="BT128">
        <f>IFERROR(INDEX(PP_Grid[#Data],$DE128,69),0)</f>
        <v/>
      </c>
      <c r="BU128">
        <f>IFERROR(INDEX(PP_Grid[#Data],$DE128,70),0)</f>
        <v/>
      </c>
      <c r="BV128">
        <f>IFERROR(INDEX(PP_Grid[#Data],$DE128,71),0)</f>
        <v/>
      </c>
      <c r="BW128">
        <f>IFERROR(INDEX(PP_Grid[#Data],$DE128,72),0)</f>
        <v/>
      </c>
      <c r="BX128">
        <f>IFERROR(INDEX(PP_Grid[#Data],$DE128,73),0)</f>
        <v/>
      </c>
      <c r="BY128">
        <f>IFERROR(INDEX(PP_Grid[#Data],$DE128,74),0)</f>
        <v/>
      </c>
      <c r="BZ128">
        <f>IFERROR(INDEX(PP_Grid[#Data],$DE128,75),0)</f>
        <v/>
      </c>
      <c r="CA128">
        <f>IFERROR(INDEX(PP_Grid[#Data],$DE128,76),0)</f>
        <v/>
      </c>
      <c r="CB128">
        <f>IFERROR(INDEX(PP_Grid[#Data],$DE128,77),0)</f>
        <v/>
      </c>
      <c r="CC128">
        <f>IFERROR(INDEX(PP_Grid[#Data],$DE128,78),0)</f>
        <v/>
      </c>
      <c r="CD128">
        <f>IFERROR(INDEX(PP_Grid[#Data],$DE128,79),0)</f>
        <v/>
      </c>
      <c r="CE128">
        <f>IFERROR(INDEX(PP_Grid[#Data],$DE128,80),0)</f>
        <v/>
      </c>
      <c r="CF128">
        <f>IFERROR(INDEX(PP_Grid[#Data],$DE128,81),0)</f>
        <v/>
      </c>
      <c r="CG128">
        <f>IFERROR(INDEX(PP_Grid[#Data],$DE128,82),0)</f>
        <v/>
      </c>
      <c r="CH128">
        <f>IFERROR(INDEX(PP_Grid[#Data],$DE128,83),0)</f>
        <v/>
      </c>
      <c r="CI128">
        <f>IFERROR(INDEX(PP_Grid[#Data],$DE128,84),0)</f>
        <v/>
      </c>
      <c r="CJ128">
        <f>IFERROR(INDEX(PP_Grid[#Data],$DE128,85),0)</f>
        <v/>
      </c>
      <c r="CK128">
        <f>IFERROR(INDEX(PP_Grid[#Data],$DE128,86),0)</f>
        <v/>
      </c>
      <c r="CL128">
        <f>IFERROR(INDEX(PP_Grid[#Data],$DE128,87),0)</f>
        <v/>
      </c>
      <c r="CM128">
        <f>IFERROR(INDEX(PP_Grid[#Data],$DE128,88),0)</f>
        <v/>
      </c>
      <c r="CN128">
        <f>IFERROR(INDEX(PP_Grid[#Data],$DE128,89),0)</f>
        <v/>
      </c>
      <c r="CO128">
        <f>IFERROR(INDEX(PP_Grid[#Data],$DE128,90),0)</f>
        <v/>
      </c>
      <c r="CP128">
        <f>IFERROR(INDEX(PP_Grid[#Data],$DE128,91),0)</f>
        <v/>
      </c>
      <c r="CQ128">
        <f>IFERROR(INDEX(PP_Grid[#Data],$DE128,92),0)</f>
        <v/>
      </c>
      <c r="CR128">
        <f>IFERROR(INDEX(PP_Grid[#Data],$DE128,93),0)</f>
        <v/>
      </c>
      <c r="CS128">
        <f>IFERROR(INDEX(PP_Grid[#Data],$DE128,94),0)</f>
        <v/>
      </c>
      <c r="CT128">
        <f>IFERROR(INDEX(PP_Grid[#Data],$DE128,95),0)</f>
        <v/>
      </c>
      <c r="CU128">
        <f>IFERROR(INDEX(PP_Grid[#Data],$DE128,96),0)</f>
        <v/>
      </c>
      <c r="CV128">
        <f>IFERROR(INDEX(PP_Grid[#Data],$DE128,97),0)</f>
        <v/>
      </c>
      <c r="CW128">
        <f>IFERROR(INDEX(PP_Grid[#Data],$DE128,98),0)</f>
        <v/>
      </c>
      <c r="CX128">
        <f>IFERROR(INDEX(PP_Grid[#Data],$DE128,99),0)</f>
        <v/>
      </c>
      <c r="CY128">
        <f>IFERROR(INDEX(PP_Grid[#Data],$DE128,100),0)</f>
        <v/>
      </c>
      <c r="CZ128">
        <f>IFERROR(INDEX(PP_Grid[#Data],$DE128,101),0)</f>
        <v/>
      </c>
      <c r="DA128">
        <f>IFERROR(INDEX(PP_Grid[#Data],$DE128,102),0)</f>
        <v/>
      </c>
      <c r="DB128">
        <f>IFERROR(INDEX(PP_Grid[#Data],$DE128,103),0)</f>
        <v/>
      </c>
      <c r="DC128">
        <f>IFERROR(INDEX(PP_Grid[#Data],$DE128,104),0)</f>
        <v/>
      </c>
      <c r="DD128">
        <f>IFERROR(INDEX(PP_Grid[#Data],$DE128,105),0)</f>
        <v/>
      </c>
      <c r="DE128" s="7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SUMIFS(M_BOM[RM_Qty_Per_Batch],M_BOM[Intermediate],$B128,M_BOM[RM_Code],$A25)</f>
        <v/>
      </c>
      <c r="D129">
        <f>IFERROR(INDEX(E129:DD129,$F$1),"")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  <c r="DD129">
        <f>$C129*DD128</f>
        <v/>
      </c>
    </row>
    <row r="130">
      <c r="B130" t="inlineStr">
        <is>
          <t>TPP-650</t>
        </is>
      </c>
      <c r="C130" t="inlineStr">
        <is>
          <t>No. of batches</t>
        </is>
      </c>
      <c r="D130">
        <f>IFERROR(INDEX(E130:DD130,$F$1),"")</f>
        <v/>
      </c>
      <c r="E130">
        <f>IFERROR(INDEX(PP_Grid[#Data],$DE130,2),0)</f>
        <v/>
      </c>
      <c r="F130">
        <f>IFERROR(INDEX(PP_Grid[#Data],$DE130,3),0)</f>
        <v/>
      </c>
      <c r="G130">
        <f>IFERROR(INDEX(PP_Grid[#Data],$DE130,4),0)</f>
        <v/>
      </c>
      <c r="H130">
        <f>IFERROR(INDEX(PP_Grid[#Data],$DE130,5),0)</f>
        <v/>
      </c>
      <c r="I130">
        <f>IFERROR(INDEX(PP_Grid[#Data],$DE130,6),0)</f>
        <v/>
      </c>
      <c r="J130">
        <f>IFERROR(INDEX(PP_Grid[#Data],$DE130,7),0)</f>
        <v/>
      </c>
      <c r="K130">
        <f>IFERROR(INDEX(PP_Grid[#Data],$DE130,8),0)</f>
        <v/>
      </c>
      <c r="L130">
        <f>IFERROR(INDEX(PP_Grid[#Data],$DE130,9),0)</f>
        <v/>
      </c>
      <c r="M130">
        <f>IFERROR(INDEX(PP_Grid[#Data],$DE130,10),0)</f>
        <v/>
      </c>
      <c r="N130">
        <f>IFERROR(INDEX(PP_Grid[#Data],$DE130,11),0)</f>
        <v/>
      </c>
      <c r="O130">
        <f>IFERROR(INDEX(PP_Grid[#Data],$DE130,12),0)</f>
        <v/>
      </c>
      <c r="P130">
        <f>IFERROR(INDEX(PP_Grid[#Data],$DE130,13),0)</f>
        <v/>
      </c>
      <c r="Q130">
        <f>IFERROR(INDEX(PP_Grid[#Data],$DE130,14),0)</f>
        <v/>
      </c>
      <c r="R130">
        <f>IFERROR(INDEX(PP_Grid[#Data],$DE130,15),0)</f>
        <v/>
      </c>
      <c r="S130">
        <f>IFERROR(INDEX(PP_Grid[#Data],$DE130,16),0)</f>
        <v/>
      </c>
      <c r="T130">
        <f>IFERROR(INDEX(PP_Grid[#Data],$DE130,17),0)</f>
        <v/>
      </c>
      <c r="U130">
        <f>IFERROR(INDEX(PP_Grid[#Data],$DE130,18),0)</f>
        <v/>
      </c>
      <c r="V130">
        <f>IFERROR(INDEX(PP_Grid[#Data],$DE130,19),0)</f>
        <v/>
      </c>
      <c r="W130">
        <f>IFERROR(INDEX(PP_Grid[#Data],$DE130,20),0)</f>
        <v/>
      </c>
      <c r="X130">
        <f>IFERROR(INDEX(PP_Grid[#Data],$DE130,21),0)</f>
        <v/>
      </c>
      <c r="Y130">
        <f>IFERROR(INDEX(PP_Grid[#Data],$DE130,22),0)</f>
        <v/>
      </c>
      <c r="Z130">
        <f>IFERROR(INDEX(PP_Grid[#Data],$DE130,23),0)</f>
        <v/>
      </c>
      <c r="AA130">
        <f>IFERROR(INDEX(PP_Grid[#Data],$DE130,24),0)</f>
        <v/>
      </c>
      <c r="AB130">
        <f>IFERROR(INDEX(PP_Grid[#Data],$DE130,25),0)</f>
        <v/>
      </c>
      <c r="AC130">
        <f>IFERROR(INDEX(PP_Grid[#Data],$DE130,26),0)</f>
        <v/>
      </c>
      <c r="AD130">
        <f>IFERROR(INDEX(PP_Grid[#Data],$DE130,27),0)</f>
        <v/>
      </c>
      <c r="AE130">
        <f>IFERROR(INDEX(PP_Grid[#Data],$DE130,28),0)</f>
        <v/>
      </c>
      <c r="AF130">
        <f>IFERROR(INDEX(PP_Grid[#Data],$DE130,29),0)</f>
        <v/>
      </c>
      <c r="AG130">
        <f>IFERROR(INDEX(PP_Grid[#Data],$DE130,30),0)</f>
        <v/>
      </c>
      <c r="AH130">
        <f>IFERROR(INDEX(PP_Grid[#Data],$DE130,31),0)</f>
        <v/>
      </c>
      <c r="AI130">
        <f>IFERROR(INDEX(PP_Grid[#Data],$DE130,32),0)</f>
        <v/>
      </c>
      <c r="AJ130">
        <f>IFERROR(INDEX(PP_Grid[#Data],$DE130,33),0)</f>
        <v/>
      </c>
      <c r="AK130">
        <f>IFERROR(INDEX(PP_Grid[#Data],$DE130,34),0)</f>
        <v/>
      </c>
      <c r="AL130">
        <f>IFERROR(INDEX(PP_Grid[#Data],$DE130,35),0)</f>
        <v/>
      </c>
      <c r="AM130">
        <f>IFERROR(INDEX(PP_Grid[#Data],$DE130,36),0)</f>
        <v/>
      </c>
      <c r="AN130">
        <f>IFERROR(INDEX(PP_Grid[#Data],$DE130,37),0)</f>
        <v/>
      </c>
      <c r="AO130">
        <f>IFERROR(INDEX(PP_Grid[#Data],$DE130,38),0)</f>
        <v/>
      </c>
      <c r="AP130">
        <f>IFERROR(INDEX(PP_Grid[#Data],$DE130,39),0)</f>
        <v/>
      </c>
      <c r="AQ130">
        <f>IFERROR(INDEX(PP_Grid[#Data],$DE130,40),0)</f>
        <v/>
      </c>
      <c r="AR130">
        <f>IFERROR(INDEX(PP_Grid[#Data],$DE130,41),0)</f>
        <v/>
      </c>
      <c r="AS130">
        <f>IFERROR(INDEX(PP_Grid[#Data],$DE130,42),0)</f>
        <v/>
      </c>
      <c r="AT130">
        <f>IFERROR(INDEX(PP_Grid[#Data],$DE130,43),0)</f>
        <v/>
      </c>
      <c r="AU130">
        <f>IFERROR(INDEX(PP_Grid[#Data],$DE130,44),0)</f>
        <v/>
      </c>
      <c r="AV130">
        <f>IFERROR(INDEX(PP_Grid[#Data],$DE130,45),0)</f>
        <v/>
      </c>
      <c r="AW130">
        <f>IFERROR(INDEX(PP_Grid[#Data],$DE130,46),0)</f>
        <v/>
      </c>
      <c r="AX130">
        <f>IFERROR(INDEX(PP_Grid[#Data],$DE130,47),0)</f>
        <v/>
      </c>
      <c r="AY130">
        <f>IFERROR(INDEX(PP_Grid[#Data],$DE130,48),0)</f>
        <v/>
      </c>
      <c r="AZ130">
        <f>IFERROR(INDEX(PP_Grid[#Data],$DE130,49),0)</f>
        <v/>
      </c>
      <c r="BA130">
        <f>IFERROR(INDEX(PP_Grid[#Data],$DE130,50),0)</f>
        <v/>
      </c>
      <c r="BB130">
        <f>IFERROR(INDEX(PP_Grid[#Data],$DE130,51),0)</f>
        <v/>
      </c>
      <c r="BC130">
        <f>IFERROR(INDEX(PP_Grid[#Data],$DE130,52),0)</f>
        <v/>
      </c>
      <c r="BD130">
        <f>IFERROR(INDEX(PP_Grid[#Data],$DE130,53),0)</f>
        <v/>
      </c>
      <c r="BE130">
        <f>IFERROR(INDEX(PP_Grid[#Data],$DE130,54),0)</f>
        <v/>
      </c>
      <c r="BF130">
        <f>IFERROR(INDEX(PP_Grid[#Data],$DE130,55),0)</f>
        <v/>
      </c>
      <c r="BG130">
        <f>IFERROR(INDEX(PP_Grid[#Data],$DE130,56),0)</f>
        <v/>
      </c>
      <c r="BH130">
        <f>IFERROR(INDEX(PP_Grid[#Data],$DE130,57),0)</f>
        <v/>
      </c>
      <c r="BI130">
        <f>IFERROR(INDEX(PP_Grid[#Data],$DE130,58),0)</f>
        <v/>
      </c>
      <c r="BJ130">
        <f>IFERROR(INDEX(PP_Grid[#Data],$DE130,59),0)</f>
        <v/>
      </c>
      <c r="BK130">
        <f>IFERROR(INDEX(PP_Grid[#Data],$DE130,60),0)</f>
        <v/>
      </c>
      <c r="BL130">
        <f>IFERROR(INDEX(PP_Grid[#Data],$DE130,61),0)</f>
        <v/>
      </c>
      <c r="BM130">
        <f>IFERROR(INDEX(PP_Grid[#Data],$DE130,62),0)</f>
        <v/>
      </c>
      <c r="BN130">
        <f>IFERROR(INDEX(PP_Grid[#Data],$DE130,63),0)</f>
        <v/>
      </c>
      <c r="BO130">
        <f>IFERROR(INDEX(PP_Grid[#Data],$DE130,64),0)</f>
        <v/>
      </c>
      <c r="BP130">
        <f>IFERROR(INDEX(PP_Grid[#Data],$DE130,65),0)</f>
        <v/>
      </c>
      <c r="BQ130">
        <f>IFERROR(INDEX(PP_Grid[#Data],$DE130,66),0)</f>
        <v/>
      </c>
      <c r="BR130">
        <f>IFERROR(INDEX(PP_Grid[#Data],$DE130,67),0)</f>
        <v/>
      </c>
      <c r="BS130">
        <f>IFERROR(INDEX(PP_Grid[#Data],$DE130,68),0)</f>
        <v/>
      </c>
      <c r="BT130">
        <f>IFERROR(INDEX(PP_Grid[#Data],$DE130,69),0)</f>
        <v/>
      </c>
      <c r="BU130">
        <f>IFERROR(INDEX(PP_Grid[#Data],$DE130,70),0)</f>
        <v/>
      </c>
      <c r="BV130">
        <f>IFERROR(INDEX(PP_Grid[#Data],$DE130,71),0)</f>
        <v/>
      </c>
      <c r="BW130">
        <f>IFERROR(INDEX(PP_Grid[#Data],$DE130,72),0)</f>
        <v/>
      </c>
      <c r="BX130">
        <f>IFERROR(INDEX(PP_Grid[#Data],$DE130,73),0)</f>
        <v/>
      </c>
      <c r="BY130">
        <f>IFERROR(INDEX(PP_Grid[#Data],$DE130,74),0)</f>
        <v/>
      </c>
      <c r="BZ130">
        <f>IFERROR(INDEX(PP_Grid[#Data],$DE130,75),0)</f>
        <v/>
      </c>
      <c r="CA130">
        <f>IFERROR(INDEX(PP_Grid[#Data],$DE130,76),0)</f>
        <v/>
      </c>
      <c r="CB130">
        <f>IFERROR(INDEX(PP_Grid[#Data],$DE130,77),0)</f>
        <v/>
      </c>
      <c r="CC130">
        <f>IFERROR(INDEX(PP_Grid[#Data],$DE130,78),0)</f>
        <v/>
      </c>
      <c r="CD130">
        <f>IFERROR(INDEX(PP_Grid[#Data],$DE130,79),0)</f>
        <v/>
      </c>
      <c r="CE130">
        <f>IFERROR(INDEX(PP_Grid[#Data],$DE130,80),0)</f>
        <v/>
      </c>
      <c r="CF130">
        <f>IFERROR(INDEX(PP_Grid[#Data],$DE130,81),0)</f>
        <v/>
      </c>
      <c r="CG130">
        <f>IFERROR(INDEX(PP_Grid[#Data],$DE130,82),0)</f>
        <v/>
      </c>
      <c r="CH130">
        <f>IFERROR(INDEX(PP_Grid[#Data],$DE130,83),0)</f>
        <v/>
      </c>
      <c r="CI130">
        <f>IFERROR(INDEX(PP_Grid[#Data],$DE130,84),0)</f>
        <v/>
      </c>
      <c r="CJ130">
        <f>IFERROR(INDEX(PP_Grid[#Data],$DE130,85),0)</f>
        <v/>
      </c>
      <c r="CK130">
        <f>IFERROR(INDEX(PP_Grid[#Data],$DE130,86),0)</f>
        <v/>
      </c>
      <c r="CL130">
        <f>IFERROR(INDEX(PP_Grid[#Data],$DE130,87),0)</f>
        <v/>
      </c>
      <c r="CM130">
        <f>IFERROR(INDEX(PP_Grid[#Data],$DE130,88),0)</f>
        <v/>
      </c>
      <c r="CN130">
        <f>IFERROR(INDEX(PP_Grid[#Data],$DE130,89),0)</f>
        <v/>
      </c>
      <c r="CO130">
        <f>IFERROR(INDEX(PP_Grid[#Data],$DE130,90),0)</f>
        <v/>
      </c>
      <c r="CP130">
        <f>IFERROR(INDEX(PP_Grid[#Data],$DE130,91),0)</f>
        <v/>
      </c>
      <c r="CQ130">
        <f>IFERROR(INDEX(PP_Grid[#Data],$DE130,92),0)</f>
        <v/>
      </c>
      <c r="CR130">
        <f>IFERROR(INDEX(PP_Grid[#Data],$DE130,93),0)</f>
        <v/>
      </c>
      <c r="CS130">
        <f>IFERROR(INDEX(PP_Grid[#Data],$DE130,94),0)</f>
        <v/>
      </c>
      <c r="CT130">
        <f>IFERROR(INDEX(PP_Grid[#Data],$DE130,95),0)</f>
        <v/>
      </c>
      <c r="CU130">
        <f>IFERROR(INDEX(PP_Grid[#Data],$DE130,96),0)</f>
        <v/>
      </c>
      <c r="CV130">
        <f>IFERROR(INDEX(PP_Grid[#Data],$DE130,97),0)</f>
        <v/>
      </c>
      <c r="CW130">
        <f>IFERROR(INDEX(PP_Grid[#Data],$DE130,98),0)</f>
        <v/>
      </c>
      <c r="CX130">
        <f>IFERROR(INDEX(PP_Grid[#Data],$DE130,99),0)</f>
        <v/>
      </c>
      <c r="CY130">
        <f>IFERROR(INDEX(PP_Grid[#Data],$DE130,100),0)</f>
        <v/>
      </c>
      <c r="CZ130">
        <f>IFERROR(INDEX(PP_Grid[#Data],$DE130,101),0)</f>
        <v/>
      </c>
      <c r="DA130">
        <f>IFERROR(INDEX(PP_Grid[#Data],$DE130,102),0)</f>
        <v/>
      </c>
      <c r="DB130">
        <f>IFERROR(INDEX(PP_Grid[#Data],$DE130,103),0)</f>
        <v/>
      </c>
      <c r="DC130">
        <f>IFERROR(INDEX(PP_Grid[#Data],$DE130,104),0)</f>
        <v/>
      </c>
      <c r="DD130">
        <f>IFERROR(INDEX(PP_Grid[#Data],$DE130,105),0)</f>
        <v/>
      </c>
      <c r="DE130" s="7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SUMIFS(M_BOM[RM_Qty_Per_Batch],M_BOM[Intermediate],$B130,M_BOM[RM_Code],$A25)</f>
        <v/>
      </c>
      <c r="D131">
        <f>IFERROR(INDEX(E131:DD131,$F$1),"")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  <c r="DD131">
        <f>$C131*DD130</f>
        <v/>
      </c>
    </row>
    <row r="132">
      <c r="B132" t="inlineStr">
        <is>
          <t>TPP-825</t>
        </is>
      </c>
      <c r="C132" t="inlineStr">
        <is>
          <t>No. of batches</t>
        </is>
      </c>
      <c r="D132">
        <f>IFERROR(INDEX(E132:DD132,$F$1),"")</f>
        <v/>
      </c>
      <c r="E132">
        <f>IFERROR(INDEX(PP_Grid[#Data],$DE132,2),0)</f>
        <v/>
      </c>
      <c r="F132">
        <f>IFERROR(INDEX(PP_Grid[#Data],$DE132,3),0)</f>
        <v/>
      </c>
      <c r="G132">
        <f>IFERROR(INDEX(PP_Grid[#Data],$DE132,4),0)</f>
        <v/>
      </c>
      <c r="H132">
        <f>IFERROR(INDEX(PP_Grid[#Data],$DE132,5),0)</f>
        <v/>
      </c>
      <c r="I132">
        <f>IFERROR(INDEX(PP_Grid[#Data],$DE132,6),0)</f>
        <v/>
      </c>
      <c r="J132">
        <f>IFERROR(INDEX(PP_Grid[#Data],$DE132,7),0)</f>
        <v/>
      </c>
      <c r="K132">
        <f>IFERROR(INDEX(PP_Grid[#Data],$DE132,8),0)</f>
        <v/>
      </c>
      <c r="L132">
        <f>IFERROR(INDEX(PP_Grid[#Data],$DE132,9),0)</f>
        <v/>
      </c>
      <c r="M132">
        <f>IFERROR(INDEX(PP_Grid[#Data],$DE132,10),0)</f>
        <v/>
      </c>
      <c r="N132">
        <f>IFERROR(INDEX(PP_Grid[#Data],$DE132,11),0)</f>
        <v/>
      </c>
      <c r="O132">
        <f>IFERROR(INDEX(PP_Grid[#Data],$DE132,12),0)</f>
        <v/>
      </c>
      <c r="P132">
        <f>IFERROR(INDEX(PP_Grid[#Data],$DE132,13),0)</f>
        <v/>
      </c>
      <c r="Q132">
        <f>IFERROR(INDEX(PP_Grid[#Data],$DE132,14),0)</f>
        <v/>
      </c>
      <c r="R132">
        <f>IFERROR(INDEX(PP_Grid[#Data],$DE132,15),0)</f>
        <v/>
      </c>
      <c r="S132">
        <f>IFERROR(INDEX(PP_Grid[#Data],$DE132,16),0)</f>
        <v/>
      </c>
      <c r="T132">
        <f>IFERROR(INDEX(PP_Grid[#Data],$DE132,17),0)</f>
        <v/>
      </c>
      <c r="U132">
        <f>IFERROR(INDEX(PP_Grid[#Data],$DE132,18),0)</f>
        <v/>
      </c>
      <c r="V132">
        <f>IFERROR(INDEX(PP_Grid[#Data],$DE132,19),0)</f>
        <v/>
      </c>
      <c r="W132">
        <f>IFERROR(INDEX(PP_Grid[#Data],$DE132,20),0)</f>
        <v/>
      </c>
      <c r="X132">
        <f>IFERROR(INDEX(PP_Grid[#Data],$DE132,21),0)</f>
        <v/>
      </c>
      <c r="Y132">
        <f>IFERROR(INDEX(PP_Grid[#Data],$DE132,22),0)</f>
        <v/>
      </c>
      <c r="Z132">
        <f>IFERROR(INDEX(PP_Grid[#Data],$DE132,23),0)</f>
        <v/>
      </c>
      <c r="AA132">
        <f>IFERROR(INDEX(PP_Grid[#Data],$DE132,24),0)</f>
        <v/>
      </c>
      <c r="AB132">
        <f>IFERROR(INDEX(PP_Grid[#Data],$DE132,25),0)</f>
        <v/>
      </c>
      <c r="AC132">
        <f>IFERROR(INDEX(PP_Grid[#Data],$DE132,26),0)</f>
        <v/>
      </c>
      <c r="AD132">
        <f>IFERROR(INDEX(PP_Grid[#Data],$DE132,27),0)</f>
        <v/>
      </c>
      <c r="AE132">
        <f>IFERROR(INDEX(PP_Grid[#Data],$DE132,28),0)</f>
        <v/>
      </c>
      <c r="AF132">
        <f>IFERROR(INDEX(PP_Grid[#Data],$DE132,29),0)</f>
        <v/>
      </c>
      <c r="AG132">
        <f>IFERROR(INDEX(PP_Grid[#Data],$DE132,30),0)</f>
        <v/>
      </c>
      <c r="AH132">
        <f>IFERROR(INDEX(PP_Grid[#Data],$DE132,31),0)</f>
        <v/>
      </c>
      <c r="AI132">
        <f>IFERROR(INDEX(PP_Grid[#Data],$DE132,32),0)</f>
        <v/>
      </c>
      <c r="AJ132">
        <f>IFERROR(INDEX(PP_Grid[#Data],$DE132,33),0)</f>
        <v/>
      </c>
      <c r="AK132">
        <f>IFERROR(INDEX(PP_Grid[#Data],$DE132,34),0)</f>
        <v/>
      </c>
      <c r="AL132">
        <f>IFERROR(INDEX(PP_Grid[#Data],$DE132,35),0)</f>
        <v/>
      </c>
      <c r="AM132">
        <f>IFERROR(INDEX(PP_Grid[#Data],$DE132,36),0)</f>
        <v/>
      </c>
      <c r="AN132">
        <f>IFERROR(INDEX(PP_Grid[#Data],$DE132,37),0)</f>
        <v/>
      </c>
      <c r="AO132">
        <f>IFERROR(INDEX(PP_Grid[#Data],$DE132,38),0)</f>
        <v/>
      </c>
      <c r="AP132">
        <f>IFERROR(INDEX(PP_Grid[#Data],$DE132,39),0)</f>
        <v/>
      </c>
      <c r="AQ132">
        <f>IFERROR(INDEX(PP_Grid[#Data],$DE132,40),0)</f>
        <v/>
      </c>
      <c r="AR132">
        <f>IFERROR(INDEX(PP_Grid[#Data],$DE132,41),0)</f>
        <v/>
      </c>
      <c r="AS132">
        <f>IFERROR(INDEX(PP_Grid[#Data],$DE132,42),0)</f>
        <v/>
      </c>
      <c r="AT132">
        <f>IFERROR(INDEX(PP_Grid[#Data],$DE132,43),0)</f>
        <v/>
      </c>
      <c r="AU132">
        <f>IFERROR(INDEX(PP_Grid[#Data],$DE132,44),0)</f>
        <v/>
      </c>
      <c r="AV132">
        <f>IFERROR(INDEX(PP_Grid[#Data],$DE132,45),0)</f>
        <v/>
      </c>
      <c r="AW132">
        <f>IFERROR(INDEX(PP_Grid[#Data],$DE132,46),0)</f>
        <v/>
      </c>
      <c r="AX132">
        <f>IFERROR(INDEX(PP_Grid[#Data],$DE132,47),0)</f>
        <v/>
      </c>
      <c r="AY132">
        <f>IFERROR(INDEX(PP_Grid[#Data],$DE132,48),0)</f>
        <v/>
      </c>
      <c r="AZ132">
        <f>IFERROR(INDEX(PP_Grid[#Data],$DE132,49),0)</f>
        <v/>
      </c>
      <c r="BA132">
        <f>IFERROR(INDEX(PP_Grid[#Data],$DE132,50),0)</f>
        <v/>
      </c>
      <c r="BB132">
        <f>IFERROR(INDEX(PP_Grid[#Data],$DE132,51),0)</f>
        <v/>
      </c>
      <c r="BC132">
        <f>IFERROR(INDEX(PP_Grid[#Data],$DE132,52),0)</f>
        <v/>
      </c>
      <c r="BD132">
        <f>IFERROR(INDEX(PP_Grid[#Data],$DE132,53),0)</f>
        <v/>
      </c>
      <c r="BE132">
        <f>IFERROR(INDEX(PP_Grid[#Data],$DE132,54),0)</f>
        <v/>
      </c>
      <c r="BF132">
        <f>IFERROR(INDEX(PP_Grid[#Data],$DE132,55),0)</f>
        <v/>
      </c>
      <c r="BG132">
        <f>IFERROR(INDEX(PP_Grid[#Data],$DE132,56),0)</f>
        <v/>
      </c>
      <c r="BH132">
        <f>IFERROR(INDEX(PP_Grid[#Data],$DE132,57),0)</f>
        <v/>
      </c>
      <c r="BI132">
        <f>IFERROR(INDEX(PP_Grid[#Data],$DE132,58),0)</f>
        <v/>
      </c>
      <c r="BJ132">
        <f>IFERROR(INDEX(PP_Grid[#Data],$DE132,59),0)</f>
        <v/>
      </c>
      <c r="BK132">
        <f>IFERROR(INDEX(PP_Grid[#Data],$DE132,60),0)</f>
        <v/>
      </c>
      <c r="BL132">
        <f>IFERROR(INDEX(PP_Grid[#Data],$DE132,61),0)</f>
        <v/>
      </c>
      <c r="BM132">
        <f>IFERROR(INDEX(PP_Grid[#Data],$DE132,62),0)</f>
        <v/>
      </c>
      <c r="BN132">
        <f>IFERROR(INDEX(PP_Grid[#Data],$DE132,63),0)</f>
        <v/>
      </c>
      <c r="BO132">
        <f>IFERROR(INDEX(PP_Grid[#Data],$DE132,64),0)</f>
        <v/>
      </c>
      <c r="BP132">
        <f>IFERROR(INDEX(PP_Grid[#Data],$DE132,65),0)</f>
        <v/>
      </c>
      <c r="BQ132">
        <f>IFERROR(INDEX(PP_Grid[#Data],$DE132,66),0)</f>
        <v/>
      </c>
      <c r="BR132">
        <f>IFERROR(INDEX(PP_Grid[#Data],$DE132,67),0)</f>
        <v/>
      </c>
      <c r="BS132">
        <f>IFERROR(INDEX(PP_Grid[#Data],$DE132,68),0)</f>
        <v/>
      </c>
      <c r="BT132">
        <f>IFERROR(INDEX(PP_Grid[#Data],$DE132,69),0)</f>
        <v/>
      </c>
      <c r="BU132">
        <f>IFERROR(INDEX(PP_Grid[#Data],$DE132,70),0)</f>
        <v/>
      </c>
      <c r="BV132">
        <f>IFERROR(INDEX(PP_Grid[#Data],$DE132,71),0)</f>
        <v/>
      </c>
      <c r="BW132">
        <f>IFERROR(INDEX(PP_Grid[#Data],$DE132,72),0)</f>
        <v/>
      </c>
      <c r="BX132">
        <f>IFERROR(INDEX(PP_Grid[#Data],$DE132,73),0)</f>
        <v/>
      </c>
      <c r="BY132">
        <f>IFERROR(INDEX(PP_Grid[#Data],$DE132,74),0)</f>
        <v/>
      </c>
      <c r="BZ132">
        <f>IFERROR(INDEX(PP_Grid[#Data],$DE132,75),0)</f>
        <v/>
      </c>
      <c r="CA132">
        <f>IFERROR(INDEX(PP_Grid[#Data],$DE132,76),0)</f>
        <v/>
      </c>
      <c r="CB132">
        <f>IFERROR(INDEX(PP_Grid[#Data],$DE132,77),0)</f>
        <v/>
      </c>
      <c r="CC132">
        <f>IFERROR(INDEX(PP_Grid[#Data],$DE132,78),0)</f>
        <v/>
      </c>
      <c r="CD132">
        <f>IFERROR(INDEX(PP_Grid[#Data],$DE132,79),0)</f>
        <v/>
      </c>
      <c r="CE132">
        <f>IFERROR(INDEX(PP_Grid[#Data],$DE132,80),0)</f>
        <v/>
      </c>
      <c r="CF132">
        <f>IFERROR(INDEX(PP_Grid[#Data],$DE132,81),0)</f>
        <v/>
      </c>
      <c r="CG132">
        <f>IFERROR(INDEX(PP_Grid[#Data],$DE132,82),0)</f>
        <v/>
      </c>
      <c r="CH132">
        <f>IFERROR(INDEX(PP_Grid[#Data],$DE132,83),0)</f>
        <v/>
      </c>
      <c r="CI132">
        <f>IFERROR(INDEX(PP_Grid[#Data],$DE132,84),0)</f>
        <v/>
      </c>
      <c r="CJ132">
        <f>IFERROR(INDEX(PP_Grid[#Data],$DE132,85),0)</f>
        <v/>
      </c>
      <c r="CK132">
        <f>IFERROR(INDEX(PP_Grid[#Data],$DE132,86),0)</f>
        <v/>
      </c>
      <c r="CL132">
        <f>IFERROR(INDEX(PP_Grid[#Data],$DE132,87),0)</f>
        <v/>
      </c>
      <c r="CM132">
        <f>IFERROR(INDEX(PP_Grid[#Data],$DE132,88),0)</f>
        <v/>
      </c>
      <c r="CN132">
        <f>IFERROR(INDEX(PP_Grid[#Data],$DE132,89),0)</f>
        <v/>
      </c>
      <c r="CO132">
        <f>IFERROR(INDEX(PP_Grid[#Data],$DE132,90),0)</f>
        <v/>
      </c>
      <c r="CP132">
        <f>IFERROR(INDEX(PP_Grid[#Data],$DE132,91),0)</f>
        <v/>
      </c>
      <c r="CQ132">
        <f>IFERROR(INDEX(PP_Grid[#Data],$DE132,92),0)</f>
        <v/>
      </c>
      <c r="CR132">
        <f>IFERROR(INDEX(PP_Grid[#Data],$DE132,93),0)</f>
        <v/>
      </c>
      <c r="CS132">
        <f>IFERROR(INDEX(PP_Grid[#Data],$DE132,94),0)</f>
        <v/>
      </c>
      <c r="CT132">
        <f>IFERROR(INDEX(PP_Grid[#Data],$DE132,95),0)</f>
        <v/>
      </c>
      <c r="CU132">
        <f>IFERROR(INDEX(PP_Grid[#Data],$DE132,96),0)</f>
        <v/>
      </c>
      <c r="CV132">
        <f>IFERROR(INDEX(PP_Grid[#Data],$DE132,97),0)</f>
        <v/>
      </c>
      <c r="CW132">
        <f>IFERROR(INDEX(PP_Grid[#Data],$DE132,98),0)</f>
        <v/>
      </c>
      <c r="CX132">
        <f>IFERROR(INDEX(PP_Grid[#Data],$DE132,99),0)</f>
        <v/>
      </c>
      <c r="CY132">
        <f>IFERROR(INDEX(PP_Grid[#Data],$DE132,100),0)</f>
        <v/>
      </c>
      <c r="CZ132">
        <f>IFERROR(INDEX(PP_Grid[#Data],$DE132,101),0)</f>
        <v/>
      </c>
      <c r="DA132">
        <f>IFERROR(INDEX(PP_Grid[#Data],$DE132,102),0)</f>
        <v/>
      </c>
      <c r="DB132">
        <f>IFERROR(INDEX(PP_Grid[#Data],$DE132,103),0)</f>
        <v/>
      </c>
      <c r="DC132">
        <f>IFERROR(INDEX(PP_Grid[#Data],$DE132,104),0)</f>
        <v/>
      </c>
      <c r="DD132">
        <f>IFERROR(INDEX(PP_Grid[#Data],$DE132,105),0)</f>
        <v/>
      </c>
      <c r="DE132" s="7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SUMIFS(M_BOM[RM_Qty_Per_Batch],M_BOM[Intermediate],$B132,M_BOM[RM_Code],$A25)</f>
        <v/>
      </c>
      <c r="D133">
        <f>IFERROR(INDEX(E133:DD133,$F$1),"")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  <c r="DD133">
        <f>$C133*DD132</f>
        <v/>
      </c>
    </row>
    <row r="134">
      <c r="B134" t="inlineStr">
        <is>
          <t>No of times used</t>
        </is>
      </c>
      <c r="C134" t="inlineStr">
        <is>
          <t>No. of batches</t>
        </is>
      </c>
      <c r="D134">
        <f>IFERROR(INDEX(E134:DD134,$F$1),"")</f>
        <v/>
      </c>
      <c r="E134">
        <f>IFERROR(INDEX(PP_Grid[#Data],$DE134,2),0)</f>
        <v/>
      </c>
      <c r="F134">
        <f>IFERROR(INDEX(PP_Grid[#Data],$DE134,3),0)</f>
        <v/>
      </c>
      <c r="G134">
        <f>IFERROR(INDEX(PP_Grid[#Data],$DE134,4),0)</f>
        <v/>
      </c>
      <c r="H134">
        <f>IFERROR(INDEX(PP_Grid[#Data],$DE134,5),0)</f>
        <v/>
      </c>
      <c r="I134">
        <f>IFERROR(INDEX(PP_Grid[#Data],$DE134,6),0)</f>
        <v/>
      </c>
      <c r="J134">
        <f>IFERROR(INDEX(PP_Grid[#Data],$DE134,7),0)</f>
        <v/>
      </c>
      <c r="K134">
        <f>IFERROR(INDEX(PP_Grid[#Data],$DE134,8),0)</f>
        <v/>
      </c>
      <c r="L134">
        <f>IFERROR(INDEX(PP_Grid[#Data],$DE134,9),0)</f>
        <v/>
      </c>
      <c r="M134">
        <f>IFERROR(INDEX(PP_Grid[#Data],$DE134,10),0)</f>
        <v/>
      </c>
      <c r="N134">
        <f>IFERROR(INDEX(PP_Grid[#Data],$DE134,11),0)</f>
        <v/>
      </c>
      <c r="O134">
        <f>IFERROR(INDEX(PP_Grid[#Data],$DE134,12),0)</f>
        <v/>
      </c>
      <c r="P134">
        <f>IFERROR(INDEX(PP_Grid[#Data],$DE134,13),0)</f>
        <v/>
      </c>
      <c r="Q134">
        <f>IFERROR(INDEX(PP_Grid[#Data],$DE134,14),0)</f>
        <v/>
      </c>
      <c r="R134">
        <f>IFERROR(INDEX(PP_Grid[#Data],$DE134,15),0)</f>
        <v/>
      </c>
      <c r="S134">
        <f>IFERROR(INDEX(PP_Grid[#Data],$DE134,16),0)</f>
        <v/>
      </c>
      <c r="T134">
        <f>IFERROR(INDEX(PP_Grid[#Data],$DE134,17),0)</f>
        <v/>
      </c>
      <c r="U134">
        <f>IFERROR(INDEX(PP_Grid[#Data],$DE134,18),0)</f>
        <v/>
      </c>
      <c r="V134">
        <f>IFERROR(INDEX(PP_Grid[#Data],$DE134,19),0)</f>
        <v/>
      </c>
      <c r="W134">
        <f>IFERROR(INDEX(PP_Grid[#Data],$DE134,20),0)</f>
        <v/>
      </c>
      <c r="X134">
        <f>IFERROR(INDEX(PP_Grid[#Data],$DE134,21),0)</f>
        <v/>
      </c>
      <c r="Y134">
        <f>IFERROR(INDEX(PP_Grid[#Data],$DE134,22),0)</f>
        <v/>
      </c>
      <c r="Z134">
        <f>IFERROR(INDEX(PP_Grid[#Data],$DE134,23),0)</f>
        <v/>
      </c>
      <c r="AA134">
        <f>IFERROR(INDEX(PP_Grid[#Data],$DE134,24),0)</f>
        <v/>
      </c>
      <c r="AB134">
        <f>IFERROR(INDEX(PP_Grid[#Data],$DE134,25),0)</f>
        <v/>
      </c>
      <c r="AC134">
        <f>IFERROR(INDEX(PP_Grid[#Data],$DE134,26),0)</f>
        <v/>
      </c>
      <c r="AD134">
        <f>IFERROR(INDEX(PP_Grid[#Data],$DE134,27),0)</f>
        <v/>
      </c>
      <c r="AE134">
        <f>IFERROR(INDEX(PP_Grid[#Data],$DE134,28),0)</f>
        <v/>
      </c>
      <c r="AF134">
        <f>IFERROR(INDEX(PP_Grid[#Data],$DE134,29),0)</f>
        <v/>
      </c>
      <c r="AG134">
        <f>IFERROR(INDEX(PP_Grid[#Data],$DE134,30),0)</f>
        <v/>
      </c>
      <c r="AH134">
        <f>IFERROR(INDEX(PP_Grid[#Data],$DE134,31),0)</f>
        <v/>
      </c>
      <c r="AI134">
        <f>IFERROR(INDEX(PP_Grid[#Data],$DE134,32),0)</f>
        <v/>
      </c>
      <c r="AJ134">
        <f>IFERROR(INDEX(PP_Grid[#Data],$DE134,33),0)</f>
        <v/>
      </c>
      <c r="AK134">
        <f>IFERROR(INDEX(PP_Grid[#Data],$DE134,34),0)</f>
        <v/>
      </c>
      <c r="AL134">
        <f>IFERROR(INDEX(PP_Grid[#Data],$DE134,35),0)</f>
        <v/>
      </c>
      <c r="AM134">
        <f>IFERROR(INDEX(PP_Grid[#Data],$DE134,36),0)</f>
        <v/>
      </c>
      <c r="AN134">
        <f>IFERROR(INDEX(PP_Grid[#Data],$DE134,37),0)</f>
        <v/>
      </c>
      <c r="AO134">
        <f>IFERROR(INDEX(PP_Grid[#Data],$DE134,38),0)</f>
        <v/>
      </c>
      <c r="AP134">
        <f>IFERROR(INDEX(PP_Grid[#Data],$DE134,39),0)</f>
        <v/>
      </c>
      <c r="AQ134">
        <f>IFERROR(INDEX(PP_Grid[#Data],$DE134,40),0)</f>
        <v/>
      </c>
      <c r="AR134">
        <f>IFERROR(INDEX(PP_Grid[#Data],$DE134,41),0)</f>
        <v/>
      </c>
      <c r="AS134">
        <f>IFERROR(INDEX(PP_Grid[#Data],$DE134,42),0)</f>
        <v/>
      </c>
      <c r="AT134">
        <f>IFERROR(INDEX(PP_Grid[#Data],$DE134,43),0)</f>
        <v/>
      </c>
      <c r="AU134">
        <f>IFERROR(INDEX(PP_Grid[#Data],$DE134,44),0)</f>
        <v/>
      </c>
      <c r="AV134">
        <f>IFERROR(INDEX(PP_Grid[#Data],$DE134,45),0)</f>
        <v/>
      </c>
      <c r="AW134">
        <f>IFERROR(INDEX(PP_Grid[#Data],$DE134,46),0)</f>
        <v/>
      </c>
      <c r="AX134">
        <f>IFERROR(INDEX(PP_Grid[#Data],$DE134,47),0)</f>
        <v/>
      </c>
      <c r="AY134">
        <f>IFERROR(INDEX(PP_Grid[#Data],$DE134,48),0)</f>
        <v/>
      </c>
      <c r="AZ134">
        <f>IFERROR(INDEX(PP_Grid[#Data],$DE134,49),0)</f>
        <v/>
      </c>
      <c r="BA134">
        <f>IFERROR(INDEX(PP_Grid[#Data],$DE134,50),0)</f>
        <v/>
      </c>
      <c r="BB134">
        <f>IFERROR(INDEX(PP_Grid[#Data],$DE134,51),0)</f>
        <v/>
      </c>
      <c r="BC134">
        <f>IFERROR(INDEX(PP_Grid[#Data],$DE134,52),0)</f>
        <v/>
      </c>
      <c r="BD134">
        <f>IFERROR(INDEX(PP_Grid[#Data],$DE134,53),0)</f>
        <v/>
      </c>
      <c r="BE134">
        <f>IFERROR(INDEX(PP_Grid[#Data],$DE134,54),0)</f>
        <v/>
      </c>
      <c r="BF134">
        <f>IFERROR(INDEX(PP_Grid[#Data],$DE134,55),0)</f>
        <v/>
      </c>
      <c r="BG134">
        <f>IFERROR(INDEX(PP_Grid[#Data],$DE134,56),0)</f>
        <v/>
      </c>
      <c r="BH134">
        <f>IFERROR(INDEX(PP_Grid[#Data],$DE134,57),0)</f>
        <v/>
      </c>
      <c r="BI134">
        <f>IFERROR(INDEX(PP_Grid[#Data],$DE134,58),0)</f>
        <v/>
      </c>
      <c r="BJ134">
        <f>IFERROR(INDEX(PP_Grid[#Data],$DE134,59),0)</f>
        <v/>
      </c>
      <c r="BK134">
        <f>IFERROR(INDEX(PP_Grid[#Data],$DE134,60),0)</f>
        <v/>
      </c>
      <c r="BL134">
        <f>IFERROR(INDEX(PP_Grid[#Data],$DE134,61),0)</f>
        <v/>
      </c>
      <c r="BM134">
        <f>IFERROR(INDEX(PP_Grid[#Data],$DE134,62),0)</f>
        <v/>
      </c>
      <c r="BN134">
        <f>IFERROR(INDEX(PP_Grid[#Data],$DE134,63),0)</f>
        <v/>
      </c>
      <c r="BO134">
        <f>IFERROR(INDEX(PP_Grid[#Data],$DE134,64),0)</f>
        <v/>
      </c>
      <c r="BP134">
        <f>IFERROR(INDEX(PP_Grid[#Data],$DE134,65),0)</f>
        <v/>
      </c>
      <c r="BQ134">
        <f>IFERROR(INDEX(PP_Grid[#Data],$DE134,66),0)</f>
        <v/>
      </c>
      <c r="BR134">
        <f>IFERROR(INDEX(PP_Grid[#Data],$DE134,67),0)</f>
        <v/>
      </c>
      <c r="BS134">
        <f>IFERROR(INDEX(PP_Grid[#Data],$DE134,68),0)</f>
        <v/>
      </c>
      <c r="BT134">
        <f>IFERROR(INDEX(PP_Grid[#Data],$DE134,69),0)</f>
        <v/>
      </c>
      <c r="BU134">
        <f>IFERROR(INDEX(PP_Grid[#Data],$DE134,70),0)</f>
        <v/>
      </c>
      <c r="BV134">
        <f>IFERROR(INDEX(PP_Grid[#Data],$DE134,71),0)</f>
        <v/>
      </c>
      <c r="BW134">
        <f>IFERROR(INDEX(PP_Grid[#Data],$DE134,72),0)</f>
        <v/>
      </c>
      <c r="BX134">
        <f>IFERROR(INDEX(PP_Grid[#Data],$DE134,73),0)</f>
        <v/>
      </c>
      <c r="BY134">
        <f>IFERROR(INDEX(PP_Grid[#Data],$DE134,74),0)</f>
        <v/>
      </c>
      <c r="BZ134">
        <f>IFERROR(INDEX(PP_Grid[#Data],$DE134,75),0)</f>
        <v/>
      </c>
      <c r="CA134">
        <f>IFERROR(INDEX(PP_Grid[#Data],$DE134,76),0)</f>
        <v/>
      </c>
      <c r="CB134">
        <f>IFERROR(INDEX(PP_Grid[#Data],$DE134,77),0)</f>
        <v/>
      </c>
      <c r="CC134">
        <f>IFERROR(INDEX(PP_Grid[#Data],$DE134,78),0)</f>
        <v/>
      </c>
      <c r="CD134">
        <f>IFERROR(INDEX(PP_Grid[#Data],$DE134,79),0)</f>
        <v/>
      </c>
      <c r="CE134">
        <f>IFERROR(INDEX(PP_Grid[#Data],$DE134,80),0)</f>
        <v/>
      </c>
      <c r="CF134">
        <f>IFERROR(INDEX(PP_Grid[#Data],$DE134,81),0)</f>
        <v/>
      </c>
      <c r="CG134">
        <f>IFERROR(INDEX(PP_Grid[#Data],$DE134,82),0)</f>
        <v/>
      </c>
      <c r="CH134">
        <f>IFERROR(INDEX(PP_Grid[#Data],$DE134,83),0)</f>
        <v/>
      </c>
      <c r="CI134">
        <f>IFERROR(INDEX(PP_Grid[#Data],$DE134,84),0)</f>
        <v/>
      </c>
      <c r="CJ134">
        <f>IFERROR(INDEX(PP_Grid[#Data],$DE134,85),0)</f>
        <v/>
      </c>
      <c r="CK134">
        <f>IFERROR(INDEX(PP_Grid[#Data],$DE134,86),0)</f>
        <v/>
      </c>
      <c r="CL134">
        <f>IFERROR(INDEX(PP_Grid[#Data],$DE134,87),0)</f>
        <v/>
      </c>
      <c r="CM134">
        <f>IFERROR(INDEX(PP_Grid[#Data],$DE134,88),0)</f>
        <v/>
      </c>
      <c r="CN134">
        <f>IFERROR(INDEX(PP_Grid[#Data],$DE134,89),0)</f>
        <v/>
      </c>
      <c r="CO134">
        <f>IFERROR(INDEX(PP_Grid[#Data],$DE134,90),0)</f>
        <v/>
      </c>
      <c r="CP134">
        <f>IFERROR(INDEX(PP_Grid[#Data],$DE134,91),0)</f>
        <v/>
      </c>
      <c r="CQ134">
        <f>IFERROR(INDEX(PP_Grid[#Data],$DE134,92),0)</f>
        <v/>
      </c>
      <c r="CR134">
        <f>IFERROR(INDEX(PP_Grid[#Data],$DE134,93),0)</f>
        <v/>
      </c>
      <c r="CS134">
        <f>IFERROR(INDEX(PP_Grid[#Data],$DE134,94),0)</f>
        <v/>
      </c>
      <c r="CT134">
        <f>IFERROR(INDEX(PP_Grid[#Data],$DE134,95),0)</f>
        <v/>
      </c>
      <c r="CU134">
        <f>IFERROR(INDEX(PP_Grid[#Data],$DE134,96),0)</f>
        <v/>
      </c>
      <c r="CV134">
        <f>IFERROR(INDEX(PP_Grid[#Data],$DE134,97),0)</f>
        <v/>
      </c>
      <c r="CW134">
        <f>IFERROR(INDEX(PP_Grid[#Data],$DE134,98),0)</f>
        <v/>
      </c>
      <c r="CX134">
        <f>IFERROR(INDEX(PP_Grid[#Data],$DE134,99),0)</f>
        <v/>
      </c>
      <c r="CY134">
        <f>IFERROR(INDEX(PP_Grid[#Data],$DE134,100),0)</f>
        <v/>
      </c>
      <c r="CZ134">
        <f>IFERROR(INDEX(PP_Grid[#Data],$DE134,101),0)</f>
        <v/>
      </c>
      <c r="DA134">
        <f>IFERROR(INDEX(PP_Grid[#Data],$DE134,102),0)</f>
        <v/>
      </c>
      <c r="DB134">
        <f>IFERROR(INDEX(PP_Grid[#Data],$DE134,103),0)</f>
        <v/>
      </c>
      <c r="DC134">
        <f>IFERROR(INDEX(PP_Grid[#Data],$DE134,104),0)</f>
        <v/>
      </c>
      <c r="DD134">
        <f>IFERROR(INDEX(PP_Grid[#Data],$DE134,105),0)</f>
        <v/>
      </c>
      <c r="DE134" s="7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SUMIFS(M_BOM[RM_Qty_Per_Batch],M_BOM[Intermediate],$B134,M_BOM[RM_Code],$A25)</f>
        <v/>
      </c>
      <c r="D135">
        <f>IFERROR(INDEX(E135:DD135,$F$1),"")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  <c r="DD135">
        <f>$C135*DD134</f>
        <v/>
      </c>
    </row>
    <row r="136">
      <c r="B136" s="4" t="inlineStr">
        <is>
          <t>合計使用量(kg)/週</t>
        </is>
      </c>
      <c r="D136" s="22">
        <f>IFERROR(INDEX(E136:DD136,$F$1),"")</f>
        <v/>
      </c>
      <c r="E136">
        <f>'Grid_Requirement'!B46</f>
        <v/>
      </c>
      <c r="F136">
        <f>'Grid_Requirement'!C46</f>
        <v/>
      </c>
      <c r="G136">
        <f>'Grid_Requirement'!D46</f>
        <v/>
      </c>
      <c r="H136">
        <f>'Grid_Requirement'!E46</f>
        <v/>
      </c>
      <c r="I136">
        <f>'Grid_Requirement'!F46</f>
        <v/>
      </c>
      <c r="J136">
        <f>'Grid_Requirement'!G46</f>
        <v/>
      </c>
      <c r="K136">
        <f>'Grid_Requirement'!H46</f>
        <v/>
      </c>
      <c r="L136">
        <f>'Grid_Requirement'!I46</f>
        <v/>
      </c>
      <c r="M136">
        <f>'Grid_Requirement'!J46</f>
        <v/>
      </c>
      <c r="N136">
        <f>'Grid_Requirement'!K46</f>
        <v/>
      </c>
      <c r="O136">
        <f>'Grid_Requirement'!L46</f>
        <v/>
      </c>
      <c r="P136">
        <f>'Grid_Requirement'!M46</f>
        <v/>
      </c>
      <c r="Q136">
        <f>'Grid_Requirement'!N46</f>
        <v/>
      </c>
      <c r="R136">
        <f>'Grid_Requirement'!O46</f>
        <v/>
      </c>
      <c r="S136">
        <f>'Grid_Requirement'!P46</f>
        <v/>
      </c>
      <c r="T136">
        <f>'Grid_Requirement'!Q46</f>
        <v/>
      </c>
      <c r="U136">
        <f>'Grid_Requirement'!R46</f>
        <v/>
      </c>
      <c r="V136">
        <f>'Grid_Requirement'!S46</f>
        <v/>
      </c>
      <c r="W136">
        <f>'Grid_Requirement'!T46</f>
        <v/>
      </c>
      <c r="X136">
        <f>'Grid_Requirement'!U46</f>
        <v/>
      </c>
      <c r="Y136">
        <f>'Grid_Requirement'!V46</f>
        <v/>
      </c>
      <c r="Z136">
        <f>'Grid_Requirement'!W46</f>
        <v/>
      </c>
      <c r="AA136">
        <f>'Grid_Requirement'!X46</f>
        <v/>
      </c>
      <c r="AB136">
        <f>'Grid_Requirement'!Y46</f>
        <v/>
      </c>
      <c r="AC136">
        <f>'Grid_Requirement'!Z46</f>
        <v/>
      </c>
      <c r="AD136">
        <f>'Grid_Requirement'!AA46</f>
        <v/>
      </c>
      <c r="AE136">
        <f>'Grid_Requirement'!AB46</f>
        <v/>
      </c>
      <c r="AF136">
        <f>'Grid_Requirement'!AC46</f>
        <v/>
      </c>
      <c r="AG136">
        <f>'Grid_Requirement'!AD46</f>
        <v/>
      </c>
      <c r="AH136">
        <f>'Grid_Requirement'!AE46</f>
        <v/>
      </c>
      <c r="AI136">
        <f>'Grid_Requirement'!AF46</f>
        <v/>
      </c>
      <c r="AJ136">
        <f>'Grid_Requirement'!AG46</f>
        <v/>
      </c>
      <c r="AK136">
        <f>'Grid_Requirement'!AH46</f>
        <v/>
      </c>
      <c r="AL136">
        <f>'Grid_Requirement'!AI46</f>
        <v/>
      </c>
      <c r="AM136">
        <f>'Grid_Requirement'!AJ46</f>
        <v/>
      </c>
      <c r="AN136">
        <f>'Grid_Requirement'!AK46</f>
        <v/>
      </c>
      <c r="AO136">
        <f>'Grid_Requirement'!AL46</f>
        <v/>
      </c>
      <c r="AP136">
        <f>'Grid_Requirement'!AM46</f>
        <v/>
      </c>
      <c r="AQ136">
        <f>'Grid_Requirement'!AN46</f>
        <v/>
      </c>
      <c r="AR136">
        <f>'Grid_Requirement'!AO46</f>
        <v/>
      </c>
      <c r="AS136">
        <f>'Grid_Requirement'!AP46</f>
        <v/>
      </c>
      <c r="AT136">
        <f>'Grid_Requirement'!AQ46</f>
        <v/>
      </c>
      <c r="AU136">
        <f>'Grid_Requirement'!AR46</f>
        <v/>
      </c>
      <c r="AV136">
        <f>'Grid_Requirement'!AS46</f>
        <v/>
      </c>
      <c r="AW136">
        <f>'Grid_Requirement'!AT46</f>
        <v/>
      </c>
      <c r="AX136">
        <f>'Grid_Requirement'!AU46</f>
        <v/>
      </c>
      <c r="AY136">
        <f>'Grid_Requirement'!AV46</f>
        <v/>
      </c>
      <c r="AZ136">
        <f>'Grid_Requirement'!AW46</f>
        <v/>
      </c>
      <c r="BA136">
        <f>'Grid_Requirement'!AX46</f>
        <v/>
      </c>
      <c r="BB136">
        <f>'Grid_Requirement'!AY46</f>
        <v/>
      </c>
      <c r="BC136">
        <f>'Grid_Requirement'!AZ46</f>
        <v/>
      </c>
      <c r="BD136">
        <f>'Grid_Requirement'!BA46</f>
        <v/>
      </c>
      <c r="BE136">
        <f>'Grid_Requirement'!BB46</f>
        <v/>
      </c>
      <c r="BF136">
        <f>'Grid_Requirement'!BC46</f>
        <v/>
      </c>
      <c r="BG136">
        <f>'Grid_Requirement'!BD46</f>
        <v/>
      </c>
      <c r="BH136">
        <f>'Grid_Requirement'!BE46</f>
        <v/>
      </c>
      <c r="BI136">
        <f>'Grid_Requirement'!BF46</f>
        <v/>
      </c>
      <c r="BJ136">
        <f>'Grid_Requirement'!BG46</f>
        <v/>
      </c>
      <c r="BK136">
        <f>'Grid_Requirement'!BH46</f>
        <v/>
      </c>
      <c r="BL136">
        <f>'Grid_Requirement'!BI46</f>
        <v/>
      </c>
      <c r="BM136">
        <f>'Grid_Requirement'!BJ46</f>
        <v/>
      </c>
      <c r="BN136">
        <f>'Grid_Requirement'!BK46</f>
        <v/>
      </c>
      <c r="BO136">
        <f>'Grid_Requirement'!BL46</f>
        <v/>
      </c>
      <c r="BP136">
        <f>'Grid_Requirement'!BM46</f>
        <v/>
      </c>
      <c r="BQ136">
        <f>'Grid_Requirement'!BN46</f>
        <v/>
      </c>
      <c r="BR136">
        <f>'Grid_Requirement'!BO46</f>
        <v/>
      </c>
      <c r="BS136">
        <f>'Grid_Requirement'!BP46</f>
        <v/>
      </c>
      <c r="BT136">
        <f>'Grid_Requirement'!BQ46</f>
        <v/>
      </c>
      <c r="BU136">
        <f>'Grid_Requirement'!BR46</f>
        <v/>
      </c>
      <c r="BV136">
        <f>'Grid_Requirement'!BS46</f>
        <v/>
      </c>
      <c r="BW136">
        <f>'Grid_Requirement'!BT46</f>
        <v/>
      </c>
      <c r="BX136">
        <f>'Grid_Requirement'!BU46</f>
        <v/>
      </c>
      <c r="BY136">
        <f>'Grid_Requirement'!BV46</f>
        <v/>
      </c>
      <c r="BZ136">
        <f>'Grid_Requirement'!BW46</f>
        <v/>
      </c>
      <c r="CA136">
        <f>'Grid_Requirement'!BX46</f>
        <v/>
      </c>
      <c r="CB136">
        <f>'Grid_Requirement'!BY46</f>
        <v/>
      </c>
      <c r="CC136">
        <f>'Grid_Requirement'!BZ46</f>
        <v/>
      </c>
      <c r="CD136">
        <f>'Grid_Requirement'!CA46</f>
        <v/>
      </c>
      <c r="CE136">
        <f>'Grid_Requirement'!CB46</f>
        <v/>
      </c>
      <c r="CF136">
        <f>'Grid_Requirement'!CC46</f>
        <v/>
      </c>
      <c r="CG136">
        <f>'Grid_Requirement'!CD46</f>
        <v/>
      </c>
      <c r="CH136">
        <f>'Grid_Requirement'!CE46</f>
        <v/>
      </c>
      <c r="CI136">
        <f>'Grid_Requirement'!CF46</f>
        <v/>
      </c>
      <c r="CJ136">
        <f>'Grid_Requirement'!CG46</f>
        <v/>
      </c>
      <c r="CK136">
        <f>'Grid_Requirement'!CH46</f>
        <v/>
      </c>
      <c r="CL136">
        <f>'Grid_Requirement'!CI46</f>
        <v/>
      </c>
      <c r="CM136">
        <f>'Grid_Requirement'!CJ46</f>
        <v/>
      </c>
      <c r="CN136">
        <f>'Grid_Requirement'!CK46</f>
        <v/>
      </c>
      <c r="CO136">
        <f>'Grid_Requirement'!CL46</f>
        <v/>
      </c>
      <c r="CP136">
        <f>'Grid_Requirement'!CM46</f>
        <v/>
      </c>
      <c r="CQ136">
        <f>'Grid_Requirement'!CN46</f>
        <v/>
      </c>
      <c r="CR136">
        <f>'Grid_Requirement'!CO46</f>
        <v/>
      </c>
      <c r="CS136">
        <f>'Grid_Requirement'!CP46</f>
        <v/>
      </c>
      <c r="CT136">
        <f>'Grid_Requirement'!CQ46</f>
        <v/>
      </c>
      <c r="CU136">
        <f>'Grid_Requirement'!CR46</f>
        <v/>
      </c>
      <c r="CV136">
        <f>'Grid_Requirement'!CS46</f>
        <v/>
      </c>
      <c r="CW136">
        <f>'Grid_Requirement'!CT46</f>
        <v/>
      </c>
      <c r="CX136">
        <f>'Grid_Requirement'!CU46</f>
        <v/>
      </c>
      <c r="CY136">
        <f>'Grid_Requirement'!CV46</f>
        <v/>
      </c>
      <c r="CZ136">
        <f>'Grid_Requirement'!CW46</f>
        <v/>
      </c>
      <c r="DA136">
        <f>'Grid_Requirement'!CX46</f>
        <v/>
      </c>
      <c r="DB136">
        <f>'Grid_Requirement'!CY46</f>
        <v/>
      </c>
      <c r="DC136">
        <f>'Grid_Requirement'!CZ46</f>
        <v/>
      </c>
      <c r="DD136">
        <f>'Grid_Requirement'!DA46</f>
        <v/>
      </c>
    </row>
    <row r="137">
      <c r="B137" s="23" t="inlineStr">
        <is>
          <t>（在庫・入荷予定はDashboard参照）</t>
        </is>
      </c>
    </row>
    <row r="139">
      <c r="A139" s="21" t="inlineStr">
        <is>
          <t>CHEM-1250</t>
        </is>
      </c>
      <c r="B139" s="21" t="inlineStr">
        <is>
          <t>Barium Sulfate (B-55)</t>
        </is>
      </c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  <c r="AA139" s="21" t="n"/>
      <c r="AB139" s="21" t="n"/>
      <c r="AC139" s="21" t="n"/>
      <c r="AD139" s="21" t="n"/>
      <c r="AE139" s="21" t="n"/>
      <c r="AF139" s="21" t="n"/>
      <c r="AG139" s="21" t="n"/>
      <c r="AH139" s="21" t="n"/>
      <c r="AI139" s="21" t="n"/>
      <c r="AJ139" s="21" t="n"/>
      <c r="AK139" s="21" t="n"/>
      <c r="AL139" s="21" t="n"/>
      <c r="AM139" s="21" t="n"/>
      <c r="AN139" s="21" t="n"/>
      <c r="AO139" s="21" t="n"/>
      <c r="AP139" s="21" t="n"/>
      <c r="AQ139" s="21" t="n"/>
      <c r="AR139" s="21" t="n"/>
      <c r="AS139" s="21" t="n"/>
      <c r="AT139" s="21" t="n"/>
      <c r="AU139" s="21" t="n"/>
      <c r="AV139" s="21" t="n"/>
      <c r="AW139" s="21" t="n"/>
      <c r="AX139" s="21" t="n"/>
      <c r="AY139" s="21" t="n"/>
      <c r="AZ139" s="21" t="n"/>
      <c r="BA139" s="21" t="n"/>
      <c r="BB139" s="21" t="n"/>
      <c r="BC139" s="21" t="n"/>
      <c r="BD139" s="21" t="n"/>
      <c r="BE139" s="21" t="n"/>
      <c r="BF139" s="21" t="n"/>
      <c r="BG139" s="21" t="n"/>
      <c r="BH139" s="21" t="n"/>
      <c r="BI139" s="21" t="n"/>
      <c r="BJ139" s="21" t="n"/>
      <c r="BK139" s="21" t="n"/>
      <c r="BL139" s="21" t="n"/>
      <c r="BM139" s="21" t="n"/>
      <c r="BN139" s="21" t="n"/>
      <c r="BO139" s="21" t="n"/>
      <c r="BP139" s="21" t="n"/>
      <c r="BQ139" s="21" t="n"/>
      <c r="BR139" s="21" t="n"/>
      <c r="BS139" s="21" t="n"/>
      <c r="BT139" s="21" t="n"/>
      <c r="BU139" s="21" t="n"/>
      <c r="BV139" s="21" t="n"/>
      <c r="BW139" s="21" t="n"/>
      <c r="BX139" s="21" t="n"/>
      <c r="BY139" s="21" t="n"/>
      <c r="BZ139" s="21" t="n"/>
      <c r="CA139" s="21" t="n"/>
      <c r="CB139" s="21" t="n"/>
      <c r="CC139" s="21" t="n"/>
      <c r="CD139" s="21" t="n"/>
      <c r="CE139" s="21" t="n"/>
      <c r="CF139" s="21" t="n"/>
      <c r="CG139" s="21" t="n"/>
      <c r="CH139" s="21" t="n"/>
      <c r="CI139" s="21" t="n"/>
      <c r="CJ139" s="21" t="n"/>
      <c r="CK139" s="21" t="n"/>
      <c r="CL139" s="21" t="n"/>
      <c r="CM139" s="21" t="n"/>
      <c r="CN139" s="21" t="n"/>
      <c r="CO139" s="21" t="n"/>
      <c r="CP139" s="21" t="n"/>
      <c r="CQ139" s="21" t="n"/>
      <c r="CR139" s="21" t="n"/>
      <c r="CS139" s="21" t="n"/>
      <c r="CT139" s="21" t="n"/>
      <c r="CU139" s="21" t="n"/>
      <c r="CV139" s="21" t="n"/>
      <c r="CW139" s="21" t="n"/>
      <c r="CX139" s="21" t="n"/>
      <c r="CY139" s="21" t="n"/>
      <c r="CZ139" s="21" t="n"/>
      <c r="DA139" s="21" t="n"/>
      <c r="DB139" s="21" t="n"/>
      <c r="DC139" s="21" t="n"/>
      <c r="DD139" s="21" t="n"/>
    </row>
    <row r="140">
      <c r="B140" t="inlineStr">
        <is>
          <t>TSP-049</t>
        </is>
      </c>
      <c r="C140" t="inlineStr">
        <is>
          <t>No. of batches</t>
        </is>
      </c>
      <c r="D140">
        <f>IFERROR(INDEX(E140:DD140,$F$1),"")</f>
        <v/>
      </c>
      <c r="E140">
        <f>IFERROR(INDEX(PP_Grid[#Data],$DE140,2),0)</f>
        <v/>
      </c>
      <c r="F140">
        <f>IFERROR(INDEX(PP_Grid[#Data],$DE140,3),0)</f>
        <v/>
      </c>
      <c r="G140">
        <f>IFERROR(INDEX(PP_Grid[#Data],$DE140,4),0)</f>
        <v/>
      </c>
      <c r="H140">
        <f>IFERROR(INDEX(PP_Grid[#Data],$DE140,5),0)</f>
        <v/>
      </c>
      <c r="I140">
        <f>IFERROR(INDEX(PP_Grid[#Data],$DE140,6),0)</f>
        <v/>
      </c>
      <c r="J140">
        <f>IFERROR(INDEX(PP_Grid[#Data],$DE140,7),0)</f>
        <v/>
      </c>
      <c r="K140">
        <f>IFERROR(INDEX(PP_Grid[#Data],$DE140,8),0)</f>
        <v/>
      </c>
      <c r="L140">
        <f>IFERROR(INDEX(PP_Grid[#Data],$DE140,9),0)</f>
        <v/>
      </c>
      <c r="M140">
        <f>IFERROR(INDEX(PP_Grid[#Data],$DE140,10),0)</f>
        <v/>
      </c>
      <c r="N140">
        <f>IFERROR(INDEX(PP_Grid[#Data],$DE140,11),0)</f>
        <v/>
      </c>
      <c r="O140">
        <f>IFERROR(INDEX(PP_Grid[#Data],$DE140,12),0)</f>
        <v/>
      </c>
      <c r="P140">
        <f>IFERROR(INDEX(PP_Grid[#Data],$DE140,13),0)</f>
        <v/>
      </c>
      <c r="Q140">
        <f>IFERROR(INDEX(PP_Grid[#Data],$DE140,14),0)</f>
        <v/>
      </c>
      <c r="R140">
        <f>IFERROR(INDEX(PP_Grid[#Data],$DE140,15),0)</f>
        <v/>
      </c>
      <c r="S140">
        <f>IFERROR(INDEX(PP_Grid[#Data],$DE140,16),0)</f>
        <v/>
      </c>
      <c r="T140">
        <f>IFERROR(INDEX(PP_Grid[#Data],$DE140,17),0)</f>
        <v/>
      </c>
      <c r="U140">
        <f>IFERROR(INDEX(PP_Grid[#Data],$DE140,18),0)</f>
        <v/>
      </c>
      <c r="V140">
        <f>IFERROR(INDEX(PP_Grid[#Data],$DE140,19),0)</f>
        <v/>
      </c>
      <c r="W140">
        <f>IFERROR(INDEX(PP_Grid[#Data],$DE140,20),0)</f>
        <v/>
      </c>
      <c r="X140">
        <f>IFERROR(INDEX(PP_Grid[#Data],$DE140,21),0)</f>
        <v/>
      </c>
      <c r="Y140">
        <f>IFERROR(INDEX(PP_Grid[#Data],$DE140,22),0)</f>
        <v/>
      </c>
      <c r="Z140">
        <f>IFERROR(INDEX(PP_Grid[#Data],$DE140,23),0)</f>
        <v/>
      </c>
      <c r="AA140">
        <f>IFERROR(INDEX(PP_Grid[#Data],$DE140,24),0)</f>
        <v/>
      </c>
      <c r="AB140">
        <f>IFERROR(INDEX(PP_Grid[#Data],$DE140,25),0)</f>
        <v/>
      </c>
      <c r="AC140">
        <f>IFERROR(INDEX(PP_Grid[#Data],$DE140,26),0)</f>
        <v/>
      </c>
      <c r="AD140">
        <f>IFERROR(INDEX(PP_Grid[#Data],$DE140,27),0)</f>
        <v/>
      </c>
      <c r="AE140">
        <f>IFERROR(INDEX(PP_Grid[#Data],$DE140,28),0)</f>
        <v/>
      </c>
      <c r="AF140">
        <f>IFERROR(INDEX(PP_Grid[#Data],$DE140,29),0)</f>
        <v/>
      </c>
      <c r="AG140">
        <f>IFERROR(INDEX(PP_Grid[#Data],$DE140,30),0)</f>
        <v/>
      </c>
      <c r="AH140">
        <f>IFERROR(INDEX(PP_Grid[#Data],$DE140,31),0)</f>
        <v/>
      </c>
      <c r="AI140">
        <f>IFERROR(INDEX(PP_Grid[#Data],$DE140,32),0)</f>
        <v/>
      </c>
      <c r="AJ140">
        <f>IFERROR(INDEX(PP_Grid[#Data],$DE140,33),0)</f>
        <v/>
      </c>
      <c r="AK140">
        <f>IFERROR(INDEX(PP_Grid[#Data],$DE140,34),0)</f>
        <v/>
      </c>
      <c r="AL140">
        <f>IFERROR(INDEX(PP_Grid[#Data],$DE140,35),0)</f>
        <v/>
      </c>
      <c r="AM140">
        <f>IFERROR(INDEX(PP_Grid[#Data],$DE140,36),0)</f>
        <v/>
      </c>
      <c r="AN140">
        <f>IFERROR(INDEX(PP_Grid[#Data],$DE140,37),0)</f>
        <v/>
      </c>
      <c r="AO140">
        <f>IFERROR(INDEX(PP_Grid[#Data],$DE140,38),0)</f>
        <v/>
      </c>
      <c r="AP140">
        <f>IFERROR(INDEX(PP_Grid[#Data],$DE140,39),0)</f>
        <v/>
      </c>
      <c r="AQ140">
        <f>IFERROR(INDEX(PP_Grid[#Data],$DE140,40),0)</f>
        <v/>
      </c>
      <c r="AR140">
        <f>IFERROR(INDEX(PP_Grid[#Data],$DE140,41),0)</f>
        <v/>
      </c>
      <c r="AS140">
        <f>IFERROR(INDEX(PP_Grid[#Data],$DE140,42),0)</f>
        <v/>
      </c>
      <c r="AT140">
        <f>IFERROR(INDEX(PP_Grid[#Data],$DE140,43),0)</f>
        <v/>
      </c>
      <c r="AU140">
        <f>IFERROR(INDEX(PP_Grid[#Data],$DE140,44),0)</f>
        <v/>
      </c>
      <c r="AV140">
        <f>IFERROR(INDEX(PP_Grid[#Data],$DE140,45),0)</f>
        <v/>
      </c>
      <c r="AW140">
        <f>IFERROR(INDEX(PP_Grid[#Data],$DE140,46),0)</f>
        <v/>
      </c>
      <c r="AX140">
        <f>IFERROR(INDEX(PP_Grid[#Data],$DE140,47),0)</f>
        <v/>
      </c>
      <c r="AY140">
        <f>IFERROR(INDEX(PP_Grid[#Data],$DE140,48),0)</f>
        <v/>
      </c>
      <c r="AZ140">
        <f>IFERROR(INDEX(PP_Grid[#Data],$DE140,49),0)</f>
        <v/>
      </c>
      <c r="BA140">
        <f>IFERROR(INDEX(PP_Grid[#Data],$DE140,50),0)</f>
        <v/>
      </c>
      <c r="BB140">
        <f>IFERROR(INDEX(PP_Grid[#Data],$DE140,51),0)</f>
        <v/>
      </c>
      <c r="BC140">
        <f>IFERROR(INDEX(PP_Grid[#Data],$DE140,52),0)</f>
        <v/>
      </c>
      <c r="BD140">
        <f>IFERROR(INDEX(PP_Grid[#Data],$DE140,53),0)</f>
        <v/>
      </c>
      <c r="BE140">
        <f>IFERROR(INDEX(PP_Grid[#Data],$DE140,54),0)</f>
        <v/>
      </c>
      <c r="BF140">
        <f>IFERROR(INDEX(PP_Grid[#Data],$DE140,55),0)</f>
        <v/>
      </c>
      <c r="BG140">
        <f>IFERROR(INDEX(PP_Grid[#Data],$DE140,56),0)</f>
        <v/>
      </c>
      <c r="BH140">
        <f>IFERROR(INDEX(PP_Grid[#Data],$DE140,57),0)</f>
        <v/>
      </c>
      <c r="BI140">
        <f>IFERROR(INDEX(PP_Grid[#Data],$DE140,58),0)</f>
        <v/>
      </c>
      <c r="BJ140">
        <f>IFERROR(INDEX(PP_Grid[#Data],$DE140,59),0)</f>
        <v/>
      </c>
      <c r="BK140">
        <f>IFERROR(INDEX(PP_Grid[#Data],$DE140,60),0)</f>
        <v/>
      </c>
      <c r="BL140">
        <f>IFERROR(INDEX(PP_Grid[#Data],$DE140,61),0)</f>
        <v/>
      </c>
      <c r="BM140">
        <f>IFERROR(INDEX(PP_Grid[#Data],$DE140,62),0)</f>
        <v/>
      </c>
      <c r="BN140">
        <f>IFERROR(INDEX(PP_Grid[#Data],$DE140,63),0)</f>
        <v/>
      </c>
      <c r="BO140">
        <f>IFERROR(INDEX(PP_Grid[#Data],$DE140,64),0)</f>
        <v/>
      </c>
      <c r="BP140">
        <f>IFERROR(INDEX(PP_Grid[#Data],$DE140,65),0)</f>
        <v/>
      </c>
      <c r="BQ140">
        <f>IFERROR(INDEX(PP_Grid[#Data],$DE140,66),0)</f>
        <v/>
      </c>
      <c r="BR140">
        <f>IFERROR(INDEX(PP_Grid[#Data],$DE140,67),0)</f>
        <v/>
      </c>
      <c r="BS140">
        <f>IFERROR(INDEX(PP_Grid[#Data],$DE140,68),0)</f>
        <v/>
      </c>
      <c r="BT140">
        <f>IFERROR(INDEX(PP_Grid[#Data],$DE140,69),0)</f>
        <v/>
      </c>
      <c r="BU140">
        <f>IFERROR(INDEX(PP_Grid[#Data],$DE140,70),0)</f>
        <v/>
      </c>
      <c r="BV140">
        <f>IFERROR(INDEX(PP_Grid[#Data],$DE140,71),0)</f>
        <v/>
      </c>
      <c r="BW140">
        <f>IFERROR(INDEX(PP_Grid[#Data],$DE140,72),0)</f>
        <v/>
      </c>
      <c r="BX140">
        <f>IFERROR(INDEX(PP_Grid[#Data],$DE140,73),0)</f>
        <v/>
      </c>
      <c r="BY140">
        <f>IFERROR(INDEX(PP_Grid[#Data],$DE140,74),0)</f>
        <v/>
      </c>
      <c r="BZ140">
        <f>IFERROR(INDEX(PP_Grid[#Data],$DE140,75),0)</f>
        <v/>
      </c>
      <c r="CA140">
        <f>IFERROR(INDEX(PP_Grid[#Data],$DE140,76),0)</f>
        <v/>
      </c>
      <c r="CB140">
        <f>IFERROR(INDEX(PP_Grid[#Data],$DE140,77),0)</f>
        <v/>
      </c>
      <c r="CC140">
        <f>IFERROR(INDEX(PP_Grid[#Data],$DE140,78),0)</f>
        <v/>
      </c>
      <c r="CD140">
        <f>IFERROR(INDEX(PP_Grid[#Data],$DE140,79),0)</f>
        <v/>
      </c>
      <c r="CE140">
        <f>IFERROR(INDEX(PP_Grid[#Data],$DE140,80),0)</f>
        <v/>
      </c>
      <c r="CF140">
        <f>IFERROR(INDEX(PP_Grid[#Data],$DE140,81),0)</f>
        <v/>
      </c>
      <c r="CG140">
        <f>IFERROR(INDEX(PP_Grid[#Data],$DE140,82),0)</f>
        <v/>
      </c>
      <c r="CH140">
        <f>IFERROR(INDEX(PP_Grid[#Data],$DE140,83),0)</f>
        <v/>
      </c>
      <c r="CI140">
        <f>IFERROR(INDEX(PP_Grid[#Data],$DE140,84),0)</f>
        <v/>
      </c>
      <c r="CJ140">
        <f>IFERROR(INDEX(PP_Grid[#Data],$DE140,85),0)</f>
        <v/>
      </c>
      <c r="CK140">
        <f>IFERROR(INDEX(PP_Grid[#Data],$DE140,86),0)</f>
        <v/>
      </c>
      <c r="CL140">
        <f>IFERROR(INDEX(PP_Grid[#Data],$DE140,87),0)</f>
        <v/>
      </c>
      <c r="CM140">
        <f>IFERROR(INDEX(PP_Grid[#Data],$DE140,88),0)</f>
        <v/>
      </c>
      <c r="CN140">
        <f>IFERROR(INDEX(PP_Grid[#Data],$DE140,89),0)</f>
        <v/>
      </c>
      <c r="CO140">
        <f>IFERROR(INDEX(PP_Grid[#Data],$DE140,90),0)</f>
        <v/>
      </c>
      <c r="CP140">
        <f>IFERROR(INDEX(PP_Grid[#Data],$DE140,91),0)</f>
        <v/>
      </c>
      <c r="CQ140">
        <f>IFERROR(INDEX(PP_Grid[#Data],$DE140,92),0)</f>
        <v/>
      </c>
      <c r="CR140">
        <f>IFERROR(INDEX(PP_Grid[#Data],$DE140,93),0)</f>
        <v/>
      </c>
      <c r="CS140">
        <f>IFERROR(INDEX(PP_Grid[#Data],$DE140,94),0)</f>
        <v/>
      </c>
      <c r="CT140">
        <f>IFERROR(INDEX(PP_Grid[#Data],$DE140,95),0)</f>
        <v/>
      </c>
      <c r="CU140">
        <f>IFERROR(INDEX(PP_Grid[#Data],$DE140,96),0)</f>
        <v/>
      </c>
      <c r="CV140">
        <f>IFERROR(INDEX(PP_Grid[#Data],$DE140,97),0)</f>
        <v/>
      </c>
      <c r="CW140">
        <f>IFERROR(INDEX(PP_Grid[#Data],$DE140,98),0)</f>
        <v/>
      </c>
      <c r="CX140">
        <f>IFERROR(INDEX(PP_Grid[#Data],$DE140,99),0)</f>
        <v/>
      </c>
      <c r="CY140">
        <f>IFERROR(INDEX(PP_Grid[#Data],$DE140,100),0)</f>
        <v/>
      </c>
      <c r="CZ140">
        <f>IFERROR(INDEX(PP_Grid[#Data],$DE140,101),0)</f>
        <v/>
      </c>
      <c r="DA140">
        <f>IFERROR(INDEX(PP_Grid[#Data],$DE140,102),0)</f>
        <v/>
      </c>
      <c r="DB140">
        <f>IFERROR(INDEX(PP_Grid[#Data],$DE140,103),0)</f>
        <v/>
      </c>
      <c r="DC140">
        <f>IFERROR(INDEX(PP_Grid[#Data],$DE140,104),0)</f>
        <v/>
      </c>
      <c r="DD140">
        <f>IFERROR(INDEX(PP_Grid[#Data],$DE140,105),0)</f>
        <v/>
      </c>
      <c r="DE140" s="7">
        <f>IFERROR(MATCH($B140,PP_Grid[Intermediate],0),99999)</f>
        <v/>
      </c>
    </row>
    <row r="141">
      <c r="B141" t="inlineStr">
        <is>
          <t>使用量(kg)</t>
        </is>
      </c>
      <c r="C141">
        <f>SUMIFS(M_BOM[RM_Qty_Per_Batch],M_BOM[Intermediate],$B140,M_BOM[RM_Code],$A139)</f>
        <v/>
      </c>
      <c r="D141">
        <f>IFERROR(INDEX(E141:DD141,$F$1),"")</f>
        <v/>
      </c>
      <c r="E141">
        <f>$C141*E140</f>
        <v/>
      </c>
      <c r="F141">
        <f>$C141*F140</f>
        <v/>
      </c>
      <c r="G141">
        <f>$C141*G140</f>
        <v/>
      </c>
      <c r="H141">
        <f>$C141*H140</f>
        <v/>
      </c>
      <c r="I141">
        <f>$C141*I140</f>
        <v/>
      </c>
      <c r="J141">
        <f>$C141*J140</f>
        <v/>
      </c>
      <c r="K141">
        <f>$C141*K140</f>
        <v/>
      </c>
      <c r="L141">
        <f>$C141*L140</f>
        <v/>
      </c>
      <c r="M141">
        <f>$C141*M140</f>
        <v/>
      </c>
      <c r="N141">
        <f>$C141*N140</f>
        <v/>
      </c>
      <c r="O141">
        <f>$C141*O140</f>
        <v/>
      </c>
      <c r="P141">
        <f>$C141*P140</f>
        <v/>
      </c>
      <c r="Q141">
        <f>$C141*Q140</f>
        <v/>
      </c>
      <c r="R141">
        <f>$C141*R140</f>
        <v/>
      </c>
      <c r="S141">
        <f>$C141*S140</f>
        <v/>
      </c>
      <c r="T141">
        <f>$C141*T140</f>
        <v/>
      </c>
      <c r="U141">
        <f>$C141*U140</f>
        <v/>
      </c>
      <c r="V141">
        <f>$C141*V140</f>
        <v/>
      </c>
      <c r="W141">
        <f>$C141*W140</f>
        <v/>
      </c>
      <c r="X141">
        <f>$C141*X140</f>
        <v/>
      </c>
      <c r="Y141">
        <f>$C141*Y140</f>
        <v/>
      </c>
      <c r="Z141">
        <f>$C141*Z140</f>
        <v/>
      </c>
      <c r="AA141">
        <f>$C141*AA140</f>
        <v/>
      </c>
      <c r="AB141">
        <f>$C141*AB140</f>
        <v/>
      </c>
      <c r="AC141">
        <f>$C141*AC140</f>
        <v/>
      </c>
      <c r="AD141">
        <f>$C141*AD140</f>
        <v/>
      </c>
      <c r="AE141">
        <f>$C141*AE140</f>
        <v/>
      </c>
      <c r="AF141">
        <f>$C141*AF140</f>
        <v/>
      </c>
      <c r="AG141">
        <f>$C141*AG140</f>
        <v/>
      </c>
      <c r="AH141">
        <f>$C141*AH140</f>
        <v/>
      </c>
      <c r="AI141">
        <f>$C141*AI140</f>
        <v/>
      </c>
      <c r="AJ141">
        <f>$C141*AJ140</f>
        <v/>
      </c>
      <c r="AK141">
        <f>$C141*AK140</f>
        <v/>
      </c>
      <c r="AL141">
        <f>$C141*AL140</f>
        <v/>
      </c>
      <c r="AM141">
        <f>$C141*AM140</f>
        <v/>
      </c>
      <c r="AN141">
        <f>$C141*AN140</f>
        <v/>
      </c>
      <c r="AO141">
        <f>$C141*AO140</f>
        <v/>
      </c>
      <c r="AP141">
        <f>$C141*AP140</f>
        <v/>
      </c>
      <c r="AQ141">
        <f>$C141*AQ140</f>
        <v/>
      </c>
      <c r="AR141">
        <f>$C141*AR140</f>
        <v/>
      </c>
      <c r="AS141">
        <f>$C141*AS140</f>
        <v/>
      </c>
      <c r="AT141">
        <f>$C141*AT140</f>
        <v/>
      </c>
      <c r="AU141">
        <f>$C141*AU140</f>
        <v/>
      </c>
      <c r="AV141">
        <f>$C141*AV140</f>
        <v/>
      </c>
      <c r="AW141">
        <f>$C141*AW140</f>
        <v/>
      </c>
      <c r="AX141">
        <f>$C141*AX140</f>
        <v/>
      </c>
      <c r="AY141">
        <f>$C141*AY140</f>
        <v/>
      </c>
      <c r="AZ141">
        <f>$C141*AZ140</f>
        <v/>
      </c>
      <c r="BA141">
        <f>$C141*BA140</f>
        <v/>
      </c>
      <c r="BB141">
        <f>$C141*BB140</f>
        <v/>
      </c>
      <c r="BC141">
        <f>$C141*BC140</f>
        <v/>
      </c>
      <c r="BD141">
        <f>$C141*BD140</f>
        <v/>
      </c>
      <c r="BE141">
        <f>$C141*BE140</f>
        <v/>
      </c>
      <c r="BF141">
        <f>$C141*BF140</f>
        <v/>
      </c>
      <c r="BG141">
        <f>$C141*BG140</f>
        <v/>
      </c>
      <c r="BH141">
        <f>$C141*BH140</f>
        <v/>
      </c>
      <c r="BI141">
        <f>$C141*BI140</f>
        <v/>
      </c>
      <c r="BJ141">
        <f>$C141*BJ140</f>
        <v/>
      </c>
      <c r="BK141">
        <f>$C141*BK140</f>
        <v/>
      </c>
      <c r="BL141">
        <f>$C141*BL140</f>
        <v/>
      </c>
      <c r="BM141">
        <f>$C141*BM140</f>
        <v/>
      </c>
      <c r="BN141">
        <f>$C141*BN140</f>
        <v/>
      </c>
      <c r="BO141">
        <f>$C141*BO140</f>
        <v/>
      </c>
      <c r="BP141">
        <f>$C141*BP140</f>
        <v/>
      </c>
      <c r="BQ141">
        <f>$C141*BQ140</f>
        <v/>
      </c>
      <c r="BR141">
        <f>$C141*BR140</f>
        <v/>
      </c>
      <c r="BS141">
        <f>$C141*BS140</f>
        <v/>
      </c>
      <c r="BT141">
        <f>$C141*BT140</f>
        <v/>
      </c>
      <c r="BU141">
        <f>$C141*BU140</f>
        <v/>
      </c>
      <c r="BV141">
        <f>$C141*BV140</f>
        <v/>
      </c>
      <c r="BW141">
        <f>$C141*BW140</f>
        <v/>
      </c>
      <c r="BX141">
        <f>$C141*BX140</f>
        <v/>
      </c>
      <c r="BY141">
        <f>$C141*BY140</f>
        <v/>
      </c>
      <c r="BZ141">
        <f>$C141*BZ140</f>
        <v/>
      </c>
      <c r="CA141">
        <f>$C141*CA140</f>
        <v/>
      </c>
      <c r="CB141">
        <f>$C141*CB140</f>
        <v/>
      </c>
      <c r="CC141">
        <f>$C141*CC140</f>
        <v/>
      </c>
      <c r="CD141">
        <f>$C141*CD140</f>
        <v/>
      </c>
      <c r="CE141">
        <f>$C141*CE140</f>
        <v/>
      </c>
      <c r="CF141">
        <f>$C141*CF140</f>
        <v/>
      </c>
      <c r="CG141">
        <f>$C141*CG140</f>
        <v/>
      </c>
      <c r="CH141">
        <f>$C141*CH140</f>
        <v/>
      </c>
      <c r="CI141">
        <f>$C141*CI140</f>
        <v/>
      </c>
      <c r="CJ141">
        <f>$C141*CJ140</f>
        <v/>
      </c>
      <c r="CK141">
        <f>$C141*CK140</f>
        <v/>
      </c>
      <c r="CL141">
        <f>$C141*CL140</f>
        <v/>
      </c>
      <c r="CM141">
        <f>$C141*CM140</f>
        <v/>
      </c>
      <c r="CN141">
        <f>$C141*CN140</f>
        <v/>
      </c>
      <c r="CO141">
        <f>$C141*CO140</f>
        <v/>
      </c>
      <c r="CP141">
        <f>$C141*CP140</f>
        <v/>
      </c>
      <c r="CQ141">
        <f>$C141*CQ140</f>
        <v/>
      </c>
      <c r="CR141">
        <f>$C141*CR140</f>
        <v/>
      </c>
      <c r="CS141">
        <f>$C141*CS140</f>
        <v/>
      </c>
      <c r="CT141">
        <f>$C141*CT140</f>
        <v/>
      </c>
      <c r="CU141">
        <f>$C141*CU140</f>
        <v/>
      </c>
      <c r="CV141">
        <f>$C141*CV140</f>
        <v/>
      </c>
      <c r="CW141">
        <f>$C141*CW140</f>
        <v/>
      </c>
      <c r="CX141">
        <f>$C141*CX140</f>
        <v/>
      </c>
      <c r="CY141">
        <f>$C141*CY140</f>
        <v/>
      </c>
      <c r="CZ141">
        <f>$C141*CZ140</f>
        <v/>
      </c>
      <c r="DA141">
        <f>$C141*DA140</f>
        <v/>
      </c>
      <c r="DB141">
        <f>$C141*DB140</f>
        <v/>
      </c>
      <c r="DC141">
        <f>$C141*DC140</f>
        <v/>
      </c>
      <c r="DD141">
        <f>$C141*DD140</f>
        <v/>
      </c>
    </row>
    <row r="142">
      <c r="B142" t="inlineStr">
        <is>
          <t>TSP-067</t>
        </is>
      </c>
      <c r="C142" t="inlineStr">
        <is>
          <t>No. of batches</t>
        </is>
      </c>
      <c r="D142">
        <f>IFERROR(INDEX(E142:DD142,$F$1),"")</f>
        <v/>
      </c>
      <c r="E142">
        <f>IFERROR(INDEX(PP_Grid[#Data],$DE142,2),0)</f>
        <v/>
      </c>
      <c r="F142">
        <f>IFERROR(INDEX(PP_Grid[#Data],$DE142,3),0)</f>
        <v/>
      </c>
      <c r="G142">
        <f>IFERROR(INDEX(PP_Grid[#Data],$DE142,4),0)</f>
        <v/>
      </c>
      <c r="H142">
        <f>IFERROR(INDEX(PP_Grid[#Data],$DE142,5),0)</f>
        <v/>
      </c>
      <c r="I142">
        <f>IFERROR(INDEX(PP_Grid[#Data],$DE142,6),0)</f>
        <v/>
      </c>
      <c r="J142">
        <f>IFERROR(INDEX(PP_Grid[#Data],$DE142,7),0)</f>
        <v/>
      </c>
      <c r="K142">
        <f>IFERROR(INDEX(PP_Grid[#Data],$DE142,8),0)</f>
        <v/>
      </c>
      <c r="L142">
        <f>IFERROR(INDEX(PP_Grid[#Data],$DE142,9),0)</f>
        <v/>
      </c>
      <c r="M142">
        <f>IFERROR(INDEX(PP_Grid[#Data],$DE142,10),0)</f>
        <v/>
      </c>
      <c r="N142">
        <f>IFERROR(INDEX(PP_Grid[#Data],$DE142,11),0)</f>
        <v/>
      </c>
      <c r="O142">
        <f>IFERROR(INDEX(PP_Grid[#Data],$DE142,12),0)</f>
        <v/>
      </c>
      <c r="P142">
        <f>IFERROR(INDEX(PP_Grid[#Data],$DE142,13),0)</f>
        <v/>
      </c>
      <c r="Q142">
        <f>IFERROR(INDEX(PP_Grid[#Data],$DE142,14),0)</f>
        <v/>
      </c>
      <c r="R142">
        <f>IFERROR(INDEX(PP_Grid[#Data],$DE142,15),0)</f>
        <v/>
      </c>
      <c r="S142">
        <f>IFERROR(INDEX(PP_Grid[#Data],$DE142,16),0)</f>
        <v/>
      </c>
      <c r="T142">
        <f>IFERROR(INDEX(PP_Grid[#Data],$DE142,17),0)</f>
        <v/>
      </c>
      <c r="U142">
        <f>IFERROR(INDEX(PP_Grid[#Data],$DE142,18),0)</f>
        <v/>
      </c>
      <c r="V142">
        <f>IFERROR(INDEX(PP_Grid[#Data],$DE142,19),0)</f>
        <v/>
      </c>
      <c r="W142">
        <f>IFERROR(INDEX(PP_Grid[#Data],$DE142,20),0)</f>
        <v/>
      </c>
      <c r="X142">
        <f>IFERROR(INDEX(PP_Grid[#Data],$DE142,21),0)</f>
        <v/>
      </c>
      <c r="Y142">
        <f>IFERROR(INDEX(PP_Grid[#Data],$DE142,22),0)</f>
        <v/>
      </c>
      <c r="Z142">
        <f>IFERROR(INDEX(PP_Grid[#Data],$DE142,23),0)</f>
        <v/>
      </c>
      <c r="AA142">
        <f>IFERROR(INDEX(PP_Grid[#Data],$DE142,24),0)</f>
        <v/>
      </c>
      <c r="AB142">
        <f>IFERROR(INDEX(PP_Grid[#Data],$DE142,25),0)</f>
        <v/>
      </c>
      <c r="AC142">
        <f>IFERROR(INDEX(PP_Grid[#Data],$DE142,26),0)</f>
        <v/>
      </c>
      <c r="AD142">
        <f>IFERROR(INDEX(PP_Grid[#Data],$DE142,27),0)</f>
        <v/>
      </c>
      <c r="AE142">
        <f>IFERROR(INDEX(PP_Grid[#Data],$DE142,28),0)</f>
        <v/>
      </c>
      <c r="AF142">
        <f>IFERROR(INDEX(PP_Grid[#Data],$DE142,29),0)</f>
        <v/>
      </c>
      <c r="AG142">
        <f>IFERROR(INDEX(PP_Grid[#Data],$DE142,30),0)</f>
        <v/>
      </c>
      <c r="AH142">
        <f>IFERROR(INDEX(PP_Grid[#Data],$DE142,31),0)</f>
        <v/>
      </c>
      <c r="AI142">
        <f>IFERROR(INDEX(PP_Grid[#Data],$DE142,32),0)</f>
        <v/>
      </c>
      <c r="AJ142">
        <f>IFERROR(INDEX(PP_Grid[#Data],$DE142,33),0)</f>
        <v/>
      </c>
      <c r="AK142">
        <f>IFERROR(INDEX(PP_Grid[#Data],$DE142,34),0)</f>
        <v/>
      </c>
      <c r="AL142">
        <f>IFERROR(INDEX(PP_Grid[#Data],$DE142,35),0)</f>
        <v/>
      </c>
      <c r="AM142">
        <f>IFERROR(INDEX(PP_Grid[#Data],$DE142,36),0)</f>
        <v/>
      </c>
      <c r="AN142">
        <f>IFERROR(INDEX(PP_Grid[#Data],$DE142,37),0)</f>
        <v/>
      </c>
      <c r="AO142">
        <f>IFERROR(INDEX(PP_Grid[#Data],$DE142,38),0)</f>
        <v/>
      </c>
      <c r="AP142">
        <f>IFERROR(INDEX(PP_Grid[#Data],$DE142,39),0)</f>
        <v/>
      </c>
      <c r="AQ142">
        <f>IFERROR(INDEX(PP_Grid[#Data],$DE142,40),0)</f>
        <v/>
      </c>
      <c r="AR142">
        <f>IFERROR(INDEX(PP_Grid[#Data],$DE142,41),0)</f>
        <v/>
      </c>
      <c r="AS142">
        <f>IFERROR(INDEX(PP_Grid[#Data],$DE142,42),0)</f>
        <v/>
      </c>
      <c r="AT142">
        <f>IFERROR(INDEX(PP_Grid[#Data],$DE142,43),0)</f>
        <v/>
      </c>
      <c r="AU142">
        <f>IFERROR(INDEX(PP_Grid[#Data],$DE142,44),0)</f>
        <v/>
      </c>
      <c r="AV142">
        <f>IFERROR(INDEX(PP_Grid[#Data],$DE142,45),0)</f>
        <v/>
      </c>
      <c r="AW142">
        <f>IFERROR(INDEX(PP_Grid[#Data],$DE142,46),0)</f>
        <v/>
      </c>
      <c r="AX142">
        <f>IFERROR(INDEX(PP_Grid[#Data],$DE142,47),0)</f>
        <v/>
      </c>
      <c r="AY142">
        <f>IFERROR(INDEX(PP_Grid[#Data],$DE142,48),0)</f>
        <v/>
      </c>
      <c r="AZ142">
        <f>IFERROR(INDEX(PP_Grid[#Data],$DE142,49),0)</f>
        <v/>
      </c>
      <c r="BA142">
        <f>IFERROR(INDEX(PP_Grid[#Data],$DE142,50),0)</f>
        <v/>
      </c>
      <c r="BB142">
        <f>IFERROR(INDEX(PP_Grid[#Data],$DE142,51),0)</f>
        <v/>
      </c>
      <c r="BC142">
        <f>IFERROR(INDEX(PP_Grid[#Data],$DE142,52),0)</f>
        <v/>
      </c>
      <c r="BD142">
        <f>IFERROR(INDEX(PP_Grid[#Data],$DE142,53),0)</f>
        <v/>
      </c>
      <c r="BE142">
        <f>IFERROR(INDEX(PP_Grid[#Data],$DE142,54),0)</f>
        <v/>
      </c>
      <c r="BF142">
        <f>IFERROR(INDEX(PP_Grid[#Data],$DE142,55),0)</f>
        <v/>
      </c>
      <c r="BG142">
        <f>IFERROR(INDEX(PP_Grid[#Data],$DE142,56),0)</f>
        <v/>
      </c>
      <c r="BH142">
        <f>IFERROR(INDEX(PP_Grid[#Data],$DE142,57),0)</f>
        <v/>
      </c>
      <c r="BI142">
        <f>IFERROR(INDEX(PP_Grid[#Data],$DE142,58),0)</f>
        <v/>
      </c>
      <c r="BJ142">
        <f>IFERROR(INDEX(PP_Grid[#Data],$DE142,59),0)</f>
        <v/>
      </c>
      <c r="BK142">
        <f>IFERROR(INDEX(PP_Grid[#Data],$DE142,60),0)</f>
        <v/>
      </c>
      <c r="BL142">
        <f>IFERROR(INDEX(PP_Grid[#Data],$DE142,61),0)</f>
        <v/>
      </c>
      <c r="BM142">
        <f>IFERROR(INDEX(PP_Grid[#Data],$DE142,62),0)</f>
        <v/>
      </c>
      <c r="BN142">
        <f>IFERROR(INDEX(PP_Grid[#Data],$DE142,63),0)</f>
        <v/>
      </c>
      <c r="BO142">
        <f>IFERROR(INDEX(PP_Grid[#Data],$DE142,64),0)</f>
        <v/>
      </c>
      <c r="BP142">
        <f>IFERROR(INDEX(PP_Grid[#Data],$DE142,65),0)</f>
        <v/>
      </c>
      <c r="BQ142">
        <f>IFERROR(INDEX(PP_Grid[#Data],$DE142,66),0)</f>
        <v/>
      </c>
      <c r="BR142">
        <f>IFERROR(INDEX(PP_Grid[#Data],$DE142,67),0)</f>
        <v/>
      </c>
      <c r="BS142">
        <f>IFERROR(INDEX(PP_Grid[#Data],$DE142,68),0)</f>
        <v/>
      </c>
      <c r="BT142">
        <f>IFERROR(INDEX(PP_Grid[#Data],$DE142,69),0)</f>
        <v/>
      </c>
      <c r="BU142">
        <f>IFERROR(INDEX(PP_Grid[#Data],$DE142,70),0)</f>
        <v/>
      </c>
      <c r="BV142">
        <f>IFERROR(INDEX(PP_Grid[#Data],$DE142,71),0)</f>
        <v/>
      </c>
      <c r="BW142">
        <f>IFERROR(INDEX(PP_Grid[#Data],$DE142,72),0)</f>
        <v/>
      </c>
      <c r="BX142">
        <f>IFERROR(INDEX(PP_Grid[#Data],$DE142,73),0)</f>
        <v/>
      </c>
      <c r="BY142">
        <f>IFERROR(INDEX(PP_Grid[#Data],$DE142,74),0)</f>
        <v/>
      </c>
      <c r="BZ142">
        <f>IFERROR(INDEX(PP_Grid[#Data],$DE142,75),0)</f>
        <v/>
      </c>
      <c r="CA142">
        <f>IFERROR(INDEX(PP_Grid[#Data],$DE142,76),0)</f>
        <v/>
      </c>
      <c r="CB142">
        <f>IFERROR(INDEX(PP_Grid[#Data],$DE142,77),0)</f>
        <v/>
      </c>
      <c r="CC142">
        <f>IFERROR(INDEX(PP_Grid[#Data],$DE142,78),0)</f>
        <v/>
      </c>
      <c r="CD142">
        <f>IFERROR(INDEX(PP_Grid[#Data],$DE142,79),0)</f>
        <v/>
      </c>
      <c r="CE142">
        <f>IFERROR(INDEX(PP_Grid[#Data],$DE142,80),0)</f>
        <v/>
      </c>
      <c r="CF142">
        <f>IFERROR(INDEX(PP_Grid[#Data],$DE142,81),0)</f>
        <v/>
      </c>
      <c r="CG142">
        <f>IFERROR(INDEX(PP_Grid[#Data],$DE142,82),0)</f>
        <v/>
      </c>
      <c r="CH142">
        <f>IFERROR(INDEX(PP_Grid[#Data],$DE142,83),0)</f>
        <v/>
      </c>
      <c r="CI142">
        <f>IFERROR(INDEX(PP_Grid[#Data],$DE142,84),0)</f>
        <v/>
      </c>
      <c r="CJ142">
        <f>IFERROR(INDEX(PP_Grid[#Data],$DE142,85),0)</f>
        <v/>
      </c>
      <c r="CK142">
        <f>IFERROR(INDEX(PP_Grid[#Data],$DE142,86),0)</f>
        <v/>
      </c>
      <c r="CL142">
        <f>IFERROR(INDEX(PP_Grid[#Data],$DE142,87),0)</f>
        <v/>
      </c>
      <c r="CM142">
        <f>IFERROR(INDEX(PP_Grid[#Data],$DE142,88),0)</f>
        <v/>
      </c>
      <c r="CN142">
        <f>IFERROR(INDEX(PP_Grid[#Data],$DE142,89),0)</f>
        <v/>
      </c>
      <c r="CO142">
        <f>IFERROR(INDEX(PP_Grid[#Data],$DE142,90),0)</f>
        <v/>
      </c>
      <c r="CP142">
        <f>IFERROR(INDEX(PP_Grid[#Data],$DE142,91),0)</f>
        <v/>
      </c>
      <c r="CQ142">
        <f>IFERROR(INDEX(PP_Grid[#Data],$DE142,92),0)</f>
        <v/>
      </c>
      <c r="CR142">
        <f>IFERROR(INDEX(PP_Grid[#Data],$DE142,93),0)</f>
        <v/>
      </c>
      <c r="CS142">
        <f>IFERROR(INDEX(PP_Grid[#Data],$DE142,94),0)</f>
        <v/>
      </c>
      <c r="CT142">
        <f>IFERROR(INDEX(PP_Grid[#Data],$DE142,95),0)</f>
        <v/>
      </c>
      <c r="CU142">
        <f>IFERROR(INDEX(PP_Grid[#Data],$DE142,96),0)</f>
        <v/>
      </c>
      <c r="CV142">
        <f>IFERROR(INDEX(PP_Grid[#Data],$DE142,97),0)</f>
        <v/>
      </c>
      <c r="CW142">
        <f>IFERROR(INDEX(PP_Grid[#Data],$DE142,98),0)</f>
        <v/>
      </c>
      <c r="CX142">
        <f>IFERROR(INDEX(PP_Grid[#Data],$DE142,99),0)</f>
        <v/>
      </c>
      <c r="CY142">
        <f>IFERROR(INDEX(PP_Grid[#Data],$DE142,100),0)</f>
        <v/>
      </c>
      <c r="CZ142">
        <f>IFERROR(INDEX(PP_Grid[#Data],$DE142,101),0)</f>
        <v/>
      </c>
      <c r="DA142">
        <f>IFERROR(INDEX(PP_Grid[#Data],$DE142,102),0)</f>
        <v/>
      </c>
      <c r="DB142">
        <f>IFERROR(INDEX(PP_Grid[#Data],$DE142,103),0)</f>
        <v/>
      </c>
      <c r="DC142">
        <f>IFERROR(INDEX(PP_Grid[#Data],$DE142,104),0)</f>
        <v/>
      </c>
      <c r="DD142">
        <f>IFERROR(INDEX(PP_Grid[#Data],$DE142,105),0)</f>
        <v/>
      </c>
      <c r="DE142" s="7">
        <f>IFERROR(MATCH($B142,PP_Grid[Intermediate],0),99999)</f>
        <v/>
      </c>
    </row>
    <row r="143">
      <c r="B143" t="inlineStr">
        <is>
          <t>使用量(kg)</t>
        </is>
      </c>
      <c r="C143">
        <f>SUMIFS(M_BOM[RM_Qty_Per_Batch],M_BOM[Intermediate],$B142,M_BOM[RM_Code],$A139)</f>
        <v/>
      </c>
      <c r="D143">
        <f>IFERROR(INDEX(E143:DD143,$F$1),"")</f>
        <v/>
      </c>
      <c r="E143">
        <f>$C143*E142</f>
        <v/>
      </c>
      <c r="F143">
        <f>$C143*F142</f>
        <v/>
      </c>
      <c r="G143">
        <f>$C143*G142</f>
        <v/>
      </c>
      <c r="H143">
        <f>$C143*H142</f>
        <v/>
      </c>
      <c r="I143">
        <f>$C143*I142</f>
        <v/>
      </c>
      <c r="J143">
        <f>$C143*J142</f>
        <v/>
      </c>
      <c r="K143">
        <f>$C143*K142</f>
        <v/>
      </c>
      <c r="L143">
        <f>$C143*L142</f>
        <v/>
      </c>
      <c r="M143">
        <f>$C143*M142</f>
        <v/>
      </c>
      <c r="N143">
        <f>$C143*N142</f>
        <v/>
      </c>
      <c r="O143">
        <f>$C143*O142</f>
        <v/>
      </c>
      <c r="P143">
        <f>$C143*P142</f>
        <v/>
      </c>
      <c r="Q143">
        <f>$C143*Q142</f>
        <v/>
      </c>
      <c r="R143">
        <f>$C143*R142</f>
        <v/>
      </c>
      <c r="S143">
        <f>$C143*S142</f>
        <v/>
      </c>
      <c r="T143">
        <f>$C143*T142</f>
        <v/>
      </c>
      <c r="U143">
        <f>$C143*U142</f>
        <v/>
      </c>
      <c r="V143">
        <f>$C143*V142</f>
        <v/>
      </c>
      <c r="W143">
        <f>$C143*W142</f>
        <v/>
      </c>
      <c r="X143">
        <f>$C143*X142</f>
        <v/>
      </c>
      <c r="Y143">
        <f>$C143*Y142</f>
        <v/>
      </c>
      <c r="Z143">
        <f>$C143*Z142</f>
        <v/>
      </c>
      <c r="AA143">
        <f>$C143*AA142</f>
        <v/>
      </c>
      <c r="AB143">
        <f>$C143*AB142</f>
        <v/>
      </c>
      <c r="AC143">
        <f>$C143*AC142</f>
        <v/>
      </c>
      <c r="AD143">
        <f>$C143*AD142</f>
        <v/>
      </c>
      <c r="AE143">
        <f>$C143*AE142</f>
        <v/>
      </c>
      <c r="AF143">
        <f>$C143*AF142</f>
        <v/>
      </c>
      <c r="AG143">
        <f>$C143*AG142</f>
        <v/>
      </c>
      <c r="AH143">
        <f>$C143*AH142</f>
        <v/>
      </c>
      <c r="AI143">
        <f>$C143*AI142</f>
        <v/>
      </c>
      <c r="AJ143">
        <f>$C143*AJ142</f>
        <v/>
      </c>
      <c r="AK143">
        <f>$C143*AK142</f>
        <v/>
      </c>
      <c r="AL143">
        <f>$C143*AL142</f>
        <v/>
      </c>
      <c r="AM143">
        <f>$C143*AM142</f>
        <v/>
      </c>
      <c r="AN143">
        <f>$C143*AN142</f>
        <v/>
      </c>
      <c r="AO143">
        <f>$C143*AO142</f>
        <v/>
      </c>
      <c r="AP143">
        <f>$C143*AP142</f>
        <v/>
      </c>
      <c r="AQ143">
        <f>$C143*AQ142</f>
        <v/>
      </c>
      <c r="AR143">
        <f>$C143*AR142</f>
        <v/>
      </c>
      <c r="AS143">
        <f>$C143*AS142</f>
        <v/>
      </c>
      <c r="AT143">
        <f>$C143*AT142</f>
        <v/>
      </c>
      <c r="AU143">
        <f>$C143*AU142</f>
        <v/>
      </c>
      <c r="AV143">
        <f>$C143*AV142</f>
        <v/>
      </c>
      <c r="AW143">
        <f>$C143*AW142</f>
        <v/>
      </c>
      <c r="AX143">
        <f>$C143*AX142</f>
        <v/>
      </c>
      <c r="AY143">
        <f>$C143*AY142</f>
        <v/>
      </c>
      <c r="AZ143">
        <f>$C143*AZ142</f>
        <v/>
      </c>
      <c r="BA143">
        <f>$C143*BA142</f>
        <v/>
      </c>
      <c r="BB143">
        <f>$C143*BB142</f>
        <v/>
      </c>
      <c r="BC143">
        <f>$C143*BC142</f>
        <v/>
      </c>
      <c r="BD143">
        <f>$C143*BD142</f>
        <v/>
      </c>
      <c r="BE143">
        <f>$C143*BE142</f>
        <v/>
      </c>
      <c r="BF143">
        <f>$C143*BF142</f>
        <v/>
      </c>
      <c r="BG143">
        <f>$C143*BG142</f>
        <v/>
      </c>
      <c r="BH143">
        <f>$C143*BH142</f>
        <v/>
      </c>
      <c r="BI143">
        <f>$C143*BI142</f>
        <v/>
      </c>
      <c r="BJ143">
        <f>$C143*BJ142</f>
        <v/>
      </c>
      <c r="BK143">
        <f>$C143*BK142</f>
        <v/>
      </c>
      <c r="BL143">
        <f>$C143*BL142</f>
        <v/>
      </c>
      <c r="BM143">
        <f>$C143*BM142</f>
        <v/>
      </c>
      <c r="BN143">
        <f>$C143*BN142</f>
        <v/>
      </c>
      <c r="BO143">
        <f>$C143*BO142</f>
        <v/>
      </c>
      <c r="BP143">
        <f>$C143*BP142</f>
        <v/>
      </c>
      <c r="BQ143">
        <f>$C143*BQ142</f>
        <v/>
      </c>
      <c r="BR143">
        <f>$C143*BR142</f>
        <v/>
      </c>
      <c r="BS143">
        <f>$C143*BS142</f>
        <v/>
      </c>
      <c r="BT143">
        <f>$C143*BT142</f>
        <v/>
      </c>
      <c r="BU143">
        <f>$C143*BU142</f>
        <v/>
      </c>
      <c r="BV143">
        <f>$C143*BV142</f>
        <v/>
      </c>
      <c r="BW143">
        <f>$C143*BW142</f>
        <v/>
      </c>
      <c r="BX143">
        <f>$C143*BX142</f>
        <v/>
      </c>
      <c r="BY143">
        <f>$C143*BY142</f>
        <v/>
      </c>
      <c r="BZ143">
        <f>$C143*BZ142</f>
        <v/>
      </c>
      <c r="CA143">
        <f>$C143*CA142</f>
        <v/>
      </c>
      <c r="CB143">
        <f>$C143*CB142</f>
        <v/>
      </c>
      <c r="CC143">
        <f>$C143*CC142</f>
        <v/>
      </c>
      <c r="CD143">
        <f>$C143*CD142</f>
        <v/>
      </c>
      <c r="CE143">
        <f>$C143*CE142</f>
        <v/>
      </c>
      <c r="CF143">
        <f>$C143*CF142</f>
        <v/>
      </c>
      <c r="CG143">
        <f>$C143*CG142</f>
        <v/>
      </c>
      <c r="CH143">
        <f>$C143*CH142</f>
        <v/>
      </c>
      <c r="CI143">
        <f>$C143*CI142</f>
        <v/>
      </c>
      <c r="CJ143">
        <f>$C143*CJ142</f>
        <v/>
      </c>
      <c r="CK143">
        <f>$C143*CK142</f>
        <v/>
      </c>
      <c r="CL143">
        <f>$C143*CL142</f>
        <v/>
      </c>
      <c r="CM143">
        <f>$C143*CM142</f>
        <v/>
      </c>
      <c r="CN143">
        <f>$C143*CN142</f>
        <v/>
      </c>
      <c r="CO143">
        <f>$C143*CO142</f>
        <v/>
      </c>
      <c r="CP143">
        <f>$C143*CP142</f>
        <v/>
      </c>
      <c r="CQ143">
        <f>$C143*CQ142</f>
        <v/>
      </c>
      <c r="CR143">
        <f>$C143*CR142</f>
        <v/>
      </c>
      <c r="CS143">
        <f>$C143*CS142</f>
        <v/>
      </c>
      <c r="CT143">
        <f>$C143*CT142</f>
        <v/>
      </c>
      <c r="CU143">
        <f>$C143*CU142</f>
        <v/>
      </c>
      <c r="CV143">
        <f>$C143*CV142</f>
        <v/>
      </c>
      <c r="CW143">
        <f>$C143*CW142</f>
        <v/>
      </c>
      <c r="CX143">
        <f>$C143*CX142</f>
        <v/>
      </c>
      <c r="CY143">
        <f>$C143*CY142</f>
        <v/>
      </c>
      <c r="CZ143">
        <f>$C143*CZ142</f>
        <v/>
      </c>
      <c r="DA143">
        <f>$C143*DA142</f>
        <v/>
      </c>
      <c r="DB143">
        <f>$C143*DB142</f>
        <v/>
      </c>
      <c r="DC143">
        <f>$C143*DC142</f>
        <v/>
      </c>
      <c r="DD143">
        <f>$C143*DD142</f>
        <v/>
      </c>
    </row>
    <row r="144">
      <c r="B144" t="inlineStr">
        <is>
          <t>TSP-069</t>
        </is>
      </c>
      <c r="C144" t="inlineStr">
        <is>
          <t>No. of batches</t>
        </is>
      </c>
      <c r="D144">
        <f>IFERROR(INDEX(E144:DD144,$F$1),"")</f>
        <v/>
      </c>
      <c r="E144">
        <f>IFERROR(INDEX(PP_Grid[#Data],$DE144,2),0)</f>
        <v/>
      </c>
      <c r="F144">
        <f>IFERROR(INDEX(PP_Grid[#Data],$DE144,3),0)</f>
        <v/>
      </c>
      <c r="G144">
        <f>IFERROR(INDEX(PP_Grid[#Data],$DE144,4),0)</f>
        <v/>
      </c>
      <c r="H144">
        <f>IFERROR(INDEX(PP_Grid[#Data],$DE144,5),0)</f>
        <v/>
      </c>
      <c r="I144">
        <f>IFERROR(INDEX(PP_Grid[#Data],$DE144,6),0)</f>
        <v/>
      </c>
      <c r="J144">
        <f>IFERROR(INDEX(PP_Grid[#Data],$DE144,7),0)</f>
        <v/>
      </c>
      <c r="K144">
        <f>IFERROR(INDEX(PP_Grid[#Data],$DE144,8),0)</f>
        <v/>
      </c>
      <c r="L144">
        <f>IFERROR(INDEX(PP_Grid[#Data],$DE144,9),0)</f>
        <v/>
      </c>
      <c r="M144">
        <f>IFERROR(INDEX(PP_Grid[#Data],$DE144,10),0)</f>
        <v/>
      </c>
      <c r="N144">
        <f>IFERROR(INDEX(PP_Grid[#Data],$DE144,11),0)</f>
        <v/>
      </c>
      <c r="O144">
        <f>IFERROR(INDEX(PP_Grid[#Data],$DE144,12),0)</f>
        <v/>
      </c>
      <c r="P144">
        <f>IFERROR(INDEX(PP_Grid[#Data],$DE144,13),0)</f>
        <v/>
      </c>
      <c r="Q144">
        <f>IFERROR(INDEX(PP_Grid[#Data],$DE144,14),0)</f>
        <v/>
      </c>
      <c r="R144">
        <f>IFERROR(INDEX(PP_Grid[#Data],$DE144,15),0)</f>
        <v/>
      </c>
      <c r="S144">
        <f>IFERROR(INDEX(PP_Grid[#Data],$DE144,16),0)</f>
        <v/>
      </c>
      <c r="T144">
        <f>IFERROR(INDEX(PP_Grid[#Data],$DE144,17),0)</f>
        <v/>
      </c>
      <c r="U144">
        <f>IFERROR(INDEX(PP_Grid[#Data],$DE144,18),0)</f>
        <v/>
      </c>
      <c r="V144">
        <f>IFERROR(INDEX(PP_Grid[#Data],$DE144,19),0)</f>
        <v/>
      </c>
      <c r="W144">
        <f>IFERROR(INDEX(PP_Grid[#Data],$DE144,20),0)</f>
        <v/>
      </c>
      <c r="X144">
        <f>IFERROR(INDEX(PP_Grid[#Data],$DE144,21),0)</f>
        <v/>
      </c>
      <c r="Y144">
        <f>IFERROR(INDEX(PP_Grid[#Data],$DE144,22),0)</f>
        <v/>
      </c>
      <c r="Z144">
        <f>IFERROR(INDEX(PP_Grid[#Data],$DE144,23),0)</f>
        <v/>
      </c>
      <c r="AA144">
        <f>IFERROR(INDEX(PP_Grid[#Data],$DE144,24),0)</f>
        <v/>
      </c>
      <c r="AB144">
        <f>IFERROR(INDEX(PP_Grid[#Data],$DE144,25),0)</f>
        <v/>
      </c>
      <c r="AC144">
        <f>IFERROR(INDEX(PP_Grid[#Data],$DE144,26),0)</f>
        <v/>
      </c>
      <c r="AD144">
        <f>IFERROR(INDEX(PP_Grid[#Data],$DE144,27),0)</f>
        <v/>
      </c>
      <c r="AE144">
        <f>IFERROR(INDEX(PP_Grid[#Data],$DE144,28),0)</f>
        <v/>
      </c>
      <c r="AF144">
        <f>IFERROR(INDEX(PP_Grid[#Data],$DE144,29),0)</f>
        <v/>
      </c>
      <c r="AG144">
        <f>IFERROR(INDEX(PP_Grid[#Data],$DE144,30),0)</f>
        <v/>
      </c>
      <c r="AH144">
        <f>IFERROR(INDEX(PP_Grid[#Data],$DE144,31),0)</f>
        <v/>
      </c>
      <c r="AI144">
        <f>IFERROR(INDEX(PP_Grid[#Data],$DE144,32),0)</f>
        <v/>
      </c>
      <c r="AJ144">
        <f>IFERROR(INDEX(PP_Grid[#Data],$DE144,33),0)</f>
        <v/>
      </c>
      <c r="AK144">
        <f>IFERROR(INDEX(PP_Grid[#Data],$DE144,34),0)</f>
        <v/>
      </c>
      <c r="AL144">
        <f>IFERROR(INDEX(PP_Grid[#Data],$DE144,35),0)</f>
        <v/>
      </c>
      <c r="AM144">
        <f>IFERROR(INDEX(PP_Grid[#Data],$DE144,36),0)</f>
        <v/>
      </c>
      <c r="AN144">
        <f>IFERROR(INDEX(PP_Grid[#Data],$DE144,37),0)</f>
        <v/>
      </c>
      <c r="AO144">
        <f>IFERROR(INDEX(PP_Grid[#Data],$DE144,38),0)</f>
        <v/>
      </c>
      <c r="AP144">
        <f>IFERROR(INDEX(PP_Grid[#Data],$DE144,39),0)</f>
        <v/>
      </c>
      <c r="AQ144">
        <f>IFERROR(INDEX(PP_Grid[#Data],$DE144,40),0)</f>
        <v/>
      </c>
      <c r="AR144">
        <f>IFERROR(INDEX(PP_Grid[#Data],$DE144,41),0)</f>
        <v/>
      </c>
      <c r="AS144">
        <f>IFERROR(INDEX(PP_Grid[#Data],$DE144,42),0)</f>
        <v/>
      </c>
      <c r="AT144">
        <f>IFERROR(INDEX(PP_Grid[#Data],$DE144,43),0)</f>
        <v/>
      </c>
      <c r="AU144">
        <f>IFERROR(INDEX(PP_Grid[#Data],$DE144,44),0)</f>
        <v/>
      </c>
      <c r="AV144">
        <f>IFERROR(INDEX(PP_Grid[#Data],$DE144,45),0)</f>
        <v/>
      </c>
      <c r="AW144">
        <f>IFERROR(INDEX(PP_Grid[#Data],$DE144,46),0)</f>
        <v/>
      </c>
      <c r="AX144">
        <f>IFERROR(INDEX(PP_Grid[#Data],$DE144,47),0)</f>
        <v/>
      </c>
      <c r="AY144">
        <f>IFERROR(INDEX(PP_Grid[#Data],$DE144,48),0)</f>
        <v/>
      </c>
      <c r="AZ144">
        <f>IFERROR(INDEX(PP_Grid[#Data],$DE144,49),0)</f>
        <v/>
      </c>
      <c r="BA144">
        <f>IFERROR(INDEX(PP_Grid[#Data],$DE144,50),0)</f>
        <v/>
      </c>
      <c r="BB144">
        <f>IFERROR(INDEX(PP_Grid[#Data],$DE144,51),0)</f>
        <v/>
      </c>
      <c r="BC144">
        <f>IFERROR(INDEX(PP_Grid[#Data],$DE144,52),0)</f>
        <v/>
      </c>
      <c r="BD144">
        <f>IFERROR(INDEX(PP_Grid[#Data],$DE144,53),0)</f>
        <v/>
      </c>
      <c r="BE144">
        <f>IFERROR(INDEX(PP_Grid[#Data],$DE144,54),0)</f>
        <v/>
      </c>
      <c r="BF144">
        <f>IFERROR(INDEX(PP_Grid[#Data],$DE144,55),0)</f>
        <v/>
      </c>
      <c r="BG144">
        <f>IFERROR(INDEX(PP_Grid[#Data],$DE144,56),0)</f>
        <v/>
      </c>
      <c r="BH144">
        <f>IFERROR(INDEX(PP_Grid[#Data],$DE144,57),0)</f>
        <v/>
      </c>
      <c r="BI144">
        <f>IFERROR(INDEX(PP_Grid[#Data],$DE144,58),0)</f>
        <v/>
      </c>
      <c r="BJ144">
        <f>IFERROR(INDEX(PP_Grid[#Data],$DE144,59),0)</f>
        <v/>
      </c>
      <c r="BK144">
        <f>IFERROR(INDEX(PP_Grid[#Data],$DE144,60),0)</f>
        <v/>
      </c>
      <c r="BL144">
        <f>IFERROR(INDEX(PP_Grid[#Data],$DE144,61),0)</f>
        <v/>
      </c>
      <c r="BM144">
        <f>IFERROR(INDEX(PP_Grid[#Data],$DE144,62),0)</f>
        <v/>
      </c>
      <c r="BN144">
        <f>IFERROR(INDEX(PP_Grid[#Data],$DE144,63),0)</f>
        <v/>
      </c>
      <c r="BO144">
        <f>IFERROR(INDEX(PP_Grid[#Data],$DE144,64),0)</f>
        <v/>
      </c>
      <c r="BP144">
        <f>IFERROR(INDEX(PP_Grid[#Data],$DE144,65),0)</f>
        <v/>
      </c>
      <c r="BQ144">
        <f>IFERROR(INDEX(PP_Grid[#Data],$DE144,66),0)</f>
        <v/>
      </c>
      <c r="BR144">
        <f>IFERROR(INDEX(PP_Grid[#Data],$DE144,67),0)</f>
        <v/>
      </c>
      <c r="BS144">
        <f>IFERROR(INDEX(PP_Grid[#Data],$DE144,68),0)</f>
        <v/>
      </c>
      <c r="BT144">
        <f>IFERROR(INDEX(PP_Grid[#Data],$DE144,69),0)</f>
        <v/>
      </c>
      <c r="BU144">
        <f>IFERROR(INDEX(PP_Grid[#Data],$DE144,70),0)</f>
        <v/>
      </c>
      <c r="BV144">
        <f>IFERROR(INDEX(PP_Grid[#Data],$DE144,71),0)</f>
        <v/>
      </c>
      <c r="BW144">
        <f>IFERROR(INDEX(PP_Grid[#Data],$DE144,72),0)</f>
        <v/>
      </c>
      <c r="BX144">
        <f>IFERROR(INDEX(PP_Grid[#Data],$DE144,73),0)</f>
        <v/>
      </c>
      <c r="BY144">
        <f>IFERROR(INDEX(PP_Grid[#Data],$DE144,74),0)</f>
        <v/>
      </c>
      <c r="BZ144">
        <f>IFERROR(INDEX(PP_Grid[#Data],$DE144,75),0)</f>
        <v/>
      </c>
      <c r="CA144">
        <f>IFERROR(INDEX(PP_Grid[#Data],$DE144,76),0)</f>
        <v/>
      </c>
      <c r="CB144">
        <f>IFERROR(INDEX(PP_Grid[#Data],$DE144,77),0)</f>
        <v/>
      </c>
      <c r="CC144">
        <f>IFERROR(INDEX(PP_Grid[#Data],$DE144,78),0)</f>
        <v/>
      </c>
      <c r="CD144">
        <f>IFERROR(INDEX(PP_Grid[#Data],$DE144,79),0)</f>
        <v/>
      </c>
      <c r="CE144">
        <f>IFERROR(INDEX(PP_Grid[#Data],$DE144,80),0)</f>
        <v/>
      </c>
      <c r="CF144">
        <f>IFERROR(INDEX(PP_Grid[#Data],$DE144,81),0)</f>
        <v/>
      </c>
      <c r="CG144">
        <f>IFERROR(INDEX(PP_Grid[#Data],$DE144,82),0)</f>
        <v/>
      </c>
      <c r="CH144">
        <f>IFERROR(INDEX(PP_Grid[#Data],$DE144,83),0)</f>
        <v/>
      </c>
      <c r="CI144">
        <f>IFERROR(INDEX(PP_Grid[#Data],$DE144,84),0)</f>
        <v/>
      </c>
      <c r="CJ144">
        <f>IFERROR(INDEX(PP_Grid[#Data],$DE144,85),0)</f>
        <v/>
      </c>
      <c r="CK144">
        <f>IFERROR(INDEX(PP_Grid[#Data],$DE144,86),0)</f>
        <v/>
      </c>
      <c r="CL144">
        <f>IFERROR(INDEX(PP_Grid[#Data],$DE144,87),0)</f>
        <v/>
      </c>
      <c r="CM144">
        <f>IFERROR(INDEX(PP_Grid[#Data],$DE144,88),0)</f>
        <v/>
      </c>
      <c r="CN144">
        <f>IFERROR(INDEX(PP_Grid[#Data],$DE144,89),0)</f>
        <v/>
      </c>
      <c r="CO144">
        <f>IFERROR(INDEX(PP_Grid[#Data],$DE144,90),0)</f>
        <v/>
      </c>
      <c r="CP144">
        <f>IFERROR(INDEX(PP_Grid[#Data],$DE144,91),0)</f>
        <v/>
      </c>
      <c r="CQ144">
        <f>IFERROR(INDEX(PP_Grid[#Data],$DE144,92),0)</f>
        <v/>
      </c>
      <c r="CR144">
        <f>IFERROR(INDEX(PP_Grid[#Data],$DE144,93),0)</f>
        <v/>
      </c>
      <c r="CS144">
        <f>IFERROR(INDEX(PP_Grid[#Data],$DE144,94),0)</f>
        <v/>
      </c>
      <c r="CT144">
        <f>IFERROR(INDEX(PP_Grid[#Data],$DE144,95),0)</f>
        <v/>
      </c>
      <c r="CU144">
        <f>IFERROR(INDEX(PP_Grid[#Data],$DE144,96),0)</f>
        <v/>
      </c>
      <c r="CV144">
        <f>IFERROR(INDEX(PP_Grid[#Data],$DE144,97),0)</f>
        <v/>
      </c>
      <c r="CW144">
        <f>IFERROR(INDEX(PP_Grid[#Data],$DE144,98),0)</f>
        <v/>
      </c>
      <c r="CX144">
        <f>IFERROR(INDEX(PP_Grid[#Data],$DE144,99),0)</f>
        <v/>
      </c>
      <c r="CY144">
        <f>IFERROR(INDEX(PP_Grid[#Data],$DE144,100),0)</f>
        <v/>
      </c>
      <c r="CZ144">
        <f>IFERROR(INDEX(PP_Grid[#Data],$DE144,101),0)</f>
        <v/>
      </c>
      <c r="DA144">
        <f>IFERROR(INDEX(PP_Grid[#Data],$DE144,102),0)</f>
        <v/>
      </c>
      <c r="DB144">
        <f>IFERROR(INDEX(PP_Grid[#Data],$DE144,103),0)</f>
        <v/>
      </c>
      <c r="DC144">
        <f>IFERROR(INDEX(PP_Grid[#Data],$DE144,104),0)</f>
        <v/>
      </c>
      <c r="DD144">
        <f>IFERROR(INDEX(PP_Grid[#Data],$DE144,105),0)</f>
        <v/>
      </c>
      <c r="DE144" s="7">
        <f>IFERROR(MATCH($B144,PP_Grid[Intermediate],0),99999)</f>
        <v/>
      </c>
    </row>
    <row r="145">
      <c r="B145" t="inlineStr">
        <is>
          <t>使用量(kg)</t>
        </is>
      </c>
      <c r="C145">
        <f>SUMIFS(M_BOM[RM_Qty_Per_Batch],M_BOM[Intermediate],$B144,M_BOM[RM_Code],$A139)</f>
        <v/>
      </c>
      <c r="D145">
        <f>IFERROR(INDEX(E145:DD145,$F$1),"")</f>
        <v/>
      </c>
      <c r="E145">
        <f>$C145*E144</f>
        <v/>
      </c>
      <c r="F145">
        <f>$C145*F144</f>
        <v/>
      </c>
      <c r="G145">
        <f>$C145*G144</f>
        <v/>
      </c>
      <c r="H145">
        <f>$C145*H144</f>
        <v/>
      </c>
      <c r="I145">
        <f>$C145*I144</f>
        <v/>
      </c>
      <c r="J145">
        <f>$C145*J144</f>
        <v/>
      </c>
      <c r="K145">
        <f>$C145*K144</f>
        <v/>
      </c>
      <c r="L145">
        <f>$C145*L144</f>
        <v/>
      </c>
      <c r="M145">
        <f>$C145*M144</f>
        <v/>
      </c>
      <c r="N145">
        <f>$C145*N144</f>
        <v/>
      </c>
      <c r="O145">
        <f>$C145*O144</f>
        <v/>
      </c>
      <c r="P145">
        <f>$C145*P144</f>
        <v/>
      </c>
      <c r="Q145">
        <f>$C145*Q144</f>
        <v/>
      </c>
      <c r="R145">
        <f>$C145*R144</f>
        <v/>
      </c>
      <c r="S145">
        <f>$C145*S144</f>
        <v/>
      </c>
      <c r="T145">
        <f>$C145*T144</f>
        <v/>
      </c>
      <c r="U145">
        <f>$C145*U144</f>
        <v/>
      </c>
      <c r="V145">
        <f>$C145*V144</f>
        <v/>
      </c>
      <c r="W145">
        <f>$C145*W144</f>
        <v/>
      </c>
      <c r="X145">
        <f>$C145*X144</f>
        <v/>
      </c>
      <c r="Y145">
        <f>$C145*Y144</f>
        <v/>
      </c>
      <c r="Z145">
        <f>$C145*Z144</f>
        <v/>
      </c>
      <c r="AA145">
        <f>$C145*AA144</f>
        <v/>
      </c>
      <c r="AB145">
        <f>$C145*AB144</f>
        <v/>
      </c>
      <c r="AC145">
        <f>$C145*AC144</f>
        <v/>
      </c>
      <c r="AD145">
        <f>$C145*AD144</f>
        <v/>
      </c>
      <c r="AE145">
        <f>$C145*AE144</f>
        <v/>
      </c>
      <c r="AF145">
        <f>$C145*AF144</f>
        <v/>
      </c>
      <c r="AG145">
        <f>$C145*AG144</f>
        <v/>
      </c>
      <c r="AH145">
        <f>$C145*AH144</f>
        <v/>
      </c>
      <c r="AI145">
        <f>$C145*AI144</f>
        <v/>
      </c>
      <c r="AJ145">
        <f>$C145*AJ144</f>
        <v/>
      </c>
      <c r="AK145">
        <f>$C145*AK144</f>
        <v/>
      </c>
      <c r="AL145">
        <f>$C145*AL144</f>
        <v/>
      </c>
      <c r="AM145">
        <f>$C145*AM144</f>
        <v/>
      </c>
      <c r="AN145">
        <f>$C145*AN144</f>
        <v/>
      </c>
      <c r="AO145">
        <f>$C145*AO144</f>
        <v/>
      </c>
      <c r="AP145">
        <f>$C145*AP144</f>
        <v/>
      </c>
      <c r="AQ145">
        <f>$C145*AQ144</f>
        <v/>
      </c>
      <c r="AR145">
        <f>$C145*AR144</f>
        <v/>
      </c>
      <c r="AS145">
        <f>$C145*AS144</f>
        <v/>
      </c>
      <c r="AT145">
        <f>$C145*AT144</f>
        <v/>
      </c>
      <c r="AU145">
        <f>$C145*AU144</f>
        <v/>
      </c>
      <c r="AV145">
        <f>$C145*AV144</f>
        <v/>
      </c>
      <c r="AW145">
        <f>$C145*AW144</f>
        <v/>
      </c>
      <c r="AX145">
        <f>$C145*AX144</f>
        <v/>
      </c>
      <c r="AY145">
        <f>$C145*AY144</f>
        <v/>
      </c>
      <c r="AZ145">
        <f>$C145*AZ144</f>
        <v/>
      </c>
      <c r="BA145">
        <f>$C145*BA144</f>
        <v/>
      </c>
      <c r="BB145">
        <f>$C145*BB144</f>
        <v/>
      </c>
      <c r="BC145">
        <f>$C145*BC144</f>
        <v/>
      </c>
      <c r="BD145">
        <f>$C145*BD144</f>
        <v/>
      </c>
      <c r="BE145">
        <f>$C145*BE144</f>
        <v/>
      </c>
      <c r="BF145">
        <f>$C145*BF144</f>
        <v/>
      </c>
      <c r="BG145">
        <f>$C145*BG144</f>
        <v/>
      </c>
      <c r="BH145">
        <f>$C145*BH144</f>
        <v/>
      </c>
      <c r="BI145">
        <f>$C145*BI144</f>
        <v/>
      </c>
      <c r="BJ145">
        <f>$C145*BJ144</f>
        <v/>
      </c>
      <c r="BK145">
        <f>$C145*BK144</f>
        <v/>
      </c>
      <c r="BL145">
        <f>$C145*BL144</f>
        <v/>
      </c>
      <c r="BM145">
        <f>$C145*BM144</f>
        <v/>
      </c>
      <c r="BN145">
        <f>$C145*BN144</f>
        <v/>
      </c>
      <c r="BO145">
        <f>$C145*BO144</f>
        <v/>
      </c>
      <c r="BP145">
        <f>$C145*BP144</f>
        <v/>
      </c>
      <c r="BQ145">
        <f>$C145*BQ144</f>
        <v/>
      </c>
      <c r="BR145">
        <f>$C145*BR144</f>
        <v/>
      </c>
      <c r="BS145">
        <f>$C145*BS144</f>
        <v/>
      </c>
      <c r="BT145">
        <f>$C145*BT144</f>
        <v/>
      </c>
      <c r="BU145">
        <f>$C145*BU144</f>
        <v/>
      </c>
      <c r="BV145">
        <f>$C145*BV144</f>
        <v/>
      </c>
      <c r="BW145">
        <f>$C145*BW144</f>
        <v/>
      </c>
      <c r="BX145">
        <f>$C145*BX144</f>
        <v/>
      </c>
      <c r="BY145">
        <f>$C145*BY144</f>
        <v/>
      </c>
      <c r="BZ145">
        <f>$C145*BZ144</f>
        <v/>
      </c>
      <c r="CA145">
        <f>$C145*CA144</f>
        <v/>
      </c>
      <c r="CB145">
        <f>$C145*CB144</f>
        <v/>
      </c>
      <c r="CC145">
        <f>$C145*CC144</f>
        <v/>
      </c>
      <c r="CD145">
        <f>$C145*CD144</f>
        <v/>
      </c>
      <c r="CE145">
        <f>$C145*CE144</f>
        <v/>
      </c>
      <c r="CF145">
        <f>$C145*CF144</f>
        <v/>
      </c>
      <c r="CG145">
        <f>$C145*CG144</f>
        <v/>
      </c>
      <c r="CH145">
        <f>$C145*CH144</f>
        <v/>
      </c>
      <c r="CI145">
        <f>$C145*CI144</f>
        <v/>
      </c>
      <c r="CJ145">
        <f>$C145*CJ144</f>
        <v/>
      </c>
      <c r="CK145">
        <f>$C145*CK144</f>
        <v/>
      </c>
      <c r="CL145">
        <f>$C145*CL144</f>
        <v/>
      </c>
      <c r="CM145">
        <f>$C145*CM144</f>
        <v/>
      </c>
      <c r="CN145">
        <f>$C145*CN144</f>
        <v/>
      </c>
      <c r="CO145">
        <f>$C145*CO144</f>
        <v/>
      </c>
      <c r="CP145">
        <f>$C145*CP144</f>
        <v/>
      </c>
      <c r="CQ145">
        <f>$C145*CQ144</f>
        <v/>
      </c>
      <c r="CR145">
        <f>$C145*CR144</f>
        <v/>
      </c>
      <c r="CS145">
        <f>$C145*CS144</f>
        <v/>
      </c>
      <c r="CT145">
        <f>$C145*CT144</f>
        <v/>
      </c>
      <c r="CU145">
        <f>$C145*CU144</f>
        <v/>
      </c>
      <c r="CV145">
        <f>$C145*CV144</f>
        <v/>
      </c>
      <c r="CW145">
        <f>$C145*CW144</f>
        <v/>
      </c>
      <c r="CX145">
        <f>$C145*CX144</f>
        <v/>
      </c>
      <c r="CY145">
        <f>$C145*CY144</f>
        <v/>
      </c>
      <c r="CZ145">
        <f>$C145*CZ144</f>
        <v/>
      </c>
      <c r="DA145">
        <f>$C145*DA144</f>
        <v/>
      </c>
      <c r="DB145">
        <f>$C145*DB144</f>
        <v/>
      </c>
      <c r="DC145">
        <f>$C145*DC144</f>
        <v/>
      </c>
      <c r="DD145">
        <f>$C145*DD144</f>
        <v/>
      </c>
    </row>
    <row r="146">
      <c r="B146" t="inlineStr">
        <is>
          <t>TSP-077</t>
        </is>
      </c>
      <c r="C146" t="inlineStr">
        <is>
          <t>No. of batches</t>
        </is>
      </c>
      <c r="D146">
        <f>IFERROR(INDEX(E146:DD146,$F$1),"")</f>
        <v/>
      </c>
      <c r="E146">
        <f>IFERROR(INDEX(PP_Grid[#Data],$DE146,2),0)</f>
        <v/>
      </c>
      <c r="F146">
        <f>IFERROR(INDEX(PP_Grid[#Data],$DE146,3),0)</f>
        <v/>
      </c>
      <c r="G146">
        <f>IFERROR(INDEX(PP_Grid[#Data],$DE146,4),0)</f>
        <v/>
      </c>
      <c r="H146">
        <f>IFERROR(INDEX(PP_Grid[#Data],$DE146,5),0)</f>
        <v/>
      </c>
      <c r="I146">
        <f>IFERROR(INDEX(PP_Grid[#Data],$DE146,6),0)</f>
        <v/>
      </c>
      <c r="J146">
        <f>IFERROR(INDEX(PP_Grid[#Data],$DE146,7),0)</f>
        <v/>
      </c>
      <c r="K146">
        <f>IFERROR(INDEX(PP_Grid[#Data],$DE146,8),0)</f>
        <v/>
      </c>
      <c r="L146">
        <f>IFERROR(INDEX(PP_Grid[#Data],$DE146,9),0)</f>
        <v/>
      </c>
      <c r="M146">
        <f>IFERROR(INDEX(PP_Grid[#Data],$DE146,10),0)</f>
        <v/>
      </c>
      <c r="N146">
        <f>IFERROR(INDEX(PP_Grid[#Data],$DE146,11),0)</f>
        <v/>
      </c>
      <c r="O146">
        <f>IFERROR(INDEX(PP_Grid[#Data],$DE146,12),0)</f>
        <v/>
      </c>
      <c r="P146">
        <f>IFERROR(INDEX(PP_Grid[#Data],$DE146,13),0)</f>
        <v/>
      </c>
      <c r="Q146">
        <f>IFERROR(INDEX(PP_Grid[#Data],$DE146,14),0)</f>
        <v/>
      </c>
      <c r="R146">
        <f>IFERROR(INDEX(PP_Grid[#Data],$DE146,15),0)</f>
        <v/>
      </c>
      <c r="S146">
        <f>IFERROR(INDEX(PP_Grid[#Data],$DE146,16),0)</f>
        <v/>
      </c>
      <c r="T146">
        <f>IFERROR(INDEX(PP_Grid[#Data],$DE146,17),0)</f>
        <v/>
      </c>
      <c r="U146">
        <f>IFERROR(INDEX(PP_Grid[#Data],$DE146,18),0)</f>
        <v/>
      </c>
      <c r="V146">
        <f>IFERROR(INDEX(PP_Grid[#Data],$DE146,19),0)</f>
        <v/>
      </c>
      <c r="W146">
        <f>IFERROR(INDEX(PP_Grid[#Data],$DE146,20),0)</f>
        <v/>
      </c>
      <c r="X146">
        <f>IFERROR(INDEX(PP_Grid[#Data],$DE146,21),0)</f>
        <v/>
      </c>
      <c r="Y146">
        <f>IFERROR(INDEX(PP_Grid[#Data],$DE146,22),0)</f>
        <v/>
      </c>
      <c r="Z146">
        <f>IFERROR(INDEX(PP_Grid[#Data],$DE146,23),0)</f>
        <v/>
      </c>
      <c r="AA146">
        <f>IFERROR(INDEX(PP_Grid[#Data],$DE146,24),0)</f>
        <v/>
      </c>
      <c r="AB146">
        <f>IFERROR(INDEX(PP_Grid[#Data],$DE146,25),0)</f>
        <v/>
      </c>
      <c r="AC146">
        <f>IFERROR(INDEX(PP_Grid[#Data],$DE146,26),0)</f>
        <v/>
      </c>
      <c r="AD146">
        <f>IFERROR(INDEX(PP_Grid[#Data],$DE146,27),0)</f>
        <v/>
      </c>
      <c r="AE146">
        <f>IFERROR(INDEX(PP_Grid[#Data],$DE146,28),0)</f>
        <v/>
      </c>
      <c r="AF146">
        <f>IFERROR(INDEX(PP_Grid[#Data],$DE146,29),0)</f>
        <v/>
      </c>
      <c r="AG146">
        <f>IFERROR(INDEX(PP_Grid[#Data],$DE146,30),0)</f>
        <v/>
      </c>
      <c r="AH146">
        <f>IFERROR(INDEX(PP_Grid[#Data],$DE146,31),0)</f>
        <v/>
      </c>
      <c r="AI146">
        <f>IFERROR(INDEX(PP_Grid[#Data],$DE146,32),0)</f>
        <v/>
      </c>
      <c r="AJ146">
        <f>IFERROR(INDEX(PP_Grid[#Data],$DE146,33),0)</f>
        <v/>
      </c>
      <c r="AK146">
        <f>IFERROR(INDEX(PP_Grid[#Data],$DE146,34),0)</f>
        <v/>
      </c>
      <c r="AL146">
        <f>IFERROR(INDEX(PP_Grid[#Data],$DE146,35),0)</f>
        <v/>
      </c>
      <c r="AM146">
        <f>IFERROR(INDEX(PP_Grid[#Data],$DE146,36),0)</f>
        <v/>
      </c>
      <c r="AN146">
        <f>IFERROR(INDEX(PP_Grid[#Data],$DE146,37),0)</f>
        <v/>
      </c>
      <c r="AO146">
        <f>IFERROR(INDEX(PP_Grid[#Data],$DE146,38),0)</f>
        <v/>
      </c>
      <c r="AP146">
        <f>IFERROR(INDEX(PP_Grid[#Data],$DE146,39),0)</f>
        <v/>
      </c>
      <c r="AQ146">
        <f>IFERROR(INDEX(PP_Grid[#Data],$DE146,40),0)</f>
        <v/>
      </c>
      <c r="AR146">
        <f>IFERROR(INDEX(PP_Grid[#Data],$DE146,41),0)</f>
        <v/>
      </c>
      <c r="AS146">
        <f>IFERROR(INDEX(PP_Grid[#Data],$DE146,42),0)</f>
        <v/>
      </c>
      <c r="AT146">
        <f>IFERROR(INDEX(PP_Grid[#Data],$DE146,43),0)</f>
        <v/>
      </c>
      <c r="AU146">
        <f>IFERROR(INDEX(PP_Grid[#Data],$DE146,44),0)</f>
        <v/>
      </c>
      <c r="AV146">
        <f>IFERROR(INDEX(PP_Grid[#Data],$DE146,45),0)</f>
        <v/>
      </c>
      <c r="AW146">
        <f>IFERROR(INDEX(PP_Grid[#Data],$DE146,46),0)</f>
        <v/>
      </c>
      <c r="AX146">
        <f>IFERROR(INDEX(PP_Grid[#Data],$DE146,47),0)</f>
        <v/>
      </c>
      <c r="AY146">
        <f>IFERROR(INDEX(PP_Grid[#Data],$DE146,48),0)</f>
        <v/>
      </c>
      <c r="AZ146">
        <f>IFERROR(INDEX(PP_Grid[#Data],$DE146,49),0)</f>
        <v/>
      </c>
      <c r="BA146">
        <f>IFERROR(INDEX(PP_Grid[#Data],$DE146,50),0)</f>
        <v/>
      </c>
      <c r="BB146">
        <f>IFERROR(INDEX(PP_Grid[#Data],$DE146,51),0)</f>
        <v/>
      </c>
      <c r="BC146">
        <f>IFERROR(INDEX(PP_Grid[#Data],$DE146,52),0)</f>
        <v/>
      </c>
      <c r="BD146">
        <f>IFERROR(INDEX(PP_Grid[#Data],$DE146,53),0)</f>
        <v/>
      </c>
      <c r="BE146">
        <f>IFERROR(INDEX(PP_Grid[#Data],$DE146,54),0)</f>
        <v/>
      </c>
      <c r="BF146">
        <f>IFERROR(INDEX(PP_Grid[#Data],$DE146,55),0)</f>
        <v/>
      </c>
      <c r="BG146">
        <f>IFERROR(INDEX(PP_Grid[#Data],$DE146,56),0)</f>
        <v/>
      </c>
      <c r="BH146">
        <f>IFERROR(INDEX(PP_Grid[#Data],$DE146,57),0)</f>
        <v/>
      </c>
      <c r="BI146">
        <f>IFERROR(INDEX(PP_Grid[#Data],$DE146,58),0)</f>
        <v/>
      </c>
      <c r="BJ146">
        <f>IFERROR(INDEX(PP_Grid[#Data],$DE146,59),0)</f>
        <v/>
      </c>
      <c r="BK146">
        <f>IFERROR(INDEX(PP_Grid[#Data],$DE146,60),0)</f>
        <v/>
      </c>
      <c r="BL146">
        <f>IFERROR(INDEX(PP_Grid[#Data],$DE146,61),0)</f>
        <v/>
      </c>
      <c r="BM146">
        <f>IFERROR(INDEX(PP_Grid[#Data],$DE146,62),0)</f>
        <v/>
      </c>
      <c r="BN146">
        <f>IFERROR(INDEX(PP_Grid[#Data],$DE146,63),0)</f>
        <v/>
      </c>
      <c r="BO146">
        <f>IFERROR(INDEX(PP_Grid[#Data],$DE146,64),0)</f>
        <v/>
      </c>
      <c r="BP146">
        <f>IFERROR(INDEX(PP_Grid[#Data],$DE146,65),0)</f>
        <v/>
      </c>
      <c r="BQ146">
        <f>IFERROR(INDEX(PP_Grid[#Data],$DE146,66),0)</f>
        <v/>
      </c>
      <c r="BR146">
        <f>IFERROR(INDEX(PP_Grid[#Data],$DE146,67),0)</f>
        <v/>
      </c>
      <c r="BS146">
        <f>IFERROR(INDEX(PP_Grid[#Data],$DE146,68),0)</f>
        <v/>
      </c>
      <c r="BT146">
        <f>IFERROR(INDEX(PP_Grid[#Data],$DE146,69),0)</f>
        <v/>
      </c>
      <c r="BU146">
        <f>IFERROR(INDEX(PP_Grid[#Data],$DE146,70),0)</f>
        <v/>
      </c>
      <c r="BV146">
        <f>IFERROR(INDEX(PP_Grid[#Data],$DE146,71),0)</f>
        <v/>
      </c>
      <c r="BW146">
        <f>IFERROR(INDEX(PP_Grid[#Data],$DE146,72),0)</f>
        <v/>
      </c>
      <c r="BX146">
        <f>IFERROR(INDEX(PP_Grid[#Data],$DE146,73),0)</f>
        <v/>
      </c>
      <c r="BY146">
        <f>IFERROR(INDEX(PP_Grid[#Data],$DE146,74),0)</f>
        <v/>
      </c>
      <c r="BZ146">
        <f>IFERROR(INDEX(PP_Grid[#Data],$DE146,75),0)</f>
        <v/>
      </c>
      <c r="CA146">
        <f>IFERROR(INDEX(PP_Grid[#Data],$DE146,76),0)</f>
        <v/>
      </c>
      <c r="CB146">
        <f>IFERROR(INDEX(PP_Grid[#Data],$DE146,77),0)</f>
        <v/>
      </c>
      <c r="CC146">
        <f>IFERROR(INDEX(PP_Grid[#Data],$DE146,78),0)</f>
        <v/>
      </c>
      <c r="CD146">
        <f>IFERROR(INDEX(PP_Grid[#Data],$DE146,79),0)</f>
        <v/>
      </c>
      <c r="CE146">
        <f>IFERROR(INDEX(PP_Grid[#Data],$DE146,80),0)</f>
        <v/>
      </c>
      <c r="CF146">
        <f>IFERROR(INDEX(PP_Grid[#Data],$DE146,81),0)</f>
        <v/>
      </c>
      <c r="CG146">
        <f>IFERROR(INDEX(PP_Grid[#Data],$DE146,82),0)</f>
        <v/>
      </c>
      <c r="CH146">
        <f>IFERROR(INDEX(PP_Grid[#Data],$DE146,83),0)</f>
        <v/>
      </c>
      <c r="CI146">
        <f>IFERROR(INDEX(PP_Grid[#Data],$DE146,84),0)</f>
        <v/>
      </c>
      <c r="CJ146">
        <f>IFERROR(INDEX(PP_Grid[#Data],$DE146,85),0)</f>
        <v/>
      </c>
      <c r="CK146">
        <f>IFERROR(INDEX(PP_Grid[#Data],$DE146,86),0)</f>
        <v/>
      </c>
      <c r="CL146">
        <f>IFERROR(INDEX(PP_Grid[#Data],$DE146,87),0)</f>
        <v/>
      </c>
      <c r="CM146">
        <f>IFERROR(INDEX(PP_Grid[#Data],$DE146,88),0)</f>
        <v/>
      </c>
      <c r="CN146">
        <f>IFERROR(INDEX(PP_Grid[#Data],$DE146,89),0)</f>
        <v/>
      </c>
      <c r="CO146">
        <f>IFERROR(INDEX(PP_Grid[#Data],$DE146,90),0)</f>
        <v/>
      </c>
      <c r="CP146">
        <f>IFERROR(INDEX(PP_Grid[#Data],$DE146,91),0)</f>
        <v/>
      </c>
      <c r="CQ146">
        <f>IFERROR(INDEX(PP_Grid[#Data],$DE146,92),0)</f>
        <v/>
      </c>
      <c r="CR146">
        <f>IFERROR(INDEX(PP_Grid[#Data],$DE146,93),0)</f>
        <v/>
      </c>
      <c r="CS146">
        <f>IFERROR(INDEX(PP_Grid[#Data],$DE146,94),0)</f>
        <v/>
      </c>
      <c r="CT146">
        <f>IFERROR(INDEX(PP_Grid[#Data],$DE146,95),0)</f>
        <v/>
      </c>
      <c r="CU146">
        <f>IFERROR(INDEX(PP_Grid[#Data],$DE146,96),0)</f>
        <v/>
      </c>
      <c r="CV146">
        <f>IFERROR(INDEX(PP_Grid[#Data],$DE146,97),0)</f>
        <v/>
      </c>
      <c r="CW146">
        <f>IFERROR(INDEX(PP_Grid[#Data],$DE146,98),0)</f>
        <v/>
      </c>
      <c r="CX146">
        <f>IFERROR(INDEX(PP_Grid[#Data],$DE146,99),0)</f>
        <v/>
      </c>
      <c r="CY146">
        <f>IFERROR(INDEX(PP_Grid[#Data],$DE146,100),0)</f>
        <v/>
      </c>
      <c r="CZ146">
        <f>IFERROR(INDEX(PP_Grid[#Data],$DE146,101),0)</f>
        <v/>
      </c>
      <c r="DA146">
        <f>IFERROR(INDEX(PP_Grid[#Data],$DE146,102),0)</f>
        <v/>
      </c>
      <c r="DB146">
        <f>IFERROR(INDEX(PP_Grid[#Data],$DE146,103),0)</f>
        <v/>
      </c>
      <c r="DC146">
        <f>IFERROR(INDEX(PP_Grid[#Data],$DE146,104),0)</f>
        <v/>
      </c>
      <c r="DD146">
        <f>IFERROR(INDEX(PP_Grid[#Data],$DE146,105),0)</f>
        <v/>
      </c>
      <c r="DE146" s="7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SUMIFS(M_BOM[RM_Qty_Per_Batch],M_BOM[Intermediate],$B146,M_BOM[RM_Code],$A139)</f>
        <v/>
      </c>
      <c r="D147">
        <f>IFERROR(INDEX(E147:DD147,$F$1),"")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  <c r="DD147">
        <f>$C147*DD146</f>
        <v/>
      </c>
    </row>
    <row r="148">
      <c r="B148" t="inlineStr">
        <is>
          <t>TSP-104</t>
        </is>
      </c>
      <c r="C148" t="inlineStr">
        <is>
          <t>No. of batches</t>
        </is>
      </c>
      <c r="D148">
        <f>IFERROR(INDEX(E148:DD148,$F$1),"")</f>
        <v/>
      </c>
      <c r="E148">
        <f>IFERROR(INDEX(PP_Grid[#Data],$DE148,2),0)</f>
        <v/>
      </c>
      <c r="F148">
        <f>IFERROR(INDEX(PP_Grid[#Data],$DE148,3),0)</f>
        <v/>
      </c>
      <c r="G148">
        <f>IFERROR(INDEX(PP_Grid[#Data],$DE148,4),0)</f>
        <v/>
      </c>
      <c r="H148">
        <f>IFERROR(INDEX(PP_Grid[#Data],$DE148,5),0)</f>
        <v/>
      </c>
      <c r="I148">
        <f>IFERROR(INDEX(PP_Grid[#Data],$DE148,6),0)</f>
        <v/>
      </c>
      <c r="J148">
        <f>IFERROR(INDEX(PP_Grid[#Data],$DE148,7),0)</f>
        <v/>
      </c>
      <c r="K148">
        <f>IFERROR(INDEX(PP_Grid[#Data],$DE148,8),0)</f>
        <v/>
      </c>
      <c r="L148">
        <f>IFERROR(INDEX(PP_Grid[#Data],$DE148,9),0)</f>
        <v/>
      </c>
      <c r="M148">
        <f>IFERROR(INDEX(PP_Grid[#Data],$DE148,10),0)</f>
        <v/>
      </c>
      <c r="N148">
        <f>IFERROR(INDEX(PP_Grid[#Data],$DE148,11),0)</f>
        <v/>
      </c>
      <c r="O148">
        <f>IFERROR(INDEX(PP_Grid[#Data],$DE148,12),0)</f>
        <v/>
      </c>
      <c r="P148">
        <f>IFERROR(INDEX(PP_Grid[#Data],$DE148,13),0)</f>
        <v/>
      </c>
      <c r="Q148">
        <f>IFERROR(INDEX(PP_Grid[#Data],$DE148,14),0)</f>
        <v/>
      </c>
      <c r="R148">
        <f>IFERROR(INDEX(PP_Grid[#Data],$DE148,15),0)</f>
        <v/>
      </c>
      <c r="S148">
        <f>IFERROR(INDEX(PP_Grid[#Data],$DE148,16),0)</f>
        <v/>
      </c>
      <c r="T148">
        <f>IFERROR(INDEX(PP_Grid[#Data],$DE148,17),0)</f>
        <v/>
      </c>
      <c r="U148">
        <f>IFERROR(INDEX(PP_Grid[#Data],$DE148,18),0)</f>
        <v/>
      </c>
      <c r="V148">
        <f>IFERROR(INDEX(PP_Grid[#Data],$DE148,19),0)</f>
        <v/>
      </c>
      <c r="W148">
        <f>IFERROR(INDEX(PP_Grid[#Data],$DE148,20),0)</f>
        <v/>
      </c>
      <c r="X148">
        <f>IFERROR(INDEX(PP_Grid[#Data],$DE148,21),0)</f>
        <v/>
      </c>
      <c r="Y148">
        <f>IFERROR(INDEX(PP_Grid[#Data],$DE148,22),0)</f>
        <v/>
      </c>
      <c r="Z148">
        <f>IFERROR(INDEX(PP_Grid[#Data],$DE148,23),0)</f>
        <v/>
      </c>
      <c r="AA148">
        <f>IFERROR(INDEX(PP_Grid[#Data],$DE148,24),0)</f>
        <v/>
      </c>
      <c r="AB148">
        <f>IFERROR(INDEX(PP_Grid[#Data],$DE148,25),0)</f>
        <v/>
      </c>
      <c r="AC148">
        <f>IFERROR(INDEX(PP_Grid[#Data],$DE148,26),0)</f>
        <v/>
      </c>
      <c r="AD148">
        <f>IFERROR(INDEX(PP_Grid[#Data],$DE148,27),0)</f>
        <v/>
      </c>
      <c r="AE148">
        <f>IFERROR(INDEX(PP_Grid[#Data],$DE148,28),0)</f>
        <v/>
      </c>
      <c r="AF148">
        <f>IFERROR(INDEX(PP_Grid[#Data],$DE148,29),0)</f>
        <v/>
      </c>
      <c r="AG148">
        <f>IFERROR(INDEX(PP_Grid[#Data],$DE148,30),0)</f>
        <v/>
      </c>
      <c r="AH148">
        <f>IFERROR(INDEX(PP_Grid[#Data],$DE148,31),0)</f>
        <v/>
      </c>
      <c r="AI148">
        <f>IFERROR(INDEX(PP_Grid[#Data],$DE148,32),0)</f>
        <v/>
      </c>
      <c r="AJ148">
        <f>IFERROR(INDEX(PP_Grid[#Data],$DE148,33),0)</f>
        <v/>
      </c>
      <c r="AK148">
        <f>IFERROR(INDEX(PP_Grid[#Data],$DE148,34),0)</f>
        <v/>
      </c>
      <c r="AL148">
        <f>IFERROR(INDEX(PP_Grid[#Data],$DE148,35),0)</f>
        <v/>
      </c>
      <c r="AM148">
        <f>IFERROR(INDEX(PP_Grid[#Data],$DE148,36),0)</f>
        <v/>
      </c>
      <c r="AN148">
        <f>IFERROR(INDEX(PP_Grid[#Data],$DE148,37),0)</f>
        <v/>
      </c>
      <c r="AO148">
        <f>IFERROR(INDEX(PP_Grid[#Data],$DE148,38),0)</f>
        <v/>
      </c>
      <c r="AP148">
        <f>IFERROR(INDEX(PP_Grid[#Data],$DE148,39),0)</f>
        <v/>
      </c>
      <c r="AQ148">
        <f>IFERROR(INDEX(PP_Grid[#Data],$DE148,40),0)</f>
        <v/>
      </c>
      <c r="AR148">
        <f>IFERROR(INDEX(PP_Grid[#Data],$DE148,41),0)</f>
        <v/>
      </c>
      <c r="AS148">
        <f>IFERROR(INDEX(PP_Grid[#Data],$DE148,42),0)</f>
        <v/>
      </c>
      <c r="AT148">
        <f>IFERROR(INDEX(PP_Grid[#Data],$DE148,43),0)</f>
        <v/>
      </c>
      <c r="AU148">
        <f>IFERROR(INDEX(PP_Grid[#Data],$DE148,44),0)</f>
        <v/>
      </c>
      <c r="AV148">
        <f>IFERROR(INDEX(PP_Grid[#Data],$DE148,45),0)</f>
        <v/>
      </c>
      <c r="AW148">
        <f>IFERROR(INDEX(PP_Grid[#Data],$DE148,46),0)</f>
        <v/>
      </c>
      <c r="AX148">
        <f>IFERROR(INDEX(PP_Grid[#Data],$DE148,47),0)</f>
        <v/>
      </c>
      <c r="AY148">
        <f>IFERROR(INDEX(PP_Grid[#Data],$DE148,48),0)</f>
        <v/>
      </c>
      <c r="AZ148">
        <f>IFERROR(INDEX(PP_Grid[#Data],$DE148,49),0)</f>
        <v/>
      </c>
      <c r="BA148">
        <f>IFERROR(INDEX(PP_Grid[#Data],$DE148,50),0)</f>
        <v/>
      </c>
      <c r="BB148">
        <f>IFERROR(INDEX(PP_Grid[#Data],$DE148,51),0)</f>
        <v/>
      </c>
      <c r="BC148">
        <f>IFERROR(INDEX(PP_Grid[#Data],$DE148,52),0)</f>
        <v/>
      </c>
      <c r="BD148">
        <f>IFERROR(INDEX(PP_Grid[#Data],$DE148,53),0)</f>
        <v/>
      </c>
      <c r="BE148">
        <f>IFERROR(INDEX(PP_Grid[#Data],$DE148,54),0)</f>
        <v/>
      </c>
      <c r="BF148">
        <f>IFERROR(INDEX(PP_Grid[#Data],$DE148,55),0)</f>
        <v/>
      </c>
      <c r="BG148">
        <f>IFERROR(INDEX(PP_Grid[#Data],$DE148,56),0)</f>
        <v/>
      </c>
      <c r="BH148">
        <f>IFERROR(INDEX(PP_Grid[#Data],$DE148,57),0)</f>
        <v/>
      </c>
      <c r="BI148">
        <f>IFERROR(INDEX(PP_Grid[#Data],$DE148,58),0)</f>
        <v/>
      </c>
      <c r="BJ148">
        <f>IFERROR(INDEX(PP_Grid[#Data],$DE148,59),0)</f>
        <v/>
      </c>
      <c r="BK148">
        <f>IFERROR(INDEX(PP_Grid[#Data],$DE148,60),0)</f>
        <v/>
      </c>
      <c r="BL148">
        <f>IFERROR(INDEX(PP_Grid[#Data],$DE148,61),0)</f>
        <v/>
      </c>
      <c r="BM148">
        <f>IFERROR(INDEX(PP_Grid[#Data],$DE148,62),0)</f>
        <v/>
      </c>
      <c r="BN148">
        <f>IFERROR(INDEX(PP_Grid[#Data],$DE148,63),0)</f>
        <v/>
      </c>
      <c r="BO148">
        <f>IFERROR(INDEX(PP_Grid[#Data],$DE148,64),0)</f>
        <v/>
      </c>
      <c r="BP148">
        <f>IFERROR(INDEX(PP_Grid[#Data],$DE148,65),0)</f>
        <v/>
      </c>
      <c r="BQ148">
        <f>IFERROR(INDEX(PP_Grid[#Data],$DE148,66),0)</f>
        <v/>
      </c>
      <c r="BR148">
        <f>IFERROR(INDEX(PP_Grid[#Data],$DE148,67),0)</f>
        <v/>
      </c>
      <c r="BS148">
        <f>IFERROR(INDEX(PP_Grid[#Data],$DE148,68),0)</f>
        <v/>
      </c>
      <c r="BT148">
        <f>IFERROR(INDEX(PP_Grid[#Data],$DE148,69),0)</f>
        <v/>
      </c>
      <c r="BU148">
        <f>IFERROR(INDEX(PP_Grid[#Data],$DE148,70),0)</f>
        <v/>
      </c>
      <c r="BV148">
        <f>IFERROR(INDEX(PP_Grid[#Data],$DE148,71),0)</f>
        <v/>
      </c>
      <c r="BW148">
        <f>IFERROR(INDEX(PP_Grid[#Data],$DE148,72),0)</f>
        <v/>
      </c>
      <c r="BX148">
        <f>IFERROR(INDEX(PP_Grid[#Data],$DE148,73),0)</f>
        <v/>
      </c>
      <c r="BY148">
        <f>IFERROR(INDEX(PP_Grid[#Data],$DE148,74),0)</f>
        <v/>
      </c>
      <c r="BZ148">
        <f>IFERROR(INDEX(PP_Grid[#Data],$DE148,75),0)</f>
        <v/>
      </c>
      <c r="CA148">
        <f>IFERROR(INDEX(PP_Grid[#Data],$DE148,76),0)</f>
        <v/>
      </c>
      <c r="CB148">
        <f>IFERROR(INDEX(PP_Grid[#Data],$DE148,77),0)</f>
        <v/>
      </c>
      <c r="CC148">
        <f>IFERROR(INDEX(PP_Grid[#Data],$DE148,78),0)</f>
        <v/>
      </c>
      <c r="CD148">
        <f>IFERROR(INDEX(PP_Grid[#Data],$DE148,79),0)</f>
        <v/>
      </c>
      <c r="CE148">
        <f>IFERROR(INDEX(PP_Grid[#Data],$DE148,80),0)</f>
        <v/>
      </c>
      <c r="CF148">
        <f>IFERROR(INDEX(PP_Grid[#Data],$DE148,81),0)</f>
        <v/>
      </c>
      <c r="CG148">
        <f>IFERROR(INDEX(PP_Grid[#Data],$DE148,82),0)</f>
        <v/>
      </c>
      <c r="CH148">
        <f>IFERROR(INDEX(PP_Grid[#Data],$DE148,83),0)</f>
        <v/>
      </c>
      <c r="CI148">
        <f>IFERROR(INDEX(PP_Grid[#Data],$DE148,84),0)</f>
        <v/>
      </c>
      <c r="CJ148">
        <f>IFERROR(INDEX(PP_Grid[#Data],$DE148,85),0)</f>
        <v/>
      </c>
      <c r="CK148">
        <f>IFERROR(INDEX(PP_Grid[#Data],$DE148,86),0)</f>
        <v/>
      </c>
      <c r="CL148">
        <f>IFERROR(INDEX(PP_Grid[#Data],$DE148,87),0)</f>
        <v/>
      </c>
      <c r="CM148">
        <f>IFERROR(INDEX(PP_Grid[#Data],$DE148,88),0)</f>
        <v/>
      </c>
      <c r="CN148">
        <f>IFERROR(INDEX(PP_Grid[#Data],$DE148,89),0)</f>
        <v/>
      </c>
      <c r="CO148">
        <f>IFERROR(INDEX(PP_Grid[#Data],$DE148,90),0)</f>
        <v/>
      </c>
      <c r="CP148">
        <f>IFERROR(INDEX(PP_Grid[#Data],$DE148,91),0)</f>
        <v/>
      </c>
      <c r="CQ148">
        <f>IFERROR(INDEX(PP_Grid[#Data],$DE148,92),0)</f>
        <v/>
      </c>
      <c r="CR148">
        <f>IFERROR(INDEX(PP_Grid[#Data],$DE148,93),0)</f>
        <v/>
      </c>
      <c r="CS148">
        <f>IFERROR(INDEX(PP_Grid[#Data],$DE148,94),0)</f>
        <v/>
      </c>
      <c r="CT148">
        <f>IFERROR(INDEX(PP_Grid[#Data],$DE148,95),0)</f>
        <v/>
      </c>
      <c r="CU148">
        <f>IFERROR(INDEX(PP_Grid[#Data],$DE148,96),0)</f>
        <v/>
      </c>
      <c r="CV148">
        <f>IFERROR(INDEX(PP_Grid[#Data],$DE148,97),0)</f>
        <v/>
      </c>
      <c r="CW148">
        <f>IFERROR(INDEX(PP_Grid[#Data],$DE148,98),0)</f>
        <v/>
      </c>
      <c r="CX148">
        <f>IFERROR(INDEX(PP_Grid[#Data],$DE148,99),0)</f>
        <v/>
      </c>
      <c r="CY148">
        <f>IFERROR(INDEX(PP_Grid[#Data],$DE148,100),0)</f>
        <v/>
      </c>
      <c r="CZ148">
        <f>IFERROR(INDEX(PP_Grid[#Data],$DE148,101),0)</f>
        <v/>
      </c>
      <c r="DA148">
        <f>IFERROR(INDEX(PP_Grid[#Data],$DE148,102),0)</f>
        <v/>
      </c>
      <c r="DB148">
        <f>IFERROR(INDEX(PP_Grid[#Data],$DE148,103),0)</f>
        <v/>
      </c>
      <c r="DC148">
        <f>IFERROR(INDEX(PP_Grid[#Data],$DE148,104),0)</f>
        <v/>
      </c>
      <c r="DD148">
        <f>IFERROR(INDEX(PP_Grid[#Data],$DE148,105),0)</f>
        <v/>
      </c>
      <c r="DE148" s="7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SUMIFS(M_BOM[RM_Qty_Per_Batch],M_BOM[Intermediate],$B148,M_BOM[RM_Code],$A139)</f>
        <v/>
      </c>
      <c r="D149">
        <f>IFERROR(INDEX(E149:DD149,$F$1),"")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  <c r="DD149">
        <f>$C149*DD148</f>
        <v/>
      </c>
    </row>
    <row r="150">
      <c r="B150" t="inlineStr">
        <is>
          <t>TSP-199</t>
        </is>
      </c>
      <c r="C150" t="inlineStr">
        <is>
          <t>No. of batches</t>
        </is>
      </c>
      <c r="D150">
        <f>IFERROR(INDEX(E150:DD150,$F$1),"")</f>
        <v/>
      </c>
      <c r="E150">
        <f>IFERROR(INDEX(PP_Grid[#Data],$DE150,2),0)</f>
        <v/>
      </c>
      <c r="F150">
        <f>IFERROR(INDEX(PP_Grid[#Data],$DE150,3),0)</f>
        <v/>
      </c>
      <c r="G150">
        <f>IFERROR(INDEX(PP_Grid[#Data],$DE150,4),0)</f>
        <v/>
      </c>
      <c r="H150">
        <f>IFERROR(INDEX(PP_Grid[#Data],$DE150,5),0)</f>
        <v/>
      </c>
      <c r="I150">
        <f>IFERROR(INDEX(PP_Grid[#Data],$DE150,6),0)</f>
        <v/>
      </c>
      <c r="J150">
        <f>IFERROR(INDEX(PP_Grid[#Data],$DE150,7),0)</f>
        <v/>
      </c>
      <c r="K150">
        <f>IFERROR(INDEX(PP_Grid[#Data],$DE150,8),0)</f>
        <v/>
      </c>
      <c r="L150">
        <f>IFERROR(INDEX(PP_Grid[#Data],$DE150,9),0)</f>
        <v/>
      </c>
      <c r="M150">
        <f>IFERROR(INDEX(PP_Grid[#Data],$DE150,10),0)</f>
        <v/>
      </c>
      <c r="N150">
        <f>IFERROR(INDEX(PP_Grid[#Data],$DE150,11),0)</f>
        <v/>
      </c>
      <c r="O150">
        <f>IFERROR(INDEX(PP_Grid[#Data],$DE150,12),0)</f>
        <v/>
      </c>
      <c r="P150">
        <f>IFERROR(INDEX(PP_Grid[#Data],$DE150,13),0)</f>
        <v/>
      </c>
      <c r="Q150">
        <f>IFERROR(INDEX(PP_Grid[#Data],$DE150,14),0)</f>
        <v/>
      </c>
      <c r="R150">
        <f>IFERROR(INDEX(PP_Grid[#Data],$DE150,15),0)</f>
        <v/>
      </c>
      <c r="S150">
        <f>IFERROR(INDEX(PP_Grid[#Data],$DE150,16),0)</f>
        <v/>
      </c>
      <c r="T150">
        <f>IFERROR(INDEX(PP_Grid[#Data],$DE150,17),0)</f>
        <v/>
      </c>
      <c r="U150">
        <f>IFERROR(INDEX(PP_Grid[#Data],$DE150,18),0)</f>
        <v/>
      </c>
      <c r="V150">
        <f>IFERROR(INDEX(PP_Grid[#Data],$DE150,19),0)</f>
        <v/>
      </c>
      <c r="W150">
        <f>IFERROR(INDEX(PP_Grid[#Data],$DE150,20),0)</f>
        <v/>
      </c>
      <c r="X150">
        <f>IFERROR(INDEX(PP_Grid[#Data],$DE150,21),0)</f>
        <v/>
      </c>
      <c r="Y150">
        <f>IFERROR(INDEX(PP_Grid[#Data],$DE150,22),0)</f>
        <v/>
      </c>
      <c r="Z150">
        <f>IFERROR(INDEX(PP_Grid[#Data],$DE150,23),0)</f>
        <v/>
      </c>
      <c r="AA150">
        <f>IFERROR(INDEX(PP_Grid[#Data],$DE150,24),0)</f>
        <v/>
      </c>
      <c r="AB150">
        <f>IFERROR(INDEX(PP_Grid[#Data],$DE150,25),0)</f>
        <v/>
      </c>
      <c r="AC150">
        <f>IFERROR(INDEX(PP_Grid[#Data],$DE150,26),0)</f>
        <v/>
      </c>
      <c r="AD150">
        <f>IFERROR(INDEX(PP_Grid[#Data],$DE150,27),0)</f>
        <v/>
      </c>
      <c r="AE150">
        <f>IFERROR(INDEX(PP_Grid[#Data],$DE150,28),0)</f>
        <v/>
      </c>
      <c r="AF150">
        <f>IFERROR(INDEX(PP_Grid[#Data],$DE150,29),0)</f>
        <v/>
      </c>
      <c r="AG150">
        <f>IFERROR(INDEX(PP_Grid[#Data],$DE150,30),0)</f>
        <v/>
      </c>
      <c r="AH150">
        <f>IFERROR(INDEX(PP_Grid[#Data],$DE150,31),0)</f>
        <v/>
      </c>
      <c r="AI150">
        <f>IFERROR(INDEX(PP_Grid[#Data],$DE150,32),0)</f>
        <v/>
      </c>
      <c r="AJ150">
        <f>IFERROR(INDEX(PP_Grid[#Data],$DE150,33),0)</f>
        <v/>
      </c>
      <c r="AK150">
        <f>IFERROR(INDEX(PP_Grid[#Data],$DE150,34),0)</f>
        <v/>
      </c>
      <c r="AL150">
        <f>IFERROR(INDEX(PP_Grid[#Data],$DE150,35),0)</f>
        <v/>
      </c>
      <c r="AM150">
        <f>IFERROR(INDEX(PP_Grid[#Data],$DE150,36),0)</f>
        <v/>
      </c>
      <c r="AN150">
        <f>IFERROR(INDEX(PP_Grid[#Data],$DE150,37),0)</f>
        <v/>
      </c>
      <c r="AO150">
        <f>IFERROR(INDEX(PP_Grid[#Data],$DE150,38),0)</f>
        <v/>
      </c>
      <c r="AP150">
        <f>IFERROR(INDEX(PP_Grid[#Data],$DE150,39),0)</f>
        <v/>
      </c>
      <c r="AQ150">
        <f>IFERROR(INDEX(PP_Grid[#Data],$DE150,40),0)</f>
        <v/>
      </c>
      <c r="AR150">
        <f>IFERROR(INDEX(PP_Grid[#Data],$DE150,41),0)</f>
        <v/>
      </c>
      <c r="AS150">
        <f>IFERROR(INDEX(PP_Grid[#Data],$DE150,42),0)</f>
        <v/>
      </c>
      <c r="AT150">
        <f>IFERROR(INDEX(PP_Grid[#Data],$DE150,43),0)</f>
        <v/>
      </c>
      <c r="AU150">
        <f>IFERROR(INDEX(PP_Grid[#Data],$DE150,44),0)</f>
        <v/>
      </c>
      <c r="AV150">
        <f>IFERROR(INDEX(PP_Grid[#Data],$DE150,45),0)</f>
        <v/>
      </c>
      <c r="AW150">
        <f>IFERROR(INDEX(PP_Grid[#Data],$DE150,46),0)</f>
        <v/>
      </c>
      <c r="AX150">
        <f>IFERROR(INDEX(PP_Grid[#Data],$DE150,47),0)</f>
        <v/>
      </c>
      <c r="AY150">
        <f>IFERROR(INDEX(PP_Grid[#Data],$DE150,48),0)</f>
        <v/>
      </c>
      <c r="AZ150">
        <f>IFERROR(INDEX(PP_Grid[#Data],$DE150,49),0)</f>
        <v/>
      </c>
      <c r="BA150">
        <f>IFERROR(INDEX(PP_Grid[#Data],$DE150,50),0)</f>
        <v/>
      </c>
      <c r="BB150">
        <f>IFERROR(INDEX(PP_Grid[#Data],$DE150,51),0)</f>
        <v/>
      </c>
      <c r="BC150">
        <f>IFERROR(INDEX(PP_Grid[#Data],$DE150,52),0)</f>
        <v/>
      </c>
      <c r="BD150">
        <f>IFERROR(INDEX(PP_Grid[#Data],$DE150,53),0)</f>
        <v/>
      </c>
      <c r="BE150">
        <f>IFERROR(INDEX(PP_Grid[#Data],$DE150,54),0)</f>
        <v/>
      </c>
      <c r="BF150">
        <f>IFERROR(INDEX(PP_Grid[#Data],$DE150,55),0)</f>
        <v/>
      </c>
      <c r="BG150">
        <f>IFERROR(INDEX(PP_Grid[#Data],$DE150,56),0)</f>
        <v/>
      </c>
      <c r="BH150">
        <f>IFERROR(INDEX(PP_Grid[#Data],$DE150,57),0)</f>
        <v/>
      </c>
      <c r="BI150">
        <f>IFERROR(INDEX(PP_Grid[#Data],$DE150,58),0)</f>
        <v/>
      </c>
      <c r="BJ150">
        <f>IFERROR(INDEX(PP_Grid[#Data],$DE150,59),0)</f>
        <v/>
      </c>
      <c r="BK150">
        <f>IFERROR(INDEX(PP_Grid[#Data],$DE150,60),0)</f>
        <v/>
      </c>
      <c r="BL150">
        <f>IFERROR(INDEX(PP_Grid[#Data],$DE150,61),0)</f>
        <v/>
      </c>
      <c r="BM150">
        <f>IFERROR(INDEX(PP_Grid[#Data],$DE150,62),0)</f>
        <v/>
      </c>
      <c r="BN150">
        <f>IFERROR(INDEX(PP_Grid[#Data],$DE150,63),0)</f>
        <v/>
      </c>
      <c r="BO150">
        <f>IFERROR(INDEX(PP_Grid[#Data],$DE150,64),0)</f>
        <v/>
      </c>
      <c r="BP150">
        <f>IFERROR(INDEX(PP_Grid[#Data],$DE150,65),0)</f>
        <v/>
      </c>
      <c r="BQ150">
        <f>IFERROR(INDEX(PP_Grid[#Data],$DE150,66),0)</f>
        <v/>
      </c>
      <c r="BR150">
        <f>IFERROR(INDEX(PP_Grid[#Data],$DE150,67),0)</f>
        <v/>
      </c>
      <c r="BS150">
        <f>IFERROR(INDEX(PP_Grid[#Data],$DE150,68),0)</f>
        <v/>
      </c>
      <c r="BT150">
        <f>IFERROR(INDEX(PP_Grid[#Data],$DE150,69),0)</f>
        <v/>
      </c>
      <c r="BU150">
        <f>IFERROR(INDEX(PP_Grid[#Data],$DE150,70),0)</f>
        <v/>
      </c>
      <c r="BV150">
        <f>IFERROR(INDEX(PP_Grid[#Data],$DE150,71),0)</f>
        <v/>
      </c>
      <c r="BW150">
        <f>IFERROR(INDEX(PP_Grid[#Data],$DE150,72),0)</f>
        <v/>
      </c>
      <c r="BX150">
        <f>IFERROR(INDEX(PP_Grid[#Data],$DE150,73),0)</f>
        <v/>
      </c>
      <c r="BY150">
        <f>IFERROR(INDEX(PP_Grid[#Data],$DE150,74),0)</f>
        <v/>
      </c>
      <c r="BZ150">
        <f>IFERROR(INDEX(PP_Grid[#Data],$DE150,75),0)</f>
        <v/>
      </c>
      <c r="CA150">
        <f>IFERROR(INDEX(PP_Grid[#Data],$DE150,76),0)</f>
        <v/>
      </c>
      <c r="CB150">
        <f>IFERROR(INDEX(PP_Grid[#Data],$DE150,77),0)</f>
        <v/>
      </c>
      <c r="CC150">
        <f>IFERROR(INDEX(PP_Grid[#Data],$DE150,78),0)</f>
        <v/>
      </c>
      <c r="CD150">
        <f>IFERROR(INDEX(PP_Grid[#Data],$DE150,79),0)</f>
        <v/>
      </c>
      <c r="CE150">
        <f>IFERROR(INDEX(PP_Grid[#Data],$DE150,80),0)</f>
        <v/>
      </c>
      <c r="CF150">
        <f>IFERROR(INDEX(PP_Grid[#Data],$DE150,81),0)</f>
        <v/>
      </c>
      <c r="CG150">
        <f>IFERROR(INDEX(PP_Grid[#Data],$DE150,82),0)</f>
        <v/>
      </c>
      <c r="CH150">
        <f>IFERROR(INDEX(PP_Grid[#Data],$DE150,83),0)</f>
        <v/>
      </c>
      <c r="CI150">
        <f>IFERROR(INDEX(PP_Grid[#Data],$DE150,84),0)</f>
        <v/>
      </c>
      <c r="CJ150">
        <f>IFERROR(INDEX(PP_Grid[#Data],$DE150,85),0)</f>
        <v/>
      </c>
      <c r="CK150">
        <f>IFERROR(INDEX(PP_Grid[#Data],$DE150,86),0)</f>
        <v/>
      </c>
      <c r="CL150">
        <f>IFERROR(INDEX(PP_Grid[#Data],$DE150,87),0)</f>
        <v/>
      </c>
      <c r="CM150">
        <f>IFERROR(INDEX(PP_Grid[#Data],$DE150,88),0)</f>
        <v/>
      </c>
      <c r="CN150">
        <f>IFERROR(INDEX(PP_Grid[#Data],$DE150,89),0)</f>
        <v/>
      </c>
      <c r="CO150">
        <f>IFERROR(INDEX(PP_Grid[#Data],$DE150,90),0)</f>
        <v/>
      </c>
      <c r="CP150">
        <f>IFERROR(INDEX(PP_Grid[#Data],$DE150,91),0)</f>
        <v/>
      </c>
      <c r="CQ150">
        <f>IFERROR(INDEX(PP_Grid[#Data],$DE150,92),0)</f>
        <v/>
      </c>
      <c r="CR150">
        <f>IFERROR(INDEX(PP_Grid[#Data],$DE150,93),0)</f>
        <v/>
      </c>
      <c r="CS150">
        <f>IFERROR(INDEX(PP_Grid[#Data],$DE150,94),0)</f>
        <v/>
      </c>
      <c r="CT150">
        <f>IFERROR(INDEX(PP_Grid[#Data],$DE150,95),0)</f>
        <v/>
      </c>
      <c r="CU150">
        <f>IFERROR(INDEX(PP_Grid[#Data],$DE150,96),0)</f>
        <v/>
      </c>
      <c r="CV150">
        <f>IFERROR(INDEX(PP_Grid[#Data],$DE150,97),0)</f>
        <v/>
      </c>
      <c r="CW150">
        <f>IFERROR(INDEX(PP_Grid[#Data],$DE150,98),0)</f>
        <v/>
      </c>
      <c r="CX150">
        <f>IFERROR(INDEX(PP_Grid[#Data],$DE150,99),0)</f>
        <v/>
      </c>
      <c r="CY150">
        <f>IFERROR(INDEX(PP_Grid[#Data],$DE150,100),0)</f>
        <v/>
      </c>
      <c r="CZ150">
        <f>IFERROR(INDEX(PP_Grid[#Data],$DE150,101),0)</f>
        <v/>
      </c>
      <c r="DA150">
        <f>IFERROR(INDEX(PP_Grid[#Data],$DE150,102),0)</f>
        <v/>
      </c>
      <c r="DB150">
        <f>IFERROR(INDEX(PP_Grid[#Data],$DE150,103),0)</f>
        <v/>
      </c>
      <c r="DC150">
        <f>IFERROR(INDEX(PP_Grid[#Data],$DE150,104),0)</f>
        <v/>
      </c>
      <c r="DD150">
        <f>IFERROR(INDEX(PP_Grid[#Data],$DE150,105),0)</f>
        <v/>
      </c>
      <c r="DE150" s="7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SUMIFS(M_BOM[RM_Qty_Per_Batch],M_BOM[Intermediate],$B150,M_BOM[RM_Code],$A139)</f>
        <v/>
      </c>
      <c r="D151">
        <f>IFERROR(INDEX(E151:DD151,$F$1),"")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  <c r="DD151">
        <f>$C151*DD150</f>
        <v/>
      </c>
    </row>
    <row r="152">
      <c r="B152" t="inlineStr">
        <is>
          <t>TSP-205</t>
        </is>
      </c>
      <c r="C152" t="inlineStr">
        <is>
          <t>No. of batches</t>
        </is>
      </c>
      <c r="D152">
        <f>IFERROR(INDEX(E152:DD152,$F$1),"")</f>
        <v/>
      </c>
      <c r="E152">
        <f>IFERROR(INDEX(PP_Grid[#Data],$DE152,2),0)</f>
        <v/>
      </c>
      <c r="F152">
        <f>IFERROR(INDEX(PP_Grid[#Data],$DE152,3),0)</f>
        <v/>
      </c>
      <c r="G152">
        <f>IFERROR(INDEX(PP_Grid[#Data],$DE152,4),0)</f>
        <v/>
      </c>
      <c r="H152">
        <f>IFERROR(INDEX(PP_Grid[#Data],$DE152,5),0)</f>
        <v/>
      </c>
      <c r="I152">
        <f>IFERROR(INDEX(PP_Grid[#Data],$DE152,6),0)</f>
        <v/>
      </c>
      <c r="J152">
        <f>IFERROR(INDEX(PP_Grid[#Data],$DE152,7),0)</f>
        <v/>
      </c>
      <c r="K152">
        <f>IFERROR(INDEX(PP_Grid[#Data],$DE152,8),0)</f>
        <v/>
      </c>
      <c r="L152">
        <f>IFERROR(INDEX(PP_Grid[#Data],$DE152,9),0)</f>
        <v/>
      </c>
      <c r="M152">
        <f>IFERROR(INDEX(PP_Grid[#Data],$DE152,10),0)</f>
        <v/>
      </c>
      <c r="N152">
        <f>IFERROR(INDEX(PP_Grid[#Data],$DE152,11),0)</f>
        <v/>
      </c>
      <c r="O152">
        <f>IFERROR(INDEX(PP_Grid[#Data],$DE152,12),0)</f>
        <v/>
      </c>
      <c r="P152">
        <f>IFERROR(INDEX(PP_Grid[#Data],$DE152,13),0)</f>
        <v/>
      </c>
      <c r="Q152">
        <f>IFERROR(INDEX(PP_Grid[#Data],$DE152,14),0)</f>
        <v/>
      </c>
      <c r="R152">
        <f>IFERROR(INDEX(PP_Grid[#Data],$DE152,15),0)</f>
        <v/>
      </c>
      <c r="S152">
        <f>IFERROR(INDEX(PP_Grid[#Data],$DE152,16),0)</f>
        <v/>
      </c>
      <c r="T152">
        <f>IFERROR(INDEX(PP_Grid[#Data],$DE152,17),0)</f>
        <v/>
      </c>
      <c r="U152">
        <f>IFERROR(INDEX(PP_Grid[#Data],$DE152,18),0)</f>
        <v/>
      </c>
      <c r="V152">
        <f>IFERROR(INDEX(PP_Grid[#Data],$DE152,19),0)</f>
        <v/>
      </c>
      <c r="W152">
        <f>IFERROR(INDEX(PP_Grid[#Data],$DE152,20),0)</f>
        <v/>
      </c>
      <c r="X152">
        <f>IFERROR(INDEX(PP_Grid[#Data],$DE152,21),0)</f>
        <v/>
      </c>
      <c r="Y152">
        <f>IFERROR(INDEX(PP_Grid[#Data],$DE152,22),0)</f>
        <v/>
      </c>
      <c r="Z152">
        <f>IFERROR(INDEX(PP_Grid[#Data],$DE152,23),0)</f>
        <v/>
      </c>
      <c r="AA152">
        <f>IFERROR(INDEX(PP_Grid[#Data],$DE152,24),0)</f>
        <v/>
      </c>
      <c r="AB152">
        <f>IFERROR(INDEX(PP_Grid[#Data],$DE152,25),0)</f>
        <v/>
      </c>
      <c r="AC152">
        <f>IFERROR(INDEX(PP_Grid[#Data],$DE152,26),0)</f>
        <v/>
      </c>
      <c r="AD152">
        <f>IFERROR(INDEX(PP_Grid[#Data],$DE152,27),0)</f>
        <v/>
      </c>
      <c r="AE152">
        <f>IFERROR(INDEX(PP_Grid[#Data],$DE152,28),0)</f>
        <v/>
      </c>
      <c r="AF152">
        <f>IFERROR(INDEX(PP_Grid[#Data],$DE152,29),0)</f>
        <v/>
      </c>
      <c r="AG152">
        <f>IFERROR(INDEX(PP_Grid[#Data],$DE152,30),0)</f>
        <v/>
      </c>
      <c r="AH152">
        <f>IFERROR(INDEX(PP_Grid[#Data],$DE152,31),0)</f>
        <v/>
      </c>
      <c r="AI152">
        <f>IFERROR(INDEX(PP_Grid[#Data],$DE152,32),0)</f>
        <v/>
      </c>
      <c r="AJ152">
        <f>IFERROR(INDEX(PP_Grid[#Data],$DE152,33),0)</f>
        <v/>
      </c>
      <c r="AK152">
        <f>IFERROR(INDEX(PP_Grid[#Data],$DE152,34),0)</f>
        <v/>
      </c>
      <c r="AL152">
        <f>IFERROR(INDEX(PP_Grid[#Data],$DE152,35),0)</f>
        <v/>
      </c>
      <c r="AM152">
        <f>IFERROR(INDEX(PP_Grid[#Data],$DE152,36),0)</f>
        <v/>
      </c>
      <c r="AN152">
        <f>IFERROR(INDEX(PP_Grid[#Data],$DE152,37),0)</f>
        <v/>
      </c>
      <c r="AO152">
        <f>IFERROR(INDEX(PP_Grid[#Data],$DE152,38),0)</f>
        <v/>
      </c>
      <c r="AP152">
        <f>IFERROR(INDEX(PP_Grid[#Data],$DE152,39),0)</f>
        <v/>
      </c>
      <c r="AQ152">
        <f>IFERROR(INDEX(PP_Grid[#Data],$DE152,40),0)</f>
        <v/>
      </c>
      <c r="AR152">
        <f>IFERROR(INDEX(PP_Grid[#Data],$DE152,41),0)</f>
        <v/>
      </c>
      <c r="AS152">
        <f>IFERROR(INDEX(PP_Grid[#Data],$DE152,42),0)</f>
        <v/>
      </c>
      <c r="AT152">
        <f>IFERROR(INDEX(PP_Grid[#Data],$DE152,43),0)</f>
        <v/>
      </c>
      <c r="AU152">
        <f>IFERROR(INDEX(PP_Grid[#Data],$DE152,44),0)</f>
        <v/>
      </c>
      <c r="AV152">
        <f>IFERROR(INDEX(PP_Grid[#Data],$DE152,45),0)</f>
        <v/>
      </c>
      <c r="AW152">
        <f>IFERROR(INDEX(PP_Grid[#Data],$DE152,46),0)</f>
        <v/>
      </c>
      <c r="AX152">
        <f>IFERROR(INDEX(PP_Grid[#Data],$DE152,47),0)</f>
        <v/>
      </c>
      <c r="AY152">
        <f>IFERROR(INDEX(PP_Grid[#Data],$DE152,48),0)</f>
        <v/>
      </c>
      <c r="AZ152">
        <f>IFERROR(INDEX(PP_Grid[#Data],$DE152,49),0)</f>
        <v/>
      </c>
      <c r="BA152">
        <f>IFERROR(INDEX(PP_Grid[#Data],$DE152,50),0)</f>
        <v/>
      </c>
      <c r="BB152">
        <f>IFERROR(INDEX(PP_Grid[#Data],$DE152,51),0)</f>
        <v/>
      </c>
      <c r="BC152">
        <f>IFERROR(INDEX(PP_Grid[#Data],$DE152,52),0)</f>
        <v/>
      </c>
      <c r="BD152">
        <f>IFERROR(INDEX(PP_Grid[#Data],$DE152,53),0)</f>
        <v/>
      </c>
      <c r="BE152">
        <f>IFERROR(INDEX(PP_Grid[#Data],$DE152,54),0)</f>
        <v/>
      </c>
      <c r="BF152">
        <f>IFERROR(INDEX(PP_Grid[#Data],$DE152,55),0)</f>
        <v/>
      </c>
      <c r="BG152">
        <f>IFERROR(INDEX(PP_Grid[#Data],$DE152,56),0)</f>
        <v/>
      </c>
      <c r="BH152">
        <f>IFERROR(INDEX(PP_Grid[#Data],$DE152,57),0)</f>
        <v/>
      </c>
      <c r="BI152">
        <f>IFERROR(INDEX(PP_Grid[#Data],$DE152,58),0)</f>
        <v/>
      </c>
      <c r="BJ152">
        <f>IFERROR(INDEX(PP_Grid[#Data],$DE152,59),0)</f>
        <v/>
      </c>
      <c r="BK152">
        <f>IFERROR(INDEX(PP_Grid[#Data],$DE152,60),0)</f>
        <v/>
      </c>
      <c r="BL152">
        <f>IFERROR(INDEX(PP_Grid[#Data],$DE152,61),0)</f>
        <v/>
      </c>
      <c r="BM152">
        <f>IFERROR(INDEX(PP_Grid[#Data],$DE152,62),0)</f>
        <v/>
      </c>
      <c r="BN152">
        <f>IFERROR(INDEX(PP_Grid[#Data],$DE152,63),0)</f>
        <v/>
      </c>
      <c r="BO152">
        <f>IFERROR(INDEX(PP_Grid[#Data],$DE152,64),0)</f>
        <v/>
      </c>
      <c r="BP152">
        <f>IFERROR(INDEX(PP_Grid[#Data],$DE152,65),0)</f>
        <v/>
      </c>
      <c r="BQ152">
        <f>IFERROR(INDEX(PP_Grid[#Data],$DE152,66),0)</f>
        <v/>
      </c>
      <c r="BR152">
        <f>IFERROR(INDEX(PP_Grid[#Data],$DE152,67),0)</f>
        <v/>
      </c>
      <c r="BS152">
        <f>IFERROR(INDEX(PP_Grid[#Data],$DE152,68),0)</f>
        <v/>
      </c>
      <c r="BT152">
        <f>IFERROR(INDEX(PP_Grid[#Data],$DE152,69),0)</f>
        <v/>
      </c>
      <c r="BU152">
        <f>IFERROR(INDEX(PP_Grid[#Data],$DE152,70),0)</f>
        <v/>
      </c>
      <c r="BV152">
        <f>IFERROR(INDEX(PP_Grid[#Data],$DE152,71),0)</f>
        <v/>
      </c>
      <c r="BW152">
        <f>IFERROR(INDEX(PP_Grid[#Data],$DE152,72),0)</f>
        <v/>
      </c>
      <c r="BX152">
        <f>IFERROR(INDEX(PP_Grid[#Data],$DE152,73),0)</f>
        <v/>
      </c>
      <c r="BY152">
        <f>IFERROR(INDEX(PP_Grid[#Data],$DE152,74),0)</f>
        <v/>
      </c>
      <c r="BZ152">
        <f>IFERROR(INDEX(PP_Grid[#Data],$DE152,75),0)</f>
        <v/>
      </c>
      <c r="CA152">
        <f>IFERROR(INDEX(PP_Grid[#Data],$DE152,76),0)</f>
        <v/>
      </c>
      <c r="CB152">
        <f>IFERROR(INDEX(PP_Grid[#Data],$DE152,77),0)</f>
        <v/>
      </c>
      <c r="CC152">
        <f>IFERROR(INDEX(PP_Grid[#Data],$DE152,78),0)</f>
        <v/>
      </c>
      <c r="CD152">
        <f>IFERROR(INDEX(PP_Grid[#Data],$DE152,79),0)</f>
        <v/>
      </c>
      <c r="CE152">
        <f>IFERROR(INDEX(PP_Grid[#Data],$DE152,80),0)</f>
        <v/>
      </c>
      <c r="CF152">
        <f>IFERROR(INDEX(PP_Grid[#Data],$DE152,81),0)</f>
        <v/>
      </c>
      <c r="CG152">
        <f>IFERROR(INDEX(PP_Grid[#Data],$DE152,82),0)</f>
        <v/>
      </c>
      <c r="CH152">
        <f>IFERROR(INDEX(PP_Grid[#Data],$DE152,83),0)</f>
        <v/>
      </c>
      <c r="CI152">
        <f>IFERROR(INDEX(PP_Grid[#Data],$DE152,84),0)</f>
        <v/>
      </c>
      <c r="CJ152">
        <f>IFERROR(INDEX(PP_Grid[#Data],$DE152,85),0)</f>
        <v/>
      </c>
      <c r="CK152">
        <f>IFERROR(INDEX(PP_Grid[#Data],$DE152,86),0)</f>
        <v/>
      </c>
      <c r="CL152">
        <f>IFERROR(INDEX(PP_Grid[#Data],$DE152,87),0)</f>
        <v/>
      </c>
      <c r="CM152">
        <f>IFERROR(INDEX(PP_Grid[#Data],$DE152,88),0)</f>
        <v/>
      </c>
      <c r="CN152">
        <f>IFERROR(INDEX(PP_Grid[#Data],$DE152,89),0)</f>
        <v/>
      </c>
      <c r="CO152">
        <f>IFERROR(INDEX(PP_Grid[#Data],$DE152,90),0)</f>
        <v/>
      </c>
      <c r="CP152">
        <f>IFERROR(INDEX(PP_Grid[#Data],$DE152,91),0)</f>
        <v/>
      </c>
      <c r="CQ152">
        <f>IFERROR(INDEX(PP_Grid[#Data],$DE152,92),0)</f>
        <v/>
      </c>
      <c r="CR152">
        <f>IFERROR(INDEX(PP_Grid[#Data],$DE152,93),0)</f>
        <v/>
      </c>
      <c r="CS152">
        <f>IFERROR(INDEX(PP_Grid[#Data],$DE152,94),0)</f>
        <v/>
      </c>
      <c r="CT152">
        <f>IFERROR(INDEX(PP_Grid[#Data],$DE152,95),0)</f>
        <v/>
      </c>
      <c r="CU152">
        <f>IFERROR(INDEX(PP_Grid[#Data],$DE152,96),0)</f>
        <v/>
      </c>
      <c r="CV152">
        <f>IFERROR(INDEX(PP_Grid[#Data],$DE152,97),0)</f>
        <v/>
      </c>
      <c r="CW152">
        <f>IFERROR(INDEX(PP_Grid[#Data],$DE152,98),0)</f>
        <v/>
      </c>
      <c r="CX152">
        <f>IFERROR(INDEX(PP_Grid[#Data],$DE152,99),0)</f>
        <v/>
      </c>
      <c r="CY152">
        <f>IFERROR(INDEX(PP_Grid[#Data],$DE152,100),0)</f>
        <v/>
      </c>
      <c r="CZ152">
        <f>IFERROR(INDEX(PP_Grid[#Data],$DE152,101),0)</f>
        <v/>
      </c>
      <c r="DA152">
        <f>IFERROR(INDEX(PP_Grid[#Data],$DE152,102),0)</f>
        <v/>
      </c>
      <c r="DB152">
        <f>IFERROR(INDEX(PP_Grid[#Data],$DE152,103),0)</f>
        <v/>
      </c>
      <c r="DC152">
        <f>IFERROR(INDEX(PP_Grid[#Data],$DE152,104),0)</f>
        <v/>
      </c>
      <c r="DD152">
        <f>IFERROR(INDEX(PP_Grid[#Data],$DE152,105),0)</f>
        <v/>
      </c>
      <c r="DE152" s="7">
        <f>IFERROR(MATCH($B152,PP_Grid[Intermediate],0),99999)</f>
        <v/>
      </c>
    </row>
    <row r="153">
      <c r="B153" t="inlineStr">
        <is>
          <t>使用量(kg)</t>
        </is>
      </c>
      <c r="C153">
        <f>SUMIFS(M_BOM[RM_Qty_Per_Batch],M_BOM[Intermediate],$B152,M_BOM[RM_Code],$A139)</f>
        <v/>
      </c>
      <c r="D153">
        <f>IFERROR(INDEX(E153:DD153,$F$1),"")</f>
        <v/>
      </c>
      <c r="E153">
        <f>$C153*E152</f>
        <v/>
      </c>
      <c r="F153">
        <f>$C153*F152</f>
        <v/>
      </c>
      <c r="G153">
        <f>$C153*G152</f>
        <v/>
      </c>
      <c r="H153">
        <f>$C153*H152</f>
        <v/>
      </c>
      <c r="I153">
        <f>$C153*I152</f>
        <v/>
      </c>
      <c r="J153">
        <f>$C153*J152</f>
        <v/>
      </c>
      <c r="K153">
        <f>$C153*K152</f>
        <v/>
      </c>
      <c r="L153">
        <f>$C153*L152</f>
        <v/>
      </c>
      <c r="M153">
        <f>$C153*M152</f>
        <v/>
      </c>
      <c r="N153">
        <f>$C153*N152</f>
        <v/>
      </c>
      <c r="O153">
        <f>$C153*O152</f>
        <v/>
      </c>
      <c r="P153">
        <f>$C153*P152</f>
        <v/>
      </c>
      <c r="Q153">
        <f>$C153*Q152</f>
        <v/>
      </c>
      <c r="R153">
        <f>$C153*R152</f>
        <v/>
      </c>
      <c r="S153">
        <f>$C153*S152</f>
        <v/>
      </c>
      <c r="T153">
        <f>$C153*T152</f>
        <v/>
      </c>
      <c r="U153">
        <f>$C153*U152</f>
        <v/>
      </c>
      <c r="V153">
        <f>$C153*V152</f>
        <v/>
      </c>
      <c r="W153">
        <f>$C153*W152</f>
        <v/>
      </c>
      <c r="X153">
        <f>$C153*X152</f>
        <v/>
      </c>
      <c r="Y153">
        <f>$C153*Y152</f>
        <v/>
      </c>
      <c r="Z153">
        <f>$C153*Z152</f>
        <v/>
      </c>
      <c r="AA153">
        <f>$C153*AA152</f>
        <v/>
      </c>
      <c r="AB153">
        <f>$C153*AB152</f>
        <v/>
      </c>
      <c r="AC153">
        <f>$C153*AC152</f>
        <v/>
      </c>
      <c r="AD153">
        <f>$C153*AD152</f>
        <v/>
      </c>
      <c r="AE153">
        <f>$C153*AE152</f>
        <v/>
      </c>
      <c r="AF153">
        <f>$C153*AF152</f>
        <v/>
      </c>
      <c r="AG153">
        <f>$C153*AG152</f>
        <v/>
      </c>
      <c r="AH153">
        <f>$C153*AH152</f>
        <v/>
      </c>
      <c r="AI153">
        <f>$C153*AI152</f>
        <v/>
      </c>
      <c r="AJ153">
        <f>$C153*AJ152</f>
        <v/>
      </c>
      <c r="AK153">
        <f>$C153*AK152</f>
        <v/>
      </c>
      <c r="AL153">
        <f>$C153*AL152</f>
        <v/>
      </c>
      <c r="AM153">
        <f>$C153*AM152</f>
        <v/>
      </c>
      <c r="AN153">
        <f>$C153*AN152</f>
        <v/>
      </c>
      <c r="AO153">
        <f>$C153*AO152</f>
        <v/>
      </c>
      <c r="AP153">
        <f>$C153*AP152</f>
        <v/>
      </c>
      <c r="AQ153">
        <f>$C153*AQ152</f>
        <v/>
      </c>
      <c r="AR153">
        <f>$C153*AR152</f>
        <v/>
      </c>
      <c r="AS153">
        <f>$C153*AS152</f>
        <v/>
      </c>
      <c r="AT153">
        <f>$C153*AT152</f>
        <v/>
      </c>
      <c r="AU153">
        <f>$C153*AU152</f>
        <v/>
      </c>
      <c r="AV153">
        <f>$C153*AV152</f>
        <v/>
      </c>
      <c r="AW153">
        <f>$C153*AW152</f>
        <v/>
      </c>
      <c r="AX153">
        <f>$C153*AX152</f>
        <v/>
      </c>
      <c r="AY153">
        <f>$C153*AY152</f>
        <v/>
      </c>
      <c r="AZ153">
        <f>$C153*AZ152</f>
        <v/>
      </c>
      <c r="BA153">
        <f>$C153*BA152</f>
        <v/>
      </c>
      <c r="BB153">
        <f>$C153*BB152</f>
        <v/>
      </c>
      <c r="BC153">
        <f>$C153*BC152</f>
        <v/>
      </c>
      <c r="BD153">
        <f>$C153*BD152</f>
        <v/>
      </c>
      <c r="BE153">
        <f>$C153*BE152</f>
        <v/>
      </c>
      <c r="BF153">
        <f>$C153*BF152</f>
        <v/>
      </c>
      <c r="BG153">
        <f>$C153*BG152</f>
        <v/>
      </c>
      <c r="BH153">
        <f>$C153*BH152</f>
        <v/>
      </c>
      <c r="BI153">
        <f>$C153*BI152</f>
        <v/>
      </c>
      <c r="BJ153">
        <f>$C153*BJ152</f>
        <v/>
      </c>
      <c r="BK153">
        <f>$C153*BK152</f>
        <v/>
      </c>
      <c r="BL153">
        <f>$C153*BL152</f>
        <v/>
      </c>
      <c r="BM153">
        <f>$C153*BM152</f>
        <v/>
      </c>
      <c r="BN153">
        <f>$C153*BN152</f>
        <v/>
      </c>
      <c r="BO153">
        <f>$C153*BO152</f>
        <v/>
      </c>
      <c r="BP153">
        <f>$C153*BP152</f>
        <v/>
      </c>
      <c r="BQ153">
        <f>$C153*BQ152</f>
        <v/>
      </c>
      <c r="BR153">
        <f>$C153*BR152</f>
        <v/>
      </c>
      <c r="BS153">
        <f>$C153*BS152</f>
        <v/>
      </c>
      <c r="BT153">
        <f>$C153*BT152</f>
        <v/>
      </c>
      <c r="BU153">
        <f>$C153*BU152</f>
        <v/>
      </c>
      <c r="BV153">
        <f>$C153*BV152</f>
        <v/>
      </c>
      <c r="BW153">
        <f>$C153*BW152</f>
        <v/>
      </c>
      <c r="BX153">
        <f>$C153*BX152</f>
        <v/>
      </c>
      <c r="BY153">
        <f>$C153*BY152</f>
        <v/>
      </c>
      <c r="BZ153">
        <f>$C153*BZ152</f>
        <v/>
      </c>
      <c r="CA153">
        <f>$C153*CA152</f>
        <v/>
      </c>
      <c r="CB153">
        <f>$C153*CB152</f>
        <v/>
      </c>
      <c r="CC153">
        <f>$C153*CC152</f>
        <v/>
      </c>
      <c r="CD153">
        <f>$C153*CD152</f>
        <v/>
      </c>
      <c r="CE153">
        <f>$C153*CE152</f>
        <v/>
      </c>
      <c r="CF153">
        <f>$C153*CF152</f>
        <v/>
      </c>
      <c r="CG153">
        <f>$C153*CG152</f>
        <v/>
      </c>
      <c r="CH153">
        <f>$C153*CH152</f>
        <v/>
      </c>
      <c r="CI153">
        <f>$C153*CI152</f>
        <v/>
      </c>
      <c r="CJ153">
        <f>$C153*CJ152</f>
        <v/>
      </c>
      <c r="CK153">
        <f>$C153*CK152</f>
        <v/>
      </c>
      <c r="CL153">
        <f>$C153*CL152</f>
        <v/>
      </c>
      <c r="CM153">
        <f>$C153*CM152</f>
        <v/>
      </c>
      <c r="CN153">
        <f>$C153*CN152</f>
        <v/>
      </c>
      <c r="CO153">
        <f>$C153*CO152</f>
        <v/>
      </c>
      <c r="CP153">
        <f>$C153*CP152</f>
        <v/>
      </c>
      <c r="CQ153">
        <f>$C153*CQ152</f>
        <v/>
      </c>
      <c r="CR153">
        <f>$C153*CR152</f>
        <v/>
      </c>
      <c r="CS153">
        <f>$C153*CS152</f>
        <v/>
      </c>
      <c r="CT153">
        <f>$C153*CT152</f>
        <v/>
      </c>
      <c r="CU153">
        <f>$C153*CU152</f>
        <v/>
      </c>
      <c r="CV153">
        <f>$C153*CV152</f>
        <v/>
      </c>
      <c r="CW153">
        <f>$C153*CW152</f>
        <v/>
      </c>
      <c r="CX153">
        <f>$C153*CX152</f>
        <v/>
      </c>
      <c r="CY153">
        <f>$C153*CY152</f>
        <v/>
      </c>
      <c r="CZ153">
        <f>$C153*CZ152</f>
        <v/>
      </c>
      <c r="DA153">
        <f>$C153*DA152</f>
        <v/>
      </c>
      <c r="DB153">
        <f>$C153*DB152</f>
        <v/>
      </c>
      <c r="DC153">
        <f>$C153*DC152</f>
        <v/>
      </c>
      <c r="DD153">
        <f>$C153*DD152</f>
        <v/>
      </c>
    </row>
    <row r="154">
      <c r="B154" t="inlineStr">
        <is>
          <t>TSP-390</t>
        </is>
      </c>
      <c r="C154" t="inlineStr">
        <is>
          <t>No. of batches</t>
        </is>
      </c>
      <c r="D154">
        <f>IFERROR(INDEX(E154:DD154,$F$1),"")</f>
        <v/>
      </c>
      <c r="E154">
        <f>IFERROR(INDEX(PP_Grid[#Data],$DE154,2),0)</f>
        <v/>
      </c>
      <c r="F154">
        <f>IFERROR(INDEX(PP_Grid[#Data],$DE154,3),0)</f>
        <v/>
      </c>
      <c r="G154">
        <f>IFERROR(INDEX(PP_Grid[#Data],$DE154,4),0)</f>
        <v/>
      </c>
      <c r="H154">
        <f>IFERROR(INDEX(PP_Grid[#Data],$DE154,5),0)</f>
        <v/>
      </c>
      <c r="I154">
        <f>IFERROR(INDEX(PP_Grid[#Data],$DE154,6),0)</f>
        <v/>
      </c>
      <c r="J154">
        <f>IFERROR(INDEX(PP_Grid[#Data],$DE154,7),0)</f>
        <v/>
      </c>
      <c r="K154">
        <f>IFERROR(INDEX(PP_Grid[#Data],$DE154,8),0)</f>
        <v/>
      </c>
      <c r="L154">
        <f>IFERROR(INDEX(PP_Grid[#Data],$DE154,9),0)</f>
        <v/>
      </c>
      <c r="M154">
        <f>IFERROR(INDEX(PP_Grid[#Data],$DE154,10),0)</f>
        <v/>
      </c>
      <c r="N154">
        <f>IFERROR(INDEX(PP_Grid[#Data],$DE154,11),0)</f>
        <v/>
      </c>
      <c r="O154">
        <f>IFERROR(INDEX(PP_Grid[#Data],$DE154,12),0)</f>
        <v/>
      </c>
      <c r="P154">
        <f>IFERROR(INDEX(PP_Grid[#Data],$DE154,13),0)</f>
        <v/>
      </c>
      <c r="Q154">
        <f>IFERROR(INDEX(PP_Grid[#Data],$DE154,14),0)</f>
        <v/>
      </c>
      <c r="R154">
        <f>IFERROR(INDEX(PP_Grid[#Data],$DE154,15),0)</f>
        <v/>
      </c>
      <c r="S154">
        <f>IFERROR(INDEX(PP_Grid[#Data],$DE154,16),0)</f>
        <v/>
      </c>
      <c r="T154">
        <f>IFERROR(INDEX(PP_Grid[#Data],$DE154,17),0)</f>
        <v/>
      </c>
      <c r="U154">
        <f>IFERROR(INDEX(PP_Grid[#Data],$DE154,18),0)</f>
        <v/>
      </c>
      <c r="V154">
        <f>IFERROR(INDEX(PP_Grid[#Data],$DE154,19),0)</f>
        <v/>
      </c>
      <c r="W154">
        <f>IFERROR(INDEX(PP_Grid[#Data],$DE154,20),0)</f>
        <v/>
      </c>
      <c r="X154">
        <f>IFERROR(INDEX(PP_Grid[#Data],$DE154,21),0)</f>
        <v/>
      </c>
      <c r="Y154">
        <f>IFERROR(INDEX(PP_Grid[#Data],$DE154,22),0)</f>
        <v/>
      </c>
      <c r="Z154">
        <f>IFERROR(INDEX(PP_Grid[#Data],$DE154,23),0)</f>
        <v/>
      </c>
      <c r="AA154">
        <f>IFERROR(INDEX(PP_Grid[#Data],$DE154,24),0)</f>
        <v/>
      </c>
      <c r="AB154">
        <f>IFERROR(INDEX(PP_Grid[#Data],$DE154,25),0)</f>
        <v/>
      </c>
      <c r="AC154">
        <f>IFERROR(INDEX(PP_Grid[#Data],$DE154,26),0)</f>
        <v/>
      </c>
      <c r="AD154">
        <f>IFERROR(INDEX(PP_Grid[#Data],$DE154,27),0)</f>
        <v/>
      </c>
      <c r="AE154">
        <f>IFERROR(INDEX(PP_Grid[#Data],$DE154,28),0)</f>
        <v/>
      </c>
      <c r="AF154">
        <f>IFERROR(INDEX(PP_Grid[#Data],$DE154,29),0)</f>
        <v/>
      </c>
      <c r="AG154">
        <f>IFERROR(INDEX(PP_Grid[#Data],$DE154,30),0)</f>
        <v/>
      </c>
      <c r="AH154">
        <f>IFERROR(INDEX(PP_Grid[#Data],$DE154,31),0)</f>
        <v/>
      </c>
      <c r="AI154">
        <f>IFERROR(INDEX(PP_Grid[#Data],$DE154,32),0)</f>
        <v/>
      </c>
      <c r="AJ154">
        <f>IFERROR(INDEX(PP_Grid[#Data],$DE154,33),0)</f>
        <v/>
      </c>
      <c r="AK154">
        <f>IFERROR(INDEX(PP_Grid[#Data],$DE154,34),0)</f>
        <v/>
      </c>
      <c r="AL154">
        <f>IFERROR(INDEX(PP_Grid[#Data],$DE154,35),0)</f>
        <v/>
      </c>
      <c r="AM154">
        <f>IFERROR(INDEX(PP_Grid[#Data],$DE154,36),0)</f>
        <v/>
      </c>
      <c r="AN154">
        <f>IFERROR(INDEX(PP_Grid[#Data],$DE154,37),0)</f>
        <v/>
      </c>
      <c r="AO154">
        <f>IFERROR(INDEX(PP_Grid[#Data],$DE154,38),0)</f>
        <v/>
      </c>
      <c r="AP154">
        <f>IFERROR(INDEX(PP_Grid[#Data],$DE154,39),0)</f>
        <v/>
      </c>
      <c r="AQ154">
        <f>IFERROR(INDEX(PP_Grid[#Data],$DE154,40),0)</f>
        <v/>
      </c>
      <c r="AR154">
        <f>IFERROR(INDEX(PP_Grid[#Data],$DE154,41),0)</f>
        <v/>
      </c>
      <c r="AS154">
        <f>IFERROR(INDEX(PP_Grid[#Data],$DE154,42),0)</f>
        <v/>
      </c>
      <c r="AT154">
        <f>IFERROR(INDEX(PP_Grid[#Data],$DE154,43),0)</f>
        <v/>
      </c>
      <c r="AU154">
        <f>IFERROR(INDEX(PP_Grid[#Data],$DE154,44),0)</f>
        <v/>
      </c>
      <c r="AV154">
        <f>IFERROR(INDEX(PP_Grid[#Data],$DE154,45),0)</f>
        <v/>
      </c>
      <c r="AW154">
        <f>IFERROR(INDEX(PP_Grid[#Data],$DE154,46),0)</f>
        <v/>
      </c>
      <c r="AX154">
        <f>IFERROR(INDEX(PP_Grid[#Data],$DE154,47),0)</f>
        <v/>
      </c>
      <c r="AY154">
        <f>IFERROR(INDEX(PP_Grid[#Data],$DE154,48),0)</f>
        <v/>
      </c>
      <c r="AZ154">
        <f>IFERROR(INDEX(PP_Grid[#Data],$DE154,49),0)</f>
        <v/>
      </c>
      <c r="BA154">
        <f>IFERROR(INDEX(PP_Grid[#Data],$DE154,50),0)</f>
        <v/>
      </c>
      <c r="BB154">
        <f>IFERROR(INDEX(PP_Grid[#Data],$DE154,51),0)</f>
        <v/>
      </c>
      <c r="BC154">
        <f>IFERROR(INDEX(PP_Grid[#Data],$DE154,52),0)</f>
        <v/>
      </c>
      <c r="BD154">
        <f>IFERROR(INDEX(PP_Grid[#Data],$DE154,53),0)</f>
        <v/>
      </c>
      <c r="BE154">
        <f>IFERROR(INDEX(PP_Grid[#Data],$DE154,54),0)</f>
        <v/>
      </c>
      <c r="BF154">
        <f>IFERROR(INDEX(PP_Grid[#Data],$DE154,55),0)</f>
        <v/>
      </c>
      <c r="BG154">
        <f>IFERROR(INDEX(PP_Grid[#Data],$DE154,56),0)</f>
        <v/>
      </c>
      <c r="BH154">
        <f>IFERROR(INDEX(PP_Grid[#Data],$DE154,57),0)</f>
        <v/>
      </c>
      <c r="BI154">
        <f>IFERROR(INDEX(PP_Grid[#Data],$DE154,58),0)</f>
        <v/>
      </c>
      <c r="BJ154">
        <f>IFERROR(INDEX(PP_Grid[#Data],$DE154,59),0)</f>
        <v/>
      </c>
      <c r="BK154">
        <f>IFERROR(INDEX(PP_Grid[#Data],$DE154,60),0)</f>
        <v/>
      </c>
      <c r="BL154">
        <f>IFERROR(INDEX(PP_Grid[#Data],$DE154,61),0)</f>
        <v/>
      </c>
      <c r="BM154">
        <f>IFERROR(INDEX(PP_Grid[#Data],$DE154,62),0)</f>
        <v/>
      </c>
      <c r="BN154">
        <f>IFERROR(INDEX(PP_Grid[#Data],$DE154,63),0)</f>
        <v/>
      </c>
      <c r="BO154">
        <f>IFERROR(INDEX(PP_Grid[#Data],$DE154,64),0)</f>
        <v/>
      </c>
      <c r="BP154">
        <f>IFERROR(INDEX(PP_Grid[#Data],$DE154,65),0)</f>
        <v/>
      </c>
      <c r="BQ154">
        <f>IFERROR(INDEX(PP_Grid[#Data],$DE154,66),0)</f>
        <v/>
      </c>
      <c r="BR154">
        <f>IFERROR(INDEX(PP_Grid[#Data],$DE154,67),0)</f>
        <v/>
      </c>
      <c r="BS154">
        <f>IFERROR(INDEX(PP_Grid[#Data],$DE154,68),0)</f>
        <v/>
      </c>
      <c r="BT154">
        <f>IFERROR(INDEX(PP_Grid[#Data],$DE154,69),0)</f>
        <v/>
      </c>
      <c r="BU154">
        <f>IFERROR(INDEX(PP_Grid[#Data],$DE154,70),0)</f>
        <v/>
      </c>
      <c r="BV154">
        <f>IFERROR(INDEX(PP_Grid[#Data],$DE154,71),0)</f>
        <v/>
      </c>
      <c r="BW154">
        <f>IFERROR(INDEX(PP_Grid[#Data],$DE154,72),0)</f>
        <v/>
      </c>
      <c r="BX154">
        <f>IFERROR(INDEX(PP_Grid[#Data],$DE154,73),0)</f>
        <v/>
      </c>
      <c r="BY154">
        <f>IFERROR(INDEX(PP_Grid[#Data],$DE154,74),0)</f>
        <v/>
      </c>
      <c r="BZ154">
        <f>IFERROR(INDEX(PP_Grid[#Data],$DE154,75),0)</f>
        <v/>
      </c>
      <c r="CA154">
        <f>IFERROR(INDEX(PP_Grid[#Data],$DE154,76),0)</f>
        <v/>
      </c>
      <c r="CB154">
        <f>IFERROR(INDEX(PP_Grid[#Data],$DE154,77),0)</f>
        <v/>
      </c>
      <c r="CC154">
        <f>IFERROR(INDEX(PP_Grid[#Data],$DE154,78),0)</f>
        <v/>
      </c>
      <c r="CD154">
        <f>IFERROR(INDEX(PP_Grid[#Data],$DE154,79),0)</f>
        <v/>
      </c>
      <c r="CE154">
        <f>IFERROR(INDEX(PP_Grid[#Data],$DE154,80),0)</f>
        <v/>
      </c>
      <c r="CF154">
        <f>IFERROR(INDEX(PP_Grid[#Data],$DE154,81),0)</f>
        <v/>
      </c>
      <c r="CG154">
        <f>IFERROR(INDEX(PP_Grid[#Data],$DE154,82),0)</f>
        <v/>
      </c>
      <c r="CH154">
        <f>IFERROR(INDEX(PP_Grid[#Data],$DE154,83),0)</f>
        <v/>
      </c>
      <c r="CI154">
        <f>IFERROR(INDEX(PP_Grid[#Data],$DE154,84),0)</f>
        <v/>
      </c>
      <c r="CJ154">
        <f>IFERROR(INDEX(PP_Grid[#Data],$DE154,85),0)</f>
        <v/>
      </c>
      <c r="CK154">
        <f>IFERROR(INDEX(PP_Grid[#Data],$DE154,86),0)</f>
        <v/>
      </c>
      <c r="CL154">
        <f>IFERROR(INDEX(PP_Grid[#Data],$DE154,87),0)</f>
        <v/>
      </c>
      <c r="CM154">
        <f>IFERROR(INDEX(PP_Grid[#Data],$DE154,88),0)</f>
        <v/>
      </c>
      <c r="CN154">
        <f>IFERROR(INDEX(PP_Grid[#Data],$DE154,89),0)</f>
        <v/>
      </c>
      <c r="CO154">
        <f>IFERROR(INDEX(PP_Grid[#Data],$DE154,90),0)</f>
        <v/>
      </c>
      <c r="CP154">
        <f>IFERROR(INDEX(PP_Grid[#Data],$DE154,91),0)</f>
        <v/>
      </c>
      <c r="CQ154">
        <f>IFERROR(INDEX(PP_Grid[#Data],$DE154,92),0)</f>
        <v/>
      </c>
      <c r="CR154">
        <f>IFERROR(INDEX(PP_Grid[#Data],$DE154,93),0)</f>
        <v/>
      </c>
      <c r="CS154">
        <f>IFERROR(INDEX(PP_Grid[#Data],$DE154,94),0)</f>
        <v/>
      </c>
      <c r="CT154">
        <f>IFERROR(INDEX(PP_Grid[#Data],$DE154,95),0)</f>
        <v/>
      </c>
      <c r="CU154">
        <f>IFERROR(INDEX(PP_Grid[#Data],$DE154,96),0)</f>
        <v/>
      </c>
      <c r="CV154">
        <f>IFERROR(INDEX(PP_Grid[#Data],$DE154,97),0)</f>
        <v/>
      </c>
      <c r="CW154">
        <f>IFERROR(INDEX(PP_Grid[#Data],$DE154,98),0)</f>
        <v/>
      </c>
      <c r="CX154">
        <f>IFERROR(INDEX(PP_Grid[#Data],$DE154,99),0)</f>
        <v/>
      </c>
      <c r="CY154">
        <f>IFERROR(INDEX(PP_Grid[#Data],$DE154,100),0)</f>
        <v/>
      </c>
      <c r="CZ154">
        <f>IFERROR(INDEX(PP_Grid[#Data],$DE154,101),0)</f>
        <v/>
      </c>
      <c r="DA154">
        <f>IFERROR(INDEX(PP_Grid[#Data],$DE154,102),0)</f>
        <v/>
      </c>
      <c r="DB154">
        <f>IFERROR(INDEX(PP_Grid[#Data],$DE154,103),0)</f>
        <v/>
      </c>
      <c r="DC154">
        <f>IFERROR(INDEX(PP_Grid[#Data],$DE154,104),0)</f>
        <v/>
      </c>
      <c r="DD154">
        <f>IFERROR(INDEX(PP_Grid[#Data],$DE154,105),0)</f>
        <v/>
      </c>
      <c r="DE154" s="7">
        <f>IFERROR(MATCH($B154,PP_Grid[Intermediate],0),99999)</f>
        <v/>
      </c>
    </row>
    <row r="155">
      <c r="B155" t="inlineStr">
        <is>
          <t>使用量(kg)</t>
        </is>
      </c>
      <c r="C155">
        <f>SUMIFS(M_BOM[RM_Qty_Per_Batch],M_BOM[Intermediate],$B154,M_BOM[RM_Code],$A139)</f>
        <v/>
      </c>
      <c r="D155">
        <f>IFERROR(INDEX(E155:DD155,$F$1),"")</f>
        <v/>
      </c>
      <c r="E155">
        <f>$C155*E154</f>
        <v/>
      </c>
      <c r="F155">
        <f>$C155*F154</f>
        <v/>
      </c>
      <c r="G155">
        <f>$C155*G154</f>
        <v/>
      </c>
      <c r="H155">
        <f>$C155*H154</f>
        <v/>
      </c>
      <c r="I155">
        <f>$C155*I154</f>
        <v/>
      </c>
      <c r="J155">
        <f>$C155*J154</f>
        <v/>
      </c>
      <c r="K155">
        <f>$C155*K154</f>
        <v/>
      </c>
      <c r="L155">
        <f>$C155*L154</f>
        <v/>
      </c>
      <c r="M155">
        <f>$C155*M154</f>
        <v/>
      </c>
      <c r="N155">
        <f>$C155*N154</f>
        <v/>
      </c>
      <c r="O155">
        <f>$C155*O154</f>
        <v/>
      </c>
      <c r="P155">
        <f>$C155*P154</f>
        <v/>
      </c>
      <c r="Q155">
        <f>$C155*Q154</f>
        <v/>
      </c>
      <c r="R155">
        <f>$C155*R154</f>
        <v/>
      </c>
      <c r="S155">
        <f>$C155*S154</f>
        <v/>
      </c>
      <c r="T155">
        <f>$C155*T154</f>
        <v/>
      </c>
      <c r="U155">
        <f>$C155*U154</f>
        <v/>
      </c>
      <c r="V155">
        <f>$C155*V154</f>
        <v/>
      </c>
      <c r="W155">
        <f>$C155*W154</f>
        <v/>
      </c>
      <c r="X155">
        <f>$C155*X154</f>
        <v/>
      </c>
      <c r="Y155">
        <f>$C155*Y154</f>
        <v/>
      </c>
      <c r="Z155">
        <f>$C155*Z154</f>
        <v/>
      </c>
      <c r="AA155">
        <f>$C155*AA154</f>
        <v/>
      </c>
      <c r="AB155">
        <f>$C155*AB154</f>
        <v/>
      </c>
      <c r="AC155">
        <f>$C155*AC154</f>
        <v/>
      </c>
      <c r="AD155">
        <f>$C155*AD154</f>
        <v/>
      </c>
      <c r="AE155">
        <f>$C155*AE154</f>
        <v/>
      </c>
      <c r="AF155">
        <f>$C155*AF154</f>
        <v/>
      </c>
      <c r="AG155">
        <f>$C155*AG154</f>
        <v/>
      </c>
      <c r="AH155">
        <f>$C155*AH154</f>
        <v/>
      </c>
      <c r="AI155">
        <f>$C155*AI154</f>
        <v/>
      </c>
      <c r="AJ155">
        <f>$C155*AJ154</f>
        <v/>
      </c>
      <c r="AK155">
        <f>$C155*AK154</f>
        <v/>
      </c>
      <c r="AL155">
        <f>$C155*AL154</f>
        <v/>
      </c>
      <c r="AM155">
        <f>$C155*AM154</f>
        <v/>
      </c>
      <c r="AN155">
        <f>$C155*AN154</f>
        <v/>
      </c>
      <c r="AO155">
        <f>$C155*AO154</f>
        <v/>
      </c>
      <c r="AP155">
        <f>$C155*AP154</f>
        <v/>
      </c>
      <c r="AQ155">
        <f>$C155*AQ154</f>
        <v/>
      </c>
      <c r="AR155">
        <f>$C155*AR154</f>
        <v/>
      </c>
      <c r="AS155">
        <f>$C155*AS154</f>
        <v/>
      </c>
      <c r="AT155">
        <f>$C155*AT154</f>
        <v/>
      </c>
      <c r="AU155">
        <f>$C155*AU154</f>
        <v/>
      </c>
      <c r="AV155">
        <f>$C155*AV154</f>
        <v/>
      </c>
      <c r="AW155">
        <f>$C155*AW154</f>
        <v/>
      </c>
      <c r="AX155">
        <f>$C155*AX154</f>
        <v/>
      </c>
      <c r="AY155">
        <f>$C155*AY154</f>
        <v/>
      </c>
      <c r="AZ155">
        <f>$C155*AZ154</f>
        <v/>
      </c>
      <c r="BA155">
        <f>$C155*BA154</f>
        <v/>
      </c>
      <c r="BB155">
        <f>$C155*BB154</f>
        <v/>
      </c>
      <c r="BC155">
        <f>$C155*BC154</f>
        <v/>
      </c>
      <c r="BD155">
        <f>$C155*BD154</f>
        <v/>
      </c>
      <c r="BE155">
        <f>$C155*BE154</f>
        <v/>
      </c>
      <c r="BF155">
        <f>$C155*BF154</f>
        <v/>
      </c>
      <c r="BG155">
        <f>$C155*BG154</f>
        <v/>
      </c>
      <c r="BH155">
        <f>$C155*BH154</f>
        <v/>
      </c>
      <c r="BI155">
        <f>$C155*BI154</f>
        <v/>
      </c>
      <c r="BJ155">
        <f>$C155*BJ154</f>
        <v/>
      </c>
      <c r="BK155">
        <f>$C155*BK154</f>
        <v/>
      </c>
      <c r="BL155">
        <f>$C155*BL154</f>
        <v/>
      </c>
      <c r="BM155">
        <f>$C155*BM154</f>
        <v/>
      </c>
      <c r="BN155">
        <f>$C155*BN154</f>
        <v/>
      </c>
      <c r="BO155">
        <f>$C155*BO154</f>
        <v/>
      </c>
      <c r="BP155">
        <f>$C155*BP154</f>
        <v/>
      </c>
      <c r="BQ155">
        <f>$C155*BQ154</f>
        <v/>
      </c>
      <c r="BR155">
        <f>$C155*BR154</f>
        <v/>
      </c>
      <c r="BS155">
        <f>$C155*BS154</f>
        <v/>
      </c>
      <c r="BT155">
        <f>$C155*BT154</f>
        <v/>
      </c>
      <c r="BU155">
        <f>$C155*BU154</f>
        <v/>
      </c>
      <c r="BV155">
        <f>$C155*BV154</f>
        <v/>
      </c>
      <c r="BW155">
        <f>$C155*BW154</f>
        <v/>
      </c>
      <c r="BX155">
        <f>$C155*BX154</f>
        <v/>
      </c>
      <c r="BY155">
        <f>$C155*BY154</f>
        <v/>
      </c>
      <c r="BZ155">
        <f>$C155*BZ154</f>
        <v/>
      </c>
      <c r="CA155">
        <f>$C155*CA154</f>
        <v/>
      </c>
      <c r="CB155">
        <f>$C155*CB154</f>
        <v/>
      </c>
      <c r="CC155">
        <f>$C155*CC154</f>
        <v/>
      </c>
      <c r="CD155">
        <f>$C155*CD154</f>
        <v/>
      </c>
      <c r="CE155">
        <f>$C155*CE154</f>
        <v/>
      </c>
      <c r="CF155">
        <f>$C155*CF154</f>
        <v/>
      </c>
      <c r="CG155">
        <f>$C155*CG154</f>
        <v/>
      </c>
      <c r="CH155">
        <f>$C155*CH154</f>
        <v/>
      </c>
      <c r="CI155">
        <f>$C155*CI154</f>
        <v/>
      </c>
      <c r="CJ155">
        <f>$C155*CJ154</f>
        <v/>
      </c>
      <c r="CK155">
        <f>$C155*CK154</f>
        <v/>
      </c>
      <c r="CL155">
        <f>$C155*CL154</f>
        <v/>
      </c>
      <c r="CM155">
        <f>$C155*CM154</f>
        <v/>
      </c>
      <c r="CN155">
        <f>$C155*CN154</f>
        <v/>
      </c>
      <c r="CO155">
        <f>$C155*CO154</f>
        <v/>
      </c>
      <c r="CP155">
        <f>$C155*CP154</f>
        <v/>
      </c>
      <c r="CQ155">
        <f>$C155*CQ154</f>
        <v/>
      </c>
      <c r="CR155">
        <f>$C155*CR154</f>
        <v/>
      </c>
      <c r="CS155">
        <f>$C155*CS154</f>
        <v/>
      </c>
      <c r="CT155">
        <f>$C155*CT154</f>
        <v/>
      </c>
      <c r="CU155">
        <f>$C155*CU154</f>
        <v/>
      </c>
      <c r="CV155">
        <f>$C155*CV154</f>
        <v/>
      </c>
      <c r="CW155">
        <f>$C155*CW154</f>
        <v/>
      </c>
      <c r="CX155">
        <f>$C155*CX154</f>
        <v/>
      </c>
      <c r="CY155">
        <f>$C155*CY154</f>
        <v/>
      </c>
      <c r="CZ155">
        <f>$C155*CZ154</f>
        <v/>
      </c>
      <c r="DA155">
        <f>$C155*DA154</f>
        <v/>
      </c>
      <c r="DB155">
        <f>$C155*DB154</f>
        <v/>
      </c>
      <c r="DC155">
        <f>$C155*DC154</f>
        <v/>
      </c>
      <c r="DD155">
        <f>$C155*DD154</f>
        <v/>
      </c>
    </row>
    <row r="156">
      <c r="B156" t="inlineStr">
        <is>
          <t>TSP-399</t>
        </is>
      </c>
      <c r="C156" t="inlineStr">
        <is>
          <t>No. of batches</t>
        </is>
      </c>
      <c r="D156">
        <f>IFERROR(INDEX(E156:DD156,$F$1),"")</f>
        <v/>
      </c>
      <c r="E156">
        <f>IFERROR(INDEX(PP_Grid[#Data],$DE156,2),0)</f>
        <v/>
      </c>
      <c r="F156">
        <f>IFERROR(INDEX(PP_Grid[#Data],$DE156,3),0)</f>
        <v/>
      </c>
      <c r="G156">
        <f>IFERROR(INDEX(PP_Grid[#Data],$DE156,4),0)</f>
        <v/>
      </c>
      <c r="H156">
        <f>IFERROR(INDEX(PP_Grid[#Data],$DE156,5),0)</f>
        <v/>
      </c>
      <c r="I156">
        <f>IFERROR(INDEX(PP_Grid[#Data],$DE156,6),0)</f>
        <v/>
      </c>
      <c r="J156">
        <f>IFERROR(INDEX(PP_Grid[#Data],$DE156,7),0)</f>
        <v/>
      </c>
      <c r="K156">
        <f>IFERROR(INDEX(PP_Grid[#Data],$DE156,8),0)</f>
        <v/>
      </c>
      <c r="L156">
        <f>IFERROR(INDEX(PP_Grid[#Data],$DE156,9),0)</f>
        <v/>
      </c>
      <c r="M156">
        <f>IFERROR(INDEX(PP_Grid[#Data],$DE156,10),0)</f>
        <v/>
      </c>
      <c r="N156">
        <f>IFERROR(INDEX(PP_Grid[#Data],$DE156,11),0)</f>
        <v/>
      </c>
      <c r="O156">
        <f>IFERROR(INDEX(PP_Grid[#Data],$DE156,12),0)</f>
        <v/>
      </c>
      <c r="P156">
        <f>IFERROR(INDEX(PP_Grid[#Data],$DE156,13),0)</f>
        <v/>
      </c>
      <c r="Q156">
        <f>IFERROR(INDEX(PP_Grid[#Data],$DE156,14),0)</f>
        <v/>
      </c>
      <c r="R156">
        <f>IFERROR(INDEX(PP_Grid[#Data],$DE156,15),0)</f>
        <v/>
      </c>
      <c r="S156">
        <f>IFERROR(INDEX(PP_Grid[#Data],$DE156,16),0)</f>
        <v/>
      </c>
      <c r="T156">
        <f>IFERROR(INDEX(PP_Grid[#Data],$DE156,17),0)</f>
        <v/>
      </c>
      <c r="U156">
        <f>IFERROR(INDEX(PP_Grid[#Data],$DE156,18),0)</f>
        <v/>
      </c>
      <c r="V156">
        <f>IFERROR(INDEX(PP_Grid[#Data],$DE156,19),0)</f>
        <v/>
      </c>
      <c r="W156">
        <f>IFERROR(INDEX(PP_Grid[#Data],$DE156,20),0)</f>
        <v/>
      </c>
      <c r="X156">
        <f>IFERROR(INDEX(PP_Grid[#Data],$DE156,21),0)</f>
        <v/>
      </c>
      <c r="Y156">
        <f>IFERROR(INDEX(PP_Grid[#Data],$DE156,22),0)</f>
        <v/>
      </c>
      <c r="Z156">
        <f>IFERROR(INDEX(PP_Grid[#Data],$DE156,23),0)</f>
        <v/>
      </c>
      <c r="AA156">
        <f>IFERROR(INDEX(PP_Grid[#Data],$DE156,24),0)</f>
        <v/>
      </c>
      <c r="AB156">
        <f>IFERROR(INDEX(PP_Grid[#Data],$DE156,25),0)</f>
        <v/>
      </c>
      <c r="AC156">
        <f>IFERROR(INDEX(PP_Grid[#Data],$DE156,26),0)</f>
        <v/>
      </c>
      <c r="AD156">
        <f>IFERROR(INDEX(PP_Grid[#Data],$DE156,27),0)</f>
        <v/>
      </c>
      <c r="AE156">
        <f>IFERROR(INDEX(PP_Grid[#Data],$DE156,28),0)</f>
        <v/>
      </c>
      <c r="AF156">
        <f>IFERROR(INDEX(PP_Grid[#Data],$DE156,29),0)</f>
        <v/>
      </c>
      <c r="AG156">
        <f>IFERROR(INDEX(PP_Grid[#Data],$DE156,30),0)</f>
        <v/>
      </c>
      <c r="AH156">
        <f>IFERROR(INDEX(PP_Grid[#Data],$DE156,31),0)</f>
        <v/>
      </c>
      <c r="AI156">
        <f>IFERROR(INDEX(PP_Grid[#Data],$DE156,32),0)</f>
        <v/>
      </c>
      <c r="AJ156">
        <f>IFERROR(INDEX(PP_Grid[#Data],$DE156,33),0)</f>
        <v/>
      </c>
      <c r="AK156">
        <f>IFERROR(INDEX(PP_Grid[#Data],$DE156,34),0)</f>
        <v/>
      </c>
      <c r="AL156">
        <f>IFERROR(INDEX(PP_Grid[#Data],$DE156,35),0)</f>
        <v/>
      </c>
      <c r="AM156">
        <f>IFERROR(INDEX(PP_Grid[#Data],$DE156,36),0)</f>
        <v/>
      </c>
      <c r="AN156">
        <f>IFERROR(INDEX(PP_Grid[#Data],$DE156,37),0)</f>
        <v/>
      </c>
      <c r="AO156">
        <f>IFERROR(INDEX(PP_Grid[#Data],$DE156,38),0)</f>
        <v/>
      </c>
      <c r="AP156">
        <f>IFERROR(INDEX(PP_Grid[#Data],$DE156,39),0)</f>
        <v/>
      </c>
      <c r="AQ156">
        <f>IFERROR(INDEX(PP_Grid[#Data],$DE156,40),0)</f>
        <v/>
      </c>
      <c r="AR156">
        <f>IFERROR(INDEX(PP_Grid[#Data],$DE156,41),0)</f>
        <v/>
      </c>
      <c r="AS156">
        <f>IFERROR(INDEX(PP_Grid[#Data],$DE156,42),0)</f>
        <v/>
      </c>
      <c r="AT156">
        <f>IFERROR(INDEX(PP_Grid[#Data],$DE156,43),0)</f>
        <v/>
      </c>
      <c r="AU156">
        <f>IFERROR(INDEX(PP_Grid[#Data],$DE156,44),0)</f>
        <v/>
      </c>
      <c r="AV156">
        <f>IFERROR(INDEX(PP_Grid[#Data],$DE156,45),0)</f>
        <v/>
      </c>
      <c r="AW156">
        <f>IFERROR(INDEX(PP_Grid[#Data],$DE156,46),0)</f>
        <v/>
      </c>
      <c r="AX156">
        <f>IFERROR(INDEX(PP_Grid[#Data],$DE156,47),0)</f>
        <v/>
      </c>
      <c r="AY156">
        <f>IFERROR(INDEX(PP_Grid[#Data],$DE156,48),0)</f>
        <v/>
      </c>
      <c r="AZ156">
        <f>IFERROR(INDEX(PP_Grid[#Data],$DE156,49),0)</f>
        <v/>
      </c>
      <c r="BA156">
        <f>IFERROR(INDEX(PP_Grid[#Data],$DE156,50),0)</f>
        <v/>
      </c>
      <c r="BB156">
        <f>IFERROR(INDEX(PP_Grid[#Data],$DE156,51),0)</f>
        <v/>
      </c>
      <c r="BC156">
        <f>IFERROR(INDEX(PP_Grid[#Data],$DE156,52),0)</f>
        <v/>
      </c>
      <c r="BD156">
        <f>IFERROR(INDEX(PP_Grid[#Data],$DE156,53),0)</f>
        <v/>
      </c>
      <c r="BE156">
        <f>IFERROR(INDEX(PP_Grid[#Data],$DE156,54),0)</f>
        <v/>
      </c>
      <c r="BF156">
        <f>IFERROR(INDEX(PP_Grid[#Data],$DE156,55),0)</f>
        <v/>
      </c>
      <c r="BG156">
        <f>IFERROR(INDEX(PP_Grid[#Data],$DE156,56),0)</f>
        <v/>
      </c>
      <c r="BH156">
        <f>IFERROR(INDEX(PP_Grid[#Data],$DE156,57),0)</f>
        <v/>
      </c>
      <c r="BI156">
        <f>IFERROR(INDEX(PP_Grid[#Data],$DE156,58),0)</f>
        <v/>
      </c>
      <c r="BJ156">
        <f>IFERROR(INDEX(PP_Grid[#Data],$DE156,59),0)</f>
        <v/>
      </c>
      <c r="BK156">
        <f>IFERROR(INDEX(PP_Grid[#Data],$DE156,60),0)</f>
        <v/>
      </c>
      <c r="BL156">
        <f>IFERROR(INDEX(PP_Grid[#Data],$DE156,61),0)</f>
        <v/>
      </c>
      <c r="BM156">
        <f>IFERROR(INDEX(PP_Grid[#Data],$DE156,62),0)</f>
        <v/>
      </c>
      <c r="BN156">
        <f>IFERROR(INDEX(PP_Grid[#Data],$DE156,63),0)</f>
        <v/>
      </c>
      <c r="BO156">
        <f>IFERROR(INDEX(PP_Grid[#Data],$DE156,64),0)</f>
        <v/>
      </c>
      <c r="BP156">
        <f>IFERROR(INDEX(PP_Grid[#Data],$DE156,65),0)</f>
        <v/>
      </c>
      <c r="BQ156">
        <f>IFERROR(INDEX(PP_Grid[#Data],$DE156,66),0)</f>
        <v/>
      </c>
      <c r="BR156">
        <f>IFERROR(INDEX(PP_Grid[#Data],$DE156,67),0)</f>
        <v/>
      </c>
      <c r="BS156">
        <f>IFERROR(INDEX(PP_Grid[#Data],$DE156,68),0)</f>
        <v/>
      </c>
      <c r="BT156">
        <f>IFERROR(INDEX(PP_Grid[#Data],$DE156,69),0)</f>
        <v/>
      </c>
      <c r="BU156">
        <f>IFERROR(INDEX(PP_Grid[#Data],$DE156,70),0)</f>
        <v/>
      </c>
      <c r="BV156">
        <f>IFERROR(INDEX(PP_Grid[#Data],$DE156,71),0)</f>
        <v/>
      </c>
      <c r="BW156">
        <f>IFERROR(INDEX(PP_Grid[#Data],$DE156,72),0)</f>
        <v/>
      </c>
      <c r="BX156">
        <f>IFERROR(INDEX(PP_Grid[#Data],$DE156,73),0)</f>
        <v/>
      </c>
      <c r="BY156">
        <f>IFERROR(INDEX(PP_Grid[#Data],$DE156,74),0)</f>
        <v/>
      </c>
      <c r="BZ156">
        <f>IFERROR(INDEX(PP_Grid[#Data],$DE156,75),0)</f>
        <v/>
      </c>
      <c r="CA156">
        <f>IFERROR(INDEX(PP_Grid[#Data],$DE156,76),0)</f>
        <v/>
      </c>
      <c r="CB156">
        <f>IFERROR(INDEX(PP_Grid[#Data],$DE156,77),0)</f>
        <v/>
      </c>
      <c r="CC156">
        <f>IFERROR(INDEX(PP_Grid[#Data],$DE156,78),0)</f>
        <v/>
      </c>
      <c r="CD156">
        <f>IFERROR(INDEX(PP_Grid[#Data],$DE156,79),0)</f>
        <v/>
      </c>
      <c r="CE156">
        <f>IFERROR(INDEX(PP_Grid[#Data],$DE156,80),0)</f>
        <v/>
      </c>
      <c r="CF156">
        <f>IFERROR(INDEX(PP_Grid[#Data],$DE156,81),0)</f>
        <v/>
      </c>
      <c r="CG156">
        <f>IFERROR(INDEX(PP_Grid[#Data],$DE156,82),0)</f>
        <v/>
      </c>
      <c r="CH156">
        <f>IFERROR(INDEX(PP_Grid[#Data],$DE156,83),0)</f>
        <v/>
      </c>
      <c r="CI156">
        <f>IFERROR(INDEX(PP_Grid[#Data],$DE156,84),0)</f>
        <v/>
      </c>
      <c r="CJ156">
        <f>IFERROR(INDEX(PP_Grid[#Data],$DE156,85),0)</f>
        <v/>
      </c>
      <c r="CK156">
        <f>IFERROR(INDEX(PP_Grid[#Data],$DE156,86),0)</f>
        <v/>
      </c>
      <c r="CL156">
        <f>IFERROR(INDEX(PP_Grid[#Data],$DE156,87),0)</f>
        <v/>
      </c>
      <c r="CM156">
        <f>IFERROR(INDEX(PP_Grid[#Data],$DE156,88),0)</f>
        <v/>
      </c>
      <c r="CN156">
        <f>IFERROR(INDEX(PP_Grid[#Data],$DE156,89),0)</f>
        <v/>
      </c>
      <c r="CO156">
        <f>IFERROR(INDEX(PP_Grid[#Data],$DE156,90),0)</f>
        <v/>
      </c>
      <c r="CP156">
        <f>IFERROR(INDEX(PP_Grid[#Data],$DE156,91),0)</f>
        <v/>
      </c>
      <c r="CQ156">
        <f>IFERROR(INDEX(PP_Grid[#Data],$DE156,92),0)</f>
        <v/>
      </c>
      <c r="CR156">
        <f>IFERROR(INDEX(PP_Grid[#Data],$DE156,93),0)</f>
        <v/>
      </c>
      <c r="CS156">
        <f>IFERROR(INDEX(PP_Grid[#Data],$DE156,94),0)</f>
        <v/>
      </c>
      <c r="CT156">
        <f>IFERROR(INDEX(PP_Grid[#Data],$DE156,95),0)</f>
        <v/>
      </c>
      <c r="CU156">
        <f>IFERROR(INDEX(PP_Grid[#Data],$DE156,96),0)</f>
        <v/>
      </c>
      <c r="CV156">
        <f>IFERROR(INDEX(PP_Grid[#Data],$DE156,97),0)</f>
        <v/>
      </c>
      <c r="CW156">
        <f>IFERROR(INDEX(PP_Grid[#Data],$DE156,98),0)</f>
        <v/>
      </c>
      <c r="CX156">
        <f>IFERROR(INDEX(PP_Grid[#Data],$DE156,99),0)</f>
        <v/>
      </c>
      <c r="CY156">
        <f>IFERROR(INDEX(PP_Grid[#Data],$DE156,100),0)</f>
        <v/>
      </c>
      <c r="CZ156">
        <f>IFERROR(INDEX(PP_Grid[#Data],$DE156,101),0)</f>
        <v/>
      </c>
      <c r="DA156">
        <f>IFERROR(INDEX(PP_Grid[#Data],$DE156,102),0)</f>
        <v/>
      </c>
      <c r="DB156">
        <f>IFERROR(INDEX(PP_Grid[#Data],$DE156,103),0)</f>
        <v/>
      </c>
      <c r="DC156">
        <f>IFERROR(INDEX(PP_Grid[#Data],$DE156,104),0)</f>
        <v/>
      </c>
      <c r="DD156">
        <f>IFERROR(INDEX(PP_Grid[#Data],$DE156,105),0)</f>
        <v/>
      </c>
      <c r="DE156" s="7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SUMIFS(M_BOM[RM_Qty_Per_Batch],M_BOM[Intermediate],$B156,M_BOM[RM_Code],$A139)</f>
        <v/>
      </c>
      <c r="D157">
        <f>IFERROR(INDEX(E157:DD157,$F$1),"")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  <c r="DD157">
        <f>$C157*DD156</f>
        <v/>
      </c>
    </row>
    <row r="158">
      <c r="B158" t="inlineStr">
        <is>
          <t>TSP-656</t>
        </is>
      </c>
      <c r="C158" t="inlineStr">
        <is>
          <t>No. of batches</t>
        </is>
      </c>
      <c r="D158">
        <f>IFERROR(INDEX(E158:DD158,$F$1),"")</f>
        <v/>
      </c>
      <c r="E158">
        <f>IFERROR(INDEX(PP_Grid[#Data],$DE158,2),0)</f>
        <v/>
      </c>
      <c r="F158">
        <f>IFERROR(INDEX(PP_Grid[#Data],$DE158,3),0)</f>
        <v/>
      </c>
      <c r="G158">
        <f>IFERROR(INDEX(PP_Grid[#Data],$DE158,4),0)</f>
        <v/>
      </c>
      <c r="H158">
        <f>IFERROR(INDEX(PP_Grid[#Data],$DE158,5),0)</f>
        <v/>
      </c>
      <c r="I158">
        <f>IFERROR(INDEX(PP_Grid[#Data],$DE158,6),0)</f>
        <v/>
      </c>
      <c r="J158">
        <f>IFERROR(INDEX(PP_Grid[#Data],$DE158,7),0)</f>
        <v/>
      </c>
      <c r="K158">
        <f>IFERROR(INDEX(PP_Grid[#Data],$DE158,8),0)</f>
        <v/>
      </c>
      <c r="L158">
        <f>IFERROR(INDEX(PP_Grid[#Data],$DE158,9),0)</f>
        <v/>
      </c>
      <c r="M158">
        <f>IFERROR(INDEX(PP_Grid[#Data],$DE158,10),0)</f>
        <v/>
      </c>
      <c r="N158">
        <f>IFERROR(INDEX(PP_Grid[#Data],$DE158,11),0)</f>
        <v/>
      </c>
      <c r="O158">
        <f>IFERROR(INDEX(PP_Grid[#Data],$DE158,12),0)</f>
        <v/>
      </c>
      <c r="P158">
        <f>IFERROR(INDEX(PP_Grid[#Data],$DE158,13),0)</f>
        <v/>
      </c>
      <c r="Q158">
        <f>IFERROR(INDEX(PP_Grid[#Data],$DE158,14),0)</f>
        <v/>
      </c>
      <c r="R158">
        <f>IFERROR(INDEX(PP_Grid[#Data],$DE158,15),0)</f>
        <v/>
      </c>
      <c r="S158">
        <f>IFERROR(INDEX(PP_Grid[#Data],$DE158,16),0)</f>
        <v/>
      </c>
      <c r="T158">
        <f>IFERROR(INDEX(PP_Grid[#Data],$DE158,17),0)</f>
        <v/>
      </c>
      <c r="U158">
        <f>IFERROR(INDEX(PP_Grid[#Data],$DE158,18),0)</f>
        <v/>
      </c>
      <c r="V158">
        <f>IFERROR(INDEX(PP_Grid[#Data],$DE158,19),0)</f>
        <v/>
      </c>
      <c r="W158">
        <f>IFERROR(INDEX(PP_Grid[#Data],$DE158,20),0)</f>
        <v/>
      </c>
      <c r="X158">
        <f>IFERROR(INDEX(PP_Grid[#Data],$DE158,21),0)</f>
        <v/>
      </c>
      <c r="Y158">
        <f>IFERROR(INDEX(PP_Grid[#Data],$DE158,22),0)</f>
        <v/>
      </c>
      <c r="Z158">
        <f>IFERROR(INDEX(PP_Grid[#Data],$DE158,23),0)</f>
        <v/>
      </c>
      <c r="AA158">
        <f>IFERROR(INDEX(PP_Grid[#Data],$DE158,24),0)</f>
        <v/>
      </c>
      <c r="AB158">
        <f>IFERROR(INDEX(PP_Grid[#Data],$DE158,25),0)</f>
        <v/>
      </c>
      <c r="AC158">
        <f>IFERROR(INDEX(PP_Grid[#Data],$DE158,26),0)</f>
        <v/>
      </c>
      <c r="AD158">
        <f>IFERROR(INDEX(PP_Grid[#Data],$DE158,27),0)</f>
        <v/>
      </c>
      <c r="AE158">
        <f>IFERROR(INDEX(PP_Grid[#Data],$DE158,28),0)</f>
        <v/>
      </c>
      <c r="AF158">
        <f>IFERROR(INDEX(PP_Grid[#Data],$DE158,29),0)</f>
        <v/>
      </c>
      <c r="AG158">
        <f>IFERROR(INDEX(PP_Grid[#Data],$DE158,30),0)</f>
        <v/>
      </c>
      <c r="AH158">
        <f>IFERROR(INDEX(PP_Grid[#Data],$DE158,31),0)</f>
        <v/>
      </c>
      <c r="AI158">
        <f>IFERROR(INDEX(PP_Grid[#Data],$DE158,32),0)</f>
        <v/>
      </c>
      <c r="AJ158">
        <f>IFERROR(INDEX(PP_Grid[#Data],$DE158,33),0)</f>
        <v/>
      </c>
      <c r="AK158">
        <f>IFERROR(INDEX(PP_Grid[#Data],$DE158,34),0)</f>
        <v/>
      </c>
      <c r="AL158">
        <f>IFERROR(INDEX(PP_Grid[#Data],$DE158,35),0)</f>
        <v/>
      </c>
      <c r="AM158">
        <f>IFERROR(INDEX(PP_Grid[#Data],$DE158,36),0)</f>
        <v/>
      </c>
      <c r="AN158">
        <f>IFERROR(INDEX(PP_Grid[#Data],$DE158,37),0)</f>
        <v/>
      </c>
      <c r="AO158">
        <f>IFERROR(INDEX(PP_Grid[#Data],$DE158,38),0)</f>
        <v/>
      </c>
      <c r="AP158">
        <f>IFERROR(INDEX(PP_Grid[#Data],$DE158,39),0)</f>
        <v/>
      </c>
      <c r="AQ158">
        <f>IFERROR(INDEX(PP_Grid[#Data],$DE158,40),0)</f>
        <v/>
      </c>
      <c r="AR158">
        <f>IFERROR(INDEX(PP_Grid[#Data],$DE158,41),0)</f>
        <v/>
      </c>
      <c r="AS158">
        <f>IFERROR(INDEX(PP_Grid[#Data],$DE158,42),0)</f>
        <v/>
      </c>
      <c r="AT158">
        <f>IFERROR(INDEX(PP_Grid[#Data],$DE158,43),0)</f>
        <v/>
      </c>
      <c r="AU158">
        <f>IFERROR(INDEX(PP_Grid[#Data],$DE158,44),0)</f>
        <v/>
      </c>
      <c r="AV158">
        <f>IFERROR(INDEX(PP_Grid[#Data],$DE158,45),0)</f>
        <v/>
      </c>
      <c r="AW158">
        <f>IFERROR(INDEX(PP_Grid[#Data],$DE158,46),0)</f>
        <v/>
      </c>
      <c r="AX158">
        <f>IFERROR(INDEX(PP_Grid[#Data],$DE158,47),0)</f>
        <v/>
      </c>
      <c r="AY158">
        <f>IFERROR(INDEX(PP_Grid[#Data],$DE158,48),0)</f>
        <v/>
      </c>
      <c r="AZ158">
        <f>IFERROR(INDEX(PP_Grid[#Data],$DE158,49),0)</f>
        <v/>
      </c>
      <c r="BA158">
        <f>IFERROR(INDEX(PP_Grid[#Data],$DE158,50),0)</f>
        <v/>
      </c>
      <c r="BB158">
        <f>IFERROR(INDEX(PP_Grid[#Data],$DE158,51),0)</f>
        <v/>
      </c>
      <c r="BC158">
        <f>IFERROR(INDEX(PP_Grid[#Data],$DE158,52),0)</f>
        <v/>
      </c>
      <c r="BD158">
        <f>IFERROR(INDEX(PP_Grid[#Data],$DE158,53),0)</f>
        <v/>
      </c>
      <c r="BE158">
        <f>IFERROR(INDEX(PP_Grid[#Data],$DE158,54),0)</f>
        <v/>
      </c>
      <c r="BF158">
        <f>IFERROR(INDEX(PP_Grid[#Data],$DE158,55),0)</f>
        <v/>
      </c>
      <c r="BG158">
        <f>IFERROR(INDEX(PP_Grid[#Data],$DE158,56),0)</f>
        <v/>
      </c>
      <c r="BH158">
        <f>IFERROR(INDEX(PP_Grid[#Data],$DE158,57),0)</f>
        <v/>
      </c>
      <c r="BI158">
        <f>IFERROR(INDEX(PP_Grid[#Data],$DE158,58),0)</f>
        <v/>
      </c>
      <c r="BJ158">
        <f>IFERROR(INDEX(PP_Grid[#Data],$DE158,59),0)</f>
        <v/>
      </c>
      <c r="BK158">
        <f>IFERROR(INDEX(PP_Grid[#Data],$DE158,60),0)</f>
        <v/>
      </c>
      <c r="BL158">
        <f>IFERROR(INDEX(PP_Grid[#Data],$DE158,61),0)</f>
        <v/>
      </c>
      <c r="BM158">
        <f>IFERROR(INDEX(PP_Grid[#Data],$DE158,62),0)</f>
        <v/>
      </c>
      <c r="BN158">
        <f>IFERROR(INDEX(PP_Grid[#Data],$DE158,63),0)</f>
        <v/>
      </c>
      <c r="BO158">
        <f>IFERROR(INDEX(PP_Grid[#Data],$DE158,64),0)</f>
        <v/>
      </c>
      <c r="BP158">
        <f>IFERROR(INDEX(PP_Grid[#Data],$DE158,65),0)</f>
        <v/>
      </c>
      <c r="BQ158">
        <f>IFERROR(INDEX(PP_Grid[#Data],$DE158,66),0)</f>
        <v/>
      </c>
      <c r="BR158">
        <f>IFERROR(INDEX(PP_Grid[#Data],$DE158,67),0)</f>
        <v/>
      </c>
      <c r="BS158">
        <f>IFERROR(INDEX(PP_Grid[#Data],$DE158,68),0)</f>
        <v/>
      </c>
      <c r="BT158">
        <f>IFERROR(INDEX(PP_Grid[#Data],$DE158,69),0)</f>
        <v/>
      </c>
      <c r="BU158">
        <f>IFERROR(INDEX(PP_Grid[#Data],$DE158,70),0)</f>
        <v/>
      </c>
      <c r="BV158">
        <f>IFERROR(INDEX(PP_Grid[#Data],$DE158,71),0)</f>
        <v/>
      </c>
      <c r="BW158">
        <f>IFERROR(INDEX(PP_Grid[#Data],$DE158,72),0)</f>
        <v/>
      </c>
      <c r="BX158">
        <f>IFERROR(INDEX(PP_Grid[#Data],$DE158,73),0)</f>
        <v/>
      </c>
      <c r="BY158">
        <f>IFERROR(INDEX(PP_Grid[#Data],$DE158,74),0)</f>
        <v/>
      </c>
      <c r="BZ158">
        <f>IFERROR(INDEX(PP_Grid[#Data],$DE158,75),0)</f>
        <v/>
      </c>
      <c r="CA158">
        <f>IFERROR(INDEX(PP_Grid[#Data],$DE158,76),0)</f>
        <v/>
      </c>
      <c r="CB158">
        <f>IFERROR(INDEX(PP_Grid[#Data],$DE158,77),0)</f>
        <v/>
      </c>
      <c r="CC158">
        <f>IFERROR(INDEX(PP_Grid[#Data],$DE158,78),0)</f>
        <v/>
      </c>
      <c r="CD158">
        <f>IFERROR(INDEX(PP_Grid[#Data],$DE158,79),0)</f>
        <v/>
      </c>
      <c r="CE158">
        <f>IFERROR(INDEX(PP_Grid[#Data],$DE158,80),0)</f>
        <v/>
      </c>
      <c r="CF158">
        <f>IFERROR(INDEX(PP_Grid[#Data],$DE158,81),0)</f>
        <v/>
      </c>
      <c r="CG158">
        <f>IFERROR(INDEX(PP_Grid[#Data],$DE158,82),0)</f>
        <v/>
      </c>
      <c r="CH158">
        <f>IFERROR(INDEX(PP_Grid[#Data],$DE158,83),0)</f>
        <v/>
      </c>
      <c r="CI158">
        <f>IFERROR(INDEX(PP_Grid[#Data],$DE158,84),0)</f>
        <v/>
      </c>
      <c r="CJ158">
        <f>IFERROR(INDEX(PP_Grid[#Data],$DE158,85),0)</f>
        <v/>
      </c>
      <c r="CK158">
        <f>IFERROR(INDEX(PP_Grid[#Data],$DE158,86),0)</f>
        <v/>
      </c>
      <c r="CL158">
        <f>IFERROR(INDEX(PP_Grid[#Data],$DE158,87),0)</f>
        <v/>
      </c>
      <c r="CM158">
        <f>IFERROR(INDEX(PP_Grid[#Data],$DE158,88),0)</f>
        <v/>
      </c>
      <c r="CN158">
        <f>IFERROR(INDEX(PP_Grid[#Data],$DE158,89),0)</f>
        <v/>
      </c>
      <c r="CO158">
        <f>IFERROR(INDEX(PP_Grid[#Data],$DE158,90),0)</f>
        <v/>
      </c>
      <c r="CP158">
        <f>IFERROR(INDEX(PP_Grid[#Data],$DE158,91),0)</f>
        <v/>
      </c>
      <c r="CQ158">
        <f>IFERROR(INDEX(PP_Grid[#Data],$DE158,92),0)</f>
        <v/>
      </c>
      <c r="CR158">
        <f>IFERROR(INDEX(PP_Grid[#Data],$DE158,93),0)</f>
        <v/>
      </c>
      <c r="CS158">
        <f>IFERROR(INDEX(PP_Grid[#Data],$DE158,94),0)</f>
        <v/>
      </c>
      <c r="CT158">
        <f>IFERROR(INDEX(PP_Grid[#Data],$DE158,95),0)</f>
        <v/>
      </c>
      <c r="CU158">
        <f>IFERROR(INDEX(PP_Grid[#Data],$DE158,96),0)</f>
        <v/>
      </c>
      <c r="CV158">
        <f>IFERROR(INDEX(PP_Grid[#Data],$DE158,97),0)</f>
        <v/>
      </c>
      <c r="CW158">
        <f>IFERROR(INDEX(PP_Grid[#Data],$DE158,98),0)</f>
        <v/>
      </c>
      <c r="CX158">
        <f>IFERROR(INDEX(PP_Grid[#Data],$DE158,99),0)</f>
        <v/>
      </c>
      <c r="CY158">
        <f>IFERROR(INDEX(PP_Grid[#Data],$DE158,100),0)</f>
        <v/>
      </c>
      <c r="CZ158">
        <f>IFERROR(INDEX(PP_Grid[#Data],$DE158,101),0)</f>
        <v/>
      </c>
      <c r="DA158">
        <f>IFERROR(INDEX(PP_Grid[#Data],$DE158,102),0)</f>
        <v/>
      </c>
      <c r="DB158">
        <f>IFERROR(INDEX(PP_Grid[#Data],$DE158,103),0)</f>
        <v/>
      </c>
      <c r="DC158">
        <f>IFERROR(INDEX(PP_Grid[#Data],$DE158,104),0)</f>
        <v/>
      </c>
      <c r="DD158">
        <f>IFERROR(INDEX(PP_Grid[#Data],$DE158,105),0)</f>
        <v/>
      </c>
      <c r="DE158" s="7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SUMIFS(M_BOM[RM_Qty_Per_Batch],M_BOM[Intermediate],$B158,M_BOM[RM_Code],$A139)</f>
        <v/>
      </c>
      <c r="D159">
        <f>IFERROR(INDEX(E159:DD159,$F$1),"")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  <c r="DD159">
        <f>$C159*DD158</f>
        <v/>
      </c>
    </row>
    <row r="160">
      <c r="B160" t="inlineStr">
        <is>
          <t>TSP-668</t>
        </is>
      </c>
      <c r="C160" t="inlineStr">
        <is>
          <t>No. of batches</t>
        </is>
      </c>
      <c r="D160">
        <f>IFERROR(INDEX(E160:DD160,$F$1),"")</f>
        <v/>
      </c>
      <c r="E160">
        <f>IFERROR(INDEX(PP_Grid[#Data],$DE160,2),0)</f>
        <v/>
      </c>
      <c r="F160">
        <f>IFERROR(INDEX(PP_Grid[#Data],$DE160,3),0)</f>
        <v/>
      </c>
      <c r="G160">
        <f>IFERROR(INDEX(PP_Grid[#Data],$DE160,4),0)</f>
        <v/>
      </c>
      <c r="H160">
        <f>IFERROR(INDEX(PP_Grid[#Data],$DE160,5),0)</f>
        <v/>
      </c>
      <c r="I160">
        <f>IFERROR(INDEX(PP_Grid[#Data],$DE160,6),0)</f>
        <v/>
      </c>
      <c r="J160">
        <f>IFERROR(INDEX(PP_Grid[#Data],$DE160,7),0)</f>
        <v/>
      </c>
      <c r="K160">
        <f>IFERROR(INDEX(PP_Grid[#Data],$DE160,8),0)</f>
        <v/>
      </c>
      <c r="L160">
        <f>IFERROR(INDEX(PP_Grid[#Data],$DE160,9),0)</f>
        <v/>
      </c>
      <c r="M160">
        <f>IFERROR(INDEX(PP_Grid[#Data],$DE160,10),0)</f>
        <v/>
      </c>
      <c r="N160">
        <f>IFERROR(INDEX(PP_Grid[#Data],$DE160,11),0)</f>
        <v/>
      </c>
      <c r="O160">
        <f>IFERROR(INDEX(PP_Grid[#Data],$DE160,12),0)</f>
        <v/>
      </c>
      <c r="P160">
        <f>IFERROR(INDEX(PP_Grid[#Data],$DE160,13),0)</f>
        <v/>
      </c>
      <c r="Q160">
        <f>IFERROR(INDEX(PP_Grid[#Data],$DE160,14),0)</f>
        <v/>
      </c>
      <c r="R160">
        <f>IFERROR(INDEX(PP_Grid[#Data],$DE160,15),0)</f>
        <v/>
      </c>
      <c r="S160">
        <f>IFERROR(INDEX(PP_Grid[#Data],$DE160,16),0)</f>
        <v/>
      </c>
      <c r="T160">
        <f>IFERROR(INDEX(PP_Grid[#Data],$DE160,17),0)</f>
        <v/>
      </c>
      <c r="U160">
        <f>IFERROR(INDEX(PP_Grid[#Data],$DE160,18),0)</f>
        <v/>
      </c>
      <c r="V160">
        <f>IFERROR(INDEX(PP_Grid[#Data],$DE160,19),0)</f>
        <v/>
      </c>
      <c r="W160">
        <f>IFERROR(INDEX(PP_Grid[#Data],$DE160,20),0)</f>
        <v/>
      </c>
      <c r="X160">
        <f>IFERROR(INDEX(PP_Grid[#Data],$DE160,21),0)</f>
        <v/>
      </c>
      <c r="Y160">
        <f>IFERROR(INDEX(PP_Grid[#Data],$DE160,22),0)</f>
        <v/>
      </c>
      <c r="Z160">
        <f>IFERROR(INDEX(PP_Grid[#Data],$DE160,23),0)</f>
        <v/>
      </c>
      <c r="AA160">
        <f>IFERROR(INDEX(PP_Grid[#Data],$DE160,24),0)</f>
        <v/>
      </c>
      <c r="AB160">
        <f>IFERROR(INDEX(PP_Grid[#Data],$DE160,25),0)</f>
        <v/>
      </c>
      <c r="AC160">
        <f>IFERROR(INDEX(PP_Grid[#Data],$DE160,26),0)</f>
        <v/>
      </c>
      <c r="AD160">
        <f>IFERROR(INDEX(PP_Grid[#Data],$DE160,27),0)</f>
        <v/>
      </c>
      <c r="AE160">
        <f>IFERROR(INDEX(PP_Grid[#Data],$DE160,28),0)</f>
        <v/>
      </c>
      <c r="AF160">
        <f>IFERROR(INDEX(PP_Grid[#Data],$DE160,29),0)</f>
        <v/>
      </c>
      <c r="AG160">
        <f>IFERROR(INDEX(PP_Grid[#Data],$DE160,30),0)</f>
        <v/>
      </c>
      <c r="AH160">
        <f>IFERROR(INDEX(PP_Grid[#Data],$DE160,31),0)</f>
        <v/>
      </c>
      <c r="AI160">
        <f>IFERROR(INDEX(PP_Grid[#Data],$DE160,32),0)</f>
        <v/>
      </c>
      <c r="AJ160">
        <f>IFERROR(INDEX(PP_Grid[#Data],$DE160,33),0)</f>
        <v/>
      </c>
      <c r="AK160">
        <f>IFERROR(INDEX(PP_Grid[#Data],$DE160,34),0)</f>
        <v/>
      </c>
      <c r="AL160">
        <f>IFERROR(INDEX(PP_Grid[#Data],$DE160,35),0)</f>
        <v/>
      </c>
      <c r="AM160">
        <f>IFERROR(INDEX(PP_Grid[#Data],$DE160,36),0)</f>
        <v/>
      </c>
      <c r="AN160">
        <f>IFERROR(INDEX(PP_Grid[#Data],$DE160,37),0)</f>
        <v/>
      </c>
      <c r="AO160">
        <f>IFERROR(INDEX(PP_Grid[#Data],$DE160,38),0)</f>
        <v/>
      </c>
      <c r="AP160">
        <f>IFERROR(INDEX(PP_Grid[#Data],$DE160,39),0)</f>
        <v/>
      </c>
      <c r="AQ160">
        <f>IFERROR(INDEX(PP_Grid[#Data],$DE160,40),0)</f>
        <v/>
      </c>
      <c r="AR160">
        <f>IFERROR(INDEX(PP_Grid[#Data],$DE160,41),0)</f>
        <v/>
      </c>
      <c r="AS160">
        <f>IFERROR(INDEX(PP_Grid[#Data],$DE160,42),0)</f>
        <v/>
      </c>
      <c r="AT160">
        <f>IFERROR(INDEX(PP_Grid[#Data],$DE160,43),0)</f>
        <v/>
      </c>
      <c r="AU160">
        <f>IFERROR(INDEX(PP_Grid[#Data],$DE160,44),0)</f>
        <v/>
      </c>
      <c r="AV160">
        <f>IFERROR(INDEX(PP_Grid[#Data],$DE160,45),0)</f>
        <v/>
      </c>
      <c r="AW160">
        <f>IFERROR(INDEX(PP_Grid[#Data],$DE160,46),0)</f>
        <v/>
      </c>
      <c r="AX160">
        <f>IFERROR(INDEX(PP_Grid[#Data],$DE160,47),0)</f>
        <v/>
      </c>
      <c r="AY160">
        <f>IFERROR(INDEX(PP_Grid[#Data],$DE160,48),0)</f>
        <v/>
      </c>
      <c r="AZ160">
        <f>IFERROR(INDEX(PP_Grid[#Data],$DE160,49),0)</f>
        <v/>
      </c>
      <c r="BA160">
        <f>IFERROR(INDEX(PP_Grid[#Data],$DE160,50),0)</f>
        <v/>
      </c>
      <c r="BB160">
        <f>IFERROR(INDEX(PP_Grid[#Data],$DE160,51),0)</f>
        <v/>
      </c>
      <c r="BC160">
        <f>IFERROR(INDEX(PP_Grid[#Data],$DE160,52),0)</f>
        <v/>
      </c>
      <c r="BD160">
        <f>IFERROR(INDEX(PP_Grid[#Data],$DE160,53),0)</f>
        <v/>
      </c>
      <c r="BE160">
        <f>IFERROR(INDEX(PP_Grid[#Data],$DE160,54),0)</f>
        <v/>
      </c>
      <c r="BF160">
        <f>IFERROR(INDEX(PP_Grid[#Data],$DE160,55),0)</f>
        <v/>
      </c>
      <c r="BG160">
        <f>IFERROR(INDEX(PP_Grid[#Data],$DE160,56),0)</f>
        <v/>
      </c>
      <c r="BH160">
        <f>IFERROR(INDEX(PP_Grid[#Data],$DE160,57),0)</f>
        <v/>
      </c>
      <c r="BI160">
        <f>IFERROR(INDEX(PP_Grid[#Data],$DE160,58),0)</f>
        <v/>
      </c>
      <c r="BJ160">
        <f>IFERROR(INDEX(PP_Grid[#Data],$DE160,59),0)</f>
        <v/>
      </c>
      <c r="BK160">
        <f>IFERROR(INDEX(PP_Grid[#Data],$DE160,60),0)</f>
        <v/>
      </c>
      <c r="BL160">
        <f>IFERROR(INDEX(PP_Grid[#Data],$DE160,61),0)</f>
        <v/>
      </c>
      <c r="BM160">
        <f>IFERROR(INDEX(PP_Grid[#Data],$DE160,62),0)</f>
        <v/>
      </c>
      <c r="BN160">
        <f>IFERROR(INDEX(PP_Grid[#Data],$DE160,63),0)</f>
        <v/>
      </c>
      <c r="BO160">
        <f>IFERROR(INDEX(PP_Grid[#Data],$DE160,64),0)</f>
        <v/>
      </c>
      <c r="BP160">
        <f>IFERROR(INDEX(PP_Grid[#Data],$DE160,65),0)</f>
        <v/>
      </c>
      <c r="BQ160">
        <f>IFERROR(INDEX(PP_Grid[#Data],$DE160,66),0)</f>
        <v/>
      </c>
      <c r="BR160">
        <f>IFERROR(INDEX(PP_Grid[#Data],$DE160,67),0)</f>
        <v/>
      </c>
      <c r="BS160">
        <f>IFERROR(INDEX(PP_Grid[#Data],$DE160,68),0)</f>
        <v/>
      </c>
      <c r="BT160">
        <f>IFERROR(INDEX(PP_Grid[#Data],$DE160,69),0)</f>
        <v/>
      </c>
      <c r="BU160">
        <f>IFERROR(INDEX(PP_Grid[#Data],$DE160,70),0)</f>
        <v/>
      </c>
      <c r="BV160">
        <f>IFERROR(INDEX(PP_Grid[#Data],$DE160,71),0)</f>
        <v/>
      </c>
      <c r="BW160">
        <f>IFERROR(INDEX(PP_Grid[#Data],$DE160,72),0)</f>
        <v/>
      </c>
      <c r="BX160">
        <f>IFERROR(INDEX(PP_Grid[#Data],$DE160,73),0)</f>
        <v/>
      </c>
      <c r="BY160">
        <f>IFERROR(INDEX(PP_Grid[#Data],$DE160,74),0)</f>
        <v/>
      </c>
      <c r="BZ160">
        <f>IFERROR(INDEX(PP_Grid[#Data],$DE160,75),0)</f>
        <v/>
      </c>
      <c r="CA160">
        <f>IFERROR(INDEX(PP_Grid[#Data],$DE160,76),0)</f>
        <v/>
      </c>
      <c r="CB160">
        <f>IFERROR(INDEX(PP_Grid[#Data],$DE160,77),0)</f>
        <v/>
      </c>
      <c r="CC160">
        <f>IFERROR(INDEX(PP_Grid[#Data],$DE160,78),0)</f>
        <v/>
      </c>
      <c r="CD160">
        <f>IFERROR(INDEX(PP_Grid[#Data],$DE160,79),0)</f>
        <v/>
      </c>
      <c r="CE160">
        <f>IFERROR(INDEX(PP_Grid[#Data],$DE160,80),0)</f>
        <v/>
      </c>
      <c r="CF160">
        <f>IFERROR(INDEX(PP_Grid[#Data],$DE160,81),0)</f>
        <v/>
      </c>
      <c r="CG160">
        <f>IFERROR(INDEX(PP_Grid[#Data],$DE160,82),0)</f>
        <v/>
      </c>
      <c r="CH160">
        <f>IFERROR(INDEX(PP_Grid[#Data],$DE160,83),0)</f>
        <v/>
      </c>
      <c r="CI160">
        <f>IFERROR(INDEX(PP_Grid[#Data],$DE160,84),0)</f>
        <v/>
      </c>
      <c r="CJ160">
        <f>IFERROR(INDEX(PP_Grid[#Data],$DE160,85),0)</f>
        <v/>
      </c>
      <c r="CK160">
        <f>IFERROR(INDEX(PP_Grid[#Data],$DE160,86),0)</f>
        <v/>
      </c>
      <c r="CL160">
        <f>IFERROR(INDEX(PP_Grid[#Data],$DE160,87),0)</f>
        <v/>
      </c>
      <c r="CM160">
        <f>IFERROR(INDEX(PP_Grid[#Data],$DE160,88),0)</f>
        <v/>
      </c>
      <c r="CN160">
        <f>IFERROR(INDEX(PP_Grid[#Data],$DE160,89),0)</f>
        <v/>
      </c>
      <c r="CO160">
        <f>IFERROR(INDEX(PP_Grid[#Data],$DE160,90),0)</f>
        <v/>
      </c>
      <c r="CP160">
        <f>IFERROR(INDEX(PP_Grid[#Data],$DE160,91),0)</f>
        <v/>
      </c>
      <c r="CQ160">
        <f>IFERROR(INDEX(PP_Grid[#Data],$DE160,92),0)</f>
        <v/>
      </c>
      <c r="CR160">
        <f>IFERROR(INDEX(PP_Grid[#Data],$DE160,93),0)</f>
        <v/>
      </c>
      <c r="CS160">
        <f>IFERROR(INDEX(PP_Grid[#Data],$DE160,94),0)</f>
        <v/>
      </c>
      <c r="CT160">
        <f>IFERROR(INDEX(PP_Grid[#Data],$DE160,95),0)</f>
        <v/>
      </c>
      <c r="CU160">
        <f>IFERROR(INDEX(PP_Grid[#Data],$DE160,96),0)</f>
        <v/>
      </c>
      <c r="CV160">
        <f>IFERROR(INDEX(PP_Grid[#Data],$DE160,97),0)</f>
        <v/>
      </c>
      <c r="CW160">
        <f>IFERROR(INDEX(PP_Grid[#Data],$DE160,98),0)</f>
        <v/>
      </c>
      <c r="CX160">
        <f>IFERROR(INDEX(PP_Grid[#Data],$DE160,99),0)</f>
        <v/>
      </c>
      <c r="CY160">
        <f>IFERROR(INDEX(PP_Grid[#Data],$DE160,100),0)</f>
        <v/>
      </c>
      <c r="CZ160">
        <f>IFERROR(INDEX(PP_Grid[#Data],$DE160,101),0)</f>
        <v/>
      </c>
      <c r="DA160">
        <f>IFERROR(INDEX(PP_Grid[#Data],$DE160,102),0)</f>
        <v/>
      </c>
      <c r="DB160">
        <f>IFERROR(INDEX(PP_Grid[#Data],$DE160,103),0)</f>
        <v/>
      </c>
      <c r="DC160">
        <f>IFERROR(INDEX(PP_Grid[#Data],$DE160,104),0)</f>
        <v/>
      </c>
      <c r="DD160">
        <f>IFERROR(INDEX(PP_Grid[#Data],$DE160,105),0)</f>
        <v/>
      </c>
      <c r="DE160" s="7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SUMIFS(M_BOM[RM_Qty_Per_Batch],M_BOM[Intermediate],$B160,M_BOM[RM_Code],$A139)</f>
        <v/>
      </c>
      <c r="D161">
        <f>IFERROR(INDEX(E161:DD161,$F$1),"")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  <c r="DD161">
        <f>$C161*DD160</f>
        <v/>
      </c>
    </row>
    <row r="162">
      <c r="B162" t="inlineStr">
        <is>
          <t>TSP-669</t>
        </is>
      </c>
      <c r="C162" t="inlineStr">
        <is>
          <t>No. of batches</t>
        </is>
      </c>
      <c r="D162">
        <f>IFERROR(INDEX(E162:DD162,$F$1),"")</f>
        <v/>
      </c>
      <c r="E162">
        <f>IFERROR(INDEX(PP_Grid[#Data],$DE162,2),0)</f>
        <v/>
      </c>
      <c r="F162">
        <f>IFERROR(INDEX(PP_Grid[#Data],$DE162,3),0)</f>
        <v/>
      </c>
      <c r="G162">
        <f>IFERROR(INDEX(PP_Grid[#Data],$DE162,4),0)</f>
        <v/>
      </c>
      <c r="H162">
        <f>IFERROR(INDEX(PP_Grid[#Data],$DE162,5),0)</f>
        <v/>
      </c>
      <c r="I162">
        <f>IFERROR(INDEX(PP_Grid[#Data],$DE162,6),0)</f>
        <v/>
      </c>
      <c r="J162">
        <f>IFERROR(INDEX(PP_Grid[#Data],$DE162,7),0)</f>
        <v/>
      </c>
      <c r="K162">
        <f>IFERROR(INDEX(PP_Grid[#Data],$DE162,8),0)</f>
        <v/>
      </c>
      <c r="L162">
        <f>IFERROR(INDEX(PP_Grid[#Data],$DE162,9),0)</f>
        <v/>
      </c>
      <c r="M162">
        <f>IFERROR(INDEX(PP_Grid[#Data],$DE162,10),0)</f>
        <v/>
      </c>
      <c r="N162">
        <f>IFERROR(INDEX(PP_Grid[#Data],$DE162,11),0)</f>
        <v/>
      </c>
      <c r="O162">
        <f>IFERROR(INDEX(PP_Grid[#Data],$DE162,12),0)</f>
        <v/>
      </c>
      <c r="P162">
        <f>IFERROR(INDEX(PP_Grid[#Data],$DE162,13),0)</f>
        <v/>
      </c>
      <c r="Q162">
        <f>IFERROR(INDEX(PP_Grid[#Data],$DE162,14),0)</f>
        <v/>
      </c>
      <c r="R162">
        <f>IFERROR(INDEX(PP_Grid[#Data],$DE162,15),0)</f>
        <v/>
      </c>
      <c r="S162">
        <f>IFERROR(INDEX(PP_Grid[#Data],$DE162,16),0)</f>
        <v/>
      </c>
      <c r="T162">
        <f>IFERROR(INDEX(PP_Grid[#Data],$DE162,17),0)</f>
        <v/>
      </c>
      <c r="U162">
        <f>IFERROR(INDEX(PP_Grid[#Data],$DE162,18),0)</f>
        <v/>
      </c>
      <c r="V162">
        <f>IFERROR(INDEX(PP_Grid[#Data],$DE162,19),0)</f>
        <v/>
      </c>
      <c r="W162">
        <f>IFERROR(INDEX(PP_Grid[#Data],$DE162,20),0)</f>
        <v/>
      </c>
      <c r="X162">
        <f>IFERROR(INDEX(PP_Grid[#Data],$DE162,21),0)</f>
        <v/>
      </c>
      <c r="Y162">
        <f>IFERROR(INDEX(PP_Grid[#Data],$DE162,22),0)</f>
        <v/>
      </c>
      <c r="Z162">
        <f>IFERROR(INDEX(PP_Grid[#Data],$DE162,23),0)</f>
        <v/>
      </c>
      <c r="AA162">
        <f>IFERROR(INDEX(PP_Grid[#Data],$DE162,24),0)</f>
        <v/>
      </c>
      <c r="AB162">
        <f>IFERROR(INDEX(PP_Grid[#Data],$DE162,25),0)</f>
        <v/>
      </c>
      <c r="AC162">
        <f>IFERROR(INDEX(PP_Grid[#Data],$DE162,26),0)</f>
        <v/>
      </c>
      <c r="AD162">
        <f>IFERROR(INDEX(PP_Grid[#Data],$DE162,27),0)</f>
        <v/>
      </c>
      <c r="AE162">
        <f>IFERROR(INDEX(PP_Grid[#Data],$DE162,28),0)</f>
        <v/>
      </c>
      <c r="AF162">
        <f>IFERROR(INDEX(PP_Grid[#Data],$DE162,29),0)</f>
        <v/>
      </c>
      <c r="AG162">
        <f>IFERROR(INDEX(PP_Grid[#Data],$DE162,30),0)</f>
        <v/>
      </c>
      <c r="AH162">
        <f>IFERROR(INDEX(PP_Grid[#Data],$DE162,31),0)</f>
        <v/>
      </c>
      <c r="AI162">
        <f>IFERROR(INDEX(PP_Grid[#Data],$DE162,32),0)</f>
        <v/>
      </c>
      <c r="AJ162">
        <f>IFERROR(INDEX(PP_Grid[#Data],$DE162,33),0)</f>
        <v/>
      </c>
      <c r="AK162">
        <f>IFERROR(INDEX(PP_Grid[#Data],$DE162,34),0)</f>
        <v/>
      </c>
      <c r="AL162">
        <f>IFERROR(INDEX(PP_Grid[#Data],$DE162,35),0)</f>
        <v/>
      </c>
      <c r="AM162">
        <f>IFERROR(INDEX(PP_Grid[#Data],$DE162,36),0)</f>
        <v/>
      </c>
      <c r="AN162">
        <f>IFERROR(INDEX(PP_Grid[#Data],$DE162,37),0)</f>
        <v/>
      </c>
      <c r="AO162">
        <f>IFERROR(INDEX(PP_Grid[#Data],$DE162,38),0)</f>
        <v/>
      </c>
      <c r="AP162">
        <f>IFERROR(INDEX(PP_Grid[#Data],$DE162,39),0)</f>
        <v/>
      </c>
      <c r="AQ162">
        <f>IFERROR(INDEX(PP_Grid[#Data],$DE162,40),0)</f>
        <v/>
      </c>
      <c r="AR162">
        <f>IFERROR(INDEX(PP_Grid[#Data],$DE162,41),0)</f>
        <v/>
      </c>
      <c r="AS162">
        <f>IFERROR(INDEX(PP_Grid[#Data],$DE162,42),0)</f>
        <v/>
      </c>
      <c r="AT162">
        <f>IFERROR(INDEX(PP_Grid[#Data],$DE162,43),0)</f>
        <v/>
      </c>
      <c r="AU162">
        <f>IFERROR(INDEX(PP_Grid[#Data],$DE162,44),0)</f>
        <v/>
      </c>
      <c r="AV162">
        <f>IFERROR(INDEX(PP_Grid[#Data],$DE162,45),0)</f>
        <v/>
      </c>
      <c r="AW162">
        <f>IFERROR(INDEX(PP_Grid[#Data],$DE162,46),0)</f>
        <v/>
      </c>
      <c r="AX162">
        <f>IFERROR(INDEX(PP_Grid[#Data],$DE162,47),0)</f>
        <v/>
      </c>
      <c r="AY162">
        <f>IFERROR(INDEX(PP_Grid[#Data],$DE162,48),0)</f>
        <v/>
      </c>
      <c r="AZ162">
        <f>IFERROR(INDEX(PP_Grid[#Data],$DE162,49),0)</f>
        <v/>
      </c>
      <c r="BA162">
        <f>IFERROR(INDEX(PP_Grid[#Data],$DE162,50),0)</f>
        <v/>
      </c>
      <c r="BB162">
        <f>IFERROR(INDEX(PP_Grid[#Data],$DE162,51),0)</f>
        <v/>
      </c>
      <c r="BC162">
        <f>IFERROR(INDEX(PP_Grid[#Data],$DE162,52),0)</f>
        <v/>
      </c>
      <c r="BD162">
        <f>IFERROR(INDEX(PP_Grid[#Data],$DE162,53),0)</f>
        <v/>
      </c>
      <c r="BE162">
        <f>IFERROR(INDEX(PP_Grid[#Data],$DE162,54),0)</f>
        <v/>
      </c>
      <c r="BF162">
        <f>IFERROR(INDEX(PP_Grid[#Data],$DE162,55),0)</f>
        <v/>
      </c>
      <c r="BG162">
        <f>IFERROR(INDEX(PP_Grid[#Data],$DE162,56),0)</f>
        <v/>
      </c>
      <c r="BH162">
        <f>IFERROR(INDEX(PP_Grid[#Data],$DE162,57),0)</f>
        <v/>
      </c>
      <c r="BI162">
        <f>IFERROR(INDEX(PP_Grid[#Data],$DE162,58),0)</f>
        <v/>
      </c>
      <c r="BJ162">
        <f>IFERROR(INDEX(PP_Grid[#Data],$DE162,59),0)</f>
        <v/>
      </c>
      <c r="BK162">
        <f>IFERROR(INDEX(PP_Grid[#Data],$DE162,60),0)</f>
        <v/>
      </c>
      <c r="BL162">
        <f>IFERROR(INDEX(PP_Grid[#Data],$DE162,61),0)</f>
        <v/>
      </c>
      <c r="BM162">
        <f>IFERROR(INDEX(PP_Grid[#Data],$DE162,62),0)</f>
        <v/>
      </c>
      <c r="BN162">
        <f>IFERROR(INDEX(PP_Grid[#Data],$DE162,63),0)</f>
        <v/>
      </c>
      <c r="BO162">
        <f>IFERROR(INDEX(PP_Grid[#Data],$DE162,64),0)</f>
        <v/>
      </c>
      <c r="BP162">
        <f>IFERROR(INDEX(PP_Grid[#Data],$DE162,65),0)</f>
        <v/>
      </c>
      <c r="BQ162">
        <f>IFERROR(INDEX(PP_Grid[#Data],$DE162,66),0)</f>
        <v/>
      </c>
      <c r="BR162">
        <f>IFERROR(INDEX(PP_Grid[#Data],$DE162,67),0)</f>
        <v/>
      </c>
      <c r="BS162">
        <f>IFERROR(INDEX(PP_Grid[#Data],$DE162,68),0)</f>
        <v/>
      </c>
      <c r="BT162">
        <f>IFERROR(INDEX(PP_Grid[#Data],$DE162,69),0)</f>
        <v/>
      </c>
      <c r="BU162">
        <f>IFERROR(INDEX(PP_Grid[#Data],$DE162,70),0)</f>
        <v/>
      </c>
      <c r="BV162">
        <f>IFERROR(INDEX(PP_Grid[#Data],$DE162,71),0)</f>
        <v/>
      </c>
      <c r="BW162">
        <f>IFERROR(INDEX(PP_Grid[#Data],$DE162,72),0)</f>
        <v/>
      </c>
      <c r="BX162">
        <f>IFERROR(INDEX(PP_Grid[#Data],$DE162,73),0)</f>
        <v/>
      </c>
      <c r="BY162">
        <f>IFERROR(INDEX(PP_Grid[#Data],$DE162,74),0)</f>
        <v/>
      </c>
      <c r="BZ162">
        <f>IFERROR(INDEX(PP_Grid[#Data],$DE162,75),0)</f>
        <v/>
      </c>
      <c r="CA162">
        <f>IFERROR(INDEX(PP_Grid[#Data],$DE162,76),0)</f>
        <v/>
      </c>
      <c r="CB162">
        <f>IFERROR(INDEX(PP_Grid[#Data],$DE162,77),0)</f>
        <v/>
      </c>
      <c r="CC162">
        <f>IFERROR(INDEX(PP_Grid[#Data],$DE162,78),0)</f>
        <v/>
      </c>
      <c r="CD162">
        <f>IFERROR(INDEX(PP_Grid[#Data],$DE162,79),0)</f>
        <v/>
      </c>
      <c r="CE162">
        <f>IFERROR(INDEX(PP_Grid[#Data],$DE162,80),0)</f>
        <v/>
      </c>
      <c r="CF162">
        <f>IFERROR(INDEX(PP_Grid[#Data],$DE162,81),0)</f>
        <v/>
      </c>
      <c r="CG162">
        <f>IFERROR(INDEX(PP_Grid[#Data],$DE162,82),0)</f>
        <v/>
      </c>
      <c r="CH162">
        <f>IFERROR(INDEX(PP_Grid[#Data],$DE162,83),0)</f>
        <v/>
      </c>
      <c r="CI162">
        <f>IFERROR(INDEX(PP_Grid[#Data],$DE162,84),0)</f>
        <v/>
      </c>
      <c r="CJ162">
        <f>IFERROR(INDEX(PP_Grid[#Data],$DE162,85),0)</f>
        <v/>
      </c>
      <c r="CK162">
        <f>IFERROR(INDEX(PP_Grid[#Data],$DE162,86),0)</f>
        <v/>
      </c>
      <c r="CL162">
        <f>IFERROR(INDEX(PP_Grid[#Data],$DE162,87),0)</f>
        <v/>
      </c>
      <c r="CM162">
        <f>IFERROR(INDEX(PP_Grid[#Data],$DE162,88),0)</f>
        <v/>
      </c>
      <c r="CN162">
        <f>IFERROR(INDEX(PP_Grid[#Data],$DE162,89),0)</f>
        <v/>
      </c>
      <c r="CO162">
        <f>IFERROR(INDEX(PP_Grid[#Data],$DE162,90),0)</f>
        <v/>
      </c>
      <c r="CP162">
        <f>IFERROR(INDEX(PP_Grid[#Data],$DE162,91),0)</f>
        <v/>
      </c>
      <c r="CQ162">
        <f>IFERROR(INDEX(PP_Grid[#Data],$DE162,92),0)</f>
        <v/>
      </c>
      <c r="CR162">
        <f>IFERROR(INDEX(PP_Grid[#Data],$DE162,93),0)</f>
        <v/>
      </c>
      <c r="CS162">
        <f>IFERROR(INDEX(PP_Grid[#Data],$DE162,94),0)</f>
        <v/>
      </c>
      <c r="CT162">
        <f>IFERROR(INDEX(PP_Grid[#Data],$DE162,95),0)</f>
        <v/>
      </c>
      <c r="CU162">
        <f>IFERROR(INDEX(PP_Grid[#Data],$DE162,96),0)</f>
        <v/>
      </c>
      <c r="CV162">
        <f>IFERROR(INDEX(PP_Grid[#Data],$DE162,97),0)</f>
        <v/>
      </c>
      <c r="CW162">
        <f>IFERROR(INDEX(PP_Grid[#Data],$DE162,98),0)</f>
        <v/>
      </c>
      <c r="CX162">
        <f>IFERROR(INDEX(PP_Grid[#Data],$DE162,99),0)</f>
        <v/>
      </c>
      <c r="CY162">
        <f>IFERROR(INDEX(PP_Grid[#Data],$DE162,100),0)</f>
        <v/>
      </c>
      <c r="CZ162">
        <f>IFERROR(INDEX(PP_Grid[#Data],$DE162,101),0)</f>
        <v/>
      </c>
      <c r="DA162">
        <f>IFERROR(INDEX(PP_Grid[#Data],$DE162,102),0)</f>
        <v/>
      </c>
      <c r="DB162">
        <f>IFERROR(INDEX(PP_Grid[#Data],$DE162,103),0)</f>
        <v/>
      </c>
      <c r="DC162">
        <f>IFERROR(INDEX(PP_Grid[#Data],$DE162,104),0)</f>
        <v/>
      </c>
      <c r="DD162">
        <f>IFERROR(INDEX(PP_Grid[#Data],$DE162,105),0)</f>
        <v/>
      </c>
      <c r="DE162" s="7">
        <f>IFERROR(MATCH($B162,PP_Grid[Intermediate],0),99999)</f>
        <v/>
      </c>
    </row>
    <row r="163">
      <c r="B163" t="inlineStr">
        <is>
          <t>使用量(kg)</t>
        </is>
      </c>
      <c r="C163">
        <f>SUMIFS(M_BOM[RM_Qty_Per_Batch],M_BOM[Intermediate],$B162,M_BOM[RM_Code],$A139)</f>
        <v/>
      </c>
      <c r="D163">
        <f>IFERROR(INDEX(E163:DD163,$F$1),"")</f>
        <v/>
      </c>
      <c r="E163">
        <f>$C163*E162</f>
        <v/>
      </c>
      <c r="F163">
        <f>$C163*F162</f>
        <v/>
      </c>
      <c r="G163">
        <f>$C163*G162</f>
        <v/>
      </c>
      <c r="H163">
        <f>$C163*H162</f>
        <v/>
      </c>
      <c r="I163">
        <f>$C163*I162</f>
        <v/>
      </c>
      <c r="J163">
        <f>$C163*J162</f>
        <v/>
      </c>
      <c r="K163">
        <f>$C163*K162</f>
        <v/>
      </c>
      <c r="L163">
        <f>$C163*L162</f>
        <v/>
      </c>
      <c r="M163">
        <f>$C163*M162</f>
        <v/>
      </c>
      <c r="N163">
        <f>$C163*N162</f>
        <v/>
      </c>
      <c r="O163">
        <f>$C163*O162</f>
        <v/>
      </c>
      <c r="P163">
        <f>$C163*P162</f>
        <v/>
      </c>
      <c r="Q163">
        <f>$C163*Q162</f>
        <v/>
      </c>
      <c r="R163">
        <f>$C163*R162</f>
        <v/>
      </c>
      <c r="S163">
        <f>$C163*S162</f>
        <v/>
      </c>
      <c r="T163">
        <f>$C163*T162</f>
        <v/>
      </c>
      <c r="U163">
        <f>$C163*U162</f>
        <v/>
      </c>
      <c r="V163">
        <f>$C163*V162</f>
        <v/>
      </c>
      <c r="W163">
        <f>$C163*W162</f>
        <v/>
      </c>
      <c r="X163">
        <f>$C163*X162</f>
        <v/>
      </c>
      <c r="Y163">
        <f>$C163*Y162</f>
        <v/>
      </c>
      <c r="Z163">
        <f>$C163*Z162</f>
        <v/>
      </c>
      <c r="AA163">
        <f>$C163*AA162</f>
        <v/>
      </c>
      <c r="AB163">
        <f>$C163*AB162</f>
        <v/>
      </c>
      <c r="AC163">
        <f>$C163*AC162</f>
        <v/>
      </c>
      <c r="AD163">
        <f>$C163*AD162</f>
        <v/>
      </c>
      <c r="AE163">
        <f>$C163*AE162</f>
        <v/>
      </c>
      <c r="AF163">
        <f>$C163*AF162</f>
        <v/>
      </c>
      <c r="AG163">
        <f>$C163*AG162</f>
        <v/>
      </c>
      <c r="AH163">
        <f>$C163*AH162</f>
        <v/>
      </c>
      <c r="AI163">
        <f>$C163*AI162</f>
        <v/>
      </c>
      <c r="AJ163">
        <f>$C163*AJ162</f>
        <v/>
      </c>
      <c r="AK163">
        <f>$C163*AK162</f>
        <v/>
      </c>
      <c r="AL163">
        <f>$C163*AL162</f>
        <v/>
      </c>
      <c r="AM163">
        <f>$C163*AM162</f>
        <v/>
      </c>
      <c r="AN163">
        <f>$C163*AN162</f>
        <v/>
      </c>
      <c r="AO163">
        <f>$C163*AO162</f>
        <v/>
      </c>
      <c r="AP163">
        <f>$C163*AP162</f>
        <v/>
      </c>
      <c r="AQ163">
        <f>$C163*AQ162</f>
        <v/>
      </c>
      <c r="AR163">
        <f>$C163*AR162</f>
        <v/>
      </c>
      <c r="AS163">
        <f>$C163*AS162</f>
        <v/>
      </c>
      <c r="AT163">
        <f>$C163*AT162</f>
        <v/>
      </c>
      <c r="AU163">
        <f>$C163*AU162</f>
        <v/>
      </c>
      <c r="AV163">
        <f>$C163*AV162</f>
        <v/>
      </c>
      <c r="AW163">
        <f>$C163*AW162</f>
        <v/>
      </c>
      <c r="AX163">
        <f>$C163*AX162</f>
        <v/>
      </c>
      <c r="AY163">
        <f>$C163*AY162</f>
        <v/>
      </c>
      <c r="AZ163">
        <f>$C163*AZ162</f>
        <v/>
      </c>
      <c r="BA163">
        <f>$C163*BA162</f>
        <v/>
      </c>
      <c r="BB163">
        <f>$C163*BB162</f>
        <v/>
      </c>
      <c r="BC163">
        <f>$C163*BC162</f>
        <v/>
      </c>
      <c r="BD163">
        <f>$C163*BD162</f>
        <v/>
      </c>
      <c r="BE163">
        <f>$C163*BE162</f>
        <v/>
      </c>
      <c r="BF163">
        <f>$C163*BF162</f>
        <v/>
      </c>
      <c r="BG163">
        <f>$C163*BG162</f>
        <v/>
      </c>
      <c r="BH163">
        <f>$C163*BH162</f>
        <v/>
      </c>
      <c r="BI163">
        <f>$C163*BI162</f>
        <v/>
      </c>
      <c r="BJ163">
        <f>$C163*BJ162</f>
        <v/>
      </c>
      <c r="BK163">
        <f>$C163*BK162</f>
        <v/>
      </c>
      <c r="BL163">
        <f>$C163*BL162</f>
        <v/>
      </c>
      <c r="BM163">
        <f>$C163*BM162</f>
        <v/>
      </c>
      <c r="BN163">
        <f>$C163*BN162</f>
        <v/>
      </c>
      <c r="BO163">
        <f>$C163*BO162</f>
        <v/>
      </c>
      <c r="BP163">
        <f>$C163*BP162</f>
        <v/>
      </c>
      <c r="BQ163">
        <f>$C163*BQ162</f>
        <v/>
      </c>
      <c r="BR163">
        <f>$C163*BR162</f>
        <v/>
      </c>
      <c r="BS163">
        <f>$C163*BS162</f>
        <v/>
      </c>
      <c r="BT163">
        <f>$C163*BT162</f>
        <v/>
      </c>
      <c r="BU163">
        <f>$C163*BU162</f>
        <v/>
      </c>
      <c r="BV163">
        <f>$C163*BV162</f>
        <v/>
      </c>
      <c r="BW163">
        <f>$C163*BW162</f>
        <v/>
      </c>
      <c r="BX163">
        <f>$C163*BX162</f>
        <v/>
      </c>
      <c r="BY163">
        <f>$C163*BY162</f>
        <v/>
      </c>
      <c r="BZ163">
        <f>$C163*BZ162</f>
        <v/>
      </c>
      <c r="CA163">
        <f>$C163*CA162</f>
        <v/>
      </c>
      <c r="CB163">
        <f>$C163*CB162</f>
        <v/>
      </c>
      <c r="CC163">
        <f>$C163*CC162</f>
        <v/>
      </c>
      <c r="CD163">
        <f>$C163*CD162</f>
        <v/>
      </c>
      <c r="CE163">
        <f>$C163*CE162</f>
        <v/>
      </c>
      <c r="CF163">
        <f>$C163*CF162</f>
        <v/>
      </c>
      <c r="CG163">
        <f>$C163*CG162</f>
        <v/>
      </c>
      <c r="CH163">
        <f>$C163*CH162</f>
        <v/>
      </c>
      <c r="CI163">
        <f>$C163*CI162</f>
        <v/>
      </c>
      <c r="CJ163">
        <f>$C163*CJ162</f>
        <v/>
      </c>
      <c r="CK163">
        <f>$C163*CK162</f>
        <v/>
      </c>
      <c r="CL163">
        <f>$C163*CL162</f>
        <v/>
      </c>
      <c r="CM163">
        <f>$C163*CM162</f>
        <v/>
      </c>
      <c r="CN163">
        <f>$C163*CN162</f>
        <v/>
      </c>
      <c r="CO163">
        <f>$C163*CO162</f>
        <v/>
      </c>
      <c r="CP163">
        <f>$C163*CP162</f>
        <v/>
      </c>
      <c r="CQ163">
        <f>$C163*CQ162</f>
        <v/>
      </c>
      <c r="CR163">
        <f>$C163*CR162</f>
        <v/>
      </c>
      <c r="CS163">
        <f>$C163*CS162</f>
        <v/>
      </c>
      <c r="CT163">
        <f>$C163*CT162</f>
        <v/>
      </c>
      <c r="CU163">
        <f>$C163*CU162</f>
        <v/>
      </c>
      <c r="CV163">
        <f>$C163*CV162</f>
        <v/>
      </c>
      <c r="CW163">
        <f>$C163*CW162</f>
        <v/>
      </c>
      <c r="CX163">
        <f>$C163*CX162</f>
        <v/>
      </c>
      <c r="CY163">
        <f>$C163*CY162</f>
        <v/>
      </c>
      <c r="CZ163">
        <f>$C163*CZ162</f>
        <v/>
      </c>
      <c r="DA163">
        <f>$C163*DA162</f>
        <v/>
      </c>
      <c r="DB163">
        <f>$C163*DB162</f>
        <v/>
      </c>
      <c r="DC163">
        <f>$C163*DC162</f>
        <v/>
      </c>
      <c r="DD163">
        <f>$C163*DD162</f>
        <v/>
      </c>
    </row>
    <row r="164">
      <c r="B164" t="inlineStr">
        <is>
          <t>TSP-670</t>
        </is>
      </c>
      <c r="C164" t="inlineStr">
        <is>
          <t>No. of batches</t>
        </is>
      </c>
      <c r="D164">
        <f>IFERROR(INDEX(E164:DD164,$F$1),"")</f>
        <v/>
      </c>
      <c r="E164">
        <f>IFERROR(INDEX(PP_Grid[#Data],$DE164,2),0)</f>
        <v/>
      </c>
      <c r="F164">
        <f>IFERROR(INDEX(PP_Grid[#Data],$DE164,3),0)</f>
        <v/>
      </c>
      <c r="G164">
        <f>IFERROR(INDEX(PP_Grid[#Data],$DE164,4),0)</f>
        <v/>
      </c>
      <c r="H164">
        <f>IFERROR(INDEX(PP_Grid[#Data],$DE164,5),0)</f>
        <v/>
      </c>
      <c r="I164">
        <f>IFERROR(INDEX(PP_Grid[#Data],$DE164,6),0)</f>
        <v/>
      </c>
      <c r="J164">
        <f>IFERROR(INDEX(PP_Grid[#Data],$DE164,7),0)</f>
        <v/>
      </c>
      <c r="K164">
        <f>IFERROR(INDEX(PP_Grid[#Data],$DE164,8),0)</f>
        <v/>
      </c>
      <c r="L164">
        <f>IFERROR(INDEX(PP_Grid[#Data],$DE164,9),0)</f>
        <v/>
      </c>
      <c r="M164">
        <f>IFERROR(INDEX(PP_Grid[#Data],$DE164,10),0)</f>
        <v/>
      </c>
      <c r="N164">
        <f>IFERROR(INDEX(PP_Grid[#Data],$DE164,11),0)</f>
        <v/>
      </c>
      <c r="O164">
        <f>IFERROR(INDEX(PP_Grid[#Data],$DE164,12),0)</f>
        <v/>
      </c>
      <c r="P164">
        <f>IFERROR(INDEX(PP_Grid[#Data],$DE164,13),0)</f>
        <v/>
      </c>
      <c r="Q164">
        <f>IFERROR(INDEX(PP_Grid[#Data],$DE164,14),0)</f>
        <v/>
      </c>
      <c r="R164">
        <f>IFERROR(INDEX(PP_Grid[#Data],$DE164,15),0)</f>
        <v/>
      </c>
      <c r="S164">
        <f>IFERROR(INDEX(PP_Grid[#Data],$DE164,16),0)</f>
        <v/>
      </c>
      <c r="T164">
        <f>IFERROR(INDEX(PP_Grid[#Data],$DE164,17),0)</f>
        <v/>
      </c>
      <c r="U164">
        <f>IFERROR(INDEX(PP_Grid[#Data],$DE164,18),0)</f>
        <v/>
      </c>
      <c r="V164">
        <f>IFERROR(INDEX(PP_Grid[#Data],$DE164,19),0)</f>
        <v/>
      </c>
      <c r="W164">
        <f>IFERROR(INDEX(PP_Grid[#Data],$DE164,20),0)</f>
        <v/>
      </c>
      <c r="X164">
        <f>IFERROR(INDEX(PP_Grid[#Data],$DE164,21),0)</f>
        <v/>
      </c>
      <c r="Y164">
        <f>IFERROR(INDEX(PP_Grid[#Data],$DE164,22),0)</f>
        <v/>
      </c>
      <c r="Z164">
        <f>IFERROR(INDEX(PP_Grid[#Data],$DE164,23),0)</f>
        <v/>
      </c>
      <c r="AA164">
        <f>IFERROR(INDEX(PP_Grid[#Data],$DE164,24),0)</f>
        <v/>
      </c>
      <c r="AB164">
        <f>IFERROR(INDEX(PP_Grid[#Data],$DE164,25),0)</f>
        <v/>
      </c>
      <c r="AC164">
        <f>IFERROR(INDEX(PP_Grid[#Data],$DE164,26),0)</f>
        <v/>
      </c>
      <c r="AD164">
        <f>IFERROR(INDEX(PP_Grid[#Data],$DE164,27),0)</f>
        <v/>
      </c>
      <c r="AE164">
        <f>IFERROR(INDEX(PP_Grid[#Data],$DE164,28),0)</f>
        <v/>
      </c>
      <c r="AF164">
        <f>IFERROR(INDEX(PP_Grid[#Data],$DE164,29),0)</f>
        <v/>
      </c>
      <c r="AG164">
        <f>IFERROR(INDEX(PP_Grid[#Data],$DE164,30),0)</f>
        <v/>
      </c>
      <c r="AH164">
        <f>IFERROR(INDEX(PP_Grid[#Data],$DE164,31),0)</f>
        <v/>
      </c>
      <c r="AI164">
        <f>IFERROR(INDEX(PP_Grid[#Data],$DE164,32),0)</f>
        <v/>
      </c>
      <c r="AJ164">
        <f>IFERROR(INDEX(PP_Grid[#Data],$DE164,33),0)</f>
        <v/>
      </c>
      <c r="AK164">
        <f>IFERROR(INDEX(PP_Grid[#Data],$DE164,34),0)</f>
        <v/>
      </c>
      <c r="AL164">
        <f>IFERROR(INDEX(PP_Grid[#Data],$DE164,35),0)</f>
        <v/>
      </c>
      <c r="AM164">
        <f>IFERROR(INDEX(PP_Grid[#Data],$DE164,36),0)</f>
        <v/>
      </c>
      <c r="AN164">
        <f>IFERROR(INDEX(PP_Grid[#Data],$DE164,37),0)</f>
        <v/>
      </c>
      <c r="AO164">
        <f>IFERROR(INDEX(PP_Grid[#Data],$DE164,38),0)</f>
        <v/>
      </c>
      <c r="AP164">
        <f>IFERROR(INDEX(PP_Grid[#Data],$DE164,39),0)</f>
        <v/>
      </c>
      <c r="AQ164">
        <f>IFERROR(INDEX(PP_Grid[#Data],$DE164,40),0)</f>
        <v/>
      </c>
      <c r="AR164">
        <f>IFERROR(INDEX(PP_Grid[#Data],$DE164,41),0)</f>
        <v/>
      </c>
      <c r="AS164">
        <f>IFERROR(INDEX(PP_Grid[#Data],$DE164,42),0)</f>
        <v/>
      </c>
      <c r="AT164">
        <f>IFERROR(INDEX(PP_Grid[#Data],$DE164,43),0)</f>
        <v/>
      </c>
      <c r="AU164">
        <f>IFERROR(INDEX(PP_Grid[#Data],$DE164,44),0)</f>
        <v/>
      </c>
      <c r="AV164">
        <f>IFERROR(INDEX(PP_Grid[#Data],$DE164,45),0)</f>
        <v/>
      </c>
      <c r="AW164">
        <f>IFERROR(INDEX(PP_Grid[#Data],$DE164,46),0)</f>
        <v/>
      </c>
      <c r="AX164">
        <f>IFERROR(INDEX(PP_Grid[#Data],$DE164,47),0)</f>
        <v/>
      </c>
      <c r="AY164">
        <f>IFERROR(INDEX(PP_Grid[#Data],$DE164,48),0)</f>
        <v/>
      </c>
      <c r="AZ164">
        <f>IFERROR(INDEX(PP_Grid[#Data],$DE164,49),0)</f>
        <v/>
      </c>
      <c r="BA164">
        <f>IFERROR(INDEX(PP_Grid[#Data],$DE164,50),0)</f>
        <v/>
      </c>
      <c r="BB164">
        <f>IFERROR(INDEX(PP_Grid[#Data],$DE164,51),0)</f>
        <v/>
      </c>
      <c r="BC164">
        <f>IFERROR(INDEX(PP_Grid[#Data],$DE164,52),0)</f>
        <v/>
      </c>
      <c r="BD164">
        <f>IFERROR(INDEX(PP_Grid[#Data],$DE164,53),0)</f>
        <v/>
      </c>
      <c r="BE164">
        <f>IFERROR(INDEX(PP_Grid[#Data],$DE164,54),0)</f>
        <v/>
      </c>
      <c r="BF164">
        <f>IFERROR(INDEX(PP_Grid[#Data],$DE164,55),0)</f>
        <v/>
      </c>
      <c r="BG164">
        <f>IFERROR(INDEX(PP_Grid[#Data],$DE164,56),0)</f>
        <v/>
      </c>
      <c r="BH164">
        <f>IFERROR(INDEX(PP_Grid[#Data],$DE164,57),0)</f>
        <v/>
      </c>
      <c r="BI164">
        <f>IFERROR(INDEX(PP_Grid[#Data],$DE164,58),0)</f>
        <v/>
      </c>
      <c r="BJ164">
        <f>IFERROR(INDEX(PP_Grid[#Data],$DE164,59),0)</f>
        <v/>
      </c>
      <c r="BK164">
        <f>IFERROR(INDEX(PP_Grid[#Data],$DE164,60),0)</f>
        <v/>
      </c>
      <c r="BL164">
        <f>IFERROR(INDEX(PP_Grid[#Data],$DE164,61),0)</f>
        <v/>
      </c>
      <c r="BM164">
        <f>IFERROR(INDEX(PP_Grid[#Data],$DE164,62),0)</f>
        <v/>
      </c>
      <c r="BN164">
        <f>IFERROR(INDEX(PP_Grid[#Data],$DE164,63),0)</f>
        <v/>
      </c>
      <c r="BO164">
        <f>IFERROR(INDEX(PP_Grid[#Data],$DE164,64),0)</f>
        <v/>
      </c>
      <c r="BP164">
        <f>IFERROR(INDEX(PP_Grid[#Data],$DE164,65),0)</f>
        <v/>
      </c>
      <c r="BQ164">
        <f>IFERROR(INDEX(PP_Grid[#Data],$DE164,66),0)</f>
        <v/>
      </c>
      <c r="BR164">
        <f>IFERROR(INDEX(PP_Grid[#Data],$DE164,67),0)</f>
        <v/>
      </c>
      <c r="BS164">
        <f>IFERROR(INDEX(PP_Grid[#Data],$DE164,68),0)</f>
        <v/>
      </c>
      <c r="BT164">
        <f>IFERROR(INDEX(PP_Grid[#Data],$DE164,69),0)</f>
        <v/>
      </c>
      <c r="BU164">
        <f>IFERROR(INDEX(PP_Grid[#Data],$DE164,70),0)</f>
        <v/>
      </c>
      <c r="BV164">
        <f>IFERROR(INDEX(PP_Grid[#Data],$DE164,71),0)</f>
        <v/>
      </c>
      <c r="BW164">
        <f>IFERROR(INDEX(PP_Grid[#Data],$DE164,72),0)</f>
        <v/>
      </c>
      <c r="BX164">
        <f>IFERROR(INDEX(PP_Grid[#Data],$DE164,73),0)</f>
        <v/>
      </c>
      <c r="BY164">
        <f>IFERROR(INDEX(PP_Grid[#Data],$DE164,74),0)</f>
        <v/>
      </c>
      <c r="BZ164">
        <f>IFERROR(INDEX(PP_Grid[#Data],$DE164,75),0)</f>
        <v/>
      </c>
      <c r="CA164">
        <f>IFERROR(INDEX(PP_Grid[#Data],$DE164,76),0)</f>
        <v/>
      </c>
      <c r="CB164">
        <f>IFERROR(INDEX(PP_Grid[#Data],$DE164,77),0)</f>
        <v/>
      </c>
      <c r="CC164">
        <f>IFERROR(INDEX(PP_Grid[#Data],$DE164,78),0)</f>
        <v/>
      </c>
      <c r="CD164">
        <f>IFERROR(INDEX(PP_Grid[#Data],$DE164,79),0)</f>
        <v/>
      </c>
      <c r="CE164">
        <f>IFERROR(INDEX(PP_Grid[#Data],$DE164,80),0)</f>
        <v/>
      </c>
      <c r="CF164">
        <f>IFERROR(INDEX(PP_Grid[#Data],$DE164,81),0)</f>
        <v/>
      </c>
      <c r="CG164">
        <f>IFERROR(INDEX(PP_Grid[#Data],$DE164,82),0)</f>
        <v/>
      </c>
      <c r="CH164">
        <f>IFERROR(INDEX(PP_Grid[#Data],$DE164,83),0)</f>
        <v/>
      </c>
      <c r="CI164">
        <f>IFERROR(INDEX(PP_Grid[#Data],$DE164,84),0)</f>
        <v/>
      </c>
      <c r="CJ164">
        <f>IFERROR(INDEX(PP_Grid[#Data],$DE164,85),0)</f>
        <v/>
      </c>
      <c r="CK164">
        <f>IFERROR(INDEX(PP_Grid[#Data],$DE164,86),0)</f>
        <v/>
      </c>
      <c r="CL164">
        <f>IFERROR(INDEX(PP_Grid[#Data],$DE164,87),0)</f>
        <v/>
      </c>
      <c r="CM164">
        <f>IFERROR(INDEX(PP_Grid[#Data],$DE164,88),0)</f>
        <v/>
      </c>
      <c r="CN164">
        <f>IFERROR(INDEX(PP_Grid[#Data],$DE164,89),0)</f>
        <v/>
      </c>
      <c r="CO164">
        <f>IFERROR(INDEX(PP_Grid[#Data],$DE164,90),0)</f>
        <v/>
      </c>
      <c r="CP164">
        <f>IFERROR(INDEX(PP_Grid[#Data],$DE164,91),0)</f>
        <v/>
      </c>
      <c r="CQ164">
        <f>IFERROR(INDEX(PP_Grid[#Data],$DE164,92),0)</f>
        <v/>
      </c>
      <c r="CR164">
        <f>IFERROR(INDEX(PP_Grid[#Data],$DE164,93),0)</f>
        <v/>
      </c>
      <c r="CS164">
        <f>IFERROR(INDEX(PP_Grid[#Data],$DE164,94),0)</f>
        <v/>
      </c>
      <c r="CT164">
        <f>IFERROR(INDEX(PP_Grid[#Data],$DE164,95),0)</f>
        <v/>
      </c>
      <c r="CU164">
        <f>IFERROR(INDEX(PP_Grid[#Data],$DE164,96),0)</f>
        <v/>
      </c>
      <c r="CV164">
        <f>IFERROR(INDEX(PP_Grid[#Data],$DE164,97),0)</f>
        <v/>
      </c>
      <c r="CW164">
        <f>IFERROR(INDEX(PP_Grid[#Data],$DE164,98),0)</f>
        <v/>
      </c>
      <c r="CX164">
        <f>IFERROR(INDEX(PP_Grid[#Data],$DE164,99),0)</f>
        <v/>
      </c>
      <c r="CY164">
        <f>IFERROR(INDEX(PP_Grid[#Data],$DE164,100),0)</f>
        <v/>
      </c>
      <c r="CZ164">
        <f>IFERROR(INDEX(PP_Grid[#Data],$DE164,101),0)</f>
        <v/>
      </c>
      <c r="DA164">
        <f>IFERROR(INDEX(PP_Grid[#Data],$DE164,102),0)</f>
        <v/>
      </c>
      <c r="DB164">
        <f>IFERROR(INDEX(PP_Grid[#Data],$DE164,103),0)</f>
        <v/>
      </c>
      <c r="DC164">
        <f>IFERROR(INDEX(PP_Grid[#Data],$DE164,104),0)</f>
        <v/>
      </c>
      <c r="DD164">
        <f>IFERROR(INDEX(PP_Grid[#Data],$DE164,105),0)</f>
        <v/>
      </c>
      <c r="DE164" s="7">
        <f>IFERROR(MATCH($B164,PP_Grid[Intermediate],0),99999)</f>
        <v/>
      </c>
    </row>
    <row r="165">
      <c r="B165" t="inlineStr">
        <is>
          <t>使用量(kg)</t>
        </is>
      </c>
      <c r="C165">
        <f>SUMIFS(M_BOM[RM_Qty_Per_Batch],M_BOM[Intermediate],$B164,M_BOM[RM_Code],$A139)</f>
        <v/>
      </c>
      <c r="D165">
        <f>IFERROR(INDEX(E165:DD165,$F$1),"")</f>
        <v/>
      </c>
      <c r="E165">
        <f>$C165*E164</f>
        <v/>
      </c>
      <c r="F165">
        <f>$C165*F164</f>
        <v/>
      </c>
      <c r="G165">
        <f>$C165*G164</f>
        <v/>
      </c>
      <c r="H165">
        <f>$C165*H164</f>
        <v/>
      </c>
      <c r="I165">
        <f>$C165*I164</f>
        <v/>
      </c>
      <c r="J165">
        <f>$C165*J164</f>
        <v/>
      </c>
      <c r="K165">
        <f>$C165*K164</f>
        <v/>
      </c>
      <c r="L165">
        <f>$C165*L164</f>
        <v/>
      </c>
      <c r="M165">
        <f>$C165*M164</f>
        <v/>
      </c>
      <c r="N165">
        <f>$C165*N164</f>
        <v/>
      </c>
      <c r="O165">
        <f>$C165*O164</f>
        <v/>
      </c>
      <c r="P165">
        <f>$C165*P164</f>
        <v/>
      </c>
      <c r="Q165">
        <f>$C165*Q164</f>
        <v/>
      </c>
      <c r="R165">
        <f>$C165*R164</f>
        <v/>
      </c>
      <c r="S165">
        <f>$C165*S164</f>
        <v/>
      </c>
      <c r="T165">
        <f>$C165*T164</f>
        <v/>
      </c>
      <c r="U165">
        <f>$C165*U164</f>
        <v/>
      </c>
      <c r="V165">
        <f>$C165*V164</f>
        <v/>
      </c>
      <c r="W165">
        <f>$C165*W164</f>
        <v/>
      </c>
      <c r="X165">
        <f>$C165*X164</f>
        <v/>
      </c>
      <c r="Y165">
        <f>$C165*Y164</f>
        <v/>
      </c>
      <c r="Z165">
        <f>$C165*Z164</f>
        <v/>
      </c>
      <c r="AA165">
        <f>$C165*AA164</f>
        <v/>
      </c>
      <c r="AB165">
        <f>$C165*AB164</f>
        <v/>
      </c>
      <c r="AC165">
        <f>$C165*AC164</f>
        <v/>
      </c>
      <c r="AD165">
        <f>$C165*AD164</f>
        <v/>
      </c>
      <c r="AE165">
        <f>$C165*AE164</f>
        <v/>
      </c>
      <c r="AF165">
        <f>$C165*AF164</f>
        <v/>
      </c>
      <c r="AG165">
        <f>$C165*AG164</f>
        <v/>
      </c>
      <c r="AH165">
        <f>$C165*AH164</f>
        <v/>
      </c>
      <c r="AI165">
        <f>$C165*AI164</f>
        <v/>
      </c>
      <c r="AJ165">
        <f>$C165*AJ164</f>
        <v/>
      </c>
      <c r="AK165">
        <f>$C165*AK164</f>
        <v/>
      </c>
      <c r="AL165">
        <f>$C165*AL164</f>
        <v/>
      </c>
      <c r="AM165">
        <f>$C165*AM164</f>
        <v/>
      </c>
      <c r="AN165">
        <f>$C165*AN164</f>
        <v/>
      </c>
      <c r="AO165">
        <f>$C165*AO164</f>
        <v/>
      </c>
      <c r="AP165">
        <f>$C165*AP164</f>
        <v/>
      </c>
      <c r="AQ165">
        <f>$C165*AQ164</f>
        <v/>
      </c>
      <c r="AR165">
        <f>$C165*AR164</f>
        <v/>
      </c>
      <c r="AS165">
        <f>$C165*AS164</f>
        <v/>
      </c>
      <c r="AT165">
        <f>$C165*AT164</f>
        <v/>
      </c>
      <c r="AU165">
        <f>$C165*AU164</f>
        <v/>
      </c>
      <c r="AV165">
        <f>$C165*AV164</f>
        <v/>
      </c>
      <c r="AW165">
        <f>$C165*AW164</f>
        <v/>
      </c>
      <c r="AX165">
        <f>$C165*AX164</f>
        <v/>
      </c>
      <c r="AY165">
        <f>$C165*AY164</f>
        <v/>
      </c>
      <c r="AZ165">
        <f>$C165*AZ164</f>
        <v/>
      </c>
      <c r="BA165">
        <f>$C165*BA164</f>
        <v/>
      </c>
      <c r="BB165">
        <f>$C165*BB164</f>
        <v/>
      </c>
      <c r="BC165">
        <f>$C165*BC164</f>
        <v/>
      </c>
      <c r="BD165">
        <f>$C165*BD164</f>
        <v/>
      </c>
      <c r="BE165">
        <f>$C165*BE164</f>
        <v/>
      </c>
      <c r="BF165">
        <f>$C165*BF164</f>
        <v/>
      </c>
      <c r="BG165">
        <f>$C165*BG164</f>
        <v/>
      </c>
      <c r="BH165">
        <f>$C165*BH164</f>
        <v/>
      </c>
      <c r="BI165">
        <f>$C165*BI164</f>
        <v/>
      </c>
      <c r="BJ165">
        <f>$C165*BJ164</f>
        <v/>
      </c>
      <c r="BK165">
        <f>$C165*BK164</f>
        <v/>
      </c>
      <c r="BL165">
        <f>$C165*BL164</f>
        <v/>
      </c>
      <c r="BM165">
        <f>$C165*BM164</f>
        <v/>
      </c>
      <c r="BN165">
        <f>$C165*BN164</f>
        <v/>
      </c>
      <c r="BO165">
        <f>$C165*BO164</f>
        <v/>
      </c>
      <c r="BP165">
        <f>$C165*BP164</f>
        <v/>
      </c>
      <c r="BQ165">
        <f>$C165*BQ164</f>
        <v/>
      </c>
      <c r="BR165">
        <f>$C165*BR164</f>
        <v/>
      </c>
      <c r="BS165">
        <f>$C165*BS164</f>
        <v/>
      </c>
      <c r="BT165">
        <f>$C165*BT164</f>
        <v/>
      </c>
      <c r="BU165">
        <f>$C165*BU164</f>
        <v/>
      </c>
      <c r="BV165">
        <f>$C165*BV164</f>
        <v/>
      </c>
      <c r="BW165">
        <f>$C165*BW164</f>
        <v/>
      </c>
      <c r="BX165">
        <f>$C165*BX164</f>
        <v/>
      </c>
      <c r="BY165">
        <f>$C165*BY164</f>
        <v/>
      </c>
      <c r="BZ165">
        <f>$C165*BZ164</f>
        <v/>
      </c>
      <c r="CA165">
        <f>$C165*CA164</f>
        <v/>
      </c>
      <c r="CB165">
        <f>$C165*CB164</f>
        <v/>
      </c>
      <c r="CC165">
        <f>$C165*CC164</f>
        <v/>
      </c>
      <c r="CD165">
        <f>$C165*CD164</f>
        <v/>
      </c>
      <c r="CE165">
        <f>$C165*CE164</f>
        <v/>
      </c>
      <c r="CF165">
        <f>$C165*CF164</f>
        <v/>
      </c>
      <c r="CG165">
        <f>$C165*CG164</f>
        <v/>
      </c>
      <c r="CH165">
        <f>$C165*CH164</f>
        <v/>
      </c>
      <c r="CI165">
        <f>$C165*CI164</f>
        <v/>
      </c>
      <c r="CJ165">
        <f>$C165*CJ164</f>
        <v/>
      </c>
      <c r="CK165">
        <f>$C165*CK164</f>
        <v/>
      </c>
      <c r="CL165">
        <f>$C165*CL164</f>
        <v/>
      </c>
      <c r="CM165">
        <f>$C165*CM164</f>
        <v/>
      </c>
      <c r="CN165">
        <f>$C165*CN164</f>
        <v/>
      </c>
      <c r="CO165">
        <f>$C165*CO164</f>
        <v/>
      </c>
      <c r="CP165">
        <f>$C165*CP164</f>
        <v/>
      </c>
      <c r="CQ165">
        <f>$C165*CQ164</f>
        <v/>
      </c>
      <c r="CR165">
        <f>$C165*CR164</f>
        <v/>
      </c>
      <c r="CS165">
        <f>$C165*CS164</f>
        <v/>
      </c>
      <c r="CT165">
        <f>$C165*CT164</f>
        <v/>
      </c>
      <c r="CU165">
        <f>$C165*CU164</f>
        <v/>
      </c>
      <c r="CV165">
        <f>$C165*CV164</f>
        <v/>
      </c>
      <c r="CW165">
        <f>$C165*CW164</f>
        <v/>
      </c>
      <c r="CX165">
        <f>$C165*CX164</f>
        <v/>
      </c>
      <c r="CY165">
        <f>$C165*CY164</f>
        <v/>
      </c>
      <c r="CZ165">
        <f>$C165*CZ164</f>
        <v/>
      </c>
      <c r="DA165">
        <f>$C165*DA164</f>
        <v/>
      </c>
      <c r="DB165">
        <f>$C165*DB164</f>
        <v/>
      </c>
      <c r="DC165">
        <f>$C165*DC164</f>
        <v/>
      </c>
      <c r="DD165">
        <f>$C165*DD164</f>
        <v/>
      </c>
    </row>
    <row r="166">
      <c r="B166" t="inlineStr">
        <is>
          <t>TSP-699</t>
        </is>
      </c>
      <c r="C166" t="inlineStr">
        <is>
          <t>No. of batches</t>
        </is>
      </c>
      <c r="D166">
        <f>IFERROR(INDEX(E166:DD166,$F$1),"")</f>
        <v/>
      </c>
      <c r="E166">
        <f>IFERROR(INDEX(PP_Grid[#Data],$DE166,2),0)</f>
        <v/>
      </c>
      <c r="F166">
        <f>IFERROR(INDEX(PP_Grid[#Data],$DE166,3),0)</f>
        <v/>
      </c>
      <c r="G166">
        <f>IFERROR(INDEX(PP_Grid[#Data],$DE166,4),0)</f>
        <v/>
      </c>
      <c r="H166">
        <f>IFERROR(INDEX(PP_Grid[#Data],$DE166,5),0)</f>
        <v/>
      </c>
      <c r="I166">
        <f>IFERROR(INDEX(PP_Grid[#Data],$DE166,6),0)</f>
        <v/>
      </c>
      <c r="J166">
        <f>IFERROR(INDEX(PP_Grid[#Data],$DE166,7),0)</f>
        <v/>
      </c>
      <c r="K166">
        <f>IFERROR(INDEX(PP_Grid[#Data],$DE166,8),0)</f>
        <v/>
      </c>
      <c r="L166">
        <f>IFERROR(INDEX(PP_Grid[#Data],$DE166,9),0)</f>
        <v/>
      </c>
      <c r="M166">
        <f>IFERROR(INDEX(PP_Grid[#Data],$DE166,10),0)</f>
        <v/>
      </c>
      <c r="N166">
        <f>IFERROR(INDEX(PP_Grid[#Data],$DE166,11),0)</f>
        <v/>
      </c>
      <c r="O166">
        <f>IFERROR(INDEX(PP_Grid[#Data],$DE166,12),0)</f>
        <v/>
      </c>
      <c r="P166">
        <f>IFERROR(INDEX(PP_Grid[#Data],$DE166,13),0)</f>
        <v/>
      </c>
      <c r="Q166">
        <f>IFERROR(INDEX(PP_Grid[#Data],$DE166,14),0)</f>
        <v/>
      </c>
      <c r="R166">
        <f>IFERROR(INDEX(PP_Grid[#Data],$DE166,15),0)</f>
        <v/>
      </c>
      <c r="S166">
        <f>IFERROR(INDEX(PP_Grid[#Data],$DE166,16),0)</f>
        <v/>
      </c>
      <c r="T166">
        <f>IFERROR(INDEX(PP_Grid[#Data],$DE166,17),0)</f>
        <v/>
      </c>
      <c r="U166">
        <f>IFERROR(INDEX(PP_Grid[#Data],$DE166,18),0)</f>
        <v/>
      </c>
      <c r="V166">
        <f>IFERROR(INDEX(PP_Grid[#Data],$DE166,19),0)</f>
        <v/>
      </c>
      <c r="W166">
        <f>IFERROR(INDEX(PP_Grid[#Data],$DE166,20),0)</f>
        <v/>
      </c>
      <c r="X166">
        <f>IFERROR(INDEX(PP_Grid[#Data],$DE166,21),0)</f>
        <v/>
      </c>
      <c r="Y166">
        <f>IFERROR(INDEX(PP_Grid[#Data],$DE166,22),0)</f>
        <v/>
      </c>
      <c r="Z166">
        <f>IFERROR(INDEX(PP_Grid[#Data],$DE166,23),0)</f>
        <v/>
      </c>
      <c r="AA166">
        <f>IFERROR(INDEX(PP_Grid[#Data],$DE166,24),0)</f>
        <v/>
      </c>
      <c r="AB166">
        <f>IFERROR(INDEX(PP_Grid[#Data],$DE166,25),0)</f>
        <v/>
      </c>
      <c r="AC166">
        <f>IFERROR(INDEX(PP_Grid[#Data],$DE166,26),0)</f>
        <v/>
      </c>
      <c r="AD166">
        <f>IFERROR(INDEX(PP_Grid[#Data],$DE166,27),0)</f>
        <v/>
      </c>
      <c r="AE166">
        <f>IFERROR(INDEX(PP_Grid[#Data],$DE166,28),0)</f>
        <v/>
      </c>
      <c r="AF166">
        <f>IFERROR(INDEX(PP_Grid[#Data],$DE166,29),0)</f>
        <v/>
      </c>
      <c r="AG166">
        <f>IFERROR(INDEX(PP_Grid[#Data],$DE166,30),0)</f>
        <v/>
      </c>
      <c r="AH166">
        <f>IFERROR(INDEX(PP_Grid[#Data],$DE166,31),0)</f>
        <v/>
      </c>
      <c r="AI166">
        <f>IFERROR(INDEX(PP_Grid[#Data],$DE166,32),0)</f>
        <v/>
      </c>
      <c r="AJ166">
        <f>IFERROR(INDEX(PP_Grid[#Data],$DE166,33),0)</f>
        <v/>
      </c>
      <c r="AK166">
        <f>IFERROR(INDEX(PP_Grid[#Data],$DE166,34),0)</f>
        <v/>
      </c>
      <c r="AL166">
        <f>IFERROR(INDEX(PP_Grid[#Data],$DE166,35),0)</f>
        <v/>
      </c>
      <c r="AM166">
        <f>IFERROR(INDEX(PP_Grid[#Data],$DE166,36),0)</f>
        <v/>
      </c>
      <c r="AN166">
        <f>IFERROR(INDEX(PP_Grid[#Data],$DE166,37),0)</f>
        <v/>
      </c>
      <c r="AO166">
        <f>IFERROR(INDEX(PP_Grid[#Data],$DE166,38),0)</f>
        <v/>
      </c>
      <c r="AP166">
        <f>IFERROR(INDEX(PP_Grid[#Data],$DE166,39),0)</f>
        <v/>
      </c>
      <c r="AQ166">
        <f>IFERROR(INDEX(PP_Grid[#Data],$DE166,40),0)</f>
        <v/>
      </c>
      <c r="AR166">
        <f>IFERROR(INDEX(PP_Grid[#Data],$DE166,41),0)</f>
        <v/>
      </c>
      <c r="AS166">
        <f>IFERROR(INDEX(PP_Grid[#Data],$DE166,42),0)</f>
        <v/>
      </c>
      <c r="AT166">
        <f>IFERROR(INDEX(PP_Grid[#Data],$DE166,43),0)</f>
        <v/>
      </c>
      <c r="AU166">
        <f>IFERROR(INDEX(PP_Grid[#Data],$DE166,44),0)</f>
        <v/>
      </c>
      <c r="AV166">
        <f>IFERROR(INDEX(PP_Grid[#Data],$DE166,45),0)</f>
        <v/>
      </c>
      <c r="AW166">
        <f>IFERROR(INDEX(PP_Grid[#Data],$DE166,46),0)</f>
        <v/>
      </c>
      <c r="AX166">
        <f>IFERROR(INDEX(PP_Grid[#Data],$DE166,47),0)</f>
        <v/>
      </c>
      <c r="AY166">
        <f>IFERROR(INDEX(PP_Grid[#Data],$DE166,48),0)</f>
        <v/>
      </c>
      <c r="AZ166">
        <f>IFERROR(INDEX(PP_Grid[#Data],$DE166,49),0)</f>
        <v/>
      </c>
      <c r="BA166">
        <f>IFERROR(INDEX(PP_Grid[#Data],$DE166,50),0)</f>
        <v/>
      </c>
      <c r="BB166">
        <f>IFERROR(INDEX(PP_Grid[#Data],$DE166,51),0)</f>
        <v/>
      </c>
      <c r="BC166">
        <f>IFERROR(INDEX(PP_Grid[#Data],$DE166,52),0)</f>
        <v/>
      </c>
      <c r="BD166">
        <f>IFERROR(INDEX(PP_Grid[#Data],$DE166,53),0)</f>
        <v/>
      </c>
      <c r="BE166">
        <f>IFERROR(INDEX(PP_Grid[#Data],$DE166,54),0)</f>
        <v/>
      </c>
      <c r="BF166">
        <f>IFERROR(INDEX(PP_Grid[#Data],$DE166,55),0)</f>
        <v/>
      </c>
      <c r="BG166">
        <f>IFERROR(INDEX(PP_Grid[#Data],$DE166,56),0)</f>
        <v/>
      </c>
      <c r="BH166">
        <f>IFERROR(INDEX(PP_Grid[#Data],$DE166,57),0)</f>
        <v/>
      </c>
      <c r="BI166">
        <f>IFERROR(INDEX(PP_Grid[#Data],$DE166,58),0)</f>
        <v/>
      </c>
      <c r="BJ166">
        <f>IFERROR(INDEX(PP_Grid[#Data],$DE166,59),0)</f>
        <v/>
      </c>
      <c r="BK166">
        <f>IFERROR(INDEX(PP_Grid[#Data],$DE166,60),0)</f>
        <v/>
      </c>
      <c r="BL166">
        <f>IFERROR(INDEX(PP_Grid[#Data],$DE166,61),0)</f>
        <v/>
      </c>
      <c r="BM166">
        <f>IFERROR(INDEX(PP_Grid[#Data],$DE166,62),0)</f>
        <v/>
      </c>
      <c r="BN166">
        <f>IFERROR(INDEX(PP_Grid[#Data],$DE166,63),0)</f>
        <v/>
      </c>
      <c r="BO166">
        <f>IFERROR(INDEX(PP_Grid[#Data],$DE166,64),0)</f>
        <v/>
      </c>
      <c r="BP166">
        <f>IFERROR(INDEX(PP_Grid[#Data],$DE166,65),0)</f>
        <v/>
      </c>
      <c r="BQ166">
        <f>IFERROR(INDEX(PP_Grid[#Data],$DE166,66),0)</f>
        <v/>
      </c>
      <c r="BR166">
        <f>IFERROR(INDEX(PP_Grid[#Data],$DE166,67),0)</f>
        <v/>
      </c>
      <c r="BS166">
        <f>IFERROR(INDEX(PP_Grid[#Data],$DE166,68),0)</f>
        <v/>
      </c>
      <c r="BT166">
        <f>IFERROR(INDEX(PP_Grid[#Data],$DE166,69),0)</f>
        <v/>
      </c>
      <c r="BU166">
        <f>IFERROR(INDEX(PP_Grid[#Data],$DE166,70),0)</f>
        <v/>
      </c>
      <c r="BV166">
        <f>IFERROR(INDEX(PP_Grid[#Data],$DE166,71),0)</f>
        <v/>
      </c>
      <c r="BW166">
        <f>IFERROR(INDEX(PP_Grid[#Data],$DE166,72),0)</f>
        <v/>
      </c>
      <c r="BX166">
        <f>IFERROR(INDEX(PP_Grid[#Data],$DE166,73),0)</f>
        <v/>
      </c>
      <c r="BY166">
        <f>IFERROR(INDEX(PP_Grid[#Data],$DE166,74),0)</f>
        <v/>
      </c>
      <c r="BZ166">
        <f>IFERROR(INDEX(PP_Grid[#Data],$DE166,75),0)</f>
        <v/>
      </c>
      <c r="CA166">
        <f>IFERROR(INDEX(PP_Grid[#Data],$DE166,76),0)</f>
        <v/>
      </c>
      <c r="CB166">
        <f>IFERROR(INDEX(PP_Grid[#Data],$DE166,77),0)</f>
        <v/>
      </c>
      <c r="CC166">
        <f>IFERROR(INDEX(PP_Grid[#Data],$DE166,78),0)</f>
        <v/>
      </c>
      <c r="CD166">
        <f>IFERROR(INDEX(PP_Grid[#Data],$DE166,79),0)</f>
        <v/>
      </c>
      <c r="CE166">
        <f>IFERROR(INDEX(PP_Grid[#Data],$DE166,80),0)</f>
        <v/>
      </c>
      <c r="CF166">
        <f>IFERROR(INDEX(PP_Grid[#Data],$DE166,81),0)</f>
        <v/>
      </c>
      <c r="CG166">
        <f>IFERROR(INDEX(PP_Grid[#Data],$DE166,82),0)</f>
        <v/>
      </c>
      <c r="CH166">
        <f>IFERROR(INDEX(PP_Grid[#Data],$DE166,83),0)</f>
        <v/>
      </c>
      <c r="CI166">
        <f>IFERROR(INDEX(PP_Grid[#Data],$DE166,84),0)</f>
        <v/>
      </c>
      <c r="CJ166">
        <f>IFERROR(INDEX(PP_Grid[#Data],$DE166,85),0)</f>
        <v/>
      </c>
      <c r="CK166">
        <f>IFERROR(INDEX(PP_Grid[#Data],$DE166,86),0)</f>
        <v/>
      </c>
      <c r="CL166">
        <f>IFERROR(INDEX(PP_Grid[#Data],$DE166,87),0)</f>
        <v/>
      </c>
      <c r="CM166">
        <f>IFERROR(INDEX(PP_Grid[#Data],$DE166,88),0)</f>
        <v/>
      </c>
      <c r="CN166">
        <f>IFERROR(INDEX(PP_Grid[#Data],$DE166,89),0)</f>
        <v/>
      </c>
      <c r="CO166">
        <f>IFERROR(INDEX(PP_Grid[#Data],$DE166,90),0)</f>
        <v/>
      </c>
      <c r="CP166">
        <f>IFERROR(INDEX(PP_Grid[#Data],$DE166,91),0)</f>
        <v/>
      </c>
      <c r="CQ166">
        <f>IFERROR(INDEX(PP_Grid[#Data],$DE166,92),0)</f>
        <v/>
      </c>
      <c r="CR166">
        <f>IFERROR(INDEX(PP_Grid[#Data],$DE166,93),0)</f>
        <v/>
      </c>
      <c r="CS166">
        <f>IFERROR(INDEX(PP_Grid[#Data],$DE166,94),0)</f>
        <v/>
      </c>
      <c r="CT166">
        <f>IFERROR(INDEX(PP_Grid[#Data],$DE166,95),0)</f>
        <v/>
      </c>
      <c r="CU166">
        <f>IFERROR(INDEX(PP_Grid[#Data],$DE166,96),0)</f>
        <v/>
      </c>
      <c r="CV166">
        <f>IFERROR(INDEX(PP_Grid[#Data],$DE166,97),0)</f>
        <v/>
      </c>
      <c r="CW166">
        <f>IFERROR(INDEX(PP_Grid[#Data],$DE166,98),0)</f>
        <v/>
      </c>
      <c r="CX166">
        <f>IFERROR(INDEX(PP_Grid[#Data],$DE166,99),0)</f>
        <v/>
      </c>
      <c r="CY166">
        <f>IFERROR(INDEX(PP_Grid[#Data],$DE166,100),0)</f>
        <v/>
      </c>
      <c r="CZ166">
        <f>IFERROR(INDEX(PP_Grid[#Data],$DE166,101),0)</f>
        <v/>
      </c>
      <c r="DA166">
        <f>IFERROR(INDEX(PP_Grid[#Data],$DE166,102),0)</f>
        <v/>
      </c>
      <c r="DB166">
        <f>IFERROR(INDEX(PP_Grid[#Data],$DE166,103),0)</f>
        <v/>
      </c>
      <c r="DC166">
        <f>IFERROR(INDEX(PP_Grid[#Data],$DE166,104),0)</f>
        <v/>
      </c>
      <c r="DD166">
        <f>IFERROR(INDEX(PP_Grid[#Data],$DE166,105),0)</f>
        <v/>
      </c>
      <c r="DE166" s="7">
        <f>IFERROR(MATCH($B166,PP_Grid[Intermediate],0),99999)</f>
        <v/>
      </c>
    </row>
    <row r="167">
      <c r="B167" t="inlineStr">
        <is>
          <t>使用量(kg)</t>
        </is>
      </c>
      <c r="C167">
        <f>SUMIFS(M_BOM[RM_Qty_Per_Batch],M_BOM[Intermediate],$B166,M_BOM[RM_Code],$A139)</f>
        <v/>
      </c>
      <c r="D167">
        <f>IFERROR(INDEX(E167:DD167,$F$1),"")</f>
        <v/>
      </c>
      <c r="E167">
        <f>$C167*E166</f>
        <v/>
      </c>
      <c r="F167">
        <f>$C167*F166</f>
        <v/>
      </c>
      <c r="G167">
        <f>$C167*G166</f>
        <v/>
      </c>
      <c r="H167">
        <f>$C167*H166</f>
        <v/>
      </c>
      <c r="I167">
        <f>$C167*I166</f>
        <v/>
      </c>
      <c r="J167">
        <f>$C167*J166</f>
        <v/>
      </c>
      <c r="K167">
        <f>$C167*K166</f>
        <v/>
      </c>
      <c r="L167">
        <f>$C167*L166</f>
        <v/>
      </c>
      <c r="M167">
        <f>$C167*M166</f>
        <v/>
      </c>
      <c r="N167">
        <f>$C167*N166</f>
        <v/>
      </c>
      <c r="O167">
        <f>$C167*O166</f>
        <v/>
      </c>
      <c r="P167">
        <f>$C167*P166</f>
        <v/>
      </c>
      <c r="Q167">
        <f>$C167*Q166</f>
        <v/>
      </c>
      <c r="R167">
        <f>$C167*R166</f>
        <v/>
      </c>
      <c r="S167">
        <f>$C167*S166</f>
        <v/>
      </c>
      <c r="T167">
        <f>$C167*T166</f>
        <v/>
      </c>
      <c r="U167">
        <f>$C167*U166</f>
        <v/>
      </c>
      <c r="V167">
        <f>$C167*V166</f>
        <v/>
      </c>
      <c r="W167">
        <f>$C167*W166</f>
        <v/>
      </c>
      <c r="X167">
        <f>$C167*X166</f>
        <v/>
      </c>
      <c r="Y167">
        <f>$C167*Y166</f>
        <v/>
      </c>
      <c r="Z167">
        <f>$C167*Z166</f>
        <v/>
      </c>
      <c r="AA167">
        <f>$C167*AA166</f>
        <v/>
      </c>
      <c r="AB167">
        <f>$C167*AB166</f>
        <v/>
      </c>
      <c r="AC167">
        <f>$C167*AC166</f>
        <v/>
      </c>
      <c r="AD167">
        <f>$C167*AD166</f>
        <v/>
      </c>
      <c r="AE167">
        <f>$C167*AE166</f>
        <v/>
      </c>
      <c r="AF167">
        <f>$C167*AF166</f>
        <v/>
      </c>
      <c r="AG167">
        <f>$C167*AG166</f>
        <v/>
      </c>
      <c r="AH167">
        <f>$C167*AH166</f>
        <v/>
      </c>
      <c r="AI167">
        <f>$C167*AI166</f>
        <v/>
      </c>
      <c r="AJ167">
        <f>$C167*AJ166</f>
        <v/>
      </c>
      <c r="AK167">
        <f>$C167*AK166</f>
        <v/>
      </c>
      <c r="AL167">
        <f>$C167*AL166</f>
        <v/>
      </c>
      <c r="AM167">
        <f>$C167*AM166</f>
        <v/>
      </c>
      <c r="AN167">
        <f>$C167*AN166</f>
        <v/>
      </c>
      <c r="AO167">
        <f>$C167*AO166</f>
        <v/>
      </c>
      <c r="AP167">
        <f>$C167*AP166</f>
        <v/>
      </c>
      <c r="AQ167">
        <f>$C167*AQ166</f>
        <v/>
      </c>
      <c r="AR167">
        <f>$C167*AR166</f>
        <v/>
      </c>
      <c r="AS167">
        <f>$C167*AS166</f>
        <v/>
      </c>
      <c r="AT167">
        <f>$C167*AT166</f>
        <v/>
      </c>
      <c r="AU167">
        <f>$C167*AU166</f>
        <v/>
      </c>
      <c r="AV167">
        <f>$C167*AV166</f>
        <v/>
      </c>
      <c r="AW167">
        <f>$C167*AW166</f>
        <v/>
      </c>
      <c r="AX167">
        <f>$C167*AX166</f>
        <v/>
      </c>
      <c r="AY167">
        <f>$C167*AY166</f>
        <v/>
      </c>
      <c r="AZ167">
        <f>$C167*AZ166</f>
        <v/>
      </c>
      <c r="BA167">
        <f>$C167*BA166</f>
        <v/>
      </c>
      <c r="BB167">
        <f>$C167*BB166</f>
        <v/>
      </c>
      <c r="BC167">
        <f>$C167*BC166</f>
        <v/>
      </c>
      <c r="BD167">
        <f>$C167*BD166</f>
        <v/>
      </c>
      <c r="BE167">
        <f>$C167*BE166</f>
        <v/>
      </c>
      <c r="BF167">
        <f>$C167*BF166</f>
        <v/>
      </c>
      <c r="BG167">
        <f>$C167*BG166</f>
        <v/>
      </c>
      <c r="BH167">
        <f>$C167*BH166</f>
        <v/>
      </c>
      <c r="BI167">
        <f>$C167*BI166</f>
        <v/>
      </c>
      <c r="BJ167">
        <f>$C167*BJ166</f>
        <v/>
      </c>
      <c r="BK167">
        <f>$C167*BK166</f>
        <v/>
      </c>
      <c r="BL167">
        <f>$C167*BL166</f>
        <v/>
      </c>
      <c r="BM167">
        <f>$C167*BM166</f>
        <v/>
      </c>
      <c r="BN167">
        <f>$C167*BN166</f>
        <v/>
      </c>
      <c r="BO167">
        <f>$C167*BO166</f>
        <v/>
      </c>
      <c r="BP167">
        <f>$C167*BP166</f>
        <v/>
      </c>
      <c r="BQ167">
        <f>$C167*BQ166</f>
        <v/>
      </c>
      <c r="BR167">
        <f>$C167*BR166</f>
        <v/>
      </c>
      <c r="BS167">
        <f>$C167*BS166</f>
        <v/>
      </c>
      <c r="BT167">
        <f>$C167*BT166</f>
        <v/>
      </c>
      <c r="BU167">
        <f>$C167*BU166</f>
        <v/>
      </c>
      <c r="BV167">
        <f>$C167*BV166</f>
        <v/>
      </c>
      <c r="BW167">
        <f>$C167*BW166</f>
        <v/>
      </c>
      <c r="BX167">
        <f>$C167*BX166</f>
        <v/>
      </c>
      <c r="BY167">
        <f>$C167*BY166</f>
        <v/>
      </c>
      <c r="BZ167">
        <f>$C167*BZ166</f>
        <v/>
      </c>
      <c r="CA167">
        <f>$C167*CA166</f>
        <v/>
      </c>
      <c r="CB167">
        <f>$C167*CB166</f>
        <v/>
      </c>
      <c r="CC167">
        <f>$C167*CC166</f>
        <v/>
      </c>
      <c r="CD167">
        <f>$C167*CD166</f>
        <v/>
      </c>
      <c r="CE167">
        <f>$C167*CE166</f>
        <v/>
      </c>
      <c r="CF167">
        <f>$C167*CF166</f>
        <v/>
      </c>
      <c r="CG167">
        <f>$C167*CG166</f>
        <v/>
      </c>
      <c r="CH167">
        <f>$C167*CH166</f>
        <v/>
      </c>
      <c r="CI167">
        <f>$C167*CI166</f>
        <v/>
      </c>
      <c r="CJ167">
        <f>$C167*CJ166</f>
        <v/>
      </c>
      <c r="CK167">
        <f>$C167*CK166</f>
        <v/>
      </c>
      <c r="CL167">
        <f>$C167*CL166</f>
        <v/>
      </c>
      <c r="CM167">
        <f>$C167*CM166</f>
        <v/>
      </c>
      <c r="CN167">
        <f>$C167*CN166</f>
        <v/>
      </c>
      <c r="CO167">
        <f>$C167*CO166</f>
        <v/>
      </c>
      <c r="CP167">
        <f>$C167*CP166</f>
        <v/>
      </c>
      <c r="CQ167">
        <f>$C167*CQ166</f>
        <v/>
      </c>
      <c r="CR167">
        <f>$C167*CR166</f>
        <v/>
      </c>
      <c r="CS167">
        <f>$C167*CS166</f>
        <v/>
      </c>
      <c r="CT167">
        <f>$C167*CT166</f>
        <v/>
      </c>
      <c r="CU167">
        <f>$C167*CU166</f>
        <v/>
      </c>
      <c r="CV167">
        <f>$C167*CV166</f>
        <v/>
      </c>
      <c r="CW167">
        <f>$C167*CW166</f>
        <v/>
      </c>
      <c r="CX167">
        <f>$C167*CX166</f>
        <v/>
      </c>
      <c r="CY167">
        <f>$C167*CY166</f>
        <v/>
      </c>
      <c r="CZ167">
        <f>$C167*CZ166</f>
        <v/>
      </c>
      <c r="DA167">
        <f>$C167*DA166</f>
        <v/>
      </c>
      <c r="DB167">
        <f>$C167*DB166</f>
        <v/>
      </c>
      <c r="DC167">
        <f>$C167*DC166</f>
        <v/>
      </c>
      <c r="DD167">
        <f>$C167*DD166</f>
        <v/>
      </c>
    </row>
    <row r="168">
      <c r="B168" t="inlineStr">
        <is>
          <t>TSP-966</t>
        </is>
      </c>
      <c r="C168" t="inlineStr">
        <is>
          <t>No. of batches</t>
        </is>
      </c>
      <c r="D168">
        <f>IFERROR(INDEX(E168:DD168,$F$1),"")</f>
        <v/>
      </c>
      <c r="E168">
        <f>IFERROR(INDEX(PP_Grid[#Data],$DE168,2),0)</f>
        <v/>
      </c>
      <c r="F168">
        <f>IFERROR(INDEX(PP_Grid[#Data],$DE168,3),0)</f>
        <v/>
      </c>
      <c r="G168">
        <f>IFERROR(INDEX(PP_Grid[#Data],$DE168,4),0)</f>
        <v/>
      </c>
      <c r="H168">
        <f>IFERROR(INDEX(PP_Grid[#Data],$DE168,5),0)</f>
        <v/>
      </c>
      <c r="I168">
        <f>IFERROR(INDEX(PP_Grid[#Data],$DE168,6),0)</f>
        <v/>
      </c>
      <c r="J168">
        <f>IFERROR(INDEX(PP_Grid[#Data],$DE168,7),0)</f>
        <v/>
      </c>
      <c r="K168">
        <f>IFERROR(INDEX(PP_Grid[#Data],$DE168,8),0)</f>
        <v/>
      </c>
      <c r="L168">
        <f>IFERROR(INDEX(PP_Grid[#Data],$DE168,9),0)</f>
        <v/>
      </c>
      <c r="M168">
        <f>IFERROR(INDEX(PP_Grid[#Data],$DE168,10),0)</f>
        <v/>
      </c>
      <c r="N168">
        <f>IFERROR(INDEX(PP_Grid[#Data],$DE168,11),0)</f>
        <v/>
      </c>
      <c r="O168">
        <f>IFERROR(INDEX(PP_Grid[#Data],$DE168,12),0)</f>
        <v/>
      </c>
      <c r="P168">
        <f>IFERROR(INDEX(PP_Grid[#Data],$DE168,13),0)</f>
        <v/>
      </c>
      <c r="Q168">
        <f>IFERROR(INDEX(PP_Grid[#Data],$DE168,14),0)</f>
        <v/>
      </c>
      <c r="R168">
        <f>IFERROR(INDEX(PP_Grid[#Data],$DE168,15),0)</f>
        <v/>
      </c>
      <c r="S168">
        <f>IFERROR(INDEX(PP_Grid[#Data],$DE168,16),0)</f>
        <v/>
      </c>
      <c r="T168">
        <f>IFERROR(INDEX(PP_Grid[#Data],$DE168,17),0)</f>
        <v/>
      </c>
      <c r="U168">
        <f>IFERROR(INDEX(PP_Grid[#Data],$DE168,18),0)</f>
        <v/>
      </c>
      <c r="V168">
        <f>IFERROR(INDEX(PP_Grid[#Data],$DE168,19),0)</f>
        <v/>
      </c>
      <c r="W168">
        <f>IFERROR(INDEX(PP_Grid[#Data],$DE168,20),0)</f>
        <v/>
      </c>
      <c r="X168">
        <f>IFERROR(INDEX(PP_Grid[#Data],$DE168,21),0)</f>
        <v/>
      </c>
      <c r="Y168">
        <f>IFERROR(INDEX(PP_Grid[#Data],$DE168,22),0)</f>
        <v/>
      </c>
      <c r="Z168">
        <f>IFERROR(INDEX(PP_Grid[#Data],$DE168,23),0)</f>
        <v/>
      </c>
      <c r="AA168">
        <f>IFERROR(INDEX(PP_Grid[#Data],$DE168,24),0)</f>
        <v/>
      </c>
      <c r="AB168">
        <f>IFERROR(INDEX(PP_Grid[#Data],$DE168,25),0)</f>
        <v/>
      </c>
      <c r="AC168">
        <f>IFERROR(INDEX(PP_Grid[#Data],$DE168,26),0)</f>
        <v/>
      </c>
      <c r="AD168">
        <f>IFERROR(INDEX(PP_Grid[#Data],$DE168,27),0)</f>
        <v/>
      </c>
      <c r="AE168">
        <f>IFERROR(INDEX(PP_Grid[#Data],$DE168,28),0)</f>
        <v/>
      </c>
      <c r="AF168">
        <f>IFERROR(INDEX(PP_Grid[#Data],$DE168,29),0)</f>
        <v/>
      </c>
      <c r="AG168">
        <f>IFERROR(INDEX(PP_Grid[#Data],$DE168,30),0)</f>
        <v/>
      </c>
      <c r="AH168">
        <f>IFERROR(INDEX(PP_Grid[#Data],$DE168,31),0)</f>
        <v/>
      </c>
      <c r="AI168">
        <f>IFERROR(INDEX(PP_Grid[#Data],$DE168,32),0)</f>
        <v/>
      </c>
      <c r="AJ168">
        <f>IFERROR(INDEX(PP_Grid[#Data],$DE168,33),0)</f>
        <v/>
      </c>
      <c r="AK168">
        <f>IFERROR(INDEX(PP_Grid[#Data],$DE168,34),0)</f>
        <v/>
      </c>
      <c r="AL168">
        <f>IFERROR(INDEX(PP_Grid[#Data],$DE168,35),0)</f>
        <v/>
      </c>
      <c r="AM168">
        <f>IFERROR(INDEX(PP_Grid[#Data],$DE168,36),0)</f>
        <v/>
      </c>
      <c r="AN168">
        <f>IFERROR(INDEX(PP_Grid[#Data],$DE168,37),0)</f>
        <v/>
      </c>
      <c r="AO168">
        <f>IFERROR(INDEX(PP_Grid[#Data],$DE168,38),0)</f>
        <v/>
      </c>
      <c r="AP168">
        <f>IFERROR(INDEX(PP_Grid[#Data],$DE168,39),0)</f>
        <v/>
      </c>
      <c r="AQ168">
        <f>IFERROR(INDEX(PP_Grid[#Data],$DE168,40),0)</f>
        <v/>
      </c>
      <c r="AR168">
        <f>IFERROR(INDEX(PP_Grid[#Data],$DE168,41),0)</f>
        <v/>
      </c>
      <c r="AS168">
        <f>IFERROR(INDEX(PP_Grid[#Data],$DE168,42),0)</f>
        <v/>
      </c>
      <c r="AT168">
        <f>IFERROR(INDEX(PP_Grid[#Data],$DE168,43),0)</f>
        <v/>
      </c>
      <c r="AU168">
        <f>IFERROR(INDEX(PP_Grid[#Data],$DE168,44),0)</f>
        <v/>
      </c>
      <c r="AV168">
        <f>IFERROR(INDEX(PP_Grid[#Data],$DE168,45),0)</f>
        <v/>
      </c>
      <c r="AW168">
        <f>IFERROR(INDEX(PP_Grid[#Data],$DE168,46),0)</f>
        <v/>
      </c>
      <c r="AX168">
        <f>IFERROR(INDEX(PP_Grid[#Data],$DE168,47),0)</f>
        <v/>
      </c>
      <c r="AY168">
        <f>IFERROR(INDEX(PP_Grid[#Data],$DE168,48),0)</f>
        <v/>
      </c>
      <c r="AZ168">
        <f>IFERROR(INDEX(PP_Grid[#Data],$DE168,49),0)</f>
        <v/>
      </c>
      <c r="BA168">
        <f>IFERROR(INDEX(PP_Grid[#Data],$DE168,50),0)</f>
        <v/>
      </c>
      <c r="BB168">
        <f>IFERROR(INDEX(PP_Grid[#Data],$DE168,51),0)</f>
        <v/>
      </c>
      <c r="BC168">
        <f>IFERROR(INDEX(PP_Grid[#Data],$DE168,52),0)</f>
        <v/>
      </c>
      <c r="BD168">
        <f>IFERROR(INDEX(PP_Grid[#Data],$DE168,53),0)</f>
        <v/>
      </c>
      <c r="BE168">
        <f>IFERROR(INDEX(PP_Grid[#Data],$DE168,54),0)</f>
        <v/>
      </c>
      <c r="BF168">
        <f>IFERROR(INDEX(PP_Grid[#Data],$DE168,55),0)</f>
        <v/>
      </c>
      <c r="BG168">
        <f>IFERROR(INDEX(PP_Grid[#Data],$DE168,56),0)</f>
        <v/>
      </c>
      <c r="BH168">
        <f>IFERROR(INDEX(PP_Grid[#Data],$DE168,57),0)</f>
        <v/>
      </c>
      <c r="BI168">
        <f>IFERROR(INDEX(PP_Grid[#Data],$DE168,58),0)</f>
        <v/>
      </c>
      <c r="BJ168">
        <f>IFERROR(INDEX(PP_Grid[#Data],$DE168,59),0)</f>
        <v/>
      </c>
      <c r="BK168">
        <f>IFERROR(INDEX(PP_Grid[#Data],$DE168,60),0)</f>
        <v/>
      </c>
      <c r="BL168">
        <f>IFERROR(INDEX(PP_Grid[#Data],$DE168,61),0)</f>
        <v/>
      </c>
      <c r="BM168">
        <f>IFERROR(INDEX(PP_Grid[#Data],$DE168,62),0)</f>
        <v/>
      </c>
      <c r="BN168">
        <f>IFERROR(INDEX(PP_Grid[#Data],$DE168,63),0)</f>
        <v/>
      </c>
      <c r="BO168">
        <f>IFERROR(INDEX(PP_Grid[#Data],$DE168,64),0)</f>
        <v/>
      </c>
      <c r="BP168">
        <f>IFERROR(INDEX(PP_Grid[#Data],$DE168,65),0)</f>
        <v/>
      </c>
      <c r="BQ168">
        <f>IFERROR(INDEX(PP_Grid[#Data],$DE168,66),0)</f>
        <v/>
      </c>
      <c r="BR168">
        <f>IFERROR(INDEX(PP_Grid[#Data],$DE168,67),0)</f>
        <v/>
      </c>
      <c r="BS168">
        <f>IFERROR(INDEX(PP_Grid[#Data],$DE168,68),0)</f>
        <v/>
      </c>
      <c r="BT168">
        <f>IFERROR(INDEX(PP_Grid[#Data],$DE168,69),0)</f>
        <v/>
      </c>
      <c r="BU168">
        <f>IFERROR(INDEX(PP_Grid[#Data],$DE168,70),0)</f>
        <v/>
      </c>
      <c r="BV168">
        <f>IFERROR(INDEX(PP_Grid[#Data],$DE168,71),0)</f>
        <v/>
      </c>
      <c r="BW168">
        <f>IFERROR(INDEX(PP_Grid[#Data],$DE168,72),0)</f>
        <v/>
      </c>
      <c r="BX168">
        <f>IFERROR(INDEX(PP_Grid[#Data],$DE168,73),0)</f>
        <v/>
      </c>
      <c r="BY168">
        <f>IFERROR(INDEX(PP_Grid[#Data],$DE168,74),0)</f>
        <v/>
      </c>
      <c r="BZ168">
        <f>IFERROR(INDEX(PP_Grid[#Data],$DE168,75),0)</f>
        <v/>
      </c>
      <c r="CA168">
        <f>IFERROR(INDEX(PP_Grid[#Data],$DE168,76),0)</f>
        <v/>
      </c>
      <c r="CB168">
        <f>IFERROR(INDEX(PP_Grid[#Data],$DE168,77),0)</f>
        <v/>
      </c>
      <c r="CC168">
        <f>IFERROR(INDEX(PP_Grid[#Data],$DE168,78),0)</f>
        <v/>
      </c>
      <c r="CD168">
        <f>IFERROR(INDEX(PP_Grid[#Data],$DE168,79),0)</f>
        <v/>
      </c>
      <c r="CE168">
        <f>IFERROR(INDEX(PP_Grid[#Data],$DE168,80),0)</f>
        <v/>
      </c>
      <c r="CF168">
        <f>IFERROR(INDEX(PP_Grid[#Data],$DE168,81),0)</f>
        <v/>
      </c>
      <c r="CG168">
        <f>IFERROR(INDEX(PP_Grid[#Data],$DE168,82),0)</f>
        <v/>
      </c>
      <c r="CH168">
        <f>IFERROR(INDEX(PP_Grid[#Data],$DE168,83),0)</f>
        <v/>
      </c>
      <c r="CI168">
        <f>IFERROR(INDEX(PP_Grid[#Data],$DE168,84),0)</f>
        <v/>
      </c>
      <c r="CJ168">
        <f>IFERROR(INDEX(PP_Grid[#Data],$DE168,85),0)</f>
        <v/>
      </c>
      <c r="CK168">
        <f>IFERROR(INDEX(PP_Grid[#Data],$DE168,86),0)</f>
        <v/>
      </c>
      <c r="CL168">
        <f>IFERROR(INDEX(PP_Grid[#Data],$DE168,87),0)</f>
        <v/>
      </c>
      <c r="CM168">
        <f>IFERROR(INDEX(PP_Grid[#Data],$DE168,88),0)</f>
        <v/>
      </c>
      <c r="CN168">
        <f>IFERROR(INDEX(PP_Grid[#Data],$DE168,89),0)</f>
        <v/>
      </c>
      <c r="CO168">
        <f>IFERROR(INDEX(PP_Grid[#Data],$DE168,90),0)</f>
        <v/>
      </c>
      <c r="CP168">
        <f>IFERROR(INDEX(PP_Grid[#Data],$DE168,91),0)</f>
        <v/>
      </c>
      <c r="CQ168">
        <f>IFERROR(INDEX(PP_Grid[#Data],$DE168,92),0)</f>
        <v/>
      </c>
      <c r="CR168">
        <f>IFERROR(INDEX(PP_Grid[#Data],$DE168,93),0)</f>
        <v/>
      </c>
      <c r="CS168">
        <f>IFERROR(INDEX(PP_Grid[#Data],$DE168,94),0)</f>
        <v/>
      </c>
      <c r="CT168">
        <f>IFERROR(INDEX(PP_Grid[#Data],$DE168,95),0)</f>
        <v/>
      </c>
      <c r="CU168">
        <f>IFERROR(INDEX(PP_Grid[#Data],$DE168,96),0)</f>
        <v/>
      </c>
      <c r="CV168">
        <f>IFERROR(INDEX(PP_Grid[#Data],$DE168,97),0)</f>
        <v/>
      </c>
      <c r="CW168">
        <f>IFERROR(INDEX(PP_Grid[#Data],$DE168,98),0)</f>
        <v/>
      </c>
      <c r="CX168">
        <f>IFERROR(INDEX(PP_Grid[#Data],$DE168,99),0)</f>
        <v/>
      </c>
      <c r="CY168">
        <f>IFERROR(INDEX(PP_Grid[#Data],$DE168,100),0)</f>
        <v/>
      </c>
      <c r="CZ168">
        <f>IFERROR(INDEX(PP_Grid[#Data],$DE168,101),0)</f>
        <v/>
      </c>
      <c r="DA168">
        <f>IFERROR(INDEX(PP_Grid[#Data],$DE168,102),0)</f>
        <v/>
      </c>
      <c r="DB168">
        <f>IFERROR(INDEX(PP_Grid[#Data],$DE168,103),0)</f>
        <v/>
      </c>
      <c r="DC168">
        <f>IFERROR(INDEX(PP_Grid[#Data],$DE168,104),0)</f>
        <v/>
      </c>
      <c r="DD168">
        <f>IFERROR(INDEX(PP_Grid[#Data],$DE168,105),0)</f>
        <v/>
      </c>
      <c r="DE168" s="7">
        <f>IFERROR(MATCH($B168,PP_Grid[Intermediate],0),99999)</f>
        <v/>
      </c>
    </row>
    <row r="169">
      <c r="B169" t="inlineStr">
        <is>
          <t>使用量(kg)</t>
        </is>
      </c>
      <c r="C169">
        <f>SUMIFS(M_BOM[RM_Qty_Per_Batch],M_BOM[Intermediate],$B168,M_BOM[RM_Code],$A139)</f>
        <v/>
      </c>
      <c r="D169">
        <f>IFERROR(INDEX(E169:DD169,$F$1),"")</f>
        <v/>
      </c>
      <c r="E169">
        <f>$C169*E168</f>
        <v/>
      </c>
      <c r="F169">
        <f>$C169*F168</f>
        <v/>
      </c>
      <c r="G169">
        <f>$C169*G168</f>
        <v/>
      </c>
      <c r="H169">
        <f>$C169*H168</f>
        <v/>
      </c>
      <c r="I169">
        <f>$C169*I168</f>
        <v/>
      </c>
      <c r="J169">
        <f>$C169*J168</f>
        <v/>
      </c>
      <c r="K169">
        <f>$C169*K168</f>
        <v/>
      </c>
      <c r="L169">
        <f>$C169*L168</f>
        <v/>
      </c>
      <c r="M169">
        <f>$C169*M168</f>
        <v/>
      </c>
      <c r="N169">
        <f>$C169*N168</f>
        <v/>
      </c>
      <c r="O169">
        <f>$C169*O168</f>
        <v/>
      </c>
      <c r="P169">
        <f>$C169*P168</f>
        <v/>
      </c>
      <c r="Q169">
        <f>$C169*Q168</f>
        <v/>
      </c>
      <c r="R169">
        <f>$C169*R168</f>
        <v/>
      </c>
      <c r="S169">
        <f>$C169*S168</f>
        <v/>
      </c>
      <c r="T169">
        <f>$C169*T168</f>
        <v/>
      </c>
      <c r="U169">
        <f>$C169*U168</f>
        <v/>
      </c>
      <c r="V169">
        <f>$C169*V168</f>
        <v/>
      </c>
      <c r="W169">
        <f>$C169*W168</f>
        <v/>
      </c>
      <c r="X169">
        <f>$C169*X168</f>
        <v/>
      </c>
      <c r="Y169">
        <f>$C169*Y168</f>
        <v/>
      </c>
      <c r="Z169">
        <f>$C169*Z168</f>
        <v/>
      </c>
      <c r="AA169">
        <f>$C169*AA168</f>
        <v/>
      </c>
      <c r="AB169">
        <f>$C169*AB168</f>
        <v/>
      </c>
      <c r="AC169">
        <f>$C169*AC168</f>
        <v/>
      </c>
      <c r="AD169">
        <f>$C169*AD168</f>
        <v/>
      </c>
      <c r="AE169">
        <f>$C169*AE168</f>
        <v/>
      </c>
      <c r="AF169">
        <f>$C169*AF168</f>
        <v/>
      </c>
      <c r="AG169">
        <f>$C169*AG168</f>
        <v/>
      </c>
      <c r="AH169">
        <f>$C169*AH168</f>
        <v/>
      </c>
      <c r="AI169">
        <f>$C169*AI168</f>
        <v/>
      </c>
      <c r="AJ169">
        <f>$C169*AJ168</f>
        <v/>
      </c>
      <c r="AK169">
        <f>$C169*AK168</f>
        <v/>
      </c>
      <c r="AL169">
        <f>$C169*AL168</f>
        <v/>
      </c>
      <c r="AM169">
        <f>$C169*AM168</f>
        <v/>
      </c>
      <c r="AN169">
        <f>$C169*AN168</f>
        <v/>
      </c>
      <c r="AO169">
        <f>$C169*AO168</f>
        <v/>
      </c>
      <c r="AP169">
        <f>$C169*AP168</f>
        <v/>
      </c>
      <c r="AQ169">
        <f>$C169*AQ168</f>
        <v/>
      </c>
      <c r="AR169">
        <f>$C169*AR168</f>
        <v/>
      </c>
      <c r="AS169">
        <f>$C169*AS168</f>
        <v/>
      </c>
      <c r="AT169">
        <f>$C169*AT168</f>
        <v/>
      </c>
      <c r="AU169">
        <f>$C169*AU168</f>
        <v/>
      </c>
      <c r="AV169">
        <f>$C169*AV168</f>
        <v/>
      </c>
      <c r="AW169">
        <f>$C169*AW168</f>
        <v/>
      </c>
      <c r="AX169">
        <f>$C169*AX168</f>
        <v/>
      </c>
      <c r="AY169">
        <f>$C169*AY168</f>
        <v/>
      </c>
      <c r="AZ169">
        <f>$C169*AZ168</f>
        <v/>
      </c>
      <c r="BA169">
        <f>$C169*BA168</f>
        <v/>
      </c>
      <c r="BB169">
        <f>$C169*BB168</f>
        <v/>
      </c>
      <c r="BC169">
        <f>$C169*BC168</f>
        <v/>
      </c>
      <c r="BD169">
        <f>$C169*BD168</f>
        <v/>
      </c>
      <c r="BE169">
        <f>$C169*BE168</f>
        <v/>
      </c>
      <c r="BF169">
        <f>$C169*BF168</f>
        <v/>
      </c>
      <c r="BG169">
        <f>$C169*BG168</f>
        <v/>
      </c>
      <c r="BH169">
        <f>$C169*BH168</f>
        <v/>
      </c>
      <c r="BI169">
        <f>$C169*BI168</f>
        <v/>
      </c>
      <c r="BJ169">
        <f>$C169*BJ168</f>
        <v/>
      </c>
      <c r="BK169">
        <f>$C169*BK168</f>
        <v/>
      </c>
      <c r="BL169">
        <f>$C169*BL168</f>
        <v/>
      </c>
      <c r="BM169">
        <f>$C169*BM168</f>
        <v/>
      </c>
      <c r="BN169">
        <f>$C169*BN168</f>
        <v/>
      </c>
      <c r="BO169">
        <f>$C169*BO168</f>
        <v/>
      </c>
      <c r="BP169">
        <f>$C169*BP168</f>
        <v/>
      </c>
      <c r="BQ169">
        <f>$C169*BQ168</f>
        <v/>
      </c>
      <c r="BR169">
        <f>$C169*BR168</f>
        <v/>
      </c>
      <c r="BS169">
        <f>$C169*BS168</f>
        <v/>
      </c>
      <c r="BT169">
        <f>$C169*BT168</f>
        <v/>
      </c>
      <c r="BU169">
        <f>$C169*BU168</f>
        <v/>
      </c>
      <c r="BV169">
        <f>$C169*BV168</f>
        <v/>
      </c>
      <c r="BW169">
        <f>$C169*BW168</f>
        <v/>
      </c>
      <c r="BX169">
        <f>$C169*BX168</f>
        <v/>
      </c>
      <c r="BY169">
        <f>$C169*BY168</f>
        <v/>
      </c>
      <c r="BZ169">
        <f>$C169*BZ168</f>
        <v/>
      </c>
      <c r="CA169">
        <f>$C169*CA168</f>
        <v/>
      </c>
      <c r="CB169">
        <f>$C169*CB168</f>
        <v/>
      </c>
      <c r="CC169">
        <f>$C169*CC168</f>
        <v/>
      </c>
      <c r="CD169">
        <f>$C169*CD168</f>
        <v/>
      </c>
      <c r="CE169">
        <f>$C169*CE168</f>
        <v/>
      </c>
      <c r="CF169">
        <f>$C169*CF168</f>
        <v/>
      </c>
      <c r="CG169">
        <f>$C169*CG168</f>
        <v/>
      </c>
      <c r="CH169">
        <f>$C169*CH168</f>
        <v/>
      </c>
      <c r="CI169">
        <f>$C169*CI168</f>
        <v/>
      </c>
      <c r="CJ169">
        <f>$C169*CJ168</f>
        <v/>
      </c>
      <c r="CK169">
        <f>$C169*CK168</f>
        <v/>
      </c>
      <c r="CL169">
        <f>$C169*CL168</f>
        <v/>
      </c>
      <c r="CM169">
        <f>$C169*CM168</f>
        <v/>
      </c>
      <c r="CN169">
        <f>$C169*CN168</f>
        <v/>
      </c>
      <c r="CO169">
        <f>$C169*CO168</f>
        <v/>
      </c>
      <c r="CP169">
        <f>$C169*CP168</f>
        <v/>
      </c>
      <c r="CQ169">
        <f>$C169*CQ168</f>
        <v/>
      </c>
      <c r="CR169">
        <f>$C169*CR168</f>
        <v/>
      </c>
      <c r="CS169">
        <f>$C169*CS168</f>
        <v/>
      </c>
      <c r="CT169">
        <f>$C169*CT168</f>
        <v/>
      </c>
      <c r="CU169">
        <f>$C169*CU168</f>
        <v/>
      </c>
      <c r="CV169">
        <f>$C169*CV168</f>
        <v/>
      </c>
      <c r="CW169">
        <f>$C169*CW168</f>
        <v/>
      </c>
      <c r="CX169">
        <f>$C169*CX168</f>
        <v/>
      </c>
      <c r="CY169">
        <f>$C169*CY168</f>
        <v/>
      </c>
      <c r="CZ169">
        <f>$C169*CZ168</f>
        <v/>
      </c>
      <c r="DA169">
        <f>$C169*DA168</f>
        <v/>
      </c>
      <c r="DB169">
        <f>$C169*DB168</f>
        <v/>
      </c>
      <c r="DC169">
        <f>$C169*DC168</f>
        <v/>
      </c>
      <c r="DD169">
        <f>$C169*DD168</f>
        <v/>
      </c>
    </row>
    <row r="170">
      <c r="B170" s="4" t="inlineStr">
        <is>
          <t>合計使用量(kg)/週</t>
        </is>
      </c>
      <c r="D170" s="22">
        <f>IFERROR(INDEX(E170:DD170,$F$1),"")</f>
        <v/>
      </c>
      <c r="E170">
        <f>'Grid_Requirement'!B2</f>
        <v/>
      </c>
      <c r="F170">
        <f>'Grid_Requirement'!C2</f>
        <v/>
      </c>
      <c r="G170">
        <f>'Grid_Requirement'!D2</f>
        <v/>
      </c>
      <c r="H170">
        <f>'Grid_Requirement'!E2</f>
        <v/>
      </c>
      <c r="I170">
        <f>'Grid_Requirement'!F2</f>
        <v/>
      </c>
      <c r="J170">
        <f>'Grid_Requirement'!G2</f>
        <v/>
      </c>
      <c r="K170">
        <f>'Grid_Requirement'!H2</f>
        <v/>
      </c>
      <c r="L170">
        <f>'Grid_Requirement'!I2</f>
        <v/>
      </c>
      <c r="M170">
        <f>'Grid_Requirement'!J2</f>
        <v/>
      </c>
      <c r="N170">
        <f>'Grid_Requirement'!K2</f>
        <v/>
      </c>
      <c r="O170">
        <f>'Grid_Requirement'!L2</f>
        <v/>
      </c>
      <c r="P170">
        <f>'Grid_Requirement'!M2</f>
        <v/>
      </c>
      <c r="Q170">
        <f>'Grid_Requirement'!N2</f>
        <v/>
      </c>
      <c r="R170">
        <f>'Grid_Requirement'!O2</f>
        <v/>
      </c>
      <c r="S170">
        <f>'Grid_Requirement'!P2</f>
        <v/>
      </c>
      <c r="T170">
        <f>'Grid_Requirement'!Q2</f>
        <v/>
      </c>
      <c r="U170">
        <f>'Grid_Requirement'!R2</f>
        <v/>
      </c>
      <c r="V170">
        <f>'Grid_Requirement'!S2</f>
        <v/>
      </c>
      <c r="W170">
        <f>'Grid_Requirement'!T2</f>
        <v/>
      </c>
      <c r="X170">
        <f>'Grid_Requirement'!U2</f>
        <v/>
      </c>
      <c r="Y170">
        <f>'Grid_Requirement'!V2</f>
        <v/>
      </c>
      <c r="Z170">
        <f>'Grid_Requirement'!W2</f>
        <v/>
      </c>
      <c r="AA170">
        <f>'Grid_Requirement'!X2</f>
        <v/>
      </c>
      <c r="AB170">
        <f>'Grid_Requirement'!Y2</f>
        <v/>
      </c>
      <c r="AC170">
        <f>'Grid_Requirement'!Z2</f>
        <v/>
      </c>
      <c r="AD170">
        <f>'Grid_Requirement'!AA2</f>
        <v/>
      </c>
      <c r="AE170">
        <f>'Grid_Requirement'!AB2</f>
        <v/>
      </c>
      <c r="AF170">
        <f>'Grid_Requirement'!AC2</f>
        <v/>
      </c>
      <c r="AG170">
        <f>'Grid_Requirement'!AD2</f>
        <v/>
      </c>
      <c r="AH170">
        <f>'Grid_Requirement'!AE2</f>
        <v/>
      </c>
      <c r="AI170">
        <f>'Grid_Requirement'!AF2</f>
        <v/>
      </c>
      <c r="AJ170">
        <f>'Grid_Requirement'!AG2</f>
        <v/>
      </c>
      <c r="AK170">
        <f>'Grid_Requirement'!AH2</f>
        <v/>
      </c>
      <c r="AL170">
        <f>'Grid_Requirement'!AI2</f>
        <v/>
      </c>
      <c r="AM170">
        <f>'Grid_Requirement'!AJ2</f>
        <v/>
      </c>
      <c r="AN170">
        <f>'Grid_Requirement'!AK2</f>
        <v/>
      </c>
      <c r="AO170">
        <f>'Grid_Requirement'!AL2</f>
        <v/>
      </c>
      <c r="AP170">
        <f>'Grid_Requirement'!AM2</f>
        <v/>
      </c>
      <c r="AQ170">
        <f>'Grid_Requirement'!AN2</f>
        <v/>
      </c>
      <c r="AR170">
        <f>'Grid_Requirement'!AO2</f>
        <v/>
      </c>
      <c r="AS170">
        <f>'Grid_Requirement'!AP2</f>
        <v/>
      </c>
      <c r="AT170">
        <f>'Grid_Requirement'!AQ2</f>
        <v/>
      </c>
      <c r="AU170">
        <f>'Grid_Requirement'!AR2</f>
        <v/>
      </c>
      <c r="AV170">
        <f>'Grid_Requirement'!AS2</f>
        <v/>
      </c>
      <c r="AW170">
        <f>'Grid_Requirement'!AT2</f>
        <v/>
      </c>
      <c r="AX170">
        <f>'Grid_Requirement'!AU2</f>
        <v/>
      </c>
      <c r="AY170">
        <f>'Grid_Requirement'!AV2</f>
        <v/>
      </c>
      <c r="AZ170">
        <f>'Grid_Requirement'!AW2</f>
        <v/>
      </c>
      <c r="BA170">
        <f>'Grid_Requirement'!AX2</f>
        <v/>
      </c>
      <c r="BB170">
        <f>'Grid_Requirement'!AY2</f>
        <v/>
      </c>
      <c r="BC170">
        <f>'Grid_Requirement'!AZ2</f>
        <v/>
      </c>
      <c r="BD170">
        <f>'Grid_Requirement'!BA2</f>
        <v/>
      </c>
      <c r="BE170">
        <f>'Grid_Requirement'!BB2</f>
        <v/>
      </c>
      <c r="BF170">
        <f>'Grid_Requirement'!BC2</f>
        <v/>
      </c>
      <c r="BG170">
        <f>'Grid_Requirement'!BD2</f>
        <v/>
      </c>
      <c r="BH170">
        <f>'Grid_Requirement'!BE2</f>
        <v/>
      </c>
      <c r="BI170">
        <f>'Grid_Requirement'!BF2</f>
        <v/>
      </c>
      <c r="BJ170">
        <f>'Grid_Requirement'!BG2</f>
        <v/>
      </c>
      <c r="BK170">
        <f>'Grid_Requirement'!BH2</f>
        <v/>
      </c>
      <c r="BL170">
        <f>'Grid_Requirement'!BI2</f>
        <v/>
      </c>
      <c r="BM170">
        <f>'Grid_Requirement'!BJ2</f>
        <v/>
      </c>
      <c r="BN170">
        <f>'Grid_Requirement'!BK2</f>
        <v/>
      </c>
      <c r="BO170">
        <f>'Grid_Requirement'!BL2</f>
        <v/>
      </c>
      <c r="BP170">
        <f>'Grid_Requirement'!BM2</f>
        <v/>
      </c>
      <c r="BQ170">
        <f>'Grid_Requirement'!BN2</f>
        <v/>
      </c>
      <c r="BR170">
        <f>'Grid_Requirement'!BO2</f>
        <v/>
      </c>
      <c r="BS170">
        <f>'Grid_Requirement'!BP2</f>
        <v/>
      </c>
      <c r="BT170">
        <f>'Grid_Requirement'!BQ2</f>
        <v/>
      </c>
      <c r="BU170">
        <f>'Grid_Requirement'!BR2</f>
        <v/>
      </c>
      <c r="BV170">
        <f>'Grid_Requirement'!BS2</f>
        <v/>
      </c>
      <c r="BW170">
        <f>'Grid_Requirement'!BT2</f>
        <v/>
      </c>
      <c r="BX170">
        <f>'Grid_Requirement'!BU2</f>
        <v/>
      </c>
      <c r="BY170">
        <f>'Grid_Requirement'!BV2</f>
        <v/>
      </c>
      <c r="BZ170">
        <f>'Grid_Requirement'!BW2</f>
        <v/>
      </c>
      <c r="CA170">
        <f>'Grid_Requirement'!BX2</f>
        <v/>
      </c>
      <c r="CB170">
        <f>'Grid_Requirement'!BY2</f>
        <v/>
      </c>
      <c r="CC170">
        <f>'Grid_Requirement'!BZ2</f>
        <v/>
      </c>
      <c r="CD170">
        <f>'Grid_Requirement'!CA2</f>
        <v/>
      </c>
      <c r="CE170">
        <f>'Grid_Requirement'!CB2</f>
        <v/>
      </c>
      <c r="CF170">
        <f>'Grid_Requirement'!CC2</f>
        <v/>
      </c>
      <c r="CG170">
        <f>'Grid_Requirement'!CD2</f>
        <v/>
      </c>
      <c r="CH170">
        <f>'Grid_Requirement'!CE2</f>
        <v/>
      </c>
      <c r="CI170">
        <f>'Grid_Requirement'!CF2</f>
        <v/>
      </c>
      <c r="CJ170">
        <f>'Grid_Requirement'!CG2</f>
        <v/>
      </c>
      <c r="CK170">
        <f>'Grid_Requirement'!CH2</f>
        <v/>
      </c>
      <c r="CL170">
        <f>'Grid_Requirement'!CI2</f>
        <v/>
      </c>
      <c r="CM170">
        <f>'Grid_Requirement'!CJ2</f>
        <v/>
      </c>
      <c r="CN170">
        <f>'Grid_Requirement'!CK2</f>
        <v/>
      </c>
      <c r="CO170">
        <f>'Grid_Requirement'!CL2</f>
        <v/>
      </c>
      <c r="CP170">
        <f>'Grid_Requirement'!CM2</f>
        <v/>
      </c>
      <c r="CQ170">
        <f>'Grid_Requirement'!CN2</f>
        <v/>
      </c>
      <c r="CR170">
        <f>'Grid_Requirement'!CO2</f>
        <v/>
      </c>
      <c r="CS170">
        <f>'Grid_Requirement'!CP2</f>
        <v/>
      </c>
      <c r="CT170">
        <f>'Grid_Requirement'!CQ2</f>
        <v/>
      </c>
      <c r="CU170">
        <f>'Grid_Requirement'!CR2</f>
        <v/>
      </c>
      <c r="CV170">
        <f>'Grid_Requirement'!CS2</f>
        <v/>
      </c>
      <c r="CW170">
        <f>'Grid_Requirement'!CT2</f>
        <v/>
      </c>
      <c r="CX170">
        <f>'Grid_Requirement'!CU2</f>
        <v/>
      </c>
      <c r="CY170">
        <f>'Grid_Requirement'!CV2</f>
        <v/>
      </c>
      <c r="CZ170">
        <f>'Grid_Requirement'!CW2</f>
        <v/>
      </c>
      <c r="DA170">
        <f>'Grid_Requirement'!CX2</f>
        <v/>
      </c>
      <c r="DB170">
        <f>'Grid_Requirement'!CY2</f>
        <v/>
      </c>
      <c r="DC170">
        <f>'Grid_Requirement'!CZ2</f>
        <v/>
      </c>
      <c r="DD170">
        <f>'Grid_Requirement'!DA2</f>
        <v/>
      </c>
    </row>
    <row r="171">
      <c r="B171" s="23" t="inlineStr">
        <is>
          <t>（在庫・入荷予定はDashboard参照）</t>
        </is>
      </c>
    </row>
    <row r="173">
      <c r="A173" s="21" t="inlineStr">
        <is>
          <t>CHEM-1120</t>
        </is>
      </c>
      <c r="B173" s="21" t="inlineStr">
        <is>
          <t>Catapal D</t>
        </is>
      </c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  <c r="AA173" s="21" t="n"/>
      <c r="AB173" s="21" t="n"/>
      <c r="AC173" s="21" t="n"/>
      <c r="AD173" s="21" t="n"/>
      <c r="AE173" s="21" t="n"/>
      <c r="AF173" s="21" t="n"/>
      <c r="AG173" s="21" t="n"/>
      <c r="AH173" s="21" t="n"/>
      <c r="AI173" s="21" t="n"/>
      <c r="AJ173" s="21" t="n"/>
      <c r="AK173" s="21" t="n"/>
      <c r="AL173" s="21" t="n"/>
      <c r="AM173" s="21" t="n"/>
      <c r="AN173" s="21" t="n"/>
      <c r="AO173" s="21" t="n"/>
      <c r="AP173" s="21" t="n"/>
      <c r="AQ173" s="21" t="n"/>
      <c r="AR173" s="21" t="n"/>
      <c r="AS173" s="21" t="n"/>
      <c r="AT173" s="21" t="n"/>
      <c r="AU173" s="21" t="n"/>
      <c r="AV173" s="21" t="n"/>
      <c r="AW173" s="21" t="n"/>
      <c r="AX173" s="21" t="n"/>
      <c r="AY173" s="21" t="n"/>
      <c r="AZ173" s="21" t="n"/>
      <c r="BA173" s="21" t="n"/>
      <c r="BB173" s="21" t="n"/>
      <c r="BC173" s="21" t="n"/>
      <c r="BD173" s="21" t="n"/>
      <c r="BE173" s="21" t="n"/>
      <c r="BF173" s="21" t="n"/>
      <c r="BG173" s="21" t="n"/>
      <c r="BH173" s="21" t="n"/>
      <c r="BI173" s="21" t="n"/>
      <c r="BJ173" s="21" t="n"/>
      <c r="BK173" s="21" t="n"/>
      <c r="BL173" s="21" t="n"/>
      <c r="BM173" s="21" t="n"/>
      <c r="BN173" s="21" t="n"/>
      <c r="BO173" s="21" t="n"/>
      <c r="BP173" s="21" t="n"/>
      <c r="BQ173" s="21" t="n"/>
      <c r="BR173" s="21" t="n"/>
      <c r="BS173" s="21" t="n"/>
      <c r="BT173" s="21" t="n"/>
      <c r="BU173" s="21" t="n"/>
      <c r="BV173" s="21" t="n"/>
      <c r="BW173" s="21" t="n"/>
      <c r="BX173" s="21" t="n"/>
      <c r="BY173" s="21" t="n"/>
      <c r="BZ173" s="21" t="n"/>
      <c r="CA173" s="21" t="n"/>
      <c r="CB173" s="21" t="n"/>
      <c r="CC173" s="21" t="n"/>
      <c r="CD173" s="21" t="n"/>
      <c r="CE173" s="21" t="n"/>
      <c r="CF173" s="21" t="n"/>
      <c r="CG173" s="21" t="n"/>
      <c r="CH173" s="21" t="n"/>
      <c r="CI173" s="21" t="n"/>
      <c r="CJ173" s="21" t="n"/>
      <c r="CK173" s="21" t="n"/>
      <c r="CL173" s="21" t="n"/>
      <c r="CM173" s="21" t="n"/>
      <c r="CN173" s="21" t="n"/>
      <c r="CO173" s="21" t="n"/>
      <c r="CP173" s="21" t="n"/>
      <c r="CQ173" s="21" t="n"/>
      <c r="CR173" s="21" t="n"/>
      <c r="CS173" s="21" t="n"/>
      <c r="CT173" s="21" t="n"/>
      <c r="CU173" s="21" t="n"/>
      <c r="CV173" s="21" t="n"/>
      <c r="CW173" s="21" t="n"/>
      <c r="CX173" s="21" t="n"/>
      <c r="CY173" s="21" t="n"/>
      <c r="CZ173" s="21" t="n"/>
      <c r="DA173" s="21" t="n"/>
      <c r="DB173" s="21" t="n"/>
      <c r="DC173" s="21" t="n"/>
      <c r="DD173" s="21" t="n"/>
    </row>
    <row r="174">
      <c r="B174" t="inlineStr">
        <is>
          <t>TSP-049</t>
        </is>
      </c>
      <c r="C174" t="inlineStr">
        <is>
          <t>No. of batches</t>
        </is>
      </c>
      <c r="D174">
        <f>IFERROR(INDEX(E174:DD174,$F$1),"")</f>
        <v/>
      </c>
      <c r="E174">
        <f>IFERROR(INDEX(PP_Grid[#Data],$DE174,2),0)</f>
        <v/>
      </c>
      <c r="F174">
        <f>IFERROR(INDEX(PP_Grid[#Data],$DE174,3),0)</f>
        <v/>
      </c>
      <c r="G174">
        <f>IFERROR(INDEX(PP_Grid[#Data],$DE174,4),0)</f>
        <v/>
      </c>
      <c r="H174">
        <f>IFERROR(INDEX(PP_Grid[#Data],$DE174,5),0)</f>
        <v/>
      </c>
      <c r="I174">
        <f>IFERROR(INDEX(PP_Grid[#Data],$DE174,6),0)</f>
        <v/>
      </c>
      <c r="J174">
        <f>IFERROR(INDEX(PP_Grid[#Data],$DE174,7),0)</f>
        <v/>
      </c>
      <c r="K174">
        <f>IFERROR(INDEX(PP_Grid[#Data],$DE174,8),0)</f>
        <v/>
      </c>
      <c r="L174">
        <f>IFERROR(INDEX(PP_Grid[#Data],$DE174,9),0)</f>
        <v/>
      </c>
      <c r="M174">
        <f>IFERROR(INDEX(PP_Grid[#Data],$DE174,10),0)</f>
        <v/>
      </c>
      <c r="N174">
        <f>IFERROR(INDEX(PP_Grid[#Data],$DE174,11),0)</f>
        <v/>
      </c>
      <c r="O174">
        <f>IFERROR(INDEX(PP_Grid[#Data],$DE174,12),0)</f>
        <v/>
      </c>
      <c r="P174">
        <f>IFERROR(INDEX(PP_Grid[#Data],$DE174,13),0)</f>
        <v/>
      </c>
      <c r="Q174">
        <f>IFERROR(INDEX(PP_Grid[#Data],$DE174,14),0)</f>
        <v/>
      </c>
      <c r="R174">
        <f>IFERROR(INDEX(PP_Grid[#Data],$DE174,15),0)</f>
        <v/>
      </c>
      <c r="S174">
        <f>IFERROR(INDEX(PP_Grid[#Data],$DE174,16),0)</f>
        <v/>
      </c>
      <c r="T174">
        <f>IFERROR(INDEX(PP_Grid[#Data],$DE174,17),0)</f>
        <v/>
      </c>
      <c r="U174">
        <f>IFERROR(INDEX(PP_Grid[#Data],$DE174,18),0)</f>
        <v/>
      </c>
      <c r="V174">
        <f>IFERROR(INDEX(PP_Grid[#Data],$DE174,19),0)</f>
        <v/>
      </c>
      <c r="W174">
        <f>IFERROR(INDEX(PP_Grid[#Data],$DE174,20),0)</f>
        <v/>
      </c>
      <c r="X174">
        <f>IFERROR(INDEX(PP_Grid[#Data],$DE174,21),0)</f>
        <v/>
      </c>
      <c r="Y174">
        <f>IFERROR(INDEX(PP_Grid[#Data],$DE174,22),0)</f>
        <v/>
      </c>
      <c r="Z174">
        <f>IFERROR(INDEX(PP_Grid[#Data],$DE174,23),0)</f>
        <v/>
      </c>
      <c r="AA174">
        <f>IFERROR(INDEX(PP_Grid[#Data],$DE174,24),0)</f>
        <v/>
      </c>
      <c r="AB174">
        <f>IFERROR(INDEX(PP_Grid[#Data],$DE174,25),0)</f>
        <v/>
      </c>
      <c r="AC174">
        <f>IFERROR(INDEX(PP_Grid[#Data],$DE174,26),0)</f>
        <v/>
      </c>
      <c r="AD174">
        <f>IFERROR(INDEX(PP_Grid[#Data],$DE174,27),0)</f>
        <v/>
      </c>
      <c r="AE174">
        <f>IFERROR(INDEX(PP_Grid[#Data],$DE174,28),0)</f>
        <v/>
      </c>
      <c r="AF174">
        <f>IFERROR(INDEX(PP_Grid[#Data],$DE174,29),0)</f>
        <v/>
      </c>
      <c r="AG174">
        <f>IFERROR(INDEX(PP_Grid[#Data],$DE174,30),0)</f>
        <v/>
      </c>
      <c r="AH174">
        <f>IFERROR(INDEX(PP_Grid[#Data],$DE174,31),0)</f>
        <v/>
      </c>
      <c r="AI174">
        <f>IFERROR(INDEX(PP_Grid[#Data],$DE174,32),0)</f>
        <v/>
      </c>
      <c r="AJ174">
        <f>IFERROR(INDEX(PP_Grid[#Data],$DE174,33),0)</f>
        <v/>
      </c>
      <c r="AK174">
        <f>IFERROR(INDEX(PP_Grid[#Data],$DE174,34),0)</f>
        <v/>
      </c>
      <c r="AL174">
        <f>IFERROR(INDEX(PP_Grid[#Data],$DE174,35),0)</f>
        <v/>
      </c>
      <c r="AM174">
        <f>IFERROR(INDEX(PP_Grid[#Data],$DE174,36),0)</f>
        <v/>
      </c>
      <c r="AN174">
        <f>IFERROR(INDEX(PP_Grid[#Data],$DE174,37),0)</f>
        <v/>
      </c>
      <c r="AO174">
        <f>IFERROR(INDEX(PP_Grid[#Data],$DE174,38),0)</f>
        <v/>
      </c>
      <c r="AP174">
        <f>IFERROR(INDEX(PP_Grid[#Data],$DE174,39),0)</f>
        <v/>
      </c>
      <c r="AQ174">
        <f>IFERROR(INDEX(PP_Grid[#Data],$DE174,40),0)</f>
        <v/>
      </c>
      <c r="AR174">
        <f>IFERROR(INDEX(PP_Grid[#Data],$DE174,41),0)</f>
        <v/>
      </c>
      <c r="AS174">
        <f>IFERROR(INDEX(PP_Grid[#Data],$DE174,42),0)</f>
        <v/>
      </c>
      <c r="AT174">
        <f>IFERROR(INDEX(PP_Grid[#Data],$DE174,43),0)</f>
        <v/>
      </c>
      <c r="AU174">
        <f>IFERROR(INDEX(PP_Grid[#Data],$DE174,44),0)</f>
        <v/>
      </c>
      <c r="AV174">
        <f>IFERROR(INDEX(PP_Grid[#Data],$DE174,45),0)</f>
        <v/>
      </c>
      <c r="AW174">
        <f>IFERROR(INDEX(PP_Grid[#Data],$DE174,46),0)</f>
        <v/>
      </c>
      <c r="AX174">
        <f>IFERROR(INDEX(PP_Grid[#Data],$DE174,47),0)</f>
        <v/>
      </c>
      <c r="AY174">
        <f>IFERROR(INDEX(PP_Grid[#Data],$DE174,48),0)</f>
        <v/>
      </c>
      <c r="AZ174">
        <f>IFERROR(INDEX(PP_Grid[#Data],$DE174,49),0)</f>
        <v/>
      </c>
      <c r="BA174">
        <f>IFERROR(INDEX(PP_Grid[#Data],$DE174,50),0)</f>
        <v/>
      </c>
      <c r="BB174">
        <f>IFERROR(INDEX(PP_Grid[#Data],$DE174,51),0)</f>
        <v/>
      </c>
      <c r="BC174">
        <f>IFERROR(INDEX(PP_Grid[#Data],$DE174,52),0)</f>
        <v/>
      </c>
      <c r="BD174">
        <f>IFERROR(INDEX(PP_Grid[#Data],$DE174,53),0)</f>
        <v/>
      </c>
      <c r="BE174">
        <f>IFERROR(INDEX(PP_Grid[#Data],$DE174,54),0)</f>
        <v/>
      </c>
      <c r="BF174">
        <f>IFERROR(INDEX(PP_Grid[#Data],$DE174,55),0)</f>
        <v/>
      </c>
      <c r="BG174">
        <f>IFERROR(INDEX(PP_Grid[#Data],$DE174,56),0)</f>
        <v/>
      </c>
      <c r="BH174">
        <f>IFERROR(INDEX(PP_Grid[#Data],$DE174,57),0)</f>
        <v/>
      </c>
      <c r="BI174">
        <f>IFERROR(INDEX(PP_Grid[#Data],$DE174,58),0)</f>
        <v/>
      </c>
      <c r="BJ174">
        <f>IFERROR(INDEX(PP_Grid[#Data],$DE174,59),0)</f>
        <v/>
      </c>
      <c r="BK174">
        <f>IFERROR(INDEX(PP_Grid[#Data],$DE174,60),0)</f>
        <v/>
      </c>
      <c r="BL174">
        <f>IFERROR(INDEX(PP_Grid[#Data],$DE174,61),0)</f>
        <v/>
      </c>
      <c r="BM174">
        <f>IFERROR(INDEX(PP_Grid[#Data],$DE174,62),0)</f>
        <v/>
      </c>
      <c r="BN174">
        <f>IFERROR(INDEX(PP_Grid[#Data],$DE174,63),0)</f>
        <v/>
      </c>
      <c r="BO174">
        <f>IFERROR(INDEX(PP_Grid[#Data],$DE174,64),0)</f>
        <v/>
      </c>
      <c r="BP174">
        <f>IFERROR(INDEX(PP_Grid[#Data],$DE174,65),0)</f>
        <v/>
      </c>
      <c r="BQ174">
        <f>IFERROR(INDEX(PP_Grid[#Data],$DE174,66),0)</f>
        <v/>
      </c>
      <c r="BR174">
        <f>IFERROR(INDEX(PP_Grid[#Data],$DE174,67),0)</f>
        <v/>
      </c>
      <c r="BS174">
        <f>IFERROR(INDEX(PP_Grid[#Data],$DE174,68),0)</f>
        <v/>
      </c>
      <c r="BT174">
        <f>IFERROR(INDEX(PP_Grid[#Data],$DE174,69),0)</f>
        <v/>
      </c>
      <c r="BU174">
        <f>IFERROR(INDEX(PP_Grid[#Data],$DE174,70),0)</f>
        <v/>
      </c>
      <c r="BV174">
        <f>IFERROR(INDEX(PP_Grid[#Data],$DE174,71),0)</f>
        <v/>
      </c>
      <c r="BW174">
        <f>IFERROR(INDEX(PP_Grid[#Data],$DE174,72),0)</f>
        <v/>
      </c>
      <c r="BX174">
        <f>IFERROR(INDEX(PP_Grid[#Data],$DE174,73),0)</f>
        <v/>
      </c>
      <c r="BY174">
        <f>IFERROR(INDEX(PP_Grid[#Data],$DE174,74),0)</f>
        <v/>
      </c>
      <c r="BZ174">
        <f>IFERROR(INDEX(PP_Grid[#Data],$DE174,75),0)</f>
        <v/>
      </c>
      <c r="CA174">
        <f>IFERROR(INDEX(PP_Grid[#Data],$DE174,76),0)</f>
        <v/>
      </c>
      <c r="CB174">
        <f>IFERROR(INDEX(PP_Grid[#Data],$DE174,77),0)</f>
        <v/>
      </c>
      <c r="CC174">
        <f>IFERROR(INDEX(PP_Grid[#Data],$DE174,78),0)</f>
        <v/>
      </c>
      <c r="CD174">
        <f>IFERROR(INDEX(PP_Grid[#Data],$DE174,79),0)</f>
        <v/>
      </c>
      <c r="CE174">
        <f>IFERROR(INDEX(PP_Grid[#Data],$DE174,80),0)</f>
        <v/>
      </c>
      <c r="CF174">
        <f>IFERROR(INDEX(PP_Grid[#Data],$DE174,81),0)</f>
        <v/>
      </c>
      <c r="CG174">
        <f>IFERROR(INDEX(PP_Grid[#Data],$DE174,82),0)</f>
        <v/>
      </c>
      <c r="CH174">
        <f>IFERROR(INDEX(PP_Grid[#Data],$DE174,83),0)</f>
        <v/>
      </c>
      <c r="CI174">
        <f>IFERROR(INDEX(PP_Grid[#Data],$DE174,84),0)</f>
        <v/>
      </c>
      <c r="CJ174">
        <f>IFERROR(INDEX(PP_Grid[#Data],$DE174,85),0)</f>
        <v/>
      </c>
      <c r="CK174">
        <f>IFERROR(INDEX(PP_Grid[#Data],$DE174,86),0)</f>
        <v/>
      </c>
      <c r="CL174">
        <f>IFERROR(INDEX(PP_Grid[#Data],$DE174,87),0)</f>
        <v/>
      </c>
      <c r="CM174">
        <f>IFERROR(INDEX(PP_Grid[#Data],$DE174,88),0)</f>
        <v/>
      </c>
      <c r="CN174">
        <f>IFERROR(INDEX(PP_Grid[#Data],$DE174,89),0)</f>
        <v/>
      </c>
      <c r="CO174">
        <f>IFERROR(INDEX(PP_Grid[#Data],$DE174,90),0)</f>
        <v/>
      </c>
      <c r="CP174">
        <f>IFERROR(INDEX(PP_Grid[#Data],$DE174,91),0)</f>
        <v/>
      </c>
      <c r="CQ174">
        <f>IFERROR(INDEX(PP_Grid[#Data],$DE174,92),0)</f>
        <v/>
      </c>
      <c r="CR174">
        <f>IFERROR(INDEX(PP_Grid[#Data],$DE174,93),0)</f>
        <v/>
      </c>
      <c r="CS174">
        <f>IFERROR(INDEX(PP_Grid[#Data],$DE174,94),0)</f>
        <v/>
      </c>
      <c r="CT174">
        <f>IFERROR(INDEX(PP_Grid[#Data],$DE174,95),0)</f>
        <v/>
      </c>
      <c r="CU174">
        <f>IFERROR(INDEX(PP_Grid[#Data],$DE174,96),0)</f>
        <v/>
      </c>
      <c r="CV174">
        <f>IFERROR(INDEX(PP_Grid[#Data],$DE174,97),0)</f>
        <v/>
      </c>
      <c r="CW174">
        <f>IFERROR(INDEX(PP_Grid[#Data],$DE174,98),0)</f>
        <v/>
      </c>
      <c r="CX174">
        <f>IFERROR(INDEX(PP_Grid[#Data],$DE174,99),0)</f>
        <v/>
      </c>
      <c r="CY174">
        <f>IFERROR(INDEX(PP_Grid[#Data],$DE174,100),0)</f>
        <v/>
      </c>
      <c r="CZ174">
        <f>IFERROR(INDEX(PP_Grid[#Data],$DE174,101),0)</f>
        <v/>
      </c>
      <c r="DA174">
        <f>IFERROR(INDEX(PP_Grid[#Data],$DE174,102),0)</f>
        <v/>
      </c>
      <c r="DB174">
        <f>IFERROR(INDEX(PP_Grid[#Data],$DE174,103),0)</f>
        <v/>
      </c>
      <c r="DC174">
        <f>IFERROR(INDEX(PP_Grid[#Data],$DE174,104),0)</f>
        <v/>
      </c>
      <c r="DD174">
        <f>IFERROR(INDEX(PP_Grid[#Data],$DE174,105),0)</f>
        <v/>
      </c>
      <c r="DE174" s="7">
        <f>IFERROR(MATCH($B174,PP_Grid[Intermediate],0),99999)</f>
        <v/>
      </c>
    </row>
    <row r="175">
      <c r="B175" t="inlineStr">
        <is>
          <t>使用量(kg)</t>
        </is>
      </c>
      <c r="C175">
        <f>SUMIFS(M_BOM[RM_Qty_Per_Batch],M_BOM[Intermediate],$B174,M_BOM[RM_Code],$A173)</f>
        <v/>
      </c>
      <c r="D175">
        <f>IFERROR(INDEX(E175:DD175,$F$1),"")</f>
        <v/>
      </c>
      <c r="E175">
        <f>$C175*E174</f>
        <v/>
      </c>
      <c r="F175">
        <f>$C175*F174</f>
        <v/>
      </c>
      <c r="G175">
        <f>$C175*G174</f>
        <v/>
      </c>
      <c r="H175">
        <f>$C175*H174</f>
        <v/>
      </c>
      <c r="I175">
        <f>$C175*I174</f>
        <v/>
      </c>
      <c r="J175">
        <f>$C175*J174</f>
        <v/>
      </c>
      <c r="K175">
        <f>$C175*K174</f>
        <v/>
      </c>
      <c r="L175">
        <f>$C175*L174</f>
        <v/>
      </c>
      <c r="M175">
        <f>$C175*M174</f>
        <v/>
      </c>
      <c r="N175">
        <f>$C175*N174</f>
        <v/>
      </c>
      <c r="O175">
        <f>$C175*O174</f>
        <v/>
      </c>
      <c r="P175">
        <f>$C175*P174</f>
        <v/>
      </c>
      <c r="Q175">
        <f>$C175*Q174</f>
        <v/>
      </c>
      <c r="R175">
        <f>$C175*R174</f>
        <v/>
      </c>
      <c r="S175">
        <f>$C175*S174</f>
        <v/>
      </c>
      <c r="T175">
        <f>$C175*T174</f>
        <v/>
      </c>
      <c r="U175">
        <f>$C175*U174</f>
        <v/>
      </c>
      <c r="V175">
        <f>$C175*V174</f>
        <v/>
      </c>
      <c r="W175">
        <f>$C175*W174</f>
        <v/>
      </c>
      <c r="X175">
        <f>$C175*X174</f>
        <v/>
      </c>
      <c r="Y175">
        <f>$C175*Y174</f>
        <v/>
      </c>
      <c r="Z175">
        <f>$C175*Z174</f>
        <v/>
      </c>
      <c r="AA175">
        <f>$C175*AA174</f>
        <v/>
      </c>
      <c r="AB175">
        <f>$C175*AB174</f>
        <v/>
      </c>
      <c r="AC175">
        <f>$C175*AC174</f>
        <v/>
      </c>
      <c r="AD175">
        <f>$C175*AD174</f>
        <v/>
      </c>
      <c r="AE175">
        <f>$C175*AE174</f>
        <v/>
      </c>
      <c r="AF175">
        <f>$C175*AF174</f>
        <v/>
      </c>
      <c r="AG175">
        <f>$C175*AG174</f>
        <v/>
      </c>
      <c r="AH175">
        <f>$C175*AH174</f>
        <v/>
      </c>
      <c r="AI175">
        <f>$C175*AI174</f>
        <v/>
      </c>
      <c r="AJ175">
        <f>$C175*AJ174</f>
        <v/>
      </c>
      <c r="AK175">
        <f>$C175*AK174</f>
        <v/>
      </c>
      <c r="AL175">
        <f>$C175*AL174</f>
        <v/>
      </c>
      <c r="AM175">
        <f>$C175*AM174</f>
        <v/>
      </c>
      <c r="AN175">
        <f>$C175*AN174</f>
        <v/>
      </c>
      <c r="AO175">
        <f>$C175*AO174</f>
        <v/>
      </c>
      <c r="AP175">
        <f>$C175*AP174</f>
        <v/>
      </c>
      <c r="AQ175">
        <f>$C175*AQ174</f>
        <v/>
      </c>
      <c r="AR175">
        <f>$C175*AR174</f>
        <v/>
      </c>
      <c r="AS175">
        <f>$C175*AS174</f>
        <v/>
      </c>
      <c r="AT175">
        <f>$C175*AT174</f>
        <v/>
      </c>
      <c r="AU175">
        <f>$C175*AU174</f>
        <v/>
      </c>
      <c r="AV175">
        <f>$C175*AV174</f>
        <v/>
      </c>
      <c r="AW175">
        <f>$C175*AW174</f>
        <v/>
      </c>
      <c r="AX175">
        <f>$C175*AX174</f>
        <v/>
      </c>
      <c r="AY175">
        <f>$C175*AY174</f>
        <v/>
      </c>
      <c r="AZ175">
        <f>$C175*AZ174</f>
        <v/>
      </c>
      <c r="BA175">
        <f>$C175*BA174</f>
        <v/>
      </c>
      <c r="BB175">
        <f>$C175*BB174</f>
        <v/>
      </c>
      <c r="BC175">
        <f>$C175*BC174</f>
        <v/>
      </c>
      <c r="BD175">
        <f>$C175*BD174</f>
        <v/>
      </c>
      <c r="BE175">
        <f>$C175*BE174</f>
        <v/>
      </c>
      <c r="BF175">
        <f>$C175*BF174</f>
        <v/>
      </c>
      <c r="BG175">
        <f>$C175*BG174</f>
        <v/>
      </c>
      <c r="BH175">
        <f>$C175*BH174</f>
        <v/>
      </c>
      <c r="BI175">
        <f>$C175*BI174</f>
        <v/>
      </c>
      <c r="BJ175">
        <f>$C175*BJ174</f>
        <v/>
      </c>
      <c r="BK175">
        <f>$C175*BK174</f>
        <v/>
      </c>
      <c r="BL175">
        <f>$C175*BL174</f>
        <v/>
      </c>
      <c r="BM175">
        <f>$C175*BM174</f>
        <v/>
      </c>
      <c r="BN175">
        <f>$C175*BN174</f>
        <v/>
      </c>
      <c r="BO175">
        <f>$C175*BO174</f>
        <v/>
      </c>
      <c r="BP175">
        <f>$C175*BP174</f>
        <v/>
      </c>
      <c r="BQ175">
        <f>$C175*BQ174</f>
        <v/>
      </c>
      <c r="BR175">
        <f>$C175*BR174</f>
        <v/>
      </c>
      <c r="BS175">
        <f>$C175*BS174</f>
        <v/>
      </c>
      <c r="BT175">
        <f>$C175*BT174</f>
        <v/>
      </c>
      <c r="BU175">
        <f>$C175*BU174</f>
        <v/>
      </c>
      <c r="BV175">
        <f>$C175*BV174</f>
        <v/>
      </c>
      <c r="BW175">
        <f>$C175*BW174</f>
        <v/>
      </c>
      <c r="BX175">
        <f>$C175*BX174</f>
        <v/>
      </c>
      <c r="BY175">
        <f>$C175*BY174</f>
        <v/>
      </c>
      <c r="BZ175">
        <f>$C175*BZ174</f>
        <v/>
      </c>
      <c r="CA175">
        <f>$C175*CA174</f>
        <v/>
      </c>
      <c r="CB175">
        <f>$C175*CB174</f>
        <v/>
      </c>
      <c r="CC175">
        <f>$C175*CC174</f>
        <v/>
      </c>
      <c r="CD175">
        <f>$C175*CD174</f>
        <v/>
      </c>
      <c r="CE175">
        <f>$C175*CE174</f>
        <v/>
      </c>
      <c r="CF175">
        <f>$C175*CF174</f>
        <v/>
      </c>
      <c r="CG175">
        <f>$C175*CG174</f>
        <v/>
      </c>
      <c r="CH175">
        <f>$C175*CH174</f>
        <v/>
      </c>
      <c r="CI175">
        <f>$C175*CI174</f>
        <v/>
      </c>
      <c r="CJ175">
        <f>$C175*CJ174</f>
        <v/>
      </c>
      <c r="CK175">
        <f>$C175*CK174</f>
        <v/>
      </c>
      <c r="CL175">
        <f>$C175*CL174</f>
        <v/>
      </c>
      <c r="CM175">
        <f>$C175*CM174</f>
        <v/>
      </c>
      <c r="CN175">
        <f>$C175*CN174</f>
        <v/>
      </c>
      <c r="CO175">
        <f>$C175*CO174</f>
        <v/>
      </c>
      <c r="CP175">
        <f>$C175*CP174</f>
        <v/>
      </c>
      <c r="CQ175">
        <f>$C175*CQ174</f>
        <v/>
      </c>
      <c r="CR175">
        <f>$C175*CR174</f>
        <v/>
      </c>
      <c r="CS175">
        <f>$C175*CS174</f>
        <v/>
      </c>
      <c r="CT175">
        <f>$C175*CT174</f>
        <v/>
      </c>
      <c r="CU175">
        <f>$C175*CU174</f>
        <v/>
      </c>
      <c r="CV175">
        <f>$C175*CV174</f>
        <v/>
      </c>
      <c r="CW175">
        <f>$C175*CW174</f>
        <v/>
      </c>
      <c r="CX175">
        <f>$C175*CX174</f>
        <v/>
      </c>
      <c r="CY175">
        <f>$C175*CY174</f>
        <v/>
      </c>
      <c r="CZ175">
        <f>$C175*CZ174</f>
        <v/>
      </c>
      <c r="DA175">
        <f>$C175*DA174</f>
        <v/>
      </c>
      <c r="DB175">
        <f>$C175*DB174</f>
        <v/>
      </c>
      <c r="DC175">
        <f>$C175*DC174</f>
        <v/>
      </c>
      <c r="DD175">
        <f>$C175*DD174</f>
        <v/>
      </c>
    </row>
    <row r="176">
      <c r="B176" t="inlineStr">
        <is>
          <t>TSP-067</t>
        </is>
      </c>
      <c r="C176" t="inlineStr">
        <is>
          <t>No. of batches</t>
        </is>
      </c>
      <c r="D176">
        <f>IFERROR(INDEX(E176:DD176,$F$1),"")</f>
        <v/>
      </c>
      <c r="E176">
        <f>IFERROR(INDEX(PP_Grid[#Data],$DE176,2),0)</f>
        <v/>
      </c>
      <c r="F176">
        <f>IFERROR(INDEX(PP_Grid[#Data],$DE176,3),0)</f>
        <v/>
      </c>
      <c r="G176">
        <f>IFERROR(INDEX(PP_Grid[#Data],$DE176,4),0)</f>
        <v/>
      </c>
      <c r="H176">
        <f>IFERROR(INDEX(PP_Grid[#Data],$DE176,5),0)</f>
        <v/>
      </c>
      <c r="I176">
        <f>IFERROR(INDEX(PP_Grid[#Data],$DE176,6),0)</f>
        <v/>
      </c>
      <c r="J176">
        <f>IFERROR(INDEX(PP_Grid[#Data],$DE176,7),0)</f>
        <v/>
      </c>
      <c r="K176">
        <f>IFERROR(INDEX(PP_Grid[#Data],$DE176,8),0)</f>
        <v/>
      </c>
      <c r="L176">
        <f>IFERROR(INDEX(PP_Grid[#Data],$DE176,9),0)</f>
        <v/>
      </c>
      <c r="M176">
        <f>IFERROR(INDEX(PP_Grid[#Data],$DE176,10),0)</f>
        <v/>
      </c>
      <c r="N176">
        <f>IFERROR(INDEX(PP_Grid[#Data],$DE176,11),0)</f>
        <v/>
      </c>
      <c r="O176">
        <f>IFERROR(INDEX(PP_Grid[#Data],$DE176,12),0)</f>
        <v/>
      </c>
      <c r="P176">
        <f>IFERROR(INDEX(PP_Grid[#Data],$DE176,13),0)</f>
        <v/>
      </c>
      <c r="Q176">
        <f>IFERROR(INDEX(PP_Grid[#Data],$DE176,14),0)</f>
        <v/>
      </c>
      <c r="R176">
        <f>IFERROR(INDEX(PP_Grid[#Data],$DE176,15),0)</f>
        <v/>
      </c>
      <c r="S176">
        <f>IFERROR(INDEX(PP_Grid[#Data],$DE176,16),0)</f>
        <v/>
      </c>
      <c r="T176">
        <f>IFERROR(INDEX(PP_Grid[#Data],$DE176,17),0)</f>
        <v/>
      </c>
      <c r="U176">
        <f>IFERROR(INDEX(PP_Grid[#Data],$DE176,18),0)</f>
        <v/>
      </c>
      <c r="V176">
        <f>IFERROR(INDEX(PP_Grid[#Data],$DE176,19),0)</f>
        <v/>
      </c>
      <c r="W176">
        <f>IFERROR(INDEX(PP_Grid[#Data],$DE176,20),0)</f>
        <v/>
      </c>
      <c r="X176">
        <f>IFERROR(INDEX(PP_Grid[#Data],$DE176,21),0)</f>
        <v/>
      </c>
      <c r="Y176">
        <f>IFERROR(INDEX(PP_Grid[#Data],$DE176,22),0)</f>
        <v/>
      </c>
      <c r="Z176">
        <f>IFERROR(INDEX(PP_Grid[#Data],$DE176,23),0)</f>
        <v/>
      </c>
      <c r="AA176">
        <f>IFERROR(INDEX(PP_Grid[#Data],$DE176,24),0)</f>
        <v/>
      </c>
      <c r="AB176">
        <f>IFERROR(INDEX(PP_Grid[#Data],$DE176,25),0)</f>
        <v/>
      </c>
      <c r="AC176">
        <f>IFERROR(INDEX(PP_Grid[#Data],$DE176,26),0)</f>
        <v/>
      </c>
      <c r="AD176">
        <f>IFERROR(INDEX(PP_Grid[#Data],$DE176,27),0)</f>
        <v/>
      </c>
      <c r="AE176">
        <f>IFERROR(INDEX(PP_Grid[#Data],$DE176,28),0)</f>
        <v/>
      </c>
      <c r="AF176">
        <f>IFERROR(INDEX(PP_Grid[#Data],$DE176,29),0)</f>
        <v/>
      </c>
      <c r="AG176">
        <f>IFERROR(INDEX(PP_Grid[#Data],$DE176,30),0)</f>
        <v/>
      </c>
      <c r="AH176">
        <f>IFERROR(INDEX(PP_Grid[#Data],$DE176,31),0)</f>
        <v/>
      </c>
      <c r="AI176">
        <f>IFERROR(INDEX(PP_Grid[#Data],$DE176,32),0)</f>
        <v/>
      </c>
      <c r="AJ176">
        <f>IFERROR(INDEX(PP_Grid[#Data],$DE176,33),0)</f>
        <v/>
      </c>
      <c r="AK176">
        <f>IFERROR(INDEX(PP_Grid[#Data],$DE176,34),0)</f>
        <v/>
      </c>
      <c r="AL176">
        <f>IFERROR(INDEX(PP_Grid[#Data],$DE176,35),0)</f>
        <v/>
      </c>
      <c r="AM176">
        <f>IFERROR(INDEX(PP_Grid[#Data],$DE176,36),0)</f>
        <v/>
      </c>
      <c r="AN176">
        <f>IFERROR(INDEX(PP_Grid[#Data],$DE176,37),0)</f>
        <v/>
      </c>
      <c r="AO176">
        <f>IFERROR(INDEX(PP_Grid[#Data],$DE176,38),0)</f>
        <v/>
      </c>
      <c r="AP176">
        <f>IFERROR(INDEX(PP_Grid[#Data],$DE176,39),0)</f>
        <v/>
      </c>
      <c r="AQ176">
        <f>IFERROR(INDEX(PP_Grid[#Data],$DE176,40),0)</f>
        <v/>
      </c>
      <c r="AR176">
        <f>IFERROR(INDEX(PP_Grid[#Data],$DE176,41),0)</f>
        <v/>
      </c>
      <c r="AS176">
        <f>IFERROR(INDEX(PP_Grid[#Data],$DE176,42),0)</f>
        <v/>
      </c>
      <c r="AT176">
        <f>IFERROR(INDEX(PP_Grid[#Data],$DE176,43),0)</f>
        <v/>
      </c>
      <c r="AU176">
        <f>IFERROR(INDEX(PP_Grid[#Data],$DE176,44),0)</f>
        <v/>
      </c>
      <c r="AV176">
        <f>IFERROR(INDEX(PP_Grid[#Data],$DE176,45),0)</f>
        <v/>
      </c>
      <c r="AW176">
        <f>IFERROR(INDEX(PP_Grid[#Data],$DE176,46),0)</f>
        <v/>
      </c>
      <c r="AX176">
        <f>IFERROR(INDEX(PP_Grid[#Data],$DE176,47),0)</f>
        <v/>
      </c>
      <c r="AY176">
        <f>IFERROR(INDEX(PP_Grid[#Data],$DE176,48),0)</f>
        <v/>
      </c>
      <c r="AZ176">
        <f>IFERROR(INDEX(PP_Grid[#Data],$DE176,49),0)</f>
        <v/>
      </c>
      <c r="BA176">
        <f>IFERROR(INDEX(PP_Grid[#Data],$DE176,50),0)</f>
        <v/>
      </c>
      <c r="BB176">
        <f>IFERROR(INDEX(PP_Grid[#Data],$DE176,51),0)</f>
        <v/>
      </c>
      <c r="BC176">
        <f>IFERROR(INDEX(PP_Grid[#Data],$DE176,52),0)</f>
        <v/>
      </c>
      <c r="BD176">
        <f>IFERROR(INDEX(PP_Grid[#Data],$DE176,53),0)</f>
        <v/>
      </c>
      <c r="BE176">
        <f>IFERROR(INDEX(PP_Grid[#Data],$DE176,54),0)</f>
        <v/>
      </c>
      <c r="BF176">
        <f>IFERROR(INDEX(PP_Grid[#Data],$DE176,55),0)</f>
        <v/>
      </c>
      <c r="BG176">
        <f>IFERROR(INDEX(PP_Grid[#Data],$DE176,56),0)</f>
        <v/>
      </c>
      <c r="BH176">
        <f>IFERROR(INDEX(PP_Grid[#Data],$DE176,57),0)</f>
        <v/>
      </c>
      <c r="BI176">
        <f>IFERROR(INDEX(PP_Grid[#Data],$DE176,58),0)</f>
        <v/>
      </c>
      <c r="BJ176">
        <f>IFERROR(INDEX(PP_Grid[#Data],$DE176,59),0)</f>
        <v/>
      </c>
      <c r="BK176">
        <f>IFERROR(INDEX(PP_Grid[#Data],$DE176,60),0)</f>
        <v/>
      </c>
      <c r="BL176">
        <f>IFERROR(INDEX(PP_Grid[#Data],$DE176,61),0)</f>
        <v/>
      </c>
      <c r="BM176">
        <f>IFERROR(INDEX(PP_Grid[#Data],$DE176,62),0)</f>
        <v/>
      </c>
      <c r="BN176">
        <f>IFERROR(INDEX(PP_Grid[#Data],$DE176,63),0)</f>
        <v/>
      </c>
      <c r="BO176">
        <f>IFERROR(INDEX(PP_Grid[#Data],$DE176,64),0)</f>
        <v/>
      </c>
      <c r="BP176">
        <f>IFERROR(INDEX(PP_Grid[#Data],$DE176,65),0)</f>
        <v/>
      </c>
      <c r="BQ176">
        <f>IFERROR(INDEX(PP_Grid[#Data],$DE176,66),0)</f>
        <v/>
      </c>
      <c r="BR176">
        <f>IFERROR(INDEX(PP_Grid[#Data],$DE176,67),0)</f>
        <v/>
      </c>
      <c r="BS176">
        <f>IFERROR(INDEX(PP_Grid[#Data],$DE176,68),0)</f>
        <v/>
      </c>
      <c r="BT176">
        <f>IFERROR(INDEX(PP_Grid[#Data],$DE176,69),0)</f>
        <v/>
      </c>
      <c r="BU176">
        <f>IFERROR(INDEX(PP_Grid[#Data],$DE176,70),0)</f>
        <v/>
      </c>
      <c r="BV176">
        <f>IFERROR(INDEX(PP_Grid[#Data],$DE176,71),0)</f>
        <v/>
      </c>
      <c r="BW176">
        <f>IFERROR(INDEX(PP_Grid[#Data],$DE176,72),0)</f>
        <v/>
      </c>
      <c r="BX176">
        <f>IFERROR(INDEX(PP_Grid[#Data],$DE176,73),0)</f>
        <v/>
      </c>
      <c r="BY176">
        <f>IFERROR(INDEX(PP_Grid[#Data],$DE176,74),0)</f>
        <v/>
      </c>
      <c r="BZ176">
        <f>IFERROR(INDEX(PP_Grid[#Data],$DE176,75),0)</f>
        <v/>
      </c>
      <c r="CA176">
        <f>IFERROR(INDEX(PP_Grid[#Data],$DE176,76),0)</f>
        <v/>
      </c>
      <c r="CB176">
        <f>IFERROR(INDEX(PP_Grid[#Data],$DE176,77),0)</f>
        <v/>
      </c>
      <c r="CC176">
        <f>IFERROR(INDEX(PP_Grid[#Data],$DE176,78),0)</f>
        <v/>
      </c>
      <c r="CD176">
        <f>IFERROR(INDEX(PP_Grid[#Data],$DE176,79),0)</f>
        <v/>
      </c>
      <c r="CE176">
        <f>IFERROR(INDEX(PP_Grid[#Data],$DE176,80),0)</f>
        <v/>
      </c>
      <c r="CF176">
        <f>IFERROR(INDEX(PP_Grid[#Data],$DE176,81),0)</f>
        <v/>
      </c>
      <c r="CG176">
        <f>IFERROR(INDEX(PP_Grid[#Data],$DE176,82),0)</f>
        <v/>
      </c>
      <c r="CH176">
        <f>IFERROR(INDEX(PP_Grid[#Data],$DE176,83),0)</f>
        <v/>
      </c>
      <c r="CI176">
        <f>IFERROR(INDEX(PP_Grid[#Data],$DE176,84),0)</f>
        <v/>
      </c>
      <c r="CJ176">
        <f>IFERROR(INDEX(PP_Grid[#Data],$DE176,85),0)</f>
        <v/>
      </c>
      <c r="CK176">
        <f>IFERROR(INDEX(PP_Grid[#Data],$DE176,86),0)</f>
        <v/>
      </c>
      <c r="CL176">
        <f>IFERROR(INDEX(PP_Grid[#Data],$DE176,87),0)</f>
        <v/>
      </c>
      <c r="CM176">
        <f>IFERROR(INDEX(PP_Grid[#Data],$DE176,88),0)</f>
        <v/>
      </c>
      <c r="CN176">
        <f>IFERROR(INDEX(PP_Grid[#Data],$DE176,89),0)</f>
        <v/>
      </c>
      <c r="CO176">
        <f>IFERROR(INDEX(PP_Grid[#Data],$DE176,90),0)</f>
        <v/>
      </c>
      <c r="CP176">
        <f>IFERROR(INDEX(PP_Grid[#Data],$DE176,91),0)</f>
        <v/>
      </c>
      <c r="CQ176">
        <f>IFERROR(INDEX(PP_Grid[#Data],$DE176,92),0)</f>
        <v/>
      </c>
      <c r="CR176">
        <f>IFERROR(INDEX(PP_Grid[#Data],$DE176,93),0)</f>
        <v/>
      </c>
      <c r="CS176">
        <f>IFERROR(INDEX(PP_Grid[#Data],$DE176,94),0)</f>
        <v/>
      </c>
      <c r="CT176">
        <f>IFERROR(INDEX(PP_Grid[#Data],$DE176,95),0)</f>
        <v/>
      </c>
      <c r="CU176">
        <f>IFERROR(INDEX(PP_Grid[#Data],$DE176,96),0)</f>
        <v/>
      </c>
      <c r="CV176">
        <f>IFERROR(INDEX(PP_Grid[#Data],$DE176,97),0)</f>
        <v/>
      </c>
      <c r="CW176">
        <f>IFERROR(INDEX(PP_Grid[#Data],$DE176,98),0)</f>
        <v/>
      </c>
      <c r="CX176">
        <f>IFERROR(INDEX(PP_Grid[#Data],$DE176,99),0)</f>
        <v/>
      </c>
      <c r="CY176">
        <f>IFERROR(INDEX(PP_Grid[#Data],$DE176,100),0)</f>
        <v/>
      </c>
      <c r="CZ176">
        <f>IFERROR(INDEX(PP_Grid[#Data],$DE176,101),0)</f>
        <v/>
      </c>
      <c r="DA176">
        <f>IFERROR(INDEX(PP_Grid[#Data],$DE176,102),0)</f>
        <v/>
      </c>
      <c r="DB176">
        <f>IFERROR(INDEX(PP_Grid[#Data],$DE176,103),0)</f>
        <v/>
      </c>
      <c r="DC176">
        <f>IFERROR(INDEX(PP_Grid[#Data],$DE176,104),0)</f>
        <v/>
      </c>
      <c r="DD176">
        <f>IFERROR(INDEX(PP_Grid[#Data],$DE176,105),0)</f>
        <v/>
      </c>
      <c r="DE176" s="7">
        <f>IFERROR(MATCH($B176,PP_Grid[Intermediate],0),99999)</f>
        <v/>
      </c>
    </row>
    <row r="177">
      <c r="B177" t="inlineStr">
        <is>
          <t>使用量(kg)</t>
        </is>
      </c>
      <c r="C177">
        <f>SUMIFS(M_BOM[RM_Qty_Per_Batch],M_BOM[Intermediate],$B176,M_BOM[RM_Code],$A173)</f>
        <v/>
      </c>
      <c r="D177">
        <f>IFERROR(INDEX(E177:DD177,$F$1),"")</f>
        <v/>
      </c>
      <c r="E177">
        <f>$C177*E176</f>
        <v/>
      </c>
      <c r="F177">
        <f>$C177*F176</f>
        <v/>
      </c>
      <c r="G177">
        <f>$C177*G176</f>
        <v/>
      </c>
      <c r="H177">
        <f>$C177*H176</f>
        <v/>
      </c>
      <c r="I177">
        <f>$C177*I176</f>
        <v/>
      </c>
      <c r="J177">
        <f>$C177*J176</f>
        <v/>
      </c>
      <c r="K177">
        <f>$C177*K176</f>
        <v/>
      </c>
      <c r="L177">
        <f>$C177*L176</f>
        <v/>
      </c>
      <c r="M177">
        <f>$C177*M176</f>
        <v/>
      </c>
      <c r="N177">
        <f>$C177*N176</f>
        <v/>
      </c>
      <c r="O177">
        <f>$C177*O176</f>
        <v/>
      </c>
      <c r="P177">
        <f>$C177*P176</f>
        <v/>
      </c>
      <c r="Q177">
        <f>$C177*Q176</f>
        <v/>
      </c>
      <c r="R177">
        <f>$C177*R176</f>
        <v/>
      </c>
      <c r="S177">
        <f>$C177*S176</f>
        <v/>
      </c>
      <c r="T177">
        <f>$C177*T176</f>
        <v/>
      </c>
      <c r="U177">
        <f>$C177*U176</f>
        <v/>
      </c>
      <c r="V177">
        <f>$C177*V176</f>
        <v/>
      </c>
      <c r="W177">
        <f>$C177*W176</f>
        <v/>
      </c>
      <c r="X177">
        <f>$C177*X176</f>
        <v/>
      </c>
      <c r="Y177">
        <f>$C177*Y176</f>
        <v/>
      </c>
      <c r="Z177">
        <f>$C177*Z176</f>
        <v/>
      </c>
      <c r="AA177">
        <f>$C177*AA176</f>
        <v/>
      </c>
      <c r="AB177">
        <f>$C177*AB176</f>
        <v/>
      </c>
      <c r="AC177">
        <f>$C177*AC176</f>
        <v/>
      </c>
      <c r="AD177">
        <f>$C177*AD176</f>
        <v/>
      </c>
      <c r="AE177">
        <f>$C177*AE176</f>
        <v/>
      </c>
      <c r="AF177">
        <f>$C177*AF176</f>
        <v/>
      </c>
      <c r="AG177">
        <f>$C177*AG176</f>
        <v/>
      </c>
      <c r="AH177">
        <f>$C177*AH176</f>
        <v/>
      </c>
      <c r="AI177">
        <f>$C177*AI176</f>
        <v/>
      </c>
      <c r="AJ177">
        <f>$C177*AJ176</f>
        <v/>
      </c>
      <c r="AK177">
        <f>$C177*AK176</f>
        <v/>
      </c>
      <c r="AL177">
        <f>$C177*AL176</f>
        <v/>
      </c>
      <c r="AM177">
        <f>$C177*AM176</f>
        <v/>
      </c>
      <c r="AN177">
        <f>$C177*AN176</f>
        <v/>
      </c>
      <c r="AO177">
        <f>$C177*AO176</f>
        <v/>
      </c>
      <c r="AP177">
        <f>$C177*AP176</f>
        <v/>
      </c>
      <c r="AQ177">
        <f>$C177*AQ176</f>
        <v/>
      </c>
      <c r="AR177">
        <f>$C177*AR176</f>
        <v/>
      </c>
      <c r="AS177">
        <f>$C177*AS176</f>
        <v/>
      </c>
      <c r="AT177">
        <f>$C177*AT176</f>
        <v/>
      </c>
      <c r="AU177">
        <f>$C177*AU176</f>
        <v/>
      </c>
      <c r="AV177">
        <f>$C177*AV176</f>
        <v/>
      </c>
      <c r="AW177">
        <f>$C177*AW176</f>
        <v/>
      </c>
      <c r="AX177">
        <f>$C177*AX176</f>
        <v/>
      </c>
      <c r="AY177">
        <f>$C177*AY176</f>
        <v/>
      </c>
      <c r="AZ177">
        <f>$C177*AZ176</f>
        <v/>
      </c>
      <c r="BA177">
        <f>$C177*BA176</f>
        <v/>
      </c>
      <c r="BB177">
        <f>$C177*BB176</f>
        <v/>
      </c>
      <c r="BC177">
        <f>$C177*BC176</f>
        <v/>
      </c>
      <c r="BD177">
        <f>$C177*BD176</f>
        <v/>
      </c>
      <c r="BE177">
        <f>$C177*BE176</f>
        <v/>
      </c>
      <c r="BF177">
        <f>$C177*BF176</f>
        <v/>
      </c>
      <c r="BG177">
        <f>$C177*BG176</f>
        <v/>
      </c>
      <c r="BH177">
        <f>$C177*BH176</f>
        <v/>
      </c>
      <c r="BI177">
        <f>$C177*BI176</f>
        <v/>
      </c>
      <c r="BJ177">
        <f>$C177*BJ176</f>
        <v/>
      </c>
      <c r="BK177">
        <f>$C177*BK176</f>
        <v/>
      </c>
      <c r="BL177">
        <f>$C177*BL176</f>
        <v/>
      </c>
      <c r="BM177">
        <f>$C177*BM176</f>
        <v/>
      </c>
      <c r="BN177">
        <f>$C177*BN176</f>
        <v/>
      </c>
      <c r="BO177">
        <f>$C177*BO176</f>
        <v/>
      </c>
      <c r="BP177">
        <f>$C177*BP176</f>
        <v/>
      </c>
      <c r="BQ177">
        <f>$C177*BQ176</f>
        <v/>
      </c>
      <c r="BR177">
        <f>$C177*BR176</f>
        <v/>
      </c>
      <c r="BS177">
        <f>$C177*BS176</f>
        <v/>
      </c>
      <c r="BT177">
        <f>$C177*BT176</f>
        <v/>
      </c>
      <c r="BU177">
        <f>$C177*BU176</f>
        <v/>
      </c>
      <c r="BV177">
        <f>$C177*BV176</f>
        <v/>
      </c>
      <c r="BW177">
        <f>$C177*BW176</f>
        <v/>
      </c>
      <c r="BX177">
        <f>$C177*BX176</f>
        <v/>
      </c>
      <c r="BY177">
        <f>$C177*BY176</f>
        <v/>
      </c>
      <c r="BZ177">
        <f>$C177*BZ176</f>
        <v/>
      </c>
      <c r="CA177">
        <f>$C177*CA176</f>
        <v/>
      </c>
      <c r="CB177">
        <f>$C177*CB176</f>
        <v/>
      </c>
      <c r="CC177">
        <f>$C177*CC176</f>
        <v/>
      </c>
      <c r="CD177">
        <f>$C177*CD176</f>
        <v/>
      </c>
      <c r="CE177">
        <f>$C177*CE176</f>
        <v/>
      </c>
      <c r="CF177">
        <f>$C177*CF176</f>
        <v/>
      </c>
      <c r="CG177">
        <f>$C177*CG176</f>
        <v/>
      </c>
      <c r="CH177">
        <f>$C177*CH176</f>
        <v/>
      </c>
      <c r="CI177">
        <f>$C177*CI176</f>
        <v/>
      </c>
      <c r="CJ177">
        <f>$C177*CJ176</f>
        <v/>
      </c>
      <c r="CK177">
        <f>$C177*CK176</f>
        <v/>
      </c>
      <c r="CL177">
        <f>$C177*CL176</f>
        <v/>
      </c>
      <c r="CM177">
        <f>$C177*CM176</f>
        <v/>
      </c>
      <c r="CN177">
        <f>$C177*CN176</f>
        <v/>
      </c>
      <c r="CO177">
        <f>$C177*CO176</f>
        <v/>
      </c>
      <c r="CP177">
        <f>$C177*CP176</f>
        <v/>
      </c>
      <c r="CQ177">
        <f>$C177*CQ176</f>
        <v/>
      </c>
      <c r="CR177">
        <f>$C177*CR176</f>
        <v/>
      </c>
      <c r="CS177">
        <f>$C177*CS176</f>
        <v/>
      </c>
      <c r="CT177">
        <f>$C177*CT176</f>
        <v/>
      </c>
      <c r="CU177">
        <f>$C177*CU176</f>
        <v/>
      </c>
      <c r="CV177">
        <f>$C177*CV176</f>
        <v/>
      </c>
      <c r="CW177">
        <f>$C177*CW176</f>
        <v/>
      </c>
      <c r="CX177">
        <f>$C177*CX176</f>
        <v/>
      </c>
      <c r="CY177">
        <f>$C177*CY176</f>
        <v/>
      </c>
      <c r="CZ177">
        <f>$C177*CZ176</f>
        <v/>
      </c>
      <c r="DA177">
        <f>$C177*DA176</f>
        <v/>
      </c>
      <c r="DB177">
        <f>$C177*DB176</f>
        <v/>
      </c>
      <c r="DC177">
        <f>$C177*DC176</f>
        <v/>
      </c>
      <c r="DD177">
        <f>$C177*DD176</f>
        <v/>
      </c>
    </row>
    <row r="178">
      <c r="B178" t="inlineStr">
        <is>
          <t>TSP-069</t>
        </is>
      </c>
      <c r="C178" t="inlineStr">
        <is>
          <t>No. of batches</t>
        </is>
      </c>
      <c r="D178">
        <f>IFERROR(INDEX(E178:DD178,$F$1),"")</f>
        <v/>
      </c>
      <c r="E178">
        <f>IFERROR(INDEX(PP_Grid[#Data],$DE178,2),0)</f>
        <v/>
      </c>
      <c r="F178">
        <f>IFERROR(INDEX(PP_Grid[#Data],$DE178,3),0)</f>
        <v/>
      </c>
      <c r="G178">
        <f>IFERROR(INDEX(PP_Grid[#Data],$DE178,4),0)</f>
        <v/>
      </c>
      <c r="H178">
        <f>IFERROR(INDEX(PP_Grid[#Data],$DE178,5),0)</f>
        <v/>
      </c>
      <c r="I178">
        <f>IFERROR(INDEX(PP_Grid[#Data],$DE178,6),0)</f>
        <v/>
      </c>
      <c r="J178">
        <f>IFERROR(INDEX(PP_Grid[#Data],$DE178,7),0)</f>
        <v/>
      </c>
      <c r="K178">
        <f>IFERROR(INDEX(PP_Grid[#Data],$DE178,8),0)</f>
        <v/>
      </c>
      <c r="L178">
        <f>IFERROR(INDEX(PP_Grid[#Data],$DE178,9),0)</f>
        <v/>
      </c>
      <c r="M178">
        <f>IFERROR(INDEX(PP_Grid[#Data],$DE178,10),0)</f>
        <v/>
      </c>
      <c r="N178">
        <f>IFERROR(INDEX(PP_Grid[#Data],$DE178,11),0)</f>
        <v/>
      </c>
      <c r="O178">
        <f>IFERROR(INDEX(PP_Grid[#Data],$DE178,12),0)</f>
        <v/>
      </c>
      <c r="P178">
        <f>IFERROR(INDEX(PP_Grid[#Data],$DE178,13),0)</f>
        <v/>
      </c>
      <c r="Q178">
        <f>IFERROR(INDEX(PP_Grid[#Data],$DE178,14),0)</f>
        <v/>
      </c>
      <c r="R178">
        <f>IFERROR(INDEX(PP_Grid[#Data],$DE178,15),0)</f>
        <v/>
      </c>
      <c r="S178">
        <f>IFERROR(INDEX(PP_Grid[#Data],$DE178,16),0)</f>
        <v/>
      </c>
      <c r="T178">
        <f>IFERROR(INDEX(PP_Grid[#Data],$DE178,17),0)</f>
        <v/>
      </c>
      <c r="U178">
        <f>IFERROR(INDEX(PP_Grid[#Data],$DE178,18),0)</f>
        <v/>
      </c>
      <c r="V178">
        <f>IFERROR(INDEX(PP_Grid[#Data],$DE178,19),0)</f>
        <v/>
      </c>
      <c r="W178">
        <f>IFERROR(INDEX(PP_Grid[#Data],$DE178,20),0)</f>
        <v/>
      </c>
      <c r="X178">
        <f>IFERROR(INDEX(PP_Grid[#Data],$DE178,21),0)</f>
        <v/>
      </c>
      <c r="Y178">
        <f>IFERROR(INDEX(PP_Grid[#Data],$DE178,22),0)</f>
        <v/>
      </c>
      <c r="Z178">
        <f>IFERROR(INDEX(PP_Grid[#Data],$DE178,23),0)</f>
        <v/>
      </c>
      <c r="AA178">
        <f>IFERROR(INDEX(PP_Grid[#Data],$DE178,24),0)</f>
        <v/>
      </c>
      <c r="AB178">
        <f>IFERROR(INDEX(PP_Grid[#Data],$DE178,25),0)</f>
        <v/>
      </c>
      <c r="AC178">
        <f>IFERROR(INDEX(PP_Grid[#Data],$DE178,26),0)</f>
        <v/>
      </c>
      <c r="AD178">
        <f>IFERROR(INDEX(PP_Grid[#Data],$DE178,27),0)</f>
        <v/>
      </c>
      <c r="AE178">
        <f>IFERROR(INDEX(PP_Grid[#Data],$DE178,28),0)</f>
        <v/>
      </c>
      <c r="AF178">
        <f>IFERROR(INDEX(PP_Grid[#Data],$DE178,29),0)</f>
        <v/>
      </c>
      <c r="AG178">
        <f>IFERROR(INDEX(PP_Grid[#Data],$DE178,30),0)</f>
        <v/>
      </c>
      <c r="AH178">
        <f>IFERROR(INDEX(PP_Grid[#Data],$DE178,31),0)</f>
        <v/>
      </c>
      <c r="AI178">
        <f>IFERROR(INDEX(PP_Grid[#Data],$DE178,32),0)</f>
        <v/>
      </c>
      <c r="AJ178">
        <f>IFERROR(INDEX(PP_Grid[#Data],$DE178,33),0)</f>
        <v/>
      </c>
      <c r="AK178">
        <f>IFERROR(INDEX(PP_Grid[#Data],$DE178,34),0)</f>
        <v/>
      </c>
      <c r="AL178">
        <f>IFERROR(INDEX(PP_Grid[#Data],$DE178,35),0)</f>
        <v/>
      </c>
      <c r="AM178">
        <f>IFERROR(INDEX(PP_Grid[#Data],$DE178,36),0)</f>
        <v/>
      </c>
      <c r="AN178">
        <f>IFERROR(INDEX(PP_Grid[#Data],$DE178,37),0)</f>
        <v/>
      </c>
      <c r="AO178">
        <f>IFERROR(INDEX(PP_Grid[#Data],$DE178,38),0)</f>
        <v/>
      </c>
      <c r="AP178">
        <f>IFERROR(INDEX(PP_Grid[#Data],$DE178,39),0)</f>
        <v/>
      </c>
      <c r="AQ178">
        <f>IFERROR(INDEX(PP_Grid[#Data],$DE178,40),0)</f>
        <v/>
      </c>
      <c r="AR178">
        <f>IFERROR(INDEX(PP_Grid[#Data],$DE178,41),0)</f>
        <v/>
      </c>
      <c r="AS178">
        <f>IFERROR(INDEX(PP_Grid[#Data],$DE178,42),0)</f>
        <v/>
      </c>
      <c r="AT178">
        <f>IFERROR(INDEX(PP_Grid[#Data],$DE178,43),0)</f>
        <v/>
      </c>
      <c r="AU178">
        <f>IFERROR(INDEX(PP_Grid[#Data],$DE178,44),0)</f>
        <v/>
      </c>
      <c r="AV178">
        <f>IFERROR(INDEX(PP_Grid[#Data],$DE178,45),0)</f>
        <v/>
      </c>
      <c r="AW178">
        <f>IFERROR(INDEX(PP_Grid[#Data],$DE178,46),0)</f>
        <v/>
      </c>
      <c r="AX178">
        <f>IFERROR(INDEX(PP_Grid[#Data],$DE178,47),0)</f>
        <v/>
      </c>
      <c r="AY178">
        <f>IFERROR(INDEX(PP_Grid[#Data],$DE178,48),0)</f>
        <v/>
      </c>
      <c r="AZ178">
        <f>IFERROR(INDEX(PP_Grid[#Data],$DE178,49),0)</f>
        <v/>
      </c>
      <c r="BA178">
        <f>IFERROR(INDEX(PP_Grid[#Data],$DE178,50),0)</f>
        <v/>
      </c>
      <c r="BB178">
        <f>IFERROR(INDEX(PP_Grid[#Data],$DE178,51),0)</f>
        <v/>
      </c>
      <c r="BC178">
        <f>IFERROR(INDEX(PP_Grid[#Data],$DE178,52),0)</f>
        <v/>
      </c>
      <c r="BD178">
        <f>IFERROR(INDEX(PP_Grid[#Data],$DE178,53),0)</f>
        <v/>
      </c>
      <c r="BE178">
        <f>IFERROR(INDEX(PP_Grid[#Data],$DE178,54),0)</f>
        <v/>
      </c>
      <c r="BF178">
        <f>IFERROR(INDEX(PP_Grid[#Data],$DE178,55),0)</f>
        <v/>
      </c>
      <c r="BG178">
        <f>IFERROR(INDEX(PP_Grid[#Data],$DE178,56),0)</f>
        <v/>
      </c>
      <c r="BH178">
        <f>IFERROR(INDEX(PP_Grid[#Data],$DE178,57),0)</f>
        <v/>
      </c>
      <c r="BI178">
        <f>IFERROR(INDEX(PP_Grid[#Data],$DE178,58),0)</f>
        <v/>
      </c>
      <c r="BJ178">
        <f>IFERROR(INDEX(PP_Grid[#Data],$DE178,59),0)</f>
        <v/>
      </c>
      <c r="BK178">
        <f>IFERROR(INDEX(PP_Grid[#Data],$DE178,60),0)</f>
        <v/>
      </c>
      <c r="BL178">
        <f>IFERROR(INDEX(PP_Grid[#Data],$DE178,61),0)</f>
        <v/>
      </c>
      <c r="BM178">
        <f>IFERROR(INDEX(PP_Grid[#Data],$DE178,62),0)</f>
        <v/>
      </c>
      <c r="BN178">
        <f>IFERROR(INDEX(PP_Grid[#Data],$DE178,63),0)</f>
        <v/>
      </c>
      <c r="BO178">
        <f>IFERROR(INDEX(PP_Grid[#Data],$DE178,64),0)</f>
        <v/>
      </c>
      <c r="BP178">
        <f>IFERROR(INDEX(PP_Grid[#Data],$DE178,65),0)</f>
        <v/>
      </c>
      <c r="BQ178">
        <f>IFERROR(INDEX(PP_Grid[#Data],$DE178,66),0)</f>
        <v/>
      </c>
      <c r="BR178">
        <f>IFERROR(INDEX(PP_Grid[#Data],$DE178,67),0)</f>
        <v/>
      </c>
      <c r="BS178">
        <f>IFERROR(INDEX(PP_Grid[#Data],$DE178,68),0)</f>
        <v/>
      </c>
      <c r="BT178">
        <f>IFERROR(INDEX(PP_Grid[#Data],$DE178,69),0)</f>
        <v/>
      </c>
      <c r="BU178">
        <f>IFERROR(INDEX(PP_Grid[#Data],$DE178,70),0)</f>
        <v/>
      </c>
      <c r="BV178">
        <f>IFERROR(INDEX(PP_Grid[#Data],$DE178,71),0)</f>
        <v/>
      </c>
      <c r="BW178">
        <f>IFERROR(INDEX(PP_Grid[#Data],$DE178,72),0)</f>
        <v/>
      </c>
      <c r="BX178">
        <f>IFERROR(INDEX(PP_Grid[#Data],$DE178,73),0)</f>
        <v/>
      </c>
      <c r="BY178">
        <f>IFERROR(INDEX(PP_Grid[#Data],$DE178,74),0)</f>
        <v/>
      </c>
      <c r="BZ178">
        <f>IFERROR(INDEX(PP_Grid[#Data],$DE178,75),0)</f>
        <v/>
      </c>
      <c r="CA178">
        <f>IFERROR(INDEX(PP_Grid[#Data],$DE178,76),0)</f>
        <v/>
      </c>
      <c r="CB178">
        <f>IFERROR(INDEX(PP_Grid[#Data],$DE178,77),0)</f>
        <v/>
      </c>
      <c r="CC178">
        <f>IFERROR(INDEX(PP_Grid[#Data],$DE178,78),0)</f>
        <v/>
      </c>
      <c r="CD178">
        <f>IFERROR(INDEX(PP_Grid[#Data],$DE178,79),0)</f>
        <v/>
      </c>
      <c r="CE178">
        <f>IFERROR(INDEX(PP_Grid[#Data],$DE178,80),0)</f>
        <v/>
      </c>
      <c r="CF178">
        <f>IFERROR(INDEX(PP_Grid[#Data],$DE178,81),0)</f>
        <v/>
      </c>
      <c r="CG178">
        <f>IFERROR(INDEX(PP_Grid[#Data],$DE178,82),0)</f>
        <v/>
      </c>
      <c r="CH178">
        <f>IFERROR(INDEX(PP_Grid[#Data],$DE178,83),0)</f>
        <v/>
      </c>
      <c r="CI178">
        <f>IFERROR(INDEX(PP_Grid[#Data],$DE178,84),0)</f>
        <v/>
      </c>
      <c r="CJ178">
        <f>IFERROR(INDEX(PP_Grid[#Data],$DE178,85),0)</f>
        <v/>
      </c>
      <c r="CK178">
        <f>IFERROR(INDEX(PP_Grid[#Data],$DE178,86),0)</f>
        <v/>
      </c>
      <c r="CL178">
        <f>IFERROR(INDEX(PP_Grid[#Data],$DE178,87),0)</f>
        <v/>
      </c>
      <c r="CM178">
        <f>IFERROR(INDEX(PP_Grid[#Data],$DE178,88),0)</f>
        <v/>
      </c>
      <c r="CN178">
        <f>IFERROR(INDEX(PP_Grid[#Data],$DE178,89),0)</f>
        <v/>
      </c>
      <c r="CO178">
        <f>IFERROR(INDEX(PP_Grid[#Data],$DE178,90),0)</f>
        <v/>
      </c>
      <c r="CP178">
        <f>IFERROR(INDEX(PP_Grid[#Data],$DE178,91),0)</f>
        <v/>
      </c>
      <c r="CQ178">
        <f>IFERROR(INDEX(PP_Grid[#Data],$DE178,92),0)</f>
        <v/>
      </c>
      <c r="CR178">
        <f>IFERROR(INDEX(PP_Grid[#Data],$DE178,93),0)</f>
        <v/>
      </c>
      <c r="CS178">
        <f>IFERROR(INDEX(PP_Grid[#Data],$DE178,94),0)</f>
        <v/>
      </c>
      <c r="CT178">
        <f>IFERROR(INDEX(PP_Grid[#Data],$DE178,95),0)</f>
        <v/>
      </c>
      <c r="CU178">
        <f>IFERROR(INDEX(PP_Grid[#Data],$DE178,96),0)</f>
        <v/>
      </c>
      <c r="CV178">
        <f>IFERROR(INDEX(PP_Grid[#Data],$DE178,97),0)</f>
        <v/>
      </c>
      <c r="CW178">
        <f>IFERROR(INDEX(PP_Grid[#Data],$DE178,98),0)</f>
        <v/>
      </c>
      <c r="CX178">
        <f>IFERROR(INDEX(PP_Grid[#Data],$DE178,99),0)</f>
        <v/>
      </c>
      <c r="CY178">
        <f>IFERROR(INDEX(PP_Grid[#Data],$DE178,100),0)</f>
        <v/>
      </c>
      <c r="CZ178">
        <f>IFERROR(INDEX(PP_Grid[#Data],$DE178,101),0)</f>
        <v/>
      </c>
      <c r="DA178">
        <f>IFERROR(INDEX(PP_Grid[#Data],$DE178,102),0)</f>
        <v/>
      </c>
      <c r="DB178">
        <f>IFERROR(INDEX(PP_Grid[#Data],$DE178,103),0)</f>
        <v/>
      </c>
      <c r="DC178">
        <f>IFERROR(INDEX(PP_Grid[#Data],$DE178,104),0)</f>
        <v/>
      </c>
      <c r="DD178">
        <f>IFERROR(INDEX(PP_Grid[#Data],$DE178,105),0)</f>
        <v/>
      </c>
      <c r="DE178" s="7">
        <f>IFERROR(MATCH($B178,PP_Grid[Intermediate],0),99999)</f>
        <v/>
      </c>
    </row>
    <row r="179">
      <c r="B179" t="inlineStr">
        <is>
          <t>使用量(kg)</t>
        </is>
      </c>
      <c r="C179">
        <f>SUMIFS(M_BOM[RM_Qty_Per_Batch],M_BOM[Intermediate],$B178,M_BOM[RM_Code],$A173)</f>
        <v/>
      </c>
      <c r="D179">
        <f>IFERROR(INDEX(E179:DD179,$F$1),"")</f>
        <v/>
      </c>
      <c r="E179">
        <f>$C179*E178</f>
        <v/>
      </c>
      <c r="F179">
        <f>$C179*F178</f>
        <v/>
      </c>
      <c r="G179">
        <f>$C179*G178</f>
        <v/>
      </c>
      <c r="H179">
        <f>$C179*H178</f>
        <v/>
      </c>
      <c r="I179">
        <f>$C179*I178</f>
        <v/>
      </c>
      <c r="J179">
        <f>$C179*J178</f>
        <v/>
      </c>
      <c r="K179">
        <f>$C179*K178</f>
        <v/>
      </c>
      <c r="L179">
        <f>$C179*L178</f>
        <v/>
      </c>
      <c r="M179">
        <f>$C179*M178</f>
        <v/>
      </c>
      <c r="N179">
        <f>$C179*N178</f>
        <v/>
      </c>
      <c r="O179">
        <f>$C179*O178</f>
        <v/>
      </c>
      <c r="P179">
        <f>$C179*P178</f>
        <v/>
      </c>
      <c r="Q179">
        <f>$C179*Q178</f>
        <v/>
      </c>
      <c r="R179">
        <f>$C179*R178</f>
        <v/>
      </c>
      <c r="S179">
        <f>$C179*S178</f>
        <v/>
      </c>
      <c r="T179">
        <f>$C179*T178</f>
        <v/>
      </c>
      <c r="U179">
        <f>$C179*U178</f>
        <v/>
      </c>
      <c r="V179">
        <f>$C179*V178</f>
        <v/>
      </c>
      <c r="W179">
        <f>$C179*W178</f>
        <v/>
      </c>
      <c r="X179">
        <f>$C179*X178</f>
        <v/>
      </c>
      <c r="Y179">
        <f>$C179*Y178</f>
        <v/>
      </c>
      <c r="Z179">
        <f>$C179*Z178</f>
        <v/>
      </c>
      <c r="AA179">
        <f>$C179*AA178</f>
        <v/>
      </c>
      <c r="AB179">
        <f>$C179*AB178</f>
        <v/>
      </c>
      <c r="AC179">
        <f>$C179*AC178</f>
        <v/>
      </c>
      <c r="AD179">
        <f>$C179*AD178</f>
        <v/>
      </c>
      <c r="AE179">
        <f>$C179*AE178</f>
        <v/>
      </c>
      <c r="AF179">
        <f>$C179*AF178</f>
        <v/>
      </c>
      <c r="AG179">
        <f>$C179*AG178</f>
        <v/>
      </c>
      <c r="AH179">
        <f>$C179*AH178</f>
        <v/>
      </c>
      <c r="AI179">
        <f>$C179*AI178</f>
        <v/>
      </c>
      <c r="AJ179">
        <f>$C179*AJ178</f>
        <v/>
      </c>
      <c r="AK179">
        <f>$C179*AK178</f>
        <v/>
      </c>
      <c r="AL179">
        <f>$C179*AL178</f>
        <v/>
      </c>
      <c r="AM179">
        <f>$C179*AM178</f>
        <v/>
      </c>
      <c r="AN179">
        <f>$C179*AN178</f>
        <v/>
      </c>
      <c r="AO179">
        <f>$C179*AO178</f>
        <v/>
      </c>
      <c r="AP179">
        <f>$C179*AP178</f>
        <v/>
      </c>
      <c r="AQ179">
        <f>$C179*AQ178</f>
        <v/>
      </c>
      <c r="AR179">
        <f>$C179*AR178</f>
        <v/>
      </c>
      <c r="AS179">
        <f>$C179*AS178</f>
        <v/>
      </c>
      <c r="AT179">
        <f>$C179*AT178</f>
        <v/>
      </c>
      <c r="AU179">
        <f>$C179*AU178</f>
        <v/>
      </c>
      <c r="AV179">
        <f>$C179*AV178</f>
        <v/>
      </c>
      <c r="AW179">
        <f>$C179*AW178</f>
        <v/>
      </c>
      <c r="AX179">
        <f>$C179*AX178</f>
        <v/>
      </c>
      <c r="AY179">
        <f>$C179*AY178</f>
        <v/>
      </c>
      <c r="AZ179">
        <f>$C179*AZ178</f>
        <v/>
      </c>
      <c r="BA179">
        <f>$C179*BA178</f>
        <v/>
      </c>
      <c r="BB179">
        <f>$C179*BB178</f>
        <v/>
      </c>
      <c r="BC179">
        <f>$C179*BC178</f>
        <v/>
      </c>
      <c r="BD179">
        <f>$C179*BD178</f>
        <v/>
      </c>
      <c r="BE179">
        <f>$C179*BE178</f>
        <v/>
      </c>
      <c r="BF179">
        <f>$C179*BF178</f>
        <v/>
      </c>
      <c r="BG179">
        <f>$C179*BG178</f>
        <v/>
      </c>
      <c r="BH179">
        <f>$C179*BH178</f>
        <v/>
      </c>
      <c r="BI179">
        <f>$C179*BI178</f>
        <v/>
      </c>
      <c r="BJ179">
        <f>$C179*BJ178</f>
        <v/>
      </c>
      <c r="BK179">
        <f>$C179*BK178</f>
        <v/>
      </c>
      <c r="BL179">
        <f>$C179*BL178</f>
        <v/>
      </c>
      <c r="BM179">
        <f>$C179*BM178</f>
        <v/>
      </c>
      <c r="BN179">
        <f>$C179*BN178</f>
        <v/>
      </c>
      <c r="BO179">
        <f>$C179*BO178</f>
        <v/>
      </c>
      <c r="BP179">
        <f>$C179*BP178</f>
        <v/>
      </c>
      <c r="BQ179">
        <f>$C179*BQ178</f>
        <v/>
      </c>
      <c r="BR179">
        <f>$C179*BR178</f>
        <v/>
      </c>
      <c r="BS179">
        <f>$C179*BS178</f>
        <v/>
      </c>
      <c r="BT179">
        <f>$C179*BT178</f>
        <v/>
      </c>
      <c r="BU179">
        <f>$C179*BU178</f>
        <v/>
      </c>
      <c r="BV179">
        <f>$C179*BV178</f>
        <v/>
      </c>
      <c r="BW179">
        <f>$C179*BW178</f>
        <v/>
      </c>
      <c r="BX179">
        <f>$C179*BX178</f>
        <v/>
      </c>
      <c r="BY179">
        <f>$C179*BY178</f>
        <v/>
      </c>
      <c r="BZ179">
        <f>$C179*BZ178</f>
        <v/>
      </c>
      <c r="CA179">
        <f>$C179*CA178</f>
        <v/>
      </c>
      <c r="CB179">
        <f>$C179*CB178</f>
        <v/>
      </c>
      <c r="CC179">
        <f>$C179*CC178</f>
        <v/>
      </c>
      <c r="CD179">
        <f>$C179*CD178</f>
        <v/>
      </c>
      <c r="CE179">
        <f>$C179*CE178</f>
        <v/>
      </c>
      <c r="CF179">
        <f>$C179*CF178</f>
        <v/>
      </c>
      <c r="CG179">
        <f>$C179*CG178</f>
        <v/>
      </c>
      <c r="CH179">
        <f>$C179*CH178</f>
        <v/>
      </c>
      <c r="CI179">
        <f>$C179*CI178</f>
        <v/>
      </c>
      <c r="CJ179">
        <f>$C179*CJ178</f>
        <v/>
      </c>
      <c r="CK179">
        <f>$C179*CK178</f>
        <v/>
      </c>
      <c r="CL179">
        <f>$C179*CL178</f>
        <v/>
      </c>
      <c r="CM179">
        <f>$C179*CM178</f>
        <v/>
      </c>
      <c r="CN179">
        <f>$C179*CN178</f>
        <v/>
      </c>
      <c r="CO179">
        <f>$C179*CO178</f>
        <v/>
      </c>
      <c r="CP179">
        <f>$C179*CP178</f>
        <v/>
      </c>
      <c r="CQ179">
        <f>$C179*CQ178</f>
        <v/>
      </c>
      <c r="CR179">
        <f>$C179*CR178</f>
        <v/>
      </c>
      <c r="CS179">
        <f>$C179*CS178</f>
        <v/>
      </c>
      <c r="CT179">
        <f>$C179*CT178</f>
        <v/>
      </c>
      <c r="CU179">
        <f>$C179*CU178</f>
        <v/>
      </c>
      <c r="CV179">
        <f>$C179*CV178</f>
        <v/>
      </c>
      <c r="CW179">
        <f>$C179*CW178</f>
        <v/>
      </c>
      <c r="CX179">
        <f>$C179*CX178</f>
        <v/>
      </c>
      <c r="CY179">
        <f>$C179*CY178</f>
        <v/>
      </c>
      <c r="CZ179">
        <f>$C179*CZ178</f>
        <v/>
      </c>
      <c r="DA179">
        <f>$C179*DA178</f>
        <v/>
      </c>
      <c r="DB179">
        <f>$C179*DB178</f>
        <v/>
      </c>
      <c r="DC179">
        <f>$C179*DC178</f>
        <v/>
      </c>
      <c r="DD179">
        <f>$C179*DD178</f>
        <v/>
      </c>
    </row>
    <row r="180">
      <c r="B180" t="inlineStr">
        <is>
          <t>TSP-077</t>
        </is>
      </c>
      <c r="C180" t="inlineStr">
        <is>
          <t>No. of batches</t>
        </is>
      </c>
      <c r="D180">
        <f>IFERROR(INDEX(E180:DD180,$F$1),"")</f>
        <v/>
      </c>
      <c r="E180">
        <f>IFERROR(INDEX(PP_Grid[#Data],$DE180,2),0)</f>
        <v/>
      </c>
      <c r="F180">
        <f>IFERROR(INDEX(PP_Grid[#Data],$DE180,3),0)</f>
        <v/>
      </c>
      <c r="G180">
        <f>IFERROR(INDEX(PP_Grid[#Data],$DE180,4),0)</f>
        <v/>
      </c>
      <c r="H180">
        <f>IFERROR(INDEX(PP_Grid[#Data],$DE180,5),0)</f>
        <v/>
      </c>
      <c r="I180">
        <f>IFERROR(INDEX(PP_Grid[#Data],$DE180,6),0)</f>
        <v/>
      </c>
      <c r="J180">
        <f>IFERROR(INDEX(PP_Grid[#Data],$DE180,7),0)</f>
        <v/>
      </c>
      <c r="K180">
        <f>IFERROR(INDEX(PP_Grid[#Data],$DE180,8),0)</f>
        <v/>
      </c>
      <c r="L180">
        <f>IFERROR(INDEX(PP_Grid[#Data],$DE180,9),0)</f>
        <v/>
      </c>
      <c r="M180">
        <f>IFERROR(INDEX(PP_Grid[#Data],$DE180,10),0)</f>
        <v/>
      </c>
      <c r="N180">
        <f>IFERROR(INDEX(PP_Grid[#Data],$DE180,11),0)</f>
        <v/>
      </c>
      <c r="O180">
        <f>IFERROR(INDEX(PP_Grid[#Data],$DE180,12),0)</f>
        <v/>
      </c>
      <c r="P180">
        <f>IFERROR(INDEX(PP_Grid[#Data],$DE180,13),0)</f>
        <v/>
      </c>
      <c r="Q180">
        <f>IFERROR(INDEX(PP_Grid[#Data],$DE180,14),0)</f>
        <v/>
      </c>
      <c r="R180">
        <f>IFERROR(INDEX(PP_Grid[#Data],$DE180,15),0)</f>
        <v/>
      </c>
      <c r="S180">
        <f>IFERROR(INDEX(PP_Grid[#Data],$DE180,16),0)</f>
        <v/>
      </c>
      <c r="T180">
        <f>IFERROR(INDEX(PP_Grid[#Data],$DE180,17),0)</f>
        <v/>
      </c>
      <c r="U180">
        <f>IFERROR(INDEX(PP_Grid[#Data],$DE180,18),0)</f>
        <v/>
      </c>
      <c r="V180">
        <f>IFERROR(INDEX(PP_Grid[#Data],$DE180,19),0)</f>
        <v/>
      </c>
      <c r="W180">
        <f>IFERROR(INDEX(PP_Grid[#Data],$DE180,20),0)</f>
        <v/>
      </c>
      <c r="X180">
        <f>IFERROR(INDEX(PP_Grid[#Data],$DE180,21),0)</f>
        <v/>
      </c>
      <c r="Y180">
        <f>IFERROR(INDEX(PP_Grid[#Data],$DE180,22),0)</f>
        <v/>
      </c>
      <c r="Z180">
        <f>IFERROR(INDEX(PP_Grid[#Data],$DE180,23),0)</f>
        <v/>
      </c>
      <c r="AA180">
        <f>IFERROR(INDEX(PP_Grid[#Data],$DE180,24),0)</f>
        <v/>
      </c>
      <c r="AB180">
        <f>IFERROR(INDEX(PP_Grid[#Data],$DE180,25),0)</f>
        <v/>
      </c>
      <c r="AC180">
        <f>IFERROR(INDEX(PP_Grid[#Data],$DE180,26),0)</f>
        <v/>
      </c>
      <c r="AD180">
        <f>IFERROR(INDEX(PP_Grid[#Data],$DE180,27),0)</f>
        <v/>
      </c>
      <c r="AE180">
        <f>IFERROR(INDEX(PP_Grid[#Data],$DE180,28),0)</f>
        <v/>
      </c>
      <c r="AF180">
        <f>IFERROR(INDEX(PP_Grid[#Data],$DE180,29),0)</f>
        <v/>
      </c>
      <c r="AG180">
        <f>IFERROR(INDEX(PP_Grid[#Data],$DE180,30),0)</f>
        <v/>
      </c>
      <c r="AH180">
        <f>IFERROR(INDEX(PP_Grid[#Data],$DE180,31),0)</f>
        <v/>
      </c>
      <c r="AI180">
        <f>IFERROR(INDEX(PP_Grid[#Data],$DE180,32),0)</f>
        <v/>
      </c>
      <c r="AJ180">
        <f>IFERROR(INDEX(PP_Grid[#Data],$DE180,33),0)</f>
        <v/>
      </c>
      <c r="AK180">
        <f>IFERROR(INDEX(PP_Grid[#Data],$DE180,34),0)</f>
        <v/>
      </c>
      <c r="AL180">
        <f>IFERROR(INDEX(PP_Grid[#Data],$DE180,35),0)</f>
        <v/>
      </c>
      <c r="AM180">
        <f>IFERROR(INDEX(PP_Grid[#Data],$DE180,36),0)</f>
        <v/>
      </c>
      <c r="AN180">
        <f>IFERROR(INDEX(PP_Grid[#Data],$DE180,37),0)</f>
        <v/>
      </c>
      <c r="AO180">
        <f>IFERROR(INDEX(PP_Grid[#Data],$DE180,38),0)</f>
        <v/>
      </c>
      <c r="AP180">
        <f>IFERROR(INDEX(PP_Grid[#Data],$DE180,39),0)</f>
        <v/>
      </c>
      <c r="AQ180">
        <f>IFERROR(INDEX(PP_Grid[#Data],$DE180,40),0)</f>
        <v/>
      </c>
      <c r="AR180">
        <f>IFERROR(INDEX(PP_Grid[#Data],$DE180,41),0)</f>
        <v/>
      </c>
      <c r="AS180">
        <f>IFERROR(INDEX(PP_Grid[#Data],$DE180,42),0)</f>
        <v/>
      </c>
      <c r="AT180">
        <f>IFERROR(INDEX(PP_Grid[#Data],$DE180,43),0)</f>
        <v/>
      </c>
      <c r="AU180">
        <f>IFERROR(INDEX(PP_Grid[#Data],$DE180,44),0)</f>
        <v/>
      </c>
      <c r="AV180">
        <f>IFERROR(INDEX(PP_Grid[#Data],$DE180,45),0)</f>
        <v/>
      </c>
      <c r="AW180">
        <f>IFERROR(INDEX(PP_Grid[#Data],$DE180,46),0)</f>
        <v/>
      </c>
      <c r="AX180">
        <f>IFERROR(INDEX(PP_Grid[#Data],$DE180,47),0)</f>
        <v/>
      </c>
      <c r="AY180">
        <f>IFERROR(INDEX(PP_Grid[#Data],$DE180,48),0)</f>
        <v/>
      </c>
      <c r="AZ180">
        <f>IFERROR(INDEX(PP_Grid[#Data],$DE180,49),0)</f>
        <v/>
      </c>
      <c r="BA180">
        <f>IFERROR(INDEX(PP_Grid[#Data],$DE180,50),0)</f>
        <v/>
      </c>
      <c r="BB180">
        <f>IFERROR(INDEX(PP_Grid[#Data],$DE180,51),0)</f>
        <v/>
      </c>
      <c r="BC180">
        <f>IFERROR(INDEX(PP_Grid[#Data],$DE180,52),0)</f>
        <v/>
      </c>
      <c r="BD180">
        <f>IFERROR(INDEX(PP_Grid[#Data],$DE180,53),0)</f>
        <v/>
      </c>
      <c r="BE180">
        <f>IFERROR(INDEX(PP_Grid[#Data],$DE180,54),0)</f>
        <v/>
      </c>
      <c r="BF180">
        <f>IFERROR(INDEX(PP_Grid[#Data],$DE180,55),0)</f>
        <v/>
      </c>
      <c r="BG180">
        <f>IFERROR(INDEX(PP_Grid[#Data],$DE180,56),0)</f>
        <v/>
      </c>
      <c r="BH180">
        <f>IFERROR(INDEX(PP_Grid[#Data],$DE180,57),0)</f>
        <v/>
      </c>
      <c r="BI180">
        <f>IFERROR(INDEX(PP_Grid[#Data],$DE180,58),0)</f>
        <v/>
      </c>
      <c r="BJ180">
        <f>IFERROR(INDEX(PP_Grid[#Data],$DE180,59),0)</f>
        <v/>
      </c>
      <c r="BK180">
        <f>IFERROR(INDEX(PP_Grid[#Data],$DE180,60),0)</f>
        <v/>
      </c>
      <c r="BL180">
        <f>IFERROR(INDEX(PP_Grid[#Data],$DE180,61),0)</f>
        <v/>
      </c>
      <c r="BM180">
        <f>IFERROR(INDEX(PP_Grid[#Data],$DE180,62),0)</f>
        <v/>
      </c>
      <c r="BN180">
        <f>IFERROR(INDEX(PP_Grid[#Data],$DE180,63),0)</f>
        <v/>
      </c>
      <c r="BO180">
        <f>IFERROR(INDEX(PP_Grid[#Data],$DE180,64),0)</f>
        <v/>
      </c>
      <c r="BP180">
        <f>IFERROR(INDEX(PP_Grid[#Data],$DE180,65),0)</f>
        <v/>
      </c>
      <c r="BQ180">
        <f>IFERROR(INDEX(PP_Grid[#Data],$DE180,66),0)</f>
        <v/>
      </c>
      <c r="BR180">
        <f>IFERROR(INDEX(PP_Grid[#Data],$DE180,67),0)</f>
        <v/>
      </c>
      <c r="BS180">
        <f>IFERROR(INDEX(PP_Grid[#Data],$DE180,68),0)</f>
        <v/>
      </c>
      <c r="BT180">
        <f>IFERROR(INDEX(PP_Grid[#Data],$DE180,69),0)</f>
        <v/>
      </c>
      <c r="BU180">
        <f>IFERROR(INDEX(PP_Grid[#Data],$DE180,70),0)</f>
        <v/>
      </c>
      <c r="BV180">
        <f>IFERROR(INDEX(PP_Grid[#Data],$DE180,71),0)</f>
        <v/>
      </c>
      <c r="BW180">
        <f>IFERROR(INDEX(PP_Grid[#Data],$DE180,72),0)</f>
        <v/>
      </c>
      <c r="BX180">
        <f>IFERROR(INDEX(PP_Grid[#Data],$DE180,73),0)</f>
        <v/>
      </c>
      <c r="BY180">
        <f>IFERROR(INDEX(PP_Grid[#Data],$DE180,74),0)</f>
        <v/>
      </c>
      <c r="BZ180">
        <f>IFERROR(INDEX(PP_Grid[#Data],$DE180,75),0)</f>
        <v/>
      </c>
      <c r="CA180">
        <f>IFERROR(INDEX(PP_Grid[#Data],$DE180,76),0)</f>
        <v/>
      </c>
      <c r="CB180">
        <f>IFERROR(INDEX(PP_Grid[#Data],$DE180,77),0)</f>
        <v/>
      </c>
      <c r="CC180">
        <f>IFERROR(INDEX(PP_Grid[#Data],$DE180,78),0)</f>
        <v/>
      </c>
      <c r="CD180">
        <f>IFERROR(INDEX(PP_Grid[#Data],$DE180,79),0)</f>
        <v/>
      </c>
      <c r="CE180">
        <f>IFERROR(INDEX(PP_Grid[#Data],$DE180,80),0)</f>
        <v/>
      </c>
      <c r="CF180">
        <f>IFERROR(INDEX(PP_Grid[#Data],$DE180,81),0)</f>
        <v/>
      </c>
      <c r="CG180">
        <f>IFERROR(INDEX(PP_Grid[#Data],$DE180,82),0)</f>
        <v/>
      </c>
      <c r="CH180">
        <f>IFERROR(INDEX(PP_Grid[#Data],$DE180,83),0)</f>
        <v/>
      </c>
      <c r="CI180">
        <f>IFERROR(INDEX(PP_Grid[#Data],$DE180,84),0)</f>
        <v/>
      </c>
      <c r="CJ180">
        <f>IFERROR(INDEX(PP_Grid[#Data],$DE180,85),0)</f>
        <v/>
      </c>
      <c r="CK180">
        <f>IFERROR(INDEX(PP_Grid[#Data],$DE180,86),0)</f>
        <v/>
      </c>
      <c r="CL180">
        <f>IFERROR(INDEX(PP_Grid[#Data],$DE180,87),0)</f>
        <v/>
      </c>
      <c r="CM180">
        <f>IFERROR(INDEX(PP_Grid[#Data],$DE180,88),0)</f>
        <v/>
      </c>
      <c r="CN180">
        <f>IFERROR(INDEX(PP_Grid[#Data],$DE180,89),0)</f>
        <v/>
      </c>
      <c r="CO180">
        <f>IFERROR(INDEX(PP_Grid[#Data],$DE180,90),0)</f>
        <v/>
      </c>
      <c r="CP180">
        <f>IFERROR(INDEX(PP_Grid[#Data],$DE180,91),0)</f>
        <v/>
      </c>
      <c r="CQ180">
        <f>IFERROR(INDEX(PP_Grid[#Data],$DE180,92),0)</f>
        <v/>
      </c>
      <c r="CR180">
        <f>IFERROR(INDEX(PP_Grid[#Data],$DE180,93),0)</f>
        <v/>
      </c>
      <c r="CS180">
        <f>IFERROR(INDEX(PP_Grid[#Data],$DE180,94),0)</f>
        <v/>
      </c>
      <c r="CT180">
        <f>IFERROR(INDEX(PP_Grid[#Data],$DE180,95),0)</f>
        <v/>
      </c>
      <c r="CU180">
        <f>IFERROR(INDEX(PP_Grid[#Data],$DE180,96),0)</f>
        <v/>
      </c>
      <c r="CV180">
        <f>IFERROR(INDEX(PP_Grid[#Data],$DE180,97),0)</f>
        <v/>
      </c>
      <c r="CW180">
        <f>IFERROR(INDEX(PP_Grid[#Data],$DE180,98),0)</f>
        <v/>
      </c>
      <c r="CX180">
        <f>IFERROR(INDEX(PP_Grid[#Data],$DE180,99),0)</f>
        <v/>
      </c>
      <c r="CY180">
        <f>IFERROR(INDEX(PP_Grid[#Data],$DE180,100),0)</f>
        <v/>
      </c>
      <c r="CZ180">
        <f>IFERROR(INDEX(PP_Grid[#Data],$DE180,101),0)</f>
        <v/>
      </c>
      <c r="DA180">
        <f>IFERROR(INDEX(PP_Grid[#Data],$DE180,102),0)</f>
        <v/>
      </c>
      <c r="DB180">
        <f>IFERROR(INDEX(PP_Grid[#Data],$DE180,103),0)</f>
        <v/>
      </c>
      <c r="DC180">
        <f>IFERROR(INDEX(PP_Grid[#Data],$DE180,104),0)</f>
        <v/>
      </c>
      <c r="DD180">
        <f>IFERROR(INDEX(PP_Grid[#Data],$DE180,105),0)</f>
        <v/>
      </c>
      <c r="DE180" s="7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SUMIFS(M_BOM[RM_Qty_Per_Batch],M_BOM[Intermediate],$B180,M_BOM[RM_Code],$A173)</f>
        <v/>
      </c>
      <c r="D181">
        <f>IFERROR(INDEX(E181:DD181,$F$1),"")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  <c r="DD181">
        <f>$C181*DD180</f>
        <v/>
      </c>
    </row>
    <row r="182">
      <c r="B182" t="inlineStr">
        <is>
          <t>TSP-104</t>
        </is>
      </c>
      <c r="C182" t="inlineStr">
        <is>
          <t>No. of batches</t>
        </is>
      </c>
      <c r="D182">
        <f>IFERROR(INDEX(E182:DD182,$F$1),"")</f>
        <v/>
      </c>
      <c r="E182">
        <f>IFERROR(INDEX(PP_Grid[#Data],$DE182,2),0)</f>
        <v/>
      </c>
      <c r="F182">
        <f>IFERROR(INDEX(PP_Grid[#Data],$DE182,3),0)</f>
        <v/>
      </c>
      <c r="G182">
        <f>IFERROR(INDEX(PP_Grid[#Data],$DE182,4),0)</f>
        <v/>
      </c>
      <c r="H182">
        <f>IFERROR(INDEX(PP_Grid[#Data],$DE182,5),0)</f>
        <v/>
      </c>
      <c r="I182">
        <f>IFERROR(INDEX(PP_Grid[#Data],$DE182,6),0)</f>
        <v/>
      </c>
      <c r="J182">
        <f>IFERROR(INDEX(PP_Grid[#Data],$DE182,7),0)</f>
        <v/>
      </c>
      <c r="K182">
        <f>IFERROR(INDEX(PP_Grid[#Data],$DE182,8),0)</f>
        <v/>
      </c>
      <c r="L182">
        <f>IFERROR(INDEX(PP_Grid[#Data],$DE182,9),0)</f>
        <v/>
      </c>
      <c r="M182">
        <f>IFERROR(INDEX(PP_Grid[#Data],$DE182,10),0)</f>
        <v/>
      </c>
      <c r="N182">
        <f>IFERROR(INDEX(PP_Grid[#Data],$DE182,11),0)</f>
        <v/>
      </c>
      <c r="O182">
        <f>IFERROR(INDEX(PP_Grid[#Data],$DE182,12),0)</f>
        <v/>
      </c>
      <c r="P182">
        <f>IFERROR(INDEX(PP_Grid[#Data],$DE182,13),0)</f>
        <v/>
      </c>
      <c r="Q182">
        <f>IFERROR(INDEX(PP_Grid[#Data],$DE182,14),0)</f>
        <v/>
      </c>
      <c r="R182">
        <f>IFERROR(INDEX(PP_Grid[#Data],$DE182,15),0)</f>
        <v/>
      </c>
      <c r="S182">
        <f>IFERROR(INDEX(PP_Grid[#Data],$DE182,16),0)</f>
        <v/>
      </c>
      <c r="T182">
        <f>IFERROR(INDEX(PP_Grid[#Data],$DE182,17),0)</f>
        <v/>
      </c>
      <c r="U182">
        <f>IFERROR(INDEX(PP_Grid[#Data],$DE182,18),0)</f>
        <v/>
      </c>
      <c r="V182">
        <f>IFERROR(INDEX(PP_Grid[#Data],$DE182,19),0)</f>
        <v/>
      </c>
      <c r="W182">
        <f>IFERROR(INDEX(PP_Grid[#Data],$DE182,20),0)</f>
        <v/>
      </c>
      <c r="X182">
        <f>IFERROR(INDEX(PP_Grid[#Data],$DE182,21),0)</f>
        <v/>
      </c>
      <c r="Y182">
        <f>IFERROR(INDEX(PP_Grid[#Data],$DE182,22),0)</f>
        <v/>
      </c>
      <c r="Z182">
        <f>IFERROR(INDEX(PP_Grid[#Data],$DE182,23),0)</f>
        <v/>
      </c>
      <c r="AA182">
        <f>IFERROR(INDEX(PP_Grid[#Data],$DE182,24),0)</f>
        <v/>
      </c>
      <c r="AB182">
        <f>IFERROR(INDEX(PP_Grid[#Data],$DE182,25),0)</f>
        <v/>
      </c>
      <c r="AC182">
        <f>IFERROR(INDEX(PP_Grid[#Data],$DE182,26),0)</f>
        <v/>
      </c>
      <c r="AD182">
        <f>IFERROR(INDEX(PP_Grid[#Data],$DE182,27),0)</f>
        <v/>
      </c>
      <c r="AE182">
        <f>IFERROR(INDEX(PP_Grid[#Data],$DE182,28),0)</f>
        <v/>
      </c>
      <c r="AF182">
        <f>IFERROR(INDEX(PP_Grid[#Data],$DE182,29),0)</f>
        <v/>
      </c>
      <c r="AG182">
        <f>IFERROR(INDEX(PP_Grid[#Data],$DE182,30),0)</f>
        <v/>
      </c>
      <c r="AH182">
        <f>IFERROR(INDEX(PP_Grid[#Data],$DE182,31),0)</f>
        <v/>
      </c>
      <c r="AI182">
        <f>IFERROR(INDEX(PP_Grid[#Data],$DE182,32),0)</f>
        <v/>
      </c>
      <c r="AJ182">
        <f>IFERROR(INDEX(PP_Grid[#Data],$DE182,33),0)</f>
        <v/>
      </c>
      <c r="AK182">
        <f>IFERROR(INDEX(PP_Grid[#Data],$DE182,34),0)</f>
        <v/>
      </c>
      <c r="AL182">
        <f>IFERROR(INDEX(PP_Grid[#Data],$DE182,35),0)</f>
        <v/>
      </c>
      <c r="AM182">
        <f>IFERROR(INDEX(PP_Grid[#Data],$DE182,36),0)</f>
        <v/>
      </c>
      <c r="AN182">
        <f>IFERROR(INDEX(PP_Grid[#Data],$DE182,37),0)</f>
        <v/>
      </c>
      <c r="AO182">
        <f>IFERROR(INDEX(PP_Grid[#Data],$DE182,38),0)</f>
        <v/>
      </c>
      <c r="AP182">
        <f>IFERROR(INDEX(PP_Grid[#Data],$DE182,39),0)</f>
        <v/>
      </c>
      <c r="AQ182">
        <f>IFERROR(INDEX(PP_Grid[#Data],$DE182,40),0)</f>
        <v/>
      </c>
      <c r="AR182">
        <f>IFERROR(INDEX(PP_Grid[#Data],$DE182,41),0)</f>
        <v/>
      </c>
      <c r="AS182">
        <f>IFERROR(INDEX(PP_Grid[#Data],$DE182,42),0)</f>
        <v/>
      </c>
      <c r="AT182">
        <f>IFERROR(INDEX(PP_Grid[#Data],$DE182,43),0)</f>
        <v/>
      </c>
      <c r="AU182">
        <f>IFERROR(INDEX(PP_Grid[#Data],$DE182,44),0)</f>
        <v/>
      </c>
      <c r="AV182">
        <f>IFERROR(INDEX(PP_Grid[#Data],$DE182,45),0)</f>
        <v/>
      </c>
      <c r="AW182">
        <f>IFERROR(INDEX(PP_Grid[#Data],$DE182,46),0)</f>
        <v/>
      </c>
      <c r="AX182">
        <f>IFERROR(INDEX(PP_Grid[#Data],$DE182,47),0)</f>
        <v/>
      </c>
      <c r="AY182">
        <f>IFERROR(INDEX(PP_Grid[#Data],$DE182,48),0)</f>
        <v/>
      </c>
      <c r="AZ182">
        <f>IFERROR(INDEX(PP_Grid[#Data],$DE182,49),0)</f>
        <v/>
      </c>
      <c r="BA182">
        <f>IFERROR(INDEX(PP_Grid[#Data],$DE182,50),0)</f>
        <v/>
      </c>
      <c r="BB182">
        <f>IFERROR(INDEX(PP_Grid[#Data],$DE182,51),0)</f>
        <v/>
      </c>
      <c r="BC182">
        <f>IFERROR(INDEX(PP_Grid[#Data],$DE182,52),0)</f>
        <v/>
      </c>
      <c r="BD182">
        <f>IFERROR(INDEX(PP_Grid[#Data],$DE182,53),0)</f>
        <v/>
      </c>
      <c r="BE182">
        <f>IFERROR(INDEX(PP_Grid[#Data],$DE182,54),0)</f>
        <v/>
      </c>
      <c r="BF182">
        <f>IFERROR(INDEX(PP_Grid[#Data],$DE182,55),0)</f>
        <v/>
      </c>
      <c r="BG182">
        <f>IFERROR(INDEX(PP_Grid[#Data],$DE182,56),0)</f>
        <v/>
      </c>
      <c r="BH182">
        <f>IFERROR(INDEX(PP_Grid[#Data],$DE182,57),0)</f>
        <v/>
      </c>
      <c r="BI182">
        <f>IFERROR(INDEX(PP_Grid[#Data],$DE182,58),0)</f>
        <v/>
      </c>
      <c r="BJ182">
        <f>IFERROR(INDEX(PP_Grid[#Data],$DE182,59),0)</f>
        <v/>
      </c>
      <c r="BK182">
        <f>IFERROR(INDEX(PP_Grid[#Data],$DE182,60),0)</f>
        <v/>
      </c>
      <c r="BL182">
        <f>IFERROR(INDEX(PP_Grid[#Data],$DE182,61),0)</f>
        <v/>
      </c>
      <c r="BM182">
        <f>IFERROR(INDEX(PP_Grid[#Data],$DE182,62),0)</f>
        <v/>
      </c>
      <c r="BN182">
        <f>IFERROR(INDEX(PP_Grid[#Data],$DE182,63),0)</f>
        <v/>
      </c>
      <c r="BO182">
        <f>IFERROR(INDEX(PP_Grid[#Data],$DE182,64),0)</f>
        <v/>
      </c>
      <c r="BP182">
        <f>IFERROR(INDEX(PP_Grid[#Data],$DE182,65),0)</f>
        <v/>
      </c>
      <c r="BQ182">
        <f>IFERROR(INDEX(PP_Grid[#Data],$DE182,66),0)</f>
        <v/>
      </c>
      <c r="BR182">
        <f>IFERROR(INDEX(PP_Grid[#Data],$DE182,67),0)</f>
        <v/>
      </c>
      <c r="BS182">
        <f>IFERROR(INDEX(PP_Grid[#Data],$DE182,68),0)</f>
        <v/>
      </c>
      <c r="BT182">
        <f>IFERROR(INDEX(PP_Grid[#Data],$DE182,69),0)</f>
        <v/>
      </c>
      <c r="BU182">
        <f>IFERROR(INDEX(PP_Grid[#Data],$DE182,70),0)</f>
        <v/>
      </c>
      <c r="BV182">
        <f>IFERROR(INDEX(PP_Grid[#Data],$DE182,71),0)</f>
        <v/>
      </c>
      <c r="BW182">
        <f>IFERROR(INDEX(PP_Grid[#Data],$DE182,72),0)</f>
        <v/>
      </c>
      <c r="BX182">
        <f>IFERROR(INDEX(PP_Grid[#Data],$DE182,73),0)</f>
        <v/>
      </c>
      <c r="BY182">
        <f>IFERROR(INDEX(PP_Grid[#Data],$DE182,74),0)</f>
        <v/>
      </c>
      <c r="BZ182">
        <f>IFERROR(INDEX(PP_Grid[#Data],$DE182,75),0)</f>
        <v/>
      </c>
      <c r="CA182">
        <f>IFERROR(INDEX(PP_Grid[#Data],$DE182,76),0)</f>
        <v/>
      </c>
      <c r="CB182">
        <f>IFERROR(INDEX(PP_Grid[#Data],$DE182,77),0)</f>
        <v/>
      </c>
      <c r="CC182">
        <f>IFERROR(INDEX(PP_Grid[#Data],$DE182,78),0)</f>
        <v/>
      </c>
      <c r="CD182">
        <f>IFERROR(INDEX(PP_Grid[#Data],$DE182,79),0)</f>
        <v/>
      </c>
      <c r="CE182">
        <f>IFERROR(INDEX(PP_Grid[#Data],$DE182,80),0)</f>
        <v/>
      </c>
      <c r="CF182">
        <f>IFERROR(INDEX(PP_Grid[#Data],$DE182,81),0)</f>
        <v/>
      </c>
      <c r="CG182">
        <f>IFERROR(INDEX(PP_Grid[#Data],$DE182,82),0)</f>
        <v/>
      </c>
      <c r="CH182">
        <f>IFERROR(INDEX(PP_Grid[#Data],$DE182,83),0)</f>
        <v/>
      </c>
      <c r="CI182">
        <f>IFERROR(INDEX(PP_Grid[#Data],$DE182,84),0)</f>
        <v/>
      </c>
      <c r="CJ182">
        <f>IFERROR(INDEX(PP_Grid[#Data],$DE182,85),0)</f>
        <v/>
      </c>
      <c r="CK182">
        <f>IFERROR(INDEX(PP_Grid[#Data],$DE182,86),0)</f>
        <v/>
      </c>
      <c r="CL182">
        <f>IFERROR(INDEX(PP_Grid[#Data],$DE182,87),0)</f>
        <v/>
      </c>
      <c r="CM182">
        <f>IFERROR(INDEX(PP_Grid[#Data],$DE182,88),0)</f>
        <v/>
      </c>
      <c r="CN182">
        <f>IFERROR(INDEX(PP_Grid[#Data],$DE182,89),0)</f>
        <v/>
      </c>
      <c r="CO182">
        <f>IFERROR(INDEX(PP_Grid[#Data],$DE182,90),0)</f>
        <v/>
      </c>
      <c r="CP182">
        <f>IFERROR(INDEX(PP_Grid[#Data],$DE182,91),0)</f>
        <v/>
      </c>
      <c r="CQ182">
        <f>IFERROR(INDEX(PP_Grid[#Data],$DE182,92),0)</f>
        <v/>
      </c>
      <c r="CR182">
        <f>IFERROR(INDEX(PP_Grid[#Data],$DE182,93),0)</f>
        <v/>
      </c>
      <c r="CS182">
        <f>IFERROR(INDEX(PP_Grid[#Data],$DE182,94),0)</f>
        <v/>
      </c>
      <c r="CT182">
        <f>IFERROR(INDEX(PP_Grid[#Data],$DE182,95),0)</f>
        <v/>
      </c>
      <c r="CU182">
        <f>IFERROR(INDEX(PP_Grid[#Data],$DE182,96),0)</f>
        <v/>
      </c>
      <c r="CV182">
        <f>IFERROR(INDEX(PP_Grid[#Data],$DE182,97),0)</f>
        <v/>
      </c>
      <c r="CW182">
        <f>IFERROR(INDEX(PP_Grid[#Data],$DE182,98),0)</f>
        <v/>
      </c>
      <c r="CX182">
        <f>IFERROR(INDEX(PP_Grid[#Data],$DE182,99),0)</f>
        <v/>
      </c>
      <c r="CY182">
        <f>IFERROR(INDEX(PP_Grid[#Data],$DE182,100),0)</f>
        <v/>
      </c>
      <c r="CZ182">
        <f>IFERROR(INDEX(PP_Grid[#Data],$DE182,101),0)</f>
        <v/>
      </c>
      <c r="DA182">
        <f>IFERROR(INDEX(PP_Grid[#Data],$DE182,102),0)</f>
        <v/>
      </c>
      <c r="DB182">
        <f>IFERROR(INDEX(PP_Grid[#Data],$DE182,103),0)</f>
        <v/>
      </c>
      <c r="DC182">
        <f>IFERROR(INDEX(PP_Grid[#Data],$DE182,104),0)</f>
        <v/>
      </c>
      <c r="DD182">
        <f>IFERROR(INDEX(PP_Grid[#Data],$DE182,105),0)</f>
        <v/>
      </c>
      <c r="DE182" s="7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SUMIFS(M_BOM[RM_Qty_Per_Batch],M_BOM[Intermediate],$B182,M_BOM[RM_Code],$A173)</f>
        <v/>
      </c>
      <c r="D183">
        <f>IFERROR(INDEX(E183:DD183,$F$1),"")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  <c r="DD183">
        <f>$C183*DD182</f>
        <v/>
      </c>
    </row>
    <row r="184">
      <c r="B184" s="4" t="inlineStr">
        <is>
          <t>合計使用量(kg)/週</t>
        </is>
      </c>
      <c r="D184" s="22">
        <f>IFERROR(INDEX(E184:DD184,$F$1),"")</f>
        <v/>
      </c>
      <c r="E184">
        <f>'Grid_Requirement'!B44</f>
        <v/>
      </c>
      <c r="F184">
        <f>'Grid_Requirement'!C44</f>
        <v/>
      </c>
      <c r="G184">
        <f>'Grid_Requirement'!D44</f>
        <v/>
      </c>
      <c r="H184">
        <f>'Grid_Requirement'!E44</f>
        <v/>
      </c>
      <c r="I184">
        <f>'Grid_Requirement'!F44</f>
        <v/>
      </c>
      <c r="J184">
        <f>'Grid_Requirement'!G44</f>
        <v/>
      </c>
      <c r="K184">
        <f>'Grid_Requirement'!H44</f>
        <v/>
      </c>
      <c r="L184">
        <f>'Grid_Requirement'!I44</f>
        <v/>
      </c>
      <c r="M184">
        <f>'Grid_Requirement'!J44</f>
        <v/>
      </c>
      <c r="N184">
        <f>'Grid_Requirement'!K44</f>
        <v/>
      </c>
      <c r="O184">
        <f>'Grid_Requirement'!L44</f>
        <v/>
      </c>
      <c r="P184">
        <f>'Grid_Requirement'!M44</f>
        <v/>
      </c>
      <c r="Q184">
        <f>'Grid_Requirement'!N44</f>
        <v/>
      </c>
      <c r="R184">
        <f>'Grid_Requirement'!O44</f>
        <v/>
      </c>
      <c r="S184">
        <f>'Grid_Requirement'!P44</f>
        <v/>
      </c>
      <c r="T184">
        <f>'Grid_Requirement'!Q44</f>
        <v/>
      </c>
      <c r="U184">
        <f>'Grid_Requirement'!R44</f>
        <v/>
      </c>
      <c r="V184">
        <f>'Grid_Requirement'!S44</f>
        <v/>
      </c>
      <c r="W184">
        <f>'Grid_Requirement'!T44</f>
        <v/>
      </c>
      <c r="X184">
        <f>'Grid_Requirement'!U44</f>
        <v/>
      </c>
      <c r="Y184">
        <f>'Grid_Requirement'!V44</f>
        <v/>
      </c>
      <c r="Z184">
        <f>'Grid_Requirement'!W44</f>
        <v/>
      </c>
      <c r="AA184">
        <f>'Grid_Requirement'!X44</f>
        <v/>
      </c>
      <c r="AB184">
        <f>'Grid_Requirement'!Y44</f>
        <v/>
      </c>
      <c r="AC184">
        <f>'Grid_Requirement'!Z44</f>
        <v/>
      </c>
      <c r="AD184">
        <f>'Grid_Requirement'!AA44</f>
        <v/>
      </c>
      <c r="AE184">
        <f>'Grid_Requirement'!AB44</f>
        <v/>
      </c>
      <c r="AF184">
        <f>'Grid_Requirement'!AC44</f>
        <v/>
      </c>
      <c r="AG184">
        <f>'Grid_Requirement'!AD44</f>
        <v/>
      </c>
      <c r="AH184">
        <f>'Grid_Requirement'!AE44</f>
        <v/>
      </c>
      <c r="AI184">
        <f>'Grid_Requirement'!AF44</f>
        <v/>
      </c>
      <c r="AJ184">
        <f>'Grid_Requirement'!AG44</f>
        <v/>
      </c>
      <c r="AK184">
        <f>'Grid_Requirement'!AH44</f>
        <v/>
      </c>
      <c r="AL184">
        <f>'Grid_Requirement'!AI44</f>
        <v/>
      </c>
      <c r="AM184">
        <f>'Grid_Requirement'!AJ44</f>
        <v/>
      </c>
      <c r="AN184">
        <f>'Grid_Requirement'!AK44</f>
        <v/>
      </c>
      <c r="AO184">
        <f>'Grid_Requirement'!AL44</f>
        <v/>
      </c>
      <c r="AP184">
        <f>'Grid_Requirement'!AM44</f>
        <v/>
      </c>
      <c r="AQ184">
        <f>'Grid_Requirement'!AN44</f>
        <v/>
      </c>
      <c r="AR184">
        <f>'Grid_Requirement'!AO44</f>
        <v/>
      </c>
      <c r="AS184">
        <f>'Grid_Requirement'!AP44</f>
        <v/>
      </c>
      <c r="AT184">
        <f>'Grid_Requirement'!AQ44</f>
        <v/>
      </c>
      <c r="AU184">
        <f>'Grid_Requirement'!AR44</f>
        <v/>
      </c>
      <c r="AV184">
        <f>'Grid_Requirement'!AS44</f>
        <v/>
      </c>
      <c r="AW184">
        <f>'Grid_Requirement'!AT44</f>
        <v/>
      </c>
      <c r="AX184">
        <f>'Grid_Requirement'!AU44</f>
        <v/>
      </c>
      <c r="AY184">
        <f>'Grid_Requirement'!AV44</f>
        <v/>
      </c>
      <c r="AZ184">
        <f>'Grid_Requirement'!AW44</f>
        <v/>
      </c>
      <c r="BA184">
        <f>'Grid_Requirement'!AX44</f>
        <v/>
      </c>
      <c r="BB184">
        <f>'Grid_Requirement'!AY44</f>
        <v/>
      </c>
      <c r="BC184">
        <f>'Grid_Requirement'!AZ44</f>
        <v/>
      </c>
      <c r="BD184">
        <f>'Grid_Requirement'!BA44</f>
        <v/>
      </c>
      <c r="BE184">
        <f>'Grid_Requirement'!BB44</f>
        <v/>
      </c>
      <c r="BF184">
        <f>'Grid_Requirement'!BC44</f>
        <v/>
      </c>
      <c r="BG184">
        <f>'Grid_Requirement'!BD44</f>
        <v/>
      </c>
      <c r="BH184">
        <f>'Grid_Requirement'!BE44</f>
        <v/>
      </c>
      <c r="BI184">
        <f>'Grid_Requirement'!BF44</f>
        <v/>
      </c>
      <c r="BJ184">
        <f>'Grid_Requirement'!BG44</f>
        <v/>
      </c>
      <c r="BK184">
        <f>'Grid_Requirement'!BH44</f>
        <v/>
      </c>
      <c r="BL184">
        <f>'Grid_Requirement'!BI44</f>
        <v/>
      </c>
      <c r="BM184">
        <f>'Grid_Requirement'!BJ44</f>
        <v/>
      </c>
      <c r="BN184">
        <f>'Grid_Requirement'!BK44</f>
        <v/>
      </c>
      <c r="BO184">
        <f>'Grid_Requirement'!BL44</f>
        <v/>
      </c>
      <c r="BP184">
        <f>'Grid_Requirement'!BM44</f>
        <v/>
      </c>
      <c r="BQ184">
        <f>'Grid_Requirement'!BN44</f>
        <v/>
      </c>
      <c r="BR184">
        <f>'Grid_Requirement'!BO44</f>
        <v/>
      </c>
      <c r="BS184">
        <f>'Grid_Requirement'!BP44</f>
        <v/>
      </c>
      <c r="BT184">
        <f>'Grid_Requirement'!BQ44</f>
        <v/>
      </c>
      <c r="BU184">
        <f>'Grid_Requirement'!BR44</f>
        <v/>
      </c>
      <c r="BV184">
        <f>'Grid_Requirement'!BS44</f>
        <v/>
      </c>
      <c r="BW184">
        <f>'Grid_Requirement'!BT44</f>
        <v/>
      </c>
      <c r="BX184">
        <f>'Grid_Requirement'!BU44</f>
        <v/>
      </c>
      <c r="BY184">
        <f>'Grid_Requirement'!BV44</f>
        <v/>
      </c>
      <c r="BZ184">
        <f>'Grid_Requirement'!BW44</f>
        <v/>
      </c>
      <c r="CA184">
        <f>'Grid_Requirement'!BX44</f>
        <v/>
      </c>
      <c r="CB184">
        <f>'Grid_Requirement'!BY44</f>
        <v/>
      </c>
      <c r="CC184">
        <f>'Grid_Requirement'!BZ44</f>
        <v/>
      </c>
      <c r="CD184">
        <f>'Grid_Requirement'!CA44</f>
        <v/>
      </c>
      <c r="CE184">
        <f>'Grid_Requirement'!CB44</f>
        <v/>
      </c>
      <c r="CF184">
        <f>'Grid_Requirement'!CC44</f>
        <v/>
      </c>
      <c r="CG184">
        <f>'Grid_Requirement'!CD44</f>
        <v/>
      </c>
      <c r="CH184">
        <f>'Grid_Requirement'!CE44</f>
        <v/>
      </c>
      <c r="CI184">
        <f>'Grid_Requirement'!CF44</f>
        <v/>
      </c>
      <c r="CJ184">
        <f>'Grid_Requirement'!CG44</f>
        <v/>
      </c>
      <c r="CK184">
        <f>'Grid_Requirement'!CH44</f>
        <v/>
      </c>
      <c r="CL184">
        <f>'Grid_Requirement'!CI44</f>
        <v/>
      </c>
      <c r="CM184">
        <f>'Grid_Requirement'!CJ44</f>
        <v/>
      </c>
      <c r="CN184">
        <f>'Grid_Requirement'!CK44</f>
        <v/>
      </c>
      <c r="CO184">
        <f>'Grid_Requirement'!CL44</f>
        <v/>
      </c>
      <c r="CP184">
        <f>'Grid_Requirement'!CM44</f>
        <v/>
      </c>
      <c r="CQ184">
        <f>'Grid_Requirement'!CN44</f>
        <v/>
      </c>
      <c r="CR184">
        <f>'Grid_Requirement'!CO44</f>
        <v/>
      </c>
      <c r="CS184">
        <f>'Grid_Requirement'!CP44</f>
        <v/>
      </c>
      <c r="CT184">
        <f>'Grid_Requirement'!CQ44</f>
        <v/>
      </c>
      <c r="CU184">
        <f>'Grid_Requirement'!CR44</f>
        <v/>
      </c>
      <c r="CV184">
        <f>'Grid_Requirement'!CS44</f>
        <v/>
      </c>
      <c r="CW184">
        <f>'Grid_Requirement'!CT44</f>
        <v/>
      </c>
      <c r="CX184">
        <f>'Grid_Requirement'!CU44</f>
        <v/>
      </c>
      <c r="CY184">
        <f>'Grid_Requirement'!CV44</f>
        <v/>
      </c>
      <c r="CZ184">
        <f>'Grid_Requirement'!CW44</f>
        <v/>
      </c>
      <c r="DA184">
        <f>'Grid_Requirement'!CX44</f>
        <v/>
      </c>
      <c r="DB184">
        <f>'Grid_Requirement'!CY44</f>
        <v/>
      </c>
      <c r="DC184">
        <f>'Grid_Requirement'!CZ44</f>
        <v/>
      </c>
      <c r="DD184">
        <f>'Grid_Requirement'!DA44</f>
        <v/>
      </c>
    </row>
    <row r="185">
      <c r="B185" s="23" t="inlineStr">
        <is>
          <t>（在庫・入荷予定はDashboard参照）</t>
        </is>
      </c>
    </row>
    <row r="187">
      <c r="A187" s="21" t="inlineStr">
        <is>
          <t>CHEM-1260</t>
        </is>
      </c>
      <c r="B187" s="21" t="inlineStr">
        <is>
          <t>Acetic Acid 90% (25L)</t>
        </is>
      </c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  <c r="AA187" s="21" t="n"/>
      <c r="AB187" s="21" t="n"/>
      <c r="AC187" s="21" t="n"/>
      <c r="AD187" s="21" t="n"/>
      <c r="AE187" s="21" t="n"/>
      <c r="AF187" s="21" t="n"/>
      <c r="AG187" s="21" t="n"/>
      <c r="AH187" s="21" t="n"/>
      <c r="AI187" s="21" t="n"/>
      <c r="AJ187" s="21" t="n"/>
      <c r="AK187" s="21" t="n"/>
      <c r="AL187" s="21" t="n"/>
      <c r="AM187" s="21" t="n"/>
      <c r="AN187" s="21" t="n"/>
      <c r="AO187" s="21" t="n"/>
      <c r="AP187" s="21" t="n"/>
      <c r="AQ187" s="21" t="n"/>
      <c r="AR187" s="21" t="n"/>
      <c r="AS187" s="21" t="n"/>
      <c r="AT187" s="21" t="n"/>
      <c r="AU187" s="21" t="n"/>
      <c r="AV187" s="21" t="n"/>
      <c r="AW187" s="21" t="n"/>
      <c r="AX187" s="21" t="n"/>
      <c r="AY187" s="21" t="n"/>
      <c r="AZ187" s="21" t="n"/>
      <c r="BA187" s="21" t="n"/>
      <c r="BB187" s="21" t="n"/>
      <c r="BC187" s="21" t="n"/>
      <c r="BD187" s="21" t="n"/>
      <c r="BE187" s="21" t="n"/>
      <c r="BF187" s="21" t="n"/>
      <c r="BG187" s="21" t="n"/>
      <c r="BH187" s="21" t="n"/>
      <c r="BI187" s="21" t="n"/>
      <c r="BJ187" s="21" t="n"/>
      <c r="BK187" s="21" t="n"/>
      <c r="BL187" s="21" t="n"/>
      <c r="BM187" s="21" t="n"/>
      <c r="BN187" s="21" t="n"/>
      <c r="BO187" s="21" t="n"/>
      <c r="BP187" s="21" t="n"/>
      <c r="BQ187" s="21" t="n"/>
      <c r="BR187" s="21" t="n"/>
      <c r="BS187" s="21" t="n"/>
      <c r="BT187" s="21" t="n"/>
      <c r="BU187" s="21" t="n"/>
      <c r="BV187" s="21" t="n"/>
      <c r="BW187" s="21" t="n"/>
      <c r="BX187" s="21" t="n"/>
      <c r="BY187" s="21" t="n"/>
      <c r="BZ187" s="21" t="n"/>
      <c r="CA187" s="21" t="n"/>
      <c r="CB187" s="21" t="n"/>
      <c r="CC187" s="21" t="n"/>
      <c r="CD187" s="21" t="n"/>
      <c r="CE187" s="21" t="n"/>
      <c r="CF187" s="21" t="n"/>
      <c r="CG187" s="21" t="n"/>
      <c r="CH187" s="21" t="n"/>
      <c r="CI187" s="21" t="n"/>
      <c r="CJ187" s="21" t="n"/>
      <c r="CK187" s="21" t="n"/>
      <c r="CL187" s="21" t="n"/>
      <c r="CM187" s="21" t="n"/>
      <c r="CN187" s="21" t="n"/>
      <c r="CO187" s="21" t="n"/>
      <c r="CP187" s="21" t="n"/>
      <c r="CQ187" s="21" t="n"/>
      <c r="CR187" s="21" t="n"/>
      <c r="CS187" s="21" t="n"/>
      <c r="CT187" s="21" t="n"/>
      <c r="CU187" s="21" t="n"/>
      <c r="CV187" s="21" t="n"/>
      <c r="CW187" s="21" t="n"/>
      <c r="CX187" s="21" t="n"/>
      <c r="CY187" s="21" t="n"/>
      <c r="CZ187" s="21" t="n"/>
      <c r="DA187" s="21" t="n"/>
      <c r="DB187" s="21" t="n"/>
      <c r="DC187" s="21" t="n"/>
      <c r="DD187" s="21" t="n"/>
    </row>
    <row r="188">
      <c r="B188" t="inlineStr">
        <is>
          <t>TSP-049</t>
        </is>
      </c>
      <c r="C188" t="inlineStr">
        <is>
          <t>No. of batches</t>
        </is>
      </c>
      <c r="D188">
        <f>IFERROR(INDEX(E188:DD188,$F$1),"")</f>
        <v/>
      </c>
      <c r="E188">
        <f>IFERROR(INDEX(PP_Grid[#Data],$DE188,2),0)</f>
        <v/>
      </c>
      <c r="F188">
        <f>IFERROR(INDEX(PP_Grid[#Data],$DE188,3),0)</f>
        <v/>
      </c>
      <c r="G188">
        <f>IFERROR(INDEX(PP_Grid[#Data],$DE188,4),0)</f>
        <v/>
      </c>
      <c r="H188">
        <f>IFERROR(INDEX(PP_Grid[#Data],$DE188,5),0)</f>
        <v/>
      </c>
      <c r="I188">
        <f>IFERROR(INDEX(PP_Grid[#Data],$DE188,6),0)</f>
        <v/>
      </c>
      <c r="J188">
        <f>IFERROR(INDEX(PP_Grid[#Data],$DE188,7),0)</f>
        <v/>
      </c>
      <c r="K188">
        <f>IFERROR(INDEX(PP_Grid[#Data],$DE188,8),0)</f>
        <v/>
      </c>
      <c r="L188">
        <f>IFERROR(INDEX(PP_Grid[#Data],$DE188,9),0)</f>
        <v/>
      </c>
      <c r="M188">
        <f>IFERROR(INDEX(PP_Grid[#Data],$DE188,10),0)</f>
        <v/>
      </c>
      <c r="N188">
        <f>IFERROR(INDEX(PP_Grid[#Data],$DE188,11),0)</f>
        <v/>
      </c>
      <c r="O188">
        <f>IFERROR(INDEX(PP_Grid[#Data],$DE188,12),0)</f>
        <v/>
      </c>
      <c r="P188">
        <f>IFERROR(INDEX(PP_Grid[#Data],$DE188,13),0)</f>
        <v/>
      </c>
      <c r="Q188">
        <f>IFERROR(INDEX(PP_Grid[#Data],$DE188,14),0)</f>
        <v/>
      </c>
      <c r="R188">
        <f>IFERROR(INDEX(PP_Grid[#Data],$DE188,15),0)</f>
        <v/>
      </c>
      <c r="S188">
        <f>IFERROR(INDEX(PP_Grid[#Data],$DE188,16),0)</f>
        <v/>
      </c>
      <c r="T188">
        <f>IFERROR(INDEX(PP_Grid[#Data],$DE188,17),0)</f>
        <v/>
      </c>
      <c r="U188">
        <f>IFERROR(INDEX(PP_Grid[#Data],$DE188,18),0)</f>
        <v/>
      </c>
      <c r="V188">
        <f>IFERROR(INDEX(PP_Grid[#Data],$DE188,19),0)</f>
        <v/>
      </c>
      <c r="W188">
        <f>IFERROR(INDEX(PP_Grid[#Data],$DE188,20),0)</f>
        <v/>
      </c>
      <c r="X188">
        <f>IFERROR(INDEX(PP_Grid[#Data],$DE188,21),0)</f>
        <v/>
      </c>
      <c r="Y188">
        <f>IFERROR(INDEX(PP_Grid[#Data],$DE188,22),0)</f>
        <v/>
      </c>
      <c r="Z188">
        <f>IFERROR(INDEX(PP_Grid[#Data],$DE188,23),0)</f>
        <v/>
      </c>
      <c r="AA188">
        <f>IFERROR(INDEX(PP_Grid[#Data],$DE188,24),0)</f>
        <v/>
      </c>
      <c r="AB188">
        <f>IFERROR(INDEX(PP_Grid[#Data],$DE188,25),0)</f>
        <v/>
      </c>
      <c r="AC188">
        <f>IFERROR(INDEX(PP_Grid[#Data],$DE188,26),0)</f>
        <v/>
      </c>
      <c r="AD188">
        <f>IFERROR(INDEX(PP_Grid[#Data],$DE188,27),0)</f>
        <v/>
      </c>
      <c r="AE188">
        <f>IFERROR(INDEX(PP_Grid[#Data],$DE188,28),0)</f>
        <v/>
      </c>
      <c r="AF188">
        <f>IFERROR(INDEX(PP_Grid[#Data],$DE188,29),0)</f>
        <v/>
      </c>
      <c r="AG188">
        <f>IFERROR(INDEX(PP_Grid[#Data],$DE188,30),0)</f>
        <v/>
      </c>
      <c r="AH188">
        <f>IFERROR(INDEX(PP_Grid[#Data],$DE188,31),0)</f>
        <v/>
      </c>
      <c r="AI188">
        <f>IFERROR(INDEX(PP_Grid[#Data],$DE188,32),0)</f>
        <v/>
      </c>
      <c r="AJ188">
        <f>IFERROR(INDEX(PP_Grid[#Data],$DE188,33),0)</f>
        <v/>
      </c>
      <c r="AK188">
        <f>IFERROR(INDEX(PP_Grid[#Data],$DE188,34),0)</f>
        <v/>
      </c>
      <c r="AL188">
        <f>IFERROR(INDEX(PP_Grid[#Data],$DE188,35),0)</f>
        <v/>
      </c>
      <c r="AM188">
        <f>IFERROR(INDEX(PP_Grid[#Data],$DE188,36),0)</f>
        <v/>
      </c>
      <c r="AN188">
        <f>IFERROR(INDEX(PP_Grid[#Data],$DE188,37),0)</f>
        <v/>
      </c>
      <c r="AO188">
        <f>IFERROR(INDEX(PP_Grid[#Data],$DE188,38),0)</f>
        <v/>
      </c>
      <c r="AP188">
        <f>IFERROR(INDEX(PP_Grid[#Data],$DE188,39),0)</f>
        <v/>
      </c>
      <c r="AQ188">
        <f>IFERROR(INDEX(PP_Grid[#Data],$DE188,40),0)</f>
        <v/>
      </c>
      <c r="AR188">
        <f>IFERROR(INDEX(PP_Grid[#Data],$DE188,41),0)</f>
        <v/>
      </c>
      <c r="AS188">
        <f>IFERROR(INDEX(PP_Grid[#Data],$DE188,42),0)</f>
        <v/>
      </c>
      <c r="AT188">
        <f>IFERROR(INDEX(PP_Grid[#Data],$DE188,43),0)</f>
        <v/>
      </c>
      <c r="AU188">
        <f>IFERROR(INDEX(PP_Grid[#Data],$DE188,44),0)</f>
        <v/>
      </c>
      <c r="AV188">
        <f>IFERROR(INDEX(PP_Grid[#Data],$DE188,45),0)</f>
        <v/>
      </c>
      <c r="AW188">
        <f>IFERROR(INDEX(PP_Grid[#Data],$DE188,46),0)</f>
        <v/>
      </c>
      <c r="AX188">
        <f>IFERROR(INDEX(PP_Grid[#Data],$DE188,47),0)</f>
        <v/>
      </c>
      <c r="AY188">
        <f>IFERROR(INDEX(PP_Grid[#Data],$DE188,48),0)</f>
        <v/>
      </c>
      <c r="AZ188">
        <f>IFERROR(INDEX(PP_Grid[#Data],$DE188,49),0)</f>
        <v/>
      </c>
      <c r="BA188">
        <f>IFERROR(INDEX(PP_Grid[#Data],$DE188,50),0)</f>
        <v/>
      </c>
      <c r="BB188">
        <f>IFERROR(INDEX(PP_Grid[#Data],$DE188,51),0)</f>
        <v/>
      </c>
      <c r="BC188">
        <f>IFERROR(INDEX(PP_Grid[#Data],$DE188,52),0)</f>
        <v/>
      </c>
      <c r="BD188">
        <f>IFERROR(INDEX(PP_Grid[#Data],$DE188,53),0)</f>
        <v/>
      </c>
      <c r="BE188">
        <f>IFERROR(INDEX(PP_Grid[#Data],$DE188,54),0)</f>
        <v/>
      </c>
      <c r="BF188">
        <f>IFERROR(INDEX(PP_Grid[#Data],$DE188,55),0)</f>
        <v/>
      </c>
      <c r="BG188">
        <f>IFERROR(INDEX(PP_Grid[#Data],$DE188,56),0)</f>
        <v/>
      </c>
      <c r="BH188">
        <f>IFERROR(INDEX(PP_Grid[#Data],$DE188,57),0)</f>
        <v/>
      </c>
      <c r="BI188">
        <f>IFERROR(INDEX(PP_Grid[#Data],$DE188,58),0)</f>
        <v/>
      </c>
      <c r="BJ188">
        <f>IFERROR(INDEX(PP_Grid[#Data],$DE188,59),0)</f>
        <v/>
      </c>
      <c r="BK188">
        <f>IFERROR(INDEX(PP_Grid[#Data],$DE188,60),0)</f>
        <v/>
      </c>
      <c r="BL188">
        <f>IFERROR(INDEX(PP_Grid[#Data],$DE188,61),0)</f>
        <v/>
      </c>
      <c r="BM188">
        <f>IFERROR(INDEX(PP_Grid[#Data],$DE188,62),0)</f>
        <v/>
      </c>
      <c r="BN188">
        <f>IFERROR(INDEX(PP_Grid[#Data],$DE188,63),0)</f>
        <v/>
      </c>
      <c r="BO188">
        <f>IFERROR(INDEX(PP_Grid[#Data],$DE188,64),0)</f>
        <v/>
      </c>
      <c r="BP188">
        <f>IFERROR(INDEX(PP_Grid[#Data],$DE188,65),0)</f>
        <v/>
      </c>
      <c r="BQ188">
        <f>IFERROR(INDEX(PP_Grid[#Data],$DE188,66),0)</f>
        <v/>
      </c>
      <c r="BR188">
        <f>IFERROR(INDEX(PP_Grid[#Data],$DE188,67),0)</f>
        <v/>
      </c>
      <c r="BS188">
        <f>IFERROR(INDEX(PP_Grid[#Data],$DE188,68),0)</f>
        <v/>
      </c>
      <c r="BT188">
        <f>IFERROR(INDEX(PP_Grid[#Data],$DE188,69),0)</f>
        <v/>
      </c>
      <c r="BU188">
        <f>IFERROR(INDEX(PP_Grid[#Data],$DE188,70),0)</f>
        <v/>
      </c>
      <c r="BV188">
        <f>IFERROR(INDEX(PP_Grid[#Data],$DE188,71),0)</f>
        <v/>
      </c>
      <c r="BW188">
        <f>IFERROR(INDEX(PP_Grid[#Data],$DE188,72),0)</f>
        <v/>
      </c>
      <c r="BX188">
        <f>IFERROR(INDEX(PP_Grid[#Data],$DE188,73),0)</f>
        <v/>
      </c>
      <c r="BY188">
        <f>IFERROR(INDEX(PP_Grid[#Data],$DE188,74),0)</f>
        <v/>
      </c>
      <c r="BZ188">
        <f>IFERROR(INDEX(PP_Grid[#Data],$DE188,75),0)</f>
        <v/>
      </c>
      <c r="CA188">
        <f>IFERROR(INDEX(PP_Grid[#Data],$DE188,76),0)</f>
        <v/>
      </c>
      <c r="CB188">
        <f>IFERROR(INDEX(PP_Grid[#Data],$DE188,77),0)</f>
        <v/>
      </c>
      <c r="CC188">
        <f>IFERROR(INDEX(PP_Grid[#Data],$DE188,78),0)</f>
        <v/>
      </c>
      <c r="CD188">
        <f>IFERROR(INDEX(PP_Grid[#Data],$DE188,79),0)</f>
        <v/>
      </c>
      <c r="CE188">
        <f>IFERROR(INDEX(PP_Grid[#Data],$DE188,80),0)</f>
        <v/>
      </c>
      <c r="CF188">
        <f>IFERROR(INDEX(PP_Grid[#Data],$DE188,81),0)</f>
        <v/>
      </c>
      <c r="CG188">
        <f>IFERROR(INDEX(PP_Grid[#Data],$DE188,82),0)</f>
        <v/>
      </c>
      <c r="CH188">
        <f>IFERROR(INDEX(PP_Grid[#Data],$DE188,83),0)</f>
        <v/>
      </c>
      <c r="CI188">
        <f>IFERROR(INDEX(PP_Grid[#Data],$DE188,84),0)</f>
        <v/>
      </c>
      <c r="CJ188">
        <f>IFERROR(INDEX(PP_Grid[#Data],$DE188,85),0)</f>
        <v/>
      </c>
      <c r="CK188">
        <f>IFERROR(INDEX(PP_Grid[#Data],$DE188,86),0)</f>
        <v/>
      </c>
      <c r="CL188">
        <f>IFERROR(INDEX(PP_Grid[#Data],$DE188,87),0)</f>
        <v/>
      </c>
      <c r="CM188">
        <f>IFERROR(INDEX(PP_Grid[#Data],$DE188,88),0)</f>
        <v/>
      </c>
      <c r="CN188">
        <f>IFERROR(INDEX(PP_Grid[#Data],$DE188,89),0)</f>
        <v/>
      </c>
      <c r="CO188">
        <f>IFERROR(INDEX(PP_Grid[#Data],$DE188,90),0)</f>
        <v/>
      </c>
      <c r="CP188">
        <f>IFERROR(INDEX(PP_Grid[#Data],$DE188,91),0)</f>
        <v/>
      </c>
      <c r="CQ188">
        <f>IFERROR(INDEX(PP_Grid[#Data],$DE188,92),0)</f>
        <v/>
      </c>
      <c r="CR188">
        <f>IFERROR(INDEX(PP_Grid[#Data],$DE188,93),0)</f>
        <v/>
      </c>
      <c r="CS188">
        <f>IFERROR(INDEX(PP_Grid[#Data],$DE188,94),0)</f>
        <v/>
      </c>
      <c r="CT188">
        <f>IFERROR(INDEX(PP_Grid[#Data],$DE188,95),0)</f>
        <v/>
      </c>
      <c r="CU188">
        <f>IFERROR(INDEX(PP_Grid[#Data],$DE188,96),0)</f>
        <v/>
      </c>
      <c r="CV188">
        <f>IFERROR(INDEX(PP_Grid[#Data],$DE188,97),0)</f>
        <v/>
      </c>
      <c r="CW188">
        <f>IFERROR(INDEX(PP_Grid[#Data],$DE188,98),0)</f>
        <v/>
      </c>
      <c r="CX188">
        <f>IFERROR(INDEX(PP_Grid[#Data],$DE188,99),0)</f>
        <v/>
      </c>
      <c r="CY188">
        <f>IFERROR(INDEX(PP_Grid[#Data],$DE188,100),0)</f>
        <v/>
      </c>
      <c r="CZ188">
        <f>IFERROR(INDEX(PP_Grid[#Data],$DE188,101),0)</f>
        <v/>
      </c>
      <c r="DA188">
        <f>IFERROR(INDEX(PP_Grid[#Data],$DE188,102),0)</f>
        <v/>
      </c>
      <c r="DB188">
        <f>IFERROR(INDEX(PP_Grid[#Data],$DE188,103),0)</f>
        <v/>
      </c>
      <c r="DC188">
        <f>IFERROR(INDEX(PP_Grid[#Data],$DE188,104),0)</f>
        <v/>
      </c>
      <c r="DD188">
        <f>IFERROR(INDEX(PP_Grid[#Data],$DE188,105),0)</f>
        <v/>
      </c>
      <c r="DE188" s="7">
        <f>IFERROR(MATCH($B188,PP_Grid[Intermediate],0),99999)</f>
        <v/>
      </c>
    </row>
    <row r="189">
      <c r="B189" t="inlineStr">
        <is>
          <t>使用量(kg)</t>
        </is>
      </c>
      <c r="C189">
        <f>SUMIFS(M_BOM[RM_Qty_Per_Batch],M_BOM[Intermediate],$B188,M_BOM[RM_Code],$A187)</f>
        <v/>
      </c>
      <c r="D189">
        <f>IFERROR(INDEX(E189:DD189,$F$1),"")</f>
        <v/>
      </c>
      <c r="E189">
        <f>$C189*E188</f>
        <v/>
      </c>
      <c r="F189">
        <f>$C189*F188</f>
        <v/>
      </c>
      <c r="G189">
        <f>$C189*G188</f>
        <v/>
      </c>
      <c r="H189">
        <f>$C189*H188</f>
        <v/>
      </c>
      <c r="I189">
        <f>$C189*I188</f>
        <v/>
      </c>
      <c r="J189">
        <f>$C189*J188</f>
        <v/>
      </c>
      <c r="K189">
        <f>$C189*K188</f>
        <v/>
      </c>
      <c r="L189">
        <f>$C189*L188</f>
        <v/>
      </c>
      <c r="M189">
        <f>$C189*M188</f>
        <v/>
      </c>
      <c r="N189">
        <f>$C189*N188</f>
        <v/>
      </c>
      <c r="O189">
        <f>$C189*O188</f>
        <v/>
      </c>
      <c r="P189">
        <f>$C189*P188</f>
        <v/>
      </c>
      <c r="Q189">
        <f>$C189*Q188</f>
        <v/>
      </c>
      <c r="R189">
        <f>$C189*R188</f>
        <v/>
      </c>
      <c r="S189">
        <f>$C189*S188</f>
        <v/>
      </c>
      <c r="T189">
        <f>$C189*T188</f>
        <v/>
      </c>
      <c r="U189">
        <f>$C189*U188</f>
        <v/>
      </c>
      <c r="V189">
        <f>$C189*V188</f>
        <v/>
      </c>
      <c r="W189">
        <f>$C189*W188</f>
        <v/>
      </c>
      <c r="X189">
        <f>$C189*X188</f>
        <v/>
      </c>
      <c r="Y189">
        <f>$C189*Y188</f>
        <v/>
      </c>
      <c r="Z189">
        <f>$C189*Z188</f>
        <v/>
      </c>
      <c r="AA189">
        <f>$C189*AA188</f>
        <v/>
      </c>
      <c r="AB189">
        <f>$C189*AB188</f>
        <v/>
      </c>
      <c r="AC189">
        <f>$C189*AC188</f>
        <v/>
      </c>
      <c r="AD189">
        <f>$C189*AD188</f>
        <v/>
      </c>
      <c r="AE189">
        <f>$C189*AE188</f>
        <v/>
      </c>
      <c r="AF189">
        <f>$C189*AF188</f>
        <v/>
      </c>
      <c r="AG189">
        <f>$C189*AG188</f>
        <v/>
      </c>
      <c r="AH189">
        <f>$C189*AH188</f>
        <v/>
      </c>
      <c r="AI189">
        <f>$C189*AI188</f>
        <v/>
      </c>
      <c r="AJ189">
        <f>$C189*AJ188</f>
        <v/>
      </c>
      <c r="AK189">
        <f>$C189*AK188</f>
        <v/>
      </c>
      <c r="AL189">
        <f>$C189*AL188</f>
        <v/>
      </c>
      <c r="AM189">
        <f>$C189*AM188</f>
        <v/>
      </c>
      <c r="AN189">
        <f>$C189*AN188</f>
        <v/>
      </c>
      <c r="AO189">
        <f>$C189*AO188</f>
        <v/>
      </c>
      <c r="AP189">
        <f>$C189*AP188</f>
        <v/>
      </c>
      <c r="AQ189">
        <f>$C189*AQ188</f>
        <v/>
      </c>
      <c r="AR189">
        <f>$C189*AR188</f>
        <v/>
      </c>
      <c r="AS189">
        <f>$C189*AS188</f>
        <v/>
      </c>
      <c r="AT189">
        <f>$C189*AT188</f>
        <v/>
      </c>
      <c r="AU189">
        <f>$C189*AU188</f>
        <v/>
      </c>
      <c r="AV189">
        <f>$C189*AV188</f>
        <v/>
      </c>
      <c r="AW189">
        <f>$C189*AW188</f>
        <v/>
      </c>
      <c r="AX189">
        <f>$C189*AX188</f>
        <v/>
      </c>
      <c r="AY189">
        <f>$C189*AY188</f>
        <v/>
      </c>
      <c r="AZ189">
        <f>$C189*AZ188</f>
        <v/>
      </c>
      <c r="BA189">
        <f>$C189*BA188</f>
        <v/>
      </c>
      <c r="BB189">
        <f>$C189*BB188</f>
        <v/>
      </c>
      <c r="BC189">
        <f>$C189*BC188</f>
        <v/>
      </c>
      <c r="BD189">
        <f>$C189*BD188</f>
        <v/>
      </c>
      <c r="BE189">
        <f>$C189*BE188</f>
        <v/>
      </c>
      <c r="BF189">
        <f>$C189*BF188</f>
        <v/>
      </c>
      <c r="BG189">
        <f>$C189*BG188</f>
        <v/>
      </c>
      <c r="BH189">
        <f>$C189*BH188</f>
        <v/>
      </c>
      <c r="BI189">
        <f>$C189*BI188</f>
        <v/>
      </c>
      <c r="BJ189">
        <f>$C189*BJ188</f>
        <v/>
      </c>
      <c r="BK189">
        <f>$C189*BK188</f>
        <v/>
      </c>
      <c r="BL189">
        <f>$C189*BL188</f>
        <v/>
      </c>
      <c r="BM189">
        <f>$C189*BM188</f>
        <v/>
      </c>
      <c r="BN189">
        <f>$C189*BN188</f>
        <v/>
      </c>
      <c r="BO189">
        <f>$C189*BO188</f>
        <v/>
      </c>
      <c r="BP189">
        <f>$C189*BP188</f>
        <v/>
      </c>
      <c r="BQ189">
        <f>$C189*BQ188</f>
        <v/>
      </c>
      <c r="BR189">
        <f>$C189*BR188</f>
        <v/>
      </c>
      <c r="BS189">
        <f>$C189*BS188</f>
        <v/>
      </c>
      <c r="BT189">
        <f>$C189*BT188</f>
        <v/>
      </c>
      <c r="BU189">
        <f>$C189*BU188</f>
        <v/>
      </c>
      <c r="BV189">
        <f>$C189*BV188</f>
        <v/>
      </c>
      <c r="BW189">
        <f>$C189*BW188</f>
        <v/>
      </c>
      <c r="BX189">
        <f>$C189*BX188</f>
        <v/>
      </c>
      <c r="BY189">
        <f>$C189*BY188</f>
        <v/>
      </c>
      <c r="BZ189">
        <f>$C189*BZ188</f>
        <v/>
      </c>
      <c r="CA189">
        <f>$C189*CA188</f>
        <v/>
      </c>
      <c r="CB189">
        <f>$C189*CB188</f>
        <v/>
      </c>
      <c r="CC189">
        <f>$C189*CC188</f>
        <v/>
      </c>
      <c r="CD189">
        <f>$C189*CD188</f>
        <v/>
      </c>
      <c r="CE189">
        <f>$C189*CE188</f>
        <v/>
      </c>
      <c r="CF189">
        <f>$C189*CF188</f>
        <v/>
      </c>
      <c r="CG189">
        <f>$C189*CG188</f>
        <v/>
      </c>
      <c r="CH189">
        <f>$C189*CH188</f>
        <v/>
      </c>
      <c r="CI189">
        <f>$C189*CI188</f>
        <v/>
      </c>
      <c r="CJ189">
        <f>$C189*CJ188</f>
        <v/>
      </c>
      <c r="CK189">
        <f>$C189*CK188</f>
        <v/>
      </c>
      <c r="CL189">
        <f>$C189*CL188</f>
        <v/>
      </c>
      <c r="CM189">
        <f>$C189*CM188</f>
        <v/>
      </c>
      <c r="CN189">
        <f>$C189*CN188</f>
        <v/>
      </c>
      <c r="CO189">
        <f>$C189*CO188</f>
        <v/>
      </c>
      <c r="CP189">
        <f>$C189*CP188</f>
        <v/>
      </c>
      <c r="CQ189">
        <f>$C189*CQ188</f>
        <v/>
      </c>
      <c r="CR189">
        <f>$C189*CR188</f>
        <v/>
      </c>
      <c r="CS189">
        <f>$C189*CS188</f>
        <v/>
      </c>
      <c r="CT189">
        <f>$C189*CT188</f>
        <v/>
      </c>
      <c r="CU189">
        <f>$C189*CU188</f>
        <v/>
      </c>
      <c r="CV189">
        <f>$C189*CV188</f>
        <v/>
      </c>
      <c r="CW189">
        <f>$C189*CW188</f>
        <v/>
      </c>
      <c r="CX189">
        <f>$C189*CX188</f>
        <v/>
      </c>
      <c r="CY189">
        <f>$C189*CY188</f>
        <v/>
      </c>
      <c r="CZ189">
        <f>$C189*CZ188</f>
        <v/>
      </c>
      <c r="DA189">
        <f>$C189*DA188</f>
        <v/>
      </c>
      <c r="DB189">
        <f>$C189*DB188</f>
        <v/>
      </c>
      <c r="DC189">
        <f>$C189*DC188</f>
        <v/>
      </c>
      <c r="DD189">
        <f>$C189*DD188</f>
        <v/>
      </c>
    </row>
    <row r="190">
      <c r="B190" t="inlineStr">
        <is>
          <t>TSP-067</t>
        </is>
      </c>
      <c r="C190" t="inlineStr">
        <is>
          <t>No. of batches</t>
        </is>
      </c>
      <c r="D190">
        <f>IFERROR(INDEX(E190:DD190,$F$1),"")</f>
        <v/>
      </c>
      <c r="E190">
        <f>IFERROR(INDEX(PP_Grid[#Data],$DE190,2),0)</f>
        <v/>
      </c>
      <c r="F190">
        <f>IFERROR(INDEX(PP_Grid[#Data],$DE190,3),0)</f>
        <v/>
      </c>
      <c r="G190">
        <f>IFERROR(INDEX(PP_Grid[#Data],$DE190,4),0)</f>
        <v/>
      </c>
      <c r="H190">
        <f>IFERROR(INDEX(PP_Grid[#Data],$DE190,5),0)</f>
        <v/>
      </c>
      <c r="I190">
        <f>IFERROR(INDEX(PP_Grid[#Data],$DE190,6),0)</f>
        <v/>
      </c>
      <c r="J190">
        <f>IFERROR(INDEX(PP_Grid[#Data],$DE190,7),0)</f>
        <v/>
      </c>
      <c r="K190">
        <f>IFERROR(INDEX(PP_Grid[#Data],$DE190,8),0)</f>
        <v/>
      </c>
      <c r="L190">
        <f>IFERROR(INDEX(PP_Grid[#Data],$DE190,9),0)</f>
        <v/>
      </c>
      <c r="M190">
        <f>IFERROR(INDEX(PP_Grid[#Data],$DE190,10),0)</f>
        <v/>
      </c>
      <c r="N190">
        <f>IFERROR(INDEX(PP_Grid[#Data],$DE190,11),0)</f>
        <v/>
      </c>
      <c r="O190">
        <f>IFERROR(INDEX(PP_Grid[#Data],$DE190,12),0)</f>
        <v/>
      </c>
      <c r="P190">
        <f>IFERROR(INDEX(PP_Grid[#Data],$DE190,13),0)</f>
        <v/>
      </c>
      <c r="Q190">
        <f>IFERROR(INDEX(PP_Grid[#Data],$DE190,14),0)</f>
        <v/>
      </c>
      <c r="R190">
        <f>IFERROR(INDEX(PP_Grid[#Data],$DE190,15),0)</f>
        <v/>
      </c>
      <c r="S190">
        <f>IFERROR(INDEX(PP_Grid[#Data],$DE190,16),0)</f>
        <v/>
      </c>
      <c r="T190">
        <f>IFERROR(INDEX(PP_Grid[#Data],$DE190,17),0)</f>
        <v/>
      </c>
      <c r="U190">
        <f>IFERROR(INDEX(PP_Grid[#Data],$DE190,18),0)</f>
        <v/>
      </c>
      <c r="V190">
        <f>IFERROR(INDEX(PP_Grid[#Data],$DE190,19),0)</f>
        <v/>
      </c>
      <c r="W190">
        <f>IFERROR(INDEX(PP_Grid[#Data],$DE190,20),0)</f>
        <v/>
      </c>
      <c r="X190">
        <f>IFERROR(INDEX(PP_Grid[#Data],$DE190,21),0)</f>
        <v/>
      </c>
      <c r="Y190">
        <f>IFERROR(INDEX(PP_Grid[#Data],$DE190,22),0)</f>
        <v/>
      </c>
      <c r="Z190">
        <f>IFERROR(INDEX(PP_Grid[#Data],$DE190,23),0)</f>
        <v/>
      </c>
      <c r="AA190">
        <f>IFERROR(INDEX(PP_Grid[#Data],$DE190,24),0)</f>
        <v/>
      </c>
      <c r="AB190">
        <f>IFERROR(INDEX(PP_Grid[#Data],$DE190,25),0)</f>
        <v/>
      </c>
      <c r="AC190">
        <f>IFERROR(INDEX(PP_Grid[#Data],$DE190,26),0)</f>
        <v/>
      </c>
      <c r="AD190">
        <f>IFERROR(INDEX(PP_Grid[#Data],$DE190,27),0)</f>
        <v/>
      </c>
      <c r="AE190">
        <f>IFERROR(INDEX(PP_Grid[#Data],$DE190,28),0)</f>
        <v/>
      </c>
      <c r="AF190">
        <f>IFERROR(INDEX(PP_Grid[#Data],$DE190,29),0)</f>
        <v/>
      </c>
      <c r="AG190">
        <f>IFERROR(INDEX(PP_Grid[#Data],$DE190,30),0)</f>
        <v/>
      </c>
      <c r="AH190">
        <f>IFERROR(INDEX(PP_Grid[#Data],$DE190,31),0)</f>
        <v/>
      </c>
      <c r="AI190">
        <f>IFERROR(INDEX(PP_Grid[#Data],$DE190,32),0)</f>
        <v/>
      </c>
      <c r="AJ190">
        <f>IFERROR(INDEX(PP_Grid[#Data],$DE190,33),0)</f>
        <v/>
      </c>
      <c r="AK190">
        <f>IFERROR(INDEX(PP_Grid[#Data],$DE190,34),0)</f>
        <v/>
      </c>
      <c r="AL190">
        <f>IFERROR(INDEX(PP_Grid[#Data],$DE190,35),0)</f>
        <v/>
      </c>
      <c r="AM190">
        <f>IFERROR(INDEX(PP_Grid[#Data],$DE190,36),0)</f>
        <v/>
      </c>
      <c r="AN190">
        <f>IFERROR(INDEX(PP_Grid[#Data],$DE190,37),0)</f>
        <v/>
      </c>
      <c r="AO190">
        <f>IFERROR(INDEX(PP_Grid[#Data],$DE190,38),0)</f>
        <v/>
      </c>
      <c r="AP190">
        <f>IFERROR(INDEX(PP_Grid[#Data],$DE190,39),0)</f>
        <v/>
      </c>
      <c r="AQ190">
        <f>IFERROR(INDEX(PP_Grid[#Data],$DE190,40),0)</f>
        <v/>
      </c>
      <c r="AR190">
        <f>IFERROR(INDEX(PP_Grid[#Data],$DE190,41),0)</f>
        <v/>
      </c>
      <c r="AS190">
        <f>IFERROR(INDEX(PP_Grid[#Data],$DE190,42),0)</f>
        <v/>
      </c>
      <c r="AT190">
        <f>IFERROR(INDEX(PP_Grid[#Data],$DE190,43),0)</f>
        <v/>
      </c>
      <c r="AU190">
        <f>IFERROR(INDEX(PP_Grid[#Data],$DE190,44),0)</f>
        <v/>
      </c>
      <c r="AV190">
        <f>IFERROR(INDEX(PP_Grid[#Data],$DE190,45),0)</f>
        <v/>
      </c>
      <c r="AW190">
        <f>IFERROR(INDEX(PP_Grid[#Data],$DE190,46),0)</f>
        <v/>
      </c>
      <c r="AX190">
        <f>IFERROR(INDEX(PP_Grid[#Data],$DE190,47),0)</f>
        <v/>
      </c>
      <c r="AY190">
        <f>IFERROR(INDEX(PP_Grid[#Data],$DE190,48),0)</f>
        <v/>
      </c>
      <c r="AZ190">
        <f>IFERROR(INDEX(PP_Grid[#Data],$DE190,49),0)</f>
        <v/>
      </c>
      <c r="BA190">
        <f>IFERROR(INDEX(PP_Grid[#Data],$DE190,50),0)</f>
        <v/>
      </c>
      <c r="BB190">
        <f>IFERROR(INDEX(PP_Grid[#Data],$DE190,51),0)</f>
        <v/>
      </c>
      <c r="BC190">
        <f>IFERROR(INDEX(PP_Grid[#Data],$DE190,52),0)</f>
        <v/>
      </c>
      <c r="BD190">
        <f>IFERROR(INDEX(PP_Grid[#Data],$DE190,53),0)</f>
        <v/>
      </c>
      <c r="BE190">
        <f>IFERROR(INDEX(PP_Grid[#Data],$DE190,54),0)</f>
        <v/>
      </c>
      <c r="BF190">
        <f>IFERROR(INDEX(PP_Grid[#Data],$DE190,55),0)</f>
        <v/>
      </c>
      <c r="BG190">
        <f>IFERROR(INDEX(PP_Grid[#Data],$DE190,56),0)</f>
        <v/>
      </c>
      <c r="BH190">
        <f>IFERROR(INDEX(PP_Grid[#Data],$DE190,57),0)</f>
        <v/>
      </c>
      <c r="BI190">
        <f>IFERROR(INDEX(PP_Grid[#Data],$DE190,58),0)</f>
        <v/>
      </c>
      <c r="BJ190">
        <f>IFERROR(INDEX(PP_Grid[#Data],$DE190,59),0)</f>
        <v/>
      </c>
      <c r="BK190">
        <f>IFERROR(INDEX(PP_Grid[#Data],$DE190,60),0)</f>
        <v/>
      </c>
      <c r="BL190">
        <f>IFERROR(INDEX(PP_Grid[#Data],$DE190,61),0)</f>
        <v/>
      </c>
      <c r="BM190">
        <f>IFERROR(INDEX(PP_Grid[#Data],$DE190,62),0)</f>
        <v/>
      </c>
      <c r="BN190">
        <f>IFERROR(INDEX(PP_Grid[#Data],$DE190,63),0)</f>
        <v/>
      </c>
      <c r="BO190">
        <f>IFERROR(INDEX(PP_Grid[#Data],$DE190,64),0)</f>
        <v/>
      </c>
      <c r="BP190">
        <f>IFERROR(INDEX(PP_Grid[#Data],$DE190,65),0)</f>
        <v/>
      </c>
      <c r="BQ190">
        <f>IFERROR(INDEX(PP_Grid[#Data],$DE190,66),0)</f>
        <v/>
      </c>
      <c r="BR190">
        <f>IFERROR(INDEX(PP_Grid[#Data],$DE190,67),0)</f>
        <v/>
      </c>
      <c r="BS190">
        <f>IFERROR(INDEX(PP_Grid[#Data],$DE190,68),0)</f>
        <v/>
      </c>
      <c r="BT190">
        <f>IFERROR(INDEX(PP_Grid[#Data],$DE190,69),0)</f>
        <v/>
      </c>
      <c r="BU190">
        <f>IFERROR(INDEX(PP_Grid[#Data],$DE190,70),0)</f>
        <v/>
      </c>
      <c r="BV190">
        <f>IFERROR(INDEX(PP_Grid[#Data],$DE190,71),0)</f>
        <v/>
      </c>
      <c r="BW190">
        <f>IFERROR(INDEX(PP_Grid[#Data],$DE190,72),0)</f>
        <v/>
      </c>
      <c r="BX190">
        <f>IFERROR(INDEX(PP_Grid[#Data],$DE190,73),0)</f>
        <v/>
      </c>
      <c r="BY190">
        <f>IFERROR(INDEX(PP_Grid[#Data],$DE190,74),0)</f>
        <v/>
      </c>
      <c r="BZ190">
        <f>IFERROR(INDEX(PP_Grid[#Data],$DE190,75),0)</f>
        <v/>
      </c>
      <c r="CA190">
        <f>IFERROR(INDEX(PP_Grid[#Data],$DE190,76),0)</f>
        <v/>
      </c>
      <c r="CB190">
        <f>IFERROR(INDEX(PP_Grid[#Data],$DE190,77),0)</f>
        <v/>
      </c>
      <c r="CC190">
        <f>IFERROR(INDEX(PP_Grid[#Data],$DE190,78),0)</f>
        <v/>
      </c>
      <c r="CD190">
        <f>IFERROR(INDEX(PP_Grid[#Data],$DE190,79),0)</f>
        <v/>
      </c>
      <c r="CE190">
        <f>IFERROR(INDEX(PP_Grid[#Data],$DE190,80),0)</f>
        <v/>
      </c>
      <c r="CF190">
        <f>IFERROR(INDEX(PP_Grid[#Data],$DE190,81),0)</f>
        <v/>
      </c>
      <c r="CG190">
        <f>IFERROR(INDEX(PP_Grid[#Data],$DE190,82),0)</f>
        <v/>
      </c>
      <c r="CH190">
        <f>IFERROR(INDEX(PP_Grid[#Data],$DE190,83),0)</f>
        <v/>
      </c>
      <c r="CI190">
        <f>IFERROR(INDEX(PP_Grid[#Data],$DE190,84),0)</f>
        <v/>
      </c>
      <c r="CJ190">
        <f>IFERROR(INDEX(PP_Grid[#Data],$DE190,85),0)</f>
        <v/>
      </c>
      <c r="CK190">
        <f>IFERROR(INDEX(PP_Grid[#Data],$DE190,86),0)</f>
        <v/>
      </c>
      <c r="CL190">
        <f>IFERROR(INDEX(PP_Grid[#Data],$DE190,87),0)</f>
        <v/>
      </c>
      <c r="CM190">
        <f>IFERROR(INDEX(PP_Grid[#Data],$DE190,88),0)</f>
        <v/>
      </c>
      <c r="CN190">
        <f>IFERROR(INDEX(PP_Grid[#Data],$DE190,89),0)</f>
        <v/>
      </c>
      <c r="CO190">
        <f>IFERROR(INDEX(PP_Grid[#Data],$DE190,90),0)</f>
        <v/>
      </c>
      <c r="CP190">
        <f>IFERROR(INDEX(PP_Grid[#Data],$DE190,91),0)</f>
        <v/>
      </c>
      <c r="CQ190">
        <f>IFERROR(INDEX(PP_Grid[#Data],$DE190,92),0)</f>
        <v/>
      </c>
      <c r="CR190">
        <f>IFERROR(INDEX(PP_Grid[#Data],$DE190,93),0)</f>
        <v/>
      </c>
      <c r="CS190">
        <f>IFERROR(INDEX(PP_Grid[#Data],$DE190,94),0)</f>
        <v/>
      </c>
      <c r="CT190">
        <f>IFERROR(INDEX(PP_Grid[#Data],$DE190,95),0)</f>
        <v/>
      </c>
      <c r="CU190">
        <f>IFERROR(INDEX(PP_Grid[#Data],$DE190,96),0)</f>
        <v/>
      </c>
      <c r="CV190">
        <f>IFERROR(INDEX(PP_Grid[#Data],$DE190,97),0)</f>
        <v/>
      </c>
      <c r="CW190">
        <f>IFERROR(INDEX(PP_Grid[#Data],$DE190,98),0)</f>
        <v/>
      </c>
      <c r="CX190">
        <f>IFERROR(INDEX(PP_Grid[#Data],$DE190,99),0)</f>
        <v/>
      </c>
      <c r="CY190">
        <f>IFERROR(INDEX(PP_Grid[#Data],$DE190,100),0)</f>
        <v/>
      </c>
      <c r="CZ190">
        <f>IFERROR(INDEX(PP_Grid[#Data],$DE190,101),0)</f>
        <v/>
      </c>
      <c r="DA190">
        <f>IFERROR(INDEX(PP_Grid[#Data],$DE190,102),0)</f>
        <v/>
      </c>
      <c r="DB190">
        <f>IFERROR(INDEX(PP_Grid[#Data],$DE190,103),0)</f>
        <v/>
      </c>
      <c r="DC190">
        <f>IFERROR(INDEX(PP_Grid[#Data],$DE190,104),0)</f>
        <v/>
      </c>
      <c r="DD190">
        <f>IFERROR(INDEX(PP_Grid[#Data],$DE190,105),0)</f>
        <v/>
      </c>
      <c r="DE190" s="7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SUMIFS(M_BOM[RM_Qty_Per_Batch],M_BOM[Intermediate],$B190,M_BOM[RM_Code],$A187)</f>
        <v/>
      </c>
      <c r="D191">
        <f>IFERROR(INDEX(E191:DD191,$F$1),"")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  <c r="DD191">
        <f>$C191*DD190</f>
        <v/>
      </c>
    </row>
    <row r="192">
      <c r="B192" t="inlineStr">
        <is>
          <t>TSP-069</t>
        </is>
      </c>
      <c r="C192" t="inlineStr">
        <is>
          <t>No. of batches</t>
        </is>
      </c>
      <c r="D192">
        <f>IFERROR(INDEX(E192:DD192,$F$1),"")</f>
        <v/>
      </c>
      <c r="E192">
        <f>IFERROR(INDEX(PP_Grid[#Data],$DE192,2),0)</f>
        <v/>
      </c>
      <c r="F192">
        <f>IFERROR(INDEX(PP_Grid[#Data],$DE192,3),0)</f>
        <v/>
      </c>
      <c r="G192">
        <f>IFERROR(INDEX(PP_Grid[#Data],$DE192,4),0)</f>
        <v/>
      </c>
      <c r="H192">
        <f>IFERROR(INDEX(PP_Grid[#Data],$DE192,5),0)</f>
        <v/>
      </c>
      <c r="I192">
        <f>IFERROR(INDEX(PP_Grid[#Data],$DE192,6),0)</f>
        <v/>
      </c>
      <c r="J192">
        <f>IFERROR(INDEX(PP_Grid[#Data],$DE192,7),0)</f>
        <v/>
      </c>
      <c r="K192">
        <f>IFERROR(INDEX(PP_Grid[#Data],$DE192,8),0)</f>
        <v/>
      </c>
      <c r="L192">
        <f>IFERROR(INDEX(PP_Grid[#Data],$DE192,9),0)</f>
        <v/>
      </c>
      <c r="M192">
        <f>IFERROR(INDEX(PP_Grid[#Data],$DE192,10),0)</f>
        <v/>
      </c>
      <c r="N192">
        <f>IFERROR(INDEX(PP_Grid[#Data],$DE192,11),0)</f>
        <v/>
      </c>
      <c r="O192">
        <f>IFERROR(INDEX(PP_Grid[#Data],$DE192,12),0)</f>
        <v/>
      </c>
      <c r="P192">
        <f>IFERROR(INDEX(PP_Grid[#Data],$DE192,13),0)</f>
        <v/>
      </c>
      <c r="Q192">
        <f>IFERROR(INDEX(PP_Grid[#Data],$DE192,14),0)</f>
        <v/>
      </c>
      <c r="R192">
        <f>IFERROR(INDEX(PP_Grid[#Data],$DE192,15),0)</f>
        <v/>
      </c>
      <c r="S192">
        <f>IFERROR(INDEX(PP_Grid[#Data],$DE192,16),0)</f>
        <v/>
      </c>
      <c r="T192">
        <f>IFERROR(INDEX(PP_Grid[#Data],$DE192,17),0)</f>
        <v/>
      </c>
      <c r="U192">
        <f>IFERROR(INDEX(PP_Grid[#Data],$DE192,18),0)</f>
        <v/>
      </c>
      <c r="V192">
        <f>IFERROR(INDEX(PP_Grid[#Data],$DE192,19),0)</f>
        <v/>
      </c>
      <c r="W192">
        <f>IFERROR(INDEX(PP_Grid[#Data],$DE192,20),0)</f>
        <v/>
      </c>
      <c r="X192">
        <f>IFERROR(INDEX(PP_Grid[#Data],$DE192,21),0)</f>
        <v/>
      </c>
      <c r="Y192">
        <f>IFERROR(INDEX(PP_Grid[#Data],$DE192,22),0)</f>
        <v/>
      </c>
      <c r="Z192">
        <f>IFERROR(INDEX(PP_Grid[#Data],$DE192,23),0)</f>
        <v/>
      </c>
      <c r="AA192">
        <f>IFERROR(INDEX(PP_Grid[#Data],$DE192,24),0)</f>
        <v/>
      </c>
      <c r="AB192">
        <f>IFERROR(INDEX(PP_Grid[#Data],$DE192,25),0)</f>
        <v/>
      </c>
      <c r="AC192">
        <f>IFERROR(INDEX(PP_Grid[#Data],$DE192,26),0)</f>
        <v/>
      </c>
      <c r="AD192">
        <f>IFERROR(INDEX(PP_Grid[#Data],$DE192,27),0)</f>
        <v/>
      </c>
      <c r="AE192">
        <f>IFERROR(INDEX(PP_Grid[#Data],$DE192,28),0)</f>
        <v/>
      </c>
      <c r="AF192">
        <f>IFERROR(INDEX(PP_Grid[#Data],$DE192,29),0)</f>
        <v/>
      </c>
      <c r="AG192">
        <f>IFERROR(INDEX(PP_Grid[#Data],$DE192,30),0)</f>
        <v/>
      </c>
      <c r="AH192">
        <f>IFERROR(INDEX(PP_Grid[#Data],$DE192,31),0)</f>
        <v/>
      </c>
      <c r="AI192">
        <f>IFERROR(INDEX(PP_Grid[#Data],$DE192,32),0)</f>
        <v/>
      </c>
      <c r="AJ192">
        <f>IFERROR(INDEX(PP_Grid[#Data],$DE192,33),0)</f>
        <v/>
      </c>
      <c r="AK192">
        <f>IFERROR(INDEX(PP_Grid[#Data],$DE192,34),0)</f>
        <v/>
      </c>
      <c r="AL192">
        <f>IFERROR(INDEX(PP_Grid[#Data],$DE192,35),0)</f>
        <v/>
      </c>
      <c r="AM192">
        <f>IFERROR(INDEX(PP_Grid[#Data],$DE192,36),0)</f>
        <v/>
      </c>
      <c r="AN192">
        <f>IFERROR(INDEX(PP_Grid[#Data],$DE192,37),0)</f>
        <v/>
      </c>
      <c r="AO192">
        <f>IFERROR(INDEX(PP_Grid[#Data],$DE192,38),0)</f>
        <v/>
      </c>
      <c r="AP192">
        <f>IFERROR(INDEX(PP_Grid[#Data],$DE192,39),0)</f>
        <v/>
      </c>
      <c r="AQ192">
        <f>IFERROR(INDEX(PP_Grid[#Data],$DE192,40),0)</f>
        <v/>
      </c>
      <c r="AR192">
        <f>IFERROR(INDEX(PP_Grid[#Data],$DE192,41),0)</f>
        <v/>
      </c>
      <c r="AS192">
        <f>IFERROR(INDEX(PP_Grid[#Data],$DE192,42),0)</f>
        <v/>
      </c>
      <c r="AT192">
        <f>IFERROR(INDEX(PP_Grid[#Data],$DE192,43),0)</f>
        <v/>
      </c>
      <c r="AU192">
        <f>IFERROR(INDEX(PP_Grid[#Data],$DE192,44),0)</f>
        <v/>
      </c>
      <c r="AV192">
        <f>IFERROR(INDEX(PP_Grid[#Data],$DE192,45),0)</f>
        <v/>
      </c>
      <c r="AW192">
        <f>IFERROR(INDEX(PP_Grid[#Data],$DE192,46),0)</f>
        <v/>
      </c>
      <c r="AX192">
        <f>IFERROR(INDEX(PP_Grid[#Data],$DE192,47),0)</f>
        <v/>
      </c>
      <c r="AY192">
        <f>IFERROR(INDEX(PP_Grid[#Data],$DE192,48),0)</f>
        <v/>
      </c>
      <c r="AZ192">
        <f>IFERROR(INDEX(PP_Grid[#Data],$DE192,49),0)</f>
        <v/>
      </c>
      <c r="BA192">
        <f>IFERROR(INDEX(PP_Grid[#Data],$DE192,50),0)</f>
        <v/>
      </c>
      <c r="BB192">
        <f>IFERROR(INDEX(PP_Grid[#Data],$DE192,51),0)</f>
        <v/>
      </c>
      <c r="BC192">
        <f>IFERROR(INDEX(PP_Grid[#Data],$DE192,52),0)</f>
        <v/>
      </c>
      <c r="BD192">
        <f>IFERROR(INDEX(PP_Grid[#Data],$DE192,53),0)</f>
        <v/>
      </c>
      <c r="BE192">
        <f>IFERROR(INDEX(PP_Grid[#Data],$DE192,54),0)</f>
        <v/>
      </c>
      <c r="BF192">
        <f>IFERROR(INDEX(PP_Grid[#Data],$DE192,55),0)</f>
        <v/>
      </c>
      <c r="BG192">
        <f>IFERROR(INDEX(PP_Grid[#Data],$DE192,56),0)</f>
        <v/>
      </c>
      <c r="BH192">
        <f>IFERROR(INDEX(PP_Grid[#Data],$DE192,57),0)</f>
        <v/>
      </c>
      <c r="BI192">
        <f>IFERROR(INDEX(PP_Grid[#Data],$DE192,58),0)</f>
        <v/>
      </c>
      <c r="BJ192">
        <f>IFERROR(INDEX(PP_Grid[#Data],$DE192,59),0)</f>
        <v/>
      </c>
      <c r="BK192">
        <f>IFERROR(INDEX(PP_Grid[#Data],$DE192,60),0)</f>
        <v/>
      </c>
      <c r="BL192">
        <f>IFERROR(INDEX(PP_Grid[#Data],$DE192,61),0)</f>
        <v/>
      </c>
      <c r="BM192">
        <f>IFERROR(INDEX(PP_Grid[#Data],$DE192,62),0)</f>
        <v/>
      </c>
      <c r="BN192">
        <f>IFERROR(INDEX(PP_Grid[#Data],$DE192,63),0)</f>
        <v/>
      </c>
      <c r="BO192">
        <f>IFERROR(INDEX(PP_Grid[#Data],$DE192,64),0)</f>
        <v/>
      </c>
      <c r="BP192">
        <f>IFERROR(INDEX(PP_Grid[#Data],$DE192,65),0)</f>
        <v/>
      </c>
      <c r="BQ192">
        <f>IFERROR(INDEX(PP_Grid[#Data],$DE192,66),0)</f>
        <v/>
      </c>
      <c r="BR192">
        <f>IFERROR(INDEX(PP_Grid[#Data],$DE192,67),0)</f>
        <v/>
      </c>
      <c r="BS192">
        <f>IFERROR(INDEX(PP_Grid[#Data],$DE192,68),0)</f>
        <v/>
      </c>
      <c r="BT192">
        <f>IFERROR(INDEX(PP_Grid[#Data],$DE192,69),0)</f>
        <v/>
      </c>
      <c r="BU192">
        <f>IFERROR(INDEX(PP_Grid[#Data],$DE192,70),0)</f>
        <v/>
      </c>
      <c r="BV192">
        <f>IFERROR(INDEX(PP_Grid[#Data],$DE192,71),0)</f>
        <v/>
      </c>
      <c r="BW192">
        <f>IFERROR(INDEX(PP_Grid[#Data],$DE192,72),0)</f>
        <v/>
      </c>
      <c r="BX192">
        <f>IFERROR(INDEX(PP_Grid[#Data],$DE192,73),0)</f>
        <v/>
      </c>
      <c r="BY192">
        <f>IFERROR(INDEX(PP_Grid[#Data],$DE192,74),0)</f>
        <v/>
      </c>
      <c r="BZ192">
        <f>IFERROR(INDEX(PP_Grid[#Data],$DE192,75),0)</f>
        <v/>
      </c>
      <c r="CA192">
        <f>IFERROR(INDEX(PP_Grid[#Data],$DE192,76),0)</f>
        <v/>
      </c>
      <c r="CB192">
        <f>IFERROR(INDEX(PP_Grid[#Data],$DE192,77),0)</f>
        <v/>
      </c>
      <c r="CC192">
        <f>IFERROR(INDEX(PP_Grid[#Data],$DE192,78),0)</f>
        <v/>
      </c>
      <c r="CD192">
        <f>IFERROR(INDEX(PP_Grid[#Data],$DE192,79),0)</f>
        <v/>
      </c>
      <c r="CE192">
        <f>IFERROR(INDEX(PP_Grid[#Data],$DE192,80),0)</f>
        <v/>
      </c>
      <c r="CF192">
        <f>IFERROR(INDEX(PP_Grid[#Data],$DE192,81),0)</f>
        <v/>
      </c>
      <c r="CG192">
        <f>IFERROR(INDEX(PP_Grid[#Data],$DE192,82),0)</f>
        <v/>
      </c>
      <c r="CH192">
        <f>IFERROR(INDEX(PP_Grid[#Data],$DE192,83),0)</f>
        <v/>
      </c>
      <c r="CI192">
        <f>IFERROR(INDEX(PP_Grid[#Data],$DE192,84),0)</f>
        <v/>
      </c>
      <c r="CJ192">
        <f>IFERROR(INDEX(PP_Grid[#Data],$DE192,85),0)</f>
        <v/>
      </c>
      <c r="CK192">
        <f>IFERROR(INDEX(PP_Grid[#Data],$DE192,86),0)</f>
        <v/>
      </c>
      <c r="CL192">
        <f>IFERROR(INDEX(PP_Grid[#Data],$DE192,87),0)</f>
        <v/>
      </c>
      <c r="CM192">
        <f>IFERROR(INDEX(PP_Grid[#Data],$DE192,88),0)</f>
        <v/>
      </c>
      <c r="CN192">
        <f>IFERROR(INDEX(PP_Grid[#Data],$DE192,89),0)</f>
        <v/>
      </c>
      <c r="CO192">
        <f>IFERROR(INDEX(PP_Grid[#Data],$DE192,90),0)</f>
        <v/>
      </c>
      <c r="CP192">
        <f>IFERROR(INDEX(PP_Grid[#Data],$DE192,91),0)</f>
        <v/>
      </c>
      <c r="CQ192">
        <f>IFERROR(INDEX(PP_Grid[#Data],$DE192,92),0)</f>
        <v/>
      </c>
      <c r="CR192">
        <f>IFERROR(INDEX(PP_Grid[#Data],$DE192,93),0)</f>
        <v/>
      </c>
      <c r="CS192">
        <f>IFERROR(INDEX(PP_Grid[#Data],$DE192,94),0)</f>
        <v/>
      </c>
      <c r="CT192">
        <f>IFERROR(INDEX(PP_Grid[#Data],$DE192,95),0)</f>
        <v/>
      </c>
      <c r="CU192">
        <f>IFERROR(INDEX(PP_Grid[#Data],$DE192,96),0)</f>
        <v/>
      </c>
      <c r="CV192">
        <f>IFERROR(INDEX(PP_Grid[#Data],$DE192,97),0)</f>
        <v/>
      </c>
      <c r="CW192">
        <f>IFERROR(INDEX(PP_Grid[#Data],$DE192,98),0)</f>
        <v/>
      </c>
      <c r="CX192">
        <f>IFERROR(INDEX(PP_Grid[#Data],$DE192,99),0)</f>
        <v/>
      </c>
      <c r="CY192">
        <f>IFERROR(INDEX(PP_Grid[#Data],$DE192,100),0)</f>
        <v/>
      </c>
      <c r="CZ192">
        <f>IFERROR(INDEX(PP_Grid[#Data],$DE192,101),0)</f>
        <v/>
      </c>
      <c r="DA192">
        <f>IFERROR(INDEX(PP_Grid[#Data],$DE192,102),0)</f>
        <v/>
      </c>
      <c r="DB192">
        <f>IFERROR(INDEX(PP_Grid[#Data],$DE192,103),0)</f>
        <v/>
      </c>
      <c r="DC192">
        <f>IFERROR(INDEX(PP_Grid[#Data],$DE192,104),0)</f>
        <v/>
      </c>
      <c r="DD192">
        <f>IFERROR(INDEX(PP_Grid[#Data],$DE192,105),0)</f>
        <v/>
      </c>
      <c r="DE192" s="7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SUMIFS(M_BOM[RM_Qty_Per_Batch],M_BOM[Intermediate],$B192,M_BOM[RM_Code],$A187)</f>
        <v/>
      </c>
      <c r="D193">
        <f>IFERROR(INDEX(E193:DD193,$F$1),"")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  <c r="DD193">
        <f>$C193*DD192</f>
        <v/>
      </c>
    </row>
    <row r="194">
      <c r="B194" t="inlineStr">
        <is>
          <t>TSP-077</t>
        </is>
      </c>
      <c r="C194" t="inlineStr">
        <is>
          <t>No. of batches</t>
        </is>
      </c>
      <c r="D194">
        <f>IFERROR(INDEX(E194:DD194,$F$1),"")</f>
        <v/>
      </c>
      <c r="E194">
        <f>IFERROR(INDEX(PP_Grid[#Data],$DE194,2),0)</f>
        <v/>
      </c>
      <c r="F194">
        <f>IFERROR(INDEX(PP_Grid[#Data],$DE194,3),0)</f>
        <v/>
      </c>
      <c r="G194">
        <f>IFERROR(INDEX(PP_Grid[#Data],$DE194,4),0)</f>
        <v/>
      </c>
      <c r="H194">
        <f>IFERROR(INDEX(PP_Grid[#Data],$DE194,5),0)</f>
        <v/>
      </c>
      <c r="I194">
        <f>IFERROR(INDEX(PP_Grid[#Data],$DE194,6),0)</f>
        <v/>
      </c>
      <c r="J194">
        <f>IFERROR(INDEX(PP_Grid[#Data],$DE194,7),0)</f>
        <v/>
      </c>
      <c r="K194">
        <f>IFERROR(INDEX(PP_Grid[#Data],$DE194,8),0)</f>
        <v/>
      </c>
      <c r="L194">
        <f>IFERROR(INDEX(PP_Grid[#Data],$DE194,9),0)</f>
        <v/>
      </c>
      <c r="M194">
        <f>IFERROR(INDEX(PP_Grid[#Data],$DE194,10),0)</f>
        <v/>
      </c>
      <c r="N194">
        <f>IFERROR(INDEX(PP_Grid[#Data],$DE194,11),0)</f>
        <v/>
      </c>
      <c r="O194">
        <f>IFERROR(INDEX(PP_Grid[#Data],$DE194,12),0)</f>
        <v/>
      </c>
      <c r="P194">
        <f>IFERROR(INDEX(PP_Grid[#Data],$DE194,13),0)</f>
        <v/>
      </c>
      <c r="Q194">
        <f>IFERROR(INDEX(PP_Grid[#Data],$DE194,14),0)</f>
        <v/>
      </c>
      <c r="R194">
        <f>IFERROR(INDEX(PP_Grid[#Data],$DE194,15),0)</f>
        <v/>
      </c>
      <c r="S194">
        <f>IFERROR(INDEX(PP_Grid[#Data],$DE194,16),0)</f>
        <v/>
      </c>
      <c r="T194">
        <f>IFERROR(INDEX(PP_Grid[#Data],$DE194,17),0)</f>
        <v/>
      </c>
      <c r="U194">
        <f>IFERROR(INDEX(PP_Grid[#Data],$DE194,18),0)</f>
        <v/>
      </c>
      <c r="V194">
        <f>IFERROR(INDEX(PP_Grid[#Data],$DE194,19),0)</f>
        <v/>
      </c>
      <c r="W194">
        <f>IFERROR(INDEX(PP_Grid[#Data],$DE194,20),0)</f>
        <v/>
      </c>
      <c r="X194">
        <f>IFERROR(INDEX(PP_Grid[#Data],$DE194,21),0)</f>
        <v/>
      </c>
      <c r="Y194">
        <f>IFERROR(INDEX(PP_Grid[#Data],$DE194,22),0)</f>
        <v/>
      </c>
      <c r="Z194">
        <f>IFERROR(INDEX(PP_Grid[#Data],$DE194,23),0)</f>
        <v/>
      </c>
      <c r="AA194">
        <f>IFERROR(INDEX(PP_Grid[#Data],$DE194,24),0)</f>
        <v/>
      </c>
      <c r="AB194">
        <f>IFERROR(INDEX(PP_Grid[#Data],$DE194,25),0)</f>
        <v/>
      </c>
      <c r="AC194">
        <f>IFERROR(INDEX(PP_Grid[#Data],$DE194,26),0)</f>
        <v/>
      </c>
      <c r="AD194">
        <f>IFERROR(INDEX(PP_Grid[#Data],$DE194,27),0)</f>
        <v/>
      </c>
      <c r="AE194">
        <f>IFERROR(INDEX(PP_Grid[#Data],$DE194,28),0)</f>
        <v/>
      </c>
      <c r="AF194">
        <f>IFERROR(INDEX(PP_Grid[#Data],$DE194,29),0)</f>
        <v/>
      </c>
      <c r="AG194">
        <f>IFERROR(INDEX(PP_Grid[#Data],$DE194,30),0)</f>
        <v/>
      </c>
      <c r="AH194">
        <f>IFERROR(INDEX(PP_Grid[#Data],$DE194,31),0)</f>
        <v/>
      </c>
      <c r="AI194">
        <f>IFERROR(INDEX(PP_Grid[#Data],$DE194,32),0)</f>
        <v/>
      </c>
      <c r="AJ194">
        <f>IFERROR(INDEX(PP_Grid[#Data],$DE194,33),0)</f>
        <v/>
      </c>
      <c r="AK194">
        <f>IFERROR(INDEX(PP_Grid[#Data],$DE194,34),0)</f>
        <v/>
      </c>
      <c r="AL194">
        <f>IFERROR(INDEX(PP_Grid[#Data],$DE194,35),0)</f>
        <v/>
      </c>
      <c r="AM194">
        <f>IFERROR(INDEX(PP_Grid[#Data],$DE194,36),0)</f>
        <v/>
      </c>
      <c r="AN194">
        <f>IFERROR(INDEX(PP_Grid[#Data],$DE194,37),0)</f>
        <v/>
      </c>
      <c r="AO194">
        <f>IFERROR(INDEX(PP_Grid[#Data],$DE194,38),0)</f>
        <v/>
      </c>
      <c r="AP194">
        <f>IFERROR(INDEX(PP_Grid[#Data],$DE194,39),0)</f>
        <v/>
      </c>
      <c r="AQ194">
        <f>IFERROR(INDEX(PP_Grid[#Data],$DE194,40),0)</f>
        <v/>
      </c>
      <c r="AR194">
        <f>IFERROR(INDEX(PP_Grid[#Data],$DE194,41),0)</f>
        <v/>
      </c>
      <c r="AS194">
        <f>IFERROR(INDEX(PP_Grid[#Data],$DE194,42),0)</f>
        <v/>
      </c>
      <c r="AT194">
        <f>IFERROR(INDEX(PP_Grid[#Data],$DE194,43),0)</f>
        <v/>
      </c>
      <c r="AU194">
        <f>IFERROR(INDEX(PP_Grid[#Data],$DE194,44),0)</f>
        <v/>
      </c>
      <c r="AV194">
        <f>IFERROR(INDEX(PP_Grid[#Data],$DE194,45),0)</f>
        <v/>
      </c>
      <c r="AW194">
        <f>IFERROR(INDEX(PP_Grid[#Data],$DE194,46),0)</f>
        <v/>
      </c>
      <c r="AX194">
        <f>IFERROR(INDEX(PP_Grid[#Data],$DE194,47),0)</f>
        <v/>
      </c>
      <c r="AY194">
        <f>IFERROR(INDEX(PP_Grid[#Data],$DE194,48),0)</f>
        <v/>
      </c>
      <c r="AZ194">
        <f>IFERROR(INDEX(PP_Grid[#Data],$DE194,49),0)</f>
        <v/>
      </c>
      <c r="BA194">
        <f>IFERROR(INDEX(PP_Grid[#Data],$DE194,50),0)</f>
        <v/>
      </c>
      <c r="BB194">
        <f>IFERROR(INDEX(PP_Grid[#Data],$DE194,51),0)</f>
        <v/>
      </c>
      <c r="BC194">
        <f>IFERROR(INDEX(PP_Grid[#Data],$DE194,52),0)</f>
        <v/>
      </c>
      <c r="BD194">
        <f>IFERROR(INDEX(PP_Grid[#Data],$DE194,53),0)</f>
        <v/>
      </c>
      <c r="BE194">
        <f>IFERROR(INDEX(PP_Grid[#Data],$DE194,54),0)</f>
        <v/>
      </c>
      <c r="BF194">
        <f>IFERROR(INDEX(PP_Grid[#Data],$DE194,55),0)</f>
        <v/>
      </c>
      <c r="BG194">
        <f>IFERROR(INDEX(PP_Grid[#Data],$DE194,56),0)</f>
        <v/>
      </c>
      <c r="BH194">
        <f>IFERROR(INDEX(PP_Grid[#Data],$DE194,57),0)</f>
        <v/>
      </c>
      <c r="BI194">
        <f>IFERROR(INDEX(PP_Grid[#Data],$DE194,58),0)</f>
        <v/>
      </c>
      <c r="BJ194">
        <f>IFERROR(INDEX(PP_Grid[#Data],$DE194,59),0)</f>
        <v/>
      </c>
      <c r="BK194">
        <f>IFERROR(INDEX(PP_Grid[#Data],$DE194,60),0)</f>
        <v/>
      </c>
      <c r="BL194">
        <f>IFERROR(INDEX(PP_Grid[#Data],$DE194,61),0)</f>
        <v/>
      </c>
      <c r="BM194">
        <f>IFERROR(INDEX(PP_Grid[#Data],$DE194,62),0)</f>
        <v/>
      </c>
      <c r="BN194">
        <f>IFERROR(INDEX(PP_Grid[#Data],$DE194,63),0)</f>
        <v/>
      </c>
      <c r="BO194">
        <f>IFERROR(INDEX(PP_Grid[#Data],$DE194,64),0)</f>
        <v/>
      </c>
      <c r="BP194">
        <f>IFERROR(INDEX(PP_Grid[#Data],$DE194,65),0)</f>
        <v/>
      </c>
      <c r="BQ194">
        <f>IFERROR(INDEX(PP_Grid[#Data],$DE194,66),0)</f>
        <v/>
      </c>
      <c r="BR194">
        <f>IFERROR(INDEX(PP_Grid[#Data],$DE194,67),0)</f>
        <v/>
      </c>
      <c r="BS194">
        <f>IFERROR(INDEX(PP_Grid[#Data],$DE194,68),0)</f>
        <v/>
      </c>
      <c r="BT194">
        <f>IFERROR(INDEX(PP_Grid[#Data],$DE194,69),0)</f>
        <v/>
      </c>
      <c r="BU194">
        <f>IFERROR(INDEX(PP_Grid[#Data],$DE194,70),0)</f>
        <v/>
      </c>
      <c r="BV194">
        <f>IFERROR(INDEX(PP_Grid[#Data],$DE194,71),0)</f>
        <v/>
      </c>
      <c r="BW194">
        <f>IFERROR(INDEX(PP_Grid[#Data],$DE194,72),0)</f>
        <v/>
      </c>
      <c r="BX194">
        <f>IFERROR(INDEX(PP_Grid[#Data],$DE194,73),0)</f>
        <v/>
      </c>
      <c r="BY194">
        <f>IFERROR(INDEX(PP_Grid[#Data],$DE194,74),0)</f>
        <v/>
      </c>
      <c r="BZ194">
        <f>IFERROR(INDEX(PP_Grid[#Data],$DE194,75),0)</f>
        <v/>
      </c>
      <c r="CA194">
        <f>IFERROR(INDEX(PP_Grid[#Data],$DE194,76),0)</f>
        <v/>
      </c>
      <c r="CB194">
        <f>IFERROR(INDEX(PP_Grid[#Data],$DE194,77),0)</f>
        <v/>
      </c>
      <c r="CC194">
        <f>IFERROR(INDEX(PP_Grid[#Data],$DE194,78),0)</f>
        <v/>
      </c>
      <c r="CD194">
        <f>IFERROR(INDEX(PP_Grid[#Data],$DE194,79),0)</f>
        <v/>
      </c>
      <c r="CE194">
        <f>IFERROR(INDEX(PP_Grid[#Data],$DE194,80),0)</f>
        <v/>
      </c>
      <c r="CF194">
        <f>IFERROR(INDEX(PP_Grid[#Data],$DE194,81),0)</f>
        <v/>
      </c>
      <c r="CG194">
        <f>IFERROR(INDEX(PP_Grid[#Data],$DE194,82),0)</f>
        <v/>
      </c>
      <c r="CH194">
        <f>IFERROR(INDEX(PP_Grid[#Data],$DE194,83),0)</f>
        <v/>
      </c>
      <c r="CI194">
        <f>IFERROR(INDEX(PP_Grid[#Data],$DE194,84),0)</f>
        <v/>
      </c>
      <c r="CJ194">
        <f>IFERROR(INDEX(PP_Grid[#Data],$DE194,85),0)</f>
        <v/>
      </c>
      <c r="CK194">
        <f>IFERROR(INDEX(PP_Grid[#Data],$DE194,86),0)</f>
        <v/>
      </c>
      <c r="CL194">
        <f>IFERROR(INDEX(PP_Grid[#Data],$DE194,87),0)</f>
        <v/>
      </c>
      <c r="CM194">
        <f>IFERROR(INDEX(PP_Grid[#Data],$DE194,88),0)</f>
        <v/>
      </c>
      <c r="CN194">
        <f>IFERROR(INDEX(PP_Grid[#Data],$DE194,89),0)</f>
        <v/>
      </c>
      <c r="CO194">
        <f>IFERROR(INDEX(PP_Grid[#Data],$DE194,90),0)</f>
        <v/>
      </c>
      <c r="CP194">
        <f>IFERROR(INDEX(PP_Grid[#Data],$DE194,91),0)</f>
        <v/>
      </c>
      <c r="CQ194">
        <f>IFERROR(INDEX(PP_Grid[#Data],$DE194,92),0)</f>
        <v/>
      </c>
      <c r="CR194">
        <f>IFERROR(INDEX(PP_Grid[#Data],$DE194,93),0)</f>
        <v/>
      </c>
      <c r="CS194">
        <f>IFERROR(INDEX(PP_Grid[#Data],$DE194,94),0)</f>
        <v/>
      </c>
      <c r="CT194">
        <f>IFERROR(INDEX(PP_Grid[#Data],$DE194,95),0)</f>
        <v/>
      </c>
      <c r="CU194">
        <f>IFERROR(INDEX(PP_Grid[#Data],$DE194,96),0)</f>
        <v/>
      </c>
      <c r="CV194">
        <f>IFERROR(INDEX(PP_Grid[#Data],$DE194,97),0)</f>
        <v/>
      </c>
      <c r="CW194">
        <f>IFERROR(INDEX(PP_Grid[#Data],$DE194,98),0)</f>
        <v/>
      </c>
      <c r="CX194">
        <f>IFERROR(INDEX(PP_Grid[#Data],$DE194,99),0)</f>
        <v/>
      </c>
      <c r="CY194">
        <f>IFERROR(INDEX(PP_Grid[#Data],$DE194,100),0)</f>
        <v/>
      </c>
      <c r="CZ194">
        <f>IFERROR(INDEX(PP_Grid[#Data],$DE194,101),0)</f>
        <v/>
      </c>
      <c r="DA194">
        <f>IFERROR(INDEX(PP_Grid[#Data],$DE194,102),0)</f>
        <v/>
      </c>
      <c r="DB194">
        <f>IFERROR(INDEX(PP_Grid[#Data],$DE194,103),0)</f>
        <v/>
      </c>
      <c r="DC194">
        <f>IFERROR(INDEX(PP_Grid[#Data],$DE194,104),0)</f>
        <v/>
      </c>
      <c r="DD194">
        <f>IFERROR(INDEX(PP_Grid[#Data],$DE194,105),0)</f>
        <v/>
      </c>
      <c r="DE194" s="7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SUMIFS(M_BOM[RM_Qty_Per_Batch],M_BOM[Intermediate],$B194,M_BOM[RM_Code],$A187)</f>
        <v/>
      </c>
      <c r="D195">
        <f>IFERROR(INDEX(E195:DD195,$F$1),"")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  <c r="DD195">
        <f>$C195*DD194</f>
        <v/>
      </c>
    </row>
    <row r="196">
      <c r="B196" t="inlineStr">
        <is>
          <t>TSP-104</t>
        </is>
      </c>
      <c r="C196" t="inlineStr">
        <is>
          <t>No. of batches</t>
        </is>
      </c>
      <c r="D196">
        <f>IFERROR(INDEX(E196:DD196,$F$1),"")</f>
        <v/>
      </c>
      <c r="E196">
        <f>IFERROR(INDEX(PP_Grid[#Data],$DE196,2),0)</f>
        <v/>
      </c>
      <c r="F196">
        <f>IFERROR(INDEX(PP_Grid[#Data],$DE196,3),0)</f>
        <v/>
      </c>
      <c r="G196">
        <f>IFERROR(INDEX(PP_Grid[#Data],$DE196,4),0)</f>
        <v/>
      </c>
      <c r="H196">
        <f>IFERROR(INDEX(PP_Grid[#Data],$DE196,5),0)</f>
        <v/>
      </c>
      <c r="I196">
        <f>IFERROR(INDEX(PP_Grid[#Data],$DE196,6),0)</f>
        <v/>
      </c>
      <c r="J196">
        <f>IFERROR(INDEX(PP_Grid[#Data],$DE196,7),0)</f>
        <v/>
      </c>
      <c r="K196">
        <f>IFERROR(INDEX(PP_Grid[#Data],$DE196,8),0)</f>
        <v/>
      </c>
      <c r="L196">
        <f>IFERROR(INDEX(PP_Grid[#Data],$DE196,9),0)</f>
        <v/>
      </c>
      <c r="M196">
        <f>IFERROR(INDEX(PP_Grid[#Data],$DE196,10),0)</f>
        <v/>
      </c>
      <c r="N196">
        <f>IFERROR(INDEX(PP_Grid[#Data],$DE196,11),0)</f>
        <v/>
      </c>
      <c r="O196">
        <f>IFERROR(INDEX(PP_Grid[#Data],$DE196,12),0)</f>
        <v/>
      </c>
      <c r="P196">
        <f>IFERROR(INDEX(PP_Grid[#Data],$DE196,13),0)</f>
        <v/>
      </c>
      <c r="Q196">
        <f>IFERROR(INDEX(PP_Grid[#Data],$DE196,14),0)</f>
        <v/>
      </c>
      <c r="R196">
        <f>IFERROR(INDEX(PP_Grid[#Data],$DE196,15),0)</f>
        <v/>
      </c>
      <c r="S196">
        <f>IFERROR(INDEX(PP_Grid[#Data],$DE196,16),0)</f>
        <v/>
      </c>
      <c r="T196">
        <f>IFERROR(INDEX(PP_Grid[#Data],$DE196,17),0)</f>
        <v/>
      </c>
      <c r="U196">
        <f>IFERROR(INDEX(PP_Grid[#Data],$DE196,18),0)</f>
        <v/>
      </c>
      <c r="V196">
        <f>IFERROR(INDEX(PP_Grid[#Data],$DE196,19),0)</f>
        <v/>
      </c>
      <c r="W196">
        <f>IFERROR(INDEX(PP_Grid[#Data],$DE196,20),0)</f>
        <v/>
      </c>
      <c r="X196">
        <f>IFERROR(INDEX(PP_Grid[#Data],$DE196,21),0)</f>
        <v/>
      </c>
      <c r="Y196">
        <f>IFERROR(INDEX(PP_Grid[#Data],$DE196,22),0)</f>
        <v/>
      </c>
      <c r="Z196">
        <f>IFERROR(INDEX(PP_Grid[#Data],$DE196,23),0)</f>
        <v/>
      </c>
      <c r="AA196">
        <f>IFERROR(INDEX(PP_Grid[#Data],$DE196,24),0)</f>
        <v/>
      </c>
      <c r="AB196">
        <f>IFERROR(INDEX(PP_Grid[#Data],$DE196,25),0)</f>
        <v/>
      </c>
      <c r="AC196">
        <f>IFERROR(INDEX(PP_Grid[#Data],$DE196,26),0)</f>
        <v/>
      </c>
      <c r="AD196">
        <f>IFERROR(INDEX(PP_Grid[#Data],$DE196,27),0)</f>
        <v/>
      </c>
      <c r="AE196">
        <f>IFERROR(INDEX(PP_Grid[#Data],$DE196,28),0)</f>
        <v/>
      </c>
      <c r="AF196">
        <f>IFERROR(INDEX(PP_Grid[#Data],$DE196,29),0)</f>
        <v/>
      </c>
      <c r="AG196">
        <f>IFERROR(INDEX(PP_Grid[#Data],$DE196,30),0)</f>
        <v/>
      </c>
      <c r="AH196">
        <f>IFERROR(INDEX(PP_Grid[#Data],$DE196,31),0)</f>
        <v/>
      </c>
      <c r="AI196">
        <f>IFERROR(INDEX(PP_Grid[#Data],$DE196,32),0)</f>
        <v/>
      </c>
      <c r="AJ196">
        <f>IFERROR(INDEX(PP_Grid[#Data],$DE196,33),0)</f>
        <v/>
      </c>
      <c r="AK196">
        <f>IFERROR(INDEX(PP_Grid[#Data],$DE196,34),0)</f>
        <v/>
      </c>
      <c r="AL196">
        <f>IFERROR(INDEX(PP_Grid[#Data],$DE196,35),0)</f>
        <v/>
      </c>
      <c r="AM196">
        <f>IFERROR(INDEX(PP_Grid[#Data],$DE196,36),0)</f>
        <v/>
      </c>
      <c r="AN196">
        <f>IFERROR(INDEX(PP_Grid[#Data],$DE196,37),0)</f>
        <v/>
      </c>
      <c r="AO196">
        <f>IFERROR(INDEX(PP_Grid[#Data],$DE196,38),0)</f>
        <v/>
      </c>
      <c r="AP196">
        <f>IFERROR(INDEX(PP_Grid[#Data],$DE196,39),0)</f>
        <v/>
      </c>
      <c r="AQ196">
        <f>IFERROR(INDEX(PP_Grid[#Data],$DE196,40),0)</f>
        <v/>
      </c>
      <c r="AR196">
        <f>IFERROR(INDEX(PP_Grid[#Data],$DE196,41),0)</f>
        <v/>
      </c>
      <c r="AS196">
        <f>IFERROR(INDEX(PP_Grid[#Data],$DE196,42),0)</f>
        <v/>
      </c>
      <c r="AT196">
        <f>IFERROR(INDEX(PP_Grid[#Data],$DE196,43),0)</f>
        <v/>
      </c>
      <c r="AU196">
        <f>IFERROR(INDEX(PP_Grid[#Data],$DE196,44),0)</f>
        <v/>
      </c>
      <c r="AV196">
        <f>IFERROR(INDEX(PP_Grid[#Data],$DE196,45),0)</f>
        <v/>
      </c>
      <c r="AW196">
        <f>IFERROR(INDEX(PP_Grid[#Data],$DE196,46),0)</f>
        <v/>
      </c>
      <c r="AX196">
        <f>IFERROR(INDEX(PP_Grid[#Data],$DE196,47),0)</f>
        <v/>
      </c>
      <c r="AY196">
        <f>IFERROR(INDEX(PP_Grid[#Data],$DE196,48),0)</f>
        <v/>
      </c>
      <c r="AZ196">
        <f>IFERROR(INDEX(PP_Grid[#Data],$DE196,49),0)</f>
        <v/>
      </c>
      <c r="BA196">
        <f>IFERROR(INDEX(PP_Grid[#Data],$DE196,50),0)</f>
        <v/>
      </c>
      <c r="BB196">
        <f>IFERROR(INDEX(PP_Grid[#Data],$DE196,51),0)</f>
        <v/>
      </c>
      <c r="BC196">
        <f>IFERROR(INDEX(PP_Grid[#Data],$DE196,52),0)</f>
        <v/>
      </c>
      <c r="BD196">
        <f>IFERROR(INDEX(PP_Grid[#Data],$DE196,53),0)</f>
        <v/>
      </c>
      <c r="BE196">
        <f>IFERROR(INDEX(PP_Grid[#Data],$DE196,54),0)</f>
        <v/>
      </c>
      <c r="BF196">
        <f>IFERROR(INDEX(PP_Grid[#Data],$DE196,55),0)</f>
        <v/>
      </c>
      <c r="BG196">
        <f>IFERROR(INDEX(PP_Grid[#Data],$DE196,56),0)</f>
        <v/>
      </c>
      <c r="BH196">
        <f>IFERROR(INDEX(PP_Grid[#Data],$DE196,57),0)</f>
        <v/>
      </c>
      <c r="BI196">
        <f>IFERROR(INDEX(PP_Grid[#Data],$DE196,58),0)</f>
        <v/>
      </c>
      <c r="BJ196">
        <f>IFERROR(INDEX(PP_Grid[#Data],$DE196,59),0)</f>
        <v/>
      </c>
      <c r="BK196">
        <f>IFERROR(INDEX(PP_Grid[#Data],$DE196,60),0)</f>
        <v/>
      </c>
      <c r="BL196">
        <f>IFERROR(INDEX(PP_Grid[#Data],$DE196,61),0)</f>
        <v/>
      </c>
      <c r="BM196">
        <f>IFERROR(INDEX(PP_Grid[#Data],$DE196,62),0)</f>
        <v/>
      </c>
      <c r="BN196">
        <f>IFERROR(INDEX(PP_Grid[#Data],$DE196,63),0)</f>
        <v/>
      </c>
      <c r="BO196">
        <f>IFERROR(INDEX(PP_Grid[#Data],$DE196,64),0)</f>
        <v/>
      </c>
      <c r="BP196">
        <f>IFERROR(INDEX(PP_Grid[#Data],$DE196,65),0)</f>
        <v/>
      </c>
      <c r="BQ196">
        <f>IFERROR(INDEX(PP_Grid[#Data],$DE196,66),0)</f>
        <v/>
      </c>
      <c r="BR196">
        <f>IFERROR(INDEX(PP_Grid[#Data],$DE196,67),0)</f>
        <v/>
      </c>
      <c r="BS196">
        <f>IFERROR(INDEX(PP_Grid[#Data],$DE196,68),0)</f>
        <v/>
      </c>
      <c r="BT196">
        <f>IFERROR(INDEX(PP_Grid[#Data],$DE196,69),0)</f>
        <v/>
      </c>
      <c r="BU196">
        <f>IFERROR(INDEX(PP_Grid[#Data],$DE196,70),0)</f>
        <v/>
      </c>
      <c r="BV196">
        <f>IFERROR(INDEX(PP_Grid[#Data],$DE196,71),0)</f>
        <v/>
      </c>
      <c r="BW196">
        <f>IFERROR(INDEX(PP_Grid[#Data],$DE196,72),0)</f>
        <v/>
      </c>
      <c r="BX196">
        <f>IFERROR(INDEX(PP_Grid[#Data],$DE196,73),0)</f>
        <v/>
      </c>
      <c r="BY196">
        <f>IFERROR(INDEX(PP_Grid[#Data],$DE196,74),0)</f>
        <v/>
      </c>
      <c r="BZ196">
        <f>IFERROR(INDEX(PP_Grid[#Data],$DE196,75),0)</f>
        <v/>
      </c>
      <c r="CA196">
        <f>IFERROR(INDEX(PP_Grid[#Data],$DE196,76),0)</f>
        <v/>
      </c>
      <c r="CB196">
        <f>IFERROR(INDEX(PP_Grid[#Data],$DE196,77),0)</f>
        <v/>
      </c>
      <c r="CC196">
        <f>IFERROR(INDEX(PP_Grid[#Data],$DE196,78),0)</f>
        <v/>
      </c>
      <c r="CD196">
        <f>IFERROR(INDEX(PP_Grid[#Data],$DE196,79),0)</f>
        <v/>
      </c>
      <c r="CE196">
        <f>IFERROR(INDEX(PP_Grid[#Data],$DE196,80),0)</f>
        <v/>
      </c>
      <c r="CF196">
        <f>IFERROR(INDEX(PP_Grid[#Data],$DE196,81),0)</f>
        <v/>
      </c>
      <c r="CG196">
        <f>IFERROR(INDEX(PP_Grid[#Data],$DE196,82),0)</f>
        <v/>
      </c>
      <c r="CH196">
        <f>IFERROR(INDEX(PP_Grid[#Data],$DE196,83),0)</f>
        <v/>
      </c>
      <c r="CI196">
        <f>IFERROR(INDEX(PP_Grid[#Data],$DE196,84),0)</f>
        <v/>
      </c>
      <c r="CJ196">
        <f>IFERROR(INDEX(PP_Grid[#Data],$DE196,85),0)</f>
        <v/>
      </c>
      <c r="CK196">
        <f>IFERROR(INDEX(PP_Grid[#Data],$DE196,86),0)</f>
        <v/>
      </c>
      <c r="CL196">
        <f>IFERROR(INDEX(PP_Grid[#Data],$DE196,87),0)</f>
        <v/>
      </c>
      <c r="CM196">
        <f>IFERROR(INDEX(PP_Grid[#Data],$DE196,88),0)</f>
        <v/>
      </c>
      <c r="CN196">
        <f>IFERROR(INDEX(PP_Grid[#Data],$DE196,89),0)</f>
        <v/>
      </c>
      <c r="CO196">
        <f>IFERROR(INDEX(PP_Grid[#Data],$DE196,90),0)</f>
        <v/>
      </c>
      <c r="CP196">
        <f>IFERROR(INDEX(PP_Grid[#Data],$DE196,91),0)</f>
        <v/>
      </c>
      <c r="CQ196">
        <f>IFERROR(INDEX(PP_Grid[#Data],$DE196,92),0)</f>
        <v/>
      </c>
      <c r="CR196">
        <f>IFERROR(INDEX(PP_Grid[#Data],$DE196,93),0)</f>
        <v/>
      </c>
      <c r="CS196">
        <f>IFERROR(INDEX(PP_Grid[#Data],$DE196,94),0)</f>
        <v/>
      </c>
      <c r="CT196">
        <f>IFERROR(INDEX(PP_Grid[#Data],$DE196,95),0)</f>
        <v/>
      </c>
      <c r="CU196">
        <f>IFERROR(INDEX(PP_Grid[#Data],$DE196,96),0)</f>
        <v/>
      </c>
      <c r="CV196">
        <f>IFERROR(INDEX(PP_Grid[#Data],$DE196,97),0)</f>
        <v/>
      </c>
      <c r="CW196">
        <f>IFERROR(INDEX(PP_Grid[#Data],$DE196,98),0)</f>
        <v/>
      </c>
      <c r="CX196">
        <f>IFERROR(INDEX(PP_Grid[#Data],$DE196,99),0)</f>
        <v/>
      </c>
      <c r="CY196">
        <f>IFERROR(INDEX(PP_Grid[#Data],$DE196,100),0)</f>
        <v/>
      </c>
      <c r="CZ196">
        <f>IFERROR(INDEX(PP_Grid[#Data],$DE196,101),0)</f>
        <v/>
      </c>
      <c r="DA196">
        <f>IFERROR(INDEX(PP_Grid[#Data],$DE196,102),0)</f>
        <v/>
      </c>
      <c r="DB196">
        <f>IFERROR(INDEX(PP_Grid[#Data],$DE196,103),0)</f>
        <v/>
      </c>
      <c r="DC196">
        <f>IFERROR(INDEX(PP_Grid[#Data],$DE196,104),0)</f>
        <v/>
      </c>
      <c r="DD196">
        <f>IFERROR(INDEX(PP_Grid[#Data],$DE196,105),0)</f>
        <v/>
      </c>
      <c r="DE196" s="7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SUMIFS(M_BOM[RM_Qty_Per_Batch],M_BOM[Intermediate],$B196,M_BOM[RM_Code],$A187)</f>
        <v/>
      </c>
      <c r="D197">
        <f>IFERROR(INDEX(E197:DD197,$F$1),"")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  <c r="DD197">
        <f>$C197*DD196</f>
        <v/>
      </c>
    </row>
    <row r="198">
      <c r="B198" t="inlineStr">
        <is>
          <t>TSP-199</t>
        </is>
      </c>
      <c r="C198" t="inlineStr">
        <is>
          <t>No. of batches</t>
        </is>
      </c>
      <c r="D198">
        <f>IFERROR(INDEX(E198:DD198,$F$1),"")</f>
        <v/>
      </c>
      <c r="E198">
        <f>IFERROR(INDEX(PP_Grid[#Data],$DE198,2),0)</f>
        <v/>
      </c>
      <c r="F198">
        <f>IFERROR(INDEX(PP_Grid[#Data],$DE198,3),0)</f>
        <v/>
      </c>
      <c r="G198">
        <f>IFERROR(INDEX(PP_Grid[#Data],$DE198,4),0)</f>
        <v/>
      </c>
      <c r="H198">
        <f>IFERROR(INDEX(PP_Grid[#Data],$DE198,5),0)</f>
        <v/>
      </c>
      <c r="I198">
        <f>IFERROR(INDEX(PP_Grid[#Data],$DE198,6),0)</f>
        <v/>
      </c>
      <c r="J198">
        <f>IFERROR(INDEX(PP_Grid[#Data],$DE198,7),0)</f>
        <v/>
      </c>
      <c r="K198">
        <f>IFERROR(INDEX(PP_Grid[#Data],$DE198,8),0)</f>
        <v/>
      </c>
      <c r="L198">
        <f>IFERROR(INDEX(PP_Grid[#Data],$DE198,9),0)</f>
        <v/>
      </c>
      <c r="M198">
        <f>IFERROR(INDEX(PP_Grid[#Data],$DE198,10),0)</f>
        <v/>
      </c>
      <c r="N198">
        <f>IFERROR(INDEX(PP_Grid[#Data],$DE198,11),0)</f>
        <v/>
      </c>
      <c r="O198">
        <f>IFERROR(INDEX(PP_Grid[#Data],$DE198,12),0)</f>
        <v/>
      </c>
      <c r="P198">
        <f>IFERROR(INDEX(PP_Grid[#Data],$DE198,13),0)</f>
        <v/>
      </c>
      <c r="Q198">
        <f>IFERROR(INDEX(PP_Grid[#Data],$DE198,14),0)</f>
        <v/>
      </c>
      <c r="R198">
        <f>IFERROR(INDEX(PP_Grid[#Data],$DE198,15),0)</f>
        <v/>
      </c>
      <c r="S198">
        <f>IFERROR(INDEX(PP_Grid[#Data],$DE198,16),0)</f>
        <v/>
      </c>
      <c r="T198">
        <f>IFERROR(INDEX(PP_Grid[#Data],$DE198,17),0)</f>
        <v/>
      </c>
      <c r="U198">
        <f>IFERROR(INDEX(PP_Grid[#Data],$DE198,18),0)</f>
        <v/>
      </c>
      <c r="V198">
        <f>IFERROR(INDEX(PP_Grid[#Data],$DE198,19),0)</f>
        <v/>
      </c>
      <c r="W198">
        <f>IFERROR(INDEX(PP_Grid[#Data],$DE198,20),0)</f>
        <v/>
      </c>
      <c r="X198">
        <f>IFERROR(INDEX(PP_Grid[#Data],$DE198,21),0)</f>
        <v/>
      </c>
      <c r="Y198">
        <f>IFERROR(INDEX(PP_Grid[#Data],$DE198,22),0)</f>
        <v/>
      </c>
      <c r="Z198">
        <f>IFERROR(INDEX(PP_Grid[#Data],$DE198,23),0)</f>
        <v/>
      </c>
      <c r="AA198">
        <f>IFERROR(INDEX(PP_Grid[#Data],$DE198,24),0)</f>
        <v/>
      </c>
      <c r="AB198">
        <f>IFERROR(INDEX(PP_Grid[#Data],$DE198,25),0)</f>
        <v/>
      </c>
      <c r="AC198">
        <f>IFERROR(INDEX(PP_Grid[#Data],$DE198,26),0)</f>
        <v/>
      </c>
      <c r="AD198">
        <f>IFERROR(INDEX(PP_Grid[#Data],$DE198,27),0)</f>
        <v/>
      </c>
      <c r="AE198">
        <f>IFERROR(INDEX(PP_Grid[#Data],$DE198,28),0)</f>
        <v/>
      </c>
      <c r="AF198">
        <f>IFERROR(INDEX(PP_Grid[#Data],$DE198,29),0)</f>
        <v/>
      </c>
      <c r="AG198">
        <f>IFERROR(INDEX(PP_Grid[#Data],$DE198,30),0)</f>
        <v/>
      </c>
      <c r="AH198">
        <f>IFERROR(INDEX(PP_Grid[#Data],$DE198,31),0)</f>
        <v/>
      </c>
      <c r="AI198">
        <f>IFERROR(INDEX(PP_Grid[#Data],$DE198,32),0)</f>
        <v/>
      </c>
      <c r="AJ198">
        <f>IFERROR(INDEX(PP_Grid[#Data],$DE198,33),0)</f>
        <v/>
      </c>
      <c r="AK198">
        <f>IFERROR(INDEX(PP_Grid[#Data],$DE198,34),0)</f>
        <v/>
      </c>
      <c r="AL198">
        <f>IFERROR(INDEX(PP_Grid[#Data],$DE198,35),0)</f>
        <v/>
      </c>
      <c r="AM198">
        <f>IFERROR(INDEX(PP_Grid[#Data],$DE198,36),0)</f>
        <v/>
      </c>
      <c r="AN198">
        <f>IFERROR(INDEX(PP_Grid[#Data],$DE198,37),0)</f>
        <v/>
      </c>
      <c r="AO198">
        <f>IFERROR(INDEX(PP_Grid[#Data],$DE198,38),0)</f>
        <v/>
      </c>
      <c r="AP198">
        <f>IFERROR(INDEX(PP_Grid[#Data],$DE198,39),0)</f>
        <v/>
      </c>
      <c r="AQ198">
        <f>IFERROR(INDEX(PP_Grid[#Data],$DE198,40),0)</f>
        <v/>
      </c>
      <c r="AR198">
        <f>IFERROR(INDEX(PP_Grid[#Data],$DE198,41),0)</f>
        <v/>
      </c>
      <c r="AS198">
        <f>IFERROR(INDEX(PP_Grid[#Data],$DE198,42),0)</f>
        <v/>
      </c>
      <c r="AT198">
        <f>IFERROR(INDEX(PP_Grid[#Data],$DE198,43),0)</f>
        <v/>
      </c>
      <c r="AU198">
        <f>IFERROR(INDEX(PP_Grid[#Data],$DE198,44),0)</f>
        <v/>
      </c>
      <c r="AV198">
        <f>IFERROR(INDEX(PP_Grid[#Data],$DE198,45),0)</f>
        <v/>
      </c>
      <c r="AW198">
        <f>IFERROR(INDEX(PP_Grid[#Data],$DE198,46),0)</f>
        <v/>
      </c>
      <c r="AX198">
        <f>IFERROR(INDEX(PP_Grid[#Data],$DE198,47),0)</f>
        <v/>
      </c>
      <c r="AY198">
        <f>IFERROR(INDEX(PP_Grid[#Data],$DE198,48),0)</f>
        <v/>
      </c>
      <c r="AZ198">
        <f>IFERROR(INDEX(PP_Grid[#Data],$DE198,49),0)</f>
        <v/>
      </c>
      <c r="BA198">
        <f>IFERROR(INDEX(PP_Grid[#Data],$DE198,50),0)</f>
        <v/>
      </c>
      <c r="BB198">
        <f>IFERROR(INDEX(PP_Grid[#Data],$DE198,51),0)</f>
        <v/>
      </c>
      <c r="BC198">
        <f>IFERROR(INDEX(PP_Grid[#Data],$DE198,52),0)</f>
        <v/>
      </c>
      <c r="BD198">
        <f>IFERROR(INDEX(PP_Grid[#Data],$DE198,53),0)</f>
        <v/>
      </c>
      <c r="BE198">
        <f>IFERROR(INDEX(PP_Grid[#Data],$DE198,54),0)</f>
        <v/>
      </c>
      <c r="BF198">
        <f>IFERROR(INDEX(PP_Grid[#Data],$DE198,55),0)</f>
        <v/>
      </c>
      <c r="BG198">
        <f>IFERROR(INDEX(PP_Grid[#Data],$DE198,56),0)</f>
        <v/>
      </c>
      <c r="BH198">
        <f>IFERROR(INDEX(PP_Grid[#Data],$DE198,57),0)</f>
        <v/>
      </c>
      <c r="BI198">
        <f>IFERROR(INDEX(PP_Grid[#Data],$DE198,58),0)</f>
        <v/>
      </c>
      <c r="BJ198">
        <f>IFERROR(INDEX(PP_Grid[#Data],$DE198,59),0)</f>
        <v/>
      </c>
      <c r="BK198">
        <f>IFERROR(INDEX(PP_Grid[#Data],$DE198,60),0)</f>
        <v/>
      </c>
      <c r="BL198">
        <f>IFERROR(INDEX(PP_Grid[#Data],$DE198,61),0)</f>
        <v/>
      </c>
      <c r="BM198">
        <f>IFERROR(INDEX(PP_Grid[#Data],$DE198,62),0)</f>
        <v/>
      </c>
      <c r="BN198">
        <f>IFERROR(INDEX(PP_Grid[#Data],$DE198,63),0)</f>
        <v/>
      </c>
      <c r="BO198">
        <f>IFERROR(INDEX(PP_Grid[#Data],$DE198,64),0)</f>
        <v/>
      </c>
      <c r="BP198">
        <f>IFERROR(INDEX(PP_Grid[#Data],$DE198,65),0)</f>
        <v/>
      </c>
      <c r="BQ198">
        <f>IFERROR(INDEX(PP_Grid[#Data],$DE198,66),0)</f>
        <v/>
      </c>
      <c r="BR198">
        <f>IFERROR(INDEX(PP_Grid[#Data],$DE198,67),0)</f>
        <v/>
      </c>
      <c r="BS198">
        <f>IFERROR(INDEX(PP_Grid[#Data],$DE198,68),0)</f>
        <v/>
      </c>
      <c r="BT198">
        <f>IFERROR(INDEX(PP_Grid[#Data],$DE198,69),0)</f>
        <v/>
      </c>
      <c r="BU198">
        <f>IFERROR(INDEX(PP_Grid[#Data],$DE198,70),0)</f>
        <v/>
      </c>
      <c r="BV198">
        <f>IFERROR(INDEX(PP_Grid[#Data],$DE198,71),0)</f>
        <v/>
      </c>
      <c r="BW198">
        <f>IFERROR(INDEX(PP_Grid[#Data],$DE198,72),0)</f>
        <v/>
      </c>
      <c r="BX198">
        <f>IFERROR(INDEX(PP_Grid[#Data],$DE198,73),0)</f>
        <v/>
      </c>
      <c r="BY198">
        <f>IFERROR(INDEX(PP_Grid[#Data],$DE198,74),0)</f>
        <v/>
      </c>
      <c r="BZ198">
        <f>IFERROR(INDEX(PP_Grid[#Data],$DE198,75),0)</f>
        <v/>
      </c>
      <c r="CA198">
        <f>IFERROR(INDEX(PP_Grid[#Data],$DE198,76),0)</f>
        <v/>
      </c>
      <c r="CB198">
        <f>IFERROR(INDEX(PP_Grid[#Data],$DE198,77),0)</f>
        <v/>
      </c>
      <c r="CC198">
        <f>IFERROR(INDEX(PP_Grid[#Data],$DE198,78),0)</f>
        <v/>
      </c>
      <c r="CD198">
        <f>IFERROR(INDEX(PP_Grid[#Data],$DE198,79),0)</f>
        <v/>
      </c>
      <c r="CE198">
        <f>IFERROR(INDEX(PP_Grid[#Data],$DE198,80),0)</f>
        <v/>
      </c>
      <c r="CF198">
        <f>IFERROR(INDEX(PP_Grid[#Data],$DE198,81),0)</f>
        <v/>
      </c>
      <c r="CG198">
        <f>IFERROR(INDEX(PP_Grid[#Data],$DE198,82),0)</f>
        <v/>
      </c>
      <c r="CH198">
        <f>IFERROR(INDEX(PP_Grid[#Data],$DE198,83),0)</f>
        <v/>
      </c>
      <c r="CI198">
        <f>IFERROR(INDEX(PP_Grid[#Data],$DE198,84),0)</f>
        <v/>
      </c>
      <c r="CJ198">
        <f>IFERROR(INDEX(PP_Grid[#Data],$DE198,85),0)</f>
        <v/>
      </c>
      <c r="CK198">
        <f>IFERROR(INDEX(PP_Grid[#Data],$DE198,86),0)</f>
        <v/>
      </c>
      <c r="CL198">
        <f>IFERROR(INDEX(PP_Grid[#Data],$DE198,87),0)</f>
        <v/>
      </c>
      <c r="CM198">
        <f>IFERROR(INDEX(PP_Grid[#Data],$DE198,88),0)</f>
        <v/>
      </c>
      <c r="CN198">
        <f>IFERROR(INDEX(PP_Grid[#Data],$DE198,89),0)</f>
        <v/>
      </c>
      <c r="CO198">
        <f>IFERROR(INDEX(PP_Grid[#Data],$DE198,90),0)</f>
        <v/>
      </c>
      <c r="CP198">
        <f>IFERROR(INDEX(PP_Grid[#Data],$DE198,91),0)</f>
        <v/>
      </c>
      <c r="CQ198">
        <f>IFERROR(INDEX(PP_Grid[#Data],$DE198,92),0)</f>
        <v/>
      </c>
      <c r="CR198">
        <f>IFERROR(INDEX(PP_Grid[#Data],$DE198,93),0)</f>
        <v/>
      </c>
      <c r="CS198">
        <f>IFERROR(INDEX(PP_Grid[#Data],$DE198,94),0)</f>
        <v/>
      </c>
      <c r="CT198">
        <f>IFERROR(INDEX(PP_Grid[#Data],$DE198,95),0)</f>
        <v/>
      </c>
      <c r="CU198">
        <f>IFERROR(INDEX(PP_Grid[#Data],$DE198,96),0)</f>
        <v/>
      </c>
      <c r="CV198">
        <f>IFERROR(INDEX(PP_Grid[#Data],$DE198,97),0)</f>
        <v/>
      </c>
      <c r="CW198">
        <f>IFERROR(INDEX(PP_Grid[#Data],$DE198,98),0)</f>
        <v/>
      </c>
      <c r="CX198">
        <f>IFERROR(INDEX(PP_Grid[#Data],$DE198,99),0)</f>
        <v/>
      </c>
      <c r="CY198">
        <f>IFERROR(INDEX(PP_Grid[#Data],$DE198,100),0)</f>
        <v/>
      </c>
      <c r="CZ198">
        <f>IFERROR(INDEX(PP_Grid[#Data],$DE198,101),0)</f>
        <v/>
      </c>
      <c r="DA198">
        <f>IFERROR(INDEX(PP_Grid[#Data],$DE198,102),0)</f>
        <v/>
      </c>
      <c r="DB198">
        <f>IFERROR(INDEX(PP_Grid[#Data],$DE198,103),0)</f>
        <v/>
      </c>
      <c r="DC198">
        <f>IFERROR(INDEX(PP_Grid[#Data],$DE198,104),0)</f>
        <v/>
      </c>
      <c r="DD198">
        <f>IFERROR(INDEX(PP_Grid[#Data],$DE198,105),0)</f>
        <v/>
      </c>
      <c r="DE198" s="7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SUMIFS(M_BOM[RM_Qty_Per_Batch],M_BOM[Intermediate],$B198,M_BOM[RM_Code],$A187)</f>
        <v/>
      </c>
      <c r="D199">
        <f>IFERROR(INDEX(E199:DD199,$F$1),"")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  <c r="DD199">
        <f>$C199*DD198</f>
        <v/>
      </c>
    </row>
    <row r="200">
      <c r="B200" t="inlineStr">
        <is>
          <t>TSP-205</t>
        </is>
      </c>
      <c r="C200" t="inlineStr">
        <is>
          <t>No. of batches</t>
        </is>
      </c>
      <c r="D200">
        <f>IFERROR(INDEX(E200:DD200,$F$1),"")</f>
        <v/>
      </c>
      <c r="E200">
        <f>IFERROR(INDEX(PP_Grid[#Data],$DE200,2),0)</f>
        <v/>
      </c>
      <c r="F200">
        <f>IFERROR(INDEX(PP_Grid[#Data],$DE200,3),0)</f>
        <v/>
      </c>
      <c r="G200">
        <f>IFERROR(INDEX(PP_Grid[#Data],$DE200,4),0)</f>
        <v/>
      </c>
      <c r="H200">
        <f>IFERROR(INDEX(PP_Grid[#Data],$DE200,5),0)</f>
        <v/>
      </c>
      <c r="I200">
        <f>IFERROR(INDEX(PP_Grid[#Data],$DE200,6),0)</f>
        <v/>
      </c>
      <c r="J200">
        <f>IFERROR(INDEX(PP_Grid[#Data],$DE200,7),0)</f>
        <v/>
      </c>
      <c r="K200">
        <f>IFERROR(INDEX(PP_Grid[#Data],$DE200,8),0)</f>
        <v/>
      </c>
      <c r="L200">
        <f>IFERROR(INDEX(PP_Grid[#Data],$DE200,9),0)</f>
        <v/>
      </c>
      <c r="M200">
        <f>IFERROR(INDEX(PP_Grid[#Data],$DE200,10),0)</f>
        <v/>
      </c>
      <c r="N200">
        <f>IFERROR(INDEX(PP_Grid[#Data],$DE200,11),0)</f>
        <v/>
      </c>
      <c r="O200">
        <f>IFERROR(INDEX(PP_Grid[#Data],$DE200,12),0)</f>
        <v/>
      </c>
      <c r="P200">
        <f>IFERROR(INDEX(PP_Grid[#Data],$DE200,13),0)</f>
        <v/>
      </c>
      <c r="Q200">
        <f>IFERROR(INDEX(PP_Grid[#Data],$DE200,14),0)</f>
        <v/>
      </c>
      <c r="R200">
        <f>IFERROR(INDEX(PP_Grid[#Data],$DE200,15),0)</f>
        <v/>
      </c>
      <c r="S200">
        <f>IFERROR(INDEX(PP_Grid[#Data],$DE200,16),0)</f>
        <v/>
      </c>
      <c r="T200">
        <f>IFERROR(INDEX(PP_Grid[#Data],$DE200,17),0)</f>
        <v/>
      </c>
      <c r="U200">
        <f>IFERROR(INDEX(PP_Grid[#Data],$DE200,18),0)</f>
        <v/>
      </c>
      <c r="V200">
        <f>IFERROR(INDEX(PP_Grid[#Data],$DE200,19),0)</f>
        <v/>
      </c>
      <c r="W200">
        <f>IFERROR(INDEX(PP_Grid[#Data],$DE200,20),0)</f>
        <v/>
      </c>
      <c r="X200">
        <f>IFERROR(INDEX(PP_Grid[#Data],$DE200,21),0)</f>
        <v/>
      </c>
      <c r="Y200">
        <f>IFERROR(INDEX(PP_Grid[#Data],$DE200,22),0)</f>
        <v/>
      </c>
      <c r="Z200">
        <f>IFERROR(INDEX(PP_Grid[#Data],$DE200,23),0)</f>
        <v/>
      </c>
      <c r="AA200">
        <f>IFERROR(INDEX(PP_Grid[#Data],$DE200,24),0)</f>
        <v/>
      </c>
      <c r="AB200">
        <f>IFERROR(INDEX(PP_Grid[#Data],$DE200,25),0)</f>
        <v/>
      </c>
      <c r="AC200">
        <f>IFERROR(INDEX(PP_Grid[#Data],$DE200,26),0)</f>
        <v/>
      </c>
      <c r="AD200">
        <f>IFERROR(INDEX(PP_Grid[#Data],$DE200,27),0)</f>
        <v/>
      </c>
      <c r="AE200">
        <f>IFERROR(INDEX(PP_Grid[#Data],$DE200,28),0)</f>
        <v/>
      </c>
      <c r="AF200">
        <f>IFERROR(INDEX(PP_Grid[#Data],$DE200,29),0)</f>
        <v/>
      </c>
      <c r="AG200">
        <f>IFERROR(INDEX(PP_Grid[#Data],$DE200,30),0)</f>
        <v/>
      </c>
      <c r="AH200">
        <f>IFERROR(INDEX(PP_Grid[#Data],$DE200,31),0)</f>
        <v/>
      </c>
      <c r="AI200">
        <f>IFERROR(INDEX(PP_Grid[#Data],$DE200,32),0)</f>
        <v/>
      </c>
      <c r="AJ200">
        <f>IFERROR(INDEX(PP_Grid[#Data],$DE200,33),0)</f>
        <v/>
      </c>
      <c r="AK200">
        <f>IFERROR(INDEX(PP_Grid[#Data],$DE200,34),0)</f>
        <v/>
      </c>
      <c r="AL200">
        <f>IFERROR(INDEX(PP_Grid[#Data],$DE200,35),0)</f>
        <v/>
      </c>
      <c r="AM200">
        <f>IFERROR(INDEX(PP_Grid[#Data],$DE200,36),0)</f>
        <v/>
      </c>
      <c r="AN200">
        <f>IFERROR(INDEX(PP_Grid[#Data],$DE200,37),0)</f>
        <v/>
      </c>
      <c r="AO200">
        <f>IFERROR(INDEX(PP_Grid[#Data],$DE200,38),0)</f>
        <v/>
      </c>
      <c r="AP200">
        <f>IFERROR(INDEX(PP_Grid[#Data],$DE200,39),0)</f>
        <v/>
      </c>
      <c r="AQ200">
        <f>IFERROR(INDEX(PP_Grid[#Data],$DE200,40),0)</f>
        <v/>
      </c>
      <c r="AR200">
        <f>IFERROR(INDEX(PP_Grid[#Data],$DE200,41),0)</f>
        <v/>
      </c>
      <c r="AS200">
        <f>IFERROR(INDEX(PP_Grid[#Data],$DE200,42),0)</f>
        <v/>
      </c>
      <c r="AT200">
        <f>IFERROR(INDEX(PP_Grid[#Data],$DE200,43),0)</f>
        <v/>
      </c>
      <c r="AU200">
        <f>IFERROR(INDEX(PP_Grid[#Data],$DE200,44),0)</f>
        <v/>
      </c>
      <c r="AV200">
        <f>IFERROR(INDEX(PP_Grid[#Data],$DE200,45),0)</f>
        <v/>
      </c>
      <c r="AW200">
        <f>IFERROR(INDEX(PP_Grid[#Data],$DE200,46),0)</f>
        <v/>
      </c>
      <c r="AX200">
        <f>IFERROR(INDEX(PP_Grid[#Data],$DE200,47),0)</f>
        <v/>
      </c>
      <c r="AY200">
        <f>IFERROR(INDEX(PP_Grid[#Data],$DE200,48),0)</f>
        <v/>
      </c>
      <c r="AZ200">
        <f>IFERROR(INDEX(PP_Grid[#Data],$DE200,49),0)</f>
        <v/>
      </c>
      <c r="BA200">
        <f>IFERROR(INDEX(PP_Grid[#Data],$DE200,50),0)</f>
        <v/>
      </c>
      <c r="BB200">
        <f>IFERROR(INDEX(PP_Grid[#Data],$DE200,51),0)</f>
        <v/>
      </c>
      <c r="BC200">
        <f>IFERROR(INDEX(PP_Grid[#Data],$DE200,52),0)</f>
        <v/>
      </c>
      <c r="BD200">
        <f>IFERROR(INDEX(PP_Grid[#Data],$DE200,53),0)</f>
        <v/>
      </c>
      <c r="BE200">
        <f>IFERROR(INDEX(PP_Grid[#Data],$DE200,54),0)</f>
        <v/>
      </c>
      <c r="BF200">
        <f>IFERROR(INDEX(PP_Grid[#Data],$DE200,55),0)</f>
        <v/>
      </c>
      <c r="BG200">
        <f>IFERROR(INDEX(PP_Grid[#Data],$DE200,56),0)</f>
        <v/>
      </c>
      <c r="BH200">
        <f>IFERROR(INDEX(PP_Grid[#Data],$DE200,57),0)</f>
        <v/>
      </c>
      <c r="BI200">
        <f>IFERROR(INDEX(PP_Grid[#Data],$DE200,58),0)</f>
        <v/>
      </c>
      <c r="BJ200">
        <f>IFERROR(INDEX(PP_Grid[#Data],$DE200,59),0)</f>
        <v/>
      </c>
      <c r="BK200">
        <f>IFERROR(INDEX(PP_Grid[#Data],$DE200,60),0)</f>
        <v/>
      </c>
      <c r="BL200">
        <f>IFERROR(INDEX(PP_Grid[#Data],$DE200,61),0)</f>
        <v/>
      </c>
      <c r="BM200">
        <f>IFERROR(INDEX(PP_Grid[#Data],$DE200,62),0)</f>
        <v/>
      </c>
      <c r="BN200">
        <f>IFERROR(INDEX(PP_Grid[#Data],$DE200,63),0)</f>
        <v/>
      </c>
      <c r="BO200">
        <f>IFERROR(INDEX(PP_Grid[#Data],$DE200,64),0)</f>
        <v/>
      </c>
      <c r="BP200">
        <f>IFERROR(INDEX(PP_Grid[#Data],$DE200,65),0)</f>
        <v/>
      </c>
      <c r="BQ200">
        <f>IFERROR(INDEX(PP_Grid[#Data],$DE200,66),0)</f>
        <v/>
      </c>
      <c r="BR200">
        <f>IFERROR(INDEX(PP_Grid[#Data],$DE200,67),0)</f>
        <v/>
      </c>
      <c r="BS200">
        <f>IFERROR(INDEX(PP_Grid[#Data],$DE200,68),0)</f>
        <v/>
      </c>
      <c r="BT200">
        <f>IFERROR(INDEX(PP_Grid[#Data],$DE200,69),0)</f>
        <v/>
      </c>
      <c r="BU200">
        <f>IFERROR(INDEX(PP_Grid[#Data],$DE200,70),0)</f>
        <v/>
      </c>
      <c r="BV200">
        <f>IFERROR(INDEX(PP_Grid[#Data],$DE200,71),0)</f>
        <v/>
      </c>
      <c r="BW200">
        <f>IFERROR(INDEX(PP_Grid[#Data],$DE200,72),0)</f>
        <v/>
      </c>
      <c r="BX200">
        <f>IFERROR(INDEX(PP_Grid[#Data],$DE200,73),0)</f>
        <v/>
      </c>
      <c r="BY200">
        <f>IFERROR(INDEX(PP_Grid[#Data],$DE200,74),0)</f>
        <v/>
      </c>
      <c r="BZ200">
        <f>IFERROR(INDEX(PP_Grid[#Data],$DE200,75),0)</f>
        <v/>
      </c>
      <c r="CA200">
        <f>IFERROR(INDEX(PP_Grid[#Data],$DE200,76),0)</f>
        <v/>
      </c>
      <c r="CB200">
        <f>IFERROR(INDEX(PP_Grid[#Data],$DE200,77),0)</f>
        <v/>
      </c>
      <c r="CC200">
        <f>IFERROR(INDEX(PP_Grid[#Data],$DE200,78),0)</f>
        <v/>
      </c>
      <c r="CD200">
        <f>IFERROR(INDEX(PP_Grid[#Data],$DE200,79),0)</f>
        <v/>
      </c>
      <c r="CE200">
        <f>IFERROR(INDEX(PP_Grid[#Data],$DE200,80),0)</f>
        <v/>
      </c>
      <c r="CF200">
        <f>IFERROR(INDEX(PP_Grid[#Data],$DE200,81),0)</f>
        <v/>
      </c>
      <c r="CG200">
        <f>IFERROR(INDEX(PP_Grid[#Data],$DE200,82),0)</f>
        <v/>
      </c>
      <c r="CH200">
        <f>IFERROR(INDEX(PP_Grid[#Data],$DE200,83),0)</f>
        <v/>
      </c>
      <c r="CI200">
        <f>IFERROR(INDEX(PP_Grid[#Data],$DE200,84),0)</f>
        <v/>
      </c>
      <c r="CJ200">
        <f>IFERROR(INDEX(PP_Grid[#Data],$DE200,85),0)</f>
        <v/>
      </c>
      <c r="CK200">
        <f>IFERROR(INDEX(PP_Grid[#Data],$DE200,86),0)</f>
        <v/>
      </c>
      <c r="CL200">
        <f>IFERROR(INDEX(PP_Grid[#Data],$DE200,87),0)</f>
        <v/>
      </c>
      <c r="CM200">
        <f>IFERROR(INDEX(PP_Grid[#Data],$DE200,88),0)</f>
        <v/>
      </c>
      <c r="CN200">
        <f>IFERROR(INDEX(PP_Grid[#Data],$DE200,89),0)</f>
        <v/>
      </c>
      <c r="CO200">
        <f>IFERROR(INDEX(PP_Grid[#Data],$DE200,90),0)</f>
        <v/>
      </c>
      <c r="CP200">
        <f>IFERROR(INDEX(PP_Grid[#Data],$DE200,91),0)</f>
        <v/>
      </c>
      <c r="CQ200">
        <f>IFERROR(INDEX(PP_Grid[#Data],$DE200,92),0)</f>
        <v/>
      </c>
      <c r="CR200">
        <f>IFERROR(INDEX(PP_Grid[#Data],$DE200,93),0)</f>
        <v/>
      </c>
      <c r="CS200">
        <f>IFERROR(INDEX(PP_Grid[#Data],$DE200,94),0)</f>
        <v/>
      </c>
      <c r="CT200">
        <f>IFERROR(INDEX(PP_Grid[#Data],$DE200,95),0)</f>
        <v/>
      </c>
      <c r="CU200">
        <f>IFERROR(INDEX(PP_Grid[#Data],$DE200,96),0)</f>
        <v/>
      </c>
      <c r="CV200">
        <f>IFERROR(INDEX(PP_Grid[#Data],$DE200,97),0)</f>
        <v/>
      </c>
      <c r="CW200">
        <f>IFERROR(INDEX(PP_Grid[#Data],$DE200,98),0)</f>
        <v/>
      </c>
      <c r="CX200">
        <f>IFERROR(INDEX(PP_Grid[#Data],$DE200,99),0)</f>
        <v/>
      </c>
      <c r="CY200">
        <f>IFERROR(INDEX(PP_Grid[#Data],$DE200,100),0)</f>
        <v/>
      </c>
      <c r="CZ200">
        <f>IFERROR(INDEX(PP_Grid[#Data],$DE200,101),0)</f>
        <v/>
      </c>
      <c r="DA200">
        <f>IFERROR(INDEX(PP_Grid[#Data],$DE200,102),0)</f>
        <v/>
      </c>
      <c r="DB200">
        <f>IFERROR(INDEX(PP_Grid[#Data],$DE200,103),0)</f>
        <v/>
      </c>
      <c r="DC200">
        <f>IFERROR(INDEX(PP_Grid[#Data],$DE200,104),0)</f>
        <v/>
      </c>
      <c r="DD200">
        <f>IFERROR(INDEX(PP_Grid[#Data],$DE200,105),0)</f>
        <v/>
      </c>
      <c r="DE200" s="7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SUMIFS(M_BOM[RM_Qty_Per_Batch],M_BOM[Intermediate],$B200,M_BOM[RM_Code],$A187)</f>
        <v/>
      </c>
      <c r="D201">
        <f>IFERROR(INDEX(E201:DD201,$F$1),"")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  <c r="DD201">
        <f>$C201*DD200</f>
        <v/>
      </c>
    </row>
    <row r="202">
      <c r="B202" t="inlineStr">
        <is>
          <t>TSP-218</t>
        </is>
      </c>
      <c r="C202" t="inlineStr">
        <is>
          <t>No. of batches</t>
        </is>
      </c>
      <c r="D202">
        <f>IFERROR(INDEX(E202:DD202,$F$1),"")</f>
        <v/>
      </c>
      <c r="E202">
        <f>IFERROR(INDEX(PP_Grid[#Data],$DE202,2),0)</f>
        <v/>
      </c>
      <c r="F202">
        <f>IFERROR(INDEX(PP_Grid[#Data],$DE202,3),0)</f>
        <v/>
      </c>
      <c r="G202">
        <f>IFERROR(INDEX(PP_Grid[#Data],$DE202,4),0)</f>
        <v/>
      </c>
      <c r="H202">
        <f>IFERROR(INDEX(PP_Grid[#Data],$DE202,5),0)</f>
        <v/>
      </c>
      <c r="I202">
        <f>IFERROR(INDEX(PP_Grid[#Data],$DE202,6),0)</f>
        <v/>
      </c>
      <c r="J202">
        <f>IFERROR(INDEX(PP_Grid[#Data],$DE202,7),0)</f>
        <v/>
      </c>
      <c r="K202">
        <f>IFERROR(INDEX(PP_Grid[#Data],$DE202,8),0)</f>
        <v/>
      </c>
      <c r="L202">
        <f>IFERROR(INDEX(PP_Grid[#Data],$DE202,9),0)</f>
        <v/>
      </c>
      <c r="M202">
        <f>IFERROR(INDEX(PP_Grid[#Data],$DE202,10),0)</f>
        <v/>
      </c>
      <c r="N202">
        <f>IFERROR(INDEX(PP_Grid[#Data],$DE202,11),0)</f>
        <v/>
      </c>
      <c r="O202">
        <f>IFERROR(INDEX(PP_Grid[#Data],$DE202,12),0)</f>
        <v/>
      </c>
      <c r="P202">
        <f>IFERROR(INDEX(PP_Grid[#Data],$DE202,13),0)</f>
        <v/>
      </c>
      <c r="Q202">
        <f>IFERROR(INDEX(PP_Grid[#Data],$DE202,14),0)</f>
        <v/>
      </c>
      <c r="R202">
        <f>IFERROR(INDEX(PP_Grid[#Data],$DE202,15),0)</f>
        <v/>
      </c>
      <c r="S202">
        <f>IFERROR(INDEX(PP_Grid[#Data],$DE202,16),0)</f>
        <v/>
      </c>
      <c r="T202">
        <f>IFERROR(INDEX(PP_Grid[#Data],$DE202,17),0)</f>
        <v/>
      </c>
      <c r="U202">
        <f>IFERROR(INDEX(PP_Grid[#Data],$DE202,18),0)</f>
        <v/>
      </c>
      <c r="V202">
        <f>IFERROR(INDEX(PP_Grid[#Data],$DE202,19),0)</f>
        <v/>
      </c>
      <c r="W202">
        <f>IFERROR(INDEX(PP_Grid[#Data],$DE202,20),0)</f>
        <v/>
      </c>
      <c r="X202">
        <f>IFERROR(INDEX(PP_Grid[#Data],$DE202,21),0)</f>
        <v/>
      </c>
      <c r="Y202">
        <f>IFERROR(INDEX(PP_Grid[#Data],$DE202,22),0)</f>
        <v/>
      </c>
      <c r="Z202">
        <f>IFERROR(INDEX(PP_Grid[#Data],$DE202,23),0)</f>
        <v/>
      </c>
      <c r="AA202">
        <f>IFERROR(INDEX(PP_Grid[#Data],$DE202,24),0)</f>
        <v/>
      </c>
      <c r="AB202">
        <f>IFERROR(INDEX(PP_Grid[#Data],$DE202,25),0)</f>
        <v/>
      </c>
      <c r="AC202">
        <f>IFERROR(INDEX(PP_Grid[#Data],$DE202,26),0)</f>
        <v/>
      </c>
      <c r="AD202">
        <f>IFERROR(INDEX(PP_Grid[#Data],$DE202,27),0)</f>
        <v/>
      </c>
      <c r="AE202">
        <f>IFERROR(INDEX(PP_Grid[#Data],$DE202,28),0)</f>
        <v/>
      </c>
      <c r="AF202">
        <f>IFERROR(INDEX(PP_Grid[#Data],$DE202,29),0)</f>
        <v/>
      </c>
      <c r="AG202">
        <f>IFERROR(INDEX(PP_Grid[#Data],$DE202,30),0)</f>
        <v/>
      </c>
      <c r="AH202">
        <f>IFERROR(INDEX(PP_Grid[#Data],$DE202,31),0)</f>
        <v/>
      </c>
      <c r="AI202">
        <f>IFERROR(INDEX(PP_Grid[#Data],$DE202,32),0)</f>
        <v/>
      </c>
      <c r="AJ202">
        <f>IFERROR(INDEX(PP_Grid[#Data],$DE202,33),0)</f>
        <v/>
      </c>
      <c r="AK202">
        <f>IFERROR(INDEX(PP_Grid[#Data],$DE202,34),0)</f>
        <v/>
      </c>
      <c r="AL202">
        <f>IFERROR(INDEX(PP_Grid[#Data],$DE202,35),0)</f>
        <v/>
      </c>
      <c r="AM202">
        <f>IFERROR(INDEX(PP_Grid[#Data],$DE202,36),0)</f>
        <v/>
      </c>
      <c r="AN202">
        <f>IFERROR(INDEX(PP_Grid[#Data],$DE202,37),0)</f>
        <v/>
      </c>
      <c r="AO202">
        <f>IFERROR(INDEX(PP_Grid[#Data],$DE202,38),0)</f>
        <v/>
      </c>
      <c r="AP202">
        <f>IFERROR(INDEX(PP_Grid[#Data],$DE202,39),0)</f>
        <v/>
      </c>
      <c r="AQ202">
        <f>IFERROR(INDEX(PP_Grid[#Data],$DE202,40),0)</f>
        <v/>
      </c>
      <c r="AR202">
        <f>IFERROR(INDEX(PP_Grid[#Data],$DE202,41),0)</f>
        <v/>
      </c>
      <c r="AS202">
        <f>IFERROR(INDEX(PP_Grid[#Data],$DE202,42),0)</f>
        <v/>
      </c>
      <c r="AT202">
        <f>IFERROR(INDEX(PP_Grid[#Data],$DE202,43),0)</f>
        <v/>
      </c>
      <c r="AU202">
        <f>IFERROR(INDEX(PP_Grid[#Data],$DE202,44),0)</f>
        <v/>
      </c>
      <c r="AV202">
        <f>IFERROR(INDEX(PP_Grid[#Data],$DE202,45),0)</f>
        <v/>
      </c>
      <c r="AW202">
        <f>IFERROR(INDEX(PP_Grid[#Data],$DE202,46),0)</f>
        <v/>
      </c>
      <c r="AX202">
        <f>IFERROR(INDEX(PP_Grid[#Data],$DE202,47),0)</f>
        <v/>
      </c>
      <c r="AY202">
        <f>IFERROR(INDEX(PP_Grid[#Data],$DE202,48),0)</f>
        <v/>
      </c>
      <c r="AZ202">
        <f>IFERROR(INDEX(PP_Grid[#Data],$DE202,49),0)</f>
        <v/>
      </c>
      <c r="BA202">
        <f>IFERROR(INDEX(PP_Grid[#Data],$DE202,50),0)</f>
        <v/>
      </c>
      <c r="BB202">
        <f>IFERROR(INDEX(PP_Grid[#Data],$DE202,51),0)</f>
        <v/>
      </c>
      <c r="BC202">
        <f>IFERROR(INDEX(PP_Grid[#Data],$DE202,52),0)</f>
        <v/>
      </c>
      <c r="BD202">
        <f>IFERROR(INDEX(PP_Grid[#Data],$DE202,53),0)</f>
        <v/>
      </c>
      <c r="BE202">
        <f>IFERROR(INDEX(PP_Grid[#Data],$DE202,54),0)</f>
        <v/>
      </c>
      <c r="BF202">
        <f>IFERROR(INDEX(PP_Grid[#Data],$DE202,55),0)</f>
        <v/>
      </c>
      <c r="BG202">
        <f>IFERROR(INDEX(PP_Grid[#Data],$DE202,56),0)</f>
        <v/>
      </c>
      <c r="BH202">
        <f>IFERROR(INDEX(PP_Grid[#Data],$DE202,57),0)</f>
        <v/>
      </c>
      <c r="BI202">
        <f>IFERROR(INDEX(PP_Grid[#Data],$DE202,58),0)</f>
        <v/>
      </c>
      <c r="BJ202">
        <f>IFERROR(INDEX(PP_Grid[#Data],$DE202,59),0)</f>
        <v/>
      </c>
      <c r="BK202">
        <f>IFERROR(INDEX(PP_Grid[#Data],$DE202,60),0)</f>
        <v/>
      </c>
      <c r="BL202">
        <f>IFERROR(INDEX(PP_Grid[#Data],$DE202,61),0)</f>
        <v/>
      </c>
      <c r="BM202">
        <f>IFERROR(INDEX(PP_Grid[#Data],$DE202,62),0)</f>
        <v/>
      </c>
      <c r="BN202">
        <f>IFERROR(INDEX(PP_Grid[#Data],$DE202,63),0)</f>
        <v/>
      </c>
      <c r="BO202">
        <f>IFERROR(INDEX(PP_Grid[#Data],$DE202,64),0)</f>
        <v/>
      </c>
      <c r="BP202">
        <f>IFERROR(INDEX(PP_Grid[#Data],$DE202,65),0)</f>
        <v/>
      </c>
      <c r="BQ202">
        <f>IFERROR(INDEX(PP_Grid[#Data],$DE202,66),0)</f>
        <v/>
      </c>
      <c r="BR202">
        <f>IFERROR(INDEX(PP_Grid[#Data],$DE202,67),0)</f>
        <v/>
      </c>
      <c r="BS202">
        <f>IFERROR(INDEX(PP_Grid[#Data],$DE202,68),0)</f>
        <v/>
      </c>
      <c r="BT202">
        <f>IFERROR(INDEX(PP_Grid[#Data],$DE202,69),0)</f>
        <v/>
      </c>
      <c r="BU202">
        <f>IFERROR(INDEX(PP_Grid[#Data],$DE202,70),0)</f>
        <v/>
      </c>
      <c r="BV202">
        <f>IFERROR(INDEX(PP_Grid[#Data],$DE202,71),0)</f>
        <v/>
      </c>
      <c r="BW202">
        <f>IFERROR(INDEX(PP_Grid[#Data],$DE202,72),0)</f>
        <v/>
      </c>
      <c r="BX202">
        <f>IFERROR(INDEX(PP_Grid[#Data],$DE202,73),0)</f>
        <v/>
      </c>
      <c r="BY202">
        <f>IFERROR(INDEX(PP_Grid[#Data],$DE202,74),0)</f>
        <v/>
      </c>
      <c r="BZ202">
        <f>IFERROR(INDEX(PP_Grid[#Data],$DE202,75),0)</f>
        <v/>
      </c>
      <c r="CA202">
        <f>IFERROR(INDEX(PP_Grid[#Data],$DE202,76),0)</f>
        <v/>
      </c>
      <c r="CB202">
        <f>IFERROR(INDEX(PP_Grid[#Data],$DE202,77),0)</f>
        <v/>
      </c>
      <c r="CC202">
        <f>IFERROR(INDEX(PP_Grid[#Data],$DE202,78),0)</f>
        <v/>
      </c>
      <c r="CD202">
        <f>IFERROR(INDEX(PP_Grid[#Data],$DE202,79),0)</f>
        <v/>
      </c>
      <c r="CE202">
        <f>IFERROR(INDEX(PP_Grid[#Data],$DE202,80),0)</f>
        <v/>
      </c>
      <c r="CF202">
        <f>IFERROR(INDEX(PP_Grid[#Data],$DE202,81),0)</f>
        <v/>
      </c>
      <c r="CG202">
        <f>IFERROR(INDEX(PP_Grid[#Data],$DE202,82),0)</f>
        <v/>
      </c>
      <c r="CH202">
        <f>IFERROR(INDEX(PP_Grid[#Data],$DE202,83),0)</f>
        <v/>
      </c>
      <c r="CI202">
        <f>IFERROR(INDEX(PP_Grid[#Data],$DE202,84),0)</f>
        <v/>
      </c>
      <c r="CJ202">
        <f>IFERROR(INDEX(PP_Grid[#Data],$DE202,85),0)</f>
        <v/>
      </c>
      <c r="CK202">
        <f>IFERROR(INDEX(PP_Grid[#Data],$DE202,86),0)</f>
        <v/>
      </c>
      <c r="CL202">
        <f>IFERROR(INDEX(PP_Grid[#Data],$DE202,87),0)</f>
        <v/>
      </c>
      <c r="CM202">
        <f>IFERROR(INDEX(PP_Grid[#Data],$DE202,88),0)</f>
        <v/>
      </c>
      <c r="CN202">
        <f>IFERROR(INDEX(PP_Grid[#Data],$DE202,89),0)</f>
        <v/>
      </c>
      <c r="CO202">
        <f>IFERROR(INDEX(PP_Grid[#Data],$DE202,90),0)</f>
        <v/>
      </c>
      <c r="CP202">
        <f>IFERROR(INDEX(PP_Grid[#Data],$DE202,91),0)</f>
        <v/>
      </c>
      <c r="CQ202">
        <f>IFERROR(INDEX(PP_Grid[#Data],$DE202,92),0)</f>
        <v/>
      </c>
      <c r="CR202">
        <f>IFERROR(INDEX(PP_Grid[#Data],$DE202,93),0)</f>
        <v/>
      </c>
      <c r="CS202">
        <f>IFERROR(INDEX(PP_Grid[#Data],$DE202,94),0)</f>
        <v/>
      </c>
      <c r="CT202">
        <f>IFERROR(INDEX(PP_Grid[#Data],$DE202,95),0)</f>
        <v/>
      </c>
      <c r="CU202">
        <f>IFERROR(INDEX(PP_Grid[#Data],$DE202,96),0)</f>
        <v/>
      </c>
      <c r="CV202">
        <f>IFERROR(INDEX(PP_Grid[#Data],$DE202,97),0)</f>
        <v/>
      </c>
      <c r="CW202">
        <f>IFERROR(INDEX(PP_Grid[#Data],$DE202,98),0)</f>
        <v/>
      </c>
      <c r="CX202">
        <f>IFERROR(INDEX(PP_Grid[#Data],$DE202,99),0)</f>
        <v/>
      </c>
      <c r="CY202">
        <f>IFERROR(INDEX(PP_Grid[#Data],$DE202,100),0)</f>
        <v/>
      </c>
      <c r="CZ202">
        <f>IFERROR(INDEX(PP_Grid[#Data],$DE202,101),0)</f>
        <v/>
      </c>
      <c r="DA202">
        <f>IFERROR(INDEX(PP_Grid[#Data],$DE202,102),0)</f>
        <v/>
      </c>
      <c r="DB202">
        <f>IFERROR(INDEX(PP_Grid[#Data],$DE202,103),0)</f>
        <v/>
      </c>
      <c r="DC202">
        <f>IFERROR(INDEX(PP_Grid[#Data],$DE202,104),0)</f>
        <v/>
      </c>
      <c r="DD202">
        <f>IFERROR(INDEX(PP_Grid[#Data],$DE202,105),0)</f>
        <v/>
      </c>
      <c r="DE202" s="7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SUMIFS(M_BOM[RM_Qty_Per_Batch],M_BOM[Intermediate],$B202,M_BOM[RM_Code],$A187)</f>
        <v/>
      </c>
      <c r="D203">
        <f>IFERROR(INDEX(E203:DD203,$F$1),"")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  <c r="DD203">
        <f>$C203*DD202</f>
        <v/>
      </c>
    </row>
    <row r="204">
      <c r="B204" t="inlineStr">
        <is>
          <t>TSP-224</t>
        </is>
      </c>
      <c r="C204" t="inlineStr">
        <is>
          <t>No. of batches</t>
        </is>
      </c>
      <c r="D204">
        <f>IFERROR(INDEX(E204:DD204,$F$1),"")</f>
        <v/>
      </c>
      <c r="E204">
        <f>IFERROR(INDEX(PP_Grid[#Data],$DE204,2),0)</f>
        <v/>
      </c>
      <c r="F204">
        <f>IFERROR(INDEX(PP_Grid[#Data],$DE204,3),0)</f>
        <v/>
      </c>
      <c r="G204">
        <f>IFERROR(INDEX(PP_Grid[#Data],$DE204,4),0)</f>
        <v/>
      </c>
      <c r="H204">
        <f>IFERROR(INDEX(PP_Grid[#Data],$DE204,5),0)</f>
        <v/>
      </c>
      <c r="I204">
        <f>IFERROR(INDEX(PP_Grid[#Data],$DE204,6),0)</f>
        <v/>
      </c>
      <c r="J204">
        <f>IFERROR(INDEX(PP_Grid[#Data],$DE204,7),0)</f>
        <v/>
      </c>
      <c r="K204">
        <f>IFERROR(INDEX(PP_Grid[#Data],$DE204,8),0)</f>
        <v/>
      </c>
      <c r="L204">
        <f>IFERROR(INDEX(PP_Grid[#Data],$DE204,9),0)</f>
        <v/>
      </c>
      <c r="M204">
        <f>IFERROR(INDEX(PP_Grid[#Data],$DE204,10),0)</f>
        <v/>
      </c>
      <c r="N204">
        <f>IFERROR(INDEX(PP_Grid[#Data],$DE204,11),0)</f>
        <v/>
      </c>
      <c r="O204">
        <f>IFERROR(INDEX(PP_Grid[#Data],$DE204,12),0)</f>
        <v/>
      </c>
      <c r="P204">
        <f>IFERROR(INDEX(PP_Grid[#Data],$DE204,13),0)</f>
        <v/>
      </c>
      <c r="Q204">
        <f>IFERROR(INDEX(PP_Grid[#Data],$DE204,14),0)</f>
        <v/>
      </c>
      <c r="R204">
        <f>IFERROR(INDEX(PP_Grid[#Data],$DE204,15),0)</f>
        <v/>
      </c>
      <c r="S204">
        <f>IFERROR(INDEX(PP_Grid[#Data],$DE204,16),0)</f>
        <v/>
      </c>
      <c r="T204">
        <f>IFERROR(INDEX(PP_Grid[#Data],$DE204,17),0)</f>
        <v/>
      </c>
      <c r="U204">
        <f>IFERROR(INDEX(PP_Grid[#Data],$DE204,18),0)</f>
        <v/>
      </c>
      <c r="V204">
        <f>IFERROR(INDEX(PP_Grid[#Data],$DE204,19),0)</f>
        <v/>
      </c>
      <c r="W204">
        <f>IFERROR(INDEX(PP_Grid[#Data],$DE204,20),0)</f>
        <v/>
      </c>
      <c r="X204">
        <f>IFERROR(INDEX(PP_Grid[#Data],$DE204,21),0)</f>
        <v/>
      </c>
      <c r="Y204">
        <f>IFERROR(INDEX(PP_Grid[#Data],$DE204,22),0)</f>
        <v/>
      </c>
      <c r="Z204">
        <f>IFERROR(INDEX(PP_Grid[#Data],$DE204,23),0)</f>
        <v/>
      </c>
      <c r="AA204">
        <f>IFERROR(INDEX(PP_Grid[#Data],$DE204,24),0)</f>
        <v/>
      </c>
      <c r="AB204">
        <f>IFERROR(INDEX(PP_Grid[#Data],$DE204,25),0)</f>
        <v/>
      </c>
      <c r="AC204">
        <f>IFERROR(INDEX(PP_Grid[#Data],$DE204,26),0)</f>
        <v/>
      </c>
      <c r="AD204">
        <f>IFERROR(INDEX(PP_Grid[#Data],$DE204,27),0)</f>
        <v/>
      </c>
      <c r="AE204">
        <f>IFERROR(INDEX(PP_Grid[#Data],$DE204,28),0)</f>
        <v/>
      </c>
      <c r="AF204">
        <f>IFERROR(INDEX(PP_Grid[#Data],$DE204,29),0)</f>
        <v/>
      </c>
      <c r="AG204">
        <f>IFERROR(INDEX(PP_Grid[#Data],$DE204,30),0)</f>
        <v/>
      </c>
      <c r="AH204">
        <f>IFERROR(INDEX(PP_Grid[#Data],$DE204,31),0)</f>
        <v/>
      </c>
      <c r="AI204">
        <f>IFERROR(INDEX(PP_Grid[#Data],$DE204,32),0)</f>
        <v/>
      </c>
      <c r="AJ204">
        <f>IFERROR(INDEX(PP_Grid[#Data],$DE204,33),0)</f>
        <v/>
      </c>
      <c r="AK204">
        <f>IFERROR(INDEX(PP_Grid[#Data],$DE204,34),0)</f>
        <v/>
      </c>
      <c r="AL204">
        <f>IFERROR(INDEX(PP_Grid[#Data],$DE204,35),0)</f>
        <v/>
      </c>
      <c r="AM204">
        <f>IFERROR(INDEX(PP_Grid[#Data],$DE204,36),0)</f>
        <v/>
      </c>
      <c r="AN204">
        <f>IFERROR(INDEX(PP_Grid[#Data],$DE204,37),0)</f>
        <v/>
      </c>
      <c r="AO204">
        <f>IFERROR(INDEX(PP_Grid[#Data],$DE204,38),0)</f>
        <v/>
      </c>
      <c r="AP204">
        <f>IFERROR(INDEX(PP_Grid[#Data],$DE204,39),0)</f>
        <v/>
      </c>
      <c r="AQ204">
        <f>IFERROR(INDEX(PP_Grid[#Data],$DE204,40),0)</f>
        <v/>
      </c>
      <c r="AR204">
        <f>IFERROR(INDEX(PP_Grid[#Data],$DE204,41),0)</f>
        <v/>
      </c>
      <c r="AS204">
        <f>IFERROR(INDEX(PP_Grid[#Data],$DE204,42),0)</f>
        <v/>
      </c>
      <c r="AT204">
        <f>IFERROR(INDEX(PP_Grid[#Data],$DE204,43),0)</f>
        <v/>
      </c>
      <c r="AU204">
        <f>IFERROR(INDEX(PP_Grid[#Data],$DE204,44),0)</f>
        <v/>
      </c>
      <c r="AV204">
        <f>IFERROR(INDEX(PP_Grid[#Data],$DE204,45),0)</f>
        <v/>
      </c>
      <c r="AW204">
        <f>IFERROR(INDEX(PP_Grid[#Data],$DE204,46),0)</f>
        <v/>
      </c>
      <c r="AX204">
        <f>IFERROR(INDEX(PP_Grid[#Data],$DE204,47),0)</f>
        <v/>
      </c>
      <c r="AY204">
        <f>IFERROR(INDEX(PP_Grid[#Data],$DE204,48),0)</f>
        <v/>
      </c>
      <c r="AZ204">
        <f>IFERROR(INDEX(PP_Grid[#Data],$DE204,49),0)</f>
        <v/>
      </c>
      <c r="BA204">
        <f>IFERROR(INDEX(PP_Grid[#Data],$DE204,50),0)</f>
        <v/>
      </c>
      <c r="BB204">
        <f>IFERROR(INDEX(PP_Grid[#Data],$DE204,51),0)</f>
        <v/>
      </c>
      <c r="BC204">
        <f>IFERROR(INDEX(PP_Grid[#Data],$DE204,52),0)</f>
        <v/>
      </c>
      <c r="BD204">
        <f>IFERROR(INDEX(PP_Grid[#Data],$DE204,53),0)</f>
        <v/>
      </c>
      <c r="BE204">
        <f>IFERROR(INDEX(PP_Grid[#Data],$DE204,54),0)</f>
        <v/>
      </c>
      <c r="BF204">
        <f>IFERROR(INDEX(PP_Grid[#Data],$DE204,55),0)</f>
        <v/>
      </c>
      <c r="BG204">
        <f>IFERROR(INDEX(PP_Grid[#Data],$DE204,56),0)</f>
        <v/>
      </c>
      <c r="BH204">
        <f>IFERROR(INDEX(PP_Grid[#Data],$DE204,57),0)</f>
        <v/>
      </c>
      <c r="BI204">
        <f>IFERROR(INDEX(PP_Grid[#Data],$DE204,58),0)</f>
        <v/>
      </c>
      <c r="BJ204">
        <f>IFERROR(INDEX(PP_Grid[#Data],$DE204,59),0)</f>
        <v/>
      </c>
      <c r="BK204">
        <f>IFERROR(INDEX(PP_Grid[#Data],$DE204,60),0)</f>
        <v/>
      </c>
      <c r="BL204">
        <f>IFERROR(INDEX(PP_Grid[#Data],$DE204,61),0)</f>
        <v/>
      </c>
      <c r="BM204">
        <f>IFERROR(INDEX(PP_Grid[#Data],$DE204,62),0)</f>
        <v/>
      </c>
      <c r="BN204">
        <f>IFERROR(INDEX(PP_Grid[#Data],$DE204,63),0)</f>
        <v/>
      </c>
      <c r="BO204">
        <f>IFERROR(INDEX(PP_Grid[#Data],$DE204,64),0)</f>
        <v/>
      </c>
      <c r="BP204">
        <f>IFERROR(INDEX(PP_Grid[#Data],$DE204,65),0)</f>
        <v/>
      </c>
      <c r="BQ204">
        <f>IFERROR(INDEX(PP_Grid[#Data],$DE204,66),0)</f>
        <v/>
      </c>
      <c r="BR204">
        <f>IFERROR(INDEX(PP_Grid[#Data],$DE204,67),0)</f>
        <v/>
      </c>
      <c r="BS204">
        <f>IFERROR(INDEX(PP_Grid[#Data],$DE204,68),0)</f>
        <v/>
      </c>
      <c r="BT204">
        <f>IFERROR(INDEX(PP_Grid[#Data],$DE204,69),0)</f>
        <v/>
      </c>
      <c r="BU204">
        <f>IFERROR(INDEX(PP_Grid[#Data],$DE204,70),0)</f>
        <v/>
      </c>
      <c r="BV204">
        <f>IFERROR(INDEX(PP_Grid[#Data],$DE204,71),0)</f>
        <v/>
      </c>
      <c r="BW204">
        <f>IFERROR(INDEX(PP_Grid[#Data],$DE204,72),0)</f>
        <v/>
      </c>
      <c r="BX204">
        <f>IFERROR(INDEX(PP_Grid[#Data],$DE204,73),0)</f>
        <v/>
      </c>
      <c r="BY204">
        <f>IFERROR(INDEX(PP_Grid[#Data],$DE204,74),0)</f>
        <v/>
      </c>
      <c r="BZ204">
        <f>IFERROR(INDEX(PP_Grid[#Data],$DE204,75),0)</f>
        <v/>
      </c>
      <c r="CA204">
        <f>IFERROR(INDEX(PP_Grid[#Data],$DE204,76),0)</f>
        <v/>
      </c>
      <c r="CB204">
        <f>IFERROR(INDEX(PP_Grid[#Data],$DE204,77),0)</f>
        <v/>
      </c>
      <c r="CC204">
        <f>IFERROR(INDEX(PP_Grid[#Data],$DE204,78),0)</f>
        <v/>
      </c>
      <c r="CD204">
        <f>IFERROR(INDEX(PP_Grid[#Data],$DE204,79),0)</f>
        <v/>
      </c>
      <c r="CE204">
        <f>IFERROR(INDEX(PP_Grid[#Data],$DE204,80),0)</f>
        <v/>
      </c>
      <c r="CF204">
        <f>IFERROR(INDEX(PP_Grid[#Data],$DE204,81),0)</f>
        <v/>
      </c>
      <c r="CG204">
        <f>IFERROR(INDEX(PP_Grid[#Data],$DE204,82),0)</f>
        <v/>
      </c>
      <c r="CH204">
        <f>IFERROR(INDEX(PP_Grid[#Data],$DE204,83),0)</f>
        <v/>
      </c>
      <c r="CI204">
        <f>IFERROR(INDEX(PP_Grid[#Data],$DE204,84),0)</f>
        <v/>
      </c>
      <c r="CJ204">
        <f>IFERROR(INDEX(PP_Grid[#Data],$DE204,85),0)</f>
        <v/>
      </c>
      <c r="CK204">
        <f>IFERROR(INDEX(PP_Grid[#Data],$DE204,86),0)</f>
        <v/>
      </c>
      <c r="CL204">
        <f>IFERROR(INDEX(PP_Grid[#Data],$DE204,87),0)</f>
        <v/>
      </c>
      <c r="CM204">
        <f>IFERROR(INDEX(PP_Grid[#Data],$DE204,88),0)</f>
        <v/>
      </c>
      <c r="CN204">
        <f>IFERROR(INDEX(PP_Grid[#Data],$DE204,89),0)</f>
        <v/>
      </c>
      <c r="CO204">
        <f>IFERROR(INDEX(PP_Grid[#Data],$DE204,90),0)</f>
        <v/>
      </c>
      <c r="CP204">
        <f>IFERROR(INDEX(PP_Grid[#Data],$DE204,91),0)</f>
        <v/>
      </c>
      <c r="CQ204">
        <f>IFERROR(INDEX(PP_Grid[#Data],$DE204,92),0)</f>
        <v/>
      </c>
      <c r="CR204">
        <f>IFERROR(INDEX(PP_Grid[#Data],$DE204,93),0)</f>
        <v/>
      </c>
      <c r="CS204">
        <f>IFERROR(INDEX(PP_Grid[#Data],$DE204,94),0)</f>
        <v/>
      </c>
      <c r="CT204">
        <f>IFERROR(INDEX(PP_Grid[#Data],$DE204,95),0)</f>
        <v/>
      </c>
      <c r="CU204">
        <f>IFERROR(INDEX(PP_Grid[#Data],$DE204,96),0)</f>
        <v/>
      </c>
      <c r="CV204">
        <f>IFERROR(INDEX(PP_Grid[#Data],$DE204,97),0)</f>
        <v/>
      </c>
      <c r="CW204">
        <f>IFERROR(INDEX(PP_Grid[#Data],$DE204,98),0)</f>
        <v/>
      </c>
      <c r="CX204">
        <f>IFERROR(INDEX(PP_Grid[#Data],$DE204,99),0)</f>
        <v/>
      </c>
      <c r="CY204">
        <f>IFERROR(INDEX(PP_Grid[#Data],$DE204,100),0)</f>
        <v/>
      </c>
      <c r="CZ204">
        <f>IFERROR(INDEX(PP_Grid[#Data],$DE204,101),0)</f>
        <v/>
      </c>
      <c r="DA204">
        <f>IFERROR(INDEX(PP_Grid[#Data],$DE204,102),0)</f>
        <v/>
      </c>
      <c r="DB204">
        <f>IFERROR(INDEX(PP_Grid[#Data],$DE204,103),0)</f>
        <v/>
      </c>
      <c r="DC204">
        <f>IFERROR(INDEX(PP_Grid[#Data],$DE204,104),0)</f>
        <v/>
      </c>
      <c r="DD204">
        <f>IFERROR(INDEX(PP_Grid[#Data],$DE204,105),0)</f>
        <v/>
      </c>
      <c r="DE204" s="7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SUMIFS(M_BOM[RM_Qty_Per_Batch],M_BOM[Intermediate],$B204,M_BOM[RM_Code],$A187)</f>
        <v/>
      </c>
      <c r="D205">
        <f>IFERROR(INDEX(E205:DD205,$F$1),"")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  <c r="DD205">
        <f>$C205*DD204</f>
        <v/>
      </c>
    </row>
    <row r="206">
      <c r="B206" t="inlineStr">
        <is>
          <t>TSP-360</t>
        </is>
      </c>
      <c r="C206" t="inlineStr">
        <is>
          <t>No. of batches</t>
        </is>
      </c>
      <c r="D206">
        <f>IFERROR(INDEX(E206:DD206,$F$1),"")</f>
        <v/>
      </c>
      <c r="E206">
        <f>IFERROR(INDEX(PP_Grid[#Data],$DE206,2),0)</f>
        <v/>
      </c>
      <c r="F206">
        <f>IFERROR(INDEX(PP_Grid[#Data],$DE206,3),0)</f>
        <v/>
      </c>
      <c r="G206">
        <f>IFERROR(INDEX(PP_Grid[#Data],$DE206,4),0)</f>
        <v/>
      </c>
      <c r="H206">
        <f>IFERROR(INDEX(PP_Grid[#Data],$DE206,5),0)</f>
        <v/>
      </c>
      <c r="I206">
        <f>IFERROR(INDEX(PP_Grid[#Data],$DE206,6),0)</f>
        <v/>
      </c>
      <c r="J206">
        <f>IFERROR(INDEX(PP_Grid[#Data],$DE206,7),0)</f>
        <v/>
      </c>
      <c r="K206">
        <f>IFERROR(INDEX(PP_Grid[#Data],$DE206,8),0)</f>
        <v/>
      </c>
      <c r="L206">
        <f>IFERROR(INDEX(PP_Grid[#Data],$DE206,9),0)</f>
        <v/>
      </c>
      <c r="M206">
        <f>IFERROR(INDEX(PP_Grid[#Data],$DE206,10),0)</f>
        <v/>
      </c>
      <c r="N206">
        <f>IFERROR(INDEX(PP_Grid[#Data],$DE206,11),0)</f>
        <v/>
      </c>
      <c r="O206">
        <f>IFERROR(INDEX(PP_Grid[#Data],$DE206,12),0)</f>
        <v/>
      </c>
      <c r="P206">
        <f>IFERROR(INDEX(PP_Grid[#Data],$DE206,13),0)</f>
        <v/>
      </c>
      <c r="Q206">
        <f>IFERROR(INDEX(PP_Grid[#Data],$DE206,14),0)</f>
        <v/>
      </c>
      <c r="R206">
        <f>IFERROR(INDEX(PP_Grid[#Data],$DE206,15),0)</f>
        <v/>
      </c>
      <c r="S206">
        <f>IFERROR(INDEX(PP_Grid[#Data],$DE206,16),0)</f>
        <v/>
      </c>
      <c r="T206">
        <f>IFERROR(INDEX(PP_Grid[#Data],$DE206,17),0)</f>
        <v/>
      </c>
      <c r="U206">
        <f>IFERROR(INDEX(PP_Grid[#Data],$DE206,18),0)</f>
        <v/>
      </c>
      <c r="V206">
        <f>IFERROR(INDEX(PP_Grid[#Data],$DE206,19),0)</f>
        <v/>
      </c>
      <c r="W206">
        <f>IFERROR(INDEX(PP_Grid[#Data],$DE206,20),0)</f>
        <v/>
      </c>
      <c r="X206">
        <f>IFERROR(INDEX(PP_Grid[#Data],$DE206,21),0)</f>
        <v/>
      </c>
      <c r="Y206">
        <f>IFERROR(INDEX(PP_Grid[#Data],$DE206,22),0)</f>
        <v/>
      </c>
      <c r="Z206">
        <f>IFERROR(INDEX(PP_Grid[#Data],$DE206,23),0)</f>
        <v/>
      </c>
      <c r="AA206">
        <f>IFERROR(INDEX(PP_Grid[#Data],$DE206,24),0)</f>
        <v/>
      </c>
      <c r="AB206">
        <f>IFERROR(INDEX(PP_Grid[#Data],$DE206,25),0)</f>
        <v/>
      </c>
      <c r="AC206">
        <f>IFERROR(INDEX(PP_Grid[#Data],$DE206,26),0)</f>
        <v/>
      </c>
      <c r="AD206">
        <f>IFERROR(INDEX(PP_Grid[#Data],$DE206,27),0)</f>
        <v/>
      </c>
      <c r="AE206">
        <f>IFERROR(INDEX(PP_Grid[#Data],$DE206,28),0)</f>
        <v/>
      </c>
      <c r="AF206">
        <f>IFERROR(INDEX(PP_Grid[#Data],$DE206,29),0)</f>
        <v/>
      </c>
      <c r="AG206">
        <f>IFERROR(INDEX(PP_Grid[#Data],$DE206,30),0)</f>
        <v/>
      </c>
      <c r="AH206">
        <f>IFERROR(INDEX(PP_Grid[#Data],$DE206,31),0)</f>
        <v/>
      </c>
      <c r="AI206">
        <f>IFERROR(INDEX(PP_Grid[#Data],$DE206,32),0)</f>
        <v/>
      </c>
      <c r="AJ206">
        <f>IFERROR(INDEX(PP_Grid[#Data],$DE206,33),0)</f>
        <v/>
      </c>
      <c r="AK206">
        <f>IFERROR(INDEX(PP_Grid[#Data],$DE206,34),0)</f>
        <v/>
      </c>
      <c r="AL206">
        <f>IFERROR(INDEX(PP_Grid[#Data],$DE206,35),0)</f>
        <v/>
      </c>
      <c r="AM206">
        <f>IFERROR(INDEX(PP_Grid[#Data],$DE206,36),0)</f>
        <v/>
      </c>
      <c r="AN206">
        <f>IFERROR(INDEX(PP_Grid[#Data],$DE206,37),0)</f>
        <v/>
      </c>
      <c r="AO206">
        <f>IFERROR(INDEX(PP_Grid[#Data],$DE206,38),0)</f>
        <v/>
      </c>
      <c r="AP206">
        <f>IFERROR(INDEX(PP_Grid[#Data],$DE206,39),0)</f>
        <v/>
      </c>
      <c r="AQ206">
        <f>IFERROR(INDEX(PP_Grid[#Data],$DE206,40),0)</f>
        <v/>
      </c>
      <c r="AR206">
        <f>IFERROR(INDEX(PP_Grid[#Data],$DE206,41),0)</f>
        <v/>
      </c>
      <c r="AS206">
        <f>IFERROR(INDEX(PP_Grid[#Data],$DE206,42),0)</f>
        <v/>
      </c>
      <c r="AT206">
        <f>IFERROR(INDEX(PP_Grid[#Data],$DE206,43),0)</f>
        <v/>
      </c>
      <c r="AU206">
        <f>IFERROR(INDEX(PP_Grid[#Data],$DE206,44),0)</f>
        <v/>
      </c>
      <c r="AV206">
        <f>IFERROR(INDEX(PP_Grid[#Data],$DE206,45),0)</f>
        <v/>
      </c>
      <c r="AW206">
        <f>IFERROR(INDEX(PP_Grid[#Data],$DE206,46),0)</f>
        <v/>
      </c>
      <c r="AX206">
        <f>IFERROR(INDEX(PP_Grid[#Data],$DE206,47),0)</f>
        <v/>
      </c>
      <c r="AY206">
        <f>IFERROR(INDEX(PP_Grid[#Data],$DE206,48),0)</f>
        <v/>
      </c>
      <c r="AZ206">
        <f>IFERROR(INDEX(PP_Grid[#Data],$DE206,49),0)</f>
        <v/>
      </c>
      <c r="BA206">
        <f>IFERROR(INDEX(PP_Grid[#Data],$DE206,50),0)</f>
        <v/>
      </c>
      <c r="BB206">
        <f>IFERROR(INDEX(PP_Grid[#Data],$DE206,51),0)</f>
        <v/>
      </c>
      <c r="BC206">
        <f>IFERROR(INDEX(PP_Grid[#Data],$DE206,52),0)</f>
        <v/>
      </c>
      <c r="BD206">
        <f>IFERROR(INDEX(PP_Grid[#Data],$DE206,53),0)</f>
        <v/>
      </c>
      <c r="BE206">
        <f>IFERROR(INDEX(PP_Grid[#Data],$DE206,54),0)</f>
        <v/>
      </c>
      <c r="BF206">
        <f>IFERROR(INDEX(PP_Grid[#Data],$DE206,55),0)</f>
        <v/>
      </c>
      <c r="BG206">
        <f>IFERROR(INDEX(PP_Grid[#Data],$DE206,56),0)</f>
        <v/>
      </c>
      <c r="BH206">
        <f>IFERROR(INDEX(PP_Grid[#Data],$DE206,57),0)</f>
        <v/>
      </c>
      <c r="BI206">
        <f>IFERROR(INDEX(PP_Grid[#Data],$DE206,58),0)</f>
        <v/>
      </c>
      <c r="BJ206">
        <f>IFERROR(INDEX(PP_Grid[#Data],$DE206,59),0)</f>
        <v/>
      </c>
      <c r="BK206">
        <f>IFERROR(INDEX(PP_Grid[#Data],$DE206,60),0)</f>
        <v/>
      </c>
      <c r="BL206">
        <f>IFERROR(INDEX(PP_Grid[#Data],$DE206,61),0)</f>
        <v/>
      </c>
      <c r="BM206">
        <f>IFERROR(INDEX(PP_Grid[#Data],$DE206,62),0)</f>
        <v/>
      </c>
      <c r="BN206">
        <f>IFERROR(INDEX(PP_Grid[#Data],$DE206,63),0)</f>
        <v/>
      </c>
      <c r="BO206">
        <f>IFERROR(INDEX(PP_Grid[#Data],$DE206,64),0)</f>
        <v/>
      </c>
      <c r="BP206">
        <f>IFERROR(INDEX(PP_Grid[#Data],$DE206,65),0)</f>
        <v/>
      </c>
      <c r="BQ206">
        <f>IFERROR(INDEX(PP_Grid[#Data],$DE206,66),0)</f>
        <v/>
      </c>
      <c r="BR206">
        <f>IFERROR(INDEX(PP_Grid[#Data],$DE206,67),0)</f>
        <v/>
      </c>
      <c r="BS206">
        <f>IFERROR(INDEX(PP_Grid[#Data],$DE206,68),0)</f>
        <v/>
      </c>
      <c r="BT206">
        <f>IFERROR(INDEX(PP_Grid[#Data],$DE206,69),0)</f>
        <v/>
      </c>
      <c r="BU206">
        <f>IFERROR(INDEX(PP_Grid[#Data],$DE206,70),0)</f>
        <v/>
      </c>
      <c r="BV206">
        <f>IFERROR(INDEX(PP_Grid[#Data],$DE206,71),0)</f>
        <v/>
      </c>
      <c r="BW206">
        <f>IFERROR(INDEX(PP_Grid[#Data],$DE206,72),0)</f>
        <v/>
      </c>
      <c r="BX206">
        <f>IFERROR(INDEX(PP_Grid[#Data],$DE206,73),0)</f>
        <v/>
      </c>
      <c r="BY206">
        <f>IFERROR(INDEX(PP_Grid[#Data],$DE206,74),0)</f>
        <v/>
      </c>
      <c r="BZ206">
        <f>IFERROR(INDEX(PP_Grid[#Data],$DE206,75),0)</f>
        <v/>
      </c>
      <c r="CA206">
        <f>IFERROR(INDEX(PP_Grid[#Data],$DE206,76),0)</f>
        <v/>
      </c>
      <c r="CB206">
        <f>IFERROR(INDEX(PP_Grid[#Data],$DE206,77),0)</f>
        <v/>
      </c>
      <c r="CC206">
        <f>IFERROR(INDEX(PP_Grid[#Data],$DE206,78),0)</f>
        <v/>
      </c>
      <c r="CD206">
        <f>IFERROR(INDEX(PP_Grid[#Data],$DE206,79),0)</f>
        <v/>
      </c>
      <c r="CE206">
        <f>IFERROR(INDEX(PP_Grid[#Data],$DE206,80),0)</f>
        <v/>
      </c>
      <c r="CF206">
        <f>IFERROR(INDEX(PP_Grid[#Data],$DE206,81),0)</f>
        <v/>
      </c>
      <c r="CG206">
        <f>IFERROR(INDEX(PP_Grid[#Data],$DE206,82),0)</f>
        <v/>
      </c>
      <c r="CH206">
        <f>IFERROR(INDEX(PP_Grid[#Data],$DE206,83),0)</f>
        <v/>
      </c>
      <c r="CI206">
        <f>IFERROR(INDEX(PP_Grid[#Data],$DE206,84),0)</f>
        <v/>
      </c>
      <c r="CJ206">
        <f>IFERROR(INDEX(PP_Grid[#Data],$DE206,85),0)</f>
        <v/>
      </c>
      <c r="CK206">
        <f>IFERROR(INDEX(PP_Grid[#Data],$DE206,86),0)</f>
        <v/>
      </c>
      <c r="CL206">
        <f>IFERROR(INDEX(PP_Grid[#Data],$DE206,87),0)</f>
        <v/>
      </c>
      <c r="CM206">
        <f>IFERROR(INDEX(PP_Grid[#Data],$DE206,88),0)</f>
        <v/>
      </c>
      <c r="CN206">
        <f>IFERROR(INDEX(PP_Grid[#Data],$DE206,89),0)</f>
        <v/>
      </c>
      <c r="CO206">
        <f>IFERROR(INDEX(PP_Grid[#Data],$DE206,90),0)</f>
        <v/>
      </c>
      <c r="CP206">
        <f>IFERROR(INDEX(PP_Grid[#Data],$DE206,91),0)</f>
        <v/>
      </c>
      <c r="CQ206">
        <f>IFERROR(INDEX(PP_Grid[#Data],$DE206,92),0)</f>
        <v/>
      </c>
      <c r="CR206">
        <f>IFERROR(INDEX(PP_Grid[#Data],$DE206,93),0)</f>
        <v/>
      </c>
      <c r="CS206">
        <f>IFERROR(INDEX(PP_Grid[#Data],$DE206,94),0)</f>
        <v/>
      </c>
      <c r="CT206">
        <f>IFERROR(INDEX(PP_Grid[#Data],$DE206,95),0)</f>
        <v/>
      </c>
      <c r="CU206">
        <f>IFERROR(INDEX(PP_Grid[#Data],$DE206,96),0)</f>
        <v/>
      </c>
      <c r="CV206">
        <f>IFERROR(INDEX(PP_Grid[#Data],$DE206,97),0)</f>
        <v/>
      </c>
      <c r="CW206">
        <f>IFERROR(INDEX(PP_Grid[#Data],$DE206,98),0)</f>
        <v/>
      </c>
      <c r="CX206">
        <f>IFERROR(INDEX(PP_Grid[#Data],$DE206,99),0)</f>
        <v/>
      </c>
      <c r="CY206">
        <f>IFERROR(INDEX(PP_Grid[#Data],$DE206,100),0)</f>
        <v/>
      </c>
      <c r="CZ206">
        <f>IFERROR(INDEX(PP_Grid[#Data],$DE206,101),0)</f>
        <v/>
      </c>
      <c r="DA206">
        <f>IFERROR(INDEX(PP_Grid[#Data],$DE206,102),0)</f>
        <v/>
      </c>
      <c r="DB206">
        <f>IFERROR(INDEX(PP_Grid[#Data],$DE206,103),0)</f>
        <v/>
      </c>
      <c r="DC206">
        <f>IFERROR(INDEX(PP_Grid[#Data],$DE206,104),0)</f>
        <v/>
      </c>
      <c r="DD206">
        <f>IFERROR(INDEX(PP_Grid[#Data],$DE206,105),0)</f>
        <v/>
      </c>
      <c r="DE206" s="7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SUMIFS(M_BOM[RM_Qty_Per_Batch],M_BOM[Intermediate],$B206,M_BOM[RM_Code],$A187)</f>
        <v/>
      </c>
      <c r="D207">
        <f>IFERROR(INDEX(E207:DD207,$F$1),"")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  <c r="DD207">
        <f>$C207*DD206</f>
        <v/>
      </c>
    </row>
    <row r="208">
      <c r="B208" t="inlineStr">
        <is>
          <t>TSP-367</t>
        </is>
      </c>
      <c r="C208" t="inlineStr">
        <is>
          <t>No. of batches</t>
        </is>
      </c>
      <c r="D208">
        <f>IFERROR(INDEX(E208:DD208,$F$1),"")</f>
        <v/>
      </c>
      <c r="E208">
        <f>IFERROR(INDEX(PP_Grid[#Data],$DE208,2),0)</f>
        <v/>
      </c>
      <c r="F208">
        <f>IFERROR(INDEX(PP_Grid[#Data],$DE208,3),0)</f>
        <v/>
      </c>
      <c r="G208">
        <f>IFERROR(INDEX(PP_Grid[#Data],$DE208,4),0)</f>
        <v/>
      </c>
      <c r="H208">
        <f>IFERROR(INDEX(PP_Grid[#Data],$DE208,5),0)</f>
        <v/>
      </c>
      <c r="I208">
        <f>IFERROR(INDEX(PP_Grid[#Data],$DE208,6),0)</f>
        <v/>
      </c>
      <c r="J208">
        <f>IFERROR(INDEX(PP_Grid[#Data],$DE208,7),0)</f>
        <v/>
      </c>
      <c r="K208">
        <f>IFERROR(INDEX(PP_Grid[#Data],$DE208,8),0)</f>
        <v/>
      </c>
      <c r="L208">
        <f>IFERROR(INDEX(PP_Grid[#Data],$DE208,9),0)</f>
        <v/>
      </c>
      <c r="M208">
        <f>IFERROR(INDEX(PP_Grid[#Data],$DE208,10),0)</f>
        <v/>
      </c>
      <c r="N208">
        <f>IFERROR(INDEX(PP_Grid[#Data],$DE208,11),0)</f>
        <v/>
      </c>
      <c r="O208">
        <f>IFERROR(INDEX(PP_Grid[#Data],$DE208,12),0)</f>
        <v/>
      </c>
      <c r="P208">
        <f>IFERROR(INDEX(PP_Grid[#Data],$DE208,13),0)</f>
        <v/>
      </c>
      <c r="Q208">
        <f>IFERROR(INDEX(PP_Grid[#Data],$DE208,14),0)</f>
        <v/>
      </c>
      <c r="R208">
        <f>IFERROR(INDEX(PP_Grid[#Data],$DE208,15),0)</f>
        <v/>
      </c>
      <c r="S208">
        <f>IFERROR(INDEX(PP_Grid[#Data],$DE208,16),0)</f>
        <v/>
      </c>
      <c r="T208">
        <f>IFERROR(INDEX(PP_Grid[#Data],$DE208,17),0)</f>
        <v/>
      </c>
      <c r="U208">
        <f>IFERROR(INDEX(PP_Grid[#Data],$DE208,18),0)</f>
        <v/>
      </c>
      <c r="V208">
        <f>IFERROR(INDEX(PP_Grid[#Data],$DE208,19),0)</f>
        <v/>
      </c>
      <c r="W208">
        <f>IFERROR(INDEX(PP_Grid[#Data],$DE208,20),0)</f>
        <v/>
      </c>
      <c r="X208">
        <f>IFERROR(INDEX(PP_Grid[#Data],$DE208,21),0)</f>
        <v/>
      </c>
      <c r="Y208">
        <f>IFERROR(INDEX(PP_Grid[#Data],$DE208,22),0)</f>
        <v/>
      </c>
      <c r="Z208">
        <f>IFERROR(INDEX(PP_Grid[#Data],$DE208,23),0)</f>
        <v/>
      </c>
      <c r="AA208">
        <f>IFERROR(INDEX(PP_Grid[#Data],$DE208,24),0)</f>
        <v/>
      </c>
      <c r="AB208">
        <f>IFERROR(INDEX(PP_Grid[#Data],$DE208,25),0)</f>
        <v/>
      </c>
      <c r="AC208">
        <f>IFERROR(INDEX(PP_Grid[#Data],$DE208,26),0)</f>
        <v/>
      </c>
      <c r="AD208">
        <f>IFERROR(INDEX(PP_Grid[#Data],$DE208,27),0)</f>
        <v/>
      </c>
      <c r="AE208">
        <f>IFERROR(INDEX(PP_Grid[#Data],$DE208,28),0)</f>
        <v/>
      </c>
      <c r="AF208">
        <f>IFERROR(INDEX(PP_Grid[#Data],$DE208,29),0)</f>
        <v/>
      </c>
      <c r="AG208">
        <f>IFERROR(INDEX(PP_Grid[#Data],$DE208,30),0)</f>
        <v/>
      </c>
      <c r="AH208">
        <f>IFERROR(INDEX(PP_Grid[#Data],$DE208,31),0)</f>
        <v/>
      </c>
      <c r="AI208">
        <f>IFERROR(INDEX(PP_Grid[#Data],$DE208,32),0)</f>
        <v/>
      </c>
      <c r="AJ208">
        <f>IFERROR(INDEX(PP_Grid[#Data],$DE208,33),0)</f>
        <v/>
      </c>
      <c r="AK208">
        <f>IFERROR(INDEX(PP_Grid[#Data],$DE208,34),0)</f>
        <v/>
      </c>
      <c r="AL208">
        <f>IFERROR(INDEX(PP_Grid[#Data],$DE208,35),0)</f>
        <v/>
      </c>
      <c r="AM208">
        <f>IFERROR(INDEX(PP_Grid[#Data],$DE208,36),0)</f>
        <v/>
      </c>
      <c r="AN208">
        <f>IFERROR(INDEX(PP_Grid[#Data],$DE208,37),0)</f>
        <v/>
      </c>
      <c r="AO208">
        <f>IFERROR(INDEX(PP_Grid[#Data],$DE208,38),0)</f>
        <v/>
      </c>
      <c r="AP208">
        <f>IFERROR(INDEX(PP_Grid[#Data],$DE208,39),0)</f>
        <v/>
      </c>
      <c r="AQ208">
        <f>IFERROR(INDEX(PP_Grid[#Data],$DE208,40),0)</f>
        <v/>
      </c>
      <c r="AR208">
        <f>IFERROR(INDEX(PP_Grid[#Data],$DE208,41),0)</f>
        <v/>
      </c>
      <c r="AS208">
        <f>IFERROR(INDEX(PP_Grid[#Data],$DE208,42),0)</f>
        <v/>
      </c>
      <c r="AT208">
        <f>IFERROR(INDEX(PP_Grid[#Data],$DE208,43),0)</f>
        <v/>
      </c>
      <c r="AU208">
        <f>IFERROR(INDEX(PP_Grid[#Data],$DE208,44),0)</f>
        <v/>
      </c>
      <c r="AV208">
        <f>IFERROR(INDEX(PP_Grid[#Data],$DE208,45),0)</f>
        <v/>
      </c>
      <c r="AW208">
        <f>IFERROR(INDEX(PP_Grid[#Data],$DE208,46),0)</f>
        <v/>
      </c>
      <c r="AX208">
        <f>IFERROR(INDEX(PP_Grid[#Data],$DE208,47),0)</f>
        <v/>
      </c>
      <c r="AY208">
        <f>IFERROR(INDEX(PP_Grid[#Data],$DE208,48),0)</f>
        <v/>
      </c>
      <c r="AZ208">
        <f>IFERROR(INDEX(PP_Grid[#Data],$DE208,49),0)</f>
        <v/>
      </c>
      <c r="BA208">
        <f>IFERROR(INDEX(PP_Grid[#Data],$DE208,50),0)</f>
        <v/>
      </c>
      <c r="BB208">
        <f>IFERROR(INDEX(PP_Grid[#Data],$DE208,51),0)</f>
        <v/>
      </c>
      <c r="BC208">
        <f>IFERROR(INDEX(PP_Grid[#Data],$DE208,52),0)</f>
        <v/>
      </c>
      <c r="BD208">
        <f>IFERROR(INDEX(PP_Grid[#Data],$DE208,53),0)</f>
        <v/>
      </c>
      <c r="BE208">
        <f>IFERROR(INDEX(PP_Grid[#Data],$DE208,54),0)</f>
        <v/>
      </c>
      <c r="BF208">
        <f>IFERROR(INDEX(PP_Grid[#Data],$DE208,55),0)</f>
        <v/>
      </c>
      <c r="BG208">
        <f>IFERROR(INDEX(PP_Grid[#Data],$DE208,56),0)</f>
        <v/>
      </c>
      <c r="BH208">
        <f>IFERROR(INDEX(PP_Grid[#Data],$DE208,57),0)</f>
        <v/>
      </c>
      <c r="BI208">
        <f>IFERROR(INDEX(PP_Grid[#Data],$DE208,58),0)</f>
        <v/>
      </c>
      <c r="BJ208">
        <f>IFERROR(INDEX(PP_Grid[#Data],$DE208,59),0)</f>
        <v/>
      </c>
      <c r="BK208">
        <f>IFERROR(INDEX(PP_Grid[#Data],$DE208,60),0)</f>
        <v/>
      </c>
      <c r="BL208">
        <f>IFERROR(INDEX(PP_Grid[#Data],$DE208,61),0)</f>
        <v/>
      </c>
      <c r="BM208">
        <f>IFERROR(INDEX(PP_Grid[#Data],$DE208,62),0)</f>
        <v/>
      </c>
      <c r="BN208">
        <f>IFERROR(INDEX(PP_Grid[#Data],$DE208,63),0)</f>
        <v/>
      </c>
      <c r="BO208">
        <f>IFERROR(INDEX(PP_Grid[#Data],$DE208,64),0)</f>
        <v/>
      </c>
      <c r="BP208">
        <f>IFERROR(INDEX(PP_Grid[#Data],$DE208,65),0)</f>
        <v/>
      </c>
      <c r="BQ208">
        <f>IFERROR(INDEX(PP_Grid[#Data],$DE208,66),0)</f>
        <v/>
      </c>
      <c r="BR208">
        <f>IFERROR(INDEX(PP_Grid[#Data],$DE208,67),0)</f>
        <v/>
      </c>
      <c r="BS208">
        <f>IFERROR(INDEX(PP_Grid[#Data],$DE208,68),0)</f>
        <v/>
      </c>
      <c r="BT208">
        <f>IFERROR(INDEX(PP_Grid[#Data],$DE208,69),0)</f>
        <v/>
      </c>
      <c r="BU208">
        <f>IFERROR(INDEX(PP_Grid[#Data],$DE208,70),0)</f>
        <v/>
      </c>
      <c r="BV208">
        <f>IFERROR(INDEX(PP_Grid[#Data],$DE208,71),0)</f>
        <v/>
      </c>
      <c r="BW208">
        <f>IFERROR(INDEX(PP_Grid[#Data],$DE208,72),0)</f>
        <v/>
      </c>
      <c r="BX208">
        <f>IFERROR(INDEX(PP_Grid[#Data],$DE208,73),0)</f>
        <v/>
      </c>
      <c r="BY208">
        <f>IFERROR(INDEX(PP_Grid[#Data],$DE208,74),0)</f>
        <v/>
      </c>
      <c r="BZ208">
        <f>IFERROR(INDEX(PP_Grid[#Data],$DE208,75),0)</f>
        <v/>
      </c>
      <c r="CA208">
        <f>IFERROR(INDEX(PP_Grid[#Data],$DE208,76),0)</f>
        <v/>
      </c>
      <c r="CB208">
        <f>IFERROR(INDEX(PP_Grid[#Data],$DE208,77),0)</f>
        <v/>
      </c>
      <c r="CC208">
        <f>IFERROR(INDEX(PP_Grid[#Data],$DE208,78),0)</f>
        <v/>
      </c>
      <c r="CD208">
        <f>IFERROR(INDEX(PP_Grid[#Data],$DE208,79),0)</f>
        <v/>
      </c>
      <c r="CE208">
        <f>IFERROR(INDEX(PP_Grid[#Data],$DE208,80),0)</f>
        <v/>
      </c>
      <c r="CF208">
        <f>IFERROR(INDEX(PP_Grid[#Data],$DE208,81),0)</f>
        <v/>
      </c>
      <c r="CG208">
        <f>IFERROR(INDEX(PP_Grid[#Data],$DE208,82),0)</f>
        <v/>
      </c>
      <c r="CH208">
        <f>IFERROR(INDEX(PP_Grid[#Data],$DE208,83),0)</f>
        <v/>
      </c>
      <c r="CI208">
        <f>IFERROR(INDEX(PP_Grid[#Data],$DE208,84),0)</f>
        <v/>
      </c>
      <c r="CJ208">
        <f>IFERROR(INDEX(PP_Grid[#Data],$DE208,85),0)</f>
        <v/>
      </c>
      <c r="CK208">
        <f>IFERROR(INDEX(PP_Grid[#Data],$DE208,86),0)</f>
        <v/>
      </c>
      <c r="CL208">
        <f>IFERROR(INDEX(PP_Grid[#Data],$DE208,87),0)</f>
        <v/>
      </c>
      <c r="CM208">
        <f>IFERROR(INDEX(PP_Grid[#Data],$DE208,88),0)</f>
        <v/>
      </c>
      <c r="CN208">
        <f>IFERROR(INDEX(PP_Grid[#Data],$DE208,89),0)</f>
        <v/>
      </c>
      <c r="CO208">
        <f>IFERROR(INDEX(PP_Grid[#Data],$DE208,90),0)</f>
        <v/>
      </c>
      <c r="CP208">
        <f>IFERROR(INDEX(PP_Grid[#Data],$DE208,91),0)</f>
        <v/>
      </c>
      <c r="CQ208">
        <f>IFERROR(INDEX(PP_Grid[#Data],$DE208,92),0)</f>
        <v/>
      </c>
      <c r="CR208">
        <f>IFERROR(INDEX(PP_Grid[#Data],$DE208,93),0)</f>
        <v/>
      </c>
      <c r="CS208">
        <f>IFERROR(INDEX(PP_Grid[#Data],$DE208,94),0)</f>
        <v/>
      </c>
      <c r="CT208">
        <f>IFERROR(INDEX(PP_Grid[#Data],$DE208,95),0)</f>
        <v/>
      </c>
      <c r="CU208">
        <f>IFERROR(INDEX(PP_Grid[#Data],$DE208,96),0)</f>
        <v/>
      </c>
      <c r="CV208">
        <f>IFERROR(INDEX(PP_Grid[#Data],$DE208,97),0)</f>
        <v/>
      </c>
      <c r="CW208">
        <f>IFERROR(INDEX(PP_Grid[#Data],$DE208,98),0)</f>
        <v/>
      </c>
      <c r="CX208">
        <f>IFERROR(INDEX(PP_Grid[#Data],$DE208,99),0)</f>
        <v/>
      </c>
      <c r="CY208">
        <f>IFERROR(INDEX(PP_Grid[#Data],$DE208,100),0)</f>
        <v/>
      </c>
      <c r="CZ208">
        <f>IFERROR(INDEX(PP_Grid[#Data],$DE208,101),0)</f>
        <v/>
      </c>
      <c r="DA208">
        <f>IFERROR(INDEX(PP_Grid[#Data],$DE208,102),0)</f>
        <v/>
      </c>
      <c r="DB208">
        <f>IFERROR(INDEX(PP_Grid[#Data],$DE208,103),0)</f>
        <v/>
      </c>
      <c r="DC208">
        <f>IFERROR(INDEX(PP_Grid[#Data],$DE208,104),0)</f>
        <v/>
      </c>
      <c r="DD208">
        <f>IFERROR(INDEX(PP_Grid[#Data],$DE208,105),0)</f>
        <v/>
      </c>
      <c r="DE208" s="7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SUMIFS(M_BOM[RM_Qty_Per_Batch],M_BOM[Intermediate],$B208,M_BOM[RM_Code],$A187)</f>
        <v/>
      </c>
      <c r="D209">
        <f>IFERROR(INDEX(E209:DD209,$F$1),"")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  <c r="DD209">
        <f>$C209*DD208</f>
        <v/>
      </c>
    </row>
    <row r="210">
      <c r="B210" t="inlineStr">
        <is>
          <t>TSP-369</t>
        </is>
      </c>
      <c r="C210" t="inlineStr">
        <is>
          <t>No. of batches</t>
        </is>
      </c>
      <c r="D210">
        <f>IFERROR(INDEX(E210:DD210,$F$1),"")</f>
        <v/>
      </c>
      <c r="E210">
        <f>IFERROR(INDEX(PP_Grid[#Data],$DE210,2),0)</f>
        <v/>
      </c>
      <c r="F210">
        <f>IFERROR(INDEX(PP_Grid[#Data],$DE210,3),0)</f>
        <v/>
      </c>
      <c r="G210">
        <f>IFERROR(INDEX(PP_Grid[#Data],$DE210,4),0)</f>
        <v/>
      </c>
      <c r="H210">
        <f>IFERROR(INDEX(PP_Grid[#Data],$DE210,5),0)</f>
        <v/>
      </c>
      <c r="I210">
        <f>IFERROR(INDEX(PP_Grid[#Data],$DE210,6),0)</f>
        <v/>
      </c>
      <c r="J210">
        <f>IFERROR(INDEX(PP_Grid[#Data],$DE210,7),0)</f>
        <v/>
      </c>
      <c r="K210">
        <f>IFERROR(INDEX(PP_Grid[#Data],$DE210,8),0)</f>
        <v/>
      </c>
      <c r="L210">
        <f>IFERROR(INDEX(PP_Grid[#Data],$DE210,9),0)</f>
        <v/>
      </c>
      <c r="M210">
        <f>IFERROR(INDEX(PP_Grid[#Data],$DE210,10),0)</f>
        <v/>
      </c>
      <c r="N210">
        <f>IFERROR(INDEX(PP_Grid[#Data],$DE210,11),0)</f>
        <v/>
      </c>
      <c r="O210">
        <f>IFERROR(INDEX(PP_Grid[#Data],$DE210,12),0)</f>
        <v/>
      </c>
      <c r="P210">
        <f>IFERROR(INDEX(PP_Grid[#Data],$DE210,13),0)</f>
        <v/>
      </c>
      <c r="Q210">
        <f>IFERROR(INDEX(PP_Grid[#Data],$DE210,14),0)</f>
        <v/>
      </c>
      <c r="R210">
        <f>IFERROR(INDEX(PP_Grid[#Data],$DE210,15),0)</f>
        <v/>
      </c>
      <c r="S210">
        <f>IFERROR(INDEX(PP_Grid[#Data],$DE210,16),0)</f>
        <v/>
      </c>
      <c r="T210">
        <f>IFERROR(INDEX(PP_Grid[#Data],$DE210,17),0)</f>
        <v/>
      </c>
      <c r="U210">
        <f>IFERROR(INDEX(PP_Grid[#Data],$DE210,18),0)</f>
        <v/>
      </c>
      <c r="V210">
        <f>IFERROR(INDEX(PP_Grid[#Data],$DE210,19),0)</f>
        <v/>
      </c>
      <c r="W210">
        <f>IFERROR(INDEX(PP_Grid[#Data],$DE210,20),0)</f>
        <v/>
      </c>
      <c r="X210">
        <f>IFERROR(INDEX(PP_Grid[#Data],$DE210,21),0)</f>
        <v/>
      </c>
      <c r="Y210">
        <f>IFERROR(INDEX(PP_Grid[#Data],$DE210,22),0)</f>
        <v/>
      </c>
      <c r="Z210">
        <f>IFERROR(INDEX(PP_Grid[#Data],$DE210,23),0)</f>
        <v/>
      </c>
      <c r="AA210">
        <f>IFERROR(INDEX(PP_Grid[#Data],$DE210,24),0)</f>
        <v/>
      </c>
      <c r="AB210">
        <f>IFERROR(INDEX(PP_Grid[#Data],$DE210,25),0)</f>
        <v/>
      </c>
      <c r="AC210">
        <f>IFERROR(INDEX(PP_Grid[#Data],$DE210,26),0)</f>
        <v/>
      </c>
      <c r="AD210">
        <f>IFERROR(INDEX(PP_Grid[#Data],$DE210,27),0)</f>
        <v/>
      </c>
      <c r="AE210">
        <f>IFERROR(INDEX(PP_Grid[#Data],$DE210,28),0)</f>
        <v/>
      </c>
      <c r="AF210">
        <f>IFERROR(INDEX(PP_Grid[#Data],$DE210,29),0)</f>
        <v/>
      </c>
      <c r="AG210">
        <f>IFERROR(INDEX(PP_Grid[#Data],$DE210,30),0)</f>
        <v/>
      </c>
      <c r="AH210">
        <f>IFERROR(INDEX(PP_Grid[#Data],$DE210,31),0)</f>
        <v/>
      </c>
      <c r="AI210">
        <f>IFERROR(INDEX(PP_Grid[#Data],$DE210,32),0)</f>
        <v/>
      </c>
      <c r="AJ210">
        <f>IFERROR(INDEX(PP_Grid[#Data],$DE210,33),0)</f>
        <v/>
      </c>
      <c r="AK210">
        <f>IFERROR(INDEX(PP_Grid[#Data],$DE210,34),0)</f>
        <v/>
      </c>
      <c r="AL210">
        <f>IFERROR(INDEX(PP_Grid[#Data],$DE210,35),0)</f>
        <v/>
      </c>
      <c r="AM210">
        <f>IFERROR(INDEX(PP_Grid[#Data],$DE210,36),0)</f>
        <v/>
      </c>
      <c r="AN210">
        <f>IFERROR(INDEX(PP_Grid[#Data],$DE210,37),0)</f>
        <v/>
      </c>
      <c r="AO210">
        <f>IFERROR(INDEX(PP_Grid[#Data],$DE210,38),0)</f>
        <v/>
      </c>
      <c r="AP210">
        <f>IFERROR(INDEX(PP_Grid[#Data],$DE210,39),0)</f>
        <v/>
      </c>
      <c r="AQ210">
        <f>IFERROR(INDEX(PP_Grid[#Data],$DE210,40),0)</f>
        <v/>
      </c>
      <c r="AR210">
        <f>IFERROR(INDEX(PP_Grid[#Data],$DE210,41),0)</f>
        <v/>
      </c>
      <c r="AS210">
        <f>IFERROR(INDEX(PP_Grid[#Data],$DE210,42),0)</f>
        <v/>
      </c>
      <c r="AT210">
        <f>IFERROR(INDEX(PP_Grid[#Data],$DE210,43),0)</f>
        <v/>
      </c>
      <c r="AU210">
        <f>IFERROR(INDEX(PP_Grid[#Data],$DE210,44),0)</f>
        <v/>
      </c>
      <c r="AV210">
        <f>IFERROR(INDEX(PP_Grid[#Data],$DE210,45),0)</f>
        <v/>
      </c>
      <c r="AW210">
        <f>IFERROR(INDEX(PP_Grid[#Data],$DE210,46),0)</f>
        <v/>
      </c>
      <c r="AX210">
        <f>IFERROR(INDEX(PP_Grid[#Data],$DE210,47),0)</f>
        <v/>
      </c>
      <c r="AY210">
        <f>IFERROR(INDEX(PP_Grid[#Data],$DE210,48),0)</f>
        <v/>
      </c>
      <c r="AZ210">
        <f>IFERROR(INDEX(PP_Grid[#Data],$DE210,49),0)</f>
        <v/>
      </c>
      <c r="BA210">
        <f>IFERROR(INDEX(PP_Grid[#Data],$DE210,50),0)</f>
        <v/>
      </c>
      <c r="BB210">
        <f>IFERROR(INDEX(PP_Grid[#Data],$DE210,51),0)</f>
        <v/>
      </c>
      <c r="BC210">
        <f>IFERROR(INDEX(PP_Grid[#Data],$DE210,52),0)</f>
        <v/>
      </c>
      <c r="BD210">
        <f>IFERROR(INDEX(PP_Grid[#Data],$DE210,53),0)</f>
        <v/>
      </c>
      <c r="BE210">
        <f>IFERROR(INDEX(PP_Grid[#Data],$DE210,54),0)</f>
        <v/>
      </c>
      <c r="BF210">
        <f>IFERROR(INDEX(PP_Grid[#Data],$DE210,55),0)</f>
        <v/>
      </c>
      <c r="BG210">
        <f>IFERROR(INDEX(PP_Grid[#Data],$DE210,56),0)</f>
        <v/>
      </c>
      <c r="BH210">
        <f>IFERROR(INDEX(PP_Grid[#Data],$DE210,57),0)</f>
        <v/>
      </c>
      <c r="BI210">
        <f>IFERROR(INDEX(PP_Grid[#Data],$DE210,58),0)</f>
        <v/>
      </c>
      <c r="BJ210">
        <f>IFERROR(INDEX(PP_Grid[#Data],$DE210,59),0)</f>
        <v/>
      </c>
      <c r="BK210">
        <f>IFERROR(INDEX(PP_Grid[#Data],$DE210,60),0)</f>
        <v/>
      </c>
      <c r="BL210">
        <f>IFERROR(INDEX(PP_Grid[#Data],$DE210,61),0)</f>
        <v/>
      </c>
      <c r="BM210">
        <f>IFERROR(INDEX(PP_Grid[#Data],$DE210,62),0)</f>
        <v/>
      </c>
      <c r="BN210">
        <f>IFERROR(INDEX(PP_Grid[#Data],$DE210,63),0)</f>
        <v/>
      </c>
      <c r="BO210">
        <f>IFERROR(INDEX(PP_Grid[#Data],$DE210,64),0)</f>
        <v/>
      </c>
      <c r="BP210">
        <f>IFERROR(INDEX(PP_Grid[#Data],$DE210,65),0)</f>
        <v/>
      </c>
      <c r="BQ210">
        <f>IFERROR(INDEX(PP_Grid[#Data],$DE210,66),0)</f>
        <v/>
      </c>
      <c r="BR210">
        <f>IFERROR(INDEX(PP_Grid[#Data],$DE210,67),0)</f>
        <v/>
      </c>
      <c r="BS210">
        <f>IFERROR(INDEX(PP_Grid[#Data],$DE210,68),0)</f>
        <v/>
      </c>
      <c r="BT210">
        <f>IFERROR(INDEX(PP_Grid[#Data],$DE210,69),0)</f>
        <v/>
      </c>
      <c r="BU210">
        <f>IFERROR(INDEX(PP_Grid[#Data],$DE210,70),0)</f>
        <v/>
      </c>
      <c r="BV210">
        <f>IFERROR(INDEX(PP_Grid[#Data],$DE210,71),0)</f>
        <v/>
      </c>
      <c r="BW210">
        <f>IFERROR(INDEX(PP_Grid[#Data],$DE210,72),0)</f>
        <v/>
      </c>
      <c r="BX210">
        <f>IFERROR(INDEX(PP_Grid[#Data],$DE210,73),0)</f>
        <v/>
      </c>
      <c r="BY210">
        <f>IFERROR(INDEX(PP_Grid[#Data],$DE210,74),0)</f>
        <v/>
      </c>
      <c r="BZ210">
        <f>IFERROR(INDEX(PP_Grid[#Data],$DE210,75),0)</f>
        <v/>
      </c>
      <c r="CA210">
        <f>IFERROR(INDEX(PP_Grid[#Data],$DE210,76),0)</f>
        <v/>
      </c>
      <c r="CB210">
        <f>IFERROR(INDEX(PP_Grid[#Data],$DE210,77),0)</f>
        <v/>
      </c>
      <c r="CC210">
        <f>IFERROR(INDEX(PP_Grid[#Data],$DE210,78),0)</f>
        <v/>
      </c>
      <c r="CD210">
        <f>IFERROR(INDEX(PP_Grid[#Data],$DE210,79),0)</f>
        <v/>
      </c>
      <c r="CE210">
        <f>IFERROR(INDEX(PP_Grid[#Data],$DE210,80),0)</f>
        <v/>
      </c>
      <c r="CF210">
        <f>IFERROR(INDEX(PP_Grid[#Data],$DE210,81),0)</f>
        <v/>
      </c>
      <c r="CG210">
        <f>IFERROR(INDEX(PP_Grid[#Data],$DE210,82),0)</f>
        <v/>
      </c>
      <c r="CH210">
        <f>IFERROR(INDEX(PP_Grid[#Data],$DE210,83),0)</f>
        <v/>
      </c>
      <c r="CI210">
        <f>IFERROR(INDEX(PP_Grid[#Data],$DE210,84),0)</f>
        <v/>
      </c>
      <c r="CJ210">
        <f>IFERROR(INDEX(PP_Grid[#Data],$DE210,85),0)</f>
        <v/>
      </c>
      <c r="CK210">
        <f>IFERROR(INDEX(PP_Grid[#Data],$DE210,86),0)</f>
        <v/>
      </c>
      <c r="CL210">
        <f>IFERROR(INDEX(PP_Grid[#Data],$DE210,87),0)</f>
        <v/>
      </c>
      <c r="CM210">
        <f>IFERROR(INDEX(PP_Grid[#Data],$DE210,88),0)</f>
        <v/>
      </c>
      <c r="CN210">
        <f>IFERROR(INDEX(PP_Grid[#Data],$DE210,89),0)</f>
        <v/>
      </c>
      <c r="CO210">
        <f>IFERROR(INDEX(PP_Grid[#Data],$DE210,90),0)</f>
        <v/>
      </c>
      <c r="CP210">
        <f>IFERROR(INDEX(PP_Grid[#Data],$DE210,91),0)</f>
        <v/>
      </c>
      <c r="CQ210">
        <f>IFERROR(INDEX(PP_Grid[#Data],$DE210,92),0)</f>
        <v/>
      </c>
      <c r="CR210">
        <f>IFERROR(INDEX(PP_Grid[#Data],$DE210,93),0)</f>
        <v/>
      </c>
      <c r="CS210">
        <f>IFERROR(INDEX(PP_Grid[#Data],$DE210,94),0)</f>
        <v/>
      </c>
      <c r="CT210">
        <f>IFERROR(INDEX(PP_Grid[#Data],$DE210,95),0)</f>
        <v/>
      </c>
      <c r="CU210">
        <f>IFERROR(INDEX(PP_Grid[#Data],$DE210,96),0)</f>
        <v/>
      </c>
      <c r="CV210">
        <f>IFERROR(INDEX(PP_Grid[#Data],$DE210,97),0)</f>
        <v/>
      </c>
      <c r="CW210">
        <f>IFERROR(INDEX(PP_Grid[#Data],$DE210,98),0)</f>
        <v/>
      </c>
      <c r="CX210">
        <f>IFERROR(INDEX(PP_Grid[#Data],$DE210,99),0)</f>
        <v/>
      </c>
      <c r="CY210">
        <f>IFERROR(INDEX(PP_Grid[#Data],$DE210,100),0)</f>
        <v/>
      </c>
      <c r="CZ210">
        <f>IFERROR(INDEX(PP_Grid[#Data],$DE210,101),0)</f>
        <v/>
      </c>
      <c r="DA210">
        <f>IFERROR(INDEX(PP_Grid[#Data],$DE210,102),0)</f>
        <v/>
      </c>
      <c r="DB210">
        <f>IFERROR(INDEX(PP_Grid[#Data],$DE210,103),0)</f>
        <v/>
      </c>
      <c r="DC210">
        <f>IFERROR(INDEX(PP_Grid[#Data],$DE210,104),0)</f>
        <v/>
      </c>
      <c r="DD210">
        <f>IFERROR(INDEX(PP_Grid[#Data],$DE210,105),0)</f>
        <v/>
      </c>
      <c r="DE210" s="7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SUMIFS(M_BOM[RM_Qty_Per_Batch],M_BOM[Intermediate],$B210,M_BOM[RM_Code],$A187)</f>
        <v/>
      </c>
      <c r="D211">
        <f>IFERROR(INDEX(E211:DD211,$F$1),"")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  <c r="DD211">
        <f>$C211*DD210</f>
        <v/>
      </c>
    </row>
    <row r="212">
      <c r="B212" t="inlineStr">
        <is>
          <t>TSP-390</t>
        </is>
      </c>
      <c r="C212" t="inlineStr">
        <is>
          <t>No. of batches</t>
        </is>
      </c>
      <c r="D212">
        <f>IFERROR(INDEX(E212:DD212,$F$1),"")</f>
        <v/>
      </c>
      <c r="E212">
        <f>IFERROR(INDEX(PP_Grid[#Data],$DE212,2),0)</f>
        <v/>
      </c>
      <c r="F212">
        <f>IFERROR(INDEX(PP_Grid[#Data],$DE212,3),0)</f>
        <v/>
      </c>
      <c r="G212">
        <f>IFERROR(INDEX(PP_Grid[#Data],$DE212,4),0)</f>
        <v/>
      </c>
      <c r="H212">
        <f>IFERROR(INDEX(PP_Grid[#Data],$DE212,5),0)</f>
        <v/>
      </c>
      <c r="I212">
        <f>IFERROR(INDEX(PP_Grid[#Data],$DE212,6),0)</f>
        <v/>
      </c>
      <c r="J212">
        <f>IFERROR(INDEX(PP_Grid[#Data],$DE212,7),0)</f>
        <v/>
      </c>
      <c r="K212">
        <f>IFERROR(INDEX(PP_Grid[#Data],$DE212,8),0)</f>
        <v/>
      </c>
      <c r="L212">
        <f>IFERROR(INDEX(PP_Grid[#Data],$DE212,9),0)</f>
        <v/>
      </c>
      <c r="M212">
        <f>IFERROR(INDEX(PP_Grid[#Data],$DE212,10),0)</f>
        <v/>
      </c>
      <c r="N212">
        <f>IFERROR(INDEX(PP_Grid[#Data],$DE212,11),0)</f>
        <v/>
      </c>
      <c r="O212">
        <f>IFERROR(INDEX(PP_Grid[#Data],$DE212,12),0)</f>
        <v/>
      </c>
      <c r="P212">
        <f>IFERROR(INDEX(PP_Grid[#Data],$DE212,13),0)</f>
        <v/>
      </c>
      <c r="Q212">
        <f>IFERROR(INDEX(PP_Grid[#Data],$DE212,14),0)</f>
        <v/>
      </c>
      <c r="R212">
        <f>IFERROR(INDEX(PP_Grid[#Data],$DE212,15),0)</f>
        <v/>
      </c>
      <c r="S212">
        <f>IFERROR(INDEX(PP_Grid[#Data],$DE212,16),0)</f>
        <v/>
      </c>
      <c r="T212">
        <f>IFERROR(INDEX(PP_Grid[#Data],$DE212,17),0)</f>
        <v/>
      </c>
      <c r="U212">
        <f>IFERROR(INDEX(PP_Grid[#Data],$DE212,18),0)</f>
        <v/>
      </c>
      <c r="V212">
        <f>IFERROR(INDEX(PP_Grid[#Data],$DE212,19),0)</f>
        <v/>
      </c>
      <c r="W212">
        <f>IFERROR(INDEX(PP_Grid[#Data],$DE212,20),0)</f>
        <v/>
      </c>
      <c r="X212">
        <f>IFERROR(INDEX(PP_Grid[#Data],$DE212,21),0)</f>
        <v/>
      </c>
      <c r="Y212">
        <f>IFERROR(INDEX(PP_Grid[#Data],$DE212,22),0)</f>
        <v/>
      </c>
      <c r="Z212">
        <f>IFERROR(INDEX(PP_Grid[#Data],$DE212,23),0)</f>
        <v/>
      </c>
      <c r="AA212">
        <f>IFERROR(INDEX(PP_Grid[#Data],$DE212,24),0)</f>
        <v/>
      </c>
      <c r="AB212">
        <f>IFERROR(INDEX(PP_Grid[#Data],$DE212,25),0)</f>
        <v/>
      </c>
      <c r="AC212">
        <f>IFERROR(INDEX(PP_Grid[#Data],$DE212,26),0)</f>
        <v/>
      </c>
      <c r="AD212">
        <f>IFERROR(INDEX(PP_Grid[#Data],$DE212,27),0)</f>
        <v/>
      </c>
      <c r="AE212">
        <f>IFERROR(INDEX(PP_Grid[#Data],$DE212,28),0)</f>
        <v/>
      </c>
      <c r="AF212">
        <f>IFERROR(INDEX(PP_Grid[#Data],$DE212,29),0)</f>
        <v/>
      </c>
      <c r="AG212">
        <f>IFERROR(INDEX(PP_Grid[#Data],$DE212,30),0)</f>
        <v/>
      </c>
      <c r="AH212">
        <f>IFERROR(INDEX(PP_Grid[#Data],$DE212,31),0)</f>
        <v/>
      </c>
      <c r="AI212">
        <f>IFERROR(INDEX(PP_Grid[#Data],$DE212,32),0)</f>
        <v/>
      </c>
      <c r="AJ212">
        <f>IFERROR(INDEX(PP_Grid[#Data],$DE212,33),0)</f>
        <v/>
      </c>
      <c r="AK212">
        <f>IFERROR(INDEX(PP_Grid[#Data],$DE212,34),0)</f>
        <v/>
      </c>
      <c r="AL212">
        <f>IFERROR(INDEX(PP_Grid[#Data],$DE212,35),0)</f>
        <v/>
      </c>
      <c r="AM212">
        <f>IFERROR(INDEX(PP_Grid[#Data],$DE212,36),0)</f>
        <v/>
      </c>
      <c r="AN212">
        <f>IFERROR(INDEX(PP_Grid[#Data],$DE212,37),0)</f>
        <v/>
      </c>
      <c r="AO212">
        <f>IFERROR(INDEX(PP_Grid[#Data],$DE212,38),0)</f>
        <v/>
      </c>
      <c r="AP212">
        <f>IFERROR(INDEX(PP_Grid[#Data],$DE212,39),0)</f>
        <v/>
      </c>
      <c r="AQ212">
        <f>IFERROR(INDEX(PP_Grid[#Data],$DE212,40),0)</f>
        <v/>
      </c>
      <c r="AR212">
        <f>IFERROR(INDEX(PP_Grid[#Data],$DE212,41),0)</f>
        <v/>
      </c>
      <c r="AS212">
        <f>IFERROR(INDEX(PP_Grid[#Data],$DE212,42),0)</f>
        <v/>
      </c>
      <c r="AT212">
        <f>IFERROR(INDEX(PP_Grid[#Data],$DE212,43),0)</f>
        <v/>
      </c>
      <c r="AU212">
        <f>IFERROR(INDEX(PP_Grid[#Data],$DE212,44),0)</f>
        <v/>
      </c>
      <c r="AV212">
        <f>IFERROR(INDEX(PP_Grid[#Data],$DE212,45),0)</f>
        <v/>
      </c>
      <c r="AW212">
        <f>IFERROR(INDEX(PP_Grid[#Data],$DE212,46),0)</f>
        <v/>
      </c>
      <c r="AX212">
        <f>IFERROR(INDEX(PP_Grid[#Data],$DE212,47),0)</f>
        <v/>
      </c>
      <c r="AY212">
        <f>IFERROR(INDEX(PP_Grid[#Data],$DE212,48),0)</f>
        <v/>
      </c>
      <c r="AZ212">
        <f>IFERROR(INDEX(PP_Grid[#Data],$DE212,49),0)</f>
        <v/>
      </c>
      <c r="BA212">
        <f>IFERROR(INDEX(PP_Grid[#Data],$DE212,50),0)</f>
        <v/>
      </c>
      <c r="BB212">
        <f>IFERROR(INDEX(PP_Grid[#Data],$DE212,51),0)</f>
        <v/>
      </c>
      <c r="BC212">
        <f>IFERROR(INDEX(PP_Grid[#Data],$DE212,52),0)</f>
        <v/>
      </c>
      <c r="BD212">
        <f>IFERROR(INDEX(PP_Grid[#Data],$DE212,53),0)</f>
        <v/>
      </c>
      <c r="BE212">
        <f>IFERROR(INDEX(PP_Grid[#Data],$DE212,54),0)</f>
        <v/>
      </c>
      <c r="BF212">
        <f>IFERROR(INDEX(PP_Grid[#Data],$DE212,55),0)</f>
        <v/>
      </c>
      <c r="BG212">
        <f>IFERROR(INDEX(PP_Grid[#Data],$DE212,56),0)</f>
        <v/>
      </c>
      <c r="BH212">
        <f>IFERROR(INDEX(PP_Grid[#Data],$DE212,57),0)</f>
        <v/>
      </c>
      <c r="BI212">
        <f>IFERROR(INDEX(PP_Grid[#Data],$DE212,58),0)</f>
        <v/>
      </c>
      <c r="BJ212">
        <f>IFERROR(INDEX(PP_Grid[#Data],$DE212,59),0)</f>
        <v/>
      </c>
      <c r="BK212">
        <f>IFERROR(INDEX(PP_Grid[#Data],$DE212,60),0)</f>
        <v/>
      </c>
      <c r="BL212">
        <f>IFERROR(INDEX(PP_Grid[#Data],$DE212,61),0)</f>
        <v/>
      </c>
      <c r="BM212">
        <f>IFERROR(INDEX(PP_Grid[#Data],$DE212,62),0)</f>
        <v/>
      </c>
      <c r="BN212">
        <f>IFERROR(INDEX(PP_Grid[#Data],$DE212,63),0)</f>
        <v/>
      </c>
      <c r="BO212">
        <f>IFERROR(INDEX(PP_Grid[#Data],$DE212,64),0)</f>
        <v/>
      </c>
      <c r="BP212">
        <f>IFERROR(INDEX(PP_Grid[#Data],$DE212,65),0)</f>
        <v/>
      </c>
      <c r="BQ212">
        <f>IFERROR(INDEX(PP_Grid[#Data],$DE212,66),0)</f>
        <v/>
      </c>
      <c r="BR212">
        <f>IFERROR(INDEX(PP_Grid[#Data],$DE212,67),0)</f>
        <v/>
      </c>
      <c r="BS212">
        <f>IFERROR(INDEX(PP_Grid[#Data],$DE212,68),0)</f>
        <v/>
      </c>
      <c r="BT212">
        <f>IFERROR(INDEX(PP_Grid[#Data],$DE212,69),0)</f>
        <v/>
      </c>
      <c r="BU212">
        <f>IFERROR(INDEX(PP_Grid[#Data],$DE212,70),0)</f>
        <v/>
      </c>
      <c r="BV212">
        <f>IFERROR(INDEX(PP_Grid[#Data],$DE212,71),0)</f>
        <v/>
      </c>
      <c r="BW212">
        <f>IFERROR(INDEX(PP_Grid[#Data],$DE212,72),0)</f>
        <v/>
      </c>
      <c r="BX212">
        <f>IFERROR(INDEX(PP_Grid[#Data],$DE212,73),0)</f>
        <v/>
      </c>
      <c r="BY212">
        <f>IFERROR(INDEX(PP_Grid[#Data],$DE212,74),0)</f>
        <v/>
      </c>
      <c r="BZ212">
        <f>IFERROR(INDEX(PP_Grid[#Data],$DE212,75),0)</f>
        <v/>
      </c>
      <c r="CA212">
        <f>IFERROR(INDEX(PP_Grid[#Data],$DE212,76),0)</f>
        <v/>
      </c>
      <c r="CB212">
        <f>IFERROR(INDEX(PP_Grid[#Data],$DE212,77),0)</f>
        <v/>
      </c>
      <c r="CC212">
        <f>IFERROR(INDEX(PP_Grid[#Data],$DE212,78),0)</f>
        <v/>
      </c>
      <c r="CD212">
        <f>IFERROR(INDEX(PP_Grid[#Data],$DE212,79),0)</f>
        <v/>
      </c>
      <c r="CE212">
        <f>IFERROR(INDEX(PP_Grid[#Data],$DE212,80),0)</f>
        <v/>
      </c>
      <c r="CF212">
        <f>IFERROR(INDEX(PP_Grid[#Data],$DE212,81),0)</f>
        <v/>
      </c>
      <c r="CG212">
        <f>IFERROR(INDEX(PP_Grid[#Data],$DE212,82),0)</f>
        <v/>
      </c>
      <c r="CH212">
        <f>IFERROR(INDEX(PP_Grid[#Data],$DE212,83),0)</f>
        <v/>
      </c>
      <c r="CI212">
        <f>IFERROR(INDEX(PP_Grid[#Data],$DE212,84),0)</f>
        <v/>
      </c>
      <c r="CJ212">
        <f>IFERROR(INDEX(PP_Grid[#Data],$DE212,85),0)</f>
        <v/>
      </c>
      <c r="CK212">
        <f>IFERROR(INDEX(PP_Grid[#Data],$DE212,86),0)</f>
        <v/>
      </c>
      <c r="CL212">
        <f>IFERROR(INDEX(PP_Grid[#Data],$DE212,87),0)</f>
        <v/>
      </c>
      <c r="CM212">
        <f>IFERROR(INDEX(PP_Grid[#Data],$DE212,88),0)</f>
        <v/>
      </c>
      <c r="CN212">
        <f>IFERROR(INDEX(PP_Grid[#Data],$DE212,89),0)</f>
        <v/>
      </c>
      <c r="CO212">
        <f>IFERROR(INDEX(PP_Grid[#Data],$DE212,90),0)</f>
        <v/>
      </c>
      <c r="CP212">
        <f>IFERROR(INDEX(PP_Grid[#Data],$DE212,91),0)</f>
        <v/>
      </c>
      <c r="CQ212">
        <f>IFERROR(INDEX(PP_Grid[#Data],$DE212,92),0)</f>
        <v/>
      </c>
      <c r="CR212">
        <f>IFERROR(INDEX(PP_Grid[#Data],$DE212,93),0)</f>
        <v/>
      </c>
      <c r="CS212">
        <f>IFERROR(INDEX(PP_Grid[#Data],$DE212,94),0)</f>
        <v/>
      </c>
      <c r="CT212">
        <f>IFERROR(INDEX(PP_Grid[#Data],$DE212,95),0)</f>
        <v/>
      </c>
      <c r="CU212">
        <f>IFERROR(INDEX(PP_Grid[#Data],$DE212,96),0)</f>
        <v/>
      </c>
      <c r="CV212">
        <f>IFERROR(INDEX(PP_Grid[#Data],$DE212,97),0)</f>
        <v/>
      </c>
      <c r="CW212">
        <f>IFERROR(INDEX(PP_Grid[#Data],$DE212,98),0)</f>
        <v/>
      </c>
      <c r="CX212">
        <f>IFERROR(INDEX(PP_Grid[#Data],$DE212,99),0)</f>
        <v/>
      </c>
      <c r="CY212">
        <f>IFERROR(INDEX(PP_Grid[#Data],$DE212,100),0)</f>
        <v/>
      </c>
      <c r="CZ212">
        <f>IFERROR(INDEX(PP_Grid[#Data],$DE212,101),0)</f>
        <v/>
      </c>
      <c r="DA212">
        <f>IFERROR(INDEX(PP_Grid[#Data],$DE212,102),0)</f>
        <v/>
      </c>
      <c r="DB212">
        <f>IFERROR(INDEX(PP_Grid[#Data],$DE212,103),0)</f>
        <v/>
      </c>
      <c r="DC212">
        <f>IFERROR(INDEX(PP_Grid[#Data],$DE212,104),0)</f>
        <v/>
      </c>
      <c r="DD212">
        <f>IFERROR(INDEX(PP_Grid[#Data],$DE212,105),0)</f>
        <v/>
      </c>
      <c r="DE212" s="7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SUMIFS(M_BOM[RM_Qty_Per_Batch],M_BOM[Intermediate],$B212,M_BOM[RM_Code],$A187)</f>
        <v/>
      </c>
      <c r="D213">
        <f>IFERROR(INDEX(E213:DD213,$F$1),"")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  <c r="DD213">
        <f>$C213*DD212</f>
        <v/>
      </c>
    </row>
    <row r="214">
      <c r="B214" t="inlineStr">
        <is>
          <t>TSP-399</t>
        </is>
      </c>
      <c r="C214" t="inlineStr">
        <is>
          <t>No. of batches</t>
        </is>
      </c>
      <c r="D214">
        <f>IFERROR(INDEX(E214:DD214,$F$1),"")</f>
        <v/>
      </c>
      <c r="E214">
        <f>IFERROR(INDEX(PP_Grid[#Data],$DE214,2),0)</f>
        <v/>
      </c>
      <c r="F214">
        <f>IFERROR(INDEX(PP_Grid[#Data],$DE214,3),0)</f>
        <v/>
      </c>
      <c r="G214">
        <f>IFERROR(INDEX(PP_Grid[#Data],$DE214,4),0)</f>
        <v/>
      </c>
      <c r="H214">
        <f>IFERROR(INDEX(PP_Grid[#Data],$DE214,5),0)</f>
        <v/>
      </c>
      <c r="I214">
        <f>IFERROR(INDEX(PP_Grid[#Data],$DE214,6),0)</f>
        <v/>
      </c>
      <c r="J214">
        <f>IFERROR(INDEX(PP_Grid[#Data],$DE214,7),0)</f>
        <v/>
      </c>
      <c r="K214">
        <f>IFERROR(INDEX(PP_Grid[#Data],$DE214,8),0)</f>
        <v/>
      </c>
      <c r="L214">
        <f>IFERROR(INDEX(PP_Grid[#Data],$DE214,9),0)</f>
        <v/>
      </c>
      <c r="M214">
        <f>IFERROR(INDEX(PP_Grid[#Data],$DE214,10),0)</f>
        <v/>
      </c>
      <c r="N214">
        <f>IFERROR(INDEX(PP_Grid[#Data],$DE214,11),0)</f>
        <v/>
      </c>
      <c r="O214">
        <f>IFERROR(INDEX(PP_Grid[#Data],$DE214,12),0)</f>
        <v/>
      </c>
      <c r="P214">
        <f>IFERROR(INDEX(PP_Grid[#Data],$DE214,13),0)</f>
        <v/>
      </c>
      <c r="Q214">
        <f>IFERROR(INDEX(PP_Grid[#Data],$DE214,14),0)</f>
        <v/>
      </c>
      <c r="R214">
        <f>IFERROR(INDEX(PP_Grid[#Data],$DE214,15),0)</f>
        <v/>
      </c>
      <c r="S214">
        <f>IFERROR(INDEX(PP_Grid[#Data],$DE214,16),0)</f>
        <v/>
      </c>
      <c r="T214">
        <f>IFERROR(INDEX(PP_Grid[#Data],$DE214,17),0)</f>
        <v/>
      </c>
      <c r="U214">
        <f>IFERROR(INDEX(PP_Grid[#Data],$DE214,18),0)</f>
        <v/>
      </c>
      <c r="V214">
        <f>IFERROR(INDEX(PP_Grid[#Data],$DE214,19),0)</f>
        <v/>
      </c>
      <c r="W214">
        <f>IFERROR(INDEX(PP_Grid[#Data],$DE214,20),0)</f>
        <v/>
      </c>
      <c r="X214">
        <f>IFERROR(INDEX(PP_Grid[#Data],$DE214,21),0)</f>
        <v/>
      </c>
      <c r="Y214">
        <f>IFERROR(INDEX(PP_Grid[#Data],$DE214,22),0)</f>
        <v/>
      </c>
      <c r="Z214">
        <f>IFERROR(INDEX(PP_Grid[#Data],$DE214,23),0)</f>
        <v/>
      </c>
      <c r="AA214">
        <f>IFERROR(INDEX(PP_Grid[#Data],$DE214,24),0)</f>
        <v/>
      </c>
      <c r="AB214">
        <f>IFERROR(INDEX(PP_Grid[#Data],$DE214,25),0)</f>
        <v/>
      </c>
      <c r="AC214">
        <f>IFERROR(INDEX(PP_Grid[#Data],$DE214,26),0)</f>
        <v/>
      </c>
      <c r="AD214">
        <f>IFERROR(INDEX(PP_Grid[#Data],$DE214,27),0)</f>
        <v/>
      </c>
      <c r="AE214">
        <f>IFERROR(INDEX(PP_Grid[#Data],$DE214,28),0)</f>
        <v/>
      </c>
      <c r="AF214">
        <f>IFERROR(INDEX(PP_Grid[#Data],$DE214,29),0)</f>
        <v/>
      </c>
      <c r="AG214">
        <f>IFERROR(INDEX(PP_Grid[#Data],$DE214,30),0)</f>
        <v/>
      </c>
      <c r="AH214">
        <f>IFERROR(INDEX(PP_Grid[#Data],$DE214,31),0)</f>
        <v/>
      </c>
      <c r="AI214">
        <f>IFERROR(INDEX(PP_Grid[#Data],$DE214,32),0)</f>
        <v/>
      </c>
      <c r="AJ214">
        <f>IFERROR(INDEX(PP_Grid[#Data],$DE214,33),0)</f>
        <v/>
      </c>
      <c r="AK214">
        <f>IFERROR(INDEX(PP_Grid[#Data],$DE214,34),0)</f>
        <v/>
      </c>
      <c r="AL214">
        <f>IFERROR(INDEX(PP_Grid[#Data],$DE214,35),0)</f>
        <v/>
      </c>
      <c r="AM214">
        <f>IFERROR(INDEX(PP_Grid[#Data],$DE214,36),0)</f>
        <v/>
      </c>
      <c r="AN214">
        <f>IFERROR(INDEX(PP_Grid[#Data],$DE214,37),0)</f>
        <v/>
      </c>
      <c r="AO214">
        <f>IFERROR(INDEX(PP_Grid[#Data],$DE214,38),0)</f>
        <v/>
      </c>
      <c r="AP214">
        <f>IFERROR(INDEX(PP_Grid[#Data],$DE214,39),0)</f>
        <v/>
      </c>
      <c r="AQ214">
        <f>IFERROR(INDEX(PP_Grid[#Data],$DE214,40),0)</f>
        <v/>
      </c>
      <c r="AR214">
        <f>IFERROR(INDEX(PP_Grid[#Data],$DE214,41),0)</f>
        <v/>
      </c>
      <c r="AS214">
        <f>IFERROR(INDEX(PP_Grid[#Data],$DE214,42),0)</f>
        <v/>
      </c>
      <c r="AT214">
        <f>IFERROR(INDEX(PP_Grid[#Data],$DE214,43),0)</f>
        <v/>
      </c>
      <c r="AU214">
        <f>IFERROR(INDEX(PP_Grid[#Data],$DE214,44),0)</f>
        <v/>
      </c>
      <c r="AV214">
        <f>IFERROR(INDEX(PP_Grid[#Data],$DE214,45),0)</f>
        <v/>
      </c>
      <c r="AW214">
        <f>IFERROR(INDEX(PP_Grid[#Data],$DE214,46),0)</f>
        <v/>
      </c>
      <c r="AX214">
        <f>IFERROR(INDEX(PP_Grid[#Data],$DE214,47),0)</f>
        <v/>
      </c>
      <c r="AY214">
        <f>IFERROR(INDEX(PP_Grid[#Data],$DE214,48),0)</f>
        <v/>
      </c>
      <c r="AZ214">
        <f>IFERROR(INDEX(PP_Grid[#Data],$DE214,49),0)</f>
        <v/>
      </c>
      <c r="BA214">
        <f>IFERROR(INDEX(PP_Grid[#Data],$DE214,50),0)</f>
        <v/>
      </c>
      <c r="BB214">
        <f>IFERROR(INDEX(PP_Grid[#Data],$DE214,51),0)</f>
        <v/>
      </c>
      <c r="BC214">
        <f>IFERROR(INDEX(PP_Grid[#Data],$DE214,52),0)</f>
        <v/>
      </c>
      <c r="BD214">
        <f>IFERROR(INDEX(PP_Grid[#Data],$DE214,53),0)</f>
        <v/>
      </c>
      <c r="BE214">
        <f>IFERROR(INDEX(PP_Grid[#Data],$DE214,54),0)</f>
        <v/>
      </c>
      <c r="BF214">
        <f>IFERROR(INDEX(PP_Grid[#Data],$DE214,55),0)</f>
        <v/>
      </c>
      <c r="BG214">
        <f>IFERROR(INDEX(PP_Grid[#Data],$DE214,56),0)</f>
        <v/>
      </c>
      <c r="BH214">
        <f>IFERROR(INDEX(PP_Grid[#Data],$DE214,57),0)</f>
        <v/>
      </c>
      <c r="BI214">
        <f>IFERROR(INDEX(PP_Grid[#Data],$DE214,58),0)</f>
        <v/>
      </c>
      <c r="BJ214">
        <f>IFERROR(INDEX(PP_Grid[#Data],$DE214,59),0)</f>
        <v/>
      </c>
      <c r="BK214">
        <f>IFERROR(INDEX(PP_Grid[#Data],$DE214,60),0)</f>
        <v/>
      </c>
      <c r="BL214">
        <f>IFERROR(INDEX(PP_Grid[#Data],$DE214,61),0)</f>
        <v/>
      </c>
      <c r="BM214">
        <f>IFERROR(INDEX(PP_Grid[#Data],$DE214,62),0)</f>
        <v/>
      </c>
      <c r="BN214">
        <f>IFERROR(INDEX(PP_Grid[#Data],$DE214,63),0)</f>
        <v/>
      </c>
      <c r="BO214">
        <f>IFERROR(INDEX(PP_Grid[#Data],$DE214,64),0)</f>
        <v/>
      </c>
      <c r="BP214">
        <f>IFERROR(INDEX(PP_Grid[#Data],$DE214,65),0)</f>
        <v/>
      </c>
      <c r="BQ214">
        <f>IFERROR(INDEX(PP_Grid[#Data],$DE214,66),0)</f>
        <v/>
      </c>
      <c r="BR214">
        <f>IFERROR(INDEX(PP_Grid[#Data],$DE214,67),0)</f>
        <v/>
      </c>
      <c r="BS214">
        <f>IFERROR(INDEX(PP_Grid[#Data],$DE214,68),0)</f>
        <v/>
      </c>
      <c r="BT214">
        <f>IFERROR(INDEX(PP_Grid[#Data],$DE214,69),0)</f>
        <v/>
      </c>
      <c r="BU214">
        <f>IFERROR(INDEX(PP_Grid[#Data],$DE214,70),0)</f>
        <v/>
      </c>
      <c r="BV214">
        <f>IFERROR(INDEX(PP_Grid[#Data],$DE214,71),0)</f>
        <v/>
      </c>
      <c r="BW214">
        <f>IFERROR(INDEX(PP_Grid[#Data],$DE214,72),0)</f>
        <v/>
      </c>
      <c r="BX214">
        <f>IFERROR(INDEX(PP_Grid[#Data],$DE214,73),0)</f>
        <v/>
      </c>
      <c r="BY214">
        <f>IFERROR(INDEX(PP_Grid[#Data],$DE214,74),0)</f>
        <v/>
      </c>
      <c r="BZ214">
        <f>IFERROR(INDEX(PP_Grid[#Data],$DE214,75),0)</f>
        <v/>
      </c>
      <c r="CA214">
        <f>IFERROR(INDEX(PP_Grid[#Data],$DE214,76),0)</f>
        <v/>
      </c>
      <c r="CB214">
        <f>IFERROR(INDEX(PP_Grid[#Data],$DE214,77),0)</f>
        <v/>
      </c>
      <c r="CC214">
        <f>IFERROR(INDEX(PP_Grid[#Data],$DE214,78),0)</f>
        <v/>
      </c>
      <c r="CD214">
        <f>IFERROR(INDEX(PP_Grid[#Data],$DE214,79),0)</f>
        <v/>
      </c>
      <c r="CE214">
        <f>IFERROR(INDEX(PP_Grid[#Data],$DE214,80),0)</f>
        <v/>
      </c>
      <c r="CF214">
        <f>IFERROR(INDEX(PP_Grid[#Data],$DE214,81),0)</f>
        <v/>
      </c>
      <c r="CG214">
        <f>IFERROR(INDEX(PP_Grid[#Data],$DE214,82),0)</f>
        <v/>
      </c>
      <c r="CH214">
        <f>IFERROR(INDEX(PP_Grid[#Data],$DE214,83),0)</f>
        <v/>
      </c>
      <c r="CI214">
        <f>IFERROR(INDEX(PP_Grid[#Data],$DE214,84),0)</f>
        <v/>
      </c>
      <c r="CJ214">
        <f>IFERROR(INDEX(PP_Grid[#Data],$DE214,85),0)</f>
        <v/>
      </c>
      <c r="CK214">
        <f>IFERROR(INDEX(PP_Grid[#Data],$DE214,86),0)</f>
        <v/>
      </c>
      <c r="CL214">
        <f>IFERROR(INDEX(PP_Grid[#Data],$DE214,87),0)</f>
        <v/>
      </c>
      <c r="CM214">
        <f>IFERROR(INDEX(PP_Grid[#Data],$DE214,88),0)</f>
        <v/>
      </c>
      <c r="CN214">
        <f>IFERROR(INDEX(PP_Grid[#Data],$DE214,89),0)</f>
        <v/>
      </c>
      <c r="CO214">
        <f>IFERROR(INDEX(PP_Grid[#Data],$DE214,90),0)</f>
        <v/>
      </c>
      <c r="CP214">
        <f>IFERROR(INDEX(PP_Grid[#Data],$DE214,91),0)</f>
        <v/>
      </c>
      <c r="CQ214">
        <f>IFERROR(INDEX(PP_Grid[#Data],$DE214,92),0)</f>
        <v/>
      </c>
      <c r="CR214">
        <f>IFERROR(INDEX(PP_Grid[#Data],$DE214,93),0)</f>
        <v/>
      </c>
      <c r="CS214">
        <f>IFERROR(INDEX(PP_Grid[#Data],$DE214,94),0)</f>
        <v/>
      </c>
      <c r="CT214">
        <f>IFERROR(INDEX(PP_Grid[#Data],$DE214,95),0)</f>
        <v/>
      </c>
      <c r="CU214">
        <f>IFERROR(INDEX(PP_Grid[#Data],$DE214,96),0)</f>
        <v/>
      </c>
      <c r="CV214">
        <f>IFERROR(INDEX(PP_Grid[#Data],$DE214,97),0)</f>
        <v/>
      </c>
      <c r="CW214">
        <f>IFERROR(INDEX(PP_Grid[#Data],$DE214,98),0)</f>
        <v/>
      </c>
      <c r="CX214">
        <f>IFERROR(INDEX(PP_Grid[#Data],$DE214,99),0)</f>
        <v/>
      </c>
      <c r="CY214">
        <f>IFERROR(INDEX(PP_Grid[#Data],$DE214,100),0)</f>
        <v/>
      </c>
      <c r="CZ214">
        <f>IFERROR(INDEX(PP_Grid[#Data],$DE214,101),0)</f>
        <v/>
      </c>
      <c r="DA214">
        <f>IFERROR(INDEX(PP_Grid[#Data],$DE214,102),0)</f>
        <v/>
      </c>
      <c r="DB214">
        <f>IFERROR(INDEX(PP_Grid[#Data],$DE214,103),0)</f>
        <v/>
      </c>
      <c r="DC214">
        <f>IFERROR(INDEX(PP_Grid[#Data],$DE214,104),0)</f>
        <v/>
      </c>
      <c r="DD214">
        <f>IFERROR(INDEX(PP_Grid[#Data],$DE214,105),0)</f>
        <v/>
      </c>
      <c r="DE214" s="7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SUMIFS(M_BOM[RM_Qty_Per_Batch],M_BOM[Intermediate],$B214,M_BOM[RM_Code],$A187)</f>
        <v/>
      </c>
      <c r="D215">
        <f>IFERROR(INDEX(E215:DD215,$F$1),"")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  <c r="DD215">
        <f>$C215*DD214</f>
        <v/>
      </c>
    </row>
    <row r="216">
      <c r="B216" t="inlineStr">
        <is>
          <t>TSP-402</t>
        </is>
      </c>
      <c r="C216" t="inlineStr">
        <is>
          <t>No. of batches</t>
        </is>
      </c>
      <c r="D216">
        <f>IFERROR(INDEX(E216:DD216,$F$1),"")</f>
        <v/>
      </c>
      <c r="E216">
        <f>IFERROR(INDEX(PP_Grid[#Data],$DE216,2),0)</f>
        <v/>
      </c>
      <c r="F216">
        <f>IFERROR(INDEX(PP_Grid[#Data],$DE216,3),0)</f>
        <v/>
      </c>
      <c r="G216">
        <f>IFERROR(INDEX(PP_Grid[#Data],$DE216,4),0)</f>
        <v/>
      </c>
      <c r="H216">
        <f>IFERROR(INDEX(PP_Grid[#Data],$DE216,5),0)</f>
        <v/>
      </c>
      <c r="I216">
        <f>IFERROR(INDEX(PP_Grid[#Data],$DE216,6),0)</f>
        <v/>
      </c>
      <c r="J216">
        <f>IFERROR(INDEX(PP_Grid[#Data],$DE216,7),0)</f>
        <v/>
      </c>
      <c r="K216">
        <f>IFERROR(INDEX(PP_Grid[#Data],$DE216,8),0)</f>
        <v/>
      </c>
      <c r="L216">
        <f>IFERROR(INDEX(PP_Grid[#Data],$DE216,9),0)</f>
        <v/>
      </c>
      <c r="M216">
        <f>IFERROR(INDEX(PP_Grid[#Data],$DE216,10),0)</f>
        <v/>
      </c>
      <c r="N216">
        <f>IFERROR(INDEX(PP_Grid[#Data],$DE216,11),0)</f>
        <v/>
      </c>
      <c r="O216">
        <f>IFERROR(INDEX(PP_Grid[#Data],$DE216,12),0)</f>
        <v/>
      </c>
      <c r="P216">
        <f>IFERROR(INDEX(PP_Grid[#Data],$DE216,13),0)</f>
        <v/>
      </c>
      <c r="Q216">
        <f>IFERROR(INDEX(PP_Grid[#Data],$DE216,14),0)</f>
        <v/>
      </c>
      <c r="R216">
        <f>IFERROR(INDEX(PP_Grid[#Data],$DE216,15),0)</f>
        <v/>
      </c>
      <c r="S216">
        <f>IFERROR(INDEX(PP_Grid[#Data],$DE216,16),0)</f>
        <v/>
      </c>
      <c r="T216">
        <f>IFERROR(INDEX(PP_Grid[#Data],$DE216,17),0)</f>
        <v/>
      </c>
      <c r="U216">
        <f>IFERROR(INDEX(PP_Grid[#Data],$DE216,18),0)</f>
        <v/>
      </c>
      <c r="V216">
        <f>IFERROR(INDEX(PP_Grid[#Data],$DE216,19),0)</f>
        <v/>
      </c>
      <c r="W216">
        <f>IFERROR(INDEX(PP_Grid[#Data],$DE216,20),0)</f>
        <v/>
      </c>
      <c r="X216">
        <f>IFERROR(INDEX(PP_Grid[#Data],$DE216,21),0)</f>
        <v/>
      </c>
      <c r="Y216">
        <f>IFERROR(INDEX(PP_Grid[#Data],$DE216,22),0)</f>
        <v/>
      </c>
      <c r="Z216">
        <f>IFERROR(INDEX(PP_Grid[#Data],$DE216,23),0)</f>
        <v/>
      </c>
      <c r="AA216">
        <f>IFERROR(INDEX(PP_Grid[#Data],$DE216,24),0)</f>
        <v/>
      </c>
      <c r="AB216">
        <f>IFERROR(INDEX(PP_Grid[#Data],$DE216,25),0)</f>
        <v/>
      </c>
      <c r="AC216">
        <f>IFERROR(INDEX(PP_Grid[#Data],$DE216,26),0)</f>
        <v/>
      </c>
      <c r="AD216">
        <f>IFERROR(INDEX(PP_Grid[#Data],$DE216,27),0)</f>
        <v/>
      </c>
      <c r="AE216">
        <f>IFERROR(INDEX(PP_Grid[#Data],$DE216,28),0)</f>
        <v/>
      </c>
      <c r="AF216">
        <f>IFERROR(INDEX(PP_Grid[#Data],$DE216,29),0)</f>
        <v/>
      </c>
      <c r="AG216">
        <f>IFERROR(INDEX(PP_Grid[#Data],$DE216,30),0)</f>
        <v/>
      </c>
      <c r="AH216">
        <f>IFERROR(INDEX(PP_Grid[#Data],$DE216,31),0)</f>
        <v/>
      </c>
      <c r="AI216">
        <f>IFERROR(INDEX(PP_Grid[#Data],$DE216,32),0)</f>
        <v/>
      </c>
      <c r="AJ216">
        <f>IFERROR(INDEX(PP_Grid[#Data],$DE216,33),0)</f>
        <v/>
      </c>
      <c r="AK216">
        <f>IFERROR(INDEX(PP_Grid[#Data],$DE216,34),0)</f>
        <v/>
      </c>
      <c r="AL216">
        <f>IFERROR(INDEX(PP_Grid[#Data],$DE216,35),0)</f>
        <v/>
      </c>
      <c r="AM216">
        <f>IFERROR(INDEX(PP_Grid[#Data],$DE216,36),0)</f>
        <v/>
      </c>
      <c r="AN216">
        <f>IFERROR(INDEX(PP_Grid[#Data],$DE216,37),0)</f>
        <v/>
      </c>
      <c r="AO216">
        <f>IFERROR(INDEX(PP_Grid[#Data],$DE216,38),0)</f>
        <v/>
      </c>
      <c r="AP216">
        <f>IFERROR(INDEX(PP_Grid[#Data],$DE216,39),0)</f>
        <v/>
      </c>
      <c r="AQ216">
        <f>IFERROR(INDEX(PP_Grid[#Data],$DE216,40),0)</f>
        <v/>
      </c>
      <c r="AR216">
        <f>IFERROR(INDEX(PP_Grid[#Data],$DE216,41),0)</f>
        <v/>
      </c>
      <c r="AS216">
        <f>IFERROR(INDEX(PP_Grid[#Data],$DE216,42),0)</f>
        <v/>
      </c>
      <c r="AT216">
        <f>IFERROR(INDEX(PP_Grid[#Data],$DE216,43),0)</f>
        <v/>
      </c>
      <c r="AU216">
        <f>IFERROR(INDEX(PP_Grid[#Data],$DE216,44),0)</f>
        <v/>
      </c>
      <c r="AV216">
        <f>IFERROR(INDEX(PP_Grid[#Data],$DE216,45),0)</f>
        <v/>
      </c>
      <c r="AW216">
        <f>IFERROR(INDEX(PP_Grid[#Data],$DE216,46),0)</f>
        <v/>
      </c>
      <c r="AX216">
        <f>IFERROR(INDEX(PP_Grid[#Data],$DE216,47),0)</f>
        <v/>
      </c>
      <c r="AY216">
        <f>IFERROR(INDEX(PP_Grid[#Data],$DE216,48),0)</f>
        <v/>
      </c>
      <c r="AZ216">
        <f>IFERROR(INDEX(PP_Grid[#Data],$DE216,49),0)</f>
        <v/>
      </c>
      <c r="BA216">
        <f>IFERROR(INDEX(PP_Grid[#Data],$DE216,50),0)</f>
        <v/>
      </c>
      <c r="BB216">
        <f>IFERROR(INDEX(PP_Grid[#Data],$DE216,51),0)</f>
        <v/>
      </c>
      <c r="BC216">
        <f>IFERROR(INDEX(PP_Grid[#Data],$DE216,52),0)</f>
        <v/>
      </c>
      <c r="BD216">
        <f>IFERROR(INDEX(PP_Grid[#Data],$DE216,53),0)</f>
        <v/>
      </c>
      <c r="BE216">
        <f>IFERROR(INDEX(PP_Grid[#Data],$DE216,54),0)</f>
        <v/>
      </c>
      <c r="BF216">
        <f>IFERROR(INDEX(PP_Grid[#Data],$DE216,55),0)</f>
        <v/>
      </c>
      <c r="BG216">
        <f>IFERROR(INDEX(PP_Grid[#Data],$DE216,56),0)</f>
        <v/>
      </c>
      <c r="BH216">
        <f>IFERROR(INDEX(PP_Grid[#Data],$DE216,57),0)</f>
        <v/>
      </c>
      <c r="BI216">
        <f>IFERROR(INDEX(PP_Grid[#Data],$DE216,58),0)</f>
        <v/>
      </c>
      <c r="BJ216">
        <f>IFERROR(INDEX(PP_Grid[#Data],$DE216,59),0)</f>
        <v/>
      </c>
      <c r="BK216">
        <f>IFERROR(INDEX(PP_Grid[#Data],$DE216,60),0)</f>
        <v/>
      </c>
      <c r="BL216">
        <f>IFERROR(INDEX(PP_Grid[#Data],$DE216,61),0)</f>
        <v/>
      </c>
      <c r="BM216">
        <f>IFERROR(INDEX(PP_Grid[#Data],$DE216,62),0)</f>
        <v/>
      </c>
      <c r="BN216">
        <f>IFERROR(INDEX(PP_Grid[#Data],$DE216,63),0)</f>
        <v/>
      </c>
      <c r="BO216">
        <f>IFERROR(INDEX(PP_Grid[#Data],$DE216,64),0)</f>
        <v/>
      </c>
      <c r="BP216">
        <f>IFERROR(INDEX(PP_Grid[#Data],$DE216,65),0)</f>
        <v/>
      </c>
      <c r="BQ216">
        <f>IFERROR(INDEX(PP_Grid[#Data],$DE216,66),0)</f>
        <v/>
      </c>
      <c r="BR216">
        <f>IFERROR(INDEX(PP_Grid[#Data],$DE216,67),0)</f>
        <v/>
      </c>
      <c r="BS216">
        <f>IFERROR(INDEX(PP_Grid[#Data],$DE216,68),0)</f>
        <v/>
      </c>
      <c r="BT216">
        <f>IFERROR(INDEX(PP_Grid[#Data],$DE216,69),0)</f>
        <v/>
      </c>
      <c r="BU216">
        <f>IFERROR(INDEX(PP_Grid[#Data],$DE216,70),0)</f>
        <v/>
      </c>
      <c r="BV216">
        <f>IFERROR(INDEX(PP_Grid[#Data],$DE216,71),0)</f>
        <v/>
      </c>
      <c r="BW216">
        <f>IFERROR(INDEX(PP_Grid[#Data],$DE216,72),0)</f>
        <v/>
      </c>
      <c r="BX216">
        <f>IFERROR(INDEX(PP_Grid[#Data],$DE216,73),0)</f>
        <v/>
      </c>
      <c r="BY216">
        <f>IFERROR(INDEX(PP_Grid[#Data],$DE216,74),0)</f>
        <v/>
      </c>
      <c r="BZ216">
        <f>IFERROR(INDEX(PP_Grid[#Data],$DE216,75),0)</f>
        <v/>
      </c>
      <c r="CA216">
        <f>IFERROR(INDEX(PP_Grid[#Data],$DE216,76),0)</f>
        <v/>
      </c>
      <c r="CB216">
        <f>IFERROR(INDEX(PP_Grid[#Data],$DE216,77),0)</f>
        <v/>
      </c>
      <c r="CC216">
        <f>IFERROR(INDEX(PP_Grid[#Data],$DE216,78),0)</f>
        <v/>
      </c>
      <c r="CD216">
        <f>IFERROR(INDEX(PP_Grid[#Data],$DE216,79),0)</f>
        <v/>
      </c>
      <c r="CE216">
        <f>IFERROR(INDEX(PP_Grid[#Data],$DE216,80),0)</f>
        <v/>
      </c>
      <c r="CF216">
        <f>IFERROR(INDEX(PP_Grid[#Data],$DE216,81),0)</f>
        <v/>
      </c>
      <c r="CG216">
        <f>IFERROR(INDEX(PP_Grid[#Data],$DE216,82),0)</f>
        <v/>
      </c>
      <c r="CH216">
        <f>IFERROR(INDEX(PP_Grid[#Data],$DE216,83),0)</f>
        <v/>
      </c>
      <c r="CI216">
        <f>IFERROR(INDEX(PP_Grid[#Data],$DE216,84),0)</f>
        <v/>
      </c>
      <c r="CJ216">
        <f>IFERROR(INDEX(PP_Grid[#Data],$DE216,85),0)</f>
        <v/>
      </c>
      <c r="CK216">
        <f>IFERROR(INDEX(PP_Grid[#Data],$DE216,86),0)</f>
        <v/>
      </c>
      <c r="CL216">
        <f>IFERROR(INDEX(PP_Grid[#Data],$DE216,87),0)</f>
        <v/>
      </c>
      <c r="CM216">
        <f>IFERROR(INDEX(PP_Grid[#Data],$DE216,88),0)</f>
        <v/>
      </c>
      <c r="CN216">
        <f>IFERROR(INDEX(PP_Grid[#Data],$DE216,89),0)</f>
        <v/>
      </c>
      <c r="CO216">
        <f>IFERROR(INDEX(PP_Grid[#Data],$DE216,90),0)</f>
        <v/>
      </c>
      <c r="CP216">
        <f>IFERROR(INDEX(PP_Grid[#Data],$DE216,91),0)</f>
        <v/>
      </c>
      <c r="CQ216">
        <f>IFERROR(INDEX(PP_Grid[#Data],$DE216,92),0)</f>
        <v/>
      </c>
      <c r="CR216">
        <f>IFERROR(INDEX(PP_Grid[#Data],$DE216,93),0)</f>
        <v/>
      </c>
      <c r="CS216">
        <f>IFERROR(INDEX(PP_Grid[#Data],$DE216,94),0)</f>
        <v/>
      </c>
      <c r="CT216">
        <f>IFERROR(INDEX(PP_Grid[#Data],$DE216,95),0)</f>
        <v/>
      </c>
      <c r="CU216">
        <f>IFERROR(INDEX(PP_Grid[#Data],$DE216,96),0)</f>
        <v/>
      </c>
      <c r="CV216">
        <f>IFERROR(INDEX(PP_Grid[#Data],$DE216,97),0)</f>
        <v/>
      </c>
      <c r="CW216">
        <f>IFERROR(INDEX(PP_Grid[#Data],$DE216,98),0)</f>
        <v/>
      </c>
      <c r="CX216">
        <f>IFERROR(INDEX(PP_Grid[#Data],$DE216,99),0)</f>
        <v/>
      </c>
      <c r="CY216">
        <f>IFERROR(INDEX(PP_Grid[#Data],$DE216,100),0)</f>
        <v/>
      </c>
      <c r="CZ216">
        <f>IFERROR(INDEX(PP_Grid[#Data],$DE216,101),0)</f>
        <v/>
      </c>
      <c r="DA216">
        <f>IFERROR(INDEX(PP_Grid[#Data],$DE216,102),0)</f>
        <v/>
      </c>
      <c r="DB216">
        <f>IFERROR(INDEX(PP_Grid[#Data],$DE216,103),0)</f>
        <v/>
      </c>
      <c r="DC216">
        <f>IFERROR(INDEX(PP_Grid[#Data],$DE216,104),0)</f>
        <v/>
      </c>
      <c r="DD216">
        <f>IFERROR(INDEX(PP_Grid[#Data],$DE216,105),0)</f>
        <v/>
      </c>
      <c r="DE216" s="7">
        <f>IFERROR(MATCH($B216,PP_Grid[Intermediate],0),99999)</f>
        <v/>
      </c>
    </row>
    <row r="217">
      <c r="B217" t="inlineStr">
        <is>
          <t>使用量(kg)</t>
        </is>
      </c>
      <c r="C217">
        <f>SUMIFS(M_BOM[RM_Qty_Per_Batch],M_BOM[Intermediate],$B216,M_BOM[RM_Code],$A187)</f>
        <v/>
      </c>
      <c r="D217">
        <f>IFERROR(INDEX(E217:DD217,$F$1),"")</f>
        <v/>
      </c>
      <c r="E217">
        <f>$C217*E216</f>
        <v/>
      </c>
      <c r="F217">
        <f>$C217*F216</f>
        <v/>
      </c>
      <c r="G217">
        <f>$C217*G216</f>
        <v/>
      </c>
      <c r="H217">
        <f>$C217*H216</f>
        <v/>
      </c>
      <c r="I217">
        <f>$C217*I216</f>
        <v/>
      </c>
      <c r="J217">
        <f>$C217*J216</f>
        <v/>
      </c>
      <c r="K217">
        <f>$C217*K216</f>
        <v/>
      </c>
      <c r="L217">
        <f>$C217*L216</f>
        <v/>
      </c>
      <c r="M217">
        <f>$C217*M216</f>
        <v/>
      </c>
      <c r="N217">
        <f>$C217*N216</f>
        <v/>
      </c>
      <c r="O217">
        <f>$C217*O216</f>
        <v/>
      </c>
      <c r="P217">
        <f>$C217*P216</f>
        <v/>
      </c>
      <c r="Q217">
        <f>$C217*Q216</f>
        <v/>
      </c>
      <c r="R217">
        <f>$C217*R216</f>
        <v/>
      </c>
      <c r="S217">
        <f>$C217*S216</f>
        <v/>
      </c>
      <c r="T217">
        <f>$C217*T216</f>
        <v/>
      </c>
      <c r="U217">
        <f>$C217*U216</f>
        <v/>
      </c>
      <c r="V217">
        <f>$C217*V216</f>
        <v/>
      </c>
      <c r="W217">
        <f>$C217*W216</f>
        <v/>
      </c>
      <c r="X217">
        <f>$C217*X216</f>
        <v/>
      </c>
      <c r="Y217">
        <f>$C217*Y216</f>
        <v/>
      </c>
      <c r="Z217">
        <f>$C217*Z216</f>
        <v/>
      </c>
      <c r="AA217">
        <f>$C217*AA216</f>
        <v/>
      </c>
      <c r="AB217">
        <f>$C217*AB216</f>
        <v/>
      </c>
      <c r="AC217">
        <f>$C217*AC216</f>
        <v/>
      </c>
      <c r="AD217">
        <f>$C217*AD216</f>
        <v/>
      </c>
      <c r="AE217">
        <f>$C217*AE216</f>
        <v/>
      </c>
      <c r="AF217">
        <f>$C217*AF216</f>
        <v/>
      </c>
      <c r="AG217">
        <f>$C217*AG216</f>
        <v/>
      </c>
      <c r="AH217">
        <f>$C217*AH216</f>
        <v/>
      </c>
      <c r="AI217">
        <f>$C217*AI216</f>
        <v/>
      </c>
      <c r="AJ217">
        <f>$C217*AJ216</f>
        <v/>
      </c>
      <c r="AK217">
        <f>$C217*AK216</f>
        <v/>
      </c>
      <c r="AL217">
        <f>$C217*AL216</f>
        <v/>
      </c>
      <c r="AM217">
        <f>$C217*AM216</f>
        <v/>
      </c>
      <c r="AN217">
        <f>$C217*AN216</f>
        <v/>
      </c>
      <c r="AO217">
        <f>$C217*AO216</f>
        <v/>
      </c>
      <c r="AP217">
        <f>$C217*AP216</f>
        <v/>
      </c>
      <c r="AQ217">
        <f>$C217*AQ216</f>
        <v/>
      </c>
      <c r="AR217">
        <f>$C217*AR216</f>
        <v/>
      </c>
      <c r="AS217">
        <f>$C217*AS216</f>
        <v/>
      </c>
      <c r="AT217">
        <f>$C217*AT216</f>
        <v/>
      </c>
      <c r="AU217">
        <f>$C217*AU216</f>
        <v/>
      </c>
      <c r="AV217">
        <f>$C217*AV216</f>
        <v/>
      </c>
      <c r="AW217">
        <f>$C217*AW216</f>
        <v/>
      </c>
      <c r="AX217">
        <f>$C217*AX216</f>
        <v/>
      </c>
      <c r="AY217">
        <f>$C217*AY216</f>
        <v/>
      </c>
      <c r="AZ217">
        <f>$C217*AZ216</f>
        <v/>
      </c>
      <c r="BA217">
        <f>$C217*BA216</f>
        <v/>
      </c>
      <c r="BB217">
        <f>$C217*BB216</f>
        <v/>
      </c>
      <c r="BC217">
        <f>$C217*BC216</f>
        <v/>
      </c>
      <c r="BD217">
        <f>$C217*BD216</f>
        <v/>
      </c>
      <c r="BE217">
        <f>$C217*BE216</f>
        <v/>
      </c>
      <c r="BF217">
        <f>$C217*BF216</f>
        <v/>
      </c>
      <c r="BG217">
        <f>$C217*BG216</f>
        <v/>
      </c>
      <c r="BH217">
        <f>$C217*BH216</f>
        <v/>
      </c>
      <c r="BI217">
        <f>$C217*BI216</f>
        <v/>
      </c>
      <c r="BJ217">
        <f>$C217*BJ216</f>
        <v/>
      </c>
      <c r="BK217">
        <f>$C217*BK216</f>
        <v/>
      </c>
      <c r="BL217">
        <f>$C217*BL216</f>
        <v/>
      </c>
      <c r="BM217">
        <f>$C217*BM216</f>
        <v/>
      </c>
      <c r="BN217">
        <f>$C217*BN216</f>
        <v/>
      </c>
      <c r="BO217">
        <f>$C217*BO216</f>
        <v/>
      </c>
      <c r="BP217">
        <f>$C217*BP216</f>
        <v/>
      </c>
      <c r="BQ217">
        <f>$C217*BQ216</f>
        <v/>
      </c>
      <c r="BR217">
        <f>$C217*BR216</f>
        <v/>
      </c>
      <c r="BS217">
        <f>$C217*BS216</f>
        <v/>
      </c>
      <c r="BT217">
        <f>$C217*BT216</f>
        <v/>
      </c>
      <c r="BU217">
        <f>$C217*BU216</f>
        <v/>
      </c>
      <c r="BV217">
        <f>$C217*BV216</f>
        <v/>
      </c>
      <c r="BW217">
        <f>$C217*BW216</f>
        <v/>
      </c>
      <c r="BX217">
        <f>$C217*BX216</f>
        <v/>
      </c>
      <c r="BY217">
        <f>$C217*BY216</f>
        <v/>
      </c>
      <c r="BZ217">
        <f>$C217*BZ216</f>
        <v/>
      </c>
      <c r="CA217">
        <f>$C217*CA216</f>
        <v/>
      </c>
      <c r="CB217">
        <f>$C217*CB216</f>
        <v/>
      </c>
      <c r="CC217">
        <f>$C217*CC216</f>
        <v/>
      </c>
      <c r="CD217">
        <f>$C217*CD216</f>
        <v/>
      </c>
      <c r="CE217">
        <f>$C217*CE216</f>
        <v/>
      </c>
      <c r="CF217">
        <f>$C217*CF216</f>
        <v/>
      </c>
      <c r="CG217">
        <f>$C217*CG216</f>
        <v/>
      </c>
      <c r="CH217">
        <f>$C217*CH216</f>
        <v/>
      </c>
      <c r="CI217">
        <f>$C217*CI216</f>
        <v/>
      </c>
      <c r="CJ217">
        <f>$C217*CJ216</f>
        <v/>
      </c>
      <c r="CK217">
        <f>$C217*CK216</f>
        <v/>
      </c>
      <c r="CL217">
        <f>$C217*CL216</f>
        <v/>
      </c>
      <c r="CM217">
        <f>$C217*CM216</f>
        <v/>
      </c>
      <c r="CN217">
        <f>$C217*CN216</f>
        <v/>
      </c>
      <c r="CO217">
        <f>$C217*CO216</f>
        <v/>
      </c>
      <c r="CP217">
        <f>$C217*CP216</f>
        <v/>
      </c>
      <c r="CQ217">
        <f>$C217*CQ216</f>
        <v/>
      </c>
      <c r="CR217">
        <f>$C217*CR216</f>
        <v/>
      </c>
      <c r="CS217">
        <f>$C217*CS216</f>
        <v/>
      </c>
      <c r="CT217">
        <f>$C217*CT216</f>
        <v/>
      </c>
      <c r="CU217">
        <f>$C217*CU216</f>
        <v/>
      </c>
      <c r="CV217">
        <f>$C217*CV216</f>
        <v/>
      </c>
      <c r="CW217">
        <f>$C217*CW216</f>
        <v/>
      </c>
      <c r="CX217">
        <f>$C217*CX216</f>
        <v/>
      </c>
      <c r="CY217">
        <f>$C217*CY216</f>
        <v/>
      </c>
      <c r="CZ217">
        <f>$C217*CZ216</f>
        <v/>
      </c>
      <c r="DA217">
        <f>$C217*DA216</f>
        <v/>
      </c>
      <c r="DB217">
        <f>$C217*DB216</f>
        <v/>
      </c>
      <c r="DC217">
        <f>$C217*DC216</f>
        <v/>
      </c>
      <c r="DD217">
        <f>$C217*DD216</f>
        <v/>
      </c>
    </row>
    <row r="218">
      <c r="B218" t="inlineStr">
        <is>
          <t>TSP-403</t>
        </is>
      </c>
      <c r="C218" t="inlineStr">
        <is>
          <t>No. of batches</t>
        </is>
      </c>
      <c r="D218">
        <f>IFERROR(INDEX(E218:DD218,$F$1),"")</f>
        <v/>
      </c>
      <c r="E218">
        <f>IFERROR(INDEX(PP_Grid[#Data],$DE218,2),0)</f>
        <v/>
      </c>
      <c r="F218">
        <f>IFERROR(INDEX(PP_Grid[#Data],$DE218,3),0)</f>
        <v/>
      </c>
      <c r="G218">
        <f>IFERROR(INDEX(PP_Grid[#Data],$DE218,4),0)</f>
        <v/>
      </c>
      <c r="H218">
        <f>IFERROR(INDEX(PP_Grid[#Data],$DE218,5),0)</f>
        <v/>
      </c>
      <c r="I218">
        <f>IFERROR(INDEX(PP_Grid[#Data],$DE218,6),0)</f>
        <v/>
      </c>
      <c r="J218">
        <f>IFERROR(INDEX(PP_Grid[#Data],$DE218,7),0)</f>
        <v/>
      </c>
      <c r="K218">
        <f>IFERROR(INDEX(PP_Grid[#Data],$DE218,8),0)</f>
        <v/>
      </c>
      <c r="L218">
        <f>IFERROR(INDEX(PP_Grid[#Data],$DE218,9),0)</f>
        <v/>
      </c>
      <c r="M218">
        <f>IFERROR(INDEX(PP_Grid[#Data],$DE218,10),0)</f>
        <v/>
      </c>
      <c r="N218">
        <f>IFERROR(INDEX(PP_Grid[#Data],$DE218,11),0)</f>
        <v/>
      </c>
      <c r="O218">
        <f>IFERROR(INDEX(PP_Grid[#Data],$DE218,12),0)</f>
        <v/>
      </c>
      <c r="P218">
        <f>IFERROR(INDEX(PP_Grid[#Data],$DE218,13),0)</f>
        <v/>
      </c>
      <c r="Q218">
        <f>IFERROR(INDEX(PP_Grid[#Data],$DE218,14),0)</f>
        <v/>
      </c>
      <c r="R218">
        <f>IFERROR(INDEX(PP_Grid[#Data],$DE218,15),0)</f>
        <v/>
      </c>
      <c r="S218">
        <f>IFERROR(INDEX(PP_Grid[#Data],$DE218,16),0)</f>
        <v/>
      </c>
      <c r="T218">
        <f>IFERROR(INDEX(PP_Grid[#Data],$DE218,17),0)</f>
        <v/>
      </c>
      <c r="U218">
        <f>IFERROR(INDEX(PP_Grid[#Data],$DE218,18),0)</f>
        <v/>
      </c>
      <c r="V218">
        <f>IFERROR(INDEX(PP_Grid[#Data],$DE218,19),0)</f>
        <v/>
      </c>
      <c r="W218">
        <f>IFERROR(INDEX(PP_Grid[#Data],$DE218,20),0)</f>
        <v/>
      </c>
      <c r="X218">
        <f>IFERROR(INDEX(PP_Grid[#Data],$DE218,21),0)</f>
        <v/>
      </c>
      <c r="Y218">
        <f>IFERROR(INDEX(PP_Grid[#Data],$DE218,22),0)</f>
        <v/>
      </c>
      <c r="Z218">
        <f>IFERROR(INDEX(PP_Grid[#Data],$DE218,23),0)</f>
        <v/>
      </c>
      <c r="AA218">
        <f>IFERROR(INDEX(PP_Grid[#Data],$DE218,24),0)</f>
        <v/>
      </c>
      <c r="AB218">
        <f>IFERROR(INDEX(PP_Grid[#Data],$DE218,25),0)</f>
        <v/>
      </c>
      <c r="AC218">
        <f>IFERROR(INDEX(PP_Grid[#Data],$DE218,26),0)</f>
        <v/>
      </c>
      <c r="AD218">
        <f>IFERROR(INDEX(PP_Grid[#Data],$DE218,27),0)</f>
        <v/>
      </c>
      <c r="AE218">
        <f>IFERROR(INDEX(PP_Grid[#Data],$DE218,28),0)</f>
        <v/>
      </c>
      <c r="AF218">
        <f>IFERROR(INDEX(PP_Grid[#Data],$DE218,29),0)</f>
        <v/>
      </c>
      <c r="AG218">
        <f>IFERROR(INDEX(PP_Grid[#Data],$DE218,30),0)</f>
        <v/>
      </c>
      <c r="AH218">
        <f>IFERROR(INDEX(PP_Grid[#Data],$DE218,31),0)</f>
        <v/>
      </c>
      <c r="AI218">
        <f>IFERROR(INDEX(PP_Grid[#Data],$DE218,32),0)</f>
        <v/>
      </c>
      <c r="AJ218">
        <f>IFERROR(INDEX(PP_Grid[#Data],$DE218,33),0)</f>
        <v/>
      </c>
      <c r="AK218">
        <f>IFERROR(INDEX(PP_Grid[#Data],$DE218,34),0)</f>
        <v/>
      </c>
      <c r="AL218">
        <f>IFERROR(INDEX(PP_Grid[#Data],$DE218,35),0)</f>
        <v/>
      </c>
      <c r="AM218">
        <f>IFERROR(INDEX(PP_Grid[#Data],$DE218,36),0)</f>
        <v/>
      </c>
      <c r="AN218">
        <f>IFERROR(INDEX(PP_Grid[#Data],$DE218,37),0)</f>
        <v/>
      </c>
      <c r="AO218">
        <f>IFERROR(INDEX(PP_Grid[#Data],$DE218,38),0)</f>
        <v/>
      </c>
      <c r="AP218">
        <f>IFERROR(INDEX(PP_Grid[#Data],$DE218,39),0)</f>
        <v/>
      </c>
      <c r="AQ218">
        <f>IFERROR(INDEX(PP_Grid[#Data],$DE218,40),0)</f>
        <v/>
      </c>
      <c r="AR218">
        <f>IFERROR(INDEX(PP_Grid[#Data],$DE218,41),0)</f>
        <v/>
      </c>
      <c r="AS218">
        <f>IFERROR(INDEX(PP_Grid[#Data],$DE218,42),0)</f>
        <v/>
      </c>
      <c r="AT218">
        <f>IFERROR(INDEX(PP_Grid[#Data],$DE218,43),0)</f>
        <v/>
      </c>
      <c r="AU218">
        <f>IFERROR(INDEX(PP_Grid[#Data],$DE218,44),0)</f>
        <v/>
      </c>
      <c r="AV218">
        <f>IFERROR(INDEX(PP_Grid[#Data],$DE218,45),0)</f>
        <v/>
      </c>
      <c r="AW218">
        <f>IFERROR(INDEX(PP_Grid[#Data],$DE218,46),0)</f>
        <v/>
      </c>
      <c r="AX218">
        <f>IFERROR(INDEX(PP_Grid[#Data],$DE218,47),0)</f>
        <v/>
      </c>
      <c r="AY218">
        <f>IFERROR(INDEX(PP_Grid[#Data],$DE218,48),0)</f>
        <v/>
      </c>
      <c r="AZ218">
        <f>IFERROR(INDEX(PP_Grid[#Data],$DE218,49),0)</f>
        <v/>
      </c>
      <c r="BA218">
        <f>IFERROR(INDEX(PP_Grid[#Data],$DE218,50),0)</f>
        <v/>
      </c>
      <c r="BB218">
        <f>IFERROR(INDEX(PP_Grid[#Data],$DE218,51),0)</f>
        <v/>
      </c>
      <c r="BC218">
        <f>IFERROR(INDEX(PP_Grid[#Data],$DE218,52),0)</f>
        <v/>
      </c>
      <c r="BD218">
        <f>IFERROR(INDEX(PP_Grid[#Data],$DE218,53),0)</f>
        <v/>
      </c>
      <c r="BE218">
        <f>IFERROR(INDEX(PP_Grid[#Data],$DE218,54),0)</f>
        <v/>
      </c>
      <c r="BF218">
        <f>IFERROR(INDEX(PP_Grid[#Data],$DE218,55),0)</f>
        <v/>
      </c>
      <c r="BG218">
        <f>IFERROR(INDEX(PP_Grid[#Data],$DE218,56),0)</f>
        <v/>
      </c>
      <c r="BH218">
        <f>IFERROR(INDEX(PP_Grid[#Data],$DE218,57),0)</f>
        <v/>
      </c>
      <c r="BI218">
        <f>IFERROR(INDEX(PP_Grid[#Data],$DE218,58),0)</f>
        <v/>
      </c>
      <c r="BJ218">
        <f>IFERROR(INDEX(PP_Grid[#Data],$DE218,59),0)</f>
        <v/>
      </c>
      <c r="BK218">
        <f>IFERROR(INDEX(PP_Grid[#Data],$DE218,60),0)</f>
        <v/>
      </c>
      <c r="BL218">
        <f>IFERROR(INDEX(PP_Grid[#Data],$DE218,61),0)</f>
        <v/>
      </c>
      <c r="BM218">
        <f>IFERROR(INDEX(PP_Grid[#Data],$DE218,62),0)</f>
        <v/>
      </c>
      <c r="BN218">
        <f>IFERROR(INDEX(PP_Grid[#Data],$DE218,63),0)</f>
        <v/>
      </c>
      <c r="BO218">
        <f>IFERROR(INDEX(PP_Grid[#Data],$DE218,64),0)</f>
        <v/>
      </c>
      <c r="BP218">
        <f>IFERROR(INDEX(PP_Grid[#Data],$DE218,65),0)</f>
        <v/>
      </c>
      <c r="BQ218">
        <f>IFERROR(INDEX(PP_Grid[#Data],$DE218,66),0)</f>
        <v/>
      </c>
      <c r="BR218">
        <f>IFERROR(INDEX(PP_Grid[#Data],$DE218,67),0)</f>
        <v/>
      </c>
      <c r="BS218">
        <f>IFERROR(INDEX(PP_Grid[#Data],$DE218,68),0)</f>
        <v/>
      </c>
      <c r="BT218">
        <f>IFERROR(INDEX(PP_Grid[#Data],$DE218,69),0)</f>
        <v/>
      </c>
      <c r="BU218">
        <f>IFERROR(INDEX(PP_Grid[#Data],$DE218,70),0)</f>
        <v/>
      </c>
      <c r="BV218">
        <f>IFERROR(INDEX(PP_Grid[#Data],$DE218,71),0)</f>
        <v/>
      </c>
      <c r="BW218">
        <f>IFERROR(INDEX(PP_Grid[#Data],$DE218,72),0)</f>
        <v/>
      </c>
      <c r="BX218">
        <f>IFERROR(INDEX(PP_Grid[#Data],$DE218,73),0)</f>
        <v/>
      </c>
      <c r="BY218">
        <f>IFERROR(INDEX(PP_Grid[#Data],$DE218,74),0)</f>
        <v/>
      </c>
      <c r="BZ218">
        <f>IFERROR(INDEX(PP_Grid[#Data],$DE218,75),0)</f>
        <v/>
      </c>
      <c r="CA218">
        <f>IFERROR(INDEX(PP_Grid[#Data],$DE218,76),0)</f>
        <v/>
      </c>
      <c r="CB218">
        <f>IFERROR(INDEX(PP_Grid[#Data],$DE218,77),0)</f>
        <v/>
      </c>
      <c r="CC218">
        <f>IFERROR(INDEX(PP_Grid[#Data],$DE218,78),0)</f>
        <v/>
      </c>
      <c r="CD218">
        <f>IFERROR(INDEX(PP_Grid[#Data],$DE218,79),0)</f>
        <v/>
      </c>
      <c r="CE218">
        <f>IFERROR(INDEX(PP_Grid[#Data],$DE218,80),0)</f>
        <v/>
      </c>
      <c r="CF218">
        <f>IFERROR(INDEX(PP_Grid[#Data],$DE218,81),0)</f>
        <v/>
      </c>
      <c r="CG218">
        <f>IFERROR(INDEX(PP_Grid[#Data],$DE218,82),0)</f>
        <v/>
      </c>
      <c r="CH218">
        <f>IFERROR(INDEX(PP_Grid[#Data],$DE218,83),0)</f>
        <v/>
      </c>
      <c r="CI218">
        <f>IFERROR(INDEX(PP_Grid[#Data],$DE218,84),0)</f>
        <v/>
      </c>
      <c r="CJ218">
        <f>IFERROR(INDEX(PP_Grid[#Data],$DE218,85),0)</f>
        <v/>
      </c>
      <c r="CK218">
        <f>IFERROR(INDEX(PP_Grid[#Data],$DE218,86),0)</f>
        <v/>
      </c>
      <c r="CL218">
        <f>IFERROR(INDEX(PP_Grid[#Data],$DE218,87),0)</f>
        <v/>
      </c>
      <c r="CM218">
        <f>IFERROR(INDEX(PP_Grid[#Data],$DE218,88),0)</f>
        <v/>
      </c>
      <c r="CN218">
        <f>IFERROR(INDEX(PP_Grid[#Data],$DE218,89),0)</f>
        <v/>
      </c>
      <c r="CO218">
        <f>IFERROR(INDEX(PP_Grid[#Data],$DE218,90),0)</f>
        <v/>
      </c>
      <c r="CP218">
        <f>IFERROR(INDEX(PP_Grid[#Data],$DE218,91),0)</f>
        <v/>
      </c>
      <c r="CQ218">
        <f>IFERROR(INDEX(PP_Grid[#Data],$DE218,92),0)</f>
        <v/>
      </c>
      <c r="CR218">
        <f>IFERROR(INDEX(PP_Grid[#Data],$DE218,93),0)</f>
        <v/>
      </c>
      <c r="CS218">
        <f>IFERROR(INDEX(PP_Grid[#Data],$DE218,94),0)</f>
        <v/>
      </c>
      <c r="CT218">
        <f>IFERROR(INDEX(PP_Grid[#Data],$DE218,95),0)</f>
        <v/>
      </c>
      <c r="CU218">
        <f>IFERROR(INDEX(PP_Grid[#Data],$DE218,96),0)</f>
        <v/>
      </c>
      <c r="CV218">
        <f>IFERROR(INDEX(PP_Grid[#Data],$DE218,97),0)</f>
        <v/>
      </c>
      <c r="CW218">
        <f>IFERROR(INDEX(PP_Grid[#Data],$DE218,98),0)</f>
        <v/>
      </c>
      <c r="CX218">
        <f>IFERROR(INDEX(PP_Grid[#Data],$DE218,99),0)</f>
        <v/>
      </c>
      <c r="CY218">
        <f>IFERROR(INDEX(PP_Grid[#Data],$DE218,100),0)</f>
        <v/>
      </c>
      <c r="CZ218">
        <f>IFERROR(INDEX(PP_Grid[#Data],$DE218,101),0)</f>
        <v/>
      </c>
      <c r="DA218">
        <f>IFERROR(INDEX(PP_Grid[#Data],$DE218,102),0)</f>
        <v/>
      </c>
      <c r="DB218">
        <f>IFERROR(INDEX(PP_Grid[#Data],$DE218,103),0)</f>
        <v/>
      </c>
      <c r="DC218">
        <f>IFERROR(INDEX(PP_Grid[#Data],$DE218,104),0)</f>
        <v/>
      </c>
      <c r="DD218">
        <f>IFERROR(INDEX(PP_Grid[#Data],$DE218,105),0)</f>
        <v/>
      </c>
      <c r="DE218" s="7">
        <f>IFERROR(MATCH($B218,PP_Grid[Intermediate],0),99999)</f>
        <v/>
      </c>
    </row>
    <row r="219">
      <c r="B219" t="inlineStr">
        <is>
          <t>使用量(kg)</t>
        </is>
      </c>
      <c r="C219">
        <f>SUMIFS(M_BOM[RM_Qty_Per_Batch],M_BOM[Intermediate],$B218,M_BOM[RM_Code],$A187)</f>
        <v/>
      </c>
      <c r="D219">
        <f>IFERROR(INDEX(E219:DD219,$F$1),"")</f>
        <v/>
      </c>
      <c r="E219">
        <f>$C219*E218</f>
        <v/>
      </c>
      <c r="F219">
        <f>$C219*F218</f>
        <v/>
      </c>
      <c r="G219">
        <f>$C219*G218</f>
        <v/>
      </c>
      <c r="H219">
        <f>$C219*H218</f>
        <v/>
      </c>
      <c r="I219">
        <f>$C219*I218</f>
        <v/>
      </c>
      <c r="J219">
        <f>$C219*J218</f>
        <v/>
      </c>
      <c r="K219">
        <f>$C219*K218</f>
        <v/>
      </c>
      <c r="L219">
        <f>$C219*L218</f>
        <v/>
      </c>
      <c r="M219">
        <f>$C219*M218</f>
        <v/>
      </c>
      <c r="N219">
        <f>$C219*N218</f>
        <v/>
      </c>
      <c r="O219">
        <f>$C219*O218</f>
        <v/>
      </c>
      <c r="P219">
        <f>$C219*P218</f>
        <v/>
      </c>
      <c r="Q219">
        <f>$C219*Q218</f>
        <v/>
      </c>
      <c r="R219">
        <f>$C219*R218</f>
        <v/>
      </c>
      <c r="S219">
        <f>$C219*S218</f>
        <v/>
      </c>
      <c r="T219">
        <f>$C219*T218</f>
        <v/>
      </c>
      <c r="U219">
        <f>$C219*U218</f>
        <v/>
      </c>
      <c r="V219">
        <f>$C219*V218</f>
        <v/>
      </c>
      <c r="W219">
        <f>$C219*W218</f>
        <v/>
      </c>
      <c r="X219">
        <f>$C219*X218</f>
        <v/>
      </c>
      <c r="Y219">
        <f>$C219*Y218</f>
        <v/>
      </c>
      <c r="Z219">
        <f>$C219*Z218</f>
        <v/>
      </c>
      <c r="AA219">
        <f>$C219*AA218</f>
        <v/>
      </c>
      <c r="AB219">
        <f>$C219*AB218</f>
        <v/>
      </c>
      <c r="AC219">
        <f>$C219*AC218</f>
        <v/>
      </c>
      <c r="AD219">
        <f>$C219*AD218</f>
        <v/>
      </c>
      <c r="AE219">
        <f>$C219*AE218</f>
        <v/>
      </c>
      <c r="AF219">
        <f>$C219*AF218</f>
        <v/>
      </c>
      <c r="AG219">
        <f>$C219*AG218</f>
        <v/>
      </c>
      <c r="AH219">
        <f>$C219*AH218</f>
        <v/>
      </c>
      <c r="AI219">
        <f>$C219*AI218</f>
        <v/>
      </c>
      <c r="AJ219">
        <f>$C219*AJ218</f>
        <v/>
      </c>
      <c r="AK219">
        <f>$C219*AK218</f>
        <v/>
      </c>
      <c r="AL219">
        <f>$C219*AL218</f>
        <v/>
      </c>
      <c r="AM219">
        <f>$C219*AM218</f>
        <v/>
      </c>
      <c r="AN219">
        <f>$C219*AN218</f>
        <v/>
      </c>
      <c r="AO219">
        <f>$C219*AO218</f>
        <v/>
      </c>
      <c r="AP219">
        <f>$C219*AP218</f>
        <v/>
      </c>
      <c r="AQ219">
        <f>$C219*AQ218</f>
        <v/>
      </c>
      <c r="AR219">
        <f>$C219*AR218</f>
        <v/>
      </c>
      <c r="AS219">
        <f>$C219*AS218</f>
        <v/>
      </c>
      <c r="AT219">
        <f>$C219*AT218</f>
        <v/>
      </c>
      <c r="AU219">
        <f>$C219*AU218</f>
        <v/>
      </c>
      <c r="AV219">
        <f>$C219*AV218</f>
        <v/>
      </c>
      <c r="AW219">
        <f>$C219*AW218</f>
        <v/>
      </c>
      <c r="AX219">
        <f>$C219*AX218</f>
        <v/>
      </c>
      <c r="AY219">
        <f>$C219*AY218</f>
        <v/>
      </c>
      <c r="AZ219">
        <f>$C219*AZ218</f>
        <v/>
      </c>
      <c r="BA219">
        <f>$C219*BA218</f>
        <v/>
      </c>
      <c r="BB219">
        <f>$C219*BB218</f>
        <v/>
      </c>
      <c r="BC219">
        <f>$C219*BC218</f>
        <v/>
      </c>
      <c r="BD219">
        <f>$C219*BD218</f>
        <v/>
      </c>
      <c r="BE219">
        <f>$C219*BE218</f>
        <v/>
      </c>
      <c r="BF219">
        <f>$C219*BF218</f>
        <v/>
      </c>
      <c r="BG219">
        <f>$C219*BG218</f>
        <v/>
      </c>
      <c r="BH219">
        <f>$C219*BH218</f>
        <v/>
      </c>
      <c r="BI219">
        <f>$C219*BI218</f>
        <v/>
      </c>
      <c r="BJ219">
        <f>$C219*BJ218</f>
        <v/>
      </c>
      <c r="BK219">
        <f>$C219*BK218</f>
        <v/>
      </c>
      <c r="BL219">
        <f>$C219*BL218</f>
        <v/>
      </c>
      <c r="BM219">
        <f>$C219*BM218</f>
        <v/>
      </c>
      <c r="BN219">
        <f>$C219*BN218</f>
        <v/>
      </c>
      <c r="BO219">
        <f>$C219*BO218</f>
        <v/>
      </c>
      <c r="BP219">
        <f>$C219*BP218</f>
        <v/>
      </c>
      <c r="BQ219">
        <f>$C219*BQ218</f>
        <v/>
      </c>
      <c r="BR219">
        <f>$C219*BR218</f>
        <v/>
      </c>
      <c r="BS219">
        <f>$C219*BS218</f>
        <v/>
      </c>
      <c r="BT219">
        <f>$C219*BT218</f>
        <v/>
      </c>
      <c r="BU219">
        <f>$C219*BU218</f>
        <v/>
      </c>
      <c r="BV219">
        <f>$C219*BV218</f>
        <v/>
      </c>
      <c r="BW219">
        <f>$C219*BW218</f>
        <v/>
      </c>
      <c r="BX219">
        <f>$C219*BX218</f>
        <v/>
      </c>
      <c r="BY219">
        <f>$C219*BY218</f>
        <v/>
      </c>
      <c r="BZ219">
        <f>$C219*BZ218</f>
        <v/>
      </c>
      <c r="CA219">
        <f>$C219*CA218</f>
        <v/>
      </c>
      <c r="CB219">
        <f>$C219*CB218</f>
        <v/>
      </c>
      <c r="CC219">
        <f>$C219*CC218</f>
        <v/>
      </c>
      <c r="CD219">
        <f>$C219*CD218</f>
        <v/>
      </c>
      <c r="CE219">
        <f>$C219*CE218</f>
        <v/>
      </c>
      <c r="CF219">
        <f>$C219*CF218</f>
        <v/>
      </c>
      <c r="CG219">
        <f>$C219*CG218</f>
        <v/>
      </c>
      <c r="CH219">
        <f>$C219*CH218</f>
        <v/>
      </c>
      <c r="CI219">
        <f>$C219*CI218</f>
        <v/>
      </c>
      <c r="CJ219">
        <f>$C219*CJ218</f>
        <v/>
      </c>
      <c r="CK219">
        <f>$C219*CK218</f>
        <v/>
      </c>
      <c r="CL219">
        <f>$C219*CL218</f>
        <v/>
      </c>
      <c r="CM219">
        <f>$C219*CM218</f>
        <v/>
      </c>
      <c r="CN219">
        <f>$C219*CN218</f>
        <v/>
      </c>
      <c r="CO219">
        <f>$C219*CO218</f>
        <v/>
      </c>
      <c r="CP219">
        <f>$C219*CP218</f>
        <v/>
      </c>
      <c r="CQ219">
        <f>$C219*CQ218</f>
        <v/>
      </c>
      <c r="CR219">
        <f>$C219*CR218</f>
        <v/>
      </c>
      <c r="CS219">
        <f>$C219*CS218</f>
        <v/>
      </c>
      <c r="CT219">
        <f>$C219*CT218</f>
        <v/>
      </c>
      <c r="CU219">
        <f>$C219*CU218</f>
        <v/>
      </c>
      <c r="CV219">
        <f>$C219*CV218</f>
        <v/>
      </c>
      <c r="CW219">
        <f>$C219*CW218</f>
        <v/>
      </c>
      <c r="CX219">
        <f>$C219*CX218</f>
        <v/>
      </c>
      <c r="CY219">
        <f>$C219*CY218</f>
        <v/>
      </c>
      <c r="CZ219">
        <f>$C219*CZ218</f>
        <v/>
      </c>
      <c r="DA219">
        <f>$C219*DA218</f>
        <v/>
      </c>
      <c r="DB219">
        <f>$C219*DB218</f>
        <v/>
      </c>
      <c r="DC219">
        <f>$C219*DC218</f>
        <v/>
      </c>
      <c r="DD219">
        <f>$C219*DD218</f>
        <v/>
      </c>
    </row>
    <row r="220">
      <c r="B220" t="inlineStr">
        <is>
          <t>TSP-404</t>
        </is>
      </c>
      <c r="C220" t="inlineStr">
        <is>
          <t>No. of batches</t>
        </is>
      </c>
      <c r="D220">
        <f>IFERROR(INDEX(E220:DD220,$F$1),"")</f>
        <v/>
      </c>
      <c r="E220">
        <f>IFERROR(INDEX(PP_Grid[#Data],$DE220,2),0)</f>
        <v/>
      </c>
      <c r="F220">
        <f>IFERROR(INDEX(PP_Grid[#Data],$DE220,3),0)</f>
        <v/>
      </c>
      <c r="G220">
        <f>IFERROR(INDEX(PP_Grid[#Data],$DE220,4),0)</f>
        <v/>
      </c>
      <c r="H220">
        <f>IFERROR(INDEX(PP_Grid[#Data],$DE220,5),0)</f>
        <v/>
      </c>
      <c r="I220">
        <f>IFERROR(INDEX(PP_Grid[#Data],$DE220,6),0)</f>
        <v/>
      </c>
      <c r="J220">
        <f>IFERROR(INDEX(PP_Grid[#Data],$DE220,7),0)</f>
        <v/>
      </c>
      <c r="K220">
        <f>IFERROR(INDEX(PP_Grid[#Data],$DE220,8),0)</f>
        <v/>
      </c>
      <c r="L220">
        <f>IFERROR(INDEX(PP_Grid[#Data],$DE220,9),0)</f>
        <v/>
      </c>
      <c r="M220">
        <f>IFERROR(INDEX(PP_Grid[#Data],$DE220,10),0)</f>
        <v/>
      </c>
      <c r="N220">
        <f>IFERROR(INDEX(PP_Grid[#Data],$DE220,11),0)</f>
        <v/>
      </c>
      <c r="O220">
        <f>IFERROR(INDEX(PP_Grid[#Data],$DE220,12),0)</f>
        <v/>
      </c>
      <c r="P220">
        <f>IFERROR(INDEX(PP_Grid[#Data],$DE220,13),0)</f>
        <v/>
      </c>
      <c r="Q220">
        <f>IFERROR(INDEX(PP_Grid[#Data],$DE220,14),0)</f>
        <v/>
      </c>
      <c r="R220">
        <f>IFERROR(INDEX(PP_Grid[#Data],$DE220,15),0)</f>
        <v/>
      </c>
      <c r="S220">
        <f>IFERROR(INDEX(PP_Grid[#Data],$DE220,16),0)</f>
        <v/>
      </c>
      <c r="T220">
        <f>IFERROR(INDEX(PP_Grid[#Data],$DE220,17),0)</f>
        <v/>
      </c>
      <c r="U220">
        <f>IFERROR(INDEX(PP_Grid[#Data],$DE220,18),0)</f>
        <v/>
      </c>
      <c r="V220">
        <f>IFERROR(INDEX(PP_Grid[#Data],$DE220,19),0)</f>
        <v/>
      </c>
      <c r="W220">
        <f>IFERROR(INDEX(PP_Grid[#Data],$DE220,20),0)</f>
        <v/>
      </c>
      <c r="X220">
        <f>IFERROR(INDEX(PP_Grid[#Data],$DE220,21),0)</f>
        <v/>
      </c>
      <c r="Y220">
        <f>IFERROR(INDEX(PP_Grid[#Data],$DE220,22),0)</f>
        <v/>
      </c>
      <c r="Z220">
        <f>IFERROR(INDEX(PP_Grid[#Data],$DE220,23),0)</f>
        <v/>
      </c>
      <c r="AA220">
        <f>IFERROR(INDEX(PP_Grid[#Data],$DE220,24),0)</f>
        <v/>
      </c>
      <c r="AB220">
        <f>IFERROR(INDEX(PP_Grid[#Data],$DE220,25),0)</f>
        <v/>
      </c>
      <c r="AC220">
        <f>IFERROR(INDEX(PP_Grid[#Data],$DE220,26),0)</f>
        <v/>
      </c>
      <c r="AD220">
        <f>IFERROR(INDEX(PP_Grid[#Data],$DE220,27),0)</f>
        <v/>
      </c>
      <c r="AE220">
        <f>IFERROR(INDEX(PP_Grid[#Data],$DE220,28),0)</f>
        <v/>
      </c>
      <c r="AF220">
        <f>IFERROR(INDEX(PP_Grid[#Data],$DE220,29),0)</f>
        <v/>
      </c>
      <c r="AG220">
        <f>IFERROR(INDEX(PP_Grid[#Data],$DE220,30),0)</f>
        <v/>
      </c>
      <c r="AH220">
        <f>IFERROR(INDEX(PP_Grid[#Data],$DE220,31),0)</f>
        <v/>
      </c>
      <c r="AI220">
        <f>IFERROR(INDEX(PP_Grid[#Data],$DE220,32),0)</f>
        <v/>
      </c>
      <c r="AJ220">
        <f>IFERROR(INDEX(PP_Grid[#Data],$DE220,33),0)</f>
        <v/>
      </c>
      <c r="AK220">
        <f>IFERROR(INDEX(PP_Grid[#Data],$DE220,34),0)</f>
        <v/>
      </c>
      <c r="AL220">
        <f>IFERROR(INDEX(PP_Grid[#Data],$DE220,35),0)</f>
        <v/>
      </c>
      <c r="AM220">
        <f>IFERROR(INDEX(PP_Grid[#Data],$DE220,36),0)</f>
        <v/>
      </c>
      <c r="AN220">
        <f>IFERROR(INDEX(PP_Grid[#Data],$DE220,37),0)</f>
        <v/>
      </c>
      <c r="AO220">
        <f>IFERROR(INDEX(PP_Grid[#Data],$DE220,38),0)</f>
        <v/>
      </c>
      <c r="AP220">
        <f>IFERROR(INDEX(PP_Grid[#Data],$DE220,39),0)</f>
        <v/>
      </c>
      <c r="AQ220">
        <f>IFERROR(INDEX(PP_Grid[#Data],$DE220,40),0)</f>
        <v/>
      </c>
      <c r="AR220">
        <f>IFERROR(INDEX(PP_Grid[#Data],$DE220,41),0)</f>
        <v/>
      </c>
      <c r="AS220">
        <f>IFERROR(INDEX(PP_Grid[#Data],$DE220,42),0)</f>
        <v/>
      </c>
      <c r="AT220">
        <f>IFERROR(INDEX(PP_Grid[#Data],$DE220,43),0)</f>
        <v/>
      </c>
      <c r="AU220">
        <f>IFERROR(INDEX(PP_Grid[#Data],$DE220,44),0)</f>
        <v/>
      </c>
      <c r="AV220">
        <f>IFERROR(INDEX(PP_Grid[#Data],$DE220,45),0)</f>
        <v/>
      </c>
      <c r="AW220">
        <f>IFERROR(INDEX(PP_Grid[#Data],$DE220,46),0)</f>
        <v/>
      </c>
      <c r="AX220">
        <f>IFERROR(INDEX(PP_Grid[#Data],$DE220,47),0)</f>
        <v/>
      </c>
      <c r="AY220">
        <f>IFERROR(INDEX(PP_Grid[#Data],$DE220,48),0)</f>
        <v/>
      </c>
      <c r="AZ220">
        <f>IFERROR(INDEX(PP_Grid[#Data],$DE220,49),0)</f>
        <v/>
      </c>
      <c r="BA220">
        <f>IFERROR(INDEX(PP_Grid[#Data],$DE220,50),0)</f>
        <v/>
      </c>
      <c r="BB220">
        <f>IFERROR(INDEX(PP_Grid[#Data],$DE220,51),0)</f>
        <v/>
      </c>
      <c r="BC220">
        <f>IFERROR(INDEX(PP_Grid[#Data],$DE220,52),0)</f>
        <v/>
      </c>
      <c r="BD220">
        <f>IFERROR(INDEX(PP_Grid[#Data],$DE220,53),0)</f>
        <v/>
      </c>
      <c r="BE220">
        <f>IFERROR(INDEX(PP_Grid[#Data],$DE220,54),0)</f>
        <v/>
      </c>
      <c r="BF220">
        <f>IFERROR(INDEX(PP_Grid[#Data],$DE220,55),0)</f>
        <v/>
      </c>
      <c r="BG220">
        <f>IFERROR(INDEX(PP_Grid[#Data],$DE220,56),0)</f>
        <v/>
      </c>
      <c r="BH220">
        <f>IFERROR(INDEX(PP_Grid[#Data],$DE220,57),0)</f>
        <v/>
      </c>
      <c r="BI220">
        <f>IFERROR(INDEX(PP_Grid[#Data],$DE220,58),0)</f>
        <v/>
      </c>
      <c r="BJ220">
        <f>IFERROR(INDEX(PP_Grid[#Data],$DE220,59),0)</f>
        <v/>
      </c>
      <c r="BK220">
        <f>IFERROR(INDEX(PP_Grid[#Data],$DE220,60),0)</f>
        <v/>
      </c>
      <c r="BL220">
        <f>IFERROR(INDEX(PP_Grid[#Data],$DE220,61),0)</f>
        <v/>
      </c>
      <c r="BM220">
        <f>IFERROR(INDEX(PP_Grid[#Data],$DE220,62),0)</f>
        <v/>
      </c>
      <c r="BN220">
        <f>IFERROR(INDEX(PP_Grid[#Data],$DE220,63),0)</f>
        <v/>
      </c>
      <c r="BO220">
        <f>IFERROR(INDEX(PP_Grid[#Data],$DE220,64),0)</f>
        <v/>
      </c>
      <c r="BP220">
        <f>IFERROR(INDEX(PP_Grid[#Data],$DE220,65),0)</f>
        <v/>
      </c>
      <c r="BQ220">
        <f>IFERROR(INDEX(PP_Grid[#Data],$DE220,66),0)</f>
        <v/>
      </c>
      <c r="BR220">
        <f>IFERROR(INDEX(PP_Grid[#Data],$DE220,67),0)</f>
        <v/>
      </c>
      <c r="BS220">
        <f>IFERROR(INDEX(PP_Grid[#Data],$DE220,68),0)</f>
        <v/>
      </c>
      <c r="BT220">
        <f>IFERROR(INDEX(PP_Grid[#Data],$DE220,69),0)</f>
        <v/>
      </c>
      <c r="BU220">
        <f>IFERROR(INDEX(PP_Grid[#Data],$DE220,70),0)</f>
        <v/>
      </c>
      <c r="BV220">
        <f>IFERROR(INDEX(PP_Grid[#Data],$DE220,71),0)</f>
        <v/>
      </c>
      <c r="BW220">
        <f>IFERROR(INDEX(PP_Grid[#Data],$DE220,72),0)</f>
        <v/>
      </c>
      <c r="BX220">
        <f>IFERROR(INDEX(PP_Grid[#Data],$DE220,73),0)</f>
        <v/>
      </c>
      <c r="BY220">
        <f>IFERROR(INDEX(PP_Grid[#Data],$DE220,74),0)</f>
        <v/>
      </c>
      <c r="BZ220">
        <f>IFERROR(INDEX(PP_Grid[#Data],$DE220,75),0)</f>
        <v/>
      </c>
      <c r="CA220">
        <f>IFERROR(INDEX(PP_Grid[#Data],$DE220,76),0)</f>
        <v/>
      </c>
      <c r="CB220">
        <f>IFERROR(INDEX(PP_Grid[#Data],$DE220,77),0)</f>
        <v/>
      </c>
      <c r="CC220">
        <f>IFERROR(INDEX(PP_Grid[#Data],$DE220,78),0)</f>
        <v/>
      </c>
      <c r="CD220">
        <f>IFERROR(INDEX(PP_Grid[#Data],$DE220,79),0)</f>
        <v/>
      </c>
      <c r="CE220">
        <f>IFERROR(INDEX(PP_Grid[#Data],$DE220,80),0)</f>
        <v/>
      </c>
      <c r="CF220">
        <f>IFERROR(INDEX(PP_Grid[#Data],$DE220,81),0)</f>
        <v/>
      </c>
      <c r="CG220">
        <f>IFERROR(INDEX(PP_Grid[#Data],$DE220,82),0)</f>
        <v/>
      </c>
      <c r="CH220">
        <f>IFERROR(INDEX(PP_Grid[#Data],$DE220,83),0)</f>
        <v/>
      </c>
      <c r="CI220">
        <f>IFERROR(INDEX(PP_Grid[#Data],$DE220,84),0)</f>
        <v/>
      </c>
      <c r="CJ220">
        <f>IFERROR(INDEX(PP_Grid[#Data],$DE220,85),0)</f>
        <v/>
      </c>
      <c r="CK220">
        <f>IFERROR(INDEX(PP_Grid[#Data],$DE220,86),0)</f>
        <v/>
      </c>
      <c r="CL220">
        <f>IFERROR(INDEX(PP_Grid[#Data],$DE220,87),0)</f>
        <v/>
      </c>
      <c r="CM220">
        <f>IFERROR(INDEX(PP_Grid[#Data],$DE220,88),0)</f>
        <v/>
      </c>
      <c r="CN220">
        <f>IFERROR(INDEX(PP_Grid[#Data],$DE220,89),0)</f>
        <v/>
      </c>
      <c r="CO220">
        <f>IFERROR(INDEX(PP_Grid[#Data],$DE220,90),0)</f>
        <v/>
      </c>
      <c r="CP220">
        <f>IFERROR(INDEX(PP_Grid[#Data],$DE220,91),0)</f>
        <v/>
      </c>
      <c r="CQ220">
        <f>IFERROR(INDEX(PP_Grid[#Data],$DE220,92),0)</f>
        <v/>
      </c>
      <c r="CR220">
        <f>IFERROR(INDEX(PP_Grid[#Data],$DE220,93),0)</f>
        <v/>
      </c>
      <c r="CS220">
        <f>IFERROR(INDEX(PP_Grid[#Data],$DE220,94),0)</f>
        <v/>
      </c>
      <c r="CT220">
        <f>IFERROR(INDEX(PP_Grid[#Data],$DE220,95),0)</f>
        <v/>
      </c>
      <c r="CU220">
        <f>IFERROR(INDEX(PP_Grid[#Data],$DE220,96),0)</f>
        <v/>
      </c>
      <c r="CV220">
        <f>IFERROR(INDEX(PP_Grid[#Data],$DE220,97),0)</f>
        <v/>
      </c>
      <c r="CW220">
        <f>IFERROR(INDEX(PP_Grid[#Data],$DE220,98),0)</f>
        <v/>
      </c>
      <c r="CX220">
        <f>IFERROR(INDEX(PP_Grid[#Data],$DE220,99),0)</f>
        <v/>
      </c>
      <c r="CY220">
        <f>IFERROR(INDEX(PP_Grid[#Data],$DE220,100),0)</f>
        <v/>
      </c>
      <c r="CZ220">
        <f>IFERROR(INDEX(PP_Grid[#Data],$DE220,101),0)</f>
        <v/>
      </c>
      <c r="DA220">
        <f>IFERROR(INDEX(PP_Grid[#Data],$DE220,102),0)</f>
        <v/>
      </c>
      <c r="DB220">
        <f>IFERROR(INDEX(PP_Grid[#Data],$DE220,103),0)</f>
        <v/>
      </c>
      <c r="DC220">
        <f>IFERROR(INDEX(PP_Grid[#Data],$DE220,104),0)</f>
        <v/>
      </c>
      <c r="DD220">
        <f>IFERROR(INDEX(PP_Grid[#Data],$DE220,105),0)</f>
        <v/>
      </c>
      <c r="DE220" s="7">
        <f>IFERROR(MATCH($B220,PP_Grid[Intermediate],0),99999)</f>
        <v/>
      </c>
    </row>
    <row r="221">
      <c r="B221" t="inlineStr">
        <is>
          <t>使用量(kg)</t>
        </is>
      </c>
      <c r="C221">
        <f>SUMIFS(M_BOM[RM_Qty_Per_Batch],M_BOM[Intermediate],$B220,M_BOM[RM_Code],$A187)</f>
        <v/>
      </c>
      <c r="D221">
        <f>IFERROR(INDEX(E221:DD221,$F$1),"")</f>
        <v/>
      </c>
      <c r="E221">
        <f>$C221*E220</f>
        <v/>
      </c>
      <c r="F221">
        <f>$C221*F220</f>
        <v/>
      </c>
      <c r="G221">
        <f>$C221*G220</f>
        <v/>
      </c>
      <c r="H221">
        <f>$C221*H220</f>
        <v/>
      </c>
      <c r="I221">
        <f>$C221*I220</f>
        <v/>
      </c>
      <c r="J221">
        <f>$C221*J220</f>
        <v/>
      </c>
      <c r="K221">
        <f>$C221*K220</f>
        <v/>
      </c>
      <c r="L221">
        <f>$C221*L220</f>
        <v/>
      </c>
      <c r="M221">
        <f>$C221*M220</f>
        <v/>
      </c>
      <c r="N221">
        <f>$C221*N220</f>
        <v/>
      </c>
      <c r="O221">
        <f>$C221*O220</f>
        <v/>
      </c>
      <c r="P221">
        <f>$C221*P220</f>
        <v/>
      </c>
      <c r="Q221">
        <f>$C221*Q220</f>
        <v/>
      </c>
      <c r="R221">
        <f>$C221*R220</f>
        <v/>
      </c>
      <c r="S221">
        <f>$C221*S220</f>
        <v/>
      </c>
      <c r="T221">
        <f>$C221*T220</f>
        <v/>
      </c>
      <c r="U221">
        <f>$C221*U220</f>
        <v/>
      </c>
      <c r="V221">
        <f>$C221*V220</f>
        <v/>
      </c>
      <c r="W221">
        <f>$C221*W220</f>
        <v/>
      </c>
      <c r="X221">
        <f>$C221*X220</f>
        <v/>
      </c>
      <c r="Y221">
        <f>$C221*Y220</f>
        <v/>
      </c>
      <c r="Z221">
        <f>$C221*Z220</f>
        <v/>
      </c>
      <c r="AA221">
        <f>$C221*AA220</f>
        <v/>
      </c>
      <c r="AB221">
        <f>$C221*AB220</f>
        <v/>
      </c>
      <c r="AC221">
        <f>$C221*AC220</f>
        <v/>
      </c>
      <c r="AD221">
        <f>$C221*AD220</f>
        <v/>
      </c>
      <c r="AE221">
        <f>$C221*AE220</f>
        <v/>
      </c>
      <c r="AF221">
        <f>$C221*AF220</f>
        <v/>
      </c>
      <c r="AG221">
        <f>$C221*AG220</f>
        <v/>
      </c>
      <c r="AH221">
        <f>$C221*AH220</f>
        <v/>
      </c>
      <c r="AI221">
        <f>$C221*AI220</f>
        <v/>
      </c>
      <c r="AJ221">
        <f>$C221*AJ220</f>
        <v/>
      </c>
      <c r="AK221">
        <f>$C221*AK220</f>
        <v/>
      </c>
      <c r="AL221">
        <f>$C221*AL220</f>
        <v/>
      </c>
      <c r="AM221">
        <f>$C221*AM220</f>
        <v/>
      </c>
      <c r="AN221">
        <f>$C221*AN220</f>
        <v/>
      </c>
      <c r="AO221">
        <f>$C221*AO220</f>
        <v/>
      </c>
      <c r="AP221">
        <f>$C221*AP220</f>
        <v/>
      </c>
      <c r="AQ221">
        <f>$C221*AQ220</f>
        <v/>
      </c>
      <c r="AR221">
        <f>$C221*AR220</f>
        <v/>
      </c>
      <c r="AS221">
        <f>$C221*AS220</f>
        <v/>
      </c>
      <c r="AT221">
        <f>$C221*AT220</f>
        <v/>
      </c>
      <c r="AU221">
        <f>$C221*AU220</f>
        <v/>
      </c>
      <c r="AV221">
        <f>$C221*AV220</f>
        <v/>
      </c>
      <c r="AW221">
        <f>$C221*AW220</f>
        <v/>
      </c>
      <c r="AX221">
        <f>$C221*AX220</f>
        <v/>
      </c>
      <c r="AY221">
        <f>$C221*AY220</f>
        <v/>
      </c>
      <c r="AZ221">
        <f>$C221*AZ220</f>
        <v/>
      </c>
      <c r="BA221">
        <f>$C221*BA220</f>
        <v/>
      </c>
      <c r="BB221">
        <f>$C221*BB220</f>
        <v/>
      </c>
      <c r="BC221">
        <f>$C221*BC220</f>
        <v/>
      </c>
      <c r="BD221">
        <f>$C221*BD220</f>
        <v/>
      </c>
      <c r="BE221">
        <f>$C221*BE220</f>
        <v/>
      </c>
      <c r="BF221">
        <f>$C221*BF220</f>
        <v/>
      </c>
      <c r="BG221">
        <f>$C221*BG220</f>
        <v/>
      </c>
      <c r="BH221">
        <f>$C221*BH220</f>
        <v/>
      </c>
      <c r="BI221">
        <f>$C221*BI220</f>
        <v/>
      </c>
      <c r="BJ221">
        <f>$C221*BJ220</f>
        <v/>
      </c>
      <c r="BK221">
        <f>$C221*BK220</f>
        <v/>
      </c>
      <c r="BL221">
        <f>$C221*BL220</f>
        <v/>
      </c>
      <c r="BM221">
        <f>$C221*BM220</f>
        <v/>
      </c>
      <c r="BN221">
        <f>$C221*BN220</f>
        <v/>
      </c>
      <c r="BO221">
        <f>$C221*BO220</f>
        <v/>
      </c>
      <c r="BP221">
        <f>$C221*BP220</f>
        <v/>
      </c>
      <c r="BQ221">
        <f>$C221*BQ220</f>
        <v/>
      </c>
      <c r="BR221">
        <f>$C221*BR220</f>
        <v/>
      </c>
      <c r="BS221">
        <f>$C221*BS220</f>
        <v/>
      </c>
      <c r="BT221">
        <f>$C221*BT220</f>
        <v/>
      </c>
      <c r="BU221">
        <f>$C221*BU220</f>
        <v/>
      </c>
      <c r="BV221">
        <f>$C221*BV220</f>
        <v/>
      </c>
      <c r="BW221">
        <f>$C221*BW220</f>
        <v/>
      </c>
      <c r="BX221">
        <f>$C221*BX220</f>
        <v/>
      </c>
      <c r="BY221">
        <f>$C221*BY220</f>
        <v/>
      </c>
      <c r="BZ221">
        <f>$C221*BZ220</f>
        <v/>
      </c>
      <c r="CA221">
        <f>$C221*CA220</f>
        <v/>
      </c>
      <c r="CB221">
        <f>$C221*CB220</f>
        <v/>
      </c>
      <c r="CC221">
        <f>$C221*CC220</f>
        <v/>
      </c>
      <c r="CD221">
        <f>$C221*CD220</f>
        <v/>
      </c>
      <c r="CE221">
        <f>$C221*CE220</f>
        <v/>
      </c>
      <c r="CF221">
        <f>$C221*CF220</f>
        <v/>
      </c>
      <c r="CG221">
        <f>$C221*CG220</f>
        <v/>
      </c>
      <c r="CH221">
        <f>$C221*CH220</f>
        <v/>
      </c>
      <c r="CI221">
        <f>$C221*CI220</f>
        <v/>
      </c>
      <c r="CJ221">
        <f>$C221*CJ220</f>
        <v/>
      </c>
      <c r="CK221">
        <f>$C221*CK220</f>
        <v/>
      </c>
      <c r="CL221">
        <f>$C221*CL220</f>
        <v/>
      </c>
      <c r="CM221">
        <f>$C221*CM220</f>
        <v/>
      </c>
      <c r="CN221">
        <f>$C221*CN220</f>
        <v/>
      </c>
      <c r="CO221">
        <f>$C221*CO220</f>
        <v/>
      </c>
      <c r="CP221">
        <f>$C221*CP220</f>
        <v/>
      </c>
      <c r="CQ221">
        <f>$C221*CQ220</f>
        <v/>
      </c>
      <c r="CR221">
        <f>$C221*CR220</f>
        <v/>
      </c>
      <c r="CS221">
        <f>$C221*CS220</f>
        <v/>
      </c>
      <c r="CT221">
        <f>$C221*CT220</f>
        <v/>
      </c>
      <c r="CU221">
        <f>$C221*CU220</f>
        <v/>
      </c>
      <c r="CV221">
        <f>$C221*CV220</f>
        <v/>
      </c>
      <c r="CW221">
        <f>$C221*CW220</f>
        <v/>
      </c>
      <c r="CX221">
        <f>$C221*CX220</f>
        <v/>
      </c>
      <c r="CY221">
        <f>$C221*CY220</f>
        <v/>
      </c>
      <c r="CZ221">
        <f>$C221*CZ220</f>
        <v/>
      </c>
      <c r="DA221">
        <f>$C221*DA220</f>
        <v/>
      </c>
      <c r="DB221">
        <f>$C221*DB220</f>
        <v/>
      </c>
      <c r="DC221">
        <f>$C221*DC220</f>
        <v/>
      </c>
      <c r="DD221">
        <f>$C221*DD220</f>
        <v/>
      </c>
    </row>
    <row r="222">
      <c r="B222" t="inlineStr">
        <is>
          <t>TSP-405</t>
        </is>
      </c>
      <c r="C222" t="inlineStr">
        <is>
          <t>No. of batches</t>
        </is>
      </c>
      <c r="D222">
        <f>IFERROR(INDEX(E222:DD222,$F$1),"")</f>
        <v/>
      </c>
      <c r="E222">
        <f>IFERROR(INDEX(PP_Grid[#Data],$DE222,2),0)</f>
        <v/>
      </c>
      <c r="F222">
        <f>IFERROR(INDEX(PP_Grid[#Data],$DE222,3),0)</f>
        <v/>
      </c>
      <c r="G222">
        <f>IFERROR(INDEX(PP_Grid[#Data],$DE222,4),0)</f>
        <v/>
      </c>
      <c r="H222">
        <f>IFERROR(INDEX(PP_Grid[#Data],$DE222,5),0)</f>
        <v/>
      </c>
      <c r="I222">
        <f>IFERROR(INDEX(PP_Grid[#Data],$DE222,6),0)</f>
        <v/>
      </c>
      <c r="J222">
        <f>IFERROR(INDEX(PP_Grid[#Data],$DE222,7),0)</f>
        <v/>
      </c>
      <c r="K222">
        <f>IFERROR(INDEX(PP_Grid[#Data],$DE222,8),0)</f>
        <v/>
      </c>
      <c r="L222">
        <f>IFERROR(INDEX(PP_Grid[#Data],$DE222,9),0)</f>
        <v/>
      </c>
      <c r="M222">
        <f>IFERROR(INDEX(PP_Grid[#Data],$DE222,10),0)</f>
        <v/>
      </c>
      <c r="N222">
        <f>IFERROR(INDEX(PP_Grid[#Data],$DE222,11),0)</f>
        <v/>
      </c>
      <c r="O222">
        <f>IFERROR(INDEX(PP_Grid[#Data],$DE222,12),0)</f>
        <v/>
      </c>
      <c r="P222">
        <f>IFERROR(INDEX(PP_Grid[#Data],$DE222,13),0)</f>
        <v/>
      </c>
      <c r="Q222">
        <f>IFERROR(INDEX(PP_Grid[#Data],$DE222,14),0)</f>
        <v/>
      </c>
      <c r="R222">
        <f>IFERROR(INDEX(PP_Grid[#Data],$DE222,15),0)</f>
        <v/>
      </c>
      <c r="S222">
        <f>IFERROR(INDEX(PP_Grid[#Data],$DE222,16),0)</f>
        <v/>
      </c>
      <c r="T222">
        <f>IFERROR(INDEX(PP_Grid[#Data],$DE222,17),0)</f>
        <v/>
      </c>
      <c r="U222">
        <f>IFERROR(INDEX(PP_Grid[#Data],$DE222,18),0)</f>
        <v/>
      </c>
      <c r="V222">
        <f>IFERROR(INDEX(PP_Grid[#Data],$DE222,19),0)</f>
        <v/>
      </c>
      <c r="W222">
        <f>IFERROR(INDEX(PP_Grid[#Data],$DE222,20),0)</f>
        <v/>
      </c>
      <c r="X222">
        <f>IFERROR(INDEX(PP_Grid[#Data],$DE222,21),0)</f>
        <v/>
      </c>
      <c r="Y222">
        <f>IFERROR(INDEX(PP_Grid[#Data],$DE222,22),0)</f>
        <v/>
      </c>
      <c r="Z222">
        <f>IFERROR(INDEX(PP_Grid[#Data],$DE222,23),0)</f>
        <v/>
      </c>
      <c r="AA222">
        <f>IFERROR(INDEX(PP_Grid[#Data],$DE222,24),0)</f>
        <v/>
      </c>
      <c r="AB222">
        <f>IFERROR(INDEX(PP_Grid[#Data],$DE222,25),0)</f>
        <v/>
      </c>
      <c r="AC222">
        <f>IFERROR(INDEX(PP_Grid[#Data],$DE222,26),0)</f>
        <v/>
      </c>
      <c r="AD222">
        <f>IFERROR(INDEX(PP_Grid[#Data],$DE222,27),0)</f>
        <v/>
      </c>
      <c r="AE222">
        <f>IFERROR(INDEX(PP_Grid[#Data],$DE222,28),0)</f>
        <v/>
      </c>
      <c r="AF222">
        <f>IFERROR(INDEX(PP_Grid[#Data],$DE222,29),0)</f>
        <v/>
      </c>
      <c r="AG222">
        <f>IFERROR(INDEX(PP_Grid[#Data],$DE222,30),0)</f>
        <v/>
      </c>
      <c r="AH222">
        <f>IFERROR(INDEX(PP_Grid[#Data],$DE222,31),0)</f>
        <v/>
      </c>
      <c r="AI222">
        <f>IFERROR(INDEX(PP_Grid[#Data],$DE222,32),0)</f>
        <v/>
      </c>
      <c r="AJ222">
        <f>IFERROR(INDEX(PP_Grid[#Data],$DE222,33),0)</f>
        <v/>
      </c>
      <c r="AK222">
        <f>IFERROR(INDEX(PP_Grid[#Data],$DE222,34),0)</f>
        <v/>
      </c>
      <c r="AL222">
        <f>IFERROR(INDEX(PP_Grid[#Data],$DE222,35),0)</f>
        <v/>
      </c>
      <c r="AM222">
        <f>IFERROR(INDEX(PP_Grid[#Data],$DE222,36),0)</f>
        <v/>
      </c>
      <c r="AN222">
        <f>IFERROR(INDEX(PP_Grid[#Data],$DE222,37),0)</f>
        <v/>
      </c>
      <c r="AO222">
        <f>IFERROR(INDEX(PP_Grid[#Data],$DE222,38),0)</f>
        <v/>
      </c>
      <c r="AP222">
        <f>IFERROR(INDEX(PP_Grid[#Data],$DE222,39),0)</f>
        <v/>
      </c>
      <c r="AQ222">
        <f>IFERROR(INDEX(PP_Grid[#Data],$DE222,40),0)</f>
        <v/>
      </c>
      <c r="AR222">
        <f>IFERROR(INDEX(PP_Grid[#Data],$DE222,41),0)</f>
        <v/>
      </c>
      <c r="AS222">
        <f>IFERROR(INDEX(PP_Grid[#Data],$DE222,42),0)</f>
        <v/>
      </c>
      <c r="AT222">
        <f>IFERROR(INDEX(PP_Grid[#Data],$DE222,43),0)</f>
        <v/>
      </c>
      <c r="AU222">
        <f>IFERROR(INDEX(PP_Grid[#Data],$DE222,44),0)</f>
        <v/>
      </c>
      <c r="AV222">
        <f>IFERROR(INDEX(PP_Grid[#Data],$DE222,45),0)</f>
        <v/>
      </c>
      <c r="AW222">
        <f>IFERROR(INDEX(PP_Grid[#Data],$DE222,46),0)</f>
        <v/>
      </c>
      <c r="AX222">
        <f>IFERROR(INDEX(PP_Grid[#Data],$DE222,47),0)</f>
        <v/>
      </c>
      <c r="AY222">
        <f>IFERROR(INDEX(PP_Grid[#Data],$DE222,48),0)</f>
        <v/>
      </c>
      <c r="AZ222">
        <f>IFERROR(INDEX(PP_Grid[#Data],$DE222,49),0)</f>
        <v/>
      </c>
      <c r="BA222">
        <f>IFERROR(INDEX(PP_Grid[#Data],$DE222,50),0)</f>
        <v/>
      </c>
      <c r="BB222">
        <f>IFERROR(INDEX(PP_Grid[#Data],$DE222,51),0)</f>
        <v/>
      </c>
      <c r="BC222">
        <f>IFERROR(INDEX(PP_Grid[#Data],$DE222,52),0)</f>
        <v/>
      </c>
      <c r="BD222">
        <f>IFERROR(INDEX(PP_Grid[#Data],$DE222,53),0)</f>
        <v/>
      </c>
      <c r="BE222">
        <f>IFERROR(INDEX(PP_Grid[#Data],$DE222,54),0)</f>
        <v/>
      </c>
      <c r="BF222">
        <f>IFERROR(INDEX(PP_Grid[#Data],$DE222,55),0)</f>
        <v/>
      </c>
      <c r="BG222">
        <f>IFERROR(INDEX(PP_Grid[#Data],$DE222,56),0)</f>
        <v/>
      </c>
      <c r="BH222">
        <f>IFERROR(INDEX(PP_Grid[#Data],$DE222,57),0)</f>
        <v/>
      </c>
      <c r="BI222">
        <f>IFERROR(INDEX(PP_Grid[#Data],$DE222,58),0)</f>
        <v/>
      </c>
      <c r="BJ222">
        <f>IFERROR(INDEX(PP_Grid[#Data],$DE222,59),0)</f>
        <v/>
      </c>
      <c r="BK222">
        <f>IFERROR(INDEX(PP_Grid[#Data],$DE222,60),0)</f>
        <v/>
      </c>
      <c r="BL222">
        <f>IFERROR(INDEX(PP_Grid[#Data],$DE222,61),0)</f>
        <v/>
      </c>
      <c r="BM222">
        <f>IFERROR(INDEX(PP_Grid[#Data],$DE222,62),0)</f>
        <v/>
      </c>
      <c r="BN222">
        <f>IFERROR(INDEX(PP_Grid[#Data],$DE222,63),0)</f>
        <v/>
      </c>
      <c r="BO222">
        <f>IFERROR(INDEX(PP_Grid[#Data],$DE222,64),0)</f>
        <v/>
      </c>
      <c r="BP222">
        <f>IFERROR(INDEX(PP_Grid[#Data],$DE222,65),0)</f>
        <v/>
      </c>
      <c r="BQ222">
        <f>IFERROR(INDEX(PP_Grid[#Data],$DE222,66),0)</f>
        <v/>
      </c>
      <c r="BR222">
        <f>IFERROR(INDEX(PP_Grid[#Data],$DE222,67),0)</f>
        <v/>
      </c>
      <c r="BS222">
        <f>IFERROR(INDEX(PP_Grid[#Data],$DE222,68),0)</f>
        <v/>
      </c>
      <c r="BT222">
        <f>IFERROR(INDEX(PP_Grid[#Data],$DE222,69),0)</f>
        <v/>
      </c>
      <c r="BU222">
        <f>IFERROR(INDEX(PP_Grid[#Data],$DE222,70),0)</f>
        <v/>
      </c>
      <c r="BV222">
        <f>IFERROR(INDEX(PP_Grid[#Data],$DE222,71),0)</f>
        <v/>
      </c>
      <c r="BW222">
        <f>IFERROR(INDEX(PP_Grid[#Data],$DE222,72),0)</f>
        <v/>
      </c>
      <c r="BX222">
        <f>IFERROR(INDEX(PP_Grid[#Data],$DE222,73),0)</f>
        <v/>
      </c>
      <c r="BY222">
        <f>IFERROR(INDEX(PP_Grid[#Data],$DE222,74),0)</f>
        <v/>
      </c>
      <c r="BZ222">
        <f>IFERROR(INDEX(PP_Grid[#Data],$DE222,75),0)</f>
        <v/>
      </c>
      <c r="CA222">
        <f>IFERROR(INDEX(PP_Grid[#Data],$DE222,76),0)</f>
        <v/>
      </c>
      <c r="CB222">
        <f>IFERROR(INDEX(PP_Grid[#Data],$DE222,77),0)</f>
        <v/>
      </c>
      <c r="CC222">
        <f>IFERROR(INDEX(PP_Grid[#Data],$DE222,78),0)</f>
        <v/>
      </c>
      <c r="CD222">
        <f>IFERROR(INDEX(PP_Grid[#Data],$DE222,79),0)</f>
        <v/>
      </c>
      <c r="CE222">
        <f>IFERROR(INDEX(PP_Grid[#Data],$DE222,80),0)</f>
        <v/>
      </c>
      <c r="CF222">
        <f>IFERROR(INDEX(PP_Grid[#Data],$DE222,81),0)</f>
        <v/>
      </c>
      <c r="CG222">
        <f>IFERROR(INDEX(PP_Grid[#Data],$DE222,82),0)</f>
        <v/>
      </c>
      <c r="CH222">
        <f>IFERROR(INDEX(PP_Grid[#Data],$DE222,83),0)</f>
        <v/>
      </c>
      <c r="CI222">
        <f>IFERROR(INDEX(PP_Grid[#Data],$DE222,84),0)</f>
        <v/>
      </c>
      <c r="CJ222">
        <f>IFERROR(INDEX(PP_Grid[#Data],$DE222,85),0)</f>
        <v/>
      </c>
      <c r="CK222">
        <f>IFERROR(INDEX(PP_Grid[#Data],$DE222,86),0)</f>
        <v/>
      </c>
      <c r="CL222">
        <f>IFERROR(INDEX(PP_Grid[#Data],$DE222,87),0)</f>
        <v/>
      </c>
      <c r="CM222">
        <f>IFERROR(INDEX(PP_Grid[#Data],$DE222,88),0)</f>
        <v/>
      </c>
      <c r="CN222">
        <f>IFERROR(INDEX(PP_Grid[#Data],$DE222,89),0)</f>
        <v/>
      </c>
      <c r="CO222">
        <f>IFERROR(INDEX(PP_Grid[#Data],$DE222,90),0)</f>
        <v/>
      </c>
      <c r="CP222">
        <f>IFERROR(INDEX(PP_Grid[#Data],$DE222,91),0)</f>
        <v/>
      </c>
      <c r="CQ222">
        <f>IFERROR(INDEX(PP_Grid[#Data],$DE222,92),0)</f>
        <v/>
      </c>
      <c r="CR222">
        <f>IFERROR(INDEX(PP_Grid[#Data],$DE222,93),0)</f>
        <v/>
      </c>
      <c r="CS222">
        <f>IFERROR(INDEX(PP_Grid[#Data],$DE222,94),0)</f>
        <v/>
      </c>
      <c r="CT222">
        <f>IFERROR(INDEX(PP_Grid[#Data],$DE222,95),0)</f>
        <v/>
      </c>
      <c r="CU222">
        <f>IFERROR(INDEX(PP_Grid[#Data],$DE222,96),0)</f>
        <v/>
      </c>
      <c r="CV222">
        <f>IFERROR(INDEX(PP_Grid[#Data],$DE222,97),0)</f>
        <v/>
      </c>
      <c r="CW222">
        <f>IFERROR(INDEX(PP_Grid[#Data],$DE222,98),0)</f>
        <v/>
      </c>
      <c r="CX222">
        <f>IFERROR(INDEX(PP_Grid[#Data],$DE222,99),0)</f>
        <v/>
      </c>
      <c r="CY222">
        <f>IFERROR(INDEX(PP_Grid[#Data],$DE222,100),0)</f>
        <v/>
      </c>
      <c r="CZ222">
        <f>IFERROR(INDEX(PP_Grid[#Data],$DE222,101),0)</f>
        <v/>
      </c>
      <c r="DA222">
        <f>IFERROR(INDEX(PP_Grid[#Data],$DE222,102),0)</f>
        <v/>
      </c>
      <c r="DB222">
        <f>IFERROR(INDEX(PP_Grid[#Data],$DE222,103),0)</f>
        <v/>
      </c>
      <c r="DC222">
        <f>IFERROR(INDEX(PP_Grid[#Data],$DE222,104),0)</f>
        <v/>
      </c>
      <c r="DD222">
        <f>IFERROR(INDEX(PP_Grid[#Data],$DE222,105),0)</f>
        <v/>
      </c>
      <c r="DE222" s="7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SUMIFS(M_BOM[RM_Qty_Per_Batch],M_BOM[Intermediate],$B222,M_BOM[RM_Code],$A187)</f>
        <v/>
      </c>
      <c r="D223">
        <f>IFERROR(INDEX(E223:DD223,$F$1),"")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  <c r="DD223">
        <f>$C223*DD222</f>
        <v/>
      </c>
    </row>
    <row r="224">
      <c r="B224" t="inlineStr">
        <is>
          <t>TSP-544</t>
        </is>
      </c>
      <c r="C224" t="inlineStr">
        <is>
          <t>No. of batches</t>
        </is>
      </c>
      <c r="D224">
        <f>IFERROR(INDEX(E224:DD224,$F$1),"")</f>
        <v/>
      </c>
      <c r="E224">
        <f>IFERROR(INDEX(PP_Grid[#Data],$DE224,2),0)</f>
        <v/>
      </c>
      <c r="F224">
        <f>IFERROR(INDEX(PP_Grid[#Data],$DE224,3),0)</f>
        <v/>
      </c>
      <c r="G224">
        <f>IFERROR(INDEX(PP_Grid[#Data],$DE224,4),0)</f>
        <v/>
      </c>
      <c r="H224">
        <f>IFERROR(INDEX(PP_Grid[#Data],$DE224,5),0)</f>
        <v/>
      </c>
      <c r="I224">
        <f>IFERROR(INDEX(PP_Grid[#Data],$DE224,6),0)</f>
        <v/>
      </c>
      <c r="J224">
        <f>IFERROR(INDEX(PP_Grid[#Data],$DE224,7),0)</f>
        <v/>
      </c>
      <c r="K224">
        <f>IFERROR(INDEX(PP_Grid[#Data],$DE224,8),0)</f>
        <v/>
      </c>
      <c r="L224">
        <f>IFERROR(INDEX(PP_Grid[#Data],$DE224,9),0)</f>
        <v/>
      </c>
      <c r="M224">
        <f>IFERROR(INDEX(PP_Grid[#Data],$DE224,10),0)</f>
        <v/>
      </c>
      <c r="N224">
        <f>IFERROR(INDEX(PP_Grid[#Data],$DE224,11),0)</f>
        <v/>
      </c>
      <c r="O224">
        <f>IFERROR(INDEX(PP_Grid[#Data],$DE224,12),0)</f>
        <v/>
      </c>
      <c r="P224">
        <f>IFERROR(INDEX(PP_Grid[#Data],$DE224,13),0)</f>
        <v/>
      </c>
      <c r="Q224">
        <f>IFERROR(INDEX(PP_Grid[#Data],$DE224,14),0)</f>
        <v/>
      </c>
      <c r="R224">
        <f>IFERROR(INDEX(PP_Grid[#Data],$DE224,15),0)</f>
        <v/>
      </c>
      <c r="S224">
        <f>IFERROR(INDEX(PP_Grid[#Data],$DE224,16),0)</f>
        <v/>
      </c>
      <c r="T224">
        <f>IFERROR(INDEX(PP_Grid[#Data],$DE224,17),0)</f>
        <v/>
      </c>
      <c r="U224">
        <f>IFERROR(INDEX(PP_Grid[#Data],$DE224,18),0)</f>
        <v/>
      </c>
      <c r="V224">
        <f>IFERROR(INDEX(PP_Grid[#Data],$DE224,19),0)</f>
        <v/>
      </c>
      <c r="W224">
        <f>IFERROR(INDEX(PP_Grid[#Data],$DE224,20),0)</f>
        <v/>
      </c>
      <c r="X224">
        <f>IFERROR(INDEX(PP_Grid[#Data],$DE224,21),0)</f>
        <v/>
      </c>
      <c r="Y224">
        <f>IFERROR(INDEX(PP_Grid[#Data],$DE224,22),0)</f>
        <v/>
      </c>
      <c r="Z224">
        <f>IFERROR(INDEX(PP_Grid[#Data],$DE224,23),0)</f>
        <v/>
      </c>
      <c r="AA224">
        <f>IFERROR(INDEX(PP_Grid[#Data],$DE224,24),0)</f>
        <v/>
      </c>
      <c r="AB224">
        <f>IFERROR(INDEX(PP_Grid[#Data],$DE224,25),0)</f>
        <v/>
      </c>
      <c r="AC224">
        <f>IFERROR(INDEX(PP_Grid[#Data],$DE224,26),0)</f>
        <v/>
      </c>
      <c r="AD224">
        <f>IFERROR(INDEX(PP_Grid[#Data],$DE224,27),0)</f>
        <v/>
      </c>
      <c r="AE224">
        <f>IFERROR(INDEX(PP_Grid[#Data],$DE224,28),0)</f>
        <v/>
      </c>
      <c r="AF224">
        <f>IFERROR(INDEX(PP_Grid[#Data],$DE224,29),0)</f>
        <v/>
      </c>
      <c r="AG224">
        <f>IFERROR(INDEX(PP_Grid[#Data],$DE224,30),0)</f>
        <v/>
      </c>
      <c r="AH224">
        <f>IFERROR(INDEX(PP_Grid[#Data],$DE224,31),0)</f>
        <v/>
      </c>
      <c r="AI224">
        <f>IFERROR(INDEX(PP_Grid[#Data],$DE224,32),0)</f>
        <v/>
      </c>
      <c r="AJ224">
        <f>IFERROR(INDEX(PP_Grid[#Data],$DE224,33),0)</f>
        <v/>
      </c>
      <c r="AK224">
        <f>IFERROR(INDEX(PP_Grid[#Data],$DE224,34),0)</f>
        <v/>
      </c>
      <c r="AL224">
        <f>IFERROR(INDEX(PP_Grid[#Data],$DE224,35),0)</f>
        <v/>
      </c>
      <c r="AM224">
        <f>IFERROR(INDEX(PP_Grid[#Data],$DE224,36),0)</f>
        <v/>
      </c>
      <c r="AN224">
        <f>IFERROR(INDEX(PP_Grid[#Data],$DE224,37),0)</f>
        <v/>
      </c>
      <c r="AO224">
        <f>IFERROR(INDEX(PP_Grid[#Data],$DE224,38),0)</f>
        <v/>
      </c>
      <c r="AP224">
        <f>IFERROR(INDEX(PP_Grid[#Data],$DE224,39),0)</f>
        <v/>
      </c>
      <c r="AQ224">
        <f>IFERROR(INDEX(PP_Grid[#Data],$DE224,40),0)</f>
        <v/>
      </c>
      <c r="AR224">
        <f>IFERROR(INDEX(PP_Grid[#Data],$DE224,41),0)</f>
        <v/>
      </c>
      <c r="AS224">
        <f>IFERROR(INDEX(PP_Grid[#Data],$DE224,42),0)</f>
        <v/>
      </c>
      <c r="AT224">
        <f>IFERROR(INDEX(PP_Grid[#Data],$DE224,43),0)</f>
        <v/>
      </c>
      <c r="AU224">
        <f>IFERROR(INDEX(PP_Grid[#Data],$DE224,44),0)</f>
        <v/>
      </c>
      <c r="AV224">
        <f>IFERROR(INDEX(PP_Grid[#Data],$DE224,45),0)</f>
        <v/>
      </c>
      <c r="AW224">
        <f>IFERROR(INDEX(PP_Grid[#Data],$DE224,46),0)</f>
        <v/>
      </c>
      <c r="AX224">
        <f>IFERROR(INDEX(PP_Grid[#Data],$DE224,47),0)</f>
        <v/>
      </c>
      <c r="AY224">
        <f>IFERROR(INDEX(PP_Grid[#Data],$DE224,48),0)</f>
        <v/>
      </c>
      <c r="AZ224">
        <f>IFERROR(INDEX(PP_Grid[#Data],$DE224,49),0)</f>
        <v/>
      </c>
      <c r="BA224">
        <f>IFERROR(INDEX(PP_Grid[#Data],$DE224,50),0)</f>
        <v/>
      </c>
      <c r="BB224">
        <f>IFERROR(INDEX(PP_Grid[#Data],$DE224,51),0)</f>
        <v/>
      </c>
      <c r="BC224">
        <f>IFERROR(INDEX(PP_Grid[#Data],$DE224,52),0)</f>
        <v/>
      </c>
      <c r="BD224">
        <f>IFERROR(INDEX(PP_Grid[#Data],$DE224,53),0)</f>
        <v/>
      </c>
      <c r="BE224">
        <f>IFERROR(INDEX(PP_Grid[#Data],$DE224,54),0)</f>
        <v/>
      </c>
      <c r="BF224">
        <f>IFERROR(INDEX(PP_Grid[#Data],$DE224,55),0)</f>
        <v/>
      </c>
      <c r="BG224">
        <f>IFERROR(INDEX(PP_Grid[#Data],$DE224,56),0)</f>
        <v/>
      </c>
      <c r="BH224">
        <f>IFERROR(INDEX(PP_Grid[#Data],$DE224,57),0)</f>
        <v/>
      </c>
      <c r="BI224">
        <f>IFERROR(INDEX(PP_Grid[#Data],$DE224,58),0)</f>
        <v/>
      </c>
      <c r="BJ224">
        <f>IFERROR(INDEX(PP_Grid[#Data],$DE224,59),0)</f>
        <v/>
      </c>
      <c r="BK224">
        <f>IFERROR(INDEX(PP_Grid[#Data],$DE224,60),0)</f>
        <v/>
      </c>
      <c r="BL224">
        <f>IFERROR(INDEX(PP_Grid[#Data],$DE224,61),0)</f>
        <v/>
      </c>
      <c r="BM224">
        <f>IFERROR(INDEX(PP_Grid[#Data],$DE224,62),0)</f>
        <v/>
      </c>
      <c r="BN224">
        <f>IFERROR(INDEX(PP_Grid[#Data],$DE224,63),0)</f>
        <v/>
      </c>
      <c r="BO224">
        <f>IFERROR(INDEX(PP_Grid[#Data],$DE224,64),0)</f>
        <v/>
      </c>
      <c r="BP224">
        <f>IFERROR(INDEX(PP_Grid[#Data],$DE224,65),0)</f>
        <v/>
      </c>
      <c r="BQ224">
        <f>IFERROR(INDEX(PP_Grid[#Data],$DE224,66),0)</f>
        <v/>
      </c>
      <c r="BR224">
        <f>IFERROR(INDEX(PP_Grid[#Data],$DE224,67),0)</f>
        <v/>
      </c>
      <c r="BS224">
        <f>IFERROR(INDEX(PP_Grid[#Data],$DE224,68),0)</f>
        <v/>
      </c>
      <c r="BT224">
        <f>IFERROR(INDEX(PP_Grid[#Data],$DE224,69),0)</f>
        <v/>
      </c>
      <c r="BU224">
        <f>IFERROR(INDEX(PP_Grid[#Data],$DE224,70),0)</f>
        <v/>
      </c>
      <c r="BV224">
        <f>IFERROR(INDEX(PP_Grid[#Data],$DE224,71),0)</f>
        <v/>
      </c>
      <c r="BW224">
        <f>IFERROR(INDEX(PP_Grid[#Data],$DE224,72),0)</f>
        <v/>
      </c>
      <c r="BX224">
        <f>IFERROR(INDEX(PP_Grid[#Data],$DE224,73),0)</f>
        <v/>
      </c>
      <c r="BY224">
        <f>IFERROR(INDEX(PP_Grid[#Data],$DE224,74),0)</f>
        <v/>
      </c>
      <c r="BZ224">
        <f>IFERROR(INDEX(PP_Grid[#Data],$DE224,75),0)</f>
        <v/>
      </c>
      <c r="CA224">
        <f>IFERROR(INDEX(PP_Grid[#Data],$DE224,76),0)</f>
        <v/>
      </c>
      <c r="CB224">
        <f>IFERROR(INDEX(PP_Grid[#Data],$DE224,77),0)</f>
        <v/>
      </c>
      <c r="CC224">
        <f>IFERROR(INDEX(PP_Grid[#Data],$DE224,78),0)</f>
        <v/>
      </c>
      <c r="CD224">
        <f>IFERROR(INDEX(PP_Grid[#Data],$DE224,79),0)</f>
        <v/>
      </c>
      <c r="CE224">
        <f>IFERROR(INDEX(PP_Grid[#Data],$DE224,80),0)</f>
        <v/>
      </c>
      <c r="CF224">
        <f>IFERROR(INDEX(PP_Grid[#Data],$DE224,81),0)</f>
        <v/>
      </c>
      <c r="CG224">
        <f>IFERROR(INDEX(PP_Grid[#Data],$DE224,82),0)</f>
        <v/>
      </c>
      <c r="CH224">
        <f>IFERROR(INDEX(PP_Grid[#Data],$DE224,83),0)</f>
        <v/>
      </c>
      <c r="CI224">
        <f>IFERROR(INDEX(PP_Grid[#Data],$DE224,84),0)</f>
        <v/>
      </c>
      <c r="CJ224">
        <f>IFERROR(INDEX(PP_Grid[#Data],$DE224,85),0)</f>
        <v/>
      </c>
      <c r="CK224">
        <f>IFERROR(INDEX(PP_Grid[#Data],$DE224,86),0)</f>
        <v/>
      </c>
      <c r="CL224">
        <f>IFERROR(INDEX(PP_Grid[#Data],$DE224,87),0)</f>
        <v/>
      </c>
      <c r="CM224">
        <f>IFERROR(INDEX(PP_Grid[#Data],$DE224,88),0)</f>
        <v/>
      </c>
      <c r="CN224">
        <f>IFERROR(INDEX(PP_Grid[#Data],$DE224,89),0)</f>
        <v/>
      </c>
      <c r="CO224">
        <f>IFERROR(INDEX(PP_Grid[#Data],$DE224,90),0)</f>
        <v/>
      </c>
      <c r="CP224">
        <f>IFERROR(INDEX(PP_Grid[#Data],$DE224,91),0)</f>
        <v/>
      </c>
      <c r="CQ224">
        <f>IFERROR(INDEX(PP_Grid[#Data],$DE224,92),0)</f>
        <v/>
      </c>
      <c r="CR224">
        <f>IFERROR(INDEX(PP_Grid[#Data],$DE224,93),0)</f>
        <v/>
      </c>
      <c r="CS224">
        <f>IFERROR(INDEX(PP_Grid[#Data],$DE224,94),0)</f>
        <v/>
      </c>
      <c r="CT224">
        <f>IFERROR(INDEX(PP_Grid[#Data],$DE224,95),0)</f>
        <v/>
      </c>
      <c r="CU224">
        <f>IFERROR(INDEX(PP_Grid[#Data],$DE224,96),0)</f>
        <v/>
      </c>
      <c r="CV224">
        <f>IFERROR(INDEX(PP_Grid[#Data],$DE224,97),0)</f>
        <v/>
      </c>
      <c r="CW224">
        <f>IFERROR(INDEX(PP_Grid[#Data],$DE224,98),0)</f>
        <v/>
      </c>
      <c r="CX224">
        <f>IFERROR(INDEX(PP_Grid[#Data],$DE224,99),0)</f>
        <v/>
      </c>
      <c r="CY224">
        <f>IFERROR(INDEX(PP_Grid[#Data],$DE224,100),0)</f>
        <v/>
      </c>
      <c r="CZ224">
        <f>IFERROR(INDEX(PP_Grid[#Data],$DE224,101),0)</f>
        <v/>
      </c>
      <c r="DA224">
        <f>IFERROR(INDEX(PP_Grid[#Data],$DE224,102),0)</f>
        <v/>
      </c>
      <c r="DB224">
        <f>IFERROR(INDEX(PP_Grid[#Data],$DE224,103),0)</f>
        <v/>
      </c>
      <c r="DC224">
        <f>IFERROR(INDEX(PP_Grid[#Data],$DE224,104),0)</f>
        <v/>
      </c>
      <c r="DD224">
        <f>IFERROR(INDEX(PP_Grid[#Data],$DE224,105),0)</f>
        <v/>
      </c>
      <c r="DE224" s="7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SUMIFS(M_BOM[RM_Qty_Per_Batch],M_BOM[Intermediate],$B224,M_BOM[RM_Code],$A187)</f>
        <v/>
      </c>
      <c r="D225">
        <f>IFERROR(INDEX(E225:DD225,$F$1),"")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  <c r="DD225">
        <f>$C225*DD224</f>
        <v/>
      </c>
    </row>
    <row r="226">
      <c r="B226" t="inlineStr">
        <is>
          <t>TSP-558</t>
        </is>
      </c>
      <c r="C226" t="inlineStr">
        <is>
          <t>No. of batches</t>
        </is>
      </c>
      <c r="D226">
        <f>IFERROR(INDEX(E226:DD226,$F$1),"")</f>
        <v/>
      </c>
      <c r="E226">
        <f>IFERROR(INDEX(PP_Grid[#Data],$DE226,2),0)</f>
        <v/>
      </c>
      <c r="F226">
        <f>IFERROR(INDEX(PP_Grid[#Data],$DE226,3),0)</f>
        <v/>
      </c>
      <c r="G226">
        <f>IFERROR(INDEX(PP_Grid[#Data],$DE226,4),0)</f>
        <v/>
      </c>
      <c r="H226">
        <f>IFERROR(INDEX(PP_Grid[#Data],$DE226,5),0)</f>
        <v/>
      </c>
      <c r="I226">
        <f>IFERROR(INDEX(PP_Grid[#Data],$DE226,6),0)</f>
        <v/>
      </c>
      <c r="J226">
        <f>IFERROR(INDEX(PP_Grid[#Data],$DE226,7),0)</f>
        <v/>
      </c>
      <c r="K226">
        <f>IFERROR(INDEX(PP_Grid[#Data],$DE226,8),0)</f>
        <v/>
      </c>
      <c r="L226">
        <f>IFERROR(INDEX(PP_Grid[#Data],$DE226,9),0)</f>
        <v/>
      </c>
      <c r="M226">
        <f>IFERROR(INDEX(PP_Grid[#Data],$DE226,10),0)</f>
        <v/>
      </c>
      <c r="N226">
        <f>IFERROR(INDEX(PP_Grid[#Data],$DE226,11),0)</f>
        <v/>
      </c>
      <c r="O226">
        <f>IFERROR(INDEX(PP_Grid[#Data],$DE226,12),0)</f>
        <v/>
      </c>
      <c r="P226">
        <f>IFERROR(INDEX(PP_Grid[#Data],$DE226,13),0)</f>
        <v/>
      </c>
      <c r="Q226">
        <f>IFERROR(INDEX(PP_Grid[#Data],$DE226,14),0)</f>
        <v/>
      </c>
      <c r="R226">
        <f>IFERROR(INDEX(PP_Grid[#Data],$DE226,15),0)</f>
        <v/>
      </c>
      <c r="S226">
        <f>IFERROR(INDEX(PP_Grid[#Data],$DE226,16),0)</f>
        <v/>
      </c>
      <c r="T226">
        <f>IFERROR(INDEX(PP_Grid[#Data],$DE226,17),0)</f>
        <v/>
      </c>
      <c r="U226">
        <f>IFERROR(INDEX(PP_Grid[#Data],$DE226,18),0)</f>
        <v/>
      </c>
      <c r="V226">
        <f>IFERROR(INDEX(PP_Grid[#Data],$DE226,19),0)</f>
        <v/>
      </c>
      <c r="W226">
        <f>IFERROR(INDEX(PP_Grid[#Data],$DE226,20),0)</f>
        <v/>
      </c>
      <c r="X226">
        <f>IFERROR(INDEX(PP_Grid[#Data],$DE226,21),0)</f>
        <v/>
      </c>
      <c r="Y226">
        <f>IFERROR(INDEX(PP_Grid[#Data],$DE226,22),0)</f>
        <v/>
      </c>
      <c r="Z226">
        <f>IFERROR(INDEX(PP_Grid[#Data],$DE226,23),0)</f>
        <v/>
      </c>
      <c r="AA226">
        <f>IFERROR(INDEX(PP_Grid[#Data],$DE226,24),0)</f>
        <v/>
      </c>
      <c r="AB226">
        <f>IFERROR(INDEX(PP_Grid[#Data],$DE226,25),0)</f>
        <v/>
      </c>
      <c r="AC226">
        <f>IFERROR(INDEX(PP_Grid[#Data],$DE226,26),0)</f>
        <v/>
      </c>
      <c r="AD226">
        <f>IFERROR(INDEX(PP_Grid[#Data],$DE226,27),0)</f>
        <v/>
      </c>
      <c r="AE226">
        <f>IFERROR(INDEX(PP_Grid[#Data],$DE226,28),0)</f>
        <v/>
      </c>
      <c r="AF226">
        <f>IFERROR(INDEX(PP_Grid[#Data],$DE226,29),0)</f>
        <v/>
      </c>
      <c r="AG226">
        <f>IFERROR(INDEX(PP_Grid[#Data],$DE226,30),0)</f>
        <v/>
      </c>
      <c r="AH226">
        <f>IFERROR(INDEX(PP_Grid[#Data],$DE226,31),0)</f>
        <v/>
      </c>
      <c r="AI226">
        <f>IFERROR(INDEX(PP_Grid[#Data],$DE226,32),0)</f>
        <v/>
      </c>
      <c r="AJ226">
        <f>IFERROR(INDEX(PP_Grid[#Data],$DE226,33),0)</f>
        <v/>
      </c>
      <c r="AK226">
        <f>IFERROR(INDEX(PP_Grid[#Data],$DE226,34),0)</f>
        <v/>
      </c>
      <c r="AL226">
        <f>IFERROR(INDEX(PP_Grid[#Data],$DE226,35),0)</f>
        <v/>
      </c>
      <c r="AM226">
        <f>IFERROR(INDEX(PP_Grid[#Data],$DE226,36),0)</f>
        <v/>
      </c>
      <c r="AN226">
        <f>IFERROR(INDEX(PP_Grid[#Data],$DE226,37),0)</f>
        <v/>
      </c>
      <c r="AO226">
        <f>IFERROR(INDEX(PP_Grid[#Data],$DE226,38),0)</f>
        <v/>
      </c>
      <c r="AP226">
        <f>IFERROR(INDEX(PP_Grid[#Data],$DE226,39),0)</f>
        <v/>
      </c>
      <c r="AQ226">
        <f>IFERROR(INDEX(PP_Grid[#Data],$DE226,40),0)</f>
        <v/>
      </c>
      <c r="AR226">
        <f>IFERROR(INDEX(PP_Grid[#Data],$DE226,41),0)</f>
        <v/>
      </c>
      <c r="AS226">
        <f>IFERROR(INDEX(PP_Grid[#Data],$DE226,42),0)</f>
        <v/>
      </c>
      <c r="AT226">
        <f>IFERROR(INDEX(PP_Grid[#Data],$DE226,43),0)</f>
        <v/>
      </c>
      <c r="AU226">
        <f>IFERROR(INDEX(PP_Grid[#Data],$DE226,44),0)</f>
        <v/>
      </c>
      <c r="AV226">
        <f>IFERROR(INDEX(PP_Grid[#Data],$DE226,45),0)</f>
        <v/>
      </c>
      <c r="AW226">
        <f>IFERROR(INDEX(PP_Grid[#Data],$DE226,46),0)</f>
        <v/>
      </c>
      <c r="AX226">
        <f>IFERROR(INDEX(PP_Grid[#Data],$DE226,47),0)</f>
        <v/>
      </c>
      <c r="AY226">
        <f>IFERROR(INDEX(PP_Grid[#Data],$DE226,48),0)</f>
        <v/>
      </c>
      <c r="AZ226">
        <f>IFERROR(INDEX(PP_Grid[#Data],$DE226,49),0)</f>
        <v/>
      </c>
      <c r="BA226">
        <f>IFERROR(INDEX(PP_Grid[#Data],$DE226,50),0)</f>
        <v/>
      </c>
      <c r="BB226">
        <f>IFERROR(INDEX(PP_Grid[#Data],$DE226,51),0)</f>
        <v/>
      </c>
      <c r="BC226">
        <f>IFERROR(INDEX(PP_Grid[#Data],$DE226,52),0)</f>
        <v/>
      </c>
      <c r="BD226">
        <f>IFERROR(INDEX(PP_Grid[#Data],$DE226,53),0)</f>
        <v/>
      </c>
      <c r="BE226">
        <f>IFERROR(INDEX(PP_Grid[#Data],$DE226,54),0)</f>
        <v/>
      </c>
      <c r="BF226">
        <f>IFERROR(INDEX(PP_Grid[#Data],$DE226,55),0)</f>
        <v/>
      </c>
      <c r="BG226">
        <f>IFERROR(INDEX(PP_Grid[#Data],$DE226,56),0)</f>
        <v/>
      </c>
      <c r="BH226">
        <f>IFERROR(INDEX(PP_Grid[#Data],$DE226,57),0)</f>
        <v/>
      </c>
      <c r="BI226">
        <f>IFERROR(INDEX(PP_Grid[#Data],$DE226,58),0)</f>
        <v/>
      </c>
      <c r="BJ226">
        <f>IFERROR(INDEX(PP_Grid[#Data],$DE226,59),0)</f>
        <v/>
      </c>
      <c r="BK226">
        <f>IFERROR(INDEX(PP_Grid[#Data],$DE226,60),0)</f>
        <v/>
      </c>
      <c r="BL226">
        <f>IFERROR(INDEX(PP_Grid[#Data],$DE226,61),0)</f>
        <v/>
      </c>
      <c r="BM226">
        <f>IFERROR(INDEX(PP_Grid[#Data],$DE226,62),0)</f>
        <v/>
      </c>
      <c r="BN226">
        <f>IFERROR(INDEX(PP_Grid[#Data],$DE226,63),0)</f>
        <v/>
      </c>
      <c r="BO226">
        <f>IFERROR(INDEX(PP_Grid[#Data],$DE226,64),0)</f>
        <v/>
      </c>
      <c r="BP226">
        <f>IFERROR(INDEX(PP_Grid[#Data],$DE226,65),0)</f>
        <v/>
      </c>
      <c r="BQ226">
        <f>IFERROR(INDEX(PP_Grid[#Data],$DE226,66),0)</f>
        <v/>
      </c>
      <c r="BR226">
        <f>IFERROR(INDEX(PP_Grid[#Data],$DE226,67),0)</f>
        <v/>
      </c>
      <c r="BS226">
        <f>IFERROR(INDEX(PP_Grid[#Data],$DE226,68),0)</f>
        <v/>
      </c>
      <c r="BT226">
        <f>IFERROR(INDEX(PP_Grid[#Data],$DE226,69),0)</f>
        <v/>
      </c>
      <c r="BU226">
        <f>IFERROR(INDEX(PP_Grid[#Data],$DE226,70),0)</f>
        <v/>
      </c>
      <c r="BV226">
        <f>IFERROR(INDEX(PP_Grid[#Data],$DE226,71),0)</f>
        <v/>
      </c>
      <c r="BW226">
        <f>IFERROR(INDEX(PP_Grid[#Data],$DE226,72),0)</f>
        <v/>
      </c>
      <c r="BX226">
        <f>IFERROR(INDEX(PP_Grid[#Data],$DE226,73),0)</f>
        <v/>
      </c>
      <c r="BY226">
        <f>IFERROR(INDEX(PP_Grid[#Data],$DE226,74),0)</f>
        <v/>
      </c>
      <c r="BZ226">
        <f>IFERROR(INDEX(PP_Grid[#Data],$DE226,75),0)</f>
        <v/>
      </c>
      <c r="CA226">
        <f>IFERROR(INDEX(PP_Grid[#Data],$DE226,76),0)</f>
        <v/>
      </c>
      <c r="CB226">
        <f>IFERROR(INDEX(PP_Grid[#Data],$DE226,77),0)</f>
        <v/>
      </c>
      <c r="CC226">
        <f>IFERROR(INDEX(PP_Grid[#Data],$DE226,78),0)</f>
        <v/>
      </c>
      <c r="CD226">
        <f>IFERROR(INDEX(PP_Grid[#Data],$DE226,79),0)</f>
        <v/>
      </c>
      <c r="CE226">
        <f>IFERROR(INDEX(PP_Grid[#Data],$DE226,80),0)</f>
        <v/>
      </c>
      <c r="CF226">
        <f>IFERROR(INDEX(PP_Grid[#Data],$DE226,81),0)</f>
        <v/>
      </c>
      <c r="CG226">
        <f>IFERROR(INDEX(PP_Grid[#Data],$DE226,82),0)</f>
        <v/>
      </c>
      <c r="CH226">
        <f>IFERROR(INDEX(PP_Grid[#Data],$DE226,83),0)</f>
        <v/>
      </c>
      <c r="CI226">
        <f>IFERROR(INDEX(PP_Grid[#Data],$DE226,84),0)</f>
        <v/>
      </c>
      <c r="CJ226">
        <f>IFERROR(INDEX(PP_Grid[#Data],$DE226,85),0)</f>
        <v/>
      </c>
      <c r="CK226">
        <f>IFERROR(INDEX(PP_Grid[#Data],$DE226,86),0)</f>
        <v/>
      </c>
      <c r="CL226">
        <f>IFERROR(INDEX(PP_Grid[#Data],$DE226,87),0)</f>
        <v/>
      </c>
      <c r="CM226">
        <f>IFERROR(INDEX(PP_Grid[#Data],$DE226,88),0)</f>
        <v/>
      </c>
      <c r="CN226">
        <f>IFERROR(INDEX(PP_Grid[#Data],$DE226,89),0)</f>
        <v/>
      </c>
      <c r="CO226">
        <f>IFERROR(INDEX(PP_Grid[#Data],$DE226,90),0)</f>
        <v/>
      </c>
      <c r="CP226">
        <f>IFERROR(INDEX(PP_Grid[#Data],$DE226,91),0)</f>
        <v/>
      </c>
      <c r="CQ226">
        <f>IFERROR(INDEX(PP_Grid[#Data],$DE226,92),0)</f>
        <v/>
      </c>
      <c r="CR226">
        <f>IFERROR(INDEX(PP_Grid[#Data],$DE226,93),0)</f>
        <v/>
      </c>
      <c r="CS226">
        <f>IFERROR(INDEX(PP_Grid[#Data],$DE226,94),0)</f>
        <v/>
      </c>
      <c r="CT226">
        <f>IFERROR(INDEX(PP_Grid[#Data],$DE226,95),0)</f>
        <v/>
      </c>
      <c r="CU226">
        <f>IFERROR(INDEX(PP_Grid[#Data],$DE226,96),0)</f>
        <v/>
      </c>
      <c r="CV226">
        <f>IFERROR(INDEX(PP_Grid[#Data],$DE226,97),0)</f>
        <v/>
      </c>
      <c r="CW226">
        <f>IFERROR(INDEX(PP_Grid[#Data],$DE226,98),0)</f>
        <v/>
      </c>
      <c r="CX226">
        <f>IFERROR(INDEX(PP_Grid[#Data],$DE226,99),0)</f>
        <v/>
      </c>
      <c r="CY226">
        <f>IFERROR(INDEX(PP_Grid[#Data],$DE226,100),0)</f>
        <v/>
      </c>
      <c r="CZ226">
        <f>IFERROR(INDEX(PP_Grid[#Data],$DE226,101),0)</f>
        <v/>
      </c>
      <c r="DA226">
        <f>IFERROR(INDEX(PP_Grid[#Data],$DE226,102),0)</f>
        <v/>
      </c>
      <c r="DB226">
        <f>IFERROR(INDEX(PP_Grid[#Data],$DE226,103),0)</f>
        <v/>
      </c>
      <c r="DC226">
        <f>IFERROR(INDEX(PP_Grid[#Data],$DE226,104),0)</f>
        <v/>
      </c>
      <c r="DD226">
        <f>IFERROR(INDEX(PP_Grid[#Data],$DE226,105),0)</f>
        <v/>
      </c>
      <c r="DE226" s="7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SUMIFS(M_BOM[RM_Qty_Per_Batch],M_BOM[Intermediate],$B226,M_BOM[RM_Code],$A187)</f>
        <v/>
      </c>
      <c r="D227">
        <f>IFERROR(INDEX(E227:DD227,$F$1),"")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  <c r="DD227">
        <f>$C227*DD226</f>
        <v/>
      </c>
    </row>
    <row r="228">
      <c r="B228" t="inlineStr">
        <is>
          <t>TSP-618</t>
        </is>
      </c>
      <c r="C228" t="inlineStr">
        <is>
          <t>No. of batches</t>
        </is>
      </c>
      <c r="D228">
        <f>IFERROR(INDEX(E228:DD228,$F$1),"")</f>
        <v/>
      </c>
      <c r="E228">
        <f>IFERROR(INDEX(PP_Grid[#Data],$DE228,2),0)</f>
        <v/>
      </c>
      <c r="F228">
        <f>IFERROR(INDEX(PP_Grid[#Data],$DE228,3),0)</f>
        <v/>
      </c>
      <c r="G228">
        <f>IFERROR(INDEX(PP_Grid[#Data],$DE228,4),0)</f>
        <v/>
      </c>
      <c r="H228">
        <f>IFERROR(INDEX(PP_Grid[#Data],$DE228,5),0)</f>
        <v/>
      </c>
      <c r="I228">
        <f>IFERROR(INDEX(PP_Grid[#Data],$DE228,6),0)</f>
        <v/>
      </c>
      <c r="J228">
        <f>IFERROR(INDEX(PP_Grid[#Data],$DE228,7),0)</f>
        <v/>
      </c>
      <c r="K228">
        <f>IFERROR(INDEX(PP_Grid[#Data],$DE228,8),0)</f>
        <v/>
      </c>
      <c r="L228">
        <f>IFERROR(INDEX(PP_Grid[#Data],$DE228,9),0)</f>
        <v/>
      </c>
      <c r="M228">
        <f>IFERROR(INDEX(PP_Grid[#Data],$DE228,10),0)</f>
        <v/>
      </c>
      <c r="N228">
        <f>IFERROR(INDEX(PP_Grid[#Data],$DE228,11),0)</f>
        <v/>
      </c>
      <c r="O228">
        <f>IFERROR(INDEX(PP_Grid[#Data],$DE228,12),0)</f>
        <v/>
      </c>
      <c r="P228">
        <f>IFERROR(INDEX(PP_Grid[#Data],$DE228,13),0)</f>
        <v/>
      </c>
      <c r="Q228">
        <f>IFERROR(INDEX(PP_Grid[#Data],$DE228,14),0)</f>
        <v/>
      </c>
      <c r="R228">
        <f>IFERROR(INDEX(PP_Grid[#Data],$DE228,15),0)</f>
        <v/>
      </c>
      <c r="S228">
        <f>IFERROR(INDEX(PP_Grid[#Data],$DE228,16),0)</f>
        <v/>
      </c>
      <c r="T228">
        <f>IFERROR(INDEX(PP_Grid[#Data],$DE228,17),0)</f>
        <v/>
      </c>
      <c r="U228">
        <f>IFERROR(INDEX(PP_Grid[#Data],$DE228,18),0)</f>
        <v/>
      </c>
      <c r="V228">
        <f>IFERROR(INDEX(PP_Grid[#Data],$DE228,19),0)</f>
        <v/>
      </c>
      <c r="W228">
        <f>IFERROR(INDEX(PP_Grid[#Data],$DE228,20),0)</f>
        <v/>
      </c>
      <c r="X228">
        <f>IFERROR(INDEX(PP_Grid[#Data],$DE228,21),0)</f>
        <v/>
      </c>
      <c r="Y228">
        <f>IFERROR(INDEX(PP_Grid[#Data],$DE228,22),0)</f>
        <v/>
      </c>
      <c r="Z228">
        <f>IFERROR(INDEX(PP_Grid[#Data],$DE228,23),0)</f>
        <v/>
      </c>
      <c r="AA228">
        <f>IFERROR(INDEX(PP_Grid[#Data],$DE228,24),0)</f>
        <v/>
      </c>
      <c r="AB228">
        <f>IFERROR(INDEX(PP_Grid[#Data],$DE228,25),0)</f>
        <v/>
      </c>
      <c r="AC228">
        <f>IFERROR(INDEX(PP_Grid[#Data],$DE228,26),0)</f>
        <v/>
      </c>
      <c r="AD228">
        <f>IFERROR(INDEX(PP_Grid[#Data],$DE228,27),0)</f>
        <v/>
      </c>
      <c r="AE228">
        <f>IFERROR(INDEX(PP_Grid[#Data],$DE228,28),0)</f>
        <v/>
      </c>
      <c r="AF228">
        <f>IFERROR(INDEX(PP_Grid[#Data],$DE228,29),0)</f>
        <v/>
      </c>
      <c r="AG228">
        <f>IFERROR(INDEX(PP_Grid[#Data],$DE228,30),0)</f>
        <v/>
      </c>
      <c r="AH228">
        <f>IFERROR(INDEX(PP_Grid[#Data],$DE228,31),0)</f>
        <v/>
      </c>
      <c r="AI228">
        <f>IFERROR(INDEX(PP_Grid[#Data],$DE228,32),0)</f>
        <v/>
      </c>
      <c r="AJ228">
        <f>IFERROR(INDEX(PP_Grid[#Data],$DE228,33),0)</f>
        <v/>
      </c>
      <c r="AK228">
        <f>IFERROR(INDEX(PP_Grid[#Data],$DE228,34),0)</f>
        <v/>
      </c>
      <c r="AL228">
        <f>IFERROR(INDEX(PP_Grid[#Data],$DE228,35),0)</f>
        <v/>
      </c>
      <c r="AM228">
        <f>IFERROR(INDEX(PP_Grid[#Data],$DE228,36),0)</f>
        <v/>
      </c>
      <c r="AN228">
        <f>IFERROR(INDEX(PP_Grid[#Data],$DE228,37),0)</f>
        <v/>
      </c>
      <c r="AO228">
        <f>IFERROR(INDEX(PP_Grid[#Data],$DE228,38),0)</f>
        <v/>
      </c>
      <c r="AP228">
        <f>IFERROR(INDEX(PP_Grid[#Data],$DE228,39),0)</f>
        <v/>
      </c>
      <c r="AQ228">
        <f>IFERROR(INDEX(PP_Grid[#Data],$DE228,40),0)</f>
        <v/>
      </c>
      <c r="AR228">
        <f>IFERROR(INDEX(PP_Grid[#Data],$DE228,41),0)</f>
        <v/>
      </c>
      <c r="AS228">
        <f>IFERROR(INDEX(PP_Grid[#Data],$DE228,42),0)</f>
        <v/>
      </c>
      <c r="AT228">
        <f>IFERROR(INDEX(PP_Grid[#Data],$DE228,43),0)</f>
        <v/>
      </c>
      <c r="AU228">
        <f>IFERROR(INDEX(PP_Grid[#Data],$DE228,44),0)</f>
        <v/>
      </c>
      <c r="AV228">
        <f>IFERROR(INDEX(PP_Grid[#Data],$DE228,45),0)</f>
        <v/>
      </c>
      <c r="AW228">
        <f>IFERROR(INDEX(PP_Grid[#Data],$DE228,46),0)</f>
        <v/>
      </c>
      <c r="AX228">
        <f>IFERROR(INDEX(PP_Grid[#Data],$DE228,47),0)</f>
        <v/>
      </c>
      <c r="AY228">
        <f>IFERROR(INDEX(PP_Grid[#Data],$DE228,48),0)</f>
        <v/>
      </c>
      <c r="AZ228">
        <f>IFERROR(INDEX(PP_Grid[#Data],$DE228,49),0)</f>
        <v/>
      </c>
      <c r="BA228">
        <f>IFERROR(INDEX(PP_Grid[#Data],$DE228,50),0)</f>
        <v/>
      </c>
      <c r="BB228">
        <f>IFERROR(INDEX(PP_Grid[#Data],$DE228,51),0)</f>
        <v/>
      </c>
      <c r="BC228">
        <f>IFERROR(INDEX(PP_Grid[#Data],$DE228,52),0)</f>
        <v/>
      </c>
      <c r="BD228">
        <f>IFERROR(INDEX(PP_Grid[#Data],$DE228,53),0)</f>
        <v/>
      </c>
      <c r="BE228">
        <f>IFERROR(INDEX(PP_Grid[#Data],$DE228,54),0)</f>
        <v/>
      </c>
      <c r="BF228">
        <f>IFERROR(INDEX(PP_Grid[#Data],$DE228,55),0)</f>
        <v/>
      </c>
      <c r="BG228">
        <f>IFERROR(INDEX(PP_Grid[#Data],$DE228,56),0)</f>
        <v/>
      </c>
      <c r="BH228">
        <f>IFERROR(INDEX(PP_Grid[#Data],$DE228,57),0)</f>
        <v/>
      </c>
      <c r="BI228">
        <f>IFERROR(INDEX(PP_Grid[#Data],$DE228,58),0)</f>
        <v/>
      </c>
      <c r="BJ228">
        <f>IFERROR(INDEX(PP_Grid[#Data],$DE228,59),0)</f>
        <v/>
      </c>
      <c r="BK228">
        <f>IFERROR(INDEX(PP_Grid[#Data],$DE228,60),0)</f>
        <v/>
      </c>
      <c r="BL228">
        <f>IFERROR(INDEX(PP_Grid[#Data],$DE228,61),0)</f>
        <v/>
      </c>
      <c r="BM228">
        <f>IFERROR(INDEX(PP_Grid[#Data],$DE228,62),0)</f>
        <v/>
      </c>
      <c r="BN228">
        <f>IFERROR(INDEX(PP_Grid[#Data],$DE228,63),0)</f>
        <v/>
      </c>
      <c r="BO228">
        <f>IFERROR(INDEX(PP_Grid[#Data],$DE228,64),0)</f>
        <v/>
      </c>
      <c r="BP228">
        <f>IFERROR(INDEX(PP_Grid[#Data],$DE228,65),0)</f>
        <v/>
      </c>
      <c r="BQ228">
        <f>IFERROR(INDEX(PP_Grid[#Data],$DE228,66),0)</f>
        <v/>
      </c>
      <c r="BR228">
        <f>IFERROR(INDEX(PP_Grid[#Data],$DE228,67),0)</f>
        <v/>
      </c>
      <c r="BS228">
        <f>IFERROR(INDEX(PP_Grid[#Data],$DE228,68),0)</f>
        <v/>
      </c>
      <c r="BT228">
        <f>IFERROR(INDEX(PP_Grid[#Data],$DE228,69),0)</f>
        <v/>
      </c>
      <c r="BU228">
        <f>IFERROR(INDEX(PP_Grid[#Data],$DE228,70),0)</f>
        <v/>
      </c>
      <c r="BV228">
        <f>IFERROR(INDEX(PP_Grid[#Data],$DE228,71),0)</f>
        <v/>
      </c>
      <c r="BW228">
        <f>IFERROR(INDEX(PP_Grid[#Data],$DE228,72),0)</f>
        <v/>
      </c>
      <c r="BX228">
        <f>IFERROR(INDEX(PP_Grid[#Data],$DE228,73),0)</f>
        <v/>
      </c>
      <c r="BY228">
        <f>IFERROR(INDEX(PP_Grid[#Data],$DE228,74),0)</f>
        <v/>
      </c>
      <c r="BZ228">
        <f>IFERROR(INDEX(PP_Grid[#Data],$DE228,75),0)</f>
        <v/>
      </c>
      <c r="CA228">
        <f>IFERROR(INDEX(PP_Grid[#Data],$DE228,76),0)</f>
        <v/>
      </c>
      <c r="CB228">
        <f>IFERROR(INDEX(PP_Grid[#Data],$DE228,77),0)</f>
        <v/>
      </c>
      <c r="CC228">
        <f>IFERROR(INDEX(PP_Grid[#Data],$DE228,78),0)</f>
        <v/>
      </c>
      <c r="CD228">
        <f>IFERROR(INDEX(PP_Grid[#Data],$DE228,79),0)</f>
        <v/>
      </c>
      <c r="CE228">
        <f>IFERROR(INDEX(PP_Grid[#Data],$DE228,80),0)</f>
        <v/>
      </c>
      <c r="CF228">
        <f>IFERROR(INDEX(PP_Grid[#Data],$DE228,81),0)</f>
        <v/>
      </c>
      <c r="CG228">
        <f>IFERROR(INDEX(PP_Grid[#Data],$DE228,82),0)</f>
        <v/>
      </c>
      <c r="CH228">
        <f>IFERROR(INDEX(PP_Grid[#Data],$DE228,83),0)</f>
        <v/>
      </c>
      <c r="CI228">
        <f>IFERROR(INDEX(PP_Grid[#Data],$DE228,84),0)</f>
        <v/>
      </c>
      <c r="CJ228">
        <f>IFERROR(INDEX(PP_Grid[#Data],$DE228,85),0)</f>
        <v/>
      </c>
      <c r="CK228">
        <f>IFERROR(INDEX(PP_Grid[#Data],$DE228,86),0)</f>
        <v/>
      </c>
      <c r="CL228">
        <f>IFERROR(INDEX(PP_Grid[#Data],$DE228,87),0)</f>
        <v/>
      </c>
      <c r="CM228">
        <f>IFERROR(INDEX(PP_Grid[#Data],$DE228,88),0)</f>
        <v/>
      </c>
      <c r="CN228">
        <f>IFERROR(INDEX(PP_Grid[#Data],$DE228,89),0)</f>
        <v/>
      </c>
      <c r="CO228">
        <f>IFERROR(INDEX(PP_Grid[#Data],$DE228,90),0)</f>
        <v/>
      </c>
      <c r="CP228">
        <f>IFERROR(INDEX(PP_Grid[#Data],$DE228,91),0)</f>
        <v/>
      </c>
      <c r="CQ228">
        <f>IFERROR(INDEX(PP_Grid[#Data],$DE228,92),0)</f>
        <v/>
      </c>
      <c r="CR228">
        <f>IFERROR(INDEX(PP_Grid[#Data],$DE228,93),0)</f>
        <v/>
      </c>
      <c r="CS228">
        <f>IFERROR(INDEX(PP_Grid[#Data],$DE228,94),0)</f>
        <v/>
      </c>
      <c r="CT228">
        <f>IFERROR(INDEX(PP_Grid[#Data],$DE228,95),0)</f>
        <v/>
      </c>
      <c r="CU228">
        <f>IFERROR(INDEX(PP_Grid[#Data],$DE228,96),0)</f>
        <v/>
      </c>
      <c r="CV228">
        <f>IFERROR(INDEX(PP_Grid[#Data],$DE228,97),0)</f>
        <v/>
      </c>
      <c r="CW228">
        <f>IFERROR(INDEX(PP_Grid[#Data],$DE228,98),0)</f>
        <v/>
      </c>
      <c r="CX228">
        <f>IFERROR(INDEX(PP_Grid[#Data],$DE228,99),0)</f>
        <v/>
      </c>
      <c r="CY228">
        <f>IFERROR(INDEX(PP_Grid[#Data],$DE228,100),0)</f>
        <v/>
      </c>
      <c r="CZ228">
        <f>IFERROR(INDEX(PP_Grid[#Data],$DE228,101),0)</f>
        <v/>
      </c>
      <c r="DA228">
        <f>IFERROR(INDEX(PP_Grid[#Data],$DE228,102),0)</f>
        <v/>
      </c>
      <c r="DB228">
        <f>IFERROR(INDEX(PP_Grid[#Data],$DE228,103),0)</f>
        <v/>
      </c>
      <c r="DC228">
        <f>IFERROR(INDEX(PP_Grid[#Data],$DE228,104),0)</f>
        <v/>
      </c>
      <c r="DD228">
        <f>IFERROR(INDEX(PP_Grid[#Data],$DE228,105),0)</f>
        <v/>
      </c>
      <c r="DE228" s="7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SUMIFS(M_BOM[RM_Qty_Per_Batch],M_BOM[Intermediate],$B228,M_BOM[RM_Code],$A187)</f>
        <v/>
      </c>
      <c r="D229">
        <f>IFERROR(INDEX(E229:DD229,$F$1),"")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  <c r="DD229">
        <f>$C229*DD228</f>
        <v/>
      </c>
    </row>
    <row r="230">
      <c r="B230" t="inlineStr">
        <is>
          <t>TSP-620</t>
        </is>
      </c>
      <c r="C230" t="inlineStr">
        <is>
          <t>No. of batches</t>
        </is>
      </c>
      <c r="D230">
        <f>IFERROR(INDEX(E230:DD230,$F$1),"")</f>
        <v/>
      </c>
      <c r="E230">
        <f>IFERROR(INDEX(PP_Grid[#Data],$DE230,2),0)</f>
        <v/>
      </c>
      <c r="F230">
        <f>IFERROR(INDEX(PP_Grid[#Data],$DE230,3),0)</f>
        <v/>
      </c>
      <c r="G230">
        <f>IFERROR(INDEX(PP_Grid[#Data],$DE230,4),0)</f>
        <v/>
      </c>
      <c r="H230">
        <f>IFERROR(INDEX(PP_Grid[#Data],$DE230,5),0)</f>
        <v/>
      </c>
      <c r="I230">
        <f>IFERROR(INDEX(PP_Grid[#Data],$DE230,6),0)</f>
        <v/>
      </c>
      <c r="J230">
        <f>IFERROR(INDEX(PP_Grid[#Data],$DE230,7),0)</f>
        <v/>
      </c>
      <c r="K230">
        <f>IFERROR(INDEX(PP_Grid[#Data],$DE230,8),0)</f>
        <v/>
      </c>
      <c r="L230">
        <f>IFERROR(INDEX(PP_Grid[#Data],$DE230,9),0)</f>
        <v/>
      </c>
      <c r="M230">
        <f>IFERROR(INDEX(PP_Grid[#Data],$DE230,10),0)</f>
        <v/>
      </c>
      <c r="N230">
        <f>IFERROR(INDEX(PP_Grid[#Data],$DE230,11),0)</f>
        <v/>
      </c>
      <c r="O230">
        <f>IFERROR(INDEX(PP_Grid[#Data],$DE230,12),0)</f>
        <v/>
      </c>
      <c r="P230">
        <f>IFERROR(INDEX(PP_Grid[#Data],$DE230,13),0)</f>
        <v/>
      </c>
      <c r="Q230">
        <f>IFERROR(INDEX(PP_Grid[#Data],$DE230,14),0)</f>
        <v/>
      </c>
      <c r="R230">
        <f>IFERROR(INDEX(PP_Grid[#Data],$DE230,15),0)</f>
        <v/>
      </c>
      <c r="S230">
        <f>IFERROR(INDEX(PP_Grid[#Data],$DE230,16),0)</f>
        <v/>
      </c>
      <c r="T230">
        <f>IFERROR(INDEX(PP_Grid[#Data],$DE230,17),0)</f>
        <v/>
      </c>
      <c r="U230">
        <f>IFERROR(INDEX(PP_Grid[#Data],$DE230,18),0)</f>
        <v/>
      </c>
      <c r="V230">
        <f>IFERROR(INDEX(PP_Grid[#Data],$DE230,19),0)</f>
        <v/>
      </c>
      <c r="W230">
        <f>IFERROR(INDEX(PP_Grid[#Data],$DE230,20),0)</f>
        <v/>
      </c>
      <c r="X230">
        <f>IFERROR(INDEX(PP_Grid[#Data],$DE230,21),0)</f>
        <v/>
      </c>
      <c r="Y230">
        <f>IFERROR(INDEX(PP_Grid[#Data],$DE230,22),0)</f>
        <v/>
      </c>
      <c r="Z230">
        <f>IFERROR(INDEX(PP_Grid[#Data],$DE230,23),0)</f>
        <v/>
      </c>
      <c r="AA230">
        <f>IFERROR(INDEX(PP_Grid[#Data],$DE230,24),0)</f>
        <v/>
      </c>
      <c r="AB230">
        <f>IFERROR(INDEX(PP_Grid[#Data],$DE230,25),0)</f>
        <v/>
      </c>
      <c r="AC230">
        <f>IFERROR(INDEX(PP_Grid[#Data],$DE230,26),0)</f>
        <v/>
      </c>
      <c r="AD230">
        <f>IFERROR(INDEX(PP_Grid[#Data],$DE230,27),0)</f>
        <v/>
      </c>
      <c r="AE230">
        <f>IFERROR(INDEX(PP_Grid[#Data],$DE230,28),0)</f>
        <v/>
      </c>
      <c r="AF230">
        <f>IFERROR(INDEX(PP_Grid[#Data],$DE230,29),0)</f>
        <v/>
      </c>
      <c r="AG230">
        <f>IFERROR(INDEX(PP_Grid[#Data],$DE230,30),0)</f>
        <v/>
      </c>
      <c r="AH230">
        <f>IFERROR(INDEX(PP_Grid[#Data],$DE230,31),0)</f>
        <v/>
      </c>
      <c r="AI230">
        <f>IFERROR(INDEX(PP_Grid[#Data],$DE230,32),0)</f>
        <v/>
      </c>
      <c r="AJ230">
        <f>IFERROR(INDEX(PP_Grid[#Data],$DE230,33),0)</f>
        <v/>
      </c>
      <c r="AK230">
        <f>IFERROR(INDEX(PP_Grid[#Data],$DE230,34),0)</f>
        <v/>
      </c>
      <c r="AL230">
        <f>IFERROR(INDEX(PP_Grid[#Data],$DE230,35),0)</f>
        <v/>
      </c>
      <c r="AM230">
        <f>IFERROR(INDEX(PP_Grid[#Data],$DE230,36),0)</f>
        <v/>
      </c>
      <c r="AN230">
        <f>IFERROR(INDEX(PP_Grid[#Data],$DE230,37),0)</f>
        <v/>
      </c>
      <c r="AO230">
        <f>IFERROR(INDEX(PP_Grid[#Data],$DE230,38),0)</f>
        <v/>
      </c>
      <c r="AP230">
        <f>IFERROR(INDEX(PP_Grid[#Data],$DE230,39),0)</f>
        <v/>
      </c>
      <c r="AQ230">
        <f>IFERROR(INDEX(PP_Grid[#Data],$DE230,40),0)</f>
        <v/>
      </c>
      <c r="AR230">
        <f>IFERROR(INDEX(PP_Grid[#Data],$DE230,41),0)</f>
        <v/>
      </c>
      <c r="AS230">
        <f>IFERROR(INDEX(PP_Grid[#Data],$DE230,42),0)</f>
        <v/>
      </c>
      <c r="AT230">
        <f>IFERROR(INDEX(PP_Grid[#Data],$DE230,43),0)</f>
        <v/>
      </c>
      <c r="AU230">
        <f>IFERROR(INDEX(PP_Grid[#Data],$DE230,44),0)</f>
        <v/>
      </c>
      <c r="AV230">
        <f>IFERROR(INDEX(PP_Grid[#Data],$DE230,45),0)</f>
        <v/>
      </c>
      <c r="AW230">
        <f>IFERROR(INDEX(PP_Grid[#Data],$DE230,46),0)</f>
        <v/>
      </c>
      <c r="AX230">
        <f>IFERROR(INDEX(PP_Grid[#Data],$DE230,47),0)</f>
        <v/>
      </c>
      <c r="AY230">
        <f>IFERROR(INDEX(PP_Grid[#Data],$DE230,48),0)</f>
        <v/>
      </c>
      <c r="AZ230">
        <f>IFERROR(INDEX(PP_Grid[#Data],$DE230,49),0)</f>
        <v/>
      </c>
      <c r="BA230">
        <f>IFERROR(INDEX(PP_Grid[#Data],$DE230,50),0)</f>
        <v/>
      </c>
      <c r="BB230">
        <f>IFERROR(INDEX(PP_Grid[#Data],$DE230,51),0)</f>
        <v/>
      </c>
      <c r="BC230">
        <f>IFERROR(INDEX(PP_Grid[#Data],$DE230,52),0)</f>
        <v/>
      </c>
      <c r="BD230">
        <f>IFERROR(INDEX(PP_Grid[#Data],$DE230,53),0)</f>
        <v/>
      </c>
      <c r="BE230">
        <f>IFERROR(INDEX(PP_Grid[#Data],$DE230,54),0)</f>
        <v/>
      </c>
      <c r="BF230">
        <f>IFERROR(INDEX(PP_Grid[#Data],$DE230,55),0)</f>
        <v/>
      </c>
      <c r="BG230">
        <f>IFERROR(INDEX(PP_Grid[#Data],$DE230,56),0)</f>
        <v/>
      </c>
      <c r="BH230">
        <f>IFERROR(INDEX(PP_Grid[#Data],$DE230,57),0)</f>
        <v/>
      </c>
      <c r="BI230">
        <f>IFERROR(INDEX(PP_Grid[#Data],$DE230,58),0)</f>
        <v/>
      </c>
      <c r="BJ230">
        <f>IFERROR(INDEX(PP_Grid[#Data],$DE230,59),0)</f>
        <v/>
      </c>
      <c r="BK230">
        <f>IFERROR(INDEX(PP_Grid[#Data],$DE230,60),0)</f>
        <v/>
      </c>
      <c r="BL230">
        <f>IFERROR(INDEX(PP_Grid[#Data],$DE230,61),0)</f>
        <v/>
      </c>
      <c r="BM230">
        <f>IFERROR(INDEX(PP_Grid[#Data],$DE230,62),0)</f>
        <v/>
      </c>
      <c r="BN230">
        <f>IFERROR(INDEX(PP_Grid[#Data],$DE230,63),0)</f>
        <v/>
      </c>
      <c r="BO230">
        <f>IFERROR(INDEX(PP_Grid[#Data],$DE230,64),0)</f>
        <v/>
      </c>
      <c r="BP230">
        <f>IFERROR(INDEX(PP_Grid[#Data],$DE230,65),0)</f>
        <v/>
      </c>
      <c r="BQ230">
        <f>IFERROR(INDEX(PP_Grid[#Data],$DE230,66),0)</f>
        <v/>
      </c>
      <c r="BR230">
        <f>IFERROR(INDEX(PP_Grid[#Data],$DE230,67),0)</f>
        <v/>
      </c>
      <c r="BS230">
        <f>IFERROR(INDEX(PP_Grid[#Data],$DE230,68),0)</f>
        <v/>
      </c>
      <c r="BT230">
        <f>IFERROR(INDEX(PP_Grid[#Data],$DE230,69),0)</f>
        <v/>
      </c>
      <c r="BU230">
        <f>IFERROR(INDEX(PP_Grid[#Data],$DE230,70),0)</f>
        <v/>
      </c>
      <c r="BV230">
        <f>IFERROR(INDEX(PP_Grid[#Data],$DE230,71),0)</f>
        <v/>
      </c>
      <c r="BW230">
        <f>IFERROR(INDEX(PP_Grid[#Data],$DE230,72),0)</f>
        <v/>
      </c>
      <c r="BX230">
        <f>IFERROR(INDEX(PP_Grid[#Data],$DE230,73),0)</f>
        <v/>
      </c>
      <c r="BY230">
        <f>IFERROR(INDEX(PP_Grid[#Data],$DE230,74),0)</f>
        <v/>
      </c>
      <c r="BZ230">
        <f>IFERROR(INDEX(PP_Grid[#Data],$DE230,75),0)</f>
        <v/>
      </c>
      <c r="CA230">
        <f>IFERROR(INDEX(PP_Grid[#Data],$DE230,76),0)</f>
        <v/>
      </c>
      <c r="CB230">
        <f>IFERROR(INDEX(PP_Grid[#Data],$DE230,77),0)</f>
        <v/>
      </c>
      <c r="CC230">
        <f>IFERROR(INDEX(PP_Grid[#Data],$DE230,78),0)</f>
        <v/>
      </c>
      <c r="CD230">
        <f>IFERROR(INDEX(PP_Grid[#Data],$DE230,79),0)</f>
        <v/>
      </c>
      <c r="CE230">
        <f>IFERROR(INDEX(PP_Grid[#Data],$DE230,80),0)</f>
        <v/>
      </c>
      <c r="CF230">
        <f>IFERROR(INDEX(PP_Grid[#Data],$DE230,81),0)</f>
        <v/>
      </c>
      <c r="CG230">
        <f>IFERROR(INDEX(PP_Grid[#Data],$DE230,82),0)</f>
        <v/>
      </c>
      <c r="CH230">
        <f>IFERROR(INDEX(PP_Grid[#Data],$DE230,83),0)</f>
        <v/>
      </c>
      <c r="CI230">
        <f>IFERROR(INDEX(PP_Grid[#Data],$DE230,84),0)</f>
        <v/>
      </c>
      <c r="CJ230">
        <f>IFERROR(INDEX(PP_Grid[#Data],$DE230,85),0)</f>
        <v/>
      </c>
      <c r="CK230">
        <f>IFERROR(INDEX(PP_Grid[#Data],$DE230,86),0)</f>
        <v/>
      </c>
      <c r="CL230">
        <f>IFERROR(INDEX(PP_Grid[#Data],$DE230,87),0)</f>
        <v/>
      </c>
      <c r="CM230">
        <f>IFERROR(INDEX(PP_Grid[#Data],$DE230,88),0)</f>
        <v/>
      </c>
      <c r="CN230">
        <f>IFERROR(INDEX(PP_Grid[#Data],$DE230,89),0)</f>
        <v/>
      </c>
      <c r="CO230">
        <f>IFERROR(INDEX(PP_Grid[#Data],$DE230,90),0)</f>
        <v/>
      </c>
      <c r="CP230">
        <f>IFERROR(INDEX(PP_Grid[#Data],$DE230,91),0)</f>
        <v/>
      </c>
      <c r="CQ230">
        <f>IFERROR(INDEX(PP_Grid[#Data],$DE230,92),0)</f>
        <v/>
      </c>
      <c r="CR230">
        <f>IFERROR(INDEX(PP_Grid[#Data],$DE230,93),0)</f>
        <v/>
      </c>
      <c r="CS230">
        <f>IFERROR(INDEX(PP_Grid[#Data],$DE230,94),0)</f>
        <v/>
      </c>
      <c r="CT230">
        <f>IFERROR(INDEX(PP_Grid[#Data],$DE230,95),0)</f>
        <v/>
      </c>
      <c r="CU230">
        <f>IFERROR(INDEX(PP_Grid[#Data],$DE230,96),0)</f>
        <v/>
      </c>
      <c r="CV230">
        <f>IFERROR(INDEX(PP_Grid[#Data],$DE230,97),0)</f>
        <v/>
      </c>
      <c r="CW230">
        <f>IFERROR(INDEX(PP_Grid[#Data],$DE230,98),0)</f>
        <v/>
      </c>
      <c r="CX230">
        <f>IFERROR(INDEX(PP_Grid[#Data],$DE230,99),0)</f>
        <v/>
      </c>
      <c r="CY230">
        <f>IFERROR(INDEX(PP_Grid[#Data],$DE230,100),0)</f>
        <v/>
      </c>
      <c r="CZ230">
        <f>IFERROR(INDEX(PP_Grid[#Data],$DE230,101),0)</f>
        <v/>
      </c>
      <c r="DA230">
        <f>IFERROR(INDEX(PP_Grid[#Data],$DE230,102),0)</f>
        <v/>
      </c>
      <c r="DB230">
        <f>IFERROR(INDEX(PP_Grid[#Data],$DE230,103),0)</f>
        <v/>
      </c>
      <c r="DC230">
        <f>IFERROR(INDEX(PP_Grid[#Data],$DE230,104),0)</f>
        <v/>
      </c>
      <c r="DD230">
        <f>IFERROR(INDEX(PP_Grid[#Data],$DE230,105),0)</f>
        <v/>
      </c>
      <c r="DE230" s="7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SUMIFS(M_BOM[RM_Qty_Per_Batch],M_BOM[Intermediate],$B230,M_BOM[RM_Code],$A187)</f>
        <v/>
      </c>
      <c r="D231">
        <f>IFERROR(INDEX(E231:DD231,$F$1),"")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  <c r="DD231">
        <f>$C231*DD230</f>
        <v/>
      </c>
    </row>
    <row r="232">
      <c r="B232" t="inlineStr">
        <is>
          <t>TSP-623</t>
        </is>
      </c>
      <c r="C232" t="inlineStr">
        <is>
          <t>No. of batches</t>
        </is>
      </c>
      <c r="D232">
        <f>IFERROR(INDEX(E232:DD232,$F$1),"")</f>
        <v/>
      </c>
      <c r="E232">
        <f>IFERROR(INDEX(PP_Grid[#Data],$DE232,2),0)</f>
        <v/>
      </c>
      <c r="F232">
        <f>IFERROR(INDEX(PP_Grid[#Data],$DE232,3),0)</f>
        <v/>
      </c>
      <c r="G232">
        <f>IFERROR(INDEX(PP_Grid[#Data],$DE232,4),0)</f>
        <v/>
      </c>
      <c r="H232">
        <f>IFERROR(INDEX(PP_Grid[#Data],$DE232,5),0)</f>
        <v/>
      </c>
      <c r="I232">
        <f>IFERROR(INDEX(PP_Grid[#Data],$DE232,6),0)</f>
        <v/>
      </c>
      <c r="J232">
        <f>IFERROR(INDEX(PP_Grid[#Data],$DE232,7),0)</f>
        <v/>
      </c>
      <c r="K232">
        <f>IFERROR(INDEX(PP_Grid[#Data],$DE232,8),0)</f>
        <v/>
      </c>
      <c r="L232">
        <f>IFERROR(INDEX(PP_Grid[#Data],$DE232,9),0)</f>
        <v/>
      </c>
      <c r="M232">
        <f>IFERROR(INDEX(PP_Grid[#Data],$DE232,10),0)</f>
        <v/>
      </c>
      <c r="N232">
        <f>IFERROR(INDEX(PP_Grid[#Data],$DE232,11),0)</f>
        <v/>
      </c>
      <c r="O232">
        <f>IFERROR(INDEX(PP_Grid[#Data],$DE232,12),0)</f>
        <v/>
      </c>
      <c r="P232">
        <f>IFERROR(INDEX(PP_Grid[#Data],$DE232,13),0)</f>
        <v/>
      </c>
      <c r="Q232">
        <f>IFERROR(INDEX(PP_Grid[#Data],$DE232,14),0)</f>
        <v/>
      </c>
      <c r="R232">
        <f>IFERROR(INDEX(PP_Grid[#Data],$DE232,15),0)</f>
        <v/>
      </c>
      <c r="S232">
        <f>IFERROR(INDEX(PP_Grid[#Data],$DE232,16),0)</f>
        <v/>
      </c>
      <c r="T232">
        <f>IFERROR(INDEX(PP_Grid[#Data],$DE232,17),0)</f>
        <v/>
      </c>
      <c r="U232">
        <f>IFERROR(INDEX(PP_Grid[#Data],$DE232,18),0)</f>
        <v/>
      </c>
      <c r="V232">
        <f>IFERROR(INDEX(PP_Grid[#Data],$DE232,19),0)</f>
        <v/>
      </c>
      <c r="W232">
        <f>IFERROR(INDEX(PP_Grid[#Data],$DE232,20),0)</f>
        <v/>
      </c>
      <c r="X232">
        <f>IFERROR(INDEX(PP_Grid[#Data],$DE232,21),0)</f>
        <v/>
      </c>
      <c r="Y232">
        <f>IFERROR(INDEX(PP_Grid[#Data],$DE232,22),0)</f>
        <v/>
      </c>
      <c r="Z232">
        <f>IFERROR(INDEX(PP_Grid[#Data],$DE232,23),0)</f>
        <v/>
      </c>
      <c r="AA232">
        <f>IFERROR(INDEX(PP_Grid[#Data],$DE232,24),0)</f>
        <v/>
      </c>
      <c r="AB232">
        <f>IFERROR(INDEX(PP_Grid[#Data],$DE232,25),0)</f>
        <v/>
      </c>
      <c r="AC232">
        <f>IFERROR(INDEX(PP_Grid[#Data],$DE232,26),0)</f>
        <v/>
      </c>
      <c r="AD232">
        <f>IFERROR(INDEX(PP_Grid[#Data],$DE232,27),0)</f>
        <v/>
      </c>
      <c r="AE232">
        <f>IFERROR(INDEX(PP_Grid[#Data],$DE232,28),0)</f>
        <v/>
      </c>
      <c r="AF232">
        <f>IFERROR(INDEX(PP_Grid[#Data],$DE232,29),0)</f>
        <v/>
      </c>
      <c r="AG232">
        <f>IFERROR(INDEX(PP_Grid[#Data],$DE232,30),0)</f>
        <v/>
      </c>
      <c r="AH232">
        <f>IFERROR(INDEX(PP_Grid[#Data],$DE232,31),0)</f>
        <v/>
      </c>
      <c r="AI232">
        <f>IFERROR(INDEX(PP_Grid[#Data],$DE232,32),0)</f>
        <v/>
      </c>
      <c r="AJ232">
        <f>IFERROR(INDEX(PP_Grid[#Data],$DE232,33),0)</f>
        <v/>
      </c>
      <c r="AK232">
        <f>IFERROR(INDEX(PP_Grid[#Data],$DE232,34),0)</f>
        <v/>
      </c>
      <c r="AL232">
        <f>IFERROR(INDEX(PP_Grid[#Data],$DE232,35),0)</f>
        <v/>
      </c>
      <c r="AM232">
        <f>IFERROR(INDEX(PP_Grid[#Data],$DE232,36),0)</f>
        <v/>
      </c>
      <c r="AN232">
        <f>IFERROR(INDEX(PP_Grid[#Data],$DE232,37),0)</f>
        <v/>
      </c>
      <c r="AO232">
        <f>IFERROR(INDEX(PP_Grid[#Data],$DE232,38),0)</f>
        <v/>
      </c>
      <c r="AP232">
        <f>IFERROR(INDEX(PP_Grid[#Data],$DE232,39),0)</f>
        <v/>
      </c>
      <c r="AQ232">
        <f>IFERROR(INDEX(PP_Grid[#Data],$DE232,40),0)</f>
        <v/>
      </c>
      <c r="AR232">
        <f>IFERROR(INDEX(PP_Grid[#Data],$DE232,41),0)</f>
        <v/>
      </c>
      <c r="AS232">
        <f>IFERROR(INDEX(PP_Grid[#Data],$DE232,42),0)</f>
        <v/>
      </c>
      <c r="AT232">
        <f>IFERROR(INDEX(PP_Grid[#Data],$DE232,43),0)</f>
        <v/>
      </c>
      <c r="AU232">
        <f>IFERROR(INDEX(PP_Grid[#Data],$DE232,44),0)</f>
        <v/>
      </c>
      <c r="AV232">
        <f>IFERROR(INDEX(PP_Grid[#Data],$DE232,45),0)</f>
        <v/>
      </c>
      <c r="AW232">
        <f>IFERROR(INDEX(PP_Grid[#Data],$DE232,46),0)</f>
        <v/>
      </c>
      <c r="AX232">
        <f>IFERROR(INDEX(PP_Grid[#Data],$DE232,47),0)</f>
        <v/>
      </c>
      <c r="AY232">
        <f>IFERROR(INDEX(PP_Grid[#Data],$DE232,48),0)</f>
        <v/>
      </c>
      <c r="AZ232">
        <f>IFERROR(INDEX(PP_Grid[#Data],$DE232,49),0)</f>
        <v/>
      </c>
      <c r="BA232">
        <f>IFERROR(INDEX(PP_Grid[#Data],$DE232,50),0)</f>
        <v/>
      </c>
      <c r="BB232">
        <f>IFERROR(INDEX(PP_Grid[#Data],$DE232,51),0)</f>
        <v/>
      </c>
      <c r="BC232">
        <f>IFERROR(INDEX(PP_Grid[#Data],$DE232,52),0)</f>
        <v/>
      </c>
      <c r="BD232">
        <f>IFERROR(INDEX(PP_Grid[#Data],$DE232,53),0)</f>
        <v/>
      </c>
      <c r="BE232">
        <f>IFERROR(INDEX(PP_Grid[#Data],$DE232,54),0)</f>
        <v/>
      </c>
      <c r="BF232">
        <f>IFERROR(INDEX(PP_Grid[#Data],$DE232,55),0)</f>
        <v/>
      </c>
      <c r="BG232">
        <f>IFERROR(INDEX(PP_Grid[#Data],$DE232,56),0)</f>
        <v/>
      </c>
      <c r="BH232">
        <f>IFERROR(INDEX(PP_Grid[#Data],$DE232,57),0)</f>
        <v/>
      </c>
      <c r="BI232">
        <f>IFERROR(INDEX(PP_Grid[#Data],$DE232,58),0)</f>
        <v/>
      </c>
      <c r="BJ232">
        <f>IFERROR(INDEX(PP_Grid[#Data],$DE232,59),0)</f>
        <v/>
      </c>
      <c r="BK232">
        <f>IFERROR(INDEX(PP_Grid[#Data],$DE232,60),0)</f>
        <v/>
      </c>
      <c r="BL232">
        <f>IFERROR(INDEX(PP_Grid[#Data],$DE232,61),0)</f>
        <v/>
      </c>
      <c r="BM232">
        <f>IFERROR(INDEX(PP_Grid[#Data],$DE232,62),0)</f>
        <v/>
      </c>
      <c r="BN232">
        <f>IFERROR(INDEX(PP_Grid[#Data],$DE232,63),0)</f>
        <v/>
      </c>
      <c r="BO232">
        <f>IFERROR(INDEX(PP_Grid[#Data],$DE232,64),0)</f>
        <v/>
      </c>
      <c r="BP232">
        <f>IFERROR(INDEX(PP_Grid[#Data],$DE232,65),0)</f>
        <v/>
      </c>
      <c r="BQ232">
        <f>IFERROR(INDEX(PP_Grid[#Data],$DE232,66),0)</f>
        <v/>
      </c>
      <c r="BR232">
        <f>IFERROR(INDEX(PP_Grid[#Data],$DE232,67),0)</f>
        <v/>
      </c>
      <c r="BS232">
        <f>IFERROR(INDEX(PP_Grid[#Data],$DE232,68),0)</f>
        <v/>
      </c>
      <c r="BT232">
        <f>IFERROR(INDEX(PP_Grid[#Data],$DE232,69),0)</f>
        <v/>
      </c>
      <c r="BU232">
        <f>IFERROR(INDEX(PP_Grid[#Data],$DE232,70),0)</f>
        <v/>
      </c>
      <c r="BV232">
        <f>IFERROR(INDEX(PP_Grid[#Data],$DE232,71),0)</f>
        <v/>
      </c>
      <c r="BW232">
        <f>IFERROR(INDEX(PP_Grid[#Data],$DE232,72),0)</f>
        <v/>
      </c>
      <c r="BX232">
        <f>IFERROR(INDEX(PP_Grid[#Data],$DE232,73),0)</f>
        <v/>
      </c>
      <c r="BY232">
        <f>IFERROR(INDEX(PP_Grid[#Data],$DE232,74),0)</f>
        <v/>
      </c>
      <c r="BZ232">
        <f>IFERROR(INDEX(PP_Grid[#Data],$DE232,75),0)</f>
        <v/>
      </c>
      <c r="CA232">
        <f>IFERROR(INDEX(PP_Grid[#Data],$DE232,76),0)</f>
        <v/>
      </c>
      <c r="CB232">
        <f>IFERROR(INDEX(PP_Grid[#Data],$DE232,77),0)</f>
        <v/>
      </c>
      <c r="CC232">
        <f>IFERROR(INDEX(PP_Grid[#Data],$DE232,78),0)</f>
        <v/>
      </c>
      <c r="CD232">
        <f>IFERROR(INDEX(PP_Grid[#Data],$DE232,79),0)</f>
        <v/>
      </c>
      <c r="CE232">
        <f>IFERROR(INDEX(PP_Grid[#Data],$DE232,80),0)</f>
        <v/>
      </c>
      <c r="CF232">
        <f>IFERROR(INDEX(PP_Grid[#Data],$DE232,81),0)</f>
        <v/>
      </c>
      <c r="CG232">
        <f>IFERROR(INDEX(PP_Grid[#Data],$DE232,82),0)</f>
        <v/>
      </c>
      <c r="CH232">
        <f>IFERROR(INDEX(PP_Grid[#Data],$DE232,83),0)</f>
        <v/>
      </c>
      <c r="CI232">
        <f>IFERROR(INDEX(PP_Grid[#Data],$DE232,84),0)</f>
        <v/>
      </c>
      <c r="CJ232">
        <f>IFERROR(INDEX(PP_Grid[#Data],$DE232,85),0)</f>
        <v/>
      </c>
      <c r="CK232">
        <f>IFERROR(INDEX(PP_Grid[#Data],$DE232,86),0)</f>
        <v/>
      </c>
      <c r="CL232">
        <f>IFERROR(INDEX(PP_Grid[#Data],$DE232,87),0)</f>
        <v/>
      </c>
      <c r="CM232">
        <f>IFERROR(INDEX(PP_Grid[#Data],$DE232,88),0)</f>
        <v/>
      </c>
      <c r="CN232">
        <f>IFERROR(INDEX(PP_Grid[#Data],$DE232,89),0)</f>
        <v/>
      </c>
      <c r="CO232">
        <f>IFERROR(INDEX(PP_Grid[#Data],$DE232,90),0)</f>
        <v/>
      </c>
      <c r="CP232">
        <f>IFERROR(INDEX(PP_Grid[#Data],$DE232,91),0)</f>
        <v/>
      </c>
      <c r="CQ232">
        <f>IFERROR(INDEX(PP_Grid[#Data],$DE232,92),0)</f>
        <v/>
      </c>
      <c r="CR232">
        <f>IFERROR(INDEX(PP_Grid[#Data],$DE232,93),0)</f>
        <v/>
      </c>
      <c r="CS232">
        <f>IFERROR(INDEX(PP_Grid[#Data],$DE232,94),0)</f>
        <v/>
      </c>
      <c r="CT232">
        <f>IFERROR(INDEX(PP_Grid[#Data],$DE232,95),0)</f>
        <v/>
      </c>
      <c r="CU232">
        <f>IFERROR(INDEX(PP_Grid[#Data],$DE232,96),0)</f>
        <v/>
      </c>
      <c r="CV232">
        <f>IFERROR(INDEX(PP_Grid[#Data],$DE232,97),0)</f>
        <v/>
      </c>
      <c r="CW232">
        <f>IFERROR(INDEX(PP_Grid[#Data],$DE232,98),0)</f>
        <v/>
      </c>
      <c r="CX232">
        <f>IFERROR(INDEX(PP_Grid[#Data],$DE232,99),0)</f>
        <v/>
      </c>
      <c r="CY232">
        <f>IFERROR(INDEX(PP_Grid[#Data],$DE232,100),0)</f>
        <v/>
      </c>
      <c r="CZ232">
        <f>IFERROR(INDEX(PP_Grid[#Data],$DE232,101),0)</f>
        <v/>
      </c>
      <c r="DA232">
        <f>IFERROR(INDEX(PP_Grid[#Data],$DE232,102),0)</f>
        <v/>
      </c>
      <c r="DB232">
        <f>IFERROR(INDEX(PP_Grid[#Data],$DE232,103),0)</f>
        <v/>
      </c>
      <c r="DC232">
        <f>IFERROR(INDEX(PP_Grid[#Data],$DE232,104),0)</f>
        <v/>
      </c>
      <c r="DD232">
        <f>IFERROR(INDEX(PP_Grid[#Data],$DE232,105),0)</f>
        <v/>
      </c>
      <c r="DE232" s="7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SUMIFS(M_BOM[RM_Qty_Per_Batch],M_BOM[Intermediate],$B232,M_BOM[RM_Code],$A187)</f>
        <v/>
      </c>
      <c r="D233">
        <f>IFERROR(INDEX(E233:DD233,$F$1),"")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  <c r="DD233">
        <f>$C233*DD232</f>
        <v/>
      </c>
    </row>
    <row r="234">
      <c r="B234" t="inlineStr">
        <is>
          <t>TSP-655</t>
        </is>
      </c>
      <c r="C234" t="inlineStr">
        <is>
          <t>No. of batches</t>
        </is>
      </c>
      <c r="D234">
        <f>IFERROR(INDEX(E234:DD234,$F$1),"")</f>
        <v/>
      </c>
      <c r="E234">
        <f>IFERROR(INDEX(PP_Grid[#Data],$DE234,2),0)</f>
        <v/>
      </c>
      <c r="F234">
        <f>IFERROR(INDEX(PP_Grid[#Data],$DE234,3),0)</f>
        <v/>
      </c>
      <c r="G234">
        <f>IFERROR(INDEX(PP_Grid[#Data],$DE234,4),0)</f>
        <v/>
      </c>
      <c r="H234">
        <f>IFERROR(INDEX(PP_Grid[#Data],$DE234,5),0)</f>
        <v/>
      </c>
      <c r="I234">
        <f>IFERROR(INDEX(PP_Grid[#Data],$DE234,6),0)</f>
        <v/>
      </c>
      <c r="J234">
        <f>IFERROR(INDEX(PP_Grid[#Data],$DE234,7),0)</f>
        <v/>
      </c>
      <c r="K234">
        <f>IFERROR(INDEX(PP_Grid[#Data],$DE234,8),0)</f>
        <v/>
      </c>
      <c r="L234">
        <f>IFERROR(INDEX(PP_Grid[#Data],$DE234,9),0)</f>
        <v/>
      </c>
      <c r="M234">
        <f>IFERROR(INDEX(PP_Grid[#Data],$DE234,10),0)</f>
        <v/>
      </c>
      <c r="N234">
        <f>IFERROR(INDEX(PP_Grid[#Data],$DE234,11),0)</f>
        <v/>
      </c>
      <c r="O234">
        <f>IFERROR(INDEX(PP_Grid[#Data],$DE234,12),0)</f>
        <v/>
      </c>
      <c r="P234">
        <f>IFERROR(INDEX(PP_Grid[#Data],$DE234,13),0)</f>
        <v/>
      </c>
      <c r="Q234">
        <f>IFERROR(INDEX(PP_Grid[#Data],$DE234,14),0)</f>
        <v/>
      </c>
      <c r="R234">
        <f>IFERROR(INDEX(PP_Grid[#Data],$DE234,15),0)</f>
        <v/>
      </c>
      <c r="S234">
        <f>IFERROR(INDEX(PP_Grid[#Data],$DE234,16),0)</f>
        <v/>
      </c>
      <c r="T234">
        <f>IFERROR(INDEX(PP_Grid[#Data],$DE234,17),0)</f>
        <v/>
      </c>
      <c r="U234">
        <f>IFERROR(INDEX(PP_Grid[#Data],$DE234,18),0)</f>
        <v/>
      </c>
      <c r="V234">
        <f>IFERROR(INDEX(PP_Grid[#Data],$DE234,19),0)</f>
        <v/>
      </c>
      <c r="W234">
        <f>IFERROR(INDEX(PP_Grid[#Data],$DE234,20),0)</f>
        <v/>
      </c>
      <c r="X234">
        <f>IFERROR(INDEX(PP_Grid[#Data],$DE234,21),0)</f>
        <v/>
      </c>
      <c r="Y234">
        <f>IFERROR(INDEX(PP_Grid[#Data],$DE234,22),0)</f>
        <v/>
      </c>
      <c r="Z234">
        <f>IFERROR(INDEX(PP_Grid[#Data],$DE234,23),0)</f>
        <v/>
      </c>
      <c r="AA234">
        <f>IFERROR(INDEX(PP_Grid[#Data],$DE234,24),0)</f>
        <v/>
      </c>
      <c r="AB234">
        <f>IFERROR(INDEX(PP_Grid[#Data],$DE234,25),0)</f>
        <v/>
      </c>
      <c r="AC234">
        <f>IFERROR(INDEX(PP_Grid[#Data],$DE234,26),0)</f>
        <v/>
      </c>
      <c r="AD234">
        <f>IFERROR(INDEX(PP_Grid[#Data],$DE234,27),0)</f>
        <v/>
      </c>
      <c r="AE234">
        <f>IFERROR(INDEX(PP_Grid[#Data],$DE234,28),0)</f>
        <v/>
      </c>
      <c r="AF234">
        <f>IFERROR(INDEX(PP_Grid[#Data],$DE234,29),0)</f>
        <v/>
      </c>
      <c r="AG234">
        <f>IFERROR(INDEX(PP_Grid[#Data],$DE234,30),0)</f>
        <v/>
      </c>
      <c r="AH234">
        <f>IFERROR(INDEX(PP_Grid[#Data],$DE234,31),0)</f>
        <v/>
      </c>
      <c r="AI234">
        <f>IFERROR(INDEX(PP_Grid[#Data],$DE234,32),0)</f>
        <v/>
      </c>
      <c r="AJ234">
        <f>IFERROR(INDEX(PP_Grid[#Data],$DE234,33),0)</f>
        <v/>
      </c>
      <c r="AK234">
        <f>IFERROR(INDEX(PP_Grid[#Data],$DE234,34),0)</f>
        <v/>
      </c>
      <c r="AL234">
        <f>IFERROR(INDEX(PP_Grid[#Data],$DE234,35),0)</f>
        <v/>
      </c>
      <c r="AM234">
        <f>IFERROR(INDEX(PP_Grid[#Data],$DE234,36),0)</f>
        <v/>
      </c>
      <c r="AN234">
        <f>IFERROR(INDEX(PP_Grid[#Data],$DE234,37),0)</f>
        <v/>
      </c>
      <c r="AO234">
        <f>IFERROR(INDEX(PP_Grid[#Data],$DE234,38),0)</f>
        <v/>
      </c>
      <c r="AP234">
        <f>IFERROR(INDEX(PP_Grid[#Data],$DE234,39),0)</f>
        <v/>
      </c>
      <c r="AQ234">
        <f>IFERROR(INDEX(PP_Grid[#Data],$DE234,40),0)</f>
        <v/>
      </c>
      <c r="AR234">
        <f>IFERROR(INDEX(PP_Grid[#Data],$DE234,41),0)</f>
        <v/>
      </c>
      <c r="AS234">
        <f>IFERROR(INDEX(PP_Grid[#Data],$DE234,42),0)</f>
        <v/>
      </c>
      <c r="AT234">
        <f>IFERROR(INDEX(PP_Grid[#Data],$DE234,43),0)</f>
        <v/>
      </c>
      <c r="AU234">
        <f>IFERROR(INDEX(PP_Grid[#Data],$DE234,44),0)</f>
        <v/>
      </c>
      <c r="AV234">
        <f>IFERROR(INDEX(PP_Grid[#Data],$DE234,45),0)</f>
        <v/>
      </c>
      <c r="AW234">
        <f>IFERROR(INDEX(PP_Grid[#Data],$DE234,46),0)</f>
        <v/>
      </c>
      <c r="AX234">
        <f>IFERROR(INDEX(PP_Grid[#Data],$DE234,47),0)</f>
        <v/>
      </c>
      <c r="AY234">
        <f>IFERROR(INDEX(PP_Grid[#Data],$DE234,48),0)</f>
        <v/>
      </c>
      <c r="AZ234">
        <f>IFERROR(INDEX(PP_Grid[#Data],$DE234,49),0)</f>
        <v/>
      </c>
      <c r="BA234">
        <f>IFERROR(INDEX(PP_Grid[#Data],$DE234,50),0)</f>
        <v/>
      </c>
      <c r="BB234">
        <f>IFERROR(INDEX(PP_Grid[#Data],$DE234,51),0)</f>
        <v/>
      </c>
      <c r="BC234">
        <f>IFERROR(INDEX(PP_Grid[#Data],$DE234,52),0)</f>
        <v/>
      </c>
      <c r="BD234">
        <f>IFERROR(INDEX(PP_Grid[#Data],$DE234,53),0)</f>
        <v/>
      </c>
      <c r="BE234">
        <f>IFERROR(INDEX(PP_Grid[#Data],$DE234,54),0)</f>
        <v/>
      </c>
      <c r="BF234">
        <f>IFERROR(INDEX(PP_Grid[#Data],$DE234,55),0)</f>
        <v/>
      </c>
      <c r="BG234">
        <f>IFERROR(INDEX(PP_Grid[#Data],$DE234,56),0)</f>
        <v/>
      </c>
      <c r="BH234">
        <f>IFERROR(INDEX(PP_Grid[#Data],$DE234,57),0)</f>
        <v/>
      </c>
      <c r="BI234">
        <f>IFERROR(INDEX(PP_Grid[#Data],$DE234,58),0)</f>
        <v/>
      </c>
      <c r="BJ234">
        <f>IFERROR(INDEX(PP_Grid[#Data],$DE234,59),0)</f>
        <v/>
      </c>
      <c r="BK234">
        <f>IFERROR(INDEX(PP_Grid[#Data],$DE234,60),0)</f>
        <v/>
      </c>
      <c r="BL234">
        <f>IFERROR(INDEX(PP_Grid[#Data],$DE234,61),0)</f>
        <v/>
      </c>
      <c r="BM234">
        <f>IFERROR(INDEX(PP_Grid[#Data],$DE234,62),0)</f>
        <v/>
      </c>
      <c r="BN234">
        <f>IFERROR(INDEX(PP_Grid[#Data],$DE234,63),0)</f>
        <v/>
      </c>
      <c r="BO234">
        <f>IFERROR(INDEX(PP_Grid[#Data],$DE234,64),0)</f>
        <v/>
      </c>
      <c r="BP234">
        <f>IFERROR(INDEX(PP_Grid[#Data],$DE234,65),0)</f>
        <v/>
      </c>
      <c r="BQ234">
        <f>IFERROR(INDEX(PP_Grid[#Data],$DE234,66),0)</f>
        <v/>
      </c>
      <c r="BR234">
        <f>IFERROR(INDEX(PP_Grid[#Data],$DE234,67),0)</f>
        <v/>
      </c>
      <c r="BS234">
        <f>IFERROR(INDEX(PP_Grid[#Data],$DE234,68),0)</f>
        <v/>
      </c>
      <c r="BT234">
        <f>IFERROR(INDEX(PP_Grid[#Data],$DE234,69),0)</f>
        <v/>
      </c>
      <c r="BU234">
        <f>IFERROR(INDEX(PP_Grid[#Data],$DE234,70),0)</f>
        <v/>
      </c>
      <c r="BV234">
        <f>IFERROR(INDEX(PP_Grid[#Data],$DE234,71),0)</f>
        <v/>
      </c>
      <c r="BW234">
        <f>IFERROR(INDEX(PP_Grid[#Data],$DE234,72),0)</f>
        <v/>
      </c>
      <c r="BX234">
        <f>IFERROR(INDEX(PP_Grid[#Data],$DE234,73),0)</f>
        <v/>
      </c>
      <c r="BY234">
        <f>IFERROR(INDEX(PP_Grid[#Data],$DE234,74),0)</f>
        <v/>
      </c>
      <c r="BZ234">
        <f>IFERROR(INDEX(PP_Grid[#Data],$DE234,75),0)</f>
        <v/>
      </c>
      <c r="CA234">
        <f>IFERROR(INDEX(PP_Grid[#Data],$DE234,76),0)</f>
        <v/>
      </c>
      <c r="CB234">
        <f>IFERROR(INDEX(PP_Grid[#Data],$DE234,77),0)</f>
        <v/>
      </c>
      <c r="CC234">
        <f>IFERROR(INDEX(PP_Grid[#Data],$DE234,78),0)</f>
        <v/>
      </c>
      <c r="CD234">
        <f>IFERROR(INDEX(PP_Grid[#Data],$DE234,79),0)</f>
        <v/>
      </c>
      <c r="CE234">
        <f>IFERROR(INDEX(PP_Grid[#Data],$DE234,80),0)</f>
        <v/>
      </c>
      <c r="CF234">
        <f>IFERROR(INDEX(PP_Grid[#Data],$DE234,81),0)</f>
        <v/>
      </c>
      <c r="CG234">
        <f>IFERROR(INDEX(PP_Grid[#Data],$DE234,82),0)</f>
        <v/>
      </c>
      <c r="CH234">
        <f>IFERROR(INDEX(PP_Grid[#Data],$DE234,83),0)</f>
        <v/>
      </c>
      <c r="CI234">
        <f>IFERROR(INDEX(PP_Grid[#Data],$DE234,84),0)</f>
        <v/>
      </c>
      <c r="CJ234">
        <f>IFERROR(INDEX(PP_Grid[#Data],$DE234,85),0)</f>
        <v/>
      </c>
      <c r="CK234">
        <f>IFERROR(INDEX(PP_Grid[#Data],$DE234,86),0)</f>
        <v/>
      </c>
      <c r="CL234">
        <f>IFERROR(INDEX(PP_Grid[#Data],$DE234,87),0)</f>
        <v/>
      </c>
      <c r="CM234">
        <f>IFERROR(INDEX(PP_Grid[#Data],$DE234,88),0)</f>
        <v/>
      </c>
      <c r="CN234">
        <f>IFERROR(INDEX(PP_Grid[#Data],$DE234,89),0)</f>
        <v/>
      </c>
      <c r="CO234">
        <f>IFERROR(INDEX(PP_Grid[#Data],$DE234,90),0)</f>
        <v/>
      </c>
      <c r="CP234">
        <f>IFERROR(INDEX(PP_Grid[#Data],$DE234,91),0)</f>
        <v/>
      </c>
      <c r="CQ234">
        <f>IFERROR(INDEX(PP_Grid[#Data],$DE234,92),0)</f>
        <v/>
      </c>
      <c r="CR234">
        <f>IFERROR(INDEX(PP_Grid[#Data],$DE234,93),0)</f>
        <v/>
      </c>
      <c r="CS234">
        <f>IFERROR(INDEX(PP_Grid[#Data],$DE234,94),0)</f>
        <v/>
      </c>
      <c r="CT234">
        <f>IFERROR(INDEX(PP_Grid[#Data],$DE234,95),0)</f>
        <v/>
      </c>
      <c r="CU234">
        <f>IFERROR(INDEX(PP_Grid[#Data],$DE234,96),0)</f>
        <v/>
      </c>
      <c r="CV234">
        <f>IFERROR(INDEX(PP_Grid[#Data],$DE234,97),0)</f>
        <v/>
      </c>
      <c r="CW234">
        <f>IFERROR(INDEX(PP_Grid[#Data],$DE234,98),0)</f>
        <v/>
      </c>
      <c r="CX234">
        <f>IFERROR(INDEX(PP_Grid[#Data],$DE234,99),0)</f>
        <v/>
      </c>
      <c r="CY234">
        <f>IFERROR(INDEX(PP_Grid[#Data],$DE234,100),0)</f>
        <v/>
      </c>
      <c r="CZ234">
        <f>IFERROR(INDEX(PP_Grid[#Data],$DE234,101),0)</f>
        <v/>
      </c>
      <c r="DA234">
        <f>IFERROR(INDEX(PP_Grid[#Data],$DE234,102),0)</f>
        <v/>
      </c>
      <c r="DB234">
        <f>IFERROR(INDEX(PP_Grid[#Data],$DE234,103),0)</f>
        <v/>
      </c>
      <c r="DC234">
        <f>IFERROR(INDEX(PP_Grid[#Data],$DE234,104),0)</f>
        <v/>
      </c>
      <c r="DD234">
        <f>IFERROR(INDEX(PP_Grid[#Data],$DE234,105),0)</f>
        <v/>
      </c>
      <c r="DE234" s="7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SUMIFS(M_BOM[RM_Qty_Per_Batch],M_BOM[Intermediate],$B234,M_BOM[RM_Code],$A187)</f>
        <v/>
      </c>
      <c r="D235">
        <f>IFERROR(INDEX(E235:DD235,$F$1),"")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  <c r="DD235">
        <f>$C235*DD234</f>
        <v/>
      </c>
    </row>
    <row r="236">
      <c r="B236" t="inlineStr">
        <is>
          <t>TSP-656</t>
        </is>
      </c>
      <c r="C236" t="inlineStr">
        <is>
          <t>No. of batches</t>
        </is>
      </c>
      <c r="D236">
        <f>IFERROR(INDEX(E236:DD236,$F$1),"")</f>
        <v/>
      </c>
      <c r="E236">
        <f>IFERROR(INDEX(PP_Grid[#Data],$DE236,2),0)</f>
        <v/>
      </c>
      <c r="F236">
        <f>IFERROR(INDEX(PP_Grid[#Data],$DE236,3),0)</f>
        <v/>
      </c>
      <c r="G236">
        <f>IFERROR(INDEX(PP_Grid[#Data],$DE236,4),0)</f>
        <v/>
      </c>
      <c r="H236">
        <f>IFERROR(INDEX(PP_Grid[#Data],$DE236,5),0)</f>
        <v/>
      </c>
      <c r="I236">
        <f>IFERROR(INDEX(PP_Grid[#Data],$DE236,6),0)</f>
        <v/>
      </c>
      <c r="J236">
        <f>IFERROR(INDEX(PP_Grid[#Data],$DE236,7),0)</f>
        <v/>
      </c>
      <c r="K236">
        <f>IFERROR(INDEX(PP_Grid[#Data],$DE236,8),0)</f>
        <v/>
      </c>
      <c r="L236">
        <f>IFERROR(INDEX(PP_Grid[#Data],$DE236,9),0)</f>
        <v/>
      </c>
      <c r="M236">
        <f>IFERROR(INDEX(PP_Grid[#Data],$DE236,10),0)</f>
        <v/>
      </c>
      <c r="N236">
        <f>IFERROR(INDEX(PP_Grid[#Data],$DE236,11),0)</f>
        <v/>
      </c>
      <c r="O236">
        <f>IFERROR(INDEX(PP_Grid[#Data],$DE236,12),0)</f>
        <v/>
      </c>
      <c r="P236">
        <f>IFERROR(INDEX(PP_Grid[#Data],$DE236,13),0)</f>
        <v/>
      </c>
      <c r="Q236">
        <f>IFERROR(INDEX(PP_Grid[#Data],$DE236,14),0)</f>
        <v/>
      </c>
      <c r="R236">
        <f>IFERROR(INDEX(PP_Grid[#Data],$DE236,15),0)</f>
        <v/>
      </c>
      <c r="S236">
        <f>IFERROR(INDEX(PP_Grid[#Data],$DE236,16),0)</f>
        <v/>
      </c>
      <c r="T236">
        <f>IFERROR(INDEX(PP_Grid[#Data],$DE236,17),0)</f>
        <v/>
      </c>
      <c r="U236">
        <f>IFERROR(INDEX(PP_Grid[#Data],$DE236,18),0)</f>
        <v/>
      </c>
      <c r="V236">
        <f>IFERROR(INDEX(PP_Grid[#Data],$DE236,19),0)</f>
        <v/>
      </c>
      <c r="W236">
        <f>IFERROR(INDEX(PP_Grid[#Data],$DE236,20),0)</f>
        <v/>
      </c>
      <c r="X236">
        <f>IFERROR(INDEX(PP_Grid[#Data],$DE236,21),0)</f>
        <v/>
      </c>
      <c r="Y236">
        <f>IFERROR(INDEX(PP_Grid[#Data],$DE236,22),0)</f>
        <v/>
      </c>
      <c r="Z236">
        <f>IFERROR(INDEX(PP_Grid[#Data],$DE236,23),0)</f>
        <v/>
      </c>
      <c r="AA236">
        <f>IFERROR(INDEX(PP_Grid[#Data],$DE236,24),0)</f>
        <v/>
      </c>
      <c r="AB236">
        <f>IFERROR(INDEX(PP_Grid[#Data],$DE236,25),0)</f>
        <v/>
      </c>
      <c r="AC236">
        <f>IFERROR(INDEX(PP_Grid[#Data],$DE236,26),0)</f>
        <v/>
      </c>
      <c r="AD236">
        <f>IFERROR(INDEX(PP_Grid[#Data],$DE236,27),0)</f>
        <v/>
      </c>
      <c r="AE236">
        <f>IFERROR(INDEX(PP_Grid[#Data],$DE236,28),0)</f>
        <v/>
      </c>
      <c r="AF236">
        <f>IFERROR(INDEX(PP_Grid[#Data],$DE236,29),0)</f>
        <v/>
      </c>
      <c r="AG236">
        <f>IFERROR(INDEX(PP_Grid[#Data],$DE236,30),0)</f>
        <v/>
      </c>
      <c r="AH236">
        <f>IFERROR(INDEX(PP_Grid[#Data],$DE236,31),0)</f>
        <v/>
      </c>
      <c r="AI236">
        <f>IFERROR(INDEX(PP_Grid[#Data],$DE236,32),0)</f>
        <v/>
      </c>
      <c r="AJ236">
        <f>IFERROR(INDEX(PP_Grid[#Data],$DE236,33),0)</f>
        <v/>
      </c>
      <c r="AK236">
        <f>IFERROR(INDEX(PP_Grid[#Data],$DE236,34),0)</f>
        <v/>
      </c>
      <c r="AL236">
        <f>IFERROR(INDEX(PP_Grid[#Data],$DE236,35),0)</f>
        <v/>
      </c>
      <c r="AM236">
        <f>IFERROR(INDEX(PP_Grid[#Data],$DE236,36),0)</f>
        <v/>
      </c>
      <c r="AN236">
        <f>IFERROR(INDEX(PP_Grid[#Data],$DE236,37),0)</f>
        <v/>
      </c>
      <c r="AO236">
        <f>IFERROR(INDEX(PP_Grid[#Data],$DE236,38),0)</f>
        <v/>
      </c>
      <c r="AP236">
        <f>IFERROR(INDEX(PP_Grid[#Data],$DE236,39),0)</f>
        <v/>
      </c>
      <c r="AQ236">
        <f>IFERROR(INDEX(PP_Grid[#Data],$DE236,40),0)</f>
        <v/>
      </c>
      <c r="AR236">
        <f>IFERROR(INDEX(PP_Grid[#Data],$DE236,41),0)</f>
        <v/>
      </c>
      <c r="AS236">
        <f>IFERROR(INDEX(PP_Grid[#Data],$DE236,42),0)</f>
        <v/>
      </c>
      <c r="AT236">
        <f>IFERROR(INDEX(PP_Grid[#Data],$DE236,43),0)</f>
        <v/>
      </c>
      <c r="AU236">
        <f>IFERROR(INDEX(PP_Grid[#Data],$DE236,44),0)</f>
        <v/>
      </c>
      <c r="AV236">
        <f>IFERROR(INDEX(PP_Grid[#Data],$DE236,45),0)</f>
        <v/>
      </c>
      <c r="AW236">
        <f>IFERROR(INDEX(PP_Grid[#Data],$DE236,46),0)</f>
        <v/>
      </c>
      <c r="AX236">
        <f>IFERROR(INDEX(PP_Grid[#Data],$DE236,47),0)</f>
        <v/>
      </c>
      <c r="AY236">
        <f>IFERROR(INDEX(PP_Grid[#Data],$DE236,48),0)</f>
        <v/>
      </c>
      <c r="AZ236">
        <f>IFERROR(INDEX(PP_Grid[#Data],$DE236,49),0)</f>
        <v/>
      </c>
      <c r="BA236">
        <f>IFERROR(INDEX(PP_Grid[#Data],$DE236,50),0)</f>
        <v/>
      </c>
      <c r="BB236">
        <f>IFERROR(INDEX(PP_Grid[#Data],$DE236,51),0)</f>
        <v/>
      </c>
      <c r="BC236">
        <f>IFERROR(INDEX(PP_Grid[#Data],$DE236,52),0)</f>
        <v/>
      </c>
      <c r="BD236">
        <f>IFERROR(INDEX(PP_Grid[#Data],$DE236,53),0)</f>
        <v/>
      </c>
      <c r="BE236">
        <f>IFERROR(INDEX(PP_Grid[#Data],$DE236,54),0)</f>
        <v/>
      </c>
      <c r="BF236">
        <f>IFERROR(INDEX(PP_Grid[#Data],$DE236,55),0)</f>
        <v/>
      </c>
      <c r="BG236">
        <f>IFERROR(INDEX(PP_Grid[#Data],$DE236,56),0)</f>
        <v/>
      </c>
      <c r="BH236">
        <f>IFERROR(INDEX(PP_Grid[#Data],$DE236,57),0)</f>
        <v/>
      </c>
      <c r="BI236">
        <f>IFERROR(INDEX(PP_Grid[#Data],$DE236,58),0)</f>
        <v/>
      </c>
      <c r="BJ236">
        <f>IFERROR(INDEX(PP_Grid[#Data],$DE236,59),0)</f>
        <v/>
      </c>
      <c r="BK236">
        <f>IFERROR(INDEX(PP_Grid[#Data],$DE236,60),0)</f>
        <v/>
      </c>
      <c r="BL236">
        <f>IFERROR(INDEX(PP_Grid[#Data],$DE236,61),0)</f>
        <v/>
      </c>
      <c r="BM236">
        <f>IFERROR(INDEX(PP_Grid[#Data],$DE236,62),0)</f>
        <v/>
      </c>
      <c r="BN236">
        <f>IFERROR(INDEX(PP_Grid[#Data],$DE236,63),0)</f>
        <v/>
      </c>
      <c r="BO236">
        <f>IFERROR(INDEX(PP_Grid[#Data],$DE236,64),0)</f>
        <v/>
      </c>
      <c r="BP236">
        <f>IFERROR(INDEX(PP_Grid[#Data],$DE236,65),0)</f>
        <v/>
      </c>
      <c r="BQ236">
        <f>IFERROR(INDEX(PP_Grid[#Data],$DE236,66),0)</f>
        <v/>
      </c>
      <c r="BR236">
        <f>IFERROR(INDEX(PP_Grid[#Data],$DE236,67),0)</f>
        <v/>
      </c>
      <c r="BS236">
        <f>IFERROR(INDEX(PP_Grid[#Data],$DE236,68),0)</f>
        <v/>
      </c>
      <c r="BT236">
        <f>IFERROR(INDEX(PP_Grid[#Data],$DE236,69),0)</f>
        <v/>
      </c>
      <c r="BU236">
        <f>IFERROR(INDEX(PP_Grid[#Data],$DE236,70),0)</f>
        <v/>
      </c>
      <c r="BV236">
        <f>IFERROR(INDEX(PP_Grid[#Data],$DE236,71),0)</f>
        <v/>
      </c>
      <c r="BW236">
        <f>IFERROR(INDEX(PP_Grid[#Data],$DE236,72),0)</f>
        <v/>
      </c>
      <c r="BX236">
        <f>IFERROR(INDEX(PP_Grid[#Data],$DE236,73),0)</f>
        <v/>
      </c>
      <c r="BY236">
        <f>IFERROR(INDEX(PP_Grid[#Data],$DE236,74),0)</f>
        <v/>
      </c>
      <c r="BZ236">
        <f>IFERROR(INDEX(PP_Grid[#Data],$DE236,75),0)</f>
        <v/>
      </c>
      <c r="CA236">
        <f>IFERROR(INDEX(PP_Grid[#Data],$DE236,76),0)</f>
        <v/>
      </c>
      <c r="CB236">
        <f>IFERROR(INDEX(PP_Grid[#Data],$DE236,77),0)</f>
        <v/>
      </c>
      <c r="CC236">
        <f>IFERROR(INDEX(PP_Grid[#Data],$DE236,78),0)</f>
        <v/>
      </c>
      <c r="CD236">
        <f>IFERROR(INDEX(PP_Grid[#Data],$DE236,79),0)</f>
        <v/>
      </c>
      <c r="CE236">
        <f>IFERROR(INDEX(PP_Grid[#Data],$DE236,80),0)</f>
        <v/>
      </c>
      <c r="CF236">
        <f>IFERROR(INDEX(PP_Grid[#Data],$DE236,81),0)</f>
        <v/>
      </c>
      <c r="CG236">
        <f>IFERROR(INDEX(PP_Grid[#Data],$DE236,82),0)</f>
        <v/>
      </c>
      <c r="CH236">
        <f>IFERROR(INDEX(PP_Grid[#Data],$DE236,83),0)</f>
        <v/>
      </c>
      <c r="CI236">
        <f>IFERROR(INDEX(PP_Grid[#Data],$DE236,84),0)</f>
        <v/>
      </c>
      <c r="CJ236">
        <f>IFERROR(INDEX(PP_Grid[#Data],$DE236,85),0)</f>
        <v/>
      </c>
      <c r="CK236">
        <f>IFERROR(INDEX(PP_Grid[#Data],$DE236,86),0)</f>
        <v/>
      </c>
      <c r="CL236">
        <f>IFERROR(INDEX(PP_Grid[#Data],$DE236,87),0)</f>
        <v/>
      </c>
      <c r="CM236">
        <f>IFERROR(INDEX(PP_Grid[#Data],$DE236,88),0)</f>
        <v/>
      </c>
      <c r="CN236">
        <f>IFERROR(INDEX(PP_Grid[#Data],$DE236,89),0)</f>
        <v/>
      </c>
      <c r="CO236">
        <f>IFERROR(INDEX(PP_Grid[#Data],$DE236,90),0)</f>
        <v/>
      </c>
      <c r="CP236">
        <f>IFERROR(INDEX(PP_Grid[#Data],$DE236,91),0)</f>
        <v/>
      </c>
      <c r="CQ236">
        <f>IFERROR(INDEX(PP_Grid[#Data],$DE236,92),0)</f>
        <v/>
      </c>
      <c r="CR236">
        <f>IFERROR(INDEX(PP_Grid[#Data],$DE236,93),0)</f>
        <v/>
      </c>
      <c r="CS236">
        <f>IFERROR(INDEX(PP_Grid[#Data],$DE236,94),0)</f>
        <v/>
      </c>
      <c r="CT236">
        <f>IFERROR(INDEX(PP_Grid[#Data],$DE236,95),0)</f>
        <v/>
      </c>
      <c r="CU236">
        <f>IFERROR(INDEX(PP_Grid[#Data],$DE236,96),0)</f>
        <v/>
      </c>
      <c r="CV236">
        <f>IFERROR(INDEX(PP_Grid[#Data],$DE236,97),0)</f>
        <v/>
      </c>
      <c r="CW236">
        <f>IFERROR(INDEX(PP_Grid[#Data],$DE236,98),0)</f>
        <v/>
      </c>
      <c r="CX236">
        <f>IFERROR(INDEX(PP_Grid[#Data],$DE236,99),0)</f>
        <v/>
      </c>
      <c r="CY236">
        <f>IFERROR(INDEX(PP_Grid[#Data],$DE236,100),0)</f>
        <v/>
      </c>
      <c r="CZ236">
        <f>IFERROR(INDEX(PP_Grid[#Data],$DE236,101),0)</f>
        <v/>
      </c>
      <c r="DA236">
        <f>IFERROR(INDEX(PP_Grid[#Data],$DE236,102),0)</f>
        <v/>
      </c>
      <c r="DB236">
        <f>IFERROR(INDEX(PP_Grid[#Data],$DE236,103),0)</f>
        <v/>
      </c>
      <c r="DC236">
        <f>IFERROR(INDEX(PP_Grid[#Data],$DE236,104),0)</f>
        <v/>
      </c>
      <c r="DD236">
        <f>IFERROR(INDEX(PP_Grid[#Data],$DE236,105),0)</f>
        <v/>
      </c>
      <c r="DE236" s="7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SUMIFS(M_BOM[RM_Qty_Per_Batch],M_BOM[Intermediate],$B236,M_BOM[RM_Code],$A187)</f>
        <v/>
      </c>
      <c r="D237">
        <f>IFERROR(INDEX(E237:DD237,$F$1),"")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  <c r="DD237">
        <f>$C237*DD236</f>
        <v/>
      </c>
    </row>
    <row r="238">
      <c r="B238" t="inlineStr">
        <is>
          <t>TSP-668</t>
        </is>
      </c>
      <c r="C238" t="inlineStr">
        <is>
          <t>No. of batches</t>
        </is>
      </c>
      <c r="D238">
        <f>IFERROR(INDEX(E238:DD238,$F$1),"")</f>
        <v/>
      </c>
      <c r="E238">
        <f>IFERROR(INDEX(PP_Grid[#Data],$DE238,2),0)</f>
        <v/>
      </c>
      <c r="F238">
        <f>IFERROR(INDEX(PP_Grid[#Data],$DE238,3),0)</f>
        <v/>
      </c>
      <c r="G238">
        <f>IFERROR(INDEX(PP_Grid[#Data],$DE238,4),0)</f>
        <v/>
      </c>
      <c r="H238">
        <f>IFERROR(INDEX(PP_Grid[#Data],$DE238,5),0)</f>
        <v/>
      </c>
      <c r="I238">
        <f>IFERROR(INDEX(PP_Grid[#Data],$DE238,6),0)</f>
        <v/>
      </c>
      <c r="J238">
        <f>IFERROR(INDEX(PP_Grid[#Data],$DE238,7),0)</f>
        <v/>
      </c>
      <c r="K238">
        <f>IFERROR(INDEX(PP_Grid[#Data],$DE238,8),0)</f>
        <v/>
      </c>
      <c r="L238">
        <f>IFERROR(INDEX(PP_Grid[#Data],$DE238,9),0)</f>
        <v/>
      </c>
      <c r="M238">
        <f>IFERROR(INDEX(PP_Grid[#Data],$DE238,10),0)</f>
        <v/>
      </c>
      <c r="N238">
        <f>IFERROR(INDEX(PP_Grid[#Data],$DE238,11),0)</f>
        <v/>
      </c>
      <c r="O238">
        <f>IFERROR(INDEX(PP_Grid[#Data],$DE238,12),0)</f>
        <v/>
      </c>
      <c r="P238">
        <f>IFERROR(INDEX(PP_Grid[#Data],$DE238,13),0)</f>
        <v/>
      </c>
      <c r="Q238">
        <f>IFERROR(INDEX(PP_Grid[#Data],$DE238,14),0)</f>
        <v/>
      </c>
      <c r="R238">
        <f>IFERROR(INDEX(PP_Grid[#Data],$DE238,15),0)</f>
        <v/>
      </c>
      <c r="S238">
        <f>IFERROR(INDEX(PP_Grid[#Data],$DE238,16),0)</f>
        <v/>
      </c>
      <c r="T238">
        <f>IFERROR(INDEX(PP_Grid[#Data],$DE238,17),0)</f>
        <v/>
      </c>
      <c r="U238">
        <f>IFERROR(INDEX(PP_Grid[#Data],$DE238,18),0)</f>
        <v/>
      </c>
      <c r="V238">
        <f>IFERROR(INDEX(PP_Grid[#Data],$DE238,19),0)</f>
        <v/>
      </c>
      <c r="W238">
        <f>IFERROR(INDEX(PP_Grid[#Data],$DE238,20),0)</f>
        <v/>
      </c>
      <c r="X238">
        <f>IFERROR(INDEX(PP_Grid[#Data],$DE238,21),0)</f>
        <v/>
      </c>
      <c r="Y238">
        <f>IFERROR(INDEX(PP_Grid[#Data],$DE238,22),0)</f>
        <v/>
      </c>
      <c r="Z238">
        <f>IFERROR(INDEX(PP_Grid[#Data],$DE238,23),0)</f>
        <v/>
      </c>
      <c r="AA238">
        <f>IFERROR(INDEX(PP_Grid[#Data],$DE238,24),0)</f>
        <v/>
      </c>
      <c r="AB238">
        <f>IFERROR(INDEX(PP_Grid[#Data],$DE238,25),0)</f>
        <v/>
      </c>
      <c r="AC238">
        <f>IFERROR(INDEX(PP_Grid[#Data],$DE238,26),0)</f>
        <v/>
      </c>
      <c r="AD238">
        <f>IFERROR(INDEX(PP_Grid[#Data],$DE238,27),0)</f>
        <v/>
      </c>
      <c r="AE238">
        <f>IFERROR(INDEX(PP_Grid[#Data],$DE238,28),0)</f>
        <v/>
      </c>
      <c r="AF238">
        <f>IFERROR(INDEX(PP_Grid[#Data],$DE238,29),0)</f>
        <v/>
      </c>
      <c r="AG238">
        <f>IFERROR(INDEX(PP_Grid[#Data],$DE238,30),0)</f>
        <v/>
      </c>
      <c r="AH238">
        <f>IFERROR(INDEX(PP_Grid[#Data],$DE238,31),0)</f>
        <v/>
      </c>
      <c r="AI238">
        <f>IFERROR(INDEX(PP_Grid[#Data],$DE238,32),0)</f>
        <v/>
      </c>
      <c r="AJ238">
        <f>IFERROR(INDEX(PP_Grid[#Data],$DE238,33),0)</f>
        <v/>
      </c>
      <c r="AK238">
        <f>IFERROR(INDEX(PP_Grid[#Data],$DE238,34),0)</f>
        <v/>
      </c>
      <c r="AL238">
        <f>IFERROR(INDEX(PP_Grid[#Data],$DE238,35),0)</f>
        <v/>
      </c>
      <c r="AM238">
        <f>IFERROR(INDEX(PP_Grid[#Data],$DE238,36),0)</f>
        <v/>
      </c>
      <c r="AN238">
        <f>IFERROR(INDEX(PP_Grid[#Data],$DE238,37),0)</f>
        <v/>
      </c>
      <c r="AO238">
        <f>IFERROR(INDEX(PP_Grid[#Data],$DE238,38),0)</f>
        <v/>
      </c>
      <c r="AP238">
        <f>IFERROR(INDEX(PP_Grid[#Data],$DE238,39),0)</f>
        <v/>
      </c>
      <c r="AQ238">
        <f>IFERROR(INDEX(PP_Grid[#Data],$DE238,40),0)</f>
        <v/>
      </c>
      <c r="AR238">
        <f>IFERROR(INDEX(PP_Grid[#Data],$DE238,41),0)</f>
        <v/>
      </c>
      <c r="AS238">
        <f>IFERROR(INDEX(PP_Grid[#Data],$DE238,42),0)</f>
        <v/>
      </c>
      <c r="AT238">
        <f>IFERROR(INDEX(PP_Grid[#Data],$DE238,43),0)</f>
        <v/>
      </c>
      <c r="AU238">
        <f>IFERROR(INDEX(PP_Grid[#Data],$DE238,44),0)</f>
        <v/>
      </c>
      <c r="AV238">
        <f>IFERROR(INDEX(PP_Grid[#Data],$DE238,45),0)</f>
        <v/>
      </c>
      <c r="AW238">
        <f>IFERROR(INDEX(PP_Grid[#Data],$DE238,46),0)</f>
        <v/>
      </c>
      <c r="AX238">
        <f>IFERROR(INDEX(PP_Grid[#Data],$DE238,47),0)</f>
        <v/>
      </c>
      <c r="AY238">
        <f>IFERROR(INDEX(PP_Grid[#Data],$DE238,48),0)</f>
        <v/>
      </c>
      <c r="AZ238">
        <f>IFERROR(INDEX(PP_Grid[#Data],$DE238,49),0)</f>
        <v/>
      </c>
      <c r="BA238">
        <f>IFERROR(INDEX(PP_Grid[#Data],$DE238,50),0)</f>
        <v/>
      </c>
      <c r="BB238">
        <f>IFERROR(INDEX(PP_Grid[#Data],$DE238,51),0)</f>
        <v/>
      </c>
      <c r="BC238">
        <f>IFERROR(INDEX(PP_Grid[#Data],$DE238,52),0)</f>
        <v/>
      </c>
      <c r="BD238">
        <f>IFERROR(INDEX(PP_Grid[#Data],$DE238,53),0)</f>
        <v/>
      </c>
      <c r="BE238">
        <f>IFERROR(INDEX(PP_Grid[#Data],$DE238,54),0)</f>
        <v/>
      </c>
      <c r="BF238">
        <f>IFERROR(INDEX(PP_Grid[#Data],$DE238,55),0)</f>
        <v/>
      </c>
      <c r="BG238">
        <f>IFERROR(INDEX(PP_Grid[#Data],$DE238,56),0)</f>
        <v/>
      </c>
      <c r="BH238">
        <f>IFERROR(INDEX(PP_Grid[#Data],$DE238,57),0)</f>
        <v/>
      </c>
      <c r="BI238">
        <f>IFERROR(INDEX(PP_Grid[#Data],$DE238,58),0)</f>
        <v/>
      </c>
      <c r="BJ238">
        <f>IFERROR(INDEX(PP_Grid[#Data],$DE238,59),0)</f>
        <v/>
      </c>
      <c r="BK238">
        <f>IFERROR(INDEX(PP_Grid[#Data],$DE238,60),0)</f>
        <v/>
      </c>
      <c r="BL238">
        <f>IFERROR(INDEX(PP_Grid[#Data],$DE238,61),0)</f>
        <v/>
      </c>
      <c r="BM238">
        <f>IFERROR(INDEX(PP_Grid[#Data],$DE238,62),0)</f>
        <v/>
      </c>
      <c r="BN238">
        <f>IFERROR(INDEX(PP_Grid[#Data],$DE238,63),0)</f>
        <v/>
      </c>
      <c r="BO238">
        <f>IFERROR(INDEX(PP_Grid[#Data],$DE238,64),0)</f>
        <v/>
      </c>
      <c r="BP238">
        <f>IFERROR(INDEX(PP_Grid[#Data],$DE238,65),0)</f>
        <v/>
      </c>
      <c r="BQ238">
        <f>IFERROR(INDEX(PP_Grid[#Data],$DE238,66),0)</f>
        <v/>
      </c>
      <c r="BR238">
        <f>IFERROR(INDEX(PP_Grid[#Data],$DE238,67),0)</f>
        <v/>
      </c>
      <c r="BS238">
        <f>IFERROR(INDEX(PP_Grid[#Data],$DE238,68),0)</f>
        <v/>
      </c>
      <c r="BT238">
        <f>IFERROR(INDEX(PP_Grid[#Data],$DE238,69),0)</f>
        <v/>
      </c>
      <c r="BU238">
        <f>IFERROR(INDEX(PP_Grid[#Data],$DE238,70),0)</f>
        <v/>
      </c>
      <c r="BV238">
        <f>IFERROR(INDEX(PP_Grid[#Data],$DE238,71),0)</f>
        <v/>
      </c>
      <c r="BW238">
        <f>IFERROR(INDEX(PP_Grid[#Data],$DE238,72),0)</f>
        <v/>
      </c>
      <c r="BX238">
        <f>IFERROR(INDEX(PP_Grid[#Data],$DE238,73),0)</f>
        <v/>
      </c>
      <c r="BY238">
        <f>IFERROR(INDEX(PP_Grid[#Data],$DE238,74),0)</f>
        <v/>
      </c>
      <c r="BZ238">
        <f>IFERROR(INDEX(PP_Grid[#Data],$DE238,75),0)</f>
        <v/>
      </c>
      <c r="CA238">
        <f>IFERROR(INDEX(PP_Grid[#Data],$DE238,76),0)</f>
        <v/>
      </c>
      <c r="CB238">
        <f>IFERROR(INDEX(PP_Grid[#Data],$DE238,77),0)</f>
        <v/>
      </c>
      <c r="CC238">
        <f>IFERROR(INDEX(PP_Grid[#Data],$DE238,78),0)</f>
        <v/>
      </c>
      <c r="CD238">
        <f>IFERROR(INDEX(PP_Grid[#Data],$DE238,79),0)</f>
        <v/>
      </c>
      <c r="CE238">
        <f>IFERROR(INDEX(PP_Grid[#Data],$DE238,80),0)</f>
        <v/>
      </c>
      <c r="CF238">
        <f>IFERROR(INDEX(PP_Grid[#Data],$DE238,81),0)</f>
        <v/>
      </c>
      <c r="CG238">
        <f>IFERROR(INDEX(PP_Grid[#Data],$DE238,82),0)</f>
        <v/>
      </c>
      <c r="CH238">
        <f>IFERROR(INDEX(PP_Grid[#Data],$DE238,83),0)</f>
        <v/>
      </c>
      <c r="CI238">
        <f>IFERROR(INDEX(PP_Grid[#Data],$DE238,84),0)</f>
        <v/>
      </c>
      <c r="CJ238">
        <f>IFERROR(INDEX(PP_Grid[#Data],$DE238,85),0)</f>
        <v/>
      </c>
      <c r="CK238">
        <f>IFERROR(INDEX(PP_Grid[#Data],$DE238,86),0)</f>
        <v/>
      </c>
      <c r="CL238">
        <f>IFERROR(INDEX(PP_Grid[#Data],$DE238,87),0)</f>
        <v/>
      </c>
      <c r="CM238">
        <f>IFERROR(INDEX(PP_Grid[#Data],$DE238,88),0)</f>
        <v/>
      </c>
      <c r="CN238">
        <f>IFERROR(INDEX(PP_Grid[#Data],$DE238,89),0)</f>
        <v/>
      </c>
      <c r="CO238">
        <f>IFERROR(INDEX(PP_Grid[#Data],$DE238,90),0)</f>
        <v/>
      </c>
      <c r="CP238">
        <f>IFERROR(INDEX(PP_Grid[#Data],$DE238,91),0)</f>
        <v/>
      </c>
      <c r="CQ238">
        <f>IFERROR(INDEX(PP_Grid[#Data],$DE238,92),0)</f>
        <v/>
      </c>
      <c r="CR238">
        <f>IFERROR(INDEX(PP_Grid[#Data],$DE238,93),0)</f>
        <v/>
      </c>
      <c r="CS238">
        <f>IFERROR(INDEX(PP_Grid[#Data],$DE238,94),0)</f>
        <v/>
      </c>
      <c r="CT238">
        <f>IFERROR(INDEX(PP_Grid[#Data],$DE238,95),0)</f>
        <v/>
      </c>
      <c r="CU238">
        <f>IFERROR(INDEX(PP_Grid[#Data],$DE238,96),0)</f>
        <v/>
      </c>
      <c r="CV238">
        <f>IFERROR(INDEX(PP_Grid[#Data],$DE238,97),0)</f>
        <v/>
      </c>
      <c r="CW238">
        <f>IFERROR(INDEX(PP_Grid[#Data],$DE238,98),0)</f>
        <v/>
      </c>
      <c r="CX238">
        <f>IFERROR(INDEX(PP_Grid[#Data],$DE238,99),0)</f>
        <v/>
      </c>
      <c r="CY238">
        <f>IFERROR(INDEX(PP_Grid[#Data],$DE238,100),0)</f>
        <v/>
      </c>
      <c r="CZ238">
        <f>IFERROR(INDEX(PP_Grid[#Data],$DE238,101),0)</f>
        <v/>
      </c>
      <c r="DA238">
        <f>IFERROR(INDEX(PP_Grid[#Data],$DE238,102),0)</f>
        <v/>
      </c>
      <c r="DB238">
        <f>IFERROR(INDEX(PP_Grid[#Data],$DE238,103),0)</f>
        <v/>
      </c>
      <c r="DC238">
        <f>IFERROR(INDEX(PP_Grid[#Data],$DE238,104),0)</f>
        <v/>
      </c>
      <c r="DD238">
        <f>IFERROR(INDEX(PP_Grid[#Data],$DE238,105),0)</f>
        <v/>
      </c>
      <c r="DE238" s="7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SUMIFS(M_BOM[RM_Qty_Per_Batch],M_BOM[Intermediate],$B238,M_BOM[RM_Code],$A187)</f>
        <v/>
      </c>
      <c r="D239">
        <f>IFERROR(INDEX(E239:DD239,$F$1),"")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  <c r="DD239">
        <f>$C239*DD238</f>
        <v/>
      </c>
    </row>
    <row r="240">
      <c r="B240" t="inlineStr">
        <is>
          <t>TSP-669</t>
        </is>
      </c>
      <c r="C240" t="inlineStr">
        <is>
          <t>No. of batches</t>
        </is>
      </c>
      <c r="D240">
        <f>IFERROR(INDEX(E240:DD240,$F$1),"")</f>
        <v/>
      </c>
      <c r="E240">
        <f>IFERROR(INDEX(PP_Grid[#Data],$DE240,2),0)</f>
        <v/>
      </c>
      <c r="F240">
        <f>IFERROR(INDEX(PP_Grid[#Data],$DE240,3),0)</f>
        <v/>
      </c>
      <c r="G240">
        <f>IFERROR(INDEX(PP_Grid[#Data],$DE240,4),0)</f>
        <v/>
      </c>
      <c r="H240">
        <f>IFERROR(INDEX(PP_Grid[#Data],$DE240,5),0)</f>
        <v/>
      </c>
      <c r="I240">
        <f>IFERROR(INDEX(PP_Grid[#Data],$DE240,6),0)</f>
        <v/>
      </c>
      <c r="J240">
        <f>IFERROR(INDEX(PP_Grid[#Data],$DE240,7),0)</f>
        <v/>
      </c>
      <c r="K240">
        <f>IFERROR(INDEX(PP_Grid[#Data],$DE240,8),0)</f>
        <v/>
      </c>
      <c r="L240">
        <f>IFERROR(INDEX(PP_Grid[#Data],$DE240,9),0)</f>
        <v/>
      </c>
      <c r="M240">
        <f>IFERROR(INDEX(PP_Grid[#Data],$DE240,10),0)</f>
        <v/>
      </c>
      <c r="N240">
        <f>IFERROR(INDEX(PP_Grid[#Data],$DE240,11),0)</f>
        <v/>
      </c>
      <c r="O240">
        <f>IFERROR(INDEX(PP_Grid[#Data],$DE240,12),0)</f>
        <v/>
      </c>
      <c r="P240">
        <f>IFERROR(INDEX(PP_Grid[#Data],$DE240,13),0)</f>
        <v/>
      </c>
      <c r="Q240">
        <f>IFERROR(INDEX(PP_Grid[#Data],$DE240,14),0)</f>
        <v/>
      </c>
      <c r="R240">
        <f>IFERROR(INDEX(PP_Grid[#Data],$DE240,15),0)</f>
        <v/>
      </c>
      <c r="S240">
        <f>IFERROR(INDEX(PP_Grid[#Data],$DE240,16),0)</f>
        <v/>
      </c>
      <c r="T240">
        <f>IFERROR(INDEX(PP_Grid[#Data],$DE240,17),0)</f>
        <v/>
      </c>
      <c r="U240">
        <f>IFERROR(INDEX(PP_Grid[#Data],$DE240,18),0)</f>
        <v/>
      </c>
      <c r="V240">
        <f>IFERROR(INDEX(PP_Grid[#Data],$DE240,19),0)</f>
        <v/>
      </c>
      <c r="W240">
        <f>IFERROR(INDEX(PP_Grid[#Data],$DE240,20),0)</f>
        <v/>
      </c>
      <c r="X240">
        <f>IFERROR(INDEX(PP_Grid[#Data],$DE240,21),0)</f>
        <v/>
      </c>
      <c r="Y240">
        <f>IFERROR(INDEX(PP_Grid[#Data],$DE240,22),0)</f>
        <v/>
      </c>
      <c r="Z240">
        <f>IFERROR(INDEX(PP_Grid[#Data],$DE240,23),0)</f>
        <v/>
      </c>
      <c r="AA240">
        <f>IFERROR(INDEX(PP_Grid[#Data],$DE240,24),0)</f>
        <v/>
      </c>
      <c r="AB240">
        <f>IFERROR(INDEX(PP_Grid[#Data],$DE240,25),0)</f>
        <v/>
      </c>
      <c r="AC240">
        <f>IFERROR(INDEX(PP_Grid[#Data],$DE240,26),0)</f>
        <v/>
      </c>
      <c r="AD240">
        <f>IFERROR(INDEX(PP_Grid[#Data],$DE240,27),0)</f>
        <v/>
      </c>
      <c r="AE240">
        <f>IFERROR(INDEX(PP_Grid[#Data],$DE240,28),0)</f>
        <v/>
      </c>
      <c r="AF240">
        <f>IFERROR(INDEX(PP_Grid[#Data],$DE240,29),0)</f>
        <v/>
      </c>
      <c r="AG240">
        <f>IFERROR(INDEX(PP_Grid[#Data],$DE240,30),0)</f>
        <v/>
      </c>
      <c r="AH240">
        <f>IFERROR(INDEX(PP_Grid[#Data],$DE240,31),0)</f>
        <v/>
      </c>
      <c r="AI240">
        <f>IFERROR(INDEX(PP_Grid[#Data],$DE240,32),0)</f>
        <v/>
      </c>
      <c r="AJ240">
        <f>IFERROR(INDEX(PP_Grid[#Data],$DE240,33),0)</f>
        <v/>
      </c>
      <c r="AK240">
        <f>IFERROR(INDEX(PP_Grid[#Data],$DE240,34),0)</f>
        <v/>
      </c>
      <c r="AL240">
        <f>IFERROR(INDEX(PP_Grid[#Data],$DE240,35),0)</f>
        <v/>
      </c>
      <c r="AM240">
        <f>IFERROR(INDEX(PP_Grid[#Data],$DE240,36),0)</f>
        <v/>
      </c>
      <c r="AN240">
        <f>IFERROR(INDEX(PP_Grid[#Data],$DE240,37),0)</f>
        <v/>
      </c>
      <c r="AO240">
        <f>IFERROR(INDEX(PP_Grid[#Data],$DE240,38),0)</f>
        <v/>
      </c>
      <c r="AP240">
        <f>IFERROR(INDEX(PP_Grid[#Data],$DE240,39),0)</f>
        <v/>
      </c>
      <c r="AQ240">
        <f>IFERROR(INDEX(PP_Grid[#Data],$DE240,40),0)</f>
        <v/>
      </c>
      <c r="AR240">
        <f>IFERROR(INDEX(PP_Grid[#Data],$DE240,41),0)</f>
        <v/>
      </c>
      <c r="AS240">
        <f>IFERROR(INDEX(PP_Grid[#Data],$DE240,42),0)</f>
        <v/>
      </c>
      <c r="AT240">
        <f>IFERROR(INDEX(PP_Grid[#Data],$DE240,43),0)</f>
        <v/>
      </c>
      <c r="AU240">
        <f>IFERROR(INDEX(PP_Grid[#Data],$DE240,44),0)</f>
        <v/>
      </c>
      <c r="AV240">
        <f>IFERROR(INDEX(PP_Grid[#Data],$DE240,45),0)</f>
        <v/>
      </c>
      <c r="AW240">
        <f>IFERROR(INDEX(PP_Grid[#Data],$DE240,46),0)</f>
        <v/>
      </c>
      <c r="AX240">
        <f>IFERROR(INDEX(PP_Grid[#Data],$DE240,47),0)</f>
        <v/>
      </c>
      <c r="AY240">
        <f>IFERROR(INDEX(PP_Grid[#Data],$DE240,48),0)</f>
        <v/>
      </c>
      <c r="AZ240">
        <f>IFERROR(INDEX(PP_Grid[#Data],$DE240,49),0)</f>
        <v/>
      </c>
      <c r="BA240">
        <f>IFERROR(INDEX(PP_Grid[#Data],$DE240,50),0)</f>
        <v/>
      </c>
      <c r="BB240">
        <f>IFERROR(INDEX(PP_Grid[#Data],$DE240,51),0)</f>
        <v/>
      </c>
      <c r="BC240">
        <f>IFERROR(INDEX(PP_Grid[#Data],$DE240,52),0)</f>
        <v/>
      </c>
      <c r="BD240">
        <f>IFERROR(INDEX(PP_Grid[#Data],$DE240,53),0)</f>
        <v/>
      </c>
      <c r="BE240">
        <f>IFERROR(INDEX(PP_Grid[#Data],$DE240,54),0)</f>
        <v/>
      </c>
      <c r="BF240">
        <f>IFERROR(INDEX(PP_Grid[#Data],$DE240,55),0)</f>
        <v/>
      </c>
      <c r="BG240">
        <f>IFERROR(INDEX(PP_Grid[#Data],$DE240,56),0)</f>
        <v/>
      </c>
      <c r="BH240">
        <f>IFERROR(INDEX(PP_Grid[#Data],$DE240,57),0)</f>
        <v/>
      </c>
      <c r="BI240">
        <f>IFERROR(INDEX(PP_Grid[#Data],$DE240,58),0)</f>
        <v/>
      </c>
      <c r="BJ240">
        <f>IFERROR(INDEX(PP_Grid[#Data],$DE240,59),0)</f>
        <v/>
      </c>
      <c r="BK240">
        <f>IFERROR(INDEX(PP_Grid[#Data],$DE240,60),0)</f>
        <v/>
      </c>
      <c r="BL240">
        <f>IFERROR(INDEX(PP_Grid[#Data],$DE240,61),0)</f>
        <v/>
      </c>
      <c r="BM240">
        <f>IFERROR(INDEX(PP_Grid[#Data],$DE240,62),0)</f>
        <v/>
      </c>
      <c r="BN240">
        <f>IFERROR(INDEX(PP_Grid[#Data],$DE240,63),0)</f>
        <v/>
      </c>
      <c r="BO240">
        <f>IFERROR(INDEX(PP_Grid[#Data],$DE240,64),0)</f>
        <v/>
      </c>
      <c r="BP240">
        <f>IFERROR(INDEX(PP_Grid[#Data],$DE240,65),0)</f>
        <v/>
      </c>
      <c r="BQ240">
        <f>IFERROR(INDEX(PP_Grid[#Data],$DE240,66),0)</f>
        <v/>
      </c>
      <c r="BR240">
        <f>IFERROR(INDEX(PP_Grid[#Data],$DE240,67),0)</f>
        <v/>
      </c>
      <c r="BS240">
        <f>IFERROR(INDEX(PP_Grid[#Data],$DE240,68),0)</f>
        <v/>
      </c>
      <c r="BT240">
        <f>IFERROR(INDEX(PP_Grid[#Data],$DE240,69),0)</f>
        <v/>
      </c>
      <c r="BU240">
        <f>IFERROR(INDEX(PP_Grid[#Data],$DE240,70),0)</f>
        <v/>
      </c>
      <c r="BV240">
        <f>IFERROR(INDEX(PP_Grid[#Data],$DE240,71),0)</f>
        <v/>
      </c>
      <c r="BW240">
        <f>IFERROR(INDEX(PP_Grid[#Data],$DE240,72),0)</f>
        <v/>
      </c>
      <c r="BX240">
        <f>IFERROR(INDEX(PP_Grid[#Data],$DE240,73),0)</f>
        <v/>
      </c>
      <c r="BY240">
        <f>IFERROR(INDEX(PP_Grid[#Data],$DE240,74),0)</f>
        <v/>
      </c>
      <c r="BZ240">
        <f>IFERROR(INDEX(PP_Grid[#Data],$DE240,75),0)</f>
        <v/>
      </c>
      <c r="CA240">
        <f>IFERROR(INDEX(PP_Grid[#Data],$DE240,76),0)</f>
        <v/>
      </c>
      <c r="CB240">
        <f>IFERROR(INDEX(PP_Grid[#Data],$DE240,77),0)</f>
        <v/>
      </c>
      <c r="CC240">
        <f>IFERROR(INDEX(PP_Grid[#Data],$DE240,78),0)</f>
        <v/>
      </c>
      <c r="CD240">
        <f>IFERROR(INDEX(PP_Grid[#Data],$DE240,79),0)</f>
        <v/>
      </c>
      <c r="CE240">
        <f>IFERROR(INDEX(PP_Grid[#Data],$DE240,80),0)</f>
        <v/>
      </c>
      <c r="CF240">
        <f>IFERROR(INDEX(PP_Grid[#Data],$DE240,81),0)</f>
        <v/>
      </c>
      <c r="CG240">
        <f>IFERROR(INDEX(PP_Grid[#Data],$DE240,82),0)</f>
        <v/>
      </c>
      <c r="CH240">
        <f>IFERROR(INDEX(PP_Grid[#Data],$DE240,83),0)</f>
        <v/>
      </c>
      <c r="CI240">
        <f>IFERROR(INDEX(PP_Grid[#Data],$DE240,84),0)</f>
        <v/>
      </c>
      <c r="CJ240">
        <f>IFERROR(INDEX(PP_Grid[#Data],$DE240,85),0)</f>
        <v/>
      </c>
      <c r="CK240">
        <f>IFERROR(INDEX(PP_Grid[#Data],$DE240,86),0)</f>
        <v/>
      </c>
      <c r="CL240">
        <f>IFERROR(INDEX(PP_Grid[#Data],$DE240,87),0)</f>
        <v/>
      </c>
      <c r="CM240">
        <f>IFERROR(INDEX(PP_Grid[#Data],$DE240,88),0)</f>
        <v/>
      </c>
      <c r="CN240">
        <f>IFERROR(INDEX(PP_Grid[#Data],$DE240,89),0)</f>
        <v/>
      </c>
      <c r="CO240">
        <f>IFERROR(INDEX(PP_Grid[#Data],$DE240,90),0)</f>
        <v/>
      </c>
      <c r="CP240">
        <f>IFERROR(INDEX(PP_Grid[#Data],$DE240,91),0)</f>
        <v/>
      </c>
      <c r="CQ240">
        <f>IFERROR(INDEX(PP_Grid[#Data],$DE240,92),0)</f>
        <v/>
      </c>
      <c r="CR240">
        <f>IFERROR(INDEX(PP_Grid[#Data],$DE240,93),0)</f>
        <v/>
      </c>
      <c r="CS240">
        <f>IFERROR(INDEX(PP_Grid[#Data],$DE240,94),0)</f>
        <v/>
      </c>
      <c r="CT240">
        <f>IFERROR(INDEX(PP_Grid[#Data],$DE240,95),0)</f>
        <v/>
      </c>
      <c r="CU240">
        <f>IFERROR(INDEX(PP_Grid[#Data],$DE240,96),0)</f>
        <v/>
      </c>
      <c r="CV240">
        <f>IFERROR(INDEX(PP_Grid[#Data],$DE240,97),0)</f>
        <v/>
      </c>
      <c r="CW240">
        <f>IFERROR(INDEX(PP_Grid[#Data],$DE240,98),0)</f>
        <v/>
      </c>
      <c r="CX240">
        <f>IFERROR(INDEX(PP_Grid[#Data],$DE240,99),0)</f>
        <v/>
      </c>
      <c r="CY240">
        <f>IFERROR(INDEX(PP_Grid[#Data],$DE240,100),0)</f>
        <v/>
      </c>
      <c r="CZ240">
        <f>IFERROR(INDEX(PP_Grid[#Data],$DE240,101),0)</f>
        <v/>
      </c>
      <c r="DA240">
        <f>IFERROR(INDEX(PP_Grid[#Data],$DE240,102),0)</f>
        <v/>
      </c>
      <c r="DB240">
        <f>IFERROR(INDEX(PP_Grid[#Data],$DE240,103),0)</f>
        <v/>
      </c>
      <c r="DC240">
        <f>IFERROR(INDEX(PP_Grid[#Data],$DE240,104),0)</f>
        <v/>
      </c>
      <c r="DD240">
        <f>IFERROR(INDEX(PP_Grid[#Data],$DE240,105),0)</f>
        <v/>
      </c>
      <c r="DE240" s="7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SUMIFS(M_BOM[RM_Qty_Per_Batch],M_BOM[Intermediate],$B240,M_BOM[RM_Code],$A187)</f>
        <v/>
      </c>
      <c r="D241">
        <f>IFERROR(INDEX(E241:DD241,$F$1),"")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  <c r="DD241">
        <f>$C241*DD240</f>
        <v/>
      </c>
    </row>
    <row r="242">
      <c r="B242" t="inlineStr">
        <is>
          <t>TSP-670</t>
        </is>
      </c>
      <c r="C242" t="inlineStr">
        <is>
          <t>No. of batches</t>
        </is>
      </c>
      <c r="D242">
        <f>IFERROR(INDEX(E242:DD242,$F$1),"")</f>
        <v/>
      </c>
      <c r="E242">
        <f>IFERROR(INDEX(PP_Grid[#Data],$DE242,2),0)</f>
        <v/>
      </c>
      <c r="F242">
        <f>IFERROR(INDEX(PP_Grid[#Data],$DE242,3),0)</f>
        <v/>
      </c>
      <c r="G242">
        <f>IFERROR(INDEX(PP_Grid[#Data],$DE242,4),0)</f>
        <v/>
      </c>
      <c r="H242">
        <f>IFERROR(INDEX(PP_Grid[#Data],$DE242,5),0)</f>
        <v/>
      </c>
      <c r="I242">
        <f>IFERROR(INDEX(PP_Grid[#Data],$DE242,6),0)</f>
        <v/>
      </c>
      <c r="J242">
        <f>IFERROR(INDEX(PP_Grid[#Data],$DE242,7),0)</f>
        <v/>
      </c>
      <c r="K242">
        <f>IFERROR(INDEX(PP_Grid[#Data],$DE242,8),0)</f>
        <v/>
      </c>
      <c r="L242">
        <f>IFERROR(INDEX(PP_Grid[#Data],$DE242,9),0)</f>
        <v/>
      </c>
      <c r="M242">
        <f>IFERROR(INDEX(PP_Grid[#Data],$DE242,10),0)</f>
        <v/>
      </c>
      <c r="N242">
        <f>IFERROR(INDEX(PP_Grid[#Data],$DE242,11),0)</f>
        <v/>
      </c>
      <c r="O242">
        <f>IFERROR(INDEX(PP_Grid[#Data],$DE242,12),0)</f>
        <v/>
      </c>
      <c r="P242">
        <f>IFERROR(INDEX(PP_Grid[#Data],$DE242,13),0)</f>
        <v/>
      </c>
      <c r="Q242">
        <f>IFERROR(INDEX(PP_Grid[#Data],$DE242,14),0)</f>
        <v/>
      </c>
      <c r="R242">
        <f>IFERROR(INDEX(PP_Grid[#Data],$DE242,15),0)</f>
        <v/>
      </c>
      <c r="S242">
        <f>IFERROR(INDEX(PP_Grid[#Data],$DE242,16),0)</f>
        <v/>
      </c>
      <c r="T242">
        <f>IFERROR(INDEX(PP_Grid[#Data],$DE242,17),0)</f>
        <v/>
      </c>
      <c r="U242">
        <f>IFERROR(INDEX(PP_Grid[#Data],$DE242,18),0)</f>
        <v/>
      </c>
      <c r="V242">
        <f>IFERROR(INDEX(PP_Grid[#Data],$DE242,19),0)</f>
        <v/>
      </c>
      <c r="W242">
        <f>IFERROR(INDEX(PP_Grid[#Data],$DE242,20),0)</f>
        <v/>
      </c>
      <c r="X242">
        <f>IFERROR(INDEX(PP_Grid[#Data],$DE242,21),0)</f>
        <v/>
      </c>
      <c r="Y242">
        <f>IFERROR(INDEX(PP_Grid[#Data],$DE242,22),0)</f>
        <v/>
      </c>
      <c r="Z242">
        <f>IFERROR(INDEX(PP_Grid[#Data],$DE242,23),0)</f>
        <v/>
      </c>
      <c r="AA242">
        <f>IFERROR(INDEX(PP_Grid[#Data],$DE242,24),0)</f>
        <v/>
      </c>
      <c r="AB242">
        <f>IFERROR(INDEX(PP_Grid[#Data],$DE242,25),0)</f>
        <v/>
      </c>
      <c r="AC242">
        <f>IFERROR(INDEX(PP_Grid[#Data],$DE242,26),0)</f>
        <v/>
      </c>
      <c r="AD242">
        <f>IFERROR(INDEX(PP_Grid[#Data],$DE242,27),0)</f>
        <v/>
      </c>
      <c r="AE242">
        <f>IFERROR(INDEX(PP_Grid[#Data],$DE242,28),0)</f>
        <v/>
      </c>
      <c r="AF242">
        <f>IFERROR(INDEX(PP_Grid[#Data],$DE242,29),0)</f>
        <v/>
      </c>
      <c r="AG242">
        <f>IFERROR(INDEX(PP_Grid[#Data],$DE242,30),0)</f>
        <v/>
      </c>
      <c r="AH242">
        <f>IFERROR(INDEX(PP_Grid[#Data],$DE242,31),0)</f>
        <v/>
      </c>
      <c r="AI242">
        <f>IFERROR(INDEX(PP_Grid[#Data],$DE242,32),0)</f>
        <v/>
      </c>
      <c r="AJ242">
        <f>IFERROR(INDEX(PP_Grid[#Data],$DE242,33),0)</f>
        <v/>
      </c>
      <c r="AK242">
        <f>IFERROR(INDEX(PP_Grid[#Data],$DE242,34),0)</f>
        <v/>
      </c>
      <c r="AL242">
        <f>IFERROR(INDEX(PP_Grid[#Data],$DE242,35),0)</f>
        <v/>
      </c>
      <c r="AM242">
        <f>IFERROR(INDEX(PP_Grid[#Data],$DE242,36),0)</f>
        <v/>
      </c>
      <c r="AN242">
        <f>IFERROR(INDEX(PP_Grid[#Data],$DE242,37),0)</f>
        <v/>
      </c>
      <c r="AO242">
        <f>IFERROR(INDEX(PP_Grid[#Data],$DE242,38),0)</f>
        <v/>
      </c>
      <c r="AP242">
        <f>IFERROR(INDEX(PP_Grid[#Data],$DE242,39),0)</f>
        <v/>
      </c>
      <c r="AQ242">
        <f>IFERROR(INDEX(PP_Grid[#Data],$DE242,40),0)</f>
        <v/>
      </c>
      <c r="AR242">
        <f>IFERROR(INDEX(PP_Grid[#Data],$DE242,41),0)</f>
        <v/>
      </c>
      <c r="AS242">
        <f>IFERROR(INDEX(PP_Grid[#Data],$DE242,42),0)</f>
        <v/>
      </c>
      <c r="AT242">
        <f>IFERROR(INDEX(PP_Grid[#Data],$DE242,43),0)</f>
        <v/>
      </c>
      <c r="AU242">
        <f>IFERROR(INDEX(PP_Grid[#Data],$DE242,44),0)</f>
        <v/>
      </c>
      <c r="AV242">
        <f>IFERROR(INDEX(PP_Grid[#Data],$DE242,45),0)</f>
        <v/>
      </c>
      <c r="AW242">
        <f>IFERROR(INDEX(PP_Grid[#Data],$DE242,46),0)</f>
        <v/>
      </c>
      <c r="AX242">
        <f>IFERROR(INDEX(PP_Grid[#Data],$DE242,47),0)</f>
        <v/>
      </c>
      <c r="AY242">
        <f>IFERROR(INDEX(PP_Grid[#Data],$DE242,48),0)</f>
        <v/>
      </c>
      <c r="AZ242">
        <f>IFERROR(INDEX(PP_Grid[#Data],$DE242,49),0)</f>
        <v/>
      </c>
      <c r="BA242">
        <f>IFERROR(INDEX(PP_Grid[#Data],$DE242,50),0)</f>
        <v/>
      </c>
      <c r="BB242">
        <f>IFERROR(INDEX(PP_Grid[#Data],$DE242,51),0)</f>
        <v/>
      </c>
      <c r="BC242">
        <f>IFERROR(INDEX(PP_Grid[#Data],$DE242,52),0)</f>
        <v/>
      </c>
      <c r="BD242">
        <f>IFERROR(INDEX(PP_Grid[#Data],$DE242,53),0)</f>
        <v/>
      </c>
      <c r="BE242">
        <f>IFERROR(INDEX(PP_Grid[#Data],$DE242,54),0)</f>
        <v/>
      </c>
      <c r="BF242">
        <f>IFERROR(INDEX(PP_Grid[#Data],$DE242,55),0)</f>
        <v/>
      </c>
      <c r="BG242">
        <f>IFERROR(INDEX(PP_Grid[#Data],$DE242,56),0)</f>
        <v/>
      </c>
      <c r="BH242">
        <f>IFERROR(INDEX(PP_Grid[#Data],$DE242,57),0)</f>
        <v/>
      </c>
      <c r="BI242">
        <f>IFERROR(INDEX(PP_Grid[#Data],$DE242,58),0)</f>
        <v/>
      </c>
      <c r="BJ242">
        <f>IFERROR(INDEX(PP_Grid[#Data],$DE242,59),0)</f>
        <v/>
      </c>
      <c r="BK242">
        <f>IFERROR(INDEX(PP_Grid[#Data],$DE242,60),0)</f>
        <v/>
      </c>
      <c r="BL242">
        <f>IFERROR(INDEX(PP_Grid[#Data],$DE242,61),0)</f>
        <v/>
      </c>
      <c r="BM242">
        <f>IFERROR(INDEX(PP_Grid[#Data],$DE242,62),0)</f>
        <v/>
      </c>
      <c r="BN242">
        <f>IFERROR(INDEX(PP_Grid[#Data],$DE242,63),0)</f>
        <v/>
      </c>
      <c r="BO242">
        <f>IFERROR(INDEX(PP_Grid[#Data],$DE242,64),0)</f>
        <v/>
      </c>
      <c r="BP242">
        <f>IFERROR(INDEX(PP_Grid[#Data],$DE242,65),0)</f>
        <v/>
      </c>
      <c r="BQ242">
        <f>IFERROR(INDEX(PP_Grid[#Data],$DE242,66),0)</f>
        <v/>
      </c>
      <c r="BR242">
        <f>IFERROR(INDEX(PP_Grid[#Data],$DE242,67),0)</f>
        <v/>
      </c>
      <c r="BS242">
        <f>IFERROR(INDEX(PP_Grid[#Data],$DE242,68),0)</f>
        <v/>
      </c>
      <c r="BT242">
        <f>IFERROR(INDEX(PP_Grid[#Data],$DE242,69),0)</f>
        <v/>
      </c>
      <c r="BU242">
        <f>IFERROR(INDEX(PP_Grid[#Data],$DE242,70),0)</f>
        <v/>
      </c>
      <c r="BV242">
        <f>IFERROR(INDEX(PP_Grid[#Data],$DE242,71),0)</f>
        <v/>
      </c>
      <c r="BW242">
        <f>IFERROR(INDEX(PP_Grid[#Data],$DE242,72),0)</f>
        <v/>
      </c>
      <c r="BX242">
        <f>IFERROR(INDEX(PP_Grid[#Data],$DE242,73),0)</f>
        <v/>
      </c>
      <c r="BY242">
        <f>IFERROR(INDEX(PP_Grid[#Data],$DE242,74),0)</f>
        <v/>
      </c>
      <c r="BZ242">
        <f>IFERROR(INDEX(PP_Grid[#Data],$DE242,75),0)</f>
        <v/>
      </c>
      <c r="CA242">
        <f>IFERROR(INDEX(PP_Grid[#Data],$DE242,76),0)</f>
        <v/>
      </c>
      <c r="CB242">
        <f>IFERROR(INDEX(PP_Grid[#Data],$DE242,77),0)</f>
        <v/>
      </c>
      <c r="CC242">
        <f>IFERROR(INDEX(PP_Grid[#Data],$DE242,78),0)</f>
        <v/>
      </c>
      <c r="CD242">
        <f>IFERROR(INDEX(PP_Grid[#Data],$DE242,79),0)</f>
        <v/>
      </c>
      <c r="CE242">
        <f>IFERROR(INDEX(PP_Grid[#Data],$DE242,80),0)</f>
        <v/>
      </c>
      <c r="CF242">
        <f>IFERROR(INDEX(PP_Grid[#Data],$DE242,81),0)</f>
        <v/>
      </c>
      <c r="CG242">
        <f>IFERROR(INDEX(PP_Grid[#Data],$DE242,82),0)</f>
        <v/>
      </c>
      <c r="CH242">
        <f>IFERROR(INDEX(PP_Grid[#Data],$DE242,83),0)</f>
        <v/>
      </c>
      <c r="CI242">
        <f>IFERROR(INDEX(PP_Grid[#Data],$DE242,84),0)</f>
        <v/>
      </c>
      <c r="CJ242">
        <f>IFERROR(INDEX(PP_Grid[#Data],$DE242,85),0)</f>
        <v/>
      </c>
      <c r="CK242">
        <f>IFERROR(INDEX(PP_Grid[#Data],$DE242,86),0)</f>
        <v/>
      </c>
      <c r="CL242">
        <f>IFERROR(INDEX(PP_Grid[#Data],$DE242,87),0)</f>
        <v/>
      </c>
      <c r="CM242">
        <f>IFERROR(INDEX(PP_Grid[#Data],$DE242,88),0)</f>
        <v/>
      </c>
      <c r="CN242">
        <f>IFERROR(INDEX(PP_Grid[#Data],$DE242,89),0)</f>
        <v/>
      </c>
      <c r="CO242">
        <f>IFERROR(INDEX(PP_Grid[#Data],$DE242,90),0)</f>
        <v/>
      </c>
      <c r="CP242">
        <f>IFERROR(INDEX(PP_Grid[#Data],$DE242,91),0)</f>
        <v/>
      </c>
      <c r="CQ242">
        <f>IFERROR(INDEX(PP_Grid[#Data],$DE242,92),0)</f>
        <v/>
      </c>
      <c r="CR242">
        <f>IFERROR(INDEX(PP_Grid[#Data],$DE242,93),0)</f>
        <v/>
      </c>
      <c r="CS242">
        <f>IFERROR(INDEX(PP_Grid[#Data],$DE242,94),0)</f>
        <v/>
      </c>
      <c r="CT242">
        <f>IFERROR(INDEX(PP_Grid[#Data],$DE242,95),0)</f>
        <v/>
      </c>
      <c r="CU242">
        <f>IFERROR(INDEX(PP_Grid[#Data],$DE242,96),0)</f>
        <v/>
      </c>
      <c r="CV242">
        <f>IFERROR(INDEX(PP_Grid[#Data],$DE242,97),0)</f>
        <v/>
      </c>
      <c r="CW242">
        <f>IFERROR(INDEX(PP_Grid[#Data],$DE242,98),0)</f>
        <v/>
      </c>
      <c r="CX242">
        <f>IFERROR(INDEX(PP_Grid[#Data],$DE242,99),0)</f>
        <v/>
      </c>
      <c r="CY242">
        <f>IFERROR(INDEX(PP_Grid[#Data],$DE242,100),0)</f>
        <v/>
      </c>
      <c r="CZ242">
        <f>IFERROR(INDEX(PP_Grid[#Data],$DE242,101),0)</f>
        <v/>
      </c>
      <c r="DA242">
        <f>IFERROR(INDEX(PP_Grid[#Data],$DE242,102),0)</f>
        <v/>
      </c>
      <c r="DB242">
        <f>IFERROR(INDEX(PP_Grid[#Data],$DE242,103),0)</f>
        <v/>
      </c>
      <c r="DC242">
        <f>IFERROR(INDEX(PP_Grid[#Data],$DE242,104),0)</f>
        <v/>
      </c>
      <c r="DD242">
        <f>IFERROR(INDEX(PP_Grid[#Data],$DE242,105),0)</f>
        <v/>
      </c>
      <c r="DE242" s="7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SUMIFS(M_BOM[RM_Qty_Per_Batch],M_BOM[Intermediate],$B242,M_BOM[RM_Code],$A187)</f>
        <v/>
      </c>
      <c r="D243">
        <f>IFERROR(INDEX(E243:DD243,$F$1),"")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  <c r="DD243">
        <f>$C243*DD242</f>
        <v/>
      </c>
    </row>
    <row r="244">
      <c r="B244" t="inlineStr">
        <is>
          <t>TSP-699</t>
        </is>
      </c>
      <c r="C244" t="inlineStr">
        <is>
          <t>No. of batches</t>
        </is>
      </c>
      <c r="D244">
        <f>IFERROR(INDEX(E244:DD244,$F$1),"")</f>
        <v/>
      </c>
      <c r="E244">
        <f>IFERROR(INDEX(PP_Grid[#Data],$DE244,2),0)</f>
        <v/>
      </c>
      <c r="F244">
        <f>IFERROR(INDEX(PP_Grid[#Data],$DE244,3),0)</f>
        <v/>
      </c>
      <c r="G244">
        <f>IFERROR(INDEX(PP_Grid[#Data],$DE244,4),0)</f>
        <v/>
      </c>
      <c r="H244">
        <f>IFERROR(INDEX(PP_Grid[#Data],$DE244,5),0)</f>
        <v/>
      </c>
      <c r="I244">
        <f>IFERROR(INDEX(PP_Grid[#Data],$DE244,6),0)</f>
        <v/>
      </c>
      <c r="J244">
        <f>IFERROR(INDEX(PP_Grid[#Data],$DE244,7),0)</f>
        <v/>
      </c>
      <c r="K244">
        <f>IFERROR(INDEX(PP_Grid[#Data],$DE244,8),0)</f>
        <v/>
      </c>
      <c r="L244">
        <f>IFERROR(INDEX(PP_Grid[#Data],$DE244,9),0)</f>
        <v/>
      </c>
      <c r="M244">
        <f>IFERROR(INDEX(PP_Grid[#Data],$DE244,10),0)</f>
        <v/>
      </c>
      <c r="N244">
        <f>IFERROR(INDEX(PP_Grid[#Data],$DE244,11),0)</f>
        <v/>
      </c>
      <c r="O244">
        <f>IFERROR(INDEX(PP_Grid[#Data],$DE244,12),0)</f>
        <v/>
      </c>
      <c r="P244">
        <f>IFERROR(INDEX(PP_Grid[#Data],$DE244,13),0)</f>
        <v/>
      </c>
      <c r="Q244">
        <f>IFERROR(INDEX(PP_Grid[#Data],$DE244,14),0)</f>
        <v/>
      </c>
      <c r="R244">
        <f>IFERROR(INDEX(PP_Grid[#Data],$DE244,15),0)</f>
        <v/>
      </c>
      <c r="S244">
        <f>IFERROR(INDEX(PP_Grid[#Data],$DE244,16),0)</f>
        <v/>
      </c>
      <c r="T244">
        <f>IFERROR(INDEX(PP_Grid[#Data],$DE244,17),0)</f>
        <v/>
      </c>
      <c r="U244">
        <f>IFERROR(INDEX(PP_Grid[#Data],$DE244,18),0)</f>
        <v/>
      </c>
      <c r="V244">
        <f>IFERROR(INDEX(PP_Grid[#Data],$DE244,19),0)</f>
        <v/>
      </c>
      <c r="W244">
        <f>IFERROR(INDEX(PP_Grid[#Data],$DE244,20),0)</f>
        <v/>
      </c>
      <c r="X244">
        <f>IFERROR(INDEX(PP_Grid[#Data],$DE244,21),0)</f>
        <v/>
      </c>
      <c r="Y244">
        <f>IFERROR(INDEX(PP_Grid[#Data],$DE244,22),0)</f>
        <v/>
      </c>
      <c r="Z244">
        <f>IFERROR(INDEX(PP_Grid[#Data],$DE244,23),0)</f>
        <v/>
      </c>
      <c r="AA244">
        <f>IFERROR(INDEX(PP_Grid[#Data],$DE244,24),0)</f>
        <v/>
      </c>
      <c r="AB244">
        <f>IFERROR(INDEX(PP_Grid[#Data],$DE244,25),0)</f>
        <v/>
      </c>
      <c r="AC244">
        <f>IFERROR(INDEX(PP_Grid[#Data],$DE244,26),0)</f>
        <v/>
      </c>
      <c r="AD244">
        <f>IFERROR(INDEX(PP_Grid[#Data],$DE244,27),0)</f>
        <v/>
      </c>
      <c r="AE244">
        <f>IFERROR(INDEX(PP_Grid[#Data],$DE244,28),0)</f>
        <v/>
      </c>
      <c r="AF244">
        <f>IFERROR(INDEX(PP_Grid[#Data],$DE244,29),0)</f>
        <v/>
      </c>
      <c r="AG244">
        <f>IFERROR(INDEX(PP_Grid[#Data],$DE244,30),0)</f>
        <v/>
      </c>
      <c r="AH244">
        <f>IFERROR(INDEX(PP_Grid[#Data],$DE244,31),0)</f>
        <v/>
      </c>
      <c r="AI244">
        <f>IFERROR(INDEX(PP_Grid[#Data],$DE244,32),0)</f>
        <v/>
      </c>
      <c r="AJ244">
        <f>IFERROR(INDEX(PP_Grid[#Data],$DE244,33),0)</f>
        <v/>
      </c>
      <c r="AK244">
        <f>IFERROR(INDEX(PP_Grid[#Data],$DE244,34),0)</f>
        <v/>
      </c>
      <c r="AL244">
        <f>IFERROR(INDEX(PP_Grid[#Data],$DE244,35),0)</f>
        <v/>
      </c>
      <c r="AM244">
        <f>IFERROR(INDEX(PP_Grid[#Data],$DE244,36),0)</f>
        <v/>
      </c>
      <c r="AN244">
        <f>IFERROR(INDEX(PP_Grid[#Data],$DE244,37),0)</f>
        <v/>
      </c>
      <c r="AO244">
        <f>IFERROR(INDEX(PP_Grid[#Data],$DE244,38),0)</f>
        <v/>
      </c>
      <c r="AP244">
        <f>IFERROR(INDEX(PP_Grid[#Data],$DE244,39),0)</f>
        <v/>
      </c>
      <c r="AQ244">
        <f>IFERROR(INDEX(PP_Grid[#Data],$DE244,40),0)</f>
        <v/>
      </c>
      <c r="AR244">
        <f>IFERROR(INDEX(PP_Grid[#Data],$DE244,41),0)</f>
        <v/>
      </c>
      <c r="AS244">
        <f>IFERROR(INDEX(PP_Grid[#Data],$DE244,42),0)</f>
        <v/>
      </c>
      <c r="AT244">
        <f>IFERROR(INDEX(PP_Grid[#Data],$DE244,43),0)</f>
        <v/>
      </c>
      <c r="AU244">
        <f>IFERROR(INDEX(PP_Grid[#Data],$DE244,44),0)</f>
        <v/>
      </c>
      <c r="AV244">
        <f>IFERROR(INDEX(PP_Grid[#Data],$DE244,45),0)</f>
        <v/>
      </c>
      <c r="AW244">
        <f>IFERROR(INDEX(PP_Grid[#Data],$DE244,46),0)</f>
        <v/>
      </c>
      <c r="AX244">
        <f>IFERROR(INDEX(PP_Grid[#Data],$DE244,47),0)</f>
        <v/>
      </c>
      <c r="AY244">
        <f>IFERROR(INDEX(PP_Grid[#Data],$DE244,48),0)</f>
        <v/>
      </c>
      <c r="AZ244">
        <f>IFERROR(INDEX(PP_Grid[#Data],$DE244,49),0)</f>
        <v/>
      </c>
      <c r="BA244">
        <f>IFERROR(INDEX(PP_Grid[#Data],$DE244,50),0)</f>
        <v/>
      </c>
      <c r="BB244">
        <f>IFERROR(INDEX(PP_Grid[#Data],$DE244,51),0)</f>
        <v/>
      </c>
      <c r="BC244">
        <f>IFERROR(INDEX(PP_Grid[#Data],$DE244,52),0)</f>
        <v/>
      </c>
      <c r="BD244">
        <f>IFERROR(INDEX(PP_Grid[#Data],$DE244,53),0)</f>
        <v/>
      </c>
      <c r="BE244">
        <f>IFERROR(INDEX(PP_Grid[#Data],$DE244,54),0)</f>
        <v/>
      </c>
      <c r="BF244">
        <f>IFERROR(INDEX(PP_Grid[#Data],$DE244,55),0)</f>
        <v/>
      </c>
      <c r="BG244">
        <f>IFERROR(INDEX(PP_Grid[#Data],$DE244,56),0)</f>
        <v/>
      </c>
      <c r="BH244">
        <f>IFERROR(INDEX(PP_Grid[#Data],$DE244,57),0)</f>
        <v/>
      </c>
      <c r="BI244">
        <f>IFERROR(INDEX(PP_Grid[#Data],$DE244,58),0)</f>
        <v/>
      </c>
      <c r="BJ244">
        <f>IFERROR(INDEX(PP_Grid[#Data],$DE244,59),0)</f>
        <v/>
      </c>
      <c r="BK244">
        <f>IFERROR(INDEX(PP_Grid[#Data],$DE244,60),0)</f>
        <v/>
      </c>
      <c r="BL244">
        <f>IFERROR(INDEX(PP_Grid[#Data],$DE244,61),0)</f>
        <v/>
      </c>
      <c r="BM244">
        <f>IFERROR(INDEX(PP_Grid[#Data],$DE244,62),0)</f>
        <v/>
      </c>
      <c r="BN244">
        <f>IFERROR(INDEX(PP_Grid[#Data],$DE244,63),0)</f>
        <v/>
      </c>
      <c r="BO244">
        <f>IFERROR(INDEX(PP_Grid[#Data],$DE244,64),0)</f>
        <v/>
      </c>
      <c r="BP244">
        <f>IFERROR(INDEX(PP_Grid[#Data],$DE244,65),0)</f>
        <v/>
      </c>
      <c r="BQ244">
        <f>IFERROR(INDEX(PP_Grid[#Data],$DE244,66),0)</f>
        <v/>
      </c>
      <c r="BR244">
        <f>IFERROR(INDEX(PP_Grid[#Data],$DE244,67),0)</f>
        <v/>
      </c>
      <c r="BS244">
        <f>IFERROR(INDEX(PP_Grid[#Data],$DE244,68),0)</f>
        <v/>
      </c>
      <c r="BT244">
        <f>IFERROR(INDEX(PP_Grid[#Data],$DE244,69),0)</f>
        <v/>
      </c>
      <c r="BU244">
        <f>IFERROR(INDEX(PP_Grid[#Data],$DE244,70),0)</f>
        <v/>
      </c>
      <c r="BV244">
        <f>IFERROR(INDEX(PP_Grid[#Data],$DE244,71),0)</f>
        <v/>
      </c>
      <c r="BW244">
        <f>IFERROR(INDEX(PP_Grid[#Data],$DE244,72),0)</f>
        <v/>
      </c>
      <c r="BX244">
        <f>IFERROR(INDEX(PP_Grid[#Data],$DE244,73),0)</f>
        <v/>
      </c>
      <c r="BY244">
        <f>IFERROR(INDEX(PP_Grid[#Data],$DE244,74),0)</f>
        <v/>
      </c>
      <c r="BZ244">
        <f>IFERROR(INDEX(PP_Grid[#Data],$DE244,75),0)</f>
        <v/>
      </c>
      <c r="CA244">
        <f>IFERROR(INDEX(PP_Grid[#Data],$DE244,76),0)</f>
        <v/>
      </c>
      <c r="CB244">
        <f>IFERROR(INDEX(PP_Grid[#Data],$DE244,77),0)</f>
        <v/>
      </c>
      <c r="CC244">
        <f>IFERROR(INDEX(PP_Grid[#Data],$DE244,78),0)</f>
        <v/>
      </c>
      <c r="CD244">
        <f>IFERROR(INDEX(PP_Grid[#Data],$DE244,79),0)</f>
        <v/>
      </c>
      <c r="CE244">
        <f>IFERROR(INDEX(PP_Grid[#Data],$DE244,80),0)</f>
        <v/>
      </c>
      <c r="CF244">
        <f>IFERROR(INDEX(PP_Grid[#Data],$DE244,81),0)</f>
        <v/>
      </c>
      <c r="CG244">
        <f>IFERROR(INDEX(PP_Grid[#Data],$DE244,82),0)</f>
        <v/>
      </c>
      <c r="CH244">
        <f>IFERROR(INDEX(PP_Grid[#Data],$DE244,83),0)</f>
        <v/>
      </c>
      <c r="CI244">
        <f>IFERROR(INDEX(PP_Grid[#Data],$DE244,84),0)</f>
        <v/>
      </c>
      <c r="CJ244">
        <f>IFERROR(INDEX(PP_Grid[#Data],$DE244,85),0)</f>
        <v/>
      </c>
      <c r="CK244">
        <f>IFERROR(INDEX(PP_Grid[#Data],$DE244,86),0)</f>
        <v/>
      </c>
      <c r="CL244">
        <f>IFERROR(INDEX(PP_Grid[#Data],$DE244,87),0)</f>
        <v/>
      </c>
      <c r="CM244">
        <f>IFERROR(INDEX(PP_Grid[#Data],$DE244,88),0)</f>
        <v/>
      </c>
      <c r="CN244">
        <f>IFERROR(INDEX(PP_Grid[#Data],$DE244,89),0)</f>
        <v/>
      </c>
      <c r="CO244">
        <f>IFERROR(INDEX(PP_Grid[#Data],$DE244,90),0)</f>
        <v/>
      </c>
      <c r="CP244">
        <f>IFERROR(INDEX(PP_Grid[#Data],$DE244,91),0)</f>
        <v/>
      </c>
      <c r="CQ244">
        <f>IFERROR(INDEX(PP_Grid[#Data],$DE244,92),0)</f>
        <v/>
      </c>
      <c r="CR244">
        <f>IFERROR(INDEX(PP_Grid[#Data],$DE244,93),0)</f>
        <v/>
      </c>
      <c r="CS244">
        <f>IFERROR(INDEX(PP_Grid[#Data],$DE244,94),0)</f>
        <v/>
      </c>
      <c r="CT244">
        <f>IFERROR(INDEX(PP_Grid[#Data],$DE244,95),0)</f>
        <v/>
      </c>
      <c r="CU244">
        <f>IFERROR(INDEX(PP_Grid[#Data],$DE244,96),0)</f>
        <v/>
      </c>
      <c r="CV244">
        <f>IFERROR(INDEX(PP_Grid[#Data],$DE244,97),0)</f>
        <v/>
      </c>
      <c r="CW244">
        <f>IFERROR(INDEX(PP_Grid[#Data],$DE244,98),0)</f>
        <v/>
      </c>
      <c r="CX244">
        <f>IFERROR(INDEX(PP_Grid[#Data],$DE244,99),0)</f>
        <v/>
      </c>
      <c r="CY244">
        <f>IFERROR(INDEX(PP_Grid[#Data],$DE244,100),0)</f>
        <v/>
      </c>
      <c r="CZ244">
        <f>IFERROR(INDEX(PP_Grid[#Data],$DE244,101),0)</f>
        <v/>
      </c>
      <c r="DA244">
        <f>IFERROR(INDEX(PP_Grid[#Data],$DE244,102),0)</f>
        <v/>
      </c>
      <c r="DB244">
        <f>IFERROR(INDEX(PP_Grid[#Data],$DE244,103),0)</f>
        <v/>
      </c>
      <c r="DC244">
        <f>IFERROR(INDEX(PP_Grid[#Data],$DE244,104),0)</f>
        <v/>
      </c>
      <c r="DD244">
        <f>IFERROR(INDEX(PP_Grid[#Data],$DE244,105),0)</f>
        <v/>
      </c>
      <c r="DE244" s="7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SUMIFS(M_BOM[RM_Qty_Per_Batch],M_BOM[Intermediate],$B244,M_BOM[RM_Code],$A187)</f>
        <v/>
      </c>
      <c r="D245">
        <f>IFERROR(INDEX(E245:DD245,$F$1),"")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  <c r="DD245">
        <f>$C245*DD244</f>
        <v/>
      </c>
    </row>
    <row r="246">
      <c r="B246" t="inlineStr">
        <is>
          <t>TSP-710</t>
        </is>
      </c>
      <c r="C246" t="inlineStr">
        <is>
          <t>No. of batches</t>
        </is>
      </c>
      <c r="D246">
        <f>IFERROR(INDEX(E246:DD246,$F$1),"")</f>
        <v/>
      </c>
      <c r="E246">
        <f>IFERROR(INDEX(PP_Grid[#Data],$DE246,2),0)</f>
        <v/>
      </c>
      <c r="F246">
        <f>IFERROR(INDEX(PP_Grid[#Data],$DE246,3),0)</f>
        <v/>
      </c>
      <c r="G246">
        <f>IFERROR(INDEX(PP_Grid[#Data],$DE246,4),0)</f>
        <v/>
      </c>
      <c r="H246">
        <f>IFERROR(INDEX(PP_Grid[#Data],$DE246,5),0)</f>
        <v/>
      </c>
      <c r="I246">
        <f>IFERROR(INDEX(PP_Grid[#Data],$DE246,6),0)</f>
        <v/>
      </c>
      <c r="J246">
        <f>IFERROR(INDEX(PP_Grid[#Data],$DE246,7),0)</f>
        <v/>
      </c>
      <c r="K246">
        <f>IFERROR(INDEX(PP_Grid[#Data],$DE246,8),0)</f>
        <v/>
      </c>
      <c r="L246">
        <f>IFERROR(INDEX(PP_Grid[#Data],$DE246,9),0)</f>
        <v/>
      </c>
      <c r="M246">
        <f>IFERROR(INDEX(PP_Grid[#Data],$DE246,10),0)</f>
        <v/>
      </c>
      <c r="N246">
        <f>IFERROR(INDEX(PP_Grid[#Data],$DE246,11),0)</f>
        <v/>
      </c>
      <c r="O246">
        <f>IFERROR(INDEX(PP_Grid[#Data],$DE246,12),0)</f>
        <v/>
      </c>
      <c r="P246">
        <f>IFERROR(INDEX(PP_Grid[#Data],$DE246,13),0)</f>
        <v/>
      </c>
      <c r="Q246">
        <f>IFERROR(INDEX(PP_Grid[#Data],$DE246,14),0)</f>
        <v/>
      </c>
      <c r="R246">
        <f>IFERROR(INDEX(PP_Grid[#Data],$DE246,15),0)</f>
        <v/>
      </c>
      <c r="S246">
        <f>IFERROR(INDEX(PP_Grid[#Data],$DE246,16),0)</f>
        <v/>
      </c>
      <c r="T246">
        <f>IFERROR(INDEX(PP_Grid[#Data],$DE246,17),0)</f>
        <v/>
      </c>
      <c r="U246">
        <f>IFERROR(INDEX(PP_Grid[#Data],$DE246,18),0)</f>
        <v/>
      </c>
      <c r="V246">
        <f>IFERROR(INDEX(PP_Grid[#Data],$DE246,19),0)</f>
        <v/>
      </c>
      <c r="W246">
        <f>IFERROR(INDEX(PP_Grid[#Data],$DE246,20),0)</f>
        <v/>
      </c>
      <c r="X246">
        <f>IFERROR(INDEX(PP_Grid[#Data],$DE246,21),0)</f>
        <v/>
      </c>
      <c r="Y246">
        <f>IFERROR(INDEX(PP_Grid[#Data],$DE246,22),0)</f>
        <v/>
      </c>
      <c r="Z246">
        <f>IFERROR(INDEX(PP_Grid[#Data],$DE246,23),0)</f>
        <v/>
      </c>
      <c r="AA246">
        <f>IFERROR(INDEX(PP_Grid[#Data],$DE246,24),0)</f>
        <v/>
      </c>
      <c r="AB246">
        <f>IFERROR(INDEX(PP_Grid[#Data],$DE246,25),0)</f>
        <v/>
      </c>
      <c r="AC246">
        <f>IFERROR(INDEX(PP_Grid[#Data],$DE246,26),0)</f>
        <v/>
      </c>
      <c r="AD246">
        <f>IFERROR(INDEX(PP_Grid[#Data],$DE246,27),0)</f>
        <v/>
      </c>
      <c r="AE246">
        <f>IFERROR(INDEX(PP_Grid[#Data],$DE246,28),0)</f>
        <v/>
      </c>
      <c r="AF246">
        <f>IFERROR(INDEX(PP_Grid[#Data],$DE246,29),0)</f>
        <v/>
      </c>
      <c r="AG246">
        <f>IFERROR(INDEX(PP_Grid[#Data],$DE246,30),0)</f>
        <v/>
      </c>
      <c r="AH246">
        <f>IFERROR(INDEX(PP_Grid[#Data],$DE246,31),0)</f>
        <v/>
      </c>
      <c r="AI246">
        <f>IFERROR(INDEX(PP_Grid[#Data],$DE246,32),0)</f>
        <v/>
      </c>
      <c r="AJ246">
        <f>IFERROR(INDEX(PP_Grid[#Data],$DE246,33),0)</f>
        <v/>
      </c>
      <c r="AK246">
        <f>IFERROR(INDEX(PP_Grid[#Data],$DE246,34),0)</f>
        <v/>
      </c>
      <c r="AL246">
        <f>IFERROR(INDEX(PP_Grid[#Data],$DE246,35),0)</f>
        <v/>
      </c>
      <c r="AM246">
        <f>IFERROR(INDEX(PP_Grid[#Data],$DE246,36),0)</f>
        <v/>
      </c>
      <c r="AN246">
        <f>IFERROR(INDEX(PP_Grid[#Data],$DE246,37),0)</f>
        <v/>
      </c>
      <c r="AO246">
        <f>IFERROR(INDEX(PP_Grid[#Data],$DE246,38),0)</f>
        <v/>
      </c>
      <c r="AP246">
        <f>IFERROR(INDEX(PP_Grid[#Data],$DE246,39),0)</f>
        <v/>
      </c>
      <c r="AQ246">
        <f>IFERROR(INDEX(PP_Grid[#Data],$DE246,40),0)</f>
        <v/>
      </c>
      <c r="AR246">
        <f>IFERROR(INDEX(PP_Grid[#Data],$DE246,41),0)</f>
        <v/>
      </c>
      <c r="AS246">
        <f>IFERROR(INDEX(PP_Grid[#Data],$DE246,42),0)</f>
        <v/>
      </c>
      <c r="AT246">
        <f>IFERROR(INDEX(PP_Grid[#Data],$DE246,43),0)</f>
        <v/>
      </c>
      <c r="AU246">
        <f>IFERROR(INDEX(PP_Grid[#Data],$DE246,44),0)</f>
        <v/>
      </c>
      <c r="AV246">
        <f>IFERROR(INDEX(PP_Grid[#Data],$DE246,45),0)</f>
        <v/>
      </c>
      <c r="AW246">
        <f>IFERROR(INDEX(PP_Grid[#Data],$DE246,46),0)</f>
        <v/>
      </c>
      <c r="AX246">
        <f>IFERROR(INDEX(PP_Grid[#Data],$DE246,47),0)</f>
        <v/>
      </c>
      <c r="AY246">
        <f>IFERROR(INDEX(PP_Grid[#Data],$DE246,48),0)</f>
        <v/>
      </c>
      <c r="AZ246">
        <f>IFERROR(INDEX(PP_Grid[#Data],$DE246,49),0)</f>
        <v/>
      </c>
      <c r="BA246">
        <f>IFERROR(INDEX(PP_Grid[#Data],$DE246,50),0)</f>
        <v/>
      </c>
      <c r="BB246">
        <f>IFERROR(INDEX(PP_Grid[#Data],$DE246,51),0)</f>
        <v/>
      </c>
      <c r="BC246">
        <f>IFERROR(INDEX(PP_Grid[#Data],$DE246,52),0)</f>
        <v/>
      </c>
      <c r="BD246">
        <f>IFERROR(INDEX(PP_Grid[#Data],$DE246,53),0)</f>
        <v/>
      </c>
      <c r="BE246">
        <f>IFERROR(INDEX(PP_Grid[#Data],$DE246,54),0)</f>
        <v/>
      </c>
      <c r="BF246">
        <f>IFERROR(INDEX(PP_Grid[#Data],$DE246,55),0)</f>
        <v/>
      </c>
      <c r="BG246">
        <f>IFERROR(INDEX(PP_Grid[#Data],$DE246,56),0)</f>
        <v/>
      </c>
      <c r="BH246">
        <f>IFERROR(INDEX(PP_Grid[#Data],$DE246,57),0)</f>
        <v/>
      </c>
      <c r="BI246">
        <f>IFERROR(INDEX(PP_Grid[#Data],$DE246,58),0)</f>
        <v/>
      </c>
      <c r="BJ246">
        <f>IFERROR(INDEX(PP_Grid[#Data],$DE246,59),0)</f>
        <v/>
      </c>
      <c r="BK246">
        <f>IFERROR(INDEX(PP_Grid[#Data],$DE246,60),0)</f>
        <v/>
      </c>
      <c r="BL246">
        <f>IFERROR(INDEX(PP_Grid[#Data],$DE246,61),0)</f>
        <v/>
      </c>
      <c r="BM246">
        <f>IFERROR(INDEX(PP_Grid[#Data],$DE246,62),0)</f>
        <v/>
      </c>
      <c r="BN246">
        <f>IFERROR(INDEX(PP_Grid[#Data],$DE246,63),0)</f>
        <v/>
      </c>
      <c r="BO246">
        <f>IFERROR(INDEX(PP_Grid[#Data],$DE246,64),0)</f>
        <v/>
      </c>
      <c r="BP246">
        <f>IFERROR(INDEX(PP_Grid[#Data],$DE246,65),0)</f>
        <v/>
      </c>
      <c r="BQ246">
        <f>IFERROR(INDEX(PP_Grid[#Data],$DE246,66),0)</f>
        <v/>
      </c>
      <c r="BR246">
        <f>IFERROR(INDEX(PP_Grid[#Data],$DE246,67),0)</f>
        <v/>
      </c>
      <c r="BS246">
        <f>IFERROR(INDEX(PP_Grid[#Data],$DE246,68),0)</f>
        <v/>
      </c>
      <c r="BT246">
        <f>IFERROR(INDEX(PP_Grid[#Data],$DE246,69),0)</f>
        <v/>
      </c>
      <c r="BU246">
        <f>IFERROR(INDEX(PP_Grid[#Data],$DE246,70),0)</f>
        <v/>
      </c>
      <c r="BV246">
        <f>IFERROR(INDEX(PP_Grid[#Data],$DE246,71),0)</f>
        <v/>
      </c>
      <c r="BW246">
        <f>IFERROR(INDEX(PP_Grid[#Data],$DE246,72),0)</f>
        <v/>
      </c>
      <c r="BX246">
        <f>IFERROR(INDEX(PP_Grid[#Data],$DE246,73),0)</f>
        <v/>
      </c>
      <c r="BY246">
        <f>IFERROR(INDEX(PP_Grid[#Data],$DE246,74),0)</f>
        <v/>
      </c>
      <c r="BZ246">
        <f>IFERROR(INDEX(PP_Grid[#Data],$DE246,75),0)</f>
        <v/>
      </c>
      <c r="CA246">
        <f>IFERROR(INDEX(PP_Grid[#Data],$DE246,76),0)</f>
        <v/>
      </c>
      <c r="CB246">
        <f>IFERROR(INDEX(PP_Grid[#Data],$DE246,77),0)</f>
        <v/>
      </c>
      <c r="CC246">
        <f>IFERROR(INDEX(PP_Grid[#Data],$DE246,78),0)</f>
        <v/>
      </c>
      <c r="CD246">
        <f>IFERROR(INDEX(PP_Grid[#Data],$DE246,79),0)</f>
        <v/>
      </c>
      <c r="CE246">
        <f>IFERROR(INDEX(PP_Grid[#Data],$DE246,80),0)</f>
        <v/>
      </c>
      <c r="CF246">
        <f>IFERROR(INDEX(PP_Grid[#Data],$DE246,81),0)</f>
        <v/>
      </c>
      <c r="CG246">
        <f>IFERROR(INDEX(PP_Grid[#Data],$DE246,82),0)</f>
        <v/>
      </c>
      <c r="CH246">
        <f>IFERROR(INDEX(PP_Grid[#Data],$DE246,83),0)</f>
        <v/>
      </c>
      <c r="CI246">
        <f>IFERROR(INDEX(PP_Grid[#Data],$DE246,84),0)</f>
        <v/>
      </c>
      <c r="CJ246">
        <f>IFERROR(INDEX(PP_Grid[#Data],$DE246,85),0)</f>
        <v/>
      </c>
      <c r="CK246">
        <f>IFERROR(INDEX(PP_Grid[#Data],$DE246,86),0)</f>
        <v/>
      </c>
      <c r="CL246">
        <f>IFERROR(INDEX(PP_Grid[#Data],$DE246,87),0)</f>
        <v/>
      </c>
      <c r="CM246">
        <f>IFERROR(INDEX(PP_Grid[#Data],$DE246,88),0)</f>
        <v/>
      </c>
      <c r="CN246">
        <f>IFERROR(INDEX(PP_Grid[#Data],$DE246,89),0)</f>
        <v/>
      </c>
      <c r="CO246">
        <f>IFERROR(INDEX(PP_Grid[#Data],$DE246,90),0)</f>
        <v/>
      </c>
      <c r="CP246">
        <f>IFERROR(INDEX(PP_Grid[#Data],$DE246,91),0)</f>
        <v/>
      </c>
      <c r="CQ246">
        <f>IFERROR(INDEX(PP_Grid[#Data],$DE246,92),0)</f>
        <v/>
      </c>
      <c r="CR246">
        <f>IFERROR(INDEX(PP_Grid[#Data],$DE246,93),0)</f>
        <v/>
      </c>
      <c r="CS246">
        <f>IFERROR(INDEX(PP_Grid[#Data],$DE246,94),0)</f>
        <v/>
      </c>
      <c r="CT246">
        <f>IFERROR(INDEX(PP_Grid[#Data],$DE246,95),0)</f>
        <v/>
      </c>
      <c r="CU246">
        <f>IFERROR(INDEX(PP_Grid[#Data],$DE246,96),0)</f>
        <v/>
      </c>
      <c r="CV246">
        <f>IFERROR(INDEX(PP_Grid[#Data],$DE246,97),0)</f>
        <v/>
      </c>
      <c r="CW246">
        <f>IFERROR(INDEX(PP_Grid[#Data],$DE246,98),0)</f>
        <v/>
      </c>
      <c r="CX246">
        <f>IFERROR(INDEX(PP_Grid[#Data],$DE246,99),0)</f>
        <v/>
      </c>
      <c r="CY246">
        <f>IFERROR(INDEX(PP_Grid[#Data],$DE246,100),0)</f>
        <v/>
      </c>
      <c r="CZ246">
        <f>IFERROR(INDEX(PP_Grid[#Data],$DE246,101),0)</f>
        <v/>
      </c>
      <c r="DA246">
        <f>IFERROR(INDEX(PP_Grid[#Data],$DE246,102),0)</f>
        <v/>
      </c>
      <c r="DB246">
        <f>IFERROR(INDEX(PP_Grid[#Data],$DE246,103),0)</f>
        <v/>
      </c>
      <c r="DC246">
        <f>IFERROR(INDEX(PP_Grid[#Data],$DE246,104),0)</f>
        <v/>
      </c>
      <c r="DD246">
        <f>IFERROR(INDEX(PP_Grid[#Data],$DE246,105),0)</f>
        <v/>
      </c>
      <c r="DE246" s="7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SUMIFS(M_BOM[RM_Qty_Per_Batch],M_BOM[Intermediate],$B246,M_BOM[RM_Code],$A187)</f>
        <v/>
      </c>
      <c r="D247">
        <f>IFERROR(INDEX(E247:DD247,$F$1),"")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  <c r="DD247">
        <f>$C247*DD246</f>
        <v/>
      </c>
    </row>
    <row r="248">
      <c r="B248" t="inlineStr">
        <is>
          <t>TSP-828</t>
        </is>
      </c>
      <c r="C248" t="inlineStr">
        <is>
          <t>No. of batches</t>
        </is>
      </c>
      <c r="D248">
        <f>IFERROR(INDEX(E248:DD248,$F$1),"")</f>
        <v/>
      </c>
      <c r="E248">
        <f>IFERROR(INDEX(PP_Grid[#Data],$DE248,2),0)</f>
        <v/>
      </c>
      <c r="F248">
        <f>IFERROR(INDEX(PP_Grid[#Data],$DE248,3),0)</f>
        <v/>
      </c>
      <c r="G248">
        <f>IFERROR(INDEX(PP_Grid[#Data],$DE248,4),0)</f>
        <v/>
      </c>
      <c r="H248">
        <f>IFERROR(INDEX(PP_Grid[#Data],$DE248,5),0)</f>
        <v/>
      </c>
      <c r="I248">
        <f>IFERROR(INDEX(PP_Grid[#Data],$DE248,6),0)</f>
        <v/>
      </c>
      <c r="J248">
        <f>IFERROR(INDEX(PP_Grid[#Data],$DE248,7),0)</f>
        <v/>
      </c>
      <c r="K248">
        <f>IFERROR(INDEX(PP_Grid[#Data],$DE248,8),0)</f>
        <v/>
      </c>
      <c r="L248">
        <f>IFERROR(INDEX(PP_Grid[#Data],$DE248,9),0)</f>
        <v/>
      </c>
      <c r="M248">
        <f>IFERROR(INDEX(PP_Grid[#Data],$DE248,10),0)</f>
        <v/>
      </c>
      <c r="N248">
        <f>IFERROR(INDEX(PP_Grid[#Data],$DE248,11),0)</f>
        <v/>
      </c>
      <c r="O248">
        <f>IFERROR(INDEX(PP_Grid[#Data],$DE248,12),0)</f>
        <v/>
      </c>
      <c r="P248">
        <f>IFERROR(INDEX(PP_Grid[#Data],$DE248,13),0)</f>
        <v/>
      </c>
      <c r="Q248">
        <f>IFERROR(INDEX(PP_Grid[#Data],$DE248,14),0)</f>
        <v/>
      </c>
      <c r="R248">
        <f>IFERROR(INDEX(PP_Grid[#Data],$DE248,15),0)</f>
        <v/>
      </c>
      <c r="S248">
        <f>IFERROR(INDEX(PP_Grid[#Data],$DE248,16),0)</f>
        <v/>
      </c>
      <c r="T248">
        <f>IFERROR(INDEX(PP_Grid[#Data],$DE248,17),0)</f>
        <v/>
      </c>
      <c r="U248">
        <f>IFERROR(INDEX(PP_Grid[#Data],$DE248,18),0)</f>
        <v/>
      </c>
      <c r="V248">
        <f>IFERROR(INDEX(PP_Grid[#Data],$DE248,19),0)</f>
        <v/>
      </c>
      <c r="W248">
        <f>IFERROR(INDEX(PP_Grid[#Data],$DE248,20),0)</f>
        <v/>
      </c>
      <c r="X248">
        <f>IFERROR(INDEX(PP_Grid[#Data],$DE248,21),0)</f>
        <v/>
      </c>
      <c r="Y248">
        <f>IFERROR(INDEX(PP_Grid[#Data],$DE248,22),0)</f>
        <v/>
      </c>
      <c r="Z248">
        <f>IFERROR(INDEX(PP_Grid[#Data],$DE248,23),0)</f>
        <v/>
      </c>
      <c r="AA248">
        <f>IFERROR(INDEX(PP_Grid[#Data],$DE248,24),0)</f>
        <v/>
      </c>
      <c r="AB248">
        <f>IFERROR(INDEX(PP_Grid[#Data],$DE248,25),0)</f>
        <v/>
      </c>
      <c r="AC248">
        <f>IFERROR(INDEX(PP_Grid[#Data],$DE248,26),0)</f>
        <v/>
      </c>
      <c r="AD248">
        <f>IFERROR(INDEX(PP_Grid[#Data],$DE248,27),0)</f>
        <v/>
      </c>
      <c r="AE248">
        <f>IFERROR(INDEX(PP_Grid[#Data],$DE248,28),0)</f>
        <v/>
      </c>
      <c r="AF248">
        <f>IFERROR(INDEX(PP_Grid[#Data],$DE248,29),0)</f>
        <v/>
      </c>
      <c r="AG248">
        <f>IFERROR(INDEX(PP_Grid[#Data],$DE248,30),0)</f>
        <v/>
      </c>
      <c r="AH248">
        <f>IFERROR(INDEX(PP_Grid[#Data],$DE248,31),0)</f>
        <v/>
      </c>
      <c r="AI248">
        <f>IFERROR(INDEX(PP_Grid[#Data],$DE248,32),0)</f>
        <v/>
      </c>
      <c r="AJ248">
        <f>IFERROR(INDEX(PP_Grid[#Data],$DE248,33),0)</f>
        <v/>
      </c>
      <c r="AK248">
        <f>IFERROR(INDEX(PP_Grid[#Data],$DE248,34),0)</f>
        <v/>
      </c>
      <c r="AL248">
        <f>IFERROR(INDEX(PP_Grid[#Data],$DE248,35),0)</f>
        <v/>
      </c>
      <c r="AM248">
        <f>IFERROR(INDEX(PP_Grid[#Data],$DE248,36),0)</f>
        <v/>
      </c>
      <c r="AN248">
        <f>IFERROR(INDEX(PP_Grid[#Data],$DE248,37),0)</f>
        <v/>
      </c>
      <c r="AO248">
        <f>IFERROR(INDEX(PP_Grid[#Data],$DE248,38),0)</f>
        <v/>
      </c>
      <c r="AP248">
        <f>IFERROR(INDEX(PP_Grid[#Data],$DE248,39),0)</f>
        <v/>
      </c>
      <c r="AQ248">
        <f>IFERROR(INDEX(PP_Grid[#Data],$DE248,40),0)</f>
        <v/>
      </c>
      <c r="AR248">
        <f>IFERROR(INDEX(PP_Grid[#Data],$DE248,41),0)</f>
        <v/>
      </c>
      <c r="AS248">
        <f>IFERROR(INDEX(PP_Grid[#Data],$DE248,42),0)</f>
        <v/>
      </c>
      <c r="AT248">
        <f>IFERROR(INDEX(PP_Grid[#Data],$DE248,43),0)</f>
        <v/>
      </c>
      <c r="AU248">
        <f>IFERROR(INDEX(PP_Grid[#Data],$DE248,44),0)</f>
        <v/>
      </c>
      <c r="AV248">
        <f>IFERROR(INDEX(PP_Grid[#Data],$DE248,45),0)</f>
        <v/>
      </c>
      <c r="AW248">
        <f>IFERROR(INDEX(PP_Grid[#Data],$DE248,46),0)</f>
        <v/>
      </c>
      <c r="AX248">
        <f>IFERROR(INDEX(PP_Grid[#Data],$DE248,47),0)</f>
        <v/>
      </c>
      <c r="AY248">
        <f>IFERROR(INDEX(PP_Grid[#Data],$DE248,48),0)</f>
        <v/>
      </c>
      <c r="AZ248">
        <f>IFERROR(INDEX(PP_Grid[#Data],$DE248,49),0)</f>
        <v/>
      </c>
      <c r="BA248">
        <f>IFERROR(INDEX(PP_Grid[#Data],$DE248,50),0)</f>
        <v/>
      </c>
      <c r="BB248">
        <f>IFERROR(INDEX(PP_Grid[#Data],$DE248,51),0)</f>
        <v/>
      </c>
      <c r="BC248">
        <f>IFERROR(INDEX(PP_Grid[#Data],$DE248,52),0)</f>
        <v/>
      </c>
      <c r="BD248">
        <f>IFERROR(INDEX(PP_Grid[#Data],$DE248,53),0)</f>
        <v/>
      </c>
      <c r="BE248">
        <f>IFERROR(INDEX(PP_Grid[#Data],$DE248,54),0)</f>
        <v/>
      </c>
      <c r="BF248">
        <f>IFERROR(INDEX(PP_Grid[#Data],$DE248,55),0)</f>
        <v/>
      </c>
      <c r="BG248">
        <f>IFERROR(INDEX(PP_Grid[#Data],$DE248,56),0)</f>
        <v/>
      </c>
      <c r="BH248">
        <f>IFERROR(INDEX(PP_Grid[#Data],$DE248,57),0)</f>
        <v/>
      </c>
      <c r="BI248">
        <f>IFERROR(INDEX(PP_Grid[#Data],$DE248,58),0)</f>
        <v/>
      </c>
      <c r="BJ248">
        <f>IFERROR(INDEX(PP_Grid[#Data],$DE248,59),0)</f>
        <v/>
      </c>
      <c r="BK248">
        <f>IFERROR(INDEX(PP_Grid[#Data],$DE248,60),0)</f>
        <v/>
      </c>
      <c r="BL248">
        <f>IFERROR(INDEX(PP_Grid[#Data],$DE248,61),0)</f>
        <v/>
      </c>
      <c r="BM248">
        <f>IFERROR(INDEX(PP_Grid[#Data],$DE248,62),0)</f>
        <v/>
      </c>
      <c r="BN248">
        <f>IFERROR(INDEX(PP_Grid[#Data],$DE248,63),0)</f>
        <v/>
      </c>
      <c r="BO248">
        <f>IFERROR(INDEX(PP_Grid[#Data],$DE248,64),0)</f>
        <v/>
      </c>
      <c r="BP248">
        <f>IFERROR(INDEX(PP_Grid[#Data],$DE248,65),0)</f>
        <v/>
      </c>
      <c r="BQ248">
        <f>IFERROR(INDEX(PP_Grid[#Data],$DE248,66),0)</f>
        <v/>
      </c>
      <c r="BR248">
        <f>IFERROR(INDEX(PP_Grid[#Data],$DE248,67),0)</f>
        <v/>
      </c>
      <c r="BS248">
        <f>IFERROR(INDEX(PP_Grid[#Data],$DE248,68),0)</f>
        <v/>
      </c>
      <c r="BT248">
        <f>IFERROR(INDEX(PP_Grid[#Data],$DE248,69),0)</f>
        <v/>
      </c>
      <c r="BU248">
        <f>IFERROR(INDEX(PP_Grid[#Data],$DE248,70),0)</f>
        <v/>
      </c>
      <c r="BV248">
        <f>IFERROR(INDEX(PP_Grid[#Data],$DE248,71),0)</f>
        <v/>
      </c>
      <c r="BW248">
        <f>IFERROR(INDEX(PP_Grid[#Data],$DE248,72),0)</f>
        <v/>
      </c>
      <c r="BX248">
        <f>IFERROR(INDEX(PP_Grid[#Data],$DE248,73),0)</f>
        <v/>
      </c>
      <c r="BY248">
        <f>IFERROR(INDEX(PP_Grid[#Data],$DE248,74),0)</f>
        <v/>
      </c>
      <c r="BZ248">
        <f>IFERROR(INDEX(PP_Grid[#Data],$DE248,75),0)</f>
        <v/>
      </c>
      <c r="CA248">
        <f>IFERROR(INDEX(PP_Grid[#Data],$DE248,76),0)</f>
        <v/>
      </c>
      <c r="CB248">
        <f>IFERROR(INDEX(PP_Grid[#Data],$DE248,77),0)</f>
        <v/>
      </c>
      <c r="CC248">
        <f>IFERROR(INDEX(PP_Grid[#Data],$DE248,78),0)</f>
        <v/>
      </c>
      <c r="CD248">
        <f>IFERROR(INDEX(PP_Grid[#Data],$DE248,79),0)</f>
        <v/>
      </c>
      <c r="CE248">
        <f>IFERROR(INDEX(PP_Grid[#Data],$DE248,80),0)</f>
        <v/>
      </c>
      <c r="CF248">
        <f>IFERROR(INDEX(PP_Grid[#Data],$DE248,81),0)</f>
        <v/>
      </c>
      <c r="CG248">
        <f>IFERROR(INDEX(PP_Grid[#Data],$DE248,82),0)</f>
        <v/>
      </c>
      <c r="CH248">
        <f>IFERROR(INDEX(PP_Grid[#Data],$DE248,83),0)</f>
        <v/>
      </c>
      <c r="CI248">
        <f>IFERROR(INDEX(PP_Grid[#Data],$DE248,84),0)</f>
        <v/>
      </c>
      <c r="CJ248">
        <f>IFERROR(INDEX(PP_Grid[#Data],$DE248,85),0)</f>
        <v/>
      </c>
      <c r="CK248">
        <f>IFERROR(INDEX(PP_Grid[#Data],$DE248,86),0)</f>
        <v/>
      </c>
      <c r="CL248">
        <f>IFERROR(INDEX(PP_Grid[#Data],$DE248,87),0)</f>
        <v/>
      </c>
      <c r="CM248">
        <f>IFERROR(INDEX(PP_Grid[#Data],$DE248,88),0)</f>
        <v/>
      </c>
      <c r="CN248">
        <f>IFERROR(INDEX(PP_Grid[#Data],$DE248,89),0)</f>
        <v/>
      </c>
      <c r="CO248">
        <f>IFERROR(INDEX(PP_Grid[#Data],$DE248,90),0)</f>
        <v/>
      </c>
      <c r="CP248">
        <f>IFERROR(INDEX(PP_Grid[#Data],$DE248,91),0)</f>
        <v/>
      </c>
      <c r="CQ248">
        <f>IFERROR(INDEX(PP_Grid[#Data],$DE248,92),0)</f>
        <v/>
      </c>
      <c r="CR248">
        <f>IFERROR(INDEX(PP_Grid[#Data],$DE248,93),0)</f>
        <v/>
      </c>
      <c r="CS248">
        <f>IFERROR(INDEX(PP_Grid[#Data],$DE248,94),0)</f>
        <v/>
      </c>
      <c r="CT248">
        <f>IFERROR(INDEX(PP_Grid[#Data],$DE248,95),0)</f>
        <v/>
      </c>
      <c r="CU248">
        <f>IFERROR(INDEX(PP_Grid[#Data],$DE248,96),0)</f>
        <v/>
      </c>
      <c r="CV248">
        <f>IFERROR(INDEX(PP_Grid[#Data],$DE248,97),0)</f>
        <v/>
      </c>
      <c r="CW248">
        <f>IFERROR(INDEX(PP_Grid[#Data],$DE248,98),0)</f>
        <v/>
      </c>
      <c r="CX248">
        <f>IFERROR(INDEX(PP_Grid[#Data],$DE248,99),0)</f>
        <v/>
      </c>
      <c r="CY248">
        <f>IFERROR(INDEX(PP_Grid[#Data],$DE248,100),0)</f>
        <v/>
      </c>
      <c r="CZ248">
        <f>IFERROR(INDEX(PP_Grid[#Data],$DE248,101),0)</f>
        <v/>
      </c>
      <c r="DA248">
        <f>IFERROR(INDEX(PP_Grid[#Data],$DE248,102),0)</f>
        <v/>
      </c>
      <c r="DB248">
        <f>IFERROR(INDEX(PP_Grid[#Data],$DE248,103),0)</f>
        <v/>
      </c>
      <c r="DC248">
        <f>IFERROR(INDEX(PP_Grid[#Data],$DE248,104),0)</f>
        <v/>
      </c>
      <c r="DD248">
        <f>IFERROR(INDEX(PP_Grid[#Data],$DE248,105),0)</f>
        <v/>
      </c>
      <c r="DE248" s="7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SUMIFS(M_BOM[RM_Qty_Per_Batch],M_BOM[Intermediate],$B248,M_BOM[RM_Code],$A187)</f>
        <v/>
      </c>
      <c r="D249">
        <f>IFERROR(INDEX(E249:DD249,$F$1),"")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  <c r="DD249">
        <f>$C249*DD248</f>
        <v/>
      </c>
    </row>
    <row r="250">
      <c r="B250" t="inlineStr">
        <is>
          <t>TSP-924</t>
        </is>
      </c>
      <c r="C250" t="inlineStr">
        <is>
          <t>No. of batches</t>
        </is>
      </c>
      <c r="D250">
        <f>IFERROR(INDEX(E250:DD250,$F$1),"")</f>
        <v/>
      </c>
      <c r="E250">
        <f>IFERROR(INDEX(PP_Grid[#Data],$DE250,2),0)</f>
        <v/>
      </c>
      <c r="F250">
        <f>IFERROR(INDEX(PP_Grid[#Data],$DE250,3),0)</f>
        <v/>
      </c>
      <c r="G250">
        <f>IFERROR(INDEX(PP_Grid[#Data],$DE250,4),0)</f>
        <v/>
      </c>
      <c r="H250">
        <f>IFERROR(INDEX(PP_Grid[#Data],$DE250,5),0)</f>
        <v/>
      </c>
      <c r="I250">
        <f>IFERROR(INDEX(PP_Grid[#Data],$DE250,6),0)</f>
        <v/>
      </c>
      <c r="J250">
        <f>IFERROR(INDEX(PP_Grid[#Data],$DE250,7),0)</f>
        <v/>
      </c>
      <c r="K250">
        <f>IFERROR(INDEX(PP_Grid[#Data],$DE250,8),0)</f>
        <v/>
      </c>
      <c r="L250">
        <f>IFERROR(INDEX(PP_Grid[#Data],$DE250,9),0)</f>
        <v/>
      </c>
      <c r="M250">
        <f>IFERROR(INDEX(PP_Grid[#Data],$DE250,10),0)</f>
        <v/>
      </c>
      <c r="N250">
        <f>IFERROR(INDEX(PP_Grid[#Data],$DE250,11),0)</f>
        <v/>
      </c>
      <c r="O250">
        <f>IFERROR(INDEX(PP_Grid[#Data],$DE250,12),0)</f>
        <v/>
      </c>
      <c r="P250">
        <f>IFERROR(INDEX(PP_Grid[#Data],$DE250,13),0)</f>
        <v/>
      </c>
      <c r="Q250">
        <f>IFERROR(INDEX(PP_Grid[#Data],$DE250,14),0)</f>
        <v/>
      </c>
      <c r="R250">
        <f>IFERROR(INDEX(PP_Grid[#Data],$DE250,15),0)</f>
        <v/>
      </c>
      <c r="S250">
        <f>IFERROR(INDEX(PP_Grid[#Data],$DE250,16),0)</f>
        <v/>
      </c>
      <c r="T250">
        <f>IFERROR(INDEX(PP_Grid[#Data],$DE250,17),0)</f>
        <v/>
      </c>
      <c r="U250">
        <f>IFERROR(INDEX(PP_Grid[#Data],$DE250,18),0)</f>
        <v/>
      </c>
      <c r="V250">
        <f>IFERROR(INDEX(PP_Grid[#Data],$DE250,19),0)</f>
        <v/>
      </c>
      <c r="W250">
        <f>IFERROR(INDEX(PP_Grid[#Data],$DE250,20),0)</f>
        <v/>
      </c>
      <c r="X250">
        <f>IFERROR(INDEX(PP_Grid[#Data],$DE250,21),0)</f>
        <v/>
      </c>
      <c r="Y250">
        <f>IFERROR(INDEX(PP_Grid[#Data],$DE250,22),0)</f>
        <v/>
      </c>
      <c r="Z250">
        <f>IFERROR(INDEX(PP_Grid[#Data],$DE250,23),0)</f>
        <v/>
      </c>
      <c r="AA250">
        <f>IFERROR(INDEX(PP_Grid[#Data],$DE250,24),0)</f>
        <v/>
      </c>
      <c r="AB250">
        <f>IFERROR(INDEX(PP_Grid[#Data],$DE250,25),0)</f>
        <v/>
      </c>
      <c r="AC250">
        <f>IFERROR(INDEX(PP_Grid[#Data],$DE250,26),0)</f>
        <v/>
      </c>
      <c r="AD250">
        <f>IFERROR(INDEX(PP_Grid[#Data],$DE250,27),0)</f>
        <v/>
      </c>
      <c r="AE250">
        <f>IFERROR(INDEX(PP_Grid[#Data],$DE250,28),0)</f>
        <v/>
      </c>
      <c r="AF250">
        <f>IFERROR(INDEX(PP_Grid[#Data],$DE250,29),0)</f>
        <v/>
      </c>
      <c r="AG250">
        <f>IFERROR(INDEX(PP_Grid[#Data],$DE250,30),0)</f>
        <v/>
      </c>
      <c r="AH250">
        <f>IFERROR(INDEX(PP_Grid[#Data],$DE250,31),0)</f>
        <v/>
      </c>
      <c r="AI250">
        <f>IFERROR(INDEX(PP_Grid[#Data],$DE250,32),0)</f>
        <v/>
      </c>
      <c r="AJ250">
        <f>IFERROR(INDEX(PP_Grid[#Data],$DE250,33),0)</f>
        <v/>
      </c>
      <c r="AK250">
        <f>IFERROR(INDEX(PP_Grid[#Data],$DE250,34),0)</f>
        <v/>
      </c>
      <c r="AL250">
        <f>IFERROR(INDEX(PP_Grid[#Data],$DE250,35),0)</f>
        <v/>
      </c>
      <c r="AM250">
        <f>IFERROR(INDEX(PP_Grid[#Data],$DE250,36),0)</f>
        <v/>
      </c>
      <c r="AN250">
        <f>IFERROR(INDEX(PP_Grid[#Data],$DE250,37),0)</f>
        <v/>
      </c>
      <c r="AO250">
        <f>IFERROR(INDEX(PP_Grid[#Data],$DE250,38),0)</f>
        <v/>
      </c>
      <c r="AP250">
        <f>IFERROR(INDEX(PP_Grid[#Data],$DE250,39),0)</f>
        <v/>
      </c>
      <c r="AQ250">
        <f>IFERROR(INDEX(PP_Grid[#Data],$DE250,40),0)</f>
        <v/>
      </c>
      <c r="AR250">
        <f>IFERROR(INDEX(PP_Grid[#Data],$DE250,41),0)</f>
        <v/>
      </c>
      <c r="AS250">
        <f>IFERROR(INDEX(PP_Grid[#Data],$DE250,42),0)</f>
        <v/>
      </c>
      <c r="AT250">
        <f>IFERROR(INDEX(PP_Grid[#Data],$DE250,43),0)</f>
        <v/>
      </c>
      <c r="AU250">
        <f>IFERROR(INDEX(PP_Grid[#Data],$DE250,44),0)</f>
        <v/>
      </c>
      <c r="AV250">
        <f>IFERROR(INDEX(PP_Grid[#Data],$DE250,45),0)</f>
        <v/>
      </c>
      <c r="AW250">
        <f>IFERROR(INDEX(PP_Grid[#Data],$DE250,46),0)</f>
        <v/>
      </c>
      <c r="AX250">
        <f>IFERROR(INDEX(PP_Grid[#Data],$DE250,47),0)</f>
        <v/>
      </c>
      <c r="AY250">
        <f>IFERROR(INDEX(PP_Grid[#Data],$DE250,48),0)</f>
        <v/>
      </c>
      <c r="AZ250">
        <f>IFERROR(INDEX(PP_Grid[#Data],$DE250,49),0)</f>
        <v/>
      </c>
      <c r="BA250">
        <f>IFERROR(INDEX(PP_Grid[#Data],$DE250,50),0)</f>
        <v/>
      </c>
      <c r="BB250">
        <f>IFERROR(INDEX(PP_Grid[#Data],$DE250,51),0)</f>
        <v/>
      </c>
      <c r="BC250">
        <f>IFERROR(INDEX(PP_Grid[#Data],$DE250,52),0)</f>
        <v/>
      </c>
      <c r="BD250">
        <f>IFERROR(INDEX(PP_Grid[#Data],$DE250,53),0)</f>
        <v/>
      </c>
      <c r="BE250">
        <f>IFERROR(INDEX(PP_Grid[#Data],$DE250,54),0)</f>
        <v/>
      </c>
      <c r="BF250">
        <f>IFERROR(INDEX(PP_Grid[#Data],$DE250,55),0)</f>
        <v/>
      </c>
      <c r="BG250">
        <f>IFERROR(INDEX(PP_Grid[#Data],$DE250,56),0)</f>
        <v/>
      </c>
      <c r="BH250">
        <f>IFERROR(INDEX(PP_Grid[#Data],$DE250,57),0)</f>
        <v/>
      </c>
      <c r="BI250">
        <f>IFERROR(INDEX(PP_Grid[#Data],$DE250,58),0)</f>
        <v/>
      </c>
      <c r="BJ250">
        <f>IFERROR(INDEX(PP_Grid[#Data],$DE250,59),0)</f>
        <v/>
      </c>
      <c r="BK250">
        <f>IFERROR(INDEX(PP_Grid[#Data],$DE250,60),0)</f>
        <v/>
      </c>
      <c r="BL250">
        <f>IFERROR(INDEX(PP_Grid[#Data],$DE250,61),0)</f>
        <v/>
      </c>
      <c r="BM250">
        <f>IFERROR(INDEX(PP_Grid[#Data],$DE250,62),0)</f>
        <v/>
      </c>
      <c r="BN250">
        <f>IFERROR(INDEX(PP_Grid[#Data],$DE250,63),0)</f>
        <v/>
      </c>
      <c r="BO250">
        <f>IFERROR(INDEX(PP_Grid[#Data],$DE250,64),0)</f>
        <v/>
      </c>
      <c r="BP250">
        <f>IFERROR(INDEX(PP_Grid[#Data],$DE250,65),0)</f>
        <v/>
      </c>
      <c r="BQ250">
        <f>IFERROR(INDEX(PP_Grid[#Data],$DE250,66),0)</f>
        <v/>
      </c>
      <c r="BR250">
        <f>IFERROR(INDEX(PP_Grid[#Data],$DE250,67),0)</f>
        <v/>
      </c>
      <c r="BS250">
        <f>IFERROR(INDEX(PP_Grid[#Data],$DE250,68),0)</f>
        <v/>
      </c>
      <c r="BT250">
        <f>IFERROR(INDEX(PP_Grid[#Data],$DE250,69),0)</f>
        <v/>
      </c>
      <c r="BU250">
        <f>IFERROR(INDEX(PP_Grid[#Data],$DE250,70),0)</f>
        <v/>
      </c>
      <c r="BV250">
        <f>IFERROR(INDEX(PP_Grid[#Data],$DE250,71),0)</f>
        <v/>
      </c>
      <c r="BW250">
        <f>IFERROR(INDEX(PP_Grid[#Data],$DE250,72),0)</f>
        <v/>
      </c>
      <c r="BX250">
        <f>IFERROR(INDEX(PP_Grid[#Data],$DE250,73),0)</f>
        <v/>
      </c>
      <c r="BY250">
        <f>IFERROR(INDEX(PP_Grid[#Data],$DE250,74),0)</f>
        <v/>
      </c>
      <c r="BZ250">
        <f>IFERROR(INDEX(PP_Grid[#Data],$DE250,75),0)</f>
        <v/>
      </c>
      <c r="CA250">
        <f>IFERROR(INDEX(PP_Grid[#Data],$DE250,76),0)</f>
        <v/>
      </c>
      <c r="CB250">
        <f>IFERROR(INDEX(PP_Grid[#Data],$DE250,77),0)</f>
        <v/>
      </c>
      <c r="CC250">
        <f>IFERROR(INDEX(PP_Grid[#Data],$DE250,78),0)</f>
        <v/>
      </c>
      <c r="CD250">
        <f>IFERROR(INDEX(PP_Grid[#Data],$DE250,79),0)</f>
        <v/>
      </c>
      <c r="CE250">
        <f>IFERROR(INDEX(PP_Grid[#Data],$DE250,80),0)</f>
        <v/>
      </c>
      <c r="CF250">
        <f>IFERROR(INDEX(PP_Grid[#Data],$DE250,81),0)</f>
        <v/>
      </c>
      <c r="CG250">
        <f>IFERROR(INDEX(PP_Grid[#Data],$DE250,82),0)</f>
        <v/>
      </c>
      <c r="CH250">
        <f>IFERROR(INDEX(PP_Grid[#Data],$DE250,83),0)</f>
        <v/>
      </c>
      <c r="CI250">
        <f>IFERROR(INDEX(PP_Grid[#Data],$DE250,84),0)</f>
        <v/>
      </c>
      <c r="CJ250">
        <f>IFERROR(INDEX(PP_Grid[#Data],$DE250,85),0)</f>
        <v/>
      </c>
      <c r="CK250">
        <f>IFERROR(INDEX(PP_Grid[#Data],$DE250,86),0)</f>
        <v/>
      </c>
      <c r="CL250">
        <f>IFERROR(INDEX(PP_Grid[#Data],$DE250,87),0)</f>
        <v/>
      </c>
      <c r="CM250">
        <f>IFERROR(INDEX(PP_Grid[#Data],$DE250,88),0)</f>
        <v/>
      </c>
      <c r="CN250">
        <f>IFERROR(INDEX(PP_Grid[#Data],$DE250,89),0)</f>
        <v/>
      </c>
      <c r="CO250">
        <f>IFERROR(INDEX(PP_Grid[#Data],$DE250,90),0)</f>
        <v/>
      </c>
      <c r="CP250">
        <f>IFERROR(INDEX(PP_Grid[#Data],$DE250,91),0)</f>
        <v/>
      </c>
      <c r="CQ250">
        <f>IFERROR(INDEX(PP_Grid[#Data],$DE250,92),0)</f>
        <v/>
      </c>
      <c r="CR250">
        <f>IFERROR(INDEX(PP_Grid[#Data],$DE250,93),0)</f>
        <v/>
      </c>
      <c r="CS250">
        <f>IFERROR(INDEX(PP_Grid[#Data],$DE250,94),0)</f>
        <v/>
      </c>
      <c r="CT250">
        <f>IFERROR(INDEX(PP_Grid[#Data],$DE250,95),0)</f>
        <v/>
      </c>
      <c r="CU250">
        <f>IFERROR(INDEX(PP_Grid[#Data],$DE250,96),0)</f>
        <v/>
      </c>
      <c r="CV250">
        <f>IFERROR(INDEX(PP_Grid[#Data],$DE250,97),0)</f>
        <v/>
      </c>
      <c r="CW250">
        <f>IFERROR(INDEX(PP_Grid[#Data],$DE250,98),0)</f>
        <v/>
      </c>
      <c r="CX250">
        <f>IFERROR(INDEX(PP_Grid[#Data],$DE250,99),0)</f>
        <v/>
      </c>
      <c r="CY250">
        <f>IFERROR(INDEX(PP_Grid[#Data],$DE250,100),0)</f>
        <v/>
      </c>
      <c r="CZ250">
        <f>IFERROR(INDEX(PP_Grid[#Data],$DE250,101),0)</f>
        <v/>
      </c>
      <c r="DA250">
        <f>IFERROR(INDEX(PP_Grid[#Data],$DE250,102),0)</f>
        <v/>
      </c>
      <c r="DB250">
        <f>IFERROR(INDEX(PP_Grid[#Data],$DE250,103),0)</f>
        <v/>
      </c>
      <c r="DC250">
        <f>IFERROR(INDEX(PP_Grid[#Data],$DE250,104),0)</f>
        <v/>
      </c>
      <c r="DD250">
        <f>IFERROR(INDEX(PP_Grid[#Data],$DE250,105),0)</f>
        <v/>
      </c>
      <c r="DE250" s="7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SUMIFS(M_BOM[RM_Qty_Per_Batch],M_BOM[Intermediate],$B250,M_BOM[RM_Code],$A187)</f>
        <v/>
      </c>
      <c r="D251">
        <f>IFERROR(INDEX(E251:DD251,$F$1),"")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  <c r="DD251">
        <f>$C251*DD250</f>
        <v/>
      </c>
    </row>
    <row r="252">
      <c r="B252" t="inlineStr">
        <is>
          <t>TSP-925</t>
        </is>
      </c>
      <c r="C252" t="inlineStr">
        <is>
          <t>No. of batches</t>
        </is>
      </c>
      <c r="D252">
        <f>IFERROR(INDEX(E252:DD252,$F$1),"")</f>
        <v/>
      </c>
      <c r="E252">
        <f>IFERROR(INDEX(PP_Grid[#Data],$DE252,2),0)</f>
        <v/>
      </c>
      <c r="F252">
        <f>IFERROR(INDEX(PP_Grid[#Data],$DE252,3),0)</f>
        <v/>
      </c>
      <c r="G252">
        <f>IFERROR(INDEX(PP_Grid[#Data],$DE252,4),0)</f>
        <v/>
      </c>
      <c r="H252">
        <f>IFERROR(INDEX(PP_Grid[#Data],$DE252,5),0)</f>
        <v/>
      </c>
      <c r="I252">
        <f>IFERROR(INDEX(PP_Grid[#Data],$DE252,6),0)</f>
        <v/>
      </c>
      <c r="J252">
        <f>IFERROR(INDEX(PP_Grid[#Data],$DE252,7),0)</f>
        <v/>
      </c>
      <c r="K252">
        <f>IFERROR(INDEX(PP_Grid[#Data],$DE252,8),0)</f>
        <v/>
      </c>
      <c r="L252">
        <f>IFERROR(INDEX(PP_Grid[#Data],$DE252,9),0)</f>
        <v/>
      </c>
      <c r="M252">
        <f>IFERROR(INDEX(PP_Grid[#Data],$DE252,10),0)</f>
        <v/>
      </c>
      <c r="N252">
        <f>IFERROR(INDEX(PP_Grid[#Data],$DE252,11),0)</f>
        <v/>
      </c>
      <c r="O252">
        <f>IFERROR(INDEX(PP_Grid[#Data],$DE252,12),0)</f>
        <v/>
      </c>
      <c r="P252">
        <f>IFERROR(INDEX(PP_Grid[#Data],$DE252,13),0)</f>
        <v/>
      </c>
      <c r="Q252">
        <f>IFERROR(INDEX(PP_Grid[#Data],$DE252,14),0)</f>
        <v/>
      </c>
      <c r="R252">
        <f>IFERROR(INDEX(PP_Grid[#Data],$DE252,15),0)</f>
        <v/>
      </c>
      <c r="S252">
        <f>IFERROR(INDEX(PP_Grid[#Data],$DE252,16),0)</f>
        <v/>
      </c>
      <c r="T252">
        <f>IFERROR(INDEX(PP_Grid[#Data],$DE252,17),0)</f>
        <v/>
      </c>
      <c r="U252">
        <f>IFERROR(INDEX(PP_Grid[#Data],$DE252,18),0)</f>
        <v/>
      </c>
      <c r="V252">
        <f>IFERROR(INDEX(PP_Grid[#Data],$DE252,19),0)</f>
        <v/>
      </c>
      <c r="W252">
        <f>IFERROR(INDEX(PP_Grid[#Data],$DE252,20),0)</f>
        <v/>
      </c>
      <c r="X252">
        <f>IFERROR(INDEX(PP_Grid[#Data],$DE252,21),0)</f>
        <v/>
      </c>
      <c r="Y252">
        <f>IFERROR(INDEX(PP_Grid[#Data],$DE252,22),0)</f>
        <v/>
      </c>
      <c r="Z252">
        <f>IFERROR(INDEX(PP_Grid[#Data],$DE252,23),0)</f>
        <v/>
      </c>
      <c r="AA252">
        <f>IFERROR(INDEX(PP_Grid[#Data],$DE252,24),0)</f>
        <v/>
      </c>
      <c r="AB252">
        <f>IFERROR(INDEX(PP_Grid[#Data],$DE252,25),0)</f>
        <v/>
      </c>
      <c r="AC252">
        <f>IFERROR(INDEX(PP_Grid[#Data],$DE252,26),0)</f>
        <v/>
      </c>
      <c r="AD252">
        <f>IFERROR(INDEX(PP_Grid[#Data],$DE252,27),0)</f>
        <v/>
      </c>
      <c r="AE252">
        <f>IFERROR(INDEX(PP_Grid[#Data],$DE252,28),0)</f>
        <v/>
      </c>
      <c r="AF252">
        <f>IFERROR(INDEX(PP_Grid[#Data],$DE252,29),0)</f>
        <v/>
      </c>
      <c r="AG252">
        <f>IFERROR(INDEX(PP_Grid[#Data],$DE252,30),0)</f>
        <v/>
      </c>
      <c r="AH252">
        <f>IFERROR(INDEX(PP_Grid[#Data],$DE252,31),0)</f>
        <v/>
      </c>
      <c r="AI252">
        <f>IFERROR(INDEX(PP_Grid[#Data],$DE252,32),0)</f>
        <v/>
      </c>
      <c r="AJ252">
        <f>IFERROR(INDEX(PP_Grid[#Data],$DE252,33),0)</f>
        <v/>
      </c>
      <c r="AK252">
        <f>IFERROR(INDEX(PP_Grid[#Data],$DE252,34),0)</f>
        <v/>
      </c>
      <c r="AL252">
        <f>IFERROR(INDEX(PP_Grid[#Data],$DE252,35),0)</f>
        <v/>
      </c>
      <c r="AM252">
        <f>IFERROR(INDEX(PP_Grid[#Data],$DE252,36),0)</f>
        <v/>
      </c>
      <c r="AN252">
        <f>IFERROR(INDEX(PP_Grid[#Data],$DE252,37),0)</f>
        <v/>
      </c>
      <c r="AO252">
        <f>IFERROR(INDEX(PP_Grid[#Data],$DE252,38),0)</f>
        <v/>
      </c>
      <c r="AP252">
        <f>IFERROR(INDEX(PP_Grid[#Data],$DE252,39),0)</f>
        <v/>
      </c>
      <c r="AQ252">
        <f>IFERROR(INDEX(PP_Grid[#Data],$DE252,40),0)</f>
        <v/>
      </c>
      <c r="AR252">
        <f>IFERROR(INDEX(PP_Grid[#Data],$DE252,41),0)</f>
        <v/>
      </c>
      <c r="AS252">
        <f>IFERROR(INDEX(PP_Grid[#Data],$DE252,42),0)</f>
        <v/>
      </c>
      <c r="AT252">
        <f>IFERROR(INDEX(PP_Grid[#Data],$DE252,43),0)</f>
        <v/>
      </c>
      <c r="AU252">
        <f>IFERROR(INDEX(PP_Grid[#Data],$DE252,44),0)</f>
        <v/>
      </c>
      <c r="AV252">
        <f>IFERROR(INDEX(PP_Grid[#Data],$DE252,45),0)</f>
        <v/>
      </c>
      <c r="AW252">
        <f>IFERROR(INDEX(PP_Grid[#Data],$DE252,46),0)</f>
        <v/>
      </c>
      <c r="AX252">
        <f>IFERROR(INDEX(PP_Grid[#Data],$DE252,47),0)</f>
        <v/>
      </c>
      <c r="AY252">
        <f>IFERROR(INDEX(PP_Grid[#Data],$DE252,48),0)</f>
        <v/>
      </c>
      <c r="AZ252">
        <f>IFERROR(INDEX(PP_Grid[#Data],$DE252,49),0)</f>
        <v/>
      </c>
      <c r="BA252">
        <f>IFERROR(INDEX(PP_Grid[#Data],$DE252,50),0)</f>
        <v/>
      </c>
      <c r="BB252">
        <f>IFERROR(INDEX(PP_Grid[#Data],$DE252,51),0)</f>
        <v/>
      </c>
      <c r="BC252">
        <f>IFERROR(INDEX(PP_Grid[#Data],$DE252,52),0)</f>
        <v/>
      </c>
      <c r="BD252">
        <f>IFERROR(INDEX(PP_Grid[#Data],$DE252,53),0)</f>
        <v/>
      </c>
      <c r="BE252">
        <f>IFERROR(INDEX(PP_Grid[#Data],$DE252,54),0)</f>
        <v/>
      </c>
      <c r="BF252">
        <f>IFERROR(INDEX(PP_Grid[#Data],$DE252,55),0)</f>
        <v/>
      </c>
      <c r="BG252">
        <f>IFERROR(INDEX(PP_Grid[#Data],$DE252,56),0)</f>
        <v/>
      </c>
      <c r="BH252">
        <f>IFERROR(INDEX(PP_Grid[#Data],$DE252,57),0)</f>
        <v/>
      </c>
      <c r="BI252">
        <f>IFERROR(INDEX(PP_Grid[#Data],$DE252,58),0)</f>
        <v/>
      </c>
      <c r="BJ252">
        <f>IFERROR(INDEX(PP_Grid[#Data],$DE252,59),0)</f>
        <v/>
      </c>
      <c r="BK252">
        <f>IFERROR(INDEX(PP_Grid[#Data],$DE252,60),0)</f>
        <v/>
      </c>
      <c r="BL252">
        <f>IFERROR(INDEX(PP_Grid[#Data],$DE252,61),0)</f>
        <v/>
      </c>
      <c r="BM252">
        <f>IFERROR(INDEX(PP_Grid[#Data],$DE252,62),0)</f>
        <v/>
      </c>
      <c r="BN252">
        <f>IFERROR(INDEX(PP_Grid[#Data],$DE252,63),0)</f>
        <v/>
      </c>
      <c r="BO252">
        <f>IFERROR(INDEX(PP_Grid[#Data],$DE252,64),0)</f>
        <v/>
      </c>
      <c r="BP252">
        <f>IFERROR(INDEX(PP_Grid[#Data],$DE252,65),0)</f>
        <v/>
      </c>
      <c r="BQ252">
        <f>IFERROR(INDEX(PP_Grid[#Data],$DE252,66),0)</f>
        <v/>
      </c>
      <c r="BR252">
        <f>IFERROR(INDEX(PP_Grid[#Data],$DE252,67),0)</f>
        <v/>
      </c>
      <c r="BS252">
        <f>IFERROR(INDEX(PP_Grid[#Data],$DE252,68),0)</f>
        <v/>
      </c>
      <c r="BT252">
        <f>IFERROR(INDEX(PP_Grid[#Data],$DE252,69),0)</f>
        <v/>
      </c>
      <c r="BU252">
        <f>IFERROR(INDEX(PP_Grid[#Data],$DE252,70),0)</f>
        <v/>
      </c>
      <c r="BV252">
        <f>IFERROR(INDEX(PP_Grid[#Data],$DE252,71),0)</f>
        <v/>
      </c>
      <c r="BW252">
        <f>IFERROR(INDEX(PP_Grid[#Data],$DE252,72),0)</f>
        <v/>
      </c>
      <c r="BX252">
        <f>IFERROR(INDEX(PP_Grid[#Data],$DE252,73),0)</f>
        <v/>
      </c>
      <c r="BY252">
        <f>IFERROR(INDEX(PP_Grid[#Data],$DE252,74),0)</f>
        <v/>
      </c>
      <c r="BZ252">
        <f>IFERROR(INDEX(PP_Grid[#Data],$DE252,75),0)</f>
        <v/>
      </c>
      <c r="CA252">
        <f>IFERROR(INDEX(PP_Grid[#Data],$DE252,76),0)</f>
        <v/>
      </c>
      <c r="CB252">
        <f>IFERROR(INDEX(PP_Grid[#Data],$DE252,77),0)</f>
        <v/>
      </c>
      <c r="CC252">
        <f>IFERROR(INDEX(PP_Grid[#Data],$DE252,78),0)</f>
        <v/>
      </c>
      <c r="CD252">
        <f>IFERROR(INDEX(PP_Grid[#Data],$DE252,79),0)</f>
        <v/>
      </c>
      <c r="CE252">
        <f>IFERROR(INDEX(PP_Grid[#Data],$DE252,80),0)</f>
        <v/>
      </c>
      <c r="CF252">
        <f>IFERROR(INDEX(PP_Grid[#Data],$DE252,81),0)</f>
        <v/>
      </c>
      <c r="CG252">
        <f>IFERROR(INDEX(PP_Grid[#Data],$DE252,82),0)</f>
        <v/>
      </c>
      <c r="CH252">
        <f>IFERROR(INDEX(PP_Grid[#Data],$DE252,83),0)</f>
        <v/>
      </c>
      <c r="CI252">
        <f>IFERROR(INDEX(PP_Grid[#Data],$DE252,84),0)</f>
        <v/>
      </c>
      <c r="CJ252">
        <f>IFERROR(INDEX(PP_Grid[#Data],$DE252,85),0)</f>
        <v/>
      </c>
      <c r="CK252">
        <f>IFERROR(INDEX(PP_Grid[#Data],$DE252,86),0)</f>
        <v/>
      </c>
      <c r="CL252">
        <f>IFERROR(INDEX(PP_Grid[#Data],$DE252,87),0)</f>
        <v/>
      </c>
      <c r="CM252">
        <f>IFERROR(INDEX(PP_Grid[#Data],$DE252,88),0)</f>
        <v/>
      </c>
      <c r="CN252">
        <f>IFERROR(INDEX(PP_Grid[#Data],$DE252,89),0)</f>
        <v/>
      </c>
      <c r="CO252">
        <f>IFERROR(INDEX(PP_Grid[#Data],$DE252,90),0)</f>
        <v/>
      </c>
      <c r="CP252">
        <f>IFERROR(INDEX(PP_Grid[#Data],$DE252,91),0)</f>
        <v/>
      </c>
      <c r="CQ252">
        <f>IFERROR(INDEX(PP_Grid[#Data],$DE252,92),0)</f>
        <v/>
      </c>
      <c r="CR252">
        <f>IFERROR(INDEX(PP_Grid[#Data],$DE252,93),0)</f>
        <v/>
      </c>
      <c r="CS252">
        <f>IFERROR(INDEX(PP_Grid[#Data],$DE252,94),0)</f>
        <v/>
      </c>
      <c r="CT252">
        <f>IFERROR(INDEX(PP_Grid[#Data],$DE252,95),0)</f>
        <v/>
      </c>
      <c r="CU252">
        <f>IFERROR(INDEX(PP_Grid[#Data],$DE252,96),0)</f>
        <v/>
      </c>
      <c r="CV252">
        <f>IFERROR(INDEX(PP_Grid[#Data],$DE252,97),0)</f>
        <v/>
      </c>
      <c r="CW252">
        <f>IFERROR(INDEX(PP_Grid[#Data],$DE252,98),0)</f>
        <v/>
      </c>
      <c r="CX252">
        <f>IFERROR(INDEX(PP_Grid[#Data],$DE252,99),0)</f>
        <v/>
      </c>
      <c r="CY252">
        <f>IFERROR(INDEX(PP_Grid[#Data],$DE252,100),0)</f>
        <v/>
      </c>
      <c r="CZ252">
        <f>IFERROR(INDEX(PP_Grid[#Data],$DE252,101),0)</f>
        <v/>
      </c>
      <c r="DA252">
        <f>IFERROR(INDEX(PP_Grid[#Data],$DE252,102),0)</f>
        <v/>
      </c>
      <c r="DB252">
        <f>IFERROR(INDEX(PP_Grid[#Data],$DE252,103),0)</f>
        <v/>
      </c>
      <c r="DC252">
        <f>IFERROR(INDEX(PP_Grid[#Data],$DE252,104),0)</f>
        <v/>
      </c>
      <c r="DD252">
        <f>IFERROR(INDEX(PP_Grid[#Data],$DE252,105),0)</f>
        <v/>
      </c>
      <c r="DE252" s="7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SUMIFS(M_BOM[RM_Qty_Per_Batch],M_BOM[Intermediate],$B252,M_BOM[RM_Code],$A187)</f>
        <v/>
      </c>
      <c r="D253">
        <f>IFERROR(INDEX(E253:DD253,$F$1),"")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  <c r="DD253">
        <f>$C253*DD252</f>
        <v/>
      </c>
    </row>
    <row r="254">
      <c r="B254" t="inlineStr">
        <is>
          <t>TSP-928</t>
        </is>
      </c>
      <c r="C254" t="inlineStr">
        <is>
          <t>No. of batches</t>
        </is>
      </c>
      <c r="D254">
        <f>IFERROR(INDEX(E254:DD254,$F$1),"")</f>
        <v/>
      </c>
      <c r="E254">
        <f>IFERROR(INDEX(PP_Grid[#Data],$DE254,2),0)</f>
        <v/>
      </c>
      <c r="F254">
        <f>IFERROR(INDEX(PP_Grid[#Data],$DE254,3),0)</f>
        <v/>
      </c>
      <c r="G254">
        <f>IFERROR(INDEX(PP_Grid[#Data],$DE254,4),0)</f>
        <v/>
      </c>
      <c r="H254">
        <f>IFERROR(INDEX(PP_Grid[#Data],$DE254,5),0)</f>
        <v/>
      </c>
      <c r="I254">
        <f>IFERROR(INDEX(PP_Grid[#Data],$DE254,6),0)</f>
        <v/>
      </c>
      <c r="J254">
        <f>IFERROR(INDEX(PP_Grid[#Data],$DE254,7),0)</f>
        <v/>
      </c>
      <c r="K254">
        <f>IFERROR(INDEX(PP_Grid[#Data],$DE254,8),0)</f>
        <v/>
      </c>
      <c r="L254">
        <f>IFERROR(INDEX(PP_Grid[#Data],$DE254,9),0)</f>
        <v/>
      </c>
      <c r="M254">
        <f>IFERROR(INDEX(PP_Grid[#Data],$DE254,10),0)</f>
        <v/>
      </c>
      <c r="N254">
        <f>IFERROR(INDEX(PP_Grid[#Data],$DE254,11),0)</f>
        <v/>
      </c>
      <c r="O254">
        <f>IFERROR(INDEX(PP_Grid[#Data],$DE254,12),0)</f>
        <v/>
      </c>
      <c r="P254">
        <f>IFERROR(INDEX(PP_Grid[#Data],$DE254,13),0)</f>
        <v/>
      </c>
      <c r="Q254">
        <f>IFERROR(INDEX(PP_Grid[#Data],$DE254,14),0)</f>
        <v/>
      </c>
      <c r="R254">
        <f>IFERROR(INDEX(PP_Grid[#Data],$DE254,15),0)</f>
        <v/>
      </c>
      <c r="S254">
        <f>IFERROR(INDEX(PP_Grid[#Data],$DE254,16),0)</f>
        <v/>
      </c>
      <c r="T254">
        <f>IFERROR(INDEX(PP_Grid[#Data],$DE254,17),0)</f>
        <v/>
      </c>
      <c r="U254">
        <f>IFERROR(INDEX(PP_Grid[#Data],$DE254,18),0)</f>
        <v/>
      </c>
      <c r="V254">
        <f>IFERROR(INDEX(PP_Grid[#Data],$DE254,19),0)</f>
        <v/>
      </c>
      <c r="W254">
        <f>IFERROR(INDEX(PP_Grid[#Data],$DE254,20),0)</f>
        <v/>
      </c>
      <c r="X254">
        <f>IFERROR(INDEX(PP_Grid[#Data],$DE254,21),0)</f>
        <v/>
      </c>
      <c r="Y254">
        <f>IFERROR(INDEX(PP_Grid[#Data],$DE254,22),0)</f>
        <v/>
      </c>
      <c r="Z254">
        <f>IFERROR(INDEX(PP_Grid[#Data],$DE254,23),0)</f>
        <v/>
      </c>
      <c r="AA254">
        <f>IFERROR(INDEX(PP_Grid[#Data],$DE254,24),0)</f>
        <v/>
      </c>
      <c r="AB254">
        <f>IFERROR(INDEX(PP_Grid[#Data],$DE254,25),0)</f>
        <v/>
      </c>
      <c r="AC254">
        <f>IFERROR(INDEX(PP_Grid[#Data],$DE254,26),0)</f>
        <v/>
      </c>
      <c r="AD254">
        <f>IFERROR(INDEX(PP_Grid[#Data],$DE254,27),0)</f>
        <v/>
      </c>
      <c r="AE254">
        <f>IFERROR(INDEX(PP_Grid[#Data],$DE254,28),0)</f>
        <v/>
      </c>
      <c r="AF254">
        <f>IFERROR(INDEX(PP_Grid[#Data],$DE254,29),0)</f>
        <v/>
      </c>
      <c r="AG254">
        <f>IFERROR(INDEX(PP_Grid[#Data],$DE254,30),0)</f>
        <v/>
      </c>
      <c r="AH254">
        <f>IFERROR(INDEX(PP_Grid[#Data],$DE254,31),0)</f>
        <v/>
      </c>
      <c r="AI254">
        <f>IFERROR(INDEX(PP_Grid[#Data],$DE254,32),0)</f>
        <v/>
      </c>
      <c r="AJ254">
        <f>IFERROR(INDEX(PP_Grid[#Data],$DE254,33),0)</f>
        <v/>
      </c>
      <c r="AK254">
        <f>IFERROR(INDEX(PP_Grid[#Data],$DE254,34),0)</f>
        <v/>
      </c>
      <c r="AL254">
        <f>IFERROR(INDEX(PP_Grid[#Data],$DE254,35),0)</f>
        <v/>
      </c>
      <c r="AM254">
        <f>IFERROR(INDEX(PP_Grid[#Data],$DE254,36),0)</f>
        <v/>
      </c>
      <c r="AN254">
        <f>IFERROR(INDEX(PP_Grid[#Data],$DE254,37),0)</f>
        <v/>
      </c>
      <c r="AO254">
        <f>IFERROR(INDEX(PP_Grid[#Data],$DE254,38),0)</f>
        <v/>
      </c>
      <c r="AP254">
        <f>IFERROR(INDEX(PP_Grid[#Data],$DE254,39),0)</f>
        <v/>
      </c>
      <c r="AQ254">
        <f>IFERROR(INDEX(PP_Grid[#Data],$DE254,40),0)</f>
        <v/>
      </c>
      <c r="AR254">
        <f>IFERROR(INDEX(PP_Grid[#Data],$DE254,41),0)</f>
        <v/>
      </c>
      <c r="AS254">
        <f>IFERROR(INDEX(PP_Grid[#Data],$DE254,42),0)</f>
        <v/>
      </c>
      <c r="AT254">
        <f>IFERROR(INDEX(PP_Grid[#Data],$DE254,43),0)</f>
        <v/>
      </c>
      <c r="AU254">
        <f>IFERROR(INDEX(PP_Grid[#Data],$DE254,44),0)</f>
        <v/>
      </c>
      <c r="AV254">
        <f>IFERROR(INDEX(PP_Grid[#Data],$DE254,45),0)</f>
        <v/>
      </c>
      <c r="AW254">
        <f>IFERROR(INDEX(PP_Grid[#Data],$DE254,46),0)</f>
        <v/>
      </c>
      <c r="AX254">
        <f>IFERROR(INDEX(PP_Grid[#Data],$DE254,47),0)</f>
        <v/>
      </c>
      <c r="AY254">
        <f>IFERROR(INDEX(PP_Grid[#Data],$DE254,48),0)</f>
        <v/>
      </c>
      <c r="AZ254">
        <f>IFERROR(INDEX(PP_Grid[#Data],$DE254,49),0)</f>
        <v/>
      </c>
      <c r="BA254">
        <f>IFERROR(INDEX(PP_Grid[#Data],$DE254,50),0)</f>
        <v/>
      </c>
      <c r="BB254">
        <f>IFERROR(INDEX(PP_Grid[#Data],$DE254,51),0)</f>
        <v/>
      </c>
      <c r="BC254">
        <f>IFERROR(INDEX(PP_Grid[#Data],$DE254,52),0)</f>
        <v/>
      </c>
      <c r="BD254">
        <f>IFERROR(INDEX(PP_Grid[#Data],$DE254,53),0)</f>
        <v/>
      </c>
      <c r="BE254">
        <f>IFERROR(INDEX(PP_Grid[#Data],$DE254,54),0)</f>
        <v/>
      </c>
      <c r="BF254">
        <f>IFERROR(INDEX(PP_Grid[#Data],$DE254,55),0)</f>
        <v/>
      </c>
      <c r="BG254">
        <f>IFERROR(INDEX(PP_Grid[#Data],$DE254,56),0)</f>
        <v/>
      </c>
      <c r="BH254">
        <f>IFERROR(INDEX(PP_Grid[#Data],$DE254,57),0)</f>
        <v/>
      </c>
      <c r="BI254">
        <f>IFERROR(INDEX(PP_Grid[#Data],$DE254,58),0)</f>
        <v/>
      </c>
      <c r="BJ254">
        <f>IFERROR(INDEX(PP_Grid[#Data],$DE254,59),0)</f>
        <v/>
      </c>
      <c r="BK254">
        <f>IFERROR(INDEX(PP_Grid[#Data],$DE254,60),0)</f>
        <v/>
      </c>
      <c r="BL254">
        <f>IFERROR(INDEX(PP_Grid[#Data],$DE254,61),0)</f>
        <v/>
      </c>
      <c r="BM254">
        <f>IFERROR(INDEX(PP_Grid[#Data],$DE254,62),0)</f>
        <v/>
      </c>
      <c r="BN254">
        <f>IFERROR(INDEX(PP_Grid[#Data],$DE254,63),0)</f>
        <v/>
      </c>
      <c r="BO254">
        <f>IFERROR(INDEX(PP_Grid[#Data],$DE254,64),0)</f>
        <v/>
      </c>
      <c r="BP254">
        <f>IFERROR(INDEX(PP_Grid[#Data],$DE254,65),0)</f>
        <v/>
      </c>
      <c r="BQ254">
        <f>IFERROR(INDEX(PP_Grid[#Data],$DE254,66),0)</f>
        <v/>
      </c>
      <c r="BR254">
        <f>IFERROR(INDEX(PP_Grid[#Data],$DE254,67),0)</f>
        <v/>
      </c>
      <c r="BS254">
        <f>IFERROR(INDEX(PP_Grid[#Data],$DE254,68),0)</f>
        <v/>
      </c>
      <c r="BT254">
        <f>IFERROR(INDEX(PP_Grid[#Data],$DE254,69),0)</f>
        <v/>
      </c>
      <c r="BU254">
        <f>IFERROR(INDEX(PP_Grid[#Data],$DE254,70),0)</f>
        <v/>
      </c>
      <c r="BV254">
        <f>IFERROR(INDEX(PP_Grid[#Data],$DE254,71),0)</f>
        <v/>
      </c>
      <c r="BW254">
        <f>IFERROR(INDEX(PP_Grid[#Data],$DE254,72),0)</f>
        <v/>
      </c>
      <c r="BX254">
        <f>IFERROR(INDEX(PP_Grid[#Data],$DE254,73),0)</f>
        <v/>
      </c>
      <c r="BY254">
        <f>IFERROR(INDEX(PP_Grid[#Data],$DE254,74),0)</f>
        <v/>
      </c>
      <c r="BZ254">
        <f>IFERROR(INDEX(PP_Grid[#Data],$DE254,75),0)</f>
        <v/>
      </c>
      <c r="CA254">
        <f>IFERROR(INDEX(PP_Grid[#Data],$DE254,76),0)</f>
        <v/>
      </c>
      <c r="CB254">
        <f>IFERROR(INDEX(PP_Grid[#Data],$DE254,77),0)</f>
        <v/>
      </c>
      <c r="CC254">
        <f>IFERROR(INDEX(PP_Grid[#Data],$DE254,78),0)</f>
        <v/>
      </c>
      <c r="CD254">
        <f>IFERROR(INDEX(PP_Grid[#Data],$DE254,79),0)</f>
        <v/>
      </c>
      <c r="CE254">
        <f>IFERROR(INDEX(PP_Grid[#Data],$DE254,80),0)</f>
        <v/>
      </c>
      <c r="CF254">
        <f>IFERROR(INDEX(PP_Grid[#Data],$DE254,81),0)</f>
        <v/>
      </c>
      <c r="CG254">
        <f>IFERROR(INDEX(PP_Grid[#Data],$DE254,82),0)</f>
        <v/>
      </c>
      <c r="CH254">
        <f>IFERROR(INDEX(PP_Grid[#Data],$DE254,83),0)</f>
        <v/>
      </c>
      <c r="CI254">
        <f>IFERROR(INDEX(PP_Grid[#Data],$DE254,84),0)</f>
        <v/>
      </c>
      <c r="CJ254">
        <f>IFERROR(INDEX(PP_Grid[#Data],$DE254,85),0)</f>
        <v/>
      </c>
      <c r="CK254">
        <f>IFERROR(INDEX(PP_Grid[#Data],$DE254,86),0)</f>
        <v/>
      </c>
      <c r="CL254">
        <f>IFERROR(INDEX(PP_Grid[#Data],$DE254,87),0)</f>
        <v/>
      </c>
      <c r="CM254">
        <f>IFERROR(INDEX(PP_Grid[#Data],$DE254,88),0)</f>
        <v/>
      </c>
      <c r="CN254">
        <f>IFERROR(INDEX(PP_Grid[#Data],$DE254,89),0)</f>
        <v/>
      </c>
      <c r="CO254">
        <f>IFERROR(INDEX(PP_Grid[#Data],$DE254,90),0)</f>
        <v/>
      </c>
      <c r="CP254">
        <f>IFERROR(INDEX(PP_Grid[#Data],$DE254,91),0)</f>
        <v/>
      </c>
      <c r="CQ254">
        <f>IFERROR(INDEX(PP_Grid[#Data],$DE254,92),0)</f>
        <v/>
      </c>
      <c r="CR254">
        <f>IFERROR(INDEX(PP_Grid[#Data],$DE254,93),0)</f>
        <v/>
      </c>
      <c r="CS254">
        <f>IFERROR(INDEX(PP_Grid[#Data],$DE254,94),0)</f>
        <v/>
      </c>
      <c r="CT254">
        <f>IFERROR(INDEX(PP_Grid[#Data],$DE254,95),0)</f>
        <v/>
      </c>
      <c r="CU254">
        <f>IFERROR(INDEX(PP_Grid[#Data],$DE254,96),0)</f>
        <v/>
      </c>
      <c r="CV254">
        <f>IFERROR(INDEX(PP_Grid[#Data],$DE254,97),0)</f>
        <v/>
      </c>
      <c r="CW254">
        <f>IFERROR(INDEX(PP_Grid[#Data],$DE254,98),0)</f>
        <v/>
      </c>
      <c r="CX254">
        <f>IFERROR(INDEX(PP_Grid[#Data],$DE254,99),0)</f>
        <v/>
      </c>
      <c r="CY254">
        <f>IFERROR(INDEX(PP_Grid[#Data],$DE254,100),0)</f>
        <v/>
      </c>
      <c r="CZ254">
        <f>IFERROR(INDEX(PP_Grid[#Data],$DE254,101),0)</f>
        <v/>
      </c>
      <c r="DA254">
        <f>IFERROR(INDEX(PP_Grid[#Data],$DE254,102),0)</f>
        <v/>
      </c>
      <c r="DB254">
        <f>IFERROR(INDEX(PP_Grid[#Data],$DE254,103),0)</f>
        <v/>
      </c>
      <c r="DC254">
        <f>IFERROR(INDEX(PP_Grid[#Data],$DE254,104),0)</f>
        <v/>
      </c>
      <c r="DD254">
        <f>IFERROR(INDEX(PP_Grid[#Data],$DE254,105),0)</f>
        <v/>
      </c>
      <c r="DE254" s="7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SUMIFS(M_BOM[RM_Qty_Per_Batch],M_BOM[Intermediate],$B254,M_BOM[RM_Code],$A187)</f>
        <v/>
      </c>
      <c r="D255">
        <f>IFERROR(INDEX(E255:DD255,$F$1),"")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  <c r="DD255">
        <f>$C255*DD254</f>
        <v/>
      </c>
    </row>
    <row r="256">
      <c r="B256" t="inlineStr">
        <is>
          <t>TSP-929</t>
        </is>
      </c>
      <c r="C256" t="inlineStr">
        <is>
          <t>No. of batches</t>
        </is>
      </c>
      <c r="D256">
        <f>IFERROR(INDEX(E256:DD256,$F$1),"")</f>
        <v/>
      </c>
      <c r="E256">
        <f>IFERROR(INDEX(PP_Grid[#Data],$DE256,2),0)</f>
        <v/>
      </c>
      <c r="F256">
        <f>IFERROR(INDEX(PP_Grid[#Data],$DE256,3),0)</f>
        <v/>
      </c>
      <c r="G256">
        <f>IFERROR(INDEX(PP_Grid[#Data],$DE256,4),0)</f>
        <v/>
      </c>
      <c r="H256">
        <f>IFERROR(INDEX(PP_Grid[#Data],$DE256,5),0)</f>
        <v/>
      </c>
      <c r="I256">
        <f>IFERROR(INDEX(PP_Grid[#Data],$DE256,6),0)</f>
        <v/>
      </c>
      <c r="J256">
        <f>IFERROR(INDEX(PP_Grid[#Data],$DE256,7),0)</f>
        <v/>
      </c>
      <c r="K256">
        <f>IFERROR(INDEX(PP_Grid[#Data],$DE256,8),0)</f>
        <v/>
      </c>
      <c r="L256">
        <f>IFERROR(INDEX(PP_Grid[#Data],$DE256,9),0)</f>
        <v/>
      </c>
      <c r="M256">
        <f>IFERROR(INDEX(PP_Grid[#Data],$DE256,10),0)</f>
        <v/>
      </c>
      <c r="N256">
        <f>IFERROR(INDEX(PP_Grid[#Data],$DE256,11),0)</f>
        <v/>
      </c>
      <c r="O256">
        <f>IFERROR(INDEX(PP_Grid[#Data],$DE256,12),0)</f>
        <v/>
      </c>
      <c r="P256">
        <f>IFERROR(INDEX(PP_Grid[#Data],$DE256,13),0)</f>
        <v/>
      </c>
      <c r="Q256">
        <f>IFERROR(INDEX(PP_Grid[#Data],$DE256,14),0)</f>
        <v/>
      </c>
      <c r="R256">
        <f>IFERROR(INDEX(PP_Grid[#Data],$DE256,15),0)</f>
        <v/>
      </c>
      <c r="S256">
        <f>IFERROR(INDEX(PP_Grid[#Data],$DE256,16),0)</f>
        <v/>
      </c>
      <c r="T256">
        <f>IFERROR(INDEX(PP_Grid[#Data],$DE256,17),0)</f>
        <v/>
      </c>
      <c r="U256">
        <f>IFERROR(INDEX(PP_Grid[#Data],$DE256,18),0)</f>
        <v/>
      </c>
      <c r="V256">
        <f>IFERROR(INDEX(PP_Grid[#Data],$DE256,19),0)</f>
        <v/>
      </c>
      <c r="W256">
        <f>IFERROR(INDEX(PP_Grid[#Data],$DE256,20),0)</f>
        <v/>
      </c>
      <c r="X256">
        <f>IFERROR(INDEX(PP_Grid[#Data],$DE256,21),0)</f>
        <v/>
      </c>
      <c r="Y256">
        <f>IFERROR(INDEX(PP_Grid[#Data],$DE256,22),0)</f>
        <v/>
      </c>
      <c r="Z256">
        <f>IFERROR(INDEX(PP_Grid[#Data],$DE256,23),0)</f>
        <v/>
      </c>
      <c r="AA256">
        <f>IFERROR(INDEX(PP_Grid[#Data],$DE256,24),0)</f>
        <v/>
      </c>
      <c r="AB256">
        <f>IFERROR(INDEX(PP_Grid[#Data],$DE256,25),0)</f>
        <v/>
      </c>
      <c r="AC256">
        <f>IFERROR(INDEX(PP_Grid[#Data],$DE256,26),0)</f>
        <v/>
      </c>
      <c r="AD256">
        <f>IFERROR(INDEX(PP_Grid[#Data],$DE256,27),0)</f>
        <v/>
      </c>
      <c r="AE256">
        <f>IFERROR(INDEX(PP_Grid[#Data],$DE256,28),0)</f>
        <v/>
      </c>
      <c r="AF256">
        <f>IFERROR(INDEX(PP_Grid[#Data],$DE256,29),0)</f>
        <v/>
      </c>
      <c r="AG256">
        <f>IFERROR(INDEX(PP_Grid[#Data],$DE256,30),0)</f>
        <v/>
      </c>
      <c r="AH256">
        <f>IFERROR(INDEX(PP_Grid[#Data],$DE256,31),0)</f>
        <v/>
      </c>
      <c r="AI256">
        <f>IFERROR(INDEX(PP_Grid[#Data],$DE256,32),0)</f>
        <v/>
      </c>
      <c r="AJ256">
        <f>IFERROR(INDEX(PP_Grid[#Data],$DE256,33),0)</f>
        <v/>
      </c>
      <c r="AK256">
        <f>IFERROR(INDEX(PP_Grid[#Data],$DE256,34),0)</f>
        <v/>
      </c>
      <c r="AL256">
        <f>IFERROR(INDEX(PP_Grid[#Data],$DE256,35),0)</f>
        <v/>
      </c>
      <c r="AM256">
        <f>IFERROR(INDEX(PP_Grid[#Data],$DE256,36),0)</f>
        <v/>
      </c>
      <c r="AN256">
        <f>IFERROR(INDEX(PP_Grid[#Data],$DE256,37),0)</f>
        <v/>
      </c>
      <c r="AO256">
        <f>IFERROR(INDEX(PP_Grid[#Data],$DE256,38),0)</f>
        <v/>
      </c>
      <c r="AP256">
        <f>IFERROR(INDEX(PP_Grid[#Data],$DE256,39),0)</f>
        <v/>
      </c>
      <c r="AQ256">
        <f>IFERROR(INDEX(PP_Grid[#Data],$DE256,40),0)</f>
        <v/>
      </c>
      <c r="AR256">
        <f>IFERROR(INDEX(PP_Grid[#Data],$DE256,41),0)</f>
        <v/>
      </c>
      <c r="AS256">
        <f>IFERROR(INDEX(PP_Grid[#Data],$DE256,42),0)</f>
        <v/>
      </c>
      <c r="AT256">
        <f>IFERROR(INDEX(PP_Grid[#Data],$DE256,43),0)</f>
        <v/>
      </c>
      <c r="AU256">
        <f>IFERROR(INDEX(PP_Grid[#Data],$DE256,44),0)</f>
        <v/>
      </c>
      <c r="AV256">
        <f>IFERROR(INDEX(PP_Grid[#Data],$DE256,45),0)</f>
        <v/>
      </c>
      <c r="AW256">
        <f>IFERROR(INDEX(PP_Grid[#Data],$DE256,46),0)</f>
        <v/>
      </c>
      <c r="AX256">
        <f>IFERROR(INDEX(PP_Grid[#Data],$DE256,47),0)</f>
        <v/>
      </c>
      <c r="AY256">
        <f>IFERROR(INDEX(PP_Grid[#Data],$DE256,48),0)</f>
        <v/>
      </c>
      <c r="AZ256">
        <f>IFERROR(INDEX(PP_Grid[#Data],$DE256,49),0)</f>
        <v/>
      </c>
      <c r="BA256">
        <f>IFERROR(INDEX(PP_Grid[#Data],$DE256,50),0)</f>
        <v/>
      </c>
      <c r="BB256">
        <f>IFERROR(INDEX(PP_Grid[#Data],$DE256,51),0)</f>
        <v/>
      </c>
      <c r="BC256">
        <f>IFERROR(INDEX(PP_Grid[#Data],$DE256,52),0)</f>
        <v/>
      </c>
      <c r="BD256">
        <f>IFERROR(INDEX(PP_Grid[#Data],$DE256,53),0)</f>
        <v/>
      </c>
      <c r="BE256">
        <f>IFERROR(INDEX(PP_Grid[#Data],$DE256,54),0)</f>
        <v/>
      </c>
      <c r="BF256">
        <f>IFERROR(INDEX(PP_Grid[#Data],$DE256,55),0)</f>
        <v/>
      </c>
      <c r="BG256">
        <f>IFERROR(INDEX(PP_Grid[#Data],$DE256,56),0)</f>
        <v/>
      </c>
      <c r="BH256">
        <f>IFERROR(INDEX(PP_Grid[#Data],$DE256,57),0)</f>
        <v/>
      </c>
      <c r="BI256">
        <f>IFERROR(INDEX(PP_Grid[#Data],$DE256,58),0)</f>
        <v/>
      </c>
      <c r="BJ256">
        <f>IFERROR(INDEX(PP_Grid[#Data],$DE256,59),0)</f>
        <v/>
      </c>
      <c r="BK256">
        <f>IFERROR(INDEX(PP_Grid[#Data],$DE256,60),0)</f>
        <v/>
      </c>
      <c r="BL256">
        <f>IFERROR(INDEX(PP_Grid[#Data],$DE256,61),0)</f>
        <v/>
      </c>
      <c r="BM256">
        <f>IFERROR(INDEX(PP_Grid[#Data],$DE256,62),0)</f>
        <v/>
      </c>
      <c r="BN256">
        <f>IFERROR(INDEX(PP_Grid[#Data],$DE256,63),0)</f>
        <v/>
      </c>
      <c r="BO256">
        <f>IFERROR(INDEX(PP_Grid[#Data],$DE256,64),0)</f>
        <v/>
      </c>
      <c r="BP256">
        <f>IFERROR(INDEX(PP_Grid[#Data],$DE256,65),0)</f>
        <v/>
      </c>
      <c r="BQ256">
        <f>IFERROR(INDEX(PP_Grid[#Data],$DE256,66),0)</f>
        <v/>
      </c>
      <c r="BR256">
        <f>IFERROR(INDEX(PP_Grid[#Data],$DE256,67),0)</f>
        <v/>
      </c>
      <c r="BS256">
        <f>IFERROR(INDEX(PP_Grid[#Data],$DE256,68),0)</f>
        <v/>
      </c>
      <c r="BT256">
        <f>IFERROR(INDEX(PP_Grid[#Data],$DE256,69),0)</f>
        <v/>
      </c>
      <c r="BU256">
        <f>IFERROR(INDEX(PP_Grid[#Data],$DE256,70),0)</f>
        <v/>
      </c>
      <c r="BV256">
        <f>IFERROR(INDEX(PP_Grid[#Data],$DE256,71),0)</f>
        <v/>
      </c>
      <c r="BW256">
        <f>IFERROR(INDEX(PP_Grid[#Data],$DE256,72),0)</f>
        <v/>
      </c>
      <c r="BX256">
        <f>IFERROR(INDEX(PP_Grid[#Data],$DE256,73),0)</f>
        <v/>
      </c>
      <c r="BY256">
        <f>IFERROR(INDEX(PP_Grid[#Data],$DE256,74),0)</f>
        <v/>
      </c>
      <c r="BZ256">
        <f>IFERROR(INDEX(PP_Grid[#Data],$DE256,75),0)</f>
        <v/>
      </c>
      <c r="CA256">
        <f>IFERROR(INDEX(PP_Grid[#Data],$DE256,76),0)</f>
        <v/>
      </c>
      <c r="CB256">
        <f>IFERROR(INDEX(PP_Grid[#Data],$DE256,77),0)</f>
        <v/>
      </c>
      <c r="CC256">
        <f>IFERROR(INDEX(PP_Grid[#Data],$DE256,78),0)</f>
        <v/>
      </c>
      <c r="CD256">
        <f>IFERROR(INDEX(PP_Grid[#Data],$DE256,79),0)</f>
        <v/>
      </c>
      <c r="CE256">
        <f>IFERROR(INDEX(PP_Grid[#Data],$DE256,80),0)</f>
        <v/>
      </c>
      <c r="CF256">
        <f>IFERROR(INDEX(PP_Grid[#Data],$DE256,81),0)</f>
        <v/>
      </c>
      <c r="CG256">
        <f>IFERROR(INDEX(PP_Grid[#Data],$DE256,82),0)</f>
        <v/>
      </c>
      <c r="CH256">
        <f>IFERROR(INDEX(PP_Grid[#Data],$DE256,83),0)</f>
        <v/>
      </c>
      <c r="CI256">
        <f>IFERROR(INDEX(PP_Grid[#Data],$DE256,84),0)</f>
        <v/>
      </c>
      <c r="CJ256">
        <f>IFERROR(INDEX(PP_Grid[#Data],$DE256,85),0)</f>
        <v/>
      </c>
      <c r="CK256">
        <f>IFERROR(INDEX(PP_Grid[#Data],$DE256,86),0)</f>
        <v/>
      </c>
      <c r="CL256">
        <f>IFERROR(INDEX(PP_Grid[#Data],$DE256,87),0)</f>
        <v/>
      </c>
      <c r="CM256">
        <f>IFERROR(INDEX(PP_Grid[#Data],$DE256,88),0)</f>
        <v/>
      </c>
      <c r="CN256">
        <f>IFERROR(INDEX(PP_Grid[#Data],$DE256,89),0)</f>
        <v/>
      </c>
      <c r="CO256">
        <f>IFERROR(INDEX(PP_Grid[#Data],$DE256,90),0)</f>
        <v/>
      </c>
      <c r="CP256">
        <f>IFERROR(INDEX(PP_Grid[#Data],$DE256,91),0)</f>
        <v/>
      </c>
      <c r="CQ256">
        <f>IFERROR(INDEX(PP_Grid[#Data],$DE256,92),0)</f>
        <v/>
      </c>
      <c r="CR256">
        <f>IFERROR(INDEX(PP_Grid[#Data],$DE256,93),0)</f>
        <v/>
      </c>
      <c r="CS256">
        <f>IFERROR(INDEX(PP_Grid[#Data],$DE256,94),0)</f>
        <v/>
      </c>
      <c r="CT256">
        <f>IFERROR(INDEX(PP_Grid[#Data],$DE256,95),0)</f>
        <v/>
      </c>
      <c r="CU256">
        <f>IFERROR(INDEX(PP_Grid[#Data],$DE256,96),0)</f>
        <v/>
      </c>
      <c r="CV256">
        <f>IFERROR(INDEX(PP_Grid[#Data],$DE256,97),0)</f>
        <v/>
      </c>
      <c r="CW256">
        <f>IFERROR(INDEX(PP_Grid[#Data],$DE256,98),0)</f>
        <v/>
      </c>
      <c r="CX256">
        <f>IFERROR(INDEX(PP_Grid[#Data],$DE256,99),0)</f>
        <v/>
      </c>
      <c r="CY256">
        <f>IFERROR(INDEX(PP_Grid[#Data],$DE256,100),0)</f>
        <v/>
      </c>
      <c r="CZ256">
        <f>IFERROR(INDEX(PP_Grid[#Data],$DE256,101),0)</f>
        <v/>
      </c>
      <c r="DA256">
        <f>IFERROR(INDEX(PP_Grid[#Data],$DE256,102),0)</f>
        <v/>
      </c>
      <c r="DB256">
        <f>IFERROR(INDEX(PP_Grid[#Data],$DE256,103),0)</f>
        <v/>
      </c>
      <c r="DC256">
        <f>IFERROR(INDEX(PP_Grid[#Data],$DE256,104),0)</f>
        <v/>
      </c>
      <c r="DD256">
        <f>IFERROR(INDEX(PP_Grid[#Data],$DE256,105),0)</f>
        <v/>
      </c>
      <c r="DE256" s="7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SUMIFS(M_BOM[RM_Qty_Per_Batch],M_BOM[Intermediate],$B256,M_BOM[RM_Code],$A187)</f>
        <v/>
      </c>
      <c r="D257">
        <f>IFERROR(INDEX(E257:DD257,$F$1),"")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  <c r="DD257">
        <f>$C257*DD256</f>
        <v/>
      </c>
    </row>
    <row r="258">
      <c r="B258" t="inlineStr">
        <is>
          <t>TSP-930</t>
        </is>
      </c>
      <c r="C258" t="inlineStr">
        <is>
          <t>No. of batches</t>
        </is>
      </c>
      <c r="D258">
        <f>IFERROR(INDEX(E258:DD258,$F$1),"")</f>
        <v/>
      </c>
      <c r="E258">
        <f>IFERROR(INDEX(PP_Grid[#Data],$DE258,2),0)</f>
        <v/>
      </c>
      <c r="F258">
        <f>IFERROR(INDEX(PP_Grid[#Data],$DE258,3),0)</f>
        <v/>
      </c>
      <c r="G258">
        <f>IFERROR(INDEX(PP_Grid[#Data],$DE258,4),0)</f>
        <v/>
      </c>
      <c r="H258">
        <f>IFERROR(INDEX(PP_Grid[#Data],$DE258,5),0)</f>
        <v/>
      </c>
      <c r="I258">
        <f>IFERROR(INDEX(PP_Grid[#Data],$DE258,6),0)</f>
        <v/>
      </c>
      <c r="J258">
        <f>IFERROR(INDEX(PP_Grid[#Data],$DE258,7),0)</f>
        <v/>
      </c>
      <c r="K258">
        <f>IFERROR(INDEX(PP_Grid[#Data],$DE258,8),0)</f>
        <v/>
      </c>
      <c r="L258">
        <f>IFERROR(INDEX(PP_Grid[#Data],$DE258,9),0)</f>
        <v/>
      </c>
      <c r="M258">
        <f>IFERROR(INDEX(PP_Grid[#Data],$DE258,10),0)</f>
        <v/>
      </c>
      <c r="N258">
        <f>IFERROR(INDEX(PP_Grid[#Data],$DE258,11),0)</f>
        <v/>
      </c>
      <c r="O258">
        <f>IFERROR(INDEX(PP_Grid[#Data],$DE258,12),0)</f>
        <v/>
      </c>
      <c r="P258">
        <f>IFERROR(INDEX(PP_Grid[#Data],$DE258,13),0)</f>
        <v/>
      </c>
      <c r="Q258">
        <f>IFERROR(INDEX(PP_Grid[#Data],$DE258,14),0)</f>
        <v/>
      </c>
      <c r="R258">
        <f>IFERROR(INDEX(PP_Grid[#Data],$DE258,15),0)</f>
        <v/>
      </c>
      <c r="S258">
        <f>IFERROR(INDEX(PP_Grid[#Data],$DE258,16),0)</f>
        <v/>
      </c>
      <c r="T258">
        <f>IFERROR(INDEX(PP_Grid[#Data],$DE258,17),0)</f>
        <v/>
      </c>
      <c r="U258">
        <f>IFERROR(INDEX(PP_Grid[#Data],$DE258,18),0)</f>
        <v/>
      </c>
      <c r="V258">
        <f>IFERROR(INDEX(PP_Grid[#Data],$DE258,19),0)</f>
        <v/>
      </c>
      <c r="W258">
        <f>IFERROR(INDEX(PP_Grid[#Data],$DE258,20),0)</f>
        <v/>
      </c>
      <c r="X258">
        <f>IFERROR(INDEX(PP_Grid[#Data],$DE258,21),0)</f>
        <v/>
      </c>
      <c r="Y258">
        <f>IFERROR(INDEX(PP_Grid[#Data],$DE258,22),0)</f>
        <v/>
      </c>
      <c r="Z258">
        <f>IFERROR(INDEX(PP_Grid[#Data],$DE258,23),0)</f>
        <v/>
      </c>
      <c r="AA258">
        <f>IFERROR(INDEX(PP_Grid[#Data],$DE258,24),0)</f>
        <v/>
      </c>
      <c r="AB258">
        <f>IFERROR(INDEX(PP_Grid[#Data],$DE258,25),0)</f>
        <v/>
      </c>
      <c r="AC258">
        <f>IFERROR(INDEX(PP_Grid[#Data],$DE258,26),0)</f>
        <v/>
      </c>
      <c r="AD258">
        <f>IFERROR(INDEX(PP_Grid[#Data],$DE258,27),0)</f>
        <v/>
      </c>
      <c r="AE258">
        <f>IFERROR(INDEX(PP_Grid[#Data],$DE258,28),0)</f>
        <v/>
      </c>
      <c r="AF258">
        <f>IFERROR(INDEX(PP_Grid[#Data],$DE258,29),0)</f>
        <v/>
      </c>
      <c r="AG258">
        <f>IFERROR(INDEX(PP_Grid[#Data],$DE258,30),0)</f>
        <v/>
      </c>
      <c r="AH258">
        <f>IFERROR(INDEX(PP_Grid[#Data],$DE258,31),0)</f>
        <v/>
      </c>
      <c r="AI258">
        <f>IFERROR(INDEX(PP_Grid[#Data],$DE258,32),0)</f>
        <v/>
      </c>
      <c r="AJ258">
        <f>IFERROR(INDEX(PP_Grid[#Data],$DE258,33),0)</f>
        <v/>
      </c>
      <c r="AK258">
        <f>IFERROR(INDEX(PP_Grid[#Data],$DE258,34),0)</f>
        <v/>
      </c>
      <c r="AL258">
        <f>IFERROR(INDEX(PP_Grid[#Data],$DE258,35),0)</f>
        <v/>
      </c>
      <c r="AM258">
        <f>IFERROR(INDEX(PP_Grid[#Data],$DE258,36),0)</f>
        <v/>
      </c>
      <c r="AN258">
        <f>IFERROR(INDEX(PP_Grid[#Data],$DE258,37),0)</f>
        <v/>
      </c>
      <c r="AO258">
        <f>IFERROR(INDEX(PP_Grid[#Data],$DE258,38),0)</f>
        <v/>
      </c>
      <c r="AP258">
        <f>IFERROR(INDEX(PP_Grid[#Data],$DE258,39),0)</f>
        <v/>
      </c>
      <c r="AQ258">
        <f>IFERROR(INDEX(PP_Grid[#Data],$DE258,40),0)</f>
        <v/>
      </c>
      <c r="AR258">
        <f>IFERROR(INDEX(PP_Grid[#Data],$DE258,41),0)</f>
        <v/>
      </c>
      <c r="AS258">
        <f>IFERROR(INDEX(PP_Grid[#Data],$DE258,42),0)</f>
        <v/>
      </c>
      <c r="AT258">
        <f>IFERROR(INDEX(PP_Grid[#Data],$DE258,43),0)</f>
        <v/>
      </c>
      <c r="AU258">
        <f>IFERROR(INDEX(PP_Grid[#Data],$DE258,44),0)</f>
        <v/>
      </c>
      <c r="AV258">
        <f>IFERROR(INDEX(PP_Grid[#Data],$DE258,45),0)</f>
        <v/>
      </c>
      <c r="AW258">
        <f>IFERROR(INDEX(PP_Grid[#Data],$DE258,46),0)</f>
        <v/>
      </c>
      <c r="AX258">
        <f>IFERROR(INDEX(PP_Grid[#Data],$DE258,47),0)</f>
        <v/>
      </c>
      <c r="AY258">
        <f>IFERROR(INDEX(PP_Grid[#Data],$DE258,48),0)</f>
        <v/>
      </c>
      <c r="AZ258">
        <f>IFERROR(INDEX(PP_Grid[#Data],$DE258,49),0)</f>
        <v/>
      </c>
      <c r="BA258">
        <f>IFERROR(INDEX(PP_Grid[#Data],$DE258,50),0)</f>
        <v/>
      </c>
      <c r="BB258">
        <f>IFERROR(INDEX(PP_Grid[#Data],$DE258,51),0)</f>
        <v/>
      </c>
      <c r="BC258">
        <f>IFERROR(INDEX(PP_Grid[#Data],$DE258,52),0)</f>
        <v/>
      </c>
      <c r="BD258">
        <f>IFERROR(INDEX(PP_Grid[#Data],$DE258,53),0)</f>
        <v/>
      </c>
      <c r="BE258">
        <f>IFERROR(INDEX(PP_Grid[#Data],$DE258,54),0)</f>
        <v/>
      </c>
      <c r="BF258">
        <f>IFERROR(INDEX(PP_Grid[#Data],$DE258,55),0)</f>
        <v/>
      </c>
      <c r="BG258">
        <f>IFERROR(INDEX(PP_Grid[#Data],$DE258,56),0)</f>
        <v/>
      </c>
      <c r="BH258">
        <f>IFERROR(INDEX(PP_Grid[#Data],$DE258,57),0)</f>
        <v/>
      </c>
      <c r="BI258">
        <f>IFERROR(INDEX(PP_Grid[#Data],$DE258,58),0)</f>
        <v/>
      </c>
      <c r="BJ258">
        <f>IFERROR(INDEX(PP_Grid[#Data],$DE258,59),0)</f>
        <v/>
      </c>
      <c r="BK258">
        <f>IFERROR(INDEX(PP_Grid[#Data],$DE258,60),0)</f>
        <v/>
      </c>
      <c r="BL258">
        <f>IFERROR(INDEX(PP_Grid[#Data],$DE258,61),0)</f>
        <v/>
      </c>
      <c r="BM258">
        <f>IFERROR(INDEX(PP_Grid[#Data],$DE258,62),0)</f>
        <v/>
      </c>
      <c r="BN258">
        <f>IFERROR(INDEX(PP_Grid[#Data],$DE258,63),0)</f>
        <v/>
      </c>
      <c r="BO258">
        <f>IFERROR(INDEX(PP_Grid[#Data],$DE258,64),0)</f>
        <v/>
      </c>
      <c r="BP258">
        <f>IFERROR(INDEX(PP_Grid[#Data],$DE258,65),0)</f>
        <v/>
      </c>
      <c r="BQ258">
        <f>IFERROR(INDEX(PP_Grid[#Data],$DE258,66),0)</f>
        <v/>
      </c>
      <c r="BR258">
        <f>IFERROR(INDEX(PP_Grid[#Data],$DE258,67),0)</f>
        <v/>
      </c>
      <c r="BS258">
        <f>IFERROR(INDEX(PP_Grid[#Data],$DE258,68),0)</f>
        <v/>
      </c>
      <c r="BT258">
        <f>IFERROR(INDEX(PP_Grid[#Data],$DE258,69),0)</f>
        <v/>
      </c>
      <c r="BU258">
        <f>IFERROR(INDEX(PP_Grid[#Data],$DE258,70),0)</f>
        <v/>
      </c>
      <c r="BV258">
        <f>IFERROR(INDEX(PP_Grid[#Data],$DE258,71),0)</f>
        <v/>
      </c>
      <c r="BW258">
        <f>IFERROR(INDEX(PP_Grid[#Data],$DE258,72),0)</f>
        <v/>
      </c>
      <c r="BX258">
        <f>IFERROR(INDEX(PP_Grid[#Data],$DE258,73),0)</f>
        <v/>
      </c>
      <c r="BY258">
        <f>IFERROR(INDEX(PP_Grid[#Data],$DE258,74),0)</f>
        <v/>
      </c>
      <c r="BZ258">
        <f>IFERROR(INDEX(PP_Grid[#Data],$DE258,75),0)</f>
        <v/>
      </c>
      <c r="CA258">
        <f>IFERROR(INDEX(PP_Grid[#Data],$DE258,76),0)</f>
        <v/>
      </c>
      <c r="CB258">
        <f>IFERROR(INDEX(PP_Grid[#Data],$DE258,77),0)</f>
        <v/>
      </c>
      <c r="CC258">
        <f>IFERROR(INDEX(PP_Grid[#Data],$DE258,78),0)</f>
        <v/>
      </c>
      <c r="CD258">
        <f>IFERROR(INDEX(PP_Grid[#Data],$DE258,79),0)</f>
        <v/>
      </c>
      <c r="CE258">
        <f>IFERROR(INDEX(PP_Grid[#Data],$DE258,80),0)</f>
        <v/>
      </c>
      <c r="CF258">
        <f>IFERROR(INDEX(PP_Grid[#Data],$DE258,81),0)</f>
        <v/>
      </c>
      <c r="CG258">
        <f>IFERROR(INDEX(PP_Grid[#Data],$DE258,82),0)</f>
        <v/>
      </c>
      <c r="CH258">
        <f>IFERROR(INDEX(PP_Grid[#Data],$DE258,83),0)</f>
        <v/>
      </c>
      <c r="CI258">
        <f>IFERROR(INDEX(PP_Grid[#Data],$DE258,84),0)</f>
        <v/>
      </c>
      <c r="CJ258">
        <f>IFERROR(INDEX(PP_Grid[#Data],$DE258,85),0)</f>
        <v/>
      </c>
      <c r="CK258">
        <f>IFERROR(INDEX(PP_Grid[#Data],$DE258,86),0)</f>
        <v/>
      </c>
      <c r="CL258">
        <f>IFERROR(INDEX(PP_Grid[#Data],$DE258,87),0)</f>
        <v/>
      </c>
      <c r="CM258">
        <f>IFERROR(INDEX(PP_Grid[#Data],$DE258,88),0)</f>
        <v/>
      </c>
      <c r="CN258">
        <f>IFERROR(INDEX(PP_Grid[#Data],$DE258,89),0)</f>
        <v/>
      </c>
      <c r="CO258">
        <f>IFERROR(INDEX(PP_Grid[#Data],$DE258,90),0)</f>
        <v/>
      </c>
      <c r="CP258">
        <f>IFERROR(INDEX(PP_Grid[#Data],$DE258,91),0)</f>
        <v/>
      </c>
      <c r="CQ258">
        <f>IFERROR(INDEX(PP_Grid[#Data],$DE258,92),0)</f>
        <v/>
      </c>
      <c r="CR258">
        <f>IFERROR(INDEX(PP_Grid[#Data],$DE258,93),0)</f>
        <v/>
      </c>
      <c r="CS258">
        <f>IFERROR(INDEX(PP_Grid[#Data],$DE258,94),0)</f>
        <v/>
      </c>
      <c r="CT258">
        <f>IFERROR(INDEX(PP_Grid[#Data],$DE258,95),0)</f>
        <v/>
      </c>
      <c r="CU258">
        <f>IFERROR(INDEX(PP_Grid[#Data],$DE258,96),0)</f>
        <v/>
      </c>
      <c r="CV258">
        <f>IFERROR(INDEX(PP_Grid[#Data],$DE258,97),0)</f>
        <v/>
      </c>
      <c r="CW258">
        <f>IFERROR(INDEX(PP_Grid[#Data],$DE258,98),0)</f>
        <v/>
      </c>
      <c r="CX258">
        <f>IFERROR(INDEX(PP_Grid[#Data],$DE258,99),0)</f>
        <v/>
      </c>
      <c r="CY258">
        <f>IFERROR(INDEX(PP_Grid[#Data],$DE258,100),0)</f>
        <v/>
      </c>
      <c r="CZ258">
        <f>IFERROR(INDEX(PP_Grid[#Data],$DE258,101),0)</f>
        <v/>
      </c>
      <c r="DA258">
        <f>IFERROR(INDEX(PP_Grid[#Data],$DE258,102),0)</f>
        <v/>
      </c>
      <c r="DB258">
        <f>IFERROR(INDEX(PP_Grid[#Data],$DE258,103),0)</f>
        <v/>
      </c>
      <c r="DC258">
        <f>IFERROR(INDEX(PP_Grid[#Data],$DE258,104),0)</f>
        <v/>
      </c>
      <c r="DD258">
        <f>IFERROR(INDEX(PP_Grid[#Data],$DE258,105),0)</f>
        <v/>
      </c>
      <c r="DE258" s="7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SUMIFS(M_BOM[RM_Qty_Per_Batch],M_BOM[Intermediate],$B258,M_BOM[RM_Code],$A187)</f>
        <v/>
      </c>
      <c r="D259">
        <f>IFERROR(INDEX(E259:DD259,$F$1),"")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  <c r="DD259">
        <f>$C259*DD258</f>
        <v/>
      </c>
    </row>
    <row r="260">
      <c r="B260" t="inlineStr">
        <is>
          <t>TSP-934</t>
        </is>
      </c>
      <c r="C260" t="inlineStr">
        <is>
          <t>No. of batches</t>
        </is>
      </c>
      <c r="D260">
        <f>IFERROR(INDEX(E260:DD260,$F$1),"")</f>
        <v/>
      </c>
      <c r="E260">
        <f>IFERROR(INDEX(PP_Grid[#Data],$DE260,2),0)</f>
        <v/>
      </c>
      <c r="F260">
        <f>IFERROR(INDEX(PP_Grid[#Data],$DE260,3),0)</f>
        <v/>
      </c>
      <c r="G260">
        <f>IFERROR(INDEX(PP_Grid[#Data],$DE260,4),0)</f>
        <v/>
      </c>
      <c r="H260">
        <f>IFERROR(INDEX(PP_Grid[#Data],$DE260,5),0)</f>
        <v/>
      </c>
      <c r="I260">
        <f>IFERROR(INDEX(PP_Grid[#Data],$DE260,6),0)</f>
        <v/>
      </c>
      <c r="J260">
        <f>IFERROR(INDEX(PP_Grid[#Data],$DE260,7),0)</f>
        <v/>
      </c>
      <c r="K260">
        <f>IFERROR(INDEX(PP_Grid[#Data],$DE260,8),0)</f>
        <v/>
      </c>
      <c r="L260">
        <f>IFERROR(INDEX(PP_Grid[#Data],$DE260,9),0)</f>
        <v/>
      </c>
      <c r="M260">
        <f>IFERROR(INDEX(PP_Grid[#Data],$DE260,10),0)</f>
        <v/>
      </c>
      <c r="N260">
        <f>IFERROR(INDEX(PP_Grid[#Data],$DE260,11),0)</f>
        <v/>
      </c>
      <c r="O260">
        <f>IFERROR(INDEX(PP_Grid[#Data],$DE260,12),0)</f>
        <v/>
      </c>
      <c r="P260">
        <f>IFERROR(INDEX(PP_Grid[#Data],$DE260,13),0)</f>
        <v/>
      </c>
      <c r="Q260">
        <f>IFERROR(INDEX(PP_Grid[#Data],$DE260,14),0)</f>
        <v/>
      </c>
      <c r="R260">
        <f>IFERROR(INDEX(PP_Grid[#Data],$DE260,15),0)</f>
        <v/>
      </c>
      <c r="S260">
        <f>IFERROR(INDEX(PP_Grid[#Data],$DE260,16),0)</f>
        <v/>
      </c>
      <c r="T260">
        <f>IFERROR(INDEX(PP_Grid[#Data],$DE260,17),0)</f>
        <v/>
      </c>
      <c r="U260">
        <f>IFERROR(INDEX(PP_Grid[#Data],$DE260,18),0)</f>
        <v/>
      </c>
      <c r="V260">
        <f>IFERROR(INDEX(PP_Grid[#Data],$DE260,19),0)</f>
        <v/>
      </c>
      <c r="W260">
        <f>IFERROR(INDEX(PP_Grid[#Data],$DE260,20),0)</f>
        <v/>
      </c>
      <c r="X260">
        <f>IFERROR(INDEX(PP_Grid[#Data],$DE260,21),0)</f>
        <v/>
      </c>
      <c r="Y260">
        <f>IFERROR(INDEX(PP_Grid[#Data],$DE260,22),0)</f>
        <v/>
      </c>
      <c r="Z260">
        <f>IFERROR(INDEX(PP_Grid[#Data],$DE260,23),0)</f>
        <v/>
      </c>
      <c r="AA260">
        <f>IFERROR(INDEX(PP_Grid[#Data],$DE260,24),0)</f>
        <v/>
      </c>
      <c r="AB260">
        <f>IFERROR(INDEX(PP_Grid[#Data],$DE260,25),0)</f>
        <v/>
      </c>
      <c r="AC260">
        <f>IFERROR(INDEX(PP_Grid[#Data],$DE260,26),0)</f>
        <v/>
      </c>
      <c r="AD260">
        <f>IFERROR(INDEX(PP_Grid[#Data],$DE260,27),0)</f>
        <v/>
      </c>
      <c r="AE260">
        <f>IFERROR(INDEX(PP_Grid[#Data],$DE260,28),0)</f>
        <v/>
      </c>
      <c r="AF260">
        <f>IFERROR(INDEX(PP_Grid[#Data],$DE260,29),0)</f>
        <v/>
      </c>
      <c r="AG260">
        <f>IFERROR(INDEX(PP_Grid[#Data],$DE260,30),0)</f>
        <v/>
      </c>
      <c r="AH260">
        <f>IFERROR(INDEX(PP_Grid[#Data],$DE260,31),0)</f>
        <v/>
      </c>
      <c r="AI260">
        <f>IFERROR(INDEX(PP_Grid[#Data],$DE260,32),0)</f>
        <v/>
      </c>
      <c r="AJ260">
        <f>IFERROR(INDEX(PP_Grid[#Data],$DE260,33),0)</f>
        <v/>
      </c>
      <c r="AK260">
        <f>IFERROR(INDEX(PP_Grid[#Data],$DE260,34),0)</f>
        <v/>
      </c>
      <c r="AL260">
        <f>IFERROR(INDEX(PP_Grid[#Data],$DE260,35),0)</f>
        <v/>
      </c>
      <c r="AM260">
        <f>IFERROR(INDEX(PP_Grid[#Data],$DE260,36),0)</f>
        <v/>
      </c>
      <c r="AN260">
        <f>IFERROR(INDEX(PP_Grid[#Data],$DE260,37),0)</f>
        <v/>
      </c>
      <c r="AO260">
        <f>IFERROR(INDEX(PP_Grid[#Data],$DE260,38),0)</f>
        <v/>
      </c>
      <c r="AP260">
        <f>IFERROR(INDEX(PP_Grid[#Data],$DE260,39),0)</f>
        <v/>
      </c>
      <c r="AQ260">
        <f>IFERROR(INDEX(PP_Grid[#Data],$DE260,40),0)</f>
        <v/>
      </c>
      <c r="AR260">
        <f>IFERROR(INDEX(PP_Grid[#Data],$DE260,41),0)</f>
        <v/>
      </c>
      <c r="AS260">
        <f>IFERROR(INDEX(PP_Grid[#Data],$DE260,42),0)</f>
        <v/>
      </c>
      <c r="AT260">
        <f>IFERROR(INDEX(PP_Grid[#Data],$DE260,43),0)</f>
        <v/>
      </c>
      <c r="AU260">
        <f>IFERROR(INDEX(PP_Grid[#Data],$DE260,44),0)</f>
        <v/>
      </c>
      <c r="AV260">
        <f>IFERROR(INDEX(PP_Grid[#Data],$DE260,45),0)</f>
        <v/>
      </c>
      <c r="AW260">
        <f>IFERROR(INDEX(PP_Grid[#Data],$DE260,46),0)</f>
        <v/>
      </c>
      <c r="AX260">
        <f>IFERROR(INDEX(PP_Grid[#Data],$DE260,47),0)</f>
        <v/>
      </c>
      <c r="AY260">
        <f>IFERROR(INDEX(PP_Grid[#Data],$DE260,48),0)</f>
        <v/>
      </c>
      <c r="AZ260">
        <f>IFERROR(INDEX(PP_Grid[#Data],$DE260,49),0)</f>
        <v/>
      </c>
      <c r="BA260">
        <f>IFERROR(INDEX(PP_Grid[#Data],$DE260,50),0)</f>
        <v/>
      </c>
      <c r="BB260">
        <f>IFERROR(INDEX(PP_Grid[#Data],$DE260,51),0)</f>
        <v/>
      </c>
      <c r="BC260">
        <f>IFERROR(INDEX(PP_Grid[#Data],$DE260,52),0)</f>
        <v/>
      </c>
      <c r="BD260">
        <f>IFERROR(INDEX(PP_Grid[#Data],$DE260,53),0)</f>
        <v/>
      </c>
      <c r="BE260">
        <f>IFERROR(INDEX(PP_Grid[#Data],$DE260,54),0)</f>
        <v/>
      </c>
      <c r="BF260">
        <f>IFERROR(INDEX(PP_Grid[#Data],$DE260,55),0)</f>
        <v/>
      </c>
      <c r="BG260">
        <f>IFERROR(INDEX(PP_Grid[#Data],$DE260,56),0)</f>
        <v/>
      </c>
      <c r="BH260">
        <f>IFERROR(INDEX(PP_Grid[#Data],$DE260,57),0)</f>
        <v/>
      </c>
      <c r="BI260">
        <f>IFERROR(INDEX(PP_Grid[#Data],$DE260,58),0)</f>
        <v/>
      </c>
      <c r="BJ260">
        <f>IFERROR(INDEX(PP_Grid[#Data],$DE260,59),0)</f>
        <v/>
      </c>
      <c r="BK260">
        <f>IFERROR(INDEX(PP_Grid[#Data],$DE260,60),0)</f>
        <v/>
      </c>
      <c r="BL260">
        <f>IFERROR(INDEX(PP_Grid[#Data],$DE260,61),0)</f>
        <v/>
      </c>
      <c r="BM260">
        <f>IFERROR(INDEX(PP_Grid[#Data],$DE260,62),0)</f>
        <v/>
      </c>
      <c r="BN260">
        <f>IFERROR(INDEX(PP_Grid[#Data],$DE260,63),0)</f>
        <v/>
      </c>
      <c r="BO260">
        <f>IFERROR(INDEX(PP_Grid[#Data],$DE260,64),0)</f>
        <v/>
      </c>
      <c r="BP260">
        <f>IFERROR(INDEX(PP_Grid[#Data],$DE260,65),0)</f>
        <v/>
      </c>
      <c r="BQ260">
        <f>IFERROR(INDEX(PP_Grid[#Data],$DE260,66),0)</f>
        <v/>
      </c>
      <c r="BR260">
        <f>IFERROR(INDEX(PP_Grid[#Data],$DE260,67),0)</f>
        <v/>
      </c>
      <c r="BS260">
        <f>IFERROR(INDEX(PP_Grid[#Data],$DE260,68),0)</f>
        <v/>
      </c>
      <c r="BT260">
        <f>IFERROR(INDEX(PP_Grid[#Data],$DE260,69),0)</f>
        <v/>
      </c>
      <c r="BU260">
        <f>IFERROR(INDEX(PP_Grid[#Data],$DE260,70),0)</f>
        <v/>
      </c>
      <c r="BV260">
        <f>IFERROR(INDEX(PP_Grid[#Data],$DE260,71),0)</f>
        <v/>
      </c>
      <c r="BW260">
        <f>IFERROR(INDEX(PP_Grid[#Data],$DE260,72),0)</f>
        <v/>
      </c>
      <c r="BX260">
        <f>IFERROR(INDEX(PP_Grid[#Data],$DE260,73),0)</f>
        <v/>
      </c>
      <c r="BY260">
        <f>IFERROR(INDEX(PP_Grid[#Data],$DE260,74),0)</f>
        <v/>
      </c>
      <c r="BZ260">
        <f>IFERROR(INDEX(PP_Grid[#Data],$DE260,75),0)</f>
        <v/>
      </c>
      <c r="CA260">
        <f>IFERROR(INDEX(PP_Grid[#Data],$DE260,76),0)</f>
        <v/>
      </c>
      <c r="CB260">
        <f>IFERROR(INDEX(PP_Grid[#Data],$DE260,77),0)</f>
        <v/>
      </c>
      <c r="CC260">
        <f>IFERROR(INDEX(PP_Grid[#Data],$DE260,78),0)</f>
        <v/>
      </c>
      <c r="CD260">
        <f>IFERROR(INDEX(PP_Grid[#Data],$DE260,79),0)</f>
        <v/>
      </c>
      <c r="CE260">
        <f>IFERROR(INDEX(PP_Grid[#Data],$DE260,80),0)</f>
        <v/>
      </c>
      <c r="CF260">
        <f>IFERROR(INDEX(PP_Grid[#Data],$DE260,81),0)</f>
        <v/>
      </c>
      <c r="CG260">
        <f>IFERROR(INDEX(PP_Grid[#Data],$DE260,82),0)</f>
        <v/>
      </c>
      <c r="CH260">
        <f>IFERROR(INDEX(PP_Grid[#Data],$DE260,83),0)</f>
        <v/>
      </c>
      <c r="CI260">
        <f>IFERROR(INDEX(PP_Grid[#Data],$DE260,84),0)</f>
        <v/>
      </c>
      <c r="CJ260">
        <f>IFERROR(INDEX(PP_Grid[#Data],$DE260,85),0)</f>
        <v/>
      </c>
      <c r="CK260">
        <f>IFERROR(INDEX(PP_Grid[#Data],$DE260,86),0)</f>
        <v/>
      </c>
      <c r="CL260">
        <f>IFERROR(INDEX(PP_Grid[#Data],$DE260,87),0)</f>
        <v/>
      </c>
      <c r="CM260">
        <f>IFERROR(INDEX(PP_Grid[#Data],$DE260,88),0)</f>
        <v/>
      </c>
      <c r="CN260">
        <f>IFERROR(INDEX(PP_Grid[#Data],$DE260,89),0)</f>
        <v/>
      </c>
      <c r="CO260">
        <f>IFERROR(INDEX(PP_Grid[#Data],$DE260,90),0)</f>
        <v/>
      </c>
      <c r="CP260">
        <f>IFERROR(INDEX(PP_Grid[#Data],$DE260,91),0)</f>
        <v/>
      </c>
      <c r="CQ260">
        <f>IFERROR(INDEX(PP_Grid[#Data],$DE260,92),0)</f>
        <v/>
      </c>
      <c r="CR260">
        <f>IFERROR(INDEX(PP_Grid[#Data],$DE260,93),0)</f>
        <v/>
      </c>
      <c r="CS260">
        <f>IFERROR(INDEX(PP_Grid[#Data],$DE260,94),0)</f>
        <v/>
      </c>
      <c r="CT260">
        <f>IFERROR(INDEX(PP_Grid[#Data],$DE260,95),0)</f>
        <v/>
      </c>
      <c r="CU260">
        <f>IFERROR(INDEX(PP_Grid[#Data],$DE260,96),0)</f>
        <v/>
      </c>
      <c r="CV260">
        <f>IFERROR(INDEX(PP_Grid[#Data],$DE260,97),0)</f>
        <v/>
      </c>
      <c r="CW260">
        <f>IFERROR(INDEX(PP_Grid[#Data],$DE260,98),0)</f>
        <v/>
      </c>
      <c r="CX260">
        <f>IFERROR(INDEX(PP_Grid[#Data],$DE260,99),0)</f>
        <v/>
      </c>
      <c r="CY260">
        <f>IFERROR(INDEX(PP_Grid[#Data],$DE260,100),0)</f>
        <v/>
      </c>
      <c r="CZ260">
        <f>IFERROR(INDEX(PP_Grid[#Data],$DE260,101),0)</f>
        <v/>
      </c>
      <c r="DA260">
        <f>IFERROR(INDEX(PP_Grid[#Data],$DE260,102),0)</f>
        <v/>
      </c>
      <c r="DB260">
        <f>IFERROR(INDEX(PP_Grid[#Data],$DE260,103),0)</f>
        <v/>
      </c>
      <c r="DC260">
        <f>IFERROR(INDEX(PP_Grid[#Data],$DE260,104),0)</f>
        <v/>
      </c>
      <c r="DD260">
        <f>IFERROR(INDEX(PP_Grid[#Data],$DE260,105),0)</f>
        <v/>
      </c>
      <c r="DE260" s="7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SUMIFS(M_BOM[RM_Qty_Per_Batch],M_BOM[Intermediate],$B260,M_BOM[RM_Code],$A187)</f>
        <v/>
      </c>
      <c r="D261">
        <f>IFERROR(INDEX(E261:DD261,$F$1),"")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  <c r="DD261">
        <f>$C261*DD260</f>
        <v/>
      </c>
    </row>
    <row r="262">
      <c r="B262" t="inlineStr">
        <is>
          <t>TSP-935</t>
        </is>
      </c>
      <c r="C262" t="inlineStr">
        <is>
          <t>No. of batches</t>
        </is>
      </c>
      <c r="D262">
        <f>IFERROR(INDEX(E262:DD262,$F$1),"")</f>
        <v/>
      </c>
      <c r="E262">
        <f>IFERROR(INDEX(PP_Grid[#Data],$DE262,2),0)</f>
        <v/>
      </c>
      <c r="F262">
        <f>IFERROR(INDEX(PP_Grid[#Data],$DE262,3),0)</f>
        <v/>
      </c>
      <c r="G262">
        <f>IFERROR(INDEX(PP_Grid[#Data],$DE262,4),0)</f>
        <v/>
      </c>
      <c r="H262">
        <f>IFERROR(INDEX(PP_Grid[#Data],$DE262,5),0)</f>
        <v/>
      </c>
      <c r="I262">
        <f>IFERROR(INDEX(PP_Grid[#Data],$DE262,6),0)</f>
        <v/>
      </c>
      <c r="J262">
        <f>IFERROR(INDEX(PP_Grid[#Data],$DE262,7),0)</f>
        <v/>
      </c>
      <c r="K262">
        <f>IFERROR(INDEX(PP_Grid[#Data],$DE262,8),0)</f>
        <v/>
      </c>
      <c r="L262">
        <f>IFERROR(INDEX(PP_Grid[#Data],$DE262,9),0)</f>
        <v/>
      </c>
      <c r="M262">
        <f>IFERROR(INDEX(PP_Grid[#Data],$DE262,10),0)</f>
        <v/>
      </c>
      <c r="N262">
        <f>IFERROR(INDEX(PP_Grid[#Data],$DE262,11),0)</f>
        <v/>
      </c>
      <c r="O262">
        <f>IFERROR(INDEX(PP_Grid[#Data],$DE262,12),0)</f>
        <v/>
      </c>
      <c r="P262">
        <f>IFERROR(INDEX(PP_Grid[#Data],$DE262,13),0)</f>
        <v/>
      </c>
      <c r="Q262">
        <f>IFERROR(INDEX(PP_Grid[#Data],$DE262,14),0)</f>
        <v/>
      </c>
      <c r="R262">
        <f>IFERROR(INDEX(PP_Grid[#Data],$DE262,15),0)</f>
        <v/>
      </c>
      <c r="S262">
        <f>IFERROR(INDEX(PP_Grid[#Data],$DE262,16),0)</f>
        <v/>
      </c>
      <c r="T262">
        <f>IFERROR(INDEX(PP_Grid[#Data],$DE262,17),0)</f>
        <v/>
      </c>
      <c r="U262">
        <f>IFERROR(INDEX(PP_Grid[#Data],$DE262,18),0)</f>
        <v/>
      </c>
      <c r="V262">
        <f>IFERROR(INDEX(PP_Grid[#Data],$DE262,19),0)</f>
        <v/>
      </c>
      <c r="W262">
        <f>IFERROR(INDEX(PP_Grid[#Data],$DE262,20),0)</f>
        <v/>
      </c>
      <c r="X262">
        <f>IFERROR(INDEX(PP_Grid[#Data],$DE262,21),0)</f>
        <v/>
      </c>
      <c r="Y262">
        <f>IFERROR(INDEX(PP_Grid[#Data],$DE262,22),0)</f>
        <v/>
      </c>
      <c r="Z262">
        <f>IFERROR(INDEX(PP_Grid[#Data],$DE262,23),0)</f>
        <v/>
      </c>
      <c r="AA262">
        <f>IFERROR(INDEX(PP_Grid[#Data],$DE262,24),0)</f>
        <v/>
      </c>
      <c r="AB262">
        <f>IFERROR(INDEX(PP_Grid[#Data],$DE262,25),0)</f>
        <v/>
      </c>
      <c r="AC262">
        <f>IFERROR(INDEX(PP_Grid[#Data],$DE262,26),0)</f>
        <v/>
      </c>
      <c r="AD262">
        <f>IFERROR(INDEX(PP_Grid[#Data],$DE262,27),0)</f>
        <v/>
      </c>
      <c r="AE262">
        <f>IFERROR(INDEX(PP_Grid[#Data],$DE262,28),0)</f>
        <v/>
      </c>
      <c r="AF262">
        <f>IFERROR(INDEX(PP_Grid[#Data],$DE262,29),0)</f>
        <v/>
      </c>
      <c r="AG262">
        <f>IFERROR(INDEX(PP_Grid[#Data],$DE262,30),0)</f>
        <v/>
      </c>
      <c r="AH262">
        <f>IFERROR(INDEX(PP_Grid[#Data],$DE262,31),0)</f>
        <v/>
      </c>
      <c r="AI262">
        <f>IFERROR(INDEX(PP_Grid[#Data],$DE262,32),0)</f>
        <v/>
      </c>
      <c r="AJ262">
        <f>IFERROR(INDEX(PP_Grid[#Data],$DE262,33),0)</f>
        <v/>
      </c>
      <c r="AK262">
        <f>IFERROR(INDEX(PP_Grid[#Data],$DE262,34),0)</f>
        <v/>
      </c>
      <c r="AL262">
        <f>IFERROR(INDEX(PP_Grid[#Data],$DE262,35),0)</f>
        <v/>
      </c>
      <c r="AM262">
        <f>IFERROR(INDEX(PP_Grid[#Data],$DE262,36),0)</f>
        <v/>
      </c>
      <c r="AN262">
        <f>IFERROR(INDEX(PP_Grid[#Data],$DE262,37),0)</f>
        <v/>
      </c>
      <c r="AO262">
        <f>IFERROR(INDEX(PP_Grid[#Data],$DE262,38),0)</f>
        <v/>
      </c>
      <c r="AP262">
        <f>IFERROR(INDEX(PP_Grid[#Data],$DE262,39),0)</f>
        <v/>
      </c>
      <c r="AQ262">
        <f>IFERROR(INDEX(PP_Grid[#Data],$DE262,40),0)</f>
        <v/>
      </c>
      <c r="AR262">
        <f>IFERROR(INDEX(PP_Grid[#Data],$DE262,41),0)</f>
        <v/>
      </c>
      <c r="AS262">
        <f>IFERROR(INDEX(PP_Grid[#Data],$DE262,42),0)</f>
        <v/>
      </c>
      <c r="AT262">
        <f>IFERROR(INDEX(PP_Grid[#Data],$DE262,43),0)</f>
        <v/>
      </c>
      <c r="AU262">
        <f>IFERROR(INDEX(PP_Grid[#Data],$DE262,44),0)</f>
        <v/>
      </c>
      <c r="AV262">
        <f>IFERROR(INDEX(PP_Grid[#Data],$DE262,45),0)</f>
        <v/>
      </c>
      <c r="AW262">
        <f>IFERROR(INDEX(PP_Grid[#Data],$DE262,46),0)</f>
        <v/>
      </c>
      <c r="AX262">
        <f>IFERROR(INDEX(PP_Grid[#Data],$DE262,47),0)</f>
        <v/>
      </c>
      <c r="AY262">
        <f>IFERROR(INDEX(PP_Grid[#Data],$DE262,48),0)</f>
        <v/>
      </c>
      <c r="AZ262">
        <f>IFERROR(INDEX(PP_Grid[#Data],$DE262,49),0)</f>
        <v/>
      </c>
      <c r="BA262">
        <f>IFERROR(INDEX(PP_Grid[#Data],$DE262,50),0)</f>
        <v/>
      </c>
      <c r="BB262">
        <f>IFERROR(INDEX(PP_Grid[#Data],$DE262,51),0)</f>
        <v/>
      </c>
      <c r="BC262">
        <f>IFERROR(INDEX(PP_Grid[#Data],$DE262,52),0)</f>
        <v/>
      </c>
      <c r="BD262">
        <f>IFERROR(INDEX(PP_Grid[#Data],$DE262,53),0)</f>
        <v/>
      </c>
      <c r="BE262">
        <f>IFERROR(INDEX(PP_Grid[#Data],$DE262,54),0)</f>
        <v/>
      </c>
      <c r="BF262">
        <f>IFERROR(INDEX(PP_Grid[#Data],$DE262,55),0)</f>
        <v/>
      </c>
      <c r="BG262">
        <f>IFERROR(INDEX(PP_Grid[#Data],$DE262,56),0)</f>
        <v/>
      </c>
      <c r="BH262">
        <f>IFERROR(INDEX(PP_Grid[#Data],$DE262,57),0)</f>
        <v/>
      </c>
      <c r="BI262">
        <f>IFERROR(INDEX(PP_Grid[#Data],$DE262,58),0)</f>
        <v/>
      </c>
      <c r="BJ262">
        <f>IFERROR(INDEX(PP_Grid[#Data],$DE262,59),0)</f>
        <v/>
      </c>
      <c r="BK262">
        <f>IFERROR(INDEX(PP_Grid[#Data],$DE262,60),0)</f>
        <v/>
      </c>
      <c r="BL262">
        <f>IFERROR(INDEX(PP_Grid[#Data],$DE262,61),0)</f>
        <v/>
      </c>
      <c r="BM262">
        <f>IFERROR(INDEX(PP_Grid[#Data],$DE262,62),0)</f>
        <v/>
      </c>
      <c r="BN262">
        <f>IFERROR(INDEX(PP_Grid[#Data],$DE262,63),0)</f>
        <v/>
      </c>
      <c r="BO262">
        <f>IFERROR(INDEX(PP_Grid[#Data],$DE262,64),0)</f>
        <v/>
      </c>
      <c r="BP262">
        <f>IFERROR(INDEX(PP_Grid[#Data],$DE262,65),0)</f>
        <v/>
      </c>
      <c r="BQ262">
        <f>IFERROR(INDEX(PP_Grid[#Data],$DE262,66),0)</f>
        <v/>
      </c>
      <c r="BR262">
        <f>IFERROR(INDEX(PP_Grid[#Data],$DE262,67),0)</f>
        <v/>
      </c>
      <c r="BS262">
        <f>IFERROR(INDEX(PP_Grid[#Data],$DE262,68),0)</f>
        <v/>
      </c>
      <c r="BT262">
        <f>IFERROR(INDEX(PP_Grid[#Data],$DE262,69),0)</f>
        <v/>
      </c>
      <c r="BU262">
        <f>IFERROR(INDEX(PP_Grid[#Data],$DE262,70),0)</f>
        <v/>
      </c>
      <c r="BV262">
        <f>IFERROR(INDEX(PP_Grid[#Data],$DE262,71),0)</f>
        <v/>
      </c>
      <c r="BW262">
        <f>IFERROR(INDEX(PP_Grid[#Data],$DE262,72),0)</f>
        <v/>
      </c>
      <c r="BX262">
        <f>IFERROR(INDEX(PP_Grid[#Data],$DE262,73),0)</f>
        <v/>
      </c>
      <c r="BY262">
        <f>IFERROR(INDEX(PP_Grid[#Data],$DE262,74),0)</f>
        <v/>
      </c>
      <c r="BZ262">
        <f>IFERROR(INDEX(PP_Grid[#Data],$DE262,75),0)</f>
        <v/>
      </c>
      <c r="CA262">
        <f>IFERROR(INDEX(PP_Grid[#Data],$DE262,76),0)</f>
        <v/>
      </c>
      <c r="CB262">
        <f>IFERROR(INDEX(PP_Grid[#Data],$DE262,77),0)</f>
        <v/>
      </c>
      <c r="CC262">
        <f>IFERROR(INDEX(PP_Grid[#Data],$DE262,78),0)</f>
        <v/>
      </c>
      <c r="CD262">
        <f>IFERROR(INDEX(PP_Grid[#Data],$DE262,79),0)</f>
        <v/>
      </c>
      <c r="CE262">
        <f>IFERROR(INDEX(PP_Grid[#Data],$DE262,80),0)</f>
        <v/>
      </c>
      <c r="CF262">
        <f>IFERROR(INDEX(PP_Grid[#Data],$DE262,81),0)</f>
        <v/>
      </c>
      <c r="CG262">
        <f>IFERROR(INDEX(PP_Grid[#Data],$DE262,82),0)</f>
        <v/>
      </c>
      <c r="CH262">
        <f>IFERROR(INDEX(PP_Grid[#Data],$DE262,83),0)</f>
        <v/>
      </c>
      <c r="CI262">
        <f>IFERROR(INDEX(PP_Grid[#Data],$DE262,84),0)</f>
        <v/>
      </c>
      <c r="CJ262">
        <f>IFERROR(INDEX(PP_Grid[#Data],$DE262,85),0)</f>
        <v/>
      </c>
      <c r="CK262">
        <f>IFERROR(INDEX(PP_Grid[#Data],$DE262,86),0)</f>
        <v/>
      </c>
      <c r="CL262">
        <f>IFERROR(INDEX(PP_Grid[#Data],$DE262,87),0)</f>
        <v/>
      </c>
      <c r="CM262">
        <f>IFERROR(INDEX(PP_Grid[#Data],$DE262,88),0)</f>
        <v/>
      </c>
      <c r="CN262">
        <f>IFERROR(INDEX(PP_Grid[#Data],$DE262,89),0)</f>
        <v/>
      </c>
      <c r="CO262">
        <f>IFERROR(INDEX(PP_Grid[#Data],$DE262,90),0)</f>
        <v/>
      </c>
      <c r="CP262">
        <f>IFERROR(INDEX(PP_Grid[#Data],$DE262,91),0)</f>
        <v/>
      </c>
      <c r="CQ262">
        <f>IFERROR(INDEX(PP_Grid[#Data],$DE262,92),0)</f>
        <v/>
      </c>
      <c r="CR262">
        <f>IFERROR(INDEX(PP_Grid[#Data],$DE262,93),0)</f>
        <v/>
      </c>
      <c r="CS262">
        <f>IFERROR(INDEX(PP_Grid[#Data],$DE262,94),0)</f>
        <v/>
      </c>
      <c r="CT262">
        <f>IFERROR(INDEX(PP_Grid[#Data],$DE262,95),0)</f>
        <v/>
      </c>
      <c r="CU262">
        <f>IFERROR(INDEX(PP_Grid[#Data],$DE262,96),0)</f>
        <v/>
      </c>
      <c r="CV262">
        <f>IFERROR(INDEX(PP_Grid[#Data],$DE262,97),0)</f>
        <v/>
      </c>
      <c r="CW262">
        <f>IFERROR(INDEX(PP_Grid[#Data],$DE262,98),0)</f>
        <v/>
      </c>
      <c r="CX262">
        <f>IFERROR(INDEX(PP_Grid[#Data],$DE262,99),0)</f>
        <v/>
      </c>
      <c r="CY262">
        <f>IFERROR(INDEX(PP_Grid[#Data],$DE262,100),0)</f>
        <v/>
      </c>
      <c r="CZ262">
        <f>IFERROR(INDEX(PP_Grid[#Data],$DE262,101),0)</f>
        <v/>
      </c>
      <c r="DA262">
        <f>IFERROR(INDEX(PP_Grid[#Data],$DE262,102),0)</f>
        <v/>
      </c>
      <c r="DB262">
        <f>IFERROR(INDEX(PP_Grid[#Data],$DE262,103),0)</f>
        <v/>
      </c>
      <c r="DC262">
        <f>IFERROR(INDEX(PP_Grid[#Data],$DE262,104),0)</f>
        <v/>
      </c>
      <c r="DD262">
        <f>IFERROR(INDEX(PP_Grid[#Data],$DE262,105),0)</f>
        <v/>
      </c>
      <c r="DE262" s="7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SUMIFS(M_BOM[RM_Qty_Per_Batch],M_BOM[Intermediate],$B262,M_BOM[RM_Code],$A187)</f>
        <v/>
      </c>
      <c r="D263">
        <f>IFERROR(INDEX(E263:DD263,$F$1),"")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  <c r="DD263">
        <f>$C263*DD262</f>
        <v/>
      </c>
    </row>
    <row r="264">
      <c r="B264" t="inlineStr">
        <is>
          <t>TSP-936</t>
        </is>
      </c>
      <c r="C264" t="inlineStr">
        <is>
          <t>No. of batches</t>
        </is>
      </c>
      <c r="D264">
        <f>IFERROR(INDEX(E264:DD264,$F$1),"")</f>
        <v/>
      </c>
      <c r="E264">
        <f>IFERROR(INDEX(PP_Grid[#Data],$DE264,2),0)</f>
        <v/>
      </c>
      <c r="F264">
        <f>IFERROR(INDEX(PP_Grid[#Data],$DE264,3),0)</f>
        <v/>
      </c>
      <c r="G264">
        <f>IFERROR(INDEX(PP_Grid[#Data],$DE264,4),0)</f>
        <v/>
      </c>
      <c r="H264">
        <f>IFERROR(INDEX(PP_Grid[#Data],$DE264,5),0)</f>
        <v/>
      </c>
      <c r="I264">
        <f>IFERROR(INDEX(PP_Grid[#Data],$DE264,6),0)</f>
        <v/>
      </c>
      <c r="J264">
        <f>IFERROR(INDEX(PP_Grid[#Data],$DE264,7),0)</f>
        <v/>
      </c>
      <c r="K264">
        <f>IFERROR(INDEX(PP_Grid[#Data],$DE264,8),0)</f>
        <v/>
      </c>
      <c r="L264">
        <f>IFERROR(INDEX(PP_Grid[#Data],$DE264,9),0)</f>
        <v/>
      </c>
      <c r="M264">
        <f>IFERROR(INDEX(PP_Grid[#Data],$DE264,10),0)</f>
        <v/>
      </c>
      <c r="N264">
        <f>IFERROR(INDEX(PP_Grid[#Data],$DE264,11),0)</f>
        <v/>
      </c>
      <c r="O264">
        <f>IFERROR(INDEX(PP_Grid[#Data],$DE264,12),0)</f>
        <v/>
      </c>
      <c r="P264">
        <f>IFERROR(INDEX(PP_Grid[#Data],$DE264,13),0)</f>
        <v/>
      </c>
      <c r="Q264">
        <f>IFERROR(INDEX(PP_Grid[#Data],$DE264,14),0)</f>
        <v/>
      </c>
      <c r="R264">
        <f>IFERROR(INDEX(PP_Grid[#Data],$DE264,15),0)</f>
        <v/>
      </c>
      <c r="S264">
        <f>IFERROR(INDEX(PP_Grid[#Data],$DE264,16),0)</f>
        <v/>
      </c>
      <c r="T264">
        <f>IFERROR(INDEX(PP_Grid[#Data],$DE264,17),0)</f>
        <v/>
      </c>
      <c r="U264">
        <f>IFERROR(INDEX(PP_Grid[#Data],$DE264,18),0)</f>
        <v/>
      </c>
      <c r="V264">
        <f>IFERROR(INDEX(PP_Grid[#Data],$DE264,19),0)</f>
        <v/>
      </c>
      <c r="W264">
        <f>IFERROR(INDEX(PP_Grid[#Data],$DE264,20),0)</f>
        <v/>
      </c>
      <c r="X264">
        <f>IFERROR(INDEX(PP_Grid[#Data],$DE264,21),0)</f>
        <v/>
      </c>
      <c r="Y264">
        <f>IFERROR(INDEX(PP_Grid[#Data],$DE264,22),0)</f>
        <v/>
      </c>
      <c r="Z264">
        <f>IFERROR(INDEX(PP_Grid[#Data],$DE264,23),0)</f>
        <v/>
      </c>
      <c r="AA264">
        <f>IFERROR(INDEX(PP_Grid[#Data],$DE264,24),0)</f>
        <v/>
      </c>
      <c r="AB264">
        <f>IFERROR(INDEX(PP_Grid[#Data],$DE264,25),0)</f>
        <v/>
      </c>
      <c r="AC264">
        <f>IFERROR(INDEX(PP_Grid[#Data],$DE264,26),0)</f>
        <v/>
      </c>
      <c r="AD264">
        <f>IFERROR(INDEX(PP_Grid[#Data],$DE264,27),0)</f>
        <v/>
      </c>
      <c r="AE264">
        <f>IFERROR(INDEX(PP_Grid[#Data],$DE264,28),0)</f>
        <v/>
      </c>
      <c r="AF264">
        <f>IFERROR(INDEX(PP_Grid[#Data],$DE264,29),0)</f>
        <v/>
      </c>
      <c r="AG264">
        <f>IFERROR(INDEX(PP_Grid[#Data],$DE264,30),0)</f>
        <v/>
      </c>
      <c r="AH264">
        <f>IFERROR(INDEX(PP_Grid[#Data],$DE264,31),0)</f>
        <v/>
      </c>
      <c r="AI264">
        <f>IFERROR(INDEX(PP_Grid[#Data],$DE264,32),0)</f>
        <v/>
      </c>
      <c r="AJ264">
        <f>IFERROR(INDEX(PP_Grid[#Data],$DE264,33),0)</f>
        <v/>
      </c>
      <c r="AK264">
        <f>IFERROR(INDEX(PP_Grid[#Data],$DE264,34),0)</f>
        <v/>
      </c>
      <c r="AL264">
        <f>IFERROR(INDEX(PP_Grid[#Data],$DE264,35),0)</f>
        <v/>
      </c>
      <c r="AM264">
        <f>IFERROR(INDEX(PP_Grid[#Data],$DE264,36),0)</f>
        <v/>
      </c>
      <c r="AN264">
        <f>IFERROR(INDEX(PP_Grid[#Data],$DE264,37),0)</f>
        <v/>
      </c>
      <c r="AO264">
        <f>IFERROR(INDEX(PP_Grid[#Data],$DE264,38),0)</f>
        <v/>
      </c>
      <c r="AP264">
        <f>IFERROR(INDEX(PP_Grid[#Data],$DE264,39),0)</f>
        <v/>
      </c>
      <c r="AQ264">
        <f>IFERROR(INDEX(PP_Grid[#Data],$DE264,40),0)</f>
        <v/>
      </c>
      <c r="AR264">
        <f>IFERROR(INDEX(PP_Grid[#Data],$DE264,41),0)</f>
        <v/>
      </c>
      <c r="AS264">
        <f>IFERROR(INDEX(PP_Grid[#Data],$DE264,42),0)</f>
        <v/>
      </c>
      <c r="AT264">
        <f>IFERROR(INDEX(PP_Grid[#Data],$DE264,43),0)</f>
        <v/>
      </c>
      <c r="AU264">
        <f>IFERROR(INDEX(PP_Grid[#Data],$DE264,44),0)</f>
        <v/>
      </c>
      <c r="AV264">
        <f>IFERROR(INDEX(PP_Grid[#Data],$DE264,45),0)</f>
        <v/>
      </c>
      <c r="AW264">
        <f>IFERROR(INDEX(PP_Grid[#Data],$DE264,46),0)</f>
        <v/>
      </c>
      <c r="AX264">
        <f>IFERROR(INDEX(PP_Grid[#Data],$DE264,47),0)</f>
        <v/>
      </c>
      <c r="AY264">
        <f>IFERROR(INDEX(PP_Grid[#Data],$DE264,48),0)</f>
        <v/>
      </c>
      <c r="AZ264">
        <f>IFERROR(INDEX(PP_Grid[#Data],$DE264,49),0)</f>
        <v/>
      </c>
      <c r="BA264">
        <f>IFERROR(INDEX(PP_Grid[#Data],$DE264,50),0)</f>
        <v/>
      </c>
      <c r="BB264">
        <f>IFERROR(INDEX(PP_Grid[#Data],$DE264,51),0)</f>
        <v/>
      </c>
      <c r="BC264">
        <f>IFERROR(INDEX(PP_Grid[#Data],$DE264,52),0)</f>
        <v/>
      </c>
      <c r="BD264">
        <f>IFERROR(INDEX(PP_Grid[#Data],$DE264,53),0)</f>
        <v/>
      </c>
      <c r="BE264">
        <f>IFERROR(INDEX(PP_Grid[#Data],$DE264,54),0)</f>
        <v/>
      </c>
      <c r="BF264">
        <f>IFERROR(INDEX(PP_Grid[#Data],$DE264,55),0)</f>
        <v/>
      </c>
      <c r="BG264">
        <f>IFERROR(INDEX(PP_Grid[#Data],$DE264,56),0)</f>
        <v/>
      </c>
      <c r="BH264">
        <f>IFERROR(INDEX(PP_Grid[#Data],$DE264,57),0)</f>
        <v/>
      </c>
      <c r="BI264">
        <f>IFERROR(INDEX(PP_Grid[#Data],$DE264,58),0)</f>
        <v/>
      </c>
      <c r="BJ264">
        <f>IFERROR(INDEX(PP_Grid[#Data],$DE264,59),0)</f>
        <v/>
      </c>
      <c r="BK264">
        <f>IFERROR(INDEX(PP_Grid[#Data],$DE264,60),0)</f>
        <v/>
      </c>
      <c r="BL264">
        <f>IFERROR(INDEX(PP_Grid[#Data],$DE264,61),0)</f>
        <v/>
      </c>
      <c r="BM264">
        <f>IFERROR(INDEX(PP_Grid[#Data],$DE264,62),0)</f>
        <v/>
      </c>
      <c r="BN264">
        <f>IFERROR(INDEX(PP_Grid[#Data],$DE264,63),0)</f>
        <v/>
      </c>
      <c r="BO264">
        <f>IFERROR(INDEX(PP_Grid[#Data],$DE264,64),0)</f>
        <v/>
      </c>
      <c r="BP264">
        <f>IFERROR(INDEX(PP_Grid[#Data],$DE264,65),0)</f>
        <v/>
      </c>
      <c r="BQ264">
        <f>IFERROR(INDEX(PP_Grid[#Data],$DE264,66),0)</f>
        <v/>
      </c>
      <c r="BR264">
        <f>IFERROR(INDEX(PP_Grid[#Data],$DE264,67),0)</f>
        <v/>
      </c>
      <c r="BS264">
        <f>IFERROR(INDEX(PP_Grid[#Data],$DE264,68),0)</f>
        <v/>
      </c>
      <c r="BT264">
        <f>IFERROR(INDEX(PP_Grid[#Data],$DE264,69),0)</f>
        <v/>
      </c>
      <c r="BU264">
        <f>IFERROR(INDEX(PP_Grid[#Data],$DE264,70),0)</f>
        <v/>
      </c>
      <c r="BV264">
        <f>IFERROR(INDEX(PP_Grid[#Data],$DE264,71),0)</f>
        <v/>
      </c>
      <c r="BW264">
        <f>IFERROR(INDEX(PP_Grid[#Data],$DE264,72),0)</f>
        <v/>
      </c>
      <c r="BX264">
        <f>IFERROR(INDEX(PP_Grid[#Data],$DE264,73),0)</f>
        <v/>
      </c>
      <c r="BY264">
        <f>IFERROR(INDEX(PP_Grid[#Data],$DE264,74),0)</f>
        <v/>
      </c>
      <c r="BZ264">
        <f>IFERROR(INDEX(PP_Grid[#Data],$DE264,75),0)</f>
        <v/>
      </c>
      <c r="CA264">
        <f>IFERROR(INDEX(PP_Grid[#Data],$DE264,76),0)</f>
        <v/>
      </c>
      <c r="CB264">
        <f>IFERROR(INDEX(PP_Grid[#Data],$DE264,77),0)</f>
        <v/>
      </c>
      <c r="CC264">
        <f>IFERROR(INDEX(PP_Grid[#Data],$DE264,78),0)</f>
        <v/>
      </c>
      <c r="CD264">
        <f>IFERROR(INDEX(PP_Grid[#Data],$DE264,79),0)</f>
        <v/>
      </c>
      <c r="CE264">
        <f>IFERROR(INDEX(PP_Grid[#Data],$DE264,80),0)</f>
        <v/>
      </c>
      <c r="CF264">
        <f>IFERROR(INDEX(PP_Grid[#Data],$DE264,81),0)</f>
        <v/>
      </c>
      <c r="CG264">
        <f>IFERROR(INDEX(PP_Grid[#Data],$DE264,82),0)</f>
        <v/>
      </c>
      <c r="CH264">
        <f>IFERROR(INDEX(PP_Grid[#Data],$DE264,83),0)</f>
        <v/>
      </c>
      <c r="CI264">
        <f>IFERROR(INDEX(PP_Grid[#Data],$DE264,84),0)</f>
        <v/>
      </c>
      <c r="CJ264">
        <f>IFERROR(INDEX(PP_Grid[#Data],$DE264,85),0)</f>
        <v/>
      </c>
      <c r="CK264">
        <f>IFERROR(INDEX(PP_Grid[#Data],$DE264,86),0)</f>
        <v/>
      </c>
      <c r="CL264">
        <f>IFERROR(INDEX(PP_Grid[#Data],$DE264,87),0)</f>
        <v/>
      </c>
      <c r="CM264">
        <f>IFERROR(INDEX(PP_Grid[#Data],$DE264,88),0)</f>
        <v/>
      </c>
      <c r="CN264">
        <f>IFERROR(INDEX(PP_Grid[#Data],$DE264,89),0)</f>
        <v/>
      </c>
      <c r="CO264">
        <f>IFERROR(INDEX(PP_Grid[#Data],$DE264,90),0)</f>
        <v/>
      </c>
      <c r="CP264">
        <f>IFERROR(INDEX(PP_Grid[#Data],$DE264,91),0)</f>
        <v/>
      </c>
      <c r="CQ264">
        <f>IFERROR(INDEX(PP_Grid[#Data],$DE264,92),0)</f>
        <v/>
      </c>
      <c r="CR264">
        <f>IFERROR(INDEX(PP_Grid[#Data],$DE264,93),0)</f>
        <v/>
      </c>
      <c r="CS264">
        <f>IFERROR(INDEX(PP_Grid[#Data],$DE264,94),0)</f>
        <v/>
      </c>
      <c r="CT264">
        <f>IFERROR(INDEX(PP_Grid[#Data],$DE264,95),0)</f>
        <v/>
      </c>
      <c r="CU264">
        <f>IFERROR(INDEX(PP_Grid[#Data],$DE264,96),0)</f>
        <v/>
      </c>
      <c r="CV264">
        <f>IFERROR(INDEX(PP_Grid[#Data],$DE264,97),0)</f>
        <v/>
      </c>
      <c r="CW264">
        <f>IFERROR(INDEX(PP_Grid[#Data],$DE264,98),0)</f>
        <v/>
      </c>
      <c r="CX264">
        <f>IFERROR(INDEX(PP_Grid[#Data],$DE264,99),0)</f>
        <v/>
      </c>
      <c r="CY264">
        <f>IFERROR(INDEX(PP_Grid[#Data],$DE264,100),0)</f>
        <v/>
      </c>
      <c r="CZ264">
        <f>IFERROR(INDEX(PP_Grid[#Data],$DE264,101),0)</f>
        <v/>
      </c>
      <c r="DA264">
        <f>IFERROR(INDEX(PP_Grid[#Data],$DE264,102),0)</f>
        <v/>
      </c>
      <c r="DB264">
        <f>IFERROR(INDEX(PP_Grid[#Data],$DE264,103),0)</f>
        <v/>
      </c>
      <c r="DC264">
        <f>IFERROR(INDEX(PP_Grid[#Data],$DE264,104),0)</f>
        <v/>
      </c>
      <c r="DD264">
        <f>IFERROR(INDEX(PP_Grid[#Data],$DE264,105),0)</f>
        <v/>
      </c>
      <c r="DE264" s="7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SUMIFS(M_BOM[RM_Qty_Per_Batch],M_BOM[Intermediate],$B264,M_BOM[RM_Code],$A187)</f>
        <v/>
      </c>
      <c r="D265">
        <f>IFERROR(INDEX(E265:DD265,$F$1),"")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  <c r="DD265">
        <f>$C265*DD264</f>
        <v/>
      </c>
    </row>
    <row r="266">
      <c r="B266" t="inlineStr">
        <is>
          <t>TSP-937</t>
        </is>
      </c>
      <c r="C266" t="inlineStr">
        <is>
          <t>No. of batches</t>
        </is>
      </c>
      <c r="D266">
        <f>IFERROR(INDEX(E266:DD266,$F$1),"")</f>
        <v/>
      </c>
      <c r="E266">
        <f>IFERROR(INDEX(PP_Grid[#Data],$DE266,2),0)</f>
        <v/>
      </c>
      <c r="F266">
        <f>IFERROR(INDEX(PP_Grid[#Data],$DE266,3),0)</f>
        <v/>
      </c>
      <c r="G266">
        <f>IFERROR(INDEX(PP_Grid[#Data],$DE266,4),0)</f>
        <v/>
      </c>
      <c r="H266">
        <f>IFERROR(INDEX(PP_Grid[#Data],$DE266,5),0)</f>
        <v/>
      </c>
      <c r="I266">
        <f>IFERROR(INDEX(PP_Grid[#Data],$DE266,6),0)</f>
        <v/>
      </c>
      <c r="J266">
        <f>IFERROR(INDEX(PP_Grid[#Data],$DE266,7),0)</f>
        <v/>
      </c>
      <c r="K266">
        <f>IFERROR(INDEX(PP_Grid[#Data],$DE266,8),0)</f>
        <v/>
      </c>
      <c r="L266">
        <f>IFERROR(INDEX(PP_Grid[#Data],$DE266,9),0)</f>
        <v/>
      </c>
      <c r="M266">
        <f>IFERROR(INDEX(PP_Grid[#Data],$DE266,10),0)</f>
        <v/>
      </c>
      <c r="N266">
        <f>IFERROR(INDEX(PP_Grid[#Data],$DE266,11),0)</f>
        <v/>
      </c>
      <c r="O266">
        <f>IFERROR(INDEX(PP_Grid[#Data],$DE266,12),0)</f>
        <v/>
      </c>
      <c r="P266">
        <f>IFERROR(INDEX(PP_Grid[#Data],$DE266,13),0)</f>
        <v/>
      </c>
      <c r="Q266">
        <f>IFERROR(INDEX(PP_Grid[#Data],$DE266,14),0)</f>
        <v/>
      </c>
      <c r="R266">
        <f>IFERROR(INDEX(PP_Grid[#Data],$DE266,15),0)</f>
        <v/>
      </c>
      <c r="S266">
        <f>IFERROR(INDEX(PP_Grid[#Data],$DE266,16),0)</f>
        <v/>
      </c>
      <c r="T266">
        <f>IFERROR(INDEX(PP_Grid[#Data],$DE266,17),0)</f>
        <v/>
      </c>
      <c r="U266">
        <f>IFERROR(INDEX(PP_Grid[#Data],$DE266,18),0)</f>
        <v/>
      </c>
      <c r="V266">
        <f>IFERROR(INDEX(PP_Grid[#Data],$DE266,19),0)</f>
        <v/>
      </c>
      <c r="W266">
        <f>IFERROR(INDEX(PP_Grid[#Data],$DE266,20),0)</f>
        <v/>
      </c>
      <c r="X266">
        <f>IFERROR(INDEX(PP_Grid[#Data],$DE266,21),0)</f>
        <v/>
      </c>
      <c r="Y266">
        <f>IFERROR(INDEX(PP_Grid[#Data],$DE266,22),0)</f>
        <v/>
      </c>
      <c r="Z266">
        <f>IFERROR(INDEX(PP_Grid[#Data],$DE266,23),0)</f>
        <v/>
      </c>
      <c r="AA266">
        <f>IFERROR(INDEX(PP_Grid[#Data],$DE266,24),0)</f>
        <v/>
      </c>
      <c r="AB266">
        <f>IFERROR(INDEX(PP_Grid[#Data],$DE266,25),0)</f>
        <v/>
      </c>
      <c r="AC266">
        <f>IFERROR(INDEX(PP_Grid[#Data],$DE266,26),0)</f>
        <v/>
      </c>
      <c r="AD266">
        <f>IFERROR(INDEX(PP_Grid[#Data],$DE266,27),0)</f>
        <v/>
      </c>
      <c r="AE266">
        <f>IFERROR(INDEX(PP_Grid[#Data],$DE266,28),0)</f>
        <v/>
      </c>
      <c r="AF266">
        <f>IFERROR(INDEX(PP_Grid[#Data],$DE266,29),0)</f>
        <v/>
      </c>
      <c r="AG266">
        <f>IFERROR(INDEX(PP_Grid[#Data],$DE266,30),0)</f>
        <v/>
      </c>
      <c r="AH266">
        <f>IFERROR(INDEX(PP_Grid[#Data],$DE266,31),0)</f>
        <v/>
      </c>
      <c r="AI266">
        <f>IFERROR(INDEX(PP_Grid[#Data],$DE266,32),0)</f>
        <v/>
      </c>
      <c r="AJ266">
        <f>IFERROR(INDEX(PP_Grid[#Data],$DE266,33),0)</f>
        <v/>
      </c>
      <c r="AK266">
        <f>IFERROR(INDEX(PP_Grid[#Data],$DE266,34),0)</f>
        <v/>
      </c>
      <c r="AL266">
        <f>IFERROR(INDEX(PP_Grid[#Data],$DE266,35),0)</f>
        <v/>
      </c>
      <c r="AM266">
        <f>IFERROR(INDEX(PP_Grid[#Data],$DE266,36),0)</f>
        <v/>
      </c>
      <c r="AN266">
        <f>IFERROR(INDEX(PP_Grid[#Data],$DE266,37),0)</f>
        <v/>
      </c>
      <c r="AO266">
        <f>IFERROR(INDEX(PP_Grid[#Data],$DE266,38),0)</f>
        <v/>
      </c>
      <c r="AP266">
        <f>IFERROR(INDEX(PP_Grid[#Data],$DE266,39),0)</f>
        <v/>
      </c>
      <c r="AQ266">
        <f>IFERROR(INDEX(PP_Grid[#Data],$DE266,40),0)</f>
        <v/>
      </c>
      <c r="AR266">
        <f>IFERROR(INDEX(PP_Grid[#Data],$DE266,41),0)</f>
        <v/>
      </c>
      <c r="AS266">
        <f>IFERROR(INDEX(PP_Grid[#Data],$DE266,42),0)</f>
        <v/>
      </c>
      <c r="AT266">
        <f>IFERROR(INDEX(PP_Grid[#Data],$DE266,43),0)</f>
        <v/>
      </c>
      <c r="AU266">
        <f>IFERROR(INDEX(PP_Grid[#Data],$DE266,44),0)</f>
        <v/>
      </c>
      <c r="AV266">
        <f>IFERROR(INDEX(PP_Grid[#Data],$DE266,45),0)</f>
        <v/>
      </c>
      <c r="AW266">
        <f>IFERROR(INDEX(PP_Grid[#Data],$DE266,46),0)</f>
        <v/>
      </c>
      <c r="AX266">
        <f>IFERROR(INDEX(PP_Grid[#Data],$DE266,47),0)</f>
        <v/>
      </c>
      <c r="AY266">
        <f>IFERROR(INDEX(PP_Grid[#Data],$DE266,48),0)</f>
        <v/>
      </c>
      <c r="AZ266">
        <f>IFERROR(INDEX(PP_Grid[#Data],$DE266,49),0)</f>
        <v/>
      </c>
      <c r="BA266">
        <f>IFERROR(INDEX(PP_Grid[#Data],$DE266,50),0)</f>
        <v/>
      </c>
      <c r="BB266">
        <f>IFERROR(INDEX(PP_Grid[#Data],$DE266,51),0)</f>
        <v/>
      </c>
      <c r="BC266">
        <f>IFERROR(INDEX(PP_Grid[#Data],$DE266,52),0)</f>
        <v/>
      </c>
      <c r="BD266">
        <f>IFERROR(INDEX(PP_Grid[#Data],$DE266,53),0)</f>
        <v/>
      </c>
      <c r="BE266">
        <f>IFERROR(INDEX(PP_Grid[#Data],$DE266,54),0)</f>
        <v/>
      </c>
      <c r="BF266">
        <f>IFERROR(INDEX(PP_Grid[#Data],$DE266,55),0)</f>
        <v/>
      </c>
      <c r="BG266">
        <f>IFERROR(INDEX(PP_Grid[#Data],$DE266,56),0)</f>
        <v/>
      </c>
      <c r="BH266">
        <f>IFERROR(INDEX(PP_Grid[#Data],$DE266,57),0)</f>
        <v/>
      </c>
      <c r="BI266">
        <f>IFERROR(INDEX(PP_Grid[#Data],$DE266,58),0)</f>
        <v/>
      </c>
      <c r="BJ266">
        <f>IFERROR(INDEX(PP_Grid[#Data],$DE266,59),0)</f>
        <v/>
      </c>
      <c r="BK266">
        <f>IFERROR(INDEX(PP_Grid[#Data],$DE266,60),0)</f>
        <v/>
      </c>
      <c r="BL266">
        <f>IFERROR(INDEX(PP_Grid[#Data],$DE266,61),0)</f>
        <v/>
      </c>
      <c r="BM266">
        <f>IFERROR(INDEX(PP_Grid[#Data],$DE266,62),0)</f>
        <v/>
      </c>
      <c r="BN266">
        <f>IFERROR(INDEX(PP_Grid[#Data],$DE266,63),0)</f>
        <v/>
      </c>
      <c r="BO266">
        <f>IFERROR(INDEX(PP_Grid[#Data],$DE266,64),0)</f>
        <v/>
      </c>
      <c r="BP266">
        <f>IFERROR(INDEX(PP_Grid[#Data],$DE266,65),0)</f>
        <v/>
      </c>
      <c r="BQ266">
        <f>IFERROR(INDEX(PP_Grid[#Data],$DE266,66),0)</f>
        <v/>
      </c>
      <c r="BR266">
        <f>IFERROR(INDEX(PP_Grid[#Data],$DE266,67),0)</f>
        <v/>
      </c>
      <c r="BS266">
        <f>IFERROR(INDEX(PP_Grid[#Data],$DE266,68),0)</f>
        <v/>
      </c>
      <c r="BT266">
        <f>IFERROR(INDEX(PP_Grid[#Data],$DE266,69),0)</f>
        <v/>
      </c>
      <c r="BU266">
        <f>IFERROR(INDEX(PP_Grid[#Data],$DE266,70),0)</f>
        <v/>
      </c>
      <c r="BV266">
        <f>IFERROR(INDEX(PP_Grid[#Data],$DE266,71),0)</f>
        <v/>
      </c>
      <c r="BW266">
        <f>IFERROR(INDEX(PP_Grid[#Data],$DE266,72),0)</f>
        <v/>
      </c>
      <c r="BX266">
        <f>IFERROR(INDEX(PP_Grid[#Data],$DE266,73),0)</f>
        <v/>
      </c>
      <c r="BY266">
        <f>IFERROR(INDEX(PP_Grid[#Data],$DE266,74),0)</f>
        <v/>
      </c>
      <c r="BZ266">
        <f>IFERROR(INDEX(PP_Grid[#Data],$DE266,75),0)</f>
        <v/>
      </c>
      <c r="CA266">
        <f>IFERROR(INDEX(PP_Grid[#Data],$DE266,76),0)</f>
        <v/>
      </c>
      <c r="CB266">
        <f>IFERROR(INDEX(PP_Grid[#Data],$DE266,77),0)</f>
        <v/>
      </c>
      <c r="CC266">
        <f>IFERROR(INDEX(PP_Grid[#Data],$DE266,78),0)</f>
        <v/>
      </c>
      <c r="CD266">
        <f>IFERROR(INDEX(PP_Grid[#Data],$DE266,79),0)</f>
        <v/>
      </c>
      <c r="CE266">
        <f>IFERROR(INDEX(PP_Grid[#Data],$DE266,80),0)</f>
        <v/>
      </c>
      <c r="CF266">
        <f>IFERROR(INDEX(PP_Grid[#Data],$DE266,81),0)</f>
        <v/>
      </c>
      <c r="CG266">
        <f>IFERROR(INDEX(PP_Grid[#Data],$DE266,82),0)</f>
        <v/>
      </c>
      <c r="CH266">
        <f>IFERROR(INDEX(PP_Grid[#Data],$DE266,83),0)</f>
        <v/>
      </c>
      <c r="CI266">
        <f>IFERROR(INDEX(PP_Grid[#Data],$DE266,84),0)</f>
        <v/>
      </c>
      <c r="CJ266">
        <f>IFERROR(INDEX(PP_Grid[#Data],$DE266,85),0)</f>
        <v/>
      </c>
      <c r="CK266">
        <f>IFERROR(INDEX(PP_Grid[#Data],$DE266,86),0)</f>
        <v/>
      </c>
      <c r="CL266">
        <f>IFERROR(INDEX(PP_Grid[#Data],$DE266,87),0)</f>
        <v/>
      </c>
      <c r="CM266">
        <f>IFERROR(INDEX(PP_Grid[#Data],$DE266,88),0)</f>
        <v/>
      </c>
      <c r="CN266">
        <f>IFERROR(INDEX(PP_Grid[#Data],$DE266,89),0)</f>
        <v/>
      </c>
      <c r="CO266">
        <f>IFERROR(INDEX(PP_Grid[#Data],$DE266,90),0)</f>
        <v/>
      </c>
      <c r="CP266">
        <f>IFERROR(INDEX(PP_Grid[#Data],$DE266,91),0)</f>
        <v/>
      </c>
      <c r="CQ266">
        <f>IFERROR(INDEX(PP_Grid[#Data],$DE266,92),0)</f>
        <v/>
      </c>
      <c r="CR266">
        <f>IFERROR(INDEX(PP_Grid[#Data],$DE266,93),0)</f>
        <v/>
      </c>
      <c r="CS266">
        <f>IFERROR(INDEX(PP_Grid[#Data],$DE266,94),0)</f>
        <v/>
      </c>
      <c r="CT266">
        <f>IFERROR(INDEX(PP_Grid[#Data],$DE266,95),0)</f>
        <v/>
      </c>
      <c r="CU266">
        <f>IFERROR(INDEX(PP_Grid[#Data],$DE266,96),0)</f>
        <v/>
      </c>
      <c r="CV266">
        <f>IFERROR(INDEX(PP_Grid[#Data],$DE266,97),0)</f>
        <v/>
      </c>
      <c r="CW266">
        <f>IFERROR(INDEX(PP_Grid[#Data],$DE266,98),0)</f>
        <v/>
      </c>
      <c r="CX266">
        <f>IFERROR(INDEX(PP_Grid[#Data],$DE266,99),0)</f>
        <v/>
      </c>
      <c r="CY266">
        <f>IFERROR(INDEX(PP_Grid[#Data],$DE266,100),0)</f>
        <v/>
      </c>
      <c r="CZ266">
        <f>IFERROR(INDEX(PP_Grid[#Data],$DE266,101),0)</f>
        <v/>
      </c>
      <c r="DA266">
        <f>IFERROR(INDEX(PP_Grid[#Data],$DE266,102),0)</f>
        <v/>
      </c>
      <c r="DB266">
        <f>IFERROR(INDEX(PP_Grid[#Data],$DE266,103),0)</f>
        <v/>
      </c>
      <c r="DC266">
        <f>IFERROR(INDEX(PP_Grid[#Data],$DE266,104),0)</f>
        <v/>
      </c>
      <c r="DD266">
        <f>IFERROR(INDEX(PP_Grid[#Data],$DE266,105),0)</f>
        <v/>
      </c>
      <c r="DE266" s="7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SUMIFS(M_BOM[RM_Qty_Per_Batch],M_BOM[Intermediate],$B266,M_BOM[RM_Code],$A187)</f>
        <v/>
      </c>
      <c r="D267">
        <f>IFERROR(INDEX(E267:DD267,$F$1),"")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  <c r="DD267">
        <f>$C267*DD266</f>
        <v/>
      </c>
    </row>
    <row r="268">
      <c r="B268" t="inlineStr">
        <is>
          <t>TSP-959</t>
        </is>
      </c>
      <c r="C268" t="inlineStr">
        <is>
          <t>No. of batches</t>
        </is>
      </c>
      <c r="D268">
        <f>IFERROR(INDEX(E268:DD268,$F$1),"")</f>
        <v/>
      </c>
      <c r="E268">
        <f>IFERROR(INDEX(PP_Grid[#Data],$DE268,2),0)</f>
        <v/>
      </c>
      <c r="F268">
        <f>IFERROR(INDEX(PP_Grid[#Data],$DE268,3),0)</f>
        <v/>
      </c>
      <c r="G268">
        <f>IFERROR(INDEX(PP_Grid[#Data],$DE268,4),0)</f>
        <v/>
      </c>
      <c r="H268">
        <f>IFERROR(INDEX(PP_Grid[#Data],$DE268,5),0)</f>
        <v/>
      </c>
      <c r="I268">
        <f>IFERROR(INDEX(PP_Grid[#Data],$DE268,6),0)</f>
        <v/>
      </c>
      <c r="J268">
        <f>IFERROR(INDEX(PP_Grid[#Data],$DE268,7),0)</f>
        <v/>
      </c>
      <c r="K268">
        <f>IFERROR(INDEX(PP_Grid[#Data],$DE268,8),0)</f>
        <v/>
      </c>
      <c r="L268">
        <f>IFERROR(INDEX(PP_Grid[#Data],$DE268,9),0)</f>
        <v/>
      </c>
      <c r="M268">
        <f>IFERROR(INDEX(PP_Grid[#Data],$DE268,10),0)</f>
        <v/>
      </c>
      <c r="N268">
        <f>IFERROR(INDEX(PP_Grid[#Data],$DE268,11),0)</f>
        <v/>
      </c>
      <c r="O268">
        <f>IFERROR(INDEX(PP_Grid[#Data],$DE268,12),0)</f>
        <v/>
      </c>
      <c r="P268">
        <f>IFERROR(INDEX(PP_Grid[#Data],$DE268,13),0)</f>
        <v/>
      </c>
      <c r="Q268">
        <f>IFERROR(INDEX(PP_Grid[#Data],$DE268,14),0)</f>
        <v/>
      </c>
      <c r="R268">
        <f>IFERROR(INDEX(PP_Grid[#Data],$DE268,15),0)</f>
        <v/>
      </c>
      <c r="S268">
        <f>IFERROR(INDEX(PP_Grid[#Data],$DE268,16),0)</f>
        <v/>
      </c>
      <c r="T268">
        <f>IFERROR(INDEX(PP_Grid[#Data],$DE268,17),0)</f>
        <v/>
      </c>
      <c r="U268">
        <f>IFERROR(INDEX(PP_Grid[#Data],$DE268,18),0)</f>
        <v/>
      </c>
      <c r="V268">
        <f>IFERROR(INDEX(PP_Grid[#Data],$DE268,19),0)</f>
        <v/>
      </c>
      <c r="W268">
        <f>IFERROR(INDEX(PP_Grid[#Data],$DE268,20),0)</f>
        <v/>
      </c>
      <c r="X268">
        <f>IFERROR(INDEX(PP_Grid[#Data],$DE268,21),0)</f>
        <v/>
      </c>
      <c r="Y268">
        <f>IFERROR(INDEX(PP_Grid[#Data],$DE268,22),0)</f>
        <v/>
      </c>
      <c r="Z268">
        <f>IFERROR(INDEX(PP_Grid[#Data],$DE268,23),0)</f>
        <v/>
      </c>
      <c r="AA268">
        <f>IFERROR(INDEX(PP_Grid[#Data],$DE268,24),0)</f>
        <v/>
      </c>
      <c r="AB268">
        <f>IFERROR(INDEX(PP_Grid[#Data],$DE268,25),0)</f>
        <v/>
      </c>
      <c r="AC268">
        <f>IFERROR(INDEX(PP_Grid[#Data],$DE268,26),0)</f>
        <v/>
      </c>
      <c r="AD268">
        <f>IFERROR(INDEX(PP_Grid[#Data],$DE268,27),0)</f>
        <v/>
      </c>
      <c r="AE268">
        <f>IFERROR(INDEX(PP_Grid[#Data],$DE268,28),0)</f>
        <v/>
      </c>
      <c r="AF268">
        <f>IFERROR(INDEX(PP_Grid[#Data],$DE268,29),0)</f>
        <v/>
      </c>
      <c r="AG268">
        <f>IFERROR(INDEX(PP_Grid[#Data],$DE268,30),0)</f>
        <v/>
      </c>
      <c r="AH268">
        <f>IFERROR(INDEX(PP_Grid[#Data],$DE268,31),0)</f>
        <v/>
      </c>
      <c r="AI268">
        <f>IFERROR(INDEX(PP_Grid[#Data],$DE268,32),0)</f>
        <v/>
      </c>
      <c r="AJ268">
        <f>IFERROR(INDEX(PP_Grid[#Data],$DE268,33),0)</f>
        <v/>
      </c>
      <c r="AK268">
        <f>IFERROR(INDEX(PP_Grid[#Data],$DE268,34),0)</f>
        <v/>
      </c>
      <c r="AL268">
        <f>IFERROR(INDEX(PP_Grid[#Data],$DE268,35),0)</f>
        <v/>
      </c>
      <c r="AM268">
        <f>IFERROR(INDEX(PP_Grid[#Data],$DE268,36),0)</f>
        <v/>
      </c>
      <c r="AN268">
        <f>IFERROR(INDEX(PP_Grid[#Data],$DE268,37),0)</f>
        <v/>
      </c>
      <c r="AO268">
        <f>IFERROR(INDEX(PP_Grid[#Data],$DE268,38),0)</f>
        <v/>
      </c>
      <c r="AP268">
        <f>IFERROR(INDEX(PP_Grid[#Data],$DE268,39),0)</f>
        <v/>
      </c>
      <c r="AQ268">
        <f>IFERROR(INDEX(PP_Grid[#Data],$DE268,40),0)</f>
        <v/>
      </c>
      <c r="AR268">
        <f>IFERROR(INDEX(PP_Grid[#Data],$DE268,41),0)</f>
        <v/>
      </c>
      <c r="AS268">
        <f>IFERROR(INDEX(PP_Grid[#Data],$DE268,42),0)</f>
        <v/>
      </c>
      <c r="AT268">
        <f>IFERROR(INDEX(PP_Grid[#Data],$DE268,43),0)</f>
        <v/>
      </c>
      <c r="AU268">
        <f>IFERROR(INDEX(PP_Grid[#Data],$DE268,44),0)</f>
        <v/>
      </c>
      <c r="AV268">
        <f>IFERROR(INDEX(PP_Grid[#Data],$DE268,45),0)</f>
        <v/>
      </c>
      <c r="AW268">
        <f>IFERROR(INDEX(PP_Grid[#Data],$DE268,46),0)</f>
        <v/>
      </c>
      <c r="AX268">
        <f>IFERROR(INDEX(PP_Grid[#Data],$DE268,47),0)</f>
        <v/>
      </c>
      <c r="AY268">
        <f>IFERROR(INDEX(PP_Grid[#Data],$DE268,48),0)</f>
        <v/>
      </c>
      <c r="AZ268">
        <f>IFERROR(INDEX(PP_Grid[#Data],$DE268,49),0)</f>
        <v/>
      </c>
      <c r="BA268">
        <f>IFERROR(INDEX(PP_Grid[#Data],$DE268,50),0)</f>
        <v/>
      </c>
      <c r="BB268">
        <f>IFERROR(INDEX(PP_Grid[#Data],$DE268,51),0)</f>
        <v/>
      </c>
      <c r="BC268">
        <f>IFERROR(INDEX(PP_Grid[#Data],$DE268,52),0)</f>
        <v/>
      </c>
      <c r="BD268">
        <f>IFERROR(INDEX(PP_Grid[#Data],$DE268,53),0)</f>
        <v/>
      </c>
      <c r="BE268">
        <f>IFERROR(INDEX(PP_Grid[#Data],$DE268,54),0)</f>
        <v/>
      </c>
      <c r="BF268">
        <f>IFERROR(INDEX(PP_Grid[#Data],$DE268,55),0)</f>
        <v/>
      </c>
      <c r="BG268">
        <f>IFERROR(INDEX(PP_Grid[#Data],$DE268,56),0)</f>
        <v/>
      </c>
      <c r="BH268">
        <f>IFERROR(INDEX(PP_Grid[#Data],$DE268,57),0)</f>
        <v/>
      </c>
      <c r="BI268">
        <f>IFERROR(INDEX(PP_Grid[#Data],$DE268,58),0)</f>
        <v/>
      </c>
      <c r="BJ268">
        <f>IFERROR(INDEX(PP_Grid[#Data],$DE268,59),0)</f>
        <v/>
      </c>
      <c r="BK268">
        <f>IFERROR(INDEX(PP_Grid[#Data],$DE268,60),0)</f>
        <v/>
      </c>
      <c r="BL268">
        <f>IFERROR(INDEX(PP_Grid[#Data],$DE268,61),0)</f>
        <v/>
      </c>
      <c r="BM268">
        <f>IFERROR(INDEX(PP_Grid[#Data],$DE268,62),0)</f>
        <v/>
      </c>
      <c r="BN268">
        <f>IFERROR(INDEX(PP_Grid[#Data],$DE268,63),0)</f>
        <v/>
      </c>
      <c r="BO268">
        <f>IFERROR(INDEX(PP_Grid[#Data],$DE268,64),0)</f>
        <v/>
      </c>
      <c r="BP268">
        <f>IFERROR(INDEX(PP_Grid[#Data],$DE268,65),0)</f>
        <v/>
      </c>
      <c r="BQ268">
        <f>IFERROR(INDEX(PP_Grid[#Data],$DE268,66),0)</f>
        <v/>
      </c>
      <c r="BR268">
        <f>IFERROR(INDEX(PP_Grid[#Data],$DE268,67),0)</f>
        <v/>
      </c>
      <c r="BS268">
        <f>IFERROR(INDEX(PP_Grid[#Data],$DE268,68),0)</f>
        <v/>
      </c>
      <c r="BT268">
        <f>IFERROR(INDEX(PP_Grid[#Data],$DE268,69),0)</f>
        <v/>
      </c>
      <c r="BU268">
        <f>IFERROR(INDEX(PP_Grid[#Data],$DE268,70),0)</f>
        <v/>
      </c>
      <c r="BV268">
        <f>IFERROR(INDEX(PP_Grid[#Data],$DE268,71),0)</f>
        <v/>
      </c>
      <c r="BW268">
        <f>IFERROR(INDEX(PP_Grid[#Data],$DE268,72),0)</f>
        <v/>
      </c>
      <c r="BX268">
        <f>IFERROR(INDEX(PP_Grid[#Data],$DE268,73),0)</f>
        <v/>
      </c>
      <c r="BY268">
        <f>IFERROR(INDEX(PP_Grid[#Data],$DE268,74),0)</f>
        <v/>
      </c>
      <c r="BZ268">
        <f>IFERROR(INDEX(PP_Grid[#Data],$DE268,75),0)</f>
        <v/>
      </c>
      <c r="CA268">
        <f>IFERROR(INDEX(PP_Grid[#Data],$DE268,76),0)</f>
        <v/>
      </c>
      <c r="CB268">
        <f>IFERROR(INDEX(PP_Grid[#Data],$DE268,77),0)</f>
        <v/>
      </c>
      <c r="CC268">
        <f>IFERROR(INDEX(PP_Grid[#Data],$DE268,78),0)</f>
        <v/>
      </c>
      <c r="CD268">
        <f>IFERROR(INDEX(PP_Grid[#Data],$DE268,79),0)</f>
        <v/>
      </c>
      <c r="CE268">
        <f>IFERROR(INDEX(PP_Grid[#Data],$DE268,80),0)</f>
        <v/>
      </c>
      <c r="CF268">
        <f>IFERROR(INDEX(PP_Grid[#Data],$DE268,81),0)</f>
        <v/>
      </c>
      <c r="CG268">
        <f>IFERROR(INDEX(PP_Grid[#Data],$DE268,82),0)</f>
        <v/>
      </c>
      <c r="CH268">
        <f>IFERROR(INDEX(PP_Grid[#Data],$DE268,83),0)</f>
        <v/>
      </c>
      <c r="CI268">
        <f>IFERROR(INDEX(PP_Grid[#Data],$DE268,84),0)</f>
        <v/>
      </c>
      <c r="CJ268">
        <f>IFERROR(INDEX(PP_Grid[#Data],$DE268,85),0)</f>
        <v/>
      </c>
      <c r="CK268">
        <f>IFERROR(INDEX(PP_Grid[#Data],$DE268,86),0)</f>
        <v/>
      </c>
      <c r="CL268">
        <f>IFERROR(INDEX(PP_Grid[#Data],$DE268,87),0)</f>
        <v/>
      </c>
      <c r="CM268">
        <f>IFERROR(INDEX(PP_Grid[#Data],$DE268,88),0)</f>
        <v/>
      </c>
      <c r="CN268">
        <f>IFERROR(INDEX(PP_Grid[#Data],$DE268,89),0)</f>
        <v/>
      </c>
      <c r="CO268">
        <f>IFERROR(INDEX(PP_Grid[#Data],$DE268,90),0)</f>
        <v/>
      </c>
      <c r="CP268">
        <f>IFERROR(INDEX(PP_Grid[#Data],$DE268,91),0)</f>
        <v/>
      </c>
      <c r="CQ268">
        <f>IFERROR(INDEX(PP_Grid[#Data],$DE268,92),0)</f>
        <v/>
      </c>
      <c r="CR268">
        <f>IFERROR(INDEX(PP_Grid[#Data],$DE268,93),0)</f>
        <v/>
      </c>
      <c r="CS268">
        <f>IFERROR(INDEX(PP_Grid[#Data],$DE268,94),0)</f>
        <v/>
      </c>
      <c r="CT268">
        <f>IFERROR(INDEX(PP_Grid[#Data],$DE268,95),0)</f>
        <v/>
      </c>
      <c r="CU268">
        <f>IFERROR(INDEX(PP_Grid[#Data],$DE268,96),0)</f>
        <v/>
      </c>
      <c r="CV268">
        <f>IFERROR(INDEX(PP_Grid[#Data],$DE268,97),0)</f>
        <v/>
      </c>
      <c r="CW268">
        <f>IFERROR(INDEX(PP_Grid[#Data],$DE268,98),0)</f>
        <v/>
      </c>
      <c r="CX268">
        <f>IFERROR(INDEX(PP_Grid[#Data],$DE268,99),0)</f>
        <v/>
      </c>
      <c r="CY268">
        <f>IFERROR(INDEX(PP_Grid[#Data],$DE268,100),0)</f>
        <v/>
      </c>
      <c r="CZ268">
        <f>IFERROR(INDEX(PP_Grid[#Data],$DE268,101),0)</f>
        <v/>
      </c>
      <c r="DA268">
        <f>IFERROR(INDEX(PP_Grid[#Data],$DE268,102),0)</f>
        <v/>
      </c>
      <c r="DB268">
        <f>IFERROR(INDEX(PP_Grid[#Data],$DE268,103),0)</f>
        <v/>
      </c>
      <c r="DC268">
        <f>IFERROR(INDEX(PP_Grid[#Data],$DE268,104),0)</f>
        <v/>
      </c>
      <c r="DD268">
        <f>IFERROR(INDEX(PP_Grid[#Data],$DE268,105),0)</f>
        <v/>
      </c>
      <c r="DE268" s="7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SUMIFS(M_BOM[RM_Qty_Per_Batch],M_BOM[Intermediate],$B268,M_BOM[RM_Code],$A187)</f>
        <v/>
      </c>
      <c r="D269">
        <f>IFERROR(INDEX(E269:DD269,$F$1),"")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  <c r="DD269">
        <f>$C269*DD268</f>
        <v/>
      </c>
    </row>
    <row r="270">
      <c r="B270" t="inlineStr">
        <is>
          <t>TSP-966</t>
        </is>
      </c>
      <c r="C270" t="inlineStr">
        <is>
          <t>No. of batches</t>
        </is>
      </c>
      <c r="D270">
        <f>IFERROR(INDEX(E270:DD270,$F$1),"")</f>
        <v/>
      </c>
      <c r="E270">
        <f>IFERROR(INDEX(PP_Grid[#Data],$DE270,2),0)</f>
        <v/>
      </c>
      <c r="F270">
        <f>IFERROR(INDEX(PP_Grid[#Data],$DE270,3),0)</f>
        <v/>
      </c>
      <c r="G270">
        <f>IFERROR(INDEX(PP_Grid[#Data],$DE270,4),0)</f>
        <v/>
      </c>
      <c r="H270">
        <f>IFERROR(INDEX(PP_Grid[#Data],$DE270,5),0)</f>
        <v/>
      </c>
      <c r="I270">
        <f>IFERROR(INDEX(PP_Grid[#Data],$DE270,6),0)</f>
        <v/>
      </c>
      <c r="J270">
        <f>IFERROR(INDEX(PP_Grid[#Data],$DE270,7),0)</f>
        <v/>
      </c>
      <c r="K270">
        <f>IFERROR(INDEX(PP_Grid[#Data],$DE270,8),0)</f>
        <v/>
      </c>
      <c r="L270">
        <f>IFERROR(INDEX(PP_Grid[#Data],$DE270,9),0)</f>
        <v/>
      </c>
      <c r="M270">
        <f>IFERROR(INDEX(PP_Grid[#Data],$DE270,10),0)</f>
        <v/>
      </c>
      <c r="N270">
        <f>IFERROR(INDEX(PP_Grid[#Data],$DE270,11),0)</f>
        <v/>
      </c>
      <c r="O270">
        <f>IFERROR(INDEX(PP_Grid[#Data],$DE270,12),0)</f>
        <v/>
      </c>
      <c r="P270">
        <f>IFERROR(INDEX(PP_Grid[#Data],$DE270,13),0)</f>
        <v/>
      </c>
      <c r="Q270">
        <f>IFERROR(INDEX(PP_Grid[#Data],$DE270,14),0)</f>
        <v/>
      </c>
      <c r="R270">
        <f>IFERROR(INDEX(PP_Grid[#Data],$DE270,15),0)</f>
        <v/>
      </c>
      <c r="S270">
        <f>IFERROR(INDEX(PP_Grid[#Data],$DE270,16),0)</f>
        <v/>
      </c>
      <c r="T270">
        <f>IFERROR(INDEX(PP_Grid[#Data],$DE270,17),0)</f>
        <v/>
      </c>
      <c r="U270">
        <f>IFERROR(INDEX(PP_Grid[#Data],$DE270,18),0)</f>
        <v/>
      </c>
      <c r="V270">
        <f>IFERROR(INDEX(PP_Grid[#Data],$DE270,19),0)</f>
        <v/>
      </c>
      <c r="W270">
        <f>IFERROR(INDEX(PP_Grid[#Data],$DE270,20),0)</f>
        <v/>
      </c>
      <c r="X270">
        <f>IFERROR(INDEX(PP_Grid[#Data],$DE270,21),0)</f>
        <v/>
      </c>
      <c r="Y270">
        <f>IFERROR(INDEX(PP_Grid[#Data],$DE270,22),0)</f>
        <v/>
      </c>
      <c r="Z270">
        <f>IFERROR(INDEX(PP_Grid[#Data],$DE270,23),0)</f>
        <v/>
      </c>
      <c r="AA270">
        <f>IFERROR(INDEX(PP_Grid[#Data],$DE270,24),0)</f>
        <v/>
      </c>
      <c r="AB270">
        <f>IFERROR(INDEX(PP_Grid[#Data],$DE270,25),0)</f>
        <v/>
      </c>
      <c r="AC270">
        <f>IFERROR(INDEX(PP_Grid[#Data],$DE270,26),0)</f>
        <v/>
      </c>
      <c r="AD270">
        <f>IFERROR(INDEX(PP_Grid[#Data],$DE270,27),0)</f>
        <v/>
      </c>
      <c r="AE270">
        <f>IFERROR(INDEX(PP_Grid[#Data],$DE270,28),0)</f>
        <v/>
      </c>
      <c r="AF270">
        <f>IFERROR(INDEX(PP_Grid[#Data],$DE270,29),0)</f>
        <v/>
      </c>
      <c r="AG270">
        <f>IFERROR(INDEX(PP_Grid[#Data],$DE270,30),0)</f>
        <v/>
      </c>
      <c r="AH270">
        <f>IFERROR(INDEX(PP_Grid[#Data],$DE270,31),0)</f>
        <v/>
      </c>
      <c r="AI270">
        <f>IFERROR(INDEX(PP_Grid[#Data],$DE270,32),0)</f>
        <v/>
      </c>
      <c r="AJ270">
        <f>IFERROR(INDEX(PP_Grid[#Data],$DE270,33),0)</f>
        <v/>
      </c>
      <c r="AK270">
        <f>IFERROR(INDEX(PP_Grid[#Data],$DE270,34),0)</f>
        <v/>
      </c>
      <c r="AL270">
        <f>IFERROR(INDEX(PP_Grid[#Data],$DE270,35),0)</f>
        <v/>
      </c>
      <c r="AM270">
        <f>IFERROR(INDEX(PP_Grid[#Data],$DE270,36),0)</f>
        <v/>
      </c>
      <c r="AN270">
        <f>IFERROR(INDEX(PP_Grid[#Data],$DE270,37),0)</f>
        <v/>
      </c>
      <c r="AO270">
        <f>IFERROR(INDEX(PP_Grid[#Data],$DE270,38),0)</f>
        <v/>
      </c>
      <c r="AP270">
        <f>IFERROR(INDEX(PP_Grid[#Data],$DE270,39),0)</f>
        <v/>
      </c>
      <c r="AQ270">
        <f>IFERROR(INDEX(PP_Grid[#Data],$DE270,40),0)</f>
        <v/>
      </c>
      <c r="AR270">
        <f>IFERROR(INDEX(PP_Grid[#Data],$DE270,41),0)</f>
        <v/>
      </c>
      <c r="AS270">
        <f>IFERROR(INDEX(PP_Grid[#Data],$DE270,42),0)</f>
        <v/>
      </c>
      <c r="AT270">
        <f>IFERROR(INDEX(PP_Grid[#Data],$DE270,43),0)</f>
        <v/>
      </c>
      <c r="AU270">
        <f>IFERROR(INDEX(PP_Grid[#Data],$DE270,44),0)</f>
        <v/>
      </c>
      <c r="AV270">
        <f>IFERROR(INDEX(PP_Grid[#Data],$DE270,45),0)</f>
        <v/>
      </c>
      <c r="AW270">
        <f>IFERROR(INDEX(PP_Grid[#Data],$DE270,46),0)</f>
        <v/>
      </c>
      <c r="AX270">
        <f>IFERROR(INDEX(PP_Grid[#Data],$DE270,47),0)</f>
        <v/>
      </c>
      <c r="AY270">
        <f>IFERROR(INDEX(PP_Grid[#Data],$DE270,48),0)</f>
        <v/>
      </c>
      <c r="AZ270">
        <f>IFERROR(INDEX(PP_Grid[#Data],$DE270,49),0)</f>
        <v/>
      </c>
      <c r="BA270">
        <f>IFERROR(INDEX(PP_Grid[#Data],$DE270,50),0)</f>
        <v/>
      </c>
      <c r="BB270">
        <f>IFERROR(INDEX(PP_Grid[#Data],$DE270,51),0)</f>
        <v/>
      </c>
      <c r="BC270">
        <f>IFERROR(INDEX(PP_Grid[#Data],$DE270,52),0)</f>
        <v/>
      </c>
      <c r="BD270">
        <f>IFERROR(INDEX(PP_Grid[#Data],$DE270,53),0)</f>
        <v/>
      </c>
      <c r="BE270">
        <f>IFERROR(INDEX(PP_Grid[#Data],$DE270,54),0)</f>
        <v/>
      </c>
      <c r="BF270">
        <f>IFERROR(INDEX(PP_Grid[#Data],$DE270,55),0)</f>
        <v/>
      </c>
      <c r="BG270">
        <f>IFERROR(INDEX(PP_Grid[#Data],$DE270,56),0)</f>
        <v/>
      </c>
      <c r="BH270">
        <f>IFERROR(INDEX(PP_Grid[#Data],$DE270,57),0)</f>
        <v/>
      </c>
      <c r="BI270">
        <f>IFERROR(INDEX(PP_Grid[#Data],$DE270,58),0)</f>
        <v/>
      </c>
      <c r="BJ270">
        <f>IFERROR(INDEX(PP_Grid[#Data],$DE270,59),0)</f>
        <v/>
      </c>
      <c r="BK270">
        <f>IFERROR(INDEX(PP_Grid[#Data],$DE270,60),0)</f>
        <v/>
      </c>
      <c r="BL270">
        <f>IFERROR(INDEX(PP_Grid[#Data],$DE270,61),0)</f>
        <v/>
      </c>
      <c r="BM270">
        <f>IFERROR(INDEX(PP_Grid[#Data],$DE270,62),0)</f>
        <v/>
      </c>
      <c r="BN270">
        <f>IFERROR(INDEX(PP_Grid[#Data],$DE270,63),0)</f>
        <v/>
      </c>
      <c r="BO270">
        <f>IFERROR(INDEX(PP_Grid[#Data],$DE270,64),0)</f>
        <v/>
      </c>
      <c r="BP270">
        <f>IFERROR(INDEX(PP_Grid[#Data],$DE270,65),0)</f>
        <v/>
      </c>
      <c r="BQ270">
        <f>IFERROR(INDEX(PP_Grid[#Data],$DE270,66),0)</f>
        <v/>
      </c>
      <c r="BR270">
        <f>IFERROR(INDEX(PP_Grid[#Data],$DE270,67),0)</f>
        <v/>
      </c>
      <c r="BS270">
        <f>IFERROR(INDEX(PP_Grid[#Data],$DE270,68),0)</f>
        <v/>
      </c>
      <c r="BT270">
        <f>IFERROR(INDEX(PP_Grid[#Data],$DE270,69),0)</f>
        <v/>
      </c>
      <c r="BU270">
        <f>IFERROR(INDEX(PP_Grid[#Data],$DE270,70),0)</f>
        <v/>
      </c>
      <c r="BV270">
        <f>IFERROR(INDEX(PP_Grid[#Data],$DE270,71),0)</f>
        <v/>
      </c>
      <c r="BW270">
        <f>IFERROR(INDEX(PP_Grid[#Data],$DE270,72),0)</f>
        <v/>
      </c>
      <c r="BX270">
        <f>IFERROR(INDEX(PP_Grid[#Data],$DE270,73),0)</f>
        <v/>
      </c>
      <c r="BY270">
        <f>IFERROR(INDEX(PP_Grid[#Data],$DE270,74),0)</f>
        <v/>
      </c>
      <c r="BZ270">
        <f>IFERROR(INDEX(PP_Grid[#Data],$DE270,75),0)</f>
        <v/>
      </c>
      <c r="CA270">
        <f>IFERROR(INDEX(PP_Grid[#Data],$DE270,76),0)</f>
        <v/>
      </c>
      <c r="CB270">
        <f>IFERROR(INDEX(PP_Grid[#Data],$DE270,77),0)</f>
        <v/>
      </c>
      <c r="CC270">
        <f>IFERROR(INDEX(PP_Grid[#Data],$DE270,78),0)</f>
        <v/>
      </c>
      <c r="CD270">
        <f>IFERROR(INDEX(PP_Grid[#Data],$DE270,79),0)</f>
        <v/>
      </c>
      <c r="CE270">
        <f>IFERROR(INDEX(PP_Grid[#Data],$DE270,80),0)</f>
        <v/>
      </c>
      <c r="CF270">
        <f>IFERROR(INDEX(PP_Grid[#Data],$DE270,81),0)</f>
        <v/>
      </c>
      <c r="CG270">
        <f>IFERROR(INDEX(PP_Grid[#Data],$DE270,82),0)</f>
        <v/>
      </c>
      <c r="CH270">
        <f>IFERROR(INDEX(PP_Grid[#Data],$DE270,83),0)</f>
        <v/>
      </c>
      <c r="CI270">
        <f>IFERROR(INDEX(PP_Grid[#Data],$DE270,84),0)</f>
        <v/>
      </c>
      <c r="CJ270">
        <f>IFERROR(INDEX(PP_Grid[#Data],$DE270,85),0)</f>
        <v/>
      </c>
      <c r="CK270">
        <f>IFERROR(INDEX(PP_Grid[#Data],$DE270,86),0)</f>
        <v/>
      </c>
      <c r="CL270">
        <f>IFERROR(INDEX(PP_Grid[#Data],$DE270,87),0)</f>
        <v/>
      </c>
      <c r="CM270">
        <f>IFERROR(INDEX(PP_Grid[#Data],$DE270,88),0)</f>
        <v/>
      </c>
      <c r="CN270">
        <f>IFERROR(INDEX(PP_Grid[#Data],$DE270,89),0)</f>
        <v/>
      </c>
      <c r="CO270">
        <f>IFERROR(INDEX(PP_Grid[#Data],$DE270,90),0)</f>
        <v/>
      </c>
      <c r="CP270">
        <f>IFERROR(INDEX(PP_Grid[#Data],$DE270,91),0)</f>
        <v/>
      </c>
      <c r="CQ270">
        <f>IFERROR(INDEX(PP_Grid[#Data],$DE270,92),0)</f>
        <v/>
      </c>
      <c r="CR270">
        <f>IFERROR(INDEX(PP_Grid[#Data],$DE270,93),0)</f>
        <v/>
      </c>
      <c r="CS270">
        <f>IFERROR(INDEX(PP_Grid[#Data],$DE270,94),0)</f>
        <v/>
      </c>
      <c r="CT270">
        <f>IFERROR(INDEX(PP_Grid[#Data],$DE270,95),0)</f>
        <v/>
      </c>
      <c r="CU270">
        <f>IFERROR(INDEX(PP_Grid[#Data],$DE270,96),0)</f>
        <v/>
      </c>
      <c r="CV270">
        <f>IFERROR(INDEX(PP_Grid[#Data],$DE270,97),0)</f>
        <v/>
      </c>
      <c r="CW270">
        <f>IFERROR(INDEX(PP_Grid[#Data],$DE270,98),0)</f>
        <v/>
      </c>
      <c r="CX270">
        <f>IFERROR(INDEX(PP_Grid[#Data],$DE270,99),0)</f>
        <v/>
      </c>
      <c r="CY270">
        <f>IFERROR(INDEX(PP_Grid[#Data],$DE270,100),0)</f>
        <v/>
      </c>
      <c r="CZ270">
        <f>IFERROR(INDEX(PP_Grid[#Data],$DE270,101),0)</f>
        <v/>
      </c>
      <c r="DA270">
        <f>IFERROR(INDEX(PP_Grid[#Data],$DE270,102),0)</f>
        <v/>
      </c>
      <c r="DB270">
        <f>IFERROR(INDEX(PP_Grid[#Data],$DE270,103),0)</f>
        <v/>
      </c>
      <c r="DC270">
        <f>IFERROR(INDEX(PP_Grid[#Data],$DE270,104),0)</f>
        <v/>
      </c>
      <c r="DD270">
        <f>IFERROR(INDEX(PP_Grid[#Data],$DE270,105),0)</f>
        <v/>
      </c>
      <c r="DE270" s="7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SUMIFS(M_BOM[RM_Qty_Per_Batch],M_BOM[Intermediate],$B270,M_BOM[RM_Code],$A187)</f>
        <v/>
      </c>
      <c r="D271">
        <f>IFERROR(INDEX(E271:DD271,$F$1),"")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  <c r="DD271">
        <f>$C271*DD270</f>
        <v/>
      </c>
    </row>
    <row r="272">
      <c r="B272" t="inlineStr">
        <is>
          <t>TSZ-938</t>
        </is>
      </c>
      <c r="C272" t="inlineStr">
        <is>
          <t>No. of batches</t>
        </is>
      </c>
      <c r="D272">
        <f>IFERROR(INDEX(E272:DD272,$F$1),"")</f>
        <v/>
      </c>
      <c r="E272">
        <f>IFERROR(INDEX(PP_Grid[#Data],$DE272,2),0)</f>
        <v/>
      </c>
      <c r="F272">
        <f>IFERROR(INDEX(PP_Grid[#Data],$DE272,3),0)</f>
        <v/>
      </c>
      <c r="G272">
        <f>IFERROR(INDEX(PP_Grid[#Data],$DE272,4),0)</f>
        <v/>
      </c>
      <c r="H272">
        <f>IFERROR(INDEX(PP_Grid[#Data],$DE272,5),0)</f>
        <v/>
      </c>
      <c r="I272">
        <f>IFERROR(INDEX(PP_Grid[#Data],$DE272,6),0)</f>
        <v/>
      </c>
      <c r="J272">
        <f>IFERROR(INDEX(PP_Grid[#Data],$DE272,7),0)</f>
        <v/>
      </c>
      <c r="K272">
        <f>IFERROR(INDEX(PP_Grid[#Data],$DE272,8),0)</f>
        <v/>
      </c>
      <c r="L272">
        <f>IFERROR(INDEX(PP_Grid[#Data],$DE272,9),0)</f>
        <v/>
      </c>
      <c r="M272">
        <f>IFERROR(INDEX(PP_Grid[#Data],$DE272,10),0)</f>
        <v/>
      </c>
      <c r="N272">
        <f>IFERROR(INDEX(PP_Grid[#Data],$DE272,11),0)</f>
        <v/>
      </c>
      <c r="O272">
        <f>IFERROR(INDEX(PP_Grid[#Data],$DE272,12),0)</f>
        <v/>
      </c>
      <c r="P272">
        <f>IFERROR(INDEX(PP_Grid[#Data],$DE272,13),0)</f>
        <v/>
      </c>
      <c r="Q272">
        <f>IFERROR(INDEX(PP_Grid[#Data],$DE272,14),0)</f>
        <v/>
      </c>
      <c r="R272">
        <f>IFERROR(INDEX(PP_Grid[#Data],$DE272,15),0)</f>
        <v/>
      </c>
      <c r="S272">
        <f>IFERROR(INDEX(PP_Grid[#Data],$DE272,16),0)</f>
        <v/>
      </c>
      <c r="T272">
        <f>IFERROR(INDEX(PP_Grid[#Data],$DE272,17),0)</f>
        <v/>
      </c>
      <c r="U272">
        <f>IFERROR(INDEX(PP_Grid[#Data],$DE272,18),0)</f>
        <v/>
      </c>
      <c r="V272">
        <f>IFERROR(INDEX(PP_Grid[#Data],$DE272,19),0)</f>
        <v/>
      </c>
      <c r="W272">
        <f>IFERROR(INDEX(PP_Grid[#Data],$DE272,20),0)</f>
        <v/>
      </c>
      <c r="X272">
        <f>IFERROR(INDEX(PP_Grid[#Data],$DE272,21),0)</f>
        <v/>
      </c>
      <c r="Y272">
        <f>IFERROR(INDEX(PP_Grid[#Data],$DE272,22),0)</f>
        <v/>
      </c>
      <c r="Z272">
        <f>IFERROR(INDEX(PP_Grid[#Data],$DE272,23),0)</f>
        <v/>
      </c>
      <c r="AA272">
        <f>IFERROR(INDEX(PP_Grid[#Data],$DE272,24),0)</f>
        <v/>
      </c>
      <c r="AB272">
        <f>IFERROR(INDEX(PP_Grid[#Data],$DE272,25),0)</f>
        <v/>
      </c>
      <c r="AC272">
        <f>IFERROR(INDEX(PP_Grid[#Data],$DE272,26),0)</f>
        <v/>
      </c>
      <c r="AD272">
        <f>IFERROR(INDEX(PP_Grid[#Data],$DE272,27),0)</f>
        <v/>
      </c>
      <c r="AE272">
        <f>IFERROR(INDEX(PP_Grid[#Data],$DE272,28),0)</f>
        <v/>
      </c>
      <c r="AF272">
        <f>IFERROR(INDEX(PP_Grid[#Data],$DE272,29),0)</f>
        <v/>
      </c>
      <c r="AG272">
        <f>IFERROR(INDEX(PP_Grid[#Data],$DE272,30),0)</f>
        <v/>
      </c>
      <c r="AH272">
        <f>IFERROR(INDEX(PP_Grid[#Data],$DE272,31),0)</f>
        <v/>
      </c>
      <c r="AI272">
        <f>IFERROR(INDEX(PP_Grid[#Data],$DE272,32),0)</f>
        <v/>
      </c>
      <c r="AJ272">
        <f>IFERROR(INDEX(PP_Grid[#Data],$DE272,33),0)</f>
        <v/>
      </c>
      <c r="AK272">
        <f>IFERROR(INDEX(PP_Grid[#Data],$DE272,34),0)</f>
        <v/>
      </c>
      <c r="AL272">
        <f>IFERROR(INDEX(PP_Grid[#Data],$DE272,35),0)</f>
        <v/>
      </c>
      <c r="AM272">
        <f>IFERROR(INDEX(PP_Grid[#Data],$DE272,36),0)</f>
        <v/>
      </c>
      <c r="AN272">
        <f>IFERROR(INDEX(PP_Grid[#Data],$DE272,37),0)</f>
        <v/>
      </c>
      <c r="AO272">
        <f>IFERROR(INDEX(PP_Grid[#Data],$DE272,38),0)</f>
        <v/>
      </c>
      <c r="AP272">
        <f>IFERROR(INDEX(PP_Grid[#Data],$DE272,39),0)</f>
        <v/>
      </c>
      <c r="AQ272">
        <f>IFERROR(INDEX(PP_Grid[#Data],$DE272,40),0)</f>
        <v/>
      </c>
      <c r="AR272">
        <f>IFERROR(INDEX(PP_Grid[#Data],$DE272,41),0)</f>
        <v/>
      </c>
      <c r="AS272">
        <f>IFERROR(INDEX(PP_Grid[#Data],$DE272,42),0)</f>
        <v/>
      </c>
      <c r="AT272">
        <f>IFERROR(INDEX(PP_Grid[#Data],$DE272,43),0)</f>
        <v/>
      </c>
      <c r="AU272">
        <f>IFERROR(INDEX(PP_Grid[#Data],$DE272,44),0)</f>
        <v/>
      </c>
      <c r="AV272">
        <f>IFERROR(INDEX(PP_Grid[#Data],$DE272,45),0)</f>
        <v/>
      </c>
      <c r="AW272">
        <f>IFERROR(INDEX(PP_Grid[#Data],$DE272,46),0)</f>
        <v/>
      </c>
      <c r="AX272">
        <f>IFERROR(INDEX(PP_Grid[#Data],$DE272,47),0)</f>
        <v/>
      </c>
      <c r="AY272">
        <f>IFERROR(INDEX(PP_Grid[#Data],$DE272,48),0)</f>
        <v/>
      </c>
      <c r="AZ272">
        <f>IFERROR(INDEX(PP_Grid[#Data],$DE272,49),0)</f>
        <v/>
      </c>
      <c r="BA272">
        <f>IFERROR(INDEX(PP_Grid[#Data],$DE272,50),0)</f>
        <v/>
      </c>
      <c r="BB272">
        <f>IFERROR(INDEX(PP_Grid[#Data],$DE272,51),0)</f>
        <v/>
      </c>
      <c r="BC272">
        <f>IFERROR(INDEX(PP_Grid[#Data],$DE272,52),0)</f>
        <v/>
      </c>
      <c r="BD272">
        <f>IFERROR(INDEX(PP_Grid[#Data],$DE272,53),0)</f>
        <v/>
      </c>
      <c r="BE272">
        <f>IFERROR(INDEX(PP_Grid[#Data],$DE272,54),0)</f>
        <v/>
      </c>
      <c r="BF272">
        <f>IFERROR(INDEX(PP_Grid[#Data],$DE272,55),0)</f>
        <v/>
      </c>
      <c r="BG272">
        <f>IFERROR(INDEX(PP_Grid[#Data],$DE272,56),0)</f>
        <v/>
      </c>
      <c r="BH272">
        <f>IFERROR(INDEX(PP_Grid[#Data],$DE272,57),0)</f>
        <v/>
      </c>
      <c r="BI272">
        <f>IFERROR(INDEX(PP_Grid[#Data],$DE272,58),0)</f>
        <v/>
      </c>
      <c r="BJ272">
        <f>IFERROR(INDEX(PP_Grid[#Data],$DE272,59),0)</f>
        <v/>
      </c>
      <c r="BK272">
        <f>IFERROR(INDEX(PP_Grid[#Data],$DE272,60),0)</f>
        <v/>
      </c>
      <c r="BL272">
        <f>IFERROR(INDEX(PP_Grid[#Data],$DE272,61),0)</f>
        <v/>
      </c>
      <c r="BM272">
        <f>IFERROR(INDEX(PP_Grid[#Data],$DE272,62),0)</f>
        <v/>
      </c>
      <c r="BN272">
        <f>IFERROR(INDEX(PP_Grid[#Data],$DE272,63),0)</f>
        <v/>
      </c>
      <c r="BO272">
        <f>IFERROR(INDEX(PP_Grid[#Data],$DE272,64),0)</f>
        <v/>
      </c>
      <c r="BP272">
        <f>IFERROR(INDEX(PP_Grid[#Data],$DE272,65),0)</f>
        <v/>
      </c>
      <c r="BQ272">
        <f>IFERROR(INDEX(PP_Grid[#Data],$DE272,66),0)</f>
        <v/>
      </c>
      <c r="BR272">
        <f>IFERROR(INDEX(PP_Grid[#Data],$DE272,67),0)</f>
        <v/>
      </c>
      <c r="BS272">
        <f>IFERROR(INDEX(PP_Grid[#Data],$DE272,68),0)</f>
        <v/>
      </c>
      <c r="BT272">
        <f>IFERROR(INDEX(PP_Grid[#Data],$DE272,69),0)</f>
        <v/>
      </c>
      <c r="BU272">
        <f>IFERROR(INDEX(PP_Grid[#Data],$DE272,70),0)</f>
        <v/>
      </c>
      <c r="BV272">
        <f>IFERROR(INDEX(PP_Grid[#Data],$DE272,71),0)</f>
        <v/>
      </c>
      <c r="BW272">
        <f>IFERROR(INDEX(PP_Grid[#Data],$DE272,72),0)</f>
        <v/>
      </c>
      <c r="BX272">
        <f>IFERROR(INDEX(PP_Grid[#Data],$DE272,73),0)</f>
        <v/>
      </c>
      <c r="BY272">
        <f>IFERROR(INDEX(PP_Grid[#Data],$DE272,74),0)</f>
        <v/>
      </c>
      <c r="BZ272">
        <f>IFERROR(INDEX(PP_Grid[#Data],$DE272,75),0)</f>
        <v/>
      </c>
      <c r="CA272">
        <f>IFERROR(INDEX(PP_Grid[#Data],$DE272,76),0)</f>
        <v/>
      </c>
      <c r="CB272">
        <f>IFERROR(INDEX(PP_Grid[#Data],$DE272,77),0)</f>
        <v/>
      </c>
      <c r="CC272">
        <f>IFERROR(INDEX(PP_Grid[#Data],$DE272,78),0)</f>
        <v/>
      </c>
      <c r="CD272">
        <f>IFERROR(INDEX(PP_Grid[#Data],$DE272,79),0)</f>
        <v/>
      </c>
      <c r="CE272">
        <f>IFERROR(INDEX(PP_Grid[#Data],$DE272,80),0)</f>
        <v/>
      </c>
      <c r="CF272">
        <f>IFERROR(INDEX(PP_Grid[#Data],$DE272,81),0)</f>
        <v/>
      </c>
      <c r="CG272">
        <f>IFERROR(INDEX(PP_Grid[#Data],$DE272,82),0)</f>
        <v/>
      </c>
      <c r="CH272">
        <f>IFERROR(INDEX(PP_Grid[#Data],$DE272,83),0)</f>
        <v/>
      </c>
      <c r="CI272">
        <f>IFERROR(INDEX(PP_Grid[#Data],$DE272,84),0)</f>
        <v/>
      </c>
      <c r="CJ272">
        <f>IFERROR(INDEX(PP_Grid[#Data],$DE272,85),0)</f>
        <v/>
      </c>
      <c r="CK272">
        <f>IFERROR(INDEX(PP_Grid[#Data],$DE272,86),0)</f>
        <v/>
      </c>
      <c r="CL272">
        <f>IFERROR(INDEX(PP_Grid[#Data],$DE272,87),0)</f>
        <v/>
      </c>
      <c r="CM272">
        <f>IFERROR(INDEX(PP_Grid[#Data],$DE272,88),0)</f>
        <v/>
      </c>
      <c r="CN272">
        <f>IFERROR(INDEX(PP_Grid[#Data],$DE272,89),0)</f>
        <v/>
      </c>
      <c r="CO272">
        <f>IFERROR(INDEX(PP_Grid[#Data],$DE272,90),0)</f>
        <v/>
      </c>
      <c r="CP272">
        <f>IFERROR(INDEX(PP_Grid[#Data],$DE272,91),0)</f>
        <v/>
      </c>
      <c r="CQ272">
        <f>IFERROR(INDEX(PP_Grid[#Data],$DE272,92),0)</f>
        <v/>
      </c>
      <c r="CR272">
        <f>IFERROR(INDEX(PP_Grid[#Data],$DE272,93),0)</f>
        <v/>
      </c>
      <c r="CS272">
        <f>IFERROR(INDEX(PP_Grid[#Data],$DE272,94),0)</f>
        <v/>
      </c>
      <c r="CT272">
        <f>IFERROR(INDEX(PP_Grid[#Data],$DE272,95),0)</f>
        <v/>
      </c>
      <c r="CU272">
        <f>IFERROR(INDEX(PP_Grid[#Data],$DE272,96),0)</f>
        <v/>
      </c>
      <c r="CV272">
        <f>IFERROR(INDEX(PP_Grid[#Data],$DE272,97),0)</f>
        <v/>
      </c>
      <c r="CW272">
        <f>IFERROR(INDEX(PP_Grid[#Data],$DE272,98),0)</f>
        <v/>
      </c>
      <c r="CX272">
        <f>IFERROR(INDEX(PP_Grid[#Data],$DE272,99),0)</f>
        <v/>
      </c>
      <c r="CY272">
        <f>IFERROR(INDEX(PP_Grid[#Data],$DE272,100),0)</f>
        <v/>
      </c>
      <c r="CZ272">
        <f>IFERROR(INDEX(PP_Grid[#Data],$DE272,101),0)</f>
        <v/>
      </c>
      <c r="DA272">
        <f>IFERROR(INDEX(PP_Grid[#Data],$DE272,102),0)</f>
        <v/>
      </c>
      <c r="DB272">
        <f>IFERROR(INDEX(PP_Grid[#Data],$DE272,103),0)</f>
        <v/>
      </c>
      <c r="DC272">
        <f>IFERROR(INDEX(PP_Grid[#Data],$DE272,104),0)</f>
        <v/>
      </c>
      <c r="DD272">
        <f>IFERROR(INDEX(PP_Grid[#Data],$DE272,105),0)</f>
        <v/>
      </c>
      <c r="DE272" s="7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SUMIFS(M_BOM[RM_Qty_Per_Batch],M_BOM[Intermediate],$B272,M_BOM[RM_Code],$A187)</f>
        <v/>
      </c>
      <c r="D273">
        <f>IFERROR(INDEX(E273:DD273,$F$1),"")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  <c r="DD273">
        <f>$C273*DD272</f>
        <v/>
      </c>
    </row>
    <row r="274">
      <c r="B274" t="inlineStr">
        <is>
          <t>TSP-1388</t>
        </is>
      </c>
      <c r="C274" t="inlineStr">
        <is>
          <t>No. of batches</t>
        </is>
      </c>
      <c r="D274">
        <f>IFERROR(INDEX(E274:DD274,$F$1),"")</f>
        <v/>
      </c>
      <c r="E274">
        <f>IFERROR(INDEX(PP_Grid[#Data],$DE274,2),0)</f>
        <v/>
      </c>
      <c r="F274">
        <f>IFERROR(INDEX(PP_Grid[#Data],$DE274,3),0)</f>
        <v/>
      </c>
      <c r="G274">
        <f>IFERROR(INDEX(PP_Grid[#Data],$DE274,4),0)</f>
        <v/>
      </c>
      <c r="H274">
        <f>IFERROR(INDEX(PP_Grid[#Data],$DE274,5),0)</f>
        <v/>
      </c>
      <c r="I274">
        <f>IFERROR(INDEX(PP_Grid[#Data],$DE274,6),0)</f>
        <v/>
      </c>
      <c r="J274">
        <f>IFERROR(INDEX(PP_Grid[#Data],$DE274,7),0)</f>
        <v/>
      </c>
      <c r="K274">
        <f>IFERROR(INDEX(PP_Grid[#Data],$DE274,8),0)</f>
        <v/>
      </c>
      <c r="L274">
        <f>IFERROR(INDEX(PP_Grid[#Data],$DE274,9),0)</f>
        <v/>
      </c>
      <c r="M274">
        <f>IFERROR(INDEX(PP_Grid[#Data],$DE274,10),0)</f>
        <v/>
      </c>
      <c r="N274">
        <f>IFERROR(INDEX(PP_Grid[#Data],$DE274,11),0)</f>
        <v/>
      </c>
      <c r="O274">
        <f>IFERROR(INDEX(PP_Grid[#Data],$DE274,12),0)</f>
        <v/>
      </c>
      <c r="P274">
        <f>IFERROR(INDEX(PP_Grid[#Data],$DE274,13),0)</f>
        <v/>
      </c>
      <c r="Q274">
        <f>IFERROR(INDEX(PP_Grid[#Data],$DE274,14),0)</f>
        <v/>
      </c>
      <c r="R274">
        <f>IFERROR(INDEX(PP_Grid[#Data],$DE274,15),0)</f>
        <v/>
      </c>
      <c r="S274">
        <f>IFERROR(INDEX(PP_Grid[#Data],$DE274,16),0)</f>
        <v/>
      </c>
      <c r="T274">
        <f>IFERROR(INDEX(PP_Grid[#Data],$DE274,17),0)</f>
        <v/>
      </c>
      <c r="U274">
        <f>IFERROR(INDEX(PP_Grid[#Data],$DE274,18),0)</f>
        <v/>
      </c>
      <c r="V274">
        <f>IFERROR(INDEX(PP_Grid[#Data],$DE274,19),0)</f>
        <v/>
      </c>
      <c r="W274">
        <f>IFERROR(INDEX(PP_Grid[#Data],$DE274,20),0)</f>
        <v/>
      </c>
      <c r="X274">
        <f>IFERROR(INDEX(PP_Grid[#Data],$DE274,21),0)</f>
        <v/>
      </c>
      <c r="Y274">
        <f>IFERROR(INDEX(PP_Grid[#Data],$DE274,22),0)</f>
        <v/>
      </c>
      <c r="Z274">
        <f>IFERROR(INDEX(PP_Grid[#Data],$DE274,23),0)</f>
        <v/>
      </c>
      <c r="AA274">
        <f>IFERROR(INDEX(PP_Grid[#Data],$DE274,24),0)</f>
        <v/>
      </c>
      <c r="AB274">
        <f>IFERROR(INDEX(PP_Grid[#Data],$DE274,25),0)</f>
        <v/>
      </c>
      <c r="AC274">
        <f>IFERROR(INDEX(PP_Grid[#Data],$DE274,26),0)</f>
        <v/>
      </c>
      <c r="AD274">
        <f>IFERROR(INDEX(PP_Grid[#Data],$DE274,27),0)</f>
        <v/>
      </c>
      <c r="AE274">
        <f>IFERROR(INDEX(PP_Grid[#Data],$DE274,28),0)</f>
        <v/>
      </c>
      <c r="AF274">
        <f>IFERROR(INDEX(PP_Grid[#Data],$DE274,29),0)</f>
        <v/>
      </c>
      <c r="AG274">
        <f>IFERROR(INDEX(PP_Grid[#Data],$DE274,30),0)</f>
        <v/>
      </c>
      <c r="AH274">
        <f>IFERROR(INDEX(PP_Grid[#Data],$DE274,31),0)</f>
        <v/>
      </c>
      <c r="AI274">
        <f>IFERROR(INDEX(PP_Grid[#Data],$DE274,32),0)</f>
        <v/>
      </c>
      <c r="AJ274">
        <f>IFERROR(INDEX(PP_Grid[#Data],$DE274,33),0)</f>
        <v/>
      </c>
      <c r="AK274">
        <f>IFERROR(INDEX(PP_Grid[#Data],$DE274,34),0)</f>
        <v/>
      </c>
      <c r="AL274">
        <f>IFERROR(INDEX(PP_Grid[#Data],$DE274,35),0)</f>
        <v/>
      </c>
      <c r="AM274">
        <f>IFERROR(INDEX(PP_Grid[#Data],$DE274,36),0)</f>
        <v/>
      </c>
      <c r="AN274">
        <f>IFERROR(INDEX(PP_Grid[#Data],$DE274,37),0)</f>
        <v/>
      </c>
      <c r="AO274">
        <f>IFERROR(INDEX(PP_Grid[#Data],$DE274,38),0)</f>
        <v/>
      </c>
      <c r="AP274">
        <f>IFERROR(INDEX(PP_Grid[#Data],$DE274,39),0)</f>
        <v/>
      </c>
      <c r="AQ274">
        <f>IFERROR(INDEX(PP_Grid[#Data],$DE274,40),0)</f>
        <v/>
      </c>
      <c r="AR274">
        <f>IFERROR(INDEX(PP_Grid[#Data],$DE274,41),0)</f>
        <v/>
      </c>
      <c r="AS274">
        <f>IFERROR(INDEX(PP_Grid[#Data],$DE274,42),0)</f>
        <v/>
      </c>
      <c r="AT274">
        <f>IFERROR(INDEX(PP_Grid[#Data],$DE274,43),0)</f>
        <v/>
      </c>
      <c r="AU274">
        <f>IFERROR(INDEX(PP_Grid[#Data],$DE274,44),0)</f>
        <v/>
      </c>
      <c r="AV274">
        <f>IFERROR(INDEX(PP_Grid[#Data],$DE274,45),0)</f>
        <v/>
      </c>
      <c r="AW274">
        <f>IFERROR(INDEX(PP_Grid[#Data],$DE274,46),0)</f>
        <v/>
      </c>
      <c r="AX274">
        <f>IFERROR(INDEX(PP_Grid[#Data],$DE274,47),0)</f>
        <v/>
      </c>
      <c r="AY274">
        <f>IFERROR(INDEX(PP_Grid[#Data],$DE274,48),0)</f>
        <v/>
      </c>
      <c r="AZ274">
        <f>IFERROR(INDEX(PP_Grid[#Data],$DE274,49),0)</f>
        <v/>
      </c>
      <c r="BA274">
        <f>IFERROR(INDEX(PP_Grid[#Data],$DE274,50),0)</f>
        <v/>
      </c>
      <c r="BB274">
        <f>IFERROR(INDEX(PP_Grid[#Data],$DE274,51),0)</f>
        <v/>
      </c>
      <c r="BC274">
        <f>IFERROR(INDEX(PP_Grid[#Data],$DE274,52),0)</f>
        <v/>
      </c>
      <c r="BD274">
        <f>IFERROR(INDEX(PP_Grid[#Data],$DE274,53),0)</f>
        <v/>
      </c>
      <c r="BE274">
        <f>IFERROR(INDEX(PP_Grid[#Data],$DE274,54),0)</f>
        <v/>
      </c>
      <c r="BF274">
        <f>IFERROR(INDEX(PP_Grid[#Data],$DE274,55),0)</f>
        <v/>
      </c>
      <c r="BG274">
        <f>IFERROR(INDEX(PP_Grid[#Data],$DE274,56),0)</f>
        <v/>
      </c>
      <c r="BH274">
        <f>IFERROR(INDEX(PP_Grid[#Data],$DE274,57),0)</f>
        <v/>
      </c>
      <c r="BI274">
        <f>IFERROR(INDEX(PP_Grid[#Data],$DE274,58),0)</f>
        <v/>
      </c>
      <c r="BJ274">
        <f>IFERROR(INDEX(PP_Grid[#Data],$DE274,59),0)</f>
        <v/>
      </c>
      <c r="BK274">
        <f>IFERROR(INDEX(PP_Grid[#Data],$DE274,60),0)</f>
        <v/>
      </c>
      <c r="BL274">
        <f>IFERROR(INDEX(PP_Grid[#Data],$DE274,61),0)</f>
        <v/>
      </c>
      <c r="BM274">
        <f>IFERROR(INDEX(PP_Grid[#Data],$DE274,62),0)</f>
        <v/>
      </c>
      <c r="BN274">
        <f>IFERROR(INDEX(PP_Grid[#Data],$DE274,63),0)</f>
        <v/>
      </c>
      <c r="BO274">
        <f>IFERROR(INDEX(PP_Grid[#Data],$DE274,64),0)</f>
        <v/>
      </c>
      <c r="BP274">
        <f>IFERROR(INDEX(PP_Grid[#Data],$DE274,65),0)</f>
        <v/>
      </c>
      <c r="BQ274">
        <f>IFERROR(INDEX(PP_Grid[#Data],$DE274,66),0)</f>
        <v/>
      </c>
      <c r="BR274">
        <f>IFERROR(INDEX(PP_Grid[#Data],$DE274,67),0)</f>
        <v/>
      </c>
      <c r="BS274">
        <f>IFERROR(INDEX(PP_Grid[#Data],$DE274,68),0)</f>
        <v/>
      </c>
      <c r="BT274">
        <f>IFERROR(INDEX(PP_Grid[#Data],$DE274,69),0)</f>
        <v/>
      </c>
      <c r="BU274">
        <f>IFERROR(INDEX(PP_Grid[#Data],$DE274,70),0)</f>
        <v/>
      </c>
      <c r="BV274">
        <f>IFERROR(INDEX(PP_Grid[#Data],$DE274,71),0)</f>
        <v/>
      </c>
      <c r="BW274">
        <f>IFERROR(INDEX(PP_Grid[#Data],$DE274,72),0)</f>
        <v/>
      </c>
      <c r="BX274">
        <f>IFERROR(INDEX(PP_Grid[#Data],$DE274,73),0)</f>
        <v/>
      </c>
      <c r="BY274">
        <f>IFERROR(INDEX(PP_Grid[#Data],$DE274,74),0)</f>
        <v/>
      </c>
      <c r="BZ274">
        <f>IFERROR(INDEX(PP_Grid[#Data],$DE274,75),0)</f>
        <v/>
      </c>
      <c r="CA274">
        <f>IFERROR(INDEX(PP_Grid[#Data],$DE274,76),0)</f>
        <v/>
      </c>
      <c r="CB274">
        <f>IFERROR(INDEX(PP_Grid[#Data],$DE274,77),0)</f>
        <v/>
      </c>
      <c r="CC274">
        <f>IFERROR(INDEX(PP_Grid[#Data],$DE274,78),0)</f>
        <v/>
      </c>
      <c r="CD274">
        <f>IFERROR(INDEX(PP_Grid[#Data],$DE274,79),0)</f>
        <v/>
      </c>
      <c r="CE274">
        <f>IFERROR(INDEX(PP_Grid[#Data],$DE274,80),0)</f>
        <v/>
      </c>
      <c r="CF274">
        <f>IFERROR(INDEX(PP_Grid[#Data],$DE274,81),0)</f>
        <v/>
      </c>
      <c r="CG274">
        <f>IFERROR(INDEX(PP_Grid[#Data],$DE274,82),0)</f>
        <v/>
      </c>
      <c r="CH274">
        <f>IFERROR(INDEX(PP_Grid[#Data],$DE274,83),0)</f>
        <v/>
      </c>
      <c r="CI274">
        <f>IFERROR(INDEX(PP_Grid[#Data],$DE274,84),0)</f>
        <v/>
      </c>
      <c r="CJ274">
        <f>IFERROR(INDEX(PP_Grid[#Data],$DE274,85),0)</f>
        <v/>
      </c>
      <c r="CK274">
        <f>IFERROR(INDEX(PP_Grid[#Data],$DE274,86),0)</f>
        <v/>
      </c>
      <c r="CL274">
        <f>IFERROR(INDEX(PP_Grid[#Data],$DE274,87),0)</f>
        <v/>
      </c>
      <c r="CM274">
        <f>IFERROR(INDEX(PP_Grid[#Data],$DE274,88),0)</f>
        <v/>
      </c>
      <c r="CN274">
        <f>IFERROR(INDEX(PP_Grid[#Data],$DE274,89),0)</f>
        <v/>
      </c>
      <c r="CO274">
        <f>IFERROR(INDEX(PP_Grid[#Data],$DE274,90),0)</f>
        <v/>
      </c>
      <c r="CP274">
        <f>IFERROR(INDEX(PP_Grid[#Data],$DE274,91),0)</f>
        <v/>
      </c>
      <c r="CQ274">
        <f>IFERROR(INDEX(PP_Grid[#Data],$DE274,92),0)</f>
        <v/>
      </c>
      <c r="CR274">
        <f>IFERROR(INDEX(PP_Grid[#Data],$DE274,93),0)</f>
        <v/>
      </c>
      <c r="CS274">
        <f>IFERROR(INDEX(PP_Grid[#Data],$DE274,94),0)</f>
        <v/>
      </c>
      <c r="CT274">
        <f>IFERROR(INDEX(PP_Grid[#Data],$DE274,95),0)</f>
        <v/>
      </c>
      <c r="CU274">
        <f>IFERROR(INDEX(PP_Grid[#Data],$DE274,96),0)</f>
        <v/>
      </c>
      <c r="CV274">
        <f>IFERROR(INDEX(PP_Grid[#Data],$DE274,97),0)</f>
        <v/>
      </c>
      <c r="CW274">
        <f>IFERROR(INDEX(PP_Grid[#Data],$DE274,98),0)</f>
        <v/>
      </c>
      <c r="CX274">
        <f>IFERROR(INDEX(PP_Grid[#Data],$DE274,99),0)</f>
        <v/>
      </c>
      <c r="CY274">
        <f>IFERROR(INDEX(PP_Grid[#Data],$DE274,100),0)</f>
        <v/>
      </c>
      <c r="CZ274">
        <f>IFERROR(INDEX(PP_Grid[#Data],$DE274,101),0)</f>
        <v/>
      </c>
      <c r="DA274">
        <f>IFERROR(INDEX(PP_Grid[#Data],$DE274,102),0)</f>
        <v/>
      </c>
      <c r="DB274">
        <f>IFERROR(INDEX(PP_Grid[#Data],$DE274,103),0)</f>
        <v/>
      </c>
      <c r="DC274">
        <f>IFERROR(INDEX(PP_Grid[#Data],$DE274,104),0)</f>
        <v/>
      </c>
      <c r="DD274">
        <f>IFERROR(INDEX(PP_Grid[#Data],$DE274,105),0)</f>
        <v/>
      </c>
      <c r="DE274" s="7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SUMIFS(M_BOM[RM_Qty_Per_Batch],M_BOM[Intermediate],$B274,M_BOM[RM_Code],$A187)</f>
        <v/>
      </c>
      <c r="D275">
        <f>IFERROR(INDEX(E275:DD275,$F$1),"")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  <c r="DD275">
        <f>$C275*DD274</f>
        <v/>
      </c>
    </row>
    <row r="276">
      <c r="B276" t="inlineStr">
        <is>
          <t>TSP-1444</t>
        </is>
      </c>
      <c r="C276" t="inlineStr">
        <is>
          <t>No. of batches</t>
        </is>
      </c>
      <c r="D276">
        <f>IFERROR(INDEX(E276:DD276,$F$1),"")</f>
        <v/>
      </c>
      <c r="E276">
        <f>IFERROR(INDEX(PP_Grid[#Data],$DE276,2),0)</f>
        <v/>
      </c>
      <c r="F276">
        <f>IFERROR(INDEX(PP_Grid[#Data],$DE276,3),0)</f>
        <v/>
      </c>
      <c r="G276">
        <f>IFERROR(INDEX(PP_Grid[#Data],$DE276,4),0)</f>
        <v/>
      </c>
      <c r="H276">
        <f>IFERROR(INDEX(PP_Grid[#Data],$DE276,5),0)</f>
        <v/>
      </c>
      <c r="I276">
        <f>IFERROR(INDEX(PP_Grid[#Data],$DE276,6),0)</f>
        <v/>
      </c>
      <c r="J276">
        <f>IFERROR(INDEX(PP_Grid[#Data],$DE276,7),0)</f>
        <v/>
      </c>
      <c r="K276">
        <f>IFERROR(INDEX(PP_Grid[#Data],$DE276,8),0)</f>
        <v/>
      </c>
      <c r="L276">
        <f>IFERROR(INDEX(PP_Grid[#Data],$DE276,9),0)</f>
        <v/>
      </c>
      <c r="M276">
        <f>IFERROR(INDEX(PP_Grid[#Data],$DE276,10),0)</f>
        <v/>
      </c>
      <c r="N276">
        <f>IFERROR(INDEX(PP_Grid[#Data],$DE276,11),0)</f>
        <v/>
      </c>
      <c r="O276">
        <f>IFERROR(INDEX(PP_Grid[#Data],$DE276,12),0)</f>
        <v/>
      </c>
      <c r="P276">
        <f>IFERROR(INDEX(PP_Grid[#Data],$DE276,13),0)</f>
        <v/>
      </c>
      <c r="Q276">
        <f>IFERROR(INDEX(PP_Grid[#Data],$DE276,14),0)</f>
        <v/>
      </c>
      <c r="R276">
        <f>IFERROR(INDEX(PP_Grid[#Data],$DE276,15),0)</f>
        <v/>
      </c>
      <c r="S276">
        <f>IFERROR(INDEX(PP_Grid[#Data],$DE276,16),0)</f>
        <v/>
      </c>
      <c r="T276">
        <f>IFERROR(INDEX(PP_Grid[#Data],$DE276,17),0)</f>
        <v/>
      </c>
      <c r="U276">
        <f>IFERROR(INDEX(PP_Grid[#Data],$DE276,18),0)</f>
        <v/>
      </c>
      <c r="V276">
        <f>IFERROR(INDEX(PP_Grid[#Data],$DE276,19),0)</f>
        <v/>
      </c>
      <c r="W276">
        <f>IFERROR(INDEX(PP_Grid[#Data],$DE276,20),0)</f>
        <v/>
      </c>
      <c r="X276">
        <f>IFERROR(INDEX(PP_Grid[#Data],$DE276,21),0)</f>
        <v/>
      </c>
      <c r="Y276">
        <f>IFERROR(INDEX(PP_Grid[#Data],$DE276,22),0)</f>
        <v/>
      </c>
      <c r="Z276">
        <f>IFERROR(INDEX(PP_Grid[#Data],$DE276,23),0)</f>
        <v/>
      </c>
      <c r="AA276">
        <f>IFERROR(INDEX(PP_Grid[#Data],$DE276,24),0)</f>
        <v/>
      </c>
      <c r="AB276">
        <f>IFERROR(INDEX(PP_Grid[#Data],$DE276,25),0)</f>
        <v/>
      </c>
      <c r="AC276">
        <f>IFERROR(INDEX(PP_Grid[#Data],$DE276,26),0)</f>
        <v/>
      </c>
      <c r="AD276">
        <f>IFERROR(INDEX(PP_Grid[#Data],$DE276,27),0)</f>
        <v/>
      </c>
      <c r="AE276">
        <f>IFERROR(INDEX(PP_Grid[#Data],$DE276,28),0)</f>
        <v/>
      </c>
      <c r="AF276">
        <f>IFERROR(INDEX(PP_Grid[#Data],$DE276,29),0)</f>
        <v/>
      </c>
      <c r="AG276">
        <f>IFERROR(INDEX(PP_Grid[#Data],$DE276,30),0)</f>
        <v/>
      </c>
      <c r="AH276">
        <f>IFERROR(INDEX(PP_Grid[#Data],$DE276,31),0)</f>
        <v/>
      </c>
      <c r="AI276">
        <f>IFERROR(INDEX(PP_Grid[#Data],$DE276,32),0)</f>
        <v/>
      </c>
      <c r="AJ276">
        <f>IFERROR(INDEX(PP_Grid[#Data],$DE276,33),0)</f>
        <v/>
      </c>
      <c r="AK276">
        <f>IFERROR(INDEX(PP_Grid[#Data],$DE276,34),0)</f>
        <v/>
      </c>
      <c r="AL276">
        <f>IFERROR(INDEX(PP_Grid[#Data],$DE276,35),0)</f>
        <v/>
      </c>
      <c r="AM276">
        <f>IFERROR(INDEX(PP_Grid[#Data],$DE276,36),0)</f>
        <v/>
      </c>
      <c r="AN276">
        <f>IFERROR(INDEX(PP_Grid[#Data],$DE276,37),0)</f>
        <v/>
      </c>
      <c r="AO276">
        <f>IFERROR(INDEX(PP_Grid[#Data],$DE276,38),0)</f>
        <v/>
      </c>
      <c r="AP276">
        <f>IFERROR(INDEX(PP_Grid[#Data],$DE276,39),0)</f>
        <v/>
      </c>
      <c r="AQ276">
        <f>IFERROR(INDEX(PP_Grid[#Data],$DE276,40),0)</f>
        <v/>
      </c>
      <c r="AR276">
        <f>IFERROR(INDEX(PP_Grid[#Data],$DE276,41),0)</f>
        <v/>
      </c>
      <c r="AS276">
        <f>IFERROR(INDEX(PP_Grid[#Data],$DE276,42),0)</f>
        <v/>
      </c>
      <c r="AT276">
        <f>IFERROR(INDEX(PP_Grid[#Data],$DE276,43),0)</f>
        <v/>
      </c>
      <c r="AU276">
        <f>IFERROR(INDEX(PP_Grid[#Data],$DE276,44),0)</f>
        <v/>
      </c>
      <c r="AV276">
        <f>IFERROR(INDEX(PP_Grid[#Data],$DE276,45),0)</f>
        <v/>
      </c>
      <c r="AW276">
        <f>IFERROR(INDEX(PP_Grid[#Data],$DE276,46),0)</f>
        <v/>
      </c>
      <c r="AX276">
        <f>IFERROR(INDEX(PP_Grid[#Data],$DE276,47),0)</f>
        <v/>
      </c>
      <c r="AY276">
        <f>IFERROR(INDEX(PP_Grid[#Data],$DE276,48),0)</f>
        <v/>
      </c>
      <c r="AZ276">
        <f>IFERROR(INDEX(PP_Grid[#Data],$DE276,49),0)</f>
        <v/>
      </c>
      <c r="BA276">
        <f>IFERROR(INDEX(PP_Grid[#Data],$DE276,50),0)</f>
        <v/>
      </c>
      <c r="BB276">
        <f>IFERROR(INDEX(PP_Grid[#Data],$DE276,51),0)</f>
        <v/>
      </c>
      <c r="BC276">
        <f>IFERROR(INDEX(PP_Grid[#Data],$DE276,52),0)</f>
        <v/>
      </c>
      <c r="BD276">
        <f>IFERROR(INDEX(PP_Grid[#Data],$DE276,53),0)</f>
        <v/>
      </c>
      <c r="BE276">
        <f>IFERROR(INDEX(PP_Grid[#Data],$DE276,54),0)</f>
        <v/>
      </c>
      <c r="BF276">
        <f>IFERROR(INDEX(PP_Grid[#Data],$DE276,55),0)</f>
        <v/>
      </c>
      <c r="BG276">
        <f>IFERROR(INDEX(PP_Grid[#Data],$DE276,56),0)</f>
        <v/>
      </c>
      <c r="BH276">
        <f>IFERROR(INDEX(PP_Grid[#Data],$DE276,57),0)</f>
        <v/>
      </c>
      <c r="BI276">
        <f>IFERROR(INDEX(PP_Grid[#Data],$DE276,58),0)</f>
        <v/>
      </c>
      <c r="BJ276">
        <f>IFERROR(INDEX(PP_Grid[#Data],$DE276,59),0)</f>
        <v/>
      </c>
      <c r="BK276">
        <f>IFERROR(INDEX(PP_Grid[#Data],$DE276,60),0)</f>
        <v/>
      </c>
      <c r="BL276">
        <f>IFERROR(INDEX(PP_Grid[#Data],$DE276,61),0)</f>
        <v/>
      </c>
      <c r="BM276">
        <f>IFERROR(INDEX(PP_Grid[#Data],$DE276,62),0)</f>
        <v/>
      </c>
      <c r="BN276">
        <f>IFERROR(INDEX(PP_Grid[#Data],$DE276,63),0)</f>
        <v/>
      </c>
      <c r="BO276">
        <f>IFERROR(INDEX(PP_Grid[#Data],$DE276,64),0)</f>
        <v/>
      </c>
      <c r="BP276">
        <f>IFERROR(INDEX(PP_Grid[#Data],$DE276,65),0)</f>
        <v/>
      </c>
      <c r="BQ276">
        <f>IFERROR(INDEX(PP_Grid[#Data],$DE276,66),0)</f>
        <v/>
      </c>
      <c r="BR276">
        <f>IFERROR(INDEX(PP_Grid[#Data],$DE276,67),0)</f>
        <v/>
      </c>
      <c r="BS276">
        <f>IFERROR(INDEX(PP_Grid[#Data],$DE276,68),0)</f>
        <v/>
      </c>
      <c r="BT276">
        <f>IFERROR(INDEX(PP_Grid[#Data],$DE276,69),0)</f>
        <v/>
      </c>
      <c r="BU276">
        <f>IFERROR(INDEX(PP_Grid[#Data],$DE276,70),0)</f>
        <v/>
      </c>
      <c r="BV276">
        <f>IFERROR(INDEX(PP_Grid[#Data],$DE276,71),0)</f>
        <v/>
      </c>
      <c r="BW276">
        <f>IFERROR(INDEX(PP_Grid[#Data],$DE276,72),0)</f>
        <v/>
      </c>
      <c r="BX276">
        <f>IFERROR(INDEX(PP_Grid[#Data],$DE276,73),0)</f>
        <v/>
      </c>
      <c r="BY276">
        <f>IFERROR(INDEX(PP_Grid[#Data],$DE276,74),0)</f>
        <v/>
      </c>
      <c r="BZ276">
        <f>IFERROR(INDEX(PP_Grid[#Data],$DE276,75),0)</f>
        <v/>
      </c>
      <c r="CA276">
        <f>IFERROR(INDEX(PP_Grid[#Data],$DE276,76),0)</f>
        <v/>
      </c>
      <c r="CB276">
        <f>IFERROR(INDEX(PP_Grid[#Data],$DE276,77),0)</f>
        <v/>
      </c>
      <c r="CC276">
        <f>IFERROR(INDEX(PP_Grid[#Data],$DE276,78),0)</f>
        <v/>
      </c>
      <c r="CD276">
        <f>IFERROR(INDEX(PP_Grid[#Data],$DE276,79),0)</f>
        <v/>
      </c>
      <c r="CE276">
        <f>IFERROR(INDEX(PP_Grid[#Data],$DE276,80),0)</f>
        <v/>
      </c>
      <c r="CF276">
        <f>IFERROR(INDEX(PP_Grid[#Data],$DE276,81),0)</f>
        <v/>
      </c>
      <c r="CG276">
        <f>IFERROR(INDEX(PP_Grid[#Data],$DE276,82),0)</f>
        <v/>
      </c>
      <c r="CH276">
        <f>IFERROR(INDEX(PP_Grid[#Data],$DE276,83),0)</f>
        <v/>
      </c>
      <c r="CI276">
        <f>IFERROR(INDEX(PP_Grid[#Data],$DE276,84),0)</f>
        <v/>
      </c>
      <c r="CJ276">
        <f>IFERROR(INDEX(PP_Grid[#Data],$DE276,85),0)</f>
        <v/>
      </c>
      <c r="CK276">
        <f>IFERROR(INDEX(PP_Grid[#Data],$DE276,86),0)</f>
        <v/>
      </c>
      <c r="CL276">
        <f>IFERROR(INDEX(PP_Grid[#Data],$DE276,87),0)</f>
        <v/>
      </c>
      <c r="CM276">
        <f>IFERROR(INDEX(PP_Grid[#Data],$DE276,88),0)</f>
        <v/>
      </c>
      <c r="CN276">
        <f>IFERROR(INDEX(PP_Grid[#Data],$DE276,89),0)</f>
        <v/>
      </c>
      <c r="CO276">
        <f>IFERROR(INDEX(PP_Grid[#Data],$DE276,90),0)</f>
        <v/>
      </c>
      <c r="CP276">
        <f>IFERROR(INDEX(PP_Grid[#Data],$DE276,91),0)</f>
        <v/>
      </c>
      <c r="CQ276">
        <f>IFERROR(INDEX(PP_Grid[#Data],$DE276,92),0)</f>
        <v/>
      </c>
      <c r="CR276">
        <f>IFERROR(INDEX(PP_Grid[#Data],$DE276,93),0)</f>
        <v/>
      </c>
      <c r="CS276">
        <f>IFERROR(INDEX(PP_Grid[#Data],$DE276,94),0)</f>
        <v/>
      </c>
      <c r="CT276">
        <f>IFERROR(INDEX(PP_Grid[#Data],$DE276,95),0)</f>
        <v/>
      </c>
      <c r="CU276">
        <f>IFERROR(INDEX(PP_Grid[#Data],$DE276,96),0)</f>
        <v/>
      </c>
      <c r="CV276">
        <f>IFERROR(INDEX(PP_Grid[#Data],$DE276,97),0)</f>
        <v/>
      </c>
      <c r="CW276">
        <f>IFERROR(INDEX(PP_Grid[#Data],$DE276,98),0)</f>
        <v/>
      </c>
      <c r="CX276">
        <f>IFERROR(INDEX(PP_Grid[#Data],$DE276,99),0)</f>
        <v/>
      </c>
      <c r="CY276">
        <f>IFERROR(INDEX(PP_Grid[#Data],$DE276,100),0)</f>
        <v/>
      </c>
      <c r="CZ276">
        <f>IFERROR(INDEX(PP_Grid[#Data],$DE276,101),0)</f>
        <v/>
      </c>
      <c r="DA276">
        <f>IFERROR(INDEX(PP_Grid[#Data],$DE276,102),0)</f>
        <v/>
      </c>
      <c r="DB276">
        <f>IFERROR(INDEX(PP_Grid[#Data],$DE276,103),0)</f>
        <v/>
      </c>
      <c r="DC276">
        <f>IFERROR(INDEX(PP_Grid[#Data],$DE276,104),0)</f>
        <v/>
      </c>
      <c r="DD276">
        <f>IFERROR(INDEX(PP_Grid[#Data],$DE276,105),0)</f>
        <v/>
      </c>
      <c r="DE276" s="7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SUMIFS(M_BOM[RM_Qty_Per_Batch],M_BOM[Intermediate],$B276,M_BOM[RM_Code],$A187)</f>
        <v/>
      </c>
      <c r="D277">
        <f>IFERROR(INDEX(E277:DD277,$F$1),"")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  <c r="DD277">
        <f>$C277*DD276</f>
        <v/>
      </c>
    </row>
    <row r="278">
      <c r="B278" t="inlineStr">
        <is>
          <t>TSP-1448</t>
        </is>
      </c>
      <c r="C278" t="inlineStr">
        <is>
          <t>No. of batches</t>
        </is>
      </c>
      <c r="D278">
        <f>IFERROR(INDEX(E278:DD278,$F$1),"")</f>
        <v/>
      </c>
      <c r="E278">
        <f>IFERROR(INDEX(PP_Grid[#Data],$DE278,2),0)</f>
        <v/>
      </c>
      <c r="F278">
        <f>IFERROR(INDEX(PP_Grid[#Data],$DE278,3),0)</f>
        <v/>
      </c>
      <c r="G278">
        <f>IFERROR(INDEX(PP_Grid[#Data],$DE278,4),0)</f>
        <v/>
      </c>
      <c r="H278">
        <f>IFERROR(INDEX(PP_Grid[#Data],$DE278,5),0)</f>
        <v/>
      </c>
      <c r="I278">
        <f>IFERROR(INDEX(PP_Grid[#Data],$DE278,6),0)</f>
        <v/>
      </c>
      <c r="J278">
        <f>IFERROR(INDEX(PP_Grid[#Data],$DE278,7),0)</f>
        <v/>
      </c>
      <c r="K278">
        <f>IFERROR(INDEX(PP_Grid[#Data],$DE278,8),0)</f>
        <v/>
      </c>
      <c r="L278">
        <f>IFERROR(INDEX(PP_Grid[#Data],$DE278,9),0)</f>
        <v/>
      </c>
      <c r="M278">
        <f>IFERROR(INDEX(PP_Grid[#Data],$DE278,10),0)</f>
        <v/>
      </c>
      <c r="N278">
        <f>IFERROR(INDEX(PP_Grid[#Data],$DE278,11),0)</f>
        <v/>
      </c>
      <c r="O278">
        <f>IFERROR(INDEX(PP_Grid[#Data],$DE278,12),0)</f>
        <v/>
      </c>
      <c r="P278">
        <f>IFERROR(INDEX(PP_Grid[#Data],$DE278,13),0)</f>
        <v/>
      </c>
      <c r="Q278">
        <f>IFERROR(INDEX(PP_Grid[#Data],$DE278,14),0)</f>
        <v/>
      </c>
      <c r="R278">
        <f>IFERROR(INDEX(PP_Grid[#Data],$DE278,15),0)</f>
        <v/>
      </c>
      <c r="S278">
        <f>IFERROR(INDEX(PP_Grid[#Data],$DE278,16),0)</f>
        <v/>
      </c>
      <c r="T278">
        <f>IFERROR(INDEX(PP_Grid[#Data],$DE278,17),0)</f>
        <v/>
      </c>
      <c r="U278">
        <f>IFERROR(INDEX(PP_Grid[#Data],$DE278,18),0)</f>
        <v/>
      </c>
      <c r="V278">
        <f>IFERROR(INDEX(PP_Grid[#Data],$DE278,19),0)</f>
        <v/>
      </c>
      <c r="W278">
        <f>IFERROR(INDEX(PP_Grid[#Data],$DE278,20),0)</f>
        <v/>
      </c>
      <c r="X278">
        <f>IFERROR(INDEX(PP_Grid[#Data],$DE278,21),0)</f>
        <v/>
      </c>
      <c r="Y278">
        <f>IFERROR(INDEX(PP_Grid[#Data],$DE278,22),0)</f>
        <v/>
      </c>
      <c r="Z278">
        <f>IFERROR(INDEX(PP_Grid[#Data],$DE278,23),0)</f>
        <v/>
      </c>
      <c r="AA278">
        <f>IFERROR(INDEX(PP_Grid[#Data],$DE278,24),0)</f>
        <v/>
      </c>
      <c r="AB278">
        <f>IFERROR(INDEX(PP_Grid[#Data],$DE278,25),0)</f>
        <v/>
      </c>
      <c r="AC278">
        <f>IFERROR(INDEX(PP_Grid[#Data],$DE278,26),0)</f>
        <v/>
      </c>
      <c r="AD278">
        <f>IFERROR(INDEX(PP_Grid[#Data],$DE278,27),0)</f>
        <v/>
      </c>
      <c r="AE278">
        <f>IFERROR(INDEX(PP_Grid[#Data],$DE278,28),0)</f>
        <v/>
      </c>
      <c r="AF278">
        <f>IFERROR(INDEX(PP_Grid[#Data],$DE278,29),0)</f>
        <v/>
      </c>
      <c r="AG278">
        <f>IFERROR(INDEX(PP_Grid[#Data],$DE278,30),0)</f>
        <v/>
      </c>
      <c r="AH278">
        <f>IFERROR(INDEX(PP_Grid[#Data],$DE278,31),0)</f>
        <v/>
      </c>
      <c r="AI278">
        <f>IFERROR(INDEX(PP_Grid[#Data],$DE278,32),0)</f>
        <v/>
      </c>
      <c r="AJ278">
        <f>IFERROR(INDEX(PP_Grid[#Data],$DE278,33),0)</f>
        <v/>
      </c>
      <c r="AK278">
        <f>IFERROR(INDEX(PP_Grid[#Data],$DE278,34),0)</f>
        <v/>
      </c>
      <c r="AL278">
        <f>IFERROR(INDEX(PP_Grid[#Data],$DE278,35),0)</f>
        <v/>
      </c>
      <c r="AM278">
        <f>IFERROR(INDEX(PP_Grid[#Data],$DE278,36),0)</f>
        <v/>
      </c>
      <c r="AN278">
        <f>IFERROR(INDEX(PP_Grid[#Data],$DE278,37),0)</f>
        <v/>
      </c>
      <c r="AO278">
        <f>IFERROR(INDEX(PP_Grid[#Data],$DE278,38),0)</f>
        <v/>
      </c>
      <c r="AP278">
        <f>IFERROR(INDEX(PP_Grid[#Data],$DE278,39),0)</f>
        <v/>
      </c>
      <c r="AQ278">
        <f>IFERROR(INDEX(PP_Grid[#Data],$DE278,40),0)</f>
        <v/>
      </c>
      <c r="AR278">
        <f>IFERROR(INDEX(PP_Grid[#Data],$DE278,41),0)</f>
        <v/>
      </c>
      <c r="AS278">
        <f>IFERROR(INDEX(PP_Grid[#Data],$DE278,42),0)</f>
        <v/>
      </c>
      <c r="AT278">
        <f>IFERROR(INDEX(PP_Grid[#Data],$DE278,43),0)</f>
        <v/>
      </c>
      <c r="AU278">
        <f>IFERROR(INDEX(PP_Grid[#Data],$DE278,44),0)</f>
        <v/>
      </c>
      <c r="AV278">
        <f>IFERROR(INDEX(PP_Grid[#Data],$DE278,45),0)</f>
        <v/>
      </c>
      <c r="AW278">
        <f>IFERROR(INDEX(PP_Grid[#Data],$DE278,46),0)</f>
        <v/>
      </c>
      <c r="AX278">
        <f>IFERROR(INDEX(PP_Grid[#Data],$DE278,47),0)</f>
        <v/>
      </c>
      <c r="AY278">
        <f>IFERROR(INDEX(PP_Grid[#Data],$DE278,48),0)</f>
        <v/>
      </c>
      <c r="AZ278">
        <f>IFERROR(INDEX(PP_Grid[#Data],$DE278,49),0)</f>
        <v/>
      </c>
      <c r="BA278">
        <f>IFERROR(INDEX(PP_Grid[#Data],$DE278,50),0)</f>
        <v/>
      </c>
      <c r="BB278">
        <f>IFERROR(INDEX(PP_Grid[#Data],$DE278,51),0)</f>
        <v/>
      </c>
      <c r="BC278">
        <f>IFERROR(INDEX(PP_Grid[#Data],$DE278,52),0)</f>
        <v/>
      </c>
      <c r="BD278">
        <f>IFERROR(INDEX(PP_Grid[#Data],$DE278,53),0)</f>
        <v/>
      </c>
      <c r="BE278">
        <f>IFERROR(INDEX(PP_Grid[#Data],$DE278,54),0)</f>
        <v/>
      </c>
      <c r="BF278">
        <f>IFERROR(INDEX(PP_Grid[#Data],$DE278,55),0)</f>
        <v/>
      </c>
      <c r="BG278">
        <f>IFERROR(INDEX(PP_Grid[#Data],$DE278,56),0)</f>
        <v/>
      </c>
      <c r="BH278">
        <f>IFERROR(INDEX(PP_Grid[#Data],$DE278,57),0)</f>
        <v/>
      </c>
      <c r="BI278">
        <f>IFERROR(INDEX(PP_Grid[#Data],$DE278,58),0)</f>
        <v/>
      </c>
      <c r="BJ278">
        <f>IFERROR(INDEX(PP_Grid[#Data],$DE278,59),0)</f>
        <v/>
      </c>
      <c r="BK278">
        <f>IFERROR(INDEX(PP_Grid[#Data],$DE278,60),0)</f>
        <v/>
      </c>
      <c r="BL278">
        <f>IFERROR(INDEX(PP_Grid[#Data],$DE278,61),0)</f>
        <v/>
      </c>
      <c r="BM278">
        <f>IFERROR(INDEX(PP_Grid[#Data],$DE278,62),0)</f>
        <v/>
      </c>
      <c r="BN278">
        <f>IFERROR(INDEX(PP_Grid[#Data],$DE278,63),0)</f>
        <v/>
      </c>
      <c r="BO278">
        <f>IFERROR(INDEX(PP_Grid[#Data],$DE278,64),0)</f>
        <v/>
      </c>
      <c r="BP278">
        <f>IFERROR(INDEX(PP_Grid[#Data],$DE278,65),0)</f>
        <v/>
      </c>
      <c r="BQ278">
        <f>IFERROR(INDEX(PP_Grid[#Data],$DE278,66),0)</f>
        <v/>
      </c>
      <c r="BR278">
        <f>IFERROR(INDEX(PP_Grid[#Data],$DE278,67),0)</f>
        <v/>
      </c>
      <c r="BS278">
        <f>IFERROR(INDEX(PP_Grid[#Data],$DE278,68),0)</f>
        <v/>
      </c>
      <c r="BT278">
        <f>IFERROR(INDEX(PP_Grid[#Data],$DE278,69),0)</f>
        <v/>
      </c>
      <c r="BU278">
        <f>IFERROR(INDEX(PP_Grid[#Data],$DE278,70),0)</f>
        <v/>
      </c>
      <c r="BV278">
        <f>IFERROR(INDEX(PP_Grid[#Data],$DE278,71),0)</f>
        <v/>
      </c>
      <c r="BW278">
        <f>IFERROR(INDEX(PP_Grid[#Data],$DE278,72),0)</f>
        <v/>
      </c>
      <c r="BX278">
        <f>IFERROR(INDEX(PP_Grid[#Data],$DE278,73),0)</f>
        <v/>
      </c>
      <c r="BY278">
        <f>IFERROR(INDEX(PP_Grid[#Data],$DE278,74),0)</f>
        <v/>
      </c>
      <c r="BZ278">
        <f>IFERROR(INDEX(PP_Grid[#Data],$DE278,75),0)</f>
        <v/>
      </c>
      <c r="CA278">
        <f>IFERROR(INDEX(PP_Grid[#Data],$DE278,76),0)</f>
        <v/>
      </c>
      <c r="CB278">
        <f>IFERROR(INDEX(PP_Grid[#Data],$DE278,77),0)</f>
        <v/>
      </c>
      <c r="CC278">
        <f>IFERROR(INDEX(PP_Grid[#Data],$DE278,78),0)</f>
        <v/>
      </c>
      <c r="CD278">
        <f>IFERROR(INDEX(PP_Grid[#Data],$DE278,79),0)</f>
        <v/>
      </c>
      <c r="CE278">
        <f>IFERROR(INDEX(PP_Grid[#Data],$DE278,80),0)</f>
        <v/>
      </c>
      <c r="CF278">
        <f>IFERROR(INDEX(PP_Grid[#Data],$DE278,81),0)</f>
        <v/>
      </c>
      <c r="CG278">
        <f>IFERROR(INDEX(PP_Grid[#Data],$DE278,82),0)</f>
        <v/>
      </c>
      <c r="CH278">
        <f>IFERROR(INDEX(PP_Grid[#Data],$DE278,83),0)</f>
        <v/>
      </c>
      <c r="CI278">
        <f>IFERROR(INDEX(PP_Grid[#Data],$DE278,84),0)</f>
        <v/>
      </c>
      <c r="CJ278">
        <f>IFERROR(INDEX(PP_Grid[#Data],$DE278,85),0)</f>
        <v/>
      </c>
      <c r="CK278">
        <f>IFERROR(INDEX(PP_Grid[#Data],$DE278,86),0)</f>
        <v/>
      </c>
      <c r="CL278">
        <f>IFERROR(INDEX(PP_Grid[#Data],$DE278,87),0)</f>
        <v/>
      </c>
      <c r="CM278">
        <f>IFERROR(INDEX(PP_Grid[#Data],$DE278,88),0)</f>
        <v/>
      </c>
      <c r="CN278">
        <f>IFERROR(INDEX(PP_Grid[#Data],$DE278,89),0)</f>
        <v/>
      </c>
      <c r="CO278">
        <f>IFERROR(INDEX(PP_Grid[#Data],$DE278,90),0)</f>
        <v/>
      </c>
      <c r="CP278">
        <f>IFERROR(INDEX(PP_Grid[#Data],$DE278,91),0)</f>
        <v/>
      </c>
      <c r="CQ278">
        <f>IFERROR(INDEX(PP_Grid[#Data],$DE278,92),0)</f>
        <v/>
      </c>
      <c r="CR278">
        <f>IFERROR(INDEX(PP_Grid[#Data],$DE278,93),0)</f>
        <v/>
      </c>
      <c r="CS278">
        <f>IFERROR(INDEX(PP_Grid[#Data],$DE278,94),0)</f>
        <v/>
      </c>
      <c r="CT278">
        <f>IFERROR(INDEX(PP_Grid[#Data],$DE278,95),0)</f>
        <v/>
      </c>
      <c r="CU278">
        <f>IFERROR(INDEX(PP_Grid[#Data],$DE278,96),0)</f>
        <v/>
      </c>
      <c r="CV278">
        <f>IFERROR(INDEX(PP_Grid[#Data],$DE278,97),0)</f>
        <v/>
      </c>
      <c r="CW278">
        <f>IFERROR(INDEX(PP_Grid[#Data],$DE278,98),0)</f>
        <v/>
      </c>
      <c r="CX278">
        <f>IFERROR(INDEX(PP_Grid[#Data],$DE278,99),0)</f>
        <v/>
      </c>
      <c r="CY278">
        <f>IFERROR(INDEX(PP_Grid[#Data],$DE278,100),0)</f>
        <v/>
      </c>
      <c r="CZ278">
        <f>IFERROR(INDEX(PP_Grid[#Data],$DE278,101),0)</f>
        <v/>
      </c>
      <c r="DA278">
        <f>IFERROR(INDEX(PP_Grid[#Data],$DE278,102),0)</f>
        <v/>
      </c>
      <c r="DB278">
        <f>IFERROR(INDEX(PP_Grid[#Data],$DE278,103),0)</f>
        <v/>
      </c>
      <c r="DC278">
        <f>IFERROR(INDEX(PP_Grid[#Data],$DE278,104),0)</f>
        <v/>
      </c>
      <c r="DD278">
        <f>IFERROR(INDEX(PP_Grid[#Data],$DE278,105),0)</f>
        <v/>
      </c>
      <c r="DE278" s="7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SUMIFS(M_BOM[RM_Qty_Per_Batch],M_BOM[Intermediate],$B278,M_BOM[RM_Code],$A187)</f>
        <v/>
      </c>
      <c r="D279">
        <f>IFERROR(INDEX(E279:DD279,$F$1),"")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  <c r="DD279">
        <f>$C279*DD278</f>
        <v/>
      </c>
    </row>
    <row r="280">
      <c r="B280" t="inlineStr">
        <is>
          <t>TSP-1445</t>
        </is>
      </c>
      <c r="C280" t="inlineStr">
        <is>
          <t>No. of batches</t>
        </is>
      </c>
      <c r="D280">
        <f>IFERROR(INDEX(E280:DD280,$F$1),"")</f>
        <v/>
      </c>
      <c r="E280">
        <f>IFERROR(INDEX(PP_Grid[#Data],$DE280,2),0)</f>
        <v/>
      </c>
      <c r="F280">
        <f>IFERROR(INDEX(PP_Grid[#Data],$DE280,3),0)</f>
        <v/>
      </c>
      <c r="G280">
        <f>IFERROR(INDEX(PP_Grid[#Data],$DE280,4),0)</f>
        <v/>
      </c>
      <c r="H280">
        <f>IFERROR(INDEX(PP_Grid[#Data],$DE280,5),0)</f>
        <v/>
      </c>
      <c r="I280">
        <f>IFERROR(INDEX(PP_Grid[#Data],$DE280,6),0)</f>
        <v/>
      </c>
      <c r="J280">
        <f>IFERROR(INDEX(PP_Grid[#Data],$DE280,7),0)</f>
        <v/>
      </c>
      <c r="K280">
        <f>IFERROR(INDEX(PP_Grid[#Data],$DE280,8),0)</f>
        <v/>
      </c>
      <c r="L280">
        <f>IFERROR(INDEX(PP_Grid[#Data],$DE280,9),0)</f>
        <v/>
      </c>
      <c r="M280">
        <f>IFERROR(INDEX(PP_Grid[#Data],$DE280,10),0)</f>
        <v/>
      </c>
      <c r="N280">
        <f>IFERROR(INDEX(PP_Grid[#Data],$DE280,11),0)</f>
        <v/>
      </c>
      <c r="O280">
        <f>IFERROR(INDEX(PP_Grid[#Data],$DE280,12),0)</f>
        <v/>
      </c>
      <c r="P280">
        <f>IFERROR(INDEX(PP_Grid[#Data],$DE280,13),0)</f>
        <v/>
      </c>
      <c r="Q280">
        <f>IFERROR(INDEX(PP_Grid[#Data],$DE280,14),0)</f>
        <v/>
      </c>
      <c r="R280">
        <f>IFERROR(INDEX(PP_Grid[#Data],$DE280,15),0)</f>
        <v/>
      </c>
      <c r="S280">
        <f>IFERROR(INDEX(PP_Grid[#Data],$DE280,16),0)</f>
        <v/>
      </c>
      <c r="T280">
        <f>IFERROR(INDEX(PP_Grid[#Data],$DE280,17),0)</f>
        <v/>
      </c>
      <c r="U280">
        <f>IFERROR(INDEX(PP_Grid[#Data],$DE280,18),0)</f>
        <v/>
      </c>
      <c r="V280">
        <f>IFERROR(INDEX(PP_Grid[#Data],$DE280,19),0)</f>
        <v/>
      </c>
      <c r="W280">
        <f>IFERROR(INDEX(PP_Grid[#Data],$DE280,20),0)</f>
        <v/>
      </c>
      <c r="X280">
        <f>IFERROR(INDEX(PP_Grid[#Data],$DE280,21),0)</f>
        <v/>
      </c>
      <c r="Y280">
        <f>IFERROR(INDEX(PP_Grid[#Data],$DE280,22),0)</f>
        <v/>
      </c>
      <c r="Z280">
        <f>IFERROR(INDEX(PP_Grid[#Data],$DE280,23),0)</f>
        <v/>
      </c>
      <c r="AA280">
        <f>IFERROR(INDEX(PP_Grid[#Data],$DE280,24),0)</f>
        <v/>
      </c>
      <c r="AB280">
        <f>IFERROR(INDEX(PP_Grid[#Data],$DE280,25),0)</f>
        <v/>
      </c>
      <c r="AC280">
        <f>IFERROR(INDEX(PP_Grid[#Data],$DE280,26),0)</f>
        <v/>
      </c>
      <c r="AD280">
        <f>IFERROR(INDEX(PP_Grid[#Data],$DE280,27),0)</f>
        <v/>
      </c>
      <c r="AE280">
        <f>IFERROR(INDEX(PP_Grid[#Data],$DE280,28),0)</f>
        <v/>
      </c>
      <c r="AF280">
        <f>IFERROR(INDEX(PP_Grid[#Data],$DE280,29),0)</f>
        <v/>
      </c>
      <c r="AG280">
        <f>IFERROR(INDEX(PP_Grid[#Data],$DE280,30),0)</f>
        <v/>
      </c>
      <c r="AH280">
        <f>IFERROR(INDEX(PP_Grid[#Data],$DE280,31),0)</f>
        <v/>
      </c>
      <c r="AI280">
        <f>IFERROR(INDEX(PP_Grid[#Data],$DE280,32),0)</f>
        <v/>
      </c>
      <c r="AJ280">
        <f>IFERROR(INDEX(PP_Grid[#Data],$DE280,33),0)</f>
        <v/>
      </c>
      <c r="AK280">
        <f>IFERROR(INDEX(PP_Grid[#Data],$DE280,34),0)</f>
        <v/>
      </c>
      <c r="AL280">
        <f>IFERROR(INDEX(PP_Grid[#Data],$DE280,35),0)</f>
        <v/>
      </c>
      <c r="AM280">
        <f>IFERROR(INDEX(PP_Grid[#Data],$DE280,36),0)</f>
        <v/>
      </c>
      <c r="AN280">
        <f>IFERROR(INDEX(PP_Grid[#Data],$DE280,37),0)</f>
        <v/>
      </c>
      <c r="AO280">
        <f>IFERROR(INDEX(PP_Grid[#Data],$DE280,38),0)</f>
        <v/>
      </c>
      <c r="AP280">
        <f>IFERROR(INDEX(PP_Grid[#Data],$DE280,39),0)</f>
        <v/>
      </c>
      <c r="AQ280">
        <f>IFERROR(INDEX(PP_Grid[#Data],$DE280,40),0)</f>
        <v/>
      </c>
      <c r="AR280">
        <f>IFERROR(INDEX(PP_Grid[#Data],$DE280,41),0)</f>
        <v/>
      </c>
      <c r="AS280">
        <f>IFERROR(INDEX(PP_Grid[#Data],$DE280,42),0)</f>
        <v/>
      </c>
      <c r="AT280">
        <f>IFERROR(INDEX(PP_Grid[#Data],$DE280,43),0)</f>
        <v/>
      </c>
      <c r="AU280">
        <f>IFERROR(INDEX(PP_Grid[#Data],$DE280,44),0)</f>
        <v/>
      </c>
      <c r="AV280">
        <f>IFERROR(INDEX(PP_Grid[#Data],$DE280,45),0)</f>
        <v/>
      </c>
      <c r="AW280">
        <f>IFERROR(INDEX(PP_Grid[#Data],$DE280,46),0)</f>
        <v/>
      </c>
      <c r="AX280">
        <f>IFERROR(INDEX(PP_Grid[#Data],$DE280,47),0)</f>
        <v/>
      </c>
      <c r="AY280">
        <f>IFERROR(INDEX(PP_Grid[#Data],$DE280,48),0)</f>
        <v/>
      </c>
      <c r="AZ280">
        <f>IFERROR(INDEX(PP_Grid[#Data],$DE280,49),0)</f>
        <v/>
      </c>
      <c r="BA280">
        <f>IFERROR(INDEX(PP_Grid[#Data],$DE280,50),0)</f>
        <v/>
      </c>
      <c r="BB280">
        <f>IFERROR(INDEX(PP_Grid[#Data],$DE280,51),0)</f>
        <v/>
      </c>
      <c r="BC280">
        <f>IFERROR(INDEX(PP_Grid[#Data],$DE280,52),0)</f>
        <v/>
      </c>
      <c r="BD280">
        <f>IFERROR(INDEX(PP_Grid[#Data],$DE280,53),0)</f>
        <v/>
      </c>
      <c r="BE280">
        <f>IFERROR(INDEX(PP_Grid[#Data],$DE280,54),0)</f>
        <v/>
      </c>
      <c r="BF280">
        <f>IFERROR(INDEX(PP_Grid[#Data],$DE280,55),0)</f>
        <v/>
      </c>
      <c r="BG280">
        <f>IFERROR(INDEX(PP_Grid[#Data],$DE280,56),0)</f>
        <v/>
      </c>
      <c r="BH280">
        <f>IFERROR(INDEX(PP_Grid[#Data],$DE280,57),0)</f>
        <v/>
      </c>
      <c r="BI280">
        <f>IFERROR(INDEX(PP_Grid[#Data],$DE280,58),0)</f>
        <v/>
      </c>
      <c r="BJ280">
        <f>IFERROR(INDEX(PP_Grid[#Data],$DE280,59),0)</f>
        <v/>
      </c>
      <c r="BK280">
        <f>IFERROR(INDEX(PP_Grid[#Data],$DE280,60),0)</f>
        <v/>
      </c>
      <c r="BL280">
        <f>IFERROR(INDEX(PP_Grid[#Data],$DE280,61),0)</f>
        <v/>
      </c>
      <c r="BM280">
        <f>IFERROR(INDEX(PP_Grid[#Data],$DE280,62),0)</f>
        <v/>
      </c>
      <c r="BN280">
        <f>IFERROR(INDEX(PP_Grid[#Data],$DE280,63),0)</f>
        <v/>
      </c>
      <c r="BO280">
        <f>IFERROR(INDEX(PP_Grid[#Data],$DE280,64),0)</f>
        <v/>
      </c>
      <c r="BP280">
        <f>IFERROR(INDEX(PP_Grid[#Data],$DE280,65),0)</f>
        <v/>
      </c>
      <c r="BQ280">
        <f>IFERROR(INDEX(PP_Grid[#Data],$DE280,66),0)</f>
        <v/>
      </c>
      <c r="BR280">
        <f>IFERROR(INDEX(PP_Grid[#Data],$DE280,67),0)</f>
        <v/>
      </c>
      <c r="BS280">
        <f>IFERROR(INDEX(PP_Grid[#Data],$DE280,68),0)</f>
        <v/>
      </c>
      <c r="BT280">
        <f>IFERROR(INDEX(PP_Grid[#Data],$DE280,69),0)</f>
        <v/>
      </c>
      <c r="BU280">
        <f>IFERROR(INDEX(PP_Grid[#Data],$DE280,70),0)</f>
        <v/>
      </c>
      <c r="BV280">
        <f>IFERROR(INDEX(PP_Grid[#Data],$DE280,71),0)</f>
        <v/>
      </c>
      <c r="BW280">
        <f>IFERROR(INDEX(PP_Grid[#Data],$DE280,72),0)</f>
        <v/>
      </c>
      <c r="BX280">
        <f>IFERROR(INDEX(PP_Grid[#Data],$DE280,73),0)</f>
        <v/>
      </c>
      <c r="BY280">
        <f>IFERROR(INDEX(PP_Grid[#Data],$DE280,74),0)</f>
        <v/>
      </c>
      <c r="BZ280">
        <f>IFERROR(INDEX(PP_Grid[#Data],$DE280,75),0)</f>
        <v/>
      </c>
      <c r="CA280">
        <f>IFERROR(INDEX(PP_Grid[#Data],$DE280,76),0)</f>
        <v/>
      </c>
      <c r="CB280">
        <f>IFERROR(INDEX(PP_Grid[#Data],$DE280,77),0)</f>
        <v/>
      </c>
      <c r="CC280">
        <f>IFERROR(INDEX(PP_Grid[#Data],$DE280,78),0)</f>
        <v/>
      </c>
      <c r="CD280">
        <f>IFERROR(INDEX(PP_Grid[#Data],$DE280,79),0)</f>
        <v/>
      </c>
      <c r="CE280">
        <f>IFERROR(INDEX(PP_Grid[#Data],$DE280,80),0)</f>
        <v/>
      </c>
      <c r="CF280">
        <f>IFERROR(INDEX(PP_Grid[#Data],$DE280,81),0)</f>
        <v/>
      </c>
      <c r="CG280">
        <f>IFERROR(INDEX(PP_Grid[#Data],$DE280,82),0)</f>
        <v/>
      </c>
      <c r="CH280">
        <f>IFERROR(INDEX(PP_Grid[#Data],$DE280,83),0)</f>
        <v/>
      </c>
      <c r="CI280">
        <f>IFERROR(INDEX(PP_Grid[#Data],$DE280,84),0)</f>
        <v/>
      </c>
      <c r="CJ280">
        <f>IFERROR(INDEX(PP_Grid[#Data],$DE280,85),0)</f>
        <v/>
      </c>
      <c r="CK280">
        <f>IFERROR(INDEX(PP_Grid[#Data],$DE280,86),0)</f>
        <v/>
      </c>
      <c r="CL280">
        <f>IFERROR(INDEX(PP_Grid[#Data],$DE280,87),0)</f>
        <v/>
      </c>
      <c r="CM280">
        <f>IFERROR(INDEX(PP_Grid[#Data],$DE280,88),0)</f>
        <v/>
      </c>
      <c r="CN280">
        <f>IFERROR(INDEX(PP_Grid[#Data],$DE280,89),0)</f>
        <v/>
      </c>
      <c r="CO280">
        <f>IFERROR(INDEX(PP_Grid[#Data],$DE280,90),0)</f>
        <v/>
      </c>
      <c r="CP280">
        <f>IFERROR(INDEX(PP_Grid[#Data],$DE280,91),0)</f>
        <v/>
      </c>
      <c r="CQ280">
        <f>IFERROR(INDEX(PP_Grid[#Data],$DE280,92),0)</f>
        <v/>
      </c>
      <c r="CR280">
        <f>IFERROR(INDEX(PP_Grid[#Data],$DE280,93),0)</f>
        <v/>
      </c>
      <c r="CS280">
        <f>IFERROR(INDEX(PP_Grid[#Data],$DE280,94),0)</f>
        <v/>
      </c>
      <c r="CT280">
        <f>IFERROR(INDEX(PP_Grid[#Data],$DE280,95),0)</f>
        <v/>
      </c>
      <c r="CU280">
        <f>IFERROR(INDEX(PP_Grid[#Data],$DE280,96),0)</f>
        <v/>
      </c>
      <c r="CV280">
        <f>IFERROR(INDEX(PP_Grid[#Data],$DE280,97),0)</f>
        <v/>
      </c>
      <c r="CW280">
        <f>IFERROR(INDEX(PP_Grid[#Data],$DE280,98),0)</f>
        <v/>
      </c>
      <c r="CX280">
        <f>IFERROR(INDEX(PP_Grid[#Data],$DE280,99),0)</f>
        <v/>
      </c>
      <c r="CY280">
        <f>IFERROR(INDEX(PP_Grid[#Data],$DE280,100),0)</f>
        <v/>
      </c>
      <c r="CZ280">
        <f>IFERROR(INDEX(PP_Grid[#Data],$DE280,101),0)</f>
        <v/>
      </c>
      <c r="DA280">
        <f>IFERROR(INDEX(PP_Grid[#Data],$DE280,102),0)</f>
        <v/>
      </c>
      <c r="DB280">
        <f>IFERROR(INDEX(PP_Grid[#Data],$DE280,103),0)</f>
        <v/>
      </c>
      <c r="DC280">
        <f>IFERROR(INDEX(PP_Grid[#Data],$DE280,104),0)</f>
        <v/>
      </c>
      <c r="DD280">
        <f>IFERROR(INDEX(PP_Grid[#Data],$DE280,105),0)</f>
        <v/>
      </c>
      <c r="DE280" s="7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SUMIFS(M_BOM[RM_Qty_Per_Batch],M_BOM[Intermediate],$B280,M_BOM[RM_Code],$A187)</f>
        <v/>
      </c>
      <c r="D281">
        <f>IFERROR(INDEX(E281:DD281,$F$1),"")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  <c r="DD281">
        <f>$C281*DD280</f>
        <v/>
      </c>
    </row>
    <row r="282">
      <c r="B282" t="inlineStr">
        <is>
          <t>TSP-1446</t>
        </is>
      </c>
      <c r="C282" t="inlineStr">
        <is>
          <t>No. of batches</t>
        </is>
      </c>
      <c r="D282">
        <f>IFERROR(INDEX(E282:DD282,$F$1),"")</f>
        <v/>
      </c>
      <c r="E282">
        <f>IFERROR(INDEX(PP_Grid[#Data],$DE282,2),0)</f>
        <v/>
      </c>
      <c r="F282">
        <f>IFERROR(INDEX(PP_Grid[#Data],$DE282,3),0)</f>
        <v/>
      </c>
      <c r="G282">
        <f>IFERROR(INDEX(PP_Grid[#Data],$DE282,4),0)</f>
        <v/>
      </c>
      <c r="H282">
        <f>IFERROR(INDEX(PP_Grid[#Data],$DE282,5),0)</f>
        <v/>
      </c>
      <c r="I282">
        <f>IFERROR(INDEX(PP_Grid[#Data],$DE282,6),0)</f>
        <v/>
      </c>
      <c r="J282">
        <f>IFERROR(INDEX(PP_Grid[#Data],$DE282,7),0)</f>
        <v/>
      </c>
      <c r="K282">
        <f>IFERROR(INDEX(PP_Grid[#Data],$DE282,8),0)</f>
        <v/>
      </c>
      <c r="L282">
        <f>IFERROR(INDEX(PP_Grid[#Data],$DE282,9),0)</f>
        <v/>
      </c>
      <c r="M282">
        <f>IFERROR(INDEX(PP_Grid[#Data],$DE282,10),0)</f>
        <v/>
      </c>
      <c r="N282">
        <f>IFERROR(INDEX(PP_Grid[#Data],$DE282,11),0)</f>
        <v/>
      </c>
      <c r="O282">
        <f>IFERROR(INDEX(PP_Grid[#Data],$DE282,12),0)</f>
        <v/>
      </c>
      <c r="P282">
        <f>IFERROR(INDEX(PP_Grid[#Data],$DE282,13),0)</f>
        <v/>
      </c>
      <c r="Q282">
        <f>IFERROR(INDEX(PP_Grid[#Data],$DE282,14),0)</f>
        <v/>
      </c>
      <c r="R282">
        <f>IFERROR(INDEX(PP_Grid[#Data],$DE282,15),0)</f>
        <v/>
      </c>
      <c r="S282">
        <f>IFERROR(INDEX(PP_Grid[#Data],$DE282,16),0)</f>
        <v/>
      </c>
      <c r="T282">
        <f>IFERROR(INDEX(PP_Grid[#Data],$DE282,17),0)</f>
        <v/>
      </c>
      <c r="U282">
        <f>IFERROR(INDEX(PP_Grid[#Data],$DE282,18),0)</f>
        <v/>
      </c>
      <c r="V282">
        <f>IFERROR(INDEX(PP_Grid[#Data],$DE282,19),0)</f>
        <v/>
      </c>
      <c r="W282">
        <f>IFERROR(INDEX(PP_Grid[#Data],$DE282,20),0)</f>
        <v/>
      </c>
      <c r="X282">
        <f>IFERROR(INDEX(PP_Grid[#Data],$DE282,21),0)</f>
        <v/>
      </c>
      <c r="Y282">
        <f>IFERROR(INDEX(PP_Grid[#Data],$DE282,22),0)</f>
        <v/>
      </c>
      <c r="Z282">
        <f>IFERROR(INDEX(PP_Grid[#Data],$DE282,23),0)</f>
        <v/>
      </c>
      <c r="AA282">
        <f>IFERROR(INDEX(PP_Grid[#Data],$DE282,24),0)</f>
        <v/>
      </c>
      <c r="AB282">
        <f>IFERROR(INDEX(PP_Grid[#Data],$DE282,25),0)</f>
        <v/>
      </c>
      <c r="AC282">
        <f>IFERROR(INDEX(PP_Grid[#Data],$DE282,26),0)</f>
        <v/>
      </c>
      <c r="AD282">
        <f>IFERROR(INDEX(PP_Grid[#Data],$DE282,27),0)</f>
        <v/>
      </c>
      <c r="AE282">
        <f>IFERROR(INDEX(PP_Grid[#Data],$DE282,28),0)</f>
        <v/>
      </c>
      <c r="AF282">
        <f>IFERROR(INDEX(PP_Grid[#Data],$DE282,29),0)</f>
        <v/>
      </c>
      <c r="AG282">
        <f>IFERROR(INDEX(PP_Grid[#Data],$DE282,30),0)</f>
        <v/>
      </c>
      <c r="AH282">
        <f>IFERROR(INDEX(PP_Grid[#Data],$DE282,31),0)</f>
        <v/>
      </c>
      <c r="AI282">
        <f>IFERROR(INDEX(PP_Grid[#Data],$DE282,32),0)</f>
        <v/>
      </c>
      <c r="AJ282">
        <f>IFERROR(INDEX(PP_Grid[#Data],$DE282,33),0)</f>
        <v/>
      </c>
      <c r="AK282">
        <f>IFERROR(INDEX(PP_Grid[#Data],$DE282,34),0)</f>
        <v/>
      </c>
      <c r="AL282">
        <f>IFERROR(INDEX(PP_Grid[#Data],$DE282,35),0)</f>
        <v/>
      </c>
      <c r="AM282">
        <f>IFERROR(INDEX(PP_Grid[#Data],$DE282,36),0)</f>
        <v/>
      </c>
      <c r="AN282">
        <f>IFERROR(INDEX(PP_Grid[#Data],$DE282,37),0)</f>
        <v/>
      </c>
      <c r="AO282">
        <f>IFERROR(INDEX(PP_Grid[#Data],$DE282,38),0)</f>
        <v/>
      </c>
      <c r="AP282">
        <f>IFERROR(INDEX(PP_Grid[#Data],$DE282,39),0)</f>
        <v/>
      </c>
      <c r="AQ282">
        <f>IFERROR(INDEX(PP_Grid[#Data],$DE282,40),0)</f>
        <v/>
      </c>
      <c r="AR282">
        <f>IFERROR(INDEX(PP_Grid[#Data],$DE282,41),0)</f>
        <v/>
      </c>
      <c r="AS282">
        <f>IFERROR(INDEX(PP_Grid[#Data],$DE282,42),0)</f>
        <v/>
      </c>
      <c r="AT282">
        <f>IFERROR(INDEX(PP_Grid[#Data],$DE282,43),0)</f>
        <v/>
      </c>
      <c r="AU282">
        <f>IFERROR(INDEX(PP_Grid[#Data],$DE282,44),0)</f>
        <v/>
      </c>
      <c r="AV282">
        <f>IFERROR(INDEX(PP_Grid[#Data],$DE282,45),0)</f>
        <v/>
      </c>
      <c r="AW282">
        <f>IFERROR(INDEX(PP_Grid[#Data],$DE282,46),0)</f>
        <v/>
      </c>
      <c r="AX282">
        <f>IFERROR(INDEX(PP_Grid[#Data],$DE282,47),0)</f>
        <v/>
      </c>
      <c r="AY282">
        <f>IFERROR(INDEX(PP_Grid[#Data],$DE282,48),0)</f>
        <v/>
      </c>
      <c r="AZ282">
        <f>IFERROR(INDEX(PP_Grid[#Data],$DE282,49),0)</f>
        <v/>
      </c>
      <c r="BA282">
        <f>IFERROR(INDEX(PP_Grid[#Data],$DE282,50),0)</f>
        <v/>
      </c>
      <c r="BB282">
        <f>IFERROR(INDEX(PP_Grid[#Data],$DE282,51),0)</f>
        <v/>
      </c>
      <c r="BC282">
        <f>IFERROR(INDEX(PP_Grid[#Data],$DE282,52),0)</f>
        <v/>
      </c>
      <c r="BD282">
        <f>IFERROR(INDEX(PP_Grid[#Data],$DE282,53),0)</f>
        <v/>
      </c>
      <c r="BE282">
        <f>IFERROR(INDEX(PP_Grid[#Data],$DE282,54),0)</f>
        <v/>
      </c>
      <c r="BF282">
        <f>IFERROR(INDEX(PP_Grid[#Data],$DE282,55),0)</f>
        <v/>
      </c>
      <c r="BG282">
        <f>IFERROR(INDEX(PP_Grid[#Data],$DE282,56),0)</f>
        <v/>
      </c>
      <c r="BH282">
        <f>IFERROR(INDEX(PP_Grid[#Data],$DE282,57),0)</f>
        <v/>
      </c>
      <c r="BI282">
        <f>IFERROR(INDEX(PP_Grid[#Data],$DE282,58),0)</f>
        <v/>
      </c>
      <c r="BJ282">
        <f>IFERROR(INDEX(PP_Grid[#Data],$DE282,59),0)</f>
        <v/>
      </c>
      <c r="BK282">
        <f>IFERROR(INDEX(PP_Grid[#Data],$DE282,60),0)</f>
        <v/>
      </c>
      <c r="BL282">
        <f>IFERROR(INDEX(PP_Grid[#Data],$DE282,61),0)</f>
        <v/>
      </c>
      <c r="BM282">
        <f>IFERROR(INDEX(PP_Grid[#Data],$DE282,62),0)</f>
        <v/>
      </c>
      <c r="BN282">
        <f>IFERROR(INDEX(PP_Grid[#Data],$DE282,63),0)</f>
        <v/>
      </c>
      <c r="BO282">
        <f>IFERROR(INDEX(PP_Grid[#Data],$DE282,64),0)</f>
        <v/>
      </c>
      <c r="BP282">
        <f>IFERROR(INDEX(PP_Grid[#Data],$DE282,65),0)</f>
        <v/>
      </c>
      <c r="BQ282">
        <f>IFERROR(INDEX(PP_Grid[#Data],$DE282,66),0)</f>
        <v/>
      </c>
      <c r="BR282">
        <f>IFERROR(INDEX(PP_Grid[#Data],$DE282,67),0)</f>
        <v/>
      </c>
      <c r="BS282">
        <f>IFERROR(INDEX(PP_Grid[#Data],$DE282,68),0)</f>
        <v/>
      </c>
      <c r="BT282">
        <f>IFERROR(INDEX(PP_Grid[#Data],$DE282,69),0)</f>
        <v/>
      </c>
      <c r="BU282">
        <f>IFERROR(INDEX(PP_Grid[#Data],$DE282,70),0)</f>
        <v/>
      </c>
      <c r="BV282">
        <f>IFERROR(INDEX(PP_Grid[#Data],$DE282,71),0)</f>
        <v/>
      </c>
      <c r="BW282">
        <f>IFERROR(INDEX(PP_Grid[#Data],$DE282,72),0)</f>
        <v/>
      </c>
      <c r="BX282">
        <f>IFERROR(INDEX(PP_Grid[#Data],$DE282,73),0)</f>
        <v/>
      </c>
      <c r="BY282">
        <f>IFERROR(INDEX(PP_Grid[#Data],$DE282,74),0)</f>
        <v/>
      </c>
      <c r="BZ282">
        <f>IFERROR(INDEX(PP_Grid[#Data],$DE282,75),0)</f>
        <v/>
      </c>
      <c r="CA282">
        <f>IFERROR(INDEX(PP_Grid[#Data],$DE282,76),0)</f>
        <v/>
      </c>
      <c r="CB282">
        <f>IFERROR(INDEX(PP_Grid[#Data],$DE282,77),0)</f>
        <v/>
      </c>
      <c r="CC282">
        <f>IFERROR(INDEX(PP_Grid[#Data],$DE282,78),0)</f>
        <v/>
      </c>
      <c r="CD282">
        <f>IFERROR(INDEX(PP_Grid[#Data],$DE282,79),0)</f>
        <v/>
      </c>
      <c r="CE282">
        <f>IFERROR(INDEX(PP_Grid[#Data],$DE282,80),0)</f>
        <v/>
      </c>
      <c r="CF282">
        <f>IFERROR(INDEX(PP_Grid[#Data],$DE282,81),0)</f>
        <v/>
      </c>
      <c r="CG282">
        <f>IFERROR(INDEX(PP_Grid[#Data],$DE282,82),0)</f>
        <v/>
      </c>
      <c r="CH282">
        <f>IFERROR(INDEX(PP_Grid[#Data],$DE282,83),0)</f>
        <v/>
      </c>
      <c r="CI282">
        <f>IFERROR(INDEX(PP_Grid[#Data],$DE282,84),0)</f>
        <v/>
      </c>
      <c r="CJ282">
        <f>IFERROR(INDEX(PP_Grid[#Data],$DE282,85),0)</f>
        <v/>
      </c>
      <c r="CK282">
        <f>IFERROR(INDEX(PP_Grid[#Data],$DE282,86),0)</f>
        <v/>
      </c>
      <c r="CL282">
        <f>IFERROR(INDEX(PP_Grid[#Data],$DE282,87),0)</f>
        <v/>
      </c>
      <c r="CM282">
        <f>IFERROR(INDEX(PP_Grid[#Data],$DE282,88),0)</f>
        <v/>
      </c>
      <c r="CN282">
        <f>IFERROR(INDEX(PP_Grid[#Data],$DE282,89),0)</f>
        <v/>
      </c>
      <c r="CO282">
        <f>IFERROR(INDEX(PP_Grid[#Data],$DE282,90),0)</f>
        <v/>
      </c>
      <c r="CP282">
        <f>IFERROR(INDEX(PP_Grid[#Data],$DE282,91),0)</f>
        <v/>
      </c>
      <c r="CQ282">
        <f>IFERROR(INDEX(PP_Grid[#Data],$DE282,92),0)</f>
        <v/>
      </c>
      <c r="CR282">
        <f>IFERROR(INDEX(PP_Grid[#Data],$DE282,93),0)</f>
        <v/>
      </c>
      <c r="CS282">
        <f>IFERROR(INDEX(PP_Grid[#Data],$DE282,94),0)</f>
        <v/>
      </c>
      <c r="CT282">
        <f>IFERROR(INDEX(PP_Grid[#Data],$DE282,95),0)</f>
        <v/>
      </c>
      <c r="CU282">
        <f>IFERROR(INDEX(PP_Grid[#Data],$DE282,96),0)</f>
        <v/>
      </c>
      <c r="CV282">
        <f>IFERROR(INDEX(PP_Grid[#Data],$DE282,97),0)</f>
        <v/>
      </c>
      <c r="CW282">
        <f>IFERROR(INDEX(PP_Grid[#Data],$DE282,98),0)</f>
        <v/>
      </c>
      <c r="CX282">
        <f>IFERROR(INDEX(PP_Grid[#Data],$DE282,99),0)</f>
        <v/>
      </c>
      <c r="CY282">
        <f>IFERROR(INDEX(PP_Grid[#Data],$DE282,100),0)</f>
        <v/>
      </c>
      <c r="CZ282">
        <f>IFERROR(INDEX(PP_Grid[#Data],$DE282,101),0)</f>
        <v/>
      </c>
      <c r="DA282">
        <f>IFERROR(INDEX(PP_Grid[#Data],$DE282,102),0)</f>
        <v/>
      </c>
      <c r="DB282">
        <f>IFERROR(INDEX(PP_Grid[#Data],$DE282,103),0)</f>
        <v/>
      </c>
      <c r="DC282">
        <f>IFERROR(INDEX(PP_Grid[#Data],$DE282,104),0)</f>
        <v/>
      </c>
      <c r="DD282">
        <f>IFERROR(INDEX(PP_Grid[#Data],$DE282,105),0)</f>
        <v/>
      </c>
      <c r="DE282" s="7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SUMIFS(M_BOM[RM_Qty_Per_Batch],M_BOM[Intermediate],$B282,M_BOM[RM_Code],$A187)</f>
        <v/>
      </c>
      <c r="D283">
        <f>IFERROR(INDEX(E283:DD283,$F$1),"")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  <c r="DD283">
        <f>$C283*DD282</f>
        <v/>
      </c>
    </row>
    <row r="284">
      <c r="B284" t="inlineStr">
        <is>
          <t>TSP-1449</t>
        </is>
      </c>
      <c r="C284" t="inlineStr">
        <is>
          <t>No. of batches</t>
        </is>
      </c>
      <c r="D284">
        <f>IFERROR(INDEX(E284:DD284,$F$1),"")</f>
        <v/>
      </c>
      <c r="E284">
        <f>IFERROR(INDEX(PP_Grid[#Data],$DE284,2),0)</f>
        <v/>
      </c>
      <c r="F284">
        <f>IFERROR(INDEX(PP_Grid[#Data],$DE284,3),0)</f>
        <v/>
      </c>
      <c r="G284">
        <f>IFERROR(INDEX(PP_Grid[#Data],$DE284,4),0)</f>
        <v/>
      </c>
      <c r="H284">
        <f>IFERROR(INDEX(PP_Grid[#Data],$DE284,5),0)</f>
        <v/>
      </c>
      <c r="I284">
        <f>IFERROR(INDEX(PP_Grid[#Data],$DE284,6),0)</f>
        <v/>
      </c>
      <c r="J284">
        <f>IFERROR(INDEX(PP_Grid[#Data],$DE284,7),0)</f>
        <v/>
      </c>
      <c r="K284">
        <f>IFERROR(INDEX(PP_Grid[#Data],$DE284,8),0)</f>
        <v/>
      </c>
      <c r="L284">
        <f>IFERROR(INDEX(PP_Grid[#Data],$DE284,9),0)</f>
        <v/>
      </c>
      <c r="M284">
        <f>IFERROR(INDEX(PP_Grid[#Data],$DE284,10),0)</f>
        <v/>
      </c>
      <c r="N284">
        <f>IFERROR(INDEX(PP_Grid[#Data],$DE284,11),0)</f>
        <v/>
      </c>
      <c r="O284">
        <f>IFERROR(INDEX(PP_Grid[#Data],$DE284,12),0)</f>
        <v/>
      </c>
      <c r="P284">
        <f>IFERROR(INDEX(PP_Grid[#Data],$DE284,13),0)</f>
        <v/>
      </c>
      <c r="Q284">
        <f>IFERROR(INDEX(PP_Grid[#Data],$DE284,14),0)</f>
        <v/>
      </c>
      <c r="R284">
        <f>IFERROR(INDEX(PP_Grid[#Data],$DE284,15),0)</f>
        <v/>
      </c>
      <c r="S284">
        <f>IFERROR(INDEX(PP_Grid[#Data],$DE284,16),0)</f>
        <v/>
      </c>
      <c r="T284">
        <f>IFERROR(INDEX(PP_Grid[#Data],$DE284,17),0)</f>
        <v/>
      </c>
      <c r="U284">
        <f>IFERROR(INDEX(PP_Grid[#Data],$DE284,18),0)</f>
        <v/>
      </c>
      <c r="V284">
        <f>IFERROR(INDEX(PP_Grid[#Data],$DE284,19),0)</f>
        <v/>
      </c>
      <c r="W284">
        <f>IFERROR(INDEX(PP_Grid[#Data],$DE284,20),0)</f>
        <v/>
      </c>
      <c r="X284">
        <f>IFERROR(INDEX(PP_Grid[#Data],$DE284,21),0)</f>
        <v/>
      </c>
      <c r="Y284">
        <f>IFERROR(INDEX(PP_Grid[#Data],$DE284,22),0)</f>
        <v/>
      </c>
      <c r="Z284">
        <f>IFERROR(INDEX(PP_Grid[#Data],$DE284,23),0)</f>
        <v/>
      </c>
      <c r="AA284">
        <f>IFERROR(INDEX(PP_Grid[#Data],$DE284,24),0)</f>
        <v/>
      </c>
      <c r="AB284">
        <f>IFERROR(INDEX(PP_Grid[#Data],$DE284,25),0)</f>
        <v/>
      </c>
      <c r="AC284">
        <f>IFERROR(INDEX(PP_Grid[#Data],$DE284,26),0)</f>
        <v/>
      </c>
      <c r="AD284">
        <f>IFERROR(INDEX(PP_Grid[#Data],$DE284,27),0)</f>
        <v/>
      </c>
      <c r="AE284">
        <f>IFERROR(INDEX(PP_Grid[#Data],$DE284,28),0)</f>
        <v/>
      </c>
      <c r="AF284">
        <f>IFERROR(INDEX(PP_Grid[#Data],$DE284,29),0)</f>
        <v/>
      </c>
      <c r="AG284">
        <f>IFERROR(INDEX(PP_Grid[#Data],$DE284,30),0)</f>
        <v/>
      </c>
      <c r="AH284">
        <f>IFERROR(INDEX(PP_Grid[#Data],$DE284,31),0)</f>
        <v/>
      </c>
      <c r="AI284">
        <f>IFERROR(INDEX(PP_Grid[#Data],$DE284,32),0)</f>
        <v/>
      </c>
      <c r="AJ284">
        <f>IFERROR(INDEX(PP_Grid[#Data],$DE284,33),0)</f>
        <v/>
      </c>
      <c r="AK284">
        <f>IFERROR(INDEX(PP_Grid[#Data],$DE284,34),0)</f>
        <v/>
      </c>
      <c r="AL284">
        <f>IFERROR(INDEX(PP_Grid[#Data],$DE284,35),0)</f>
        <v/>
      </c>
      <c r="AM284">
        <f>IFERROR(INDEX(PP_Grid[#Data],$DE284,36),0)</f>
        <v/>
      </c>
      <c r="AN284">
        <f>IFERROR(INDEX(PP_Grid[#Data],$DE284,37),0)</f>
        <v/>
      </c>
      <c r="AO284">
        <f>IFERROR(INDEX(PP_Grid[#Data],$DE284,38),0)</f>
        <v/>
      </c>
      <c r="AP284">
        <f>IFERROR(INDEX(PP_Grid[#Data],$DE284,39),0)</f>
        <v/>
      </c>
      <c r="AQ284">
        <f>IFERROR(INDEX(PP_Grid[#Data],$DE284,40),0)</f>
        <v/>
      </c>
      <c r="AR284">
        <f>IFERROR(INDEX(PP_Grid[#Data],$DE284,41),0)</f>
        <v/>
      </c>
      <c r="AS284">
        <f>IFERROR(INDEX(PP_Grid[#Data],$DE284,42),0)</f>
        <v/>
      </c>
      <c r="AT284">
        <f>IFERROR(INDEX(PP_Grid[#Data],$DE284,43),0)</f>
        <v/>
      </c>
      <c r="AU284">
        <f>IFERROR(INDEX(PP_Grid[#Data],$DE284,44),0)</f>
        <v/>
      </c>
      <c r="AV284">
        <f>IFERROR(INDEX(PP_Grid[#Data],$DE284,45),0)</f>
        <v/>
      </c>
      <c r="AW284">
        <f>IFERROR(INDEX(PP_Grid[#Data],$DE284,46),0)</f>
        <v/>
      </c>
      <c r="AX284">
        <f>IFERROR(INDEX(PP_Grid[#Data],$DE284,47),0)</f>
        <v/>
      </c>
      <c r="AY284">
        <f>IFERROR(INDEX(PP_Grid[#Data],$DE284,48),0)</f>
        <v/>
      </c>
      <c r="AZ284">
        <f>IFERROR(INDEX(PP_Grid[#Data],$DE284,49),0)</f>
        <v/>
      </c>
      <c r="BA284">
        <f>IFERROR(INDEX(PP_Grid[#Data],$DE284,50),0)</f>
        <v/>
      </c>
      <c r="BB284">
        <f>IFERROR(INDEX(PP_Grid[#Data],$DE284,51),0)</f>
        <v/>
      </c>
      <c r="BC284">
        <f>IFERROR(INDEX(PP_Grid[#Data],$DE284,52),0)</f>
        <v/>
      </c>
      <c r="BD284">
        <f>IFERROR(INDEX(PP_Grid[#Data],$DE284,53),0)</f>
        <v/>
      </c>
      <c r="BE284">
        <f>IFERROR(INDEX(PP_Grid[#Data],$DE284,54),0)</f>
        <v/>
      </c>
      <c r="BF284">
        <f>IFERROR(INDEX(PP_Grid[#Data],$DE284,55),0)</f>
        <v/>
      </c>
      <c r="BG284">
        <f>IFERROR(INDEX(PP_Grid[#Data],$DE284,56),0)</f>
        <v/>
      </c>
      <c r="BH284">
        <f>IFERROR(INDEX(PP_Grid[#Data],$DE284,57),0)</f>
        <v/>
      </c>
      <c r="BI284">
        <f>IFERROR(INDEX(PP_Grid[#Data],$DE284,58),0)</f>
        <v/>
      </c>
      <c r="BJ284">
        <f>IFERROR(INDEX(PP_Grid[#Data],$DE284,59),0)</f>
        <v/>
      </c>
      <c r="BK284">
        <f>IFERROR(INDEX(PP_Grid[#Data],$DE284,60),0)</f>
        <v/>
      </c>
      <c r="BL284">
        <f>IFERROR(INDEX(PP_Grid[#Data],$DE284,61),0)</f>
        <v/>
      </c>
      <c r="BM284">
        <f>IFERROR(INDEX(PP_Grid[#Data],$DE284,62),0)</f>
        <v/>
      </c>
      <c r="BN284">
        <f>IFERROR(INDEX(PP_Grid[#Data],$DE284,63),0)</f>
        <v/>
      </c>
      <c r="BO284">
        <f>IFERROR(INDEX(PP_Grid[#Data],$DE284,64),0)</f>
        <v/>
      </c>
      <c r="BP284">
        <f>IFERROR(INDEX(PP_Grid[#Data],$DE284,65),0)</f>
        <v/>
      </c>
      <c r="BQ284">
        <f>IFERROR(INDEX(PP_Grid[#Data],$DE284,66),0)</f>
        <v/>
      </c>
      <c r="BR284">
        <f>IFERROR(INDEX(PP_Grid[#Data],$DE284,67),0)</f>
        <v/>
      </c>
      <c r="BS284">
        <f>IFERROR(INDEX(PP_Grid[#Data],$DE284,68),0)</f>
        <v/>
      </c>
      <c r="BT284">
        <f>IFERROR(INDEX(PP_Grid[#Data],$DE284,69),0)</f>
        <v/>
      </c>
      <c r="BU284">
        <f>IFERROR(INDEX(PP_Grid[#Data],$DE284,70),0)</f>
        <v/>
      </c>
      <c r="BV284">
        <f>IFERROR(INDEX(PP_Grid[#Data],$DE284,71),0)</f>
        <v/>
      </c>
      <c r="BW284">
        <f>IFERROR(INDEX(PP_Grid[#Data],$DE284,72),0)</f>
        <v/>
      </c>
      <c r="BX284">
        <f>IFERROR(INDEX(PP_Grid[#Data],$DE284,73),0)</f>
        <v/>
      </c>
      <c r="BY284">
        <f>IFERROR(INDEX(PP_Grid[#Data],$DE284,74),0)</f>
        <v/>
      </c>
      <c r="BZ284">
        <f>IFERROR(INDEX(PP_Grid[#Data],$DE284,75),0)</f>
        <v/>
      </c>
      <c r="CA284">
        <f>IFERROR(INDEX(PP_Grid[#Data],$DE284,76),0)</f>
        <v/>
      </c>
      <c r="CB284">
        <f>IFERROR(INDEX(PP_Grid[#Data],$DE284,77),0)</f>
        <v/>
      </c>
      <c r="CC284">
        <f>IFERROR(INDEX(PP_Grid[#Data],$DE284,78),0)</f>
        <v/>
      </c>
      <c r="CD284">
        <f>IFERROR(INDEX(PP_Grid[#Data],$DE284,79),0)</f>
        <v/>
      </c>
      <c r="CE284">
        <f>IFERROR(INDEX(PP_Grid[#Data],$DE284,80),0)</f>
        <v/>
      </c>
      <c r="CF284">
        <f>IFERROR(INDEX(PP_Grid[#Data],$DE284,81),0)</f>
        <v/>
      </c>
      <c r="CG284">
        <f>IFERROR(INDEX(PP_Grid[#Data],$DE284,82),0)</f>
        <v/>
      </c>
      <c r="CH284">
        <f>IFERROR(INDEX(PP_Grid[#Data],$DE284,83),0)</f>
        <v/>
      </c>
      <c r="CI284">
        <f>IFERROR(INDEX(PP_Grid[#Data],$DE284,84),0)</f>
        <v/>
      </c>
      <c r="CJ284">
        <f>IFERROR(INDEX(PP_Grid[#Data],$DE284,85),0)</f>
        <v/>
      </c>
      <c r="CK284">
        <f>IFERROR(INDEX(PP_Grid[#Data],$DE284,86),0)</f>
        <v/>
      </c>
      <c r="CL284">
        <f>IFERROR(INDEX(PP_Grid[#Data],$DE284,87),0)</f>
        <v/>
      </c>
      <c r="CM284">
        <f>IFERROR(INDEX(PP_Grid[#Data],$DE284,88),0)</f>
        <v/>
      </c>
      <c r="CN284">
        <f>IFERROR(INDEX(PP_Grid[#Data],$DE284,89),0)</f>
        <v/>
      </c>
      <c r="CO284">
        <f>IFERROR(INDEX(PP_Grid[#Data],$DE284,90),0)</f>
        <v/>
      </c>
      <c r="CP284">
        <f>IFERROR(INDEX(PP_Grid[#Data],$DE284,91),0)</f>
        <v/>
      </c>
      <c r="CQ284">
        <f>IFERROR(INDEX(PP_Grid[#Data],$DE284,92),0)</f>
        <v/>
      </c>
      <c r="CR284">
        <f>IFERROR(INDEX(PP_Grid[#Data],$DE284,93),0)</f>
        <v/>
      </c>
      <c r="CS284">
        <f>IFERROR(INDEX(PP_Grid[#Data],$DE284,94),0)</f>
        <v/>
      </c>
      <c r="CT284">
        <f>IFERROR(INDEX(PP_Grid[#Data],$DE284,95),0)</f>
        <v/>
      </c>
      <c r="CU284">
        <f>IFERROR(INDEX(PP_Grid[#Data],$DE284,96),0)</f>
        <v/>
      </c>
      <c r="CV284">
        <f>IFERROR(INDEX(PP_Grid[#Data],$DE284,97),0)</f>
        <v/>
      </c>
      <c r="CW284">
        <f>IFERROR(INDEX(PP_Grid[#Data],$DE284,98),0)</f>
        <v/>
      </c>
      <c r="CX284">
        <f>IFERROR(INDEX(PP_Grid[#Data],$DE284,99),0)</f>
        <v/>
      </c>
      <c r="CY284">
        <f>IFERROR(INDEX(PP_Grid[#Data],$DE284,100),0)</f>
        <v/>
      </c>
      <c r="CZ284">
        <f>IFERROR(INDEX(PP_Grid[#Data],$DE284,101),0)</f>
        <v/>
      </c>
      <c r="DA284">
        <f>IFERROR(INDEX(PP_Grid[#Data],$DE284,102),0)</f>
        <v/>
      </c>
      <c r="DB284">
        <f>IFERROR(INDEX(PP_Grid[#Data],$DE284,103),0)</f>
        <v/>
      </c>
      <c r="DC284">
        <f>IFERROR(INDEX(PP_Grid[#Data],$DE284,104),0)</f>
        <v/>
      </c>
      <c r="DD284">
        <f>IFERROR(INDEX(PP_Grid[#Data],$DE284,105),0)</f>
        <v/>
      </c>
      <c r="DE284" s="7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SUMIFS(M_BOM[RM_Qty_Per_Batch],M_BOM[Intermediate],$B284,M_BOM[RM_Code],$A187)</f>
        <v/>
      </c>
      <c r="D285">
        <f>IFERROR(INDEX(E285:DD285,$F$1),"")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  <c r="DD285">
        <f>$C285*DD284</f>
        <v/>
      </c>
    </row>
    <row r="286">
      <c r="B286" t="inlineStr">
        <is>
          <t>VSP-567</t>
        </is>
      </c>
      <c r="C286" t="inlineStr">
        <is>
          <t>No. of batches</t>
        </is>
      </c>
      <c r="D286">
        <f>IFERROR(INDEX(E286:DD286,$F$1),"")</f>
        <v/>
      </c>
      <c r="E286">
        <f>IFERROR(INDEX(PP_Grid[#Data],$DE286,2),0)</f>
        <v/>
      </c>
      <c r="F286">
        <f>IFERROR(INDEX(PP_Grid[#Data],$DE286,3),0)</f>
        <v/>
      </c>
      <c r="G286">
        <f>IFERROR(INDEX(PP_Grid[#Data],$DE286,4),0)</f>
        <v/>
      </c>
      <c r="H286">
        <f>IFERROR(INDEX(PP_Grid[#Data],$DE286,5),0)</f>
        <v/>
      </c>
      <c r="I286">
        <f>IFERROR(INDEX(PP_Grid[#Data],$DE286,6),0)</f>
        <v/>
      </c>
      <c r="J286">
        <f>IFERROR(INDEX(PP_Grid[#Data],$DE286,7),0)</f>
        <v/>
      </c>
      <c r="K286">
        <f>IFERROR(INDEX(PP_Grid[#Data],$DE286,8),0)</f>
        <v/>
      </c>
      <c r="L286">
        <f>IFERROR(INDEX(PP_Grid[#Data],$DE286,9),0)</f>
        <v/>
      </c>
      <c r="M286">
        <f>IFERROR(INDEX(PP_Grid[#Data],$DE286,10),0)</f>
        <v/>
      </c>
      <c r="N286">
        <f>IFERROR(INDEX(PP_Grid[#Data],$DE286,11),0)</f>
        <v/>
      </c>
      <c r="O286">
        <f>IFERROR(INDEX(PP_Grid[#Data],$DE286,12),0)</f>
        <v/>
      </c>
      <c r="P286">
        <f>IFERROR(INDEX(PP_Grid[#Data],$DE286,13),0)</f>
        <v/>
      </c>
      <c r="Q286">
        <f>IFERROR(INDEX(PP_Grid[#Data],$DE286,14),0)</f>
        <v/>
      </c>
      <c r="R286">
        <f>IFERROR(INDEX(PP_Grid[#Data],$DE286,15),0)</f>
        <v/>
      </c>
      <c r="S286">
        <f>IFERROR(INDEX(PP_Grid[#Data],$DE286,16),0)</f>
        <v/>
      </c>
      <c r="T286">
        <f>IFERROR(INDEX(PP_Grid[#Data],$DE286,17),0)</f>
        <v/>
      </c>
      <c r="U286">
        <f>IFERROR(INDEX(PP_Grid[#Data],$DE286,18),0)</f>
        <v/>
      </c>
      <c r="V286">
        <f>IFERROR(INDEX(PP_Grid[#Data],$DE286,19),0)</f>
        <v/>
      </c>
      <c r="W286">
        <f>IFERROR(INDEX(PP_Grid[#Data],$DE286,20),0)</f>
        <v/>
      </c>
      <c r="X286">
        <f>IFERROR(INDEX(PP_Grid[#Data],$DE286,21),0)</f>
        <v/>
      </c>
      <c r="Y286">
        <f>IFERROR(INDEX(PP_Grid[#Data],$DE286,22),0)</f>
        <v/>
      </c>
      <c r="Z286">
        <f>IFERROR(INDEX(PP_Grid[#Data],$DE286,23),0)</f>
        <v/>
      </c>
      <c r="AA286">
        <f>IFERROR(INDEX(PP_Grid[#Data],$DE286,24),0)</f>
        <v/>
      </c>
      <c r="AB286">
        <f>IFERROR(INDEX(PP_Grid[#Data],$DE286,25),0)</f>
        <v/>
      </c>
      <c r="AC286">
        <f>IFERROR(INDEX(PP_Grid[#Data],$DE286,26),0)</f>
        <v/>
      </c>
      <c r="AD286">
        <f>IFERROR(INDEX(PP_Grid[#Data],$DE286,27),0)</f>
        <v/>
      </c>
      <c r="AE286">
        <f>IFERROR(INDEX(PP_Grid[#Data],$DE286,28),0)</f>
        <v/>
      </c>
      <c r="AF286">
        <f>IFERROR(INDEX(PP_Grid[#Data],$DE286,29),0)</f>
        <v/>
      </c>
      <c r="AG286">
        <f>IFERROR(INDEX(PP_Grid[#Data],$DE286,30),0)</f>
        <v/>
      </c>
      <c r="AH286">
        <f>IFERROR(INDEX(PP_Grid[#Data],$DE286,31),0)</f>
        <v/>
      </c>
      <c r="AI286">
        <f>IFERROR(INDEX(PP_Grid[#Data],$DE286,32),0)</f>
        <v/>
      </c>
      <c r="AJ286">
        <f>IFERROR(INDEX(PP_Grid[#Data],$DE286,33),0)</f>
        <v/>
      </c>
      <c r="AK286">
        <f>IFERROR(INDEX(PP_Grid[#Data],$DE286,34),0)</f>
        <v/>
      </c>
      <c r="AL286">
        <f>IFERROR(INDEX(PP_Grid[#Data],$DE286,35),0)</f>
        <v/>
      </c>
      <c r="AM286">
        <f>IFERROR(INDEX(PP_Grid[#Data],$DE286,36),0)</f>
        <v/>
      </c>
      <c r="AN286">
        <f>IFERROR(INDEX(PP_Grid[#Data],$DE286,37),0)</f>
        <v/>
      </c>
      <c r="AO286">
        <f>IFERROR(INDEX(PP_Grid[#Data],$DE286,38),0)</f>
        <v/>
      </c>
      <c r="AP286">
        <f>IFERROR(INDEX(PP_Grid[#Data],$DE286,39),0)</f>
        <v/>
      </c>
      <c r="AQ286">
        <f>IFERROR(INDEX(PP_Grid[#Data],$DE286,40),0)</f>
        <v/>
      </c>
      <c r="AR286">
        <f>IFERROR(INDEX(PP_Grid[#Data],$DE286,41),0)</f>
        <v/>
      </c>
      <c r="AS286">
        <f>IFERROR(INDEX(PP_Grid[#Data],$DE286,42),0)</f>
        <v/>
      </c>
      <c r="AT286">
        <f>IFERROR(INDEX(PP_Grid[#Data],$DE286,43),0)</f>
        <v/>
      </c>
      <c r="AU286">
        <f>IFERROR(INDEX(PP_Grid[#Data],$DE286,44),0)</f>
        <v/>
      </c>
      <c r="AV286">
        <f>IFERROR(INDEX(PP_Grid[#Data],$DE286,45),0)</f>
        <v/>
      </c>
      <c r="AW286">
        <f>IFERROR(INDEX(PP_Grid[#Data],$DE286,46),0)</f>
        <v/>
      </c>
      <c r="AX286">
        <f>IFERROR(INDEX(PP_Grid[#Data],$DE286,47),0)</f>
        <v/>
      </c>
      <c r="AY286">
        <f>IFERROR(INDEX(PP_Grid[#Data],$DE286,48),0)</f>
        <v/>
      </c>
      <c r="AZ286">
        <f>IFERROR(INDEX(PP_Grid[#Data],$DE286,49),0)</f>
        <v/>
      </c>
      <c r="BA286">
        <f>IFERROR(INDEX(PP_Grid[#Data],$DE286,50),0)</f>
        <v/>
      </c>
      <c r="BB286">
        <f>IFERROR(INDEX(PP_Grid[#Data],$DE286,51),0)</f>
        <v/>
      </c>
      <c r="BC286">
        <f>IFERROR(INDEX(PP_Grid[#Data],$DE286,52),0)</f>
        <v/>
      </c>
      <c r="BD286">
        <f>IFERROR(INDEX(PP_Grid[#Data],$DE286,53),0)</f>
        <v/>
      </c>
      <c r="BE286">
        <f>IFERROR(INDEX(PP_Grid[#Data],$DE286,54),0)</f>
        <v/>
      </c>
      <c r="BF286">
        <f>IFERROR(INDEX(PP_Grid[#Data],$DE286,55),0)</f>
        <v/>
      </c>
      <c r="BG286">
        <f>IFERROR(INDEX(PP_Grid[#Data],$DE286,56),0)</f>
        <v/>
      </c>
      <c r="BH286">
        <f>IFERROR(INDEX(PP_Grid[#Data],$DE286,57),0)</f>
        <v/>
      </c>
      <c r="BI286">
        <f>IFERROR(INDEX(PP_Grid[#Data],$DE286,58),0)</f>
        <v/>
      </c>
      <c r="BJ286">
        <f>IFERROR(INDEX(PP_Grid[#Data],$DE286,59),0)</f>
        <v/>
      </c>
      <c r="BK286">
        <f>IFERROR(INDEX(PP_Grid[#Data],$DE286,60),0)</f>
        <v/>
      </c>
      <c r="BL286">
        <f>IFERROR(INDEX(PP_Grid[#Data],$DE286,61),0)</f>
        <v/>
      </c>
      <c r="BM286">
        <f>IFERROR(INDEX(PP_Grid[#Data],$DE286,62),0)</f>
        <v/>
      </c>
      <c r="BN286">
        <f>IFERROR(INDEX(PP_Grid[#Data],$DE286,63),0)</f>
        <v/>
      </c>
      <c r="BO286">
        <f>IFERROR(INDEX(PP_Grid[#Data],$DE286,64),0)</f>
        <v/>
      </c>
      <c r="BP286">
        <f>IFERROR(INDEX(PP_Grid[#Data],$DE286,65),0)</f>
        <v/>
      </c>
      <c r="BQ286">
        <f>IFERROR(INDEX(PP_Grid[#Data],$DE286,66),0)</f>
        <v/>
      </c>
      <c r="BR286">
        <f>IFERROR(INDEX(PP_Grid[#Data],$DE286,67),0)</f>
        <v/>
      </c>
      <c r="BS286">
        <f>IFERROR(INDEX(PP_Grid[#Data],$DE286,68),0)</f>
        <v/>
      </c>
      <c r="BT286">
        <f>IFERROR(INDEX(PP_Grid[#Data],$DE286,69),0)</f>
        <v/>
      </c>
      <c r="BU286">
        <f>IFERROR(INDEX(PP_Grid[#Data],$DE286,70),0)</f>
        <v/>
      </c>
      <c r="BV286">
        <f>IFERROR(INDEX(PP_Grid[#Data],$DE286,71),0)</f>
        <v/>
      </c>
      <c r="BW286">
        <f>IFERROR(INDEX(PP_Grid[#Data],$DE286,72),0)</f>
        <v/>
      </c>
      <c r="BX286">
        <f>IFERROR(INDEX(PP_Grid[#Data],$DE286,73),0)</f>
        <v/>
      </c>
      <c r="BY286">
        <f>IFERROR(INDEX(PP_Grid[#Data],$DE286,74),0)</f>
        <v/>
      </c>
      <c r="BZ286">
        <f>IFERROR(INDEX(PP_Grid[#Data],$DE286,75),0)</f>
        <v/>
      </c>
      <c r="CA286">
        <f>IFERROR(INDEX(PP_Grid[#Data],$DE286,76),0)</f>
        <v/>
      </c>
      <c r="CB286">
        <f>IFERROR(INDEX(PP_Grid[#Data],$DE286,77),0)</f>
        <v/>
      </c>
      <c r="CC286">
        <f>IFERROR(INDEX(PP_Grid[#Data],$DE286,78),0)</f>
        <v/>
      </c>
      <c r="CD286">
        <f>IFERROR(INDEX(PP_Grid[#Data],$DE286,79),0)</f>
        <v/>
      </c>
      <c r="CE286">
        <f>IFERROR(INDEX(PP_Grid[#Data],$DE286,80),0)</f>
        <v/>
      </c>
      <c r="CF286">
        <f>IFERROR(INDEX(PP_Grid[#Data],$DE286,81),0)</f>
        <v/>
      </c>
      <c r="CG286">
        <f>IFERROR(INDEX(PP_Grid[#Data],$DE286,82),0)</f>
        <v/>
      </c>
      <c r="CH286">
        <f>IFERROR(INDEX(PP_Grid[#Data],$DE286,83),0)</f>
        <v/>
      </c>
      <c r="CI286">
        <f>IFERROR(INDEX(PP_Grid[#Data],$DE286,84),0)</f>
        <v/>
      </c>
      <c r="CJ286">
        <f>IFERROR(INDEX(PP_Grid[#Data],$DE286,85),0)</f>
        <v/>
      </c>
      <c r="CK286">
        <f>IFERROR(INDEX(PP_Grid[#Data],$DE286,86),0)</f>
        <v/>
      </c>
      <c r="CL286">
        <f>IFERROR(INDEX(PP_Grid[#Data],$DE286,87),0)</f>
        <v/>
      </c>
      <c r="CM286">
        <f>IFERROR(INDEX(PP_Grid[#Data],$DE286,88),0)</f>
        <v/>
      </c>
      <c r="CN286">
        <f>IFERROR(INDEX(PP_Grid[#Data],$DE286,89),0)</f>
        <v/>
      </c>
      <c r="CO286">
        <f>IFERROR(INDEX(PP_Grid[#Data],$DE286,90),0)</f>
        <v/>
      </c>
      <c r="CP286">
        <f>IFERROR(INDEX(PP_Grid[#Data],$DE286,91),0)</f>
        <v/>
      </c>
      <c r="CQ286">
        <f>IFERROR(INDEX(PP_Grid[#Data],$DE286,92),0)</f>
        <v/>
      </c>
      <c r="CR286">
        <f>IFERROR(INDEX(PP_Grid[#Data],$DE286,93),0)</f>
        <v/>
      </c>
      <c r="CS286">
        <f>IFERROR(INDEX(PP_Grid[#Data],$DE286,94),0)</f>
        <v/>
      </c>
      <c r="CT286">
        <f>IFERROR(INDEX(PP_Grid[#Data],$DE286,95),0)</f>
        <v/>
      </c>
      <c r="CU286">
        <f>IFERROR(INDEX(PP_Grid[#Data],$DE286,96),0)</f>
        <v/>
      </c>
      <c r="CV286">
        <f>IFERROR(INDEX(PP_Grid[#Data],$DE286,97),0)</f>
        <v/>
      </c>
      <c r="CW286">
        <f>IFERROR(INDEX(PP_Grid[#Data],$DE286,98),0)</f>
        <v/>
      </c>
      <c r="CX286">
        <f>IFERROR(INDEX(PP_Grid[#Data],$DE286,99),0)</f>
        <v/>
      </c>
      <c r="CY286">
        <f>IFERROR(INDEX(PP_Grid[#Data],$DE286,100),0)</f>
        <v/>
      </c>
      <c r="CZ286">
        <f>IFERROR(INDEX(PP_Grid[#Data],$DE286,101),0)</f>
        <v/>
      </c>
      <c r="DA286">
        <f>IFERROR(INDEX(PP_Grid[#Data],$DE286,102),0)</f>
        <v/>
      </c>
      <c r="DB286">
        <f>IFERROR(INDEX(PP_Grid[#Data],$DE286,103),0)</f>
        <v/>
      </c>
      <c r="DC286">
        <f>IFERROR(INDEX(PP_Grid[#Data],$DE286,104),0)</f>
        <v/>
      </c>
      <c r="DD286">
        <f>IFERROR(INDEX(PP_Grid[#Data],$DE286,105),0)</f>
        <v/>
      </c>
      <c r="DE286" s="7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SUMIFS(M_BOM[RM_Qty_Per_Batch],M_BOM[Intermediate],$B286,M_BOM[RM_Code],$A187)</f>
        <v/>
      </c>
      <c r="D287">
        <f>IFERROR(INDEX(E287:DD287,$F$1),"")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  <c r="DD287">
        <f>$C287*DD286</f>
        <v/>
      </c>
    </row>
    <row r="288">
      <c r="B288" t="inlineStr">
        <is>
          <t>VSP-600</t>
        </is>
      </c>
      <c r="C288" t="inlineStr">
        <is>
          <t>No. of batches</t>
        </is>
      </c>
      <c r="D288">
        <f>IFERROR(INDEX(E288:DD288,$F$1),"")</f>
        <v/>
      </c>
      <c r="E288">
        <f>IFERROR(INDEX(PP_Grid[#Data],$DE288,2),0)</f>
        <v/>
      </c>
      <c r="F288">
        <f>IFERROR(INDEX(PP_Grid[#Data],$DE288,3),0)</f>
        <v/>
      </c>
      <c r="G288">
        <f>IFERROR(INDEX(PP_Grid[#Data],$DE288,4),0)</f>
        <v/>
      </c>
      <c r="H288">
        <f>IFERROR(INDEX(PP_Grid[#Data],$DE288,5),0)</f>
        <v/>
      </c>
      <c r="I288">
        <f>IFERROR(INDEX(PP_Grid[#Data],$DE288,6),0)</f>
        <v/>
      </c>
      <c r="J288">
        <f>IFERROR(INDEX(PP_Grid[#Data],$DE288,7),0)</f>
        <v/>
      </c>
      <c r="K288">
        <f>IFERROR(INDEX(PP_Grid[#Data],$DE288,8),0)</f>
        <v/>
      </c>
      <c r="L288">
        <f>IFERROR(INDEX(PP_Grid[#Data],$DE288,9),0)</f>
        <v/>
      </c>
      <c r="M288">
        <f>IFERROR(INDEX(PP_Grid[#Data],$DE288,10),0)</f>
        <v/>
      </c>
      <c r="N288">
        <f>IFERROR(INDEX(PP_Grid[#Data],$DE288,11),0)</f>
        <v/>
      </c>
      <c r="O288">
        <f>IFERROR(INDEX(PP_Grid[#Data],$DE288,12),0)</f>
        <v/>
      </c>
      <c r="P288">
        <f>IFERROR(INDEX(PP_Grid[#Data],$DE288,13),0)</f>
        <v/>
      </c>
      <c r="Q288">
        <f>IFERROR(INDEX(PP_Grid[#Data],$DE288,14),0)</f>
        <v/>
      </c>
      <c r="R288">
        <f>IFERROR(INDEX(PP_Grid[#Data],$DE288,15),0)</f>
        <v/>
      </c>
      <c r="S288">
        <f>IFERROR(INDEX(PP_Grid[#Data],$DE288,16),0)</f>
        <v/>
      </c>
      <c r="T288">
        <f>IFERROR(INDEX(PP_Grid[#Data],$DE288,17),0)</f>
        <v/>
      </c>
      <c r="U288">
        <f>IFERROR(INDEX(PP_Grid[#Data],$DE288,18),0)</f>
        <v/>
      </c>
      <c r="V288">
        <f>IFERROR(INDEX(PP_Grid[#Data],$DE288,19),0)</f>
        <v/>
      </c>
      <c r="W288">
        <f>IFERROR(INDEX(PP_Grid[#Data],$DE288,20),0)</f>
        <v/>
      </c>
      <c r="X288">
        <f>IFERROR(INDEX(PP_Grid[#Data],$DE288,21),0)</f>
        <v/>
      </c>
      <c r="Y288">
        <f>IFERROR(INDEX(PP_Grid[#Data],$DE288,22),0)</f>
        <v/>
      </c>
      <c r="Z288">
        <f>IFERROR(INDEX(PP_Grid[#Data],$DE288,23),0)</f>
        <v/>
      </c>
      <c r="AA288">
        <f>IFERROR(INDEX(PP_Grid[#Data],$DE288,24),0)</f>
        <v/>
      </c>
      <c r="AB288">
        <f>IFERROR(INDEX(PP_Grid[#Data],$DE288,25),0)</f>
        <v/>
      </c>
      <c r="AC288">
        <f>IFERROR(INDEX(PP_Grid[#Data],$DE288,26),0)</f>
        <v/>
      </c>
      <c r="AD288">
        <f>IFERROR(INDEX(PP_Grid[#Data],$DE288,27),0)</f>
        <v/>
      </c>
      <c r="AE288">
        <f>IFERROR(INDEX(PP_Grid[#Data],$DE288,28),0)</f>
        <v/>
      </c>
      <c r="AF288">
        <f>IFERROR(INDEX(PP_Grid[#Data],$DE288,29),0)</f>
        <v/>
      </c>
      <c r="AG288">
        <f>IFERROR(INDEX(PP_Grid[#Data],$DE288,30),0)</f>
        <v/>
      </c>
      <c r="AH288">
        <f>IFERROR(INDEX(PP_Grid[#Data],$DE288,31),0)</f>
        <v/>
      </c>
      <c r="AI288">
        <f>IFERROR(INDEX(PP_Grid[#Data],$DE288,32),0)</f>
        <v/>
      </c>
      <c r="AJ288">
        <f>IFERROR(INDEX(PP_Grid[#Data],$DE288,33),0)</f>
        <v/>
      </c>
      <c r="AK288">
        <f>IFERROR(INDEX(PP_Grid[#Data],$DE288,34),0)</f>
        <v/>
      </c>
      <c r="AL288">
        <f>IFERROR(INDEX(PP_Grid[#Data],$DE288,35),0)</f>
        <v/>
      </c>
      <c r="AM288">
        <f>IFERROR(INDEX(PP_Grid[#Data],$DE288,36),0)</f>
        <v/>
      </c>
      <c r="AN288">
        <f>IFERROR(INDEX(PP_Grid[#Data],$DE288,37),0)</f>
        <v/>
      </c>
      <c r="AO288">
        <f>IFERROR(INDEX(PP_Grid[#Data],$DE288,38),0)</f>
        <v/>
      </c>
      <c r="AP288">
        <f>IFERROR(INDEX(PP_Grid[#Data],$DE288,39),0)</f>
        <v/>
      </c>
      <c r="AQ288">
        <f>IFERROR(INDEX(PP_Grid[#Data],$DE288,40),0)</f>
        <v/>
      </c>
      <c r="AR288">
        <f>IFERROR(INDEX(PP_Grid[#Data],$DE288,41),0)</f>
        <v/>
      </c>
      <c r="AS288">
        <f>IFERROR(INDEX(PP_Grid[#Data],$DE288,42),0)</f>
        <v/>
      </c>
      <c r="AT288">
        <f>IFERROR(INDEX(PP_Grid[#Data],$DE288,43),0)</f>
        <v/>
      </c>
      <c r="AU288">
        <f>IFERROR(INDEX(PP_Grid[#Data],$DE288,44),0)</f>
        <v/>
      </c>
      <c r="AV288">
        <f>IFERROR(INDEX(PP_Grid[#Data],$DE288,45),0)</f>
        <v/>
      </c>
      <c r="AW288">
        <f>IFERROR(INDEX(PP_Grid[#Data],$DE288,46),0)</f>
        <v/>
      </c>
      <c r="AX288">
        <f>IFERROR(INDEX(PP_Grid[#Data],$DE288,47),0)</f>
        <v/>
      </c>
      <c r="AY288">
        <f>IFERROR(INDEX(PP_Grid[#Data],$DE288,48),0)</f>
        <v/>
      </c>
      <c r="AZ288">
        <f>IFERROR(INDEX(PP_Grid[#Data],$DE288,49),0)</f>
        <v/>
      </c>
      <c r="BA288">
        <f>IFERROR(INDEX(PP_Grid[#Data],$DE288,50),0)</f>
        <v/>
      </c>
      <c r="BB288">
        <f>IFERROR(INDEX(PP_Grid[#Data],$DE288,51),0)</f>
        <v/>
      </c>
      <c r="BC288">
        <f>IFERROR(INDEX(PP_Grid[#Data],$DE288,52),0)</f>
        <v/>
      </c>
      <c r="BD288">
        <f>IFERROR(INDEX(PP_Grid[#Data],$DE288,53),0)</f>
        <v/>
      </c>
      <c r="BE288">
        <f>IFERROR(INDEX(PP_Grid[#Data],$DE288,54),0)</f>
        <v/>
      </c>
      <c r="BF288">
        <f>IFERROR(INDEX(PP_Grid[#Data],$DE288,55),0)</f>
        <v/>
      </c>
      <c r="BG288">
        <f>IFERROR(INDEX(PP_Grid[#Data],$DE288,56),0)</f>
        <v/>
      </c>
      <c r="BH288">
        <f>IFERROR(INDEX(PP_Grid[#Data],$DE288,57),0)</f>
        <v/>
      </c>
      <c r="BI288">
        <f>IFERROR(INDEX(PP_Grid[#Data],$DE288,58),0)</f>
        <v/>
      </c>
      <c r="BJ288">
        <f>IFERROR(INDEX(PP_Grid[#Data],$DE288,59),0)</f>
        <v/>
      </c>
      <c r="BK288">
        <f>IFERROR(INDEX(PP_Grid[#Data],$DE288,60),0)</f>
        <v/>
      </c>
      <c r="BL288">
        <f>IFERROR(INDEX(PP_Grid[#Data],$DE288,61),0)</f>
        <v/>
      </c>
      <c r="BM288">
        <f>IFERROR(INDEX(PP_Grid[#Data],$DE288,62),0)</f>
        <v/>
      </c>
      <c r="BN288">
        <f>IFERROR(INDEX(PP_Grid[#Data],$DE288,63),0)</f>
        <v/>
      </c>
      <c r="BO288">
        <f>IFERROR(INDEX(PP_Grid[#Data],$DE288,64),0)</f>
        <v/>
      </c>
      <c r="BP288">
        <f>IFERROR(INDEX(PP_Grid[#Data],$DE288,65),0)</f>
        <v/>
      </c>
      <c r="BQ288">
        <f>IFERROR(INDEX(PP_Grid[#Data],$DE288,66),0)</f>
        <v/>
      </c>
      <c r="BR288">
        <f>IFERROR(INDEX(PP_Grid[#Data],$DE288,67),0)</f>
        <v/>
      </c>
      <c r="BS288">
        <f>IFERROR(INDEX(PP_Grid[#Data],$DE288,68),0)</f>
        <v/>
      </c>
      <c r="BT288">
        <f>IFERROR(INDEX(PP_Grid[#Data],$DE288,69),0)</f>
        <v/>
      </c>
      <c r="BU288">
        <f>IFERROR(INDEX(PP_Grid[#Data],$DE288,70),0)</f>
        <v/>
      </c>
      <c r="BV288">
        <f>IFERROR(INDEX(PP_Grid[#Data],$DE288,71),0)</f>
        <v/>
      </c>
      <c r="BW288">
        <f>IFERROR(INDEX(PP_Grid[#Data],$DE288,72),0)</f>
        <v/>
      </c>
      <c r="BX288">
        <f>IFERROR(INDEX(PP_Grid[#Data],$DE288,73),0)</f>
        <v/>
      </c>
      <c r="BY288">
        <f>IFERROR(INDEX(PP_Grid[#Data],$DE288,74),0)</f>
        <v/>
      </c>
      <c r="BZ288">
        <f>IFERROR(INDEX(PP_Grid[#Data],$DE288,75),0)</f>
        <v/>
      </c>
      <c r="CA288">
        <f>IFERROR(INDEX(PP_Grid[#Data],$DE288,76),0)</f>
        <v/>
      </c>
      <c r="CB288">
        <f>IFERROR(INDEX(PP_Grid[#Data],$DE288,77),0)</f>
        <v/>
      </c>
      <c r="CC288">
        <f>IFERROR(INDEX(PP_Grid[#Data],$DE288,78),0)</f>
        <v/>
      </c>
      <c r="CD288">
        <f>IFERROR(INDEX(PP_Grid[#Data],$DE288,79),0)</f>
        <v/>
      </c>
      <c r="CE288">
        <f>IFERROR(INDEX(PP_Grid[#Data],$DE288,80),0)</f>
        <v/>
      </c>
      <c r="CF288">
        <f>IFERROR(INDEX(PP_Grid[#Data],$DE288,81),0)</f>
        <v/>
      </c>
      <c r="CG288">
        <f>IFERROR(INDEX(PP_Grid[#Data],$DE288,82),0)</f>
        <v/>
      </c>
      <c r="CH288">
        <f>IFERROR(INDEX(PP_Grid[#Data],$DE288,83),0)</f>
        <v/>
      </c>
      <c r="CI288">
        <f>IFERROR(INDEX(PP_Grid[#Data],$DE288,84),0)</f>
        <v/>
      </c>
      <c r="CJ288">
        <f>IFERROR(INDEX(PP_Grid[#Data],$DE288,85),0)</f>
        <v/>
      </c>
      <c r="CK288">
        <f>IFERROR(INDEX(PP_Grid[#Data],$DE288,86),0)</f>
        <v/>
      </c>
      <c r="CL288">
        <f>IFERROR(INDEX(PP_Grid[#Data],$DE288,87),0)</f>
        <v/>
      </c>
      <c r="CM288">
        <f>IFERROR(INDEX(PP_Grid[#Data],$DE288,88),0)</f>
        <v/>
      </c>
      <c r="CN288">
        <f>IFERROR(INDEX(PP_Grid[#Data],$DE288,89),0)</f>
        <v/>
      </c>
      <c r="CO288">
        <f>IFERROR(INDEX(PP_Grid[#Data],$DE288,90),0)</f>
        <v/>
      </c>
      <c r="CP288">
        <f>IFERROR(INDEX(PP_Grid[#Data],$DE288,91),0)</f>
        <v/>
      </c>
      <c r="CQ288">
        <f>IFERROR(INDEX(PP_Grid[#Data],$DE288,92),0)</f>
        <v/>
      </c>
      <c r="CR288">
        <f>IFERROR(INDEX(PP_Grid[#Data],$DE288,93),0)</f>
        <v/>
      </c>
      <c r="CS288">
        <f>IFERROR(INDEX(PP_Grid[#Data],$DE288,94),0)</f>
        <v/>
      </c>
      <c r="CT288">
        <f>IFERROR(INDEX(PP_Grid[#Data],$DE288,95),0)</f>
        <v/>
      </c>
      <c r="CU288">
        <f>IFERROR(INDEX(PP_Grid[#Data],$DE288,96),0)</f>
        <v/>
      </c>
      <c r="CV288">
        <f>IFERROR(INDEX(PP_Grid[#Data],$DE288,97),0)</f>
        <v/>
      </c>
      <c r="CW288">
        <f>IFERROR(INDEX(PP_Grid[#Data],$DE288,98),0)</f>
        <v/>
      </c>
      <c r="CX288">
        <f>IFERROR(INDEX(PP_Grid[#Data],$DE288,99),0)</f>
        <v/>
      </c>
      <c r="CY288">
        <f>IFERROR(INDEX(PP_Grid[#Data],$DE288,100),0)</f>
        <v/>
      </c>
      <c r="CZ288">
        <f>IFERROR(INDEX(PP_Grid[#Data],$DE288,101),0)</f>
        <v/>
      </c>
      <c r="DA288">
        <f>IFERROR(INDEX(PP_Grid[#Data],$DE288,102),0)</f>
        <v/>
      </c>
      <c r="DB288">
        <f>IFERROR(INDEX(PP_Grid[#Data],$DE288,103),0)</f>
        <v/>
      </c>
      <c r="DC288">
        <f>IFERROR(INDEX(PP_Grid[#Data],$DE288,104),0)</f>
        <v/>
      </c>
      <c r="DD288">
        <f>IFERROR(INDEX(PP_Grid[#Data],$DE288,105),0)</f>
        <v/>
      </c>
      <c r="DE288" s="7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SUMIFS(M_BOM[RM_Qty_Per_Batch],M_BOM[Intermediate],$B288,M_BOM[RM_Code],$A187)</f>
        <v/>
      </c>
      <c r="D289">
        <f>IFERROR(INDEX(E289:DD289,$F$1),"")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  <c r="DD289">
        <f>$C289*DD288</f>
        <v/>
      </c>
    </row>
    <row r="290">
      <c r="B290" t="inlineStr">
        <is>
          <t>VSP-601</t>
        </is>
      </c>
      <c r="C290" t="inlineStr">
        <is>
          <t>No. of batches</t>
        </is>
      </c>
      <c r="D290">
        <f>IFERROR(INDEX(E290:DD290,$F$1),"")</f>
        <v/>
      </c>
      <c r="E290">
        <f>IFERROR(INDEX(PP_Grid[#Data],$DE290,2),0)</f>
        <v/>
      </c>
      <c r="F290">
        <f>IFERROR(INDEX(PP_Grid[#Data],$DE290,3),0)</f>
        <v/>
      </c>
      <c r="G290">
        <f>IFERROR(INDEX(PP_Grid[#Data],$DE290,4),0)</f>
        <v/>
      </c>
      <c r="H290">
        <f>IFERROR(INDEX(PP_Grid[#Data],$DE290,5),0)</f>
        <v/>
      </c>
      <c r="I290">
        <f>IFERROR(INDEX(PP_Grid[#Data],$DE290,6),0)</f>
        <v/>
      </c>
      <c r="J290">
        <f>IFERROR(INDEX(PP_Grid[#Data],$DE290,7),0)</f>
        <v/>
      </c>
      <c r="K290">
        <f>IFERROR(INDEX(PP_Grid[#Data],$DE290,8),0)</f>
        <v/>
      </c>
      <c r="L290">
        <f>IFERROR(INDEX(PP_Grid[#Data],$DE290,9),0)</f>
        <v/>
      </c>
      <c r="M290">
        <f>IFERROR(INDEX(PP_Grid[#Data],$DE290,10),0)</f>
        <v/>
      </c>
      <c r="N290">
        <f>IFERROR(INDEX(PP_Grid[#Data],$DE290,11),0)</f>
        <v/>
      </c>
      <c r="O290">
        <f>IFERROR(INDEX(PP_Grid[#Data],$DE290,12),0)</f>
        <v/>
      </c>
      <c r="P290">
        <f>IFERROR(INDEX(PP_Grid[#Data],$DE290,13),0)</f>
        <v/>
      </c>
      <c r="Q290">
        <f>IFERROR(INDEX(PP_Grid[#Data],$DE290,14),0)</f>
        <v/>
      </c>
      <c r="R290">
        <f>IFERROR(INDEX(PP_Grid[#Data],$DE290,15),0)</f>
        <v/>
      </c>
      <c r="S290">
        <f>IFERROR(INDEX(PP_Grid[#Data],$DE290,16),0)</f>
        <v/>
      </c>
      <c r="T290">
        <f>IFERROR(INDEX(PP_Grid[#Data],$DE290,17),0)</f>
        <v/>
      </c>
      <c r="U290">
        <f>IFERROR(INDEX(PP_Grid[#Data],$DE290,18),0)</f>
        <v/>
      </c>
      <c r="V290">
        <f>IFERROR(INDEX(PP_Grid[#Data],$DE290,19),0)</f>
        <v/>
      </c>
      <c r="W290">
        <f>IFERROR(INDEX(PP_Grid[#Data],$DE290,20),0)</f>
        <v/>
      </c>
      <c r="X290">
        <f>IFERROR(INDEX(PP_Grid[#Data],$DE290,21),0)</f>
        <v/>
      </c>
      <c r="Y290">
        <f>IFERROR(INDEX(PP_Grid[#Data],$DE290,22),0)</f>
        <v/>
      </c>
      <c r="Z290">
        <f>IFERROR(INDEX(PP_Grid[#Data],$DE290,23),0)</f>
        <v/>
      </c>
      <c r="AA290">
        <f>IFERROR(INDEX(PP_Grid[#Data],$DE290,24),0)</f>
        <v/>
      </c>
      <c r="AB290">
        <f>IFERROR(INDEX(PP_Grid[#Data],$DE290,25),0)</f>
        <v/>
      </c>
      <c r="AC290">
        <f>IFERROR(INDEX(PP_Grid[#Data],$DE290,26),0)</f>
        <v/>
      </c>
      <c r="AD290">
        <f>IFERROR(INDEX(PP_Grid[#Data],$DE290,27),0)</f>
        <v/>
      </c>
      <c r="AE290">
        <f>IFERROR(INDEX(PP_Grid[#Data],$DE290,28),0)</f>
        <v/>
      </c>
      <c r="AF290">
        <f>IFERROR(INDEX(PP_Grid[#Data],$DE290,29),0)</f>
        <v/>
      </c>
      <c r="AG290">
        <f>IFERROR(INDEX(PP_Grid[#Data],$DE290,30),0)</f>
        <v/>
      </c>
      <c r="AH290">
        <f>IFERROR(INDEX(PP_Grid[#Data],$DE290,31),0)</f>
        <v/>
      </c>
      <c r="AI290">
        <f>IFERROR(INDEX(PP_Grid[#Data],$DE290,32),0)</f>
        <v/>
      </c>
      <c r="AJ290">
        <f>IFERROR(INDEX(PP_Grid[#Data],$DE290,33),0)</f>
        <v/>
      </c>
      <c r="AK290">
        <f>IFERROR(INDEX(PP_Grid[#Data],$DE290,34),0)</f>
        <v/>
      </c>
      <c r="AL290">
        <f>IFERROR(INDEX(PP_Grid[#Data],$DE290,35),0)</f>
        <v/>
      </c>
      <c r="AM290">
        <f>IFERROR(INDEX(PP_Grid[#Data],$DE290,36),0)</f>
        <v/>
      </c>
      <c r="AN290">
        <f>IFERROR(INDEX(PP_Grid[#Data],$DE290,37),0)</f>
        <v/>
      </c>
      <c r="AO290">
        <f>IFERROR(INDEX(PP_Grid[#Data],$DE290,38),0)</f>
        <v/>
      </c>
      <c r="AP290">
        <f>IFERROR(INDEX(PP_Grid[#Data],$DE290,39),0)</f>
        <v/>
      </c>
      <c r="AQ290">
        <f>IFERROR(INDEX(PP_Grid[#Data],$DE290,40),0)</f>
        <v/>
      </c>
      <c r="AR290">
        <f>IFERROR(INDEX(PP_Grid[#Data],$DE290,41),0)</f>
        <v/>
      </c>
      <c r="AS290">
        <f>IFERROR(INDEX(PP_Grid[#Data],$DE290,42),0)</f>
        <v/>
      </c>
      <c r="AT290">
        <f>IFERROR(INDEX(PP_Grid[#Data],$DE290,43),0)</f>
        <v/>
      </c>
      <c r="AU290">
        <f>IFERROR(INDEX(PP_Grid[#Data],$DE290,44),0)</f>
        <v/>
      </c>
      <c r="AV290">
        <f>IFERROR(INDEX(PP_Grid[#Data],$DE290,45),0)</f>
        <v/>
      </c>
      <c r="AW290">
        <f>IFERROR(INDEX(PP_Grid[#Data],$DE290,46),0)</f>
        <v/>
      </c>
      <c r="AX290">
        <f>IFERROR(INDEX(PP_Grid[#Data],$DE290,47),0)</f>
        <v/>
      </c>
      <c r="AY290">
        <f>IFERROR(INDEX(PP_Grid[#Data],$DE290,48),0)</f>
        <v/>
      </c>
      <c r="AZ290">
        <f>IFERROR(INDEX(PP_Grid[#Data],$DE290,49),0)</f>
        <v/>
      </c>
      <c r="BA290">
        <f>IFERROR(INDEX(PP_Grid[#Data],$DE290,50),0)</f>
        <v/>
      </c>
      <c r="BB290">
        <f>IFERROR(INDEX(PP_Grid[#Data],$DE290,51),0)</f>
        <v/>
      </c>
      <c r="BC290">
        <f>IFERROR(INDEX(PP_Grid[#Data],$DE290,52),0)</f>
        <v/>
      </c>
      <c r="BD290">
        <f>IFERROR(INDEX(PP_Grid[#Data],$DE290,53),0)</f>
        <v/>
      </c>
      <c r="BE290">
        <f>IFERROR(INDEX(PP_Grid[#Data],$DE290,54),0)</f>
        <v/>
      </c>
      <c r="BF290">
        <f>IFERROR(INDEX(PP_Grid[#Data],$DE290,55),0)</f>
        <v/>
      </c>
      <c r="BG290">
        <f>IFERROR(INDEX(PP_Grid[#Data],$DE290,56),0)</f>
        <v/>
      </c>
      <c r="BH290">
        <f>IFERROR(INDEX(PP_Grid[#Data],$DE290,57),0)</f>
        <v/>
      </c>
      <c r="BI290">
        <f>IFERROR(INDEX(PP_Grid[#Data],$DE290,58),0)</f>
        <v/>
      </c>
      <c r="BJ290">
        <f>IFERROR(INDEX(PP_Grid[#Data],$DE290,59),0)</f>
        <v/>
      </c>
      <c r="BK290">
        <f>IFERROR(INDEX(PP_Grid[#Data],$DE290,60),0)</f>
        <v/>
      </c>
      <c r="BL290">
        <f>IFERROR(INDEX(PP_Grid[#Data],$DE290,61),0)</f>
        <v/>
      </c>
      <c r="BM290">
        <f>IFERROR(INDEX(PP_Grid[#Data],$DE290,62),0)</f>
        <v/>
      </c>
      <c r="BN290">
        <f>IFERROR(INDEX(PP_Grid[#Data],$DE290,63),0)</f>
        <v/>
      </c>
      <c r="BO290">
        <f>IFERROR(INDEX(PP_Grid[#Data],$DE290,64),0)</f>
        <v/>
      </c>
      <c r="BP290">
        <f>IFERROR(INDEX(PP_Grid[#Data],$DE290,65),0)</f>
        <v/>
      </c>
      <c r="BQ290">
        <f>IFERROR(INDEX(PP_Grid[#Data],$DE290,66),0)</f>
        <v/>
      </c>
      <c r="BR290">
        <f>IFERROR(INDEX(PP_Grid[#Data],$DE290,67),0)</f>
        <v/>
      </c>
      <c r="BS290">
        <f>IFERROR(INDEX(PP_Grid[#Data],$DE290,68),0)</f>
        <v/>
      </c>
      <c r="BT290">
        <f>IFERROR(INDEX(PP_Grid[#Data],$DE290,69),0)</f>
        <v/>
      </c>
      <c r="BU290">
        <f>IFERROR(INDEX(PP_Grid[#Data],$DE290,70),0)</f>
        <v/>
      </c>
      <c r="BV290">
        <f>IFERROR(INDEX(PP_Grid[#Data],$DE290,71),0)</f>
        <v/>
      </c>
      <c r="BW290">
        <f>IFERROR(INDEX(PP_Grid[#Data],$DE290,72),0)</f>
        <v/>
      </c>
      <c r="BX290">
        <f>IFERROR(INDEX(PP_Grid[#Data],$DE290,73),0)</f>
        <v/>
      </c>
      <c r="BY290">
        <f>IFERROR(INDEX(PP_Grid[#Data],$DE290,74),0)</f>
        <v/>
      </c>
      <c r="BZ290">
        <f>IFERROR(INDEX(PP_Grid[#Data],$DE290,75),0)</f>
        <v/>
      </c>
      <c r="CA290">
        <f>IFERROR(INDEX(PP_Grid[#Data],$DE290,76),0)</f>
        <v/>
      </c>
      <c r="CB290">
        <f>IFERROR(INDEX(PP_Grid[#Data],$DE290,77),0)</f>
        <v/>
      </c>
      <c r="CC290">
        <f>IFERROR(INDEX(PP_Grid[#Data],$DE290,78),0)</f>
        <v/>
      </c>
      <c r="CD290">
        <f>IFERROR(INDEX(PP_Grid[#Data],$DE290,79),0)</f>
        <v/>
      </c>
      <c r="CE290">
        <f>IFERROR(INDEX(PP_Grid[#Data],$DE290,80),0)</f>
        <v/>
      </c>
      <c r="CF290">
        <f>IFERROR(INDEX(PP_Grid[#Data],$DE290,81),0)</f>
        <v/>
      </c>
      <c r="CG290">
        <f>IFERROR(INDEX(PP_Grid[#Data],$DE290,82),0)</f>
        <v/>
      </c>
      <c r="CH290">
        <f>IFERROR(INDEX(PP_Grid[#Data],$DE290,83),0)</f>
        <v/>
      </c>
      <c r="CI290">
        <f>IFERROR(INDEX(PP_Grid[#Data],$DE290,84),0)</f>
        <v/>
      </c>
      <c r="CJ290">
        <f>IFERROR(INDEX(PP_Grid[#Data],$DE290,85),0)</f>
        <v/>
      </c>
      <c r="CK290">
        <f>IFERROR(INDEX(PP_Grid[#Data],$DE290,86),0)</f>
        <v/>
      </c>
      <c r="CL290">
        <f>IFERROR(INDEX(PP_Grid[#Data],$DE290,87),0)</f>
        <v/>
      </c>
      <c r="CM290">
        <f>IFERROR(INDEX(PP_Grid[#Data],$DE290,88),0)</f>
        <v/>
      </c>
      <c r="CN290">
        <f>IFERROR(INDEX(PP_Grid[#Data],$DE290,89),0)</f>
        <v/>
      </c>
      <c r="CO290">
        <f>IFERROR(INDEX(PP_Grid[#Data],$DE290,90),0)</f>
        <v/>
      </c>
      <c r="CP290">
        <f>IFERROR(INDEX(PP_Grid[#Data],$DE290,91),0)</f>
        <v/>
      </c>
      <c r="CQ290">
        <f>IFERROR(INDEX(PP_Grid[#Data],$DE290,92),0)</f>
        <v/>
      </c>
      <c r="CR290">
        <f>IFERROR(INDEX(PP_Grid[#Data],$DE290,93),0)</f>
        <v/>
      </c>
      <c r="CS290">
        <f>IFERROR(INDEX(PP_Grid[#Data],$DE290,94),0)</f>
        <v/>
      </c>
      <c r="CT290">
        <f>IFERROR(INDEX(PP_Grid[#Data],$DE290,95),0)</f>
        <v/>
      </c>
      <c r="CU290">
        <f>IFERROR(INDEX(PP_Grid[#Data],$DE290,96),0)</f>
        <v/>
      </c>
      <c r="CV290">
        <f>IFERROR(INDEX(PP_Grid[#Data],$DE290,97),0)</f>
        <v/>
      </c>
      <c r="CW290">
        <f>IFERROR(INDEX(PP_Grid[#Data],$DE290,98),0)</f>
        <v/>
      </c>
      <c r="CX290">
        <f>IFERROR(INDEX(PP_Grid[#Data],$DE290,99),0)</f>
        <v/>
      </c>
      <c r="CY290">
        <f>IFERROR(INDEX(PP_Grid[#Data],$DE290,100),0)</f>
        <v/>
      </c>
      <c r="CZ290">
        <f>IFERROR(INDEX(PP_Grid[#Data],$DE290,101),0)</f>
        <v/>
      </c>
      <c r="DA290">
        <f>IFERROR(INDEX(PP_Grid[#Data],$DE290,102),0)</f>
        <v/>
      </c>
      <c r="DB290">
        <f>IFERROR(INDEX(PP_Grid[#Data],$DE290,103),0)</f>
        <v/>
      </c>
      <c r="DC290">
        <f>IFERROR(INDEX(PP_Grid[#Data],$DE290,104),0)</f>
        <v/>
      </c>
      <c r="DD290">
        <f>IFERROR(INDEX(PP_Grid[#Data],$DE290,105),0)</f>
        <v/>
      </c>
      <c r="DE290" s="7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SUMIFS(M_BOM[RM_Qty_Per_Batch],M_BOM[Intermediate],$B290,M_BOM[RM_Code],$A187)</f>
        <v/>
      </c>
      <c r="D291">
        <f>IFERROR(INDEX(E291:DD291,$F$1),"")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  <c r="DD291">
        <f>$C291*DD290</f>
        <v/>
      </c>
    </row>
    <row r="292">
      <c r="B292" t="inlineStr">
        <is>
          <t>VSP-602</t>
        </is>
      </c>
      <c r="C292" t="inlineStr">
        <is>
          <t>No. of batches</t>
        </is>
      </c>
      <c r="D292">
        <f>IFERROR(INDEX(E292:DD292,$F$1),"")</f>
        <v/>
      </c>
      <c r="E292">
        <f>IFERROR(INDEX(PP_Grid[#Data],$DE292,2),0)</f>
        <v/>
      </c>
      <c r="F292">
        <f>IFERROR(INDEX(PP_Grid[#Data],$DE292,3),0)</f>
        <v/>
      </c>
      <c r="G292">
        <f>IFERROR(INDEX(PP_Grid[#Data],$DE292,4),0)</f>
        <v/>
      </c>
      <c r="H292">
        <f>IFERROR(INDEX(PP_Grid[#Data],$DE292,5),0)</f>
        <v/>
      </c>
      <c r="I292">
        <f>IFERROR(INDEX(PP_Grid[#Data],$DE292,6),0)</f>
        <v/>
      </c>
      <c r="J292">
        <f>IFERROR(INDEX(PP_Grid[#Data],$DE292,7),0)</f>
        <v/>
      </c>
      <c r="K292">
        <f>IFERROR(INDEX(PP_Grid[#Data],$DE292,8),0)</f>
        <v/>
      </c>
      <c r="L292">
        <f>IFERROR(INDEX(PP_Grid[#Data],$DE292,9),0)</f>
        <v/>
      </c>
      <c r="M292">
        <f>IFERROR(INDEX(PP_Grid[#Data],$DE292,10),0)</f>
        <v/>
      </c>
      <c r="N292">
        <f>IFERROR(INDEX(PP_Grid[#Data],$DE292,11),0)</f>
        <v/>
      </c>
      <c r="O292">
        <f>IFERROR(INDEX(PP_Grid[#Data],$DE292,12),0)</f>
        <v/>
      </c>
      <c r="P292">
        <f>IFERROR(INDEX(PP_Grid[#Data],$DE292,13),0)</f>
        <v/>
      </c>
      <c r="Q292">
        <f>IFERROR(INDEX(PP_Grid[#Data],$DE292,14),0)</f>
        <v/>
      </c>
      <c r="R292">
        <f>IFERROR(INDEX(PP_Grid[#Data],$DE292,15),0)</f>
        <v/>
      </c>
      <c r="S292">
        <f>IFERROR(INDEX(PP_Grid[#Data],$DE292,16),0)</f>
        <v/>
      </c>
      <c r="T292">
        <f>IFERROR(INDEX(PP_Grid[#Data],$DE292,17),0)</f>
        <v/>
      </c>
      <c r="U292">
        <f>IFERROR(INDEX(PP_Grid[#Data],$DE292,18),0)</f>
        <v/>
      </c>
      <c r="V292">
        <f>IFERROR(INDEX(PP_Grid[#Data],$DE292,19),0)</f>
        <v/>
      </c>
      <c r="W292">
        <f>IFERROR(INDEX(PP_Grid[#Data],$DE292,20),0)</f>
        <v/>
      </c>
      <c r="X292">
        <f>IFERROR(INDEX(PP_Grid[#Data],$DE292,21),0)</f>
        <v/>
      </c>
      <c r="Y292">
        <f>IFERROR(INDEX(PP_Grid[#Data],$DE292,22),0)</f>
        <v/>
      </c>
      <c r="Z292">
        <f>IFERROR(INDEX(PP_Grid[#Data],$DE292,23),0)</f>
        <v/>
      </c>
      <c r="AA292">
        <f>IFERROR(INDEX(PP_Grid[#Data],$DE292,24),0)</f>
        <v/>
      </c>
      <c r="AB292">
        <f>IFERROR(INDEX(PP_Grid[#Data],$DE292,25),0)</f>
        <v/>
      </c>
      <c r="AC292">
        <f>IFERROR(INDEX(PP_Grid[#Data],$DE292,26),0)</f>
        <v/>
      </c>
      <c r="AD292">
        <f>IFERROR(INDEX(PP_Grid[#Data],$DE292,27),0)</f>
        <v/>
      </c>
      <c r="AE292">
        <f>IFERROR(INDEX(PP_Grid[#Data],$DE292,28),0)</f>
        <v/>
      </c>
      <c r="AF292">
        <f>IFERROR(INDEX(PP_Grid[#Data],$DE292,29),0)</f>
        <v/>
      </c>
      <c r="AG292">
        <f>IFERROR(INDEX(PP_Grid[#Data],$DE292,30),0)</f>
        <v/>
      </c>
      <c r="AH292">
        <f>IFERROR(INDEX(PP_Grid[#Data],$DE292,31),0)</f>
        <v/>
      </c>
      <c r="AI292">
        <f>IFERROR(INDEX(PP_Grid[#Data],$DE292,32),0)</f>
        <v/>
      </c>
      <c r="AJ292">
        <f>IFERROR(INDEX(PP_Grid[#Data],$DE292,33),0)</f>
        <v/>
      </c>
      <c r="AK292">
        <f>IFERROR(INDEX(PP_Grid[#Data],$DE292,34),0)</f>
        <v/>
      </c>
      <c r="AL292">
        <f>IFERROR(INDEX(PP_Grid[#Data],$DE292,35),0)</f>
        <v/>
      </c>
      <c r="AM292">
        <f>IFERROR(INDEX(PP_Grid[#Data],$DE292,36),0)</f>
        <v/>
      </c>
      <c r="AN292">
        <f>IFERROR(INDEX(PP_Grid[#Data],$DE292,37),0)</f>
        <v/>
      </c>
      <c r="AO292">
        <f>IFERROR(INDEX(PP_Grid[#Data],$DE292,38),0)</f>
        <v/>
      </c>
      <c r="AP292">
        <f>IFERROR(INDEX(PP_Grid[#Data],$DE292,39),0)</f>
        <v/>
      </c>
      <c r="AQ292">
        <f>IFERROR(INDEX(PP_Grid[#Data],$DE292,40),0)</f>
        <v/>
      </c>
      <c r="AR292">
        <f>IFERROR(INDEX(PP_Grid[#Data],$DE292,41),0)</f>
        <v/>
      </c>
      <c r="AS292">
        <f>IFERROR(INDEX(PP_Grid[#Data],$DE292,42),0)</f>
        <v/>
      </c>
      <c r="AT292">
        <f>IFERROR(INDEX(PP_Grid[#Data],$DE292,43),0)</f>
        <v/>
      </c>
      <c r="AU292">
        <f>IFERROR(INDEX(PP_Grid[#Data],$DE292,44),0)</f>
        <v/>
      </c>
      <c r="AV292">
        <f>IFERROR(INDEX(PP_Grid[#Data],$DE292,45),0)</f>
        <v/>
      </c>
      <c r="AW292">
        <f>IFERROR(INDEX(PP_Grid[#Data],$DE292,46),0)</f>
        <v/>
      </c>
      <c r="AX292">
        <f>IFERROR(INDEX(PP_Grid[#Data],$DE292,47),0)</f>
        <v/>
      </c>
      <c r="AY292">
        <f>IFERROR(INDEX(PP_Grid[#Data],$DE292,48),0)</f>
        <v/>
      </c>
      <c r="AZ292">
        <f>IFERROR(INDEX(PP_Grid[#Data],$DE292,49),0)</f>
        <v/>
      </c>
      <c r="BA292">
        <f>IFERROR(INDEX(PP_Grid[#Data],$DE292,50),0)</f>
        <v/>
      </c>
      <c r="BB292">
        <f>IFERROR(INDEX(PP_Grid[#Data],$DE292,51),0)</f>
        <v/>
      </c>
      <c r="BC292">
        <f>IFERROR(INDEX(PP_Grid[#Data],$DE292,52),0)</f>
        <v/>
      </c>
      <c r="BD292">
        <f>IFERROR(INDEX(PP_Grid[#Data],$DE292,53),0)</f>
        <v/>
      </c>
      <c r="BE292">
        <f>IFERROR(INDEX(PP_Grid[#Data],$DE292,54),0)</f>
        <v/>
      </c>
      <c r="BF292">
        <f>IFERROR(INDEX(PP_Grid[#Data],$DE292,55),0)</f>
        <v/>
      </c>
      <c r="BG292">
        <f>IFERROR(INDEX(PP_Grid[#Data],$DE292,56),0)</f>
        <v/>
      </c>
      <c r="BH292">
        <f>IFERROR(INDEX(PP_Grid[#Data],$DE292,57),0)</f>
        <v/>
      </c>
      <c r="BI292">
        <f>IFERROR(INDEX(PP_Grid[#Data],$DE292,58),0)</f>
        <v/>
      </c>
      <c r="BJ292">
        <f>IFERROR(INDEX(PP_Grid[#Data],$DE292,59),0)</f>
        <v/>
      </c>
      <c r="BK292">
        <f>IFERROR(INDEX(PP_Grid[#Data],$DE292,60),0)</f>
        <v/>
      </c>
      <c r="BL292">
        <f>IFERROR(INDEX(PP_Grid[#Data],$DE292,61),0)</f>
        <v/>
      </c>
      <c r="BM292">
        <f>IFERROR(INDEX(PP_Grid[#Data],$DE292,62),0)</f>
        <v/>
      </c>
      <c r="BN292">
        <f>IFERROR(INDEX(PP_Grid[#Data],$DE292,63),0)</f>
        <v/>
      </c>
      <c r="BO292">
        <f>IFERROR(INDEX(PP_Grid[#Data],$DE292,64),0)</f>
        <v/>
      </c>
      <c r="BP292">
        <f>IFERROR(INDEX(PP_Grid[#Data],$DE292,65),0)</f>
        <v/>
      </c>
      <c r="BQ292">
        <f>IFERROR(INDEX(PP_Grid[#Data],$DE292,66),0)</f>
        <v/>
      </c>
      <c r="BR292">
        <f>IFERROR(INDEX(PP_Grid[#Data],$DE292,67),0)</f>
        <v/>
      </c>
      <c r="BS292">
        <f>IFERROR(INDEX(PP_Grid[#Data],$DE292,68),0)</f>
        <v/>
      </c>
      <c r="BT292">
        <f>IFERROR(INDEX(PP_Grid[#Data],$DE292,69),0)</f>
        <v/>
      </c>
      <c r="BU292">
        <f>IFERROR(INDEX(PP_Grid[#Data],$DE292,70),0)</f>
        <v/>
      </c>
      <c r="BV292">
        <f>IFERROR(INDEX(PP_Grid[#Data],$DE292,71),0)</f>
        <v/>
      </c>
      <c r="BW292">
        <f>IFERROR(INDEX(PP_Grid[#Data],$DE292,72),0)</f>
        <v/>
      </c>
      <c r="BX292">
        <f>IFERROR(INDEX(PP_Grid[#Data],$DE292,73),0)</f>
        <v/>
      </c>
      <c r="BY292">
        <f>IFERROR(INDEX(PP_Grid[#Data],$DE292,74),0)</f>
        <v/>
      </c>
      <c r="BZ292">
        <f>IFERROR(INDEX(PP_Grid[#Data],$DE292,75),0)</f>
        <v/>
      </c>
      <c r="CA292">
        <f>IFERROR(INDEX(PP_Grid[#Data],$DE292,76),0)</f>
        <v/>
      </c>
      <c r="CB292">
        <f>IFERROR(INDEX(PP_Grid[#Data],$DE292,77),0)</f>
        <v/>
      </c>
      <c r="CC292">
        <f>IFERROR(INDEX(PP_Grid[#Data],$DE292,78),0)</f>
        <v/>
      </c>
      <c r="CD292">
        <f>IFERROR(INDEX(PP_Grid[#Data],$DE292,79),0)</f>
        <v/>
      </c>
      <c r="CE292">
        <f>IFERROR(INDEX(PP_Grid[#Data],$DE292,80),0)</f>
        <v/>
      </c>
      <c r="CF292">
        <f>IFERROR(INDEX(PP_Grid[#Data],$DE292,81),0)</f>
        <v/>
      </c>
      <c r="CG292">
        <f>IFERROR(INDEX(PP_Grid[#Data],$DE292,82),0)</f>
        <v/>
      </c>
      <c r="CH292">
        <f>IFERROR(INDEX(PP_Grid[#Data],$DE292,83),0)</f>
        <v/>
      </c>
      <c r="CI292">
        <f>IFERROR(INDEX(PP_Grid[#Data],$DE292,84),0)</f>
        <v/>
      </c>
      <c r="CJ292">
        <f>IFERROR(INDEX(PP_Grid[#Data],$DE292,85),0)</f>
        <v/>
      </c>
      <c r="CK292">
        <f>IFERROR(INDEX(PP_Grid[#Data],$DE292,86),0)</f>
        <v/>
      </c>
      <c r="CL292">
        <f>IFERROR(INDEX(PP_Grid[#Data],$DE292,87),0)</f>
        <v/>
      </c>
      <c r="CM292">
        <f>IFERROR(INDEX(PP_Grid[#Data],$DE292,88),0)</f>
        <v/>
      </c>
      <c r="CN292">
        <f>IFERROR(INDEX(PP_Grid[#Data],$DE292,89),0)</f>
        <v/>
      </c>
      <c r="CO292">
        <f>IFERROR(INDEX(PP_Grid[#Data],$DE292,90),0)</f>
        <v/>
      </c>
      <c r="CP292">
        <f>IFERROR(INDEX(PP_Grid[#Data],$DE292,91),0)</f>
        <v/>
      </c>
      <c r="CQ292">
        <f>IFERROR(INDEX(PP_Grid[#Data],$DE292,92),0)</f>
        <v/>
      </c>
      <c r="CR292">
        <f>IFERROR(INDEX(PP_Grid[#Data],$DE292,93),0)</f>
        <v/>
      </c>
      <c r="CS292">
        <f>IFERROR(INDEX(PP_Grid[#Data],$DE292,94),0)</f>
        <v/>
      </c>
      <c r="CT292">
        <f>IFERROR(INDEX(PP_Grid[#Data],$DE292,95),0)</f>
        <v/>
      </c>
      <c r="CU292">
        <f>IFERROR(INDEX(PP_Grid[#Data],$DE292,96),0)</f>
        <v/>
      </c>
      <c r="CV292">
        <f>IFERROR(INDEX(PP_Grid[#Data],$DE292,97),0)</f>
        <v/>
      </c>
      <c r="CW292">
        <f>IFERROR(INDEX(PP_Grid[#Data],$DE292,98),0)</f>
        <v/>
      </c>
      <c r="CX292">
        <f>IFERROR(INDEX(PP_Grid[#Data],$DE292,99),0)</f>
        <v/>
      </c>
      <c r="CY292">
        <f>IFERROR(INDEX(PP_Grid[#Data],$DE292,100),0)</f>
        <v/>
      </c>
      <c r="CZ292">
        <f>IFERROR(INDEX(PP_Grid[#Data],$DE292,101),0)</f>
        <v/>
      </c>
      <c r="DA292">
        <f>IFERROR(INDEX(PP_Grid[#Data],$DE292,102),0)</f>
        <v/>
      </c>
      <c r="DB292">
        <f>IFERROR(INDEX(PP_Grid[#Data],$DE292,103),0)</f>
        <v/>
      </c>
      <c r="DC292">
        <f>IFERROR(INDEX(PP_Grid[#Data],$DE292,104),0)</f>
        <v/>
      </c>
      <c r="DD292">
        <f>IFERROR(INDEX(PP_Grid[#Data],$DE292,105),0)</f>
        <v/>
      </c>
      <c r="DE292" s="7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SUMIFS(M_BOM[RM_Qty_Per_Batch],M_BOM[Intermediate],$B292,M_BOM[RM_Code],$A187)</f>
        <v/>
      </c>
      <c r="D293">
        <f>IFERROR(INDEX(E293:DD293,$F$1),"")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  <c r="DD293">
        <f>$C293*DD292</f>
        <v/>
      </c>
    </row>
    <row r="294">
      <c r="B294" t="inlineStr">
        <is>
          <t>VSP-603</t>
        </is>
      </c>
      <c r="C294" t="inlineStr">
        <is>
          <t>No. of batches</t>
        </is>
      </c>
      <c r="D294">
        <f>IFERROR(INDEX(E294:DD294,$F$1),"")</f>
        <v/>
      </c>
      <c r="E294">
        <f>IFERROR(INDEX(PP_Grid[#Data],$DE294,2),0)</f>
        <v/>
      </c>
      <c r="F294">
        <f>IFERROR(INDEX(PP_Grid[#Data],$DE294,3),0)</f>
        <v/>
      </c>
      <c r="G294">
        <f>IFERROR(INDEX(PP_Grid[#Data],$DE294,4),0)</f>
        <v/>
      </c>
      <c r="H294">
        <f>IFERROR(INDEX(PP_Grid[#Data],$DE294,5),0)</f>
        <v/>
      </c>
      <c r="I294">
        <f>IFERROR(INDEX(PP_Grid[#Data],$DE294,6),0)</f>
        <v/>
      </c>
      <c r="J294">
        <f>IFERROR(INDEX(PP_Grid[#Data],$DE294,7),0)</f>
        <v/>
      </c>
      <c r="K294">
        <f>IFERROR(INDEX(PP_Grid[#Data],$DE294,8),0)</f>
        <v/>
      </c>
      <c r="L294">
        <f>IFERROR(INDEX(PP_Grid[#Data],$DE294,9),0)</f>
        <v/>
      </c>
      <c r="M294">
        <f>IFERROR(INDEX(PP_Grid[#Data],$DE294,10),0)</f>
        <v/>
      </c>
      <c r="N294">
        <f>IFERROR(INDEX(PP_Grid[#Data],$DE294,11),0)</f>
        <v/>
      </c>
      <c r="O294">
        <f>IFERROR(INDEX(PP_Grid[#Data],$DE294,12),0)</f>
        <v/>
      </c>
      <c r="P294">
        <f>IFERROR(INDEX(PP_Grid[#Data],$DE294,13),0)</f>
        <v/>
      </c>
      <c r="Q294">
        <f>IFERROR(INDEX(PP_Grid[#Data],$DE294,14),0)</f>
        <v/>
      </c>
      <c r="R294">
        <f>IFERROR(INDEX(PP_Grid[#Data],$DE294,15),0)</f>
        <v/>
      </c>
      <c r="S294">
        <f>IFERROR(INDEX(PP_Grid[#Data],$DE294,16),0)</f>
        <v/>
      </c>
      <c r="T294">
        <f>IFERROR(INDEX(PP_Grid[#Data],$DE294,17),0)</f>
        <v/>
      </c>
      <c r="U294">
        <f>IFERROR(INDEX(PP_Grid[#Data],$DE294,18),0)</f>
        <v/>
      </c>
      <c r="V294">
        <f>IFERROR(INDEX(PP_Grid[#Data],$DE294,19),0)</f>
        <v/>
      </c>
      <c r="W294">
        <f>IFERROR(INDEX(PP_Grid[#Data],$DE294,20),0)</f>
        <v/>
      </c>
      <c r="X294">
        <f>IFERROR(INDEX(PP_Grid[#Data],$DE294,21),0)</f>
        <v/>
      </c>
      <c r="Y294">
        <f>IFERROR(INDEX(PP_Grid[#Data],$DE294,22),0)</f>
        <v/>
      </c>
      <c r="Z294">
        <f>IFERROR(INDEX(PP_Grid[#Data],$DE294,23),0)</f>
        <v/>
      </c>
      <c r="AA294">
        <f>IFERROR(INDEX(PP_Grid[#Data],$DE294,24),0)</f>
        <v/>
      </c>
      <c r="AB294">
        <f>IFERROR(INDEX(PP_Grid[#Data],$DE294,25),0)</f>
        <v/>
      </c>
      <c r="AC294">
        <f>IFERROR(INDEX(PP_Grid[#Data],$DE294,26),0)</f>
        <v/>
      </c>
      <c r="AD294">
        <f>IFERROR(INDEX(PP_Grid[#Data],$DE294,27),0)</f>
        <v/>
      </c>
      <c r="AE294">
        <f>IFERROR(INDEX(PP_Grid[#Data],$DE294,28),0)</f>
        <v/>
      </c>
      <c r="AF294">
        <f>IFERROR(INDEX(PP_Grid[#Data],$DE294,29),0)</f>
        <v/>
      </c>
      <c r="AG294">
        <f>IFERROR(INDEX(PP_Grid[#Data],$DE294,30),0)</f>
        <v/>
      </c>
      <c r="AH294">
        <f>IFERROR(INDEX(PP_Grid[#Data],$DE294,31),0)</f>
        <v/>
      </c>
      <c r="AI294">
        <f>IFERROR(INDEX(PP_Grid[#Data],$DE294,32),0)</f>
        <v/>
      </c>
      <c r="AJ294">
        <f>IFERROR(INDEX(PP_Grid[#Data],$DE294,33),0)</f>
        <v/>
      </c>
      <c r="AK294">
        <f>IFERROR(INDEX(PP_Grid[#Data],$DE294,34),0)</f>
        <v/>
      </c>
      <c r="AL294">
        <f>IFERROR(INDEX(PP_Grid[#Data],$DE294,35),0)</f>
        <v/>
      </c>
      <c r="AM294">
        <f>IFERROR(INDEX(PP_Grid[#Data],$DE294,36),0)</f>
        <v/>
      </c>
      <c r="AN294">
        <f>IFERROR(INDEX(PP_Grid[#Data],$DE294,37),0)</f>
        <v/>
      </c>
      <c r="AO294">
        <f>IFERROR(INDEX(PP_Grid[#Data],$DE294,38),0)</f>
        <v/>
      </c>
      <c r="AP294">
        <f>IFERROR(INDEX(PP_Grid[#Data],$DE294,39),0)</f>
        <v/>
      </c>
      <c r="AQ294">
        <f>IFERROR(INDEX(PP_Grid[#Data],$DE294,40),0)</f>
        <v/>
      </c>
      <c r="AR294">
        <f>IFERROR(INDEX(PP_Grid[#Data],$DE294,41),0)</f>
        <v/>
      </c>
      <c r="AS294">
        <f>IFERROR(INDEX(PP_Grid[#Data],$DE294,42),0)</f>
        <v/>
      </c>
      <c r="AT294">
        <f>IFERROR(INDEX(PP_Grid[#Data],$DE294,43),0)</f>
        <v/>
      </c>
      <c r="AU294">
        <f>IFERROR(INDEX(PP_Grid[#Data],$DE294,44),0)</f>
        <v/>
      </c>
      <c r="AV294">
        <f>IFERROR(INDEX(PP_Grid[#Data],$DE294,45),0)</f>
        <v/>
      </c>
      <c r="AW294">
        <f>IFERROR(INDEX(PP_Grid[#Data],$DE294,46),0)</f>
        <v/>
      </c>
      <c r="AX294">
        <f>IFERROR(INDEX(PP_Grid[#Data],$DE294,47),0)</f>
        <v/>
      </c>
      <c r="AY294">
        <f>IFERROR(INDEX(PP_Grid[#Data],$DE294,48),0)</f>
        <v/>
      </c>
      <c r="AZ294">
        <f>IFERROR(INDEX(PP_Grid[#Data],$DE294,49),0)</f>
        <v/>
      </c>
      <c r="BA294">
        <f>IFERROR(INDEX(PP_Grid[#Data],$DE294,50),0)</f>
        <v/>
      </c>
      <c r="BB294">
        <f>IFERROR(INDEX(PP_Grid[#Data],$DE294,51),0)</f>
        <v/>
      </c>
      <c r="BC294">
        <f>IFERROR(INDEX(PP_Grid[#Data],$DE294,52),0)</f>
        <v/>
      </c>
      <c r="BD294">
        <f>IFERROR(INDEX(PP_Grid[#Data],$DE294,53),0)</f>
        <v/>
      </c>
      <c r="BE294">
        <f>IFERROR(INDEX(PP_Grid[#Data],$DE294,54),0)</f>
        <v/>
      </c>
      <c r="BF294">
        <f>IFERROR(INDEX(PP_Grid[#Data],$DE294,55),0)</f>
        <v/>
      </c>
      <c r="BG294">
        <f>IFERROR(INDEX(PP_Grid[#Data],$DE294,56),0)</f>
        <v/>
      </c>
      <c r="BH294">
        <f>IFERROR(INDEX(PP_Grid[#Data],$DE294,57),0)</f>
        <v/>
      </c>
      <c r="BI294">
        <f>IFERROR(INDEX(PP_Grid[#Data],$DE294,58),0)</f>
        <v/>
      </c>
      <c r="BJ294">
        <f>IFERROR(INDEX(PP_Grid[#Data],$DE294,59),0)</f>
        <v/>
      </c>
      <c r="BK294">
        <f>IFERROR(INDEX(PP_Grid[#Data],$DE294,60),0)</f>
        <v/>
      </c>
      <c r="BL294">
        <f>IFERROR(INDEX(PP_Grid[#Data],$DE294,61),0)</f>
        <v/>
      </c>
      <c r="BM294">
        <f>IFERROR(INDEX(PP_Grid[#Data],$DE294,62),0)</f>
        <v/>
      </c>
      <c r="BN294">
        <f>IFERROR(INDEX(PP_Grid[#Data],$DE294,63),0)</f>
        <v/>
      </c>
      <c r="BO294">
        <f>IFERROR(INDEX(PP_Grid[#Data],$DE294,64),0)</f>
        <v/>
      </c>
      <c r="BP294">
        <f>IFERROR(INDEX(PP_Grid[#Data],$DE294,65),0)</f>
        <v/>
      </c>
      <c r="BQ294">
        <f>IFERROR(INDEX(PP_Grid[#Data],$DE294,66),0)</f>
        <v/>
      </c>
      <c r="BR294">
        <f>IFERROR(INDEX(PP_Grid[#Data],$DE294,67),0)</f>
        <v/>
      </c>
      <c r="BS294">
        <f>IFERROR(INDEX(PP_Grid[#Data],$DE294,68),0)</f>
        <v/>
      </c>
      <c r="BT294">
        <f>IFERROR(INDEX(PP_Grid[#Data],$DE294,69),0)</f>
        <v/>
      </c>
      <c r="BU294">
        <f>IFERROR(INDEX(PP_Grid[#Data],$DE294,70),0)</f>
        <v/>
      </c>
      <c r="BV294">
        <f>IFERROR(INDEX(PP_Grid[#Data],$DE294,71),0)</f>
        <v/>
      </c>
      <c r="BW294">
        <f>IFERROR(INDEX(PP_Grid[#Data],$DE294,72),0)</f>
        <v/>
      </c>
      <c r="BX294">
        <f>IFERROR(INDEX(PP_Grid[#Data],$DE294,73),0)</f>
        <v/>
      </c>
      <c r="BY294">
        <f>IFERROR(INDEX(PP_Grid[#Data],$DE294,74),0)</f>
        <v/>
      </c>
      <c r="BZ294">
        <f>IFERROR(INDEX(PP_Grid[#Data],$DE294,75),0)</f>
        <v/>
      </c>
      <c r="CA294">
        <f>IFERROR(INDEX(PP_Grid[#Data],$DE294,76),0)</f>
        <v/>
      </c>
      <c r="CB294">
        <f>IFERROR(INDEX(PP_Grid[#Data],$DE294,77),0)</f>
        <v/>
      </c>
      <c r="CC294">
        <f>IFERROR(INDEX(PP_Grid[#Data],$DE294,78),0)</f>
        <v/>
      </c>
      <c r="CD294">
        <f>IFERROR(INDEX(PP_Grid[#Data],$DE294,79),0)</f>
        <v/>
      </c>
      <c r="CE294">
        <f>IFERROR(INDEX(PP_Grid[#Data],$DE294,80),0)</f>
        <v/>
      </c>
      <c r="CF294">
        <f>IFERROR(INDEX(PP_Grid[#Data],$DE294,81),0)</f>
        <v/>
      </c>
      <c r="CG294">
        <f>IFERROR(INDEX(PP_Grid[#Data],$DE294,82),0)</f>
        <v/>
      </c>
      <c r="CH294">
        <f>IFERROR(INDEX(PP_Grid[#Data],$DE294,83),0)</f>
        <v/>
      </c>
      <c r="CI294">
        <f>IFERROR(INDEX(PP_Grid[#Data],$DE294,84),0)</f>
        <v/>
      </c>
      <c r="CJ294">
        <f>IFERROR(INDEX(PP_Grid[#Data],$DE294,85),0)</f>
        <v/>
      </c>
      <c r="CK294">
        <f>IFERROR(INDEX(PP_Grid[#Data],$DE294,86),0)</f>
        <v/>
      </c>
      <c r="CL294">
        <f>IFERROR(INDEX(PP_Grid[#Data],$DE294,87),0)</f>
        <v/>
      </c>
      <c r="CM294">
        <f>IFERROR(INDEX(PP_Grid[#Data],$DE294,88),0)</f>
        <v/>
      </c>
      <c r="CN294">
        <f>IFERROR(INDEX(PP_Grid[#Data],$DE294,89),0)</f>
        <v/>
      </c>
      <c r="CO294">
        <f>IFERROR(INDEX(PP_Grid[#Data],$DE294,90),0)</f>
        <v/>
      </c>
      <c r="CP294">
        <f>IFERROR(INDEX(PP_Grid[#Data],$DE294,91),0)</f>
        <v/>
      </c>
      <c r="CQ294">
        <f>IFERROR(INDEX(PP_Grid[#Data],$DE294,92),0)</f>
        <v/>
      </c>
      <c r="CR294">
        <f>IFERROR(INDEX(PP_Grid[#Data],$DE294,93),0)</f>
        <v/>
      </c>
      <c r="CS294">
        <f>IFERROR(INDEX(PP_Grid[#Data],$DE294,94),0)</f>
        <v/>
      </c>
      <c r="CT294">
        <f>IFERROR(INDEX(PP_Grid[#Data],$DE294,95),0)</f>
        <v/>
      </c>
      <c r="CU294">
        <f>IFERROR(INDEX(PP_Grid[#Data],$DE294,96),0)</f>
        <v/>
      </c>
      <c r="CV294">
        <f>IFERROR(INDEX(PP_Grid[#Data],$DE294,97),0)</f>
        <v/>
      </c>
      <c r="CW294">
        <f>IFERROR(INDEX(PP_Grid[#Data],$DE294,98),0)</f>
        <v/>
      </c>
      <c r="CX294">
        <f>IFERROR(INDEX(PP_Grid[#Data],$DE294,99),0)</f>
        <v/>
      </c>
      <c r="CY294">
        <f>IFERROR(INDEX(PP_Grid[#Data],$DE294,100),0)</f>
        <v/>
      </c>
      <c r="CZ294">
        <f>IFERROR(INDEX(PP_Grid[#Data],$DE294,101),0)</f>
        <v/>
      </c>
      <c r="DA294">
        <f>IFERROR(INDEX(PP_Grid[#Data],$DE294,102),0)</f>
        <v/>
      </c>
      <c r="DB294">
        <f>IFERROR(INDEX(PP_Grid[#Data],$DE294,103),0)</f>
        <v/>
      </c>
      <c r="DC294">
        <f>IFERROR(INDEX(PP_Grid[#Data],$DE294,104),0)</f>
        <v/>
      </c>
      <c r="DD294">
        <f>IFERROR(INDEX(PP_Grid[#Data],$DE294,105),0)</f>
        <v/>
      </c>
      <c r="DE294" s="7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SUMIFS(M_BOM[RM_Qty_Per_Batch],M_BOM[Intermediate],$B294,M_BOM[RM_Code],$A187)</f>
        <v/>
      </c>
      <c r="D295">
        <f>IFERROR(INDEX(E295:DD295,$F$1),"")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  <c r="DD295">
        <f>$C295*DD294</f>
        <v/>
      </c>
    </row>
    <row r="296">
      <c r="B296" t="inlineStr">
        <is>
          <t>VSP-604</t>
        </is>
      </c>
      <c r="C296" t="inlineStr">
        <is>
          <t>No. of batches</t>
        </is>
      </c>
      <c r="D296">
        <f>IFERROR(INDEX(E296:DD296,$F$1),"")</f>
        <v/>
      </c>
      <c r="E296">
        <f>IFERROR(INDEX(PP_Grid[#Data],$DE296,2),0)</f>
        <v/>
      </c>
      <c r="F296">
        <f>IFERROR(INDEX(PP_Grid[#Data],$DE296,3),0)</f>
        <v/>
      </c>
      <c r="G296">
        <f>IFERROR(INDEX(PP_Grid[#Data],$DE296,4),0)</f>
        <v/>
      </c>
      <c r="H296">
        <f>IFERROR(INDEX(PP_Grid[#Data],$DE296,5),0)</f>
        <v/>
      </c>
      <c r="I296">
        <f>IFERROR(INDEX(PP_Grid[#Data],$DE296,6),0)</f>
        <v/>
      </c>
      <c r="J296">
        <f>IFERROR(INDEX(PP_Grid[#Data],$DE296,7),0)</f>
        <v/>
      </c>
      <c r="K296">
        <f>IFERROR(INDEX(PP_Grid[#Data],$DE296,8),0)</f>
        <v/>
      </c>
      <c r="L296">
        <f>IFERROR(INDEX(PP_Grid[#Data],$DE296,9),0)</f>
        <v/>
      </c>
      <c r="M296">
        <f>IFERROR(INDEX(PP_Grid[#Data],$DE296,10),0)</f>
        <v/>
      </c>
      <c r="N296">
        <f>IFERROR(INDEX(PP_Grid[#Data],$DE296,11),0)</f>
        <v/>
      </c>
      <c r="O296">
        <f>IFERROR(INDEX(PP_Grid[#Data],$DE296,12),0)</f>
        <v/>
      </c>
      <c r="P296">
        <f>IFERROR(INDEX(PP_Grid[#Data],$DE296,13),0)</f>
        <v/>
      </c>
      <c r="Q296">
        <f>IFERROR(INDEX(PP_Grid[#Data],$DE296,14),0)</f>
        <v/>
      </c>
      <c r="R296">
        <f>IFERROR(INDEX(PP_Grid[#Data],$DE296,15),0)</f>
        <v/>
      </c>
      <c r="S296">
        <f>IFERROR(INDEX(PP_Grid[#Data],$DE296,16),0)</f>
        <v/>
      </c>
      <c r="T296">
        <f>IFERROR(INDEX(PP_Grid[#Data],$DE296,17),0)</f>
        <v/>
      </c>
      <c r="U296">
        <f>IFERROR(INDEX(PP_Grid[#Data],$DE296,18),0)</f>
        <v/>
      </c>
      <c r="V296">
        <f>IFERROR(INDEX(PP_Grid[#Data],$DE296,19),0)</f>
        <v/>
      </c>
      <c r="W296">
        <f>IFERROR(INDEX(PP_Grid[#Data],$DE296,20),0)</f>
        <v/>
      </c>
      <c r="X296">
        <f>IFERROR(INDEX(PP_Grid[#Data],$DE296,21),0)</f>
        <v/>
      </c>
      <c r="Y296">
        <f>IFERROR(INDEX(PP_Grid[#Data],$DE296,22),0)</f>
        <v/>
      </c>
      <c r="Z296">
        <f>IFERROR(INDEX(PP_Grid[#Data],$DE296,23),0)</f>
        <v/>
      </c>
      <c r="AA296">
        <f>IFERROR(INDEX(PP_Grid[#Data],$DE296,24),0)</f>
        <v/>
      </c>
      <c r="AB296">
        <f>IFERROR(INDEX(PP_Grid[#Data],$DE296,25),0)</f>
        <v/>
      </c>
      <c r="AC296">
        <f>IFERROR(INDEX(PP_Grid[#Data],$DE296,26),0)</f>
        <v/>
      </c>
      <c r="AD296">
        <f>IFERROR(INDEX(PP_Grid[#Data],$DE296,27),0)</f>
        <v/>
      </c>
      <c r="AE296">
        <f>IFERROR(INDEX(PP_Grid[#Data],$DE296,28),0)</f>
        <v/>
      </c>
      <c r="AF296">
        <f>IFERROR(INDEX(PP_Grid[#Data],$DE296,29),0)</f>
        <v/>
      </c>
      <c r="AG296">
        <f>IFERROR(INDEX(PP_Grid[#Data],$DE296,30),0)</f>
        <v/>
      </c>
      <c r="AH296">
        <f>IFERROR(INDEX(PP_Grid[#Data],$DE296,31),0)</f>
        <v/>
      </c>
      <c r="AI296">
        <f>IFERROR(INDEX(PP_Grid[#Data],$DE296,32),0)</f>
        <v/>
      </c>
      <c r="AJ296">
        <f>IFERROR(INDEX(PP_Grid[#Data],$DE296,33),0)</f>
        <v/>
      </c>
      <c r="AK296">
        <f>IFERROR(INDEX(PP_Grid[#Data],$DE296,34),0)</f>
        <v/>
      </c>
      <c r="AL296">
        <f>IFERROR(INDEX(PP_Grid[#Data],$DE296,35),0)</f>
        <v/>
      </c>
      <c r="AM296">
        <f>IFERROR(INDEX(PP_Grid[#Data],$DE296,36),0)</f>
        <v/>
      </c>
      <c r="AN296">
        <f>IFERROR(INDEX(PP_Grid[#Data],$DE296,37),0)</f>
        <v/>
      </c>
      <c r="AO296">
        <f>IFERROR(INDEX(PP_Grid[#Data],$DE296,38),0)</f>
        <v/>
      </c>
      <c r="AP296">
        <f>IFERROR(INDEX(PP_Grid[#Data],$DE296,39),0)</f>
        <v/>
      </c>
      <c r="AQ296">
        <f>IFERROR(INDEX(PP_Grid[#Data],$DE296,40),0)</f>
        <v/>
      </c>
      <c r="AR296">
        <f>IFERROR(INDEX(PP_Grid[#Data],$DE296,41),0)</f>
        <v/>
      </c>
      <c r="AS296">
        <f>IFERROR(INDEX(PP_Grid[#Data],$DE296,42),0)</f>
        <v/>
      </c>
      <c r="AT296">
        <f>IFERROR(INDEX(PP_Grid[#Data],$DE296,43),0)</f>
        <v/>
      </c>
      <c r="AU296">
        <f>IFERROR(INDEX(PP_Grid[#Data],$DE296,44),0)</f>
        <v/>
      </c>
      <c r="AV296">
        <f>IFERROR(INDEX(PP_Grid[#Data],$DE296,45),0)</f>
        <v/>
      </c>
      <c r="AW296">
        <f>IFERROR(INDEX(PP_Grid[#Data],$DE296,46),0)</f>
        <v/>
      </c>
      <c r="AX296">
        <f>IFERROR(INDEX(PP_Grid[#Data],$DE296,47),0)</f>
        <v/>
      </c>
      <c r="AY296">
        <f>IFERROR(INDEX(PP_Grid[#Data],$DE296,48),0)</f>
        <v/>
      </c>
      <c r="AZ296">
        <f>IFERROR(INDEX(PP_Grid[#Data],$DE296,49),0)</f>
        <v/>
      </c>
      <c r="BA296">
        <f>IFERROR(INDEX(PP_Grid[#Data],$DE296,50),0)</f>
        <v/>
      </c>
      <c r="BB296">
        <f>IFERROR(INDEX(PP_Grid[#Data],$DE296,51),0)</f>
        <v/>
      </c>
      <c r="BC296">
        <f>IFERROR(INDEX(PP_Grid[#Data],$DE296,52),0)</f>
        <v/>
      </c>
      <c r="BD296">
        <f>IFERROR(INDEX(PP_Grid[#Data],$DE296,53),0)</f>
        <v/>
      </c>
      <c r="BE296">
        <f>IFERROR(INDEX(PP_Grid[#Data],$DE296,54),0)</f>
        <v/>
      </c>
      <c r="BF296">
        <f>IFERROR(INDEX(PP_Grid[#Data],$DE296,55),0)</f>
        <v/>
      </c>
      <c r="BG296">
        <f>IFERROR(INDEX(PP_Grid[#Data],$DE296,56),0)</f>
        <v/>
      </c>
      <c r="BH296">
        <f>IFERROR(INDEX(PP_Grid[#Data],$DE296,57),0)</f>
        <v/>
      </c>
      <c r="BI296">
        <f>IFERROR(INDEX(PP_Grid[#Data],$DE296,58),0)</f>
        <v/>
      </c>
      <c r="BJ296">
        <f>IFERROR(INDEX(PP_Grid[#Data],$DE296,59),0)</f>
        <v/>
      </c>
      <c r="BK296">
        <f>IFERROR(INDEX(PP_Grid[#Data],$DE296,60),0)</f>
        <v/>
      </c>
      <c r="BL296">
        <f>IFERROR(INDEX(PP_Grid[#Data],$DE296,61),0)</f>
        <v/>
      </c>
      <c r="BM296">
        <f>IFERROR(INDEX(PP_Grid[#Data],$DE296,62),0)</f>
        <v/>
      </c>
      <c r="BN296">
        <f>IFERROR(INDEX(PP_Grid[#Data],$DE296,63),0)</f>
        <v/>
      </c>
      <c r="BO296">
        <f>IFERROR(INDEX(PP_Grid[#Data],$DE296,64),0)</f>
        <v/>
      </c>
      <c r="BP296">
        <f>IFERROR(INDEX(PP_Grid[#Data],$DE296,65),0)</f>
        <v/>
      </c>
      <c r="BQ296">
        <f>IFERROR(INDEX(PP_Grid[#Data],$DE296,66),0)</f>
        <v/>
      </c>
      <c r="BR296">
        <f>IFERROR(INDEX(PP_Grid[#Data],$DE296,67),0)</f>
        <v/>
      </c>
      <c r="BS296">
        <f>IFERROR(INDEX(PP_Grid[#Data],$DE296,68),0)</f>
        <v/>
      </c>
      <c r="BT296">
        <f>IFERROR(INDEX(PP_Grid[#Data],$DE296,69),0)</f>
        <v/>
      </c>
      <c r="BU296">
        <f>IFERROR(INDEX(PP_Grid[#Data],$DE296,70),0)</f>
        <v/>
      </c>
      <c r="BV296">
        <f>IFERROR(INDEX(PP_Grid[#Data],$DE296,71),0)</f>
        <v/>
      </c>
      <c r="BW296">
        <f>IFERROR(INDEX(PP_Grid[#Data],$DE296,72),0)</f>
        <v/>
      </c>
      <c r="BX296">
        <f>IFERROR(INDEX(PP_Grid[#Data],$DE296,73),0)</f>
        <v/>
      </c>
      <c r="BY296">
        <f>IFERROR(INDEX(PP_Grid[#Data],$DE296,74),0)</f>
        <v/>
      </c>
      <c r="BZ296">
        <f>IFERROR(INDEX(PP_Grid[#Data],$DE296,75),0)</f>
        <v/>
      </c>
      <c r="CA296">
        <f>IFERROR(INDEX(PP_Grid[#Data],$DE296,76),0)</f>
        <v/>
      </c>
      <c r="CB296">
        <f>IFERROR(INDEX(PP_Grid[#Data],$DE296,77),0)</f>
        <v/>
      </c>
      <c r="CC296">
        <f>IFERROR(INDEX(PP_Grid[#Data],$DE296,78),0)</f>
        <v/>
      </c>
      <c r="CD296">
        <f>IFERROR(INDEX(PP_Grid[#Data],$DE296,79),0)</f>
        <v/>
      </c>
      <c r="CE296">
        <f>IFERROR(INDEX(PP_Grid[#Data],$DE296,80),0)</f>
        <v/>
      </c>
      <c r="CF296">
        <f>IFERROR(INDEX(PP_Grid[#Data],$DE296,81),0)</f>
        <v/>
      </c>
      <c r="CG296">
        <f>IFERROR(INDEX(PP_Grid[#Data],$DE296,82),0)</f>
        <v/>
      </c>
      <c r="CH296">
        <f>IFERROR(INDEX(PP_Grid[#Data],$DE296,83),0)</f>
        <v/>
      </c>
      <c r="CI296">
        <f>IFERROR(INDEX(PP_Grid[#Data],$DE296,84),0)</f>
        <v/>
      </c>
      <c r="CJ296">
        <f>IFERROR(INDEX(PP_Grid[#Data],$DE296,85),0)</f>
        <v/>
      </c>
      <c r="CK296">
        <f>IFERROR(INDEX(PP_Grid[#Data],$DE296,86),0)</f>
        <v/>
      </c>
      <c r="CL296">
        <f>IFERROR(INDEX(PP_Grid[#Data],$DE296,87),0)</f>
        <v/>
      </c>
      <c r="CM296">
        <f>IFERROR(INDEX(PP_Grid[#Data],$DE296,88),0)</f>
        <v/>
      </c>
      <c r="CN296">
        <f>IFERROR(INDEX(PP_Grid[#Data],$DE296,89),0)</f>
        <v/>
      </c>
      <c r="CO296">
        <f>IFERROR(INDEX(PP_Grid[#Data],$DE296,90),0)</f>
        <v/>
      </c>
      <c r="CP296">
        <f>IFERROR(INDEX(PP_Grid[#Data],$DE296,91),0)</f>
        <v/>
      </c>
      <c r="CQ296">
        <f>IFERROR(INDEX(PP_Grid[#Data],$DE296,92),0)</f>
        <v/>
      </c>
      <c r="CR296">
        <f>IFERROR(INDEX(PP_Grid[#Data],$DE296,93),0)</f>
        <v/>
      </c>
      <c r="CS296">
        <f>IFERROR(INDEX(PP_Grid[#Data],$DE296,94),0)</f>
        <v/>
      </c>
      <c r="CT296">
        <f>IFERROR(INDEX(PP_Grid[#Data],$DE296,95),0)</f>
        <v/>
      </c>
      <c r="CU296">
        <f>IFERROR(INDEX(PP_Grid[#Data],$DE296,96),0)</f>
        <v/>
      </c>
      <c r="CV296">
        <f>IFERROR(INDEX(PP_Grid[#Data],$DE296,97),0)</f>
        <v/>
      </c>
      <c r="CW296">
        <f>IFERROR(INDEX(PP_Grid[#Data],$DE296,98),0)</f>
        <v/>
      </c>
      <c r="CX296">
        <f>IFERROR(INDEX(PP_Grid[#Data],$DE296,99),0)</f>
        <v/>
      </c>
      <c r="CY296">
        <f>IFERROR(INDEX(PP_Grid[#Data],$DE296,100),0)</f>
        <v/>
      </c>
      <c r="CZ296">
        <f>IFERROR(INDEX(PP_Grid[#Data],$DE296,101),0)</f>
        <v/>
      </c>
      <c r="DA296">
        <f>IFERROR(INDEX(PP_Grid[#Data],$DE296,102),0)</f>
        <v/>
      </c>
      <c r="DB296">
        <f>IFERROR(INDEX(PP_Grid[#Data],$DE296,103),0)</f>
        <v/>
      </c>
      <c r="DC296">
        <f>IFERROR(INDEX(PP_Grid[#Data],$DE296,104),0)</f>
        <v/>
      </c>
      <c r="DD296">
        <f>IFERROR(INDEX(PP_Grid[#Data],$DE296,105),0)</f>
        <v/>
      </c>
      <c r="DE296" s="7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SUMIFS(M_BOM[RM_Qty_Per_Batch],M_BOM[Intermediate],$B296,M_BOM[RM_Code],$A187)</f>
        <v/>
      </c>
      <c r="D297">
        <f>IFERROR(INDEX(E297:DD297,$F$1),"")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  <c r="DD297">
        <f>$C297*DD296</f>
        <v/>
      </c>
    </row>
    <row r="298">
      <c r="B298" t="inlineStr">
        <is>
          <t>VSP-605</t>
        </is>
      </c>
      <c r="C298" t="inlineStr">
        <is>
          <t>No. of batches</t>
        </is>
      </c>
      <c r="D298">
        <f>IFERROR(INDEX(E298:DD298,$F$1),"")</f>
        <v/>
      </c>
      <c r="E298">
        <f>IFERROR(INDEX(PP_Grid[#Data],$DE298,2),0)</f>
        <v/>
      </c>
      <c r="F298">
        <f>IFERROR(INDEX(PP_Grid[#Data],$DE298,3),0)</f>
        <v/>
      </c>
      <c r="G298">
        <f>IFERROR(INDEX(PP_Grid[#Data],$DE298,4),0)</f>
        <v/>
      </c>
      <c r="H298">
        <f>IFERROR(INDEX(PP_Grid[#Data],$DE298,5),0)</f>
        <v/>
      </c>
      <c r="I298">
        <f>IFERROR(INDEX(PP_Grid[#Data],$DE298,6),0)</f>
        <v/>
      </c>
      <c r="J298">
        <f>IFERROR(INDEX(PP_Grid[#Data],$DE298,7),0)</f>
        <v/>
      </c>
      <c r="K298">
        <f>IFERROR(INDEX(PP_Grid[#Data],$DE298,8),0)</f>
        <v/>
      </c>
      <c r="L298">
        <f>IFERROR(INDEX(PP_Grid[#Data],$DE298,9),0)</f>
        <v/>
      </c>
      <c r="M298">
        <f>IFERROR(INDEX(PP_Grid[#Data],$DE298,10),0)</f>
        <v/>
      </c>
      <c r="N298">
        <f>IFERROR(INDEX(PP_Grid[#Data],$DE298,11),0)</f>
        <v/>
      </c>
      <c r="O298">
        <f>IFERROR(INDEX(PP_Grid[#Data],$DE298,12),0)</f>
        <v/>
      </c>
      <c r="P298">
        <f>IFERROR(INDEX(PP_Grid[#Data],$DE298,13),0)</f>
        <v/>
      </c>
      <c r="Q298">
        <f>IFERROR(INDEX(PP_Grid[#Data],$DE298,14),0)</f>
        <v/>
      </c>
      <c r="R298">
        <f>IFERROR(INDEX(PP_Grid[#Data],$DE298,15),0)</f>
        <v/>
      </c>
      <c r="S298">
        <f>IFERROR(INDEX(PP_Grid[#Data],$DE298,16),0)</f>
        <v/>
      </c>
      <c r="T298">
        <f>IFERROR(INDEX(PP_Grid[#Data],$DE298,17),0)</f>
        <v/>
      </c>
      <c r="U298">
        <f>IFERROR(INDEX(PP_Grid[#Data],$DE298,18),0)</f>
        <v/>
      </c>
      <c r="V298">
        <f>IFERROR(INDEX(PP_Grid[#Data],$DE298,19),0)</f>
        <v/>
      </c>
      <c r="W298">
        <f>IFERROR(INDEX(PP_Grid[#Data],$DE298,20),0)</f>
        <v/>
      </c>
      <c r="X298">
        <f>IFERROR(INDEX(PP_Grid[#Data],$DE298,21),0)</f>
        <v/>
      </c>
      <c r="Y298">
        <f>IFERROR(INDEX(PP_Grid[#Data],$DE298,22),0)</f>
        <v/>
      </c>
      <c r="Z298">
        <f>IFERROR(INDEX(PP_Grid[#Data],$DE298,23),0)</f>
        <v/>
      </c>
      <c r="AA298">
        <f>IFERROR(INDEX(PP_Grid[#Data],$DE298,24),0)</f>
        <v/>
      </c>
      <c r="AB298">
        <f>IFERROR(INDEX(PP_Grid[#Data],$DE298,25),0)</f>
        <v/>
      </c>
      <c r="AC298">
        <f>IFERROR(INDEX(PP_Grid[#Data],$DE298,26),0)</f>
        <v/>
      </c>
      <c r="AD298">
        <f>IFERROR(INDEX(PP_Grid[#Data],$DE298,27),0)</f>
        <v/>
      </c>
      <c r="AE298">
        <f>IFERROR(INDEX(PP_Grid[#Data],$DE298,28),0)</f>
        <v/>
      </c>
      <c r="AF298">
        <f>IFERROR(INDEX(PP_Grid[#Data],$DE298,29),0)</f>
        <v/>
      </c>
      <c r="AG298">
        <f>IFERROR(INDEX(PP_Grid[#Data],$DE298,30),0)</f>
        <v/>
      </c>
      <c r="AH298">
        <f>IFERROR(INDEX(PP_Grid[#Data],$DE298,31),0)</f>
        <v/>
      </c>
      <c r="AI298">
        <f>IFERROR(INDEX(PP_Grid[#Data],$DE298,32),0)</f>
        <v/>
      </c>
      <c r="AJ298">
        <f>IFERROR(INDEX(PP_Grid[#Data],$DE298,33),0)</f>
        <v/>
      </c>
      <c r="AK298">
        <f>IFERROR(INDEX(PP_Grid[#Data],$DE298,34),0)</f>
        <v/>
      </c>
      <c r="AL298">
        <f>IFERROR(INDEX(PP_Grid[#Data],$DE298,35),0)</f>
        <v/>
      </c>
      <c r="AM298">
        <f>IFERROR(INDEX(PP_Grid[#Data],$DE298,36),0)</f>
        <v/>
      </c>
      <c r="AN298">
        <f>IFERROR(INDEX(PP_Grid[#Data],$DE298,37),0)</f>
        <v/>
      </c>
      <c r="AO298">
        <f>IFERROR(INDEX(PP_Grid[#Data],$DE298,38),0)</f>
        <v/>
      </c>
      <c r="AP298">
        <f>IFERROR(INDEX(PP_Grid[#Data],$DE298,39),0)</f>
        <v/>
      </c>
      <c r="AQ298">
        <f>IFERROR(INDEX(PP_Grid[#Data],$DE298,40),0)</f>
        <v/>
      </c>
      <c r="AR298">
        <f>IFERROR(INDEX(PP_Grid[#Data],$DE298,41),0)</f>
        <v/>
      </c>
      <c r="AS298">
        <f>IFERROR(INDEX(PP_Grid[#Data],$DE298,42),0)</f>
        <v/>
      </c>
      <c r="AT298">
        <f>IFERROR(INDEX(PP_Grid[#Data],$DE298,43),0)</f>
        <v/>
      </c>
      <c r="AU298">
        <f>IFERROR(INDEX(PP_Grid[#Data],$DE298,44),0)</f>
        <v/>
      </c>
      <c r="AV298">
        <f>IFERROR(INDEX(PP_Grid[#Data],$DE298,45),0)</f>
        <v/>
      </c>
      <c r="AW298">
        <f>IFERROR(INDEX(PP_Grid[#Data],$DE298,46),0)</f>
        <v/>
      </c>
      <c r="AX298">
        <f>IFERROR(INDEX(PP_Grid[#Data],$DE298,47),0)</f>
        <v/>
      </c>
      <c r="AY298">
        <f>IFERROR(INDEX(PP_Grid[#Data],$DE298,48),0)</f>
        <v/>
      </c>
      <c r="AZ298">
        <f>IFERROR(INDEX(PP_Grid[#Data],$DE298,49),0)</f>
        <v/>
      </c>
      <c r="BA298">
        <f>IFERROR(INDEX(PP_Grid[#Data],$DE298,50),0)</f>
        <v/>
      </c>
      <c r="BB298">
        <f>IFERROR(INDEX(PP_Grid[#Data],$DE298,51),0)</f>
        <v/>
      </c>
      <c r="BC298">
        <f>IFERROR(INDEX(PP_Grid[#Data],$DE298,52),0)</f>
        <v/>
      </c>
      <c r="BD298">
        <f>IFERROR(INDEX(PP_Grid[#Data],$DE298,53),0)</f>
        <v/>
      </c>
      <c r="BE298">
        <f>IFERROR(INDEX(PP_Grid[#Data],$DE298,54),0)</f>
        <v/>
      </c>
      <c r="BF298">
        <f>IFERROR(INDEX(PP_Grid[#Data],$DE298,55),0)</f>
        <v/>
      </c>
      <c r="BG298">
        <f>IFERROR(INDEX(PP_Grid[#Data],$DE298,56),0)</f>
        <v/>
      </c>
      <c r="BH298">
        <f>IFERROR(INDEX(PP_Grid[#Data],$DE298,57),0)</f>
        <v/>
      </c>
      <c r="BI298">
        <f>IFERROR(INDEX(PP_Grid[#Data],$DE298,58),0)</f>
        <v/>
      </c>
      <c r="BJ298">
        <f>IFERROR(INDEX(PP_Grid[#Data],$DE298,59),0)</f>
        <v/>
      </c>
      <c r="BK298">
        <f>IFERROR(INDEX(PP_Grid[#Data],$DE298,60),0)</f>
        <v/>
      </c>
      <c r="BL298">
        <f>IFERROR(INDEX(PP_Grid[#Data],$DE298,61),0)</f>
        <v/>
      </c>
      <c r="BM298">
        <f>IFERROR(INDEX(PP_Grid[#Data],$DE298,62),0)</f>
        <v/>
      </c>
      <c r="BN298">
        <f>IFERROR(INDEX(PP_Grid[#Data],$DE298,63),0)</f>
        <v/>
      </c>
      <c r="BO298">
        <f>IFERROR(INDEX(PP_Grid[#Data],$DE298,64),0)</f>
        <v/>
      </c>
      <c r="BP298">
        <f>IFERROR(INDEX(PP_Grid[#Data],$DE298,65),0)</f>
        <v/>
      </c>
      <c r="BQ298">
        <f>IFERROR(INDEX(PP_Grid[#Data],$DE298,66),0)</f>
        <v/>
      </c>
      <c r="BR298">
        <f>IFERROR(INDEX(PP_Grid[#Data],$DE298,67),0)</f>
        <v/>
      </c>
      <c r="BS298">
        <f>IFERROR(INDEX(PP_Grid[#Data],$DE298,68),0)</f>
        <v/>
      </c>
      <c r="BT298">
        <f>IFERROR(INDEX(PP_Grid[#Data],$DE298,69),0)</f>
        <v/>
      </c>
      <c r="BU298">
        <f>IFERROR(INDEX(PP_Grid[#Data],$DE298,70),0)</f>
        <v/>
      </c>
      <c r="BV298">
        <f>IFERROR(INDEX(PP_Grid[#Data],$DE298,71),0)</f>
        <v/>
      </c>
      <c r="BW298">
        <f>IFERROR(INDEX(PP_Grid[#Data],$DE298,72),0)</f>
        <v/>
      </c>
      <c r="BX298">
        <f>IFERROR(INDEX(PP_Grid[#Data],$DE298,73),0)</f>
        <v/>
      </c>
      <c r="BY298">
        <f>IFERROR(INDEX(PP_Grid[#Data],$DE298,74),0)</f>
        <v/>
      </c>
      <c r="BZ298">
        <f>IFERROR(INDEX(PP_Grid[#Data],$DE298,75),0)</f>
        <v/>
      </c>
      <c r="CA298">
        <f>IFERROR(INDEX(PP_Grid[#Data],$DE298,76),0)</f>
        <v/>
      </c>
      <c r="CB298">
        <f>IFERROR(INDEX(PP_Grid[#Data],$DE298,77),0)</f>
        <v/>
      </c>
      <c r="CC298">
        <f>IFERROR(INDEX(PP_Grid[#Data],$DE298,78),0)</f>
        <v/>
      </c>
      <c r="CD298">
        <f>IFERROR(INDEX(PP_Grid[#Data],$DE298,79),0)</f>
        <v/>
      </c>
      <c r="CE298">
        <f>IFERROR(INDEX(PP_Grid[#Data],$DE298,80),0)</f>
        <v/>
      </c>
      <c r="CF298">
        <f>IFERROR(INDEX(PP_Grid[#Data],$DE298,81),0)</f>
        <v/>
      </c>
      <c r="CG298">
        <f>IFERROR(INDEX(PP_Grid[#Data],$DE298,82),0)</f>
        <v/>
      </c>
      <c r="CH298">
        <f>IFERROR(INDEX(PP_Grid[#Data],$DE298,83),0)</f>
        <v/>
      </c>
      <c r="CI298">
        <f>IFERROR(INDEX(PP_Grid[#Data],$DE298,84),0)</f>
        <v/>
      </c>
      <c r="CJ298">
        <f>IFERROR(INDEX(PP_Grid[#Data],$DE298,85),0)</f>
        <v/>
      </c>
      <c r="CK298">
        <f>IFERROR(INDEX(PP_Grid[#Data],$DE298,86),0)</f>
        <v/>
      </c>
      <c r="CL298">
        <f>IFERROR(INDEX(PP_Grid[#Data],$DE298,87),0)</f>
        <v/>
      </c>
      <c r="CM298">
        <f>IFERROR(INDEX(PP_Grid[#Data],$DE298,88),0)</f>
        <v/>
      </c>
      <c r="CN298">
        <f>IFERROR(INDEX(PP_Grid[#Data],$DE298,89),0)</f>
        <v/>
      </c>
      <c r="CO298">
        <f>IFERROR(INDEX(PP_Grid[#Data],$DE298,90),0)</f>
        <v/>
      </c>
      <c r="CP298">
        <f>IFERROR(INDEX(PP_Grid[#Data],$DE298,91),0)</f>
        <v/>
      </c>
      <c r="CQ298">
        <f>IFERROR(INDEX(PP_Grid[#Data],$DE298,92),0)</f>
        <v/>
      </c>
      <c r="CR298">
        <f>IFERROR(INDEX(PP_Grid[#Data],$DE298,93),0)</f>
        <v/>
      </c>
      <c r="CS298">
        <f>IFERROR(INDEX(PP_Grid[#Data],$DE298,94),0)</f>
        <v/>
      </c>
      <c r="CT298">
        <f>IFERROR(INDEX(PP_Grid[#Data],$DE298,95),0)</f>
        <v/>
      </c>
      <c r="CU298">
        <f>IFERROR(INDEX(PP_Grid[#Data],$DE298,96),0)</f>
        <v/>
      </c>
      <c r="CV298">
        <f>IFERROR(INDEX(PP_Grid[#Data],$DE298,97),0)</f>
        <v/>
      </c>
      <c r="CW298">
        <f>IFERROR(INDEX(PP_Grid[#Data],$DE298,98),0)</f>
        <v/>
      </c>
      <c r="CX298">
        <f>IFERROR(INDEX(PP_Grid[#Data],$DE298,99),0)</f>
        <v/>
      </c>
      <c r="CY298">
        <f>IFERROR(INDEX(PP_Grid[#Data],$DE298,100),0)</f>
        <v/>
      </c>
      <c r="CZ298">
        <f>IFERROR(INDEX(PP_Grid[#Data],$DE298,101),0)</f>
        <v/>
      </c>
      <c r="DA298">
        <f>IFERROR(INDEX(PP_Grid[#Data],$DE298,102),0)</f>
        <v/>
      </c>
      <c r="DB298">
        <f>IFERROR(INDEX(PP_Grid[#Data],$DE298,103),0)</f>
        <v/>
      </c>
      <c r="DC298">
        <f>IFERROR(INDEX(PP_Grid[#Data],$DE298,104),0)</f>
        <v/>
      </c>
      <c r="DD298">
        <f>IFERROR(INDEX(PP_Grid[#Data],$DE298,105),0)</f>
        <v/>
      </c>
      <c r="DE298" s="7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SUMIFS(M_BOM[RM_Qty_Per_Batch],M_BOM[Intermediate],$B298,M_BOM[RM_Code],$A187)</f>
        <v/>
      </c>
      <c r="D299">
        <f>IFERROR(INDEX(E299:DD299,$F$1),"")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  <c r="DD299">
        <f>$C299*DD298</f>
        <v/>
      </c>
    </row>
    <row r="300">
      <c r="B300" t="inlineStr">
        <is>
          <t>VSP-606</t>
        </is>
      </c>
      <c r="C300" t="inlineStr">
        <is>
          <t>No. of batches</t>
        </is>
      </c>
      <c r="D300">
        <f>IFERROR(INDEX(E300:DD300,$F$1),"")</f>
        <v/>
      </c>
      <c r="E300">
        <f>IFERROR(INDEX(PP_Grid[#Data],$DE300,2),0)</f>
        <v/>
      </c>
      <c r="F300">
        <f>IFERROR(INDEX(PP_Grid[#Data],$DE300,3),0)</f>
        <v/>
      </c>
      <c r="G300">
        <f>IFERROR(INDEX(PP_Grid[#Data],$DE300,4),0)</f>
        <v/>
      </c>
      <c r="H300">
        <f>IFERROR(INDEX(PP_Grid[#Data],$DE300,5),0)</f>
        <v/>
      </c>
      <c r="I300">
        <f>IFERROR(INDEX(PP_Grid[#Data],$DE300,6),0)</f>
        <v/>
      </c>
      <c r="J300">
        <f>IFERROR(INDEX(PP_Grid[#Data],$DE300,7),0)</f>
        <v/>
      </c>
      <c r="K300">
        <f>IFERROR(INDEX(PP_Grid[#Data],$DE300,8),0)</f>
        <v/>
      </c>
      <c r="L300">
        <f>IFERROR(INDEX(PP_Grid[#Data],$DE300,9),0)</f>
        <v/>
      </c>
      <c r="M300">
        <f>IFERROR(INDEX(PP_Grid[#Data],$DE300,10),0)</f>
        <v/>
      </c>
      <c r="N300">
        <f>IFERROR(INDEX(PP_Grid[#Data],$DE300,11),0)</f>
        <v/>
      </c>
      <c r="O300">
        <f>IFERROR(INDEX(PP_Grid[#Data],$DE300,12),0)</f>
        <v/>
      </c>
      <c r="P300">
        <f>IFERROR(INDEX(PP_Grid[#Data],$DE300,13),0)</f>
        <v/>
      </c>
      <c r="Q300">
        <f>IFERROR(INDEX(PP_Grid[#Data],$DE300,14),0)</f>
        <v/>
      </c>
      <c r="R300">
        <f>IFERROR(INDEX(PP_Grid[#Data],$DE300,15),0)</f>
        <v/>
      </c>
      <c r="S300">
        <f>IFERROR(INDEX(PP_Grid[#Data],$DE300,16),0)</f>
        <v/>
      </c>
      <c r="T300">
        <f>IFERROR(INDEX(PP_Grid[#Data],$DE300,17),0)</f>
        <v/>
      </c>
      <c r="U300">
        <f>IFERROR(INDEX(PP_Grid[#Data],$DE300,18),0)</f>
        <v/>
      </c>
      <c r="V300">
        <f>IFERROR(INDEX(PP_Grid[#Data],$DE300,19),0)</f>
        <v/>
      </c>
      <c r="W300">
        <f>IFERROR(INDEX(PP_Grid[#Data],$DE300,20),0)</f>
        <v/>
      </c>
      <c r="X300">
        <f>IFERROR(INDEX(PP_Grid[#Data],$DE300,21),0)</f>
        <v/>
      </c>
      <c r="Y300">
        <f>IFERROR(INDEX(PP_Grid[#Data],$DE300,22),0)</f>
        <v/>
      </c>
      <c r="Z300">
        <f>IFERROR(INDEX(PP_Grid[#Data],$DE300,23),0)</f>
        <v/>
      </c>
      <c r="AA300">
        <f>IFERROR(INDEX(PP_Grid[#Data],$DE300,24),0)</f>
        <v/>
      </c>
      <c r="AB300">
        <f>IFERROR(INDEX(PP_Grid[#Data],$DE300,25),0)</f>
        <v/>
      </c>
      <c r="AC300">
        <f>IFERROR(INDEX(PP_Grid[#Data],$DE300,26),0)</f>
        <v/>
      </c>
      <c r="AD300">
        <f>IFERROR(INDEX(PP_Grid[#Data],$DE300,27),0)</f>
        <v/>
      </c>
      <c r="AE300">
        <f>IFERROR(INDEX(PP_Grid[#Data],$DE300,28),0)</f>
        <v/>
      </c>
      <c r="AF300">
        <f>IFERROR(INDEX(PP_Grid[#Data],$DE300,29),0)</f>
        <v/>
      </c>
      <c r="AG300">
        <f>IFERROR(INDEX(PP_Grid[#Data],$DE300,30),0)</f>
        <v/>
      </c>
      <c r="AH300">
        <f>IFERROR(INDEX(PP_Grid[#Data],$DE300,31),0)</f>
        <v/>
      </c>
      <c r="AI300">
        <f>IFERROR(INDEX(PP_Grid[#Data],$DE300,32),0)</f>
        <v/>
      </c>
      <c r="AJ300">
        <f>IFERROR(INDEX(PP_Grid[#Data],$DE300,33),0)</f>
        <v/>
      </c>
      <c r="AK300">
        <f>IFERROR(INDEX(PP_Grid[#Data],$DE300,34),0)</f>
        <v/>
      </c>
      <c r="AL300">
        <f>IFERROR(INDEX(PP_Grid[#Data],$DE300,35),0)</f>
        <v/>
      </c>
      <c r="AM300">
        <f>IFERROR(INDEX(PP_Grid[#Data],$DE300,36),0)</f>
        <v/>
      </c>
      <c r="AN300">
        <f>IFERROR(INDEX(PP_Grid[#Data],$DE300,37),0)</f>
        <v/>
      </c>
      <c r="AO300">
        <f>IFERROR(INDEX(PP_Grid[#Data],$DE300,38),0)</f>
        <v/>
      </c>
      <c r="AP300">
        <f>IFERROR(INDEX(PP_Grid[#Data],$DE300,39),0)</f>
        <v/>
      </c>
      <c r="AQ300">
        <f>IFERROR(INDEX(PP_Grid[#Data],$DE300,40),0)</f>
        <v/>
      </c>
      <c r="AR300">
        <f>IFERROR(INDEX(PP_Grid[#Data],$DE300,41),0)</f>
        <v/>
      </c>
      <c r="AS300">
        <f>IFERROR(INDEX(PP_Grid[#Data],$DE300,42),0)</f>
        <v/>
      </c>
      <c r="AT300">
        <f>IFERROR(INDEX(PP_Grid[#Data],$DE300,43),0)</f>
        <v/>
      </c>
      <c r="AU300">
        <f>IFERROR(INDEX(PP_Grid[#Data],$DE300,44),0)</f>
        <v/>
      </c>
      <c r="AV300">
        <f>IFERROR(INDEX(PP_Grid[#Data],$DE300,45),0)</f>
        <v/>
      </c>
      <c r="AW300">
        <f>IFERROR(INDEX(PP_Grid[#Data],$DE300,46),0)</f>
        <v/>
      </c>
      <c r="AX300">
        <f>IFERROR(INDEX(PP_Grid[#Data],$DE300,47),0)</f>
        <v/>
      </c>
      <c r="AY300">
        <f>IFERROR(INDEX(PP_Grid[#Data],$DE300,48),0)</f>
        <v/>
      </c>
      <c r="AZ300">
        <f>IFERROR(INDEX(PP_Grid[#Data],$DE300,49),0)</f>
        <v/>
      </c>
      <c r="BA300">
        <f>IFERROR(INDEX(PP_Grid[#Data],$DE300,50),0)</f>
        <v/>
      </c>
      <c r="BB300">
        <f>IFERROR(INDEX(PP_Grid[#Data],$DE300,51),0)</f>
        <v/>
      </c>
      <c r="BC300">
        <f>IFERROR(INDEX(PP_Grid[#Data],$DE300,52),0)</f>
        <v/>
      </c>
      <c r="BD300">
        <f>IFERROR(INDEX(PP_Grid[#Data],$DE300,53),0)</f>
        <v/>
      </c>
      <c r="BE300">
        <f>IFERROR(INDEX(PP_Grid[#Data],$DE300,54),0)</f>
        <v/>
      </c>
      <c r="BF300">
        <f>IFERROR(INDEX(PP_Grid[#Data],$DE300,55),0)</f>
        <v/>
      </c>
      <c r="BG300">
        <f>IFERROR(INDEX(PP_Grid[#Data],$DE300,56),0)</f>
        <v/>
      </c>
      <c r="BH300">
        <f>IFERROR(INDEX(PP_Grid[#Data],$DE300,57),0)</f>
        <v/>
      </c>
      <c r="BI300">
        <f>IFERROR(INDEX(PP_Grid[#Data],$DE300,58),0)</f>
        <v/>
      </c>
      <c r="BJ300">
        <f>IFERROR(INDEX(PP_Grid[#Data],$DE300,59),0)</f>
        <v/>
      </c>
      <c r="BK300">
        <f>IFERROR(INDEX(PP_Grid[#Data],$DE300,60),0)</f>
        <v/>
      </c>
      <c r="BL300">
        <f>IFERROR(INDEX(PP_Grid[#Data],$DE300,61),0)</f>
        <v/>
      </c>
      <c r="BM300">
        <f>IFERROR(INDEX(PP_Grid[#Data],$DE300,62),0)</f>
        <v/>
      </c>
      <c r="BN300">
        <f>IFERROR(INDEX(PP_Grid[#Data],$DE300,63),0)</f>
        <v/>
      </c>
      <c r="BO300">
        <f>IFERROR(INDEX(PP_Grid[#Data],$DE300,64),0)</f>
        <v/>
      </c>
      <c r="BP300">
        <f>IFERROR(INDEX(PP_Grid[#Data],$DE300,65),0)</f>
        <v/>
      </c>
      <c r="BQ300">
        <f>IFERROR(INDEX(PP_Grid[#Data],$DE300,66),0)</f>
        <v/>
      </c>
      <c r="BR300">
        <f>IFERROR(INDEX(PP_Grid[#Data],$DE300,67),0)</f>
        <v/>
      </c>
      <c r="BS300">
        <f>IFERROR(INDEX(PP_Grid[#Data],$DE300,68),0)</f>
        <v/>
      </c>
      <c r="BT300">
        <f>IFERROR(INDEX(PP_Grid[#Data],$DE300,69),0)</f>
        <v/>
      </c>
      <c r="BU300">
        <f>IFERROR(INDEX(PP_Grid[#Data],$DE300,70),0)</f>
        <v/>
      </c>
      <c r="BV300">
        <f>IFERROR(INDEX(PP_Grid[#Data],$DE300,71),0)</f>
        <v/>
      </c>
      <c r="BW300">
        <f>IFERROR(INDEX(PP_Grid[#Data],$DE300,72),0)</f>
        <v/>
      </c>
      <c r="BX300">
        <f>IFERROR(INDEX(PP_Grid[#Data],$DE300,73),0)</f>
        <v/>
      </c>
      <c r="BY300">
        <f>IFERROR(INDEX(PP_Grid[#Data],$DE300,74),0)</f>
        <v/>
      </c>
      <c r="BZ300">
        <f>IFERROR(INDEX(PP_Grid[#Data],$DE300,75),0)</f>
        <v/>
      </c>
      <c r="CA300">
        <f>IFERROR(INDEX(PP_Grid[#Data],$DE300,76),0)</f>
        <v/>
      </c>
      <c r="CB300">
        <f>IFERROR(INDEX(PP_Grid[#Data],$DE300,77),0)</f>
        <v/>
      </c>
      <c r="CC300">
        <f>IFERROR(INDEX(PP_Grid[#Data],$DE300,78),0)</f>
        <v/>
      </c>
      <c r="CD300">
        <f>IFERROR(INDEX(PP_Grid[#Data],$DE300,79),0)</f>
        <v/>
      </c>
      <c r="CE300">
        <f>IFERROR(INDEX(PP_Grid[#Data],$DE300,80),0)</f>
        <v/>
      </c>
      <c r="CF300">
        <f>IFERROR(INDEX(PP_Grid[#Data],$DE300,81),0)</f>
        <v/>
      </c>
      <c r="CG300">
        <f>IFERROR(INDEX(PP_Grid[#Data],$DE300,82),0)</f>
        <v/>
      </c>
      <c r="CH300">
        <f>IFERROR(INDEX(PP_Grid[#Data],$DE300,83),0)</f>
        <v/>
      </c>
      <c r="CI300">
        <f>IFERROR(INDEX(PP_Grid[#Data],$DE300,84),0)</f>
        <v/>
      </c>
      <c r="CJ300">
        <f>IFERROR(INDEX(PP_Grid[#Data],$DE300,85),0)</f>
        <v/>
      </c>
      <c r="CK300">
        <f>IFERROR(INDEX(PP_Grid[#Data],$DE300,86),0)</f>
        <v/>
      </c>
      <c r="CL300">
        <f>IFERROR(INDEX(PP_Grid[#Data],$DE300,87),0)</f>
        <v/>
      </c>
      <c r="CM300">
        <f>IFERROR(INDEX(PP_Grid[#Data],$DE300,88),0)</f>
        <v/>
      </c>
      <c r="CN300">
        <f>IFERROR(INDEX(PP_Grid[#Data],$DE300,89),0)</f>
        <v/>
      </c>
      <c r="CO300">
        <f>IFERROR(INDEX(PP_Grid[#Data],$DE300,90),0)</f>
        <v/>
      </c>
      <c r="CP300">
        <f>IFERROR(INDEX(PP_Grid[#Data],$DE300,91),0)</f>
        <v/>
      </c>
      <c r="CQ300">
        <f>IFERROR(INDEX(PP_Grid[#Data],$DE300,92),0)</f>
        <v/>
      </c>
      <c r="CR300">
        <f>IFERROR(INDEX(PP_Grid[#Data],$DE300,93),0)</f>
        <v/>
      </c>
      <c r="CS300">
        <f>IFERROR(INDEX(PP_Grid[#Data],$DE300,94),0)</f>
        <v/>
      </c>
      <c r="CT300">
        <f>IFERROR(INDEX(PP_Grid[#Data],$DE300,95),0)</f>
        <v/>
      </c>
      <c r="CU300">
        <f>IFERROR(INDEX(PP_Grid[#Data],$DE300,96),0)</f>
        <v/>
      </c>
      <c r="CV300">
        <f>IFERROR(INDEX(PP_Grid[#Data],$DE300,97),0)</f>
        <v/>
      </c>
      <c r="CW300">
        <f>IFERROR(INDEX(PP_Grid[#Data],$DE300,98),0)</f>
        <v/>
      </c>
      <c r="CX300">
        <f>IFERROR(INDEX(PP_Grid[#Data],$DE300,99),0)</f>
        <v/>
      </c>
      <c r="CY300">
        <f>IFERROR(INDEX(PP_Grid[#Data],$DE300,100),0)</f>
        <v/>
      </c>
      <c r="CZ300">
        <f>IFERROR(INDEX(PP_Grid[#Data],$DE300,101),0)</f>
        <v/>
      </c>
      <c r="DA300">
        <f>IFERROR(INDEX(PP_Grid[#Data],$DE300,102),0)</f>
        <v/>
      </c>
      <c r="DB300">
        <f>IFERROR(INDEX(PP_Grid[#Data],$DE300,103),0)</f>
        <v/>
      </c>
      <c r="DC300">
        <f>IFERROR(INDEX(PP_Grid[#Data],$DE300,104),0)</f>
        <v/>
      </c>
      <c r="DD300">
        <f>IFERROR(INDEX(PP_Grid[#Data],$DE300,105),0)</f>
        <v/>
      </c>
      <c r="DE300" s="7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SUMIFS(M_BOM[RM_Qty_Per_Batch],M_BOM[Intermediate],$B300,M_BOM[RM_Code],$A187)</f>
        <v/>
      </c>
      <c r="D301">
        <f>IFERROR(INDEX(E301:DD301,$F$1),"")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  <c r="DD301">
        <f>$C301*DD300</f>
        <v/>
      </c>
    </row>
    <row r="302">
      <c r="B302" t="inlineStr">
        <is>
          <t>VSP-607</t>
        </is>
      </c>
      <c r="C302" t="inlineStr">
        <is>
          <t>No. of batches</t>
        </is>
      </c>
      <c r="D302">
        <f>IFERROR(INDEX(E302:DD302,$F$1),"")</f>
        <v/>
      </c>
      <c r="E302">
        <f>IFERROR(INDEX(PP_Grid[#Data],$DE302,2),0)</f>
        <v/>
      </c>
      <c r="F302">
        <f>IFERROR(INDEX(PP_Grid[#Data],$DE302,3),0)</f>
        <v/>
      </c>
      <c r="G302">
        <f>IFERROR(INDEX(PP_Grid[#Data],$DE302,4),0)</f>
        <v/>
      </c>
      <c r="H302">
        <f>IFERROR(INDEX(PP_Grid[#Data],$DE302,5),0)</f>
        <v/>
      </c>
      <c r="I302">
        <f>IFERROR(INDEX(PP_Grid[#Data],$DE302,6),0)</f>
        <v/>
      </c>
      <c r="J302">
        <f>IFERROR(INDEX(PP_Grid[#Data],$DE302,7),0)</f>
        <v/>
      </c>
      <c r="K302">
        <f>IFERROR(INDEX(PP_Grid[#Data],$DE302,8),0)</f>
        <v/>
      </c>
      <c r="L302">
        <f>IFERROR(INDEX(PP_Grid[#Data],$DE302,9),0)</f>
        <v/>
      </c>
      <c r="M302">
        <f>IFERROR(INDEX(PP_Grid[#Data],$DE302,10),0)</f>
        <v/>
      </c>
      <c r="N302">
        <f>IFERROR(INDEX(PP_Grid[#Data],$DE302,11),0)</f>
        <v/>
      </c>
      <c r="O302">
        <f>IFERROR(INDEX(PP_Grid[#Data],$DE302,12),0)</f>
        <v/>
      </c>
      <c r="P302">
        <f>IFERROR(INDEX(PP_Grid[#Data],$DE302,13),0)</f>
        <v/>
      </c>
      <c r="Q302">
        <f>IFERROR(INDEX(PP_Grid[#Data],$DE302,14),0)</f>
        <v/>
      </c>
      <c r="R302">
        <f>IFERROR(INDEX(PP_Grid[#Data],$DE302,15),0)</f>
        <v/>
      </c>
      <c r="S302">
        <f>IFERROR(INDEX(PP_Grid[#Data],$DE302,16),0)</f>
        <v/>
      </c>
      <c r="T302">
        <f>IFERROR(INDEX(PP_Grid[#Data],$DE302,17),0)</f>
        <v/>
      </c>
      <c r="U302">
        <f>IFERROR(INDEX(PP_Grid[#Data],$DE302,18),0)</f>
        <v/>
      </c>
      <c r="V302">
        <f>IFERROR(INDEX(PP_Grid[#Data],$DE302,19),0)</f>
        <v/>
      </c>
      <c r="W302">
        <f>IFERROR(INDEX(PP_Grid[#Data],$DE302,20),0)</f>
        <v/>
      </c>
      <c r="X302">
        <f>IFERROR(INDEX(PP_Grid[#Data],$DE302,21),0)</f>
        <v/>
      </c>
      <c r="Y302">
        <f>IFERROR(INDEX(PP_Grid[#Data],$DE302,22),0)</f>
        <v/>
      </c>
      <c r="Z302">
        <f>IFERROR(INDEX(PP_Grid[#Data],$DE302,23),0)</f>
        <v/>
      </c>
      <c r="AA302">
        <f>IFERROR(INDEX(PP_Grid[#Data],$DE302,24),0)</f>
        <v/>
      </c>
      <c r="AB302">
        <f>IFERROR(INDEX(PP_Grid[#Data],$DE302,25),0)</f>
        <v/>
      </c>
      <c r="AC302">
        <f>IFERROR(INDEX(PP_Grid[#Data],$DE302,26),0)</f>
        <v/>
      </c>
      <c r="AD302">
        <f>IFERROR(INDEX(PP_Grid[#Data],$DE302,27),0)</f>
        <v/>
      </c>
      <c r="AE302">
        <f>IFERROR(INDEX(PP_Grid[#Data],$DE302,28),0)</f>
        <v/>
      </c>
      <c r="AF302">
        <f>IFERROR(INDEX(PP_Grid[#Data],$DE302,29),0)</f>
        <v/>
      </c>
      <c r="AG302">
        <f>IFERROR(INDEX(PP_Grid[#Data],$DE302,30),0)</f>
        <v/>
      </c>
      <c r="AH302">
        <f>IFERROR(INDEX(PP_Grid[#Data],$DE302,31),0)</f>
        <v/>
      </c>
      <c r="AI302">
        <f>IFERROR(INDEX(PP_Grid[#Data],$DE302,32),0)</f>
        <v/>
      </c>
      <c r="AJ302">
        <f>IFERROR(INDEX(PP_Grid[#Data],$DE302,33),0)</f>
        <v/>
      </c>
      <c r="AK302">
        <f>IFERROR(INDEX(PP_Grid[#Data],$DE302,34),0)</f>
        <v/>
      </c>
      <c r="AL302">
        <f>IFERROR(INDEX(PP_Grid[#Data],$DE302,35),0)</f>
        <v/>
      </c>
      <c r="AM302">
        <f>IFERROR(INDEX(PP_Grid[#Data],$DE302,36),0)</f>
        <v/>
      </c>
      <c r="AN302">
        <f>IFERROR(INDEX(PP_Grid[#Data],$DE302,37),0)</f>
        <v/>
      </c>
      <c r="AO302">
        <f>IFERROR(INDEX(PP_Grid[#Data],$DE302,38),0)</f>
        <v/>
      </c>
      <c r="AP302">
        <f>IFERROR(INDEX(PP_Grid[#Data],$DE302,39),0)</f>
        <v/>
      </c>
      <c r="AQ302">
        <f>IFERROR(INDEX(PP_Grid[#Data],$DE302,40),0)</f>
        <v/>
      </c>
      <c r="AR302">
        <f>IFERROR(INDEX(PP_Grid[#Data],$DE302,41),0)</f>
        <v/>
      </c>
      <c r="AS302">
        <f>IFERROR(INDEX(PP_Grid[#Data],$DE302,42),0)</f>
        <v/>
      </c>
      <c r="AT302">
        <f>IFERROR(INDEX(PP_Grid[#Data],$DE302,43),0)</f>
        <v/>
      </c>
      <c r="AU302">
        <f>IFERROR(INDEX(PP_Grid[#Data],$DE302,44),0)</f>
        <v/>
      </c>
      <c r="AV302">
        <f>IFERROR(INDEX(PP_Grid[#Data],$DE302,45),0)</f>
        <v/>
      </c>
      <c r="AW302">
        <f>IFERROR(INDEX(PP_Grid[#Data],$DE302,46),0)</f>
        <v/>
      </c>
      <c r="AX302">
        <f>IFERROR(INDEX(PP_Grid[#Data],$DE302,47),0)</f>
        <v/>
      </c>
      <c r="AY302">
        <f>IFERROR(INDEX(PP_Grid[#Data],$DE302,48),0)</f>
        <v/>
      </c>
      <c r="AZ302">
        <f>IFERROR(INDEX(PP_Grid[#Data],$DE302,49),0)</f>
        <v/>
      </c>
      <c r="BA302">
        <f>IFERROR(INDEX(PP_Grid[#Data],$DE302,50),0)</f>
        <v/>
      </c>
      <c r="BB302">
        <f>IFERROR(INDEX(PP_Grid[#Data],$DE302,51),0)</f>
        <v/>
      </c>
      <c r="BC302">
        <f>IFERROR(INDEX(PP_Grid[#Data],$DE302,52),0)</f>
        <v/>
      </c>
      <c r="BD302">
        <f>IFERROR(INDEX(PP_Grid[#Data],$DE302,53),0)</f>
        <v/>
      </c>
      <c r="BE302">
        <f>IFERROR(INDEX(PP_Grid[#Data],$DE302,54),0)</f>
        <v/>
      </c>
      <c r="BF302">
        <f>IFERROR(INDEX(PP_Grid[#Data],$DE302,55),0)</f>
        <v/>
      </c>
      <c r="BG302">
        <f>IFERROR(INDEX(PP_Grid[#Data],$DE302,56),0)</f>
        <v/>
      </c>
      <c r="BH302">
        <f>IFERROR(INDEX(PP_Grid[#Data],$DE302,57),0)</f>
        <v/>
      </c>
      <c r="BI302">
        <f>IFERROR(INDEX(PP_Grid[#Data],$DE302,58),0)</f>
        <v/>
      </c>
      <c r="BJ302">
        <f>IFERROR(INDEX(PP_Grid[#Data],$DE302,59),0)</f>
        <v/>
      </c>
      <c r="BK302">
        <f>IFERROR(INDEX(PP_Grid[#Data],$DE302,60),0)</f>
        <v/>
      </c>
      <c r="BL302">
        <f>IFERROR(INDEX(PP_Grid[#Data],$DE302,61),0)</f>
        <v/>
      </c>
      <c r="BM302">
        <f>IFERROR(INDEX(PP_Grid[#Data],$DE302,62),0)</f>
        <v/>
      </c>
      <c r="BN302">
        <f>IFERROR(INDEX(PP_Grid[#Data],$DE302,63),0)</f>
        <v/>
      </c>
      <c r="BO302">
        <f>IFERROR(INDEX(PP_Grid[#Data],$DE302,64),0)</f>
        <v/>
      </c>
      <c r="BP302">
        <f>IFERROR(INDEX(PP_Grid[#Data],$DE302,65),0)</f>
        <v/>
      </c>
      <c r="BQ302">
        <f>IFERROR(INDEX(PP_Grid[#Data],$DE302,66),0)</f>
        <v/>
      </c>
      <c r="BR302">
        <f>IFERROR(INDEX(PP_Grid[#Data],$DE302,67),0)</f>
        <v/>
      </c>
      <c r="BS302">
        <f>IFERROR(INDEX(PP_Grid[#Data],$DE302,68),0)</f>
        <v/>
      </c>
      <c r="BT302">
        <f>IFERROR(INDEX(PP_Grid[#Data],$DE302,69),0)</f>
        <v/>
      </c>
      <c r="BU302">
        <f>IFERROR(INDEX(PP_Grid[#Data],$DE302,70),0)</f>
        <v/>
      </c>
      <c r="BV302">
        <f>IFERROR(INDEX(PP_Grid[#Data],$DE302,71),0)</f>
        <v/>
      </c>
      <c r="BW302">
        <f>IFERROR(INDEX(PP_Grid[#Data],$DE302,72),0)</f>
        <v/>
      </c>
      <c r="BX302">
        <f>IFERROR(INDEX(PP_Grid[#Data],$DE302,73),0)</f>
        <v/>
      </c>
      <c r="BY302">
        <f>IFERROR(INDEX(PP_Grid[#Data],$DE302,74),0)</f>
        <v/>
      </c>
      <c r="BZ302">
        <f>IFERROR(INDEX(PP_Grid[#Data],$DE302,75),0)</f>
        <v/>
      </c>
      <c r="CA302">
        <f>IFERROR(INDEX(PP_Grid[#Data],$DE302,76),0)</f>
        <v/>
      </c>
      <c r="CB302">
        <f>IFERROR(INDEX(PP_Grid[#Data],$DE302,77),0)</f>
        <v/>
      </c>
      <c r="CC302">
        <f>IFERROR(INDEX(PP_Grid[#Data],$DE302,78),0)</f>
        <v/>
      </c>
      <c r="CD302">
        <f>IFERROR(INDEX(PP_Grid[#Data],$DE302,79),0)</f>
        <v/>
      </c>
      <c r="CE302">
        <f>IFERROR(INDEX(PP_Grid[#Data],$DE302,80),0)</f>
        <v/>
      </c>
      <c r="CF302">
        <f>IFERROR(INDEX(PP_Grid[#Data],$DE302,81),0)</f>
        <v/>
      </c>
      <c r="CG302">
        <f>IFERROR(INDEX(PP_Grid[#Data],$DE302,82),0)</f>
        <v/>
      </c>
      <c r="CH302">
        <f>IFERROR(INDEX(PP_Grid[#Data],$DE302,83),0)</f>
        <v/>
      </c>
      <c r="CI302">
        <f>IFERROR(INDEX(PP_Grid[#Data],$DE302,84),0)</f>
        <v/>
      </c>
      <c r="CJ302">
        <f>IFERROR(INDEX(PP_Grid[#Data],$DE302,85),0)</f>
        <v/>
      </c>
      <c r="CK302">
        <f>IFERROR(INDEX(PP_Grid[#Data],$DE302,86),0)</f>
        <v/>
      </c>
      <c r="CL302">
        <f>IFERROR(INDEX(PP_Grid[#Data],$DE302,87),0)</f>
        <v/>
      </c>
      <c r="CM302">
        <f>IFERROR(INDEX(PP_Grid[#Data],$DE302,88),0)</f>
        <v/>
      </c>
      <c r="CN302">
        <f>IFERROR(INDEX(PP_Grid[#Data],$DE302,89),0)</f>
        <v/>
      </c>
      <c r="CO302">
        <f>IFERROR(INDEX(PP_Grid[#Data],$DE302,90),0)</f>
        <v/>
      </c>
      <c r="CP302">
        <f>IFERROR(INDEX(PP_Grid[#Data],$DE302,91),0)</f>
        <v/>
      </c>
      <c r="CQ302">
        <f>IFERROR(INDEX(PP_Grid[#Data],$DE302,92),0)</f>
        <v/>
      </c>
      <c r="CR302">
        <f>IFERROR(INDEX(PP_Grid[#Data],$DE302,93),0)</f>
        <v/>
      </c>
      <c r="CS302">
        <f>IFERROR(INDEX(PP_Grid[#Data],$DE302,94),0)</f>
        <v/>
      </c>
      <c r="CT302">
        <f>IFERROR(INDEX(PP_Grid[#Data],$DE302,95),0)</f>
        <v/>
      </c>
      <c r="CU302">
        <f>IFERROR(INDEX(PP_Grid[#Data],$DE302,96),0)</f>
        <v/>
      </c>
      <c r="CV302">
        <f>IFERROR(INDEX(PP_Grid[#Data],$DE302,97),0)</f>
        <v/>
      </c>
      <c r="CW302">
        <f>IFERROR(INDEX(PP_Grid[#Data],$DE302,98),0)</f>
        <v/>
      </c>
      <c r="CX302">
        <f>IFERROR(INDEX(PP_Grid[#Data],$DE302,99),0)</f>
        <v/>
      </c>
      <c r="CY302">
        <f>IFERROR(INDEX(PP_Grid[#Data],$DE302,100),0)</f>
        <v/>
      </c>
      <c r="CZ302">
        <f>IFERROR(INDEX(PP_Grid[#Data],$DE302,101),0)</f>
        <v/>
      </c>
      <c r="DA302">
        <f>IFERROR(INDEX(PP_Grid[#Data],$DE302,102),0)</f>
        <v/>
      </c>
      <c r="DB302">
        <f>IFERROR(INDEX(PP_Grid[#Data],$DE302,103),0)</f>
        <v/>
      </c>
      <c r="DC302">
        <f>IFERROR(INDEX(PP_Grid[#Data],$DE302,104),0)</f>
        <v/>
      </c>
      <c r="DD302">
        <f>IFERROR(INDEX(PP_Grid[#Data],$DE302,105),0)</f>
        <v/>
      </c>
      <c r="DE302" s="7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SUMIFS(M_BOM[RM_Qty_Per_Batch],M_BOM[Intermediate],$B302,M_BOM[RM_Code],$A187)</f>
        <v/>
      </c>
      <c r="D303">
        <f>IFERROR(INDEX(E303:DD303,$F$1),"")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  <c r="DD303">
        <f>$C303*DD302</f>
        <v/>
      </c>
    </row>
    <row r="304">
      <c r="B304" t="inlineStr">
        <is>
          <t>VSP-738</t>
        </is>
      </c>
      <c r="C304" t="inlineStr">
        <is>
          <t>No. of batches</t>
        </is>
      </c>
      <c r="D304">
        <f>IFERROR(INDEX(E304:DD304,$F$1),"")</f>
        <v/>
      </c>
      <c r="E304">
        <f>IFERROR(INDEX(PP_Grid[#Data],$DE304,2),0)</f>
        <v/>
      </c>
      <c r="F304">
        <f>IFERROR(INDEX(PP_Grid[#Data],$DE304,3),0)</f>
        <v/>
      </c>
      <c r="G304">
        <f>IFERROR(INDEX(PP_Grid[#Data],$DE304,4),0)</f>
        <v/>
      </c>
      <c r="H304">
        <f>IFERROR(INDEX(PP_Grid[#Data],$DE304,5),0)</f>
        <v/>
      </c>
      <c r="I304">
        <f>IFERROR(INDEX(PP_Grid[#Data],$DE304,6),0)</f>
        <v/>
      </c>
      <c r="J304">
        <f>IFERROR(INDEX(PP_Grid[#Data],$DE304,7),0)</f>
        <v/>
      </c>
      <c r="K304">
        <f>IFERROR(INDEX(PP_Grid[#Data],$DE304,8),0)</f>
        <v/>
      </c>
      <c r="L304">
        <f>IFERROR(INDEX(PP_Grid[#Data],$DE304,9),0)</f>
        <v/>
      </c>
      <c r="M304">
        <f>IFERROR(INDEX(PP_Grid[#Data],$DE304,10),0)</f>
        <v/>
      </c>
      <c r="N304">
        <f>IFERROR(INDEX(PP_Grid[#Data],$DE304,11),0)</f>
        <v/>
      </c>
      <c r="O304">
        <f>IFERROR(INDEX(PP_Grid[#Data],$DE304,12),0)</f>
        <v/>
      </c>
      <c r="P304">
        <f>IFERROR(INDEX(PP_Grid[#Data],$DE304,13),0)</f>
        <v/>
      </c>
      <c r="Q304">
        <f>IFERROR(INDEX(PP_Grid[#Data],$DE304,14),0)</f>
        <v/>
      </c>
      <c r="R304">
        <f>IFERROR(INDEX(PP_Grid[#Data],$DE304,15),0)</f>
        <v/>
      </c>
      <c r="S304">
        <f>IFERROR(INDEX(PP_Grid[#Data],$DE304,16),0)</f>
        <v/>
      </c>
      <c r="T304">
        <f>IFERROR(INDEX(PP_Grid[#Data],$DE304,17),0)</f>
        <v/>
      </c>
      <c r="U304">
        <f>IFERROR(INDEX(PP_Grid[#Data],$DE304,18),0)</f>
        <v/>
      </c>
      <c r="V304">
        <f>IFERROR(INDEX(PP_Grid[#Data],$DE304,19),0)</f>
        <v/>
      </c>
      <c r="W304">
        <f>IFERROR(INDEX(PP_Grid[#Data],$DE304,20),0)</f>
        <v/>
      </c>
      <c r="X304">
        <f>IFERROR(INDEX(PP_Grid[#Data],$DE304,21),0)</f>
        <v/>
      </c>
      <c r="Y304">
        <f>IFERROR(INDEX(PP_Grid[#Data],$DE304,22),0)</f>
        <v/>
      </c>
      <c r="Z304">
        <f>IFERROR(INDEX(PP_Grid[#Data],$DE304,23),0)</f>
        <v/>
      </c>
      <c r="AA304">
        <f>IFERROR(INDEX(PP_Grid[#Data],$DE304,24),0)</f>
        <v/>
      </c>
      <c r="AB304">
        <f>IFERROR(INDEX(PP_Grid[#Data],$DE304,25),0)</f>
        <v/>
      </c>
      <c r="AC304">
        <f>IFERROR(INDEX(PP_Grid[#Data],$DE304,26),0)</f>
        <v/>
      </c>
      <c r="AD304">
        <f>IFERROR(INDEX(PP_Grid[#Data],$DE304,27),0)</f>
        <v/>
      </c>
      <c r="AE304">
        <f>IFERROR(INDEX(PP_Grid[#Data],$DE304,28),0)</f>
        <v/>
      </c>
      <c r="AF304">
        <f>IFERROR(INDEX(PP_Grid[#Data],$DE304,29),0)</f>
        <v/>
      </c>
      <c r="AG304">
        <f>IFERROR(INDEX(PP_Grid[#Data],$DE304,30),0)</f>
        <v/>
      </c>
      <c r="AH304">
        <f>IFERROR(INDEX(PP_Grid[#Data],$DE304,31),0)</f>
        <v/>
      </c>
      <c r="AI304">
        <f>IFERROR(INDEX(PP_Grid[#Data],$DE304,32),0)</f>
        <v/>
      </c>
      <c r="AJ304">
        <f>IFERROR(INDEX(PP_Grid[#Data],$DE304,33),0)</f>
        <v/>
      </c>
      <c r="AK304">
        <f>IFERROR(INDEX(PP_Grid[#Data],$DE304,34),0)</f>
        <v/>
      </c>
      <c r="AL304">
        <f>IFERROR(INDEX(PP_Grid[#Data],$DE304,35),0)</f>
        <v/>
      </c>
      <c r="AM304">
        <f>IFERROR(INDEX(PP_Grid[#Data],$DE304,36),0)</f>
        <v/>
      </c>
      <c r="AN304">
        <f>IFERROR(INDEX(PP_Grid[#Data],$DE304,37),0)</f>
        <v/>
      </c>
      <c r="AO304">
        <f>IFERROR(INDEX(PP_Grid[#Data],$DE304,38),0)</f>
        <v/>
      </c>
      <c r="AP304">
        <f>IFERROR(INDEX(PP_Grid[#Data],$DE304,39),0)</f>
        <v/>
      </c>
      <c r="AQ304">
        <f>IFERROR(INDEX(PP_Grid[#Data],$DE304,40),0)</f>
        <v/>
      </c>
      <c r="AR304">
        <f>IFERROR(INDEX(PP_Grid[#Data],$DE304,41),0)</f>
        <v/>
      </c>
      <c r="AS304">
        <f>IFERROR(INDEX(PP_Grid[#Data],$DE304,42),0)</f>
        <v/>
      </c>
      <c r="AT304">
        <f>IFERROR(INDEX(PP_Grid[#Data],$DE304,43),0)</f>
        <v/>
      </c>
      <c r="AU304">
        <f>IFERROR(INDEX(PP_Grid[#Data],$DE304,44),0)</f>
        <v/>
      </c>
      <c r="AV304">
        <f>IFERROR(INDEX(PP_Grid[#Data],$DE304,45),0)</f>
        <v/>
      </c>
      <c r="AW304">
        <f>IFERROR(INDEX(PP_Grid[#Data],$DE304,46),0)</f>
        <v/>
      </c>
      <c r="AX304">
        <f>IFERROR(INDEX(PP_Grid[#Data],$DE304,47),0)</f>
        <v/>
      </c>
      <c r="AY304">
        <f>IFERROR(INDEX(PP_Grid[#Data],$DE304,48),0)</f>
        <v/>
      </c>
      <c r="AZ304">
        <f>IFERROR(INDEX(PP_Grid[#Data],$DE304,49),0)</f>
        <v/>
      </c>
      <c r="BA304">
        <f>IFERROR(INDEX(PP_Grid[#Data],$DE304,50),0)</f>
        <v/>
      </c>
      <c r="BB304">
        <f>IFERROR(INDEX(PP_Grid[#Data],$DE304,51),0)</f>
        <v/>
      </c>
      <c r="BC304">
        <f>IFERROR(INDEX(PP_Grid[#Data],$DE304,52),0)</f>
        <v/>
      </c>
      <c r="BD304">
        <f>IFERROR(INDEX(PP_Grid[#Data],$DE304,53),0)</f>
        <v/>
      </c>
      <c r="BE304">
        <f>IFERROR(INDEX(PP_Grid[#Data],$DE304,54),0)</f>
        <v/>
      </c>
      <c r="BF304">
        <f>IFERROR(INDEX(PP_Grid[#Data],$DE304,55),0)</f>
        <v/>
      </c>
      <c r="BG304">
        <f>IFERROR(INDEX(PP_Grid[#Data],$DE304,56),0)</f>
        <v/>
      </c>
      <c r="BH304">
        <f>IFERROR(INDEX(PP_Grid[#Data],$DE304,57),0)</f>
        <v/>
      </c>
      <c r="BI304">
        <f>IFERROR(INDEX(PP_Grid[#Data],$DE304,58),0)</f>
        <v/>
      </c>
      <c r="BJ304">
        <f>IFERROR(INDEX(PP_Grid[#Data],$DE304,59),0)</f>
        <v/>
      </c>
      <c r="BK304">
        <f>IFERROR(INDEX(PP_Grid[#Data],$DE304,60),0)</f>
        <v/>
      </c>
      <c r="BL304">
        <f>IFERROR(INDEX(PP_Grid[#Data],$DE304,61),0)</f>
        <v/>
      </c>
      <c r="BM304">
        <f>IFERROR(INDEX(PP_Grid[#Data],$DE304,62),0)</f>
        <v/>
      </c>
      <c r="BN304">
        <f>IFERROR(INDEX(PP_Grid[#Data],$DE304,63),0)</f>
        <v/>
      </c>
      <c r="BO304">
        <f>IFERROR(INDEX(PP_Grid[#Data],$DE304,64),0)</f>
        <v/>
      </c>
      <c r="BP304">
        <f>IFERROR(INDEX(PP_Grid[#Data],$DE304,65),0)</f>
        <v/>
      </c>
      <c r="BQ304">
        <f>IFERROR(INDEX(PP_Grid[#Data],$DE304,66),0)</f>
        <v/>
      </c>
      <c r="BR304">
        <f>IFERROR(INDEX(PP_Grid[#Data],$DE304,67),0)</f>
        <v/>
      </c>
      <c r="BS304">
        <f>IFERROR(INDEX(PP_Grid[#Data],$DE304,68),0)</f>
        <v/>
      </c>
      <c r="BT304">
        <f>IFERROR(INDEX(PP_Grid[#Data],$DE304,69),0)</f>
        <v/>
      </c>
      <c r="BU304">
        <f>IFERROR(INDEX(PP_Grid[#Data],$DE304,70),0)</f>
        <v/>
      </c>
      <c r="BV304">
        <f>IFERROR(INDEX(PP_Grid[#Data],$DE304,71),0)</f>
        <v/>
      </c>
      <c r="BW304">
        <f>IFERROR(INDEX(PP_Grid[#Data],$DE304,72),0)</f>
        <v/>
      </c>
      <c r="BX304">
        <f>IFERROR(INDEX(PP_Grid[#Data],$DE304,73),0)</f>
        <v/>
      </c>
      <c r="BY304">
        <f>IFERROR(INDEX(PP_Grid[#Data],$DE304,74),0)</f>
        <v/>
      </c>
      <c r="BZ304">
        <f>IFERROR(INDEX(PP_Grid[#Data],$DE304,75),0)</f>
        <v/>
      </c>
      <c r="CA304">
        <f>IFERROR(INDEX(PP_Grid[#Data],$DE304,76),0)</f>
        <v/>
      </c>
      <c r="CB304">
        <f>IFERROR(INDEX(PP_Grid[#Data],$DE304,77),0)</f>
        <v/>
      </c>
      <c r="CC304">
        <f>IFERROR(INDEX(PP_Grid[#Data],$DE304,78),0)</f>
        <v/>
      </c>
      <c r="CD304">
        <f>IFERROR(INDEX(PP_Grid[#Data],$DE304,79),0)</f>
        <v/>
      </c>
      <c r="CE304">
        <f>IFERROR(INDEX(PP_Grid[#Data],$DE304,80),0)</f>
        <v/>
      </c>
      <c r="CF304">
        <f>IFERROR(INDEX(PP_Grid[#Data],$DE304,81),0)</f>
        <v/>
      </c>
      <c r="CG304">
        <f>IFERROR(INDEX(PP_Grid[#Data],$DE304,82),0)</f>
        <v/>
      </c>
      <c r="CH304">
        <f>IFERROR(INDEX(PP_Grid[#Data],$DE304,83),0)</f>
        <v/>
      </c>
      <c r="CI304">
        <f>IFERROR(INDEX(PP_Grid[#Data],$DE304,84),0)</f>
        <v/>
      </c>
      <c r="CJ304">
        <f>IFERROR(INDEX(PP_Grid[#Data],$DE304,85),0)</f>
        <v/>
      </c>
      <c r="CK304">
        <f>IFERROR(INDEX(PP_Grid[#Data],$DE304,86),0)</f>
        <v/>
      </c>
      <c r="CL304">
        <f>IFERROR(INDEX(PP_Grid[#Data],$DE304,87),0)</f>
        <v/>
      </c>
      <c r="CM304">
        <f>IFERROR(INDEX(PP_Grid[#Data],$DE304,88),0)</f>
        <v/>
      </c>
      <c r="CN304">
        <f>IFERROR(INDEX(PP_Grid[#Data],$DE304,89),0)</f>
        <v/>
      </c>
      <c r="CO304">
        <f>IFERROR(INDEX(PP_Grid[#Data],$DE304,90),0)</f>
        <v/>
      </c>
      <c r="CP304">
        <f>IFERROR(INDEX(PP_Grid[#Data],$DE304,91),0)</f>
        <v/>
      </c>
      <c r="CQ304">
        <f>IFERROR(INDEX(PP_Grid[#Data],$DE304,92),0)</f>
        <v/>
      </c>
      <c r="CR304">
        <f>IFERROR(INDEX(PP_Grid[#Data],$DE304,93),0)</f>
        <v/>
      </c>
      <c r="CS304">
        <f>IFERROR(INDEX(PP_Grid[#Data],$DE304,94),0)</f>
        <v/>
      </c>
      <c r="CT304">
        <f>IFERROR(INDEX(PP_Grid[#Data],$DE304,95),0)</f>
        <v/>
      </c>
      <c r="CU304">
        <f>IFERROR(INDEX(PP_Grid[#Data],$DE304,96),0)</f>
        <v/>
      </c>
      <c r="CV304">
        <f>IFERROR(INDEX(PP_Grid[#Data],$DE304,97),0)</f>
        <v/>
      </c>
      <c r="CW304">
        <f>IFERROR(INDEX(PP_Grid[#Data],$DE304,98),0)</f>
        <v/>
      </c>
      <c r="CX304">
        <f>IFERROR(INDEX(PP_Grid[#Data],$DE304,99),0)</f>
        <v/>
      </c>
      <c r="CY304">
        <f>IFERROR(INDEX(PP_Grid[#Data],$DE304,100),0)</f>
        <v/>
      </c>
      <c r="CZ304">
        <f>IFERROR(INDEX(PP_Grid[#Data],$DE304,101),0)</f>
        <v/>
      </c>
      <c r="DA304">
        <f>IFERROR(INDEX(PP_Grid[#Data],$DE304,102),0)</f>
        <v/>
      </c>
      <c r="DB304">
        <f>IFERROR(INDEX(PP_Grid[#Data],$DE304,103),0)</f>
        <v/>
      </c>
      <c r="DC304">
        <f>IFERROR(INDEX(PP_Grid[#Data],$DE304,104),0)</f>
        <v/>
      </c>
      <c r="DD304">
        <f>IFERROR(INDEX(PP_Grid[#Data],$DE304,105),0)</f>
        <v/>
      </c>
      <c r="DE304" s="7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SUMIFS(M_BOM[RM_Qty_Per_Batch],M_BOM[Intermediate],$B304,M_BOM[RM_Code],$A187)</f>
        <v/>
      </c>
      <c r="D305">
        <f>IFERROR(INDEX(E305:DD305,$F$1),"")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  <c r="DD305">
        <f>$C305*DD304</f>
        <v/>
      </c>
    </row>
    <row r="306">
      <c r="B306" t="inlineStr">
        <is>
          <t>VSP-739</t>
        </is>
      </c>
      <c r="C306" t="inlineStr">
        <is>
          <t>No. of batches</t>
        </is>
      </c>
      <c r="D306">
        <f>IFERROR(INDEX(E306:DD306,$F$1),"")</f>
        <v/>
      </c>
      <c r="E306">
        <f>IFERROR(INDEX(PP_Grid[#Data],$DE306,2),0)</f>
        <v/>
      </c>
      <c r="F306">
        <f>IFERROR(INDEX(PP_Grid[#Data],$DE306,3),0)</f>
        <v/>
      </c>
      <c r="G306">
        <f>IFERROR(INDEX(PP_Grid[#Data],$DE306,4),0)</f>
        <v/>
      </c>
      <c r="H306">
        <f>IFERROR(INDEX(PP_Grid[#Data],$DE306,5),0)</f>
        <v/>
      </c>
      <c r="I306">
        <f>IFERROR(INDEX(PP_Grid[#Data],$DE306,6),0)</f>
        <v/>
      </c>
      <c r="J306">
        <f>IFERROR(INDEX(PP_Grid[#Data],$DE306,7),0)</f>
        <v/>
      </c>
      <c r="K306">
        <f>IFERROR(INDEX(PP_Grid[#Data],$DE306,8),0)</f>
        <v/>
      </c>
      <c r="L306">
        <f>IFERROR(INDEX(PP_Grid[#Data],$DE306,9),0)</f>
        <v/>
      </c>
      <c r="M306">
        <f>IFERROR(INDEX(PP_Grid[#Data],$DE306,10),0)</f>
        <v/>
      </c>
      <c r="N306">
        <f>IFERROR(INDEX(PP_Grid[#Data],$DE306,11),0)</f>
        <v/>
      </c>
      <c r="O306">
        <f>IFERROR(INDEX(PP_Grid[#Data],$DE306,12),0)</f>
        <v/>
      </c>
      <c r="P306">
        <f>IFERROR(INDEX(PP_Grid[#Data],$DE306,13),0)</f>
        <v/>
      </c>
      <c r="Q306">
        <f>IFERROR(INDEX(PP_Grid[#Data],$DE306,14),0)</f>
        <v/>
      </c>
      <c r="R306">
        <f>IFERROR(INDEX(PP_Grid[#Data],$DE306,15),0)</f>
        <v/>
      </c>
      <c r="S306">
        <f>IFERROR(INDEX(PP_Grid[#Data],$DE306,16),0)</f>
        <v/>
      </c>
      <c r="T306">
        <f>IFERROR(INDEX(PP_Grid[#Data],$DE306,17),0)</f>
        <v/>
      </c>
      <c r="U306">
        <f>IFERROR(INDEX(PP_Grid[#Data],$DE306,18),0)</f>
        <v/>
      </c>
      <c r="V306">
        <f>IFERROR(INDEX(PP_Grid[#Data],$DE306,19),0)</f>
        <v/>
      </c>
      <c r="W306">
        <f>IFERROR(INDEX(PP_Grid[#Data],$DE306,20),0)</f>
        <v/>
      </c>
      <c r="X306">
        <f>IFERROR(INDEX(PP_Grid[#Data],$DE306,21),0)</f>
        <v/>
      </c>
      <c r="Y306">
        <f>IFERROR(INDEX(PP_Grid[#Data],$DE306,22),0)</f>
        <v/>
      </c>
      <c r="Z306">
        <f>IFERROR(INDEX(PP_Grid[#Data],$DE306,23),0)</f>
        <v/>
      </c>
      <c r="AA306">
        <f>IFERROR(INDEX(PP_Grid[#Data],$DE306,24),0)</f>
        <v/>
      </c>
      <c r="AB306">
        <f>IFERROR(INDEX(PP_Grid[#Data],$DE306,25),0)</f>
        <v/>
      </c>
      <c r="AC306">
        <f>IFERROR(INDEX(PP_Grid[#Data],$DE306,26),0)</f>
        <v/>
      </c>
      <c r="AD306">
        <f>IFERROR(INDEX(PP_Grid[#Data],$DE306,27),0)</f>
        <v/>
      </c>
      <c r="AE306">
        <f>IFERROR(INDEX(PP_Grid[#Data],$DE306,28),0)</f>
        <v/>
      </c>
      <c r="AF306">
        <f>IFERROR(INDEX(PP_Grid[#Data],$DE306,29),0)</f>
        <v/>
      </c>
      <c r="AG306">
        <f>IFERROR(INDEX(PP_Grid[#Data],$DE306,30),0)</f>
        <v/>
      </c>
      <c r="AH306">
        <f>IFERROR(INDEX(PP_Grid[#Data],$DE306,31),0)</f>
        <v/>
      </c>
      <c r="AI306">
        <f>IFERROR(INDEX(PP_Grid[#Data],$DE306,32),0)</f>
        <v/>
      </c>
      <c r="AJ306">
        <f>IFERROR(INDEX(PP_Grid[#Data],$DE306,33),0)</f>
        <v/>
      </c>
      <c r="AK306">
        <f>IFERROR(INDEX(PP_Grid[#Data],$DE306,34),0)</f>
        <v/>
      </c>
      <c r="AL306">
        <f>IFERROR(INDEX(PP_Grid[#Data],$DE306,35),0)</f>
        <v/>
      </c>
      <c r="AM306">
        <f>IFERROR(INDEX(PP_Grid[#Data],$DE306,36),0)</f>
        <v/>
      </c>
      <c r="AN306">
        <f>IFERROR(INDEX(PP_Grid[#Data],$DE306,37),0)</f>
        <v/>
      </c>
      <c r="AO306">
        <f>IFERROR(INDEX(PP_Grid[#Data],$DE306,38),0)</f>
        <v/>
      </c>
      <c r="AP306">
        <f>IFERROR(INDEX(PP_Grid[#Data],$DE306,39),0)</f>
        <v/>
      </c>
      <c r="AQ306">
        <f>IFERROR(INDEX(PP_Grid[#Data],$DE306,40),0)</f>
        <v/>
      </c>
      <c r="AR306">
        <f>IFERROR(INDEX(PP_Grid[#Data],$DE306,41),0)</f>
        <v/>
      </c>
      <c r="AS306">
        <f>IFERROR(INDEX(PP_Grid[#Data],$DE306,42),0)</f>
        <v/>
      </c>
      <c r="AT306">
        <f>IFERROR(INDEX(PP_Grid[#Data],$DE306,43),0)</f>
        <v/>
      </c>
      <c r="AU306">
        <f>IFERROR(INDEX(PP_Grid[#Data],$DE306,44),0)</f>
        <v/>
      </c>
      <c r="AV306">
        <f>IFERROR(INDEX(PP_Grid[#Data],$DE306,45),0)</f>
        <v/>
      </c>
      <c r="AW306">
        <f>IFERROR(INDEX(PP_Grid[#Data],$DE306,46),0)</f>
        <v/>
      </c>
      <c r="AX306">
        <f>IFERROR(INDEX(PP_Grid[#Data],$DE306,47),0)</f>
        <v/>
      </c>
      <c r="AY306">
        <f>IFERROR(INDEX(PP_Grid[#Data],$DE306,48),0)</f>
        <v/>
      </c>
      <c r="AZ306">
        <f>IFERROR(INDEX(PP_Grid[#Data],$DE306,49),0)</f>
        <v/>
      </c>
      <c r="BA306">
        <f>IFERROR(INDEX(PP_Grid[#Data],$DE306,50),0)</f>
        <v/>
      </c>
      <c r="BB306">
        <f>IFERROR(INDEX(PP_Grid[#Data],$DE306,51),0)</f>
        <v/>
      </c>
      <c r="BC306">
        <f>IFERROR(INDEX(PP_Grid[#Data],$DE306,52),0)</f>
        <v/>
      </c>
      <c r="BD306">
        <f>IFERROR(INDEX(PP_Grid[#Data],$DE306,53),0)</f>
        <v/>
      </c>
      <c r="BE306">
        <f>IFERROR(INDEX(PP_Grid[#Data],$DE306,54),0)</f>
        <v/>
      </c>
      <c r="BF306">
        <f>IFERROR(INDEX(PP_Grid[#Data],$DE306,55),0)</f>
        <v/>
      </c>
      <c r="BG306">
        <f>IFERROR(INDEX(PP_Grid[#Data],$DE306,56),0)</f>
        <v/>
      </c>
      <c r="BH306">
        <f>IFERROR(INDEX(PP_Grid[#Data],$DE306,57),0)</f>
        <v/>
      </c>
      <c r="BI306">
        <f>IFERROR(INDEX(PP_Grid[#Data],$DE306,58),0)</f>
        <v/>
      </c>
      <c r="BJ306">
        <f>IFERROR(INDEX(PP_Grid[#Data],$DE306,59),0)</f>
        <v/>
      </c>
      <c r="BK306">
        <f>IFERROR(INDEX(PP_Grid[#Data],$DE306,60),0)</f>
        <v/>
      </c>
      <c r="BL306">
        <f>IFERROR(INDEX(PP_Grid[#Data],$DE306,61),0)</f>
        <v/>
      </c>
      <c r="BM306">
        <f>IFERROR(INDEX(PP_Grid[#Data],$DE306,62),0)</f>
        <v/>
      </c>
      <c r="BN306">
        <f>IFERROR(INDEX(PP_Grid[#Data],$DE306,63),0)</f>
        <v/>
      </c>
      <c r="BO306">
        <f>IFERROR(INDEX(PP_Grid[#Data],$DE306,64),0)</f>
        <v/>
      </c>
      <c r="BP306">
        <f>IFERROR(INDEX(PP_Grid[#Data],$DE306,65),0)</f>
        <v/>
      </c>
      <c r="BQ306">
        <f>IFERROR(INDEX(PP_Grid[#Data],$DE306,66),0)</f>
        <v/>
      </c>
      <c r="BR306">
        <f>IFERROR(INDEX(PP_Grid[#Data],$DE306,67),0)</f>
        <v/>
      </c>
      <c r="BS306">
        <f>IFERROR(INDEX(PP_Grid[#Data],$DE306,68),0)</f>
        <v/>
      </c>
      <c r="BT306">
        <f>IFERROR(INDEX(PP_Grid[#Data],$DE306,69),0)</f>
        <v/>
      </c>
      <c r="BU306">
        <f>IFERROR(INDEX(PP_Grid[#Data],$DE306,70),0)</f>
        <v/>
      </c>
      <c r="BV306">
        <f>IFERROR(INDEX(PP_Grid[#Data],$DE306,71),0)</f>
        <v/>
      </c>
      <c r="BW306">
        <f>IFERROR(INDEX(PP_Grid[#Data],$DE306,72),0)</f>
        <v/>
      </c>
      <c r="BX306">
        <f>IFERROR(INDEX(PP_Grid[#Data],$DE306,73),0)</f>
        <v/>
      </c>
      <c r="BY306">
        <f>IFERROR(INDEX(PP_Grid[#Data],$DE306,74),0)</f>
        <v/>
      </c>
      <c r="BZ306">
        <f>IFERROR(INDEX(PP_Grid[#Data],$DE306,75),0)</f>
        <v/>
      </c>
      <c r="CA306">
        <f>IFERROR(INDEX(PP_Grid[#Data],$DE306,76),0)</f>
        <v/>
      </c>
      <c r="CB306">
        <f>IFERROR(INDEX(PP_Grid[#Data],$DE306,77),0)</f>
        <v/>
      </c>
      <c r="CC306">
        <f>IFERROR(INDEX(PP_Grid[#Data],$DE306,78),0)</f>
        <v/>
      </c>
      <c r="CD306">
        <f>IFERROR(INDEX(PP_Grid[#Data],$DE306,79),0)</f>
        <v/>
      </c>
      <c r="CE306">
        <f>IFERROR(INDEX(PP_Grid[#Data],$DE306,80),0)</f>
        <v/>
      </c>
      <c r="CF306">
        <f>IFERROR(INDEX(PP_Grid[#Data],$DE306,81),0)</f>
        <v/>
      </c>
      <c r="CG306">
        <f>IFERROR(INDEX(PP_Grid[#Data],$DE306,82),0)</f>
        <v/>
      </c>
      <c r="CH306">
        <f>IFERROR(INDEX(PP_Grid[#Data],$DE306,83),0)</f>
        <v/>
      </c>
      <c r="CI306">
        <f>IFERROR(INDEX(PP_Grid[#Data],$DE306,84),0)</f>
        <v/>
      </c>
      <c r="CJ306">
        <f>IFERROR(INDEX(PP_Grid[#Data],$DE306,85),0)</f>
        <v/>
      </c>
      <c r="CK306">
        <f>IFERROR(INDEX(PP_Grid[#Data],$DE306,86),0)</f>
        <v/>
      </c>
      <c r="CL306">
        <f>IFERROR(INDEX(PP_Grid[#Data],$DE306,87),0)</f>
        <v/>
      </c>
      <c r="CM306">
        <f>IFERROR(INDEX(PP_Grid[#Data],$DE306,88),0)</f>
        <v/>
      </c>
      <c r="CN306">
        <f>IFERROR(INDEX(PP_Grid[#Data],$DE306,89),0)</f>
        <v/>
      </c>
      <c r="CO306">
        <f>IFERROR(INDEX(PP_Grid[#Data],$DE306,90),0)</f>
        <v/>
      </c>
      <c r="CP306">
        <f>IFERROR(INDEX(PP_Grid[#Data],$DE306,91),0)</f>
        <v/>
      </c>
      <c r="CQ306">
        <f>IFERROR(INDEX(PP_Grid[#Data],$DE306,92),0)</f>
        <v/>
      </c>
      <c r="CR306">
        <f>IFERROR(INDEX(PP_Grid[#Data],$DE306,93),0)</f>
        <v/>
      </c>
      <c r="CS306">
        <f>IFERROR(INDEX(PP_Grid[#Data],$DE306,94),0)</f>
        <v/>
      </c>
      <c r="CT306">
        <f>IFERROR(INDEX(PP_Grid[#Data],$DE306,95),0)</f>
        <v/>
      </c>
      <c r="CU306">
        <f>IFERROR(INDEX(PP_Grid[#Data],$DE306,96),0)</f>
        <v/>
      </c>
      <c r="CV306">
        <f>IFERROR(INDEX(PP_Grid[#Data],$DE306,97),0)</f>
        <v/>
      </c>
      <c r="CW306">
        <f>IFERROR(INDEX(PP_Grid[#Data],$DE306,98),0)</f>
        <v/>
      </c>
      <c r="CX306">
        <f>IFERROR(INDEX(PP_Grid[#Data],$DE306,99),0)</f>
        <v/>
      </c>
      <c r="CY306">
        <f>IFERROR(INDEX(PP_Grid[#Data],$DE306,100),0)</f>
        <v/>
      </c>
      <c r="CZ306">
        <f>IFERROR(INDEX(PP_Grid[#Data],$DE306,101),0)</f>
        <v/>
      </c>
      <c r="DA306">
        <f>IFERROR(INDEX(PP_Grid[#Data],$DE306,102),0)</f>
        <v/>
      </c>
      <c r="DB306">
        <f>IFERROR(INDEX(PP_Grid[#Data],$DE306,103),0)</f>
        <v/>
      </c>
      <c r="DC306">
        <f>IFERROR(INDEX(PP_Grid[#Data],$DE306,104),0)</f>
        <v/>
      </c>
      <c r="DD306">
        <f>IFERROR(INDEX(PP_Grid[#Data],$DE306,105),0)</f>
        <v/>
      </c>
      <c r="DE306" s="7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SUMIFS(M_BOM[RM_Qty_Per_Batch],M_BOM[Intermediate],$B306,M_BOM[RM_Code],$A187)</f>
        <v/>
      </c>
      <c r="D307">
        <f>IFERROR(INDEX(E307:DD307,$F$1),"")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  <c r="DD307">
        <f>$C307*DD306</f>
        <v/>
      </c>
    </row>
    <row r="308">
      <c r="B308" t="inlineStr">
        <is>
          <t>VSP-740</t>
        </is>
      </c>
      <c r="C308" t="inlineStr">
        <is>
          <t>No. of batches</t>
        </is>
      </c>
      <c r="D308">
        <f>IFERROR(INDEX(E308:DD308,$F$1),"")</f>
        <v/>
      </c>
      <c r="E308">
        <f>IFERROR(INDEX(PP_Grid[#Data],$DE308,2),0)</f>
        <v/>
      </c>
      <c r="F308">
        <f>IFERROR(INDEX(PP_Grid[#Data],$DE308,3),0)</f>
        <v/>
      </c>
      <c r="G308">
        <f>IFERROR(INDEX(PP_Grid[#Data],$DE308,4),0)</f>
        <v/>
      </c>
      <c r="H308">
        <f>IFERROR(INDEX(PP_Grid[#Data],$DE308,5),0)</f>
        <v/>
      </c>
      <c r="I308">
        <f>IFERROR(INDEX(PP_Grid[#Data],$DE308,6),0)</f>
        <v/>
      </c>
      <c r="J308">
        <f>IFERROR(INDEX(PP_Grid[#Data],$DE308,7),0)</f>
        <v/>
      </c>
      <c r="K308">
        <f>IFERROR(INDEX(PP_Grid[#Data],$DE308,8),0)</f>
        <v/>
      </c>
      <c r="L308">
        <f>IFERROR(INDEX(PP_Grid[#Data],$DE308,9),0)</f>
        <v/>
      </c>
      <c r="M308">
        <f>IFERROR(INDEX(PP_Grid[#Data],$DE308,10),0)</f>
        <v/>
      </c>
      <c r="N308">
        <f>IFERROR(INDEX(PP_Grid[#Data],$DE308,11),0)</f>
        <v/>
      </c>
      <c r="O308">
        <f>IFERROR(INDEX(PP_Grid[#Data],$DE308,12),0)</f>
        <v/>
      </c>
      <c r="P308">
        <f>IFERROR(INDEX(PP_Grid[#Data],$DE308,13),0)</f>
        <v/>
      </c>
      <c r="Q308">
        <f>IFERROR(INDEX(PP_Grid[#Data],$DE308,14),0)</f>
        <v/>
      </c>
      <c r="R308">
        <f>IFERROR(INDEX(PP_Grid[#Data],$DE308,15),0)</f>
        <v/>
      </c>
      <c r="S308">
        <f>IFERROR(INDEX(PP_Grid[#Data],$DE308,16),0)</f>
        <v/>
      </c>
      <c r="T308">
        <f>IFERROR(INDEX(PP_Grid[#Data],$DE308,17),0)</f>
        <v/>
      </c>
      <c r="U308">
        <f>IFERROR(INDEX(PP_Grid[#Data],$DE308,18),0)</f>
        <v/>
      </c>
      <c r="V308">
        <f>IFERROR(INDEX(PP_Grid[#Data],$DE308,19),0)</f>
        <v/>
      </c>
      <c r="W308">
        <f>IFERROR(INDEX(PP_Grid[#Data],$DE308,20),0)</f>
        <v/>
      </c>
      <c r="X308">
        <f>IFERROR(INDEX(PP_Grid[#Data],$DE308,21),0)</f>
        <v/>
      </c>
      <c r="Y308">
        <f>IFERROR(INDEX(PP_Grid[#Data],$DE308,22),0)</f>
        <v/>
      </c>
      <c r="Z308">
        <f>IFERROR(INDEX(PP_Grid[#Data],$DE308,23),0)</f>
        <v/>
      </c>
      <c r="AA308">
        <f>IFERROR(INDEX(PP_Grid[#Data],$DE308,24),0)</f>
        <v/>
      </c>
      <c r="AB308">
        <f>IFERROR(INDEX(PP_Grid[#Data],$DE308,25),0)</f>
        <v/>
      </c>
      <c r="AC308">
        <f>IFERROR(INDEX(PP_Grid[#Data],$DE308,26),0)</f>
        <v/>
      </c>
      <c r="AD308">
        <f>IFERROR(INDEX(PP_Grid[#Data],$DE308,27),0)</f>
        <v/>
      </c>
      <c r="AE308">
        <f>IFERROR(INDEX(PP_Grid[#Data],$DE308,28),0)</f>
        <v/>
      </c>
      <c r="AF308">
        <f>IFERROR(INDEX(PP_Grid[#Data],$DE308,29),0)</f>
        <v/>
      </c>
      <c r="AG308">
        <f>IFERROR(INDEX(PP_Grid[#Data],$DE308,30),0)</f>
        <v/>
      </c>
      <c r="AH308">
        <f>IFERROR(INDEX(PP_Grid[#Data],$DE308,31),0)</f>
        <v/>
      </c>
      <c r="AI308">
        <f>IFERROR(INDEX(PP_Grid[#Data],$DE308,32),0)</f>
        <v/>
      </c>
      <c r="AJ308">
        <f>IFERROR(INDEX(PP_Grid[#Data],$DE308,33),0)</f>
        <v/>
      </c>
      <c r="AK308">
        <f>IFERROR(INDEX(PP_Grid[#Data],$DE308,34),0)</f>
        <v/>
      </c>
      <c r="AL308">
        <f>IFERROR(INDEX(PP_Grid[#Data],$DE308,35),0)</f>
        <v/>
      </c>
      <c r="AM308">
        <f>IFERROR(INDEX(PP_Grid[#Data],$DE308,36),0)</f>
        <v/>
      </c>
      <c r="AN308">
        <f>IFERROR(INDEX(PP_Grid[#Data],$DE308,37),0)</f>
        <v/>
      </c>
      <c r="AO308">
        <f>IFERROR(INDEX(PP_Grid[#Data],$DE308,38),0)</f>
        <v/>
      </c>
      <c r="AP308">
        <f>IFERROR(INDEX(PP_Grid[#Data],$DE308,39),0)</f>
        <v/>
      </c>
      <c r="AQ308">
        <f>IFERROR(INDEX(PP_Grid[#Data],$DE308,40),0)</f>
        <v/>
      </c>
      <c r="AR308">
        <f>IFERROR(INDEX(PP_Grid[#Data],$DE308,41),0)</f>
        <v/>
      </c>
      <c r="AS308">
        <f>IFERROR(INDEX(PP_Grid[#Data],$DE308,42),0)</f>
        <v/>
      </c>
      <c r="AT308">
        <f>IFERROR(INDEX(PP_Grid[#Data],$DE308,43),0)</f>
        <v/>
      </c>
      <c r="AU308">
        <f>IFERROR(INDEX(PP_Grid[#Data],$DE308,44),0)</f>
        <v/>
      </c>
      <c r="AV308">
        <f>IFERROR(INDEX(PP_Grid[#Data],$DE308,45),0)</f>
        <v/>
      </c>
      <c r="AW308">
        <f>IFERROR(INDEX(PP_Grid[#Data],$DE308,46),0)</f>
        <v/>
      </c>
      <c r="AX308">
        <f>IFERROR(INDEX(PP_Grid[#Data],$DE308,47),0)</f>
        <v/>
      </c>
      <c r="AY308">
        <f>IFERROR(INDEX(PP_Grid[#Data],$DE308,48),0)</f>
        <v/>
      </c>
      <c r="AZ308">
        <f>IFERROR(INDEX(PP_Grid[#Data],$DE308,49),0)</f>
        <v/>
      </c>
      <c r="BA308">
        <f>IFERROR(INDEX(PP_Grid[#Data],$DE308,50),0)</f>
        <v/>
      </c>
      <c r="BB308">
        <f>IFERROR(INDEX(PP_Grid[#Data],$DE308,51),0)</f>
        <v/>
      </c>
      <c r="BC308">
        <f>IFERROR(INDEX(PP_Grid[#Data],$DE308,52),0)</f>
        <v/>
      </c>
      <c r="BD308">
        <f>IFERROR(INDEX(PP_Grid[#Data],$DE308,53),0)</f>
        <v/>
      </c>
      <c r="BE308">
        <f>IFERROR(INDEX(PP_Grid[#Data],$DE308,54),0)</f>
        <v/>
      </c>
      <c r="BF308">
        <f>IFERROR(INDEX(PP_Grid[#Data],$DE308,55),0)</f>
        <v/>
      </c>
      <c r="BG308">
        <f>IFERROR(INDEX(PP_Grid[#Data],$DE308,56),0)</f>
        <v/>
      </c>
      <c r="BH308">
        <f>IFERROR(INDEX(PP_Grid[#Data],$DE308,57),0)</f>
        <v/>
      </c>
      <c r="BI308">
        <f>IFERROR(INDEX(PP_Grid[#Data],$DE308,58),0)</f>
        <v/>
      </c>
      <c r="BJ308">
        <f>IFERROR(INDEX(PP_Grid[#Data],$DE308,59),0)</f>
        <v/>
      </c>
      <c r="BK308">
        <f>IFERROR(INDEX(PP_Grid[#Data],$DE308,60),0)</f>
        <v/>
      </c>
      <c r="BL308">
        <f>IFERROR(INDEX(PP_Grid[#Data],$DE308,61),0)</f>
        <v/>
      </c>
      <c r="BM308">
        <f>IFERROR(INDEX(PP_Grid[#Data],$DE308,62),0)</f>
        <v/>
      </c>
      <c r="BN308">
        <f>IFERROR(INDEX(PP_Grid[#Data],$DE308,63),0)</f>
        <v/>
      </c>
      <c r="BO308">
        <f>IFERROR(INDEX(PP_Grid[#Data],$DE308,64),0)</f>
        <v/>
      </c>
      <c r="BP308">
        <f>IFERROR(INDEX(PP_Grid[#Data],$DE308,65),0)</f>
        <v/>
      </c>
      <c r="BQ308">
        <f>IFERROR(INDEX(PP_Grid[#Data],$DE308,66),0)</f>
        <v/>
      </c>
      <c r="BR308">
        <f>IFERROR(INDEX(PP_Grid[#Data],$DE308,67),0)</f>
        <v/>
      </c>
      <c r="BS308">
        <f>IFERROR(INDEX(PP_Grid[#Data],$DE308,68),0)</f>
        <v/>
      </c>
      <c r="BT308">
        <f>IFERROR(INDEX(PP_Grid[#Data],$DE308,69),0)</f>
        <v/>
      </c>
      <c r="BU308">
        <f>IFERROR(INDEX(PP_Grid[#Data],$DE308,70),0)</f>
        <v/>
      </c>
      <c r="BV308">
        <f>IFERROR(INDEX(PP_Grid[#Data],$DE308,71),0)</f>
        <v/>
      </c>
      <c r="BW308">
        <f>IFERROR(INDEX(PP_Grid[#Data],$DE308,72),0)</f>
        <v/>
      </c>
      <c r="BX308">
        <f>IFERROR(INDEX(PP_Grid[#Data],$DE308,73),0)</f>
        <v/>
      </c>
      <c r="BY308">
        <f>IFERROR(INDEX(PP_Grid[#Data],$DE308,74),0)</f>
        <v/>
      </c>
      <c r="BZ308">
        <f>IFERROR(INDEX(PP_Grid[#Data],$DE308,75),0)</f>
        <v/>
      </c>
      <c r="CA308">
        <f>IFERROR(INDEX(PP_Grid[#Data],$DE308,76),0)</f>
        <v/>
      </c>
      <c r="CB308">
        <f>IFERROR(INDEX(PP_Grid[#Data],$DE308,77),0)</f>
        <v/>
      </c>
      <c r="CC308">
        <f>IFERROR(INDEX(PP_Grid[#Data],$DE308,78),0)</f>
        <v/>
      </c>
      <c r="CD308">
        <f>IFERROR(INDEX(PP_Grid[#Data],$DE308,79),0)</f>
        <v/>
      </c>
      <c r="CE308">
        <f>IFERROR(INDEX(PP_Grid[#Data],$DE308,80),0)</f>
        <v/>
      </c>
      <c r="CF308">
        <f>IFERROR(INDEX(PP_Grid[#Data],$DE308,81),0)</f>
        <v/>
      </c>
      <c r="CG308">
        <f>IFERROR(INDEX(PP_Grid[#Data],$DE308,82),0)</f>
        <v/>
      </c>
      <c r="CH308">
        <f>IFERROR(INDEX(PP_Grid[#Data],$DE308,83),0)</f>
        <v/>
      </c>
      <c r="CI308">
        <f>IFERROR(INDEX(PP_Grid[#Data],$DE308,84),0)</f>
        <v/>
      </c>
      <c r="CJ308">
        <f>IFERROR(INDEX(PP_Grid[#Data],$DE308,85),0)</f>
        <v/>
      </c>
      <c r="CK308">
        <f>IFERROR(INDEX(PP_Grid[#Data],$DE308,86),0)</f>
        <v/>
      </c>
      <c r="CL308">
        <f>IFERROR(INDEX(PP_Grid[#Data],$DE308,87),0)</f>
        <v/>
      </c>
      <c r="CM308">
        <f>IFERROR(INDEX(PP_Grid[#Data],$DE308,88),0)</f>
        <v/>
      </c>
      <c r="CN308">
        <f>IFERROR(INDEX(PP_Grid[#Data],$DE308,89),0)</f>
        <v/>
      </c>
      <c r="CO308">
        <f>IFERROR(INDEX(PP_Grid[#Data],$DE308,90),0)</f>
        <v/>
      </c>
      <c r="CP308">
        <f>IFERROR(INDEX(PP_Grid[#Data],$DE308,91),0)</f>
        <v/>
      </c>
      <c r="CQ308">
        <f>IFERROR(INDEX(PP_Grid[#Data],$DE308,92),0)</f>
        <v/>
      </c>
      <c r="CR308">
        <f>IFERROR(INDEX(PP_Grid[#Data],$DE308,93),0)</f>
        <v/>
      </c>
      <c r="CS308">
        <f>IFERROR(INDEX(PP_Grid[#Data],$DE308,94),0)</f>
        <v/>
      </c>
      <c r="CT308">
        <f>IFERROR(INDEX(PP_Grid[#Data],$DE308,95),0)</f>
        <v/>
      </c>
      <c r="CU308">
        <f>IFERROR(INDEX(PP_Grid[#Data],$DE308,96),0)</f>
        <v/>
      </c>
      <c r="CV308">
        <f>IFERROR(INDEX(PP_Grid[#Data],$DE308,97),0)</f>
        <v/>
      </c>
      <c r="CW308">
        <f>IFERROR(INDEX(PP_Grid[#Data],$DE308,98),0)</f>
        <v/>
      </c>
      <c r="CX308">
        <f>IFERROR(INDEX(PP_Grid[#Data],$DE308,99),0)</f>
        <v/>
      </c>
      <c r="CY308">
        <f>IFERROR(INDEX(PP_Grid[#Data],$DE308,100),0)</f>
        <v/>
      </c>
      <c r="CZ308">
        <f>IFERROR(INDEX(PP_Grid[#Data],$DE308,101),0)</f>
        <v/>
      </c>
      <c r="DA308">
        <f>IFERROR(INDEX(PP_Grid[#Data],$DE308,102),0)</f>
        <v/>
      </c>
      <c r="DB308">
        <f>IFERROR(INDEX(PP_Grid[#Data],$DE308,103),0)</f>
        <v/>
      </c>
      <c r="DC308">
        <f>IFERROR(INDEX(PP_Grid[#Data],$DE308,104),0)</f>
        <v/>
      </c>
      <c r="DD308">
        <f>IFERROR(INDEX(PP_Grid[#Data],$DE308,105),0)</f>
        <v/>
      </c>
      <c r="DE308" s="7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SUMIFS(M_BOM[RM_Qty_Per_Batch],M_BOM[Intermediate],$B308,M_BOM[RM_Code],$A187)</f>
        <v/>
      </c>
      <c r="D309">
        <f>IFERROR(INDEX(E309:DD309,$F$1),"")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  <c r="DD309">
        <f>$C309*DD308</f>
        <v/>
      </c>
    </row>
    <row r="310">
      <c r="B310" t="inlineStr">
        <is>
          <t>VSP-746</t>
        </is>
      </c>
      <c r="C310" t="inlineStr">
        <is>
          <t>No. of batches</t>
        </is>
      </c>
      <c r="D310">
        <f>IFERROR(INDEX(E310:DD310,$F$1),"")</f>
        <v/>
      </c>
      <c r="E310">
        <f>IFERROR(INDEX(PP_Grid[#Data],$DE310,2),0)</f>
        <v/>
      </c>
      <c r="F310">
        <f>IFERROR(INDEX(PP_Grid[#Data],$DE310,3),0)</f>
        <v/>
      </c>
      <c r="G310">
        <f>IFERROR(INDEX(PP_Grid[#Data],$DE310,4),0)</f>
        <v/>
      </c>
      <c r="H310">
        <f>IFERROR(INDEX(PP_Grid[#Data],$DE310,5),0)</f>
        <v/>
      </c>
      <c r="I310">
        <f>IFERROR(INDEX(PP_Grid[#Data],$DE310,6),0)</f>
        <v/>
      </c>
      <c r="J310">
        <f>IFERROR(INDEX(PP_Grid[#Data],$DE310,7),0)</f>
        <v/>
      </c>
      <c r="K310">
        <f>IFERROR(INDEX(PP_Grid[#Data],$DE310,8),0)</f>
        <v/>
      </c>
      <c r="L310">
        <f>IFERROR(INDEX(PP_Grid[#Data],$DE310,9),0)</f>
        <v/>
      </c>
      <c r="M310">
        <f>IFERROR(INDEX(PP_Grid[#Data],$DE310,10),0)</f>
        <v/>
      </c>
      <c r="N310">
        <f>IFERROR(INDEX(PP_Grid[#Data],$DE310,11),0)</f>
        <v/>
      </c>
      <c r="O310">
        <f>IFERROR(INDEX(PP_Grid[#Data],$DE310,12),0)</f>
        <v/>
      </c>
      <c r="P310">
        <f>IFERROR(INDEX(PP_Grid[#Data],$DE310,13),0)</f>
        <v/>
      </c>
      <c r="Q310">
        <f>IFERROR(INDEX(PP_Grid[#Data],$DE310,14),0)</f>
        <v/>
      </c>
      <c r="R310">
        <f>IFERROR(INDEX(PP_Grid[#Data],$DE310,15),0)</f>
        <v/>
      </c>
      <c r="S310">
        <f>IFERROR(INDEX(PP_Grid[#Data],$DE310,16),0)</f>
        <v/>
      </c>
      <c r="T310">
        <f>IFERROR(INDEX(PP_Grid[#Data],$DE310,17),0)</f>
        <v/>
      </c>
      <c r="U310">
        <f>IFERROR(INDEX(PP_Grid[#Data],$DE310,18),0)</f>
        <v/>
      </c>
      <c r="V310">
        <f>IFERROR(INDEX(PP_Grid[#Data],$DE310,19),0)</f>
        <v/>
      </c>
      <c r="W310">
        <f>IFERROR(INDEX(PP_Grid[#Data],$DE310,20),0)</f>
        <v/>
      </c>
      <c r="X310">
        <f>IFERROR(INDEX(PP_Grid[#Data],$DE310,21),0)</f>
        <v/>
      </c>
      <c r="Y310">
        <f>IFERROR(INDEX(PP_Grid[#Data],$DE310,22),0)</f>
        <v/>
      </c>
      <c r="Z310">
        <f>IFERROR(INDEX(PP_Grid[#Data],$DE310,23),0)</f>
        <v/>
      </c>
      <c r="AA310">
        <f>IFERROR(INDEX(PP_Grid[#Data],$DE310,24),0)</f>
        <v/>
      </c>
      <c r="AB310">
        <f>IFERROR(INDEX(PP_Grid[#Data],$DE310,25),0)</f>
        <v/>
      </c>
      <c r="AC310">
        <f>IFERROR(INDEX(PP_Grid[#Data],$DE310,26),0)</f>
        <v/>
      </c>
      <c r="AD310">
        <f>IFERROR(INDEX(PP_Grid[#Data],$DE310,27),0)</f>
        <v/>
      </c>
      <c r="AE310">
        <f>IFERROR(INDEX(PP_Grid[#Data],$DE310,28),0)</f>
        <v/>
      </c>
      <c r="AF310">
        <f>IFERROR(INDEX(PP_Grid[#Data],$DE310,29),0)</f>
        <v/>
      </c>
      <c r="AG310">
        <f>IFERROR(INDEX(PP_Grid[#Data],$DE310,30),0)</f>
        <v/>
      </c>
      <c r="AH310">
        <f>IFERROR(INDEX(PP_Grid[#Data],$DE310,31),0)</f>
        <v/>
      </c>
      <c r="AI310">
        <f>IFERROR(INDEX(PP_Grid[#Data],$DE310,32),0)</f>
        <v/>
      </c>
      <c r="AJ310">
        <f>IFERROR(INDEX(PP_Grid[#Data],$DE310,33),0)</f>
        <v/>
      </c>
      <c r="AK310">
        <f>IFERROR(INDEX(PP_Grid[#Data],$DE310,34),0)</f>
        <v/>
      </c>
      <c r="AL310">
        <f>IFERROR(INDEX(PP_Grid[#Data],$DE310,35),0)</f>
        <v/>
      </c>
      <c r="AM310">
        <f>IFERROR(INDEX(PP_Grid[#Data],$DE310,36),0)</f>
        <v/>
      </c>
      <c r="AN310">
        <f>IFERROR(INDEX(PP_Grid[#Data],$DE310,37),0)</f>
        <v/>
      </c>
      <c r="AO310">
        <f>IFERROR(INDEX(PP_Grid[#Data],$DE310,38),0)</f>
        <v/>
      </c>
      <c r="AP310">
        <f>IFERROR(INDEX(PP_Grid[#Data],$DE310,39),0)</f>
        <v/>
      </c>
      <c r="AQ310">
        <f>IFERROR(INDEX(PP_Grid[#Data],$DE310,40),0)</f>
        <v/>
      </c>
      <c r="AR310">
        <f>IFERROR(INDEX(PP_Grid[#Data],$DE310,41),0)</f>
        <v/>
      </c>
      <c r="AS310">
        <f>IFERROR(INDEX(PP_Grid[#Data],$DE310,42),0)</f>
        <v/>
      </c>
      <c r="AT310">
        <f>IFERROR(INDEX(PP_Grid[#Data],$DE310,43),0)</f>
        <v/>
      </c>
      <c r="AU310">
        <f>IFERROR(INDEX(PP_Grid[#Data],$DE310,44),0)</f>
        <v/>
      </c>
      <c r="AV310">
        <f>IFERROR(INDEX(PP_Grid[#Data],$DE310,45),0)</f>
        <v/>
      </c>
      <c r="AW310">
        <f>IFERROR(INDEX(PP_Grid[#Data],$DE310,46),0)</f>
        <v/>
      </c>
      <c r="AX310">
        <f>IFERROR(INDEX(PP_Grid[#Data],$DE310,47),0)</f>
        <v/>
      </c>
      <c r="AY310">
        <f>IFERROR(INDEX(PP_Grid[#Data],$DE310,48),0)</f>
        <v/>
      </c>
      <c r="AZ310">
        <f>IFERROR(INDEX(PP_Grid[#Data],$DE310,49),0)</f>
        <v/>
      </c>
      <c r="BA310">
        <f>IFERROR(INDEX(PP_Grid[#Data],$DE310,50),0)</f>
        <v/>
      </c>
      <c r="BB310">
        <f>IFERROR(INDEX(PP_Grid[#Data],$DE310,51),0)</f>
        <v/>
      </c>
      <c r="BC310">
        <f>IFERROR(INDEX(PP_Grid[#Data],$DE310,52),0)</f>
        <v/>
      </c>
      <c r="BD310">
        <f>IFERROR(INDEX(PP_Grid[#Data],$DE310,53),0)</f>
        <v/>
      </c>
      <c r="BE310">
        <f>IFERROR(INDEX(PP_Grid[#Data],$DE310,54),0)</f>
        <v/>
      </c>
      <c r="BF310">
        <f>IFERROR(INDEX(PP_Grid[#Data],$DE310,55),0)</f>
        <v/>
      </c>
      <c r="BG310">
        <f>IFERROR(INDEX(PP_Grid[#Data],$DE310,56),0)</f>
        <v/>
      </c>
      <c r="BH310">
        <f>IFERROR(INDEX(PP_Grid[#Data],$DE310,57),0)</f>
        <v/>
      </c>
      <c r="BI310">
        <f>IFERROR(INDEX(PP_Grid[#Data],$DE310,58),0)</f>
        <v/>
      </c>
      <c r="BJ310">
        <f>IFERROR(INDEX(PP_Grid[#Data],$DE310,59),0)</f>
        <v/>
      </c>
      <c r="BK310">
        <f>IFERROR(INDEX(PP_Grid[#Data],$DE310,60),0)</f>
        <v/>
      </c>
      <c r="BL310">
        <f>IFERROR(INDEX(PP_Grid[#Data],$DE310,61),0)</f>
        <v/>
      </c>
      <c r="BM310">
        <f>IFERROR(INDEX(PP_Grid[#Data],$DE310,62),0)</f>
        <v/>
      </c>
      <c r="BN310">
        <f>IFERROR(INDEX(PP_Grid[#Data],$DE310,63),0)</f>
        <v/>
      </c>
      <c r="BO310">
        <f>IFERROR(INDEX(PP_Grid[#Data],$DE310,64),0)</f>
        <v/>
      </c>
      <c r="BP310">
        <f>IFERROR(INDEX(PP_Grid[#Data],$DE310,65),0)</f>
        <v/>
      </c>
      <c r="BQ310">
        <f>IFERROR(INDEX(PP_Grid[#Data],$DE310,66),0)</f>
        <v/>
      </c>
      <c r="BR310">
        <f>IFERROR(INDEX(PP_Grid[#Data],$DE310,67),0)</f>
        <v/>
      </c>
      <c r="BS310">
        <f>IFERROR(INDEX(PP_Grid[#Data],$DE310,68),0)</f>
        <v/>
      </c>
      <c r="BT310">
        <f>IFERROR(INDEX(PP_Grid[#Data],$DE310,69),0)</f>
        <v/>
      </c>
      <c r="BU310">
        <f>IFERROR(INDEX(PP_Grid[#Data],$DE310,70),0)</f>
        <v/>
      </c>
      <c r="BV310">
        <f>IFERROR(INDEX(PP_Grid[#Data],$DE310,71),0)</f>
        <v/>
      </c>
      <c r="BW310">
        <f>IFERROR(INDEX(PP_Grid[#Data],$DE310,72),0)</f>
        <v/>
      </c>
      <c r="BX310">
        <f>IFERROR(INDEX(PP_Grid[#Data],$DE310,73),0)</f>
        <v/>
      </c>
      <c r="BY310">
        <f>IFERROR(INDEX(PP_Grid[#Data],$DE310,74),0)</f>
        <v/>
      </c>
      <c r="BZ310">
        <f>IFERROR(INDEX(PP_Grid[#Data],$DE310,75),0)</f>
        <v/>
      </c>
      <c r="CA310">
        <f>IFERROR(INDEX(PP_Grid[#Data],$DE310,76),0)</f>
        <v/>
      </c>
      <c r="CB310">
        <f>IFERROR(INDEX(PP_Grid[#Data],$DE310,77),0)</f>
        <v/>
      </c>
      <c r="CC310">
        <f>IFERROR(INDEX(PP_Grid[#Data],$DE310,78),0)</f>
        <v/>
      </c>
      <c r="CD310">
        <f>IFERROR(INDEX(PP_Grid[#Data],$DE310,79),0)</f>
        <v/>
      </c>
      <c r="CE310">
        <f>IFERROR(INDEX(PP_Grid[#Data],$DE310,80),0)</f>
        <v/>
      </c>
      <c r="CF310">
        <f>IFERROR(INDEX(PP_Grid[#Data],$DE310,81),0)</f>
        <v/>
      </c>
      <c r="CG310">
        <f>IFERROR(INDEX(PP_Grid[#Data],$DE310,82),0)</f>
        <v/>
      </c>
      <c r="CH310">
        <f>IFERROR(INDEX(PP_Grid[#Data],$DE310,83),0)</f>
        <v/>
      </c>
      <c r="CI310">
        <f>IFERROR(INDEX(PP_Grid[#Data],$DE310,84),0)</f>
        <v/>
      </c>
      <c r="CJ310">
        <f>IFERROR(INDEX(PP_Grid[#Data],$DE310,85),0)</f>
        <v/>
      </c>
      <c r="CK310">
        <f>IFERROR(INDEX(PP_Grid[#Data],$DE310,86),0)</f>
        <v/>
      </c>
      <c r="CL310">
        <f>IFERROR(INDEX(PP_Grid[#Data],$DE310,87),0)</f>
        <v/>
      </c>
      <c r="CM310">
        <f>IFERROR(INDEX(PP_Grid[#Data],$DE310,88),0)</f>
        <v/>
      </c>
      <c r="CN310">
        <f>IFERROR(INDEX(PP_Grid[#Data],$DE310,89),0)</f>
        <v/>
      </c>
      <c r="CO310">
        <f>IFERROR(INDEX(PP_Grid[#Data],$DE310,90),0)</f>
        <v/>
      </c>
      <c r="CP310">
        <f>IFERROR(INDEX(PP_Grid[#Data],$DE310,91),0)</f>
        <v/>
      </c>
      <c r="CQ310">
        <f>IFERROR(INDEX(PP_Grid[#Data],$DE310,92),0)</f>
        <v/>
      </c>
      <c r="CR310">
        <f>IFERROR(INDEX(PP_Grid[#Data],$DE310,93),0)</f>
        <v/>
      </c>
      <c r="CS310">
        <f>IFERROR(INDEX(PP_Grid[#Data],$DE310,94),0)</f>
        <v/>
      </c>
      <c r="CT310">
        <f>IFERROR(INDEX(PP_Grid[#Data],$DE310,95),0)</f>
        <v/>
      </c>
      <c r="CU310">
        <f>IFERROR(INDEX(PP_Grid[#Data],$DE310,96),0)</f>
        <v/>
      </c>
      <c r="CV310">
        <f>IFERROR(INDEX(PP_Grid[#Data],$DE310,97),0)</f>
        <v/>
      </c>
      <c r="CW310">
        <f>IFERROR(INDEX(PP_Grid[#Data],$DE310,98),0)</f>
        <v/>
      </c>
      <c r="CX310">
        <f>IFERROR(INDEX(PP_Grid[#Data],$DE310,99),0)</f>
        <v/>
      </c>
      <c r="CY310">
        <f>IFERROR(INDEX(PP_Grid[#Data],$DE310,100),0)</f>
        <v/>
      </c>
      <c r="CZ310">
        <f>IFERROR(INDEX(PP_Grid[#Data],$DE310,101),0)</f>
        <v/>
      </c>
      <c r="DA310">
        <f>IFERROR(INDEX(PP_Grid[#Data],$DE310,102),0)</f>
        <v/>
      </c>
      <c r="DB310">
        <f>IFERROR(INDEX(PP_Grid[#Data],$DE310,103),0)</f>
        <v/>
      </c>
      <c r="DC310">
        <f>IFERROR(INDEX(PP_Grid[#Data],$DE310,104),0)</f>
        <v/>
      </c>
      <c r="DD310">
        <f>IFERROR(INDEX(PP_Grid[#Data],$DE310,105),0)</f>
        <v/>
      </c>
      <c r="DE310" s="7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SUMIFS(M_BOM[RM_Qty_Per_Batch],M_BOM[Intermediate],$B310,M_BOM[RM_Code],$A187)</f>
        <v/>
      </c>
      <c r="D311">
        <f>IFERROR(INDEX(E311:DD311,$F$1),"")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  <c r="DD311">
        <f>$C311*DD310</f>
        <v/>
      </c>
    </row>
    <row r="312">
      <c r="B312" t="inlineStr">
        <is>
          <t>VSP-822</t>
        </is>
      </c>
      <c r="C312" t="inlineStr">
        <is>
          <t>No. of batches</t>
        </is>
      </c>
      <c r="D312">
        <f>IFERROR(INDEX(E312:DD312,$F$1),"")</f>
        <v/>
      </c>
      <c r="E312">
        <f>IFERROR(INDEX(PP_Grid[#Data],$DE312,2),0)</f>
        <v/>
      </c>
      <c r="F312">
        <f>IFERROR(INDEX(PP_Grid[#Data],$DE312,3),0)</f>
        <v/>
      </c>
      <c r="G312">
        <f>IFERROR(INDEX(PP_Grid[#Data],$DE312,4),0)</f>
        <v/>
      </c>
      <c r="H312">
        <f>IFERROR(INDEX(PP_Grid[#Data],$DE312,5),0)</f>
        <v/>
      </c>
      <c r="I312">
        <f>IFERROR(INDEX(PP_Grid[#Data],$DE312,6),0)</f>
        <v/>
      </c>
      <c r="J312">
        <f>IFERROR(INDEX(PP_Grid[#Data],$DE312,7),0)</f>
        <v/>
      </c>
      <c r="K312">
        <f>IFERROR(INDEX(PP_Grid[#Data],$DE312,8),0)</f>
        <v/>
      </c>
      <c r="L312">
        <f>IFERROR(INDEX(PP_Grid[#Data],$DE312,9),0)</f>
        <v/>
      </c>
      <c r="M312">
        <f>IFERROR(INDEX(PP_Grid[#Data],$DE312,10),0)</f>
        <v/>
      </c>
      <c r="N312">
        <f>IFERROR(INDEX(PP_Grid[#Data],$DE312,11),0)</f>
        <v/>
      </c>
      <c r="O312">
        <f>IFERROR(INDEX(PP_Grid[#Data],$DE312,12),0)</f>
        <v/>
      </c>
      <c r="P312">
        <f>IFERROR(INDEX(PP_Grid[#Data],$DE312,13),0)</f>
        <v/>
      </c>
      <c r="Q312">
        <f>IFERROR(INDEX(PP_Grid[#Data],$DE312,14),0)</f>
        <v/>
      </c>
      <c r="R312">
        <f>IFERROR(INDEX(PP_Grid[#Data],$DE312,15),0)</f>
        <v/>
      </c>
      <c r="S312">
        <f>IFERROR(INDEX(PP_Grid[#Data],$DE312,16),0)</f>
        <v/>
      </c>
      <c r="T312">
        <f>IFERROR(INDEX(PP_Grid[#Data],$DE312,17),0)</f>
        <v/>
      </c>
      <c r="U312">
        <f>IFERROR(INDEX(PP_Grid[#Data],$DE312,18),0)</f>
        <v/>
      </c>
      <c r="V312">
        <f>IFERROR(INDEX(PP_Grid[#Data],$DE312,19),0)</f>
        <v/>
      </c>
      <c r="W312">
        <f>IFERROR(INDEX(PP_Grid[#Data],$DE312,20),0)</f>
        <v/>
      </c>
      <c r="X312">
        <f>IFERROR(INDEX(PP_Grid[#Data],$DE312,21),0)</f>
        <v/>
      </c>
      <c r="Y312">
        <f>IFERROR(INDEX(PP_Grid[#Data],$DE312,22),0)</f>
        <v/>
      </c>
      <c r="Z312">
        <f>IFERROR(INDEX(PP_Grid[#Data],$DE312,23),0)</f>
        <v/>
      </c>
      <c r="AA312">
        <f>IFERROR(INDEX(PP_Grid[#Data],$DE312,24),0)</f>
        <v/>
      </c>
      <c r="AB312">
        <f>IFERROR(INDEX(PP_Grid[#Data],$DE312,25),0)</f>
        <v/>
      </c>
      <c r="AC312">
        <f>IFERROR(INDEX(PP_Grid[#Data],$DE312,26),0)</f>
        <v/>
      </c>
      <c r="AD312">
        <f>IFERROR(INDEX(PP_Grid[#Data],$DE312,27),0)</f>
        <v/>
      </c>
      <c r="AE312">
        <f>IFERROR(INDEX(PP_Grid[#Data],$DE312,28),0)</f>
        <v/>
      </c>
      <c r="AF312">
        <f>IFERROR(INDEX(PP_Grid[#Data],$DE312,29),0)</f>
        <v/>
      </c>
      <c r="AG312">
        <f>IFERROR(INDEX(PP_Grid[#Data],$DE312,30),0)</f>
        <v/>
      </c>
      <c r="AH312">
        <f>IFERROR(INDEX(PP_Grid[#Data],$DE312,31),0)</f>
        <v/>
      </c>
      <c r="AI312">
        <f>IFERROR(INDEX(PP_Grid[#Data],$DE312,32),0)</f>
        <v/>
      </c>
      <c r="AJ312">
        <f>IFERROR(INDEX(PP_Grid[#Data],$DE312,33),0)</f>
        <v/>
      </c>
      <c r="AK312">
        <f>IFERROR(INDEX(PP_Grid[#Data],$DE312,34),0)</f>
        <v/>
      </c>
      <c r="AL312">
        <f>IFERROR(INDEX(PP_Grid[#Data],$DE312,35),0)</f>
        <v/>
      </c>
      <c r="AM312">
        <f>IFERROR(INDEX(PP_Grid[#Data],$DE312,36),0)</f>
        <v/>
      </c>
      <c r="AN312">
        <f>IFERROR(INDEX(PP_Grid[#Data],$DE312,37),0)</f>
        <v/>
      </c>
      <c r="AO312">
        <f>IFERROR(INDEX(PP_Grid[#Data],$DE312,38),0)</f>
        <v/>
      </c>
      <c r="AP312">
        <f>IFERROR(INDEX(PP_Grid[#Data],$DE312,39),0)</f>
        <v/>
      </c>
      <c r="AQ312">
        <f>IFERROR(INDEX(PP_Grid[#Data],$DE312,40),0)</f>
        <v/>
      </c>
      <c r="AR312">
        <f>IFERROR(INDEX(PP_Grid[#Data],$DE312,41),0)</f>
        <v/>
      </c>
      <c r="AS312">
        <f>IFERROR(INDEX(PP_Grid[#Data],$DE312,42),0)</f>
        <v/>
      </c>
      <c r="AT312">
        <f>IFERROR(INDEX(PP_Grid[#Data],$DE312,43),0)</f>
        <v/>
      </c>
      <c r="AU312">
        <f>IFERROR(INDEX(PP_Grid[#Data],$DE312,44),0)</f>
        <v/>
      </c>
      <c r="AV312">
        <f>IFERROR(INDEX(PP_Grid[#Data],$DE312,45),0)</f>
        <v/>
      </c>
      <c r="AW312">
        <f>IFERROR(INDEX(PP_Grid[#Data],$DE312,46),0)</f>
        <v/>
      </c>
      <c r="AX312">
        <f>IFERROR(INDEX(PP_Grid[#Data],$DE312,47),0)</f>
        <v/>
      </c>
      <c r="AY312">
        <f>IFERROR(INDEX(PP_Grid[#Data],$DE312,48),0)</f>
        <v/>
      </c>
      <c r="AZ312">
        <f>IFERROR(INDEX(PP_Grid[#Data],$DE312,49),0)</f>
        <v/>
      </c>
      <c r="BA312">
        <f>IFERROR(INDEX(PP_Grid[#Data],$DE312,50),0)</f>
        <v/>
      </c>
      <c r="BB312">
        <f>IFERROR(INDEX(PP_Grid[#Data],$DE312,51),0)</f>
        <v/>
      </c>
      <c r="BC312">
        <f>IFERROR(INDEX(PP_Grid[#Data],$DE312,52),0)</f>
        <v/>
      </c>
      <c r="BD312">
        <f>IFERROR(INDEX(PP_Grid[#Data],$DE312,53),0)</f>
        <v/>
      </c>
      <c r="BE312">
        <f>IFERROR(INDEX(PP_Grid[#Data],$DE312,54),0)</f>
        <v/>
      </c>
      <c r="BF312">
        <f>IFERROR(INDEX(PP_Grid[#Data],$DE312,55),0)</f>
        <v/>
      </c>
      <c r="BG312">
        <f>IFERROR(INDEX(PP_Grid[#Data],$DE312,56),0)</f>
        <v/>
      </c>
      <c r="BH312">
        <f>IFERROR(INDEX(PP_Grid[#Data],$DE312,57),0)</f>
        <v/>
      </c>
      <c r="BI312">
        <f>IFERROR(INDEX(PP_Grid[#Data],$DE312,58),0)</f>
        <v/>
      </c>
      <c r="BJ312">
        <f>IFERROR(INDEX(PP_Grid[#Data],$DE312,59),0)</f>
        <v/>
      </c>
      <c r="BK312">
        <f>IFERROR(INDEX(PP_Grid[#Data],$DE312,60),0)</f>
        <v/>
      </c>
      <c r="BL312">
        <f>IFERROR(INDEX(PP_Grid[#Data],$DE312,61),0)</f>
        <v/>
      </c>
      <c r="BM312">
        <f>IFERROR(INDEX(PP_Grid[#Data],$DE312,62),0)</f>
        <v/>
      </c>
      <c r="BN312">
        <f>IFERROR(INDEX(PP_Grid[#Data],$DE312,63),0)</f>
        <v/>
      </c>
      <c r="BO312">
        <f>IFERROR(INDEX(PP_Grid[#Data],$DE312,64),0)</f>
        <v/>
      </c>
      <c r="BP312">
        <f>IFERROR(INDEX(PP_Grid[#Data],$DE312,65),0)</f>
        <v/>
      </c>
      <c r="BQ312">
        <f>IFERROR(INDEX(PP_Grid[#Data],$DE312,66),0)</f>
        <v/>
      </c>
      <c r="BR312">
        <f>IFERROR(INDEX(PP_Grid[#Data],$DE312,67),0)</f>
        <v/>
      </c>
      <c r="BS312">
        <f>IFERROR(INDEX(PP_Grid[#Data],$DE312,68),0)</f>
        <v/>
      </c>
      <c r="BT312">
        <f>IFERROR(INDEX(PP_Grid[#Data],$DE312,69),0)</f>
        <v/>
      </c>
      <c r="BU312">
        <f>IFERROR(INDEX(PP_Grid[#Data],$DE312,70),0)</f>
        <v/>
      </c>
      <c r="BV312">
        <f>IFERROR(INDEX(PP_Grid[#Data],$DE312,71),0)</f>
        <v/>
      </c>
      <c r="BW312">
        <f>IFERROR(INDEX(PP_Grid[#Data],$DE312,72),0)</f>
        <v/>
      </c>
      <c r="BX312">
        <f>IFERROR(INDEX(PP_Grid[#Data],$DE312,73),0)</f>
        <v/>
      </c>
      <c r="BY312">
        <f>IFERROR(INDEX(PP_Grid[#Data],$DE312,74),0)</f>
        <v/>
      </c>
      <c r="BZ312">
        <f>IFERROR(INDEX(PP_Grid[#Data],$DE312,75),0)</f>
        <v/>
      </c>
      <c r="CA312">
        <f>IFERROR(INDEX(PP_Grid[#Data],$DE312,76),0)</f>
        <v/>
      </c>
      <c r="CB312">
        <f>IFERROR(INDEX(PP_Grid[#Data],$DE312,77),0)</f>
        <v/>
      </c>
      <c r="CC312">
        <f>IFERROR(INDEX(PP_Grid[#Data],$DE312,78),0)</f>
        <v/>
      </c>
      <c r="CD312">
        <f>IFERROR(INDEX(PP_Grid[#Data],$DE312,79),0)</f>
        <v/>
      </c>
      <c r="CE312">
        <f>IFERROR(INDEX(PP_Grid[#Data],$DE312,80),0)</f>
        <v/>
      </c>
      <c r="CF312">
        <f>IFERROR(INDEX(PP_Grid[#Data],$DE312,81),0)</f>
        <v/>
      </c>
      <c r="CG312">
        <f>IFERROR(INDEX(PP_Grid[#Data],$DE312,82),0)</f>
        <v/>
      </c>
      <c r="CH312">
        <f>IFERROR(INDEX(PP_Grid[#Data],$DE312,83),0)</f>
        <v/>
      </c>
      <c r="CI312">
        <f>IFERROR(INDEX(PP_Grid[#Data],$DE312,84),0)</f>
        <v/>
      </c>
      <c r="CJ312">
        <f>IFERROR(INDEX(PP_Grid[#Data],$DE312,85),0)</f>
        <v/>
      </c>
      <c r="CK312">
        <f>IFERROR(INDEX(PP_Grid[#Data],$DE312,86),0)</f>
        <v/>
      </c>
      <c r="CL312">
        <f>IFERROR(INDEX(PP_Grid[#Data],$DE312,87),0)</f>
        <v/>
      </c>
      <c r="CM312">
        <f>IFERROR(INDEX(PP_Grid[#Data],$DE312,88),0)</f>
        <v/>
      </c>
      <c r="CN312">
        <f>IFERROR(INDEX(PP_Grid[#Data],$DE312,89),0)</f>
        <v/>
      </c>
      <c r="CO312">
        <f>IFERROR(INDEX(PP_Grid[#Data],$DE312,90),0)</f>
        <v/>
      </c>
      <c r="CP312">
        <f>IFERROR(INDEX(PP_Grid[#Data],$DE312,91),0)</f>
        <v/>
      </c>
      <c r="CQ312">
        <f>IFERROR(INDEX(PP_Grid[#Data],$DE312,92),0)</f>
        <v/>
      </c>
      <c r="CR312">
        <f>IFERROR(INDEX(PP_Grid[#Data],$DE312,93),0)</f>
        <v/>
      </c>
      <c r="CS312">
        <f>IFERROR(INDEX(PP_Grid[#Data],$DE312,94),0)</f>
        <v/>
      </c>
      <c r="CT312">
        <f>IFERROR(INDEX(PP_Grid[#Data],$DE312,95),0)</f>
        <v/>
      </c>
      <c r="CU312">
        <f>IFERROR(INDEX(PP_Grid[#Data],$DE312,96),0)</f>
        <v/>
      </c>
      <c r="CV312">
        <f>IFERROR(INDEX(PP_Grid[#Data],$DE312,97),0)</f>
        <v/>
      </c>
      <c r="CW312">
        <f>IFERROR(INDEX(PP_Grid[#Data],$DE312,98),0)</f>
        <v/>
      </c>
      <c r="CX312">
        <f>IFERROR(INDEX(PP_Grid[#Data],$DE312,99),0)</f>
        <v/>
      </c>
      <c r="CY312">
        <f>IFERROR(INDEX(PP_Grid[#Data],$DE312,100),0)</f>
        <v/>
      </c>
      <c r="CZ312">
        <f>IFERROR(INDEX(PP_Grid[#Data],$DE312,101),0)</f>
        <v/>
      </c>
      <c r="DA312">
        <f>IFERROR(INDEX(PP_Grid[#Data],$DE312,102),0)</f>
        <v/>
      </c>
      <c r="DB312">
        <f>IFERROR(INDEX(PP_Grid[#Data],$DE312,103),0)</f>
        <v/>
      </c>
      <c r="DC312">
        <f>IFERROR(INDEX(PP_Grid[#Data],$DE312,104),0)</f>
        <v/>
      </c>
      <c r="DD312">
        <f>IFERROR(INDEX(PP_Grid[#Data],$DE312,105),0)</f>
        <v/>
      </c>
      <c r="DE312" s="7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SUMIFS(M_BOM[RM_Qty_Per_Batch],M_BOM[Intermediate],$B312,M_BOM[RM_Code],$A187)</f>
        <v/>
      </c>
      <c r="D313">
        <f>IFERROR(INDEX(E313:DD313,$F$1),"")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  <c r="DD313">
        <f>$C313*DD312</f>
        <v/>
      </c>
    </row>
    <row r="314">
      <c r="B314" t="inlineStr">
        <is>
          <t>VSP-870</t>
        </is>
      </c>
      <c r="C314" t="inlineStr">
        <is>
          <t>No. of batches</t>
        </is>
      </c>
      <c r="D314">
        <f>IFERROR(INDEX(E314:DD314,$F$1),"")</f>
        <v/>
      </c>
      <c r="E314">
        <f>IFERROR(INDEX(PP_Grid[#Data],$DE314,2),0)</f>
        <v/>
      </c>
      <c r="F314">
        <f>IFERROR(INDEX(PP_Grid[#Data],$DE314,3),0)</f>
        <v/>
      </c>
      <c r="G314">
        <f>IFERROR(INDEX(PP_Grid[#Data],$DE314,4),0)</f>
        <v/>
      </c>
      <c r="H314">
        <f>IFERROR(INDEX(PP_Grid[#Data],$DE314,5),0)</f>
        <v/>
      </c>
      <c r="I314">
        <f>IFERROR(INDEX(PP_Grid[#Data],$DE314,6),0)</f>
        <v/>
      </c>
      <c r="J314">
        <f>IFERROR(INDEX(PP_Grid[#Data],$DE314,7),0)</f>
        <v/>
      </c>
      <c r="K314">
        <f>IFERROR(INDEX(PP_Grid[#Data],$DE314,8),0)</f>
        <v/>
      </c>
      <c r="L314">
        <f>IFERROR(INDEX(PP_Grid[#Data],$DE314,9),0)</f>
        <v/>
      </c>
      <c r="M314">
        <f>IFERROR(INDEX(PP_Grid[#Data],$DE314,10),0)</f>
        <v/>
      </c>
      <c r="N314">
        <f>IFERROR(INDEX(PP_Grid[#Data],$DE314,11),0)</f>
        <v/>
      </c>
      <c r="O314">
        <f>IFERROR(INDEX(PP_Grid[#Data],$DE314,12),0)</f>
        <v/>
      </c>
      <c r="P314">
        <f>IFERROR(INDEX(PP_Grid[#Data],$DE314,13),0)</f>
        <v/>
      </c>
      <c r="Q314">
        <f>IFERROR(INDEX(PP_Grid[#Data],$DE314,14),0)</f>
        <v/>
      </c>
      <c r="R314">
        <f>IFERROR(INDEX(PP_Grid[#Data],$DE314,15),0)</f>
        <v/>
      </c>
      <c r="S314">
        <f>IFERROR(INDEX(PP_Grid[#Data],$DE314,16),0)</f>
        <v/>
      </c>
      <c r="T314">
        <f>IFERROR(INDEX(PP_Grid[#Data],$DE314,17),0)</f>
        <v/>
      </c>
      <c r="U314">
        <f>IFERROR(INDEX(PP_Grid[#Data],$DE314,18),0)</f>
        <v/>
      </c>
      <c r="V314">
        <f>IFERROR(INDEX(PP_Grid[#Data],$DE314,19),0)</f>
        <v/>
      </c>
      <c r="W314">
        <f>IFERROR(INDEX(PP_Grid[#Data],$DE314,20),0)</f>
        <v/>
      </c>
      <c r="X314">
        <f>IFERROR(INDEX(PP_Grid[#Data],$DE314,21),0)</f>
        <v/>
      </c>
      <c r="Y314">
        <f>IFERROR(INDEX(PP_Grid[#Data],$DE314,22),0)</f>
        <v/>
      </c>
      <c r="Z314">
        <f>IFERROR(INDEX(PP_Grid[#Data],$DE314,23),0)</f>
        <v/>
      </c>
      <c r="AA314">
        <f>IFERROR(INDEX(PP_Grid[#Data],$DE314,24),0)</f>
        <v/>
      </c>
      <c r="AB314">
        <f>IFERROR(INDEX(PP_Grid[#Data],$DE314,25),0)</f>
        <v/>
      </c>
      <c r="AC314">
        <f>IFERROR(INDEX(PP_Grid[#Data],$DE314,26),0)</f>
        <v/>
      </c>
      <c r="AD314">
        <f>IFERROR(INDEX(PP_Grid[#Data],$DE314,27),0)</f>
        <v/>
      </c>
      <c r="AE314">
        <f>IFERROR(INDEX(PP_Grid[#Data],$DE314,28),0)</f>
        <v/>
      </c>
      <c r="AF314">
        <f>IFERROR(INDEX(PP_Grid[#Data],$DE314,29),0)</f>
        <v/>
      </c>
      <c r="AG314">
        <f>IFERROR(INDEX(PP_Grid[#Data],$DE314,30),0)</f>
        <v/>
      </c>
      <c r="AH314">
        <f>IFERROR(INDEX(PP_Grid[#Data],$DE314,31),0)</f>
        <v/>
      </c>
      <c r="AI314">
        <f>IFERROR(INDEX(PP_Grid[#Data],$DE314,32),0)</f>
        <v/>
      </c>
      <c r="AJ314">
        <f>IFERROR(INDEX(PP_Grid[#Data],$DE314,33),0)</f>
        <v/>
      </c>
      <c r="AK314">
        <f>IFERROR(INDEX(PP_Grid[#Data],$DE314,34),0)</f>
        <v/>
      </c>
      <c r="AL314">
        <f>IFERROR(INDEX(PP_Grid[#Data],$DE314,35),0)</f>
        <v/>
      </c>
      <c r="AM314">
        <f>IFERROR(INDEX(PP_Grid[#Data],$DE314,36),0)</f>
        <v/>
      </c>
      <c r="AN314">
        <f>IFERROR(INDEX(PP_Grid[#Data],$DE314,37),0)</f>
        <v/>
      </c>
      <c r="AO314">
        <f>IFERROR(INDEX(PP_Grid[#Data],$DE314,38),0)</f>
        <v/>
      </c>
      <c r="AP314">
        <f>IFERROR(INDEX(PP_Grid[#Data],$DE314,39),0)</f>
        <v/>
      </c>
      <c r="AQ314">
        <f>IFERROR(INDEX(PP_Grid[#Data],$DE314,40),0)</f>
        <v/>
      </c>
      <c r="AR314">
        <f>IFERROR(INDEX(PP_Grid[#Data],$DE314,41),0)</f>
        <v/>
      </c>
      <c r="AS314">
        <f>IFERROR(INDEX(PP_Grid[#Data],$DE314,42),0)</f>
        <v/>
      </c>
      <c r="AT314">
        <f>IFERROR(INDEX(PP_Grid[#Data],$DE314,43),0)</f>
        <v/>
      </c>
      <c r="AU314">
        <f>IFERROR(INDEX(PP_Grid[#Data],$DE314,44),0)</f>
        <v/>
      </c>
      <c r="AV314">
        <f>IFERROR(INDEX(PP_Grid[#Data],$DE314,45),0)</f>
        <v/>
      </c>
      <c r="AW314">
        <f>IFERROR(INDEX(PP_Grid[#Data],$DE314,46),0)</f>
        <v/>
      </c>
      <c r="AX314">
        <f>IFERROR(INDEX(PP_Grid[#Data],$DE314,47),0)</f>
        <v/>
      </c>
      <c r="AY314">
        <f>IFERROR(INDEX(PP_Grid[#Data],$DE314,48),0)</f>
        <v/>
      </c>
      <c r="AZ314">
        <f>IFERROR(INDEX(PP_Grid[#Data],$DE314,49),0)</f>
        <v/>
      </c>
      <c r="BA314">
        <f>IFERROR(INDEX(PP_Grid[#Data],$DE314,50),0)</f>
        <v/>
      </c>
      <c r="BB314">
        <f>IFERROR(INDEX(PP_Grid[#Data],$DE314,51),0)</f>
        <v/>
      </c>
      <c r="BC314">
        <f>IFERROR(INDEX(PP_Grid[#Data],$DE314,52),0)</f>
        <v/>
      </c>
      <c r="BD314">
        <f>IFERROR(INDEX(PP_Grid[#Data],$DE314,53),0)</f>
        <v/>
      </c>
      <c r="BE314">
        <f>IFERROR(INDEX(PP_Grid[#Data],$DE314,54),0)</f>
        <v/>
      </c>
      <c r="BF314">
        <f>IFERROR(INDEX(PP_Grid[#Data],$DE314,55),0)</f>
        <v/>
      </c>
      <c r="BG314">
        <f>IFERROR(INDEX(PP_Grid[#Data],$DE314,56),0)</f>
        <v/>
      </c>
      <c r="BH314">
        <f>IFERROR(INDEX(PP_Grid[#Data],$DE314,57),0)</f>
        <v/>
      </c>
      <c r="BI314">
        <f>IFERROR(INDEX(PP_Grid[#Data],$DE314,58),0)</f>
        <v/>
      </c>
      <c r="BJ314">
        <f>IFERROR(INDEX(PP_Grid[#Data],$DE314,59),0)</f>
        <v/>
      </c>
      <c r="BK314">
        <f>IFERROR(INDEX(PP_Grid[#Data],$DE314,60),0)</f>
        <v/>
      </c>
      <c r="BL314">
        <f>IFERROR(INDEX(PP_Grid[#Data],$DE314,61),0)</f>
        <v/>
      </c>
      <c r="BM314">
        <f>IFERROR(INDEX(PP_Grid[#Data],$DE314,62),0)</f>
        <v/>
      </c>
      <c r="BN314">
        <f>IFERROR(INDEX(PP_Grid[#Data],$DE314,63),0)</f>
        <v/>
      </c>
      <c r="BO314">
        <f>IFERROR(INDEX(PP_Grid[#Data],$DE314,64),0)</f>
        <v/>
      </c>
      <c r="BP314">
        <f>IFERROR(INDEX(PP_Grid[#Data],$DE314,65),0)</f>
        <v/>
      </c>
      <c r="BQ314">
        <f>IFERROR(INDEX(PP_Grid[#Data],$DE314,66),0)</f>
        <v/>
      </c>
      <c r="BR314">
        <f>IFERROR(INDEX(PP_Grid[#Data],$DE314,67),0)</f>
        <v/>
      </c>
      <c r="BS314">
        <f>IFERROR(INDEX(PP_Grid[#Data],$DE314,68),0)</f>
        <v/>
      </c>
      <c r="BT314">
        <f>IFERROR(INDEX(PP_Grid[#Data],$DE314,69),0)</f>
        <v/>
      </c>
      <c r="BU314">
        <f>IFERROR(INDEX(PP_Grid[#Data],$DE314,70),0)</f>
        <v/>
      </c>
      <c r="BV314">
        <f>IFERROR(INDEX(PP_Grid[#Data],$DE314,71),0)</f>
        <v/>
      </c>
      <c r="BW314">
        <f>IFERROR(INDEX(PP_Grid[#Data],$DE314,72),0)</f>
        <v/>
      </c>
      <c r="BX314">
        <f>IFERROR(INDEX(PP_Grid[#Data],$DE314,73),0)</f>
        <v/>
      </c>
      <c r="BY314">
        <f>IFERROR(INDEX(PP_Grid[#Data],$DE314,74),0)</f>
        <v/>
      </c>
      <c r="BZ314">
        <f>IFERROR(INDEX(PP_Grid[#Data],$DE314,75),0)</f>
        <v/>
      </c>
      <c r="CA314">
        <f>IFERROR(INDEX(PP_Grid[#Data],$DE314,76),0)</f>
        <v/>
      </c>
      <c r="CB314">
        <f>IFERROR(INDEX(PP_Grid[#Data],$DE314,77),0)</f>
        <v/>
      </c>
      <c r="CC314">
        <f>IFERROR(INDEX(PP_Grid[#Data],$DE314,78),0)</f>
        <v/>
      </c>
      <c r="CD314">
        <f>IFERROR(INDEX(PP_Grid[#Data],$DE314,79),0)</f>
        <v/>
      </c>
      <c r="CE314">
        <f>IFERROR(INDEX(PP_Grid[#Data],$DE314,80),0)</f>
        <v/>
      </c>
      <c r="CF314">
        <f>IFERROR(INDEX(PP_Grid[#Data],$DE314,81),0)</f>
        <v/>
      </c>
      <c r="CG314">
        <f>IFERROR(INDEX(PP_Grid[#Data],$DE314,82),0)</f>
        <v/>
      </c>
      <c r="CH314">
        <f>IFERROR(INDEX(PP_Grid[#Data],$DE314,83),0)</f>
        <v/>
      </c>
      <c r="CI314">
        <f>IFERROR(INDEX(PP_Grid[#Data],$DE314,84),0)</f>
        <v/>
      </c>
      <c r="CJ314">
        <f>IFERROR(INDEX(PP_Grid[#Data],$DE314,85),0)</f>
        <v/>
      </c>
      <c r="CK314">
        <f>IFERROR(INDEX(PP_Grid[#Data],$DE314,86),0)</f>
        <v/>
      </c>
      <c r="CL314">
        <f>IFERROR(INDEX(PP_Grid[#Data],$DE314,87),0)</f>
        <v/>
      </c>
      <c r="CM314">
        <f>IFERROR(INDEX(PP_Grid[#Data],$DE314,88),0)</f>
        <v/>
      </c>
      <c r="CN314">
        <f>IFERROR(INDEX(PP_Grid[#Data],$DE314,89),0)</f>
        <v/>
      </c>
      <c r="CO314">
        <f>IFERROR(INDEX(PP_Grid[#Data],$DE314,90),0)</f>
        <v/>
      </c>
      <c r="CP314">
        <f>IFERROR(INDEX(PP_Grid[#Data],$DE314,91),0)</f>
        <v/>
      </c>
      <c r="CQ314">
        <f>IFERROR(INDEX(PP_Grid[#Data],$DE314,92),0)</f>
        <v/>
      </c>
      <c r="CR314">
        <f>IFERROR(INDEX(PP_Grid[#Data],$DE314,93),0)</f>
        <v/>
      </c>
      <c r="CS314">
        <f>IFERROR(INDEX(PP_Grid[#Data],$DE314,94),0)</f>
        <v/>
      </c>
      <c r="CT314">
        <f>IFERROR(INDEX(PP_Grid[#Data],$DE314,95),0)</f>
        <v/>
      </c>
      <c r="CU314">
        <f>IFERROR(INDEX(PP_Grid[#Data],$DE314,96),0)</f>
        <v/>
      </c>
      <c r="CV314">
        <f>IFERROR(INDEX(PP_Grid[#Data],$DE314,97),0)</f>
        <v/>
      </c>
      <c r="CW314">
        <f>IFERROR(INDEX(PP_Grid[#Data],$DE314,98),0)</f>
        <v/>
      </c>
      <c r="CX314">
        <f>IFERROR(INDEX(PP_Grid[#Data],$DE314,99),0)</f>
        <v/>
      </c>
      <c r="CY314">
        <f>IFERROR(INDEX(PP_Grid[#Data],$DE314,100),0)</f>
        <v/>
      </c>
      <c r="CZ314">
        <f>IFERROR(INDEX(PP_Grid[#Data],$DE314,101),0)</f>
        <v/>
      </c>
      <c r="DA314">
        <f>IFERROR(INDEX(PP_Grid[#Data],$DE314,102),0)</f>
        <v/>
      </c>
      <c r="DB314">
        <f>IFERROR(INDEX(PP_Grid[#Data],$DE314,103),0)</f>
        <v/>
      </c>
      <c r="DC314">
        <f>IFERROR(INDEX(PP_Grid[#Data],$DE314,104),0)</f>
        <v/>
      </c>
      <c r="DD314">
        <f>IFERROR(INDEX(PP_Grid[#Data],$DE314,105),0)</f>
        <v/>
      </c>
      <c r="DE314" s="7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SUMIFS(M_BOM[RM_Qty_Per_Batch],M_BOM[Intermediate],$B314,M_BOM[RM_Code],$A187)</f>
        <v/>
      </c>
      <c r="D315">
        <f>IFERROR(INDEX(E315:DD315,$F$1),"")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  <c r="DD315">
        <f>$C315*DD314</f>
        <v/>
      </c>
    </row>
    <row r="316">
      <c r="B316" t="inlineStr">
        <is>
          <t>VSP-910</t>
        </is>
      </c>
      <c r="C316" t="inlineStr">
        <is>
          <t>No. of batches</t>
        </is>
      </c>
      <c r="D316">
        <f>IFERROR(INDEX(E316:DD316,$F$1),"")</f>
        <v/>
      </c>
      <c r="E316">
        <f>IFERROR(INDEX(PP_Grid[#Data],$DE316,2),0)</f>
        <v/>
      </c>
      <c r="F316">
        <f>IFERROR(INDEX(PP_Grid[#Data],$DE316,3),0)</f>
        <v/>
      </c>
      <c r="G316">
        <f>IFERROR(INDEX(PP_Grid[#Data],$DE316,4),0)</f>
        <v/>
      </c>
      <c r="H316">
        <f>IFERROR(INDEX(PP_Grid[#Data],$DE316,5),0)</f>
        <v/>
      </c>
      <c r="I316">
        <f>IFERROR(INDEX(PP_Grid[#Data],$DE316,6),0)</f>
        <v/>
      </c>
      <c r="J316">
        <f>IFERROR(INDEX(PP_Grid[#Data],$DE316,7),0)</f>
        <v/>
      </c>
      <c r="K316">
        <f>IFERROR(INDEX(PP_Grid[#Data],$DE316,8),0)</f>
        <v/>
      </c>
      <c r="L316">
        <f>IFERROR(INDEX(PP_Grid[#Data],$DE316,9),0)</f>
        <v/>
      </c>
      <c r="M316">
        <f>IFERROR(INDEX(PP_Grid[#Data],$DE316,10),0)</f>
        <v/>
      </c>
      <c r="N316">
        <f>IFERROR(INDEX(PP_Grid[#Data],$DE316,11),0)</f>
        <v/>
      </c>
      <c r="O316">
        <f>IFERROR(INDEX(PP_Grid[#Data],$DE316,12),0)</f>
        <v/>
      </c>
      <c r="P316">
        <f>IFERROR(INDEX(PP_Grid[#Data],$DE316,13),0)</f>
        <v/>
      </c>
      <c r="Q316">
        <f>IFERROR(INDEX(PP_Grid[#Data],$DE316,14),0)</f>
        <v/>
      </c>
      <c r="R316">
        <f>IFERROR(INDEX(PP_Grid[#Data],$DE316,15),0)</f>
        <v/>
      </c>
      <c r="S316">
        <f>IFERROR(INDEX(PP_Grid[#Data],$DE316,16),0)</f>
        <v/>
      </c>
      <c r="T316">
        <f>IFERROR(INDEX(PP_Grid[#Data],$DE316,17),0)</f>
        <v/>
      </c>
      <c r="U316">
        <f>IFERROR(INDEX(PP_Grid[#Data],$DE316,18),0)</f>
        <v/>
      </c>
      <c r="V316">
        <f>IFERROR(INDEX(PP_Grid[#Data],$DE316,19),0)</f>
        <v/>
      </c>
      <c r="W316">
        <f>IFERROR(INDEX(PP_Grid[#Data],$DE316,20),0)</f>
        <v/>
      </c>
      <c r="X316">
        <f>IFERROR(INDEX(PP_Grid[#Data],$DE316,21),0)</f>
        <v/>
      </c>
      <c r="Y316">
        <f>IFERROR(INDEX(PP_Grid[#Data],$DE316,22),0)</f>
        <v/>
      </c>
      <c r="Z316">
        <f>IFERROR(INDEX(PP_Grid[#Data],$DE316,23),0)</f>
        <v/>
      </c>
      <c r="AA316">
        <f>IFERROR(INDEX(PP_Grid[#Data],$DE316,24),0)</f>
        <v/>
      </c>
      <c r="AB316">
        <f>IFERROR(INDEX(PP_Grid[#Data],$DE316,25),0)</f>
        <v/>
      </c>
      <c r="AC316">
        <f>IFERROR(INDEX(PP_Grid[#Data],$DE316,26),0)</f>
        <v/>
      </c>
      <c r="AD316">
        <f>IFERROR(INDEX(PP_Grid[#Data],$DE316,27),0)</f>
        <v/>
      </c>
      <c r="AE316">
        <f>IFERROR(INDEX(PP_Grid[#Data],$DE316,28),0)</f>
        <v/>
      </c>
      <c r="AF316">
        <f>IFERROR(INDEX(PP_Grid[#Data],$DE316,29),0)</f>
        <v/>
      </c>
      <c r="AG316">
        <f>IFERROR(INDEX(PP_Grid[#Data],$DE316,30),0)</f>
        <v/>
      </c>
      <c r="AH316">
        <f>IFERROR(INDEX(PP_Grid[#Data],$DE316,31),0)</f>
        <v/>
      </c>
      <c r="AI316">
        <f>IFERROR(INDEX(PP_Grid[#Data],$DE316,32),0)</f>
        <v/>
      </c>
      <c r="AJ316">
        <f>IFERROR(INDEX(PP_Grid[#Data],$DE316,33),0)</f>
        <v/>
      </c>
      <c r="AK316">
        <f>IFERROR(INDEX(PP_Grid[#Data],$DE316,34),0)</f>
        <v/>
      </c>
      <c r="AL316">
        <f>IFERROR(INDEX(PP_Grid[#Data],$DE316,35),0)</f>
        <v/>
      </c>
      <c r="AM316">
        <f>IFERROR(INDEX(PP_Grid[#Data],$DE316,36),0)</f>
        <v/>
      </c>
      <c r="AN316">
        <f>IFERROR(INDEX(PP_Grid[#Data],$DE316,37),0)</f>
        <v/>
      </c>
      <c r="AO316">
        <f>IFERROR(INDEX(PP_Grid[#Data],$DE316,38),0)</f>
        <v/>
      </c>
      <c r="AP316">
        <f>IFERROR(INDEX(PP_Grid[#Data],$DE316,39),0)</f>
        <v/>
      </c>
      <c r="AQ316">
        <f>IFERROR(INDEX(PP_Grid[#Data],$DE316,40),0)</f>
        <v/>
      </c>
      <c r="AR316">
        <f>IFERROR(INDEX(PP_Grid[#Data],$DE316,41),0)</f>
        <v/>
      </c>
      <c r="AS316">
        <f>IFERROR(INDEX(PP_Grid[#Data],$DE316,42),0)</f>
        <v/>
      </c>
      <c r="AT316">
        <f>IFERROR(INDEX(PP_Grid[#Data],$DE316,43),0)</f>
        <v/>
      </c>
      <c r="AU316">
        <f>IFERROR(INDEX(PP_Grid[#Data],$DE316,44),0)</f>
        <v/>
      </c>
      <c r="AV316">
        <f>IFERROR(INDEX(PP_Grid[#Data],$DE316,45),0)</f>
        <v/>
      </c>
      <c r="AW316">
        <f>IFERROR(INDEX(PP_Grid[#Data],$DE316,46),0)</f>
        <v/>
      </c>
      <c r="AX316">
        <f>IFERROR(INDEX(PP_Grid[#Data],$DE316,47),0)</f>
        <v/>
      </c>
      <c r="AY316">
        <f>IFERROR(INDEX(PP_Grid[#Data],$DE316,48),0)</f>
        <v/>
      </c>
      <c r="AZ316">
        <f>IFERROR(INDEX(PP_Grid[#Data],$DE316,49),0)</f>
        <v/>
      </c>
      <c r="BA316">
        <f>IFERROR(INDEX(PP_Grid[#Data],$DE316,50),0)</f>
        <v/>
      </c>
      <c r="BB316">
        <f>IFERROR(INDEX(PP_Grid[#Data],$DE316,51),0)</f>
        <v/>
      </c>
      <c r="BC316">
        <f>IFERROR(INDEX(PP_Grid[#Data],$DE316,52),0)</f>
        <v/>
      </c>
      <c r="BD316">
        <f>IFERROR(INDEX(PP_Grid[#Data],$DE316,53),0)</f>
        <v/>
      </c>
      <c r="BE316">
        <f>IFERROR(INDEX(PP_Grid[#Data],$DE316,54),0)</f>
        <v/>
      </c>
      <c r="BF316">
        <f>IFERROR(INDEX(PP_Grid[#Data],$DE316,55),0)</f>
        <v/>
      </c>
      <c r="BG316">
        <f>IFERROR(INDEX(PP_Grid[#Data],$DE316,56),0)</f>
        <v/>
      </c>
      <c r="BH316">
        <f>IFERROR(INDEX(PP_Grid[#Data],$DE316,57),0)</f>
        <v/>
      </c>
      <c r="BI316">
        <f>IFERROR(INDEX(PP_Grid[#Data],$DE316,58),0)</f>
        <v/>
      </c>
      <c r="BJ316">
        <f>IFERROR(INDEX(PP_Grid[#Data],$DE316,59),0)</f>
        <v/>
      </c>
      <c r="BK316">
        <f>IFERROR(INDEX(PP_Grid[#Data],$DE316,60),0)</f>
        <v/>
      </c>
      <c r="BL316">
        <f>IFERROR(INDEX(PP_Grid[#Data],$DE316,61),0)</f>
        <v/>
      </c>
      <c r="BM316">
        <f>IFERROR(INDEX(PP_Grid[#Data],$DE316,62),0)</f>
        <v/>
      </c>
      <c r="BN316">
        <f>IFERROR(INDEX(PP_Grid[#Data],$DE316,63),0)</f>
        <v/>
      </c>
      <c r="BO316">
        <f>IFERROR(INDEX(PP_Grid[#Data],$DE316,64),0)</f>
        <v/>
      </c>
      <c r="BP316">
        <f>IFERROR(INDEX(PP_Grid[#Data],$DE316,65),0)</f>
        <v/>
      </c>
      <c r="BQ316">
        <f>IFERROR(INDEX(PP_Grid[#Data],$DE316,66),0)</f>
        <v/>
      </c>
      <c r="BR316">
        <f>IFERROR(INDEX(PP_Grid[#Data],$DE316,67),0)</f>
        <v/>
      </c>
      <c r="BS316">
        <f>IFERROR(INDEX(PP_Grid[#Data],$DE316,68),0)</f>
        <v/>
      </c>
      <c r="BT316">
        <f>IFERROR(INDEX(PP_Grid[#Data],$DE316,69),0)</f>
        <v/>
      </c>
      <c r="BU316">
        <f>IFERROR(INDEX(PP_Grid[#Data],$DE316,70),0)</f>
        <v/>
      </c>
      <c r="BV316">
        <f>IFERROR(INDEX(PP_Grid[#Data],$DE316,71),0)</f>
        <v/>
      </c>
      <c r="BW316">
        <f>IFERROR(INDEX(PP_Grid[#Data],$DE316,72),0)</f>
        <v/>
      </c>
      <c r="BX316">
        <f>IFERROR(INDEX(PP_Grid[#Data],$DE316,73),0)</f>
        <v/>
      </c>
      <c r="BY316">
        <f>IFERROR(INDEX(PP_Grid[#Data],$DE316,74),0)</f>
        <v/>
      </c>
      <c r="BZ316">
        <f>IFERROR(INDEX(PP_Grid[#Data],$DE316,75),0)</f>
        <v/>
      </c>
      <c r="CA316">
        <f>IFERROR(INDEX(PP_Grid[#Data],$DE316,76),0)</f>
        <v/>
      </c>
      <c r="CB316">
        <f>IFERROR(INDEX(PP_Grid[#Data],$DE316,77),0)</f>
        <v/>
      </c>
      <c r="CC316">
        <f>IFERROR(INDEX(PP_Grid[#Data],$DE316,78),0)</f>
        <v/>
      </c>
      <c r="CD316">
        <f>IFERROR(INDEX(PP_Grid[#Data],$DE316,79),0)</f>
        <v/>
      </c>
      <c r="CE316">
        <f>IFERROR(INDEX(PP_Grid[#Data],$DE316,80),0)</f>
        <v/>
      </c>
      <c r="CF316">
        <f>IFERROR(INDEX(PP_Grid[#Data],$DE316,81),0)</f>
        <v/>
      </c>
      <c r="CG316">
        <f>IFERROR(INDEX(PP_Grid[#Data],$DE316,82),0)</f>
        <v/>
      </c>
      <c r="CH316">
        <f>IFERROR(INDEX(PP_Grid[#Data],$DE316,83),0)</f>
        <v/>
      </c>
      <c r="CI316">
        <f>IFERROR(INDEX(PP_Grid[#Data],$DE316,84),0)</f>
        <v/>
      </c>
      <c r="CJ316">
        <f>IFERROR(INDEX(PP_Grid[#Data],$DE316,85),0)</f>
        <v/>
      </c>
      <c r="CK316">
        <f>IFERROR(INDEX(PP_Grid[#Data],$DE316,86),0)</f>
        <v/>
      </c>
      <c r="CL316">
        <f>IFERROR(INDEX(PP_Grid[#Data],$DE316,87),0)</f>
        <v/>
      </c>
      <c r="CM316">
        <f>IFERROR(INDEX(PP_Grid[#Data],$DE316,88),0)</f>
        <v/>
      </c>
      <c r="CN316">
        <f>IFERROR(INDEX(PP_Grid[#Data],$DE316,89),0)</f>
        <v/>
      </c>
      <c r="CO316">
        <f>IFERROR(INDEX(PP_Grid[#Data],$DE316,90),0)</f>
        <v/>
      </c>
      <c r="CP316">
        <f>IFERROR(INDEX(PP_Grid[#Data],$DE316,91),0)</f>
        <v/>
      </c>
      <c r="CQ316">
        <f>IFERROR(INDEX(PP_Grid[#Data],$DE316,92),0)</f>
        <v/>
      </c>
      <c r="CR316">
        <f>IFERROR(INDEX(PP_Grid[#Data],$DE316,93),0)</f>
        <v/>
      </c>
      <c r="CS316">
        <f>IFERROR(INDEX(PP_Grid[#Data],$DE316,94),0)</f>
        <v/>
      </c>
      <c r="CT316">
        <f>IFERROR(INDEX(PP_Grid[#Data],$DE316,95),0)</f>
        <v/>
      </c>
      <c r="CU316">
        <f>IFERROR(INDEX(PP_Grid[#Data],$DE316,96),0)</f>
        <v/>
      </c>
      <c r="CV316">
        <f>IFERROR(INDEX(PP_Grid[#Data],$DE316,97),0)</f>
        <v/>
      </c>
      <c r="CW316">
        <f>IFERROR(INDEX(PP_Grid[#Data],$DE316,98),0)</f>
        <v/>
      </c>
      <c r="CX316">
        <f>IFERROR(INDEX(PP_Grid[#Data],$DE316,99),0)</f>
        <v/>
      </c>
      <c r="CY316">
        <f>IFERROR(INDEX(PP_Grid[#Data],$DE316,100),0)</f>
        <v/>
      </c>
      <c r="CZ316">
        <f>IFERROR(INDEX(PP_Grid[#Data],$DE316,101),0)</f>
        <v/>
      </c>
      <c r="DA316">
        <f>IFERROR(INDEX(PP_Grid[#Data],$DE316,102),0)</f>
        <v/>
      </c>
      <c r="DB316">
        <f>IFERROR(INDEX(PP_Grid[#Data],$DE316,103),0)</f>
        <v/>
      </c>
      <c r="DC316">
        <f>IFERROR(INDEX(PP_Grid[#Data],$DE316,104),0)</f>
        <v/>
      </c>
      <c r="DD316">
        <f>IFERROR(INDEX(PP_Grid[#Data],$DE316,105),0)</f>
        <v/>
      </c>
      <c r="DE316" s="7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SUMIFS(M_BOM[RM_Qty_Per_Batch],M_BOM[Intermediate],$B316,M_BOM[RM_Code],$A187)</f>
        <v/>
      </c>
      <c r="D317">
        <f>IFERROR(INDEX(E317:DD317,$F$1),"")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  <c r="DD317">
        <f>$C317*DD316</f>
        <v/>
      </c>
    </row>
    <row r="318">
      <c r="B318" t="inlineStr">
        <is>
          <t>VSP-990</t>
        </is>
      </c>
      <c r="C318" t="inlineStr">
        <is>
          <t>No. of batches</t>
        </is>
      </c>
      <c r="D318">
        <f>IFERROR(INDEX(E318:DD318,$F$1),"")</f>
        <v/>
      </c>
      <c r="E318">
        <f>IFERROR(INDEX(PP_Grid[#Data],$DE318,2),0)</f>
        <v/>
      </c>
      <c r="F318">
        <f>IFERROR(INDEX(PP_Grid[#Data],$DE318,3),0)</f>
        <v/>
      </c>
      <c r="G318">
        <f>IFERROR(INDEX(PP_Grid[#Data],$DE318,4),0)</f>
        <v/>
      </c>
      <c r="H318">
        <f>IFERROR(INDEX(PP_Grid[#Data],$DE318,5),0)</f>
        <v/>
      </c>
      <c r="I318">
        <f>IFERROR(INDEX(PP_Grid[#Data],$DE318,6),0)</f>
        <v/>
      </c>
      <c r="J318">
        <f>IFERROR(INDEX(PP_Grid[#Data],$DE318,7),0)</f>
        <v/>
      </c>
      <c r="K318">
        <f>IFERROR(INDEX(PP_Grid[#Data],$DE318,8),0)</f>
        <v/>
      </c>
      <c r="L318">
        <f>IFERROR(INDEX(PP_Grid[#Data],$DE318,9),0)</f>
        <v/>
      </c>
      <c r="M318">
        <f>IFERROR(INDEX(PP_Grid[#Data],$DE318,10),0)</f>
        <v/>
      </c>
      <c r="N318">
        <f>IFERROR(INDEX(PP_Grid[#Data],$DE318,11),0)</f>
        <v/>
      </c>
      <c r="O318">
        <f>IFERROR(INDEX(PP_Grid[#Data],$DE318,12),0)</f>
        <v/>
      </c>
      <c r="P318">
        <f>IFERROR(INDEX(PP_Grid[#Data],$DE318,13),0)</f>
        <v/>
      </c>
      <c r="Q318">
        <f>IFERROR(INDEX(PP_Grid[#Data],$DE318,14),0)</f>
        <v/>
      </c>
      <c r="R318">
        <f>IFERROR(INDEX(PP_Grid[#Data],$DE318,15),0)</f>
        <v/>
      </c>
      <c r="S318">
        <f>IFERROR(INDEX(PP_Grid[#Data],$DE318,16),0)</f>
        <v/>
      </c>
      <c r="T318">
        <f>IFERROR(INDEX(PP_Grid[#Data],$DE318,17),0)</f>
        <v/>
      </c>
      <c r="U318">
        <f>IFERROR(INDEX(PP_Grid[#Data],$DE318,18),0)</f>
        <v/>
      </c>
      <c r="V318">
        <f>IFERROR(INDEX(PP_Grid[#Data],$DE318,19),0)</f>
        <v/>
      </c>
      <c r="W318">
        <f>IFERROR(INDEX(PP_Grid[#Data],$DE318,20),0)</f>
        <v/>
      </c>
      <c r="X318">
        <f>IFERROR(INDEX(PP_Grid[#Data],$DE318,21),0)</f>
        <v/>
      </c>
      <c r="Y318">
        <f>IFERROR(INDEX(PP_Grid[#Data],$DE318,22),0)</f>
        <v/>
      </c>
      <c r="Z318">
        <f>IFERROR(INDEX(PP_Grid[#Data],$DE318,23),0)</f>
        <v/>
      </c>
      <c r="AA318">
        <f>IFERROR(INDEX(PP_Grid[#Data],$DE318,24),0)</f>
        <v/>
      </c>
      <c r="AB318">
        <f>IFERROR(INDEX(PP_Grid[#Data],$DE318,25),0)</f>
        <v/>
      </c>
      <c r="AC318">
        <f>IFERROR(INDEX(PP_Grid[#Data],$DE318,26),0)</f>
        <v/>
      </c>
      <c r="AD318">
        <f>IFERROR(INDEX(PP_Grid[#Data],$DE318,27),0)</f>
        <v/>
      </c>
      <c r="AE318">
        <f>IFERROR(INDEX(PP_Grid[#Data],$DE318,28),0)</f>
        <v/>
      </c>
      <c r="AF318">
        <f>IFERROR(INDEX(PP_Grid[#Data],$DE318,29),0)</f>
        <v/>
      </c>
      <c r="AG318">
        <f>IFERROR(INDEX(PP_Grid[#Data],$DE318,30),0)</f>
        <v/>
      </c>
      <c r="AH318">
        <f>IFERROR(INDEX(PP_Grid[#Data],$DE318,31),0)</f>
        <v/>
      </c>
      <c r="AI318">
        <f>IFERROR(INDEX(PP_Grid[#Data],$DE318,32),0)</f>
        <v/>
      </c>
      <c r="AJ318">
        <f>IFERROR(INDEX(PP_Grid[#Data],$DE318,33),0)</f>
        <v/>
      </c>
      <c r="AK318">
        <f>IFERROR(INDEX(PP_Grid[#Data],$DE318,34),0)</f>
        <v/>
      </c>
      <c r="AL318">
        <f>IFERROR(INDEX(PP_Grid[#Data],$DE318,35),0)</f>
        <v/>
      </c>
      <c r="AM318">
        <f>IFERROR(INDEX(PP_Grid[#Data],$DE318,36),0)</f>
        <v/>
      </c>
      <c r="AN318">
        <f>IFERROR(INDEX(PP_Grid[#Data],$DE318,37),0)</f>
        <v/>
      </c>
      <c r="AO318">
        <f>IFERROR(INDEX(PP_Grid[#Data],$DE318,38),0)</f>
        <v/>
      </c>
      <c r="AP318">
        <f>IFERROR(INDEX(PP_Grid[#Data],$DE318,39),0)</f>
        <v/>
      </c>
      <c r="AQ318">
        <f>IFERROR(INDEX(PP_Grid[#Data],$DE318,40),0)</f>
        <v/>
      </c>
      <c r="AR318">
        <f>IFERROR(INDEX(PP_Grid[#Data],$DE318,41),0)</f>
        <v/>
      </c>
      <c r="AS318">
        <f>IFERROR(INDEX(PP_Grid[#Data],$DE318,42),0)</f>
        <v/>
      </c>
      <c r="AT318">
        <f>IFERROR(INDEX(PP_Grid[#Data],$DE318,43),0)</f>
        <v/>
      </c>
      <c r="AU318">
        <f>IFERROR(INDEX(PP_Grid[#Data],$DE318,44),0)</f>
        <v/>
      </c>
      <c r="AV318">
        <f>IFERROR(INDEX(PP_Grid[#Data],$DE318,45),0)</f>
        <v/>
      </c>
      <c r="AW318">
        <f>IFERROR(INDEX(PP_Grid[#Data],$DE318,46),0)</f>
        <v/>
      </c>
      <c r="AX318">
        <f>IFERROR(INDEX(PP_Grid[#Data],$DE318,47),0)</f>
        <v/>
      </c>
      <c r="AY318">
        <f>IFERROR(INDEX(PP_Grid[#Data],$DE318,48),0)</f>
        <v/>
      </c>
      <c r="AZ318">
        <f>IFERROR(INDEX(PP_Grid[#Data],$DE318,49),0)</f>
        <v/>
      </c>
      <c r="BA318">
        <f>IFERROR(INDEX(PP_Grid[#Data],$DE318,50),0)</f>
        <v/>
      </c>
      <c r="BB318">
        <f>IFERROR(INDEX(PP_Grid[#Data],$DE318,51),0)</f>
        <v/>
      </c>
      <c r="BC318">
        <f>IFERROR(INDEX(PP_Grid[#Data],$DE318,52),0)</f>
        <v/>
      </c>
      <c r="BD318">
        <f>IFERROR(INDEX(PP_Grid[#Data],$DE318,53),0)</f>
        <v/>
      </c>
      <c r="BE318">
        <f>IFERROR(INDEX(PP_Grid[#Data],$DE318,54),0)</f>
        <v/>
      </c>
      <c r="BF318">
        <f>IFERROR(INDEX(PP_Grid[#Data],$DE318,55),0)</f>
        <v/>
      </c>
      <c r="BG318">
        <f>IFERROR(INDEX(PP_Grid[#Data],$DE318,56),0)</f>
        <v/>
      </c>
      <c r="BH318">
        <f>IFERROR(INDEX(PP_Grid[#Data],$DE318,57),0)</f>
        <v/>
      </c>
      <c r="BI318">
        <f>IFERROR(INDEX(PP_Grid[#Data],$DE318,58),0)</f>
        <v/>
      </c>
      <c r="BJ318">
        <f>IFERROR(INDEX(PP_Grid[#Data],$DE318,59),0)</f>
        <v/>
      </c>
      <c r="BK318">
        <f>IFERROR(INDEX(PP_Grid[#Data],$DE318,60),0)</f>
        <v/>
      </c>
      <c r="BL318">
        <f>IFERROR(INDEX(PP_Grid[#Data],$DE318,61),0)</f>
        <v/>
      </c>
      <c r="BM318">
        <f>IFERROR(INDEX(PP_Grid[#Data],$DE318,62),0)</f>
        <v/>
      </c>
      <c r="BN318">
        <f>IFERROR(INDEX(PP_Grid[#Data],$DE318,63),0)</f>
        <v/>
      </c>
      <c r="BO318">
        <f>IFERROR(INDEX(PP_Grid[#Data],$DE318,64),0)</f>
        <v/>
      </c>
      <c r="BP318">
        <f>IFERROR(INDEX(PP_Grid[#Data],$DE318,65),0)</f>
        <v/>
      </c>
      <c r="BQ318">
        <f>IFERROR(INDEX(PP_Grid[#Data],$DE318,66),0)</f>
        <v/>
      </c>
      <c r="BR318">
        <f>IFERROR(INDEX(PP_Grid[#Data],$DE318,67),0)</f>
        <v/>
      </c>
      <c r="BS318">
        <f>IFERROR(INDEX(PP_Grid[#Data],$DE318,68),0)</f>
        <v/>
      </c>
      <c r="BT318">
        <f>IFERROR(INDEX(PP_Grid[#Data],$DE318,69),0)</f>
        <v/>
      </c>
      <c r="BU318">
        <f>IFERROR(INDEX(PP_Grid[#Data],$DE318,70),0)</f>
        <v/>
      </c>
      <c r="BV318">
        <f>IFERROR(INDEX(PP_Grid[#Data],$DE318,71),0)</f>
        <v/>
      </c>
      <c r="BW318">
        <f>IFERROR(INDEX(PP_Grid[#Data],$DE318,72),0)</f>
        <v/>
      </c>
      <c r="BX318">
        <f>IFERROR(INDEX(PP_Grid[#Data],$DE318,73),0)</f>
        <v/>
      </c>
      <c r="BY318">
        <f>IFERROR(INDEX(PP_Grid[#Data],$DE318,74),0)</f>
        <v/>
      </c>
      <c r="BZ318">
        <f>IFERROR(INDEX(PP_Grid[#Data],$DE318,75),0)</f>
        <v/>
      </c>
      <c r="CA318">
        <f>IFERROR(INDEX(PP_Grid[#Data],$DE318,76),0)</f>
        <v/>
      </c>
      <c r="CB318">
        <f>IFERROR(INDEX(PP_Grid[#Data],$DE318,77),0)</f>
        <v/>
      </c>
      <c r="CC318">
        <f>IFERROR(INDEX(PP_Grid[#Data],$DE318,78),0)</f>
        <v/>
      </c>
      <c r="CD318">
        <f>IFERROR(INDEX(PP_Grid[#Data],$DE318,79),0)</f>
        <v/>
      </c>
      <c r="CE318">
        <f>IFERROR(INDEX(PP_Grid[#Data],$DE318,80),0)</f>
        <v/>
      </c>
      <c r="CF318">
        <f>IFERROR(INDEX(PP_Grid[#Data],$DE318,81),0)</f>
        <v/>
      </c>
      <c r="CG318">
        <f>IFERROR(INDEX(PP_Grid[#Data],$DE318,82),0)</f>
        <v/>
      </c>
      <c r="CH318">
        <f>IFERROR(INDEX(PP_Grid[#Data],$DE318,83),0)</f>
        <v/>
      </c>
      <c r="CI318">
        <f>IFERROR(INDEX(PP_Grid[#Data],$DE318,84),0)</f>
        <v/>
      </c>
      <c r="CJ318">
        <f>IFERROR(INDEX(PP_Grid[#Data],$DE318,85),0)</f>
        <v/>
      </c>
      <c r="CK318">
        <f>IFERROR(INDEX(PP_Grid[#Data],$DE318,86),0)</f>
        <v/>
      </c>
      <c r="CL318">
        <f>IFERROR(INDEX(PP_Grid[#Data],$DE318,87),0)</f>
        <v/>
      </c>
      <c r="CM318">
        <f>IFERROR(INDEX(PP_Grid[#Data],$DE318,88),0)</f>
        <v/>
      </c>
      <c r="CN318">
        <f>IFERROR(INDEX(PP_Grid[#Data],$DE318,89),0)</f>
        <v/>
      </c>
      <c r="CO318">
        <f>IFERROR(INDEX(PP_Grid[#Data],$DE318,90),0)</f>
        <v/>
      </c>
      <c r="CP318">
        <f>IFERROR(INDEX(PP_Grid[#Data],$DE318,91),0)</f>
        <v/>
      </c>
      <c r="CQ318">
        <f>IFERROR(INDEX(PP_Grid[#Data],$DE318,92),0)</f>
        <v/>
      </c>
      <c r="CR318">
        <f>IFERROR(INDEX(PP_Grid[#Data],$DE318,93),0)</f>
        <v/>
      </c>
      <c r="CS318">
        <f>IFERROR(INDEX(PP_Grid[#Data],$DE318,94),0)</f>
        <v/>
      </c>
      <c r="CT318">
        <f>IFERROR(INDEX(PP_Grid[#Data],$DE318,95),0)</f>
        <v/>
      </c>
      <c r="CU318">
        <f>IFERROR(INDEX(PP_Grid[#Data],$DE318,96),0)</f>
        <v/>
      </c>
      <c r="CV318">
        <f>IFERROR(INDEX(PP_Grid[#Data],$DE318,97),0)</f>
        <v/>
      </c>
      <c r="CW318">
        <f>IFERROR(INDEX(PP_Grid[#Data],$DE318,98),0)</f>
        <v/>
      </c>
      <c r="CX318">
        <f>IFERROR(INDEX(PP_Grid[#Data],$DE318,99),0)</f>
        <v/>
      </c>
      <c r="CY318">
        <f>IFERROR(INDEX(PP_Grid[#Data],$DE318,100),0)</f>
        <v/>
      </c>
      <c r="CZ318">
        <f>IFERROR(INDEX(PP_Grid[#Data],$DE318,101),0)</f>
        <v/>
      </c>
      <c r="DA318">
        <f>IFERROR(INDEX(PP_Grid[#Data],$DE318,102),0)</f>
        <v/>
      </c>
      <c r="DB318">
        <f>IFERROR(INDEX(PP_Grid[#Data],$DE318,103),0)</f>
        <v/>
      </c>
      <c r="DC318">
        <f>IFERROR(INDEX(PP_Grid[#Data],$DE318,104),0)</f>
        <v/>
      </c>
      <c r="DD318">
        <f>IFERROR(INDEX(PP_Grid[#Data],$DE318,105),0)</f>
        <v/>
      </c>
      <c r="DE318" s="7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SUMIFS(M_BOM[RM_Qty_Per_Batch],M_BOM[Intermediate],$B318,M_BOM[RM_Code],$A187)</f>
        <v/>
      </c>
      <c r="D319">
        <f>IFERROR(INDEX(E319:DD319,$F$1),"")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  <c r="DD319">
        <f>$C319*DD318</f>
        <v/>
      </c>
    </row>
    <row r="320">
      <c r="B320" t="inlineStr">
        <is>
          <t>VSZ-745</t>
        </is>
      </c>
      <c r="C320" t="inlineStr">
        <is>
          <t>No. of batches</t>
        </is>
      </c>
      <c r="D320">
        <f>IFERROR(INDEX(E320:DD320,$F$1),"")</f>
        <v/>
      </c>
      <c r="E320">
        <f>IFERROR(INDEX(PP_Grid[#Data],$DE320,2),0)</f>
        <v/>
      </c>
      <c r="F320">
        <f>IFERROR(INDEX(PP_Grid[#Data],$DE320,3),0)</f>
        <v/>
      </c>
      <c r="G320">
        <f>IFERROR(INDEX(PP_Grid[#Data],$DE320,4),0)</f>
        <v/>
      </c>
      <c r="H320">
        <f>IFERROR(INDEX(PP_Grid[#Data],$DE320,5),0)</f>
        <v/>
      </c>
      <c r="I320">
        <f>IFERROR(INDEX(PP_Grid[#Data],$DE320,6),0)</f>
        <v/>
      </c>
      <c r="J320">
        <f>IFERROR(INDEX(PP_Grid[#Data],$DE320,7),0)</f>
        <v/>
      </c>
      <c r="K320">
        <f>IFERROR(INDEX(PP_Grid[#Data],$DE320,8),0)</f>
        <v/>
      </c>
      <c r="L320">
        <f>IFERROR(INDEX(PP_Grid[#Data],$DE320,9),0)</f>
        <v/>
      </c>
      <c r="M320">
        <f>IFERROR(INDEX(PP_Grid[#Data],$DE320,10),0)</f>
        <v/>
      </c>
      <c r="N320">
        <f>IFERROR(INDEX(PP_Grid[#Data],$DE320,11),0)</f>
        <v/>
      </c>
      <c r="O320">
        <f>IFERROR(INDEX(PP_Grid[#Data],$DE320,12),0)</f>
        <v/>
      </c>
      <c r="P320">
        <f>IFERROR(INDEX(PP_Grid[#Data],$DE320,13),0)</f>
        <v/>
      </c>
      <c r="Q320">
        <f>IFERROR(INDEX(PP_Grid[#Data],$DE320,14),0)</f>
        <v/>
      </c>
      <c r="R320">
        <f>IFERROR(INDEX(PP_Grid[#Data],$DE320,15),0)</f>
        <v/>
      </c>
      <c r="S320">
        <f>IFERROR(INDEX(PP_Grid[#Data],$DE320,16),0)</f>
        <v/>
      </c>
      <c r="T320">
        <f>IFERROR(INDEX(PP_Grid[#Data],$DE320,17),0)</f>
        <v/>
      </c>
      <c r="U320">
        <f>IFERROR(INDEX(PP_Grid[#Data],$DE320,18),0)</f>
        <v/>
      </c>
      <c r="V320">
        <f>IFERROR(INDEX(PP_Grid[#Data],$DE320,19),0)</f>
        <v/>
      </c>
      <c r="W320">
        <f>IFERROR(INDEX(PP_Grid[#Data],$DE320,20),0)</f>
        <v/>
      </c>
      <c r="X320">
        <f>IFERROR(INDEX(PP_Grid[#Data],$DE320,21),0)</f>
        <v/>
      </c>
      <c r="Y320">
        <f>IFERROR(INDEX(PP_Grid[#Data],$DE320,22),0)</f>
        <v/>
      </c>
      <c r="Z320">
        <f>IFERROR(INDEX(PP_Grid[#Data],$DE320,23),0)</f>
        <v/>
      </c>
      <c r="AA320">
        <f>IFERROR(INDEX(PP_Grid[#Data],$DE320,24),0)</f>
        <v/>
      </c>
      <c r="AB320">
        <f>IFERROR(INDEX(PP_Grid[#Data],$DE320,25),0)</f>
        <v/>
      </c>
      <c r="AC320">
        <f>IFERROR(INDEX(PP_Grid[#Data],$DE320,26),0)</f>
        <v/>
      </c>
      <c r="AD320">
        <f>IFERROR(INDEX(PP_Grid[#Data],$DE320,27),0)</f>
        <v/>
      </c>
      <c r="AE320">
        <f>IFERROR(INDEX(PP_Grid[#Data],$DE320,28),0)</f>
        <v/>
      </c>
      <c r="AF320">
        <f>IFERROR(INDEX(PP_Grid[#Data],$DE320,29),0)</f>
        <v/>
      </c>
      <c r="AG320">
        <f>IFERROR(INDEX(PP_Grid[#Data],$DE320,30),0)</f>
        <v/>
      </c>
      <c r="AH320">
        <f>IFERROR(INDEX(PP_Grid[#Data],$DE320,31),0)</f>
        <v/>
      </c>
      <c r="AI320">
        <f>IFERROR(INDEX(PP_Grid[#Data],$DE320,32),0)</f>
        <v/>
      </c>
      <c r="AJ320">
        <f>IFERROR(INDEX(PP_Grid[#Data],$DE320,33),0)</f>
        <v/>
      </c>
      <c r="AK320">
        <f>IFERROR(INDEX(PP_Grid[#Data],$DE320,34),0)</f>
        <v/>
      </c>
      <c r="AL320">
        <f>IFERROR(INDEX(PP_Grid[#Data],$DE320,35),0)</f>
        <v/>
      </c>
      <c r="AM320">
        <f>IFERROR(INDEX(PP_Grid[#Data],$DE320,36),0)</f>
        <v/>
      </c>
      <c r="AN320">
        <f>IFERROR(INDEX(PP_Grid[#Data],$DE320,37),0)</f>
        <v/>
      </c>
      <c r="AO320">
        <f>IFERROR(INDEX(PP_Grid[#Data],$DE320,38),0)</f>
        <v/>
      </c>
      <c r="AP320">
        <f>IFERROR(INDEX(PP_Grid[#Data],$DE320,39),0)</f>
        <v/>
      </c>
      <c r="AQ320">
        <f>IFERROR(INDEX(PP_Grid[#Data],$DE320,40),0)</f>
        <v/>
      </c>
      <c r="AR320">
        <f>IFERROR(INDEX(PP_Grid[#Data],$DE320,41),0)</f>
        <v/>
      </c>
      <c r="AS320">
        <f>IFERROR(INDEX(PP_Grid[#Data],$DE320,42),0)</f>
        <v/>
      </c>
      <c r="AT320">
        <f>IFERROR(INDEX(PP_Grid[#Data],$DE320,43),0)</f>
        <v/>
      </c>
      <c r="AU320">
        <f>IFERROR(INDEX(PP_Grid[#Data],$DE320,44),0)</f>
        <v/>
      </c>
      <c r="AV320">
        <f>IFERROR(INDEX(PP_Grid[#Data],$DE320,45),0)</f>
        <v/>
      </c>
      <c r="AW320">
        <f>IFERROR(INDEX(PP_Grid[#Data],$DE320,46),0)</f>
        <v/>
      </c>
      <c r="AX320">
        <f>IFERROR(INDEX(PP_Grid[#Data],$DE320,47),0)</f>
        <v/>
      </c>
      <c r="AY320">
        <f>IFERROR(INDEX(PP_Grid[#Data],$DE320,48),0)</f>
        <v/>
      </c>
      <c r="AZ320">
        <f>IFERROR(INDEX(PP_Grid[#Data],$DE320,49),0)</f>
        <v/>
      </c>
      <c r="BA320">
        <f>IFERROR(INDEX(PP_Grid[#Data],$DE320,50),0)</f>
        <v/>
      </c>
      <c r="BB320">
        <f>IFERROR(INDEX(PP_Grid[#Data],$DE320,51),0)</f>
        <v/>
      </c>
      <c r="BC320">
        <f>IFERROR(INDEX(PP_Grid[#Data],$DE320,52),0)</f>
        <v/>
      </c>
      <c r="BD320">
        <f>IFERROR(INDEX(PP_Grid[#Data],$DE320,53),0)</f>
        <v/>
      </c>
      <c r="BE320">
        <f>IFERROR(INDEX(PP_Grid[#Data],$DE320,54),0)</f>
        <v/>
      </c>
      <c r="BF320">
        <f>IFERROR(INDEX(PP_Grid[#Data],$DE320,55),0)</f>
        <v/>
      </c>
      <c r="BG320">
        <f>IFERROR(INDEX(PP_Grid[#Data],$DE320,56),0)</f>
        <v/>
      </c>
      <c r="BH320">
        <f>IFERROR(INDEX(PP_Grid[#Data],$DE320,57),0)</f>
        <v/>
      </c>
      <c r="BI320">
        <f>IFERROR(INDEX(PP_Grid[#Data],$DE320,58),0)</f>
        <v/>
      </c>
      <c r="BJ320">
        <f>IFERROR(INDEX(PP_Grid[#Data],$DE320,59),0)</f>
        <v/>
      </c>
      <c r="BK320">
        <f>IFERROR(INDEX(PP_Grid[#Data],$DE320,60),0)</f>
        <v/>
      </c>
      <c r="BL320">
        <f>IFERROR(INDEX(PP_Grid[#Data],$DE320,61),0)</f>
        <v/>
      </c>
      <c r="BM320">
        <f>IFERROR(INDEX(PP_Grid[#Data],$DE320,62),0)</f>
        <v/>
      </c>
      <c r="BN320">
        <f>IFERROR(INDEX(PP_Grid[#Data],$DE320,63),0)</f>
        <v/>
      </c>
      <c r="BO320">
        <f>IFERROR(INDEX(PP_Grid[#Data],$DE320,64),0)</f>
        <v/>
      </c>
      <c r="BP320">
        <f>IFERROR(INDEX(PP_Grid[#Data],$DE320,65),0)</f>
        <v/>
      </c>
      <c r="BQ320">
        <f>IFERROR(INDEX(PP_Grid[#Data],$DE320,66),0)</f>
        <v/>
      </c>
      <c r="BR320">
        <f>IFERROR(INDEX(PP_Grid[#Data],$DE320,67),0)</f>
        <v/>
      </c>
      <c r="BS320">
        <f>IFERROR(INDEX(PP_Grid[#Data],$DE320,68),0)</f>
        <v/>
      </c>
      <c r="BT320">
        <f>IFERROR(INDEX(PP_Grid[#Data],$DE320,69),0)</f>
        <v/>
      </c>
      <c r="BU320">
        <f>IFERROR(INDEX(PP_Grid[#Data],$DE320,70),0)</f>
        <v/>
      </c>
      <c r="BV320">
        <f>IFERROR(INDEX(PP_Grid[#Data],$DE320,71),0)</f>
        <v/>
      </c>
      <c r="BW320">
        <f>IFERROR(INDEX(PP_Grid[#Data],$DE320,72),0)</f>
        <v/>
      </c>
      <c r="BX320">
        <f>IFERROR(INDEX(PP_Grid[#Data],$DE320,73),0)</f>
        <v/>
      </c>
      <c r="BY320">
        <f>IFERROR(INDEX(PP_Grid[#Data],$DE320,74),0)</f>
        <v/>
      </c>
      <c r="BZ320">
        <f>IFERROR(INDEX(PP_Grid[#Data],$DE320,75),0)</f>
        <v/>
      </c>
      <c r="CA320">
        <f>IFERROR(INDEX(PP_Grid[#Data],$DE320,76),0)</f>
        <v/>
      </c>
      <c r="CB320">
        <f>IFERROR(INDEX(PP_Grid[#Data],$DE320,77),0)</f>
        <v/>
      </c>
      <c r="CC320">
        <f>IFERROR(INDEX(PP_Grid[#Data],$DE320,78),0)</f>
        <v/>
      </c>
      <c r="CD320">
        <f>IFERROR(INDEX(PP_Grid[#Data],$DE320,79),0)</f>
        <v/>
      </c>
      <c r="CE320">
        <f>IFERROR(INDEX(PP_Grid[#Data],$DE320,80),0)</f>
        <v/>
      </c>
      <c r="CF320">
        <f>IFERROR(INDEX(PP_Grid[#Data],$DE320,81),0)</f>
        <v/>
      </c>
      <c r="CG320">
        <f>IFERROR(INDEX(PP_Grid[#Data],$DE320,82),0)</f>
        <v/>
      </c>
      <c r="CH320">
        <f>IFERROR(INDEX(PP_Grid[#Data],$DE320,83),0)</f>
        <v/>
      </c>
      <c r="CI320">
        <f>IFERROR(INDEX(PP_Grid[#Data],$DE320,84),0)</f>
        <v/>
      </c>
      <c r="CJ320">
        <f>IFERROR(INDEX(PP_Grid[#Data],$DE320,85),0)</f>
        <v/>
      </c>
      <c r="CK320">
        <f>IFERROR(INDEX(PP_Grid[#Data],$DE320,86),0)</f>
        <v/>
      </c>
      <c r="CL320">
        <f>IFERROR(INDEX(PP_Grid[#Data],$DE320,87),0)</f>
        <v/>
      </c>
      <c r="CM320">
        <f>IFERROR(INDEX(PP_Grid[#Data],$DE320,88),0)</f>
        <v/>
      </c>
      <c r="CN320">
        <f>IFERROR(INDEX(PP_Grid[#Data],$DE320,89),0)</f>
        <v/>
      </c>
      <c r="CO320">
        <f>IFERROR(INDEX(PP_Grid[#Data],$DE320,90),0)</f>
        <v/>
      </c>
      <c r="CP320">
        <f>IFERROR(INDEX(PP_Grid[#Data],$DE320,91),0)</f>
        <v/>
      </c>
      <c r="CQ320">
        <f>IFERROR(INDEX(PP_Grid[#Data],$DE320,92),0)</f>
        <v/>
      </c>
      <c r="CR320">
        <f>IFERROR(INDEX(PP_Grid[#Data],$DE320,93),0)</f>
        <v/>
      </c>
      <c r="CS320">
        <f>IFERROR(INDEX(PP_Grid[#Data],$DE320,94),0)</f>
        <v/>
      </c>
      <c r="CT320">
        <f>IFERROR(INDEX(PP_Grid[#Data],$DE320,95),0)</f>
        <v/>
      </c>
      <c r="CU320">
        <f>IFERROR(INDEX(PP_Grid[#Data],$DE320,96),0)</f>
        <v/>
      </c>
      <c r="CV320">
        <f>IFERROR(INDEX(PP_Grid[#Data],$DE320,97),0)</f>
        <v/>
      </c>
      <c r="CW320">
        <f>IFERROR(INDEX(PP_Grid[#Data],$DE320,98),0)</f>
        <v/>
      </c>
      <c r="CX320">
        <f>IFERROR(INDEX(PP_Grid[#Data],$DE320,99),0)</f>
        <v/>
      </c>
      <c r="CY320">
        <f>IFERROR(INDEX(PP_Grid[#Data],$DE320,100),0)</f>
        <v/>
      </c>
      <c r="CZ320">
        <f>IFERROR(INDEX(PP_Grid[#Data],$DE320,101),0)</f>
        <v/>
      </c>
      <c r="DA320">
        <f>IFERROR(INDEX(PP_Grid[#Data],$DE320,102),0)</f>
        <v/>
      </c>
      <c r="DB320">
        <f>IFERROR(INDEX(PP_Grid[#Data],$DE320,103),0)</f>
        <v/>
      </c>
      <c r="DC320">
        <f>IFERROR(INDEX(PP_Grid[#Data],$DE320,104),0)</f>
        <v/>
      </c>
      <c r="DD320">
        <f>IFERROR(INDEX(PP_Grid[#Data],$DE320,105),0)</f>
        <v/>
      </c>
      <c r="DE320" s="7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SUMIFS(M_BOM[RM_Qty_Per_Batch],M_BOM[Intermediate],$B320,M_BOM[RM_Code],$A187)</f>
        <v/>
      </c>
      <c r="D321">
        <f>IFERROR(INDEX(E321:DD321,$F$1),"")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  <c r="DD321">
        <f>$C321*DD320</f>
        <v/>
      </c>
    </row>
    <row r="322">
      <c r="B322" s="4" t="inlineStr">
        <is>
          <t>合計使用量(kg)/週</t>
        </is>
      </c>
      <c r="D322" s="22">
        <f>IFERROR(INDEX(E322:DD322,$F$1),"")</f>
        <v/>
      </c>
      <c r="E322">
        <f>'Grid_Requirement'!B84</f>
        <v/>
      </c>
      <c r="F322">
        <f>'Grid_Requirement'!C84</f>
        <v/>
      </c>
      <c r="G322">
        <f>'Grid_Requirement'!D84</f>
        <v/>
      </c>
      <c r="H322">
        <f>'Grid_Requirement'!E84</f>
        <v/>
      </c>
      <c r="I322">
        <f>'Grid_Requirement'!F84</f>
        <v/>
      </c>
      <c r="J322">
        <f>'Grid_Requirement'!G84</f>
        <v/>
      </c>
      <c r="K322">
        <f>'Grid_Requirement'!H84</f>
        <v/>
      </c>
      <c r="L322">
        <f>'Grid_Requirement'!I84</f>
        <v/>
      </c>
      <c r="M322">
        <f>'Grid_Requirement'!J84</f>
        <v/>
      </c>
      <c r="N322">
        <f>'Grid_Requirement'!K84</f>
        <v/>
      </c>
      <c r="O322">
        <f>'Grid_Requirement'!L84</f>
        <v/>
      </c>
      <c r="P322">
        <f>'Grid_Requirement'!M84</f>
        <v/>
      </c>
      <c r="Q322">
        <f>'Grid_Requirement'!N84</f>
        <v/>
      </c>
      <c r="R322">
        <f>'Grid_Requirement'!O84</f>
        <v/>
      </c>
      <c r="S322">
        <f>'Grid_Requirement'!P84</f>
        <v/>
      </c>
      <c r="T322">
        <f>'Grid_Requirement'!Q84</f>
        <v/>
      </c>
      <c r="U322">
        <f>'Grid_Requirement'!R84</f>
        <v/>
      </c>
      <c r="V322">
        <f>'Grid_Requirement'!S84</f>
        <v/>
      </c>
      <c r="W322">
        <f>'Grid_Requirement'!T84</f>
        <v/>
      </c>
      <c r="X322">
        <f>'Grid_Requirement'!U84</f>
        <v/>
      </c>
      <c r="Y322">
        <f>'Grid_Requirement'!V84</f>
        <v/>
      </c>
      <c r="Z322">
        <f>'Grid_Requirement'!W84</f>
        <v/>
      </c>
      <c r="AA322">
        <f>'Grid_Requirement'!X84</f>
        <v/>
      </c>
      <c r="AB322">
        <f>'Grid_Requirement'!Y84</f>
        <v/>
      </c>
      <c r="AC322">
        <f>'Grid_Requirement'!Z84</f>
        <v/>
      </c>
      <c r="AD322">
        <f>'Grid_Requirement'!AA84</f>
        <v/>
      </c>
      <c r="AE322">
        <f>'Grid_Requirement'!AB84</f>
        <v/>
      </c>
      <c r="AF322">
        <f>'Grid_Requirement'!AC84</f>
        <v/>
      </c>
      <c r="AG322">
        <f>'Grid_Requirement'!AD84</f>
        <v/>
      </c>
      <c r="AH322">
        <f>'Grid_Requirement'!AE84</f>
        <v/>
      </c>
      <c r="AI322">
        <f>'Grid_Requirement'!AF84</f>
        <v/>
      </c>
      <c r="AJ322">
        <f>'Grid_Requirement'!AG84</f>
        <v/>
      </c>
      <c r="AK322">
        <f>'Grid_Requirement'!AH84</f>
        <v/>
      </c>
      <c r="AL322">
        <f>'Grid_Requirement'!AI84</f>
        <v/>
      </c>
      <c r="AM322">
        <f>'Grid_Requirement'!AJ84</f>
        <v/>
      </c>
      <c r="AN322">
        <f>'Grid_Requirement'!AK84</f>
        <v/>
      </c>
      <c r="AO322">
        <f>'Grid_Requirement'!AL84</f>
        <v/>
      </c>
      <c r="AP322">
        <f>'Grid_Requirement'!AM84</f>
        <v/>
      </c>
      <c r="AQ322">
        <f>'Grid_Requirement'!AN84</f>
        <v/>
      </c>
      <c r="AR322">
        <f>'Grid_Requirement'!AO84</f>
        <v/>
      </c>
      <c r="AS322">
        <f>'Grid_Requirement'!AP84</f>
        <v/>
      </c>
      <c r="AT322">
        <f>'Grid_Requirement'!AQ84</f>
        <v/>
      </c>
      <c r="AU322">
        <f>'Grid_Requirement'!AR84</f>
        <v/>
      </c>
      <c r="AV322">
        <f>'Grid_Requirement'!AS84</f>
        <v/>
      </c>
      <c r="AW322">
        <f>'Grid_Requirement'!AT84</f>
        <v/>
      </c>
      <c r="AX322">
        <f>'Grid_Requirement'!AU84</f>
        <v/>
      </c>
      <c r="AY322">
        <f>'Grid_Requirement'!AV84</f>
        <v/>
      </c>
      <c r="AZ322">
        <f>'Grid_Requirement'!AW84</f>
        <v/>
      </c>
      <c r="BA322">
        <f>'Grid_Requirement'!AX84</f>
        <v/>
      </c>
      <c r="BB322">
        <f>'Grid_Requirement'!AY84</f>
        <v/>
      </c>
      <c r="BC322">
        <f>'Grid_Requirement'!AZ84</f>
        <v/>
      </c>
      <c r="BD322">
        <f>'Grid_Requirement'!BA84</f>
        <v/>
      </c>
      <c r="BE322">
        <f>'Grid_Requirement'!BB84</f>
        <v/>
      </c>
      <c r="BF322">
        <f>'Grid_Requirement'!BC84</f>
        <v/>
      </c>
      <c r="BG322">
        <f>'Grid_Requirement'!BD84</f>
        <v/>
      </c>
      <c r="BH322">
        <f>'Grid_Requirement'!BE84</f>
        <v/>
      </c>
      <c r="BI322">
        <f>'Grid_Requirement'!BF84</f>
        <v/>
      </c>
      <c r="BJ322">
        <f>'Grid_Requirement'!BG84</f>
        <v/>
      </c>
      <c r="BK322">
        <f>'Grid_Requirement'!BH84</f>
        <v/>
      </c>
      <c r="BL322">
        <f>'Grid_Requirement'!BI84</f>
        <v/>
      </c>
      <c r="BM322">
        <f>'Grid_Requirement'!BJ84</f>
        <v/>
      </c>
      <c r="BN322">
        <f>'Grid_Requirement'!BK84</f>
        <v/>
      </c>
      <c r="BO322">
        <f>'Grid_Requirement'!BL84</f>
        <v/>
      </c>
      <c r="BP322">
        <f>'Grid_Requirement'!BM84</f>
        <v/>
      </c>
      <c r="BQ322">
        <f>'Grid_Requirement'!BN84</f>
        <v/>
      </c>
      <c r="BR322">
        <f>'Grid_Requirement'!BO84</f>
        <v/>
      </c>
      <c r="BS322">
        <f>'Grid_Requirement'!BP84</f>
        <v/>
      </c>
      <c r="BT322">
        <f>'Grid_Requirement'!BQ84</f>
        <v/>
      </c>
      <c r="BU322">
        <f>'Grid_Requirement'!BR84</f>
        <v/>
      </c>
      <c r="BV322">
        <f>'Grid_Requirement'!BS84</f>
        <v/>
      </c>
      <c r="BW322">
        <f>'Grid_Requirement'!BT84</f>
        <v/>
      </c>
      <c r="BX322">
        <f>'Grid_Requirement'!BU84</f>
        <v/>
      </c>
      <c r="BY322">
        <f>'Grid_Requirement'!BV84</f>
        <v/>
      </c>
      <c r="BZ322">
        <f>'Grid_Requirement'!BW84</f>
        <v/>
      </c>
      <c r="CA322">
        <f>'Grid_Requirement'!BX84</f>
        <v/>
      </c>
      <c r="CB322">
        <f>'Grid_Requirement'!BY84</f>
        <v/>
      </c>
      <c r="CC322">
        <f>'Grid_Requirement'!BZ84</f>
        <v/>
      </c>
      <c r="CD322">
        <f>'Grid_Requirement'!CA84</f>
        <v/>
      </c>
      <c r="CE322">
        <f>'Grid_Requirement'!CB84</f>
        <v/>
      </c>
      <c r="CF322">
        <f>'Grid_Requirement'!CC84</f>
        <v/>
      </c>
      <c r="CG322">
        <f>'Grid_Requirement'!CD84</f>
        <v/>
      </c>
      <c r="CH322">
        <f>'Grid_Requirement'!CE84</f>
        <v/>
      </c>
      <c r="CI322">
        <f>'Grid_Requirement'!CF84</f>
        <v/>
      </c>
      <c r="CJ322">
        <f>'Grid_Requirement'!CG84</f>
        <v/>
      </c>
      <c r="CK322">
        <f>'Grid_Requirement'!CH84</f>
        <v/>
      </c>
      <c r="CL322">
        <f>'Grid_Requirement'!CI84</f>
        <v/>
      </c>
      <c r="CM322">
        <f>'Grid_Requirement'!CJ84</f>
        <v/>
      </c>
      <c r="CN322">
        <f>'Grid_Requirement'!CK84</f>
        <v/>
      </c>
      <c r="CO322">
        <f>'Grid_Requirement'!CL84</f>
        <v/>
      </c>
      <c r="CP322">
        <f>'Grid_Requirement'!CM84</f>
        <v/>
      </c>
      <c r="CQ322">
        <f>'Grid_Requirement'!CN84</f>
        <v/>
      </c>
      <c r="CR322">
        <f>'Grid_Requirement'!CO84</f>
        <v/>
      </c>
      <c r="CS322">
        <f>'Grid_Requirement'!CP84</f>
        <v/>
      </c>
      <c r="CT322">
        <f>'Grid_Requirement'!CQ84</f>
        <v/>
      </c>
      <c r="CU322">
        <f>'Grid_Requirement'!CR84</f>
        <v/>
      </c>
      <c r="CV322">
        <f>'Grid_Requirement'!CS84</f>
        <v/>
      </c>
      <c r="CW322">
        <f>'Grid_Requirement'!CT84</f>
        <v/>
      </c>
      <c r="CX322">
        <f>'Grid_Requirement'!CU84</f>
        <v/>
      </c>
      <c r="CY322">
        <f>'Grid_Requirement'!CV84</f>
        <v/>
      </c>
      <c r="CZ322">
        <f>'Grid_Requirement'!CW84</f>
        <v/>
      </c>
      <c r="DA322">
        <f>'Grid_Requirement'!CX84</f>
        <v/>
      </c>
      <c r="DB322">
        <f>'Grid_Requirement'!CY84</f>
        <v/>
      </c>
      <c r="DC322">
        <f>'Grid_Requirement'!CZ84</f>
        <v/>
      </c>
      <c r="DD322">
        <f>'Grid_Requirement'!DA84</f>
        <v/>
      </c>
    </row>
    <row r="323">
      <c r="B323" s="23" t="inlineStr">
        <is>
          <t>（在庫・入荷予定はDashboard参照）</t>
        </is>
      </c>
    </row>
    <row r="325">
      <c r="A325" s="21" t="inlineStr">
        <is>
          <t>CHEM-1420</t>
        </is>
      </c>
      <c r="B325" s="21" t="inlineStr">
        <is>
          <t>HEC SE900</t>
        </is>
      </c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  <c r="AA325" s="21" t="n"/>
      <c r="AB325" s="21" t="n"/>
      <c r="AC325" s="21" t="n"/>
      <c r="AD325" s="21" t="n"/>
      <c r="AE325" s="21" t="n"/>
      <c r="AF325" s="21" t="n"/>
      <c r="AG325" s="21" t="n"/>
      <c r="AH325" s="21" t="n"/>
      <c r="AI325" s="21" t="n"/>
      <c r="AJ325" s="21" t="n"/>
      <c r="AK325" s="21" t="n"/>
      <c r="AL325" s="21" t="n"/>
      <c r="AM325" s="21" t="n"/>
      <c r="AN325" s="21" t="n"/>
      <c r="AO325" s="21" t="n"/>
      <c r="AP325" s="21" t="n"/>
      <c r="AQ325" s="21" t="n"/>
      <c r="AR325" s="21" t="n"/>
      <c r="AS325" s="21" t="n"/>
      <c r="AT325" s="21" t="n"/>
      <c r="AU325" s="21" t="n"/>
      <c r="AV325" s="21" t="n"/>
      <c r="AW325" s="21" t="n"/>
      <c r="AX325" s="21" t="n"/>
      <c r="AY325" s="21" t="n"/>
      <c r="AZ325" s="21" t="n"/>
      <c r="BA325" s="21" t="n"/>
      <c r="BB325" s="21" t="n"/>
      <c r="BC325" s="21" t="n"/>
      <c r="BD325" s="21" t="n"/>
      <c r="BE325" s="21" t="n"/>
      <c r="BF325" s="21" t="n"/>
      <c r="BG325" s="21" t="n"/>
      <c r="BH325" s="21" t="n"/>
      <c r="BI325" s="21" t="n"/>
      <c r="BJ325" s="21" t="n"/>
      <c r="BK325" s="21" t="n"/>
      <c r="BL325" s="21" t="n"/>
      <c r="BM325" s="21" t="n"/>
      <c r="BN325" s="21" t="n"/>
      <c r="BO325" s="21" t="n"/>
      <c r="BP325" s="21" t="n"/>
      <c r="BQ325" s="21" t="n"/>
      <c r="BR325" s="21" t="n"/>
      <c r="BS325" s="21" t="n"/>
      <c r="BT325" s="21" t="n"/>
      <c r="BU325" s="21" t="n"/>
      <c r="BV325" s="21" t="n"/>
      <c r="BW325" s="21" t="n"/>
      <c r="BX325" s="21" t="n"/>
      <c r="BY325" s="21" t="n"/>
      <c r="BZ325" s="21" t="n"/>
      <c r="CA325" s="21" t="n"/>
      <c r="CB325" s="21" t="n"/>
      <c r="CC325" s="21" t="n"/>
      <c r="CD325" s="21" t="n"/>
      <c r="CE325" s="21" t="n"/>
      <c r="CF325" s="21" t="n"/>
      <c r="CG325" s="21" t="n"/>
      <c r="CH325" s="21" t="n"/>
      <c r="CI325" s="21" t="n"/>
      <c r="CJ325" s="21" t="n"/>
      <c r="CK325" s="21" t="n"/>
      <c r="CL325" s="21" t="n"/>
      <c r="CM325" s="21" t="n"/>
      <c r="CN325" s="21" t="n"/>
      <c r="CO325" s="21" t="n"/>
      <c r="CP325" s="21" t="n"/>
      <c r="CQ325" s="21" t="n"/>
      <c r="CR325" s="21" t="n"/>
      <c r="CS325" s="21" t="n"/>
      <c r="CT325" s="21" t="n"/>
      <c r="CU325" s="21" t="n"/>
      <c r="CV325" s="21" t="n"/>
      <c r="CW325" s="21" t="n"/>
      <c r="CX325" s="21" t="n"/>
      <c r="CY325" s="21" t="n"/>
      <c r="CZ325" s="21" t="n"/>
      <c r="DA325" s="21" t="n"/>
      <c r="DB325" s="21" t="n"/>
      <c r="DC325" s="21" t="n"/>
      <c r="DD325" s="21" t="n"/>
    </row>
    <row r="326">
      <c r="B326" t="inlineStr">
        <is>
          <t>TSP-049</t>
        </is>
      </c>
      <c r="C326" t="inlineStr">
        <is>
          <t>No. of batches</t>
        </is>
      </c>
      <c r="D326">
        <f>IFERROR(INDEX(E326:DD326,$F$1),"")</f>
        <v/>
      </c>
      <c r="E326">
        <f>IFERROR(INDEX(PP_Grid[#Data],$DE326,2),0)</f>
        <v/>
      </c>
      <c r="F326">
        <f>IFERROR(INDEX(PP_Grid[#Data],$DE326,3),0)</f>
        <v/>
      </c>
      <c r="G326">
        <f>IFERROR(INDEX(PP_Grid[#Data],$DE326,4),0)</f>
        <v/>
      </c>
      <c r="H326">
        <f>IFERROR(INDEX(PP_Grid[#Data],$DE326,5),0)</f>
        <v/>
      </c>
      <c r="I326">
        <f>IFERROR(INDEX(PP_Grid[#Data],$DE326,6),0)</f>
        <v/>
      </c>
      <c r="J326">
        <f>IFERROR(INDEX(PP_Grid[#Data],$DE326,7),0)</f>
        <v/>
      </c>
      <c r="K326">
        <f>IFERROR(INDEX(PP_Grid[#Data],$DE326,8),0)</f>
        <v/>
      </c>
      <c r="L326">
        <f>IFERROR(INDEX(PP_Grid[#Data],$DE326,9),0)</f>
        <v/>
      </c>
      <c r="M326">
        <f>IFERROR(INDEX(PP_Grid[#Data],$DE326,10),0)</f>
        <v/>
      </c>
      <c r="N326">
        <f>IFERROR(INDEX(PP_Grid[#Data],$DE326,11),0)</f>
        <v/>
      </c>
      <c r="O326">
        <f>IFERROR(INDEX(PP_Grid[#Data],$DE326,12),0)</f>
        <v/>
      </c>
      <c r="P326">
        <f>IFERROR(INDEX(PP_Grid[#Data],$DE326,13),0)</f>
        <v/>
      </c>
      <c r="Q326">
        <f>IFERROR(INDEX(PP_Grid[#Data],$DE326,14),0)</f>
        <v/>
      </c>
      <c r="R326">
        <f>IFERROR(INDEX(PP_Grid[#Data],$DE326,15),0)</f>
        <v/>
      </c>
      <c r="S326">
        <f>IFERROR(INDEX(PP_Grid[#Data],$DE326,16),0)</f>
        <v/>
      </c>
      <c r="T326">
        <f>IFERROR(INDEX(PP_Grid[#Data],$DE326,17),0)</f>
        <v/>
      </c>
      <c r="U326">
        <f>IFERROR(INDEX(PP_Grid[#Data],$DE326,18),0)</f>
        <v/>
      </c>
      <c r="V326">
        <f>IFERROR(INDEX(PP_Grid[#Data],$DE326,19),0)</f>
        <v/>
      </c>
      <c r="W326">
        <f>IFERROR(INDEX(PP_Grid[#Data],$DE326,20),0)</f>
        <v/>
      </c>
      <c r="X326">
        <f>IFERROR(INDEX(PP_Grid[#Data],$DE326,21),0)</f>
        <v/>
      </c>
      <c r="Y326">
        <f>IFERROR(INDEX(PP_Grid[#Data],$DE326,22),0)</f>
        <v/>
      </c>
      <c r="Z326">
        <f>IFERROR(INDEX(PP_Grid[#Data],$DE326,23),0)</f>
        <v/>
      </c>
      <c r="AA326">
        <f>IFERROR(INDEX(PP_Grid[#Data],$DE326,24),0)</f>
        <v/>
      </c>
      <c r="AB326">
        <f>IFERROR(INDEX(PP_Grid[#Data],$DE326,25),0)</f>
        <v/>
      </c>
      <c r="AC326">
        <f>IFERROR(INDEX(PP_Grid[#Data],$DE326,26),0)</f>
        <v/>
      </c>
      <c r="AD326">
        <f>IFERROR(INDEX(PP_Grid[#Data],$DE326,27),0)</f>
        <v/>
      </c>
      <c r="AE326">
        <f>IFERROR(INDEX(PP_Grid[#Data],$DE326,28),0)</f>
        <v/>
      </c>
      <c r="AF326">
        <f>IFERROR(INDEX(PP_Grid[#Data],$DE326,29),0)</f>
        <v/>
      </c>
      <c r="AG326">
        <f>IFERROR(INDEX(PP_Grid[#Data],$DE326,30),0)</f>
        <v/>
      </c>
      <c r="AH326">
        <f>IFERROR(INDEX(PP_Grid[#Data],$DE326,31),0)</f>
        <v/>
      </c>
      <c r="AI326">
        <f>IFERROR(INDEX(PP_Grid[#Data],$DE326,32),0)</f>
        <v/>
      </c>
      <c r="AJ326">
        <f>IFERROR(INDEX(PP_Grid[#Data],$DE326,33),0)</f>
        <v/>
      </c>
      <c r="AK326">
        <f>IFERROR(INDEX(PP_Grid[#Data],$DE326,34),0)</f>
        <v/>
      </c>
      <c r="AL326">
        <f>IFERROR(INDEX(PP_Grid[#Data],$DE326,35),0)</f>
        <v/>
      </c>
      <c r="AM326">
        <f>IFERROR(INDEX(PP_Grid[#Data],$DE326,36),0)</f>
        <v/>
      </c>
      <c r="AN326">
        <f>IFERROR(INDEX(PP_Grid[#Data],$DE326,37),0)</f>
        <v/>
      </c>
      <c r="AO326">
        <f>IFERROR(INDEX(PP_Grid[#Data],$DE326,38),0)</f>
        <v/>
      </c>
      <c r="AP326">
        <f>IFERROR(INDEX(PP_Grid[#Data],$DE326,39),0)</f>
        <v/>
      </c>
      <c r="AQ326">
        <f>IFERROR(INDEX(PP_Grid[#Data],$DE326,40),0)</f>
        <v/>
      </c>
      <c r="AR326">
        <f>IFERROR(INDEX(PP_Grid[#Data],$DE326,41),0)</f>
        <v/>
      </c>
      <c r="AS326">
        <f>IFERROR(INDEX(PP_Grid[#Data],$DE326,42),0)</f>
        <v/>
      </c>
      <c r="AT326">
        <f>IFERROR(INDEX(PP_Grid[#Data],$DE326,43),0)</f>
        <v/>
      </c>
      <c r="AU326">
        <f>IFERROR(INDEX(PP_Grid[#Data],$DE326,44),0)</f>
        <v/>
      </c>
      <c r="AV326">
        <f>IFERROR(INDEX(PP_Grid[#Data],$DE326,45),0)</f>
        <v/>
      </c>
      <c r="AW326">
        <f>IFERROR(INDEX(PP_Grid[#Data],$DE326,46),0)</f>
        <v/>
      </c>
      <c r="AX326">
        <f>IFERROR(INDEX(PP_Grid[#Data],$DE326,47),0)</f>
        <v/>
      </c>
      <c r="AY326">
        <f>IFERROR(INDEX(PP_Grid[#Data],$DE326,48),0)</f>
        <v/>
      </c>
      <c r="AZ326">
        <f>IFERROR(INDEX(PP_Grid[#Data],$DE326,49),0)</f>
        <v/>
      </c>
      <c r="BA326">
        <f>IFERROR(INDEX(PP_Grid[#Data],$DE326,50),0)</f>
        <v/>
      </c>
      <c r="BB326">
        <f>IFERROR(INDEX(PP_Grid[#Data],$DE326,51),0)</f>
        <v/>
      </c>
      <c r="BC326">
        <f>IFERROR(INDEX(PP_Grid[#Data],$DE326,52),0)</f>
        <v/>
      </c>
      <c r="BD326">
        <f>IFERROR(INDEX(PP_Grid[#Data],$DE326,53),0)</f>
        <v/>
      </c>
      <c r="BE326">
        <f>IFERROR(INDEX(PP_Grid[#Data],$DE326,54),0)</f>
        <v/>
      </c>
      <c r="BF326">
        <f>IFERROR(INDEX(PP_Grid[#Data],$DE326,55),0)</f>
        <v/>
      </c>
      <c r="BG326">
        <f>IFERROR(INDEX(PP_Grid[#Data],$DE326,56),0)</f>
        <v/>
      </c>
      <c r="BH326">
        <f>IFERROR(INDEX(PP_Grid[#Data],$DE326,57),0)</f>
        <v/>
      </c>
      <c r="BI326">
        <f>IFERROR(INDEX(PP_Grid[#Data],$DE326,58),0)</f>
        <v/>
      </c>
      <c r="BJ326">
        <f>IFERROR(INDEX(PP_Grid[#Data],$DE326,59),0)</f>
        <v/>
      </c>
      <c r="BK326">
        <f>IFERROR(INDEX(PP_Grid[#Data],$DE326,60),0)</f>
        <v/>
      </c>
      <c r="BL326">
        <f>IFERROR(INDEX(PP_Grid[#Data],$DE326,61),0)</f>
        <v/>
      </c>
      <c r="BM326">
        <f>IFERROR(INDEX(PP_Grid[#Data],$DE326,62),0)</f>
        <v/>
      </c>
      <c r="BN326">
        <f>IFERROR(INDEX(PP_Grid[#Data],$DE326,63),0)</f>
        <v/>
      </c>
      <c r="BO326">
        <f>IFERROR(INDEX(PP_Grid[#Data],$DE326,64),0)</f>
        <v/>
      </c>
      <c r="BP326">
        <f>IFERROR(INDEX(PP_Grid[#Data],$DE326,65),0)</f>
        <v/>
      </c>
      <c r="BQ326">
        <f>IFERROR(INDEX(PP_Grid[#Data],$DE326,66),0)</f>
        <v/>
      </c>
      <c r="BR326">
        <f>IFERROR(INDEX(PP_Grid[#Data],$DE326,67),0)</f>
        <v/>
      </c>
      <c r="BS326">
        <f>IFERROR(INDEX(PP_Grid[#Data],$DE326,68),0)</f>
        <v/>
      </c>
      <c r="BT326">
        <f>IFERROR(INDEX(PP_Grid[#Data],$DE326,69),0)</f>
        <v/>
      </c>
      <c r="BU326">
        <f>IFERROR(INDEX(PP_Grid[#Data],$DE326,70),0)</f>
        <v/>
      </c>
      <c r="BV326">
        <f>IFERROR(INDEX(PP_Grid[#Data],$DE326,71),0)</f>
        <v/>
      </c>
      <c r="BW326">
        <f>IFERROR(INDEX(PP_Grid[#Data],$DE326,72),0)</f>
        <v/>
      </c>
      <c r="BX326">
        <f>IFERROR(INDEX(PP_Grid[#Data],$DE326,73),0)</f>
        <v/>
      </c>
      <c r="BY326">
        <f>IFERROR(INDEX(PP_Grid[#Data],$DE326,74),0)</f>
        <v/>
      </c>
      <c r="BZ326">
        <f>IFERROR(INDEX(PP_Grid[#Data],$DE326,75),0)</f>
        <v/>
      </c>
      <c r="CA326">
        <f>IFERROR(INDEX(PP_Grid[#Data],$DE326,76),0)</f>
        <v/>
      </c>
      <c r="CB326">
        <f>IFERROR(INDEX(PP_Grid[#Data],$DE326,77),0)</f>
        <v/>
      </c>
      <c r="CC326">
        <f>IFERROR(INDEX(PP_Grid[#Data],$DE326,78),0)</f>
        <v/>
      </c>
      <c r="CD326">
        <f>IFERROR(INDEX(PP_Grid[#Data],$DE326,79),0)</f>
        <v/>
      </c>
      <c r="CE326">
        <f>IFERROR(INDEX(PP_Grid[#Data],$DE326,80),0)</f>
        <v/>
      </c>
      <c r="CF326">
        <f>IFERROR(INDEX(PP_Grid[#Data],$DE326,81),0)</f>
        <v/>
      </c>
      <c r="CG326">
        <f>IFERROR(INDEX(PP_Grid[#Data],$DE326,82),0)</f>
        <v/>
      </c>
      <c r="CH326">
        <f>IFERROR(INDEX(PP_Grid[#Data],$DE326,83),0)</f>
        <v/>
      </c>
      <c r="CI326">
        <f>IFERROR(INDEX(PP_Grid[#Data],$DE326,84),0)</f>
        <v/>
      </c>
      <c r="CJ326">
        <f>IFERROR(INDEX(PP_Grid[#Data],$DE326,85),0)</f>
        <v/>
      </c>
      <c r="CK326">
        <f>IFERROR(INDEX(PP_Grid[#Data],$DE326,86),0)</f>
        <v/>
      </c>
      <c r="CL326">
        <f>IFERROR(INDEX(PP_Grid[#Data],$DE326,87),0)</f>
        <v/>
      </c>
      <c r="CM326">
        <f>IFERROR(INDEX(PP_Grid[#Data],$DE326,88),0)</f>
        <v/>
      </c>
      <c r="CN326">
        <f>IFERROR(INDEX(PP_Grid[#Data],$DE326,89),0)</f>
        <v/>
      </c>
      <c r="CO326">
        <f>IFERROR(INDEX(PP_Grid[#Data],$DE326,90),0)</f>
        <v/>
      </c>
      <c r="CP326">
        <f>IFERROR(INDEX(PP_Grid[#Data],$DE326,91),0)</f>
        <v/>
      </c>
      <c r="CQ326">
        <f>IFERROR(INDEX(PP_Grid[#Data],$DE326,92),0)</f>
        <v/>
      </c>
      <c r="CR326">
        <f>IFERROR(INDEX(PP_Grid[#Data],$DE326,93),0)</f>
        <v/>
      </c>
      <c r="CS326">
        <f>IFERROR(INDEX(PP_Grid[#Data],$DE326,94),0)</f>
        <v/>
      </c>
      <c r="CT326">
        <f>IFERROR(INDEX(PP_Grid[#Data],$DE326,95),0)</f>
        <v/>
      </c>
      <c r="CU326">
        <f>IFERROR(INDEX(PP_Grid[#Data],$DE326,96),0)</f>
        <v/>
      </c>
      <c r="CV326">
        <f>IFERROR(INDEX(PP_Grid[#Data],$DE326,97),0)</f>
        <v/>
      </c>
      <c r="CW326">
        <f>IFERROR(INDEX(PP_Grid[#Data],$DE326,98),0)</f>
        <v/>
      </c>
      <c r="CX326">
        <f>IFERROR(INDEX(PP_Grid[#Data],$DE326,99),0)</f>
        <v/>
      </c>
      <c r="CY326">
        <f>IFERROR(INDEX(PP_Grid[#Data],$DE326,100),0)</f>
        <v/>
      </c>
      <c r="CZ326">
        <f>IFERROR(INDEX(PP_Grid[#Data],$DE326,101),0)</f>
        <v/>
      </c>
      <c r="DA326">
        <f>IFERROR(INDEX(PP_Grid[#Data],$DE326,102),0)</f>
        <v/>
      </c>
      <c r="DB326">
        <f>IFERROR(INDEX(PP_Grid[#Data],$DE326,103),0)</f>
        <v/>
      </c>
      <c r="DC326">
        <f>IFERROR(INDEX(PP_Grid[#Data],$DE326,104),0)</f>
        <v/>
      </c>
      <c r="DD326">
        <f>IFERROR(INDEX(PP_Grid[#Data],$DE326,105),0)</f>
        <v/>
      </c>
      <c r="DE326" s="7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SUMIFS(M_BOM[RM_Qty_Per_Batch],M_BOM[Intermediate],$B326,M_BOM[RM_Code],$A325)</f>
        <v/>
      </c>
      <c r="D327">
        <f>IFERROR(INDEX(E327:DD327,$F$1),"")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  <c r="DD327">
        <f>$C327*DD326</f>
        <v/>
      </c>
    </row>
    <row r="328">
      <c r="B328" t="inlineStr">
        <is>
          <t>TSP-050</t>
        </is>
      </c>
      <c r="C328" t="inlineStr">
        <is>
          <t>No. of batches</t>
        </is>
      </c>
      <c r="D328">
        <f>IFERROR(INDEX(E328:DD328,$F$1),"")</f>
        <v/>
      </c>
      <c r="E328">
        <f>IFERROR(INDEX(PP_Grid[#Data],$DE328,2),0)</f>
        <v/>
      </c>
      <c r="F328">
        <f>IFERROR(INDEX(PP_Grid[#Data],$DE328,3),0)</f>
        <v/>
      </c>
      <c r="G328">
        <f>IFERROR(INDEX(PP_Grid[#Data],$DE328,4),0)</f>
        <v/>
      </c>
      <c r="H328">
        <f>IFERROR(INDEX(PP_Grid[#Data],$DE328,5),0)</f>
        <v/>
      </c>
      <c r="I328">
        <f>IFERROR(INDEX(PP_Grid[#Data],$DE328,6),0)</f>
        <v/>
      </c>
      <c r="J328">
        <f>IFERROR(INDEX(PP_Grid[#Data],$DE328,7),0)</f>
        <v/>
      </c>
      <c r="K328">
        <f>IFERROR(INDEX(PP_Grid[#Data],$DE328,8),0)</f>
        <v/>
      </c>
      <c r="L328">
        <f>IFERROR(INDEX(PP_Grid[#Data],$DE328,9),0)</f>
        <v/>
      </c>
      <c r="M328">
        <f>IFERROR(INDEX(PP_Grid[#Data],$DE328,10),0)</f>
        <v/>
      </c>
      <c r="N328">
        <f>IFERROR(INDEX(PP_Grid[#Data],$DE328,11),0)</f>
        <v/>
      </c>
      <c r="O328">
        <f>IFERROR(INDEX(PP_Grid[#Data],$DE328,12),0)</f>
        <v/>
      </c>
      <c r="P328">
        <f>IFERROR(INDEX(PP_Grid[#Data],$DE328,13),0)</f>
        <v/>
      </c>
      <c r="Q328">
        <f>IFERROR(INDEX(PP_Grid[#Data],$DE328,14),0)</f>
        <v/>
      </c>
      <c r="R328">
        <f>IFERROR(INDEX(PP_Grid[#Data],$DE328,15),0)</f>
        <v/>
      </c>
      <c r="S328">
        <f>IFERROR(INDEX(PP_Grid[#Data],$DE328,16),0)</f>
        <v/>
      </c>
      <c r="T328">
        <f>IFERROR(INDEX(PP_Grid[#Data],$DE328,17),0)</f>
        <v/>
      </c>
      <c r="U328">
        <f>IFERROR(INDEX(PP_Grid[#Data],$DE328,18),0)</f>
        <v/>
      </c>
      <c r="V328">
        <f>IFERROR(INDEX(PP_Grid[#Data],$DE328,19),0)</f>
        <v/>
      </c>
      <c r="W328">
        <f>IFERROR(INDEX(PP_Grid[#Data],$DE328,20),0)</f>
        <v/>
      </c>
      <c r="X328">
        <f>IFERROR(INDEX(PP_Grid[#Data],$DE328,21),0)</f>
        <v/>
      </c>
      <c r="Y328">
        <f>IFERROR(INDEX(PP_Grid[#Data],$DE328,22),0)</f>
        <v/>
      </c>
      <c r="Z328">
        <f>IFERROR(INDEX(PP_Grid[#Data],$DE328,23),0)</f>
        <v/>
      </c>
      <c r="AA328">
        <f>IFERROR(INDEX(PP_Grid[#Data],$DE328,24),0)</f>
        <v/>
      </c>
      <c r="AB328">
        <f>IFERROR(INDEX(PP_Grid[#Data],$DE328,25),0)</f>
        <v/>
      </c>
      <c r="AC328">
        <f>IFERROR(INDEX(PP_Grid[#Data],$DE328,26),0)</f>
        <v/>
      </c>
      <c r="AD328">
        <f>IFERROR(INDEX(PP_Grid[#Data],$DE328,27),0)</f>
        <v/>
      </c>
      <c r="AE328">
        <f>IFERROR(INDEX(PP_Grid[#Data],$DE328,28),0)</f>
        <v/>
      </c>
      <c r="AF328">
        <f>IFERROR(INDEX(PP_Grid[#Data],$DE328,29),0)</f>
        <v/>
      </c>
      <c r="AG328">
        <f>IFERROR(INDEX(PP_Grid[#Data],$DE328,30),0)</f>
        <v/>
      </c>
      <c r="AH328">
        <f>IFERROR(INDEX(PP_Grid[#Data],$DE328,31),0)</f>
        <v/>
      </c>
      <c r="AI328">
        <f>IFERROR(INDEX(PP_Grid[#Data],$DE328,32),0)</f>
        <v/>
      </c>
      <c r="AJ328">
        <f>IFERROR(INDEX(PP_Grid[#Data],$DE328,33),0)</f>
        <v/>
      </c>
      <c r="AK328">
        <f>IFERROR(INDEX(PP_Grid[#Data],$DE328,34),0)</f>
        <v/>
      </c>
      <c r="AL328">
        <f>IFERROR(INDEX(PP_Grid[#Data],$DE328,35),0)</f>
        <v/>
      </c>
      <c r="AM328">
        <f>IFERROR(INDEX(PP_Grid[#Data],$DE328,36),0)</f>
        <v/>
      </c>
      <c r="AN328">
        <f>IFERROR(INDEX(PP_Grid[#Data],$DE328,37),0)</f>
        <v/>
      </c>
      <c r="AO328">
        <f>IFERROR(INDEX(PP_Grid[#Data],$DE328,38),0)</f>
        <v/>
      </c>
      <c r="AP328">
        <f>IFERROR(INDEX(PP_Grid[#Data],$DE328,39),0)</f>
        <v/>
      </c>
      <c r="AQ328">
        <f>IFERROR(INDEX(PP_Grid[#Data],$DE328,40),0)</f>
        <v/>
      </c>
      <c r="AR328">
        <f>IFERROR(INDEX(PP_Grid[#Data],$DE328,41),0)</f>
        <v/>
      </c>
      <c r="AS328">
        <f>IFERROR(INDEX(PP_Grid[#Data],$DE328,42),0)</f>
        <v/>
      </c>
      <c r="AT328">
        <f>IFERROR(INDEX(PP_Grid[#Data],$DE328,43),0)</f>
        <v/>
      </c>
      <c r="AU328">
        <f>IFERROR(INDEX(PP_Grid[#Data],$DE328,44),0)</f>
        <v/>
      </c>
      <c r="AV328">
        <f>IFERROR(INDEX(PP_Grid[#Data],$DE328,45),0)</f>
        <v/>
      </c>
      <c r="AW328">
        <f>IFERROR(INDEX(PP_Grid[#Data],$DE328,46),0)</f>
        <v/>
      </c>
      <c r="AX328">
        <f>IFERROR(INDEX(PP_Grid[#Data],$DE328,47),0)</f>
        <v/>
      </c>
      <c r="AY328">
        <f>IFERROR(INDEX(PP_Grid[#Data],$DE328,48),0)</f>
        <v/>
      </c>
      <c r="AZ328">
        <f>IFERROR(INDEX(PP_Grid[#Data],$DE328,49),0)</f>
        <v/>
      </c>
      <c r="BA328">
        <f>IFERROR(INDEX(PP_Grid[#Data],$DE328,50),0)</f>
        <v/>
      </c>
      <c r="BB328">
        <f>IFERROR(INDEX(PP_Grid[#Data],$DE328,51),0)</f>
        <v/>
      </c>
      <c r="BC328">
        <f>IFERROR(INDEX(PP_Grid[#Data],$DE328,52),0)</f>
        <v/>
      </c>
      <c r="BD328">
        <f>IFERROR(INDEX(PP_Grid[#Data],$DE328,53),0)</f>
        <v/>
      </c>
      <c r="BE328">
        <f>IFERROR(INDEX(PP_Grid[#Data],$DE328,54),0)</f>
        <v/>
      </c>
      <c r="BF328">
        <f>IFERROR(INDEX(PP_Grid[#Data],$DE328,55),0)</f>
        <v/>
      </c>
      <c r="BG328">
        <f>IFERROR(INDEX(PP_Grid[#Data],$DE328,56),0)</f>
        <v/>
      </c>
      <c r="BH328">
        <f>IFERROR(INDEX(PP_Grid[#Data],$DE328,57),0)</f>
        <v/>
      </c>
      <c r="BI328">
        <f>IFERROR(INDEX(PP_Grid[#Data],$DE328,58),0)</f>
        <v/>
      </c>
      <c r="BJ328">
        <f>IFERROR(INDEX(PP_Grid[#Data],$DE328,59),0)</f>
        <v/>
      </c>
      <c r="BK328">
        <f>IFERROR(INDEX(PP_Grid[#Data],$DE328,60),0)</f>
        <v/>
      </c>
      <c r="BL328">
        <f>IFERROR(INDEX(PP_Grid[#Data],$DE328,61),0)</f>
        <v/>
      </c>
      <c r="BM328">
        <f>IFERROR(INDEX(PP_Grid[#Data],$DE328,62),0)</f>
        <v/>
      </c>
      <c r="BN328">
        <f>IFERROR(INDEX(PP_Grid[#Data],$DE328,63),0)</f>
        <v/>
      </c>
      <c r="BO328">
        <f>IFERROR(INDEX(PP_Grid[#Data],$DE328,64),0)</f>
        <v/>
      </c>
      <c r="BP328">
        <f>IFERROR(INDEX(PP_Grid[#Data],$DE328,65),0)</f>
        <v/>
      </c>
      <c r="BQ328">
        <f>IFERROR(INDEX(PP_Grid[#Data],$DE328,66),0)</f>
        <v/>
      </c>
      <c r="BR328">
        <f>IFERROR(INDEX(PP_Grid[#Data],$DE328,67),0)</f>
        <v/>
      </c>
      <c r="BS328">
        <f>IFERROR(INDEX(PP_Grid[#Data],$DE328,68),0)</f>
        <v/>
      </c>
      <c r="BT328">
        <f>IFERROR(INDEX(PP_Grid[#Data],$DE328,69),0)</f>
        <v/>
      </c>
      <c r="BU328">
        <f>IFERROR(INDEX(PP_Grid[#Data],$DE328,70),0)</f>
        <v/>
      </c>
      <c r="BV328">
        <f>IFERROR(INDEX(PP_Grid[#Data],$DE328,71),0)</f>
        <v/>
      </c>
      <c r="BW328">
        <f>IFERROR(INDEX(PP_Grid[#Data],$DE328,72),0)</f>
        <v/>
      </c>
      <c r="BX328">
        <f>IFERROR(INDEX(PP_Grid[#Data],$DE328,73),0)</f>
        <v/>
      </c>
      <c r="BY328">
        <f>IFERROR(INDEX(PP_Grid[#Data],$DE328,74),0)</f>
        <v/>
      </c>
      <c r="BZ328">
        <f>IFERROR(INDEX(PP_Grid[#Data],$DE328,75),0)</f>
        <v/>
      </c>
      <c r="CA328">
        <f>IFERROR(INDEX(PP_Grid[#Data],$DE328,76),0)</f>
        <v/>
      </c>
      <c r="CB328">
        <f>IFERROR(INDEX(PP_Grid[#Data],$DE328,77),0)</f>
        <v/>
      </c>
      <c r="CC328">
        <f>IFERROR(INDEX(PP_Grid[#Data],$DE328,78),0)</f>
        <v/>
      </c>
      <c r="CD328">
        <f>IFERROR(INDEX(PP_Grid[#Data],$DE328,79),0)</f>
        <v/>
      </c>
      <c r="CE328">
        <f>IFERROR(INDEX(PP_Grid[#Data],$DE328,80),0)</f>
        <v/>
      </c>
      <c r="CF328">
        <f>IFERROR(INDEX(PP_Grid[#Data],$DE328,81),0)</f>
        <v/>
      </c>
      <c r="CG328">
        <f>IFERROR(INDEX(PP_Grid[#Data],$DE328,82),0)</f>
        <v/>
      </c>
      <c r="CH328">
        <f>IFERROR(INDEX(PP_Grid[#Data],$DE328,83),0)</f>
        <v/>
      </c>
      <c r="CI328">
        <f>IFERROR(INDEX(PP_Grid[#Data],$DE328,84),0)</f>
        <v/>
      </c>
      <c r="CJ328">
        <f>IFERROR(INDEX(PP_Grid[#Data],$DE328,85),0)</f>
        <v/>
      </c>
      <c r="CK328">
        <f>IFERROR(INDEX(PP_Grid[#Data],$DE328,86),0)</f>
        <v/>
      </c>
      <c r="CL328">
        <f>IFERROR(INDEX(PP_Grid[#Data],$DE328,87),0)</f>
        <v/>
      </c>
      <c r="CM328">
        <f>IFERROR(INDEX(PP_Grid[#Data],$DE328,88),0)</f>
        <v/>
      </c>
      <c r="CN328">
        <f>IFERROR(INDEX(PP_Grid[#Data],$DE328,89),0)</f>
        <v/>
      </c>
      <c r="CO328">
        <f>IFERROR(INDEX(PP_Grid[#Data],$DE328,90),0)</f>
        <v/>
      </c>
      <c r="CP328">
        <f>IFERROR(INDEX(PP_Grid[#Data],$DE328,91),0)</f>
        <v/>
      </c>
      <c r="CQ328">
        <f>IFERROR(INDEX(PP_Grid[#Data],$DE328,92),0)</f>
        <v/>
      </c>
      <c r="CR328">
        <f>IFERROR(INDEX(PP_Grid[#Data],$DE328,93),0)</f>
        <v/>
      </c>
      <c r="CS328">
        <f>IFERROR(INDEX(PP_Grid[#Data],$DE328,94),0)</f>
        <v/>
      </c>
      <c r="CT328">
        <f>IFERROR(INDEX(PP_Grid[#Data],$DE328,95),0)</f>
        <v/>
      </c>
      <c r="CU328">
        <f>IFERROR(INDEX(PP_Grid[#Data],$DE328,96),0)</f>
        <v/>
      </c>
      <c r="CV328">
        <f>IFERROR(INDEX(PP_Grid[#Data],$DE328,97),0)</f>
        <v/>
      </c>
      <c r="CW328">
        <f>IFERROR(INDEX(PP_Grid[#Data],$DE328,98),0)</f>
        <v/>
      </c>
      <c r="CX328">
        <f>IFERROR(INDEX(PP_Grid[#Data],$DE328,99),0)</f>
        <v/>
      </c>
      <c r="CY328">
        <f>IFERROR(INDEX(PP_Grid[#Data],$DE328,100),0)</f>
        <v/>
      </c>
      <c r="CZ328">
        <f>IFERROR(INDEX(PP_Grid[#Data],$DE328,101),0)</f>
        <v/>
      </c>
      <c r="DA328">
        <f>IFERROR(INDEX(PP_Grid[#Data],$DE328,102),0)</f>
        <v/>
      </c>
      <c r="DB328">
        <f>IFERROR(INDEX(PP_Grid[#Data],$DE328,103),0)</f>
        <v/>
      </c>
      <c r="DC328">
        <f>IFERROR(INDEX(PP_Grid[#Data],$DE328,104),0)</f>
        <v/>
      </c>
      <c r="DD328">
        <f>IFERROR(INDEX(PP_Grid[#Data],$DE328,105),0)</f>
        <v/>
      </c>
      <c r="DE328" s="7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SUMIFS(M_BOM[RM_Qty_Per_Batch],M_BOM[Intermediate],$B328,M_BOM[RM_Code],$A325)</f>
        <v/>
      </c>
      <c r="D329">
        <f>IFERROR(INDEX(E329:DD329,$F$1),"")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  <c r="DD329">
        <f>$C329*DD328</f>
        <v/>
      </c>
    </row>
    <row r="330">
      <c r="B330" t="inlineStr">
        <is>
          <t>TSP-067</t>
        </is>
      </c>
      <c r="C330" t="inlineStr">
        <is>
          <t>No. of batches</t>
        </is>
      </c>
      <c r="D330">
        <f>IFERROR(INDEX(E330:DD330,$F$1),"")</f>
        <v/>
      </c>
      <c r="E330">
        <f>IFERROR(INDEX(PP_Grid[#Data],$DE330,2),0)</f>
        <v/>
      </c>
      <c r="F330">
        <f>IFERROR(INDEX(PP_Grid[#Data],$DE330,3),0)</f>
        <v/>
      </c>
      <c r="G330">
        <f>IFERROR(INDEX(PP_Grid[#Data],$DE330,4),0)</f>
        <v/>
      </c>
      <c r="H330">
        <f>IFERROR(INDEX(PP_Grid[#Data],$DE330,5),0)</f>
        <v/>
      </c>
      <c r="I330">
        <f>IFERROR(INDEX(PP_Grid[#Data],$DE330,6),0)</f>
        <v/>
      </c>
      <c r="J330">
        <f>IFERROR(INDEX(PP_Grid[#Data],$DE330,7),0)</f>
        <v/>
      </c>
      <c r="K330">
        <f>IFERROR(INDEX(PP_Grid[#Data],$DE330,8),0)</f>
        <v/>
      </c>
      <c r="L330">
        <f>IFERROR(INDEX(PP_Grid[#Data],$DE330,9),0)</f>
        <v/>
      </c>
      <c r="M330">
        <f>IFERROR(INDEX(PP_Grid[#Data],$DE330,10),0)</f>
        <v/>
      </c>
      <c r="N330">
        <f>IFERROR(INDEX(PP_Grid[#Data],$DE330,11),0)</f>
        <v/>
      </c>
      <c r="O330">
        <f>IFERROR(INDEX(PP_Grid[#Data],$DE330,12),0)</f>
        <v/>
      </c>
      <c r="P330">
        <f>IFERROR(INDEX(PP_Grid[#Data],$DE330,13),0)</f>
        <v/>
      </c>
      <c r="Q330">
        <f>IFERROR(INDEX(PP_Grid[#Data],$DE330,14),0)</f>
        <v/>
      </c>
      <c r="R330">
        <f>IFERROR(INDEX(PP_Grid[#Data],$DE330,15),0)</f>
        <v/>
      </c>
      <c r="S330">
        <f>IFERROR(INDEX(PP_Grid[#Data],$DE330,16),0)</f>
        <v/>
      </c>
      <c r="T330">
        <f>IFERROR(INDEX(PP_Grid[#Data],$DE330,17),0)</f>
        <v/>
      </c>
      <c r="U330">
        <f>IFERROR(INDEX(PP_Grid[#Data],$DE330,18),0)</f>
        <v/>
      </c>
      <c r="V330">
        <f>IFERROR(INDEX(PP_Grid[#Data],$DE330,19),0)</f>
        <v/>
      </c>
      <c r="W330">
        <f>IFERROR(INDEX(PP_Grid[#Data],$DE330,20),0)</f>
        <v/>
      </c>
      <c r="X330">
        <f>IFERROR(INDEX(PP_Grid[#Data],$DE330,21),0)</f>
        <v/>
      </c>
      <c r="Y330">
        <f>IFERROR(INDEX(PP_Grid[#Data],$DE330,22),0)</f>
        <v/>
      </c>
      <c r="Z330">
        <f>IFERROR(INDEX(PP_Grid[#Data],$DE330,23),0)</f>
        <v/>
      </c>
      <c r="AA330">
        <f>IFERROR(INDEX(PP_Grid[#Data],$DE330,24),0)</f>
        <v/>
      </c>
      <c r="AB330">
        <f>IFERROR(INDEX(PP_Grid[#Data],$DE330,25),0)</f>
        <v/>
      </c>
      <c r="AC330">
        <f>IFERROR(INDEX(PP_Grid[#Data],$DE330,26),0)</f>
        <v/>
      </c>
      <c r="AD330">
        <f>IFERROR(INDEX(PP_Grid[#Data],$DE330,27),0)</f>
        <v/>
      </c>
      <c r="AE330">
        <f>IFERROR(INDEX(PP_Grid[#Data],$DE330,28),0)</f>
        <v/>
      </c>
      <c r="AF330">
        <f>IFERROR(INDEX(PP_Grid[#Data],$DE330,29),0)</f>
        <v/>
      </c>
      <c r="AG330">
        <f>IFERROR(INDEX(PP_Grid[#Data],$DE330,30),0)</f>
        <v/>
      </c>
      <c r="AH330">
        <f>IFERROR(INDEX(PP_Grid[#Data],$DE330,31),0)</f>
        <v/>
      </c>
      <c r="AI330">
        <f>IFERROR(INDEX(PP_Grid[#Data],$DE330,32),0)</f>
        <v/>
      </c>
      <c r="AJ330">
        <f>IFERROR(INDEX(PP_Grid[#Data],$DE330,33),0)</f>
        <v/>
      </c>
      <c r="AK330">
        <f>IFERROR(INDEX(PP_Grid[#Data],$DE330,34),0)</f>
        <v/>
      </c>
      <c r="AL330">
        <f>IFERROR(INDEX(PP_Grid[#Data],$DE330,35),0)</f>
        <v/>
      </c>
      <c r="AM330">
        <f>IFERROR(INDEX(PP_Grid[#Data],$DE330,36),0)</f>
        <v/>
      </c>
      <c r="AN330">
        <f>IFERROR(INDEX(PP_Grid[#Data],$DE330,37),0)</f>
        <v/>
      </c>
      <c r="AO330">
        <f>IFERROR(INDEX(PP_Grid[#Data],$DE330,38),0)</f>
        <v/>
      </c>
      <c r="AP330">
        <f>IFERROR(INDEX(PP_Grid[#Data],$DE330,39),0)</f>
        <v/>
      </c>
      <c r="AQ330">
        <f>IFERROR(INDEX(PP_Grid[#Data],$DE330,40),0)</f>
        <v/>
      </c>
      <c r="AR330">
        <f>IFERROR(INDEX(PP_Grid[#Data],$DE330,41),0)</f>
        <v/>
      </c>
      <c r="AS330">
        <f>IFERROR(INDEX(PP_Grid[#Data],$DE330,42),0)</f>
        <v/>
      </c>
      <c r="AT330">
        <f>IFERROR(INDEX(PP_Grid[#Data],$DE330,43),0)</f>
        <v/>
      </c>
      <c r="AU330">
        <f>IFERROR(INDEX(PP_Grid[#Data],$DE330,44),0)</f>
        <v/>
      </c>
      <c r="AV330">
        <f>IFERROR(INDEX(PP_Grid[#Data],$DE330,45),0)</f>
        <v/>
      </c>
      <c r="AW330">
        <f>IFERROR(INDEX(PP_Grid[#Data],$DE330,46),0)</f>
        <v/>
      </c>
      <c r="AX330">
        <f>IFERROR(INDEX(PP_Grid[#Data],$DE330,47),0)</f>
        <v/>
      </c>
      <c r="AY330">
        <f>IFERROR(INDEX(PP_Grid[#Data],$DE330,48),0)</f>
        <v/>
      </c>
      <c r="AZ330">
        <f>IFERROR(INDEX(PP_Grid[#Data],$DE330,49),0)</f>
        <v/>
      </c>
      <c r="BA330">
        <f>IFERROR(INDEX(PP_Grid[#Data],$DE330,50),0)</f>
        <v/>
      </c>
      <c r="BB330">
        <f>IFERROR(INDEX(PP_Grid[#Data],$DE330,51),0)</f>
        <v/>
      </c>
      <c r="BC330">
        <f>IFERROR(INDEX(PP_Grid[#Data],$DE330,52),0)</f>
        <v/>
      </c>
      <c r="BD330">
        <f>IFERROR(INDEX(PP_Grid[#Data],$DE330,53),0)</f>
        <v/>
      </c>
      <c r="BE330">
        <f>IFERROR(INDEX(PP_Grid[#Data],$DE330,54),0)</f>
        <v/>
      </c>
      <c r="BF330">
        <f>IFERROR(INDEX(PP_Grid[#Data],$DE330,55),0)</f>
        <v/>
      </c>
      <c r="BG330">
        <f>IFERROR(INDEX(PP_Grid[#Data],$DE330,56),0)</f>
        <v/>
      </c>
      <c r="BH330">
        <f>IFERROR(INDEX(PP_Grid[#Data],$DE330,57),0)</f>
        <v/>
      </c>
      <c r="BI330">
        <f>IFERROR(INDEX(PP_Grid[#Data],$DE330,58),0)</f>
        <v/>
      </c>
      <c r="BJ330">
        <f>IFERROR(INDEX(PP_Grid[#Data],$DE330,59),0)</f>
        <v/>
      </c>
      <c r="BK330">
        <f>IFERROR(INDEX(PP_Grid[#Data],$DE330,60),0)</f>
        <v/>
      </c>
      <c r="BL330">
        <f>IFERROR(INDEX(PP_Grid[#Data],$DE330,61),0)</f>
        <v/>
      </c>
      <c r="BM330">
        <f>IFERROR(INDEX(PP_Grid[#Data],$DE330,62),0)</f>
        <v/>
      </c>
      <c r="BN330">
        <f>IFERROR(INDEX(PP_Grid[#Data],$DE330,63),0)</f>
        <v/>
      </c>
      <c r="BO330">
        <f>IFERROR(INDEX(PP_Grid[#Data],$DE330,64),0)</f>
        <v/>
      </c>
      <c r="BP330">
        <f>IFERROR(INDEX(PP_Grid[#Data],$DE330,65),0)</f>
        <v/>
      </c>
      <c r="BQ330">
        <f>IFERROR(INDEX(PP_Grid[#Data],$DE330,66),0)</f>
        <v/>
      </c>
      <c r="BR330">
        <f>IFERROR(INDEX(PP_Grid[#Data],$DE330,67),0)</f>
        <v/>
      </c>
      <c r="BS330">
        <f>IFERROR(INDEX(PP_Grid[#Data],$DE330,68),0)</f>
        <v/>
      </c>
      <c r="BT330">
        <f>IFERROR(INDEX(PP_Grid[#Data],$DE330,69),0)</f>
        <v/>
      </c>
      <c r="BU330">
        <f>IFERROR(INDEX(PP_Grid[#Data],$DE330,70),0)</f>
        <v/>
      </c>
      <c r="BV330">
        <f>IFERROR(INDEX(PP_Grid[#Data],$DE330,71),0)</f>
        <v/>
      </c>
      <c r="BW330">
        <f>IFERROR(INDEX(PP_Grid[#Data],$DE330,72),0)</f>
        <v/>
      </c>
      <c r="BX330">
        <f>IFERROR(INDEX(PP_Grid[#Data],$DE330,73),0)</f>
        <v/>
      </c>
      <c r="BY330">
        <f>IFERROR(INDEX(PP_Grid[#Data],$DE330,74),0)</f>
        <v/>
      </c>
      <c r="BZ330">
        <f>IFERROR(INDEX(PP_Grid[#Data],$DE330,75),0)</f>
        <v/>
      </c>
      <c r="CA330">
        <f>IFERROR(INDEX(PP_Grid[#Data],$DE330,76),0)</f>
        <v/>
      </c>
      <c r="CB330">
        <f>IFERROR(INDEX(PP_Grid[#Data],$DE330,77),0)</f>
        <v/>
      </c>
      <c r="CC330">
        <f>IFERROR(INDEX(PP_Grid[#Data],$DE330,78),0)</f>
        <v/>
      </c>
      <c r="CD330">
        <f>IFERROR(INDEX(PP_Grid[#Data],$DE330,79),0)</f>
        <v/>
      </c>
      <c r="CE330">
        <f>IFERROR(INDEX(PP_Grid[#Data],$DE330,80),0)</f>
        <v/>
      </c>
      <c r="CF330">
        <f>IFERROR(INDEX(PP_Grid[#Data],$DE330,81),0)</f>
        <v/>
      </c>
      <c r="CG330">
        <f>IFERROR(INDEX(PP_Grid[#Data],$DE330,82),0)</f>
        <v/>
      </c>
      <c r="CH330">
        <f>IFERROR(INDEX(PP_Grid[#Data],$DE330,83),0)</f>
        <v/>
      </c>
      <c r="CI330">
        <f>IFERROR(INDEX(PP_Grid[#Data],$DE330,84),0)</f>
        <v/>
      </c>
      <c r="CJ330">
        <f>IFERROR(INDEX(PP_Grid[#Data],$DE330,85),0)</f>
        <v/>
      </c>
      <c r="CK330">
        <f>IFERROR(INDEX(PP_Grid[#Data],$DE330,86),0)</f>
        <v/>
      </c>
      <c r="CL330">
        <f>IFERROR(INDEX(PP_Grid[#Data],$DE330,87),0)</f>
        <v/>
      </c>
      <c r="CM330">
        <f>IFERROR(INDEX(PP_Grid[#Data],$DE330,88),0)</f>
        <v/>
      </c>
      <c r="CN330">
        <f>IFERROR(INDEX(PP_Grid[#Data],$DE330,89),0)</f>
        <v/>
      </c>
      <c r="CO330">
        <f>IFERROR(INDEX(PP_Grid[#Data],$DE330,90),0)</f>
        <v/>
      </c>
      <c r="CP330">
        <f>IFERROR(INDEX(PP_Grid[#Data],$DE330,91),0)</f>
        <v/>
      </c>
      <c r="CQ330">
        <f>IFERROR(INDEX(PP_Grid[#Data],$DE330,92),0)</f>
        <v/>
      </c>
      <c r="CR330">
        <f>IFERROR(INDEX(PP_Grid[#Data],$DE330,93),0)</f>
        <v/>
      </c>
      <c r="CS330">
        <f>IFERROR(INDEX(PP_Grid[#Data],$DE330,94),0)</f>
        <v/>
      </c>
      <c r="CT330">
        <f>IFERROR(INDEX(PP_Grid[#Data],$DE330,95),0)</f>
        <v/>
      </c>
      <c r="CU330">
        <f>IFERROR(INDEX(PP_Grid[#Data],$DE330,96),0)</f>
        <v/>
      </c>
      <c r="CV330">
        <f>IFERROR(INDEX(PP_Grid[#Data],$DE330,97),0)</f>
        <v/>
      </c>
      <c r="CW330">
        <f>IFERROR(INDEX(PP_Grid[#Data],$DE330,98),0)</f>
        <v/>
      </c>
      <c r="CX330">
        <f>IFERROR(INDEX(PP_Grid[#Data],$DE330,99),0)</f>
        <v/>
      </c>
      <c r="CY330">
        <f>IFERROR(INDEX(PP_Grid[#Data],$DE330,100),0)</f>
        <v/>
      </c>
      <c r="CZ330">
        <f>IFERROR(INDEX(PP_Grid[#Data],$DE330,101),0)</f>
        <v/>
      </c>
      <c r="DA330">
        <f>IFERROR(INDEX(PP_Grid[#Data],$DE330,102),0)</f>
        <v/>
      </c>
      <c r="DB330">
        <f>IFERROR(INDEX(PP_Grid[#Data],$DE330,103),0)</f>
        <v/>
      </c>
      <c r="DC330">
        <f>IFERROR(INDEX(PP_Grid[#Data],$DE330,104),0)</f>
        <v/>
      </c>
      <c r="DD330">
        <f>IFERROR(INDEX(PP_Grid[#Data],$DE330,105),0)</f>
        <v/>
      </c>
      <c r="DE330" s="7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SUMIFS(M_BOM[RM_Qty_Per_Batch],M_BOM[Intermediate],$B330,M_BOM[RM_Code],$A325)</f>
        <v/>
      </c>
      <c r="D331">
        <f>IFERROR(INDEX(E331:DD331,$F$1),"")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  <c r="DD331">
        <f>$C331*DD330</f>
        <v/>
      </c>
    </row>
    <row r="332">
      <c r="B332" t="inlineStr">
        <is>
          <t>TSP-069</t>
        </is>
      </c>
      <c r="C332" t="inlineStr">
        <is>
          <t>No. of batches</t>
        </is>
      </c>
      <c r="D332">
        <f>IFERROR(INDEX(E332:DD332,$F$1),"")</f>
        <v/>
      </c>
      <c r="E332">
        <f>IFERROR(INDEX(PP_Grid[#Data],$DE332,2),0)</f>
        <v/>
      </c>
      <c r="F332">
        <f>IFERROR(INDEX(PP_Grid[#Data],$DE332,3),0)</f>
        <v/>
      </c>
      <c r="G332">
        <f>IFERROR(INDEX(PP_Grid[#Data],$DE332,4),0)</f>
        <v/>
      </c>
      <c r="H332">
        <f>IFERROR(INDEX(PP_Grid[#Data],$DE332,5),0)</f>
        <v/>
      </c>
      <c r="I332">
        <f>IFERROR(INDEX(PP_Grid[#Data],$DE332,6),0)</f>
        <v/>
      </c>
      <c r="J332">
        <f>IFERROR(INDEX(PP_Grid[#Data],$DE332,7),0)</f>
        <v/>
      </c>
      <c r="K332">
        <f>IFERROR(INDEX(PP_Grid[#Data],$DE332,8),0)</f>
        <v/>
      </c>
      <c r="L332">
        <f>IFERROR(INDEX(PP_Grid[#Data],$DE332,9),0)</f>
        <v/>
      </c>
      <c r="M332">
        <f>IFERROR(INDEX(PP_Grid[#Data],$DE332,10),0)</f>
        <v/>
      </c>
      <c r="N332">
        <f>IFERROR(INDEX(PP_Grid[#Data],$DE332,11),0)</f>
        <v/>
      </c>
      <c r="O332">
        <f>IFERROR(INDEX(PP_Grid[#Data],$DE332,12),0)</f>
        <v/>
      </c>
      <c r="P332">
        <f>IFERROR(INDEX(PP_Grid[#Data],$DE332,13),0)</f>
        <v/>
      </c>
      <c r="Q332">
        <f>IFERROR(INDEX(PP_Grid[#Data],$DE332,14),0)</f>
        <v/>
      </c>
      <c r="R332">
        <f>IFERROR(INDEX(PP_Grid[#Data],$DE332,15),0)</f>
        <v/>
      </c>
      <c r="S332">
        <f>IFERROR(INDEX(PP_Grid[#Data],$DE332,16),0)</f>
        <v/>
      </c>
      <c r="T332">
        <f>IFERROR(INDEX(PP_Grid[#Data],$DE332,17),0)</f>
        <v/>
      </c>
      <c r="U332">
        <f>IFERROR(INDEX(PP_Grid[#Data],$DE332,18),0)</f>
        <v/>
      </c>
      <c r="V332">
        <f>IFERROR(INDEX(PP_Grid[#Data],$DE332,19),0)</f>
        <v/>
      </c>
      <c r="W332">
        <f>IFERROR(INDEX(PP_Grid[#Data],$DE332,20),0)</f>
        <v/>
      </c>
      <c r="X332">
        <f>IFERROR(INDEX(PP_Grid[#Data],$DE332,21),0)</f>
        <v/>
      </c>
      <c r="Y332">
        <f>IFERROR(INDEX(PP_Grid[#Data],$DE332,22),0)</f>
        <v/>
      </c>
      <c r="Z332">
        <f>IFERROR(INDEX(PP_Grid[#Data],$DE332,23),0)</f>
        <v/>
      </c>
      <c r="AA332">
        <f>IFERROR(INDEX(PP_Grid[#Data],$DE332,24),0)</f>
        <v/>
      </c>
      <c r="AB332">
        <f>IFERROR(INDEX(PP_Grid[#Data],$DE332,25),0)</f>
        <v/>
      </c>
      <c r="AC332">
        <f>IFERROR(INDEX(PP_Grid[#Data],$DE332,26),0)</f>
        <v/>
      </c>
      <c r="AD332">
        <f>IFERROR(INDEX(PP_Grid[#Data],$DE332,27),0)</f>
        <v/>
      </c>
      <c r="AE332">
        <f>IFERROR(INDEX(PP_Grid[#Data],$DE332,28),0)</f>
        <v/>
      </c>
      <c r="AF332">
        <f>IFERROR(INDEX(PP_Grid[#Data],$DE332,29),0)</f>
        <v/>
      </c>
      <c r="AG332">
        <f>IFERROR(INDEX(PP_Grid[#Data],$DE332,30),0)</f>
        <v/>
      </c>
      <c r="AH332">
        <f>IFERROR(INDEX(PP_Grid[#Data],$DE332,31),0)</f>
        <v/>
      </c>
      <c r="AI332">
        <f>IFERROR(INDEX(PP_Grid[#Data],$DE332,32),0)</f>
        <v/>
      </c>
      <c r="AJ332">
        <f>IFERROR(INDEX(PP_Grid[#Data],$DE332,33),0)</f>
        <v/>
      </c>
      <c r="AK332">
        <f>IFERROR(INDEX(PP_Grid[#Data],$DE332,34),0)</f>
        <v/>
      </c>
      <c r="AL332">
        <f>IFERROR(INDEX(PP_Grid[#Data],$DE332,35),0)</f>
        <v/>
      </c>
      <c r="AM332">
        <f>IFERROR(INDEX(PP_Grid[#Data],$DE332,36),0)</f>
        <v/>
      </c>
      <c r="AN332">
        <f>IFERROR(INDEX(PP_Grid[#Data],$DE332,37),0)</f>
        <v/>
      </c>
      <c r="AO332">
        <f>IFERROR(INDEX(PP_Grid[#Data],$DE332,38),0)</f>
        <v/>
      </c>
      <c r="AP332">
        <f>IFERROR(INDEX(PP_Grid[#Data],$DE332,39),0)</f>
        <v/>
      </c>
      <c r="AQ332">
        <f>IFERROR(INDEX(PP_Grid[#Data],$DE332,40),0)</f>
        <v/>
      </c>
      <c r="AR332">
        <f>IFERROR(INDEX(PP_Grid[#Data],$DE332,41),0)</f>
        <v/>
      </c>
      <c r="AS332">
        <f>IFERROR(INDEX(PP_Grid[#Data],$DE332,42),0)</f>
        <v/>
      </c>
      <c r="AT332">
        <f>IFERROR(INDEX(PP_Grid[#Data],$DE332,43),0)</f>
        <v/>
      </c>
      <c r="AU332">
        <f>IFERROR(INDEX(PP_Grid[#Data],$DE332,44),0)</f>
        <v/>
      </c>
      <c r="AV332">
        <f>IFERROR(INDEX(PP_Grid[#Data],$DE332,45),0)</f>
        <v/>
      </c>
      <c r="AW332">
        <f>IFERROR(INDEX(PP_Grid[#Data],$DE332,46),0)</f>
        <v/>
      </c>
      <c r="AX332">
        <f>IFERROR(INDEX(PP_Grid[#Data],$DE332,47),0)</f>
        <v/>
      </c>
      <c r="AY332">
        <f>IFERROR(INDEX(PP_Grid[#Data],$DE332,48),0)</f>
        <v/>
      </c>
      <c r="AZ332">
        <f>IFERROR(INDEX(PP_Grid[#Data],$DE332,49),0)</f>
        <v/>
      </c>
      <c r="BA332">
        <f>IFERROR(INDEX(PP_Grid[#Data],$DE332,50),0)</f>
        <v/>
      </c>
      <c r="BB332">
        <f>IFERROR(INDEX(PP_Grid[#Data],$DE332,51),0)</f>
        <v/>
      </c>
      <c r="BC332">
        <f>IFERROR(INDEX(PP_Grid[#Data],$DE332,52),0)</f>
        <v/>
      </c>
      <c r="BD332">
        <f>IFERROR(INDEX(PP_Grid[#Data],$DE332,53),0)</f>
        <v/>
      </c>
      <c r="BE332">
        <f>IFERROR(INDEX(PP_Grid[#Data],$DE332,54),0)</f>
        <v/>
      </c>
      <c r="BF332">
        <f>IFERROR(INDEX(PP_Grid[#Data],$DE332,55),0)</f>
        <v/>
      </c>
      <c r="BG332">
        <f>IFERROR(INDEX(PP_Grid[#Data],$DE332,56),0)</f>
        <v/>
      </c>
      <c r="BH332">
        <f>IFERROR(INDEX(PP_Grid[#Data],$DE332,57),0)</f>
        <v/>
      </c>
      <c r="BI332">
        <f>IFERROR(INDEX(PP_Grid[#Data],$DE332,58),0)</f>
        <v/>
      </c>
      <c r="BJ332">
        <f>IFERROR(INDEX(PP_Grid[#Data],$DE332,59),0)</f>
        <v/>
      </c>
      <c r="BK332">
        <f>IFERROR(INDEX(PP_Grid[#Data],$DE332,60),0)</f>
        <v/>
      </c>
      <c r="BL332">
        <f>IFERROR(INDEX(PP_Grid[#Data],$DE332,61),0)</f>
        <v/>
      </c>
      <c r="BM332">
        <f>IFERROR(INDEX(PP_Grid[#Data],$DE332,62),0)</f>
        <v/>
      </c>
      <c r="BN332">
        <f>IFERROR(INDEX(PP_Grid[#Data],$DE332,63),0)</f>
        <v/>
      </c>
      <c r="BO332">
        <f>IFERROR(INDEX(PP_Grid[#Data],$DE332,64),0)</f>
        <v/>
      </c>
      <c r="BP332">
        <f>IFERROR(INDEX(PP_Grid[#Data],$DE332,65),0)</f>
        <v/>
      </c>
      <c r="BQ332">
        <f>IFERROR(INDEX(PP_Grid[#Data],$DE332,66),0)</f>
        <v/>
      </c>
      <c r="BR332">
        <f>IFERROR(INDEX(PP_Grid[#Data],$DE332,67),0)</f>
        <v/>
      </c>
      <c r="BS332">
        <f>IFERROR(INDEX(PP_Grid[#Data],$DE332,68),0)</f>
        <v/>
      </c>
      <c r="BT332">
        <f>IFERROR(INDEX(PP_Grid[#Data],$DE332,69),0)</f>
        <v/>
      </c>
      <c r="BU332">
        <f>IFERROR(INDEX(PP_Grid[#Data],$DE332,70),0)</f>
        <v/>
      </c>
      <c r="BV332">
        <f>IFERROR(INDEX(PP_Grid[#Data],$DE332,71),0)</f>
        <v/>
      </c>
      <c r="BW332">
        <f>IFERROR(INDEX(PP_Grid[#Data],$DE332,72),0)</f>
        <v/>
      </c>
      <c r="BX332">
        <f>IFERROR(INDEX(PP_Grid[#Data],$DE332,73),0)</f>
        <v/>
      </c>
      <c r="BY332">
        <f>IFERROR(INDEX(PP_Grid[#Data],$DE332,74),0)</f>
        <v/>
      </c>
      <c r="BZ332">
        <f>IFERROR(INDEX(PP_Grid[#Data],$DE332,75),0)</f>
        <v/>
      </c>
      <c r="CA332">
        <f>IFERROR(INDEX(PP_Grid[#Data],$DE332,76),0)</f>
        <v/>
      </c>
      <c r="CB332">
        <f>IFERROR(INDEX(PP_Grid[#Data],$DE332,77),0)</f>
        <v/>
      </c>
      <c r="CC332">
        <f>IFERROR(INDEX(PP_Grid[#Data],$DE332,78),0)</f>
        <v/>
      </c>
      <c r="CD332">
        <f>IFERROR(INDEX(PP_Grid[#Data],$DE332,79),0)</f>
        <v/>
      </c>
      <c r="CE332">
        <f>IFERROR(INDEX(PP_Grid[#Data],$DE332,80),0)</f>
        <v/>
      </c>
      <c r="CF332">
        <f>IFERROR(INDEX(PP_Grid[#Data],$DE332,81),0)</f>
        <v/>
      </c>
      <c r="CG332">
        <f>IFERROR(INDEX(PP_Grid[#Data],$DE332,82),0)</f>
        <v/>
      </c>
      <c r="CH332">
        <f>IFERROR(INDEX(PP_Grid[#Data],$DE332,83),0)</f>
        <v/>
      </c>
      <c r="CI332">
        <f>IFERROR(INDEX(PP_Grid[#Data],$DE332,84),0)</f>
        <v/>
      </c>
      <c r="CJ332">
        <f>IFERROR(INDEX(PP_Grid[#Data],$DE332,85),0)</f>
        <v/>
      </c>
      <c r="CK332">
        <f>IFERROR(INDEX(PP_Grid[#Data],$DE332,86),0)</f>
        <v/>
      </c>
      <c r="CL332">
        <f>IFERROR(INDEX(PP_Grid[#Data],$DE332,87),0)</f>
        <v/>
      </c>
      <c r="CM332">
        <f>IFERROR(INDEX(PP_Grid[#Data],$DE332,88),0)</f>
        <v/>
      </c>
      <c r="CN332">
        <f>IFERROR(INDEX(PP_Grid[#Data],$DE332,89),0)</f>
        <v/>
      </c>
      <c r="CO332">
        <f>IFERROR(INDEX(PP_Grid[#Data],$DE332,90),0)</f>
        <v/>
      </c>
      <c r="CP332">
        <f>IFERROR(INDEX(PP_Grid[#Data],$DE332,91),0)</f>
        <v/>
      </c>
      <c r="CQ332">
        <f>IFERROR(INDEX(PP_Grid[#Data],$DE332,92),0)</f>
        <v/>
      </c>
      <c r="CR332">
        <f>IFERROR(INDEX(PP_Grid[#Data],$DE332,93),0)</f>
        <v/>
      </c>
      <c r="CS332">
        <f>IFERROR(INDEX(PP_Grid[#Data],$DE332,94),0)</f>
        <v/>
      </c>
      <c r="CT332">
        <f>IFERROR(INDEX(PP_Grid[#Data],$DE332,95),0)</f>
        <v/>
      </c>
      <c r="CU332">
        <f>IFERROR(INDEX(PP_Grid[#Data],$DE332,96),0)</f>
        <v/>
      </c>
      <c r="CV332">
        <f>IFERROR(INDEX(PP_Grid[#Data],$DE332,97),0)</f>
        <v/>
      </c>
      <c r="CW332">
        <f>IFERROR(INDEX(PP_Grid[#Data],$DE332,98),0)</f>
        <v/>
      </c>
      <c r="CX332">
        <f>IFERROR(INDEX(PP_Grid[#Data],$DE332,99),0)</f>
        <v/>
      </c>
      <c r="CY332">
        <f>IFERROR(INDEX(PP_Grid[#Data],$DE332,100),0)</f>
        <v/>
      </c>
      <c r="CZ332">
        <f>IFERROR(INDEX(PP_Grid[#Data],$DE332,101),0)</f>
        <v/>
      </c>
      <c r="DA332">
        <f>IFERROR(INDEX(PP_Grid[#Data],$DE332,102),0)</f>
        <v/>
      </c>
      <c r="DB332">
        <f>IFERROR(INDEX(PP_Grid[#Data],$DE332,103),0)</f>
        <v/>
      </c>
      <c r="DC332">
        <f>IFERROR(INDEX(PP_Grid[#Data],$DE332,104),0)</f>
        <v/>
      </c>
      <c r="DD332">
        <f>IFERROR(INDEX(PP_Grid[#Data],$DE332,105),0)</f>
        <v/>
      </c>
      <c r="DE332" s="7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SUMIFS(M_BOM[RM_Qty_Per_Batch],M_BOM[Intermediate],$B332,M_BOM[RM_Code],$A325)</f>
        <v/>
      </c>
      <c r="D333">
        <f>IFERROR(INDEX(E333:DD333,$F$1),"")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  <c r="DD333">
        <f>$C333*DD332</f>
        <v/>
      </c>
    </row>
    <row r="334">
      <c r="B334" t="inlineStr">
        <is>
          <t>TSP-077</t>
        </is>
      </c>
      <c r="C334" t="inlineStr">
        <is>
          <t>No. of batches</t>
        </is>
      </c>
      <c r="D334">
        <f>IFERROR(INDEX(E334:DD334,$F$1),"")</f>
        <v/>
      </c>
      <c r="E334">
        <f>IFERROR(INDEX(PP_Grid[#Data],$DE334,2),0)</f>
        <v/>
      </c>
      <c r="F334">
        <f>IFERROR(INDEX(PP_Grid[#Data],$DE334,3),0)</f>
        <v/>
      </c>
      <c r="G334">
        <f>IFERROR(INDEX(PP_Grid[#Data],$DE334,4),0)</f>
        <v/>
      </c>
      <c r="H334">
        <f>IFERROR(INDEX(PP_Grid[#Data],$DE334,5),0)</f>
        <v/>
      </c>
      <c r="I334">
        <f>IFERROR(INDEX(PP_Grid[#Data],$DE334,6),0)</f>
        <v/>
      </c>
      <c r="J334">
        <f>IFERROR(INDEX(PP_Grid[#Data],$DE334,7),0)</f>
        <v/>
      </c>
      <c r="K334">
        <f>IFERROR(INDEX(PP_Grid[#Data],$DE334,8),0)</f>
        <v/>
      </c>
      <c r="L334">
        <f>IFERROR(INDEX(PP_Grid[#Data],$DE334,9),0)</f>
        <v/>
      </c>
      <c r="M334">
        <f>IFERROR(INDEX(PP_Grid[#Data],$DE334,10),0)</f>
        <v/>
      </c>
      <c r="N334">
        <f>IFERROR(INDEX(PP_Grid[#Data],$DE334,11),0)</f>
        <v/>
      </c>
      <c r="O334">
        <f>IFERROR(INDEX(PP_Grid[#Data],$DE334,12),0)</f>
        <v/>
      </c>
      <c r="P334">
        <f>IFERROR(INDEX(PP_Grid[#Data],$DE334,13),0)</f>
        <v/>
      </c>
      <c r="Q334">
        <f>IFERROR(INDEX(PP_Grid[#Data],$DE334,14),0)</f>
        <v/>
      </c>
      <c r="R334">
        <f>IFERROR(INDEX(PP_Grid[#Data],$DE334,15),0)</f>
        <v/>
      </c>
      <c r="S334">
        <f>IFERROR(INDEX(PP_Grid[#Data],$DE334,16),0)</f>
        <v/>
      </c>
      <c r="T334">
        <f>IFERROR(INDEX(PP_Grid[#Data],$DE334,17),0)</f>
        <v/>
      </c>
      <c r="U334">
        <f>IFERROR(INDEX(PP_Grid[#Data],$DE334,18),0)</f>
        <v/>
      </c>
      <c r="V334">
        <f>IFERROR(INDEX(PP_Grid[#Data],$DE334,19),0)</f>
        <v/>
      </c>
      <c r="W334">
        <f>IFERROR(INDEX(PP_Grid[#Data],$DE334,20),0)</f>
        <v/>
      </c>
      <c r="X334">
        <f>IFERROR(INDEX(PP_Grid[#Data],$DE334,21),0)</f>
        <v/>
      </c>
      <c r="Y334">
        <f>IFERROR(INDEX(PP_Grid[#Data],$DE334,22),0)</f>
        <v/>
      </c>
      <c r="Z334">
        <f>IFERROR(INDEX(PP_Grid[#Data],$DE334,23),0)</f>
        <v/>
      </c>
      <c r="AA334">
        <f>IFERROR(INDEX(PP_Grid[#Data],$DE334,24),0)</f>
        <v/>
      </c>
      <c r="AB334">
        <f>IFERROR(INDEX(PP_Grid[#Data],$DE334,25),0)</f>
        <v/>
      </c>
      <c r="AC334">
        <f>IFERROR(INDEX(PP_Grid[#Data],$DE334,26),0)</f>
        <v/>
      </c>
      <c r="AD334">
        <f>IFERROR(INDEX(PP_Grid[#Data],$DE334,27),0)</f>
        <v/>
      </c>
      <c r="AE334">
        <f>IFERROR(INDEX(PP_Grid[#Data],$DE334,28),0)</f>
        <v/>
      </c>
      <c r="AF334">
        <f>IFERROR(INDEX(PP_Grid[#Data],$DE334,29),0)</f>
        <v/>
      </c>
      <c r="AG334">
        <f>IFERROR(INDEX(PP_Grid[#Data],$DE334,30),0)</f>
        <v/>
      </c>
      <c r="AH334">
        <f>IFERROR(INDEX(PP_Grid[#Data],$DE334,31),0)</f>
        <v/>
      </c>
      <c r="AI334">
        <f>IFERROR(INDEX(PP_Grid[#Data],$DE334,32),0)</f>
        <v/>
      </c>
      <c r="AJ334">
        <f>IFERROR(INDEX(PP_Grid[#Data],$DE334,33),0)</f>
        <v/>
      </c>
      <c r="AK334">
        <f>IFERROR(INDEX(PP_Grid[#Data],$DE334,34),0)</f>
        <v/>
      </c>
      <c r="AL334">
        <f>IFERROR(INDEX(PP_Grid[#Data],$DE334,35),0)</f>
        <v/>
      </c>
      <c r="AM334">
        <f>IFERROR(INDEX(PP_Grid[#Data],$DE334,36),0)</f>
        <v/>
      </c>
      <c r="AN334">
        <f>IFERROR(INDEX(PP_Grid[#Data],$DE334,37),0)</f>
        <v/>
      </c>
      <c r="AO334">
        <f>IFERROR(INDEX(PP_Grid[#Data],$DE334,38),0)</f>
        <v/>
      </c>
      <c r="AP334">
        <f>IFERROR(INDEX(PP_Grid[#Data],$DE334,39),0)</f>
        <v/>
      </c>
      <c r="AQ334">
        <f>IFERROR(INDEX(PP_Grid[#Data],$DE334,40),0)</f>
        <v/>
      </c>
      <c r="AR334">
        <f>IFERROR(INDEX(PP_Grid[#Data],$DE334,41),0)</f>
        <v/>
      </c>
      <c r="AS334">
        <f>IFERROR(INDEX(PP_Grid[#Data],$DE334,42),0)</f>
        <v/>
      </c>
      <c r="AT334">
        <f>IFERROR(INDEX(PP_Grid[#Data],$DE334,43),0)</f>
        <v/>
      </c>
      <c r="AU334">
        <f>IFERROR(INDEX(PP_Grid[#Data],$DE334,44),0)</f>
        <v/>
      </c>
      <c r="AV334">
        <f>IFERROR(INDEX(PP_Grid[#Data],$DE334,45),0)</f>
        <v/>
      </c>
      <c r="AW334">
        <f>IFERROR(INDEX(PP_Grid[#Data],$DE334,46),0)</f>
        <v/>
      </c>
      <c r="AX334">
        <f>IFERROR(INDEX(PP_Grid[#Data],$DE334,47),0)</f>
        <v/>
      </c>
      <c r="AY334">
        <f>IFERROR(INDEX(PP_Grid[#Data],$DE334,48),0)</f>
        <v/>
      </c>
      <c r="AZ334">
        <f>IFERROR(INDEX(PP_Grid[#Data],$DE334,49),0)</f>
        <v/>
      </c>
      <c r="BA334">
        <f>IFERROR(INDEX(PP_Grid[#Data],$DE334,50),0)</f>
        <v/>
      </c>
      <c r="BB334">
        <f>IFERROR(INDEX(PP_Grid[#Data],$DE334,51),0)</f>
        <v/>
      </c>
      <c r="BC334">
        <f>IFERROR(INDEX(PP_Grid[#Data],$DE334,52),0)</f>
        <v/>
      </c>
      <c r="BD334">
        <f>IFERROR(INDEX(PP_Grid[#Data],$DE334,53),0)</f>
        <v/>
      </c>
      <c r="BE334">
        <f>IFERROR(INDEX(PP_Grid[#Data],$DE334,54),0)</f>
        <v/>
      </c>
      <c r="BF334">
        <f>IFERROR(INDEX(PP_Grid[#Data],$DE334,55),0)</f>
        <v/>
      </c>
      <c r="BG334">
        <f>IFERROR(INDEX(PP_Grid[#Data],$DE334,56),0)</f>
        <v/>
      </c>
      <c r="BH334">
        <f>IFERROR(INDEX(PP_Grid[#Data],$DE334,57),0)</f>
        <v/>
      </c>
      <c r="BI334">
        <f>IFERROR(INDEX(PP_Grid[#Data],$DE334,58),0)</f>
        <v/>
      </c>
      <c r="BJ334">
        <f>IFERROR(INDEX(PP_Grid[#Data],$DE334,59),0)</f>
        <v/>
      </c>
      <c r="BK334">
        <f>IFERROR(INDEX(PP_Grid[#Data],$DE334,60),0)</f>
        <v/>
      </c>
      <c r="BL334">
        <f>IFERROR(INDEX(PP_Grid[#Data],$DE334,61),0)</f>
        <v/>
      </c>
      <c r="BM334">
        <f>IFERROR(INDEX(PP_Grid[#Data],$DE334,62),0)</f>
        <v/>
      </c>
      <c r="BN334">
        <f>IFERROR(INDEX(PP_Grid[#Data],$DE334,63),0)</f>
        <v/>
      </c>
      <c r="BO334">
        <f>IFERROR(INDEX(PP_Grid[#Data],$DE334,64),0)</f>
        <v/>
      </c>
      <c r="BP334">
        <f>IFERROR(INDEX(PP_Grid[#Data],$DE334,65),0)</f>
        <v/>
      </c>
      <c r="BQ334">
        <f>IFERROR(INDEX(PP_Grid[#Data],$DE334,66),0)</f>
        <v/>
      </c>
      <c r="BR334">
        <f>IFERROR(INDEX(PP_Grid[#Data],$DE334,67),0)</f>
        <v/>
      </c>
      <c r="BS334">
        <f>IFERROR(INDEX(PP_Grid[#Data],$DE334,68),0)</f>
        <v/>
      </c>
      <c r="BT334">
        <f>IFERROR(INDEX(PP_Grid[#Data],$DE334,69),0)</f>
        <v/>
      </c>
      <c r="BU334">
        <f>IFERROR(INDEX(PP_Grid[#Data],$DE334,70),0)</f>
        <v/>
      </c>
      <c r="BV334">
        <f>IFERROR(INDEX(PP_Grid[#Data],$DE334,71),0)</f>
        <v/>
      </c>
      <c r="BW334">
        <f>IFERROR(INDEX(PP_Grid[#Data],$DE334,72),0)</f>
        <v/>
      </c>
      <c r="BX334">
        <f>IFERROR(INDEX(PP_Grid[#Data],$DE334,73),0)</f>
        <v/>
      </c>
      <c r="BY334">
        <f>IFERROR(INDEX(PP_Grid[#Data],$DE334,74),0)</f>
        <v/>
      </c>
      <c r="BZ334">
        <f>IFERROR(INDEX(PP_Grid[#Data],$DE334,75),0)</f>
        <v/>
      </c>
      <c r="CA334">
        <f>IFERROR(INDEX(PP_Grid[#Data],$DE334,76),0)</f>
        <v/>
      </c>
      <c r="CB334">
        <f>IFERROR(INDEX(PP_Grid[#Data],$DE334,77),0)</f>
        <v/>
      </c>
      <c r="CC334">
        <f>IFERROR(INDEX(PP_Grid[#Data],$DE334,78),0)</f>
        <v/>
      </c>
      <c r="CD334">
        <f>IFERROR(INDEX(PP_Grid[#Data],$DE334,79),0)</f>
        <v/>
      </c>
      <c r="CE334">
        <f>IFERROR(INDEX(PP_Grid[#Data],$DE334,80),0)</f>
        <v/>
      </c>
      <c r="CF334">
        <f>IFERROR(INDEX(PP_Grid[#Data],$DE334,81),0)</f>
        <v/>
      </c>
      <c r="CG334">
        <f>IFERROR(INDEX(PP_Grid[#Data],$DE334,82),0)</f>
        <v/>
      </c>
      <c r="CH334">
        <f>IFERROR(INDEX(PP_Grid[#Data],$DE334,83),0)</f>
        <v/>
      </c>
      <c r="CI334">
        <f>IFERROR(INDEX(PP_Grid[#Data],$DE334,84),0)</f>
        <v/>
      </c>
      <c r="CJ334">
        <f>IFERROR(INDEX(PP_Grid[#Data],$DE334,85),0)</f>
        <v/>
      </c>
      <c r="CK334">
        <f>IFERROR(INDEX(PP_Grid[#Data],$DE334,86),0)</f>
        <v/>
      </c>
      <c r="CL334">
        <f>IFERROR(INDEX(PP_Grid[#Data],$DE334,87),0)</f>
        <v/>
      </c>
      <c r="CM334">
        <f>IFERROR(INDEX(PP_Grid[#Data],$DE334,88),0)</f>
        <v/>
      </c>
      <c r="CN334">
        <f>IFERROR(INDEX(PP_Grid[#Data],$DE334,89),0)</f>
        <v/>
      </c>
      <c r="CO334">
        <f>IFERROR(INDEX(PP_Grid[#Data],$DE334,90),0)</f>
        <v/>
      </c>
      <c r="CP334">
        <f>IFERROR(INDEX(PP_Grid[#Data],$DE334,91),0)</f>
        <v/>
      </c>
      <c r="CQ334">
        <f>IFERROR(INDEX(PP_Grid[#Data],$DE334,92),0)</f>
        <v/>
      </c>
      <c r="CR334">
        <f>IFERROR(INDEX(PP_Grid[#Data],$DE334,93),0)</f>
        <v/>
      </c>
      <c r="CS334">
        <f>IFERROR(INDEX(PP_Grid[#Data],$DE334,94),0)</f>
        <v/>
      </c>
      <c r="CT334">
        <f>IFERROR(INDEX(PP_Grid[#Data],$DE334,95),0)</f>
        <v/>
      </c>
      <c r="CU334">
        <f>IFERROR(INDEX(PP_Grid[#Data],$DE334,96),0)</f>
        <v/>
      </c>
      <c r="CV334">
        <f>IFERROR(INDEX(PP_Grid[#Data],$DE334,97),0)</f>
        <v/>
      </c>
      <c r="CW334">
        <f>IFERROR(INDEX(PP_Grid[#Data],$DE334,98),0)</f>
        <v/>
      </c>
      <c r="CX334">
        <f>IFERROR(INDEX(PP_Grid[#Data],$DE334,99),0)</f>
        <v/>
      </c>
      <c r="CY334">
        <f>IFERROR(INDEX(PP_Grid[#Data],$DE334,100),0)</f>
        <v/>
      </c>
      <c r="CZ334">
        <f>IFERROR(INDEX(PP_Grid[#Data],$DE334,101),0)</f>
        <v/>
      </c>
      <c r="DA334">
        <f>IFERROR(INDEX(PP_Grid[#Data],$DE334,102),0)</f>
        <v/>
      </c>
      <c r="DB334">
        <f>IFERROR(INDEX(PP_Grid[#Data],$DE334,103),0)</f>
        <v/>
      </c>
      <c r="DC334">
        <f>IFERROR(INDEX(PP_Grid[#Data],$DE334,104),0)</f>
        <v/>
      </c>
      <c r="DD334">
        <f>IFERROR(INDEX(PP_Grid[#Data],$DE334,105),0)</f>
        <v/>
      </c>
      <c r="DE334" s="7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SUMIFS(M_BOM[RM_Qty_Per_Batch],M_BOM[Intermediate],$B334,M_BOM[RM_Code],$A325)</f>
        <v/>
      </c>
      <c r="D335">
        <f>IFERROR(INDEX(E335:DD335,$F$1),"")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  <c r="DD335">
        <f>$C335*DD334</f>
        <v/>
      </c>
    </row>
    <row r="336">
      <c r="B336" t="inlineStr">
        <is>
          <t>TSP-078</t>
        </is>
      </c>
      <c r="C336" t="inlineStr">
        <is>
          <t>No. of batches</t>
        </is>
      </c>
      <c r="D336">
        <f>IFERROR(INDEX(E336:DD336,$F$1),"")</f>
        <v/>
      </c>
      <c r="E336">
        <f>IFERROR(INDEX(PP_Grid[#Data],$DE336,2),0)</f>
        <v/>
      </c>
      <c r="F336">
        <f>IFERROR(INDEX(PP_Grid[#Data],$DE336,3),0)</f>
        <v/>
      </c>
      <c r="G336">
        <f>IFERROR(INDEX(PP_Grid[#Data],$DE336,4),0)</f>
        <v/>
      </c>
      <c r="H336">
        <f>IFERROR(INDEX(PP_Grid[#Data],$DE336,5),0)</f>
        <v/>
      </c>
      <c r="I336">
        <f>IFERROR(INDEX(PP_Grid[#Data],$DE336,6),0)</f>
        <v/>
      </c>
      <c r="J336">
        <f>IFERROR(INDEX(PP_Grid[#Data],$DE336,7),0)</f>
        <v/>
      </c>
      <c r="K336">
        <f>IFERROR(INDEX(PP_Grid[#Data],$DE336,8),0)</f>
        <v/>
      </c>
      <c r="L336">
        <f>IFERROR(INDEX(PP_Grid[#Data],$DE336,9),0)</f>
        <v/>
      </c>
      <c r="M336">
        <f>IFERROR(INDEX(PP_Grid[#Data],$DE336,10),0)</f>
        <v/>
      </c>
      <c r="N336">
        <f>IFERROR(INDEX(PP_Grid[#Data],$DE336,11),0)</f>
        <v/>
      </c>
      <c r="O336">
        <f>IFERROR(INDEX(PP_Grid[#Data],$DE336,12),0)</f>
        <v/>
      </c>
      <c r="P336">
        <f>IFERROR(INDEX(PP_Grid[#Data],$DE336,13),0)</f>
        <v/>
      </c>
      <c r="Q336">
        <f>IFERROR(INDEX(PP_Grid[#Data],$DE336,14),0)</f>
        <v/>
      </c>
      <c r="R336">
        <f>IFERROR(INDEX(PP_Grid[#Data],$DE336,15),0)</f>
        <v/>
      </c>
      <c r="S336">
        <f>IFERROR(INDEX(PP_Grid[#Data],$DE336,16),0)</f>
        <v/>
      </c>
      <c r="T336">
        <f>IFERROR(INDEX(PP_Grid[#Data],$DE336,17),0)</f>
        <v/>
      </c>
      <c r="U336">
        <f>IFERROR(INDEX(PP_Grid[#Data],$DE336,18),0)</f>
        <v/>
      </c>
      <c r="V336">
        <f>IFERROR(INDEX(PP_Grid[#Data],$DE336,19),0)</f>
        <v/>
      </c>
      <c r="W336">
        <f>IFERROR(INDEX(PP_Grid[#Data],$DE336,20),0)</f>
        <v/>
      </c>
      <c r="X336">
        <f>IFERROR(INDEX(PP_Grid[#Data],$DE336,21),0)</f>
        <v/>
      </c>
      <c r="Y336">
        <f>IFERROR(INDEX(PP_Grid[#Data],$DE336,22),0)</f>
        <v/>
      </c>
      <c r="Z336">
        <f>IFERROR(INDEX(PP_Grid[#Data],$DE336,23),0)</f>
        <v/>
      </c>
      <c r="AA336">
        <f>IFERROR(INDEX(PP_Grid[#Data],$DE336,24),0)</f>
        <v/>
      </c>
      <c r="AB336">
        <f>IFERROR(INDEX(PP_Grid[#Data],$DE336,25),0)</f>
        <v/>
      </c>
      <c r="AC336">
        <f>IFERROR(INDEX(PP_Grid[#Data],$DE336,26),0)</f>
        <v/>
      </c>
      <c r="AD336">
        <f>IFERROR(INDEX(PP_Grid[#Data],$DE336,27),0)</f>
        <v/>
      </c>
      <c r="AE336">
        <f>IFERROR(INDEX(PP_Grid[#Data],$DE336,28),0)</f>
        <v/>
      </c>
      <c r="AF336">
        <f>IFERROR(INDEX(PP_Grid[#Data],$DE336,29),0)</f>
        <v/>
      </c>
      <c r="AG336">
        <f>IFERROR(INDEX(PP_Grid[#Data],$DE336,30),0)</f>
        <v/>
      </c>
      <c r="AH336">
        <f>IFERROR(INDEX(PP_Grid[#Data],$DE336,31),0)</f>
        <v/>
      </c>
      <c r="AI336">
        <f>IFERROR(INDEX(PP_Grid[#Data],$DE336,32),0)</f>
        <v/>
      </c>
      <c r="AJ336">
        <f>IFERROR(INDEX(PP_Grid[#Data],$DE336,33),0)</f>
        <v/>
      </c>
      <c r="AK336">
        <f>IFERROR(INDEX(PP_Grid[#Data],$DE336,34),0)</f>
        <v/>
      </c>
      <c r="AL336">
        <f>IFERROR(INDEX(PP_Grid[#Data],$DE336,35),0)</f>
        <v/>
      </c>
      <c r="AM336">
        <f>IFERROR(INDEX(PP_Grid[#Data],$DE336,36),0)</f>
        <v/>
      </c>
      <c r="AN336">
        <f>IFERROR(INDEX(PP_Grid[#Data],$DE336,37),0)</f>
        <v/>
      </c>
      <c r="AO336">
        <f>IFERROR(INDEX(PP_Grid[#Data],$DE336,38),0)</f>
        <v/>
      </c>
      <c r="AP336">
        <f>IFERROR(INDEX(PP_Grid[#Data],$DE336,39),0)</f>
        <v/>
      </c>
      <c r="AQ336">
        <f>IFERROR(INDEX(PP_Grid[#Data],$DE336,40),0)</f>
        <v/>
      </c>
      <c r="AR336">
        <f>IFERROR(INDEX(PP_Grid[#Data],$DE336,41),0)</f>
        <v/>
      </c>
      <c r="AS336">
        <f>IFERROR(INDEX(PP_Grid[#Data],$DE336,42),0)</f>
        <v/>
      </c>
      <c r="AT336">
        <f>IFERROR(INDEX(PP_Grid[#Data],$DE336,43),0)</f>
        <v/>
      </c>
      <c r="AU336">
        <f>IFERROR(INDEX(PP_Grid[#Data],$DE336,44),0)</f>
        <v/>
      </c>
      <c r="AV336">
        <f>IFERROR(INDEX(PP_Grid[#Data],$DE336,45),0)</f>
        <v/>
      </c>
      <c r="AW336">
        <f>IFERROR(INDEX(PP_Grid[#Data],$DE336,46),0)</f>
        <v/>
      </c>
      <c r="AX336">
        <f>IFERROR(INDEX(PP_Grid[#Data],$DE336,47),0)</f>
        <v/>
      </c>
      <c r="AY336">
        <f>IFERROR(INDEX(PP_Grid[#Data],$DE336,48),0)</f>
        <v/>
      </c>
      <c r="AZ336">
        <f>IFERROR(INDEX(PP_Grid[#Data],$DE336,49),0)</f>
        <v/>
      </c>
      <c r="BA336">
        <f>IFERROR(INDEX(PP_Grid[#Data],$DE336,50),0)</f>
        <v/>
      </c>
      <c r="BB336">
        <f>IFERROR(INDEX(PP_Grid[#Data],$DE336,51),0)</f>
        <v/>
      </c>
      <c r="BC336">
        <f>IFERROR(INDEX(PP_Grid[#Data],$DE336,52),0)</f>
        <v/>
      </c>
      <c r="BD336">
        <f>IFERROR(INDEX(PP_Grid[#Data],$DE336,53),0)</f>
        <v/>
      </c>
      <c r="BE336">
        <f>IFERROR(INDEX(PP_Grid[#Data],$DE336,54),0)</f>
        <v/>
      </c>
      <c r="BF336">
        <f>IFERROR(INDEX(PP_Grid[#Data],$DE336,55),0)</f>
        <v/>
      </c>
      <c r="BG336">
        <f>IFERROR(INDEX(PP_Grid[#Data],$DE336,56),0)</f>
        <v/>
      </c>
      <c r="BH336">
        <f>IFERROR(INDEX(PP_Grid[#Data],$DE336,57),0)</f>
        <v/>
      </c>
      <c r="BI336">
        <f>IFERROR(INDEX(PP_Grid[#Data],$DE336,58),0)</f>
        <v/>
      </c>
      <c r="BJ336">
        <f>IFERROR(INDEX(PP_Grid[#Data],$DE336,59),0)</f>
        <v/>
      </c>
      <c r="BK336">
        <f>IFERROR(INDEX(PP_Grid[#Data],$DE336,60),0)</f>
        <v/>
      </c>
      <c r="BL336">
        <f>IFERROR(INDEX(PP_Grid[#Data],$DE336,61),0)</f>
        <v/>
      </c>
      <c r="BM336">
        <f>IFERROR(INDEX(PP_Grid[#Data],$DE336,62),0)</f>
        <v/>
      </c>
      <c r="BN336">
        <f>IFERROR(INDEX(PP_Grid[#Data],$DE336,63),0)</f>
        <v/>
      </c>
      <c r="BO336">
        <f>IFERROR(INDEX(PP_Grid[#Data],$DE336,64),0)</f>
        <v/>
      </c>
      <c r="BP336">
        <f>IFERROR(INDEX(PP_Grid[#Data],$DE336,65),0)</f>
        <v/>
      </c>
      <c r="BQ336">
        <f>IFERROR(INDEX(PP_Grid[#Data],$DE336,66),0)</f>
        <v/>
      </c>
      <c r="BR336">
        <f>IFERROR(INDEX(PP_Grid[#Data],$DE336,67),0)</f>
        <v/>
      </c>
      <c r="BS336">
        <f>IFERROR(INDEX(PP_Grid[#Data],$DE336,68),0)</f>
        <v/>
      </c>
      <c r="BT336">
        <f>IFERROR(INDEX(PP_Grid[#Data],$DE336,69),0)</f>
        <v/>
      </c>
      <c r="BU336">
        <f>IFERROR(INDEX(PP_Grid[#Data],$DE336,70),0)</f>
        <v/>
      </c>
      <c r="BV336">
        <f>IFERROR(INDEX(PP_Grid[#Data],$DE336,71),0)</f>
        <v/>
      </c>
      <c r="BW336">
        <f>IFERROR(INDEX(PP_Grid[#Data],$DE336,72),0)</f>
        <v/>
      </c>
      <c r="BX336">
        <f>IFERROR(INDEX(PP_Grid[#Data],$DE336,73),0)</f>
        <v/>
      </c>
      <c r="BY336">
        <f>IFERROR(INDEX(PP_Grid[#Data],$DE336,74),0)</f>
        <v/>
      </c>
      <c r="BZ336">
        <f>IFERROR(INDEX(PP_Grid[#Data],$DE336,75),0)</f>
        <v/>
      </c>
      <c r="CA336">
        <f>IFERROR(INDEX(PP_Grid[#Data],$DE336,76),0)</f>
        <v/>
      </c>
      <c r="CB336">
        <f>IFERROR(INDEX(PP_Grid[#Data],$DE336,77),0)</f>
        <v/>
      </c>
      <c r="CC336">
        <f>IFERROR(INDEX(PP_Grid[#Data],$DE336,78),0)</f>
        <v/>
      </c>
      <c r="CD336">
        <f>IFERROR(INDEX(PP_Grid[#Data],$DE336,79),0)</f>
        <v/>
      </c>
      <c r="CE336">
        <f>IFERROR(INDEX(PP_Grid[#Data],$DE336,80),0)</f>
        <v/>
      </c>
      <c r="CF336">
        <f>IFERROR(INDEX(PP_Grid[#Data],$DE336,81),0)</f>
        <v/>
      </c>
      <c r="CG336">
        <f>IFERROR(INDEX(PP_Grid[#Data],$DE336,82),0)</f>
        <v/>
      </c>
      <c r="CH336">
        <f>IFERROR(INDEX(PP_Grid[#Data],$DE336,83),0)</f>
        <v/>
      </c>
      <c r="CI336">
        <f>IFERROR(INDEX(PP_Grid[#Data],$DE336,84),0)</f>
        <v/>
      </c>
      <c r="CJ336">
        <f>IFERROR(INDEX(PP_Grid[#Data],$DE336,85),0)</f>
        <v/>
      </c>
      <c r="CK336">
        <f>IFERROR(INDEX(PP_Grid[#Data],$DE336,86),0)</f>
        <v/>
      </c>
      <c r="CL336">
        <f>IFERROR(INDEX(PP_Grid[#Data],$DE336,87),0)</f>
        <v/>
      </c>
      <c r="CM336">
        <f>IFERROR(INDEX(PP_Grid[#Data],$DE336,88),0)</f>
        <v/>
      </c>
      <c r="CN336">
        <f>IFERROR(INDEX(PP_Grid[#Data],$DE336,89),0)</f>
        <v/>
      </c>
      <c r="CO336">
        <f>IFERROR(INDEX(PP_Grid[#Data],$DE336,90),0)</f>
        <v/>
      </c>
      <c r="CP336">
        <f>IFERROR(INDEX(PP_Grid[#Data],$DE336,91),0)</f>
        <v/>
      </c>
      <c r="CQ336">
        <f>IFERROR(INDEX(PP_Grid[#Data],$DE336,92),0)</f>
        <v/>
      </c>
      <c r="CR336">
        <f>IFERROR(INDEX(PP_Grid[#Data],$DE336,93),0)</f>
        <v/>
      </c>
      <c r="CS336">
        <f>IFERROR(INDEX(PP_Grid[#Data],$DE336,94),0)</f>
        <v/>
      </c>
      <c r="CT336">
        <f>IFERROR(INDEX(PP_Grid[#Data],$DE336,95),0)</f>
        <v/>
      </c>
      <c r="CU336">
        <f>IFERROR(INDEX(PP_Grid[#Data],$DE336,96),0)</f>
        <v/>
      </c>
      <c r="CV336">
        <f>IFERROR(INDEX(PP_Grid[#Data],$DE336,97),0)</f>
        <v/>
      </c>
      <c r="CW336">
        <f>IFERROR(INDEX(PP_Grid[#Data],$DE336,98),0)</f>
        <v/>
      </c>
      <c r="CX336">
        <f>IFERROR(INDEX(PP_Grid[#Data],$DE336,99),0)</f>
        <v/>
      </c>
      <c r="CY336">
        <f>IFERROR(INDEX(PP_Grid[#Data],$DE336,100),0)</f>
        <v/>
      </c>
      <c r="CZ336">
        <f>IFERROR(INDEX(PP_Grid[#Data],$DE336,101),0)</f>
        <v/>
      </c>
      <c r="DA336">
        <f>IFERROR(INDEX(PP_Grid[#Data],$DE336,102),0)</f>
        <v/>
      </c>
      <c r="DB336">
        <f>IFERROR(INDEX(PP_Grid[#Data],$DE336,103),0)</f>
        <v/>
      </c>
      <c r="DC336">
        <f>IFERROR(INDEX(PP_Grid[#Data],$DE336,104),0)</f>
        <v/>
      </c>
      <c r="DD336">
        <f>IFERROR(INDEX(PP_Grid[#Data],$DE336,105),0)</f>
        <v/>
      </c>
      <c r="DE336" s="7">
        <f>IFERROR(MATCH($B336,PP_Grid[Intermediate],0),99999)</f>
        <v/>
      </c>
    </row>
    <row r="337">
      <c r="B337" t="inlineStr">
        <is>
          <t>使用量(kg)</t>
        </is>
      </c>
      <c r="C337">
        <f>SUMIFS(M_BOM[RM_Qty_Per_Batch],M_BOM[Intermediate],$B336,M_BOM[RM_Code],$A325)</f>
        <v/>
      </c>
      <c r="D337">
        <f>IFERROR(INDEX(E337:DD337,$F$1),"")</f>
        <v/>
      </c>
      <c r="E337">
        <f>$C337*E336</f>
        <v/>
      </c>
      <c r="F337">
        <f>$C337*F336</f>
        <v/>
      </c>
      <c r="G337">
        <f>$C337*G336</f>
        <v/>
      </c>
      <c r="H337">
        <f>$C337*H336</f>
        <v/>
      </c>
      <c r="I337">
        <f>$C337*I336</f>
        <v/>
      </c>
      <c r="J337">
        <f>$C337*J336</f>
        <v/>
      </c>
      <c r="K337">
        <f>$C337*K336</f>
        <v/>
      </c>
      <c r="L337">
        <f>$C337*L336</f>
        <v/>
      </c>
      <c r="M337">
        <f>$C337*M336</f>
        <v/>
      </c>
      <c r="N337">
        <f>$C337*N336</f>
        <v/>
      </c>
      <c r="O337">
        <f>$C337*O336</f>
        <v/>
      </c>
      <c r="P337">
        <f>$C337*P336</f>
        <v/>
      </c>
      <c r="Q337">
        <f>$C337*Q336</f>
        <v/>
      </c>
      <c r="R337">
        <f>$C337*R336</f>
        <v/>
      </c>
      <c r="S337">
        <f>$C337*S336</f>
        <v/>
      </c>
      <c r="T337">
        <f>$C337*T336</f>
        <v/>
      </c>
      <c r="U337">
        <f>$C337*U336</f>
        <v/>
      </c>
      <c r="V337">
        <f>$C337*V336</f>
        <v/>
      </c>
      <c r="W337">
        <f>$C337*W336</f>
        <v/>
      </c>
      <c r="X337">
        <f>$C337*X336</f>
        <v/>
      </c>
      <c r="Y337">
        <f>$C337*Y336</f>
        <v/>
      </c>
      <c r="Z337">
        <f>$C337*Z336</f>
        <v/>
      </c>
      <c r="AA337">
        <f>$C337*AA336</f>
        <v/>
      </c>
      <c r="AB337">
        <f>$C337*AB336</f>
        <v/>
      </c>
      <c r="AC337">
        <f>$C337*AC336</f>
        <v/>
      </c>
      <c r="AD337">
        <f>$C337*AD336</f>
        <v/>
      </c>
      <c r="AE337">
        <f>$C337*AE336</f>
        <v/>
      </c>
      <c r="AF337">
        <f>$C337*AF336</f>
        <v/>
      </c>
      <c r="AG337">
        <f>$C337*AG336</f>
        <v/>
      </c>
      <c r="AH337">
        <f>$C337*AH336</f>
        <v/>
      </c>
      <c r="AI337">
        <f>$C337*AI336</f>
        <v/>
      </c>
      <c r="AJ337">
        <f>$C337*AJ336</f>
        <v/>
      </c>
      <c r="AK337">
        <f>$C337*AK336</f>
        <v/>
      </c>
      <c r="AL337">
        <f>$C337*AL336</f>
        <v/>
      </c>
      <c r="AM337">
        <f>$C337*AM336</f>
        <v/>
      </c>
      <c r="AN337">
        <f>$C337*AN336</f>
        <v/>
      </c>
      <c r="AO337">
        <f>$C337*AO336</f>
        <v/>
      </c>
      <c r="AP337">
        <f>$C337*AP336</f>
        <v/>
      </c>
      <c r="AQ337">
        <f>$C337*AQ336</f>
        <v/>
      </c>
      <c r="AR337">
        <f>$C337*AR336</f>
        <v/>
      </c>
      <c r="AS337">
        <f>$C337*AS336</f>
        <v/>
      </c>
      <c r="AT337">
        <f>$C337*AT336</f>
        <v/>
      </c>
      <c r="AU337">
        <f>$C337*AU336</f>
        <v/>
      </c>
      <c r="AV337">
        <f>$C337*AV336</f>
        <v/>
      </c>
      <c r="AW337">
        <f>$C337*AW336</f>
        <v/>
      </c>
      <c r="AX337">
        <f>$C337*AX336</f>
        <v/>
      </c>
      <c r="AY337">
        <f>$C337*AY336</f>
        <v/>
      </c>
      <c r="AZ337">
        <f>$C337*AZ336</f>
        <v/>
      </c>
      <c r="BA337">
        <f>$C337*BA336</f>
        <v/>
      </c>
      <c r="BB337">
        <f>$C337*BB336</f>
        <v/>
      </c>
      <c r="BC337">
        <f>$C337*BC336</f>
        <v/>
      </c>
      <c r="BD337">
        <f>$C337*BD336</f>
        <v/>
      </c>
      <c r="BE337">
        <f>$C337*BE336</f>
        <v/>
      </c>
      <c r="BF337">
        <f>$C337*BF336</f>
        <v/>
      </c>
      <c r="BG337">
        <f>$C337*BG336</f>
        <v/>
      </c>
      <c r="BH337">
        <f>$C337*BH336</f>
        <v/>
      </c>
      <c r="BI337">
        <f>$C337*BI336</f>
        <v/>
      </c>
      <c r="BJ337">
        <f>$C337*BJ336</f>
        <v/>
      </c>
      <c r="BK337">
        <f>$C337*BK336</f>
        <v/>
      </c>
      <c r="BL337">
        <f>$C337*BL336</f>
        <v/>
      </c>
      <c r="BM337">
        <f>$C337*BM336</f>
        <v/>
      </c>
      <c r="BN337">
        <f>$C337*BN336</f>
        <v/>
      </c>
      <c r="BO337">
        <f>$C337*BO336</f>
        <v/>
      </c>
      <c r="BP337">
        <f>$C337*BP336</f>
        <v/>
      </c>
      <c r="BQ337">
        <f>$C337*BQ336</f>
        <v/>
      </c>
      <c r="BR337">
        <f>$C337*BR336</f>
        <v/>
      </c>
      <c r="BS337">
        <f>$C337*BS336</f>
        <v/>
      </c>
      <c r="BT337">
        <f>$C337*BT336</f>
        <v/>
      </c>
      <c r="BU337">
        <f>$C337*BU336</f>
        <v/>
      </c>
      <c r="BV337">
        <f>$C337*BV336</f>
        <v/>
      </c>
      <c r="BW337">
        <f>$C337*BW336</f>
        <v/>
      </c>
      <c r="BX337">
        <f>$C337*BX336</f>
        <v/>
      </c>
      <c r="BY337">
        <f>$C337*BY336</f>
        <v/>
      </c>
      <c r="BZ337">
        <f>$C337*BZ336</f>
        <v/>
      </c>
      <c r="CA337">
        <f>$C337*CA336</f>
        <v/>
      </c>
      <c r="CB337">
        <f>$C337*CB336</f>
        <v/>
      </c>
      <c r="CC337">
        <f>$C337*CC336</f>
        <v/>
      </c>
      <c r="CD337">
        <f>$C337*CD336</f>
        <v/>
      </c>
      <c r="CE337">
        <f>$C337*CE336</f>
        <v/>
      </c>
      <c r="CF337">
        <f>$C337*CF336</f>
        <v/>
      </c>
      <c r="CG337">
        <f>$C337*CG336</f>
        <v/>
      </c>
      <c r="CH337">
        <f>$C337*CH336</f>
        <v/>
      </c>
      <c r="CI337">
        <f>$C337*CI336</f>
        <v/>
      </c>
      <c r="CJ337">
        <f>$C337*CJ336</f>
        <v/>
      </c>
      <c r="CK337">
        <f>$C337*CK336</f>
        <v/>
      </c>
      <c r="CL337">
        <f>$C337*CL336</f>
        <v/>
      </c>
      <c r="CM337">
        <f>$C337*CM336</f>
        <v/>
      </c>
      <c r="CN337">
        <f>$C337*CN336</f>
        <v/>
      </c>
      <c r="CO337">
        <f>$C337*CO336</f>
        <v/>
      </c>
      <c r="CP337">
        <f>$C337*CP336</f>
        <v/>
      </c>
      <c r="CQ337">
        <f>$C337*CQ336</f>
        <v/>
      </c>
      <c r="CR337">
        <f>$C337*CR336</f>
        <v/>
      </c>
      <c r="CS337">
        <f>$C337*CS336</f>
        <v/>
      </c>
      <c r="CT337">
        <f>$C337*CT336</f>
        <v/>
      </c>
      <c r="CU337">
        <f>$C337*CU336</f>
        <v/>
      </c>
      <c r="CV337">
        <f>$C337*CV336</f>
        <v/>
      </c>
      <c r="CW337">
        <f>$C337*CW336</f>
        <v/>
      </c>
      <c r="CX337">
        <f>$C337*CX336</f>
        <v/>
      </c>
      <c r="CY337">
        <f>$C337*CY336</f>
        <v/>
      </c>
      <c r="CZ337">
        <f>$C337*CZ336</f>
        <v/>
      </c>
      <c r="DA337">
        <f>$C337*DA336</f>
        <v/>
      </c>
      <c r="DB337">
        <f>$C337*DB336</f>
        <v/>
      </c>
      <c r="DC337">
        <f>$C337*DC336</f>
        <v/>
      </c>
      <c r="DD337">
        <f>$C337*DD336</f>
        <v/>
      </c>
    </row>
    <row r="338">
      <c r="B338" t="inlineStr">
        <is>
          <t>TSP-080</t>
        </is>
      </c>
      <c r="C338" t="inlineStr">
        <is>
          <t>No. of batches</t>
        </is>
      </c>
      <c r="D338">
        <f>IFERROR(INDEX(E338:DD338,$F$1),"")</f>
        <v/>
      </c>
      <c r="E338">
        <f>IFERROR(INDEX(PP_Grid[#Data],$DE338,2),0)</f>
        <v/>
      </c>
      <c r="F338">
        <f>IFERROR(INDEX(PP_Grid[#Data],$DE338,3),0)</f>
        <v/>
      </c>
      <c r="G338">
        <f>IFERROR(INDEX(PP_Grid[#Data],$DE338,4),0)</f>
        <v/>
      </c>
      <c r="H338">
        <f>IFERROR(INDEX(PP_Grid[#Data],$DE338,5),0)</f>
        <v/>
      </c>
      <c r="I338">
        <f>IFERROR(INDEX(PP_Grid[#Data],$DE338,6),0)</f>
        <v/>
      </c>
      <c r="J338">
        <f>IFERROR(INDEX(PP_Grid[#Data],$DE338,7),0)</f>
        <v/>
      </c>
      <c r="K338">
        <f>IFERROR(INDEX(PP_Grid[#Data],$DE338,8),0)</f>
        <v/>
      </c>
      <c r="L338">
        <f>IFERROR(INDEX(PP_Grid[#Data],$DE338,9),0)</f>
        <v/>
      </c>
      <c r="M338">
        <f>IFERROR(INDEX(PP_Grid[#Data],$DE338,10),0)</f>
        <v/>
      </c>
      <c r="N338">
        <f>IFERROR(INDEX(PP_Grid[#Data],$DE338,11),0)</f>
        <v/>
      </c>
      <c r="O338">
        <f>IFERROR(INDEX(PP_Grid[#Data],$DE338,12),0)</f>
        <v/>
      </c>
      <c r="P338">
        <f>IFERROR(INDEX(PP_Grid[#Data],$DE338,13),0)</f>
        <v/>
      </c>
      <c r="Q338">
        <f>IFERROR(INDEX(PP_Grid[#Data],$DE338,14),0)</f>
        <v/>
      </c>
      <c r="R338">
        <f>IFERROR(INDEX(PP_Grid[#Data],$DE338,15),0)</f>
        <v/>
      </c>
      <c r="S338">
        <f>IFERROR(INDEX(PP_Grid[#Data],$DE338,16),0)</f>
        <v/>
      </c>
      <c r="T338">
        <f>IFERROR(INDEX(PP_Grid[#Data],$DE338,17),0)</f>
        <v/>
      </c>
      <c r="U338">
        <f>IFERROR(INDEX(PP_Grid[#Data],$DE338,18),0)</f>
        <v/>
      </c>
      <c r="V338">
        <f>IFERROR(INDEX(PP_Grid[#Data],$DE338,19),0)</f>
        <v/>
      </c>
      <c r="W338">
        <f>IFERROR(INDEX(PP_Grid[#Data],$DE338,20),0)</f>
        <v/>
      </c>
      <c r="X338">
        <f>IFERROR(INDEX(PP_Grid[#Data],$DE338,21),0)</f>
        <v/>
      </c>
      <c r="Y338">
        <f>IFERROR(INDEX(PP_Grid[#Data],$DE338,22),0)</f>
        <v/>
      </c>
      <c r="Z338">
        <f>IFERROR(INDEX(PP_Grid[#Data],$DE338,23),0)</f>
        <v/>
      </c>
      <c r="AA338">
        <f>IFERROR(INDEX(PP_Grid[#Data],$DE338,24),0)</f>
        <v/>
      </c>
      <c r="AB338">
        <f>IFERROR(INDEX(PP_Grid[#Data],$DE338,25),0)</f>
        <v/>
      </c>
      <c r="AC338">
        <f>IFERROR(INDEX(PP_Grid[#Data],$DE338,26),0)</f>
        <v/>
      </c>
      <c r="AD338">
        <f>IFERROR(INDEX(PP_Grid[#Data],$DE338,27),0)</f>
        <v/>
      </c>
      <c r="AE338">
        <f>IFERROR(INDEX(PP_Grid[#Data],$DE338,28),0)</f>
        <v/>
      </c>
      <c r="AF338">
        <f>IFERROR(INDEX(PP_Grid[#Data],$DE338,29),0)</f>
        <v/>
      </c>
      <c r="AG338">
        <f>IFERROR(INDEX(PP_Grid[#Data],$DE338,30),0)</f>
        <v/>
      </c>
      <c r="AH338">
        <f>IFERROR(INDEX(PP_Grid[#Data],$DE338,31),0)</f>
        <v/>
      </c>
      <c r="AI338">
        <f>IFERROR(INDEX(PP_Grid[#Data],$DE338,32),0)</f>
        <v/>
      </c>
      <c r="AJ338">
        <f>IFERROR(INDEX(PP_Grid[#Data],$DE338,33),0)</f>
        <v/>
      </c>
      <c r="AK338">
        <f>IFERROR(INDEX(PP_Grid[#Data],$DE338,34),0)</f>
        <v/>
      </c>
      <c r="AL338">
        <f>IFERROR(INDEX(PP_Grid[#Data],$DE338,35),0)</f>
        <v/>
      </c>
      <c r="AM338">
        <f>IFERROR(INDEX(PP_Grid[#Data],$DE338,36),0)</f>
        <v/>
      </c>
      <c r="AN338">
        <f>IFERROR(INDEX(PP_Grid[#Data],$DE338,37),0)</f>
        <v/>
      </c>
      <c r="AO338">
        <f>IFERROR(INDEX(PP_Grid[#Data],$DE338,38),0)</f>
        <v/>
      </c>
      <c r="AP338">
        <f>IFERROR(INDEX(PP_Grid[#Data],$DE338,39),0)</f>
        <v/>
      </c>
      <c r="AQ338">
        <f>IFERROR(INDEX(PP_Grid[#Data],$DE338,40),0)</f>
        <v/>
      </c>
      <c r="AR338">
        <f>IFERROR(INDEX(PP_Grid[#Data],$DE338,41),0)</f>
        <v/>
      </c>
      <c r="AS338">
        <f>IFERROR(INDEX(PP_Grid[#Data],$DE338,42),0)</f>
        <v/>
      </c>
      <c r="AT338">
        <f>IFERROR(INDEX(PP_Grid[#Data],$DE338,43),0)</f>
        <v/>
      </c>
      <c r="AU338">
        <f>IFERROR(INDEX(PP_Grid[#Data],$DE338,44),0)</f>
        <v/>
      </c>
      <c r="AV338">
        <f>IFERROR(INDEX(PP_Grid[#Data],$DE338,45),0)</f>
        <v/>
      </c>
      <c r="AW338">
        <f>IFERROR(INDEX(PP_Grid[#Data],$DE338,46),0)</f>
        <v/>
      </c>
      <c r="AX338">
        <f>IFERROR(INDEX(PP_Grid[#Data],$DE338,47),0)</f>
        <v/>
      </c>
      <c r="AY338">
        <f>IFERROR(INDEX(PP_Grid[#Data],$DE338,48),0)</f>
        <v/>
      </c>
      <c r="AZ338">
        <f>IFERROR(INDEX(PP_Grid[#Data],$DE338,49),0)</f>
        <v/>
      </c>
      <c r="BA338">
        <f>IFERROR(INDEX(PP_Grid[#Data],$DE338,50),0)</f>
        <v/>
      </c>
      <c r="BB338">
        <f>IFERROR(INDEX(PP_Grid[#Data],$DE338,51),0)</f>
        <v/>
      </c>
      <c r="BC338">
        <f>IFERROR(INDEX(PP_Grid[#Data],$DE338,52),0)</f>
        <v/>
      </c>
      <c r="BD338">
        <f>IFERROR(INDEX(PP_Grid[#Data],$DE338,53),0)</f>
        <v/>
      </c>
      <c r="BE338">
        <f>IFERROR(INDEX(PP_Grid[#Data],$DE338,54),0)</f>
        <v/>
      </c>
      <c r="BF338">
        <f>IFERROR(INDEX(PP_Grid[#Data],$DE338,55),0)</f>
        <v/>
      </c>
      <c r="BG338">
        <f>IFERROR(INDEX(PP_Grid[#Data],$DE338,56),0)</f>
        <v/>
      </c>
      <c r="BH338">
        <f>IFERROR(INDEX(PP_Grid[#Data],$DE338,57),0)</f>
        <v/>
      </c>
      <c r="BI338">
        <f>IFERROR(INDEX(PP_Grid[#Data],$DE338,58),0)</f>
        <v/>
      </c>
      <c r="BJ338">
        <f>IFERROR(INDEX(PP_Grid[#Data],$DE338,59),0)</f>
        <v/>
      </c>
      <c r="BK338">
        <f>IFERROR(INDEX(PP_Grid[#Data],$DE338,60),0)</f>
        <v/>
      </c>
      <c r="BL338">
        <f>IFERROR(INDEX(PP_Grid[#Data],$DE338,61),0)</f>
        <v/>
      </c>
      <c r="BM338">
        <f>IFERROR(INDEX(PP_Grid[#Data],$DE338,62),0)</f>
        <v/>
      </c>
      <c r="BN338">
        <f>IFERROR(INDEX(PP_Grid[#Data],$DE338,63),0)</f>
        <v/>
      </c>
      <c r="BO338">
        <f>IFERROR(INDEX(PP_Grid[#Data],$DE338,64),0)</f>
        <v/>
      </c>
      <c r="BP338">
        <f>IFERROR(INDEX(PP_Grid[#Data],$DE338,65),0)</f>
        <v/>
      </c>
      <c r="BQ338">
        <f>IFERROR(INDEX(PP_Grid[#Data],$DE338,66),0)</f>
        <v/>
      </c>
      <c r="BR338">
        <f>IFERROR(INDEX(PP_Grid[#Data],$DE338,67),0)</f>
        <v/>
      </c>
      <c r="BS338">
        <f>IFERROR(INDEX(PP_Grid[#Data],$DE338,68),0)</f>
        <v/>
      </c>
      <c r="BT338">
        <f>IFERROR(INDEX(PP_Grid[#Data],$DE338,69),0)</f>
        <v/>
      </c>
      <c r="BU338">
        <f>IFERROR(INDEX(PP_Grid[#Data],$DE338,70),0)</f>
        <v/>
      </c>
      <c r="BV338">
        <f>IFERROR(INDEX(PP_Grid[#Data],$DE338,71),0)</f>
        <v/>
      </c>
      <c r="BW338">
        <f>IFERROR(INDEX(PP_Grid[#Data],$DE338,72),0)</f>
        <v/>
      </c>
      <c r="BX338">
        <f>IFERROR(INDEX(PP_Grid[#Data],$DE338,73),0)</f>
        <v/>
      </c>
      <c r="BY338">
        <f>IFERROR(INDEX(PP_Grid[#Data],$DE338,74),0)</f>
        <v/>
      </c>
      <c r="BZ338">
        <f>IFERROR(INDEX(PP_Grid[#Data],$DE338,75),0)</f>
        <v/>
      </c>
      <c r="CA338">
        <f>IFERROR(INDEX(PP_Grid[#Data],$DE338,76),0)</f>
        <v/>
      </c>
      <c r="CB338">
        <f>IFERROR(INDEX(PP_Grid[#Data],$DE338,77),0)</f>
        <v/>
      </c>
      <c r="CC338">
        <f>IFERROR(INDEX(PP_Grid[#Data],$DE338,78),0)</f>
        <v/>
      </c>
      <c r="CD338">
        <f>IFERROR(INDEX(PP_Grid[#Data],$DE338,79),0)</f>
        <v/>
      </c>
      <c r="CE338">
        <f>IFERROR(INDEX(PP_Grid[#Data],$DE338,80),0)</f>
        <v/>
      </c>
      <c r="CF338">
        <f>IFERROR(INDEX(PP_Grid[#Data],$DE338,81),0)</f>
        <v/>
      </c>
      <c r="CG338">
        <f>IFERROR(INDEX(PP_Grid[#Data],$DE338,82),0)</f>
        <v/>
      </c>
      <c r="CH338">
        <f>IFERROR(INDEX(PP_Grid[#Data],$DE338,83),0)</f>
        <v/>
      </c>
      <c r="CI338">
        <f>IFERROR(INDEX(PP_Grid[#Data],$DE338,84),0)</f>
        <v/>
      </c>
      <c r="CJ338">
        <f>IFERROR(INDEX(PP_Grid[#Data],$DE338,85),0)</f>
        <v/>
      </c>
      <c r="CK338">
        <f>IFERROR(INDEX(PP_Grid[#Data],$DE338,86),0)</f>
        <v/>
      </c>
      <c r="CL338">
        <f>IFERROR(INDEX(PP_Grid[#Data],$DE338,87),0)</f>
        <v/>
      </c>
      <c r="CM338">
        <f>IFERROR(INDEX(PP_Grid[#Data],$DE338,88),0)</f>
        <v/>
      </c>
      <c r="CN338">
        <f>IFERROR(INDEX(PP_Grid[#Data],$DE338,89),0)</f>
        <v/>
      </c>
      <c r="CO338">
        <f>IFERROR(INDEX(PP_Grid[#Data],$DE338,90),0)</f>
        <v/>
      </c>
      <c r="CP338">
        <f>IFERROR(INDEX(PP_Grid[#Data],$DE338,91),0)</f>
        <v/>
      </c>
      <c r="CQ338">
        <f>IFERROR(INDEX(PP_Grid[#Data],$DE338,92),0)</f>
        <v/>
      </c>
      <c r="CR338">
        <f>IFERROR(INDEX(PP_Grid[#Data],$DE338,93),0)</f>
        <v/>
      </c>
      <c r="CS338">
        <f>IFERROR(INDEX(PP_Grid[#Data],$DE338,94),0)</f>
        <v/>
      </c>
      <c r="CT338">
        <f>IFERROR(INDEX(PP_Grid[#Data],$DE338,95),0)</f>
        <v/>
      </c>
      <c r="CU338">
        <f>IFERROR(INDEX(PP_Grid[#Data],$DE338,96),0)</f>
        <v/>
      </c>
      <c r="CV338">
        <f>IFERROR(INDEX(PP_Grid[#Data],$DE338,97),0)</f>
        <v/>
      </c>
      <c r="CW338">
        <f>IFERROR(INDEX(PP_Grid[#Data],$DE338,98),0)</f>
        <v/>
      </c>
      <c r="CX338">
        <f>IFERROR(INDEX(PP_Grid[#Data],$DE338,99),0)</f>
        <v/>
      </c>
      <c r="CY338">
        <f>IFERROR(INDEX(PP_Grid[#Data],$DE338,100),0)</f>
        <v/>
      </c>
      <c r="CZ338">
        <f>IFERROR(INDEX(PP_Grid[#Data],$DE338,101),0)</f>
        <v/>
      </c>
      <c r="DA338">
        <f>IFERROR(INDEX(PP_Grid[#Data],$DE338,102),0)</f>
        <v/>
      </c>
      <c r="DB338">
        <f>IFERROR(INDEX(PP_Grid[#Data],$DE338,103),0)</f>
        <v/>
      </c>
      <c r="DC338">
        <f>IFERROR(INDEX(PP_Grid[#Data],$DE338,104),0)</f>
        <v/>
      </c>
      <c r="DD338">
        <f>IFERROR(INDEX(PP_Grid[#Data],$DE338,105),0)</f>
        <v/>
      </c>
      <c r="DE338" s="7">
        <f>IFERROR(MATCH($B338,PP_Grid[Intermediate],0),99999)</f>
        <v/>
      </c>
    </row>
    <row r="339">
      <c r="B339" t="inlineStr">
        <is>
          <t>使用量(kg)</t>
        </is>
      </c>
      <c r="C339">
        <f>SUMIFS(M_BOM[RM_Qty_Per_Batch],M_BOM[Intermediate],$B338,M_BOM[RM_Code],$A325)</f>
        <v/>
      </c>
      <c r="D339">
        <f>IFERROR(INDEX(E339:DD339,$F$1),"")</f>
        <v/>
      </c>
      <c r="E339">
        <f>$C339*E338</f>
        <v/>
      </c>
      <c r="F339">
        <f>$C339*F338</f>
        <v/>
      </c>
      <c r="G339">
        <f>$C339*G338</f>
        <v/>
      </c>
      <c r="H339">
        <f>$C339*H338</f>
        <v/>
      </c>
      <c r="I339">
        <f>$C339*I338</f>
        <v/>
      </c>
      <c r="J339">
        <f>$C339*J338</f>
        <v/>
      </c>
      <c r="K339">
        <f>$C339*K338</f>
        <v/>
      </c>
      <c r="L339">
        <f>$C339*L338</f>
        <v/>
      </c>
      <c r="M339">
        <f>$C339*M338</f>
        <v/>
      </c>
      <c r="N339">
        <f>$C339*N338</f>
        <v/>
      </c>
      <c r="O339">
        <f>$C339*O338</f>
        <v/>
      </c>
      <c r="P339">
        <f>$C339*P338</f>
        <v/>
      </c>
      <c r="Q339">
        <f>$C339*Q338</f>
        <v/>
      </c>
      <c r="R339">
        <f>$C339*R338</f>
        <v/>
      </c>
      <c r="S339">
        <f>$C339*S338</f>
        <v/>
      </c>
      <c r="T339">
        <f>$C339*T338</f>
        <v/>
      </c>
      <c r="U339">
        <f>$C339*U338</f>
        <v/>
      </c>
      <c r="V339">
        <f>$C339*V338</f>
        <v/>
      </c>
      <c r="W339">
        <f>$C339*W338</f>
        <v/>
      </c>
      <c r="X339">
        <f>$C339*X338</f>
        <v/>
      </c>
      <c r="Y339">
        <f>$C339*Y338</f>
        <v/>
      </c>
      <c r="Z339">
        <f>$C339*Z338</f>
        <v/>
      </c>
      <c r="AA339">
        <f>$C339*AA338</f>
        <v/>
      </c>
      <c r="AB339">
        <f>$C339*AB338</f>
        <v/>
      </c>
      <c r="AC339">
        <f>$C339*AC338</f>
        <v/>
      </c>
      <c r="AD339">
        <f>$C339*AD338</f>
        <v/>
      </c>
      <c r="AE339">
        <f>$C339*AE338</f>
        <v/>
      </c>
      <c r="AF339">
        <f>$C339*AF338</f>
        <v/>
      </c>
      <c r="AG339">
        <f>$C339*AG338</f>
        <v/>
      </c>
      <c r="AH339">
        <f>$C339*AH338</f>
        <v/>
      </c>
      <c r="AI339">
        <f>$C339*AI338</f>
        <v/>
      </c>
      <c r="AJ339">
        <f>$C339*AJ338</f>
        <v/>
      </c>
      <c r="AK339">
        <f>$C339*AK338</f>
        <v/>
      </c>
      <c r="AL339">
        <f>$C339*AL338</f>
        <v/>
      </c>
      <c r="AM339">
        <f>$C339*AM338</f>
        <v/>
      </c>
      <c r="AN339">
        <f>$C339*AN338</f>
        <v/>
      </c>
      <c r="AO339">
        <f>$C339*AO338</f>
        <v/>
      </c>
      <c r="AP339">
        <f>$C339*AP338</f>
        <v/>
      </c>
      <c r="AQ339">
        <f>$C339*AQ338</f>
        <v/>
      </c>
      <c r="AR339">
        <f>$C339*AR338</f>
        <v/>
      </c>
      <c r="AS339">
        <f>$C339*AS338</f>
        <v/>
      </c>
      <c r="AT339">
        <f>$C339*AT338</f>
        <v/>
      </c>
      <c r="AU339">
        <f>$C339*AU338</f>
        <v/>
      </c>
      <c r="AV339">
        <f>$C339*AV338</f>
        <v/>
      </c>
      <c r="AW339">
        <f>$C339*AW338</f>
        <v/>
      </c>
      <c r="AX339">
        <f>$C339*AX338</f>
        <v/>
      </c>
      <c r="AY339">
        <f>$C339*AY338</f>
        <v/>
      </c>
      <c r="AZ339">
        <f>$C339*AZ338</f>
        <v/>
      </c>
      <c r="BA339">
        <f>$C339*BA338</f>
        <v/>
      </c>
      <c r="BB339">
        <f>$C339*BB338</f>
        <v/>
      </c>
      <c r="BC339">
        <f>$C339*BC338</f>
        <v/>
      </c>
      <c r="BD339">
        <f>$C339*BD338</f>
        <v/>
      </c>
      <c r="BE339">
        <f>$C339*BE338</f>
        <v/>
      </c>
      <c r="BF339">
        <f>$C339*BF338</f>
        <v/>
      </c>
      <c r="BG339">
        <f>$C339*BG338</f>
        <v/>
      </c>
      <c r="BH339">
        <f>$C339*BH338</f>
        <v/>
      </c>
      <c r="BI339">
        <f>$C339*BI338</f>
        <v/>
      </c>
      <c r="BJ339">
        <f>$C339*BJ338</f>
        <v/>
      </c>
      <c r="BK339">
        <f>$C339*BK338</f>
        <v/>
      </c>
      <c r="BL339">
        <f>$C339*BL338</f>
        <v/>
      </c>
      <c r="BM339">
        <f>$C339*BM338</f>
        <v/>
      </c>
      <c r="BN339">
        <f>$C339*BN338</f>
        <v/>
      </c>
      <c r="BO339">
        <f>$C339*BO338</f>
        <v/>
      </c>
      <c r="BP339">
        <f>$C339*BP338</f>
        <v/>
      </c>
      <c r="BQ339">
        <f>$C339*BQ338</f>
        <v/>
      </c>
      <c r="BR339">
        <f>$C339*BR338</f>
        <v/>
      </c>
      <c r="BS339">
        <f>$C339*BS338</f>
        <v/>
      </c>
      <c r="BT339">
        <f>$C339*BT338</f>
        <v/>
      </c>
      <c r="BU339">
        <f>$C339*BU338</f>
        <v/>
      </c>
      <c r="BV339">
        <f>$C339*BV338</f>
        <v/>
      </c>
      <c r="BW339">
        <f>$C339*BW338</f>
        <v/>
      </c>
      <c r="BX339">
        <f>$C339*BX338</f>
        <v/>
      </c>
      <c r="BY339">
        <f>$C339*BY338</f>
        <v/>
      </c>
      <c r="BZ339">
        <f>$C339*BZ338</f>
        <v/>
      </c>
      <c r="CA339">
        <f>$C339*CA338</f>
        <v/>
      </c>
      <c r="CB339">
        <f>$C339*CB338</f>
        <v/>
      </c>
      <c r="CC339">
        <f>$C339*CC338</f>
        <v/>
      </c>
      <c r="CD339">
        <f>$C339*CD338</f>
        <v/>
      </c>
      <c r="CE339">
        <f>$C339*CE338</f>
        <v/>
      </c>
      <c r="CF339">
        <f>$C339*CF338</f>
        <v/>
      </c>
      <c r="CG339">
        <f>$C339*CG338</f>
        <v/>
      </c>
      <c r="CH339">
        <f>$C339*CH338</f>
        <v/>
      </c>
      <c r="CI339">
        <f>$C339*CI338</f>
        <v/>
      </c>
      <c r="CJ339">
        <f>$C339*CJ338</f>
        <v/>
      </c>
      <c r="CK339">
        <f>$C339*CK338</f>
        <v/>
      </c>
      <c r="CL339">
        <f>$C339*CL338</f>
        <v/>
      </c>
      <c r="CM339">
        <f>$C339*CM338</f>
        <v/>
      </c>
      <c r="CN339">
        <f>$C339*CN338</f>
        <v/>
      </c>
      <c r="CO339">
        <f>$C339*CO338</f>
        <v/>
      </c>
      <c r="CP339">
        <f>$C339*CP338</f>
        <v/>
      </c>
      <c r="CQ339">
        <f>$C339*CQ338</f>
        <v/>
      </c>
      <c r="CR339">
        <f>$C339*CR338</f>
        <v/>
      </c>
      <c r="CS339">
        <f>$C339*CS338</f>
        <v/>
      </c>
      <c r="CT339">
        <f>$C339*CT338</f>
        <v/>
      </c>
      <c r="CU339">
        <f>$C339*CU338</f>
        <v/>
      </c>
      <c r="CV339">
        <f>$C339*CV338</f>
        <v/>
      </c>
      <c r="CW339">
        <f>$C339*CW338</f>
        <v/>
      </c>
      <c r="CX339">
        <f>$C339*CX338</f>
        <v/>
      </c>
      <c r="CY339">
        <f>$C339*CY338</f>
        <v/>
      </c>
      <c r="CZ339">
        <f>$C339*CZ338</f>
        <v/>
      </c>
      <c r="DA339">
        <f>$C339*DA338</f>
        <v/>
      </c>
      <c r="DB339">
        <f>$C339*DB338</f>
        <v/>
      </c>
      <c r="DC339">
        <f>$C339*DC338</f>
        <v/>
      </c>
      <c r="DD339">
        <f>$C339*DD338</f>
        <v/>
      </c>
    </row>
    <row r="340">
      <c r="B340" t="inlineStr">
        <is>
          <t>TSP-089</t>
        </is>
      </c>
      <c r="C340" t="inlineStr">
        <is>
          <t>No. of batches</t>
        </is>
      </c>
      <c r="D340">
        <f>IFERROR(INDEX(E340:DD340,$F$1),"")</f>
        <v/>
      </c>
      <c r="E340">
        <f>IFERROR(INDEX(PP_Grid[#Data],$DE340,2),0)</f>
        <v/>
      </c>
      <c r="F340">
        <f>IFERROR(INDEX(PP_Grid[#Data],$DE340,3),0)</f>
        <v/>
      </c>
      <c r="G340">
        <f>IFERROR(INDEX(PP_Grid[#Data],$DE340,4),0)</f>
        <v/>
      </c>
      <c r="H340">
        <f>IFERROR(INDEX(PP_Grid[#Data],$DE340,5),0)</f>
        <v/>
      </c>
      <c r="I340">
        <f>IFERROR(INDEX(PP_Grid[#Data],$DE340,6),0)</f>
        <v/>
      </c>
      <c r="J340">
        <f>IFERROR(INDEX(PP_Grid[#Data],$DE340,7),0)</f>
        <v/>
      </c>
      <c r="K340">
        <f>IFERROR(INDEX(PP_Grid[#Data],$DE340,8),0)</f>
        <v/>
      </c>
      <c r="L340">
        <f>IFERROR(INDEX(PP_Grid[#Data],$DE340,9),0)</f>
        <v/>
      </c>
      <c r="M340">
        <f>IFERROR(INDEX(PP_Grid[#Data],$DE340,10),0)</f>
        <v/>
      </c>
      <c r="N340">
        <f>IFERROR(INDEX(PP_Grid[#Data],$DE340,11),0)</f>
        <v/>
      </c>
      <c r="O340">
        <f>IFERROR(INDEX(PP_Grid[#Data],$DE340,12),0)</f>
        <v/>
      </c>
      <c r="P340">
        <f>IFERROR(INDEX(PP_Grid[#Data],$DE340,13),0)</f>
        <v/>
      </c>
      <c r="Q340">
        <f>IFERROR(INDEX(PP_Grid[#Data],$DE340,14),0)</f>
        <v/>
      </c>
      <c r="R340">
        <f>IFERROR(INDEX(PP_Grid[#Data],$DE340,15),0)</f>
        <v/>
      </c>
      <c r="S340">
        <f>IFERROR(INDEX(PP_Grid[#Data],$DE340,16),0)</f>
        <v/>
      </c>
      <c r="T340">
        <f>IFERROR(INDEX(PP_Grid[#Data],$DE340,17),0)</f>
        <v/>
      </c>
      <c r="U340">
        <f>IFERROR(INDEX(PP_Grid[#Data],$DE340,18),0)</f>
        <v/>
      </c>
      <c r="V340">
        <f>IFERROR(INDEX(PP_Grid[#Data],$DE340,19),0)</f>
        <v/>
      </c>
      <c r="W340">
        <f>IFERROR(INDEX(PP_Grid[#Data],$DE340,20),0)</f>
        <v/>
      </c>
      <c r="X340">
        <f>IFERROR(INDEX(PP_Grid[#Data],$DE340,21),0)</f>
        <v/>
      </c>
      <c r="Y340">
        <f>IFERROR(INDEX(PP_Grid[#Data],$DE340,22),0)</f>
        <v/>
      </c>
      <c r="Z340">
        <f>IFERROR(INDEX(PP_Grid[#Data],$DE340,23),0)</f>
        <v/>
      </c>
      <c r="AA340">
        <f>IFERROR(INDEX(PP_Grid[#Data],$DE340,24),0)</f>
        <v/>
      </c>
      <c r="AB340">
        <f>IFERROR(INDEX(PP_Grid[#Data],$DE340,25),0)</f>
        <v/>
      </c>
      <c r="AC340">
        <f>IFERROR(INDEX(PP_Grid[#Data],$DE340,26),0)</f>
        <v/>
      </c>
      <c r="AD340">
        <f>IFERROR(INDEX(PP_Grid[#Data],$DE340,27),0)</f>
        <v/>
      </c>
      <c r="AE340">
        <f>IFERROR(INDEX(PP_Grid[#Data],$DE340,28),0)</f>
        <v/>
      </c>
      <c r="AF340">
        <f>IFERROR(INDEX(PP_Grid[#Data],$DE340,29),0)</f>
        <v/>
      </c>
      <c r="AG340">
        <f>IFERROR(INDEX(PP_Grid[#Data],$DE340,30),0)</f>
        <v/>
      </c>
      <c r="AH340">
        <f>IFERROR(INDEX(PP_Grid[#Data],$DE340,31),0)</f>
        <v/>
      </c>
      <c r="AI340">
        <f>IFERROR(INDEX(PP_Grid[#Data],$DE340,32),0)</f>
        <v/>
      </c>
      <c r="AJ340">
        <f>IFERROR(INDEX(PP_Grid[#Data],$DE340,33),0)</f>
        <v/>
      </c>
      <c r="AK340">
        <f>IFERROR(INDEX(PP_Grid[#Data],$DE340,34),0)</f>
        <v/>
      </c>
      <c r="AL340">
        <f>IFERROR(INDEX(PP_Grid[#Data],$DE340,35),0)</f>
        <v/>
      </c>
      <c r="AM340">
        <f>IFERROR(INDEX(PP_Grid[#Data],$DE340,36),0)</f>
        <v/>
      </c>
      <c r="AN340">
        <f>IFERROR(INDEX(PP_Grid[#Data],$DE340,37),0)</f>
        <v/>
      </c>
      <c r="AO340">
        <f>IFERROR(INDEX(PP_Grid[#Data],$DE340,38),0)</f>
        <v/>
      </c>
      <c r="AP340">
        <f>IFERROR(INDEX(PP_Grid[#Data],$DE340,39),0)</f>
        <v/>
      </c>
      <c r="AQ340">
        <f>IFERROR(INDEX(PP_Grid[#Data],$DE340,40),0)</f>
        <v/>
      </c>
      <c r="AR340">
        <f>IFERROR(INDEX(PP_Grid[#Data],$DE340,41),0)</f>
        <v/>
      </c>
      <c r="AS340">
        <f>IFERROR(INDEX(PP_Grid[#Data],$DE340,42),0)</f>
        <v/>
      </c>
      <c r="AT340">
        <f>IFERROR(INDEX(PP_Grid[#Data],$DE340,43),0)</f>
        <v/>
      </c>
      <c r="AU340">
        <f>IFERROR(INDEX(PP_Grid[#Data],$DE340,44),0)</f>
        <v/>
      </c>
      <c r="AV340">
        <f>IFERROR(INDEX(PP_Grid[#Data],$DE340,45),0)</f>
        <v/>
      </c>
      <c r="AW340">
        <f>IFERROR(INDEX(PP_Grid[#Data],$DE340,46),0)</f>
        <v/>
      </c>
      <c r="AX340">
        <f>IFERROR(INDEX(PP_Grid[#Data],$DE340,47),0)</f>
        <v/>
      </c>
      <c r="AY340">
        <f>IFERROR(INDEX(PP_Grid[#Data],$DE340,48),0)</f>
        <v/>
      </c>
      <c r="AZ340">
        <f>IFERROR(INDEX(PP_Grid[#Data],$DE340,49),0)</f>
        <v/>
      </c>
      <c r="BA340">
        <f>IFERROR(INDEX(PP_Grid[#Data],$DE340,50),0)</f>
        <v/>
      </c>
      <c r="BB340">
        <f>IFERROR(INDEX(PP_Grid[#Data],$DE340,51),0)</f>
        <v/>
      </c>
      <c r="BC340">
        <f>IFERROR(INDEX(PP_Grid[#Data],$DE340,52),0)</f>
        <v/>
      </c>
      <c r="BD340">
        <f>IFERROR(INDEX(PP_Grid[#Data],$DE340,53),0)</f>
        <v/>
      </c>
      <c r="BE340">
        <f>IFERROR(INDEX(PP_Grid[#Data],$DE340,54),0)</f>
        <v/>
      </c>
      <c r="BF340">
        <f>IFERROR(INDEX(PP_Grid[#Data],$DE340,55),0)</f>
        <v/>
      </c>
      <c r="BG340">
        <f>IFERROR(INDEX(PP_Grid[#Data],$DE340,56),0)</f>
        <v/>
      </c>
      <c r="BH340">
        <f>IFERROR(INDEX(PP_Grid[#Data],$DE340,57),0)</f>
        <v/>
      </c>
      <c r="BI340">
        <f>IFERROR(INDEX(PP_Grid[#Data],$DE340,58),0)</f>
        <v/>
      </c>
      <c r="BJ340">
        <f>IFERROR(INDEX(PP_Grid[#Data],$DE340,59),0)</f>
        <v/>
      </c>
      <c r="BK340">
        <f>IFERROR(INDEX(PP_Grid[#Data],$DE340,60),0)</f>
        <v/>
      </c>
      <c r="BL340">
        <f>IFERROR(INDEX(PP_Grid[#Data],$DE340,61),0)</f>
        <v/>
      </c>
      <c r="BM340">
        <f>IFERROR(INDEX(PP_Grid[#Data],$DE340,62),0)</f>
        <v/>
      </c>
      <c r="BN340">
        <f>IFERROR(INDEX(PP_Grid[#Data],$DE340,63),0)</f>
        <v/>
      </c>
      <c r="BO340">
        <f>IFERROR(INDEX(PP_Grid[#Data],$DE340,64),0)</f>
        <v/>
      </c>
      <c r="BP340">
        <f>IFERROR(INDEX(PP_Grid[#Data],$DE340,65),0)</f>
        <v/>
      </c>
      <c r="BQ340">
        <f>IFERROR(INDEX(PP_Grid[#Data],$DE340,66),0)</f>
        <v/>
      </c>
      <c r="BR340">
        <f>IFERROR(INDEX(PP_Grid[#Data],$DE340,67),0)</f>
        <v/>
      </c>
      <c r="BS340">
        <f>IFERROR(INDEX(PP_Grid[#Data],$DE340,68),0)</f>
        <v/>
      </c>
      <c r="BT340">
        <f>IFERROR(INDEX(PP_Grid[#Data],$DE340,69),0)</f>
        <v/>
      </c>
      <c r="BU340">
        <f>IFERROR(INDEX(PP_Grid[#Data],$DE340,70),0)</f>
        <v/>
      </c>
      <c r="BV340">
        <f>IFERROR(INDEX(PP_Grid[#Data],$DE340,71),0)</f>
        <v/>
      </c>
      <c r="BW340">
        <f>IFERROR(INDEX(PP_Grid[#Data],$DE340,72),0)</f>
        <v/>
      </c>
      <c r="BX340">
        <f>IFERROR(INDEX(PP_Grid[#Data],$DE340,73),0)</f>
        <v/>
      </c>
      <c r="BY340">
        <f>IFERROR(INDEX(PP_Grid[#Data],$DE340,74),0)</f>
        <v/>
      </c>
      <c r="BZ340">
        <f>IFERROR(INDEX(PP_Grid[#Data],$DE340,75),0)</f>
        <v/>
      </c>
      <c r="CA340">
        <f>IFERROR(INDEX(PP_Grid[#Data],$DE340,76),0)</f>
        <v/>
      </c>
      <c r="CB340">
        <f>IFERROR(INDEX(PP_Grid[#Data],$DE340,77),0)</f>
        <v/>
      </c>
      <c r="CC340">
        <f>IFERROR(INDEX(PP_Grid[#Data],$DE340,78),0)</f>
        <v/>
      </c>
      <c r="CD340">
        <f>IFERROR(INDEX(PP_Grid[#Data],$DE340,79),0)</f>
        <v/>
      </c>
      <c r="CE340">
        <f>IFERROR(INDEX(PP_Grid[#Data],$DE340,80),0)</f>
        <v/>
      </c>
      <c r="CF340">
        <f>IFERROR(INDEX(PP_Grid[#Data],$DE340,81),0)</f>
        <v/>
      </c>
      <c r="CG340">
        <f>IFERROR(INDEX(PP_Grid[#Data],$DE340,82),0)</f>
        <v/>
      </c>
      <c r="CH340">
        <f>IFERROR(INDEX(PP_Grid[#Data],$DE340,83),0)</f>
        <v/>
      </c>
      <c r="CI340">
        <f>IFERROR(INDEX(PP_Grid[#Data],$DE340,84),0)</f>
        <v/>
      </c>
      <c r="CJ340">
        <f>IFERROR(INDEX(PP_Grid[#Data],$DE340,85),0)</f>
        <v/>
      </c>
      <c r="CK340">
        <f>IFERROR(INDEX(PP_Grid[#Data],$DE340,86),0)</f>
        <v/>
      </c>
      <c r="CL340">
        <f>IFERROR(INDEX(PP_Grid[#Data],$DE340,87),0)</f>
        <v/>
      </c>
      <c r="CM340">
        <f>IFERROR(INDEX(PP_Grid[#Data],$DE340,88),0)</f>
        <v/>
      </c>
      <c r="CN340">
        <f>IFERROR(INDEX(PP_Grid[#Data],$DE340,89),0)</f>
        <v/>
      </c>
      <c r="CO340">
        <f>IFERROR(INDEX(PP_Grid[#Data],$DE340,90),0)</f>
        <v/>
      </c>
      <c r="CP340">
        <f>IFERROR(INDEX(PP_Grid[#Data],$DE340,91),0)</f>
        <v/>
      </c>
      <c r="CQ340">
        <f>IFERROR(INDEX(PP_Grid[#Data],$DE340,92),0)</f>
        <v/>
      </c>
      <c r="CR340">
        <f>IFERROR(INDEX(PP_Grid[#Data],$DE340,93),0)</f>
        <v/>
      </c>
      <c r="CS340">
        <f>IFERROR(INDEX(PP_Grid[#Data],$DE340,94),0)</f>
        <v/>
      </c>
      <c r="CT340">
        <f>IFERROR(INDEX(PP_Grid[#Data],$DE340,95),0)</f>
        <v/>
      </c>
      <c r="CU340">
        <f>IFERROR(INDEX(PP_Grid[#Data],$DE340,96),0)</f>
        <v/>
      </c>
      <c r="CV340">
        <f>IFERROR(INDEX(PP_Grid[#Data],$DE340,97),0)</f>
        <v/>
      </c>
      <c r="CW340">
        <f>IFERROR(INDEX(PP_Grid[#Data],$DE340,98),0)</f>
        <v/>
      </c>
      <c r="CX340">
        <f>IFERROR(INDEX(PP_Grid[#Data],$DE340,99),0)</f>
        <v/>
      </c>
      <c r="CY340">
        <f>IFERROR(INDEX(PP_Grid[#Data],$DE340,100),0)</f>
        <v/>
      </c>
      <c r="CZ340">
        <f>IFERROR(INDEX(PP_Grid[#Data],$DE340,101),0)</f>
        <v/>
      </c>
      <c r="DA340">
        <f>IFERROR(INDEX(PP_Grid[#Data],$DE340,102),0)</f>
        <v/>
      </c>
      <c r="DB340">
        <f>IFERROR(INDEX(PP_Grid[#Data],$DE340,103),0)</f>
        <v/>
      </c>
      <c r="DC340">
        <f>IFERROR(INDEX(PP_Grid[#Data],$DE340,104),0)</f>
        <v/>
      </c>
      <c r="DD340">
        <f>IFERROR(INDEX(PP_Grid[#Data],$DE340,105),0)</f>
        <v/>
      </c>
      <c r="DE340" s="7">
        <f>IFERROR(MATCH($B340,PP_Grid[Intermediate],0),99999)</f>
        <v/>
      </c>
    </row>
    <row r="341">
      <c r="B341" t="inlineStr">
        <is>
          <t>使用量(kg)</t>
        </is>
      </c>
      <c r="C341">
        <f>SUMIFS(M_BOM[RM_Qty_Per_Batch],M_BOM[Intermediate],$B340,M_BOM[RM_Code],$A325)</f>
        <v/>
      </c>
      <c r="D341">
        <f>IFERROR(INDEX(E341:DD341,$F$1),"")</f>
        <v/>
      </c>
      <c r="E341">
        <f>$C341*E340</f>
        <v/>
      </c>
      <c r="F341">
        <f>$C341*F340</f>
        <v/>
      </c>
      <c r="G341">
        <f>$C341*G340</f>
        <v/>
      </c>
      <c r="H341">
        <f>$C341*H340</f>
        <v/>
      </c>
      <c r="I341">
        <f>$C341*I340</f>
        <v/>
      </c>
      <c r="J341">
        <f>$C341*J340</f>
        <v/>
      </c>
      <c r="K341">
        <f>$C341*K340</f>
        <v/>
      </c>
      <c r="L341">
        <f>$C341*L340</f>
        <v/>
      </c>
      <c r="M341">
        <f>$C341*M340</f>
        <v/>
      </c>
      <c r="N341">
        <f>$C341*N340</f>
        <v/>
      </c>
      <c r="O341">
        <f>$C341*O340</f>
        <v/>
      </c>
      <c r="P341">
        <f>$C341*P340</f>
        <v/>
      </c>
      <c r="Q341">
        <f>$C341*Q340</f>
        <v/>
      </c>
      <c r="R341">
        <f>$C341*R340</f>
        <v/>
      </c>
      <c r="S341">
        <f>$C341*S340</f>
        <v/>
      </c>
      <c r="T341">
        <f>$C341*T340</f>
        <v/>
      </c>
      <c r="U341">
        <f>$C341*U340</f>
        <v/>
      </c>
      <c r="V341">
        <f>$C341*V340</f>
        <v/>
      </c>
      <c r="W341">
        <f>$C341*W340</f>
        <v/>
      </c>
      <c r="X341">
        <f>$C341*X340</f>
        <v/>
      </c>
      <c r="Y341">
        <f>$C341*Y340</f>
        <v/>
      </c>
      <c r="Z341">
        <f>$C341*Z340</f>
        <v/>
      </c>
      <c r="AA341">
        <f>$C341*AA340</f>
        <v/>
      </c>
      <c r="AB341">
        <f>$C341*AB340</f>
        <v/>
      </c>
      <c r="AC341">
        <f>$C341*AC340</f>
        <v/>
      </c>
      <c r="AD341">
        <f>$C341*AD340</f>
        <v/>
      </c>
      <c r="AE341">
        <f>$C341*AE340</f>
        <v/>
      </c>
      <c r="AF341">
        <f>$C341*AF340</f>
        <v/>
      </c>
      <c r="AG341">
        <f>$C341*AG340</f>
        <v/>
      </c>
      <c r="AH341">
        <f>$C341*AH340</f>
        <v/>
      </c>
      <c r="AI341">
        <f>$C341*AI340</f>
        <v/>
      </c>
      <c r="AJ341">
        <f>$C341*AJ340</f>
        <v/>
      </c>
      <c r="AK341">
        <f>$C341*AK340</f>
        <v/>
      </c>
      <c r="AL341">
        <f>$C341*AL340</f>
        <v/>
      </c>
      <c r="AM341">
        <f>$C341*AM340</f>
        <v/>
      </c>
      <c r="AN341">
        <f>$C341*AN340</f>
        <v/>
      </c>
      <c r="AO341">
        <f>$C341*AO340</f>
        <v/>
      </c>
      <c r="AP341">
        <f>$C341*AP340</f>
        <v/>
      </c>
      <c r="AQ341">
        <f>$C341*AQ340</f>
        <v/>
      </c>
      <c r="AR341">
        <f>$C341*AR340</f>
        <v/>
      </c>
      <c r="AS341">
        <f>$C341*AS340</f>
        <v/>
      </c>
      <c r="AT341">
        <f>$C341*AT340</f>
        <v/>
      </c>
      <c r="AU341">
        <f>$C341*AU340</f>
        <v/>
      </c>
      <c r="AV341">
        <f>$C341*AV340</f>
        <v/>
      </c>
      <c r="AW341">
        <f>$C341*AW340</f>
        <v/>
      </c>
      <c r="AX341">
        <f>$C341*AX340</f>
        <v/>
      </c>
      <c r="AY341">
        <f>$C341*AY340</f>
        <v/>
      </c>
      <c r="AZ341">
        <f>$C341*AZ340</f>
        <v/>
      </c>
      <c r="BA341">
        <f>$C341*BA340</f>
        <v/>
      </c>
      <c r="BB341">
        <f>$C341*BB340</f>
        <v/>
      </c>
      <c r="BC341">
        <f>$C341*BC340</f>
        <v/>
      </c>
      <c r="BD341">
        <f>$C341*BD340</f>
        <v/>
      </c>
      <c r="BE341">
        <f>$C341*BE340</f>
        <v/>
      </c>
      <c r="BF341">
        <f>$C341*BF340</f>
        <v/>
      </c>
      <c r="BG341">
        <f>$C341*BG340</f>
        <v/>
      </c>
      <c r="BH341">
        <f>$C341*BH340</f>
        <v/>
      </c>
      <c r="BI341">
        <f>$C341*BI340</f>
        <v/>
      </c>
      <c r="BJ341">
        <f>$C341*BJ340</f>
        <v/>
      </c>
      <c r="BK341">
        <f>$C341*BK340</f>
        <v/>
      </c>
      <c r="BL341">
        <f>$C341*BL340</f>
        <v/>
      </c>
      <c r="BM341">
        <f>$C341*BM340</f>
        <v/>
      </c>
      <c r="BN341">
        <f>$C341*BN340</f>
        <v/>
      </c>
      <c r="BO341">
        <f>$C341*BO340</f>
        <v/>
      </c>
      <c r="BP341">
        <f>$C341*BP340</f>
        <v/>
      </c>
      <c r="BQ341">
        <f>$C341*BQ340</f>
        <v/>
      </c>
      <c r="BR341">
        <f>$C341*BR340</f>
        <v/>
      </c>
      <c r="BS341">
        <f>$C341*BS340</f>
        <v/>
      </c>
      <c r="BT341">
        <f>$C341*BT340</f>
        <v/>
      </c>
      <c r="BU341">
        <f>$C341*BU340</f>
        <v/>
      </c>
      <c r="BV341">
        <f>$C341*BV340</f>
        <v/>
      </c>
      <c r="BW341">
        <f>$C341*BW340</f>
        <v/>
      </c>
      <c r="BX341">
        <f>$C341*BX340</f>
        <v/>
      </c>
      <c r="BY341">
        <f>$C341*BY340</f>
        <v/>
      </c>
      <c r="BZ341">
        <f>$C341*BZ340</f>
        <v/>
      </c>
      <c r="CA341">
        <f>$C341*CA340</f>
        <v/>
      </c>
      <c r="CB341">
        <f>$C341*CB340</f>
        <v/>
      </c>
      <c r="CC341">
        <f>$C341*CC340</f>
        <v/>
      </c>
      <c r="CD341">
        <f>$C341*CD340</f>
        <v/>
      </c>
      <c r="CE341">
        <f>$C341*CE340</f>
        <v/>
      </c>
      <c r="CF341">
        <f>$C341*CF340</f>
        <v/>
      </c>
      <c r="CG341">
        <f>$C341*CG340</f>
        <v/>
      </c>
      <c r="CH341">
        <f>$C341*CH340</f>
        <v/>
      </c>
      <c r="CI341">
        <f>$C341*CI340</f>
        <v/>
      </c>
      <c r="CJ341">
        <f>$C341*CJ340</f>
        <v/>
      </c>
      <c r="CK341">
        <f>$C341*CK340</f>
        <v/>
      </c>
      <c r="CL341">
        <f>$C341*CL340</f>
        <v/>
      </c>
      <c r="CM341">
        <f>$C341*CM340</f>
        <v/>
      </c>
      <c r="CN341">
        <f>$C341*CN340</f>
        <v/>
      </c>
      <c r="CO341">
        <f>$C341*CO340</f>
        <v/>
      </c>
      <c r="CP341">
        <f>$C341*CP340</f>
        <v/>
      </c>
      <c r="CQ341">
        <f>$C341*CQ340</f>
        <v/>
      </c>
      <c r="CR341">
        <f>$C341*CR340</f>
        <v/>
      </c>
      <c r="CS341">
        <f>$C341*CS340</f>
        <v/>
      </c>
      <c r="CT341">
        <f>$C341*CT340</f>
        <v/>
      </c>
      <c r="CU341">
        <f>$C341*CU340</f>
        <v/>
      </c>
      <c r="CV341">
        <f>$C341*CV340</f>
        <v/>
      </c>
      <c r="CW341">
        <f>$C341*CW340</f>
        <v/>
      </c>
      <c r="CX341">
        <f>$C341*CX340</f>
        <v/>
      </c>
      <c r="CY341">
        <f>$C341*CY340</f>
        <v/>
      </c>
      <c r="CZ341">
        <f>$C341*CZ340</f>
        <v/>
      </c>
      <c r="DA341">
        <f>$C341*DA340</f>
        <v/>
      </c>
      <c r="DB341">
        <f>$C341*DB340</f>
        <v/>
      </c>
      <c r="DC341">
        <f>$C341*DC340</f>
        <v/>
      </c>
      <c r="DD341">
        <f>$C341*DD340</f>
        <v/>
      </c>
    </row>
    <row r="342">
      <c r="B342" t="inlineStr">
        <is>
          <t>TSP-104</t>
        </is>
      </c>
      <c r="C342" t="inlineStr">
        <is>
          <t>No. of batches</t>
        </is>
      </c>
      <c r="D342">
        <f>IFERROR(INDEX(E342:DD342,$F$1),"")</f>
        <v/>
      </c>
      <c r="E342">
        <f>IFERROR(INDEX(PP_Grid[#Data],$DE342,2),0)</f>
        <v/>
      </c>
      <c r="F342">
        <f>IFERROR(INDEX(PP_Grid[#Data],$DE342,3),0)</f>
        <v/>
      </c>
      <c r="G342">
        <f>IFERROR(INDEX(PP_Grid[#Data],$DE342,4),0)</f>
        <v/>
      </c>
      <c r="H342">
        <f>IFERROR(INDEX(PP_Grid[#Data],$DE342,5),0)</f>
        <v/>
      </c>
      <c r="I342">
        <f>IFERROR(INDEX(PP_Grid[#Data],$DE342,6),0)</f>
        <v/>
      </c>
      <c r="J342">
        <f>IFERROR(INDEX(PP_Grid[#Data],$DE342,7),0)</f>
        <v/>
      </c>
      <c r="K342">
        <f>IFERROR(INDEX(PP_Grid[#Data],$DE342,8),0)</f>
        <v/>
      </c>
      <c r="L342">
        <f>IFERROR(INDEX(PP_Grid[#Data],$DE342,9),0)</f>
        <v/>
      </c>
      <c r="M342">
        <f>IFERROR(INDEX(PP_Grid[#Data],$DE342,10),0)</f>
        <v/>
      </c>
      <c r="N342">
        <f>IFERROR(INDEX(PP_Grid[#Data],$DE342,11),0)</f>
        <v/>
      </c>
      <c r="O342">
        <f>IFERROR(INDEX(PP_Grid[#Data],$DE342,12),0)</f>
        <v/>
      </c>
      <c r="P342">
        <f>IFERROR(INDEX(PP_Grid[#Data],$DE342,13),0)</f>
        <v/>
      </c>
      <c r="Q342">
        <f>IFERROR(INDEX(PP_Grid[#Data],$DE342,14),0)</f>
        <v/>
      </c>
      <c r="R342">
        <f>IFERROR(INDEX(PP_Grid[#Data],$DE342,15),0)</f>
        <v/>
      </c>
      <c r="S342">
        <f>IFERROR(INDEX(PP_Grid[#Data],$DE342,16),0)</f>
        <v/>
      </c>
      <c r="T342">
        <f>IFERROR(INDEX(PP_Grid[#Data],$DE342,17),0)</f>
        <v/>
      </c>
      <c r="U342">
        <f>IFERROR(INDEX(PP_Grid[#Data],$DE342,18),0)</f>
        <v/>
      </c>
      <c r="V342">
        <f>IFERROR(INDEX(PP_Grid[#Data],$DE342,19),0)</f>
        <v/>
      </c>
      <c r="W342">
        <f>IFERROR(INDEX(PP_Grid[#Data],$DE342,20),0)</f>
        <v/>
      </c>
      <c r="X342">
        <f>IFERROR(INDEX(PP_Grid[#Data],$DE342,21),0)</f>
        <v/>
      </c>
      <c r="Y342">
        <f>IFERROR(INDEX(PP_Grid[#Data],$DE342,22),0)</f>
        <v/>
      </c>
      <c r="Z342">
        <f>IFERROR(INDEX(PP_Grid[#Data],$DE342,23),0)</f>
        <v/>
      </c>
      <c r="AA342">
        <f>IFERROR(INDEX(PP_Grid[#Data],$DE342,24),0)</f>
        <v/>
      </c>
      <c r="AB342">
        <f>IFERROR(INDEX(PP_Grid[#Data],$DE342,25),0)</f>
        <v/>
      </c>
      <c r="AC342">
        <f>IFERROR(INDEX(PP_Grid[#Data],$DE342,26),0)</f>
        <v/>
      </c>
      <c r="AD342">
        <f>IFERROR(INDEX(PP_Grid[#Data],$DE342,27),0)</f>
        <v/>
      </c>
      <c r="AE342">
        <f>IFERROR(INDEX(PP_Grid[#Data],$DE342,28),0)</f>
        <v/>
      </c>
      <c r="AF342">
        <f>IFERROR(INDEX(PP_Grid[#Data],$DE342,29),0)</f>
        <v/>
      </c>
      <c r="AG342">
        <f>IFERROR(INDEX(PP_Grid[#Data],$DE342,30),0)</f>
        <v/>
      </c>
      <c r="AH342">
        <f>IFERROR(INDEX(PP_Grid[#Data],$DE342,31),0)</f>
        <v/>
      </c>
      <c r="AI342">
        <f>IFERROR(INDEX(PP_Grid[#Data],$DE342,32),0)</f>
        <v/>
      </c>
      <c r="AJ342">
        <f>IFERROR(INDEX(PP_Grid[#Data],$DE342,33),0)</f>
        <v/>
      </c>
      <c r="AK342">
        <f>IFERROR(INDEX(PP_Grid[#Data],$DE342,34),0)</f>
        <v/>
      </c>
      <c r="AL342">
        <f>IFERROR(INDEX(PP_Grid[#Data],$DE342,35),0)</f>
        <v/>
      </c>
      <c r="AM342">
        <f>IFERROR(INDEX(PP_Grid[#Data],$DE342,36),0)</f>
        <v/>
      </c>
      <c r="AN342">
        <f>IFERROR(INDEX(PP_Grid[#Data],$DE342,37),0)</f>
        <v/>
      </c>
      <c r="AO342">
        <f>IFERROR(INDEX(PP_Grid[#Data],$DE342,38),0)</f>
        <v/>
      </c>
      <c r="AP342">
        <f>IFERROR(INDEX(PP_Grid[#Data],$DE342,39),0)</f>
        <v/>
      </c>
      <c r="AQ342">
        <f>IFERROR(INDEX(PP_Grid[#Data],$DE342,40),0)</f>
        <v/>
      </c>
      <c r="AR342">
        <f>IFERROR(INDEX(PP_Grid[#Data],$DE342,41),0)</f>
        <v/>
      </c>
      <c r="AS342">
        <f>IFERROR(INDEX(PP_Grid[#Data],$DE342,42),0)</f>
        <v/>
      </c>
      <c r="AT342">
        <f>IFERROR(INDEX(PP_Grid[#Data],$DE342,43),0)</f>
        <v/>
      </c>
      <c r="AU342">
        <f>IFERROR(INDEX(PP_Grid[#Data],$DE342,44),0)</f>
        <v/>
      </c>
      <c r="AV342">
        <f>IFERROR(INDEX(PP_Grid[#Data],$DE342,45),0)</f>
        <v/>
      </c>
      <c r="AW342">
        <f>IFERROR(INDEX(PP_Grid[#Data],$DE342,46),0)</f>
        <v/>
      </c>
      <c r="AX342">
        <f>IFERROR(INDEX(PP_Grid[#Data],$DE342,47),0)</f>
        <v/>
      </c>
      <c r="AY342">
        <f>IFERROR(INDEX(PP_Grid[#Data],$DE342,48),0)</f>
        <v/>
      </c>
      <c r="AZ342">
        <f>IFERROR(INDEX(PP_Grid[#Data],$DE342,49),0)</f>
        <v/>
      </c>
      <c r="BA342">
        <f>IFERROR(INDEX(PP_Grid[#Data],$DE342,50),0)</f>
        <v/>
      </c>
      <c r="BB342">
        <f>IFERROR(INDEX(PP_Grid[#Data],$DE342,51),0)</f>
        <v/>
      </c>
      <c r="BC342">
        <f>IFERROR(INDEX(PP_Grid[#Data],$DE342,52),0)</f>
        <v/>
      </c>
      <c r="BD342">
        <f>IFERROR(INDEX(PP_Grid[#Data],$DE342,53),0)</f>
        <v/>
      </c>
      <c r="BE342">
        <f>IFERROR(INDEX(PP_Grid[#Data],$DE342,54),0)</f>
        <v/>
      </c>
      <c r="BF342">
        <f>IFERROR(INDEX(PP_Grid[#Data],$DE342,55),0)</f>
        <v/>
      </c>
      <c r="BG342">
        <f>IFERROR(INDEX(PP_Grid[#Data],$DE342,56),0)</f>
        <v/>
      </c>
      <c r="BH342">
        <f>IFERROR(INDEX(PP_Grid[#Data],$DE342,57),0)</f>
        <v/>
      </c>
      <c r="BI342">
        <f>IFERROR(INDEX(PP_Grid[#Data],$DE342,58),0)</f>
        <v/>
      </c>
      <c r="BJ342">
        <f>IFERROR(INDEX(PP_Grid[#Data],$DE342,59),0)</f>
        <v/>
      </c>
      <c r="BK342">
        <f>IFERROR(INDEX(PP_Grid[#Data],$DE342,60),0)</f>
        <v/>
      </c>
      <c r="BL342">
        <f>IFERROR(INDEX(PP_Grid[#Data],$DE342,61),0)</f>
        <v/>
      </c>
      <c r="BM342">
        <f>IFERROR(INDEX(PP_Grid[#Data],$DE342,62),0)</f>
        <v/>
      </c>
      <c r="BN342">
        <f>IFERROR(INDEX(PP_Grid[#Data],$DE342,63),0)</f>
        <v/>
      </c>
      <c r="BO342">
        <f>IFERROR(INDEX(PP_Grid[#Data],$DE342,64),0)</f>
        <v/>
      </c>
      <c r="BP342">
        <f>IFERROR(INDEX(PP_Grid[#Data],$DE342,65),0)</f>
        <v/>
      </c>
      <c r="BQ342">
        <f>IFERROR(INDEX(PP_Grid[#Data],$DE342,66),0)</f>
        <v/>
      </c>
      <c r="BR342">
        <f>IFERROR(INDEX(PP_Grid[#Data],$DE342,67),0)</f>
        <v/>
      </c>
      <c r="BS342">
        <f>IFERROR(INDEX(PP_Grid[#Data],$DE342,68),0)</f>
        <v/>
      </c>
      <c r="BT342">
        <f>IFERROR(INDEX(PP_Grid[#Data],$DE342,69),0)</f>
        <v/>
      </c>
      <c r="BU342">
        <f>IFERROR(INDEX(PP_Grid[#Data],$DE342,70),0)</f>
        <v/>
      </c>
      <c r="BV342">
        <f>IFERROR(INDEX(PP_Grid[#Data],$DE342,71),0)</f>
        <v/>
      </c>
      <c r="BW342">
        <f>IFERROR(INDEX(PP_Grid[#Data],$DE342,72),0)</f>
        <v/>
      </c>
      <c r="BX342">
        <f>IFERROR(INDEX(PP_Grid[#Data],$DE342,73),0)</f>
        <v/>
      </c>
      <c r="BY342">
        <f>IFERROR(INDEX(PP_Grid[#Data],$DE342,74),0)</f>
        <v/>
      </c>
      <c r="BZ342">
        <f>IFERROR(INDEX(PP_Grid[#Data],$DE342,75),0)</f>
        <v/>
      </c>
      <c r="CA342">
        <f>IFERROR(INDEX(PP_Grid[#Data],$DE342,76),0)</f>
        <v/>
      </c>
      <c r="CB342">
        <f>IFERROR(INDEX(PP_Grid[#Data],$DE342,77),0)</f>
        <v/>
      </c>
      <c r="CC342">
        <f>IFERROR(INDEX(PP_Grid[#Data],$DE342,78),0)</f>
        <v/>
      </c>
      <c r="CD342">
        <f>IFERROR(INDEX(PP_Grid[#Data],$DE342,79),0)</f>
        <v/>
      </c>
      <c r="CE342">
        <f>IFERROR(INDEX(PP_Grid[#Data],$DE342,80),0)</f>
        <v/>
      </c>
      <c r="CF342">
        <f>IFERROR(INDEX(PP_Grid[#Data],$DE342,81),0)</f>
        <v/>
      </c>
      <c r="CG342">
        <f>IFERROR(INDEX(PP_Grid[#Data],$DE342,82),0)</f>
        <v/>
      </c>
      <c r="CH342">
        <f>IFERROR(INDEX(PP_Grid[#Data],$DE342,83),0)</f>
        <v/>
      </c>
      <c r="CI342">
        <f>IFERROR(INDEX(PP_Grid[#Data],$DE342,84),0)</f>
        <v/>
      </c>
      <c r="CJ342">
        <f>IFERROR(INDEX(PP_Grid[#Data],$DE342,85),0)</f>
        <v/>
      </c>
      <c r="CK342">
        <f>IFERROR(INDEX(PP_Grid[#Data],$DE342,86),0)</f>
        <v/>
      </c>
      <c r="CL342">
        <f>IFERROR(INDEX(PP_Grid[#Data],$DE342,87),0)</f>
        <v/>
      </c>
      <c r="CM342">
        <f>IFERROR(INDEX(PP_Grid[#Data],$DE342,88),0)</f>
        <v/>
      </c>
      <c r="CN342">
        <f>IFERROR(INDEX(PP_Grid[#Data],$DE342,89),0)</f>
        <v/>
      </c>
      <c r="CO342">
        <f>IFERROR(INDEX(PP_Grid[#Data],$DE342,90),0)</f>
        <v/>
      </c>
      <c r="CP342">
        <f>IFERROR(INDEX(PP_Grid[#Data],$DE342,91),0)</f>
        <v/>
      </c>
      <c r="CQ342">
        <f>IFERROR(INDEX(PP_Grid[#Data],$DE342,92),0)</f>
        <v/>
      </c>
      <c r="CR342">
        <f>IFERROR(INDEX(PP_Grid[#Data],$DE342,93),0)</f>
        <v/>
      </c>
      <c r="CS342">
        <f>IFERROR(INDEX(PP_Grid[#Data],$DE342,94),0)</f>
        <v/>
      </c>
      <c r="CT342">
        <f>IFERROR(INDEX(PP_Grid[#Data],$DE342,95),0)</f>
        <v/>
      </c>
      <c r="CU342">
        <f>IFERROR(INDEX(PP_Grid[#Data],$DE342,96),0)</f>
        <v/>
      </c>
      <c r="CV342">
        <f>IFERROR(INDEX(PP_Grid[#Data],$DE342,97),0)</f>
        <v/>
      </c>
      <c r="CW342">
        <f>IFERROR(INDEX(PP_Grid[#Data],$DE342,98),0)</f>
        <v/>
      </c>
      <c r="CX342">
        <f>IFERROR(INDEX(PP_Grid[#Data],$DE342,99),0)</f>
        <v/>
      </c>
      <c r="CY342">
        <f>IFERROR(INDEX(PP_Grid[#Data],$DE342,100),0)</f>
        <v/>
      </c>
      <c r="CZ342">
        <f>IFERROR(INDEX(PP_Grid[#Data],$DE342,101),0)</f>
        <v/>
      </c>
      <c r="DA342">
        <f>IFERROR(INDEX(PP_Grid[#Data],$DE342,102),0)</f>
        <v/>
      </c>
      <c r="DB342">
        <f>IFERROR(INDEX(PP_Grid[#Data],$DE342,103),0)</f>
        <v/>
      </c>
      <c r="DC342">
        <f>IFERROR(INDEX(PP_Grid[#Data],$DE342,104),0)</f>
        <v/>
      </c>
      <c r="DD342">
        <f>IFERROR(INDEX(PP_Grid[#Data],$DE342,105),0)</f>
        <v/>
      </c>
      <c r="DE342" s="7">
        <f>IFERROR(MATCH($B342,PP_Grid[Intermediate],0),99999)</f>
        <v/>
      </c>
    </row>
    <row r="343">
      <c r="B343" t="inlineStr">
        <is>
          <t>使用量(kg)</t>
        </is>
      </c>
      <c r="C343">
        <f>SUMIFS(M_BOM[RM_Qty_Per_Batch],M_BOM[Intermediate],$B342,M_BOM[RM_Code],$A325)</f>
        <v/>
      </c>
      <c r="D343">
        <f>IFERROR(INDEX(E343:DD343,$F$1),"")</f>
        <v/>
      </c>
      <c r="E343">
        <f>$C343*E342</f>
        <v/>
      </c>
      <c r="F343">
        <f>$C343*F342</f>
        <v/>
      </c>
      <c r="G343">
        <f>$C343*G342</f>
        <v/>
      </c>
      <c r="H343">
        <f>$C343*H342</f>
        <v/>
      </c>
      <c r="I343">
        <f>$C343*I342</f>
        <v/>
      </c>
      <c r="J343">
        <f>$C343*J342</f>
        <v/>
      </c>
      <c r="K343">
        <f>$C343*K342</f>
        <v/>
      </c>
      <c r="L343">
        <f>$C343*L342</f>
        <v/>
      </c>
      <c r="M343">
        <f>$C343*M342</f>
        <v/>
      </c>
      <c r="N343">
        <f>$C343*N342</f>
        <v/>
      </c>
      <c r="O343">
        <f>$C343*O342</f>
        <v/>
      </c>
      <c r="P343">
        <f>$C343*P342</f>
        <v/>
      </c>
      <c r="Q343">
        <f>$C343*Q342</f>
        <v/>
      </c>
      <c r="R343">
        <f>$C343*R342</f>
        <v/>
      </c>
      <c r="S343">
        <f>$C343*S342</f>
        <v/>
      </c>
      <c r="T343">
        <f>$C343*T342</f>
        <v/>
      </c>
      <c r="U343">
        <f>$C343*U342</f>
        <v/>
      </c>
      <c r="V343">
        <f>$C343*V342</f>
        <v/>
      </c>
      <c r="W343">
        <f>$C343*W342</f>
        <v/>
      </c>
      <c r="X343">
        <f>$C343*X342</f>
        <v/>
      </c>
      <c r="Y343">
        <f>$C343*Y342</f>
        <v/>
      </c>
      <c r="Z343">
        <f>$C343*Z342</f>
        <v/>
      </c>
      <c r="AA343">
        <f>$C343*AA342</f>
        <v/>
      </c>
      <c r="AB343">
        <f>$C343*AB342</f>
        <v/>
      </c>
      <c r="AC343">
        <f>$C343*AC342</f>
        <v/>
      </c>
      <c r="AD343">
        <f>$C343*AD342</f>
        <v/>
      </c>
      <c r="AE343">
        <f>$C343*AE342</f>
        <v/>
      </c>
      <c r="AF343">
        <f>$C343*AF342</f>
        <v/>
      </c>
      <c r="AG343">
        <f>$C343*AG342</f>
        <v/>
      </c>
      <c r="AH343">
        <f>$C343*AH342</f>
        <v/>
      </c>
      <c r="AI343">
        <f>$C343*AI342</f>
        <v/>
      </c>
      <c r="AJ343">
        <f>$C343*AJ342</f>
        <v/>
      </c>
      <c r="AK343">
        <f>$C343*AK342</f>
        <v/>
      </c>
      <c r="AL343">
        <f>$C343*AL342</f>
        <v/>
      </c>
      <c r="AM343">
        <f>$C343*AM342</f>
        <v/>
      </c>
      <c r="AN343">
        <f>$C343*AN342</f>
        <v/>
      </c>
      <c r="AO343">
        <f>$C343*AO342</f>
        <v/>
      </c>
      <c r="AP343">
        <f>$C343*AP342</f>
        <v/>
      </c>
      <c r="AQ343">
        <f>$C343*AQ342</f>
        <v/>
      </c>
      <c r="AR343">
        <f>$C343*AR342</f>
        <v/>
      </c>
      <c r="AS343">
        <f>$C343*AS342</f>
        <v/>
      </c>
      <c r="AT343">
        <f>$C343*AT342</f>
        <v/>
      </c>
      <c r="AU343">
        <f>$C343*AU342</f>
        <v/>
      </c>
      <c r="AV343">
        <f>$C343*AV342</f>
        <v/>
      </c>
      <c r="AW343">
        <f>$C343*AW342</f>
        <v/>
      </c>
      <c r="AX343">
        <f>$C343*AX342</f>
        <v/>
      </c>
      <c r="AY343">
        <f>$C343*AY342</f>
        <v/>
      </c>
      <c r="AZ343">
        <f>$C343*AZ342</f>
        <v/>
      </c>
      <c r="BA343">
        <f>$C343*BA342</f>
        <v/>
      </c>
      <c r="BB343">
        <f>$C343*BB342</f>
        <v/>
      </c>
      <c r="BC343">
        <f>$C343*BC342</f>
        <v/>
      </c>
      <c r="BD343">
        <f>$C343*BD342</f>
        <v/>
      </c>
      <c r="BE343">
        <f>$C343*BE342</f>
        <v/>
      </c>
      <c r="BF343">
        <f>$C343*BF342</f>
        <v/>
      </c>
      <c r="BG343">
        <f>$C343*BG342</f>
        <v/>
      </c>
      <c r="BH343">
        <f>$C343*BH342</f>
        <v/>
      </c>
      <c r="BI343">
        <f>$C343*BI342</f>
        <v/>
      </c>
      <c r="BJ343">
        <f>$C343*BJ342</f>
        <v/>
      </c>
      <c r="BK343">
        <f>$C343*BK342</f>
        <v/>
      </c>
      <c r="BL343">
        <f>$C343*BL342</f>
        <v/>
      </c>
      <c r="BM343">
        <f>$C343*BM342</f>
        <v/>
      </c>
      <c r="BN343">
        <f>$C343*BN342</f>
        <v/>
      </c>
      <c r="BO343">
        <f>$C343*BO342</f>
        <v/>
      </c>
      <c r="BP343">
        <f>$C343*BP342</f>
        <v/>
      </c>
      <c r="BQ343">
        <f>$C343*BQ342</f>
        <v/>
      </c>
      <c r="BR343">
        <f>$C343*BR342</f>
        <v/>
      </c>
      <c r="BS343">
        <f>$C343*BS342</f>
        <v/>
      </c>
      <c r="BT343">
        <f>$C343*BT342</f>
        <v/>
      </c>
      <c r="BU343">
        <f>$C343*BU342</f>
        <v/>
      </c>
      <c r="BV343">
        <f>$C343*BV342</f>
        <v/>
      </c>
      <c r="BW343">
        <f>$C343*BW342</f>
        <v/>
      </c>
      <c r="BX343">
        <f>$C343*BX342</f>
        <v/>
      </c>
      <c r="BY343">
        <f>$C343*BY342</f>
        <v/>
      </c>
      <c r="BZ343">
        <f>$C343*BZ342</f>
        <v/>
      </c>
      <c r="CA343">
        <f>$C343*CA342</f>
        <v/>
      </c>
      <c r="CB343">
        <f>$C343*CB342</f>
        <v/>
      </c>
      <c r="CC343">
        <f>$C343*CC342</f>
        <v/>
      </c>
      <c r="CD343">
        <f>$C343*CD342</f>
        <v/>
      </c>
      <c r="CE343">
        <f>$C343*CE342</f>
        <v/>
      </c>
      <c r="CF343">
        <f>$C343*CF342</f>
        <v/>
      </c>
      <c r="CG343">
        <f>$C343*CG342</f>
        <v/>
      </c>
      <c r="CH343">
        <f>$C343*CH342</f>
        <v/>
      </c>
      <c r="CI343">
        <f>$C343*CI342</f>
        <v/>
      </c>
      <c r="CJ343">
        <f>$C343*CJ342</f>
        <v/>
      </c>
      <c r="CK343">
        <f>$C343*CK342</f>
        <v/>
      </c>
      <c r="CL343">
        <f>$C343*CL342</f>
        <v/>
      </c>
      <c r="CM343">
        <f>$C343*CM342</f>
        <v/>
      </c>
      <c r="CN343">
        <f>$C343*CN342</f>
        <v/>
      </c>
      <c r="CO343">
        <f>$C343*CO342</f>
        <v/>
      </c>
      <c r="CP343">
        <f>$C343*CP342</f>
        <v/>
      </c>
      <c r="CQ343">
        <f>$C343*CQ342</f>
        <v/>
      </c>
      <c r="CR343">
        <f>$C343*CR342</f>
        <v/>
      </c>
      <c r="CS343">
        <f>$C343*CS342</f>
        <v/>
      </c>
      <c r="CT343">
        <f>$C343*CT342</f>
        <v/>
      </c>
      <c r="CU343">
        <f>$C343*CU342</f>
        <v/>
      </c>
      <c r="CV343">
        <f>$C343*CV342</f>
        <v/>
      </c>
      <c r="CW343">
        <f>$C343*CW342</f>
        <v/>
      </c>
      <c r="CX343">
        <f>$C343*CX342</f>
        <v/>
      </c>
      <c r="CY343">
        <f>$C343*CY342</f>
        <v/>
      </c>
      <c r="CZ343">
        <f>$C343*CZ342</f>
        <v/>
      </c>
      <c r="DA343">
        <f>$C343*DA342</f>
        <v/>
      </c>
      <c r="DB343">
        <f>$C343*DB342</f>
        <v/>
      </c>
      <c r="DC343">
        <f>$C343*DC342</f>
        <v/>
      </c>
      <c r="DD343">
        <f>$C343*DD342</f>
        <v/>
      </c>
    </row>
    <row r="344">
      <c r="B344" t="inlineStr">
        <is>
          <t>TSP-105</t>
        </is>
      </c>
      <c r="C344" t="inlineStr">
        <is>
          <t>No. of batches</t>
        </is>
      </c>
      <c r="D344">
        <f>IFERROR(INDEX(E344:DD344,$F$1),"")</f>
        <v/>
      </c>
      <c r="E344">
        <f>IFERROR(INDEX(PP_Grid[#Data],$DE344,2),0)</f>
        <v/>
      </c>
      <c r="F344">
        <f>IFERROR(INDEX(PP_Grid[#Data],$DE344,3),0)</f>
        <v/>
      </c>
      <c r="G344">
        <f>IFERROR(INDEX(PP_Grid[#Data],$DE344,4),0)</f>
        <v/>
      </c>
      <c r="H344">
        <f>IFERROR(INDEX(PP_Grid[#Data],$DE344,5),0)</f>
        <v/>
      </c>
      <c r="I344">
        <f>IFERROR(INDEX(PP_Grid[#Data],$DE344,6),0)</f>
        <v/>
      </c>
      <c r="J344">
        <f>IFERROR(INDEX(PP_Grid[#Data],$DE344,7),0)</f>
        <v/>
      </c>
      <c r="K344">
        <f>IFERROR(INDEX(PP_Grid[#Data],$DE344,8),0)</f>
        <v/>
      </c>
      <c r="L344">
        <f>IFERROR(INDEX(PP_Grid[#Data],$DE344,9),0)</f>
        <v/>
      </c>
      <c r="M344">
        <f>IFERROR(INDEX(PP_Grid[#Data],$DE344,10),0)</f>
        <v/>
      </c>
      <c r="N344">
        <f>IFERROR(INDEX(PP_Grid[#Data],$DE344,11),0)</f>
        <v/>
      </c>
      <c r="O344">
        <f>IFERROR(INDEX(PP_Grid[#Data],$DE344,12),0)</f>
        <v/>
      </c>
      <c r="P344">
        <f>IFERROR(INDEX(PP_Grid[#Data],$DE344,13),0)</f>
        <v/>
      </c>
      <c r="Q344">
        <f>IFERROR(INDEX(PP_Grid[#Data],$DE344,14),0)</f>
        <v/>
      </c>
      <c r="R344">
        <f>IFERROR(INDEX(PP_Grid[#Data],$DE344,15),0)</f>
        <v/>
      </c>
      <c r="S344">
        <f>IFERROR(INDEX(PP_Grid[#Data],$DE344,16),0)</f>
        <v/>
      </c>
      <c r="T344">
        <f>IFERROR(INDEX(PP_Grid[#Data],$DE344,17),0)</f>
        <v/>
      </c>
      <c r="U344">
        <f>IFERROR(INDEX(PP_Grid[#Data],$DE344,18),0)</f>
        <v/>
      </c>
      <c r="V344">
        <f>IFERROR(INDEX(PP_Grid[#Data],$DE344,19),0)</f>
        <v/>
      </c>
      <c r="W344">
        <f>IFERROR(INDEX(PP_Grid[#Data],$DE344,20),0)</f>
        <v/>
      </c>
      <c r="X344">
        <f>IFERROR(INDEX(PP_Grid[#Data],$DE344,21),0)</f>
        <v/>
      </c>
      <c r="Y344">
        <f>IFERROR(INDEX(PP_Grid[#Data],$DE344,22),0)</f>
        <v/>
      </c>
      <c r="Z344">
        <f>IFERROR(INDEX(PP_Grid[#Data],$DE344,23),0)</f>
        <v/>
      </c>
      <c r="AA344">
        <f>IFERROR(INDEX(PP_Grid[#Data],$DE344,24),0)</f>
        <v/>
      </c>
      <c r="AB344">
        <f>IFERROR(INDEX(PP_Grid[#Data],$DE344,25),0)</f>
        <v/>
      </c>
      <c r="AC344">
        <f>IFERROR(INDEX(PP_Grid[#Data],$DE344,26),0)</f>
        <v/>
      </c>
      <c r="AD344">
        <f>IFERROR(INDEX(PP_Grid[#Data],$DE344,27),0)</f>
        <v/>
      </c>
      <c r="AE344">
        <f>IFERROR(INDEX(PP_Grid[#Data],$DE344,28),0)</f>
        <v/>
      </c>
      <c r="AF344">
        <f>IFERROR(INDEX(PP_Grid[#Data],$DE344,29),0)</f>
        <v/>
      </c>
      <c r="AG344">
        <f>IFERROR(INDEX(PP_Grid[#Data],$DE344,30),0)</f>
        <v/>
      </c>
      <c r="AH344">
        <f>IFERROR(INDEX(PP_Grid[#Data],$DE344,31),0)</f>
        <v/>
      </c>
      <c r="AI344">
        <f>IFERROR(INDEX(PP_Grid[#Data],$DE344,32),0)</f>
        <v/>
      </c>
      <c r="AJ344">
        <f>IFERROR(INDEX(PP_Grid[#Data],$DE344,33),0)</f>
        <v/>
      </c>
      <c r="AK344">
        <f>IFERROR(INDEX(PP_Grid[#Data],$DE344,34),0)</f>
        <v/>
      </c>
      <c r="AL344">
        <f>IFERROR(INDEX(PP_Grid[#Data],$DE344,35),0)</f>
        <v/>
      </c>
      <c r="AM344">
        <f>IFERROR(INDEX(PP_Grid[#Data],$DE344,36),0)</f>
        <v/>
      </c>
      <c r="AN344">
        <f>IFERROR(INDEX(PP_Grid[#Data],$DE344,37),0)</f>
        <v/>
      </c>
      <c r="AO344">
        <f>IFERROR(INDEX(PP_Grid[#Data],$DE344,38),0)</f>
        <v/>
      </c>
      <c r="AP344">
        <f>IFERROR(INDEX(PP_Grid[#Data],$DE344,39),0)</f>
        <v/>
      </c>
      <c r="AQ344">
        <f>IFERROR(INDEX(PP_Grid[#Data],$DE344,40),0)</f>
        <v/>
      </c>
      <c r="AR344">
        <f>IFERROR(INDEX(PP_Grid[#Data],$DE344,41),0)</f>
        <v/>
      </c>
      <c r="AS344">
        <f>IFERROR(INDEX(PP_Grid[#Data],$DE344,42),0)</f>
        <v/>
      </c>
      <c r="AT344">
        <f>IFERROR(INDEX(PP_Grid[#Data],$DE344,43),0)</f>
        <v/>
      </c>
      <c r="AU344">
        <f>IFERROR(INDEX(PP_Grid[#Data],$DE344,44),0)</f>
        <v/>
      </c>
      <c r="AV344">
        <f>IFERROR(INDEX(PP_Grid[#Data],$DE344,45),0)</f>
        <v/>
      </c>
      <c r="AW344">
        <f>IFERROR(INDEX(PP_Grid[#Data],$DE344,46),0)</f>
        <v/>
      </c>
      <c r="AX344">
        <f>IFERROR(INDEX(PP_Grid[#Data],$DE344,47),0)</f>
        <v/>
      </c>
      <c r="AY344">
        <f>IFERROR(INDEX(PP_Grid[#Data],$DE344,48),0)</f>
        <v/>
      </c>
      <c r="AZ344">
        <f>IFERROR(INDEX(PP_Grid[#Data],$DE344,49),0)</f>
        <v/>
      </c>
      <c r="BA344">
        <f>IFERROR(INDEX(PP_Grid[#Data],$DE344,50),0)</f>
        <v/>
      </c>
      <c r="BB344">
        <f>IFERROR(INDEX(PP_Grid[#Data],$DE344,51),0)</f>
        <v/>
      </c>
      <c r="BC344">
        <f>IFERROR(INDEX(PP_Grid[#Data],$DE344,52),0)</f>
        <v/>
      </c>
      <c r="BD344">
        <f>IFERROR(INDEX(PP_Grid[#Data],$DE344,53),0)</f>
        <v/>
      </c>
      <c r="BE344">
        <f>IFERROR(INDEX(PP_Grid[#Data],$DE344,54),0)</f>
        <v/>
      </c>
      <c r="BF344">
        <f>IFERROR(INDEX(PP_Grid[#Data],$DE344,55),0)</f>
        <v/>
      </c>
      <c r="BG344">
        <f>IFERROR(INDEX(PP_Grid[#Data],$DE344,56),0)</f>
        <v/>
      </c>
      <c r="BH344">
        <f>IFERROR(INDEX(PP_Grid[#Data],$DE344,57),0)</f>
        <v/>
      </c>
      <c r="BI344">
        <f>IFERROR(INDEX(PP_Grid[#Data],$DE344,58),0)</f>
        <v/>
      </c>
      <c r="BJ344">
        <f>IFERROR(INDEX(PP_Grid[#Data],$DE344,59),0)</f>
        <v/>
      </c>
      <c r="BK344">
        <f>IFERROR(INDEX(PP_Grid[#Data],$DE344,60),0)</f>
        <v/>
      </c>
      <c r="BL344">
        <f>IFERROR(INDEX(PP_Grid[#Data],$DE344,61),0)</f>
        <v/>
      </c>
      <c r="BM344">
        <f>IFERROR(INDEX(PP_Grid[#Data],$DE344,62),0)</f>
        <v/>
      </c>
      <c r="BN344">
        <f>IFERROR(INDEX(PP_Grid[#Data],$DE344,63),0)</f>
        <v/>
      </c>
      <c r="BO344">
        <f>IFERROR(INDEX(PP_Grid[#Data],$DE344,64),0)</f>
        <v/>
      </c>
      <c r="BP344">
        <f>IFERROR(INDEX(PP_Grid[#Data],$DE344,65),0)</f>
        <v/>
      </c>
      <c r="BQ344">
        <f>IFERROR(INDEX(PP_Grid[#Data],$DE344,66),0)</f>
        <v/>
      </c>
      <c r="BR344">
        <f>IFERROR(INDEX(PP_Grid[#Data],$DE344,67),0)</f>
        <v/>
      </c>
      <c r="BS344">
        <f>IFERROR(INDEX(PP_Grid[#Data],$DE344,68),0)</f>
        <v/>
      </c>
      <c r="BT344">
        <f>IFERROR(INDEX(PP_Grid[#Data],$DE344,69),0)</f>
        <v/>
      </c>
      <c r="BU344">
        <f>IFERROR(INDEX(PP_Grid[#Data],$DE344,70),0)</f>
        <v/>
      </c>
      <c r="BV344">
        <f>IFERROR(INDEX(PP_Grid[#Data],$DE344,71),0)</f>
        <v/>
      </c>
      <c r="BW344">
        <f>IFERROR(INDEX(PP_Grid[#Data],$DE344,72),0)</f>
        <v/>
      </c>
      <c r="BX344">
        <f>IFERROR(INDEX(PP_Grid[#Data],$DE344,73),0)</f>
        <v/>
      </c>
      <c r="BY344">
        <f>IFERROR(INDEX(PP_Grid[#Data],$DE344,74),0)</f>
        <v/>
      </c>
      <c r="BZ344">
        <f>IFERROR(INDEX(PP_Grid[#Data],$DE344,75),0)</f>
        <v/>
      </c>
      <c r="CA344">
        <f>IFERROR(INDEX(PP_Grid[#Data],$DE344,76),0)</f>
        <v/>
      </c>
      <c r="CB344">
        <f>IFERROR(INDEX(PP_Grid[#Data],$DE344,77),0)</f>
        <v/>
      </c>
      <c r="CC344">
        <f>IFERROR(INDEX(PP_Grid[#Data],$DE344,78),0)</f>
        <v/>
      </c>
      <c r="CD344">
        <f>IFERROR(INDEX(PP_Grid[#Data],$DE344,79),0)</f>
        <v/>
      </c>
      <c r="CE344">
        <f>IFERROR(INDEX(PP_Grid[#Data],$DE344,80),0)</f>
        <v/>
      </c>
      <c r="CF344">
        <f>IFERROR(INDEX(PP_Grid[#Data],$DE344,81),0)</f>
        <v/>
      </c>
      <c r="CG344">
        <f>IFERROR(INDEX(PP_Grid[#Data],$DE344,82),0)</f>
        <v/>
      </c>
      <c r="CH344">
        <f>IFERROR(INDEX(PP_Grid[#Data],$DE344,83),0)</f>
        <v/>
      </c>
      <c r="CI344">
        <f>IFERROR(INDEX(PP_Grid[#Data],$DE344,84),0)</f>
        <v/>
      </c>
      <c r="CJ344">
        <f>IFERROR(INDEX(PP_Grid[#Data],$DE344,85),0)</f>
        <v/>
      </c>
      <c r="CK344">
        <f>IFERROR(INDEX(PP_Grid[#Data],$DE344,86),0)</f>
        <v/>
      </c>
      <c r="CL344">
        <f>IFERROR(INDEX(PP_Grid[#Data],$DE344,87),0)</f>
        <v/>
      </c>
      <c r="CM344">
        <f>IFERROR(INDEX(PP_Grid[#Data],$DE344,88),0)</f>
        <v/>
      </c>
      <c r="CN344">
        <f>IFERROR(INDEX(PP_Grid[#Data],$DE344,89),0)</f>
        <v/>
      </c>
      <c r="CO344">
        <f>IFERROR(INDEX(PP_Grid[#Data],$DE344,90),0)</f>
        <v/>
      </c>
      <c r="CP344">
        <f>IFERROR(INDEX(PP_Grid[#Data],$DE344,91),0)</f>
        <v/>
      </c>
      <c r="CQ344">
        <f>IFERROR(INDEX(PP_Grid[#Data],$DE344,92),0)</f>
        <v/>
      </c>
      <c r="CR344">
        <f>IFERROR(INDEX(PP_Grid[#Data],$DE344,93),0)</f>
        <v/>
      </c>
      <c r="CS344">
        <f>IFERROR(INDEX(PP_Grid[#Data],$DE344,94),0)</f>
        <v/>
      </c>
      <c r="CT344">
        <f>IFERROR(INDEX(PP_Grid[#Data],$DE344,95),0)</f>
        <v/>
      </c>
      <c r="CU344">
        <f>IFERROR(INDEX(PP_Grid[#Data],$DE344,96),0)</f>
        <v/>
      </c>
      <c r="CV344">
        <f>IFERROR(INDEX(PP_Grid[#Data],$DE344,97),0)</f>
        <v/>
      </c>
      <c r="CW344">
        <f>IFERROR(INDEX(PP_Grid[#Data],$DE344,98),0)</f>
        <v/>
      </c>
      <c r="CX344">
        <f>IFERROR(INDEX(PP_Grid[#Data],$DE344,99),0)</f>
        <v/>
      </c>
      <c r="CY344">
        <f>IFERROR(INDEX(PP_Grid[#Data],$DE344,100),0)</f>
        <v/>
      </c>
      <c r="CZ344">
        <f>IFERROR(INDEX(PP_Grid[#Data],$DE344,101),0)</f>
        <v/>
      </c>
      <c r="DA344">
        <f>IFERROR(INDEX(PP_Grid[#Data],$DE344,102),0)</f>
        <v/>
      </c>
      <c r="DB344">
        <f>IFERROR(INDEX(PP_Grid[#Data],$DE344,103),0)</f>
        <v/>
      </c>
      <c r="DC344">
        <f>IFERROR(INDEX(PP_Grid[#Data],$DE344,104),0)</f>
        <v/>
      </c>
      <c r="DD344">
        <f>IFERROR(INDEX(PP_Grid[#Data],$DE344,105),0)</f>
        <v/>
      </c>
      <c r="DE344" s="7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SUMIFS(M_BOM[RM_Qty_Per_Batch],M_BOM[Intermediate],$B344,M_BOM[RM_Code],$A325)</f>
        <v/>
      </c>
      <c r="D345">
        <f>IFERROR(INDEX(E345:DD345,$F$1),"")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  <c r="DD345">
        <f>$C345*DD344</f>
        <v/>
      </c>
    </row>
    <row r="346">
      <c r="B346" t="inlineStr">
        <is>
          <t>TSP-199</t>
        </is>
      </c>
      <c r="C346" t="inlineStr">
        <is>
          <t>No. of batches</t>
        </is>
      </c>
      <c r="D346">
        <f>IFERROR(INDEX(E346:DD346,$F$1),"")</f>
        <v/>
      </c>
      <c r="E346">
        <f>IFERROR(INDEX(PP_Grid[#Data],$DE346,2),0)</f>
        <v/>
      </c>
      <c r="F346">
        <f>IFERROR(INDEX(PP_Grid[#Data],$DE346,3),0)</f>
        <v/>
      </c>
      <c r="G346">
        <f>IFERROR(INDEX(PP_Grid[#Data],$DE346,4),0)</f>
        <v/>
      </c>
      <c r="H346">
        <f>IFERROR(INDEX(PP_Grid[#Data],$DE346,5),0)</f>
        <v/>
      </c>
      <c r="I346">
        <f>IFERROR(INDEX(PP_Grid[#Data],$DE346,6),0)</f>
        <v/>
      </c>
      <c r="J346">
        <f>IFERROR(INDEX(PP_Grid[#Data],$DE346,7),0)</f>
        <v/>
      </c>
      <c r="K346">
        <f>IFERROR(INDEX(PP_Grid[#Data],$DE346,8),0)</f>
        <v/>
      </c>
      <c r="L346">
        <f>IFERROR(INDEX(PP_Grid[#Data],$DE346,9),0)</f>
        <v/>
      </c>
      <c r="M346">
        <f>IFERROR(INDEX(PP_Grid[#Data],$DE346,10),0)</f>
        <v/>
      </c>
      <c r="N346">
        <f>IFERROR(INDEX(PP_Grid[#Data],$DE346,11),0)</f>
        <v/>
      </c>
      <c r="O346">
        <f>IFERROR(INDEX(PP_Grid[#Data],$DE346,12),0)</f>
        <v/>
      </c>
      <c r="P346">
        <f>IFERROR(INDEX(PP_Grid[#Data],$DE346,13),0)</f>
        <v/>
      </c>
      <c r="Q346">
        <f>IFERROR(INDEX(PP_Grid[#Data],$DE346,14),0)</f>
        <v/>
      </c>
      <c r="R346">
        <f>IFERROR(INDEX(PP_Grid[#Data],$DE346,15),0)</f>
        <v/>
      </c>
      <c r="S346">
        <f>IFERROR(INDEX(PP_Grid[#Data],$DE346,16),0)</f>
        <v/>
      </c>
      <c r="T346">
        <f>IFERROR(INDEX(PP_Grid[#Data],$DE346,17),0)</f>
        <v/>
      </c>
      <c r="U346">
        <f>IFERROR(INDEX(PP_Grid[#Data],$DE346,18),0)</f>
        <v/>
      </c>
      <c r="V346">
        <f>IFERROR(INDEX(PP_Grid[#Data],$DE346,19),0)</f>
        <v/>
      </c>
      <c r="W346">
        <f>IFERROR(INDEX(PP_Grid[#Data],$DE346,20),0)</f>
        <v/>
      </c>
      <c r="X346">
        <f>IFERROR(INDEX(PP_Grid[#Data],$DE346,21),0)</f>
        <v/>
      </c>
      <c r="Y346">
        <f>IFERROR(INDEX(PP_Grid[#Data],$DE346,22),0)</f>
        <v/>
      </c>
      <c r="Z346">
        <f>IFERROR(INDEX(PP_Grid[#Data],$DE346,23),0)</f>
        <v/>
      </c>
      <c r="AA346">
        <f>IFERROR(INDEX(PP_Grid[#Data],$DE346,24),0)</f>
        <v/>
      </c>
      <c r="AB346">
        <f>IFERROR(INDEX(PP_Grid[#Data],$DE346,25),0)</f>
        <v/>
      </c>
      <c r="AC346">
        <f>IFERROR(INDEX(PP_Grid[#Data],$DE346,26),0)</f>
        <v/>
      </c>
      <c r="AD346">
        <f>IFERROR(INDEX(PP_Grid[#Data],$DE346,27),0)</f>
        <v/>
      </c>
      <c r="AE346">
        <f>IFERROR(INDEX(PP_Grid[#Data],$DE346,28),0)</f>
        <v/>
      </c>
      <c r="AF346">
        <f>IFERROR(INDEX(PP_Grid[#Data],$DE346,29),0)</f>
        <v/>
      </c>
      <c r="AG346">
        <f>IFERROR(INDEX(PP_Grid[#Data],$DE346,30),0)</f>
        <v/>
      </c>
      <c r="AH346">
        <f>IFERROR(INDEX(PP_Grid[#Data],$DE346,31),0)</f>
        <v/>
      </c>
      <c r="AI346">
        <f>IFERROR(INDEX(PP_Grid[#Data],$DE346,32),0)</f>
        <v/>
      </c>
      <c r="AJ346">
        <f>IFERROR(INDEX(PP_Grid[#Data],$DE346,33),0)</f>
        <v/>
      </c>
      <c r="AK346">
        <f>IFERROR(INDEX(PP_Grid[#Data],$DE346,34),0)</f>
        <v/>
      </c>
      <c r="AL346">
        <f>IFERROR(INDEX(PP_Grid[#Data],$DE346,35),0)</f>
        <v/>
      </c>
      <c r="AM346">
        <f>IFERROR(INDEX(PP_Grid[#Data],$DE346,36),0)</f>
        <v/>
      </c>
      <c r="AN346">
        <f>IFERROR(INDEX(PP_Grid[#Data],$DE346,37),0)</f>
        <v/>
      </c>
      <c r="AO346">
        <f>IFERROR(INDEX(PP_Grid[#Data],$DE346,38),0)</f>
        <v/>
      </c>
      <c r="AP346">
        <f>IFERROR(INDEX(PP_Grid[#Data],$DE346,39),0)</f>
        <v/>
      </c>
      <c r="AQ346">
        <f>IFERROR(INDEX(PP_Grid[#Data],$DE346,40),0)</f>
        <v/>
      </c>
      <c r="AR346">
        <f>IFERROR(INDEX(PP_Grid[#Data],$DE346,41),0)</f>
        <v/>
      </c>
      <c r="AS346">
        <f>IFERROR(INDEX(PP_Grid[#Data],$DE346,42),0)</f>
        <v/>
      </c>
      <c r="AT346">
        <f>IFERROR(INDEX(PP_Grid[#Data],$DE346,43),0)</f>
        <v/>
      </c>
      <c r="AU346">
        <f>IFERROR(INDEX(PP_Grid[#Data],$DE346,44),0)</f>
        <v/>
      </c>
      <c r="AV346">
        <f>IFERROR(INDEX(PP_Grid[#Data],$DE346,45),0)</f>
        <v/>
      </c>
      <c r="AW346">
        <f>IFERROR(INDEX(PP_Grid[#Data],$DE346,46),0)</f>
        <v/>
      </c>
      <c r="AX346">
        <f>IFERROR(INDEX(PP_Grid[#Data],$DE346,47),0)</f>
        <v/>
      </c>
      <c r="AY346">
        <f>IFERROR(INDEX(PP_Grid[#Data],$DE346,48),0)</f>
        <v/>
      </c>
      <c r="AZ346">
        <f>IFERROR(INDEX(PP_Grid[#Data],$DE346,49),0)</f>
        <v/>
      </c>
      <c r="BA346">
        <f>IFERROR(INDEX(PP_Grid[#Data],$DE346,50),0)</f>
        <v/>
      </c>
      <c r="BB346">
        <f>IFERROR(INDEX(PP_Grid[#Data],$DE346,51),0)</f>
        <v/>
      </c>
      <c r="BC346">
        <f>IFERROR(INDEX(PP_Grid[#Data],$DE346,52),0)</f>
        <v/>
      </c>
      <c r="BD346">
        <f>IFERROR(INDEX(PP_Grid[#Data],$DE346,53),0)</f>
        <v/>
      </c>
      <c r="BE346">
        <f>IFERROR(INDEX(PP_Grid[#Data],$DE346,54),0)</f>
        <v/>
      </c>
      <c r="BF346">
        <f>IFERROR(INDEX(PP_Grid[#Data],$DE346,55),0)</f>
        <v/>
      </c>
      <c r="BG346">
        <f>IFERROR(INDEX(PP_Grid[#Data],$DE346,56),0)</f>
        <v/>
      </c>
      <c r="BH346">
        <f>IFERROR(INDEX(PP_Grid[#Data],$DE346,57),0)</f>
        <v/>
      </c>
      <c r="BI346">
        <f>IFERROR(INDEX(PP_Grid[#Data],$DE346,58),0)</f>
        <v/>
      </c>
      <c r="BJ346">
        <f>IFERROR(INDEX(PP_Grid[#Data],$DE346,59),0)</f>
        <v/>
      </c>
      <c r="BK346">
        <f>IFERROR(INDEX(PP_Grid[#Data],$DE346,60),0)</f>
        <v/>
      </c>
      <c r="BL346">
        <f>IFERROR(INDEX(PP_Grid[#Data],$DE346,61),0)</f>
        <v/>
      </c>
      <c r="BM346">
        <f>IFERROR(INDEX(PP_Grid[#Data],$DE346,62),0)</f>
        <v/>
      </c>
      <c r="BN346">
        <f>IFERROR(INDEX(PP_Grid[#Data],$DE346,63),0)</f>
        <v/>
      </c>
      <c r="BO346">
        <f>IFERROR(INDEX(PP_Grid[#Data],$DE346,64),0)</f>
        <v/>
      </c>
      <c r="BP346">
        <f>IFERROR(INDEX(PP_Grid[#Data],$DE346,65),0)</f>
        <v/>
      </c>
      <c r="BQ346">
        <f>IFERROR(INDEX(PP_Grid[#Data],$DE346,66),0)</f>
        <v/>
      </c>
      <c r="BR346">
        <f>IFERROR(INDEX(PP_Grid[#Data],$DE346,67),0)</f>
        <v/>
      </c>
      <c r="BS346">
        <f>IFERROR(INDEX(PP_Grid[#Data],$DE346,68),0)</f>
        <v/>
      </c>
      <c r="BT346">
        <f>IFERROR(INDEX(PP_Grid[#Data],$DE346,69),0)</f>
        <v/>
      </c>
      <c r="BU346">
        <f>IFERROR(INDEX(PP_Grid[#Data],$DE346,70),0)</f>
        <v/>
      </c>
      <c r="BV346">
        <f>IFERROR(INDEX(PP_Grid[#Data],$DE346,71),0)</f>
        <v/>
      </c>
      <c r="BW346">
        <f>IFERROR(INDEX(PP_Grid[#Data],$DE346,72),0)</f>
        <v/>
      </c>
      <c r="BX346">
        <f>IFERROR(INDEX(PP_Grid[#Data],$DE346,73),0)</f>
        <v/>
      </c>
      <c r="BY346">
        <f>IFERROR(INDEX(PP_Grid[#Data],$DE346,74),0)</f>
        <v/>
      </c>
      <c r="BZ346">
        <f>IFERROR(INDEX(PP_Grid[#Data],$DE346,75),0)</f>
        <v/>
      </c>
      <c r="CA346">
        <f>IFERROR(INDEX(PP_Grid[#Data],$DE346,76),0)</f>
        <v/>
      </c>
      <c r="CB346">
        <f>IFERROR(INDEX(PP_Grid[#Data],$DE346,77),0)</f>
        <v/>
      </c>
      <c r="CC346">
        <f>IFERROR(INDEX(PP_Grid[#Data],$DE346,78),0)</f>
        <v/>
      </c>
      <c r="CD346">
        <f>IFERROR(INDEX(PP_Grid[#Data],$DE346,79),0)</f>
        <v/>
      </c>
      <c r="CE346">
        <f>IFERROR(INDEX(PP_Grid[#Data],$DE346,80),0)</f>
        <v/>
      </c>
      <c r="CF346">
        <f>IFERROR(INDEX(PP_Grid[#Data],$DE346,81),0)</f>
        <v/>
      </c>
      <c r="CG346">
        <f>IFERROR(INDEX(PP_Grid[#Data],$DE346,82),0)</f>
        <v/>
      </c>
      <c r="CH346">
        <f>IFERROR(INDEX(PP_Grid[#Data],$DE346,83),0)</f>
        <v/>
      </c>
      <c r="CI346">
        <f>IFERROR(INDEX(PP_Grid[#Data],$DE346,84),0)</f>
        <v/>
      </c>
      <c r="CJ346">
        <f>IFERROR(INDEX(PP_Grid[#Data],$DE346,85),0)</f>
        <v/>
      </c>
      <c r="CK346">
        <f>IFERROR(INDEX(PP_Grid[#Data],$DE346,86),0)</f>
        <v/>
      </c>
      <c r="CL346">
        <f>IFERROR(INDEX(PP_Grid[#Data],$DE346,87),0)</f>
        <v/>
      </c>
      <c r="CM346">
        <f>IFERROR(INDEX(PP_Grid[#Data],$DE346,88),0)</f>
        <v/>
      </c>
      <c r="CN346">
        <f>IFERROR(INDEX(PP_Grid[#Data],$DE346,89),0)</f>
        <v/>
      </c>
      <c r="CO346">
        <f>IFERROR(INDEX(PP_Grid[#Data],$DE346,90),0)</f>
        <v/>
      </c>
      <c r="CP346">
        <f>IFERROR(INDEX(PP_Grid[#Data],$DE346,91),0)</f>
        <v/>
      </c>
      <c r="CQ346">
        <f>IFERROR(INDEX(PP_Grid[#Data],$DE346,92),0)</f>
        <v/>
      </c>
      <c r="CR346">
        <f>IFERROR(INDEX(PP_Grid[#Data],$DE346,93),0)</f>
        <v/>
      </c>
      <c r="CS346">
        <f>IFERROR(INDEX(PP_Grid[#Data],$DE346,94),0)</f>
        <v/>
      </c>
      <c r="CT346">
        <f>IFERROR(INDEX(PP_Grid[#Data],$DE346,95),0)</f>
        <v/>
      </c>
      <c r="CU346">
        <f>IFERROR(INDEX(PP_Grid[#Data],$DE346,96),0)</f>
        <v/>
      </c>
      <c r="CV346">
        <f>IFERROR(INDEX(PP_Grid[#Data],$DE346,97),0)</f>
        <v/>
      </c>
      <c r="CW346">
        <f>IFERROR(INDEX(PP_Grid[#Data],$DE346,98),0)</f>
        <v/>
      </c>
      <c r="CX346">
        <f>IFERROR(INDEX(PP_Grid[#Data],$DE346,99),0)</f>
        <v/>
      </c>
      <c r="CY346">
        <f>IFERROR(INDEX(PP_Grid[#Data],$DE346,100),0)</f>
        <v/>
      </c>
      <c r="CZ346">
        <f>IFERROR(INDEX(PP_Grid[#Data],$DE346,101),0)</f>
        <v/>
      </c>
      <c r="DA346">
        <f>IFERROR(INDEX(PP_Grid[#Data],$DE346,102),0)</f>
        <v/>
      </c>
      <c r="DB346">
        <f>IFERROR(INDEX(PP_Grid[#Data],$DE346,103),0)</f>
        <v/>
      </c>
      <c r="DC346">
        <f>IFERROR(INDEX(PP_Grid[#Data],$DE346,104),0)</f>
        <v/>
      </c>
      <c r="DD346">
        <f>IFERROR(INDEX(PP_Grid[#Data],$DE346,105),0)</f>
        <v/>
      </c>
      <c r="DE346" s="7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SUMIFS(M_BOM[RM_Qty_Per_Batch],M_BOM[Intermediate],$B346,M_BOM[RM_Code],$A325)</f>
        <v/>
      </c>
      <c r="D347">
        <f>IFERROR(INDEX(E347:DD347,$F$1),"")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  <c r="DD347">
        <f>$C347*DD346</f>
        <v/>
      </c>
    </row>
    <row r="348">
      <c r="B348" t="inlineStr">
        <is>
          <t>TSP-205</t>
        </is>
      </c>
      <c r="C348" t="inlineStr">
        <is>
          <t>No. of batches</t>
        </is>
      </c>
      <c r="D348">
        <f>IFERROR(INDEX(E348:DD348,$F$1),"")</f>
        <v/>
      </c>
      <c r="E348">
        <f>IFERROR(INDEX(PP_Grid[#Data],$DE348,2),0)</f>
        <v/>
      </c>
      <c r="F348">
        <f>IFERROR(INDEX(PP_Grid[#Data],$DE348,3),0)</f>
        <v/>
      </c>
      <c r="G348">
        <f>IFERROR(INDEX(PP_Grid[#Data],$DE348,4),0)</f>
        <v/>
      </c>
      <c r="H348">
        <f>IFERROR(INDEX(PP_Grid[#Data],$DE348,5),0)</f>
        <v/>
      </c>
      <c r="I348">
        <f>IFERROR(INDEX(PP_Grid[#Data],$DE348,6),0)</f>
        <v/>
      </c>
      <c r="J348">
        <f>IFERROR(INDEX(PP_Grid[#Data],$DE348,7),0)</f>
        <v/>
      </c>
      <c r="K348">
        <f>IFERROR(INDEX(PP_Grid[#Data],$DE348,8),0)</f>
        <v/>
      </c>
      <c r="L348">
        <f>IFERROR(INDEX(PP_Grid[#Data],$DE348,9),0)</f>
        <v/>
      </c>
      <c r="M348">
        <f>IFERROR(INDEX(PP_Grid[#Data],$DE348,10),0)</f>
        <v/>
      </c>
      <c r="N348">
        <f>IFERROR(INDEX(PP_Grid[#Data],$DE348,11),0)</f>
        <v/>
      </c>
      <c r="O348">
        <f>IFERROR(INDEX(PP_Grid[#Data],$DE348,12),0)</f>
        <v/>
      </c>
      <c r="P348">
        <f>IFERROR(INDEX(PP_Grid[#Data],$DE348,13),0)</f>
        <v/>
      </c>
      <c r="Q348">
        <f>IFERROR(INDEX(PP_Grid[#Data],$DE348,14),0)</f>
        <v/>
      </c>
      <c r="R348">
        <f>IFERROR(INDEX(PP_Grid[#Data],$DE348,15),0)</f>
        <v/>
      </c>
      <c r="S348">
        <f>IFERROR(INDEX(PP_Grid[#Data],$DE348,16),0)</f>
        <v/>
      </c>
      <c r="T348">
        <f>IFERROR(INDEX(PP_Grid[#Data],$DE348,17),0)</f>
        <v/>
      </c>
      <c r="U348">
        <f>IFERROR(INDEX(PP_Grid[#Data],$DE348,18),0)</f>
        <v/>
      </c>
      <c r="V348">
        <f>IFERROR(INDEX(PP_Grid[#Data],$DE348,19),0)</f>
        <v/>
      </c>
      <c r="W348">
        <f>IFERROR(INDEX(PP_Grid[#Data],$DE348,20),0)</f>
        <v/>
      </c>
      <c r="X348">
        <f>IFERROR(INDEX(PP_Grid[#Data],$DE348,21),0)</f>
        <v/>
      </c>
      <c r="Y348">
        <f>IFERROR(INDEX(PP_Grid[#Data],$DE348,22),0)</f>
        <v/>
      </c>
      <c r="Z348">
        <f>IFERROR(INDEX(PP_Grid[#Data],$DE348,23),0)</f>
        <v/>
      </c>
      <c r="AA348">
        <f>IFERROR(INDEX(PP_Grid[#Data],$DE348,24),0)</f>
        <v/>
      </c>
      <c r="AB348">
        <f>IFERROR(INDEX(PP_Grid[#Data],$DE348,25),0)</f>
        <v/>
      </c>
      <c r="AC348">
        <f>IFERROR(INDEX(PP_Grid[#Data],$DE348,26),0)</f>
        <v/>
      </c>
      <c r="AD348">
        <f>IFERROR(INDEX(PP_Grid[#Data],$DE348,27),0)</f>
        <v/>
      </c>
      <c r="AE348">
        <f>IFERROR(INDEX(PP_Grid[#Data],$DE348,28),0)</f>
        <v/>
      </c>
      <c r="AF348">
        <f>IFERROR(INDEX(PP_Grid[#Data],$DE348,29),0)</f>
        <v/>
      </c>
      <c r="AG348">
        <f>IFERROR(INDEX(PP_Grid[#Data],$DE348,30),0)</f>
        <v/>
      </c>
      <c r="AH348">
        <f>IFERROR(INDEX(PP_Grid[#Data],$DE348,31),0)</f>
        <v/>
      </c>
      <c r="AI348">
        <f>IFERROR(INDEX(PP_Grid[#Data],$DE348,32),0)</f>
        <v/>
      </c>
      <c r="AJ348">
        <f>IFERROR(INDEX(PP_Grid[#Data],$DE348,33),0)</f>
        <v/>
      </c>
      <c r="AK348">
        <f>IFERROR(INDEX(PP_Grid[#Data],$DE348,34),0)</f>
        <v/>
      </c>
      <c r="AL348">
        <f>IFERROR(INDEX(PP_Grid[#Data],$DE348,35),0)</f>
        <v/>
      </c>
      <c r="AM348">
        <f>IFERROR(INDEX(PP_Grid[#Data],$DE348,36),0)</f>
        <v/>
      </c>
      <c r="AN348">
        <f>IFERROR(INDEX(PP_Grid[#Data],$DE348,37),0)</f>
        <v/>
      </c>
      <c r="AO348">
        <f>IFERROR(INDEX(PP_Grid[#Data],$DE348,38),0)</f>
        <v/>
      </c>
      <c r="AP348">
        <f>IFERROR(INDEX(PP_Grid[#Data],$DE348,39),0)</f>
        <v/>
      </c>
      <c r="AQ348">
        <f>IFERROR(INDEX(PP_Grid[#Data],$DE348,40),0)</f>
        <v/>
      </c>
      <c r="AR348">
        <f>IFERROR(INDEX(PP_Grid[#Data],$DE348,41),0)</f>
        <v/>
      </c>
      <c r="AS348">
        <f>IFERROR(INDEX(PP_Grid[#Data],$DE348,42),0)</f>
        <v/>
      </c>
      <c r="AT348">
        <f>IFERROR(INDEX(PP_Grid[#Data],$DE348,43),0)</f>
        <v/>
      </c>
      <c r="AU348">
        <f>IFERROR(INDEX(PP_Grid[#Data],$DE348,44),0)</f>
        <v/>
      </c>
      <c r="AV348">
        <f>IFERROR(INDEX(PP_Grid[#Data],$DE348,45),0)</f>
        <v/>
      </c>
      <c r="AW348">
        <f>IFERROR(INDEX(PP_Grid[#Data],$DE348,46),0)</f>
        <v/>
      </c>
      <c r="AX348">
        <f>IFERROR(INDEX(PP_Grid[#Data],$DE348,47),0)</f>
        <v/>
      </c>
      <c r="AY348">
        <f>IFERROR(INDEX(PP_Grid[#Data],$DE348,48),0)</f>
        <v/>
      </c>
      <c r="AZ348">
        <f>IFERROR(INDEX(PP_Grid[#Data],$DE348,49),0)</f>
        <v/>
      </c>
      <c r="BA348">
        <f>IFERROR(INDEX(PP_Grid[#Data],$DE348,50),0)</f>
        <v/>
      </c>
      <c r="BB348">
        <f>IFERROR(INDEX(PP_Grid[#Data],$DE348,51),0)</f>
        <v/>
      </c>
      <c r="BC348">
        <f>IFERROR(INDEX(PP_Grid[#Data],$DE348,52),0)</f>
        <v/>
      </c>
      <c r="BD348">
        <f>IFERROR(INDEX(PP_Grid[#Data],$DE348,53),0)</f>
        <v/>
      </c>
      <c r="BE348">
        <f>IFERROR(INDEX(PP_Grid[#Data],$DE348,54),0)</f>
        <v/>
      </c>
      <c r="BF348">
        <f>IFERROR(INDEX(PP_Grid[#Data],$DE348,55),0)</f>
        <v/>
      </c>
      <c r="BG348">
        <f>IFERROR(INDEX(PP_Grid[#Data],$DE348,56),0)</f>
        <v/>
      </c>
      <c r="BH348">
        <f>IFERROR(INDEX(PP_Grid[#Data],$DE348,57),0)</f>
        <v/>
      </c>
      <c r="BI348">
        <f>IFERROR(INDEX(PP_Grid[#Data],$DE348,58),0)</f>
        <v/>
      </c>
      <c r="BJ348">
        <f>IFERROR(INDEX(PP_Grid[#Data],$DE348,59),0)</f>
        <v/>
      </c>
      <c r="BK348">
        <f>IFERROR(INDEX(PP_Grid[#Data],$DE348,60),0)</f>
        <v/>
      </c>
      <c r="BL348">
        <f>IFERROR(INDEX(PP_Grid[#Data],$DE348,61),0)</f>
        <v/>
      </c>
      <c r="BM348">
        <f>IFERROR(INDEX(PP_Grid[#Data],$DE348,62),0)</f>
        <v/>
      </c>
      <c r="BN348">
        <f>IFERROR(INDEX(PP_Grid[#Data],$DE348,63),0)</f>
        <v/>
      </c>
      <c r="BO348">
        <f>IFERROR(INDEX(PP_Grid[#Data],$DE348,64),0)</f>
        <v/>
      </c>
      <c r="BP348">
        <f>IFERROR(INDEX(PP_Grid[#Data],$DE348,65),0)</f>
        <v/>
      </c>
      <c r="BQ348">
        <f>IFERROR(INDEX(PP_Grid[#Data],$DE348,66),0)</f>
        <v/>
      </c>
      <c r="BR348">
        <f>IFERROR(INDEX(PP_Grid[#Data],$DE348,67),0)</f>
        <v/>
      </c>
      <c r="BS348">
        <f>IFERROR(INDEX(PP_Grid[#Data],$DE348,68),0)</f>
        <v/>
      </c>
      <c r="BT348">
        <f>IFERROR(INDEX(PP_Grid[#Data],$DE348,69),0)</f>
        <v/>
      </c>
      <c r="BU348">
        <f>IFERROR(INDEX(PP_Grid[#Data],$DE348,70),0)</f>
        <v/>
      </c>
      <c r="BV348">
        <f>IFERROR(INDEX(PP_Grid[#Data],$DE348,71),0)</f>
        <v/>
      </c>
      <c r="BW348">
        <f>IFERROR(INDEX(PP_Grid[#Data],$DE348,72),0)</f>
        <v/>
      </c>
      <c r="BX348">
        <f>IFERROR(INDEX(PP_Grid[#Data],$DE348,73),0)</f>
        <v/>
      </c>
      <c r="BY348">
        <f>IFERROR(INDEX(PP_Grid[#Data],$DE348,74),0)</f>
        <v/>
      </c>
      <c r="BZ348">
        <f>IFERROR(INDEX(PP_Grid[#Data],$DE348,75),0)</f>
        <v/>
      </c>
      <c r="CA348">
        <f>IFERROR(INDEX(PP_Grid[#Data],$DE348,76),0)</f>
        <v/>
      </c>
      <c r="CB348">
        <f>IFERROR(INDEX(PP_Grid[#Data],$DE348,77),0)</f>
        <v/>
      </c>
      <c r="CC348">
        <f>IFERROR(INDEX(PP_Grid[#Data],$DE348,78),0)</f>
        <v/>
      </c>
      <c r="CD348">
        <f>IFERROR(INDEX(PP_Grid[#Data],$DE348,79),0)</f>
        <v/>
      </c>
      <c r="CE348">
        <f>IFERROR(INDEX(PP_Grid[#Data],$DE348,80),0)</f>
        <v/>
      </c>
      <c r="CF348">
        <f>IFERROR(INDEX(PP_Grid[#Data],$DE348,81),0)</f>
        <v/>
      </c>
      <c r="CG348">
        <f>IFERROR(INDEX(PP_Grid[#Data],$DE348,82),0)</f>
        <v/>
      </c>
      <c r="CH348">
        <f>IFERROR(INDEX(PP_Grid[#Data],$DE348,83),0)</f>
        <v/>
      </c>
      <c r="CI348">
        <f>IFERROR(INDEX(PP_Grid[#Data],$DE348,84),0)</f>
        <v/>
      </c>
      <c r="CJ348">
        <f>IFERROR(INDEX(PP_Grid[#Data],$DE348,85),0)</f>
        <v/>
      </c>
      <c r="CK348">
        <f>IFERROR(INDEX(PP_Grid[#Data],$DE348,86),0)</f>
        <v/>
      </c>
      <c r="CL348">
        <f>IFERROR(INDEX(PP_Grid[#Data],$DE348,87),0)</f>
        <v/>
      </c>
      <c r="CM348">
        <f>IFERROR(INDEX(PP_Grid[#Data],$DE348,88),0)</f>
        <v/>
      </c>
      <c r="CN348">
        <f>IFERROR(INDEX(PP_Grid[#Data],$DE348,89),0)</f>
        <v/>
      </c>
      <c r="CO348">
        <f>IFERROR(INDEX(PP_Grid[#Data],$DE348,90),0)</f>
        <v/>
      </c>
      <c r="CP348">
        <f>IFERROR(INDEX(PP_Grid[#Data],$DE348,91),0)</f>
        <v/>
      </c>
      <c r="CQ348">
        <f>IFERROR(INDEX(PP_Grid[#Data],$DE348,92),0)</f>
        <v/>
      </c>
      <c r="CR348">
        <f>IFERROR(INDEX(PP_Grid[#Data],$DE348,93),0)</f>
        <v/>
      </c>
      <c r="CS348">
        <f>IFERROR(INDEX(PP_Grid[#Data],$DE348,94),0)</f>
        <v/>
      </c>
      <c r="CT348">
        <f>IFERROR(INDEX(PP_Grid[#Data],$DE348,95),0)</f>
        <v/>
      </c>
      <c r="CU348">
        <f>IFERROR(INDEX(PP_Grid[#Data],$DE348,96),0)</f>
        <v/>
      </c>
      <c r="CV348">
        <f>IFERROR(INDEX(PP_Grid[#Data],$DE348,97),0)</f>
        <v/>
      </c>
      <c r="CW348">
        <f>IFERROR(INDEX(PP_Grid[#Data],$DE348,98),0)</f>
        <v/>
      </c>
      <c r="CX348">
        <f>IFERROR(INDEX(PP_Grid[#Data],$DE348,99),0)</f>
        <v/>
      </c>
      <c r="CY348">
        <f>IFERROR(INDEX(PP_Grid[#Data],$DE348,100),0)</f>
        <v/>
      </c>
      <c r="CZ348">
        <f>IFERROR(INDEX(PP_Grid[#Data],$DE348,101),0)</f>
        <v/>
      </c>
      <c r="DA348">
        <f>IFERROR(INDEX(PP_Grid[#Data],$DE348,102),0)</f>
        <v/>
      </c>
      <c r="DB348">
        <f>IFERROR(INDEX(PP_Grid[#Data],$DE348,103),0)</f>
        <v/>
      </c>
      <c r="DC348">
        <f>IFERROR(INDEX(PP_Grid[#Data],$DE348,104),0)</f>
        <v/>
      </c>
      <c r="DD348">
        <f>IFERROR(INDEX(PP_Grid[#Data],$DE348,105),0)</f>
        <v/>
      </c>
      <c r="DE348" s="7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SUMIFS(M_BOM[RM_Qty_Per_Batch],M_BOM[Intermediate],$B348,M_BOM[RM_Code],$A325)</f>
        <v/>
      </c>
      <c r="D349">
        <f>IFERROR(INDEX(E349:DD349,$F$1),"")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  <c r="DD349">
        <f>$C349*DD348</f>
        <v/>
      </c>
    </row>
    <row r="350">
      <c r="B350" t="inlineStr">
        <is>
          <t>TSP-206</t>
        </is>
      </c>
      <c r="C350" t="inlineStr">
        <is>
          <t>No. of batches</t>
        </is>
      </c>
      <c r="D350">
        <f>IFERROR(INDEX(E350:DD350,$F$1),"")</f>
        <v/>
      </c>
      <c r="E350">
        <f>IFERROR(INDEX(PP_Grid[#Data],$DE350,2),0)</f>
        <v/>
      </c>
      <c r="F350">
        <f>IFERROR(INDEX(PP_Grid[#Data],$DE350,3),0)</f>
        <v/>
      </c>
      <c r="G350">
        <f>IFERROR(INDEX(PP_Grid[#Data],$DE350,4),0)</f>
        <v/>
      </c>
      <c r="H350">
        <f>IFERROR(INDEX(PP_Grid[#Data],$DE350,5),0)</f>
        <v/>
      </c>
      <c r="I350">
        <f>IFERROR(INDEX(PP_Grid[#Data],$DE350,6),0)</f>
        <v/>
      </c>
      <c r="J350">
        <f>IFERROR(INDEX(PP_Grid[#Data],$DE350,7),0)</f>
        <v/>
      </c>
      <c r="K350">
        <f>IFERROR(INDEX(PP_Grid[#Data],$DE350,8),0)</f>
        <v/>
      </c>
      <c r="L350">
        <f>IFERROR(INDEX(PP_Grid[#Data],$DE350,9),0)</f>
        <v/>
      </c>
      <c r="M350">
        <f>IFERROR(INDEX(PP_Grid[#Data],$DE350,10),0)</f>
        <v/>
      </c>
      <c r="N350">
        <f>IFERROR(INDEX(PP_Grid[#Data],$DE350,11),0)</f>
        <v/>
      </c>
      <c r="O350">
        <f>IFERROR(INDEX(PP_Grid[#Data],$DE350,12),0)</f>
        <v/>
      </c>
      <c r="P350">
        <f>IFERROR(INDEX(PP_Grid[#Data],$DE350,13),0)</f>
        <v/>
      </c>
      <c r="Q350">
        <f>IFERROR(INDEX(PP_Grid[#Data],$DE350,14),0)</f>
        <v/>
      </c>
      <c r="R350">
        <f>IFERROR(INDEX(PP_Grid[#Data],$DE350,15),0)</f>
        <v/>
      </c>
      <c r="S350">
        <f>IFERROR(INDEX(PP_Grid[#Data],$DE350,16),0)</f>
        <v/>
      </c>
      <c r="T350">
        <f>IFERROR(INDEX(PP_Grid[#Data],$DE350,17),0)</f>
        <v/>
      </c>
      <c r="U350">
        <f>IFERROR(INDEX(PP_Grid[#Data],$DE350,18),0)</f>
        <v/>
      </c>
      <c r="V350">
        <f>IFERROR(INDEX(PP_Grid[#Data],$DE350,19),0)</f>
        <v/>
      </c>
      <c r="W350">
        <f>IFERROR(INDEX(PP_Grid[#Data],$DE350,20),0)</f>
        <v/>
      </c>
      <c r="X350">
        <f>IFERROR(INDEX(PP_Grid[#Data],$DE350,21),0)</f>
        <v/>
      </c>
      <c r="Y350">
        <f>IFERROR(INDEX(PP_Grid[#Data],$DE350,22),0)</f>
        <v/>
      </c>
      <c r="Z350">
        <f>IFERROR(INDEX(PP_Grid[#Data],$DE350,23),0)</f>
        <v/>
      </c>
      <c r="AA350">
        <f>IFERROR(INDEX(PP_Grid[#Data],$DE350,24),0)</f>
        <v/>
      </c>
      <c r="AB350">
        <f>IFERROR(INDEX(PP_Grid[#Data],$DE350,25),0)</f>
        <v/>
      </c>
      <c r="AC350">
        <f>IFERROR(INDEX(PP_Grid[#Data],$DE350,26),0)</f>
        <v/>
      </c>
      <c r="AD350">
        <f>IFERROR(INDEX(PP_Grid[#Data],$DE350,27),0)</f>
        <v/>
      </c>
      <c r="AE350">
        <f>IFERROR(INDEX(PP_Grid[#Data],$DE350,28),0)</f>
        <v/>
      </c>
      <c r="AF350">
        <f>IFERROR(INDEX(PP_Grid[#Data],$DE350,29),0)</f>
        <v/>
      </c>
      <c r="AG350">
        <f>IFERROR(INDEX(PP_Grid[#Data],$DE350,30),0)</f>
        <v/>
      </c>
      <c r="AH350">
        <f>IFERROR(INDEX(PP_Grid[#Data],$DE350,31),0)</f>
        <v/>
      </c>
      <c r="AI350">
        <f>IFERROR(INDEX(PP_Grid[#Data],$DE350,32),0)</f>
        <v/>
      </c>
      <c r="AJ350">
        <f>IFERROR(INDEX(PP_Grid[#Data],$DE350,33),0)</f>
        <v/>
      </c>
      <c r="AK350">
        <f>IFERROR(INDEX(PP_Grid[#Data],$DE350,34),0)</f>
        <v/>
      </c>
      <c r="AL350">
        <f>IFERROR(INDEX(PP_Grid[#Data],$DE350,35),0)</f>
        <v/>
      </c>
      <c r="AM350">
        <f>IFERROR(INDEX(PP_Grid[#Data],$DE350,36),0)</f>
        <v/>
      </c>
      <c r="AN350">
        <f>IFERROR(INDEX(PP_Grid[#Data],$DE350,37),0)</f>
        <v/>
      </c>
      <c r="AO350">
        <f>IFERROR(INDEX(PP_Grid[#Data],$DE350,38),0)</f>
        <v/>
      </c>
      <c r="AP350">
        <f>IFERROR(INDEX(PP_Grid[#Data],$DE350,39),0)</f>
        <v/>
      </c>
      <c r="AQ350">
        <f>IFERROR(INDEX(PP_Grid[#Data],$DE350,40),0)</f>
        <v/>
      </c>
      <c r="AR350">
        <f>IFERROR(INDEX(PP_Grid[#Data],$DE350,41),0)</f>
        <v/>
      </c>
      <c r="AS350">
        <f>IFERROR(INDEX(PP_Grid[#Data],$DE350,42),0)</f>
        <v/>
      </c>
      <c r="AT350">
        <f>IFERROR(INDEX(PP_Grid[#Data],$DE350,43),0)</f>
        <v/>
      </c>
      <c r="AU350">
        <f>IFERROR(INDEX(PP_Grid[#Data],$DE350,44),0)</f>
        <v/>
      </c>
      <c r="AV350">
        <f>IFERROR(INDEX(PP_Grid[#Data],$DE350,45),0)</f>
        <v/>
      </c>
      <c r="AW350">
        <f>IFERROR(INDEX(PP_Grid[#Data],$DE350,46),0)</f>
        <v/>
      </c>
      <c r="AX350">
        <f>IFERROR(INDEX(PP_Grid[#Data],$DE350,47),0)</f>
        <v/>
      </c>
      <c r="AY350">
        <f>IFERROR(INDEX(PP_Grid[#Data],$DE350,48),0)</f>
        <v/>
      </c>
      <c r="AZ350">
        <f>IFERROR(INDEX(PP_Grid[#Data],$DE350,49),0)</f>
        <v/>
      </c>
      <c r="BA350">
        <f>IFERROR(INDEX(PP_Grid[#Data],$DE350,50),0)</f>
        <v/>
      </c>
      <c r="BB350">
        <f>IFERROR(INDEX(PP_Grid[#Data],$DE350,51),0)</f>
        <v/>
      </c>
      <c r="BC350">
        <f>IFERROR(INDEX(PP_Grid[#Data],$DE350,52),0)</f>
        <v/>
      </c>
      <c r="BD350">
        <f>IFERROR(INDEX(PP_Grid[#Data],$DE350,53),0)</f>
        <v/>
      </c>
      <c r="BE350">
        <f>IFERROR(INDEX(PP_Grid[#Data],$DE350,54),0)</f>
        <v/>
      </c>
      <c r="BF350">
        <f>IFERROR(INDEX(PP_Grid[#Data],$DE350,55),0)</f>
        <v/>
      </c>
      <c r="BG350">
        <f>IFERROR(INDEX(PP_Grid[#Data],$DE350,56),0)</f>
        <v/>
      </c>
      <c r="BH350">
        <f>IFERROR(INDEX(PP_Grid[#Data],$DE350,57),0)</f>
        <v/>
      </c>
      <c r="BI350">
        <f>IFERROR(INDEX(PP_Grid[#Data],$DE350,58),0)</f>
        <v/>
      </c>
      <c r="BJ350">
        <f>IFERROR(INDEX(PP_Grid[#Data],$DE350,59),0)</f>
        <v/>
      </c>
      <c r="BK350">
        <f>IFERROR(INDEX(PP_Grid[#Data],$DE350,60),0)</f>
        <v/>
      </c>
      <c r="BL350">
        <f>IFERROR(INDEX(PP_Grid[#Data],$DE350,61),0)</f>
        <v/>
      </c>
      <c r="BM350">
        <f>IFERROR(INDEX(PP_Grid[#Data],$DE350,62),0)</f>
        <v/>
      </c>
      <c r="BN350">
        <f>IFERROR(INDEX(PP_Grid[#Data],$DE350,63),0)</f>
        <v/>
      </c>
      <c r="BO350">
        <f>IFERROR(INDEX(PP_Grid[#Data],$DE350,64),0)</f>
        <v/>
      </c>
      <c r="BP350">
        <f>IFERROR(INDEX(PP_Grid[#Data],$DE350,65),0)</f>
        <v/>
      </c>
      <c r="BQ350">
        <f>IFERROR(INDEX(PP_Grid[#Data],$DE350,66),0)</f>
        <v/>
      </c>
      <c r="BR350">
        <f>IFERROR(INDEX(PP_Grid[#Data],$DE350,67),0)</f>
        <v/>
      </c>
      <c r="BS350">
        <f>IFERROR(INDEX(PP_Grid[#Data],$DE350,68),0)</f>
        <v/>
      </c>
      <c r="BT350">
        <f>IFERROR(INDEX(PP_Grid[#Data],$DE350,69),0)</f>
        <v/>
      </c>
      <c r="BU350">
        <f>IFERROR(INDEX(PP_Grid[#Data],$DE350,70),0)</f>
        <v/>
      </c>
      <c r="BV350">
        <f>IFERROR(INDEX(PP_Grid[#Data],$DE350,71),0)</f>
        <v/>
      </c>
      <c r="BW350">
        <f>IFERROR(INDEX(PP_Grid[#Data],$DE350,72),0)</f>
        <v/>
      </c>
      <c r="BX350">
        <f>IFERROR(INDEX(PP_Grid[#Data],$DE350,73),0)</f>
        <v/>
      </c>
      <c r="BY350">
        <f>IFERROR(INDEX(PP_Grid[#Data],$DE350,74),0)</f>
        <v/>
      </c>
      <c r="BZ350">
        <f>IFERROR(INDEX(PP_Grid[#Data],$DE350,75),0)</f>
        <v/>
      </c>
      <c r="CA350">
        <f>IFERROR(INDEX(PP_Grid[#Data],$DE350,76),0)</f>
        <v/>
      </c>
      <c r="CB350">
        <f>IFERROR(INDEX(PP_Grid[#Data],$DE350,77),0)</f>
        <v/>
      </c>
      <c r="CC350">
        <f>IFERROR(INDEX(PP_Grid[#Data],$DE350,78),0)</f>
        <v/>
      </c>
      <c r="CD350">
        <f>IFERROR(INDEX(PP_Grid[#Data],$DE350,79),0)</f>
        <v/>
      </c>
      <c r="CE350">
        <f>IFERROR(INDEX(PP_Grid[#Data],$DE350,80),0)</f>
        <v/>
      </c>
      <c r="CF350">
        <f>IFERROR(INDEX(PP_Grid[#Data],$DE350,81),0)</f>
        <v/>
      </c>
      <c r="CG350">
        <f>IFERROR(INDEX(PP_Grid[#Data],$DE350,82),0)</f>
        <v/>
      </c>
      <c r="CH350">
        <f>IFERROR(INDEX(PP_Grid[#Data],$DE350,83),0)</f>
        <v/>
      </c>
      <c r="CI350">
        <f>IFERROR(INDEX(PP_Grid[#Data],$DE350,84),0)</f>
        <v/>
      </c>
      <c r="CJ350">
        <f>IFERROR(INDEX(PP_Grid[#Data],$DE350,85),0)</f>
        <v/>
      </c>
      <c r="CK350">
        <f>IFERROR(INDEX(PP_Grid[#Data],$DE350,86),0)</f>
        <v/>
      </c>
      <c r="CL350">
        <f>IFERROR(INDEX(PP_Grid[#Data],$DE350,87),0)</f>
        <v/>
      </c>
      <c r="CM350">
        <f>IFERROR(INDEX(PP_Grid[#Data],$DE350,88),0)</f>
        <v/>
      </c>
      <c r="CN350">
        <f>IFERROR(INDEX(PP_Grid[#Data],$DE350,89),0)</f>
        <v/>
      </c>
      <c r="CO350">
        <f>IFERROR(INDEX(PP_Grid[#Data],$DE350,90),0)</f>
        <v/>
      </c>
      <c r="CP350">
        <f>IFERROR(INDEX(PP_Grid[#Data],$DE350,91),0)</f>
        <v/>
      </c>
      <c r="CQ350">
        <f>IFERROR(INDEX(PP_Grid[#Data],$DE350,92),0)</f>
        <v/>
      </c>
      <c r="CR350">
        <f>IFERROR(INDEX(PP_Grid[#Data],$DE350,93),0)</f>
        <v/>
      </c>
      <c r="CS350">
        <f>IFERROR(INDEX(PP_Grid[#Data],$DE350,94),0)</f>
        <v/>
      </c>
      <c r="CT350">
        <f>IFERROR(INDEX(PP_Grid[#Data],$DE350,95),0)</f>
        <v/>
      </c>
      <c r="CU350">
        <f>IFERROR(INDEX(PP_Grid[#Data],$DE350,96),0)</f>
        <v/>
      </c>
      <c r="CV350">
        <f>IFERROR(INDEX(PP_Grid[#Data],$DE350,97),0)</f>
        <v/>
      </c>
      <c r="CW350">
        <f>IFERROR(INDEX(PP_Grid[#Data],$DE350,98),0)</f>
        <v/>
      </c>
      <c r="CX350">
        <f>IFERROR(INDEX(PP_Grid[#Data],$DE350,99),0)</f>
        <v/>
      </c>
      <c r="CY350">
        <f>IFERROR(INDEX(PP_Grid[#Data],$DE350,100),0)</f>
        <v/>
      </c>
      <c r="CZ350">
        <f>IFERROR(INDEX(PP_Grid[#Data],$DE350,101),0)</f>
        <v/>
      </c>
      <c r="DA350">
        <f>IFERROR(INDEX(PP_Grid[#Data],$DE350,102),0)</f>
        <v/>
      </c>
      <c r="DB350">
        <f>IFERROR(INDEX(PP_Grid[#Data],$DE350,103),0)</f>
        <v/>
      </c>
      <c r="DC350">
        <f>IFERROR(INDEX(PP_Grid[#Data],$DE350,104),0)</f>
        <v/>
      </c>
      <c r="DD350">
        <f>IFERROR(INDEX(PP_Grid[#Data],$DE350,105),0)</f>
        <v/>
      </c>
      <c r="DE350" s="7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SUMIFS(M_BOM[RM_Qty_Per_Batch],M_BOM[Intermediate],$B350,M_BOM[RM_Code],$A325)</f>
        <v/>
      </c>
      <c r="D351">
        <f>IFERROR(INDEX(E351:DD351,$F$1),"")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  <c r="DD351">
        <f>$C351*DD350</f>
        <v/>
      </c>
    </row>
    <row r="352">
      <c r="B352" t="inlineStr">
        <is>
          <t>TSP-218</t>
        </is>
      </c>
      <c r="C352" t="inlineStr">
        <is>
          <t>No. of batches</t>
        </is>
      </c>
      <c r="D352">
        <f>IFERROR(INDEX(E352:DD352,$F$1),"")</f>
        <v/>
      </c>
      <c r="E352">
        <f>IFERROR(INDEX(PP_Grid[#Data],$DE352,2),0)</f>
        <v/>
      </c>
      <c r="F352">
        <f>IFERROR(INDEX(PP_Grid[#Data],$DE352,3),0)</f>
        <v/>
      </c>
      <c r="G352">
        <f>IFERROR(INDEX(PP_Grid[#Data],$DE352,4),0)</f>
        <v/>
      </c>
      <c r="H352">
        <f>IFERROR(INDEX(PP_Grid[#Data],$DE352,5),0)</f>
        <v/>
      </c>
      <c r="I352">
        <f>IFERROR(INDEX(PP_Grid[#Data],$DE352,6),0)</f>
        <v/>
      </c>
      <c r="J352">
        <f>IFERROR(INDEX(PP_Grid[#Data],$DE352,7),0)</f>
        <v/>
      </c>
      <c r="K352">
        <f>IFERROR(INDEX(PP_Grid[#Data],$DE352,8),0)</f>
        <v/>
      </c>
      <c r="L352">
        <f>IFERROR(INDEX(PP_Grid[#Data],$DE352,9),0)</f>
        <v/>
      </c>
      <c r="M352">
        <f>IFERROR(INDEX(PP_Grid[#Data],$DE352,10),0)</f>
        <v/>
      </c>
      <c r="N352">
        <f>IFERROR(INDEX(PP_Grid[#Data],$DE352,11),0)</f>
        <v/>
      </c>
      <c r="O352">
        <f>IFERROR(INDEX(PP_Grid[#Data],$DE352,12),0)</f>
        <v/>
      </c>
      <c r="P352">
        <f>IFERROR(INDEX(PP_Grid[#Data],$DE352,13),0)</f>
        <v/>
      </c>
      <c r="Q352">
        <f>IFERROR(INDEX(PP_Grid[#Data],$DE352,14),0)</f>
        <v/>
      </c>
      <c r="R352">
        <f>IFERROR(INDEX(PP_Grid[#Data],$DE352,15),0)</f>
        <v/>
      </c>
      <c r="S352">
        <f>IFERROR(INDEX(PP_Grid[#Data],$DE352,16),0)</f>
        <v/>
      </c>
      <c r="T352">
        <f>IFERROR(INDEX(PP_Grid[#Data],$DE352,17),0)</f>
        <v/>
      </c>
      <c r="U352">
        <f>IFERROR(INDEX(PP_Grid[#Data],$DE352,18),0)</f>
        <v/>
      </c>
      <c r="V352">
        <f>IFERROR(INDEX(PP_Grid[#Data],$DE352,19),0)</f>
        <v/>
      </c>
      <c r="W352">
        <f>IFERROR(INDEX(PP_Grid[#Data],$DE352,20),0)</f>
        <v/>
      </c>
      <c r="X352">
        <f>IFERROR(INDEX(PP_Grid[#Data],$DE352,21),0)</f>
        <v/>
      </c>
      <c r="Y352">
        <f>IFERROR(INDEX(PP_Grid[#Data],$DE352,22),0)</f>
        <v/>
      </c>
      <c r="Z352">
        <f>IFERROR(INDEX(PP_Grid[#Data],$DE352,23),0)</f>
        <v/>
      </c>
      <c r="AA352">
        <f>IFERROR(INDEX(PP_Grid[#Data],$DE352,24),0)</f>
        <v/>
      </c>
      <c r="AB352">
        <f>IFERROR(INDEX(PP_Grid[#Data],$DE352,25),0)</f>
        <v/>
      </c>
      <c r="AC352">
        <f>IFERROR(INDEX(PP_Grid[#Data],$DE352,26),0)</f>
        <v/>
      </c>
      <c r="AD352">
        <f>IFERROR(INDEX(PP_Grid[#Data],$DE352,27),0)</f>
        <v/>
      </c>
      <c r="AE352">
        <f>IFERROR(INDEX(PP_Grid[#Data],$DE352,28),0)</f>
        <v/>
      </c>
      <c r="AF352">
        <f>IFERROR(INDEX(PP_Grid[#Data],$DE352,29),0)</f>
        <v/>
      </c>
      <c r="AG352">
        <f>IFERROR(INDEX(PP_Grid[#Data],$DE352,30),0)</f>
        <v/>
      </c>
      <c r="AH352">
        <f>IFERROR(INDEX(PP_Grid[#Data],$DE352,31),0)</f>
        <v/>
      </c>
      <c r="AI352">
        <f>IFERROR(INDEX(PP_Grid[#Data],$DE352,32),0)</f>
        <v/>
      </c>
      <c r="AJ352">
        <f>IFERROR(INDEX(PP_Grid[#Data],$DE352,33),0)</f>
        <v/>
      </c>
      <c r="AK352">
        <f>IFERROR(INDEX(PP_Grid[#Data],$DE352,34),0)</f>
        <v/>
      </c>
      <c r="AL352">
        <f>IFERROR(INDEX(PP_Grid[#Data],$DE352,35),0)</f>
        <v/>
      </c>
      <c r="AM352">
        <f>IFERROR(INDEX(PP_Grid[#Data],$DE352,36),0)</f>
        <v/>
      </c>
      <c r="AN352">
        <f>IFERROR(INDEX(PP_Grid[#Data],$DE352,37),0)</f>
        <v/>
      </c>
      <c r="AO352">
        <f>IFERROR(INDEX(PP_Grid[#Data],$DE352,38),0)</f>
        <v/>
      </c>
      <c r="AP352">
        <f>IFERROR(INDEX(PP_Grid[#Data],$DE352,39),0)</f>
        <v/>
      </c>
      <c r="AQ352">
        <f>IFERROR(INDEX(PP_Grid[#Data],$DE352,40),0)</f>
        <v/>
      </c>
      <c r="AR352">
        <f>IFERROR(INDEX(PP_Grid[#Data],$DE352,41),0)</f>
        <v/>
      </c>
      <c r="AS352">
        <f>IFERROR(INDEX(PP_Grid[#Data],$DE352,42),0)</f>
        <v/>
      </c>
      <c r="AT352">
        <f>IFERROR(INDEX(PP_Grid[#Data],$DE352,43),0)</f>
        <v/>
      </c>
      <c r="AU352">
        <f>IFERROR(INDEX(PP_Grid[#Data],$DE352,44),0)</f>
        <v/>
      </c>
      <c r="AV352">
        <f>IFERROR(INDEX(PP_Grid[#Data],$DE352,45),0)</f>
        <v/>
      </c>
      <c r="AW352">
        <f>IFERROR(INDEX(PP_Grid[#Data],$DE352,46),0)</f>
        <v/>
      </c>
      <c r="AX352">
        <f>IFERROR(INDEX(PP_Grid[#Data],$DE352,47),0)</f>
        <v/>
      </c>
      <c r="AY352">
        <f>IFERROR(INDEX(PP_Grid[#Data],$DE352,48),0)</f>
        <v/>
      </c>
      <c r="AZ352">
        <f>IFERROR(INDEX(PP_Grid[#Data],$DE352,49),0)</f>
        <v/>
      </c>
      <c r="BA352">
        <f>IFERROR(INDEX(PP_Grid[#Data],$DE352,50),0)</f>
        <v/>
      </c>
      <c r="BB352">
        <f>IFERROR(INDEX(PP_Grid[#Data],$DE352,51),0)</f>
        <v/>
      </c>
      <c r="BC352">
        <f>IFERROR(INDEX(PP_Grid[#Data],$DE352,52),0)</f>
        <v/>
      </c>
      <c r="BD352">
        <f>IFERROR(INDEX(PP_Grid[#Data],$DE352,53),0)</f>
        <v/>
      </c>
      <c r="BE352">
        <f>IFERROR(INDEX(PP_Grid[#Data],$DE352,54),0)</f>
        <v/>
      </c>
      <c r="BF352">
        <f>IFERROR(INDEX(PP_Grid[#Data],$DE352,55),0)</f>
        <v/>
      </c>
      <c r="BG352">
        <f>IFERROR(INDEX(PP_Grid[#Data],$DE352,56),0)</f>
        <v/>
      </c>
      <c r="BH352">
        <f>IFERROR(INDEX(PP_Grid[#Data],$DE352,57),0)</f>
        <v/>
      </c>
      <c r="BI352">
        <f>IFERROR(INDEX(PP_Grid[#Data],$DE352,58),0)</f>
        <v/>
      </c>
      <c r="BJ352">
        <f>IFERROR(INDEX(PP_Grid[#Data],$DE352,59),0)</f>
        <v/>
      </c>
      <c r="BK352">
        <f>IFERROR(INDEX(PP_Grid[#Data],$DE352,60),0)</f>
        <v/>
      </c>
      <c r="BL352">
        <f>IFERROR(INDEX(PP_Grid[#Data],$DE352,61),0)</f>
        <v/>
      </c>
      <c r="BM352">
        <f>IFERROR(INDEX(PP_Grid[#Data],$DE352,62),0)</f>
        <v/>
      </c>
      <c r="BN352">
        <f>IFERROR(INDEX(PP_Grid[#Data],$DE352,63),0)</f>
        <v/>
      </c>
      <c r="BO352">
        <f>IFERROR(INDEX(PP_Grid[#Data],$DE352,64),0)</f>
        <v/>
      </c>
      <c r="BP352">
        <f>IFERROR(INDEX(PP_Grid[#Data],$DE352,65),0)</f>
        <v/>
      </c>
      <c r="BQ352">
        <f>IFERROR(INDEX(PP_Grid[#Data],$DE352,66),0)</f>
        <v/>
      </c>
      <c r="BR352">
        <f>IFERROR(INDEX(PP_Grid[#Data],$DE352,67),0)</f>
        <v/>
      </c>
      <c r="BS352">
        <f>IFERROR(INDEX(PP_Grid[#Data],$DE352,68),0)</f>
        <v/>
      </c>
      <c r="BT352">
        <f>IFERROR(INDEX(PP_Grid[#Data],$DE352,69),0)</f>
        <v/>
      </c>
      <c r="BU352">
        <f>IFERROR(INDEX(PP_Grid[#Data],$DE352,70),0)</f>
        <v/>
      </c>
      <c r="BV352">
        <f>IFERROR(INDEX(PP_Grid[#Data],$DE352,71),0)</f>
        <v/>
      </c>
      <c r="BW352">
        <f>IFERROR(INDEX(PP_Grid[#Data],$DE352,72),0)</f>
        <v/>
      </c>
      <c r="BX352">
        <f>IFERROR(INDEX(PP_Grid[#Data],$DE352,73),0)</f>
        <v/>
      </c>
      <c r="BY352">
        <f>IFERROR(INDEX(PP_Grid[#Data],$DE352,74),0)</f>
        <v/>
      </c>
      <c r="BZ352">
        <f>IFERROR(INDEX(PP_Grid[#Data],$DE352,75),0)</f>
        <v/>
      </c>
      <c r="CA352">
        <f>IFERROR(INDEX(PP_Grid[#Data],$DE352,76),0)</f>
        <v/>
      </c>
      <c r="CB352">
        <f>IFERROR(INDEX(PP_Grid[#Data],$DE352,77),0)</f>
        <v/>
      </c>
      <c r="CC352">
        <f>IFERROR(INDEX(PP_Grid[#Data],$DE352,78),0)</f>
        <v/>
      </c>
      <c r="CD352">
        <f>IFERROR(INDEX(PP_Grid[#Data],$DE352,79),0)</f>
        <v/>
      </c>
      <c r="CE352">
        <f>IFERROR(INDEX(PP_Grid[#Data],$DE352,80),0)</f>
        <v/>
      </c>
      <c r="CF352">
        <f>IFERROR(INDEX(PP_Grid[#Data],$DE352,81),0)</f>
        <v/>
      </c>
      <c r="CG352">
        <f>IFERROR(INDEX(PP_Grid[#Data],$DE352,82),0)</f>
        <v/>
      </c>
      <c r="CH352">
        <f>IFERROR(INDEX(PP_Grid[#Data],$DE352,83),0)</f>
        <v/>
      </c>
      <c r="CI352">
        <f>IFERROR(INDEX(PP_Grid[#Data],$DE352,84),0)</f>
        <v/>
      </c>
      <c r="CJ352">
        <f>IFERROR(INDEX(PP_Grid[#Data],$DE352,85),0)</f>
        <v/>
      </c>
      <c r="CK352">
        <f>IFERROR(INDEX(PP_Grid[#Data],$DE352,86),0)</f>
        <v/>
      </c>
      <c r="CL352">
        <f>IFERROR(INDEX(PP_Grid[#Data],$DE352,87),0)</f>
        <v/>
      </c>
      <c r="CM352">
        <f>IFERROR(INDEX(PP_Grid[#Data],$DE352,88),0)</f>
        <v/>
      </c>
      <c r="CN352">
        <f>IFERROR(INDEX(PP_Grid[#Data],$DE352,89),0)</f>
        <v/>
      </c>
      <c r="CO352">
        <f>IFERROR(INDEX(PP_Grid[#Data],$DE352,90),0)</f>
        <v/>
      </c>
      <c r="CP352">
        <f>IFERROR(INDEX(PP_Grid[#Data],$DE352,91),0)</f>
        <v/>
      </c>
      <c r="CQ352">
        <f>IFERROR(INDEX(PP_Grid[#Data],$DE352,92),0)</f>
        <v/>
      </c>
      <c r="CR352">
        <f>IFERROR(INDEX(PP_Grid[#Data],$DE352,93),0)</f>
        <v/>
      </c>
      <c r="CS352">
        <f>IFERROR(INDEX(PP_Grid[#Data],$DE352,94),0)</f>
        <v/>
      </c>
      <c r="CT352">
        <f>IFERROR(INDEX(PP_Grid[#Data],$DE352,95),0)</f>
        <v/>
      </c>
      <c r="CU352">
        <f>IFERROR(INDEX(PP_Grid[#Data],$DE352,96),0)</f>
        <v/>
      </c>
      <c r="CV352">
        <f>IFERROR(INDEX(PP_Grid[#Data],$DE352,97),0)</f>
        <v/>
      </c>
      <c r="CW352">
        <f>IFERROR(INDEX(PP_Grid[#Data],$DE352,98),0)</f>
        <v/>
      </c>
      <c r="CX352">
        <f>IFERROR(INDEX(PP_Grid[#Data],$DE352,99),0)</f>
        <v/>
      </c>
      <c r="CY352">
        <f>IFERROR(INDEX(PP_Grid[#Data],$DE352,100),0)</f>
        <v/>
      </c>
      <c r="CZ352">
        <f>IFERROR(INDEX(PP_Grid[#Data],$DE352,101),0)</f>
        <v/>
      </c>
      <c r="DA352">
        <f>IFERROR(INDEX(PP_Grid[#Data],$DE352,102),0)</f>
        <v/>
      </c>
      <c r="DB352">
        <f>IFERROR(INDEX(PP_Grid[#Data],$DE352,103),0)</f>
        <v/>
      </c>
      <c r="DC352">
        <f>IFERROR(INDEX(PP_Grid[#Data],$DE352,104),0)</f>
        <v/>
      </c>
      <c r="DD352">
        <f>IFERROR(INDEX(PP_Grid[#Data],$DE352,105),0)</f>
        <v/>
      </c>
      <c r="DE352" s="7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SUMIFS(M_BOM[RM_Qty_Per_Batch],M_BOM[Intermediate],$B352,M_BOM[RM_Code],$A325)</f>
        <v/>
      </c>
      <c r="D353">
        <f>IFERROR(INDEX(E353:DD353,$F$1),"")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  <c r="DD353">
        <f>$C353*DD352</f>
        <v/>
      </c>
    </row>
    <row r="354">
      <c r="B354" t="inlineStr">
        <is>
          <t>TSP-219</t>
        </is>
      </c>
      <c r="C354" t="inlineStr">
        <is>
          <t>No. of batches</t>
        </is>
      </c>
      <c r="D354">
        <f>IFERROR(INDEX(E354:DD354,$F$1),"")</f>
        <v/>
      </c>
      <c r="E354">
        <f>IFERROR(INDEX(PP_Grid[#Data],$DE354,2),0)</f>
        <v/>
      </c>
      <c r="F354">
        <f>IFERROR(INDEX(PP_Grid[#Data],$DE354,3),0)</f>
        <v/>
      </c>
      <c r="G354">
        <f>IFERROR(INDEX(PP_Grid[#Data],$DE354,4),0)</f>
        <v/>
      </c>
      <c r="H354">
        <f>IFERROR(INDEX(PP_Grid[#Data],$DE354,5),0)</f>
        <v/>
      </c>
      <c r="I354">
        <f>IFERROR(INDEX(PP_Grid[#Data],$DE354,6),0)</f>
        <v/>
      </c>
      <c r="J354">
        <f>IFERROR(INDEX(PP_Grid[#Data],$DE354,7),0)</f>
        <v/>
      </c>
      <c r="K354">
        <f>IFERROR(INDEX(PP_Grid[#Data],$DE354,8),0)</f>
        <v/>
      </c>
      <c r="L354">
        <f>IFERROR(INDEX(PP_Grid[#Data],$DE354,9),0)</f>
        <v/>
      </c>
      <c r="M354">
        <f>IFERROR(INDEX(PP_Grid[#Data],$DE354,10),0)</f>
        <v/>
      </c>
      <c r="N354">
        <f>IFERROR(INDEX(PP_Grid[#Data],$DE354,11),0)</f>
        <v/>
      </c>
      <c r="O354">
        <f>IFERROR(INDEX(PP_Grid[#Data],$DE354,12),0)</f>
        <v/>
      </c>
      <c r="P354">
        <f>IFERROR(INDEX(PP_Grid[#Data],$DE354,13),0)</f>
        <v/>
      </c>
      <c r="Q354">
        <f>IFERROR(INDEX(PP_Grid[#Data],$DE354,14),0)</f>
        <v/>
      </c>
      <c r="R354">
        <f>IFERROR(INDEX(PP_Grid[#Data],$DE354,15),0)</f>
        <v/>
      </c>
      <c r="S354">
        <f>IFERROR(INDEX(PP_Grid[#Data],$DE354,16),0)</f>
        <v/>
      </c>
      <c r="T354">
        <f>IFERROR(INDEX(PP_Grid[#Data],$DE354,17),0)</f>
        <v/>
      </c>
      <c r="U354">
        <f>IFERROR(INDEX(PP_Grid[#Data],$DE354,18),0)</f>
        <v/>
      </c>
      <c r="V354">
        <f>IFERROR(INDEX(PP_Grid[#Data],$DE354,19),0)</f>
        <v/>
      </c>
      <c r="W354">
        <f>IFERROR(INDEX(PP_Grid[#Data],$DE354,20),0)</f>
        <v/>
      </c>
      <c r="X354">
        <f>IFERROR(INDEX(PP_Grid[#Data],$DE354,21),0)</f>
        <v/>
      </c>
      <c r="Y354">
        <f>IFERROR(INDEX(PP_Grid[#Data],$DE354,22),0)</f>
        <v/>
      </c>
      <c r="Z354">
        <f>IFERROR(INDEX(PP_Grid[#Data],$DE354,23),0)</f>
        <v/>
      </c>
      <c r="AA354">
        <f>IFERROR(INDEX(PP_Grid[#Data],$DE354,24),0)</f>
        <v/>
      </c>
      <c r="AB354">
        <f>IFERROR(INDEX(PP_Grid[#Data],$DE354,25),0)</f>
        <v/>
      </c>
      <c r="AC354">
        <f>IFERROR(INDEX(PP_Grid[#Data],$DE354,26),0)</f>
        <v/>
      </c>
      <c r="AD354">
        <f>IFERROR(INDEX(PP_Grid[#Data],$DE354,27),0)</f>
        <v/>
      </c>
      <c r="AE354">
        <f>IFERROR(INDEX(PP_Grid[#Data],$DE354,28),0)</f>
        <v/>
      </c>
      <c r="AF354">
        <f>IFERROR(INDEX(PP_Grid[#Data],$DE354,29),0)</f>
        <v/>
      </c>
      <c r="AG354">
        <f>IFERROR(INDEX(PP_Grid[#Data],$DE354,30),0)</f>
        <v/>
      </c>
      <c r="AH354">
        <f>IFERROR(INDEX(PP_Grid[#Data],$DE354,31),0)</f>
        <v/>
      </c>
      <c r="AI354">
        <f>IFERROR(INDEX(PP_Grid[#Data],$DE354,32),0)</f>
        <v/>
      </c>
      <c r="AJ354">
        <f>IFERROR(INDEX(PP_Grid[#Data],$DE354,33),0)</f>
        <v/>
      </c>
      <c r="AK354">
        <f>IFERROR(INDEX(PP_Grid[#Data],$DE354,34),0)</f>
        <v/>
      </c>
      <c r="AL354">
        <f>IFERROR(INDEX(PP_Grid[#Data],$DE354,35),0)</f>
        <v/>
      </c>
      <c r="AM354">
        <f>IFERROR(INDEX(PP_Grid[#Data],$DE354,36),0)</f>
        <v/>
      </c>
      <c r="AN354">
        <f>IFERROR(INDEX(PP_Grid[#Data],$DE354,37),0)</f>
        <v/>
      </c>
      <c r="AO354">
        <f>IFERROR(INDEX(PP_Grid[#Data],$DE354,38),0)</f>
        <v/>
      </c>
      <c r="AP354">
        <f>IFERROR(INDEX(PP_Grid[#Data],$DE354,39),0)</f>
        <v/>
      </c>
      <c r="AQ354">
        <f>IFERROR(INDEX(PP_Grid[#Data],$DE354,40),0)</f>
        <v/>
      </c>
      <c r="AR354">
        <f>IFERROR(INDEX(PP_Grid[#Data],$DE354,41),0)</f>
        <v/>
      </c>
      <c r="AS354">
        <f>IFERROR(INDEX(PP_Grid[#Data],$DE354,42),0)</f>
        <v/>
      </c>
      <c r="AT354">
        <f>IFERROR(INDEX(PP_Grid[#Data],$DE354,43),0)</f>
        <v/>
      </c>
      <c r="AU354">
        <f>IFERROR(INDEX(PP_Grid[#Data],$DE354,44),0)</f>
        <v/>
      </c>
      <c r="AV354">
        <f>IFERROR(INDEX(PP_Grid[#Data],$DE354,45),0)</f>
        <v/>
      </c>
      <c r="AW354">
        <f>IFERROR(INDEX(PP_Grid[#Data],$DE354,46),0)</f>
        <v/>
      </c>
      <c r="AX354">
        <f>IFERROR(INDEX(PP_Grid[#Data],$DE354,47),0)</f>
        <v/>
      </c>
      <c r="AY354">
        <f>IFERROR(INDEX(PP_Grid[#Data],$DE354,48),0)</f>
        <v/>
      </c>
      <c r="AZ354">
        <f>IFERROR(INDEX(PP_Grid[#Data],$DE354,49),0)</f>
        <v/>
      </c>
      <c r="BA354">
        <f>IFERROR(INDEX(PP_Grid[#Data],$DE354,50),0)</f>
        <v/>
      </c>
      <c r="BB354">
        <f>IFERROR(INDEX(PP_Grid[#Data],$DE354,51),0)</f>
        <v/>
      </c>
      <c r="BC354">
        <f>IFERROR(INDEX(PP_Grid[#Data],$DE354,52),0)</f>
        <v/>
      </c>
      <c r="BD354">
        <f>IFERROR(INDEX(PP_Grid[#Data],$DE354,53),0)</f>
        <v/>
      </c>
      <c r="BE354">
        <f>IFERROR(INDEX(PP_Grid[#Data],$DE354,54),0)</f>
        <v/>
      </c>
      <c r="BF354">
        <f>IFERROR(INDEX(PP_Grid[#Data],$DE354,55),0)</f>
        <v/>
      </c>
      <c r="BG354">
        <f>IFERROR(INDEX(PP_Grid[#Data],$DE354,56),0)</f>
        <v/>
      </c>
      <c r="BH354">
        <f>IFERROR(INDEX(PP_Grid[#Data],$DE354,57),0)</f>
        <v/>
      </c>
      <c r="BI354">
        <f>IFERROR(INDEX(PP_Grid[#Data],$DE354,58),0)</f>
        <v/>
      </c>
      <c r="BJ354">
        <f>IFERROR(INDEX(PP_Grid[#Data],$DE354,59),0)</f>
        <v/>
      </c>
      <c r="BK354">
        <f>IFERROR(INDEX(PP_Grid[#Data],$DE354,60),0)</f>
        <v/>
      </c>
      <c r="BL354">
        <f>IFERROR(INDEX(PP_Grid[#Data],$DE354,61),0)</f>
        <v/>
      </c>
      <c r="BM354">
        <f>IFERROR(INDEX(PP_Grid[#Data],$DE354,62),0)</f>
        <v/>
      </c>
      <c r="BN354">
        <f>IFERROR(INDEX(PP_Grid[#Data],$DE354,63),0)</f>
        <v/>
      </c>
      <c r="BO354">
        <f>IFERROR(INDEX(PP_Grid[#Data],$DE354,64),0)</f>
        <v/>
      </c>
      <c r="BP354">
        <f>IFERROR(INDEX(PP_Grid[#Data],$DE354,65),0)</f>
        <v/>
      </c>
      <c r="BQ354">
        <f>IFERROR(INDEX(PP_Grid[#Data],$DE354,66),0)</f>
        <v/>
      </c>
      <c r="BR354">
        <f>IFERROR(INDEX(PP_Grid[#Data],$DE354,67),0)</f>
        <v/>
      </c>
      <c r="BS354">
        <f>IFERROR(INDEX(PP_Grid[#Data],$DE354,68),0)</f>
        <v/>
      </c>
      <c r="BT354">
        <f>IFERROR(INDEX(PP_Grid[#Data],$DE354,69),0)</f>
        <v/>
      </c>
      <c r="BU354">
        <f>IFERROR(INDEX(PP_Grid[#Data],$DE354,70),0)</f>
        <v/>
      </c>
      <c r="BV354">
        <f>IFERROR(INDEX(PP_Grid[#Data],$DE354,71),0)</f>
        <v/>
      </c>
      <c r="BW354">
        <f>IFERROR(INDEX(PP_Grid[#Data],$DE354,72),0)</f>
        <v/>
      </c>
      <c r="BX354">
        <f>IFERROR(INDEX(PP_Grid[#Data],$DE354,73),0)</f>
        <v/>
      </c>
      <c r="BY354">
        <f>IFERROR(INDEX(PP_Grid[#Data],$DE354,74),0)</f>
        <v/>
      </c>
      <c r="BZ354">
        <f>IFERROR(INDEX(PP_Grid[#Data],$DE354,75),0)</f>
        <v/>
      </c>
      <c r="CA354">
        <f>IFERROR(INDEX(PP_Grid[#Data],$DE354,76),0)</f>
        <v/>
      </c>
      <c r="CB354">
        <f>IFERROR(INDEX(PP_Grid[#Data],$DE354,77),0)</f>
        <v/>
      </c>
      <c r="CC354">
        <f>IFERROR(INDEX(PP_Grid[#Data],$DE354,78),0)</f>
        <v/>
      </c>
      <c r="CD354">
        <f>IFERROR(INDEX(PP_Grid[#Data],$DE354,79),0)</f>
        <v/>
      </c>
      <c r="CE354">
        <f>IFERROR(INDEX(PP_Grid[#Data],$DE354,80),0)</f>
        <v/>
      </c>
      <c r="CF354">
        <f>IFERROR(INDEX(PP_Grid[#Data],$DE354,81),0)</f>
        <v/>
      </c>
      <c r="CG354">
        <f>IFERROR(INDEX(PP_Grid[#Data],$DE354,82),0)</f>
        <v/>
      </c>
      <c r="CH354">
        <f>IFERROR(INDEX(PP_Grid[#Data],$DE354,83),0)</f>
        <v/>
      </c>
      <c r="CI354">
        <f>IFERROR(INDEX(PP_Grid[#Data],$DE354,84),0)</f>
        <v/>
      </c>
      <c r="CJ354">
        <f>IFERROR(INDEX(PP_Grid[#Data],$DE354,85),0)</f>
        <v/>
      </c>
      <c r="CK354">
        <f>IFERROR(INDEX(PP_Grid[#Data],$DE354,86),0)</f>
        <v/>
      </c>
      <c r="CL354">
        <f>IFERROR(INDEX(PP_Grid[#Data],$DE354,87),0)</f>
        <v/>
      </c>
      <c r="CM354">
        <f>IFERROR(INDEX(PP_Grid[#Data],$DE354,88),0)</f>
        <v/>
      </c>
      <c r="CN354">
        <f>IFERROR(INDEX(PP_Grid[#Data],$DE354,89),0)</f>
        <v/>
      </c>
      <c r="CO354">
        <f>IFERROR(INDEX(PP_Grid[#Data],$DE354,90),0)</f>
        <v/>
      </c>
      <c r="CP354">
        <f>IFERROR(INDEX(PP_Grid[#Data],$DE354,91),0)</f>
        <v/>
      </c>
      <c r="CQ354">
        <f>IFERROR(INDEX(PP_Grid[#Data],$DE354,92),0)</f>
        <v/>
      </c>
      <c r="CR354">
        <f>IFERROR(INDEX(PP_Grid[#Data],$DE354,93),0)</f>
        <v/>
      </c>
      <c r="CS354">
        <f>IFERROR(INDEX(PP_Grid[#Data],$DE354,94),0)</f>
        <v/>
      </c>
      <c r="CT354">
        <f>IFERROR(INDEX(PP_Grid[#Data],$DE354,95),0)</f>
        <v/>
      </c>
      <c r="CU354">
        <f>IFERROR(INDEX(PP_Grid[#Data],$DE354,96),0)</f>
        <v/>
      </c>
      <c r="CV354">
        <f>IFERROR(INDEX(PP_Grid[#Data],$DE354,97),0)</f>
        <v/>
      </c>
      <c r="CW354">
        <f>IFERROR(INDEX(PP_Grid[#Data],$DE354,98),0)</f>
        <v/>
      </c>
      <c r="CX354">
        <f>IFERROR(INDEX(PP_Grid[#Data],$DE354,99),0)</f>
        <v/>
      </c>
      <c r="CY354">
        <f>IFERROR(INDEX(PP_Grid[#Data],$DE354,100),0)</f>
        <v/>
      </c>
      <c r="CZ354">
        <f>IFERROR(INDEX(PP_Grid[#Data],$DE354,101),0)</f>
        <v/>
      </c>
      <c r="DA354">
        <f>IFERROR(INDEX(PP_Grid[#Data],$DE354,102),0)</f>
        <v/>
      </c>
      <c r="DB354">
        <f>IFERROR(INDEX(PP_Grid[#Data],$DE354,103),0)</f>
        <v/>
      </c>
      <c r="DC354">
        <f>IFERROR(INDEX(PP_Grid[#Data],$DE354,104),0)</f>
        <v/>
      </c>
      <c r="DD354">
        <f>IFERROR(INDEX(PP_Grid[#Data],$DE354,105),0)</f>
        <v/>
      </c>
      <c r="DE354" s="7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SUMIFS(M_BOM[RM_Qty_Per_Batch],M_BOM[Intermediate],$B354,M_BOM[RM_Code],$A325)</f>
        <v/>
      </c>
      <c r="D355">
        <f>IFERROR(INDEX(E355:DD355,$F$1),"")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  <c r="DD355">
        <f>$C355*DD354</f>
        <v/>
      </c>
    </row>
    <row r="356">
      <c r="B356" t="inlineStr">
        <is>
          <t>TSP-224</t>
        </is>
      </c>
      <c r="C356" t="inlineStr">
        <is>
          <t>No. of batches</t>
        </is>
      </c>
      <c r="D356">
        <f>IFERROR(INDEX(E356:DD356,$F$1),"")</f>
        <v/>
      </c>
      <c r="E356">
        <f>IFERROR(INDEX(PP_Grid[#Data],$DE356,2),0)</f>
        <v/>
      </c>
      <c r="F356">
        <f>IFERROR(INDEX(PP_Grid[#Data],$DE356,3),0)</f>
        <v/>
      </c>
      <c r="G356">
        <f>IFERROR(INDEX(PP_Grid[#Data],$DE356,4),0)</f>
        <v/>
      </c>
      <c r="H356">
        <f>IFERROR(INDEX(PP_Grid[#Data],$DE356,5),0)</f>
        <v/>
      </c>
      <c r="I356">
        <f>IFERROR(INDEX(PP_Grid[#Data],$DE356,6),0)</f>
        <v/>
      </c>
      <c r="J356">
        <f>IFERROR(INDEX(PP_Grid[#Data],$DE356,7),0)</f>
        <v/>
      </c>
      <c r="K356">
        <f>IFERROR(INDEX(PP_Grid[#Data],$DE356,8),0)</f>
        <v/>
      </c>
      <c r="L356">
        <f>IFERROR(INDEX(PP_Grid[#Data],$DE356,9),0)</f>
        <v/>
      </c>
      <c r="M356">
        <f>IFERROR(INDEX(PP_Grid[#Data],$DE356,10),0)</f>
        <v/>
      </c>
      <c r="N356">
        <f>IFERROR(INDEX(PP_Grid[#Data],$DE356,11),0)</f>
        <v/>
      </c>
      <c r="O356">
        <f>IFERROR(INDEX(PP_Grid[#Data],$DE356,12),0)</f>
        <v/>
      </c>
      <c r="P356">
        <f>IFERROR(INDEX(PP_Grid[#Data],$DE356,13),0)</f>
        <v/>
      </c>
      <c r="Q356">
        <f>IFERROR(INDEX(PP_Grid[#Data],$DE356,14),0)</f>
        <v/>
      </c>
      <c r="R356">
        <f>IFERROR(INDEX(PP_Grid[#Data],$DE356,15),0)</f>
        <v/>
      </c>
      <c r="S356">
        <f>IFERROR(INDEX(PP_Grid[#Data],$DE356,16),0)</f>
        <v/>
      </c>
      <c r="T356">
        <f>IFERROR(INDEX(PP_Grid[#Data],$DE356,17),0)</f>
        <v/>
      </c>
      <c r="U356">
        <f>IFERROR(INDEX(PP_Grid[#Data],$DE356,18),0)</f>
        <v/>
      </c>
      <c r="V356">
        <f>IFERROR(INDEX(PP_Grid[#Data],$DE356,19),0)</f>
        <v/>
      </c>
      <c r="W356">
        <f>IFERROR(INDEX(PP_Grid[#Data],$DE356,20),0)</f>
        <v/>
      </c>
      <c r="X356">
        <f>IFERROR(INDEX(PP_Grid[#Data],$DE356,21),0)</f>
        <v/>
      </c>
      <c r="Y356">
        <f>IFERROR(INDEX(PP_Grid[#Data],$DE356,22),0)</f>
        <v/>
      </c>
      <c r="Z356">
        <f>IFERROR(INDEX(PP_Grid[#Data],$DE356,23),0)</f>
        <v/>
      </c>
      <c r="AA356">
        <f>IFERROR(INDEX(PP_Grid[#Data],$DE356,24),0)</f>
        <v/>
      </c>
      <c r="AB356">
        <f>IFERROR(INDEX(PP_Grid[#Data],$DE356,25),0)</f>
        <v/>
      </c>
      <c r="AC356">
        <f>IFERROR(INDEX(PP_Grid[#Data],$DE356,26),0)</f>
        <v/>
      </c>
      <c r="AD356">
        <f>IFERROR(INDEX(PP_Grid[#Data],$DE356,27),0)</f>
        <v/>
      </c>
      <c r="AE356">
        <f>IFERROR(INDEX(PP_Grid[#Data],$DE356,28),0)</f>
        <v/>
      </c>
      <c r="AF356">
        <f>IFERROR(INDEX(PP_Grid[#Data],$DE356,29),0)</f>
        <v/>
      </c>
      <c r="AG356">
        <f>IFERROR(INDEX(PP_Grid[#Data],$DE356,30),0)</f>
        <v/>
      </c>
      <c r="AH356">
        <f>IFERROR(INDEX(PP_Grid[#Data],$DE356,31),0)</f>
        <v/>
      </c>
      <c r="AI356">
        <f>IFERROR(INDEX(PP_Grid[#Data],$DE356,32),0)</f>
        <v/>
      </c>
      <c r="AJ356">
        <f>IFERROR(INDEX(PP_Grid[#Data],$DE356,33),0)</f>
        <v/>
      </c>
      <c r="AK356">
        <f>IFERROR(INDEX(PP_Grid[#Data],$DE356,34),0)</f>
        <v/>
      </c>
      <c r="AL356">
        <f>IFERROR(INDEX(PP_Grid[#Data],$DE356,35),0)</f>
        <v/>
      </c>
      <c r="AM356">
        <f>IFERROR(INDEX(PP_Grid[#Data],$DE356,36),0)</f>
        <v/>
      </c>
      <c r="AN356">
        <f>IFERROR(INDEX(PP_Grid[#Data],$DE356,37),0)</f>
        <v/>
      </c>
      <c r="AO356">
        <f>IFERROR(INDEX(PP_Grid[#Data],$DE356,38),0)</f>
        <v/>
      </c>
      <c r="AP356">
        <f>IFERROR(INDEX(PP_Grid[#Data],$DE356,39),0)</f>
        <v/>
      </c>
      <c r="AQ356">
        <f>IFERROR(INDEX(PP_Grid[#Data],$DE356,40),0)</f>
        <v/>
      </c>
      <c r="AR356">
        <f>IFERROR(INDEX(PP_Grid[#Data],$DE356,41),0)</f>
        <v/>
      </c>
      <c r="AS356">
        <f>IFERROR(INDEX(PP_Grid[#Data],$DE356,42),0)</f>
        <v/>
      </c>
      <c r="AT356">
        <f>IFERROR(INDEX(PP_Grid[#Data],$DE356,43),0)</f>
        <v/>
      </c>
      <c r="AU356">
        <f>IFERROR(INDEX(PP_Grid[#Data],$DE356,44),0)</f>
        <v/>
      </c>
      <c r="AV356">
        <f>IFERROR(INDEX(PP_Grid[#Data],$DE356,45),0)</f>
        <v/>
      </c>
      <c r="AW356">
        <f>IFERROR(INDEX(PP_Grid[#Data],$DE356,46),0)</f>
        <v/>
      </c>
      <c r="AX356">
        <f>IFERROR(INDEX(PP_Grid[#Data],$DE356,47),0)</f>
        <v/>
      </c>
      <c r="AY356">
        <f>IFERROR(INDEX(PP_Grid[#Data],$DE356,48),0)</f>
        <v/>
      </c>
      <c r="AZ356">
        <f>IFERROR(INDEX(PP_Grid[#Data],$DE356,49),0)</f>
        <v/>
      </c>
      <c r="BA356">
        <f>IFERROR(INDEX(PP_Grid[#Data],$DE356,50),0)</f>
        <v/>
      </c>
      <c r="BB356">
        <f>IFERROR(INDEX(PP_Grid[#Data],$DE356,51),0)</f>
        <v/>
      </c>
      <c r="BC356">
        <f>IFERROR(INDEX(PP_Grid[#Data],$DE356,52),0)</f>
        <v/>
      </c>
      <c r="BD356">
        <f>IFERROR(INDEX(PP_Grid[#Data],$DE356,53),0)</f>
        <v/>
      </c>
      <c r="BE356">
        <f>IFERROR(INDEX(PP_Grid[#Data],$DE356,54),0)</f>
        <v/>
      </c>
      <c r="BF356">
        <f>IFERROR(INDEX(PP_Grid[#Data],$DE356,55),0)</f>
        <v/>
      </c>
      <c r="BG356">
        <f>IFERROR(INDEX(PP_Grid[#Data],$DE356,56),0)</f>
        <v/>
      </c>
      <c r="BH356">
        <f>IFERROR(INDEX(PP_Grid[#Data],$DE356,57),0)</f>
        <v/>
      </c>
      <c r="BI356">
        <f>IFERROR(INDEX(PP_Grid[#Data],$DE356,58),0)</f>
        <v/>
      </c>
      <c r="BJ356">
        <f>IFERROR(INDEX(PP_Grid[#Data],$DE356,59),0)</f>
        <v/>
      </c>
      <c r="BK356">
        <f>IFERROR(INDEX(PP_Grid[#Data],$DE356,60),0)</f>
        <v/>
      </c>
      <c r="BL356">
        <f>IFERROR(INDEX(PP_Grid[#Data],$DE356,61),0)</f>
        <v/>
      </c>
      <c r="BM356">
        <f>IFERROR(INDEX(PP_Grid[#Data],$DE356,62),0)</f>
        <v/>
      </c>
      <c r="BN356">
        <f>IFERROR(INDEX(PP_Grid[#Data],$DE356,63),0)</f>
        <v/>
      </c>
      <c r="BO356">
        <f>IFERROR(INDEX(PP_Grid[#Data],$DE356,64),0)</f>
        <v/>
      </c>
      <c r="BP356">
        <f>IFERROR(INDEX(PP_Grid[#Data],$DE356,65),0)</f>
        <v/>
      </c>
      <c r="BQ356">
        <f>IFERROR(INDEX(PP_Grid[#Data],$DE356,66),0)</f>
        <v/>
      </c>
      <c r="BR356">
        <f>IFERROR(INDEX(PP_Grid[#Data],$DE356,67),0)</f>
        <v/>
      </c>
      <c r="BS356">
        <f>IFERROR(INDEX(PP_Grid[#Data],$DE356,68),0)</f>
        <v/>
      </c>
      <c r="BT356">
        <f>IFERROR(INDEX(PP_Grid[#Data],$DE356,69),0)</f>
        <v/>
      </c>
      <c r="BU356">
        <f>IFERROR(INDEX(PP_Grid[#Data],$DE356,70),0)</f>
        <v/>
      </c>
      <c r="BV356">
        <f>IFERROR(INDEX(PP_Grid[#Data],$DE356,71),0)</f>
        <v/>
      </c>
      <c r="BW356">
        <f>IFERROR(INDEX(PP_Grid[#Data],$DE356,72),0)</f>
        <v/>
      </c>
      <c r="BX356">
        <f>IFERROR(INDEX(PP_Grid[#Data],$DE356,73),0)</f>
        <v/>
      </c>
      <c r="BY356">
        <f>IFERROR(INDEX(PP_Grid[#Data],$DE356,74),0)</f>
        <v/>
      </c>
      <c r="BZ356">
        <f>IFERROR(INDEX(PP_Grid[#Data],$DE356,75),0)</f>
        <v/>
      </c>
      <c r="CA356">
        <f>IFERROR(INDEX(PP_Grid[#Data],$DE356,76),0)</f>
        <v/>
      </c>
      <c r="CB356">
        <f>IFERROR(INDEX(PP_Grid[#Data],$DE356,77),0)</f>
        <v/>
      </c>
      <c r="CC356">
        <f>IFERROR(INDEX(PP_Grid[#Data],$DE356,78),0)</f>
        <v/>
      </c>
      <c r="CD356">
        <f>IFERROR(INDEX(PP_Grid[#Data],$DE356,79),0)</f>
        <v/>
      </c>
      <c r="CE356">
        <f>IFERROR(INDEX(PP_Grid[#Data],$DE356,80),0)</f>
        <v/>
      </c>
      <c r="CF356">
        <f>IFERROR(INDEX(PP_Grid[#Data],$DE356,81),0)</f>
        <v/>
      </c>
      <c r="CG356">
        <f>IFERROR(INDEX(PP_Grid[#Data],$DE356,82),0)</f>
        <v/>
      </c>
      <c r="CH356">
        <f>IFERROR(INDEX(PP_Grid[#Data],$DE356,83),0)</f>
        <v/>
      </c>
      <c r="CI356">
        <f>IFERROR(INDEX(PP_Grid[#Data],$DE356,84),0)</f>
        <v/>
      </c>
      <c r="CJ356">
        <f>IFERROR(INDEX(PP_Grid[#Data],$DE356,85),0)</f>
        <v/>
      </c>
      <c r="CK356">
        <f>IFERROR(INDEX(PP_Grid[#Data],$DE356,86),0)</f>
        <v/>
      </c>
      <c r="CL356">
        <f>IFERROR(INDEX(PP_Grid[#Data],$DE356,87),0)</f>
        <v/>
      </c>
      <c r="CM356">
        <f>IFERROR(INDEX(PP_Grid[#Data],$DE356,88),0)</f>
        <v/>
      </c>
      <c r="CN356">
        <f>IFERROR(INDEX(PP_Grid[#Data],$DE356,89),0)</f>
        <v/>
      </c>
      <c r="CO356">
        <f>IFERROR(INDEX(PP_Grid[#Data],$DE356,90),0)</f>
        <v/>
      </c>
      <c r="CP356">
        <f>IFERROR(INDEX(PP_Grid[#Data],$DE356,91),0)</f>
        <v/>
      </c>
      <c r="CQ356">
        <f>IFERROR(INDEX(PP_Grid[#Data],$DE356,92),0)</f>
        <v/>
      </c>
      <c r="CR356">
        <f>IFERROR(INDEX(PP_Grid[#Data],$DE356,93),0)</f>
        <v/>
      </c>
      <c r="CS356">
        <f>IFERROR(INDEX(PP_Grid[#Data],$DE356,94),0)</f>
        <v/>
      </c>
      <c r="CT356">
        <f>IFERROR(INDEX(PP_Grid[#Data],$DE356,95),0)</f>
        <v/>
      </c>
      <c r="CU356">
        <f>IFERROR(INDEX(PP_Grid[#Data],$DE356,96),0)</f>
        <v/>
      </c>
      <c r="CV356">
        <f>IFERROR(INDEX(PP_Grid[#Data],$DE356,97),0)</f>
        <v/>
      </c>
      <c r="CW356">
        <f>IFERROR(INDEX(PP_Grid[#Data],$DE356,98),0)</f>
        <v/>
      </c>
      <c r="CX356">
        <f>IFERROR(INDEX(PP_Grid[#Data],$DE356,99),0)</f>
        <v/>
      </c>
      <c r="CY356">
        <f>IFERROR(INDEX(PP_Grid[#Data],$DE356,100),0)</f>
        <v/>
      </c>
      <c r="CZ356">
        <f>IFERROR(INDEX(PP_Grid[#Data],$DE356,101),0)</f>
        <v/>
      </c>
      <c r="DA356">
        <f>IFERROR(INDEX(PP_Grid[#Data],$DE356,102),0)</f>
        <v/>
      </c>
      <c r="DB356">
        <f>IFERROR(INDEX(PP_Grid[#Data],$DE356,103),0)</f>
        <v/>
      </c>
      <c r="DC356">
        <f>IFERROR(INDEX(PP_Grid[#Data],$DE356,104),0)</f>
        <v/>
      </c>
      <c r="DD356">
        <f>IFERROR(INDEX(PP_Grid[#Data],$DE356,105),0)</f>
        <v/>
      </c>
      <c r="DE356" s="7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SUMIFS(M_BOM[RM_Qty_Per_Batch],M_BOM[Intermediate],$B356,M_BOM[RM_Code],$A325)</f>
        <v/>
      </c>
      <c r="D357">
        <f>IFERROR(INDEX(E357:DD357,$F$1),"")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  <c r="DD357">
        <f>$C357*DD356</f>
        <v/>
      </c>
    </row>
    <row r="358">
      <c r="B358" t="inlineStr">
        <is>
          <t>TSP-225</t>
        </is>
      </c>
      <c r="C358" t="inlineStr">
        <is>
          <t>No. of batches</t>
        </is>
      </c>
      <c r="D358">
        <f>IFERROR(INDEX(E358:DD358,$F$1),"")</f>
        <v/>
      </c>
      <c r="E358">
        <f>IFERROR(INDEX(PP_Grid[#Data],$DE358,2),0)</f>
        <v/>
      </c>
      <c r="F358">
        <f>IFERROR(INDEX(PP_Grid[#Data],$DE358,3),0)</f>
        <v/>
      </c>
      <c r="G358">
        <f>IFERROR(INDEX(PP_Grid[#Data],$DE358,4),0)</f>
        <v/>
      </c>
      <c r="H358">
        <f>IFERROR(INDEX(PP_Grid[#Data],$DE358,5),0)</f>
        <v/>
      </c>
      <c r="I358">
        <f>IFERROR(INDEX(PP_Grid[#Data],$DE358,6),0)</f>
        <v/>
      </c>
      <c r="J358">
        <f>IFERROR(INDEX(PP_Grid[#Data],$DE358,7),0)</f>
        <v/>
      </c>
      <c r="K358">
        <f>IFERROR(INDEX(PP_Grid[#Data],$DE358,8),0)</f>
        <v/>
      </c>
      <c r="L358">
        <f>IFERROR(INDEX(PP_Grid[#Data],$DE358,9),0)</f>
        <v/>
      </c>
      <c r="M358">
        <f>IFERROR(INDEX(PP_Grid[#Data],$DE358,10),0)</f>
        <v/>
      </c>
      <c r="N358">
        <f>IFERROR(INDEX(PP_Grid[#Data],$DE358,11),0)</f>
        <v/>
      </c>
      <c r="O358">
        <f>IFERROR(INDEX(PP_Grid[#Data],$DE358,12),0)</f>
        <v/>
      </c>
      <c r="P358">
        <f>IFERROR(INDEX(PP_Grid[#Data],$DE358,13),0)</f>
        <v/>
      </c>
      <c r="Q358">
        <f>IFERROR(INDEX(PP_Grid[#Data],$DE358,14),0)</f>
        <v/>
      </c>
      <c r="R358">
        <f>IFERROR(INDEX(PP_Grid[#Data],$DE358,15),0)</f>
        <v/>
      </c>
      <c r="S358">
        <f>IFERROR(INDEX(PP_Grid[#Data],$DE358,16),0)</f>
        <v/>
      </c>
      <c r="T358">
        <f>IFERROR(INDEX(PP_Grid[#Data],$DE358,17),0)</f>
        <v/>
      </c>
      <c r="U358">
        <f>IFERROR(INDEX(PP_Grid[#Data],$DE358,18),0)</f>
        <v/>
      </c>
      <c r="V358">
        <f>IFERROR(INDEX(PP_Grid[#Data],$DE358,19),0)</f>
        <v/>
      </c>
      <c r="W358">
        <f>IFERROR(INDEX(PP_Grid[#Data],$DE358,20),0)</f>
        <v/>
      </c>
      <c r="X358">
        <f>IFERROR(INDEX(PP_Grid[#Data],$DE358,21),0)</f>
        <v/>
      </c>
      <c r="Y358">
        <f>IFERROR(INDEX(PP_Grid[#Data],$DE358,22),0)</f>
        <v/>
      </c>
      <c r="Z358">
        <f>IFERROR(INDEX(PP_Grid[#Data],$DE358,23),0)</f>
        <v/>
      </c>
      <c r="AA358">
        <f>IFERROR(INDEX(PP_Grid[#Data],$DE358,24),0)</f>
        <v/>
      </c>
      <c r="AB358">
        <f>IFERROR(INDEX(PP_Grid[#Data],$DE358,25),0)</f>
        <v/>
      </c>
      <c r="AC358">
        <f>IFERROR(INDEX(PP_Grid[#Data],$DE358,26),0)</f>
        <v/>
      </c>
      <c r="AD358">
        <f>IFERROR(INDEX(PP_Grid[#Data],$DE358,27),0)</f>
        <v/>
      </c>
      <c r="AE358">
        <f>IFERROR(INDEX(PP_Grid[#Data],$DE358,28),0)</f>
        <v/>
      </c>
      <c r="AF358">
        <f>IFERROR(INDEX(PP_Grid[#Data],$DE358,29),0)</f>
        <v/>
      </c>
      <c r="AG358">
        <f>IFERROR(INDEX(PP_Grid[#Data],$DE358,30),0)</f>
        <v/>
      </c>
      <c r="AH358">
        <f>IFERROR(INDEX(PP_Grid[#Data],$DE358,31),0)</f>
        <v/>
      </c>
      <c r="AI358">
        <f>IFERROR(INDEX(PP_Grid[#Data],$DE358,32),0)</f>
        <v/>
      </c>
      <c r="AJ358">
        <f>IFERROR(INDEX(PP_Grid[#Data],$DE358,33),0)</f>
        <v/>
      </c>
      <c r="AK358">
        <f>IFERROR(INDEX(PP_Grid[#Data],$DE358,34),0)</f>
        <v/>
      </c>
      <c r="AL358">
        <f>IFERROR(INDEX(PP_Grid[#Data],$DE358,35),0)</f>
        <v/>
      </c>
      <c r="AM358">
        <f>IFERROR(INDEX(PP_Grid[#Data],$DE358,36),0)</f>
        <v/>
      </c>
      <c r="AN358">
        <f>IFERROR(INDEX(PP_Grid[#Data],$DE358,37),0)</f>
        <v/>
      </c>
      <c r="AO358">
        <f>IFERROR(INDEX(PP_Grid[#Data],$DE358,38),0)</f>
        <v/>
      </c>
      <c r="AP358">
        <f>IFERROR(INDEX(PP_Grid[#Data],$DE358,39),0)</f>
        <v/>
      </c>
      <c r="AQ358">
        <f>IFERROR(INDEX(PP_Grid[#Data],$DE358,40),0)</f>
        <v/>
      </c>
      <c r="AR358">
        <f>IFERROR(INDEX(PP_Grid[#Data],$DE358,41),0)</f>
        <v/>
      </c>
      <c r="AS358">
        <f>IFERROR(INDEX(PP_Grid[#Data],$DE358,42),0)</f>
        <v/>
      </c>
      <c r="AT358">
        <f>IFERROR(INDEX(PP_Grid[#Data],$DE358,43),0)</f>
        <v/>
      </c>
      <c r="AU358">
        <f>IFERROR(INDEX(PP_Grid[#Data],$DE358,44),0)</f>
        <v/>
      </c>
      <c r="AV358">
        <f>IFERROR(INDEX(PP_Grid[#Data],$DE358,45),0)</f>
        <v/>
      </c>
      <c r="AW358">
        <f>IFERROR(INDEX(PP_Grid[#Data],$DE358,46),0)</f>
        <v/>
      </c>
      <c r="AX358">
        <f>IFERROR(INDEX(PP_Grid[#Data],$DE358,47),0)</f>
        <v/>
      </c>
      <c r="AY358">
        <f>IFERROR(INDEX(PP_Grid[#Data],$DE358,48),0)</f>
        <v/>
      </c>
      <c r="AZ358">
        <f>IFERROR(INDEX(PP_Grid[#Data],$DE358,49),0)</f>
        <v/>
      </c>
      <c r="BA358">
        <f>IFERROR(INDEX(PP_Grid[#Data],$DE358,50),0)</f>
        <v/>
      </c>
      <c r="BB358">
        <f>IFERROR(INDEX(PP_Grid[#Data],$DE358,51),0)</f>
        <v/>
      </c>
      <c r="BC358">
        <f>IFERROR(INDEX(PP_Grid[#Data],$DE358,52),0)</f>
        <v/>
      </c>
      <c r="BD358">
        <f>IFERROR(INDEX(PP_Grid[#Data],$DE358,53),0)</f>
        <v/>
      </c>
      <c r="BE358">
        <f>IFERROR(INDEX(PP_Grid[#Data],$DE358,54),0)</f>
        <v/>
      </c>
      <c r="BF358">
        <f>IFERROR(INDEX(PP_Grid[#Data],$DE358,55),0)</f>
        <v/>
      </c>
      <c r="BG358">
        <f>IFERROR(INDEX(PP_Grid[#Data],$DE358,56),0)</f>
        <v/>
      </c>
      <c r="BH358">
        <f>IFERROR(INDEX(PP_Grid[#Data],$DE358,57),0)</f>
        <v/>
      </c>
      <c r="BI358">
        <f>IFERROR(INDEX(PP_Grid[#Data],$DE358,58),0)</f>
        <v/>
      </c>
      <c r="BJ358">
        <f>IFERROR(INDEX(PP_Grid[#Data],$DE358,59),0)</f>
        <v/>
      </c>
      <c r="BK358">
        <f>IFERROR(INDEX(PP_Grid[#Data],$DE358,60),0)</f>
        <v/>
      </c>
      <c r="BL358">
        <f>IFERROR(INDEX(PP_Grid[#Data],$DE358,61),0)</f>
        <v/>
      </c>
      <c r="BM358">
        <f>IFERROR(INDEX(PP_Grid[#Data],$DE358,62),0)</f>
        <v/>
      </c>
      <c r="BN358">
        <f>IFERROR(INDEX(PP_Grid[#Data],$DE358,63),0)</f>
        <v/>
      </c>
      <c r="BO358">
        <f>IFERROR(INDEX(PP_Grid[#Data],$DE358,64),0)</f>
        <v/>
      </c>
      <c r="BP358">
        <f>IFERROR(INDEX(PP_Grid[#Data],$DE358,65),0)</f>
        <v/>
      </c>
      <c r="BQ358">
        <f>IFERROR(INDEX(PP_Grid[#Data],$DE358,66),0)</f>
        <v/>
      </c>
      <c r="BR358">
        <f>IFERROR(INDEX(PP_Grid[#Data],$DE358,67),0)</f>
        <v/>
      </c>
      <c r="BS358">
        <f>IFERROR(INDEX(PP_Grid[#Data],$DE358,68),0)</f>
        <v/>
      </c>
      <c r="BT358">
        <f>IFERROR(INDEX(PP_Grid[#Data],$DE358,69),0)</f>
        <v/>
      </c>
      <c r="BU358">
        <f>IFERROR(INDEX(PP_Grid[#Data],$DE358,70),0)</f>
        <v/>
      </c>
      <c r="BV358">
        <f>IFERROR(INDEX(PP_Grid[#Data],$DE358,71),0)</f>
        <v/>
      </c>
      <c r="BW358">
        <f>IFERROR(INDEX(PP_Grid[#Data],$DE358,72),0)</f>
        <v/>
      </c>
      <c r="BX358">
        <f>IFERROR(INDEX(PP_Grid[#Data],$DE358,73),0)</f>
        <v/>
      </c>
      <c r="BY358">
        <f>IFERROR(INDEX(PP_Grid[#Data],$DE358,74),0)</f>
        <v/>
      </c>
      <c r="BZ358">
        <f>IFERROR(INDEX(PP_Grid[#Data],$DE358,75),0)</f>
        <v/>
      </c>
      <c r="CA358">
        <f>IFERROR(INDEX(PP_Grid[#Data],$DE358,76),0)</f>
        <v/>
      </c>
      <c r="CB358">
        <f>IFERROR(INDEX(PP_Grid[#Data],$DE358,77),0)</f>
        <v/>
      </c>
      <c r="CC358">
        <f>IFERROR(INDEX(PP_Grid[#Data],$DE358,78),0)</f>
        <v/>
      </c>
      <c r="CD358">
        <f>IFERROR(INDEX(PP_Grid[#Data],$DE358,79),0)</f>
        <v/>
      </c>
      <c r="CE358">
        <f>IFERROR(INDEX(PP_Grid[#Data],$DE358,80),0)</f>
        <v/>
      </c>
      <c r="CF358">
        <f>IFERROR(INDEX(PP_Grid[#Data],$DE358,81),0)</f>
        <v/>
      </c>
      <c r="CG358">
        <f>IFERROR(INDEX(PP_Grid[#Data],$DE358,82),0)</f>
        <v/>
      </c>
      <c r="CH358">
        <f>IFERROR(INDEX(PP_Grid[#Data],$DE358,83),0)</f>
        <v/>
      </c>
      <c r="CI358">
        <f>IFERROR(INDEX(PP_Grid[#Data],$DE358,84),0)</f>
        <v/>
      </c>
      <c r="CJ358">
        <f>IFERROR(INDEX(PP_Grid[#Data],$DE358,85),0)</f>
        <v/>
      </c>
      <c r="CK358">
        <f>IFERROR(INDEX(PP_Grid[#Data],$DE358,86),0)</f>
        <v/>
      </c>
      <c r="CL358">
        <f>IFERROR(INDEX(PP_Grid[#Data],$DE358,87),0)</f>
        <v/>
      </c>
      <c r="CM358">
        <f>IFERROR(INDEX(PP_Grid[#Data],$DE358,88),0)</f>
        <v/>
      </c>
      <c r="CN358">
        <f>IFERROR(INDEX(PP_Grid[#Data],$DE358,89),0)</f>
        <v/>
      </c>
      <c r="CO358">
        <f>IFERROR(INDEX(PP_Grid[#Data],$DE358,90),0)</f>
        <v/>
      </c>
      <c r="CP358">
        <f>IFERROR(INDEX(PP_Grid[#Data],$DE358,91),0)</f>
        <v/>
      </c>
      <c r="CQ358">
        <f>IFERROR(INDEX(PP_Grid[#Data],$DE358,92),0)</f>
        <v/>
      </c>
      <c r="CR358">
        <f>IFERROR(INDEX(PP_Grid[#Data],$DE358,93),0)</f>
        <v/>
      </c>
      <c r="CS358">
        <f>IFERROR(INDEX(PP_Grid[#Data],$DE358,94),0)</f>
        <v/>
      </c>
      <c r="CT358">
        <f>IFERROR(INDEX(PP_Grid[#Data],$DE358,95),0)</f>
        <v/>
      </c>
      <c r="CU358">
        <f>IFERROR(INDEX(PP_Grid[#Data],$DE358,96),0)</f>
        <v/>
      </c>
      <c r="CV358">
        <f>IFERROR(INDEX(PP_Grid[#Data],$DE358,97),0)</f>
        <v/>
      </c>
      <c r="CW358">
        <f>IFERROR(INDEX(PP_Grid[#Data],$DE358,98),0)</f>
        <v/>
      </c>
      <c r="CX358">
        <f>IFERROR(INDEX(PP_Grid[#Data],$DE358,99),0)</f>
        <v/>
      </c>
      <c r="CY358">
        <f>IFERROR(INDEX(PP_Grid[#Data],$DE358,100),0)</f>
        <v/>
      </c>
      <c r="CZ358">
        <f>IFERROR(INDEX(PP_Grid[#Data],$DE358,101),0)</f>
        <v/>
      </c>
      <c r="DA358">
        <f>IFERROR(INDEX(PP_Grid[#Data],$DE358,102),0)</f>
        <v/>
      </c>
      <c r="DB358">
        <f>IFERROR(INDEX(PP_Grid[#Data],$DE358,103),0)</f>
        <v/>
      </c>
      <c r="DC358">
        <f>IFERROR(INDEX(PP_Grid[#Data],$DE358,104),0)</f>
        <v/>
      </c>
      <c r="DD358">
        <f>IFERROR(INDEX(PP_Grid[#Data],$DE358,105),0)</f>
        <v/>
      </c>
      <c r="DE358" s="7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SUMIFS(M_BOM[RM_Qty_Per_Batch],M_BOM[Intermediate],$B358,M_BOM[RM_Code],$A325)</f>
        <v/>
      </c>
      <c r="D359">
        <f>IFERROR(INDEX(E359:DD359,$F$1),"")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  <c r="DD359">
        <f>$C359*DD358</f>
        <v/>
      </c>
    </row>
    <row r="360">
      <c r="B360" t="inlineStr">
        <is>
          <t>TSP-360</t>
        </is>
      </c>
      <c r="C360" t="inlineStr">
        <is>
          <t>No. of batches</t>
        </is>
      </c>
      <c r="D360">
        <f>IFERROR(INDEX(E360:DD360,$F$1),"")</f>
        <v/>
      </c>
      <c r="E360">
        <f>IFERROR(INDEX(PP_Grid[#Data],$DE360,2),0)</f>
        <v/>
      </c>
      <c r="F360">
        <f>IFERROR(INDEX(PP_Grid[#Data],$DE360,3),0)</f>
        <v/>
      </c>
      <c r="G360">
        <f>IFERROR(INDEX(PP_Grid[#Data],$DE360,4),0)</f>
        <v/>
      </c>
      <c r="H360">
        <f>IFERROR(INDEX(PP_Grid[#Data],$DE360,5),0)</f>
        <v/>
      </c>
      <c r="I360">
        <f>IFERROR(INDEX(PP_Grid[#Data],$DE360,6),0)</f>
        <v/>
      </c>
      <c r="J360">
        <f>IFERROR(INDEX(PP_Grid[#Data],$DE360,7),0)</f>
        <v/>
      </c>
      <c r="K360">
        <f>IFERROR(INDEX(PP_Grid[#Data],$DE360,8),0)</f>
        <v/>
      </c>
      <c r="L360">
        <f>IFERROR(INDEX(PP_Grid[#Data],$DE360,9),0)</f>
        <v/>
      </c>
      <c r="M360">
        <f>IFERROR(INDEX(PP_Grid[#Data],$DE360,10),0)</f>
        <v/>
      </c>
      <c r="N360">
        <f>IFERROR(INDEX(PP_Grid[#Data],$DE360,11),0)</f>
        <v/>
      </c>
      <c r="O360">
        <f>IFERROR(INDEX(PP_Grid[#Data],$DE360,12),0)</f>
        <v/>
      </c>
      <c r="P360">
        <f>IFERROR(INDEX(PP_Grid[#Data],$DE360,13),0)</f>
        <v/>
      </c>
      <c r="Q360">
        <f>IFERROR(INDEX(PP_Grid[#Data],$DE360,14),0)</f>
        <v/>
      </c>
      <c r="R360">
        <f>IFERROR(INDEX(PP_Grid[#Data],$DE360,15),0)</f>
        <v/>
      </c>
      <c r="S360">
        <f>IFERROR(INDEX(PP_Grid[#Data],$DE360,16),0)</f>
        <v/>
      </c>
      <c r="T360">
        <f>IFERROR(INDEX(PP_Grid[#Data],$DE360,17),0)</f>
        <v/>
      </c>
      <c r="U360">
        <f>IFERROR(INDEX(PP_Grid[#Data],$DE360,18),0)</f>
        <v/>
      </c>
      <c r="V360">
        <f>IFERROR(INDEX(PP_Grid[#Data],$DE360,19),0)</f>
        <v/>
      </c>
      <c r="W360">
        <f>IFERROR(INDEX(PP_Grid[#Data],$DE360,20),0)</f>
        <v/>
      </c>
      <c r="X360">
        <f>IFERROR(INDEX(PP_Grid[#Data],$DE360,21),0)</f>
        <v/>
      </c>
      <c r="Y360">
        <f>IFERROR(INDEX(PP_Grid[#Data],$DE360,22),0)</f>
        <v/>
      </c>
      <c r="Z360">
        <f>IFERROR(INDEX(PP_Grid[#Data],$DE360,23),0)</f>
        <v/>
      </c>
      <c r="AA360">
        <f>IFERROR(INDEX(PP_Grid[#Data],$DE360,24),0)</f>
        <v/>
      </c>
      <c r="AB360">
        <f>IFERROR(INDEX(PP_Grid[#Data],$DE360,25),0)</f>
        <v/>
      </c>
      <c r="AC360">
        <f>IFERROR(INDEX(PP_Grid[#Data],$DE360,26),0)</f>
        <v/>
      </c>
      <c r="AD360">
        <f>IFERROR(INDEX(PP_Grid[#Data],$DE360,27),0)</f>
        <v/>
      </c>
      <c r="AE360">
        <f>IFERROR(INDEX(PP_Grid[#Data],$DE360,28),0)</f>
        <v/>
      </c>
      <c r="AF360">
        <f>IFERROR(INDEX(PP_Grid[#Data],$DE360,29),0)</f>
        <v/>
      </c>
      <c r="AG360">
        <f>IFERROR(INDEX(PP_Grid[#Data],$DE360,30),0)</f>
        <v/>
      </c>
      <c r="AH360">
        <f>IFERROR(INDEX(PP_Grid[#Data],$DE360,31),0)</f>
        <v/>
      </c>
      <c r="AI360">
        <f>IFERROR(INDEX(PP_Grid[#Data],$DE360,32),0)</f>
        <v/>
      </c>
      <c r="AJ360">
        <f>IFERROR(INDEX(PP_Grid[#Data],$DE360,33),0)</f>
        <v/>
      </c>
      <c r="AK360">
        <f>IFERROR(INDEX(PP_Grid[#Data],$DE360,34),0)</f>
        <v/>
      </c>
      <c r="AL360">
        <f>IFERROR(INDEX(PP_Grid[#Data],$DE360,35),0)</f>
        <v/>
      </c>
      <c r="AM360">
        <f>IFERROR(INDEX(PP_Grid[#Data],$DE360,36),0)</f>
        <v/>
      </c>
      <c r="AN360">
        <f>IFERROR(INDEX(PP_Grid[#Data],$DE360,37),0)</f>
        <v/>
      </c>
      <c r="AO360">
        <f>IFERROR(INDEX(PP_Grid[#Data],$DE360,38),0)</f>
        <v/>
      </c>
      <c r="AP360">
        <f>IFERROR(INDEX(PP_Grid[#Data],$DE360,39),0)</f>
        <v/>
      </c>
      <c r="AQ360">
        <f>IFERROR(INDEX(PP_Grid[#Data],$DE360,40),0)</f>
        <v/>
      </c>
      <c r="AR360">
        <f>IFERROR(INDEX(PP_Grid[#Data],$DE360,41),0)</f>
        <v/>
      </c>
      <c r="AS360">
        <f>IFERROR(INDEX(PP_Grid[#Data],$DE360,42),0)</f>
        <v/>
      </c>
      <c r="AT360">
        <f>IFERROR(INDEX(PP_Grid[#Data],$DE360,43),0)</f>
        <v/>
      </c>
      <c r="AU360">
        <f>IFERROR(INDEX(PP_Grid[#Data],$DE360,44),0)</f>
        <v/>
      </c>
      <c r="AV360">
        <f>IFERROR(INDEX(PP_Grid[#Data],$DE360,45),0)</f>
        <v/>
      </c>
      <c r="AW360">
        <f>IFERROR(INDEX(PP_Grid[#Data],$DE360,46),0)</f>
        <v/>
      </c>
      <c r="AX360">
        <f>IFERROR(INDEX(PP_Grid[#Data],$DE360,47),0)</f>
        <v/>
      </c>
      <c r="AY360">
        <f>IFERROR(INDEX(PP_Grid[#Data],$DE360,48),0)</f>
        <v/>
      </c>
      <c r="AZ360">
        <f>IFERROR(INDEX(PP_Grid[#Data],$DE360,49),0)</f>
        <v/>
      </c>
      <c r="BA360">
        <f>IFERROR(INDEX(PP_Grid[#Data],$DE360,50),0)</f>
        <v/>
      </c>
      <c r="BB360">
        <f>IFERROR(INDEX(PP_Grid[#Data],$DE360,51),0)</f>
        <v/>
      </c>
      <c r="BC360">
        <f>IFERROR(INDEX(PP_Grid[#Data],$DE360,52),0)</f>
        <v/>
      </c>
      <c r="BD360">
        <f>IFERROR(INDEX(PP_Grid[#Data],$DE360,53),0)</f>
        <v/>
      </c>
      <c r="BE360">
        <f>IFERROR(INDEX(PP_Grid[#Data],$DE360,54),0)</f>
        <v/>
      </c>
      <c r="BF360">
        <f>IFERROR(INDEX(PP_Grid[#Data],$DE360,55),0)</f>
        <v/>
      </c>
      <c r="BG360">
        <f>IFERROR(INDEX(PP_Grid[#Data],$DE360,56),0)</f>
        <v/>
      </c>
      <c r="BH360">
        <f>IFERROR(INDEX(PP_Grid[#Data],$DE360,57),0)</f>
        <v/>
      </c>
      <c r="BI360">
        <f>IFERROR(INDEX(PP_Grid[#Data],$DE360,58),0)</f>
        <v/>
      </c>
      <c r="BJ360">
        <f>IFERROR(INDEX(PP_Grid[#Data],$DE360,59),0)</f>
        <v/>
      </c>
      <c r="BK360">
        <f>IFERROR(INDEX(PP_Grid[#Data],$DE360,60),0)</f>
        <v/>
      </c>
      <c r="BL360">
        <f>IFERROR(INDEX(PP_Grid[#Data],$DE360,61),0)</f>
        <v/>
      </c>
      <c r="BM360">
        <f>IFERROR(INDEX(PP_Grid[#Data],$DE360,62),0)</f>
        <v/>
      </c>
      <c r="BN360">
        <f>IFERROR(INDEX(PP_Grid[#Data],$DE360,63),0)</f>
        <v/>
      </c>
      <c r="BO360">
        <f>IFERROR(INDEX(PP_Grid[#Data],$DE360,64),0)</f>
        <v/>
      </c>
      <c r="BP360">
        <f>IFERROR(INDEX(PP_Grid[#Data],$DE360,65),0)</f>
        <v/>
      </c>
      <c r="BQ360">
        <f>IFERROR(INDEX(PP_Grid[#Data],$DE360,66),0)</f>
        <v/>
      </c>
      <c r="BR360">
        <f>IFERROR(INDEX(PP_Grid[#Data],$DE360,67),0)</f>
        <v/>
      </c>
      <c r="BS360">
        <f>IFERROR(INDEX(PP_Grid[#Data],$DE360,68),0)</f>
        <v/>
      </c>
      <c r="BT360">
        <f>IFERROR(INDEX(PP_Grid[#Data],$DE360,69),0)</f>
        <v/>
      </c>
      <c r="BU360">
        <f>IFERROR(INDEX(PP_Grid[#Data],$DE360,70),0)</f>
        <v/>
      </c>
      <c r="BV360">
        <f>IFERROR(INDEX(PP_Grid[#Data],$DE360,71),0)</f>
        <v/>
      </c>
      <c r="BW360">
        <f>IFERROR(INDEX(PP_Grid[#Data],$DE360,72),0)</f>
        <v/>
      </c>
      <c r="BX360">
        <f>IFERROR(INDEX(PP_Grid[#Data],$DE360,73),0)</f>
        <v/>
      </c>
      <c r="BY360">
        <f>IFERROR(INDEX(PP_Grid[#Data],$DE360,74),0)</f>
        <v/>
      </c>
      <c r="BZ360">
        <f>IFERROR(INDEX(PP_Grid[#Data],$DE360,75),0)</f>
        <v/>
      </c>
      <c r="CA360">
        <f>IFERROR(INDEX(PP_Grid[#Data],$DE360,76),0)</f>
        <v/>
      </c>
      <c r="CB360">
        <f>IFERROR(INDEX(PP_Grid[#Data],$DE360,77),0)</f>
        <v/>
      </c>
      <c r="CC360">
        <f>IFERROR(INDEX(PP_Grid[#Data],$DE360,78),0)</f>
        <v/>
      </c>
      <c r="CD360">
        <f>IFERROR(INDEX(PP_Grid[#Data],$DE360,79),0)</f>
        <v/>
      </c>
      <c r="CE360">
        <f>IFERROR(INDEX(PP_Grid[#Data],$DE360,80),0)</f>
        <v/>
      </c>
      <c r="CF360">
        <f>IFERROR(INDEX(PP_Grid[#Data],$DE360,81),0)</f>
        <v/>
      </c>
      <c r="CG360">
        <f>IFERROR(INDEX(PP_Grid[#Data],$DE360,82),0)</f>
        <v/>
      </c>
      <c r="CH360">
        <f>IFERROR(INDEX(PP_Grid[#Data],$DE360,83),0)</f>
        <v/>
      </c>
      <c r="CI360">
        <f>IFERROR(INDEX(PP_Grid[#Data],$DE360,84),0)</f>
        <v/>
      </c>
      <c r="CJ360">
        <f>IFERROR(INDEX(PP_Grid[#Data],$DE360,85),0)</f>
        <v/>
      </c>
      <c r="CK360">
        <f>IFERROR(INDEX(PP_Grid[#Data],$DE360,86),0)</f>
        <v/>
      </c>
      <c r="CL360">
        <f>IFERROR(INDEX(PP_Grid[#Data],$DE360,87),0)</f>
        <v/>
      </c>
      <c r="CM360">
        <f>IFERROR(INDEX(PP_Grid[#Data],$DE360,88),0)</f>
        <v/>
      </c>
      <c r="CN360">
        <f>IFERROR(INDEX(PP_Grid[#Data],$DE360,89),0)</f>
        <v/>
      </c>
      <c r="CO360">
        <f>IFERROR(INDEX(PP_Grid[#Data],$DE360,90),0)</f>
        <v/>
      </c>
      <c r="CP360">
        <f>IFERROR(INDEX(PP_Grid[#Data],$DE360,91),0)</f>
        <v/>
      </c>
      <c r="CQ360">
        <f>IFERROR(INDEX(PP_Grid[#Data],$DE360,92),0)</f>
        <v/>
      </c>
      <c r="CR360">
        <f>IFERROR(INDEX(PP_Grid[#Data],$DE360,93),0)</f>
        <v/>
      </c>
      <c r="CS360">
        <f>IFERROR(INDEX(PP_Grid[#Data],$DE360,94),0)</f>
        <v/>
      </c>
      <c r="CT360">
        <f>IFERROR(INDEX(PP_Grid[#Data],$DE360,95),0)</f>
        <v/>
      </c>
      <c r="CU360">
        <f>IFERROR(INDEX(PP_Grid[#Data],$DE360,96),0)</f>
        <v/>
      </c>
      <c r="CV360">
        <f>IFERROR(INDEX(PP_Grid[#Data],$DE360,97),0)</f>
        <v/>
      </c>
      <c r="CW360">
        <f>IFERROR(INDEX(PP_Grid[#Data],$DE360,98),0)</f>
        <v/>
      </c>
      <c r="CX360">
        <f>IFERROR(INDEX(PP_Grid[#Data],$DE360,99),0)</f>
        <v/>
      </c>
      <c r="CY360">
        <f>IFERROR(INDEX(PP_Grid[#Data],$DE360,100),0)</f>
        <v/>
      </c>
      <c r="CZ360">
        <f>IFERROR(INDEX(PP_Grid[#Data],$DE360,101),0)</f>
        <v/>
      </c>
      <c r="DA360">
        <f>IFERROR(INDEX(PP_Grid[#Data],$DE360,102),0)</f>
        <v/>
      </c>
      <c r="DB360">
        <f>IFERROR(INDEX(PP_Grid[#Data],$DE360,103),0)</f>
        <v/>
      </c>
      <c r="DC360">
        <f>IFERROR(INDEX(PP_Grid[#Data],$DE360,104),0)</f>
        <v/>
      </c>
      <c r="DD360">
        <f>IFERROR(INDEX(PP_Grid[#Data],$DE360,105),0)</f>
        <v/>
      </c>
      <c r="DE360" s="7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SUMIFS(M_BOM[RM_Qty_Per_Batch],M_BOM[Intermediate],$B360,M_BOM[RM_Code],$A325)</f>
        <v/>
      </c>
      <c r="D361">
        <f>IFERROR(INDEX(E361:DD361,$F$1),"")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  <c r="DD361">
        <f>$C361*DD360</f>
        <v/>
      </c>
    </row>
    <row r="362">
      <c r="B362" t="inlineStr">
        <is>
          <t>TSP-367</t>
        </is>
      </c>
      <c r="C362" t="inlineStr">
        <is>
          <t>No. of batches</t>
        </is>
      </c>
      <c r="D362">
        <f>IFERROR(INDEX(E362:DD362,$F$1),"")</f>
        <v/>
      </c>
      <c r="E362">
        <f>IFERROR(INDEX(PP_Grid[#Data],$DE362,2),0)</f>
        <v/>
      </c>
      <c r="F362">
        <f>IFERROR(INDEX(PP_Grid[#Data],$DE362,3),0)</f>
        <v/>
      </c>
      <c r="G362">
        <f>IFERROR(INDEX(PP_Grid[#Data],$DE362,4),0)</f>
        <v/>
      </c>
      <c r="H362">
        <f>IFERROR(INDEX(PP_Grid[#Data],$DE362,5),0)</f>
        <v/>
      </c>
      <c r="I362">
        <f>IFERROR(INDEX(PP_Grid[#Data],$DE362,6),0)</f>
        <v/>
      </c>
      <c r="J362">
        <f>IFERROR(INDEX(PP_Grid[#Data],$DE362,7),0)</f>
        <v/>
      </c>
      <c r="K362">
        <f>IFERROR(INDEX(PP_Grid[#Data],$DE362,8),0)</f>
        <v/>
      </c>
      <c r="L362">
        <f>IFERROR(INDEX(PP_Grid[#Data],$DE362,9),0)</f>
        <v/>
      </c>
      <c r="M362">
        <f>IFERROR(INDEX(PP_Grid[#Data],$DE362,10),0)</f>
        <v/>
      </c>
      <c r="N362">
        <f>IFERROR(INDEX(PP_Grid[#Data],$DE362,11),0)</f>
        <v/>
      </c>
      <c r="O362">
        <f>IFERROR(INDEX(PP_Grid[#Data],$DE362,12),0)</f>
        <v/>
      </c>
      <c r="P362">
        <f>IFERROR(INDEX(PP_Grid[#Data],$DE362,13),0)</f>
        <v/>
      </c>
      <c r="Q362">
        <f>IFERROR(INDEX(PP_Grid[#Data],$DE362,14),0)</f>
        <v/>
      </c>
      <c r="R362">
        <f>IFERROR(INDEX(PP_Grid[#Data],$DE362,15),0)</f>
        <v/>
      </c>
      <c r="S362">
        <f>IFERROR(INDEX(PP_Grid[#Data],$DE362,16),0)</f>
        <v/>
      </c>
      <c r="T362">
        <f>IFERROR(INDEX(PP_Grid[#Data],$DE362,17),0)</f>
        <v/>
      </c>
      <c r="U362">
        <f>IFERROR(INDEX(PP_Grid[#Data],$DE362,18),0)</f>
        <v/>
      </c>
      <c r="V362">
        <f>IFERROR(INDEX(PP_Grid[#Data],$DE362,19),0)</f>
        <v/>
      </c>
      <c r="W362">
        <f>IFERROR(INDEX(PP_Grid[#Data],$DE362,20),0)</f>
        <v/>
      </c>
      <c r="X362">
        <f>IFERROR(INDEX(PP_Grid[#Data],$DE362,21),0)</f>
        <v/>
      </c>
      <c r="Y362">
        <f>IFERROR(INDEX(PP_Grid[#Data],$DE362,22),0)</f>
        <v/>
      </c>
      <c r="Z362">
        <f>IFERROR(INDEX(PP_Grid[#Data],$DE362,23),0)</f>
        <v/>
      </c>
      <c r="AA362">
        <f>IFERROR(INDEX(PP_Grid[#Data],$DE362,24),0)</f>
        <v/>
      </c>
      <c r="AB362">
        <f>IFERROR(INDEX(PP_Grid[#Data],$DE362,25),0)</f>
        <v/>
      </c>
      <c r="AC362">
        <f>IFERROR(INDEX(PP_Grid[#Data],$DE362,26),0)</f>
        <v/>
      </c>
      <c r="AD362">
        <f>IFERROR(INDEX(PP_Grid[#Data],$DE362,27),0)</f>
        <v/>
      </c>
      <c r="AE362">
        <f>IFERROR(INDEX(PP_Grid[#Data],$DE362,28),0)</f>
        <v/>
      </c>
      <c r="AF362">
        <f>IFERROR(INDEX(PP_Grid[#Data],$DE362,29),0)</f>
        <v/>
      </c>
      <c r="AG362">
        <f>IFERROR(INDEX(PP_Grid[#Data],$DE362,30),0)</f>
        <v/>
      </c>
      <c r="AH362">
        <f>IFERROR(INDEX(PP_Grid[#Data],$DE362,31),0)</f>
        <v/>
      </c>
      <c r="AI362">
        <f>IFERROR(INDEX(PP_Grid[#Data],$DE362,32),0)</f>
        <v/>
      </c>
      <c r="AJ362">
        <f>IFERROR(INDEX(PP_Grid[#Data],$DE362,33),0)</f>
        <v/>
      </c>
      <c r="AK362">
        <f>IFERROR(INDEX(PP_Grid[#Data],$DE362,34),0)</f>
        <v/>
      </c>
      <c r="AL362">
        <f>IFERROR(INDEX(PP_Grid[#Data],$DE362,35),0)</f>
        <v/>
      </c>
      <c r="AM362">
        <f>IFERROR(INDEX(PP_Grid[#Data],$DE362,36),0)</f>
        <v/>
      </c>
      <c r="AN362">
        <f>IFERROR(INDEX(PP_Grid[#Data],$DE362,37),0)</f>
        <v/>
      </c>
      <c r="AO362">
        <f>IFERROR(INDEX(PP_Grid[#Data],$DE362,38),0)</f>
        <v/>
      </c>
      <c r="AP362">
        <f>IFERROR(INDEX(PP_Grid[#Data],$DE362,39),0)</f>
        <v/>
      </c>
      <c r="AQ362">
        <f>IFERROR(INDEX(PP_Grid[#Data],$DE362,40),0)</f>
        <v/>
      </c>
      <c r="AR362">
        <f>IFERROR(INDEX(PP_Grid[#Data],$DE362,41),0)</f>
        <v/>
      </c>
      <c r="AS362">
        <f>IFERROR(INDEX(PP_Grid[#Data],$DE362,42),0)</f>
        <v/>
      </c>
      <c r="AT362">
        <f>IFERROR(INDEX(PP_Grid[#Data],$DE362,43),0)</f>
        <v/>
      </c>
      <c r="AU362">
        <f>IFERROR(INDEX(PP_Grid[#Data],$DE362,44),0)</f>
        <v/>
      </c>
      <c r="AV362">
        <f>IFERROR(INDEX(PP_Grid[#Data],$DE362,45),0)</f>
        <v/>
      </c>
      <c r="AW362">
        <f>IFERROR(INDEX(PP_Grid[#Data],$DE362,46),0)</f>
        <v/>
      </c>
      <c r="AX362">
        <f>IFERROR(INDEX(PP_Grid[#Data],$DE362,47),0)</f>
        <v/>
      </c>
      <c r="AY362">
        <f>IFERROR(INDEX(PP_Grid[#Data],$DE362,48),0)</f>
        <v/>
      </c>
      <c r="AZ362">
        <f>IFERROR(INDEX(PP_Grid[#Data],$DE362,49),0)</f>
        <v/>
      </c>
      <c r="BA362">
        <f>IFERROR(INDEX(PP_Grid[#Data],$DE362,50),0)</f>
        <v/>
      </c>
      <c r="BB362">
        <f>IFERROR(INDEX(PP_Grid[#Data],$DE362,51),0)</f>
        <v/>
      </c>
      <c r="BC362">
        <f>IFERROR(INDEX(PP_Grid[#Data],$DE362,52),0)</f>
        <v/>
      </c>
      <c r="BD362">
        <f>IFERROR(INDEX(PP_Grid[#Data],$DE362,53),0)</f>
        <v/>
      </c>
      <c r="BE362">
        <f>IFERROR(INDEX(PP_Grid[#Data],$DE362,54),0)</f>
        <v/>
      </c>
      <c r="BF362">
        <f>IFERROR(INDEX(PP_Grid[#Data],$DE362,55),0)</f>
        <v/>
      </c>
      <c r="BG362">
        <f>IFERROR(INDEX(PP_Grid[#Data],$DE362,56),0)</f>
        <v/>
      </c>
      <c r="BH362">
        <f>IFERROR(INDEX(PP_Grid[#Data],$DE362,57),0)</f>
        <v/>
      </c>
      <c r="BI362">
        <f>IFERROR(INDEX(PP_Grid[#Data],$DE362,58),0)</f>
        <v/>
      </c>
      <c r="BJ362">
        <f>IFERROR(INDEX(PP_Grid[#Data],$DE362,59),0)</f>
        <v/>
      </c>
      <c r="BK362">
        <f>IFERROR(INDEX(PP_Grid[#Data],$DE362,60),0)</f>
        <v/>
      </c>
      <c r="BL362">
        <f>IFERROR(INDEX(PP_Grid[#Data],$DE362,61),0)</f>
        <v/>
      </c>
      <c r="BM362">
        <f>IFERROR(INDEX(PP_Grid[#Data],$DE362,62),0)</f>
        <v/>
      </c>
      <c r="BN362">
        <f>IFERROR(INDEX(PP_Grid[#Data],$DE362,63),0)</f>
        <v/>
      </c>
      <c r="BO362">
        <f>IFERROR(INDEX(PP_Grid[#Data],$DE362,64),0)</f>
        <v/>
      </c>
      <c r="BP362">
        <f>IFERROR(INDEX(PP_Grid[#Data],$DE362,65),0)</f>
        <v/>
      </c>
      <c r="BQ362">
        <f>IFERROR(INDEX(PP_Grid[#Data],$DE362,66),0)</f>
        <v/>
      </c>
      <c r="BR362">
        <f>IFERROR(INDEX(PP_Grid[#Data],$DE362,67),0)</f>
        <v/>
      </c>
      <c r="BS362">
        <f>IFERROR(INDEX(PP_Grid[#Data],$DE362,68),0)</f>
        <v/>
      </c>
      <c r="BT362">
        <f>IFERROR(INDEX(PP_Grid[#Data],$DE362,69),0)</f>
        <v/>
      </c>
      <c r="BU362">
        <f>IFERROR(INDEX(PP_Grid[#Data],$DE362,70),0)</f>
        <v/>
      </c>
      <c r="BV362">
        <f>IFERROR(INDEX(PP_Grid[#Data],$DE362,71),0)</f>
        <v/>
      </c>
      <c r="BW362">
        <f>IFERROR(INDEX(PP_Grid[#Data],$DE362,72),0)</f>
        <v/>
      </c>
      <c r="BX362">
        <f>IFERROR(INDEX(PP_Grid[#Data],$DE362,73),0)</f>
        <v/>
      </c>
      <c r="BY362">
        <f>IFERROR(INDEX(PP_Grid[#Data],$DE362,74),0)</f>
        <v/>
      </c>
      <c r="BZ362">
        <f>IFERROR(INDEX(PP_Grid[#Data],$DE362,75),0)</f>
        <v/>
      </c>
      <c r="CA362">
        <f>IFERROR(INDEX(PP_Grid[#Data],$DE362,76),0)</f>
        <v/>
      </c>
      <c r="CB362">
        <f>IFERROR(INDEX(PP_Grid[#Data],$DE362,77),0)</f>
        <v/>
      </c>
      <c r="CC362">
        <f>IFERROR(INDEX(PP_Grid[#Data],$DE362,78),0)</f>
        <v/>
      </c>
      <c r="CD362">
        <f>IFERROR(INDEX(PP_Grid[#Data],$DE362,79),0)</f>
        <v/>
      </c>
      <c r="CE362">
        <f>IFERROR(INDEX(PP_Grid[#Data],$DE362,80),0)</f>
        <v/>
      </c>
      <c r="CF362">
        <f>IFERROR(INDEX(PP_Grid[#Data],$DE362,81),0)</f>
        <v/>
      </c>
      <c r="CG362">
        <f>IFERROR(INDEX(PP_Grid[#Data],$DE362,82),0)</f>
        <v/>
      </c>
      <c r="CH362">
        <f>IFERROR(INDEX(PP_Grid[#Data],$DE362,83),0)</f>
        <v/>
      </c>
      <c r="CI362">
        <f>IFERROR(INDEX(PP_Grid[#Data],$DE362,84),0)</f>
        <v/>
      </c>
      <c r="CJ362">
        <f>IFERROR(INDEX(PP_Grid[#Data],$DE362,85),0)</f>
        <v/>
      </c>
      <c r="CK362">
        <f>IFERROR(INDEX(PP_Grid[#Data],$DE362,86),0)</f>
        <v/>
      </c>
      <c r="CL362">
        <f>IFERROR(INDEX(PP_Grid[#Data],$DE362,87),0)</f>
        <v/>
      </c>
      <c r="CM362">
        <f>IFERROR(INDEX(PP_Grid[#Data],$DE362,88),0)</f>
        <v/>
      </c>
      <c r="CN362">
        <f>IFERROR(INDEX(PP_Grid[#Data],$DE362,89),0)</f>
        <v/>
      </c>
      <c r="CO362">
        <f>IFERROR(INDEX(PP_Grid[#Data],$DE362,90),0)</f>
        <v/>
      </c>
      <c r="CP362">
        <f>IFERROR(INDEX(PP_Grid[#Data],$DE362,91),0)</f>
        <v/>
      </c>
      <c r="CQ362">
        <f>IFERROR(INDEX(PP_Grid[#Data],$DE362,92),0)</f>
        <v/>
      </c>
      <c r="CR362">
        <f>IFERROR(INDEX(PP_Grid[#Data],$DE362,93),0)</f>
        <v/>
      </c>
      <c r="CS362">
        <f>IFERROR(INDEX(PP_Grid[#Data],$DE362,94),0)</f>
        <v/>
      </c>
      <c r="CT362">
        <f>IFERROR(INDEX(PP_Grid[#Data],$DE362,95),0)</f>
        <v/>
      </c>
      <c r="CU362">
        <f>IFERROR(INDEX(PP_Grid[#Data],$DE362,96),0)</f>
        <v/>
      </c>
      <c r="CV362">
        <f>IFERROR(INDEX(PP_Grid[#Data],$DE362,97),0)</f>
        <v/>
      </c>
      <c r="CW362">
        <f>IFERROR(INDEX(PP_Grid[#Data],$DE362,98),0)</f>
        <v/>
      </c>
      <c r="CX362">
        <f>IFERROR(INDEX(PP_Grid[#Data],$DE362,99),0)</f>
        <v/>
      </c>
      <c r="CY362">
        <f>IFERROR(INDEX(PP_Grid[#Data],$DE362,100),0)</f>
        <v/>
      </c>
      <c r="CZ362">
        <f>IFERROR(INDEX(PP_Grid[#Data],$DE362,101),0)</f>
        <v/>
      </c>
      <c r="DA362">
        <f>IFERROR(INDEX(PP_Grid[#Data],$DE362,102),0)</f>
        <v/>
      </c>
      <c r="DB362">
        <f>IFERROR(INDEX(PP_Grid[#Data],$DE362,103),0)</f>
        <v/>
      </c>
      <c r="DC362">
        <f>IFERROR(INDEX(PP_Grid[#Data],$DE362,104),0)</f>
        <v/>
      </c>
      <c r="DD362">
        <f>IFERROR(INDEX(PP_Grid[#Data],$DE362,105),0)</f>
        <v/>
      </c>
      <c r="DE362" s="7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SUMIFS(M_BOM[RM_Qty_Per_Batch],M_BOM[Intermediate],$B362,M_BOM[RM_Code],$A325)</f>
        <v/>
      </c>
      <c r="D363">
        <f>IFERROR(INDEX(E363:DD363,$F$1),"")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  <c r="DD363">
        <f>$C363*DD362</f>
        <v/>
      </c>
    </row>
    <row r="364">
      <c r="B364" t="inlineStr">
        <is>
          <t>TSP-369</t>
        </is>
      </c>
      <c r="C364" t="inlineStr">
        <is>
          <t>No. of batches</t>
        </is>
      </c>
      <c r="D364">
        <f>IFERROR(INDEX(E364:DD364,$F$1),"")</f>
        <v/>
      </c>
      <c r="E364">
        <f>IFERROR(INDEX(PP_Grid[#Data],$DE364,2),0)</f>
        <v/>
      </c>
      <c r="F364">
        <f>IFERROR(INDEX(PP_Grid[#Data],$DE364,3),0)</f>
        <v/>
      </c>
      <c r="G364">
        <f>IFERROR(INDEX(PP_Grid[#Data],$DE364,4),0)</f>
        <v/>
      </c>
      <c r="H364">
        <f>IFERROR(INDEX(PP_Grid[#Data],$DE364,5),0)</f>
        <v/>
      </c>
      <c r="I364">
        <f>IFERROR(INDEX(PP_Grid[#Data],$DE364,6),0)</f>
        <v/>
      </c>
      <c r="J364">
        <f>IFERROR(INDEX(PP_Grid[#Data],$DE364,7),0)</f>
        <v/>
      </c>
      <c r="K364">
        <f>IFERROR(INDEX(PP_Grid[#Data],$DE364,8),0)</f>
        <v/>
      </c>
      <c r="L364">
        <f>IFERROR(INDEX(PP_Grid[#Data],$DE364,9),0)</f>
        <v/>
      </c>
      <c r="M364">
        <f>IFERROR(INDEX(PP_Grid[#Data],$DE364,10),0)</f>
        <v/>
      </c>
      <c r="N364">
        <f>IFERROR(INDEX(PP_Grid[#Data],$DE364,11),0)</f>
        <v/>
      </c>
      <c r="O364">
        <f>IFERROR(INDEX(PP_Grid[#Data],$DE364,12),0)</f>
        <v/>
      </c>
      <c r="P364">
        <f>IFERROR(INDEX(PP_Grid[#Data],$DE364,13),0)</f>
        <v/>
      </c>
      <c r="Q364">
        <f>IFERROR(INDEX(PP_Grid[#Data],$DE364,14),0)</f>
        <v/>
      </c>
      <c r="R364">
        <f>IFERROR(INDEX(PP_Grid[#Data],$DE364,15),0)</f>
        <v/>
      </c>
      <c r="S364">
        <f>IFERROR(INDEX(PP_Grid[#Data],$DE364,16),0)</f>
        <v/>
      </c>
      <c r="T364">
        <f>IFERROR(INDEX(PP_Grid[#Data],$DE364,17),0)</f>
        <v/>
      </c>
      <c r="U364">
        <f>IFERROR(INDEX(PP_Grid[#Data],$DE364,18),0)</f>
        <v/>
      </c>
      <c r="V364">
        <f>IFERROR(INDEX(PP_Grid[#Data],$DE364,19),0)</f>
        <v/>
      </c>
      <c r="W364">
        <f>IFERROR(INDEX(PP_Grid[#Data],$DE364,20),0)</f>
        <v/>
      </c>
      <c r="X364">
        <f>IFERROR(INDEX(PP_Grid[#Data],$DE364,21),0)</f>
        <v/>
      </c>
      <c r="Y364">
        <f>IFERROR(INDEX(PP_Grid[#Data],$DE364,22),0)</f>
        <v/>
      </c>
      <c r="Z364">
        <f>IFERROR(INDEX(PP_Grid[#Data],$DE364,23),0)</f>
        <v/>
      </c>
      <c r="AA364">
        <f>IFERROR(INDEX(PP_Grid[#Data],$DE364,24),0)</f>
        <v/>
      </c>
      <c r="AB364">
        <f>IFERROR(INDEX(PP_Grid[#Data],$DE364,25),0)</f>
        <v/>
      </c>
      <c r="AC364">
        <f>IFERROR(INDEX(PP_Grid[#Data],$DE364,26),0)</f>
        <v/>
      </c>
      <c r="AD364">
        <f>IFERROR(INDEX(PP_Grid[#Data],$DE364,27),0)</f>
        <v/>
      </c>
      <c r="AE364">
        <f>IFERROR(INDEX(PP_Grid[#Data],$DE364,28),0)</f>
        <v/>
      </c>
      <c r="AF364">
        <f>IFERROR(INDEX(PP_Grid[#Data],$DE364,29),0)</f>
        <v/>
      </c>
      <c r="AG364">
        <f>IFERROR(INDEX(PP_Grid[#Data],$DE364,30),0)</f>
        <v/>
      </c>
      <c r="AH364">
        <f>IFERROR(INDEX(PP_Grid[#Data],$DE364,31),0)</f>
        <v/>
      </c>
      <c r="AI364">
        <f>IFERROR(INDEX(PP_Grid[#Data],$DE364,32),0)</f>
        <v/>
      </c>
      <c r="AJ364">
        <f>IFERROR(INDEX(PP_Grid[#Data],$DE364,33),0)</f>
        <v/>
      </c>
      <c r="AK364">
        <f>IFERROR(INDEX(PP_Grid[#Data],$DE364,34),0)</f>
        <v/>
      </c>
      <c r="AL364">
        <f>IFERROR(INDEX(PP_Grid[#Data],$DE364,35),0)</f>
        <v/>
      </c>
      <c r="AM364">
        <f>IFERROR(INDEX(PP_Grid[#Data],$DE364,36),0)</f>
        <v/>
      </c>
      <c r="AN364">
        <f>IFERROR(INDEX(PP_Grid[#Data],$DE364,37),0)</f>
        <v/>
      </c>
      <c r="AO364">
        <f>IFERROR(INDEX(PP_Grid[#Data],$DE364,38),0)</f>
        <v/>
      </c>
      <c r="AP364">
        <f>IFERROR(INDEX(PP_Grid[#Data],$DE364,39),0)</f>
        <v/>
      </c>
      <c r="AQ364">
        <f>IFERROR(INDEX(PP_Grid[#Data],$DE364,40),0)</f>
        <v/>
      </c>
      <c r="AR364">
        <f>IFERROR(INDEX(PP_Grid[#Data],$DE364,41),0)</f>
        <v/>
      </c>
      <c r="AS364">
        <f>IFERROR(INDEX(PP_Grid[#Data],$DE364,42),0)</f>
        <v/>
      </c>
      <c r="AT364">
        <f>IFERROR(INDEX(PP_Grid[#Data],$DE364,43),0)</f>
        <v/>
      </c>
      <c r="AU364">
        <f>IFERROR(INDEX(PP_Grid[#Data],$DE364,44),0)</f>
        <v/>
      </c>
      <c r="AV364">
        <f>IFERROR(INDEX(PP_Grid[#Data],$DE364,45),0)</f>
        <v/>
      </c>
      <c r="AW364">
        <f>IFERROR(INDEX(PP_Grid[#Data],$DE364,46),0)</f>
        <v/>
      </c>
      <c r="AX364">
        <f>IFERROR(INDEX(PP_Grid[#Data],$DE364,47),0)</f>
        <v/>
      </c>
      <c r="AY364">
        <f>IFERROR(INDEX(PP_Grid[#Data],$DE364,48),0)</f>
        <v/>
      </c>
      <c r="AZ364">
        <f>IFERROR(INDEX(PP_Grid[#Data],$DE364,49),0)</f>
        <v/>
      </c>
      <c r="BA364">
        <f>IFERROR(INDEX(PP_Grid[#Data],$DE364,50),0)</f>
        <v/>
      </c>
      <c r="BB364">
        <f>IFERROR(INDEX(PP_Grid[#Data],$DE364,51),0)</f>
        <v/>
      </c>
      <c r="BC364">
        <f>IFERROR(INDEX(PP_Grid[#Data],$DE364,52),0)</f>
        <v/>
      </c>
      <c r="BD364">
        <f>IFERROR(INDEX(PP_Grid[#Data],$DE364,53),0)</f>
        <v/>
      </c>
      <c r="BE364">
        <f>IFERROR(INDEX(PP_Grid[#Data],$DE364,54),0)</f>
        <v/>
      </c>
      <c r="BF364">
        <f>IFERROR(INDEX(PP_Grid[#Data],$DE364,55),0)</f>
        <v/>
      </c>
      <c r="BG364">
        <f>IFERROR(INDEX(PP_Grid[#Data],$DE364,56),0)</f>
        <v/>
      </c>
      <c r="BH364">
        <f>IFERROR(INDEX(PP_Grid[#Data],$DE364,57),0)</f>
        <v/>
      </c>
      <c r="BI364">
        <f>IFERROR(INDEX(PP_Grid[#Data],$DE364,58),0)</f>
        <v/>
      </c>
      <c r="BJ364">
        <f>IFERROR(INDEX(PP_Grid[#Data],$DE364,59),0)</f>
        <v/>
      </c>
      <c r="BK364">
        <f>IFERROR(INDEX(PP_Grid[#Data],$DE364,60),0)</f>
        <v/>
      </c>
      <c r="BL364">
        <f>IFERROR(INDEX(PP_Grid[#Data],$DE364,61),0)</f>
        <v/>
      </c>
      <c r="BM364">
        <f>IFERROR(INDEX(PP_Grid[#Data],$DE364,62),0)</f>
        <v/>
      </c>
      <c r="BN364">
        <f>IFERROR(INDEX(PP_Grid[#Data],$DE364,63),0)</f>
        <v/>
      </c>
      <c r="BO364">
        <f>IFERROR(INDEX(PP_Grid[#Data],$DE364,64),0)</f>
        <v/>
      </c>
      <c r="BP364">
        <f>IFERROR(INDEX(PP_Grid[#Data],$DE364,65),0)</f>
        <v/>
      </c>
      <c r="BQ364">
        <f>IFERROR(INDEX(PP_Grid[#Data],$DE364,66),0)</f>
        <v/>
      </c>
      <c r="BR364">
        <f>IFERROR(INDEX(PP_Grid[#Data],$DE364,67),0)</f>
        <v/>
      </c>
      <c r="BS364">
        <f>IFERROR(INDEX(PP_Grid[#Data],$DE364,68),0)</f>
        <v/>
      </c>
      <c r="BT364">
        <f>IFERROR(INDEX(PP_Grid[#Data],$DE364,69),0)</f>
        <v/>
      </c>
      <c r="BU364">
        <f>IFERROR(INDEX(PP_Grid[#Data],$DE364,70),0)</f>
        <v/>
      </c>
      <c r="BV364">
        <f>IFERROR(INDEX(PP_Grid[#Data],$DE364,71),0)</f>
        <v/>
      </c>
      <c r="BW364">
        <f>IFERROR(INDEX(PP_Grid[#Data],$DE364,72),0)</f>
        <v/>
      </c>
      <c r="BX364">
        <f>IFERROR(INDEX(PP_Grid[#Data],$DE364,73),0)</f>
        <v/>
      </c>
      <c r="BY364">
        <f>IFERROR(INDEX(PP_Grid[#Data],$DE364,74),0)</f>
        <v/>
      </c>
      <c r="BZ364">
        <f>IFERROR(INDEX(PP_Grid[#Data],$DE364,75),0)</f>
        <v/>
      </c>
      <c r="CA364">
        <f>IFERROR(INDEX(PP_Grid[#Data],$DE364,76),0)</f>
        <v/>
      </c>
      <c r="CB364">
        <f>IFERROR(INDEX(PP_Grid[#Data],$DE364,77),0)</f>
        <v/>
      </c>
      <c r="CC364">
        <f>IFERROR(INDEX(PP_Grid[#Data],$DE364,78),0)</f>
        <v/>
      </c>
      <c r="CD364">
        <f>IFERROR(INDEX(PP_Grid[#Data],$DE364,79),0)</f>
        <v/>
      </c>
      <c r="CE364">
        <f>IFERROR(INDEX(PP_Grid[#Data],$DE364,80),0)</f>
        <v/>
      </c>
      <c r="CF364">
        <f>IFERROR(INDEX(PP_Grid[#Data],$DE364,81),0)</f>
        <v/>
      </c>
      <c r="CG364">
        <f>IFERROR(INDEX(PP_Grid[#Data],$DE364,82),0)</f>
        <v/>
      </c>
      <c r="CH364">
        <f>IFERROR(INDEX(PP_Grid[#Data],$DE364,83),0)</f>
        <v/>
      </c>
      <c r="CI364">
        <f>IFERROR(INDEX(PP_Grid[#Data],$DE364,84),0)</f>
        <v/>
      </c>
      <c r="CJ364">
        <f>IFERROR(INDEX(PP_Grid[#Data],$DE364,85),0)</f>
        <v/>
      </c>
      <c r="CK364">
        <f>IFERROR(INDEX(PP_Grid[#Data],$DE364,86),0)</f>
        <v/>
      </c>
      <c r="CL364">
        <f>IFERROR(INDEX(PP_Grid[#Data],$DE364,87),0)</f>
        <v/>
      </c>
      <c r="CM364">
        <f>IFERROR(INDEX(PP_Grid[#Data],$DE364,88),0)</f>
        <v/>
      </c>
      <c r="CN364">
        <f>IFERROR(INDEX(PP_Grid[#Data],$DE364,89),0)</f>
        <v/>
      </c>
      <c r="CO364">
        <f>IFERROR(INDEX(PP_Grid[#Data],$DE364,90),0)</f>
        <v/>
      </c>
      <c r="CP364">
        <f>IFERROR(INDEX(PP_Grid[#Data],$DE364,91),0)</f>
        <v/>
      </c>
      <c r="CQ364">
        <f>IFERROR(INDEX(PP_Grid[#Data],$DE364,92),0)</f>
        <v/>
      </c>
      <c r="CR364">
        <f>IFERROR(INDEX(PP_Grid[#Data],$DE364,93),0)</f>
        <v/>
      </c>
      <c r="CS364">
        <f>IFERROR(INDEX(PP_Grid[#Data],$DE364,94),0)</f>
        <v/>
      </c>
      <c r="CT364">
        <f>IFERROR(INDEX(PP_Grid[#Data],$DE364,95),0)</f>
        <v/>
      </c>
      <c r="CU364">
        <f>IFERROR(INDEX(PP_Grid[#Data],$DE364,96),0)</f>
        <v/>
      </c>
      <c r="CV364">
        <f>IFERROR(INDEX(PP_Grid[#Data],$DE364,97),0)</f>
        <v/>
      </c>
      <c r="CW364">
        <f>IFERROR(INDEX(PP_Grid[#Data],$DE364,98),0)</f>
        <v/>
      </c>
      <c r="CX364">
        <f>IFERROR(INDEX(PP_Grid[#Data],$DE364,99),0)</f>
        <v/>
      </c>
      <c r="CY364">
        <f>IFERROR(INDEX(PP_Grid[#Data],$DE364,100),0)</f>
        <v/>
      </c>
      <c r="CZ364">
        <f>IFERROR(INDEX(PP_Grid[#Data],$DE364,101),0)</f>
        <v/>
      </c>
      <c r="DA364">
        <f>IFERROR(INDEX(PP_Grid[#Data],$DE364,102),0)</f>
        <v/>
      </c>
      <c r="DB364">
        <f>IFERROR(INDEX(PP_Grid[#Data],$DE364,103),0)</f>
        <v/>
      </c>
      <c r="DC364">
        <f>IFERROR(INDEX(PP_Grid[#Data],$DE364,104),0)</f>
        <v/>
      </c>
      <c r="DD364">
        <f>IFERROR(INDEX(PP_Grid[#Data],$DE364,105),0)</f>
        <v/>
      </c>
      <c r="DE364" s="7">
        <f>IFERROR(MATCH($B364,PP_Grid[Intermediate],0),99999)</f>
        <v/>
      </c>
    </row>
    <row r="365">
      <c r="B365" t="inlineStr">
        <is>
          <t>使用量(kg)</t>
        </is>
      </c>
      <c r="C365">
        <f>SUMIFS(M_BOM[RM_Qty_Per_Batch],M_BOM[Intermediate],$B364,M_BOM[RM_Code],$A325)</f>
        <v/>
      </c>
      <c r="D365">
        <f>IFERROR(INDEX(E365:DD365,$F$1),"")</f>
        <v/>
      </c>
      <c r="E365">
        <f>$C365*E364</f>
        <v/>
      </c>
      <c r="F365">
        <f>$C365*F364</f>
        <v/>
      </c>
      <c r="G365">
        <f>$C365*G364</f>
        <v/>
      </c>
      <c r="H365">
        <f>$C365*H364</f>
        <v/>
      </c>
      <c r="I365">
        <f>$C365*I364</f>
        <v/>
      </c>
      <c r="J365">
        <f>$C365*J364</f>
        <v/>
      </c>
      <c r="K365">
        <f>$C365*K364</f>
        <v/>
      </c>
      <c r="L365">
        <f>$C365*L364</f>
        <v/>
      </c>
      <c r="M365">
        <f>$C365*M364</f>
        <v/>
      </c>
      <c r="N365">
        <f>$C365*N364</f>
        <v/>
      </c>
      <c r="O365">
        <f>$C365*O364</f>
        <v/>
      </c>
      <c r="P365">
        <f>$C365*P364</f>
        <v/>
      </c>
      <c r="Q365">
        <f>$C365*Q364</f>
        <v/>
      </c>
      <c r="R365">
        <f>$C365*R364</f>
        <v/>
      </c>
      <c r="S365">
        <f>$C365*S364</f>
        <v/>
      </c>
      <c r="T365">
        <f>$C365*T364</f>
        <v/>
      </c>
      <c r="U365">
        <f>$C365*U364</f>
        <v/>
      </c>
      <c r="V365">
        <f>$C365*V364</f>
        <v/>
      </c>
      <c r="W365">
        <f>$C365*W364</f>
        <v/>
      </c>
      <c r="X365">
        <f>$C365*X364</f>
        <v/>
      </c>
      <c r="Y365">
        <f>$C365*Y364</f>
        <v/>
      </c>
      <c r="Z365">
        <f>$C365*Z364</f>
        <v/>
      </c>
      <c r="AA365">
        <f>$C365*AA364</f>
        <v/>
      </c>
      <c r="AB365">
        <f>$C365*AB364</f>
        <v/>
      </c>
      <c r="AC365">
        <f>$C365*AC364</f>
        <v/>
      </c>
      <c r="AD365">
        <f>$C365*AD364</f>
        <v/>
      </c>
      <c r="AE365">
        <f>$C365*AE364</f>
        <v/>
      </c>
      <c r="AF365">
        <f>$C365*AF364</f>
        <v/>
      </c>
      <c r="AG365">
        <f>$C365*AG364</f>
        <v/>
      </c>
      <c r="AH365">
        <f>$C365*AH364</f>
        <v/>
      </c>
      <c r="AI365">
        <f>$C365*AI364</f>
        <v/>
      </c>
      <c r="AJ365">
        <f>$C365*AJ364</f>
        <v/>
      </c>
      <c r="AK365">
        <f>$C365*AK364</f>
        <v/>
      </c>
      <c r="AL365">
        <f>$C365*AL364</f>
        <v/>
      </c>
      <c r="AM365">
        <f>$C365*AM364</f>
        <v/>
      </c>
      <c r="AN365">
        <f>$C365*AN364</f>
        <v/>
      </c>
      <c r="AO365">
        <f>$C365*AO364</f>
        <v/>
      </c>
      <c r="AP365">
        <f>$C365*AP364</f>
        <v/>
      </c>
      <c r="AQ365">
        <f>$C365*AQ364</f>
        <v/>
      </c>
      <c r="AR365">
        <f>$C365*AR364</f>
        <v/>
      </c>
      <c r="AS365">
        <f>$C365*AS364</f>
        <v/>
      </c>
      <c r="AT365">
        <f>$C365*AT364</f>
        <v/>
      </c>
      <c r="AU365">
        <f>$C365*AU364</f>
        <v/>
      </c>
      <c r="AV365">
        <f>$C365*AV364</f>
        <v/>
      </c>
      <c r="AW365">
        <f>$C365*AW364</f>
        <v/>
      </c>
      <c r="AX365">
        <f>$C365*AX364</f>
        <v/>
      </c>
      <c r="AY365">
        <f>$C365*AY364</f>
        <v/>
      </c>
      <c r="AZ365">
        <f>$C365*AZ364</f>
        <v/>
      </c>
      <c r="BA365">
        <f>$C365*BA364</f>
        <v/>
      </c>
      <c r="BB365">
        <f>$C365*BB364</f>
        <v/>
      </c>
      <c r="BC365">
        <f>$C365*BC364</f>
        <v/>
      </c>
      <c r="BD365">
        <f>$C365*BD364</f>
        <v/>
      </c>
      <c r="BE365">
        <f>$C365*BE364</f>
        <v/>
      </c>
      <c r="BF365">
        <f>$C365*BF364</f>
        <v/>
      </c>
      <c r="BG365">
        <f>$C365*BG364</f>
        <v/>
      </c>
      <c r="BH365">
        <f>$C365*BH364</f>
        <v/>
      </c>
      <c r="BI365">
        <f>$C365*BI364</f>
        <v/>
      </c>
      <c r="BJ365">
        <f>$C365*BJ364</f>
        <v/>
      </c>
      <c r="BK365">
        <f>$C365*BK364</f>
        <v/>
      </c>
      <c r="BL365">
        <f>$C365*BL364</f>
        <v/>
      </c>
      <c r="BM365">
        <f>$C365*BM364</f>
        <v/>
      </c>
      <c r="BN365">
        <f>$C365*BN364</f>
        <v/>
      </c>
      <c r="BO365">
        <f>$C365*BO364</f>
        <v/>
      </c>
      <c r="BP365">
        <f>$C365*BP364</f>
        <v/>
      </c>
      <c r="BQ365">
        <f>$C365*BQ364</f>
        <v/>
      </c>
      <c r="BR365">
        <f>$C365*BR364</f>
        <v/>
      </c>
      <c r="BS365">
        <f>$C365*BS364</f>
        <v/>
      </c>
      <c r="BT365">
        <f>$C365*BT364</f>
        <v/>
      </c>
      <c r="BU365">
        <f>$C365*BU364</f>
        <v/>
      </c>
      <c r="BV365">
        <f>$C365*BV364</f>
        <v/>
      </c>
      <c r="BW365">
        <f>$C365*BW364</f>
        <v/>
      </c>
      <c r="BX365">
        <f>$C365*BX364</f>
        <v/>
      </c>
      <c r="BY365">
        <f>$C365*BY364</f>
        <v/>
      </c>
      <c r="BZ365">
        <f>$C365*BZ364</f>
        <v/>
      </c>
      <c r="CA365">
        <f>$C365*CA364</f>
        <v/>
      </c>
      <c r="CB365">
        <f>$C365*CB364</f>
        <v/>
      </c>
      <c r="CC365">
        <f>$C365*CC364</f>
        <v/>
      </c>
      <c r="CD365">
        <f>$C365*CD364</f>
        <v/>
      </c>
      <c r="CE365">
        <f>$C365*CE364</f>
        <v/>
      </c>
      <c r="CF365">
        <f>$C365*CF364</f>
        <v/>
      </c>
      <c r="CG365">
        <f>$C365*CG364</f>
        <v/>
      </c>
      <c r="CH365">
        <f>$C365*CH364</f>
        <v/>
      </c>
      <c r="CI365">
        <f>$C365*CI364</f>
        <v/>
      </c>
      <c r="CJ365">
        <f>$C365*CJ364</f>
        <v/>
      </c>
      <c r="CK365">
        <f>$C365*CK364</f>
        <v/>
      </c>
      <c r="CL365">
        <f>$C365*CL364</f>
        <v/>
      </c>
      <c r="CM365">
        <f>$C365*CM364</f>
        <v/>
      </c>
      <c r="CN365">
        <f>$C365*CN364</f>
        <v/>
      </c>
      <c r="CO365">
        <f>$C365*CO364</f>
        <v/>
      </c>
      <c r="CP365">
        <f>$C365*CP364</f>
        <v/>
      </c>
      <c r="CQ365">
        <f>$C365*CQ364</f>
        <v/>
      </c>
      <c r="CR365">
        <f>$C365*CR364</f>
        <v/>
      </c>
      <c r="CS365">
        <f>$C365*CS364</f>
        <v/>
      </c>
      <c r="CT365">
        <f>$C365*CT364</f>
        <v/>
      </c>
      <c r="CU365">
        <f>$C365*CU364</f>
        <v/>
      </c>
      <c r="CV365">
        <f>$C365*CV364</f>
        <v/>
      </c>
      <c r="CW365">
        <f>$C365*CW364</f>
        <v/>
      </c>
      <c r="CX365">
        <f>$C365*CX364</f>
        <v/>
      </c>
      <c r="CY365">
        <f>$C365*CY364</f>
        <v/>
      </c>
      <c r="CZ365">
        <f>$C365*CZ364</f>
        <v/>
      </c>
      <c r="DA365">
        <f>$C365*DA364</f>
        <v/>
      </c>
      <c r="DB365">
        <f>$C365*DB364</f>
        <v/>
      </c>
      <c r="DC365">
        <f>$C365*DC364</f>
        <v/>
      </c>
      <c r="DD365">
        <f>$C365*DD364</f>
        <v/>
      </c>
    </row>
    <row r="366">
      <c r="B366" t="inlineStr">
        <is>
          <t>TSP-390</t>
        </is>
      </c>
      <c r="C366" t="inlineStr">
        <is>
          <t>No. of batches</t>
        </is>
      </c>
      <c r="D366">
        <f>IFERROR(INDEX(E366:DD366,$F$1),"")</f>
        <v/>
      </c>
      <c r="E366">
        <f>IFERROR(INDEX(PP_Grid[#Data],$DE366,2),0)</f>
        <v/>
      </c>
      <c r="F366">
        <f>IFERROR(INDEX(PP_Grid[#Data],$DE366,3),0)</f>
        <v/>
      </c>
      <c r="G366">
        <f>IFERROR(INDEX(PP_Grid[#Data],$DE366,4),0)</f>
        <v/>
      </c>
      <c r="H366">
        <f>IFERROR(INDEX(PP_Grid[#Data],$DE366,5),0)</f>
        <v/>
      </c>
      <c r="I366">
        <f>IFERROR(INDEX(PP_Grid[#Data],$DE366,6),0)</f>
        <v/>
      </c>
      <c r="J366">
        <f>IFERROR(INDEX(PP_Grid[#Data],$DE366,7),0)</f>
        <v/>
      </c>
      <c r="K366">
        <f>IFERROR(INDEX(PP_Grid[#Data],$DE366,8),0)</f>
        <v/>
      </c>
      <c r="L366">
        <f>IFERROR(INDEX(PP_Grid[#Data],$DE366,9),0)</f>
        <v/>
      </c>
      <c r="M366">
        <f>IFERROR(INDEX(PP_Grid[#Data],$DE366,10),0)</f>
        <v/>
      </c>
      <c r="N366">
        <f>IFERROR(INDEX(PP_Grid[#Data],$DE366,11),0)</f>
        <v/>
      </c>
      <c r="O366">
        <f>IFERROR(INDEX(PP_Grid[#Data],$DE366,12),0)</f>
        <v/>
      </c>
      <c r="P366">
        <f>IFERROR(INDEX(PP_Grid[#Data],$DE366,13),0)</f>
        <v/>
      </c>
      <c r="Q366">
        <f>IFERROR(INDEX(PP_Grid[#Data],$DE366,14),0)</f>
        <v/>
      </c>
      <c r="R366">
        <f>IFERROR(INDEX(PP_Grid[#Data],$DE366,15),0)</f>
        <v/>
      </c>
      <c r="S366">
        <f>IFERROR(INDEX(PP_Grid[#Data],$DE366,16),0)</f>
        <v/>
      </c>
      <c r="T366">
        <f>IFERROR(INDEX(PP_Grid[#Data],$DE366,17),0)</f>
        <v/>
      </c>
      <c r="U366">
        <f>IFERROR(INDEX(PP_Grid[#Data],$DE366,18),0)</f>
        <v/>
      </c>
      <c r="V366">
        <f>IFERROR(INDEX(PP_Grid[#Data],$DE366,19),0)</f>
        <v/>
      </c>
      <c r="W366">
        <f>IFERROR(INDEX(PP_Grid[#Data],$DE366,20),0)</f>
        <v/>
      </c>
      <c r="X366">
        <f>IFERROR(INDEX(PP_Grid[#Data],$DE366,21),0)</f>
        <v/>
      </c>
      <c r="Y366">
        <f>IFERROR(INDEX(PP_Grid[#Data],$DE366,22),0)</f>
        <v/>
      </c>
      <c r="Z366">
        <f>IFERROR(INDEX(PP_Grid[#Data],$DE366,23),0)</f>
        <v/>
      </c>
      <c r="AA366">
        <f>IFERROR(INDEX(PP_Grid[#Data],$DE366,24),0)</f>
        <v/>
      </c>
      <c r="AB366">
        <f>IFERROR(INDEX(PP_Grid[#Data],$DE366,25),0)</f>
        <v/>
      </c>
      <c r="AC366">
        <f>IFERROR(INDEX(PP_Grid[#Data],$DE366,26),0)</f>
        <v/>
      </c>
      <c r="AD366">
        <f>IFERROR(INDEX(PP_Grid[#Data],$DE366,27),0)</f>
        <v/>
      </c>
      <c r="AE366">
        <f>IFERROR(INDEX(PP_Grid[#Data],$DE366,28),0)</f>
        <v/>
      </c>
      <c r="AF366">
        <f>IFERROR(INDEX(PP_Grid[#Data],$DE366,29),0)</f>
        <v/>
      </c>
      <c r="AG366">
        <f>IFERROR(INDEX(PP_Grid[#Data],$DE366,30),0)</f>
        <v/>
      </c>
      <c r="AH366">
        <f>IFERROR(INDEX(PP_Grid[#Data],$DE366,31),0)</f>
        <v/>
      </c>
      <c r="AI366">
        <f>IFERROR(INDEX(PP_Grid[#Data],$DE366,32),0)</f>
        <v/>
      </c>
      <c r="AJ366">
        <f>IFERROR(INDEX(PP_Grid[#Data],$DE366,33),0)</f>
        <v/>
      </c>
      <c r="AK366">
        <f>IFERROR(INDEX(PP_Grid[#Data],$DE366,34),0)</f>
        <v/>
      </c>
      <c r="AL366">
        <f>IFERROR(INDEX(PP_Grid[#Data],$DE366,35),0)</f>
        <v/>
      </c>
      <c r="AM366">
        <f>IFERROR(INDEX(PP_Grid[#Data],$DE366,36),0)</f>
        <v/>
      </c>
      <c r="AN366">
        <f>IFERROR(INDEX(PP_Grid[#Data],$DE366,37),0)</f>
        <v/>
      </c>
      <c r="AO366">
        <f>IFERROR(INDEX(PP_Grid[#Data],$DE366,38),0)</f>
        <v/>
      </c>
      <c r="AP366">
        <f>IFERROR(INDEX(PP_Grid[#Data],$DE366,39),0)</f>
        <v/>
      </c>
      <c r="AQ366">
        <f>IFERROR(INDEX(PP_Grid[#Data],$DE366,40),0)</f>
        <v/>
      </c>
      <c r="AR366">
        <f>IFERROR(INDEX(PP_Grid[#Data],$DE366,41),0)</f>
        <v/>
      </c>
      <c r="AS366">
        <f>IFERROR(INDEX(PP_Grid[#Data],$DE366,42),0)</f>
        <v/>
      </c>
      <c r="AT366">
        <f>IFERROR(INDEX(PP_Grid[#Data],$DE366,43),0)</f>
        <v/>
      </c>
      <c r="AU366">
        <f>IFERROR(INDEX(PP_Grid[#Data],$DE366,44),0)</f>
        <v/>
      </c>
      <c r="AV366">
        <f>IFERROR(INDEX(PP_Grid[#Data],$DE366,45),0)</f>
        <v/>
      </c>
      <c r="AW366">
        <f>IFERROR(INDEX(PP_Grid[#Data],$DE366,46),0)</f>
        <v/>
      </c>
      <c r="AX366">
        <f>IFERROR(INDEX(PP_Grid[#Data],$DE366,47),0)</f>
        <v/>
      </c>
      <c r="AY366">
        <f>IFERROR(INDEX(PP_Grid[#Data],$DE366,48),0)</f>
        <v/>
      </c>
      <c r="AZ366">
        <f>IFERROR(INDEX(PP_Grid[#Data],$DE366,49),0)</f>
        <v/>
      </c>
      <c r="BA366">
        <f>IFERROR(INDEX(PP_Grid[#Data],$DE366,50),0)</f>
        <v/>
      </c>
      <c r="BB366">
        <f>IFERROR(INDEX(PP_Grid[#Data],$DE366,51),0)</f>
        <v/>
      </c>
      <c r="BC366">
        <f>IFERROR(INDEX(PP_Grid[#Data],$DE366,52),0)</f>
        <v/>
      </c>
      <c r="BD366">
        <f>IFERROR(INDEX(PP_Grid[#Data],$DE366,53),0)</f>
        <v/>
      </c>
      <c r="BE366">
        <f>IFERROR(INDEX(PP_Grid[#Data],$DE366,54),0)</f>
        <v/>
      </c>
      <c r="BF366">
        <f>IFERROR(INDEX(PP_Grid[#Data],$DE366,55),0)</f>
        <v/>
      </c>
      <c r="BG366">
        <f>IFERROR(INDEX(PP_Grid[#Data],$DE366,56),0)</f>
        <v/>
      </c>
      <c r="BH366">
        <f>IFERROR(INDEX(PP_Grid[#Data],$DE366,57),0)</f>
        <v/>
      </c>
      <c r="BI366">
        <f>IFERROR(INDEX(PP_Grid[#Data],$DE366,58),0)</f>
        <v/>
      </c>
      <c r="BJ366">
        <f>IFERROR(INDEX(PP_Grid[#Data],$DE366,59),0)</f>
        <v/>
      </c>
      <c r="BK366">
        <f>IFERROR(INDEX(PP_Grid[#Data],$DE366,60),0)</f>
        <v/>
      </c>
      <c r="BL366">
        <f>IFERROR(INDEX(PP_Grid[#Data],$DE366,61),0)</f>
        <v/>
      </c>
      <c r="BM366">
        <f>IFERROR(INDEX(PP_Grid[#Data],$DE366,62),0)</f>
        <v/>
      </c>
      <c r="BN366">
        <f>IFERROR(INDEX(PP_Grid[#Data],$DE366,63),0)</f>
        <v/>
      </c>
      <c r="BO366">
        <f>IFERROR(INDEX(PP_Grid[#Data],$DE366,64),0)</f>
        <v/>
      </c>
      <c r="BP366">
        <f>IFERROR(INDEX(PP_Grid[#Data],$DE366,65),0)</f>
        <v/>
      </c>
      <c r="BQ366">
        <f>IFERROR(INDEX(PP_Grid[#Data],$DE366,66),0)</f>
        <v/>
      </c>
      <c r="BR366">
        <f>IFERROR(INDEX(PP_Grid[#Data],$DE366,67),0)</f>
        <v/>
      </c>
      <c r="BS366">
        <f>IFERROR(INDEX(PP_Grid[#Data],$DE366,68),0)</f>
        <v/>
      </c>
      <c r="BT366">
        <f>IFERROR(INDEX(PP_Grid[#Data],$DE366,69),0)</f>
        <v/>
      </c>
      <c r="BU366">
        <f>IFERROR(INDEX(PP_Grid[#Data],$DE366,70),0)</f>
        <v/>
      </c>
      <c r="BV366">
        <f>IFERROR(INDEX(PP_Grid[#Data],$DE366,71),0)</f>
        <v/>
      </c>
      <c r="BW366">
        <f>IFERROR(INDEX(PP_Grid[#Data],$DE366,72),0)</f>
        <v/>
      </c>
      <c r="BX366">
        <f>IFERROR(INDEX(PP_Grid[#Data],$DE366,73),0)</f>
        <v/>
      </c>
      <c r="BY366">
        <f>IFERROR(INDEX(PP_Grid[#Data],$DE366,74),0)</f>
        <v/>
      </c>
      <c r="BZ366">
        <f>IFERROR(INDEX(PP_Grid[#Data],$DE366,75),0)</f>
        <v/>
      </c>
      <c r="CA366">
        <f>IFERROR(INDEX(PP_Grid[#Data],$DE366,76),0)</f>
        <v/>
      </c>
      <c r="CB366">
        <f>IFERROR(INDEX(PP_Grid[#Data],$DE366,77),0)</f>
        <v/>
      </c>
      <c r="CC366">
        <f>IFERROR(INDEX(PP_Grid[#Data],$DE366,78),0)</f>
        <v/>
      </c>
      <c r="CD366">
        <f>IFERROR(INDEX(PP_Grid[#Data],$DE366,79),0)</f>
        <v/>
      </c>
      <c r="CE366">
        <f>IFERROR(INDEX(PP_Grid[#Data],$DE366,80),0)</f>
        <v/>
      </c>
      <c r="CF366">
        <f>IFERROR(INDEX(PP_Grid[#Data],$DE366,81),0)</f>
        <v/>
      </c>
      <c r="CG366">
        <f>IFERROR(INDEX(PP_Grid[#Data],$DE366,82),0)</f>
        <v/>
      </c>
      <c r="CH366">
        <f>IFERROR(INDEX(PP_Grid[#Data],$DE366,83),0)</f>
        <v/>
      </c>
      <c r="CI366">
        <f>IFERROR(INDEX(PP_Grid[#Data],$DE366,84),0)</f>
        <v/>
      </c>
      <c r="CJ366">
        <f>IFERROR(INDEX(PP_Grid[#Data],$DE366,85),0)</f>
        <v/>
      </c>
      <c r="CK366">
        <f>IFERROR(INDEX(PP_Grid[#Data],$DE366,86),0)</f>
        <v/>
      </c>
      <c r="CL366">
        <f>IFERROR(INDEX(PP_Grid[#Data],$DE366,87),0)</f>
        <v/>
      </c>
      <c r="CM366">
        <f>IFERROR(INDEX(PP_Grid[#Data],$DE366,88),0)</f>
        <v/>
      </c>
      <c r="CN366">
        <f>IFERROR(INDEX(PP_Grid[#Data],$DE366,89),0)</f>
        <v/>
      </c>
      <c r="CO366">
        <f>IFERROR(INDEX(PP_Grid[#Data],$DE366,90),0)</f>
        <v/>
      </c>
      <c r="CP366">
        <f>IFERROR(INDEX(PP_Grid[#Data],$DE366,91),0)</f>
        <v/>
      </c>
      <c r="CQ366">
        <f>IFERROR(INDEX(PP_Grid[#Data],$DE366,92),0)</f>
        <v/>
      </c>
      <c r="CR366">
        <f>IFERROR(INDEX(PP_Grid[#Data],$DE366,93),0)</f>
        <v/>
      </c>
      <c r="CS366">
        <f>IFERROR(INDEX(PP_Grid[#Data],$DE366,94),0)</f>
        <v/>
      </c>
      <c r="CT366">
        <f>IFERROR(INDEX(PP_Grid[#Data],$DE366,95),0)</f>
        <v/>
      </c>
      <c r="CU366">
        <f>IFERROR(INDEX(PP_Grid[#Data],$DE366,96),0)</f>
        <v/>
      </c>
      <c r="CV366">
        <f>IFERROR(INDEX(PP_Grid[#Data],$DE366,97),0)</f>
        <v/>
      </c>
      <c r="CW366">
        <f>IFERROR(INDEX(PP_Grid[#Data],$DE366,98),0)</f>
        <v/>
      </c>
      <c r="CX366">
        <f>IFERROR(INDEX(PP_Grid[#Data],$DE366,99),0)</f>
        <v/>
      </c>
      <c r="CY366">
        <f>IFERROR(INDEX(PP_Grid[#Data],$DE366,100),0)</f>
        <v/>
      </c>
      <c r="CZ366">
        <f>IFERROR(INDEX(PP_Grid[#Data],$DE366,101),0)</f>
        <v/>
      </c>
      <c r="DA366">
        <f>IFERROR(INDEX(PP_Grid[#Data],$DE366,102),0)</f>
        <v/>
      </c>
      <c r="DB366">
        <f>IFERROR(INDEX(PP_Grid[#Data],$DE366,103),0)</f>
        <v/>
      </c>
      <c r="DC366">
        <f>IFERROR(INDEX(PP_Grid[#Data],$DE366,104),0)</f>
        <v/>
      </c>
      <c r="DD366">
        <f>IFERROR(INDEX(PP_Grid[#Data],$DE366,105),0)</f>
        <v/>
      </c>
      <c r="DE366" s="7">
        <f>IFERROR(MATCH($B366,PP_Grid[Intermediate],0),99999)</f>
        <v/>
      </c>
    </row>
    <row r="367">
      <c r="B367" t="inlineStr">
        <is>
          <t>使用量(kg)</t>
        </is>
      </c>
      <c r="C367">
        <f>SUMIFS(M_BOM[RM_Qty_Per_Batch],M_BOM[Intermediate],$B366,M_BOM[RM_Code],$A325)</f>
        <v/>
      </c>
      <c r="D367">
        <f>IFERROR(INDEX(E367:DD367,$F$1),"")</f>
        <v/>
      </c>
      <c r="E367">
        <f>$C367*E366</f>
        <v/>
      </c>
      <c r="F367">
        <f>$C367*F366</f>
        <v/>
      </c>
      <c r="G367">
        <f>$C367*G366</f>
        <v/>
      </c>
      <c r="H367">
        <f>$C367*H366</f>
        <v/>
      </c>
      <c r="I367">
        <f>$C367*I366</f>
        <v/>
      </c>
      <c r="J367">
        <f>$C367*J366</f>
        <v/>
      </c>
      <c r="K367">
        <f>$C367*K366</f>
        <v/>
      </c>
      <c r="L367">
        <f>$C367*L366</f>
        <v/>
      </c>
      <c r="M367">
        <f>$C367*M366</f>
        <v/>
      </c>
      <c r="N367">
        <f>$C367*N366</f>
        <v/>
      </c>
      <c r="O367">
        <f>$C367*O366</f>
        <v/>
      </c>
      <c r="P367">
        <f>$C367*P366</f>
        <v/>
      </c>
      <c r="Q367">
        <f>$C367*Q366</f>
        <v/>
      </c>
      <c r="R367">
        <f>$C367*R366</f>
        <v/>
      </c>
      <c r="S367">
        <f>$C367*S366</f>
        <v/>
      </c>
      <c r="T367">
        <f>$C367*T366</f>
        <v/>
      </c>
      <c r="U367">
        <f>$C367*U366</f>
        <v/>
      </c>
      <c r="V367">
        <f>$C367*V366</f>
        <v/>
      </c>
      <c r="W367">
        <f>$C367*W366</f>
        <v/>
      </c>
      <c r="X367">
        <f>$C367*X366</f>
        <v/>
      </c>
      <c r="Y367">
        <f>$C367*Y366</f>
        <v/>
      </c>
      <c r="Z367">
        <f>$C367*Z366</f>
        <v/>
      </c>
      <c r="AA367">
        <f>$C367*AA366</f>
        <v/>
      </c>
      <c r="AB367">
        <f>$C367*AB366</f>
        <v/>
      </c>
      <c r="AC367">
        <f>$C367*AC366</f>
        <v/>
      </c>
      <c r="AD367">
        <f>$C367*AD366</f>
        <v/>
      </c>
      <c r="AE367">
        <f>$C367*AE366</f>
        <v/>
      </c>
      <c r="AF367">
        <f>$C367*AF366</f>
        <v/>
      </c>
      <c r="AG367">
        <f>$C367*AG366</f>
        <v/>
      </c>
      <c r="AH367">
        <f>$C367*AH366</f>
        <v/>
      </c>
      <c r="AI367">
        <f>$C367*AI366</f>
        <v/>
      </c>
      <c r="AJ367">
        <f>$C367*AJ366</f>
        <v/>
      </c>
      <c r="AK367">
        <f>$C367*AK366</f>
        <v/>
      </c>
      <c r="AL367">
        <f>$C367*AL366</f>
        <v/>
      </c>
      <c r="AM367">
        <f>$C367*AM366</f>
        <v/>
      </c>
      <c r="AN367">
        <f>$C367*AN366</f>
        <v/>
      </c>
      <c r="AO367">
        <f>$C367*AO366</f>
        <v/>
      </c>
      <c r="AP367">
        <f>$C367*AP366</f>
        <v/>
      </c>
      <c r="AQ367">
        <f>$C367*AQ366</f>
        <v/>
      </c>
      <c r="AR367">
        <f>$C367*AR366</f>
        <v/>
      </c>
      <c r="AS367">
        <f>$C367*AS366</f>
        <v/>
      </c>
      <c r="AT367">
        <f>$C367*AT366</f>
        <v/>
      </c>
      <c r="AU367">
        <f>$C367*AU366</f>
        <v/>
      </c>
      <c r="AV367">
        <f>$C367*AV366</f>
        <v/>
      </c>
      <c r="AW367">
        <f>$C367*AW366</f>
        <v/>
      </c>
      <c r="AX367">
        <f>$C367*AX366</f>
        <v/>
      </c>
      <c r="AY367">
        <f>$C367*AY366</f>
        <v/>
      </c>
      <c r="AZ367">
        <f>$C367*AZ366</f>
        <v/>
      </c>
      <c r="BA367">
        <f>$C367*BA366</f>
        <v/>
      </c>
      <c r="BB367">
        <f>$C367*BB366</f>
        <v/>
      </c>
      <c r="BC367">
        <f>$C367*BC366</f>
        <v/>
      </c>
      <c r="BD367">
        <f>$C367*BD366</f>
        <v/>
      </c>
      <c r="BE367">
        <f>$C367*BE366</f>
        <v/>
      </c>
      <c r="BF367">
        <f>$C367*BF366</f>
        <v/>
      </c>
      <c r="BG367">
        <f>$C367*BG366</f>
        <v/>
      </c>
      <c r="BH367">
        <f>$C367*BH366</f>
        <v/>
      </c>
      <c r="BI367">
        <f>$C367*BI366</f>
        <v/>
      </c>
      <c r="BJ367">
        <f>$C367*BJ366</f>
        <v/>
      </c>
      <c r="BK367">
        <f>$C367*BK366</f>
        <v/>
      </c>
      <c r="BL367">
        <f>$C367*BL366</f>
        <v/>
      </c>
      <c r="BM367">
        <f>$C367*BM366</f>
        <v/>
      </c>
      <c r="BN367">
        <f>$C367*BN366</f>
        <v/>
      </c>
      <c r="BO367">
        <f>$C367*BO366</f>
        <v/>
      </c>
      <c r="BP367">
        <f>$C367*BP366</f>
        <v/>
      </c>
      <c r="BQ367">
        <f>$C367*BQ366</f>
        <v/>
      </c>
      <c r="BR367">
        <f>$C367*BR366</f>
        <v/>
      </c>
      <c r="BS367">
        <f>$C367*BS366</f>
        <v/>
      </c>
      <c r="BT367">
        <f>$C367*BT366</f>
        <v/>
      </c>
      <c r="BU367">
        <f>$C367*BU366</f>
        <v/>
      </c>
      <c r="BV367">
        <f>$C367*BV366</f>
        <v/>
      </c>
      <c r="BW367">
        <f>$C367*BW366</f>
        <v/>
      </c>
      <c r="BX367">
        <f>$C367*BX366</f>
        <v/>
      </c>
      <c r="BY367">
        <f>$C367*BY366</f>
        <v/>
      </c>
      <c r="BZ367">
        <f>$C367*BZ366</f>
        <v/>
      </c>
      <c r="CA367">
        <f>$C367*CA366</f>
        <v/>
      </c>
      <c r="CB367">
        <f>$C367*CB366</f>
        <v/>
      </c>
      <c r="CC367">
        <f>$C367*CC366</f>
        <v/>
      </c>
      <c r="CD367">
        <f>$C367*CD366</f>
        <v/>
      </c>
      <c r="CE367">
        <f>$C367*CE366</f>
        <v/>
      </c>
      <c r="CF367">
        <f>$C367*CF366</f>
        <v/>
      </c>
      <c r="CG367">
        <f>$C367*CG366</f>
        <v/>
      </c>
      <c r="CH367">
        <f>$C367*CH366</f>
        <v/>
      </c>
      <c r="CI367">
        <f>$C367*CI366</f>
        <v/>
      </c>
      <c r="CJ367">
        <f>$C367*CJ366</f>
        <v/>
      </c>
      <c r="CK367">
        <f>$C367*CK366</f>
        <v/>
      </c>
      <c r="CL367">
        <f>$C367*CL366</f>
        <v/>
      </c>
      <c r="CM367">
        <f>$C367*CM366</f>
        <v/>
      </c>
      <c r="CN367">
        <f>$C367*CN366</f>
        <v/>
      </c>
      <c r="CO367">
        <f>$C367*CO366</f>
        <v/>
      </c>
      <c r="CP367">
        <f>$C367*CP366</f>
        <v/>
      </c>
      <c r="CQ367">
        <f>$C367*CQ366</f>
        <v/>
      </c>
      <c r="CR367">
        <f>$C367*CR366</f>
        <v/>
      </c>
      <c r="CS367">
        <f>$C367*CS366</f>
        <v/>
      </c>
      <c r="CT367">
        <f>$C367*CT366</f>
        <v/>
      </c>
      <c r="CU367">
        <f>$C367*CU366</f>
        <v/>
      </c>
      <c r="CV367">
        <f>$C367*CV366</f>
        <v/>
      </c>
      <c r="CW367">
        <f>$C367*CW366</f>
        <v/>
      </c>
      <c r="CX367">
        <f>$C367*CX366</f>
        <v/>
      </c>
      <c r="CY367">
        <f>$C367*CY366</f>
        <v/>
      </c>
      <c r="CZ367">
        <f>$C367*CZ366</f>
        <v/>
      </c>
      <c r="DA367">
        <f>$C367*DA366</f>
        <v/>
      </c>
      <c r="DB367">
        <f>$C367*DB366</f>
        <v/>
      </c>
      <c r="DC367">
        <f>$C367*DC366</f>
        <v/>
      </c>
      <c r="DD367">
        <f>$C367*DD366</f>
        <v/>
      </c>
    </row>
    <row r="368">
      <c r="B368" t="inlineStr">
        <is>
          <t>TSP-399</t>
        </is>
      </c>
      <c r="C368" t="inlineStr">
        <is>
          <t>No. of batches</t>
        </is>
      </c>
      <c r="D368">
        <f>IFERROR(INDEX(E368:DD368,$F$1),"")</f>
        <v/>
      </c>
      <c r="E368">
        <f>IFERROR(INDEX(PP_Grid[#Data],$DE368,2),0)</f>
        <v/>
      </c>
      <c r="F368">
        <f>IFERROR(INDEX(PP_Grid[#Data],$DE368,3),0)</f>
        <v/>
      </c>
      <c r="G368">
        <f>IFERROR(INDEX(PP_Grid[#Data],$DE368,4),0)</f>
        <v/>
      </c>
      <c r="H368">
        <f>IFERROR(INDEX(PP_Grid[#Data],$DE368,5),0)</f>
        <v/>
      </c>
      <c r="I368">
        <f>IFERROR(INDEX(PP_Grid[#Data],$DE368,6),0)</f>
        <v/>
      </c>
      <c r="J368">
        <f>IFERROR(INDEX(PP_Grid[#Data],$DE368,7),0)</f>
        <v/>
      </c>
      <c r="K368">
        <f>IFERROR(INDEX(PP_Grid[#Data],$DE368,8),0)</f>
        <v/>
      </c>
      <c r="L368">
        <f>IFERROR(INDEX(PP_Grid[#Data],$DE368,9),0)</f>
        <v/>
      </c>
      <c r="M368">
        <f>IFERROR(INDEX(PP_Grid[#Data],$DE368,10),0)</f>
        <v/>
      </c>
      <c r="N368">
        <f>IFERROR(INDEX(PP_Grid[#Data],$DE368,11),0)</f>
        <v/>
      </c>
      <c r="O368">
        <f>IFERROR(INDEX(PP_Grid[#Data],$DE368,12),0)</f>
        <v/>
      </c>
      <c r="P368">
        <f>IFERROR(INDEX(PP_Grid[#Data],$DE368,13),0)</f>
        <v/>
      </c>
      <c r="Q368">
        <f>IFERROR(INDEX(PP_Grid[#Data],$DE368,14),0)</f>
        <v/>
      </c>
      <c r="R368">
        <f>IFERROR(INDEX(PP_Grid[#Data],$DE368,15),0)</f>
        <v/>
      </c>
      <c r="S368">
        <f>IFERROR(INDEX(PP_Grid[#Data],$DE368,16),0)</f>
        <v/>
      </c>
      <c r="T368">
        <f>IFERROR(INDEX(PP_Grid[#Data],$DE368,17),0)</f>
        <v/>
      </c>
      <c r="U368">
        <f>IFERROR(INDEX(PP_Grid[#Data],$DE368,18),0)</f>
        <v/>
      </c>
      <c r="V368">
        <f>IFERROR(INDEX(PP_Grid[#Data],$DE368,19),0)</f>
        <v/>
      </c>
      <c r="W368">
        <f>IFERROR(INDEX(PP_Grid[#Data],$DE368,20),0)</f>
        <v/>
      </c>
      <c r="X368">
        <f>IFERROR(INDEX(PP_Grid[#Data],$DE368,21),0)</f>
        <v/>
      </c>
      <c r="Y368">
        <f>IFERROR(INDEX(PP_Grid[#Data],$DE368,22),0)</f>
        <v/>
      </c>
      <c r="Z368">
        <f>IFERROR(INDEX(PP_Grid[#Data],$DE368,23),0)</f>
        <v/>
      </c>
      <c r="AA368">
        <f>IFERROR(INDEX(PP_Grid[#Data],$DE368,24),0)</f>
        <v/>
      </c>
      <c r="AB368">
        <f>IFERROR(INDEX(PP_Grid[#Data],$DE368,25),0)</f>
        <v/>
      </c>
      <c r="AC368">
        <f>IFERROR(INDEX(PP_Grid[#Data],$DE368,26),0)</f>
        <v/>
      </c>
      <c r="AD368">
        <f>IFERROR(INDEX(PP_Grid[#Data],$DE368,27),0)</f>
        <v/>
      </c>
      <c r="AE368">
        <f>IFERROR(INDEX(PP_Grid[#Data],$DE368,28),0)</f>
        <v/>
      </c>
      <c r="AF368">
        <f>IFERROR(INDEX(PP_Grid[#Data],$DE368,29),0)</f>
        <v/>
      </c>
      <c r="AG368">
        <f>IFERROR(INDEX(PP_Grid[#Data],$DE368,30),0)</f>
        <v/>
      </c>
      <c r="AH368">
        <f>IFERROR(INDEX(PP_Grid[#Data],$DE368,31),0)</f>
        <v/>
      </c>
      <c r="AI368">
        <f>IFERROR(INDEX(PP_Grid[#Data],$DE368,32),0)</f>
        <v/>
      </c>
      <c r="AJ368">
        <f>IFERROR(INDEX(PP_Grid[#Data],$DE368,33),0)</f>
        <v/>
      </c>
      <c r="AK368">
        <f>IFERROR(INDEX(PP_Grid[#Data],$DE368,34),0)</f>
        <v/>
      </c>
      <c r="AL368">
        <f>IFERROR(INDEX(PP_Grid[#Data],$DE368,35),0)</f>
        <v/>
      </c>
      <c r="AM368">
        <f>IFERROR(INDEX(PP_Grid[#Data],$DE368,36),0)</f>
        <v/>
      </c>
      <c r="AN368">
        <f>IFERROR(INDEX(PP_Grid[#Data],$DE368,37),0)</f>
        <v/>
      </c>
      <c r="AO368">
        <f>IFERROR(INDEX(PP_Grid[#Data],$DE368,38),0)</f>
        <v/>
      </c>
      <c r="AP368">
        <f>IFERROR(INDEX(PP_Grid[#Data],$DE368,39),0)</f>
        <v/>
      </c>
      <c r="AQ368">
        <f>IFERROR(INDEX(PP_Grid[#Data],$DE368,40),0)</f>
        <v/>
      </c>
      <c r="AR368">
        <f>IFERROR(INDEX(PP_Grid[#Data],$DE368,41),0)</f>
        <v/>
      </c>
      <c r="AS368">
        <f>IFERROR(INDEX(PP_Grid[#Data],$DE368,42),0)</f>
        <v/>
      </c>
      <c r="AT368">
        <f>IFERROR(INDEX(PP_Grid[#Data],$DE368,43),0)</f>
        <v/>
      </c>
      <c r="AU368">
        <f>IFERROR(INDEX(PP_Grid[#Data],$DE368,44),0)</f>
        <v/>
      </c>
      <c r="AV368">
        <f>IFERROR(INDEX(PP_Grid[#Data],$DE368,45),0)</f>
        <v/>
      </c>
      <c r="AW368">
        <f>IFERROR(INDEX(PP_Grid[#Data],$DE368,46),0)</f>
        <v/>
      </c>
      <c r="AX368">
        <f>IFERROR(INDEX(PP_Grid[#Data],$DE368,47),0)</f>
        <v/>
      </c>
      <c r="AY368">
        <f>IFERROR(INDEX(PP_Grid[#Data],$DE368,48),0)</f>
        <v/>
      </c>
      <c r="AZ368">
        <f>IFERROR(INDEX(PP_Grid[#Data],$DE368,49),0)</f>
        <v/>
      </c>
      <c r="BA368">
        <f>IFERROR(INDEX(PP_Grid[#Data],$DE368,50),0)</f>
        <v/>
      </c>
      <c r="BB368">
        <f>IFERROR(INDEX(PP_Grid[#Data],$DE368,51),0)</f>
        <v/>
      </c>
      <c r="BC368">
        <f>IFERROR(INDEX(PP_Grid[#Data],$DE368,52),0)</f>
        <v/>
      </c>
      <c r="BD368">
        <f>IFERROR(INDEX(PP_Grid[#Data],$DE368,53),0)</f>
        <v/>
      </c>
      <c r="BE368">
        <f>IFERROR(INDEX(PP_Grid[#Data],$DE368,54),0)</f>
        <v/>
      </c>
      <c r="BF368">
        <f>IFERROR(INDEX(PP_Grid[#Data],$DE368,55),0)</f>
        <v/>
      </c>
      <c r="BG368">
        <f>IFERROR(INDEX(PP_Grid[#Data],$DE368,56),0)</f>
        <v/>
      </c>
      <c r="BH368">
        <f>IFERROR(INDEX(PP_Grid[#Data],$DE368,57),0)</f>
        <v/>
      </c>
      <c r="BI368">
        <f>IFERROR(INDEX(PP_Grid[#Data],$DE368,58),0)</f>
        <v/>
      </c>
      <c r="BJ368">
        <f>IFERROR(INDEX(PP_Grid[#Data],$DE368,59),0)</f>
        <v/>
      </c>
      <c r="BK368">
        <f>IFERROR(INDEX(PP_Grid[#Data],$DE368,60),0)</f>
        <v/>
      </c>
      <c r="BL368">
        <f>IFERROR(INDEX(PP_Grid[#Data],$DE368,61),0)</f>
        <v/>
      </c>
      <c r="BM368">
        <f>IFERROR(INDEX(PP_Grid[#Data],$DE368,62),0)</f>
        <v/>
      </c>
      <c r="BN368">
        <f>IFERROR(INDEX(PP_Grid[#Data],$DE368,63),0)</f>
        <v/>
      </c>
      <c r="BO368">
        <f>IFERROR(INDEX(PP_Grid[#Data],$DE368,64),0)</f>
        <v/>
      </c>
      <c r="BP368">
        <f>IFERROR(INDEX(PP_Grid[#Data],$DE368,65),0)</f>
        <v/>
      </c>
      <c r="BQ368">
        <f>IFERROR(INDEX(PP_Grid[#Data],$DE368,66),0)</f>
        <v/>
      </c>
      <c r="BR368">
        <f>IFERROR(INDEX(PP_Grid[#Data],$DE368,67),0)</f>
        <v/>
      </c>
      <c r="BS368">
        <f>IFERROR(INDEX(PP_Grid[#Data],$DE368,68),0)</f>
        <v/>
      </c>
      <c r="BT368">
        <f>IFERROR(INDEX(PP_Grid[#Data],$DE368,69),0)</f>
        <v/>
      </c>
      <c r="BU368">
        <f>IFERROR(INDEX(PP_Grid[#Data],$DE368,70),0)</f>
        <v/>
      </c>
      <c r="BV368">
        <f>IFERROR(INDEX(PP_Grid[#Data],$DE368,71),0)</f>
        <v/>
      </c>
      <c r="BW368">
        <f>IFERROR(INDEX(PP_Grid[#Data],$DE368,72),0)</f>
        <v/>
      </c>
      <c r="BX368">
        <f>IFERROR(INDEX(PP_Grid[#Data],$DE368,73),0)</f>
        <v/>
      </c>
      <c r="BY368">
        <f>IFERROR(INDEX(PP_Grid[#Data],$DE368,74),0)</f>
        <v/>
      </c>
      <c r="BZ368">
        <f>IFERROR(INDEX(PP_Grid[#Data],$DE368,75),0)</f>
        <v/>
      </c>
      <c r="CA368">
        <f>IFERROR(INDEX(PP_Grid[#Data],$DE368,76),0)</f>
        <v/>
      </c>
      <c r="CB368">
        <f>IFERROR(INDEX(PP_Grid[#Data],$DE368,77),0)</f>
        <v/>
      </c>
      <c r="CC368">
        <f>IFERROR(INDEX(PP_Grid[#Data],$DE368,78),0)</f>
        <v/>
      </c>
      <c r="CD368">
        <f>IFERROR(INDEX(PP_Grid[#Data],$DE368,79),0)</f>
        <v/>
      </c>
      <c r="CE368">
        <f>IFERROR(INDEX(PP_Grid[#Data],$DE368,80),0)</f>
        <v/>
      </c>
      <c r="CF368">
        <f>IFERROR(INDEX(PP_Grid[#Data],$DE368,81),0)</f>
        <v/>
      </c>
      <c r="CG368">
        <f>IFERROR(INDEX(PP_Grid[#Data],$DE368,82),0)</f>
        <v/>
      </c>
      <c r="CH368">
        <f>IFERROR(INDEX(PP_Grid[#Data],$DE368,83),0)</f>
        <v/>
      </c>
      <c r="CI368">
        <f>IFERROR(INDEX(PP_Grid[#Data],$DE368,84),0)</f>
        <v/>
      </c>
      <c r="CJ368">
        <f>IFERROR(INDEX(PP_Grid[#Data],$DE368,85),0)</f>
        <v/>
      </c>
      <c r="CK368">
        <f>IFERROR(INDEX(PP_Grid[#Data],$DE368,86),0)</f>
        <v/>
      </c>
      <c r="CL368">
        <f>IFERROR(INDEX(PP_Grid[#Data],$DE368,87),0)</f>
        <v/>
      </c>
      <c r="CM368">
        <f>IFERROR(INDEX(PP_Grid[#Data],$DE368,88),0)</f>
        <v/>
      </c>
      <c r="CN368">
        <f>IFERROR(INDEX(PP_Grid[#Data],$DE368,89),0)</f>
        <v/>
      </c>
      <c r="CO368">
        <f>IFERROR(INDEX(PP_Grid[#Data],$DE368,90),0)</f>
        <v/>
      </c>
      <c r="CP368">
        <f>IFERROR(INDEX(PP_Grid[#Data],$DE368,91),0)</f>
        <v/>
      </c>
      <c r="CQ368">
        <f>IFERROR(INDEX(PP_Grid[#Data],$DE368,92),0)</f>
        <v/>
      </c>
      <c r="CR368">
        <f>IFERROR(INDEX(PP_Grid[#Data],$DE368,93),0)</f>
        <v/>
      </c>
      <c r="CS368">
        <f>IFERROR(INDEX(PP_Grid[#Data],$DE368,94),0)</f>
        <v/>
      </c>
      <c r="CT368">
        <f>IFERROR(INDEX(PP_Grid[#Data],$DE368,95),0)</f>
        <v/>
      </c>
      <c r="CU368">
        <f>IFERROR(INDEX(PP_Grid[#Data],$DE368,96),0)</f>
        <v/>
      </c>
      <c r="CV368">
        <f>IFERROR(INDEX(PP_Grid[#Data],$DE368,97),0)</f>
        <v/>
      </c>
      <c r="CW368">
        <f>IFERROR(INDEX(PP_Grid[#Data],$DE368,98),0)</f>
        <v/>
      </c>
      <c r="CX368">
        <f>IFERROR(INDEX(PP_Grid[#Data],$DE368,99),0)</f>
        <v/>
      </c>
      <c r="CY368">
        <f>IFERROR(INDEX(PP_Grid[#Data],$DE368,100),0)</f>
        <v/>
      </c>
      <c r="CZ368">
        <f>IFERROR(INDEX(PP_Grid[#Data],$DE368,101),0)</f>
        <v/>
      </c>
      <c r="DA368">
        <f>IFERROR(INDEX(PP_Grid[#Data],$DE368,102),0)</f>
        <v/>
      </c>
      <c r="DB368">
        <f>IFERROR(INDEX(PP_Grid[#Data],$DE368,103),0)</f>
        <v/>
      </c>
      <c r="DC368">
        <f>IFERROR(INDEX(PP_Grid[#Data],$DE368,104),0)</f>
        <v/>
      </c>
      <c r="DD368">
        <f>IFERROR(INDEX(PP_Grid[#Data],$DE368,105),0)</f>
        <v/>
      </c>
      <c r="DE368" s="7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SUMIFS(M_BOM[RM_Qty_Per_Batch],M_BOM[Intermediate],$B368,M_BOM[RM_Code],$A325)</f>
        <v/>
      </c>
      <c r="D369">
        <f>IFERROR(INDEX(E369:DD369,$F$1),"")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  <c r="DD369">
        <f>$C369*DD368</f>
        <v/>
      </c>
    </row>
    <row r="370">
      <c r="B370" t="inlineStr">
        <is>
          <t>TSP-402</t>
        </is>
      </c>
      <c r="C370" t="inlineStr">
        <is>
          <t>No. of batches</t>
        </is>
      </c>
      <c r="D370">
        <f>IFERROR(INDEX(E370:DD370,$F$1),"")</f>
        <v/>
      </c>
      <c r="E370">
        <f>IFERROR(INDEX(PP_Grid[#Data],$DE370,2),0)</f>
        <v/>
      </c>
      <c r="F370">
        <f>IFERROR(INDEX(PP_Grid[#Data],$DE370,3),0)</f>
        <v/>
      </c>
      <c r="G370">
        <f>IFERROR(INDEX(PP_Grid[#Data],$DE370,4),0)</f>
        <v/>
      </c>
      <c r="H370">
        <f>IFERROR(INDEX(PP_Grid[#Data],$DE370,5),0)</f>
        <v/>
      </c>
      <c r="I370">
        <f>IFERROR(INDEX(PP_Grid[#Data],$DE370,6),0)</f>
        <v/>
      </c>
      <c r="J370">
        <f>IFERROR(INDEX(PP_Grid[#Data],$DE370,7),0)</f>
        <v/>
      </c>
      <c r="K370">
        <f>IFERROR(INDEX(PP_Grid[#Data],$DE370,8),0)</f>
        <v/>
      </c>
      <c r="L370">
        <f>IFERROR(INDEX(PP_Grid[#Data],$DE370,9),0)</f>
        <v/>
      </c>
      <c r="M370">
        <f>IFERROR(INDEX(PP_Grid[#Data],$DE370,10),0)</f>
        <v/>
      </c>
      <c r="N370">
        <f>IFERROR(INDEX(PP_Grid[#Data],$DE370,11),0)</f>
        <v/>
      </c>
      <c r="O370">
        <f>IFERROR(INDEX(PP_Grid[#Data],$DE370,12),0)</f>
        <v/>
      </c>
      <c r="P370">
        <f>IFERROR(INDEX(PP_Grid[#Data],$DE370,13),0)</f>
        <v/>
      </c>
      <c r="Q370">
        <f>IFERROR(INDEX(PP_Grid[#Data],$DE370,14),0)</f>
        <v/>
      </c>
      <c r="R370">
        <f>IFERROR(INDEX(PP_Grid[#Data],$DE370,15),0)</f>
        <v/>
      </c>
      <c r="S370">
        <f>IFERROR(INDEX(PP_Grid[#Data],$DE370,16),0)</f>
        <v/>
      </c>
      <c r="T370">
        <f>IFERROR(INDEX(PP_Grid[#Data],$DE370,17),0)</f>
        <v/>
      </c>
      <c r="U370">
        <f>IFERROR(INDEX(PP_Grid[#Data],$DE370,18),0)</f>
        <v/>
      </c>
      <c r="V370">
        <f>IFERROR(INDEX(PP_Grid[#Data],$DE370,19),0)</f>
        <v/>
      </c>
      <c r="W370">
        <f>IFERROR(INDEX(PP_Grid[#Data],$DE370,20),0)</f>
        <v/>
      </c>
      <c r="X370">
        <f>IFERROR(INDEX(PP_Grid[#Data],$DE370,21),0)</f>
        <v/>
      </c>
      <c r="Y370">
        <f>IFERROR(INDEX(PP_Grid[#Data],$DE370,22),0)</f>
        <v/>
      </c>
      <c r="Z370">
        <f>IFERROR(INDEX(PP_Grid[#Data],$DE370,23),0)</f>
        <v/>
      </c>
      <c r="AA370">
        <f>IFERROR(INDEX(PP_Grid[#Data],$DE370,24),0)</f>
        <v/>
      </c>
      <c r="AB370">
        <f>IFERROR(INDEX(PP_Grid[#Data],$DE370,25),0)</f>
        <v/>
      </c>
      <c r="AC370">
        <f>IFERROR(INDEX(PP_Grid[#Data],$DE370,26),0)</f>
        <v/>
      </c>
      <c r="AD370">
        <f>IFERROR(INDEX(PP_Grid[#Data],$DE370,27),0)</f>
        <v/>
      </c>
      <c r="AE370">
        <f>IFERROR(INDEX(PP_Grid[#Data],$DE370,28),0)</f>
        <v/>
      </c>
      <c r="AF370">
        <f>IFERROR(INDEX(PP_Grid[#Data],$DE370,29),0)</f>
        <v/>
      </c>
      <c r="AG370">
        <f>IFERROR(INDEX(PP_Grid[#Data],$DE370,30),0)</f>
        <v/>
      </c>
      <c r="AH370">
        <f>IFERROR(INDEX(PP_Grid[#Data],$DE370,31),0)</f>
        <v/>
      </c>
      <c r="AI370">
        <f>IFERROR(INDEX(PP_Grid[#Data],$DE370,32),0)</f>
        <v/>
      </c>
      <c r="AJ370">
        <f>IFERROR(INDEX(PP_Grid[#Data],$DE370,33),0)</f>
        <v/>
      </c>
      <c r="AK370">
        <f>IFERROR(INDEX(PP_Grid[#Data],$DE370,34),0)</f>
        <v/>
      </c>
      <c r="AL370">
        <f>IFERROR(INDEX(PP_Grid[#Data],$DE370,35),0)</f>
        <v/>
      </c>
      <c r="AM370">
        <f>IFERROR(INDEX(PP_Grid[#Data],$DE370,36),0)</f>
        <v/>
      </c>
      <c r="AN370">
        <f>IFERROR(INDEX(PP_Grid[#Data],$DE370,37),0)</f>
        <v/>
      </c>
      <c r="AO370">
        <f>IFERROR(INDEX(PP_Grid[#Data],$DE370,38),0)</f>
        <v/>
      </c>
      <c r="AP370">
        <f>IFERROR(INDEX(PP_Grid[#Data],$DE370,39),0)</f>
        <v/>
      </c>
      <c r="AQ370">
        <f>IFERROR(INDEX(PP_Grid[#Data],$DE370,40),0)</f>
        <v/>
      </c>
      <c r="AR370">
        <f>IFERROR(INDEX(PP_Grid[#Data],$DE370,41),0)</f>
        <v/>
      </c>
      <c r="AS370">
        <f>IFERROR(INDEX(PP_Grid[#Data],$DE370,42),0)</f>
        <v/>
      </c>
      <c r="AT370">
        <f>IFERROR(INDEX(PP_Grid[#Data],$DE370,43),0)</f>
        <v/>
      </c>
      <c r="AU370">
        <f>IFERROR(INDEX(PP_Grid[#Data],$DE370,44),0)</f>
        <v/>
      </c>
      <c r="AV370">
        <f>IFERROR(INDEX(PP_Grid[#Data],$DE370,45),0)</f>
        <v/>
      </c>
      <c r="AW370">
        <f>IFERROR(INDEX(PP_Grid[#Data],$DE370,46),0)</f>
        <v/>
      </c>
      <c r="AX370">
        <f>IFERROR(INDEX(PP_Grid[#Data],$DE370,47),0)</f>
        <v/>
      </c>
      <c r="AY370">
        <f>IFERROR(INDEX(PP_Grid[#Data],$DE370,48),0)</f>
        <v/>
      </c>
      <c r="AZ370">
        <f>IFERROR(INDEX(PP_Grid[#Data],$DE370,49),0)</f>
        <v/>
      </c>
      <c r="BA370">
        <f>IFERROR(INDEX(PP_Grid[#Data],$DE370,50),0)</f>
        <v/>
      </c>
      <c r="BB370">
        <f>IFERROR(INDEX(PP_Grid[#Data],$DE370,51),0)</f>
        <v/>
      </c>
      <c r="BC370">
        <f>IFERROR(INDEX(PP_Grid[#Data],$DE370,52),0)</f>
        <v/>
      </c>
      <c r="BD370">
        <f>IFERROR(INDEX(PP_Grid[#Data],$DE370,53),0)</f>
        <v/>
      </c>
      <c r="BE370">
        <f>IFERROR(INDEX(PP_Grid[#Data],$DE370,54),0)</f>
        <v/>
      </c>
      <c r="BF370">
        <f>IFERROR(INDEX(PP_Grid[#Data],$DE370,55),0)</f>
        <v/>
      </c>
      <c r="BG370">
        <f>IFERROR(INDEX(PP_Grid[#Data],$DE370,56),0)</f>
        <v/>
      </c>
      <c r="BH370">
        <f>IFERROR(INDEX(PP_Grid[#Data],$DE370,57),0)</f>
        <v/>
      </c>
      <c r="BI370">
        <f>IFERROR(INDEX(PP_Grid[#Data],$DE370,58),0)</f>
        <v/>
      </c>
      <c r="BJ370">
        <f>IFERROR(INDEX(PP_Grid[#Data],$DE370,59),0)</f>
        <v/>
      </c>
      <c r="BK370">
        <f>IFERROR(INDEX(PP_Grid[#Data],$DE370,60),0)</f>
        <v/>
      </c>
      <c r="BL370">
        <f>IFERROR(INDEX(PP_Grid[#Data],$DE370,61),0)</f>
        <v/>
      </c>
      <c r="BM370">
        <f>IFERROR(INDEX(PP_Grid[#Data],$DE370,62),0)</f>
        <v/>
      </c>
      <c r="BN370">
        <f>IFERROR(INDEX(PP_Grid[#Data],$DE370,63),0)</f>
        <v/>
      </c>
      <c r="BO370">
        <f>IFERROR(INDEX(PP_Grid[#Data],$DE370,64),0)</f>
        <v/>
      </c>
      <c r="BP370">
        <f>IFERROR(INDEX(PP_Grid[#Data],$DE370,65),0)</f>
        <v/>
      </c>
      <c r="BQ370">
        <f>IFERROR(INDEX(PP_Grid[#Data],$DE370,66),0)</f>
        <v/>
      </c>
      <c r="BR370">
        <f>IFERROR(INDEX(PP_Grid[#Data],$DE370,67),0)</f>
        <v/>
      </c>
      <c r="BS370">
        <f>IFERROR(INDEX(PP_Grid[#Data],$DE370,68),0)</f>
        <v/>
      </c>
      <c r="BT370">
        <f>IFERROR(INDEX(PP_Grid[#Data],$DE370,69),0)</f>
        <v/>
      </c>
      <c r="BU370">
        <f>IFERROR(INDEX(PP_Grid[#Data],$DE370,70),0)</f>
        <v/>
      </c>
      <c r="BV370">
        <f>IFERROR(INDEX(PP_Grid[#Data],$DE370,71),0)</f>
        <v/>
      </c>
      <c r="BW370">
        <f>IFERROR(INDEX(PP_Grid[#Data],$DE370,72),0)</f>
        <v/>
      </c>
      <c r="BX370">
        <f>IFERROR(INDEX(PP_Grid[#Data],$DE370,73),0)</f>
        <v/>
      </c>
      <c r="BY370">
        <f>IFERROR(INDEX(PP_Grid[#Data],$DE370,74),0)</f>
        <v/>
      </c>
      <c r="BZ370">
        <f>IFERROR(INDEX(PP_Grid[#Data],$DE370,75),0)</f>
        <v/>
      </c>
      <c r="CA370">
        <f>IFERROR(INDEX(PP_Grid[#Data],$DE370,76),0)</f>
        <v/>
      </c>
      <c r="CB370">
        <f>IFERROR(INDEX(PP_Grid[#Data],$DE370,77),0)</f>
        <v/>
      </c>
      <c r="CC370">
        <f>IFERROR(INDEX(PP_Grid[#Data],$DE370,78),0)</f>
        <v/>
      </c>
      <c r="CD370">
        <f>IFERROR(INDEX(PP_Grid[#Data],$DE370,79),0)</f>
        <v/>
      </c>
      <c r="CE370">
        <f>IFERROR(INDEX(PP_Grid[#Data],$DE370,80),0)</f>
        <v/>
      </c>
      <c r="CF370">
        <f>IFERROR(INDEX(PP_Grid[#Data],$DE370,81),0)</f>
        <v/>
      </c>
      <c r="CG370">
        <f>IFERROR(INDEX(PP_Grid[#Data],$DE370,82),0)</f>
        <v/>
      </c>
      <c r="CH370">
        <f>IFERROR(INDEX(PP_Grid[#Data],$DE370,83),0)</f>
        <v/>
      </c>
      <c r="CI370">
        <f>IFERROR(INDEX(PP_Grid[#Data],$DE370,84),0)</f>
        <v/>
      </c>
      <c r="CJ370">
        <f>IFERROR(INDEX(PP_Grid[#Data],$DE370,85),0)</f>
        <v/>
      </c>
      <c r="CK370">
        <f>IFERROR(INDEX(PP_Grid[#Data],$DE370,86),0)</f>
        <v/>
      </c>
      <c r="CL370">
        <f>IFERROR(INDEX(PP_Grid[#Data],$DE370,87),0)</f>
        <v/>
      </c>
      <c r="CM370">
        <f>IFERROR(INDEX(PP_Grid[#Data],$DE370,88),0)</f>
        <v/>
      </c>
      <c r="CN370">
        <f>IFERROR(INDEX(PP_Grid[#Data],$DE370,89),0)</f>
        <v/>
      </c>
      <c r="CO370">
        <f>IFERROR(INDEX(PP_Grid[#Data],$DE370,90),0)</f>
        <v/>
      </c>
      <c r="CP370">
        <f>IFERROR(INDEX(PP_Grid[#Data],$DE370,91),0)</f>
        <v/>
      </c>
      <c r="CQ370">
        <f>IFERROR(INDEX(PP_Grid[#Data],$DE370,92),0)</f>
        <v/>
      </c>
      <c r="CR370">
        <f>IFERROR(INDEX(PP_Grid[#Data],$DE370,93),0)</f>
        <v/>
      </c>
      <c r="CS370">
        <f>IFERROR(INDEX(PP_Grid[#Data],$DE370,94),0)</f>
        <v/>
      </c>
      <c r="CT370">
        <f>IFERROR(INDEX(PP_Grid[#Data],$DE370,95),0)</f>
        <v/>
      </c>
      <c r="CU370">
        <f>IFERROR(INDEX(PP_Grid[#Data],$DE370,96),0)</f>
        <v/>
      </c>
      <c r="CV370">
        <f>IFERROR(INDEX(PP_Grid[#Data],$DE370,97),0)</f>
        <v/>
      </c>
      <c r="CW370">
        <f>IFERROR(INDEX(PP_Grid[#Data],$DE370,98),0)</f>
        <v/>
      </c>
      <c r="CX370">
        <f>IFERROR(INDEX(PP_Grid[#Data],$DE370,99),0)</f>
        <v/>
      </c>
      <c r="CY370">
        <f>IFERROR(INDEX(PP_Grid[#Data],$DE370,100),0)</f>
        <v/>
      </c>
      <c r="CZ370">
        <f>IFERROR(INDEX(PP_Grid[#Data],$DE370,101),0)</f>
        <v/>
      </c>
      <c r="DA370">
        <f>IFERROR(INDEX(PP_Grid[#Data],$DE370,102),0)</f>
        <v/>
      </c>
      <c r="DB370">
        <f>IFERROR(INDEX(PP_Grid[#Data],$DE370,103),0)</f>
        <v/>
      </c>
      <c r="DC370">
        <f>IFERROR(INDEX(PP_Grid[#Data],$DE370,104),0)</f>
        <v/>
      </c>
      <c r="DD370">
        <f>IFERROR(INDEX(PP_Grid[#Data],$DE370,105),0)</f>
        <v/>
      </c>
      <c r="DE370" s="7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SUMIFS(M_BOM[RM_Qty_Per_Batch],M_BOM[Intermediate],$B370,M_BOM[RM_Code],$A325)</f>
        <v/>
      </c>
      <c r="D371">
        <f>IFERROR(INDEX(E371:DD371,$F$1),"")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  <c r="DD371">
        <f>$C371*DD370</f>
        <v/>
      </c>
    </row>
    <row r="372">
      <c r="B372" t="inlineStr">
        <is>
          <t>TSP-403</t>
        </is>
      </c>
      <c r="C372" t="inlineStr">
        <is>
          <t>No. of batches</t>
        </is>
      </c>
      <c r="D372">
        <f>IFERROR(INDEX(E372:DD372,$F$1),"")</f>
        <v/>
      </c>
      <c r="E372">
        <f>IFERROR(INDEX(PP_Grid[#Data],$DE372,2),0)</f>
        <v/>
      </c>
      <c r="F372">
        <f>IFERROR(INDEX(PP_Grid[#Data],$DE372,3),0)</f>
        <v/>
      </c>
      <c r="G372">
        <f>IFERROR(INDEX(PP_Grid[#Data],$DE372,4),0)</f>
        <v/>
      </c>
      <c r="H372">
        <f>IFERROR(INDEX(PP_Grid[#Data],$DE372,5),0)</f>
        <v/>
      </c>
      <c r="I372">
        <f>IFERROR(INDEX(PP_Grid[#Data],$DE372,6),0)</f>
        <v/>
      </c>
      <c r="J372">
        <f>IFERROR(INDEX(PP_Grid[#Data],$DE372,7),0)</f>
        <v/>
      </c>
      <c r="K372">
        <f>IFERROR(INDEX(PP_Grid[#Data],$DE372,8),0)</f>
        <v/>
      </c>
      <c r="L372">
        <f>IFERROR(INDEX(PP_Grid[#Data],$DE372,9),0)</f>
        <v/>
      </c>
      <c r="M372">
        <f>IFERROR(INDEX(PP_Grid[#Data],$DE372,10),0)</f>
        <v/>
      </c>
      <c r="N372">
        <f>IFERROR(INDEX(PP_Grid[#Data],$DE372,11),0)</f>
        <v/>
      </c>
      <c r="O372">
        <f>IFERROR(INDEX(PP_Grid[#Data],$DE372,12),0)</f>
        <v/>
      </c>
      <c r="P372">
        <f>IFERROR(INDEX(PP_Grid[#Data],$DE372,13),0)</f>
        <v/>
      </c>
      <c r="Q372">
        <f>IFERROR(INDEX(PP_Grid[#Data],$DE372,14),0)</f>
        <v/>
      </c>
      <c r="R372">
        <f>IFERROR(INDEX(PP_Grid[#Data],$DE372,15),0)</f>
        <v/>
      </c>
      <c r="S372">
        <f>IFERROR(INDEX(PP_Grid[#Data],$DE372,16),0)</f>
        <v/>
      </c>
      <c r="T372">
        <f>IFERROR(INDEX(PP_Grid[#Data],$DE372,17),0)</f>
        <v/>
      </c>
      <c r="U372">
        <f>IFERROR(INDEX(PP_Grid[#Data],$DE372,18),0)</f>
        <v/>
      </c>
      <c r="V372">
        <f>IFERROR(INDEX(PP_Grid[#Data],$DE372,19),0)</f>
        <v/>
      </c>
      <c r="W372">
        <f>IFERROR(INDEX(PP_Grid[#Data],$DE372,20),0)</f>
        <v/>
      </c>
      <c r="X372">
        <f>IFERROR(INDEX(PP_Grid[#Data],$DE372,21),0)</f>
        <v/>
      </c>
      <c r="Y372">
        <f>IFERROR(INDEX(PP_Grid[#Data],$DE372,22),0)</f>
        <v/>
      </c>
      <c r="Z372">
        <f>IFERROR(INDEX(PP_Grid[#Data],$DE372,23),0)</f>
        <v/>
      </c>
      <c r="AA372">
        <f>IFERROR(INDEX(PP_Grid[#Data],$DE372,24),0)</f>
        <v/>
      </c>
      <c r="AB372">
        <f>IFERROR(INDEX(PP_Grid[#Data],$DE372,25),0)</f>
        <v/>
      </c>
      <c r="AC372">
        <f>IFERROR(INDEX(PP_Grid[#Data],$DE372,26),0)</f>
        <v/>
      </c>
      <c r="AD372">
        <f>IFERROR(INDEX(PP_Grid[#Data],$DE372,27),0)</f>
        <v/>
      </c>
      <c r="AE372">
        <f>IFERROR(INDEX(PP_Grid[#Data],$DE372,28),0)</f>
        <v/>
      </c>
      <c r="AF372">
        <f>IFERROR(INDEX(PP_Grid[#Data],$DE372,29),0)</f>
        <v/>
      </c>
      <c r="AG372">
        <f>IFERROR(INDEX(PP_Grid[#Data],$DE372,30),0)</f>
        <v/>
      </c>
      <c r="AH372">
        <f>IFERROR(INDEX(PP_Grid[#Data],$DE372,31),0)</f>
        <v/>
      </c>
      <c r="AI372">
        <f>IFERROR(INDEX(PP_Grid[#Data],$DE372,32),0)</f>
        <v/>
      </c>
      <c r="AJ372">
        <f>IFERROR(INDEX(PP_Grid[#Data],$DE372,33),0)</f>
        <v/>
      </c>
      <c r="AK372">
        <f>IFERROR(INDEX(PP_Grid[#Data],$DE372,34),0)</f>
        <v/>
      </c>
      <c r="AL372">
        <f>IFERROR(INDEX(PP_Grid[#Data],$DE372,35),0)</f>
        <v/>
      </c>
      <c r="AM372">
        <f>IFERROR(INDEX(PP_Grid[#Data],$DE372,36),0)</f>
        <v/>
      </c>
      <c r="AN372">
        <f>IFERROR(INDEX(PP_Grid[#Data],$DE372,37),0)</f>
        <v/>
      </c>
      <c r="AO372">
        <f>IFERROR(INDEX(PP_Grid[#Data],$DE372,38),0)</f>
        <v/>
      </c>
      <c r="AP372">
        <f>IFERROR(INDEX(PP_Grid[#Data],$DE372,39),0)</f>
        <v/>
      </c>
      <c r="AQ372">
        <f>IFERROR(INDEX(PP_Grid[#Data],$DE372,40),0)</f>
        <v/>
      </c>
      <c r="AR372">
        <f>IFERROR(INDEX(PP_Grid[#Data],$DE372,41),0)</f>
        <v/>
      </c>
      <c r="AS372">
        <f>IFERROR(INDEX(PP_Grid[#Data],$DE372,42),0)</f>
        <v/>
      </c>
      <c r="AT372">
        <f>IFERROR(INDEX(PP_Grid[#Data],$DE372,43),0)</f>
        <v/>
      </c>
      <c r="AU372">
        <f>IFERROR(INDEX(PP_Grid[#Data],$DE372,44),0)</f>
        <v/>
      </c>
      <c r="AV372">
        <f>IFERROR(INDEX(PP_Grid[#Data],$DE372,45),0)</f>
        <v/>
      </c>
      <c r="AW372">
        <f>IFERROR(INDEX(PP_Grid[#Data],$DE372,46),0)</f>
        <v/>
      </c>
      <c r="AX372">
        <f>IFERROR(INDEX(PP_Grid[#Data],$DE372,47),0)</f>
        <v/>
      </c>
      <c r="AY372">
        <f>IFERROR(INDEX(PP_Grid[#Data],$DE372,48),0)</f>
        <v/>
      </c>
      <c r="AZ372">
        <f>IFERROR(INDEX(PP_Grid[#Data],$DE372,49),0)</f>
        <v/>
      </c>
      <c r="BA372">
        <f>IFERROR(INDEX(PP_Grid[#Data],$DE372,50),0)</f>
        <v/>
      </c>
      <c r="BB372">
        <f>IFERROR(INDEX(PP_Grid[#Data],$DE372,51),0)</f>
        <v/>
      </c>
      <c r="BC372">
        <f>IFERROR(INDEX(PP_Grid[#Data],$DE372,52),0)</f>
        <v/>
      </c>
      <c r="BD372">
        <f>IFERROR(INDEX(PP_Grid[#Data],$DE372,53),0)</f>
        <v/>
      </c>
      <c r="BE372">
        <f>IFERROR(INDEX(PP_Grid[#Data],$DE372,54),0)</f>
        <v/>
      </c>
      <c r="BF372">
        <f>IFERROR(INDEX(PP_Grid[#Data],$DE372,55),0)</f>
        <v/>
      </c>
      <c r="BG372">
        <f>IFERROR(INDEX(PP_Grid[#Data],$DE372,56),0)</f>
        <v/>
      </c>
      <c r="BH372">
        <f>IFERROR(INDEX(PP_Grid[#Data],$DE372,57),0)</f>
        <v/>
      </c>
      <c r="BI372">
        <f>IFERROR(INDEX(PP_Grid[#Data],$DE372,58),0)</f>
        <v/>
      </c>
      <c r="BJ372">
        <f>IFERROR(INDEX(PP_Grid[#Data],$DE372,59),0)</f>
        <v/>
      </c>
      <c r="BK372">
        <f>IFERROR(INDEX(PP_Grid[#Data],$DE372,60),0)</f>
        <v/>
      </c>
      <c r="BL372">
        <f>IFERROR(INDEX(PP_Grid[#Data],$DE372,61),0)</f>
        <v/>
      </c>
      <c r="BM372">
        <f>IFERROR(INDEX(PP_Grid[#Data],$DE372,62),0)</f>
        <v/>
      </c>
      <c r="BN372">
        <f>IFERROR(INDEX(PP_Grid[#Data],$DE372,63),0)</f>
        <v/>
      </c>
      <c r="BO372">
        <f>IFERROR(INDEX(PP_Grid[#Data],$DE372,64),0)</f>
        <v/>
      </c>
      <c r="BP372">
        <f>IFERROR(INDEX(PP_Grid[#Data],$DE372,65),0)</f>
        <v/>
      </c>
      <c r="BQ372">
        <f>IFERROR(INDEX(PP_Grid[#Data],$DE372,66),0)</f>
        <v/>
      </c>
      <c r="BR372">
        <f>IFERROR(INDEX(PP_Grid[#Data],$DE372,67),0)</f>
        <v/>
      </c>
      <c r="BS372">
        <f>IFERROR(INDEX(PP_Grid[#Data],$DE372,68),0)</f>
        <v/>
      </c>
      <c r="BT372">
        <f>IFERROR(INDEX(PP_Grid[#Data],$DE372,69),0)</f>
        <v/>
      </c>
      <c r="BU372">
        <f>IFERROR(INDEX(PP_Grid[#Data],$DE372,70),0)</f>
        <v/>
      </c>
      <c r="BV372">
        <f>IFERROR(INDEX(PP_Grid[#Data],$DE372,71),0)</f>
        <v/>
      </c>
      <c r="BW372">
        <f>IFERROR(INDEX(PP_Grid[#Data],$DE372,72),0)</f>
        <v/>
      </c>
      <c r="BX372">
        <f>IFERROR(INDEX(PP_Grid[#Data],$DE372,73),0)</f>
        <v/>
      </c>
      <c r="BY372">
        <f>IFERROR(INDEX(PP_Grid[#Data],$DE372,74),0)</f>
        <v/>
      </c>
      <c r="BZ372">
        <f>IFERROR(INDEX(PP_Grid[#Data],$DE372,75),0)</f>
        <v/>
      </c>
      <c r="CA372">
        <f>IFERROR(INDEX(PP_Grid[#Data],$DE372,76),0)</f>
        <v/>
      </c>
      <c r="CB372">
        <f>IFERROR(INDEX(PP_Grid[#Data],$DE372,77),0)</f>
        <v/>
      </c>
      <c r="CC372">
        <f>IFERROR(INDEX(PP_Grid[#Data],$DE372,78),0)</f>
        <v/>
      </c>
      <c r="CD372">
        <f>IFERROR(INDEX(PP_Grid[#Data],$DE372,79),0)</f>
        <v/>
      </c>
      <c r="CE372">
        <f>IFERROR(INDEX(PP_Grid[#Data],$DE372,80),0)</f>
        <v/>
      </c>
      <c r="CF372">
        <f>IFERROR(INDEX(PP_Grid[#Data],$DE372,81),0)</f>
        <v/>
      </c>
      <c r="CG372">
        <f>IFERROR(INDEX(PP_Grid[#Data],$DE372,82),0)</f>
        <v/>
      </c>
      <c r="CH372">
        <f>IFERROR(INDEX(PP_Grid[#Data],$DE372,83),0)</f>
        <v/>
      </c>
      <c r="CI372">
        <f>IFERROR(INDEX(PP_Grid[#Data],$DE372,84),0)</f>
        <v/>
      </c>
      <c r="CJ372">
        <f>IFERROR(INDEX(PP_Grid[#Data],$DE372,85),0)</f>
        <v/>
      </c>
      <c r="CK372">
        <f>IFERROR(INDEX(PP_Grid[#Data],$DE372,86),0)</f>
        <v/>
      </c>
      <c r="CL372">
        <f>IFERROR(INDEX(PP_Grid[#Data],$DE372,87),0)</f>
        <v/>
      </c>
      <c r="CM372">
        <f>IFERROR(INDEX(PP_Grid[#Data],$DE372,88),0)</f>
        <v/>
      </c>
      <c r="CN372">
        <f>IFERROR(INDEX(PP_Grid[#Data],$DE372,89),0)</f>
        <v/>
      </c>
      <c r="CO372">
        <f>IFERROR(INDEX(PP_Grid[#Data],$DE372,90),0)</f>
        <v/>
      </c>
      <c r="CP372">
        <f>IFERROR(INDEX(PP_Grid[#Data],$DE372,91),0)</f>
        <v/>
      </c>
      <c r="CQ372">
        <f>IFERROR(INDEX(PP_Grid[#Data],$DE372,92),0)</f>
        <v/>
      </c>
      <c r="CR372">
        <f>IFERROR(INDEX(PP_Grid[#Data],$DE372,93),0)</f>
        <v/>
      </c>
      <c r="CS372">
        <f>IFERROR(INDEX(PP_Grid[#Data],$DE372,94),0)</f>
        <v/>
      </c>
      <c r="CT372">
        <f>IFERROR(INDEX(PP_Grid[#Data],$DE372,95),0)</f>
        <v/>
      </c>
      <c r="CU372">
        <f>IFERROR(INDEX(PP_Grid[#Data],$DE372,96),0)</f>
        <v/>
      </c>
      <c r="CV372">
        <f>IFERROR(INDEX(PP_Grid[#Data],$DE372,97),0)</f>
        <v/>
      </c>
      <c r="CW372">
        <f>IFERROR(INDEX(PP_Grid[#Data],$DE372,98),0)</f>
        <v/>
      </c>
      <c r="CX372">
        <f>IFERROR(INDEX(PP_Grid[#Data],$DE372,99),0)</f>
        <v/>
      </c>
      <c r="CY372">
        <f>IFERROR(INDEX(PP_Grid[#Data],$DE372,100),0)</f>
        <v/>
      </c>
      <c r="CZ372">
        <f>IFERROR(INDEX(PP_Grid[#Data],$DE372,101),0)</f>
        <v/>
      </c>
      <c r="DA372">
        <f>IFERROR(INDEX(PP_Grid[#Data],$DE372,102),0)</f>
        <v/>
      </c>
      <c r="DB372">
        <f>IFERROR(INDEX(PP_Grid[#Data],$DE372,103),0)</f>
        <v/>
      </c>
      <c r="DC372">
        <f>IFERROR(INDEX(PP_Grid[#Data],$DE372,104),0)</f>
        <v/>
      </c>
      <c r="DD372">
        <f>IFERROR(INDEX(PP_Grid[#Data],$DE372,105),0)</f>
        <v/>
      </c>
      <c r="DE372" s="7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SUMIFS(M_BOM[RM_Qty_Per_Batch],M_BOM[Intermediate],$B372,M_BOM[RM_Code],$A325)</f>
        <v/>
      </c>
      <c r="D373">
        <f>IFERROR(INDEX(E373:DD373,$F$1),"")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  <c r="DD373">
        <f>$C373*DD372</f>
        <v/>
      </c>
    </row>
    <row r="374">
      <c r="B374" t="inlineStr">
        <is>
          <t>TSP-404</t>
        </is>
      </c>
      <c r="C374" t="inlineStr">
        <is>
          <t>No. of batches</t>
        </is>
      </c>
      <c r="D374">
        <f>IFERROR(INDEX(E374:DD374,$F$1),"")</f>
        <v/>
      </c>
      <c r="E374">
        <f>IFERROR(INDEX(PP_Grid[#Data],$DE374,2),0)</f>
        <v/>
      </c>
      <c r="F374">
        <f>IFERROR(INDEX(PP_Grid[#Data],$DE374,3),0)</f>
        <v/>
      </c>
      <c r="G374">
        <f>IFERROR(INDEX(PP_Grid[#Data],$DE374,4),0)</f>
        <v/>
      </c>
      <c r="H374">
        <f>IFERROR(INDEX(PP_Grid[#Data],$DE374,5),0)</f>
        <v/>
      </c>
      <c r="I374">
        <f>IFERROR(INDEX(PP_Grid[#Data],$DE374,6),0)</f>
        <v/>
      </c>
      <c r="J374">
        <f>IFERROR(INDEX(PP_Grid[#Data],$DE374,7),0)</f>
        <v/>
      </c>
      <c r="K374">
        <f>IFERROR(INDEX(PP_Grid[#Data],$DE374,8),0)</f>
        <v/>
      </c>
      <c r="L374">
        <f>IFERROR(INDEX(PP_Grid[#Data],$DE374,9),0)</f>
        <v/>
      </c>
      <c r="M374">
        <f>IFERROR(INDEX(PP_Grid[#Data],$DE374,10),0)</f>
        <v/>
      </c>
      <c r="N374">
        <f>IFERROR(INDEX(PP_Grid[#Data],$DE374,11),0)</f>
        <v/>
      </c>
      <c r="O374">
        <f>IFERROR(INDEX(PP_Grid[#Data],$DE374,12),0)</f>
        <v/>
      </c>
      <c r="P374">
        <f>IFERROR(INDEX(PP_Grid[#Data],$DE374,13),0)</f>
        <v/>
      </c>
      <c r="Q374">
        <f>IFERROR(INDEX(PP_Grid[#Data],$DE374,14),0)</f>
        <v/>
      </c>
      <c r="R374">
        <f>IFERROR(INDEX(PP_Grid[#Data],$DE374,15),0)</f>
        <v/>
      </c>
      <c r="S374">
        <f>IFERROR(INDEX(PP_Grid[#Data],$DE374,16),0)</f>
        <v/>
      </c>
      <c r="T374">
        <f>IFERROR(INDEX(PP_Grid[#Data],$DE374,17),0)</f>
        <v/>
      </c>
      <c r="U374">
        <f>IFERROR(INDEX(PP_Grid[#Data],$DE374,18),0)</f>
        <v/>
      </c>
      <c r="V374">
        <f>IFERROR(INDEX(PP_Grid[#Data],$DE374,19),0)</f>
        <v/>
      </c>
      <c r="W374">
        <f>IFERROR(INDEX(PP_Grid[#Data],$DE374,20),0)</f>
        <v/>
      </c>
      <c r="X374">
        <f>IFERROR(INDEX(PP_Grid[#Data],$DE374,21),0)</f>
        <v/>
      </c>
      <c r="Y374">
        <f>IFERROR(INDEX(PP_Grid[#Data],$DE374,22),0)</f>
        <v/>
      </c>
      <c r="Z374">
        <f>IFERROR(INDEX(PP_Grid[#Data],$DE374,23),0)</f>
        <v/>
      </c>
      <c r="AA374">
        <f>IFERROR(INDEX(PP_Grid[#Data],$DE374,24),0)</f>
        <v/>
      </c>
      <c r="AB374">
        <f>IFERROR(INDEX(PP_Grid[#Data],$DE374,25),0)</f>
        <v/>
      </c>
      <c r="AC374">
        <f>IFERROR(INDEX(PP_Grid[#Data],$DE374,26),0)</f>
        <v/>
      </c>
      <c r="AD374">
        <f>IFERROR(INDEX(PP_Grid[#Data],$DE374,27),0)</f>
        <v/>
      </c>
      <c r="AE374">
        <f>IFERROR(INDEX(PP_Grid[#Data],$DE374,28),0)</f>
        <v/>
      </c>
      <c r="AF374">
        <f>IFERROR(INDEX(PP_Grid[#Data],$DE374,29),0)</f>
        <v/>
      </c>
      <c r="AG374">
        <f>IFERROR(INDEX(PP_Grid[#Data],$DE374,30),0)</f>
        <v/>
      </c>
      <c r="AH374">
        <f>IFERROR(INDEX(PP_Grid[#Data],$DE374,31),0)</f>
        <v/>
      </c>
      <c r="AI374">
        <f>IFERROR(INDEX(PP_Grid[#Data],$DE374,32),0)</f>
        <v/>
      </c>
      <c r="AJ374">
        <f>IFERROR(INDEX(PP_Grid[#Data],$DE374,33),0)</f>
        <v/>
      </c>
      <c r="AK374">
        <f>IFERROR(INDEX(PP_Grid[#Data],$DE374,34),0)</f>
        <v/>
      </c>
      <c r="AL374">
        <f>IFERROR(INDEX(PP_Grid[#Data],$DE374,35),0)</f>
        <v/>
      </c>
      <c r="AM374">
        <f>IFERROR(INDEX(PP_Grid[#Data],$DE374,36),0)</f>
        <v/>
      </c>
      <c r="AN374">
        <f>IFERROR(INDEX(PP_Grid[#Data],$DE374,37),0)</f>
        <v/>
      </c>
      <c r="AO374">
        <f>IFERROR(INDEX(PP_Grid[#Data],$DE374,38),0)</f>
        <v/>
      </c>
      <c r="AP374">
        <f>IFERROR(INDEX(PP_Grid[#Data],$DE374,39),0)</f>
        <v/>
      </c>
      <c r="AQ374">
        <f>IFERROR(INDEX(PP_Grid[#Data],$DE374,40),0)</f>
        <v/>
      </c>
      <c r="AR374">
        <f>IFERROR(INDEX(PP_Grid[#Data],$DE374,41),0)</f>
        <v/>
      </c>
      <c r="AS374">
        <f>IFERROR(INDEX(PP_Grid[#Data],$DE374,42),0)</f>
        <v/>
      </c>
      <c r="AT374">
        <f>IFERROR(INDEX(PP_Grid[#Data],$DE374,43),0)</f>
        <v/>
      </c>
      <c r="AU374">
        <f>IFERROR(INDEX(PP_Grid[#Data],$DE374,44),0)</f>
        <v/>
      </c>
      <c r="AV374">
        <f>IFERROR(INDEX(PP_Grid[#Data],$DE374,45),0)</f>
        <v/>
      </c>
      <c r="AW374">
        <f>IFERROR(INDEX(PP_Grid[#Data],$DE374,46),0)</f>
        <v/>
      </c>
      <c r="AX374">
        <f>IFERROR(INDEX(PP_Grid[#Data],$DE374,47),0)</f>
        <v/>
      </c>
      <c r="AY374">
        <f>IFERROR(INDEX(PP_Grid[#Data],$DE374,48),0)</f>
        <v/>
      </c>
      <c r="AZ374">
        <f>IFERROR(INDEX(PP_Grid[#Data],$DE374,49),0)</f>
        <v/>
      </c>
      <c r="BA374">
        <f>IFERROR(INDEX(PP_Grid[#Data],$DE374,50),0)</f>
        <v/>
      </c>
      <c r="BB374">
        <f>IFERROR(INDEX(PP_Grid[#Data],$DE374,51),0)</f>
        <v/>
      </c>
      <c r="BC374">
        <f>IFERROR(INDEX(PP_Grid[#Data],$DE374,52),0)</f>
        <v/>
      </c>
      <c r="BD374">
        <f>IFERROR(INDEX(PP_Grid[#Data],$DE374,53),0)</f>
        <v/>
      </c>
      <c r="BE374">
        <f>IFERROR(INDEX(PP_Grid[#Data],$DE374,54),0)</f>
        <v/>
      </c>
      <c r="BF374">
        <f>IFERROR(INDEX(PP_Grid[#Data],$DE374,55),0)</f>
        <v/>
      </c>
      <c r="BG374">
        <f>IFERROR(INDEX(PP_Grid[#Data],$DE374,56),0)</f>
        <v/>
      </c>
      <c r="BH374">
        <f>IFERROR(INDEX(PP_Grid[#Data],$DE374,57),0)</f>
        <v/>
      </c>
      <c r="BI374">
        <f>IFERROR(INDEX(PP_Grid[#Data],$DE374,58),0)</f>
        <v/>
      </c>
      <c r="BJ374">
        <f>IFERROR(INDEX(PP_Grid[#Data],$DE374,59),0)</f>
        <v/>
      </c>
      <c r="BK374">
        <f>IFERROR(INDEX(PP_Grid[#Data],$DE374,60),0)</f>
        <v/>
      </c>
      <c r="BL374">
        <f>IFERROR(INDEX(PP_Grid[#Data],$DE374,61),0)</f>
        <v/>
      </c>
      <c r="BM374">
        <f>IFERROR(INDEX(PP_Grid[#Data],$DE374,62),0)</f>
        <v/>
      </c>
      <c r="BN374">
        <f>IFERROR(INDEX(PP_Grid[#Data],$DE374,63),0)</f>
        <v/>
      </c>
      <c r="BO374">
        <f>IFERROR(INDEX(PP_Grid[#Data],$DE374,64),0)</f>
        <v/>
      </c>
      <c r="BP374">
        <f>IFERROR(INDEX(PP_Grid[#Data],$DE374,65),0)</f>
        <v/>
      </c>
      <c r="BQ374">
        <f>IFERROR(INDEX(PP_Grid[#Data],$DE374,66),0)</f>
        <v/>
      </c>
      <c r="BR374">
        <f>IFERROR(INDEX(PP_Grid[#Data],$DE374,67),0)</f>
        <v/>
      </c>
      <c r="BS374">
        <f>IFERROR(INDEX(PP_Grid[#Data],$DE374,68),0)</f>
        <v/>
      </c>
      <c r="BT374">
        <f>IFERROR(INDEX(PP_Grid[#Data],$DE374,69),0)</f>
        <v/>
      </c>
      <c r="BU374">
        <f>IFERROR(INDEX(PP_Grid[#Data],$DE374,70),0)</f>
        <v/>
      </c>
      <c r="BV374">
        <f>IFERROR(INDEX(PP_Grid[#Data],$DE374,71),0)</f>
        <v/>
      </c>
      <c r="BW374">
        <f>IFERROR(INDEX(PP_Grid[#Data],$DE374,72),0)</f>
        <v/>
      </c>
      <c r="BX374">
        <f>IFERROR(INDEX(PP_Grid[#Data],$DE374,73),0)</f>
        <v/>
      </c>
      <c r="BY374">
        <f>IFERROR(INDEX(PP_Grid[#Data],$DE374,74),0)</f>
        <v/>
      </c>
      <c r="BZ374">
        <f>IFERROR(INDEX(PP_Grid[#Data],$DE374,75),0)</f>
        <v/>
      </c>
      <c r="CA374">
        <f>IFERROR(INDEX(PP_Grid[#Data],$DE374,76),0)</f>
        <v/>
      </c>
      <c r="CB374">
        <f>IFERROR(INDEX(PP_Grid[#Data],$DE374,77),0)</f>
        <v/>
      </c>
      <c r="CC374">
        <f>IFERROR(INDEX(PP_Grid[#Data],$DE374,78),0)</f>
        <v/>
      </c>
      <c r="CD374">
        <f>IFERROR(INDEX(PP_Grid[#Data],$DE374,79),0)</f>
        <v/>
      </c>
      <c r="CE374">
        <f>IFERROR(INDEX(PP_Grid[#Data],$DE374,80),0)</f>
        <v/>
      </c>
      <c r="CF374">
        <f>IFERROR(INDEX(PP_Grid[#Data],$DE374,81),0)</f>
        <v/>
      </c>
      <c r="CG374">
        <f>IFERROR(INDEX(PP_Grid[#Data],$DE374,82),0)</f>
        <v/>
      </c>
      <c r="CH374">
        <f>IFERROR(INDEX(PP_Grid[#Data],$DE374,83),0)</f>
        <v/>
      </c>
      <c r="CI374">
        <f>IFERROR(INDEX(PP_Grid[#Data],$DE374,84),0)</f>
        <v/>
      </c>
      <c r="CJ374">
        <f>IFERROR(INDEX(PP_Grid[#Data],$DE374,85),0)</f>
        <v/>
      </c>
      <c r="CK374">
        <f>IFERROR(INDEX(PP_Grid[#Data],$DE374,86),0)</f>
        <v/>
      </c>
      <c r="CL374">
        <f>IFERROR(INDEX(PP_Grid[#Data],$DE374,87),0)</f>
        <v/>
      </c>
      <c r="CM374">
        <f>IFERROR(INDEX(PP_Grid[#Data],$DE374,88),0)</f>
        <v/>
      </c>
      <c r="CN374">
        <f>IFERROR(INDEX(PP_Grid[#Data],$DE374,89),0)</f>
        <v/>
      </c>
      <c r="CO374">
        <f>IFERROR(INDEX(PP_Grid[#Data],$DE374,90),0)</f>
        <v/>
      </c>
      <c r="CP374">
        <f>IFERROR(INDEX(PP_Grid[#Data],$DE374,91),0)</f>
        <v/>
      </c>
      <c r="CQ374">
        <f>IFERROR(INDEX(PP_Grid[#Data],$DE374,92),0)</f>
        <v/>
      </c>
      <c r="CR374">
        <f>IFERROR(INDEX(PP_Grid[#Data],$DE374,93),0)</f>
        <v/>
      </c>
      <c r="CS374">
        <f>IFERROR(INDEX(PP_Grid[#Data],$DE374,94),0)</f>
        <v/>
      </c>
      <c r="CT374">
        <f>IFERROR(INDEX(PP_Grid[#Data],$DE374,95),0)</f>
        <v/>
      </c>
      <c r="CU374">
        <f>IFERROR(INDEX(PP_Grid[#Data],$DE374,96),0)</f>
        <v/>
      </c>
      <c r="CV374">
        <f>IFERROR(INDEX(PP_Grid[#Data],$DE374,97),0)</f>
        <v/>
      </c>
      <c r="CW374">
        <f>IFERROR(INDEX(PP_Grid[#Data],$DE374,98),0)</f>
        <v/>
      </c>
      <c r="CX374">
        <f>IFERROR(INDEX(PP_Grid[#Data],$DE374,99),0)</f>
        <v/>
      </c>
      <c r="CY374">
        <f>IFERROR(INDEX(PP_Grid[#Data],$DE374,100),0)</f>
        <v/>
      </c>
      <c r="CZ374">
        <f>IFERROR(INDEX(PP_Grid[#Data],$DE374,101),0)</f>
        <v/>
      </c>
      <c r="DA374">
        <f>IFERROR(INDEX(PP_Grid[#Data],$DE374,102),0)</f>
        <v/>
      </c>
      <c r="DB374">
        <f>IFERROR(INDEX(PP_Grid[#Data],$DE374,103),0)</f>
        <v/>
      </c>
      <c r="DC374">
        <f>IFERROR(INDEX(PP_Grid[#Data],$DE374,104),0)</f>
        <v/>
      </c>
      <c r="DD374">
        <f>IFERROR(INDEX(PP_Grid[#Data],$DE374,105),0)</f>
        <v/>
      </c>
      <c r="DE374" s="7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SUMIFS(M_BOM[RM_Qty_Per_Batch],M_BOM[Intermediate],$B374,M_BOM[RM_Code],$A325)</f>
        <v/>
      </c>
      <c r="D375">
        <f>IFERROR(INDEX(E375:DD375,$F$1),"")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  <c r="DD375">
        <f>$C375*DD374</f>
        <v/>
      </c>
    </row>
    <row r="376">
      <c r="B376" t="inlineStr">
        <is>
          <t>TSP-405</t>
        </is>
      </c>
      <c r="C376" t="inlineStr">
        <is>
          <t>No. of batches</t>
        </is>
      </c>
      <c r="D376">
        <f>IFERROR(INDEX(E376:DD376,$F$1),"")</f>
        <v/>
      </c>
      <c r="E376">
        <f>IFERROR(INDEX(PP_Grid[#Data],$DE376,2),0)</f>
        <v/>
      </c>
      <c r="F376">
        <f>IFERROR(INDEX(PP_Grid[#Data],$DE376,3),0)</f>
        <v/>
      </c>
      <c r="G376">
        <f>IFERROR(INDEX(PP_Grid[#Data],$DE376,4),0)</f>
        <v/>
      </c>
      <c r="H376">
        <f>IFERROR(INDEX(PP_Grid[#Data],$DE376,5),0)</f>
        <v/>
      </c>
      <c r="I376">
        <f>IFERROR(INDEX(PP_Grid[#Data],$DE376,6),0)</f>
        <v/>
      </c>
      <c r="J376">
        <f>IFERROR(INDEX(PP_Grid[#Data],$DE376,7),0)</f>
        <v/>
      </c>
      <c r="K376">
        <f>IFERROR(INDEX(PP_Grid[#Data],$DE376,8),0)</f>
        <v/>
      </c>
      <c r="L376">
        <f>IFERROR(INDEX(PP_Grid[#Data],$DE376,9),0)</f>
        <v/>
      </c>
      <c r="M376">
        <f>IFERROR(INDEX(PP_Grid[#Data],$DE376,10),0)</f>
        <v/>
      </c>
      <c r="N376">
        <f>IFERROR(INDEX(PP_Grid[#Data],$DE376,11),0)</f>
        <v/>
      </c>
      <c r="O376">
        <f>IFERROR(INDEX(PP_Grid[#Data],$DE376,12),0)</f>
        <v/>
      </c>
      <c r="P376">
        <f>IFERROR(INDEX(PP_Grid[#Data],$DE376,13),0)</f>
        <v/>
      </c>
      <c r="Q376">
        <f>IFERROR(INDEX(PP_Grid[#Data],$DE376,14),0)</f>
        <v/>
      </c>
      <c r="R376">
        <f>IFERROR(INDEX(PP_Grid[#Data],$DE376,15),0)</f>
        <v/>
      </c>
      <c r="S376">
        <f>IFERROR(INDEX(PP_Grid[#Data],$DE376,16),0)</f>
        <v/>
      </c>
      <c r="T376">
        <f>IFERROR(INDEX(PP_Grid[#Data],$DE376,17),0)</f>
        <v/>
      </c>
      <c r="U376">
        <f>IFERROR(INDEX(PP_Grid[#Data],$DE376,18),0)</f>
        <v/>
      </c>
      <c r="V376">
        <f>IFERROR(INDEX(PP_Grid[#Data],$DE376,19),0)</f>
        <v/>
      </c>
      <c r="W376">
        <f>IFERROR(INDEX(PP_Grid[#Data],$DE376,20),0)</f>
        <v/>
      </c>
      <c r="X376">
        <f>IFERROR(INDEX(PP_Grid[#Data],$DE376,21),0)</f>
        <v/>
      </c>
      <c r="Y376">
        <f>IFERROR(INDEX(PP_Grid[#Data],$DE376,22),0)</f>
        <v/>
      </c>
      <c r="Z376">
        <f>IFERROR(INDEX(PP_Grid[#Data],$DE376,23),0)</f>
        <v/>
      </c>
      <c r="AA376">
        <f>IFERROR(INDEX(PP_Grid[#Data],$DE376,24),0)</f>
        <v/>
      </c>
      <c r="AB376">
        <f>IFERROR(INDEX(PP_Grid[#Data],$DE376,25),0)</f>
        <v/>
      </c>
      <c r="AC376">
        <f>IFERROR(INDEX(PP_Grid[#Data],$DE376,26),0)</f>
        <v/>
      </c>
      <c r="AD376">
        <f>IFERROR(INDEX(PP_Grid[#Data],$DE376,27),0)</f>
        <v/>
      </c>
      <c r="AE376">
        <f>IFERROR(INDEX(PP_Grid[#Data],$DE376,28),0)</f>
        <v/>
      </c>
      <c r="AF376">
        <f>IFERROR(INDEX(PP_Grid[#Data],$DE376,29),0)</f>
        <v/>
      </c>
      <c r="AG376">
        <f>IFERROR(INDEX(PP_Grid[#Data],$DE376,30),0)</f>
        <v/>
      </c>
      <c r="AH376">
        <f>IFERROR(INDEX(PP_Grid[#Data],$DE376,31),0)</f>
        <v/>
      </c>
      <c r="AI376">
        <f>IFERROR(INDEX(PP_Grid[#Data],$DE376,32),0)</f>
        <v/>
      </c>
      <c r="AJ376">
        <f>IFERROR(INDEX(PP_Grid[#Data],$DE376,33),0)</f>
        <v/>
      </c>
      <c r="AK376">
        <f>IFERROR(INDEX(PP_Grid[#Data],$DE376,34),0)</f>
        <v/>
      </c>
      <c r="AL376">
        <f>IFERROR(INDEX(PP_Grid[#Data],$DE376,35),0)</f>
        <v/>
      </c>
      <c r="AM376">
        <f>IFERROR(INDEX(PP_Grid[#Data],$DE376,36),0)</f>
        <v/>
      </c>
      <c r="AN376">
        <f>IFERROR(INDEX(PP_Grid[#Data],$DE376,37),0)</f>
        <v/>
      </c>
      <c r="AO376">
        <f>IFERROR(INDEX(PP_Grid[#Data],$DE376,38),0)</f>
        <v/>
      </c>
      <c r="AP376">
        <f>IFERROR(INDEX(PP_Grid[#Data],$DE376,39),0)</f>
        <v/>
      </c>
      <c r="AQ376">
        <f>IFERROR(INDEX(PP_Grid[#Data],$DE376,40),0)</f>
        <v/>
      </c>
      <c r="AR376">
        <f>IFERROR(INDEX(PP_Grid[#Data],$DE376,41),0)</f>
        <v/>
      </c>
      <c r="AS376">
        <f>IFERROR(INDEX(PP_Grid[#Data],$DE376,42),0)</f>
        <v/>
      </c>
      <c r="AT376">
        <f>IFERROR(INDEX(PP_Grid[#Data],$DE376,43),0)</f>
        <v/>
      </c>
      <c r="AU376">
        <f>IFERROR(INDEX(PP_Grid[#Data],$DE376,44),0)</f>
        <v/>
      </c>
      <c r="AV376">
        <f>IFERROR(INDEX(PP_Grid[#Data],$DE376,45),0)</f>
        <v/>
      </c>
      <c r="AW376">
        <f>IFERROR(INDEX(PP_Grid[#Data],$DE376,46),0)</f>
        <v/>
      </c>
      <c r="AX376">
        <f>IFERROR(INDEX(PP_Grid[#Data],$DE376,47),0)</f>
        <v/>
      </c>
      <c r="AY376">
        <f>IFERROR(INDEX(PP_Grid[#Data],$DE376,48),0)</f>
        <v/>
      </c>
      <c r="AZ376">
        <f>IFERROR(INDEX(PP_Grid[#Data],$DE376,49),0)</f>
        <v/>
      </c>
      <c r="BA376">
        <f>IFERROR(INDEX(PP_Grid[#Data],$DE376,50),0)</f>
        <v/>
      </c>
      <c r="BB376">
        <f>IFERROR(INDEX(PP_Grid[#Data],$DE376,51),0)</f>
        <v/>
      </c>
      <c r="BC376">
        <f>IFERROR(INDEX(PP_Grid[#Data],$DE376,52),0)</f>
        <v/>
      </c>
      <c r="BD376">
        <f>IFERROR(INDEX(PP_Grid[#Data],$DE376,53),0)</f>
        <v/>
      </c>
      <c r="BE376">
        <f>IFERROR(INDEX(PP_Grid[#Data],$DE376,54),0)</f>
        <v/>
      </c>
      <c r="BF376">
        <f>IFERROR(INDEX(PP_Grid[#Data],$DE376,55),0)</f>
        <v/>
      </c>
      <c r="BG376">
        <f>IFERROR(INDEX(PP_Grid[#Data],$DE376,56),0)</f>
        <v/>
      </c>
      <c r="BH376">
        <f>IFERROR(INDEX(PP_Grid[#Data],$DE376,57),0)</f>
        <v/>
      </c>
      <c r="BI376">
        <f>IFERROR(INDEX(PP_Grid[#Data],$DE376,58),0)</f>
        <v/>
      </c>
      <c r="BJ376">
        <f>IFERROR(INDEX(PP_Grid[#Data],$DE376,59),0)</f>
        <v/>
      </c>
      <c r="BK376">
        <f>IFERROR(INDEX(PP_Grid[#Data],$DE376,60),0)</f>
        <v/>
      </c>
      <c r="BL376">
        <f>IFERROR(INDEX(PP_Grid[#Data],$DE376,61),0)</f>
        <v/>
      </c>
      <c r="BM376">
        <f>IFERROR(INDEX(PP_Grid[#Data],$DE376,62),0)</f>
        <v/>
      </c>
      <c r="BN376">
        <f>IFERROR(INDEX(PP_Grid[#Data],$DE376,63),0)</f>
        <v/>
      </c>
      <c r="BO376">
        <f>IFERROR(INDEX(PP_Grid[#Data],$DE376,64),0)</f>
        <v/>
      </c>
      <c r="BP376">
        <f>IFERROR(INDEX(PP_Grid[#Data],$DE376,65),0)</f>
        <v/>
      </c>
      <c r="BQ376">
        <f>IFERROR(INDEX(PP_Grid[#Data],$DE376,66),0)</f>
        <v/>
      </c>
      <c r="BR376">
        <f>IFERROR(INDEX(PP_Grid[#Data],$DE376,67),0)</f>
        <v/>
      </c>
      <c r="BS376">
        <f>IFERROR(INDEX(PP_Grid[#Data],$DE376,68),0)</f>
        <v/>
      </c>
      <c r="BT376">
        <f>IFERROR(INDEX(PP_Grid[#Data],$DE376,69),0)</f>
        <v/>
      </c>
      <c r="BU376">
        <f>IFERROR(INDEX(PP_Grid[#Data],$DE376,70),0)</f>
        <v/>
      </c>
      <c r="BV376">
        <f>IFERROR(INDEX(PP_Grid[#Data],$DE376,71),0)</f>
        <v/>
      </c>
      <c r="BW376">
        <f>IFERROR(INDEX(PP_Grid[#Data],$DE376,72),0)</f>
        <v/>
      </c>
      <c r="BX376">
        <f>IFERROR(INDEX(PP_Grid[#Data],$DE376,73),0)</f>
        <v/>
      </c>
      <c r="BY376">
        <f>IFERROR(INDEX(PP_Grid[#Data],$DE376,74),0)</f>
        <v/>
      </c>
      <c r="BZ376">
        <f>IFERROR(INDEX(PP_Grid[#Data],$DE376,75),0)</f>
        <v/>
      </c>
      <c r="CA376">
        <f>IFERROR(INDEX(PP_Grid[#Data],$DE376,76),0)</f>
        <v/>
      </c>
      <c r="CB376">
        <f>IFERROR(INDEX(PP_Grid[#Data],$DE376,77),0)</f>
        <v/>
      </c>
      <c r="CC376">
        <f>IFERROR(INDEX(PP_Grid[#Data],$DE376,78),0)</f>
        <v/>
      </c>
      <c r="CD376">
        <f>IFERROR(INDEX(PP_Grid[#Data],$DE376,79),0)</f>
        <v/>
      </c>
      <c r="CE376">
        <f>IFERROR(INDEX(PP_Grid[#Data],$DE376,80),0)</f>
        <v/>
      </c>
      <c r="CF376">
        <f>IFERROR(INDEX(PP_Grid[#Data],$DE376,81),0)</f>
        <v/>
      </c>
      <c r="CG376">
        <f>IFERROR(INDEX(PP_Grid[#Data],$DE376,82),0)</f>
        <v/>
      </c>
      <c r="CH376">
        <f>IFERROR(INDEX(PP_Grid[#Data],$DE376,83),0)</f>
        <v/>
      </c>
      <c r="CI376">
        <f>IFERROR(INDEX(PP_Grid[#Data],$DE376,84),0)</f>
        <v/>
      </c>
      <c r="CJ376">
        <f>IFERROR(INDEX(PP_Grid[#Data],$DE376,85),0)</f>
        <v/>
      </c>
      <c r="CK376">
        <f>IFERROR(INDEX(PP_Grid[#Data],$DE376,86),0)</f>
        <v/>
      </c>
      <c r="CL376">
        <f>IFERROR(INDEX(PP_Grid[#Data],$DE376,87),0)</f>
        <v/>
      </c>
      <c r="CM376">
        <f>IFERROR(INDEX(PP_Grid[#Data],$DE376,88),0)</f>
        <v/>
      </c>
      <c r="CN376">
        <f>IFERROR(INDEX(PP_Grid[#Data],$DE376,89),0)</f>
        <v/>
      </c>
      <c r="CO376">
        <f>IFERROR(INDEX(PP_Grid[#Data],$DE376,90),0)</f>
        <v/>
      </c>
      <c r="CP376">
        <f>IFERROR(INDEX(PP_Grid[#Data],$DE376,91),0)</f>
        <v/>
      </c>
      <c r="CQ376">
        <f>IFERROR(INDEX(PP_Grid[#Data],$DE376,92),0)</f>
        <v/>
      </c>
      <c r="CR376">
        <f>IFERROR(INDEX(PP_Grid[#Data],$DE376,93),0)</f>
        <v/>
      </c>
      <c r="CS376">
        <f>IFERROR(INDEX(PP_Grid[#Data],$DE376,94),0)</f>
        <v/>
      </c>
      <c r="CT376">
        <f>IFERROR(INDEX(PP_Grid[#Data],$DE376,95),0)</f>
        <v/>
      </c>
      <c r="CU376">
        <f>IFERROR(INDEX(PP_Grid[#Data],$DE376,96),0)</f>
        <v/>
      </c>
      <c r="CV376">
        <f>IFERROR(INDEX(PP_Grid[#Data],$DE376,97),0)</f>
        <v/>
      </c>
      <c r="CW376">
        <f>IFERROR(INDEX(PP_Grid[#Data],$DE376,98),0)</f>
        <v/>
      </c>
      <c r="CX376">
        <f>IFERROR(INDEX(PP_Grid[#Data],$DE376,99),0)</f>
        <v/>
      </c>
      <c r="CY376">
        <f>IFERROR(INDEX(PP_Grid[#Data],$DE376,100),0)</f>
        <v/>
      </c>
      <c r="CZ376">
        <f>IFERROR(INDEX(PP_Grid[#Data],$DE376,101),0)</f>
        <v/>
      </c>
      <c r="DA376">
        <f>IFERROR(INDEX(PP_Grid[#Data],$DE376,102),0)</f>
        <v/>
      </c>
      <c r="DB376">
        <f>IFERROR(INDEX(PP_Grid[#Data],$DE376,103),0)</f>
        <v/>
      </c>
      <c r="DC376">
        <f>IFERROR(INDEX(PP_Grid[#Data],$DE376,104),0)</f>
        <v/>
      </c>
      <c r="DD376">
        <f>IFERROR(INDEX(PP_Grid[#Data],$DE376,105),0)</f>
        <v/>
      </c>
      <c r="DE376" s="7">
        <f>IFERROR(MATCH($B376,PP_Grid[Intermediate],0),99999)</f>
        <v/>
      </c>
    </row>
    <row r="377">
      <c r="B377" t="inlineStr">
        <is>
          <t>使用量(kg)</t>
        </is>
      </c>
      <c r="C377">
        <f>SUMIFS(M_BOM[RM_Qty_Per_Batch],M_BOM[Intermediate],$B376,M_BOM[RM_Code],$A325)</f>
        <v/>
      </c>
      <c r="D377">
        <f>IFERROR(INDEX(E377:DD377,$F$1),"")</f>
        <v/>
      </c>
      <c r="E377">
        <f>$C377*E376</f>
        <v/>
      </c>
      <c r="F377">
        <f>$C377*F376</f>
        <v/>
      </c>
      <c r="G377">
        <f>$C377*G376</f>
        <v/>
      </c>
      <c r="H377">
        <f>$C377*H376</f>
        <v/>
      </c>
      <c r="I377">
        <f>$C377*I376</f>
        <v/>
      </c>
      <c r="J377">
        <f>$C377*J376</f>
        <v/>
      </c>
      <c r="K377">
        <f>$C377*K376</f>
        <v/>
      </c>
      <c r="L377">
        <f>$C377*L376</f>
        <v/>
      </c>
      <c r="M377">
        <f>$C377*M376</f>
        <v/>
      </c>
      <c r="N377">
        <f>$C377*N376</f>
        <v/>
      </c>
      <c r="O377">
        <f>$C377*O376</f>
        <v/>
      </c>
      <c r="P377">
        <f>$C377*P376</f>
        <v/>
      </c>
      <c r="Q377">
        <f>$C377*Q376</f>
        <v/>
      </c>
      <c r="R377">
        <f>$C377*R376</f>
        <v/>
      </c>
      <c r="S377">
        <f>$C377*S376</f>
        <v/>
      </c>
      <c r="T377">
        <f>$C377*T376</f>
        <v/>
      </c>
      <c r="U377">
        <f>$C377*U376</f>
        <v/>
      </c>
      <c r="V377">
        <f>$C377*V376</f>
        <v/>
      </c>
      <c r="W377">
        <f>$C377*W376</f>
        <v/>
      </c>
      <c r="X377">
        <f>$C377*X376</f>
        <v/>
      </c>
      <c r="Y377">
        <f>$C377*Y376</f>
        <v/>
      </c>
      <c r="Z377">
        <f>$C377*Z376</f>
        <v/>
      </c>
      <c r="AA377">
        <f>$C377*AA376</f>
        <v/>
      </c>
      <c r="AB377">
        <f>$C377*AB376</f>
        <v/>
      </c>
      <c r="AC377">
        <f>$C377*AC376</f>
        <v/>
      </c>
      <c r="AD377">
        <f>$C377*AD376</f>
        <v/>
      </c>
      <c r="AE377">
        <f>$C377*AE376</f>
        <v/>
      </c>
      <c r="AF377">
        <f>$C377*AF376</f>
        <v/>
      </c>
      <c r="AG377">
        <f>$C377*AG376</f>
        <v/>
      </c>
      <c r="AH377">
        <f>$C377*AH376</f>
        <v/>
      </c>
      <c r="AI377">
        <f>$C377*AI376</f>
        <v/>
      </c>
      <c r="AJ377">
        <f>$C377*AJ376</f>
        <v/>
      </c>
      <c r="AK377">
        <f>$C377*AK376</f>
        <v/>
      </c>
      <c r="AL377">
        <f>$C377*AL376</f>
        <v/>
      </c>
      <c r="AM377">
        <f>$C377*AM376</f>
        <v/>
      </c>
      <c r="AN377">
        <f>$C377*AN376</f>
        <v/>
      </c>
      <c r="AO377">
        <f>$C377*AO376</f>
        <v/>
      </c>
      <c r="AP377">
        <f>$C377*AP376</f>
        <v/>
      </c>
      <c r="AQ377">
        <f>$C377*AQ376</f>
        <v/>
      </c>
      <c r="AR377">
        <f>$C377*AR376</f>
        <v/>
      </c>
      <c r="AS377">
        <f>$C377*AS376</f>
        <v/>
      </c>
      <c r="AT377">
        <f>$C377*AT376</f>
        <v/>
      </c>
      <c r="AU377">
        <f>$C377*AU376</f>
        <v/>
      </c>
      <c r="AV377">
        <f>$C377*AV376</f>
        <v/>
      </c>
      <c r="AW377">
        <f>$C377*AW376</f>
        <v/>
      </c>
      <c r="AX377">
        <f>$C377*AX376</f>
        <v/>
      </c>
      <c r="AY377">
        <f>$C377*AY376</f>
        <v/>
      </c>
      <c r="AZ377">
        <f>$C377*AZ376</f>
        <v/>
      </c>
      <c r="BA377">
        <f>$C377*BA376</f>
        <v/>
      </c>
      <c r="BB377">
        <f>$C377*BB376</f>
        <v/>
      </c>
      <c r="BC377">
        <f>$C377*BC376</f>
        <v/>
      </c>
      <c r="BD377">
        <f>$C377*BD376</f>
        <v/>
      </c>
      <c r="BE377">
        <f>$C377*BE376</f>
        <v/>
      </c>
      <c r="BF377">
        <f>$C377*BF376</f>
        <v/>
      </c>
      <c r="BG377">
        <f>$C377*BG376</f>
        <v/>
      </c>
      <c r="BH377">
        <f>$C377*BH376</f>
        <v/>
      </c>
      <c r="BI377">
        <f>$C377*BI376</f>
        <v/>
      </c>
      <c r="BJ377">
        <f>$C377*BJ376</f>
        <v/>
      </c>
      <c r="BK377">
        <f>$C377*BK376</f>
        <v/>
      </c>
      <c r="BL377">
        <f>$C377*BL376</f>
        <v/>
      </c>
      <c r="BM377">
        <f>$C377*BM376</f>
        <v/>
      </c>
      <c r="BN377">
        <f>$C377*BN376</f>
        <v/>
      </c>
      <c r="BO377">
        <f>$C377*BO376</f>
        <v/>
      </c>
      <c r="BP377">
        <f>$C377*BP376</f>
        <v/>
      </c>
      <c r="BQ377">
        <f>$C377*BQ376</f>
        <v/>
      </c>
      <c r="BR377">
        <f>$C377*BR376</f>
        <v/>
      </c>
      <c r="BS377">
        <f>$C377*BS376</f>
        <v/>
      </c>
      <c r="BT377">
        <f>$C377*BT376</f>
        <v/>
      </c>
      <c r="BU377">
        <f>$C377*BU376</f>
        <v/>
      </c>
      <c r="BV377">
        <f>$C377*BV376</f>
        <v/>
      </c>
      <c r="BW377">
        <f>$C377*BW376</f>
        <v/>
      </c>
      <c r="BX377">
        <f>$C377*BX376</f>
        <v/>
      </c>
      <c r="BY377">
        <f>$C377*BY376</f>
        <v/>
      </c>
      <c r="BZ377">
        <f>$C377*BZ376</f>
        <v/>
      </c>
      <c r="CA377">
        <f>$C377*CA376</f>
        <v/>
      </c>
      <c r="CB377">
        <f>$C377*CB376</f>
        <v/>
      </c>
      <c r="CC377">
        <f>$C377*CC376</f>
        <v/>
      </c>
      <c r="CD377">
        <f>$C377*CD376</f>
        <v/>
      </c>
      <c r="CE377">
        <f>$C377*CE376</f>
        <v/>
      </c>
      <c r="CF377">
        <f>$C377*CF376</f>
        <v/>
      </c>
      <c r="CG377">
        <f>$C377*CG376</f>
        <v/>
      </c>
      <c r="CH377">
        <f>$C377*CH376</f>
        <v/>
      </c>
      <c r="CI377">
        <f>$C377*CI376</f>
        <v/>
      </c>
      <c r="CJ377">
        <f>$C377*CJ376</f>
        <v/>
      </c>
      <c r="CK377">
        <f>$C377*CK376</f>
        <v/>
      </c>
      <c r="CL377">
        <f>$C377*CL376</f>
        <v/>
      </c>
      <c r="CM377">
        <f>$C377*CM376</f>
        <v/>
      </c>
      <c r="CN377">
        <f>$C377*CN376</f>
        <v/>
      </c>
      <c r="CO377">
        <f>$C377*CO376</f>
        <v/>
      </c>
      <c r="CP377">
        <f>$C377*CP376</f>
        <v/>
      </c>
      <c r="CQ377">
        <f>$C377*CQ376</f>
        <v/>
      </c>
      <c r="CR377">
        <f>$C377*CR376</f>
        <v/>
      </c>
      <c r="CS377">
        <f>$C377*CS376</f>
        <v/>
      </c>
      <c r="CT377">
        <f>$C377*CT376</f>
        <v/>
      </c>
      <c r="CU377">
        <f>$C377*CU376</f>
        <v/>
      </c>
      <c r="CV377">
        <f>$C377*CV376</f>
        <v/>
      </c>
      <c r="CW377">
        <f>$C377*CW376</f>
        <v/>
      </c>
      <c r="CX377">
        <f>$C377*CX376</f>
        <v/>
      </c>
      <c r="CY377">
        <f>$C377*CY376</f>
        <v/>
      </c>
      <c r="CZ377">
        <f>$C377*CZ376</f>
        <v/>
      </c>
      <c r="DA377">
        <f>$C377*DA376</f>
        <v/>
      </c>
      <c r="DB377">
        <f>$C377*DB376</f>
        <v/>
      </c>
      <c r="DC377">
        <f>$C377*DC376</f>
        <v/>
      </c>
      <c r="DD377">
        <f>$C377*DD376</f>
        <v/>
      </c>
    </row>
    <row r="378">
      <c r="B378" t="inlineStr">
        <is>
          <t>TSP-544</t>
        </is>
      </c>
      <c r="C378" t="inlineStr">
        <is>
          <t>No. of batches</t>
        </is>
      </c>
      <c r="D378">
        <f>IFERROR(INDEX(E378:DD378,$F$1),"")</f>
        <v/>
      </c>
      <c r="E378">
        <f>IFERROR(INDEX(PP_Grid[#Data],$DE378,2),0)</f>
        <v/>
      </c>
      <c r="F378">
        <f>IFERROR(INDEX(PP_Grid[#Data],$DE378,3),0)</f>
        <v/>
      </c>
      <c r="G378">
        <f>IFERROR(INDEX(PP_Grid[#Data],$DE378,4),0)</f>
        <v/>
      </c>
      <c r="H378">
        <f>IFERROR(INDEX(PP_Grid[#Data],$DE378,5),0)</f>
        <v/>
      </c>
      <c r="I378">
        <f>IFERROR(INDEX(PP_Grid[#Data],$DE378,6),0)</f>
        <v/>
      </c>
      <c r="J378">
        <f>IFERROR(INDEX(PP_Grid[#Data],$DE378,7),0)</f>
        <v/>
      </c>
      <c r="K378">
        <f>IFERROR(INDEX(PP_Grid[#Data],$DE378,8),0)</f>
        <v/>
      </c>
      <c r="L378">
        <f>IFERROR(INDEX(PP_Grid[#Data],$DE378,9),0)</f>
        <v/>
      </c>
      <c r="M378">
        <f>IFERROR(INDEX(PP_Grid[#Data],$DE378,10),0)</f>
        <v/>
      </c>
      <c r="N378">
        <f>IFERROR(INDEX(PP_Grid[#Data],$DE378,11),0)</f>
        <v/>
      </c>
      <c r="O378">
        <f>IFERROR(INDEX(PP_Grid[#Data],$DE378,12),0)</f>
        <v/>
      </c>
      <c r="P378">
        <f>IFERROR(INDEX(PP_Grid[#Data],$DE378,13),0)</f>
        <v/>
      </c>
      <c r="Q378">
        <f>IFERROR(INDEX(PP_Grid[#Data],$DE378,14),0)</f>
        <v/>
      </c>
      <c r="R378">
        <f>IFERROR(INDEX(PP_Grid[#Data],$DE378,15),0)</f>
        <v/>
      </c>
      <c r="S378">
        <f>IFERROR(INDEX(PP_Grid[#Data],$DE378,16),0)</f>
        <v/>
      </c>
      <c r="T378">
        <f>IFERROR(INDEX(PP_Grid[#Data],$DE378,17),0)</f>
        <v/>
      </c>
      <c r="U378">
        <f>IFERROR(INDEX(PP_Grid[#Data],$DE378,18),0)</f>
        <v/>
      </c>
      <c r="V378">
        <f>IFERROR(INDEX(PP_Grid[#Data],$DE378,19),0)</f>
        <v/>
      </c>
      <c r="W378">
        <f>IFERROR(INDEX(PP_Grid[#Data],$DE378,20),0)</f>
        <v/>
      </c>
      <c r="X378">
        <f>IFERROR(INDEX(PP_Grid[#Data],$DE378,21),0)</f>
        <v/>
      </c>
      <c r="Y378">
        <f>IFERROR(INDEX(PP_Grid[#Data],$DE378,22),0)</f>
        <v/>
      </c>
      <c r="Z378">
        <f>IFERROR(INDEX(PP_Grid[#Data],$DE378,23),0)</f>
        <v/>
      </c>
      <c r="AA378">
        <f>IFERROR(INDEX(PP_Grid[#Data],$DE378,24),0)</f>
        <v/>
      </c>
      <c r="AB378">
        <f>IFERROR(INDEX(PP_Grid[#Data],$DE378,25),0)</f>
        <v/>
      </c>
      <c r="AC378">
        <f>IFERROR(INDEX(PP_Grid[#Data],$DE378,26),0)</f>
        <v/>
      </c>
      <c r="AD378">
        <f>IFERROR(INDEX(PP_Grid[#Data],$DE378,27),0)</f>
        <v/>
      </c>
      <c r="AE378">
        <f>IFERROR(INDEX(PP_Grid[#Data],$DE378,28),0)</f>
        <v/>
      </c>
      <c r="AF378">
        <f>IFERROR(INDEX(PP_Grid[#Data],$DE378,29),0)</f>
        <v/>
      </c>
      <c r="AG378">
        <f>IFERROR(INDEX(PP_Grid[#Data],$DE378,30),0)</f>
        <v/>
      </c>
      <c r="AH378">
        <f>IFERROR(INDEX(PP_Grid[#Data],$DE378,31),0)</f>
        <v/>
      </c>
      <c r="AI378">
        <f>IFERROR(INDEX(PP_Grid[#Data],$DE378,32),0)</f>
        <v/>
      </c>
      <c r="AJ378">
        <f>IFERROR(INDEX(PP_Grid[#Data],$DE378,33),0)</f>
        <v/>
      </c>
      <c r="AK378">
        <f>IFERROR(INDEX(PP_Grid[#Data],$DE378,34),0)</f>
        <v/>
      </c>
      <c r="AL378">
        <f>IFERROR(INDEX(PP_Grid[#Data],$DE378,35),0)</f>
        <v/>
      </c>
      <c r="AM378">
        <f>IFERROR(INDEX(PP_Grid[#Data],$DE378,36),0)</f>
        <v/>
      </c>
      <c r="AN378">
        <f>IFERROR(INDEX(PP_Grid[#Data],$DE378,37),0)</f>
        <v/>
      </c>
      <c r="AO378">
        <f>IFERROR(INDEX(PP_Grid[#Data],$DE378,38),0)</f>
        <v/>
      </c>
      <c r="AP378">
        <f>IFERROR(INDEX(PP_Grid[#Data],$DE378,39),0)</f>
        <v/>
      </c>
      <c r="AQ378">
        <f>IFERROR(INDEX(PP_Grid[#Data],$DE378,40),0)</f>
        <v/>
      </c>
      <c r="AR378">
        <f>IFERROR(INDEX(PP_Grid[#Data],$DE378,41),0)</f>
        <v/>
      </c>
      <c r="AS378">
        <f>IFERROR(INDEX(PP_Grid[#Data],$DE378,42),0)</f>
        <v/>
      </c>
      <c r="AT378">
        <f>IFERROR(INDEX(PP_Grid[#Data],$DE378,43),0)</f>
        <v/>
      </c>
      <c r="AU378">
        <f>IFERROR(INDEX(PP_Grid[#Data],$DE378,44),0)</f>
        <v/>
      </c>
      <c r="AV378">
        <f>IFERROR(INDEX(PP_Grid[#Data],$DE378,45),0)</f>
        <v/>
      </c>
      <c r="AW378">
        <f>IFERROR(INDEX(PP_Grid[#Data],$DE378,46),0)</f>
        <v/>
      </c>
      <c r="AX378">
        <f>IFERROR(INDEX(PP_Grid[#Data],$DE378,47),0)</f>
        <v/>
      </c>
      <c r="AY378">
        <f>IFERROR(INDEX(PP_Grid[#Data],$DE378,48),0)</f>
        <v/>
      </c>
      <c r="AZ378">
        <f>IFERROR(INDEX(PP_Grid[#Data],$DE378,49),0)</f>
        <v/>
      </c>
      <c r="BA378">
        <f>IFERROR(INDEX(PP_Grid[#Data],$DE378,50),0)</f>
        <v/>
      </c>
      <c r="BB378">
        <f>IFERROR(INDEX(PP_Grid[#Data],$DE378,51),0)</f>
        <v/>
      </c>
      <c r="BC378">
        <f>IFERROR(INDEX(PP_Grid[#Data],$DE378,52),0)</f>
        <v/>
      </c>
      <c r="BD378">
        <f>IFERROR(INDEX(PP_Grid[#Data],$DE378,53),0)</f>
        <v/>
      </c>
      <c r="BE378">
        <f>IFERROR(INDEX(PP_Grid[#Data],$DE378,54),0)</f>
        <v/>
      </c>
      <c r="BF378">
        <f>IFERROR(INDEX(PP_Grid[#Data],$DE378,55),0)</f>
        <v/>
      </c>
      <c r="BG378">
        <f>IFERROR(INDEX(PP_Grid[#Data],$DE378,56),0)</f>
        <v/>
      </c>
      <c r="BH378">
        <f>IFERROR(INDEX(PP_Grid[#Data],$DE378,57),0)</f>
        <v/>
      </c>
      <c r="BI378">
        <f>IFERROR(INDEX(PP_Grid[#Data],$DE378,58),0)</f>
        <v/>
      </c>
      <c r="BJ378">
        <f>IFERROR(INDEX(PP_Grid[#Data],$DE378,59),0)</f>
        <v/>
      </c>
      <c r="BK378">
        <f>IFERROR(INDEX(PP_Grid[#Data],$DE378,60),0)</f>
        <v/>
      </c>
      <c r="BL378">
        <f>IFERROR(INDEX(PP_Grid[#Data],$DE378,61),0)</f>
        <v/>
      </c>
      <c r="BM378">
        <f>IFERROR(INDEX(PP_Grid[#Data],$DE378,62),0)</f>
        <v/>
      </c>
      <c r="BN378">
        <f>IFERROR(INDEX(PP_Grid[#Data],$DE378,63),0)</f>
        <v/>
      </c>
      <c r="BO378">
        <f>IFERROR(INDEX(PP_Grid[#Data],$DE378,64),0)</f>
        <v/>
      </c>
      <c r="BP378">
        <f>IFERROR(INDEX(PP_Grid[#Data],$DE378,65),0)</f>
        <v/>
      </c>
      <c r="BQ378">
        <f>IFERROR(INDEX(PP_Grid[#Data],$DE378,66),0)</f>
        <v/>
      </c>
      <c r="BR378">
        <f>IFERROR(INDEX(PP_Grid[#Data],$DE378,67),0)</f>
        <v/>
      </c>
      <c r="BS378">
        <f>IFERROR(INDEX(PP_Grid[#Data],$DE378,68),0)</f>
        <v/>
      </c>
      <c r="BT378">
        <f>IFERROR(INDEX(PP_Grid[#Data],$DE378,69),0)</f>
        <v/>
      </c>
      <c r="BU378">
        <f>IFERROR(INDEX(PP_Grid[#Data],$DE378,70),0)</f>
        <v/>
      </c>
      <c r="BV378">
        <f>IFERROR(INDEX(PP_Grid[#Data],$DE378,71),0)</f>
        <v/>
      </c>
      <c r="BW378">
        <f>IFERROR(INDEX(PP_Grid[#Data],$DE378,72),0)</f>
        <v/>
      </c>
      <c r="BX378">
        <f>IFERROR(INDEX(PP_Grid[#Data],$DE378,73),0)</f>
        <v/>
      </c>
      <c r="BY378">
        <f>IFERROR(INDEX(PP_Grid[#Data],$DE378,74),0)</f>
        <v/>
      </c>
      <c r="BZ378">
        <f>IFERROR(INDEX(PP_Grid[#Data],$DE378,75),0)</f>
        <v/>
      </c>
      <c r="CA378">
        <f>IFERROR(INDEX(PP_Grid[#Data],$DE378,76),0)</f>
        <v/>
      </c>
      <c r="CB378">
        <f>IFERROR(INDEX(PP_Grid[#Data],$DE378,77),0)</f>
        <v/>
      </c>
      <c r="CC378">
        <f>IFERROR(INDEX(PP_Grid[#Data],$DE378,78),0)</f>
        <v/>
      </c>
      <c r="CD378">
        <f>IFERROR(INDEX(PP_Grid[#Data],$DE378,79),0)</f>
        <v/>
      </c>
      <c r="CE378">
        <f>IFERROR(INDEX(PP_Grid[#Data],$DE378,80),0)</f>
        <v/>
      </c>
      <c r="CF378">
        <f>IFERROR(INDEX(PP_Grid[#Data],$DE378,81),0)</f>
        <v/>
      </c>
      <c r="CG378">
        <f>IFERROR(INDEX(PP_Grid[#Data],$DE378,82),0)</f>
        <v/>
      </c>
      <c r="CH378">
        <f>IFERROR(INDEX(PP_Grid[#Data],$DE378,83),0)</f>
        <v/>
      </c>
      <c r="CI378">
        <f>IFERROR(INDEX(PP_Grid[#Data],$DE378,84),0)</f>
        <v/>
      </c>
      <c r="CJ378">
        <f>IFERROR(INDEX(PP_Grid[#Data],$DE378,85),0)</f>
        <v/>
      </c>
      <c r="CK378">
        <f>IFERROR(INDEX(PP_Grid[#Data],$DE378,86),0)</f>
        <v/>
      </c>
      <c r="CL378">
        <f>IFERROR(INDEX(PP_Grid[#Data],$DE378,87),0)</f>
        <v/>
      </c>
      <c r="CM378">
        <f>IFERROR(INDEX(PP_Grid[#Data],$DE378,88),0)</f>
        <v/>
      </c>
      <c r="CN378">
        <f>IFERROR(INDEX(PP_Grid[#Data],$DE378,89),0)</f>
        <v/>
      </c>
      <c r="CO378">
        <f>IFERROR(INDEX(PP_Grid[#Data],$DE378,90),0)</f>
        <v/>
      </c>
      <c r="CP378">
        <f>IFERROR(INDEX(PP_Grid[#Data],$DE378,91),0)</f>
        <v/>
      </c>
      <c r="CQ378">
        <f>IFERROR(INDEX(PP_Grid[#Data],$DE378,92),0)</f>
        <v/>
      </c>
      <c r="CR378">
        <f>IFERROR(INDEX(PP_Grid[#Data],$DE378,93),0)</f>
        <v/>
      </c>
      <c r="CS378">
        <f>IFERROR(INDEX(PP_Grid[#Data],$DE378,94),0)</f>
        <v/>
      </c>
      <c r="CT378">
        <f>IFERROR(INDEX(PP_Grid[#Data],$DE378,95),0)</f>
        <v/>
      </c>
      <c r="CU378">
        <f>IFERROR(INDEX(PP_Grid[#Data],$DE378,96),0)</f>
        <v/>
      </c>
      <c r="CV378">
        <f>IFERROR(INDEX(PP_Grid[#Data],$DE378,97),0)</f>
        <v/>
      </c>
      <c r="CW378">
        <f>IFERROR(INDEX(PP_Grid[#Data],$DE378,98),0)</f>
        <v/>
      </c>
      <c r="CX378">
        <f>IFERROR(INDEX(PP_Grid[#Data],$DE378,99),0)</f>
        <v/>
      </c>
      <c r="CY378">
        <f>IFERROR(INDEX(PP_Grid[#Data],$DE378,100),0)</f>
        <v/>
      </c>
      <c r="CZ378">
        <f>IFERROR(INDEX(PP_Grid[#Data],$DE378,101),0)</f>
        <v/>
      </c>
      <c r="DA378">
        <f>IFERROR(INDEX(PP_Grid[#Data],$DE378,102),0)</f>
        <v/>
      </c>
      <c r="DB378">
        <f>IFERROR(INDEX(PP_Grid[#Data],$DE378,103),0)</f>
        <v/>
      </c>
      <c r="DC378">
        <f>IFERROR(INDEX(PP_Grid[#Data],$DE378,104),0)</f>
        <v/>
      </c>
      <c r="DD378">
        <f>IFERROR(INDEX(PP_Grid[#Data],$DE378,105),0)</f>
        <v/>
      </c>
      <c r="DE378" s="7">
        <f>IFERROR(MATCH($B378,PP_Grid[Intermediate],0),99999)</f>
        <v/>
      </c>
    </row>
    <row r="379">
      <c r="B379" t="inlineStr">
        <is>
          <t>使用量(kg)</t>
        </is>
      </c>
      <c r="C379">
        <f>SUMIFS(M_BOM[RM_Qty_Per_Batch],M_BOM[Intermediate],$B378,M_BOM[RM_Code],$A325)</f>
        <v/>
      </c>
      <c r="D379">
        <f>IFERROR(INDEX(E379:DD379,$F$1),"")</f>
        <v/>
      </c>
      <c r="E379">
        <f>$C379*E378</f>
        <v/>
      </c>
      <c r="F379">
        <f>$C379*F378</f>
        <v/>
      </c>
      <c r="G379">
        <f>$C379*G378</f>
        <v/>
      </c>
      <c r="H379">
        <f>$C379*H378</f>
        <v/>
      </c>
      <c r="I379">
        <f>$C379*I378</f>
        <v/>
      </c>
      <c r="J379">
        <f>$C379*J378</f>
        <v/>
      </c>
      <c r="K379">
        <f>$C379*K378</f>
        <v/>
      </c>
      <c r="L379">
        <f>$C379*L378</f>
        <v/>
      </c>
      <c r="M379">
        <f>$C379*M378</f>
        <v/>
      </c>
      <c r="N379">
        <f>$C379*N378</f>
        <v/>
      </c>
      <c r="O379">
        <f>$C379*O378</f>
        <v/>
      </c>
      <c r="P379">
        <f>$C379*P378</f>
        <v/>
      </c>
      <c r="Q379">
        <f>$C379*Q378</f>
        <v/>
      </c>
      <c r="R379">
        <f>$C379*R378</f>
        <v/>
      </c>
      <c r="S379">
        <f>$C379*S378</f>
        <v/>
      </c>
      <c r="T379">
        <f>$C379*T378</f>
        <v/>
      </c>
      <c r="U379">
        <f>$C379*U378</f>
        <v/>
      </c>
      <c r="V379">
        <f>$C379*V378</f>
        <v/>
      </c>
      <c r="W379">
        <f>$C379*W378</f>
        <v/>
      </c>
      <c r="X379">
        <f>$C379*X378</f>
        <v/>
      </c>
      <c r="Y379">
        <f>$C379*Y378</f>
        <v/>
      </c>
      <c r="Z379">
        <f>$C379*Z378</f>
        <v/>
      </c>
      <c r="AA379">
        <f>$C379*AA378</f>
        <v/>
      </c>
      <c r="AB379">
        <f>$C379*AB378</f>
        <v/>
      </c>
      <c r="AC379">
        <f>$C379*AC378</f>
        <v/>
      </c>
      <c r="AD379">
        <f>$C379*AD378</f>
        <v/>
      </c>
      <c r="AE379">
        <f>$C379*AE378</f>
        <v/>
      </c>
      <c r="AF379">
        <f>$C379*AF378</f>
        <v/>
      </c>
      <c r="AG379">
        <f>$C379*AG378</f>
        <v/>
      </c>
      <c r="AH379">
        <f>$C379*AH378</f>
        <v/>
      </c>
      <c r="AI379">
        <f>$C379*AI378</f>
        <v/>
      </c>
      <c r="AJ379">
        <f>$C379*AJ378</f>
        <v/>
      </c>
      <c r="AK379">
        <f>$C379*AK378</f>
        <v/>
      </c>
      <c r="AL379">
        <f>$C379*AL378</f>
        <v/>
      </c>
      <c r="AM379">
        <f>$C379*AM378</f>
        <v/>
      </c>
      <c r="AN379">
        <f>$C379*AN378</f>
        <v/>
      </c>
      <c r="AO379">
        <f>$C379*AO378</f>
        <v/>
      </c>
      <c r="AP379">
        <f>$C379*AP378</f>
        <v/>
      </c>
      <c r="AQ379">
        <f>$C379*AQ378</f>
        <v/>
      </c>
      <c r="AR379">
        <f>$C379*AR378</f>
        <v/>
      </c>
      <c r="AS379">
        <f>$C379*AS378</f>
        <v/>
      </c>
      <c r="AT379">
        <f>$C379*AT378</f>
        <v/>
      </c>
      <c r="AU379">
        <f>$C379*AU378</f>
        <v/>
      </c>
      <c r="AV379">
        <f>$C379*AV378</f>
        <v/>
      </c>
      <c r="AW379">
        <f>$C379*AW378</f>
        <v/>
      </c>
      <c r="AX379">
        <f>$C379*AX378</f>
        <v/>
      </c>
      <c r="AY379">
        <f>$C379*AY378</f>
        <v/>
      </c>
      <c r="AZ379">
        <f>$C379*AZ378</f>
        <v/>
      </c>
      <c r="BA379">
        <f>$C379*BA378</f>
        <v/>
      </c>
      <c r="BB379">
        <f>$C379*BB378</f>
        <v/>
      </c>
      <c r="BC379">
        <f>$C379*BC378</f>
        <v/>
      </c>
      <c r="BD379">
        <f>$C379*BD378</f>
        <v/>
      </c>
      <c r="BE379">
        <f>$C379*BE378</f>
        <v/>
      </c>
      <c r="BF379">
        <f>$C379*BF378</f>
        <v/>
      </c>
      <c r="BG379">
        <f>$C379*BG378</f>
        <v/>
      </c>
      <c r="BH379">
        <f>$C379*BH378</f>
        <v/>
      </c>
      <c r="BI379">
        <f>$C379*BI378</f>
        <v/>
      </c>
      <c r="BJ379">
        <f>$C379*BJ378</f>
        <v/>
      </c>
      <c r="BK379">
        <f>$C379*BK378</f>
        <v/>
      </c>
      <c r="BL379">
        <f>$C379*BL378</f>
        <v/>
      </c>
      <c r="BM379">
        <f>$C379*BM378</f>
        <v/>
      </c>
      <c r="BN379">
        <f>$C379*BN378</f>
        <v/>
      </c>
      <c r="BO379">
        <f>$C379*BO378</f>
        <v/>
      </c>
      <c r="BP379">
        <f>$C379*BP378</f>
        <v/>
      </c>
      <c r="BQ379">
        <f>$C379*BQ378</f>
        <v/>
      </c>
      <c r="BR379">
        <f>$C379*BR378</f>
        <v/>
      </c>
      <c r="BS379">
        <f>$C379*BS378</f>
        <v/>
      </c>
      <c r="BT379">
        <f>$C379*BT378</f>
        <v/>
      </c>
      <c r="BU379">
        <f>$C379*BU378</f>
        <v/>
      </c>
      <c r="BV379">
        <f>$C379*BV378</f>
        <v/>
      </c>
      <c r="BW379">
        <f>$C379*BW378</f>
        <v/>
      </c>
      <c r="BX379">
        <f>$C379*BX378</f>
        <v/>
      </c>
      <c r="BY379">
        <f>$C379*BY378</f>
        <v/>
      </c>
      <c r="BZ379">
        <f>$C379*BZ378</f>
        <v/>
      </c>
      <c r="CA379">
        <f>$C379*CA378</f>
        <v/>
      </c>
      <c r="CB379">
        <f>$C379*CB378</f>
        <v/>
      </c>
      <c r="CC379">
        <f>$C379*CC378</f>
        <v/>
      </c>
      <c r="CD379">
        <f>$C379*CD378</f>
        <v/>
      </c>
      <c r="CE379">
        <f>$C379*CE378</f>
        <v/>
      </c>
      <c r="CF379">
        <f>$C379*CF378</f>
        <v/>
      </c>
      <c r="CG379">
        <f>$C379*CG378</f>
        <v/>
      </c>
      <c r="CH379">
        <f>$C379*CH378</f>
        <v/>
      </c>
      <c r="CI379">
        <f>$C379*CI378</f>
        <v/>
      </c>
      <c r="CJ379">
        <f>$C379*CJ378</f>
        <v/>
      </c>
      <c r="CK379">
        <f>$C379*CK378</f>
        <v/>
      </c>
      <c r="CL379">
        <f>$C379*CL378</f>
        <v/>
      </c>
      <c r="CM379">
        <f>$C379*CM378</f>
        <v/>
      </c>
      <c r="CN379">
        <f>$C379*CN378</f>
        <v/>
      </c>
      <c r="CO379">
        <f>$C379*CO378</f>
        <v/>
      </c>
      <c r="CP379">
        <f>$C379*CP378</f>
        <v/>
      </c>
      <c r="CQ379">
        <f>$C379*CQ378</f>
        <v/>
      </c>
      <c r="CR379">
        <f>$C379*CR378</f>
        <v/>
      </c>
      <c r="CS379">
        <f>$C379*CS378</f>
        <v/>
      </c>
      <c r="CT379">
        <f>$C379*CT378</f>
        <v/>
      </c>
      <c r="CU379">
        <f>$C379*CU378</f>
        <v/>
      </c>
      <c r="CV379">
        <f>$C379*CV378</f>
        <v/>
      </c>
      <c r="CW379">
        <f>$C379*CW378</f>
        <v/>
      </c>
      <c r="CX379">
        <f>$C379*CX378</f>
        <v/>
      </c>
      <c r="CY379">
        <f>$C379*CY378</f>
        <v/>
      </c>
      <c r="CZ379">
        <f>$C379*CZ378</f>
        <v/>
      </c>
      <c r="DA379">
        <f>$C379*DA378</f>
        <v/>
      </c>
      <c r="DB379">
        <f>$C379*DB378</f>
        <v/>
      </c>
      <c r="DC379">
        <f>$C379*DC378</f>
        <v/>
      </c>
      <c r="DD379">
        <f>$C379*DD378</f>
        <v/>
      </c>
    </row>
    <row r="380">
      <c r="B380" t="inlineStr">
        <is>
          <t>TSP-558</t>
        </is>
      </c>
      <c r="C380" t="inlineStr">
        <is>
          <t>No. of batches</t>
        </is>
      </c>
      <c r="D380">
        <f>IFERROR(INDEX(E380:DD380,$F$1),"")</f>
        <v/>
      </c>
      <c r="E380">
        <f>IFERROR(INDEX(PP_Grid[#Data],$DE380,2),0)</f>
        <v/>
      </c>
      <c r="F380">
        <f>IFERROR(INDEX(PP_Grid[#Data],$DE380,3),0)</f>
        <v/>
      </c>
      <c r="G380">
        <f>IFERROR(INDEX(PP_Grid[#Data],$DE380,4),0)</f>
        <v/>
      </c>
      <c r="H380">
        <f>IFERROR(INDEX(PP_Grid[#Data],$DE380,5),0)</f>
        <v/>
      </c>
      <c r="I380">
        <f>IFERROR(INDEX(PP_Grid[#Data],$DE380,6),0)</f>
        <v/>
      </c>
      <c r="J380">
        <f>IFERROR(INDEX(PP_Grid[#Data],$DE380,7),0)</f>
        <v/>
      </c>
      <c r="K380">
        <f>IFERROR(INDEX(PP_Grid[#Data],$DE380,8),0)</f>
        <v/>
      </c>
      <c r="L380">
        <f>IFERROR(INDEX(PP_Grid[#Data],$DE380,9),0)</f>
        <v/>
      </c>
      <c r="M380">
        <f>IFERROR(INDEX(PP_Grid[#Data],$DE380,10),0)</f>
        <v/>
      </c>
      <c r="N380">
        <f>IFERROR(INDEX(PP_Grid[#Data],$DE380,11),0)</f>
        <v/>
      </c>
      <c r="O380">
        <f>IFERROR(INDEX(PP_Grid[#Data],$DE380,12),0)</f>
        <v/>
      </c>
      <c r="P380">
        <f>IFERROR(INDEX(PP_Grid[#Data],$DE380,13),0)</f>
        <v/>
      </c>
      <c r="Q380">
        <f>IFERROR(INDEX(PP_Grid[#Data],$DE380,14),0)</f>
        <v/>
      </c>
      <c r="R380">
        <f>IFERROR(INDEX(PP_Grid[#Data],$DE380,15),0)</f>
        <v/>
      </c>
      <c r="S380">
        <f>IFERROR(INDEX(PP_Grid[#Data],$DE380,16),0)</f>
        <v/>
      </c>
      <c r="T380">
        <f>IFERROR(INDEX(PP_Grid[#Data],$DE380,17),0)</f>
        <v/>
      </c>
      <c r="U380">
        <f>IFERROR(INDEX(PP_Grid[#Data],$DE380,18),0)</f>
        <v/>
      </c>
      <c r="V380">
        <f>IFERROR(INDEX(PP_Grid[#Data],$DE380,19),0)</f>
        <v/>
      </c>
      <c r="W380">
        <f>IFERROR(INDEX(PP_Grid[#Data],$DE380,20),0)</f>
        <v/>
      </c>
      <c r="X380">
        <f>IFERROR(INDEX(PP_Grid[#Data],$DE380,21),0)</f>
        <v/>
      </c>
      <c r="Y380">
        <f>IFERROR(INDEX(PP_Grid[#Data],$DE380,22),0)</f>
        <v/>
      </c>
      <c r="Z380">
        <f>IFERROR(INDEX(PP_Grid[#Data],$DE380,23),0)</f>
        <v/>
      </c>
      <c r="AA380">
        <f>IFERROR(INDEX(PP_Grid[#Data],$DE380,24),0)</f>
        <v/>
      </c>
      <c r="AB380">
        <f>IFERROR(INDEX(PP_Grid[#Data],$DE380,25),0)</f>
        <v/>
      </c>
      <c r="AC380">
        <f>IFERROR(INDEX(PP_Grid[#Data],$DE380,26),0)</f>
        <v/>
      </c>
      <c r="AD380">
        <f>IFERROR(INDEX(PP_Grid[#Data],$DE380,27),0)</f>
        <v/>
      </c>
      <c r="AE380">
        <f>IFERROR(INDEX(PP_Grid[#Data],$DE380,28),0)</f>
        <v/>
      </c>
      <c r="AF380">
        <f>IFERROR(INDEX(PP_Grid[#Data],$DE380,29),0)</f>
        <v/>
      </c>
      <c r="AG380">
        <f>IFERROR(INDEX(PP_Grid[#Data],$DE380,30),0)</f>
        <v/>
      </c>
      <c r="AH380">
        <f>IFERROR(INDEX(PP_Grid[#Data],$DE380,31),0)</f>
        <v/>
      </c>
      <c r="AI380">
        <f>IFERROR(INDEX(PP_Grid[#Data],$DE380,32),0)</f>
        <v/>
      </c>
      <c r="AJ380">
        <f>IFERROR(INDEX(PP_Grid[#Data],$DE380,33),0)</f>
        <v/>
      </c>
      <c r="AK380">
        <f>IFERROR(INDEX(PP_Grid[#Data],$DE380,34),0)</f>
        <v/>
      </c>
      <c r="AL380">
        <f>IFERROR(INDEX(PP_Grid[#Data],$DE380,35),0)</f>
        <v/>
      </c>
      <c r="AM380">
        <f>IFERROR(INDEX(PP_Grid[#Data],$DE380,36),0)</f>
        <v/>
      </c>
      <c r="AN380">
        <f>IFERROR(INDEX(PP_Grid[#Data],$DE380,37),0)</f>
        <v/>
      </c>
      <c r="AO380">
        <f>IFERROR(INDEX(PP_Grid[#Data],$DE380,38),0)</f>
        <v/>
      </c>
      <c r="AP380">
        <f>IFERROR(INDEX(PP_Grid[#Data],$DE380,39),0)</f>
        <v/>
      </c>
      <c r="AQ380">
        <f>IFERROR(INDEX(PP_Grid[#Data],$DE380,40),0)</f>
        <v/>
      </c>
      <c r="AR380">
        <f>IFERROR(INDEX(PP_Grid[#Data],$DE380,41),0)</f>
        <v/>
      </c>
      <c r="AS380">
        <f>IFERROR(INDEX(PP_Grid[#Data],$DE380,42),0)</f>
        <v/>
      </c>
      <c r="AT380">
        <f>IFERROR(INDEX(PP_Grid[#Data],$DE380,43),0)</f>
        <v/>
      </c>
      <c r="AU380">
        <f>IFERROR(INDEX(PP_Grid[#Data],$DE380,44),0)</f>
        <v/>
      </c>
      <c r="AV380">
        <f>IFERROR(INDEX(PP_Grid[#Data],$DE380,45),0)</f>
        <v/>
      </c>
      <c r="AW380">
        <f>IFERROR(INDEX(PP_Grid[#Data],$DE380,46),0)</f>
        <v/>
      </c>
      <c r="AX380">
        <f>IFERROR(INDEX(PP_Grid[#Data],$DE380,47),0)</f>
        <v/>
      </c>
      <c r="AY380">
        <f>IFERROR(INDEX(PP_Grid[#Data],$DE380,48),0)</f>
        <v/>
      </c>
      <c r="AZ380">
        <f>IFERROR(INDEX(PP_Grid[#Data],$DE380,49),0)</f>
        <v/>
      </c>
      <c r="BA380">
        <f>IFERROR(INDEX(PP_Grid[#Data],$DE380,50),0)</f>
        <v/>
      </c>
      <c r="BB380">
        <f>IFERROR(INDEX(PP_Grid[#Data],$DE380,51),0)</f>
        <v/>
      </c>
      <c r="BC380">
        <f>IFERROR(INDEX(PP_Grid[#Data],$DE380,52),0)</f>
        <v/>
      </c>
      <c r="BD380">
        <f>IFERROR(INDEX(PP_Grid[#Data],$DE380,53),0)</f>
        <v/>
      </c>
      <c r="BE380">
        <f>IFERROR(INDEX(PP_Grid[#Data],$DE380,54),0)</f>
        <v/>
      </c>
      <c r="BF380">
        <f>IFERROR(INDEX(PP_Grid[#Data],$DE380,55),0)</f>
        <v/>
      </c>
      <c r="BG380">
        <f>IFERROR(INDEX(PP_Grid[#Data],$DE380,56),0)</f>
        <v/>
      </c>
      <c r="BH380">
        <f>IFERROR(INDEX(PP_Grid[#Data],$DE380,57),0)</f>
        <v/>
      </c>
      <c r="BI380">
        <f>IFERROR(INDEX(PP_Grid[#Data],$DE380,58),0)</f>
        <v/>
      </c>
      <c r="BJ380">
        <f>IFERROR(INDEX(PP_Grid[#Data],$DE380,59),0)</f>
        <v/>
      </c>
      <c r="BK380">
        <f>IFERROR(INDEX(PP_Grid[#Data],$DE380,60),0)</f>
        <v/>
      </c>
      <c r="BL380">
        <f>IFERROR(INDEX(PP_Grid[#Data],$DE380,61),0)</f>
        <v/>
      </c>
      <c r="BM380">
        <f>IFERROR(INDEX(PP_Grid[#Data],$DE380,62),0)</f>
        <v/>
      </c>
      <c r="BN380">
        <f>IFERROR(INDEX(PP_Grid[#Data],$DE380,63),0)</f>
        <v/>
      </c>
      <c r="BO380">
        <f>IFERROR(INDEX(PP_Grid[#Data],$DE380,64),0)</f>
        <v/>
      </c>
      <c r="BP380">
        <f>IFERROR(INDEX(PP_Grid[#Data],$DE380,65),0)</f>
        <v/>
      </c>
      <c r="BQ380">
        <f>IFERROR(INDEX(PP_Grid[#Data],$DE380,66),0)</f>
        <v/>
      </c>
      <c r="BR380">
        <f>IFERROR(INDEX(PP_Grid[#Data],$DE380,67),0)</f>
        <v/>
      </c>
      <c r="BS380">
        <f>IFERROR(INDEX(PP_Grid[#Data],$DE380,68),0)</f>
        <v/>
      </c>
      <c r="BT380">
        <f>IFERROR(INDEX(PP_Grid[#Data],$DE380,69),0)</f>
        <v/>
      </c>
      <c r="BU380">
        <f>IFERROR(INDEX(PP_Grid[#Data],$DE380,70),0)</f>
        <v/>
      </c>
      <c r="BV380">
        <f>IFERROR(INDEX(PP_Grid[#Data],$DE380,71),0)</f>
        <v/>
      </c>
      <c r="BW380">
        <f>IFERROR(INDEX(PP_Grid[#Data],$DE380,72),0)</f>
        <v/>
      </c>
      <c r="BX380">
        <f>IFERROR(INDEX(PP_Grid[#Data],$DE380,73),0)</f>
        <v/>
      </c>
      <c r="BY380">
        <f>IFERROR(INDEX(PP_Grid[#Data],$DE380,74),0)</f>
        <v/>
      </c>
      <c r="BZ380">
        <f>IFERROR(INDEX(PP_Grid[#Data],$DE380,75),0)</f>
        <v/>
      </c>
      <c r="CA380">
        <f>IFERROR(INDEX(PP_Grid[#Data],$DE380,76),0)</f>
        <v/>
      </c>
      <c r="CB380">
        <f>IFERROR(INDEX(PP_Grid[#Data],$DE380,77),0)</f>
        <v/>
      </c>
      <c r="CC380">
        <f>IFERROR(INDEX(PP_Grid[#Data],$DE380,78),0)</f>
        <v/>
      </c>
      <c r="CD380">
        <f>IFERROR(INDEX(PP_Grid[#Data],$DE380,79),0)</f>
        <v/>
      </c>
      <c r="CE380">
        <f>IFERROR(INDEX(PP_Grid[#Data],$DE380,80),0)</f>
        <v/>
      </c>
      <c r="CF380">
        <f>IFERROR(INDEX(PP_Grid[#Data],$DE380,81),0)</f>
        <v/>
      </c>
      <c r="CG380">
        <f>IFERROR(INDEX(PP_Grid[#Data],$DE380,82),0)</f>
        <v/>
      </c>
      <c r="CH380">
        <f>IFERROR(INDEX(PP_Grid[#Data],$DE380,83),0)</f>
        <v/>
      </c>
      <c r="CI380">
        <f>IFERROR(INDEX(PP_Grid[#Data],$DE380,84),0)</f>
        <v/>
      </c>
      <c r="CJ380">
        <f>IFERROR(INDEX(PP_Grid[#Data],$DE380,85),0)</f>
        <v/>
      </c>
      <c r="CK380">
        <f>IFERROR(INDEX(PP_Grid[#Data],$DE380,86),0)</f>
        <v/>
      </c>
      <c r="CL380">
        <f>IFERROR(INDEX(PP_Grid[#Data],$DE380,87),0)</f>
        <v/>
      </c>
      <c r="CM380">
        <f>IFERROR(INDEX(PP_Grid[#Data],$DE380,88),0)</f>
        <v/>
      </c>
      <c r="CN380">
        <f>IFERROR(INDEX(PP_Grid[#Data],$DE380,89),0)</f>
        <v/>
      </c>
      <c r="CO380">
        <f>IFERROR(INDEX(PP_Grid[#Data],$DE380,90),0)</f>
        <v/>
      </c>
      <c r="CP380">
        <f>IFERROR(INDEX(PP_Grid[#Data],$DE380,91),0)</f>
        <v/>
      </c>
      <c r="CQ380">
        <f>IFERROR(INDEX(PP_Grid[#Data],$DE380,92),0)</f>
        <v/>
      </c>
      <c r="CR380">
        <f>IFERROR(INDEX(PP_Grid[#Data],$DE380,93),0)</f>
        <v/>
      </c>
      <c r="CS380">
        <f>IFERROR(INDEX(PP_Grid[#Data],$DE380,94),0)</f>
        <v/>
      </c>
      <c r="CT380">
        <f>IFERROR(INDEX(PP_Grid[#Data],$DE380,95),0)</f>
        <v/>
      </c>
      <c r="CU380">
        <f>IFERROR(INDEX(PP_Grid[#Data],$DE380,96),0)</f>
        <v/>
      </c>
      <c r="CV380">
        <f>IFERROR(INDEX(PP_Grid[#Data],$DE380,97),0)</f>
        <v/>
      </c>
      <c r="CW380">
        <f>IFERROR(INDEX(PP_Grid[#Data],$DE380,98),0)</f>
        <v/>
      </c>
      <c r="CX380">
        <f>IFERROR(INDEX(PP_Grid[#Data],$DE380,99),0)</f>
        <v/>
      </c>
      <c r="CY380">
        <f>IFERROR(INDEX(PP_Grid[#Data],$DE380,100),0)</f>
        <v/>
      </c>
      <c r="CZ380">
        <f>IFERROR(INDEX(PP_Grid[#Data],$DE380,101),0)</f>
        <v/>
      </c>
      <c r="DA380">
        <f>IFERROR(INDEX(PP_Grid[#Data],$DE380,102),0)</f>
        <v/>
      </c>
      <c r="DB380">
        <f>IFERROR(INDEX(PP_Grid[#Data],$DE380,103),0)</f>
        <v/>
      </c>
      <c r="DC380">
        <f>IFERROR(INDEX(PP_Grid[#Data],$DE380,104),0)</f>
        <v/>
      </c>
      <c r="DD380">
        <f>IFERROR(INDEX(PP_Grid[#Data],$DE380,105),0)</f>
        <v/>
      </c>
      <c r="DE380" s="7">
        <f>IFERROR(MATCH($B380,PP_Grid[Intermediate],0),99999)</f>
        <v/>
      </c>
    </row>
    <row r="381">
      <c r="B381" t="inlineStr">
        <is>
          <t>使用量(kg)</t>
        </is>
      </c>
      <c r="C381">
        <f>SUMIFS(M_BOM[RM_Qty_Per_Batch],M_BOM[Intermediate],$B380,M_BOM[RM_Code],$A325)</f>
        <v/>
      </c>
      <c r="D381">
        <f>IFERROR(INDEX(E381:DD381,$F$1),"")</f>
        <v/>
      </c>
      <c r="E381">
        <f>$C381*E380</f>
        <v/>
      </c>
      <c r="F381">
        <f>$C381*F380</f>
        <v/>
      </c>
      <c r="G381">
        <f>$C381*G380</f>
        <v/>
      </c>
      <c r="H381">
        <f>$C381*H380</f>
        <v/>
      </c>
      <c r="I381">
        <f>$C381*I380</f>
        <v/>
      </c>
      <c r="J381">
        <f>$C381*J380</f>
        <v/>
      </c>
      <c r="K381">
        <f>$C381*K380</f>
        <v/>
      </c>
      <c r="L381">
        <f>$C381*L380</f>
        <v/>
      </c>
      <c r="M381">
        <f>$C381*M380</f>
        <v/>
      </c>
      <c r="N381">
        <f>$C381*N380</f>
        <v/>
      </c>
      <c r="O381">
        <f>$C381*O380</f>
        <v/>
      </c>
      <c r="P381">
        <f>$C381*P380</f>
        <v/>
      </c>
      <c r="Q381">
        <f>$C381*Q380</f>
        <v/>
      </c>
      <c r="R381">
        <f>$C381*R380</f>
        <v/>
      </c>
      <c r="S381">
        <f>$C381*S380</f>
        <v/>
      </c>
      <c r="T381">
        <f>$C381*T380</f>
        <v/>
      </c>
      <c r="U381">
        <f>$C381*U380</f>
        <v/>
      </c>
      <c r="V381">
        <f>$C381*V380</f>
        <v/>
      </c>
      <c r="W381">
        <f>$C381*W380</f>
        <v/>
      </c>
      <c r="X381">
        <f>$C381*X380</f>
        <v/>
      </c>
      <c r="Y381">
        <f>$C381*Y380</f>
        <v/>
      </c>
      <c r="Z381">
        <f>$C381*Z380</f>
        <v/>
      </c>
      <c r="AA381">
        <f>$C381*AA380</f>
        <v/>
      </c>
      <c r="AB381">
        <f>$C381*AB380</f>
        <v/>
      </c>
      <c r="AC381">
        <f>$C381*AC380</f>
        <v/>
      </c>
      <c r="AD381">
        <f>$C381*AD380</f>
        <v/>
      </c>
      <c r="AE381">
        <f>$C381*AE380</f>
        <v/>
      </c>
      <c r="AF381">
        <f>$C381*AF380</f>
        <v/>
      </c>
      <c r="AG381">
        <f>$C381*AG380</f>
        <v/>
      </c>
      <c r="AH381">
        <f>$C381*AH380</f>
        <v/>
      </c>
      <c r="AI381">
        <f>$C381*AI380</f>
        <v/>
      </c>
      <c r="AJ381">
        <f>$C381*AJ380</f>
        <v/>
      </c>
      <c r="AK381">
        <f>$C381*AK380</f>
        <v/>
      </c>
      <c r="AL381">
        <f>$C381*AL380</f>
        <v/>
      </c>
      <c r="AM381">
        <f>$C381*AM380</f>
        <v/>
      </c>
      <c r="AN381">
        <f>$C381*AN380</f>
        <v/>
      </c>
      <c r="AO381">
        <f>$C381*AO380</f>
        <v/>
      </c>
      <c r="AP381">
        <f>$C381*AP380</f>
        <v/>
      </c>
      <c r="AQ381">
        <f>$C381*AQ380</f>
        <v/>
      </c>
      <c r="AR381">
        <f>$C381*AR380</f>
        <v/>
      </c>
      <c r="AS381">
        <f>$C381*AS380</f>
        <v/>
      </c>
      <c r="AT381">
        <f>$C381*AT380</f>
        <v/>
      </c>
      <c r="AU381">
        <f>$C381*AU380</f>
        <v/>
      </c>
      <c r="AV381">
        <f>$C381*AV380</f>
        <v/>
      </c>
      <c r="AW381">
        <f>$C381*AW380</f>
        <v/>
      </c>
      <c r="AX381">
        <f>$C381*AX380</f>
        <v/>
      </c>
      <c r="AY381">
        <f>$C381*AY380</f>
        <v/>
      </c>
      <c r="AZ381">
        <f>$C381*AZ380</f>
        <v/>
      </c>
      <c r="BA381">
        <f>$C381*BA380</f>
        <v/>
      </c>
      <c r="BB381">
        <f>$C381*BB380</f>
        <v/>
      </c>
      <c r="BC381">
        <f>$C381*BC380</f>
        <v/>
      </c>
      <c r="BD381">
        <f>$C381*BD380</f>
        <v/>
      </c>
      <c r="BE381">
        <f>$C381*BE380</f>
        <v/>
      </c>
      <c r="BF381">
        <f>$C381*BF380</f>
        <v/>
      </c>
      <c r="BG381">
        <f>$C381*BG380</f>
        <v/>
      </c>
      <c r="BH381">
        <f>$C381*BH380</f>
        <v/>
      </c>
      <c r="BI381">
        <f>$C381*BI380</f>
        <v/>
      </c>
      <c r="BJ381">
        <f>$C381*BJ380</f>
        <v/>
      </c>
      <c r="BK381">
        <f>$C381*BK380</f>
        <v/>
      </c>
      <c r="BL381">
        <f>$C381*BL380</f>
        <v/>
      </c>
      <c r="BM381">
        <f>$C381*BM380</f>
        <v/>
      </c>
      <c r="BN381">
        <f>$C381*BN380</f>
        <v/>
      </c>
      <c r="BO381">
        <f>$C381*BO380</f>
        <v/>
      </c>
      <c r="BP381">
        <f>$C381*BP380</f>
        <v/>
      </c>
      <c r="BQ381">
        <f>$C381*BQ380</f>
        <v/>
      </c>
      <c r="BR381">
        <f>$C381*BR380</f>
        <v/>
      </c>
      <c r="BS381">
        <f>$C381*BS380</f>
        <v/>
      </c>
      <c r="BT381">
        <f>$C381*BT380</f>
        <v/>
      </c>
      <c r="BU381">
        <f>$C381*BU380</f>
        <v/>
      </c>
      <c r="BV381">
        <f>$C381*BV380</f>
        <v/>
      </c>
      <c r="BW381">
        <f>$C381*BW380</f>
        <v/>
      </c>
      <c r="BX381">
        <f>$C381*BX380</f>
        <v/>
      </c>
      <c r="BY381">
        <f>$C381*BY380</f>
        <v/>
      </c>
      <c r="BZ381">
        <f>$C381*BZ380</f>
        <v/>
      </c>
      <c r="CA381">
        <f>$C381*CA380</f>
        <v/>
      </c>
      <c r="CB381">
        <f>$C381*CB380</f>
        <v/>
      </c>
      <c r="CC381">
        <f>$C381*CC380</f>
        <v/>
      </c>
      <c r="CD381">
        <f>$C381*CD380</f>
        <v/>
      </c>
      <c r="CE381">
        <f>$C381*CE380</f>
        <v/>
      </c>
      <c r="CF381">
        <f>$C381*CF380</f>
        <v/>
      </c>
      <c r="CG381">
        <f>$C381*CG380</f>
        <v/>
      </c>
      <c r="CH381">
        <f>$C381*CH380</f>
        <v/>
      </c>
      <c r="CI381">
        <f>$C381*CI380</f>
        <v/>
      </c>
      <c r="CJ381">
        <f>$C381*CJ380</f>
        <v/>
      </c>
      <c r="CK381">
        <f>$C381*CK380</f>
        <v/>
      </c>
      <c r="CL381">
        <f>$C381*CL380</f>
        <v/>
      </c>
      <c r="CM381">
        <f>$C381*CM380</f>
        <v/>
      </c>
      <c r="CN381">
        <f>$C381*CN380</f>
        <v/>
      </c>
      <c r="CO381">
        <f>$C381*CO380</f>
        <v/>
      </c>
      <c r="CP381">
        <f>$C381*CP380</f>
        <v/>
      </c>
      <c r="CQ381">
        <f>$C381*CQ380</f>
        <v/>
      </c>
      <c r="CR381">
        <f>$C381*CR380</f>
        <v/>
      </c>
      <c r="CS381">
        <f>$C381*CS380</f>
        <v/>
      </c>
      <c r="CT381">
        <f>$C381*CT380</f>
        <v/>
      </c>
      <c r="CU381">
        <f>$C381*CU380</f>
        <v/>
      </c>
      <c r="CV381">
        <f>$C381*CV380</f>
        <v/>
      </c>
      <c r="CW381">
        <f>$C381*CW380</f>
        <v/>
      </c>
      <c r="CX381">
        <f>$C381*CX380</f>
        <v/>
      </c>
      <c r="CY381">
        <f>$C381*CY380</f>
        <v/>
      </c>
      <c r="CZ381">
        <f>$C381*CZ380</f>
        <v/>
      </c>
      <c r="DA381">
        <f>$C381*DA380</f>
        <v/>
      </c>
      <c r="DB381">
        <f>$C381*DB380</f>
        <v/>
      </c>
      <c r="DC381">
        <f>$C381*DC380</f>
        <v/>
      </c>
      <c r="DD381">
        <f>$C381*DD380</f>
        <v/>
      </c>
    </row>
    <row r="382">
      <c r="B382" t="inlineStr">
        <is>
          <t>TSP-618</t>
        </is>
      </c>
      <c r="C382" t="inlineStr">
        <is>
          <t>No. of batches</t>
        </is>
      </c>
      <c r="D382">
        <f>IFERROR(INDEX(E382:DD382,$F$1),"")</f>
        <v/>
      </c>
      <c r="E382">
        <f>IFERROR(INDEX(PP_Grid[#Data],$DE382,2),0)</f>
        <v/>
      </c>
      <c r="F382">
        <f>IFERROR(INDEX(PP_Grid[#Data],$DE382,3),0)</f>
        <v/>
      </c>
      <c r="G382">
        <f>IFERROR(INDEX(PP_Grid[#Data],$DE382,4),0)</f>
        <v/>
      </c>
      <c r="H382">
        <f>IFERROR(INDEX(PP_Grid[#Data],$DE382,5),0)</f>
        <v/>
      </c>
      <c r="I382">
        <f>IFERROR(INDEX(PP_Grid[#Data],$DE382,6),0)</f>
        <v/>
      </c>
      <c r="J382">
        <f>IFERROR(INDEX(PP_Grid[#Data],$DE382,7),0)</f>
        <v/>
      </c>
      <c r="K382">
        <f>IFERROR(INDEX(PP_Grid[#Data],$DE382,8),0)</f>
        <v/>
      </c>
      <c r="L382">
        <f>IFERROR(INDEX(PP_Grid[#Data],$DE382,9),0)</f>
        <v/>
      </c>
      <c r="M382">
        <f>IFERROR(INDEX(PP_Grid[#Data],$DE382,10),0)</f>
        <v/>
      </c>
      <c r="N382">
        <f>IFERROR(INDEX(PP_Grid[#Data],$DE382,11),0)</f>
        <v/>
      </c>
      <c r="O382">
        <f>IFERROR(INDEX(PP_Grid[#Data],$DE382,12),0)</f>
        <v/>
      </c>
      <c r="P382">
        <f>IFERROR(INDEX(PP_Grid[#Data],$DE382,13),0)</f>
        <v/>
      </c>
      <c r="Q382">
        <f>IFERROR(INDEX(PP_Grid[#Data],$DE382,14),0)</f>
        <v/>
      </c>
      <c r="R382">
        <f>IFERROR(INDEX(PP_Grid[#Data],$DE382,15),0)</f>
        <v/>
      </c>
      <c r="S382">
        <f>IFERROR(INDEX(PP_Grid[#Data],$DE382,16),0)</f>
        <v/>
      </c>
      <c r="T382">
        <f>IFERROR(INDEX(PP_Grid[#Data],$DE382,17),0)</f>
        <v/>
      </c>
      <c r="U382">
        <f>IFERROR(INDEX(PP_Grid[#Data],$DE382,18),0)</f>
        <v/>
      </c>
      <c r="V382">
        <f>IFERROR(INDEX(PP_Grid[#Data],$DE382,19),0)</f>
        <v/>
      </c>
      <c r="W382">
        <f>IFERROR(INDEX(PP_Grid[#Data],$DE382,20),0)</f>
        <v/>
      </c>
      <c r="X382">
        <f>IFERROR(INDEX(PP_Grid[#Data],$DE382,21),0)</f>
        <v/>
      </c>
      <c r="Y382">
        <f>IFERROR(INDEX(PP_Grid[#Data],$DE382,22),0)</f>
        <v/>
      </c>
      <c r="Z382">
        <f>IFERROR(INDEX(PP_Grid[#Data],$DE382,23),0)</f>
        <v/>
      </c>
      <c r="AA382">
        <f>IFERROR(INDEX(PP_Grid[#Data],$DE382,24),0)</f>
        <v/>
      </c>
      <c r="AB382">
        <f>IFERROR(INDEX(PP_Grid[#Data],$DE382,25),0)</f>
        <v/>
      </c>
      <c r="AC382">
        <f>IFERROR(INDEX(PP_Grid[#Data],$DE382,26),0)</f>
        <v/>
      </c>
      <c r="AD382">
        <f>IFERROR(INDEX(PP_Grid[#Data],$DE382,27),0)</f>
        <v/>
      </c>
      <c r="AE382">
        <f>IFERROR(INDEX(PP_Grid[#Data],$DE382,28),0)</f>
        <v/>
      </c>
      <c r="AF382">
        <f>IFERROR(INDEX(PP_Grid[#Data],$DE382,29),0)</f>
        <v/>
      </c>
      <c r="AG382">
        <f>IFERROR(INDEX(PP_Grid[#Data],$DE382,30),0)</f>
        <v/>
      </c>
      <c r="AH382">
        <f>IFERROR(INDEX(PP_Grid[#Data],$DE382,31),0)</f>
        <v/>
      </c>
      <c r="AI382">
        <f>IFERROR(INDEX(PP_Grid[#Data],$DE382,32),0)</f>
        <v/>
      </c>
      <c r="AJ382">
        <f>IFERROR(INDEX(PP_Grid[#Data],$DE382,33),0)</f>
        <v/>
      </c>
      <c r="AK382">
        <f>IFERROR(INDEX(PP_Grid[#Data],$DE382,34),0)</f>
        <v/>
      </c>
      <c r="AL382">
        <f>IFERROR(INDEX(PP_Grid[#Data],$DE382,35),0)</f>
        <v/>
      </c>
      <c r="AM382">
        <f>IFERROR(INDEX(PP_Grid[#Data],$DE382,36),0)</f>
        <v/>
      </c>
      <c r="AN382">
        <f>IFERROR(INDEX(PP_Grid[#Data],$DE382,37),0)</f>
        <v/>
      </c>
      <c r="AO382">
        <f>IFERROR(INDEX(PP_Grid[#Data],$DE382,38),0)</f>
        <v/>
      </c>
      <c r="AP382">
        <f>IFERROR(INDEX(PP_Grid[#Data],$DE382,39),0)</f>
        <v/>
      </c>
      <c r="AQ382">
        <f>IFERROR(INDEX(PP_Grid[#Data],$DE382,40),0)</f>
        <v/>
      </c>
      <c r="AR382">
        <f>IFERROR(INDEX(PP_Grid[#Data],$DE382,41),0)</f>
        <v/>
      </c>
      <c r="AS382">
        <f>IFERROR(INDEX(PP_Grid[#Data],$DE382,42),0)</f>
        <v/>
      </c>
      <c r="AT382">
        <f>IFERROR(INDEX(PP_Grid[#Data],$DE382,43),0)</f>
        <v/>
      </c>
      <c r="AU382">
        <f>IFERROR(INDEX(PP_Grid[#Data],$DE382,44),0)</f>
        <v/>
      </c>
      <c r="AV382">
        <f>IFERROR(INDEX(PP_Grid[#Data],$DE382,45),0)</f>
        <v/>
      </c>
      <c r="AW382">
        <f>IFERROR(INDEX(PP_Grid[#Data],$DE382,46),0)</f>
        <v/>
      </c>
      <c r="AX382">
        <f>IFERROR(INDEX(PP_Grid[#Data],$DE382,47),0)</f>
        <v/>
      </c>
      <c r="AY382">
        <f>IFERROR(INDEX(PP_Grid[#Data],$DE382,48),0)</f>
        <v/>
      </c>
      <c r="AZ382">
        <f>IFERROR(INDEX(PP_Grid[#Data],$DE382,49),0)</f>
        <v/>
      </c>
      <c r="BA382">
        <f>IFERROR(INDEX(PP_Grid[#Data],$DE382,50),0)</f>
        <v/>
      </c>
      <c r="BB382">
        <f>IFERROR(INDEX(PP_Grid[#Data],$DE382,51),0)</f>
        <v/>
      </c>
      <c r="BC382">
        <f>IFERROR(INDEX(PP_Grid[#Data],$DE382,52),0)</f>
        <v/>
      </c>
      <c r="BD382">
        <f>IFERROR(INDEX(PP_Grid[#Data],$DE382,53),0)</f>
        <v/>
      </c>
      <c r="BE382">
        <f>IFERROR(INDEX(PP_Grid[#Data],$DE382,54),0)</f>
        <v/>
      </c>
      <c r="BF382">
        <f>IFERROR(INDEX(PP_Grid[#Data],$DE382,55),0)</f>
        <v/>
      </c>
      <c r="BG382">
        <f>IFERROR(INDEX(PP_Grid[#Data],$DE382,56),0)</f>
        <v/>
      </c>
      <c r="BH382">
        <f>IFERROR(INDEX(PP_Grid[#Data],$DE382,57),0)</f>
        <v/>
      </c>
      <c r="BI382">
        <f>IFERROR(INDEX(PP_Grid[#Data],$DE382,58),0)</f>
        <v/>
      </c>
      <c r="BJ382">
        <f>IFERROR(INDEX(PP_Grid[#Data],$DE382,59),0)</f>
        <v/>
      </c>
      <c r="BK382">
        <f>IFERROR(INDEX(PP_Grid[#Data],$DE382,60),0)</f>
        <v/>
      </c>
      <c r="BL382">
        <f>IFERROR(INDEX(PP_Grid[#Data],$DE382,61),0)</f>
        <v/>
      </c>
      <c r="BM382">
        <f>IFERROR(INDEX(PP_Grid[#Data],$DE382,62),0)</f>
        <v/>
      </c>
      <c r="BN382">
        <f>IFERROR(INDEX(PP_Grid[#Data],$DE382,63),0)</f>
        <v/>
      </c>
      <c r="BO382">
        <f>IFERROR(INDEX(PP_Grid[#Data],$DE382,64),0)</f>
        <v/>
      </c>
      <c r="BP382">
        <f>IFERROR(INDEX(PP_Grid[#Data],$DE382,65),0)</f>
        <v/>
      </c>
      <c r="BQ382">
        <f>IFERROR(INDEX(PP_Grid[#Data],$DE382,66),0)</f>
        <v/>
      </c>
      <c r="BR382">
        <f>IFERROR(INDEX(PP_Grid[#Data],$DE382,67),0)</f>
        <v/>
      </c>
      <c r="BS382">
        <f>IFERROR(INDEX(PP_Grid[#Data],$DE382,68),0)</f>
        <v/>
      </c>
      <c r="BT382">
        <f>IFERROR(INDEX(PP_Grid[#Data],$DE382,69),0)</f>
        <v/>
      </c>
      <c r="BU382">
        <f>IFERROR(INDEX(PP_Grid[#Data],$DE382,70),0)</f>
        <v/>
      </c>
      <c r="BV382">
        <f>IFERROR(INDEX(PP_Grid[#Data],$DE382,71),0)</f>
        <v/>
      </c>
      <c r="BW382">
        <f>IFERROR(INDEX(PP_Grid[#Data],$DE382,72),0)</f>
        <v/>
      </c>
      <c r="BX382">
        <f>IFERROR(INDEX(PP_Grid[#Data],$DE382,73),0)</f>
        <v/>
      </c>
      <c r="BY382">
        <f>IFERROR(INDEX(PP_Grid[#Data],$DE382,74),0)</f>
        <v/>
      </c>
      <c r="BZ382">
        <f>IFERROR(INDEX(PP_Grid[#Data],$DE382,75),0)</f>
        <v/>
      </c>
      <c r="CA382">
        <f>IFERROR(INDEX(PP_Grid[#Data],$DE382,76),0)</f>
        <v/>
      </c>
      <c r="CB382">
        <f>IFERROR(INDEX(PP_Grid[#Data],$DE382,77),0)</f>
        <v/>
      </c>
      <c r="CC382">
        <f>IFERROR(INDEX(PP_Grid[#Data],$DE382,78),0)</f>
        <v/>
      </c>
      <c r="CD382">
        <f>IFERROR(INDEX(PP_Grid[#Data],$DE382,79),0)</f>
        <v/>
      </c>
      <c r="CE382">
        <f>IFERROR(INDEX(PP_Grid[#Data],$DE382,80),0)</f>
        <v/>
      </c>
      <c r="CF382">
        <f>IFERROR(INDEX(PP_Grid[#Data],$DE382,81),0)</f>
        <v/>
      </c>
      <c r="CG382">
        <f>IFERROR(INDEX(PP_Grid[#Data],$DE382,82),0)</f>
        <v/>
      </c>
      <c r="CH382">
        <f>IFERROR(INDEX(PP_Grid[#Data],$DE382,83),0)</f>
        <v/>
      </c>
      <c r="CI382">
        <f>IFERROR(INDEX(PP_Grid[#Data],$DE382,84),0)</f>
        <v/>
      </c>
      <c r="CJ382">
        <f>IFERROR(INDEX(PP_Grid[#Data],$DE382,85),0)</f>
        <v/>
      </c>
      <c r="CK382">
        <f>IFERROR(INDEX(PP_Grid[#Data],$DE382,86),0)</f>
        <v/>
      </c>
      <c r="CL382">
        <f>IFERROR(INDEX(PP_Grid[#Data],$DE382,87),0)</f>
        <v/>
      </c>
      <c r="CM382">
        <f>IFERROR(INDEX(PP_Grid[#Data],$DE382,88),0)</f>
        <v/>
      </c>
      <c r="CN382">
        <f>IFERROR(INDEX(PP_Grid[#Data],$DE382,89),0)</f>
        <v/>
      </c>
      <c r="CO382">
        <f>IFERROR(INDEX(PP_Grid[#Data],$DE382,90),0)</f>
        <v/>
      </c>
      <c r="CP382">
        <f>IFERROR(INDEX(PP_Grid[#Data],$DE382,91),0)</f>
        <v/>
      </c>
      <c r="CQ382">
        <f>IFERROR(INDEX(PP_Grid[#Data],$DE382,92),0)</f>
        <v/>
      </c>
      <c r="CR382">
        <f>IFERROR(INDEX(PP_Grid[#Data],$DE382,93),0)</f>
        <v/>
      </c>
      <c r="CS382">
        <f>IFERROR(INDEX(PP_Grid[#Data],$DE382,94),0)</f>
        <v/>
      </c>
      <c r="CT382">
        <f>IFERROR(INDEX(PP_Grid[#Data],$DE382,95),0)</f>
        <v/>
      </c>
      <c r="CU382">
        <f>IFERROR(INDEX(PP_Grid[#Data],$DE382,96),0)</f>
        <v/>
      </c>
      <c r="CV382">
        <f>IFERROR(INDEX(PP_Grid[#Data],$DE382,97),0)</f>
        <v/>
      </c>
      <c r="CW382">
        <f>IFERROR(INDEX(PP_Grid[#Data],$DE382,98),0)</f>
        <v/>
      </c>
      <c r="CX382">
        <f>IFERROR(INDEX(PP_Grid[#Data],$DE382,99),0)</f>
        <v/>
      </c>
      <c r="CY382">
        <f>IFERROR(INDEX(PP_Grid[#Data],$DE382,100),0)</f>
        <v/>
      </c>
      <c r="CZ382">
        <f>IFERROR(INDEX(PP_Grid[#Data],$DE382,101),0)</f>
        <v/>
      </c>
      <c r="DA382">
        <f>IFERROR(INDEX(PP_Grid[#Data],$DE382,102),0)</f>
        <v/>
      </c>
      <c r="DB382">
        <f>IFERROR(INDEX(PP_Grid[#Data],$DE382,103),0)</f>
        <v/>
      </c>
      <c r="DC382">
        <f>IFERROR(INDEX(PP_Grid[#Data],$DE382,104),0)</f>
        <v/>
      </c>
      <c r="DD382">
        <f>IFERROR(INDEX(PP_Grid[#Data],$DE382,105),0)</f>
        <v/>
      </c>
      <c r="DE382" s="7">
        <f>IFERROR(MATCH($B382,PP_Grid[Intermediate],0),99999)</f>
        <v/>
      </c>
    </row>
    <row r="383">
      <c r="B383" t="inlineStr">
        <is>
          <t>使用量(kg)</t>
        </is>
      </c>
      <c r="C383">
        <f>SUMIFS(M_BOM[RM_Qty_Per_Batch],M_BOM[Intermediate],$B382,M_BOM[RM_Code],$A325)</f>
        <v/>
      </c>
      <c r="D383">
        <f>IFERROR(INDEX(E383:DD383,$F$1),"")</f>
        <v/>
      </c>
      <c r="E383">
        <f>$C383*E382</f>
        <v/>
      </c>
      <c r="F383">
        <f>$C383*F382</f>
        <v/>
      </c>
      <c r="G383">
        <f>$C383*G382</f>
        <v/>
      </c>
      <c r="H383">
        <f>$C383*H382</f>
        <v/>
      </c>
      <c r="I383">
        <f>$C383*I382</f>
        <v/>
      </c>
      <c r="J383">
        <f>$C383*J382</f>
        <v/>
      </c>
      <c r="K383">
        <f>$C383*K382</f>
        <v/>
      </c>
      <c r="L383">
        <f>$C383*L382</f>
        <v/>
      </c>
      <c r="M383">
        <f>$C383*M382</f>
        <v/>
      </c>
      <c r="N383">
        <f>$C383*N382</f>
        <v/>
      </c>
      <c r="O383">
        <f>$C383*O382</f>
        <v/>
      </c>
      <c r="P383">
        <f>$C383*P382</f>
        <v/>
      </c>
      <c r="Q383">
        <f>$C383*Q382</f>
        <v/>
      </c>
      <c r="R383">
        <f>$C383*R382</f>
        <v/>
      </c>
      <c r="S383">
        <f>$C383*S382</f>
        <v/>
      </c>
      <c r="T383">
        <f>$C383*T382</f>
        <v/>
      </c>
      <c r="U383">
        <f>$C383*U382</f>
        <v/>
      </c>
      <c r="V383">
        <f>$C383*V382</f>
        <v/>
      </c>
      <c r="W383">
        <f>$C383*W382</f>
        <v/>
      </c>
      <c r="X383">
        <f>$C383*X382</f>
        <v/>
      </c>
      <c r="Y383">
        <f>$C383*Y382</f>
        <v/>
      </c>
      <c r="Z383">
        <f>$C383*Z382</f>
        <v/>
      </c>
      <c r="AA383">
        <f>$C383*AA382</f>
        <v/>
      </c>
      <c r="AB383">
        <f>$C383*AB382</f>
        <v/>
      </c>
      <c r="AC383">
        <f>$C383*AC382</f>
        <v/>
      </c>
      <c r="AD383">
        <f>$C383*AD382</f>
        <v/>
      </c>
      <c r="AE383">
        <f>$C383*AE382</f>
        <v/>
      </c>
      <c r="AF383">
        <f>$C383*AF382</f>
        <v/>
      </c>
      <c r="AG383">
        <f>$C383*AG382</f>
        <v/>
      </c>
      <c r="AH383">
        <f>$C383*AH382</f>
        <v/>
      </c>
      <c r="AI383">
        <f>$C383*AI382</f>
        <v/>
      </c>
      <c r="AJ383">
        <f>$C383*AJ382</f>
        <v/>
      </c>
      <c r="AK383">
        <f>$C383*AK382</f>
        <v/>
      </c>
      <c r="AL383">
        <f>$C383*AL382</f>
        <v/>
      </c>
      <c r="AM383">
        <f>$C383*AM382</f>
        <v/>
      </c>
      <c r="AN383">
        <f>$C383*AN382</f>
        <v/>
      </c>
      <c r="AO383">
        <f>$C383*AO382</f>
        <v/>
      </c>
      <c r="AP383">
        <f>$C383*AP382</f>
        <v/>
      </c>
      <c r="AQ383">
        <f>$C383*AQ382</f>
        <v/>
      </c>
      <c r="AR383">
        <f>$C383*AR382</f>
        <v/>
      </c>
      <c r="AS383">
        <f>$C383*AS382</f>
        <v/>
      </c>
      <c r="AT383">
        <f>$C383*AT382</f>
        <v/>
      </c>
      <c r="AU383">
        <f>$C383*AU382</f>
        <v/>
      </c>
      <c r="AV383">
        <f>$C383*AV382</f>
        <v/>
      </c>
      <c r="AW383">
        <f>$C383*AW382</f>
        <v/>
      </c>
      <c r="AX383">
        <f>$C383*AX382</f>
        <v/>
      </c>
      <c r="AY383">
        <f>$C383*AY382</f>
        <v/>
      </c>
      <c r="AZ383">
        <f>$C383*AZ382</f>
        <v/>
      </c>
      <c r="BA383">
        <f>$C383*BA382</f>
        <v/>
      </c>
      <c r="BB383">
        <f>$C383*BB382</f>
        <v/>
      </c>
      <c r="BC383">
        <f>$C383*BC382</f>
        <v/>
      </c>
      <c r="BD383">
        <f>$C383*BD382</f>
        <v/>
      </c>
      <c r="BE383">
        <f>$C383*BE382</f>
        <v/>
      </c>
      <c r="BF383">
        <f>$C383*BF382</f>
        <v/>
      </c>
      <c r="BG383">
        <f>$C383*BG382</f>
        <v/>
      </c>
      <c r="BH383">
        <f>$C383*BH382</f>
        <v/>
      </c>
      <c r="BI383">
        <f>$C383*BI382</f>
        <v/>
      </c>
      <c r="BJ383">
        <f>$C383*BJ382</f>
        <v/>
      </c>
      <c r="BK383">
        <f>$C383*BK382</f>
        <v/>
      </c>
      <c r="BL383">
        <f>$C383*BL382</f>
        <v/>
      </c>
      <c r="BM383">
        <f>$C383*BM382</f>
        <v/>
      </c>
      <c r="BN383">
        <f>$C383*BN382</f>
        <v/>
      </c>
      <c r="BO383">
        <f>$C383*BO382</f>
        <v/>
      </c>
      <c r="BP383">
        <f>$C383*BP382</f>
        <v/>
      </c>
      <c r="BQ383">
        <f>$C383*BQ382</f>
        <v/>
      </c>
      <c r="BR383">
        <f>$C383*BR382</f>
        <v/>
      </c>
      <c r="BS383">
        <f>$C383*BS382</f>
        <v/>
      </c>
      <c r="BT383">
        <f>$C383*BT382</f>
        <v/>
      </c>
      <c r="BU383">
        <f>$C383*BU382</f>
        <v/>
      </c>
      <c r="BV383">
        <f>$C383*BV382</f>
        <v/>
      </c>
      <c r="BW383">
        <f>$C383*BW382</f>
        <v/>
      </c>
      <c r="BX383">
        <f>$C383*BX382</f>
        <v/>
      </c>
      <c r="BY383">
        <f>$C383*BY382</f>
        <v/>
      </c>
      <c r="BZ383">
        <f>$C383*BZ382</f>
        <v/>
      </c>
      <c r="CA383">
        <f>$C383*CA382</f>
        <v/>
      </c>
      <c r="CB383">
        <f>$C383*CB382</f>
        <v/>
      </c>
      <c r="CC383">
        <f>$C383*CC382</f>
        <v/>
      </c>
      <c r="CD383">
        <f>$C383*CD382</f>
        <v/>
      </c>
      <c r="CE383">
        <f>$C383*CE382</f>
        <v/>
      </c>
      <c r="CF383">
        <f>$C383*CF382</f>
        <v/>
      </c>
      <c r="CG383">
        <f>$C383*CG382</f>
        <v/>
      </c>
      <c r="CH383">
        <f>$C383*CH382</f>
        <v/>
      </c>
      <c r="CI383">
        <f>$C383*CI382</f>
        <v/>
      </c>
      <c r="CJ383">
        <f>$C383*CJ382</f>
        <v/>
      </c>
      <c r="CK383">
        <f>$C383*CK382</f>
        <v/>
      </c>
      <c r="CL383">
        <f>$C383*CL382</f>
        <v/>
      </c>
      <c r="CM383">
        <f>$C383*CM382</f>
        <v/>
      </c>
      <c r="CN383">
        <f>$C383*CN382</f>
        <v/>
      </c>
      <c r="CO383">
        <f>$C383*CO382</f>
        <v/>
      </c>
      <c r="CP383">
        <f>$C383*CP382</f>
        <v/>
      </c>
      <c r="CQ383">
        <f>$C383*CQ382</f>
        <v/>
      </c>
      <c r="CR383">
        <f>$C383*CR382</f>
        <v/>
      </c>
      <c r="CS383">
        <f>$C383*CS382</f>
        <v/>
      </c>
      <c r="CT383">
        <f>$C383*CT382</f>
        <v/>
      </c>
      <c r="CU383">
        <f>$C383*CU382</f>
        <v/>
      </c>
      <c r="CV383">
        <f>$C383*CV382</f>
        <v/>
      </c>
      <c r="CW383">
        <f>$C383*CW382</f>
        <v/>
      </c>
      <c r="CX383">
        <f>$C383*CX382</f>
        <v/>
      </c>
      <c r="CY383">
        <f>$C383*CY382</f>
        <v/>
      </c>
      <c r="CZ383">
        <f>$C383*CZ382</f>
        <v/>
      </c>
      <c r="DA383">
        <f>$C383*DA382</f>
        <v/>
      </c>
      <c r="DB383">
        <f>$C383*DB382</f>
        <v/>
      </c>
      <c r="DC383">
        <f>$C383*DC382</f>
        <v/>
      </c>
      <c r="DD383">
        <f>$C383*DD382</f>
        <v/>
      </c>
    </row>
    <row r="384">
      <c r="B384" t="inlineStr">
        <is>
          <t>TSP-620</t>
        </is>
      </c>
      <c r="C384" t="inlineStr">
        <is>
          <t>No. of batches</t>
        </is>
      </c>
      <c r="D384">
        <f>IFERROR(INDEX(E384:DD384,$F$1),"")</f>
        <v/>
      </c>
      <c r="E384">
        <f>IFERROR(INDEX(PP_Grid[#Data],$DE384,2),0)</f>
        <v/>
      </c>
      <c r="F384">
        <f>IFERROR(INDEX(PP_Grid[#Data],$DE384,3),0)</f>
        <v/>
      </c>
      <c r="G384">
        <f>IFERROR(INDEX(PP_Grid[#Data],$DE384,4),0)</f>
        <v/>
      </c>
      <c r="H384">
        <f>IFERROR(INDEX(PP_Grid[#Data],$DE384,5),0)</f>
        <v/>
      </c>
      <c r="I384">
        <f>IFERROR(INDEX(PP_Grid[#Data],$DE384,6),0)</f>
        <v/>
      </c>
      <c r="J384">
        <f>IFERROR(INDEX(PP_Grid[#Data],$DE384,7),0)</f>
        <v/>
      </c>
      <c r="K384">
        <f>IFERROR(INDEX(PP_Grid[#Data],$DE384,8),0)</f>
        <v/>
      </c>
      <c r="L384">
        <f>IFERROR(INDEX(PP_Grid[#Data],$DE384,9),0)</f>
        <v/>
      </c>
      <c r="M384">
        <f>IFERROR(INDEX(PP_Grid[#Data],$DE384,10),0)</f>
        <v/>
      </c>
      <c r="N384">
        <f>IFERROR(INDEX(PP_Grid[#Data],$DE384,11),0)</f>
        <v/>
      </c>
      <c r="O384">
        <f>IFERROR(INDEX(PP_Grid[#Data],$DE384,12),0)</f>
        <v/>
      </c>
      <c r="P384">
        <f>IFERROR(INDEX(PP_Grid[#Data],$DE384,13),0)</f>
        <v/>
      </c>
      <c r="Q384">
        <f>IFERROR(INDEX(PP_Grid[#Data],$DE384,14),0)</f>
        <v/>
      </c>
      <c r="R384">
        <f>IFERROR(INDEX(PP_Grid[#Data],$DE384,15),0)</f>
        <v/>
      </c>
      <c r="S384">
        <f>IFERROR(INDEX(PP_Grid[#Data],$DE384,16),0)</f>
        <v/>
      </c>
      <c r="T384">
        <f>IFERROR(INDEX(PP_Grid[#Data],$DE384,17),0)</f>
        <v/>
      </c>
      <c r="U384">
        <f>IFERROR(INDEX(PP_Grid[#Data],$DE384,18),0)</f>
        <v/>
      </c>
      <c r="V384">
        <f>IFERROR(INDEX(PP_Grid[#Data],$DE384,19),0)</f>
        <v/>
      </c>
      <c r="W384">
        <f>IFERROR(INDEX(PP_Grid[#Data],$DE384,20),0)</f>
        <v/>
      </c>
      <c r="X384">
        <f>IFERROR(INDEX(PP_Grid[#Data],$DE384,21),0)</f>
        <v/>
      </c>
      <c r="Y384">
        <f>IFERROR(INDEX(PP_Grid[#Data],$DE384,22),0)</f>
        <v/>
      </c>
      <c r="Z384">
        <f>IFERROR(INDEX(PP_Grid[#Data],$DE384,23),0)</f>
        <v/>
      </c>
      <c r="AA384">
        <f>IFERROR(INDEX(PP_Grid[#Data],$DE384,24),0)</f>
        <v/>
      </c>
      <c r="AB384">
        <f>IFERROR(INDEX(PP_Grid[#Data],$DE384,25),0)</f>
        <v/>
      </c>
      <c r="AC384">
        <f>IFERROR(INDEX(PP_Grid[#Data],$DE384,26),0)</f>
        <v/>
      </c>
      <c r="AD384">
        <f>IFERROR(INDEX(PP_Grid[#Data],$DE384,27),0)</f>
        <v/>
      </c>
      <c r="AE384">
        <f>IFERROR(INDEX(PP_Grid[#Data],$DE384,28),0)</f>
        <v/>
      </c>
      <c r="AF384">
        <f>IFERROR(INDEX(PP_Grid[#Data],$DE384,29),0)</f>
        <v/>
      </c>
      <c r="AG384">
        <f>IFERROR(INDEX(PP_Grid[#Data],$DE384,30),0)</f>
        <v/>
      </c>
      <c r="AH384">
        <f>IFERROR(INDEX(PP_Grid[#Data],$DE384,31),0)</f>
        <v/>
      </c>
      <c r="AI384">
        <f>IFERROR(INDEX(PP_Grid[#Data],$DE384,32),0)</f>
        <v/>
      </c>
      <c r="AJ384">
        <f>IFERROR(INDEX(PP_Grid[#Data],$DE384,33),0)</f>
        <v/>
      </c>
      <c r="AK384">
        <f>IFERROR(INDEX(PP_Grid[#Data],$DE384,34),0)</f>
        <v/>
      </c>
      <c r="AL384">
        <f>IFERROR(INDEX(PP_Grid[#Data],$DE384,35),0)</f>
        <v/>
      </c>
      <c r="AM384">
        <f>IFERROR(INDEX(PP_Grid[#Data],$DE384,36),0)</f>
        <v/>
      </c>
      <c r="AN384">
        <f>IFERROR(INDEX(PP_Grid[#Data],$DE384,37),0)</f>
        <v/>
      </c>
      <c r="AO384">
        <f>IFERROR(INDEX(PP_Grid[#Data],$DE384,38),0)</f>
        <v/>
      </c>
      <c r="AP384">
        <f>IFERROR(INDEX(PP_Grid[#Data],$DE384,39),0)</f>
        <v/>
      </c>
      <c r="AQ384">
        <f>IFERROR(INDEX(PP_Grid[#Data],$DE384,40),0)</f>
        <v/>
      </c>
      <c r="AR384">
        <f>IFERROR(INDEX(PP_Grid[#Data],$DE384,41),0)</f>
        <v/>
      </c>
      <c r="AS384">
        <f>IFERROR(INDEX(PP_Grid[#Data],$DE384,42),0)</f>
        <v/>
      </c>
      <c r="AT384">
        <f>IFERROR(INDEX(PP_Grid[#Data],$DE384,43),0)</f>
        <v/>
      </c>
      <c r="AU384">
        <f>IFERROR(INDEX(PP_Grid[#Data],$DE384,44),0)</f>
        <v/>
      </c>
      <c r="AV384">
        <f>IFERROR(INDEX(PP_Grid[#Data],$DE384,45),0)</f>
        <v/>
      </c>
      <c r="AW384">
        <f>IFERROR(INDEX(PP_Grid[#Data],$DE384,46),0)</f>
        <v/>
      </c>
      <c r="AX384">
        <f>IFERROR(INDEX(PP_Grid[#Data],$DE384,47),0)</f>
        <v/>
      </c>
      <c r="AY384">
        <f>IFERROR(INDEX(PP_Grid[#Data],$DE384,48),0)</f>
        <v/>
      </c>
      <c r="AZ384">
        <f>IFERROR(INDEX(PP_Grid[#Data],$DE384,49),0)</f>
        <v/>
      </c>
      <c r="BA384">
        <f>IFERROR(INDEX(PP_Grid[#Data],$DE384,50),0)</f>
        <v/>
      </c>
      <c r="BB384">
        <f>IFERROR(INDEX(PP_Grid[#Data],$DE384,51),0)</f>
        <v/>
      </c>
      <c r="BC384">
        <f>IFERROR(INDEX(PP_Grid[#Data],$DE384,52),0)</f>
        <v/>
      </c>
      <c r="BD384">
        <f>IFERROR(INDEX(PP_Grid[#Data],$DE384,53),0)</f>
        <v/>
      </c>
      <c r="BE384">
        <f>IFERROR(INDEX(PP_Grid[#Data],$DE384,54),0)</f>
        <v/>
      </c>
      <c r="BF384">
        <f>IFERROR(INDEX(PP_Grid[#Data],$DE384,55),0)</f>
        <v/>
      </c>
      <c r="BG384">
        <f>IFERROR(INDEX(PP_Grid[#Data],$DE384,56),0)</f>
        <v/>
      </c>
      <c r="BH384">
        <f>IFERROR(INDEX(PP_Grid[#Data],$DE384,57),0)</f>
        <v/>
      </c>
      <c r="BI384">
        <f>IFERROR(INDEX(PP_Grid[#Data],$DE384,58),0)</f>
        <v/>
      </c>
      <c r="BJ384">
        <f>IFERROR(INDEX(PP_Grid[#Data],$DE384,59),0)</f>
        <v/>
      </c>
      <c r="BK384">
        <f>IFERROR(INDEX(PP_Grid[#Data],$DE384,60),0)</f>
        <v/>
      </c>
      <c r="BL384">
        <f>IFERROR(INDEX(PP_Grid[#Data],$DE384,61),0)</f>
        <v/>
      </c>
      <c r="BM384">
        <f>IFERROR(INDEX(PP_Grid[#Data],$DE384,62),0)</f>
        <v/>
      </c>
      <c r="BN384">
        <f>IFERROR(INDEX(PP_Grid[#Data],$DE384,63),0)</f>
        <v/>
      </c>
      <c r="BO384">
        <f>IFERROR(INDEX(PP_Grid[#Data],$DE384,64),0)</f>
        <v/>
      </c>
      <c r="BP384">
        <f>IFERROR(INDEX(PP_Grid[#Data],$DE384,65),0)</f>
        <v/>
      </c>
      <c r="BQ384">
        <f>IFERROR(INDEX(PP_Grid[#Data],$DE384,66),0)</f>
        <v/>
      </c>
      <c r="BR384">
        <f>IFERROR(INDEX(PP_Grid[#Data],$DE384,67),0)</f>
        <v/>
      </c>
      <c r="BS384">
        <f>IFERROR(INDEX(PP_Grid[#Data],$DE384,68),0)</f>
        <v/>
      </c>
      <c r="BT384">
        <f>IFERROR(INDEX(PP_Grid[#Data],$DE384,69),0)</f>
        <v/>
      </c>
      <c r="BU384">
        <f>IFERROR(INDEX(PP_Grid[#Data],$DE384,70),0)</f>
        <v/>
      </c>
      <c r="BV384">
        <f>IFERROR(INDEX(PP_Grid[#Data],$DE384,71),0)</f>
        <v/>
      </c>
      <c r="BW384">
        <f>IFERROR(INDEX(PP_Grid[#Data],$DE384,72),0)</f>
        <v/>
      </c>
      <c r="BX384">
        <f>IFERROR(INDEX(PP_Grid[#Data],$DE384,73),0)</f>
        <v/>
      </c>
      <c r="BY384">
        <f>IFERROR(INDEX(PP_Grid[#Data],$DE384,74),0)</f>
        <v/>
      </c>
      <c r="BZ384">
        <f>IFERROR(INDEX(PP_Grid[#Data],$DE384,75),0)</f>
        <v/>
      </c>
      <c r="CA384">
        <f>IFERROR(INDEX(PP_Grid[#Data],$DE384,76),0)</f>
        <v/>
      </c>
      <c r="CB384">
        <f>IFERROR(INDEX(PP_Grid[#Data],$DE384,77),0)</f>
        <v/>
      </c>
      <c r="CC384">
        <f>IFERROR(INDEX(PP_Grid[#Data],$DE384,78),0)</f>
        <v/>
      </c>
      <c r="CD384">
        <f>IFERROR(INDEX(PP_Grid[#Data],$DE384,79),0)</f>
        <v/>
      </c>
      <c r="CE384">
        <f>IFERROR(INDEX(PP_Grid[#Data],$DE384,80),0)</f>
        <v/>
      </c>
      <c r="CF384">
        <f>IFERROR(INDEX(PP_Grid[#Data],$DE384,81),0)</f>
        <v/>
      </c>
      <c r="CG384">
        <f>IFERROR(INDEX(PP_Grid[#Data],$DE384,82),0)</f>
        <v/>
      </c>
      <c r="CH384">
        <f>IFERROR(INDEX(PP_Grid[#Data],$DE384,83),0)</f>
        <v/>
      </c>
      <c r="CI384">
        <f>IFERROR(INDEX(PP_Grid[#Data],$DE384,84),0)</f>
        <v/>
      </c>
      <c r="CJ384">
        <f>IFERROR(INDEX(PP_Grid[#Data],$DE384,85),0)</f>
        <v/>
      </c>
      <c r="CK384">
        <f>IFERROR(INDEX(PP_Grid[#Data],$DE384,86),0)</f>
        <v/>
      </c>
      <c r="CL384">
        <f>IFERROR(INDEX(PP_Grid[#Data],$DE384,87),0)</f>
        <v/>
      </c>
      <c r="CM384">
        <f>IFERROR(INDEX(PP_Grid[#Data],$DE384,88),0)</f>
        <v/>
      </c>
      <c r="CN384">
        <f>IFERROR(INDEX(PP_Grid[#Data],$DE384,89),0)</f>
        <v/>
      </c>
      <c r="CO384">
        <f>IFERROR(INDEX(PP_Grid[#Data],$DE384,90),0)</f>
        <v/>
      </c>
      <c r="CP384">
        <f>IFERROR(INDEX(PP_Grid[#Data],$DE384,91),0)</f>
        <v/>
      </c>
      <c r="CQ384">
        <f>IFERROR(INDEX(PP_Grid[#Data],$DE384,92),0)</f>
        <v/>
      </c>
      <c r="CR384">
        <f>IFERROR(INDEX(PP_Grid[#Data],$DE384,93),0)</f>
        <v/>
      </c>
      <c r="CS384">
        <f>IFERROR(INDEX(PP_Grid[#Data],$DE384,94),0)</f>
        <v/>
      </c>
      <c r="CT384">
        <f>IFERROR(INDEX(PP_Grid[#Data],$DE384,95),0)</f>
        <v/>
      </c>
      <c r="CU384">
        <f>IFERROR(INDEX(PP_Grid[#Data],$DE384,96),0)</f>
        <v/>
      </c>
      <c r="CV384">
        <f>IFERROR(INDEX(PP_Grid[#Data],$DE384,97),0)</f>
        <v/>
      </c>
      <c r="CW384">
        <f>IFERROR(INDEX(PP_Grid[#Data],$DE384,98),0)</f>
        <v/>
      </c>
      <c r="CX384">
        <f>IFERROR(INDEX(PP_Grid[#Data],$DE384,99),0)</f>
        <v/>
      </c>
      <c r="CY384">
        <f>IFERROR(INDEX(PP_Grid[#Data],$DE384,100),0)</f>
        <v/>
      </c>
      <c r="CZ384">
        <f>IFERROR(INDEX(PP_Grid[#Data],$DE384,101),0)</f>
        <v/>
      </c>
      <c r="DA384">
        <f>IFERROR(INDEX(PP_Grid[#Data],$DE384,102),0)</f>
        <v/>
      </c>
      <c r="DB384">
        <f>IFERROR(INDEX(PP_Grid[#Data],$DE384,103),0)</f>
        <v/>
      </c>
      <c r="DC384">
        <f>IFERROR(INDEX(PP_Grid[#Data],$DE384,104),0)</f>
        <v/>
      </c>
      <c r="DD384">
        <f>IFERROR(INDEX(PP_Grid[#Data],$DE384,105),0)</f>
        <v/>
      </c>
      <c r="DE384" s="7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SUMIFS(M_BOM[RM_Qty_Per_Batch],M_BOM[Intermediate],$B384,M_BOM[RM_Code],$A325)</f>
        <v/>
      </c>
      <c r="D385">
        <f>IFERROR(INDEX(E385:DD385,$F$1),"")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  <c r="DD385">
        <f>$C385*DD384</f>
        <v/>
      </c>
    </row>
    <row r="386">
      <c r="B386" t="inlineStr">
        <is>
          <t>TSP-623</t>
        </is>
      </c>
      <c r="C386" t="inlineStr">
        <is>
          <t>No. of batches</t>
        </is>
      </c>
      <c r="D386">
        <f>IFERROR(INDEX(E386:DD386,$F$1),"")</f>
        <v/>
      </c>
      <c r="E386">
        <f>IFERROR(INDEX(PP_Grid[#Data],$DE386,2),0)</f>
        <v/>
      </c>
      <c r="F386">
        <f>IFERROR(INDEX(PP_Grid[#Data],$DE386,3),0)</f>
        <v/>
      </c>
      <c r="G386">
        <f>IFERROR(INDEX(PP_Grid[#Data],$DE386,4),0)</f>
        <v/>
      </c>
      <c r="H386">
        <f>IFERROR(INDEX(PP_Grid[#Data],$DE386,5),0)</f>
        <v/>
      </c>
      <c r="I386">
        <f>IFERROR(INDEX(PP_Grid[#Data],$DE386,6),0)</f>
        <v/>
      </c>
      <c r="J386">
        <f>IFERROR(INDEX(PP_Grid[#Data],$DE386,7),0)</f>
        <v/>
      </c>
      <c r="K386">
        <f>IFERROR(INDEX(PP_Grid[#Data],$DE386,8),0)</f>
        <v/>
      </c>
      <c r="L386">
        <f>IFERROR(INDEX(PP_Grid[#Data],$DE386,9),0)</f>
        <v/>
      </c>
      <c r="M386">
        <f>IFERROR(INDEX(PP_Grid[#Data],$DE386,10),0)</f>
        <v/>
      </c>
      <c r="N386">
        <f>IFERROR(INDEX(PP_Grid[#Data],$DE386,11),0)</f>
        <v/>
      </c>
      <c r="O386">
        <f>IFERROR(INDEX(PP_Grid[#Data],$DE386,12),0)</f>
        <v/>
      </c>
      <c r="P386">
        <f>IFERROR(INDEX(PP_Grid[#Data],$DE386,13),0)</f>
        <v/>
      </c>
      <c r="Q386">
        <f>IFERROR(INDEX(PP_Grid[#Data],$DE386,14),0)</f>
        <v/>
      </c>
      <c r="R386">
        <f>IFERROR(INDEX(PP_Grid[#Data],$DE386,15),0)</f>
        <v/>
      </c>
      <c r="S386">
        <f>IFERROR(INDEX(PP_Grid[#Data],$DE386,16),0)</f>
        <v/>
      </c>
      <c r="T386">
        <f>IFERROR(INDEX(PP_Grid[#Data],$DE386,17),0)</f>
        <v/>
      </c>
      <c r="U386">
        <f>IFERROR(INDEX(PP_Grid[#Data],$DE386,18),0)</f>
        <v/>
      </c>
      <c r="V386">
        <f>IFERROR(INDEX(PP_Grid[#Data],$DE386,19),0)</f>
        <v/>
      </c>
      <c r="W386">
        <f>IFERROR(INDEX(PP_Grid[#Data],$DE386,20),0)</f>
        <v/>
      </c>
      <c r="X386">
        <f>IFERROR(INDEX(PP_Grid[#Data],$DE386,21),0)</f>
        <v/>
      </c>
      <c r="Y386">
        <f>IFERROR(INDEX(PP_Grid[#Data],$DE386,22),0)</f>
        <v/>
      </c>
      <c r="Z386">
        <f>IFERROR(INDEX(PP_Grid[#Data],$DE386,23),0)</f>
        <v/>
      </c>
      <c r="AA386">
        <f>IFERROR(INDEX(PP_Grid[#Data],$DE386,24),0)</f>
        <v/>
      </c>
      <c r="AB386">
        <f>IFERROR(INDEX(PP_Grid[#Data],$DE386,25),0)</f>
        <v/>
      </c>
      <c r="AC386">
        <f>IFERROR(INDEX(PP_Grid[#Data],$DE386,26),0)</f>
        <v/>
      </c>
      <c r="AD386">
        <f>IFERROR(INDEX(PP_Grid[#Data],$DE386,27),0)</f>
        <v/>
      </c>
      <c r="AE386">
        <f>IFERROR(INDEX(PP_Grid[#Data],$DE386,28),0)</f>
        <v/>
      </c>
      <c r="AF386">
        <f>IFERROR(INDEX(PP_Grid[#Data],$DE386,29),0)</f>
        <v/>
      </c>
      <c r="AG386">
        <f>IFERROR(INDEX(PP_Grid[#Data],$DE386,30),0)</f>
        <v/>
      </c>
      <c r="AH386">
        <f>IFERROR(INDEX(PP_Grid[#Data],$DE386,31),0)</f>
        <v/>
      </c>
      <c r="AI386">
        <f>IFERROR(INDEX(PP_Grid[#Data],$DE386,32),0)</f>
        <v/>
      </c>
      <c r="AJ386">
        <f>IFERROR(INDEX(PP_Grid[#Data],$DE386,33),0)</f>
        <v/>
      </c>
      <c r="AK386">
        <f>IFERROR(INDEX(PP_Grid[#Data],$DE386,34),0)</f>
        <v/>
      </c>
      <c r="AL386">
        <f>IFERROR(INDEX(PP_Grid[#Data],$DE386,35),0)</f>
        <v/>
      </c>
      <c r="AM386">
        <f>IFERROR(INDEX(PP_Grid[#Data],$DE386,36),0)</f>
        <v/>
      </c>
      <c r="AN386">
        <f>IFERROR(INDEX(PP_Grid[#Data],$DE386,37),0)</f>
        <v/>
      </c>
      <c r="AO386">
        <f>IFERROR(INDEX(PP_Grid[#Data],$DE386,38),0)</f>
        <v/>
      </c>
      <c r="AP386">
        <f>IFERROR(INDEX(PP_Grid[#Data],$DE386,39),0)</f>
        <v/>
      </c>
      <c r="AQ386">
        <f>IFERROR(INDEX(PP_Grid[#Data],$DE386,40),0)</f>
        <v/>
      </c>
      <c r="AR386">
        <f>IFERROR(INDEX(PP_Grid[#Data],$DE386,41),0)</f>
        <v/>
      </c>
      <c r="AS386">
        <f>IFERROR(INDEX(PP_Grid[#Data],$DE386,42),0)</f>
        <v/>
      </c>
      <c r="AT386">
        <f>IFERROR(INDEX(PP_Grid[#Data],$DE386,43),0)</f>
        <v/>
      </c>
      <c r="AU386">
        <f>IFERROR(INDEX(PP_Grid[#Data],$DE386,44),0)</f>
        <v/>
      </c>
      <c r="AV386">
        <f>IFERROR(INDEX(PP_Grid[#Data],$DE386,45),0)</f>
        <v/>
      </c>
      <c r="AW386">
        <f>IFERROR(INDEX(PP_Grid[#Data],$DE386,46),0)</f>
        <v/>
      </c>
      <c r="AX386">
        <f>IFERROR(INDEX(PP_Grid[#Data],$DE386,47),0)</f>
        <v/>
      </c>
      <c r="AY386">
        <f>IFERROR(INDEX(PP_Grid[#Data],$DE386,48),0)</f>
        <v/>
      </c>
      <c r="AZ386">
        <f>IFERROR(INDEX(PP_Grid[#Data],$DE386,49),0)</f>
        <v/>
      </c>
      <c r="BA386">
        <f>IFERROR(INDEX(PP_Grid[#Data],$DE386,50),0)</f>
        <v/>
      </c>
      <c r="BB386">
        <f>IFERROR(INDEX(PP_Grid[#Data],$DE386,51),0)</f>
        <v/>
      </c>
      <c r="BC386">
        <f>IFERROR(INDEX(PP_Grid[#Data],$DE386,52),0)</f>
        <v/>
      </c>
      <c r="BD386">
        <f>IFERROR(INDEX(PP_Grid[#Data],$DE386,53),0)</f>
        <v/>
      </c>
      <c r="BE386">
        <f>IFERROR(INDEX(PP_Grid[#Data],$DE386,54),0)</f>
        <v/>
      </c>
      <c r="BF386">
        <f>IFERROR(INDEX(PP_Grid[#Data],$DE386,55),0)</f>
        <v/>
      </c>
      <c r="BG386">
        <f>IFERROR(INDEX(PP_Grid[#Data],$DE386,56),0)</f>
        <v/>
      </c>
      <c r="BH386">
        <f>IFERROR(INDEX(PP_Grid[#Data],$DE386,57),0)</f>
        <v/>
      </c>
      <c r="BI386">
        <f>IFERROR(INDEX(PP_Grid[#Data],$DE386,58),0)</f>
        <v/>
      </c>
      <c r="BJ386">
        <f>IFERROR(INDEX(PP_Grid[#Data],$DE386,59),0)</f>
        <v/>
      </c>
      <c r="BK386">
        <f>IFERROR(INDEX(PP_Grid[#Data],$DE386,60),0)</f>
        <v/>
      </c>
      <c r="BL386">
        <f>IFERROR(INDEX(PP_Grid[#Data],$DE386,61),0)</f>
        <v/>
      </c>
      <c r="BM386">
        <f>IFERROR(INDEX(PP_Grid[#Data],$DE386,62),0)</f>
        <v/>
      </c>
      <c r="BN386">
        <f>IFERROR(INDEX(PP_Grid[#Data],$DE386,63),0)</f>
        <v/>
      </c>
      <c r="BO386">
        <f>IFERROR(INDEX(PP_Grid[#Data],$DE386,64),0)</f>
        <v/>
      </c>
      <c r="BP386">
        <f>IFERROR(INDEX(PP_Grid[#Data],$DE386,65),0)</f>
        <v/>
      </c>
      <c r="BQ386">
        <f>IFERROR(INDEX(PP_Grid[#Data],$DE386,66),0)</f>
        <v/>
      </c>
      <c r="BR386">
        <f>IFERROR(INDEX(PP_Grid[#Data],$DE386,67),0)</f>
        <v/>
      </c>
      <c r="BS386">
        <f>IFERROR(INDEX(PP_Grid[#Data],$DE386,68),0)</f>
        <v/>
      </c>
      <c r="BT386">
        <f>IFERROR(INDEX(PP_Grid[#Data],$DE386,69),0)</f>
        <v/>
      </c>
      <c r="BU386">
        <f>IFERROR(INDEX(PP_Grid[#Data],$DE386,70),0)</f>
        <v/>
      </c>
      <c r="BV386">
        <f>IFERROR(INDEX(PP_Grid[#Data],$DE386,71),0)</f>
        <v/>
      </c>
      <c r="BW386">
        <f>IFERROR(INDEX(PP_Grid[#Data],$DE386,72),0)</f>
        <v/>
      </c>
      <c r="BX386">
        <f>IFERROR(INDEX(PP_Grid[#Data],$DE386,73),0)</f>
        <v/>
      </c>
      <c r="BY386">
        <f>IFERROR(INDEX(PP_Grid[#Data],$DE386,74),0)</f>
        <v/>
      </c>
      <c r="BZ386">
        <f>IFERROR(INDEX(PP_Grid[#Data],$DE386,75),0)</f>
        <v/>
      </c>
      <c r="CA386">
        <f>IFERROR(INDEX(PP_Grid[#Data],$DE386,76),0)</f>
        <v/>
      </c>
      <c r="CB386">
        <f>IFERROR(INDEX(PP_Grid[#Data],$DE386,77),0)</f>
        <v/>
      </c>
      <c r="CC386">
        <f>IFERROR(INDEX(PP_Grid[#Data],$DE386,78),0)</f>
        <v/>
      </c>
      <c r="CD386">
        <f>IFERROR(INDEX(PP_Grid[#Data],$DE386,79),0)</f>
        <v/>
      </c>
      <c r="CE386">
        <f>IFERROR(INDEX(PP_Grid[#Data],$DE386,80),0)</f>
        <v/>
      </c>
      <c r="CF386">
        <f>IFERROR(INDEX(PP_Grid[#Data],$DE386,81),0)</f>
        <v/>
      </c>
      <c r="CG386">
        <f>IFERROR(INDEX(PP_Grid[#Data],$DE386,82),0)</f>
        <v/>
      </c>
      <c r="CH386">
        <f>IFERROR(INDEX(PP_Grid[#Data],$DE386,83),0)</f>
        <v/>
      </c>
      <c r="CI386">
        <f>IFERROR(INDEX(PP_Grid[#Data],$DE386,84),0)</f>
        <v/>
      </c>
      <c r="CJ386">
        <f>IFERROR(INDEX(PP_Grid[#Data],$DE386,85),0)</f>
        <v/>
      </c>
      <c r="CK386">
        <f>IFERROR(INDEX(PP_Grid[#Data],$DE386,86),0)</f>
        <v/>
      </c>
      <c r="CL386">
        <f>IFERROR(INDEX(PP_Grid[#Data],$DE386,87),0)</f>
        <v/>
      </c>
      <c r="CM386">
        <f>IFERROR(INDEX(PP_Grid[#Data],$DE386,88),0)</f>
        <v/>
      </c>
      <c r="CN386">
        <f>IFERROR(INDEX(PP_Grid[#Data],$DE386,89),0)</f>
        <v/>
      </c>
      <c r="CO386">
        <f>IFERROR(INDEX(PP_Grid[#Data],$DE386,90),0)</f>
        <v/>
      </c>
      <c r="CP386">
        <f>IFERROR(INDEX(PP_Grid[#Data],$DE386,91),0)</f>
        <v/>
      </c>
      <c r="CQ386">
        <f>IFERROR(INDEX(PP_Grid[#Data],$DE386,92),0)</f>
        <v/>
      </c>
      <c r="CR386">
        <f>IFERROR(INDEX(PP_Grid[#Data],$DE386,93),0)</f>
        <v/>
      </c>
      <c r="CS386">
        <f>IFERROR(INDEX(PP_Grid[#Data],$DE386,94),0)</f>
        <v/>
      </c>
      <c r="CT386">
        <f>IFERROR(INDEX(PP_Grid[#Data],$DE386,95),0)</f>
        <v/>
      </c>
      <c r="CU386">
        <f>IFERROR(INDEX(PP_Grid[#Data],$DE386,96),0)</f>
        <v/>
      </c>
      <c r="CV386">
        <f>IFERROR(INDEX(PP_Grid[#Data],$DE386,97),0)</f>
        <v/>
      </c>
      <c r="CW386">
        <f>IFERROR(INDEX(PP_Grid[#Data],$DE386,98),0)</f>
        <v/>
      </c>
      <c r="CX386">
        <f>IFERROR(INDEX(PP_Grid[#Data],$DE386,99),0)</f>
        <v/>
      </c>
      <c r="CY386">
        <f>IFERROR(INDEX(PP_Grid[#Data],$DE386,100),0)</f>
        <v/>
      </c>
      <c r="CZ386">
        <f>IFERROR(INDEX(PP_Grid[#Data],$DE386,101),0)</f>
        <v/>
      </c>
      <c r="DA386">
        <f>IFERROR(INDEX(PP_Grid[#Data],$DE386,102),0)</f>
        <v/>
      </c>
      <c r="DB386">
        <f>IFERROR(INDEX(PP_Grid[#Data],$DE386,103),0)</f>
        <v/>
      </c>
      <c r="DC386">
        <f>IFERROR(INDEX(PP_Grid[#Data],$DE386,104),0)</f>
        <v/>
      </c>
      <c r="DD386">
        <f>IFERROR(INDEX(PP_Grid[#Data],$DE386,105),0)</f>
        <v/>
      </c>
      <c r="DE386" s="7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SUMIFS(M_BOM[RM_Qty_Per_Batch],M_BOM[Intermediate],$B386,M_BOM[RM_Code],$A325)</f>
        <v/>
      </c>
      <c r="D387">
        <f>IFERROR(INDEX(E387:DD387,$F$1),"")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  <c r="DD387">
        <f>$C387*DD386</f>
        <v/>
      </c>
    </row>
    <row r="388">
      <c r="B388" t="inlineStr">
        <is>
          <t>TSP-655</t>
        </is>
      </c>
      <c r="C388" t="inlineStr">
        <is>
          <t>No. of batches</t>
        </is>
      </c>
      <c r="D388">
        <f>IFERROR(INDEX(E388:DD388,$F$1),"")</f>
        <v/>
      </c>
      <c r="E388">
        <f>IFERROR(INDEX(PP_Grid[#Data],$DE388,2),0)</f>
        <v/>
      </c>
      <c r="F388">
        <f>IFERROR(INDEX(PP_Grid[#Data],$DE388,3),0)</f>
        <v/>
      </c>
      <c r="G388">
        <f>IFERROR(INDEX(PP_Grid[#Data],$DE388,4),0)</f>
        <v/>
      </c>
      <c r="H388">
        <f>IFERROR(INDEX(PP_Grid[#Data],$DE388,5),0)</f>
        <v/>
      </c>
      <c r="I388">
        <f>IFERROR(INDEX(PP_Grid[#Data],$DE388,6),0)</f>
        <v/>
      </c>
      <c r="J388">
        <f>IFERROR(INDEX(PP_Grid[#Data],$DE388,7),0)</f>
        <v/>
      </c>
      <c r="K388">
        <f>IFERROR(INDEX(PP_Grid[#Data],$DE388,8),0)</f>
        <v/>
      </c>
      <c r="L388">
        <f>IFERROR(INDEX(PP_Grid[#Data],$DE388,9),0)</f>
        <v/>
      </c>
      <c r="M388">
        <f>IFERROR(INDEX(PP_Grid[#Data],$DE388,10),0)</f>
        <v/>
      </c>
      <c r="N388">
        <f>IFERROR(INDEX(PP_Grid[#Data],$DE388,11),0)</f>
        <v/>
      </c>
      <c r="O388">
        <f>IFERROR(INDEX(PP_Grid[#Data],$DE388,12),0)</f>
        <v/>
      </c>
      <c r="P388">
        <f>IFERROR(INDEX(PP_Grid[#Data],$DE388,13),0)</f>
        <v/>
      </c>
      <c r="Q388">
        <f>IFERROR(INDEX(PP_Grid[#Data],$DE388,14),0)</f>
        <v/>
      </c>
      <c r="R388">
        <f>IFERROR(INDEX(PP_Grid[#Data],$DE388,15),0)</f>
        <v/>
      </c>
      <c r="S388">
        <f>IFERROR(INDEX(PP_Grid[#Data],$DE388,16),0)</f>
        <v/>
      </c>
      <c r="T388">
        <f>IFERROR(INDEX(PP_Grid[#Data],$DE388,17),0)</f>
        <v/>
      </c>
      <c r="U388">
        <f>IFERROR(INDEX(PP_Grid[#Data],$DE388,18),0)</f>
        <v/>
      </c>
      <c r="V388">
        <f>IFERROR(INDEX(PP_Grid[#Data],$DE388,19),0)</f>
        <v/>
      </c>
      <c r="W388">
        <f>IFERROR(INDEX(PP_Grid[#Data],$DE388,20),0)</f>
        <v/>
      </c>
      <c r="X388">
        <f>IFERROR(INDEX(PP_Grid[#Data],$DE388,21),0)</f>
        <v/>
      </c>
      <c r="Y388">
        <f>IFERROR(INDEX(PP_Grid[#Data],$DE388,22),0)</f>
        <v/>
      </c>
      <c r="Z388">
        <f>IFERROR(INDEX(PP_Grid[#Data],$DE388,23),0)</f>
        <v/>
      </c>
      <c r="AA388">
        <f>IFERROR(INDEX(PP_Grid[#Data],$DE388,24),0)</f>
        <v/>
      </c>
      <c r="AB388">
        <f>IFERROR(INDEX(PP_Grid[#Data],$DE388,25),0)</f>
        <v/>
      </c>
      <c r="AC388">
        <f>IFERROR(INDEX(PP_Grid[#Data],$DE388,26),0)</f>
        <v/>
      </c>
      <c r="AD388">
        <f>IFERROR(INDEX(PP_Grid[#Data],$DE388,27),0)</f>
        <v/>
      </c>
      <c r="AE388">
        <f>IFERROR(INDEX(PP_Grid[#Data],$DE388,28),0)</f>
        <v/>
      </c>
      <c r="AF388">
        <f>IFERROR(INDEX(PP_Grid[#Data],$DE388,29),0)</f>
        <v/>
      </c>
      <c r="AG388">
        <f>IFERROR(INDEX(PP_Grid[#Data],$DE388,30),0)</f>
        <v/>
      </c>
      <c r="AH388">
        <f>IFERROR(INDEX(PP_Grid[#Data],$DE388,31),0)</f>
        <v/>
      </c>
      <c r="AI388">
        <f>IFERROR(INDEX(PP_Grid[#Data],$DE388,32),0)</f>
        <v/>
      </c>
      <c r="AJ388">
        <f>IFERROR(INDEX(PP_Grid[#Data],$DE388,33),0)</f>
        <v/>
      </c>
      <c r="AK388">
        <f>IFERROR(INDEX(PP_Grid[#Data],$DE388,34),0)</f>
        <v/>
      </c>
      <c r="AL388">
        <f>IFERROR(INDEX(PP_Grid[#Data],$DE388,35),0)</f>
        <v/>
      </c>
      <c r="AM388">
        <f>IFERROR(INDEX(PP_Grid[#Data],$DE388,36),0)</f>
        <v/>
      </c>
      <c r="AN388">
        <f>IFERROR(INDEX(PP_Grid[#Data],$DE388,37),0)</f>
        <v/>
      </c>
      <c r="AO388">
        <f>IFERROR(INDEX(PP_Grid[#Data],$DE388,38),0)</f>
        <v/>
      </c>
      <c r="AP388">
        <f>IFERROR(INDEX(PP_Grid[#Data],$DE388,39),0)</f>
        <v/>
      </c>
      <c r="AQ388">
        <f>IFERROR(INDEX(PP_Grid[#Data],$DE388,40),0)</f>
        <v/>
      </c>
      <c r="AR388">
        <f>IFERROR(INDEX(PP_Grid[#Data],$DE388,41),0)</f>
        <v/>
      </c>
      <c r="AS388">
        <f>IFERROR(INDEX(PP_Grid[#Data],$DE388,42),0)</f>
        <v/>
      </c>
      <c r="AT388">
        <f>IFERROR(INDEX(PP_Grid[#Data],$DE388,43),0)</f>
        <v/>
      </c>
      <c r="AU388">
        <f>IFERROR(INDEX(PP_Grid[#Data],$DE388,44),0)</f>
        <v/>
      </c>
      <c r="AV388">
        <f>IFERROR(INDEX(PP_Grid[#Data],$DE388,45),0)</f>
        <v/>
      </c>
      <c r="AW388">
        <f>IFERROR(INDEX(PP_Grid[#Data],$DE388,46),0)</f>
        <v/>
      </c>
      <c r="AX388">
        <f>IFERROR(INDEX(PP_Grid[#Data],$DE388,47),0)</f>
        <v/>
      </c>
      <c r="AY388">
        <f>IFERROR(INDEX(PP_Grid[#Data],$DE388,48),0)</f>
        <v/>
      </c>
      <c r="AZ388">
        <f>IFERROR(INDEX(PP_Grid[#Data],$DE388,49),0)</f>
        <v/>
      </c>
      <c r="BA388">
        <f>IFERROR(INDEX(PP_Grid[#Data],$DE388,50),0)</f>
        <v/>
      </c>
      <c r="BB388">
        <f>IFERROR(INDEX(PP_Grid[#Data],$DE388,51),0)</f>
        <v/>
      </c>
      <c r="BC388">
        <f>IFERROR(INDEX(PP_Grid[#Data],$DE388,52),0)</f>
        <v/>
      </c>
      <c r="BD388">
        <f>IFERROR(INDEX(PP_Grid[#Data],$DE388,53),0)</f>
        <v/>
      </c>
      <c r="BE388">
        <f>IFERROR(INDEX(PP_Grid[#Data],$DE388,54),0)</f>
        <v/>
      </c>
      <c r="BF388">
        <f>IFERROR(INDEX(PP_Grid[#Data],$DE388,55),0)</f>
        <v/>
      </c>
      <c r="BG388">
        <f>IFERROR(INDEX(PP_Grid[#Data],$DE388,56),0)</f>
        <v/>
      </c>
      <c r="BH388">
        <f>IFERROR(INDEX(PP_Grid[#Data],$DE388,57),0)</f>
        <v/>
      </c>
      <c r="BI388">
        <f>IFERROR(INDEX(PP_Grid[#Data],$DE388,58),0)</f>
        <v/>
      </c>
      <c r="BJ388">
        <f>IFERROR(INDEX(PP_Grid[#Data],$DE388,59),0)</f>
        <v/>
      </c>
      <c r="BK388">
        <f>IFERROR(INDEX(PP_Grid[#Data],$DE388,60),0)</f>
        <v/>
      </c>
      <c r="BL388">
        <f>IFERROR(INDEX(PP_Grid[#Data],$DE388,61),0)</f>
        <v/>
      </c>
      <c r="BM388">
        <f>IFERROR(INDEX(PP_Grid[#Data],$DE388,62),0)</f>
        <v/>
      </c>
      <c r="BN388">
        <f>IFERROR(INDEX(PP_Grid[#Data],$DE388,63),0)</f>
        <v/>
      </c>
      <c r="BO388">
        <f>IFERROR(INDEX(PP_Grid[#Data],$DE388,64),0)</f>
        <v/>
      </c>
      <c r="BP388">
        <f>IFERROR(INDEX(PP_Grid[#Data],$DE388,65),0)</f>
        <v/>
      </c>
      <c r="BQ388">
        <f>IFERROR(INDEX(PP_Grid[#Data],$DE388,66),0)</f>
        <v/>
      </c>
      <c r="BR388">
        <f>IFERROR(INDEX(PP_Grid[#Data],$DE388,67),0)</f>
        <v/>
      </c>
      <c r="BS388">
        <f>IFERROR(INDEX(PP_Grid[#Data],$DE388,68),0)</f>
        <v/>
      </c>
      <c r="BT388">
        <f>IFERROR(INDEX(PP_Grid[#Data],$DE388,69),0)</f>
        <v/>
      </c>
      <c r="BU388">
        <f>IFERROR(INDEX(PP_Grid[#Data],$DE388,70),0)</f>
        <v/>
      </c>
      <c r="BV388">
        <f>IFERROR(INDEX(PP_Grid[#Data],$DE388,71),0)</f>
        <v/>
      </c>
      <c r="BW388">
        <f>IFERROR(INDEX(PP_Grid[#Data],$DE388,72),0)</f>
        <v/>
      </c>
      <c r="BX388">
        <f>IFERROR(INDEX(PP_Grid[#Data],$DE388,73),0)</f>
        <v/>
      </c>
      <c r="BY388">
        <f>IFERROR(INDEX(PP_Grid[#Data],$DE388,74),0)</f>
        <v/>
      </c>
      <c r="BZ388">
        <f>IFERROR(INDEX(PP_Grid[#Data],$DE388,75),0)</f>
        <v/>
      </c>
      <c r="CA388">
        <f>IFERROR(INDEX(PP_Grid[#Data],$DE388,76),0)</f>
        <v/>
      </c>
      <c r="CB388">
        <f>IFERROR(INDEX(PP_Grid[#Data],$DE388,77),0)</f>
        <v/>
      </c>
      <c r="CC388">
        <f>IFERROR(INDEX(PP_Grid[#Data],$DE388,78),0)</f>
        <v/>
      </c>
      <c r="CD388">
        <f>IFERROR(INDEX(PP_Grid[#Data],$DE388,79),0)</f>
        <v/>
      </c>
      <c r="CE388">
        <f>IFERROR(INDEX(PP_Grid[#Data],$DE388,80),0)</f>
        <v/>
      </c>
      <c r="CF388">
        <f>IFERROR(INDEX(PP_Grid[#Data],$DE388,81),0)</f>
        <v/>
      </c>
      <c r="CG388">
        <f>IFERROR(INDEX(PP_Grid[#Data],$DE388,82),0)</f>
        <v/>
      </c>
      <c r="CH388">
        <f>IFERROR(INDEX(PP_Grid[#Data],$DE388,83),0)</f>
        <v/>
      </c>
      <c r="CI388">
        <f>IFERROR(INDEX(PP_Grid[#Data],$DE388,84),0)</f>
        <v/>
      </c>
      <c r="CJ388">
        <f>IFERROR(INDEX(PP_Grid[#Data],$DE388,85),0)</f>
        <v/>
      </c>
      <c r="CK388">
        <f>IFERROR(INDEX(PP_Grid[#Data],$DE388,86),0)</f>
        <v/>
      </c>
      <c r="CL388">
        <f>IFERROR(INDEX(PP_Grid[#Data],$DE388,87),0)</f>
        <v/>
      </c>
      <c r="CM388">
        <f>IFERROR(INDEX(PP_Grid[#Data],$DE388,88),0)</f>
        <v/>
      </c>
      <c r="CN388">
        <f>IFERROR(INDEX(PP_Grid[#Data],$DE388,89),0)</f>
        <v/>
      </c>
      <c r="CO388">
        <f>IFERROR(INDEX(PP_Grid[#Data],$DE388,90),0)</f>
        <v/>
      </c>
      <c r="CP388">
        <f>IFERROR(INDEX(PP_Grid[#Data],$DE388,91),0)</f>
        <v/>
      </c>
      <c r="CQ388">
        <f>IFERROR(INDEX(PP_Grid[#Data],$DE388,92),0)</f>
        <v/>
      </c>
      <c r="CR388">
        <f>IFERROR(INDEX(PP_Grid[#Data],$DE388,93),0)</f>
        <v/>
      </c>
      <c r="CS388">
        <f>IFERROR(INDEX(PP_Grid[#Data],$DE388,94),0)</f>
        <v/>
      </c>
      <c r="CT388">
        <f>IFERROR(INDEX(PP_Grid[#Data],$DE388,95),0)</f>
        <v/>
      </c>
      <c r="CU388">
        <f>IFERROR(INDEX(PP_Grid[#Data],$DE388,96),0)</f>
        <v/>
      </c>
      <c r="CV388">
        <f>IFERROR(INDEX(PP_Grid[#Data],$DE388,97),0)</f>
        <v/>
      </c>
      <c r="CW388">
        <f>IFERROR(INDEX(PP_Grid[#Data],$DE388,98),0)</f>
        <v/>
      </c>
      <c r="CX388">
        <f>IFERROR(INDEX(PP_Grid[#Data],$DE388,99),0)</f>
        <v/>
      </c>
      <c r="CY388">
        <f>IFERROR(INDEX(PP_Grid[#Data],$DE388,100),0)</f>
        <v/>
      </c>
      <c r="CZ388">
        <f>IFERROR(INDEX(PP_Grid[#Data],$DE388,101),0)</f>
        <v/>
      </c>
      <c r="DA388">
        <f>IFERROR(INDEX(PP_Grid[#Data],$DE388,102),0)</f>
        <v/>
      </c>
      <c r="DB388">
        <f>IFERROR(INDEX(PP_Grid[#Data],$DE388,103),0)</f>
        <v/>
      </c>
      <c r="DC388">
        <f>IFERROR(INDEX(PP_Grid[#Data],$DE388,104),0)</f>
        <v/>
      </c>
      <c r="DD388">
        <f>IFERROR(INDEX(PP_Grid[#Data],$DE388,105),0)</f>
        <v/>
      </c>
      <c r="DE388" s="7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SUMIFS(M_BOM[RM_Qty_Per_Batch],M_BOM[Intermediate],$B388,M_BOM[RM_Code],$A325)</f>
        <v/>
      </c>
      <c r="D389">
        <f>IFERROR(INDEX(E389:DD389,$F$1),"")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  <c r="DD389">
        <f>$C389*DD388</f>
        <v/>
      </c>
    </row>
    <row r="390">
      <c r="B390" t="inlineStr">
        <is>
          <t>TSP-656</t>
        </is>
      </c>
      <c r="C390" t="inlineStr">
        <is>
          <t>No. of batches</t>
        </is>
      </c>
      <c r="D390">
        <f>IFERROR(INDEX(E390:DD390,$F$1),"")</f>
        <v/>
      </c>
      <c r="E390">
        <f>IFERROR(INDEX(PP_Grid[#Data],$DE390,2),0)</f>
        <v/>
      </c>
      <c r="F390">
        <f>IFERROR(INDEX(PP_Grid[#Data],$DE390,3),0)</f>
        <v/>
      </c>
      <c r="G390">
        <f>IFERROR(INDEX(PP_Grid[#Data],$DE390,4),0)</f>
        <v/>
      </c>
      <c r="H390">
        <f>IFERROR(INDEX(PP_Grid[#Data],$DE390,5),0)</f>
        <v/>
      </c>
      <c r="I390">
        <f>IFERROR(INDEX(PP_Grid[#Data],$DE390,6),0)</f>
        <v/>
      </c>
      <c r="J390">
        <f>IFERROR(INDEX(PP_Grid[#Data],$DE390,7),0)</f>
        <v/>
      </c>
      <c r="K390">
        <f>IFERROR(INDEX(PP_Grid[#Data],$DE390,8),0)</f>
        <v/>
      </c>
      <c r="L390">
        <f>IFERROR(INDEX(PP_Grid[#Data],$DE390,9),0)</f>
        <v/>
      </c>
      <c r="M390">
        <f>IFERROR(INDEX(PP_Grid[#Data],$DE390,10),0)</f>
        <v/>
      </c>
      <c r="N390">
        <f>IFERROR(INDEX(PP_Grid[#Data],$DE390,11),0)</f>
        <v/>
      </c>
      <c r="O390">
        <f>IFERROR(INDEX(PP_Grid[#Data],$DE390,12),0)</f>
        <v/>
      </c>
      <c r="P390">
        <f>IFERROR(INDEX(PP_Grid[#Data],$DE390,13),0)</f>
        <v/>
      </c>
      <c r="Q390">
        <f>IFERROR(INDEX(PP_Grid[#Data],$DE390,14),0)</f>
        <v/>
      </c>
      <c r="R390">
        <f>IFERROR(INDEX(PP_Grid[#Data],$DE390,15),0)</f>
        <v/>
      </c>
      <c r="S390">
        <f>IFERROR(INDEX(PP_Grid[#Data],$DE390,16),0)</f>
        <v/>
      </c>
      <c r="T390">
        <f>IFERROR(INDEX(PP_Grid[#Data],$DE390,17),0)</f>
        <v/>
      </c>
      <c r="U390">
        <f>IFERROR(INDEX(PP_Grid[#Data],$DE390,18),0)</f>
        <v/>
      </c>
      <c r="V390">
        <f>IFERROR(INDEX(PP_Grid[#Data],$DE390,19),0)</f>
        <v/>
      </c>
      <c r="W390">
        <f>IFERROR(INDEX(PP_Grid[#Data],$DE390,20),0)</f>
        <v/>
      </c>
      <c r="X390">
        <f>IFERROR(INDEX(PP_Grid[#Data],$DE390,21),0)</f>
        <v/>
      </c>
      <c r="Y390">
        <f>IFERROR(INDEX(PP_Grid[#Data],$DE390,22),0)</f>
        <v/>
      </c>
      <c r="Z390">
        <f>IFERROR(INDEX(PP_Grid[#Data],$DE390,23),0)</f>
        <v/>
      </c>
      <c r="AA390">
        <f>IFERROR(INDEX(PP_Grid[#Data],$DE390,24),0)</f>
        <v/>
      </c>
      <c r="AB390">
        <f>IFERROR(INDEX(PP_Grid[#Data],$DE390,25),0)</f>
        <v/>
      </c>
      <c r="AC390">
        <f>IFERROR(INDEX(PP_Grid[#Data],$DE390,26),0)</f>
        <v/>
      </c>
      <c r="AD390">
        <f>IFERROR(INDEX(PP_Grid[#Data],$DE390,27),0)</f>
        <v/>
      </c>
      <c r="AE390">
        <f>IFERROR(INDEX(PP_Grid[#Data],$DE390,28),0)</f>
        <v/>
      </c>
      <c r="AF390">
        <f>IFERROR(INDEX(PP_Grid[#Data],$DE390,29),0)</f>
        <v/>
      </c>
      <c r="AG390">
        <f>IFERROR(INDEX(PP_Grid[#Data],$DE390,30),0)</f>
        <v/>
      </c>
      <c r="AH390">
        <f>IFERROR(INDEX(PP_Grid[#Data],$DE390,31),0)</f>
        <v/>
      </c>
      <c r="AI390">
        <f>IFERROR(INDEX(PP_Grid[#Data],$DE390,32),0)</f>
        <v/>
      </c>
      <c r="AJ390">
        <f>IFERROR(INDEX(PP_Grid[#Data],$DE390,33),0)</f>
        <v/>
      </c>
      <c r="AK390">
        <f>IFERROR(INDEX(PP_Grid[#Data],$DE390,34),0)</f>
        <v/>
      </c>
      <c r="AL390">
        <f>IFERROR(INDEX(PP_Grid[#Data],$DE390,35),0)</f>
        <v/>
      </c>
      <c r="AM390">
        <f>IFERROR(INDEX(PP_Grid[#Data],$DE390,36),0)</f>
        <v/>
      </c>
      <c r="AN390">
        <f>IFERROR(INDEX(PP_Grid[#Data],$DE390,37),0)</f>
        <v/>
      </c>
      <c r="AO390">
        <f>IFERROR(INDEX(PP_Grid[#Data],$DE390,38),0)</f>
        <v/>
      </c>
      <c r="AP390">
        <f>IFERROR(INDEX(PP_Grid[#Data],$DE390,39),0)</f>
        <v/>
      </c>
      <c r="AQ390">
        <f>IFERROR(INDEX(PP_Grid[#Data],$DE390,40),0)</f>
        <v/>
      </c>
      <c r="AR390">
        <f>IFERROR(INDEX(PP_Grid[#Data],$DE390,41),0)</f>
        <v/>
      </c>
      <c r="AS390">
        <f>IFERROR(INDEX(PP_Grid[#Data],$DE390,42),0)</f>
        <v/>
      </c>
      <c r="AT390">
        <f>IFERROR(INDEX(PP_Grid[#Data],$DE390,43),0)</f>
        <v/>
      </c>
      <c r="AU390">
        <f>IFERROR(INDEX(PP_Grid[#Data],$DE390,44),0)</f>
        <v/>
      </c>
      <c r="AV390">
        <f>IFERROR(INDEX(PP_Grid[#Data],$DE390,45),0)</f>
        <v/>
      </c>
      <c r="AW390">
        <f>IFERROR(INDEX(PP_Grid[#Data],$DE390,46),0)</f>
        <v/>
      </c>
      <c r="AX390">
        <f>IFERROR(INDEX(PP_Grid[#Data],$DE390,47),0)</f>
        <v/>
      </c>
      <c r="AY390">
        <f>IFERROR(INDEX(PP_Grid[#Data],$DE390,48),0)</f>
        <v/>
      </c>
      <c r="AZ390">
        <f>IFERROR(INDEX(PP_Grid[#Data],$DE390,49),0)</f>
        <v/>
      </c>
      <c r="BA390">
        <f>IFERROR(INDEX(PP_Grid[#Data],$DE390,50),0)</f>
        <v/>
      </c>
      <c r="BB390">
        <f>IFERROR(INDEX(PP_Grid[#Data],$DE390,51),0)</f>
        <v/>
      </c>
      <c r="BC390">
        <f>IFERROR(INDEX(PP_Grid[#Data],$DE390,52),0)</f>
        <v/>
      </c>
      <c r="BD390">
        <f>IFERROR(INDEX(PP_Grid[#Data],$DE390,53),0)</f>
        <v/>
      </c>
      <c r="BE390">
        <f>IFERROR(INDEX(PP_Grid[#Data],$DE390,54),0)</f>
        <v/>
      </c>
      <c r="BF390">
        <f>IFERROR(INDEX(PP_Grid[#Data],$DE390,55),0)</f>
        <v/>
      </c>
      <c r="BG390">
        <f>IFERROR(INDEX(PP_Grid[#Data],$DE390,56),0)</f>
        <v/>
      </c>
      <c r="BH390">
        <f>IFERROR(INDEX(PP_Grid[#Data],$DE390,57),0)</f>
        <v/>
      </c>
      <c r="BI390">
        <f>IFERROR(INDEX(PP_Grid[#Data],$DE390,58),0)</f>
        <v/>
      </c>
      <c r="BJ390">
        <f>IFERROR(INDEX(PP_Grid[#Data],$DE390,59),0)</f>
        <v/>
      </c>
      <c r="BK390">
        <f>IFERROR(INDEX(PP_Grid[#Data],$DE390,60),0)</f>
        <v/>
      </c>
      <c r="BL390">
        <f>IFERROR(INDEX(PP_Grid[#Data],$DE390,61),0)</f>
        <v/>
      </c>
      <c r="BM390">
        <f>IFERROR(INDEX(PP_Grid[#Data],$DE390,62),0)</f>
        <v/>
      </c>
      <c r="BN390">
        <f>IFERROR(INDEX(PP_Grid[#Data],$DE390,63),0)</f>
        <v/>
      </c>
      <c r="BO390">
        <f>IFERROR(INDEX(PP_Grid[#Data],$DE390,64),0)</f>
        <v/>
      </c>
      <c r="BP390">
        <f>IFERROR(INDEX(PP_Grid[#Data],$DE390,65),0)</f>
        <v/>
      </c>
      <c r="BQ390">
        <f>IFERROR(INDEX(PP_Grid[#Data],$DE390,66),0)</f>
        <v/>
      </c>
      <c r="BR390">
        <f>IFERROR(INDEX(PP_Grid[#Data],$DE390,67),0)</f>
        <v/>
      </c>
      <c r="BS390">
        <f>IFERROR(INDEX(PP_Grid[#Data],$DE390,68),0)</f>
        <v/>
      </c>
      <c r="BT390">
        <f>IFERROR(INDEX(PP_Grid[#Data],$DE390,69),0)</f>
        <v/>
      </c>
      <c r="BU390">
        <f>IFERROR(INDEX(PP_Grid[#Data],$DE390,70),0)</f>
        <v/>
      </c>
      <c r="BV390">
        <f>IFERROR(INDEX(PP_Grid[#Data],$DE390,71),0)</f>
        <v/>
      </c>
      <c r="BW390">
        <f>IFERROR(INDEX(PP_Grid[#Data],$DE390,72),0)</f>
        <v/>
      </c>
      <c r="BX390">
        <f>IFERROR(INDEX(PP_Grid[#Data],$DE390,73),0)</f>
        <v/>
      </c>
      <c r="BY390">
        <f>IFERROR(INDEX(PP_Grid[#Data],$DE390,74),0)</f>
        <v/>
      </c>
      <c r="BZ390">
        <f>IFERROR(INDEX(PP_Grid[#Data],$DE390,75),0)</f>
        <v/>
      </c>
      <c r="CA390">
        <f>IFERROR(INDEX(PP_Grid[#Data],$DE390,76),0)</f>
        <v/>
      </c>
      <c r="CB390">
        <f>IFERROR(INDEX(PP_Grid[#Data],$DE390,77),0)</f>
        <v/>
      </c>
      <c r="CC390">
        <f>IFERROR(INDEX(PP_Grid[#Data],$DE390,78),0)</f>
        <v/>
      </c>
      <c r="CD390">
        <f>IFERROR(INDEX(PP_Grid[#Data],$DE390,79),0)</f>
        <v/>
      </c>
      <c r="CE390">
        <f>IFERROR(INDEX(PP_Grid[#Data],$DE390,80),0)</f>
        <v/>
      </c>
      <c r="CF390">
        <f>IFERROR(INDEX(PP_Grid[#Data],$DE390,81),0)</f>
        <v/>
      </c>
      <c r="CG390">
        <f>IFERROR(INDEX(PP_Grid[#Data],$DE390,82),0)</f>
        <v/>
      </c>
      <c r="CH390">
        <f>IFERROR(INDEX(PP_Grid[#Data],$DE390,83),0)</f>
        <v/>
      </c>
      <c r="CI390">
        <f>IFERROR(INDEX(PP_Grid[#Data],$DE390,84),0)</f>
        <v/>
      </c>
      <c r="CJ390">
        <f>IFERROR(INDEX(PP_Grid[#Data],$DE390,85),0)</f>
        <v/>
      </c>
      <c r="CK390">
        <f>IFERROR(INDEX(PP_Grid[#Data],$DE390,86),0)</f>
        <v/>
      </c>
      <c r="CL390">
        <f>IFERROR(INDEX(PP_Grid[#Data],$DE390,87),0)</f>
        <v/>
      </c>
      <c r="CM390">
        <f>IFERROR(INDEX(PP_Grid[#Data],$DE390,88),0)</f>
        <v/>
      </c>
      <c r="CN390">
        <f>IFERROR(INDEX(PP_Grid[#Data],$DE390,89),0)</f>
        <v/>
      </c>
      <c r="CO390">
        <f>IFERROR(INDEX(PP_Grid[#Data],$DE390,90),0)</f>
        <v/>
      </c>
      <c r="CP390">
        <f>IFERROR(INDEX(PP_Grid[#Data],$DE390,91),0)</f>
        <v/>
      </c>
      <c r="CQ390">
        <f>IFERROR(INDEX(PP_Grid[#Data],$DE390,92),0)</f>
        <v/>
      </c>
      <c r="CR390">
        <f>IFERROR(INDEX(PP_Grid[#Data],$DE390,93),0)</f>
        <v/>
      </c>
      <c r="CS390">
        <f>IFERROR(INDEX(PP_Grid[#Data],$DE390,94),0)</f>
        <v/>
      </c>
      <c r="CT390">
        <f>IFERROR(INDEX(PP_Grid[#Data],$DE390,95),0)</f>
        <v/>
      </c>
      <c r="CU390">
        <f>IFERROR(INDEX(PP_Grid[#Data],$DE390,96),0)</f>
        <v/>
      </c>
      <c r="CV390">
        <f>IFERROR(INDEX(PP_Grid[#Data],$DE390,97),0)</f>
        <v/>
      </c>
      <c r="CW390">
        <f>IFERROR(INDEX(PP_Grid[#Data],$DE390,98),0)</f>
        <v/>
      </c>
      <c r="CX390">
        <f>IFERROR(INDEX(PP_Grid[#Data],$DE390,99),0)</f>
        <v/>
      </c>
      <c r="CY390">
        <f>IFERROR(INDEX(PP_Grid[#Data],$DE390,100),0)</f>
        <v/>
      </c>
      <c r="CZ390">
        <f>IFERROR(INDEX(PP_Grid[#Data],$DE390,101),0)</f>
        <v/>
      </c>
      <c r="DA390">
        <f>IFERROR(INDEX(PP_Grid[#Data],$DE390,102),0)</f>
        <v/>
      </c>
      <c r="DB390">
        <f>IFERROR(INDEX(PP_Grid[#Data],$DE390,103),0)</f>
        <v/>
      </c>
      <c r="DC390">
        <f>IFERROR(INDEX(PP_Grid[#Data],$DE390,104),0)</f>
        <v/>
      </c>
      <c r="DD390">
        <f>IFERROR(INDEX(PP_Grid[#Data],$DE390,105),0)</f>
        <v/>
      </c>
      <c r="DE390" s="7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SUMIFS(M_BOM[RM_Qty_Per_Batch],M_BOM[Intermediate],$B390,M_BOM[RM_Code],$A325)</f>
        <v/>
      </c>
      <c r="D391">
        <f>IFERROR(INDEX(E391:DD391,$F$1),"")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  <c r="DD391">
        <f>$C391*DD390</f>
        <v/>
      </c>
    </row>
    <row r="392">
      <c r="B392" t="inlineStr">
        <is>
          <t>TSP-668</t>
        </is>
      </c>
      <c r="C392" t="inlineStr">
        <is>
          <t>No. of batches</t>
        </is>
      </c>
      <c r="D392">
        <f>IFERROR(INDEX(E392:DD392,$F$1),"")</f>
        <v/>
      </c>
      <c r="E392">
        <f>IFERROR(INDEX(PP_Grid[#Data],$DE392,2),0)</f>
        <v/>
      </c>
      <c r="F392">
        <f>IFERROR(INDEX(PP_Grid[#Data],$DE392,3),0)</f>
        <v/>
      </c>
      <c r="G392">
        <f>IFERROR(INDEX(PP_Grid[#Data],$DE392,4),0)</f>
        <v/>
      </c>
      <c r="H392">
        <f>IFERROR(INDEX(PP_Grid[#Data],$DE392,5),0)</f>
        <v/>
      </c>
      <c r="I392">
        <f>IFERROR(INDEX(PP_Grid[#Data],$DE392,6),0)</f>
        <v/>
      </c>
      <c r="J392">
        <f>IFERROR(INDEX(PP_Grid[#Data],$DE392,7),0)</f>
        <v/>
      </c>
      <c r="K392">
        <f>IFERROR(INDEX(PP_Grid[#Data],$DE392,8),0)</f>
        <v/>
      </c>
      <c r="L392">
        <f>IFERROR(INDEX(PP_Grid[#Data],$DE392,9),0)</f>
        <v/>
      </c>
      <c r="M392">
        <f>IFERROR(INDEX(PP_Grid[#Data],$DE392,10),0)</f>
        <v/>
      </c>
      <c r="N392">
        <f>IFERROR(INDEX(PP_Grid[#Data],$DE392,11),0)</f>
        <v/>
      </c>
      <c r="O392">
        <f>IFERROR(INDEX(PP_Grid[#Data],$DE392,12),0)</f>
        <v/>
      </c>
      <c r="P392">
        <f>IFERROR(INDEX(PP_Grid[#Data],$DE392,13),0)</f>
        <v/>
      </c>
      <c r="Q392">
        <f>IFERROR(INDEX(PP_Grid[#Data],$DE392,14),0)</f>
        <v/>
      </c>
      <c r="R392">
        <f>IFERROR(INDEX(PP_Grid[#Data],$DE392,15),0)</f>
        <v/>
      </c>
      <c r="S392">
        <f>IFERROR(INDEX(PP_Grid[#Data],$DE392,16),0)</f>
        <v/>
      </c>
      <c r="T392">
        <f>IFERROR(INDEX(PP_Grid[#Data],$DE392,17),0)</f>
        <v/>
      </c>
      <c r="U392">
        <f>IFERROR(INDEX(PP_Grid[#Data],$DE392,18),0)</f>
        <v/>
      </c>
      <c r="V392">
        <f>IFERROR(INDEX(PP_Grid[#Data],$DE392,19),0)</f>
        <v/>
      </c>
      <c r="W392">
        <f>IFERROR(INDEX(PP_Grid[#Data],$DE392,20),0)</f>
        <v/>
      </c>
      <c r="X392">
        <f>IFERROR(INDEX(PP_Grid[#Data],$DE392,21),0)</f>
        <v/>
      </c>
      <c r="Y392">
        <f>IFERROR(INDEX(PP_Grid[#Data],$DE392,22),0)</f>
        <v/>
      </c>
      <c r="Z392">
        <f>IFERROR(INDEX(PP_Grid[#Data],$DE392,23),0)</f>
        <v/>
      </c>
      <c r="AA392">
        <f>IFERROR(INDEX(PP_Grid[#Data],$DE392,24),0)</f>
        <v/>
      </c>
      <c r="AB392">
        <f>IFERROR(INDEX(PP_Grid[#Data],$DE392,25),0)</f>
        <v/>
      </c>
      <c r="AC392">
        <f>IFERROR(INDEX(PP_Grid[#Data],$DE392,26),0)</f>
        <v/>
      </c>
      <c r="AD392">
        <f>IFERROR(INDEX(PP_Grid[#Data],$DE392,27),0)</f>
        <v/>
      </c>
      <c r="AE392">
        <f>IFERROR(INDEX(PP_Grid[#Data],$DE392,28),0)</f>
        <v/>
      </c>
      <c r="AF392">
        <f>IFERROR(INDEX(PP_Grid[#Data],$DE392,29),0)</f>
        <v/>
      </c>
      <c r="AG392">
        <f>IFERROR(INDEX(PP_Grid[#Data],$DE392,30),0)</f>
        <v/>
      </c>
      <c r="AH392">
        <f>IFERROR(INDEX(PP_Grid[#Data],$DE392,31),0)</f>
        <v/>
      </c>
      <c r="AI392">
        <f>IFERROR(INDEX(PP_Grid[#Data],$DE392,32),0)</f>
        <v/>
      </c>
      <c r="AJ392">
        <f>IFERROR(INDEX(PP_Grid[#Data],$DE392,33),0)</f>
        <v/>
      </c>
      <c r="AK392">
        <f>IFERROR(INDEX(PP_Grid[#Data],$DE392,34),0)</f>
        <v/>
      </c>
      <c r="AL392">
        <f>IFERROR(INDEX(PP_Grid[#Data],$DE392,35),0)</f>
        <v/>
      </c>
      <c r="AM392">
        <f>IFERROR(INDEX(PP_Grid[#Data],$DE392,36),0)</f>
        <v/>
      </c>
      <c r="AN392">
        <f>IFERROR(INDEX(PP_Grid[#Data],$DE392,37),0)</f>
        <v/>
      </c>
      <c r="AO392">
        <f>IFERROR(INDEX(PP_Grid[#Data],$DE392,38),0)</f>
        <v/>
      </c>
      <c r="AP392">
        <f>IFERROR(INDEX(PP_Grid[#Data],$DE392,39),0)</f>
        <v/>
      </c>
      <c r="AQ392">
        <f>IFERROR(INDEX(PP_Grid[#Data],$DE392,40),0)</f>
        <v/>
      </c>
      <c r="AR392">
        <f>IFERROR(INDEX(PP_Grid[#Data],$DE392,41),0)</f>
        <v/>
      </c>
      <c r="AS392">
        <f>IFERROR(INDEX(PP_Grid[#Data],$DE392,42),0)</f>
        <v/>
      </c>
      <c r="AT392">
        <f>IFERROR(INDEX(PP_Grid[#Data],$DE392,43),0)</f>
        <v/>
      </c>
      <c r="AU392">
        <f>IFERROR(INDEX(PP_Grid[#Data],$DE392,44),0)</f>
        <v/>
      </c>
      <c r="AV392">
        <f>IFERROR(INDEX(PP_Grid[#Data],$DE392,45),0)</f>
        <v/>
      </c>
      <c r="AW392">
        <f>IFERROR(INDEX(PP_Grid[#Data],$DE392,46),0)</f>
        <v/>
      </c>
      <c r="AX392">
        <f>IFERROR(INDEX(PP_Grid[#Data],$DE392,47),0)</f>
        <v/>
      </c>
      <c r="AY392">
        <f>IFERROR(INDEX(PP_Grid[#Data],$DE392,48),0)</f>
        <v/>
      </c>
      <c r="AZ392">
        <f>IFERROR(INDEX(PP_Grid[#Data],$DE392,49),0)</f>
        <v/>
      </c>
      <c r="BA392">
        <f>IFERROR(INDEX(PP_Grid[#Data],$DE392,50),0)</f>
        <v/>
      </c>
      <c r="BB392">
        <f>IFERROR(INDEX(PP_Grid[#Data],$DE392,51),0)</f>
        <v/>
      </c>
      <c r="BC392">
        <f>IFERROR(INDEX(PP_Grid[#Data],$DE392,52),0)</f>
        <v/>
      </c>
      <c r="BD392">
        <f>IFERROR(INDEX(PP_Grid[#Data],$DE392,53),0)</f>
        <v/>
      </c>
      <c r="BE392">
        <f>IFERROR(INDEX(PP_Grid[#Data],$DE392,54),0)</f>
        <v/>
      </c>
      <c r="BF392">
        <f>IFERROR(INDEX(PP_Grid[#Data],$DE392,55),0)</f>
        <v/>
      </c>
      <c r="BG392">
        <f>IFERROR(INDEX(PP_Grid[#Data],$DE392,56),0)</f>
        <v/>
      </c>
      <c r="BH392">
        <f>IFERROR(INDEX(PP_Grid[#Data],$DE392,57),0)</f>
        <v/>
      </c>
      <c r="BI392">
        <f>IFERROR(INDEX(PP_Grid[#Data],$DE392,58),0)</f>
        <v/>
      </c>
      <c r="BJ392">
        <f>IFERROR(INDEX(PP_Grid[#Data],$DE392,59),0)</f>
        <v/>
      </c>
      <c r="BK392">
        <f>IFERROR(INDEX(PP_Grid[#Data],$DE392,60),0)</f>
        <v/>
      </c>
      <c r="BL392">
        <f>IFERROR(INDEX(PP_Grid[#Data],$DE392,61),0)</f>
        <v/>
      </c>
      <c r="BM392">
        <f>IFERROR(INDEX(PP_Grid[#Data],$DE392,62),0)</f>
        <v/>
      </c>
      <c r="BN392">
        <f>IFERROR(INDEX(PP_Grid[#Data],$DE392,63),0)</f>
        <v/>
      </c>
      <c r="BO392">
        <f>IFERROR(INDEX(PP_Grid[#Data],$DE392,64),0)</f>
        <v/>
      </c>
      <c r="BP392">
        <f>IFERROR(INDEX(PP_Grid[#Data],$DE392,65),0)</f>
        <v/>
      </c>
      <c r="BQ392">
        <f>IFERROR(INDEX(PP_Grid[#Data],$DE392,66),0)</f>
        <v/>
      </c>
      <c r="BR392">
        <f>IFERROR(INDEX(PP_Grid[#Data],$DE392,67),0)</f>
        <v/>
      </c>
      <c r="BS392">
        <f>IFERROR(INDEX(PP_Grid[#Data],$DE392,68),0)</f>
        <v/>
      </c>
      <c r="BT392">
        <f>IFERROR(INDEX(PP_Grid[#Data],$DE392,69),0)</f>
        <v/>
      </c>
      <c r="BU392">
        <f>IFERROR(INDEX(PP_Grid[#Data],$DE392,70),0)</f>
        <v/>
      </c>
      <c r="BV392">
        <f>IFERROR(INDEX(PP_Grid[#Data],$DE392,71),0)</f>
        <v/>
      </c>
      <c r="BW392">
        <f>IFERROR(INDEX(PP_Grid[#Data],$DE392,72),0)</f>
        <v/>
      </c>
      <c r="BX392">
        <f>IFERROR(INDEX(PP_Grid[#Data],$DE392,73),0)</f>
        <v/>
      </c>
      <c r="BY392">
        <f>IFERROR(INDEX(PP_Grid[#Data],$DE392,74),0)</f>
        <v/>
      </c>
      <c r="BZ392">
        <f>IFERROR(INDEX(PP_Grid[#Data],$DE392,75),0)</f>
        <v/>
      </c>
      <c r="CA392">
        <f>IFERROR(INDEX(PP_Grid[#Data],$DE392,76),0)</f>
        <v/>
      </c>
      <c r="CB392">
        <f>IFERROR(INDEX(PP_Grid[#Data],$DE392,77),0)</f>
        <v/>
      </c>
      <c r="CC392">
        <f>IFERROR(INDEX(PP_Grid[#Data],$DE392,78),0)</f>
        <v/>
      </c>
      <c r="CD392">
        <f>IFERROR(INDEX(PP_Grid[#Data],$DE392,79),0)</f>
        <v/>
      </c>
      <c r="CE392">
        <f>IFERROR(INDEX(PP_Grid[#Data],$DE392,80),0)</f>
        <v/>
      </c>
      <c r="CF392">
        <f>IFERROR(INDEX(PP_Grid[#Data],$DE392,81),0)</f>
        <v/>
      </c>
      <c r="CG392">
        <f>IFERROR(INDEX(PP_Grid[#Data],$DE392,82),0)</f>
        <v/>
      </c>
      <c r="CH392">
        <f>IFERROR(INDEX(PP_Grid[#Data],$DE392,83),0)</f>
        <v/>
      </c>
      <c r="CI392">
        <f>IFERROR(INDEX(PP_Grid[#Data],$DE392,84),0)</f>
        <v/>
      </c>
      <c r="CJ392">
        <f>IFERROR(INDEX(PP_Grid[#Data],$DE392,85),0)</f>
        <v/>
      </c>
      <c r="CK392">
        <f>IFERROR(INDEX(PP_Grid[#Data],$DE392,86),0)</f>
        <v/>
      </c>
      <c r="CL392">
        <f>IFERROR(INDEX(PP_Grid[#Data],$DE392,87),0)</f>
        <v/>
      </c>
      <c r="CM392">
        <f>IFERROR(INDEX(PP_Grid[#Data],$DE392,88),0)</f>
        <v/>
      </c>
      <c r="CN392">
        <f>IFERROR(INDEX(PP_Grid[#Data],$DE392,89),0)</f>
        <v/>
      </c>
      <c r="CO392">
        <f>IFERROR(INDEX(PP_Grid[#Data],$DE392,90),0)</f>
        <v/>
      </c>
      <c r="CP392">
        <f>IFERROR(INDEX(PP_Grid[#Data],$DE392,91),0)</f>
        <v/>
      </c>
      <c r="CQ392">
        <f>IFERROR(INDEX(PP_Grid[#Data],$DE392,92),0)</f>
        <v/>
      </c>
      <c r="CR392">
        <f>IFERROR(INDEX(PP_Grid[#Data],$DE392,93),0)</f>
        <v/>
      </c>
      <c r="CS392">
        <f>IFERROR(INDEX(PP_Grid[#Data],$DE392,94),0)</f>
        <v/>
      </c>
      <c r="CT392">
        <f>IFERROR(INDEX(PP_Grid[#Data],$DE392,95),0)</f>
        <v/>
      </c>
      <c r="CU392">
        <f>IFERROR(INDEX(PP_Grid[#Data],$DE392,96),0)</f>
        <v/>
      </c>
      <c r="CV392">
        <f>IFERROR(INDEX(PP_Grid[#Data],$DE392,97),0)</f>
        <v/>
      </c>
      <c r="CW392">
        <f>IFERROR(INDEX(PP_Grid[#Data],$DE392,98),0)</f>
        <v/>
      </c>
      <c r="CX392">
        <f>IFERROR(INDEX(PP_Grid[#Data],$DE392,99),0)</f>
        <v/>
      </c>
      <c r="CY392">
        <f>IFERROR(INDEX(PP_Grid[#Data],$DE392,100),0)</f>
        <v/>
      </c>
      <c r="CZ392">
        <f>IFERROR(INDEX(PP_Grid[#Data],$DE392,101),0)</f>
        <v/>
      </c>
      <c r="DA392">
        <f>IFERROR(INDEX(PP_Grid[#Data],$DE392,102),0)</f>
        <v/>
      </c>
      <c r="DB392">
        <f>IFERROR(INDEX(PP_Grid[#Data],$DE392,103),0)</f>
        <v/>
      </c>
      <c r="DC392">
        <f>IFERROR(INDEX(PP_Grid[#Data],$DE392,104),0)</f>
        <v/>
      </c>
      <c r="DD392">
        <f>IFERROR(INDEX(PP_Grid[#Data],$DE392,105),0)</f>
        <v/>
      </c>
      <c r="DE392" s="7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SUMIFS(M_BOM[RM_Qty_Per_Batch],M_BOM[Intermediate],$B392,M_BOM[RM_Code],$A325)</f>
        <v/>
      </c>
      <c r="D393">
        <f>IFERROR(INDEX(E393:DD393,$F$1),"")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  <c r="DD393">
        <f>$C393*DD392</f>
        <v/>
      </c>
    </row>
    <row r="394">
      <c r="B394" t="inlineStr">
        <is>
          <t>TSP-669</t>
        </is>
      </c>
      <c r="C394" t="inlineStr">
        <is>
          <t>No. of batches</t>
        </is>
      </c>
      <c r="D394">
        <f>IFERROR(INDEX(E394:DD394,$F$1),"")</f>
        <v/>
      </c>
      <c r="E394">
        <f>IFERROR(INDEX(PP_Grid[#Data],$DE394,2),0)</f>
        <v/>
      </c>
      <c r="F394">
        <f>IFERROR(INDEX(PP_Grid[#Data],$DE394,3),0)</f>
        <v/>
      </c>
      <c r="G394">
        <f>IFERROR(INDEX(PP_Grid[#Data],$DE394,4),0)</f>
        <v/>
      </c>
      <c r="H394">
        <f>IFERROR(INDEX(PP_Grid[#Data],$DE394,5),0)</f>
        <v/>
      </c>
      <c r="I394">
        <f>IFERROR(INDEX(PP_Grid[#Data],$DE394,6),0)</f>
        <v/>
      </c>
      <c r="J394">
        <f>IFERROR(INDEX(PP_Grid[#Data],$DE394,7),0)</f>
        <v/>
      </c>
      <c r="K394">
        <f>IFERROR(INDEX(PP_Grid[#Data],$DE394,8),0)</f>
        <v/>
      </c>
      <c r="L394">
        <f>IFERROR(INDEX(PP_Grid[#Data],$DE394,9),0)</f>
        <v/>
      </c>
      <c r="M394">
        <f>IFERROR(INDEX(PP_Grid[#Data],$DE394,10),0)</f>
        <v/>
      </c>
      <c r="N394">
        <f>IFERROR(INDEX(PP_Grid[#Data],$DE394,11),0)</f>
        <v/>
      </c>
      <c r="O394">
        <f>IFERROR(INDEX(PP_Grid[#Data],$DE394,12),0)</f>
        <v/>
      </c>
      <c r="P394">
        <f>IFERROR(INDEX(PP_Grid[#Data],$DE394,13),0)</f>
        <v/>
      </c>
      <c r="Q394">
        <f>IFERROR(INDEX(PP_Grid[#Data],$DE394,14),0)</f>
        <v/>
      </c>
      <c r="R394">
        <f>IFERROR(INDEX(PP_Grid[#Data],$DE394,15),0)</f>
        <v/>
      </c>
      <c r="S394">
        <f>IFERROR(INDEX(PP_Grid[#Data],$DE394,16),0)</f>
        <v/>
      </c>
      <c r="T394">
        <f>IFERROR(INDEX(PP_Grid[#Data],$DE394,17),0)</f>
        <v/>
      </c>
      <c r="U394">
        <f>IFERROR(INDEX(PP_Grid[#Data],$DE394,18),0)</f>
        <v/>
      </c>
      <c r="V394">
        <f>IFERROR(INDEX(PP_Grid[#Data],$DE394,19),0)</f>
        <v/>
      </c>
      <c r="W394">
        <f>IFERROR(INDEX(PP_Grid[#Data],$DE394,20),0)</f>
        <v/>
      </c>
      <c r="X394">
        <f>IFERROR(INDEX(PP_Grid[#Data],$DE394,21),0)</f>
        <v/>
      </c>
      <c r="Y394">
        <f>IFERROR(INDEX(PP_Grid[#Data],$DE394,22),0)</f>
        <v/>
      </c>
      <c r="Z394">
        <f>IFERROR(INDEX(PP_Grid[#Data],$DE394,23),0)</f>
        <v/>
      </c>
      <c r="AA394">
        <f>IFERROR(INDEX(PP_Grid[#Data],$DE394,24),0)</f>
        <v/>
      </c>
      <c r="AB394">
        <f>IFERROR(INDEX(PP_Grid[#Data],$DE394,25),0)</f>
        <v/>
      </c>
      <c r="AC394">
        <f>IFERROR(INDEX(PP_Grid[#Data],$DE394,26),0)</f>
        <v/>
      </c>
      <c r="AD394">
        <f>IFERROR(INDEX(PP_Grid[#Data],$DE394,27),0)</f>
        <v/>
      </c>
      <c r="AE394">
        <f>IFERROR(INDEX(PP_Grid[#Data],$DE394,28),0)</f>
        <v/>
      </c>
      <c r="AF394">
        <f>IFERROR(INDEX(PP_Grid[#Data],$DE394,29),0)</f>
        <v/>
      </c>
      <c r="AG394">
        <f>IFERROR(INDEX(PP_Grid[#Data],$DE394,30),0)</f>
        <v/>
      </c>
      <c r="AH394">
        <f>IFERROR(INDEX(PP_Grid[#Data],$DE394,31),0)</f>
        <v/>
      </c>
      <c r="AI394">
        <f>IFERROR(INDEX(PP_Grid[#Data],$DE394,32),0)</f>
        <v/>
      </c>
      <c r="AJ394">
        <f>IFERROR(INDEX(PP_Grid[#Data],$DE394,33),0)</f>
        <v/>
      </c>
      <c r="AK394">
        <f>IFERROR(INDEX(PP_Grid[#Data],$DE394,34),0)</f>
        <v/>
      </c>
      <c r="AL394">
        <f>IFERROR(INDEX(PP_Grid[#Data],$DE394,35),0)</f>
        <v/>
      </c>
      <c r="AM394">
        <f>IFERROR(INDEX(PP_Grid[#Data],$DE394,36),0)</f>
        <v/>
      </c>
      <c r="AN394">
        <f>IFERROR(INDEX(PP_Grid[#Data],$DE394,37),0)</f>
        <v/>
      </c>
      <c r="AO394">
        <f>IFERROR(INDEX(PP_Grid[#Data],$DE394,38),0)</f>
        <v/>
      </c>
      <c r="AP394">
        <f>IFERROR(INDEX(PP_Grid[#Data],$DE394,39),0)</f>
        <v/>
      </c>
      <c r="AQ394">
        <f>IFERROR(INDEX(PP_Grid[#Data],$DE394,40),0)</f>
        <v/>
      </c>
      <c r="AR394">
        <f>IFERROR(INDEX(PP_Grid[#Data],$DE394,41),0)</f>
        <v/>
      </c>
      <c r="AS394">
        <f>IFERROR(INDEX(PP_Grid[#Data],$DE394,42),0)</f>
        <v/>
      </c>
      <c r="AT394">
        <f>IFERROR(INDEX(PP_Grid[#Data],$DE394,43),0)</f>
        <v/>
      </c>
      <c r="AU394">
        <f>IFERROR(INDEX(PP_Grid[#Data],$DE394,44),0)</f>
        <v/>
      </c>
      <c r="AV394">
        <f>IFERROR(INDEX(PP_Grid[#Data],$DE394,45),0)</f>
        <v/>
      </c>
      <c r="AW394">
        <f>IFERROR(INDEX(PP_Grid[#Data],$DE394,46),0)</f>
        <v/>
      </c>
      <c r="AX394">
        <f>IFERROR(INDEX(PP_Grid[#Data],$DE394,47),0)</f>
        <v/>
      </c>
      <c r="AY394">
        <f>IFERROR(INDEX(PP_Grid[#Data],$DE394,48),0)</f>
        <v/>
      </c>
      <c r="AZ394">
        <f>IFERROR(INDEX(PP_Grid[#Data],$DE394,49),0)</f>
        <v/>
      </c>
      <c r="BA394">
        <f>IFERROR(INDEX(PP_Grid[#Data],$DE394,50),0)</f>
        <v/>
      </c>
      <c r="BB394">
        <f>IFERROR(INDEX(PP_Grid[#Data],$DE394,51),0)</f>
        <v/>
      </c>
      <c r="BC394">
        <f>IFERROR(INDEX(PP_Grid[#Data],$DE394,52),0)</f>
        <v/>
      </c>
      <c r="BD394">
        <f>IFERROR(INDEX(PP_Grid[#Data],$DE394,53),0)</f>
        <v/>
      </c>
      <c r="BE394">
        <f>IFERROR(INDEX(PP_Grid[#Data],$DE394,54),0)</f>
        <v/>
      </c>
      <c r="BF394">
        <f>IFERROR(INDEX(PP_Grid[#Data],$DE394,55),0)</f>
        <v/>
      </c>
      <c r="BG394">
        <f>IFERROR(INDEX(PP_Grid[#Data],$DE394,56),0)</f>
        <v/>
      </c>
      <c r="BH394">
        <f>IFERROR(INDEX(PP_Grid[#Data],$DE394,57),0)</f>
        <v/>
      </c>
      <c r="BI394">
        <f>IFERROR(INDEX(PP_Grid[#Data],$DE394,58),0)</f>
        <v/>
      </c>
      <c r="BJ394">
        <f>IFERROR(INDEX(PP_Grid[#Data],$DE394,59),0)</f>
        <v/>
      </c>
      <c r="BK394">
        <f>IFERROR(INDEX(PP_Grid[#Data],$DE394,60),0)</f>
        <v/>
      </c>
      <c r="BL394">
        <f>IFERROR(INDEX(PP_Grid[#Data],$DE394,61),0)</f>
        <v/>
      </c>
      <c r="BM394">
        <f>IFERROR(INDEX(PP_Grid[#Data],$DE394,62),0)</f>
        <v/>
      </c>
      <c r="BN394">
        <f>IFERROR(INDEX(PP_Grid[#Data],$DE394,63),0)</f>
        <v/>
      </c>
      <c r="BO394">
        <f>IFERROR(INDEX(PP_Grid[#Data],$DE394,64),0)</f>
        <v/>
      </c>
      <c r="BP394">
        <f>IFERROR(INDEX(PP_Grid[#Data],$DE394,65),0)</f>
        <v/>
      </c>
      <c r="BQ394">
        <f>IFERROR(INDEX(PP_Grid[#Data],$DE394,66),0)</f>
        <v/>
      </c>
      <c r="BR394">
        <f>IFERROR(INDEX(PP_Grid[#Data],$DE394,67),0)</f>
        <v/>
      </c>
      <c r="BS394">
        <f>IFERROR(INDEX(PP_Grid[#Data],$DE394,68),0)</f>
        <v/>
      </c>
      <c r="BT394">
        <f>IFERROR(INDEX(PP_Grid[#Data],$DE394,69),0)</f>
        <v/>
      </c>
      <c r="BU394">
        <f>IFERROR(INDEX(PP_Grid[#Data],$DE394,70),0)</f>
        <v/>
      </c>
      <c r="BV394">
        <f>IFERROR(INDEX(PP_Grid[#Data],$DE394,71),0)</f>
        <v/>
      </c>
      <c r="BW394">
        <f>IFERROR(INDEX(PP_Grid[#Data],$DE394,72),0)</f>
        <v/>
      </c>
      <c r="BX394">
        <f>IFERROR(INDEX(PP_Grid[#Data],$DE394,73),0)</f>
        <v/>
      </c>
      <c r="BY394">
        <f>IFERROR(INDEX(PP_Grid[#Data],$DE394,74),0)</f>
        <v/>
      </c>
      <c r="BZ394">
        <f>IFERROR(INDEX(PP_Grid[#Data],$DE394,75),0)</f>
        <v/>
      </c>
      <c r="CA394">
        <f>IFERROR(INDEX(PP_Grid[#Data],$DE394,76),0)</f>
        <v/>
      </c>
      <c r="CB394">
        <f>IFERROR(INDEX(PP_Grid[#Data],$DE394,77),0)</f>
        <v/>
      </c>
      <c r="CC394">
        <f>IFERROR(INDEX(PP_Grid[#Data],$DE394,78),0)</f>
        <v/>
      </c>
      <c r="CD394">
        <f>IFERROR(INDEX(PP_Grid[#Data],$DE394,79),0)</f>
        <v/>
      </c>
      <c r="CE394">
        <f>IFERROR(INDEX(PP_Grid[#Data],$DE394,80),0)</f>
        <v/>
      </c>
      <c r="CF394">
        <f>IFERROR(INDEX(PP_Grid[#Data],$DE394,81),0)</f>
        <v/>
      </c>
      <c r="CG394">
        <f>IFERROR(INDEX(PP_Grid[#Data],$DE394,82),0)</f>
        <v/>
      </c>
      <c r="CH394">
        <f>IFERROR(INDEX(PP_Grid[#Data],$DE394,83),0)</f>
        <v/>
      </c>
      <c r="CI394">
        <f>IFERROR(INDEX(PP_Grid[#Data],$DE394,84),0)</f>
        <v/>
      </c>
      <c r="CJ394">
        <f>IFERROR(INDEX(PP_Grid[#Data],$DE394,85),0)</f>
        <v/>
      </c>
      <c r="CK394">
        <f>IFERROR(INDEX(PP_Grid[#Data],$DE394,86),0)</f>
        <v/>
      </c>
      <c r="CL394">
        <f>IFERROR(INDEX(PP_Grid[#Data],$DE394,87),0)</f>
        <v/>
      </c>
      <c r="CM394">
        <f>IFERROR(INDEX(PP_Grid[#Data],$DE394,88),0)</f>
        <v/>
      </c>
      <c r="CN394">
        <f>IFERROR(INDEX(PP_Grid[#Data],$DE394,89),0)</f>
        <v/>
      </c>
      <c r="CO394">
        <f>IFERROR(INDEX(PP_Grid[#Data],$DE394,90),0)</f>
        <v/>
      </c>
      <c r="CP394">
        <f>IFERROR(INDEX(PP_Grid[#Data],$DE394,91),0)</f>
        <v/>
      </c>
      <c r="CQ394">
        <f>IFERROR(INDEX(PP_Grid[#Data],$DE394,92),0)</f>
        <v/>
      </c>
      <c r="CR394">
        <f>IFERROR(INDEX(PP_Grid[#Data],$DE394,93),0)</f>
        <v/>
      </c>
      <c r="CS394">
        <f>IFERROR(INDEX(PP_Grid[#Data],$DE394,94),0)</f>
        <v/>
      </c>
      <c r="CT394">
        <f>IFERROR(INDEX(PP_Grid[#Data],$DE394,95),0)</f>
        <v/>
      </c>
      <c r="CU394">
        <f>IFERROR(INDEX(PP_Grid[#Data],$DE394,96),0)</f>
        <v/>
      </c>
      <c r="CV394">
        <f>IFERROR(INDEX(PP_Grid[#Data],$DE394,97),0)</f>
        <v/>
      </c>
      <c r="CW394">
        <f>IFERROR(INDEX(PP_Grid[#Data],$DE394,98),0)</f>
        <v/>
      </c>
      <c r="CX394">
        <f>IFERROR(INDEX(PP_Grid[#Data],$DE394,99),0)</f>
        <v/>
      </c>
      <c r="CY394">
        <f>IFERROR(INDEX(PP_Grid[#Data],$DE394,100),0)</f>
        <v/>
      </c>
      <c r="CZ394">
        <f>IFERROR(INDEX(PP_Grid[#Data],$DE394,101),0)</f>
        <v/>
      </c>
      <c r="DA394">
        <f>IFERROR(INDEX(PP_Grid[#Data],$DE394,102),0)</f>
        <v/>
      </c>
      <c r="DB394">
        <f>IFERROR(INDEX(PP_Grid[#Data],$DE394,103),0)</f>
        <v/>
      </c>
      <c r="DC394">
        <f>IFERROR(INDEX(PP_Grid[#Data],$DE394,104),0)</f>
        <v/>
      </c>
      <c r="DD394">
        <f>IFERROR(INDEX(PP_Grid[#Data],$DE394,105),0)</f>
        <v/>
      </c>
      <c r="DE394" s="7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SUMIFS(M_BOM[RM_Qty_Per_Batch],M_BOM[Intermediate],$B394,M_BOM[RM_Code],$A325)</f>
        <v/>
      </c>
      <c r="D395">
        <f>IFERROR(INDEX(E395:DD395,$F$1),"")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  <c r="DD395">
        <f>$C395*DD394</f>
        <v/>
      </c>
    </row>
    <row r="396">
      <c r="B396" t="inlineStr">
        <is>
          <t>TSP-670</t>
        </is>
      </c>
      <c r="C396" t="inlineStr">
        <is>
          <t>No. of batches</t>
        </is>
      </c>
      <c r="D396">
        <f>IFERROR(INDEX(E396:DD396,$F$1),"")</f>
        <v/>
      </c>
      <c r="E396">
        <f>IFERROR(INDEX(PP_Grid[#Data],$DE396,2),0)</f>
        <v/>
      </c>
      <c r="F396">
        <f>IFERROR(INDEX(PP_Grid[#Data],$DE396,3),0)</f>
        <v/>
      </c>
      <c r="G396">
        <f>IFERROR(INDEX(PP_Grid[#Data],$DE396,4),0)</f>
        <v/>
      </c>
      <c r="H396">
        <f>IFERROR(INDEX(PP_Grid[#Data],$DE396,5),0)</f>
        <v/>
      </c>
      <c r="I396">
        <f>IFERROR(INDEX(PP_Grid[#Data],$DE396,6),0)</f>
        <v/>
      </c>
      <c r="J396">
        <f>IFERROR(INDEX(PP_Grid[#Data],$DE396,7),0)</f>
        <v/>
      </c>
      <c r="K396">
        <f>IFERROR(INDEX(PP_Grid[#Data],$DE396,8),0)</f>
        <v/>
      </c>
      <c r="L396">
        <f>IFERROR(INDEX(PP_Grid[#Data],$DE396,9),0)</f>
        <v/>
      </c>
      <c r="M396">
        <f>IFERROR(INDEX(PP_Grid[#Data],$DE396,10),0)</f>
        <v/>
      </c>
      <c r="N396">
        <f>IFERROR(INDEX(PP_Grid[#Data],$DE396,11),0)</f>
        <v/>
      </c>
      <c r="O396">
        <f>IFERROR(INDEX(PP_Grid[#Data],$DE396,12),0)</f>
        <v/>
      </c>
      <c r="P396">
        <f>IFERROR(INDEX(PP_Grid[#Data],$DE396,13),0)</f>
        <v/>
      </c>
      <c r="Q396">
        <f>IFERROR(INDEX(PP_Grid[#Data],$DE396,14),0)</f>
        <v/>
      </c>
      <c r="R396">
        <f>IFERROR(INDEX(PP_Grid[#Data],$DE396,15),0)</f>
        <v/>
      </c>
      <c r="S396">
        <f>IFERROR(INDEX(PP_Grid[#Data],$DE396,16),0)</f>
        <v/>
      </c>
      <c r="T396">
        <f>IFERROR(INDEX(PP_Grid[#Data],$DE396,17),0)</f>
        <v/>
      </c>
      <c r="U396">
        <f>IFERROR(INDEX(PP_Grid[#Data],$DE396,18),0)</f>
        <v/>
      </c>
      <c r="V396">
        <f>IFERROR(INDEX(PP_Grid[#Data],$DE396,19),0)</f>
        <v/>
      </c>
      <c r="W396">
        <f>IFERROR(INDEX(PP_Grid[#Data],$DE396,20),0)</f>
        <v/>
      </c>
      <c r="X396">
        <f>IFERROR(INDEX(PP_Grid[#Data],$DE396,21),0)</f>
        <v/>
      </c>
      <c r="Y396">
        <f>IFERROR(INDEX(PP_Grid[#Data],$DE396,22),0)</f>
        <v/>
      </c>
      <c r="Z396">
        <f>IFERROR(INDEX(PP_Grid[#Data],$DE396,23),0)</f>
        <v/>
      </c>
      <c r="AA396">
        <f>IFERROR(INDEX(PP_Grid[#Data],$DE396,24),0)</f>
        <v/>
      </c>
      <c r="AB396">
        <f>IFERROR(INDEX(PP_Grid[#Data],$DE396,25),0)</f>
        <v/>
      </c>
      <c r="AC396">
        <f>IFERROR(INDEX(PP_Grid[#Data],$DE396,26),0)</f>
        <v/>
      </c>
      <c r="AD396">
        <f>IFERROR(INDEX(PP_Grid[#Data],$DE396,27),0)</f>
        <v/>
      </c>
      <c r="AE396">
        <f>IFERROR(INDEX(PP_Grid[#Data],$DE396,28),0)</f>
        <v/>
      </c>
      <c r="AF396">
        <f>IFERROR(INDEX(PP_Grid[#Data],$DE396,29),0)</f>
        <v/>
      </c>
      <c r="AG396">
        <f>IFERROR(INDEX(PP_Grid[#Data],$DE396,30),0)</f>
        <v/>
      </c>
      <c r="AH396">
        <f>IFERROR(INDEX(PP_Grid[#Data],$DE396,31),0)</f>
        <v/>
      </c>
      <c r="AI396">
        <f>IFERROR(INDEX(PP_Grid[#Data],$DE396,32),0)</f>
        <v/>
      </c>
      <c r="AJ396">
        <f>IFERROR(INDEX(PP_Grid[#Data],$DE396,33),0)</f>
        <v/>
      </c>
      <c r="AK396">
        <f>IFERROR(INDEX(PP_Grid[#Data],$DE396,34),0)</f>
        <v/>
      </c>
      <c r="AL396">
        <f>IFERROR(INDEX(PP_Grid[#Data],$DE396,35),0)</f>
        <v/>
      </c>
      <c r="AM396">
        <f>IFERROR(INDEX(PP_Grid[#Data],$DE396,36),0)</f>
        <v/>
      </c>
      <c r="AN396">
        <f>IFERROR(INDEX(PP_Grid[#Data],$DE396,37),0)</f>
        <v/>
      </c>
      <c r="AO396">
        <f>IFERROR(INDEX(PP_Grid[#Data],$DE396,38),0)</f>
        <v/>
      </c>
      <c r="AP396">
        <f>IFERROR(INDEX(PP_Grid[#Data],$DE396,39),0)</f>
        <v/>
      </c>
      <c r="AQ396">
        <f>IFERROR(INDEX(PP_Grid[#Data],$DE396,40),0)</f>
        <v/>
      </c>
      <c r="AR396">
        <f>IFERROR(INDEX(PP_Grid[#Data],$DE396,41),0)</f>
        <v/>
      </c>
      <c r="AS396">
        <f>IFERROR(INDEX(PP_Grid[#Data],$DE396,42),0)</f>
        <v/>
      </c>
      <c r="AT396">
        <f>IFERROR(INDEX(PP_Grid[#Data],$DE396,43),0)</f>
        <v/>
      </c>
      <c r="AU396">
        <f>IFERROR(INDEX(PP_Grid[#Data],$DE396,44),0)</f>
        <v/>
      </c>
      <c r="AV396">
        <f>IFERROR(INDEX(PP_Grid[#Data],$DE396,45),0)</f>
        <v/>
      </c>
      <c r="AW396">
        <f>IFERROR(INDEX(PP_Grid[#Data],$DE396,46),0)</f>
        <v/>
      </c>
      <c r="AX396">
        <f>IFERROR(INDEX(PP_Grid[#Data],$DE396,47),0)</f>
        <v/>
      </c>
      <c r="AY396">
        <f>IFERROR(INDEX(PP_Grid[#Data],$DE396,48),0)</f>
        <v/>
      </c>
      <c r="AZ396">
        <f>IFERROR(INDEX(PP_Grid[#Data],$DE396,49),0)</f>
        <v/>
      </c>
      <c r="BA396">
        <f>IFERROR(INDEX(PP_Grid[#Data],$DE396,50),0)</f>
        <v/>
      </c>
      <c r="BB396">
        <f>IFERROR(INDEX(PP_Grid[#Data],$DE396,51),0)</f>
        <v/>
      </c>
      <c r="BC396">
        <f>IFERROR(INDEX(PP_Grid[#Data],$DE396,52),0)</f>
        <v/>
      </c>
      <c r="BD396">
        <f>IFERROR(INDEX(PP_Grid[#Data],$DE396,53),0)</f>
        <v/>
      </c>
      <c r="BE396">
        <f>IFERROR(INDEX(PP_Grid[#Data],$DE396,54),0)</f>
        <v/>
      </c>
      <c r="BF396">
        <f>IFERROR(INDEX(PP_Grid[#Data],$DE396,55),0)</f>
        <v/>
      </c>
      <c r="BG396">
        <f>IFERROR(INDEX(PP_Grid[#Data],$DE396,56),0)</f>
        <v/>
      </c>
      <c r="BH396">
        <f>IFERROR(INDEX(PP_Grid[#Data],$DE396,57),0)</f>
        <v/>
      </c>
      <c r="BI396">
        <f>IFERROR(INDEX(PP_Grid[#Data],$DE396,58),0)</f>
        <v/>
      </c>
      <c r="BJ396">
        <f>IFERROR(INDEX(PP_Grid[#Data],$DE396,59),0)</f>
        <v/>
      </c>
      <c r="BK396">
        <f>IFERROR(INDEX(PP_Grid[#Data],$DE396,60),0)</f>
        <v/>
      </c>
      <c r="BL396">
        <f>IFERROR(INDEX(PP_Grid[#Data],$DE396,61),0)</f>
        <v/>
      </c>
      <c r="BM396">
        <f>IFERROR(INDEX(PP_Grid[#Data],$DE396,62),0)</f>
        <v/>
      </c>
      <c r="BN396">
        <f>IFERROR(INDEX(PP_Grid[#Data],$DE396,63),0)</f>
        <v/>
      </c>
      <c r="BO396">
        <f>IFERROR(INDEX(PP_Grid[#Data],$DE396,64),0)</f>
        <v/>
      </c>
      <c r="BP396">
        <f>IFERROR(INDEX(PP_Grid[#Data],$DE396,65),0)</f>
        <v/>
      </c>
      <c r="BQ396">
        <f>IFERROR(INDEX(PP_Grid[#Data],$DE396,66),0)</f>
        <v/>
      </c>
      <c r="BR396">
        <f>IFERROR(INDEX(PP_Grid[#Data],$DE396,67),0)</f>
        <v/>
      </c>
      <c r="BS396">
        <f>IFERROR(INDEX(PP_Grid[#Data],$DE396,68),0)</f>
        <v/>
      </c>
      <c r="BT396">
        <f>IFERROR(INDEX(PP_Grid[#Data],$DE396,69),0)</f>
        <v/>
      </c>
      <c r="BU396">
        <f>IFERROR(INDEX(PP_Grid[#Data],$DE396,70),0)</f>
        <v/>
      </c>
      <c r="BV396">
        <f>IFERROR(INDEX(PP_Grid[#Data],$DE396,71),0)</f>
        <v/>
      </c>
      <c r="BW396">
        <f>IFERROR(INDEX(PP_Grid[#Data],$DE396,72),0)</f>
        <v/>
      </c>
      <c r="BX396">
        <f>IFERROR(INDEX(PP_Grid[#Data],$DE396,73),0)</f>
        <v/>
      </c>
      <c r="BY396">
        <f>IFERROR(INDEX(PP_Grid[#Data],$DE396,74),0)</f>
        <v/>
      </c>
      <c r="BZ396">
        <f>IFERROR(INDEX(PP_Grid[#Data],$DE396,75),0)</f>
        <v/>
      </c>
      <c r="CA396">
        <f>IFERROR(INDEX(PP_Grid[#Data],$DE396,76),0)</f>
        <v/>
      </c>
      <c r="CB396">
        <f>IFERROR(INDEX(PP_Grid[#Data],$DE396,77),0)</f>
        <v/>
      </c>
      <c r="CC396">
        <f>IFERROR(INDEX(PP_Grid[#Data],$DE396,78),0)</f>
        <v/>
      </c>
      <c r="CD396">
        <f>IFERROR(INDEX(PP_Grid[#Data],$DE396,79),0)</f>
        <v/>
      </c>
      <c r="CE396">
        <f>IFERROR(INDEX(PP_Grid[#Data],$DE396,80),0)</f>
        <v/>
      </c>
      <c r="CF396">
        <f>IFERROR(INDEX(PP_Grid[#Data],$DE396,81),0)</f>
        <v/>
      </c>
      <c r="CG396">
        <f>IFERROR(INDEX(PP_Grid[#Data],$DE396,82),0)</f>
        <v/>
      </c>
      <c r="CH396">
        <f>IFERROR(INDEX(PP_Grid[#Data],$DE396,83),0)</f>
        <v/>
      </c>
      <c r="CI396">
        <f>IFERROR(INDEX(PP_Grid[#Data],$DE396,84),0)</f>
        <v/>
      </c>
      <c r="CJ396">
        <f>IFERROR(INDEX(PP_Grid[#Data],$DE396,85),0)</f>
        <v/>
      </c>
      <c r="CK396">
        <f>IFERROR(INDEX(PP_Grid[#Data],$DE396,86),0)</f>
        <v/>
      </c>
      <c r="CL396">
        <f>IFERROR(INDEX(PP_Grid[#Data],$DE396,87),0)</f>
        <v/>
      </c>
      <c r="CM396">
        <f>IFERROR(INDEX(PP_Grid[#Data],$DE396,88),0)</f>
        <v/>
      </c>
      <c r="CN396">
        <f>IFERROR(INDEX(PP_Grid[#Data],$DE396,89),0)</f>
        <v/>
      </c>
      <c r="CO396">
        <f>IFERROR(INDEX(PP_Grid[#Data],$DE396,90),0)</f>
        <v/>
      </c>
      <c r="CP396">
        <f>IFERROR(INDEX(PP_Grid[#Data],$DE396,91),0)</f>
        <v/>
      </c>
      <c r="CQ396">
        <f>IFERROR(INDEX(PP_Grid[#Data],$DE396,92),0)</f>
        <v/>
      </c>
      <c r="CR396">
        <f>IFERROR(INDEX(PP_Grid[#Data],$DE396,93),0)</f>
        <v/>
      </c>
      <c r="CS396">
        <f>IFERROR(INDEX(PP_Grid[#Data],$DE396,94),0)</f>
        <v/>
      </c>
      <c r="CT396">
        <f>IFERROR(INDEX(PP_Grid[#Data],$DE396,95),0)</f>
        <v/>
      </c>
      <c r="CU396">
        <f>IFERROR(INDEX(PP_Grid[#Data],$DE396,96),0)</f>
        <v/>
      </c>
      <c r="CV396">
        <f>IFERROR(INDEX(PP_Grid[#Data],$DE396,97),0)</f>
        <v/>
      </c>
      <c r="CW396">
        <f>IFERROR(INDEX(PP_Grid[#Data],$DE396,98),0)</f>
        <v/>
      </c>
      <c r="CX396">
        <f>IFERROR(INDEX(PP_Grid[#Data],$DE396,99),0)</f>
        <v/>
      </c>
      <c r="CY396">
        <f>IFERROR(INDEX(PP_Grid[#Data],$DE396,100),0)</f>
        <v/>
      </c>
      <c r="CZ396">
        <f>IFERROR(INDEX(PP_Grid[#Data],$DE396,101),0)</f>
        <v/>
      </c>
      <c r="DA396">
        <f>IFERROR(INDEX(PP_Grid[#Data],$DE396,102),0)</f>
        <v/>
      </c>
      <c r="DB396">
        <f>IFERROR(INDEX(PP_Grid[#Data],$DE396,103),0)</f>
        <v/>
      </c>
      <c r="DC396">
        <f>IFERROR(INDEX(PP_Grid[#Data],$DE396,104),0)</f>
        <v/>
      </c>
      <c r="DD396">
        <f>IFERROR(INDEX(PP_Grid[#Data],$DE396,105),0)</f>
        <v/>
      </c>
      <c r="DE396" s="7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SUMIFS(M_BOM[RM_Qty_Per_Batch],M_BOM[Intermediate],$B396,M_BOM[RM_Code],$A325)</f>
        <v/>
      </c>
      <c r="D397">
        <f>IFERROR(INDEX(E397:DD397,$F$1),"")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  <c r="DD397">
        <f>$C397*DD396</f>
        <v/>
      </c>
    </row>
    <row r="398">
      <c r="B398" t="inlineStr">
        <is>
          <t>TSP-699</t>
        </is>
      </c>
      <c r="C398" t="inlineStr">
        <is>
          <t>No. of batches</t>
        </is>
      </c>
      <c r="D398">
        <f>IFERROR(INDEX(E398:DD398,$F$1),"")</f>
        <v/>
      </c>
      <c r="E398">
        <f>IFERROR(INDEX(PP_Grid[#Data],$DE398,2),0)</f>
        <v/>
      </c>
      <c r="F398">
        <f>IFERROR(INDEX(PP_Grid[#Data],$DE398,3),0)</f>
        <v/>
      </c>
      <c r="G398">
        <f>IFERROR(INDEX(PP_Grid[#Data],$DE398,4),0)</f>
        <v/>
      </c>
      <c r="H398">
        <f>IFERROR(INDEX(PP_Grid[#Data],$DE398,5),0)</f>
        <v/>
      </c>
      <c r="I398">
        <f>IFERROR(INDEX(PP_Grid[#Data],$DE398,6),0)</f>
        <v/>
      </c>
      <c r="J398">
        <f>IFERROR(INDEX(PP_Grid[#Data],$DE398,7),0)</f>
        <v/>
      </c>
      <c r="K398">
        <f>IFERROR(INDEX(PP_Grid[#Data],$DE398,8),0)</f>
        <v/>
      </c>
      <c r="L398">
        <f>IFERROR(INDEX(PP_Grid[#Data],$DE398,9),0)</f>
        <v/>
      </c>
      <c r="M398">
        <f>IFERROR(INDEX(PP_Grid[#Data],$DE398,10),0)</f>
        <v/>
      </c>
      <c r="N398">
        <f>IFERROR(INDEX(PP_Grid[#Data],$DE398,11),0)</f>
        <v/>
      </c>
      <c r="O398">
        <f>IFERROR(INDEX(PP_Grid[#Data],$DE398,12),0)</f>
        <v/>
      </c>
      <c r="P398">
        <f>IFERROR(INDEX(PP_Grid[#Data],$DE398,13),0)</f>
        <v/>
      </c>
      <c r="Q398">
        <f>IFERROR(INDEX(PP_Grid[#Data],$DE398,14),0)</f>
        <v/>
      </c>
      <c r="R398">
        <f>IFERROR(INDEX(PP_Grid[#Data],$DE398,15),0)</f>
        <v/>
      </c>
      <c r="S398">
        <f>IFERROR(INDEX(PP_Grid[#Data],$DE398,16),0)</f>
        <v/>
      </c>
      <c r="T398">
        <f>IFERROR(INDEX(PP_Grid[#Data],$DE398,17),0)</f>
        <v/>
      </c>
      <c r="U398">
        <f>IFERROR(INDEX(PP_Grid[#Data],$DE398,18),0)</f>
        <v/>
      </c>
      <c r="V398">
        <f>IFERROR(INDEX(PP_Grid[#Data],$DE398,19),0)</f>
        <v/>
      </c>
      <c r="W398">
        <f>IFERROR(INDEX(PP_Grid[#Data],$DE398,20),0)</f>
        <v/>
      </c>
      <c r="X398">
        <f>IFERROR(INDEX(PP_Grid[#Data],$DE398,21),0)</f>
        <v/>
      </c>
      <c r="Y398">
        <f>IFERROR(INDEX(PP_Grid[#Data],$DE398,22),0)</f>
        <v/>
      </c>
      <c r="Z398">
        <f>IFERROR(INDEX(PP_Grid[#Data],$DE398,23),0)</f>
        <v/>
      </c>
      <c r="AA398">
        <f>IFERROR(INDEX(PP_Grid[#Data],$DE398,24),0)</f>
        <v/>
      </c>
      <c r="AB398">
        <f>IFERROR(INDEX(PP_Grid[#Data],$DE398,25),0)</f>
        <v/>
      </c>
      <c r="AC398">
        <f>IFERROR(INDEX(PP_Grid[#Data],$DE398,26),0)</f>
        <v/>
      </c>
      <c r="AD398">
        <f>IFERROR(INDEX(PP_Grid[#Data],$DE398,27),0)</f>
        <v/>
      </c>
      <c r="AE398">
        <f>IFERROR(INDEX(PP_Grid[#Data],$DE398,28),0)</f>
        <v/>
      </c>
      <c r="AF398">
        <f>IFERROR(INDEX(PP_Grid[#Data],$DE398,29),0)</f>
        <v/>
      </c>
      <c r="AG398">
        <f>IFERROR(INDEX(PP_Grid[#Data],$DE398,30),0)</f>
        <v/>
      </c>
      <c r="AH398">
        <f>IFERROR(INDEX(PP_Grid[#Data],$DE398,31),0)</f>
        <v/>
      </c>
      <c r="AI398">
        <f>IFERROR(INDEX(PP_Grid[#Data],$DE398,32),0)</f>
        <v/>
      </c>
      <c r="AJ398">
        <f>IFERROR(INDEX(PP_Grid[#Data],$DE398,33),0)</f>
        <v/>
      </c>
      <c r="AK398">
        <f>IFERROR(INDEX(PP_Grid[#Data],$DE398,34),0)</f>
        <v/>
      </c>
      <c r="AL398">
        <f>IFERROR(INDEX(PP_Grid[#Data],$DE398,35),0)</f>
        <v/>
      </c>
      <c r="AM398">
        <f>IFERROR(INDEX(PP_Grid[#Data],$DE398,36),0)</f>
        <v/>
      </c>
      <c r="AN398">
        <f>IFERROR(INDEX(PP_Grid[#Data],$DE398,37),0)</f>
        <v/>
      </c>
      <c r="AO398">
        <f>IFERROR(INDEX(PP_Grid[#Data],$DE398,38),0)</f>
        <v/>
      </c>
      <c r="AP398">
        <f>IFERROR(INDEX(PP_Grid[#Data],$DE398,39),0)</f>
        <v/>
      </c>
      <c r="AQ398">
        <f>IFERROR(INDEX(PP_Grid[#Data],$DE398,40),0)</f>
        <v/>
      </c>
      <c r="AR398">
        <f>IFERROR(INDEX(PP_Grid[#Data],$DE398,41),0)</f>
        <v/>
      </c>
      <c r="AS398">
        <f>IFERROR(INDEX(PP_Grid[#Data],$DE398,42),0)</f>
        <v/>
      </c>
      <c r="AT398">
        <f>IFERROR(INDEX(PP_Grid[#Data],$DE398,43),0)</f>
        <v/>
      </c>
      <c r="AU398">
        <f>IFERROR(INDEX(PP_Grid[#Data],$DE398,44),0)</f>
        <v/>
      </c>
      <c r="AV398">
        <f>IFERROR(INDEX(PP_Grid[#Data],$DE398,45),0)</f>
        <v/>
      </c>
      <c r="AW398">
        <f>IFERROR(INDEX(PP_Grid[#Data],$DE398,46),0)</f>
        <v/>
      </c>
      <c r="AX398">
        <f>IFERROR(INDEX(PP_Grid[#Data],$DE398,47),0)</f>
        <v/>
      </c>
      <c r="AY398">
        <f>IFERROR(INDEX(PP_Grid[#Data],$DE398,48),0)</f>
        <v/>
      </c>
      <c r="AZ398">
        <f>IFERROR(INDEX(PP_Grid[#Data],$DE398,49),0)</f>
        <v/>
      </c>
      <c r="BA398">
        <f>IFERROR(INDEX(PP_Grid[#Data],$DE398,50),0)</f>
        <v/>
      </c>
      <c r="BB398">
        <f>IFERROR(INDEX(PP_Grid[#Data],$DE398,51),0)</f>
        <v/>
      </c>
      <c r="BC398">
        <f>IFERROR(INDEX(PP_Grid[#Data],$DE398,52),0)</f>
        <v/>
      </c>
      <c r="BD398">
        <f>IFERROR(INDEX(PP_Grid[#Data],$DE398,53),0)</f>
        <v/>
      </c>
      <c r="BE398">
        <f>IFERROR(INDEX(PP_Grid[#Data],$DE398,54),0)</f>
        <v/>
      </c>
      <c r="BF398">
        <f>IFERROR(INDEX(PP_Grid[#Data],$DE398,55),0)</f>
        <v/>
      </c>
      <c r="BG398">
        <f>IFERROR(INDEX(PP_Grid[#Data],$DE398,56),0)</f>
        <v/>
      </c>
      <c r="BH398">
        <f>IFERROR(INDEX(PP_Grid[#Data],$DE398,57),0)</f>
        <v/>
      </c>
      <c r="BI398">
        <f>IFERROR(INDEX(PP_Grid[#Data],$DE398,58),0)</f>
        <v/>
      </c>
      <c r="BJ398">
        <f>IFERROR(INDEX(PP_Grid[#Data],$DE398,59),0)</f>
        <v/>
      </c>
      <c r="BK398">
        <f>IFERROR(INDEX(PP_Grid[#Data],$DE398,60),0)</f>
        <v/>
      </c>
      <c r="BL398">
        <f>IFERROR(INDEX(PP_Grid[#Data],$DE398,61),0)</f>
        <v/>
      </c>
      <c r="BM398">
        <f>IFERROR(INDEX(PP_Grid[#Data],$DE398,62),0)</f>
        <v/>
      </c>
      <c r="BN398">
        <f>IFERROR(INDEX(PP_Grid[#Data],$DE398,63),0)</f>
        <v/>
      </c>
      <c r="BO398">
        <f>IFERROR(INDEX(PP_Grid[#Data],$DE398,64),0)</f>
        <v/>
      </c>
      <c r="BP398">
        <f>IFERROR(INDEX(PP_Grid[#Data],$DE398,65),0)</f>
        <v/>
      </c>
      <c r="BQ398">
        <f>IFERROR(INDEX(PP_Grid[#Data],$DE398,66),0)</f>
        <v/>
      </c>
      <c r="BR398">
        <f>IFERROR(INDEX(PP_Grid[#Data],$DE398,67),0)</f>
        <v/>
      </c>
      <c r="BS398">
        <f>IFERROR(INDEX(PP_Grid[#Data],$DE398,68),0)</f>
        <v/>
      </c>
      <c r="BT398">
        <f>IFERROR(INDEX(PP_Grid[#Data],$DE398,69),0)</f>
        <v/>
      </c>
      <c r="BU398">
        <f>IFERROR(INDEX(PP_Grid[#Data],$DE398,70),0)</f>
        <v/>
      </c>
      <c r="BV398">
        <f>IFERROR(INDEX(PP_Grid[#Data],$DE398,71),0)</f>
        <v/>
      </c>
      <c r="BW398">
        <f>IFERROR(INDEX(PP_Grid[#Data],$DE398,72),0)</f>
        <v/>
      </c>
      <c r="BX398">
        <f>IFERROR(INDEX(PP_Grid[#Data],$DE398,73),0)</f>
        <v/>
      </c>
      <c r="BY398">
        <f>IFERROR(INDEX(PP_Grid[#Data],$DE398,74),0)</f>
        <v/>
      </c>
      <c r="BZ398">
        <f>IFERROR(INDEX(PP_Grid[#Data],$DE398,75),0)</f>
        <v/>
      </c>
      <c r="CA398">
        <f>IFERROR(INDEX(PP_Grid[#Data],$DE398,76),0)</f>
        <v/>
      </c>
      <c r="CB398">
        <f>IFERROR(INDEX(PP_Grid[#Data],$DE398,77),0)</f>
        <v/>
      </c>
      <c r="CC398">
        <f>IFERROR(INDEX(PP_Grid[#Data],$DE398,78),0)</f>
        <v/>
      </c>
      <c r="CD398">
        <f>IFERROR(INDEX(PP_Grid[#Data],$DE398,79),0)</f>
        <v/>
      </c>
      <c r="CE398">
        <f>IFERROR(INDEX(PP_Grid[#Data],$DE398,80),0)</f>
        <v/>
      </c>
      <c r="CF398">
        <f>IFERROR(INDEX(PP_Grid[#Data],$DE398,81),0)</f>
        <v/>
      </c>
      <c r="CG398">
        <f>IFERROR(INDEX(PP_Grid[#Data],$DE398,82),0)</f>
        <v/>
      </c>
      <c r="CH398">
        <f>IFERROR(INDEX(PP_Grid[#Data],$DE398,83),0)</f>
        <v/>
      </c>
      <c r="CI398">
        <f>IFERROR(INDEX(PP_Grid[#Data],$DE398,84),0)</f>
        <v/>
      </c>
      <c r="CJ398">
        <f>IFERROR(INDEX(PP_Grid[#Data],$DE398,85),0)</f>
        <v/>
      </c>
      <c r="CK398">
        <f>IFERROR(INDEX(PP_Grid[#Data],$DE398,86),0)</f>
        <v/>
      </c>
      <c r="CL398">
        <f>IFERROR(INDEX(PP_Grid[#Data],$DE398,87),0)</f>
        <v/>
      </c>
      <c r="CM398">
        <f>IFERROR(INDEX(PP_Grid[#Data],$DE398,88),0)</f>
        <v/>
      </c>
      <c r="CN398">
        <f>IFERROR(INDEX(PP_Grid[#Data],$DE398,89),0)</f>
        <v/>
      </c>
      <c r="CO398">
        <f>IFERROR(INDEX(PP_Grid[#Data],$DE398,90),0)</f>
        <v/>
      </c>
      <c r="CP398">
        <f>IFERROR(INDEX(PP_Grid[#Data],$DE398,91),0)</f>
        <v/>
      </c>
      <c r="CQ398">
        <f>IFERROR(INDEX(PP_Grid[#Data],$DE398,92),0)</f>
        <v/>
      </c>
      <c r="CR398">
        <f>IFERROR(INDEX(PP_Grid[#Data],$DE398,93),0)</f>
        <v/>
      </c>
      <c r="CS398">
        <f>IFERROR(INDEX(PP_Grid[#Data],$DE398,94),0)</f>
        <v/>
      </c>
      <c r="CT398">
        <f>IFERROR(INDEX(PP_Grid[#Data],$DE398,95),0)</f>
        <v/>
      </c>
      <c r="CU398">
        <f>IFERROR(INDEX(PP_Grid[#Data],$DE398,96),0)</f>
        <v/>
      </c>
      <c r="CV398">
        <f>IFERROR(INDEX(PP_Grid[#Data],$DE398,97),0)</f>
        <v/>
      </c>
      <c r="CW398">
        <f>IFERROR(INDEX(PP_Grid[#Data],$DE398,98),0)</f>
        <v/>
      </c>
      <c r="CX398">
        <f>IFERROR(INDEX(PP_Grid[#Data],$DE398,99),0)</f>
        <v/>
      </c>
      <c r="CY398">
        <f>IFERROR(INDEX(PP_Grid[#Data],$DE398,100),0)</f>
        <v/>
      </c>
      <c r="CZ398">
        <f>IFERROR(INDEX(PP_Grid[#Data],$DE398,101),0)</f>
        <v/>
      </c>
      <c r="DA398">
        <f>IFERROR(INDEX(PP_Grid[#Data],$DE398,102),0)</f>
        <v/>
      </c>
      <c r="DB398">
        <f>IFERROR(INDEX(PP_Grid[#Data],$DE398,103),0)</f>
        <v/>
      </c>
      <c r="DC398">
        <f>IFERROR(INDEX(PP_Grid[#Data],$DE398,104),0)</f>
        <v/>
      </c>
      <c r="DD398">
        <f>IFERROR(INDEX(PP_Grid[#Data],$DE398,105),0)</f>
        <v/>
      </c>
      <c r="DE398" s="7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SUMIFS(M_BOM[RM_Qty_Per_Batch],M_BOM[Intermediate],$B398,M_BOM[RM_Code],$A325)</f>
        <v/>
      </c>
      <c r="D399">
        <f>IFERROR(INDEX(E399:DD399,$F$1),"")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  <c r="DD399">
        <f>$C399*DD398</f>
        <v/>
      </c>
    </row>
    <row r="400">
      <c r="B400" t="inlineStr">
        <is>
          <t>TSP-710</t>
        </is>
      </c>
      <c r="C400" t="inlineStr">
        <is>
          <t>No. of batches</t>
        </is>
      </c>
      <c r="D400">
        <f>IFERROR(INDEX(E400:DD400,$F$1),"")</f>
        <v/>
      </c>
      <c r="E400">
        <f>IFERROR(INDEX(PP_Grid[#Data],$DE400,2),0)</f>
        <v/>
      </c>
      <c r="F400">
        <f>IFERROR(INDEX(PP_Grid[#Data],$DE400,3),0)</f>
        <v/>
      </c>
      <c r="G400">
        <f>IFERROR(INDEX(PP_Grid[#Data],$DE400,4),0)</f>
        <v/>
      </c>
      <c r="H400">
        <f>IFERROR(INDEX(PP_Grid[#Data],$DE400,5),0)</f>
        <v/>
      </c>
      <c r="I400">
        <f>IFERROR(INDEX(PP_Grid[#Data],$DE400,6),0)</f>
        <v/>
      </c>
      <c r="J400">
        <f>IFERROR(INDEX(PP_Grid[#Data],$DE400,7),0)</f>
        <v/>
      </c>
      <c r="K400">
        <f>IFERROR(INDEX(PP_Grid[#Data],$DE400,8),0)</f>
        <v/>
      </c>
      <c r="L400">
        <f>IFERROR(INDEX(PP_Grid[#Data],$DE400,9),0)</f>
        <v/>
      </c>
      <c r="M400">
        <f>IFERROR(INDEX(PP_Grid[#Data],$DE400,10),0)</f>
        <v/>
      </c>
      <c r="N400">
        <f>IFERROR(INDEX(PP_Grid[#Data],$DE400,11),0)</f>
        <v/>
      </c>
      <c r="O400">
        <f>IFERROR(INDEX(PP_Grid[#Data],$DE400,12),0)</f>
        <v/>
      </c>
      <c r="P400">
        <f>IFERROR(INDEX(PP_Grid[#Data],$DE400,13),0)</f>
        <v/>
      </c>
      <c r="Q400">
        <f>IFERROR(INDEX(PP_Grid[#Data],$DE400,14),0)</f>
        <v/>
      </c>
      <c r="R400">
        <f>IFERROR(INDEX(PP_Grid[#Data],$DE400,15),0)</f>
        <v/>
      </c>
      <c r="S400">
        <f>IFERROR(INDEX(PP_Grid[#Data],$DE400,16),0)</f>
        <v/>
      </c>
      <c r="T400">
        <f>IFERROR(INDEX(PP_Grid[#Data],$DE400,17),0)</f>
        <v/>
      </c>
      <c r="U400">
        <f>IFERROR(INDEX(PP_Grid[#Data],$DE400,18),0)</f>
        <v/>
      </c>
      <c r="V400">
        <f>IFERROR(INDEX(PP_Grid[#Data],$DE400,19),0)</f>
        <v/>
      </c>
      <c r="W400">
        <f>IFERROR(INDEX(PP_Grid[#Data],$DE400,20),0)</f>
        <v/>
      </c>
      <c r="X400">
        <f>IFERROR(INDEX(PP_Grid[#Data],$DE400,21),0)</f>
        <v/>
      </c>
      <c r="Y400">
        <f>IFERROR(INDEX(PP_Grid[#Data],$DE400,22),0)</f>
        <v/>
      </c>
      <c r="Z400">
        <f>IFERROR(INDEX(PP_Grid[#Data],$DE400,23),0)</f>
        <v/>
      </c>
      <c r="AA400">
        <f>IFERROR(INDEX(PP_Grid[#Data],$DE400,24),0)</f>
        <v/>
      </c>
      <c r="AB400">
        <f>IFERROR(INDEX(PP_Grid[#Data],$DE400,25),0)</f>
        <v/>
      </c>
      <c r="AC400">
        <f>IFERROR(INDEX(PP_Grid[#Data],$DE400,26),0)</f>
        <v/>
      </c>
      <c r="AD400">
        <f>IFERROR(INDEX(PP_Grid[#Data],$DE400,27),0)</f>
        <v/>
      </c>
      <c r="AE400">
        <f>IFERROR(INDEX(PP_Grid[#Data],$DE400,28),0)</f>
        <v/>
      </c>
      <c r="AF400">
        <f>IFERROR(INDEX(PP_Grid[#Data],$DE400,29),0)</f>
        <v/>
      </c>
      <c r="AG400">
        <f>IFERROR(INDEX(PP_Grid[#Data],$DE400,30),0)</f>
        <v/>
      </c>
      <c r="AH400">
        <f>IFERROR(INDEX(PP_Grid[#Data],$DE400,31),0)</f>
        <v/>
      </c>
      <c r="AI400">
        <f>IFERROR(INDEX(PP_Grid[#Data],$DE400,32),0)</f>
        <v/>
      </c>
      <c r="AJ400">
        <f>IFERROR(INDEX(PP_Grid[#Data],$DE400,33),0)</f>
        <v/>
      </c>
      <c r="AK400">
        <f>IFERROR(INDEX(PP_Grid[#Data],$DE400,34),0)</f>
        <v/>
      </c>
      <c r="AL400">
        <f>IFERROR(INDEX(PP_Grid[#Data],$DE400,35),0)</f>
        <v/>
      </c>
      <c r="AM400">
        <f>IFERROR(INDEX(PP_Grid[#Data],$DE400,36),0)</f>
        <v/>
      </c>
      <c r="AN400">
        <f>IFERROR(INDEX(PP_Grid[#Data],$DE400,37),0)</f>
        <v/>
      </c>
      <c r="AO400">
        <f>IFERROR(INDEX(PP_Grid[#Data],$DE400,38),0)</f>
        <v/>
      </c>
      <c r="AP400">
        <f>IFERROR(INDEX(PP_Grid[#Data],$DE400,39),0)</f>
        <v/>
      </c>
      <c r="AQ400">
        <f>IFERROR(INDEX(PP_Grid[#Data],$DE400,40),0)</f>
        <v/>
      </c>
      <c r="AR400">
        <f>IFERROR(INDEX(PP_Grid[#Data],$DE400,41),0)</f>
        <v/>
      </c>
      <c r="AS400">
        <f>IFERROR(INDEX(PP_Grid[#Data],$DE400,42),0)</f>
        <v/>
      </c>
      <c r="AT400">
        <f>IFERROR(INDEX(PP_Grid[#Data],$DE400,43),0)</f>
        <v/>
      </c>
      <c r="AU400">
        <f>IFERROR(INDEX(PP_Grid[#Data],$DE400,44),0)</f>
        <v/>
      </c>
      <c r="AV400">
        <f>IFERROR(INDEX(PP_Grid[#Data],$DE400,45),0)</f>
        <v/>
      </c>
      <c r="AW400">
        <f>IFERROR(INDEX(PP_Grid[#Data],$DE400,46),0)</f>
        <v/>
      </c>
      <c r="AX400">
        <f>IFERROR(INDEX(PP_Grid[#Data],$DE400,47),0)</f>
        <v/>
      </c>
      <c r="AY400">
        <f>IFERROR(INDEX(PP_Grid[#Data],$DE400,48),0)</f>
        <v/>
      </c>
      <c r="AZ400">
        <f>IFERROR(INDEX(PP_Grid[#Data],$DE400,49),0)</f>
        <v/>
      </c>
      <c r="BA400">
        <f>IFERROR(INDEX(PP_Grid[#Data],$DE400,50),0)</f>
        <v/>
      </c>
      <c r="BB400">
        <f>IFERROR(INDEX(PP_Grid[#Data],$DE400,51),0)</f>
        <v/>
      </c>
      <c r="BC400">
        <f>IFERROR(INDEX(PP_Grid[#Data],$DE400,52),0)</f>
        <v/>
      </c>
      <c r="BD400">
        <f>IFERROR(INDEX(PP_Grid[#Data],$DE400,53),0)</f>
        <v/>
      </c>
      <c r="BE400">
        <f>IFERROR(INDEX(PP_Grid[#Data],$DE400,54),0)</f>
        <v/>
      </c>
      <c r="BF400">
        <f>IFERROR(INDEX(PP_Grid[#Data],$DE400,55),0)</f>
        <v/>
      </c>
      <c r="BG400">
        <f>IFERROR(INDEX(PP_Grid[#Data],$DE400,56),0)</f>
        <v/>
      </c>
      <c r="BH400">
        <f>IFERROR(INDEX(PP_Grid[#Data],$DE400,57),0)</f>
        <v/>
      </c>
      <c r="BI400">
        <f>IFERROR(INDEX(PP_Grid[#Data],$DE400,58),0)</f>
        <v/>
      </c>
      <c r="BJ400">
        <f>IFERROR(INDEX(PP_Grid[#Data],$DE400,59),0)</f>
        <v/>
      </c>
      <c r="BK400">
        <f>IFERROR(INDEX(PP_Grid[#Data],$DE400,60),0)</f>
        <v/>
      </c>
      <c r="BL400">
        <f>IFERROR(INDEX(PP_Grid[#Data],$DE400,61),0)</f>
        <v/>
      </c>
      <c r="BM400">
        <f>IFERROR(INDEX(PP_Grid[#Data],$DE400,62),0)</f>
        <v/>
      </c>
      <c r="BN400">
        <f>IFERROR(INDEX(PP_Grid[#Data],$DE400,63),0)</f>
        <v/>
      </c>
      <c r="BO400">
        <f>IFERROR(INDEX(PP_Grid[#Data],$DE400,64),0)</f>
        <v/>
      </c>
      <c r="BP400">
        <f>IFERROR(INDEX(PP_Grid[#Data],$DE400,65),0)</f>
        <v/>
      </c>
      <c r="BQ400">
        <f>IFERROR(INDEX(PP_Grid[#Data],$DE400,66),0)</f>
        <v/>
      </c>
      <c r="BR400">
        <f>IFERROR(INDEX(PP_Grid[#Data],$DE400,67),0)</f>
        <v/>
      </c>
      <c r="BS400">
        <f>IFERROR(INDEX(PP_Grid[#Data],$DE400,68),0)</f>
        <v/>
      </c>
      <c r="BT400">
        <f>IFERROR(INDEX(PP_Grid[#Data],$DE400,69),0)</f>
        <v/>
      </c>
      <c r="BU400">
        <f>IFERROR(INDEX(PP_Grid[#Data],$DE400,70),0)</f>
        <v/>
      </c>
      <c r="BV400">
        <f>IFERROR(INDEX(PP_Grid[#Data],$DE400,71),0)</f>
        <v/>
      </c>
      <c r="BW400">
        <f>IFERROR(INDEX(PP_Grid[#Data],$DE400,72),0)</f>
        <v/>
      </c>
      <c r="BX400">
        <f>IFERROR(INDEX(PP_Grid[#Data],$DE400,73),0)</f>
        <v/>
      </c>
      <c r="BY400">
        <f>IFERROR(INDEX(PP_Grid[#Data],$DE400,74),0)</f>
        <v/>
      </c>
      <c r="BZ400">
        <f>IFERROR(INDEX(PP_Grid[#Data],$DE400,75),0)</f>
        <v/>
      </c>
      <c r="CA400">
        <f>IFERROR(INDEX(PP_Grid[#Data],$DE400,76),0)</f>
        <v/>
      </c>
      <c r="CB400">
        <f>IFERROR(INDEX(PP_Grid[#Data],$DE400,77),0)</f>
        <v/>
      </c>
      <c r="CC400">
        <f>IFERROR(INDEX(PP_Grid[#Data],$DE400,78),0)</f>
        <v/>
      </c>
      <c r="CD400">
        <f>IFERROR(INDEX(PP_Grid[#Data],$DE400,79),0)</f>
        <v/>
      </c>
      <c r="CE400">
        <f>IFERROR(INDEX(PP_Grid[#Data],$DE400,80),0)</f>
        <v/>
      </c>
      <c r="CF400">
        <f>IFERROR(INDEX(PP_Grid[#Data],$DE400,81),0)</f>
        <v/>
      </c>
      <c r="CG400">
        <f>IFERROR(INDEX(PP_Grid[#Data],$DE400,82),0)</f>
        <v/>
      </c>
      <c r="CH400">
        <f>IFERROR(INDEX(PP_Grid[#Data],$DE400,83),0)</f>
        <v/>
      </c>
      <c r="CI400">
        <f>IFERROR(INDEX(PP_Grid[#Data],$DE400,84),0)</f>
        <v/>
      </c>
      <c r="CJ400">
        <f>IFERROR(INDEX(PP_Grid[#Data],$DE400,85),0)</f>
        <v/>
      </c>
      <c r="CK400">
        <f>IFERROR(INDEX(PP_Grid[#Data],$DE400,86),0)</f>
        <v/>
      </c>
      <c r="CL400">
        <f>IFERROR(INDEX(PP_Grid[#Data],$DE400,87),0)</f>
        <v/>
      </c>
      <c r="CM400">
        <f>IFERROR(INDEX(PP_Grid[#Data],$DE400,88),0)</f>
        <v/>
      </c>
      <c r="CN400">
        <f>IFERROR(INDEX(PP_Grid[#Data],$DE400,89),0)</f>
        <v/>
      </c>
      <c r="CO400">
        <f>IFERROR(INDEX(PP_Grid[#Data],$DE400,90),0)</f>
        <v/>
      </c>
      <c r="CP400">
        <f>IFERROR(INDEX(PP_Grid[#Data],$DE400,91),0)</f>
        <v/>
      </c>
      <c r="CQ400">
        <f>IFERROR(INDEX(PP_Grid[#Data],$DE400,92),0)</f>
        <v/>
      </c>
      <c r="CR400">
        <f>IFERROR(INDEX(PP_Grid[#Data],$DE400,93),0)</f>
        <v/>
      </c>
      <c r="CS400">
        <f>IFERROR(INDEX(PP_Grid[#Data],$DE400,94),0)</f>
        <v/>
      </c>
      <c r="CT400">
        <f>IFERROR(INDEX(PP_Grid[#Data],$DE400,95),0)</f>
        <v/>
      </c>
      <c r="CU400">
        <f>IFERROR(INDEX(PP_Grid[#Data],$DE400,96),0)</f>
        <v/>
      </c>
      <c r="CV400">
        <f>IFERROR(INDEX(PP_Grid[#Data],$DE400,97),0)</f>
        <v/>
      </c>
      <c r="CW400">
        <f>IFERROR(INDEX(PP_Grid[#Data],$DE400,98),0)</f>
        <v/>
      </c>
      <c r="CX400">
        <f>IFERROR(INDEX(PP_Grid[#Data],$DE400,99),0)</f>
        <v/>
      </c>
      <c r="CY400">
        <f>IFERROR(INDEX(PP_Grid[#Data],$DE400,100),0)</f>
        <v/>
      </c>
      <c r="CZ400">
        <f>IFERROR(INDEX(PP_Grid[#Data],$DE400,101),0)</f>
        <v/>
      </c>
      <c r="DA400">
        <f>IFERROR(INDEX(PP_Grid[#Data],$DE400,102),0)</f>
        <v/>
      </c>
      <c r="DB400">
        <f>IFERROR(INDEX(PP_Grid[#Data],$DE400,103),0)</f>
        <v/>
      </c>
      <c r="DC400">
        <f>IFERROR(INDEX(PP_Grid[#Data],$DE400,104),0)</f>
        <v/>
      </c>
      <c r="DD400">
        <f>IFERROR(INDEX(PP_Grid[#Data],$DE400,105),0)</f>
        <v/>
      </c>
      <c r="DE400" s="7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SUMIFS(M_BOM[RM_Qty_Per_Batch],M_BOM[Intermediate],$B400,M_BOM[RM_Code],$A325)</f>
        <v/>
      </c>
      <c r="D401">
        <f>IFERROR(INDEX(E401:DD401,$F$1),"")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  <c r="DD401">
        <f>$C401*DD400</f>
        <v/>
      </c>
    </row>
    <row r="402">
      <c r="B402" t="inlineStr">
        <is>
          <t>TSP-828</t>
        </is>
      </c>
      <c r="C402" t="inlineStr">
        <is>
          <t>No. of batches</t>
        </is>
      </c>
      <c r="D402">
        <f>IFERROR(INDEX(E402:DD402,$F$1),"")</f>
        <v/>
      </c>
      <c r="E402">
        <f>IFERROR(INDEX(PP_Grid[#Data],$DE402,2),0)</f>
        <v/>
      </c>
      <c r="F402">
        <f>IFERROR(INDEX(PP_Grid[#Data],$DE402,3),0)</f>
        <v/>
      </c>
      <c r="G402">
        <f>IFERROR(INDEX(PP_Grid[#Data],$DE402,4),0)</f>
        <v/>
      </c>
      <c r="H402">
        <f>IFERROR(INDEX(PP_Grid[#Data],$DE402,5),0)</f>
        <v/>
      </c>
      <c r="I402">
        <f>IFERROR(INDEX(PP_Grid[#Data],$DE402,6),0)</f>
        <v/>
      </c>
      <c r="J402">
        <f>IFERROR(INDEX(PP_Grid[#Data],$DE402,7),0)</f>
        <v/>
      </c>
      <c r="K402">
        <f>IFERROR(INDEX(PP_Grid[#Data],$DE402,8),0)</f>
        <v/>
      </c>
      <c r="L402">
        <f>IFERROR(INDEX(PP_Grid[#Data],$DE402,9),0)</f>
        <v/>
      </c>
      <c r="M402">
        <f>IFERROR(INDEX(PP_Grid[#Data],$DE402,10),0)</f>
        <v/>
      </c>
      <c r="N402">
        <f>IFERROR(INDEX(PP_Grid[#Data],$DE402,11),0)</f>
        <v/>
      </c>
      <c r="O402">
        <f>IFERROR(INDEX(PP_Grid[#Data],$DE402,12),0)</f>
        <v/>
      </c>
      <c r="P402">
        <f>IFERROR(INDEX(PP_Grid[#Data],$DE402,13),0)</f>
        <v/>
      </c>
      <c r="Q402">
        <f>IFERROR(INDEX(PP_Grid[#Data],$DE402,14),0)</f>
        <v/>
      </c>
      <c r="R402">
        <f>IFERROR(INDEX(PP_Grid[#Data],$DE402,15),0)</f>
        <v/>
      </c>
      <c r="S402">
        <f>IFERROR(INDEX(PP_Grid[#Data],$DE402,16),0)</f>
        <v/>
      </c>
      <c r="T402">
        <f>IFERROR(INDEX(PP_Grid[#Data],$DE402,17),0)</f>
        <v/>
      </c>
      <c r="U402">
        <f>IFERROR(INDEX(PP_Grid[#Data],$DE402,18),0)</f>
        <v/>
      </c>
      <c r="V402">
        <f>IFERROR(INDEX(PP_Grid[#Data],$DE402,19),0)</f>
        <v/>
      </c>
      <c r="W402">
        <f>IFERROR(INDEX(PP_Grid[#Data],$DE402,20),0)</f>
        <v/>
      </c>
      <c r="X402">
        <f>IFERROR(INDEX(PP_Grid[#Data],$DE402,21),0)</f>
        <v/>
      </c>
      <c r="Y402">
        <f>IFERROR(INDEX(PP_Grid[#Data],$DE402,22),0)</f>
        <v/>
      </c>
      <c r="Z402">
        <f>IFERROR(INDEX(PP_Grid[#Data],$DE402,23),0)</f>
        <v/>
      </c>
      <c r="AA402">
        <f>IFERROR(INDEX(PP_Grid[#Data],$DE402,24),0)</f>
        <v/>
      </c>
      <c r="AB402">
        <f>IFERROR(INDEX(PP_Grid[#Data],$DE402,25),0)</f>
        <v/>
      </c>
      <c r="AC402">
        <f>IFERROR(INDEX(PP_Grid[#Data],$DE402,26),0)</f>
        <v/>
      </c>
      <c r="AD402">
        <f>IFERROR(INDEX(PP_Grid[#Data],$DE402,27),0)</f>
        <v/>
      </c>
      <c r="AE402">
        <f>IFERROR(INDEX(PP_Grid[#Data],$DE402,28),0)</f>
        <v/>
      </c>
      <c r="AF402">
        <f>IFERROR(INDEX(PP_Grid[#Data],$DE402,29),0)</f>
        <v/>
      </c>
      <c r="AG402">
        <f>IFERROR(INDEX(PP_Grid[#Data],$DE402,30),0)</f>
        <v/>
      </c>
      <c r="AH402">
        <f>IFERROR(INDEX(PP_Grid[#Data],$DE402,31),0)</f>
        <v/>
      </c>
      <c r="AI402">
        <f>IFERROR(INDEX(PP_Grid[#Data],$DE402,32),0)</f>
        <v/>
      </c>
      <c r="AJ402">
        <f>IFERROR(INDEX(PP_Grid[#Data],$DE402,33),0)</f>
        <v/>
      </c>
      <c r="AK402">
        <f>IFERROR(INDEX(PP_Grid[#Data],$DE402,34),0)</f>
        <v/>
      </c>
      <c r="AL402">
        <f>IFERROR(INDEX(PP_Grid[#Data],$DE402,35),0)</f>
        <v/>
      </c>
      <c r="AM402">
        <f>IFERROR(INDEX(PP_Grid[#Data],$DE402,36),0)</f>
        <v/>
      </c>
      <c r="AN402">
        <f>IFERROR(INDEX(PP_Grid[#Data],$DE402,37),0)</f>
        <v/>
      </c>
      <c r="AO402">
        <f>IFERROR(INDEX(PP_Grid[#Data],$DE402,38),0)</f>
        <v/>
      </c>
      <c r="AP402">
        <f>IFERROR(INDEX(PP_Grid[#Data],$DE402,39),0)</f>
        <v/>
      </c>
      <c r="AQ402">
        <f>IFERROR(INDEX(PP_Grid[#Data],$DE402,40),0)</f>
        <v/>
      </c>
      <c r="AR402">
        <f>IFERROR(INDEX(PP_Grid[#Data],$DE402,41),0)</f>
        <v/>
      </c>
      <c r="AS402">
        <f>IFERROR(INDEX(PP_Grid[#Data],$DE402,42),0)</f>
        <v/>
      </c>
      <c r="AT402">
        <f>IFERROR(INDEX(PP_Grid[#Data],$DE402,43),0)</f>
        <v/>
      </c>
      <c r="AU402">
        <f>IFERROR(INDEX(PP_Grid[#Data],$DE402,44),0)</f>
        <v/>
      </c>
      <c r="AV402">
        <f>IFERROR(INDEX(PP_Grid[#Data],$DE402,45),0)</f>
        <v/>
      </c>
      <c r="AW402">
        <f>IFERROR(INDEX(PP_Grid[#Data],$DE402,46),0)</f>
        <v/>
      </c>
      <c r="AX402">
        <f>IFERROR(INDEX(PP_Grid[#Data],$DE402,47),0)</f>
        <v/>
      </c>
      <c r="AY402">
        <f>IFERROR(INDEX(PP_Grid[#Data],$DE402,48),0)</f>
        <v/>
      </c>
      <c r="AZ402">
        <f>IFERROR(INDEX(PP_Grid[#Data],$DE402,49),0)</f>
        <v/>
      </c>
      <c r="BA402">
        <f>IFERROR(INDEX(PP_Grid[#Data],$DE402,50),0)</f>
        <v/>
      </c>
      <c r="BB402">
        <f>IFERROR(INDEX(PP_Grid[#Data],$DE402,51),0)</f>
        <v/>
      </c>
      <c r="BC402">
        <f>IFERROR(INDEX(PP_Grid[#Data],$DE402,52),0)</f>
        <v/>
      </c>
      <c r="BD402">
        <f>IFERROR(INDEX(PP_Grid[#Data],$DE402,53),0)</f>
        <v/>
      </c>
      <c r="BE402">
        <f>IFERROR(INDEX(PP_Grid[#Data],$DE402,54),0)</f>
        <v/>
      </c>
      <c r="BF402">
        <f>IFERROR(INDEX(PP_Grid[#Data],$DE402,55),0)</f>
        <v/>
      </c>
      <c r="BG402">
        <f>IFERROR(INDEX(PP_Grid[#Data],$DE402,56),0)</f>
        <v/>
      </c>
      <c r="BH402">
        <f>IFERROR(INDEX(PP_Grid[#Data],$DE402,57),0)</f>
        <v/>
      </c>
      <c r="BI402">
        <f>IFERROR(INDEX(PP_Grid[#Data],$DE402,58),0)</f>
        <v/>
      </c>
      <c r="BJ402">
        <f>IFERROR(INDEX(PP_Grid[#Data],$DE402,59),0)</f>
        <v/>
      </c>
      <c r="BK402">
        <f>IFERROR(INDEX(PP_Grid[#Data],$DE402,60),0)</f>
        <v/>
      </c>
      <c r="BL402">
        <f>IFERROR(INDEX(PP_Grid[#Data],$DE402,61),0)</f>
        <v/>
      </c>
      <c r="BM402">
        <f>IFERROR(INDEX(PP_Grid[#Data],$DE402,62),0)</f>
        <v/>
      </c>
      <c r="BN402">
        <f>IFERROR(INDEX(PP_Grid[#Data],$DE402,63),0)</f>
        <v/>
      </c>
      <c r="BO402">
        <f>IFERROR(INDEX(PP_Grid[#Data],$DE402,64),0)</f>
        <v/>
      </c>
      <c r="BP402">
        <f>IFERROR(INDEX(PP_Grid[#Data],$DE402,65),0)</f>
        <v/>
      </c>
      <c r="BQ402">
        <f>IFERROR(INDEX(PP_Grid[#Data],$DE402,66),0)</f>
        <v/>
      </c>
      <c r="BR402">
        <f>IFERROR(INDEX(PP_Grid[#Data],$DE402,67),0)</f>
        <v/>
      </c>
      <c r="BS402">
        <f>IFERROR(INDEX(PP_Grid[#Data],$DE402,68),0)</f>
        <v/>
      </c>
      <c r="BT402">
        <f>IFERROR(INDEX(PP_Grid[#Data],$DE402,69),0)</f>
        <v/>
      </c>
      <c r="BU402">
        <f>IFERROR(INDEX(PP_Grid[#Data],$DE402,70),0)</f>
        <v/>
      </c>
      <c r="BV402">
        <f>IFERROR(INDEX(PP_Grid[#Data],$DE402,71),0)</f>
        <v/>
      </c>
      <c r="BW402">
        <f>IFERROR(INDEX(PP_Grid[#Data],$DE402,72),0)</f>
        <v/>
      </c>
      <c r="BX402">
        <f>IFERROR(INDEX(PP_Grid[#Data],$DE402,73),0)</f>
        <v/>
      </c>
      <c r="BY402">
        <f>IFERROR(INDEX(PP_Grid[#Data],$DE402,74),0)</f>
        <v/>
      </c>
      <c r="BZ402">
        <f>IFERROR(INDEX(PP_Grid[#Data],$DE402,75),0)</f>
        <v/>
      </c>
      <c r="CA402">
        <f>IFERROR(INDEX(PP_Grid[#Data],$DE402,76),0)</f>
        <v/>
      </c>
      <c r="CB402">
        <f>IFERROR(INDEX(PP_Grid[#Data],$DE402,77),0)</f>
        <v/>
      </c>
      <c r="CC402">
        <f>IFERROR(INDEX(PP_Grid[#Data],$DE402,78),0)</f>
        <v/>
      </c>
      <c r="CD402">
        <f>IFERROR(INDEX(PP_Grid[#Data],$DE402,79),0)</f>
        <v/>
      </c>
      <c r="CE402">
        <f>IFERROR(INDEX(PP_Grid[#Data],$DE402,80),0)</f>
        <v/>
      </c>
      <c r="CF402">
        <f>IFERROR(INDEX(PP_Grid[#Data],$DE402,81),0)</f>
        <v/>
      </c>
      <c r="CG402">
        <f>IFERROR(INDEX(PP_Grid[#Data],$DE402,82),0)</f>
        <v/>
      </c>
      <c r="CH402">
        <f>IFERROR(INDEX(PP_Grid[#Data],$DE402,83),0)</f>
        <v/>
      </c>
      <c r="CI402">
        <f>IFERROR(INDEX(PP_Grid[#Data],$DE402,84),0)</f>
        <v/>
      </c>
      <c r="CJ402">
        <f>IFERROR(INDEX(PP_Grid[#Data],$DE402,85),0)</f>
        <v/>
      </c>
      <c r="CK402">
        <f>IFERROR(INDEX(PP_Grid[#Data],$DE402,86),0)</f>
        <v/>
      </c>
      <c r="CL402">
        <f>IFERROR(INDEX(PP_Grid[#Data],$DE402,87),0)</f>
        <v/>
      </c>
      <c r="CM402">
        <f>IFERROR(INDEX(PP_Grid[#Data],$DE402,88),0)</f>
        <v/>
      </c>
      <c r="CN402">
        <f>IFERROR(INDEX(PP_Grid[#Data],$DE402,89),0)</f>
        <v/>
      </c>
      <c r="CO402">
        <f>IFERROR(INDEX(PP_Grid[#Data],$DE402,90),0)</f>
        <v/>
      </c>
      <c r="CP402">
        <f>IFERROR(INDEX(PP_Grid[#Data],$DE402,91),0)</f>
        <v/>
      </c>
      <c r="CQ402">
        <f>IFERROR(INDEX(PP_Grid[#Data],$DE402,92),0)</f>
        <v/>
      </c>
      <c r="CR402">
        <f>IFERROR(INDEX(PP_Grid[#Data],$DE402,93),0)</f>
        <v/>
      </c>
      <c r="CS402">
        <f>IFERROR(INDEX(PP_Grid[#Data],$DE402,94),0)</f>
        <v/>
      </c>
      <c r="CT402">
        <f>IFERROR(INDEX(PP_Grid[#Data],$DE402,95),0)</f>
        <v/>
      </c>
      <c r="CU402">
        <f>IFERROR(INDEX(PP_Grid[#Data],$DE402,96),0)</f>
        <v/>
      </c>
      <c r="CV402">
        <f>IFERROR(INDEX(PP_Grid[#Data],$DE402,97),0)</f>
        <v/>
      </c>
      <c r="CW402">
        <f>IFERROR(INDEX(PP_Grid[#Data],$DE402,98),0)</f>
        <v/>
      </c>
      <c r="CX402">
        <f>IFERROR(INDEX(PP_Grid[#Data],$DE402,99),0)</f>
        <v/>
      </c>
      <c r="CY402">
        <f>IFERROR(INDEX(PP_Grid[#Data],$DE402,100),0)</f>
        <v/>
      </c>
      <c r="CZ402">
        <f>IFERROR(INDEX(PP_Grid[#Data],$DE402,101),0)</f>
        <v/>
      </c>
      <c r="DA402">
        <f>IFERROR(INDEX(PP_Grid[#Data],$DE402,102),0)</f>
        <v/>
      </c>
      <c r="DB402">
        <f>IFERROR(INDEX(PP_Grid[#Data],$DE402,103),0)</f>
        <v/>
      </c>
      <c r="DC402">
        <f>IFERROR(INDEX(PP_Grid[#Data],$DE402,104),0)</f>
        <v/>
      </c>
      <c r="DD402">
        <f>IFERROR(INDEX(PP_Grid[#Data],$DE402,105),0)</f>
        <v/>
      </c>
      <c r="DE402" s="7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SUMIFS(M_BOM[RM_Qty_Per_Batch],M_BOM[Intermediate],$B402,M_BOM[RM_Code],$A325)</f>
        <v/>
      </c>
      <c r="D403">
        <f>IFERROR(INDEX(E403:DD403,$F$1),"")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  <c r="DD403">
        <f>$C403*DD402</f>
        <v/>
      </c>
    </row>
    <row r="404">
      <c r="B404" t="inlineStr">
        <is>
          <t>TSP-903</t>
        </is>
      </c>
      <c r="C404" t="inlineStr">
        <is>
          <t>No. of batches</t>
        </is>
      </c>
      <c r="D404">
        <f>IFERROR(INDEX(E404:DD404,$F$1),"")</f>
        <v/>
      </c>
      <c r="E404">
        <f>IFERROR(INDEX(PP_Grid[#Data],$DE404,2),0)</f>
        <v/>
      </c>
      <c r="F404">
        <f>IFERROR(INDEX(PP_Grid[#Data],$DE404,3),0)</f>
        <v/>
      </c>
      <c r="G404">
        <f>IFERROR(INDEX(PP_Grid[#Data],$DE404,4),0)</f>
        <v/>
      </c>
      <c r="H404">
        <f>IFERROR(INDEX(PP_Grid[#Data],$DE404,5),0)</f>
        <v/>
      </c>
      <c r="I404">
        <f>IFERROR(INDEX(PP_Grid[#Data],$DE404,6),0)</f>
        <v/>
      </c>
      <c r="J404">
        <f>IFERROR(INDEX(PP_Grid[#Data],$DE404,7),0)</f>
        <v/>
      </c>
      <c r="K404">
        <f>IFERROR(INDEX(PP_Grid[#Data],$DE404,8),0)</f>
        <v/>
      </c>
      <c r="L404">
        <f>IFERROR(INDEX(PP_Grid[#Data],$DE404,9),0)</f>
        <v/>
      </c>
      <c r="M404">
        <f>IFERROR(INDEX(PP_Grid[#Data],$DE404,10),0)</f>
        <v/>
      </c>
      <c r="N404">
        <f>IFERROR(INDEX(PP_Grid[#Data],$DE404,11),0)</f>
        <v/>
      </c>
      <c r="O404">
        <f>IFERROR(INDEX(PP_Grid[#Data],$DE404,12),0)</f>
        <v/>
      </c>
      <c r="P404">
        <f>IFERROR(INDEX(PP_Grid[#Data],$DE404,13),0)</f>
        <v/>
      </c>
      <c r="Q404">
        <f>IFERROR(INDEX(PP_Grid[#Data],$DE404,14),0)</f>
        <v/>
      </c>
      <c r="R404">
        <f>IFERROR(INDEX(PP_Grid[#Data],$DE404,15),0)</f>
        <v/>
      </c>
      <c r="S404">
        <f>IFERROR(INDEX(PP_Grid[#Data],$DE404,16),0)</f>
        <v/>
      </c>
      <c r="T404">
        <f>IFERROR(INDEX(PP_Grid[#Data],$DE404,17),0)</f>
        <v/>
      </c>
      <c r="U404">
        <f>IFERROR(INDEX(PP_Grid[#Data],$DE404,18),0)</f>
        <v/>
      </c>
      <c r="V404">
        <f>IFERROR(INDEX(PP_Grid[#Data],$DE404,19),0)</f>
        <v/>
      </c>
      <c r="W404">
        <f>IFERROR(INDEX(PP_Grid[#Data],$DE404,20),0)</f>
        <v/>
      </c>
      <c r="X404">
        <f>IFERROR(INDEX(PP_Grid[#Data],$DE404,21),0)</f>
        <v/>
      </c>
      <c r="Y404">
        <f>IFERROR(INDEX(PP_Grid[#Data],$DE404,22),0)</f>
        <v/>
      </c>
      <c r="Z404">
        <f>IFERROR(INDEX(PP_Grid[#Data],$DE404,23),0)</f>
        <v/>
      </c>
      <c r="AA404">
        <f>IFERROR(INDEX(PP_Grid[#Data],$DE404,24),0)</f>
        <v/>
      </c>
      <c r="AB404">
        <f>IFERROR(INDEX(PP_Grid[#Data],$DE404,25),0)</f>
        <v/>
      </c>
      <c r="AC404">
        <f>IFERROR(INDEX(PP_Grid[#Data],$DE404,26),0)</f>
        <v/>
      </c>
      <c r="AD404">
        <f>IFERROR(INDEX(PP_Grid[#Data],$DE404,27),0)</f>
        <v/>
      </c>
      <c r="AE404">
        <f>IFERROR(INDEX(PP_Grid[#Data],$DE404,28),0)</f>
        <v/>
      </c>
      <c r="AF404">
        <f>IFERROR(INDEX(PP_Grid[#Data],$DE404,29),0)</f>
        <v/>
      </c>
      <c r="AG404">
        <f>IFERROR(INDEX(PP_Grid[#Data],$DE404,30),0)</f>
        <v/>
      </c>
      <c r="AH404">
        <f>IFERROR(INDEX(PP_Grid[#Data],$DE404,31),0)</f>
        <v/>
      </c>
      <c r="AI404">
        <f>IFERROR(INDEX(PP_Grid[#Data],$DE404,32),0)</f>
        <v/>
      </c>
      <c r="AJ404">
        <f>IFERROR(INDEX(PP_Grid[#Data],$DE404,33),0)</f>
        <v/>
      </c>
      <c r="AK404">
        <f>IFERROR(INDEX(PP_Grid[#Data],$DE404,34),0)</f>
        <v/>
      </c>
      <c r="AL404">
        <f>IFERROR(INDEX(PP_Grid[#Data],$DE404,35),0)</f>
        <v/>
      </c>
      <c r="AM404">
        <f>IFERROR(INDEX(PP_Grid[#Data],$DE404,36),0)</f>
        <v/>
      </c>
      <c r="AN404">
        <f>IFERROR(INDEX(PP_Grid[#Data],$DE404,37),0)</f>
        <v/>
      </c>
      <c r="AO404">
        <f>IFERROR(INDEX(PP_Grid[#Data],$DE404,38),0)</f>
        <v/>
      </c>
      <c r="AP404">
        <f>IFERROR(INDEX(PP_Grid[#Data],$DE404,39),0)</f>
        <v/>
      </c>
      <c r="AQ404">
        <f>IFERROR(INDEX(PP_Grid[#Data],$DE404,40),0)</f>
        <v/>
      </c>
      <c r="AR404">
        <f>IFERROR(INDEX(PP_Grid[#Data],$DE404,41),0)</f>
        <v/>
      </c>
      <c r="AS404">
        <f>IFERROR(INDEX(PP_Grid[#Data],$DE404,42),0)</f>
        <v/>
      </c>
      <c r="AT404">
        <f>IFERROR(INDEX(PP_Grid[#Data],$DE404,43),0)</f>
        <v/>
      </c>
      <c r="AU404">
        <f>IFERROR(INDEX(PP_Grid[#Data],$DE404,44),0)</f>
        <v/>
      </c>
      <c r="AV404">
        <f>IFERROR(INDEX(PP_Grid[#Data],$DE404,45),0)</f>
        <v/>
      </c>
      <c r="AW404">
        <f>IFERROR(INDEX(PP_Grid[#Data],$DE404,46),0)</f>
        <v/>
      </c>
      <c r="AX404">
        <f>IFERROR(INDEX(PP_Grid[#Data],$DE404,47),0)</f>
        <v/>
      </c>
      <c r="AY404">
        <f>IFERROR(INDEX(PP_Grid[#Data],$DE404,48),0)</f>
        <v/>
      </c>
      <c r="AZ404">
        <f>IFERROR(INDEX(PP_Grid[#Data],$DE404,49),0)</f>
        <v/>
      </c>
      <c r="BA404">
        <f>IFERROR(INDEX(PP_Grid[#Data],$DE404,50),0)</f>
        <v/>
      </c>
      <c r="BB404">
        <f>IFERROR(INDEX(PP_Grid[#Data],$DE404,51),0)</f>
        <v/>
      </c>
      <c r="BC404">
        <f>IFERROR(INDEX(PP_Grid[#Data],$DE404,52),0)</f>
        <v/>
      </c>
      <c r="BD404">
        <f>IFERROR(INDEX(PP_Grid[#Data],$DE404,53),0)</f>
        <v/>
      </c>
      <c r="BE404">
        <f>IFERROR(INDEX(PP_Grid[#Data],$DE404,54),0)</f>
        <v/>
      </c>
      <c r="BF404">
        <f>IFERROR(INDEX(PP_Grid[#Data],$DE404,55),0)</f>
        <v/>
      </c>
      <c r="BG404">
        <f>IFERROR(INDEX(PP_Grid[#Data],$DE404,56),0)</f>
        <v/>
      </c>
      <c r="BH404">
        <f>IFERROR(INDEX(PP_Grid[#Data],$DE404,57),0)</f>
        <v/>
      </c>
      <c r="BI404">
        <f>IFERROR(INDEX(PP_Grid[#Data],$DE404,58),0)</f>
        <v/>
      </c>
      <c r="BJ404">
        <f>IFERROR(INDEX(PP_Grid[#Data],$DE404,59),0)</f>
        <v/>
      </c>
      <c r="BK404">
        <f>IFERROR(INDEX(PP_Grid[#Data],$DE404,60),0)</f>
        <v/>
      </c>
      <c r="BL404">
        <f>IFERROR(INDEX(PP_Grid[#Data],$DE404,61),0)</f>
        <v/>
      </c>
      <c r="BM404">
        <f>IFERROR(INDEX(PP_Grid[#Data],$DE404,62),0)</f>
        <v/>
      </c>
      <c r="BN404">
        <f>IFERROR(INDEX(PP_Grid[#Data],$DE404,63),0)</f>
        <v/>
      </c>
      <c r="BO404">
        <f>IFERROR(INDEX(PP_Grid[#Data],$DE404,64),0)</f>
        <v/>
      </c>
      <c r="BP404">
        <f>IFERROR(INDEX(PP_Grid[#Data],$DE404,65),0)</f>
        <v/>
      </c>
      <c r="BQ404">
        <f>IFERROR(INDEX(PP_Grid[#Data],$DE404,66),0)</f>
        <v/>
      </c>
      <c r="BR404">
        <f>IFERROR(INDEX(PP_Grid[#Data],$DE404,67),0)</f>
        <v/>
      </c>
      <c r="BS404">
        <f>IFERROR(INDEX(PP_Grid[#Data],$DE404,68),0)</f>
        <v/>
      </c>
      <c r="BT404">
        <f>IFERROR(INDEX(PP_Grid[#Data],$DE404,69),0)</f>
        <v/>
      </c>
      <c r="BU404">
        <f>IFERROR(INDEX(PP_Grid[#Data],$DE404,70),0)</f>
        <v/>
      </c>
      <c r="BV404">
        <f>IFERROR(INDEX(PP_Grid[#Data],$DE404,71),0)</f>
        <v/>
      </c>
      <c r="BW404">
        <f>IFERROR(INDEX(PP_Grid[#Data],$DE404,72),0)</f>
        <v/>
      </c>
      <c r="BX404">
        <f>IFERROR(INDEX(PP_Grid[#Data],$DE404,73),0)</f>
        <v/>
      </c>
      <c r="BY404">
        <f>IFERROR(INDEX(PP_Grid[#Data],$DE404,74),0)</f>
        <v/>
      </c>
      <c r="BZ404">
        <f>IFERROR(INDEX(PP_Grid[#Data],$DE404,75),0)</f>
        <v/>
      </c>
      <c r="CA404">
        <f>IFERROR(INDEX(PP_Grid[#Data],$DE404,76),0)</f>
        <v/>
      </c>
      <c r="CB404">
        <f>IFERROR(INDEX(PP_Grid[#Data],$DE404,77),0)</f>
        <v/>
      </c>
      <c r="CC404">
        <f>IFERROR(INDEX(PP_Grid[#Data],$DE404,78),0)</f>
        <v/>
      </c>
      <c r="CD404">
        <f>IFERROR(INDEX(PP_Grid[#Data],$DE404,79),0)</f>
        <v/>
      </c>
      <c r="CE404">
        <f>IFERROR(INDEX(PP_Grid[#Data],$DE404,80),0)</f>
        <v/>
      </c>
      <c r="CF404">
        <f>IFERROR(INDEX(PP_Grid[#Data],$DE404,81),0)</f>
        <v/>
      </c>
      <c r="CG404">
        <f>IFERROR(INDEX(PP_Grid[#Data],$DE404,82),0)</f>
        <v/>
      </c>
      <c r="CH404">
        <f>IFERROR(INDEX(PP_Grid[#Data],$DE404,83),0)</f>
        <v/>
      </c>
      <c r="CI404">
        <f>IFERROR(INDEX(PP_Grid[#Data],$DE404,84),0)</f>
        <v/>
      </c>
      <c r="CJ404">
        <f>IFERROR(INDEX(PP_Grid[#Data],$DE404,85),0)</f>
        <v/>
      </c>
      <c r="CK404">
        <f>IFERROR(INDEX(PP_Grid[#Data],$DE404,86),0)</f>
        <v/>
      </c>
      <c r="CL404">
        <f>IFERROR(INDEX(PP_Grid[#Data],$DE404,87),0)</f>
        <v/>
      </c>
      <c r="CM404">
        <f>IFERROR(INDEX(PP_Grid[#Data],$DE404,88),0)</f>
        <v/>
      </c>
      <c r="CN404">
        <f>IFERROR(INDEX(PP_Grid[#Data],$DE404,89),0)</f>
        <v/>
      </c>
      <c r="CO404">
        <f>IFERROR(INDEX(PP_Grid[#Data],$DE404,90),0)</f>
        <v/>
      </c>
      <c r="CP404">
        <f>IFERROR(INDEX(PP_Grid[#Data],$DE404,91),0)</f>
        <v/>
      </c>
      <c r="CQ404">
        <f>IFERROR(INDEX(PP_Grid[#Data],$DE404,92),0)</f>
        <v/>
      </c>
      <c r="CR404">
        <f>IFERROR(INDEX(PP_Grid[#Data],$DE404,93),0)</f>
        <v/>
      </c>
      <c r="CS404">
        <f>IFERROR(INDEX(PP_Grid[#Data],$DE404,94),0)</f>
        <v/>
      </c>
      <c r="CT404">
        <f>IFERROR(INDEX(PP_Grid[#Data],$DE404,95),0)</f>
        <v/>
      </c>
      <c r="CU404">
        <f>IFERROR(INDEX(PP_Grid[#Data],$DE404,96),0)</f>
        <v/>
      </c>
      <c r="CV404">
        <f>IFERROR(INDEX(PP_Grid[#Data],$DE404,97),0)</f>
        <v/>
      </c>
      <c r="CW404">
        <f>IFERROR(INDEX(PP_Grid[#Data],$DE404,98),0)</f>
        <v/>
      </c>
      <c r="CX404">
        <f>IFERROR(INDEX(PP_Grid[#Data],$DE404,99),0)</f>
        <v/>
      </c>
      <c r="CY404">
        <f>IFERROR(INDEX(PP_Grid[#Data],$DE404,100),0)</f>
        <v/>
      </c>
      <c r="CZ404">
        <f>IFERROR(INDEX(PP_Grid[#Data],$DE404,101),0)</f>
        <v/>
      </c>
      <c r="DA404">
        <f>IFERROR(INDEX(PP_Grid[#Data],$DE404,102),0)</f>
        <v/>
      </c>
      <c r="DB404">
        <f>IFERROR(INDEX(PP_Grid[#Data],$DE404,103),0)</f>
        <v/>
      </c>
      <c r="DC404">
        <f>IFERROR(INDEX(PP_Grid[#Data],$DE404,104),0)</f>
        <v/>
      </c>
      <c r="DD404">
        <f>IFERROR(INDEX(PP_Grid[#Data],$DE404,105),0)</f>
        <v/>
      </c>
      <c r="DE404" s="7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SUMIFS(M_BOM[RM_Qty_Per_Batch],M_BOM[Intermediate],$B404,M_BOM[RM_Code],$A325)</f>
        <v/>
      </c>
      <c r="D405">
        <f>IFERROR(INDEX(E405:DD405,$F$1),"")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  <c r="DD405">
        <f>$C405*DD404</f>
        <v/>
      </c>
    </row>
    <row r="406">
      <c r="B406" t="inlineStr">
        <is>
          <t>TSP-924</t>
        </is>
      </c>
      <c r="C406" t="inlineStr">
        <is>
          <t>No. of batches</t>
        </is>
      </c>
      <c r="D406">
        <f>IFERROR(INDEX(E406:DD406,$F$1),"")</f>
        <v/>
      </c>
      <c r="E406">
        <f>IFERROR(INDEX(PP_Grid[#Data],$DE406,2),0)</f>
        <v/>
      </c>
      <c r="F406">
        <f>IFERROR(INDEX(PP_Grid[#Data],$DE406,3),0)</f>
        <v/>
      </c>
      <c r="G406">
        <f>IFERROR(INDEX(PP_Grid[#Data],$DE406,4),0)</f>
        <v/>
      </c>
      <c r="H406">
        <f>IFERROR(INDEX(PP_Grid[#Data],$DE406,5),0)</f>
        <v/>
      </c>
      <c r="I406">
        <f>IFERROR(INDEX(PP_Grid[#Data],$DE406,6),0)</f>
        <v/>
      </c>
      <c r="J406">
        <f>IFERROR(INDEX(PP_Grid[#Data],$DE406,7),0)</f>
        <v/>
      </c>
      <c r="K406">
        <f>IFERROR(INDEX(PP_Grid[#Data],$DE406,8),0)</f>
        <v/>
      </c>
      <c r="L406">
        <f>IFERROR(INDEX(PP_Grid[#Data],$DE406,9),0)</f>
        <v/>
      </c>
      <c r="M406">
        <f>IFERROR(INDEX(PP_Grid[#Data],$DE406,10),0)</f>
        <v/>
      </c>
      <c r="N406">
        <f>IFERROR(INDEX(PP_Grid[#Data],$DE406,11),0)</f>
        <v/>
      </c>
      <c r="O406">
        <f>IFERROR(INDEX(PP_Grid[#Data],$DE406,12),0)</f>
        <v/>
      </c>
      <c r="P406">
        <f>IFERROR(INDEX(PP_Grid[#Data],$DE406,13),0)</f>
        <v/>
      </c>
      <c r="Q406">
        <f>IFERROR(INDEX(PP_Grid[#Data],$DE406,14),0)</f>
        <v/>
      </c>
      <c r="R406">
        <f>IFERROR(INDEX(PP_Grid[#Data],$DE406,15),0)</f>
        <v/>
      </c>
      <c r="S406">
        <f>IFERROR(INDEX(PP_Grid[#Data],$DE406,16),0)</f>
        <v/>
      </c>
      <c r="T406">
        <f>IFERROR(INDEX(PP_Grid[#Data],$DE406,17),0)</f>
        <v/>
      </c>
      <c r="U406">
        <f>IFERROR(INDEX(PP_Grid[#Data],$DE406,18),0)</f>
        <v/>
      </c>
      <c r="V406">
        <f>IFERROR(INDEX(PP_Grid[#Data],$DE406,19),0)</f>
        <v/>
      </c>
      <c r="W406">
        <f>IFERROR(INDEX(PP_Grid[#Data],$DE406,20),0)</f>
        <v/>
      </c>
      <c r="X406">
        <f>IFERROR(INDEX(PP_Grid[#Data],$DE406,21),0)</f>
        <v/>
      </c>
      <c r="Y406">
        <f>IFERROR(INDEX(PP_Grid[#Data],$DE406,22),0)</f>
        <v/>
      </c>
      <c r="Z406">
        <f>IFERROR(INDEX(PP_Grid[#Data],$DE406,23),0)</f>
        <v/>
      </c>
      <c r="AA406">
        <f>IFERROR(INDEX(PP_Grid[#Data],$DE406,24),0)</f>
        <v/>
      </c>
      <c r="AB406">
        <f>IFERROR(INDEX(PP_Grid[#Data],$DE406,25),0)</f>
        <v/>
      </c>
      <c r="AC406">
        <f>IFERROR(INDEX(PP_Grid[#Data],$DE406,26),0)</f>
        <v/>
      </c>
      <c r="AD406">
        <f>IFERROR(INDEX(PP_Grid[#Data],$DE406,27),0)</f>
        <v/>
      </c>
      <c r="AE406">
        <f>IFERROR(INDEX(PP_Grid[#Data],$DE406,28),0)</f>
        <v/>
      </c>
      <c r="AF406">
        <f>IFERROR(INDEX(PP_Grid[#Data],$DE406,29),0)</f>
        <v/>
      </c>
      <c r="AG406">
        <f>IFERROR(INDEX(PP_Grid[#Data],$DE406,30),0)</f>
        <v/>
      </c>
      <c r="AH406">
        <f>IFERROR(INDEX(PP_Grid[#Data],$DE406,31),0)</f>
        <v/>
      </c>
      <c r="AI406">
        <f>IFERROR(INDEX(PP_Grid[#Data],$DE406,32),0)</f>
        <v/>
      </c>
      <c r="AJ406">
        <f>IFERROR(INDEX(PP_Grid[#Data],$DE406,33),0)</f>
        <v/>
      </c>
      <c r="AK406">
        <f>IFERROR(INDEX(PP_Grid[#Data],$DE406,34),0)</f>
        <v/>
      </c>
      <c r="AL406">
        <f>IFERROR(INDEX(PP_Grid[#Data],$DE406,35),0)</f>
        <v/>
      </c>
      <c r="AM406">
        <f>IFERROR(INDEX(PP_Grid[#Data],$DE406,36),0)</f>
        <v/>
      </c>
      <c r="AN406">
        <f>IFERROR(INDEX(PP_Grid[#Data],$DE406,37),0)</f>
        <v/>
      </c>
      <c r="AO406">
        <f>IFERROR(INDEX(PP_Grid[#Data],$DE406,38),0)</f>
        <v/>
      </c>
      <c r="AP406">
        <f>IFERROR(INDEX(PP_Grid[#Data],$DE406,39),0)</f>
        <v/>
      </c>
      <c r="AQ406">
        <f>IFERROR(INDEX(PP_Grid[#Data],$DE406,40),0)</f>
        <v/>
      </c>
      <c r="AR406">
        <f>IFERROR(INDEX(PP_Grid[#Data],$DE406,41),0)</f>
        <v/>
      </c>
      <c r="AS406">
        <f>IFERROR(INDEX(PP_Grid[#Data],$DE406,42),0)</f>
        <v/>
      </c>
      <c r="AT406">
        <f>IFERROR(INDEX(PP_Grid[#Data],$DE406,43),0)</f>
        <v/>
      </c>
      <c r="AU406">
        <f>IFERROR(INDEX(PP_Grid[#Data],$DE406,44),0)</f>
        <v/>
      </c>
      <c r="AV406">
        <f>IFERROR(INDEX(PP_Grid[#Data],$DE406,45),0)</f>
        <v/>
      </c>
      <c r="AW406">
        <f>IFERROR(INDEX(PP_Grid[#Data],$DE406,46),0)</f>
        <v/>
      </c>
      <c r="AX406">
        <f>IFERROR(INDEX(PP_Grid[#Data],$DE406,47),0)</f>
        <v/>
      </c>
      <c r="AY406">
        <f>IFERROR(INDEX(PP_Grid[#Data],$DE406,48),0)</f>
        <v/>
      </c>
      <c r="AZ406">
        <f>IFERROR(INDEX(PP_Grid[#Data],$DE406,49),0)</f>
        <v/>
      </c>
      <c r="BA406">
        <f>IFERROR(INDEX(PP_Grid[#Data],$DE406,50),0)</f>
        <v/>
      </c>
      <c r="BB406">
        <f>IFERROR(INDEX(PP_Grid[#Data],$DE406,51),0)</f>
        <v/>
      </c>
      <c r="BC406">
        <f>IFERROR(INDEX(PP_Grid[#Data],$DE406,52),0)</f>
        <v/>
      </c>
      <c r="BD406">
        <f>IFERROR(INDEX(PP_Grid[#Data],$DE406,53),0)</f>
        <v/>
      </c>
      <c r="BE406">
        <f>IFERROR(INDEX(PP_Grid[#Data],$DE406,54),0)</f>
        <v/>
      </c>
      <c r="BF406">
        <f>IFERROR(INDEX(PP_Grid[#Data],$DE406,55),0)</f>
        <v/>
      </c>
      <c r="BG406">
        <f>IFERROR(INDEX(PP_Grid[#Data],$DE406,56),0)</f>
        <v/>
      </c>
      <c r="BH406">
        <f>IFERROR(INDEX(PP_Grid[#Data],$DE406,57),0)</f>
        <v/>
      </c>
      <c r="BI406">
        <f>IFERROR(INDEX(PP_Grid[#Data],$DE406,58),0)</f>
        <v/>
      </c>
      <c r="BJ406">
        <f>IFERROR(INDEX(PP_Grid[#Data],$DE406,59),0)</f>
        <v/>
      </c>
      <c r="BK406">
        <f>IFERROR(INDEX(PP_Grid[#Data],$DE406,60),0)</f>
        <v/>
      </c>
      <c r="BL406">
        <f>IFERROR(INDEX(PP_Grid[#Data],$DE406,61),0)</f>
        <v/>
      </c>
      <c r="BM406">
        <f>IFERROR(INDEX(PP_Grid[#Data],$DE406,62),0)</f>
        <v/>
      </c>
      <c r="BN406">
        <f>IFERROR(INDEX(PP_Grid[#Data],$DE406,63),0)</f>
        <v/>
      </c>
      <c r="BO406">
        <f>IFERROR(INDEX(PP_Grid[#Data],$DE406,64),0)</f>
        <v/>
      </c>
      <c r="BP406">
        <f>IFERROR(INDEX(PP_Grid[#Data],$DE406,65),0)</f>
        <v/>
      </c>
      <c r="BQ406">
        <f>IFERROR(INDEX(PP_Grid[#Data],$DE406,66),0)</f>
        <v/>
      </c>
      <c r="BR406">
        <f>IFERROR(INDEX(PP_Grid[#Data],$DE406,67),0)</f>
        <v/>
      </c>
      <c r="BS406">
        <f>IFERROR(INDEX(PP_Grid[#Data],$DE406,68),0)</f>
        <v/>
      </c>
      <c r="BT406">
        <f>IFERROR(INDEX(PP_Grid[#Data],$DE406,69),0)</f>
        <v/>
      </c>
      <c r="BU406">
        <f>IFERROR(INDEX(PP_Grid[#Data],$DE406,70),0)</f>
        <v/>
      </c>
      <c r="BV406">
        <f>IFERROR(INDEX(PP_Grid[#Data],$DE406,71),0)</f>
        <v/>
      </c>
      <c r="BW406">
        <f>IFERROR(INDEX(PP_Grid[#Data],$DE406,72),0)</f>
        <v/>
      </c>
      <c r="BX406">
        <f>IFERROR(INDEX(PP_Grid[#Data],$DE406,73),0)</f>
        <v/>
      </c>
      <c r="BY406">
        <f>IFERROR(INDEX(PP_Grid[#Data],$DE406,74),0)</f>
        <v/>
      </c>
      <c r="BZ406">
        <f>IFERROR(INDEX(PP_Grid[#Data],$DE406,75),0)</f>
        <v/>
      </c>
      <c r="CA406">
        <f>IFERROR(INDEX(PP_Grid[#Data],$DE406,76),0)</f>
        <v/>
      </c>
      <c r="CB406">
        <f>IFERROR(INDEX(PP_Grid[#Data],$DE406,77),0)</f>
        <v/>
      </c>
      <c r="CC406">
        <f>IFERROR(INDEX(PP_Grid[#Data],$DE406,78),0)</f>
        <v/>
      </c>
      <c r="CD406">
        <f>IFERROR(INDEX(PP_Grid[#Data],$DE406,79),0)</f>
        <v/>
      </c>
      <c r="CE406">
        <f>IFERROR(INDEX(PP_Grid[#Data],$DE406,80),0)</f>
        <v/>
      </c>
      <c r="CF406">
        <f>IFERROR(INDEX(PP_Grid[#Data],$DE406,81),0)</f>
        <v/>
      </c>
      <c r="CG406">
        <f>IFERROR(INDEX(PP_Grid[#Data],$DE406,82),0)</f>
        <v/>
      </c>
      <c r="CH406">
        <f>IFERROR(INDEX(PP_Grid[#Data],$DE406,83),0)</f>
        <v/>
      </c>
      <c r="CI406">
        <f>IFERROR(INDEX(PP_Grid[#Data],$DE406,84),0)</f>
        <v/>
      </c>
      <c r="CJ406">
        <f>IFERROR(INDEX(PP_Grid[#Data],$DE406,85),0)</f>
        <v/>
      </c>
      <c r="CK406">
        <f>IFERROR(INDEX(PP_Grid[#Data],$DE406,86),0)</f>
        <v/>
      </c>
      <c r="CL406">
        <f>IFERROR(INDEX(PP_Grid[#Data],$DE406,87),0)</f>
        <v/>
      </c>
      <c r="CM406">
        <f>IFERROR(INDEX(PP_Grid[#Data],$DE406,88),0)</f>
        <v/>
      </c>
      <c r="CN406">
        <f>IFERROR(INDEX(PP_Grid[#Data],$DE406,89),0)</f>
        <v/>
      </c>
      <c r="CO406">
        <f>IFERROR(INDEX(PP_Grid[#Data],$DE406,90),0)</f>
        <v/>
      </c>
      <c r="CP406">
        <f>IFERROR(INDEX(PP_Grid[#Data],$DE406,91),0)</f>
        <v/>
      </c>
      <c r="CQ406">
        <f>IFERROR(INDEX(PP_Grid[#Data],$DE406,92),0)</f>
        <v/>
      </c>
      <c r="CR406">
        <f>IFERROR(INDEX(PP_Grid[#Data],$DE406,93),0)</f>
        <v/>
      </c>
      <c r="CS406">
        <f>IFERROR(INDEX(PP_Grid[#Data],$DE406,94),0)</f>
        <v/>
      </c>
      <c r="CT406">
        <f>IFERROR(INDEX(PP_Grid[#Data],$DE406,95),0)</f>
        <v/>
      </c>
      <c r="CU406">
        <f>IFERROR(INDEX(PP_Grid[#Data],$DE406,96),0)</f>
        <v/>
      </c>
      <c r="CV406">
        <f>IFERROR(INDEX(PP_Grid[#Data],$DE406,97),0)</f>
        <v/>
      </c>
      <c r="CW406">
        <f>IFERROR(INDEX(PP_Grid[#Data],$DE406,98),0)</f>
        <v/>
      </c>
      <c r="CX406">
        <f>IFERROR(INDEX(PP_Grid[#Data],$DE406,99),0)</f>
        <v/>
      </c>
      <c r="CY406">
        <f>IFERROR(INDEX(PP_Grid[#Data],$DE406,100),0)</f>
        <v/>
      </c>
      <c r="CZ406">
        <f>IFERROR(INDEX(PP_Grid[#Data],$DE406,101),0)</f>
        <v/>
      </c>
      <c r="DA406">
        <f>IFERROR(INDEX(PP_Grid[#Data],$DE406,102),0)</f>
        <v/>
      </c>
      <c r="DB406">
        <f>IFERROR(INDEX(PP_Grid[#Data],$DE406,103),0)</f>
        <v/>
      </c>
      <c r="DC406">
        <f>IFERROR(INDEX(PP_Grid[#Data],$DE406,104),0)</f>
        <v/>
      </c>
      <c r="DD406">
        <f>IFERROR(INDEX(PP_Grid[#Data],$DE406,105),0)</f>
        <v/>
      </c>
      <c r="DE406" s="7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SUMIFS(M_BOM[RM_Qty_Per_Batch],M_BOM[Intermediate],$B406,M_BOM[RM_Code],$A325)</f>
        <v/>
      </c>
      <c r="D407">
        <f>IFERROR(INDEX(E407:DD407,$F$1),"")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  <c r="DD407">
        <f>$C407*DD406</f>
        <v/>
      </c>
    </row>
    <row r="408">
      <c r="B408" t="inlineStr">
        <is>
          <t>TSP-925</t>
        </is>
      </c>
      <c r="C408" t="inlineStr">
        <is>
          <t>No. of batches</t>
        </is>
      </c>
      <c r="D408">
        <f>IFERROR(INDEX(E408:DD408,$F$1),"")</f>
        <v/>
      </c>
      <c r="E408">
        <f>IFERROR(INDEX(PP_Grid[#Data],$DE408,2),0)</f>
        <v/>
      </c>
      <c r="F408">
        <f>IFERROR(INDEX(PP_Grid[#Data],$DE408,3),0)</f>
        <v/>
      </c>
      <c r="G408">
        <f>IFERROR(INDEX(PP_Grid[#Data],$DE408,4),0)</f>
        <v/>
      </c>
      <c r="H408">
        <f>IFERROR(INDEX(PP_Grid[#Data],$DE408,5),0)</f>
        <v/>
      </c>
      <c r="I408">
        <f>IFERROR(INDEX(PP_Grid[#Data],$DE408,6),0)</f>
        <v/>
      </c>
      <c r="J408">
        <f>IFERROR(INDEX(PP_Grid[#Data],$DE408,7),0)</f>
        <v/>
      </c>
      <c r="K408">
        <f>IFERROR(INDEX(PP_Grid[#Data],$DE408,8),0)</f>
        <v/>
      </c>
      <c r="L408">
        <f>IFERROR(INDEX(PP_Grid[#Data],$DE408,9),0)</f>
        <v/>
      </c>
      <c r="M408">
        <f>IFERROR(INDEX(PP_Grid[#Data],$DE408,10),0)</f>
        <v/>
      </c>
      <c r="N408">
        <f>IFERROR(INDEX(PP_Grid[#Data],$DE408,11),0)</f>
        <v/>
      </c>
      <c r="O408">
        <f>IFERROR(INDEX(PP_Grid[#Data],$DE408,12),0)</f>
        <v/>
      </c>
      <c r="P408">
        <f>IFERROR(INDEX(PP_Grid[#Data],$DE408,13),0)</f>
        <v/>
      </c>
      <c r="Q408">
        <f>IFERROR(INDEX(PP_Grid[#Data],$DE408,14),0)</f>
        <v/>
      </c>
      <c r="R408">
        <f>IFERROR(INDEX(PP_Grid[#Data],$DE408,15),0)</f>
        <v/>
      </c>
      <c r="S408">
        <f>IFERROR(INDEX(PP_Grid[#Data],$DE408,16),0)</f>
        <v/>
      </c>
      <c r="T408">
        <f>IFERROR(INDEX(PP_Grid[#Data],$DE408,17),0)</f>
        <v/>
      </c>
      <c r="U408">
        <f>IFERROR(INDEX(PP_Grid[#Data],$DE408,18),0)</f>
        <v/>
      </c>
      <c r="V408">
        <f>IFERROR(INDEX(PP_Grid[#Data],$DE408,19),0)</f>
        <v/>
      </c>
      <c r="W408">
        <f>IFERROR(INDEX(PP_Grid[#Data],$DE408,20),0)</f>
        <v/>
      </c>
      <c r="X408">
        <f>IFERROR(INDEX(PP_Grid[#Data],$DE408,21),0)</f>
        <v/>
      </c>
      <c r="Y408">
        <f>IFERROR(INDEX(PP_Grid[#Data],$DE408,22),0)</f>
        <v/>
      </c>
      <c r="Z408">
        <f>IFERROR(INDEX(PP_Grid[#Data],$DE408,23),0)</f>
        <v/>
      </c>
      <c r="AA408">
        <f>IFERROR(INDEX(PP_Grid[#Data],$DE408,24),0)</f>
        <v/>
      </c>
      <c r="AB408">
        <f>IFERROR(INDEX(PP_Grid[#Data],$DE408,25),0)</f>
        <v/>
      </c>
      <c r="AC408">
        <f>IFERROR(INDEX(PP_Grid[#Data],$DE408,26),0)</f>
        <v/>
      </c>
      <c r="AD408">
        <f>IFERROR(INDEX(PP_Grid[#Data],$DE408,27),0)</f>
        <v/>
      </c>
      <c r="AE408">
        <f>IFERROR(INDEX(PP_Grid[#Data],$DE408,28),0)</f>
        <v/>
      </c>
      <c r="AF408">
        <f>IFERROR(INDEX(PP_Grid[#Data],$DE408,29),0)</f>
        <v/>
      </c>
      <c r="AG408">
        <f>IFERROR(INDEX(PP_Grid[#Data],$DE408,30),0)</f>
        <v/>
      </c>
      <c r="AH408">
        <f>IFERROR(INDEX(PP_Grid[#Data],$DE408,31),0)</f>
        <v/>
      </c>
      <c r="AI408">
        <f>IFERROR(INDEX(PP_Grid[#Data],$DE408,32),0)</f>
        <v/>
      </c>
      <c r="AJ408">
        <f>IFERROR(INDEX(PP_Grid[#Data],$DE408,33),0)</f>
        <v/>
      </c>
      <c r="AK408">
        <f>IFERROR(INDEX(PP_Grid[#Data],$DE408,34),0)</f>
        <v/>
      </c>
      <c r="AL408">
        <f>IFERROR(INDEX(PP_Grid[#Data],$DE408,35),0)</f>
        <v/>
      </c>
      <c r="AM408">
        <f>IFERROR(INDEX(PP_Grid[#Data],$DE408,36),0)</f>
        <v/>
      </c>
      <c r="AN408">
        <f>IFERROR(INDEX(PP_Grid[#Data],$DE408,37),0)</f>
        <v/>
      </c>
      <c r="AO408">
        <f>IFERROR(INDEX(PP_Grid[#Data],$DE408,38),0)</f>
        <v/>
      </c>
      <c r="AP408">
        <f>IFERROR(INDEX(PP_Grid[#Data],$DE408,39),0)</f>
        <v/>
      </c>
      <c r="AQ408">
        <f>IFERROR(INDEX(PP_Grid[#Data],$DE408,40),0)</f>
        <v/>
      </c>
      <c r="AR408">
        <f>IFERROR(INDEX(PP_Grid[#Data],$DE408,41),0)</f>
        <v/>
      </c>
      <c r="AS408">
        <f>IFERROR(INDEX(PP_Grid[#Data],$DE408,42),0)</f>
        <v/>
      </c>
      <c r="AT408">
        <f>IFERROR(INDEX(PP_Grid[#Data],$DE408,43),0)</f>
        <v/>
      </c>
      <c r="AU408">
        <f>IFERROR(INDEX(PP_Grid[#Data],$DE408,44),0)</f>
        <v/>
      </c>
      <c r="AV408">
        <f>IFERROR(INDEX(PP_Grid[#Data],$DE408,45),0)</f>
        <v/>
      </c>
      <c r="AW408">
        <f>IFERROR(INDEX(PP_Grid[#Data],$DE408,46),0)</f>
        <v/>
      </c>
      <c r="AX408">
        <f>IFERROR(INDEX(PP_Grid[#Data],$DE408,47),0)</f>
        <v/>
      </c>
      <c r="AY408">
        <f>IFERROR(INDEX(PP_Grid[#Data],$DE408,48),0)</f>
        <v/>
      </c>
      <c r="AZ408">
        <f>IFERROR(INDEX(PP_Grid[#Data],$DE408,49),0)</f>
        <v/>
      </c>
      <c r="BA408">
        <f>IFERROR(INDEX(PP_Grid[#Data],$DE408,50),0)</f>
        <v/>
      </c>
      <c r="BB408">
        <f>IFERROR(INDEX(PP_Grid[#Data],$DE408,51),0)</f>
        <v/>
      </c>
      <c r="BC408">
        <f>IFERROR(INDEX(PP_Grid[#Data],$DE408,52),0)</f>
        <v/>
      </c>
      <c r="BD408">
        <f>IFERROR(INDEX(PP_Grid[#Data],$DE408,53),0)</f>
        <v/>
      </c>
      <c r="BE408">
        <f>IFERROR(INDEX(PP_Grid[#Data],$DE408,54),0)</f>
        <v/>
      </c>
      <c r="BF408">
        <f>IFERROR(INDEX(PP_Grid[#Data],$DE408,55),0)</f>
        <v/>
      </c>
      <c r="BG408">
        <f>IFERROR(INDEX(PP_Grid[#Data],$DE408,56),0)</f>
        <v/>
      </c>
      <c r="BH408">
        <f>IFERROR(INDEX(PP_Grid[#Data],$DE408,57),0)</f>
        <v/>
      </c>
      <c r="BI408">
        <f>IFERROR(INDEX(PP_Grid[#Data],$DE408,58),0)</f>
        <v/>
      </c>
      <c r="BJ408">
        <f>IFERROR(INDEX(PP_Grid[#Data],$DE408,59),0)</f>
        <v/>
      </c>
      <c r="BK408">
        <f>IFERROR(INDEX(PP_Grid[#Data],$DE408,60),0)</f>
        <v/>
      </c>
      <c r="BL408">
        <f>IFERROR(INDEX(PP_Grid[#Data],$DE408,61),0)</f>
        <v/>
      </c>
      <c r="BM408">
        <f>IFERROR(INDEX(PP_Grid[#Data],$DE408,62),0)</f>
        <v/>
      </c>
      <c r="BN408">
        <f>IFERROR(INDEX(PP_Grid[#Data],$DE408,63),0)</f>
        <v/>
      </c>
      <c r="BO408">
        <f>IFERROR(INDEX(PP_Grid[#Data],$DE408,64),0)</f>
        <v/>
      </c>
      <c r="BP408">
        <f>IFERROR(INDEX(PP_Grid[#Data],$DE408,65),0)</f>
        <v/>
      </c>
      <c r="BQ408">
        <f>IFERROR(INDEX(PP_Grid[#Data],$DE408,66),0)</f>
        <v/>
      </c>
      <c r="BR408">
        <f>IFERROR(INDEX(PP_Grid[#Data],$DE408,67),0)</f>
        <v/>
      </c>
      <c r="BS408">
        <f>IFERROR(INDEX(PP_Grid[#Data],$DE408,68),0)</f>
        <v/>
      </c>
      <c r="BT408">
        <f>IFERROR(INDEX(PP_Grid[#Data],$DE408,69),0)</f>
        <v/>
      </c>
      <c r="BU408">
        <f>IFERROR(INDEX(PP_Grid[#Data],$DE408,70),0)</f>
        <v/>
      </c>
      <c r="BV408">
        <f>IFERROR(INDEX(PP_Grid[#Data],$DE408,71),0)</f>
        <v/>
      </c>
      <c r="BW408">
        <f>IFERROR(INDEX(PP_Grid[#Data],$DE408,72),0)</f>
        <v/>
      </c>
      <c r="BX408">
        <f>IFERROR(INDEX(PP_Grid[#Data],$DE408,73),0)</f>
        <v/>
      </c>
      <c r="BY408">
        <f>IFERROR(INDEX(PP_Grid[#Data],$DE408,74),0)</f>
        <v/>
      </c>
      <c r="BZ408">
        <f>IFERROR(INDEX(PP_Grid[#Data],$DE408,75),0)</f>
        <v/>
      </c>
      <c r="CA408">
        <f>IFERROR(INDEX(PP_Grid[#Data],$DE408,76),0)</f>
        <v/>
      </c>
      <c r="CB408">
        <f>IFERROR(INDEX(PP_Grid[#Data],$DE408,77),0)</f>
        <v/>
      </c>
      <c r="CC408">
        <f>IFERROR(INDEX(PP_Grid[#Data],$DE408,78),0)</f>
        <v/>
      </c>
      <c r="CD408">
        <f>IFERROR(INDEX(PP_Grid[#Data],$DE408,79),0)</f>
        <v/>
      </c>
      <c r="CE408">
        <f>IFERROR(INDEX(PP_Grid[#Data],$DE408,80),0)</f>
        <v/>
      </c>
      <c r="CF408">
        <f>IFERROR(INDEX(PP_Grid[#Data],$DE408,81),0)</f>
        <v/>
      </c>
      <c r="CG408">
        <f>IFERROR(INDEX(PP_Grid[#Data],$DE408,82),0)</f>
        <v/>
      </c>
      <c r="CH408">
        <f>IFERROR(INDEX(PP_Grid[#Data],$DE408,83),0)</f>
        <v/>
      </c>
      <c r="CI408">
        <f>IFERROR(INDEX(PP_Grid[#Data],$DE408,84),0)</f>
        <v/>
      </c>
      <c r="CJ408">
        <f>IFERROR(INDEX(PP_Grid[#Data],$DE408,85),0)</f>
        <v/>
      </c>
      <c r="CK408">
        <f>IFERROR(INDEX(PP_Grid[#Data],$DE408,86),0)</f>
        <v/>
      </c>
      <c r="CL408">
        <f>IFERROR(INDEX(PP_Grid[#Data],$DE408,87),0)</f>
        <v/>
      </c>
      <c r="CM408">
        <f>IFERROR(INDEX(PP_Grid[#Data],$DE408,88),0)</f>
        <v/>
      </c>
      <c r="CN408">
        <f>IFERROR(INDEX(PP_Grid[#Data],$DE408,89),0)</f>
        <v/>
      </c>
      <c r="CO408">
        <f>IFERROR(INDEX(PP_Grid[#Data],$DE408,90),0)</f>
        <v/>
      </c>
      <c r="CP408">
        <f>IFERROR(INDEX(PP_Grid[#Data],$DE408,91),0)</f>
        <v/>
      </c>
      <c r="CQ408">
        <f>IFERROR(INDEX(PP_Grid[#Data],$DE408,92),0)</f>
        <v/>
      </c>
      <c r="CR408">
        <f>IFERROR(INDEX(PP_Grid[#Data],$DE408,93),0)</f>
        <v/>
      </c>
      <c r="CS408">
        <f>IFERROR(INDEX(PP_Grid[#Data],$DE408,94),0)</f>
        <v/>
      </c>
      <c r="CT408">
        <f>IFERROR(INDEX(PP_Grid[#Data],$DE408,95),0)</f>
        <v/>
      </c>
      <c r="CU408">
        <f>IFERROR(INDEX(PP_Grid[#Data],$DE408,96),0)</f>
        <v/>
      </c>
      <c r="CV408">
        <f>IFERROR(INDEX(PP_Grid[#Data],$DE408,97),0)</f>
        <v/>
      </c>
      <c r="CW408">
        <f>IFERROR(INDEX(PP_Grid[#Data],$DE408,98),0)</f>
        <v/>
      </c>
      <c r="CX408">
        <f>IFERROR(INDEX(PP_Grid[#Data],$DE408,99),0)</f>
        <v/>
      </c>
      <c r="CY408">
        <f>IFERROR(INDEX(PP_Grid[#Data],$DE408,100),0)</f>
        <v/>
      </c>
      <c r="CZ408">
        <f>IFERROR(INDEX(PP_Grid[#Data],$DE408,101),0)</f>
        <v/>
      </c>
      <c r="DA408">
        <f>IFERROR(INDEX(PP_Grid[#Data],$DE408,102),0)</f>
        <v/>
      </c>
      <c r="DB408">
        <f>IFERROR(INDEX(PP_Grid[#Data],$DE408,103),0)</f>
        <v/>
      </c>
      <c r="DC408">
        <f>IFERROR(INDEX(PP_Grid[#Data],$DE408,104),0)</f>
        <v/>
      </c>
      <c r="DD408">
        <f>IFERROR(INDEX(PP_Grid[#Data],$DE408,105),0)</f>
        <v/>
      </c>
      <c r="DE408" s="7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SUMIFS(M_BOM[RM_Qty_Per_Batch],M_BOM[Intermediate],$B408,M_BOM[RM_Code],$A325)</f>
        <v/>
      </c>
      <c r="D409">
        <f>IFERROR(INDEX(E409:DD409,$F$1),"")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  <c r="DD409">
        <f>$C409*DD408</f>
        <v/>
      </c>
    </row>
    <row r="410">
      <c r="B410" t="inlineStr">
        <is>
          <t>TSP-927</t>
        </is>
      </c>
      <c r="C410" t="inlineStr">
        <is>
          <t>No. of batches</t>
        </is>
      </c>
      <c r="D410">
        <f>IFERROR(INDEX(E410:DD410,$F$1),"")</f>
        <v/>
      </c>
      <c r="E410">
        <f>IFERROR(INDEX(PP_Grid[#Data],$DE410,2),0)</f>
        <v/>
      </c>
      <c r="F410">
        <f>IFERROR(INDEX(PP_Grid[#Data],$DE410,3),0)</f>
        <v/>
      </c>
      <c r="G410">
        <f>IFERROR(INDEX(PP_Grid[#Data],$DE410,4),0)</f>
        <v/>
      </c>
      <c r="H410">
        <f>IFERROR(INDEX(PP_Grid[#Data],$DE410,5),0)</f>
        <v/>
      </c>
      <c r="I410">
        <f>IFERROR(INDEX(PP_Grid[#Data],$DE410,6),0)</f>
        <v/>
      </c>
      <c r="J410">
        <f>IFERROR(INDEX(PP_Grid[#Data],$DE410,7),0)</f>
        <v/>
      </c>
      <c r="K410">
        <f>IFERROR(INDEX(PP_Grid[#Data],$DE410,8),0)</f>
        <v/>
      </c>
      <c r="L410">
        <f>IFERROR(INDEX(PP_Grid[#Data],$DE410,9),0)</f>
        <v/>
      </c>
      <c r="M410">
        <f>IFERROR(INDEX(PP_Grid[#Data],$DE410,10),0)</f>
        <v/>
      </c>
      <c r="N410">
        <f>IFERROR(INDEX(PP_Grid[#Data],$DE410,11),0)</f>
        <v/>
      </c>
      <c r="O410">
        <f>IFERROR(INDEX(PP_Grid[#Data],$DE410,12),0)</f>
        <v/>
      </c>
      <c r="P410">
        <f>IFERROR(INDEX(PP_Grid[#Data],$DE410,13),0)</f>
        <v/>
      </c>
      <c r="Q410">
        <f>IFERROR(INDEX(PP_Grid[#Data],$DE410,14),0)</f>
        <v/>
      </c>
      <c r="R410">
        <f>IFERROR(INDEX(PP_Grid[#Data],$DE410,15),0)</f>
        <v/>
      </c>
      <c r="S410">
        <f>IFERROR(INDEX(PP_Grid[#Data],$DE410,16),0)</f>
        <v/>
      </c>
      <c r="T410">
        <f>IFERROR(INDEX(PP_Grid[#Data],$DE410,17),0)</f>
        <v/>
      </c>
      <c r="U410">
        <f>IFERROR(INDEX(PP_Grid[#Data],$DE410,18),0)</f>
        <v/>
      </c>
      <c r="V410">
        <f>IFERROR(INDEX(PP_Grid[#Data],$DE410,19),0)</f>
        <v/>
      </c>
      <c r="W410">
        <f>IFERROR(INDEX(PP_Grid[#Data],$DE410,20),0)</f>
        <v/>
      </c>
      <c r="X410">
        <f>IFERROR(INDEX(PP_Grid[#Data],$DE410,21),0)</f>
        <v/>
      </c>
      <c r="Y410">
        <f>IFERROR(INDEX(PP_Grid[#Data],$DE410,22),0)</f>
        <v/>
      </c>
      <c r="Z410">
        <f>IFERROR(INDEX(PP_Grid[#Data],$DE410,23),0)</f>
        <v/>
      </c>
      <c r="AA410">
        <f>IFERROR(INDEX(PP_Grid[#Data],$DE410,24),0)</f>
        <v/>
      </c>
      <c r="AB410">
        <f>IFERROR(INDEX(PP_Grid[#Data],$DE410,25),0)</f>
        <v/>
      </c>
      <c r="AC410">
        <f>IFERROR(INDEX(PP_Grid[#Data],$DE410,26),0)</f>
        <v/>
      </c>
      <c r="AD410">
        <f>IFERROR(INDEX(PP_Grid[#Data],$DE410,27),0)</f>
        <v/>
      </c>
      <c r="AE410">
        <f>IFERROR(INDEX(PP_Grid[#Data],$DE410,28),0)</f>
        <v/>
      </c>
      <c r="AF410">
        <f>IFERROR(INDEX(PP_Grid[#Data],$DE410,29),0)</f>
        <v/>
      </c>
      <c r="AG410">
        <f>IFERROR(INDEX(PP_Grid[#Data],$DE410,30),0)</f>
        <v/>
      </c>
      <c r="AH410">
        <f>IFERROR(INDEX(PP_Grid[#Data],$DE410,31),0)</f>
        <v/>
      </c>
      <c r="AI410">
        <f>IFERROR(INDEX(PP_Grid[#Data],$DE410,32),0)</f>
        <v/>
      </c>
      <c r="AJ410">
        <f>IFERROR(INDEX(PP_Grid[#Data],$DE410,33),0)</f>
        <v/>
      </c>
      <c r="AK410">
        <f>IFERROR(INDEX(PP_Grid[#Data],$DE410,34),0)</f>
        <v/>
      </c>
      <c r="AL410">
        <f>IFERROR(INDEX(PP_Grid[#Data],$DE410,35),0)</f>
        <v/>
      </c>
      <c r="AM410">
        <f>IFERROR(INDEX(PP_Grid[#Data],$DE410,36),0)</f>
        <v/>
      </c>
      <c r="AN410">
        <f>IFERROR(INDEX(PP_Grid[#Data],$DE410,37),0)</f>
        <v/>
      </c>
      <c r="AO410">
        <f>IFERROR(INDEX(PP_Grid[#Data],$DE410,38),0)</f>
        <v/>
      </c>
      <c r="AP410">
        <f>IFERROR(INDEX(PP_Grid[#Data],$DE410,39),0)</f>
        <v/>
      </c>
      <c r="AQ410">
        <f>IFERROR(INDEX(PP_Grid[#Data],$DE410,40),0)</f>
        <v/>
      </c>
      <c r="AR410">
        <f>IFERROR(INDEX(PP_Grid[#Data],$DE410,41),0)</f>
        <v/>
      </c>
      <c r="AS410">
        <f>IFERROR(INDEX(PP_Grid[#Data],$DE410,42),0)</f>
        <v/>
      </c>
      <c r="AT410">
        <f>IFERROR(INDEX(PP_Grid[#Data],$DE410,43),0)</f>
        <v/>
      </c>
      <c r="AU410">
        <f>IFERROR(INDEX(PP_Grid[#Data],$DE410,44),0)</f>
        <v/>
      </c>
      <c r="AV410">
        <f>IFERROR(INDEX(PP_Grid[#Data],$DE410,45),0)</f>
        <v/>
      </c>
      <c r="AW410">
        <f>IFERROR(INDEX(PP_Grid[#Data],$DE410,46),0)</f>
        <v/>
      </c>
      <c r="AX410">
        <f>IFERROR(INDEX(PP_Grid[#Data],$DE410,47),0)</f>
        <v/>
      </c>
      <c r="AY410">
        <f>IFERROR(INDEX(PP_Grid[#Data],$DE410,48),0)</f>
        <v/>
      </c>
      <c r="AZ410">
        <f>IFERROR(INDEX(PP_Grid[#Data],$DE410,49),0)</f>
        <v/>
      </c>
      <c r="BA410">
        <f>IFERROR(INDEX(PP_Grid[#Data],$DE410,50),0)</f>
        <v/>
      </c>
      <c r="BB410">
        <f>IFERROR(INDEX(PP_Grid[#Data],$DE410,51),0)</f>
        <v/>
      </c>
      <c r="BC410">
        <f>IFERROR(INDEX(PP_Grid[#Data],$DE410,52),0)</f>
        <v/>
      </c>
      <c r="BD410">
        <f>IFERROR(INDEX(PP_Grid[#Data],$DE410,53),0)</f>
        <v/>
      </c>
      <c r="BE410">
        <f>IFERROR(INDEX(PP_Grid[#Data],$DE410,54),0)</f>
        <v/>
      </c>
      <c r="BF410">
        <f>IFERROR(INDEX(PP_Grid[#Data],$DE410,55),0)</f>
        <v/>
      </c>
      <c r="BG410">
        <f>IFERROR(INDEX(PP_Grid[#Data],$DE410,56),0)</f>
        <v/>
      </c>
      <c r="BH410">
        <f>IFERROR(INDEX(PP_Grid[#Data],$DE410,57),0)</f>
        <v/>
      </c>
      <c r="BI410">
        <f>IFERROR(INDEX(PP_Grid[#Data],$DE410,58),0)</f>
        <v/>
      </c>
      <c r="BJ410">
        <f>IFERROR(INDEX(PP_Grid[#Data],$DE410,59),0)</f>
        <v/>
      </c>
      <c r="BK410">
        <f>IFERROR(INDEX(PP_Grid[#Data],$DE410,60),0)</f>
        <v/>
      </c>
      <c r="BL410">
        <f>IFERROR(INDEX(PP_Grid[#Data],$DE410,61),0)</f>
        <v/>
      </c>
      <c r="BM410">
        <f>IFERROR(INDEX(PP_Grid[#Data],$DE410,62),0)</f>
        <v/>
      </c>
      <c r="BN410">
        <f>IFERROR(INDEX(PP_Grid[#Data],$DE410,63),0)</f>
        <v/>
      </c>
      <c r="BO410">
        <f>IFERROR(INDEX(PP_Grid[#Data],$DE410,64),0)</f>
        <v/>
      </c>
      <c r="BP410">
        <f>IFERROR(INDEX(PP_Grid[#Data],$DE410,65),0)</f>
        <v/>
      </c>
      <c r="BQ410">
        <f>IFERROR(INDEX(PP_Grid[#Data],$DE410,66),0)</f>
        <v/>
      </c>
      <c r="BR410">
        <f>IFERROR(INDEX(PP_Grid[#Data],$DE410,67),0)</f>
        <v/>
      </c>
      <c r="BS410">
        <f>IFERROR(INDEX(PP_Grid[#Data],$DE410,68),0)</f>
        <v/>
      </c>
      <c r="BT410">
        <f>IFERROR(INDEX(PP_Grid[#Data],$DE410,69),0)</f>
        <v/>
      </c>
      <c r="BU410">
        <f>IFERROR(INDEX(PP_Grid[#Data],$DE410,70),0)</f>
        <v/>
      </c>
      <c r="BV410">
        <f>IFERROR(INDEX(PP_Grid[#Data],$DE410,71),0)</f>
        <v/>
      </c>
      <c r="BW410">
        <f>IFERROR(INDEX(PP_Grid[#Data],$DE410,72),0)</f>
        <v/>
      </c>
      <c r="BX410">
        <f>IFERROR(INDEX(PP_Grid[#Data],$DE410,73),0)</f>
        <v/>
      </c>
      <c r="BY410">
        <f>IFERROR(INDEX(PP_Grid[#Data],$DE410,74),0)</f>
        <v/>
      </c>
      <c r="BZ410">
        <f>IFERROR(INDEX(PP_Grid[#Data],$DE410,75),0)</f>
        <v/>
      </c>
      <c r="CA410">
        <f>IFERROR(INDEX(PP_Grid[#Data],$DE410,76),0)</f>
        <v/>
      </c>
      <c r="CB410">
        <f>IFERROR(INDEX(PP_Grid[#Data],$DE410,77),0)</f>
        <v/>
      </c>
      <c r="CC410">
        <f>IFERROR(INDEX(PP_Grid[#Data],$DE410,78),0)</f>
        <v/>
      </c>
      <c r="CD410">
        <f>IFERROR(INDEX(PP_Grid[#Data],$DE410,79),0)</f>
        <v/>
      </c>
      <c r="CE410">
        <f>IFERROR(INDEX(PP_Grid[#Data],$DE410,80),0)</f>
        <v/>
      </c>
      <c r="CF410">
        <f>IFERROR(INDEX(PP_Grid[#Data],$DE410,81),0)</f>
        <v/>
      </c>
      <c r="CG410">
        <f>IFERROR(INDEX(PP_Grid[#Data],$DE410,82),0)</f>
        <v/>
      </c>
      <c r="CH410">
        <f>IFERROR(INDEX(PP_Grid[#Data],$DE410,83),0)</f>
        <v/>
      </c>
      <c r="CI410">
        <f>IFERROR(INDEX(PP_Grid[#Data],$DE410,84),0)</f>
        <v/>
      </c>
      <c r="CJ410">
        <f>IFERROR(INDEX(PP_Grid[#Data],$DE410,85),0)</f>
        <v/>
      </c>
      <c r="CK410">
        <f>IFERROR(INDEX(PP_Grid[#Data],$DE410,86),0)</f>
        <v/>
      </c>
      <c r="CL410">
        <f>IFERROR(INDEX(PP_Grid[#Data],$DE410,87),0)</f>
        <v/>
      </c>
      <c r="CM410">
        <f>IFERROR(INDEX(PP_Grid[#Data],$DE410,88),0)</f>
        <v/>
      </c>
      <c r="CN410">
        <f>IFERROR(INDEX(PP_Grid[#Data],$DE410,89),0)</f>
        <v/>
      </c>
      <c r="CO410">
        <f>IFERROR(INDEX(PP_Grid[#Data],$DE410,90),0)</f>
        <v/>
      </c>
      <c r="CP410">
        <f>IFERROR(INDEX(PP_Grid[#Data],$DE410,91),0)</f>
        <v/>
      </c>
      <c r="CQ410">
        <f>IFERROR(INDEX(PP_Grid[#Data],$DE410,92),0)</f>
        <v/>
      </c>
      <c r="CR410">
        <f>IFERROR(INDEX(PP_Grid[#Data],$DE410,93),0)</f>
        <v/>
      </c>
      <c r="CS410">
        <f>IFERROR(INDEX(PP_Grid[#Data],$DE410,94),0)</f>
        <v/>
      </c>
      <c r="CT410">
        <f>IFERROR(INDEX(PP_Grid[#Data],$DE410,95),0)</f>
        <v/>
      </c>
      <c r="CU410">
        <f>IFERROR(INDEX(PP_Grid[#Data],$DE410,96),0)</f>
        <v/>
      </c>
      <c r="CV410">
        <f>IFERROR(INDEX(PP_Grid[#Data],$DE410,97),0)</f>
        <v/>
      </c>
      <c r="CW410">
        <f>IFERROR(INDEX(PP_Grid[#Data],$DE410,98),0)</f>
        <v/>
      </c>
      <c r="CX410">
        <f>IFERROR(INDEX(PP_Grid[#Data],$DE410,99),0)</f>
        <v/>
      </c>
      <c r="CY410">
        <f>IFERROR(INDEX(PP_Grid[#Data],$DE410,100),0)</f>
        <v/>
      </c>
      <c r="CZ410">
        <f>IFERROR(INDEX(PP_Grid[#Data],$DE410,101),0)</f>
        <v/>
      </c>
      <c r="DA410">
        <f>IFERROR(INDEX(PP_Grid[#Data],$DE410,102),0)</f>
        <v/>
      </c>
      <c r="DB410">
        <f>IFERROR(INDEX(PP_Grid[#Data],$DE410,103),0)</f>
        <v/>
      </c>
      <c r="DC410">
        <f>IFERROR(INDEX(PP_Grid[#Data],$DE410,104),0)</f>
        <v/>
      </c>
      <c r="DD410">
        <f>IFERROR(INDEX(PP_Grid[#Data],$DE410,105),0)</f>
        <v/>
      </c>
      <c r="DE410" s="7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SUMIFS(M_BOM[RM_Qty_Per_Batch],M_BOM[Intermediate],$B410,M_BOM[RM_Code],$A325)</f>
        <v/>
      </c>
      <c r="D411">
        <f>IFERROR(INDEX(E411:DD411,$F$1),"")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  <c r="DD411">
        <f>$C411*DD410</f>
        <v/>
      </c>
    </row>
    <row r="412">
      <c r="B412" t="inlineStr">
        <is>
          <t>TSP-928</t>
        </is>
      </c>
      <c r="C412" t="inlineStr">
        <is>
          <t>No. of batches</t>
        </is>
      </c>
      <c r="D412">
        <f>IFERROR(INDEX(E412:DD412,$F$1),"")</f>
        <v/>
      </c>
      <c r="E412">
        <f>IFERROR(INDEX(PP_Grid[#Data],$DE412,2),0)</f>
        <v/>
      </c>
      <c r="F412">
        <f>IFERROR(INDEX(PP_Grid[#Data],$DE412,3),0)</f>
        <v/>
      </c>
      <c r="G412">
        <f>IFERROR(INDEX(PP_Grid[#Data],$DE412,4),0)</f>
        <v/>
      </c>
      <c r="H412">
        <f>IFERROR(INDEX(PP_Grid[#Data],$DE412,5),0)</f>
        <v/>
      </c>
      <c r="I412">
        <f>IFERROR(INDEX(PP_Grid[#Data],$DE412,6),0)</f>
        <v/>
      </c>
      <c r="J412">
        <f>IFERROR(INDEX(PP_Grid[#Data],$DE412,7),0)</f>
        <v/>
      </c>
      <c r="K412">
        <f>IFERROR(INDEX(PP_Grid[#Data],$DE412,8),0)</f>
        <v/>
      </c>
      <c r="L412">
        <f>IFERROR(INDEX(PP_Grid[#Data],$DE412,9),0)</f>
        <v/>
      </c>
      <c r="M412">
        <f>IFERROR(INDEX(PP_Grid[#Data],$DE412,10),0)</f>
        <v/>
      </c>
      <c r="N412">
        <f>IFERROR(INDEX(PP_Grid[#Data],$DE412,11),0)</f>
        <v/>
      </c>
      <c r="O412">
        <f>IFERROR(INDEX(PP_Grid[#Data],$DE412,12),0)</f>
        <v/>
      </c>
      <c r="P412">
        <f>IFERROR(INDEX(PP_Grid[#Data],$DE412,13),0)</f>
        <v/>
      </c>
      <c r="Q412">
        <f>IFERROR(INDEX(PP_Grid[#Data],$DE412,14),0)</f>
        <v/>
      </c>
      <c r="R412">
        <f>IFERROR(INDEX(PP_Grid[#Data],$DE412,15),0)</f>
        <v/>
      </c>
      <c r="S412">
        <f>IFERROR(INDEX(PP_Grid[#Data],$DE412,16),0)</f>
        <v/>
      </c>
      <c r="T412">
        <f>IFERROR(INDEX(PP_Grid[#Data],$DE412,17),0)</f>
        <v/>
      </c>
      <c r="U412">
        <f>IFERROR(INDEX(PP_Grid[#Data],$DE412,18),0)</f>
        <v/>
      </c>
      <c r="V412">
        <f>IFERROR(INDEX(PP_Grid[#Data],$DE412,19),0)</f>
        <v/>
      </c>
      <c r="W412">
        <f>IFERROR(INDEX(PP_Grid[#Data],$DE412,20),0)</f>
        <v/>
      </c>
      <c r="X412">
        <f>IFERROR(INDEX(PP_Grid[#Data],$DE412,21),0)</f>
        <v/>
      </c>
      <c r="Y412">
        <f>IFERROR(INDEX(PP_Grid[#Data],$DE412,22),0)</f>
        <v/>
      </c>
      <c r="Z412">
        <f>IFERROR(INDEX(PP_Grid[#Data],$DE412,23),0)</f>
        <v/>
      </c>
      <c r="AA412">
        <f>IFERROR(INDEX(PP_Grid[#Data],$DE412,24),0)</f>
        <v/>
      </c>
      <c r="AB412">
        <f>IFERROR(INDEX(PP_Grid[#Data],$DE412,25),0)</f>
        <v/>
      </c>
      <c r="AC412">
        <f>IFERROR(INDEX(PP_Grid[#Data],$DE412,26),0)</f>
        <v/>
      </c>
      <c r="AD412">
        <f>IFERROR(INDEX(PP_Grid[#Data],$DE412,27),0)</f>
        <v/>
      </c>
      <c r="AE412">
        <f>IFERROR(INDEX(PP_Grid[#Data],$DE412,28),0)</f>
        <v/>
      </c>
      <c r="AF412">
        <f>IFERROR(INDEX(PP_Grid[#Data],$DE412,29),0)</f>
        <v/>
      </c>
      <c r="AG412">
        <f>IFERROR(INDEX(PP_Grid[#Data],$DE412,30),0)</f>
        <v/>
      </c>
      <c r="AH412">
        <f>IFERROR(INDEX(PP_Grid[#Data],$DE412,31),0)</f>
        <v/>
      </c>
      <c r="AI412">
        <f>IFERROR(INDEX(PP_Grid[#Data],$DE412,32),0)</f>
        <v/>
      </c>
      <c r="AJ412">
        <f>IFERROR(INDEX(PP_Grid[#Data],$DE412,33),0)</f>
        <v/>
      </c>
      <c r="AK412">
        <f>IFERROR(INDEX(PP_Grid[#Data],$DE412,34),0)</f>
        <v/>
      </c>
      <c r="AL412">
        <f>IFERROR(INDEX(PP_Grid[#Data],$DE412,35),0)</f>
        <v/>
      </c>
      <c r="AM412">
        <f>IFERROR(INDEX(PP_Grid[#Data],$DE412,36),0)</f>
        <v/>
      </c>
      <c r="AN412">
        <f>IFERROR(INDEX(PP_Grid[#Data],$DE412,37),0)</f>
        <v/>
      </c>
      <c r="AO412">
        <f>IFERROR(INDEX(PP_Grid[#Data],$DE412,38),0)</f>
        <v/>
      </c>
      <c r="AP412">
        <f>IFERROR(INDEX(PP_Grid[#Data],$DE412,39),0)</f>
        <v/>
      </c>
      <c r="AQ412">
        <f>IFERROR(INDEX(PP_Grid[#Data],$DE412,40),0)</f>
        <v/>
      </c>
      <c r="AR412">
        <f>IFERROR(INDEX(PP_Grid[#Data],$DE412,41),0)</f>
        <v/>
      </c>
      <c r="AS412">
        <f>IFERROR(INDEX(PP_Grid[#Data],$DE412,42),0)</f>
        <v/>
      </c>
      <c r="AT412">
        <f>IFERROR(INDEX(PP_Grid[#Data],$DE412,43),0)</f>
        <v/>
      </c>
      <c r="AU412">
        <f>IFERROR(INDEX(PP_Grid[#Data],$DE412,44),0)</f>
        <v/>
      </c>
      <c r="AV412">
        <f>IFERROR(INDEX(PP_Grid[#Data],$DE412,45),0)</f>
        <v/>
      </c>
      <c r="AW412">
        <f>IFERROR(INDEX(PP_Grid[#Data],$DE412,46),0)</f>
        <v/>
      </c>
      <c r="AX412">
        <f>IFERROR(INDEX(PP_Grid[#Data],$DE412,47),0)</f>
        <v/>
      </c>
      <c r="AY412">
        <f>IFERROR(INDEX(PP_Grid[#Data],$DE412,48),0)</f>
        <v/>
      </c>
      <c r="AZ412">
        <f>IFERROR(INDEX(PP_Grid[#Data],$DE412,49),0)</f>
        <v/>
      </c>
      <c r="BA412">
        <f>IFERROR(INDEX(PP_Grid[#Data],$DE412,50),0)</f>
        <v/>
      </c>
      <c r="BB412">
        <f>IFERROR(INDEX(PP_Grid[#Data],$DE412,51),0)</f>
        <v/>
      </c>
      <c r="BC412">
        <f>IFERROR(INDEX(PP_Grid[#Data],$DE412,52),0)</f>
        <v/>
      </c>
      <c r="BD412">
        <f>IFERROR(INDEX(PP_Grid[#Data],$DE412,53),0)</f>
        <v/>
      </c>
      <c r="BE412">
        <f>IFERROR(INDEX(PP_Grid[#Data],$DE412,54),0)</f>
        <v/>
      </c>
      <c r="BF412">
        <f>IFERROR(INDEX(PP_Grid[#Data],$DE412,55),0)</f>
        <v/>
      </c>
      <c r="BG412">
        <f>IFERROR(INDEX(PP_Grid[#Data],$DE412,56),0)</f>
        <v/>
      </c>
      <c r="BH412">
        <f>IFERROR(INDEX(PP_Grid[#Data],$DE412,57),0)</f>
        <v/>
      </c>
      <c r="BI412">
        <f>IFERROR(INDEX(PP_Grid[#Data],$DE412,58),0)</f>
        <v/>
      </c>
      <c r="BJ412">
        <f>IFERROR(INDEX(PP_Grid[#Data],$DE412,59),0)</f>
        <v/>
      </c>
      <c r="BK412">
        <f>IFERROR(INDEX(PP_Grid[#Data],$DE412,60),0)</f>
        <v/>
      </c>
      <c r="BL412">
        <f>IFERROR(INDEX(PP_Grid[#Data],$DE412,61),0)</f>
        <v/>
      </c>
      <c r="BM412">
        <f>IFERROR(INDEX(PP_Grid[#Data],$DE412,62),0)</f>
        <v/>
      </c>
      <c r="BN412">
        <f>IFERROR(INDEX(PP_Grid[#Data],$DE412,63),0)</f>
        <v/>
      </c>
      <c r="BO412">
        <f>IFERROR(INDEX(PP_Grid[#Data],$DE412,64),0)</f>
        <v/>
      </c>
      <c r="BP412">
        <f>IFERROR(INDEX(PP_Grid[#Data],$DE412,65),0)</f>
        <v/>
      </c>
      <c r="BQ412">
        <f>IFERROR(INDEX(PP_Grid[#Data],$DE412,66),0)</f>
        <v/>
      </c>
      <c r="BR412">
        <f>IFERROR(INDEX(PP_Grid[#Data],$DE412,67),0)</f>
        <v/>
      </c>
      <c r="BS412">
        <f>IFERROR(INDEX(PP_Grid[#Data],$DE412,68),0)</f>
        <v/>
      </c>
      <c r="BT412">
        <f>IFERROR(INDEX(PP_Grid[#Data],$DE412,69),0)</f>
        <v/>
      </c>
      <c r="BU412">
        <f>IFERROR(INDEX(PP_Grid[#Data],$DE412,70),0)</f>
        <v/>
      </c>
      <c r="BV412">
        <f>IFERROR(INDEX(PP_Grid[#Data],$DE412,71),0)</f>
        <v/>
      </c>
      <c r="BW412">
        <f>IFERROR(INDEX(PP_Grid[#Data],$DE412,72),0)</f>
        <v/>
      </c>
      <c r="BX412">
        <f>IFERROR(INDEX(PP_Grid[#Data],$DE412,73),0)</f>
        <v/>
      </c>
      <c r="BY412">
        <f>IFERROR(INDEX(PP_Grid[#Data],$DE412,74),0)</f>
        <v/>
      </c>
      <c r="BZ412">
        <f>IFERROR(INDEX(PP_Grid[#Data],$DE412,75),0)</f>
        <v/>
      </c>
      <c r="CA412">
        <f>IFERROR(INDEX(PP_Grid[#Data],$DE412,76),0)</f>
        <v/>
      </c>
      <c r="CB412">
        <f>IFERROR(INDEX(PP_Grid[#Data],$DE412,77),0)</f>
        <v/>
      </c>
      <c r="CC412">
        <f>IFERROR(INDEX(PP_Grid[#Data],$DE412,78),0)</f>
        <v/>
      </c>
      <c r="CD412">
        <f>IFERROR(INDEX(PP_Grid[#Data],$DE412,79),0)</f>
        <v/>
      </c>
      <c r="CE412">
        <f>IFERROR(INDEX(PP_Grid[#Data],$DE412,80),0)</f>
        <v/>
      </c>
      <c r="CF412">
        <f>IFERROR(INDEX(PP_Grid[#Data],$DE412,81),0)</f>
        <v/>
      </c>
      <c r="CG412">
        <f>IFERROR(INDEX(PP_Grid[#Data],$DE412,82),0)</f>
        <v/>
      </c>
      <c r="CH412">
        <f>IFERROR(INDEX(PP_Grid[#Data],$DE412,83),0)</f>
        <v/>
      </c>
      <c r="CI412">
        <f>IFERROR(INDEX(PP_Grid[#Data],$DE412,84),0)</f>
        <v/>
      </c>
      <c r="CJ412">
        <f>IFERROR(INDEX(PP_Grid[#Data],$DE412,85),0)</f>
        <v/>
      </c>
      <c r="CK412">
        <f>IFERROR(INDEX(PP_Grid[#Data],$DE412,86),0)</f>
        <v/>
      </c>
      <c r="CL412">
        <f>IFERROR(INDEX(PP_Grid[#Data],$DE412,87),0)</f>
        <v/>
      </c>
      <c r="CM412">
        <f>IFERROR(INDEX(PP_Grid[#Data],$DE412,88),0)</f>
        <v/>
      </c>
      <c r="CN412">
        <f>IFERROR(INDEX(PP_Grid[#Data],$DE412,89),0)</f>
        <v/>
      </c>
      <c r="CO412">
        <f>IFERROR(INDEX(PP_Grid[#Data],$DE412,90),0)</f>
        <v/>
      </c>
      <c r="CP412">
        <f>IFERROR(INDEX(PP_Grid[#Data],$DE412,91),0)</f>
        <v/>
      </c>
      <c r="CQ412">
        <f>IFERROR(INDEX(PP_Grid[#Data],$DE412,92),0)</f>
        <v/>
      </c>
      <c r="CR412">
        <f>IFERROR(INDEX(PP_Grid[#Data],$DE412,93),0)</f>
        <v/>
      </c>
      <c r="CS412">
        <f>IFERROR(INDEX(PP_Grid[#Data],$DE412,94),0)</f>
        <v/>
      </c>
      <c r="CT412">
        <f>IFERROR(INDEX(PP_Grid[#Data],$DE412,95),0)</f>
        <v/>
      </c>
      <c r="CU412">
        <f>IFERROR(INDEX(PP_Grid[#Data],$DE412,96),0)</f>
        <v/>
      </c>
      <c r="CV412">
        <f>IFERROR(INDEX(PP_Grid[#Data],$DE412,97),0)</f>
        <v/>
      </c>
      <c r="CW412">
        <f>IFERROR(INDEX(PP_Grid[#Data],$DE412,98),0)</f>
        <v/>
      </c>
      <c r="CX412">
        <f>IFERROR(INDEX(PP_Grid[#Data],$DE412,99),0)</f>
        <v/>
      </c>
      <c r="CY412">
        <f>IFERROR(INDEX(PP_Grid[#Data],$DE412,100),0)</f>
        <v/>
      </c>
      <c r="CZ412">
        <f>IFERROR(INDEX(PP_Grid[#Data],$DE412,101),0)</f>
        <v/>
      </c>
      <c r="DA412">
        <f>IFERROR(INDEX(PP_Grid[#Data],$DE412,102),0)</f>
        <v/>
      </c>
      <c r="DB412">
        <f>IFERROR(INDEX(PP_Grid[#Data],$DE412,103),0)</f>
        <v/>
      </c>
      <c r="DC412">
        <f>IFERROR(INDEX(PP_Grid[#Data],$DE412,104),0)</f>
        <v/>
      </c>
      <c r="DD412">
        <f>IFERROR(INDEX(PP_Grid[#Data],$DE412,105),0)</f>
        <v/>
      </c>
      <c r="DE412" s="7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SUMIFS(M_BOM[RM_Qty_Per_Batch],M_BOM[Intermediate],$B412,M_BOM[RM_Code],$A325)</f>
        <v/>
      </c>
      <c r="D413">
        <f>IFERROR(INDEX(E413:DD413,$F$1),"")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  <c r="DD413">
        <f>$C413*DD412</f>
        <v/>
      </c>
    </row>
    <row r="414">
      <c r="B414" t="inlineStr">
        <is>
          <t>TSP-929</t>
        </is>
      </c>
      <c r="C414" t="inlineStr">
        <is>
          <t>No. of batches</t>
        </is>
      </c>
      <c r="D414">
        <f>IFERROR(INDEX(E414:DD414,$F$1),"")</f>
        <v/>
      </c>
      <c r="E414">
        <f>IFERROR(INDEX(PP_Grid[#Data],$DE414,2),0)</f>
        <v/>
      </c>
      <c r="F414">
        <f>IFERROR(INDEX(PP_Grid[#Data],$DE414,3),0)</f>
        <v/>
      </c>
      <c r="G414">
        <f>IFERROR(INDEX(PP_Grid[#Data],$DE414,4),0)</f>
        <v/>
      </c>
      <c r="H414">
        <f>IFERROR(INDEX(PP_Grid[#Data],$DE414,5),0)</f>
        <v/>
      </c>
      <c r="I414">
        <f>IFERROR(INDEX(PP_Grid[#Data],$DE414,6),0)</f>
        <v/>
      </c>
      <c r="J414">
        <f>IFERROR(INDEX(PP_Grid[#Data],$DE414,7),0)</f>
        <v/>
      </c>
      <c r="K414">
        <f>IFERROR(INDEX(PP_Grid[#Data],$DE414,8),0)</f>
        <v/>
      </c>
      <c r="L414">
        <f>IFERROR(INDEX(PP_Grid[#Data],$DE414,9),0)</f>
        <v/>
      </c>
      <c r="M414">
        <f>IFERROR(INDEX(PP_Grid[#Data],$DE414,10),0)</f>
        <v/>
      </c>
      <c r="N414">
        <f>IFERROR(INDEX(PP_Grid[#Data],$DE414,11),0)</f>
        <v/>
      </c>
      <c r="O414">
        <f>IFERROR(INDEX(PP_Grid[#Data],$DE414,12),0)</f>
        <v/>
      </c>
      <c r="P414">
        <f>IFERROR(INDEX(PP_Grid[#Data],$DE414,13),0)</f>
        <v/>
      </c>
      <c r="Q414">
        <f>IFERROR(INDEX(PP_Grid[#Data],$DE414,14),0)</f>
        <v/>
      </c>
      <c r="R414">
        <f>IFERROR(INDEX(PP_Grid[#Data],$DE414,15),0)</f>
        <v/>
      </c>
      <c r="S414">
        <f>IFERROR(INDEX(PP_Grid[#Data],$DE414,16),0)</f>
        <v/>
      </c>
      <c r="T414">
        <f>IFERROR(INDEX(PP_Grid[#Data],$DE414,17),0)</f>
        <v/>
      </c>
      <c r="U414">
        <f>IFERROR(INDEX(PP_Grid[#Data],$DE414,18),0)</f>
        <v/>
      </c>
      <c r="V414">
        <f>IFERROR(INDEX(PP_Grid[#Data],$DE414,19),0)</f>
        <v/>
      </c>
      <c r="W414">
        <f>IFERROR(INDEX(PP_Grid[#Data],$DE414,20),0)</f>
        <v/>
      </c>
      <c r="X414">
        <f>IFERROR(INDEX(PP_Grid[#Data],$DE414,21),0)</f>
        <v/>
      </c>
      <c r="Y414">
        <f>IFERROR(INDEX(PP_Grid[#Data],$DE414,22),0)</f>
        <v/>
      </c>
      <c r="Z414">
        <f>IFERROR(INDEX(PP_Grid[#Data],$DE414,23),0)</f>
        <v/>
      </c>
      <c r="AA414">
        <f>IFERROR(INDEX(PP_Grid[#Data],$DE414,24),0)</f>
        <v/>
      </c>
      <c r="AB414">
        <f>IFERROR(INDEX(PP_Grid[#Data],$DE414,25),0)</f>
        <v/>
      </c>
      <c r="AC414">
        <f>IFERROR(INDEX(PP_Grid[#Data],$DE414,26),0)</f>
        <v/>
      </c>
      <c r="AD414">
        <f>IFERROR(INDEX(PP_Grid[#Data],$DE414,27),0)</f>
        <v/>
      </c>
      <c r="AE414">
        <f>IFERROR(INDEX(PP_Grid[#Data],$DE414,28),0)</f>
        <v/>
      </c>
      <c r="AF414">
        <f>IFERROR(INDEX(PP_Grid[#Data],$DE414,29),0)</f>
        <v/>
      </c>
      <c r="AG414">
        <f>IFERROR(INDEX(PP_Grid[#Data],$DE414,30),0)</f>
        <v/>
      </c>
      <c r="AH414">
        <f>IFERROR(INDEX(PP_Grid[#Data],$DE414,31),0)</f>
        <v/>
      </c>
      <c r="AI414">
        <f>IFERROR(INDEX(PP_Grid[#Data],$DE414,32),0)</f>
        <v/>
      </c>
      <c r="AJ414">
        <f>IFERROR(INDEX(PP_Grid[#Data],$DE414,33),0)</f>
        <v/>
      </c>
      <c r="AK414">
        <f>IFERROR(INDEX(PP_Grid[#Data],$DE414,34),0)</f>
        <v/>
      </c>
      <c r="AL414">
        <f>IFERROR(INDEX(PP_Grid[#Data],$DE414,35),0)</f>
        <v/>
      </c>
      <c r="AM414">
        <f>IFERROR(INDEX(PP_Grid[#Data],$DE414,36),0)</f>
        <v/>
      </c>
      <c r="AN414">
        <f>IFERROR(INDEX(PP_Grid[#Data],$DE414,37),0)</f>
        <v/>
      </c>
      <c r="AO414">
        <f>IFERROR(INDEX(PP_Grid[#Data],$DE414,38),0)</f>
        <v/>
      </c>
      <c r="AP414">
        <f>IFERROR(INDEX(PP_Grid[#Data],$DE414,39),0)</f>
        <v/>
      </c>
      <c r="AQ414">
        <f>IFERROR(INDEX(PP_Grid[#Data],$DE414,40),0)</f>
        <v/>
      </c>
      <c r="AR414">
        <f>IFERROR(INDEX(PP_Grid[#Data],$DE414,41),0)</f>
        <v/>
      </c>
      <c r="AS414">
        <f>IFERROR(INDEX(PP_Grid[#Data],$DE414,42),0)</f>
        <v/>
      </c>
      <c r="AT414">
        <f>IFERROR(INDEX(PP_Grid[#Data],$DE414,43),0)</f>
        <v/>
      </c>
      <c r="AU414">
        <f>IFERROR(INDEX(PP_Grid[#Data],$DE414,44),0)</f>
        <v/>
      </c>
      <c r="AV414">
        <f>IFERROR(INDEX(PP_Grid[#Data],$DE414,45),0)</f>
        <v/>
      </c>
      <c r="AW414">
        <f>IFERROR(INDEX(PP_Grid[#Data],$DE414,46),0)</f>
        <v/>
      </c>
      <c r="AX414">
        <f>IFERROR(INDEX(PP_Grid[#Data],$DE414,47),0)</f>
        <v/>
      </c>
      <c r="AY414">
        <f>IFERROR(INDEX(PP_Grid[#Data],$DE414,48),0)</f>
        <v/>
      </c>
      <c r="AZ414">
        <f>IFERROR(INDEX(PP_Grid[#Data],$DE414,49),0)</f>
        <v/>
      </c>
      <c r="BA414">
        <f>IFERROR(INDEX(PP_Grid[#Data],$DE414,50),0)</f>
        <v/>
      </c>
      <c r="BB414">
        <f>IFERROR(INDEX(PP_Grid[#Data],$DE414,51),0)</f>
        <v/>
      </c>
      <c r="BC414">
        <f>IFERROR(INDEX(PP_Grid[#Data],$DE414,52),0)</f>
        <v/>
      </c>
      <c r="BD414">
        <f>IFERROR(INDEX(PP_Grid[#Data],$DE414,53),0)</f>
        <v/>
      </c>
      <c r="BE414">
        <f>IFERROR(INDEX(PP_Grid[#Data],$DE414,54),0)</f>
        <v/>
      </c>
      <c r="BF414">
        <f>IFERROR(INDEX(PP_Grid[#Data],$DE414,55),0)</f>
        <v/>
      </c>
      <c r="BG414">
        <f>IFERROR(INDEX(PP_Grid[#Data],$DE414,56),0)</f>
        <v/>
      </c>
      <c r="BH414">
        <f>IFERROR(INDEX(PP_Grid[#Data],$DE414,57),0)</f>
        <v/>
      </c>
      <c r="BI414">
        <f>IFERROR(INDEX(PP_Grid[#Data],$DE414,58),0)</f>
        <v/>
      </c>
      <c r="BJ414">
        <f>IFERROR(INDEX(PP_Grid[#Data],$DE414,59),0)</f>
        <v/>
      </c>
      <c r="BK414">
        <f>IFERROR(INDEX(PP_Grid[#Data],$DE414,60),0)</f>
        <v/>
      </c>
      <c r="BL414">
        <f>IFERROR(INDEX(PP_Grid[#Data],$DE414,61),0)</f>
        <v/>
      </c>
      <c r="BM414">
        <f>IFERROR(INDEX(PP_Grid[#Data],$DE414,62),0)</f>
        <v/>
      </c>
      <c r="BN414">
        <f>IFERROR(INDEX(PP_Grid[#Data],$DE414,63),0)</f>
        <v/>
      </c>
      <c r="BO414">
        <f>IFERROR(INDEX(PP_Grid[#Data],$DE414,64),0)</f>
        <v/>
      </c>
      <c r="BP414">
        <f>IFERROR(INDEX(PP_Grid[#Data],$DE414,65),0)</f>
        <v/>
      </c>
      <c r="BQ414">
        <f>IFERROR(INDEX(PP_Grid[#Data],$DE414,66),0)</f>
        <v/>
      </c>
      <c r="BR414">
        <f>IFERROR(INDEX(PP_Grid[#Data],$DE414,67),0)</f>
        <v/>
      </c>
      <c r="BS414">
        <f>IFERROR(INDEX(PP_Grid[#Data],$DE414,68),0)</f>
        <v/>
      </c>
      <c r="BT414">
        <f>IFERROR(INDEX(PP_Grid[#Data],$DE414,69),0)</f>
        <v/>
      </c>
      <c r="BU414">
        <f>IFERROR(INDEX(PP_Grid[#Data],$DE414,70),0)</f>
        <v/>
      </c>
      <c r="BV414">
        <f>IFERROR(INDEX(PP_Grid[#Data],$DE414,71),0)</f>
        <v/>
      </c>
      <c r="BW414">
        <f>IFERROR(INDEX(PP_Grid[#Data],$DE414,72),0)</f>
        <v/>
      </c>
      <c r="BX414">
        <f>IFERROR(INDEX(PP_Grid[#Data],$DE414,73),0)</f>
        <v/>
      </c>
      <c r="BY414">
        <f>IFERROR(INDEX(PP_Grid[#Data],$DE414,74),0)</f>
        <v/>
      </c>
      <c r="BZ414">
        <f>IFERROR(INDEX(PP_Grid[#Data],$DE414,75),0)</f>
        <v/>
      </c>
      <c r="CA414">
        <f>IFERROR(INDEX(PP_Grid[#Data],$DE414,76),0)</f>
        <v/>
      </c>
      <c r="CB414">
        <f>IFERROR(INDEX(PP_Grid[#Data],$DE414,77),0)</f>
        <v/>
      </c>
      <c r="CC414">
        <f>IFERROR(INDEX(PP_Grid[#Data],$DE414,78),0)</f>
        <v/>
      </c>
      <c r="CD414">
        <f>IFERROR(INDEX(PP_Grid[#Data],$DE414,79),0)</f>
        <v/>
      </c>
      <c r="CE414">
        <f>IFERROR(INDEX(PP_Grid[#Data],$DE414,80),0)</f>
        <v/>
      </c>
      <c r="CF414">
        <f>IFERROR(INDEX(PP_Grid[#Data],$DE414,81),0)</f>
        <v/>
      </c>
      <c r="CG414">
        <f>IFERROR(INDEX(PP_Grid[#Data],$DE414,82),0)</f>
        <v/>
      </c>
      <c r="CH414">
        <f>IFERROR(INDEX(PP_Grid[#Data],$DE414,83),0)</f>
        <v/>
      </c>
      <c r="CI414">
        <f>IFERROR(INDEX(PP_Grid[#Data],$DE414,84),0)</f>
        <v/>
      </c>
      <c r="CJ414">
        <f>IFERROR(INDEX(PP_Grid[#Data],$DE414,85),0)</f>
        <v/>
      </c>
      <c r="CK414">
        <f>IFERROR(INDEX(PP_Grid[#Data],$DE414,86),0)</f>
        <v/>
      </c>
      <c r="CL414">
        <f>IFERROR(INDEX(PP_Grid[#Data],$DE414,87),0)</f>
        <v/>
      </c>
      <c r="CM414">
        <f>IFERROR(INDEX(PP_Grid[#Data],$DE414,88),0)</f>
        <v/>
      </c>
      <c r="CN414">
        <f>IFERROR(INDEX(PP_Grid[#Data],$DE414,89),0)</f>
        <v/>
      </c>
      <c r="CO414">
        <f>IFERROR(INDEX(PP_Grid[#Data],$DE414,90),0)</f>
        <v/>
      </c>
      <c r="CP414">
        <f>IFERROR(INDEX(PP_Grid[#Data],$DE414,91),0)</f>
        <v/>
      </c>
      <c r="CQ414">
        <f>IFERROR(INDEX(PP_Grid[#Data],$DE414,92),0)</f>
        <v/>
      </c>
      <c r="CR414">
        <f>IFERROR(INDEX(PP_Grid[#Data],$DE414,93),0)</f>
        <v/>
      </c>
      <c r="CS414">
        <f>IFERROR(INDEX(PP_Grid[#Data],$DE414,94),0)</f>
        <v/>
      </c>
      <c r="CT414">
        <f>IFERROR(INDEX(PP_Grid[#Data],$DE414,95),0)</f>
        <v/>
      </c>
      <c r="CU414">
        <f>IFERROR(INDEX(PP_Grid[#Data],$DE414,96),0)</f>
        <v/>
      </c>
      <c r="CV414">
        <f>IFERROR(INDEX(PP_Grid[#Data],$DE414,97),0)</f>
        <v/>
      </c>
      <c r="CW414">
        <f>IFERROR(INDEX(PP_Grid[#Data],$DE414,98),0)</f>
        <v/>
      </c>
      <c r="CX414">
        <f>IFERROR(INDEX(PP_Grid[#Data],$DE414,99),0)</f>
        <v/>
      </c>
      <c r="CY414">
        <f>IFERROR(INDEX(PP_Grid[#Data],$DE414,100),0)</f>
        <v/>
      </c>
      <c r="CZ414">
        <f>IFERROR(INDEX(PP_Grid[#Data],$DE414,101),0)</f>
        <v/>
      </c>
      <c r="DA414">
        <f>IFERROR(INDEX(PP_Grid[#Data],$DE414,102),0)</f>
        <v/>
      </c>
      <c r="DB414">
        <f>IFERROR(INDEX(PP_Grid[#Data],$DE414,103),0)</f>
        <v/>
      </c>
      <c r="DC414">
        <f>IFERROR(INDEX(PP_Grid[#Data],$DE414,104),0)</f>
        <v/>
      </c>
      <c r="DD414">
        <f>IFERROR(INDEX(PP_Grid[#Data],$DE414,105),0)</f>
        <v/>
      </c>
      <c r="DE414" s="7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SUMIFS(M_BOM[RM_Qty_Per_Batch],M_BOM[Intermediate],$B414,M_BOM[RM_Code],$A325)</f>
        <v/>
      </c>
      <c r="D415">
        <f>IFERROR(INDEX(E415:DD415,$F$1),"")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  <c r="DD415">
        <f>$C415*DD414</f>
        <v/>
      </c>
    </row>
    <row r="416">
      <c r="B416" t="inlineStr">
        <is>
          <t>TSP-930</t>
        </is>
      </c>
      <c r="C416" t="inlineStr">
        <is>
          <t>No. of batches</t>
        </is>
      </c>
      <c r="D416">
        <f>IFERROR(INDEX(E416:DD416,$F$1),"")</f>
        <v/>
      </c>
      <c r="E416">
        <f>IFERROR(INDEX(PP_Grid[#Data],$DE416,2),0)</f>
        <v/>
      </c>
      <c r="F416">
        <f>IFERROR(INDEX(PP_Grid[#Data],$DE416,3),0)</f>
        <v/>
      </c>
      <c r="G416">
        <f>IFERROR(INDEX(PP_Grid[#Data],$DE416,4),0)</f>
        <v/>
      </c>
      <c r="H416">
        <f>IFERROR(INDEX(PP_Grid[#Data],$DE416,5),0)</f>
        <v/>
      </c>
      <c r="I416">
        <f>IFERROR(INDEX(PP_Grid[#Data],$DE416,6),0)</f>
        <v/>
      </c>
      <c r="J416">
        <f>IFERROR(INDEX(PP_Grid[#Data],$DE416,7),0)</f>
        <v/>
      </c>
      <c r="K416">
        <f>IFERROR(INDEX(PP_Grid[#Data],$DE416,8),0)</f>
        <v/>
      </c>
      <c r="L416">
        <f>IFERROR(INDEX(PP_Grid[#Data],$DE416,9),0)</f>
        <v/>
      </c>
      <c r="M416">
        <f>IFERROR(INDEX(PP_Grid[#Data],$DE416,10),0)</f>
        <v/>
      </c>
      <c r="N416">
        <f>IFERROR(INDEX(PP_Grid[#Data],$DE416,11),0)</f>
        <v/>
      </c>
      <c r="O416">
        <f>IFERROR(INDEX(PP_Grid[#Data],$DE416,12),0)</f>
        <v/>
      </c>
      <c r="P416">
        <f>IFERROR(INDEX(PP_Grid[#Data],$DE416,13),0)</f>
        <v/>
      </c>
      <c r="Q416">
        <f>IFERROR(INDEX(PP_Grid[#Data],$DE416,14),0)</f>
        <v/>
      </c>
      <c r="R416">
        <f>IFERROR(INDEX(PP_Grid[#Data],$DE416,15),0)</f>
        <v/>
      </c>
      <c r="S416">
        <f>IFERROR(INDEX(PP_Grid[#Data],$DE416,16),0)</f>
        <v/>
      </c>
      <c r="T416">
        <f>IFERROR(INDEX(PP_Grid[#Data],$DE416,17),0)</f>
        <v/>
      </c>
      <c r="U416">
        <f>IFERROR(INDEX(PP_Grid[#Data],$DE416,18),0)</f>
        <v/>
      </c>
      <c r="V416">
        <f>IFERROR(INDEX(PP_Grid[#Data],$DE416,19),0)</f>
        <v/>
      </c>
      <c r="W416">
        <f>IFERROR(INDEX(PP_Grid[#Data],$DE416,20),0)</f>
        <v/>
      </c>
      <c r="X416">
        <f>IFERROR(INDEX(PP_Grid[#Data],$DE416,21),0)</f>
        <v/>
      </c>
      <c r="Y416">
        <f>IFERROR(INDEX(PP_Grid[#Data],$DE416,22),0)</f>
        <v/>
      </c>
      <c r="Z416">
        <f>IFERROR(INDEX(PP_Grid[#Data],$DE416,23),0)</f>
        <v/>
      </c>
      <c r="AA416">
        <f>IFERROR(INDEX(PP_Grid[#Data],$DE416,24),0)</f>
        <v/>
      </c>
      <c r="AB416">
        <f>IFERROR(INDEX(PP_Grid[#Data],$DE416,25),0)</f>
        <v/>
      </c>
      <c r="AC416">
        <f>IFERROR(INDEX(PP_Grid[#Data],$DE416,26),0)</f>
        <v/>
      </c>
      <c r="AD416">
        <f>IFERROR(INDEX(PP_Grid[#Data],$DE416,27),0)</f>
        <v/>
      </c>
      <c r="AE416">
        <f>IFERROR(INDEX(PP_Grid[#Data],$DE416,28),0)</f>
        <v/>
      </c>
      <c r="AF416">
        <f>IFERROR(INDEX(PP_Grid[#Data],$DE416,29),0)</f>
        <v/>
      </c>
      <c r="AG416">
        <f>IFERROR(INDEX(PP_Grid[#Data],$DE416,30),0)</f>
        <v/>
      </c>
      <c r="AH416">
        <f>IFERROR(INDEX(PP_Grid[#Data],$DE416,31),0)</f>
        <v/>
      </c>
      <c r="AI416">
        <f>IFERROR(INDEX(PP_Grid[#Data],$DE416,32),0)</f>
        <v/>
      </c>
      <c r="AJ416">
        <f>IFERROR(INDEX(PP_Grid[#Data],$DE416,33),0)</f>
        <v/>
      </c>
      <c r="AK416">
        <f>IFERROR(INDEX(PP_Grid[#Data],$DE416,34),0)</f>
        <v/>
      </c>
      <c r="AL416">
        <f>IFERROR(INDEX(PP_Grid[#Data],$DE416,35),0)</f>
        <v/>
      </c>
      <c r="AM416">
        <f>IFERROR(INDEX(PP_Grid[#Data],$DE416,36),0)</f>
        <v/>
      </c>
      <c r="AN416">
        <f>IFERROR(INDEX(PP_Grid[#Data],$DE416,37),0)</f>
        <v/>
      </c>
      <c r="AO416">
        <f>IFERROR(INDEX(PP_Grid[#Data],$DE416,38),0)</f>
        <v/>
      </c>
      <c r="AP416">
        <f>IFERROR(INDEX(PP_Grid[#Data],$DE416,39),0)</f>
        <v/>
      </c>
      <c r="AQ416">
        <f>IFERROR(INDEX(PP_Grid[#Data],$DE416,40),0)</f>
        <v/>
      </c>
      <c r="AR416">
        <f>IFERROR(INDEX(PP_Grid[#Data],$DE416,41),0)</f>
        <v/>
      </c>
      <c r="AS416">
        <f>IFERROR(INDEX(PP_Grid[#Data],$DE416,42),0)</f>
        <v/>
      </c>
      <c r="AT416">
        <f>IFERROR(INDEX(PP_Grid[#Data],$DE416,43),0)</f>
        <v/>
      </c>
      <c r="AU416">
        <f>IFERROR(INDEX(PP_Grid[#Data],$DE416,44),0)</f>
        <v/>
      </c>
      <c r="AV416">
        <f>IFERROR(INDEX(PP_Grid[#Data],$DE416,45),0)</f>
        <v/>
      </c>
      <c r="AW416">
        <f>IFERROR(INDEX(PP_Grid[#Data],$DE416,46),0)</f>
        <v/>
      </c>
      <c r="AX416">
        <f>IFERROR(INDEX(PP_Grid[#Data],$DE416,47),0)</f>
        <v/>
      </c>
      <c r="AY416">
        <f>IFERROR(INDEX(PP_Grid[#Data],$DE416,48),0)</f>
        <v/>
      </c>
      <c r="AZ416">
        <f>IFERROR(INDEX(PP_Grid[#Data],$DE416,49),0)</f>
        <v/>
      </c>
      <c r="BA416">
        <f>IFERROR(INDEX(PP_Grid[#Data],$DE416,50),0)</f>
        <v/>
      </c>
      <c r="BB416">
        <f>IFERROR(INDEX(PP_Grid[#Data],$DE416,51),0)</f>
        <v/>
      </c>
      <c r="BC416">
        <f>IFERROR(INDEX(PP_Grid[#Data],$DE416,52),0)</f>
        <v/>
      </c>
      <c r="BD416">
        <f>IFERROR(INDEX(PP_Grid[#Data],$DE416,53),0)</f>
        <v/>
      </c>
      <c r="BE416">
        <f>IFERROR(INDEX(PP_Grid[#Data],$DE416,54),0)</f>
        <v/>
      </c>
      <c r="BF416">
        <f>IFERROR(INDEX(PP_Grid[#Data],$DE416,55),0)</f>
        <v/>
      </c>
      <c r="BG416">
        <f>IFERROR(INDEX(PP_Grid[#Data],$DE416,56),0)</f>
        <v/>
      </c>
      <c r="BH416">
        <f>IFERROR(INDEX(PP_Grid[#Data],$DE416,57),0)</f>
        <v/>
      </c>
      <c r="BI416">
        <f>IFERROR(INDEX(PP_Grid[#Data],$DE416,58),0)</f>
        <v/>
      </c>
      <c r="BJ416">
        <f>IFERROR(INDEX(PP_Grid[#Data],$DE416,59),0)</f>
        <v/>
      </c>
      <c r="BK416">
        <f>IFERROR(INDEX(PP_Grid[#Data],$DE416,60),0)</f>
        <v/>
      </c>
      <c r="BL416">
        <f>IFERROR(INDEX(PP_Grid[#Data],$DE416,61),0)</f>
        <v/>
      </c>
      <c r="BM416">
        <f>IFERROR(INDEX(PP_Grid[#Data],$DE416,62),0)</f>
        <v/>
      </c>
      <c r="BN416">
        <f>IFERROR(INDEX(PP_Grid[#Data],$DE416,63),0)</f>
        <v/>
      </c>
      <c r="BO416">
        <f>IFERROR(INDEX(PP_Grid[#Data],$DE416,64),0)</f>
        <v/>
      </c>
      <c r="BP416">
        <f>IFERROR(INDEX(PP_Grid[#Data],$DE416,65),0)</f>
        <v/>
      </c>
      <c r="BQ416">
        <f>IFERROR(INDEX(PP_Grid[#Data],$DE416,66),0)</f>
        <v/>
      </c>
      <c r="BR416">
        <f>IFERROR(INDEX(PP_Grid[#Data],$DE416,67),0)</f>
        <v/>
      </c>
      <c r="BS416">
        <f>IFERROR(INDEX(PP_Grid[#Data],$DE416,68),0)</f>
        <v/>
      </c>
      <c r="BT416">
        <f>IFERROR(INDEX(PP_Grid[#Data],$DE416,69),0)</f>
        <v/>
      </c>
      <c r="BU416">
        <f>IFERROR(INDEX(PP_Grid[#Data],$DE416,70),0)</f>
        <v/>
      </c>
      <c r="BV416">
        <f>IFERROR(INDEX(PP_Grid[#Data],$DE416,71),0)</f>
        <v/>
      </c>
      <c r="BW416">
        <f>IFERROR(INDEX(PP_Grid[#Data],$DE416,72),0)</f>
        <v/>
      </c>
      <c r="BX416">
        <f>IFERROR(INDEX(PP_Grid[#Data],$DE416,73),0)</f>
        <v/>
      </c>
      <c r="BY416">
        <f>IFERROR(INDEX(PP_Grid[#Data],$DE416,74),0)</f>
        <v/>
      </c>
      <c r="BZ416">
        <f>IFERROR(INDEX(PP_Grid[#Data],$DE416,75),0)</f>
        <v/>
      </c>
      <c r="CA416">
        <f>IFERROR(INDEX(PP_Grid[#Data],$DE416,76),0)</f>
        <v/>
      </c>
      <c r="CB416">
        <f>IFERROR(INDEX(PP_Grid[#Data],$DE416,77),0)</f>
        <v/>
      </c>
      <c r="CC416">
        <f>IFERROR(INDEX(PP_Grid[#Data],$DE416,78),0)</f>
        <v/>
      </c>
      <c r="CD416">
        <f>IFERROR(INDEX(PP_Grid[#Data],$DE416,79),0)</f>
        <v/>
      </c>
      <c r="CE416">
        <f>IFERROR(INDEX(PP_Grid[#Data],$DE416,80),0)</f>
        <v/>
      </c>
      <c r="CF416">
        <f>IFERROR(INDEX(PP_Grid[#Data],$DE416,81),0)</f>
        <v/>
      </c>
      <c r="CG416">
        <f>IFERROR(INDEX(PP_Grid[#Data],$DE416,82),0)</f>
        <v/>
      </c>
      <c r="CH416">
        <f>IFERROR(INDEX(PP_Grid[#Data],$DE416,83),0)</f>
        <v/>
      </c>
      <c r="CI416">
        <f>IFERROR(INDEX(PP_Grid[#Data],$DE416,84),0)</f>
        <v/>
      </c>
      <c r="CJ416">
        <f>IFERROR(INDEX(PP_Grid[#Data],$DE416,85),0)</f>
        <v/>
      </c>
      <c r="CK416">
        <f>IFERROR(INDEX(PP_Grid[#Data],$DE416,86),0)</f>
        <v/>
      </c>
      <c r="CL416">
        <f>IFERROR(INDEX(PP_Grid[#Data],$DE416,87),0)</f>
        <v/>
      </c>
      <c r="CM416">
        <f>IFERROR(INDEX(PP_Grid[#Data],$DE416,88),0)</f>
        <v/>
      </c>
      <c r="CN416">
        <f>IFERROR(INDEX(PP_Grid[#Data],$DE416,89),0)</f>
        <v/>
      </c>
      <c r="CO416">
        <f>IFERROR(INDEX(PP_Grid[#Data],$DE416,90),0)</f>
        <v/>
      </c>
      <c r="CP416">
        <f>IFERROR(INDEX(PP_Grid[#Data],$DE416,91),0)</f>
        <v/>
      </c>
      <c r="CQ416">
        <f>IFERROR(INDEX(PP_Grid[#Data],$DE416,92),0)</f>
        <v/>
      </c>
      <c r="CR416">
        <f>IFERROR(INDEX(PP_Grid[#Data],$DE416,93),0)</f>
        <v/>
      </c>
      <c r="CS416">
        <f>IFERROR(INDEX(PP_Grid[#Data],$DE416,94),0)</f>
        <v/>
      </c>
      <c r="CT416">
        <f>IFERROR(INDEX(PP_Grid[#Data],$DE416,95),0)</f>
        <v/>
      </c>
      <c r="CU416">
        <f>IFERROR(INDEX(PP_Grid[#Data],$DE416,96),0)</f>
        <v/>
      </c>
      <c r="CV416">
        <f>IFERROR(INDEX(PP_Grid[#Data],$DE416,97),0)</f>
        <v/>
      </c>
      <c r="CW416">
        <f>IFERROR(INDEX(PP_Grid[#Data],$DE416,98),0)</f>
        <v/>
      </c>
      <c r="CX416">
        <f>IFERROR(INDEX(PP_Grid[#Data],$DE416,99),0)</f>
        <v/>
      </c>
      <c r="CY416">
        <f>IFERROR(INDEX(PP_Grid[#Data],$DE416,100),0)</f>
        <v/>
      </c>
      <c r="CZ416">
        <f>IFERROR(INDEX(PP_Grid[#Data],$DE416,101),0)</f>
        <v/>
      </c>
      <c r="DA416">
        <f>IFERROR(INDEX(PP_Grid[#Data],$DE416,102),0)</f>
        <v/>
      </c>
      <c r="DB416">
        <f>IFERROR(INDEX(PP_Grid[#Data],$DE416,103),0)</f>
        <v/>
      </c>
      <c r="DC416">
        <f>IFERROR(INDEX(PP_Grid[#Data],$DE416,104),0)</f>
        <v/>
      </c>
      <c r="DD416">
        <f>IFERROR(INDEX(PP_Grid[#Data],$DE416,105),0)</f>
        <v/>
      </c>
      <c r="DE416" s="7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SUMIFS(M_BOM[RM_Qty_Per_Batch],M_BOM[Intermediate],$B416,M_BOM[RM_Code],$A325)</f>
        <v/>
      </c>
      <c r="D417">
        <f>IFERROR(INDEX(E417:DD417,$F$1),"")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  <c r="DD417">
        <f>$C417*DD416</f>
        <v/>
      </c>
    </row>
    <row r="418">
      <c r="B418" t="inlineStr">
        <is>
          <t>TSP-934</t>
        </is>
      </c>
      <c r="C418" t="inlineStr">
        <is>
          <t>No. of batches</t>
        </is>
      </c>
      <c r="D418">
        <f>IFERROR(INDEX(E418:DD418,$F$1),"")</f>
        <v/>
      </c>
      <c r="E418">
        <f>IFERROR(INDEX(PP_Grid[#Data],$DE418,2),0)</f>
        <v/>
      </c>
      <c r="F418">
        <f>IFERROR(INDEX(PP_Grid[#Data],$DE418,3),0)</f>
        <v/>
      </c>
      <c r="G418">
        <f>IFERROR(INDEX(PP_Grid[#Data],$DE418,4),0)</f>
        <v/>
      </c>
      <c r="H418">
        <f>IFERROR(INDEX(PP_Grid[#Data],$DE418,5),0)</f>
        <v/>
      </c>
      <c r="I418">
        <f>IFERROR(INDEX(PP_Grid[#Data],$DE418,6),0)</f>
        <v/>
      </c>
      <c r="J418">
        <f>IFERROR(INDEX(PP_Grid[#Data],$DE418,7),0)</f>
        <v/>
      </c>
      <c r="K418">
        <f>IFERROR(INDEX(PP_Grid[#Data],$DE418,8),0)</f>
        <v/>
      </c>
      <c r="L418">
        <f>IFERROR(INDEX(PP_Grid[#Data],$DE418,9),0)</f>
        <v/>
      </c>
      <c r="M418">
        <f>IFERROR(INDEX(PP_Grid[#Data],$DE418,10),0)</f>
        <v/>
      </c>
      <c r="N418">
        <f>IFERROR(INDEX(PP_Grid[#Data],$DE418,11),0)</f>
        <v/>
      </c>
      <c r="O418">
        <f>IFERROR(INDEX(PP_Grid[#Data],$DE418,12),0)</f>
        <v/>
      </c>
      <c r="P418">
        <f>IFERROR(INDEX(PP_Grid[#Data],$DE418,13),0)</f>
        <v/>
      </c>
      <c r="Q418">
        <f>IFERROR(INDEX(PP_Grid[#Data],$DE418,14),0)</f>
        <v/>
      </c>
      <c r="R418">
        <f>IFERROR(INDEX(PP_Grid[#Data],$DE418,15),0)</f>
        <v/>
      </c>
      <c r="S418">
        <f>IFERROR(INDEX(PP_Grid[#Data],$DE418,16),0)</f>
        <v/>
      </c>
      <c r="T418">
        <f>IFERROR(INDEX(PP_Grid[#Data],$DE418,17),0)</f>
        <v/>
      </c>
      <c r="U418">
        <f>IFERROR(INDEX(PP_Grid[#Data],$DE418,18),0)</f>
        <v/>
      </c>
      <c r="V418">
        <f>IFERROR(INDEX(PP_Grid[#Data],$DE418,19),0)</f>
        <v/>
      </c>
      <c r="W418">
        <f>IFERROR(INDEX(PP_Grid[#Data],$DE418,20),0)</f>
        <v/>
      </c>
      <c r="X418">
        <f>IFERROR(INDEX(PP_Grid[#Data],$DE418,21),0)</f>
        <v/>
      </c>
      <c r="Y418">
        <f>IFERROR(INDEX(PP_Grid[#Data],$DE418,22),0)</f>
        <v/>
      </c>
      <c r="Z418">
        <f>IFERROR(INDEX(PP_Grid[#Data],$DE418,23),0)</f>
        <v/>
      </c>
      <c r="AA418">
        <f>IFERROR(INDEX(PP_Grid[#Data],$DE418,24),0)</f>
        <v/>
      </c>
      <c r="AB418">
        <f>IFERROR(INDEX(PP_Grid[#Data],$DE418,25),0)</f>
        <v/>
      </c>
      <c r="AC418">
        <f>IFERROR(INDEX(PP_Grid[#Data],$DE418,26),0)</f>
        <v/>
      </c>
      <c r="AD418">
        <f>IFERROR(INDEX(PP_Grid[#Data],$DE418,27),0)</f>
        <v/>
      </c>
      <c r="AE418">
        <f>IFERROR(INDEX(PP_Grid[#Data],$DE418,28),0)</f>
        <v/>
      </c>
      <c r="AF418">
        <f>IFERROR(INDEX(PP_Grid[#Data],$DE418,29),0)</f>
        <v/>
      </c>
      <c r="AG418">
        <f>IFERROR(INDEX(PP_Grid[#Data],$DE418,30),0)</f>
        <v/>
      </c>
      <c r="AH418">
        <f>IFERROR(INDEX(PP_Grid[#Data],$DE418,31),0)</f>
        <v/>
      </c>
      <c r="AI418">
        <f>IFERROR(INDEX(PP_Grid[#Data],$DE418,32),0)</f>
        <v/>
      </c>
      <c r="AJ418">
        <f>IFERROR(INDEX(PP_Grid[#Data],$DE418,33),0)</f>
        <v/>
      </c>
      <c r="AK418">
        <f>IFERROR(INDEX(PP_Grid[#Data],$DE418,34),0)</f>
        <v/>
      </c>
      <c r="AL418">
        <f>IFERROR(INDEX(PP_Grid[#Data],$DE418,35),0)</f>
        <v/>
      </c>
      <c r="AM418">
        <f>IFERROR(INDEX(PP_Grid[#Data],$DE418,36),0)</f>
        <v/>
      </c>
      <c r="AN418">
        <f>IFERROR(INDEX(PP_Grid[#Data],$DE418,37),0)</f>
        <v/>
      </c>
      <c r="AO418">
        <f>IFERROR(INDEX(PP_Grid[#Data],$DE418,38),0)</f>
        <v/>
      </c>
      <c r="AP418">
        <f>IFERROR(INDEX(PP_Grid[#Data],$DE418,39),0)</f>
        <v/>
      </c>
      <c r="AQ418">
        <f>IFERROR(INDEX(PP_Grid[#Data],$DE418,40),0)</f>
        <v/>
      </c>
      <c r="AR418">
        <f>IFERROR(INDEX(PP_Grid[#Data],$DE418,41),0)</f>
        <v/>
      </c>
      <c r="AS418">
        <f>IFERROR(INDEX(PP_Grid[#Data],$DE418,42),0)</f>
        <v/>
      </c>
      <c r="AT418">
        <f>IFERROR(INDEX(PP_Grid[#Data],$DE418,43),0)</f>
        <v/>
      </c>
      <c r="AU418">
        <f>IFERROR(INDEX(PP_Grid[#Data],$DE418,44),0)</f>
        <v/>
      </c>
      <c r="AV418">
        <f>IFERROR(INDEX(PP_Grid[#Data],$DE418,45),0)</f>
        <v/>
      </c>
      <c r="AW418">
        <f>IFERROR(INDEX(PP_Grid[#Data],$DE418,46),0)</f>
        <v/>
      </c>
      <c r="AX418">
        <f>IFERROR(INDEX(PP_Grid[#Data],$DE418,47),0)</f>
        <v/>
      </c>
      <c r="AY418">
        <f>IFERROR(INDEX(PP_Grid[#Data],$DE418,48),0)</f>
        <v/>
      </c>
      <c r="AZ418">
        <f>IFERROR(INDEX(PP_Grid[#Data],$DE418,49),0)</f>
        <v/>
      </c>
      <c r="BA418">
        <f>IFERROR(INDEX(PP_Grid[#Data],$DE418,50),0)</f>
        <v/>
      </c>
      <c r="BB418">
        <f>IFERROR(INDEX(PP_Grid[#Data],$DE418,51),0)</f>
        <v/>
      </c>
      <c r="BC418">
        <f>IFERROR(INDEX(PP_Grid[#Data],$DE418,52),0)</f>
        <v/>
      </c>
      <c r="BD418">
        <f>IFERROR(INDEX(PP_Grid[#Data],$DE418,53),0)</f>
        <v/>
      </c>
      <c r="BE418">
        <f>IFERROR(INDEX(PP_Grid[#Data],$DE418,54),0)</f>
        <v/>
      </c>
      <c r="BF418">
        <f>IFERROR(INDEX(PP_Grid[#Data],$DE418,55),0)</f>
        <v/>
      </c>
      <c r="BG418">
        <f>IFERROR(INDEX(PP_Grid[#Data],$DE418,56),0)</f>
        <v/>
      </c>
      <c r="BH418">
        <f>IFERROR(INDEX(PP_Grid[#Data],$DE418,57),0)</f>
        <v/>
      </c>
      <c r="BI418">
        <f>IFERROR(INDEX(PP_Grid[#Data],$DE418,58),0)</f>
        <v/>
      </c>
      <c r="BJ418">
        <f>IFERROR(INDEX(PP_Grid[#Data],$DE418,59),0)</f>
        <v/>
      </c>
      <c r="BK418">
        <f>IFERROR(INDEX(PP_Grid[#Data],$DE418,60),0)</f>
        <v/>
      </c>
      <c r="BL418">
        <f>IFERROR(INDEX(PP_Grid[#Data],$DE418,61),0)</f>
        <v/>
      </c>
      <c r="BM418">
        <f>IFERROR(INDEX(PP_Grid[#Data],$DE418,62),0)</f>
        <v/>
      </c>
      <c r="BN418">
        <f>IFERROR(INDEX(PP_Grid[#Data],$DE418,63),0)</f>
        <v/>
      </c>
      <c r="BO418">
        <f>IFERROR(INDEX(PP_Grid[#Data],$DE418,64),0)</f>
        <v/>
      </c>
      <c r="BP418">
        <f>IFERROR(INDEX(PP_Grid[#Data],$DE418,65),0)</f>
        <v/>
      </c>
      <c r="BQ418">
        <f>IFERROR(INDEX(PP_Grid[#Data],$DE418,66),0)</f>
        <v/>
      </c>
      <c r="BR418">
        <f>IFERROR(INDEX(PP_Grid[#Data],$DE418,67),0)</f>
        <v/>
      </c>
      <c r="BS418">
        <f>IFERROR(INDEX(PP_Grid[#Data],$DE418,68),0)</f>
        <v/>
      </c>
      <c r="BT418">
        <f>IFERROR(INDEX(PP_Grid[#Data],$DE418,69),0)</f>
        <v/>
      </c>
      <c r="BU418">
        <f>IFERROR(INDEX(PP_Grid[#Data],$DE418,70),0)</f>
        <v/>
      </c>
      <c r="BV418">
        <f>IFERROR(INDEX(PP_Grid[#Data],$DE418,71),0)</f>
        <v/>
      </c>
      <c r="BW418">
        <f>IFERROR(INDEX(PP_Grid[#Data],$DE418,72),0)</f>
        <v/>
      </c>
      <c r="BX418">
        <f>IFERROR(INDEX(PP_Grid[#Data],$DE418,73),0)</f>
        <v/>
      </c>
      <c r="BY418">
        <f>IFERROR(INDEX(PP_Grid[#Data],$DE418,74),0)</f>
        <v/>
      </c>
      <c r="BZ418">
        <f>IFERROR(INDEX(PP_Grid[#Data],$DE418,75),0)</f>
        <v/>
      </c>
      <c r="CA418">
        <f>IFERROR(INDEX(PP_Grid[#Data],$DE418,76),0)</f>
        <v/>
      </c>
      <c r="CB418">
        <f>IFERROR(INDEX(PP_Grid[#Data],$DE418,77),0)</f>
        <v/>
      </c>
      <c r="CC418">
        <f>IFERROR(INDEX(PP_Grid[#Data],$DE418,78),0)</f>
        <v/>
      </c>
      <c r="CD418">
        <f>IFERROR(INDEX(PP_Grid[#Data],$DE418,79),0)</f>
        <v/>
      </c>
      <c r="CE418">
        <f>IFERROR(INDEX(PP_Grid[#Data],$DE418,80),0)</f>
        <v/>
      </c>
      <c r="CF418">
        <f>IFERROR(INDEX(PP_Grid[#Data],$DE418,81),0)</f>
        <v/>
      </c>
      <c r="CG418">
        <f>IFERROR(INDEX(PP_Grid[#Data],$DE418,82),0)</f>
        <v/>
      </c>
      <c r="CH418">
        <f>IFERROR(INDEX(PP_Grid[#Data],$DE418,83),0)</f>
        <v/>
      </c>
      <c r="CI418">
        <f>IFERROR(INDEX(PP_Grid[#Data],$DE418,84),0)</f>
        <v/>
      </c>
      <c r="CJ418">
        <f>IFERROR(INDEX(PP_Grid[#Data],$DE418,85),0)</f>
        <v/>
      </c>
      <c r="CK418">
        <f>IFERROR(INDEX(PP_Grid[#Data],$DE418,86),0)</f>
        <v/>
      </c>
      <c r="CL418">
        <f>IFERROR(INDEX(PP_Grid[#Data],$DE418,87),0)</f>
        <v/>
      </c>
      <c r="CM418">
        <f>IFERROR(INDEX(PP_Grid[#Data],$DE418,88),0)</f>
        <v/>
      </c>
      <c r="CN418">
        <f>IFERROR(INDEX(PP_Grid[#Data],$DE418,89),0)</f>
        <v/>
      </c>
      <c r="CO418">
        <f>IFERROR(INDEX(PP_Grid[#Data],$DE418,90),0)</f>
        <v/>
      </c>
      <c r="CP418">
        <f>IFERROR(INDEX(PP_Grid[#Data],$DE418,91),0)</f>
        <v/>
      </c>
      <c r="CQ418">
        <f>IFERROR(INDEX(PP_Grid[#Data],$DE418,92),0)</f>
        <v/>
      </c>
      <c r="CR418">
        <f>IFERROR(INDEX(PP_Grid[#Data],$DE418,93),0)</f>
        <v/>
      </c>
      <c r="CS418">
        <f>IFERROR(INDEX(PP_Grid[#Data],$DE418,94),0)</f>
        <v/>
      </c>
      <c r="CT418">
        <f>IFERROR(INDEX(PP_Grid[#Data],$DE418,95),0)</f>
        <v/>
      </c>
      <c r="CU418">
        <f>IFERROR(INDEX(PP_Grid[#Data],$DE418,96),0)</f>
        <v/>
      </c>
      <c r="CV418">
        <f>IFERROR(INDEX(PP_Grid[#Data],$DE418,97),0)</f>
        <v/>
      </c>
      <c r="CW418">
        <f>IFERROR(INDEX(PP_Grid[#Data],$DE418,98),0)</f>
        <v/>
      </c>
      <c r="CX418">
        <f>IFERROR(INDEX(PP_Grid[#Data],$DE418,99),0)</f>
        <v/>
      </c>
      <c r="CY418">
        <f>IFERROR(INDEX(PP_Grid[#Data],$DE418,100),0)</f>
        <v/>
      </c>
      <c r="CZ418">
        <f>IFERROR(INDEX(PP_Grid[#Data],$DE418,101),0)</f>
        <v/>
      </c>
      <c r="DA418">
        <f>IFERROR(INDEX(PP_Grid[#Data],$DE418,102),0)</f>
        <v/>
      </c>
      <c r="DB418">
        <f>IFERROR(INDEX(PP_Grid[#Data],$DE418,103),0)</f>
        <v/>
      </c>
      <c r="DC418">
        <f>IFERROR(INDEX(PP_Grid[#Data],$DE418,104),0)</f>
        <v/>
      </c>
      <c r="DD418">
        <f>IFERROR(INDEX(PP_Grid[#Data],$DE418,105),0)</f>
        <v/>
      </c>
      <c r="DE418" s="7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SUMIFS(M_BOM[RM_Qty_Per_Batch],M_BOM[Intermediate],$B418,M_BOM[RM_Code],$A325)</f>
        <v/>
      </c>
      <c r="D419">
        <f>IFERROR(INDEX(E419:DD419,$F$1),"")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  <c r="DD419">
        <f>$C419*DD418</f>
        <v/>
      </c>
    </row>
    <row r="420">
      <c r="B420" t="inlineStr">
        <is>
          <t>TSP-935</t>
        </is>
      </c>
      <c r="C420" t="inlineStr">
        <is>
          <t>No. of batches</t>
        </is>
      </c>
      <c r="D420">
        <f>IFERROR(INDEX(E420:DD420,$F$1),"")</f>
        <v/>
      </c>
      <c r="E420">
        <f>IFERROR(INDEX(PP_Grid[#Data],$DE420,2),0)</f>
        <v/>
      </c>
      <c r="F420">
        <f>IFERROR(INDEX(PP_Grid[#Data],$DE420,3),0)</f>
        <v/>
      </c>
      <c r="G420">
        <f>IFERROR(INDEX(PP_Grid[#Data],$DE420,4),0)</f>
        <v/>
      </c>
      <c r="H420">
        <f>IFERROR(INDEX(PP_Grid[#Data],$DE420,5),0)</f>
        <v/>
      </c>
      <c r="I420">
        <f>IFERROR(INDEX(PP_Grid[#Data],$DE420,6),0)</f>
        <v/>
      </c>
      <c r="J420">
        <f>IFERROR(INDEX(PP_Grid[#Data],$DE420,7),0)</f>
        <v/>
      </c>
      <c r="K420">
        <f>IFERROR(INDEX(PP_Grid[#Data],$DE420,8),0)</f>
        <v/>
      </c>
      <c r="L420">
        <f>IFERROR(INDEX(PP_Grid[#Data],$DE420,9),0)</f>
        <v/>
      </c>
      <c r="M420">
        <f>IFERROR(INDEX(PP_Grid[#Data],$DE420,10),0)</f>
        <v/>
      </c>
      <c r="N420">
        <f>IFERROR(INDEX(PP_Grid[#Data],$DE420,11),0)</f>
        <v/>
      </c>
      <c r="O420">
        <f>IFERROR(INDEX(PP_Grid[#Data],$DE420,12),0)</f>
        <v/>
      </c>
      <c r="P420">
        <f>IFERROR(INDEX(PP_Grid[#Data],$DE420,13),0)</f>
        <v/>
      </c>
      <c r="Q420">
        <f>IFERROR(INDEX(PP_Grid[#Data],$DE420,14),0)</f>
        <v/>
      </c>
      <c r="R420">
        <f>IFERROR(INDEX(PP_Grid[#Data],$DE420,15),0)</f>
        <v/>
      </c>
      <c r="S420">
        <f>IFERROR(INDEX(PP_Grid[#Data],$DE420,16),0)</f>
        <v/>
      </c>
      <c r="T420">
        <f>IFERROR(INDEX(PP_Grid[#Data],$DE420,17),0)</f>
        <v/>
      </c>
      <c r="U420">
        <f>IFERROR(INDEX(PP_Grid[#Data],$DE420,18),0)</f>
        <v/>
      </c>
      <c r="V420">
        <f>IFERROR(INDEX(PP_Grid[#Data],$DE420,19),0)</f>
        <v/>
      </c>
      <c r="W420">
        <f>IFERROR(INDEX(PP_Grid[#Data],$DE420,20),0)</f>
        <v/>
      </c>
      <c r="X420">
        <f>IFERROR(INDEX(PP_Grid[#Data],$DE420,21),0)</f>
        <v/>
      </c>
      <c r="Y420">
        <f>IFERROR(INDEX(PP_Grid[#Data],$DE420,22),0)</f>
        <v/>
      </c>
      <c r="Z420">
        <f>IFERROR(INDEX(PP_Grid[#Data],$DE420,23),0)</f>
        <v/>
      </c>
      <c r="AA420">
        <f>IFERROR(INDEX(PP_Grid[#Data],$DE420,24),0)</f>
        <v/>
      </c>
      <c r="AB420">
        <f>IFERROR(INDEX(PP_Grid[#Data],$DE420,25),0)</f>
        <v/>
      </c>
      <c r="AC420">
        <f>IFERROR(INDEX(PP_Grid[#Data],$DE420,26),0)</f>
        <v/>
      </c>
      <c r="AD420">
        <f>IFERROR(INDEX(PP_Grid[#Data],$DE420,27),0)</f>
        <v/>
      </c>
      <c r="AE420">
        <f>IFERROR(INDEX(PP_Grid[#Data],$DE420,28),0)</f>
        <v/>
      </c>
      <c r="AF420">
        <f>IFERROR(INDEX(PP_Grid[#Data],$DE420,29),0)</f>
        <v/>
      </c>
      <c r="AG420">
        <f>IFERROR(INDEX(PP_Grid[#Data],$DE420,30),0)</f>
        <v/>
      </c>
      <c r="AH420">
        <f>IFERROR(INDEX(PP_Grid[#Data],$DE420,31),0)</f>
        <v/>
      </c>
      <c r="AI420">
        <f>IFERROR(INDEX(PP_Grid[#Data],$DE420,32),0)</f>
        <v/>
      </c>
      <c r="AJ420">
        <f>IFERROR(INDEX(PP_Grid[#Data],$DE420,33),0)</f>
        <v/>
      </c>
      <c r="AK420">
        <f>IFERROR(INDEX(PP_Grid[#Data],$DE420,34),0)</f>
        <v/>
      </c>
      <c r="AL420">
        <f>IFERROR(INDEX(PP_Grid[#Data],$DE420,35),0)</f>
        <v/>
      </c>
      <c r="AM420">
        <f>IFERROR(INDEX(PP_Grid[#Data],$DE420,36),0)</f>
        <v/>
      </c>
      <c r="AN420">
        <f>IFERROR(INDEX(PP_Grid[#Data],$DE420,37),0)</f>
        <v/>
      </c>
      <c r="AO420">
        <f>IFERROR(INDEX(PP_Grid[#Data],$DE420,38),0)</f>
        <v/>
      </c>
      <c r="AP420">
        <f>IFERROR(INDEX(PP_Grid[#Data],$DE420,39),0)</f>
        <v/>
      </c>
      <c r="AQ420">
        <f>IFERROR(INDEX(PP_Grid[#Data],$DE420,40),0)</f>
        <v/>
      </c>
      <c r="AR420">
        <f>IFERROR(INDEX(PP_Grid[#Data],$DE420,41),0)</f>
        <v/>
      </c>
      <c r="AS420">
        <f>IFERROR(INDEX(PP_Grid[#Data],$DE420,42),0)</f>
        <v/>
      </c>
      <c r="AT420">
        <f>IFERROR(INDEX(PP_Grid[#Data],$DE420,43),0)</f>
        <v/>
      </c>
      <c r="AU420">
        <f>IFERROR(INDEX(PP_Grid[#Data],$DE420,44),0)</f>
        <v/>
      </c>
      <c r="AV420">
        <f>IFERROR(INDEX(PP_Grid[#Data],$DE420,45),0)</f>
        <v/>
      </c>
      <c r="AW420">
        <f>IFERROR(INDEX(PP_Grid[#Data],$DE420,46),0)</f>
        <v/>
      </c>
      <c r="AX420">
        <f>IFERROR(INDEX(PP_Grid[#Data],$DE420,47),0)</f>
        <v/>
      </c>
      <c r="AY420">
        <f>IFERROR(INDEX(PP_Grid[#Data],$DE420,48),0)</f>
        <v/>
      </c>
      <c r="AZ420">
        <f>IFERROR(INDEX(PP_Grid[#Data],$DE420,49),0)</f>
        <v/>
      </c>
      <c r="BA420">
        <f>IFERROR(INDEX(PP_Grid[#Data],$DE420,50),0)</f>
        <v/>
      </c>
      <c r="BB420">
        <f>IFERROR(INDEX(PP_Grid[#Data],$DE420,51),0)</f>
        <v/>
      </c>
      <c r="BC420">
        <f>IFERROR(INDEX(PP_Grid[#Data],$DE420,52),0)</f>
        <v/>
      </c>
      <c r="BD420">
        <f>IFERROR(INDEX(PP_Grid[#Data],$DE420,53),0)</f>
        <v/>
      </c>
      <c r="BE420">
        <f>IFERROR(INDEX(PP_Grid[#Data],$DE420,54),0)</f>
        <v/>
      </c>
      <c r="BF420">
        <f>IFERROR(INDEX(PP_Grid[#Data],$DE420,55),0)</f>
        <v/>
      </c>
      <c r="BG420">
        <f>IFERROR(INDEX(PP_Grid[#Data],$DE420,56),0)</f>
        <v/>
      </c>
      <c r="BH420">
        <f>IFERROR(INDEX(PP_Grid[#Data],$DE420,57),0)</f>
        <v/>
      </c>
      <c r="BI420">
        <f>IFERROR(INDEX(PP_Grid[#Data],$DE420,58),0)</f>
        <v/>
      </c>
      <c r="BJ420">
        <f>IFERROR(INDEX(PP_Grid[#Data],$DE420,59),0)</f>
        <v/>
      </c>
      <c r="BK420">
        <f>IFERROR(INDEX(PP_Grid[#Data],$DE420,60),0)</f>
        <v/>
      </c>
      <c r="BL420">
        <f>IFERROR(INDEX(PP_Grid[#Data],$DE420,61),0)</f>
        <v/>
      </c>
      <c r="BM420">
        <f>IFERROR(INDEX(PP_Grid[#Data],$DE420,62),0)</f>
        <v/>
      </c>
      <c r="BN420">
        <f>IFERROR(INDEX(PP_Grid[#Data],$DE420,63),0)</f>
        <v/>
      </c>
      <c r="BO420">
        <f>IFERROR(INDEX(PP_Grid[#Data],$DE420,64),0)</f>
        <v/>
      </c>
      <c r="BP420">
        <f>IFERROR(INDEX(PP_Grid[#Data],$DE420,65),0)</f>
        <v/>
      </c>
      <c r="BQ420">
        <f>IFERROR(INDEX(PP_Grid[#Data],$DE420,66),0)</f>
        <v/>
      </c>
      <c r="BR420">
        <f>IFERROR(INDEX(PP_Grid[#Data],$DE420,67),0)</f>
        <v/>
      </c>
      <c r="BS420">
        <f>IFERROR(INDEX(PP_Grid[#Data],$DE420,68),0)</f>
        <v/>
      </c>
      <c r="BT420">
        <f>IFERROR(INDEX(PP_Grid[#Data],$DE420,69),0)</f>
        <v/>
      </c>
      <c r="BU420">
        <f>IFERROR(INDEX(PP_Grid[#Data],$DE420,70),0)</f>
        <v/>
      </c>
      <c r="BV420">
        <f>IFERROR(INDEX(PP_Grid[#Data],$DE420,71),0)</f>
        <v/>
      </c>
      <c r="BW420">
        <f>IFERROR(INDEX(PP_Grid[#Data],$DE420,72),0)</f>
        <v/>
      </c>
      <c r="BX420">
        <f>IFERROR(INDEX(PP_Grid[#Data],$DE420,73),0)</f>
        <v/>
      </c>
      <c r="BY420">
        <f>IFERROR(INDEX(PP_Grid[#Data],$DE420,74),0)</f>
        <v/>
      </c>
      <c r="BZ420">
        <f>IFERROR(INDEX(PP_Grid[#Data],$DE420,75),0)</f>
        <v/>
      </c>
      <c r="CA420">
        <f>IFERROR(INDEX(PP_Grid[#Data],$DE420,76),0)</f>
        <v/>
      </c>
      <c r="CB420">
        <f>IFERROR(INDEX(PP_Grid[#Data],$DE420,77),0)</f>
        <v/>
      </c>
      <c r="CC420">
        <f>IFERROR(INDEX(PP_Grid[#Data],$DE420,78),0)</f>
        <v/>
      </c>
      <c r="CD420">
        <f>IFERROR(INDEX(PP_Grid[#Data],$DE420,79),0)</f>
        <v/>
      </c>
      <c r="CE420">
        <f>IFERROR(INDEX(PP_Grid[#Data],$DE420,80),0)</f>
        <v/>
      </c>
      <c r="CF420">
        <f>IFERROR(INDEX(PP_Grid[#Data],$DE420,81),0)</f>
        <v/>
      </c>
      <c r="CG420">
        <f>IFERROR(INDEX(PP_Grid[#Data],$DE420,82),0)</f>
        <v/>
      </c>
      <c r="CH420">
        <f>IFERROR(INDEX(PP_Grid[#Data],$DE420,83),0)</f>
        <v/>
      </c>
      <c r="CI420">
        <f>IFERROR(INDEX(PP_Grid[#Data],$DE420,84),0)</f>
        <v/>
      </c>
      <c r="CJ420">
        <f>IFERROR(INDEX(PP_Grid[#Data],$DE420,85),0)</f>
        <v/>
      </c>
      <c r="CK420">
        <f>IFERROR(INDEX(PP_Grid[#Data],$DE420,86),0)</f>
        <v/>
      </c>
      <c r="CL420">
        <f>IFERROR(INDEX(PP_Grid[#Data],$DE420,87),0)</f>
        <v/>
      </c>
      <c r="CM420">
        <f>IFERROR(INDEX(PP_Grid[#Data],$DE420,88),0)</f>
        <v/>
      </c>
      <c r="CN420">
        <f>IFERROR(INDEX(PP_Grid[#Data],$DE420,89),0)</f>
        <v/>
      </c>
      <c r="CO420">
        <f>IFERROR(INDEX(PP_Grid[#Data],$DE420,90),0)</f>
        <v/>
      </c>
      <c r="CP420">
        <f>IFERROR(INDEX(PP_Grid[#Data],$DE420,91),0)</f>
        <v/>
      </c>
      <c r="CQ420">
        <f>IFERROR(INDEX(PP_Grid[#Data],$DE420,92),0)</f>
        <v/>
      </c>
      <c r="CR420">
        <f>IFERROR(INDEX(PP_Grid[#Data],$DE420,93),0)</f>
        <v/>
      </c>
      <c r="CS420">
        <f>IFERROR(INDEX(PP_Grid[#Data],$DE420,94),0)</f>
        <v/>
      </c>
      <c r="CT420">
        <f>IFERROR(INDEX(PP_Grid[#Data],$DE420,95),0)</f>
        <v/>
      </c>
      <c r="CU420">
        <f>IFERROR(INDEX(PP_Grid[#Data],$DE420,96),0)</f>
        <v/>
      </c>
      <c r="CV420">
        <f>IFERROR(INDEX(PP_Grid[#Data],$DE420,97),0)</f>
        <v/>
      </c>
      <c r="CW420">
        <f>IFERROR(INDEX(PP_Grid[#Data],$DE420,98),0)</f>
        <v/>
      </c>
      <c r="CX420">
        <f>IFERROR(INDEX(PP_Grid[#Data],$DE420,99),0)</f>
        <v/>
      </c>
      <c r="CY420">
        <f>IFERROR(INDEX(PP_Grid[#Data],$DE420,100),0)</f>
        <v/>
      </c>
      <c r="CZ420">
        <f>IFERROR(INDEX(PP_Grid[#Data],$DE420,101),0)</f>
        <v/>
      </c>
      <c r="DA420">
        <f>IFERROR(INDEX(PP_Grid[#Data],$DE420,102),0)</f>
        <v/>
      </c>
      <c r="DB420">
        <f>IFERROR(INDEX(PP_Grid[#Data],$DE420,103),0)</f>
        <v/>
      </c>
      <c r="DC420">
        <f>IFERROR(INDEX(PP_Grid[#Data],$DE420,104),0)</f>
        <v/>
      </c>
      <c r="DD420">
        <f>IFERROR(INDEX(PP_Grid[#Data],$DE420,105),0)</f>
        <v/>
      </c>
      <c r="DE420" s="7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SUMIFS(M_BOM[RM_Qty_Per_Batch],M_BOM[Intermediate],$B420,M_BOM[RM_Code],$A325)</f>
        <v/>
      </c>
      <c r="D421">
        <f>IFERROR(INDEX(E421:DD421,$F$1),"")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  <c r="DD421">
        <f>$C421*DD420</f>
        <v/>
      </c>
    </row>
    <row r="422">
      <c r="B422" t="inlineStr">
        <is>
          <t>TSP-936</t>
        </is>
      </c>
      <c r="C422" t="inlineStr">
        <is>
          <t>No. of batches</t>
        </is>
      </c>
      <c r="D422">
        <f>IFERROR(INDEX(E422:DD422,$F$1),"")</f>
        <v/>
      </c>
      <c r="E422">
        <f>IFERROR(INDEX(PP_Grid[#Data],$DE422,2),0)</f>
        <v/>
      </c>
      <c r="F422">
        <f>IFERROR(INDEX(PP_Grid[#Data],$DE422,3),0)</f>
        <v/>
      </c>
      <c r="G422">
        <f>IFERROR(INDEX(PP_Grid[#Data],$DE422,4),0)</f>
        <v/>
      </c>
      <c r="H422">
        <f>IFERROR(INDEX(PP_Grid[#Data],$DE422,5),0)</f>
        <v/>
      </c>
      <c r="I422">
        <f>IFERROR(INDEX(PP_Grid[#Data],$DE422,6),0)</f>
        <v/>
      </c>
      <c r="J422">
        <f>IFERROR(INDEX(PP_Grid[#Data],$DE422,7),0)</f>
        <v/>
      </c>
      <c r="K422">
        <f>IFERROR(INDEX(PP_Grid[#Data],$DE422,8),0)</f>
        <v/>
      </c>
      <c r="L422">
        <f>IFERROR(INDEX(PP_Grid[#Data],$DE422,9),0)</f>
        <v/>
      </c>
      <c r="M422">
        <f>IFERROR(INDEX(PP_Grid[#Data],$DE422,10),0)</f>
        <v/>
      </c>
      <c r="N422">
        <f>IFERROR(INDEX(PP_Grid[#Data],$DE422,11),0)</f>
        <v/>
      </c>
      <c r="O422">
        <f>IFERROR(INDEX(PP_Grid[#Data],$DE422,12),0)</f>
        <v/>
      </c>
      <c r="P422">
        <f>IFERROR(INDEX(PP_Grid[#Data],$DE422,13),0)</f>
        <v/>
      </c>
      <c r="Q422">
        <f>IFERROR(INDEX(PP_Grid[#Data],$DE422,14),0)</f>
        <v/>
      </c>
      <c r="R422">
        <f>IFERROR(INDEX(PP_Grid[#Data],$DE422,15),0)</f>
        <v/>
      </c>
      <c r="S422">
        <f>IFERROR(INDEX(PP_Grid[#Data],$DE422,16),0)</f>
        <v/>
      </c>
      <c r="T422">
        <f>IFERROR(INDEX(PP_Grid[#Data],$DE422,17),0)</f>
        <v/>
      </c>
      <c r="U422">
        <f>IFERROR(INDEX(PP_Grid[#Data],$DE422,18),0)</f>
        <v/>
      </c>
      <c r="V422">
        <f>IFERROR(INDEX(PP_Grid[#Data],$DE422,19),0)</f>
        <v/>
      </c>
      <c r="W422">
        <f>IFERROR(INDEX(PP_Grid[#Data],$DE422,20),0)</f>
        <v/>
      </c>
      <c r="X422">
        <f>IFERROR(INDEX(PP_Grid[#Data],$DE422,21),0)</f>
        <v/>
      </c>
      <c r="Y422">
        <f>IFERROR(INDEX(PP_Grid[#Data],$DE422,22),0)</f>
        <v/>
      </c>
      <c r="Z422">
        <f>IFERROR(INDEX(PP_Grid[#Data],$DE422,23),0)</f>
        <v/>
      </c>
      <c r="AA422">
        <f>IFERROR(INDEX(PP_Grid[#Data],$DE422,24),0)</f>
        <v/>
      </c>
      <c r="AB422">
        <f>IFERROR(INDEX(PP_Grid[#Data],$DE422,25),0)</f>
        <v/>
      </c>
      <c r="AC422">
        <f>IFERROR(INDEX(PP_Grid[#Data],$DE422,26),0)</f>
        <v/>
      </c>
      <c r="AD422">
        <f>IFERROR(INDEX(PP_Grid[#Data],$DE422,27),0)</f>
        <v/>
      </c>
      <c r="AE422">
        <f>IFERROR(INDEX(PP_Grid[#Data],$DE422,28),0)</f>
        <v/>
      </c>
      <c r="AF422">
        <f>IFERROR(INDEX(PP_Grid[#Data],$DE422,29),0)</f>
        <v/>
      </c>
      <c r="AG422">
        <f>IFERROR(INDEX(PP_Grid[#Data],$DE422,30),0)</f>
        <v/>
      </c>
      <c r="AH422">
        <f>IFERROR(INDEX(PP_Grid[#Data],$DE422,31),0)</f>
        <v/>
      </c>
      <c r="AI422">
        <f>IFERROR(INDEX(PP_Grid[#Data],$DE422,32),0)</f>
        <v/>
      </c>
      <c r="AJ422">
        <f>IFERROR(INDEX(PP_Grid[#Data],$DE422,33),0)</f>
        <v/>
      </c>
      <c r="AK422">
        <f>IFERROR(INDEX(PP_Grid[#Data],$DE422,34),0)</f>
        <v/>
      </c>
      <c r="AL422">
        <f>IFERROR(INDEX(PP_Grid[#Data],$DE422,35),0)</f>
        <v/>
      </c>
      <c r="AM422">
        <f>IFERROR(INDEX(PP_Grid[#Data],$DE422,36),0)</f>
        <v/>
      </c>
      <c r="AN422">
        <f>IFERROR(INDEX(PP_Grid[#Data],$DE422,37),0)</f>
        <v/>
      </c>
      <c r="AO422">
        <f>IFERROR(INDEX(PP_Grid[#Data],$DE422,38),0)</f>
        <v/>
      </c>
      <c r="AP422">
        <f>IFERROR(INDEX(PP_Grid[#Data],$DE422,39),0)</f>
        <v/>
      </c>
      <c r="AQ422">
        <f>IFERROR(INDEX(PP_Grid[#Data],$DE422,40),0)</f>
        <v/>
      </c>
      <c r="AR422">
        <f>IFERROR(INDEX(PP_Grid[#Data],$DE422,41),0)</f>
        <v/>
      </c>
      <c r="AS422">
        <f>IFERROR(INDEX(PP_Grid[#Data],$DE422,42),0)</f>
        <v/>
      </c>
      <c r="AT422">
        <f>IFERROR(INDEX(PP_Grid[#Data],$DE422,43),0)</f>
        <v/>
      </c>
      <c r="AU422">
        <f>IFERROR(INDEX(PP_Grid[#Data],$DE422,44),0)</f>
        <v/>
      </c>
      <c r="AV422">
        <f>IFERROR(INDEX(PP_Grid[#Data],$DE422,45),0)</f>
        <v/>
      </c>
      <c r="AW422">
        <f>IFERROR(INDEX(PP_Grid[#Data],$DE422,46),0)</f>
        <v/>
      </c>
      <c r="AX422">
        <f>IFERROR(INDEX(PP_Grid[#Data],$DE422,47),0)</f>
        <v/>
      </c>
      <c r="AY422">
        <f>IFERROR(INDEX(PP_Grid[#Data],$DE422,48),0)</f>
        <v/>
      </c>
      <c r="AZ422">
        <f>IFERROR(INDEX(PP_Grid[#Data],$DE422,49),0)</f>
        <v/>
      </c>
      <c r="BA422">
        <f>IFERROR(INDEX(PP_Grid[#Data],$DE422,50),0)</f>
        <v/>
      </c>
      <c r="BB422">
        <f>IFERROR(INDEX(PP_Grid[#Data],$DE422,51),0)</f>
        <v/>
      </c>
      <c r="BC422">
        <f>IFERROR(INDEX(PP_Grid[#Data],$DE422,52),0)</f>
        <v/>
      </c>
      <c r="BD422">
        <f>IFERROR(INDEX(PP_Grid[#Data],$DE422,53),0)</f>
        <v/>
      </c>
      <c r="BE422">
        <f>IFERROR(INDEX(PP_Grid[#Data],$DE422,54),0)</f>
        <v/>
      </c>
      <c r="BF422">
        <f>IFERROR(INDEX(PP_Grid[#Data],$DE422,55),0)</f>
        <v/>
      </c>
      <c r="BG422">
        <f>IFERROR(INDEX(PP_Grid[#Data],$DE422,56),0)</f>
        <v/>
      </c>
      <c r="BH422">
        <f>IFERROR(INDEX(PP_Grid[#Data],$DE422,57),0)</f>
        <v/>
      </c>
      <c r="BI422">
        <f>IFERROR(INDEX(PP_Grid[#Data],$DE422,58),0)</f>
        <v/>
      </c>
      <c r="BJ422">
        <f>IFERROR(INDEX(PP_Grid[#Data],$DE422,59),0)</f>
        <v/>
      </c>
      <c r="BK422">
        <f>IFERROR(INDEX(PP_Grid[#Data],$DE422,60),0)</f>
        <v/>
      </c>
      <c r="BL422">
        <f>IFERROR(INDEX(PP_Grid[#Data],$DE422,61),0)</f>
        <v/>
      </c>
      <c r="BM422">
        <f>IFERROR(INDEX(PP_Grid[#Data],$DE422,62),0)</f>
        <v/>
      </c>
      <c r="BN422">
        <f>IFERROR(INDEX(PP_Grid[#Data],$DE422,63),0)</f>
        <v/>
      </c>
      <c r="BO422">
        <f>IFERROR(INDEX(PP_Grid[#Data],$DE422,64),0)</f>
        <v/>
      </c>
      <c r="BP422">
        <f>IFERROR(INDEX(PP_Grid[#Data],$DE422,65),0)</f>
        <v/>
      </c>
      <c r="BQ422">
        <f>IFERROR(INDEX(PP_Grid[#Data],$DE422,66),0)</f>
        <v/>
      </c>
      <c r="BR422">
        <f>IFERROR(INDEX(PP_Grid[#Data],$DE422,67),0)</f>
        <v/>
      </c>
      <c r="BS422">
        <f>IFERROR(INDEX(PP_Grid[#Data],$DE422,68),0)</f>
        <v/>
      </c>
      <c r="BT422">
        <f>IFERROR(INDEX(PP_Grid[#Data],$DE422,69),0)</f>
        <v/>
      </c>
      <c r="BU422">
        <f>IFERROR(INDEX(PP_Grid[#Data],$DE422,70),0)</f>
        <v/>
      </c>
      <c r="BV422">
        <f>IFERROR(INDEX(PP_Grid[#Data],$DE422,71),0)</f>
        <v/>
      </c>
      <c r="BW422">
        <f>IFERROR(INDEX(PP_Grid[#Data],$DE422,72),0)</f>
        <v/>
      </c>
      <c r="BX422">
        <f>IFERROR(INDEX(PP_Grid[#Data],$DE422,73),0)</f>
        <v/>
      </c>
      <c r="BY422">
        <f>IFERROR(INDEX(PP_Grid[#Data],$DE422,74),0)</f>
        <v/>
      </c>
      <c r="BZ422">
        <f>IFERROR(INDEX(PP_Grid[#Data],$DE422,75),0)</f>
        <v/>
      </c>
      <c r="CA422">
        <f>IFERROR(INDEX(PP_Grid[#Data],$DE422,76),0)</f>
        <v/>
      </c>
      <c r="CB422">
        <f>IFERROR(INDEX(PP_Grid[#Data],$DE422,77),0)</f>
        <v/>
      </c>
      <c r="CC422">
        <f>IFERROR(INDEX(PP_Grid[#Data],$DE422,78),0)</f>
        <v/>
      </c>
      <c r="CD422">
        <f>IFERROR(INDEX(PP_Grid[#Data],$DE422,79),0)</f>
        <v/>
      </c>
      <c r="CE422">
        <f>IFERROR(INDEX(PP_Grid[#Data],$DE422,80),0)</f>
        <v/>
      </c>
      <c r="CF422">
        <f>IFERROR(INDEX(PP_Grid[#Data],$DE422,81),0)</f>
        <v/>
      </c>
      <c r="CG422">
        <f>IFERROR(INDEX(PP_Grid[#Data],$DE422,82),0)</f>
        <v/>
      </c>
      <c r="CH422">
        <f>IFERROR(INDEX(PP_Grid[#Data],$DE422,83),0)</f>
        <v/>
      </c>
      <c r="CI422">
        <f>IFERROR(INDEX(PP_Grid[#Data],$DE422,84),0)</f>
        <v/>
      </c>
      <c r="CJ422">
        <f>IFERROR(INDEX(PP_Grid[#Data],$DE422,85),0)</f>
        <v/>
      </c>
      <c r="CK422">
        <f>IFERROR(INDEX(PP_Grid[#Data],$DE422,86),0)</f>
        <v/>
      </c>
      <c r="CL422">
        <f>IFERROR(INDEX(PP_Grid[#Data],$DE422,87),0)</f>
        <v/>
      </c>
      <c r="CM422">
        <f>IFERROR(INDEX(PP_Grid[#Data],$DE422,88),0)</f>
        <v/>
      </c>
      <c r="CN422">
        <f>IFERROR(INDEX(PP_Grid[#Data],$DE422,89),0)</f>
        <v/>
      </c>
      <c r="CO422">
        <f>IFERROR(INDEX(PP_Grid[#Data],$DE422,90),0)</f>
        <v/>
      </c>
      <c r="CP422">
        <f>IFERROR(INDEX(PP_Grid[#Data],$DE422,91),0)</f>
        <v/>
      </c>
      <c r="CQ422">
        <f>IFERROR(INDEX(PP_Grid[#Data],$DE422,92),0)</f>
        <v/>
      </c>
      <c r="CR422">
        <f>IFERROR(INDEX(PP_Grid[#Data],$DE422,93),0)</f>
        <v/>
      </c>
      <c r="CS422">
        <f>IFERROR(INDEX(PP_Grid[#Data],$DE422,94),0)</f>
        <v/>
      </c>
      <c r="CT422">
        <f>IFERROR(INDEX(PP_Grid[#Data],$DE422,95),0)</f>
        <v/>
      </c>
      <c r="CU422">
        <f>IFERROR(INDEX(PP_Grid[#Data],$DE422,96),0)</f>
        <v/>
      </c>
      <c r="CV422">
        <f>IFERROR(INDEX(PP_Grid[#Data],$DE422,97),0)</f>
        <v/>
      </c>
      <c r="CW422">
        <f>IFERROR(INDEX(PP_Grid[#Data],$DE422,98),0)</f>
        <v/>
      </c>
      <c r="CX422">
        <f>IFERROR(INDEX(PP_Grid[#Data],$DE422,99),0)</f>
        <v/>
      </c>
      <c r="CY422">
        <f>IFERROR(INDEX(PP_Grid[#Data],$DE422,100),0)</f>
        <v/>
      </c>
      <c r="CZ422">
        <f>IFERROR(INDEX(PP_Grid[#Data],$DE422,101),0)</f>
        <v/>
      </c>
      <c r="DA422">
        <f>IFERROR(INDEX(PP_Grid[#Data],$DE422,102),0)</f>
        <v/>
      </c>
      <c r="DB422">
        <f>IFERROR(INDEX(PP_Grid[#Data],$DE422,103),0)</f>
        <v/>
      </c>
      <c r="DC422">
        <f>IFERROR(INDEX(PP_Grid[#Data],$DE422,104),0)</f>
        <v/>
      </c>
      <c r="DD422">
        <f>IFERROR(INDEX(PP_Grid[#Data],$DE422,105),0)</f>
        <v/>
      </c>
      <c r="DE422" s="7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SUMIFS(M_BOM[RM_Qty_Per_Batch],M_BOM[Intermediate],$B422,M_BOM[RM_Code],$A325)</f>
        <v/>
      </c>
      <c r="D423">
        <f>IFERROR(INDEX(E423:DD423,$F$1),"")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  <c r="DD423">
        <f>$C423*DD422</f>
        <v/>
      </c>
    </row>
    <row r="424">
      <c r="B424" t="inlineStr">
        <is>
          <t>TSP-937</t>
        </is>
      </c>
      <c r="C424" t="inlineStr">
        <is>
          <t>No. of batches</t>
        </is>
      </c>
      <c r="D424">
        <f>IFERROR(INDEX(E424:DD424,$F$1),"")</f>
        <v/>
      </c>
      <c r="E424">
        <f>IFERROR(INDEX(PP_Grid[#Data],$DE424,2),0)</f>
        <v/>
      </c>
      <c r="F424">
        <f>IFERROR(INDEX(PP_Grid[#Data],$DE424,3),0)</f>
        <v/>
      </c>
      <c r="G424">
        <f>IFERROR(INDEX(PP_Grid[#Data],$DE424,4),0)</f>
        <v/>
      </c>
      <c r="H424">
        <f>IFERROR(INDEX(PP_Grid[#Data],$DE424,5),0)</f>
        <v/>
      </c>
      <c r="I424">
        <f>IFERROR(INDEX(PP_Grid[#Data],$DE424,6),0)</f>
        <v/>
      </c>
      <c r="J424">
        <f>IFERROR(INDEX(PP_Grid[#Data],$DE424,7),0)</f>
        <v/>
      </c>
      <c r="K424">
        <f>IFERROR(INDEX(PP_Grid[#Data],$DE424,8),0)</f>
        <v/>
      </c>
      <c r="L424">
        <f>IFERROR(INDEX(PP_Grid[#Data],$DE424,9),0)</f>
        <v/>
      </c>
      <c r="M424">
        <f>IFERROR(INDEX(PP_Grid[#Data],$DE424,10),0)</f>
        <v/>
      </c>
      <c r="N424">
        <f>IFERROR(INDEX(PP_Grid[#Data],$DE424,11),0)</f>
        <v/>
      </c>
      <c r="O424">
        <f>IFERROR(INDEX(PP_Grid[#Data],$DE424,12),0)</f>
        <v/>
      </c>
      <c r="P424">
        <f>IFERROR(INDEX(PP_Grid[#Data],$DE424,13),0)</f>
        <v/>
      </c>
      <c r="Q424">
        <f>IFERROR(INDEX(PP_Grid[#Data],$DE424,14),0)</f>
        <v/>
      </c>
      <c r="R424">
        <f>IFERROR(INDEX(PP_Grid[#Data],$DE424,15),0)</f>
        <v/>
      </c>
      <c r="S424">
        <f>IFERROR(INDEX(PP_Grid[#Data],$DE424,16),0)</f>
        <v/>
      </c>
      <c r="T424">
        <f>IFERROR(INDEX(PP_Grid[#Data],$DE424,17),0)</f>
        <v/>
      </c>
      <c r="U424">
        <f>IFERROR(INDEX(PP_Grid[#Data],$DE424,18),0)</f>
        <v/>
      </c>
      <c r="V424">
        <f>IFERROR(INDEX(PP_Grid[#Data],$DE424,19),0)</f>
        <v/>
      </c>
      <c r="W424">
        <f>IFERROR(INDEX(PP_Grid[#Data],$DE424,20),0)</f>
        <v/>
      </c>
      <c r="X424">
        <f>IFERROR(INDEX(PP_Grid[#Data],$DE424,21),0)</f>
        <v/>
      </c>
      <c r="Y424">
        <f>IFERROR(INDEX(PP_Grid[#Data],$DE424,22),0)</f>
        <v/>
      </c>
      <c r="Z424">
        <f>IFERROR(INDEX(PP_Grid[#Data],$DE424,23),0)</f>
        <v/>
      </c>
      <c r="AA424">
        <f>IFERROR(INDEX(PP_Grid[#Data],$DE424,24),0)</f>
        <v/>
      </c>
      <c r="AB424">
        <f>IFERROR(INDEX(PP_Grid[#Data],$DE424,25),0)</f>
        <v/>
      </c>
      <c r="AC424">
        <f>IFERROR(INDEX(PP_Grid[#Data],$DE424,26),0)</f>
        <v/>
      </c>
      <c r="AD424">
        <f>IFERROR(INDEX(PP_Grid[#Data],$DE424,27),0)</f>
        <v/>
      </c>
      <c r="AE424">
        <f>IFERROR(INDEX(PP_Grid[#Data],$DE424,28),0)</f>
        <v/>
      </c>
      <c r="AF424">
        <f>IFERROR(INDEX(PP_Grid[#Data],$DE424,29),0)</f>
        <v/>
      </c>
      <c r="AG424">
        <f>IFERROR(INDEX(PP_Grid[#Data],$DE424,30),0)</f>
        <v/>
      </c>
      <c r="AH424">
        <f>IFERROR(INDEX(PP_Grid[#Data],$DE424,31),0)</f>
        <v/>
      </c>
      <c r="AI424">
        <f>IFERROR(INDEX(PP_Grid[#Data],$DE424,32),0)</f>
        <v/>
      </c>
      <c r="AJ424">
        <f>IFERROR(INDEX(PP_Grid[#Data],$DE424,33),0)</f>
        <v/>
      </c>
      <c r="AK424">
        <f>IFERROR(INDEX(PP_Grid[#Data],$DE424,34),0)</f>
        <v/>
      </c>
      <c r="AL424">
        <f>IFERROR(INDEX(PP_Grid[#Data],$DE424,35),0)</f>
        <v/>
      </c>
      <c r="AM424">
        <f>IFERROR(INDEX(PP_Grid[#Data],$DE424,36),0)</f>
        <v/>
      </c>
      <c r="AN424">
        <f>IFERROR(INDEX(PP_Grid[#Data],$DE424,37),0)</f>
        <v/>
      </c>
      <c r="AO424">
        <f>IFERROR(INDEX(PP_Grid[#Data],$DE424,38),0)</f>
        <v/>
      </c>
      <c r="AP424">
        <f>IFERROR(INDEX(PP_Grid[#Data],$DE424,39),0)</f>
        <v/>
      </c>
      <c r="AQ424">
        <f>IFERROR(INDEX(PP_Grid[#Data],$DE424,40),0)</f>
        <v/>
      </c>
      <c r="AR424">
        <f>IFERROR(INDEX(PP_Grid[#Data],$DE424,41),0)</f>
        <v/>
      </c>
      <c r="AS424">
        <f>IFERROR(INDEX(PP_Grid[#Data],$DE424,42),0)</f>
        <v/>
      </c>
      <c r="AT424">
        <f>IFERROR(INDEX(PP_Grid[#Data],$DE424,43),0)</f>
        <v/>
      </c>
      <c r="AU424">
        <f>IFERROR(INDEX(PP_Grid[#Data],$DE424,44),0)</f>
        <v/>
      </c>
      <c r="AV424">
        <f>IFERROR(INDEX(PP_Grid[#Data],$DE424,45),0)</f>
        <v/>
      </c>
      <c r="AW424">
        <f>IFERROR(INDEX(PP_Grid[#Data],$DE424,46),0)</f>
        <v/>
      </c>
      <c r="AX424">
        <f>IFERROR(INDEX(PP_Grid[#Data],$DE424,47),0)</f>
        <v/>
      </c>
      <c r="AY424">
        <f>IFERROR(INDEX(PP_Grid[#Data],$DE424,48),0)</f>
        <v/>
      </c>
      <c r="AZ424">
        <f>IFERROR(INDEX(PP_Grid[#Data],$DE424,49),0)</f>
        <v/>
      </c>
      <c r="BA424">
        <f>IFERROR(INDEX(PP_Grid[#Data],$DE424,50),0)</f>
        <v/>
      </c>
      <c r="BB424">
        <f>IFERROR(INDEX(PP_Grid[#Data],$DE424,51),0)</f>
        <v/>
      </c>
      <c r="BC424">
        <f>IFERROR(INDEX(PP_Grid[#Data],$DE424,52),0)</f>
        <v/>
      </c>
      <c r="BD424">
        <f>IFERROR(INDEX(PP_Grid[#Data],$DE424,53),0)</f>
        <v/>
      </c>
      <c r="BE424">
        <f>IFERROR(INDEX(PP_Grid[#Data],$DE424,54),0)</f>
        <v/>
      </c>
      <c r="BF424">
        <f>IFERROR(INDEX(PP_Grid[#Data],$DE424,55),0)</f>
        <v/>
      </c>
      <c r="BG424">
        <f>IFERROR(INDEX(PP_Grid[#Data],$DE424,56),0)</f>
        <v/>
      </c>
      <c r="BH424">
        <f>IFERROR(INDEX(PP_Grid[#Data],$DE424,57),0)</f>
        <v/>
      </c>
      <c r="BI424">
        <f>IFERROR(INDEX(PP_Grid[#Data],$DE424,58),0)</f>
        <v/>
      </c>
      <c r="BJ424">
        <f>IFERROR(INDEX(PP_Grid[#Data],$DE424,59),0)</f>
        <v/>
      </c>
      <c r="BK424">
        <f>IFERROR(INDEX(PP_Grid[#Data],$DE424,60),0)</f>
        <v/>
      </c>
      <c r="BL424">
        <f>IFERROR(INDEX(PP_Grid[#Data],$DE424,61),0)</f>
        <v/>
      </c>
      <c r="BM424">
        <f>IFERROR(INDEX(PP_Grid[#Data],$DE424,62),0)</f>
        <v/>
      </c>
      <c r="BN424">
        <f>IFERROR(INDEX(PP_Grid[#Data],$DE424,63),0)</f>
        <v/>
      </c>
      <c r="BO424">
        <f>IFERROR(INDEX(PP_Grid[#Data],$DE424,64),0)</f>
        <v/>
      </c>
      <c r="BP424">
        <f>IFERROR(INDEX(PP_Grid[#Data],$DE424,65),0)</f>
        <v/>
      </c>
      <c r="BQ424">
        <f>IFERROR(INDEX(PP_Grid[#Data],$DE424,66),0)</f>
        <v/>
      </c>
      <c r="BR424">
        <f>IFERROR(INDEX(PP_Grid[#Data],$DE424,67),0)</f>
        <v/>
      </c>
      <c r="BS424">
        <f>IFERROR(INDEX(PP_Grid[#Data],$DE424,68),0)</f>
        <v/>
      </c>
      <c r="BT424">
        <f>IFERROR(INDEX(PP_Grid[#Data],$DE424,69),0)</f>
        <v/>
      </c>
      <c r="BU424">
        <f>IFERROR(INDEX(PP_Grid[#Data],$DE424,70),0)</f>
        <v/>
      </c>
      <c r="BV424">
        <f>IFERROR(INDEX(PP_Grid[#Data],$DE424,71),0)</f>
        <v/>
      </c>
      <c r="BW424">
        <f>IFERROR(INDEX(PP_Grid[#Data],$DE424,72),0)</f>
        <v/>
      </c>
      <c r="BX424">
        <f>IFERROR(INDEX(PP_Grid[#Data],$DE424,73),0)</f>
        <v/>
      </c>
      <c r="BY424">
        <f>IFERROR(INDEX(PP_Grid[#Data],$DE424,74),0)</f>
        <v/>
      </c>
      <c r="BZ424">
        <f>IFERROR(INDEX(PP_Grid[#Data],$DE424,75),0)</f>
        <v/>
      </c>
      <c r="CA424">
        <f>IFERROR(INDEX(PP_Grid[#Data],$DE424,76),0)</f>
        <v/>
      </c>
      <c r="CB424">
        <f>IFERROR(INDEX(PP_Grid[#Data],$DE424,77),0)</f>
        <v/>
      </c>
      <c r="CC424">
        <f>IFERROR(INDEX(PP_Grid[#Data],$DE424,78),0)</f>
        <v/>
      </c>
      <c r="CD424">
        <f>IFERROR(INDEX(PP_Grid[#Data],$DE424,79),0)</f>
        <v/>
      </c>
      <c r="CE424">
        <f>IFERROR(INDEX(PP_Grid[#Data],$DE424,80),0)</f>
        <v/>
      </c>
      <c r="CF424">
        <f>IFERROR(INDEX(PP_Grid[#Data],$DE424,81),0)</f>
        <v/>
      </c>
      <c r="CG424">
        <f>IFERROR(INDEX(PP_Grid[#Data],$DE424,82),0)</f>
        <v/>
      </c>
      <c r="CH424">
        <f>IFERROR(INDEX(PP_Grid[#Data],$DE424,83),0)</f>
        <v/>
      </c>
      <c r="CI424">
        <f>IFERROR(INDEX(PP_Grid[#Data],$DE424,84),0)</f>
        <v/>
      </c>
      <c r="CJ424">
        <f>IFERROR(INDEX(PP_Grid[#Data],$DE424,85),0)</f>
        <v/>
      </c>
      <c r="CK424">
        <f>IFERROR(INDEX(PP_Grid[#Data],$DE424,86),0)</f>
        <v/>
      </c>
      <c r="CL424">
        <f>IFERROR(INDEX(PP_Grid[#Data],$DE424,87),0)</f>
        <v/>
      </c>
      <c r="CM424">
        <f>IFERROR(INDEX(PP_Grid[#Data],$DE424,88),0)</f>
        <v/>
      </c>
      <c r="CN424">
        <f>IFERROR(INDEX(PP_Grid[#Data],$DE424,89),0)</f>
        <v/>
      </c>
      <c r="CO424">
        <f>IFERROR(INDEX(PP_Grid[#Data],$DE424,90),0)</f>
        <v/>
      </c>
      <c r="CP424">
        <f>IFERROR(INDEX(PP_Grid[#Data],$DE424,91),0)</f>
        <v/>
      </c>
      <c r="CQ424">
        <f>IFERROR(INDEX(PP_Grid[#Data],$DE424,92),0)</f>
        <v/>
      </c>
      <c r="CR424">
        <f>IFERROR(INDEX(PP_Grid[#Data],$DE424,93),0)</f>
        <v/>
      </c>
      <c r="CS424">
        <f>IFERROR(INDEX(PP_Grid[#Data],$DE424,94),0)</f>
        <v/>
      </c>
      <c r="CT424">
        <f>IFERROR(INDEX(PP_Grid[#Data],$DE424,95),0)</f>
        <v/>
      </c>
      <c r="CU424">
        <f>IFERROR(INDEX(PP_Grid[#Data],$DE424,96),0)</f>
        <v/>
      </c>
      <c r="CV424">
        <f>IFERROR(INDEX(PP_Grid[#Data],$DE424,97),0)</f>
        <v/>
      </c>
      <c r="CW424">
        <f>IFERROR(INDEX(PP_Grid[#Data],$DE424,98),0)</f>
        <v/>
      </c>
      <c r="CX424">
        <f>IFERROR(INDEX(PP_Grid[#Data],$DE424,99),0)</f>
        <v/>
      </c>
      <c r="CY424">
        <f>IFERROR(INDEX(PP_Grid[#Data],$DE424,100),0)</f>
        <v/>
      </c>
      <c r="CZ424">
        <f>IFERROR(INDEX(PP_Grid[#Data],$DE424,101),0)</f>
        <v/>
      </c>
      <c r="DA424">
        <f>IFERROR(INDEX(PP_Grid[#Data],$DE424,102),0)</f>
        <v/>
      </c>
      <c r="DB424">
        <f>IFERROR(INDEX(PP_Grid[#Data],$DE424,103),0)</f>
        <v/>
      </c>
      <c r="DC424">
        <f>IFERROR(INDEX(PP_Grid[#Data],$DE424,104),0)</f>
        <v/>
      </c>
      <c r="DD424">
        <f>IFERROR(INDEX(PP_Grid[#Data],$DE424,105),0)</f>
        <v/>
      </c>
      <c r="DE424" s="7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SUMIFS(M_BOM[RM_Qty_Per_Batch],M_BOM[Intermediate],$B424,M_BOM[RM_Code],$A325)</f>
        <v/>
      </c>
      <c r="D425">
        <f>IFERROR(INDEX(E425:DD425,$F$1),"")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  <c r="DD425">
        <f>$C425*DD424</f>
        <v/>
      </c>
    </row>
    <row r="426">
      <c r="B426" t="inlineStr">
        <is>
          <t>TSP-959</t>
        </is>
      </c>
      <c r="C426" t="inlineStr">
        <is>
          <t>No. of batches</t>
        </is>
      </c>
      <c r="D426">
        <f>IFERROR(INDEX(E426:DD426,$F$1),"")</f>
        <v/>
      </c>
      <c r="E426">
        <f>IFERROR(INDEX(PP_Grid[#Data],$DE426,2),0)</f>
        <v/>
      </c>
      <c r="F426">
        <f>IFERROR(INDEX(PP_Grid[#Data],$DE426,3),0)</f>
        <v/>
      </c>
      <c r="G426">
        <f>IFERROR(INDEX(PP_Grid[#Data],$DE426,4),0)</f>
        <v/>
      </c>
      <c r="H426">
        <f>IFERROR(INDEX(PP_Grid[#Data],$DE426,5),0)</f>
        <v/>
      </c>
      <c r="I426">
        <f>IFERROR(INDEX(PP_Grid[#Data],$DE426,6),0)</f>
        <v/>
      </c>
      <c r="J426">
        <f>IFERROR(INDEX(PP_Grid[#Data],$DE426,7),0)</f>
        <v/>
      </c>
      <c r="K426">
        <f>IFERROR(INDEX(PP_Grid[#Data],$DE426,8),0)</f>
        <v/>
      </c>
      <c r="L426">
        <f>IFERROR(INDEX(PP_Grid[#Data],$DE426,9),0)</f>
        <v/>
      </c>
      <c r="M426">
        <f>IFERROR(INDEX(PP_Grid[#Data],$DE426,10),0)</f>
        <v/>
      </c>
      <c r="N426">
        <f>IFERROR(INDEX(PP_Grid[#Data],$DE426,11),0)</f>
        <v/>
      </c>
      <c r="O426">
        <f>IFERROR(INDEX(PP_Grid[#Data],$DE426,12),0)</f>
        <v/>
      </c>
      <c r="P426">
        <f>IFERROR(INDEX(PP_Grid[#Data],$DE426,13),0)</f>
        <v/>
      </c>
      <c r="Q426">
        <f>IFERROR(INDEX(PP_Grid[#Data],$DE426,14),0)</f>
        <v/>
      </c>
      <c r="R426">
        <f>IFERROR(INDEX(PP_Grid[#Data],$DE426,15),0)</f>
        <v/>
      </c>
      <c r="S426">
        <f>IFERROR(INDEX(PP_Grid[#Data],$DE426,16),0)</f>
        <v/>
      </c>
      <c r="T426">
        <f>IFERROR(INDEX(PP_Grid[#Data],$DE426,17),0)</f>
        <v/>
      </c>
      <c r="U426">
        <f>IFERROR(INDEX(PP_Grid[#Data],$DE426,18),0)</f>
        <v/>
      </c>
      <c r="V426">
        <f>IFERROR(INDEX(PP_Grid[#Data],$DE426,19),0)</f>
        <v/>
      </c>
      <c r="W426">
        <f>IFERROR(INDEX(PP_Grid[#Data],$DE426,20),0)</f>
        <v/>
      </c>
      <c r="X426">
        <f>IFERROR(INDEX(PP_Grid[#Data],$DE426,21),0)</f>
        <v/>
      </c>
      <c r="Y426">
        <f>IFERROR(INDEX(PP_Grid[#Data],$DE426,22),0)</f>
        <v/>
      </c>
      <c r="Z426">
        <f>IFERROR(INDEX(PP_Grid[#Data],$DE426,23),0)</f>
        <v/>
      </c>
      <c r="AA426">
        <f>IFERROR(INDEX(PP_Grid[#Data],$DE426,24),0)</f>
        <v/>
      </c>
      <c r="AB426">
        <f>IFERROR(INDEX(PP_Grid[#Data],$DE426,25),0)</f>
        <v/>
      </c>
      <c r="AC426">
        <f>IFERROR(INDEX(PP_Grid[#Data],$DE426,26),0)</f>
        <v/>
      </c>
      <c r="AD426">
        <f>IFERROR(INDEX(PP_Grid[#Data],$DE426,27),0)</f>
        <v/>
      </c>
      <c r="AE426">
        <f>IFERROR(INDEX(PP_Grid[#Data],$DE426,28),0)</f>
        <v/>
      </c>
      <c r="AF426">
        <f>IFERROR(INDEX(PP_Grid[#Data],$DE426,29),0)</f>
        <v/>
      </c>
      <c r="AG426">
        <f>IFERROR(INDEX(PP_Grid[#Data],$DE426,30),0)</f>
        <v/>
      </c>
      <c r="AH426">
        <f>IFERROR(INDEX(PP_Grid[#Data],$DE426,31),0)</f>
        <v/>
      </c>
      <c r="AI426">
        <f>IFERROR(INDEX(PP_Grid[#Data],$DE426,32),0)</f>
        <v/>
      </c>
      <c r="AJ426">
        <f>IFERROR(INDEX(PP_Grid[#Data],$DE426,33),0)</f>
        <v/>
      </c>
      <c r="AK426">
        <f>IFERROR(INDEX(PP_Grid[#Data],$DE426,34),0)</f>
        <v/>
      </c>
      <c r="AL426">
        <f>IFERROR(INDEX(PP_Grid[#Data],$DE426,35),0)</f>
        <v/>
      </c>
      <c r="AM426">
        <f>IFERROR(INDEX(PP_Grid[#Data],$DE426,36),0)</f>
        <v/>
      </c>
      <c r="AN426">
        <f>IFERROR(INDEX(PP_Grid[#Data],$DE426,37),0)</f>
        <v/>
      </c>
      <c r="AO426">
        <f>IFERROR(INDEX(PP_Grid[#Data],$DE426,38),0)</f>
        <v/>
      </c>
      <c r="AP426">
        <f>IFERROR(INDEX(PP_Grid[#Data],$DE426,39),0)</f>
        <v/>
      </c>
      <c r="AQ426">
        <f>IFERROR(INDEX(PP_Grid[#Data],$DE426,40),0)</f>
        <v/>
      </c>
      <c r="AR426">
        <f>IFERROR(INDEX(PP_Grid[#Data],$DE426,41),0)</f>
        <v/>
      </c>
      <c r="AS426">
        <f>IFERROR(INDEX(PP_Grid[#Data],$DE426,42),0)</f>
        <v/>
      </c>
      <c r="AT426">
        <f>IFERROR(INDEX(PP_Grid[#Data],$DE426,43),0)</f>
        <v/>
      </c>
      <c r="AU426">
        <f>IFERROR(INDEX(PP_Grid[#Data],$DE426,44),0)</f>
        <v/>
      </c>
      <c r="AV426">
        <f>IFERROR(INDEX(PP_Grid[#Data],$DE426,45),0)</f>
        <v/>
      </c>
      <c r="AW426">
        <f>IFERROR(INDEX(PP_Grid[#Data],$DE426,46),0)</f>
        <v/>
      </c>
      <c r="AX426">
        <f>IFERROR(INDEX(PP_Grid[#Data],$DE426,47),0)</f>
        <v/>
      </c>
      <c r="AY426">
        <f>IFERROR(INDEX(PP_Grid[#Data],$DE426,48),0)</f>
        <v/>
      </c>
      <c r="AZ426">
        <f>IFERROR(INDEX(PP_Grid[#Data],$DE426,49),0)</f>
        <v/>
      </c>
      <c r="BA426">
        <f>IFERROR(INDEX(PP_Grid[#Data],$DE426,50),0)</f>
        <v/>
      </c>
      <c r="BB426">
        <f>IFERROR(INDEX(PP_Grid[#Data],$DE426,51),0)</f>
        <v/>
      </c>
      <c r="BC426">
        <f>IFERROR(INDEX(PP_Grid[#Data],$DE426,52),0)</f>
        <v/>
      </c>
      <c r="BD426">
        <f>IFERROR(INDEX(PP_Grid[#Data],$DE426,53),0)</f>
        <v/>
      </c>
      <c r="BE426">
        <f>IFERROR(INDEX(PP_Grid[#Data],$DE426,54),0)</f>
        <v/>
      </c>
      <c r="BF426">
        <f>IFERROR(INDEX(PP_Grid[#Data],$DE426,55),0)</f>
        <v/>
      </c>
      <c r="BG426">
        <f>IFERROR(INDEX(PP_Grid[#Data],$DE426,56),0)</f>
        <v/>
      </c>
      <c r="BH426">
        <f>IFERROR(INDEX(PP_Grid[#Data],$DE426,57),0)</f>
        <v/>
      </c>
      <c r="BI426">
        <f>IFERROR(INDEX(PP_Grid[#Data],$DE426,58),0)</f>
        <v/>
      </c>
      <c r="BJ426">
        <f>IFERROR(INDEX(PP_Grid[#Data],$DE426,59),0)</f>
        <v/>
      </c>
      <c r="BK426">
        <f>IFERROR(INDEX(PP_Grid[#Data],$DE426,60),0)</f>
        <v/>
      </c>
      <c r="BL426">
        <f>IFERROR(INDEX(PP_Grid[#Data],$DE426,61),0)</f>
        <v/>
      </c>
      <c r="BM426">
        <f>IFERROR(INDEX(PP_Grid[#Data],$DE426,62),0)</f>
        <v/>
      </c>
      <c r="BN426">
        <f>IFERROR(INDEX(PP_Grid[#Data],$DE426,63),0)</f>
        <v/>
      </c>
      <c r="BO426">
        <f>IFERROR(INDEX(PP_Grid[#Data],$DE426,64),0)</f>
        <v/>
      </c>
      <c r="BP426">
        <f>IFERROR(INDEX(PP_Grid[#Data],$DE426,65),0)</f>
        <v/>
      </c>
      <c r="BQ426">
        <f>IFERROR(INDEX(PP_Grid[#Data],$DE426,66),0)</f>
        <v/>
      </c>
      <c r="BR426">
        <f>IFERROR(INDEX(PP_Grid[#Data],$DE426,67),0)</f>
        <v/>
      </c>
      <c r="BS426">
        <f>IFERROR(INDEX(PP_Grid[#Data],$DE426,68),0)</f>
        <v/>
      </c>
      <c r="BT426">
        <f>IFERROR(INDEX(PP_Grid[#Data],$DE426,69),0)</f>
        <v/>
      </c>
      <c r="BU426">
        <f>IFERROR(INDEX(PP_Grid[#Data],$DE426,70),0)</f>
        <v/>
      </c>
      <c r="BV426">
        <f>IFERROR(INDEX(PP_Grid[#Data],$DE426,71),0)</f>
        <v/>
      </c>
      <c r="BW426">
        <f>IFERROR(INDEX(PP_Grid[#Data],$DE426,72),0)</f>
        <v/>
      </c>
      <c r="BX426">
        <f>IFERROR(INDEX(PP_Grid[#Data],$DE426,73),0)</f>
        <v/>
      </c>
      <c r="BY426">
        <f>IFERROR(INDEX(PP_Grid[#Data],$DE426,74),0)</f>
        <v/>
      </c>
      <c r="BZ426">
        <f>IFERROR(INDEX(PP_Grid[#Data],$DE426,75),0)</f>
        <v/>
      </c>
      <c r="CA426">
        <f>IFERROR(INDEX(PP_Grid[#Data],$DE426,76),0)</f>
        <v/>
      </c>
      <c r="CB426">
        <f>IFERROR(INDEX(PP_Grid[#Data],$DE426,77),0)</f>
        <v/>
      </c>
      <c r="CC426">
        <f>IFERROR(INDEX(PP_Grid[#Data],$DE426,78),0)</f>
        <v/>
      </c>
      <c r="CD426">
        <f>IFERROR(INDEX(PP_Grid[#Data],$DE426,79),0)</f>
        <v/>
      </c>
      <c r="CE426">
        <f>IFERROR(INDEX(PP_Grid[#Data],$DE426,80),0)</f>
        <v/>
      </c>
      <c r="CF426">
        <f>IFERROR(INDEX(PP_Grid[#Data],$DE426,81),0)</f>
        <v/>
      </c>
      <c r="CG426">
        <f>IFERROR(INDEX(PP_Grid[#Data],$DE426,82),0)</f>
        <v/>
      </c>
      <c r="CH426">
        <f>IFERROR(INDEX(PP_Grid[#Data],$DE426,83),0)</f>
        <v/>
      </c>
      <c r="CI426">
        <f>IFERROR(INDEX(PP_Grid[#Data],$DE426,84),0)</f>
        <v/>
      </c>
      <c r="CJ426">
        <f>IFERROR(INDEX(PP_Grid[#Data],$DE426,85),0)</f>
        <v/>
      </c>
      <c r="CK426">
        <f>IFERROR(INDEX(PP_Grid[#Data],$DE426,86),0)</f>
        <v/>
      </c>
      <c r="CL426">
        <f>IFERROR(INDEX(PP_Grid[#Data],$DE426,87),0)</f>
        <v/>
      </c>
      <c r="CM426">
        <f>IFERROR(INDEX(PP_Grid[#Data],$DE426,88),0)</f>
        <v/>
      </c>
      <c r="CN426">
        <f>IFERROR(INDEX(PP_Grid[#Data],$DE426,89),0)</f>
        <v/>
      </c>
      <c r="CO426">
        <f>IFERROR(INDEX(PP_Grid[#Data],$DE426,90),0)</f>
        <v/>
      </c>
      <c r="CP426">
        <f>IFERROR(INDEX(PP_Grid[#Data],$DE426,91),0)</f>
        <v/>
      </c>
      <c r="CQ426">
        <f>IFERROR(INDEX(PP_Grid[#Data],$DE426,92),0)</f>
        <v/>
      </c>
      <c r="CR426">
        <f>IFERROR(INDEX(PP_Grid[#Data],$DE426,93),0)</f>
        <v/>
      </c>
      <c r="CS426">
        <f>IFERROR(INDEX(PP_Grid[#Data],$DE426,94),0)</f>
        <v/>
      </c>
      <c r="CT426">
        <f>IFERROR(INDEX(PP_Grid[#Data],$DE426,95),0)</f>
        <v/>
      </c>
      <c r="CU426">
        <f>IFERROR(INDEX(PP_Grid[#Data],$DE426,96),0)</f>
        <v/>
      </c>
      <c r="CV426">
        <f>IFERROR(INDEX(PP_Grid[#Data],$DE426,97),0)</f>
        <v/>
      </c>
      <c r="CW426">
        <f>IFERROR(INDEX(PP_Grid[#Data],$DE426,98),0)</f>
        <v/>
      </c>
      <c r="CX426">
        <f>IFERROR(INDEX(PP_Grid[#Data],$DE426,99),0)</f>
        <v/>
      </c>
      <c r="CY426">
        <f>IFERROR(INDEX(PP_Grid[#Data],$DE426,100),0)</f>
        <v/>
      </c>
      <c r="CZ426">
        <f>IFERROR(INDEX(PP_Grid[#Data],$DE426,101),0)</f>
        <v/>
      </c>
      <c r="DA426">
        <f>IFERROR(INDEX(PP_Grid[#Data],$DE426,102),0)</f>
        <v/>
      </c>
      <c r="DB426">
        <f>IFERROR(INDEX(PP_Grid[#Data],$DE426,103),0)</f>
        <v/>
      </c>
      <c r="DC426">
        <f>IFERROR(INDEX(PP_Grid[#Data],$DE426,104),0)</f>
        <v/>
      </c>
      <c r="DD426">
        <f>IFERROR(INDEX(PP_Grid[#Data],$DE426,105),0)</f>
        <v/>
      </c>
      <c r="DE426" s="7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SUMIFS(M_BOM[RM_Qty_Per_Batch],M_BOM[Intermediate],$B426,M_BOM[RM_Code],$A325)</f>
        <v/>
      </c>
      <c r="D427">
        <f>IFERROR(INDEX(E427:DD427,$F$1),"")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  <c r="DD427">
        <f>$C427*DD426</f>
        <v/>
      </c>
    </row>
    <row r="428">
      <c r="B428" t="inlineStr">
        <is>
          <t>TSP-966</t>
        </is>
      </c>
      <c r="C428" t="inlineStr">
        <is>
          <t>No. of batches</t>
        </is>
      </c>
      <c r="D428">
        <f>IFERROR(INDEX(E428:DD428,$F$1),"")</f>
        <v/>
      </c>
      <c r="E428">
        <f>IFERROR(INDEX(PP_Grid[#Data],$DE428,2),0)</f>
        <v/>
      </c>
      <c r="F428">
        <f>IFERROR(INDEX(PP_Grid[#Data],$DE428,3),0)</f>
        <v/>
      </c>
      <c r="G428">
        <f>IFERROR(INDEX(PP_Grid[#Data],$DE428,4),0)</f>
        <v/>
      </c>
      <c r="H428">
        <f>IFERROR(INDEX(PP_Grid[#Data],$DE428,5),0)</f>
        <v/>
      </c>
      <c r="I428">
        <f>IFERROR(INDEX(PP_Grid[#Data],$DE428,6),0)</f>
        <v/>
      </c>
      <c r="J428">
        <f>IFERROR(INDEX(PP_Grid[#Data],$DE428,7),0)</f>
        <v/>
      </c>
      <c r="K428">
        <f>IFERROR(INDEX(PP_Grid[#Data],$DE428,8),0)</f>
        <v/>
      </c>
      <c r="L428">
        <f>IFERROR(INDEX(PP_Grid[#Data],$DE428,9),0)</f>
        <v/>
      </c>
      <c r="M428">
        <f>IFERROR(INDEX(PP_Grid[#Data],$DE428,10),0)</f>
        <v/>
      </c>
      <c r="N428">
        <f>IFERROR(INDEX(PP_Grid[#Data],$DE428,11),0)</f>
        <v/>
      </c>
      <c r="O428">
        <f>IFERROR(INDEX(PP_Grid[#Data],$DE428,12),0)</f>
        <v/>
      </c>
      <c r="P428">
        <f>IFERROR(INDEX(PP_Grid[#Data],$DE428,13),0)</f>
        <v/>
      </c>
      <c r="Q428">
        <f>IFERROR(INDEX(PP_Grid[#Data],$DE428,14),0)</f>
        <v/>
      </c>
      <c r="R428">
        <f>IFERROR(INDEX(PP_Grid[#Data],$DE428,15),0)</f>
        <v/>
      </c>
      <c r="S428">
        <f>IFERROR(INDEX(PP_Grid[#Data],$DE428,16),0)</f>
        <v/>
      </c>
      <c r="T428">
        <f>IFERROR(INDEX(PP_Grid[#Data],$DE428,17),0)</f>
        <v/>
      </c>
      <c r="U428">
        <f>IFERROR(INDEX(PP_Grid[#Data],$DE428,18),0)</f>
        <v/>
      </c>
      <c r="V428">
        <f>IFERROR(INDEX(PP_Grid[#Data],$DE428,19),0)</f>
        <v/>
      </c>
      <c r="W428">
        <f>IFERROR(INDEX(PP_Grid[#Data],$DE428,20),0)</f>
        <v/>
      </c>
      <c r="X428">
        <f>IFERROR(INDEX(PP_Grid[#Data],$DE428,21),0)</f>
        <v/>
      </c>
      <c r="Y428">
        <f>IFERROR(INDEX(PP_Grid[#Data],$DE428,22),0)</f>
        <v/>
      </c>
      <c r="Z428">
        <f>IFERROR(INDEX(PP_Grid[#Data],$DE428,23),0)</f>
        <v/>
      </c>
      <c r="AA428">
        <f>IFERROR(INDEX(PP_Grid[#Data],$DE428,24),0)</f>
        <v/>
      </c>
      <c r="AB428">
        <f>IFERROR(INDEX(PP_Grid[#Data],$DE428,25),0)</f>
        <v/>
      </c>
      <c r="AC428">
        <f>IFERROR(INDEX(PP_Grid[#Data],$DE428,26),0)</f>
        <v/>
      </c>
      <c r="AD428">
        <f>IFERROR(INDEX(PP_Grid[#Data],$DE428,27),0)</f>
        <v/>
      </c>
      <c r="AE428">
        <f>IFERROR(INDEX(PP_Grid[#Data],$DE428,28),0)</f>
        <v/>
      </c>
      <c r="AF428">
        <f>IFERROR(INDEX(PP_Grid[#Data],$DE428,29),0)</f>
        <v/>
      </c>
      <c r="AG428">
        <f>IFERROR(INDEX(PP_Grid[#Data],$DE428,30),0)</f>
        <v/>
      </c>
      <c r="AH428">
        <f>IFERROR(INDEX(PP_Grid[#Data],$DE428,31),0)</f>
        <v/>
      </c>
      <c r="AI428">
        <f>IFERROR(INDEX(PP_Grid[#Data],$DE428,32),0)</f>
        <v/>
      </c>
      <c r="AJ428">
        <f>IFERROR(INDEX(PP_Grid[#Data],$DE428,33),0)</f>
        <v/>
      </c>
      <c r="AK428">
        <f>IFERROR(INDEX(PP_Grid[#Data],$DE428,34),0)</f>
        <v/>
      </c>
      <c r="AL428">
        <f>IFERROR(INDEX(PP_Grid[#Data],$DE428,35),0)</f>
        <v/>
      </c>
      <c r="AM428">
        <f>IFERROR(INDEX(PP_Grid[#Data],$DE428,36),0)</f>
        <v/>
      </c>
      <c r="AN428">
        <f>IFERROR(INDEX(PP_Grid[#Data],$DE428,37),0)</f>
        <v/>
      </c>
      <c r="AO428">
        <f>IFERROR(INDEX(PP_Grid[#Data],$DE428,38),0)</f>
        <v/>
      </c>
      <c r="AP428">
        <f>IFERROR(INDEX(PP_Grid[#Data],$DE428,39),0)</f>
        <v/>
      </c>
      <c r="AQ428">
        <f>IFERROR(INDEX(PP_Grid[#Data],$DE428,40),0)</f>
        <v/>
      </c>
      <c r="AR428">
        <f>IFERROR(INDEX(PP_Grid[#Data],$DE428,41),0)</f>
        <v/>
      </c>
      <c r="AS428">
        <f>IFERROR(INDEX(PP_Grid[#Data],$DE428,42),0)</f>
        <v/>
      </c>
      <c r="AT428">
        <f>IFERROR(INDEX(PP_Grid[#Data],$DE428,43),0)</f>
        <v/>
      </c>
      <c r="AU428">
        <f>IFERROR(INDEX(PP_Grid[#Data],$DE428,44),0)</f>
        <v/>
      </c>
      <c r="AV428">
        <f>IFERROR(INDEX(PP_Grid[#Data],$DE428,45),0)</f>
        <v/>
      </c>
      <c r="AW428">
        <f>IFERROR(INDEX(PP_Grid[#Data],$DE428,46),0)</f>
        <v/>
      </c>
      <c r="AX428">
        <f>IFERROR(INDEX(PP_Grid[#Data],$DE428,47),0)</f>
        <v/>
      </c>
      <c r="AY428">
        <f>IFERROR(INDEX(PP_Grid[#Data],$DE428,48),0)</f>
        <v/>
      </c>
      <c r="AZ428">
        <f>IFERROR(INDEX(PP_Grid[#Data],$DE428,49),0)</f>
        <v/>
      </c>
      <c r="BA428">
        <f>IFERROR(INDEX(PP_Grid[#Data],$DE428,50),0)</f>
        <v/>
      </c>
      <c r="BB428">
        <f>IFERROR(INDEX(PP_Grid[#Data],$DE428,51),0)</f>
        <v/>
      </c>
      <c r="BC428">
        <f>IFERROR(INDEX(PP_Grid[#Data],$DE428,52),0)</f>
        <v/>
      </c>
      <c r="BD428">
        <f>IFERROR(INDEX(PP_Grid[#Data],$DE428,53),0)</f>
        <v/>
      </c>
      <c r="BE428">
        <f>IFERROR(INDEX(PP_Grid[#Data],$DE428,54),0)</f>
        <v/>
      </c>
      <c r="BF428">
        <f>IFERROR(INDEX(PP_Grid[#Data],$DE428,55),0)</f>
        <v/>
      </c>
      <c r="BG428">
        <f>IFERROR(INDEX(PP_Grid[#Data],$DE428,56),0)</f>
        <v/>
      </c>
      <c r="BH428">
        <f>IFERROR(INDEX(PP_Grid[#Data],$DE428,57),0)</f>
        <v/>
      </c>
      <c r="BI428">
        <f>IFERROR(INDEX(PP_Grid[#Data],$DE428,58),0)</f>
        <v/>
      </c>
      <c r="BJ428">
        <f>IFERROR(INDEX(PP_Grid[#Data],$DE428,59),0)</f>
        <v/>
      </c>
      <c r="BK428">
        <f>IFERROR(INDEX(PP_Grid[#Data],$DE428,60),0)</f>
        <v/>
      </c>
      <c r="BL428">
        <f>IFERROR(INDEX(PP_Grid[#Data],$DE428,61),0)</f>
        <v/>
      </c>
      <c r="BM428">
        <f>IFERROR(INDEX(PP_Grid[#Data],$DE428,62),0)</f>
        <v/>
      </c>
      <c r="BN428">
        <f>IFERROR(INDEX(PP_Grid[#Data],$DE428,63),0)</f>
        <v/>
      </c>
      <c r="BO428">
        <f>IFERROR(INDEX(PP_Grid[#Data],$DE428,64),0)</f>
        <v/>
      </c>
      <c r="BP428">
        <f>IFERROR(INDEX(PP_Grid[#Data],$DE428,65),0)</f>
        <v/>
      </c>
      <c r="BQ428">
        <f>IFERROR(INDEX(PP_Grid[#Data],$DE428,66),0)</f>
        <v/>
      </c>
      <c r="BR428">
        <f>IFERROR(INDEX(PP_Grid[#Data],$DE428,67),0)</f>
        <v/>
      </c>
      <c r="BS428">
        <f>IFERROR(INDEX(PP_Grid[#Data],$DE428,68),0)</f>
        <v/>
      </c>
      <c r="BT428">
        <f>IFERROR(INDEX(PP_Grid[#Data],$DE428,69),0)</f>
        <v/>
      </c>
      <c r="BU428">
        <f>IFERROR(INDEX(PP_Grid[#Data],$DE428,70),0)</f>
        <v/>
      </c>
      <c r="BV428">
        <f>IFERROR(INDEX(PP_Grid[#Data],$DE428,71),0)</f>
        <v/>
      </c>
      <c r="BW428">
        <f>IFERROR(INDEX(PP_Grid[#Data],$DE428,72),0)</f>
        <v/>
      </c>
      <c r="BX428">
        <f>IFERROR(INDEX(PP_Grid[#Data],$DE428,73),0)</f>
        <v/>
      </c>
      <c r="BY428">
        <f>IFERROR(INDEX(PP_Grid[#Data],$DE428,74),0)</f>
        <v/>
      </c>
      <c r="BZ428">
        <f>IFERROR(INDEX(PP_Grid[#Data],$DE428,75),0)</f>
        <v/>
      </c>
      <c r="CA428">
        <f>IFERROR(INDEX(PP_Grid[#Data],$DE428,76),0)</f>
        <v/>
      </c>
      <c r="CB428">
        <f>IFERROR(INDEX(PP_Grid[#Data],$DE428,77),0)</f>
        <v/>
      </c>
      <c r="CC428">
        <f>IFERROR(INDEX(PP_Grid[#Data],$DE428,78),0)</f>
        <v/>
      </c>
      <c r="CD428">
        <f>IFERROR(INDEX(PP_Grid[#Data],$DE428,79),0)</f>
        <v/>
      </c>
      <c r="CE428">
        <f>IFERROR(INDEX(PP_Grid[#Data],$DE428,80),0)</f>
        <v/>
      </c>
      <c r="CF428">
        <f>IFERROR(INDEX(PP_Grid[#Data],$DE428,81),0)</f>
        <v/>
      </c>
      <c r="CG428">
        <f>IFERROR(INDEX(PP_Grid[#Data],$DE428,82),0)</f>
        <v/>
      </c>
      <c r="CH428">
        <f>IFERROR(INDEX(PP_Grid[#Data],$DE428,83),0)</f>
        <v/>
      </c>
      <c r="CI428">
        <f>IFERROR(INDEX(PP_Grid[#Data],$DE428,84),0)</f>
        <v/>
      </c>
      <c r="CJ428">
        <f>IFERROR(INDEX(PP_Grid[#Data],$DE428,85),0)</f>
        <v/>
      </c>
      <c r="CK428">
        <f>IFERROR(INDEX(PP_Grid[#Data],$DE428,86),0)</f>
        <v/>
      </c>
      <c r="CL428">
        <f>IFERROR(INDEX(PP_Grid[#Data],$DE428,87),0)</f>
        <v/>
      </c>
      <c r="CM428">
        <f>IFERROR(INDEX(PP_Grid[#Data],$DE428,88),0)</f>
        <v/>
      </c>
      <c r="CN428">
        <f>IFERROR(INDEX(PP_Grid[#Data],$DE428,89),0)</f>
        <v/>
      </c>
      <c r="CO428">
        <f>IFERROR(INDEX(PP_Grid[#Data],$DE428,90),0)</f>
        <v/>
      </c>
      <c r="CP428">
        <f>IFERROR(INDEX(PP_Grid[#Data],$DE428,91),0)</f>
        <v/>
      </c>
      <c r="CQ428">
        <f>IFERROR(INDEX(PP_Grid[#Data],$DE428,92),0)</f>
        <v/>
      </c>
      <c r="CR428">
        <f>IFERROR(INDEX(PP_Grid[#Data],$DE428,93),0)</f>
        <v/>
      </c>
      <c r="CS428">
        <f>IFERROR(INDEX(PP_Grid[#Data],$DE428,94),0)</f>
        <v/>
      </c>
      <c r="CT428">
        <f>IFERROR(INDEX(PP_Grid[#Data],$DE428,95),0)</f>
        <v/>
      </c>
      <c r="CU428">
        <f>IFERROR(INDEX(PP_Grid[#Data],$DE428,96),0)</f>
        <v/>
      </c>
      <c r="CV428">
        <f>IFERROR(INDEX(PP_Grid[#Data],$DE428,97),0)</f>
        <v/>
      </c>
      <c r="CW428">
        <f>IFERROR(INDEX(PP_Grid[#Data],$DE428,98),0)</f>
        <v/>
      </c>
      <c r="CX428">
        <f>IFERROR(INDEX(PP_Grid[#Data],$DE428,99),0)</f>
        <v/>
      </c>
      <c r="CY428">
        <f>IFERROR(INDEX(PP_Grid[#Data],$DE428,100),0)</f>
        <v/>
      </c>
      <c r="CZ428">
        <f>IFERROR(INDEX(PP_Grid[#Data],$DE428,101),0)</f>
        <v/>
      </c>
      <c r="DA428">
        <f>IFERROR(INDEX(PP_Grid[#Data],$DE428,102),0)</f>
        <v/>
      </c>
      <c r="DB428">
        <f>IFERROR(INDEX(PP_Grid[#Data],$DE428,103),0)</f>
        <v/>
      </c>
      <c r="DC428">
        <f>IFERROR(INDEX(PP_Grid[#Data],$DE428,104),0)</f>
        <v/>
      </c>
      <c r="DD428">
        <f>IFERROR(INDEX(PP_Grid[#Data],$DE428,105),0)</f>
        <v/>
      </c>
      <c r="DE428" s="7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SUMIFS(M_BOM[RM_Qty_Per_Batch],M_BOM[Intermediate],$B428,M_BOM[RM_Code],$A325)</f>
        <v/>
      </c>
      <c r="D429">
        <f>IFERROR(INDEX(E429:DD429,$F$1),"")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  <c r="DD429">
        <f>$C429*DD428</f>
        <v/>
      </c>
    </row>
    <row r="430">
      <c r="B430" t="inlineStr">
        <is>
          <t>TVS-833</t>
        </is>
      </c>
      <c r="C430" t="inlineStr">
        <is>
          <t>No. of batches</t>
        </is>
      </c>
      <c r="D430">
        <f>IFERROR(INDEX(E430:DD430,$F$1),"")</f>
        <v/>
      </c>
      <c r="E430">
        <f>IFERROR(INDEX(PP_Grid[#Data],$DE430,2),0)</f>
        <v/>
      </c>
      <c r="F430">
        <f>IFERROR(INDEX(PP_Grid[#Data],$DE430,3),0)</f>
        <v/>
      </c>
      <c r="G430">
        <f>IFERROR(INDEX(PP_Grid[#Data],$DE430,4),0)</f>
        <v/>
      </c>
      <c r="H430">
        <f>IFERROR(INDEX(PP_Grid[#Data],$DE430,5),0)</f>
        <v/>
      </c>
      <c r="I430">
        <f>IFERROR(INDEX(PP_Grid[#Data],$DE430,6),0)</f>
        <v/>
      </c>
      <c r="J430">
        <f>IFERROR(INDEX(PP_Grid[#Data],$DE430,7),0)</f>
        <v/>
      </c>
      <c r="K430">
        <f>IFERROR(INDEX(PP_Grid[#Data],$DE430,8),0)</f>
        <v/>
      </c>
      <c r="L430">
        <f>IFERROR(INDEX(PP_Grid[#Data],$DE430,9),0)</f>
        <v/>
      </c>
      <c r="M430">
        <f>IFERROR(INDEX(PP_Grid[#Data],$DE430,10),0)</f>
        <v/>
      </c>
      <c r="N430">
        <f>IFERROR(INDEX(PP_Grid[#Data],$DE430,11),0)</f>
        <v/>
      </c>
      <c r="O430">
        <f>IFERROR(INDEX(PP_Grid[#Data],$DE430,12),0)</f>
        <v/>
      </c>
      <c r="P430">
        <f>IFERROR(INDEX(PP_Grid[#Data],$DE430,13),0)</f>
        <v/>
      </c>
      <c r="Q430">
        <f>IFERROR(INDEX(PP_Grid[#Data],$DE430,14),0)</f>
        <v/>
      </c>
      <c r="R430">
        <f>IFERROR(INDEX(PP_Grid[#Data],$DE430,15),0)</f>
        <v/>
      </c>
      <c r="S430">
        <f>IFERROR(INDEX(PP_Grid[#Data],$DE430,16),0)</f>
        <v/>
      </c>
      <c r="T430">
        <f>IFERROR(INDEX(PP_Grid[#Data],$DE430,17),0)</f>
        <v/>
      </c>
      <c r="U430">
        <f>IFERROR(INDEX(PP_Grid[#Data],$DE430,18),0)</f>
        <v/>
      </c>
      <c r="V430">
        <f>IFERROR(INDEX(PP_Grid[#Data],$DE430,19),0)</f>
        <v/>
      </c>
      <c r="W430">
        <f>IFERROR(INDEX(PP_Grid[#Data],$DE430,20),0)</f>
        <v/>
      </c>
      <c r="X430">
        <f>IFERROR(INDEX(PP_Grid[#Data],$DE430,21),0)</f>
        <v/>
      </c>
      <c r="Y430">
        <f>IFERROR(INDEX(PP_Grid[#Data],$DE430,22),0)</f>
        <v/>
      </c>
      <c r="Z430">
        <f>IFERROR(INDEX(PP_Grid[#Data],$DE430,23),0)</f>
        <v/>
      </c>
      <c r="AA430">
        <f>IFERROR(INDEX(PP_Grid[#Data],$DE430,24),0)</f>
        <v/>
      </c>
      <c r="AB430">
        <f>IFERROR(INDEX(PP_Grid[#Data],$DE430,25),0)</f>
        <v/>
      </c>
      <c r="AC430">
        <f>IFERROR(INDEX(PP_Grid[#Data],$DE430,26),0)</f>
        <v/>
      </c>
      <c r="AD430">
        <f>IFERROR(INDEX(PP_Grid[#Data],$DE430,27),0)</f>
        <v/>
      </c>
      <c r="AE430">
        <f>IFERROR(INDEX(PP_Grid[#Data],$DE430,28),0)</f>
        <v/>
      </c>
      <c r="AF430">
        <f>IFERROR(INDEX(PP_Grid[#Data],$DE430,29),0)</f>
        <v/>
      </c>
      <c r="AG430">
        <f>IFERROR(INDEX(PP_Grid[#Data],$DE430,30),0)</f>
        <v/>
      </c>
      <c r="AH430">
        <f>IFERROR(INDEX(PP_Grid[#Data],$DE430,31),0)</f>
        <v/>
      </c>
      <c r="AI430">
        <f>IFERROR(INDEX(PP_Grid[#Data],$DE430,32),0)</f>
        <v/>
      </c>
      <c r="AJ430">
        <f>IFERROR(INDEX(PP_Grid[#Data],$DE430,33),0)</f>
        <v/>
      </c>
      <c r="AK430">
        <f>IFERROR(INDEX(PP_Grid[#Data],$DE430,34),0)</f>
        <v/>
      </c>
      <c r="AL430">
        <f>IFERROR(INDEX(PP_Grid[#Data],$DE430,35),0)</f>
        <v/>
      </c>
      <c r="AM430">
        <f>IFERROR(INDEX(PP_Grid[#Data],$DE430,36),0)</f>
        <v/>
      </c>
      <c r="AN430">
        <f>IFERROR(INDEX(PP_Grid[#Data],$DE430,37),0)</f>
        <v/>
      </c>
      <c r="AO430">
        <f>IFERROR(INDEX(PP_Grid[#Data],$DE430,38),0)</f>
        <v/>
      </c>
      <c r="AP430">
        <f>IFERROR(INDEX(PP_Grid[#Data],$DE430,39),0)</f>
        <v/>
      </c>
      <c r="AQ430">
        <f>IFERROR(INDEX(PP_Grid[#Data],$DE430,40),0)</f>
        <v/>
      </c>
      <c r="AR430">
        <f>IFERROR(INDEX(PP_Grid[#Data],$DE430,41),0)</f>
        <v/>
      </c>
      <c r="AS430">
        <f>IFERROR(INDEX(PP_Grid[#Data],$DE430,42),0)</f>
        <v/>
      </c>
      <c r="AT430">
        <f>IFERROR(INDEX(PP_Grid[#Data],$DE430,43),0)</f>
        <v/>
      </c>
      <c r="AU430">
        <f>IFERROR(INDEX(PP_Grid[#Data],$DE430,44),0)</f>
        <v/>
      </c>
      <c r="AV430">
        <f>IFERROR(INDEX(PP_Grid[#Data],$DE430,45),0)</f>
        <v/>
      </c>
      <c r="AW430">
        <f>IFERROR(INDEX(PP_Grid[#Data],$DE430,46),0)</f>
        <v/>
      </c>
      <c r="AX430">
        <f>IFERROR(INDEX(PP_Grid[#Data],$DE430,47),0)</f>
        <v/>
      </c>
      <c r="AY430">
        <f>IFERROR(INDEX(PP_Grid[#Data],$DE430,48),0)</f>
        <v/>
      </c>
      <c r="AZ430">
        <f>IFERROR(INDEX(PP_Grid[#Data],$DE430,49),0)</f>
        <v/>
      </c>
      <c r="BA430">
        <f>IFERROR(INDEX(PP_Grid[#Data],$DE430,50),0)</f>
        <v/>
      </c>
      <c r="BB430">
        <f>IFERROR(INDEX(PP_Grid[#Data],$DE430,51),0)</f>
        <v/>
      </c>
      <c r="BC430">
        <f>IFERROR(INDEX(PP_Grid[#Data],$DE430,52),0)</f>
        <v/>
      </c>
      <c r="BD430">
        <f>IFERROR(INDEX(PP_Grid[#Data],$DE430,53),0)</f>
        <v/>
      </c>
      <c r="BE430">
        <f>IFERROR(INDEX(PP_Grid[#Data],$DE430,54),0)</f>
        <v/>
      </c>
      <c r="BF430">
        <f>IFERROR(INDEX(PP_Grid[#Data],$DE430,55),0)</f>
        <v/>
      </c>
      <c r="BG430">
        <f>IFERROR(INDEX(PP_Grid[#Data],$DE430,56),0)</f>
        <v/>
      </c>
      <c r="BH430">
        <f>IFERROR(INDEX(PP_Grid[#Data],$DE430,57),0)</f>
        <v/>
      </c>
      <c r="BI430">
        <f>IFERROR(INDEX(PP_Grid[#Data],$DE430,58),0)</f>
        <v/>
      </c>
      <c r="BJ430">
        <f>IFERROR(INDEX(PP_Grid[#Data],$DE430,59),0)</f>
        <v/>
      </c>
      <c r="BK430">
        <f>IFERROR(INDEX(PP_Grid[#Data],$DE430,60),0)</f>
        <v/>
      </c>
      <c r="BL430">
        <f>IFERROR(INDEX(PP_Grid[#Data],$DE430,61),0)</f>
        <v/>
      </c>
      <c r="BM430">
        <f>IFERROR(INDEX(PP_Grid[#Data],$DE430,62),0)</f>
        <v/>
      </c>
      <c r="BN430">
        <f>IFERROR(INDEX(PP_Grid[#Data],$DE430,63),0)</f>
        <v/>
      </c>
      <c r="BO430">
        <f>IFERROR(INDEX(PP_Grid[#Data],$DE430,64),0)</f>
        <v/>
      </c>
      <c r="BP430">
        <f>IFERROR(INDEX(PP_Grid[#Data],$DE430,65),0)</f>
        <v/>
      </c>
      <c r="BQ430">
        <f>IFERROR(INDEX(PP_Grid[#Data],$DE430,66),0)</f>
        <v/>
      </c>
      <c r="BR430">
        <f>IFERROR(INDEX(PP_Grid[#Data],$DE430,67),0)</f>
        <v/>
      </c>
      <c r="BS430">
        <f>IFERROR(INDEX(PP_Grid[#Data],$DE430,68),0)</f>
        <v/>
      </c>
      <c r="BT430">
        <f>IFERROR(INDEX(PP_Grid[#Data],$DE430,69),0)</f>
        <v/>
      </c>
      <c r="BU430">
        <f>IFERROR(INDEX(PP_Grid[#Data],$DE430,70),0)</f>
        <v/>
      </c>
      <c r="BV430">
        <f>IFERROR(INDEX(PP_Grid[#Data],$DE430,71),0)</f>
        <v/>
      </c>
      <c r="BW430">
        <f>IFERROR(INDEX(PP_Grid[#Data],$DE430,72),0)</f>
        <v/>
      </c>
      <c r="BX430">
        <f>IFERROR(INDEX(PP_Grid[#Data],$DE430,73),0)</f>
        <v/>
      </c>
      <c r="BY430">
        <f>IFERROR(INDEX(PP_Grid[#Data],$DE430,74),0)</f>
        <v/>
      </c>
      <c r="BZ430">
        <f>IFERROR(INDEX(PP_Grid[#Data],$DE430,75),0)</f>
        <v/>
      </c>
      <c r="CA430">
        <f>IFERROR(INDEX(PP_Grid[#Data],$DE430,76),0)</f>
        <v/>
      </c>
      <c r="CB430">
        <f>IFERROR(INDEX(PP_Grid[#Data],$DE430,77),0)</f>
        <v/>
      </c>
      <c r="CC430">
        <f>IFERROR(INDEX(PP_Grid[#Data],$DE430,78),0)</f>
        <v/>
      </c>
      <c r="CD430">
        <f>IFERROR(INDEX(PP_Grid[#Data],$DE430,79),0)</f>
        <v/>
      </c>
      <c r="CE430">
        <f>IFERROR(INDEX(PP_Grid[#Data],$DE430,80),0)</f>
        <v/>
      </c>
      <c r="CF430">
        <f>IFERROR(INDEX(PP_Grid[#Data],$DE430,81),0)</f>
        <v/>
      </c>
      <c r="CG430">
        <f>IFERROR(INDEX(PP_Grid[#Data],$DE430,82),0)</f>
        <v/>
      </c>
      <c r="CH430">
        <f>IFERROR(INDEX(PP_Grid[#Data],$DE430,83),0)</f>
        <v/>
      </c>
      <c r="CI430">
        <f>IFERROR(INDEX(PP_Grid[#Data],$DE430,84),0)</f>
        <v/>
      </c>
      <c r="CJ430">
        <f>IFERROR(INDEX(PP_Grid[#Data],$DE430,85),0)</f>
        <v/>
      </c>
      <c r="CK430">
        <f>IFERROR(INDEX(PP_Grid[#Data],$DE430,86),0)</f>
        <v/>
      </c>
      <c r="CL430">
        <f>IFERROR(INDEX(PP_Grid[#Data],$DE430,87),0)</f>
        <v/>
      </c>
      <c r="CM430">
        <f>IFERROR(INDEX(PP_Grid[#Data],$DE430,88),0)</f>
        <v/>
      </c>
      <c r="CN430">
        <f>IFERROR(INDEX(PP_Grid[#Data],$DE430,89),0)</f>
        <v/>
      </c>
      <c r="CO430">
        <f>IFERROR(INDEX(PP_Grid[#Data],$DE430,90),0)</f>
        <v/>
      </c>
      <c r="CP430">
        <f>IFERROR(INDEX(PP_Grid[#Data],$DE430,91),0)</f>
        <v/>
      </c>
      <c r="CQ430">
        <f>IFERROR(INDEX(PP_Grid[#Data],$DE430,92),0)</f>
        <v/>
      </c>
      <c r="CR430">
        <f>IFERROR(INDEX(PP_Grid[#Data],$DE430,93),0)</f>
        <v/>
      </c>
      <c r="CS430">
        <f>IFERROR(INDEX(PP_Grid[#Data],$DE430,94),0)</f>
        <v/>
      </c>
      <c r="CT430">
        <f>IFERROR(INDEX(PP_Grid[#Data],$DE430,95),0)</f>
        <v/>
      </c>
      <c r="CU430">
        <f>IFERROR(INDEX(PP_Grid[#Data],$DE430,96),0)</f>
        <v/>
      </c>
      <c r="CV430">
        <f>IFERROR(INDEX(PP_Grid[#Data],$DE430,97),0)</f>
        <v/>
      </c>
      <c r="CW430">
        <f>IFERROR(INDEX(PP_Grid[#Data],$DE430,98),0)</f>
        <v/>
      </c>
      <c r="CX430">
        <f>IFERROR(INDEX(PP_Grid[#Data],$DE430,99),0)</f>
        <v/>
      </c>
      <c r="CY430">
        <f>IFERROR(INDEX(PP_Grid[#Data],$DE430,100),0)</f>
        <v/>
      </c>
      <c r="CZ430">
        <f>IFERROR(INDEX(PP_Grid[#Data],$DE430,101),0)</f>
        <v/>
      </c>
      <c r="DA430">
        <f>IFERROR(INDEX(PP_Grid[#Data],$DE430,102),0)</f>
        <v/>
      </c>
      <c r="DB430">
        <f>IFERROR(INDEX(PP_Grid[#Data],$DE430,103),0)</f>
        <v/>
      </c>
      <c r="DC430">
        <f>IFERROR(INDEX(PP_Grid[#Data],$DE430,104),0)</f>
        <v/>
      </c>
      <c r="DD430">
        <f>IFERROR(INDEX(PP_Grid[#Data],$DE430,105),0)</f>
        <v/>
      </c>
      <c r="DE430" s="7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SUMIFS(M_BOM[RM_Qty_Per_Batch],M_BOM[Intermediate],$B430,M_BOM[RM_Code],$A325)</f>
        <v/>
      </c>
      <c r="D431">
        <f>IFERROR(INDEX(E431:DD431,$F$1),"")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  <c r="DD431">
        <f>$C431*DD430</f>
        <v/>
      </c>
    </row>
    <row r="432">
      <c r="B432" t="inlineStr">
        <is>
          <t>TSP-1388</t>
        </is>
      </c>
      <c r="C432" t="inlineStr">
        <is>
          <t>No. of batches</t>
        </is>
      </c>
      <c r="D432">
        <f>IFERROR(INDEX(E432:DD432,$F$1),"")</f>
        <v/>
      </c>
      <c r="E432">
        <f>IFERROR(INDEX(PP_Grid[#Data],$DE432,2),0)</f>
        <v/>
      </c>
      <c r="F432">
        <f>IFERROR(INDEX(PP_Grid[#Data],$DE432,3),0)</f>
        <v/>
      </c>
      <c r="G432">
        <f>IFERROR(INDEX(PP_Grid[#Data],$DE432,4),0)</f>
        <v/>
      </c>
      <c r="H432">
        <f>IFERROR(INDEX(PP_Grid[#Data],$DE432,5),0)</f>
        <v/>
      </c>
      <c r="I432">
        <f>IFERROR(INDEX(PP_Grid[#Data],$DE432,6),0)</f>
        <v/>
      </c>
      <c r="J432">
        <f>IFERROR(INDEX(PP_Grid[#Data],$DE432,7),0)</f>
        <v/>
      </c>
      <c r="K432">
        <f>IFERROR(INDEX(PP_Grid[#Data],$DE432,8),0)</f>
        <v/>
      </c>
      <c r="L432">
        <f>IFERROR(INDEX(PP_Grid[#Data],$DE432,9),0)</f>
        <v/>
      </c>
      <c r="M432">
        <f>IFERROR(INDEX(PP_Grid[#Data],$DE432,10),0)</f>
        <v/>
      </c>
      <c r="N432">
        <f>IFERROR(INDEX(PP_Grid[#Data],$DE432,11),0)</f>
        <v/>
      </c>
      <c r="O432">
        <f>IFERROR(INDEX(PP_Grid[#Data],$DE432,12),0)</f>
        <v/>
      </c>
      <c r="P432">
        <f>IFERROR(INDEX(PP_Grid[#Data],$DE432,13),0)</f>
        <v/>
      </c>
      <c r="Q432">
        <f>IFERROR(INDEX(PP_Grid[#Data],$DE432,14),0)</f>
        <v/>
      </c>
      <c r="R432">
        <f>IFERROR(INDEX(PP_Grid[#Data],$DE432,15),0)</f>
        <v/>
      </c>
      <c r="S432">
        <f>IFERROR(INDEX(PP_Grid[#Data],$DE432,16),0)</f>
        <v/>
      </c>
      <c r="T432">
        <f>IFERROR(INDEX(PP_Grid[#Data],$DE432,17),0)</f>
        <v/>
      </c>
      <c r="U432">
        <f>IFERROR(INDEX(PP_Grid[#Data],$DE432,18),0)</f>
        <v/>
      </c>
      <c r="V432">
        <f>IFERROR(INDEX(PP_Grid[#Data],$DE432,19),0)</f>
        <v/>
      </c>
      <c r="W432">
        <f>IFERROR(INDEX(PP_Grid[#Data],$DE432,20),0)</f>
        <v/>
      </c>
      <c r="X432">
        <f>IFERROR(INDEX(PP_Grid[#Data],$DE432,21),0)</f>
        <v/>
      </c>
      <c r="Y432">
        <f>IFERROR(INDEX(PP_Grid[#Data],$DE432,22),0)</f>
        <v/>
      </c>
      <c r="Z432">
        <f>IFERROR(INDEX(PP_Grid[#Data],$DE432,23),0)</f>
        <v/>
      </c>
      <c r="AA432">
        <f>IFERROR(INDEX(PP_Grid[#Data],$DE432,24),0)</f>
        <v/>
      </c>
      <c r="AB432">
        <f>IFERROR(INDEX(PP_Grid[#Data],$DE432,25),0)</f>
        <v/>
      </c>
      <c r="AC432">
        <f>IFERROR(INDEX(PP_Grid[#Data],$DE432,26),0)</f>
        <v/>
      </c>
      <c r="AD432">
        <f>IFERROR(INDEX(PP_Grid[#Data],$DE432,27),0)</f>
        <v/>
      </c>
      <c r="AE432">
        <f>IFERROR(INDEX(PP_Grid[#Data],$DE432,28),0)</f>
        <v/>
      </c>
      <c r="AF432">
        <f>IFERROR(INDEX(PP_Grid[#Data],$DE432,29),0)</f>
        <v/>
      </c>
      <c r="AG432">
        <f>IFERROR(INDEX(PP_Grid[#Data],$DE432,30),0)</f>
        <v/>
      </c>
      <c r="AH432">
        <f>IFERROR(INDEX(PP_Grid[#Data],$DE432,31),0)</f>
        <v/>
      </c>
      <c r="AI432">
        <f>IFERROR(INDEX(PP_Grid[#Data],$DE432,32),0)</f>
        <v/>
      </c>
      <c r="AJ432">
        <f>IFERROR(INDEX(PP_Grid[#Data],$DE432,33),0)</f>
        <v/>
      </c>
      <c r="AK432">
        <f>IFERROR(INDEX(PP_Grid[#Data],$DE432,34),0)</f>
        <v/>
      </c>
      <c r="AL432">
        <f>IFERROR(INDEX(PP_Grid[#Data],$DE432,35),0)</f>
        <v/>
      </c>
      <c r="AM432">
        <f>IFERROR(INDEX(PP_Grid[#Data],$DE432,36),0)</f>
        <v/>
      </c>
      <c r="AN432">
        <f>IFERROR(INDEX(PP_Grid[#Data],$DE432,37),0)</f>
        <v/>
      </c>
      <c r="AO432">
        <f>IFERROR(INDEX(PP_Grid[#Data],$DE432,38),0)</f>
        <v/>
      </c>
      <c r="AP432">
        <f>IFERROR(INDEX(PP_Grid[#Data],$DE432,39),0)</f>
        <v/>
      </c>
      <c r="AQ432">
        <f>IFERROR(INDEX(PP_Grid[#Data],$DE432,40),0)</f>
        <v/>
      </c>
      <c r="AR432">
        <f>IFERROR(INDEX(PP_Grid[#Data],$DE432,41),0)</f>
        <v/>
      </c>
      <c r="AS432">
        <f>IFERROR(INDEX(PP_Grid[#Data],$DE432,42),0)</f>
        <v/>
      </c>
      <c r="AT432">
        <f>IFERROR(INDEX(PP_Grid[#Data],$DE432,43),0)</f>
        <v/>
      </c>
      <c r="AU432">
        <f>IFERROR(INDEX(PP_Grid[#Data],$DE432,44),0)</f>
        <v/>
      </c>
      <c r="AV432">
        <f>IFERROR(INDEX(PP_Grid[#Data],$DE432,45),0)</f>
        <v/>
      </c>
      <c r="AW432">
        <f>IFERROR(INDEX(PP_Grid[#Data],$DE432,46),0)</f>
        <v/>
      </c>
      <c r="AX432">
        <f>IFERROR(INDEX(PP_Grid[#Data],$DE432,47),0)</f>
        <v/>
      </c>
      <c r="AY432">
        <f>IFERROR(INDEX(PP_Grid[#Data],$DE432,48),0)</f>
        <v/>
      </c>
      <c r="AZ432">
        <f>IFERROR(INDEX(PP_Grid[#Data],$DE432,49),0)</f>
        <v/>
      </c>
      <c r="BA432">
        <f>IFERROR(INDEX(PP_Grid[#Data],$DE432,50),0)</f>
        <v/>
      </c>
      <c r="BB432">
        <f>IFERROR(INDEX(PP_Grid[#Data],$DE432,51),0)</f>
        <v/>
      </c>
      <c r="BC432">
        <f>IFERROR(INDEX(PP_Grid[#Data],$DE432,52),0)</f>
        <v/>
      </c>
      <c r="BD432">
        <f>IFERROR(INDEX(PP_Grid[#Data],$DE432,53),0)</f>
        <v/>
      </c>
      <c r="BE432">
        <f>IFERROR(INDEX(PP_Grid[#Data],$DE432,54),0)</f>
        <v/>
      </c>
      <c r="BF432">
        <f>IFERROR(INDEX(PP_Grid[#Data],$DE432,55),0)</f>
        <v/>
      </c>
      <c r="BG432">
        <f>IFERROR(INDEX(PP_Grid[#Data],$DE432,56),0)</f>
        <v/>
      </c>
      <c r="BH432">
        <f>IFERROR(INDEX(PP_Grid[#Data],$DE432,57),0)</f>
        <v/>
      </c>
      <c r="BI432">
        <f>IFERROR(INDEX(PP_Grid[#Data],$DE432,58),0)</f>
        <v/>
      </c>
      <c r="BJ432">
        <f>IFERROR(INDEX(PP_Grid[#Data],$DE432,59),0)</f>
        <v/>
      </c>
      <c r="BK432">
        <f>IFERROR(INDEX(PP_Grid[#Data],$DE432,60),0)</f>
        <v/>
      </c>
      <c r="BL432">
        <f>IFERROR(INDEX(PP_Grid[#Data],$DE432,61),0)</f>
        <v/>
      </c>
      <c r="BM432">
        <f>IFERROR(INDEX(PP_Grid[#Data],$DE432,62),0)</f>
        <v/>
      </c>
      <c r="BN432">
        <f>IFERROR(INDEX(PP_Grid[#Data],$DE432,63),0)</f>
        <v/>
      </c>
      <c r="BO432">
        <f>IFERROR(INDEX(PP_Grid[#Data],$DE432,64),0)</f>
        <v/>
      </c>
      <c r="BP432">
        <f>IFERROR(INDEX(PP_Grid[#Data],$DE432,65),0)</f>
        <v/>
      </c>
      <c r="BQ432">
        <f>IFERROR(INDEX(PP_Grid[#Data],$DE432,66),0)</f>
        <v/>
      </c>
      <c r="BR432">
        <f>IFERROR(INDEX(PP_Grid[#Data],$DE432,67),0)</f>
        <v/>
      </c>
      <c r="BS432">
        <f>IFERROR(INDEX(PP_Grid[#Data],$DE432,68),0)</f>
        <v/>
      </c>
      <c r="BT432">
        <f>IFERROR(INDEX(PP_Grid[#Data],$DE432,69),0)</f>
        <v/>
      </c>
      <c r="BU432">
        <f>IFERROR(INDEX(PP_Grid[#Data],$DE432,70),0)</f>
        <v/>
      </c>
      <c r="BV432">
        <f>IFERROR(INDEX(PP_Grid[#Data],$DE432,71),0)</f>
        <v/>
      </c>
      <c r="BW432">
        <f>IFERROR(INDEX(PP_Grid[#Data],$DE432,72),0)</f>
        <v/>
      </c>
      <c r="BX432">
        <f>IFERROR(INDEX(PP_Grid[#Data],$DE432,73),0)</f>
        <v/>
      </c>
      <c r="BY432">
        <f>IFERROR(INDEX(PP_Grid[#Data],$DE432,74),0)</f>
        <v/>
      </c>
      <c r="BZ432">
        <f>IFERROR(INDEX(PP_Grid[#Data],$DE432,75),0)</f>
        <v/>
      </c>
      <c r="CA432">
        <f>IFERROR(INDEX(PP_Grid[#Data],$DE432,76),0)</f>
        <v/>
      </c>
      <c r="CB432">
        <f>IFERROR(INDEX(PP_Grid[#Data],$DE432,77),0)</f>
        <v/>
      </c>
      <c r="CC432">
        <f>IFERROR(INDEX(PP_Grid[#Data],$DE432,78),0)</f>
        <v/>
      </c>
      <c r="CD432">
        <f>IFERROR(INDEX(PP_Grid[#Data],$DE432,79),0)</f>
        <v/>
      </c>
      <c r="CE432">
        <f>IFERROR(INDEX(PP_Grid[#Data],$DE432,80),0)</f>
        <v/>
      </c>
      <c r="CF432">
        <f>IFERROR(INDEX(PP_Grid[#Data],$DE432,81),0)</f>
        <v/>
      </c>
      <c r="CG432">
        <f>IFERROR(INDEX(PP_Grid[#Data],$DE432,82),0)</f>
        <v/>
      </c>
      <c r="CH432">
        <f>IFERROR(INDEX(PP_Grid[#Data],$DE432,83),0)</f>
        <v/>
      </c>
      <c r="CI432">
        <f>IFERROR(INDEX(PP_Grid[#Data],$DE432,84),0)</f>
        <v/>
      </c>
      <c r="CJ432">
        <f>IFERROR(INDEX(PP_Grid[#Data],$DE432,85),0)</f>
        <v/>
      </c>
      <c r="CK432">
        <f>IFERROR(INDEX(PP_Grid[#Data],$DE432,86),0)</f>
        <v/>
      </c>
      <c r="CL432">
        <f>IFERROR(INDEX(PP_Grid[#Data],$DE432,87),0)</f>
        <v/>
      </c>
      <c r="CM432">
        <f>IFERROR(INDEX(PP_Grid[#Data],$DE432,88),0)</f>
        <v/>
      </c>
      <c r="CN432">
        <f>IFERROR(INDEX(PP_Grid[#Data],$DE432,89),0)</f>
        <v/>
      </c>
      <c r="CO432">
        <f>IFERROR(INDEX(PP_Grid[#Data],$DE432,90),0)</f>
        <v/>
      </c>
      <c r="CP432">
        <f>IFERROR(INDEX(PP_Grid[#Data],$DE432,91),0)</f>
        <v/>
      </c>
      <c r="CQ432">
        <f>IFERROR(INDEX(PP_Grid[#Data],$DE432,92),0)</f>
        <v/>
      </c>
      <c r="CR432">
        <f>IFERROR(INDEX(PP_Grid[#Data],$DE432,93),0)</f>
        <v/>
      </c>
      <c r="CS432">
        <f>IFERROR(INDEX(PP_Grid[#Data],$DE432,94),0)</f>
        <v/>
      </c>
      <c r="CT432">
        <f>IFERROR(INDEX(PP_Grid[#Data],$DE432,95),0)</f>
        <v/>
      </c>
      <c r="CU432">
        <f>IFERROR(INDEX(PP_Grid[#Data],$DE432,96),0)</f>
        <v/>
      </c>
      <c r="CV432">
        <f>IFERROR(INDEX(PP_Grid[#Data],$DE432,97),0)</f>
        <v/>
      </c>
      <c r="CW432">
        <f>IFERROR(INDEX(PP_Grid[#Data],$DE432,98),0)</f>
        <v/>
      </c>
      <c r="CX432">
        <f>IFERROR(INDEX(PP_Grid[#Data],$DE432,99),0)</f>
        <v/>
      </c>
      <c r="CY432">
        <f>IFERROR(INDEX(PP_Grid[#Data],$DE432,100),0)</f>
        <v/>
      </c>
      <c r="CZ432">
        <f>IFERROR(INDEX(PP_Grid[#Data],$DE432,101),0)</f>
        <v/>
      </c>
      <c r="DA432">
        <f>IFERROR(INDEX(PP_Grid[#Data],$DE432,102),0)</f>
        <v/>
      </c>
      <c r="DB432">
        <f>IFERROR(INDEX(PP_Grid[#Data],$DE432,103),0)</f>
        <v/>
      </c>
      <c r="DC432">
        <f>IFERROR(INDEX(PP_Grid[#Data],$DE432,104),0)</f>
        <v/>
      </c>
      <c r="DD432">
        <f>IFERROR(INDEX(PP_Grid[#Data],$DE432,105),0)</f>
        <v/>
      </c>
      <c r="DE432" s="7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SUMIFS(M_BOM[RM_Qty_Per_Batch],M_BOM[Intermediate],$B432,M_BOM[RM_Code],$A325)</f>
        <v/>
      </c>
      <c r="D433">
        <f>IFERROR(INDEX(E433:DD433,$F$1),"")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  <c r="DD433">
        <f>$C433*DD432</f>
        <v/>
      </c>
    </row>
    <row r="434">
      <c r="B434" t="inlineStr">
        <is>
          <t>TSP-1444</t>
        </is>
      </c>
      <c r="C434" t="inlineStr">
        <is>
          <t>No. of batches</t>
        </is>
      </c>
      <c r="D434">
        <f>IFERROR(INDEX(E434:DD434,$F$1),"")</f>
        <v/>
      </c>
      <c r="E434">
        <f>IFERROR(INDEX(PP_Grid[#Data],$DE434,2),0)</f>
        <v/>
      </c>
      <c r="F434">
        <f>IFERROR(INDEX(PP_Grid[#Data],$DE434,3),0)</f>
        <v/>
      </c>
      <c r="G434">
        <f>IFERROR(INDEX(PP_Grid[#Data],$DE434,4),0)</f>
        <v/>
      </c>
      <c r="H434">
        <f>IFERROR(INDEX(PP_Grid[#Data],$DE434,5),0)</f>
        <v/>
      </c>
      <c r="I434">
        <f>IFERROR(INDEX(PP_Grid[#Data],$DE434,6),0)</f>
        <v/>
      </c>
      <c r="J434">
        <f>IFERROR(INDEX(PP_Grid[#Data],$DE434,7),0)</f>
        <v/>
      </c>
      <c r="K434">
        <f>IFERROR(INDEX(PP_Grid[#Data],$DE434,8),0)</f>
        <v/>
      </c>
      <c r="L434">
        <f>IFERROR(INDEX(PP_Grid[#Data],$DE434,9),0)</f>
        <v/>
      </c>
      <c r="M434">
        <f>IFERROR(INDEX(PP_Grid[#Data],$DE434,10),0)</f>
        <v/>
      </c>
      <c r="N434">
        <f>IFERROR(INDEX(PP_Grid[#Data],$DE434,11),0)</f>
        <v/>
      </c>
      <c r="O434">
        <f>IFERROR(INDEX(PP_Grid[#Data],$DE434,12),0)</f>
        <v/>
      </c>
      <c r="P434">
        <f>IFERROR(INDEX(PP_Grid[#Data],$DE434,13),0)</f>
        <v/>
      </c>
      <c r="Q434">
        <f>IFERROR(INDEX(PP_Grid[#Data],$DE434,14),0)</f>
        <v/>
      </c>
      <c r="R434">
        <f>IFERROR(INDEX(PP_Grid[#Data],$DE434,15),0)</f>
        <v/>
      </c>
      <c r="S434">
        <f>IFERROR(INDEX(PP_Grid[#Data],$DE434,16),0)</f>
        <v/>
      </c>
      <c r="T434">
        <f>IFERROR(INDEX(PP_Grid[#Data],$DE434,17),0)</f>
        <v/>
      </c>
      <c r="U434">
        <f>IFERROR(INDEX(PP_Grid[#Data],$DE434,18),0)</f>
        <v/>
      </c>
      <c r="V434">
        <f>IFERROR(INDEX(PP_Grid[#Data],$DE434,19),0)</f>
        <v/>
      </c>
      <c r="W434">
        <f>IFERROR(INDEX(PP_Grid[#Data],$DE434,20),0)</f>
        <v/>
      </c>
      <c r="X434">
        <f>IFERROR(INDEX(PP_Grid[#Data],$DE434,21),0)</f>
        <v/>
      </c>
      <c r="Y434">
        <f>IFERROR(INDEX(PP_Grid[#Data],$DE434,22),0)</f>
        <v/>
      </c>
      <c r="Z434">
        <f>IFERROR(INDEX(PP_Grid[#Data],$DE434,23),0)</f>
        <v/>
      </c>
      <c r="AA434">
        <f>IFERROR(INDEX(PP_Grid[#Data],$DE434,24),0)</f>
        <v/>
      </c>
      <c r="AB434">
        <f>IFERROR(INDEX(PP_Grid[#Data],$DE434,25),0)</f>
        <v/>
      </c>
      <c r="AC434">
        <f>IFERROR(INDEX(PP_Grid[#Data],$DE434,26),0)</f>
        <v/>
      </c>
      <c r="AD434">
        <f>IFERROR(INDEX(PP_Grid[#Data],$DE434,27),0)</f>
        <v/>
      </c>
      <c r="AE434">
        <f>IFERROR(INDEX(PP_Grid[#Data],$DE434,28),0)</f>
        <v/>
      </c>
      <c r="AF434">
        <f>IFERROR(INDEX(PP_Grid[#Data],$DE434,29),0)</f>
        <v/>
      </c>
      <c r="AG434">
        <f>IFERROR(INDEX(PP_Grid[#Data],$DE434,30),0)</f>
        <v/>
      </c>
      <c r="AH434">
        <f>IFERROR(INDEX(PP_Grid[#Data],$DE434,31),0)</f>
        <v/>
      </c>
      <c r="AI434">
        <f>IFERROR(INDEX(PP_Grid[#Data],$DE434,32),0)</f>
        <v/>
      </c>
      <c r="AJ434">
        <f>IFERROR(INDEX(PP_Grid[#Data],$DE434,33),0)</f>
        <v/>
      </c>
      <c r="AK434">
        <f>IFERROR(INDEX(PP_Grid[#Data],$DE434,34),0)</f>
        <v/>
      </c>
      <c r="AL434">
        <f>IFERROR(INDEX(PP_Grid[#Data],$DE434,35),0)</f>
        <v/>
      </c>
      <c r="AM434">
        <f>IFERROR(INDEX(PP_Grid[#Data],$DE434,36),0)</f>
        <v/>
      </c>
      <c r="AN434">
        <f>IFERROR(INDEX(PP_Grid[#Data],$DE434,37),0)</f>
        <v/>
      </c>
      <c r="AO434">
        <f>IFERROR(INDEX(PP_Grid[#Data],$DE434,38),0)</f>
        <v/>
      </c>
      <c r="AP434">
        <f>IFERROR(INDEX(PP_Grid[#Data],$DE434,39),0)</f>
        <v/>
      </c>
      <c r="AQ434">
        <f>IFERROR(INDEX(PP_Grid[#Data],$DE434,40),0)</f>
        <v/>
      </c>
      <c r="AR434">
        <f>IFERROR(INDEX(PP_Grid[#Data],$DE434,41),0)</f>
        <v/>
      </c>
      <c r="AS434">
        <f>IFERROR(INDEX(PP_Grid[#Data],$DE434,42),0)</f>
        <v/>
      </c>
      <c r="AT434">
        <f>IFERROR(INDEX(PP_Grid[#Data],$DE434,43),0)</f>
        <v/>
      </c>
      <c r="AU434">
        <f>IFERROR(INDEX(PP_Grid[#Data],$DE434,44),0)</f>
        <v/>
      </c>
      <c r="AV434">
        <f>IFERROR(INDEX(PP_Grid[#Data],$DE434,45),0)</f>
        <v/>
      </c>
      <c r="AW434">
        <f>IFERROR(INDEX(PP_Grid[#Data],$DE434,46),0)</f>
        <v/>
      </c>
      <c r="AX434">
        <f>IFERROR(INDEX(PP_Grid[#Data],$DE434,47),0)</f>
        <v/>
      </c>
      <c r="AY434">
        <f>IFERROR(INDEX(PP_Grid[#Data],$DE434,48),0)</f>
        <v/>
      </c>
      <c r="AZ434">
        <f>IFERROR(INDEX(PP_Grid[#Data],$DE434,49),0)</f>
        <v/>
      </c>
      <c r="BA434">
        <f>IFERROR(INDEX(PP_Grid[#Data],$DE434,50),0)</f>
        <v/>
      </c>
      <c r="BB434">
        <f>IFERROR(INDEX(PP_Grid[#Data],$DE434,51),0)</f>
        <v/>
      </c>
      <c r="BC434">
        <f>IFERROR(INDEX(PP_Grid[#Data],$DE434,52),0)</f>
        <v/>
      </c>
      <c r="BD434">
        <f>IFERROR(INDEX(PP_Grid[#Data],$DE434,53),0)</f>
        <v/>
      </c>
      <c r="BE434">
        <f>IFERROR(INDEX(PP_Grid[#Data],$DE434,54),0)</f>
        <v/>
      </c>
      <c r="BF434">
        <f>IFERROR(INDEX(PP_Grid[#Data],$DE434,55),0)</f>
        <v/>
      </c>
      <c r="BG434">
        <f>IFERROR(INDEX(PP_Grid[#Data],$DE434,56),0)</f>
        <v/>
      </c>
      <c r="BH434">
        <f>IFERROR(INDEX(PP_Grid[#Data],$DE434,57),0)</f>
        <v/>
      </c>
      <c r="BI434">
        <f>IFERROR(INDEX(PP_Grid[#Data],$DE434,58),0)</f>
        <v/>
      </c>
      <c r="BJ434">
        <f>IFERROR(INDEX(PP_Grid[#Data],$DE434,59),0)</f>
        <v/>
      </c>
      <c r="BK434">
        <f>IFERROR(INDEX(PP_Grid[#Data],$DE434,60),0)</f>
        <v/>
      </c>
      <c r="BL434">
        <f>IFERROR(INDEX(PP_Grid[#Data],$DE434,61),0)</f>
        <v/>
      </c>
      <c r="BM434">
        <f>IFERROR(INDEX(PP_Grid[#Data],$DE434,62),0)</f>
        <v/>
      </c>
      <c r="BN434">
        <f>IFERROR(INDEX(PP_Grid[#Data],$DE434,63),0)</f>
        <v/>
      </c>
      <c r="BO434">
        <f>IFERROR(INDEX(PP_Grid[#Data],$DE434,64),0)</f>
        <v/>
      </c>
      <c r="BP434">
        <f>IFERROR(INDEX(PP_Grid[#Data],$DE434,65),0)</f>
        <v/>
      </c>
      <c r="BQ434">
        <f>IFERROR(INDEX(PP_Grid[#Data],$DE434,66),0)</f>
        <v/>
      </c>
      <c r="BR434">
        <f>IFERROR(INDEX(PP_Grid[#Data],$DE434,67),0)</f>
        <v/>
      </c>
      <c r="BS434">
        <f>IFERROR(INDEX(PP_Grid[#Data],$DE434,68),0)</f>
        <v/>
      </c>
      <c r="BT434">
        <f>IFERROR(INDEX(PP_Grid[#Data],$DE434,69),0)</f>
        <v/>
      </c>
      <c r="BU434">
        <f>IFERROR(INDEX(PP_Grid[#Data],$DE434,70),0)</f>
        <v/>
      </c>
      <c r="BV434">
        <f>IFERROR(INDEX(PP_Grid[#Data],$DE434,71),0)</f>
        <v/>
      </c>
      <c r="BW434">
        <f>IFERROR(INDEX(PP_Grid[#Data],$DE434,72),0)</f>
        <v/>
      </c>
      <c r="BX434">
        <f>IFERROR(INDEX(PP_Grid[#Data],$DE434,73),0)</f>
        <v/>
      </c>
      <c r="BY434">
        <f>IFERROR(INDEX(PP_Grid[#Data],$DE434,74),0)</f>
        <v/>
      </c>
      <c r="BZ434">
        <f>IFERROR(INDEX(PP_Grid[#Data],$DE434,75),0)</f>
        <v/>
      </c>
      <c r="CA434">
        <f>IFERROR(INDEX(PP_Grid[#Data],$DE434,76),0)</f>
        <v/>
      </c>
      <c r="CB434">
        <f>IFERROR(INDEX(PP_Grid[#Data],$DE434,77),0)</f>
        <v/>
      </c>
      <c r="CC434">
        <f>IFERROR(INDEX(PP_Grid[#Data],$DE434,78),0)</f>
        <v/>
      </c>
      <c r="CD434">
        <f>IFERROR(INDEX(PP_Grid[#Data],$DE434,79),0)</f>
        <v/>
      </c>
      <c r="CE434">
        <f>IFERROR(INDEX(PP_Grid[#Data],$DE434,80),0)</f>
        <v/>
      </c>
      <c r="CF434">
        <f>IFERROR(INDEX(PP_Grid[#Data],$DE434,81),0)</f>
        <v/>
      </c>
      <c r="CG434">
        <f>IFERROR(INDEX(PP_Grid[#Data],$DE434,82),0)</f>
        <v/>
      </c>
      <c r="CH434">
        <f>IFERROR(INDEX(PP_Grid[#Data],$DE434,83),0)</f>
        <v/>
      </c>
      <c r="CI434">
        <f>IFERROR(INDEX(PP_Grid[#Data],$DE434,84),0)</f>
        <v/>
      </c>
      <c r="CJ434">
        <f>IFERROR(INDEX(PP_Grid[#Data],$DE434,85),0)</f>
        <v/>
      </c>
      <c r="CK434">
        <f>IFERROR(INDEX(PP_Grid[#Data],$DE434,86),0)</f>
        <v/>
      </c>
      <c r="CL434">
        <f>IFERROR(INDEX(PP_Grid[#Data],$DE434,87),0)</f>
        <v/>
      </c>
      <c r="CM434">
        <f>IFERROR(INDEX(PP_Grid[#Data],$DE434,88),0)</f>
        <v/>
      </c>
      <c r="CN434">
        <f>IFERROR(INDEX(PP_Grid[#Data],$DE434,89),0)</f>
        <v/>
      </c>
      <c r="CO434">
        <f>IFERROR(INDEX(PP_Grid[#Data],$DE434,90),0)</f>
        <v/>
      </c>
      <c r="CP434">
        <f>IFERROR(INDEX(PP_Grid[#Data],$DE434,91),0)</f>
        <v/>
      </c>
      <c r="CQ434">
        <f>IFERROR(INDEX(PP_Grid[#Data],$DE434,92),0)</f>
        <v/>
      </c>
      <c r="CR434">
        <f>IFERROR(INDEX(PP_Grid[#Data],$DE434,93),0)</f>
        <v/>
      </c>
      <c r="CS434">
        <f>IFERROR(INDEX(PP_Grid[#Data],$DE434,94),0)</f>
        <v/>
      </c>
      <c r="CT434">
        <f>IFERROR(INDEX(PP_Grid[#Data],$DE434,95),0)</f>
        <v/>
      </c>
      <c r="CU434">
        <f>IFERROR(INDEX(PP_Grid[#Data],$DE434,96),0)</f>
        <v/>
      </c>
      <c r="CV434">
        <f>IFERROR(INDEX(PP_Grid[#Data],$DE434,97),0)</f>
        <v/>
      </c>
      <c r="CW434">
        <f>IFERROR(INDEX(PP_Grid[#Data],$DE434,98),0)</f>
        <v/>
      </c>
      <c r="CX434">
        <f>IFERROR(INDEX(PP_Grid[#Data],$DE434,99),0)</f>
        <v/>
      </c>
      <c r="CY434">
        <f>IFERROR(INDEX(PP_Grid[#Data],$DE434,100),0)</f>
        <v/>
      </c>
      <c r="CZ434">
        <f>IFERROR(INDEX(PP_Grid[#Data],$DE434,101),0)</f>
        <v/>
      </c>
      <c r="DA434">
        <f>IFERROR(INDEX(PP_Grid[#Data],$DE434,102),0)</f>
        <v/>
      </c>
      <c r="DB434">
        <f>IFERROR(INDEX(PP_Grid[#Data],$DE434,103),0)</f>
        <v/>
      </c>
      <c r="DC434">
        <f>IFERROR(INDEX(PP_Grid[#Data],$DE434,104),0)</f>
        <v/>
      </c>
      <c r="DD434">
        <f>IFERROR(INDEX(PP_Grid[#Data],$DE434,105),0)</f>
        <v/>
      </c>
      <c r="DE434" s="7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SUMIFS(M_BOM[RM_Qty_Per_Batch],M_BOM[Intermediate],$B434,M_BOM[RM_Code],$A325)</f>
        <v/>
      </c>
      <c r="D435">
        <f>IFERROR(INDEX(E435:DD435,$F$1),"")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  <c r="DD435">
        <f>$C435*DD434</f>
        <v/>
      </c>
    </row>
    <row r="436">
      <c r="B436" t="inlineStr">
        <is>
          <t>TSP-1448</t>
        </is>
      </c>
      <c r="C436" t="inlineStr">
        <is>
          <t>No. of batches</t>
        </is>
      </c>
      <c r="D436">
        <f>IFERROR(INDEX(E436:DD436,$F$1),"")</f>
        <v/>
      </c>
      <c r="E436">
        <f>IFERROR(INDEX(PP_Grid[#Data],$DE436,2),0)</f>
        <v/>
      </c>
      <c r="F436">
        <f>IFERROR(INDEX(PP_Grid[#Data],$DE436,3),0)</f>
        <v/>
      </c>
      <c r="G436">
        <f>IFERROR(INDEX(PP_Grid[#Data],$DE436,4),0)</f>
        <v/>
      </c>
      <c r="H436">
        <f>IFERROR(INDEX(PP_Grid[#Data],$DE436,5),0)</f>
        <v/>
      </c>
      <c r="I436">
        <f>IFERROR(INDEX(PP_Grid[#Data],$DE436,6),0)</f>
        <v/>
      </c>
      <c r="J436">
        <f>IFERROR(INDEX(PP_Grid[#Data],$DE436,7),0)</f>
        <v/>
      </c>
      <c r="K436">
        <f>IFERROR(INDEX(PP_Grid[#Data],$DE436,8),0)</f>
        <v/>
      </c>
      <c r="L436">
        <f>IFERROR(INDEX(PP_Grid[#Data],$DE436,9),0)</f>
        <v/>
      </c>
      <c r="M436">
        <f>IFERROR(INDEX(PP_Grid[#Data],$DE436,10),0)</f>
        <v/>
      </c>
      <c r="N436">
        <f>IFERROR(INDEX(PP_Grid[#Data],$DE436,11),0)</f>
        <v/>
      </c>
      <c r="O436">
        <f>IFERROR(INDEX(PP_Grid[#Data],$DE436,12),0)</f>
        <v/>
      </c>
      <c r="P436">
        <f>IFERROR(INDEX(PP_Grid[#Data],$DE436,13),0)</f>
        <v/>
      </c>
      <c r="Q436">
        <f>IFERROR(INDEX(PP_Grid[#Data],$DE436,14),0)</f>
        <v/>
      </c>
      <c r="R436">
        <f>IFERROR(INDEX(PP_Grid[#Data],$DE436,15),0)</f>
        <v/>
      </c>
      <c r="S436">
        <f>IFERROR(INDEX(PP_Grid[#Data],$DE436,16),0)</f>
        <v/>
      </c>
      <c r="T436">
        <f>IFERROR(INDEX(PP_Grid[#Data],$DE436,17),0)</f>
        <v/>
      </c>
      <c r="U436">
        <f>IFERROR(INDEX(PP_Grid[#Data],$DE436,18),0)</f>
        <v/>
      </c>
      <c r="V436">
        <f>IFERROR(INDEX(PP_Grid[#Data],$DE436,19),0)</f>
        <v/>
      </c>
      <c r="W436">
        <f>IFERROR(INDEX(PP_Grid[#Data],$DE436,20),0)</f>
        <v/>
      </c>
      <c r="X436">
        <f>IFERROR(INDEX(PP_Grid[#Data],$DE436,21),0)</f>
        <v/>
      </c>
      <c r="Y436">
        <f>IFERROR(INDEX(PP_Grid[#Data],$DE436,22),0)</f>
        <v/>
      </c>
      <c r="Z436">
        <f>IFERROR(INDEX(PP_Grid[#Data],$DE436,23),0)</f>
        <v/>
      </c>
      <c r="AA436">
        <f>IFERROR(INDEX(PP_Grid[#Data],$DE436,24),0)</f>
        <v/>
      </c>
      <c r="AB436">
        <f>IFERROR(INDEX(PP_Grid[#Data],$DE436,25),0)</f>
        <v/>
      </c>
      <c r="AC436">
        <f>IFERROR(INDEX(PP_Grid[#Data],$DE436,26),0)</f>
        <v/>
      </c>
      <c r="AD436">
        <f>IFERROR(INDEX(PP_Grid[#Data],$DE436,27),0)</f>
        <v/>
      </c>
      <c r="AE436">
        <f>IFERROR(INDEX(PP_Grid[#Data],$DE436,28),0)</f>
        <v/>
      </c>
      <c r="AF436">
        <f>IFERROR(INDEX(PP_Grid[#Data],$DE436,29),0)</f>
        <v/>
      </c>
      <c r="AG436">
        <f>IFERROR(INDEX(PP_Grid[#Data],$DE436,30),0)</f>
        <v/>
      </c>
      <c r="AH436">
        <f>IFERROR(INDEX(PP_Grid[#Data],$DE436,31),0)</f>
        <v/>
      </c>
      <c r="AI436">
        <f>IFERROR(INDEX(PP_Grid[#Data],$DE436,32),0)</f>
        <v/>
      </c>
      <c r="AJ436">
        <f>IFERROR(INDEX(PP_Grid[#Data],$DE436,33),0)</f>
        <v/>
      </c>
      <c r="AK436">
        <f>IFERROR(INDEX(PP_Grid[#Data],$DE436,34),0)</f>
        <v/>
      </c>
      <c r="AL436">
        <f>IFERROR(INDEX(PP_Grid[#Data],$DE436,35),0)</f>
        <v/>
      </c>
      <c r="AM436">
        <f>IFERROR(INDEX(PP_Grid[#Data],$DE436,36),0)</f>
        <v/>
      </c>
      <c r="AN436">
        <f>IFERROR(INDEX(PP_Grid[#Data],$DE436,37),0)</f>
        <v/>
      </c>
      <c r="AO436">
        <f>IFERROR(INDEX(PP_Grid[#Data],$DE436,38),0)</f>
        <v/>
      </c>
      <c r="AP436">
        <f>IFERROR(INDEX(PP_Grid[#Data],$DE436,39),0)</f>
        <v/>
      </c>
      <c r="AQ436">
        <f>IFERROR(INDEX(PP_Grid[#Data],$DE436,40),0)</f>
        <v/>
      </c>
      <c r="AR436">
        <f>IFERROR(INDEX(PP_Grid[#Data],$DE436,41),0)</f>
        <v/>
      </c>
      <c r="AS436">
        <f>IFERROR(INDEX(PP_Grid[#Data],$DE436,42),0)</f>
        <v/>
      </c>
      <c r="AT436">
        <f>IFERROR(INDEX(PP_Grid[#Data],$DE436,43),0)</f>
        <v/>
      </c>
      <c r="AU436">
        <f>IFERROR(INDEX(PP_Grid[#Data],$DE436,44),0)</f>
        <v/>
      </c>
      <c r="AV436">
        <f>IFERROR(INDEX(PP_Grid[#Data],$DE436,45),0)</f>
        <v/>
      </c>
      <c r="AW436">
        <f>IFERROR(INDEX(PP_Grid[#Data],$DE436,46),0)</f>
        <v/>
      </c>
      <c r="AX436">
        <f>IFERROR(INDEX(PP_Grid[#Data],$DE436,47),0)</f>
        <v/>
      </c>
      <c r="AY436">
        <f>IFERROR(INDEX(PP_Grid[#Data],$DE436,48),0)</f>
        <v/>
      </c>
      <c r="AZ436">
        <f>IFERROR(INDEX(PP_Grid[#Data],$DE436,49),0)</f>
        <v/>
      </c>
      <c r="BA436">
        <f>IFERROR(INDEX(PP_Grid[#Data],$DE436,50),0)</f>
        <v/>
      </c>
      <c r="BB436">
        <f>IFERROR(INDEX(PP_Grid[#Data],$DE436,51),0)</f>
        <v/>
      </c>
      <c r="BC436">
        <f>IFERROR(INDEX(PP_Grid[#Data],$DE436,52),0)</f>
        <v/>
      </c>
      <c r="BD436">
        <f>IFERROR(INDEX(PP_Grid[#Data],$DE436,53),0)</f>
        <v/>
      </c>
      <c r="BE436">
        <f>IFERROR(INDEX(PP_Grid[#Data],$DE436,54),0)</f>
        <v/>
      </c>
      <c r="BF436">
        <f>IFERROR(INDEX(PP_Grid[#Data],$DE436,55),0)</f>
        <v/>
      </c>
      <c r="BG436">
        <f>IFERROR(INDEX(PP_Grid[#Data],$DE436,56),0)</f>
        <v/>
      </c>
      <c r="BH436">
        <f>IFERROR(INDEX(PP_Grid[#Data],$DE436,57),0)</f>
        <v/>
      </c>
      <c r="BI436">
        <f>IFERROR(INDEX(PP_Grid[#Data],$DE436,58),0)</f>
        <v/>
      </c>
      <c r="BJ436">
        <f>IFERROR(INDEX(PP_Grid[#Data],$DE436,59),0)</f>
        <v/>
      </c>
      <c r="BK436">
        <f>IFERROR(INDEX(PP_Grid[#Data],$DE436,60),0)</f>
        <v/>
      </c>
      <c r="BL436">
        <f>IFERROR(INDEX(PP_Grid[#Data],$DE436,61),0)</f>
        <v/>
      </c>
      <c r="BM436">
        <f>IFERROR(INDEX(PP_Grid[#Data],$DE436,62),0)</f>
        <v/>
      </c>
      <c r="BN436">
        <f>IFERROR(INDEX(PP_Grid[#Data],$DE436,63),0)</f>
        <v/>
      </c>
      <c r="BO436">
        <f>IFERROR(INDEX(PP_Grid[#Data],$DE436,64),0)</f>
        <v/>
      </c>
      <c r="BP436">
        <f>IFERROR(INDEX(PP_Grid[#Data],$DE436,65),0)</f>
        <v/>
      </c>
      <c r="BQ436">
        <f>IFERROR(INDEX(PP_Grid[#Data],$DE436,66),0)</f>
        <v/>
      </c>
      <c r="BR436">
        <f>IFERROR(INDEX(PP_Grid[#Data],$DE436,67),0)</f>
        <v/>
      </c>
      <c r="BS436">
        <f>IFERROR(INDEX(PP_Grid[#Data],$DE436,68),0)</f>
        <v/>
      </c>
      <c r="BT436">
        <f>IFERROR(INDEX(PP_Grid[#Data],$DE436,69),0)</f>
        <v/>
      </c>
      <c r="BU436">
        <f>IFERROR(INDEX(PP_Grid[#Data],$DE436,70),0)</f>
        <v/>
      </c>
      <c r="BV436">
        <f>IFERROR(INDEX(PP_Grid[#Data],$DE436,71),0)</f>
        <v/>
      </c>
      <c r="BW436">
        <f>IFERROR(INDEX(PP_Grid[#Data],$DE436,72),0)</f>
        <v/>
      </c>
      <c r="BX436">
        <f>IFERROR(INDEX(PP_Grid[#Data],$DE436,73),0)</f>
        <v/>
      </c>
      <c r="BY436">
        <f>IFERROR(INDEX(PP_Grid[#Data],$DE436,74),0)</f>
        <v/>
      </c>
      <c r="BZ436">
        <f>IFERROR(INDEX(PP_Grid[#Data],$DE436,75),0)</f>
        <v/>
      </c>
      <c r="CA436">
        <f>IFERROR(INDEX(PP_Grid[#Data],$DE436,76),0)</f>
        <v/>
      </c>
      <c r="CB436">
        <f>IFERROR(INDEX(PP_Grid[#Data],$DE436,77),0)</f>
        <v/>
      </c>
      <c r="CC436">
        <f>IFERROR(INDEX(PP_Grid[#Data],$DE436,78),0)</f>
        <v/>
      </c>
      <c r="CD436">
        <f>IFERROR(INDEX(PP_Grid[#Data],$DE436,79),0)</f>
        <v/>
      </c>
      <c r="CE436">
        <f>IFERROR(INDEX(PP_Grid[#Data],$DE436,80),0)</f>
        <v/>
      </c>
      <c r="CF436">
        <f>IFERROR(INDEX(PP_Grid[#Data],$DE436,81),0)</f>
        <v/>
      </c>
      <c r="CG436">
        <f>IFERROR(INDEX(PP_Grid[#Data],$DE436,82),0)</f>
        <v/>
      </c>
      <c r="CH436">
        <f>IFERROR(INDEX(PP_Grid[#Data],$DE436,83),0)</f>
        <v/>
      </c>
      <c r="CI436">
        <f>IFERROR(INDEX(PP_Grid[#Data],$DE436,84),0)</f>
        <v/>
      </c>
      <c r="CJ436">
        <f>IFERROR(INDEX(PP_Grid[#Data],$DE436,85),0)</f>
        <v/>
      </c>
      <c r="CK436">
        <f>IFERROR(INDEX(PP_Grid[#Data],$DE436,86),0)</f>
        <v/>
      </c>
      <c r="CL436">
        <f>IFERROR(INDEX(PP_Grid[#Data],$DE436,87),0)</f>
        <v/>
      </c>
      <c r="CM436">
        <f>IFERROR(INDEX(PP_Grid[#Data],$DE436,88),0)</f>
        <v/>
      </c>
      <c r="CN436">
        <f>IFERROR(INDEX(PP_Grid[#Data],$DE436,89),0)</f>
        <v/>
      </c>
      <c r="CO436">
        <f>IFERROR(INDEX(PP_Grid[#Data],$DE436,90),0)</f>
        <v/>
      </c>
      <c r="CP436">
        <f>IFERROR(INDEX(PP_Grid[#Data],$DE436,91),0)</f>
        <v/>
      </c>
      <c r="CQ436">
        <f>IFERROR(INDEX(PP_Grid[#Data],$DE436,92),0)</f>
        <v/>
      </c>
      <c r="CR436">
        <f>IFERROR(INDEX(PP_Grid[#Data],$DE436,93),0)</f>
        <v/>
      </c>
      <c r="CS436">
        <f>IFERROR(INDEX(PP_Grid[#Data],$DE436,94),0)</f>
        <v/>
      </c>
      <c r="CT436">
        <f>IFERROR(INDEX(PP_Grid[#Data],$DE436,95),0)</f>
        <v/>
      </c>
      <c r="CU436">
        <f>IFERROR(INDEX(PP_Grid[#Data],$DE436,96),0)</f>
        <v/>
      </c>
      <c r="CV436">
        <f>IFERROR(INDEX(PP_Grid[#Data],$DE436,97),0)</f>
        <v/>
      </c>
      <c r="CW436">
        <f>IFERROR(INDEX(PP_Grid[#Data],$DE436,98),0)</f>
        <v/>
      </c>
      <c r="CX436">
        <f>IFERROR(INDEX(PP_Grid[#Data],$DE436,99),0)</f>
        <v/>
      </c>
      <c r="CY436">
        <f>IFERROR(INDEX(PP_Grid[#Data],$DE436,100),0)</f>
        <v/>
      </c>
      <c r="CZ436">
        <f>IFERROR(INDEX(PP_Grid[#Data],$DE436,101),0)</f>
        <v/>
      </c>
      <c r="DA436">
        <f>IFERROR(INDEX(PP_Grid[#Data],$DE436,102),0)</f>
        <v/>
      </c>
      <c r="DB436">
        <f>IFERROR(INDEX(PP_Grid[#Data],$DE436,103),0)</f>
        <v/>
      </c>
      <c r="DC436">
        <f>IFERROR(INDEX(PP_Grid[#Data],$DE436,104),0)</f>
        <v/>
      </c>
      <c r="DD436">
        <f>IFERROR(INDEX(PP_Grid[#Data],$DE436,105),0)</f>
        <v/>
      </c>
      <c r="DE436" s="7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SUMIFS(M_BOM[RM_Qty_Per_Batch],M_BOM[Intermediate],$B436,M_BOM[RM_Code],$A325)</f>
        <v/>
      </c>
      <c r="D437">
        <f>IFERROR(INDEX(E437:DD437,$F$1),"")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  <c r="DD437">
        <f>$C437*DD436</f>
        <v/>
      </c>
    </row>
    <row r="438">
      <c r="B438" t="inlineStr">
        <is>
          <t>TSP-1445</t>
        </is>
      </c>
      <c r="C438" t="inlineStr">
        <is>
          <t>No. of batches</t>
        </is>
      </c>
      <c r="D438">
        <f>IFERROR(INDEX(E438:DD438,$F$1),"")</f>
        <v/>
      </c>
      <c r="E438">
        <f>IFERROR(INDEX(PP_Grid[#Data],$DE438,2),0)</f>
        <v/>
      </c>
      <c r="F438">
        <f>IFERROR(INDEX(PP_Grid[#Data],$DE438,3),0)</f>
        <v/>
      </c>
      <c r="G438">
        <f>IFERROR(INDEX(PP_Grid[#Data],$DE438,4),0)</f>
        <v/>
      </c>
      <c r="H438">
        <f>IFERROR(INDEX(PP_Grid[#Data],$DE438,5),0)</f>
        <v/>
      </c>
      <c r="I438">
        <f>IFERROR(INDEX(PP_Grid[#Data],$DE438,6),0)</f>
        <v/>
      </c>
      <c r="J438">
        <f>IFERROR(INDEX(PP_Grid[#Data],$DE438,7),0)</f>
        <v/>
      </c>
      <c r="K438">
        <f>IFERROR(INDEX(PP_Grid[#Data],$DE438,8),0)</f>
        <v/>
      </c>
      <c r="L438">
        <f>IFERROR(INDEX(PP_Grid[#Data],$DE438,9),0)</f>
        <v/>
      </c>
      <c r="M438">
        <f>IFERROR(INDEX(PP_Grid[#Data],$DE438,10),0)</f>
        <v/>
      </c>
      <c r="N438">
        <f>IFERROR(INDEX(PP_Grid[#Data],$DE438,11),0)</f>
        <v/>
      </c>
      <c r="O438">
        <f>IFERROR(INDEX(PP_Grid[#Data],$DE438,12),0)</f>
        <v/>
      </c>
      <c r="P438">
        <f>IFERROR(INDEX(PP_Grid[#Data],$DE438,13),0)</f>
        <v/>
      </c>
      <c r="Q438">
        <f>IFERROR(INDEX(PP_Grid[#Data],$DE438,14),0)</f>
        <v/>
      </c>
      <c r="R438">
        <f>IFERROR(INDEX(PP_Grid[#Data],$DE438,15),0)</f>
        <v/>
      </c>
      <c r="S438">
        <f>IFERROR(INDEX(PP_Grid[#Data],$DE438,16),0)</f>
        <v/>
      </c>
      <c r="T438">
        <f>IFERROR(INDEX(PP_Grid[#Data],$DE438,17),0)</f>
        <v/>
      </c>
      <c r="U438">
        <f>IFERROR(INDEX(PP_Grid[#Data],$DE438,18),0)</f>
        <v/>
      </c>
      <c r="V438">
        <f>IFERROR(INDEX(PP_Grid[#Data],$DE438,19),0)</f>
        <v/>
      </c>
      <c r="W438">
        <f>IFERROR(INDEX(PP_Grid[#Data],$DE438,20),0)</f>
        <v/>
      </c>
      <c r="X438">
        <f>IFERROR(INDEX(PP_Grid[#Data],$DE438,21),0)</f>
        <v/>
      </c>
      <c r="Y438">
        <f>IFERROR(INDEX(PP_Grid[#Data],$DE438,22),0)</f>
        <v/>
      </c>
      <c r="Z438">
        <f>IFERROR(INDEX(PP_Grid[#Data],$DE438,23),0)</f>
        <v/>
      </c>
      <c r="AA438">
        <f>IFERROR(INDEX(PP_Grid[#Data],$DE438,24),0)</f>
        <v/>
      </c>
      <c r="AB438">
        <f>IFERROR(INDEX(PP_Grid[#Data],$DE438,25),0)</f>
        <v/>
      </c>
      <c r="AC438">
        <f>IFERROR(INDEX(PP_Grid[#Data],$DE438,26),0)</f>
        <v/>
      </c>
      <c r="AD438">
        <f>IFERROR(INDEX(PP_Grid[#Data],$DE438,27),0)</f>
        <v/>
      </c>
      <c r="AE438">
        <f>IFERROR(INDEX(PP_Grid[#Data],$DE438,28),0)</f>
        <v/>
      </c>
      <c r="AF438">
        <f>IFERROR(INDEX(PP_Grid[#Data],$DE438,29),0)</f>
        <v/>
      </c>
      <c r="AG438">
        <f>IFERROR(INDEX(PP_Grid[#Data],$DE438,30),0)</f>
        <v/>
      </c>
      <c r="AH438">
        <f>IFERROR(INDEX(PP_Grid[#Data],$DE438,31),0)</f>
        <v/>
      </c>
      <c r="AI438">
        <f>IFERROR(INDEX(PP_Grid[#Data],$DE438,32),0)</f>
        <v/>
      </c>
      <c r="AJ438">
        <f>IFERROR(INDEX(PP_Grid[#Data],$DE438,33),0)</f>
        <v/>
      </c>
      <c r="AK438">
        <f>IFERROR(INDEX(PP_Grid[#Data],$DE438,34),0)</f>
        <v/>
      </c>
      <c r="AL438">
        <f>IFERROR(INDEX(PP_Grid[#Data],$DE438,35),0)</f>
        <v/>
      </c>
      <c r="AM438">
        <f>IFERROR(INDEX(PP_Grid[#Data],$DE438,36),0)</f>
        <v/>
      </c>
      <c r="AN438">
        <f>IFERROR(INDEX(PP_Grid[#Data],$DE438,37),0)</f>
        <v/>
      </c>
      <c r="AO438">
        <f>IFERROR(INDEX(PP_Grid[#Data],$DE438,38),0)</f>
        <v/>
      </c>
      <c r="AP438">
        <f>IFERROR(INDEX(PP_Grid[#Data],$DE438,39),0)</f>
        <v/>
      </c>
      <c r="AQ438">
        <f>IFERROR(INDEX(PP_Grid[#Data],$DE438,40),0)</f>
        <v/>
      </c>
      <c r="AR438">
        <f>IFERROR(INDEX(PP_Grid[#Data],$DE438,41),0)</f>
        <v/>
      </c>
      <c r="AS438">
        <f>IFERROR(INDEX(PP_Grid[#Data],$DE438,42),0)</f>
        <v/>
      </c>
      <c r="AT438">
        <f>IFERROR(INDEX(PP_Grid[#Data],$DE438,43),0)</f>
        <v/>
      </c>
      <c r="AU438">
        <f>IFERROR(INDEX(PP_Grid[#Data],$DE438,44),0)</f>
        <v/>
      </c>
      <c r="AV438">
        <f>IFERROR(INDEX(PP_Grid[#Data],$DE438,45),0)</f>
        <v/>
      </c>
      <c r="AW438">
        <f>IFERROR(INDEX(PP_Grid[#Data],$DE438,46),0)</f>
        <v/>
      </c>
      <c r="AX438">
        <f>IFERROR(INDEX(PP_Grid[#Data],$DE438,47),0)</f>
        <v/>
      </c>
      <c r="AY438">
        <f>IFERROR(INDEX(PP_Grid[#Data],$DE438,48),0)</f>
        <v/>
      </c>
      <c r="AZ438">
        <f>IFERROR(INDEX(PP_Grid[#Data],$DE438,49),0)</f>
        <v/>
      </c>
      <c r="BA438">
        <f>IFERROR(INDEX(PP_Grid[#Data],$DE438,50),0)</f>
        <v/>
      </c>
      <c r="BB438">
        <f>IFERROR(INDEX(PP_Grid[#Data],$DE438,51),0)</f>
        <v/>
      </c>
      <c r="BC438">
        <f>IFERROR(INDEX(PP_Grid[#Data],$DE438,52),0)</f>
        <v/>
      </c>
      <c r="BD438">
        <f>IFERROR(INDEX(PP_Grid[#Data],$DE438,53),0)</f>
        <v/>
      </c>
      <c r="BE438">
        <f>IFERROR(INDEX(PP_Grid[#Data],$DE438,54),0)</f>
        <v/>
      </c>
      <c r="BF438">
        <f>IFERROR(INDEX(PP_Grid[#Data],$DE438,55),0)</f>
        <v/>
      </c>
      <c r="BG438">
        <f>IFERROR(INDEX(PP_Grid[#Data],$DE438,56),0)</f>
        <v/>
      </c>
      <c r="BH438">
        <f>IFERROR(INDEX(PP_Grid[#Data],$DE438,57),0)</f>
        <v/>
      </c>
      <c r="BI438">
        <f>IFERROR(INDEX(PP_Grid[#Data],$DE438,58),0)</f>
        <v/>
      </c>
      <c r="BJ438">
        <f>IFERROR(INDEX(PP_Grid[#Data],$DE438,59),0)</f>
        <v/>
      </c>
      <c r="BK438">
        <f>IFERROR(INDEX(PP_Grid[#Data],$DE438,60),0)</f>
        <v/>
      </c>
      <c r="BL438">
        <f>IFERROR(INDEX(PP_Grid[#Data],$DE438,61),0)</f>
        <v/>
      </c>
      <c r="BM438">
        <f>IFERROR(INDEX(PP_Grid[#Data],$DE438,62),0)</f>
        <v/>
      </c>
      <c r="BN438">
        <f>IFERROR(INDEX(PP_Grid[#Data],$DE438,63),0)</f>
        <v/>
      </c>
      <c r="BO438">
        <f>IFERROR(INDEX(PP_Grid[#Data],$DE438,64),0)</f>
        <v/>
      </c>
      <c r="BP438">
        <f>IFERROR(INDEX(PP_Grid[#Data],$DE438,65),0)</f>
        <v/>
      </c>
      <c r="BQ438">
        <f>IFERROR(INDEX(PP_Grid[#Data],$DE438,66),0)</f>
        <v/>
      </c>
      <c r="BR438">
        <f>IFERROR(INDEX(PP_Grid[#Data],$DE438,67),0)</f>
        <v/>
      </c>
      <c r="BS438">
        <f>IFERROR(INDEX(PP_Grid[#Data],$DE438,68),0)</f>
        <v/>
      </c>
      <c r="BT438">
        <f>IFERROR(INDEX(PP_Grid[#Data],$DE438,69),0)</f>
        <v/>
      </c>
      <c r="BU438">
        <f>IFERROR(INDEX(PP_Grid[#Data],$DE438,70),0)</f>
        <v/>
      </c>
      <c r="BV438">
        <f>IFERROR(INDEX(PP_Grid[#Data],$DE438,71),0)</f>
        <v/>
      </c>
      <c r="BW438">
        <f>IFERROR(INDEX(PP_Grid[#Data],$DE438,72),0)</f>
        <v/>
      </c>
      <c r="BX438">
        <f>IFERROR(INDEX(PP_Grid[#Data],$DE438,73),0)</f>
        <v/>
      </c>
      <c r="BY438">
        <f>IFERROR(INDEX(PP_Grid[#Data],$DE438,74),0)</f>
        <v/>
      </c>
      <c r="BZ438">
        <f>IFERROR(INDEX(PP_Grid[#Data],$DE438,75),0)</f>
        <v/>
      </c>
      <c r="CA438">
        <f>IFERROR(INDEX(PP_Grid[#Data],$DE438,76),0)</f>
        <v/>
      </c>
      <c r="CB438">
        <f>IFERROR(INDEX(PP_Grid[#Data],$DE438,77),0)</f>
        <v/>
      </c>
      <c r="CC438">
        <f>IFERROR(INDEX(PP_Grid[#Data],$DE438,78),0)</f>
        <v/>
      </c>
      <c r="CD438">
        <f>IFERROR(INDEX(PP_Grid[#Data],$DE438,79),0)</f>
        <v/>
      </c>
      <c r="CE438">
        <f>IFERROR(INDEX(PP_Grid[#Data],$DE438,80),0)</f>
        <v/>
      </c>
      <c r="CF438">
        <f>IFERROR(INDEX(PP_Grid[#Data],$DE438,81),0)</f>
        <v/>
      </c>
      <c r="CG438">
        <f>IFERROR(INDEX(PP_Grid[#Data],$DE438,82),0)</f>
        <v/>
      </c>
      <c r="CH438">
        <f>IFERROR(INDEX(PP_Grid[#Data],$DE438,83),0)</f>
        <v/>
      </c>
      <c r="CI438">
        <f>IFERROR(INDEX(PP_Grid[#Data],$DE438,84),0)</f>
        <v/>
      </c>
      <c r="CJ438">
        <f>IFERROR(INDEX(PP_Grid[#Data],$DE438,85),0)</f>
        <v/>
      </c>
      <c r="CK438">
        <f>IFERROR(INDEX(PP_Grid[#Data],$DE438,86),0)</f>
        <v/>
      </c>
      <c r="CL438">
        <f>IFERROR(INDEX(PP_Grid[#Data],$DE438,87),0)</f>
        <v/>
      </c>
      <c r="CM438">
        <f>IFERROR(INDEX(PP_Grid[#Data],$DE438,88),0)</f>
        <v/>
      </c>
      <c r="CN438">
        <f>IFERROR(INDEX(PP_Grid[#Data],$DE438,89),0)</f>
        <v/>
      </c>
      <c r="CO438">
        <f>IFERROR(INDEX(PP_Grid[#Data],$DE438,90),0)</f>
        <v/>
      </c>
      <c r="CP438">
        <f>IFERROR(INDEX(PP_Grid[#Data],$DE438,91),0)</f>
        <v/>
      </c>
      <c r="CQ438">
        <f>IFERROR(INDEX(PP_Grid[#Data],$DE438,92),0)</f>
        <v/>
      </c>
      <c r="CR438">
        <f>IFERROR(INDEX(PP_Grid[#Data],$DE438,93),0)</f>
        <v/>
      </c>
      <c r="CS438">
        <f>IFERROR(INDEX(PP_Grid[#Data],$DE438,94),0)</f>
        <v/>
      </c>
      <c r="CT438">
        <f>IFERROR(INDEX(PP_Grid[#Data],$DE438,95),0)</f>
        <v/>
      </c>
      <c r="CU438">
        <f>IFERROR(INDEX(PP_Grid[#Data],$DE438,96),0)</f>
        <v/>
      </c>
      <c r="CV438">
        <f>IFERROR(INDEX(PP_Grid[#Data],$DE438,97),0)</f>
        <v/>
      </c>
      <c r="CW438">
        <f>IFERROR(INDEX(PP_Grid[#Data],$DE438,98),0)</f>
        <v/>
      </c>
      <c r="CX438">
        <f>IFERROR(INDEX(PP_Grid[#Data],$DE438,99),0)</f>
        <v/>
      </c>
      <c r="CY438">
        <f>IFERROR(INDEX(PP_Grid[#Data],$DE438,100),0)</f>
        <v/>
      </c>
      <c r="CZ438">
        <f>IFERROR(INDEX(PP_Grid[#Data],$DE438,101),0)</f>
        <v/>
      </c>
      <c r="DA438">
        <f>IFERROR(INDEX(PP_Grid[#Data],$DE438,102),0)</f>
        <v/>
      </c>
      <c r="DB438">
        <f>IFERROR(INDEX(PP_Grid[#Data],$DE438,103),0)</f>
        <v/>
      </c>
      <c r="DC438">
        <f>IFERROR(INDEX(PP_Grid[#Data],$DE438,104),0)</f>
        <v/>
      </c>
      <c r="DD438">
        <f>IFERROR(INDEX(PP_Grid[#Data],$DE438,105),0)</f>
        <v/>
      </c>
      <c r="DE438" s="7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SUMIFS(M_BOM[RM_Qty_Per_Batch],M_BOM[Intermediate],$B438,M_BOM[RM_Code],$A325)</f>
        <v/>
      </c>
      <c r="D439">
        <f>IFERROR(INDEX(E439:DD439,$F$1),"")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  <c r="DD439">
        <f>$C439*DD438</f>
        <v/>
      </c>
    </row>
    <row r="440">
      <c r="B440" t="inlineStr">
        <is>
          <t>TSP-1446</t>
        </is>
      </c>
      <c r="C440" t="inlineStr">
        <is>
          <t>No. of batches</t>
        </is>
      </c>
      <c r="D440">
        <f>IFERROR(INDEX(E440:DD440,$F$1),"")</f>
        <v/>
      </c>
      <c r="E440">
        <f>IFERROR(INDEX(PP_Grid[#Data],$DE440,2),0)</f>
        <v/>
      </c>
      <c r="F440">
        <f>IFERROR(INDEX(PP_Grid[#Data],$DE440,3),0)</f>
        <v/>
      </c>
      <c r="G440">
        <f>IFERROR(INDEX(PP_Grid[#Data],$DE440,4),0)</f>
        <v/>
      </c>
      <c r="H440">
        <f>IFERROR(INDEX(PP_Grid[#Data],$DE440,5),0)</f>
        <v/>
      </c>
      <c r="I440">
        <f>IFERROR(INDEX(PP_Grid[#Data],$DE440,6),0)</f>
        <v/>
      </c>
      <c r="J440">
        <f>IFERROR(INDEX(PP_Grid[#Data],$DE440,7),0)</f>
        <v/>
      </c>
      <c r="K440">
        <f>IFERROR(INDEX(PP_Grid[#Data],$DE440,8),0)</f>
        <v/>
      </c>
      <c r="L440">
        <f>IFERROR(INDEX(PP_Grid[#Data],$DE440,9),0)</f>
        <v/>
      </c>
      <c r="M440">
        <f>IFERROR(INDEX(PP_Grid[#Data],$DE440,10),0)</f>
        <v/>
      </c>
      <c r="N440">
        <f>IFERROR(INDEX(PP_Grid[#Data],$DE440,11),0)</f>
        <v/>
      </c>
      <c r="O440">
        <f>IFERROR(INDEX(PP_Grid[#Data],$DE440,12),0)</f>
        <v/>
      </c>
      <c r="P440">
        <f>IFERROR(INDEX(PP_Grid[#Data],$DE440,13),0)</f>
        <v/>
      </c>
      <c r="Q440">
        <f>IFERROR(INDEX(PP_Grid[#Data],$DE440,14),0)</f>
        <v/>
      </c>
      <c r="R440">
        <f>IFERROR(INDEX(PP_Grid[#Data],$DE440,15),0)</f>
        <v/>
      </c>
      <c r="S440">
        <f>IFERROR(INDEX(PP_Grid[#Data],$DE440,16),0)</f>
        <v/>
      </c>
      <c r="T440">
        <f>IFERROR(INDEX(PP_Grid[#Data],$DE440,17),0)</f>
        <v/>
      </c>
      <c r="U440">
        <f>IFERROR(INDEX(PP_Grid[#Data],$DE440,18),0)</f>
        <v/>
      </c>
      <c r="V440">
        <f>IFERROR(INDEX(PP_Grid[#Data],$DE440,19),0)</f>
        <v/>
      </c>
      <c r="W440">
        <f>IFERROR(INDEX(PP_Grid[#Data],$DE440,20),0)</f>
        <v/>
      </c>
      <c r="X440">
        <f>IFERROR(INDEX(PP_Grid[#Data],$DE440,21),0)</f>
        <v/>
      </c>
      <c r="Y440">
        <f>IFERROR(INDEX(PP_Grid[#Data],$DE440,22),0)</f>
        <v/>
      </c>
      <c r="Z440">
        <f>IFERROR(INDEX(PP_Grid[#Data],$DE440,23),0)</f>
        <v/>
      </c>
      <c r="AA440">
        <f>IFERROR(INDEX(PP_Grid[#Data],$DE440,24),0)</f>
        <v/>
      </c>
      <c r="AB440">
        <f>IFERROR(INDEX(PP_Grid[#Data],$DE440,25),0)</f>
        <v/>
      </c>
      <c r="AC440">
        <f>IFERROR(INDEX(PP_Grid[#Data],$DE440,26),0)</f>
        <v/>
      </c>
      <c r="AD440">
        <f>IFERROR(INDEX(PP_Grid[#Data],$DE440,27),0)</f>
        <v/>
      </c>
      <c r="AE440">
        <f>IFERROR(INDEX(PP_Grid[#Data],$DE440,28),0)</f>
        <v/>
      </c>
      <c r="AF440">
        <f>IFERROR(INDEX(PP_Grid[#Data],$DE440,29),0)</f>
        <v/>
      </c>
      <c r="AG440">
        <f>IFERROR(INDEX(PP_Grid[#Data],$DE440,30),0)</f>
        <v/>
      </c>
      <c r="AH440">
        <f>IFERROR(INDEX(PP_Grid[#Data],$DE440,31),0)</f>
        <v/>
      </c>
      <c r="AI440">
        <f>IFERROR(INDEX(PP_Grid[#Data],$DE440,32),0)</f>
        <v/>
      </c>
      <c r="AJ440">
        <f>IFERROR(INDEX(PP_Grid[#Data],$DE440,33),0)</f>
        <v/>
      </c>
      <c r="AK440">
        <f>IFERROR(INDEX(PP_Grid[#Data],$DE440,34),0)</f>
        <v/>
      </c>
      <c r="AL440">
        <f>IFERROR(INDEX(PP_Grid[#Data],$DE440,35),0)</f>
        <v/>
      </c>
      <c r="AM440">
        <f>IFERROR(INDEX(PP_Grid[#Data],$DE440,36),0)</f>
        <v/>
      </c>
      <c r="AN440">
        <f>IFERROR(INDEX(PP_Grid[#Data],$DE440,37),0)</f>
        <v/>
      </c>
      <c r="AO440">
        <f>IFERROR(INDEX(PP_Grid[#Data],$DE440,38),0)</f>
        <v/>
      </c>
      <c r="AP440">
        <f>IFERROR(INDEX(PP_Grid[#Data],$DE440,39),0)</f>
        <v/>
      </c>
      <c r="AQ440">
        <f>IFERROR(INDEX(PP_Grid[#Data],$DE440,40),0)</f>
        <v/>
      </c>
      <c r="AR440">
        <f>IFERROR(INDEX(PP_Grid[#Data],$DE440,41),0)</f>
        <v/>
      </c>
      <c r="AS440">
        <f>IFERROR(INDEX(PP_Grid[#Data],$DE440,42),0)</f>
        <v/>
      </c>
      <c r="AT440">
        <f>IFERROR(INDEX(PP_Grid[#Data],$DE440,43),0)</f>
        <v/>
      </c>
      <c r="AU440">
        <f>IFERROR(INDEX(PP_Grid[#Data],$DE440,44),0)</f>
        <v/>
      </c>
      <c r="AV440">
        <f>IFERROR(INDEX(PP_Grid[#Data],$DE440,45),0)</f>
        <v/>
      </c>
      <c r="AW440">
        <f>IFERROR(INDEX(PP_Grid[#Data],$DE440,46),0)</f>
        <v/>
      </c>
      <c r="AX440">
        <f>IFERROR(INDEX(PP_Grid[#Data],$DE440,47),0)</f>
        <v/>
      </c>
      <c r="AY440">
        <f>IFERROR(INDEX(PP_Grid[#Data],$DE440,48),0)</f>
        <v/>
      </c>
      <c r="AZ440">
        <f>IFERROR(INDEX(PP_Grid[#Data],$DE440,49),0)</f>
        <v/>
      </c>
      <c r="BA440">
        <f>IFERROR(INDEX(PP_Grid[#Data],$DE440,50),0)</f>
        <v/>
      </c>
      <c r="BB440">
        <f>IFERROR(INDEX(PP_Grid[#Data],$DE440,51),0)</f>
        <v/>
      </c>
      <c r="BC440">
        <f>IFERROR(INDEX(PP_Grid[#Data],$DE440,52),0)</f>
        <v/>
      </c>
      <c r="BD440">
        <f>IFERROR(INDEX(PP_Grid[#Data],$DE440,53),0)</f>
        <v/>
      </c>
      <c r="BE440">
        <f>IFERROR(INDEX(PP_Grid[#Data],$DE440,54),0)</f>
        <v/>
      </c>
      <c r="BF440">
        <f>IFERROR(INDEX(PP_Grid[#Data],$DE440,55),0)</f>
        <v/>
      </c>
      <c r="BG440">
        <f>IFERROR(INDEX(PP_Grid[#Data],$DE440,56),0)</f>
        <v/>
      </c>
      <c r="BH440">
        <f>IFERROR(INDEX(PP_Grid[#Data],$DE440,57),0)</f>
        <v/>
      </c>
      <c r="BI440">
        <f>IFERROR(INDEX(PP_Grid[#Data],$DE440,58),0)</f>
        <v/>
      </c>
      <c r="BJ440">
        <f>IFERROR(INDEX(PP_Grid[#Data],$DE440,59),0)</f>
        <v/>
      </c>
      <c r="BK440">
        <f>IFERROR(INDEX(PP_Grid[#Data],$DE440,60),0)</f>
        <v/>
      </c>
      <c r="BL440">
        <f>IFERROR(INDEX(PP_Grid[#Data],$DE440,61),0)</f>
        <v/>
      </c>
      <c r="BM440">
        <f>IFERROR(INDEX(PP_Grid[#Data],$DE440,62),0)</f>
        <v/>
      </c>
      <c r="BN440">
        <f>IFERROR(INDEX(PP_Grid[#Data],$DE440,63),0)</f>
        <v/>
      </c>
      <c r="BO440">
        <f>IFERROR(INDEX(PP_Grid[#Data],$DE440,64),0)</f>
        <v/>
      </c>
      <c r="BP440">
        <f>IFERROR(INDEX(PP_Grid[#Data],$DE440,65),0)</f>
        <v/>
      </c>
      <c r="BQ440">
        <f>IFERROR(INDEX(PP_Grid[#Data],$DE440,66),0)</f>
        <v/>
      </c>
      <c r="BR440">
        <f>IFERROR(INDEX(PP_Grid[#Data],$DE440,67),0)</f>
        <v/>
      </c>
      <c r="BS440">
        <f>IFERROR(INDEX(PP_Grid[#Data],$DE440,68),0)</f>
        <v/>
      </c>
      <c r="BT440">
        <f>IFERROR(INDEX(PP_Grid[#Data],$DE440,69),0)</f>
        <v/>
      </c>
      <c r="BU440">
        <f>IFERROR(INDEX(PP_Grid[#Data],$DE440,70),0)</f>
        <v/>
      </c>
      <c r="BV440">
        <f>IFERROR(INDEX(PP_Grid[#Data],$DE440,71),0)</f>
        <v/>
      </c>
      <c r="BW440">
        <f>IFERROR(INDEX(PP_Grid[#Data],$DE440,72),0)</f>
        <v/>
      </c>
      <c r="BX440">
        <f>IFERROR(INDEX(PP_Grid[#Data],$DE440,73),0)</f>
        <v/>
      </c>
      <c r="BY440">
        <f>IFERROR(INDEX(PP_Grid[#Data],$DE440,74),0)</f>
        <v/>
      </c>
      <c r="BZ440">
        <f>IFERROR(INDEX(PP_Grid[#Data],$DE440,75),0)</f>
        <v/>
      </c>
      <c r="CA440">
        <f>IFERROR(INDEX(PP_Grid[#Data],$DE440,76),0)</f>
        <v/>
      </c>
      <c r="CB440">
        <f>IFERROR(INDEX(PP_Grid[#Data],$DE440,77),0)</f>
        <v/>
      </c>
      <c r="CC440">
        <f>IFERROR(INDEX(PP_Grid[#Data],$DE440,78),0)</f>
        <v/>
      </c>
      <c r="CD440">
        <f>IFERROR(INDEX(PP_Grid[#Data],$DE440,79),0)</f>
        <v/>
      </c>
      <c r="CE440">
        <f>IFERROR(INDEX(PP_Grid[#Data],$DE440,80),0)</f>
        <v/>
      </c>
      <c r="CF440">
        <f>IFERROR(INDEX(PP_Grid[#Data],$DE440,81),0)</f>
        <v/>
      </c>
      <c r="CG440">
        <f>IFERROR(INDEX(PP_Grid[#Data],$DE440,82),0)</f>
        <v/>
      </c>
      <c r="CH440">
        <f>IFERROR(INDEX(PP_Grid[#Data],$DE440,83),0)</f>
        <v/>
      </c>
      <c r="CI440">
        <f>IFERROR(INDEX(PP_Grid[#Data],$DE440,84),0)</f>
        <v/>
      </c>
      <c r="CJ440">
        <f>IFERROR(INDEX(PP_Grid[#Data],$DE440,85),0)</f>
        <v/>
      </c>
      <c r="CK440">
        <f>IFERROR(INDEX(PP_Grid[#Data],$DE440,86),0)</f>
        <v/>
      </c>
      <c r="CL440">
        <f>IFERROR(INDEX(PP_Grid[#Data],$DE440,87),0)</f>
        <v/>
      </c>
      <c r="CM440">
        <f>IFERROR(INDEX(PP_Grid[#Data],$DE440,88),0)</f>
        <v/>
      </c>
      <c r="CN440">
        <f>IFERROR(INDEX(PP_Grid[#Data],$DE440,89),0)</f>
        <v/>
      </c>
      <c r="CO440">
        <f>IFERROR(INDEX(PP_Grid[#Data],$DE440,90),0)</f>
        <v/>
      </c>
      <c r="CP440">
        <f>IFERROR(INDEX(PP_Grid[#Data],$DE440,91),0)</f>
        <v/>
      </c>
      <c r="CQ440">
        <f>IFERROR(INDEX(PP_Grid[#Data],$DE440,92),0)</f>
        <v/>
      </c>
      <c r="CR440">
        <f>IFERROR(INDEX(PP_Grid[#Data],$DE440,93),0)</f>
        <v/>
      </c>
      <c r="CS440">
        <f>IFERROR(INDEX(PP_Grid[#Data],$DE440,94),0)</f>
        <v/>
      </c>
      <c r="CT440">
        <f>IFERROR(INDEX(PP_Grid[#Data],$DE440,95),0)</f>
        <v/>
      </c>
      <c r="CU440">
        <f>IFERROR(INDEX(PP_Grid[#Data],$DE440,96),0)</f>
        <v/>
      </c>
      <c r="CV440">
        <f>IFERROR(INDEX(PP_Grid[#Data],$DE440,97),0)</f>
        <v/>
      </c>
      <c r="CW440">
        <f>IFERROR(INDEX(PP_Grid[#Data],$DE440,98),0)</f>
        <v/>
      </c>
      <c r="CX440">
        <f>IFERROR(INDEX(PP_Grid[#Data],$DE440,99),0)</f>
        <v/>
      </c>
      <c r="CY440">
        <f>IFERROR(INDEX(PP_Grid[#Data],$DE440,100),0)</f>
        <v/>
      </c>
      <c r="CZ440">
        <f>IFERROR(INDEX(PP_Grid[#Data],$DE440,101),0)</f>
        <v/>
      </c>
      <c r="DA440">
        <f>IFERROR(INDEX(PP_Grid[#Data],$DE440,102),0)</f>
        <v/>
      </c>
      <c r="DB440">
        <f>IFERROR(INDEX(PP_Grid[#Data],$DE440,103),0)</f>
        <v/>
      </c>
      <c r="DC440">
        <f>IFERROR(INDEX(PP_Grid[#Data],$DE440,104),0)</f>
        <v/>
      </c>
      <c r="DD440">
        <f>IFERROR(INDEX(PP_Grid[#Data],$DE440,105),0)</f>
        <v/>
      </c>
      <c r="DE440" s="7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SUMIFS(M_BOM[RM_Qty_Per_Batch],M_BOM[Intermediate],$B440,M_BOM[RM_Code],$A325)</f>
        <v/>
      </c>
      <c r="D441">
        <f>IFERROR(INDEX(E441:DD441,$F$1),"")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  <c r="DD441">
        <f>$C441*DD440</f>
        <v/>
      </c>
    </row>
    <row r="442">
      <c r="B442" t="inlineStr">
        <is>
          <t>TSP-1449</t>
        </is>
      </c>
      <c r="C442" t="inlineStr">
        <is>
          <t>No. of batches</t>
        </is>
      </c>
      <c r="D442">
        <f>IFERROR(INDEX(E442:DD442,$F$1),"")</f>
        <v/>
      </c>
      <c r="E442">
        <f>IFERROR(INDEX(PP_Grid[#Data],$DE442,2),0)</f>
        <v/>
      </c>
      <c r="F442">
        <f>IFERROR(INDEX(PP_Grid[#Data],$DE442,3),0)</f>
        <v/>
      </c>
      <c r="G442">
        <f>IFERROR(INDEX(PP_Grid[#Data],$DE442,4),0)</f>
        <v/>
      </c>
      <c r="H442">
        <f>IFERROR(INDEX(PP_Grid[#Data],$DE442,5),0)</f>
        <v/>
      </c>
      <c r="I442">
        <f>IFERROR(INDEX(PP_Grid[#Data],$DE442,6),0)</f>
        <v/>
      </c>
      <c r="J442">
        <f>IFERROR(INDEX(PP_Grid[#Data],$DE442,7),0)</f>
        <v/>
      </c>
      <c r="K442">
        <f>IFERROR(INDEX(PP_Grid[#Data],$DE442,8),0)</f>
        <v/>
      </c>
      <c r="L442">
        <f>IFERROR(INDEX(PP_Grid[#Data],$DE442,9),0)</f>
        <v/>
      </c>
      <c r="M442">
        <f>IFERROR(INDEX(PP_Grid[#Data],$DE442,10),0)</f>
        <v/>
      </c>
      <c r="N442">
        <f>IFERROR(INDEX(PP_Grid[#Data],$DE442,11),0)</f>
        <v/>
      </c>
      <c r="O442">
        <f>IFERROR(INDEX(PP_Grid[#Data],$DE442,12),0)</f>
        <v/>
      </c>
      <c r="P442">
        <f>IFERROR(INDEX(PP_Grid[#Data],$DE442,13),0)</f>
        <v/>
      </c>
      <c r="Q442">
        <f>IFERROR(INDEX(PP_Grid[#Data],$DE442,14),0)</f>
        <v/>
      </c>
      <c r="R442">
        <f>IFERROR(INDEX(PP_Grid[#Data],$DE442,15),0)</f>
        <v/>
      </c>
      <c r="S442">
        <f>IFERROR(INDEX(PP_Grid[#Data],$DE442,16),0)</f>
        <v/>
      </c>
      <c r="T442">
        <f>IFERROR(INDEX(PP_Grid[#Data],$DE442,17),0)</f>
        <v/>
      </c>
      <c r="U442">
        <f>IFERROR(INDEX(PP_Grid[#Data],$DE442,18),0)</f>
        <v/>
      </c>
      <c r="V442">
        <f>IFERROR(INDEX(PP_Grid[#Data],$DE442,19),0)</f>
        <v/>
      </c>
      <c r="W442">
        <f>IFERROR(INDEX(PP_Grid[#Data],$DE442,20),0)</f>
        <v/>
      </c>
      <c r="X442">
        <f>IFERROR(INDEX(PP_Grid[#Data],$DE442,21),0)</f>
        <v/>
      </c>
      <c r="Y442">
        <f>IFERROR(INDEX(PP_Grid[#Data],$DE442,22),0)</f>
        <v/>
      </c>
      <c r="Z442">
        <f>IFERROR(INDEX(PP_Grid[#Data],$DE442,23),0)</f>
        <v/>
      </c>
      <c r="AA442">
        <f>IFERROR(INDEX(PP_Grid[#Data],$DE442,24),0)</f>
        <v/>
      </c>
      <c r="AB442">
        <f>IFERROR(INDEX(PP_Grid[#Data],$DE442,25),0)</f>
        <v/>
      </c>
      <c r="AC442">
        <f>IFERROR(INDEX(PP_Grid[#Data],$DE442,26),0)</f>
        <v/>
      </c>
      <c r="AD442">
        <f>IFERROR(INDEX(PP_Grid[#Data],$DE442,27),0)</f>
        <v/>
      </c>
      <c r="AE442">
        <f>IFERROR(INDEX(PP_Grid[#Data],$DE442,28),0)</f>
        <v/>
      </c>
      <c r="AF442">
        <f>IFERROR(INDEX(PP_Grid[#Data],$DE442,29),0)</f>
        <v/>
      </c>
      <c r="AG442">
        <f>IFERROR(INDEX(PP_Grid[#Data],$DE442,30),0)</f>
        <v/>
      </c>
      <c r="AH442">
        <f>IFERROR(INDEX(PP_Grid[#Data],$DE442,31),0)</f>
        <v/>
      </c>
      <c r="AI442">
        <f>IFERROR(INDEX(PP_Grid[#Data],$DE442,32),0)</f>
        <v/>
      </c>
      <c r="AJ442">
        <f>IFERROR(INDEX(PP_Grid[#Data],$DE442,33),0)</f>
        <v/>
      </c>
      <c r="AK442">
        <f>IFERROR(INDEX(PP_Grid[#Data],$DE442,34),0)</f>
        <v/>
      </c>
      <c r="AL442">
        <f>IFERROR(INDEX(PP_Grid[#Data],$DE442,35),0)</f>
        <v/>
      </c>
      <c r="AM442">
        <f>IFERROR(INDEX(PP_Grid[#Data],$DE442,36),0)</f>
        <v/>
      </c>
      <c r="AN442">
        <f>IFERROR(INDEX(PP_Grid[#Data],$DE442,37),0)</f>
        <v/>
      </c>
      <c r="AO442">
        <f>IFERROR(INDEX(PP_Grid[#Data],$DE442,38),0)</f>
        <v/>
      </c>
      <c r="AP442">
        <f>IFERROR(INDEX(PP_Grid[#Data],$DE442,39),0)</f>
        <v/>
      </c>
      <c r="AQ442">
        <f>IFERROR(INDEX(PP_Grid[#Data],$DE442,40),0)</f>
        <v/>
      </c>
      <c r="AR442">
        <f>IFERROR(INDEX(PP_Grid[#Data],$DE442,41),0)</f>
        <v/>
      </c>
      <c r="AS442">
        <f>IFERROR(INDEX(PP_Grid[#Data],$DE442,42),0)</f>
        <v/>
      </c>
      <c r="AT442">
        <f>IFERROR(INDEX(PP_Grid[#Data],$DE442,43),0)</f>
        <v/>
      </c>
      <c r="AU442">
        <f>IFERROR(INDEX(PP_Grid[#Data],$DE442,44),0)</f>
        <v/>
      </c>
      <c r="AV442">
        <f>IFERROR(INDEX(PP_Grid[#Data],$DE442,45),0)</f>
        <v/>
      </c>
      <c r="AW442">
        <f>IFERROR(INDEX(PP_Grid[#Data],$DE442,46),0)</f>
        <v/>
      </c>
      <c r="AX442">
        <f>IFERROR(INDEX(PP_Grid[#Data],$DE442,47),0)</f>
        <v/>
      </c>
      <c r="AY442">
        <f>IFERROR(INDEX(PP_Grid[#Data],$DE442,48),0)</f>
        <v/>
      </c>
      <c r="AZ442">
        <f>IFERROR(INDEX(PP_Grid[#Data],$DE442,49),0)</f>
        <v/>
      </c>
      <c r="BA442">
        <f>IFERROR(INDEX(PP_Grid[#Data],$DE442,50),0)</f>
        <v/>
      </c>
      <c r="BB442">
        <f>IFERROR(INDEX(PP_Grid[#Data],$DE442,51),0)</f>
        <v/>
      </c>
      <c r="BC442">
        <f>IFERROR(INDEX(PP_Grid[#Data],$DE442,52),0)</f>
        <v/>
      </c>
      <c r="BD442">
        <f>IFERROR(INDEX(PP_Grid[#Data],$DE442,53),0)</f>
        <v/>
      </c>
      <c r="BE442">
        <f>IFERROR(INDEX(PP_Grid[#Data],$DE442,54),0)</f>
        <v/>
      </c>
      <c r="BF442">
        <f>IFERROR(INDEX(PP_Grid[#Data],$DE442,55),0)</f>
        <v/>
      </c>
      <c r="BG442">
        <f>IFERROR(INDEX(PP_Grid[#Data],$DE442,56),0)</f>
        <v/>
      </c>
      <c r="BH442">
        <f>IFERROR(INDEX(PP_Grid[#Data],$DE442,57),0)</f>
        <v/>
      </c>
      <c r="BI442">
        <f>IFERROR(INDEX(PP_Grid[#Data],$DE442,58),0)</f>
        <v/>
      </c>
      <c r="BJ442">
        <f>IFERROR(INDEX(PP_Grid[#Data],$DE442,59),0)</f>
        <v/>
      </c>
      <c r="BK442">
        <f>IFERROR(INDEX(PP_Grid[#Data],$DE442,60),0)</f>
        <v/>
      </c>
      <c r="BL442">
        <f>IFERROR(INDEX(PP_Grid[#Data],$DE442,61),0)</f>
        <v/>
      </c>
      <c r="BM442">
        <f>IFERROR(INDEX(PP_Grid[#Data],$DE442,62),0)</f>
        <v/>
      </c>
      <c r="BN442">
        <f>IFERROR(INDEX(PP_Grid[#Data],$DE442,63),0)</f>
        <v/>
      </c>
      <c r="BO442">
        <f>IFERROR(INDEX(PP_Grid[#Data],$DE442,64),0)</f>
        <v/>
      </c>
      <c r="BP442">
        <f>IFERROR(INDEX(PP_Grid[#Data],$DE442,65),0)</f>
        <v/>
      </c>
      <c r="BQ442">
        <f>IFERROR(INDEX(PP_Grid[#Data],$DE442,66),0)</f>
        <v/>
      </c>
      <c r="BR442">
        <f>IFERROR(INDEX(PP_Grid[#Data],$DE442,67),0)</f>
        <v/>
      </c>
      <c r="BS442">
        <f>IFERROR(INDEX(PP_Grid[#Data],$DE442,68),0)</f>
        <v/>
      </c>
      <c r="BT442">
        <f>IFERROR(INDEX(PP_Grid[#Data],$DE442,69),0)</f>
        <v/>
      </c>
      <c r="BU442">
        <f>IFERROR(INDEX(PP_Grid[#Data],$DE442,70),0)</f>
        <v/>
      </c>
      <c r="BV442">
        <f>IFERROR(INDEX(PP_Grid[#Data],$DE442,71),0)</f>
        <v/>
      </c>
      <c r="BW442">
        <f>IFERROR(INDEX(PP_Grid[#Data],$DE442,72),0)</f>
        <v/>
      </c>
      <c r="BX442">
        <f>IFERROR(INDEX(PP_Grid[#Data],$DE442,73),0)</f>
        <v/>
      </c>
      <c r="BY442">
        <f>IFERROR(INDEX(PP_Grid[#Data],$DE442,74),0)</f>
        <v/>
      </c>
      <c r="BZ442">
        <f>IFERROR(INDEX(PP_Grid[#Data],$DE442,75),0)</f>
        <v/>
      </c>
      <c r="CA442">
        <f>IFERROR(INDEX(PP_Grid[#Data],$DE442,76),0)</f>
        <v/>
      </c>
      <c r="CB442">
        <f>IFERROR(INDEX(PP_Grid[#Data],$DE442,77),0)</f>
        <v/>
      </c>
      <c r="CC442">
        <f>IFERROR(INDEX(PP_Grid[#Data],$DE442,78),0)</f>
        <v/>
      </c>
      <c r="CD442">
        <f>IFERROR(INDEX(PP_Grid[#Data],$DE442,79),0)</f>
        <v/>
      </c>
      <c r="CE442">
        <f>IFERROR(INDEX(PP_Grid[#Data],$DE442,80),0)</f>
        <v/>
      </c>
      <c r="CF442">
        <f>IFERROR(INDEX(PP_Grid[#Data],$DE442,81),0)</f>
        <v/>
      </c>
      <c r="CG442">
        <f>IFERROR(INDEX(PP_Grid[#Data],$DE442,82),0)</f>
        <v/>
      </c>
      <c r="CH442">
        <f>IFERROR(INDEX(PP_Grid[#Data],$DE442,83),0)</f>
        <v/>
      </c>
      <c r="CI442">
        <f>IFERROR(INDEX(PP_Grid[#Data],$DE442,84),0)</f>
        <v/>
      </c>
      <c r="CJ442">
        <f>IFERROR(INDEX(PP_Grid[#Data],$DE442,85),0)</f>
        <v/>
      </c>
      <c r="CK442">
        <f>IFERROR(INDEX(PP_Grid[#Data],$DE442,86),0)</f>
        <v/>
      </c>
      <c r="CL442">
        <f>IFERROR(INDEX(PP_Grid[#Data],$DE442,87),0)</f>
        <v/>
      </c>
      <c r="CM442">
        <f>IFERROR(INDEX(PP_Grid[#Data],$DE442,88),0)</f>
        <v/>
      </c>
      <c r="CN442">
        <f>IFERROR(INDEX(PP_Grid[#Data],$DE442,89),0)</f>
        <v/>
      </c>
      <c r="CO442">
        <f>IFERROR(INDEX(PP_Grid[#Data],$DE442,90),0)</f>
        <v/>
      </c>
      <c r="CP442">
        <f>IFERROR(INDEX(PP_Grid[#Data],$DE442,91),0)</f>
        <v/>
      </c>
      <c r="CQ442">
        <f>IFERROR(INDEX(PP_Grid[#Data],$DE442,92),0)</f>
        <v/>
      </c>
      <c r="CR442">
        <f>IFERROR(INDEX(PP_Grid[#Data],$DE442,93),0)</f>
        <v/>
      </c>
      <c r="CS442">
        <f>IFERROR(INDEX(PP_Grid[#Data],$DE442,94),0)</f>
        <v/>
      </c>
      <c r="CT442">
        <f>IFERROR(INDEX(PP_Grid[#Data],$DE442,95),0)</f>
        <v/>
      </c>
      <c r="CU442">
        <f>IFERROR(INDEX(PP_Grid[#Data],$DE442,96),0)</f>
        <v/>
      </c>
      <c r="CV442">
        <f>IFERROR(INDEX(PP_Grid[#Data],$DE442,97),0)</f>
        <v/>
      </c>
      <c r="CW442">
        <f>IFERROR(INDEX(PP_Grid[#Data],$DE442,98),0)</f>
        <v/>
      </c>
      <c r="CX442">
        <f>IFERROR(INDEX(PP_Grid[#Data],$DE442,99),0)</f>
        <v/>
      </c>
      <c r="CY442">
        <f>IFERROR(INDEX(PP_Grid[#Data],$DE442,100),0)</f>
        <v/>
      </c>
      <c r="CZ442">
        <f>IFERROR(INDEX(PP_Grid[#Data],$DE442,101),0)</f>
        <v/>
      </c>
      <c r="DA442">
        <f>IFERROR(INDEX(PP_Grid[#Data],$DE442,102),0)</f>
        <v/>
      </c>
      <c r="DB442">
        <f>IFERROR(INDEX(PP_Grid[#Data],$DE442,103),0)</f>
        <v/>
      </c>
      <c r="DC442">
        <f>IFERROR(INDEX(PP_Grid[#Data],$DE442,104),0)</f>
        <v/>
      </c>
      <c r="DD442">
        <f>IFERROR(INDEX(PP_Grid[#Data],$DE442,105),0)</f>
        <v/>
      </c>
      <c r="DE442" s="7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SUMIFS(M_BOM[RM_Qty_Per_Batch],M_BOM[Intermediate],$B442,M_BOM[RM_Code],$A325)</f>
        <v/>
      </c>
      <c r="D443">
        <f>IFERROR(INDEX(E443:DD443,$F$1),"")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  <c r="DD443">
        <f>$C443*DD442</f>
        <v/>
      </c>
    </row>
    <row r="444">
      <c r="B444" t="inlineStr">
        <is>
          <t>VSP-567</t>
        </is>
      </c>
      <c r="C444" t="inlineStr">
        <is>
          <t>No. of batches</t>
        </is>
      </c>
      <c r="D444">
        <f>IFERROR(INDEX(E444:DD444,$F$1),"")</f>
        <v/>
      </c>
      <c r="E444">
        <f>IFERROR(INDEX(PP_Grid[#Data],$DE444,2),0)</f>
        <v/>
      </c>
      <c r="F444">
        <f>IFERROR(INDEX(PP_Grid[#Data],$DE444,3),0)</f>
        <v/>
      </c>
      <c r="G444">
        <f>IFERROR(INDEX(PP_Grid[#Data],$DE444,4),0)</f>
        <v/>
      </c>
      <c r="H444">
        <f>IFERROR(INDEX(PP_Grid[#Data],$DE444,5),0)</f>
        <v/>
      </c>
      <c r="I444">
        <f>IFERROR(INDEX(PP_Grid[#Data],$DE444,6),0)</f>
        <v/>
      </c>
      <c r="J444">
        <f>IFERROR(INDEX(PP_Grid[#Data],$DE444,7),0)</f>
        <v/>
      </c>
      <c r="K444">
        <f>IFERROR(INDEX(PP_Grid[#Data],$DE444,8),0)</f>
        <v/>
      </c>
      <c r="L444">
        <f>IFERROR(INDEX(PP_Grid[#Data],$DE444,9),0)</f>
        <v/>
      </c>
      <c r="M444">
        <f>IFERROR(INDEX(PP_Grid[#Data],$DE444,10),0)</f>
        <v/>
      </c>
      <c r="N444">
        <f>IFERROR(INDEX(PP_Grid[#Data],$DE444,11),0)</f>
        <v/>
      </c>
      <c r="O444">
        <f>IFERROR(INDEX(PP_Grid[#Data],$DE444,12),0)</f>
        <v/>
      </c>
      <c r="P444">
        <f>IFERROR(INDEX(PP_Grid[#Data],$DE444,13),0)</f>
        <v/>
      </c>
      <c r="Q444">
        <f>IFERROR(INDEX(PP_Grid[#Data],$DE444,14),0)</f>
        <v/>
      </c>
      <c r="R444">
        <f>IFERROR(INDEX(PP_Grid[#Data],$DE444,15),0)</f>
        <v/>
      </c>
      <c r="S444">
        <f>IFERROR(INDEX(PP_Grid[#Data],$DE444,16),0)</f>
        <v/>
      </c>
      <c r="T444">
        <f>IFERROR(INDEX(PP_Grid[#Data],$DE444,17),0)</f>
        <v/>
      </c>
      <c r="U444">
        <f>IFERROR(INDEX(PP_Grid[#Data],$DE444,18),0)</f>
        <v/>
      </c>
      <c r="V444">
        <f>IFERROR(INDEX(PP_Grid[#Data],$DE444,19),0)</f>
        <v/>
      </c>
      <c r="W444">
        <f>IFERROR(INDEX(PP_Grid[#Data],$DE444,20),0)</f>
        <v/>
      </c>
      <c r="X444">
        <f>IFERROR(INDEX(PP_Grid[#Data],$DE444,21),0)</f>
        <v/>
      </c>
      <c r="Y444">
        <f>IFERROR(INDEX(PP_Grid[#Data],$DE444,22),0)</f>
        <v/>
      </c>
      <c r="Z444">
        <f>IFERROR(INDEX(PP_Grid[#Data],$DE444,23),0)</f>
        <v/>
      </c>
      <c r="AA444">
        <f>IFERROR(INDEX(PP_Grid[#Data],$DE444,24),0)</f>
        <v/>
      </c>
      <c r="AB444">
        <f>IFERROR(INDEX(PP_Grid[#Data],$DE444,25),0)</f>
        <v/>
      </c>
      <c r="AC444">
        <f>IFERROR(INDEX(PP_Grid[#Data],$DE444,26),0)</f>
        <v/>
      </c>
      <c r="AD444">
        <f>IFERROR(INDEX(PP_Grid[#Data],$DE444,27),0)</f>
        <v/>
      </c>
      <c r="AE444">
        <f>IFERROR(INDEX(PP_Grid[#Data],$DE444,28),0)</f>
        <v/>
      </c>
      <c r="AF444">
        <f>IFERROR(INDEX(PP_Grid[#Data],$DE444,29),0)</f>
        <v/>
      </c>
      <c r="AG444">
        <f>IFERROR(INDEX(PP_Grid[#Data],$DE444,30),0)</f>
        <v/>
      </c>
      <c r="AH444">
        <f>IFERROR(INDEX(PP_Grid[#Data],$DE444,31),0)</f>
        <v/>
      </c>
      <c r="AI444">
        <f>IFERROR(INDEX(PP_Grid[#Data],$DE444,32),0)</f>
        <v/>
      </c>
      <c r="AJ444">
        <f>IFERROR(INDEX(PP_Grid[#Data],$DE444,33),0)</f>
        <v/>
      </c>
      <c r="AK444">
        <f>IFERROR(INDEX(PP_Grid[#Data],$DE444,34),0)</f>
        <v/>
      </c>
      <c r="AL444">
        <f>IFERROR(INDEX(PP_Grid[#Data],$DE444,35),0)</f>
        <v/>
      </c>
      <c r="AM444">
        <f>IFERROR(INDEX(PP_Grid[#Data],$DE444,36),0)</f>
        <v/>
      </c>
      <c r="AN444">
        <f>IFERROR(INDEX(PP_Grid[#Data],$DE444,37),0)</f>
        <v/>
      </c>
      <c r="AO444">
        <f>IFERROR(INDEX(PP_Grid[#Data],$DE444,38),0)</f>
        <v/>
      </c>
      <c r="AP444">
        <f>IFERROR(INDEX(PP_Grid[#Data],$DE444,39),0)</f>
        <v/>
      </c>
      <c r="AQ444">
        <f>IFERROR(INDEX(PP_Grid[#Data],$DE444,40),0)</f>
        <v/>
      </c>
      <c r="AR444">
        <f>IFERROR(INDEX(PP_Grid[#Data],$DE444,41),0)</f>
        <v/>
      </c>
      <c r="AS444">
        <f>IFERROR(INDEX(PP_Grid[#Data],$DE444,42),0)</f>
        <v/>
      </c>
      <c r="AT444">
        <f>IFERROR(INDEX(PP_Grid[#Data],$DE444,43),0)</f>
        <v/>
      </c>
      <c r="AU444">
        <f>IFERROR(INDEX(PP_Grid[#Data],$DE444,44),0)</f>
        <v/>
      </c>
      <c r="AV444">
        <f>IFERROR(INDEX(PP_Grid[#Data],$DE444,45),0)</f>
        <v/>
      </c>
      <c r="AW444">
        <f>IFERROR(INDEX(PP_Grid[#Data],$DE444,46),0)</f>
        <v/>
      </c>
      <c r="AX444">
        <f>IFERROR(INDEX(PP_Grid[#Data],$DE444,47),0)</f>
        <v/>
      </c>
      <c r="AY444">
        <f>IFERROR(INDEX(PP_Grid[#Data],$DE444,48),0)</f>
        <v/>
      </c>
      <c r="AZ444">
        <f>IFERROR(INDEX(PP_Grid[#Data],$DE444,49),0)</f>
        <v/>
      </c>
      <c r="BA444">
        <f>IFERROR(INDEX(PP_Grid[#Data],$DE444,50),0)</f>
        <v/>
      </c>
      <c r="BB444">
        <f>IFERROR(INDEX(PP_Grid[#Data],$DE444,51),0)</f>
        <v/>
      </c>
      <c r="BC444">
        <f>IFERROR(INDEX(PP_Grid[#Data],$DE444,52),0)</f>
        <v/>
      </c>
      <c r="BD444">
        <f>IFERROR(INDEX(PP_Grid[#Data],$DE444,53),0)</f>
        <v/>
      </c>
      <c r="BE444">
        <f>IFERROR(INDEX(PP_Grid[#Data],$DE444,54),0)</f>
        <v/>
      </c>
      <c r="BF444">
        <f>IFERROR(INDEX(PP_Grid[#Data],$DE444,55),0)</f>
        <v/>
      </c>
      <c r="BG444">
        <f>IFERROR(INDEX(PP_Grid[#Data],$DE444,56),0)</f>
        <v/>
      </c>
      <c r="BH444">
        <f>IFERROR(INDEX(PP_Grid[#Data],$DE444,57),0)</f>
        <v/>
      </c>
      <c r="BI444">
        <f>IFERROR(INDEX(PP_Grid[#Data],$DE444,58),0)</f>
        <v/>
      </c>
      <c r="BJ444">
        <f>IFERROR(INDEX(PP_Grid[#Data],$DE444,59),0)</f>
        <v/>
      </c>
      <c r="BK444">
        <f>IFERROR(INDEX(PP_Grid[#Data],$DE444,60),0)</f>
        <v/>
      </c>
      <c r="BL444">
        <f>IFERROR(INDEX(PP_Grid[#Data],$DE444,61),0)</f>
        <v/>
      </c>
      <c r="BM444">
        <f>IFERROR(INDEX(PP_Grid[#Data],$DE444,62),0)</f>
        <v/>
      </c>
      <c r="BN444">
        <f>IFERROR(INDEX(PP_Grid[#Data],$DE444,63),0)</f>
        <v/>
      </c>
      <c r="BO444">
        <f>IFERROR(INDEX(PP_Grid[#Data],$DE444,64),0)</f>
        <v/>
      </c>
      <c r="BP444">
        <f>IFERROR(INDEX(PP_Grid[#Data],$DE444,65),0)</f>
        <v/>
      </c>
      <c r="BQ444">
        <f>IFERROR(INDEX(PP_Grid[#Data],$DE444,66),0)</f>
        <v/>
      </c>
      <c r="BR444">
        <f>IFERROR(INDEX(PP_Grid[#Data],$DE444,67),0)</f>
        <v/>
      </c>
      <c r="BS444">
        <f>IFERROR(INDEX(PP_Grid[#Data],$DE444,68),0)</f>
        <v/>
      </c>
      <c r="BT444">
        <f>IFERROR(INDEX(PP_Grid[#Data],$DE444,69),0)</f>
        <v/>
      </c>
      <c r="BU444">
        <f>IFERROR(INDEX(PP_Grid[#Data],$DE444,70),0)</f>
        <v/>
      </c>
      <c r="BV444">
        <f>IFERROR(INDEX(PP_Grid[#Data],$DE444,71),0)</f>
        <v/>
      </c>
      <c r="BW444">
        <f>IFERROR(INDEX(PP_Grid[#Data],$DE444,72),0)</f>
        <v/>
      </c>
      <c r="BX444">
        <f>IFERROR(INDEX(PP_Grid[#Data],$DE444,73),0)</f>
        <v/>
      </c>
      <c r="BY444">
        <f>IFERROR(INDEX(PP_Grid[#Data],$DE444,74),0)</f>
        <v/>
      </c>
      <c r="BZ444">
        <f>IFERROR(INDEX(PP_Grid[#Data],$DE444,75),0)</f>
        <v/>
      </c>
      <c r="CA444">
        <f>IFERROR(INDEX(PP_Grid[#Data],$DE444,76),0)</f>
        <v/>
      </c>
      <c r="CB444">
        <f>IFERROR(INDEX(PP_Grid[#Data],$DE444,77),0)</f>
        <v/>
      </c>
      <c r="CC444">
        <f>IFERROR(INDEX(PP_Grid[#Data],$DE444,78),0)</f>
        <v/>
      </c>
      <c r="CD444">
        <f>IFERROR(INDEX(PP_Grid[#Data],$DE444,79),0)</f>
        <v/>
      </c>
      <c r="CE444">
        <f>IFERROR(INDEX(PP_Grid[#Data],$DE444,80),0)</f>
        <v/>
      </c>
      <c r="CF444">
        <f>IFERROR(INDEX(PP_Grid[#Data],$DE444,81),0)</f>
        <v/>
      </c>
      <c r="CG444">
        <f>IFERROR(INDEX(PP_Grid[#Data],$DE444,82),0)</f>
        <v/>
      </c>
      <c r="CH444">
        <f>IFERROR(INDEX(PP_Grid[#Data],$DE444,83),0)</f>
        <v/>
      </c>
      <c r="CI444">
        <f>IFERROR(INDEX(PP_Grid[#Data],$DE444,84),0)</f>
        <v/>
      </c>
      <c r="CJ444">
        <f>IFERROR(INDEX(PP_Grid[#Data],$DE444,85),0)</f>
        <v/>
      </c>
      <c r="CK444">
        <f>IFERROR(INDEX(PP_Grid[#Data],$DE444,86),0)</f>
        <v/>
      </c>
      <c r="CL444">
        <f>IFERROR(INDEX(PP_Grid[#Data],$DE444,87),0)</f>
        <v/>
      </c>
      <c r="CM444">
        <f>IFERROR(INDEX(PP_Grid[#Data],$DE444,88),0)</f>
        <v/>
      </c>
      <c r="CN444">
        <f>IFERROR(INDEX(PP_Grid[#Data],$DE444,89),0)</f>
        <v/>
      </c>
      <c r="CO444">
        <f>IFERROR(INDEX(PP_Grid[#Data],$DE444,90),0)</f>
        <v/>
      </c>
      <c r="CP444">
        <f>IFERROR(INDEX(PP_Grid[#Data],$DE444,91),0)</f>
        <v/>
      </c>
      <c r="CQ444">
        <f>IFERROR(INDEX(PP_Grid[#Data],$DE444,92),0)</f>
        <v/>
      </c>
      <c r="CR444">
        <f>IFERROR(INDEX(PP_Grid[#Data],$DE444,93),0)</f>
        <v/>
      </c>
      <c r="CS444">
        <f>IFERROR(INDEX(PP_Grid[#Data],$DE444,94),0)</f>
        <v/>
      </c>
      <c r="CT444">
        <f>IFERROR(INDEX(PP_Grid[#Data],$DE444,95),0)</f>
        <v/>
      </c>
      <c r="CU444">
        <f>IFERROR(INDEX(PP_Grid[#Data],$DE444,96),0)</f>
        <v/>
      </c>
      <c r="CV444">
        <f>IFERROR(INDEX(PP_Grid[#Data],$DE444,97),0)</f>
        <v/>
      </c>
      <c r="CW444">
        <f>IFERROR(INDEX(PP_Grid[#Data],$DE444,98),0)</f>
        <v/>
      </c>
      <c r="CX444">
        <f>IFERROR(INDEX(PP_Grid[#Data],$DE444,99),0)</f>
        <v/>
      </c>
      <c r="CY444">
        <f>IFERROR(INDEX(PP_Grid[#Data],$DE444,100),0)</f>
        <v/>
      </c>
      <c r="CZ444">
        <f>IFERROR(INDEX(PP_Grid[#Data],$DE444,101),0)</f>
        <v/>
      </c>
      <c r="DA444">
        <f>IFERROR(INDEX(PP_Grid[#Data],$DE444,102),0)</f>
        <v/>
      </c>
      <c r="DB444">
        <f>IFERROR(INDEX(PP_Grid[#Data],$DE444,103),0)</f>
        <v/>
      </c>
      <c r="DC444">
        <f>IFERROR(INDEX(PP_Grid[#Data],$DE444,104),0)</f>
        <v/>
      </c>
      <c r="DD444">
        <f>IFERROR(INDEX(PP_Grid[#Data],$DE444,105),0)</f>
        <v/>
      </c>
      <c r="DE444" s="7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SUMIFS(M_BOM[RM_Qty_Per_Batch],M_BOM[Intermediate],$B444,M_BOM[RM_Code],$A325)</f>
        <v/>
      </c>
      <c r="D445">
        <f>IFERROR(INDEX(E445:DD445,$F$1),"")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  <c r="DD445">
        <f>$C445*DD444</f>
        <v/>
      </c>
    </row>
    <row r="446">
      <c r="B446" t="inlineStr">
        <is>
          <t>VSP-600</t>
        </is>
      </c>
      <c r="C446" t="inlineStr">
        <is>
          <t>No. of batches</t>
        </is>
      </c>
      <c r="D446">
        <f>IFERROR(INDEX(E446:DD446,$F$1),"")</f>
        <v/>
      </c>
      <c r="E446">
        <f>IFERROR(INDEX(PP_Grid[#Data],$DE446,2),0)</f>
        <v/>
      </c>
      <c r="F446">
        <f>IFERROR(INDEX(PP_Grid[#Data],$DE446,3),0)</f>
        <v/>
      </c>
      <c r="G446">
        <f>IFERROR(INDEX(PP_Grid[#Data],$DE446,4),0)</f>
        <v/>
      </c>
      <c r="H446">
        <f>IFERROR(INDEX(PP_Grid[#Data],$DE446,5),0)</f>
        <v/>
      </c>
      <c r="I446">
        <f>IFERROR(INDEX(PP_Grid[#Data],$DE446,6),0)</f>
        <v/>
      </c>
      <c r="J446">
        <f>IFERROR(INDEX(PP_Grid[#Data],$DE446,7),0)</f>
        <v/>
      </c>
      <c r="K446">
        <f>IFERROR(INDEX(PP_Grid[#Data],$DE446,8),0)</f>
        <v/>
      </c>
      <c r="L446">
        <f>IFERROR(INDEX(PP_Grid[#Data],$DE446,9),0)</f>
        <v/>
      </c>
      <c r="M446">
        <f>IFERROR(INDEX(PP_Grid[#Data],$DE446,10),0)</f>
        <v/>
      </c>
      <c r="N446">
        <f>IFERROR(INDEX(PP_Grid[#Data],$DE446,11),0)</f>
        <v/>
      </c>
      <c r="O446">
        <f>IFERROR(INDEX(PP_Grid[#Data],$DE446,12),0)</f>
        <v/>
      </c>
      <c r="P446">
        <f>IFERROR(INDEX(PP_Grid[#Data],$DE446,13),0)</f>
        <v/>
      </c>
      <c r="Q446">
        <f>IFERROR(INDEX(PP_Grid[#Data],$DE446,14),0)</f>
        <v/>
      </c>
      <c r="R446">
        <f>IFERROR(INDEX(PP_Grid[#Data],$DE446,15),0)</f>
        <v/>
      </c>
      <c r="S446">
        <f>IFERROR(INDEX(PP_Grid[#Data],$DE446,16),0)</f>
        <v/>
      </c>
      <c r="T446">
        <f>IFERROR(INDEX(PP_Grid[#Data],$DE446,17),0)</f>
        <v/>
      </c>
      <c r="U446">
        <f>IFERROR(INDEX(PP_Grid[#Data],$DE446,18),0)</f>
        <v/>
      </c>
      <c r="V446">
        <f>IFERROR(INDEX(PP_Grid[#Data],$DE446,19),0)</f>
        <v/>
      </c>
      <c r="W446">
        <f>IFERROR(INDEX(PP_Grid[#Data],$DE446,20),0)</f>
        <v/>
      </c>
      <c r="X446">
        <f>IFERROR(INDEX(PP_Grid[#Data],$DE446,21),0)</f>
        <v/>
      </c>
      <c r="Y446">
        <f>IFERROR(INDEX(PP_Grid[#Data],$DE446,22),0)</f>
        <v/>
      </c>
      <c r="Z446">
        <f>IFERROR(INDEX(PP_Grid[#Data],$DE446,23),0)</f>
        <v/>
      </c>
      <c r="AA446">
        <f>IFERROR(INDEX(PP_Grid[#Data],$DE446,24),0)</f>
        <v/>
      </c>
      <c r="AB446">
        <f>IFERROR(INDEX(PP_Grid[#Data],$DE446,25),0)</f>
        <v/>
      </c>
      <c r="AC446">
        <f>IFERROR(INDEX(PP_Grid[#Data],$DE446,26),0)</f>
        <v/>
      </c>
      <c r="AD446">
        <f>IFERROR(INDEX(PP_Grid[#Data],$DE446,27),0)</f>
        <v/>
      </c>
      <c r="AE446">
        <f>IFERROR(INDEX(PP_Grid[#Data],$DE446,28),0)</f>
        <v/>
      </c>
      <c r="AF446">
        <f>IFERROR(INDEX(PP_Grid[#Data],$DE446,29),0)</f>
        <v/>
      </c>
      <c r="AG446">
        <f>IFERROR(INDEX(PP_Grid[#Data],$DE446,30),0)</f>
        <v/>
      </c>
      <c r="AH446">
        <f>IFERROR(INDEX(PP_Grid[#Data],$DE446,31),0)</f>
        <v/>
      </c>
      <c r="AI446">
        <f>IFERROR(INDEX(PP_Grid[#Data],$DE446,32),0)</f>
        <v/>
      </c>
      <c r="AJ446">
        <f>IFERROR(INDEX(PP_Grid[#Data],$DE446,33),0)</f>
        <v/>
      </c>
      <c r="AK446">
        <f>IFERROR(INDEX(PP_Grid[#Data],$DE446,34),0)</f>
        <v/>
      </c>
      <c r="AL446">
        <f>IFERROR(INDEX(PP_Grid[#Data],$DE446,35),0)</f>
        <v/>
      </c>
      <c r="AM446">
        <f>IFERROR(INDEX(PP_Grid[#Data],$DE446,36),0)</f>
        <v/>
      </c>
      <c r="AN446">
        <f>IFERROR(INDEX(PP_Grid[#Data],$DE446,37),0)</f>
        <v/>
      </c>
      <c r="AO446">
        <f>IFERROR(INDEX(PP_Grid[#Data],$DE446,38),0)</f>
        <v/>
      </c>
      <c r="AP446">
        <f>IFERROR(INDEX(PP_Grid[#Data],$DE446,39),0)</f>
        <v/>
      </c>
      <c r="AQ446">
        <f>IFERROR(INDEX(PP_Grid[#Data],$DE446,40),0)</f>
        <v/>
      </c>
      <c r="AR446">
        <f>IFERROR(INDEX(PP_Grid[#Data],$DE446,41),0)</f>
        <v/>
      </c>
      <c r="AS446">
        <f>IFERROR(INDEX(PP_Grid[#Data],$DE446,42),0)</f>
        <v/>
      </c>
      <c r="AT446">
        <f>IFERROR(INDEX(PP_Grid[#Data],$DE446,43),0)</f>
        <v/>
      </c>
      <c r="AU446">
        <f>IFERROR(INDEX(PP_Grid[#Data],$DE446,44),0)</f>
        <v/>
      </c>
      <c r="AV446">
        <f>IFERROR(INDEX(PP_Grid[#Data],$DE446,45),0)</f>
        <v/>
      </c>
      <c r="AW446">
        <f>IFERROR(INDEX(PP_Grid[#Data],$DE446,46),0)</f>
        <v/>
      </c>
      <c r="AX446">
        <f>IFERROR(INDEX(PP_Grid[#Data],$DE446,47),0)</f>
        <v/>
      </c>
      <c r="AY446">
        <f>IFERROR(INDEX(PP_Grid[#Data],$DE446,48),0)</f>
        <v/>
      </c>
      <c r="AZ446">
        <f>IFERROR(INDEX(PP_Grid[#Data],$DE446,49),0)</f>
        <v/>
      </c>
      <c r="BA446">
        <f>IFERROR(INDEX(PP_Grid[#Data],$DE446,50),0)</f>
        <v/>
      </c>
      <c r="BB446">
        <f>IFERROR(INDEX(PP_Grid[#Data],$DE446,51),0)</f>
        <v/>
      </c>
      <c r="BC446">
        <f>IFERROR(INDEX(PP_Grid[#Data],$DE446,52),0)</f>
        <v/>
      </c>
      <c r="BD446">
        <f>IFERROR(INDEX(PP_Grid[#Data],$DE446,53),0)</f>
        <v/>
      </c>
      <c r="BE446">
        <f>IFERROR(INDEX(PP_Grid[#Data],$DE446,54),0)</f>
        <v/>
      </c>
      <c r="BF446">
        <f>IFERROR(INDEX(PP_Grid[#Data],$DE446,55),0)</f>
        <v/>
      </c>
      <c r="BG446">
        <f>IFERROR(INDEX(PP_Grid[#Data],$DE446,56),0)</f>
        <v/>
      </c>
      <c r="BH446">
        <f>IFERROR(INDEX(PP_Grid[#Data],$DE446,57),0)</f>
        <v/>
      </c>
      <c r="BI446">
        <f>IFERROR(INDEX(PP_Grid[#Data],$DE446,58),0)</f>
        <v/>
      </c>
      <c r="BJ446">
        <f>IFERROR(INDEX(PP_Grid[#Data],$DE446,59),0)</f>
        <v/>
      </c>
      <c r="BK446">
        <f>IFERROR(INDEX(PP_Grid[#Data],$DE446,60),0)</f>
        <v/>
      </c>
      <c r="BL446">
        <f>IFERROR(INDEX(PP_Grid[#Data],$DE446,61),0)</f>
        <v/>
      </c>
      <c r="BM446">
        <f>IFERROR(INDEX(PP_Grid[#Data],$DE446,62),0)</f>
        <v/>
      </c>
      <c r="BN446">
        <f>IFERROR(INDEX(PP_Grid[#Data],$DE446,63),0)</f>
        <v/>
      </c>
      <c r="BO446">
        <f>IFERROR(INDEX(PP_Grid[#Data],$DE446,64),0)</f>
        <v/>
      </c>
      <c r="BP446">
        <f>IFERROR(INDEX(PP_Grid[#Data],$DE446,65),0)</f>
        <v/>
      </c>
      <c r="BQ446">
        <f>IFERROR(INDEX(PP_Grid[#Data],$DE446,66),0)</f>
        <v/>
      </c>
      <c r="BR446">
        <f>IFERROR(INDEX(PP_Grid[#Data],$DE446,67),0)</f>
        <v/>
      </c>
      <c r="BS446">
        <f>IFERROR(INDEX(PP_Grid[#Data],$DE446,68),0)</f>
        <v/>
      </c>
      <c r="BT446">
        <f>IFERROR(INDEX(PP_Grid[#Data],$DE446,69),0)</f>
        <v/>
      </c>
      <c r="BU446">
        <f>IFERROR(INDEX(PP_Grid[#Data],$DE446,70),0)</f>
        <v/>
      </c>
      <c r="BV446">
        <f>IFERROR(INDEX(PP_Grid[#Data],$DE446,71),0)</f>
        <v/>
      </c>
      <c r="BW446">
        <f>IFERROR(INDEX(PP_Grid[#Data],$DE446,72),0)</f>
        <v/>
      </c>
      <c r="BX446">
        <f>IFERROR(INDEX(PP_Grid[#Data],$DE446,73),0)</f>
        <v/>
      </c>
      <c r="BY446">
        <f>IFERROR(INDEX(PP_Grid[#Data],$DE446,74),0)</f>
        <v/>
      </c>
      <c r="BZ446">
        <f>IFERROR(INDEX(PP_Grid[#Data],$DE446,75),0)</f>
        <v/>
      </c>
      <c r="CA446">
        <f>IFERROR(INDEX(PP_Grid[#Data],$DE446,76),0)</f>
        <v/>
      </c>
      <c r="CB446">
        <f>IFERROR(INDEX(PP_Grid[#Data],$DE446,77),0)</f>
        <v/>
      </c>
      <c r="CC446">
        <f>IFERROR(INDEX(PP_Grid[#Data],$DE446,78),0)</f>
        <v/>
      </c>
      <c r="CD446">
        <f>IFERROR(INDEX(PP_Grid[#Data],$DE446,79),0)</f>
        <v/>
      </c>
      <c r="CE446">
        <f>IFERROR(INDEX(PP_Grid[#Data],$DE446,80),0)</f>
        <v/>
      </c>
      <c r="CF446">
        <f>IFERROR(INDEX(PP_Grid[#Data],$DE446,81),0)</f>
        <v/>
      </c>
      <c r="CG446">
        <f>IFERROR(INDEX(PP_Grid[#Data],$DE446,82),0)</f>
        <v/>
      </c>
      <c r="CH446">
        <f>IFERROR(INDEX(PP_Grid[#Data],$DE446,83),0)</f>
        <v/>
      </c>
      <c r="CI446">
        <f>IFERROR(INDEX(PP_Grid[#Data],$DE446,84),0)</f>
        <v/>
      </c>
      <c r="CJ446">
        <f>IFERROR(INDEX(PP_Grid[#Data],$DE446,85),0)</f>
        <v/>
      </c>
      <c r="CK446">
        <f>IFERROR(INDEX(PP_Grid[#Data],$DE446,86),0)</f>
        <v/>
      </c>
      <c r="CL446">
        <f>IFERROR(INDEX(PP_Grid[#Data],$DE446,87),0)</f>
        <v/>
      </c>
      <c r="CM446">
        <f>IFERROR(INDEX(PP_Grid[#Data],$DE446,88),0)</f>
        <v/>
      </c>
      <c r="CN446">
        <f>IFERROR(INDEX(PP_Grid[#Data],$DE446,89),0)</f>
        <v/>
      </c>
      <c r="CO446">
        <f>IFERROR(INDEX(PP_Grid[#Data],$DE446,90),0)</f>
        <v/>
      </c>
      <c r="CP446">
        <f>IFERROR(INDEX(PP_Grid[#Data],$DE446,91),0)</f>
        <v/>
      </c>
      <c r="CQ446">
        <f>IFERROR(INDEX(PP_Grid[#Data],$DE446,92),0)</f>
        <v/>
      </c>
      <c r="CR446">
        <f>IFERROR(INDEX(PP_Grid[#Data],$DE446,93),0)</f>
        <v/>
      </c>
      <c r="CS446">
        <f>IFERROR(INDEX(PP_Grid[#Data],$DE446,94),0)</f>
        <v/>
      </c>
      <c r="CT446">
        <f>IFERROR(INDEX(PP_Grid[#Data],$DE446,95),0)</f>
        <v/>
      </c>
      <c r="CU446">
        <f>IFERROR(INDEX(PP_Grid[#Data],$DE446,96),0)</f>
        <v/>
      </c>
      <c r="CV446">
        <f>IFERROR(INDEX(PP_Grid[#Data],$DE446,97),0)</f>
        <v/>
      </c>
      <c r="CW446">
        <f>IFERROR(INDEX(PP_Grid[#Data],$DE446,98),0)</f>
        <v/>
      </c>
      <c r="CX446">
        <f>IFERROR(INDEX(PP_Grid[#Data],$DE446,99),0)</f>
        <v/>
      </c>
      <c r="CY446">
        <f>IFERROR(INDEX(PP_Grid[#Data],$DE446,100),0)</f>
        <v/>
      </c>
      <c r="CZ446">
        <f>IFERROR(INDEX(PP_Grid[#Data],$DE446,101),0)</f>
        <v/>
      </c>
      <c r="DA446">
        <f>IFERROR(INDEX(PP_Grid[#Data],$DE446,102),0)</f>
        <v/>
      </c>
      <c r="DB446">
        <f>IFERROR(INDEX(PP_Grid[#Data],$DE446,103),0)</f>
        <v/>
      </c>
      <c r="DC446">
        <f>IFERROR(INDEX(PP_Grid[#Data],$DE446,104),0)</f>
        <v/>
      </c>
      <c r="DD446">
        <f>IFERROR(INDEX(PP_Grid[#Data],$DE446,105),0)</f>
        <v/>
      </c>
      <c r="DE446" s="7">
        <f>IFERROR(MATCH($B446,PP_Grid[Intermediate],0),99999)</f>
        <v/>
      </c>
    </row>
    <row r="447">
      <c r="B447" t="inlineStr">
        <is>
          <t>使用量(kg)</t>
        </is>
      </c>
      <c r="C447">
        <f>SUMIFS(M_BOM[RM_Qty_Per_Batch],M_BOM[Intermediate],$B446,M_BOM[RM_Code],$A325)</f>
        <v/>
      </c>
      <c r="D447">
        <f>IFERROR(INDEX(E447:DD447,$F$1),"")</f>
        <v/>
      </c>
      <c r="E447">
        <f>$C447*E446</f>
        <v/>
      </c>
      <c r="F447">
        <f>$C447*F446</f>
        <v/>
      </c>
      <c r="G447">
        <f>$C447*G446</f>
        <v/>
      </c>
      <c r="H447">
        <f>$C447*H446</f>
        <v/>
      </c>
      <c r="I447">
        <f>$C447*I446</f>
        <v/>
      </c>
      <c r="J447">
        <f>$C447*J446</f>
        <v/>
      </c>
      <c r="K447">
        <f>$C447*K446</f>
        <v/>
      </c>
      <c r="L447">
        <f>$C447*L446</f>
        <v/>
      </c>
      <c r="M447">
        <f>$C447*M446</f>
        <v/>
      </c>
      <c r="N447">
        <f>$C447*N446</f>
        <v/>
      </c>
      <c r="O447">
        <f>$C447*O446</f>
        <v/>
      </c>
      <c r="P447">
        <f>$C447*P446</f>
        <v/>
      </c>
      <c r="Q447">
        <f>$C447*Q446</f>
        <v/>
      </c>
      <c r="R447">
        <f>$C447*R446</f>
        <v/>
      </c>
      <c r="S447">
        <f>$C447*S446</f>
        <v/>
      </c>
      <c r="T447">
        <f>$C447*T446</f>
        <v/>
      </c>
      <c r="U447">
        <f>$C447*U446</f>
        <v/>
      </c>
      <c r="V447">
        <f>$C447*V446</f>
        <v/>
      </c>
      <c r="W447">
        <f>$C447*W446</f>
        <v/>
      </c>
      <c r="X447">
        <f>$C447*X446</f>
        <v/>
      </c>
      <c r="Y447">
        <f>$C447*Y446</f>
        <v/>
      </c>
      <c r="Z447">
        <f>$C447*Z446</f>
        <v/>
      </c>
      <c r="AA447">
        <f>$C447*AA446</f>
        <v/>
      </c>
      <c r="AB447">
        <f>$C447*AB446</f>
        <v/>
      </c>
      <c r="AC447">
        <f>$C447*AC446</f>
        <v/>
      </c>
      <c r="AD447">
        <f>$C447*AD446</f>
        <v/>
      </c>
      <c r="AE447">
        <f>$C447*AE446</f>
        <v/>
      </c>
      <c r="AF447">
        <f>$C447*AF446</f>
        <v/>
      </c>
      <c r="AG447">
        <f>$C447*AG446</f>
        <v/>
      </c>
      <c r="AH447">
        <f>$C447*AH446</f>
        <v/>
      </c>
      <c r="AI447">
        <f>$C447*AI446</f>
        <v/>
      </c>
      <c r="AJ447">
        <f>$C447*AJ446</f>
        <v/>
      </c>
      <c r="AK447">
        <f>$C447*AK446</f>
        <v/>
      </c>
      <c r="AL447">
        <f>$C447*AL446</f>
        <v/>
      </c>
      <c r="AM447">
        <f>$C447*AM446</f>
        <v/>
      </c>
      <c r="AN447">
        <f>$C447*AN446</f>
        <v/>
      </c>
      <c r="AO447">
        <f>$C447*AO446</f>
        <v/>
      </c>
      <c r="AP447">
        <f>$C447*AP446</f>
        <v/>
      </c>
      <c r="AQ447">
        <f>$C447*AQ446</f>
        <v/>
      </c>
      <c r="AR447">
        <f>$C447*AR446</f>
        <v/>
      </c>
      <c r="AS447">
        <f>$C447*AS446</f>
        <v/>
      </c>
      <c r="AT447">
        <f>$C447*AT446</f>
        <v/>
      </c>
      <c r="AU447">
        <f>$C447*AU446</f>
        <v/>
      </c>
      <c r="AV447">
        <f>$C447*AV446</f>
        <v/>
      </c>
      <c r="AW447">
        <f>$C447*AW446</f>
        <v/>
      </c>
      <c r="AX447">
        <f>$C447*AX446</f>
        <v/>
      </c>
      <c r="AY447">
        <f>$C447*AY446</f>
        <v/>
      </c>
      <c r="AZ447">
        <f>$C447*AZ446</f>
        <v/>
      </c>
      <c r="BA447">
        <f>$C447*BA446</f>
        <v/>
      </c>
      <c r="BB447">
        <f>$C447*BB446</f>
        <v/>
      </c>
      <c r="BC447">
        <f>$C447*BC446</f>
        <v/>
      </c>
      <c r="BD447">
        <f>$C447*BD446</f>
        <v/>
      </c>
      <c r="BE447">
        <f>$C447*BE446</f>
        <v/>
      </c>
      <c r="BF447">
        <f>$C447*BF446</f>
        <v/>
      </c>
      <c r="BG447">
        <f>$C447*BG446</f>
        <v/>
      </c>
      <c r="BH447">
        <f>$C447*BH446</f>
        <v/>
      </c>
      <c r="BI447">
        <f>$C447*BI446</f>
        <v/>
      </c>
      <c r="BJ447">
        <f>$C447*BJ446</f>
        <v/>
      </c>
      <c r="BK447">
        <f>$C447*BK446</f>
        <v/>
      </c>
      <c r="BL447">
        <f>$C447*BL446</f>
        <v/>
      </c>
      <c r="BM447">
        <f>$C447*BM446</f>
        <v/>
      </c>
      <c r="BN447">
        <f>$C447*BN446</f>
        <v/>
      </c>
      <c r="BO447">
        <f>$C447*BO446</f>
        <v/>
      </c>
      <c r="BP447">
        <f>$C447*BP446</f>
        <v/>
      </c>
      <c r="BQ447">
        <f>$C447*BQ446</f>
        <v/>
      </c>
      <c r="BR447">
        <f>$C447*BR446</f>
        <v/>
      </c>
      <c r="BS447">
        <f>$C447*BS446</f>
        <v/>
      </c>
      <c r="BT447">
        <f>$C447*BT446</f>
        <v/>
      </c>
      <c r="BU447">
        <f>$C447*BU446</f>
        <v/>
      </c>
      <c r="BV447">
        <f>$C447*BV446</f>
        <v/>
      </c>
      <c r="BW447">
        <f>$C447*BW446</f>
        <v/>
      </c>
      <c r="BX447">
        <f>$C447*BX446</f>
        <v/>
      </c>
      <c r="BY447">
        <f>$C447*BY446</f>
        <v/>
      </c>
      <c r="BZ447">
        <f>$C447*BZ446</f>
        <v/>
      </c>
      <c r="CA447">
        <f>$C447*CA446</f>
        <v/>
      </c>
      <c r="CB447">
        <f>$C447*CB446</f>
        <v/>
      </c>
      <c r="CC447">
        <f>$C447*CC446</f>
        <v/>
      </c>
      <c r="CD447">
        <f>$C447*CD446</f>
        <v/>
      </c>
      <c r="CE447">
        <f>$C447*CE446</f>
        <v/>
      </c>
      <c r="CF447">
        <f>$C447*CF446</f>
        <v/>
      </c>
      <c r="CG447">
        <f>$C447*CG446</f>
        <v/>
      </c>
      <c r="CH447">
        <f>$C447*CH446</f>
        <v/>
      </c>
      <c r="CI447">
        <f>$C447*CI446</f>
        <v/>
      </c>
      <c r="CJ447">
        <f>$C447*CJ446</f>
        <v/>
      </c>
      <c r="CK447">
        <f>$C447*CK446</f>
        <v/>
      </c>
      <c r="CL447">
        <f>$C447*CL446</f>
        <v/>
      </c>
      <c r="CM447">
        <f>$C447*CM446</f>
        <v/>
      </c>
      <c r="CN447">
        <f>$C447*CN446</f>
        <v/>
      </c>
      <c r="CO447">
        <f>$C447*CO446</f>
        <v/>
      </c>
      <c r="CP447">
        <f>$C447*CP446</f>
        <v/>
      </c>
      <c r="CQ447">
        <f>$C447*CQ446</f>
        <v/>
      </c>
      <c r="CR447">
        <f>$C447*CR446</f>
        <v/>
      </c>
      <c r="CS447">
        <f>$C447*CS446</f>
        <v/>
      </c>
      <c r="CT447">
        <f>$C447*CT446</f>
        <v/>
      </c>
      <c r="CU447">
        <f>$C447*CU446</f>
        <v/>
      </c>
      <c r="CV447">
        <f>$C447*CV446</f>
        <v/>
      </c>
      <c r="CW447">
        <f>$C447*CW446</f>
        <v/>
      </c>
      <c r="CX447">
        <f>$C447*CX446</f>
        <v/>
      </c>
      <c r="CY447">
        <f>$C447*CY446</f>
        <v/>
      </c>
      <c r="CZ447">
        <f>$C447*CZ446</f>
        <v/>
      </c>
      <c r="DA447">
        <f>$C447*DA446</f>
        <v/>
      </c>
      <c r="DB447">
        <f>$C447*DB446</f>
        <v/>
      </c>
      <c r="DC447">
        <f>$C447*DC446</f>
        <v/>
      </c>
      <c r="DD447">
        <f>$C447*DD446</f>
        <v/>
      </c>
    </row>
    <row r="448">
      <c r="B448" t="inlineStr">
        <is>
          <t>VSP-601</t>
        </is>
      </c>
      <c r="C448" t="inlineStr">
        <is>
          <t>No. of batches</t>
        </is>
      </c>
      <c r="D448">
        <f>IFERROR(INDEX(E448:DD448,$F$1),"")</f>
        <v/>
      </c>
      <c r="E448">
        <f>IFERROR(INDEX(PP_Grid[#Data],$DE448,2),0)</f>
        <v/>
      </c>
      <c r="F448">
        <f>IFERROR(INDEX(PP_Grid[#Data],$DE448,3),0)</f>
        <v/>
      </c>
      <c r="G448">
        <f>IFERROR(INDEX(PP_Grid[#Data],$DE448,4),0)</f>
        <v/>
      </c>
      <c r="H448">
        <f>IFERROR(INDEX(PP_Grid[#Data],$DE448,5),0)</f>
        <v/>
      </c>
      <c r="I448">
        <f>IFERROR(INDEX(PP_Grid[#Data],$DE448,6),0)</f>
        <v/>
      </c>
      <c r="J448">
        <f>IFERROR(INDEX(PP_Grid[#Data],$DE448,7),0)</f>
        <v/>
      </c>
      <c r="K448">
        <f>IFERROR(INDEX(PP_Grid[#Data],$DE448,8),0)</f>
        <v/>
      </c>
      <c r="L448">
        <f>IFERROR(INDEX(PP_Grid[#Data],$DE448,9),0)</f>
        <v/>
      </c>
      <c r="M448">
        <f>IFERROR(INDEX(PP_Grid[#Data],$DE448,10),0)</f>
        <v/>
      </c>
      <c r="N448">
        <f>IFERROR(INDEX(PP_Grid[#Data],$DE448,11),0)</f>
        <v/>
      </c>
      <c r="O448">
        <f>IFERROR(INDEX(PP_Grid[#Data],$DE448,12),0)</f>
        <v/>
      </c>
      <c r="P448">
        <f>IFERROR(INDEX(PP_Grid[#Data],$DE448,13),0)</f>
        <v/>
      </c>
      <c r="Q448">
        <f>IFERROR(INDEX(PP_Grid[#Data],$DE448,14),0)</f>
        <v/>
      </c>
      <c r="R448">
        <f>IFERROR(INDEX(PP_Grid[#Data],$DE448,15),0)</f>
        <v/>
      </c>
      <c r="S448">
        <f>IFERROR(INDEX(PP_Grid[#Data],$DE448,16),0)</f>
        <v/>
      </c>
      <c r="T448">
        <f>IFERROR(INDEX(PP_Grid[#Data],$DE448,17),0)</f>
        <v/>
      </c>
      <c r="U448">
        <f>IFERROR(INDEX(PP_Grid[#Data],$DE448,18),0)</f>
        <v/>
      </c>
      <c r="V448">
        <f>IFERROR(INDEX(PP_Grid[#Data],$DE448,19),0)</f>
        <v/>
      </c>
      <c r="W448">
        <f>IFERROR(INDEX(PP_Grid[#Data],$DE448,20),0)</f>
        <v/>
      </c>
      <c r="X448">
        <f>IFERROR(INDEX(PP_Grid[#Data],$DE448,21),0)</f>
        <v/>
      </c>
      <c r="Y448">
        <f>IFERROR(INDEX(PP_Grid[#Data],$DE448,22),0)</f>
        <v/>
      </c>
      <c r="Z448">
        <f>IFERROR(INDEX(PP_Grid[#Data],$DE448,23),0)</f>
        <v/>
      </c>
      <c r="AA448">
        <f>IFERROR(INDEX(PP_Grid[#Data],$DE448,24),0)</f>
        <v/>
      </c>
      <c r="AB448">
        <f>IFERROR(INDEX(PP_Grid[#Data],$DE448,25),0)</f>
        <v/>
      </c>
      <c r="AC448">
        <f>IFERROR(INDEX(PP_Grid[#Data],$DE448,26),0)</f>
        <v/>
      </c>
      <c r="AD448">
        <f>IFERROR(INDEX(PP_Grid[#Data],$DE448,27),0)</f>
        <v/>
      </c>
      <c r="AE448">
        <f>IFERROR(INDEX(PP_Grid[#Data],$DE448,28),0)</f>
        <v/>
      </c>
      <c r="AF448">
        <f>IFERROR(INDEX(PP_Grid[#Data],$DE448,29),0)</f>
        <v/>
      </c>
      <c r="AG448">
        <f>IFERROR(INDEX(PP_Grid[#Data],$DE448,30),0)</f>
        <v/>
      </c>
      <c r="AH448">
        <f>IFERROR(INDEX(PP_Grid[#Data],$DE448,31),0)</f>
        <v/>
      </c>
      <c r="AI448">
        <f>IFERROR(INDEX(PP_Grid[#Data],$DE448,32),0)</f>
        <v/>
      </c>
      <c r="AJ448">
        <f>IFERROR(INDEX(PP_Grid[#Data],$DE448,33),0)</f>
        <v/>
      </c>
      <c r="AK448">
        <f>IFERROR(INDEX(PP_Grid[#Data],$DE448,34),0)</f>
        <v/>
      </c>
      <c r="AL448">
        <f>IFERROR(INDEX(PP_Grid[#Data],$DE448,35),0)</f>
        <v/>
      </c>
      <c r="AM448">
        <f>IFERROR(INDEX(PP_Grid[#Data],$DE448,36),0)</f>
        <v/>
      </c>
      <c r="AN448">
        <f>IFERROR(INDEX(PP_Grid[#Data],$DE448,37),0)</f>
        <v/>
      </c>
      <c r="AO448">
        <f>IFERROR(INDEX(PP_Grid[#Data],$DE448,38),0)</f>
        <v/>
      </c>
      <c r="AP448">
        <f>IFERROR(INDEX(PP_Grid[#Data],$DE448,39),0)</f>
        <v/>
      </c>
      <c r="AQ448">
        <f>IFERROR(INDEX(PP_Grid[#Data],$DE448,40),0)</f>
        <v/>
      </c>
      <c r="AR448">
        <f>IFERROR(INDEX(PP_Grid[#Data],$DE448,41),0)</f>
        <v/>
      </c>
      <c r="AS448">
        <f>IFERROR(INDEX(PP_Grid[#Data],$DE448,42),0)</f>
        <v/>
      </c>
      <c r="AT448">
        <f>IFERROR(INDEX(PP_Grid[#Data],$DE448,43),0)</f>
        <v/>
      </c>
      <c r="AU448">
        <f>IFERROR(INDEX(PP_Grid[#Data],$DE448,44),0)</f>
        <v/>
      </c>
      <c r="AV448">
        <f>IFERROR(INDEX(PP_Grid[#Data],$DE448,45),0)</f>
        <v/>
      </c>
      <c r="AW448">
        <f>IFERROR(INDEX(PP_Grid[#Data],$DE448,46),0)</f>
        <v/>
      </c>
      <c r="AX448">
        <f>IFERROR(INDEX(PP_Grid[#Data],$DE448,47),0)</f>
        <v/>
      </c>
      <c r="AY448">
        <f>IFERROR(INDEX(PP_Grid[#Data],$DE448,48),0)</f>
        <v/>
      </c>
      <c r="AZ448">
        <f>IFERROR(INDEX(PP_Grid[#Data],$DE448,49),0)</f>
        <v/>
      </c>
      <c r="BA448">
        <f>IFERROR(INDEX(PP_Grid[#Data],$DE448,50),0)</f>
        <v/>
      </c>
      <c r="BB448">
        <f>IFERROR(INDEX(PP_Grid[#Data],$DE448,51),0)</f>
        <v/>
      </c>
      <c r="BC448">
        <f>IFERROR(INDEX(PP_Grid[#Data],$DE448,52),0)</f>
        <v/>
      </c>
      <c r="BD448">
        <f>IFERROR(INDEX(PP_Grid[#Data],$DE448,53),0)</f>
        <v/>
      </c>
      <c r="BE448">
        <f>IFERROR(INDEX(PP_Grid[#Data],$DE448,54),0)</f>
        <v/>
      </c>
      <c r="BF448">
        <f>IFERROR(INDEX(PP_Grid[#Data],$DE448,55),0)</f>
        <v/>
      </c>
      <c r="BG448">
        <f>IFERROR(INDEX(PP_Grid[#Data],$DE448,56),0)</f>
        <v/>
      </c>
      <c r="BH448">
        <f>IFERROR(INDEX(PP_Grid[#Data],$DE448,57),0)</f>
        <v/>
      </c>
      <c r="BI448">
        <f>IFERROR(INDEX(PP_Grid[#Data],$DE448,58),0)</f>
        <v/>
      </c>
      <c r="BJ448">
        <f>IFERROR(INDEX(PP_Grid[#Data],$DE448,59),0)</f>
        <v/>
      </c>
      <c r="BK448">
        <f>IFERROR(INDEX(PP_Grid[#Data],$DE448,60),0)</f>
        <v/>
      </c>
      <c r="BL448">
        <f>IFERROR(INDEX(PP_Grid[#Data],$DE448,61),0)</f>
        <v/>
      </c>
      <c r="BM448">
        <f>IFERROR(INDEX(PP_Grid[#Data],$DE448,62),0)</f>
        <v/>
      </c>
      <c r="BN448">
        <f>IFERROR(INDEX(PP_Grid[#Data],$DE448,63),0)</f>
        <v/>
      </c>
      <c r="BO448">
        <f>IFERROR(INDEX(PP_Grid[#Data],$DE448,64),0)</f>
        <v/>
      </c>
      <c r="BP448">
        <f>IFERROR(INDEX(PP_Grid[#Data],$DE448,65),0)</f>
        <v/>
      </c>
      <c r="BQ448">
        <f>IFERROR(INDEX(PP_Grid[#Data],$DE448,66),0)</f>
        <v/>
      </c>
      <c r="BR448">
        <f>IFERROR(INDEX(PP_Grid[#Data],$DE448,67),0)</f>
        <v/>
      </c>
      <c r="BS448">
        <f>IFERROR(INDEX(PP_Grid[#Data],$DE448,68),0)</f>
        <v/>
      </c>
      <c r="BT448">
        <f>IFERROR(INDEX(PP_Grid[#Data],$DE448,69),0)</f>
        <v/>
      </c>
      <c r="BU448">
        <f>IFERROR(INDEX(PP_Grid[#Data],$DE448,70),0)</f>
        <v/>
      </c>
      <c r="BV448">
        <f>IFERROR(INDEX(PP_Grid[#Data],$DE448,71),0)</f>
        <v/>
      </c>
      <c r="BW448">
        <f>IFERROR(INDEX(PP_Grid[#Data],$DE448,72),0)</f>
        <v/>
      </c>
      <c r="BX448">
        <f>IFERROR(INDEX(PP_Grid[#Data],$DE448,73),0)</f>
        <v/>
      </c>
      <c r="BY448">
        <f>IFERROR(INDEX(PP_Grid[#Data],$DE448,74),0)</f>
        <v/>
      </c>
      <c r="BZ448">
        <f>IFERROR(INDEX(PP_Grid[#Data],$DE448,75),0)</f>
        <v/>
      </c>
      <c r="CA448">
        <f>IFERROR(INDEX(PP_Grid[#Data],$DE448,76),0)</f>
        <v/>
      </c>
      <c r="CB448">
        <f>IFERROR(INDEX(PP_Grid[#Data],$DE448,77),0)</f>
        <v/>
      </c>
      <c r="CC448">
        <f>IFERROR(INDEX(PP_Grid[#Data],$DE448,78),0)</f>
        <v/>
      </c>
      <c r="CD448">
        <f>IFERROR(INDEX(PP_Grid[#Data],$DE448,79),0)</f>
        <v/>
      </c>
      <c r="CE448">
        <f>IFERROR(INDEX(PP_Grid[#Data],$DE448,80),0)</f>
        <v/>
      </c>
      <c r="CF448">
        <f>IFERROR(INDEX(PP_Grid[#Data],$DE448,81),0)</f>
        <v/>
      </c>
      <c r="CG448">
        <f>IFERROR(INDEX(PP_Grid[#Data],$DE448,82),0)</f>
        <v/>
      </c>
      <c r="CH448">
        <f>IFERROR(INDEX(PP_Grid[#Data],$DE448,83),0)</f>
        <v/>
      </c>
      <c r="CI448">
        <f>IFERROR(INDEX(PP_Grid[#Data],$DE448,84),0)</f>
        <v/>
      </c>
      <c r="CJ448">
        <f>IFERROR(INDEX(PP_Grid[#Data],$DE448,85),0)</f>
        <v/>
      </c>
      <c r="CK448">
        <f>IFERROR(INDEX(PP_Grid[#Data],$DE448,86),0)</f>
        <v/>
      </c>
      <c r="CL448">
        <f>IFERROR(INDEX(PP_Grid[#Data],$DE448,87),0)</f>
        <v/>
      </c>
      <c r="CM448">
        <f>IFERROR(INDEX(PP_Grid[#Data],$DE448,88),0)</f>
        <v/>
      </c>
      <c r="CN448">
        <f>IFERROR(INDEX(PP_Grid[#Data],$DE448,89),0)</f>
        <v/>
      </c>
      <c r="CO448">
        <f>IFERROR(INDEX(PP_Grid[#Data],$DE448,90),0)</f>
        <v/>
      </c>
      <c r="CP448">
        <f>IFERROR(INDEX(PP_Grid[#Data],$DE448,91),0)</f>
        <v/>
      </c>
      <c r="CQ448">
        <f>IFERROR(INDEX(PP_Grid[#Data],$DE448,92),0)</f>
        <v/>
      </c>
      <c r="CR448">
        <f>IFERROR(INDEX(PP_Grid[#Data],$DE448,93),0)</f>
        <v/>
      </c>
      <c r="CS448">
        <f>IFERROR(INDEX(PP_Grid[#Data],$DE448,94),0)</f>
        <v/>
      </c>
      <c r="CT448">
        <f>IFERROR(INDEX(PP_Grid[#Data],$DE448,95),0)</f>
        <v/>
      </c>
      <c r="CU448">
        <f>IFERROR(INDEX(PP_Grid[#Data],$DE448,96),0)</f>
        <v/>
      </c>
      <c r="CV448">
        <f>IFERROR(INDEX(PP_Grid[#Data],$DE448,97),0)</f>
        <v/>
      </c>
      <c r="CW448">
        <f>IFERROR(INDEX(PP_Grid[#Data],$DE448,98),0)</f>
        <v/>
      </c>
      <c r="CX448">
        <f>IFERROR(INDEX(PP_Grid[#Data],$DE448,99),0)</f>
        <v/>
      </c>
      <c r="CY448">
        <f>IFERROR(INDEX(PP_Grid[#Data],$DE448,100),0)</f>
        <v/>
      </c>
      <c r="CZ448">
        <f>IFERROR(INDEX(PP_Grid[#Data],$DE448,101),0)</f>
        <v/>
      </c>
      <c r="DA448">
        <f>IFERROR(INDEX(PP_Grid[#Data],$DE448,102),0)</f>
        <v/>
      </c>
      <c r="DB448">
        <f>IFERROR(INDEX(PP_Grid[#Data],$DE448,103),0)</f>
        <v/>
      </c>
      <c r="DC448">
        <f>IFERROR(INDEX(PP_Grid[#Data],$DE448,104),0)</f>
        <v/>
      </c>
      <c r="DD448">
        <f>IFERROR(INDEX(PP_Grid[#Data],$DE448,105),0)</f>
        <v/>
      </c>
      <c r="DE448" s="7">
        <f>IFERROR(MATCH($B448,PP_Grid[Intermediate],0),99999)</f>
        <v/>
      </c>
    </row>
    <row r="449">
      <c r="B449" t="inlineStr">
        <is>
          <t>使用量(kg)</t>
        </is>
      </c>
      <c r="C449">
        <f>SUMIFS(M_BOM[RM_Qty_Per_Batch],M_BOM[Intermediate],$B448,M_BOM[RM_Code],$A325)</f>
        <v/>
      </c>
      <c r="D449">
        <f>IFERROR(INDEX(E449:DD449,$F$1),"")</f>
        <v/>
      </c>
      <c r="E449">
        <f>$C449*E448</f>
        <v/>
      </c>
      <c r="F449">
        <f>$C449*F448</f>
        <v/>
      </c>
      <c r="G449">
        <f>$C449*G448</f>
        <v/>
      </c>
      <c r="H449">
        <f>$C449*H448</f>
        <v/>
      </c>
      <c r="I449">
        <f>$C449*I448</f>
        <v/>
      </c>
      <c r="J449">
        <f>$C449*J448</f>
        <v/>
      </c>
      <c r="K449">
        <f>$C449*K448</f>
        <v/>
      </c>
      <c r="L449">
        <f>$C449*L448</f>
        <v/>
      </c>
      <c r="M449">
        <f>$C449*M448</f>
        <v/>
      </c>
      <c r="N449">
        <f>$C449*N448</f>
        <v/>
      </c>
      <c r="O449">
        <f>$C449*O448</f>
        <v/>
      </c>
      <c r="P449">
        <f>$C449*P448</f>
        <v/>
      </c>
      <c r="Q449">
        <f>$C449*Q448</f>
        <v/>
      </c>
      <c r="R449">
        <f>$C449*R448</f>
        <v/>
      </c>
      <c r="S449">
        <f>$C449*S448</f>
        <v/>
      </c>
      <c r="T449">
        <f>$C449*T448</f>
        <v/>
      </c>
      <c r="U449">
        <f>$C449*U448</f>
        <v/>
      </c>
      <c r="V449">
        <f>$C449*V448</f>
        <v/>
      </c>
      <c r="W449">
        <f>$C449*W448</f>
        <v/>
      </c>
      <c r="X449">
        <f>$C449*X448</f>
        <v/>
      </c>
      <c r="Y449">
        <f>$C449*Y448</f>
        <v/>
      </c>
      <c r="Z449">
        <f>$C449*Z448</f>
        <v/>
      </c>
      <c r="AA449">
        <f>$C449*AA448</f>
        <v/>
      </c>
      <c r="AB449">
        <f>$C449*AB448</f>
        <v/>
      </c>
      <c r="AC449">
        <f>$C449*AC448</f>
        <v/>
      </c>
      <c r="AD449">
        <f>$C449*AD448</f>
        <v/>
      </c>
      <c r="AE449">
        <f>$C449*AE448</f>
        <v/>
      </c>
      <c r="AF449">
        <f>$C449*AF448</f>
        <v/>
      </c>
      <c r="AG449">
        <f>$C449*AG448</f>
        <v/>
      </c>
      <c r="AH449">
        <f>$C449*AH448</f>
        <v/>
      </c>
      <c r="AI449">
        <f>$C449*AI448</f>
        <v/>
      </c>
      <c r="AJ449">
        <f>$C449*AJ448</f>
        <v/>
      </c>
      <c r="AK449">
        <f>$C449*AK448</f>
        <v/>
      </c>
      <c r="AL449">
        <f>$C449*AL448</f>
        <v/>
      </c>
      <c r="AM449">
        <f>$C449*AM448</f>
        <v/>
      </c>
      <c r="AN449">
        <f>$C449*AN448</f>
        <v/>
      </c>
      <c r="AO449">
        <f>$C449*AO448</f>
        <v/>
      </c>
      <c r="AP449">
        <f>$C449*AP448</f>
        <v/>
      </c>
      <c r="AQ449">
        <f>$C449*AQ448</f>
        <v/>
      </c>
      <c r="AR449">
        <f>$C449*AR448</f>
        <v/>
      </c>
      <c r="AS449">
        <f>$C449*AS448</f>
        <v/>
      </c>
      <c r="AT449">
        <f>$C449*AT448</f>
        <v/>
      </c>
      <c r="AU449">
        <f>$C449*AU448</f>
        <v/>
      </c>
      <c r="AV449">
        <f>$C449*AV448</f>
        <v/>
      </c>
      <c r="AW449">
        <f>$C449*AW448</f>
        <v/>
      </c>
      <c r="AX449">
        <f>$C449*AX448</f>
        <v/>
      </c>
      <c r="AY449">
        <f>$C449*AY448</f>
        <v/>
      </c>
      <c r="AZ449">
        <f>$C449*AZ448</f>
        <v/>
      </c>
      <c r="BA449">
        <f>$C449*BA448</f>
        <v/>
      </c>
      <c r="BB449">
        <f>$C449*BB448</f>
        <v/>
      </c>
      <c r="BC449">
        <f>$C449*BC448</f>
        <v/>
      </c>
      <c r="BD449">
        <f>$C449*BD448</f>
        <v/>
      </c>
      <c r="BE449">
        <f>$C449*BE448</f>
        <v/>
      </c>
      <c r="BF449">
        <f>$C449*BF448</f>
        <v/>
      </c>
      <c r="BG449">
        <f>$C449*BG448</f>
        <v/>
      </c>
      <c r="BH449">
        <f>$C449*BH448</f>
        <v/>
      </c>
      <c r="BI449">
        <f>$C449*BI448</f>
        <v/>
      </c>
      <c r="BJ449">
        <f>$C449*BJ448</f>
        <v/>
      </c>
      <c r="BK449">
        <f>$C449*BK448</f>
        <v/>
      </c>
      <c r="BL449">
        <f>$C449*BL448</f>
        <v/>
      </c>
      <c r="BM449">
        <f>$C449*BM448</f>
        <v/>
      </c>
      <c r="BN449">
        <f>$C449*BN448</f>
        <v/>
      </c>
      <c r="BO449">
        <f>$C449*BO448</f>
        <v/>
      </c>
      <c r="BP449">
        <f>$C449*BP448</f>
        <v/>
      </c>
      <c r="BQ449">
        <f>$C449*BQ448</f>
        <v/>
      </c>
      <c r="BR449">
        <f>$C449*BR448</f>
        <v/>
      </c>
      <c r="BS449">
        <f>$C449*BS448</f>
        <v/>
      </c>
      <c r="BT449">
        <f>$C449*BT448</f>
        <v/>
      </c>
      <c r="BU449">
        <f>$C449*BU448</f>
        <v/>
      </c>
      <c r="BV449">
        <f>$C449*BV448</f>
        <v/>
      </c>
      <c r="BW449">
        <f>$C449*BW448</f>
        <v/>
      </c>
      <c r="BX449">
        <f>$C449*BX448</f>
        <v/>
      </c>
      <c r="BY449">
        <f>$C449*BY448</f>
        <v/>
      </c>
      <c r="BZ449">
        <f>$C449*BZ448</f>
        <v/>
      </c>
      <c r="CA449">
        <f>$C449*CA448</f>
        <v/>
      </c>
      <c r="CB449">
        <f>$C449*CB448</f>
        <v/>
      </c>
      <c r="CC449">
        <f>$C449*CC448</f>
        <v/>
      </c>
      <c r="CD449">
        <f>$C449*CD448</f>
        <v/>
      </c>
      <c r="CE449">
        <f>$C449*CE448</f>
        <v/>
      </c>
      <c r="CF449">
        <f>$C449*CF448</f>
        <v/>
      </c>
      <c r="CG449">
        <f>$C449*CG448</f>
        <v/>
      </c>
      <c r="CH449">
        <f>$C449*CH448</f>
        <v/>
      </c>
      <c r="CI449">
        <f>$C449*CI448</f>
        <v/>
      </c>
      <c r="CJ449">
        <f>$C449*CJ448</f>
        <v/>
      </c>
      <c r="CK449">
        <f>$C449*CK448</f>
        <v/>
      </c>
      <c r="CL449">
        <f>$C449*CL448</f>
        <v/>
      </c>
      <c r="CM449">
        <f>$C449*CM448</f>
        <v/>
      </c>
      <c r="CN449">
        <f>$C449*CN448</f>
        <v/>
      </c>
      <c r="CO449">
        <f>$C449*CO448</f>
        <v/>
      </c>
      <c r="CP449">
        <f>$C449*CP448</f>
        <v/>
      </c>
      <c r="CQ449">
        <f>$C449*CQ448</f>
        <v/>
      </c>
      <c r="CR449">
        <f>$C449*CR448</f>
        <v/>
      </c>
      <c r="CS449">
        <f>$C449*CS448</f>
        <v/>
      </c>
      <c r="CT449">
        <f>$C449*CT448</f>
        <v/>
      </c>
      <c r="CU449">
        <f>$C449*CU448</f>
        <v/>
      </c>
      <c r="CV449">
        <f>$C449*CV448</f>
        <v/>
      </c>
      <c r="CW449">
        <f>$C449*CW448</f>
        <v/>
      </c>
      <c r="CX449">
        <f>$C449*CX448</f>
        <v/>
      </c>
      <c r="CY449">
        <f>$C449*CY448</f>
        <v/>
      </c>
      <c r="CZ449">
        <f>$C449*CZ448</f>
        <v/>
      </c>
      <c r="DA449">
        <f>$C449*DA448</f>
        <v/>
      </c>
      <c r="DB449">
        <f>$C449*DB448</f>
        <v/>
      </c>
      <c r="DC449">
        <f>$C449*DC448</f>
        <v/>
      </c>
      <c r="DD449">
        <f>$C449*DD448</f>
        <v/>
      </c>
    </row>
    <row r="450">
      <c r="B450" t="inlineStr">
        <is>
          <t>VSP-602</t>
        </is>
      </c>
      <c r="C450" t="inlineStr">
        <is>
          <t>No. of batches</t>
        </is>
      </c>
      <c r="D450">
        <f>IFERROR(INDEX(E450:DD450,$F$1),"")</f>
        <v/>
      </c>
      <c r="E450">
        <f>IFERROR(INDEX(PP_Grid[#Data],$DE450,2),0)</f>
        <v/>
      </c>
      <c r="F450">
        <f>IFERROR(INDEX(PP_Grid[#Data],$DE450,3),0)</f>
        <v/>
      </c>
      <c r="G450">
        <f>IFERROR(INDEX(PP_Grid[#Data],$DE450,4),0)</f>
        <v/>
      </c>
      <c r="H450">
        <f>IFERROR(INDEX(PP_Grid[#Data],$DE450,5),0)</f>
        <v/>
      </c>
      <c r="I450">
        <f>IFERROR(INDEX(PP_Grid[#Data],$DE450,6),0)</f>
        <v/>
      </c>
      <c r="J450">
        <f>IFERROR(INDEX(PP_Grid[#Data],$DE450,7),0)</f>
        <v/>
      </c>
      <c r="K450">
        <f>IFERROR(INDEX(PP_Grid[#Data],$DE450,8),0)</f>
        <v/>
      </c>
      <c r="L450">
        <f>IFERROR(INDEX(PP_Grid[#Data],$DE450,9),0)</f>
        <v/>
      </c>
      <c r="M450">
        <f>IFERROR(INDEX(PP_Grid[#Data],$DE450,10),0)</f>
        <v/>
      </c>
      <c r="N450">
        <f>IFERROR(INDEX(PP_Grid[#Data],$DE450,11),0)</f>
        <v/>
      </c>
      <c r="O450">
        <f>IFERROR(INDEX(PP_Grid[#Data],$DE450,12),0)</f>
        <v/>
      </c>
      <c r="P450">
        <f>IFERROR(INDEX(PP_Grid[#Data],$DE450,13),0)</f>
        <v/>
      </c>
      <c r="Q450">
        <f>IFERROR(INDEX(PP_Grid[#Data],$DE450,14),0)</f>
        <v/>
      </c>
      <c r="R450">
        <f>IFERROR(INDEX(PP_Grid[#Data],$DE450,15),0)</f>
        <v/>
      </c>
      <c r="S450">
        <f>IFERROR(INDEX(PP_Grid[#Data],$DE450,16),0)</f>
        <v/>
      </c>
      <c r="T450">
        <f>IFERROR(INDEX(PP_Grid[#Data],$DE450,17),0)</f>
        <v/>
      </c>
      <c r="U450">
        <f>IFERROR(INDEX(PP_Grid[#Data],$DE450,18),0)</f>
        <v/>
      </c>
      <c r="V450">
        <f>IFERROR(INDEX(PP_Grid[#Data],$DE450,19),0)</f>
        <v/>
      </c>
      <c r="W450">
        <f>IFERROR(INDEX(PP_Grid[#Data],$DE450,20),0)</f>
        <v/>
      </c>
      <c r="X450">
        <f>IFERROR(INDEX(PP_Grid[#Data],$DE450,21),0)</f>
        <v/>
      </c>
      <c r="Y450">
        <f>IFERROR(INDEX(PP_Grid[#Data],$DE450,22),0)</f>
        <v/>
      </c>
      <c r="Z450">
        <f>IFERROR(INDEX(PP_Grid[#Data],$DE450,23),0)</f>
        <v/>
      </c>
      <c r="AA450">
        <f>IFERROR(INDEX(PP_Grid[#Data],$DE450,24),0)</f>
        <v/>
      </c>
      <c r="AB450">
        <f>IFERROR(INDEX(PP_Grid[#Data],$DE450,25),0)</f>
        <v/>
      </c>
      <c r="AC450">
        <f>IFERROR(INDEX(PP_Grid[#Data],$DE450,26),0)</f>
        <v/>
      </c>
      <c r="AD450">
        <f>IFERROR(INDEX(PP_Grid[#Data],$DE450,27),0)</f>
        <v/>
      </c>
      <c r="AE450">
        <f>IFERROR(INDEX(PP_Grid[#Data],$DE450,28),0)</f>
        <v/>
      </c>
      <c r="AF450">
        <f>IFERROR(INDEX(PP_Grid[#Data],$DE450,29),0)</f>
        <v/>
      </c>
      <c r="AG450">
        <f>IFERROR(INDEX(PP_Grid[#Data],$DE450,30),0)</f>
        <v/>
      </c>
      <c r="AH450">
        <f>IFERROR(INDEX(PP_Grid[#Data],$DE450,31),0)</f>
        <v/>
      </c>
      <c r="AI450">
        <f>IFERROR(INDEX(PP_Grid[#Data],$DE450,32),0)</f>
        <v/>
      </c>
      <c r="AJ450">
        <f>IFERROR(INDEX(PP_Grid[#Data],$DE450,33),0)</f>
        <v/>
      </c>
      <c r="AK450">
        <f>IFERROR(INDEX(PP_Grid[#Data],$DE450,34),0)</f>
        <v/>
      </c>
      <c r="AL450">
        <f>IFERROR(INDEX(PP_Grid[#Data],$DE450,35),0)</f>
        <v/>
      </c>
      <c r="AM450">
        <f>IFERROR(INDEX(PP_Grid[#Data],$DE450,36),0)</f>
        <v/>
      </c>
      <c r="AN450">
        <f>IFERROR(INDEX(PP_Grid[#Data],$DE450,37),0)</f>
        <v/>
      </c>
      <c r="AO450">
        <f>IFERROR(INDEX(PP_Grid[#Data],$DE450,38),0)</f>
        <v/>
      </c>
      <c r="AP450">
        <f>IFERROR(INDEX(PP_Grid[#Data],$DE450,39),0)</f>
        <v/>
      </c>
      <c r="AQ450">
        <f>IFERROR(INDEX(PP_Grid[#Data],$DE450,40),0)</f>
        <v/>
      </c>
      <c r="AR450">
        <f>IFERROR(INDEX(PP_Grid[#Data],$DE450,41),0)</f>
        <v/>
      </c>
      <c r="AS450">
        <f>IFERROR(INDEX(PP_Grid[#Data],$DE450,42),0)</f>
        <v/>
      </c>
      <c r="AT450">
        <f>IFERROR(INDEX(PP_Grid[#Data],$DE450,43),0)</f>
        <v/>
      </c>
      <c r="AU450">
        <f>IFERROR(INDEX(PP_Grid[#Data],$DE450,44),0)</f>
        <v/>
      </c>
      <c r="AV450">
        <f>IFERROR(INDEX(PP_Grid[#Data],$DE450,45),0)</f>
        <v/>
      </c>
      <c r="AW450">
        <f>IFERROR(INDEX(PP_Grid[#Data],$DE450,46),0)</f>
        <v/>
      </c>
      <c r="AX450">
        <f>IFERROR(INDEX(PP_Grid[#Data],$DE450,47),0)</f>
        <v/>
      </c>
      <c r="AY450">
        <f>IFERROR(INDEX(PP_Grid[#Data],$DE450,48),0)</f>
        <v/>
      </c>
      <c r="AZ450">
        <f>IFERROR(INDEX(PP_Grid[#Data],$DE450,49),0)</f>
        <v/>
      </c>
      <c r="BA450">
        <f>IFERROR(INDEX(PP_Grid[#Data],$DE450,50),0)</f>
        <v/>
      </c>
      <c r="BB450">
        <f>IFERROR(INDEX(PP_Grid[#Data],$DE450,51),0)</f>
        <v/>
      </c>
      <c r="BC450">
        <f>IFERROR(INDEX(PP_Grid[#Data],$DE450,52),0)</f>
        <v/>
      </c>
      <c r="BD450">
        <f>IFERROR(INDEX(PP_Grid[#Data],$DE450,53),0)</f>
        <v/>
      </c>
      <c r="BE450">
        <f>IFERROR(INDEX(PP_Grid[#Data],$DE450,54),0)</f>
        <v/>
      </c>
      <c r="BF450">
        <f>IFERROR(INDEX(PP_Grid[#Data],$DE450,55),0)</f>
        <v/>
      </c>
      <c r="BG450">
        <f>IFERROR(INDEX(PP_Grid[#Data],$DE450,56),0)</f>
        <v/>
      </c>
      <c r="BH450">
        <f>IFERROR(INDEX(PP_Grid[#Data],$DE450,57),0)</f>
        <v/>
      </c>
      <c r="BI450">
        <f>IFERROR(INDEX(PP_Grid[#Data],$DE450,58),0)</f>
        <v/>
      </c>
      <c r="BJ450">
        <f>IFERROR(INDEX(PP_Grid[#Data],$DE450,59),0)</f>
        <v/>
      </c>
      <c r="BK450">
        <f>IFERROR(INDEX(PP_Grid[#Data],$DE450,60),0)</f>
        <v/>
      </c>
      <c r="BL450">
        <f>IFERROR(INDEX(PP_Grid[#Data],$DE450,61),0)</f>
        <v/>
      </c>
      <c r="BM450">
        <f>IFERROR(INDEX(PP_Grid[#Data],$DE450,62),0)</f>
        <v/>
      </c>
      <c r="BN450">
        <f>IFERROR(INDEX(PP_Grid[#Data],$DE450,63),0)</f>
        <v/>
      </c>
      <c r="BO450">
        <f>IFERROR(INDEX(PP_Grid[#Data],$DE450,64),0)</f>
        <v/>
      </c>
      <c r="BP450">
        <f>IFERROR(INDEX(PP_Grid[#Data],$DE450,65),0)</f>
        <v/>
      </c>
      <c r="BQ450">
        <f>IFERROR(INDEX(PP_Grid[#Data],$DE450,66),0)</f>
        <v/>
      </c>
      <c r="BR450">
        <f>IFERROR(INDEX(PP_Grid[#Data],$DE450,67),0)</f>
        <v/>
      </c>
      <c r="BS450">
        <f>IFERROR(INDEX(PP_Grid[#Data],$DE450,68),0)</f>
        <v/>
      </c>
      <c r="BT450">
        <f>IFERROR(INDEX(PP_Grid[#Data],$DE450,69),0)</f>
        <v/>
      </c>
      <c r="BU450">
        <f>IFERROR(INDEX(PP_Grid[#Data],$DE450,70),0)</f>
        <v/>
      </c>
      <c r="BV450">
        <f>IFERROR(INDEX(PP_Grid[#Data],$DE450,71),0)</f>
        <v/>
      </c>
      <c r="BW450">
        <f>IFERROR(INDEX(PP_Grid[#Data],$DE450,72),0)</f>
        <v/>
      </c>
      <c r="BX450">
        <f>IFERROR(INDEX(PP_Grid[#Data],$DE450,73),0)</f>
        <v/>
      </c>
      <c r="BY450">
        <f>IFERROR(INDEX(PP_Grid[#Data],$DE450,74),0)</f>
        <v/>
      </c>
      <c r="BZ450">
        <f>IFERROR(INDEX(PP_Grid[#Data],$DE450,75),0)</f>
        <v/>
      </c>
      <c r="CA450">
        <f>IFERROR(INDEX(PP_Grid[#Data],$DE450,76),0)</f>
        <v/>
      </c>
      <c r="CB450">
        <f>IFERROR(INDEX(PP_Grid[#Data],$DE450,77),0)</f>
        <v/>
      </c>
      <c r="CC450">
        <f>IFERROR(INDEX(PP_Grid[#Data],$DE450,78),0)</f>
        <v/>
      </c>
      <c r="CD450">
        <f>IFERROR(INDEX(PP_Grid[#Data],$DE450,79),0)</f>
        <v/>
      </c>
      <c r="CE450">
        <f>IFERROR(INDEX(PP_Grid[#Data],$DE450,80),0)</f>
        <v/>
      </c>
      <c r="CF450">
        <f>IFERROR(INDEX(PP_Grid[#Data],$DE450,81),0)</f>
        <v/>
      </c>
      <c r="CG450">
        <f>IFERROR(INDEX(PP_Grid[#Data],$DE450,82),0)</f>
        <v/>
      </c>
      <c r="CH450">
        <f>IFERROR(INDEX(PP_Grid[#Data],$DE450,83),0)</f>
        <v/>
      </c>
      <c r="CI450">
        <f>IFERROR(INDEX(PP_Grid[#Data],$DE450,84),0)</f>
        <v/>
      </c>
      <c r="CJ450">
        <f>IFERROR(INDEX(PP_Grid[#Data],$DE450,85),0)</f>
        <v/>
      </c>
      <c r="CK450">
        <f>IFERROR(INDEX(PP_Grid[#Data],$DE450,86),0)</f>
        <v/>
      </c>
      <c r="CL450">
        <f>IFERROR(INDEX(PP_Grid[#Data],$DE450,87),0)</f>
        <v/>
      </c>
      <c r="CM450">
        <f>IFERROR(INDEX(PP_Grid[#Data],$DE450,88),0)</f>
        <v/>
      </c>
      <c r="CN450">
        <f>IFERROR(INDEX(PP_Grid[#Data],$DE450,89),0)</f>
        <v/>
      </c>
      <c r="CO450">
        <f>IFERROR(INDEX(PP_Grid[#Data],$DE450,90),0)</f>
        <v/>
      </c>
      <c r="CP450">
        <f>IFERROR(INDEX(PP_Grid[#Data],$DE450,91),0)</f>
        <v/>
      </c>
      <c r="CQ450">
        <f>IFERROR(INDEX(PP_Grid[#Data],$DE450,92),0)</f>
        <v/>
      </c>
      <c r="CR450">
        <f>IFERROR(INDEX(PP_Grid[#Data],$DE450,93),0)</f>
        <v/>
      </c>
      <c r="CS450">
        <f>IFERROR(INDEX(PP_Grid[#Data],$DE450,94),0)</f>
        <v/>
      </c>
      <c r="CT450">
        <f>IFERROR(INDEX(PP_Grid[#Data],$DE450,95),0)</f>
        <v/>
      </c>
      <c r="CU450">
        <f>IFERROR(INDEX(PP_Grid[#Data],$DE450,96),0)</f>
        <v/>
      </c>
      <c r="CV450">
        <f>IFERROR(INDEX(PP_Grid[#Data],$DE450,97),0)</f>
        <v/>
      </c>
      <c r="CW450">
        <f>IFERROR(INDEX(PP_Grid[#Data],$DE450,98),0)</f>
        <v/>
      </c>
      <c r="CX450">
        <f>IFERROR(INDEX(PP_Grid[#Data],$DE450,99),0)</f>
        <v/>
      </c>
      <c r="CY450">
        <f>IFERROR(INDEX(PP_Grid[#Data],$DE450,100),0)</f>
        <v/>
      </c>
      <c r="CZ450">
        <f>IFERROR(INDEX(PP_Grid[#Data],$DE450,101),0)</f>
        <v/>
      </c>
      <c r="DA450">
        <f>IFERROR(INDEX(PP_Grid[#Data],$DE450,102),0)</f>
        <v/>
      </c>
      <c r="DB450">
        <f>IFERROR(INDEX(PP_Grid[#Data],$DE450,103),0)</f>
        <v/>
      </c>
      <c r="DC450">
        <f>IFERROR(INDEX(PP_Grid[#Data],$DE450,104),0)</f>
        <v/>
      </c>
      <c r="DD450">
        <f>IFERROR(INDEX(PP_Grid[#Data],$DE450,105),0)</f>
        <v/>
      </c>
      <c r="DE450" s="7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SUMIFS(M_BOM[RM_Qty_Per_Batch],M_BOM[Intermediate],$B450,M_BOM[RM_Code],$A325)</f>
        <v/>
      </c>
      <c r="D451">
        <f>IFERROR(INDEX(E451:DD451,$F$1),"")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  <c r="DD451">
        <f>$C451*DD450</f>
        <v/>
      </c>
    </row>
    <row r="452">
      <c r="B452" t="inlineStr">
        <is>
          <t>VSP-603</t>
        </is>
      </c>
      <c r="C452" t="inlineStr">
        <is>
          <t>No. of batches</t>
        </is>
      </c>
      <c r="D452">
        <f>IFERROR(INDEX(E452:DD452,$F$1),"")</f>
        <v/>
      </c>
      <c r="E452">
        <f>IFERROR(INDEX(PP_Grid[#Data],$DE452,2),0)</f>
        <v/>
      </c>
      <c r="F452">
        <f>IFERROR(INDEX(PP_Grid[#Data],$DE452,3),0)</f>
        <v/>
      </c>
      <c r="G452">
        <f>IFERROR(INDEX(PP_Grid[#Data],$DE452,4),0)</f>
        <v/>
      </c>
      <c r="H452">
        <f>IFERROR(INDEX(PP_Grid[#Data],$DE452,5),0)</f>
        <v/>
      </c>
      <c r="I452">
        <f>IFERROR(INDEX(PP_Grid[#Data],$DE452,6),0)</f>
        <v/>
      </c>
      <c r="J452">
        <f>IFERROR(INDEX(PP_Grid[#Data],$DE452,7),0)</f>
        <v/>
      </c>
      <c r="K452">
        <f>IFERROR(INDEX(PP_Grid[#Data],$DE452,8),0)</f>
        <v/>
      </c>
      <c r="L452">
        <f>IFERROR(INDEX(PP_Grid[#Data],$DE452,9),0)</f>
        <v/>
      </c>
      <c r="M452">
        <f>IFERROR(INDEX(PP_Grid[#Data],$DE452,10),0)</f>
        <v/>
      </c>
      <c r="N452">
        <f>IFERROR(INDEX(PP_Grid[#Data],$DE452,11),0)</f>
        <v/>
      </c>
      <c r="O452">
        <f>IFERROR(INDEX(PP_Grid[#Data],$DE452,12),0)</f>
        <v/>
      </c>
      <c r="P452">
        <f>IFERROR(INDEX(PP_Grid[#Data],$DE452,13),0)</f>
        <v/>
      </c>
      <c r="Q452">
        <f>IFERROR(INDEX(PP_Grid[#Data],$DE452,14),0)</f>
        <v/>
      </c>
      <c r="R452">
        <f>IFERROR(INDEX(PP_Grid[#Data],$DE452,15),0)</f>
        <v/>
      </c>
      <c r="S452">
        <f>IFERROR(INDEX(PP_Grid[#Data],$DE452,16),0)</f>
        <v/>
      </c>
      <c r="T452">
        <f>IFERROR(INDEX(PP_Grid[#Data],$DE452,17),0)</f>
        <v/>
      </c>
      <c r="U452">
        <f>IFERROR(INDEX(PP_Grid[#Data],$DE452,18),0)</f>
        <v/>
      </c>
      <c r="V452">
        <f>IFERROR(INDEX(PP_Grid[#Data],$DE452,19),0)</f>
        <v/>
      </c>
      <c r="W452">
        <f>IFERROR(INDEX(PP_Grid[#Data],$DE452,20),0)</f>
        <v/>
      </c>
      <c r="X452">
        <f>IFERROR(INDEX(PP_Grid[#Data],$DE452,21),0)</f>
        <v/>
      </c>
      <c r="Y452">
        <f>IFERROR(INDEX(PP_Grid[#Data],$DE452,22),0)</f>
        <v/>
      </c>
      <c r="Z452">
        <f>IFERROR(INDEX(PP_Grid[#Data],$DE452,23),0)</f>
        <v/>
      </c>
      <c r="AA452">
        <f>IFERROR(INDEX(PP_Grid[#Data],$DE452,24),0)</f>
        <v/>
      </c>
      <c r="AB452">
        <f>IFERROR(INDEX(PP_Grid[#Data],$DE452,25),0)</f>
        <v/>
      </c>
      <c r="AC452">
        <f>IFERROR(INDEX(PP_Grid[#Data],$DE452,26),0)</f>
        <v/>
      </c>
      <c r="AD452">
        <f>IFERROR(INDEX(PP_Grid[#Data],$DE452,27),0)</f>
        <v/>
      </c>
      <c r="AE452">
        <f>IFERROR(INDEX(PP_Grid[#Data],$DE452,28),0)</f>
        <v/>
      </c>
      <c r="AF452">
        <f>IFERROR(INDEX(PP_Grid[#Data],$DE452,29),0)</f>
        <v/>
      </c>
      <c r="AG452">
        <f>IFERROR(INDEX(PP_Grid[#Data],$DE452,30),0)</f>
        <v/>
      </c>
      <c r="AH452">
        <f>IFERROR(INDEX(PP_Grid[#Data],$DE452,31),0)</f>
        <v/>
      </c>
      <c r="AI452">
        <f>IFERROR(INDEX(PP_Grid[#Data],$DE452,32),0)</f>
        <v/>
      </c>
      <c r="AJ452">
        <f>IFERROR(INDEX(PP_Grid[#Data],$DE452,33),0)</f>
        <v/>
      </c>
      <c r="AK452">
        <f>IFERROR(INDEX(PP_Grid[#Data],$DE452,34),0)</f>
        <v/>
      </c>
      <c r="AL452">
        <f>IFERROR(INDEX(PP_Grid[#Data],$DE452,35),0)</f>
        <v/>
      </c>
      <c r="AM452">
        <f>IFERROR(INDEX(PP_Grid[#Data],$DE452,36),0)</f>
        <v/>
      </c>
      <c r="AN452">
        <f>IFERROR(INDEX(PP_Grid[#Data],$DE452,37),0)</f>
        <v/>
      </c>
      <c r="AO452">
        <f>IFERROR(INDEX(PP_Grid[#Data],$DE452,38),0)</f>
        <v/>
      </c>
      <c r="AP452">
        <f>IFERROR(INDEX(PP_Grid[#Data],$DE452,39),0)</f>
        <v/>
      </c>
      <c r="AQ452">
        <f>IFERROR(INDEX(PP_Grid[#Data],$DE452,40),0)</f>
        <v/>
      </c>
      <c r="AR452">
        <f>IFERROR(INDEX(PP_Grid[#Data],$DE452,41),0)</f>
        <v/>
      </c>
      <c r="AS452">
        <f>IFERROR(INDEX(PP_Grid[#Data],$DE452,42),0)</f>
        <v/>
      </c>
      <c r="AT452">
        <f>IFERROR(INDEX(PP_Grid[#Data],$DE452,43),0)</f>
        <v/>
      </c>
      <c r="AU452">
        <f>IFERROR(INDEX(PP_Grid[#Data],$DE452,44),0)</f>
        <v/>
      </c>
      <c r="AV452">
        <f>IFERROR(INDEX(PP_Grid[#Data],$DE452,45),0)</f>
        <v/>
      </c>
      <c r="AW452">
        <f>IFERROR(INDEX(PP_Grid[#Data],$DE452,46),0)</f>
        <v/>
      </c>
      <c r="AX452">
        <f>IFERROR(INDEX(PP_Grid[#Data],$DE452,47),0)</f>
        <v/>
      </c>
      <c r="AY452">
        <f>IFERROR(INDEX(PP_Grid[#Data],$DE452,48),0)</f>
        <v/>
      </c>
      <c r="AZ452">
        <f>IFERROR(INDEX(PP_Grid[#Data],$DE452,49),0)</f>
        <v/>
      </c>
      <c r="BA452">
        <f>IFERROR(INDEX(PP_Grid[#Data],$DE452,50),0)</f>
        <v/>
      </c>
      <c r="BB452">
        <f>IFERROR(INDEX(PP_Grid[#Data],$DE452,51),0)</f>
        <v/>
      </c>
      <c r="BC452">
        <f>IFERROR(INDEX(PP_Grid[#Data],$DE452,52),0)</f>
        <v/>
      </c>
      <c r="BD452">
        <f>IFERROR(INDEX(PP_Grid[#Data],$DE452,53),0)</f>
        <v/>
      </c>
      <c r="BE452">
        <f>IFERROR(INDEX(PP_Grid[#Data],$DE452,54),0)</f>
        <v/>
      </c>
      <c r="BF452">
        <f>IFERROR(INDEX(PP_Grid[#Data],$DE452,55),0)</f>
        <v/>
      </c>
      <c r="BG452">
        <f>IFERROR(INDEX(PP_Grid[#Data],$DE452,56),0)</f>
        <v/>
      </c>
      <c r="BH452">
        <f>IFERROR(INDEX(PP_Grid[#Data],$DE452,57),0)</f>
        <v/>
      </c>
      <c r="BI452">
        <f>IFERROR(INDEX(PP_Grid[#Data],$DE452,58),0)</f>
        <v/>
      </c>
      <c r="BJ452">
        <f>IFERROR(INDEX(PP_Grid[#Data],$DE452,59),0)</f>
        <v/>
      </c>
      <c r="BK452">
        <f>IFERROR(INDEX(PP_Grid[#Data],$DE452,60),0)</f>
        <v/>
      </c>
      <c r="BL452">
        <f>IFERROR(INDEX(PP_Grid[#Data],$DE452,61),0)</f>
        <v/>
      </c>
      <c r="BM452">
        <f>IFERROR(INDEX(PP_Grid[#Data],$DE452,62),0)</f>
        <v/>
      </c>
      <c r="BN452">
        <f>IFERROR(INDEX(PP_Grid[#Data],$DE452,63),0)</f>
        <v/>
      </c>
      <c r="BO452">
        <f>IFERROR(INDEX(PP_Grid[#Data],$DE452,64),0)</f>
        <v/>
      </c>
      <c r="BP452">
        <f>IFERROR(INDEX(PP_Grid[#Data],$DE452,65),0)</f>
        <v/>
      </c>
      <c r="BQ452">
        <f>IFERROR(INDEX(PP_Grid[#Data],$DE452,66),0)</f>
        <v/>
      </c>
      <c r="BR452">
        <f>IFERROR(INDEX(PP_Grid[#Data],$DE452,67),0)</f>
        <v/>
      </c>
      <c r="BS452">
        <f>IFERROR(INDEX(PP_Grid[#Data],$DE452,68),0)</f>
        <v/>
      </c>
      <c r="BT452">
        <f>IFERROR(INDEX(PP_Grid[#Data],$DE452,69),0)</f>
        <v/>
      </c>
      <c r="BU452">
        <f>IFERROR(INDEX(PP_Grid[#Data],$DE452,70),0)</f>
        <v/>
      </c>
      <c r="BV452">
        <f>IFERROR(INDEX(PP_Grid[#Data],$DE452,71),0)</f>
        <v/>
      </c>
      <c r="BW452">
        <f>IFERROR(INDEX(PP_Grid[#Data],$DE452,72),0)</f>
        <v/>
      </c>
      <c r="BX452">
        <f>IFERROR(INDEX(PP_Grid[#Data],$DE452,73),0)</f>
        <v/>
      </c>
      <c r="BY452">
        <f>IFERROR(INDEX(PP_Grid[#Data],$DE452,74),0)</f>
        <v/>
      </c>
      <c r="BZ452">
        <f>IFERROR(INDEX(PP_Grid[#Data],$DE452,75),0)</f>
        <v/>
      </c>
      <c r="CA452">
        <f>IFERROR(INDEX(PP_Grid[#Data],$DE452,76),0)</f>
        <v/>
      </c>
      <c r="CB452">
        <f>IFERROR(INDEX(PP_Grid[#Data],$DE452,77),0)</f>
        <v/>
      </c>
      <c r="CC452">
        <f>IFERROR(INDEX(PP_Grid[#Data],$DE452,78),0)</f>
        <v/>
      </c>
      <c r="CD452">
        <f>IFERROR(INDEX(PP_Grid[#Data],$DE452,79),0)</f>
        <v/>
      </c>
      <c r="CE452">
        <f>IFERROR(INDEX(PP_Grid[#Data],$DE452,80),0)</f>
        <v/>
      </c>
      <c r="CF452">
        <f>IFERROR(INDEX(PP_Grid[#Data],$DE452,81),0)</f>
        <v/>
      </c>
      <c r="CG452">
        <f>IFERROR(INDEX(PP_Grid[#Data],$DE452,82),0)</f>
        <v/>
      </c>
      <c r="CH452">
        <f>IFERROR(INDEX(PP_Grid[#Data],$DE452,83),0)</f>
        <v/>
      </c>
      <c r="CI452">
        <f>IFERROR(INDEX(PP_Grid[#Data],$DE452,84),0)</f>
        <v/>
      </c>
      <c r="CJ452">
        <f>IFERROR(INDEX(PP_Grid[#Data],$DE452,85),0)</f>
        <v/>
      </c>
      <c r="CK452">
        <f>IFERROR(INDEX(PP_Grid[#Data],$DE452,86),0)</f>
        <v/>
      </c>
      <c r="CL452">
        <f>IFERROR(INDEX(PP_Grid[#Data],$DE452,87),0)</f>
        <v/>
      </c>
      <c r="CM452">
        <f>IFERROR(INDEX(PP_Grid[#Data],$DE452,88),0)</f>
        <v/>
      </c>
      <c r="CN452">
        <f>IFERROR(INDEX(PP_Grid[#Data],$DE452,89),0)</f>
        <v/>
      </c>
      <c r="CO452">
        <f>IFERROR(INDEX(PP_Grid[#Data],$DE452,90),0)</f>
        <v/>
      </c>
      <c r="CP452">
        <f>IFERROR(INDEX(PP_Grid[#Data],$DE452,91),0)</f>
        <v/>
      </c>
      <c r="CQ452">
        <f>IFERROR(INDEX(PP_Grid[#Data],$DE452,92),0)</f>
        <v/>
      </c>
      <c r="CR452">
        <f>IFERROR(INDEX(PP_Grid[#Data],$DE452,93),0)</f>
        <v/>
      </c>
      <c r="CS452">
        <f>IFERROR(INDEX(PP_Grid[#Data],$DE452,94),0)</f>
        <v/>
      </c>
      <c r="CT452">
        <f>IFERROR(INDEX(PP_Grid[#Data],$DE452,95),0)</f>
        <v/>
      </c>
      <c r="CU452">
        <f>IFERROR(INDEX(PP_Grid[#Data],$DE452,96),0)</f>
        <v/>
      </c>
      <c r="CV452">
        <f>IFERROR(INDEX(PP_Grid[#Data],$DE452,97),0)</f>
        <v/>
      </c>
      <c r="CW452">
        <f>IFERROR(INDEX(PP_Grid[#Data],$DE452,98),0)</f>
        <v/>
      </c>
      <c r="CX452">
        <f>IFERROR(INDEX(PP_Grid[#Data],$DE452,99),0)</f>
        <v/>
      </c>
      <c r="CY452">
        <f>IFERROR(INDEX(PP_Grid[#Data],$DE452,100),0)</f>
        <v/>
      </c>
      <c r="CZ452">
        <f>IFERROR(INDEX(PP_Grid[#Data],$DE452,101),0)</f>
        <v/>
      </c>
      <c r="DA452">
        <f>IFERROR(INDEX(PP_Grid[#Data],$DE452,102),0)</f>
        <v/>
      </c>
      <c r="DB452">
        <f>IFERROR(INDEX(PP_Grid[#Data],$DE452,103),0)</f>
        <v/>
      </c>
      <c r="DC452">
        <f>IFERROR(INDEX(PP_Grid[#Data],$DE452,104),0)</f>
        <v/>
      </c>
      <c r="DD452">
        <f>IFERROR(INDEX(PP_Grid[#Data],$DE452,105),0)</f>
        <v/>
      </c>
      <c r="DE452" s="7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SUMIFS(M_BOM[RM_Qty_Per_Batch],M_BOM[Intermediate],$B452,M_BOM[RM_Code],$A325)</f>
        <v/>
      </c>
      <c r="D453">
        <f>IFERROR(INDEX(E453:DD453,$F$1),"")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  <c r="DD453">
        <f>$C453*DD452</f>
        <v/>
      </c>
    </row>
    <row r="454">
      <c r="B454" t="inlineStr">
        <is>
          <t>VSP-604</t>
        </is>
      </c>
      <c r="C454" t="inlineStr">
        <is>
          <t>No. of batches</t>
        </is>
      </c>
      <c r="D454">
        <f>IFERROR(INDEX(E454:DD454,$F$1),"")</f>
        <v/>
      </c>
      <c r="E454">
        <f>IFERROR(INDEX(PP_Grid[#Data],$DE454,2),0)</f>
        <v/>
      </c>
      <c r="F454">
        <f>IFERROR(INDEX(PP_Grid[#Data],$DE454,3),0)</f>
        <v/>
      </c>
      <c r="G454">
        <f>IFERROR(INDEX(PP_Grid[#Data],$DE454,4),0)</f>
        <v/>
      </c>
      <c r="H454">
        <f>IFERROR(INDEX(PP_Grid[#Data],$DE454,5),0)</f>
        <v/>
      </c>
      <c r="I454">
        <f>IFERROR(INDEX(PP_Grid[#Data],$DE454,6),0)</f>
        <v/>
      </c>
      <c r="J454">
        <f>IFERROR(INDEX(PP_Grid[#Data],$DE454,7),0)</f>
        <v/>
      </c>
      <c r="K454">
        <f>IFERROR(INDEX(PP_Grid[#Data],$DE454,8),0)</f>
        <v/>
      </c>
      <c r="L454">
        <f>IFERROR(INDEX(PP_Grid[#Data],$DE454,9),0)</f>
        <v/>
      </c>
      <c r="M454">
        <f>IFERROR(INDEX(PP_Grid[#Data],$DE454,10),0)</f>
        <v/>
      </c>
      <c r="N454">
        <f>IFERROR(INDEX(PP_Grid[#Data],$DE454,11),0)</f>
        <v/>
      </c>
      <c r="O454">
        <f>IFERROR(INDEX(PP_Grid[#Data],$DE454,12),0)</f>
        <v/>
      </c>
      <c r="P454">
        <f>IFERROR(INDEX(PP_Grid[#Data],$DE454,13),0)</f>
        <v/>
      </c>
      <c r="Q454">
        <f>IFERROR(INDEX(PP_Grid[#Data],$DE454,14),0)</f>
        <v/>
      </c>
      <c r="R454">
        <f>IFERROR(INDEX(PP_Grid[#Data],$DE454,15),0)</f>
        <v/>
      </c>
      <c r="S454">
        <f>IFERROR(INDEX(PP_Grid[#Data],$DE454,16),0)</f>
        <v/>
      </c>
      <c r="T454">
        <f>IFERROR(INDEX(PP_Grid[#Data],$DE454,17),0)</f>
        <v/>
      </c>
      <c r="U454">
        <f>IFERROR(INDEX(PP_Grid[#Data],$DE454,18),0)</f>
        <v/>
      </c>
      <c r="V454">
        <f>IFERROR(INDEX(PP_Grid[#Data],$DE454,19),0)</f>
        <v/>
      </c>
      <c r="W454">
        <f>IFERROR(INDEX(PP_Grid[#Data],$DE454,20),0)</f>
        <v/>
      </c>
      <c r="X454">
        <f>IFERROR(INDEX(PP_Grid[#Data],$DE454,21),0)</f>
        <v/>
      </c>
      <c r="Y454">
        <f>IFERROR(INDEX(PP_Grid[#Data],$DE454,22),0)</f>
        <v/>
      </c>
      <c r="Z454">
        <f>IFERROR(INDEX(PP_Grid[#Data],$DE454,23),0)</f>
        <v/>
      </c>
      <c r="AA454">
        <f>IFERROR(INDEX(PP_Grid[#Data],$DE454,24),0)</f>
        <v/>
      </c>
      <c r="AB454">
        <f>IFERROR(INDEX(PP_Grid[#Data],$DE454,25),0)</f>
        <v/>
      </c>
      <c r="AC454">
        <f>IFERROR(INDEX(PP_Grid[#Data],$DE454,26),0)</f>
        <v/>
      </c>
      <c r="AD454">
        <f>IFERROR(INDEX(PP_Grid[#Data],$DE454,27),0)</f>
        <v/>
      </c>
      <c r="AE454">
        <f>IFERROR(INDEX(PP_Grid[#Data],$DE454,28),0)</f>
        <v/>
      </c>
      <c r="AF454">
        <f>IFERROR(INDEX(PP_Grid[#Data],$DE454,29),0)</f>
        <v/>
      </c>
      <c r="AG454">
        <f>IFERROR(INDEX(PP_Grid[#Data],$DE454,30),0)</f>
        <v/>
      </c>
      <c r="AH454">
        <f>IFERROR(INDEX(PP_Grid[#Data],$DE454,31),0)</f>
        <v/>
      </c>
      <c r="AI454">
        <f>IFERROR(INDEX(PP_Grid[#Data],$DE454,32),0)</f>
        <v/>
      </c>
      <c r="AJ454">
        <f>IFERROR(INDEX(PP_Grid[#Data],$DE454,33),0)</f>
        <v/>
      </c>
      <c r="AK454">
        <f>IFERROR(INDEX(PP_Grid[#Data],$DE454,34),0)</f>
        <v/>
      </c>
      <c r="AL454">
        <f>IFERROR(INDEX(PP_Grid[#Data],$DE454,35),0)</f>
        <v/>
      </c>
      <c r="AM454">
        <f>IFERROR(INDEX(PP_Grid[#Data],$DE454,36),0)</f>
        <v/>
      </c>
      <c r="AN454">
        <f>IFERROR(INDEX(PP_Grid[#Data],$DE454,37),0)</f>
        <v/>
      </c>
      <c r="AO454">
        <f>IFERROR(INDEX(PP_Grid[#Data],$DE454,38),0)</f>
        <v/>
      </c>
      <c r="AP454">
        <f>IFERROR(INDEX(PP_Grid[#Data],$DE454,39),0)</f>
        <v/>
      </c>
      <c r="AQ454">
        <f>IFERROR(INDEX(PP_Grid[#Data],$DE454,40),0)</f>
        <v/>
      </c>
      <c r="AR454">
        <f>IFERROR(INDEX(PP_Grid[#Data],$DE454,41),0)</f>
        <v/>
      </c>
      <c r="AS454">
        <f>IFERROR(INDEX(PP_Grid[#Data],$DE454,42),0)</f>
        <v/>
      </c>
      <c r="AT454">
        <f>IFERROR(INDEX(PP_Grid[#Data],$DE454,43),0)</f>
        <v/>
      </c>
      <c r="AU454">
        <f>IFERROR(INDEX(PP_Grid[#Data],$DE454,44),0)</f>
        <v/>
      </c>
      <c r="AV454">
        <f>IFERROR(INDEX(PP_Grid[#Data],$DE454,45),0)</f>
        <v/>
      </c>
      <c r="AW454">
        <f>IFERROR(INDEX(PP_Grid[#Data],$DE454,46),0)</f>
        <v/>
      </c>
      <c r="AX454">
        <f>IFERROR(INDEX(PP_Grid[#Data],$DE454,47),0)</f>
        <v/>
      </c>
      <c r="AY454">
        <f>IFERROR(INDEX(PP_Grid[#Data],$DE454,48),0)</f>
        <v/>
      </c>
      <c r="AZ454">
        <f>IFERROR(INDEX(PP_Grid[#Data],$DE454,49),0)</f>
        <v/>
      </c>
      <c r="BA454">
        <f>IFERROR(INDEX(PP_Grid[#Data],$DE454,50),0)</f>
        <v/>
      </c>
      <c r="BB454">
        <f>IFERROR(INDEX(PP_Grid[#Data],$DE454,51),0)</f>
        <v/>
      </c>
      <c r="BC454">
        <f>IFERROR(INDEX(PP_Grid[#Data],$DE454,52),0)</f>
        <v/>
      </c>
      <c r="BD454">
        <f>IFERROR(INDEX(PP_Grid[#Data],$DE454,53),0)</f>
        <v/>
      </c>
      <c r="BE454">
        <f>IFERROR(INDEX(PP_Grid[#Data],$DE454,54),0)</f>
        <v/>
      </c>
      <c r="BF454">
        <f>IFERROR(INDEX(PP_Grid[#Data],$DE454,55),0)</f>
        <v/>
      </c>
      <c r="BG454">
        <f>IFERROR(INDEX(PP_Grid[#Data],$DE454,56),0)</f>
        <v/>
      </c>
      <c r="BH454">
        <f>IFERROR(INDEX(PP_Grid[#Data],$DE454,57),0)</f>
        <v/>
      </c>
      <c r="BI454">
        <f>IFERROR(INDEX(PP_Grid[#Data],$DE454,58),0)</f>
        <v/>
      </c>
      <c r="BJ454">
        <f>IFERROR(INDEX(PP_Grid[#Data],$DE454,59),0)</f>
        <v/>
      </c>
      <c r="BK454">
        <f>IFERROR(INDEX(PP_Grid[#Data],$DE454,60),0)</f>
        <v/>
      </c>
      <c r="BL454">
        <f>IFERROR(INDEX(PP_Grid[#Data],$DE454,61),0)</f>
        <v/>
      </c>
      <c r="BM454">
        <f>IFERROR(INDEX(PP_Grid[#Data],$DE454,62),0)</f>
        <v/>
      </c>
      <c r="BN454">
        <f>IFERROR(INDEX(PP_Grid[#Data],$DE454,63),0)</f>
        <v/>
      </c>
      <c r="BO454">
        <f>IFERROR(INDEX(PP_Grid[#Data],$DE454,64),0)</f>
        <v/>
      </c>
      <c r="BP454">
        <f>IFERROR(INDEX(PP_Grid[#Data],$DE454,65),0)</f>
        <v/>
      </c>
      <c r="BQ454">
        <f>IFERROR(INDEX(PP_Grid[#Data],$DE454,66),0)</f>
        <v/>
      </c>
      <c r="BR454">
        <f>IFERROR(INDEX(PP_Grid[#Data],$DE454,67),0)</f>
        <v/>
      </c>
      <c r="BS454">
        <f>IFERROR(INDEX(PP_Grid[#Data],$DE454,68),0)</f>
        <v/>
      </c>
      <c r="BT454">
        <f>IFERROR(INDEX(PP_Grid[#Data],$DE454,69),0)</f>
        <v/>
      </c>
      <c r="BU454">
        <f>IFERROR(INDEX(PP_Grid[#Data],$DE454,70),0)</f>
        <v/>
      </c>
      <c r="BV454">
        <f>IFERROR(INDEX(PP_Grid[#Data],$DE454,71),0)</f>
        <v/>
      </c>
      <c r="BW454">
        <f>IFERROR(INDEX(PP_Grid[#Data],$DE454,72),0)</f>
        <v/>
      </c>
      <c r="BX454">
        <f>IFERROR(INDEX(PP_Grid[#Data],$DE454,73),0)</f>
        <v/>
      </c>
      <c r="BY454">
        <f>IFERROR(INDEX(PP_Grid[#Data],$DE454,74),0)</f>
        <v/>
      </c>
      <c r="BZ454">
        <f>IFERROR(INDEX(PP_Grid[#Data],$DE454,75),0)</f>
        <v/>
      </c>
      <c r="CA454">
        <f>IFERROR(INDEX(PP_Grid[#Data],$DE454,76),0)</f>
        <v/>
      </c>
      <c r="CB454">
        <f>IFERROR(INDEX(PP_Grid[#Data],$DE454,77),0)</f>
        <v/>
      </c>
      <c r="CC454">
        <f>IFERROR(INDEX(PP_Grid[#Data],$DE454,78),0)</f>
        <v/>
      </c>
      <c r="CD454">
        <f>IFERROR(INDEX(PP_Grid[#Data],$DE454,79),0)</f>
        <v/>
      </c>
      <c r="CE454">
        <f>IFERROR(INDEX(PP_Grid[#Data],$DE454,80),0)</f>
        <v/>
      </c>
      <c r="CF454">
        <f>IFERROR(INDEX(PP_Grid[#Data],$DE454,81),0)</f>
        <v/>
      </c>
      <c r="CG454">
        <f>IFERROR(INDEX(PP_Grid[#Data],$DE454,82),0)</f>
        <v/>
      </c>
      <c r="CH454">
        <f>IFERROR(INDEX(PP_Grid[#Data],$DE454,83),0)</f>
        <v/>
      </c>
      <c r="CI454">
        <f>IFERROR(INDEX(PP_Grid[#Data],$DE454,84),0)</f>
        <v/>
      </c>
      <c r="CJ454">
        <f>IFERROR(INDEX(PP_Grid[#Data],$DE454,85),0)</f>
        <v/>
      </c>
      <c r="CK454">
        <f>IFERROR(INDEX(PP_Grid[#Data],$DE454,86),0)</f>
        <v/>
      </c>
      <c r="CL454">
        <f>IFERROR(INDEX(PP_Grid[#Data],$DE454,87),0)</f>
        <v/>
      </c>
      <c r="CM454">
        <f>IFERROR(INDEX(PP_Grid[#Data],$DE454,88),0)</f>
        <v/>
      </c>
      <c r="CN454">
        <f>IFERROR(INDEX(PP_Grid[#Data],$DE454,89),0)</f>
        <v/>
      </c>
      <c r="CO454">
        <f>IFERROR(INDEX(PP_Grid[#Data],$DE454,90),0)</f>
        <v/>
      </c>
      <c r="CP454">
        <f>IFERROR(INDEX(PP_Grid[#Data],$DE454,91),0)</f>
        <v/>
      </c>
      <c r="CQ454">
        <f>IFERROR(INDEX(PP_Grid[#Data],$DE454,92),0)</f>
        <v/>
      </c>
      <c r="CR454">
        <f>IFERROR(INDEX(PP_Grid[#Data],$DE454,93),0)</f>
        <v/>
      </c>
      <c r="CS454">
        <f>IFERROR(INDEX(PP_Grid[#Data],$DE454,94),0)</f>
        <v/>
      </c>
      <c r="CT454">
        <f>IFERROR(INDEX(PP_Grid[#Data],$DE454,95),0)</f>
        <v/>
      </c>
      <c r="CU454">
        <f>IFERROR(INDEX(PP_Grid[#Data],$DE454,96),0)</f>
        <v/>
      </c>
      <c r="CV454">
        <f>IFERROR(INDEX(PP_Grid[#Data],$DE454,97),0)</f>
        <v/>
      </c>
      <c r="CW454">
        <f>IFERROR(INDEX(PP_Grid[#Data],$DE454,98),0)</f>
        <v/>
      </c>
      <c r="CX454">
        <f>IFERROR(INDEX(PP_Grid[#Data],$DE454,99),0)</f>
        <v/>
      </c>
      <c r="CY454">
        <f>IFERROR(INDEX(PP_Grid[#Data],$DE454,100),0)</f>
        <v/>
      </c>
      <c r="CZ454">
        <f>IFERROR(INDEX(PP_Grid[#Data],$DE454,101),0)</f>
        <v/>
      </c>
      <c r="DA454">
        <f>IFERROR(INDEX(PP_Grid[#Data],$DE454,102),0)</f>
        <v/>
      </c>
      <c r="DB454">
        <f>IFERROR(INDEX(PP_Grid[#Data],$DE454,103),0)</f>
        <v/>
      </c>
      <c r="DC454">
        <f>IFERROR(INDEX(PP_Grid[#Data],$DE454,104),0)</f>
        <v/>
      </c>
      <c r="DD454">
        <f>IFERROR(INDEX(PP_Grid[#Data],$DE454,105),0)</f>
        <v/>
      </c>
      <c r="DE454" s="7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SUMIFS(M_BOM[RM_Qty_Per_Batch],M_BOM[Intermediate],$B454,M_BOM[RM_Code],$A325)</f>
        <v/>
      </c>
      <c r="D455">
        <f>IFERROR(INDEX(E455:DD455,$F$1),"")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  <c r="DD455">
        <f>$C455*DD454</f>
        <v/>
      </c>
    </row>
    <row r="456">
      <c r="B456" t="inlineStr">
        <is>
          <t>VSP-605</t>
        </is>
      </c>
      <c r="C456" t="inlineStr">
        <is>
          <t>No. of batches</t>
        </is>
      </c>
      <c r="D456">
        <f>IFERROR(INDEX(E456:DD456,$F$1),"")</f>
        <v/>
      </c>
      <c r="E456">
        <f>IFERROR(INDEX(PP_Grid[#Data],$DE456,2),0)</f>
        <v/>
      </c>
      <c r="F456">
        <f>IFERROR(INDEX(PP_Grid[#Data],$DE456,3),0)</f>
        <v/>
      </c>
      <c r="G456">
        <f>IFERROR(INDEX(PP_Grid[#Data],$DE456,4),0)</f>
        <v/>
      </c>
      <c r="H456">
        <f>IFERROR(INDEX(PP_Grid[#Data],$DE456,5),0)</f>
        <v/>
      </c>
      <c r="I456">
        <f>IFERROR(INDEX(PP_Grid[#Data],$DE456,6),0)</f>
        <v/>
      </c>
      <c r="J456">
        <f>IFERROR(INDEX(PP_Grid[#Data],$DE456,7),0)</f>
        <v/>
      </c>
      <c r="K456">
        <f>IFERROR(INDEX(PP_Grid[#Data],$DE456,8),0)</f>
        <v/>
      </c>
      <c r="L456">
        <f>IFERROR(INDEX(PP_Grid[#Data],$DE456,9),0)</f>
        <v/>
      </c>
      <c r="M456">
        <f>IFERROR(INDEX(PP_Grid[#Data],$DE456,10),0)</f>
        <v/>
      </c>
      <c r="N456">
        <f>IFERROR(INDEX(PP_Grid[#Data],$DE456,11),0)</f>
        <v/>
      </c>
      <c r="O456">
        <f>IFERROR(INDEX(PP_Grid[#Data],$DE456,12),0)</f>
        <v/>
      </c>
      <c r="P456">
        <f>IFERROR(INDEX(PP_Grid[#Data],$DE456,13),0)</f>
        <v/>
      </c>
      <c r="Q456">
        <f>IFERROR(INDEX(PP_Grid[#Data],$DE456,14),0)</f>
        <v/>
      </c>
      <c r="R456">
        <f>IFERROR(INDEX(PP_Grid[#Data],$DE456,15),0)</f>
        <v/>
      </c>
      <c r="S456">
        <f>IFERROR(INDEX(PP_Grid[#Data],$DE456,16),0)</f>
        <v/>
      </c>
      <c r="T456">
        <f>IFERROR(INDEX(PP_Grid[#Data],$DE456,17),0)</f>
        <v/>
      </c>
      <c r="U456">
        <f>IFERROR(INDEX(PP_Grid[#Data],$DE456,18),0)</f>
        <v/>
      </c>
      <c r="V456">
        <f>IFERROR(INDEX(PP_Grid[#Data],$DE456,19),0)</f>
        <v/>
      </c>
      <c r="W456">
        <f>IFERROR(INDEX(PP_Grid[#Data],$DE456,20),0)</f>
        <v/>
      </c>
      <c r="X456">
        <f>IFERROR(INDEX(PP_Grid[#Data],$DE456,21),0)</f>
        <v/>
      </c>
      <c r="Y456">
        <f>IFERROR(INDEX(PP_Grid[#Data],$DE456,22),0)</f>
        <v/>
      </c>
      <c r="Z456">
        <f>IFERROR(INDEX(PP_Grid[#Data],$DE456,23),0)</f>
        <v/>
      </c>
      <c r="AA456">
        <f>IFERROR(INDEX(PP_Grid[#Data],$DE456,24),0)</f>
        <v/>
      </c>
      <c r="AB456">
        <f>IFERROR(INDEX(PP_Grid[#Data],$DE456,25),0)</f>
        <v/>
      </c>
      <c r="AC456">
        <f>IFERROR(INDEX(PP_Grid[#Data],$DE456,26),0)</f>
        <v/>
      </c>
      <c r="AD456">
        <f>IFERROR(INDEX(PP_Grid[#Data],$DE456,27),0)</f>
        <v/>
      </c>
      <c r="AE456">
        <f>IFERROR(INDEX(PP_Grid[#Data],$DE456,28),0)</f>
        <v/>
      </c>
      <c r="AF456">
        <f>IFERROR(INDEX(PP_Grid[#Data],$DE456,29),0)</f>
        <v/>
      </c>
      <c r="AG456">
        <f>IFERROR(INDEX(PP_Grid[#Data],$DE456,30),0)</f>
        <v/>
      </c>
      <c r="AH456">
        <f>IFERROR(INDEX(PP_Grid[#Data],$DE456,31),0)</f>
        <v/>
      </c>
      <c r="AI456">
        <f>IFERROR(INDEX(PP_Grid[#Data],$DE456,32),0)</f>
        <v/>
      </c>
      <c r="AJ456">
        <f>IFERROR(INDEX(PP_Grid[#Data],$DE456,33),0)</f>
        <v/>
      </c>
      <c r="AK456">
        <f>IFERROR(INDEX(PP_Grid[#Data],$DE456,34),0)</f>
        <v/>
      </c>
      <c r="AL456">
        <f>IFERROR(INDEX(PP_Grid[#Data],$DE456,35),0)</f>
        <v/>
      </c>
      <c r="AM456">
        <f>IFERROR(INDEX(PP_Grid[#Data],$DE456,36),0)</f>
        <v/>
      </c>
      <c r="AN456">
        <f>IFERROR(INDEX(PP_Grid[#Data],$DE456,37),0)</f>
        <v/>
      </c>
      <c r="AO456">
        <f>IFERROR(INDEX(PP_Grid[#Data],$DE456,38),0)</f>
        <v/>
      </c>
      <c r="AP456">
        <f>IFERROR(INDEX(PP_Grid[#Data],$DE456,39),0)</f>
        <v/>
      </c>
      <c r="AQ456">
        <f>IFERROR(INDEX(PP_Grid[#Data],$DE456,40),0)</f>
        <v/>
      </c>
      <c r="AR456">
        <f>IFERROR(INDEX(PP_Grid[#Data],$DE456,41),0)</f>
        <v/>
      </c>
      <c r="AS456">
        <f>IFERROR(INDEX(PP_Grid[#Data],$DE456,42),0)</f>
        <v/>
      </c>
      <c r="AT456">
        <f>IFERROR(INDEX(PP_Grid[#Data],$DE456,43),0)</f>
        <v/>
      </c>
      <c r="AU456">
        <f>IFERROR(INDEX(PP_Grid[#Data],$DE456,44),0)</f>
        <v/>
      </c>
      <c r="AV456">
        <f>IFERROR(INDEX(PP_Grid[#Data],$DE456,45),0)</f>
        <v/>
      </c>
      <c r="AW456">
        <f>IFERROR(INDEX(PP_Grid[#Data],$DE456,46),0)</f>
        <v/>
      </c>
      <c r="AX456">
        <f>IFERROR(INDEX(PP_Grid[#Data],$DE456,47),0)</f>
        <v/>
      </c>
      <c r="AY456">
        <f>IFERROR(INDEX(PP_Grid[#Data],$DE456,48),0)</f>
        <v/>
      </c>
      <c r="AZ456">
        <f>IFERROR(INDEX(PP_Grid[#Data],$DE456,49),0)</f>
        <v/>
      </c>
      <c r="BA456">
        <f>IFERROR(INDEX(PP_Grid[#Data],$DE456,50),0)</f>
        <v/>
      </c>
      <c r="BB456">
        <f>IFERROR(INDEX(PP_Grid[#Data],$DE456,51),0)</f>
        <v/>
      </c>
      <c r="BC456">
        <f>IFERROR(INDEX(PP_Grid[#Data],$DE456,52),0)</f>
        <v/>
      </c>
      <c r="BD456">
        <f>IFERROR(INDEX(PP_Grid[#Data],$DE456,53),0)</f>
        <v/>
      </c>
      <c r="BE456">
        <f>IFERROR(INDEX(PP_Grid[#Data],$DE456,54),0)</f>
        <v/>
      </c>
      <c r="BF456">
        <f>IFERROR(INDEX(PP_Grid[#Data],$DE456,55),0)</f>
        <v/>
      </c>
      <c r="BG456">
        <f>IFERROR(INDEX(PP_Grid[#Data],$DE456,56),0)</f>
        <v/>
      </c>
      <c r="BH456">
        <f>IFERROR(INDEX(PP_Grid[#Data],$DE456,57),0)</f>
        <v/>
      </c>
      <c r="BI456">
        <f>IFERROR(INDEX(PP_Grid[#Data],$DE456,58),0)</f>
        <v/>
      </c>
      <c r="BJ456">
        <f>IFERROR(INDEX(PP_Grid[#Data],$DE456,59),0)</f>
        <v/>
      </c>
      <c r="BK456">
        <f>IFERROR(INDEX(PP_Grid[#Data],$DE456,60),0)</f>
        <v/>
      </c>
      <c r="BL456">
        <f>IFERROR(INDEX(PP_Grid[#Data],$DE456,61),0)</f>
        <v/>
      </c>
      <c r="BM456">
        <f>IFERROR(INDEX(PP_Grid[#Data],$DE456,62),0)</f>
        <v/>
      </c>
      <c r="BN456">
        <f>IFERROR(INDEX(PP_Grid[#Data],$DE456,63),0)</f>
        <v/>
      </c>
      <c r="BO456">
        <f>IFERROR(INDEX(PP_Grid[#Data],$DE456,64),0)</f>
        <v/>
      </c>
      <c r="BP456">
        <f>IFERROR(INDEX(PP_Grid[#Data],$DE456,65),0)</f>
        <v/>
      </c>
      <c r="BQ456">
        <f>IFERROR(INDEX(PP_Grid[#Data],$DE456,66),0)</f>
        <v/>
      </c>
      <c r="BR456">
        <f>IFERROR(INDEX(PP_Grid[#Data],$DE456,67),0)</f>
        <v/>
      </c>
      <c r="BS456">
        <f>IFERROR(INDEX(PP_Grid[#Data],$DE456,68),0)</f>
        <v/>
      </c>
      <c r="BT456">
        <f>IFERROR(INDEX(PP_Grid[#Data],$DE456,69),0)</f>
        <v/>
      </c>
      <c r="BU456">
        <f>IFERROR(INDEX(PP_Grid[#Data],$DE456,70),0)</f>
        <v/>
      </c>
      <c r="BV456">
        <f>IFERROR(INDEX(PP_Grid[#Data],$DE456,71),0)</f>
        <v/>
      </c>
      <c r="BW456">
        <f>IFERROR(INDEX(PP_Grid[#Data],$DE456,72),0)</f>
        <v/>
      </c>
      <c r="BX456">
        <f>IFERROR(INDEX(PP_Grid[#Data],$DE456,73),0)</f>
        <v/>
      </c>
      <c r="BY456">
        <f>IFERROR(INDEX(PP_Grid[#Data],$DE456,74),0)</f>
        <v/>
      </c>
      <c r="BZ456">
        <f>IFERROR(INDEX(PP_Grid[#Data],$DE456,75),0)</f>
        <v/>
      </c>
      <c r="CA456">
        <f>IFERROR(INDEX(PP_Grid[#Data],$DE456,76),0)</f>
        <v/>
      </c>
      <c r="CB456">
        <f>IFERROR(INDEX(PP_Grid[#Data],$DE456,77),0)</f>
        <v/>
      </c>
      <c r="CC456">
        <f>IFERROR(INDEX(PP_Grid[#Data],$DE456,78),0)</f>
        <v/>
      </c>
      <c r="CD456">
        <f>IFERROR(INDEX(PP_Grid[#Data],$DE456,79),0)</f>
        <v/>
      </c>
      <c r="CE456">
        <f>IFERROR(INDEX(PP_Grid[#Data],$DE456,80),0)</f>
        <v/>
      </c>
      <c r="CF456">
        <f>IFERROR(INDEX(PP_Grid[#Data],$DE456,81),0)</f>
        <v/>
      </c>
      <c r="CG456">
        <f>IFERROR(INDEX(PP_Grid[#Data],$DE456,82),0)</f>
        <v/>
      </c>
      <c r="CH456">
        <f>IFERROR(INDEX(PP_Grid[#Data],$DE456,83),0)</f>
        <v/>
      </c>
      <c r="CI456">
        <f>IFERROR(INDEX(PP_Grid[#Data],$DE456,84),0)</f>
        <v/>
      </c>
      <c r="CJ456">
        <f>IFERROR(INDEX(PP_Grid[#Data],$DE456,85),0)</f>
        <v/>
      </c>
      <c r="CK456">
        <f>IFERROR(INDEX(PP_Grid[#Data],$DE456,86),0)</f>
        <v/>
      </c>
      <c r="CL456">
        <f>IFERROR(INDEX(PP_Grid[#Data],$DE456,87),0)</f>
        <v/>
      </c>
      <c r="CM456">
        <f>IFERROR(INDEX(PP_Grid[#Data],$DE456,88),0)</f>
        <v/>
      </c>
      <c r="CN456">
        <f>IFERROR(INDEX(PP_Grid[#Data],$DE456,89),0)</f>
        <v/>
      </c>
      <c r="CO456">
        <f>IFERROR(INDEX(PP_Grid[#Data],$DE456,90),0)</f>
        <v/>
      </c>
      <c r="CP456">
        <f>IFERROR(INDEX(PP_Grid[#Data],$DE456,91),0)</f>
        <v/>
      </c>
      <c r="CQ456">
        <f>IFERROR(INDEX(PP_Grid[#Data],$DE456,92),0)</f>
        <v/>
      </c>
      <c r="CR456">
        <f>IFERROR(INDEX(PP_Grid[#Data],$DE456,93),0)</f>
        <v/>
      </c>
      <c r="CS456">
        <f>IFERROR(INDEX(PP_Grid[#Data],$DE456,94),0)</f>
        <v/>
      </c>
      <c r="CT456">
        <f>IFERROR(INDEX(PP_Grid[#Data],$DE456,95),0)</f>
        <v/>
      </c>
      <c r="CU456">
        <f>IFERROR(INDEX(PP_Grid[#Data],$DE456,96),0)</f>
        <v/>
      </c>
      <c r="CV456">
        <f>IFERROR(INDEX(PP_Grid[#Data],$DE456,97),0)</f>
        <v/>
      </c>
      <c r="CW456">
        <f>IFERROR(INDEX(PP_Grid[#Data],$DE456,98),0)</f>
        <v/>
      </c>
      <c r="CX456">
        <f>IFERROR(INDEX(PP_Grid[#Data],$DE456,99),0)</f>
        <v/>
      </c>
      <c r="CY456">
        <f>IFERROR(INDEX(PP_Grid[#Data],$DE456,100),0)</f>
        <v/>
      </c>
      <c r="CZ456">
        <f>IFERROR(INDEX(PP_Grid[#Data],$DE456,101),0)</f>
        <v/>
      </c>
      <c r="DA456">
        <f>IFERROR(INDEX(PP_Grid[#Data],$DE456,102),0)</f>
        <v/>
      </c>
      <c r="DB456">
        <f>IFERROR(INDEX(PP_Grid[#Data],$DE456,103),0)</f>
        <v/>
      </c>
      <c r="DC456">
        <f>IFERROR(INDEX(PP_Grid[#Data],$DE456,104),0)</f>
        <v/>
      </c>
      <c r="DD456">
        <f>IFERROR(INDEX(PP_Grid[#Data],$DE456,105),0)</f>
        <v/>
      </c>
      <c r="DE456" s="7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SUMIFS(M_BOM[RM_Qty_Per_Batch],M_BOM[Intermediate],$B456,M_BOM[RM_Code],$A325)</f>
        <v/>
      </c>
      <c r="D457">
        <f>IFERROR(INDEX(E457:DD457,$F$1),"")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  <c r="DD457">
        <f>$C457*DD456</f>
        <v/>
      </c>
    </row>
    <row r="458">
      <c r="B458" t="inlineStr">
        <is>
          <t>VSP-606</t>
        </is>
      </c>
      <c r="C458" t="inlineStr">
        <is>
          <t>No. of batches</t>
        </is>
      </c>
      <c r="D458">
        <f>IFERROR(INDEX(E458:DD458,$F$1),"")</f>
        <v/>
      </c>
      <c r="E458">
        <f>IFERROR(INDEX(PP_Grid[#Data],$DE458,2),0)</f>
        <v/>
      </c>
      <c r="F458">
        <f>IFERROR(INDEX(PP_Grid[#Data],$DE458,3),0)</f>
        <v/>
      </c>
      <c r="G458">
        <f>IFERROR(INDEX(PP_Grid[#Data],$DE458,4),0)</f>
        <v/>
      </c>
      <c r="H458">
        <f>IFERROR(INDEX(PP_Grid[#Data],$DE458,5),0)</f>
        <v/>
      </c>
      <c r="I458">
        <f>IFERROR(INDEX(PP_Grid[#Data],$DE458,6),0)</f>
        <v/>
      </c>
      <c r="J458">
        <f>IFERROR(INDEX(PP_Grid[#Data],$DE458,7),0)</f>
        <v/>
      </c>
      <c r="K458">
        <f>IFERROR(INDEX(PP_Grid[#Data],$DE458,8),0)</f>
        <v/>
      </c>
      <c r="L458">
        <f>IFERROR(INDEX(PP_Grid[#Data],$DE458,9),0)</f>
        <v/>
      </c>
      <c r="M458">
        <f>IFERROR(INDEX(PP_Grid[#Data],$DE458,10),0)</f>
        <v/>
      </c>
      <c r="N458">
        <f>IFERROR(INDEX(PP_Grid[#Data],$DE458,11),0)</f>
        <v/>
      </c>
      <c r="O458">
        <f>IFERROR(INDEX(PP_Grid[#Data],$DE458,12),0)</f>
        <v/>
      </c>
      <c r="P458">
        <f>IFERROR(INDEX(PP_Grid[#Data],$DE458,13),0)</f>
        <v/>
      </c>
      <c r="Q458">
        <f>IFERROR(INDEX(PP_Grid[#Data],$DE458,14),0)</f>
        <v/>
      </c>
      <c r="R458">
        <f>IFERROR(INDEX(PP_Grid[#Data],$DE458,15),0)</f>
        <v/>
      </c>
      <c r="S458">
        <f>IFERROR(INDEX(PP_Grid[#Data],$DE458,16),0)</f>
        <v/>
      </c>
      <c r="T458">
        <f>IFERROR(INDEX(PP_Grid[#Data],$DE458,17),0)</f>
        <v/>
      </c>
      <c r="U458">
        <f>IFERROR(INDEX(PP_Grid[#Data],$DE458,18),0)</f>
        <v/>
      </c>
      <c r="V458">
        <f>IFERROR(INDEX(PP_Grid[#Data],$DE458,19),0)</f>
        <v/>
      </c>
      <c r="W458">
        <f>IFERROR(INDEX(PP_Grid[#Data],$DE458,20),0)</f>
        <v/>
      </c>
      <c r="X458">
        <f>IFERROR(INDEX(PP_Grid[#Data],$DE458,21),0)</f>
        <v/>
      </c>
      <c r="Y458">
        <f>IFERROR(INDEX(PP_Grid[#Data],$DE458,22),0)</f>
        <v/>
      </c>
      <c r="Z458">
        <f>IFERROR(INDEX(PP_Grid[#Data],$DE458,23),0)</f>
        <v/>
      </c>
      <c r="AA458">
        <f>IFERROR(INDEX(PP_Grid[#Data],$DE458,24),0)</f>
        <v/>
      </c>
      <c r="AB458">
        <f>IFERROR(INDEX(PP_Grid[#Data],$DE458,25),0)</f>
        <v/>
      </c>
      <c r="AC458">
        <f>IFERROR(INDEX(PP_Grid[#Data],$DE458,26),0)</f>
        <v/>
      </c>
      <c r="AD458">
        <f>IFERROR(INDEX(PP_Grid[#Data],$DE458,27),0)</f>
        <v/>
      </c>
      <c r="AE458">
        <f>IFERROR(INDEX(PP_Grid[#Data],$DE458,28),0)</f>
        <v/>
      </c>
      <c r="AF458">
        <f>IFERROR(INDEX(PP_Grid[#Data],$DE458,29),0)</f>
        <v/>
      </c>
      <c r="AG458">
        <f>IFERROR(INDEX(PP_Grid[#Data],$DE458,30),0)</f>
        <v/>
      </c>
      <c r="AH458">
        <f>IFERROR(INDEX(PP_Grid[#Data],$DE458,31),0)</f>
        <v/>
      </c>
      <c r="AI458">
        <f>IFERROR(INDEX(PP_Grid[#Data],$DE458,32),0)</f>
        <v/>
      </c>
      <c r="AJ458">
        <f>IFERROR(INDEX(PP_Grid[#Data],$DE458,33),0)</f>
        <v/>
      </c>
      <c r="AK458">
        <f>IFERROR(INDEX(PP_Grid[#Data],$DE458,34),0)</f>
        <v/>
      </c>
      <c r="AL458">
        <f>IFERROR(INDEX(PP_Grid[#Data],$DE458,35),0)</f>
        <v/>
      </c>
      <c r="AM458">
        <f>IFERROR(INDEX(PP_Grid[#Data],$DE458,36),0)</f>
        <v/>
      </c>
      <c r="AN458">
        <f>IFERROR(INDEX(PP_Grid[#Data],$DE458,37),0)</f>
        <v/>
      </c>
      <c r="AO458">
        <f>IFERROR(INDEX(PP_Grid[#Data],$DE458,38),0)</f>
        <v/>
      </c>
      <c r="AP458">
        <f>IFERROR(INDEX(PP_Grid[#Data],$DE458,39),0)</f>
        <v/>
      </c>
      <c r="AQ458">
        <f>IFERROR(INDEX(PP_Grid[#Data],$DE458,40),0)</f>
        <v/>
      </c>
      <c r="AR458">
        <f>IFERROR(INDEX(PP_Grid[#Data],$DE458,41),0)</f>
        <v/>
      </c>
      <c r="AS458">
        <f>IFERROR(INDEX(PP_Grid[#Data],$DE458,42),0)</f>
        <v/>
      </c>
      <c r="AT458">
        <f>IFERROR(INDEX(PP_Grid[#Data],$DE458,43),0)</f>
        <v/>
      </c>
      <c r="AU458">
        <f>IFERROR(INDEX(PP_Grid[#Data],$DE458,44),0)</f>
        <v/>
      </c>
      <c r="AV458">
        <f>IFERROR(INDEX(PP_Grid[#Data],$DE458,45),0)</f>
        <v/>
      </c>
      <c r="AW458">
        <f>IFERROR(INDEX(PP_Grid[#Data],$DE458,46),0)</f>
        <v/>
      </c>
      <c r="AX458">
        <f>IFERROR(INDEX(PP_Grid[#Data],$DE458,47),0)</f>
        <v/>
      </c>
      <c r="AY458">
        <f>IFERROR(INDEX(PP_Grid[#Data],$DE458,48),0)</f>
        <v/>
      </c>
      <c r="AZ458">
        <f>IFERROR(INDEX(PP_Grid[#Data],$DE458,49),0)</f>
        <v/>
      </c>
      <c r="BA458">
        <f>IFERROR(INDEX(PP_Grid[#Data],$DE458,50),0)</f>
        <v/>
      </c>
      <c r="BB458">
        <f>IFERROR(INDEX(PP_Grid[#Data],$DE458,51),0)</f>
        <v/>
      </c>
      <c r="BC458">
        <f>IFERROR(INDEX(PP_Grid[#Data],$DE458,52),0)</f>
        <v/>
      </c>
      <c r="BD458">
        <f>IFERROR(INDEX(PP_Grid[#Data],$DE458,53),0)</f>
        <v/>
      </c>
      <c r="BE458">
        <f>IFERROR(INDEX(PP_Grid[#Data],$DE458,54),0)</f>
        <v/>
      </c>
      <c r="BF458">
        <f>IFERROR(INDEX(PP_Grid[#Data],$DE458,55),0)</f>
        <v/>
      </c>
      <c r="BG458">
        <f>IFERROR(INDEX(PP_Grid[#Data],$DE458,56),0)</f>
        <v/>
      </c>
      <c r="BH458">
        <f>IFERROR(INDEX(PP_Grid[#Data],$DE458,57),0)</f>
        <v/>
      </c>
      <c r="BI458">
        <f>IFERROR(INDEX(PP_Grid[#Data],$DE458,58),0)</f>
        <v/>
      </c>
      <c r="BJ458">
        <f>IFERROR(INDEX(PP_Grid[#Data],$DE458,59),0)</f>
        <v/>
      </c>
      <c r="BK458">
        <f>IFERROR(INDEX(PP_Grid[#Data],$DE458,60),0)</f>
        <v/>
      </c>
      <c r="BL458">
        <f>IFERROR(INDEX(PP_Grid[#Data],$DE458,61),0)</f>
        <v/>
      </c>
      <c r="BM458">
        <f>IFERROR(INDEX(PP_Grid[#Data],$DE458,62),0)</f>
        <v/>
      </c>
      <c r="BN458">
        <f>IFERROR(INDEX(PP_Grid[#Data],$DE458,63),0)</f>
        <v/>
      </c>
      <c r="BO458">
        <f>IFERROR(INDEX(PP_Grid[#Data],$DE458,64),0)</f>
        <v/>
      </c>
      <c r="BP458">
        <f>IFERROR(INDEX(PP_Grid[#Data],$DE458,65),0)</f>
        <v/>
      </c>
      <c r="BQ458">
        <f>IFERROR(INDEX(PP_Grid[#Data],$DE458,66),0)</f>
        <v/>
      </c>
      <c r="BR458">
        <f>IFERROR(INDEX(PP_Grid[#Data],$DE458,67),0)</f>
        <v/>
      </c>
      <c r="BS458">
        <f>IFERROR(INDEX(PP_Grid[#Data],$DE458,68),0)</f>
        <v/>
      </c>
      <c r="BT458">
        <f>IFERROR(INDEX(PP_Grid[#Data],$DE458,69),0)</f>
        <v/>
      </c>
      <c r="BU458">
        <f>IFERROR(INDEX(PP_Grid[#Data],$DE458,70),0)</f>
        <v/>
      </c>
      <c r="BV458">
        <f>IFERROR(INDEX(PP_Grid[#Data],$DE458,71),0)</f>
        <v/>
      </c>
      <c r="BW458">
        <f>IFERROR(INDEX(PP_Grid[#Data],$DE458,72),0)</f>
        <v/>
      </c>
      <c r="BX458">
        <f>IFERROR(INDEX(PP_Grid[#Data],$DE458,73),0)</f>
        <v/>
      </c>
      <c r="BY458">
        <f>IFERROR(INDEX(PP_Grid[#Data],$DE458,74),0)</f>
        <v/>
      </c>
      <c r="BZ458">
        <f>IFERROR(INDEX(PP_Grid[#Data],$DE458,75),0)</f>
        <v/>
      </c>
      <c r="CA458">
        <f>IFERROR(INDEX(PP_Grid[#Data],$DE458,76),0)</f>
        <v/>
      </c>
      <c r="CB458">
        <f>IFERROR(INDEX(PP_Grid[#Data],$DE458,77),0)</f>
        <v/>
      </c>
      <c r="CC458">
        <f>IFERROR(INDEX(PP_Grid[#Data],$DE458,78),0)</f>
        <v/>
      </c>
      <c r="CD458">
        <f>IFERROR(INDEX(PP_Grid[#Data],$DE458,79),0)</f>
        <v/>
      </c>
      <c r="CE458">
        <f>IFERROR(INDEX(PP_Grid[#Data],$DE458,80),0)</f>
        <v/>
      </c>
      <c r="CF458">
        <f>IFERROR(INDEX(PP_Grid[#Data],$DE458,81),0)</f>
        <v/>
      </c>
      <c r="CG458">
        <f>IFERROR(INDEX(PP_Grid[#Data],$DE458,82),0)</f>
        <v/>
      </c>
      <c r="CH458">
        <f>IFERROR(INDEX(PP_Grid[#Data],$DE458,83),0)</f>
        <v/>
      </c>
      <c r="CI458">
        <f>IFERROR(INDEX(PP_Grid[#Data],$DE458,84),0)</f>
        <v/>
      </c>
      <c r="CJ458">
        <f>IFERROR(INDEX(PP_Grid[#Data],$DE458,85),0)</f>
        <v/>
      </c>
      <c r="CK458">
        <f>IFERROR(INDEX(PP_Grid[#Data],$DE458,86),0)</f>
        <v/>
      </c>
      <c r="CL458">
        <f>IFERROR(INDEX(PP_Grid[#Data],$DE458,87),0)</f>
        <v/>
      </c>
      <c r="CM458">
        <f>IFERROR(INDEX(PP_Grid[#Data],$DE458,88),0)</f>
        <v/>
      </c>
      <c r="CN458">
        <f>IFERROR(INDEX(PP_Grid[#Data],$DE458,89),0)</f>
        <v/>
      </c>
      <c r="CO458">
        <f>IFERROR(INDEX(PP_Grid[#Data],$DE458,90),0)</f>
        <v/>
      </c>
      <c r="CP458">
        <f>IFERROR(INDEX(PP_Grid[#Data],$DE458,91),0)</f>
        <v/>
      </c>
      <c r="CQ458">
        <f>IFERROR(INDEX(PP_Grid[#Data],$DE458,92),0)</f>
        <v/>
      </c>
      <c r="CR458">
        <f>IFERROR(INDEX(PP_Grid[#Data],$DE458,93),0)</f>
        <v/>
      </c>
      <c r="CS458">
        <f>IFERROR(INDEX(PP_Grid[#Data],$DE458,94),0)</f>
        <v/>
      </c>
      <c r="CT458">
        <f>IFERROR(INDEX(PP_Grid[#Data],$DE458,95),0)</f>
        <v/>
      </c>
      <c r="CU458">
        <f>IFERROR(INDEX(PP_Grid[#Data],$DE458,96),0)</f>
        <v/>
      </c>
      <c r="CV458">
        <f>IFERROR(INDEX(PP_Grid[#Data],$DE458,97),0)</f>
        <v/>
      </c>
      <c r="CW458">
        <f>IFERROR(INDEX(PP_Grid[#Data],$DE458,98),0)</f>
        <v/>
      </c>
      <c r="CX458">
        <f>IFERROR(INDEX(PP_Grid[#Data],$DE458,99),0)</f>
        <v/>
      </c>
      <c r="CY458">
        <f>IFERROR(INDEX(PP_Grid[#Data],$DE458,100),0)</f>
        <v/>
      </c>
      <c r="CZ458">
        <f>IFERROR(INDEX(PP_Grid[#Data],$DE458,101),0)</f>
        <v/>
      </c>
      <c r="DA458">
        <f>IFERROR(INDEX(PP_Grid[#Data],$DE458,102),0)</f>
        <v/>
      </c>
      <c r="DB458">
        <f>IFERROR(INDEX(PP_Grid[#Data],$DE458,103),0)</f>
        <v/>
      </c>
      <c r="DC458">
        <f>IFERROR(INDEX(PP_Grid[#Data],$DE458,104),0)</f>
        <v/>
      </c>
      <c r="DD458">
        <f>IFERROR(INDEX(PP_Grid[#Data],$DE458,105),0)</f>
        <v/>
      </c>
      <c r="DE458" s="7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SUMIFS(M_BOM[RM_Qty_Per_Batch],M_BOM[Intermediate],$B458,M_BOM[RM_Code],$A325)</f>
        <v/>
      </c>
      <c r="D459">
        <f>IFERROR(INDEX(E459:DD459,$F$1),"")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  <c r="DD459">
        <f>$C459*DD458</f>
        <v/>
      </c>
    </row>
    <row r="460">
      <c r="B460" t="inlineStr">
        <is>
          <t>VSP-607</t>
        </is>
      </c>
      <c r="C460" t="inlineStr">
        <is>
          <t>No. of batches</t>
        </is>
      </c>
      <c r="D460">
        <f>IFERROR(INDEX(E460:DD460,$F$1),"")</f>
        <v/>
      </c>
      <c r="E460">
        <f>IFERROR(INDEX(PP_Grid[#Data],$DE460,2),0)</f>
        <v/>
      </c>
      <c r="F460">
        <f>IFERROR(INDEX(PP_Grid[#Data],$DE460,3),0)</f>
        <v/>
      </c>
      <c r="G460">
        <f>IFERROR(INDEX(PP_Grid[#Data],$DE460,4),0)</f>
        <v/>
      </c>
      <c r="H460">
        <f>IFERROR(INDEX(PP_Grid[#Data],$DE460,5),0)</f>
        <v/>
      </c>
      <c r="I460">
        <f>IFERROR(INDEX(PP_Grid[#Data],$DE460,6),0)</f>
        <v/>
      </c>
      <c r="J460">
        <f>IFERROR(INDEX(PP_Grid[#Data],$DE460,7),0)</f>
        <v/>
      </c>
      <c r="K460">
        <f>IFERROR(INDEX(PP_Grid[#Data],$DE460,8),0)</f>
        <v/>
      </c>
      <c r="L460">
        <f>IFERROR(INDEX(PP_Grid[#Data],$DE460,9),0)</f>
        <v/>
      </c>
      <c r="M460">
        <f>IFERROR(INDEX(PP_Grid[#Data],$DE460,10),0)</f>
        <v/>
      </c>
      <c r="N460">
        <f>IFERROR(INDEX(PP_Grid[#Data],$DE460,11),0)</f>
        <v/>
      </c>
      <c r="O460">
        <f>IFERROR(INDEX(PP_Grid[#Data],$DE460,12),0)</f>
        <v/>
      </c>
      <c r="P460">
        <f>IFERROR(INDEX(PP_Grid[#Data],$DE460,13),0)</f>
        <v/>
      </c>
      <c r="Q460">
        <f>IFERROR(INDEX(PP_Grid[#Data],$DE460,14),0)</f>
        <v/>
      </c>
      <c r="R460">
        <f>IFERROR(INDEX(PP_Grid[#Data],$DE460,15),0)</f>
        <v/>
      </c>
      <c r="S460">
        <f>IFERROR(INDEX(PP_Grid[#Data],$DE460,16),0)</f>
        <v/>
      </c>
      <c r="T460">
        <f>IFERROR(INDEX(PP_Grid[#Data],$DE460,17),0)</f>
        <v/>
      </c>
      <c r="U460">
        <f>IFERROR(INDEX(PP_Grid[#Data],$DE460,18),0)</f>
        <v/>
      </c>
      <c r="V460">
        <f>IFERROR(INDEX(PP_Grid[#Data],$DE460,19),0)</f>
        <v/>
      </c>
      <c r="W460">
        <f>IFERROR(INDEX(PP_Grid[#Data],$DE460,20),0)</f>
        <v/>
      </c>
      <c r="X460">
        <f>IFERROR(INDEX(PP_Grid[#Data],$DE460,21),0)</f>
        <v/>
      </c>
      <c r="Y460">
        <f>IFERROR(INDEX(PP_Grid[#Data],$DE460,22),0)</f>
        <v/>
      </c>
      <c r="Z460">
        <f>IFERROR(INDEX(PP_Grid[#Data],$DE460,23),0)</f>
        <v/>
      </c>
      <c r="AA460">
        <f>IFERROR(INDEX(PP_Grid[#Data],$DE460,24),0)</f>
        <v/>
      </c>
      <c r="AB460">
        <f>IFERROR(INDEX(PP_Grid[#Data],$DE460,25),0)</f>
        <v/>
      </c>
      <c r="AC460">
        <f>IFERROR(INDEX(PP_Grid[#Data],$DE460,26),0)</f>
        <v/>
      </c>
      <c r="AD460">
        <f>IFERROR(INDEX(PP_Grid[#Data],$DE460,27),0)</f>
        <v/>
      </c>
      <c r="AE460">
        <f>IFERROR(INDEX(PP_Grid[#Data],$DE460,28),0)</f>
        <v/>
      </c>
      <c r="AF460">
        <f>IFERROR(INDEX(PP_Grid[#Data],$DE460,29),0)</f>
        <v/>
      </c>
      <c r="AG460">
        <f>IFERROR(INDEX(PP_Grid[#Data],$DE460,30),0)</f>
        <v/>
      </c>
      <c r="AH460">
        <f>IFERROR(INDEX(PP_Grid[#Data],$DE460,31),0)</f>
        <v/>
      </c>
      <c r="AI460">
        <f>IFERROR(INDEX(PP_Grid[#Data],$DE460,32),0)</f>
        <v/>
      </c>
      <c r="AJ460">
        <f>IFERROR(INDEX(PP_Grid[#Data],$DE460,33),0)</f>
        <v/>
      </c>
      <c r="AK460">
        <f>IFERROR(INDEX(PP_Grid[#Data],$DE460,34),0)</f>
        <v/>
      </c>
      <c r="AL460">
        <f>IFERROR(INDEX(PP_Grid[#Data],$DE460,35),0)</f>
        <v/>
      </c>
      <c r="AM460">
        <f>IFERROR(INDEX(PP_Grid[#Data],$DE460,36),0)</f>
        <v/>
      </c>
      <c r="AN460">
        <f>IFERROR(INDEX(PP_Grid[#Data],$DE460,37),0)</f>
        <v/>
      </c>
      <c r="AO460">
        <f>IFERROR(INDEX(PP_Grid[#Data],$DE460,38),0)</f>
        <v/>
      </c>
      <c r="AP460">
        <f>IFERROR(INDEX(PP_Grid[#Data],$DE460,39),0)</f>
        <v/>
      </c>
      <c r="AQ460">
        <f>IFERROR(INDEX(PP_Grid[#Data],$DE460,40),0)</f>
        <v/>
      </c>
      <c r="AR460">
        <f>IFERROR(INDEX(PP_Grid[#Data],$DE460,41),0)</f>
        <v/>
      </c>
      <c r="AS460">
        <f>IFERROR(INDEX(PP_Grid[#Data],$DE460,42),0)</f>
        <v/>
      </c>
      <c r="AT460">
        <f>IFERROR(INDEX(PP_Grid[#Data],$DE460,43),0)</f>
        <v/>
      </c>
      <c r="AU460">
        <f>IFERROR(INDEX(PP_Grid[#Data],$DE460,44),0)</f>
        <v/>
      </c>
      <c r="AV460">
        <f>IFERROR(INDEX(PP_Grid[#Data],$DE460,45),0)</f>
        <v/>
      </c>
      <c r="AW460">
        <f>IFERROR(INDEX(PP_Grid[#Data],$DE460,46),0)</f>
        <v/>
      </c>
      <c r="AX460">
        <f>IFERROR(INDEX(PP_Grid[#Data],$DE460,47),0)</f>
        <v/>
      </c>
      <c r="AY460">
        <f>IFERROR(INDEX(PP_Grid[#Data],$DE460,48),0)</f>
        <v/>
      </c>
      <c r="AZ460">
        <f>IFERROR(INDEX(PP_Grid[#Data],$DE460,49),0)</f>
        <v/>
      </c>
      <c r="BA460">
        <f>IFERROR(INDEX(PP_Grid[#Data],$DE460,50),0)</f>
        <v/>
      </c>
      <c r="BB460">
        <f>IFERROR(INDEX(PP_Grid[#Data],$DE460,51),0)</f>
        <v/>
      </c>
      <c r="BC460">
        <f>IFERROR(INDEX(PP_Grid[#Data],$DE460,52),0)</f>
        <v/>
      </c>
      <c r="BD460">
        <f>IFERROR(INDEX(PP_Grid[#Data],$DE460,53),0)</f>
        <v/>
      </c>
      <c r="BE460">
        <f>IFERROR(INDEX(PP_Grid[#Data],$DE460,54),0)</f>
        <v/>
      </c>
      <c r="BF460">
        <f>IFERROR(INDEX(PP_Grid[#Data],$DE460,55),0)</f>
        <v/>
      </c>
      <c r="BG460">
        <f>IFERROR(INDEX(PP_Grid[#Data],$DE460,56),0)</f>
        <v/>
      </c>
      <c r="BH460">
        <f>IFERROR(INDEX(PP_Grid[#Data],$DE460,57),0)</f>
        <v/>
      </c>
      <c r="BI460">
        <f>IFERROR(INDEX(PP_Grid[#Data],$DE460,58),0)</f>
        <v/>
      </c>
      <c r="BJ460">
        <f>IFERROR(INDEX(PP_Grid[#Data],$DE460,59),0)</f>
        <v/>
      </c>
      <c r="BK460">
        <f>IFERROR(INDEX(PP_Grid[#Data],$DE460,60),0)</f>
        <v/>
      </c>
      <c r="BL460">
        <f>IFERROR(INDEX(PP_Grid[#Data],$DE460,61),0)</f>
        <v/>
      </c>
      <c r="BM460">
        <f>IFERROR(INDEX(PP_Grid[#Data],$DE460,62),0)</f>
        <v/>
      </c>
      <c r="BN460">
        <f>IFERROR(INDEX(PP_Grid[#Data],$DE460,63),0)</f>
        <v/>
      </c>
      <c r="BO460">
        <f>IFERROR(INDEX(PP_Grid[#Data],$DE460,64),0)</f>
        <v/>
      </c>
      <c r="BP460">
        <f>IFERROR(INDEX(PP_Grid[#Data],$DE460,65),0)</f>
        <v/>
      </c>
      <c r="BQ460">
        <f>IFERROR(INDEX(PP_Grid[#Data],$DE460,66),0)</f>
        <v/>
      </c>
      <c r="BR460">
        <f>IFERROR(INDEX(PP_Grid[#Data],$DE460,67),0)</f>
        <v/>
      </c>
      <c r="BS460">
        <f>IFERROR(INDEX(PP_Grid[#Data],$DE460,68),0)</f>
        <v/>
      </c>
      <c r="BT460">
        <f>IFERROR(INDEX(PP_Grid[#Data],$DE460,69),0)</f>
        <v/>
      </c>
      <c r="BU460">
        <f>IFERROR(INDEX(PP_Grid[#Data],$DE460,70),0)</f>
        <v/>
      </c>
      <c r="BV460">
        <f>IFERROR(INDEX(PP_Grid[#Data],$DE460,71),0)</f>
        <v/>
      </c>
      <c r="BW460">
        <f>IFERROR(INDEX(PP_Grid[#Data],$DE460,72),0)</f>
        <v/>
      </c>
      <c r="BX460">
        <f>IFERROR(INDEX(PP_Grid[#Data],$DE460,73),0)</f>
        <v/>
      </c>
      <c r="BY460">
        <f>IFERROR(INDEX(PP_Grid[#Data],$DE460,74),0)</f>
        <v/>
      </c>
      <c r="BZ460">
        <f>IFERROR(INDEX(PP_Grid[#Data],$DE460,75),0)</f>
        <v/>
      </c>
      <c r="CA460">
        <f>IFERROR(INDEX(PP_Grid[#Data],$DE460,76),0)</f>
        <v/>
      </c>
      <c r="CB460">
        <f>IFERROR(INDEX(PP_Grid[#Data],$DE460,77),0)</f>
        <v/>
      </c>
      <c r="CC460">
        <f>IFERROR(INDEX(PP_Grid[#Data],$DE460,78),0)</f>
        <v/>
      </c>
      <c r="CD460">
        <f>IFERROR(INDEX(PP_Grid[#Data],$DE460,79),0)</f>
        <v/>
      </c>
      <c r="CE460">
        <f>IFERROR(INDEX(PP_Grid[#Data],$DE460,80),0)</f>
        <v/>
      </c>
      <c r="CF460">
        <f>IFERROR(INDEX(PP_Grid[#Data],$DE460,81),0)</f>
        <v/>
      </c>
      <c r="CG460">
        <f>IFERROR(INDEX(PP_Grid[#Data],$DE460,82),0)</f>
        <v/>
      </c>
      <c r="CH460">
        <f>IFERROR(INDEX(PP_Grid[#Data],$DE460,83),0)</f>
        <v/>
      </c>
      <c r="CI460">
        <f>IFERROR(INDEX(PP_Grid[#Data],$DE460,84),0)</f>
        <v/>
      </c>
      <c r="CJ460">
        <f>IFERROR(INDEX(PP_Grid[#Data],$DE460,85),0)</f>
        <v/>
      </c>
      <c r="CK460">
        <f>IFERROR(INDEX(PP_Grid[#Data],$DE460,86),0)</f>
        <v/>
      </c>
      <c r="CL460">
        <f>IFERROR(INDEX(PP_Grid[#Data],$DE460,87),0)</f>
        <v/>
      </c>
      <c r="CM460">
        <f>IFERROR(INDEX(PP_Grid[#Data],$DE460,88),0)</f>
        <v/>
      </c>
      <c r="CN460">
        <f>IFERROR(INDEX(PP_Grid[#Data],$DE460,89),0)</f>
        <v/>
      </c>
      <c r="CO460">
        <f>IFERROR(INDEX(PP_Grid[#Data],$DE460,90),0)</f>
        <v/>
      </c>
      <c r="CP460">
        <f>IFERROR(INDEX(PP_Grid[#Data],$DE460,91),0)</f>
        <v/>
      </c>
      <c r="CQ460">
        <f>IFERROR(INDEX(PP_Grid[#Data],$DE460,92),0)</f>
        <v/>
      </c>
      <c r="CR460">
        <f>IFERROR(INDEX(PP_Grid[#Data],$DE460,93),0)</f>
        <v/>
      </c>
      <c r="CS460">
        <f>IFERROR(INDEX(PP_Grid[#Data],$DE460,94),0)</f>
        <v/>
      </c>
      <c r="CT460">
        <f>IFERROR(INDEX(PP_Grid[#Data],$DE460,95),0)</f>
        <v/>
      </c>
      <c r="CU460">
        <f>IFERROR(INDEX(PP_Grid[#Data],$DE460,96),0)</f>
        <v/>
      </c>
      <c r="CV460">
        <f>IFERROR(INDEX(PP_Grid[#Data],$DE460,97),0)</f>
        <v/>
      </c>
      <c r="CW460">
        <f>IFERROR(INDEX(PP_Grid[#Data],$DE460,98),0)</f>
        <v/>
      </c>
      <c r="CX460">
        <f>IFERROR(INDEX(PP_Grid[#Data],$DE460,99),0)</f>
        <v/>
      </c>
      <c r="CY460">
        <f>IFERROR(INDEX(PP_Grid[#Data],$DE460,100),0)</f>
        <v/>
      </c>
      <c r="CZ460">
        <f>IFERROR(INDEX(PP_Grid[#Data],$DE460,101),0)</f>
        <v/>
      </c>
      <c r="DA460">
        <f>IFERROR(INDEX(PP_Grid[#Data],$DE460,102),0)</f>
        <v/>
      </c>
      <c r="DB460">
        <f>IFERROR(INDEX(PP_Grid[#Data],$DE460,103),0)</f>
        <v/>
      </c>
      <c r="DC460">
        <f>IFERROR(INDEX(PP_Grid[#Data],$DE460,104),0)</f>
        <v/>
      </c>
      <c r="DD460">
        <f>IFERROR(INDEX(PP_Grid[#Data],$DE460,105),0)</f>
        <v/>
      </c>
      <c r="DE460" s="7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SUMIFS(M_BOM[RM_Qty_Per_Batch],M_BOM[Intermediate],$B460,M_BOM[RM_Code],$A325)</f>
        <v/>
      </c>
      <c r="D461">
        <f>IFERROR(INDEX(E461:DD461,$F$1),"")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  <c r="DD461">
        <f>$C461*DD460</f>
        <v/>
      </c>
    </row>
    <row r="462">
      <c r="B462" t="inlineStr">
        <is>
          <t>VSP-738</t>
        </is>
      </c>
      <c r="C462" t="inlineStr">
        <is>
          <t>No. of batches</t>
        </is>
      </c>
      <c r="D462">
        <f>IFERROR(INDEX(E462:DD462,$F$1),"")</f>
        <v/>
      </c>
      <c r="E462">
        <f>IFERROR(INDEX(PP_Grid[#Data],$DE462,2),0)</f>
        <v/>
      </c>
      <c r="F462">
        <f>IFERROR(INDEX(PP_Grid[#Data],$DE462,3),0)</f>
        <v/>
      </c>
      <c r="G462">
        <f>IFERROR(INDEX(PP_Grid[#Data],$DE462,4),0)</f>
        <v/>
      </c>
      <c r="H462">
        <f>IFERROR(INDEX(PP_Grid[#Data],$DE462,5),0)</f>
        <v/>
      </c>
      <c r="I462">
        <f>IFERROR(INDEX(PP_Grid[#Data],$DE462,6),0)</f>
        <v/>
      </c>
      <c r="J462">
        <f>IFERROR(INDEX(PP_Grid[#Data],$DE462,7),0)</f>
        <v/>
      </c>
      <c r="K462">
        <f>IFERROR(INDEX(PP_Grid[#Data],$DE462,8),0)</f>
        <v/>
      </c>
      <c r="L462">
        <f>IFERROR(INDEX(PP_Grid[#Data],$DE462,9),0)</f>
        <v/>
      </c>
      <c r="M462">
        <f>IFERROR(INDEX(PP_Grid[#Data],$DE462,10),0)</f>
        <v/>
      </c>
      <c r="N462">
        <f>IFERROR(INDEX(PP_Grid[#Data],$DE462,11),0)</f>
        <v/>
      </c>
      <c r="O462">
        <f>IFERROR(INDEX(PP_Grid[#Data],$DE462,12),0)</f>
        <v/>
      </c>
      <c r="P462">
        <f>IFERROR(INDEX(PP_Grid[#Data],$DE462,13),0)</f>
        <v/>
      </c>
      <c r="Q462">
        <f>IFERROR(INDEX(PP_Grid[#Data],$DE462,14),0)</f>
        <v/>
      </c>
      <c r="R462">
        <f>IFERROR(INDEX(PP_Grid[#Data],$DE462,15),0)</f>
        <v/>
      </c>
      <c r="S462">
        <f>IFERROR(INDEX(PP_Grid[#Data],$DE462,16),0)</f>
        <v/>
      </c>
      <c r="T462">
        <f>IFERROR(INDEX(PP_Grid[#Data],$DE462,17),0)</f>
        <v/>
      </c>
      <c r="U462">
        <f>IFERROR(INDEX(PP_Grid[#Data],$DE462,18),0)</f>
        <v/>
      </c>
      <c r="V462">
        <f>IFERROR(INDEX(PP_Grid[#Data],$DE462,19),0)</f>
        <v/>
      </c>
      <c r="W462">
        <f>IFERROR(INDEX(PP_Grid[#Data],$DE462,20),0)</f>
        <v/>
      </c>
      <c r="X462">
        <f>IFERROR(INDEX(PP_Grid[#Data],$DE462,21),0)</f>
        <v/>
      </c>
      <c r="Y462">
        <f>IFERROR(INDEX(PP_Grid[#Data],$DE462,22),0)</f>
        <v/>
      </c>
      <c r="Z462">
        <f>IFERROR(INDEX(PP_Grid[#Data],$DE462,23),0)</f>
        <v/>
      </c>
      <c r="AA462">
        <f>IFERROR(INDEX(PP_Grid[#Data],$DE462,24),0)</f>
        <v/>
      </c>
      <c r="AB462">
        <f>IFERROR(INDEX(PP_Grid[#Data],$DE462,25),0)</f>
        <v/>
      </c>
      <c r="AC462">
        <f>IFERROR(INDEX(PP_Grid[#Data],$DE462,26),0)</f>
        <v/>
      </c>
      <c r="AD462">
        <f>IFERROR(INDEX(PP_Grid[#Data],$DE462,27),0)</f>
        <v/>
      </c>
      <c r="AE462">
        <f>IFERROR(INDEX(PP_Grid[#Data],$DE462,28),0)</f>
        <v/>
      </c>
      <c r="AF462">
        <f>IFERROR(INDEX(PP_Grid[#Data],$DE462,29),0)</f>
        <v/>
      </c>
      <c r="AG462">
        <f>IFERROR(INDEX(PP_Grid[#Data],$DE462,30),0)</f>
        <v/>
      </c>
      <c r="AH462">
        <f>IFERROR(INDEX(PP_Grid[#Data],$DE462,31),0)</f>
        <v/>
      </c>
      <c r="AI462">
        <f>IFERROR(INDEX(PP_Grid[#Data],$DE462,32),0)</f>
        <v/>
      </c>
      <c r="AJ462">
        <f>IFERROR(INDEX(PP_Grid[#Data],$DE462,33),0)</f>
        <v/>
      </c>
      <c r="AK462">
        <f>IFERROR(INDEX(PP_Grid[#Data],$DE462,34),0)</f>
        <v/>
      </c>
      <c r="AL462">
        <f>IFERROR(INDEX(PP_Grid[#Data],$DE462,35),0)</f>
        <v/>
      </c>
      <c r="AM462">
        <f>IFERROR(INDEX(PP_Grid[#Data],$DE462,36),0)</f>
        <v/>
      </c>
      <c r="AN462">
        <f>IFERROR(INDEX(PP_Grid[#Data],$DE462,37),0)</f>
        <v/>
      </c>
      <c r="AO462">
        <f>IFERROR(INDEX(PP_Grid[#Data],$DE462,38),0)</f>
        <v/>
      </c>
      <c r="AP462">
        <f>IFERROR(INDEX(PP_Grid[#Data],$DE462,39),0)</f>
        <v/>
      </c>
      <c r="AQ462">
        <f>IFERROR(INDEX(PP_Grid[#Data],$DE462,40),0)</f>
        <v/>
      </c>
      <c r="AR462">
        <f>IFERROR(INDEX(PP_Grid[#Data],$DE462,41),0)</f>
        <v/>
      </c>
      <c r="AS462">
        <f>IFERROR(INDEX(PP_Grid[#Data],$DE462,42),0)</f>
        <v/>
      </c>
      <c r="AT462">
        <f>IFERROR(INDEX(PP_Grid[#Data],$DE462,43),0)</f>
        <v/>
      </c>
      <c r="AU462">
        <f>IFERROR(INDEX(PP_Grid[#Data],$DE462,44),0)</f>
        <v/>
      </c>
      <c r="AV462">
        <f>IFERROR(INDEX(PP_Grid[#Data],$DE462,45),0)</f>
        <v/>
      </c>
      <c r="AW462">
        <f>IFERROR(INDEX(PP_Grid[#Data],$DE462,46),0)</f>
        <v/>
      </c>
      <c r="AX462">
        <f>IFERROR(INDEX(PP_Grid[#Data],$DE462,47),0)</f>
        <v/>
      </c>
      <c r="AY462">
        <f>IFERROR(INDEX(PP_Grid[#Data],$DE462,48),0)</f>
        <v/>
      </c>
      <c r="AZ462">
        <f>IFERROR(INDEX(PP_Grid[#Data],$DE462,49),0)</f>
        <v/>
      </c>
      <c r="BA462">
        <f>IFERROR(INDEX(PP_Grid[#Data],$DE462,50),0)</f>
        <v/>
      </c>
      <c r="BB462">
        <f>IFERROR(INDEX(PP_Grid[#Data],$DE462,51),0)</f>
        <v/>
      </c>
      <c r="BC462">
        <f>IFERROR(INDEX(PP_Grid[#Data],$DE462,52),0)</f>
        <v/>
      </c>
      <c r="BD462">
        <f>IFERROR(INDEX(PP_Grid[#Data],$DE462,53),0)</f>
        <v/>
      </c>
      <c r="BE462">
        <f>IFERROR(INDEX(PP_Grid[#Data],$DE462,54),0)</f>
        <v/>
      </c>
      <c r="BF462">
        <f>IFERROR(INDEX(PP_Grid[#Data],$DE462,55),0)</f>
        <v/>
      </c>
      <c r="BG462">
        <f>IFERROR(INDEX(PP_Grid[#Data],$DE462,56),0)</f>
        <v/>
      </c>
      <c r="BH462">
        <f>IFERROR(INDEX(PP_Grid[#Data],$DE462,57),0)</f>
        <v/>
      </c>
      <c r="BI462">
        <f>IFERROR(INDEX(PP_Grid[#Data],$DE462,58),0)</f>
        <v/>
      </c>
      <c r="BJ462">
        <f>IFERROR(INDEX(PP_Grid[#Data],$DE462,59),0)</f>
        <v/>
      </c>
      <c r="BK462">
        <f>IFERROR(INDEX(PP_Grid[#Data],$DE462,60),0)</f>
        <v/>
      </c>
      <c r="BL462">
        <f>IFERROR(INDEX(PP_Grid[#Data],$DE462,61),0)</f>
        <v/>
      </c>
      <c r="BM462">
        <f>IFERROR(INDEX(PP_Grid[#Data],$DE462,62),0)</f>
        <v/>
      </c>
      <c r="BN462">
        <f>IFERROR(INDEX(PP_Grid[#Data],$DE462,63),0)</f>
        <v/>
      </c>
      <c r="BO462">
        <f>IFERROR(INDEX(PP_Grid[#Data],$DE462,64),0)</f>
        <v/>
      </c>
      <c r="BP462">
        <f>IFERROR(INDEX(PP_Grid[#Data],$DE462,65),0)</f>
        <v/>
      </c>
      <c r="BQ462">
        <f>IFERROR(INDEX(PP_Grid[#Data],$DE462,66),0)</f>
        <v/>
      </c>
      <c r="BR462">
        <f>IFERROR(INDEX(PP_Grid[#Data],$DE462,67),0)</f>
        <v/>
      </c>
      <c r="BS462">
        <f>IFERROR(INDEX(PP_Grid[#Data],$DE462,68),0)</f>
        <v/>
      </c>
      <c r="BT462">
        <f>IFERROR(INDEX(PP_Grid[#Data],$DE462,69),0)</f>
        <v/>
      </c>
      <c r="BU462">
        <f>IFERROR(INDEX(PP_Grid[#Data],$DE462,70),0)</f>
        <v/>
      </c>
      <c r="BV462">
        <f>IFERROR(INDEX(PP_Grid[#Data],$DE462,71),0)</f>
        <v/>
      </c>
      <c r="BW462">
        <f>IFERROR(INDEX(PP_Grid[#Data],$DE462,72),0)</f>
        <v/>
      </c>
      <c r="BX462">
        <f>IFERROR(INDEX(PP_Grid[#Data],$DE462,73),0)</f>
        <v/>
      </c>
      <c r="BY462">
        <f>IFERROR(INDEX(PP_Grid[#Data],$DE462,74),0)</f>
        <v/>
      </c>
      <c r="BZ462">
        <f>IFERROR(INDEX(PP_Grid[#Data],$DE462,75),0)</f>
        <v/>
      </c>
      <c r="CA462">
        <f>IFERROR(INDEX(PP_Grid[#Data],$DE462,76),0)</f>
        <v/>
      </c>
      <c r="CB462">
        <f>IFERROR(INDEX(PP_Grid[#Data],$DE462,77),0)</f>
        <v/>
      </c>
      <c r="CC462">
        <f>IFERROR(INDEX(PP_Grid[#Data],$DE462,78),0)</f>
        <v/>
      </c>
      <c r="CD462">
        <f>IFERROR(INDEX(PP_Grid[#Data],$DE462,79),0)</f>
        <v/>
      </c>
      <c r="CE462">
        <f>IFERROR(INDEX(PP_Grid[#Data],$DE462,80),0)</f>
        <v/>
      </c>
      <c r="CF462">
        <f>IFERROR(INDEX(PP_Grid[#Data],$DE462,81),0)</f>
        <v/>
      </c>
      <c r="CG462">
        <f>IFERROR(INDEX(PP_Grid[#Data],$DE462,82),0)</f>
        <v/>
      </c>
      <c r="CH462">
        <f>IFERROR(INDEX(PP_Grid[#Data],$DE462,83),0)</f>
        <v/>
      </c>
      <c r="CI462">
        <f>IFERROR(INDEX(PP_Grid[#Data],$DE462,84),0)</f>
        <v/>
      </c>
      <c r="CJ462">
        <f>IFERROR(INDEX(PP_Grid[#Data],$DE462,85),0)</f>
        <v/>
      </c>
      <c r="CK462">
        <f>IFERROR(INDEX(PP_Grid[#Data],$DE462,86),0)</f>
        <v/>
      </c>
      <c r="CL462">
        <f>IFERROR(INDEX(PP_Grid[#Data],$DE462,87),0)</f>
        <v/>
      </c>
      <c r="CM462">
        <f>IFERROR(INDEX(PP_Grid[#Data],$DE462,88),0)</f>
        <v/>
      </c>
      <c r="CN462">
        <f>IFERROR(INDEX(PP_Grid[#Data],$DE462,89),0)</f>
        <v/>
      </c>
      <c r="CO462">
        <f>IFERROR(INDEX(PP_Grid[#Data],$DE462,90),0)</f>
        <v/>
      </c>
      <c r="CP462">
        <f>IFERROR(INDEX(PP_Grid[#Data],$DE462,91),0)</f>
        <v/>
      </c>
      <c r="CQ462">
        <f>IFERROR(INDEX(PP_Grid[#Data],$DE462,92),0)</f>
        <v/>
      </c>
      <c r="CR462">
        <f>IFERROR(INDEX(PP_Grid[#Data],$DE462,93),0)</f>
        <v/>
      </c>
      <c r="CS462">
        <f>IFERROR(INDEX(PP_Grid[#Data],$DE462,94),0)</f>
        <v/>
      </c>
      <c r="CT462">
        <f>IFERROR(INDEX(PP_Grid[#Data],$DE462,95),0)</f>
        <v/>
      </c>
      <c r="CU462">
        <f>IFERROR(INDEX(PP_Grid[#Data],$DE462,96),0)</f>
        <v/>
      </c>
      <c r="CV462">
        <f>IFERROR(INDEX(PP_Grid[#Data],$DE462,97),0)</f>
        <v/>
      </c>
      <c r="CW462">
        <f>IFERROR(INDEX(PP_Grid[#Data],$DE462,98),0)</f>
        <v/>
      </c>
      <c r="CX462">
        <f>IFERROR(INDEX(PP_Grid[#Data],$DE462,99),0)</f>
        <v/>
      </c>
      <c r="CY462">
        <f>IFERROR(INDEX(PP_Grid[#Data],$DE462,100),0)</f>
        <v/>
      </c>
      <c r="CZ462">
        <f>IFERROR(INDEX(PP_Grid[#Data],$DE462,101),0)</f>
        <v/>
      </c>
      <c r="DA462">
        <f>IFERROR(INDEX(PP_Grid[#Data],$DE462,102),0)</f>
        <v/>
      </c>
      <c r="DB462">
        <f>IFERROR(INDEX(PP_Grid[#Data],$DE462,103),0)</f>
        <v/>
      </c>
      <c r="DC462">
        <f>IFERROR(INDEX(PP_Grid[#Data],$DE462,104),0)</f>
        <v/>
      </c>
      <c r="DD462">
        <f>IFERROR(INDEX(PP_Grid[#Data],$DE462,105),0)</f>
        <v/>
      </c>
      <c r="DE462" s="7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SUMIFS(M_BOM[RM_Qty_Per_Batch],M_BOM[Intermediate],$B462,M_BOM[RM_Code],$A325)</f>
        <v/>
      </c>
      <c r="D463">
        <f>IFERROR(INDEX(E463:DD463,$F$1),"")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  <c r="DD463">
        <f>$C463*DD462</f>
        <v/>
      </c>
    </row>
    <row r="464">
      <c r="B464" t="inlineStr">
        <is>
          <t>VSP-739</t>
        </is>
      </c>
      <c r="C464" t="inlineStr">
        <is>
          <t>No. of batches</t>
        </is>
      </c>
      <c r="D464">
        <f>IFERROR(INDEX(E464:DD464,$F$1),"")</f>
        <v/>
      </c>
      <c r="E464">
        <f>IFERROR(INDEX(PP_Grid[#Data],$DE464,2),0)</f>
        <v/>
      </c>
      <c r="F464">
        <f>IFERROR(INDEX(PP_Grid[#Data],$DE464,3),0)</f>
        <v/>
      </c>
      <c r="G464">
        <f>IFERROR(INDEX(PP_Grid[#Data],$DE464,4),0)</f>
        <v/>
      </c>
      <c r="H464">
        <f>IFERROR(INDEX(PP_Grid[#Data],$DE464,5),0)</f>
        <v/>
      </c>
      <c r="I464">
        <f>IFERROR(INDEX(PP_Grid[#Data],$DE464,6),0)</f>
        <v/>
      </c>
      <c r="J464">
        <f>IFERROR(INDEX(PP_Grid[#Data],$DE464,7),0)</f>
        <v/>
      </c>
      <c r="K464">
        <f>IFERROR(INDEX(PP_Grid[#Data],$DE464,8),0)</f>
        <v/>
      </c>
      <c r="L464">
        <f>IFERROR(INDEX(PP_Grid[#Data],$DE464,9),0)</f>
        <v/>
      </c>
      <c r="M464">
        <f>IFERROR(INDEX(PP_Grid[#Data],$DE464,10),0)</f>
        <v/>
      </c>
      <c r="N464">
        <f>IFERROR(INDEX(PP_Grid[#Data],$DE464,11),0)</f>
        <v/>
      </c>
      <c r="O464">
        <f>IFERROR(INDEX(PP_Grid[#Data],$DE464,12),0)</f>
        <v/>
      </c>
      <c r="P464">
        <f>IFERROR(INDEX(PP_Grid[#Data],$DE464,13),0)</f>
        <v/>
      </c>
      <c r="Q464">
        <f>IFERROR(INDEX(PP_Grid[#Data],$DE464,14),0)</f>
        <v/>
      </c>
      <c r="R464">
        <f>IFERROR(INDEX(PP_Grid[#Data],$DE464,15),0)</f>
        <v/>
      </c>
      <c r="S464">
        <f>IFERROR(INDEX(PP_Grid[#Data],$DE464,16),0)</f>
        <v/>
      </c>
      <c r="T464">
        <f>IFERROR(INDEX(PP_Grid[#Data],$DE464,17),0)</f>
        <v/>
      </c>
      <c r="U464">
        <f>IFERROR(INDEX(PP_Grid[#Data],$DE464,18),0)</f>
        <v/>
      </c>
      <c r="V464">
        <f>IFERROR(INDEX(PP_Grid[#Data],$DE464,19),0)</f>
        <v/>
      </c>
      <c r="W464">
        <f>IFERROR(INDEX(PP_Grid[#Data],$DE464,20),0)</f>
        <v/>
      </c>
      <c r="X464">
        <f>IFERROR(INDEX(PP_Grid[#Data],$DE464,21),0)</f>
        <v/>
      </c>
      <c r="Y464">
        <f>IFERROR(INDEX(PP_Grid[#Data],$DE464,22),0)</f>
        <v/>
      </c>
      <c r="Z464">
        <f>IFERROR(INDEX(PP_Grid[#Data],$DE464,23),0)</f>
        <v/>
      </c>
      <c r="AA464">
        <f>IFERROR(INDEX(PP_Grid[#Data],$DE464,24),0)</f>
        <v/>
      </c>
      <c r="AB464">
        <f>IFERROR(INDEX(PP_Grid[#Data],$DE464,25),0)</f>
        <v/>
      </c>
      <c r="AC464">
        <f>IFERROR(INDEX(PP_Grid[#Data],$DE464,26),0)</f>
        <v/>
      </c>
      <c r="AD464">
        <f>IFERROR(INDEX(PP_Grid[#Data],$DE464,27),0)</f>
        <v/>
      </c>
      <c r="AE464">
        <f>IFERROR(INDEX(PP_Grid[#Data],$DE464,28),0)</f>
        <v/>
      </c>
      <c r="AF464">
        <f>IFERROR(INDEX(PP_Grid[#Data],$DE464,29),0)</f>
        <v/>
      </c>
      <c r="AG464">
        <f>IFERROR(INDEX(PP_Grid[#Data],$DE464,30),0)</f>
        <v/>
      </c>
      <c r="AH464">
        <f>IFERROR(INDEX(PP_Grid[#Data],$DE464,31),0)</f>
        <v/>
      </c>
      <c r="AI464">
        <f>IFERROR(INDEX(PP_Grid[#Data],$DE464,32),0)</f>
        <v/>
      </c>
      <c r="AJ464">
        <f>IFERROR(INDEX(PP_Grid[#Data],$DE464,33),0)</f>
        <v/>
      </c>
      <c r="AK464">
        <f>IFERROR(INDEX(PP_Grid[#Data],$DE464,34),0)</f>
        <v/>
      </c>
      <c r="AL464">
        <f>IFERROR(INDEX(PP_Grid[#Data],$DE464,35),0)</f>
        <v/>
      </c>
      <c r="AM464">
        <f>IFERROR(INDEX(PP_Grid[#Data],$DE464,36),0)</f>
        <v/>
      </c>
      <c r="AN464">
        <f>IFERROR(INDEX(PP_Grid[#Data],$DE464,37),0)</f>
        <v/>
      </c>
      <c r="AO464">
        <f>IFERROR(INDEX(PP_Grid[#Data],$DE464,38),0)</f>
        <v/>
      </c>
      <c r="AP464">
        <f>IFERROR(INDEX(PP_Grid[#Data],$DE464,39),0)</f>
        <v/>
      </c>
      <c r="AQ464">
        <f>IFERROR(INDEX(PP_Grid[#Data],$DE464,40),0)</f>
        <v/>
      </c>
      <c r="AR464">
        <f>IFERROR(INDEX(PP_Grid[#Data],$DE464,41),0)</f>
        <v/>
      </c>
      <c r="AS464">
        <f>IFERROR(INDEX(PP_Grid[#Data],$DE464,42),0)</f>
        <v/>
      </c>
      <c r="AT464">
        <f>IFERROR(INDEX(PP_Grid[#Data],$DE464,43),0)</f>
        <v/>
      </c>
      <c r="AU464">
        <f>IFERROR(INDEX(PP_Grid[#Data],$DE464,44),0)</f>
        <v/>
      </c>
      <c r="AV464">
        <f>IFERROR(INDEX(PP_Grid[#Data],$DE464,45),0)</f>
        <v/>
      </c>
      <c r="AW464">
        <f>IFERROR(INDEX(PP_Grid[#Data],$DE464,46),0)</f>
        <v/>
      </c>
      <c r="AX464">
        <f>IFERROR(INDEX(PP_Grid[#Data],$DE464,47),0)</f>
        <v/>
      </c>
      <c r="AY464">
        <f>IFERROR(INDEX(PP_Grid[#Data],$DE464,48),0)</f>
        <v/>
      </c>
      <c r="AZ464">
        <f>IFERROR(INDEX(PP_Grid[#Data],$DE464,49),0)</f>
        <v/>
      </c>
      <c r="BA464">
        <f>IFERROR(INDEX(PP_Grid[#Data],$DE464,50),0)</f>
        <v/>
      </c>
      <c r="BB464">
        <f>IFERROR(INDEX(PP_Grid[#Data],$DE464,51),0)</f>
        <v/>
      </c>
      <c r="BC464">
        <f>IFERROR(INDEX(PP_Grid[#Data],$DE464,52),0)</f>
        <v/>
      </c>
      <c r="BD464">
        <f>IFERROR(INDEX(PP_Grid[#Data],$DE464,53),0)</f>
        <v/>
      </c>
      <c r="BE464">
        <f>IFERROR(INDEX(PP_Grid[#Data],$DE464,54),0)</f>
        <v/>
      </c>
      <c r="BF464">
        <f>IFERROR(INDEX(PP_Grid[#Data],$DE464,55),0)</f>
        <v/>
      </c>
      <c r="BG464">
        <f>IFERROR(INDEX(PP_Grid[#Data],$DE464,56),0)</f>
        <v/>
      </c>
      <c r="BH464">
        <f>IFERROR(INDEX(PP_Grid[#Data],$DE464,57),0)</f>
        <v/>
      </c>
      <c r="BI464">
        <f>IFERROR(INDEX(PP_Grid[#Data],$DE464,58),0)</f>
        <v/>
      </c>
      <c r="BJ464">
        <f>IFERROR(INDEX(PP_Grid[#Data],$DE464,59),0)</f>
        <v/>
      </c>
      <c r="BK464">
        <f>IFERROR(INDEX(PP_Grid[#Data],$DE464,60),0)</f>
        <v/>
      </c>
      <c r="BL464">
        <f>IFERROR(INDEX(PP_Grid[#Data],$DE464,61),0)</f>
        <v/>
      </c>
      <c r="BM464">
        <f>IFERROR(INDEX(PP_Grid[#Data],$DE464,62),0)</f>
        <v/>
      </c>
      <c r="BN464">
        <f>IFERROR(INDEX(PP_Grid[#Data],$DE464,63),0)</f>
        <v/>
      </c>
      <c r="BO464">
        <f>IFERROR(INDEX(PP_Grid[#Data],$DE464,64),0)</f>
        <v/>
      </c>
      <c r="BP464">
        <f>IFERROR(INDEX(PP_Grid[#Data],$DE464,65),0)</f>
        <v/>
      </c>
      <c r="BQ464">
        <f>IFERROR(INDEX(PP_Grid[#Data],$DE464,66),0)</f>
        <v/>
      </c>
      <c r="BR464">
        <f>IFERROR(INDEX(PP_Grid[#Data],$DE464,67),0)</f>
        <v/>
      </c>
      <c r="BS464">
        <f>IFERROR(INDEX(PP_Grid[#Data],$DE464,68),0)</f>
        <v/>
      </c>
      <c r="BT464">
        <f>IFERROR(INDEX(PP_Grid[#Data],$DE464,69),0)</f>
        <v/>
      </c>
      <c r="BU464">
        <f>IFERROR(INDEX(PP_Grid[#Data],$DE464,70),0)</f>
        <v/>
      </c>
      <c r="BV464">
        <f>IFERROR(INDEX(PP_Grid[#Data],$DE464,71),0)</f>
        <v/>
      </c>
      <c r="BW464">
        <f>IFERROR(INDEX(PP_Grid[#Data],$DE464,72),0)</f>
        <v/>
      </c>
      <c r="BX464">
        <f>IFERROR(INDEX(PP_Grid[#Data],$DE464,73),0)</f>
        <v/>
      </c>
      <c r="BY464">
        <f>IFERROR(INDEX(PP_Grid[#Data],$DE464,74),0)</f>
        <v/>
      </c>
      <c r="BZ464">
        <f>IFERROR(INDEX(PP_Grid[#Data],$DE464,75),0)</f>
        <v/>
      </c>
      <c r="CA464">
        <f>IFERROR(INDEX(PP_Grid[#Data],$DE464,76),0)</f>
        <v/>
      </c>
      <c r="CB464">
        <f>IFERROR(INDEX(PP_Grid[#Data],$DE464,77),0)</f>
        <v/>
      </c>
      <c r="CC464">
        <f>IFERROR(INDEX(PP_Grid[#Data],$DE464,78),0)</f>
        <v/>
      </c>
      <c r="CD464">
        <f>IFERROR(INDEX(PP_Grid[#Data],$DE464,79),0)</f>
        <v/>
      </c>
      <c r="CE464">
        <f>IFERROR(INDEX(PP_Grid[#Data],$DE464,80),0)</f>
        <v/>
      </c>
      <c r="CF464">
        <f>IFERROR(INDEX(PP_Grid[#Data],$DE464,81),0)</f>
        <v/>
      </c>
      <c r="CG464">
        <f>IFERROR(INDEX(PP_Grid[#Data],$DE464,82),0)</f>
        <v/>
      </c>
      <c r="CH464">
        <f>IFERROR(INDEX(PP_Grid[#Data],$DE464,83),0)</f>
        <v/>
      </c>
      <c r="CI464">
        <f>IFERROR(INDEX(PP_Grid[#Data],$DE464,84),0)</f>
        <v/>
      </c>
      <c r="CJ464">
        <f>IFERROR(INDEX(PP_Grid[#Data],$DE464,85),0)</f>
        <v/>
      </c>
      <c r="CK464">
        <f>IFERROR(INDEX(PP_Grid[#Data],$DE464,86),0)</f>
        <v/>
      </c>
      <c r="CL464">
        <f>IFERROR(INDEX(PP_Grid[#Data],$DE464,87),0)</f>
        <v/>
      </c>
      <c r="CM464">
        <f>IFERROR(INDEX(PP_Grid[#Data],$DE464,88),0)</f>
        <v/>
      </c>
      <c r="CN464">
        <f>IFERROR(INDEX(PP_Grid[#Data],$DE464,89),0)</f>
        <v/>
      </c>
      <c r="CO464">
        <f>IFERROR(INDEX(PP_Grid[#Data],$DE464,90),0)</f>
        <v/>
      </c>
      <c r="CP464">
        <f>IFERROR(INDEX(PP_Grid[#Data],$DE464,91),0)</f>
        <v/>
      </c>
      <c r="CQ464">
        <f>IFERROR(INDEX(PP_Grid[#Data],$DE464,92),0)</f>
        <v/>
      </c>
      <c r="CR464">
        <f>IFERROR(INDEX(PP_Grid[#Data],$DE464,93),0)</f>
        <v/>
      </c>
      <c r="CS464">
        <f>IFERROR(INDEX(PP_Grid[#Data],$DE464,94),0)</f>
        <v/>
      </c>
      <c r="CT464">
        <f>IFERROR(INDEX(PP_Grid[#Data],$DE464,95),0)</f>
        <v/>
      </c>
      <c r="CU464">
        <f>IFERROR(INDEX(PP_Grid[#Data],$DE464,96),0)</f>
        <v/>
      </c>
      <c r="CV464">
        <f>IFERROR(INDEX(PP_Grid[#Data],$DE464,97),0)</f>
        <v/>
      </c>
      <c r="CW464">
        <f>IFERROR(INDEX(PP_Grid[#Data],$DE464,98),0)</f>
        <v/>
      </c>
      <c r="CX464">
        <f>IFERROR(INDEX(PP_Grid[#Data],$DE464,99),0)</f>
        <v/>
      </c>
      <c r="CY464">
        <f>IFERROR(INDEX(PP_Grid[#Data],$DE464,100),0)</f>
        <v/>
      </c>
      <c r="CZ464">
        <f>IFERROR(INDEX(PP_Grid[#Data],$DE464,101),0)</f>
        <v/>
      </c>
      <c r="DA464">
        <f>IFERROR(INDEX(PP_Grid[#Data],$DE464,102),0)</f>
        <v/>
      </c>
      <c r="DB464">
        <f>IFERROR(INDEX(PP_Grid[#Data],$DE464,103),0)</f>
        <v/>
      </c>
      <c r="DC464">
        <f>IFERROR(INDEX(PP_Grid[#Data],$DE464,104),0)</f>
        <v/>
      </c>
      <c r="DD464">
        <f>IFERROR(INDEX(PP_Grid[#Data],$DE464,105),0)</f>
        <v/>
      </c>
      <c r="DE464" s="7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SUMIFS(M_BOM[RM_Qty_Per_Batch],M_BOM[Intermediate],$B464,M_BOM[RM_Code],$A325)</f>
        <v/>
      </c>
      <c r="D465">
        <f>IFERROR(INDEX(E465:DD465,$F$1),"")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  <c r="DD465">
        <f>$C465*DD464</f>
        <v/>
      </c>
    </row>
    <row r="466">
      <c r="B466" t="inlineStr">
        <is>
          <t>VSP-740</t>
        </is>
      </c>
      <c r="C466" t="inlineStr">
        <is>
          <t>No. of batches</t>
        </is>
      </c>
      <c r="D466">
        <f>IFERROR(INDEX(E466:DD466,$F$1),"")</f>
        <v/>
      </c>
      <c r="E466">
        <f>IFERROR(INDEX(PP_Grid[#Data],$DE466,2),0)</f>
        <v/>
      </c>
      <c r="F466">
        <f>IFERROR(INDEX(PP_Grid[#Data],$DE466,3),0)</f>
        <v/>
      </c>
      <c r="G466">
        <f>IFERROR(INDEX(PP_Grid[#Data],$DE466,4),0)</f>
        <v/>
      </c>
      <c r="H466">
        <f>IFERROR(INDEX(PP_Grid[#Data],$DE466,5),0)</f>
        <v/>
      </c>
      <c r="I466">
        <f>IFERROR(INDEX(PP_Grid[#Data],$DE466,6),0)</f>
        <v/>
      </c>
      <c r="J466">
        <f>IFERROR(INDEX(PP_Grid[#Data],$DE466,7),0)</f>
        <v/>
      </c>
      <c r="K466">
        <f>IFERROR(INDEX(PP_Grid[#Data],$DE466,8),0)</f>
        <v/>
      </c>
      <c r="L466">
        <f>IFERROR(INDEX(PP_Grid[#Data],$DE466,9),0)</f>
        <v/>
      </c>
      <c r="M466">
        <f>IFERROR(INDEX(PP_Grid[#Data],$DE466,10),0)</f>
        <v/>
      </c>
      <c r="N466">
        <f>IFERROR(INDEX(PP_Grid[#Data],$DE466,11),0)</f>
        <v/>
      </c>
      <c r="O466">
        <f>IFERROR(INDEX(PP_Grid[#Data],$DE466,12),0)</f>
        <v/>
      </c>
      <c r="P466">
        <f>IFERROR(INDEX(PP_Grid[#Data],$DE466,13),0)</f>
        <v/>
      </c>
      <c r="Q466">
        <f>IFERROR(INDEX(PP_Grid[#Data],$DE466,14),0)</f>
        <v/>
      </c>
      <c r="R466">
        <f>IFERROR(INDEX(PP_Grid[#Data],$DE466,15),0)</f>
        <v/>
      </c>
      <c r="S466">
        <f>IFERROR(INDEX(PP_Grid[#Data],$DE466,16),0)</f>
        <v/>
      </c>
      <c r="T466">
        <f>IFERROR(INDEX(PP_Grid[#Data],$DE466,17),0)</f>
        <v/>
      </c>
      <c r="U466">
        <f>IFERROR(INDEX(PP_Grid[#Data],$DE466,18),0)</f>
        <v/>
      </c>
      <c r="V466">
        <f>IFERROR(INDEX(PP_Grid[#Data],$DE466,19),0)</f>
        <v/>
      </c>
      <c r="W466">
        <f>IFERROR(INDEX(PP_Grid[#Data],$DE466,20),0)</f>
        <v/>
      </c>
      <c r="X466">
        <f>IFERROR(INDEX(PP_Grid[#Data],$DE466,21),0)</f>
        <v/>
      </c>
      <c r="Y466">
        <f>IFERROR(INDEX(PP_Grid[#Data],$DE466,22),0)</f>
        <v/>
      </c>
      <c r="Z466">
        <f>IFERROR(INDEX(PP_Grid[#Data],$DE466,23),0)</f>
        <v/>
      </c>
      <c r="AA466">
        <f>IFERROR(INDEX(PP_Grid[#Data],$DE466,24),0)</f>
        <v/>
      </c>
      <c r="AB466">
        <f>IFERROR(INDEX(PP_Grid[#Data],$DE466,25),0)</f>
        <v/>
      </c>
      <c r="AC466">
        <f>IFERROR(INDEX(PP_Grid[#Data],$DE466,26),0)</f>
        <v/>
      </c>
      <c r="AD466">
        <f>IFERROR(INDEX(PP_Grid[#Data],$DE466,27),0)</f>
        <v/>
      </c>
      <c r="AE466">
        <f>IFERROR(INDEX(PP_Grid[#Data],$DE466,28),0)</f>
        <v/>
      </c>
      <c r="AF466">
        <f>IFERROR(INDEX(PP_Grid[#Data],$DE466,29),0)</f>
        <v/>
      </c>
      <c r="AG466">
        <f>IFERROR(INDEX(PP_Grid[#Data],$DE466,30),0)</f>
        <v/>
      </c>
      <c r="AH466">
        <f>IFERROR(INDEX(PP_Grid[#Data],$DE466,31),0)</f>
        <v/>
      </c>
      <c r="AI466">
        <f>IFERROR(INDEX(PP_Grid[#Data],$DE466,32),0)</f>
        <v/>
      </c>
      <c r="AJ466">
        <f>IFERROR(INDEX(PP_Grid[#Data],$DE466,33),0)</f>
        <v/>
      </c>
      <c r="AK466">
        <f>IFERROR(INDEX(PP_Grid[#Data],$DE466,34),0)</f>
        <v/>
      </c>
      <c r="AL466">
        <f>IFERROR(INDEX(PP_Grid[#Data],$DE466,35),0)</f>
        <v/>
      </c>
      <c r="AM466">
        <f>IFERROR(INDEX(PP_Grid[#Data],$DE466,36),0)</f>
        <v/>
      </c>
      <c r="AN466">
        <f>IFERROR(INDEX(PP_Grid[#Data],$DE466,37),0)</f>
        <v/>
      </c>
      <c r="AO466">
        <f>IFERROR(INDEX(PP_Grid[#Data],$DE466,38),0)</f>
        <v/>
      </c>
      <c r="AP466">
        <f>IFERROR(INDEX(PP_Grid[#Data],$DE466,39),0)</f>
        <v/>
      </c>
      <c r="AQ466">
        <f>IFERROR(INDEX(PP_Grid[#Data],$DE466,40),0)</f>
        <v/>
      </c>
      <c r="AR466">
        <f>IFERROR(INDEX(PP_Grid[#Data],$DE466,41),0)</f>
        <v/>
      </c>
      <c r="AS466">
        <f>IFERROR(INDEX(PP_Grid[#Data],$DE466,42),0)</f>
        <v/>
      </c>
      <c r="AT466">
        <f>IFERROR(INDEX(PP_Grid[#Data],$DE466,43),0)</f>
        <v/>
      </c>
      <c r="AU466">
        <f>IFERROR(INDEX(PP_Grid[#Data],$DE466,44),0)</f>
        <v/>
      </c>
      <c r="AV466">
        <f>IFERROR(INDEX(PP_Grid[#Data],$DE466,45),0)</f>
        <v/>
      </c>
      <c r="AW466">
        <f>IFERROR(INDEX(PP_Grid[#Data],$DE466,46),0)</f>
        <v/>
      </c>
      <c r="AX466">
        <f>IFERROR(INDEX(PP_Grid[#Data],$DE466,47),0)</f>
        <v/>
      </c>
      <c r="AY466">
        <f>IFERROR(INDEX(PP_Grid[#Data],$DE466,48),0)</f>
        <v/>
      </c>
      <c r="AZ466">
        <f>IFERROR(INDEX(PP_Grid[#Data],$DE466,49),0)</f>
        <v/>
      </c>
      <c r="BA466">
        <f>IFERROR(INDEX(PP_Grid[#Data],$DE466,50),0)</f>
        <v/>
      </c>
      <c r="BB466">
        <f>IFERROR(INDEX(PP_Grid[#Data],$DE466,51),0)</f>
        <v/>
      </c>
      <c r="BC466">
        <f>IFERROR(INDEX(PP_Grid[#Data],$DE466,52),0)</f>
        <v/>
      </c>
      <c r="BD466">
        <f>IFERROR(INDEX(PP_Grid[#Data],$DE466,53),0)</f>
        <v/>
      </c>
      <c r="BE466">
        <f>IFERROR(INDEX(PP_Grid[#Data],$DE466,54),0)</f>
        <v/>
      </c>
      <c r="BF466">
        <f>IFERROR(INDEX(PP_Grid[#Data],$DE466,55),0)</f>
        <v/>
      </c>
      <c r="BG466">
        <f>IFERROR(INDEX(PP_Grid[#Data],$DE466,56),0)</f>
        <v/>
      </c>
      <c r="BH466">
        <f>IFERROR(INDEX(PP_Grid[#Data],$DE466,57),0)</f>
        <v/>
      </c>
      <c r="BI466">
        <f>IFERROR(INDEX(PP_Grid[#Data],$DE466,58),0)</f>
        <v/>
      </c>
      <c r="BJ466">
        <f>IFERROR(INDEX(PP_Grid[#Data],$DE466,59),0)</f>
        <v/>
      </c>
      <c r="BK466">
        <f>IFERROR(INDEX(PP_Grid[#Data],$DE466,60),0)</f>
        <v/>
      </c>
      <c r="BL466">
        <f>IFERROR(INDEX(PP_Grid[#Data],$DE466,61),0)</f>
        <v/>
      </c>
      <c r="BM466">
        <f>IFERROR(INDEX(PP_Grid[#Data],$DE466,62),0)</f>
        <v/>
      </c>
      <c r="BN466">
        <f>IFERROR(INDEX(PP_Grid[#Data],$DE466,63),0)</f>
        <v/>
      </c>
      <c r="BO466">
        <f>IFERROR(INDEX(PP_Grid[#Data],$DE466,64),0)</f>
        <v/>
      </c>
      <c r="BP466">
        <f>IFERROR(INDEX(PP_Grid[#Data],$DE466,65),0)</f>
        <v/>
      </c>
      <c r="BQ466">
        <f>IFERROR(INDEX(PP_Grid[#Data],$DE466,66),0)</f>
        <v/>
      </c>
      <c r="BR466">
        <f>IFERROR(INDEX(PP_Grid[#Data],$DE466,67),0)</f>
        <v/>
      </c>
      <c r="BS466">
        <f>IFERROR(INDEX(PP_Grid[#Data],$DE466,68),0)</f>
        <v/>
      </c>
      <c r="BT466">
        <f>IFERROR(INDEX(PP_Grid[#Data],$DE466,69),0)</f>
        <v/>
      </c>
      <c r="BU466">
        <f>IFERROR(INDEX(PP_Grid[#Data],$DE466,70),0)</f>
        <v/>
      </c>
      <c r="BV466">
        <f>IFERROR(INDEX(PP_Grid[#Data],$DE466,71),0)</f>
        <v/>
      </c>
      <c r="BW466">
        <f>IFERROR(INDEX(PP_Grid[#Data],$DE466,72),0)</f>
        <v/>
      </c>
      <c r="BX466">
        <f>IFERROR(INDEX(PP_Grid[#Data],$DE466,73),0)</f>
        <v/>
      </c>
      <c r="BY466">
        <f>IFERROR(INDEX(PP_Grid[#Data],$DE466,74),0)</f>
        <v/>
      </c>
      <c r="BZ466">
        <f>IFERROR(INDEX(PP_Grid[#Data],$DE466,75),0)</f>
        <v/>
      </c>
      <c r="CA466">
        <f>IFERROR(INDEX(PP_Grid[#Data],$DE466,76),0)</f>
        <v/>
      </c>
      <c r="CB466">
        <f>IFERROR(INDEX(PP_Grid[#Data],$DE466,77),0)</f>
        <v/>
      </c>
      <c r="CC466">
        <f>IFERROR(INDEX(PP_Grid[#Data],$DE466,78),0)</f>
        <v/>
      </c>
      <c r="CD466">
        <f>IFERROR(INDEX(PP_Grid[#Data],$DE466,79),0)</f>
        <v/>
      </c>
      <c r="CE466">
        <f>IFERROR(INDEX(PP_Grid[#Data],$DE466,80),0)</f>
        <v/>
      </c>
      <c r="CF466">
        <f>IFERROR(INDEX(PP_Grid[#Data],$DE466,81),0)</f>
        <v/>
      </c>
      <c r="CG466">
        <f>IFERROR(INDEX(PP_Grid[#Data],$DE466,82),0)</f>
        <v/>
      </c>
      <c r="CH466">
        <f>IFERROR(INDEX(PP_Grid[#Data],$DE466,83),0)</f>
        <v/>
      </c>
      <c r="CI466">
        <f>IFERROR(INDEX(PP_Grid[#Data],$DE466,84),0)</f>
        <v/>
      </c>
      <c r="CJ466">
        <f>IFERROR(INDEX(PP_Grid[#Data],$DE466,85),0)</f>
        <v/>
      </c>
      <c r="CK466">
        <f>IFERROR(INDEX(PP_Grid[#Data],$DE466,86),0)</f>
        <v/>
      </c>
      <c r="CL466">
        <f>IFERROR(INDEX(PP_Grid[#Data],$DE466,87),0)</f>
        <v/>
      </c>
      <c r="CM466">
        <f>IFERROR(INDEX(PP_Grid[#Data],$DE466,88),0)</f>
        <v/>
      </c>
      <c r="CN466">
        <f>IFERROR(INDEX(PP_Grid[#Data],$DE466,89),0)</f>
        <v/>
      </c>
      <c r="CO466">
        <f>IFERROR(INDEX(PP_Grid[#Data],$DE466,90),0)</f>
        <v/>
      </c>
      <c r="CP466">
        <f>IFERROR(INDEX(PP_Grid[#Data],$DE466,91),0)</f>
        <v/>
      </c>
      <c r="CQ466">
        <f>IFERROR(INDEX(PP_Grid[#Data],$DE466,92),0)</f>
        <v/>
      </c>
      <c r="CR466">
        <f>IFERROR(INDEX(PP_Grid[#Data],$DE466,93),0)</f>
        <v/>
      </c>
      <c r="CS466">
        <f>IFERROR(INDEX(PP_Grid[#Data],$DE466,94),0)</f>
        <v/>
      </c>
      <c r="CT466">
        <f>IFERROR(INDEX(PP_Grid[#Data],$DE466,95),0)</f>
        <v/>
      </c>
      <c r="CU466">
        <f>IFERROR(INDEX(PP_Grid[#Data],$DE466,96),0)</f>
        <v/>
      </c>
      <c r="CV466">
        <f>IFERROR(INDEX(PP_Grid[#Data],$DE466,97),0)</f>
        <v/>
      </c>
      <c r="CW466">
        <f>IFERROR(INDEX(PP_Grid[#Data],$DE466,98),0)</f>
        <v/>
      </c>
      <c r="CX466">
        <f>IFERROR(INDEX(PP_Grid[#Data],$DE466,99),0)</f>
        <v/>
      </c>
      <c r="CY466">
        <f>IFERROR(INDEX(PP_Grid[#Data],$DE466,100),0)</f>
        <v/>
      </c>
      <c r="CZ466">
        <f>IFERROR(INDEX(PP_Grid[#Data],$DE466,101),0)</f>
        <v/>
      </c>
      <c r="DA466">
        <f>IFERROR(INDEX(PP_Grid[#Data],$DE466,102),0)</f>
        <v/>
      </c>
      <c r="DB466">
        <f>IFERROR(INDEX(PP_Grid[#Data],$DE466,103),0)</f>
        <v/>
      </c>
      <c r="DC466">
        <f>IFERROR(INDEX(PP_Grid[#Data],$DE466,104),0)</f>
        <v/>
      </c>
      <c r="DD466">
        <f>IFERROR(INDEX(PP_Grid[#Data],$DE466,105),0)</f>
        <v/>
      </c>
      <c r="DE466" s="7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SUMIFS(M_BOM[RM_Qty_Per_Batch],M_BOM[Intermediate],$B466,M_BOM[RM_Code],$A325)</f>
        <v/>
      </c>
      <c r="D467">
        <f>IFERROR(INDEX(E467:DD467,$F$1),"")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  <c r="DD467">
        <f>$C467*DD466</f>
        <v/>
      </c>
    </row>
    <row r="468">
      <c r="B468" t="inlineStr">
        <is>
          <t>VSP-746</t>
        </is>
      </c>
      <c r="C468" t="inlineStr">
        <is>
          <t>No. of batches</t>
        </is>
      </c>
      <c r="D468">
        <f>IFERROR(INDEX(E468:DD468,$F$1),"")</f>
        <v/>
      </c>
      <c r="E468">
        <f>IFERROR(INDEX(PP_Grid[#Data],$DE468,2),0)</f>
        <v/>
      </c>
      <c r="F468">
        <f>IFERROR(INDEX(PP_Grid[#Data],$DE468,3),0)</f>
        <v/>
      </c>
      <c r="G468">
        <f>IFERROR(INDEX(PP_Grid[#Data],$DE468,4),0)</f>
        <v/>
      </c>
      <c r="H468">
        <f>IFERROR(INDEX(PP_Grid[#Data],$DE468,5),0)</f>
        <v/>
      </c>
      <c r="I468">
        <f>IFERROR(INDEX(PP_Grid[#Data],$DE468,6),0)</f>
        <v/>
      </c>
      <c r="J468">
        <f>IFERROR(INDEX(PP_Grid[#Data],$DE468,7),0)</f>
        <v/>
      </c>
      <c r="K468">
        <f>IFERROR(INDEX(PP_Grid[#Data],$DE468,8),0)</f>
        <v/>
      </c>
      <c r="L468">
        <f>IFERROR(INDEX(PP_Grid[#Data],$DE468,9),0)</f>
        <v/>
      </c>
      <c r="M468">
        <f>IFERROR(INDEX(PP_Grid[#Data],$DE468,10),0)</f>
        <v/>
      </c>
      <c r="N468">
        <f>IFERROR(INDEX(PP_Grid[#Data],$DE468,11),0)</f>
        <v/>
      </c>
      <c r="O468">
        <f>IFERROR(INDEX(PP_Grid[#Data],$DE468,12),0)</f>
        <v/>
      </c>
      <c r="P468">
        <f>IFERROR(INDEX(PP_Grid[#Data],$DE468,13),0)</f>
        <v/>
      </c>
      <c r="Q468">
        <f>IFERROR(INDEX(PP_Grid[#Data],$DE468,14),0)</f>
        <v/>
      </c>
      <c r="R468">
        <f>IFERROR(INDEX(PP_Grid[#Data],$DE468,15),0)</f>
        <v/>
      </c>
      <c r="S468">
        <f>IFERROR(INDEX(PP_Grid[#Data],$DE468,16),0)</f>
        <v/>
      </c>
      <c r="T468">
        <f>IFERROR(INDEX(PP_Grid[#Data],$DE468,17),0)</f>
        <v/>
      </c>
      <c r="U468">
        <f>IFERROR(INDEX(PP_Grid[#Data],$DE468,18),0)</f>
        <v/>
      </c>
      <c r="V468">
        <f>IFERROR(INDEX(PP_Grid[#Data],$DE468,19),0)</f>
        <v/>
      </c>
      <c r="W468">
        <f>IFERROR(INDEX(PP_Grid[#Data],$DE468,20),0)</f>
        <v/>
      </c>
      <c r="X468">
        <f>IFERROR(INDEX(PP_Grid[#Data],$DE468,21),0)</f>
        <v/>
      </c>
      <c r="Y468">
        <f>IFERROR(INDEX(PP_Grid[#Data],$DE468,22),0)</f>
        <v/>
      </c>
      <c r="Z468">
        <f>IFERROR(INDEX(PP_Grid[#Data],$DE468,23),0)</f>
        <v/>
      </c>
      <c r="AA468">
        <f>IFERROR(INDEX(PP_Grid[#Data],$DE468,24),0)</f>
        <v/>
      </c>
      <c r="AB468">
        <f>IFERROR(INDEX(PP_Grid[#Data],$DE468,25),0)</f>
        <v/>
      </c>
      <c r="AC468">
        <f>IFERROR(INDEX(PP_Grid[#Data],$DE468,26),0)</f>
        <v/>
      </c>
      <c r="AD468">
        <f>IFERROR(INDEX(PP_Grid[#Data],$DE468,27),0)</f>
        <v/>
      </c>
      <c r="AE468">
        <f>IFERROR(INDEX(PP_Grid[#Data],$DE468,28),0)</f>
        <v/>
      </c>
      <c r="AF468">
        <f>IFERROR(INDEX(PP_Grid[#Data],$DE468,29),0)</f>
        <v/>
      </c>
      <c r="AG468">
        <f>IFERROR(INDEX(PP_Grid[#Data],$DE468,30),0)</f>
        <v/>
      </c>
      <c r="AH468">
        <f>IFERROR(INDEX(PP_Grid[#Data],$DE468,31),0)</f>
        <v/>
      </c>
      <c r="AI468">
        <f>IFERROR(INDEX(PP_Grid[#Data],$DE468,32),0)</f>
        <v/>
      </c>
      <c r="AJ468">
        <f>IFERROR(INDEX(PP_Grid[#Data],$DE468,33),0)</f>
        <v/>
      </c>
      <c r="AK468">
        <f>IFERROR(INDEX(PP_Grid[#Data],$DE468,34),0)</f>
        <v/>
      </c>
      <c r="AL468">
        <f>IFERROR(INDEX(PP_Grid[#Data],$DE468,35),0)</f>
        <v/>
      </c>
      <c r="AM468">
        <f>IFERROR(INDEX(PP_Grid[#Data],$DE468,36),0)</f>
        <v/>
      </c>
      <c r="AN468">
        <f>IFERROR(INDEX(PP_Grid[#Data],$DE468,37),0)</f>
        <v/>
      </c>
      <c r="AO468">
        <f>IFERROR(INDEX(PP_Grid[#Data],$DE468,38),0)</f>
        <v/>
      </c>
      <c r="AP468">
        <f>IFERROR(INDEX(PP_Grid[#Data],$DE468,39),0)</f>
        <v/>
      </c>
      <c r="AQ468">
        <f>IFERROR(INDEX(PP_Grid[#Data],$DE468,40),0)</f>
        <v/>
      </c>
      <c r="AR468">
        <f>IFERROR(INDEX(PP_Grid[#Data],$DE468,41),0)</f>
        <v/>
      </c>
      <c r="AS468">
        <f>IFERROR(INDEX(PP_Grid[#Data],$DE468,42),0)</f>
        <v/>
      </c>
      <c r="AT468">
        <f>IFERROR(INDEX(PP_Grid[#Data],$DE468,43),0)</f>
        <v/>
      </c>
      <c r="AU468">
        <f>IFERROR(INDEX(PP_Grid[#Data],$DE468,44),0)</f>
        <v/>
      </c>
      <c r="AV468">
        <f>IFERROR(INDEX(PP_Grid[#Data],$DE468,45),0)</f>
        <v/>
      </c>
      <c r="AW468">
        <f>IFERROR(INDEX(PP_Grid[#Data],$DE468,46),0)</f>
        <v/>
      </c>
      <c r="AX468">
        <f>IFERROR(INDEX(PP_Grid[#Data],$DE468,47),0)</f>
        <v/>
      </c>
      <c r="AY468">
        <f>IFERROR(INDEX(PP_Grid[#Data],$DE468,48),0)</f>
        <v/>
      </c>
      <c r="AZ468">
        <f>IFERROR(INDEX(PP_Grid[#Data],$DE468,49),0)</f>
        <v/>
      </c>
      <c r="BA468">
        <f>IFERROR(INDEX(PP_Grid[#Data],$DE468,50),0)</f>
        <v/>
      </c>
      <c r="BB468">
        <f>IFERROR(INDEX(PP_Grid[#Data],$DE468,51),0)</f>
        <v/>
      </c>
      <c r="BC468">
        <f>IFERROR(INDEX(PP_Grid[#Data],$DE468,52),0)</f>
        <v/>
      </c>
      <c r="BD468">
        <f>IFERROR(INDEX(PP_Grid[#Data],$DE468,53),0)</f>
        <v/>
      </c>
      <c r="BE468">
        <f>IFERROR(INDEX(PP_Grid[#Data],$DE468,54),0)</f>
        <v/>
      </c>
      <c r="BF468">
        <f>IFERROR(INDEX(PP_Grid[#Data],$DE468,55),0)</f>
        <v/>
      </c>
      <c r="BG468">
        <f>IFERROR(INDEX(PP_Grid[#Data],$DE468,56),0)</f>
        <v/>
      </c>
      <c r="BH468">
        <f>IFERROR(INDEX(PP_Grid[#Data],$DE468,57),0)</f>
        <v/>
      </c>
      <c r="BI468">
        <f>IFERROR(INDEX(PP_Grid[#Data],$DE468,58),0)</f>
        <v/>
      </c>
      <c r="BJ468">
        <f>IFERROR(INDEX(PP_Grid[#Data],$DE468,59),0)</f>
        <v/>
      </c>
      <c r="BK468">
        <f>IFERROR(INDEX(PP_Grid[#Data],$DE468,60),0)</f>
        <v/>
      </c>
      <c r="BL468">
        <f>IFERROR(INDEX(PP_Grid[#Data],$DE468,61),0)</f>
        <v/>
      </c>
      <c r="BM468">
        <f>IFERROR(INDEX(PP_Grid[#Data],$DE468,62),0)</f>
        <v/>
      </c>
      <c r="BN468">
        <f>IFERROR(INDEX(PP_Grid[#Data],$DE468,63),0)</f>
        <v/>
      </c>
      <c r="BO468">
        <f>IFERROR(INDEX(PP_Grid[#Data],$DE468,64),0)</f>
        <v/>
      </c>
      <c r="BP468">
        <f>IFERROR(INDEX(PP_Grid[#Data],$DE468,65),0)</f>
        <v/>
      </c>
      <c r="BQ468">
        <f>IFERROR(INDEX(PP_Grid[#Data],$DE468,66),0)</f>
        <v/>
      </c>
      <c r="BR468">
        <f>IFERROR(INDEX(PP_Grid[#Data],$DE468,67),0)</f>
        <v/>
      </c>
      <c r="BS468">
        <f>IFERROR(INDEX(PP_Grid[#Data],$DE468,68),0)</f>
        <v/>
      </c>
      <c r="BT468">
        <f>IFERROR(INDEX(PP_Grid[#Data],$DE468,69),0)</f>
        <v/>
      </c>
      <c r="BU468">
        <f>IFERROR(INDEX(PP_Grid[#Data],$DE468,70),0)</f>
        <v/>
      </c>
      <c r="BV468">
        <f>IFERROR(INDEX(PP_Grid[#Data],$DE468,71),0)</f>
        <v/>
      </c>
      <c r="BW468">
        <f>IFERROR(INDEX(PP_Grid[#Data],$DE468,72),0)</f>
        <v/>
      </c>
      <c r="BX468">
        <f>IFERROR(INDEX(PP_Grid[#Data],$DE468,73),0)</f>
        <v/>
      </c>
      <c r="BY468">
        <f>IFERROR(INDEX(PP_Grid[#Data],$DE468,74),0)</f>
        <v/>
      </c>
      <c r="BZ468">
        <f>IFERROR(INDEX(PP_Grid[#Data],$DE468,75),0)</f>
        <v/>
      </c>
      <c r="CA468">
        <f>IFERROR(INDEX(PP_Grid[#Data],$DE468,76),0)</f>
        <v/>
      </c>
      <c r="CB468">
        <f>IFERROR(INDEX(PP_Grid[#Data],$DE468,77),0)</f>
        <v/>
      </c>
      <c r="CC468">
        <f>IFERROR(INDEX(PP_Grid[#Data],$DE468,78),0)</f>
        <v/>
      </c>
      <c r="CD468">
        <f>IFERROR(INDEX(PP_Grid[#Data],$DE468,79),0)</f>
        <v/>
      </c>
      <c r="CE468">
        <f>IFERROR(INDEX(PP_Grid[#Data],$DE468,80),0)</f>
        <v/>
      </c>
      <c r="CF468">
        <f>IFERROR(INDEX(PP_Grid[#Data],$DE468,81),0)</f>
        <v/>
      </c>
      <c r="CG468">
        <f>IFERROR(INDEX(PP_Grid[#Data],$DE468,82),0)</f>
        <v/>
      </c>
      <c r="CH468">
        <f>IFERROR(INDEX(PP_Grid[#Data],$DE468,83),0)</f>
        <v/>
      </c>
      <c r="CI468">
        <f>IFERROR(INDEX(PP_Grid[#Data],$DE468,84),0)</f>
        <v/>
      </c>
      <c r="CJ468">
        <f>IFERROR(INDEX(PP_Grid[#Data],$DE468,85),0)</f>
        <v/>
      </c>
      <c r="CK468">
        <f>IFERROR(INDEX(PP_Grid[#Data],$DE468,86),0)</f>
        <v/>
      </c>
      <c r="CL468">
        <f>IFERROR(INDEX(PP_Grid[#Data],$DE468,87),0)</f>
        <v/>
      </c>
      <c r="CM468">
        <f>IFERROR(INDEX(PP_Grid[#Data],$DE468,88),0)</f>
        <v/>
      </c>
      <c r="CN468">
        <f>IFERROR(INDEX(PP_Grid[#Data],$DE468,89),0)</f>
        <v/>
      </c>
      <c r="CO468">
        <f>IFERROR(INDEX(PP_Grid[#Data],$DE468,90),0)</f>
        <v/>
      </c>
      <c r="CP468">
        <f>IFERROR(INDEX(PP_Grid[#Data],$DE468,91),0)</f>
        <v/>
      </c>
      <c r="CQ468">
        <f>IFERROR(INDEX(PP_Grid[#Data],$DE468,92),0)</f>
        <v/>
      </c>
      <c r="CR468">
        <f>IFERROR(INDEX(PP_Grid[#Data],$DE468,93),0)</f>
        <v/>
      </c>
      <c r="CS468">
        <f>IFERROR(INDEX(PP_Grid[#Data],$DE468,94),0)</f>
        <v/>
      </c>
      <c r="CT468">
        <f>IFERROR(INDEX(PP_Grid[#Data],$DE468,95),0)</f>
        <v/>
      </c>
      <c r="CU468">
        <f>IFERROR(INDEX(PP_Grid[#Data],$DE468,96),0)</f>
        <v/>
      </c>
      <c r="CV468">
        <f>IFERROR(INDEX(PP_Grid[#Data],$DE468,97),0)</f>
        <v/>
      </c>
      <c r="CW468">
        <f>IFERROR(INDEX(PP_Grid[#Data],$DE468,98),0)</f>
        <v/>
      </c>
      <c r="CX468">
        <f>IFERROR(INDEX(PP_Grid[#Data],$DE468,99),0)</f>
        <v/>
      </c>
      <c r="CY468">
        <f>IFERROR(INDEX(PP_Grid[#Data],$DE468,100),0)</f>
        <v/>
      </c>
      <c r="CZ468">
        <f>IFERROR(INDEX(PP_Grid[#Data],$DE468,101),0)</f>
        <v/>
      </c>
      <c r="DA468">
        <f>IFERROR(INDEX(PP_Grid[#Data],$DE468,102),0)</f>
        <v/>
      </c>
      <c r="DB468">
        <f>IFERROR(INDEX(PP_Grid[#Data],$DE468,103),0)</f>
        <v/>
      </c>
      <c r="DC468">
        <f>IFERROR(INDEX(PP_Grid[#Data],$DE468,104),0)</f>
        <v/>
      </c>
      <c r="DD468">
        <f>IFERROR(INDEX(PP_Grid[#Data],$DE468,105),0)</f>
        <v/>
      </c>
      <c r="DE468" s="7">
        <f>IFERROR(MATCH($B468,PP_Grid[Intermediate],0),99999)</f>
        <v/>
      </c>
    </row>
    <row r="469">
      <c r="B469" t="inlineStr">
        <is>
          <t>使用量(kg)</t>
        </is>
      </c>
      <c r="C469">
        <f>SUMIFS(M_BOM[RM_Qty_Per_Batch],M_BOM[Intermediate],$B468,M_BOM[RM_Code],$A325)</f>
        <v/>
      </c>
      <c r="D469">
        <f>IFERROR(INDEX(E469:DD469,$F$1),"")</f>
        <v/>
      </c>
      <c r="E469">
        <f>$C469*E468</f>
        <v/>
      </c>
      <c r="F469">
        <f>$C469*F468</f>
        <v/>
      </c>
      <c r="G469">
        <f>$C469*G468</f>
        <v/>
      </c>
      <c r="H469">
        <f>$C469*H468</f>
        <v/>
      </c>
      <c r="I469">
        <f>$C469*I468</f>
        <v/>
      </c>
      <c r="J469">
        <f>$C469*J468</f>
        <v/>
      </c>
      <c r="K469">
        <f>$C469*K468</f>
        <v/>
      </c>
      <c r="L469">
        <f>$C469*L468</f>
        <v/>
      </c>
      <c r="M469">
        <f>$C469*M468</f>
        <v/>
      </c>
      <c r="N469">
        <f>$C469*N468</f>
        <v/>
      </c>
      <c r="O469">
        <f>$C469*O468</f>
        <v/>
      </c>
      <c r="P469">
        <f>$C469*P468</f>
        <v/>
      </c>
      <c r="Q469">
        <f>$C469*Q468</f>
        <v/>
      </c>
      <c r="R469">
        <f>$C469*R468</f>
        <v/>
      </c>
      <c r="S469">
        <f>$C469*S468</f>
        <v/>
      </c>
      <c r="T469">
        <f>$C469*T468</f>
        <v/>
      </c>
      <c r="U469">
        <f>$C469*U468</f>
        <v/>
      </c>
      <c r="V469">
        <f>$C469*V468</f>
        <v/>
      </c>
      <c r="W469">
        <f>$C469*W468</f>
        <v/>
      </c>
      <c r="X469">
        <f>$C469*X468</f>
        <v/>
      </c>
      <c r="Y469">
        <f>$C469*Y468</f>
        <v/>
      </c>
      <c r="Z469">
        <f>$C469*Z468</f>
        <v/>
      </c>
      <c r="AA469">
        <f>$C469*AA468</f>
        <v/>
      </c>
      <c r="AB469">
        <f>$C469*AB468</f>
        <v/>
      </c>
      <c r="AC469">
        <f>$C469*AC468</f>
        <v/>
      </c>
      <c r="AD469">
        <f>$C469*AD468</f>
        <v/>
      </c>
      <c r="AE469">
        <f>$C469*AE468</f>
        <v/>
      </c>
      <c r="AF469">
        <f>$C469*AF468</f>
        <v/>
      </c>
      <c r="AG469">
        <f>$C469*AG468</f>
        <v/>
      </c>
      <c r="AH469">
        <f>$C469*AH468</f>
        <v/>
      </c>
      <c r="AI469">
        <f>$C469*AI468</f>
        <v/>
      </c>
      <c r="AJ469">
        <f>$C469*AJ468</f>
        <v/>
      </c>
      <c r="AK469">
        <f>$C469*AK468</f>
        <v/>
      </c>
      <c r="AL469">
        <f>$C469*AL468</f>
        <v/>
      </c>
      <c r="AM469">
        <f>$C469*AM468</f>
        <v/>
      </c>
      <c r="AN469">
        <f>$C469*AN468</f>
        <v/>
      </c>
      <c r="AO469">
        <f>$C469*AO468</f>
        <v/>
      </c>
      <c r="AP469">
        <f>$C469*AP468</f>
        <v/>
      </c>
      <c r="AQ469">
        <f>$C469*AQ468</f>
        <v/>
      </c>
      <c r="AR469">
        <f>$C469*AR468</f>
        <v/>
      </c>
      <c r="AS469">
        <f>$C469*AS468</f>
        <v/>
      </c>
      <c r="AT469">
        <f>$C469*AT468</f>
        <v/>
      </c>
      <c r="AU469">
        <f>$C469*AU468</f>
        <v/>
      </c>
      <c r="AV469">
        <f>$C469*AV468</f>
        <v/>
      </c>
      <c r="AW469">
        <f>$C469*AW468</f>
        <v/>
      </c>
      <c r="AX469">
        <f>$C469*AX468</f>
        <v/>
      </c>
      <c r="AY469">
        <f>$C469*AY468</f>
        <v/>
      </c>
      <c r="AZ469">
        <f>$C469*AZ468</f>
        <v/>
      </c>
      <c r="BA469">
        <f>$C469*BA468</f>
        <v/>
      </c>
      <c r="BB469">
        <f>$C469*BB468</f>
        <v/>
      </c>
      <c r="BC469">
        <f>$C469*BC468</f>
        <v/>
      </c>
      <c r="BD469">
        <f>$C469*BD468</f>
        <v/>
      </c>
      <c r="BE469">
        <f>$C469*BE468</f>
        <v/>
      </c>
      <c r="BF469">
        <f>$C469*BF468</f>
        <v/>
      </c>
      <c r="BG469">
        <f>$C469*BG468</f>
        <v/>
      </c>
      <c r="BH469">
        <f>$C469*BH468</f>
        <v/>
      </c>
      <c r="BI469">
        <f>$C469*BI468</f>
        <v/>
      </c>
      <c r="BJ469">
        <f>$C469*BJ468</f>
        <v/>
      </c>
      <c r="BK469">
        <f>$C469*BK468</f>
        <v/>
      </c>
      <c r="BL469">
        <f>$C469*BL468</f>
        <v/>
      </c>
      <c r="BM469">
        <f>$C469*BM468</f>
        <v/>
      </c>
      <c r="BN469">
        <f>$C469*BN468</f>
        <v/>
      </c>
      <c r="BO469">
        <f>$C469*BO468</f>
        <v/>
      </c>
      <c r="BP469">
        <f>$C469*BP468</f>
        <v/>
      </c>
      <c r="BQ469">
        <f>$C469*BQ468</f>
        <v/>
      </c>
      <c r="BR469">
        <f>$C469*BR468</f>
        <v/>
      </c>
      <c r="BS469">
        <f>$C469*BS468</f>
        <v/>
      </c>
      <c r="BT469">
        <f>$C469*BT468</f>
        <v/>
      </c>
      <c r="BU469">
        <f>$C469*BU468</f>
        <v/>
      </c>
      <c r="BV469">
        <f>$C469*BV468</f>
        <v/>
      </c>
      <c r="BW469">
        <f>$C469*BW468</f>
        <v/>
      </c>
      <c r="BX469">
        <f>$C469*BX468</f>
        <v/>
      </c>
      <c r="BY469">
        <f>$C469*BY468</f>
        <v/>
      </c>
      <c r="BZ469">
        <f>$C469*BZ468</f>
        <v/>
      </c>
      <c r="CA469">
        <f>$C469*CA468</f>
        <v/>
      </c>
      <c r="CB469">
        <f>$C469*CB468</f>
        <v/>
      </c>
      <c r="CC469">
        <f>$C469*CC468</f>
        <v/>
      </c>
      <c r="CD469">
        <f>$C469*CD468</f>
        <v/>
      </c>
      <c r="CE469">
        <f>$C469*CE468</f>
        <v/>
      </c>
      <c r="CF469">
        <f>$C469*CF468</f>
        <v/>
      </c>
      <c r="CG469">
        <f>$C469*CG468</f>
        <v/>
      </c>
      <c r="CH469">
        <f>$C469*CH468</f>
        <v/>
      </c>
      <c r="CI469">
        <f>$C469*CI468</f>
        <v/>
      </c>
      <c r="CJ469">
        <f>$C469*CJ468</f>
        <v/>
      </c>
      <c r="CK469">
        <f>$C469*CK468</f>
        <v/>
      </c>
      <c r="CL469">
        <f>$C469*CL468</f>
        <v/>
      </c>
      <c r="CM469">
        <f>$C469*CM468</f>
        <v/>
      </c>
      <c r="CN469">
        <f>$C469*CN468</f>
        <v/>
      </c>
      <c r="CO469">
        <f>$C469*CO468</f>
        <v/>
      </c>
      <c r="CP469">
        <f>$C469*CP468</f>
        <v/>
      </c>
      <c r="CQ469">
        <f>$C469*CQ468</f>
        <v/>
      </c>
      <c r="CR469">
        <f>$C469*CR468</f>
        <v/>
      </c>
      <c r="CS469">
        <f>$C469*CS468</f>
        <v/>
      </c>
      <c r="CT469">
        <f>$C469*CT468</f>
        <v/>
      </c>
      <c r="CU469">
        <f>$C469*CU468</f>
        <v/>
      </c>
      <c r="CV469">
        <f>$C469*CV468</f>
        <v/>
      </c>
      <c r="CW469">
        <f>$C469*CW468</f>
        <v/>
      </c>
      <c r="CX469">
        <f>$C469*CX468</f>
        <v/>
      </c>
      <c r="CY469">
        <f>$C469*CY468</f>
        <v/>
      </c>
      <c r="CZ469">
        <f>$C469*CZ468</f>
        <v/>
      </c>
      <c r="DA469">
        <f>$C469*DA468</f>
        <v/>
      </c>
      <c r="DB469">
        <f>$C469*DB468</f>
        <v/>
      </c>
      <c r="DC469">
        <f>$C469*DC468</f>
        <v/>
      </c>
      <c r="DD469">
        <f>$C469*DD468</f>
        <v/>
      </c>
    </row>
    <row r="470">
      <c r="B470" t="inlineStr">
        <is>
          <t>VSP-820</t>
        </is>
      </c>
      <c r="C470" t="inlineStr">
        <is>
          <t>No. of batches</t>
        </is>
      </c>
      <c r="D470">
        <f>IFERROR(INDEX(E470:DD470,$F$1),"")</f>
        <v/>
      </c>
      <c r="E470">
        <f>IFERROR(INDEX(PP_Grid[#Data],$DE470,2),0)</f>
        <v/>
      </c>
      <c r="F470">
        <f>IFERROR(INDEX(PP_Grid[#Data],$DE470,3),0)</f>
        <v/>
      </c>
      <c r="G470">
        <f>IFERROR(INDEX(PP_Grid[#Data],$DE470,4),0)</f>
        <v/>
      </c>
      <c r="H470">
        <f>IFERROR(INDEX(PP_Grid[#Data],$DE470,5),0)</f>
        <v/>
      </c>
      <c r="I470">
        <f>IFERROR(INDEX(PP_Grid[#Data],$DE470,6),0)</f>
        <v/>
      </c>
      <c r="J470">
        <f>IFERROR(INDEX(PP_Grid[#Data],$DE470,7),0)</f>
        <v/>
      </c>
      <c r="K470">
        <f>IFERROR(INDEX(PP_Grid[#Data],$DE470,8),0)</f>
        <v/>
      </c>
      <c r="L470">
        <f>IFERROR(INDEX(PP_Grid[#Data],$DE470,9),0)</f>
        <v/>
      </c>
      <c r="M470">
        <f>IFERROR(INDEX(PP_Grid[#Data],$DE470,10),0)</f>
        <v/>
      </c>
      <c r="N470">
        <f>IFERROR(INDEX(PP_Grid[#Data],$DE470,11),0)</f>
        <v/>
      </c>
      <c r="O470">
        <f>IFERROR(INDEX(PP_Grid[#Data],$DE470,12),0)</f>
        <v/>
      </c>
      <c r="P470">
        <f>IFERROR(INDEX(PP_Grid[#Data],$DE470,13),0)</f>
        <v/>
      </c>
      <c r="Q470">
        <f>IFERROR(INDEX(PP_Grid[#Data],$DE470,14),0)</f>
        <v/>
      </c>
      <c r="R470">
        <f>IFERROR(INDEX(PP_Grid[#Data],$DE470,15),0)</f>
        <v/>
      </c>
      <c r="S470">
        <f>IFERROR(INDEX(PP_Grid[#Data],$DE470,16),0)</f>
        <v/>
      </c>
      <c r="T470">
        <f>IFERROR(INDEX(PP_Grid[#Data],$DE470,17),0)</f>
        <v/>
      </c>
      <c r="U470">
        <f>IFERROR(INDEX(PP_Grid[#Data],$DE470,18),0)</f>
        <v/>
      </c>
      <c r="V470">
        <f>IFERROR(INDEX(PP_Grid[#Data],$DE470,19),0)</f>
        <v/>
      </c>
      <c r="W470">
        <f>IFERROR(INDEX(PP_Grid[#Data],$DE470,20),0)</f>
        <v/>
      </c>
      <c r="X470">
        <f>IFERROR(INDEX(PP_Grid[#Data],$DE470,21),0)</f>
        <v/>
      </c>
      <c r="Y470">
        <f>IFERROR(INDEX(PP_Grid[#Data],$DE470,22),0)</f>
        <v/>
      </c>
      <c r="Z470">
        <f>IFERROR(INDEX(PP_Grid[#Data],$DE470,23),0)</f>
        <v/>
      </c>
      <c r="AA470">
        <f>IFERROR(INDEX(PP_Grid[#Data],$DE470,24),0)</f>
        <v/>
      </c>
      <c r="AB470">
        <f>IFERROR(INDEX(PP_Grid[#Data],$DE470,25),0)</f>
        <v/>
      </c>
      <c r="AC470">
        <f>IFERROR(INDEX(PP_Grid[#Data],$DE470,26),0)</f>
        <v/>
      </c>
      <c r="AD470">
        <f>IFERROR(INDEX(PP_Grid[#Data],$DE470,27),0)</f>
        <v/>
      </c>
      <c r="AE470">
        <f>IFERROR(INDEX(PP_Grid[#Data],$DE470,28),0)</f>
        <v/>
      </c>
      <c r="AF470">
        <f>IFERROR(INDEX(PP_Grid[#Data],$DE470,29),0)</f>
        <v/>
      </c>
      <c r="AG470">
        <f>IFERROR(INDEX(PP_Grid[#Data],$DE470,30),0)</f>
        <v/>
      </c>
      <c r="AH470">
        <f>IFERROR(INDEX(PP_Grid[#Data],$DE470,31),0)</f>
        <v/>
      </c>
      <c r="AI470">
        <f>IFERROR(INDEX(PP_Grid[#Data],$DE470,32),0)</f>
        <v/>
      </c>
      <c r="AJ470">
        <f>IFERROR(INDEX(PP_Grid[#Data],$DE470,33),0)</f>
        <v/>
      </c>
      <c r="AK470">
        <f>IFERROR(INDEX(PP_Grid[#Data],$DE470,34),0)</f>
        <v/>
      </c>
      <c r="AL470">
        <f>IFERROR(INDEX(PP_Grid[#Data],$DE470,35),0)</f>
        <v/>
      </c>
      <c r="AM470">
        <f>IFERROR(INDEX(PP_Grid[#Data],$DE470,36),0)</f>
        <v/>
      </c>
      <c r="AN470">
        <f>IFERROR(INDEX(PP_Grid[#Data],$DE470,37),0)</f>
        <v/>
      </c>
      <c r="AO470">
        <f>IFERROR(INDEX(PP_Grid[#Data],$DE470,38),0)</f>
        <v/>
      </c>
      <c r="AP470">
        <f>IFERROR(INDEX(PP_Grid[#Data],$DE470,39),0)</f>
        <v/>
      </c>
      <c r="AQ470">
        <f>IFERROR(INDEX(PP_Grid[#Data],$DE470,40),0)</f>
        <v/>
      </c>
      <c r="AR470">
        <f>IFERROR(INDEX(PP_Grid[#Data],$DE470,41),0)</f>
        <v/>
      </c>
      <c r="AS470">
        <f>IFERROR(INDEX(PP_Grid[#Data],$DE470,42),0)</f>
        <v/>
      </c>
      <c r="AT470">
        <f>IFERROR(INDEX(PP_Grid[#Data],$DE470,43),0)</f>
        <v/>
      </c>
      <c r="AU470">
        <f>IFERROR(INDEX(PP_Grid[#Data],$DE470,44),0)</f>
        <v/>
      </c>
      <c r="AV470">
        <f>IFERROR(INDEX(PP_Grid[#Data],$DE470,45),0)</f>
        <v/>
      </c>
      <c r="AW470">
        <f>IFERROR(INDEX(PP_Grid[#Data],$DE470,46),0)</f>
        <v/>
      </c>
      <c r="AX470">
        <f>IFERROR(INDEX(PP_Grid[#Data],$DE470,47),0)</f>
        <v/>
      </c>
      <c r="AY470">
        <f>IFERROR(INDEX(PP_Grid[#Data],$DE470,48),0)</f>
        <v/>
      </c>
      <c r="AZ470">
        <f>IFERROR(INDEX(PP_Grid[#Data],$DE470,49),0)</f>
        <v/>
      </c>
      <c r="BA470">
        <f>IFERROR(INDEX(PP_Grid[#Data],$DE470,50),0)</f>
        <v/>
      </c>
      <c r="BB470">
        <f>IFERROR(INDEX(PP_Grid[#Data],$DE470,51),0)</f>
        <v/>
      </c>
      <c r="BC470">
        <f>IFERROR(INDEX(PP_Grid[#Data],$DE470,52),0)</f>
        <v/>
      </c>
      <c r="BD470">
        <f>IFERROR(INDEX(PP_Grid[#Data],$DE470,53),0)</f>
        <v/>
      </c>
      <c r="BE470">
        <f>IFERROR(INDEX(PP_Grid[#Data],$DE470,54),0)</f>
        <v/>
      </c>
      <c r="BF470">
        <f>IFERROR(INDEX(PP_Grid[#Data],$DE470,55),0)</f>
        <v/>
      </c>
      <c r="BG470">
        <f>IFERROR(INDEX(PP_Grid[#Data],$DE470,56),0)</f>
        <v/>
      </c>
      <c r="BH470">
        <f>IFERROR(INDEX(PP_Grid[#Data],$DE470,57),0)</f>
        <v/>
      </c>
      <c r="BI470">
        <f>IFERROR(INDEX(PP_Grid[#Data],$DE470,58),0)</f>
        <v/>
      </c>
      <c r="BJ470">
        <f>IFERROR(INDEX(PP_Grid[#Data],$DE470,59),0)</f>
        <v/>
      </c>
      <c r="BK470">
        <f>IFERROR(INDEX(PP_Grid[#Data],$DE470,60),0)</f>
        <v/>
      </c>
      <c r="BL470">
        <f>IFERROR(INDEX(PP_Grid[#Data],$DE470,61),0)</f>
        <v/>
      </c>
      <c r="BM470">
        <f>IFERROR(INDEX(PP_Grid[#Data],$DE470,62),0)</f>
        <v/>
      </c>
      <c r="BN470">
        <f>IFERROR(INDEX(PP_Grid[#Data],$DE470,63),0)</f>
        <v/>
      </c>
      <c r="BO470">
        <f>IFERROR(INDEX(PP_Grid[#Data],$DE470,64),0)</f>
        <v/>
      </c>
      <c r="BP470">
        <f>IFERROR(INDEX(PP_Grid[#Data],$DE470,65),0)</f>
        <v/>
      </c>
      <c r="BQ470">
        <f>IFERROR(INDEX(PP_Grid[#Data],$DE470,66),0)</f>
        <v/>
      </c>
      <c r="BR470">
        <f>IFERROR(INDEX(PP_Grid[#Data],$DE470,67),0)</f>
        <v/>
      </c>
      <c r="BS470">
        <f>IFERROR(INDEX(PP_Grid[#Data],$DE470,68),0)</f>
        <v/>
      </c>
      <c r="BT470">
        <f>IFERROR(INDEX(PP_Grid[#Data],$DE470,69),0)</f>
        <v/>
      </c>
      <c r="BU470">
        <f>IFERROR(INDEX(PP_Grid[#Data],$DE470,70),0)</f>
        <v/>
      </c>
      <c r="BV470">
        <f>IFERROR(INDEX(PP_Grid[#Data],$DE470,71),0)</f>
        <v/>
      </c>
      <c r="BW470">
        <f>IFERROR(INDEX(PP_Grid[#Data],$DE470,72),0)</f>
        <v/>
      </c>
      <c r="BX470">
        <f>IFERROR(INDEX(PP_Grid[#Data],$DE470,73),0)</f>
        <v/>
      </c>
      <c r="BY470">
        <f>IFERROR(INDEX(PP_Grid[#Data],$DE470,74),0)</f>
        <v/>
      </c>
      <c r="BZ470">
        <f>IFERROR(INDEX(PP_Grid[#Data],$DE470,75),0)</f>
        <v/>
      </c>
      <c r="CA470">
        <f>IFERROR(INDEX(PP_Grid[#Data],$DE470,76),0)</f>
        <v/>
      </c>
      <c r="CB470">
        <f>IFERROR(INDEX(PP_Grid[#Data],$DE470,77),0)</f>
        <v/>
      </c>
      <c r="CC470">
        <f>IFERROR(INDEX(PP_Grid[#Data],$DE470,78),0)</f>
        <v/>
      </c>
      <c r="CD470">
        <f>IFERROR(INDEX(PP_Grid[#Data],$DE470,79),0)</f>
        <v/>
      </c>
      <c r="CE470">
        <f>IFERROR(INDEX(PP_Grid[#Data],$DE470,80),0)</f>
        <v/>
      </c>
      <c r="CF470">
        <f>IFERROR(INDEX(PP_Grid[#Data],$DE470,81),0)</f>
        <v/>
      </c>
      <c r="CG470">
        <f>IFERROR(INDEX(PP_Grid[#Data],$DE470,82),0)</f>
        <v/>
      </c>
      <c r="CH470">
        <f>IFERROR(INDEX(PP_Grid[#Data],$DE470,83),0)</f>
        <v/>
      </c>
      <c r="CI470">
        <f>IFERROR(INDEX(PP_Grid[#Data],$DE470,84),0)</f>
        <v/>
      </c>
      <c r="CJ470">
        <f>IFERROR(INDEX(PP_Grid[#Data],$DE470,85),0)</f>
        <v/>
      </c>
      <c r="CK470">
        <f>IFERROR(INDEX(PP_Grid[#Data],$DE470,86),0)</f>
        <v/>
      </c>
      <c r="CL470">
        <f>IFERROR(INDEX(PP_Grid[#Data],$DE470,87),0)</f>
        <v/>
      </c>
      <c r="CM470">
        <f>IFERROR(INDEX(PP_Grid[#Data],$DE470,88),0)</f>
        <v/>
      </c>
      <c r="CN470">
        <f>IFERROR(INDEX(PP_Grid[#Data],$DE470,89),0)</f>
        <v/>
      </c>
      <c r="CO470">
        <f>IFERROR(INDEX(PP_Grid[#Data],$DE470,90),0)</f>
        <v/>
      </c>
      <c r="CP470">
        <f>IFERROR(INDEX(PP_Grid[#Data],$DE470,91),0)</f>
        <v/>
      </c>
      <c r="CQ470">
        <f>IFERROR(INDEX(PP_Grid[#Data],$DE470,92),0)</f>
        <v/>
      </c>
      <c r="CR470">
        <f>IFERROR(INDEX(PP_Grid[#Data],$DE470,93),0)</f>
        <v/>
      </c>
      <c r="CS470">
        <f>IFERROR(INDEX(PP_Grid[#Data],$DE470,94),0)</f>
        <v/>
      </c>
      <c r="CT470">
        <f>IFERROR(INDEX(PP_Grid[#Data],$DE470,95),0)</f>
        <v/>
      </c>
      <c r="CU470">
        <f>IFERROR(INDEX(PP_Grid[#Data],$DE470,96),0)</f>
        <v/>
      </c>
      <c r="CV470">
        <f>IFERROR(INDEX(PP_Grid[#Data],$DE470,97),0)</f>
        <v/>
      </c>
      <c r="CW470">
        <f>IFERROR(INDEX(PP_Grid[#Data],$DE470,98),0)</f>
        <v/>
      </c>
      <c r="CX470">
        <f>IFERROR(INDEX(PP_Grid[#Data],$DE470,99),0)</f>
        <v/>
      </c>
      <c r="CY470">
        <f>IFERROR(INDEX(PP_Grid[#Data],$DE470,100),0)</f>
        <v/>
      </c>
      <c r="CZ470">
        <f>IFERROR(INDEX(PP_Grid[#Data],$DE470,101),0)</f>
        <v/>
      </c>
      <c r="DA470">
        <f>IFERROR(INDEX(PP_Grid[#Data],$DE470,102),0)</f>
        <v/>
      </c>
      <c r="DB470">
        <f>IFERROR(INDEX(PP_Grid[#Data],$DE470,103),0)</f>
        <v/>
      </c>
      <c r="DC470">
        <f>IFERROR(INDEX(PP_Grid[#Data],$DE470,104),0)</f>
        <v/>
      </c>
      <c r="DD470">
        <f>IFERROR(INDEX(PP_Grid[#Data],$DE470,105),0)</f>
        <v/>
      </c>
      <c r="DE470" s="7">
        <f>IFERROR(MATCH($B470,PP_Grid[Intermediate],0),99999)</f>
        <v/>
      </c>
    </row>
    <row r="471">
      <c r="B471" t="inlineStr">
        <is>
          <t>使用量(kg)</t>
        </is>
      </c>
      <c r="C471">
        <f>SUMIFS(M_BOM[RM_Qty_Per_Batch],M_BOM[Intermediate],$B470,M_BOM[RM_Code],$A325)</f>
        <v/>
      </c>
      <c r="D471">
        <f>IFERROR(INDEX(E471:DD471,$F$1),"")</f>
        <v/>
      </c>
      <c r="E471">
        <f>$C471*E470</f>
        <v/>
      </c>
      <c r="F471">
        <f>$C471*F470</f>
        <v/>
      </c>
      <c r="G471">
        <f>$C471*G470</f>
        <v/>
      </c>
      <c r="H471">
        <f>$C471*H470</f>
        <v/>
      </c>
      <c r="I471">
        <f>$C471*I470</f>
        <v/>
      </c>
      <c r="J471">
        <f>$C471*J470</f>
        <v/>
      </c>
      <c r="K471">
        <f>$C471*K470</f>
        <v/>
      </c>
      <c r="L471">
        <f>$C471*L470</f>
        <v/>
      </c>
      <c r="M471">
        <f>$C471*M470</f>
        <v/>
      </c>
      <c r="N471">
        <f>$C471*N470</f>
        <v/>
      </c>
      <c r="O471">
        <f>$C471*O470</f>
        <v/>
      </c>
      <c r="P471">
        <f>$C471*P470</f>
        <v/>
      </c>
      <c r="Q471">
        <f>$C471*Q470</f>
        <v/>
      </c>
      <c r="R471">
        <f>$C471*R470</f>
        <v/>
      </c>
      <c r="S471">
        <f>$C471*S470</f>
        <v/>
      </c>
      <c r="T471">
        <f>$C471*T470</f>
        <v/>
      </c>
      <c r="U471">
        <f>$C471*U470</f>
        <v/>
      </c>
      <c r="V471">
        <f>$C471*V470</f>
        <v/>
      </c>
      <c r="W471">
        <f>$C471*W470</f>
        <v/>
      </c>
      <c r="X471">
        <f>$C471*X470</f>
        <v/>
      </c>
      <c r="Y471">
        <f>$C471*Y470</f>
        <v/>
      </c>
      <c r="Z471">
        <f>$C471*Z470</f>
        <v/>
      </c>
      <c r="AA471">
        <f>$C471*AA470</f>
        <v/>
      </c>
      <c r="AB471">
        <f>$C471*AB470</f>
        <v/>
      </c>
      <c r="AC471">
        <f>$C471*AC470</f>
        <v/>
      </c>
      <c r="AD471">
        <f>$C471*AD470</f>
        <v/>
      </c>
      <c r="AE471">
        <f>$C471*AE470</f>
        <v/>
      </c>
      <c r="AF471">
        <f>$C471*AF470</f>
        <v/>
      </c>
      <c r="AG471">
        <f>$C471*AG470</f>
        <v/>
      </c>
      <c r="AH471">
        <f>$C471*AH470</f>
        <v/>
      </c>
      <c r="AI471">
        <f>$C471*AI470</f>
        <v/>
      </c>
      <c r="AJ471">
        <f>$C471*AJ470</f>
        <v/>
      </c>
      <c r="AK471">
        <f>$C471*AK470</f>
        <v/>
      </c>
      <c r="AL471">
        <f>$C471*AL470</f>
        <v/>
      </c>
      <c r="AM471">
        <f>$C471*AM470</f>
        <v/>
      </c>
      <c r="AN471">
        <f>$C471*AN470</f>
        <v/>
      </c>
      <c r="AO471">
        <f>$C471*AO470</f>
        <v/>
      </c>
      <c r="AP471">
        <f>$C471*AP470</f>
        <v/>
      </c>
      <c r="AQ471">
        <f>$C471*AQ470</f>
        <v/>
      </c>
      <c r="AR471">
        <f>$C471*AR470</f>
        <v/>
      </c>
      <c r="AS471">
        <f>$C471*AS470</f>
        <v/>
      </c>
      <c r="AT471">
        <f>$C471*AT470</f>
        <v/>
      </c>
      <c r="AU471">
        <f>$C471*AU470</f>
        <v/>
      </c>
      <c r="AV471">
        <f>$C471*AV470</f>
        <v/>
      </c>
      <c r="AW471">
        <f>$C471*AW470</f>
        <v/>
      </c>
      <c r="AX471">
        <f>$C471*AX470</f>
        <v/>
      </c>
      <c r="AY471">
        <f>$C471*AY470</f>
        <v/>
      </c>
      <c r="AZ471">
        <f>$C471*AZ470</f>
        <v/>
      </c>
      <c r="BA471">
        <f>$C471*BA470</f>
        <v/>
      </c>
      <c r="BB471">
        <f>$C471*BB470</f>
        <v/>
      </c>
      <c r="BC471">
        <f>$C471*BC470</f>
        <v/>
      </c>
      <c r="BD471">
        <f>$C471*BD470</f>
        <v/>
      </c>
      <c r="BE471">
        <f>$C471*BE470</f>
        <v/>
      </c>
      <c r="BF471">
        <f>$C471*BF470</f>
        <v/>
      </c>
      <c r="BG471">
        <f>$C471*BG470</f>
        <v/>
      </c>
      <c r="BH471">
        <f>$C471*BH470</f>
        <v/>
      </c>
      <c r="BI471">
        <f>$C471*BI470</f>
        <v/>
      </c>
      <c r="BJ471">
        <f>$C471*BJ470</f>
        <v/>
      </c>
      <c r="BK471">
        <f>$C471*BK470</f>
        <v/>
      </c>
      <c r="BL471">
        <f>$C471*BL470</f>
        <v/>
      </c>
      <c r="BM471">
        <f>$C471*BM470</f>
        <v/>
      </c>
      <c r="BN471">
        <f>$C471*BN470</f>
        <v/>
      </c>
      <c r="BO471">
        <f>$C471*BO470</f>
        <v/>
      </c>
      <c r="BP471">
        <f>$C471*BP470</f>
        <v/>
      </c>
      <c r="BQ471">
        <f>$C471*BQ470</f>
        <v/>
      </c>
      <c r="BR471">
        <f>$C471*BR470</f>
        <v/>
      </c>
      <c r="BS471">
        <f>$C471*BS470</f>
        <v/>
      </c>
      <c r="BT471">
        <f>$C471*BT470</f>
        <v/>
      </c>
      <c r="BU471">
        <f>$C471*BU470</f>
        <v/>
      </c>
      <c r="BV471">
        <f>$C471*BV470</f>
        <v/>
      </c>
      <c r="BW471">
        <f>$C471*BW470</f>
        <v/>
      </c>
      <c r="BX471">
        <f>$C471*BX470</f>
        <v/>
      </c>
      <c r="BY471">
        <f>$C471*BY470</f>
        <v/>
      </c>
      <c r="BZ471">
        <f>$C471*BZ470</f>
        <v/>
      </c>
      <c r="CA471">
        <f>$C471*CA470</f>
        <v/>
      </c>
      <c r="CB471">
        <f>$C471*CB470</f>
        <v/>
      </c>
      <c r="CC471">
        <f>$C471*CC470</f>
        <v/>
      </c>
      <c r="CD471">
        <f>$C471*CD470</f>
        <v/>
      </c>
      <c r="CE471">
        <f>$C471*CE470</f>
        <v/>
      </c>
      <c r="CF471">
        <f>$C471*CF470</f>
        <v/>
      </c>
      <c r="CG471">
        <f>$C471*CG470</f>
        <v/>
      </c>
      <c r="CH471">
        <f>$C471*CH470</f>
        <v/>
      </c>
      <c r="CI471">
        <f>$C471*CI470</f>
        <v/>
      </c>
      <c r="CJ471">
        <f>$C471*CJ470</f>
        <v/>
      </c>
      <c r="CK471">
        <f>$C471*CK470</f>
        <v/>
      </c>
      <c r="CL471">
        <f>$C471*CL470</f>
        <v/>
      </c>
      <c r="CM471">
        <f>$C471*CM470</f>
        <v/>
      </c>
      <c r="CN471">
        <f>$C471*CN470</f>
        <v/>
      </c>
      <c r="CO471">
        <f>$C471*CO470</f>
        <v/>
      </c>
      <c r="CP471">
        <f>$C471*CP470</f>
        <v/>
      </c>
      <c r="CQ471">
        <f>$C471*CQ470</f>
        <v/>
      </c>
      <c r="CR471">
        <f>$C471*CR470</f>
        <v/>
      </c>
      <c r="CS471">
        <f>$C471*CS470</f>
        <v/>
      </c>
      <c r="CT471">
        <f>$C471*CT470</f>
        <v/>
      </c>
      <c r="CU471">
        <f>$C471*CU470</f>
        <v/>
      </c>
      <c r="CV471">
        <f>$C471*CV470</f>
        <v/>
      </c>
      <c r="CW471">
        <f>$C471*CW470</f>
        <v/>
      </c>
      <c r="CX471">
        <f>$C471*CX470</f>
        <v/>
      </c>
      <c r="CY471">
        <f>$C471*CY470</f>
        <v/>
      </c>
      <c r="CZ471">
        <f>$C471*CZ470</f>
        <v/>
      </c>
      <c r="DA471">
        <f>$C471*DA470</f>
        <v/>
      </c>
      <c r="DB471">
        <f>$C471*DB470</f>
        <v/>
      </c>
      <c r="DC471">
        <f>$C471*DC470</f>
        <v/>
      </c>
      <c r="DD471">
        <f>$C471*DD470</f>
        <v/>
      </c>
    </row>
    <row r="472">
      <c r="B472" t="inlineStr">
        <is>
          <t>VSP-822</t>
        </is>
      </c>
      <c r="C472" t="inlineStr">
        <is>
          <t>No. of batches</t>
        </is>
      </c>
      <c r="D472">
        <f>IFERROR(INDEX(E472:DD472,$F$1),"")</f>
        <v/>
      </c>
      <c r="E472">
        <f>IFERROR(INDEX(PP_Grid[#Data],$DE472,2),0)</f>
        <v/>
      </c>
      <c r="F472">
        <f>IFERROR(INDEX(PP_Grid[#Data],$DE472,3),0)</f>
        <v/>
      </c>
      <c r="G472">
        <f>IFERROR(INDEX(PP_Grid[#Data],$DE472,4),0)</f>
        <v/>
      </c>
      <c r="H472">
        <f>IFERROR(INDEX(PP_Grid[#Data],$DE472,5),0)</f>
        <v/>
      </c>
      <c r="I472">
        <f>IFERROR(INDEX(PP_Grid[#Data],$DE472,6),0)</f>
        <v/>
      </c>
      <c r="J472">
        <f>IFERROR(INDEX(PP_Grid[#Data],$DE472,7),0)</f>
        <v/>
      </c>
      <c r="K472">
        <f>IFERROR(INDEX(PP_Grid[#Data],$DE472,8),0)</f>
        <v/>
      </c>
      <c r="L472">
        <f>IFERROR(INDEX(PP_Grid[#Data],$DE472,9),0)</f>
        <v/>
      </c>
      <c r="M472">
        <f>IFERROR(INDEX(PP_Grid[#Data],$DE472,10),0)</f>
        <v/>
      </c>
      <c r="N472">
        <f>IFERROR(INDEX(PP_Grid[#Data],$DE472,11),0)</f>
        <v/>
      </c>
      <c r="O472">
        <f>IFERROR(INDEX(PP_Grid[#Data],$DE472,12),0)</f>
        <v/>
      </c>
      <c r="P472">
        <f>IFERROR(INDEX(PP_Grid[#Data],$DE472,13),0)</f>
        <v/>
      </c>
      <c r="Q472">
        <f>IFERROR(INDEX(PP_Grid[#Data],$DE472,14),0)</f>
        <v/>
      </c>
      <c r="R472">
        <f>IFERROR(INDEX(PP_Grid[#Data],$DE472,15),0)</f>
        <v/>
      </c>
      <c r="S472">
        <f>IFERROR(INDEX(PP_Grid[#Data],$DE472,16),0)</f>
        <v/>
      </c>
      <c r="T472">
        <f>IFERROR(INDEX(PP_Grid[#Data],$DE472,17),0)</f>
        <v/>
      </c>
      <c r="U472">
        <f>IFERROR(INDEX(PP_Grid[#Data],$DE472,18),0)</f>
        <v/>
      </c>
      <c r="V472">
        <f>IFERROR(INDEX(PP_Grid[#Data],$DE472,19),0)</f>
        <v/>
      </c>
      <c r="W472">
        <f>IFERROR(INDEX(PP_Grid[#Data],$DE472,20),0)</f>
        <v/>
      </c>
      <c r="X472">
        <f>IFERROR(INDEX(PP_Grid[#Data],$DE472,21),0)</f>
        <v/>
      </c>
      <c r="Y472">
        <f>IFERROR(INDEX(PP_Grid[#Data],$DE472,22),0)</f>
        <v/>
      </c>
      <c r="Z472">
        <f>IFERROR(INDEX(PP_Grid[#Data],$DE472,23),0)</f>
        <v/>
      </c>
      <c r="AA472">
        <f>IFERROR(INDEX(PP_Grid[#Data],$DE472,24),0)</f>
        <v/>
      </c>
      <c r="AB472">
        <f>IFERROR(INDEX(PP_Grid[#Data],$DE472,25),0)</f>
        <v/>
      </c>
      <c r="AC472">
        <f>IFERROR(INDEX(PP_Grid[#Data],$DE472,26),0)</f>
        <v/>
      </c>
      <c r="AD472">
        <f>IFERROR(INDEX(PP_Grid[#Data],$DE472,27),0)</f>
        <v/>
      </c>
      <c r="AE472">
        <f>IFERROR(INDEX(PP_Grid[#Data],$DE472,28),0)</f>
        <v/>
      </c>
      <c r="AF472">
        <f>IFERROR(INDEX(PP_Grid[#Data],$DE472,29),0)</f>
        <v/>
      </c>
      <c r="AG472">
        <f>IFERROR(INDEX(PP_Grid[#Data],$DE472,30),0)</f>
        <v/>
      </c>
      <c r="AH472">
        <f>IFERROR(INDEX(PP_Grid[#Data],$DE472,31),0)</f>
        <v/>
      </c>
      <c r="AI472">
        <f>IFERROR(INDEX(PP_Grid[#Data],$DE472,32),0)</f>
        <v/>
      </c>
      <c r="AJ472">
        <f>IFERROR(INDEX(PP_Grid[#Data],$DE472,33),0)</f>
        <v/>
      </c>
      <c r="AK472">
        <f>IFERROR(INDEX(PP_Grid[#Data],$DE472,34),0)</f>
        <v/>
      </c>
      <c r="AL472">
        <f>IFERROR(INDEX(PP_Grid[#Data],$DE472,35),0)</f>
        <v/>
      </c>
      <c r="AM472">
        <f>IFERROR(INDEX(PP_Grid[#Data],$DE472,36),0)</f>
        <v/>
      </c>
      <c r="AN472">
        <f>IFERROR(INDEX(PP_Grid[#Data],$DE472,37),0)</f>
        <v/>
      </c>
      <c r="AO472">
        <f>IFERROR(INDEX(PP_Grid[#Data],$DE472,38),0)</f>
        <v/>
      </c>
      <c r="AP472">
        <f>IFERROR(INDEX(PP_Grid[#Data],$DE472,39),0)</f>
        <v/>
      </c>
      <c r="AQ472">
        <f>IFERROR(INDEX(PP_Grid[#Data],$DE472,40),0)</f>
        <v/>
      </c>
      <c r="AR472">
        <f>IFERROR(INDEX(PP_Grid[#Data],$DE472,41),0)</f>
        <v/>
      </c>
      <c r="AS472">
        <f>IFERROR(INDEX(PP_Grid[#Data],$DE472,42),0)</f>
        <v/>
      </c>
      <c r="AT472">
        <f>IFERROR(INDEX(PP_Grid[#Data],$DE472,43),0)</f>
        <v/>
      </c>
      <c r="AU472">
        <f>IFERROR(INDEX(PP_Grid[#Data],$DE472,44),0)</f>
        <v/>
      </c>
      <c r="AV472">
        <f>IFERROR(INDEX(PP_Grid[#Data],$DE472,45),0)</f>
        <v/>
      </c>
      <c r="AW472">
        <f>IFERROR(INDEX(PP_Grid[#Data],$DE472,46),0)</f>
        <v/>
      </c>
      <c r="AX472">
        <f>IFERROR(INDEX(PP_Grid[#Data],$DE472,47),0)</f>
        <v/>
      </c>
      <c r="AY472">
        <f>IFERROR(INDEX(PP_Grid[#Data],$DE472,48),0)</f>
        <v/>
      </c>
      <c r="AZ472">
        <f>IFERROR(INDEX(PP_Grid[#Data],$DE472,49),0)</f>
        <v/>
      </c>
      <c r="BA472">
        <f>IFERROR(INDEX(PP_Grid[#Data],$DE472,50),0)</f>
        <v/>
      </c>
      <c r="BB472">
        <f>IFERROR(INDEX(PP_Grid[#Data],$DE472,51),0)</f>
        <v/>
      </c>
      <c r="BC472">
        <f>IFERROR(INDEX(PP_Grid[#Data],$DE472,52),0)</f>
        <v/>
      </c>
      <c r="BD472">
        <f>IFERROR(INDEX(PP_Grid[#Data],$DE472,53),0)</f>
        <v/>
      </c>
      <c r="BE472">
        <f>IFERROR(INDEX(PP_Grid[#Data],$DE472,54),0)</f>
        <v/>
      </c>
      <c r="BF472">
        <f>IFERROR(INDEX(PP_Grid[#Data],$DE472,55),0)</f>
        <v/>
      </c>
      <c r="BG472">
        <f>IFERROR(INDEX(PP_Grid[#Data],$DE472,56),0)</f>
        <v/>
      </c>
      <c r="BH472">
        <f>IFERROR(INDEX(PP_Grid[#Data],$DE472,57),0)</f>
        <v/>
      </c>
      <c r="BI472">
        <f>IFERROR(INDEX(PP_Grid[#Data],$DE472,58),0)</f>
        <v/>
      </c>
      <c r="BJ472">
        <f>IFERROR(INDEX(PP_Grid[#Data],$DE472,59),0)</f>
        <v/>
      </c>
      <c r="BK472">
        <f>IFERROR(INDEX(PP_Grid[#Data],$DE472,60),0)</f>
        <v/>
      </c>
      <c r="BL472">
        <f>IFERROR(INDEX(PP_Grid[#Data],$DE472,61),0)</f>
        <v/>
      </c>
      <c r="BM472">
        <f>IFERROR(INDEX(PP_Grid[#Data],$DE472,62),0)</f>
        <v/>
      </c>
      <c r="BN472">
        <f>IFERROR(INDEX(PP_Grid[#Data],$DE472,63),0)</f>
        <v/>
      </c>
      <c r="BO472">
        <f>IFERROR(INDEX(PP_Grid[#Data],$DE472,64),0)</f>
        <v/>
      </c>
      <c r="BP472">
        <f>IFERROR(INDEX(PP_Grid[#Data],$DE472,65),0)</f>
        <v/>
      </c>
      <c r="BQ472">
        <f>IFERROR(INDEX(PP_Grid[#Data],$DE472,66),0)</f>
        <v/>
      </c>
      <c r="BR472">
        <f>IFERROR(INDEX(PP_Grid[#Data],$DE472,67),0)</f>
        <v/>
      </c>
      <c r="BS472">
        <f>IFERROR(INDEX(PP_Grid[#Data],$DE472,68),0)</f>
        <v/>
      </c>
      <c r="BT472">
        <f>IFERROR(INDEX(PP_Grid[#Data],$DE472,69),0)</f>
        <v/>
      </c>
      <c r="BU472">
        <f>IFERROR(INDEX(PP_Grid[#Data],$DE472,70),0)</f>
        <v/>
      </c>
      <c r="BV472">
        <f>IFERROR(INDEX(PP_Grid[#Data],$DE472,71),0)</f>
        <v/>
      </c>
      <c r="BW472">
        <f>IFERROR(INDEX(PP_Grid[#Data],$DE472,72),0)</f>
        <v/>
      </c>
      <c r="BX472">
        <f>IFERROR(INDEX(PP_Grid[#Data],$DE472,73),0)</f>
        <v/>
      </c>
      <c r="BY472">
        <f>IFERROR(INDEX(PP_Grid[#Data],$DE472,74),0)</f>
        <v/>
      </c>
      <c r="BZ472">
        <f>IFERROR(INDEX(PP_Grid[#Data],$DE472,75),0)</f>
        <v/>
      </c>
      <c r="CA472">
        <f>IFERROR(INDEX(PP_Grid[#Data],$DE472,76),0)</f>
        <v/>
      </c>
      <c r="CB472">
        <f>IFERROR(INDEX(PP_Grid[#Data],$DE472,77),0)</f>
        <v/>
      </c>
      <c r="CC472">
        <f>IFERROR(INDEX(PP_Grid[#Data],$DE472,78),0)</f>
        <v/>
      </c>
      <c r="CD472">
        <f>IFERROR(INDEX(PP_Grid[#Data],$DE472,79),0)</f>
        <v/>
      </c>
      <c r="CE472">
        <f>IFERROR(INDEX(PP_Grid[#Data],$DE472,80),0)</f>
        <v/>
      </c>
      <c r="CF472">
        <f>IFERROR(INDEX(PP_Grid[#Data],$DE472,81),0)</f>
        <v/>
      </c>
      <c r="CG472">
        <f>IFERROR(INDEX(PP_Grid[#Data],$DE472,82),0)</f>
        <v/>
      </c>
      <c r="CH472">
        <f>IFERROR(INDEX(PP_Grid[#Data],$DE472,83),0)</f>
        <v/>
      </c>
      <c r="CI472">
        <f>IFERROR(INDEX(PP_Grid[#Data],$DE472,84),0)</f>
        <v/>
      </c>
      <c r="CJ472">
        <f>IFERROR(INDEX(PP_Grid[#Data],$DE472,85),0)</f>
        <v/>
      </c>
      <c r="CK472">
        <f>IFERROR(INDEX(PP_Grid[#Data],$DE472,86),0)</f>
        <v/>
      </c>
      <c r="CL472">
        <f>IFERROR(INDEX(PP_Grid[#Data],$DE472,87),0)</f>
        <v/>
      </c>
      <c r="CM472">
        <f>IFERROR(INDEX(PP_Grid[#Data],$DE472,88),0)</f>
        <v/>
      </c>
      <c r="CN472">
        <f>IFERROR(INDEX(PP_Grid[#Data],$DE472,89),0)</f>
        <v/>
      </c>
      <c r="CO472">
        <f>IFERROR(INDEX(PP_Grid[#Data],$DE472,90),0)</f>
        <v/>
      </c>
      <c r="CP472">
        <f>IFERROR(INDEX(PP_Grid[#Data],$DE472,91),0)</f>
        <v/>
      </c>
      <c r="CQ472">
        <f>IFERROR(INDEX(PP_Grid[#Data],$DE472,92),0)</f>
        <v/>
      </c>
      <c r="CR472">
        <f>IFERROR(INDEX(PP_Grid[#Data],$DE472,93),0)</f>
        <v/>
      </c>
      <c r="CS472">
        <f>IFERROR(INDEX(PP_Grid[#Data],$DE472,94),0)</f>
        <v/>
      </c>
      <c r="CT472">
        <f>IFERROR(INDEX(PP_Grid[#Data],$DE472,95),0)</f>
        <v/>
      </c>
      <c r="CU472">
        <f>IFERROR(INDEX(PP_Grid[#Data],$DE472,96),0)</f>
        <v/>
      </c>
      <c r="CV472">
        <f>IFERROR(INDEX(PP_Grid[#Data],$DE472,97),0)</f>
        <v/>
      </c>
      <c r="CW472">
        <f>IFERROR(INDEX(PP_Grid[#Data],$DE472,98),0)</f>
        <v/>
      </c>
      <c r="CX472">
        <f>IFERROR(INDEX(PP_Grid[#Data],$DE472,99),0)</f>
        <v/>
      </c>
      <c r="CY472">
        <f>IFERROR(INDEX(PP_Grid[#Data],$DE472,100),0)</f>
        <v/>
      </c>
      <c r="CZ472">
        <f>IFERROR(INDEX(PP_Grid[#Data],$DE472,101),0)</f>
        <v/>
      </c>
      <c r="DA472">
        <f>IFERROR(INDEX(PP_Grid[#Data],$DE472,102),0)</f>
        <v/>
      </c>
      <c r="DB472">
        <f>IFERROR(INDEX(PP_Grid[#Data],$DE472,103),0)</f>
        <v/>
      </c>
      <c r="DC472">
        <f>IFERROR(INDEX(PP_Grid[#Data],$DE472,104),0)</f>
        <v/>
      </c>
      <c r="DD472">
        <f>IFERROR(INDEX(PP_Grid[#Data],$DE472,105),0)</f>
        <v/>
      </c>
      <c r="DE472" s="7">
        <f>IFERROR(MATCH($B472,PP_Grid[Intermediate],0),99999)</f>
        <v/>
      </c>
    </row>
    <row r="473">
      <c r="B473" t="inlineStr">
        <is>
          <t>使用量(kg)</t>
        </is>
      </c>
      <c r="C473">
        <f>SUMIFS(M_BOM[RM_Qty_Per_Batch],M_BOM[Intermediate],$B472,M_BOM[RM_Code],$A325)</f>
        <v/>
      </c>
      <c r="D473">
        <f>IFERROR(INDEX(E473:DD473,$F$1),"")</f>
        <v/>
      </c>
      <c r="E473">
        <f>$C473*E472</f>
        <v/>
      </c>
      <c r="F473">
        <f>$C473*F472</f>
        <v/>
      </c>
      <c r="G473">
        <f>$C473*G472</f>
        <v/>
      </c>
      <c r="H473">
        <f>$C473*H472</f>
        <v/>
      </c>
      <c r="I473">
        <f>$C473*I472</f>
        <v/>
      </c>
      <c r="J473">
        <f>$C473*J472</f>
        <v/>
      </c>
      <c r="K473">
        <f>$C473*K472</f>
        <v/>
      </c>
      <c r="L473">
        <f>$C473*L472</f>
        <v/>
      </c>
      <c r="M473">
        <f>$C473*M472</f>
        <v/>
      </c>
      <c r="N473">
        <f>$C473*N472</f>
        <v/>
      </c>
      <c r="O473">
        <f>$C473*O472</f>
        <v/>
      </c>
      <c r="P473">
        <f>$C473*P472</f>
        <v/>
      </c>
      <c r="Q473">
        <f>$C473*Q472</f>
        <v/>
      </c>
      <c r="R473">
        <f>$C473*R472</f>
        <v/>
      </c>
      <c r="S473">
        <f>$C473*S472</f>
        <v/>
      </c>
      <c r="T473">
        <f>$C473*T472</f>
        <v/>
      </c>
      <c r="U473">
        <f>$C473*U472</f>
        <v/>
      </c>
      <c r="V473">
        <f>$C473*V472</f>
        <v/>
      </c>
      <c r="W473">
        <f>$C473*W472</f>
        <v/>
      </c>
      <c r="X473">
        <f>$C473*X472</f>
        <v/>
      </c>
      <c r="Y473">
        <f>$C473*Y472</f>
        <v/>
      </c>
      <c r="Z473">
        <f>$C473*Z472</f>
        <v/>
      </c>
      <c r="AA473">
        <f>$C473*AA472</f>
        <v/>
      </c>
      <c r="AB473">
        <f>$C473*AB472</f>
        <v/>
      </c>
      <c r="AC473">
        <f>$C473*AC472</f>
        <v/>
      </c>
      <c r="AD473">
        <f>$C473*AD472</f>
        <v/>
      </c>
      <c r="AE473">
        <f>$C473*AE472</f>
        <v/>
      </c>
      <c r="AF473">
        <f>$C473*AF472</f>
        <v/>
      </c>
      <c r="AG473">
        <f>$C473*AG472</f>
        <v/>
      </c>
      <c r="AH473">
        <f>$C473*AH472</f>
        <v/>
      </c>
      <c r="AI473">
        <f>$C473*AI472</f>
        <v/>
      </c>
      <c r="AJ473">
        <f>$C473*AJ472</f>
        <v/>
      </c>
      <c r="AK473">
        <f>$C473*AK472</f>
        <v/>
      </c>
      <c r="AL473">
        <f>$C473*AL472</f>
        <v/>
      </c>
      <c r="AM473">
        <f>$C473*AM472</f>
        <v/>
      </c>
      <c r="AN473">
        <f>$C473*AN472</f>
        <v/>
      </c>
      <c r="AO473">
        <f>$C473*AO472</f>
        <v/>
      </c>
      <c r="AP473">
        <f>$C473*AP472</f>
        <v/>
      </c>
      <c r="AQ473">
        <f>$C473*AQ472</f>
        <v/>
      </c>
      <c r="AR473">
        <f>$C473*AR472</f>
        <v/>
      </c>
      <c r="AS473">
        <f>$C473*AS472</f>
        <v/>
      </c>
      <c r="AT473">
        <f>$C473*AT472</f>
        <v/>
      </c>
      <c r="AU473">
        <f>$C473*AU472</f>
        <v/>
      </c>
      <c r="AV473">
        <f>$C473*AV472</f>
        <v/>
      </c>
      <c r="AW473">
        <f>$C473*AW472</f>
        <v/>
      </c>
      <c r="AX473">
        <f>$C473*AX472</f>
        <v/>
      </c>
      <c r="AY473">
        <f>$C473*AY472</f>
        <v/>
      </c>
      <c r="AZ473">
        <f>$C473*AZ472</f>
        <v/>
      </c>
      <c r="BA473">
        <f>$C473*BA472</f>
        <v/>
      </c>
      <c r="BB473">
        <f>$C473*BB472</f>
        <v/>
      </c>
      <c r="BC473">
        <f>$C473*BC472</f>
        <v/>
      </c>
      <c r="BD473">
        <f>$C473*BD472</f>
        <v/>
      </c>
      <c r="BE473">
        <f>$C473*BE472</f>
        <v/>
      </c>
      <c r="BF473">
        <f>$C473*BF472</f>
        <v/>
      </c>
      <c r="BG473">
        <f>$C473*BG472</f>
        <v/>
      </c>
      <c r="BH473">
        <f>$C473*BH472</f>
        <v/>
      </c>
      <c r="BI473">
        <f>$C473*BI472</f>
        <v/>
      </c>
      <c r="BJ473">
        <f>$C473*BJ472</f>
        <v/>
      </c>
      <c r="BK473">
        <f>$C473*BK472</f>
        <v/>
      </c>
      <c r="BL473">
        <f>$C473*BL472</f>
        <v/>
      </c>
      <c r="BM473">
        <f>$C473*BM472</f>
        <v/>
      </c>
      <c r="BN473">
        <f>$C473*BN472</f>
        <v/>
      </c>
      <c r="BO473">
        <f>$C473*BO472</f>
        <v/>
      </c>
      <c r="BP473">
        <f>$C473*BP472</f>
        <v/>
      </c>
      <c r="BQ473">
        <f>$C473*BQ472</f>
        <v/>
      </c>
      <c r="BR473">
        <f>$C473*BR472</f>
        <v/>
      </c>
      <c r="BS473">
        <f>$C473*BS472</f>
        <v/>
      </c>
      <c r="BT473">
        <f>$C473*BT472</f>
        <v/>
      </c>
      <c r="BU473">
        <f>$C473*BU472</f>
        <v/>
      </c>
      <c r="BV473">
        <f>$C473*BV472</f>
        <v/>
      </c>
      <c r="BW473">
        <f>$C473*BW472</f>
        <v/>
      </c>
      <c r="BX473">
        <f>$C473*BX472</f>
        <v/>
      </c>
      <c r="BY473">
        <f>$C473*BY472</f>
        <v/>
      </c>
      <c r="BZ473">
        <f>$C473*BZ472</f>
        <v/>
      </c>
      <c r="CA473">
        <f>$C473*CA472</f>
        <v/>
      </c>
      <c r="CB473">
        <f>$C473*CB472</f>
        <v/>
      </c>
      <c r="CC473">
        <f>$C473*CC472</f>
        <v/>
      </c>
      <c r="CD473">
        <f>$C473*CD472</f>
        <v/>
      </c>
      <c r="CE473">
        <f>$C473*CE472</f>
        <v/>
      </c>
      <c r="CF473">
        <f>$C473*CF472</f>
        <v/>
      </c>
      <c r="CG473">
        <f>$C473*CG472</f>
        <v/>
      </c>
      <c r="CH473">
        <f>$C473*CH472</f>
        <v/>
      </c>
      <c r="CI473">
        <f>$C473*CI472</f>
        <v/>
      </c>
      <c r="CJ473">
        <f>$C473*CJ472</f>
        <v/>
      </c>
      <c r="CK473">
        <f>$C473*CK472</f>
        <v/>
      </c>
      <c r="CL473">
        <f>$C473*CL472</f>
        <v/>
      </c>
      <c r="CM473">
        <f>$C473*CM472</f>
        <v/>
      </c>
      <c r="CN473">
        <f>$C473*CN472</f>
        <v/>
      </c>
      <c r="CO473">
        <f>$C473*CO472</f>
        <v/>
      </c>
      <c r="CP473">
        <f>$C473*CP472</f>
        <v/>
      </c>
      <c r="CQ473">
        <f>$C473*CQ472</f>
        <v/>
      </c>
      <c r="CR473">
        <f>$C473*CR472</f>
        <v/>
      </c>
      <c r="CS473">
        <f>$C473*CS472</f>
        <v/>
      </c>
      <c r="CT473">
        <f>$C473*CT472</f>
        <v/>
      </c>
      <c r="CU473">
        <f>$C473*CU472</f>
        <v/>
      </c>
      <c r="CV473">
        <f>$C473*CV472</f>
        <v/>
      </c>
      <c r="CW473">
        <f>$C473*CW472</f>
        <v/>
      </c>
      <c r="CX473">
        <f>$C473*CX472</f>
        <v/>
      </c>
      <c r="CY473">
        <f>$C473*CY472</f>
        <v/>
      </c>
      <c r="CZ473">
        <f>$C473*CZ472</f>
        <v/>
      </c>
      <c r="DA473">
        <f>$C473*DA472</f>
        <v/>
      </c>
      <c r="DB473">
        <f>$C473*DB472</f>
        <v/>
      </c>
      <c r="DC473">
        <f>$C473*DC472</f>
        <v/>
      </c>
      <c r="DD473">
        <f>$C473*DD472</f>
        <v/>
      </c>
    </row>
    <row r="474">
      <c r="B474" t="inlineStr">
        <is>
          <t>VSP-869</t>
        </is>
      </c>
      <c r="C474" t="inlineStr">
        <is>
          <t>No. of batches</t>
        </is>
      </c>
      <c r="D474">
        <f>IFERROR(INDEX(E474:DD474,$F$1),"")</f>
        <v/>
      </c>
      <c r="E474">
        <f>IFERROR(INDEX(PP_Grid[#Data],$DE474,2),0)</f>
        <v/>
      </c>
      <c r="F474">
        <f>IFERROR(INDEX(PP_Grid[#Data],$DE474,3),0)</f>
        <v/>
      </c>
      <c r="G474">
        <f>IFERROR(INDEX(PP_Grid[#Data],$DE474,4),0)</f>
        <v/>
      </c>
      <c r="H474">
        <f>IFERROR(INDEX(PP_Grid[#Data],$DE474,5),0)</f>
        <v/>
      </c>
      <c r="I474">
        <f>IFERROR(INDEX(PP_Grid[#Data],$DE474,6),0)</f>
        <v/>
      </c>
      <c r="J474">
        <f>IFERROR(INDEX(PP_Grid[#Data],$DE474,7),0)</f>
        <v/>
      </c>
      <c r="K474">
        <f>IFERROR(INDEX(PP_Grid[#Data],$DE474,8),0)</f>
        <v/>
      </c>
      <c r="L474">
        <f>IFERROR(INDEX(PP_Grid[#Data],$DE474,9),0)</f>
        <v/>
      </c>
      <c r="M474">
        <f>IFERROR(INDEX(PP_Grid[#Data],$DE474,10),0)</f>
        <v/>
      </c>
      <c r="N474">
        <f>IFERROR(INDEX(PP_Grid[#Data],$DE474,11),0)</f>
        <v/>
      </c>
      <c r="O474">
        <f>IFERROR(INDEX(PP_Grid[#Data],$DE474,12),0)</f>
        <v/>
      </c>
      <c r="P474">
        <f>IFERROR(INDEX(PP_Grid[#Data],$DE474,13),0)</f>
        <v/>
      </c>
      <c r="Q474">
        <f>IFERROR(INDEX(PP_Grid[#Data],$DE474,14),0)</f>
        <v/>
      </c>
      <c r="R474">
        <f>IFERROR(INDEX(PP_Grid[#Data],$DE474,15),0)</f>
        <v/>
      </c>
      <c r="S474">
        <f>IFERROR(INDEX(PP_Grid[#Data],$DE474,16),0)</f>
        <v/>
      </c>
      <c r="T474">
        <f>IFERROR(INDEX(PP_Grid[#Data],$DE474,17),0)</f>
        <v/>
      </c>
      <c r="U474">
        <f>IFERROR(INDEX(PP_Grid[#Data],$DE474,18),0)</f>
        <v/>
      </c>
      <c r="V474">
        <f>IFERROR(INDEX(PP_Grid[#Data],$DE474,19),0)</f>
        <v/>
      </c>
      <c r="W474">
        <f>IFERROR(INDEX(PP_Grid[#Data],$DE474,20),0)</f>
        <v/>
      </c>
      <c r="X474">
        <f>IFERROR(INDEX(PP_Grid[#Data],$DE474,21),0)</f>
        <v/>
      </c>
      <c r="Y474">
        <f>IFERROR(INDEX(PP_Grid[#Data],$DE474,22),0)</f>
        <v/>
      </c>
      <c r="Z474">
        <f>IFERROR(INDEX(PP_Grid[#Data],$DE474,23),0)</f>
        <v/>
      </c>
      <c r="AA474">
        <f>IFERROR(INDEX(PP_Grid[#Data],$DE474,24),0)</f>
        <v/>
      </c>
      <c r="AB474">
        <f>IFERROR(INDEX(PP_Grid[#Data],$DE474,25),0)</f>
        <v/>
      </c>
      <c r="AC474">
        <f>IFERROR(INDEX(PP_Grid[#Data],$DE474,26),0)</f>
        <v/>
      </c>
      <c r="AD474">
        <f>IFERROR(INDEX(PP_Grid[#Data],$DE474,27),0)</f>
        <v/>
      </c>
      <c r="AE474">
        <f>IFERROR(INDEX(PP_Grid[#Data],$DE474,28),0)</f>
        <v/>
      </c>
      <c r="AF474">
        <f>IFERROR(INDEX(PP_Grid[#Data],$DE474,29),0)</f>
        <v/>
      </c>
      <c r="AG474">
        <f>IFERROR(INDEX(PP_Grid[#Data],$DE474,30),0)</f>
        <v/>
      </c>
      <c r="AH474">
        <f>IFERROR(INDEX(PP_Grid[#Data],$DE474,31),0)</f>
        <v/>
      </c>
      <c r="AI474">
        <f>IFERROR(INDEX(PP_Grid[#Data],$DE474,32),0)</f>
        <v/>
      </c>
      <c r="AJ474">
        <f>IFERROR(INDEX(PP_Grid[#Data],$DE474,33),0)</f>
        <v/>
      </c>
      <c r="AK474">
        <f>IFERROR(INDEX(PP_Grid[#Data],$DE474,34),0)</f>
        <v/>
      </c>
      <c r="AL474">
        <f>IFERROR(INDEX(PP_Grid[#Data],$DE474,35),0)</f>
        <v/>
      </c>
      <c r="AM474">
        <f>IFERROR(INDEX(PP_Grid[#Data],$DE474,36),0)</f>
        <v/>
      </c>
      <c r="AN474">
        <f>IFERROR(INDEX(PP_Grid[#Data],$DE474,37),0)</f>
        <v/>
      </c>
      <c r="AO474">
        <f>IFERROR(INDEX(PP_Grid[#Data],$DE474,38),0)</f>
        <v/>
      </c>
      <c r="AP474">
        <f>IFERROR(INDEX(PP_Grid[#Data],$DE474,39),0)</f>
        <v/>
      </c>
      <c r="AQ474">
        <f>IFERROR(INDEX(PP_Grid[#Data],$DE474,40),0)</f>
        <v/>
      </c>
      <c r="AR474">
        <f>IFERROR(INDEX(PP_Grid[#Data],$DE474,41),0)</f>
        <v/>
      </c>
      <c r="AS474">
        <f>IFERROR(INDEX(PP_Grid[#Data],$DE474,42),0)</f>
        <v/>
      </c>
      <c r="AT474">
        <f>IFERROR(INDEX(PP_Grid[#Data],$DE474,43),0)</f>
        <v/>
      </c>
      <c r="AU474">
        <f>IFERROR(INDEX(PP_Grid[#Data],$DE474,44),0)</f>
        <v/>
      </c>
      <c r="AV474">
        <f>IFERROR(INDEX(PP_Grid[#Data],$DE474,45),0)</f>
        <v/>
      </c>
      <c r="AW474">
        <f>IFERROR(INDEX(PP_Grid[#Data],$DE474,46),0)</f>
        <v/>
      </c>
      <c r="AX474">
        <f>IFERROR(INDEX(PP_Grid[#Data],$DE474,47),0)</f>
        <v/>
      </c>
      <c r="AY474">
        <f>IFERROR(INDEX(PP_Grid[#Data],$DE474,48),0)</f>
        <v/>
      </c>
      <c r="AZ474">
        <f>IFERROR(INDEX(PP_Grid[#Data],$DE474,49),0)</f>
        <v/>
      </c>
      <c r="BA474">
        <f>IFERROR(INDEX(PP_Grid[#Data],$DE474,50),0)</f>
        <v/>
      </c>
      <c r="BB474">
        <f>IFERROR(INDEX(PP_Grid[#Data],$DE474,51),0)</f>
        <v/>
      </c>
      <c r="BC474">
        <f>IFERROR(INDEX(PP_Grid[#Data],$DE474,52),0)</f>
        <v/>
      </c>
      <c r="BD474">
        <f>IFERROR(INDEX(PP_Grid[#Data],$DE474,53),0)</f>
        <v/>
      </c>
      <c r="BE474">
        <f>IFERROR(INDEX(PP_Grid[#Data],$DE474,54),0)</f>
        <v/>
      </c>
      <c r="BF474">
        <f>IFERROR(INDEX(PP_Grid[#Data],$DE474,55),0)</f>
        <v/>
      </c>
      <c r="BG474">
        <f>IFERROR(INDEX(PP_Grid[#Data],$DE474,56),0)</f>
        <v/>
      </c>
      <c r="BH474">
        <f>IFERROR(INDEX(PP_Grid[#Data],$DE474,57),0)</f>
        <v/>
      </c>
      <c r="BI474">
        <f>IFERROR(INDEX(PP_Grid[#Data],$DE474,58),0)</f>
        <v/>
      </c>
      <c r="BJ474">
        <f>IFERROR(INDEX(PP_Grid[#Data],$DE474,59),0)</f>
        <v/>
      </c>
      <c r="BK474">
        <f>IFERROR(INDEX(PP_Grid[#Data],$DE474,60),0)</f>
        <v/>
      </c>
      <c r="BL474">
        <f>IFERROR(INDEX(PP_Grid[#Data],$DE474,61),0)</f>
        <v/>
      </c>
      <c r="BM474">
        <f>IFERROR(INDEX(PP_Grid[#Data],$DE474,62),0)</f>
        <v/>
      </c>
      <c r="BN474">
        <f>IFERROR(INDEX(PP_Grid[#Data],$DE474,63),0)</f>
        <v/>
      </c>
      <c r="BO474">
        <f>IFERROR(INDEX(PP_Grid[#Data],$DE474,64),0)</f>
        <v/>
      </c>
      <c r="BP474">
        <f>IFERROR(INDEX(PP_Grid[#Data],$DE474,65),0)</f>
        <v/>
      </c>
      <c r="BQ474">
        <f>IFERROR(INDEX(PP_Grid[#Data],$DE474,66),0)</f>
        <v/>
      </c>
      <c r="BR474">
        <f>IFERROR(INDEX(PP_Grid[#Data],$DE474,67),0)</f>
        <v/>
      </c>
      <c r="BS474">
        <f>IFERROR(INDEX(PP_Grid[#Data],$DE474,68),0)</f>
        <v/>
      </c>
      <c r="BT474">
        <f>IFERROR(INDEX(PP_Grid[#Data],$DE474,69),0)</f>
        <v/>
      </c>
      <c r="BU474">
        <f>IFERROR(INDEX(PP_Grid[#Data],$DE474,70),0)</f>
        <v/>
      </c>
      <c r="BV474">
        <f>IFERROR(INDEX(PP_Grid[#Data],$DE474,71),0)</f>
        <v/>
      </c>
      <c r="BW474">
        <f>IFERROR(INDEX(PP_Grid[#Data],$DE474,72),0)</f>
        <v/>
      </c>
      <c r="BX474">
        <f>IFERROR(INDEX(PP_Grid[#Data],$DE474,73),0)</f>
        <v/>
      </c>
      <c r="BY474">
        <f>IFERROR(INDEX(PP_Grid[#Data],$DE474,74),0)</f>
        <v/>
      </c>
      <c r="BZ474">
        <f>IFERROR(INDEX(PP_Grid[#Data],$DE474,75),0)</f>
        <v/>
      </c>
      <c r="CA474">
        <f>IFERROR(INDEX(PP_Grid[#Data],$DE474,76),0)</f>
        <v/>
      </c>
      <c r="CB474">
        <f>IFERROR(INDEX(PP_Grid[#Data],$DE474,77),0)</f>
        <v/>
      </c>
      <c r="CC474">
        <f>IFERROR(INDEX(PP_Grid[#Data],$DE474,78),0)</f>
        <v/>
      </c>
      <c r="CD474">
        <f>IFERROR(INDEX(PP_Grid[#Data],$DE474,79),0)</f>
        <v/>
      </c>
      <c r="CE474">
        <f>IFERROR(INDEX(PP_Grid[#Data],$DE474,80),0)</f>
        <v/>
      </c>
      <c r="CF474">
        <f>IFERROR(INDEX(PP_Grid[#Data],$DE474,81),0)</f>
        <v/>
      </c>
      <c r="CG474">
        <f>IFERROR(INDEX(PP_Grid[#Data],$DE474,82),0)</f>
        <v/>
      </c>
      <c r="CH474">
        <f>IFERROR(INDEX(PP_Grid[#Data],$DE474,83),0)</f>
        <v/>
      </c>
      <c r="CI474">
        <f>IFERROR(INDEX(PP_Grid[#Data],$DE474,84),0)</f>
        <v/>
      </c>
      <c r="CJ474">
        <f>IFERROR(INDEX(PP_Grid[#Data],$DE474,85),0)</f>
        <v/>
      </c>
      <c r="CK474">
        <f>IFERROR(INDEX(PP_Grid[#Data],$DE474,86),0)</f>
        <v/>
      </c>
      <c r="CL474">
        <f>IFERROR(INDEX(PP_Grid[#Data],$DE474,87),0)</f>
        <v/>
      </c>
      <c r="CM474">
        <f>IFERROR(INDEX(PP_Grid[#Data],$DE474,88),0)</f>
        <v/>
      </c>
      <c r="CN474">
        <f>IFERROR(INDEX(PP_Grid[#Data],$DE474,89),0)</f>
        <v/>
      </c>
      <c r="CO474">
        <f>IFERROR(INDEX(PP_Grid[#Data],$DE474,90),0)</f>
        <v/>
      </c>
      <c r="CP474">
        <f>IFERROR(INDEX(PP_Grid[#Data],$DE474,91),0)</f>
        <v/>
      </c>
      <c r="CQ474">
        <f>IFERROR(INDEX(PP_Grid[#Data],$DE474,92),0)</f>
        <v/>
      </c>
      <c r="CR474">
        <f>IFERROR(INDEX(PP_Grid[#Data],$DE474,93),0)</f>
        <v/>
      </c>
      <c r="CS474">
        <f>IFERROR(INDEX(PP_Grid[#Data],$DE474,94),0)</f>
        <v/>
      </c>
      <c r="CT474">
        <f>IFERROR(INDEX(PP_Grid[#Data],$DE474,95),0)</f>
        <v/>
      </c>
      <c r="CU474">
        <f>IFERROR(INDEX(PP_Grid[#Data],$DE474,96),0)</f>
        <v/>
      </c>
      <c r="CV474">
        <f>IFERROR(INDEX(PP_Grid[#Data],$DE474,97),0)</f>
        <v/>
      </c>
      <c r="CW474">
        <f>IFERROR(INDEX(PP_Grid[#Data],$DE474,98),0)</f>
        <v/>
      </c>
      <c r="CX474">
        <f>IFERROR(INDEX(PP_Grid[#Data],$DE474,99),0)</f>
        <v/>
      </c>
      <c r="CY474">
        <f>IFERROR(INDEX(PP_Grid[#Data],$DE474,100),0)</f>
        <v/>
      </c>
      <c r="CZ474">
        <f>IFERROR(INDEX(PP_Grid[#Data],$DE474,101),0)</f>
        <v/>
      </c>
      <c r="DA474">
        <f>IFERROR(INDEX(PP_Grid[#Data],$DE474,102),0)</f>
        <v/>
      </c>
      <c r="DB474">
        <f>IFERROR(INDEX(PP_Grid[#Data],$DE474,103),0)</f>
        <v/>
      </c>
      <c r="DC474">
        <f>IFERROR(INDEX(PP_Grid[#Data],$DE474,104),0)</f>
        <v/>
      </c>
      <c r="DD474">
        <f>IFERROR(INDEX(PP_Grid[#Data],$DE474,105),0)</f>
        <v/>
      </c>
      <c r="DE474" s="7">
        <f>IFERROR(MATCH($B474,PP_Grid[Intermediate],0),99999)</f>
        <v/>
      </c>
    </row>
    <row r="475">
      <c r="B475" t="inlineStr">
        <is>
          <t>使用量(kg)</t>
        </is>
      </c>
      <c r="C475">
        <f>SUMIFS(M_BOM[RM_Qty_Per_Batch],M_BOM[Intermediate],$B474,M_BOM[RM_Code],$A325)</f>
        <v/>
      </c>
      <c r="D475">
        <f>IFERROR(INDEX(E475:DD475,$F$1),"")</f>
        <v/>
      </c>
      <c r="E475">
        <f>$C475*E474</f>
        <v/>
      </c>
      <c r="F475">
        <f>$C475*F474</f>
        <v/>
      </c>
      <c r="G475">
        <f>$C475*G474</f>
        <v/>
      </c>
      <c r="H475">
        <f>$C475*H474</f>
        <v/>
      </c>
      <c r="I475">
        <f>$C475*I474</f>
        <v/>
      </c>
      <c r="J475">
        <f>$C475*J474</f>
        <v/>
      </c>
      <c r="K475">
        <f>$C475*K474</f>
        <v/>
      </c>
      <c r="L475">
        <f>$C475*L474</f>
        <v/>
      </c>
      <c r="M475">
        <f>$C475*M474</f>
        <v/>
      </c>
      <c r="N475">
        <f>$C475*N474</f>
        <v/>
      </c>
      <c r="O475">
        <f>$C475*O474</f>
        <v/>
      </c>
      <c r="P475">
        <f>$C475*P474</f>
        <v/>
      </c>
      <c r="Q475">
        <f>$C475*Q474</f>
        <v/>
      </c>
      <c r="R475">
        <f>$C475*R474</f>
        <v/>
      </c>
      <c r="S475">
        <f>$C475*S474</f>
        <v/>
      </c>
      <c r="T475">
        <f>$C475*T474</f>
        <v/>
      </c>
      <c r="U475">
        <f>$C475*U474</f>
        <v/>
      </c>
      <c r="V475">
        <f>$C475*V474</f>
        <v/>
      </c>
      <c r="W475">
        <f>$C475*W474</f>
        <v/>
      </c>
      <c r="X475">
        <f>$C475*X474</f>
        <v/>
      </c>
      <c r="Y475">
        <f>$C475*Y474</f>
        <v/>
      </c>
      <c r="Z475">
        <f>$C475*Z474</f>
        <v/>
      </c>
      <c r="AA475">
        <f>$C475*AA474</f>
        <v/>
      </c>
      <c r="AB475">
        <f>$C475*AB474</f>
        <v/>
      </c>
      <c r="AC475">
        <f>$C475*AC474</f>
        <v/>
      </c>
      <c r="AD475">
        <f>$C475*AD474</f>
        <v/>
      </c>
      <c r="AE475">
        <f>$C475*AE474</f>
        <v/>
      </c>
      <c r="AF475">
        <f>$C475*AF474</f>
        <v/>
      </c>
      <c r="AG475">
        <f>$C475*AG474</f>
        <v/>
      </c>
      <c r="AH475">
        <f>$C475*AH474</f>
        <v/>
      </c>
      <c r="AI475">
        <f>$C475*AI474</f>
        <v/>
      </c>
      <c r="AJ475">
        <f>$C475*AJ474</f>
        <v/>
      </c>
      <c r="AK475">
        <f>$C475*AK474</f>
        <v/>
      </c>
      <c r="AL475">
        <f>$C475*AL474</f>
        <v/>
      </c>
      <c r="AM475">
        <f>$C475*AM474</f>
        <v/>
      </c>
      <c r="AN475">
        <f>$C475*AN474</f>
        <v/>
      </c>
      <c r="AO475">
        <f>$C475*AO474</f>
        <v/>
      </c>
      <c r="AP475">
        <f>$C475*AP474</f>
        <v/>
      </c>
      <c r="AQ475">
        <f>$C475*AQ474</f>
        <v/>
      </c>
      <c r="AR475">
        <f>$C475*AR474</f>
        <v/>
      </c>
      <c r="AS475">
        <f>$C475*AS474</f>
        <v/>
      </c>
      <c r="AT475">
        <f>$C475*AT474</f>
        <v/>
      </c>
      <c r="AU475">
        <f>$C475*AU474</f>
        <v/>
      </c>
      <c r="AV475">
        <f>$C475*AV474</f>
        <v/>
      </c>
      <c r="AW475">
        <f>$C475*AW474</f>
        <v/>
      </c>
      <c r="AX475">
        <f>$C475*AX474</f>
        <v/>
      </c>
      <c r="AY475">
        <f>$C475*AY474</f>
        <v/>
      </c>
      <c r="AZ475">
        <f>$C475*AZ474</f>
        <v/>
      </c>
      <c r="BA475">
        <f>$C475*BA474</f>
        <v/>
      </c>
      <c r="BB475">
        <f>$C475*BB474</f>
        <v/>
      </c>
      <c r="BC475">
        <f>$C475*BC474</f>
        <v/>
      </c>
      <c r="BD475">
        <f>$C475*BD474</f>
        <v/>
      </c>
      <c r="BE475">
        <f>$C475*BE474</f>
        <v/>
      </c>
      <c r="BF475">
        <f>$C475*BF474</f>
        <v/>
      </c>
      <c r="BG475">
        <f>$C475*BG474</f>
        <v/>
      </c>
      <c r="BH475">
        <f>$C475*BH474</f>
        <v/>
      </c>
      <c r="BI475">
        <f>$C475*BI474</f>
        <v/>
      </c>
      <c r="BJ475">
        <f>$C475*BJ474</f>
        <v/>
      </c>
      <c r="BK475">
        <f>$C475*BK474</f>
        <v/>
      </c>
      <c r="BL475">
        <f>$C475*BL474</f>
        <v/>
      </c>
      <c r="BM475">
        <f>$C475*BM474</f>
        <v/>
      </c>
      <c r="BN475">
        <f>$C475*BN474</f>
        <v/>
      </c>
      <c r="BO475">
        <f>$C475*BO474</f>
        <v/>
      </c>
      <c r="BP475">
        <f>$C475*BP474</f>
        <v/>
      </c>
      <c r="BQ475">
        <f>$C475*BQ474</f>
        <v/>
      </c>
      <c r="BR475">
        <f>$C475*BR474</f>
        <v/>
      </c>
      <c r="BS475">
        <f>$C475*BS474</f>
        <v/>
      </c>
      <c r="BT475">
        <f>$C475*BT474</f>
        <v/>
      </c>
      <c r="BU475">
        <f>$C475*BU474</f>
        <v/>
      </c>
      <c r="BV475">
        <f>$C475*BV474</f>
        <v/>
      </c>
      <c r="BW475">
        <f>$C475*BW474</f>
        <v/>
      </c>
      <c r="BX475">
        <f>$C475*BX474</f>
        <v/>
      </c>
      <c r="BY475">
        <f>$C475*BY474</f>
        <v/>
      </c>
      <c r="BZ475">
        <f>$C475*BZ474</f>
        <v/>
      </c>
      <c r="CA475">
        <f>$C475*CA474</f>
        <v/>
      </c>
      <c r="CB475">
        <f>$C475*CB474</f>
        <v/>
      </c>
      <c r="CC475">
        <f>$C475*CC474</f>
        <v/>
      </c>
      <c r="CD475">
        <f>$C475*CD474</f>
        <v/>
      </c>
      <c r="CE475">
        <f>$C475*CE474</f>
        <v/>
      </c>
      <c r="CF475">
        <f>$C475*CF474</f>
        <v/>
      </c>
      <c r="CG475">
        <f>$C475*CG474</f>
        <v/>
      </c>
      <c r="CH475">
        <f>$C475*CH474</f>
        <v/>
      </c>
      <c r="CI475">
        <f>$C475*CI474</f>
        <v/>
      </c>
      <c r="CJ475">
        <f>$C475*CJ474</f>
        <v/>
      </c>
      <c r="CK475">
        <f>$C475*CK474</f>
        <v/>
      </c>
      <c r="CL475">
        <f>$C475*CL474</f>
        <v/>
      </c>
      <c r="CM475">
        <f>$C475*CM474</f>
        <v/>
      </c>
      <c r="CN475">
        <f>$C475*CN474</f>
        <v/>
      </c>
      <c r="CO475">
        <f>$C475*CO474</f>
        <v/>
      </c>
      <c r="CP475">
        <f>$C475*CP474</f>
        <v/>
      </c>
      <c r="CQ475">
        <f>$C475*CQ474</f>
        <v/>
      </c>
      <c r="CR475">
        <f>$C475*CR474</f>
        <v/>
      </c>
      <c r="CS475">
        <f>$C475*CS474</f>
        <v/>
      </c>
      <c r="CT475">
        <f>$C475*CT474</f>
        <v/>
      </c>
      <c r="CU475">
        <f>$C475*CU474</f>
        <v/>
      </c>
      <c r="CV475">
        <f>$C475*CV474</f>
        <v/>
      </c>
      <c r="CW475">
        <f>$C475*CW474</f>
        <v/>
      </c>
      <c r="CX475">
        <f>$C475*CX474</f>
        <v/>
      </c>
      <c r="CY475">
        <f>$C475*CY474</f>
        <v/>
      </c>
      <c r="CZ475">
        <f>$C475*CZ474</f>
        <v/>
      </c>
      <c r="DA475">
        <f>$C475*DA474</f>
        <v/>
      </c>
      <c r="DB475">
        <f>$C475*DB474</f>
        <v/>
      </c>
      <c r="DC475">
        <f>$C475*DC474</f>
        <v/>
      </c>
      <c r="DD475">
        <f>$C475*DD474</f>
        <v/>
      </c>
    </row>
    <row r="476">
      <c r="B476" t="inlineStr">
        <is>
          <t>VSP-870</t>
        </is>
      </c>
      <c r="C476" t="inlineStr">
        <is>
          <t>No. of batches</t>
        </is>
      </c>
      <c r="D476">
        <f>IFERROR(INDEX(E476:DD476,$F$1),"")</f>
        <v/>
      </c>
      <c r="E476">
        <f>IFERROR(INDEX(PP_Grid[#Data],$DE476,2),0)</f>
        <v/>
      </c>
      <c r="F476">
        <f>IFERROR(INDEX(PP_Grid[#Data],$DE476,3),0)</f>
        <v/>
      </c>
      <c r="G476">
        <f>IFERROR(INDEX(PP_Grid[#Data],$DE476,4),0)</f>
        <v/>
      </c>
      <c r="H476">
        <f>IFERROR(INDEX(PP_Grid[#Data],$DE476,5),0)</f>
        <v/>
      </c>
      <c r="I476">
        <f>IFERROR(INDEX(PP_Grid[#Data],$DE476,6),0)</f>
        <v/>
      </c>
      <c r="J476">
        <f>IFERROR(INDEX(PP_Grid[#Data],$DE476,7),0)</f>
        <v/>
      </c>
      <c r="K476">
        <f>IFERROR(INDEX(PP_Grid[#Data],$DE476,8),0)</f>
        <v/>
      </c>
      <c r="L476">
        <f>IFERROR(INDEX(PP_Grid[#Data],$DE476,9),0)</f>
        <v/>
      </c>
      <c r="M476">
        <f>IFERROR(INDEX(PP_Grid[#Data],$DE476,10),0)</f>
        <v/>
      </c>
      <c r="N476">
        <f>IFERROR(INDEX(PP_Grid[#Data],$DE476,11),0)</f>
        <v/>
      </c>
      <c r="O476">
        <f>IFERROR(INDEX(PP_Grid[#Data],$DE476,12),0)</f>
        <v/>
      </c>
      <c r="P476">
        <f>IFERROR(INDEX(PP_Grid[#Data],$DE476,13),0)</f>
        <v/>
      </c>
      <c r="Q476">
        <f>IFERROR(INDEX(PP_Grid[#Data],$DE476,14),0)</f>
        <v/>
      </c>
      <c r="R476">
        <f>IFERROR(INDEX(PP_Grid[#Data],$DE476,15),0)</f>
        <v/>
      </c>
      <c r="S476">
        <f>IFERROR(INDEX(PP_Grid[#Data],$DE476,16),0)</f>
        <v/>
      </c>
      <c r="T476">
        <f>IFERROR(INDEX(PP_Grid[#Data],$DE476,17),0)</f>
        <v/>
      </c>
      <c r="U476">
        <f>IFERROR(INDEX(PP_Grid[#Data],$DE476,18),0)</f>
        <v/>
      </c>
      <c r="V476">
        <f>IFERROR(INDEX(PP_Grid[#Data],$DE476,19),0)</f>
        <v/>
      </c>
      <c r="W476">
        <f>IFERROR(INDEX(PP_Grid[#Data],$DE476,20),0)</f>
        <v/>
      </c>
      <c r="X476">
        <f>IFERROR(INDEX(PP_Grid[#Data],$DE476,21),0)</f>
        <v/>
      </c>
      <c r="Y476">
        <f>IFERROR(INDEX(PP_Grid[#Data],$DE476,22),0)</f>
        <v/>
      </c>
      <c r="Z476">
        <f>IFERROR(INDEX(PP_Grid[#Data],$DE476,23),0)</f>
        <v/>
      </c>
      <c r="AA476">
        <f>IFERROR(INDEX(PP_Grid[#Data],$DE476,24),0)</f>
        <v/>
      </c>
      <c r="AB476">
        <f>IFERROR(INDEX(PP_Grid[#Data],$DE476,25),0)</f>
        <v/>
      </c>
      <c r="AC476">
        <f>IFERROR(INDEX(PP_Grid[#Data],$DE476,26),0)</f>
        <v/>
      </c>
      <c r="AD476">
        <f>IFERROR(INDEX(PP_Grid[#Data],$DE476,27),0)</f>
        <v/>
      </c>
      <c r="AE476">
        <f>IFERROR(INDEX(PP_Grid[#Data],$DE476,28),0)</f>
        <v/>
      </c>
      <c r="AF476">
        <f>IFERROR(INDEX(PP_Grid[#Data],$DE476,29),0)</f>
        <v/>
      </c>
      <c r="AG476">
        <f>IFERROR(INDEX(PP_Grid[#Data],$DE476,30),0)</f>
        <v/>
      </c>
      <c r="AH476">
        <f>IFERROR(INDEX(PP_Grid[#Data],$DE476,31),0)</f>
        <v/>
      </c>
      <c r="AI476">
        <f>IFERROR(INDEX(PP_Grid[#Data],$DE476,32),0)</f>
        <v/>
      </c>
      <c r="AJ476">
        <f>IFERROR(INDEX(PP_Grid[#Data],$DE476,33),0)</f>
        <v/>
      </c>
      <c r="AK476">
        <f>IFERROR(INDEX(PP_Grid[#Data],$DE476,34),0)</f>
        <v/>
      </c>
      <c r="AL476">
        <f>IFERROR(INDEX(PP_Grid[#Data],$DE476,35),0)</f>
        <v/>
      </c>
      <c r="AM476">
        <f>IFERROR(INDEX(PP_Grid[#Data],$DE476,36),0)</f>
        <v/>
      </c>
      <c r="AN476">
        <f>IFERROR(INDEX(PP_Grid[#Data],$DE476,37),0)</f>
        <v/>
      </c>
      <c r="AO476">
        <f>IFERROR(INDEX(PP_Grid[#Data],$DE476,38),0)</f>
        <v/>
      </c>
      <c r="AP476">
        <f>IFERROR(INDEX(PP_Grid[#Data],$DE476,39),0)</f>
        <v/>
      </c>
      <c r="AQ476">
        <f>IFERROR(INDEX(PP_Grid[#Data],$DE476,40),0)</f>
        <v/>
      </c>
      <c r="AR476">
        <f>IFERROR(INDEX(PP_Grid[#Data],$DE476,41),0)</f>
        <v/>
      </c>
      <c r="AS476">
        <f>IFERROR(INDEX(PP_Grid[#Data],$DE476,42),0)</f>
        <v/>
      </c>
      <c r="AT476">
        <f>IFERROR(INDEX(PP_Grid[#Data],$DE476,43),0)</f>
        <v/>
      </c>
      <c r="AU476">
        <f>IFERROR(INDEX(PP_Grid[#Data],$DE476,44),0)</f>
        <v/>
      </c>
      <c r="AV476">
        <f>IFERROR(INDEX(PP_Grid[#Data],$DE476,45),0)</f>
        <v/>
      </c>
      <c r="AW476">
        <f>IFERROR(INDEX(PP_Grid[#Data],$DE476,46),0)</f>
        <v/>
      </c>
      <c r="AX476">
        <f>IFERROR(INDEX(PP_Grid[#Data],$DE476,47),0)</f>
        <v/>
      </c>
      <c r="AY476">
        <f>IFERROR(INDEX(PP_Grid[#Data],$DE476,48),0)</f>
        <v/>
      </c>
      <c r="AZ476">
        <f>IFERROR(INDEX(PP_Grid[#Data],$DE476,49),0)</f>
        <v/>
      </c>
      <c r="BA476">
        <f>IFERROR(INDEX(PP_Grid[#Data],$DE476,50),0)</f>
        <v/>
      </c>
      <c r="BB476">
        <f>IFERROR(INDEX(PP_Grid[#Data],$DE476,51),0)</f>
        <v/>
      </c>
      <c r="BC476">
        <f>IFERROR(INDEX(PP_Grid[#Data],$DE476,52),0)</f>
        <v/>
      </c>
      <c r="BD476">
        <f>IFERROR(INDEX(PP_Grid[#Data],$DE476,53),0)</f>
        <v/>
      </c>
      <c r="BE476">
        <f>IFERROR(INDEX(PP_Grid[#Data],$DE476,54),0)</f>
        <v/>
      </c>
      <c r="BF476">
        <f>IFERROR(INDEX(PP_Grid[#Data],$DE476,55),0)</f>
        <v/>
      </c>
      <c r="BG476">
        <f>IFERROR(INDEX(PP_Grid[#Data],$DE476,56),0)</f>
        <v/>
      </c>
      <c r="BH476">
        <f>IFERROR(INDEX(PP_Grid[#Data],$DE476,57),0)</f>
        <v/>
      </c>
      <c r="BI476">
        <f>IFERROR(INDEX(PP_Grid[#Data],$DE476,58),0)</f>
        <v/>
      </c>
      <c r="BJ476">
        <f>IFERROR(INDEX(PP_Grid[#Data],$DE476,59),0)</f>
        <v/>
      </c>
      <c r="BK476">
        <f>IFERROR(INDEX(PP_Grid[#Data],$DE476,60),0)</f>
        <v/>
      </c>
      <c r="BL476">
        <f>IFERROR(INDEX(PP_Grid[#Data],$DE476,61),0)</f>
        <v/>
      </c>
      <c r="BM476">
        <f>IFERROR(INDEX(PP_Grid[#Data],$DE476,62),0)</f>
        <v/>
      </c>
      <c r="BN476">
        <f>IFERROR(INDEX(PP_Grid[#Data],$DE476,63),0)</f>
        <v/>
      </c>
      <c r="BO476">
        <f>IFERROR(INDEX(PP_Grid[#Data],$DE476,64),0)</f>
        <v/>
      </c>
      <c r="BP476">
        <f>IFERROR(INDEX(PP_Grid[#Data],$DE476,65),0)</f>
        <v/>
      </c>
      <c r="BQ476">
        <f>IFERROR(INDEX(PP_Grid[#Data],$DE476,66),0)</f>
        <v/>
      </c>
      <c r="BR476">
        <f>IFERROR(INDEX(PP_Grid[#Data],$DE476,67),0)</f>
        <v/>
      </c>
      <c r="BS476">
        <f>IFERROR(INDEX(PP_Grid[#Data],$DE476,68),0)</f>
        <v/>
      </c>
      <c r="BT476">
        <f>IFERROR(INDEX(PP_Grid[#Data],$DE476,69),0)</f>
        <v/>
      </c>
      <c r="BU476">
        <f>IFERROR(INDEX(PP_Grid[#Data],$DE476,70),0)</f>
        <v/>
      </c>
      <c r="BV476">
        <f>IFERROR(INDEX(PP_Grid[#Data],$DE476,71),0)</f>
        <v/>
      </c>
      <c r="BW476">
        <f>IFERROR(INDEX(PP_Grid[#Data],$DE476,72),0)</f>
        <v/>
      </c>
      <c r="BX476">
        <f>IFERROR(INDEX(PP_Grid[#Data],$DE476,73),0)</f>
        <v/>
      </c>
      <c r="BY476">
        <f>IFERROR(INDEX(PP_Grid[#Data],$DE476,74),0)</f>
        <v/>
      </c>
      <c r="BZ476">
        <f>IFERROR(INDEX(PP_Grid[#Data],$DE476,75),0)</f>
        <v/>
      </c>
      <c r="CA476">
        <f>IFERROR(INDEX(PP_Grid[#Data],$DE476,76),0)</f>
        <v/>
      </c>
      <c r="CB476">
        <f>IFERROR(INDEX(PP_Grid[#Data],$DE476,77),0)</f>
        <v/>
      </c>
      <c r="CC476">
        <f>IFERROR(INDEX(PP_Grid[#Data],$DE476,78),0)</f>
        <v/>
      </c>
      <c r="CD476">
        <f>IFERROR(INDEX(PP_Grid[#Data],$DE476,79),0)</f>
        <v/>
      </c>
      <c r="CE476">
        <f>IFERROR(INDEX(PP_Grid[#Data],$DE476,80),0)</f>
        <v/>
      </c>
      <c r="CF476">
        <f>IFERROR(INDEX(PP_Grid[#Data],$DE476,81),0)</f>
        <v/>
      </c>
      <c r="CG476">
        <f>IFERROR(INDEX(PP_Grid[#Data],$DE476,82),0)</f>
        <v/>
      </c>
      <c r="CH476">
        <f>IFERROR(INDEX(PP_Grid[#Data],$DE476,83),0)</f>
        <v/>
      </c>
      <c r="CI476">
        <f>IFERROR(INDEX(PP_Grid[#Data],$DE476,84),0)</f>
        <v/>
      </c>
      <c r="CJ476">
        <f>IFERROR(INDEX(PP_Grid[#Data],$DE476,85),0)</f>
        <v/>
      </c>
      <c r="CK476">
        <f>IFERROR(INDEX(PP_Grid[#Data],$DE476,86),0)</f>
        <v/>
      </c>
      <c r="CL476">
        <f>IFERROR(INDEX(PP_Grid[#Data],$DE476,87),0)</f>
        <v/>
      </c>
      <c r="CM476">
        <f>IFERROR(INDEX(PP_Grid[#Data],$DE476,88),0)</f>
        <v/>
      </c>
      <c r="CN476">
        <f>IFERROR(INDEX(PP_Grid[#Data],$DE476,89),0)</f>
        <v/>
      </c>
      <c r="CO476">
        <f>IFERROR(INDEX(PP_Grid[#Data],$DE476,90),0)</f>
        <v/>
      </c>
      <c r="CP476">
        <f>IFERROR(INDEX(PP_Grid[#Data],$DE476,91),0)</f>
        <v/>
      </c>
      <c r="CQ476">
        <f>IFERROR(INDEX(PP_Grid[#Data],$DE476,92),0)</f>
        <v/>
      </c>
      <c r="CR476">
        <f>IFERROR(INDEX(PP_Grid[#Data],$DE476,93),0)</f>
        <v/>
      </c>
      <c r="CS476">
        <f>IFERROR(INDEX(PP_Grid[#Data],$DE476,94),0)</f>
        <v/>
      </c>
      <c r="CT476">
        <f>IFERROR(INDEX(PP_Grid[#Data],$DE476,95),0)</f>
        <v/>
      </c>
      <c r="CU476">
        <f>IFERROR(INDEX(PP_Grid[#Data],$DE476,96),0)</f>
        <v/>
      </c>
      <c r="CV476">
        <f>IFERROR(INDEX(PP_Grid[#Data],$DE476,97),0)</f>
        <v/>
      </c>
      <c r="CW476">
        <f>IFERROR(INDEX(PP_Grid[#Data],$DE476,98),0)</f>
        <v/>
      </c>
      <c r="CX476">
        <f>IFERROR(INDEX(PP_Grid[#Data],$DE476,99),0)</f>
        <v/>
      </c>
      <c r="CY476">
        <f>IFERROR(INDEX(PP_Grid[#Data],$DE476,100),0)</f>
        <v/>
      </c>
      <c r="CZ476">
        <f>IFERROR(INDEX(PP_Grid[#Data],$DE476,101),0)</f>
        <v/>
      </c>
      <c r="DA476">
        <f>IFERROR(INDEX(PP_Grid[#Data],$DE476,102),0)</f>
        <v/>
      </c>
      <c r="DB476">
        <f>IFERROR(INDEX(PP_Grid[#Data],$DE476,103),0)</f>
        <v/>
      </c>
      <c r="DC476">
        <f>IFERROR(INDEX(PP_Grid[#Data],$DE476,104),0)</f>
        <v/>
      </c>
      <c r="DD476">
        <f>IFERROR(INDEX(PP_Grid[#Data],$DE476,105),0)</f>
        <v/>
      </c>
      <c r="DE476" s="7">
        <f>IFERROR(MATCH($B476,PP_Grid[Intermediate],0),99999)</f>
        <v/>
      </c>
    </row>
    <row r="477">
      <c r="B477" t="inlineStr">
        <is>
          <t>使用量(kg)</t>
        </is>
      </c>
      <c r="C477">
        <f>SUMIFS(M_BOM[RM_Qty_Per_Batch],M_BOM[Intermediate],$B476,M_BOM[RM_Code],$A325)</f>
        <v/>
      </c>
      <c r="D477">
        <f>IFERROR(INDEX(E477:DD477,$F$1),"")</f>
        <v/>
      </c>
      <c r="E477">
        <f>$C477*E476</f>
        <v/>
      </c>
      <c r="F477">
        <f>$C477*F476</f>
        <v/>
      </c>
      <c r="G477">
        <f>$C477*G476</f>
        <v/>
      </c>
      <c r="H477">
        <f>$C477*H476</f>
        <v/>
      </c>
      <c r="I477">
        <f>$C477*I476</f>
        <v/>
      </c>
      <c r="J477">
        <f>$C477*J476</f>
        <v/>
      </c>
      <c r="K477">
        <f>$C477*K476</f>
        <v/>
      </c>
      <c r="L477">
        <f>$C477*L476</f>
        <v/>
      </c>
      <c r="M477">
        <f>$C477*M476</f>
        <v/>
      </c>
      <c r="N477">
        <f>$C477*N476</f>
        <v/>
      </c>
      <c r="O477">
        <f>$C477*O476</f>
        <v/>
      </c>
      <c r="P477">
        <f>$C477*P476</f>
        <v/>
      </c>
      <c r="Q477">
        <f>$C477*Q476</f>
        <v/>
      </c>
      <c r="R477">
        <f>$C477*R476</f>
        <v/>
      </c>
      <c r="S477">
        <f>$C477*S476</f>
        <v/>
      </c>
      <c r="T477">
        <f>$C477*T476</f>
        <v/>
      </c>
      <c r="U477">
        <f>$C477*U476</f>
        <v/>
      </c>
      <c r="V477">
        <f>$C477*V476</f>
        <v/>
      </c>
      <c r="W477">
        <f>$C477*W476</f>
        <v/>
      </c>
      <c r="X477">
        <f>$C477*X476</f>
        <v/>
      </c>
      <c r="Y477">
        <f>$C477*Y476</f>
        <v/>
      </c>
      <c r="Z477">
        <f>$C477*Z476</f>
        <v/>
      </c>
      <c r="AA477">
        <f>$C477*AA476</f>
        <v/>
      </c>
      <c r="AB477">
        <f>$C477*AB476</f>
        <v/>
      </c>
      <c r="AC477">
        <f>$C477*AC476</f>
        <v/>
      </c>
      <c r="AD477">
        <f>$C477*AD476</f>
        <v/>
      </c>
      <c r="AE477">
        <f>$C477*AE476</f>
        <v/>
      </c>
      <c r="AF477">
        <f>$C477*AF476</f>
        <v/>
      </c>
      <c r="AG477">
        <f>$C477*AG476</f>
        <v/>
      </c>
      <c r="AH477">
        <f>$C477*AH476</f>
        <v/>
      </c>
      <c r="AI477">
        <f>$C477*AI476</f>
        <v/>
      </c>
      <c r="AJ477">
        <f>$C477*AJ476</f>
        <v/>
      </c>
      <c r="AK477">
        <f>$C477*AK476</f>
        <v/>
      </c>
      <c r="AL477">
        <f>$C477*AL476</f>
        <v/>
      </c>
      <c r="AM477">
        <f>$C477*AM476</f>
        <v/>
      </c>
      <c r="AN477">
        <f>$C477*AN476</f>
        <v/>
      </c>
      <c r="AO477">
        <f>$C477*AO476</f>
        <v/>
      </c>
      <c r="AP477">
        <f>$C477*AP476</f>
        <v/>
      </c>
      <c r="AQ477">
        <f>$C477*AQ476</f>
        <v/>
      </c>
      <c r="AR477">
        <f>$C477*AR476</f>
        <v/>
      </c>
      <c r="AS477">
        <f>$C477*AS476</f>
        <v/>
      </c>
      <c r="AT477">
        <f>$C477*AT476</f>
        <v/>
      </c>
      <c r="AU477">
        <f>$C477*AU476</f>
        <v/>
      </c>
      <c r="AV477">
        <f>$C477*AV476</f>
        <v/>
      </c>
      <c r="AW477">
        <f>$C477*AW476</f>
        <v/>
      </c>
      <c r="AX477">
        <f>$C477*AX476</f>
        <v/>
      </c>
      <c r="AY477">
        <f>$C477*AY476</f>
        <v/>
      </c>
      <c r="AZ477">
        <f>$C477*AZ476</f>
        <v/>
      </c>
      <c r="BA477">
        <f>$C477*BA476</f>
        <v/>
      </c>
      <c r="BB477">
        <f>$C477*BB476</f>
        <v/>
      </c>
      <c r="BC477">
        <f>$C477*BC476</f>
        <v/>
      </c>
      <c r="BD477">
        <f>$C477*BD476</f>
        <v/>
      </c>
      <c r="BE477">
        <f>$C477*BE476</f>
        <v/>
      </c>
      <c r="BF477">
        <f>$C477*BF476</f>
        <v/>
      </c>
      <c r="BG477">
        <f>$C477*BG476</f>
        <v/>
      </c>
      <c r="BH477">
        <f>$C477*BH476</f>
        <v/>
      </c>
      <c r="BI477">
        <f>$C477*BI476</f>
        <v/>
      </c>
      <c r="BJ477">
        <f>$C477*BJ476</f>
        <v/>
      </c>
      <c r="BK477">
        <f>$C477*BK476</f>
        <v/>
      </c>
      <c r="BL477">
        <f>$C477*BL476</f>
        <v/>
      </c>
      <c r="BM477">
        <f>$C477*BM476</f>
        <v/>
      </c>
      <c r="BN477">
        <f>$C477*BN476</f>
        <v/>
      </c>
      <c r="BO477">
        <f>$C477*BO476</f>
        <v/>
      </c>
      <c r="BP477">
        <f>$C477*BP476</f>
        <v/>
      </c>
      <c r="BQ477">
        <f>$C477*BQ476</f>
        <v/>
      </c>
      <c r="BR477">
        <f>$C477*BR476</f>
        <v/>
      </c>
      <c r="BS477">
        <f>$C477*BS476</f>
        <v/>
      </c>
      <c r="BT477">
        <f>$C477*BT476</f>
        <v/>
      </c>
      <c r="BU477">
        <f>$C477*BU476</f>
        <v/>
      </c>
      <c r="BV477">
        <f>$C477*BV476</f>
        <v/>
      </c>
      <c r="BW477">
        <f>$C477*BW476</f>
        <v/>
      </c>
      <c r="BX477">
        <f>$C477*BX476</f>
        <v/>
      </c>
      <c r="BY477">
        <f>$C477*BY476</f>
        <v/>
      </c>
      <c r="BZ477">
        <f>$C477*BZ476</f>
        <v/>
      </c>
      <c r="CA477">
        <f>$C477*CA476</f>
        <v/>
      </c>
      <c r="CB477">
        <f>$C477*CB476</f>
        <v/>
      </c>
      <c r="CC477">
        <f>$C477*CC476</f>
        <v/>
      </c>
      <c r="CD477">
        <f>$C477*CD476</f>
        <v/>
      </c>
      <c r="CE477">
        <f>$C477*CE476</f>
        <v/>
      </c>
      <c r="CF477">
        <f>$C477*CF476</f>
        <v/>
      </c>
      <c r="CG477">
        <f>$C477*CG476</f>
        <v/>
      </c>
      <c r="CH477">
        <f>$C477*CH476</f>
        <v/>
      </c>
      <c r="CI477">
        <f>$C477*CI476</f>
        <v/>
      </c>
      <c r="CJ477">
        <f>$C477*CJ476</f>
        <v/>
      </c>
      <c r="CK477">
        <f>$C477*CK476</f>
        <v/>
      </c>
      <c r="CL477">
        <f>$C477*CL476</f>
        <v/>
      </c>
      <c r="CM477">
        <f>$C477*CM476</f>
        <v/>
      </c>
      <c r="CN477">
        <f>$C477*CN476</f>
        <v/>
      </c>
      <c r="CO477">
        <f>$C477*CO476</f>
        <v/>
      </c>
      <c r="CP477">
        <f>$C477*CP476</f>
        <v/>
      </c>
      <c r="CQ477">
        <f>$C477*CQ476</f>
        <v/>
      </c>
      <c r="CR477">
        <f>$C477*CR476</f>
        <v/>
      </c>
      <c r="CS477">
        <f>$C477*CS476</f>
        <v/>
      </c>
      <c r="CT477">
        <f>$C477*CT476</f>
        <v/>
      </c>
      <c r="CU477">
        <f>$C477*CU476</f>
        <v/>
      </c>
      <c r="CV477">
        <f>$C477*CV476</f>
        <v/>
      </c>
      <c r="CW477">
        <f>$C477*CW476</f>
        <v/>
      </c>
      <c r="CX477">
        <f>$C477*CX476</f>
        <v/>
      </c>
      <c r="CY477">
        <f>$C477*CY476</f>
        <v/>
      </c>
      <c r="CZ477">
        <f>$C477*CZ476</f>
        <v/>
      </c>
      <c r="DA477">
        <f>$C477*DA476</f>
        <v/>
      </c>
      <c r="DB477">
        <f>$C477*DB476</f>
        <v/>
      </c>
      <c r="DC477">
        <f>$C477*DC476</f>
        <v/>
      </c>
      <c r="DD477">
        <f>$C477*DD476</f>
        <v/>
      </c>
    </row>
    <row r="478">
      <c r="B478" t="inlineStr">
        <is>
          <t>VSP-910</t>
        </is>
      </c>
      <c r="C478" t="inlineStr">
        <is>
          <t>No. of batches</t>
        </is>
      </c>
      <c r="D478">
        <f>IFERROR(INDEX(E478:DD478,$F$1),"")</f>
        <v/>
      </c>
      <c r="E478">
        <f>IFERROR(INDEX(PP_Grid[#Data],$DE478,2),0)</f>
        <v/>
      </c>
      <c r="F478">
        <f>IFERROR(INDEX(PP_Grid[#Data],$DE478,3),0)</f>
        <v/>
      </c>
      <c r="G478">
        <f>IFERROR(INDEX(PP_Grid[#Data],$DE478,4),0)</f>
        <v/>
      </c>
      <c r="H478">
        <f>IFERROR(INDEX(PP_Grid[#Data],$DE478,5),0)</f>
        <v/>
      </c>
      <c r="I478">
        <f>IFERROR(INDEX(PP_Grid[#Data],$DE478,6),0)</f>
        <v/>
      </c>
      <c r="J478">
        <f>IFERROR(INDEX(PP_Grid[#Data],$DE478,7),0)</f>
        <v/>
      </c>
      <c r="K478">
        <f>IFERROR(INDEX(PP_Grid[#Data],$DE478,8),0)</f>
        <v/>
      </c>
      <c r="L478">
        <f>IFERROR(INDEX(PP_Grid[#Data],$DE478,9),0)</f>
        <v/>
      </c>
      <c r="M478">
        <f>IFERROR(INDEX(PP_Grid[#Data],$DE478,10),0)</f>
        <v/>
      </c>
      <c r="N478">
        <f>IFERROR(INDEX(PP_Grid[#Data],$DE478,11),0)</f>
        <v/>
      </c>
      <c r="O478">
        <f>IFERROR(INDEX(PP_Grid[#Data],$DE478,12),0)</f>
        <v/>
      </c>
      <c r="P478">
        <f>IFERROR(INDEX(PP_Grid[#Data],$DE478,13),0)</f>
        <v/>
      </c>
      <c r="Q478">
        <f>IFERROR(INDEX(PP_Grid[#Data],$DE478,14),0)</f>
        <v/>
      </c>
      <c r="R478">
        <f>IFERROR(INDEX(PP_Grid[#Data],$DE478,15),0)</f>
        <v/>
      </c>
      <c r="S478">
        <f>IFERROR(INDEX(PP_Grid[#Data],$DE478,16),0)</f>
        <v/>
      </c>
      <c r="T478">
        <f>IFERROR(INDEX(PP_Grid[#Data],$DE478,17),0)</f>
        <v/>
      </c>
      <c r="U478">
        <f>IFERROR(INDEX(PP_Grid[#Data],$DE478,18),0)</f>
        <v/>
      </c>
      <c r="V478">
        <f>IFERROR(INDEX(PP_Grid[#Data],$DE478,19),0)</f>
        <v/>
      </c>
      <c r="W478">
        <f>IFERROR(INDEX(PP_Grid[#Data],$DE478,20),0)</f>
        <v/>
      </c>
      <c r="X478">
        <f>IFERROR(INDEX(PP_Grid[#Data],$DE478,21),0)</f>
        <v/>
      </c>
      <c r="Y478">
        <f>IFERROR(INDEX(PP_Grid[#Data],$DE478,22),0)</f>
        <v/>
      </c>
      <c r="Z478">
        <f>IFERROR(INDEX(PP_Grid[#Data],$DE478,23),0)</f>
        <v/>
      </c>
      <c r="AA478">
        <f>IFERROR(INDEX(PP_Grid[#Data],$DE478,24),0)</f>
        <v/>
      </c>
      <c r="AB478">
        <f>IFERROR(INDEX(PP_Grid[#Data],$DE478,25),0)</f>
        <v/>
      </c>
      <c r="AC478">
        <f>IFERROR(INDEX(PP_Grid[#Data],$DE478,26),0)</f>
        <v/>
      </c>
      <c r="AD478">
        <f>IFERROR(INDEX(PP_Grid[#Data],$DE478,27),0)</f>
        <v/>
      </c>
      <c r="AE478">
        <f>IFERROR(INDEX(PP_Grid[#Data],$DE478,28),0)</f>
        <v/>
      </c>
      <c r="AF478">
        <f>IFERROR(INDEX(PP_Grid[#Data],$DE478,29),0)</f>
        <v/>
      </c>
      <c r="AG478">
        <f>IFERROR(INDEX(PP_Grid[#Data],$DE478,30),0)</f>
        <v/>
      </c>
      <c r="AH478">
        <f>IFERROR(INDEX(PP_Grid[#Data],$DE478,31),0)</f>
        <v/>
      </c>
      <c r="AI478">
        <f>IFERROR(INDEX(PP_Grid[#Data],$DE478,32),0)</f>
        <v/>
      </c>
      <c r="AJ478">
        <f>IFERROR(INDEX(PP_Grid[#Data],$DE478,33),0)</f>
        <v/>
      </c>
      <c r="AK478">
        <f>IFERROR(INDEX(PP_Grid[#Data],$DE478,34),0)</f>
        <v/>
      </c>
      <c r="AL478">
        <f>IFERROR(INDEX(PP_Grid[#Data],$DE478,35),0)</f>
        <v/>
      </c>
      <c r="AM478">
        <f>IFERROR(INDEX(PP_Grid[#Data],$DE478,36),0)</f>
        <v/>
      </c>
      <c r="AN478">
        <f>IFERROR(INDEX(PP_Grid[#Data],$DE478,37),0)</f>
        <v/>
      </c>
      <c r="AO478">
        <f>IFERROR(INDEX(PP_Grid[#Data],$DE478,38),0)</f>
        <v/>
      </c>
      <c r="AP478">
        <f>IFERROR(INDEX(PP_Grid[#Data],$DE478,39),0)</f>
        <v/>
      </c>
      <c r="AQ478">
        <f>IFERROR(INDEX(PP_Grid[#Data],$DE478,40),0)</f>
        <v/>
      </c>
      <c r="AR478">
        <f>IFERROR(INDEX(PP_Grid[#Data],$DE478,41),0)</f>
        <v/>
      </c>
      <c r="AS478">
        <f>IFERROR(INDEX(PP_Grid[#Data],$DE478,42),0)</f>
        <v/>
      </c>
      <c r="AT478">
        <f>IFERROR(INDEX(PP_Grid[#Data],$DE478,43),0)</f>
        <v/>
      </c>
      <c r="AU478">
        <f>IFERROR(INDEX(PP_Grid[#Data],$DE478,44),0)</f>
        <v/>
      </c>
      <c r="AV478">
        <f>IFERROR(INDEX(PP_Grid[#Data],$DE478,45),0)</f>
        <v/>
      </c>
      <c r="AW478">
        <f>IFERROR(INDEX(PP_Grid[#Data],$DE478,46),0)</f>
        <v/>
      </c>
      <c r="AX478">
        <f>IFERROR(INDEX(PP_Grid[#Data],$DE478,47),0)</f>
        <v/>
      </c>
      <c r="AY478">
        <f>IFERROR(INDEX(PP_Grid[#Data],$DE478,48),0)</f>
        <v/>
      </c>
      <c r="AZ478">
        <f>IFERROR(INDEX(PP_Grid[#Data],$DE478,49),0)</f>
        <v/>
      </c>
      <c r="BA478">
        <f>IFERROR(INDEX(PP_Grid[#Data],$DE478,50),0)</f>
        <v/>
      </c>
      <c r="BB478">
        <f>IFERROR(INDEX(PP_Grid[#Data],$DE478,51),0)</f>
        <v/>
      </c>
      <c r="BC478">
        <f>IFERROR(INDEX(PP_Grid[#Data],$DE478,52),0)</f>
        <v/>
      </c>
      <c r="BD478">
        <f>IFERROR(INDEX(PP_Grid[#Data],$DE478,53),0)</f>
        <v/>
      </c>
      <c r="BE478">
        <f>IFERROR(INDEX(PP_Grid[#Data],$DE478,54),0)</f>
        <v/>
      </c>
      <c r="BF478">
        <f>IFERROR(INDEX(PP_Grid[#Data],$DE478,55),0)</f>
        <v/>
      </c>
      <c r="BG478">
        <f>IFERROR(INDEX(PP_Grid[#Data],$DE478,56),0)</f>
        <v/>
      </c>
      <c r="BH478">
        <f>IFERROR(INDEX(PP_Grid[#Data],$DE478,57),0)</f>
        <v/>
      </c>
      <c r="BI478">
        <f>IFERROR(INDEX(PP_Grid[#Data],$DE478,58),0)</f>
        <v/>
      </c>
      <c r="BJ478">
        <f>IFERROR(INDEX(PP_Grid[#Data],$DE478,59),0)</f>
        <v/>
      </c>
      <c r="BK478">
        <f>IFERROR(INDEX(PP_Grid[#Data],$DE478,60),0)</f>
        <v/>
      </c>
      <c r="BL478">
        <f>IFERROR(INDEX(PP_Grid[#Data],$DE478,61),0)</f>
        <v/>
      </c>
      <c r="BM478">
        <f>IFERROR(INDEX(PP_Grid[#Data],$DE478,62),0)</f>
        <v/>
      </c>
      <c r="BN478">
        <f>IFERROR(INDEX(PP_Grid[#Data],$DE478,63),0)</f>
        <v/>
      </c>
      <c r="BO478">
        <f>IFERROR(INDEX(PP_Grid[#Data],$DE478,64),0)</f>
        <v/>
      </c>
      <c r="BP478">
        <f>IFERROR(INDEX(PP_Grid[#Data],$DE478,65),0)</f>
        <v/>
      </c>
      <c r="BQ478">
        <f>IFERROR(INDEX(PP_Grid[#Data],$DE478,66),0)</f>
        <v/>
      </c>
      <c r="BR478">
        <f>IFERROR(INDEX(PP_Grid[#Data],$DE478,67),0)</f>
        <v/>
      </c>
      <c r="BS478">
        <f>IFERROR(INDEX(PP_Grid[#Data],$DE478,68),0)</f>
        <v/>
      </c>
      <c r="BT478">
        <f>IFERROR(INDEX(PP_Grid[#Data],$DE478,69),0)</f>
        <v/>
      </c>
      <c r="BU478">
        <f>IFERROR(INDEX(PP_Grid[#Data],$DE478,70),0)</f>
        <v/>
      </c>
      <c r="BV478">
        <f>IFERROR(INDEX(PP_Grid[#Data],$DE478,71),0)</f>
        <v/>
      </c>
      <c r="BW478">
        <f>IFERROR(INDEX(PP_Grid[#Data],$DE478,72),0)</f>
        <v/>
      </c>
      <c r="BX478">
        <f>IFERROR(INDEX(PP_Grid[#Data],$DE478,73),0)</f>
        <v/>
      </c>
      <c r="BY478">
        <f>IFERROR(INDEX(PP_Grid[#Data],$DE478,74),0)</f>
        <v/>
      </c>
      <c r="BZ478">
        <f>IFERROR(INDEX(PP_Grid[#Data],$DE478,75),0)</f>
        <v/>
      </c>
      <c r="CA478">
        <f>IFERROR(INDEX(PP_Grid[#Data],$DE478,76),0)</f>
        <v/>
      </c>
      <c r="CB478">
        <f>IFERROR(INDEX(PP_Grid[#Data],$DE478,77),0)</f>
        <v/>
      </c>
      <c r="CC478">
        <f>IFERROR(INDEX(PP_Grid[#Data],$DE478,78),0)</f>
        <v/>
      </c>
      <c r="CD478">
        <f>IFERROR(INDEX(PP_Grid[#Data],$DE478,79),0)</f>
        <v/>
      </c>
      <c r="CE478">
        <f>IFERROR(INDEX(PP_Grid[#Data],$DE478,80),0)</f>
        <v/>
      </c>
      <c r="CF478">
        <f>IFERROR(INDEX(PP_Grid[#Data],$DE478,81),0)</f>
        <v/>
      </c>
      <c r="CG478">
        <f>IFERROR(INDEX(PP_Grid[#Data],$DE478,82),0)</f>
        <v/>
      </c>
      <c r="CH478">
        <f>IFERROR(INDEX(PP_Grid[#Data],$DE478,83),0)</f>
        <v/>
      </c>
      <c r="CI478">
        <f>IFERROR(INDEX(PP_Grid[#Data],$DE478,84),0)</f>
        <v/>
      </c>
      <c r="CJ478">
        <f>IFERROR(INDEX(PP_Grid[#Data],$DE478,85),0)</f>
        <v/>
      </c>
      <c r="CK478">
        <f>IFERROR(INDEX(PP_Grid[#Data],$DE478,86),0)</f>
        <v/>
      </c>
      <c r="CL478">
        <f>IFERROR(INDEX(PP_Grid[#Data],$DE478,87),0)</f>
        <v/>
      </c>
      <c r="CM478">
        <f>IFERROR(INDEX(PP_Grid[#Data],$DE478,88),0)</f>
        <v/>
      </c>
      <c r="CN478">
        <f>IFERROR(INDEX(PP_Grid[#Data],$DE478,89),0)</f>
        <v/>
      </c>
      <c r="CO478">
        <f>IFERROR(INDEX(PP_Grid[#Data],$DE478,90),0)</f>
        <v/>
      </c>
      <c r="CP478">
        <f>IFERROR(INDEX(PP_Grid[#Data],$DE478,91),0)</f>
        <v/>
      </c>
      <c r="CQ478">
        <f>IFERROR(INDEX(PP_Grid[#Data],$DE478,92),0)</f>
        <v/>
      </c>
      <c r="CR478">
        <f>IFERROR(INDEX(PP_Grid[#Data],$DE478,93),0)</f>
        <v/>
      </c>
      <c r="CS478">
        <f>IFERROR(INDEX(PP_Grid[#Data],$DE478,94),0)</f>
        <v/>
      </c>
      <c r="CT478">
        <f>IFERROR(INDEX(PP_Grid[#Data],$DE478,95),0)</f>
        <v/>
      </c>
      <c r="CU478">
        <f>IFERROR(INDEX(PP_Grid[#Data],$DE478,96),0)</f>
        <v/>
      </c>
      <c r="CV478">
        <f>IFERROR(INDEX(PP_Grid[#Data],$DE478,97),0)</f>
        <v/>
      </c>
      <c r="CW478">
        <f>IFERROR(INDEX(PP_Grid[#Data],$DE478,98),0)</f>
        <v/>
      </c>
      <c r="CX478">
        <f>IFERROR(INDEX(PP_Grid[#Data],$DE478,99),0)</f>
        <v/>
      </c>
      <c r="CY478">
        <f>IFERROR(INDEX(PP_Grid[#Data],$DE478,100),0)</f>
        <v/>
      </c>
      <c r="CZ478">
        <f>IFERROR(INDEX(PP_Grid[#Data],$DE478,101),0)</f>
        <v/>
      </c>
      <c r="DA478">
        <f>IFERROR(INDEX(PP_Grid[#Data],$DE478,102),0)</f>
        <v/>
      </c>
      <c r="DB478">
        <f>IFERROR(INDEX(PP_Grid[#Data],$DE478,103),0)</f>
        <v/>
      </c>
      <c r="DC478">
        <f>IFERROR(INDEX(PP_Grid[#Data],$DE478,104),0)</f>
        <v/>
      </c>
      <c r="DD478">
        <f>IFERROR(INDEX(PP_Grid[#Data],$DE478,105),0)</f>
        <v/>
      </c>
      <c r="DE478" s="7">
        <f>IFERROR(MATCH($B478,PP_Grid[Intermediate],0),99999)</f>
        <v/>
      </c>
    </row>
    <row r="479">
      <c r="B479" t="inlineStr">
        <is>
          <t>使用量(kg)</t>
        </is>
      </c>
      <c r="C479">
        <f>SUMIFS(M_BOM[RM_Qty_Per_Batch],M_BOM[Intermediate],$B478,M_BOM[RM_Code],$A325)</f>
        <v/>
      </c>
      <c r="D479">
        <f>IFERROR(INDEX(E479:DD479,$F$1),"")</f>
        <v/>
      </c>
      <c r="E479">
        <f>$C479*E478</f>
        <v/>
      </c>
      <c r="F479">
        <f>$C479*F478</f>
        <v/>
      </c>
      <c r="G479">
        <f>$C479*G478</f>
        <v/>
      </c>
      <c r="H479">
        <f>$C479*H478</f>
        <v/>
      </c>
      <c r="I479">
        <f>$C479*I478</f>
        <v/>
      </c>
      <c r="J479">
        <f>$C479*J478</f>
        <v/>
      </c>
      <c r="K479">
        <f>$C479*K478</f>
        <v/>
      </c>
      <c r="L479">
        <f>$C479*L478</f>
        <v/>
      </c>
      <c r="M479">
        <f>$C479*M478</f>
        <v/>
      </c>
      <c r="N479">
        <f>$C479*N478</f>
        <v/>
      </c>
      <c r="O479">
        <f>$C479*O478</f>
        <v/>
      </c>
      <c r="P479">
        <f>$C479*P478</f>
        <v/>
      </c>
      <c r="Q479">
        <f>$C479*Q478</f>
        <v/>
      </c>
      <c r="R479">
        <f>$C479*R478</f>
        <v/>
      </c>
      <c r="S479">
        <f>$C479*S478</f>
        <v/>
      </c>
      <c r="T479">
        <f>$C479*T478</f>
        <v/>
      </c>
      <c r="U479">
        <f>$C479*U478</f>
        <v/>
      </c>
      <c r="V479">
        <f>$C479*V478</f>
        <v/>
      </c>
      <c r="W479">
        <f>$C479*W478</f>
        <v/>
      </c>
      <c r="X479">
        <f>$C479*X478</f>
        <v/>
      </c>
      <c r="Y479">
        <f>$C479*Y478</f>
        <v/>
      </c>
      <c r="Z479">
        <f>$C479*Z478</f>
        <v/>
      </c>
      <c r="AA479">
        <f>$C479*AA478</f>
        <v/>
      </c>
      <c r="AB479">
        <f>$C479*AB478</f>
        <v/>
      </c>
      <c r="AC479">
        <f>$C479*AC478</f>
        <v/>
      </c>
      <c r="AD479">
        <f>$C479*AD478</f>
        <v/>
      </c>
      <c r="AE479">
        <f>$C479*AE478</f>
        <v/>
      </c>
      <c r="AF479">
        <f>$C479*AF478</f>
        <v/>
      </c>
      <c r="AG479">
        <f>$C479*AG478</f>
        <v/>
      </c>
      <c r="AH479">
        <f>$C479*AH478</f>
        <v/>
      </c>
      <c r="AI479">
        <f>$C479*AI478</f>
        <v/>
      </c>
      <c r="AJ479">
        <f>$C479*AJ478</f>
        <v/>
      </c>
      <c r="AK479">
        <f>$C479*AK478</f>
        <v/>
      </c>
      <c r="AL479">
        <f>$C479*AL478</f>
        <v/>
      </c>
      <c r="AM479">
        <f>$C479*AM478</f>
        <v/>
      </c>
      <c r="AN479">
        <f>$C479*AN478</f>
        <v/>
      </c>
      <c r="AO479">
        <f>$C479*AO478</f>
        <v/>
      </c>
      <c r="AP479">
        <f>$C479*AP478</f>
        <v/>
      </c>
      <c r="AQ479">
        <f>$C479*AQ478</f>
        <v/>
      </c>
      <c r="AR479">
        <f>$C479*AR478</f>
        <v/>
      </c>
      <c r="AS479">
        <f>$C479*AS478</f>
        <v/>
      </c>
      <c r="AT479">
        <f>$C479*AT478</f>
        <v/>
      </c>
      <c r="AU479">
        <f>$C479*AU478</f>
        <v/>
      </c>
      <c r="AV479">
        <f>$C479*AV478</f>
        <v/>
      </c>
      <c r="AW479">
        <f>$C479*AW478</f>
        <v/>
      </c>
      <c r="AX479">
        <f>$C479*AX478</f>
        <v/>
      </c>
      <c r="AY479">
        <f>$C479*AY478</f>
        <v/>
      </c>
      <c r="AZ479">
        <f>$C479*AZ478</f>
        <v/>
      </c>
      <c r="BA479">
        <f>$C479*BA478</f>
        <v/>
      </c>
      <c r="BB479">
        <f>$C479*BB478</f>
        <v/>
      </c>
      <c r="BC479">
        <f>$C479*BC478</f>
        <v/>
      </c>
      <c r="BD479">
        <f>$C479*BD478</f>
        <v/>
      </c>
      <c r="BE479">
        <f>$C479*BE478</f>
        <v/>
      </c>
      <c r="BF479">
        <f>$C479*BF478</f>
        <v/>
      </c>
      <c r="BG479">
        <f>$C479*BG478</f>
        <v/>
      </c>
      <c r="BH479">
        <f>$C479*BH478</f>
        <v/>
      </c>
      <c r="BI479">
        <f>$C479*BI478</f>
        <v/>
      </c>
      <c r="BJ479">
        <f>$C479*BJ478</f>
        <v/>
      </c>
      <c r="BK479">
        <f>$C479*BK478</f>
        <v/>
      </c>
      <c r="BL479">
        <f>$C479*BL478</f>
        <v/>
      </c>
      <c r="BM479">
        <f>$C479*BM478</f>
        <v/>
      </c>
      <c r="BN479">
        <f>$C479*BN478</f>
        <v/>
      </c>
      <c r="BO479">
        <f>$C479*BO478</f>
        <v/>
      </c>
      <c r="BP479">
        <f>$C479*BP478</f>
        <v/>
      </c>
      <c r="BQ479">
        <f>$C479*BQ478</f>
        <v/>
      </c>
      <c r="BR479">
        <f>$C479*BR478</f>
        <v/>
      </c>
      <c r="BS479">
        <f>$C479*BS478</f>
        <v/>
      </c>
      <c r="BT479">
        <f>$C479*BT478</f>
        <v/>
      </c>
      <c r="BU479">
        <f>$C479*BU478</f>
        <v/>
      </c>
      <c r="BV479">
        <f>$C479*BV478</f>
        <v/>
      </c>
      <c r="BW479">
        <f>$C479*BW478</f>
        <v/>
      </c>
      <c r="BX479">
        <f>$C479*BX478</f>
        <v/>
      </c>
      <c r="BY479">
        <f>$C479*BY478</f>
        <v/>
      </c>
      <c r="BZ479">
        <f>$C479*BZ478</f>
        <v/>
      </c>
      <c r="CA479">
        <f>$C479*CA478</f>
        <v/>
      </c>
      <c r="CB479">
        <f>$C479*CB478</f>
        <v/>
      </c>
      <c r="CC479">
        <f>$C479*CC478</f>
        <v/>
      </c>
      <c r="CD479">
        <f>$C479*CD478</f>
        <v/>
      </c>
      <c r="CE479">
        <f>$C479*CE478</f>
        <v/>
      </c>
      <c r="CF479">
        <f>$C479*CF478</f>
        <v/>
      </c>
      <c r="CG479">
        <f>$C479*CG478</f>
        <v/>
      </c>
      <c r="CH479">
        <f>$C479*CH478</f>
        <v/>
      </c>
      <c r="CI479">
        <f>$C479*CI478</f>
        <v/>
      </c>
      <c r="CJ479">
        <f>$C479*CJ478</f>
        <v/>
      </c>
      <c r="CK479">
        <f>$C479*CK478</f>
        <v/>
      </c>
      <c r="CL479">
        <f>$C479*CL478</f>
        <v/>
      </c>
      <c r="CM479">
        <f>$C479*CM478</f>
        <v/>
      </c>
      <c r="CN479">
        <f>$C479*CN478</f>
        <v/>
      </c>
      <c r="CO479">
        <f>$C479*CO478</f>
        <v/>
      </c>
      <c r="CP479">
        <f>$C479*CP478</f>
        <v/>
      </c>
      <c r="CQ479">
        <f>$C479*CQ478</f>
        <v/>
      </c>
      <c r="CR479">
        <f>$C479*CR478</f>
        <v/>
      </c>
      <c r="CS479">
        <f>$C479*CS478</f>
        <v/>
      </c>
      <c r="CT479">
        <f>$C479*CT478</f>
        <v/>
      </c>
      <c r="CU479">
        <f>$C479*CU478</f>
        <v/>
      </c>
      <c r="CV479">
        <f>$C479*CV478</f>
        <v/>
      </c>
      <c r="CW479">
        <f>$C479*CW478</f>
        <v/>
      </c>
      <c r="CX479">
        <f>$C479*CX478</f>
        <v/>
      </c>
      <c r="CY479">
        <f>$C479*CY478</f>
        <v/>
      </c>
      <c r="CZ479">
        <f>$C479*CZ478</f>
        <v/>
      </c>
      <c r="DA479">
        <f>$C479*DA478</f>
        <v/>
      </c>
      <c r="DB479">
        <f>$C479*DB478</f>
        <v/>
      </c>
      <c r="DC479">
        <f>$C479*DC478</f>
        <v/>
      </c>
      <c r="DD479">
        <f>$C479*DD478</f>
        <v/>
      </c>
    </row>
    <row r="480">
      <c r="B480" t="inlineStr">
        <is>
          <t>VSP-989</t>
        </is>
      </c>
      <c r="C480" t="inlineStr">
        <is>
          <t>No. of batches</t>
        </is>
      </c>
      <c r="D480">
        <f>IFERROR(INDEX(E480:DD480,$F$1),"")</f>
        <v/>
      </c>
      <c r="E480">
        <f>IFERROR(INDEX(PP_Grid[#Data],$DE480,2),0)</f>
        <v/>
      </c>
      <c r="F480">
        <f>IFERROR(INDEX(PP_Grid[#Data],$DE480,3),0)</f>
        <v/>
      </c>
      <c r="G480">
        <f>IFERROR(INDEX(PP_Grid[#Data],$DE480,4),0)</f>
        <v/>
      </c>
      <c r="H480">
        <f>IFERROR(INDEX(PP_Grid[#Data],$DE480,5),0)</f>
        <v/>
      </c>
      <c r="I480">
        <f>IFERROR(INDEX(PP_Grid[#Data],$DE480,6),0)</f>
        <v/>
      </c>
      <c r="J480">
        <f>IFERROR(INDEX(PP_Grid[#Data],$DE480,7),0)</f>
        <v/>
      </c>
      <c r="K480">
        <f>IFERROR(INDEX(PP_Grid[#Data],$DE480,8),0)</f>
        <v/>
      </c>
      <c r="L480">
        <f>IFERROR(INDEX(PP_Grid[#Data],$DE480,9),0)</f>
        <v/>
      </c>
      <c r="M480">
        <f>IFERROR(INDEX(PP_Grid[#Data],$DE480,10),0)</f>
        <v/>
      </c>
      <c r="N480">
        <f>IFERROR(INDEX(PP_Grid[#Data],$DE480,11),0)</f>
        <v/>
      </c>
      <c r="O480">
        <f>IFERROR(INDEX(PP_Grid[#Data],$DE480,12),0)</f>
        <v/>
      </c>
      <c r="P480">
        <f>IFERROR(INDEX(PP_Grid[#Data],$DE480,13),0)</f>
        <v/>
      </c>
      <c r="Q480">
        <f>IFERROR(INDEX(PP_Grid[#Data],$DE480,14),0)</f>
        <v/>
      </c>
      <c r="R480">
        <f>IFERROR(INDEX(PP_Grid[#Data],$DE480,15),0)</f>
        <v/>
      </c>
      <c r="S480">
        <f>IFERROR(INDEX(PP_Grid[#Data],$DE480,16),0)</f>
        <v/>
      </c>
      <c r="T480">
        <f>IFERROR(INDEX(PP_Grid[#Data],$DE480,17),0)</f>
        <v/>
      </c>
      <c r="U480">
        <f>IFERROR(INDEX(PP_Grid[#Data],$DE480,18),0)</f>
        <v/>
      </c>
      <c r="V480">
        <f>IFERROR(INDEX(PP_Grid[#Data],$DE480,19),0)</f>
        <v/>
      </c>
      <c r="W480">
        <f>IFERROR(INDEX(PP_Grid[#Data],$DE480,20),0)</f>
        <v/>
      </c>
      <c r="X480">
        <f>IFERROR(INDEX(PP_Grid[#Data],$DE480,21),0)</f>
        <v/>
      </c>
      <c r="Y480">
        <f>IFERROR(INDEX(PP_Grid[#Data],$DE480,22),0)</f>
        <v/>
      </c>
      <c r="Z480">
        <f>IFERROR(INDEX(PP_Grid[#Data],$DE480,23),0)</f>
        <v/>
      </c>
      <c r="AA480">
        <f>IFERROR(INDEX(PP_Grid[#Data],$DE480,24),0)</f>
        <v/>
      </c>
      <c r="AB480">
        <f>IFERROR(INDEX(PP_Grid[#Data],$DE480,25),0)</f>
        <v/>
      </c>
      <c r="AC480">
        <f>IFERROR(INDEX(PP_Grid[#Data],$DE480,26),0)</f>
        <v/>
      </c>
      <c r="AD480">
        <f>IFERROR(INDEX(PP_Grid[#Data],$DE480,27),0)</f>
        <v/>
      </c>
      <c r="AE480">
        <f>IFERROR(INDEX(PP_Grid[#Data],$DE480,28),0)</f>
        <v/>
      </c>
      <c r="AF480">
        <f>IFERROR(INDEX(PP_Grid[#Data],$DE480,29),0)</f>
        <v/>
      </c>
      <c r="AG480">
        <f>IFERROR(INDEX(PP_Grid[#Data],$DE480,30),0)</f>
        <v/>
      </c>
      <c r="AH480">
        <f>IFERROR(INDEX(PP_Grid[#Data],$DE480,31),0)</f>
        <v/>
      </c>
      <c r="AI480">
        <f>IFERROR(INDEX(PP_Grid[#Data],$DE480,32),0)</f>
        <v/>
      </c>
      <c r="AJ480">
        <f>IFERROR(INDEX(PP_Grid[#Data],$DE480,33),0)</f>
        <v/>
      </c>
      <c r="AK480">
        <f>IFERROR(INDEX(PP_Grid[#Data],$DE480,34),0)</f>
        <v/>
      </c>
      <c r="AL480">
        <f>IFERROR(INDEX(PP_Grid[#Data],$DE480,35),0)</f>
        <v/>
      </c>
      <c r="AM480">
        <f>IFERROR(INDEX(PP_Grid[#Data],$DE480,36),0)</f>
        <v/>
      </c>
      <c r="AN480">
        <f>IFERROR(INDEX(PP_Grid[#Data],$DE480,37),0)</f>
        <v/>
      </c>
      <c r="AO480">
        <f>IFERROR(INDEX(PP_Grid[#Data],$DE480,38),0)</f>
        <v/>
      </c>
      <c r="AP480">
        <f>IFERROR(INDEX(PP_Grid[#Data],$DE480,39),0)</f>
        <v/>
      </c>
      <c r="AQ480">
        <f>IFERROR(INDEX(PP_Grid[#Data],$DE480,40),0)</f>
        <v/>
      </c>
      <c r="AR480">
        <f>IFERROR(INDEX(PP_Grid[#Data],$DE480,41),0)</f>
        <v/>
      </c>
      <c r="AS480">
        <f>IFERROR(INDEX(PP_Grid[#Data],$DE480,42),0)</f>
        <v/>
      </c>
      <c r="AT480">
        <f>IFERROR(INDEX(PP_Grid[#Data],$DE480,43),0)</f>
        <v/>
      </c>
      <c r="AU480">
        <f>IFERROR(INDEX(PP_Grid[#Data],$DE480,44),0)</f>
        <v/>
      </c>
      <c r="AV480">
        <f>IFERROR(INDEX(PP_Grid[#Data],$DE480,45),0)</f>
        <v/>
      </c>
      <c r="AW480">
        <f>IFERROR(INDEX(PP_Grid[#Data],$DE480,46),0)</f>
        <v/>
      </c>
      <c r="AX480">
        <f>IFERROR(INDEX(PP_Grid[#Data],$DE480,47),0)</f>
        <v/>
      </c>
      <c r="AY480">
        <f>IFERROR(INDEX(PP_Grid[#Data],$DE480,48),0)</f>
        <v/>
      </c>
      <c r="AZ480">
        <f>IFERROR(INDEX(PP_Grid[#Data],$DE480,49),0)</f>
        <v/>
      </c>
      <c r="BA480">
        <f>IFERROR(INDEX(PP_Grid[#Data],$DE480,50),0)</f>
        <v/>
      </c>
      <c r="BB480">
        <f>IFERROR(INDEX(PP_Grid[#Data],$DE480,51),0)</f>
        <v/>
      </c>
      <c r="BC480">
        <f>IFERROR(INDEX(PP_Grid[#Data],$DE480,52),0)</f>
        <v/>
      </c>
      <c r="BD480">
        <f>IFERROR(INDEX(PP_Grid[#Data],$DE480,53),0)</f>
        <v/>
      </c>
      <c r="BE480">
        <f>IFERROR(INDEX(PP_Grid[#Data],$DE480,54),0)</f>
        <v/>
      </c>
      <c r="BF480">
        <f>IFERROR(INDEX(PP_Grid[#Data],$DE480,55),0)</f>
        <v/>
      </c>
      <c r="BG480">
        <f>IFERROR(INDEX(PP_Grid[#Data],$DE480,56),0)</f>
        <v/>
      </c>
      <c r="BH480">
        <f>IFERROR(INDEX(PP_Grid[#Data],$DE480,57),0)</f>
        <v/>
      </c>
      <c r="BI480">
        <f>IFERROR(INDEX(PP_Grid[#Data],$DE480,58),0)</f>
        <v/>
      </c>
      <c r="BJ480">
        <f>IFERROR(INDEX(PP_Grid[#Data],$DE480,59),0)</f>
        <v/>
      </c>
      <c r="BK480">
        <f>IFERROR(INDEX(PP_Grid[#Data],$DE480,60),0)</f>
        <v/>
      </c>
      <c r="BL480">
        <f>IFERROR(INDEX(PP_Grid[#Data],$DE480,61),0)</f>
        <v/>
      </c>
      <c r="BM480">
        <f>IFERROR(INDEX(PP_Grid[#Data],$DE480,62),0)</f>
        <v/>
      </c>
      <c r="BN480">
        <f>IFERROR(INDEX(PP_Grid[#Data],$DE480,63),0)</f>
        <v/>
      </c>
      <c r="BO480">
        <f>IFERROR(INDEX(PP_Grid[#Data],$DE480,64),0)</f>
        <v/>
      </c>
      <c r="BP480">
        <f>IFERROR(INDEX(PP_Grid[#Data],$DE480,65),0)</f>
        <v/>
      </c>
      <c r="BQ480">
        <f>IFERROR(INDEX(PP_Grid[#Data],$DE480,66),0)</f>
        <v/>
      </c>
      <c r="BR480">
        <f>IFERROR(INDEX(PP_Grid[#Data],$DE480,67),0)</f>
        <v/>
      </c>
      <c r="BS480">
        <f>IFERROR(INDEX(PP_Grid[#Data],$DE480,68),0)</f>
        <v/>
      </c>
      <c r="BT480">
        <f>IFERROR(INDEX(PP_Grid[#Data],$DE480,69),0)</f>
        <v/>
      </c>
      <c r="BU480">
        <f>IFERROR(INDEX(PP_Grid[#Data],$DE480,70),0)</f>
        <v/>
      </c>
      <c r="BV480">
        <f>IFERROR(INDEX(PP_Grid[#Data],$DE480,71),0)</f>
        <v/>
      </c>
      <c r="BW480">
        <f>IFERROR(INDEX(PP_Grid[#Data],$DE480,72),0)</f>
        <v/>
      </c>
      <c r="BX480">
        <f>IFERROR(INDEX(PP_Grid[#Data],$DE480,73),0)</f>
        <v/>
      </c>
      <c r="BY480">
        <f>IFERROR(INDEX(PP_Grid[#Data],$DE480,74),0)</f>
        <v/>
      </c>
      <c r="BZ480">
        <f>IFERROR(INDEX(PP_Grid[#Data],$DE480,75),0)</f>
        <v/>
      </c>
      <c r="CA480">
        <f>IFERROR(INDEX(PP_Grid[#Data],$DE480,76),0)</f>
        <v/>
      </c>
      <c r="CB480">
        <f>IFERROR(INDEX(PP_Grid[#Data],$DE480,77),0)</f>
        <v/>
      </c>
      <c r="CC480">
        <f>IFERROR(INDEX(PP_Grid[#Data],$DE480,78),0)</f>
        <v/>
      </c>
      <c r="CD480">
        <f>IFERROR(INDEX(PP_Grid[#Data],$DE480,79),0)</f>
        <v/>
      </c>
      <c r="CE480">
        <f>IFERROR(INDEX(PP_Grid[#Data],$DE480,80),0)</f>
        <v/>
      </c>
      <c r="CF480">
        <f>IFERROR(INDEX(PP_Grid[#Data],$DE480,81),0)</f>
        <v/>
      </c>
      <c r="CG480">
        <f>IFERROR(INDEX(PP_Grid[#Data],$DE480,82),0)</f>
        <v/>
      </c>
      <c r="CH480">
        <f>IFERROR(INDEX(PP_Grid[#Data],$DE480,83),0)</f>
        <v/>
      </c>
      <c r="CI480">
        <f>IFERROR(INDEX(PP_Grid[#Data],$DE480,84),0)</f>
        <v/>
      </c>
      <c r="CJ480">
        <f>IFERROR(INDEX(PP_Grid[#Data],$DE480,85),0)</f>
        <v/>
      </c>
      <c r="CK480">
        <f>IFERROR(INDEX(PP_Grid[#Data],$DE480,86),0)</f>
        <v/>
      </c>
      <c r="CL480">
        <f>IFERROR(INDEX(PP_Grid[#Data],$DE480,87),0)</f>
        <v/>
      </c>
      <c r="CM480">
        <f>IFERROR(INDEX(PP_Grid[#Data],$DE480,88),0)</f>
        <v/>
      </c>
      <c r="CN480">
        <f>IFERROR(INDEX(PP_Grid[#Data],$DE480,89),0)</f>
        <v/>
      </c>
      <c r="CO480">
        <f>IFERROR(INDEX(PP_Grid[#Data],$DE480,90),0)</f>
        <v/>
      </c>
      <c r="CP480">
        <f>IFERROR(INDEX(PP_Grid[#Data],$DE480,91),0)</f>
        <v/>
      </c>
      <c r="CQ480">
        <f>IFERROR(INDEX(PP_Grid[#Data],$DE480,92),0)</f>
        <v/>
      </c>
      <c r="CR480">
        <f>IFERROR(INDEX(PP_Grid[#Data],$DE480,93),0)</f>
        <v/>
      </c>
      <c r="CS480">
        <f>IFERROR(INDEX(PP_Grid[#Data],$DE480,94),0)</f>
        <v/>
      </c>
      <c r="CT480">
        <f>IFERROR(INDEX(PP_Grid[#Data],$DE480,95),0)</f>
        <v/>
      </c>
      <c r="CU480">
        <f>IFERROR(INDEX(PP_Grid[#Data],$DE480,96),0)</f>
        <v/>
      </c>
      <c r="CV480">
        <f>IFERROR(INDEX(PP_Grid[#Data],$DE480,97),0)</f>
        <v/>
      </c>
      <c r="CW480">
        <f>IFERROR(INDEX(PP_Grid[#Data],$DE480,98),0)</f>
        <v/>
      </c>
      <c r="CX480">
        <f>IFERROR(INDEX(PP_Grid[#Data],$DE480,99),0)</f>
        <v/>
      </c>
      <c r="CY480">
        <f>IFERROR(INDEX(PP_Grid[#Data],$DE480,100),0)</f>
        <v/>
      </c>
      <c r="CZ480">
        <f>IFERROR(INDEX(PP_Grid[#Data],$DE480,101),0)</f>
        <v/>
      </c>
      <c r="DA480">
        <f>IFERROR(INDEX(PP_Grid[#Data],$DE480,102),0)</f>
        <v/>
      </c>
      <c r="DB480">
        <f>IFERROR(INDEX(PP_Grid[#Data],$DE480,103),0)</f>
        <v/>
      </c>
      <c r="DC480">
        <f>IFERROR(INDEX(PP_Grid[#Data],$DE480,104),0)</f>
        <v/>
      </c>
      <c r="DD480">
        <f>IFERROR(INDEX(PP_Grid[#Data],$DE480,105),0)</f>
        <v/>
      </c>
      <c r="DE480" s="7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SUMIFS(M_BOM[RM_Qty_Per_Batch],M_BOM[Intermediate],$B480,M_BOM[RM_Code],$A325)</f>
        <v/>
      </c>
      <c r="D481">
        <f>IFERROR(INDEX(E481:DD481,$F$1),"")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  <c r="DD481">
        <f>$C481*DD480</f>
        <v/>
      </c>
    </row>
    <row r="482">
      <c r="B482" t="inlineStr">
        <is>
          <t>VSP-990</t>
        </is>
      </c>
      <c r="C482" t="inlineStr">
        <is>
          <t>No. of batches</t>
        </is>
      </c>
      <c r="D482">
        <f>IFERROR(INDEX(E482:DD482,$F$1),"")</f>
        <v/>
      </c>
      <c r="E482">
        <f>IFERROR(INDEX(PP_Grid[#Data],$DE482,2),0)</f>
        <v/>
      </c>
      <c r="F482">
        <f>IFERROR(INDEX(PP_Grid[#Data],$DE482,3),0)</f>
        <v/>
      </c>
      <c r="G482">
        <f>IFERROR(INDEX(PP_Grid[#Data],$DE482,4),0)</f>
        <v/>
      </c>
      <c r="H482">
        <f>IFERROR(INDEX(PP_Grid[#Data],$DE482,5),0)</f>
        <v/>
      </c>
      <c r="I482">
        <f>IFERROR(INDEX(PP_Grid[#Data],$DE482,6),0)</f>
        <v/>
      </c>
      <c r="J482">
        <f>IFERROR(INDEX(PP_Grid[#Data],$DE482,7),0)</f>
        <v/>
      </c>
      <c r="K482">
        <f>IFERROR(INDEX(PP_Grid[#Data],$DE482,8),0)</f>
        <v/>
      </c>
      <c r="L482">
        <f>IFERROR(INDEX(PP_Grid[#Data],$DE482,9),0)</f>
        <v/>
      </c>
      <c r="M482">
        <f>IFERROR(INDEX(PP_Grid[#Data],$DE482,10),0)</f>
        <v/>
      </c>
      <c r="N482">
        <f>IFERROR(INDEX(PP_Grid[#Data],$DE482,11),0)</f>
        <v/>
      </c>
      <c r="O482">
        <f>IFERROR(INDEX(PP_Grid[#Data],$DE482,12),0)</f>
        <v/>
      </c>
      <c r="P482">
        <f>IFERROR(INDEX(PP_Grid[#Data],$DE482,13),0)</f>
        <v/>
      </c>
      <c r="Q482">
        <f>IFERROR(INDEX(PP_Grid[#Data],$DE482,14),0)</f>
        <v/>
      </c>
      <c r="R482">
        <f>IFERROR(INDEX(PP_Grid[#Data],$DE482,15),0)</f>
        <v/>
      </c>
      <c r="S482">
        <f>IFERROR(INDEX(PP_Grid[#Data],$DE482,16),0)</f>
        <v/>
      </c>
      <c r="T482">
        <f>IFERROR(INDEX(PP_Grid[#Data],$DE482,17),0)</f>
        <v/>
      </c>
      <c r="U482">
        <f>IFERROR(INDEX(PP_Grid[#Data],$DE482,18),0)</f>
        <v/>
      </c>
      <c r="V482">
        <f>IFERROR(INDEX(PP_Grid[#Data],$DE482,19),0)</f>
        <v/>
      </c>
      <c r="W482">
        <f>IFERROR(INDEX(PP_Grid[#Data],$DE482,20),0)</f>
        <v/>
      </c>
      <c r="X482">
        <f>IFERROR(INDEX(PP_Grid[#Data],$DE482,21),0)</f>
        <v/>
      </c>
      <c r="Y482">
        <f>IFERROR(INDEX(PP_Grid[#Data],$DE482,22),0)</f>
        <v/>
      </c>
      <c r="Z482">
        <f>IFERROR(INDEX(PP_Grid[#Data],$DE482,23),0)</f>
        <v/>
      </c>
      <c r="AA482">
        <f>IFERROR(INDEX(PP_Grid[#Data],$DE482,24),0)</f>
        <v/>
      </c>
      <c r="AB482">
        <f>IFERROR(INDEX(PP_Grid[#Data],$DE482,25),0)</f>
        <v/>
      </c>
      <c r="AC482">
        <f>IFERROR(INDEX(PP_Grid[#Data],$DE482,26),0)</f>
        <v/>
      </c>
      <c r="AD482">
        <f>IFERROR(INDEX(PP_Grid[#Data],$DE482,27),0)</f>
        <v/>
      </c>
      <c r="AE482">
        <f>IFERROR(INDEX(PP_Grid[#Data],$DE482,28),0)</f>
        <v/>
      </c>
      <c r="AF482">
        <f>IFERROR(INDEX(PP_Grid[#Data],$DE482,29),0)</f>
        <v/>
      </c>
      <c r="AG482">
        <f>IFERROR(INDEX(PP_Grid[#Data],$DE482,30),0)</f>
        <v/>
      </c>
      <c r="AH482">
        <f>IFERROR(INDEX(PP_Grid[#Data],$DE482,31),0)</f>
        <v/>
      </c>
      <c r="AI482">
        <f>IFERROR(INDEX(PP_Grid[#Data],$DE482,32),0)</f>
        <v/>
      </c>
      <c r="AJ482">
        <f>IFERROR(INDEX(PP_Grid[#Data],$DE482,33),0)</f>
        <v/>
      </c>
      <c r="AK482">
        <f>IFERROR(INDEX(PP_Grid[#Data],$DE482,34),0)</f>
        <v/>
      </c>
      <c r="AL482">
        <f>IFERROR(INDEX(PP_Grid[#Data],$DE482,35),0)</f>
        <v/>
      </c>
      <c r="AM482">
        <f>IFERROR(INDEX(PP_Grid[#Data],$DE482,36),0)</f>
        <v/>
      </c>
      <c r="AN482">
        <f>IFERROR(INDEX(PP_Grid[#Data],$DE482,37),0)</f>
        <v/>
      </c>
      <c r="AO482">
        <f>IFERROR(INDEX(PP_Grid[#Data],$DE482,38),0)</f>
        <v/>
      </c>
      <c r="AP482">
        <f>IFERROR(INDEX(PP_Grid[#Data],$DE482,39),0)</f>
        <v/>
      </c>
      <c r="AQ482">
        <f>IFERROR(INDEX(PP_Grid[#Data],$DE482,40),0)</f>
        <v/>
      </c>
      <c r="AR482">
        <f>IFERROR(INDEX(PP_Grid[#Data],$DE482,41),0)</f>
        <v/>
      </c>
      <c r="AS482">
        <f>IFERROR(INDEX(PP_Grid[#Data],$DE482,42),0)</f>
        <v/>
      </c>
      <c r="AT482">
        <f>IFERROR(INDEX(PP_Grid[#Data],$DE482,43),0)</f>
        <v/>
      </c>
      <c r="AU482">
        <f>IFERROR(INDEX(PP_Grid[#Data],$DE482,44),0)</f>
        <v/>
      </c>
      <c r="AV482">
        <f>IFERROR(INDEX(PP_Grid[#Data],$DE482,45),0)</f>
        <v/>
      </c>
      <c r="AW482">
        <f>IFERROR(INDEX(PP_Grid[#Data],$DE482,46),0)</f>
        <v/>
      </c>
      <c r="AX482">
        <f>IFERROR(INDEX(PP_Grid[#Data],$DE482,47),0)</f>
        <v/>
      </c>
      <c r="AY482">
        <f>IFERROR(INDEX(PP_Grid[#Data],$DE482,48),0)</f>
        <v/>
      </c>
      <c r="AZ482">
        <f>IFERROR(INDEX(PP_Grid[#Data],$DE482,49),0)</f>
        <v/>
      </c>
      <c r="BA482">
        <f>IFERROR(INDEX(PP_Grid[#Data],$DE482,50),0)</f>
        <v/>
      </c>
      <c r="BB482">
        <f>IFERROR(INDEX(PP_Grid[#Data],$DE482,51),0)</f>
        <v/>
      </c>
      <c r="BC482">
        <f>IFERROR(INDEX(PP_Grid[#Data],$DE482,52),0)</f>
        <v/>
      </c>
      <c r="BD482">
        <f>IFERROR(INDEX(PP_Grid[#Data],$DE482,53),0)</f>
        <v/>
      </c>
      <c r="BE482">
        <f>IFERROR(INDEX(PP_Grid[#Data],$DE482,54),0)</f>
        <v/>
      </c>
      <c r="BF482">
        <f>IFERROR(INDEX(PP_Grid[#Data],$DE482,55),0)</f>
        <v/>
      </c>
      <c r="BG482">
        <f>IFERROR(INDEX(PP_Grid[#Data],$DE482,56),0)</f>
        <v/>
      </c>
      <c r="BH482">
        <f>IFERROR(INDEX(PP_Grid[#Data],$DE482,57),0)</f>
        <v/>
      </c>
      <c r="BI482">
        <f>IFERROR(INDEX(PP_Grid[#Data],$DE482,58),0)</f>
        <v/>
      </c>
      <c r="BJ482">
        <f>IFERROR(INDEX(PP_Grid[#Data],$DE482,59),0)</f>
        <v/>
      </c>
      <c r="BK482">
        <f>IFERROR(INDEX(PP_Grid[#Data],$DE482,60),0)</f>
        <v/>
      </c>
      <c r="BL482">
        <f>IFERROR(INDEX(PP_Grid[#Data],$DE482,61),0)</f>
        <v/>
      </c>
      <c r="BM482">
        <f>IFERROR(INDEX(PP_Grid[#Data],$DE482,62),0)</f>
        <v/>
      </c>
      <c r="BN482">
        <f>IFERROR(INDEX(PP_Grid[#Data],$DE482,63),0)</f>
        <v/>
      </c>
      <c r="BO482">
        <f>IFERROR(INDEX(PP_Grid[#Data],$DE482,64),0)</f>
        <v/>
      </c>
      <c r="BP482">
        <f>IFERROR(INDEX(PP_Grid[#Data],$DE482,65),0)</f>
        <v/>
      </c>
      <c r="BQ482">
        <f>IFERROR(INDEX(PP_Grid[#Data],$DE482,66),0)</f>
        <v/>
      </c>
      <c r="BR482">
        <f>IFERROR(INDEX(PP_Grid[#Data],$DE482,67),0)</f>
        <v/>
      </c>
      <c r="BS482">
        <f>IFERROR(INDEX(PP_Grid[#Data],$DE482,68),0)</f>
        <v/>
      </c>
      <c r="BT482">
        <f>IFERROR(INDEX(PP_Grid[#Data],$DE482,69),0)</f>
        <v/>
      </c>
      <c r="BU482">
        <f>IFERROR(INDEX(PP_Grid[#Data],$DE482,70),0)</f>
        <v/>
      </c>
      <c r="BV482">
        <f>IFERROR(INDEX(PP_Grid[#Data],$DE482,71),0)</f>
        <v/>
      </c>
      <c r="BW482">
        <f>IFERROR(INDEX(PP_Grid[#Data],$DE482,72),0)</f>
        <v/>
      </c>
      <c r="BX482">
        <f>IFERROR(INDEX(PP_Grid[#Data],$DE482,73),0)</f>
        <v/>
      </c>
      <c r="BY482">
        <f>IFERROR(INDEX(PP_Grid[#Data],$DE482,74),0)</f>
        <v/>
      </c>
      <c r="BZ482">
        <f>IFERROR(INDEX(PP_Grid[#Data],$DE482,75),0)</f>
        <v/>
      </c>
      <c r="CA482">
        <f>IFERROR(INDEX(PP_Grid[#Data],$DE482,76),0)</f>
        <v/>
      </c>
      <c r="CB482">
        <f>IFERROR(INDEX(PP_Grid[#Data],$DE482,77),0)</f>
        <v/>
      </c>
      <c r="CC482">
        <f>IFERROR(INDEX(PP_Grid[#Data],$DE482,78),0)</f>
        <v/>
      </c>
      <c r="CD482">
        <f>IFERROR(INDEX(PP_Grid[#Data],$DE482,79),0)</f>
        <v/>
      </c>
      <c r="CE482">
        <f>IFERROR(INDEX(PP_Grid[#Data],$DE482,80),0)</f>
        <v/>
      </c>
      <c r="CF482">
        <f>IFERROR(INDEX(PP_Grid[#Data],$DE482,81),0)</f>
        <v/>
      </c>
      <c r="CG482">
        <f>IFERROR(INDEX(PP_Grid[#Data],$DE482,82),0)</f>
        <v/>
      </c>
      <c r="CH482">
        <f>IFERROR(INDEX(PP_Grid[#Data],$DE482,83),0)</f>
        <v/>
      </c>
      <c r="CI482">
        <f>IFERROR(INDEX(PP_Grid[#Data],$DE482,84),0)</f>
        <v/>
      </c>
      <c r="CJ482">
        <f>IFERROR(INDEX(PP_Grid[#Data],$DE482,85),0)</f>
        <v/>
      </c>
      <c r="CK482">
        <f>IFERROR(INDEX(PP_Grid[#Data],$DE482,86),0)</f>
        <v/>
      </c>
      <c r="CL482">
        <f>IFERROR(INDEX(PP_Grid[#Data],$DE482,87),0)</f>
        <v/>
      </c>
      <c r="CM482">
        <f>IFERROR(INDEX(PP_Grid[#Data],$DE482,88),0)</f>
        <v/>
      </c>
      <c r="CN482">
        <f>IFERROR(INDEX(PP_Grid[#Data],$DE482,89),0)</f>
        <v/>
      </c>
      <c r="CO482">
        <f>IFERROR(INDEX(PP_Grid[#Data],$DE482,90),0)</f>
        <v/>
      </c>
      <c r="CP482">
        <f>IFERROR(INDEX(PP_Grid[#Data],$DE482,91),0)</f>
        <v/>
      </c>
      <c r="CQ482">
        <f>IFERROR(INDEX(PP_Grid[#Data],$DE482,92),0)</f>
        <v/>
      </c>
      <c r="CR482">
        <f>IFERROR(INDEX(PP_Grid[#Data],$DE482,93),0)</f>
        <v/>
      </c>
      <c r="CS482">
        <f>IFERROR(INDEX(PP_Grid[#Data],$DE482,94),0)</f>
        <v/>
      </c>
      <c r="CT482">
        <f>IFERROR(INDEX(PP_Grid[#Data],$DE482,95),0)</f>
        <v/>
      </c>
      <c r="CU482">
        <f>IFERROR(INDEX(PP_Grid[#Data],$DE482,96),0)</f>
        <v/>
      </c>
      <c r="CV482">
        <f>IFERROR(INDEX(PP_Grid[#Data],$DE482,97),0)</f>
        <v/>
      </c>
      <c r="CW482">
        <f>IFERROR(INDEX(PP_Grid[#Data],$DE482,98),0)</f>
        <v/>
      </c>
      <c r="CX482">
        <f>IFERROR(INDEX(PP_Grid[#Data],$DE482,99),0)</f>
        <v/>
      </c>
      <c r="CY482">
        <f>IFERROR(INDEX(PP_Grid[#Data],$DE482,100),0)</f>
        <v/>
      </c>
      <c r="CZ482">
        <f>IFERROR(INDEX(PP_Grid[#Data],$DE482,101),0)</f>
        <v/>
      </c>
      <c r="DA482">
        <f>IFERROR(INDEX(PP_Grid[#Data],$DE482,102),0)</f>
        <v/>
      </c>
      <c r="DB482">
        <f>IFERROR(INDEX(PP_Grid[#Data],$DE482,103),0)</f>
        <v/>
      </c>
      <c r="DC482">
        <f>IFERROR(INDEX(PP_Grid[#Data],$DE482,104),0)</f>
        <v/>
      </c>
      <c r="DD482">
        <f>IFERROR(INDEX(PP_Grid[#Data],$DE482,105),0)</f>
        <v/>
      </c>
      <c r="DE482" s="7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SUMIFS(M_BOM[RM_Qty_Per_Batch],M_BOM[Intermediate],$B482,M_BOM[RM_Code],$A325)</f>
        <v/>
      </c>
      <c r="D483">
        <f>IFERROR(INDEX(E483:DD483,$F$1),"")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  <c r="DD483">
        <f>$C483*DD482</f>
        <v/>
      </c>
    </row>
    <row r="484">
      <c r="B484" t="inlineStr">
        <is>
          <t>VSZ-745</t>
        </is>
      </c>
      <c r="C484" t="inlineStr">
        <is>
          <t>No. of batches</t>
        </is>
      </c>
      <c r="D484">
        <f>IFERROR(INDEX(E484:DD484,$F$1),"")</f>
        <v/>
      </c>
      <c r="E484">
        <f>IFERROR(INDEX(PP_Grid[#Data],$DE484,2),0)</f>
        <v/>
      </c>
      <c r="F484">
        <f>IFERROR(INDEX(PP_Grid[#Data],$DE484,3),0)</f>
        <v/>
      </c>
      <c r="G484">
        <f>IFERROR(INDEX(PP_Grid[#Data],$DE484,4),0)</f>
        <v/>
      </c>
      <c r="H484">
        <f>IFERROR(INDEX(PP_Grid[#Data],$DE484,5),0)</f>
        <v/>
      </c>
      <c r="I484">
        <f>IFERROR(INDEX(PP_Grid[#Data],$DE484,6),0)</f>
        <v/>
      </c>
      <c r="J484">
        <f>IFERROR(INDEX(PP_Grid[#Data],$DE484,7),0)</f>
        <v/>
      </c>
      <c r="K484">
        <f>IFERROR(INDEX(PP_Grid[#Data],$DE484,8),0)</f>
        <v/>
      </c>
      <c r="L484">
        <f>IFERROR(INDEX(PP_Grid[#Data],$DE484,9),0)</f>
        <v/>
      </c>
      <c r="M484">
        <f>IFERROR(INDEX(PP_Grid[#Data],$DE484,10),0)</f>
        <v/>
      </c>
      <c r="N484">
        <f>IFERROR(INDEX(PP_Grid[#Data],$DE484,11),0)</f>
        <v/>
      </c>
      <c r="O484">
        <f>IFERROR(INDEX(PP_Grid[#Data],$DE484,12),0)</f>
        <v/>
      </c>
      <c r="P484">
        <f>IFERROR(INDEX(PP_Grid[#Data],$DE484,13),0)</f>
        <v/>
      </c>
      <c r="Q484">
        <f>IFERROR(INDEX(PP_Grid[#Data],$DE484,14),0)</f>
        <v/>
      </c>
      <c r="R484">
        <f>IFERROR(INDEX(PP_Grid[#Data],$DE484,15),0)</f>
        <v/>
      </c>
      <c r="S484">
        <f>IFERROR(INDEX(PP_Grid[#Data],$DE484,16),0)</f>
        <v/>
      </c>
      <c r="T484">
        <f>IFERROR(INDEX(PP_Grid[#Data],$DE484,17),0)</f>
        <v/>
      </c>
      <c r="U484">
        <f>IFERROR(INDEX(PP_Grid[#Data],$DE484,18),0)</f>
        <v/>
      </c>
      <c r="V484">
        <f>IFERROR(INDEX(PP_Grid[#Data],$DE484,19),0)</f>
        <v/>
      </c>
      <c r="W484">
        <f>IFERROR(INDEX(PP_Grid[#Data],$DE484,20),0)</f>
        <v/>
      </c>
      <c r="X484">
        <f>IFERROR(INDEX(PP_Grid[#Data],$DE484,21),0)</f>
        <v/>
      </c>
      <c r="Y484">
        <f>IFERROR(INDEX(PP_Grid[#Data],$DE484,22),0)</f>
        <v/>
      </c>
      <c r="Z484">
        <f>IFERROR(INDEX(PP_Grid[#Data],$DE484,23),0)</f>
        <v/>
      </c>
      <c r="AA484">
        <f>IFERROR(INDEX(PP_Grid[#Data],$DE484,24),0)</f>
        <v/>
      </c>
      <c r="AB484">
        <f>IFERROR(INDEX(PP_Grid[#Data],$DE484,25),0)</f>
        <v/>
      </c>
      <c r="AC484">
        <f>IFERROR(INDEX(PP_Grid[#Data],$DE484,26),0)</f>
        <v/>
      </c>
      <c r="AD484">
        <f>IFERROR(INDEX(PP_Grid[#Data],$DE484,27),0)</f>
        <v/>
      </c>
      <c r="AE484">
        <f>IFERROR(INDEX(PP_Grid[#Data],$DE484,28),0)</f>
        <v/>
      </c>
      <c r="AF484">
        <f>IFERROR(INDEX(PP_Grid[#Data],$DE484,29),0)</f>
        <v/>
      </c>
      <c r="AG484">
        <f>IFERROR(INDEX(PP_Grid[#Data],$DE484,30),0)</f>
        <v/>
      </c>
      <c r="AH484">
        <f>IFERROR(INDEX(PP_Grid[#Data],$DE484,31),0)</f>
        <v/>
      </c>
      <c r="AI484">
        <f>IFERROR(INDEX(PP_Grid[#Data],$DE484,32),0)</f>
        <v/>
      </c>
      <c r="AJ484">
        <f>IFERROR(INDEX(PP_Grid[#Data],$DE484,33),0)</f>
        <v/>
      </c>
      <c r="AK484">
        <f>IFERROR(INDEX(PP_Grid[#Data],$DE484,34),0)</f>
        <v/>
      </c>
      <c r="AL484">
        <f>IFERROR(INDEX(PP_Grid[#Data],$DE484,35),0)</f>
        <v/>
      </c>
      <c r="AM484">
        <f>IFERROR(INDEX(PP_Grid[#Data],$DE484,36),0)</f>
        <v/>
      </c>
      <c r="AN484">
        <f>IFERROR(INDEX(PP_Grid[#Data],$DE484,37),0)</f>
        <v/>
      </c>
      <c r="AO484">
        <f>IFERROR(INDEX(PP_Grid[#Data],$DE484,38),0)</f>
        <v/>
      </c>
      <c r="AP484">
        <f>IFERROR(INDEX(PP_Grid[#Data],$DE484,39),0)</f>
        <v/>
      </c>
      <c r="AQ484">
        <f>IFERROR(INDEX(PP_Grid[#Data],$DE484,40),0)</f>
        <v/>
      </c>
      <c r="AR484">
        <f>IFERROR(INDEX(PP_Grid[#Data],$DE484,41),0)</f>
        <v/>
      </c>
      <c r="AS484">
        <f>IFERROR(INDEX(PP_Grid[#Data],$DE484,42),0)</f>
        <v/>
      </c>
      <c r="AT484">
        <f>IFERROR(INDEX(PP_Grid[#Data],$DE484,43),0)</f>
        <v/>
      </c>
      <c r="AU484">
        <f>IFERROR(INDEX(PP_Grid[#Data],$DE484,44),0)</f>
        <v/>
      </c>
      <c r="AV484">
        <f>IFERROR(INDEX(PP_Grid[#Data],$DE484,45),0)</f>
        <v/>
      </c>
      <c r="AW484">
        <f>IFERROR(INDEX(PP_Grid[#Data],$DE484,46),0)</f>
        <v/>
      </c>
      <c r="AX484">
        <f>IFERROR(INDEX(PP_Grid[#Data],$DE484,47),0)</f>
        <v/>
      </c>
      <c r="AY484">
        <f>IFERROR(INDEX(PP_Grid[#Data],$DE484,48),0)</f>
        <v/>
      </c>
      <c r="AZ484">
        <f>IFERROR(INDEX(PP_Grid[#Data],$DE484,49),0)</f>
        <v/>
      </c>
      <c r="BA484">
        <f>IFERROR(INDEX(PP_Grid[#Data],$DE484,50),0)</f>
        <v/>
      </c>
      <c r="BB484">
        <f>IFERROR(INDEX(PP_Grid[#Data],$DE484,51),0)</f>
        <v/>
      </c>
      <c r="BC484">
        <f>IFERROR(INDEX(PP_Grid[#Data],$DE484,52),0)</f>
        <v/>
      </c>
      <c r="BD484">
        <f>IFERROR(INDEX(PP_Grid[#Data],$DE484,53),0)</f>
        <v/>
      </c>
      <c r="BE484">
        <f>IFERROR(INDEX(PP_Grid[#Data],$DE484,54),0)</f>
        <v/>
      </c>
      <c r="BF484">
        <f>IFERROR(INDEX(PP_Grid[#Data],$DE484,55),0)</f>
        <v/>
      </c>
      <c r="BG484">
        <f>IFERROR(INDEX(PP_Grid[#Data],$DE484,56),0)</f>
        <v/>
      </c>
      <c r="BH484">
        <f>IFERROR(INDEX(PP_Grid[#Data],$DE484,57),0)</f>
        <v/>
      </c>
      <c r="BI484">
        <f>IFERROR(INDEX(PP_Grid[#Data],$DE484,58),0)</f>
        <v/>
      </c>
      <c r="BJ484">
        <f>IFERROR(INDEX(PP_Grid[#Data],$DE484,59),0)</f>
        <v/>
      </c>
      <c r="BK484">
        <f>IFERROR(INDEX(PP_Grid[#Data],$DE484,60),0)</f>
        <v/>
      </c>
      <c r="BL484">
        <f>IFERROR(INDEX(PP_Grid[#Data],$DE484,61),0)</f>
        <v/>
      </c>
      <c r="BM484">
        <f>IFERROR(INDEX(PP_Grid[#Data],$DE484,62),0)</f>
        <v/>
      </c>
      <c r="BN484">
        <f>IFERROR(INDEX(PP_Grid[#Data],$DE484,63),0)</f>
        <v/>
      </c>
      <c r="BO484">
        <f>IFERROR(INDEX(PP_Grid[#Data],$DE484,64),0)</f>
        <v/>
      </c>
      <c r="BP484">
        <f>IFERROR(INDEX(PP_Grid[#Data],$DE484,65),0)</f>
        <v/>
      </c>
      <c r="BQ484">
        <f>IFERROR(INDEX(PP_Grid[#Data],$DE484,66),0)</f>
        <v/>
      </c>
      <c r="BR484">
        <f>IFERROR(INDEX(PP_Grid[#Data],$DE484,67),0)</f>
        <v/>
      </c>
      <c r="BS484">
        <f>IFERROR(INDEX(PP_Grid[#Data],$DE484,68),0)</f>
        <v/>
      </c>
      <c r="BT484">
        <f>IFERROR(INDEX(PP_Grid[#Data],$DE484,69),0)</f>
        <v/>
      </c>
      <c r="BU484">
        <f>IFERROR(INDEX(PP_Grid[#Data],$DE484,70),0)</f>
        <v/>
      </c>
      <c r="BV484">
        <f>IFERROR(INDEX(PP_Grid[#Data],$DE484,71),0)</f>
        <v/>
      </c>
      <c r="BW484">
        <f>IFERROR(INDEX(PP_Grid[#Data],$DE484,72),0)</f>
        <v/>
      </c>
      <c r="BX484">
        <f>IFERROR(INDEX(PP_Grid[#Data],$DE484,73),0)</f>
        <v/>
      </c>
      <c r="BY484">
        <f>IFERROR(INDEX(PP_Grid[#Data],$DE484,74),0)</f>
        <v/>
      </c>
      <c r="BZ484">
        <f>IFERROR(INDEX(PP_Grid[#Data],$DE484,75),0)</f>
        <v/>
      </c>
      <c r="CA484">
        <f>IFERROR(INDEX(PP_Grid[#Data],$DE484,76),0)</f>
        <v/>
      </c>
      <c r="CB484">
        <f>IFERROR(INDEX(PP_Grid[#Data],$DE484,77),0)</f>
        <v/>
      </c>
      <c r="CC484">
        <f>IFERROR(INDEX(PP_Grid[#Data],$DE484,78),0)</f>
        <v/>
      </c>
      <c r="CD484">
        <f>IFERROR(INDEX(PP_Grid[#Data],$DE484,79),0)</f>
        <v/>
      </c>
      <c r="CE484">
        <f>IFERROR(INDEX(PP_Grid[#Data],$DE484,80),0)</f>
        <v/>
      </c>
      <c r="CF484">
        <f>IFERROR(INDEX(PP_Grid[#Data],$DE484,81),0)</f>
        <v/>
      </c>
      <c r="CG484">
        <f>IFERROR(INDEX(PP_Grid[#Data],$DE484,82),0)</f>
        <v/>
      </c>
      <c r="CH484">
        <f>IFERROR(INDEX(PP_Grid[#Data],$DE484,83),0)</f>
        <v/>
      </c>
      <c r="CI484">
        <f>IFERROR(INDEX(PP_Grid[#Data],$DE484,84),0)</f>
        <v/>
      </c>
      <c r="CJ484">
        <f>IFERROR(INDEX(PP_Grid[#Data],$DE484,85),0)</f>
        <v/>
      </c>
      <c r="CK484">
        <f>IFERROR(INDEX(PP_Grid[#Data],$DE484,86),0)</f>
        <v/>
      </c>
      <c r="CL484">
        <f>IFERROR(INDEX(PP_Grid[#Data],$DE484,87),0)</f>
        <v/>
      </c>
      <c r="CM484">
        <f>IFERROR(INDEX(PP_Grid[#Data],$DE484,88),0)</f>
        <v/>
      </c>
      <c r="CN484">
        <f>IFERROR(INDEX(PP_Grid[#Data],$DE484,89),0)</f>
        <v/>
      </c>
      <c r="CO484">
        <f>IFERROR(INDEX(PP_Grid[#Data],$DE484,90),0)</f>
        <v/>
      </c>
      <c r="CP484">
        <f>IFERROR(INDEX(PP_Grid[#Data],$DE484,91),0)</f>
        <v/>
      </c>
      <c r="CQ484">
        <f>IFERROR(INDEX(PP_Grid[#Data],$DE484,92),0)</f>
        <v/>
      </c>
      <c r="CR484">
        <f>IFERROR(INDEX(PP_Grid[#Data],$DE484,93),0)</f>
        <v/>
      </c>
      <c r="CS484">
        <f>IFERROR(INDEX(PP_Grid[#Data],$DE484,94),0)</f>
        <v/>
      </c>
      <c r="CT484">
        <f>IFERROR(INDEX(PP_Grid[#Data],$DE484,95),0)</f>
        <v/>
      </c>
      <c r="CU484">
        <f>IFERROR(INDEX(PP_Grid[#Data],$DE484,96),0)</f>
        <v/>
      </c>
      <c r="CV484">
        <f>IFERROR(INDEX(PP_Grid[#Data],$DE484,97),0)</f>
        <v/>
      </c>
      <c r="CW484">
        <f>IFERROR(INDEX(PP_Grid[#Data],$DE484,98),0)</f>
        <v/>
      </c>
      <c r="CX484">
        <f>IFERROR(INDEX(PP_Grid[#Data],$DE484,99),0)</f>
        <v/>
      </c>
      <c r="CY484">
        <f>IFERROR(INDEX(PP_Grid[#Data],$DE484,100),0)</f>
        <v/>
      </c>
      <c r="CZ484">
        <f>IFERROR(INDEX(PP_Grid[#Data],$DE484,101),0)</f>
        <v/>
      </c>
      <c r="DA484">
        <f>IFERROR(INDEX(PP_Grid[#Data],$DE484,102),0)</f>
        <v/>
      </c>
      <c r="DB484">
        <f>IFERROR(INDEX(PP_Grid[#Data],$DE484,103),0)</f>
        <v/>
      </c>
      <c r="DC484">
        <f>IFERROR(INDEX(PP_Grid[#Data],$DE484,104),0)</f>
        <v/>
      </c>
      <c r="DD484">
        <f>IFERROR(INDEX(PP_Grid[#Data],$DE484,105),0)</f>
        <v/>
      </c>
      <c r="DE484" s="7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SUMIFS(M_BOM[RM_Qty_Per_Batch],M_BOM[Intermediate],$B484,M_BOM[RM_Code],$A325)</f>
        <v/>
      </c>
      <c r="D485">
        <f>IFERROR(INDEX(E485:DD485,$F$1),"")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  <c r="DD485">
        <f>$C485*DD484</f>
        <v/>
      </c>
    </row>
    <row r="486">
      <c r="B486" t="inlineStr">
        <is>
          <t>TVS-267</t>
        </is>
      </c>
      <c r="C486" t="inlineStr">
        <is>
          <t>No. of batches</t>
        </is>
      </c>
      <c r="D486">
        <f>IFERROR(INDEX(E486:DD486,$F$1),"")</f>
        <v/>
      </c>
      <c r="E486">
        <f>IFERROR(INDEX(PP_Grid[#Data],$DE486,2),0)</f>
        <v/>
      </c>
      <c r="F486">
        <f>IFERROR(INDEX(PP_Grid[#Data],$DE486,3),0)</f>
        <v/>
      </c>
      <c r="G486">
        <f>IFERROR(INDEX(PP_Grid[#Data],$DE486,4),0)</f>
        <v/>
      </c>
      <c r="H486">
        <f>IFERROR(INDEX(PP_Grid[#Data],$DE486,5),0)</f>
        <v/>
      </c>
      <c r="I486">
        <f>IFERROR(INDEX(PP_Grid[#Data],$DE486,6),0)</f>
        <v/>
      </c>
      <c r="J486">
        <f>IFERROR(INDEX(PP_Grid[#Data],$DE486,7),0)</f>
        <v/>
      </c>
      <c r="K486">
        <f>IFERROR(INDEX(PP_Grid[#Data],$DE486,8),0)</f>
        <v/>
      </c>
      <c r="L486">
        <f>IFERROR(INDEX(PP_Grid[#Data],$DE486,9),0)</f>
        <v/>
      </c>
      <c r="M486">
        <f>IFERROR(INDEX(PP_Grid[#Data],$DE486,10),0)</f>
        <v/>
      </c>
      <c r="N486">
        <f>IFERROR(INDEX(PP_Grid[#Data],$DE486,11),0)</f>
        <v/>
      </c>
      <c r="O486">
        <f>IFERROR(INDEX(PP_Grid[#Data],$DE486,12),0)</f>
        <v/>
      </c>
      <c r="P486">
        <f>IFERROR(INDEX(PP_Grid[#Data],$DE486,13),0)</f>
        <v/>
      </c>
      <c r="Q486">
        <f>IFERROR(INDEX(PP_Grid[#Data],$DE486,14),0)</f>
        <v/>
      </c>
      <c r="R486">
        <f>IFERROR(INDEX(PP_Grid[#Data],$DE486,15),0)</f>
        <v/>
      </c>
      <c r="S486">
        <f>IFERROR(INDEX(PP_Grid[#Data],$DE486,16),0)</f>
        <v/>
      </c>
      <c r="T486">
        <f>IFERROR(INDEX(PP_Grid[#Data],$DE486,17),0)</f>
        <v/>
      </c>
      <c r="U486">
        <f>IFERROR(INDEX(PP_Grid[#Data],$DE486,18),0)</f>
        <v/>
      </c>
      <c r="V486">
        <f>IFERROR(INDEX(PP_Grid[#Data],$DE486,19),0)</f>
        <v/>
      </c>
      <c r="W486">
        <f>IFERROR(INDEX(PP_Grid[#Data],$DE486,20),0)</f>
        <v/>
      </c>
      <c r="X486">
        <f>IFERROR(INDEX(PP_Grid[#Data],$DE486,21),0)</f>
        <v/>
      </c>
      <c r="Y486">
        <f>IFERROR(INDEX(PP_Grid[#Data],$DE486,22),0)</f>
        <v/>
      </c>
      <c r="Z486">
        <f>IFERROR(INDEX(PP_Grid[#Data],$DE486,23),0)</f>
        <v/>
      </c>
      <c r="AA486">
        <f>IFERROR(INDEX(PP_Grid[#Data],$DE486,24),0)</f>
        <v/>
      </c>
      <c r="AB486">
        <f>IFERROR(INDEX(PP_Grid[#Data],$DE486,25),0)</f>
        <v/>
      </c>
      <c r="AC486">
        <f>IFERROR(INDEX(PP_Grid[#Data],$DE486,26),0)</f>
        <v/>
      </c>
      <c r="AD486">
        <f>IFERROR(INDEX(PP_Grid[#Data],$DE486,27),0)</f>
        <v/>
      </c>
      <c r="AE486">
        <f>IFERROR(INDEX(PP_Grid[#Data],$DE486,28),0)</f>
        <v/>
      </c>
      <c r="AF486">
        <f>IFERROR(INDEX(PP_Grid[#Data],$DE486,29),0)</f>
        <v/>
      </c>
      <c r="AG486">
        <f>IFERROR(INDEX(PP_Grid[#Data],$DE486,30),0)</f>
        <v/>
      </c>
      <c r="AH486">
        <f>IFERROR(INDEX(PP_Grid[#Data],$DE486,31),0)</f>
        <v/>
      </c>
      <c r="AI486">
        <f>IFERROR(INDEX(PP_Grid[#Data],$DE486,32),0)</f>
        <v/>
      </c>
      <c r="AJ486">
        <f>IFERROR(INDEX(PP_Grid[#Data],$DE486,33),0)</f>
        <v/>
      </c>
      <c r="AK486">
        <f>IFERROR(INDEX(PP_Grid[#Data],$DE486,34),0)</f>
        <v/>
      </c>
      <c r="AL486">
        <f>IFERROR(INDEX(PP_Grid[#Data],$DE486,35),0)</f>
        <v/>
      </c>
      <c r="AM486">
        <f>IFERROR(INDEX(PP_Grid[#Data],$DE486,36),0)</f>
        <v/>
      </c>
      <c r="AN486">
        <f>IFERROR(INDEX(PP_Grid[#Data],$DE486,37),0)</f>
        <v/>
      </c>
      <c r="AO486">
        <f>IFERROR(INDEX(PP_Grid[#Data],$DE486,38),0)</f>
        <v/>
      </c>
      <c r="AP486">
        <f>IFERROR(INDEX(PP_Grid[#Data],$DE486,39),0)</f>
        <v/>
      </c>
      <c r="AQ486">
        <f>IFERROR(INDEX(PP_Grid[#Data],$DE486,40),0)</f>
        <v/>
      </c>
      <c r="AR486">
        <f>IFERROR(INDEX(PP_Grid[#Data],$DE486,41),0)</f>
        <v/>
      </c>
      <c r="AS486">
        <f>IFERROR(INDEX(PP_Grid[#Data],$DE486,42),0)</f>
        <v/>
      </c>
      <c r="AT486">
        <f>IFERROR(INDEX(PP_Grid[#Data],$DE486,43),0)</f>
        <v/>
      </c>
      <c r="AU486">
        <f>IFERROR(INDEX(PP_Grid[#Data],$DE486,44),0)</f>
        <v/>
      </c>
      <c r="AV486">
        <f>IFERROR(INDEX(PP_Grid[#Data],$DE486,45),0)</f>
        <v/>
      </c>
      <c r="AW486">
        <f>IFERROR(INDEX(PP_Grid[#Data],$DE486,46),0)</f>
        <v/>
      </c>
      <c r="AX486">
        <f>IFERROR(INDEX(PP_Grid[#Data],$DE486,47),0)</f>
        <v/>
      </c>
      <c r="AY486">
        <f>IFERROR(INDEX(PP_Grid[#Data],$DE486,48),0)</f>
        <v/>
      </c>
      <c r="AZ486">
        <f>IFERROR(INDEX(PP_Grid[#Data],$DE486,49),0)</f>
        <v/>
      </c>
      <c r="BA486">
        <f>IFERROR(INDEX(PP_Grid[#Data],$DE486,50),0)</f>
        <v/>
      </c>
      <c r="BB486">
        <f>IFERROR(INDEX(PP_Grid[#Data],$DE486,51),0)</f>
        <v/>
      </c>
      <c r="BC486">
        <f>IFERROR(INDEX(PP_Grid[#Data],$DE486,52),0)</f>
        <v/>
      </c>
      <c r="BD486">
        <f>IFERROR(INDEX(PP_Grid[#Data],$DE486,53),0)</f>
        <v/>
      </c>
      <c r="BE486">
        <f>IFERROR(INDEX(PP_Grid[#Data],$DE486,54),0)</f>
        <v/>
      </c>
      <c r="BF486">
        <f>IFERROR(INDEX(PP_Grid[#Data],$DE486,55),0)</f>
        <v/>
      </c>
      <c r="BG486">
        <f>IFERROR(INDEX(PP_Grid[#Data],$DE486,56),0)</f>
        <v/>
      </c>
      <c r="BH486">
        <f>IFERROR(INDEX(PP_Grid[#Data],$DE486,57),0)</f>
        <v/>
      </c>
      <c r="BI486">
        <f>IFERROR(INDEX(PP_Grid[#Data],$DE486,58),0)</f>
        <v/>
      </c>
      <c r="BJ486">
        <f>IFERROR(INDEX(PP_Grid[#Data],$DE486,59),0)</f>
        <v/>
      </c>
      <c r="BK486">
        <f>IFERROR(INDEX(PP_Grid[#Data],$DE486,60),0)</f>
        <v/>
      </c>
      <c r="BL486">
        <f>IFERROR(INDEX(PP_Grid[#Data],$DE486,61),0)</f>
        <v/>
      </c>
      <c r="BM486">
        <f>IFERROR(INDEX(PP_Grid[#Data],$DE486,62),0)</f>
        <v/>
      </c>
      <c r="BN486">
        <f>IFERROR(INDEX(PP_Grid[#Data],$DE486,63),0)</f>
        <v/>
      </c>
      <c r="BO486">
        <f>IFERROR(INDEX(PP_Grid[#Data],$DE486,64),0)</f>
        <v/>
      </c>
      <c r="BP486">
        <f>IFERROR(INDEX(PP_Grid[#Data],$DE486,65),0)</f>
        <v/>
      </c>
      <c r="BQ486">
        <f>IFERROR(INDEX(PP_Grid[#Data],$DE486,66),0)</f>
        <v/>
      </c>
      <c r="BR486">
        <f>IFERROR(INDEX(PP_Grid[#Data],$DE486,67),0)</f>
        <v/>
      </c>
      <c r="BS486">
        <f>IFERROR(INDEX(PP_Grid[#Data],$DE486,68),0)</f>
        <v/>
      </c>
      <c r="BT486">
        <f>IFERROR(INDEX(PP_Grid[#Data],$DE486,69),0)</f>
        <v/>
      </c>
      <c r="BU486">
        <f>IFERROR(INDEX(PP_Grid[#Data],$DE486,70),0)</f>
        <v/>
      </c>
      <c r="BV486">
        <f>IFERROR(INDEX(PP_Grid[#Data],$DE486,71),0)</f>
        <v/>
      </c>
      <c r="BW486">
        <f>IFERROR(INDEX(PP_Grid[#Data],$DE486,72),0)</f>
        <v/>
      </c>
      <c r="BX486">
        <f>IFERROR(INDEX(PP_Grid[#Data],$DE486,73),0)</f>
        <v/>
      </c>
      <c r="BY486">
        <f>IFERROR(INDEX(PP_Grid[#Data],$DE486,74),0)</f>
        <v/>
      </c>
      <c r="BZ486">
        <f>IFERROR(INDEX(PP_Grid[#Data],$DE486,75),0)</f>
        <v/>
      </c>
      <c r="CA486">
        <f>IFERROR(INDEX(PP_Grid[#Data],$DE486,76),0)</f>
        <v/>
      </c>
      <c r="CB486">
        <f>IFERROR(INDEX(PP_Grid[#Data],$DE486,77),0)</f>
        <v/>
      </c>
      <c r="CC486">
        <f>IFERROR(INDEX(PP_Grid[#Data],$DE486,78),0)</f>
        <v/>
      </c>
      <c r="CD486">
        <f>IFERROR(INDEX(PP_Grid[#Data],$DE486,79),0)</f>
        <v/>
      </c>
      <c r="CE486">
        <f>IFERROR(INDEX(PP_Grid[#Data],$DE486,80),0)</f>
        <v/>
      </c>
      <c r="CF486">
        <f>IFERROR(INDEX(PP_Grid[#Data],$DE486,81),0)</f>
        <v/>
      </c>
      <c r="CG486">
        <f>IFERROR(INDEX(PP_Grid[#Data],$DE486,82),0)</f>
        <v/>
      </c>
      <c r="CH486">
        <f>IFERROR(INDEX(PP_Grid[#Data],$DE486,83),0)</f>
        <v/>
      </c>
      <c r="CI486">
        <f>IFERROR(INDEX(PP_Grid[#Data],$DE486,84),0)</f>
        <v/>
      </c>
      <c r="CJ486">
        <f>IFERROR(INDEX(PP_Grid[#Data],$DE486,85),0)</f>
        <v/>
      </c>
      <c r="CK486">
        <f>IFERROR(INDEX(PP_Grid[#Data],$DE486,86),0)</f>
        <v/>
      </c>
      <c r="CL486">
        <f>IFERROR(INDEX(PP_Grid[#Data],$DE486,87),0)</f>
        <v/>
      </c>
      <c r="CM486">
        <f>IFERROR(INDEX(PP_Grid[#Data],$DE486,88),0)</f>
        <v/>
      </c>
      <c r="CN486">
        <f>IFERROR(INDEX(PP_Grid[#Data],$DE486,89),0)</f>
        <v/>
      </c>
      <c r="CO486">
        <f>IFERROR(INDEX(PP_Grid[#Data],$DE486,90),0)</f>
        <v/>
      </c>
      <c r="CP486">
        <f>IFERROR(INDEX(PP_Grid[#Data],$DE486,91),0)</f>
        <v/>
      </c>
      <c r="CQ486">
        <f>IFERROR(INDEX(PP_Grid[#Data],$DE486,92),0)</f>
        <v/>
      </c>
      <c r="CR486">
        <f>IFERROR(INDEX(PP_Grid[#Data],$DE486,93),0)</f>
        <v/>
      </c>
      <c r="CS486">
        <f>IFERROR(INDEX(PP_Grid[#Data],$DE486,94),0)</f>
        <v/>
      </c>
      <c r="CT486">
        <f>IFERROR(INDEX(PP_Grid[#Data],$DE486,95),0)</f>
        <v/>
      </c>
      <c r="CU486">
        <f>IFERROR(INDEX(PP_Grid[#Data],$DE486,96),0)</f>
        <v/>
      </c>
      <c r="CV486">
        <f>IFERROR(INDEX(PP_Grid[#Data],$DE486,97),0)</f>
        <v/>
      </c>
      <c r="CW486">
        <f>IFERROR(INDEX(PP_Grid[#Data],$DE486,98),0)</f>
        <v/>
      </c>
      <c r="CX486">
        <f>IFERROR(INDEX(PP_Grid[#Data],$DE486,99),0)</f>
        <v/>
      </c>
      <c r="CY486">
        <f>IFERROR(INDEX(PP_Grid[#Data],$DE486,100),0)</f>
        <v/>
      </c>
      <c r="CZ486">
        <f>IFERROR(INDEX(PP_Grid[#Data],$DE486,101),0)</f>
        <v/>
      </c>
      <c r="DA486">
        <f>IFERROR(INDEX(PP_Grid[#Data],$DE486,102),0)</f>
        <v/>
      </c>
      <c r="DB486">
        <f>IFERROR(INDEX(PP_Grid[#Data],$DE486,103),0)</f>
        <v/>
      </c>
      <c r="DC486">
        <f>IFERROR(INDEX(PP_Grid[#Data],$DE486,104),0)</f>
        <v/>
      </c>
      <c r="DD486">
        <f>IFERROR(INDEX(PP_Grid[#Data],$DE486,105),0)</f>
        <v/>
      </c>
      <c r="DE486" s="7">
        <f>IFERROR(MATCH($B486,PP_Grid[Intermediate],0),99999)</f>
        <v/>
      </c>
    </row>
    <row r="487">
      <c r="B487" t="inlineStr">
        <is>
          <t>使用量(kg)</t>
        </is>
      </c>
      <c r="C487">
        <f>SUMIFS(M_BOM[RM_Qty_Per_Batch],M_BOM[Intermediate],$B486,M_BOM[RM_Code],$A325)</f>
        <v/>
      </c>
      <c r="D487">
        <f>IFERROR(INDEX(E487:DD487,$F$1),"")</f>
        <v/>
      </c>
      <c r="E487">
        <f>$C487*E486</f>
        <v/>
      </c>
      <c r="F487">
        <f>$C487*F486</f>
        <v/>
      </c>
      <c r="G487">
        <f>$C487*G486</f>
        <v/>
      </c>
      <c r="H487">
        <f>$C487*H486</f>
        <v/>
      </c>
      <c r="I487">
        <f>$C487*I486</f>
        <v/>
      </c>
      <c r="J487">
        <f>$C487*J486</f>
        <v/>
      </c>
      <c r="K487">
        <f>$C487*K486</f>
        <v/>
      </c>
      <c r="L487">
        <f>$C487*L486</f>
        <v/>
      </c>
      <c r="M487">
        <f>$C487*M486</f>
        <v/>
      </c>
      <c r="N487">
        <f>$C487*N486</f>
        <v/>
      </c>
      <c r="O487">
        <f>$C487*O486</f>
        <v/>
      </c>
      <c r="P487">
        <f>$C487*P486</f>
        <v/>
      </c>
      <c r="Q487">
        <f>$C487*Q486</f>
        <v/>
      </c>
      <c r="R487">
        <f>$C487*R486</f>
        <v/>
      </c>
      <c r="S487">
        <f>$C487*S486</f>
        <v/>
      </c>
      <c r="T487">
        <f>$C487*T486</f>
        <v/>
      </c>
      <c r="U487">
        <f>$C487*U486</f>
        <v/>
      </c>
      <c r="V487">
        <f>$C487*V486</f>
        <v/>
      </c>
      <c r="W487">
        <f>$C487*W486</f>
        <v/>
      </c>
      <c r="X487">
        <f>$C487*X486</f>
        <v/>
      </c>
      <c r="Y487">
        <f>$C487*Y486</f>
        <v/>
      </c>
      <c r="Z487">
        <f>$C487*Z486</f>
        <v/>
      </c>
      <c r="AA487">
        <f>$C487*AA486</f>
        <v/>
      </c>
      <c r="AB487">
        <f>$C487*AB486</f>
        <v/>
      </c>
      <c r="AC487">
        <f>$C487*AC486</f>
        <v/>
      </c>
      <c r="AD487">
        <f>$C487*AD486</f>
        <v/>
      </c>
      <c r="AE487">
        <f>$C487*AE486</f>
        <v/>
      </c>
      <c r="AF487">
        <f>$C487*AF486</f>
        <v/>
      </c>
      <c r="AG487">
        <f>$C487*AG486</f>
        <v/>
      </c>
      <c r="AH487">
        <f>$C487*AH486</f>
        <v/>
      </c>
      <c r="AI487">
        <f>$C487*AI486</f>
        <v/>
      </c>
      <c r="AJ487">
        <f>$C487*AJ486</f>
        <v/>
      </c>
      <c r="AK487">
        <f>$C487*AK486</f>
        <v/>
      </c>
      <c r="AL487">
        <f>$C487*AL486</f>
        <v/>
      </c>
      <c r="AM487">
        <f>$C487*AM486</f>
        <v/>
      </c>
      <c r="AN487">
        <f>$C487*AN486</f>
        <v/>
      </c>
      <c r="AO487">
        <f>$C487*AO486</f>
        <v/>
      </c>
      <c r="AP487">
        <f>$C487*AP486</f>
        <v/>
      </c>
      <c r="AQ487">
        <f>$C487*AQ486</f>
        <v/>
      </c>
      <c r="AR487">
        <f>$C487*AR486</f>
        <v/>
      </c>
      <c r="AS487">
        <f>$C487*AS486</f>
        <v/>
      </c>
      <c r="AT487">
        <f>$C487*AT486</f>
        <v/>
      </c>
      <c r="AU487">
        <f>$C487*AU486</f>
        <v/>
      </c>
      <c r="AV487">
        <f>$C487*AV486</f>
        <v/>
      </c>
      <c r="AW487">
        <f>$C487*AW486</f>
        <v/>
      </c>
      <c r="AX487">
        <f>$C487*AX486</f>
        <v/>
      </c>
      <c r="AY487">
        <f>$C487*AY486</f>
        <v/>
      </c>
      <c r="AZ487">
        <f>$C487*AZ486</f>
        <v/>
      </c>
      <c r="BA487">
        <f>$C487*BA486</f>
        <v/>
      </c>
      <c r="BB487">
        <f>$C487*BB486</f>
        <v/>
      </c>
      <c r="BC487">
        <f>$C487*BC486</f>
        <v/>
      </c>
      <c r="BD487">
        <f>$C487*BD486</f>
        <v/>
      </c>
      <c r="BE487">
        <f>$C487*BE486</f>
        <v/>
      </c>
      <c r="BF487">
        <f>$C487*BF486</f>
        <v/>
      </c>
      <c r="BG487">
        <f>$C487*BG486</f>
        <v/>
      </c>
      <c r="BH487">
        <f>$C487*BH486</f>
        <v/>
      </c>
      <c r="BI487">
        <f>$C487*BI486</f>
        <v/>
      </c>
      <c r="BJ487">
        <f>$C487*BJ486</f>
        <v/>
      </c>
      <c r="BK487">
        <f>$C487*BK486</f>
        <v/>
      </c>
      <c r="BL487">
        <f>$C487*BL486</f>
        <v/>
      </c>
      <c r="BM487">
        <f>$C487*BM486</f>
        <v/>
      </c>
      <c r="BN487">
        <f>$C487*BN486</f>
        <v/>
      </c>
      <c r="BO487">
        <f>$C487*BO486</f>
        <v/>
      </c>
      <c r="BP487">
        <f>$C487*BP486</f>
        <v/>
      </c>
      <c r="BQ487">
        <f>$C487*BQ486</f>
        <v/>
      </c>
      <c r="BR487">
        <f>$C487*BR486</f>
        <v/>
      </c>
      <c r="BS487">
        <f>$C487*BS486</f>
        <v/>
      </c>
      <c r="BT487">
        <f>$C487*BT486</f>
        <v/>
      </c>
      <c r="BU487">
        <f>$C487*BU486</f>
        <v/>
      </c>
      <c r="BV487">
        <f>$C487*BV486</f>
        <v/>
      </c>
      <c r="BW487">
        <f>$C487*BW486</f>
        <v/>
      </c>
      <c r="BX487">
        <f>$C487*BX486</f>
        <v/>
      </c>
      <c r="BY487">
        <f>$C487*BY486</f>
        <v/>
      </c>
      <c r="BZ487">
        <f>$C487*BZ486</f>
        <v/>
      </c>
      <c r="CA487">
        <f>$C487*CA486</f>
        <v/>
      </c>
      <c r="CB487">
        <f>$C487*CB486</f>
        <v/>
      </c>
      <c r="CC487">
        <f>$C487*CC486</f>
        <v/>
      </c>
      <c r="CD487">
        <f>$C487*CD486</f>
        <v/>
      </c>
      <c r="CE487">
        <f>$C487*CE486</f>
        <v/>
      </c>
      <c r="CF487">
        <f>$C487*CF486</f>
        <v/>
      </c>
      <c r="CG487">
        <f>$C487*CG486</f>
        <v/>
      </c>
      <c r="CH487">
        <f>$C487*CH486</f>
        <v/>
      </c>
      <c r="CI487">
        <f>$C487*CI486</f>
        <v/>
      </c>
      <c r="CJ487">
        <f>$C487*CJ486</f>
        <v/>
      </c>
      <c r="CK487">
        <f>$C487*CK486</f>
        <v/>
      </c>
      <c r="CL487">
        <f>$C487*CL486</f>
        <v/>
      </c>
      <c r="CM487">
        <f>$C487*CM486</f>
        <v/>
      </c>
      <c r="CN487">
        <f>$C487*CN486</f>
        <v/>
      </c>
      <c r="CO487">
        <f>$C487*CO486</f>
        <v/>
      </c>
      <c r="CP487">
        <f>$C487*CP486</f>
        <v/>
      </c>
      <c r="CQ487">
        <f>$C487*CQ486</f>
        <v/>
      </c>
      <c r="CR487">
        <f>$C487*CR486</f>
        <v/>
      </c>
      <c r="CS487">
        <f>$C487*CS486</f>
        <v/>
      </c>
      <c r="CT487">
        <f>$C487*CT486</f>
        <v/>
      </c>
      <c r="CU487">
        <f>$C487*CU486</f>
        <v/>
      </c>
      <c r="CV487">
        <f>$C487*CV486</f>
        <v/>
      </c>
      <c r="CW487">
        <f>$C487*CW486</f>
        <v/>
      </c>
      <c r="CX487">
        <f>$C487*CX486</f>
        <v/>
      </c>
      <c r="CY487">
        <f>$C487*CY486</f>
        <v/>
      </c>
      <c r="CZ487">
        <f>$C487*CZ486</f>
        <v/>
      </c>
      <c r="DA487">
        <f>$C487*DA486</f>
        <v/>
      </c>
      <c r="DB487">
        <f>$C487*DB486</f>
        <v/>
      </c>
      <c r="DC487">
        <f>$C487*DC486</f>
        <v/>
      </c>
      <c r="DD487">
        <f>$C487*DD486</f>
        <v/>
      </c>
    </row>
    <row r="488">
      <c r="B488" t="inlineStr">
        <is>
          <t>TVS-500</t>
        </is>
      </c>
      <c r="C488" t="inlineStr">
        <is>
          <t>No. of batches</t>
        </is>
      </c>
      <c r="D488">
        <f>IFERROR(INDEX(E488:DD488,$F$1),"")</f>
        <v/>
      </c>
      <c r="E488">
        <f>IFERROR(INDEX(PP_Grid[#Data],$DE488,2),0)</f>
        <v/>
      </c>
      <c r="F488">
        <f>IFERROR(INDEX(PP_Grid[#Data],$DE488,3),0)</f>
        <v/>
      </c>
      <c r="G488">
        <f>IFERROR(INDEX(PP_Grid[#Data],$DE488,4),0)</f>
        <v/>
      </c>
      <c r="H488">
        <f>IFERROR(INDEX(PP_Grid[#Data],$DE488,5),0)</f>
        <v/>
      </c>
      <c r="I488">
        <f>IFERROR(INDEX(PP_Grid[#Data],$DE488,6),0)</f>
        <v/>
      </c>
      <c r="J488">
        <f>IFERROR(INDEX(PP_Grid[#Data],$DE488,7),0)</f>
        <v/>
      </c>
      <c r="K488">
        <f>IFERROR(INDEX(PP_Grid[#Data],$DE488,8),0)</f>
        <v/>
      </c>
      <c r="L488">
        <f>IFERROR(INDEX(PP_Grid[#Data],$DE488,9),0)</f>
        <v/>
      </c>
      <c r="M488">
        <f>IFERROR(INDEX(PP_Grid[#Data],$DE488,10),0)</f>
        <v/>
      </c>
      <c r="N488">
        <f>IFERROR(INDEX(PP_Grid[#Data],$DE488,11),0)</f>
        <v/>
      </c>
      <c r="O488">
        <f>IFERROR(INDEX(PP_Grid[#Data],$DE488,12),0)</f>
        <v/>
      </c>
      <c r="P488">
        <f>IFERROR(INDEX(PP_Grid[#Data],$DE488,13),0)</f>
        <v/>
      </c>
      <c r="Q488">
        <f>IFERROR(INDEX(PP_Grid[#Data],$DE488,14),0)</f>
        <v/>
      </c>
      <c r="R488">
        <f>IFERROR(INDEX(PP_Grid[#Data],$DE488,15),0)</f>
        <v/>
      </c>
      <c r="S488">
        <f>IFERROR(INDEX(PP_Grid[#Data],$DE488,16),0)</f>
        <v/>
      </c>
      <c r="T488">
        <f>IFERROR(INDEX(PP_Grid[#Data],$DE488,17),0)</f>
        <v/>
      </c>
      <c r="U488">
        <f>IFERROR(INDEX(PP_Grid[#Data],$DE488,18),0)</f>
        <v/>
      </c>
      <c r="V488">
        <f>IFERROR(INDEX(PP_Grid[#Data],$DE488,19),0)</f>
        <v/>
      </c>
      <c r="W488">
        <f>IFERROR(INDEX(PP_Grid[#Data],$DE488,20),0)</f>
        <v/>
      </c>
      <c r="X488">
        <f>IFERROR(INDEX(PP_Grid[#Data],$DE488,21),0)</f>
        <v/>
      </c>
      <c r="Y488">
        <f>IFERROR(INDEX(PP_Grid[#Data],$DE488,22),0)</f>
        <v/>
      </c>
      <c r="Z488">
        <f>IFERROR(INDEX(PP_Grid[#Data],$DE488,23),0)</f>
        <v/>
      </c>
      <c r="AA488">
        <f>IFERROR(INDEX(PP_Grid[#Data],$DE488,24),0)</f>
        <v/>
      </c>
      <c r="AB488">
        <f>IFERROR(INDEX(PP_Grid[#Data],$DE488,25),0)</f>
        <v/>
      </c>
      <c r="AC488">
        <f>IFERROR(INDEX(PP_Grid[#Data],$DE488,26),0)</f>
        <v/>
      </c>
      <c r="AD488">
        <f>IFERROR(INDEX(PP_Grid[#Data],$DE488,27),0)</f>
        <v/>
      </c>
      <c r="AE488">
        <f>IFERROR(INDEX(PP_Grid[#Data],$DE488,28),0)</f>
        <v/>
      </c>
      <c r="AF488">
        <f>IFERROR(INDEX(PP_Grid[#Data],$DE488,29),0)</f>
        <v/>
      </c>
      <c r="AG488">
        <f>IFERROR(INDEX(PP_Grid[#Data],$DE488,30),0)</f>
        <v/>
      </c>
      <c r="AH488">
        <f>IFERROR(INDEX(PP_Grid[#Data],$DE488,31),0)</f>
        <v/>
      </c>
      <c r="AI488">
        <f>IFERROR(INDEX(PP_Grid[#Data],$DE488,32),0)</f>
        <v/>
      </c>
      <c r="AJ488">
        <f>IFERROR(INDEX(PP_Grid[#Data],$DE488,33),0)</f>
        <v/>
      </c>
      <c r="AK488">
        <f>IFERROR(INDEX(PP_Grid[#Data],$DE488,34),0)</f>
        <v/>
      </c>
      <c r="AL488">
        <f>IFERROR(INDEX(PP_Grid[#Data],$DE488,35),0)</f>
        <v/>
      </c>
      <c r="AM488">
        <f>IFERROR(INDEX(PP_Grid[#Data],$DE488,36),0)</f>
        <v/>
      </c>
      <c r="AN488">
        <f>IFERROR(INDEX(PP_Grid[#Data],$DE488,37),0)</f>
        <v/>
      </c>
      <c r="AO488">
        <f>IFERROR(INDEX(PP_Grid[#Data],$DE488,38),0)</f>
        <v/>
      </c>
      <c r="AP488">
        <f>IFERROR(INDEX(PP_Grid[#Data],$DE488,39),0)</f>
        <v/>
      </c>
      <c r="AQ488">
        <f>IFERROR(INDEX(PP_Grid[#Data],$DE488,40),0)</f>
        <v/>
      </c>
      <c r="AR488">
        <f>IFERROR(INDEX(PP_Grid[#Data],$DE488,41),0)</f>
        <v/>
      </c>
      <c r="AS488">
        <f>IFERROR(INDEX(PP_Grid[#Data],$DE488,42),0)</f>
        <v/>
      </c>
      <c r="AT488">
        <f>IFERROR(INDEX(PP_Grid[#Data],$DE488,43),0)</f>
        <v/>
      </c>
      <c r="AU488">
        <f>IFERROR(INDEX(PP_Grid[#Data],$DE488,44),0)</f>
        <v/>
      </c>
      <c r="AV488">
        <f>IFERROR(INDEX(PP_Grid[#Data],$DE488,45),0)</f>
        <v/>
      </c>
      <c r="AW488">
        <f>IFERROR(INDEX(PP_Grid[#Data],$DE488,46),0)</f>
        <v/>
      </c>
      <c r="AX488">
        <f>IFERROR(INDEX(PP_Grid[#Data],$DE488,47),0)</f>
        <v/>
      </c>
      <c r="AY488">
        <f>IFERROR(INDEX(PP_Grid[#Data],$DE488,48),0)</f>
        <v/>
      </c>
      <c r="AZ488">
        <f>IFERROR(INDEX(PP_Grid[#Data],$DE488,49),0)</f>
        <v/>
      </c>
      <c r="BA488">
        <f>IFERROR(INDEX(PP_Grid[#Data],$DE488,50),0)</f>
        <v/>
      </c>
      <c r="BB488">
        <f>IFERROR(INDEX(PP_Grid[#Data],$DE488,51),0)</f>
        <v/>
      </c>
      <c r="BC488">
        <f>IFERROR(INDEX(PP_Grid[#Data],$DE488,52),0)</f>
        <v/>
      </c>
      <c r="BD488">
        <f>IFERROR(INDEX(PP_Grid[#Data],$DE488,53),0)</f>
        <v/>
      </c>
      <c r="BE488">
        <f>IFERROR(INDEX(PP_Grid[#Data],$DE488,54),0)</f>
        <v/>
      </c>
      <c r="BF488">
        <f>IFERROR(INDEX(PP_Grid[#Data],$DE488,55),0)</f>
        <v/>
      </c>
      <c r="BG488">
        <f>IFERROR(INDEX(PP_Grid[#Data],$DE488,56),0)</f>
        <v/>
      </c>
      <c r="BH488">
        <f>IFERROR(INDEX(PP_Grid[#Data],$DE488,57),0)</f>
        <v/>
      </c>
      <c r="BI488">
        <f>IFERROR(INDEX(PP_Grid[#Data],$DE488,58),0)</f>
        <v/>
      </c>
      <c r="BJ488">
        <f>IFERROR(INDEX(PP_Grid[#Data],$DE488,59),0)</f>
        <v/>
      </c>
      <c r="BK488">
        <f>IFERROR(INDEX(PP_Grid[#Data],$DE488,60),0)</f>
        <v/>
      </c>
      <c r="BL488">
        <f>IFERROR(INDEX(PP_Grid[#Data],$DE488,61),0)</f>
        <v/>
      </c>
      <c r="BM488">
        <f>IFERROR(INDEX(PP_Grid[#Data],$DE488,62),0)</f>
        <v/>
      </c>
      <c r="BN488">
        <f>IFERROR(INDEX(PP_Grid[#Data],$DE488,63),0)</f>
        <v/>
      </c>
      <c r="BO488">
        <f>IFERROR(INDEX(PP_Grid[#Data],$DE488,64),0)</f>
        <v/>
      </c>
      <c r="BP488">
        <f>IFERROR(INDEX(PP_Grid[#Data],$DE488,65),0)</f>
        <v/>
      </c>
      <c r="BQ488">
        <f>IFERROR(INDEX(PP_Grid[#Data],$DE488,66),0)</f>
        <v/>
      </c>
      <c r="BR488">
        <f>IFERROR(INDEX(PP_Grid[#Data],$DE488,67),0)</f>
        <v/>
      </c>
      <c r="BS488">
        <f>IFERROR(INDEX(PP_Grid[#Data],$DE488,68),0)</f>
        <v/>
      </c>
      <c r="BT488">
        <f>IFERROR(INDEX(PP_Grid[#Data],$DE488,69),0)</f>
        <v/>
      </c>
      <c r="BU488">
        <f>IFERROR(INDEX(PP_Grid[#Data],$DE488,70),0)</f>
        <v/>
      </c>
      <c r="BV488">
        <f>IFERROR(INDEX(PP_Grid[#Data],$DE488,71),0)</f>
        <v/>
      </c>
      <c r="BW488">
        <f>IFERROR(INDEX(PP_Grid[#Data],$DE488,72),0)</f>
        <v/>
      </c>
      <c r="BX488">
        <f>IFERROR(INDEX(PP_Grid[#Data],$DE488,73),0)</f>
        <v/>
      </c>
      <c r="BY488">
        <f>IFERROR(INDEX(PP_Grid[#Data],$DE488,74),0)</f>
        <v/>
      </c>
      <c r="BZ488">
        <f>IFERROR(INDEX(PP_Grid[#Data],$DE488,75),0)</f>
        <v/>
      </c>
      <c r="CA488">
        <f>IFERROR(INDEX(PP_Grid[#Data],$DE488,76),0)</f>
        <v/>
      </c>
      <c r="CB488">
        <f>IFERROR(INDEX(PP_Grid[#Data],$DE488,77),0)</f>
        <v/>
      </c>
      <c r="CC488">
        <f>IFERROR(INDEX(PP_Grid[#Data],$DE488,78),0)</f>
        <v/>
      </c>
      <c r="CD488">
        <f>IFERROR(INDEX(PP_Grid[#Data],$DE488,79),0)</f>
        <v/>
      </c>
      <c r="CE488">
        <f>IFERROR(INDEX(PP_Grid[#Data],$DE488,80),0)</f>
        <v/>
      </c>
      <c r="CF488">
        <f>IFERROR(INDEX(PP_Grid[#Data],$DE488,81),0)</f>
        <v/>
      </c>
      <c r="CG488">
        <f>IFERROR(INDEX(PP_Grid[#Data],$DE488,82),0)</f>
        <v/>
      </c>
      <c r="CH488">
        <f>IFERROR(INDEX(PP_Grid[#Data],$DE488,83),0)</f>
        <v/>
      </c>
      <c r="CI488">
        <f>IFERROR(INDEX(PP_Grid[#Data],$DE488,84),0)</f>
        <v/>
      </c>
      <c r="CJ488">
        <f>IFERROR(INDEX(PP_Grid[#Data],$DE488,85),0)</f>
        <v/>
      </c>
      <c r="CK488">
        <f>IFERROR(INDEX(PP_Grid[#Data],$DE488,86),0)</f>
        <v/>
      </c>
      <c r="CL488">
        <f>IFERROR(INDEX(PP_Grid[#Data],$DE488,87),0)</f>
        <v/>
      </c>
      <c r="CM488">
        <f>IFERROR(INDEX(PP_Grid[#Data],$DE488,88),0)</f>
        <v/>
      </c>
      <c r="CN488">
        <f>IFERROR(INDEX(PP_Grid[#Data],$DE488,89),0)</f>
        <v/>
      </c>
      <c r="CO488">
        <f>IFERROR(INDEX(PP_Grid[#Data],$DE488,90),0)</f>
        <v/>
      </c>
      <c r="CP488">
        <f>IFERROR(INDEX(PP_Grid[#Data],$DE488,91),0)</f>
        <v/>
      </c>
      <c r="CQ488">
        <f>IFERROR(INDEX(PP_Grid[#Data],$DE488,92),0)</f>
        <v/>
      </c>
      <c r="CR488">
        <f>IFERROR(INDEX(PP_Grid[#Data],$DE488,93),0)</f>
        <v/>
      </c>
      <c r="CS488">
        <f>IFERROR(INDEX(PP_Grid[#Data],$DE488,94),0)</f>
        <v/>
      </c>
      <c r="CT488">
        <f>IFERROR(INDEX(PP_Grid[#Data],$DE488,95),0)</f>
        <v/>
      </c>
      <c r="CU488">
        <f>IFERROR(INDEX(PP_Grid[#Data],$DE488,96),0)</f>
        <v/>
      </c>
      <c r="CV488">
        <f>IFERROR(INDEX(PP_Grid[#Data],$DE488,97),0)</f>
        <v/>
      </c>
      <c r="CW488">
        <f>IFERROR(INDEX(PP_Grid[#Data],$DE488,98),0)</f>
        <v/>
      </c>
      <c r="CX488">
        <f>IFERROR(INDEX(PP_Grid[#Data],$DE488,99),0)</f>
        <v/>
      </c>
      <c r="CY488">
        <f>IFERROR(INDEX(PP_Grid[#Data],$DE488,100),0)</f>
        <v/>
      </c>
      <c r="CZ488">
        <f>IFERROR(INDEX(PP_Grid[#Data],$DE488,101),0)</f>
        <v/>
      </c>
      <c r="DA488">
        <f>IFERROR(INDEX(PP_Grid[#Data],$DE488,102),0)</f>
        <v/>
      </c>
      <c r="DB488">
        <f>IFERROR(INDEX(PP_Grid[#Data],$DE488,103),0)</f>
        <v/>
      </c>
      <c r="DC488">
        <f>IFERROR(INDEX(PP_Grid[#Data],$DE488,104),0)</f>
        <v/>
      </c>
      <c r="DD488">
        <f>IFERROR(INDEX(PP_Grid[#Data],$DE488,105),0)</f>
        <v/>
      </c>
      <c r="DE488" s="7">
        <f>IFERROR(MATCH($B488,PP_Grid[Intermediate],0),99999)</f>
        <v/>
      </c>
    </row>
    <row r="489">
      <c r="B489" t="inlineStr">
        <is>
          <t>使用量(kg)</t>
        </is>
      </c>
      <c r="C489">
        <f>SUMIFS(M_BOM[RM_Qty_Per_Batch],M_BOM[Intermediate],$B488,M_BOM[RM_Code],$A325)</f>
        <v/>
      </c>
      <c r="D489">
        <f>IFERROR(INDEX(E489:DD489,$F$1),"")</f>
        <v/>
      </c>
      <c r="E489">
        <f>$C489*E488</f>
        <v/>
      </c>
      <c r="F489">
        <f>$C489*F488</f>
        <v/>
      </c>
      <c r="G489">
        <f>$C489*G488</f>
        <v/>
      </c>
      <c r="H489">
        <f>$C489*H488</f>
        <v/>
      </c>
      <c r="I489">
        <f>$C489*I488</f>
        <v/>
      </c>
      <c r="J489">
        <f>$C489*J488</f>
        <v/>
      </c>
      <c r="K489">
        <f>$C489*K488</f>
        <v/>
      </c>
      <c r="L489">
        <f>$C489*L488</f>
        <v/>
      </c>
      <c r="M489">
        <f>$C489*M488</f>
        <v/>
      </c>
      <c r="N489">
        <f>$C489*N488</f>
        <v/>
      </c>
      <c r="O489">
        <f>$C489*O488</f>
        <v/>
      </c>
      <c r="P489">
        <f>$C489*P488</f>
        <v/>
      </c>
      <c r="Q489">
        <f>$C489*Q488</f>
        <v/>
      </c>
      <c r="R489">
        <f>$C489*R488</f>
        <v/>
      </c>
      <c r="S489">
        <f>$C489*S488</f>
        <v/>
      </c>
      <c r="T489">
        <f>$C489*T488</f>
        <v/>
      </c>
      <c r="U489">
        <f>$C489*U488</f>
        <v/>
      </c>
      <c r="V489">
        <f>$C489*V488</f>
        <v/>
      </c>
      <c r="W489">
        <f>$C489*W488</f>
        <v/>
      </c>
      <c r="X489">
        <f>$C489*X488</f>
        <v/>
      </c>
      <c r="Y489">
        <f>$C489*Y488</f>
        <v/>
      </c>
      <c r="Z489">
        <f>$C489*Z488</f>
        <v/>
      </c>
      <c r="AA489">
        <f>$C489*AA488</f>
        <v/>
      </c>
      <c r="AB489">
        <f>$C489*AB488</f>
        <v/>
      </c>
      <c r="AC489">
        <f>$C489*AC488</f>
        <v/>
      </c>
      <c r="AD489">
        <f>$C489*AD488</f>
        <v/>
      </c>
      <c r="AE489">
        <f>$C489*AE488</f>
        <v/>
      </c>
      <c r="AF489">
        <f>$C489*AF488</f>
        <v/>
      </c>
      <c r="AG489">
        <f>$C489*AG488</f>
        <v/>
      </c>
      <c r="AH489">
        <f>$C489*AH488</f>
        <v/>
      </c>
      <c r="AI489">
        <f>$C489*AI488</f>
        <v/>
      </c>
      <c r="AJ489">
        <f>$C489*AJ488</f>
        <v/>
      </c>
      <c r="AK489">
        <f>$C489*AK488</f>
        <v/>
      </c>
      <c r="AL489">
        <f>$C489*AL488</f>
        <v/>
      </c>
      <c r="AM489">
        <f>$C489*AM488</f>
        <v/>
      </c>
      <c r="AN489">
        <f>$C489*AN488</f>
        <v/>
      </c>
      <c r="AO489">
        <f>$C489*AO488</f>
        <v/>
      </c>
      <c r="AP489">
        <f>$C489*AP488</f>
        <v/>
      </c>
      <c r="AQ489">
        <f>$C489*AQ488</f>
        <v/>
      </c>
      <c r="AR489">
        <f>$C489*AR488</f>
        <v/>
      </c>
      <c r="AS489">
        <f>$C489*AS488</f>
        <v/>
      </c>
      <c r="AT489">
        <f>$C489*AT488</f>
        <v/>
      </c>
      <c r="AU489">
        <f>$C489*AU488</f>
        <v/>
      </c>
      <c r="AV489">
        <f>$C489*AV488</f>
        <v/>
      </c>
      <c r="AW489">
        <f>$C489*AW488</f>
        <v/>
      </c>
      <c r="AX489">
        <f>$C489*AX488</f>
        <v/>
      </c>
      <c r="AY489">
        <f>$C489*AY488</f>
        <v/>
      </c>
      <c r="AZ489">
        <f>$C489*AZ488</f>
        <v/>
      </c>
      <c r="BA489">
        <f>$C489*BA488</f>
        <v/>
      </c>
      <c r="BB489">
        <f>$C489*BB488</f>
        <v/>
      </c>
      <c r="BC489">
        <f>$C489*BC488</f>
        <v/>
      </c>
      <c r="BD489">
        <f>$C489*BD488</f>
        <v/>
      </c>
      <c r="BE489">
        <f>$C489*BE488</f>
        <v/>
      </c>
      <c r="BF489">
        <f>$C489*BF488</f>
        <v/>
      </c>
      <c r="BG489">
        <f>$C489*BG488</f>
        <v/>
      </c>
      <c r="BH489">
        <f>$C489*BH488</f>
        <v/>
      </c>
      <c r="BI489">
        <f>$C489*BI488</f>
        <v/>
      </c>
      <c r="BJ489">
        <f>$C489*BJ488</f>
        <v/>
      </c>
      <c r="BK489">
        <f>$C489*BK488</f>
        <v/>
      </c>
      <c r="BL489">
        <f>$C489*BL488</f>
        <v/>
      </c>
      <c r="BM489">
        <f>$C489*BM488</f>
        <v/>
      </c>
      <c r="BN489">
        <f>$C489*BN488</f>
        <v/>
      </c>
      <c r="BO489">
        <f>$C489*BO488</f>
        <v/>
      </c>
      <c r="BP489">
        <f>$C489*BP488</f>
        <v/>
      </c>
      <c r="BQ489">
        <f>$C489*BQ488</f>
        <v/>
      </c>
      <c r="BR489">
        <f>$C489*BR488</f>
        <v/>
      </c>
      <c r="BS489">
        <f>$C489*BS488</f>
        <v/>
      </c>
      <c r="BT489">
        <f>$C489*BT488</f>
        <v/>
      </c>
      <c r="BU489">
        <f>$C489*BU488</f>
        <v/>
      </c>
      <c r="BV489">
        <f>$C489*BV488</f>
        <v/>
      </c>
      <c r="BW489">
        <f>$C489*BW488</f>
        <v/>
      </c>
      <c r="BX489">
        <f>$C489*BX488</f>
        <v/>
      </c>
      <c r="BY489">
        <f>$C489*BY488</f>
        <v/>
      </c>
      <c r="BZ489">
        <f>$C489*BZ488</f>
        <v/>
      </c>
      <c r="CA489">
        <f>$C489*CA488</f>
        <v/>
      </c>
      <c r="CB489">
        <f>$C489*CB488</f>
        <v/>
      </c>
      <c r="CC489">
        <f>$C489*CC488</f>
        <v/>
      </c>
      <c r="CD489">
        <f>$C489*CD488</f>
        <v/>
      </c>
      <c r="CE489">
        <f>$C489*CE488</f>
        <v/>
      </c>
      <c r="CF489">
        <f>$C489*CF488</f>
        <v/>
      </c>
      <c r="CG489">
        <f>$C489*CG488</f>
        <v/>
      </c>
      <c r="CH489">
        <f>$C489*CH488</f>
        <v/>
      </c>
      <c r="CI489">
        <f>$C489*CI488</f>
        <v/>
      </c>
      <c r="CJ489">
        <f>$C489*CJ488</f>
        <v/>
      </c>
      <c r="CK489">
        <f>$C489*CK488</f>
        <v/>
      </c>
      <c r="CL489">
        <f>$C489*CL488</f>
        <v/>
      </c>
      <c r="CM489">
        <f>$C489*CM488</f>
        <v/>
      </c>
      <c r="CN489">
        <f>$C489*CN488</f>
        <v/>
      </c>
      <c r="CO489">
        <f>$C489*CO488</f>
        <v/>
      </c>
      <c r="CP489">
        <f>$C489*CP488</f>
        <v/>
      </c>
      <c r="CQ489">
        <f>$C489*CQ488</f>
        <v/>
      </c>
      <c r="CR489">
        <f>$C489*CR488</f>
        <v/>
      </c>
      <c r="CS489">
        <f>$C489*CS488</f>
        <v/>
      </c>
      <c r="CT489">
        <f>$C489*CT488</f>
        <v/>
      </c>
      <c r="CU489">
        <f>$C489*CU488</f>
        <v/>
      </c>
      <c r="CV489">
        <f>$C489*CV488</f>
        <v/>
      </c>
      <c r="CW489">
        <f>$C489*CW488</f>
        <v/>
      </c>
      <c r="CX489">
        <f>$C489*CX488</f>
        <v/>
      </c>
      <c r="CY489">
        <f>$C489*CY488</f>
        <v/>
      </c>
      <c r="CZ489">
        <f>$C489*CZ488</f>
        <v/>
      </c>
      <c r="DA489">
        <f>$C489*DA488</f>
        <v/>
      </c>
      <c r="DB489">
        <f>$C489*DB488</f>
        <v/>
      </c>
      <c r="DC489">
        <f>$C489*DC488</f>
        <v/>
      </c>
      <c r="DD489">
        <f>$C489*DD488</f>
        <v/>
      </c>
    </row>
    <row r="490">
      <c r="B490" t="inlineStr">
        <is>
          <t>TSP-1499</t>
        </is>
      </c>
      <c r="C490" t="inlineStr">
        <is>
          <t>No. of batches</t>
        </is>
      </c>
      <c r="D490">
        <f>IFERROR(INDEX(E490:DD490,$F$1),"")</f>
        <v/>
      </c>
      <c r="E490">
        <f>IFERROR(INDEX(PP_Grid[#Data],$DE490,2),0)</f>
        <v/>
      </c>
      <c r="F490">
        <f>IFERROR(INDEX(PP_Grid[#Data],$DE490,3),0)</f>
        <v/>
      </c>
      <c r="G490">
        <f>IFERROR(INDEX(PP_Grid[#Data],$DE490,4),0)</f>
        <v/>
      </c>
      <c r="H490">
        <f>IFERROR(INDEX(PP_Grid[#Data],$DE490,5),0)</f>
        <v/>
      </c>
      <c r="I490">
        <f>IFERROR(INDEX(PP_Grid[#Data],$DE490,6),0)</f>
        <v/>
      </c>
      <c r="J490">
        <f>IFERROR(INDEX(PP_Grid[#Data],$DE490,7),0)</f>
        <v/>
      </c>
      <c r="K490">
        <f>IFERROR(INDEX(PP_Grid[#Data],$DE490,8),0)</f>
        <v/>
      </c>
      <c r="L490">
        <f>IFERROR(INDEX(PP_Grid[#Data],$DE490,9),0)</f>
        <v/>
      </c>
      <c r="M490">
        <f>IFERROR(INDEX(PP_Grid[#Data],$DE490,10),0)</f>
        <v/>
      </c>
      <c r="N490">
        <f>IFERROR(INDEX(PP_Grid[#Data],$DE490,11),0)</f>
        <v/>
      </c>
      <c r="O490">
        <f>IFERROR(INDEX(PP_Grid[#Data],$DE490,12),0)</f>
        <v/>
      </c>
      <c r="P490">
        <f>IFERROR(INDEX(PP_Grid[#Data],$DE490,13),0)</f>
        <v/>
      </c>
      <c r="Q490">
        <f>IFERROR(INDEX(PP_Grid[#Data],$DE490,14),0)</f>
        <v/>
      </c>
      <c r="R490">
        <f>IFERROR(INDEX(PP_Grid[#Data],$DE490,15),0)</f>
        <v/>
      </c>
      <c r="S490">
        <f>IFERROR(INDEX(PP_Grid[#Data],$DE490,16),0)</f>
        <v/>
      </c>
      <c r="T490">
        <f>IFERROR(INDEX(PP_Grid[#Data],$DE490,17),0)</f>
        <v/>
      </c>
      <c r="U490">
        <f>IFERROR(INDEX(PP_Grid[#Data],$DE490,18),0)</f>
        <v/>
      </c>
      <c r="V490">
        <f>IFERROR(INDEX(PP_Grid[#Data],$DE490,19),0)</f>
        <v/>
      </c>
      <c r="W490">
        <f>IFERROR(INDEX(PP_Grid[#Data],$DE490,20),0)</f>
        <v/>
      </c>
      <c r="X490">
        <f>IFERROR(INDEX(PP_Grid[#Data],$DE490,21),0)</f>
        <v/>
      </c>
      <c r="Y490">
        <f>IFERROR(INDEX(PP_Grid[#Data],$DE490,22),0)</f>
        <v/>
      </c>
      <c r="Z490">
        <f>IFERROR(INDEX(PP_Grid[#Data],$DE490,23),0)</f>
        <v/>
      </c>
      <c r="AA490">
        <f>IFERROR(INDEX(PP_Grid[#Data],$DE490,24),0)</f>
        <v/>
      </c>
      <c r="AB490">
        <f>IFERROR(INDEX(PP_Grid[#Data],$DE490,25),0)</f>
        <v/>
      </c>
      <c r="AC490">
        <f>IFERROR(INDEX(PP_Grid[#Data],$DE490,26),0)</f>
        <v/>
      </c>
      <c r="AD490">
        <f>IFERROR(INDEX(PP_Grid[#Data],$DE490,27),0)</f>
        <v/>
      </c>
      <c r="AE490">
        <f>IFERROR(INDEX(PP_Grid[#Data],$DE490,28),0)</f>
        <v/>
      </c>
      <c r="AF490">
        <f>IFERROR(INDEX(PP_Grid[#Data],$DE490,29),0)</f>
        <v/>
      </c>
      <c r="AG490">
        <f>IFERROR(INDEX(PP_Grid[#Data],$DE490,30),0)</f>
        <v/>
      </c>
      <c r="AH490">
        <f>IFERROR(INDEX(PP_Grid[#Data],$DE490,31),0)</f>
        <v/>
      </c>
      <c r="AI490">
        <f>IFERROR(INDEX(PP_Grid[#Data],$DE490,32),0)</f>
        <v/>
      </c>
      <c r="AJ490">
        <f>IFERROR(INDEX(PP_Grid[#Data],$DE490,33),0)</f>
        <v/>
      </c>
      <c r="AK490">
        <f>IFERROR(INDEX(PP_Grid[#Data],$DE490,34),0)</f>
        <v/>
      </c>
      <c r="AL490">
        <f>IFERROR(INDEX(PP_Grid[#Data],$DE490,35),0)</f>
        <v/>
      </c>
      <c r="AM490">
        <f>IFERROR(INDEX(PP_Grid[#Data],$DE490,36),0)</f>
        <v/>
      </c>
      <c r="AN490">
        <f>IFERROR(INDEX(PP_Grid[#Data],$DE490,37),0)</f>
        <v/>
      </c>
      <c r="AO490">
        <f>IFERROR(INDEX(PP_Grid[#Data],$DE490,38),0)</f>
        <v/>
      </c>
      <c r="AP490">
        <f>IFERROR(INDEX(PP_Grid[#Data],$DE490,39),0)</f>
        <v/>
      </c>
      <c r="AQ490">
        <f>IFERROR(INDEX(PP_Grid[#Data],$DE490,40),0)</f>
        <v/>
      </c>
      <c r="AR490">
        <f>IFERROR(INDEX(PP_Grid[#Data],$DE490,41),0)</f>
        <v/>
      </c>
      <c r="AS490">
        <f>IFERROR(INDEX(PP_Grid[#Data],$DE490,42),0)</f>
        <v/>
      </c>
      <c r="AT490">
        <f>IFERROR(INDEX(PP_Grid[#Data],$DE490,43),0)</f>
        <v/>
      </c>
      <c r="AU490">
        <f>IFERROR(INDEX(PP_Grid[#Data],$DE490,44),0)</f>
        <v/>
      </c>
      <c r="AV490">
        <f>IFERROR(INDEX(PP_Grid[#Data],$DE490,45),0)</f>
        <v/>
      </c>
      <c r="AW490">
        <f>IFERROR(INDEX(PP_Grid[#Data],$DE490,46),0)</f>
        <v/>
      </c>
      <c r="AX490">
        <f>IFERROR(INDEX(PP_Grid[#Data],$DE490,47),0)</f>
        <v/>
      </c>
      <c r="AY490">
        <f>IFERROR(INDEX(PP_Grid[#Data],$DE490,48),0)</f>
        <v/>
      </c>
      <c r="AZ490">
        <f>IFERROR(INDEX(PP_Grid[#Data],$DE490,49),0)</f>
        <v/>
      </c>
      <c r="BA490">
        <f>IFERROR(INDEX(PP_Grid[#Data],$DE490,50),0)</f>
        <v/>
      </c>
      <c r="BB490">
        <f>IFERROR(INDEX(PP_Grid[#Data],$DE490,51),0)</f>
        <v/>
      </c>
      <c r="BC490">
        <f>IFERROR(INDEX(PP_Grid[#Data],$DE490,52),0)</f>
        <v/>
      </c>
      <c r="BD490">
        <f>IFERROR(INDEX(PP_Grid[#Data],$DE490,53),0)</f>
        <v/>
      </c>
      <c r="BE490">
        <f>IFERROR(INDEX(PP_Grid[#Data],$DE490,54),0)</f>
        <v/>
      </c>
      <c r="BF490">
        <f>IFERROR(INDEX(PP_Grid[#Data],$DE490,55),0)</f>
        <v/>
      </c>
      <c r="BG490">
        <f>IFERROR(INDEX(PP_Grid[#Data],$DE490,56),0)</f>
        <v/>
      </c>
      <c r="BH490">
        <f>IFERROR(INDEX(PP_Grid[#Data],$DE490,57),0)</f>
        <v/>
      </c>
      <c r="BI490">
        <f>IFERROR(INDEX(PP_Grid[#Data],$DE490,58),0)</f>
        <v/>
      </c>
      <c r="BJ490">
        <f>IFERROR(INDEX(PP_Grid[#Data],$DE490,59),0)</f>
        <v/>
      </c>
      <c r="BK490">
        <f>IFERROR(INDEX(PP_Grid[#Data],$DE490,60),0)</f>
        <v/>
      </c>
      <c r="BL490">
        <f>IFERROR(INDEX(PP_Grid[#Data],$DE490,61),0)</f>
        <v/>
      </c>
      <c r="BM490">
        <f>IFERROR(INDEX(PP_Grid[#Data],$DE490,62),0)</f>
        <v/>
      </c>
      <c r="BN490">
        <f>IFERROR(INDEX(PP_Grid[#Data],$DE490,63),0)</f>
        <v/>
      </c>
      <c r="BO490">
        <f>IFERROR(INDEX(PP_Grid[#Data],$DE490,64),0)</f>
        <v/>
      </c>
      <c r="BP490">
        <f>IFERROR(INDEX(PP_Grid[#Data],$DE490,65),0)</f>
        <v/>
      </c>
      <c r="BQ490">
        <f>IFERROR(INDEX(PP_Grid[#Data],$DE490,66),0)</f>
        <v/>
      </c>
      <c r="BR490">
        <f>IFERROR(INDEX(PP_Grid[#Data],$DE490,67),0)</f>
        <v/>
      </c>
      <c r="BS490">
        <f>IFERROR(INDEX(PP_Grid[#Data],$DE490,68),0)</f>
        <v/>
      </c>
      <c r="BT490">
        <f>IFERROR(INDEX(PP_Grid[#Data],$DE490,69),0)</f>
        <v/>
      </c>
      <c r="BU490">
        <f>IFERROR(INDEX(PP_Grid[#Data],$DE490,70),0)</f>
        <v/>
      </c>
      <c r="BV490">
        <f>IFERROR(INDEX(PP_Grid[#Data],$DE490,71),0)</f>
        <v/>
      </c>
      <c r="BW490">
        <f>IFERROR(INDEX(PP_Grid[#Data],$DE490,72),0)</f>
        <v/>
      </c>
      <c r="BX490">
        <f>IFERROR(INDEX(PP_Grid[#Data],$DE490,73),0)</f>
        <v/>
      </c>
      <c r="BY490">
        <f>IFERROR(INDEX(PP_Grid[#Data],$DE490,74),0)</f>
        <v/>
      </c>
      <c r="BZ490">
        <f>IFERROR(INDEX(PP_Grid[#Data],$DE490,75),0)</f>
        <v/>
      </c>
      <c r="CA490">
        <f>IFERROR(INDEX(PP_Grid[#Data],$DE490,76),0)</f>
        <v/>
      </c>
      <c r="CB490">
        <f>IFERROR(INDEX(PP_Grid[#Data],$DE490,77),0)</f>
        <v/>
      </c>
      <c r="CC490">
        <f>IFERROR(INDEX(PP_Grid[#Data],$DE490,78),0)</f>
        <v/>
      </c>
      <c r="CD490">
        <f>IFERROR(INDEX(PP_Grid[#Data],$DE490,79),0)</f>
        <v/>
      </c>
      <c r="CE490">
        <f>IFERROR(INDEX(PP_Grid[#Data],$DE490,80),0)</f>
        <v/>
      </c>
      <c r="CF490">
        <f>IFERROR(INDEX(PP_Grid[#Data],$DE490,81),0)</f>
        <v/>
      </c>
      <c r="CG490">
        <f>IFERROR(INDEX(PP_Grid[#Data],$DE490,82),0)</f>
        <v/>
      </c>
      <c r="CH490">
        <f>IFERROR(INDEX(PP_Grid[#Data],$DE490,83),0)</f>
        <v/>
      </c>
      <c r="CI490">
        <f>IFERROR(INDEX(PP_Grid[#Data],$DE490,84),0)</f>
        <v/>
      </c>
      <c r="CJ490">
        <f>IFERROR(INDEX(PP_Grid[#Data],$DE490,85),0)</f>
        <v/>
      </c>
      <c r="CK490">
        <f>IFERROR(INDEX(PP_Grid[#Data],$DE490,86),0)</f>
        <v/>
      </c>
      <c r="CL490">
        <f>IFERROR(INDEX(PP_Grid[#Data],$DE490,87),0)</f>
        <v/>
      </c>
      <c r="CM490">
        <f>IFERROR(INDEX(PP_Grid[#Data],$DE490,88),0)</f>
        <v/>
      </c>
      <c r="CN490">
        <f>IFERROR(INDEX(PP_Grid[#Data],$DE490,89),0)</f>
        <v/>
      </c>
      <c r="CO490">
        <f>IFERROR(INDEX(PP_Grid[#Data],$DE490,90),0)</f>
        <v/>
      </c>
      <c r="CP490">
        <f>IFERROR(INDEX(PP_Grid[#Data],$DE490,91),0)</f>
        <v/>
      </c>
      <c r="CQ490">
        <f>IFERROR(INDEX(PP_Grid[#Data],$DE490,92),0)</f>
        <v/>
      </c>
      <c r="CR490">
        <f>IFERROR(INDEX(PP_Grid[#Data],$DE490,93),0)</f>
        <v/>
      </c>
      <c r="CS490">
        <f>IFERROR(INDEX(PP_Grid[#Data],$DE490,94),0)</f>
        <v/>
      </c>
      <c r="CT490">
        <f>IFERROR(INDEX(PP_Grid[#Data],$DE490,95),0)</f>
        <v/>
      </c>
      <c r="CU490">
        <f>IFERROR(INDEX(PP_Grid[#Data],$DE490,96),0)</f>
        <v/>
      </c>
      <c r="CV490">
        <f>IFERROR(INDEX(PP_Grid[#Data],$DE490,97),0)</f>
        <v/>
      </c>
      <c r="CW490">
        <f>IFERROR(INDEX(PP_Grid[#Data],$DE490,98),0)</f>
        <v/>
      </c>
      <c r="CX490">
        <f>IFERROR(INDEX(PP_Grid[#Data],$DE490,99),0)</f>
        <v/>
      </c>
      <c r="CY490">
        <f>IFERROR(INDEX(PP_Grid[#Data],$DE490,100),0)</f>
        <v/>
      </c>
      <c r="CZ490">
        <f>IFERROR(INDEX(PP_Grid[#Data],$DE490,101),0)</f>
        <v/>
      </c>
      <c r="DA490">
        <f>IFERROR(INDEX(PP_Grid[#Data],$DE490,102),0)</f>
        <v/>
      </c>
      <c r="DB490">
        <f>IFERROR(INDEX(PP_Grid[#Data],$DE490,103),0)</f>
        <v/>
      </c>
      <c r="DC490">
        <f>IFERROR(INDEX(PP_Grid[#Data],$DE490,104),0)</f>
        <v/>
      </c>
      <c r="DD490">
        <f>IFERROR(INDEX(PP_Grid[#Data],$DE490,105),0)</f>
        <v/>
      </c>
      <c r="DE490" s="7">
        <f>IFERROR(MATCH($B490,PP_Grid[Intermediate],0),99999)</f>
        <v/>
      </c>
    </row>
    <row r="491">
      <c r="B491" t="inlineStr">
        <is>
          <t>使用量(kg)</t>
        </is>
      </c>
      <c r="C491">
        <f>SUMIFS(M_BOM[RM_Qty_Per_Batch],M_BOM[Intermediate],$B490,M_BOM[RM_Code],$A325)</f>
        <v/>
      </c>
      <c r="D491">
        <f>IFERROR(INDEX(E491:DD491,$F$1),"")</f>
        <v/>
      </c>
      <c r="E491">
        <f>$C491*E490</f>
        <v/>
      </c>
      <c r="F491">
        <f>$C491*F490</f>
        <v/>
      </c>
      <c r="G491">
        <f>$C491*G490</f>
        <v/>
      </c>
      <c r="H491">
        <f>$C491*H490</f>
        <v/>
      </c>
      <c r="I491">
        <f>$C491*I490</f>
        <v/>
      </c>
      <c r="J491">
        <f>$C491*J490</f>
        <v/>
      </c>
      <c r="K491">
        <f>$C491*K490</f>
        <v/>
      </c>
      <c r="L491">
        <f>$C491*L490</f>
        <v/>
      </c>
      <c r="M491">
        <f>$C491*M490</f>
        <v/>
      </c>
      <c r="N491">
        <f>$C491*N490</f>
        <v/>
      </c>
      <c r="O491">
        <f>$C491*O490</f>
        <v/>
      </c>
      <c r="P491">
        <f>$C491*P490</f>
        <v/>
      </c>
      <c r="Q491">
        <f>$C491*Q490</f>
        <v/>
      </c>
      <c r="R491">
        <f>$C491*R490</f>
        <v/>
      </c>
      <c r="S491">
        <f>$C491*S490</f>
        <v/>
      </c>
      <c r="T491">
        <f>$C491*T490</f>
        <v/>
      </c>
      <c r="U491">
        <f>$C491*U490</f>
        <v/>
      </c>
      <c r="V491">
        <f>$C491*V490</f>
        <v/>
      </c>
      <c r="W491">
        <f>$C491*W490</f>
        <v/>
      </c>
      <c r="X491">
        <f>$C491*X490</f>
        <v/>
      </c>
      <c r="Y491">
        <f>$C491*Y490</f>
        <v/>
      </c>
      <c r="Z491">
        <f>$C491*Z490</f>
        <v/>
      </c>
      <c r="AA491">
        <f>$C491*AA490</f>
        <v/>
      </c>
      <c r="AB491">
        <f>$C491*AB490</f>
        <v/>
      </c>
      <c r="AC491">
        <f>$C491*AC490</f>
        <v/>
      </c>
      <c r="AD491">
        <f>$C491*AD490</f>
        <v/>
      </c>
      <c r="AE491">
        <f>$C491*AE490</f>
        <v/>
      </c>
      <c r="AF491">
        <f>$C491*AF490</f>
        <v/>
      </c>
      <c r="AG491">
        <f>$C491*AG490</f>
        <v/>
      </c>
      <c r="AH491">
        <f>$C491*AH490</f>
        <v/>
      </c>
      <c r="AI491">
        <f>$C491*AI490</f>
        <v/>
      </c>
      <c r="AJ491">
        <f>$C491*AJ490</f>
        <v/>
      </c>
      <c r="AK491">
        <f>$C491*AK490</f>
        <v/>
      </c>
      <c r="AL491">
        <f>$C491*AL490</f>
        <v/>
      </c>
      <c r="AM491">
        <f>$C491*AM490</f>
        <v/>
      </c>
      <c r="AN491">
        <f>$C491*AN490</f>
        <v/>
      </c>
      <c r="AO491">
        <f>$C491*AO490</f>
        <v/>
      </c>
      <c r="AP491">
        <f>$C491*AP490</f>
        <v/>
      </c>
      <c r="AQ491">
        <f>$C491*AQ490</f>
        <v/>
      </c>
      <c r="AR491">
        <f>$C491*AR490</f>
        <v/>
      </c>
      <c r="AS491">
        <f>$C491*AS490</f>
        <v/>
      </c>
      <c r="AT491">
        <f>$C491*AT490</f>
        <v/>
      </c>
      <c r="AU491">
        <f>$C491*AU490</f>
        <v/>
      </c>
      <c r="AV491">
        <f>$C491*AV490</f>
        <v/>
      </c>
      <c r="AW491">
        <f>$C491*AW490</f>
        <v/>
      </c>
      <c r="AX491">
        <f>$C491*AX490</f>
        <v/>
      </c>
      <c r="AY491">
        <f>$C491*AY490</f>
        <v/>
      </c>
      <c r="AZ491">
        <f>$C491*AZ490</f>
        <v/>
      </c>
      <c r="BA491">
        <f>$C491*BA490</f>
        <v/>
      </c>
      <c r="BB491">
        <f>$C491*BB490</f>
        <v/>
      </c>
      <c r="BC491">
        <f>$C491*BC490</f>
        <v/>
      </c>
      <c r="BD491">
        <f>$C491*BD490</f>
        <v/>
      </c>
      <c r="BE491">
        <f>$C491*BE490</f>
        <v/>
      </c>
      <c r="BF491">
        <f>$C491*BF490</f>
        <v/>
      </c>
      <c r="BG491">
        <f>$C491*BG490</f>
        <v/>
      </c>
      <c r="BH491">
        <f>$C491*BH490</f>
        <v/>
      </c>
      <c r="BI491">
        <f>$C491*BI490</f>
        <v/>
      </c>
      <c r="BJ491">
        <f>$C491*BJ490</f>
        <v/>
      </c>
      <c r="BK491">
        <f>$C491*BK490</f>
        <v/>
      </c>
      <c r="BL491">
        <f>$C491*BL490</f>
        <v/>
      </c>
      <c r="BM491">
        <f>$C491*BM490</f>
        <v/>
      </c>
      <c r="BN491">
        <f>$C491*BN490</f>
        <v/>
      </c>
      <c r="BO491">
        <f>$C491*BO490</f>
        <v/>
      </c>
      <c r="BP491">
        <f>$C491*BP490</f>
        <v/>
      </c>
      <c r="BQ491">
        <f>$C491*BQ490</f>
        <v/>
      </c>
      <c r="BR491">
        <f>$C491*BR490</f>
        <v/>
      </c>
      <c r="BS491">
        <f>$C491*BS490</f>
        <v/>
      </c>
      <c r="BT491">
        <f>$C491*BT490</f>
        <v/>
      </c>
      <c r="BU491">
        <f>$C491*BU490</f>
        <v/>
      </c>
      <c r="BV491">
        <f>$C491*BV490</f>
        <v/>
      </c>
      <c r="BW491">
        <f>$C491*BW490</f>
        <v/>
      </c>
      <c r="BX491">
        <f>$C491*BX490</f>
        <v/>
      </c>
      <c r="BY491">
        <f>$C491*BY490</f>
        <v/>
      </c>
      <c r="BZ491">
        <f>$C491*BZ490</f>
        <v/>
      </c>
      <c r="CA491">
        <f>$C491*CA490</f>
        <v/>
      </c>
      <c r="CB491">
        <f>$C491*CB490</f>
        <v/>
      </c>
      <c r="CC491">
        <f>$C491*CC490</f>
        <v/>
      </c>
      <c r="CD491">
        <f>$C491*CD490</f>
        <v/>
      </c>
      <c r="CE491">
        <f>$C491*CE490</f>
        <v/>
      </c>
      <c r="CF491">
        <f>$C491*CF490</f>
        <v/>
      </c>
      <c r="CG491">
        <f>$C491*CG490</f>
        <v/>
      </c>
      <c r="CH491">
        <f>$C491*CH490</f>
        <v/>
      </c>
      <c r="CI491">
        <f>$C491*CI490</f>
        <v/>
      </c>
      <c r="CJ491">
        <f>$C491*CJ490</f>
        <v/>
      </c>
      <c r="CK491">
        <f>$C491*CK490</f>
        <v/>
      </c>
      <c r="CL491">
        <f>$C491*CL490</f>
        <v/>
      </c>
      <c r="CM491">
        <f>$C491*CM490</f>
        <v/>
      </c>
      <c r="CN491">
        <f>$C491*CN490</f>
        <v/>
      </c>
      <c r="CO491">
        <f>$C491*CO490</f>
        <v/>
      </c>
      <c r="CP491">
        <f>$C491*CP490</f>
        <v/>
      </c>
      <c r="CQ491">
        <f>$C491*CQ490</f>
        <v/>
      </c>
      <c r="CR491">
        <f>$C491*CR490</f>
        <v/>
      </c>
      <c r="CS491">
        <f>$C491*CS490</f>
        <v/>
      </c>
      <c r="CT491">
        <f>$C491*CT490</f>
        <v/>
      </c>
      <c r="CU491">
        <f>$C491*CU490</f>
        <v/>
      </c>
      <c r="CV491">
        <f>$C491*CV490</f>
        <v/>
      </c>
      <c r="CW491">
        <f>$C491*CW490</f>
        <v/>
      </c>
      <c r="CX491">
        <f>$C491*CX490</f>
        <v/>
      </c>
      <c r="CY491">
        <f>$C491*CY490</f>
        <v/>
      </c>
      <c r="CZ491">
        <f>$C491*CZ490</f>
        <v/>
      </c>
      <c r="DA491">
        <f>$C491*DA490</f>
        <v/>
      </c>
      <c r="DB491">
        <f>$C491*DB490</f>
        <v/>
      </c>
      <c r="DC491">
        <f>$C491*DC490</f>
        <v/>
      </c>
      <c r="DD491">
        <f>$C491*DD490</f>
        <v/>
      </c>
    </row>
    <row r="492">
      <c r="B492" t="inlineStr">
        <is>
          <t>TSP-1558</t>
        </is>
      </c>
      <c r="C492" t="inlineStr">
        <is>
          <t>No. of batches</t>
        </is>
      </c>
      <c r="D492">
        <f>IFERROR(INDEX(E492:DD492,$F$1),"")</f>
        <v/>
      </c>
      <c r="E492">
        <f>IFERROR(INDEX(PP_Grid[#Data],$DE492,2),0)</f>
        <v/>
      </c>
      <c r="F492">
        <f>IFERROR(INDEX(PP_Grid[#Data],$DE492,3),0)</f>
        <v/>
      </c>
      <c r="G492">
        <f>IFERROR(INDEX(PP_Grid[#Data],$DE492,4),0)</f>
        <v/>
      </c>
      <c r="H492">
        <f>IFERROR(INDEX(PP_Grid[#Data],$DE492,5),0)</f>
        <v/>
      </c>
      <c r="I492">
        <f>IFERROR(INDEX(PP_Grid[#Data],$DE492,6),0)</f>
        <v/>
      </c>
      <c r="J492">
        <f>IFERROR(INDEX(PP_Grid[#Data],$DE492,7),0)</f>
        <v/>
      </c>
      <c r="K492">
        <f>IFERROR(INDEX(PP_Grid[#Data],$DE492,8),0)</f>
        <v/>
      </c>
      <c r="L492">
        <f>IFERROR(INDEX(PP_Grid[#Data],$DE492,9),0)</f>
        <v/>
      </c>
      <c r="M492">
        <f>IFERROR(INDEX(PP_Grid[#Data],$DE492,10),0)</f>
        <v/>
      </c>
      <c r="N492">
        <f>IFERROR(INDEX(PP_Grid[#Data],$DE492,11),0)</f>
        <v/>
      </c>
      <c r="O492">
        <f>IFERROR(INDEX(PP_Grid[#Data],$DE492,12),0)</f>
        <v/>
      </c>
      <c r="P492">
        <f>IFERROR(INDEX(PP_Grid[#Data],$DE492,13),0)</f>
        <v/>
      </c>
      <c r="Q492">
        <f>IFERROR(INDEX(PP_Grid[#Data],$DE492,14),0)</f>
        <v/>
      </c>
      <c r="R492">
        <f>IFERROR(INDEX(PP_Grid[#Data],$DE492,15),0)</f>
        <v/>
      </c>
      <c r="S492">
        <f>IFERROR(INDEX(PP_Grid[#Data],$DE492,16),0)</f>
        <v/>
      </c>
      <c r="T492">
        <f>IFERROR(INDEX(PP_Grid[#Data],$DE492,17),0)</f>
        <v/>
      </c>
      <c r="U492">
        <f>IFERROR(INDEX(PP_Grid[#Data],$DE492,18),0)</f>
        <v/>
      </c>
      <c r="V492">
        <f>IFERROR(INDEX(PP_Grid[#Data],$DE492,19),0)</f>
        <v/>
      </c>
      <c r="W492">
        <f>IFERROR(INDEX(PP_Grid[#Data],$DE492,20),0)</f>
        <v/>
      </c>
      <c r="X492">
        <f>IFERROR(INDEX(PP_Grid[#Data],$DE492,21),0)</f>
        <v/>
      </c>
      <c r="Y492">
        <f>IFERROR(INDEX(PP_Grid[#Data],$DE492,22),0)</f>
        <v/>
      </c>
      <c r="Z492">
        <f>IFERROR(INDEX(PP_Grid[#Data],$DE492,23),0)</f>
        <v/>
      </c>
      <c r="AA492">
        <f>IFERROR(INDEX(PP_Grid[#Data],$DE492,24),0)</f>
        <v/>
      </c>
      <c r="AB492">
        <f>IFERROR(INDEX(PP_Grid[#Data],$DE492,25),0)</f>
        <v/>
      </c>
      <c r="AC492">
        <f>IFERROR(INDEX(PP_Grid[#Data],$DE492,26),0)</f>
        <v/>
      </c>
      <c r="AD492">
        <f>IFERROR(INDEX(PP_Grid[#Data],$DE492,27),0)</f>
        <v/>
      </c>
      <c r="AE492">
        <f>IFERROR(INDEX(PP_Grid[#Data],$DE492,28),0)</f>
        <v/>
      </c>
      <c r="AF492">
        <f>IFERROR(INDEX(PP_Grid[#Data],$DE492,29),0)</f>
        <v/>
      </c>
      <c r="AG492">
        <f>IFERROR(INDEX(PP_Grid[#Data],$DE492,30),0)</f>
        <v/>
      </c>
      <c r="AH492">
        <f>IFERROR(INDEX(PP_Grid[#Data],$DE492,31),0)</f>
        <v/>
      </c>
      <c r="AI492">
        <f>IFERROR(INDEX(PP_Grid[#Data],$DE492,32),0)</f>
        <v/>
      </c>
      <c r="AJ492">
        <f>IFERROR(INDEX(PP_Grid[#Data],$DE492,33),0)</f>
        <v/>
      </c>
      <c r="AK492">
        <f>IFERROR(INDEX(PP_Grid[#Data],$DE492,34),0)</f>
        <v/>
      </c>
      <c r="AL492">
        <f>IFERROR(INDEX(PP_Grid[#Data],$DE492,35),0)</f>
        <v/>
      </c>
      <c r="AM492">
        <f>IFERROR(INDEX(PP_Grid[#Data],$DE492,36),0)</f>
        <v/>
      </c>
      <c r="AN492">
        <f>IFERROR(INDEX(PP_Grid[#Data],$DE492,37),0)</f>
        <v/>
      </c>
      <c r="AO492">
        <f>IFERROR(INDEX(PP_Grid[#Data],$DE492,38),0)</f>
        <v/>
      </c>
      <c r="AP492">
        <f>IFERROR(INDEX(PP_Grid[#Data],$DE492,39),0)</f>
        <v/>
      </c>
      <c r="AQ492">
        <f>IFERROR(INDEX(PP_Grid[#Data],$DE492,40),0)</f>
        <v/>
      </c>
      <c r="AR492">
        <f>IFERROR(INDEX(PP_Grid[#Data],$DE492,41),0)</f>
        <v/>
      </c>
      <c r="AS492">
        <f>IFERROR(INDEX(PP_Grid[#Data],$DE492,42),0)</f>
        <v/>
      </c>
      <c r="AT492">
        <f>IFERROR(INDEX(PP_Grid[#Data],$DE492,43),0)</f>
        <v/>
      </c>
      <c r="AU492">
        <f>IFERROR(INDEX(PP_Grid[#Data],$DE492,44),0)</f>
        <v/>
      </c>
      <c r="AV492">
        <f>IFERROR(INDEX(PP_Grid[#Data],$DE492,45),0)</f>
        <v/>
      </c>
      <c r="AW492">
        <f>IFERROR(INDEX(PP_Grid[#Data],$DE492,46),0)</f>
        <v/>
      </c>
      <c r="AX492">
        <f>IFERROR(INDEX(PP_Grid[#Data],$DE492,47),0)</f>
        <v/>
      </c>
      <c r="AY492">
        <f>IFERROR(INDEX(PP_Grid[#Data],$DE492,48),0)</f>
        <v/>
      </c>
      <c r="AZ492">
        <f>IFERROR(INDEX(PP_Grid[#Data],$DE492,49),0)</f>
        <v/>
      </c>
      <c r="BA492">
        <f>IFERROR(INDEX(PP_Grid[#Data],$DE492,50),0)</f>
        <v/>
      </c>
      <c r="BB492">
        <f>IFERROR(INDEX(PP_Grid[#Data],$DE492,51),0)</f>
        <v/>
      </c>
      <c r="BC492">
        <f>IFERROR(INDEX(PP_Grid[#Data],$DE492,52),0)</f>
        <v/>
      </c>
      <c r="BD492">
        <f>IFERROR(INDEX(PP_Grid[#Data],$DE492,53),0)</f>
        <v/>
      </c>
      <c r="BE492">
        <f>IFERROR(INDEX(PP_Grid[#Data],$DE492,54),0)</f>
        <v/>
      </c>
      <c r="BF492">
        <f>IFERROR(INDEX(PP_Grid[#Data],$DE492,55),0)</f>
        <v/>
      </c>
      <c r="BG492">
        <f>IFERROR(INDEX(PP_Grid[#Data],$DE492,56),0)</f>
        <v/>
      </c>
      <c r="BH492">
        <f>IFERROR(INDEX(PP_Grid[#Data],$DE492,57),0)</f>
        <v/>
      </c>
      <c r="BI492">
        <f>IFERROR(INDEX(PP_Grid[#Data],$DE492,58),0)</f>
        <v/>
      </c>
      <c r="BJ492">
        <f>IFERROR(INDEX(PP_Grid[#Data],$DE492,59),0)</f>
        <v/>
      </c>
      <c r="BK492">
        <f>IFERROR(INDEX(PP_Grid[#Data],$DE492,60),0)</f>
        <v/>
      </c>
      <c r="BL492">
        <f>IFERROR(INDEX(PP_Grid[#Data],$DE492,61),0)</f>
        <v/>
      </c>
      <c r="BM492">
        <f>IFERROR(INDEX(PP_Grid[#Data],$DE492,62),0)</f>
        <v/>
      </c>
      <c r="BN492">
        <f>IFERROR(INDEX(PP_Grid[#Data],$DE492,63),0)</f>
        <v/>
      </c>
      <c r="BO492">
        <f>IFERROR(INDEX(PP_Grid[#Data],$DE492,64),0)</f>
        <v/>
      </c>
      <c r="BP492">
        <f>IFERROR(INDEX(PP_Grid[#Data],$DE492,65),0)</f>
        <v/>
      </c>
      <c r="BQ492">
        <f>IFERROR(INDEX(PP_Grid[#Data],$DE492,66),0)</f>
        <v/>
      </c>
      <c r="BR492">
        <f>IFERROR(INDEX(PP_Grid[#Data],$DE492,67),0)</f>
        <v/>
      </c>
      <c r="BS492">
        <f>IFERROR(INDEX(PP_Grid[#Data],$DE492,68),0)</f>
        <v/>
      </c>
      <c r="BT492">
        <f>IFERROR(INDEX(PP_Grid[#Data],$DE492,69),0)</f>
        <v/>
      </c>
      <c r="BU492">
        <f>IFERROR(INDEX(PP_Grid[#Data],$DE492,70),0)</f>
        <v/>
      </c>
      <c r="BV492">
        <f>IFERROR(INDEX(PP_Grid[#Data],$DE492,71),0)</f>
        <v/>
      </c>
      <c r="BW492">
        <f>IFERROR(INDEX(PP_Grid[#Data],$DE492,72),0)</f>
        <v/>
      </c>
      <c r="BX492">
        <f>IFERROR(INDEX(PP_Grid[#Data],$DE492,73),0)</f>
        <v/>
      </c>
      <c r="BY492">
        <f>IFERROR(INDEX(PP_Grid[#Data],$DE492,74),0)</f>
        <v/>
      </c>
      <c r="BZ492">
        <f>IFERROR(INDEX(PP_Grid[#Data],$DE492,75),0)</f>
        <v/>
      </c>
      <c r="CA492">
        <f>IFERROR(INDEX(PP_Grid[#Data],$DE492,76),0)</f>
        <v/>
      </c>
      <c r="CB492">
        <f>IFERROR(INDEX(PP_Grid[#Data],$DE492,77),0)</f>
        <v/>
      </c>
      <c r="CC492">
        <f>IFERROR(INDEX(PP_Grid[#Data],$DE492,78),0)</f>
        <v/>
      </c>
      <c r="CD492">
        <f>IFERROR(INDEX(PP_Grid[#Data],$DE492,79),0)</f>
        <v/>
      </c>
      <c r="CE492">
        <f>IFERROR(INDEX(PP_Grid[#Data],$DE492,80),0)</f>
        <v/>
      </c>
      <c r="CF492">
        <f>IFERROR(INDEX(PP_Grid[#Data],$DE492,81),0)</f>
        <v/>
      </c>
      <c r="CG492">
        <f>IFERROR(INDEX(PP_Grid[#Data],$DE492,82),0)</f>
        <v/>
      </c>
      <c r="CH492">
        <f>IFERROR(INDEX(PP_Grid[#Data],$DE492,83),0)</f>
        <v/>
      </c>
      <c r="CI492">
        <f>IFERROR(INDEX(PP_Grid[#Data],$DE492,84),0)</f>
        <v/>
      </c>
      <c r="CJ492">
        <f>IFERROR(INDEX(PP_Grid[#Data],$DE492,85),0)</f>
        <v/>
      </c>
      <c r="CK492">
        <f>IFERROR(INDEX(PP_Grid[#Data],$DE492,86),0)</f>
        <v/>
      </c>
      <c r="CL492">
        <f>IFERROR(INDEX(PP_Grid[#Data],$DE492,87),0)</f>
        <v/>
      </c>
      <c r="CM492">
        <f>IFERROR(INDEX(PP_Grid[#Data],$DE492,88),0)</f>
        <v/>
      </c>
      <c r="CN492">
        <f>IFERROR(INDEX(PP_Grid[#Data],$DE492,89),0)</f>
        <v/>
      </c>
      <c r="CO492">
        <f>IFERROR(INDEX(PP_Grid[#Data],$DE492,90),0)</f>
        <v/>
      </c>
      <c r="CP492">
        <f>IFERROR(INDEX(PP_Grid[#Data],$DE492,91),0)</f>
        <v/>
      </c>
      <c r="CQ492">
        <f>IFERROR(INDEX(PP_Grid[#Data],$DE492,92),0)</f>
        <v/>
      </c>
      <c r="CR492">
        <f>IFERROR(INDEX(PP_Grid[#Data],$DE492,93),0)</f>
        <v/>
      </c>
      <c r="CS492">
        <f>IFERROR(INDEX(PP_Grid[#Data],$DE492,94),0)</f>
        <v/>
      </c>
      <c r="CT492">
        <f>IFERROR(INDEX(PP_Grid[#Data],$DE492,95),0)</f>
        <v/>
      </c>
      <c r="CU492">
        <f>IFERROR(INDEX(PP_Grid[#Data],$DE492,96),0)</f>
        <v/>
      </c>
      <c r="CV492">
        <f>IFERROR(INDEX(PP_Grid[#Data],$DE492,97),0)</f>
        <v/>
      </c>
      <c r="CW492">
        <f>IFERROR(INDEX(PP_Grid[#Data],$DE492,98),0)</f>
        <v/>
      </c>
      <c r="CX492">
        <f>IFERROR(INDEX(PP_Grid[#Data],$DE492,99),0)</f>
        <v/>
      </c>
      <c r="CY492">
        <f>IFERROR(INDEX(PP_Grid[#Data],$DE492,100),0)</f>
        <v/>
      </c>
      <c r="CZ492">
        <f>IFERROR(INDEX(PP_Grid[#Data],$DE492,101),0)</f>
        <v/>
      </c>
      <c r="DA492">
        <f>IFERROR(INDEX(PP_Grid[#Data],$DE492,102),0)</f>
        <v/>
      </c>
      <c r="DB492">
        <f>IFERROR(INDEX(PP_Grid[#Data],$DE492,103),0)</f>
        <v/>
      </c>
      <c r="DC492">
        <f>IFERROR(INDEX(PP_Grid[#Data],$DE492,104),0)</f>
        <v/>
      </c>
      <c r="DD492">
        <f>IFERROR(INDEX(PP_Grid[#Data],$DE492,105),0)</f>
        <v/>
      </c>
      <c r="DE492" s="7">
        <f>IFERROR(MATCH($B492,PP_Grid[Intermediate],0),99999)</f>
        <v/>
      </c>
    </row>
    <row r="493">
      <c r="B493" t="inlineStr">
        <is>
          <t>使用量(kg)</t>
        </is>
      </c>
      <c r="C493">
        <f>SUMIFS(M_BOM[RM_Qty_Per_Batch],M_BOM[Intermediate],$B492,M_BOM[RM_Code],$A325)</f>
        <v/>
      </c>
      <c r="D493">
        <f>IFERROR(INDEX(E493:DD493,$F$1),"")</f>
        <v/>
      </c>
      <c r="E493">
        <f>$C493*E492</f>
        <v/>
      </c>
      <c r="F493">
        <f>$C493*F492</f>
        <v/>
      </c>
      <c r="G493">
        <f>$C493*G492</f>
        <v/>
      </c>
      <c r="H493">
        <f>$C493*H492</f>
        <v/>
      </c>
      <c r="I493">
        <f>$C493*I492</f>
        <v/>
      </c>
      <c r="J493">
        <f>$C493*J492</f>
        <v/>
      </c>
      <c r="K493">
        <f>$C493*K492</f>
        <v/>
      </c>
      <c r="L493">
        <f>$C493*L492</f>
        <v/>
      </c>
      <c r="M493">
        <f>$C493*M492</f>
        <v/>
      </c>
      <c r="N493">
        <f>$C493*N492</f>
        <v/>
      </c>
      <c r="O493">
        <f>$C493*O492</f>
        <v/>
      </c>
      <c r="P493">
        <f>$C493*P492</f>
        <v/>
      </c>
      <c r="Q493">
        <f>$C493*Q492</f>
        <v/>
      </c>
      <c r="R493">
        <f>$C493*R492</f>
        <v/>
      </c>
      <c r="S493">
        <f>$C493*S492</f>
        <v/>
      </c>
      <c r="T493">
        <f>$C493*T492</f>
        <v/>
      </c>
      <c r="U493">
        <f>$C493*U492</f>
        <v/>
      </c>
      <c r="V493">
        <f>$C493*V492</f>
        <v/>
      </c>
      <c r="W493">
        <f>$C493*W492</f>
        <v/>
      </c>
      <c r="X493">
        <f>$C493*X492</f>
        <v/>
      </c>
      <c r="Y493">
        <f>$C493*Y492</f>
        <v/>
      </c>
      <c r="Z493">
        <f>$C493*Z492</f>
        <v/>
      </c>
      <c r="AA493">
        <f>$C493*AA492</f>
        <v/>
      </c>
      <c r="AB493">
        <f>$C493*AB492</f>
        <v/>
      </c>
      <c r="AC493">
        <f>$C493*AC492</f>
        <v/>
      </c>
      <c r="AD493">
        <f>$C493*AD492</f>
        <v/>
      </c>
      <c r="AE493">
        <f>$C493*AE492</f>
        <v/>
      </c>
      <c r="AF493">
        <f>$C493*AF492</f>
        <v/>
      </c>
      <c r="AG493">
        <f>$C493*AG492</f>
        <v/>
      </c>
      <c r="AH493">
        <f>$C493*AH492</f>
        <v/>
      </c>
      <c r="AI493">
        <f>$C493*AI492</f>
        <v/>
      </c>
      <c r="AJ493">
        <f>$C493*AJ492</f>
        <v/>
      </c>
      <c r="AK493">
        <f>$C493*AK492</f>
        <v/>
      </c>
      <c r="AL493">
        <f>$C493*AL492</f>
        <v/>
      </c>
      <c r="AM493">
        <f>$C493*AM492</f>
        <v/>
      </c>
      <c r="AN493">
        <f>$C493*AN492</f>
        <v/>
      </c>
      <c r="AO493">
        <f>$C493*AO492</f>
        <v/>
      </c>
      <c r="AP493">
        <f>$C493*AP492</f>
        <v/>
      </c>
      <c r="AQ493">
        <f>$C493*AQ492</f>
        <v/>
      </c>
      <c r="AR493">
        <f>$C493*AR492</f>
        <v/>
      </c>
      <c r="AS493">
        <f>$C493*AS492</f>
        <v/>
      </c>
      <c r="AT493">
        <f>$C493*AT492</f>
        <v/>
      </c>
      <c r="AU493">
        <f>$C493*AU492</f>
        <v/>
      </c>
      <c r="AV493">
        <f>$C493*AV492</f>
        <v/>
      </c>
      <c r="AW493">
        <f>$C493*AW492</f>
        <v/>
      </c>
      <c r="AX493">
        <f>$C493*AX492</f>
        <v/>
      </c>
      <c r="AY493">
        <f>$C493*AY492</f>
        <v/>
      </c>
      <c r="AZ493">
        <f>$C493*AZ492</f>
        <v/>
      </c>
      <c r="BA493">
        <f>$C493*BA492</f>
        <v/>
      </c>
      <c r="BB493">
        <f>$C493*BB492</f>
        <v/>
      </c>
      <c r="BC493">
        <f>$C493*BC492</f>
        <v/>
      </c>
      <c r="BD493">
        <f>$C493*BD492</f>
        <v/>
      </c>
      <c r="BE493">
        <f>$C493*BE492</f>
        <v/>
      </c>
      <c r="BF493">
        <f>$C493*BF492</f>
        <v/>
      </c>
      <c r="BG493">
        <f>$C493*BG492</f>
        <v/>
      </c>
      <c r="BH493">
        <f>$C493*BH492</f>
        <v/>
      </c>
      <c r="BI493">
        <f>$C493*BI492</f>
        <v/>
      </c>
      <c r="BJ493">
        <f>$C493*BJ492</f>
        <v/>
      </c>
      <c r="BK493">
        <f>$C493*BK492</f>
        <v/>
      </c>
      <c r="BL493">
        <f>$C493*BL492</f>
        <v/>
      </c>
      <c r="BM493">
        <f>$C493*BM492</f>
        <v/>
      </c>
      <c r="BN493">
        <f>$C493*BN492</f>
        <v/>
      </c>
      <c r="BO493">
        <f>$C493*BO492</f>
        <v/>
      </c>
      <c r="BP493">
        <f>$C493*BP492</f>
        <v/>
      </c>
      <c r="BQ493">
        <f>$C493*BQ492</f>
        <v/>
      </c>
      <c r="BR493">
        <f>$C493*BR492</f>
        <v/>
      </c>
      <c r="BS493">
        <f>$C493*BS492</f>
        <v/>
      </c>
      <c r="BT493">
        <f>$C493*BT492</f>
        <v/>
      </c>
      <c r="BU493">
        <f>$C493*BU492</f>
        <v/>
      </c>
      <c r="BV493">
        <f>$C493*BV492</f>
        <v/>
      </c>
      <c r="BW493">
        <f>$C493*BW492</f>
        <v/>
      </c>
      <c r="BX493">
        <f>$C493*BX492</f>
        <v/>
      </c>
      <c r="BY493">
        <f>$C493*BY492</f>
        <v/>
      </c>
      <c r="BZ493">
        <f>$C493*BZ492</f>
        <v/>
      </c>
      <c r="CA493">
        <f>$C493*CA492</f>
        <v/>
      </c>
      <c r="CB493">
        <f>$C493*CB492</f>
        <v/>
      </c>
      <c r="CC493">
        <f>$C493*CC492</f>
        <v/>
      </c>
      <c r="CD493">
        <f>$C493*CD492</f>
        <v/>
      </c>
      <c r="CE493">
        <f>$C493*CE492</f>
        <v/>
      </c>
      <c r="CF493">
        <f>$C493*CF492</f>
        <v/>
      </c>
      <c r="CG493">
        <f>$C493*CG492</f>
        <v/>
      </c>
      <c r="CH493">
        <f>$C493*CH492</f>
        <v/>
      </c>
      <c r="CI493">
        <f>$C493*CI492</f>
        <v/>
      </c>
      <c r="CJ493">
        <f>$C493*CJ492</f>
        <v/>
      </c>
      <c r="CK493">
        <f>$C493*CK492</f>
        <v/>
      </c>
      <c r="CL493">
        <f>$C493*CL492</f>
        <v/>
      </c>
      <c r="CM493">
        <f>$C493*CM492</f>
        <v/>
      </c>
      <c r="CN493">
        <f>$C493*CN492</f>
        <v/>
      </c>
      <c r="CO493">
        <f>$C493*CO492</f>
        <v/>
      </c>
      <c r="CP493">
        <f>$C493*CP492</f>
        <v/>
      </c>
      <c r="CQ493">
        <f>$C493*CQ492</f>
        <v/>
      </c>
      <c r="CR493">
        <f>$C493*CR492</f>
        <v/>
      </c>
      <c r="CS493">
        <f>$C493*CS492</f>
        <v/>
      </c>
      <c r="CT493">
        <f>$C493*CT492</f>
        <v/>
      </c>
      <c r="CU493">
        <f>$C493*CU492</f>
        <v/>
      </c>
      <c r="CV493">
        <f>$C493*CV492</f>
        <v/>
      </c>
      <c r="CW493">
        <f>$C493*CW492</f>
        <v/>
      </c>
      <c r="CX493">
        <f>$C493*CX492</f>
        <v/>
      </c>
      <c r="CY493">
        <f>$C493*CY492</f>
        <v/>
      </c>
      <c r="CZ493">
        <f>$C493*CZ492</f>
        <v/>
      </c>
      <c r="DA493">
        <f>$C493*DA492</f>
        <v/>
      </c>
      <c r="DB493">
        <f>$C493*DB492</f>
        <v/>
      </c>
      <c r="DC493">
        <f>$C493*DC492</f>
        <v/>
      </c>
      <c r="DD493">
        <f>$C493*DD492</f>
        <v/>
      </c>
    </row>
    <row r="494">
      <c r="B494" s="4" t="inlineStr">
        <is>
          <t>合計使用量(kg)/週</t>
        </is>
      </c>
      <c r="D494" s="22">
        <f>IFERROR(INDEX(E494:DD494,$F$1),"")</f>
        <v/>
      </c>
      <c r="E494">
        <f>'Grid_Requirement'!B5</f>
        <v/>
      </c>
      <c r="F494">
        <f>'Grid_Requirement'!C5</f>
        <v/>
      </c>
      <c r="G494">
        <f>'Grid_Requirement'!D5</f>
        <v/>
      </c>
      <c r="H494">
        <f>'Grid_Requirement'!E5</f>
        <v/>
      </c>
      <c r="I494">
        <f>'Grid_Requirement'!F5</f>
        <v/>
      </c>
      <c r="J494">
        <f>'Grid_Requirement'!G5</f>
        <v/>
      </c>
      <c r="K494">
        <f>'Grid_Requirement'!H5</f>
        <v/>
      </c>
      <c r="L494">
        <f>'Grid_Requirement'!I5</f>
        <v/>
      </c>
      <c r="M494">
        <f>'Grid_Requirement'!J5</f>
        <v/>
      </c>
      <c r="N494">
        <f>'Grid_Requirement'!K5</f>
        <v/>
      </c>
      <c r="O494">
        <f>'Grid_Requirement'!L5</f>
        <v/>
      </c>
      <c r="P494">
        <f>'Grid_Requirement'!M5</f>
        <v/>
      </c>
      <c r="Q494">
        <f>'Grid_Requirement'!N5</f>
        <v/>
      </c>
      <c r="R494">
        <f>'Grid_Requirement'!O5</f>
        <v/>
      </c>
      <c r="S494">
        <f>'Grid_Requirement'!P5</f>
        <v/>
      </c>
      <c r="T494">
        <f>'Grid_Requirement'!Q5</f>
        <v/>
      </c>
      <c r="U494">
        <f>'Grid_Requirement'!R5</f>
        <v/>
      </c>
      <c r="V494">
        <f>'Grid_Requirement'!S5</f>
        <v/>
      </c>
      <c r="W494">
        <f>'Grid_Requirement'!T5</f>
        <v/>
      </c>
      <c r="X494">
        <f>'Grid_Requirement'!U5</f>
        <v/>
      </c>
      <c r="Y494">
        <f>'Grid_Requirement'!V5</f>
        <v/>
      </c>
      <c r="Z494">
        <f>'Grid_Requirement'!W5</f>
        <v/>
      </c>
      <c r="AA494">
        <f>'Grid_Requirement'!X5</f>
        <v/>
      </c>
      <c r="AB494">
        <f>'Grid_Requirement'!Y5</f>
        <v/>
      </c>
      <c r="AC494">
        <f>'Grid_Requirement'!Z5</f>
        <v/>
      </c>
      <c r="AD494">
        <f>'Grid_Requirement'!AA5</f>
        <v/>
      </c>
      <c r="AE494">
        <f>'Grid_Requirement'!AB5</f>
        <v/>
      </c>
      <c r="AF494">
        <f>'Grid_Requirement'!AC5</f>
        <v/>
      </c>
      <c r="AG494">
        <f>'Grid_Requirement'!AD5</f>
        <v/>
      </c>
      <c r="AH494">
        <f>'Grid_Requirement'!AE5</f>
        <v/>
      </c>
      <c r="AI494">
        <f>'Grid_Requirement'!AF5</f>
        <v/>
      </c>
      <c r="AJ494">
        <f>'Grid_Requirement'!AG5</f>
        <v/>
      </c>
      <c r="AK494">
        <f>'Grid_Requirement'!AH5</f>
        <v/>
      </c>
      <c r="AL494">
        <f>'Grid_Requirement'!AI5</f>
        <v/>
      </c>
      <c r="AM494">
        <f>'Grid_Requirement'!AJ5</f>
        <v/>
      </c>
      <c r="AN494">
        <f>'Grid_Requirement'!AK5</f>
        <v/>
      </c>
      <c r="AO494">
        <f>'Grid_Requirement'!AL5</f>
        <v/>
      </c>
      <c r="AP494">
        <f>'Grid_Requirement'!AM5</f>
        <v/>
      </c>
      <c r="AQ494">
        <f>'Grid_Requirement'!AN5</f>
        <v/>
      </c>
      <c r="AR494">
        <f>'Grid_Requirement'!AO5</f>
        <v/>
      </c>
      <c r="AS494">
        <f>'Grid_Requirement'!AP5</f>
        <v/>
      </c>
      <c r="AT494">
        <f>'Grid_Requirement'!AQ5</f>
        <v/>
      </c>
      <c r="AU494">
        <f>'Grid_Requirement'!AR5</f>
        <v/>
      </c>
      <c r="AV494">
        <f>'Grid_Requirement'!AS5</f>
        <v/>
      </c>
      <c r="AW494">
        <f>'Grid_Requirement'!AT5</f>
        <v/>
      </c>
      <c r="AX494">
        <f>'Grid_Requirement'!AU5</f>
        <v/>
      </c>
      <c r="AY494">
        <f>'Grid_Requirement'!AV5</f>
        <v/>
      </c>
      <c r="AZ494">
        <f>'Grid_Requirement'!AW5</f>
        <v/>
      </c>
      <c r="BA494">
        <f>'Grid_Requirement'!AX5</f>
        <v/>
      </c>
      <c r="BB494">
        <f>'Grid_Requirement'!AY5</f>
        <v/>
      </c>
      <c r="BC494">
        <f>'Grid_Requirement'!AZ5</f>
        <v/>
      </c>
      <c r="BD494">
        <f>'Grid_Requirement'!BA5</f>
        <v/>
      </c>
      <c r="BE494">
        <f>'Grid_Requirement'!BB5</f>
        <v/>
      </c>
      <c r="BF494">
        <f>'Grid_Requirement'!BC5</f>
        <v/>
      </c>
      <c r="BG494">
        <f>'Grid_Requirement'!BD5</f>
        <v/>
      </c>
      <c r="BH494">
        <f>'Grid_Requirement'!BE5</f>
        <v/>
      </c>
      <c r="BI494">
        <f>'Grid_Requirement'!BF5</f>
        <v/>
      </c>
      <c r="BJ494">
        <f>'Grid_Requirement'!BG5</f>
        <v/>
      </c>
      <c r="BK494">
        <f>'Grid_Requirement'!BH5</f>
        <v/>
      </c>
      <c r="BL494">
        <f>'Grid_Requirement'!BI5</f>
        <v/>
      </c>
      <c r="BM494">
        <f>'Grid_Requirement'!BJ5</f>
        <v/>
      </c>
      <c r="BN494">
        <f>'Grid_Requirement'!BK5</f>
        <v/>
      </c>
      <c r="BO494">
        <f>'Grid_Requirement'!BL5</f>
        <v/>
      </c>
      <c r="BP494">
        <f>'Grid_Requirement'!BM5</f>
        <v/>
      </c>
      <c r="BQ494">
        <f>'Grid_Requirement'!BN5</f>
        <v/>
      </c>
      <c r="BR494">
        <f>'Grid_Requirement'!BO5</f>
        <v/>
      </c>
      <c r="BS494">
        <f>'Grid_Requirement'!BP5</f>
        <v/>
      </c>
      <c r="BT494">
        <f>'Grid_Requirement'!BQ5</f>
        <v/>
      </c>
      <c r="BU494">
        <f>'Grid_Requirement'!BR5</f>
        <v/>
      </c>
      <c r="BV494">
        <f>'Grid_Requirement'!BS5</f>
        <v/>
      </c>
      <c r="BW494">
        <f>'Grid_Requirement'!BT5</f>
        <v/>
      </c>
      <c r="BX494">
        <f>'Grid_Requirement'!BU5</f>
        <v/>
      </c>
      <c r="BY494">
        <f>'Grid_Requirement'!BV5</f>
        <v/>
      </c>
      <c r="BZ494">
        <f>'Grid_Requirement'!BW5</f>
        <v/>
      </c>
      <c r="CA494">
        <f>'Grid_Requirement'!BX5</f>
        <v/>
      </c>
      <c r="CB494">
        <f>'Grid_Requirement'!BY5</f>
        <v/>
      </c>
      <c r="CC494">
        <f>'Grid_Requirement'!BZ5</f>
        <v/>
      </c>
      <c r="CD494">
        <f>'Grid_Requirement'!CA5</f>
        <v/>
      </c>
      <c r="CE494">
        <f>'Grid_Requirement'!CB5</f>
        <v/>
      </c>
      <c r="CF494">
        <f>'Grid_Requirement'!CC5</f>
        <v/>
      </c>
      <c r="CG494">
        <f>'Grid_Requirement'!CD5</f>
        <v/>
      </c>
      <c r="CH494">
        <f>'Grid_Requirement'!CE5</f>
        <v/>
      </c>
      <c r="CI494">
        <f>'Grid_Requirement'!CF5</f>
        <v/>
      </c>
      <c r="CJ494">
        <f>'Grid_Requirement'!CG5</f>
        <v/>
      </c>
      <c r="CK494">
        <f>'Grid_Requirement'!CH5</f>
        <v/>
      </c>
      <c r="CL494">
        <f>'Grid_Requirement'!CI5</f>
        <v/>
      </c>
      <c r="CM494">
        <f>'Grid_Requirement'!CJ5</f>
        <v/>
      </c>
      <c r="CN494">
        <f>'Grid_Requirement'!CK5</f>
        <v/>
      </c>
      <c r="CO494">
        <f>'Grid_Requirement'!CL5</f>
        <v/>
      </c>
      <c r="CP494">
        <f>'Grid_Requirement'!CM5</f>
        <v/>
      </c>
      <c r="CQ494">
        <f>'Grid_Requirement'!CN5</f>
        <v/>
      </c>
      <c r="CR494">
        <f>'Grid_Requirement'!CO5</f>
        <v/>
      </c>
      <c r="CS494">
        <f>'Grid_Requirement'!CP5</f>
        <v/>
      </c>
      <c r="CT494">
        <f>'Grid_Requirement'!CQ5</f>
        <v/>
      </c>
      <c r="CU494">
        <f>'Grid_Requirement'!CR5</f>
        <v/>
      </c>
      <c r="CV494">
        <f>'Grid_Requirement'!CS5</f>
        <v/>
      </c>
      <c r="CW494">
        <f>'Grid_Requirement'!CT5</f>
        <v/>
      </c>
      <c r="CX494">
        <f>'Grid_Requirement'!CU5</f>
        <v/>
      </c>
      <c r="CY494">
        <f>'Grid_Requirement'!CV5</f>
        <v/>
      </c>
      <c r="CZ494">
        <f>'Grid_Requirement'!CW5</f>
        <v/>
      </c>
      <c r="DA494">
        <f>'Grid_Requirement'!CX5</f>
        <v/>
      </c>
      <c r="DB494">
        <f>'Grid_Requirement'!CY5</f>
        <v/>
      </c>
      <c r="DC494">
        <f>'Grid_Requirement'!CZ5</f>
        <v/>
      </c>
      <c r="DD494">
        <f>'Grid_Requirement'!DA5</f>
        <v/>
      </c>
    </row>
    <row r="495">
      <c r="B495" s="23" t="inlineStr">
        <is>
          <t>（在庫・入荷予定はDashboard参照）</t>
        </is>
      </c>
    </row>
    <row r="497">
      <c r="A497" s="21" t="inlineStr">
        <is>
          <t>CHEM-1440</t>
        </is>
      </c>
      <c r="B497" s="21" t="inlineStr">
        <is>
          <t>CITRIC ACID</t>
        </is>
      </c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  <c r="AA497" s="21" t="n"/>
      <c r="AB497" s="21" t="n"/>
      <c r="AC497" s="21" t="n"/>
      <c r="AD497" s="21" t="n"/>
      <c r="AE497" s="21" t="n"/>
      <c r="AF497" s="21" t="n"/>
      <c r="AG497" s="21" t="n"/>
      <c r="AH497" s="21" t="n"/>
      <c r="AI497" s="21" t="n"/>
      <c r="AJ497" s="21" t="n"/>
      <c r="AK497" s="21" t="n"/>
      <c r="AL497" s="21" t="n"/>
      <c r="AM497" s="21" t="n"/>
      <c r="AN497" s="21" t="n"/>
      <c r="AO497" s="21" t="n"/>
      <c r="AP497" s="21" t="n"/>
      <c r="AQ497" s="21" t="n"/>
      <c r="AR497" s="21" t="n"/>
      <c r="AS497" s="21" t="n"/>
      <c r="AT497" s="21" t="n"/>
      <c r="AU497" s="21" t="n"/>
      <c r="AV497" s="21" t="n"/>
      <c r="AW497" s="21" t="n"/>
      <c r="AX497" s="21" t="n"/>
      <c r="AY497" s="21" t="n"/>
      <c r="AZ497" s="21" t="n"/>
      <c r="BA497" s="21" t="n"/>
      <c r="BB497" s="21" t="n"/>
      <c r="BC497" s="21" t="n"/>
      <c r="BD497" s="21" t="n"/>
      <c r="BE497" s="21" t="n"/>
      <c r="BF497" s="21" t="n"/>
      <c r="BG497" s="21" t="n"/>
      <c r="BH497" s="21" t="n"/>
      <c r="BI497" s="21" t="n"/>
      <c r="BJ497" s="21" t="n"/>
      <c r="BK497" s="21" t="n"/>
      <c r="BL497" s="21" t="n"/>
      <c r="BM497" s="21" t="n"/>
      <c r="BN497" s="21" t="n"/>
      <c r="BO497" s="21" t="n"/>
      <c r="BP497" s="21" t="n"/>
      <c r="BQ497" s="21" t="n"/>
      <c r="BR497" s="21" t="n"/>
      <c r="BS497" s="21" t="n"/>
      <c r="BT497" s="21" t="n"/>
      <c r="BU497" s="21" t="n"/>
      <c r="BV497" s="21" t="n"/>
      <c r="BW497" s="21" t="n"/>
      <c r="BX497" s="21" t="n"/>
      <c r="BY497" s="21" t="n"/>
      <c r="BZ497" s="21" t="n"/>
      <c r="CA497" s="21" t="n"/>
      <c r="CB497" s="21" t="n"/>
      <c r="CC497" s="21" t="n"/>
      <c r="CD497" s="21" t="n"/>
      <c r="CE497" s="21" t="n"/>
      <c r="CF497" s="21" t="n"/>
      <c r="CG497" s="21" t="n"/>
      <c r="CH497" s="21" t="n"/>
      <c r="CI497" s="21" t="n"/>
      <c r="CJ497" s="21" t="n"/>
      <c r="CK497" s="21" t="n"/>
      <c r="CL497" s="21" t="n"/>
      <c r="CM497" s="21" t="n"/>
      <c r="CN497" s="21" t="n"/>
      <c r="CO497" s="21" t="n"/>
      <c r="CP497" s="21" t="n"/>
      <c r="CQ497" s="21" t="n"/>
      <c r="CR497" s="21" t="n"/>
      <c r="CS497" s="21" t="n"/>
      <c r="CT497" s="21" t="n"/>
      <c r="CU497" s="21" t="n"/>
      <c r="CV497" s="21" t="n"/>
      <c r="CW497" s="21" t="n"/>
      <c r="CX497" s="21" t="n"/>
      <c r="CY497" s="21" t="n"/>
      <c r="CZ497" s="21" t="n"/>
      <c r="DA497" s="21" t="n"/>
      <c r="DB497" s="21" t="n"/>
      <c r="DC497" s="21" t="n"/>
      <c r="DD497" s="21" t="n"/>
    </row>
    <row r="498">
      <c r="B498" t="inlineStr">
        <is>
          <t>TSP-049</t>
        </is>
      </c>
      <c r="C498" t="inlineStr">
        <is>
          <t>No. of batches</t>
        </is>
      </c>
      <c r="D498">
        <f>IFERROR(INDEX(E498:DD498,$F$1),"")</f>
        <v/>
      </c>
      <c r="E498">
        <f>IFERROR(INDEX(PP_Grid[#Data],$DE498,2),0)</f>
        <v/>
      </c>
      <c r="F498">
        <f>IFERROR(INDEX(PP_Grid[#Data],$DE498,3),0)</f>
        <v/>
      </c>
      <c r="G498">
        <f>IFERROR(INDEX(PP_Grid[#Data],$DE498,4),0)</f>
        <v/>
      </c>
      <c r="H498">
        <f>IFERROR(INDEX(PP_Grid[#Data],$DE498,5),0)</f>
        <v/>
      </c>
      <c r="I498">
        <f>IFERROR(INDEX(PP_Grid[#Data],$DE498,6),0)</f>
        <v/>
      </c>
      <c r="J498">
        <f>IFERROR(INDEX(PP_Grid[#Data],$DE498,7),0)</f>
        <v/>
      </c>
      <c r="K498">
        <f>IFERROR(INDEX(PP_Grid[#Data],$DE498,8),0)</f>
        <v/>
      </c>
      <c r="L498">
        <f>IFERROR(INDEX(PP_Grid[#Data],$DE498,9),0)</f>
        <v/>
      </c>
      <c r="M498">
        <f>IFERROR(INDEX(PP_Grid[#Data],$DE498,10),0)</f>
        <v/>
      </c>
      <c r="N498">
        <f>IFERROR(INDEX(PP_Grid[#Data],$DE498,11),0)</f>
        <v/>
      </c>
      <c r="O498">
        <f>IFERROR(INDEX(PP_Grid[#Data],$DE498,12),0)</f>
        <v/>
      </c>
      <c r="P498">
        <f>IFERROR(INDEX(PP_Grid[#Data],$DE498,13),0)</f>
        <v/>
      </c>
      <c r="Q498">
        <f>IFERROR(INDEX(PP_Grid[#Data],$DE498,14),0)</f>
        <v/>
      </c>
      <c r="R498">
        <f>IFERROR(INDEX(PP_Grid[#Data],$DE498,15),0)</f>
        <v/>
      </c>
      <c r="S498">
        <f>IFERROR(INDEX(PP_Grid[#Data],$DE498,16),0)</f>
        <v/>
      </c>
      <c r="T498">
        <f>IFERROR(INDEX(PP_Grid[#Data],$DE498,17),0)</f>
        <v/>
      </c>
      <c r="U498">
        <f>IFERROR(INDEX(PP_Grid[#Data],$DE498,18),0)</f>
        <v/>
      </c>
      <c r="V498">
        <f>IFERROR(INDEX(PP_Grid[#Data],$DE498,19),0)</f>
        <v/>
      </c>
      <c r="W498">
        <f>IFERROR(INDEX(PP_Grid[#Data],$DE498,20),0)</f>
        <v/>
      </c>
      <c r="X498">
        <f>IFERROR(INDEX(PP_Grid[#Data],$DE498,21),0)</f>
        <v/>
      </c>
      <c r="Y498">
        <f>IFERROR(INDEX(PP_Grid[#Data],$DE498,22),0)</f>
        <v/>
      </c>
      <c r="Z498">
        <f>IFERROR(INDEX(PP_Grid[#Data],$DE498,23),0)</f>
        <v/>
      </c>
      <c r="AA498">
        <f>IFERROR(INDEX(PP_Grid[#Data],$DE498,24),0)</f>
        <v/>
      </c>
      <c r="AB498">
        <f>IFERROR(INDEX(PP_Grid[#Data],$DE498,25),0)</f>
        <v/>
      </c>
      <c r="AC498">
        <f>IFERROR(INDEX(PP_Grid[#Data],$DE498,26),0)</f>
        <v/>
      </c>
      <c r="AD498">
        <f>IFERROR(INDEX(PP_Grid[#Data],$DE498,27),0)</f>
        <v/>
      </c>
      <c r="AE498">
        <f>IFERROR(INDEX(PP_Grid[#Data],$DE498,28),0)</f>
        <v/>
      </c>
      <c r="AF498">
        <f>IFERROR(INDEX(PP_Grid[#Data],$DE498,29),0)</f>
        <v/>
      </c>
      <c r="AG498">
        <f>IFERROR(INDEX(PP_Grid[#Data],$DE498,30),0)</f>
        <v/>
      </c>
      <c r="AH498">
        <f>IFERROR(INDEX(PP_Grid[#Data],$DE498,31),0)</f>
        <v/>
      </c>
      <c r="AI498">
        <f>IFERROR(INDEX(PP_Grid[#Data],$DE498,32),0)</f>
        <v/>
      </c>
      <c r="AJ498">
        <f>IFERROR(INDEX(PP_Grid[#Data],$DE498,33),0)</f>
        <v/>
      </c>
      <c r="AK498">
        <f>IFERROR(INDEX(PP_Grid[#Data],$DE498,34),0)</f>
        <v/>
      </c>
      <c r="AL498">
        <f>IFERROR(INDEX(PP_Grid[#Data],$DE498,35),0)</f>
        <v/>
      </c>
      <c r="AM498">
        <f>IFERROR(INDEX(PP_Grid[#Data],$DE498,36),0)</f>
        <v/>
      </c>
      <c r="AN498">
        <f>IFERROR(INDEX(PP_Grid[#Data],$DE498,37),0)</f>
        <v/>
      </c>
      <c r="AO498">
        <f>IFERROR(INDEX(PP_Grid[#Data],$DE498,38),0)</f>
        <v/>
      </c>
      <c r="AP498">
        <f>IFERROR(INDEX(PP_Grid[#Data],$DE498,39),0)</f>
        <v/>
      </c>
      <c r="AQ498">
        <f>IFERROR(INDEX(PP_Grid[#Data],$DE498,40),0)</f>
        <v/>
      </c>
      <c r="AR498">
        <f>IFERROR(INDEX(PP_Grid[#Data],$DE498,41),0)</f>
        <v/>
      </c>
      <c r="AS498">
        <f>IFERROR(INDEX(PP_Grid[#Data],$DE498,42),0)</f>
        <v/>
      </c>
      <c r="AT498">
        <f>IFERROR(INDEX(PP_Grid[#Data],$DE498,43),0)</f>
        <v/>
      </c>
      <c r="AU498">
        <f>IFERROR(INDEX(PP_Grid[#Data],$DE498,44),0)</f>
        <v/>
      </c>
      <c r="AV498">
        <f>IFERROR(INDEX(PP_Grid[#Data],$DE498,45),0)</f>
        <v/>
      </c>
      <c r="AW498">
        <f>IFERROR(INDEX(PP_Grid[#Data],$DE498,46),0)</f>
        <v/>
      </c>
      <c r="AX498">
        <f>IFERROR(INDEX(PP_Grid[#Data],$DE498,47),0)</f>
        <v/>
      </c>
      <c r="AY498">
        <f>IFERROR(INDEX(PP_Grid[#Data],$DE498,48),0)</f>
        <v/>
      </c>
      <c r="AZ498">
        <f>IFERROR(INDEX(PP_Grid[#Data],$DE498,49),0)</f>
        <v/>
      </c>
      <c r="BA498">
        <f>IFERROR(INDEX(PP_Grid[#Data],$DE498,50),0)</f>
        <v/>
      </c>
      <c r="BB498">
        <f>IFERROR(INDEX(PP_Grid[#Data],$DE498,51),0)</f>
        <v/>
      </c>
      <c r="BC498">
        <f>IFERROR(INDEX(PP_Grid[#Data],$DE498,52),0)</f>
        <v/>
      </c>
      <c r="BD498">
        <f>IFERROR(INDEX(PP_Grid[#Data],$DE498,53),0)</f>
        <v/>
      </c>
      <c r="BE498">
        <f>IFERROR(INDEX(PP_Grid[#Data],$DE498,54),0)</f>
        <v/>
      </c>
      <c r="BF498">
        <f>IFERROR(INDEX(PP_Grid[#Data],$DE498,55),0)</f>
        <v/>
      </c>
      <c r="BG498">
        <f>IFERROR(INDEX(PP_Grid[#Data],$DE498,56),0)</f>
        <v/>
      </c>
      <c r="BH498">
        <f>IFERROR(INDEX(PP_Grid[#Data],$DE498,57),0)</f>
        <v/>
      </c>
      <c r="BI498">
        <f>IFERROR(INDEX(PP_Grid[#Data],$DE498,58),0)</f>
        <v/>
      </c>
      <c r="BJ498">
        <f>IFERROR(INDEX(PP_Grid[#Data],$DE498,59),0)</f>
        <v/>
      </c>
      <c r="BK498">
        <f>IFERROR(INDEX(PP_Grid[#Data],$DE498,60),0)</f>
        <v/>
      </c>
      <c r="BL498">
        <f>IFERROR(INDEX(PP_Grid[#Data],$DE498,61),0)</f>
        <v/>
      </c>
      <c r="BM498">
        <f>IFERROR(INDEX(PP_Grid[#Data],$DE498,62),0)</f>
        <v/>
      </c>
      <c r="BN498">
        <f>IFERROR(INDEX(PP_Grid[#Data],$DE498,63),0)</f>
        <v/>
      </c>
      <c r="BO498">
        <f>IFERROR(INDEX(PP_Grid[#Data],$DE498,64),0)</f>
        <v/>
      </c>
      <c r="BP498">
        <f>IFERROR(INDEX(PP_Grid[#Data],$DE498,65),0)</f>
        <v/>
      </c>
      <c r="BQ498">
        <f>IFERROR(INDEX(PP_Grid[#Data],$DE498,66),0)</f>
        <v/>
      </c>
      <c r="BR498">
        <f>IFERROR(INDEX(PP_Grid[#Data],$DE498,67),0)</f>
        <v/>
      </c>
      <c r="BS498">
        <f>IFERROR(INDEX(PP_Grid[#Data],$DE498,68),0)</f>
        <v/>
      </c>
      <c r="BT498">
        <f>IFERROR(INDEX(PP_Grid[#Data],$DE498,69),0)</f>
        <v/>
      </c>
      <c r="BU498">
        <f>IFERROR(INDEX(PP_Grid[#Data],$DE498,70),0)</f>
        <v/>
      </c>
      <c r="BV498">
        <f>IFERROR(INDEX(PP_Grid[#Data],$DE498,71),0)</f>
        <v/>
      </c>
      <c r="BW498">
        <f>IFERROR(INDEX(PP_Grid[#Data],$DE498,72),0)</f>
        <v/>
      </c>
      <c r="BX498">
        <f>IFERROR(INDEX(PP_Grid[#Data],$DE498,73),0)</f>
        <v/>
      </c>
      <c r="BY498">
        <f>IFERROR(INDEX(PP_Grid[#Data],$DE498,74),0)</f>
        <v/>
      </c>
      <c r="BZ498">
        <f>IFERROR(INDEX(PP_Grid[#Data],$DE498,75),0)</f>
        <v/>
      </c>
      <c r="CA498">
        <f>IFERROR(INDEX(PP_Grid[#Data],$DE498,76),0)</f>
        <v/>
      </c>
      <c r="CB498">
        <f>IFERROR(INDEX(PP_Grid[#Data],$DE498,77),0)</f>
        <v/>
      </c>
      <c r="CC498">
        <f>IFERROR(INDEX(PP_Grid[#Data],$DE498,78),0)</f>
        <v/>
      </c>
      <c r="CD498">
        <f>IFERROR(INDEX(PP_Grid[#Data],$DE498,79),0)</f>
        <v/>
      </c>
      <c r="CE498">
        <f>IFERROR(INDEX(PP_Grid[#Data],$DE498,80),0)</f>
        <v/>
      </c>
      <c r="CF498">
        <f>IFERROR(INDEX(PP_Grid[#Data],$DE498,81),0)</f>
        <v/>
      </c>
      <c r="CG498">
        <f>IFERROR(INDEX(PP_Grid[#Data],$DE498,82),0)</f>
        <v/>
      </c>
      <c r="CH498">
        <f>IFERROR(INDEX(PP_Grid[#Data],$DE498,83),0)</f>
        <v/>
      </c>
      <c r="CI498">
        <f>IFERROR(INDEX(PP_Grid[#Data],$DE498,84),0)</f>
        <v/>
      </c>
      <c r="CJ498">
        <f>IFERROR(INDEX(PP_Grid[#Data],$DE498,85),0)</f>
        <v/>
      </c>
      <c r="CK498">
        <f>IFERROR(INDEX(PP_Grid[#Data],$DE498,86),0)</f>
        <v/>
      </c>
      <c r="CL498">
        <f>IFERROR(INDEX(PP_Grid[#Data],$DE498,87),0)</f>
        <v/>
      </c>
      <c r="CM498">
        <f>IFERROR(INDEX(PP_Grid[#Data],$DE498,88),0)</f>
        <v/>
      </c>
      <c r="CN498">
        <f>IFERROR(INDEX(PP_Grid[#Data],$DE498,89),0)</f>
        <v/>
      </c>
      <c r="CO498">
        <f>IFERROR(INDEX(PP_Grid[#Data],$DE498,90),0)</f>
        <v/>
      </c>
      <c r="CP498">
        <f>IFERROR(INDEX(PP_Grid[#Data],$DE498,91),0)</f>
        <v/>
      </c>
      <c r="CQ498">
        <f>IFERROR(INDEX(PP_Grid[#Data],$DE498,92),0)</f>
        <v/>
      </c>
      <c r="CR498">
        <f>IFERROR(INDEX(PP_Grid[#Data],$DE498,93),0)</f>
        <v/>
      </c>
      <c r="CS498">
        <f>IFERROR(INDEX(PP_Grid[#Data],$DE498,94),0)</f>
        <v/>
      </c>
      <c r="CT498">
        <f>IFERROR(INDEX(PP_Grid[#Data],$DE498,95),0)</f>
        <v/>
      </c>
      <c r="CU498">
        <f>IFERROR(INDEX(PP_Grid[#Data],$DE498,96),0)</f>
        <v/>
      </c>
      <c r="CV498">
        <f>IFERROR(INDEX(PP_Grid[#Data],$DE498,97),0)</f>
        <v/>
      </c>
      <c r="CW498">
        <f>IFERROR(INDEX(PP_Grid[#Data],$DE498,98),0)</f>
        <v/>
      </c>
      <c r="CX498">
        <f>IFERROR(INDEX(PP_Grid[#Data],$DE498,99),0)</f>
        <v/>
      </c>
      <c r="CY498">
        <f>IFERROR(INDEX(PP_Grid[#Data],$DE498,100),0)</f>
        <v/>
      </c>
      <c r="CZ498">
        <f>IFERROR(INDEX(PP_Grid[#Data],$DE498,101),0)</f>
        <v/>
      </c>
      <c r="DA498">
        <f>IFERROR(INDEX(PP_Grid[#Data],$DE498,102),0)</f>
        <v/>
      </c>
      <c r="DB498">
        <f>IFERROR(INDEX(PP_Grid[#Data],$DE498,103),0)</f>
        <v/>
      </c>
      <c r="DC498">
        <f>IFERROR(INDEX(PP_Grid[#Data],$DE498,104),0)</f>
        <v/>
      </c>
      <c r="DD498">
        <f>IFERROR(INDEX(PP_Grid[#Data],$DE498,105),0)</f>
        <v/>
      </c>
      <c r="DE498" s="7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SUMIFS(M_BOM[RM_Qty_Per_Batch],M_BOM[Intermediate],$B498,M_BOM[RM_Code],$A497)</f>
        <v/>
      </c>
      <c r="D499">
        <f>IFERROR(INDEX(E499:DD499,$F$1),"")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  <c r="DD499">
        <f>$C499*DD498</f>
        <v/>
      </c>
    </row>
    <row r="500">
      <c r="B500" t="inlineStr">
        <is>
          <t>TSP-067</t>
        </is>
      </c>
      <c r="C500" t="inlineStr">
        <is>
          <t>No. of batches</t>
        </is>
      </c>
      <c r="D500">
        <f>IFERROR(INDEX(E500:DD500,$F$1),"")</f>
        <v/>
      </c>
      <c r="E500">
        <f>IFERROR(INDEX(PP_Grid[#Data],$DE500,2),0)</f>
        <v/>
      </c>
      <c r="F500">
        <f>IFERROR(INDEX(PP_Grid[#Data],$DE500,3),0)</f>
        <v/>
      </c>
      <c r="G500">
        <f>IFERROR(INDEX(PP_Grid[#Data],$DE500,4),0)</f>
        <v/>
      </c>
      <c r="H500">
        <f>IFERROR(INDEX(PP_Grid[#Data],$DE500,5),0)</f>
        <v/>
      </c>
      <c r="I500">
        <f>IFERROR(INDEX(PP_Grid[#Data],$DE500,6),0)</f>
        <v/>
      </c>
      <c r="J500">
        <f>IFERROR(INDEX(PP_Grid[#Data],$DE500,7),0)</f>
        <v/>
      </c>
      <c r="K500">
        <f>IFERROR(INDEX(PP_Grid[#Data],$DE500,8),0)</f>
        <v/>
      </c>
      <c r="L500">
        <f>IFERROR(INDEX(PP_Grid[#Data],$DE500,9),0)</f>
        <v/>
      </c>
      <c r="M500">
        <f>IFERROR(INDEX(PP_Grid[#Data],$DE500,10),0)</f>
        <v/>
      </c>
      <c r="N500">
        <f>IFERROR(INDEX(PP_Grid[#Data],$DE500,11),0)</f>
        <v/>
      </c>
      <c r="O500">
        <f>IFERROR(INDEX(PP_Grid[#Data],$DE500,12),0)</f>
        <v/>
      </c>
      <c r="P500">
        <f>IFERROR(INDEX(PP_Grid[#Data],$DE500,13),0)</f>
        <v/>
      </c>
      <c r="Q500">
        <f>IFERROR(INDEX(PP_Grid[#Data],$DE500,14),0)</f>
        <v/>
      </c>
      <c r="R500">
        <f>IFERROR(INDEX(PP_Grid[#Data],$DE500,15),0)</f>
        <v/>
      </c>
      <c r="S500">
        <f>IFERROR(INDEX(PP_Grid[#Data],$DE500,16),0)</f>
        <v/>
      </c>
      <c r="T500">
        <f>IFERROR(INDEX(PP_Grid[#Data],$DE500,17),0)</f>
        <v/>
      </c>
      <c r="U500">
        <f>IFERROR(INDEX(PP_Grid[#Data],$DE500,18),0)</f>
        <v/>
      </c>
      <c r="V500">
        <f>IFERROR(INDEX(PP_Grid[#Data],$DE500,19),0)</f>
        <v/>
      </c>
      <c r="W500">
        <f>IFERROR(INDEX(PP_Grid[#Data],$DE500,20),0)</f>
        <v/>
      </c>
      <c r="X500">
        <f>IFERROR(INDEX(PP_Grid[#Data],$DE500,21),0)</f>
        <v/>
      </c>
      <c r="Y500">
        <f>IFERROR(INDEX(PP_Grid[#Data],$DE500,22),0)</f>
        <v/>
      </c>
      <c r="Z500">
        <f>IFERROR(INDEX(PP_Grid[#Data],$DE500,23),0)</f>
        <v/>
      </c>
      <c r="AA500">
        <f>IFERROR(INDEX(PP_Grid[#Data],$DE500,24),0)</f>
        <v/>
      </c>
      <c r="AB500">
        <f>IFERROR(INDEX(PP_Grid[#Data],$DE500,25),0)</f>
        <v/>
      </c>
      <c r="AC500">
        <f>IFERROR(INDEX(PP_Grid[#Data],$DE500,26),0)</f>
        <v/>
      </c>
      <c r="AD500">
        <f>IFERROR(INDEX(PP_Grid[#Data],$DE500,27),0)</f>
        <v/>
      </c>
      <c r="AE500">
        <f>IFERROR(INDEX(PP_Grid[#Data],$DE500,28),0)</f>
        <v/>
      </c>
      <c r="AF500">
        <f>IFERROR(INDEX(PP_Grid[#Data],$DE500,29),0)</f>
        <v/>
      </c>
      <c r="AG500">
        <f>IFERROR(INDEX(PP_Grid[#Data],$DE500,30),0)</f>
        <v/>
      </c>
      <c r="AH500">
        <f>IFERROR(INDEX(PP_Grid[#Data],$DE500,31),0)</f>
        <v/>
      </c>
      <c r="AI500">
        <f>IFERROR(INDEX(PP_Grid[#Data],$DE500,32),0)</f>
        <v/>
      </c>
      <c r="AJ500">
        <f>IFERROR(INDEX(PP_Grid[#Data],$DE500,33),0)</f>
        <v/>
      </c>
      <c r="AK500">
        <f>IFERROR(INDEX(PP_Grid[#Data],$DE500,34),0)</f>
        <v/>
      </c>
      <c r="AL500">
        <f>IFERROR(INDEX(PP_Grid[#Data],$DE500,35),0)</f>
        <v/>
      </c>
      <c r="AM500">
        <f>IFERROR(INDEX(PP_Grid[#Data],$DE500,36),0)</f>
        <v/>
      </c>
      <c r="AN500">
        <f>IFERROR(INDEX(PP_Grid[#Data],$DE500,37),0)</f>
        <v/>
      </c>
      <c r="AO500">
        <f>IFERROR(INDEX(PP_Grid[#Data],$DE500,38),0)</f>
        <v/>
      </c>
      <c r="AP500">
        <f>IFERROR(INDEX(PP_Grid[#Data],$DE500,39),0)</f>
        <v/>
      </c>
      <c r="AQ500">
        <f>IFERROR(INDEX(PP_Grid[#Data],$DE500,40),0)</f>
        <v/>
      </c>
      <c r="AR500">
        <f>IFERROR(INDEX(PP_Grid[#Data],$DE500,41),0)</f>
        <v/>
      </c>
      <c r="AS500">
        <f>IFERROR(INDEX(PP_Grid[#Data],$DE500,42),0)</f>
        <v/>
      </c>
      <c r="AT500">
        <f>IFERROR(INDEX(PP_Grid[#Data],$DE500,43),0)</f>
        <v/>
      </c>
      <c r="AU500">
        <f>IFERROR(INDEX(PP_Grid[#Data],$DE500,44),0)</f>
        <v/>
      </c>
      <c r="AV500">
        <f>IFERROR(INDEX(PP_Grid[#Data],$DE500,45),0)</f>
        <v/>
      </c>
      <c r="AW500">
        <f>IFERROR(INDEX(PP_Grid[#Data],$DE500,46),0)</f>
        <v/>
      </c>
      <c r="AX500">
        <f>IFERROR(INDEX(PP_Grid[#Data],$DE500,47),0)</f>
        <v/>
      </c>
      <c r="AY500">
        <f>IFERROR(INDEX(PP_Grid[#Data],$DE500,48),0)</f>
        <v/>
      </c>
      <c r="AZ500">
        <f>IFERROR(INDEX(PP_Grid[#Data],$DE500,49),0)</f>
        <v/>
      </c>
      <c r="BA500">
        <f>IFERROR(INDEX(PP_Grid[#Data],$DE500,50),0)</f>
        <v/>
      </c>
      <c r="BB500">
        <f>IFERROR(INDEX(PP_Grid[#Data],$DE500,51),0)</f>
        <v/>
      </c>
      <c r="BC500">
        <f>IFERROR(INDEX(PP_Grid[#Data],$DE500,52),0)</f>
        <v/>
      </c>
      <c r="BD500">
        <f>IFERROR(INDEX(PP_Grid[#Data],$DE500,53),0)</f>
        <v/>
      </c>
      <c r="BE500">
        <f>IFERROR(INDEX(PP_Grid[#Data],$DE500,54),0)</f>
        <v/>
      </c>
      <c r="BF500">
        <f>IFERROR(INDEX(PP_Grid[#Data],$DE500,55),0)</f>
        <v/>
      </c>
      <c r="BG500">
        <f>IFERROR(INDEX(PP_Grid[#Data],$DE500,56),0)</f>
        <v/>
      </c>
      <c r="BH500">
        <f>IFERROR(INDEX(PP_Grid[#Data],$DE500,57),0)</f>
        <v/>
      </c>
      <c r="BI500">
        <f>IFERROR(INDEX(PP_Grid[#Data],$DE500,58),0)</f>
        <v/>
      </c>
      <c r="BJ500">
        <f>IFERROR(INDEX(PP_Grid[#Data],$DE500,59),0)</f>
        <v/>
      </c>
      <c r="BK500">
        <f>IFERROR(INDEX(PP_Grid[#Data],$DE500,60),0)</f>
        <v/>
      </c>
      <c r="BL500">
        <f>IFERROR(INDEX(PP_Grid[#Data],$DE500,61),0)</f>
        <v/>
      </c>
      <c r="BM500">
        <f>IFERROR(INDEX(PP_Grid[#Data],$DE500,62),0)</f>
        <v/>
      </c>
      <c r="BN500">
        <f>IFERROR(INDEX(PP_Grid[#Data],$DE500,63),0)</f>
        <v/>
      </c>
      <c r="BO500">
        <f>IFERROR(INDEX(PP_Grid[#Data],$DE500,64),0)</f>
        <v/>
      </c>
      <c r="BP500">
        <f>IFERROR(INDEX(PP_Grid[#Data],$DE500,65),0)</f>
        <v/>
      </c>
      <c r="BQ500">
        <f>IFERROR(INDEX(PP_Grid[#Data],$DE500,66),0)</f>
        <v/>
      </c>
      <c r="BR500">
        <f>IFERROR(INDEX(PP_Grid[#Data],$DE500,67),0)</f>
        <v/>
      </c>
      <c r="BS500">
        <f>IFERROR(INDEX(PP_Grid[#Data],$DE500,68),0)</f>
        <v/>
      </c>
      <c r="BT500">
        <f>IFERROR(INDEX(PP_Grid[#Data],$DE500,69),0)</f>
        <v/>
      </c>
      <c r="BU500">
        <f>IFERROR(INDEX(PP_Grid[#Data],$DE500,70),0)</f>
        <v/>
      </c>
      <c r="BV500">
        <f>IFERROR(INDEX(PP_Grid[#Data],$DE500,71),0)</f>
        <v/>
      </c>
      <c r="BW500">
        <f>IFERROR(INDEX(PP_Grid[#Data],$DE500,72),0)</f>
        <v/>
      </c>
      <c r="BX500">
        <f>IFERROR(INDEX(PP_Grid[#Data],$DE500,73),0)</f>
        <v/>
      </c>
      <c r="BY500">
        <f>IFERROR(INDEX(PP_Grid[#Data],$DE500,74),0)</f>
        <v/>
      </c>
      <c r="BZ500">
        <f>IFERROR(INDEX(PP_Grid[#Data],$DE500,75),0)</f>
        <v/>
      </c>
      <c r="CA500">
        <f>IFERROR(INDEX(PP_Grid[#Data],$DE500,76),0)</f>
        <v/>
      </c>
      <c r="CB500">
        <f>IFERROR(INDEX(PP_Grid[#Data],$DE500,77),0)</f>
        <v/>
      </c>
      <c r="CC500">
        <f>IFERROR(INDEX(PP_Grid[#Data],$DE500,78),0)</f>
        <v/>
      </c>
      <c r="CD500">
        <f>IFERROR(INDEX(PP_Grid[#Data],$DE500,79),0)</f>
        <v/>
      </c>
      <c r="CE500">
        <f>IFERROR(INDEX(PP_Grid[#Data],$DE500,80),0)</f>
        <v/>
      </c>
      <c r="CF500">
        <f>IFERROR(INDEX(PP_Grid[#Data],$DE500,81),0)</f>
        <v/>
      </c>
      <c r="CG500">
        <f>IFERROR(INDEX(PP_Grid[#Data],$DE500,82),0)</f>
        <v/>
      </c>
      <c r="CH500">
        <f>IFERROR(INDEX(PP_Grid[#Data],$DE500,83),0)</f>
        <v/>
      </c>
      <c r="CI500">
        <f>IFERROR(INDEX(PP_Grid[#Data],$DE500,84),0)</f>
        <v/>
      </c>
      <c r="CJ500">
        <f>IFERROR(INDEX(PP_Grid[#Data],$DE500,85),0)</f>
        <v/>
      </c>
      <c r="CK500">
        <f>IFERROR(INDEX(PP_Grid[#Data],$DE500,86),0)</f>
        <v/>
      </c>
      <c r="CL500">
        <f>IFERROR(INDEX(PP_Grid[#Data],$DE500,87),0)</f>
        <v/>
      </c>
      <c r="CM500">
        <f>IFERROR(INDEX(PP_Grid[#Data],$DE500,88),0)</f>
        <v/>
      </c>
      <c r="CN500">
        <f>IFERROR(INDEX(PP_Grid[#Data],$DE500,89),0)</f>
        <v/>
      </c>
      <c r="CO500">
        <f>IFERROR(INDEX(PP_Grid[#Data],$DE500,90),0)</f>
        <v/>
      </c>
      <c r="CP500">
        <f>IFERROR(INDEX(PP_Grid[#Data],$DE500,91),0)</f>
        <v/>
      </c>
      <c r="CQ500">
        <f>IFERROR(INDEX(PP_Grid[#Data],$DE500,92),0)</f>
        <v/>
      </c>
      <c r="CR500">
        <f>IFERROR(INDEX(PP_Grid[#Data],$DE500,93),0)</f>
        <v/>
      </c>
      <c r="CS500">
        <f>IFERROR(INDEX(PP_Grid[#Data],$DE500,94),0)</f>
        <v/>
      </c>
      <c r="CT500">
        <f>IFERROR(INDEX(PP_Grid[#Data],$DE500,95),0)</f>
        <v/>
      </c>
      <c r="CU500">
        <f>IFERROR(INDEX(PP_Grid[#Data],$DE500,96),0)</f>
        <v/>
      </c>
      <c r="CV500">
        <f>IFERROR(INDEX(PP_Grid[#Data],$DE500,97),0)</f>
        <v/>
      </c>
      <c r="CW500">
        <f>IFERROR(INDEX(PP_Grid[#Data],$DE500,98),0)</f>
        <v/>
      </c>
      <c r="CX500">
        <f>IFERROR(INDEX(PP_Grid[#Data],$DE500,99),0)</f>
        <v/>
      </c>
      <c r="CY500">
        <f>IFERROR(INDEX(PP_Grid[#Data],$DE500,100),0)</f>
        <v/>
      </c>
      <c r="CZ500">
        <f>IFERROR(INDEX(PP_Grid[#Data],$DE500,101),0)</f>
        <v/>
      </c>
      <c r="DA500">
        <f>IFERROR(INDEX(PP_Grid[#Data],$DE500,102),0)</f>
        <v/>
      </c>
      <c r="DB500">
        <f>IFERROR(INDEX(PP_Grid[#Data],$DE500,103),0)</f>
        <v/>
      </c>
      <c r="DC500">
        <f>IFERROR(INDEX(PP_Grid[#Data],$DE500,104),0)</f>
        <v/>
      </c>
      <c r="DD500">
        <f>IFERROR(INDEX(PP_Grid[#Data],$DE500,105),0)</f>
        <v/>
      </c>
      <c r="DE500" s="7">
        <f>IFERROR(MATCH($B500,PP_Grid[Intermediate],0),99999)</f>
        <v/>
      </c>
    </row>
    <row r="501">
      <c r="B501" t="inlineStr">
        <is>
          <t>使用量(kg)</t>
        </is>
      </c>
      <c r="C501">
        <f>SUMIFS(M_BOM[RM_Qty_Per_Batch],M_BOM[Intermediate],$B500,M_BOM[RM_Code],$A497)</f>
        <v/>
      </c>
      <c r="D501">
        <f>IFERROR(INDEX(E501:DD501,$F$1),"")</f>
        <v/>
      </c>
      <c r="E501">
        <f>$C501*E500</f>
        <v/>
      </c>
      <c r="F501">
        <f>$C501*F500</f>
        <v/>
      </c>
      <c r="G501">
        <f>$C501*G500</f>
        <v/>
      </c>
      <c r="H501">
        <f>$C501*H500</f>
        <v/>
      </c>
      <c r="I501">
        <f>$C501*I500</f>
        <v/>
      </c>
      <c r="J501">
        <f>$C501*J500</f>
        <v/>
      </c>
      <c r="K501">
        <f>$C501*K500</f>
        <v/>
      </c>
      <c r="L501">
        <f>$C501*L500</f>
        <v/>
      </c>
      <c r="M501">
        <f>$C501*M500</f>
        <v/>
      </c>
      <c r="N501">
        <f>$C501*N500</f>
        <v/>
      </c>
      <c r="O501">
        <f>$C501*O500</f>
        <v/>
      </c>
      <c r="P501">
        <f>$C501*P500</f>
        <v/>
      </c>
      <c r="Q501">
        <f>$C501*Q500</f>
        <v/>
      </c>
      <c r="R501">
        <f>$C501*R500</f>
        <v/>
      </c>
      <c r="S501">
        <f>$C501*S500</f>
        <v/>
      </c>
      <c r="T501">
        <f>$C501*T500</f>
        <v/>
      </c>
      <c r="U501">
        <f>$C501*U500</f>
        <v/>
      </c>
      <c r="V501">
        <f>$C501*V500</f>
        <v/>
      </c>
      <c r="W501">
        <f>$C501*W500</f>
        <v/>
      </c>
      <c r="X501">
        <f>$C501*X500</f>
        <v/>
      </c>
      <c r="Y501">
        <f>$C501*Y500</f>
        <v/>
      </c>
      <c r="Z501">
        <f>$C501*Z500</f>
        <v/>
      </c>
      <c r="AA501">
        <f>$C501*AA500</f>
        <v/>
      </c>
      <c r="AB501">
        <f>$C501*AB500</f>
        <v/>
      </c>
      <c r="AC501">
        <f>$C501*AC500</f>
        <v/>
      </c>
      <c r="AD501">
        <f>$C501*AD500</f>
        <v/>
      </c>
      <c r="AE501">
        <f>$C501*AE500</f>
        <v/>
      </c>
      <c r="AF501">
        <f>$C501*AF500</f>
        <v/>
      </c>
      <c r="AG501">
        <f>$C501*AG500</f>
        <v/>
      </c>
      <c r="AH501">
        <f>$C501*AH500</f>
        <v/>
      </c>
      <c r="AI501">
        <f>$C501*AI500</f>
        <v/>
      </c>
      <c r="AJ501">
        <f>$C501*AJ500</f>
        <v/>
      </c>
      <c r="AK501">
        <f>$C501*AK500</f>
        <v/>
      </c>
      <c r="AL501">
        <f>$C501*AL500</f>
        <v/>
      </c>
      <c r="AM501">
        <f>$C501*AM500</f>
        <v/>
      </c>
      <c r="AN501">
        <f>$C501*AN500</f>
        <v/>
      </c>
      <c r="AO501">
        <f>$C501*AO500</f>
        <v/>
      </c>
      <c r="AP501">
        <f>$C501*AP500</f>
        <v/>
      </c>
      <c r="AQ501">
        <f>$C501*AQ500</f>
        <v/>
      </c>
      <c r="AR501">
        <f>$C501*AR500</f>
        <v/>
      </c>
      <c r="AS501">
        <f>$C501*AS500</f>
        <v/>
      </c>
      <c r="AT501">
        <f>$C501*AT500</f>
        <v/>
      </c>
      <c r="AU501">
        <f>$C501*AU500</f>
        <v/>
      </c>
      <c r="AV501">
        <f>$C501*AV500</f>
        <v/>
      </c>
      <c r="AW501">
        <f>$C501*AW500</f>
        <v/>
      </c>
      <c r="AX501">
        <f>$C501*AX500</f>
        <v/>
      </c>
      <c r="AY501">
        <f>$C501*AY500</f>
        <v/>
      </c>
      <c r="AZ501">
        <f>$C501*AZ500</f>
        <v/>
      </c>
      <c r="BA501">
        <f>$C501*BA500</f>
        <v/>
      </c>
      <c r="BB501">
        <f>$C501*BB500</f>
        <v/>
      </c>
      <c r="BC501">
        <f>$C501*BC500</f>
        <v/>
      </c>
      <c r="BD501">
        <f>$C501*BD500</f>
        <v/>
      </c>
      <c r="BE501">
        <f>$C501*BE500</f>
        <v/>
      </c>
      <c r="BF501">
        <f>$C501*BF500</f>
        <v/>
      </c>
      <c r="BG501">
        <f>$C501*BG500</f>
        <v/>
      </c>
      <c r="BH501">
        <f>$C501*BH500</f>
        <v/>
      </c>
      <c r="BI501">
        <f>$C501*BI500</f>
        <v/>
      </c>
      <c r="BJ501">
        <f>$C501*BJ500</f>
        <v/>
      </c>
      <c r="BK501">
        <f>$C501*BK500</f>
        <v/>
      </c>
      <c r="BL501">
        <f>$C501*BL500</f>
        <v/>
      </c>
      <c r="BM501">
        <f>$C501*BM500</f>
        <v/>
      </c>
      <c r="BN501">
        <f>$C501*BN500</f>
        <v/>
      </c>
      <c r="BO501">
        <f>$C501*BO500</f>
        <v/>
      </c>
      <c r="BP501">
        <f>$C501*BP500</f>
        <v/>
      </c>
      <c r="BQ501">
        <f>$C501*BQ500</f>
        <v/>
      </c>
      <c r="BR501">
        <f>$C501*BR500</f>
        <v/>
      </c>
      <c r="BS501">
        <f>$C501*BS500</f>
        <v/>
      </c>
      <c r="BT501">
        <f>$C501*BT500</f>
        <v/>
      </c>
      <c r="BU501">
        <f>$C501*BU500</f>
        <v/>
      </c>
      <c r="BV501">
        <f>$C501*BV500</f>
        <v/>
      </c>
      <c r="BW501">
        <f>$C501*BW500</f>
        <v/>
      </c>
      <c r="BX501">
        <f>$C501*BX500</f>
        <v/>
      </c>
      <c r="BY501">
        <f>$C501*BY500</f>
        <v/>
      </c>
      <c r="BZ501">
        <f>$C501*BZ500</f>
        <v/>
      </c>
      <c r="CA501">
        <f>$C501*CA500</f>
        <v/>
      </c>
      <c r="CB501">
        <f>$C501*CB500</f>
        <v/>
      </c>
      <c r="CC501">
        <f>$C501*CC500</f>
        <v/>
      </c>
      <c r="CD501">
        <f>$C501*CD500</f>
        <v/>
      </c>
      <c r="CE501">
        <f>$C501*CE500</f>
        <v/>
      </c>
      <c r="CF501">
        <f>$C501*CF500</f>
        <v/>
      </c>
      <c r="CG501">
        <f>$C501*CG500</f>
        <v/>
      </c>
      <c r="CH501">
        <f>$C501*CH500</f>
        <v/>
      </c>
      <c r="CI501">
        <f>$C501*CI500</f>
        <v/>
      </c>
      <c r="CJ501">
        <f>$C501*CJ500</f>
        <v/>
      </c>
      <c r="CK501">
        <f>$C501*CK500</f>
        <v/>
      </c>
      <c r="CL501">
        <f>$C501*CL500</f>
        <v/>
      </c>
      <c r="CM501">
        <f>$C501*CM500</f>
        <v/>
      </c>
      <c r="CN501">
        <f>$C501*CN500</f>
        <v/>
      </c>
      <c r="CO501">
        <f>$C501*CO500</f>
        <v/>
      </c>
      <c r="CP501">
        <f>$C501*CP500</f>
        <v/>
      </c>
      <c r="CQ501">
        <f>$C501*CQ500</f>
        <v/>
      </c>
      <c r="CR501">
        <f>$C501*CR500</f>
        <v/>
      </c>
      <c r="CS501">
        <f>$C501*CS500</f>
        <v/>
      </c>
      <c r="CT501">
        <f>$C501*CT500</f>
        <v/>
      </c>
      <c r="CU501">
        <f>$C501*CU500</f>
        <v/>
      </c>
      <c r="CV501">
        <f>$C501*CV500</f>
        <v/>
      </c>
      <c r="CW501">
        <f>$C501*CW500</f>
        <v/>
      </c>
      <c r="CX501">
        <f>$C501*CX500</f>
        <v/>
      </c>
      <c r="CY501">
        <f>$C501*CY500</f>
        <v/>
      </c>
      <c r="CZ501">
        <f>$C501*CZ500</f>
        <v/>
      </c>
      <c r="DA501">
        <f>$C501*DA500</f>
        <v/>
      </c>
      <c r="DB501">
        <f>$C501*DB500</f>
        <v/>
      </c>
      <c r="DC501">
        <f>$C501*DC500</f>
        <v/>
      </c>
      <c r="DD501">
        <f>$C501*DD500</f>
        <v/>
      </c>
    </row>
    <row r="502">
      <c r="B502" t="inlineStr">
        <is>
          <t>TSP-069</t>
        </is>
      </c>
      <c r="C502" t="inlineStr">
        <is>
          <t>No. of batches</t>
        </is>
      </c>
      <c r="D502">
        <f>IFERROR(INDEX(E502:DD502,$F$1),"")</f>
        <v/>
      </c>
      <c r="E502">
        <f>IFERROR(INDEX(PP_Grid[#Data],$DE502,2),0)</f>
        <v/>
      </c>
      <c r="F502">
        <f>IFERROR(INDEX(PP_Grid[#Data],$DE502,3),0)</f>
        <v/>
      </c>
      <c r="G502">
        <f>IFERROR(INDEX(PP_Grid[#Data],$DE502,4),0)</f>
        <v/>
      </c>
      <c r="H502">
        <f>IFERROR(INDEX(PP_Grid[#Data],$DE502,5),0)</f>
        <v/>
      </c>
      <c r="I502">
        <f>IFERROR(INDEX(PP_Grid[#Data],$DE502,6),0)</f>
        <v/>
      </c>
      <c r="J502">
        <f>IFERROR(INDEX(PP_Grid[#Data],$DE502,7),0)</f>
        <v/>
      </c>
      <c r="K502">
        <f>IFERROR(INDEX(PP_Grid[#Data],$DE502,8),0)</f>
        <v/>
      </c>
      <c r="L502">
        <f>IFERROR(INDEX(PP_Grid[#Data],$DE502,9),0)</f>
        <v/>
      </c>
      <c r="M502">
        <f>IFERROR(INDEX(PP_Grid[#Data],$DE502,10),0)</f>
        <v/>
      </c>
      <c r="N502">
        <f>IFERROR(INDEX(PP_Grid[#Data],$DE502,11),0)</f>
        <v/>
      </c>
      <c r="O502">
        <f>IFERROR(INDEX(PP_Grid[#Data],$DE502,12),0)</f>
        <v/>
      </c>
      <c r="P502">
        <f>IFERROR(INDEX(PP_Grid[#Data],$DE502,13),0)</f>
        <v/>
      </c>
      <c r="Q502">
        <f>IFERROR(INDEX(PP_Grid[#Data],$DE502,14),0)</f>
        <v/>
      </c>
      <c r="R502">
        <f>IFERROR(INDEX(PP_Grid[#Data],$DE502,15),0)</f>
        <v/>
      </c>
      <c r="S502">
        <f>IFERROR(INDEX(PP_Grid[#Data],$DE502,16),0)</f>
        <v/>
      </c>
      <c r="T502">
        <f>IFERROR(INDEX(PP_Grid[#Data],$DE502,17),0)</f>
        <v/>
      </c>
      <c r="U502">
        <f>IFERROR(INDEX(PP_Grid[#Data],$DE502,18),0)</f>
        <v/>
      </c>
      <c r="V502">
        <f>IFERROR(INDEX(PP_Grid[#Data],$DE502,19),0)</f>
        <v/>
      </c>
      <c r="W502">
        <f>IFERROR(INDEX(PP_Grid[#Data],$DE502,20),0)</f>
        <v/>
      </c>
      <c r="X502">
        <f>IFERROR(INDEX(PP_Grid[#Data],$DE502,21),0)</f>
        <v/>
      </c>
      <c r="Y502">
        <f>IFERROR(INDEX(PP_Grid[#Data],$DE502,22),0)</f>
        <v/>
      </c>
      <c r="Z502">
        <f>IFERROR(INDEX(PP_Grid[#Data],$DE502,23),0)</f>
        <v/>
      </c>
      <c r="AA502">
        <f>IFERROR(INDEX(PP_Grid[#Data],$DE502,24),0)</f>
        <v/>
      </c>
      <c r="AB502">
        <f>IFERROR(INDEX(PP_Grid[#Data],$DE502,25),0)</f>
        <v/>
      </c>
      <c r="AC502">
        <f>IFERROR(INDEX(PP_Grid[#Data],$DE502,26),0)</f>
        <v/>
      </c>
      <c r="AD502">
        <f>IFERROR(INDEX(PP_Grid[#Data],$DE502,27),0)</f>
        <v/>
      </c>
      <c r="AE502">
        <f>IFERROR(INDEX(PP_Grid[#Data],$DE502,28),0)</f>
        <v/>
      </c>
      <c r="AF502">
        <f>IFERROR(INDEX(PP_Grid[#Data],$DE502,29),0)</f>
        <v/>
      </c>
      <c r="AG502">
        <f>IFERROR(INDEX(PP_Grid[#Data],$DE502,30),0)</f>
        <v/>
      </c>
      <c r="AH502">
        <f>IFERROR(INDEX(PP_Grid[#Data],$DE502,31),0)</f>
        <v/>
      </c>
      <c r="AI502">
        <f>IFERROR(INDEX(PP_Grid[#Data],$DE502,32),0)</f>
        <v/>
      </c>
      <c r="AJ502">
        <f>IFERROR(INDEX(PP_Grid[#Data],$DE502,33),0)</f>
        <v/>
      </c>
      <c r="AK502">
        <f>IFERROR(INDEX(PP_Grid[#Data],$DE502,34),0)</f>
        <v/>
      </c>
      <c r="AL502">
        <f>IFERROR(INDEX(PP_Grid[#Data],$DE502,35),0)</f>
        <v/>
      </c>
      <c r="AM502">
        <f>IFERROR(INDEX(PP_Grid[#Data],$DE502,36),0)</f>
        <v/>
      </c>
      <c r="AN502">
        <f>IFERROR(INDEX(PP_Grid[#Data],$DE502,37),0)</f>
        <v/>
      </c>
      <c r="AO502">
        <f>IFERROR(INDEX(PP_Grid[#Data],$DE502,38),0)</f>
        <v/>
      </c>
      <c r="AP502">
        <f>IFERROR(INDEX(PP_Grid[#Data],$DE502,39),0)</f>
        <v/>
      </c>
      <c r="AQ502">
        <f>IFERROR(INDEX(PP_Grid[#Data],$DE502,40),0)</f>
        <v/>
      </c>
      <c r="AR502">
        <f>IFERROR(INDEX(PP_Grid[#Data],$DE502,41),0)</f>
        <v/>
      </c>
      <c r="AS502">
        <f>IFERROR(INDEX(PP_Grid[#Data],$DE502,42),0)</f>
        <v/>
      </c>
      <c r="AT502">
        <f>IFERROR(INDEX(PP_Grid[#Data],$DE502,43),0)</f>
        <v/>
      </c>
      <c r="AU502">
        <f>IFERROR(INDEX(PP_Grid[#Data],$DE502,44),0)</f>
        <v/>
      </c>
      <c r="AV502">
        <f>IFERROR(INDEX(PP_Grid[#Data],$DE502,45),0)</f>
        <v/>
      </c>
      <c r="AW502">
        <f>IFERROR(INDEX(PP_Grid[#Data],$DE502,46),0)</f>
        <v/>
      </c>
      <c r="AX502">
        <f>IFERROR(INDEX(PP_Grid[#Data],$DE502,47),0)</f>
        <v/>
      </c>
      <c r="AY502">
        <f>IFERROR(INDEX(PP_Grid[#Data],$DE502,48),0)</f>
        <v/>
      </c>
      <c r="AZ502">
        <f>IFERROR(INDEX(PP_Grid[#Data],$DE502,49),0)</f>
        <v/>
      </c>
      <c r="BA502">
        <f>IFERROR(INDEX(PP_Grid[#Data],$DE502,50),0)</f>
        <v/>
      </c>
      <c r="BB502">
        <f>IFERROR(INDEX(PP_Grid[#Data],$DE502,51),0)</f>
        <v/>
      </c>
      <c r="BC502">
        <f>IFERROR(INDEX(PP_Grid[#Data],$DE502,52),0)</f>
        <v/>
      </c>
      <c r="BD502">
        <f>IFERROR(INDEX(PP_Grid[#Data],$DE502,53),0)</f>
        <v/>
      </c>
      <c r="BE502">
        <f>IFERROR(INDEX(PP_Grid[#Data],$DE502,54),0)</f>
        <v/>
      </c>
      <c r="BF502">
        <f>IFERROR(INDEX(PP_Grid[#Data],$DE502,55),0)</f>
        <v/>
      </c>
      <c r="BG502">
        <f>IFERROR(INDEX(PP_Grid[#Data],$DE502,56),0)</f>
        <v/>
      </c>
      <c r="BH502">
        <f>IFERROR(INDEX(PP_Grid[#Data],$DE502,57),0)</f>
        <v/>
      </c>
      <c r="BI502">
        <f>IFERROR(INDEX(PP_Grid[#Data],$DE502,58),0)</f>
        <v/>
      </c>
      <c r="BJ502">
        <f>IFERROR(INDEX(PP_Grid[#Data],$DE502,59),0)</f>
        <v/>
      </c>
      <c r="BK502">
        <f>IFERROR(INDEX(PP_Grid[#Data],$DE502,60),0)</f>
        <v/>
      </c>
      <c r="BL502">
        <f>IFERROR(INDEX(PP_Grid[#Data],$DE502,61),0)</f>
        <v/>
      </c>
      <c r="BM502">
        <f>IFERROR(INDEX(PP_Grid[#Data],$DE502,62),0)</f>
        <v/>
      </c>
      <c r="BN502">
        <f>IFERROR(INDEX(PP_Grid[#Data],$DE502,63),0)</f>
        <v/>
      </c>
      <c r="BO502">
        <f>IFERROR(INDEX(PP_Grid[#Data],$DE502,64),0)</f>
        <v/>
      </c>
      <c r="BP502">
        <f>IFERROR(INDEX(PP_Grid[#Data],$DE502,65),0)</f>
        <v/>
      </c>
      <c r="BQ502">
        <f>IFERROR(INDEX(PP_Grid[#Data],$DE502,66),0)</f>
        <v/>
      </c>
      <c r="BR502">
        <f>IFERROR(INDEX(PP_Grid[#Data],$DE502,67),0)</f>
        <v/>
      </c>
      <c r="BS502">
        <f>IFERROR(INDEX(PP_Grid[#Data],$DE502,68),0)</f>
        <v/>
      </c>
      <c r="BT502">
        <f>IFERROR(INDEX(PP_Grid[#Data],$DE502,69),0)</f>
        <v/>
      </c>
      <c r="BU502">
        <f>IFERROR(INDEX(PP_Grid[#Data],$DE502,70),0)</f>
        <v/>
      </c>
      <c r="BV502">
        <f>IFERROR(INDEX(PP_Grid[#Data],$DE502,71),0)</f>
        <v/>
      </c>
      <c r="BW502">
        <f>IFERROR(INDEX(PP_Grid[#Data],$DE502,72),0)</f>
        <v/>
      </c>
      <c r="BX502">
        <f>IFERROR(INDEX(PP_Grid[#Data],$DE502,73),0)</f>
        <v/>
      </c>
      <c r="BY502">
        <f>IFERROR(INDEX(PP_Grid[#Data],$DE502,74),0)</f>
        <v/>
      </c>
      <c r="BZ502">
        <f>IFERROR(INDEX(PP_Grid[#Data],$DE502,75),0)</f>
        <v/>
      </c>
      <c r="CA502">
        <f>IFERROR(INDEX(PP_Grid[#Data],$DE502,76),0)</f>
        <v/>
      </c>
      <c r="CB502">
        <f>IFERROR(INDEX(PP_Grid[#Data],$DE502,77),0)</f>
        <v/>
      </c>
      <c r="CC502">
        <f>IFERROR(INDEX(PP_Grid[#Data],$DE502,78),0)</f>
        <v/>
      </c>
      <c r="CD502">
        <f>IFERROR(INDEX(PP_Grid[#Data],$DE502,79),0)</f>
        <v/>
      </c>
      <c r="CE502">
        <f>IFERROR(INDEX(PP_Grid[#Data],$DE502,80),0)</f>
        <v/>
      </c>
      <c r="CF502">
        <f>IFERROR(INDEX(PP_Grid[#Data],$DE502,81),0)</f>
        <v/>
      </c>
      <c r="CG502">
        <f>IFERROR(INDEX(PP_Grid[#Data],$DE502,82),0)</f>
        <v/>
      </c>
      <c r="CH502">
        <f>IFERROR(INDEX(PP_Grid[#Data],$DE502,83),0)</f>
        <v/>
      </c>
      <c r="CI502">
        <f>IFERROR(INDEX(PP_Grid[#Data],$DE502,84),0)</f>
        <v/>
      </c>
      <c r="CJ502">
        <f>IFERROR(INDEX(PP_Grid[#Data],$DE502,85),0)</f>
        <v/>
      </c>
      <c r="CK502">
        <f>IFERROR(INDEX(PP_Grid[#Data],$DE502,86),0)</f>
        <v/>
      </c>
      <c r="CL502">
        <f>IFERROR(INDEX(PP_Grid[#Data],$DE502,87),0)</f>
        <v/>
      </c>
      <c r="CM502">
        <f>IFERROR(INDEX(PP_Grid[#Data],$DE502,88),0)</f>
        <v/>
      </c>
      <c r="CN502">
        <f>IFERROR(INDEX(PP_Grid[#Data],$DE502,89),0)</f>
        <v/>
      </c>
      <c r="CO502">
        <f>IFERROR(INDEX(PP_Grid[#Data],$DE502,90),0)</f>
        <v/>
      </c>
      <c r="CP502">
        <f>IFERROR(INDEX(PP_Grid[#Data],$DE502,91),0)</f>
        <v/>
      </c>
      <c r="CQ502">
        <f>IFERROR(INDEX(PP_Grid[#Data],$DE502,92),0)</f>
        <v/>
      </c>
      <c r="CR502">
        <f>IFERROR(INDEX(PP_Grid[#Data],$DE502,93),0)</f>
        <v/>
      </c>
      <c r="CS502">
        <f>IFERROR(INDEX(PP_Grid[#Data],$DE502,94),0)</f>
        <v/>
      </c>
      <c r="CT502">
        <f>IFERROR(INDEX(PP_Grid[#Data],$DE502,95),0)</f>
        <v/>
      </c>
      <c r="CU502">
        <f>IFERROR(INDEX(PP_Grid[#Data],$DE502,96),0)</f>
        <v/>
      </c>
      <c r="CV502">
        <f>IFERROR(INDEX(PP_Grid[#Data],$DE502,97),0)</f>
        <v/>
      </c>
      <c r="CW502">
        <f>IFERROR(INDEX(PP_Grid[#Data],$DE502,98),0)</f>
        <v/>
      </c>
      <c r="CX502">
        <f>IFERROR(INDEX(PP_Grid[#Data],$DE502,99),0)</f>
        <v/>
      </c>
      <c r="CY502">
        <f>IFERROR(INDEX(PP_Grid[#Data],$DE502,100),0)</f>
        <v/>
      </c>
      <c r="CZ502">
        <f>IFERROR(INDEX(PP_Grid[#Data],$DE502,101),0)</f>
        <v/>
      </c>
      <c r="DA502">
        <f>IFERROR(INDEX(PP_Grid[#Data],$DE502,102),0)</f>
        <v/>
      </c>
      <c r="DB502">
        <f>IFERROR(INDEX(PP_Grid[#Data],$DE502,103),0)</f>
        <v/>
      </c>
      <c r="DC502">
        <f>IFERROR(INDEX(PP_Grid[#Data],$DE502,104),0)</f>
        <v/>
      </c>
      <c r="DD502">
        <f>IFERROR(INDEX(PP_Grid[#Data],$DE502,105),0)</f>
        <v/>
      </c>
      <c r="DE502" s="7">
        <f>IFERROR(MATCH($B502,PP_Grid[Intermediate],0),99999)</f>
        <v/>
      </c>
    </row>
    <row r="503">
      <c r="B503" t="inlineStr">
        <is>
          <t>使用量(kg)</t>
        </is>
      </c>
      <c r="C503">
        <f>SUMIFS(M_BOM[RM_Qty_Per_Batch],M_BOM[Intermediate],$B502,M_BOM[RM_Code],$A497)</f>
        <v/>
      </c>
      <c r="D503">
        <f>IFERROR(INDEX(E503:DD503,$F$1),"")</f>
        <v/>
      </c>
      <c r="E503">
        <f>$C503*E502</f>
        <v/>
      </c>
      <c r="F503">
        <f>$C503*F502</f>
        <v/>
      </c>
      <c r="G503">
        <f>$C503*G502</f>
        <v/>
      </c>
      <c r="H503">
        <f>$C503*H502</f>
        <v/>
      </c>
      <c r="I503">
        <f>$C503*I502</f>
        <v/>
      </c>
      <c r="J503">
        <f>$C503*J502</f>
        <v/>
      </c>
      <c r="K503">
        <f>$C503*K502</f>
        <v/>
      </c>
      <c r="L503">
        <f>$C503*L502</f>
        <v/>
      </c>
      <c r="M503">
        <f>$C503*M502</f>
        <v/>
      </c>
      <c r="N503">
        <f>$C503*N502</f>
        <v/>
      </c>
      <c r="O503">
        <f>$C503*O502</f>
        <v/>
      </c>
      <c r="P503">
        <f>$C503*P502</f>
        <v/>
      </c>
      <c r="Q503">
        <f>$C503*Q502</f>
        <v/>
      </c>
      <c r="R503">
        <f>$C503*R502</f>
        <v/>
      </c>
      <c r="S503">
        <f>$C503*S502</f>
        <v/>
      </c>
      <c r="T503">
        <f>$C503*T502</f>
        <v/>
      </c>
      <c r="U503">
        <f>$C503*U502</f>
        <v/>
      </c>
      <c r="V503">
        <f>$C503*V502</f>
        <v/>
      </c>
      <c r="W503">
        <f>$C503*W502</f>
        <v/>
      </c>
      <c r="X503">
        <f>$C503*X502</f>
        <v/>
      </c>
      <c r="Y503">
        <f>$C503*Y502</f>
        <v/>
      </c>
      <c r="Z503">
        <f>$C503*Z502</f>
        <v/>
      </c>
      <c r="AA503">
        <f>$C503*AA502</f>
        <v/>
      </c>
      <c r="AB503">
        <f>$C503*AB502</f>
        <v/>
      </c>
      <c r="AC503">
        <f>$C503*AC502</f>
        <v/>
      </c>
      <c r="AD503">
        <f>$C503*AD502</f>
        <v/>
      </c>
      <c r="AE503">
        <f>$C503*AE502</f>
        <v/>
      </c>
      <c r="AF503">
        <f>$C503*AF502</f>
        <v/>
      </c>
      <c r="AG503">
        <f>$C503*AG502</f>
        <v/>
      </c>
      <c r="AH503">
        <f>$C503*AH502</f>
        <v/>
      </c>
      <c r="AI503">
        <f>$C503*AI502</f>
        <v/>
      </c>
      <c r="AJ503">
        <f>$C503*AJ502</f>
        <v/>
      </c>
      <c r="AK503">
        <f>$C503*AK502</f>
        <v/>
      </c>
      <c r="AL503">
        <f>$C503*AL502</f>
        <v/>
      </c>
      <c r="AM503">
        <f>$C503*AM502</f>
        <v/>
      </c>
      <c r="AN503">
        <f>$C503*AN502</f>
        <v/>
      </c>
      <c r="AO503">
        <f>$C503*AO502</f>
        <v/>
      </c>
      <c r="AP503">
        <f>$C503*AP502</f>
        <v/>
      </c>
      <c r="AQ503">
        <f>$C503*AQ502</f>
        <v/>
      </c>
      <c r="AR503">
        <f>$C503*AR502</f>
        <v/>
      </c>
      <c r="AS503">
        <f>$C503*AS502</f>
        <v/>
      </c>
      <c r="AT503">
        <f>$C503*AT502</f>
        <v/>
      </c>
      <c r="AU503">
        <f>$C503*AU502</f>
        <v/>
      </c>
      <c r="AV503">
        <f>$C503*AV502</f>
        <v/>
      </c>
      <c r="AW503">
        <f>$C503*AW502</f>
        <v/>
      </c>
      <c r="AX503">
        <f>$C503*AX502</f>
        <v/>
      </c>
      <c r="AY503">
        <f>$C503*AY502</f>
        <v/>
      </c>
      <c r="AZ503">
        <f>$C503*AZ502</f>
        <v/>
      </c>
      <c r="BA503">
        <f>$C503*BA502</f>
        <v/>
      </c>
      <c r="BB503">
        <f>$C503*BB502</f>
        <v/>
      </c>
      <c r="BC503">
        <f>$C503*BC502</f>
        <v/>
      </c>
      <c r="BD503">
        <f>$C503*BD502</f>
        <v/>
      </c>
      <c r="BE503">
        <f>$C503*BE502</f>
        <v/>
      </c>
      <c r="BF503">
        <f>$C503*BF502</f>
        <v/>
      </c>
      <c r="BG503">
        <f>$C503*BG502</f>
        <v/>
      </c>
      <c r="BH503">
        <f>$C503*BH502</f>
        <v/>
      </c>
      <c r="BI503">
        <f>$C503*BI502</f>
        <v/>
      </c>
      <c r="BJ503">
        <f>$C503*BJ502</f>
        <v/>
      </c>
      <c r="BK503">
        <f>$C503*BK502</f>
        <v/>
      </c>
      <c r="BL503">
        <f>$C503*BL502</f>
        <v/>
      </c>
      <c r="BM503">
        <f>$C503*BM502</f>
        <v/>
      </c>
      <c r="BN503">
        <f>$C503*BN502</f>
        <v/>
      </c>
      <c r="BO503">
        <f>$C503*BO502</f>
        <v/>
      </c>
      <c r="BP503">
        <f>$C503*BP502</f>
        <v/>
      </c>
      <c r="BQ503">
        <f>$C503*BQ502</f>
        <v/>
      </c>
      <c r="BR503">
        <f>$C503*BR502</f>
        <v/>
      </c>
      <c r="BS503">
        <f>$C503*BS502</f>
        <v/>
      </c>
      <c r="BT503">
        <f>$C503*BT502</f>
        <v/>
      </c>
      <c r="BU503">
        <f>$C503*BU502</f>
        <v/>
      </c>
      <c r="BV503">
        <f>$C503*BV502</f>
        <v/>
      </c>
      <c r="BW503">
        <f>$C503*BW502</f>
        <v/>
      </c>
      <c r="BX503">
        <f>$C503*BX502</f>
        <v/>
      </c>
      <c r="BY503">
        <f>$C503*BY502</f>
        <v/>
      </c>
      <c r="BZ503">
        <f>$C503*BZ502</f>
        <v/>
      </c>
      <c r="CA503">
        <f>$C503*CA502</f>
        <v/>
      </c>
      <c r="CB503">
        <f>$C503*CB502</f>
        <v/>
      </c>
      <c r="CC503">
        <f>$C503*CC502</f>
        <v/>
      </c>
      <c r="CD503">
        <f>$C503*CD502</f>
        <v/>
      </c>
      <c r="CE503">
        <f>$C503*CE502</f>
        <v/>
      </c>
      <c r="CF503">
        <f>$C503*CF502</f>
        <v/>
      </c>
      <c r="CG503">
        <f>$C503*CG502</f>
        <v/>
      </c>
      <c r="CH503">
        <f>$C503*CH502</f>
        <v/>
      </c>
      <c r="CI503">
        <f>$C503*CI502</f>
        <v/>
      </c>
      <c r="CJ503">
        <f>$C503*CJ502</f>
        <v/>
      </c>
      <c r="CK503">
        <f>$C503*CK502</f>
        <v/>
      </c>
      <c r="CL503">
        <f>$C503*CL502</f>
        <v/>
      </c>
      <c r="CM503">
        <f>$C503*CM502</f>
        <v/>
      </c>
      <c r="CN503">
        <f>$C503*CN502</f>
        <v/>
      </c>
      <c r="CO503">
        <f>$C503*CO502</f>
        <v/>
      </c>
      <c r="CP503">
        <f>$C503*CP502</f>
        <v/>
      </c>
      <c r="CQ503">
        <f>$C503*CQ502</f>
        <v/>
      </c>
      <c r="CR503">
        <f>$C503*CR502</f>
        <v/>
      </c>
      <c r="CS503">
        <f>$C503*CS502</f>
        <v/>
      </c>
      <c r="CT503">
        <f>$C503*CT502</f>
        <v/>
      </c>
      <c r="CU503">
        <f>$C503*CU502</f>
        <v/>
      </c>
      <c r="CV503">
        <f>$C503*CV502</f>
        <v/>
      </c>
      <c r="CW503">
        <f>$C503*CW502</f>
        <v/>
      </c>
      <c r="CX503">
        <f>$C503*CX502</f>
        <v/>
      </c>
      <c r="CY503">
        <f>$C503*CY502</f>
        <v/>
      </c>
      <c r="CZ503">
        <f>$C503*CZ502</f>
        <v/>
      </c>
      <c r="DA503">
        <f>$C503*DA502</f>
        <v/>
      </c>
      <c r="DB503">
        <f>$C503*DB502</f>
        <v/>
      </c>
      <c r="DC503">
        <f>$C503*DC502</f>
        <v/>
      </c>
      <c r="DD503">
        <f>$C503*DD502</f>
        <v/>
      </c>
    </row>
    <row r="504">
      <c r="B504" t="inlineStr">
        <is>
          <t>TSP-077</t>
        </is>
      </c>
      <c r="C504" t="inlineStr">
        <is>
          <t>No. of batches</t>
        </is>
      </c>
      <c r="D504">
        <f>IFERROR(INDEX(E504:DD504,$F$1),"")</f>
        <v/>
      </c>
      <c r="E504">
        <f>IFERROR(INDEX(PP_Grid[#Data],$DE504,2),0)</f>
        <v/>
      </c>
      <c r="F504">
        <f>IFERROR(INDEX(PP_Grid[#Data],$DE504,3),0)</f>
        <v/>
      </c>
      <c r="G504">
        <f>IFERROR(INDEX(PP_Grid[#Data],$DE504,4),0)</f>
        <v/>
      </c>
      <c r="H504">
        <f>IFERROR(INDEX(PP_Grid[#Data],$DE504,5),0)</f>
        <v/>
      </c>
      <c r="I504">
        <f>IFERROR(INDEX(PP_Grid[#Data],$DE504,6),0)</f>
        <v/>
      </c>
      <c r="J504">
        <f>IFERROR(INDEX(PP_Grid[#Data],$DE504,7),0)</f>
        <v/>
      </c>
      <c r="K504">
        <f>IFERROR(INDEX(PP_Grid[#Data],$DE504,8),0)</f>
        <v/>
      </c>
      <c r="L504">
        <f>IFERROR(INDEX(PP_Grid[#Data],$DE504,9),0)</f>
        <v/>
      </c>
      <c r="M504">
        <f>IFERROR(INDEX(PP_Grid[#Data],$DE504,10),0)</f>
        <v/>
      </c>
      <c r="N504">
        <f>IFERROR(INDEX(PP_Grid[#Data],$DE504,11),0)</f>
        <v/>
      </c>
      <c r="O504">
        <f>IFERROR(INDEX(PP_Grid[#Data],$DE504,12),0)</f>
        <v/>
      </c>
      <c r="P504">
        <f>IFERROR(INDEX(PP_Grid[#Data],$DE504,13),0)</f>
        <v/>
      </c>
      <c r="Q504">
        <f>IFERROR(INDEX(PP_Grid[#Data],$DE504,14),0)</f>
        <v/>
      </c>
      <c r="R504">
        <f>IFERROR(INDEX(PP_Grid[#Data],$DE504,15),0)</f>
        <v/>
      </c>
      <c r="S504">
        <f>IFERROR(INDEX(PP_Grid[#Data],$DE504,16),0)</f>
        <v/>
      </c>
      <c r="T504">
        <f>IFERROR(INDEX(PP_Grid[#Data],$DE504,17),0)</f>
        <v/>
      </c>
      <c r="U504">
        <f>IFERROR(INDEX(PP_Grid[#Data],$DE504,18),0)</f>
        <v/>
      </c>
      <c r="V504">
        <f>IFERROR(INDEX(PP_Grid[#Data],$DE504,19),0)</f>
        <v/>
      </c>
      <c r="W504">
        <f>IFERROR(INDEX(PP_Grid[#Data],$DE504,20),0)</f>
        <v/>
      </c>
      <c r="X504">
        <f>IFERROR(INDEX(PP_Grid[#Data],$DE504,21),0)</f>
        <v/>
      </c>
      <c r="Y504">
        <f>IFERROR(INDEX(PP_Grid[#Data],$DE504,22),0)</f>
        <v/>
      </c>
      <c r="Z504">
        <f>IFERROR(INDEX(PP_Grid[#Data],$DE504,23),0)</f>
        <v/>
      </c>
      <c r="AA504">
        <f>IFERROR(INDEX(PP_Grid[#Data],$DE504,24),0)</f>
        <v/>
      </c>
      <c r="AB504">
        <f>IFERROR(INDEX(PP_Grid[#Data],$DE504,25),0)</f>
        <v/>
      </c>
      <c r="AC504">
        <f>IFERROR(INDEX(PP_Grid[#Data],$DE504,26),0)</f>
        <v/>
      </c>
      <c r="AD504">
        <f>IFERROR(INDEX(PP_Grid[#Data],$DE504,27),0)</f>
        <v/>
      </c>
      <c r="AE504">
        <f>IFERROR(INDEX(PP_Grid[#Data],$DE504,28),0)</f>
        <v/>
      </c>
      <c r="AF504">
        <f>IFERROR(INDEX(PP_Grid[#Data],$DE504,29),0)</f>
        <v/>
      </c>
      <c r="AG504">
        <f>IFERROR(INDEX(PP_Grid[#Data],$DE504,30),0)</f>
        <v/>
      </c>
      <c r="AH504">
        <f>IFERROR(INDEX(PP_Grid[#Data],$DE504,31),0)</f>
        <v/>
      </c>
      <c r="AI504">
        <f>IFERROR(INDEX(PP_Grid[#Data],$DE504,32),0)</f>
        <v/>
      </c>
      <c r="AJ504">
        <f>IFERROR(INDEX(PP_Grid[#Data],$DE504,33),0)</f>
        <v/>
      </c>
      <c r="AK504">
        <f>IFERROR(INDEX(PP_Grid[#Data],$DE504,34),0)</f>
        <v/>
      </c>
      <c r="AL504">
        <f>IFERROR(INDEX(PP_Grid[#Data],$DE504,35),0)</f>
        <v/>
      </c>
      <c r="AM504">
        <f>IFERROR(INDEX(PP_Grid[#Data],$DE504,36),0)</f>
        <v/>
      </c>
      <c r="AN504">
        <f>IFERROR(INDEX(PP_Grid[#Data],$DE504,37),0)</f>
        <v/>
      </c>
      <c r="AO504">
        <f>IFERROR(INDEX(PP_Grid[#Data],$DE504,38),0)</f>
        <v/>
      </c>
      <c r="AP504">
        <f>IFERROR(INDEX(PP_Grid[#Data],$DE504,39),0)</f>
        <v/>
      </c>
      <c r="AQ504">
        <f>IFERROR(INDEX(PP_Grid[#Data],$DE504,40),0)</f>
        <v/>
      </c>
      <c r="AR504">
        <f>IFERROR(INDEX(PP_Grid[#Data],$DE504,41),0)</f>
        <v/>
      </c>
      <c r="AS504">
        <f>IFERROR(INDEX(PP_Grid[#Data],$DE504,42),0)</f>
        <v/>
      </c>
      <c r="AT504">
        <f>IFERROR(INDEX(PP_Grid[#Data],$DE504,43),0)</f>
        <v/>
      </c>
      <c r="AU504">
        <f>IFERROR(INDEX(PP_Grid[#Data],$DE504,44),0)</f>
        <v/>
      </c>
      <c r="AV504">
        <f>IFERROR(INDEX(PP_Grid[#Data],$DE504,45),0)</f>
        <v/>
      </c>
      <c r="AW504">
        <f>IFERROR(INDEX(PP_Grid[#Data],$DE504,46),0)</f>
        <v/>
      </c>
      <c r="AX504">
        <f>IFERROR(INDEX(PP_Grid[#Data],$DE504,47),0)</f>
        <v/>
      </c>
      <c r="AY504">
        <f>IFERROR(INDEX(PP_Grid[#Data],$DE504,48),0)</f>
        <v/>
      </c>
      <c r="AZ504">
        <f>IFERROR(INDEX(PP_Grid[#Data],$DE504,49),0)</f>
        <v/>
      </c>
      <c r="BA504">
        <f>IFERROR(INDEX(PP_Grid[#Data],$DE504,50),0)</f>
        <v/>
      </c>
      <c r="BB504">
        <f>IFERROR(INDEX(PP_Grid[#Data],$DE504,51),0)</f>
        <v/>
      </c>
      <c r="BC504">
        <f>IFERROR(INDEX(PP_Grid[#Data],$DE504,52),0)</f>
        <v/>
      </c>
      <c r="BD504">
        <f>IFERROR(INDEX(PP_Grid[#Data],$DE504,53),0)</f>
        <v/>
      </c>
      <c r="BE504">
        <f>IFERROR(INDEX(PP_Grid[#Data],$DE504,54),0)</f>
        <v/>
      </c>
      <c r="BF504">
        <f>IFERROR(INDEX(PP_Grid[#Data],$DE504,55),0)</f>
        <v/>
      </c>
      <c r="BG504">
        <f>IFERROR(INDEX(PP_Grid[#Data],$DE504,56),0)</f>
        <v/>
      </c>
      <c r="BH504">
        <f>IFERROR(INDEX(PP_Grid[#Data],$DE504,57),0)</f>
        <v/>
      </c>
      <c r="BI504">
        <f>IFERROR(INDEX(PP_Grid[#Data],$DE504,58),0)</f>
        <v/>
      </c>
      <c r="BJ504">
        <f>IFERROR(INDEX(PP_Grid[#Data],$DE504,59),0)</f>
        <v/>
      </c>
      <c r="BK504">
        <f>IFERROR(INDEX(PP_Grid[#Data],$DE504,60),0)</f>
        <v/>
      </c>
      <c r="BL504">
        <f>IFERROR(INDEX(PP_Grid[#Data],$DE504,61),0)</f>
        <v/>
      </c>
      <c r="BM504">
        <f>IFERROR(INDEX(PP_Grid[#Data],$DE504,62),0)</f>
        <v/>
      </c>
      <c r="BN504">
        <f>IFERROR(INDEX(PP_Grid[#Data],$DE504,63),0)</f>
        <v/>
      </c>
      <c r="BO504">
        <f>IFERROR(INDEX(PP_Grid[#Data],$DE504,64),0)</f>
        <v/>
      </c>
      <c r="BP504">
        <f>IFERROR(INDEX(PP_Grid[#Data],$DE504,65),0)</f>
        <v/>
      </c>
      <c r="BQ504">
        <f>IFERROR(INDEX(PP_Grid[#Data],$DE504,66),0)</f>
        <v/>
      </c>
      <c r="BR504">
        <f>IFERROR(INDEX(PP_Grid[#Data],$DE504,67),0)</f>
        <v/>
      </c>
      <c r="BS504">
        <f>IFERROR(INDEX(PP_Grid[#Data],$DE504,68),0)</f>
        <v/>
      </c>
      <c r="BT504">
        <f>IFERROR(INDEX(PP_Grid[#Data],$DE504,69),0)</f>
        <v/>
      </c>
      <c r="BU504">
        <f>IFERROR(INDEX(PP_Grid[#Data],$DE504,70),0)</f>
        <v/>
      </c>
      <c r="BV504">
        <f>IFERROR(INDEX(PP_Grid[#Data],$DE504,71),0)</f>
        <v/>
      </c>
      <c r="BW504">
        <f>IFERROR(INDEX(PP_Grid[#Data],$DE504,72),0)</f>
        <v/>
      </c>
      <c r="BX504">
        <f>IFERROR(INDEX(PP_Grid[#Data],$DE504,73),0)</f>
        <v/>
      </c>
      <c r="BY504">
        <f>IFERROR(INDEX(PP_Grid[#Data],$DE504,74),0)</f>
        <v/>
      </c>
      <c r="BZ504">
        <f>IFERROR(INDEX(PP_Grid[#Data],$DE504,75),0)</f>
        <v/>
      </c>
      <c r="CA504">
        <f>IFERROR(INDEX(PP_Grid[#Data],$DE504,76),0)</f>
        <v/>
      </c>
      <c r="CB504">
        <f>IFERROR(INDEX(PP_Grid[#Data],$DE504,77),0)</f>
        <v/>
      </c>
      <c r="CC504">
        <f>IFERROR(INDEX(PP_Grid[#Data],$DE504,78),0)</f>
        <v/>
      </c>
      <c r="CD504">
        <f>IFERROR(INDEX(PP_Grid[#Data],$DE504,79),0)</f>
        <v/>
      </c>
      <c r="CE504">
        <f>IFERROR(INDEX(PP_Grid[#Data],$DE504,80),0)</f>
        <v/>
      </c>
      <c r="CF504">
        <f>IFERROR(INDEX(PP_Grid[#Data],$DE504,81),0)</f>
        <v/>
      </c>
      <c r="CG504">
        <f>IFERROR(INDEX(PP_Grid[#Data],$DE504,82),0)</f>
        <v/>
      </c>
      <c r="CH504">
        <f>IFERROR(INDEX(PP_Grid[#Data],$DE504,83),0)</f>
        <v/>
      </c>
      <c r="CI504">
        <f>IFERROR(INDEX(PP_Grid[#Data],$DE504,84),0)</f>
        <v/>
      </c>
      <c r="CJ504">
        <f>IFERROR(INDEX(PP_Grid[#Data],$DE504,85),0)</f>
        <v/>
      </c>
      <c r="CK504">
        <f>IFERROR(INDEX(PP_Grid[#Data],$DE504,86),0)</f>
        <v/>
      </c>
      <c r="CL504">
        <f>IFERROR(INDEX(PP_Grid[#Data],$DE504,87),0)</f>
        <v/>
      </c>
      <c r="CM504">
        <f>IFERROR(INDEX(PP_Grid[#Data],$DE504,88),0)</f>
        <v/>
      </c>
      <c r="CN504">
        <f>IFERROR(INDEX(PP_Grid[#Data],$DE504,89),0)</f>
        <v/>
      </c>
      <c r="CO504">
        <f>IFERROR(INDEX(PP_Grid[#Data],$DE504,90),0)</f>
        <v/>
      </c>
      <c r="CP504">
        <f>IFERROR(INDEX(PP_Grid[#Data],$DE504,91),0)</f>
        <v/>
      </c>
      <c r="CQ504">
        <f>IFERROR(INDEX(PP_Grid[#Data],$DE504,92),0)</f>
        <v/>
      </c>
      <c r="CR504">
        <f>IFERROR(INDEX(PP_Grid[#Data],$DE504,93),0)</f>
        <v/>
      </c>
      <c r="CS504">
        <f>IFERROR(INDEX(PP_Grid[#Data],$DE504,94),0)</f>
        <v/>
      </c>
      <c r="CT504">
        <f>IFERROR(INDEX(PP_Grid[#Data],$DE504,95),0)</f>
        <v/>
      </c>
      <c r="CU504">
        <f>IFERROR(INDEX(PP_Grid[#Data],$DE504,96),0)</f>
        <v/>
      </c>
      <c r="CV504">
        <f>IFERROR(INDEX(PP_Grid[#Data],$DE504,97),0)</f>
        <v/>
      </c>
      <c r="CW504">
        <f>IFERROR(INDEX(PP_Grid[#Data],$DE504,98),0)</f>
        <v/>
      </c>
      <c r="CX504">
        <f>IFERROR(INDEX(PP_Grid[#Data],$DE504,99),0)</f>
        <v/>
      </c>
      <c r="CY504">
        <f>IFERROR(INDEX(PP_Grid[#Data],$DE504,100),0)</f>
        <v/>
      </c>
      <c r="CZ504">
        <f>IFERROR(INDEX(PP_Grid[#Data],$DE504,101),0)</f>
        <v/>
      </c>
      <c r="DA504">
        <f>IFERROR(INDEX(PP_Grid[#Data],$DE504,102),0)</f>
        <v/>
      </c>
      <c r="DB504">
        <f>IFERROR(INDEX(PP_Grid[#Data],$DE504,103),0)</f>
        <v/>
      </c>
      <c r="DC504">
        <f>IFERROR(INDEX(PP_Grid[#Data],$DE504,104),0)</f>
        <v/>
      </c>
      <c r="DD504">
        <f>IFERROR(INDEX(PP_Grid[#Data],$DE504,105),0)</f>
        <v/>
      </c>
      <c r="DE504" s="7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SUMIFS(M_BOM[RM_Qty_Per_Batch],M_BOM[Intermediate],$B504,M_BOM[RM_Code],$A497)</f>
        <v/>
      </c>
      <c r="D505">
        <f>IFERROR(INDEX(E505:DD505,$F$1),"")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  <c r="DD505">
        <f>$C505*DD504</f>
        <v/>
      </c>
    </row>
    <row r="506">
      <c r="B506" t="inlineStr">
        <is>
          <t>TSP-104</t>
        </is>
      </c>
      <c r="C506" t="inlineStr">
        <is>
          <t>No. of batches</t>
        </is>
      </c>
      <c r="D506">
        <f>IFERROR(INDEX(E506:DD506,$F$1),"")</f>
        <v/>
      </c>
      <c r="E506">
        <f>IFERROR(INDEX(PP_Grid[#Data],$DE506,2),0)</f>
        <v/>
      </c>
      <c r="F506">
        <f>IFERROR(INDEX(PP_Grid[#Data],$DE506,3),0)</f>
        <v/>
      </c>
      <c r="G506">
        <f>IFERROR(INDEX(PP_Grid[#Data],$DE506,4),0)</f>
        <v/>
      </c>
      <c r="H506">
        <f>IFERROR(INDEX(PP_Grid[#Data],$DE506,5),0)</f>
        <v/>
      </c>
      <c r="I506">
        <f>IFERROR(INDEX(PP_Grid[#Data],$DE506,6),0)</f>
        <v/>
      </c>
      <c r="J506">
        <f>IFERROR(INDEX(PP_Grid[#Data],$DE506,7),0)</f>
        <v/>
      </c>
      <c r="K506">
        <f>IFERROR(INDEX(PP_Grid[#Data],$DE506,8),0)</f>
        <v/>
      </c>
      <c r="L506">
        <f>IFERROR(INDEX(PP_Grid[#Data],$DE506,9),0)</f>
        <v/>
      </c>
      <c r="M506">
        <f>IFERROR(INDEX(PP_Grid[#Data],$DE506,10),0)</f>
        <v/>
      </c>
      <c r="N506">
        <f>IFERROR(INDEX(PP_Grid[#Data],$DE506,11),0)</f>
        <v/>
      </c>
      <c r="O506">
        <f>IFERROR(INDEX(PP_Grid[#Data],$DE506,12),0)</f>
        <v/>
      </c>
      <c r="P506">
        <f>IFERROR(INDEX(PP_Grid[#Data],$DE506,13),0)</f>
        <v/>
      </c>
      <c r="Q506">
        <f>IFERROR(INDEX(PP_Grid[#Data],$DE506,14),0)</f>
        <v/>
      </c>
      <c r="R506">
        <f>IFERROR(INDEX(PP_Grid[#Data],$DE506,15),0)</f>
        <v/>
      </c>
      <c r="S506">
        <f>IFERROR(INDEX(PP_Grid[#Data],$DE506,16),0)</f>
        <v/>
      </c>
      <c r="T506">
        <f>IFERROR(INDEX(PP_Grid[#Data],$DE506,17),0)</f>
        <v/>
      </c>
      <c r="U506">
        <f>IFERROR(INDEX(PP_Grid[#Data],$DE506,18),0)</f>
        <v/>
      </c>
      <c r="V506">
        <f>IFERROR(INDEX(PP_Grid[#Data],$DE506,19),0)</f>
        <v/>
      </c>
      <c r="W506">
        <f>IFERROR(INDEX(PP_Grid[#Data],$DE506,20),0)</f>
        <v/>
      </c>
      <c r="X506">
        <f>IFERROR(INDEX(PP_Grid[#Data],$DE506,21),0)</f>
        <v/>
      </c>
      <c r="Y506">
        <f>IFERROR(INDEX(PP_Grid[#Data],$DE506,22),0)</f>
        <v/>
      </c>
      <c r="Z506">
        <f>IFERROR(INDEX(PP_Grid[#Data],$DE506,23),0)</f>
        <v/>
      </c>
      <c r="AA506">
        <f>IFERROR(INDEX(PP_Grid[#Data],$DE506,24),0)</f>
        <v/>
      </c>
      <c r="AB506">
        <f>IFERROR(INDEX(PP_Grid[#Data],$DE506,25),0)</f>
        <v/>
      </c>
      <c r="AC506">
        <f>IFERROR(INDEX(PP_Grid[#Data],$DE506,26),0)</f>
        <v/>
      </c>
      <c r="AD506">
        <f>IFERROR(INDEX(PP_Grid[#Data],$DE506,27),0)</f>
        <v/>
      </c>
      <c r="AE506">
        <f>IFERROR(INDEX(PP_Grid[#Data],$DE506,28),0)</f>
        <v/>
      </c>
      <c r="AF506">
        <f>IFERROR(INDEX(PP_Grid[#Data],$DE506,29),0)</f>
        <v/>
      </c>
      <c r="AG506">
        <f>IFERROR(INDEX(PP_Grid[#Data],$DE506,30),0)</f>
        <v/>
      </c>
      <c r="AH506">
        <f>IFERROR(INDEX(PP_Grid[#Data],$DE506,31),0)</f>
        <v/>
      </c>
      <c r="AI506">
        <f>IFERROR(INDEX(PP_Grid[#Data],$DE506,32),0)</f>
        <v/>
      </c>
      <c r="AJ506">
        <f>IFERROR(INDEX(PP_Grid[#Data],$DE506,33),0)</f>
        <v/>
      </c>
      <c r="AK506">
        <f>IFERROR(INDEX(PP_Grid[#Data],$DE506,34),0)</f>
        <v/>
      </c>
      <c r="AL506">
        <f>IFERROR(INDEX(PP_Grid[#Data],$DE506,35),0)</f>
        <v/>
      </c>
      <c r="AM506">
        <f>IFERROR(INDEX(PP_Grid[#Data],$DE506,36),0)</f>
        <v/>
      </c>
      <c r="AN506">
        <f>IFERROR(INDEX(PP_Grid[#Data],$DE506,37),0)</f>
        <v/>
      </c>
      <c r="AO506">
        <f>IFERROR(INDEX(PP_Grid[#Data],$DE506,38),0)</f>
        <v/>
      </c>
      <c r="AP506">
        <f>IFERROR(INDEX(PP_Grid[#Data],$DE506,39),0)</f>
        <v/>
      </c>
      <c r="AQ506">
        <f>IFERROR(INDEX(PP_Grid[#Data],$DE506,40),0)</f>
        <v/>
      </c>
      <c r="AR506">
        <f>IFERROR(INDEX(PP_Grid[#Data],$DE506,41),0)</f>
        <v/>
      </c>
      <c r="AS506">
        <f>IFERROR(INDEX(PP_Grid[#Data],$DE506,42),0)</f>
        <v/>
      </c>
      <c r="AT506">
        <f>IFERROR(INDEX(PP_Grid[#Data],$DE506,43),0)</f>
        <v/>
      </c>
      <c r="AU506">
        <f>IFERROR(INDEX(PP_Grid[#Data],$DE506,44),0)</f>
        <v/>
      </c>
      <c r="AV506">
        <f>IFERROR(INDEX(PP_Grid[#Data],$DE506,45),0)</f>
        <v/>
      </c>
      <c r="AW506">
        <f>IFERROR(INDEX(PP_Grid[#Data],$DE506,46),0)</f>
        <v/>
      </c>
      <c r="AX506">
        <f>IFERROR(INDEX(PP_Grid[#Data],$DE506,47),0)</f>
        <v/>
      </c>
      <c r="AY506">
        <f>IFERROR(INDEX(PP_Grid[#Data],$DE506,48),0)</f>
        <v/>
      </c>
      <c r="AZ506">
        <f>IFERROR(INDEX(PP_Grid[#Data],$DE506,49),0)</f>
        <v/>
      </c>
      <c r="BA506">
        <f>IFERROR(INDEX(PP_Grid[#Data],$DE506,50),0)</f>
        <v/>
      </c>
      <c r="BB506">
        <f>IFERROR(INDEX(PP_Grid[#Data],$DE506,51),0)</f>
        <v/>
      </c>
      <c r="BC506">
        <f>IFERROR(INDEX(PP_Grid[#Data],$DE506,52),0)</f>
        <v/>
      </c>
      <c r="BD506">
        <f>IFERROR(INDEX(PP_Grid[#Data],$DE506,53),0)</f>
        <v/>
      </c>
      <c r="BE506">
        <f>IFERROR(INDEX(PP_Grid[#Data],$DE506,54),0)</f>
        <v/>
      </c>
      <c r="BF506">
        <f>IFERROR(INDEX(PP_Grid[#Data],$DE506,55),0)</f>
        <v/>
      </c>
      <c r="BG506">
        <f>IFERROR(INDEX(PP_Grid[#Data],$DE506,56),0)</f>
        <v/>
      </c>
      <c r="BH506">
        <f>IFERROR(INDEX(PP_Grid[#Data],$DE506,57),0)</f>
        <v/>
      </c>
      <c r="BI506">
        <f>IFERROR(INDEX(PP_Grid[#Data],$DE506,58),0)</f>
        <v/>
      </c>
      <c r="BJ506">
        <f>IFERROR(INDEX(PP_Grid[#Data],$DE506,59),0)</f>
        <v/>
      </c>
      <c r="BK506">
        <f>IFERROR(INDEX(PP_Grid[#Data],$DE506,60),0)</f>
        <v/>
      </c>
      <c r="BL506">
        <f>IFERROR(INDEX(PP_Grid[#Data],$DE506,61),0)</f>
        <v/>
      </c>
      <c r="BM506">
        <f>IFERROR(INDEX(PP_Grid[#Data],$DE506,62),0)</f>
        <v/>
      </c>
      <c r="BN506">
        <f>IFERROR(INDEX(PP_Grid[#Data],$DE506,63),0)</f>
        <v/>
      </c>
      <c r="BO506">
        <f>IFERROR(INDEX(PP_Grid[#Data],$DE506,64),0)</f>
        <v/>
      </c>
      <c r="BP506">
        <f>IFERROR(INDEX(PP_Grid[#Data],$DE506,65),0)</f>
        <v/>
      </c>
      <c r="BQ506">
        <f>IFERROR(INDEX(PP_Grid[#Data],$DE506,66),0)</f>
        <v/>
      </c>
      <c r="BR506">
        <f>IFERROR(INDEX(PP_Grid[#Data],$DE506,67),0)</f>
        <v/>
      </c>
      <c r="BS506">
        <f>IFERROR(INDEX(PP_Grid[#Data],$DE506,68),0)</f>
        <v/>
      </c>
      <c r="BT506">
        <f>IFERROR(INDEX(PP_Grid[#Data],$DE506,69),0)</f>
        <v/>
      </c>
      <c r="BU506">
        <f>IFERROR(INDEX(PP_Grid[#Data],$DE506,70),0)</f>
        <v/>
      </c>
      <c r="BV506">
        <f>IFERROR(INDEX(PP_Grid[#Data],$DE506,71),0)</f>
        <v/>
      </c>
      <c r="BW506">
        <f>IFERROR(INDEX(PP_Grid[#Data],$DE506,72),0)</f>
        <v/>
      </c>
      <c r="BX506">
        <f>IFERROR(INDEX(PP_Grid[#Data],$DE506,73),0)</f>
        <v/>
      </c>
      <c r="BY506">
        <f>IFERROR(INDEX(PP_Grid[#Data],$DE506,74),0)</f>
        <v/>
      </c>
      <c r="BZ506">
        <f>IFERROR(INDEX(PP_Grid[#Data],$DE506,75),0)</f>
        <v/>
      </c>
      <c r="CA506">
        <f>IFERROR(INDEX(PP_Grid[#Data],$DE506,76),0)</f>
        <v/>
      </c>
      <c r="CB506">
        <f>IFERROR(INDEX(PP_Grid[#Data],$DE506,77),0)</f>
        <v/>
      </c>
      <c r="CC506">
        <f>IFERROR(INDEX(PP_Grid[#Data],$DE506,78),0)</f>
        <v/>
      </c>
      <c r="CD506">
        <f>IFERROR(INDEX(PP_Grid[#Data],$DE506,79),0)</f>
        <v/>
      </c>
      <c r="CE506">
        <f>IFERROR(INDEX(PP_Grid[#Data],$DE506,80),0)</f>
        <v/>
      </c>
      <c r="CF506">
        <f>IFERROR(INDEX(PP_Grid[#Data],$DE506,81),0)</f>
        <v/>
      </c>
      <c r="CG506">
        <f>IFERROR(INDEX(PP_Grid[#Data],$DE506,82),0)</f>
        <v/>
      </c>
      <c r="CH506">
        <f>IFERROR(INDEX(PP_Grid[#Data],$DE506,83),0)</f>
        <v/>
      </c>
      <c r="CI506">
        <f>IFERROR(INDEX(PP_Grid[#Data],$DE506,84),0)</f>
        <v/>
      </c>
      <c r="CJ506">
        <f>IFERROR(INDEX(PP_Grid[#Data],$DE506,85),0)</f>
        <v/>
      </c>
      <c r="CK506">
        <f>IFERROR(INDEX(PP_Grid[#Data],$DE506,86),0)</f>
        <v/>
      </c>
      <c r="CL506">
        <f>IFERROR(INDEX(PP_Grid[#Data],$DE506,87),0)</f>
        <v/>
      </c>
      <c r="CM506">
        <f>IFERROR(INDEX(PP_Grid[#Data],$DE506,88),0)</f>
        <v/>
      </c>
      <c r="CN506">
        <f>IFERROR(INDEX(PP_Grid[#Data],$DE506,89),0)</f>
        <v/>
      </c>
      <c r="CO506">
        <f>IFERROR(INDEX(PP_Grid[#Data],$DE506,90),0)</f>
        <v/>
      </c>
      <c r="CP506">
        <f>IFERROR(INDEX(PP_Grid[#Data],$DE506,91),0)</f>
        <v/>
      </c>
      <c r="CQ506">
        <f>IFERROR(INDEX(PP_Grid[#Data],$DE506,92),0)</f>
        <v/>
      </c>
      <c r="CR506">
        <f>IFERROR(INDEX(PP_Grid[#Data],$DE506,93),0)</f>
        <v/>
      </c>
      <c r="CS506">
        <f>IFERROR(INDEX(PP_Grid[#Data],$DE506,94),0)</f>
        <v/>
      </c>
      <c r="CT506">
        <f>IFERROR(INDEX(PP_Grid[#Data],$DE506,95),0)</f>
        <v/>
      </c>
      <c r="CU506">
        <f>IFERROR(INDEX(PP_Grid[#Data],$DE506,96),0)</f>
        <v/>
      </c>
      <c r="CV506">
        <f>IFERROR(INDEX(PP_Grid[#Data],$DE506,97),0)</f>
        <v/>
      </c>
      <c r="CW506">
        <f>IFERROR(INDEX(PP_Grid[#Data],$DE506,98),0)</f>
        <v/>
      </c>
      <c r="CX506">
        <f>IFERROR(INDEX(PP_Grid[#Data],$DE506,99),0)</f>
        <v/>
      </c>
      <c r="CY506">
        <f>IFERROR(INDEX(PP_Grid[#Data],$DE506,100),0)</f>
        <v/>
      </c>
      <c r="CZ506">
        <f>IFERROR(INDEX(PP_Grid[#Data],$DE506,101),0)</f>
        <v/>
      </c>
      <c r="DA506">
        <f>IFERROR(INDEX(PP_Grid[#Data],$DE506,102),0)</f>
        <v/>
      </c>
      <c r="DB506">
        <f>IFERROR(INDEX(PP_Grid[#Data],$DE506,103),0)</f>
        <v/>
      </c>
      <c r="DC506">
        <f>IFERROR(INDEX(PP_Grid[#Data],$DE506,104),0)</f>
        <v/>
      </c>
      <c r="DD506">
        <f>IFERROR(INDEX(PP_Grid[#Data],$DE506,105),0)</f>
        <v/>
      </c>
      <c r="DE506" s="7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SUMIFS(M_BOM[RM_Qty_Per_Batch],M_BOM[Intermediate],$B506,M_BOM[RM_Code],$A497)</f>
        <v/>
      </c>
      <c r="D507">
        <f>IFERROR(INDEX(E507:DD507,$F$1),"")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  <c r="DD507">
        <f>$C507*DD506</f>
        <v/>
      </c>
    </row>
    <row r="508">
      <c r="B508" t="inlineStr">
        <is>
          <t>TSP-199</t>
        </is>
      </c>
      <c r="C508" t="inlineStr">
        <is>
          <t>No. of batches</t>
        </is>
      </c>
      <c r="D508">
        <f>IFERROR(INDEX(E508:DD508,$F$1),"")</f>
        <v/>
      </c>
      <c r="E508">
        <f>IFERROR(INDEX(PP_Grid[#Data],$DE508,2),0)</f>
        <v/>
      </c>
      <c r="F508">
        <f>IFERROR(INDEX(PP_Grid[#Data],$DE508,3),0)</f>
        <v/>
      </c>
      <c r="G508">
        <f>IFERROR(INDEX(PP_Grid[#Data],$DE508,4),0)</f>
        <v/>
      </c>
      <c r="H508">
        <f>IFERROR(INDEX(PP_Grid[#Data],$DE508,5),0)</f>
        <v/>
      </c>
      <c r="I508">
        <f>IFERROR(INDEX(PP_Grid[#Data],$DE508,6),0)</f>
        <v/>
      </c>
      <c r="J508">
        <f>IFERROR(INDEX(PP_Grid[#Data],$DE508,7),0)</f>
        <v/>
      </c>
      <c r="K508">
        <f>IFERROR(INDEX(PP_Grid[#Data],$DE508,8),0)</f>
        <v/>
      </c>
      <c r="L508">
        <f>IFERROR(INDEX(PP_Grid[#Data],$DE508,9),0)</f>
        <v/>
      </c>
      <c r="M508">
        <f>IFERROR(INDEX(PP_Grid[#Data],$DE508,10),0)</f>
        <v/>
      </c>
      <c r="N508">
        <f>IFERROR(INDEX(PP_Grid[#Data],$DE508,11),0)</f>
        <v/>
      </c>
      <c r="O508">
        <f>IFERROR(INDEX(PP_Grid[#Data],$DE508,12),0)</f>
        <v/>
      </c>
      <c r="P508">
        <f>IFERROR(INDEX(PP_Grid[#Data],$DE508,13),0)</f>
        <v/>
      </c>
      <c r="Q508">
        <f>IFERROR(INDEX(PP_Grid[#Data],$DE508,14),0)</f>
        <v/>
      </c>
      <c r="R508">
        <f>IFERROR(INDEX(PP_Grid[#Data],$DE508,15),0)</f>
        <v/>
      </c>
      <c r="S508">
        <f>IFERROR(INDEX(PP_Grid[#Data],$DE508,16),0)</f>
        <v/>
      </c>
      <c r="T508">
        <f>IFERROR(INDEX(PP_Grid[#Data],$DE508,17),0)</f>
        <v/>
      </c>
      <c r="U508">
        <f>IFERROR(INDEX(PP_Grid[#Data],$DE508,18),0)</f>
        <v/>
      </c>
      <c r="V508">
        <f>IFERROR(INDEX(PP_Grid[#Data],$DE508,19),0)</f>
        <v/>
      </c>
      <c r="W508">
        <f>IFERROR(INDEX(PP_Grid[#Data],$DE508,20),0)</f>
        <v/>
      </c>
      <c r="X508">
        <f>IFERROR(INDEX(PP_Grid[#Data],$DE508,21),0)</f>
        <v/>
      </c>
      <c r="Y508">
        <f>IFERROR(INDEX(PP_Grid[#Data],$DE508,22),0)</f>
        <v/>
      </c>
      <c r="Z508">
        <f>IFERROR(INDEX(PP_Grid[#Data],$DE508,23),0)</f>
        <v/>
      </c>
      <c r="AA508">
        <f>IFERROR(INDEX(PP_Grid[#Data],$DE508,24),0)</f>
        <v/>
      </c>
      <c r="AB508">
        <f>IFERROR(INDEX(PP_Grid[#Data],$DE508,25),0)</f>
        <v/>
      </c>
      <c r="AC508">
        <f>IFERROR(INDEX(PP_Grid[#Data],$DE508,26),0)</f>
        <v/>
      </c>
      <c r="AD508">
        <f>IFERROR(INDEX(PP_Grid[#Data],$DE508,27),0)</f>
        <v/>
      </c>
      <c r="AE508">
        <f>IFERROR(INDEX(PP_Grid[#Data],$DE508,28),0)</f>
        <v/>
      </c>
      <c r="AF508">
        <f>IFERROR(INDEX(PP_Grid[#Data],$DE508,29),0)</f>
        <v/>
      </c>
      <c r="AG508">
        <f>IFERROR(INDEX(PP_Grid[#Data],$DE508,30),0)</f>
        <v/>
      </c>
      <c r="AH508">
        <f>IFERROR(INDEX(PP_Grid[#Data],$DE508,31),0)</f>
        <v/>
      </c>
      <c r="AI508">
        <f>IFERROR(INDEX(PP_Grid[#Data],$DE508,32),0)</f>
        <v/>
      </c>
      <c r="AJ508">
        <f>IFERROR(INDEX(PP_Grid[#Data],$DE508,33),0)</f>
        <v/>
      </c>
      <c r="AK508">
        <f>IFERROR(INDEX(PP_Grid[#Data],$DE508,34),0)</f>
        <v/>
      </c>
      <c r="AL508">
        <f>IFERROR(INDEX(PP_Grid[#Data],$DE508,35),0)</f>
        <v/>
      </c>
      <c r="AM508">
        <f>IFERROR(INDEX(PP_Grid[#Data],$DE508,36),0)</f>
        <v/>
      </c>
      <c r="AN508">
        <f>IFERROR(INDEX(PP_Grid[#Data],$DE508,37),0)</f>
        <v/>
      </c>
      <c r="AO508">
        <f>IFERROR(INDEX(PP_Grid[#Data],$DE508,38),0)</f>
        <v/>
      </c>
      <c r="AP508">
        <f>IFERROR(INDEX(PP_Grid[#Data],$DE508,39),0)</f>
        <v/>
      </c>
      <c r="AQ508">
        <f>IFERROR(INDEX(PP_Grid[#Data],$DE508,40),0)</f>
        <v/>
      </c>
      <c r="AR508">
        <f>IFERROR(INDEX(PP_Grid[#Data],$DE508,41),0)</f>
        <v/>
      </c>
      <c r="AS508">
        <f>IFERROR(INDEX(PP_Grid[#Data],$DE508,42),0)</f>
        <v/>
      </c>
      <c r="AT508">
        <f>IFERROR(INDEX(PP_Grid[#Data],$DE508,43),0)</f>
        <v/>
      </c>
      <c r="AU508">
        <f>IFERROR(INDEX(PP_Grid[#Data],$DE508,44),0)</f>
        <v/>
      </c>
      <c r="AV508">
        <f>IFERROR(INDEX(PP_Grid[#Data],$DE508,45),0)</f>
        <v/>
      </c>
      <c r="AW508">
        <f>IFERROR(INDEX(PP_Grid[#Data],$DE508,46),0)</f>
        <v/>
      </c>
      <c r="AX508">
        <f>IFERROR(INDEX(PP_Grid[#Data],$DE508,47),0)</f>
        <v/>
      </c>
      <c r="AY508">
        <f>IFERROR(INDEX(PP_Grid[#Data],$DE508,48),0)</f>
        <v/>
      </c>
      <c r="AZ508">
        <f>IFERROR(INDEX(PP_Grid[#Data],$DE508,49),0)</f>
        <v/>
      </c>
      <c r="BA508">
        <f>IFERROR(INDEX(PP_Grid[#Data],$DE508,50),0)</f>
        <v/>
      </c>
      <c r="BB508">
        <f>IFERROR(INDEX(PP_Grid[#Data],$DE508,51),0)</f>
        <v/>
      </c>
      <c r="BC508">
        <f>IFERROR(INDEX(PP_Grid[#Data],$DE508,52),0)</f>
        <v/>
      </c>
      <c r="BD508">
        <f>IFERROR(INDEX(PP_Grid[#Data],$DE508,53),0)</f>
        <v/>
      </c>
      <c r="BE508">
        <f>IFERROR(INDEX(PP_Grid[#Data],$DE508,54),0)</f>
        <v/>
      </c>
      <c r="BF508">
        <f>IFERROR(INDEX(PP_Grid[#Data],$DE508,55),0)</f>
        <v/>
      </c>
      <c r="BG508">
        <f>IFERROR(INDEX(PP_Grid[#Data],$DE508,56),0)</f>
        <v/>
      </c>
      <c r="BH508">
        <f>IFERROR(INDEX(PP_Grid[#Data],$DE508,57),0)</f>
        <v/>
      </c>
      <c r="BI508">
        <f>IFERROR(INDEX(PP_Grid[#Data],$DE508,58),0)</f>
        <v/>
      </c>
      <c r="BJ508">
        <f>IFERROR(INDEX(PP_Grid[#Data],$DE508,59),0)</f>
        <v/>
      </c>
      <c r="BK508">
        <f>IFERROR(INDEX(PP_Grid[#Data],$DE508,60),0)</f>
        <v/>
      </c>
      <c r="BL508">
        <f>IFERROR(INDEX(PP_Grid[#Data],$DE508,61),0)</f>
        <v/>
      </c>
      <c r="BM508">
        <f>IFERROR(INDEX(PP_Grid[#Data],$DE508,62),0)</f>
        <v/>
      </c>
      <c r="BN508">
        <f>IFERROR(INDEX(PP_Grid[#Data],$DE508,63),0)</f>
        <v/>
      </c>
      <c r="BO508">
        <f>IFERROR(INDEX(PP_Grid[#Data],$DE508,64),0)</f>
        <v/>
      </c>
      <c r="BP508">
        <f>IFERROR(INDEX(PP_Grid[#Data],$DE508,65),0)</f>
        <v/>
      </c>
      <c r="BQ508">
        <f>IFERROR(INDEX(PP_Grid[#Data],$DE508,66),0)</f>
        <v/>
      </c>
      <c r="BR508">
        <f>IFERROR(INDEX(PP_Grid[#Data],$DE508,67),0)</f>
        <v/>
      </c>
      <c r="BS508">
        <f>IFERROR(INDEX(PP_Grid[#Data],$DE508,68),0)</f>
        <v/>
      </c>
      <c r="BT508">
        <f>IFERROR(INDEX(PP_Grid[#Data],$DE508,69),0)</f>
        <v/>
      </c>
      <c r="BU508">
        <f>IFERROR(INDEX(PP_Grid[#Data],$DE508,70),0)</f>
        <v/>
      </c>
      <c r="BV508">
        <f>IFERROR(INDEX(PP_Grid[#Data],$DE508,71),0)</f>
        <v/>
      </c>
      <c r="BW508">
        <f>IFERROR(INDEX(PP_Grid[#Data],$DE508,72),0)</f>
        <v/>
      </c>
      <c r="BX508">
        <f>IFERROR(INDEX(PP_Grid[#Data],$DE508,73),0)</f>
        <v/>
      </c>
      <c r="BY508">
        <f>IFERROR(INDEX(PP_Grid[#Data],$DE508,74),0)</f>
        <v/>
      </c>
      <c r="BZ508">
        <f>IFERROR(INDEX(PP_Grid[#Data],$DE508,75),0)</f>
        <v/>
      </c>
      <c r="CA508">
        <f>IFERROR(INDEX(PP_Grid[#Data],$DE508,76),0)</f>
        <v/>
      </c>
      <c r="CB508">
        <f>IFERROR(INDEX(PP_Grid[#Data],$DE508,77),0)</f>
        <v/>
      </c>
      <c r="CC508">
        <f>IFERROR(INDEX(PP_Grid[#Data],$DE508,78),0)</f>
        <v/>
      </c>
      <c r="CD508">
        <f>IFERROR(INDEX(PP_Grid[#Data],$DE508,79),0)</f>
        <v/>
      </c>
      <c r="CE508">
        <f>IFERROR(INDEX(PP_Grid[#Data],$DE508,80),0)</f>
        <v/>
      </c>
      <c r="CF508">
        <f>IFERROR(INDEX(PP_Grid[#Data],$DE508,81),0)</f>
        <v/>
      </c>
      <c r="CG508">
        <f>IFERROR(INDEX(PP_Grid[#Data],$DE508,82),0)</f>
        <v/>
      </c>
      <c r="CH508">
        <f>IFERROR(INDEX(PP_Grid[#Data],$DE508,83),0)</f>
        <v/>
      </c>
      <c r="CI508">
        <f>IFERROR(INDEX(PP_Grid[#Data],$DE508,84),0)</f>
        <v/>
      </c>
      <c r="CJ508">
        <f>IFERROR(INDEX(PP_Grid[#Data],$DE508,85),0)</f>
        <v/>
      </c>
      <c r="CK508">
        <f>IFERROR(INDEX(PP_Grid[#Data],$DE508,86),0)</f>
        <v/>
      </c>
      <c r="CL508">
        <f>IFERROR(INDEX(PP_Grid[#Data],$DE508,87),0)</f>
        <v/>
      </c>
      <c r="CM508">
        <f>IFERROR(INDEX(PP_Grid[#Data],$DE508,88),0)</f>
        <v/>
      </c>
      <c r="CN508">
        <f>IFERROR(INDEX(PP_Grid[#Data],$DE508,89),0)</f>
        <v/>
      </c>
      <c r="CO508">
        <f>IFERROR(INDEX(PP_Grid[#Data],$DE508,90),0)</f>
        <v/>
      </c>
      <c r="CP508">
        <f>IFERROR(INDEX(PP_Grid[#Data],$DE508,91),0)</f>
        <v/>
      </c>
      <c r="CQ508">
        <f>IFERROR(INDEX(PP_Grid[#Data],$DE508,92),0)</f>
        <v/>
      </c>
      <c r="CR508">
        <f>IFERROR(INDEX(PP_Grid[#Data],$DE508,93),0)</f>
        <v/>
      </c>
      <c r="CS508">
        <f>IFERROR(INDEX(PP_Grid[#Data],$DE508,94),0)</f>
        <v/>
      </c>
      <c r="CT508">
        <f>IFERROR(INDEX(PP_Grid[#Data],$DE508,95),0)</f>
        <v/>
      </c>
      <c r="CU508">
        <f>IFERROR(INDEX(PP_Grid[#Data],$DE508,96),0)</f>
        <v/>
      </c>
      <c r="CV508">
        <f>IFERROR(INDEX(PP_Grid[#Data],$DE508,97),0)</f>
        <v/>
      </c>
      <c r="CW508">
        <f>IFERROR(INDEX(PP_Grid[#Data],$DE508,98),0)</f>
        <v/>
      </c>
      <c r="CX508">
        <f>IFERROR(INDEX(PP_Grid[#Data],$DE508,99),0)</f>
        <v/>
      </c>
      <c r="CY508">
        <f>IFERROR(INDEX(PP_Grid[#Data],$DE508,100),0)</f>
        <v/>
      </c>
      <c r="CZ508">
        <f>IFERROR(INDEX(PP_Grid[#Data],$DE508,101),0)</f>
        <v/>
      </c>
      <c r="DA508">
        <f>IFERROR(INDEX(PP_Grid[#Data],$DE508,102),0)</f>
        <v/>
      </c>
      <c r="DB508">
        <f>IFERROR(INDEX(PP_Grid[#Data],$DE508,103),0)</f>
        <v/>
      </c>
      <c r="DC508">
        <f>IFERROR(INDEX(PP_Grid[#Data],$DE508,104),0)</f>
        <v/>
      </c>
      <c r="DD508">
        <f>IFERROR(INDEX(PP_Grid[#Data],$DE508,105),0)</f>
        <v/>
      </c>
      <c r="DE508" s="7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SUMIFS(M_BOM[RM_Qty_Per_Batch],M_BOM[Intermediate],$B508,M_BOM[RM_Code],$A497)</f>
        <v/>
      </c>
      <c r="D509">
        <f>IFERROR(INDEX(E509:DD509,$F$1),"")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  <c r="DD509">
        <f>$C509*DD508</f>
        <v/>
      </c>
    </row>
    <row r="510">
      <c r="B510" t="inlineStr">
        <is>
          <t>TSP-205</t>
        </is>
      </c>
      <c r="C510" t="inlineStr">
        <is>
          <t>No. of batches</t>
        </is>
      </c>
      <c r="D510">
        <f>IFERROR(INDEX(E510:DD510,$F$1),"")</f>
        <v/>
      </c>
      <c r="E510">
        <f>IFERROR(INDEX(PP_Grid[#Data],$DE510,2),0)</f>
        <v/>
      </c>
      <c r="F510">
        <f>IFERROR(INDEX(PP_Grid[#Data],$DE510,3),0)</f>
        <v/>
      </c>
      <c r="G510">
        <f>IFERROR(INDEX(PP_Grid[#Data],$DE510,4),0)</f>
        <v/>
      </c>
      <c r="H510">
        <f>IFERROR(INDEX(PP_Grid[#Data],$DE510,5),0)</f>
        <v/>
      </c>
      <c r="I510">
        <f>IFERROR(INDEX(PP_Grid[#Data],$DE510,6),0)</f>
        <v/>
      </c>
      <c r="J510">
        <f>IFERROR(INDEX(PP_Grid[#Data],$DE510,7),0)</f>
        <v/>
      </c>
      <c r="K510">
        <f>IFERROR(INDEX(PP_Grid[#Data],$DE510,8),0)</f>
        <v/>
      </c>
      <c r="L510">
        <f>IFERROR(INDEX(PP_Grid[#Data],$DE510,9),0)</f>
        <v/>
      </c>
      <c r="M510">
        <f>IFERROR(INDEX(PP_Grid[#Data],$DE510,10),0)</f>
        <v/>
      </c>
      <c r="N510">
        <f>IFERROR(INDEX(PP_Grid[#Data],$DE510,11),0)</f>
        <v/>
      </c>
      <c r="O510">
        <f>IFERROR(INDEX(PP_Grid[#Data],$DE510,12),0)</f>
        <v/>
      </c>
      <c r="P510">
        <f>IFERROR(INDEX(PP_Grid[#Data],$DE510,13),0)</f>
        <v/>
      </c>
      <c r="Q510">
        <f>IFERROR(INDEX(PP_Grid[#Data],$DE510,14),0)</f>
        <v/>
      </c>
      <c r="R510">
        <f>IFERROR(INDEX(PP_Grid[#Data],$DE510,15),0)</f>
        <v/>
      </c>
      <c r="S510">
        <f>IFERROR(INDEX(PP_Grid[#Data],$DE510,16),0)</f>
        <v/>
      </c>
      <c r="T510">
        <f>IFERROR(INDEX(PP_Grid[#Data],$DE510,17),0)</f>
        <v/>
      </c>
      <c r="U510">
        <f>IFERROR(INDEX(PP_Grid[#Data],$DE510,18),0)</f>
        <v/>
      </c>
      <c r="V510">
        <f>IFERROR(INDEX(PP_Grid[#Data],$DE510,19),0)</f>
        <v/>
      </c>
      <c r="W510">
        <f>IFERROR(INDEX(PP_Grid[#Data],$DE510,20),0)</f>
        <v/>
      </c>
      <c r="X510">
        <f>IFERROR(INDEX(PP_Grid[#Data],$DE510,21),0)</f>
        <v/>
      </c>
      <c r="Y510">
        <f>IFERROR(INDEX(PP_Grid[#Data],$DE510,22),0)</f>
        <v/>
      </c>
      <c r="Z510">
        <f>IFERROR(INDEX(PP_Grid[#Data],$DE510,23),0)</f>
        <v/>
      </c>
      <c r="AA510">
        <f>IFERROR(INDEX(PP_Grid[#Data],$DE510,24),0)</f>
        <v/>
      </c>
      <c r="AB510">
        <f>IFERROR(INDEX(PP_Grid[#Data],$DE510,25),0)</f>
        <v/>
      </c>
      <c r="AC510">
        <f>IFERROR(INDEX(PP_Grid[#Data],$DE510,26),0)</f>
        <v/>
      </c>
      <c r="AD510">
        <f>IFERROR(INDEX(PP_Grid[#Data],$DE510,27),0)</f>
        <v/>
      </c>
      <c r="AE510">
        <f>IFERROR(INDEX(PP_Grid[#Data],$DE510,28),0)</f>
        <v/>
      </c>
      <c r="AF510">
        <f>IFERROR(INDEX(PP_Grid[#Data],$DE510,29),0)</f>
        <v/>
      </c>
      <c r="AG510">
        <f>IFERROR(INDEX(PP_Grid[#Data],$DE510,30),0)</f>
        <v/>
      </c>
      <c r="AH510">
        <f>IFERROR(INDEX(PP_Grid[#Data],$DE510,31),0)</f>
        <v/>
      </c>
      <c r="AI510">
        <f>IFERROR(INDEX(PP_Grid[#Data],$DE510,32),0)</f>
        <v/>
      </c>
      <c r="AJ510">
        <f>IFERROR(INDEX(PP_Grid[#Data],$DE510,33),0)</f>
        <v/>
      </c>
      <c r="AK510">
        <f>IFERROR(INDEX(PP_Grid[#Data],$DE510,34),0)</f>
        <v/>
      </c>
      <c r="AL510">
        <f>IFERROR(INDEX(PP_Grid[#Data],$DE510,35),0)</f>
        <v/>
      </c>
      <c r="AM510">
        <f>IFERROR(INDEX(PP_Grid[#Data],$DE510,36),0)</f>
        <v/>
      </c>
      <c r="AN510">
        <f>IFERROR(INDEX(PP_Grid[#Data],$DE510,37),0)</f>
        <v/>
      </c>
      <c r="AO510">
        <f>IFERROR(INDEX(PP_Grid[#Data],$DE510,38),0)</f>
        <v/>
      </c>
      <c r="AP510">
        <f>IFERROR(INDEX(PP_Grid[#Data],$DE510,39),0)</f>
        <v/>
      </c>
      <c r="AQ510">
        <f>IFERROR(INDEX(PP_Grid[#Data],$DE510,40),0)</f>
        <v/>
      </c>
      <c r="AR510">
        <f>IFERROR(INDEX(PP_Grid[#Data],$DE510,41),0)</f>
        <v/>
      </c>
      <c r="AS510">
        <f>IFERROR(INDEX(PP_Grid[#Data],$DE510,42),0)</f>
        <v/>
      </c>
      <c r="AT510">
        <f>IFERROR(INDEX(PP_Grid[#Data],$DE510,43),0)</f>
        <v/>
      </c>
      <c r="AU510">
        <f>IFERROR(INDEX(PP_Grid[#Data],$DE510,44),0)</f>
        <v/>
      </c>
      <c r="AV510">
        <f>IFERROR(INDEX(PP_Grid[#Data],$DE510,45),0)</f>
        <v/>
      </c>
      <c r="AW510">
        <f>IFERROR(INDEX(PP_Grid[#Data],$DE510,46),0)</f>
        <v/>
      </c>
      <c r="AX510">
        <f>IFERROR(INDEX(PP_Grid[#Data],$DE510,47),0)</f>
        <v/>
      </c>
      <c r="AY510">
        <f>IFERROR(INDEX(PP_Grid[#Data],$DE510,48),0)</f>
        <v/>
      </c>
      <c r="AZ510">
        <f>IFERROR(INDEX(PP_Grid[#Data],$DE510,49),0)</f>
        <v/>
      </c>
      <c r="BA510">
        <f>IFERROR(INDEX(PP_Grid[#Data],$DE510,50),0)</f>
        <v/>
      </c>
      <c r="BB510">
        <f>IFERROR(INDEX(PP_Grid[#Data],$DE510,51),0)</f>
        <v/>
      </c>
      <c r="BC510">
        <f>IFERROR(INDEX(PP_Grid[#Data],$DE510,52),0)</f>
        <v/>
      </c>
      <c r="BD510">
        <f>IFERROR(INDEX(PP_Grid[#Data],$DE510,53),0)</f>
        <v/>
      </c>
      <c r="BE510">
        <f>IFERROR(INDEX(PP_Grid[#Data],$DE510,54),0)</f>
        <v/>
      </c>
      <c r="BF510">
        <f>IFERROR(INDEX(PP_Grid[#Data],$DE510,55),0)</f>
        <v/>
      </c>
      <c r="BG510">
        <f>IFERROR(INDEX(PP_Grid[#Data],$DE510,56),0)</f>
        <v/>
      </c>
      <c r="BH510">
        <f>IFERROR(INDEX(PP_Grid[#Data],$DE510,57),0)</f>
        <v/>
      </c>
      <c r="BI510">
        <f>IFERROR(INDEX(PP_Grid[#Data],$DE510,58),0)</f>
        <v/>
      </c>
      <c r="BJ510">
        <f>IFERROR(INDEX(PP_Grid[#Data],$DE510,59),0)</f>
        <v/>
      </c>
      <c r="BK510">
        <f>IFERROR(INDEX(PP_Grid[#Data],$DE510,60),0)</f>
        <v/>
      </c>
      <c r="BL510">
        <f>IFERROR(INDEX(PP_Grid[#Data],$DE510,61),0)</f>
        <v/>
      </c>
      <c r="BM510">
        <f>IFERROR(INDEX(PP_Grid[#Data],$DE510,62),0)</f>
        <v/>
      </c>
      <c r="BN510">
        <f>IFERROR(INDEX(PP_Grid[#Data],$DE510,63),0)</f>
        <v/>
      </c>
      <c r="BO510">
        <f>IFERROR(INDEX(PP_Grid[#Data],$DE510,64),0)</f>
        <v/>
      </c>
      <c r="BP510">
        <f>IFERROR(INDEX(PP_Grid[#Data],$DE510,65),0)</f>
        <v/>
      </c>
      <c r="BQ510">
        <f>IFERROR(INDEX(PP_Grid[#Data],$DE510,66),0)</f>
        <v/>
      </c>
      <c r="BR510">
        <f>IFERROR(INDEX(PP_Grid[#Data],$DE510,67),0)</f>
        <v/>
      </c>
      <c r="BS510">
        <f>IFERROR(INDEX(PP_Grid[#Data],$DE510,68),0)</f>
        <v/>
      </c>
      <c r="BT510">
        <f>IFERROR(INDEX(PP_Grid[#Data],$DE510,69),0)</f>
        <v/>
      </c>
      <c r="BU510">
        <f>IFERROR(INDEX(PP_Grid[#Data],$DE510,70),0)</f>
        <v/>
      </c>
      <c r="BV510">
        <f>IFERROR(INDEX(PP_Grid[#Data],$DE510,71),0)</f>
        <v/>
      </c>
      <c r="BW510">
        <f>IFERROR(INDEX(PP_Grid[#Data],$DE510,72),0)</f>
        <v/>
      </c>
      <c r="BX510">
        <f>IFERROR(INDEX(PP_Grid[#Data],$DE510,73),0)</f>
        <v/>
      </c>
      <c r="BY510">
        <f>IFERROR(INDEX(PP_Grid[#Data],$DE510,74),0)</f>
        <v/>
      </c>
      <c r="BZ510">
        <f>IFERROR(INDEX(PP_Grid[#Data],$DE510,75),0)</f>
        <v/>
      </c>
      <c r="CA510">
        <f>IFERROR(INDEX(PP_Grid[#Data],$DE510,76),0)</f>
        <v/>
      </c>
      <c r="CB510">
        <f>IFERROR(INDEX(PP_Grid[#Data],$DE510,77),0)</f>
        <v/>
      </c>
      <c r="CC510">
        <f>IFERROR(INDEX(PP_Grid[#Data],$DE510,78),0)</f>
        <v/>
      </c>
      <c r="CD510">
        <f>IFERROR(INDEX(PP_Grid[#Data],$DE510,79),0)</f>
        <v/>
      </c>
      <c r="CE510">
        <f>IFERROR(INDEX(PP_Grid[#Data],$DE510,80),0)</f>
        <v/>
      </c>
      <c r="CF510">
        <f>IFERROR(INDEX(PP_Grid[#Data],$DE510,81),0)</f>
        <v/>
      </c>
      <c r="CG510">
        <f>IFERROR(INDEX(PP_Grid[#Data],$DE510,82),0)</f>
        <v/>
      </c>
      <c r="CH510">
        <f>IFERROR(INDEX(PP_Grid[#Data],$DE510,83),0)</f>
        <v/>
      </c>
      <c r="CI510">
        <f>IFERROR(INDEX(PP_Grid[#Data],$DE510,84),0)</f>
        <v/>
      </c>
      <c r="CJ510">
        <f>IFERROR(INDEX(PP_Grid[#Data],$DE510,85),0)</f>
        <v/>
      </c>
      <c r="CK510">
        <f>IFERROR(INDEX(PP_Grid[#Data],$DE510,86),0)</f>
        <v/>
      </c>
      <c r="CL510">
        <f>IFERROR(INDEX(PP_Grid[#Data],$DE510,87),0)</f>
        <v/>
      </c>
      <c r="CM510">
        <f>IFERROR(INDEX(PP_Grid[#Data],$DE510,88),0)</f>
        <v/>
      </c>
      <c r="CN510">
        <f>IFERROR(INDEX(PP_Grid[#Data],$DE510,89),0)</f>
        <v/>
      </c>
      <c r="CO510">
        <f>IFERROR(INDEX(PP_Grid[#Data],$DE510,90),0)</f>
        <v/>
      </c>
      <c r="CP510">
        <f>IFERROR(INDEX(PP_Grid[#Data],$DE510,91),0)</f>
        <v/>
      </c>
      <c r="CQ510">
        <f>IFERROR(INDEX(PP_Grid[#Data],$DE510,92),0)</f>
        <v/>
      </c>
      <c r="CR510">
        <f>IFERROR(INDEX(PP_Grid[#Data],$DE510,93),0)</f>
        <v/>
      </c>
      <c r="CS510">
        <f>IFERROR(INDEX(PP_Grid[#Data],$DE510,94),0)</f>
        <v/>
      </c>
      <c r="CT510">
        <f>IFERROR(INDEX(PP_Grid[#Data],$DE510,95),0)</f>
        <v/>
      </c>
      <c r="CU510">
        <f>IFERROR(INDEX(PP_Grid[#Data],$DE510,96),0)</f>
        <v/>
      </c>
      <c r="CV510">
        <f>IFERROR(INDEX(PP_Grid[#Data],$DE510,97),0)</f>
        <v/>
      </c>
      <c r="CW510">
        <f>IFERROR(INDEX(PP_Grid[#Data],$DE510,98),0)</f>
        <v/>
      </c>
      <c r="CX510">
        <f>IFERROR(INDEX(PP_Grid[#Data],$DE510,99),0)</f>
        <v/>
      </c>
      <c r="CY510">
        <f>IFERROR(INDEX(PP_Grid[#Data],$DE510,100),0)</f>
        <v/>
      </c>
      <c r="CZ510">
        <f>IFERROR(INDEX(PP_Grid[#Data],$DE510,101),0)</f>
        <v/>
      </c>
      <c r="DA510">
        <f>IFERROR(INDEX(PP_Grid[#Data],$DE510,102),0)</f>
        <v/>
      </c>
      <c r="DB510">
        <f>IFERROR(INDEX(PP_Grid[#Data],$DE510,103),0)</f>
        <v/>
      </c>
      <c r="DC510">
        <f>IFERROR(INDEX(PP_Grid[#Data],$DE510,104),0)</f>
        <v/>
      </c>
      <c r="DD510">
        <f>IFERROR(INDEX(PP_Grid[#Data],$DE510,105),0)</f>
        <v/>
      </c>
      <c r="DE510" s="7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SUMIFS(M_BOM[RM_Qty_Per_Batch],M_BOM[Intermediate],$B510,M_BOM[RM_Code],$A497)</f>
        <v/>
      </c>
      <c r="D511">
        <f>IFERROR(INDEX(E511:DD511,$F$1),"")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  <c r="DD511">
        <f>$C511*DD510</f>
        <v/>
      </c>
    </row>
    <row r="512">
      <c r="B512" t="inlineStr">
        <is>
          <t>TSP-206</t>
        </is>
      </c>
      <c r="C512" t="inlineStr">
        <is>
          <t>No. of batches</t>
        </is>
      </c>
      <c r="D512">
        <f>IFERROR(INDEX(E512:DD512,$F$1),"")</f>
        <v/>
      </c>
      <c r="E512">
        <f>IFERROR(INDEX(PP_Grid[#Data],$DE512,2),0)</f>
        <v/>
      </c>
      <c r="F512">
        <f>IFERROR(INDEX(PP_Grid[#Data],$DE512,3),0)</f>
        <v/>
      </c>
      <c r="G512">
        <f>IFERROR(INDEX(PP_Grid[#Data],$DE512,4),0)</f>
        <v/>
      </c>
      <c r="H512">
        <f>IFERROR(INDEX(PP_Grid[#Data],$DE512,5),0)</f>
        <v/>
      </c>
      <c r="I512">
        <f>IFERROR(INDEX(PP_Grid[#Data],$DE512,6),0)</f>
        <v/>
      </c>
      <c r="J512">
        <f>IFERROR(INDEX(PP_Grid[#Data],$DE512,7),0)</f>
        <v/>
      </c>
      <c r="K512">
        <f>IFERROR(INDEX(PP_Grid[#Data],$DE512,8),0)</f>
        <v/>
      </c>
      <c r="L512">
        <f>IFERROR(INDEX(PP_Grid[#Data],$DE512,9),0)</f>
        <v/>
      </c>
      <c r="M512">
        <f>IFERROR(INDEX(PP_Grid[#Data],$DE512,10),0)</f>
        <v/>
      </c>
      <c r="N512">
        <f>IFERROR(INDEX(PP_Grid[#Data],$DE512,11),0)</f>
        <v/>
      </c>
      <c r="O512">
        <f>IFERROR(INDEX(PP_Grid[#Data],$DE512,12),0)</f>
        <v/>
      </c>
      <c r="P512">
        <f>IFERROR(INDEX(PP_Grid[#Data],$DE512,13),0)</f>
        <v/>
      </c>
      <c r="Q512">
        <f>IFERROR(INDEX(PP_Grid[#Data],$DE512,14),0)</f>
        <v/>
      </c>
      <c r="R512">
        <f>IFERROR(INDEX(PP_Grid[#Data],$DE512,15),0)</f>
        <v/>
      </c>
      <c r="S512">
        <f>IFERROR(INDEX(PP_Grid[#Data],$DE512,16),0)</f>
        <v/>
      </c>
      <c r="T512">
        <f>IFERROR(INDEX(PP_Grid[#Data],$DE512,17),0)</f>
        <v/>
      </c>
      <c r="U512">
        <f>IFERROR(INDEX(PP_Grid[#Data],$DE512,18),0)</f>
        <v/>
      </c>
      <c r="V512">
        <f>IFERROR(INDEX(PP_Grid[#Data],$DE512,19),0)</f>
        <v/>
      </c>
      <c r="W512">
        <f>IFERROR(INDEX(PP_Grid[#Data],$DE512,20),0)</f>
        <v/>
      </c>
      <c r="X512">
        <f>IFERROR(INDEX(PP_Grid[#Data],$DE512,21),0)</f>
        <v/>
      </c>
      <c r="Y512">
        <f>IFERROR(INDEX(PP_Grid[#Data],$DE512,22),0)</f>
        <v/>
      </c>
      <c r="Z512">
        <f>IFERROR(INDEX(PP_Grid[#Data],$DE512,23),0)</f>
        <v/>
      </c>
      <c r="AA512">
        <f>IFERROR(INDEX(PP_Grid[#Data],$DE512,24),0)</f>
        <v/>
      </c>
      <c r="AB512">
        <f>IFERROR(INDEX(PP_Grid[#Data],$DE512,25),0)</f>
        <v/>
      </c>
      <c r="AC512">
        <f>IFERROR(INDEX(PP_Grid[#Data],$DE512,26),0)</f>
        <v/>
      </c>
      <c r="AD512">
        <f>IFERROR(INDEX(PP_Grid[#Data],$DE512,27),0)</f>
        <v/>
      </c>
      <c r="AE512">
        <f>IFERROR(INDEX(PP_Grid[#Data],$DE512,28),0)</f>
        <v/>
      </c>
      <c r="AF512">
        <f>IFERROR(INDEX(PP_Grid[#Data],$DE512,29),0)</f>
        <v/>
      </c>
      <c r="AG512">
        <f>IFERROR(INDEX(PP_Grid[#Data],$DE512,30),0)</f>
        <v/>
      </c>
      <c r="AH512">
        <f>IFERROR(INDEX(PP_Grid[#Data],$DE512,31),0)</f>
        <v/>
      </c>
      <c r="AI512">
        <f>IFERROR(INDEX(PP_Grid[#Data],$DE512,32),0)</f>
        <v/>
      </c>
      <c r="AJ512">
        <f>IFERROR(INDEX(PP_Grid[#Data],$DE512,33),0)</f>
        <v/>
      </c>
      <c r="AK512">
        <f>IFERROR(INDEX(PP_Grid[#Data],$DE512,34),0)</f>
        <v/>
      </c>
      <c r="AL512">
        <f>IFERROR(INDEX(PP_Grid[#Data],$DE512,35),0)</f>
        <v/>
      </c>
      <c r="AM512">
        <f>IFERROR(INDEX(PP_Grid[#Data],$DE512,36),0)</f>
        <v/>
      </c>
      <c r="AN512">
        <f>IFERROR(INDEX(PP_Grid[#Data],$DE512,37),0)</f>
        <v/>
      </c>
      <c r="AO512">
        <f>IFERROR(INDEX(PP_Grid[#Data],$DE512,38),0)</f>
        <v/>
      </c>
      <c r="AP512">
        <f>IFERROR(INDEX(PP_Grid[#Data],$DE512,39),0)</f>
        <v/>
      </c>
      <c r="AQ512">
        <f>IFERROR(INDEX(PP_Grid[#Data],$DE512,40),0)</f>
        <v/>
      </c>
      <c r="AR512">
        <f>IFERROR(INDEX(PP_Grid[#Data],$DE512,41),0)</f>
        <v/>
      </c>
      <c r="AS512">
        <f>IFERROR(INDEX(PP_Grid[#Data],$DE512,42),0)</f>
        <v/>
      </c>
      <c r="AT512">
        <f>IFERROR(INDEX(PP_Grid[#Data],$DE512,43),0)</f>
        <v/>
      </c>
      <c r="AU512">
        <f>IFERROR(INDEX(PP_Grid[#Data],$DE512,44),0)</f>
        <v/>
      </c>
      <c r="AV512">
        <f>IFERROR(INDEX(PP_Grid[#Data],$DE512,45),0)</f>
        <v/>
      </c>
      <c r="AW512">
        <f>IFERROR(INDEX(PP_Grid[#Data],$DE512,46),0)</f>
        <v/>
      </c>
      <c r="AX512">
        <f>IFERROR(INDEX(PP_Grid[#Data],$DE512,47),0)</f>
        <v/>
      </c>
      <c r="AY512">
        <f>IFERROR(INDEX(PP_Grid[#Data],$DE512,48),0)</f>
        <v/>
      </c>
      <c r="AZ512">
        <f>IFERROR(INDEX(PP_Grid[#Data],$DE512,49),0)</f>
        <v/>
      </c>
      <c r="BA512">
        <f>IFERROR(INDEX(PP_Grid[#Data],$DE512,50),0)</f>
        <v/>
      </c>
      <c r="BB512">
        <f>IFERROR(INDEX(PP_Grid[#Data],$DE512,51),0)</f>
        <v/>
      </c>
      <c r="BC512">
        <f>IFERROR(INDEX(PP_Grid[#Data],$DE512,52),0)</f>
        <v/>
      </c>
      <c r="BD512">
        <f>IFERROR(INDEX(PP_Grid[#Data],$DE512,53),0)</f>
        <v/>
      </c>
      <c r="BE512">
        <f>IFERROR(INDEX(PP_Grid[#Data],$DE512,54),0)</f>
        <v/>
      </c>
      <c r="BF512">
        <f>IFERROR(INDEX(PP_Grid[#Data],$DE512,55),0)</f>
        <v/>
      </c>
      <c r="BG512">
        <f>IFERROR(INDEX(PP_Grid[#Data],$DE512,56),0)</f>
        <v/>
      </c>
      <c r="BH512">
        <f>IFERROR(INDEX(PP_Grid[#Data],$DE512,57),0)</f>
        <v/>
      </c>
      <c r="BI512">
        <f>IFERROR(INDEX(PP_Grid[#Data],$DE512,58),0)</f>
        <v/>
      </c>
      <c r="BJ512">
        <f>IFERROR(INDEX(PP_Grid[#Data],$DE512,59),0)</f>
        <v/>
      </c>
      <c r="BK512">
        <f>IFERROR(INDEX(PP_Grid[#Data],$DE512,60),0)</f>
        <v/>
      </c>
      <c r="BL512">
        <f>IFERROR(INDEX(PP_Grid[#Data],$DE512,61),0)</f>
        <v/>
      </c>
      <c r="BM512">
        <f>IFERROR(INDEX(PP_Grid[#Data],$DE512,62),0)</f>
        <v/>
      </c>
      <c r="BN512">
        <f>IFERROR(INDEX(PP_Grid[#Data],$DE512,63),0)</f>
        <v/>
      </c>
      <c r="BO512">
        <f>IFERROR(INDEX(PP_Grid[#Data],$DE512,64),0)</f>
        <v/>
      </c>
      <c r="BP512">
        <f>IFERROR(INDEX(PP_Grid[#Data],$DE512,65),0)</f>
        <v/>
      </c>
      <c r="BQ512">
        <f>IFERROR(INDEX(PP_Grid[#Data],$DE512,66),0)</f>
        <v/>
      </c>
      <c r="BR512">
        <f>IFERROR(INDEX(PP_Grid[#Data],$DE512,67),0)</f>
        <v/>
      </c>
      <c r="BS512">
        <f>IFERROR(INDEX(PP_Grid[#Data],$DE512,68),0)</f>
        <v/>
      </c>
      <c r="BT512">
        <f>IFERROR(INDEX(PP_Grid[#Data],$DE512,69),0)</f>
        <v/>
      </c>
      <c r="BU512">
        <f>IFERROR(INDEX(PP_Grid[#Data],$DE512,70),0)</f>
        <v/>
      </c>
      <c r="BV512">
        <f>IFERROR(INDEX(PP_Grid[#Data],$DE512,71),0)</f>
        <v/>
      </c>
      <c r="BW512">
        <f>IFERROR(INDEX(PP_Grid[#Data],$DE512,72),0)</f>
        <v/>
      </c>
      <c r="BX512">
        <f>IFERROR(INDEX(PP_Grid[#Data],$DE512,73),0)</f>
        <v/>
      </c>
      <c r="BY512">
        <f>IFERROR(INDEX(PP_Grid[#Data],$DE512,74),0)</f>
        <v/>
      </c>
      <c r="BZ512">
        <f>IFERROR(INDEX(PP_Grid[#Data],$DE512,75),0)</f>
        <v/>
      </c>
      <c r="CA512">
        <f>IFERROR(INDEX(PP_Grid[#Data],$DE512,76),0)</f>
        <v/>
      </c>
      <c r="CB512">
        <f>IFERROR(INDEX(PP_Grid[#Data],$DE512,77),0)</f>
        <v/>
      </c>
      <c r="CC512">
        <f>IFERROR(INDEX(PP_Grid[#Data],$DE512,78),0)</f>
        <v/>
      </c>
      <c r="CD512">
        <f>IFERROR(INDEX(PP_Grid[#Data],$DE512,79),0)</f>
        <v/>
      </c>
      <c r="CE512">
        <f>IFERROR(INDEX(PP_Grid[#Data],$DE512,80),0)</f>
        <v/>
      </c>
      <c r="CF512">
        <f>IFERROR(INDEX(PP_Grid[#Data],$DE512,81),0)</f>
        <v/>
      </c>
      <c r="CG512">
        <f>IFERROR(INDEX(PP_Grid[#Data],$DE512,82),0)</f>
        <v/>
      </c>
      <c r="CH512">
        <f>IFERROR(INDEX(PP_Grid[#Data],$DE512,83),0)</f>
        <v/>
      </c>
      <c r="CI512">
        <f>IFERROR(INDEX(PP_Grid[#Data],$DE512,84),0)</f>
        <v/>
      </c>
      <c r="CJ512">
        <f>IFERROR(INDEX(PP_Grid[#Data],$DE512,85),0)</f>
        <v/>
      </c>
      <c r="CK512">
        <f>IFERROR(INDEX(PP_Grid[#Data],$DE512,86),0)</f>
        <v/>
      </c>
      <c r="CL512">
        <f>IFERROR(INDEX(PP_Grid[#Data],$DE512,87),0)</f>
        <v/>
      </c>
      <c r="CM512">
        <f>IFERROR(INDEX(PP_Grid[#Data],$DE512,88),0)</f>
        <v/>
      </c>
      <c r="CN512">
        <f>IFERROR(INDEX(PP_Grid[#Data],$DE512,89),0)</f>
        <v/>
      </c>
      <c r="CO512">
        <f>IFERROR(INDEX(PP_Grid[#Data],$DE512,90),0)</f>
        <v/>
      </c>
      <c r="CP512">
        <f>IFERROR(INDEX(PP_Grid[#Data],$DE512,91),0)</f>
        <v/>
      </c>
      <c r="CQ512">
        <f>IFERROR(INDEX(PP_Grid[#Data],$DE512,92),0)</f>
        <v/>
      </c>
      <c r="CR512">
        <f>IFERROR(INDEX(PP_Grid[#Data],$DE512,93),0)</f>
        <v/>
      </c>
      <c r="CS512">
        <f>IFERROR(INDEX(PP_Grid[#Data],$DE512,94),0)</f>
        <v/>
      </c>
      <c r="CT512">
        <f>IFERROR(INDEX(PP_Grid[#Data],$DE512,95),0)</f>
        <v/>
      </c>
      <c r="CU512">
        <f>IFERROR(INDEX(PP_Grid[#Data],$DE512,96),0)</f>
        <v/>
      </c>
      <c r="CV512">
        <f>IFERROR(INDEX(PP_Grid[#Data],$DE512,97),0)</f>
        <v/>
      </c>
      <c r="CW512">
        <f>IFERROR(INDEX(PP_Grid[#Data],$DE512,98),0)</f>
        <v/>
      </c>
      <c r="CX512">
        <f>IFERROR(INDEX(PP_Grid[#Data],$DE512,99),0)</f>
        <v/>
      </c>
      <c r="CY512">
        <f>IFERROR(INDEX(PP_Grid[#Data],$DE512,100),0)</f>
        <v/>
      </c>
      <c r="CZ512">
        <f>IFERROR(INDEX(PP_Grid[#Data],$DE512,101),0)</f>
        <v/>
      </c>
      <c r="DA512">
        <f>IFERROR(INDEX(PP_Grid[#Data],$DE512,102),0)</f>
        <v/>
      </c>
      <c r="DB512">
        <f>IFERROR(INDEX(PP_Grid[#Data],$DE512,103),0)</f>
        <v/>
      </c>
      <c r="DC512">
        <f>IFERROR(INDEX(PP_Grid[#Data],$DE512,104),0)</f>
        <v/>
      </c>
      <c r="DD512">
        <f>IFERROR(INDEX(PP_Grid[#Data],$DE512,105),0)</f>
        <v/>
      </c>
      <c r="DE512" s="7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SUMIFS(M_BOM[RM_Qty_Per_Batch],M_BOM[Intermediate],$B512,M_BOM[RM_Code],$A497)</f>
        <v/>
      </c>
      <c r="D513">
        <f>IFERROR(INDEX(E513:DD513,$F$1),"")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  <c r="DD513">
        <f>$C513*DD512</f>
        <v/>
      </c>
    </row>
    <row r="514">
      <c r="B514" t="inlineStr">
        <is>
          <t>TSP-224</t>
        </is>
      </c>
      <c r="C514" t="inlineStr">
        <is>
          <t>No. of batches</t>
        </is>
      </c>
      <c r="D514">
        <f>IFERROR(INDEX(E514:DD514,$F$1),"")</f>
        <v/>
      </c>
      <c r="E514">
        <f>IFERROR(INDEX(PP_Grid[#Data],$DE514,2),0)</f>
        <v/>
      </c>
      <c r="F514">
        <f>IFERROR(INDEX(PP_Grid[#Data],$DE514,3),0)</f>
        <v/>
      </c>
      <c r="G514">
        <f>IFERROR(INDEX(PP_Grid[#Data],$DE514,4),0)</f>
        <v/>
      </c>
      <c r="H514">
        <f>IFERROR(INDEX(PP_Grid[#Data],$DE514,5),0)</f>
        <v/>
      </c>
      <c r="I514">
        <f>IFERROR(INDEX(PP_Grid[#Data],$DE514,6),0)</f>
        <v/>
      </c>
      <c r="J514">
        <f>IFERROR(INDEX(PP_Grid[#Data],$DE514,7),0)</f>
        <v/>
      </c>
      <c r="K514">
        <f>IFERROR(INDEX(PP_Grid[#Data],$DE514,8),0)</f>
        <v/>
      </c>
      <c r="L514">
        <f>IFERROR(INDEX(PP_Grid[#Data],$DE514,9),0)</f>
        <v/>
      </c>
      <c r="M514">
        <f>IFERROR(INDEX(PP_Grid[#Data],$DE514,10),0)</f>
        <v/>
      </c>
      <c r="N514">
        <f>IFERROR(INDEX(PP_Grid[#Data],$DE514,11),0)</f>
        <v/>
      </c>
      <c r="O514">
        <f>IFERROR(INDEX(PP_Grid[#Data],$DE514,12),0)</f>
        <v/>
      </c>
      <c r="P514">
        <f>IFERROR(INDEX(PP_Grid[#Data],$DE514,13),0)</f>
        <v/>
      </c>
      <c r="Q514">
        <f>IFERROR(INDEX(PP_Grid[#Data],$DE514,14),0)</f>
        <v/>
      </c>
      <c r="R514">
        <f>IFERROR(INDEX(PP_Grid[#Data],$DE514,15),0)</f>
        <v/>
      </c>
      <c r="S514">
        <f>IFERROR(INDEX(PP_Grid[#Data],$DE514,16),0)</f>
        <v/>
      </c>
      <c r="T514">
        <f>IFERROR(INDEX(PP_Grid[#Data],$DE514,17),0)</f>
        <v/>
      </c>
      <c r="U514">
        <f>IFERROR(INDEX(PP_Grid[#Data],$DE514,18),0)</f>
        <v/>
      </c>
      <c r="V514">
        <f>IFERROR(INDEX(PP_Grid[#Data],$DE514,19),0)</f>
        <v/>
      </c>
      <c r="W514">
        <f>IFERROR(INDEX(PP_Grid[#Data],$DE514,20),0)</f>
        <v/>
      </c>
      <c r="X514">
        <f>IFERROR(INDEX(PP_Grid[#Data],$DE514,21),0)</f>
        <v/>
      </c>
      <c r="Y514">
        <f>IFERROR(INDEX(PP_Grid[#Data],$DE514,22),0)</f>
        <v/>
      </c>
      <c r="Z514">
        <f>IFERROR(INDEX(PP_Grid[#Data],$DE514,23),0)</f>
        <v/>
      </c>
      <c r="AA514">
        <f>IFERROR(INDEX(PP_Grid[#Data],$DE514,24),0)</f>
        <v/>
      </c>
      <c r="AB514">
        <f>IFERROR(INDEX(PP_Grid[#Data],$DE514,25),0)</f>
        <v/>
      </c>
      <c r="AC514">
        <f>IFERROR(INDEX(PP_Grid[#Data],$DE514,26),0)</f>
        <v/>
      </c>
      <c r="AD514">
        <f>IFERROR(INDEX(PP_Grid[#Data],$DE514,27),0)</f>
        <v/>
      </c>
      <c r="AE514">
        <f>IFERROR(INDEX(PP_Grid[#Data],$DE514,28),0)</f>
        <v/>
      </c>
      <c r="AF514">
        <f>IFERROR(INDEX(PP_Grid[#Data],$DE514,29),0)</f>
        <v/>
      </c>
      <c r="AG514">
        <f>IFERROR(INDEX(PP_Grid[#Data],$DE514,30),0)</f>
        <v/>
      </c>
      <c r="AH514">
        <f>IFERROR(INDEX(PP_Grid[#Data],$DE514,31),0)</f>
        <v/>
      </c>
      <c r="AI514">
        <f>IFERROR(INDEX(PP_Grid[#Data],$DE514,32),0)</f>
        <v/>
      </c>
      <c r="AJ514">
        <f>IFERROR(INDEX(PP_Grid[#Data],$DE514,33),0)</f>
        <v/>
      </c>
      <c r="AK514">
        <f>IFERROR(INDEX(PP_Grid[#Data],$DE514,34),0)</f>
        <v/>
      </c>
      <c r="AL514">
        <f>IFERROR(INDEX(PP_Grid[#Data],$DE514,35),0)</f>
        <v/>
      </c>
      <c r="AM514">
        <f>IFERROR(INDEX(PP_Grid[#Data],$DE514,36),0)</f>
        <v/>
      </c>
      <c r="AN514">
        <f>IFERROR(INDEX(PP_Grid[#Data],$DE514,37),0)</f>
        <v/>
      </c>
      <c r="AO514">
        <f>IFERROR(INDEX(PP_Grid[#Data],$DE514,38),0)</f>
        <v/>
      </c>
      <c r="AP514">
        <f>IFERROR(INDEX(PP_Grid[#Data],$DE514,39),0)</f>
        <v/>
      </c>
      <c r="AQ514">
        <f>IFERROR(INDEX(PP_Grid[#Data],$DE514,40),0)</f>
        <v/>
      </c>
      <c r="AR514">
        <f>IFERROR(INDEX(PP_Grid[#Data],$DE514,41),0)</f>
        <v/>
      </c>
      <c r="AS514">
        <f>IFERROR(INDEX(PP_Grid[#Data],$DE514,42),0)</f>
        <v/>
      </c>
      <c r="AT514">
        <f>IFERROR(INDEX(PP_Grid[#Data],$DE514,43),0)</f>
        <v/>
      </c>
      <c r="AU514">
        <f>IFERROR(INDEX(PP_Grid[#Data],$DE514,44),0)</f>
        <v/>
      </c>
      <c r="AV514">
        <f>IFERROR(INDEX(PP_Grid[#Data],$DE514,45),0)</f>
        <v/>
      </c>
      <c r="AW514">
        <f>IFERROR(INDEX(PP_Grid[#Data],$DE514,46),0)</f>
        <v/>
      </c>
      <c r="AX514">
        <f>IFERROR(INDEX(PP_Grid[#Data],$DE514,47),0)</f>
        <v/>
      </c>
      <c r="AY514">
        <f>IFERROR(INDEX(PP_Grid[#Data],$DE514,48),0)</f>
        <v/>
      </c>
      <c r="AZ514">
        <f>IFERROR(INDEX(PP_Grid[#Data],$DE514,49),0)</f>
        <v/>
      </c>
      <c r="BA514">
        <f>IFERROR(INDEX(PP_Grid[#Data],$DE514,50),0)</f>
        <v/>
      </c>
      <c r="BB514">
        <f>IFERROR(INDEX(PP_Grid[#Data],$DE514,51),0)</f>
        <v/>
      </c>
      <c r="BC514">
        <f>IFERROR(INDEX(PP_Grid[#Data],$DE514,52),0)</f>
        <v/>
      </c>
      <c r="BD514">
        <f>IFERROR(INDEX(PP_Grid[#Data],$DE514,53),0)</f>
        <v/>
      </c>
      <c r="BE514">
        <f>IFERROR(INDEX(PP_Grid[#Data],$DE514,54),0)</f>
        <v/>
      </c>
      <c r="BF514">
        <f>IFERROR(INDEX(PP_Grid[#Data],$DE514,55),0)</f>
        <v/>
      </c>
      <c r="BG514">
        <f>IFERROR(INDEX(PP_Grid[#Data],$DE514,56),0)</f>
        <v/>
      </c>
      <c r="BH514">
        <f>IFERROR(INDEX(PP_Grid[#Data],$DE514,57),0)</f>
        <v/>
      </c>
      <c r="BI514">
        <f>IFERROR(INDEX(PP_Grid[#Data],$DE514,58),0)</f>
        <v/>
      </c>
      <c r="BJ514">
        <f>IFERROR(INDEX(PP_Grid[#Data],$DE514,59),0)</f>
        <v/>
      </c>
      <c r="BK514">
        <f>IFERROR(INDEX(PP_Grid[#Data],$DE514,60),0)</f>
        <v/>
      </c>
      <c r="BL514">
        <f>IFERROR(INDEX(PP_Grid[#Data],$DE514,61),0)</f>
        <v/>
      </c>
      <c r="BM514">
        <f>IFERROR(INDEX(PP_Grid[#Data],$DE514,62),0)</f>
        <v/>
      </c>
      <c r="BN514">
        <f>IFERROR(INDEX(PP_Grid[#Data],$DE514,63),0)</f>
        <v/>
      </c>
      <c r="BO514">
        <f>IFERROR(INDEX(PP_Grid[#Data],$DE514,64),0)</f>
        <v/>
      </c>
      <c r="BP514">
        <f>IFERROR(INDEX(PP_Grid[#Data],$DE514,65),0)</f>
        <v/>
      </c>
      <c r="BQ514">
        <f>IFERROR(INDEX(PP_Grid[#Data],$DE514,66),0)</f>
        <v/>
      </c>
      <c r="BR514">
        <f>IFERROR(INDEX(PP_Grid[#Data],$DE514,67),0)</f>
        <v/>
      </c>
      <c r="BS514">
        <f>IFERROR(INDEX(PP_Grid[#Data],$DE514,68),0)</f>
        <v/>
      </c>
      <c r="BT514">
        <f>IFERROR(INDEX(PP_Grid[#Data],$DE514,69),0)</f>
        <v/>
      </c>
      <c r="BU514">
        <f>IFERROR(INDEX(PP_Grid[#Data],$DE514,70),0)</f>
        <v/>
      </c>
      <c r="BV514">
        <f>IFERROR(INDEX(PP_Grid[#Data],$DE514,71),0)</f>
        <v/>
      </c>
      <c r="BW514">
        <f>IFERROR(INDEX(PP_Grid[#Data],$DE514,72),0)</f>
        <v/>
      </c>
      <c r="BX514">
        <f>IFERROR(INDEX(PP_Grid[#Data],$DE514,73),0)</f>
        <v/>
      </c>
      <c r="BY514">
        <f>IFERROR(INDEX(PP_Grid[#Data],$DE514,74),0)</f>
        <v/>
      </c>
      <c r="BZ514">
        <f>IFERROR(INDEX(PP_Grid[#Data],$DE514,75),0)</f>
        <v/>
      </c>
      <c r="CA514">
        <f>IFERROR(INDEX(PP_Grid[#Data],$DE514,76),0)</f>
        <v/>
      </c>
      <c r="CB514">
        <f>IFERROR(INDEX(PP_Grid[#Data],$DE514,77),0)</f>
        <v/>
      </c>
      <c r="CC514">
        <f>IFERROR(INDEX(PP_Grid[#Data],$DE514,78),0)</f>
        <v/>
      </c>
      <c r="CD514">
        <f>IFERROR(INDEX(PP_Grid[#Data],$DE514,79),0)</f>
        <v/>
      </c>
      <c r="CE514">
        <f>IFERROR(INDEX(PP_Grid[#Data],$DE514,80),0)</f>
        <v/>
      </c>
      <c r="CF514">
        <f>IFERROR(INDEX(PP_Grid[#Data],$DE514,81),0)</f>
        <v/>
      </c>
      <c r="CG514">
        <f>IFERROR(INDEX(PP_Grid[#Data],$DE514,82),0)</f>
        <v/>
      </c>
      <c r="CH514">
        <f>IFERROR(INDEX(PP_Grid[#Data],$DE514,83),0)</f>
        <v/>
      </c>
      <c r="CI514">
        <f>IFERROR(INDEX(PP_Grid[#Data],$DE514,84),0)</f>
        <v/>
      </c>
      <c r="CJ514">
        <f>IFERROR(INDEX(PP_Grid[#Data],$DE514,85),0)</f>
        <v/>
      </c>
      <c r="CK514">
        <f>IFERROR(INDEX(PP_Grid[#Data],$DE514,86),0)</f>
        <v/>
      </c>
      <c r="CL514">
        <f>IFERROR(INDEX(PP_Grid[#Data],$DE514,87),0)</f>
        <v/>
      </c>
      <c r="CM514">
        <f>IFERROR(INDEX(PP_Grid[#Data],$DE514,88),0)</f>
        <v/>
      </c>
      <c r="CN514">
        <f>IFERROR(INDEX(PP_Grid[#Data],$DE514,89),0)</f>
        <v/>
      </c>
      <c r="CO514">
        <f>IFERROR(INDEX(PP_Grid[#Data],$DE514,90),0)</f>
        <v/>
      </c>
      <c r="CP514">
        <f>IFERROR(INDEX(PP_Grid[#Data],$DE514,91),0)</f>
        <v/>
      </c>
      <c r="CQ514">
        <f>IFERROR(INDEX(PP_Grid[#Data],$DE514,92),0)</f>
        <v/>
      </c>
      <c r="CR514">
        <f>IFERROR(INDEX(PP_Grid[#Data],$DE514,93),0)</f>
        <v/>
      </c>
      <c r="CS514">
        <f>IFERROR(INDEX(PP_Grid[#Data],$DE514,94),0)</f>
        <v/>
      </c>
      <c r="CT514">
        <f>IFERROR(INDEX(PP_Grid[#Data],$DE514,95),0)</f>
        <v/>
      </c>
      <c r="CU514">
        <f>IFERROR(INDEX(PP_Grid[#Data],$DE514,96),0)</f>
        <v/>
      </c>
      <c r="CV514">
        <f>IFERROR(INDEX(PP_Grid[#Data],$DE514,97),0)</f>
        <v/>
      </c>
      <c r="CW514">
        <f>IFERROR(INDEX(PP_Grid[#Data],$DE514,98),0)</f>
        <v/>
      </c>
      <c r="CX514">
        <f>IFERROR(INDEX(PP_Grid[#Data],$DE514,99),0)</f>
        <v/>
      </c>
      <c r="CY514">
        <f>IFERROR(INDEX(PP_Grid[#Data],$DE514,100),0)</f>
        <v/>
      </c>
      <c r="CZ514">
        <f>IFERROR(INDEX(PP_Grid[#Data],$DE514,101),0)</f>
        <v/>
      </c>
      <c r="DA514">
        <f>IFERROR(INDEX(PP_Grid[#Data],$DE514,102),0)</f>
        <v/>
      </c>
      <c r="DB514">
        <f>IFERROR(INDEX(PP_Grid[#Data],$DE514,103),0)</f>
        <v/>
      </c>
      <c r="DC514">
        <f>IFERROR(INDEX(PP_Grid[#Data],$DE514,104),0)</f>
        <v/>
      </c>
      <c r="DD514">
        <f>IFERROR(INDEX(PP_Grid[#Data],$DE514,105),0)</f>
        <v/>
      </c>
      <c r="DE514" s="7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SUMIFS(M_BOM[RM_Qty_Per_Batch],M_BOM[Intermediate],$B514,M_BOM[RM_Code],$A497)</f>
        <v/>
      </c>
      <c r="D515">
        <f>IFERROR(INDEX(E515:DD515,$F$1),"")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  <c r="DD515">
        <f>$C515*DD514</f>
        <v/>
      </c>
    </row>
    <row r="516">
      <c r="B516" t="inlineStr">
        <is>
          <t>TSP-367</t>
        </is>
      </c>
      <c r="C516" t="inlineStr">
        <is>
          <t>No. of batches</t>
        </is>
      </c>
      <c r="D516">
        <f>IFERROR(INDEX(E516:DD516,$F$1),"")</f>
        <v/>
      </c>
      <c r="E516">
        <f>IFERROR(INDEX(PP_Grid[#Data],$DE516,2),0)</f>
        <v/>
      </c>
      <c r="F516">
        <f>IFERROR(INDEX(PP_Grid[#Data],$DE516,3),0)</f>
        <v/>
      </c>
      <c r="G516">
        <f>IFERROR(INDEX(PP_Grid[#Data],$DE516,4),0)</f>
        <v/>
      </c>
      <c r="H516">
        <f>IFERROR(INDEX(PP_Grid[#Data],$DE516,5),0)</f>
        <v/>
      </c>
      <c r="I516">
        <f>IFERROR(INDEX(PP_Grid[#Data],$DE516,6),0)</f>
        <v/>
      </c>
      <c r="J516">
        <f>IFERROR(INDEX(PP_Grid[#Data],$DE516,7),0)</f>
        <v/>
      </c>
      <c r="K516">
        <f>IFERROR(INDEX(PP_Grid[#Data],$DE516,8),0)</f>
        <v/>
      </c>
      <c r="L516">
        <f>IFERROR(INDEX(PP_Grid[#Data],$DE516,9),0)</f>
        <v/>
      </c>
      <c r="M516">
        <f>IFERROR(INDEX(PP_Grid[#Data],$DE516,10),0)</f>
        <v/>
      </c>
      <c r="N516">
        <f>IFERROR(INDEX(PP_Grid[#Data],$DE516,11),0)</f>
        <v/>
      </c>
      <c r="O516">
        <f>IFERROR(INDEX(PP_Grid[#Data],$DE516,12),0)</f>
        <v/>
      </c>
      <c r="P516">
        <f>IFERROR(INDEX(PP_Grid[#Data],$DE516,13),0)</f>
        <v/>
      </c>
      <c r="Q516">
        <f>IFERROR(INDEX(PP_Grid[#Data],$DE516,14),0)</f>
        <v/>
      </c>
      <c r="R516">
        <f>IFERROR(INDEX(PP_Grid[#Data],$DE516,15),0)</f>
        <v/>
      </c>
      <c r="S516">
        <f>IFERROR(INDEX(PP_Grid[#Data],$DE516,16),0)</f>
        <v/>
      </c>
      <c r="T516">
        <f>IFERROR(INDEX(PP_Grid[#Data],$DE516,17),0)</f>
        <v/>
      </c>
      <c r="U516">
        <f>IFERROR(INDEX(PP_Grid[#Data],$DE516,18),0)</f>
        <v/>
      </c>
      <c r="V516">
        <f>IFERROR(INDEX(PP_Grid[#Data],$DE516,19),0)</f>
        <v/>
      </c>
      <c r="W516">
        <f>IFERROR(INDEX(PP_Grid[#Data],$DE516,20),0)</f>
        <v/>
      </c>
      <c r="X516">
        <f>IFERROR(INDEX(PP_Grid[#Data],$DE516,21),0)</f>
        <v/>
      </c>
      <c r="Y516">
        <f>IFERROR(INDEX(PP_Grid[#Data],$DE516,22),0)</f>
        <v/>
      </c>
      <c r="Z516">
        <f>IFERROR(INDEX(PP_Grid[#Data],$DE516,23),0)</f>
        <v/>
      </c>
      <c r="AA516">
        <f>IFERROR(INDEX(PP_Grid[#Data],$DE516,24),0)</f>
        <v/>
      </c>
      <c r="AB516">
        <f>IFERROR(INDEX(PP_Grid[#Data],$DE516,25),0)</f>
        <v/>
      </c>
      <c r="AC516">
        <f>IFERROR(INDEX(PP_Grid[#Data],$DE516,26),0)</f>
        <v/>
      </c>
      <c r="AD516">
        <f>IFERROR(INDEX(PP_Grid[#Data],$DE516,27),0)</f>
        <v/>
      </c>
      <c r="AE516">
        <f>IFERROR(INDEX(PP_Grid[#Data],$DE516,28),0)</f>
        <v/>
      </c>
      <c r="AF516">
        <f>IFERROR(INDEX(PP_Grid[#Data],$DE516,29),0)</f>
        <v/>
      </c>
      <c r="AG516">
        <f>IFERROR(INDEX(PP_Grid[#Data],$DE516,30),0)</f>
        <v/>
      </c>
      <c r="AH516">
        <f>IFERROR(INDEX(PP_Grid[#Data],$DE516,31),0)</f>
        <v/>
      </c>
      <c r="AI516">
        <f>IFERROR(INDEX(PP_Grid[#Data],$DE516,32),0)</f>
        <v/>
      </c>
      <c r="AJ516">
        <f>IFERROR(INDEX(PP_Grid[#Data],$DE516,33),0)</f>
        <v/>
      </c>
      <c r="AK516">
        <f>IFERROR(INDEX(PP_Grid[#Data],$DE516,34),0)</f>
        <v/>
      </c>
      <c r="AL516">
        <f>IFERROR(INDEX(PP_Grid[#Data],$DE516,35),0)</f>
        <v/>
      </c>
      <c r="AM516">
        <f>IFERROR(INDEX(PP_Grid[#Data],$DE516,36),0)</f>
        <v/>
      </c>
      <c r="AN516">
        <f>IFERROR(INDEX(PP_Grid[#Data],$DE516,37),0)</f>
        <v/>
      </c>
      <c r="AO516">
        <f>IFERROR(INDEX(PP_Grid[#Data],$DE516,38),0)</f>
        <v/>
      </c>
      <c r="AP516">
        <f>IFERROR(INDEX(PP_Grid[#Data],$DE516,39),0)</f>
        <v/>
      </c>
      <c r="AQ516">
        <f>IFERROR(INDEX(PP_Grid[#Data],$DE516,40),0)</f>
        <v/>
      </c>
      <c r="AR516">
        <f>IFERROR(INDEX(PP_Grid[#Data],$DE516,41),0)</f>
        <v/>
      </c>
      <c r="AS516">
        <f>IFERROR(INDEX(PP_Grid[#Data],$DE516,42),0)</f>
        <v/>
      </c>
      <c r="AT516">
        <f>IFERROR(INDEX(PP_Grid[#Data],$DE516,43),0)</f>
        <v/>
      </c>
      <c r="AU516">
        <f>IFERROR(INDEX(PP_Grid[#Data],$DE516,44),0)</f>
        <v/>
      </c>
      <c r="AV516">
        <f>IFERROR(INDEX(PP_Grid[#Data],$DE516,45),0)</f>
        <v/>
      </c>
      <c r="AW516">
        <f>IFERROR(INDEX(PP_Grid[#Data],$DE516,46),0)</f>
        <v/>
      </c>
      <c r="AX516">
        <f>IFERROR(INDEX(PP_Grid[#Data],$DE516,47),0)</f>
        <v/>
      </c>
      <c r="AY516">
        <f>IFERROR(INDEX(PP_Grid[#Data],$DE516,48),0)</f>
        <v/>
      </c>
      <c r="AZ516">
        <f>IFERROR(INDEX(PP_Grid[#Data],$DE516,49),0)</f>
        <v/>
      </c>
      <c r="BA516">
        <f>IFERROR(INDEX(PP_Grid[#Data],$DE516,50),0)</f>
        <v/>
      </c>
      <c r="BB516">
        <f>IFERROR(INDEX(PP_Grid[#Data],$DE516,51),0)</f>
        <v/>
      </c>
      <c r="BC516">
        <f>IFERROR(INDEX(PP_Grid[#Data],$DE516,52),0)</f>
        <v/>
      </c>
      <c r="BD516">
        <f>IFERROR(INDEX(PP_Grid[#Data],$DE516,53),0)</f>
        <v/>
      </c>
      <c r="BE516">
        <f>IFERROR(INDEX(PP_Grid[#Data],$DE516,54),0)</f>
        <v/>
      </c>
      <c r="BF516">
        <f>IFERROR(INDEX(PP_Grid[#Data],$DE516,55),0)</f>
        <v/>
      </c>
      <c r="BG516">
        <f>IFERROR(INDEX(PP_Grid[#Data],$DE516,56),0)</f>
        <v/>
      </c>
      <c r="BH516">
        <f>IFERROR(INDEX(PP_Grid[#Data],$DE516,57),0)</f>
        <v/>
      </c>
      <c r="BI516">
        <f>IFERROR(INDEX(PP_Grid[#Data],$DE516,58),0)</f>
        <v/>
      </c>
      <c r="BJ516">
        <f>IFERROR(INDEX(PP_Grid[#Data],$DE516,59),0)</f>
        <v/>
      </c>
      <c r="BK516">
        <f>IFERROR(INDEX(PP_Grid[#Data],$DE516,60),0)</f>
        <v/>
      </c>
      <c r="BL516">
        <f>IFERROR(INDEX(PP_Grid[#Data],$DE516,61),0)</f>
        <v/>
      </c>
      <c r="BM516">
        <f>IFERROR(INDEX(PP_Grid[#Data],$DE516,62),0)</f>
        <v/>
      </c>
      <c r="BN516">
        <f>IFERROR(INDEX(PP_Grid[#Data],$DE516,63),0)</f>
        <v/>
      </c>
      <c r="BO516">
        <f>IFERROR(INDEX(PP_Grid[#Data],$DE516,64),0)</f>
        <v/>
      </c>
      <c r="BP516">
        <f>IFERROR(INDEX(PP_Grid[#Data],$DE516,65),0)</f>
        <v/>
      </c>
      <c r="BQ516">
        <f>IFERROR(INDEX(PP_Grid[#Data],$DE516,66),0)</f>
        <v/>
      </c>
      <c r="BR516">
        <f>IFERROR(INDEX(PP_Grid[#Data],$DE516,67),0)</f>
        <v/>
      </c>
      <c r="BS516">
        <f>IFERROR(INDEX(PP_Grid[#Data],$DE516,68),0)</f>
        <v/>
      </c>
      <c r="BT516">
        <f>IFERROR(INDEX(PP_Grid[#Data],$DE516,69),0)</f>
        <v/>
      </c>
      <c r="BU516">
        <f>IFERROR(INDEX(PP_Grid[#Data],$DE516,70),0)</f>
        <v/>
      </c>
      <c r="BV516">
        <f>IFERROR(INDEX(PP_Grid[#Data],$DE516,71),0)</f>
        <v/>
      </c>
      <c r="BW516">
        <f>IFERROR(INDEX(PP_Grid[#Data],$DE516,72),0)</f>
        <v/>
      </c>
      <c r="BX516">
        <f>IFERROR(INDEX(PP_Grid[#Data],$DE516,73),0)</f>
        <v/>
      </c>
      <c r="BY516">
        <f>IFERROR(INDEX(PP_Grid[#Data],$DE516,74),0)</f>
        <v/>
      </c>
      <c r="BZ516">
        <f>IFERROR(INDEX(PP_Grid[#Data],$DE516,75),0)</f>
        <v/>
      </c>
      <c r="CA516">
        <f>IFERROR(INDEX(PP_Grid[#Data],$DE516,76),0)</f>
        <v/>
      </c>
      <c r="CB516">
        <f>IFERROR(INDEX(PP_Grid[#Data],$DE516,77),0)</f>
        <v/>
      </c>
      <c r="CC516">
        <f>IFERROR(INDEX(PP_Grid[#Data],$DE516,78),0)</f>
        <v/>
      </c>
      <c r="CD516">
        <f>IFERROR(INDEX(PP_Grid[#Data],$DE516,79),0)</f>
        <v/>
      </c>
      <c r="CE516">
        <f>IFERROR(INDEX(PP_Grid[#Data],$DE516,80),0)</f>
        <v/>
      </c>
      <c r="CF516">
        <f>IFERROR(INDEX(PP_Grid[#Data],$DE516,81),0)</f>
        <v/>
      </c>
      <c r="CG516">
        <f>IFERROR(INDEX(PP_Grid[#Data],$DE516,82),0)</f>
        <v/>
      </c>
      <c r="CH516">
        <f>IFERROR(INDEX(PP_Grid[#Data],$DE516,83),0)</f>
        <v/>
      </c>
      <c r="CI516">
        <f>IFERROR(INDEX(PP_Grid[#Data],$DE516,84),0)</f>
        <v/>
      </c>
      <c r="CJ516">
        <f>IFERROR(INDEX(PP_Grid[#Data],$DE516,85),0)</f>
        <v/>
      </c>
      <c r="CK516">
        <f>IFERROR(INDEX(PP_Grid[#Data],$DE516,86),0)</f>
        <v/>
      </c>
      <c r="CL516">
        <f>IFERROR(INDEX(PP_Grid[#Data],$DE516,87),0)</f>
        <v/>
      </c>
      <c r="CM516">
        <f>IFERROR(INDEX(PP_Grid[#Data],$DE516,88),0)</f>
        <v/>
      </c>
      <c r="CN516">
        <f>IFERROR(INDEX(PP_Grid[#Data],$DE516,89),0)</f>
        <v/>
      </c>
      <c r="CO516">
        <f>IFERROR(INDEX(PP_Grid[#Data],$DE516,90),0)</f>
        <v/>
      </c>
      <c r="CP516">
        <f>IFERROR(INDEX(PP_Grid[#Data],$DE516,91),0)</f>
        <v/>
      </c>
      <c r="CQ516">
        <f>IFERROR(INDEX(PP_Grid[#Data],$DE516,92),0)</f>
        <v/>
      </c>
      <c r="CR516">
        <f>IFERROR(INDEX(PP_Grid[#Data],$DE516,93),0)</f>
        <v/>
      </c>
      <c r="CS516">
        <f>IFERROR(INDEX(PP_Grid[#Data],$DE516,94),0)</f>
        <v/>
      </c>
      <c r="CT516">
        <f>IFERROR(INDEX(PP_Grid[#Data],$DE516,95),0)</f>
        <v/>
      </c>
      <c r="CU516">
        <f>IFERROR(INDEX(PP_Grid[#Data],$DE516,96),0)</f>
        <v/>
      </c>
      <c r="CV516">
        <f>IFERROR(INDEX(PP_Grid[#Data],$DE516,97),0)</f>
        <v/>
      </c>
      <c r="CW516">
        <f>IFERROR(INDEX(PP_Grid[#Data],$DE516,98),0)</f>
        <v/>
      </c>
      <c r="CX516">
        <f>IFERROR(INDEX(PP_Grid[#Data],$DE516,99),0)</f>
        <v/>
      </c>
      <c r="CY516">
        <f>IFERROR(INDEX(PP_Grid[#Data],$DE516,100),0)</f>
        <v/>
      </c>
      <c r="CZ516">
        <f>IFERROR(INDEX(PP_Grid[#Data],$DE516,101),0)</f>
        <v/>
      </c>
      <c r="DA516">
        <f>IFERROR(INDEX(PP_Grid[#Data],$DE516,102),0)</f>
        <v/>
      </c>
      <c r="DB516">
        <f>IFERROR(INDEX(PP_Grid[#Data],$DE516,103),0)</f>
        <v/>
      </c>
      <c r="DC516">
        <f>IFERROR(INDEX(PP_Grid[#Data],$DE516,104),0)</f>
        <v/>
      </c>
      <c r="DD516">
        <f>IFERROR(INDEX(PP_Grid[#Data],$DE516,105),0)</f>
        <v/>
      </c>
      <c r="DE516" s="7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SUMIFS(M_BOM[RM_Qty_Per_Batch],M_BOM[Intermediate],$B516,M_BOM[RM_Code],$A497)</f>
        <v/>
      </c>
      <c r="D517">
        <f>IFERROR(INDEX(E517:DD517,$F$1),"")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  <c r="DD517">
        <f>$C517*DD516</f>
        <v/>
      </c>
    </row>
    <row r="518">
      <c r="B518" t="inlineStr">
        <is>
          <t>TSP-369</t>
        </is>
      </c>
      <c r="C518" t="inlineStr">
        <is>
          <t>No. of batches</t>
        </is>
      </c>
      <c r="D518">
        <f>IFERROR(INDEX(E518:DD518,$F$1),"")</f>
        <v/>
      </c>
      <c r="E518">
        <f>IFERROR(INDEX(PP_Grid[#Data],$DE518,2),0)</f>
        <v/>
      </c>
      <c r="F518">
        <f>IFERROR(INDEX(PP_Grid[#Data],$DE518,3),0)</f>
        <v/>
      </c>
      <c r="G518">
        <f>IFERROR(INDEX(PP_Grid[#Data],$DE518,4),0)</f>
        <v/>
      </c>
      <c r="H518">
        <f>IFERROR(INDEX(PP_Grid[#Data],$DE518,5),0)</f>
        <v/>
      </c>
      <c r="I518">
        <f>IFERROR(INDEX(PP_Grid[#Data],$DE518,6),0)</f>
        <v/>
      </c>
      <c r="J518">
        <f>IFERROR(INDEX(PP_Grid[#Data],$DE518,7),0)</f>
        <v/>
      </c>
      <c r="K518">
        <f>IFERROR(INDEX(PP_Grid[#Data],$DE518,8),0)</f>
        <v/>
      </c>
      <c r="L518">
        <f>IFERROR(INDEX(PP_Grid[#Data],$DE518,9),0)</f>
        <v/>
      </c>
      <c r="M518">
        <f>IFERROR(INDEX(PP_Grid[#Data],$DE518,10),0)</f>
        <v/>
      </c>
      <c r="N518">
        <f>IFERROR(INDEX(PP_Grid[#Data],$DE518,11),0)</f>
        <v/>
      </c>
      <c r="O518">
        <f>IFERROR(INDEX(PP_Grid[#Data],$DE518,12),0)</f>
        <v/>
      </c>
      <c r="P518">
        <f>IFERROR(INDEX(PP_Grid[#Data],$DE518,13),0)</f>
        <v/>
      </c>
      <c r="Q518">
        <f>IFERROR(INDEX(PP_Grid[#Data],$DE518,14),0)</f>
        <v/>
      </c>
      <c r="R518">
        <f>IFERROR(INDEX(PP_Grid[#Data],$DE518,15),0)</f>
        <v/>
      </c>
      <c r="S518">
        <f>IFERROR(INDEX(PP_Grid[#Data],$DE518,16),0)</f>
        <v/>
      </c>
      <c r="T518">
        <f>IFERROR(INDEX(PP_Grid[#Data],$DE518,17),0)</f>
        <v/>
      </c>
      <c r="U518">
        <f>IFERROR(INDEX(PP_Grid[#Data],$DE518,18),0)</f>
        <v/>
      </c>
      <c r="V518">
        <f>IFERROR(INDEX(PP_Grid[#Data],$DE518,19),0)</f>
        <v/>
      </c>
      <c r="W518">
        <f>IFERROR(INDEX(PP_Grid[#Data],$DE518,20),0)</f>
        <v/>
      </c>
      <c r="X518">
        <f>IFERROR(INDEX(PP_Grid[#Data],$DE518,21),0)</f>
        <v/>
      </c>
      <c r="Y518">
        <f>IFERROR(INDEX(PP_Grid[#Data],$DE518,22),0)</f>
        <v/>
      </c>
      <c r="Z518">
        <f>IFERROR(INDEX(PP_Grid[#Data],$DE518,23),0)</f>
        <v/>
      </c>
      <c r="AA518">
        <f>IFERROR(INDEX(PP_Grid[#Data],$DE518,24),0)</f>
        <v/>
      </c>
      <c r="AB518">
        <f>IFERROR(INDEX(PP_Grid[#Data],$DE518,25),0)</f>
        <v/>
      </c>
      <c r="AC518">
        <f>IFERROR(INDEX(PP_Grid[#Data],$DE518,26),0)</f>
        <v/>
      </c>
      <c r="AD518">
        <f>IFERROR(INDEX(PP_Grid[#Data],$DE518,27),0)</f>
        <v/>
      </c>
      <c r="AE518">
        <f>IFERROR(INDEX(PP_Grid[#Data],$DE518,28),0)</f>
        <v/>
      </c>
      <c r="AF518">
        <f>IFERROR(INDEX(PP_Grid[#Data],$DE518,29),0)</f>
        <v/>
      </c>
      <c r="AG518">
        <f>IFERROR(INDEX(PP_Grid[#Data],$DE518,30),0)</f>
        <v/>
      </c>
      <c r="AH518">
        <f>IFERROR(INDEX(PP_Grid[#Data],$DE518,31),0)</f>
        <v/>
      </c>
      <c r="AI518">
        <f>IFERROR(INDEX(PP_Grid[#Data],$DE518,32),0)</f>
        <v/>
      </c>
      <c r="AJ518">
        <f>IFERROR(INDEX(PP_Grid[#Data],$DE518,33),0)</f>
        <v/>
      </c>
      <c r="AK518">
        <f>IFERROR(INDEX(PP_Grid[#Data],$DE518,34),0)</f>
        <v/>
      </c>
      <c r="AL518">
        <f>IFERROR(INDEX(PP_Grid[#Data],$DE518,35),0)</f>
        <v/>
      </c>
      <c r="AM518">
        <f>IFERROR(INDEX(PP_Grid[#Data],$DE518,36),0)</f>
        <v/>
      </c>
      <c r="AN518">
        <f>IFERROR(INDEX(PP_Grid[#Data],$DE518,37),0)</f>
        <v/>
      </c>
      <c r="AO518">
        <f>IFERROR(INDEX(PP_Grid[#Data],$DE518,38),0)</f>
        <v/>
      </c>
      <c r="AP518">
        <f>IFERROR(INDEX(PP_Grid[#Data],$DE518,39),0)</f>
        <v/>
      </c>
      <c r="AQ518">
        <f>IFERROR(INDEX(PP_Grid[#Data],$DE518,40),0)</f>
        <v/>
      </c>
      <c r="AR518">
        <f>IFERROR(INDEX(PP_Grid[#Data],$DE518,41),0)</f>
        <v/>
      </c>
      <c r="AS518">
        <f>IFERROR(INDEX(PP_Grid[#Data],$DE518,42),0)</f>
        <v/>
      </c>
      <c r="AT518">
        <f>IFERROR(INDEX(PP_Grid[#Data],$DE518,43),0)</f>
        <v/>
      </c>
      <c r="AU518">
        <f>IFERROR(INDEX(PP_Grid[#Data],$DE518,44),0)</f>
        <v/>
      </c>
      <c r="AV518">
        <f>IFERROR(INDEX(PP_Grid[#Data],$DE518,45),0)</f>
        <v/>
      </c>
      <c r="AW518">
        <f>IFERROR(INDEX(PP_Grid[#Data],$DE518,46),0)</f>
        <v/>
      </c>
      <c r="AX518">
        <f>IFERROR(INDEX(PP_Grid[#Data],$DE518,47),0)</f>
        <v/>
      </c>
      <c r="AY518">
        <f>IFERROR(INDEX(PP_Grid[#Data],$DE518,48),0)</f>
        <v/>
      </c>
      <c r="AZ518">
        <f>IFERROR(INDEX(PP_Grid[#Data],$DE518,49),0)</f>
        <v/>
      </c>
      <c r="BA518">
        <f>IFERROR(INDEX(PP_Grid[#Data],$DE518,50),0)</f>
        <v/>
      </c>
      <c r="BB518">
        <f>IFERROR(INDEX(PP_Grid[#Data],$DE518,51),0)</f>
        <v/>
      </c>
      <c r="BC518">
        <f>IFERROR(INDEX(PP_Grid[#Data],$DE518,52),0)</f>
        <v/>
      </c>
      <c r="BD518">
        <f>IFERROR(INDEX(PP_Grid[#Data],$DE518,53),0)</f>
        <v/>
      </c>
      <c r="BE518">
        <f>IFERROR(INDEX(PP_Grid[#Data],$DE518,54),0)</f>
        <v/>
      </c>
      <c r="BF518">
        <f>IFERROR(INDEX(PP_Grid[#Data],$DE518,55),0)</f>
        <v/>
      </c>
      <c r="BG518">
        <f>IFERROR(INDEX(PP_Grid[#Data],$DE518,56),0)</f>
        <v/>
      </c>
      <c r="BH518">
        <f>IFERROR(INDEX(PP_Grid[#Data],$DE518,57),0)</f>
        <v/>
      </c>
      <c r="BI518">
        <f>IFERROR(INDEX(PP_Grid[#Data],$DE518,58),0)</f>
        <v/>
      </c>
      <c r="BJ518">
        <f>IFERROR(INDEX(PP_Grid[#Data],$DE518,59),0)</f>
        <v/>
      </c>
      <c r="BK518">
        <f>IFERROR(INDEX(PP_Grid[#Data],$DE518,60),0)</f>
        <v/>
      </c>
      <c r="BL518">
        <f>IFERROR(INDEX(PP_Grid[#Data],$DE518,61),0)</f>
        <v/>
      </c>
      <c r="BM518">
        <f>IFERROR(INDEX(PP_Grid[#Data],$DE518,62),0)</f>
        <v/>
      </c>
      <c r="BN518">
        <f>IFERROR(INDEX(PP_Grid[#Data],$DE518,63),0)</f>
        <v/>
      </c>
      <c r="BO518">
        <f>IFERROR(INDEX(PP_Grid[#Data],$DE518,64),0)</f>
        <v/>
      </c>
      <c r="BP518">
        <f>IFERROR(INDEX(PP_Grid[#Data],$DE518,65),0)</f>
        <v/>
      </c>
      <c r="BQ518">
        <f>IFERROR(INDEX(PP_Grid[#Data],$DE518,66),0)</f>
        <v/>
      </c>
      <c r="BR518">
        <f>IFERROR(INDEX(PP_Grid[#Data],$DE518,67),0)</f>
        <v/>
      </c>
      <c r="BS518">
        <f>IFERROR(INDEX(PP_Grid[#Data],$DE518,68),0)</f>
        <v/>
      </c>
      <c r="BT518">
        <f>IFERROR(INDEX(PP_Grid[#Data],$DE518,69),0)</f>
        <v/>
      </c>
      <c r="BU518">
        <f>IFERROR(INDEX(PP_Grid[#Data],$DE518,70),0)</f>
        <v/>
      </c>
      <c r="BV518">
        <f>IFERROR(INDEX(PP_Grid[#Data],$DE518,71),0)</f>
        <v/>
      </c>
      <c r="BW518">
        <f>IFERROR(INDEX(PP_Grid[#Data],$DE518,72),0)</f>
        <v/>
      </c>
      <c r="BX518">
        <f>IFERROR(INDEX(PP_Grid[#Data],$DE518,73),0)</f>
        <v/>
      </c>
      <c r="BY518">
        <f>IFERROR(INDEX(PP_Grid[#Data],$DE518,74),0)</f>
        <v/>
      </c>
      <c r="BZ518">
        <f>IFERROR(INDEX(PP_Grid[#Data],$DE518,75),0)</f>
        <v/>
      </c>
      <c r="CA518">
        <f>IFERROR(INDEX(PP_Grid[#Data],$DE518,76),0)</f>
        <v/>
      </c>
      <c r="CB518">
        <f>IFERROR(INDEX(PP_Grid[#Data],$DE518,77),0)</f>
        <v/>
      </c>
      <c r="CC518">
        <f>IFERROR(INDEX(PP_Grid[#Data],$DE518,78),0)</f>
        <v/>
      </c>
      <c r="CD518">
        <f>IFERROR(INDEX(PP_Grid[#Data],$DE518,79),0)</f>
        <v/>
      </c>
      <c r="CE518">
        <f>IFERROR(INDEX(PP_Grid[#Data],$DE518,80),0)</f>
        <v/>
      </c>
      <c r="CF518">
        <f>IFERROR(INDEX(PP_Grid[#Data],$DE518,81),0)</f>
        <v/>
      </c>
      <c r="CG518">
        <f>IFERROR(INDEX(PP_Grid[#Data],$DE518,82),0)</f>
        <v/>
      </c>
      <c r="CH518">
        <f>IFERROR(INDEX(PP_Grid[#Data],$DE518,83),0)</f>
        <v/>
      </c>
      <c r="CI518">
        <f>IFERROR(INDEX(PP_Grid[#Data],$DE518,84),0)</f>
        <v/>
      </c>
      <c r="CJ518">
        <f>IFERROR(INDEX(PP_Grid[#Data],$DE518,85),0)</f>
        <v/>
      </c>
      <c r="CK518">
        <f>IFERROR(INDEX(PP_Grid[#Data],$DE518,86),0)</f>
        <v/>
      </c>
      <c r="CL518">
        <f>IFERROR(INDEX(PP_Grid[#Data],$DE518,87),0)</f>
        <v/>
      </c>
      <c r="CM518">
        <f>IFERROR(INDEX(PP_Grid[#Data],$DE518,88),0)</f>
        <v/>
      </c>
      <c r="CN518">
        <f>IFERROR(INDEX(PP_Grid[#Data],$DE518,89),0)</f>
        <v/>
      </c>
      <c r="CO518">
        <f>IFERROR(INDEX(PP_Grid[#Data],$DE518,90),0)</f>
        <v/>
      </c>
      <c r="CP518">
        <f>IFERROR(INDEX(PP_Grid[#Data],$DE518,91),0)</f>
        <v/>
      </c>
      <c r="CQ518">
        <f>IFERROR(INDEX(PP_Grid[#Data],$DE518,92),0)</f>
        <v/>
      </c>
      <c r="CR518">
        <f>IFERROR(INDEX(PP_Grid[#Data],$DE518,93),0)</f>
        <v/>
      </c>
      <c r="CS518">
        <f>IFERROR(INDEX(PP_Grid[#Data],$DE518,94),0)</f>
        <v/>
      </c>
      <c r="CT518">
        <f>IFERROR(INDEX(PP_Grid[#Data],$DE518,95),0)</f>
        <v/>
      </c>
      <c r="CU518">
        <f>IFERROR(INDEX(PP_Grid[#Data],$DE518,96),0)</f>
        <v/>
      </c>
      <c r="CV518">
        <f>IFERROR(INDEX(PP_Grid[#Data],$DE518,97),0)</f>
        <v/>
      </c>
      <c r="CW518">
        <f>IFERROR(INDEX(PP_Grid[#Data],$DE518,98),0)</f>
        <v/>
      </c>
      <c r="CX518">
        <f>IFERROR(INDEX(PP_Grid[#Data],$DE518,99),0)</f>
        <v/>
      </c>
      <c r="CY518">
        <f>IFERROR(INDEX(PP_Grid[#Data],$DE518,100),0)</f>
        <v/>
      </c>
      <c r="CZ518">
        <f>IFERROR(INDEX(PP_Grid[#Data],$DE518,101),0)</f>
        <v/>
      </c>
      <c r="DA518">
        <f>IFERROR(INDEX(PP_Grid[#Data],$DE518,102),0)</f>
        <v/>
      </c>
      <c r="DB518">
        <f>IFERROR(INDEX(PP_Grid[#Data],$DE518,103),0)</f>
        <v/>
      </c>
      <c r="DC518">
        <f>IFERROR(INDEX(PP_Grid[#Data],$DE518,104),0)</f>
        <v/>
      </c>
      <c r="DD518">
        <f>IFERROR(INDEX(PP_Grid[#Data],$DE518,105),0)</f>
        <v/>
      </c>
      <c r="DE518" s="7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SUMIFS(M_BOM[RM_Qty_Per_Batch],M_BOM[Intermediate],$B518,M_BOM[RM_Code],$A497)</f>
        <v/>
      </c>
      <c r="D519">
        <f>IFERROR(INDEX(E519:DD519,$F$1),"")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  <c r="DD519">
        <f>$C519*DD518</f>
        <v/>
      </c>
    </row>
    <row r="520">
      <c r="B520" t="inlineStr">
        <is>
          <t>TSP-390</t>
        </is>
      </c>
      <c r="C520" t="inlineStr">
        <is>
          <t>No. of batches</t>
        </is>
      </c>
      <c r="D520">
        <f>IFERROR(INDEX(E520:DD520,$F$1),"")</f>
        <v/>
      </c>
      <c r="E520">
        <f>IFERROR(INDEX(PP_Grid[#Data],$DE520,2),0)</f>
        <v/>
      </c>
      <c r="F520">
        <f>IFERROR(INDEX(PP_Grid[#Data],$DE520,3),0)</f>
        <v/>
      </c>
      <c r="G520">
        <f>IFERROR(INDEX(PP_Grid[#Data],$DE520,4),0)</f>
        <v/>
      </c>
      <c r="H520">
        <f>IFERROR(INDEX(PP_Grid[#Data],$DE520,5),0)</f>
        <v/>
      </c>
      <c r="I520">
        <f>IFERROR(INDEX(PP_Grid[#Data],$DE520,6),0)</f>
        <v/>
      </c>
      <c r="J520">
        <f>IFERROR(INDEX(PP_Grid[#Data],$DE520,7),0)</f>
        <v/>
      </c>
      <c r="K520">
        <f>IFERROR(INDEX(PP_Grid[#Data],$DE520,8),0)</f>
        <v/>
      </c>
      <c r="L520">
        <f>IFERROR(INDEX(PP_Grid[#Data],$DE520,9),0)</f>
        <v/>
      </c>
      <c r="M520">
        <f>IFERROR(INDEX(PP_Grid[#Data],$DE520,10),0)</f>
        <v/>
      </c>
      <c r="N520">
        <f>IFERROR(INDEX(PP_Grid[#Data],$DE520,11),0)</f>
        <v/>
      </c>
      <c r="O520">
        <f>IFERROR(INDEX(PP_Grid[#Data],$DE520,12),0)</f>
        <v/>
      </c>
      <c r="P520">
        <f>IFERROR(INDEX(PP_Grid[#Data],$DE520,13),0)</f>
        <v/>
      </c>
      <c r="Q520">
        <f>IFERROR(INDEX(PP_Grid[#Data],$DE520,14),0)</f>
        <v/>
      </c>
      <c r="R520">
        <f>IFERROR(INDEX(PP_Grid[#Data],$DE520,15),0)</f>
        <v/>
      </c>
      <c r="S520">
        <f>IFERROR(INDEX(PP_Grid[#Data],$DE520,16),0)</f>
        <v/>
      </c>
      <c r="T520">
        <f>IFERROR(INDEX(PP_Grid[#Data],$DE520,17),0)</f>
        <v/>
      </c>
      <c r="U520">
        <f>IFERROR(INDEX(PP_Grid[#Data],$DE520,18),0)</f>
        <v/>
      </c>
      <c r="V520">
        <f>IFERROR(INDEX(PP_Grid[#Data],$DE520,19),0)</f>
        <v/>
      </c>
      <c r="W520">
        <f>IFERROR(INDEX(PP_Grid[#Data],$DE520,20),0)</f>
        <v/>
      </c>
      <c r="X520">
        <f>IFERROR(INDEX(PP_Grid[#Data],$DE520,21),0)</f>
        <v/>
      </c>
      <c r="Y520">
        <f>IFERROR(INDEX(PP_Grid[#Data],$DE520,22),0)</f>
        <v/>
      </c>
      <c r="Z520">
        <f>IFERROR(INDEX(PP_Grid[#Data],$DE520,23),0)</f>
        <v/>
      </c>
      <c r="AA520">
        <f>IFERROR(INDEX(PP_Grid[#Data],$DE520,24),0)</f>
        <v/>
      </c>
      <c r="AB520">
        <f>IFERROR(INDEX(PP_Grid[#Data],$DE520,25),0)</f>
        <v/>
      </c>
      <c r="AC520">
        <f>IFERROR(INDEX(PP_Grid[#Data],$DE520,26),0)</f>
        <v/>
      </c>
      <c r="AD520">
        <f>IFERROR(INDEX(PP_Grid[#Data],$DE520,27),0)</f>
        <v/>
      </c>
      <c r="AE520">
        <f>IFERROR(INDEX(PP_Grid[#Data],$DE520,28),0)</f>
        <v/>
      </c>
      <c r="AF520">
        <f>IFERROR(INDEX(PP_Grid[#Data],$DE520,29),0)</f>
        <v/>
      </c>
      <c r="AG520">
        <f>IFERROR(INDEX(PP_Grid[#Data],$DE520,30),0)</f>
        <v/>
      </c>
      <c r="AH520">
        <f>IFERROR(INDEX(PP_Grid[#Data],$DE520,31),0)</f>
        <v/>
      </c>
      <c r="AI520">
        <f>IFERROR(INDEX(PP_Grid[#Data],$DE520,32),0)</f>
        <v/>
      </c>
      <c r="AJ520">
        <f>IFERROR(INDEX(PP_Grid[#Data],$DE520,33),0)</f>
        <v/>
      </c>
      <c r="AK520">
        <f>IFERROR(INDEX(PP_Grid[#Data],$DE520,34),0)</f>
        <v/>
      </c>
      <c r="AL520">
        <f>IFERROR(INDEX(PP_Grid[#Data],$DE520,35),0)</f>
        <v/>
      </c>
      <c r="AM520">
        <f>IFERROR(INDEX(PP_Grid[#Data],$DE520,36),0)</f>
        <v/>
      </c>
      <c r="AN520">
        <f>IFERROR(INDEX(PP_Grid[#Data],$DE520,37),0)</f>
        <v/>
      </c>
      <c r="AO520">
        <f>IFERROR(INDEX(PP_Grid[#Data],$DE520,38),0)</f>
        <v/>
      </c>
      <c r="AP520">
        <f>IFERROR(INDEX(PP_Grid[#Data],$DE520,39),0)</f>
        <v/>
      </c>
      <c r="AQ520">
        <f>IFERROR(INDEX(PP_Grid[#Data],$DE520,40),0)</f>
        <v/>
      </c>
      <c r="AR520">
        <f>IFERROR(INDEX(PP_Grid[#Data],$DE520,41),0)</f>
        <v/>
      </c>
      <c r="AS520">
        <f>IFERROR(INDEX(PP_Grid[#Data],$DE520,42),0)</f>
        <v/>
      </c>
      <c r="AT520">
        <f>IFERROR(INDEX(PP_Grid[#Data],$DE520,43),0)</f>
        <v/>
      </c>
      <c r="AU520">
        <f>IFERROR(INDEX(PP_Grid[#Data],$DE520,44),0)</f>
        <v/>
      </c>
      <c r="AV520">
        <f>IFERROR(INDEX(PP_Grid[#Data],$DE520,45),0)</f>
        <v/>
      </c>
      <c r="AW520">
        <f>IFERROR(INDEX(PP_Grid[#Data],$DE520,46),0)</f>
        <v/>
      </c>
      <c r="AX520">
        <f>IFERROR(INDEX(PP_Grid[#Data],$DE520,47),0)</f>
        <v/>
      </c>
      <c r="AY520">
        <f>IFERROR(INDEX(PP_Grid[#Data],$DE520,48),0)</f>
        <v/>
      </c>
      <c r="AZ520">
        <f>IFERROR(INDEX(PP_Grid[#Data],$DE520,49),0)</f>
        <v/>
      </c>
      <c r="BA520">
        <f>IFERROR(INDEX(PP_Grid[#Data],$DE520,50),0)</f>
        <v/>
      </c>
      <c r="BB520">
        <f>IFERROR(INDEX(PP_Grid[#Data],$DE520,51),0)</f>
        <v/>
      </c>
      <c r="BC520">
        <f>IFERROR(INDEX(PP_Grid[#Data],$DE520,52),0)</f>
        <v/>
      </c>
      <c r="BD520">
        <f>IFERROR(INDEX(PP_Grid[#Data],$DE520,53),0)</f>
        <v/>
      </c>
      <c r="BE520">
        <f>IFERROR(INDEX(PP_Grid[#Data],$DE520,54),0)</f>
        <v/>
      </c>
      <c r="BF520">
        <f>IFERROR(INDEX(PP_Grid[#Data],$DE520,55),0)</f>
        <v/>
      </c>
      <c r="BG520">
        <f>IFERROR(INDEX(PP_Grid[#Data],$DE520,56),0)</f>
        <v/>
      </c>
      <c r="BH520">
        <f>IFERROR(INDEX(PP_Grid[#Data],$DE520,57),0)</f>
        <v/>
      </c>
      <c r="BI520">
        <f>IFERROR(INDEX(PP_Grid[#Data],$DE520,58),0)</f>
        <v/>
      </c>
      <c r="BJ520">
        <f>IFERROR(INDEX(PP_Grid[#Data],$DE520,59),0)</f>
        <v/>
      </c>
      <c r="BK520">
        <f>IFERROR(INDEX(PP_Grid[#Data],$DE520,60),0)</f>
        <v/>
      </c>
      <c r="BL520">
        <f>IFERROR(INDEX(PP_Grid[#Data],$DE520,61),0)</f>
        <v/>
      </c>
      <c r="BM520">
        <f>IFERROR(INDEX(PP_Grid[#Data],$DE520,62),0)</f>
        <v/>
      </c>
      <c r="BN520">
        <f>IFERROR(INDEX(PP_Grid[#Data],$DE520,63),0)</f>
        <v/>
      </c>
      <c r="BO520">
        <f>IFERROR(INDEX(PP_Grid[#Data],$DE520,64),0)</f>
        <v/>
      </c>
      <c r="BP520">
        <f>IFERROR(INDEX(PP_Grid[#Data],$DE520,65),0)</f>
        <v/>
      </c>
      <c r="BQ520">
        <f>IFERROR(INDEX(PP_Grid[#Data],$DE520,66),0)</f>
        <v/>
      </c>
      <c r="BR520">
        <f>IFERROR(INDEX(PP_Grid[#Data],$DE520,67),0)</f>
        <v/>
      </c>
      <c r="BS520">
        <f>IFERROR(INDEX(PP_Grid[#Data],$DE520,68),0)</f>
        <v/>
      </c>
      <c r="BT520">
        <f>IFERROR(INDEX(PP_Grid[#Data],$DE520,69),0)</f>
        <v/>
      </c>
      <c r="BU520">
        <f>IFERROR(INDEX(PP_Grid[#Data],$DE520,70),0)</f>
        <v/>
      </c>
      <c r="BV520">
        <f>IFERROR(INDEX(PP_Grid[#Data],$DE520,71),0)</f>
        <v/>
      </c>
      <c r="BW520">
        <f>IFERROR(INDEX(PP_Grid[#Data],$DE520,72),0)</f>
        <v/>
      </c>
      <c r="BX520">
        <f>IFERROR(INDEX(PP_Grid[#Data],$DE520,73),0)</f>
        <v/>
      </c>
      <c r="BY520">
        <f>IFERROR(INDEX(PP_Grid[#Data],$DE520,74),0)</f>
        <v/>
      </c>
      <c r="BZ520">
        <f>IFERROR(INDEX(PP_Grid[#Data],$DE520,75),0)</f>
        <v/>
      </c>
      <c r="CA520">
        <f>IFERROR(INDEX(PP_Grid[#Data],$DE520,76),0)</f>
        <v/>
      </c>
      <c r="CB520">
        <f>IFERROR(INDEX(PP_Grid[#Data],$DE520,77),0)</f>
        <v/>
      </c>
      <c r="CC520">
        <f>IFERROR(INDEX(PP_Grid[#Data],$DE520,78),0)</f>
        <v/>
      </c>
      <c r="CD520">
        <f>IFERROR(INDEX(PP_Grid[#Data],$DE520,79),0)</f>
        <v/>
      </c>
      <c r="CE520">
        <f>IFERROR(INDEX(PP_Grid[#Data],$DE520,80),0)</f>
        <v/>
      </c>
      <c r="CF520">
        <f>IFERROR(INDEX(PP_Grid[#Data],$DE520,81),0)</f>
        <v/>
      </c>
      <c r="CG520">
        <f>IFERROR(INDEX(PP_Grid[#Data],$DE520,82),0)</f>
        <v/>
      </c>
      <c r="CH520">
        <f>IFERROR(INDEX(PP_Grid[#Data],$DE520,83),0)</f>
        <v/>
      </c>
      <c r="CI520">
        <f>IFERROR(INDEX(PP_Grid[#Data],$DE520,84),0)</f>
        <v/>
      </c>
      <c r="CJ520">
        <f>IFERROR(INDEX(PP_Grid[#Data],$DE520,85),0)</f>
        <v/>
      </c>
      <c r="CK520">
        <f>IFERROR(INDEX(PP_Grid[#Data],$DE520,86),0)</f>
        <v/>
      </c>
      <c r="CL520">
        <f>IFERROR(INDEX(PP_Grid[#Data],$DE520,87),0)</f>
        <v/>
      </c>
      <c r="CM520">
        <f>IFERROR(INDEX(PP_Grid[#Data],$DE520,88),0)</f>
        <v/>
      </c>
      <c r="CN520">
        <f>IFERROR(INDEX(PP_Grid[#Data],$DE520,89),0)</f>
        <v/>
      </c>
      <c r="CO520">
        <f>IFERROR(INDEX(PP_Grid[#Data],$DE520,90),0)</f>
        <v/>
      </c>
      <c r="CP520">
        <f>IFERROR(INDEX(PP_Grid[#Data],$DE520,91),0)</f>
        <v/>
      </c>
      <c r="CQ520">
        <f>IFERROR(INDEX(PP_Grid[#Data],$DE520,92),0)</f>
        <v/>
      </c>
      <c r="CR520">
        <f>IFERROR(INDEX(PP_Grid[#Data],$DE520,93),0)</f>
        <v/>
      </c>
      <c r="CS520">
        <f>IFERROR(INDEX(PP_Grid[#Data],$DE520,94),0)</f>
        <v/>
      </c>
      <c r="CT520">
        <f>IFERROR(INDEX(PP_Grid[#Data],$DE520,95),0)</f>
        <v/>
      </c>
      <c r="CU520">
        <f>IFERROR(INDEX(PP_Grid[#Data],$DE520,96),0)</f>
        <v/>
      </c>
      <c r="CV520">
        <f>IFERROR(INDEX(PP_Grid[#Data],$DE520,97),0)</f>
        <v/>
      </c>
      <c r="CW520">
        <f>IFERROR(INDEX(PP_Grid[#Data],$DE520,98),0)</f>
        <v/>
      </c>
      <c r="CX520">
        <f>IFERROR(INDEX(PP_Grid[#Data],$DE520,99),0)</f>
        <v/>
      </c>
      <c r="CY520">
        <f>IFERROR(INDEX(PP_Grid[#Data],$DE520,100),0)</f>
        <v/>
      </c>
      <c r="CZ520">
        <f>IFERROR(INDEX(PP_Grid[#Data],$DE520,101),0)</f>
        <v/>
      </c>
      <c r="DA520">
        <f>IFERROR(INDEX(PP_Grid[#Data],$DE520,102),0)</f>
        <v/>
      </c>
      <c r="DB520">
        <f>IFERROR(INDEX(PP_Grid[#Data],$DE520,103),0)</f>
        <v/>
      </c>
      <c r="DC520">
        <f>IFERROR(INDEX(PP_Grid[#Data],$DE520,104),0)</f>
        <v/>
      </c>
      <c r="DD520">
        <f>IFERROR(INDEX(PP_Grid[#Data],$DE520,105),0)</f>
        <v/>
      </c>
      <c r="DE520" s="7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SUMIFS(M_BOM[RM_Qty_Per_Batch],M_BOM[Intermediate],$B520,M_BOM[RM_Code],$A497)</f>
        <v/>
      </c>
      <c r="D521">
        <f>IFERROR(INDEX(E521:DD521,$F$1),"")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  <c r="DD521">
        <f>$C521*DD520</f>
        <v/>
      </c>
    </row>
    <row r="522">
      <c r="B522" t="inlineStr">
        <is>
          <t>TSP-399</t>
        </is>
      </c>
      <c r="C522" t="inlineStr">
        <is>
          <t>No. of batches</t>
        </is>
      </c>
      <c r="D522">
        <f>IFERROR(INDEX(E522:DD522,$F$1),"")</f>
        <v/>
      </c>
      <c r="E522">
        <f>IFERROR(INDEX(PP_Grid[#Data],$DE522,2),0)</f>
        <v/>
      </c>
      <c r="F522">
        <f>IFERROR(INDEX(PP_Grid[#Data],$DE522,3),0)</f>
        <v/>
      </c>
      <c r="G522">
        <f>IFERROR(INDEX(PP_Grid[#Data],$DE522,4),0)</f>
        <v/>
      </c>
      <c r="H522">
        <f>IFERROR(INDEX(PP_Grid[#Data],$DE522,5),0)</f>
        <v/>
      </c>
      <c r="I522">
        <f>IFERROR(INDEX(PP_Grid[#Data],$DE522,6),0)</f>
        <v/>
      </c>
      <c r="J522">
        <f>IFERROR(INDEX(PP_Grid[#Data],$DE522,7),0)</f>
        <v/>
      </c>
      <c r="K522">
        <f>IFERROR(INDEX(PP_Grid[#Data],$DE522,8),0)</f>
        <v/>
      </c>
      <c r="L522">
        <f>IFERROR(INDEX(PP_Grid[#Data],$DE522,9),0)</f>
        <v/>
      </c>
      <c r="M522">
        <f>IFERROR(INDEX(PP_Grid[#Data],$DE522,10),0)</f>
        <v/>
      </c>
      <c r="N522">
        <f>IFERROR(INDEX(PP_Grid[#Data],$DE522,11),0)</f>
        <v/>
      </c>
      <c r="O522">
        <f>IFERROR(INDEX(PP_Grid[#Data],$DE522,12),0)</f>
        <v/>
      </c>
      <c r="P522">
        <f>IFERROR(INDEX(PP_Grid[#Data],$DE522,13),0)</f>
        <v/>
      </c>
      <c r="Q522">
        <f>IFERROR(INDEX(PP_Grid[#Data],$DE522,14),0)</f>
        <v/>
      </c>
      <c r="R522">
        <f>IFERROR(INDEX(PP_Grid[#Data],$DE522,15),0)</f>
        <v/>
      </c>
      <c r="S522">
        <f>IFERROR(INDEX(PP_Grid[#Data],$DE522,16),0)</f>
        <v/>
      </c>
      <c r="T522">
        <f>IFERROR(INDEX(PP_Grid[#Data],$DE522,17),0)</f>
        <v/>
      </c>
      <c r="U522">
        <f>IFERROR(INDEX(PP_Grid[#Data],$DE522,18),0)</f>
        <v/>
      </c>
      <c r="V522">
        <f>IFERROR(INDEX(PP_Grid[#Data],$DE522,19),0)</f>
        <v/>
      </c>
      <c r="W522">
        <f>IFERROR(INDEX(PP_Grid[#Data],$DE522,20),0)</f>
        <v/>
      </c>
      <c r="X522">
        <f>IFERROR(INDEX(PP_Grid[#Data],$DE522,21),0)</f>
        <v/>
      </c>
      <c r="Y522">
        <f>IFERROR(INDEX(PP_Grid[#Data],$DE522,22),0)</f>
        <v/>
      </c>
      <c r="Z522">
        <f>IFERROR(INDEX(PP_Grid[#Data],$DE522,23),0)</f>
        <v/>
      </c>
      <c r="AA522">
        <f>IFERROR(INDEX(PP_Grid[#Data],$DE522,24),0)</f>
        <v/>
      </c>
      <c r="AB522">
        <f>IFERROR(INDEX(PP_Grid[#Data],$DE522,25),0)</f>
        <v/>
      </c>
      <c r="AC522">
        <f>IFERROR(INDEX(PP_Grid[#Data],$DE522,26),0)</f>
        <v/>
      </c>
      <c r="AD522">
        <f>IFERROR(INDEX(PP_Grid[#Data],$DE522,27),0)</f>
        <v/>
      </c>
      <c r="AE522">
        <f>IFERROR(INDEX(PP_Grid[#Data],$DE522,28),0)</f>
        <v/>
      </c>
      <c r="AF522">
        <f>IFERROR(INDEX(PP_Grid[#Data],$DE522,29),0)</f>
        <v/>
      </c>
      <c r="AG522">
        <f>IFERROR(INDEX(PP_Grid[#Data],$DE522,30),0)</f>
        <v/>
      </c>
      <c r="AH522">
        <f>IFERROR(INDEX(PP_Grid[#Data],$DE522,31),0)</f>
        <v/>
      </c>
      <c r="AI522">
        <f>IFERROR(INDEX(PP_Grid[#Data],$DE522,32),0)</f>
        <v/>
      </c>
      <c r="AJ522">
        <f>IFERROR(INDEX(PP_Grid[#Data],$DE522,33),0)</f>
        <v/>
      </c>
      <c r="AK522">
        <f>IFERROR(INDEX(PP_Grid[#Data],$DE522,34),0)</f>
        <v/>
      </c>
      <c r="AL522">
        <f>IFERROR(INDEX(PP_Grid[#Data],$DE522,35),0)</f>
        <v/>
      </c>
      <c r="AM522">
        <f>IFERROR(INDEX(PP_Grid[#Data],$DE522,36),0)</f>
        <v/>
      </c>
      <c r="AN522">
        <f>IFERROR(INDEX(PP_Grid[#Data],$DE522,37),0)</f>
        <v/>
      </c>
      <c r="AO522">
        <f>IFERROR(INDEX(PP_Grid[#Data],$DE522,38),0)</f>
        <v/>
      </c>
      <c r="AP522">
        <f>IFERROR(INDEX(PP_Grid[#Data],$DE522,39),0)</f>
        <v/>
      </c>
      <c r="AQ522">
        <f>IFERROR(INDEX(PP_Grid[#Data],$DE522,40),0)</f>
        <v/>
      </c>
      <c r="AR522">
        <f>IFERROR(INDEX(PP_Grid[#Data],$DE522,41),0)</f>
        <v/>
      </c>
      <c r="AS522">
        <f>IFERROR(INDEX(PP_Grid[#Data],$DE522,42),0)</f>
        <v/>
      </c>
      <c r="AT522">
        <f>IFERROR(INDEX(PP_Grid[#Data],$DE522,43),0)</f>
        <v/>
      </c>
      <c r="AU522">
        <f>IFERROR(INDEX(PP_Grid[#Data],$DE522,44),0)</f>
        <v/>
      </c>
      <c r="AV522">
        <f>IFERROR(INDEX(PP_Grid[#Data],$DE522,45),0)</f>
        <v/>
      </c>
      <c r="AW522">
        <f>IFERROR(INDEX(PP_Grid[#Data],$DE522,46),0)</f>
        <v/>
      </c>
      <c r="AX522">
        <f>IFERROR(INDEX(PP_Grid[#Data],$DE522,47),0)</f>
        <v/>
      </c>
      <c r="AY522">
        <f>IFERROR(INDEX(PP_Grid[#Data],$DE522,48),0)</f>
        <v/>
      </c>
      <c r="AZ522">
        <f>IFERROR(INDEX(PP_Grid[#Data],$DE522,49),0)</f>
        <v/>
      </c>
      <c r="BA522">
        <f>IFERROR(INDEX(PP_Grid[#Data],$DE522,50),0)</f>
        <v/>
      </c>
      <c r="BB522">
        <f>IFERROR(INDEX(PP_Grid[#Data],$DE522,51),0)</f>
        <v/>
      </c>
      <c r="BC522">
        <f>IFERROR(INDEX(PP_Grid[#Data],$DE522,52),0)</f>
        <v/>
      </c>
      <c r="BD522">
        <f>IFERROR(INDEX(PP_Grid[#Data],$DE522,53),0)</f>
        <v/>
      </c>
      <c r="BE522">
        <f>IFERROR(INDEX(PP_Grid[#Data],$DE522,54),0)</f>
        <v/>
      </c>
      <c r="BF522">
        <f>IFERROR(INDEX(PP_Grid[#Data],$DE522,55),0)</f>
        <v/>
      </c>
      <c r="BG522">
        <f>IFERROR(INDEX(PP_Grid[#Data],$DE522,56),0)</f>
        <v/>
      </c>
      <c r="BH522">
        <f>IFERROR(INDEX(PP_Grid[#Data],$DE522,57),0)</f>
        <v/>
      </c>
      <c r="BI522">
        <f>IFERROR(INDEX(PP_Grid[#Data],$DE522,58),0)</f>
        <v/>
      </c>
      <c r="BJ522">
        <f>IFERROR(INDEX(PP_Grid[#Data],$DE522,59),0)</f>
        <v/>
      </c>
      <c r="BK522">
        <f>IFERROR(INDEX(PP_Grid[#Data],$DE522,60),0)</f>
        <v/>
      </c>
      <c r="BL522">
        <f>IFERROR(INDEX(PP_Grid[#Data],$DE522,61),0)</f>
        <v/>
      </c>
      <c r="BM522">
        <f>IFERROR(INDEX(PP_Grid[#Data],$DE522,62),0)</f>
        <v/>
      </c>
      <c r="BN522">
        <f>IFERROR(INDEX(PP_Grid[#Data],$DE522,63),0)</f>
        <v/>
      </c>
      <c r="BO522">
        <f>IFERROR(INDEX(PP_Grid[#Data],$DE522,64),0)</f>
        <v/>
      </c>
      <c r="BP522">
        <f>IFERROR(INDEX(PP_Grid[#Data],$DE522,65),0)</f>
        <v/>
      </c>
      <c r="BQ522">
        <f>IFERROR(INDEX(PP_Grid[#Data],$DE522,66),0)</f>
        <v/>
      </c>
      <c r="BR522">
        <f>IFERROR(INDEX(PP_Grid[#Data],$DE522,67),0)</f>
        <v/>
      </c>
      <c r="BS522">
        <f>IFERROR(INDEX(PP_Grid[#Data],$DE522,68),0)</f>
        <v/>
      </c>
      <c r="BT522">
        <f>IFERROR(INDEX(PP_Grid[#Data],$DE522,69),0)</f>
        <v/>
      </c>
      <c r="BU522">
        <f>IFERROR(INDEX(PP_Grid[#Data],$DE522,70),0)</f>
        <v/>
      </c>
      <c r="BV522">
        <f>IFERROR(INDEX(PP_Grid[#Data],$DE522,71),0)</f>
        <v/>
      </c>
      <c r="BW522">
        <f>IFERROR(INDEX(PP_Grid[#Data],$DE522,72),0)</f>
        <v/>
      </c>
      <c r="BX522">
        <f>IFERROR(INDEX(PP_Grid[#Data],$DE522,73),0)</f>
        <v/>
      </c>
      <c r="BY522">
        <f>IFERROR(INDEX(PP_Grid[#Data],$DE522,74),0)</f>
        <v/>
      </c>
      <c r="BZ522">
        <f>IFERROR(INDEX(PP_Grid[#Data],$DE522,75),0)</f>
        <v/>
      </c>
      <c r="CA522">
        <f>IFERROR(INDEX(PP_Grid[#Data],$DE522,76),0)</f>
        <v/>
      </c>
      <c r="CB522">
        <f>IFERROR(INDEX(PP_Grid[#Data],$DE522,77),0)</f>
        <v/>
      </c>
      <c r="CC522">
        <f>IFERROR(INDEX(PP_Grid[#Data],$DE522,78),0)</f>
        <v/>
      </c>
      <c r="CD522">
        <f>IFERROR(INDEX(PP_Grid[#Data],$DE522,79),0)</f>
        <v/>
      </c>
      <c r="CE522">
        <f>IFERROR(INDEX(PP_Grid[#Data],$DE522,80),0)</f>
        <v/>
      </c>
      <c r="CF522">
        <f>IFERROR(INDEX(PP_Grid[#Data],$DE522,81),0)</f>
        <v/>
      </c>
      <c r="CG522">
        <f>IFERROR(INDEX(PP_Grid[#Data],$DE522,82),0)</f>
        <v/>
      </c>
      <c r="CH522">
        <f>IFERROR(INDEX(PP_Grid[#Data],$DE522,83),0)</f>
        <v/>
      </c>
      <c r="CI522">
        <f>IFERROR(INDEX(PP_Grid[#Data],$DE522,84),0)</f>
        <v/>
      </c>
      <c r="CJ522">
        <f>IFERROR(INDEX(PP_Grid[#Data],$DE522,85),0)</f>
        <v/>
      </c>
      <c r="CK522">
        <f>IFERROR(INDEX(PP_Grid[#Data],$DE522,86),0)</f>
        <v/>
      </c>
      <c r="CL522">
        <f>IFERROR(INDEX(PP_Grid[#Data],$DE522,87),0)</f>
        <v/>
      </c>
      <c r="CM522">
        <f>IFERROR(INDEX(PP_Grid[#Data],$DE522,88),0)</f>
        <v/>
      </c>
      <c r="CN522">
        <f>IFERROR(INDEX(PP_Grid[#Data],$DE522,89),0)</f>
        <v/>
      </c>
      <c r="CO522">
        <f>IFERROR(INDEX(PP_Grid[#Data],$DE522,90),0)</f>
        <v/>
      </c>
      <c r="CP522">
        <f>IFERROR(INDEX(PP_Grid[#Data],$DE522,91),0)</f>
        <v/>
      </c>
      <c r="CQ522">
        <f>IFERROR(INDEX(PP_Grid[#Data],$DE522,92),0)</f>
        <v/>
      </c>
      <c r="CR522">
        <f>IFERROR(INDEX(PP_Grid[#Data],$DE522,93),0)</f>
        <v/>
      </c>
      <c r="CS522">
        <f>IFERROR(INDEX(PP_Grid[#Data],$DE522,94),0)</f>
        <v/>
      </c>
      <c r="CT522">
        <f>IFERROR(INDEX(PP_Grid[#Data],$DE522,95),0)</f>
        <v/>
      </c>
      <c r="CU522">
        <f>IFERROR(INDEX(PP_Grid[#Data],$DE522,96),0)</f>
        <v/>
      </c>
      <c r="CV522">
        <f>IFERROR(INDEX(PP_Grid[#Data],$DE522,97),0)</f>
        <v/>
      </c>
      <c r="CW522">
        <f>IFERROR(INDEX(PP_Grid[#Data],$DE522,98),0)</f>
        <v/>
      </c>
      <c r="CX522">
        <f>IFERROR(INDEX(PP_Grid[#Data],$DE522,99),0)</f>
        <v/>
      </c>
      <c r="CY522">
        <f>IFERROR(INDEX(PP_Grid[#Data],$DE522,100),0)</f>
        <v/>
      </c>
      <c r="CZ522">
        <f>IFERROR(INDEX(PP_Grid[#Data],$DE522,101),0)</f>
        <v/>
      </c>
      <c r="DA522">
        <f>IFERROR(INDEX(PP_Grid[#Data],$DE522,102),0)</f>
        <v/>
      </c>
      <c r="DB522">
        <f>IFERROR(INDEX(PP_Grid[#Data],$DE522,103),0)</f>
        <v/>
      </c>
      <c r="DC522">
        <f>IFERROR(INDEX(PP_Grid[#Data],$DE522,104),0)</f>
        <v/>
      </c>
      <c r="DD522">
        <f>IFERROR(INDEX(PP_Grid[#Data],$DE522,105),0)</f>
        <v/>
      </c>
      <c r="DE522" s="7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SUMIFS(M_BOM[RM_Qty_Per_Batch],M_BOM[Intermediate],$B522,M_BOM[RM_Code],$A497)</f>
        <v/>
      </c>
      <c r="D523">
        <f>IFERROR(INDEX(E523:DD523,$F$1),"")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  <c r="DD523">
        <f>$C523*DD522</f>
        <v/>
      </c>
    </row>
    <row r="524">
      <c r="B524" t="inlineStr">
        <is>
          <t>TSP-544</t>
        </is>
      </c>
      <c r="C524" t="inlineStr">
        <is>
          <t>No. of batches</t>
        </is>
      </c>
      <c r="D524">
        <f>IFERROR(INDEX(E524:DD524,$F$1),"")</f>
        <v/>
      </c>
      <c r="E524">
        <f>IFERROR(INDEX(PP_Grid[#Data],$DE524,2),0)</f>
        <v/>
      </c>
      <c r="F524">
        <f>IFERROR(INDEX(PP_Grid[#Data],$DE524,3),0)</f>
        <v/>
      </c>
      <c r="G524">
        <f>IFERROR(INDEX(PP_Grid[#Data],$DE524,4),0)</f>
        <v/>
      </c>
      <c r="H524">
        <f>IFERROR(INDEX(PP_Grid[#Data],$DE524,5),0)</f>
        <v/>
      </c>
      <c r="I524">
        <f>IFERROR(INDEX(PP_Grid[#Data],$DE524,6),0)</f>
        <v/>
      </c>
      <c r="J524">
        <f>IFERROR(INDEX(PP_Grid[#Data],$DE524,7),0)</f>
        <v/>
      </c>
      <c r="K524">
        <f>IFERROR(INDEX(PP_Grid[#Data],$DE524,8),0)</f>
        <v/>
      </c>
      <c r="L524">
        <f>IFERROR(INDEX(PP_Grid[#Data],$DE524,9),0)</f>
        <v/>
      </c>
      <c r="M524">
        <f>IFERROR(INDEX(PP_Grid[#Data],$DE524,10),0)</f>
        <v/>
      </c>
      <c r="N524">
        <f>IFERROR(INDEX(PP_Grid[#Data],$DE524,11),0)</f>
        <v/>
      </c>
      <c r="O524">
        <f>IFERROR(INDEX(PP_Grid[#Data],$DE524,12),0)</f>
        <v/>
      </c>
      <c r="P524">
        <f>IFERROR(INDEX(PP_Grid[#Data],$DE524,13),0)</f>
        <v/>
      </c>
      <c r="Q524">
        <f>IFERROR(INDEX(PP_Grid[#Data],$DE524,14),0)</f>
        <v/>
      </c>
      <c r="R524">
        <f>IFERROR(INDEX(PP_Grid[#Data],$DE524,15),0)</f>
        <v/>
      </c>
      <c r="S524">
        <f>IFERROR(INDEX(PP_Grid[#Data],$DE524,16),0)</f>
        <v/>
      </c>
      <c r="T524">
        <f>IFERROR(INDEX(PP_Grid[#Data],$DE524,17),0)</f>
        <v/>
      </c>
      <c r="U524">
        <f>IFERROR(INDEX(PP_Grid[#Data],$DE524,18),0)</f>
        <v/>
      </c>
      <c r="V524">
        <f>IFERROR(INDEX(PP_Grid[#Data],$DE524,19),0)</f>
        <v/>
      </c>
      <c r="W524">
        <f>IFERROR(INDEX(PP_Grid[#Data],$DE524,20),0)</f>
        <v/>
      </c>
      <c r="X524">
        <f>IFERROR(INDEX(PP_Grid[#Data],$DE524,21),0)</f>
        <v/>
      </c>
      <c r="Y524">
        <f>IFERROR(INDEX(PP_Grid[#Data],$DE524,22),0)</f>
        <v/>
      </c>
      <c r="Z524">
        <f>IFERROR(INDEX(PP_Grid[#Data],$DE524,23),0)</f>
        <v/>
      </c>
      <c r="AA524">
        <f>IFERROR(INDEX(PP_Grid[#Data],$DE524,24),0)</f>
        <v/>
      </c>
      <c r="AB524">
        <f>IFERROR(INDEX(PP_Grid[#Data],$DE524,25),0)</f>
        <v/>
      </c>
      <c r="AC524">
        <f>IFERROR(INDEX(PP_Grid[#Data],$DE524,26),0)</f>
        <v/>
      </c>
      <c r="AD524">
        <f>IFERROR(INDEX(PP_Grid[#Data],$DE524,27),0)</f>
        <v/>
      </c>
      <c r="AE524">
        <f>IFERROR(INDEX(PP_Grid[#Data],$DE524,28),0)</f>
        <v/>
      </c>
      <c r="AF524">
        <f>IFERROR(INDEX(PP_Grid[#Data],$DE524,29),0)</f>
        <v/>
      </c>
      <c r="AG524">
        <f>IFERROR(INDEX(PP_Grid[#Data],$DE524,30),0)</f>
        <v/>
      </c>
      <c r="AH524">
        <f>IFERROR(INDEX(PP_Grid[#Data],$DE524,31),0)</f>
        <v/>
      </c>
      <c r="AI524">
        <f>IFERROR(INDEX(PP_Grid[#Data],$DE524,32),0)</f>
        <v/>
      </c>
      <c r="AJ524">
        <f>IFERROR(INDEX(PP_Grid[#Data],$DE524,33),0)</f>
        <v/>
      </c>
      <c r="AK524">
        <f>IFERROR(INDEX(PP_Grid[#Data],$DE524,34),0)</f>
        <v/>
      </c>
      <c r="AL524">
        <f>IFERROR(INDEX(PP_Grid[#Data],$DE524,35),0)</f>
        <v/>
      </c>
      <c r="AM524">
        <f>IFERROR(INDEX(PP_Grid[#Data],$DE524,36),0)</f>
        <v/>
      </c>
      <c r="AN524">
        <f>IFERROR(INDEX(PP_Grid[#Data],$DE524,37),0)</f>
        <v/>
      </c>
      <c r="AO524">
        <f>IFERROR(INDEX(PP_Grid[#Data],$DE524,38),0)</f>
        <v/>
      </c>
      <c r="AP524">
        <f>IFERROR(INDEX(PP_Grid[#Data],$DE524,39),0)</f>
        <v/>
      </c>
      <c r="AQ524">
        <f>IFERROR(INDEX(PP_Grid[#Data],$DE524,40),0)</f>
        <v/>
      </c>
      <c r="AR524">
        <f>IFERROR(INDEX(PP_Grid[#Data],$DE524,41),0)</f>
        <v/>
      </c>
      <c r="AS524">
        <f>IFERROR(INDEX(PP_Grid[#Data],$DE524,42),0)</f>
        <v/>
      </c>
      <c r="AT524">
        <f>IFERROR(INDEX(PP_Grid[#Data],$DE524,43),0)</f>
        <v/>
      </c>
      <c r="AU524">
        <f>IFERROR(INDEX(PP_Grid[#Data],$DE524,44),0)</f>
        <v/>
      </c>
      <c r="AV524">
        <f>IFERROR(INDEX(PP_Grid[#Data],$DE524,45),0)</f>
        <v/>
      </c>
      <c r="AW524">
        <f>IFERROR(INDEX(PP_Grid[#Data],$DE524,46),0)</f>
        <v/>
      </c>
      <c r="AX524">
        <f>IFERROR(INDEX(PP_Grid[#Data],$DE524,47),0)</f>
        <v/>
      </c>
      <c r="AY524">
        <f>IFERROR(INDEX(PP_Grid[#Data],$DE524,48),0)</f>
        <v/>
      </c>
      <c r="AZ524">
        <f>IFERROR(INDEX(PP_Grid[#Data],$DE524,49),0)</f>
        <v/>
      </c>
      <c r="BA524">
        <f>IFERROR(INDEX(PP_Grid[#Data],$DE524,50),0)</f>
        <v/>
      </c>
      <c r="BB524">
        <f>IFERROR(INDEX(PP_Grid[#Data],$DE524,51),0)</f>
        <v/>
      </c>
      <c r="BC524">
        <f>IFERROR(INDEX(PP_Grid[#Data],$DE524,52),0)</f>
        <v/>
      </c>
      <c r="BD524">
        <f>IFERROR(INDEX(PP_Grid[#Data],$DE524,53),0)</f>
        <v/>
      </c>
      <c r="BE524">
        <f>IFERROR(INDEX(PP_Grid[#Data],$DE524,54),0)</f>
        <v/>
      </c>
      <c r="BF524">
        <f>IFERROR(INDEX(PP_Grid[#Data],$DE524,55),0)</f>
        <v/>
      </c>
      <c r="BG524">
        <f>IFERROR(INDEX(PP_Grid[#Data],$DE524,56),0)</f>
        <v/>
      </c>
      <c r="BH524">
        <f>IFERROR(INDEX(PP_Grid[#Data],$DE524,57),0)</f>
        <v/>
      </c>
      <c r="BI524">
        <f>IFERROR(INDEX(PP_Grid[#Data],$DE524,58),0)</f>
        <v/>
      </c>
      <c r="BJ524">
        <f>IFERROR(INDEX(PP_Grid[#Data],$DE524,59),0)</f>
        <v/>
      </c>
      <c r="BK524">
        <f>IFERROR(INDEX(PP_Grid[#Data],$DE524,60),0)</f>
        <v/>
      </c>
      <c r="BL524">
        <f>IFERROR(INDEX(PP_Grid[#Data],$DE524,61),0)</f>
        <v/>
      </c>
      <c r="BM524">
        <f>IFERROR(INDEX(PP_Grid[#Data],$DE524,62),0)</f>
        <v/>
      </c>
      <c r="BN524">
        <f>IFERROR(INDEX(PP_Grid[#Data],$DE524,63),0)</f>
        <v/>
      </c>
      <c r="BO524">
        <f>IFERROR(INDEX(PP_Grid[#Data],$DE524,64),0)</f>
        <v/>
      </c>
      <c r="BP524">
        <f>IFERROR(INDEX(PP_Grid[#Data],$DE524,65),0)</f>
        <v/>
      </c>
      <c r="BQ524">
        <f>IFERROR(INDEX(PP_Grid[#Data],$DE524,66),0)</f>
        <v/>
      </c>
      <c r="BR524">
        <f>IFERROR(INDEX(PP_Grid[#Data],$DE524,67),0)</f>
        <v/>
      </c>
      <c r="BS524">
        <f>IFERROR(INDEX(PP_Grid[#Data],$DE524,68),0)</f>
        <v/>
      </c>
      <c r="BT524">
        <f>IFERROR(INDEX(PP_Grid[#Data],$DE524,69),0)</f>
        <v/>
      </c>
      <c r="BU524">
        <f>IFERROR(INDEX(PP_Grid[#Data],$DE524,70),0)</f>
        <v/>
      </c>
      <c r="BV524">
        <f>IFERROR(INDEX(PP_Grid[#Data],$DE524,71),0)</f>
        <v/>
      </c>
      <c r="BW524">
        <f>IFERROR(INDEX(PP_Grid[#Data],$DE524,72),0)</f>
        <v/>
      </c>
      <c r="BX524">
        <f>IFERROR(INDEX(PP_Grid[#Data],$DE524,73),0)</f>
        <v/>
      </c>
      <c r="BY524">
        <f>IFERROR(INDEX(PP_Grid[#Data],$DE524,74),0)</f>
        <v/>
      </c>
      <c r="BZ524">
        <f>IFERROR(INDEX(PP_Grid[#Data],$DE524,75),0)</f>
        <v/>
      </c>
      <c r="CA524">
        <f>IFERROR(INDEX(PP_Grid[#Data],$DE524,76),0)</f>
        <v/>
      </c>
      <c r="CB524">
        <f>IFERROR(INDEX(PP_Grid[#Data],$DE524,77),0)</f>
        <v/>
      </c>
      <c r="CC524">
        <f>IFERROR(INDEX(PP_Grid[#Data],$DE524,78),0)</f>
        <v/>
      </c>
      <c r="CD524">
        <f>IFERROR(INDEX(PP_Grid[#Data],$DE524,79),0)</f>
        <v/>
      </c>
      <c r="CE524">
        <f>IFERROR(INDEX(PP_Grid[#Data],$DE524,80),0)</f>
        <v/>
      </c>
      <c r="CF524">
        <f>IFERROR(INDEX(PP_Grid[#Data],$DE524,81),0)</f>
        <v/>
      </c>
      <c r="CG524">
        <f>IFERROR(INDEX(PP_Grid[#Data],$DE524,82),0)</f>
        <v/>
      </c>
      <c r="CH524">
        <f>IFERROR(INDEX(PP_Grid[#Data],$DE524,83),0)</f>
        <v/>
      </c>
      <c r="CI524">
        <f>IFERROR(INDEX(PP_Grid[#Data],$DE524,84),0)</f>
        <v/>
      </c>
      <c r="CJ524">
        <f>IFERROR(INDEX(PP_Grid[#Data],$DE524,85),0)</f>
        <v/>
      </c>
      <c r="CK524">
        <f>IFERROR(INDEX(PP_Grid[#Data],$DE524,86),0)</f>
        <v/>
      </c>
      <c r="CL524">
        <f>IFERROR(INDEX(PP_Grid[#Data],$DE524,87),0)</f>
        <v/>
      </c>
      <c r="CM524">
        <f>IFERROR(INDEX(PP_Grid[#Data],$DE524,88),0)</f>
        <v/>
      </c>
      <c r="CN524">
        <f>IFERROR(INDEX(PP_Grid[#Data],$DE524,89),0)</f>
        <v/>
      </c>
      <c r="CO524">
        <f>IFERROR(INDEX(PP_Grid[#Data],$DE524,90),0)</f>
        <v/>
      </c>
      <c r="CP524">
        <f>IFERROR(INDEX(PP_Grid[#Data],$DE524,91),0)</f>
        <v/>
      </c>
      <c r="CQ524">
        <f>IFERROR(INDEX(PP_Grid[#Data],$DE524,92),0)</f>
        <v/>
      </c>
      <c r="CR524">
        <f>IFERROR(INDEX(PP_Grid[#Data],$DE524,93),0)</f>
        <v/>
      </c>
      <c r="CS524">
        <f>IFERROR(INDEX(PP_Grid[#Data],$DE524,94),0)</f>
        <v/>
      </c>
      <c r="CT524">
        <f>IFERROR(INDEX(PP_Grid[#Data],$DE524,95),0)</f>
        <v/>
      </c>
      <c r="CU524">
        <f>IFERROR(INDEX(PP_Grid[#Data],$DE524,96),0)</f>
        <v/>
      </c>
      <c r="CV524">
        <f>IFERROR(INDEX(PP_Grid[#Data],$DE524,97),0)</f>
        <v/>
      </c>
      <c r="CW524">
        <f>IFERROR(INDEX(PP_Grid[#Data],$DE524,98),0)</f>
        <v/>
      </c>
      <c r="CX524">
        <f>IFERROR(INDEX(PP_Grid[#Data],$DE524,99),0)</f>
        <v/>
      </c>
      <c r="CY524">
        <f>IFERROR(INDEX(PP_Grid[#Data],$DE524,100),0)</f>
        <v/>
      </c>
      <c r="CZ524">
        <f>IFERROR(INDEX(PP_Grid[#Data],$DE524,101),0)</f>
        <v/>
      </c>
      <c r="DA524">
        <f>IFERROR(INDEX(PP_Grid[#Data],$DE524,102),0)</f>
        <v/>
      </c>
      <c r="DB524">
        <f>IFERROR(INDEX(PP_Grid[#Data],$DE524,103),0)</f>
        <v/>
      </c>
      <c r="DC524">
        <f>IFERROR(INDEX(PP_Grid[#Data],$DE524,104),0)</f>
        <v/>
      </c>
      <c r="DD524">
        <f>IFERROR(INDEX(PP_Grid[#Data],$DE524,105),0)</f>
        <v/>
      </c>
      <c r="DE524" s="7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SUMIFS(M_BOM[RM_Qty_Per_Batch],M_BOM[Intermediate],$B524,M_BOM[RM_Code],$A497)</f>
        <v/>
      </c>
      <c r="D525">
        <f>IFERROR(INDEX(E525:DD525,$F$1),"")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  <c r="DD525">
        <f>$C525*DD524</f>
        <v/>
      </c>
    </row>
    <row r="526">
      <c r="B526" t="inlineStr">
        <is>
          <t>TSP-618</t>
        </is>
      </c>
      <c r="C526" t="inlineStr">
        <is>
          <t>No. of batches</t>
        </is>
      </c>
      <c r="D526">
        <f>IFERROR(INDEX(E526:DD526,$F$1),"")</f>
        <v/>
      </c>
      <c r="E526">
        <f>IFERROR(INDEX(PP_Grid[#Data],$DE526,2),0)</f>
        <v/>
      </c>
      <c r="F526">
        <f>IFERROR(INDEX(PP_Grid[#Data],$DE526,3),0)</f>
        <v/>
      </c>
      <c r="G526">
        <f>IFERROR(INDEX(PP_Grid[#Data],$DE526,4),0)</f>
        <v/>
      </c>
      <c r="H526">
        <f>IFERROR(INDEX(PP_Grid[#Data],$DE526,5),0)</f>
        <v/>
      </c>
      <c r="I526">
        <f>IFERROR(INDEX(PP_Grid[#Data],$DE526,6),0)</f>
        <v/>
      </c>
      <c r="J526">
        <f>IFERROR(INDEX(PP_Grid[#Data],$DE526,7),0)</f>
        <v/>
      </c>
      <c r="K526">
        <f>IFERROR(INDEX(PP_Grid[#Data],$DE526,8),0)</f>
        <v/>
      </c>
      <c r="L526">
        <f>IFERROR(INDEX(PP_Grid[#Data],$DE526,9),0)</f>
        <v/>
      </c>
      <c r="M526">
        <f>IFERROR(INDEX(PP_Grid[#Data],$DE526,10),0)</f>
        <v/>
      </c>
      <c r="N526">
        <f>IFERROR(INDEX(PP_Grid[#Data],$DE526,11),0)</f>
        <v/>
      </c>
      <c r="O526">
        <f>IFERROR(INDEX(PP_Grid[#Data],$DE526,12),0)</f>
        <v/>
      </c>
      <c r="P526">
        <f>IFERROR(INDEX(PP_Grid[#Data],$DE526,13),0)</f>
        <v/>
      </c>
      <c r="Q526">
        <f>IFERROR(INDEX(PP_Grid[#Data],$DE526,14),0)</f>
        <v/>
      </c>
      <c r="R526">
        <f>IFERROR(INDEX(PP_Grid[#Data],$DE526,15),0)</f>
        <v/>
      </c>
      <c r="S526">
        <f>IFERROR(INDEX(PP_Grid[#Data],$DE526,16),0)</f>
        <v/>
      </c>
      <c r="T526">
        <f>IFERROR(INDEX(PP_Grid[#Data],$DE526,17),0)</f>
        <v/>
      </c>
      <c r="U526">
        <f>IFERROR(INDEX(PP_Grid[#Data],$DE526,18),0)</f>
        <v/>
      </c>
      <c r="V526">
        <f>IFERROR(INDEX(PP_Grid[#Data],$DE526,19),0)</f>
        <v/>
      </c>
      <c r="W526">
        <f>IFERROR(INDEX(PP_Grid[#Data],$DE526,20),0)</f>
        <v/>
      </c>
      <c r="X526">
        <f>IFERROR(INDEX(PP_Grid[#Data],$DE526,21),0)</f>
        <v/>
      </c>
      <c r="Y526">
        <f>IFERROR(INDEX(PP_Grid[#Data],$DE526,22),0)</f>
        <v/>
      </c>
      <c r="Z526">
        <f>IFERROR(INDEX(PP_Grid[#Data],$DE526,23),0)</f>
        <v/>
      </c>
      <c r="AA526">
        <f>IFERROR(INDEX(PP_Grid[#Data],$DE526,24),0)</f>
        <v/>
      </c>
      <c r="AB526">
        <f>IFERROR(INDEX(PP_Grid[#Data],$DE526,25),0)</f>
        <v/>
      </c>
      <c r="AC526">
        <f>IFERROR(INDEX(PP_Grid[#Data],$DE526,26),0)</f>
        <v/>
      </c>
      <c r="AD526">
        <f>IFERROR(INDEX(PP_Grid[#Data],$DE526,27),0)</f>
        <v/>
      </c>
      <c r="AE526">
        <f>IFERROR(INDEX(PP_Grid[#Data],$DE526,28),0)</f>
        <v/>
      </c>
      <c r="AF526">
        <f>IFERROR(INDEX(PP_Grid[#Data],$DE526,29),0)</f>
        <v/>
      </c>
      <c r="AG526">
        <f>IFERROR(INDEX(PP_Grid[#Data],$DE526,30),0)</f>
        <v/>
      </c>
      <c r="AH526">
        <f>IFERROR(INDEX(PP_Grid[#Data],$DE526,31),0)</f>
        <v/>
      </c>
      <c r="AI526">
        <f>IFERROR(INDEX(PP_Grid[#Data],$DE526,32),0)</f>
        <v/>
      </c>
      <c r="AJ526">
        <f>IFERROR(INDEX(PP_Grid[#Data],$DE526,33),0)</f>
        <v/>
      </c>
      <c r="AK526">
        <f>IFERROR(INDEX(PP_Grid[#Data],$DE526,34),0)</f>
        <v/>
      </c>
      <c r="AL526">
        <f>IFERROR(INDEX(PP_Grid[#Data],$DE526,35),0)</f>
        <v/>
      </c>
      <c r="AM526">
        <f>IFERROR(INDEX(PP_Grid[#Data],$DE526,36),0)</f>
        <v/>
      </c>
      <c r="AN526">
        <f>IFERROR(INDEX(PP_Grid[#Data],$DE526,37),0)</f>
        <v/>
      </c>
      <c r="AO526">
        <f>IFERROR(INDEX(PP_Grid[#Data],$DE526,38),0)</f>
        <v/>
      </c>
      <c r="AP526">
        <f>IFERROR(INDEX(PP_Grid[#Data],$DE526,39),0)</f>
        <v/>
      </c>
      <c r="AQ526">
        <f>IFERROR(INDEX(PP_Grid[#Data],$DE526,40),0)</f>
        <v/>
      </c>
      <c r="AR526">
        <f>IFERROR(INDEX(PP_Grid[#Data],$DE526,41),0)</f>
        <v/>
      </c>
      <c r="AS526">
        <f>IFERROR(INDEX(PP_Grid[#Data],$DE526,42),0)</f>
        <v/>
      </c>
      <c r="AT526">
        <f>IFERROR(INDEX(PP_Grid[#Data],$DE526,43),0)</f>
        <v/>
      </c>
      <c r="AU526">
        <f>IFERROR(INDEX(PP_Grid[#Data],$DE526,44),0)</f>
        <v/>
      </c>
      <c r="AV526">
        <f>IFERROR(INDEX(PP_Grid[#Data],$DE526,45),0)</f>
        <v/>
      </c>
      <c r="AW526">
        <f>IFERROR(INDEX(PP_Grid[#Data],$DE526,46),0)</f>
        <v/>
      </c>
      <c r="AX526">
        <f>IFERROR(INDEX(PP_Grid[#Data],$DE526,47),0)</f>
        <v/>
      </c>
      <c r="AY526">
        <f>IFERROR(INDEX(PP_Grid[#Data],$DE526,48),0)</f>
        <v/>
      </c>
      <c r="AZ526">
        <f>IFERROR(INDEX(PP_Grid[#Data],$DE526,49),0)</f>
        <v/>
      </c>
      <c r="BA526">
        <f>IFERROR(INDEX(PP_Grid[#Data],$DE526,50),0)</f>
        <v/>
      </c>
      <c r="BB526">
        <f>IFERROR(INDEX(PP_Grid[#Data],$DE526,51),0)</f>
        <v/>
      </c>
      <c r="BC526">
        <f>IFERROR(INDEX(PP_Grid[#Data],$DE526,52),0)</f>
        <v/>
      </c>
      <c r="BD526">
        <f>IFERROR(INDEX(PP_Grid[#Data],$DE526,53),0)</f>
        <v/>
      </c>
      <c r="BE526">
        <f>IFERROR(INDEX(PP_Grid[#Data],$DE526,54),0)</f>
        <v/>
      </c>
      <c r="BF526">
        <f>IFERROR(INDEX(PP_Grid[#Data],$DE526,55),0)</f>
        <v/>
      </c>
      <c r="BG526">
        <f>IFERROR(INDEX(PP_Grid[#Data],$DE526,56),0)</f>
        <v/>
      </c>
      <c r="BH526">
        <f>IFERROR(INDEX(PP_Grid[#Data],$DE526,57),0)</f>
        <v/>
      </c>
      <c r="BI526">
        <f>IFERROR(INDEX(PP_Grid[#Data],$DE526,58),0)</f>
        <v/>
      </c>
      <c r="BJ526">
        <f>IFERROR(INDEX(PP_Grid[#Data],$DE526,59),0)</f>
        <v/>
      </c>
      <c r="BK526">
        <f>IFERROR(INDEX(PP_Grid[#Data],$DE526,60),0)</f>
        <v/>
      </c>
      <c r="BL526">
        <f>IFERROR(INDEX(PP_Grid[#Data],$DE526,61),0)</f>
        <v/>
      </c>
      <c r="BM526">
        <f>IFERROR(INDEX(PP_Grid[#Data],$DE526,62),0)</f>
        <v/>
      </c>
      <c r="BN526">
        <f>IFERROR(INDEX(PP_Grid[#Data],$DE526,63),0)</f>
        <v/>
      </c>
      <c r="BO526">
        <f>IFERROR(INDEX(PP_Grid[#Data],$DE526,64),0)</f>
        <v/>
      </c>
      <c r="BP526">
        <f>IFERROR(INDEX(PP_Grid[#Data],$DE526,65),0)</f>
        <v/>
      </c>
      <c r="BQ526">
        <f>IFERROR(INDEX(PP_Grid[#Data],$DE526,66),0)</f>
        <v/>
      </c>
      <c r="BR526">
        <f>IFERROR(INDEX(PP_Grid[#Data],$DE526,67),0)</f>
        <v/>
      </c>
      <c r="BS526">
        <f>IFERROR(INDEX(PP_Grid[#Data],$DE526,68),0)</f>
        <v/>
      </c>
      <c r="BT526">
        <f>IFERROR(INDEX(PP_Grid[#Data],$DE526,69),0)</f>
        <v/>
      </c>
      <c r="BU526">
        <f>IFERROR(INDEX(PP_Grid[#Data],$DE526,70),0)</f>
        <v/>
      </c>
      <c r="BV526">
        <f>IFERROR(INDEX(PP_Grid[#Data],$DE526,71),0)</f>
        <v/>
      </c>
      <c r="BW526">
        <f>IFERROR(INDEX(PP_Grid[#Data],$DE526,72),0)</f>
        <v/>
      </c>
      <c r="BX526">
        <f>IFERROR(INDEX(PP_Grid[#Data],$DE526,73),0)</f>
        <v/>
      </c>
      <c r="BY526">
        <f>IFERROR(INDEX(PP_Grid[#Data],$DE526,74),0)</f>
        <v/>
      </c>
      <c r="BZ526">
        <f>IFERROR(INDEX(PP_Grid[#Data],$DE526,75),0)</f>
        <v/>
      </c>
      <c r="CA526">
        <f>IFERROR(INDEX(PP_Grid[#Data],$DE526,76),0)</f>
        <v/>
      </c>
      <c r="CB526">
        <f>IFERROR(INDEX(PP_Grid[#Data],$DE526,77),0)</f>
        <v/>
      </c>
      <c r="CC526">
        <f>IFERROR(INDEX(PP_Grid[#Data],$DE526,78),0)</f>
        <v/>
      </c>
      <c r="CD526">
        <f>IFERROR(INDEX(PP_Grid[#Data],$DE526,79),0)</f>
        <v/>
      </c>
      <c r="CE526">
        <f>IFERROR(INDEX(PP_Grid[#Data],$DE526,80),0)</f>
        <v/>
      </c>
      <c r="CF526">
        <f>IFERROR(INDEX(PP_Grid[#Data],$DE526,81),0)</f>
        <v/>
      </c>
      <c r="CG526">
        <f>IFERROR(INDEX(PP_Grid[#Data],$DE526,82),0)</f>
        <v/>
      </c>
      <c r="CH526">
        <f>IFERROR(INDEX(PP_Grid[#Data],$DE526,83),0)</f>
        <v/>
      </c>
      <c r="CI526">
        <f>IFERROR(INDEX(PP_Grid[#Data],$DE526,84),0)</f>
        <v/>
      </c>
      <c r="CJ526">
        <f>IFERROR(INDEX(PP_Grid[#Data],$DE526,85),0)</f>
        <v/>
      </c>
      <c r="CK526">
        <f>IFERROR(INDEX(PP_Grid[#Data],$DE526,86),0)</f>
        <v/>
      </c>
      <c r="CL526">
        <f>IFERROR(INDEX(PP_Grid[#Data],$DE526,87),0)</f>
        <v/>
      </c>
      <c r="CM526">
        <f>IFERROR(INDEX(PP_Grid[#Data],$DE526,88),0)</f>
        <v/>
      </c>
      <c r="CN526">
        <f>IFERROR(INDEX(PP_Grid[#Data],$DE526,89),0)</f>
        <v/>
      </c>
      <c r="CO526">
        <f>IFERROR(INDEX(PP_Grid[#Data],$DE526,90),0)</f>
        <v/>
      </c>
      <c r="CP526">
        <f>IFERROR(INDEX(PP_Grid[#Data],$DE526,91),0)</f>
        <v/>
      </c>
      <c r="CQ526">
        <f>IFERROR(INDEX(PP_Grid[#Data],$DE526,92),0)</f>
        <v/>
      </c>
      <c r="CR526">
        <f>IFERROR(INDEX(PP_Grid[#Data],$DE526,93),0)</f>
        <v/>
      </c>
      <c r="CS526">
        <f>IFERROR(INDEX(PP_Grid[#Data],$DE526,94),0)</f>
        <v/>
      </c>
      <c r="CT526">
        <f>IFERROR(INDEX(PP_Grid[#Data],$DE526,95),0)</f>
        <v/>
      </c>
      <c r="CU526">
        <f>IFERROR(INDEX(PP_Grid[#Data],$DE526,96),0)</f>
        <v/>
      </c>
      <c r="CV526">
        <f>IFERROR(INDEX(PP_Grid[#Data],$DE526,97),0)</f>
        <v/>
      </c>
      <c r="CW526">
        <f>IFERROR(INDEX(PP_Grid[#Data],$DE526,98),0)</f>
        <v/>
      </c>
      <c r="CX526">
        <f>IFERROR(INDEX(PP_Grid[#Data],$DE526,99),0)</f>
        <v/>
      </c>
      <c r="CY526">
        <f>IFERROR(INDEX(PP_Grid[#Data],$DE526,100),0)</f>
        <v/>
      </c>
      <c r="CZ526">
        <f>IFERROR(INDEX(PP_Grid[#Data],$DE526,101),0)</f>
        <v/>
      </c>
      <c r="DA526">
        <f>IFERROR(INDEX(PP_Grid[#Data],$DE526,102),0)</f>
        <v/>
      </c>
      <c r="DB526">
        <f>IFERROR(INDEX(PP_Grid[#Data],$DE526,103),0)</f>
        <v/>
      </c>
      <c r="DC526">
        <f>IFERROR(INDEX(PP_Grid[#Data],$DE526,104),0)</f>
        <v/>
      </c>
      <c r="DD526">
        <f>IFERROR(INDEX(PP_Grid[#Data],$DE526,105),0)</f>
        <v/>
      </c>
      <c r="DE526" s="7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SUMIFS(M_BOM[RM_Qty_Per_Batch],M_BOM[Intermediate],$B526,M_BOM[RM_Code],$A497)</f>
        <v/>
      </c>
      <c r="D527">
        <f>IFERROR(INDEX(E527:DD527,$F$1),"")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  <c r="DD527">
        <f>$C527*DD526</f>
        <v/>
      </c>
    </row>
    <row r="528">
      <c r="B528" t="inlineStr">
        <is>
          <t>TSP-620</t>
        </is>
      </c>
      <c r="C528" t="inlineStr">
        <is>
          <t>No. of batches</t>
        </is>
      </c>
      <c r="D528">
        <f>IFERROR(INDEX(E528:DD528,$F$1),"")</f>
        <v/>
      </c>
      <c r="E528">
        <f>IFERROR(INDEX(PP_Grid[#Data],$DE528,2),0)</f>
        <v/>
      </c>
      <c r="F528">
        <f>IFERROR(INDEX(PP_Grid[#Data],$DE528,3),0)</f>
        <v/>
      </c>
      <c r="G528">
        <f>IFERROR(INDEX(PP_Grid[#Data],$DE528,4),0)</f>
        <v/>
      </c>
      <c r="H528">
        <f>IFERROR(INDEX(PP_Grid[#Data],$DE528,5),0)</f>
        <v/>
      </c>
      <c r="I528">
        <f>IFERROR(INDEX(PP_Grid[#Data],$DE528,6),0)</f>
        <v/>
      </c>
      <c r="J528">
        <f>IFERROR(INDEX(PP_Grid[#Data],$DE528,7),0)</f>
        <v/>
      </c>
      <c r="K528">
        <f>IFERROR(INDEX(PP_Grid[#Data],$DE528,8),0)</f>
        <v/>
      </c>
      <c r="L528">
        <f>IFERROR(INDEX(PP_Grid[#Data],$DE528,9),0)</f>
        <v/>
      </c>
      <c r="M528">
        <f>IFERROR(INDEX(PP_Grid[#Data],$DE528,10),0)</f>
        <v/>
      </c>
      <c r="N528">
        <f>IFERROR(INDEX(PP_Grid[#Data],$DE528,11),0)</f>
        <v/>
      </c>
      <c r="O528">
        <f>IFERROR(INDEX(PP_Grid[#Data],$DE528,12),0)</f>
        <v/>
      </c>
      <c r="P528">
        <f>IFERROR(INDEX(PP_Grid[#Data],$DE528,13),0)</f>
        <v/>
      </c>
      <c r="Q528">
        <f>IFERROR(INDEX(PP_Grid[#Data],$DE528,14),0)</f>
        <v/>
      </c>
      <c r="R528">
        <f>IFERROR(INDEX(PP_Grid[#Data],$DE528,15),0)</f>
        <v/>
      </c>
      <c r="S528">
        <f>IFERROR(INDEX(PP_Grid[#Data],$DE528,16),0)</f>
        <v/>
      </c>
      <c r="T528">
        <f>IFERROR(INDEX(PP_Grid[#Data],$DE528,17),0)</f>
        <v/>
      </c>
      <c r="U528">
        <f>IFERROR(INDEX(PP_Grid[#Data],$DE528,18),0)</f>
        <v/>
      </c>
      <c r="V528">
        <f>IFERROR(INDEX(PP_Grid[#Data],$DE528,19),0)</f>
        <v/>
      </c>
      <c r="W528">
        <f>IFERROR(INDEX(PP_Grid[#Data],$DE528,20),0)</f>
        <v/>
      </c>
      <c r="X528">
        <f>IFERROR(INDEX(PP_Grid[#Data],$DE528,21),0)</f>
        <v/>
      </c>
      <c r="Y528">
        <f>IFERROR(INDEX(PP_Grid[#Data],$DE528,22),0)</f>
        <v/>
      </c>
      <c r="Z528">
        <f>IFERROR(INDEX(PP_Grid[#Data],$DE528,23),0)</f>
        <v/>
      </c>
      <c r="AA528">
        <f>IFERROR(INDEX(PP_Grid[#Data],$DE528,24),0)</f>
        <v/>
      </c>
      <c r="AB528">
        <f>IFERROR(INDEX(PP_Grid[#Data],$DE528,25),0)</f>
        <v/>
      </c>
      <c r="AC528">
        <f>IFERROR(INDEX(PP_Grid[#Data],$DE528,26),0)</f>
        <v/>
      </c>
      <c r="AD528">
        <f>IFERROR(INDEX(PP_Grid[#Data],$DE528,27),0)</f>
        <v/>
      </c>
      <c r="AE528">
        <f>IFERROR(INDEX(PP_Grid[#Data],$DE528,28),0)</f>
        <v/>
      </c>
      <c r="AF528">
        <f>IFERROR(INDEX(PP_Grid[#Data],$DE528,29),0)</f>
        <v/>
      </c>
      <c r="AG528">
        <f>IFERROR(INDEX(PP_Grid[#Data],$DE528,30),0)</f>
        <v/>
      </c>
      <c r="AH528">
        <f>IFERROR(INDEX(PP_Grid[#Data],$DE528,31),0)</f>
        <v/>
      </c>
      <c r="AI528">
        <f>IFERROR(INDEX(PP_Grid[#Data],$DE528,32),0)</f>
        <v/>
      </c>
      <c r="AJ528">
        <f>IFERROR(INDEX(PP_Grid[#Data],$DE528,33),0)</f>
        <v/>
      </c>
      <c r="AK528">
        <f>IFERROR(INDEX(PP_Grid[#Data],$DE528,34),0)</f>
        <v/>
      </c>
      <c r="AL528">
        <f>IFERROR(INDEX(PP_Grid[#Data],$DE528,35),0)</f>
        <v/>
      </c>
      <c r="AM528">
        <f>IFERROR(INDEX(PP_Grid[#Data],$DE528,36),0)</f>
        <v/>
      </c>
      <c r="AN528">
        <f>IFERROR(INDEX(PP_Grid[#Data],$DE528,37),0)</f>
        <v/>
      </c>
      <c r="AO528">
        <f>IFERROR(INDEX(PP_Grid[#Data],$DE528,38),0)</f>
        <v/>
      </c>
      <c r="AP528">
        <f>IFERROR(INDEX(PP_Grid[#Data],$DE528,39),0)</f>
        <v/>
      </c>
      <c r="AQ528">
        <f>IFERROR(INDEX(PP_Grid[#Data],$DE528,40),0)</f>
        <v/>
      </c>
      <c r="AR528">
        <f>IFERROR(INDEX(PP_Grid[#Data],$DE528,41),0)</f>
        <v/>
      </c>
      <c r="AS528">
        <f>IFERROR(INDEX(PP_Grid[#Data],$DE528,42),0)</f>
        <v/>
      </c>
      <c r="AT528">
        <f>IFERROR(INDEX(PP_Grid[#Data],$DE528,43),0)</f>
        <v/>
      </c>
      <c r="AU528">
        <f>IFERROR(INDEX(PP_Grid[#Data],$DE528,44),0)</f>
        <v/>
      </c>
      <c r="AV528">
        <f>IFERROR(INDEX(PP_Grid[#Data],$DE528,45),0)</f>
        <v/>
      </c>
      <c r="AW528">
        <f>IFERROR(INDEX(PP_Grid[#Data],$DE528,46),0)</f>
        <v/>
      </c>
      <c r="AX528">
        <f>IFERROR(INDEX(PP_Grid[#Data],$DE528,47),0)</f>
        <v/>
      </c>
      <c r="AY528">
        <f>IFERROR(INDEX(PP_Grid[#Data],$DE528,48),0)</f>
        <v/>
      </c>
      <c r="AZ528">
        <f>IFERROR(INDEX(PP_Grid[#Data],$DE528,49),0)</f>
        <v/>
      </c>
      <c r="BA528">
        <f>IFERROR(INDEX(PP_Grid[#Data],$DE528,50),0)</f>
        <v/>
      </c>
      <c r="BB528">
        <f>IFERROR(INDEX(PP_Grid[#Data],$DE528,51),0)</f>
        <v/>
      </c>
      <c r="BC528">
        <f>IFERROR(INDEX(PP_Grid[#Data],$DE528,52),0)</f>
        <v/>
      </c>
      <c r="BD528">
        <f>IFERROR(INDEX(PP_Grid[#Data],$DE528,53),0)</f>
        <v/>
      </c>
      <c r="BE528">
        <f>IFERROR(INDEX(PP_Grid[#Data],$DE528,54),0)</f>
        <v/>
      </c>
      <c r="BF528">
        <f>IFERROR(INDEX(PP_Grid[#Data],$DE528,55),0)</f>
        <v/>
      </c>
      <c r="BG528">
        <f>IFERROR(INDEX(PP_Grid[#Data],$DE528,56),0)</f>
        <v/>
      </c>
      <c r="BH528">
        <f>IFERROR(INDEX(PP_Grid[#Data],$DE528,57),0)</f>
        <v/>
      </c>
      <c r="BI528">
        <f>IFERROR(INDEX(PP_Grid[#Data],$DE528,58),0)</f>
        <v/>
      </c>
      <c r="BJ528">
        <f>IFERROR(INDEX(PP_Grid[#Data],$DE528,59),0)</f>
        <v/>
      </c>
      <c r="BK528">
        <f>IFERROR(INDEX(PP_Grid[#Data],$DE528,60),0)</f>
        <v/>
      </c>
      <c r="BL528">
        <f>IFERROR(INDEX(PP_Grid[#Data],$DE528,61),0)</f>
        <v/>
      </c>
      <c r="BM528">
        <f>IFERROR(INDEX(PP_Grid[#Data],$DE528,62),0)</f>
        <v/>
      </c>
      <c r="BN528">
        <f>IFERROR(INDEX(PP_Grid[#Data],$DE528,63),0)</f>
        <v/>
      </c>
      <c r="BO528">
        <f>IFERROR(INDEX(PP_Grid[#Data],$DE528,64),0)</f>
        <v/>
      </c>
      <c r="BP528">
        <f>IFERROR(INDEX(PP_Grid[#Data],$DE528,65),0)</f>
        <v/>
      </c>
      <c r="BQ528">
        <f>IFERROR(INDEX(PP_Grid[#Data],$DE528,66),0)</f>
        <v/>
      </c>
      <c r="BR528">
        <f>IFERROR(INDEX(PP_Grid[#Data],$DE528,67),0)</f>
        <v/>
      </c>
      <c r="BS528">
        <f>IFERROR(INDEX(PP_Grid[#Data],$DE528,68),0)</f>
        <v/>
      </c>
      <c r="BT528">
        <f>IFERROR(INDEX(PP_Grid[#Data],$DE528,69),0)</f>
        <v/>
      </c>
      <c r="BU528">
        <f>IFERROR(INDEX(PP_Grid[#Data],$DE528,70),0)</f>
        <v/>
      </c>
      <c r="BV528">
        <f>IFERROR(INDEX(PP_Grid[#Data],$DE528,71),0)</f>
        <v/>
      </c>
      <c r="BW528">
        <f>IFERROR(INDEX(PP_Grid[#Data],$DE528,72),0)</f>
        <v/>
      </c>
      <c r="BX528">
        <f>IFERROR(INDEX(PP_Grid[#Data],$DE528,73),0)</f>
        <v/>
      </c>
      <c r="BY528">
        <f>IFERROR(INDEX(PP_Grid[#Data],$DE528,74),0)</f>
        <v/>
      </c>
      <c r="BZ528">
        <f>IFERROR(INDEX(PP_Grid[#Data],$DE528,75),0)</f>
        <v/>
      </c>
      <c r="CA528">
        <f>IFERROR(INDEX(PP_Grid[#Data],$DE528,76),0)</f>
        <v/>
      </c>
      <c r="CB528">
        <f>IFERROR(INDEX(PP_Grid[#Data],$DE528,77),0)</f>
        <v/>
      </c>
      <c r="CC528">
        <f>IFERROR(INDEX(PP_Grid[#Data],$DE528,78),0)</f>
        <v/>
      </c>
      <c r="CD528">
        <f>IFERROR(INDEX(PP_Grid[#Data],$DE528,79),0)</f>
        <v/>
      </c>
      <c r="CE528">
        <f>IFERROR(INDEX(PP_Grid[#Data],$DE528,80),0)</f>
        <v/>
      </c>
      <c r="CF528">
        <f>IFERROR(INDEX(PP_Grid[#Data],$DE528,81),0)</f>
        <v/>
      </c>
      <c r="CG528">
        <f>IFERROR(INDEX(PP_Grid[#Data],$DE528,82),0)</f>
        <v/>
      </c>
      <c r="CH528">
        <f>IFERROR(INDEX(PP_Grid[#Data],$DE528,83),0)</f>
        <v/>
      </c>
      <c r="CI528">
        <f>IFERROR(INDEX(PP_Grid[#Data],$DE528,84),0)</f>
        <v/>
      </c>
      <c r="CJ528">
        <f>IFERROR(INDEX(PP_Grid[#Data],$DE528,85),0)</f>
        <v/>
      </c>
      <c r="CK528">
        <f>IFERROR(INDEX(PP_Grid[#Data],$DE528,86),0)</f>
        <v/>
      </c>
      <c r="CL528">
        <f>IFERROR(INDEX(PP_Grid[#Data],$DE528,87),0)</f>
        <v/>
      </c>
      <c r="CM528">
        <f>IFERROR(INDEX(PP_Grid[#Data],$DE528,88),0)</f>
        <v/>
      </c>
      <c r="CN528">
        <f>IFERROR(INDEX(PP_Grid[#Data],$DE528,89),0)</f>
        <v/>
      </c>
      <c r="CO528">
        <f>IFERROR(INDEX(PP_Grid[#Data],$DE528,90),0)</f>
        <v/>
      </c>
      <c r="CP528">
        <f>IFERROR(INDEX(PP_Grid[#Data],$DE528,91),0)</f>
        <v/>
      </c>
      <c r="CQ528">
        <f>IFERROR(INDEX(PP_Grid[#Data],$DE528,92),0)</f>
        <v/>
      </c>
      <c r="CR528">
        <f>IFERROR(INDEX(PP_Grid[#Data],$DE528,93),0)</f>
        <v/>
      </c>
      <c r="CS528">
        <f>IFERROR(INDEX(PP_Grid[#Data],$DE528,94),0)</f>
        <v/>
      </c>
      <c r="CT528">
        <f>IFERROR(INDEX(PP_Grid[#Data],$DE528,95),0)</f>
        <v/>
      </c>
      <c r="CU528">
        <f>IFERROR(INDEX(PP_Grid[#Data],$DE528,96),0)</f>
        <v/>
      </c>
      <c r="CV528">
        <f>IFERROR(INDEX(PP_Grid[#Data],$DE528,97),0)</f>
        <v/>
      </c>
      <c r="CW528">
        <f>IFERROR(INDEX(PP_Grid[#Data],$DE528,98),0)</f>
        <v/>
      </c>
      <c r="CX528">
        <f>IFERROR(INDEX(PP_Grid[#Data],$DE528,99),0)</f>
        <v/>
      </c>
      <c r="CY528">
        <f>IFERROR(INDEX(PP_Grid[#Data],$DE528,100),0)</f>
        <v/>
      </c>
      <c r="CZ528">
        <f>IFERROR(INDEX(PP_Grid[#Data],$DE528,101),0)</f>
        <v/>
      </c>
      <c r="DA528">
        <f>IFERROR(INDEX(PP_Grid[#Data],$DE528,102),0)</f>
        <v/>
      </c>
      <c r="DB528">
        <f>IFERROR(INDEX(PP_Grid[#Data],$DE528,103),0)</f>
        <v/>
      </c>
      <c r="DC528">
        <f>IFERROR(INDEX(PP_Grid[#Data],$DE528,104),0)</f>
        <v/>
      </c>
      <c r="DD528">
        <f>IFERROR(INDEX(PP_Grid[#Data],$DE528,105),0)</f>
        <v/>
      </c>
      <c r="DE528" s="7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SUMIFS(M_BOM[RM_Qty_Per_Batch],M_BOM[Intermediate],$B528,M_BOM[RM_Code],$A497)</f>
        <v/>
      </c>
      <c r="D529">
        <f>IFERROR(INDEX(E529:DD529,$F$1),"")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  <c r="DD529">
        <f>$C529*DD528</f>
        <v/>
      </c>
    </row>
    <row r="530">
      <c r="B530" t="inlineStr">
        <is>
          <t>TSP-623</t>
        </is>
      </c>
      <c r="C530" t="inlineStr">
        <is>
          <t>No. of batches</t>
        </is>
      </c>
      <c r="D530">
        <f>IFERROR(INDEX(E530:DD530,$F$1),"")</f>
        <v/>
      </c>
      <c r="E530">
        <f>IFERROR(INDEX(PP_Grid[#Data],$DE530,2),0)</f>
        <v/>
      </c>
      <c r="F530">
        <f>IFERROR(INDEX(PP_Grid[#Data],$DE530,3),0)</f>
        <v/>
      </c>
      <c r="G530">
        <f>IFERROR(INDEX(PP_Grid[#Data],$DE530,4),0)</f>
        <v/>
      </c>
      <c r="H530">
        <f>IFERROR(INDEX(PP_Grid[#Data],$DE530,5),0)</f>
        <v/>
      </c>
      <c r="I530">
        <f>IFERROR(INDEX(PP_Grid[#Data],$DE530,6),0)</f>
        <v/>
      </c>
      <c r="J530">
        <f>IFERROR(INDEX(PP_Grid[#Data],$DE530,7),0)</f>
        <v/>
      </c>
      <c r="K530">
        <f>IFERROR(INDEX(PP_Grid[#Data],$DE530,8),0)</f>
        <v/>
      </c>
      <c r="L530">
        <f>IFERROR(INDEX(PP_Grid[#Data],$DE530,9),0)</f>
        <v/>
      </c>
      <c r="M530">
        <f>IFERROR(INDEX(PP_Grid[#Data],$DE530,10),0)</f>
        <v/>
      </c>
      <c r="N530">
        <f>IFERROR(INDEX(PP_Grid[#Data],$DE530,11),0)</f>
        <v/>
      </c>
      <c r="O530">
        <f>IFERROR(INDEX(PP_Grid[#Data],$DE530,12),0)</f>
        <v/>
      </c>
      <c r="P530">
        <f>IFERROR(INDEX(PP_Grid[#Data],$DE530,13),0)</f>
        <v/>
      </c>
      <c r="Q530">
        <f>IFERROR(INDEX(PP_Grid[#Data],$DE530,14),0)</f>
        <v/>
      </c>
      <c r="R530">
        <f>IFERROR(INDEX(PP_Grid[#Data],$DE530,15),0)</f>
        <v/>
      </c>
      <c r="S530">
        <f>IFERROR(INDEX(PP_Grid[#Data],$DE530,16),0)</f>
        <v/>
      </c>
      <c r="T530">
        <f>IFERROR(INDEX(PP_Grid[#Data],$DE530,17),0)</f>
        <v/>
      </c>
      <c r="U530">
        <f>IFERROR(INDEX(PP_Grid[#Data],$DE530,18),0)</f>
        <v/>
      </c>
      <c r="V530">
        <f>IFERROR(INDEX(PP_Grid[#Data],$DE530,19),0)</f>
        <v/>
      </c>
      <c r="W530">
        <f>IFERROR(INDEX(PP_Grid[#Data],$DE530,20),0)</f>
        <v/>
      </c>
      <c r="X530">
        <f>IFERROR(INDEX(PP_Grid[#Data],$DE530,21),0)</f>
        <v/>
      </c>
      <c r="Y530">
        <f>IFERROR(INDEX(PP_Grid[#Data],$DE530,22),0)</f>
        <v/>
      </c>
      <c r="Z530">
        <f>IFERROR(INDEX(PP_Grid[#Data],$DE530,23),0)</f>
        <v/>
      </c>
      <c r="AA530">
        <f>IFERROR(INDEX(PP_Grid[#Data],$DE530,24),0)</f>
        <v/>
      </c>
      <c r="AB530">
        <f>IFERROR(INDEX(PP_Grid[#Data],$DE530,25),0)</f>
        <v/>
      </c>
      <c r="AC530">
        <f>IFERROR(INDEX(PP_Grid[#Data],$DE530,26),0)</f>
        <v/>
      </c>
      <c r="AD530">
        <f>IFERROR(INDEX(PP_Grid[#Data],$DE530,27),0)</f>
        <v/>
      </c>
      <c r="AE530">
        <f>IFERROR(INDEX(PP_Grid[#Data],$DE530,28),0)</f>
        <v/>
      </c>
      <c r="AF530">
        <f>IFERROR(INDEX(PP_Grid[#Data],$DE530,29),0)</f>
        <v/>
      </c>
      <c r="AG530">
        <f>IFERROR(INDEX(PP_Grid[#Data],$DE530,30),0)</f>
        <v/>
      </c>
      <c r="AH530">
        <f>IFERROR(INDEX(PP_Grid[#Data],$DE530,31),0)</f>
        <v/>
      </c>
      <c r="AI530">
        <f>IFERROR(INDEX(PP_Grid[#Data],$DE530,32),0)</f>
        <v/>
      </c>
      <c r="AJ530">
        <f>IFERROR(INDEX(PP_Grid[#Data],$DE530,33),0)</f>
        <v/>
      </c>
      <c r="AK530">
        <f>IFERROR(INDEX(PP_Grid[#Data],$DE530,34),0)</f>
        <v/>
      </c>
      <c r="AL530">
        <f>IFERROR(INDEX(PP_Grid[#Data],$DE530,35),0)</f>
        <v/>
      </c>
      <c r="AM530">
        <f>IFERROR(INDEX(PP_Grid[#Data],$DE530,36),0)</f>
        <v/>
      </c>
      <c r="AN530">
        <f>IFERROR(INDEX(PP_Grid[#Data],$DE530,37),0)</f>
        <v/>
      </c>
      <c r="AO530">
        <f>IFERROR(INDEX(PP_Grid[#Data],$DE530,38),0)</f>
        <v/>
      </c>
      <c r="AP530">
        <f>IFERROR(INDEX(PP_Grid[#Data],$DE530,39),0)</f>
        <v/>
      </c>
      <c r="AQ530">
        <f>IFERROR(INDEX(PP_Grid[#Data],$DE530,40),0)</f>
        <v/>
      </c>
      <c r="AR530">
        <f>IFERROR(INDEX(PP_Grid[#Data],$DE530,41),0)</f>
        <v/>
      </c>
      <c r="AS530">
        <f>IFERROR(INDEX(PP_Grid[#Data],$DE530,42),0)</f>
        <v/>
      </c>
      <c r="AT530">
        <f>IFERROR(INDEX(PP_Grid[#Data],$DE530,43),0)</f>
        <v/>
      </c>
      <c r="AU530">
        <f>IFERROR(INDEX(PP_Grid[#Data],$DE530,44),0)</f>
        <v/>
      </c>
      <c r="AV530">
        <f>IFERROR(INDEX(PP_Grid[#Data],$DE530,45),0)</f>
        <v/>
      </c>
      <c r="AW530">
        <f>IFERROR(INDEX(PP_Grid[#Data],$DE530,46),0)</f>
        <v/>
      </c>
      <c r="AX530">
        <f>IFERROR(INDEX(PP_Grid[#Data],$DE530,47),0)</f>
        <v/>
      </c>
      <c r="AY530">
        <f>IFERROR(INDEX(PP_Grid[#Data],$DE530,48),0)</f>
        <v/>
      </c>
      <c r="AZ530">
        <f>IFERROR(INDEX(PP_Grid[#Data],$DE530,49),0)</f>
        <v/>
      </c>
      <c r="BA530">
        <f>IFERROR(INDEX(PP_Grid[#Data],$DE530,50),0)</f>
        <v/>
      </c>
      <c r="BB530">
        <f>IFERROR(INDEX(PP_Grid[#Data],$DE530,51),0)</f>
        <v/>
      </c>
      <c r="BC530">
        <f>IFERROR(INDEX(PP_Grid[#Data],$DE530,52),0)</f>
        <v/>
      </c>
      <c r="BD530">
        <f>IFERROR(INDEX(PP_Grid[#Data],$DE530,53),0)</f>
        <v/>
      </c>
      <c r="BE530">
        <f>IFERROR(INDEX(PP_Grid[#Data],$DE530,54),0)</f>
        <v/>
      </c>
      <c r="BF530">
        <f>IFERROR(INDEX(PP_Grid[#Data],$DE530,55),0)</f>
        <v/>
      </c>
      <c r="BG530">
        <f>IFERROR(INDEX(PP_Grid[#Data],$DE530,56),0)</f>
        <v/>
      </c>
      <c r="BH530">
        <f>IFERROR(INDEX(PP_Grid[#Data],$DE530,57),0)</f>
        <v/>
      </c>
      <c r="BI530">
        <f>IFERROR(INDEX(PP_Grid[#Data],$DE530,58),0)</f>
        <v/>
      </c>
      <c r="BJ530">
        <f>IFERROR(INDEX(PP_Grid[#Data],$DE530,59),0)</f>
        <v/>
      </c>
      <c r="BK530">
        <f>IFERROR(INDEX(PP_Grid[#Data],$DE530,60),0)</f>
        <v/>
      </c>
      <c r="BL530">
        <f>IFERROR(INDEX(PP_Grid[#Data],$DE530,61),0)</f>
        <v/>
      </c>
      <c r="BM530">
        <f>IFERROR(INDEX(PP_Grid[#Data],$DE530,62),0)</f>
        <v/>
      </c>
      <c r="BN530">
        <f>IFERROR(INDEX(PP_Grid[#Data],$DE530,63),0)</f>
        <v/>
      </c>
      <c r="BO530">
        <f>IFERROR(INDEX(PP_Grid[#Data],$DE530,64),0)</f>
        <v/>
      </c>
      <c r="BP530">
        <f>IFERROR(INDEX(PP_Grid[#Data],$DE530,65),0)</f>
        <v/>
      </c>
      <c r="BQ530">
        <f>IFERROR(INDEX(PP_Grid[#Data],$DE530,66),0)</f>
        <v/>
      </c>
      <c r="BR530">
        <f>IFERROR(INDEX(PP_Grid[#Data],$DE530,67),0)</f>
        <v/>
      </c>
      <c r="BS530">
        <f>IFERROR(INDEX(PP_Grid[#Data],$DE530,68),0)</f>
        <v/>
      </c>
      <c r="BT530">
        <f>IFERROR(INDEX(PP_Grid[#Data],$DE530,69),0)</f>
        <v/>
      </c>
      <c r="BU530">
        <f>IFERROR(INDEX(PP_Grid[#Data],$DE530,70),0)</f>
        <v/>
      </c>
      <c r="BV530">
        <f>IFERROR(INDEX(PP_Grid[#Data],$DE530,71),0)</f>
        <v/>
      </c>
      <c r="BW530">
        <f>IFERROR(INDEX(PP_Grid[#Data],$DE530,72),0)</f>
        <v/>
      </c>
      <c r="BX530">
        <f>IFERROR(INDEX(PP_Grid[#Data],$DE530,73),0)</f>
        <v/>
      </c>
      <c r="BY530">
        <f>IFERROR(INDEX(PP_Grid[#Data],$DE530,74),0)</f>
        <v/>
      </c>
      <c r="BZ530">
        <f>IFERROR(INDEX(PP_Grid[#Data],$DE530,75),0)</f>
        <v/>
      </c>
      <c r="CA530">
        <f>IFERROR(INDEX(PP_Grid[#Data],$DE530,76),0)</f>
        <v/>
      </c>
      <c r="CB530">
        <f>IFERROR(INDEX(PP_Grid[#Data],$DE530,77),0)</f>
        <v/>
      </c>
      <c r="CC530">
        <f>IFERROR(INDEX(PP_Grid[#Data],$DE530,78),0)</f>
        <v/>
      </c>
      <c r="CD530">
        <f>IFERROR(INDEX(PP_Grid[#Data],$DE530,79),0)</f>
        <v/>
      </c>
      <c r="CE530">
        <f>IFERROR(INDEX(PP_Grid[#Data],$DE530,80),0)</f>
        <v/>
      </c>
      <c r="CF530">
        <f>IFERROR(INDEX(PP_Grid[#Data],$DE530,81),0)</f>
        <v/>
      </c>
      <c r="CG530">
        <f>IFERROR(INDEX(PP_Grid[#Data],$DE530,82),0)</f>
        <v/>
      </c>
      <c r="CH530">
        <f>IFERROR(INDEX(PP_Grid[#Data],$DE530,83),0)</f>
        <v/>
      </c>
      <c r="CI530">
        <f>IFERROR(INDEX(PP_Grid[#Data],$DE530,84),0)</f>
        <v/>
      </c>
      <c r="CJ530">
        <f>IFERROR(INDEX(PP_Grid[#Data],$DE530,85),0)</f>
        <v/>
      </c>
      <c r="CK530">
        <f>IFERROR(INDEX(PP_Grid[#Data],$DE530,86),0)</f>
        <v/>
      </c>
      <c r="CL530">
        <f>IFERROR(INDEX(PP_Grid[#Data],$DE530,87),0)</f>
        <v/>
      </c>
      <c r="CM530">
        <f>IFERROR(INDEX(PP_Grid[#Data],$DE530,88),0)</f>
        <v/>
      </c>
      <c r="CN530">
        <f>IFERROR(INDEX(PP_Grid[#Data],$DE530,89),0)</f>
        <v/>
      </c>
      <c r="CO530">
        <f>IFERROR(INDEX(PP_Grid[#Data],$DE530,90),0)</f>
        <v/>
      </c>
      <c r="CP530">
        <f>IFERROR(INDEX(PP_Grid[#Data],$DE530,91),0)</f>
        <v/>
      </c>
      <c r="CQ530">
        <f>IFERROR(INDEX(PP_Grid[#Data],$DE530,92),0)</f>
        <v/>
      </c>
      <c r="CR530">
        <f>IFERROR(INDEX(PP_Grid[#Data],$DE530,93),0)</f>
        <v/>
      </c>
      <c r="CS530">
        <f>IFERROR(INDEX(PP_Grid[#Data],$DE530,94),0)</f>
        <v/>
      </c>
      <c r="CT530">
        <f>IFERROR(INDEX(PP_Grid[#Data],$DE530,95),0)</f>
        <v/>
      </c>
      <c r="CU530">
        <f>IFERROR(INDEX(PP_Grid[#Data],$DE530,96),0)</f>
        <v/>
      </c>
      <c r="CV530">
        <f>IFERROR(INDEX(PP_Grid[#Data],$DE530,97),0)</f>
        <v/>
      </c>
      <c r="CW530">
        <f>IFERROR(INDEX(PP_Grid[#Data],$DE530,98),0)</f>
        <v/>
      </c>
      <c r="CX530">
        <f>IFERROR(INDEX(PP_Grid[#Data],$DE530,99),0)</f>
        <v/>
      </c>
      <c r="CY530">
        <f>IFERROR(INDEX(PP_Grid[#Data],$DE530,100),0)</f>
        <v/>
      </c>
      <c r="CZ530">
        <f>IFERROR(INDEX(PP_Grid[#Data],$DE530,101),0)</f>
        <v/>
      </c>
      <c r="DA530">
        <f>IFERROR(INDEX(PP_Grid[#Data],$DE530,102),0)</f>
        <v/>
      </c>
      <c r="DB530">
        <f>IFERROR(INDEX(PP_Grid[#Data],$DE530,103),0)</f>
        <v/>
      </c>
      <c r="DC530">
        <f>IFERROR(INDEX(PP_Grid[#Data],$DE530,104),0)</f>
        <v/>
      </c>
      <c r="DD530">
        <f>IFERROR(INDEX(PP_Grid[#Data],$DE530,105),0)</f>
        <v/>
      </c>
      <c r="DE530" s="7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SUMIFS(M_BOM[RM_Qty_Per_Batch],M_BOM[Intermediate],$B530,M_BOM[RM_Code],$A497)</f>
        <v/>
      </c>
      <c r="D531">
        <f>IFERROR(INDEX(E531:DD531,$F$1),"")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  <c r="DD531">
        <f>$C531*DD530</f>
        <v/>
      </c>
    </row>
    <row r="532">
      <c r="B532" t="inlineStr">
        <is>
          <t>TSP-668</t>
        </is>
      </c>
      <c r="C532" t="inlineStr">
        <is>
          <t>No. of batches</t>
        </is>
      </c>
      <c r="D532">
        <f>IFERROR(INDEX(E532:DD532,$F$1),"")</f>
        <v/>
      </c>
      <c r="E532">
        <f>IFERROR(INDEX(PP_Grid[#Data],$DE532,2),0)</f>
        <v/>
      </c>
      <c r="F532">
        <f>IFERROR(INDEX(PP_Grid[#Data],$DE532,3),0)</f>
        <v/>
      </c>
      <c r="G532">
        <f>IFERROR(INDEX(PP_Grid[#Data],$DE532,4),0)</f>
        <v/>
      </c>
      <c r="H532">
        <f>IFERROR(INDEX(PP_Grid[#Data],$DE532,5),0)</f>
        <v/>
      </c>
      <c r="I532">
        <f>IFERROR(INDEX(PP_Grid[#Data],$DE532,6),0)</f>
        <v/>
      </c>
      <c r="J532">
        <f>IFERROR(INDEX(PP_Grid[#Data],$DE532,7),0)</f>
        <v/>
      </c>
      <c r="K532">
        <f>IFERROR(INDEX(PP_Grid[#Data],$DE532,8),0)</f>
        <v/>
      </c>
      <c r="L532">
        <f>IFERROR(INDEX(PP_Grid[#Data],$DE532,9),0)</f>
        <v/>
      </c>
      <c r="M532">
        <f>IFERROR(INDEX(PP_Grid[#Data],$DE532,10),0)</f>
        <v/>
      </c>
      <c r="N532">
        <f>IFERROR(INDEX(PP_Grid[#Data],$DE532,11),0)</f>
        <v/>
      </c>
      <c r="O532">
        <f>IFERROR(INDEX(PP_Grid[#Data],$DE532,12),0)</f>
        <v/>
      </c>
      <c r="P532">
        <f>IFERROR(INDEX(PP_Grid[#Data],$DE532,13),0)</f>
        <v/>
      </c>
      <c r="Q532">
        <f>IFERROR(INDEX(PP_Grid[#Data],$DE532,14),0)</f>
        <v/>
      </c>
      <c r="R532">
        <f>IFERROR(INDEX(PP_Grid[#Data],$DE532,15),0)</f>
        <v/>
      </c>
      <c r="S532">
        <f>IFERROR(INDEX(PP_Grid[#Data],$DE532,16),0)</f>
        <v/>
      </c>
      <c r="T532">
        <f>IFERROR(INDEX(PP_Grid[#Data],$DE532,17),0)</f>
        <v/>
      </c>
      <c r="U532">
        <f>IFERROR(INDEX(PP_Grid[#Data],$DE532,18),0)</f>
        <v/>
      </c>
      <c r="V532">
        <f>IFERROR(INDEX(PP_Grid[#Data],$DE532,19),0)</f>
        <v/>
      </c>
      <c r="W532">
        <f>IFERROR(INDEX(PP_Grid[#Data],$DE532,20),0)</f>
        <v/>
      </c>
      <c r="X532">
        <f>IFERROR(INDEX(PP_Grid[#Data],$DE532,21),0)</f>
        <v/>
      </c>
      <c r="Y532">
        <f>IFERROR(INDEX(PP_Grid[#Data],$DE532,22),0)</f>
        <v/>
      </c>
      <c r="Z532">
        <f>IFERROR(INDEX(PP_Grid[#Data],$DE532,23),0)</f>
        <v/>
      </c>
      <c r="AA532">
        <f>IFERROR(INDEX(PP_Grid[#Data],$DE532,24),0)</f>
        <v/>
      </c>
      <c r="AB532">
        <f>IFERROR(INDEX(PP_Grid[#Data],$DE532,25),0)</f>
        <v/>
      </c>
      <c r="AC532">
        <f>IFERROR(INDEX(PP_Grid[#Data],$DE532,26),0)</f>
        <v/>
      </c>
      <c r="AD532">
        <f>IFERROR(INDEX(PP_Grid[#Data],$DE532,27),0)</f>
        <v/>
      </c>
      <c r="AE532">
        <f>IFERROR(INDEX(PP_Grid[#Data],$DE532,28),0)</f>
        <v/>
      </c>
      <c r="AF532">
        <f>IFERROR(INDEX(PP_Grid[#Data],$DE532,29),0)</f>
        <v/>
      </c>
      <c r="AG532">
        <f>IFERROR(INDEX(PP_Grid[#Data],$DE532,30),0)</f>
        <v/>
      </c>
      <c r="AH532">
        <f>IFERROR(INDEX(PP_Grid[#Data],$DE532,31),0)</f>
        <v/>
      </c>
      <c r="AI532">
        <f>IFERROR(INDEX(PP_Grid[#Data],$DE532,32),0)</f>
        <v/>
      </c>
      <c r="AJ532">
        <f>IFERROR(INDEX(PP_Grid[#Data],$DE532,33),0)</f>
        <v/>
      </c>
      <c r="AK532">
        <f>IFERROR(INDEX(PP_Grid[#Data],$DE532,34),0)</f>
        <v/>
      </c>
      <c r="AL532">
        <f>IFERROR(INDEX(PP_Grid[#Data],$DE532,35),0)</f>
        <v/>
      </c>
      <c r="AM532">
        <f>IFERROR(INDEX(PP_Grid[#Data],$DE532,36),0)</f>
        <v/>
      </c>
      <c r="AN532">
        <f>IFERROR(INDEX(PP_Grid[#Data],$DE532,37),0)</f>
        <v/>
      </c>
      <c r="AO532">
        <f>IFERROR(INDEX(PP_Grid[#Data],$DE532,38),0)</f>
        <v/>
      </c>
      <c r="AP532">
        <f>IFERROR(INDEX(PP_Grid[#Data],$DE532,39),0)</f>
        <v/>
      </c>
      <c r="AQ532">
        <f>IFERROR(INDEX(PP_Grid[#Data],$DE532,40),0)</f>
        <v/>
      </c>
      <c r="AR532">
        <f>IFERROR(INDEX(PP_Grid[#Data],$DE532,41),0)</f>
        <v/>
      </c>
      <c r="AS532">
        <f>IFERROR(INDEX(PP_Grid[#Data],$DE532,42),0)</f>
        <v/>
      </c>
      <c r="AT532">
        <f>IFERROR(INDEX(PP_Grid[#Data],$DE532,43),0)</f>
        <v/>
      </c>
      <c r="AU532">
        <f>IFERROR(INDEX(PP_Grid[#Data],$DE532,44),0)</f>
        <v/>
      </c>
      <c r="AV532">
        <f>IFERROR(INDEX(PP_Grid[#Data],$DE532,45),0)</f>
        <v/>
      </c>
      <c r="AW532">
        <f>IFERROR(INDEX(PP_Grid[#Data],$DE532,46),0)</f>
        <v/>
      </c>
      <c r="AX532">
        <f>IFERROR(INDEX(PP_Grid[#Data],$DE532,47),0)</f>
        <v/>
      </c>
      <c r="AY532">
        <f>IFERROR(INDEX(PP_Grid[#Data],$DE532,48),0)</f>
        <v/>
      </c>
      <c r="AZ532">
        <f>IFERROR(INDEX(PP_Grid[#Data],$DE532,49),0)</f>
        <v/>
      </c>
      <c r="BA532">
        <f>IFERROR(INDEX(PP_Grid[#Data],$DE532,50),0)</f>
        <v/>
      </c>
      <c r="BB532">
        <f>IFERROR(INDEX(PP_Grid[#Data],$DE532,51),0)</f>
        <v/>
      </c>
      <c r="BC532">
        <f>IFERROR(INDEX(PP_Grid[#Data],$DE532,52),0)</f>
        <v/>
      </c>
      <c r="BD532">
        <f>IFERROR(INDEX(PP_Grid[#Data],$DE532,53),0)</f>
        <v/>
      </c>
      <c r="BE532">
        <f>IFERROR(INDEX(PP_Grid[#Data],$DE532,54),0)</f>
        <v/>
      </c>
      <c r="BF532">
        <f>IFERROR(INDEX(PP_Grid[#Data],$DE532,55),0)</f>
        <v/>
      </c>
      <c r="BG532">
        <f>IFERROR(INDEX(PP_Grid[#Data],$DE532,56),0)</f>
        <v/>
      </c>
      <c r="BH532">
        <f>IFERROR(INDEX(PP_Grid[#Data],$DE532,57),0)</f>
        <v/>
      </c>
      <c r="BI532">
        <f>IFERROR(INDEX(PP_Grid[#Data],$DE532,58),0)</f>
        <v/>
      </c>
      <c r="BJ532">
        <f>IFERROR(INDEX(PP_Grid[#Data],$DE532,59),0)</f>
        <v/>
      </c>
      <c r="BK532">
        <f>IFERROR(INDEX(PP_Grid[#Data],$DE532,60),0)</f>
        <v/>
      </c>
      <c r="BL532">
        <f>IFERROR(INDEX(PP_Grid[#Data],$DE532,61),0)</f>
        <v/>
      </c>
      <c r="BM532">
        <f>IFERROR(INDEX(PP_Grid[#Data],$DE532,62),0)</f>
        <v/>
      </c>
      <c r="BN532">
        <f>IFERROR(INDEX(PP_Grid[#Data],$DE532,63),0)</f>
        <v/>
      </c>
      <c r="BO532">
        <f>IFERROR(INDEX(PP_Grid[#Data],$DE532,64),0)</f>
        <v/>
      </c>
      <c r="BP532">
        <f>IFERROR(INDEX(PP_Grid[#Data],$DE532,65),0)</f>
        <v/>
      </c>
      <c r="BQ532">
        <f>IFERROR(INDEX(PP_Grid[#Data],$DE532,66),0)</f>
        <v/>
      </c>
      <c r="BR532">
        <f>IFERROR(INDEX(PP_Grid[#Data],$DE532,67),0)</f>
        <v/>
      </c>
      <c r="BS532">
        <f>IFERROR(INDEX(PP_Grid[#Data],$DE532,68),0)</f>
        <v/>
      </c>
      <c r="BT532">
        <f>IFERROR(INDEX(PP_Grid[#Data],$DE532,69),0)</f>
        <v/>
      </c>
      <c r="BU532">
        <f>IFERROR(INDEX(PP_Grid[#Data],$DE532,70),0)</f>
        <v/>
      </c>
      <c r="BV532">
        <f>IFERROR(INDEX(PP_Grid[#Data],$DE532,71),0)</f>
        <v/>
      </c>
      <c r="BW532">
        <f>IFERROR(INDEX(PP_Grid[#Data],$DE532,72),0)</f>
        <v/>
      </c>
      <c r="BX532">
        <f>IFERROR(INDEX(PP_Grid[#Data],$DE532,73),0)</f>
        <v/>
      </c>
      <c r="BY532">
        <f>IFERROR(INDEX(PP_Grid[#Data],$DE532,74),0)</f>
        <v/>
      </c>
      <c r="BZ532">
        <f>IFERROR(INDEX(PP_Grid[#Data],$DE532,75),0)</f>
        <v/>
      </c>
      <c r="CA532">
        <f>IFERROR(INDEX(PP_Grid[#Data],$DE532,76),0)</f>
        <v/>
      </c>
      <c r="CB532">
        <f>IFERROR(INDEX(PP_Grid[#Data],$DE532,77),0)</f>
        <v/>
      </c>
      <c r="CC532">
        <f>IFERROR(INDEX(PP_Grid[#Data],$DE532,78),0)</f>
        <v/>
      </c>
      <c r="CD532">
        <f>IFERROR(INDEX(PP_Grid[#Data],$DE532,79),0)</f>
        <v/>
      </c>
      <c r="CE532">
        <f>IFERROR(INDEX(PP_Grid[#Data],$DE532,80),0)</f>
        <v/>
      </c>
      <c r="CF532">
        <f>IFERROR(INDEX(PP_Grid[#Data],$DE532,81),0)</f>
        <v/>
      </c>
      <c r="CG532">
        <f>IFERROR(INDEX(PP_Grid[#Data],$DE532,82),0)</f>
        <v/>
      </c>
      <c r="CH532">
        <f>IFERROR(INDEX(PP_Grid[#Data],$DE532,83),0)</f>
        <v/>
      </c>
      <c r="CI532">
        <f>IFERROR(INDEX(PP_Grid[#Data],$DE532,84),0)</f>
        <v/>
      </c>
      <c r="CJ532">
        <f>IFERROR(INDEX(PP_Grid[#Data],$DE532,85),0)</f>
        <v/>
      </c>
      <c r="CK532">
        <f>IFERROR(INDEX(PP_Grid[#Data],$DE532,86),0)</f>
        <v/>
      </c>
      <c r="CL532">
        <f>IFERROR(INDEX(PP_Grid[#Data],$DE532,87),0)</f>
        <v/>
      </c>
      <c r="CM532">
        <f>IFERROR(INDEX(PP_Grid[#Data],$DE532,88),0)</f>
        <v/>
      </c>
      <c r="CN532">
        <f>IFERROR(INDEX(PP_Grid[#Data],$DE532,89),0)</f>
        <v/>
      </c>
      <c r="CO532">
        <f>IFERROR(INDEX(PP_Grid[#Data],$DE532,90),0)</f>
        <v/>
      </c>
      <c r="CP532">
        <f>IFERROR(INDEX(PP_Grid[#Data],$DE532,91),0)</f>
        <v/>
      </c>
      <c r="CQ532">
        <f>IFERROR(INDEX(PP_Grid[#Data],$DE532,92),0)</f>
        <v/>
      </c>
      <c r="CR532">
        <f>IFERROR(INDEX(PP_Grid[#Data],$DE532,93),0)</f>
        <v/>
      </c>
      <c r="CS532">
        <f>IFERROR(INDEX(PP_Grid[#Data],$DE532,94),0)</f>
        <v/>
      </c>
      <c r="CT532">
        <f>IFERROR(INDEX(PP_Grid[#Data],$DE532,95),0)</f>
        <v/>
      </c>
      <c r="CU532">
        <f>IFERROR(INDEX(PP_Grid[#Data],$DE532,96),0)</f>
        <v/>
      </c>
      <c r="CV532">
        <f>IFERROR(INDEX(PP_Grid[#Data],$DE532,97),0)</f>
        <v/>
      </c>
      <c r="CW532">
        <f>IFERROR(INDEX(PP_Grid[#Data],$DE532,98),0)</f>
        <v/>
      </c>
      <c r="CX532">
        <f>IFERROR(INDEX(PP_Grid[#Data],$DE532,99),0)</f>
        <v/>
      </c>
      <c r="CY532">
        <f>IFERROR(INDEX(PP_Grid[#Data],$DE532,100),0)</f>
        <v/>
      </c>
      <c r="CZ532">
        <f>IFERROR(INDEX(PP_Grid[#Data],$DE532,101),0)</f>
        <v/>
      </c>
      <c r="DA532">
        <f>IFERROR(INDEX(PP_Grid[#Data],$DE532,102),0)</f>
        <v/>
      </c>
      <c r="DB532">
        <f>IFERROR(INDEX(PP_Grid[#Data],$DE532,103),0)</f>
        <v/>
      </c>
      <c r="DC532">
        <f>IFERROR(INDEX(PP_Grid[#Data],$DE532,104),0)</f>
        <v/>
      </c>
      <c r="DD532">
        <f>IFERROR(INDEX(PP_Grid[#Data],$DE532,105),0)</f>
        <v/>
      </c>
      <c r="DE532" s="7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SUMIFS(M_BOM[RM_Qty_Per_Batch],M_BOM[Intermediate],$B532,M_BOM[RM_Code],$A497)</f>
        <v/>
      </c>
      <c r="D533">
        <f>IFERROR(INDEX(E533:DD533,$F$1),"")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  <c r="DD533">
        <f>$C533*DD532</f>
        <v/>
      </c>
    </row>
    <row r="534">
      <c r="B534" t="inlineStr">
        <is>
          <t>TSP-669</t>
        </is>
      </c>
      <c r="C534" t="inlineStr">
        <is>
          <t>No. of batches</t>
        </is>
      </c>
      <c r="D534">
        <f>IFERROR(INDEX(E534:DD534,$F$1),"")</f>
        <v/>
      </c>
      <c r="E534">
        <f>IFERROR(INDEX(PP_Grid[#Data],$DE534,2),0)</f>
        <v/>
      </c>
      <c r="F534">
        <f>IFERROR(INDEX(PP_Grid[#Data],$DE534,3),0)</f>
        <v/>
      </c>
      <c r="G534">
        <f>IFERROR(INDEX(PP_Grid[#Data],$DE534,4),0)</f>
        <v/>
      </c>
      <c r="H534">
        <f>IFERROR(INDEX(PP_Grid[#Data],$DE534,5),0)</f>
        <v/>
      </c>
      <c r="I534">
        <f>IFERROR(INDEX(PP_Grid[#Data],$DE534,6),0)</f>
        <v/>
      </c>
      <c r="J534">
        <f>IFERROR(INDEX(PP_Grid[#Data],$DE534,7),0)</f>
        <v/>
      </c>
      <c r="K534">
        <f>IFERROR(INDEX(PP_Grid[#Data],$DE534,8),0)</f>
        <v/>
      </c>
      <c r="L534">
        <f>IFERROR(INDEX(PP_Grid[#Data],$DE534,9),0)</f>
        <v/>
      </c>
      <c r="M534">
        <f>IFERROR(INDEX(PP_Grid[#Data],$DE534,10),0)</f>
        <v/>
      </c>
      <c r="N534">
        <f>IFERROR(INDEX(PP_Grid[#Data],$DE534,11),0)</f>
        <v/>
      </c>
      <c r="O534">
        <f>IFERROR(INDEX(PP_Grid[#Data],$DE534,12),0)</f>
        <v/>
      </c>
      <c r="P534">
        <f>IFERROR(INDEX(PP_Grid[#Data],$DE534,13),0)</f>
        <v/>
      </c>
      <c r="Q534">
        <f>IFERROR(INDEX(PP_Grid[#Data],$DE534,14),0)</f>
        <v/>
      </c>
      <c r="R534">
        <f>IFERROR(INDEX(PP_Grid[#Data],$DE534,15),0)</f>
        <v/>
      </c>
      <c r="S534">
        <f>IFERROR(INDEX(PP_Grid[#Data],$DE534,16),0)</f>
        <v/>
      </c>
      <c r="T534">
        <f>IFERROR(INDEX(PP_Grid[#Data],$DE534,17),0)</f>
        <v/>
      </c>
      <c r="U534">
        <f>IFERROR(INDEX(PP_Grid[#Data],$DE534,18),0)</f>
        <v/>
      </c>
      <c r="V534">
        <f>IFERROR(INDEX(PP_Grid[#Data],$DE534,19),0)</f>
        <v/>
      </c>
      <c r="W534">
        <f>IFERROR(INDEX(PP_Grid[#Data],$DE534,20),0)</f>
        <v/>
      </c>
      <c r="X534">
        <f>IFERROR(INDEX(PP_Grid[#Data],$DE534,21),0)</f>
        <v/>
      </c>
      <c r="Y534">
        <f>IFERROR(INDEX(PP_Grid[#Data],$DE534,22),0)</f>
        <v/>
      </c>
      <c r="Z534">
        <f>IFERROR(INDEX(PP_Grid[#Data],$DE534,23),0)</f>
        <v/>
      </c>
      <c r="AA534">
        <f>IFERROR(INDEX(PP_Grid[#Data],$DE534,24),0)</f>
        <v/>
      </c>
      <c r="AB534">
        <f>IFERROR(INDEX(PP_Grid[#Data],$DE534,25),0)</f>
        <v/>
      </c>
      <c r="AC534">
        <f>IFERROR(INDEX(PP_Grid[#Data],$DE534,26),0)</f>
        <v/>
      </c>
      <c r="AD534">
        <f>IFERROR(INDEX(PP_Grid[#Data],$DE534,27),0)</f>
        <v/>
      </c>
      <c r="AE534">
        <f>IFERROR(INDEX(PP_Grid[#Data],$DE534,28),0)</f>
        <v/>
      </c>
      <c r="AF534">
        <f>IFERROR(INDEX(PP_Grid[#Data],$DE534,29),0)</f>
        <v/>
      </c>
      <c r="AG534">
        <f>IFERROR(INDEX(PP_Grid[#Data],$DE534,30),0)</f>
        <v/>
      </c>
      <c r="AH534">
        <f>IFERROR(INDEX(PP_Grid[#Data],$DE534,31),0)</f>
        <v/>
      </c>
      <c r="AI534">
        <f>IFERROR(INDEX(PP_Grid[#Data],$DE534,32),0)</f>
        <v/>
      </c>
      <c r="AJ534">
        <f>IFERROR(INDEX(PP_Grid[#Data],$DE534,33),0)</f>
        <v/>
      </c>
      <c r="AK534">
        <f>IFERROR(INDEX(PP_Grid[#Data],$DE534,34),0)</f>
        <v/>
      </c>
      <c r="AL534">
        <f>IFERROR(INDEX(PP_Grid[#Data],$DE534,35),0)</f>
        <v/>
      </c>
      <c r="AM534">
        <f>IFERROR(INDEX(PP_Grid[#Data],$DE534,36),0)</f>
        <v/>
      </c>
      <c r="AN534">
        <f>IFERROR(INDEX(PP_Grid[#Data],$DE534,37),0)</f>
        <v/>
      </c>
      <c r="AO534">
        <f>IFERROR(INDEX(PP_Grid[#Data],$DE534,38),0)</f>
        <v/>
      </c>
      <c r="AP534">
        <f>IFERROR(INDEX(PP_Grid[#Data],$DE534,39),0)</f>
        <v/>
      </c>
      <c r="AQ534">
        <f>IFERROR(INDEX(PP_Grid[#Data],$DE534,40),0)</f>
        <v/>
      </c>
      <c r="AR534">
        <f>IFERROR(INDEX(PP_Grid[#Data],$DE534,41),0)</f>
        <v/>
      </c>
      <c r="AS534">
        <f>IFERROR(INDEX(PP_Grid[#Data],$DE534,42),0)</f>
        <v/>
      </c>
      <c r="AT534">
        <f>IFERROR(INDEX(PP_Grid[#Data],$DE534,43),0)</f>
        <v/>
      </c>
      <c r="AU534">
        <f>IFERROR(INDEX(PP_Grid[#Data],$DE534,44),0)</f>
        <v/>
      </c>
      <c r="AV534">
        <f>IFERROR(INDEX(PP_Grid[#Data],$DE534,45),0)</f>
        <v/>
      </c>
      <c r="AW534">
        <f>IFERROR(INDEX(PP_Grid[#Data],$DE534,46),0)</f>
        <v/>
      </c>
      <c r="AX534">
        <f>IFERROR(INDEX(PP_Grid[#Data],$DE534,47),0)</f>
        <v/>
      </c>
      <c r="AY534">
        <f>IFERROR(INDEX(PP_Grid[#Data],$DE534,48),0)</f>
        <v/>
      </c>
      <c r="AZ534">
        <f>IFERROR(INDEX(PP_Grid[#Data],$DE534,49),0)</f>
        <v/>
      </c>
      <c r="BA534">
        <f>IFERROR(INDEX(PP_Grid[#Data],$DE534,50),0)</f>
        <v/>
      </c>
      <c r="BB534">
        <f>IFERROR(INDEX(PP_Grid[#Data],$DE534,51),0)</f>
        <v/>
      </c>
      <c r="BC534">
        <f>IFERROR(INDEX(PP_Grid[#Data],$DE534,52),0)</f>
        <v/>
      </c>
      <c r="BD534">
        <f>IFERROR(INDEX(PP_Grid[#Data],$DE534,53),0)</f>
        <v/>
      </c>
      <c r="BE534">
        <f>IFERROR(INDEX(PP_Grid[#Data],$DE534,54),0)</f>
        <v/>
      </c>
      <c r="BF534">
        <f>IFERROR(INDEX(PP_Grid[#Data],$DE534,55),0)</f>
        <v/>
      </c>
      <c r="BG534">
        <f>IFERROR(INDEX(PP_Grid[#Data],$DE534,56),0)</f>
        <v/>
      </c>
      <c r="BH534">
        <f>IFERROR(INDEX(PP_Grid[#Data],$DE534,57),0)</f>
        <v/>
      </c>
      <c r="BI534">
        <f>IFERROR(INDEX(PP_Grid[#Data],$DE534,58),0)</f>
        <v/>
      </c>
      <c r="BJ534">
        <f>IFERROR(INDEX(PP_Grid[#Data],$DE534,59),0)</f>
        <v/>
      </c>
      <c r="BK534">
        <f>IFERROR(INDEX(PP_Grid[#Data],$DE534,60),0)</f>
        <v/>
      </c>
      <c r="BL534">
        <f>IFERROR(INDEX(PP_Grid[#Data],$DE534,61),0)</f>
        <v/>
      </c>
      <c r="BM534">
        <f>IFERROR(INDEX(PP_Grid[#Data],$DE534,62),0)</f>
        <v/>
      </c>
      <c r="BN534">
        <f>IFERROR(INDEX(PP_Grid[#Data],$DE534,63),0)</f>
        <v/>
      </c>
      <c r="BO534">
        <f>IFERROR(INDEX(PP_Grid[#Data],$DE534,64),0)</f>
        <v/>
      </c>
      <c r="BP534">
        <f>IFERROR(INDEX(PP_Grid[#Data],$DE534,65),0)</f>
        <v/>
      </c>
      <c r="BQ534">
        <f>IFERROR(INDEX(PP_Grid[#Data],$DE534,66),0)</f>
        <v/>
      </c>
      <c r="BR534">
        <f>IFERROR(INDEX(PP_Grid[#Data],$DE534,67),0)</f>
        <v/>
      </c>
      <c r="BS534">
        <f>IFERROR(INDEX(PP_Grid[#Data],$DE534,68),0)</f>
        <v/>
      </c>
      <c r="BT534">
        <f>IFERROR(INDEX(PP_Grid[#Data],$DE534,69),0)</f>
        <v/>
      </c>
      <c r="BU534">
        <f>IFERROR(INDEX(PP_Grid[#Data],$DE534,70),0)</f>
        <v/>
      </c>
      <c r="BV534">
        <f>IFERROR(INDEX(PP_Grid[#Data],$DE534,71),0)</f>
        <v/>
      </c>
      <c r="BW534">
        <f>IFERROR(INDEX(PP_Grid[#Data],$DE534,72),0)</f>
        <v/>
      </c>
      <c r="BX534">
        <f>IFERROR(INDEX(PP_Grid[#Data],$DE534,73),0)</f>
        <v/>
      </c>
      <c r="BY534">
        <f>IFERROR(INDEX(PP_Grid[#Data],$DE534,74),0)</f>
        <v/>
      </c>
      <c r="BZ534">
        <f>IFERROR(INDEX(PP_Grid[#Data],$DE534,75),0)</f>
        <v/>
      </c>
      <c r="CA534">
        <f>IFERROR(INDEX(PP_Grid[#Data],$DE534,76),0)</f>
        <v/>
      </c>
      <c r="CB534">
        <f>IFERROR(INDEX(PP_Grid[#Data],$DE534,77),0)</f>
        <v/>
      </c>
      <c r="CC534">
        <f>IFERROR(INDEX(PP_Grid[#Data],$DE534,78),0)</f>
        <v/>
      </c>
      <c r="CD534">
        <f>IFERROR(INDEX(PP_Grid[#Data],$DE534,79),0)</f>
        <v/>
      </c>
      <c r="CE534">
        <f>IFERROR(INDEX(PP_Grid[#Data],$DE534,80),0)</f>
        <v/>
      </c>
      <c r="CF534">
        <f>IFERROR(INDEX(PP_Grid[#Data],$DE534,81),0)</f>
        <v/>
      </c>
      <c r="CG534">
        <f>IFERROR(INDEX(PP_Grid[#Data],$DE534,82),0)</f>
        <v/>
      </c>
      <c r="CH534">
        <f>IFERROR(INDEX(PP_Grid[#Data],$DE534,83),0)</f>
        <v/>
      </c>
      <c r="CI534">
        <f>IFERROR(INDEX(PP_Grid[#Data],$DE534,84),0)</f>
        <v/>
      </c>
      <c r="CJ534">
        <f>IFERROR(INDEX(PP_Grid[#Data],$DE534,85),0)</f>
        <v/>
      </c>
      <c r="CK534">
        <f>IFERROR(INDEX(PP_Grid[#Data],$DE534,86),0)</f>
        <v/>
      </c>
      <c r="CL534">
        <f>IFERROR(INDEX(PP_Grid[#Data],$DE534,87),0)</f>
        <v/>
      </c>
      <c r="CM534">
        <f>IFERROR(INDEX(PP_Grid[#Data],$DE534,88),0)</f>
        <v/>
      </c>
      <c r="CN534">
        <f>IFERROR(INDEX(PP_Grid[#Data],$DE534,89),0)</f>
        <v/>
      </c>
      <c r="CO534">
        <f>IFERROR(INDEX(PP_Grid[#Data],$DE534,90),0)</f>
        <v/>
      </c>
      <c r="CP534">
        <f>IFERROR(INDEX(PP_Grid[#Data],$DE534,91),0)</f>
        <v/>
      </c>
      <c r="CQ534">
        <f>IFERROR(INDEX(PP_Grid[#Data],$DE534,92),0)</f>
        <v/>
      </c>
      <c r="CR534">
        <f>IFERROR(INDEX(PP_Grid[#Data],$DE534,93),0)</f>
        <v/>
      </c>
      <c r="CS534">
        <f>IFERROR(INDEX(PP_Grid[#Data],$DE534,94),0)</f>
        <v/>
      </c>
      <c r="CT534">
        <f>IFERROR(INDEX(PP_Grid[#Data],$DE534,95),0)</f>
        <v/>
      </c>
      <c r="CU534">
        <f>IFERROR(INDEX(PP_Grid[#Data],$DE534,96),0)</f>
        <v/>
      </c>
      <c r="CV534">
        <f>IFERROR(INDEX(PP_Grid[#Data],$DE534,97),0)</f>
        <v/>
      </c>
      <c r="CW534">
        <f>IFERROR(INDEX(PP_Grid[#Data],$DE534,98),0)</f>
        <v/>
      </c>
      <c r="CX534">
        <f>IFERROR(INDEX(PP_Grid[#Data],$DE534,99),0)</f>
        <v/>
      </c>
      <c r="CY534">
        <f>IFERROR(INDEX(PP_Grid[#Data],$DE534,100),0)</f>
        <v/>
      </c>
      <c r="CZ534">
        <f>IFERROR(INDEX(PP_Grid[#Data],$DE534,101),0)</f>
        <v/>
      </c>
      <c r="DA534">
        <f>IFERROR(INDEX(PP_Grid[#Data],$DE534,102),0)</f>
        <v/>
      </c>
      <c r="DB534">
        <f>IFERROR(INDEX(PP_Grid[#Data],$DE534,103),0)</f>
        <v/>
      </c>
      <c r="DC534">
        <f>IFERROR(INDEX(PP_Grid[#Data],$DE534,104),0)</f>
        <v/>
      </c>
      <c r="DD534">
        <f>IFERROR(INDEX(PP_Grid[#Data],$DE534,105),0)</f>
        <v/>
      </c>
      <c r="DE534" s="7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SUMIFS(M_BOM[RM_Qty_Per_Batch],M_BOM[Intermediate],$B534,M_BOM[RM_Code],$A497)</f>
        <v/>
      </c>
      <c r="D535">
        <f>IFERROR(INDEX(E535:DD535,$F$1),"")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  <c r="DD535">
        <f>$C535*DD534</f>
        <v/>
      </c>
    </row>
    <row r="536">
      <c r="B536" t="inlineStr">
        <is>
          <t>TSP-670</t>
        </is>
      </c>
      <c r="C536" t="inlineStr">
        <is>
          <t>No. of batches</t>
        </is>
      </c>
      <c r="D536">
        <f>IFERROR(INDEX(E536:DD536,$F$1),"")</f>
        <v/>
      </c>
      <c r="E536">
        <f>IFERROR(INDEX(PP_Grid[#Data],$DE536,2),0)</f>
        <v/>
      </c>
      <c r="F536">
        <f>IFERROR(INDEX(PP_Grid[#Data],$DE536,3),0)</f>
        <v/>
      </c>
      <c r="G536">
        <f>IFERROR(INDEX(PP_Grid[#Data],$DE536,4),0)</f>
        <v/>
      </c>
      <c r="H536">
        <f>IFERROR(INDEX(PP_Grid[#Data],$DE536,5),0)</f>
        <v/>
      </c>
      <c r="I536">
        <f>IFERROR(INDEX(PP_Grid[#Data],$DE536,6),0)</f>
        <v/>
      </c>
      <c r="J536">
        <f>IFERROR(INDEX(PP_Grid[#Data],$DE536,7),0)</f>
        <v/>
      </c>
      <c r="K536">
        <f>IFERROR(INDEX(PP_Grid[#Data],$DE536,8),0)</f>
        <v/>
      </c>
      <c r="L536">
        <f>IFERROR(INDEX(PP_Grid[#Data],$DE536,9),0)</f>
        <v/>
      </c>
      <c r="M536">
        <f>IFERROR(INDEX(PP_Grid[#Data],$DE536,10),0)</f>
        <v/>
      </c>
      <c r="N536">
        <f>IFERROR(INDEX(PP_Grid[#Data],$DE536,11),0)</f>
        <v/>
      </c>
      <c r="O536">
        <f>IFERROR(INDEX(PP_Grid[#Data],$DE536,12),0)</f>
        <v/>
      </c>
      <c r="P536">
        <f>IFERROR(INDEX(PP_Grid[#Data],$DE536,13),0)</f>
        <v/>
      </c>
      <c r="Q536">
        <f>IFERROR(INDEX(PP_Grid[#Data],$DE536,14),0)</f>
        <v/>
      </c>
      <c r="R536">
        <f>IFERROR(INDEX(PP_Grid[#Data],$DE536,15),0)</f>
        <v/>
      </c>
      <c r="S536">
        <f>IFERROR(INDEX(PP_Grid[#Data],$DE536,16),0)</f>
        <v/>
      </c>
      <c r="T536">
        <f>IFERROR(INDEX(PP_Grid[#Data],$DE536,17),0)</f>
        <v/>
      </c>
      <c r="U536">
        <f>IFERROR(INDEX(PP_Grid[#Data],$DE536,18),0)</f>
        <v/>
      </c>
      <c r="V536">
        <f>IFERROR(INDEX(PP_Grid[#Data],$DE536,19),0)</f>
        <v/>
      </c>
      <c r="W536">
        <f>IFERROR(INDEX(PP_Grid[#Data],$DE536,20),0)</f>
        <v/>
      </c>
      <c r="X536">
        <f>IFERROR(INDEX(PP_Grid[#Data],$DE536,21),0)</f>
        <v/>
      </c>
      <c r="Y536">
        <f>IFERROR(INDEX(PP_Grid[#Data],$DE536,22),0)</f>
        <v/>
      </c>
      <c r="Z536">
        <f>IFERROR(INDEX(PP_Grid[#Data],$DE536,23),0)</f>
        <v/>
      </c>
      <c r="AA536">
        <f>IFERROR(INDEX(PP_Grid[#Data],$DE536,24),0)</f>
        <v/>
      </c>
      <c r="AB536">
        <f>IFERROR(INDEX(PP_Grid[#Data],$DE536,25),0)</f>
        <v/>
      </c>
      <c r="AC536">
        <f>IFERROR(INDEX(PP_Grid[#Data],$DE536,26),0)</f>
        <v/>
      </c>
      <c r="AD536">
        <f>IFERROR(INDEX(PP_Grid[#Data],$DE536,27),0)</f>
        <v/>
      </c>
      <c r="AE536">
        <f>IFERROR(INDEX(PP_Grid[#Data],$DE536,28),0)</f>
        <v/>
      </c>
      <c r="AF536">
        <f>IFERROR(INDEX(PP_Grid[#Data],$DE536,29),0)</f>
        <v/>
      </c>
      <c r="AG536">
        <f>IFERROR(INDEX(PP_Grid[#Data],$DE536,30),0)</f>
        <v/>
      </c>
      <c r="AH536">
        <f>IFERROR(INDEX(PP_Grid[#Data],$DE536,31),0)</f>
        <v/>
      </c>
      <c r="AI536">
        <f>IFERROR(INDEX(PP_Grid[#Data],$DE536,32),0)</f>
        <v/>
      </c>
      <c r="AJ536">
        <f>IFERROR(INDEX(PP_Grid[#Data],$DE536,33),0)</f>
        <v/>
      </c>
      <c r="AK536">
        <f>IFERROR(INDEX(PP_Grid[#Data],$DE536,34),0)</f>
        <v/>
      </c>
      <c r="AL536">
        <f>IFERROR(INDEX(PP_Grid[#Data],$DE536,35),0)</f>
        <v/>
      </c>
      <c r="AM536">
        <f>IFERROR(INDEX(PP_Grid[#Data],$DE536,36),0)</f>
        <v/>
      </c>
      <c r="AN536">
        <f>IFERROR(INDEX(PP_Grid[#Data],$DE536,37),0)</f>
        <v/>
      </c>
      <c r="AO536">
        <f>IFERROR(INDEX(PP_Grid[#Data],$DE536,38),0)</f>
        <v/>
      </c>
      <c r="AP536">
        <f>IFERROR(INDEX(PP_Grid[#Data],$DE536,39),0)</f>
        <v/>
      </c>
      <c r="AQ536">
        <f>IFERROR(INDEX(PP_Grid[#Data],$DE536,40),0)</f>
        <v/>
      </c>
      <c r="AR536">
        <f>IFERROR(INDEX(PP_Grid[#Data],$DE536,41),0)</f>
        <v/>
      </c>
      <c r="AS536">
        <f>IFERROR(INDEX(PP_Grid[#Data],$DE536,42),0)</f>
        <v/>
      </c>
      <c r="AT536">
        <f>IFERROR(INDEX(PP_Grid[#Data],$DE536,43),0)</f>
        <v/>
      </c>
      <c r="AU536">
        <f>IFERROR(INDEX(PP_Grid[#Data],$DE536,44),0)</f>
        <v/>
      </c>
      <c r="AV536">
        <f>IFERROR(INDEX(PP_Grid[#Data],$DE536,45),0)</f>
        <v/>
      </c>
      <c r="AW536">
        <f>IFERROR(INDEX(PP_Grid[#Data],$DE536,46),0)</f>
        <v/>
      </c>
      <c r="AX536">
        <f>IFERROR(INDEX(PP_Grid[#Data],$DE536,47),0)</f>
        <v/>
      </c>
      <c r="AY536">
        <f>IFERROR(INDEX(PP_Grid[#Data],$DE536,48),0)</f>
        <v/>
      </c>
      <c r="AZ536">
        <f>IFERROR(INDEX(PP_Grid[#Data],$DE536,49),0)</f>
        <v/>
      </c>
      <c r="BA536">
        <f>IFERROR(INDEX(PP_Grid[#Data],$DE536,50),0)</f>
        <v/>
      </c>
      <c r="BB536">
        <f>IFERROR(INDEX(PP_Grid[#Data],$DE536,51),0)</f>
        <v/>
      </c>
      <c r="BC536">
        <f>IFERROR(INDEX(PP_Grid[#Data],$DE536,52),0)</f>
        <v/>
      </c>
      <c r="BD536">
        <f>IFERROR(INDEX(PP_Grid[#Data],$DE536,53),0)</f>
        <v/>
      </c>
      <c r="BE536">
        <f>IFERROR(INDEX(PP_Grid[#Data],$DE536,54),0)</f>
        <v/>
      </c>
      <c r="BF536">
        <f>IFERROR(INDEX(PP_Grid[#Data],$DE536,55),0)</f>
        <v/>
      </c>
      <c r="BG536">
        <f>IFERROR(INDEX(PP_Grid[#Data],$DE536,56),0)</f>
        <v/>
      </c>
      <c r="BH536">
        <f>IFERROR(INDEX(PP_Grid[#Data],$DE536,57),0)</f>
        <v/>
      </c>
      <c r="BI536">
        <f>IFERROR(INDEX(PP_Grid[#Data],$DE536,58),0)</f>
        <v/>
      </c>
      <c r="BJ536">
        <f>IFERROR(INDEX(PP_Grid[#Data],$DE536,59),0)</f>
        <v/>
      </c>
      <c r="BK536">
        <f>IFERROR(INDEX(PP_Grid[#Data],$DE536,60),0)</f>
        <v/>
      </c>
      <c r="BL536">
        <f>IFERROR(INDEX(PP_Grid[#Data],$DE536,61),0)</f>
        <v/>
      </c>
      <c r="BM536">
        <f>IFERROR(INDEX(PP_Grid[#Data],$DE536,62),0)</f>
        <v/>
      </c>
      <c r="BN536">
        <f>IFERROR(INDEX(PP_Grid[#Data],$DE536,63),0)</f>
        <v/>
      </c>
      <c r="BO536">
        <f>IFERROR(INDEX(PP_Grid[#Data],$DE536,64),0)</f>
        <v/>
      </c>
      <c r="BP536">
        <f>IFERROR(INDEX(PP_Grid[#Data],$DE536,65),0)</f>
        <v/>
      </c>
      <c r="BQ536">
        <f>IFERROR(INDEX(PP_Grid[#Data],$DE536,66),0)</f>
        <v/>
      </c>
      <c r="BR536">
        <f>IFERROR(INDEX(PP_Grid[#Data],$DE536,67),0)</f>
        <v/>
      </c>
      <c r="BS536">
        <f>IFERROR(INDEX(PP_Grid[#Data],$DE536,68),0)</f>
        <v/>
      </c>
      <c r="BT536">
        <f>IFERROR(INDEX(PP_Grid[#Data],$DE536,69),0)</f>
        <v/>
      </c>
      <c r="BU536">
        <f>IFERROR(INDEX(PP_Grid[#Data],$DE536,70),0)</f>
        <v/>
      </c>
      <c r="BV536">
        <f>IFERROR(INDEX(PP_Grid[#Data],$DE536,71),0)</f>
        <v/>
      </c>
      <c r="BW536">
        <f>IFERROR(INDEX(PP_Grid[#Data],$DE536,72),0)</f>
        <v/>
      </c>
      <c r="BX536">
        <f>IFERROR(INDEX(PP_Grid[#Data],$DE536,73),0)</f>
        <v/>
      </c>
      <c r="BY536">
        <f>IFERROR(INDEX(PP_Grid[#Data],$DE536,74),0)</f>
        <v/>
      </c>
      <c r="BZ536">
        <f>IFERROR(INDEX(PP_Grid[#Data],$DE536,75),0)</f>
        <v/>
      </c>
      <c r="CA536">
        <f>IFERROR(INDEX(PP_Grid[#Data],$DE536,76),0)</f>
        <v/>
      </c>
      <c r="CB536">
        <f>IFERROR(INDEX(PP_Grid[#Data],$DE536,77),0)</f>
        <v/>
      </c>
      <c r="CC536">
        <f>IFERROR(INDEX(PP_Grid[#Data],$DE536,78),0)</f>
        <v/>
      </c>
      <c r="CD536">
        <f>IFERROR(INDEX(PP_Grid[#Data],$DE536,79),0)</f>
        <v/>
      </c>
      <c r="CE536">
        <f>IFERROR(INDEX(PP_Grid[#Data],$DE536,80),0)</f>
        <v/>
      </c>
      <c r="CF536">
        <f>IFERROR(INDEX(PP_Grid[#Data],$DE536,81),0)</f>
        <v/>
      </c>
      <c r="CG536">
        <f>IFERROR(INDEX(PP_Grid[#Data],$DE536,82),0)</f>
        <v/>
      </c>
      <c r="CH536">
        <f>IFERROR(INDEX(PP_Grid[#Data],$DE536,83),0)</f>
        <v/>
      </c>
      <c r="CI536">
        <f>IFERROR(INDEX(PP_Grid[#Data],$DE536,84),0)</f>
        <v/>
      </c>
      <c r="CJ536">
        <f>IFERROR(INDEX(PP_Grid[#Data],$DE536,85),0)</f>
        <v/>
      </c>
      <c r="CK536">
        <f>IFERROR(INDEX(PP_Grid[#Data],$DE536,86),0)</f>
        <v/>
      </c>
      <c r="CL536">
        <f>IFERROR(INDEX(PP_Grid[#Data],$DE536,87),0)</f>
        <v/>
      </c>
      <c r="CM536">
        <f>IFERROR(INDEX(PP_Grid[#Data],$DE536,88),0)</f>
        <v/>
      </c>
      <c r="CN536">
        <f>IFERROR(INDEX(PP_Grid[#Data],$DE536,89),0)</f>
        <v/>
      </c>
      <c r="CO536">
        <f>IFERROR(INDEX(PP_Grid[#Data],$DE536,90),0)</f>
        <v/>
      </c>
      <c r="CP536">
        <f>IFERROR(INDEX(PP_Grid[#Data],$DE536,91),0)</f>
        <v/>
      </c>
      <c r="CQ536">
        <f>IFERROR(INDEX(PP_Grid[#Data],$DE536,92),0)</f>
        <v/>
      </c>
      <c r="CR536">
        <f>IFERROR(INDEX(PP_Grid[#Data],$DE536,93),0)</f>
        <v/>
      </c>
      <c r="CS536">
        <f>IFERROR(INDEX(PP_Grid[#Data],$DE536,94),0)</f>
        <v/>
      </c>
      <c r="CT536">
        <f>IFERROR(INDEX(PP_Grid[#Data],$DE536,95),0)</f>
        <v/>
      </c>
      <c r="CU536">
        <f>IFERROR(INDEX(PP_Grid[#Data],$DE536,96),0)</f>
        <v/>
      </c>
      <c r="CV536">
        <f>IFERROR(INDEX(PP_Grid[#Data],$DE536,97),0)</f>
        <v/>
      </c>
      <c r="CW536">
        <f>IFERROR(INDEX(PP_Grid[#Data],$DE536,98),0)</f>
        <v/>
      </c>
      <c r="CX536">
        <f>IFERROR(INDEX(PP_Grid[#Data],$DE536,99),0)</f>
        <v/>
      </c>
      <c r="CY536">
        <f>IFERROR(INDEX(PP_Grid[#Data],$DE536,100),0)</f>
        <v/>
      </c>
      <c r="CZ536">
        <f>IFERROR(INDEX(PP_Grid[#Data],$DE536,101),0)</f>
        <v/>
      </c>
      <c r="DA536">
        <f>IFERROR(INDEX(PP_Grid[#Data],$DE536,102),0)</f>
        <v/>
      </c>
      <c r="DB536">
        <f>IFERROR(INDEX(PP_Grid[#Data],$DE536,103),0)</f>
        <v/>
      </c>
      <c r="DC536">
        <f>IFERROR(INDEX(PP_Grid[#Data],$DE536,104),0)</f>
        <v/>
      </c>
      <c r="DD536">
        <f>IFERROR(INDEX(PP_Grid[#Data],$DE536,105),0)</f>
        <v/>
      </c>
      <c r="DE536" s="7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SUMIFS(M_BOM[RM_Qty_Per_Batch],M_BOM[Intermediate],$B536,M_BOM[RM_Code],$A497)</f>
        <v/>
      </c>
      <c r="D537">
        <f>IFERROR(INDEX(E537:DD537,$F$1),"")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  <c r="DD537">
        <f>$C537*DD536</f>
        <v/>
      </c>
    </row>
    <row r="538">
      <c r="B538" t="inlineStr">
        <is>
          <t>TSP-699</t>
        </is>
      </c>
      <c r="C538" t="inlineStr">
        <is>
          <t>No. of batches</t>
        </is>
      </c>
      <c r="D538">
        <f>IFERROR(INDEX(E538:DD538,$F$1),"")</f>
        <v/>
      </c>
      <c r="E538">
        <f>IFERROR(INDEX(PP_Grid[#Data],$DE538,2),0)</f>
        <v/>
      </c>
      <c r="F538">
        <f>IFERROR(INDEX(PP_Grid[#Data],$DE538,3),0)</f>
        <v/>
      </c>
      <c r="G538">
        <f>IFERROR(INDEX(PP_Grid[#Data],$DE538,4),0)</f>
        <v/>
      </c>
      <c r="H538">
        <f>IFERROR(INDEX(PP_Grid[#Data],$DE538,5),0)</f>
        <v/>
      </c>
      <c r="I538">
        <f>IFERROR(INDEX(PP_Grid[#Data],$DE538,6),0)</f>
        <v/>
      </c>
      <c r="J538">
        <f>IFERROR(INDEX(PP_Grid[#Data],$DE538,7),0)</f>
        <v/>
      </c>
      <c r="K538">
        <f>IFERROR(INDEX(PP_Grid[#Data],$DE538,8),0)</f>
        <v/>
      </c>
      <c r="L538">
        <f>IFERROR(INDEX(PP_Grid[#Data],$DE538,9),0)</f>
        <v/>
      </c>
      <c r="M538">
        <f>IFERROR(INDEX(PP_Grid[#Data],$DE538,10),0)</f>
        <v/>
      </c>
      <c r="N538">
        <f>IFERROR(INDEX(PP_Grid[#Data],$DE538,11),0)</f>
        <v/>
      </c>
      <c r="O538">
        <f>IFERROR(INDEX(PP_Grid[#Data],$DE538,12),0)</f>
        <v/>
      </c>
      <c r="P538">
        <f>IFERROR(INDEX(PP_Grid[#Data],$DE538,13),0)</f>
        <v/>
      </c>
      <c r="Q538">
        <f>IFERROR(INDEX(PP_Grid[#Data],$DE538,14),0)</f>
        <v/>
      </c>
      <c r="R538">
        <f>IFERROR(INDEX(PP_Grid[#Data],$DE538,15),0)</f>
        <v/>
      </c>
      <c r="S538">
        <f>IFERROR(INDEX(PP_Grid[#Data],$DE538,16),0)</f>
        <v/>
      </c>
      <c r="T538">
        <f>IFERROR(INDEX(PP_Grid[#Data],$DE538,17),0)</f>
        <v/>
      </c>
      <c r="U538">
        <f>IFERROR(INDEX(PP_Grid[#Data],$DE538,18),0)</f>
        <v/>
      </c>
      <c r="V538">
        <f>IFERROR(INDEX(PP_Grid[#Data],$DE538,19),0)</f>
        <v/>
      </c>
      <c r="W538">
        <f>IFERROR(INDEX(PP_Grid[#Data],$DE538,20),0)</f>
        <v/>
      </c>
      <c r="X538">
        <f>IFERROR(INDEX(PP_Grid[#Data],$DE538,21),0)</f>
        <v/>
      </c>
      <c r="Y538">
        <f>IFERROR(INDEX(PP_Grid[#Data],$DE538,22),0)</f>
        <v/>
      </c>
      <c r="Z538">
        <f>IFERROR(INDEX(PP_Grid[#Data],$DE538,23),0)</f>
        <v/>
      </c>
      <c r="AA538">
        <f>IFERROR(INDEX(PP_Grid[#Data],$DE538,24),0)</f>
        <v/>
      </c>
      <c r="AB538">
        <f>IFERROR(INDEX(PP_Grid[#Data],$DE538,25),0)</f>
        <v/>
      </c>
      <c r="AC538">
        <f>IFERROR(INDEX(PP_Grid[#Data],$DE538,26),0)</f>
        <v/>
      </c>
      <c r="AD538">
        <f>IFERROR(INDEX(PP_Grid[#Data],$DE538,27),0)</f>
        <v/>
      </c>
      <c r="AE538">
        <f>IFERROR(INDEX(PP_Grid[#Data],$DE538,28),0)</f>
        <v/>
      </c>
      <c r="AF538">
        <f>IFERROR(INDEX(PP_Grid[#Data],$DE538,29),0)</f>
        <v/>
      </c>
      <c r="AG538">
        <f>IFERROR(INDEX(PP_Grid[#Data],$DE538,30),0)</f>
        <v/>
      </c>
      <c r="AH538">
        <f>IFERROR(INDEX(PP_Grid[#Data],$DE538,31),0)</f>
        <v/>
      </c>
      <c r="AI538">
        <f>IFERROR(INDEX(PP_Grid[#Data],$DE538,32),0)</f>
        <v/>
      </c>
      <c r="AJ538">
        <f>IFERROR(INDEX(PP_Grid[#Data],$DE538,33),0)</f>
        <v/>
      </c>
      <c r="AK538">
        <f>IFERROR(INDEX(PP_Grid[#Data],$DE538,34),0)</f>
        <v/>
      </c>
      <c r="AL538">
        <f>IFERROR(INDEX(PP_Grid[#Data],$DE538,35),0)</f>
        <v/>
      </c>
      <c r="AM538">
        <f>IFERROR(INDEX(PP_Grid[#Data],$DE538,36),0)</f>
        <v/>
      </c>
      <c r="AN538">
        <f>IFERROR(INDEX(PP_Grid[#Data],$DE538,37),0)</f>
        <v/>
      </c>
      <c r="AO538">
        <f>IFERROR(INDEX(PP_Grid[#Data],$DE538,38),0)</f>
        <v/>
      </c>
      <c r="AP538">
        <f>IFERROR(INDEX(PP_Grid[#Data],$DE538,39),0)</f>
        <v/>
      </c>
      <c r="AQ538">
        <f>IFERROR(INDEX(PP_Grid[#Data],$DE538,40),0)</f>
        <v/>
      </c>
      <c r="AR538">
        <f>IFERROR(INDEX(PP_Grid[#Data],$DE538,41),0)</f>
        <v/>
      </c>
      <c r="AS538">
        <f>IFERROR(INDEX(PP_Grid[#Data],$DE538,42),0)</f>
        <v/>
      </c>
      <c r="AT538">
        <f>IFERROR(INDEX(PP_Grid[#Data],$DE538,43),0)</f>
        <v/>
      </c>
      <c r="AU538">
        <f>IFERROR(INDEX(PP_Grid[#Data],$DE538,44),0)</f>
        <v/>
      </c>
      <c r="AV538">
        <f>IFERROR(INDEX(PP_Grid[#Data],$DE538,45),0)</f>
        <v/>
      </c>
      <c r="AW538">
        <f>IFERROR(INDEX(PP_Grid[#Data],$DE538,46),0)</f>
        <v/>
      </c>
      <c r="AX538">
        <f>IFERROR(INDEX(PP_Grid[#Data],$DE538,47),0)</f>
        <v/>
      </c>
      <c r="AY538">
        <f>IFERROR(INDEX(PP_Grid[#Data],$DE538,48),0)</f>
        <v/>
      </c>
      <c r="AZ538">
        <f>IFERROR(INDEX(PP_Grid[#Data],$DE538,49),0)</f>
        <v/>
      </c>
      <c r="BA538">
        <f>IFERROR(INDEX(PP_Grid[#Data],$DE538,50),0)</f>
        <v/>
      </c>
      <c r="BB538">
        <f>IFERROR(INDEX(PP_Grid[#Data],$DE538,51),0)</f>
        <v/>
      </c>
      <c r="BC538">
        <f>IFERROR(INDEX(PP_Grid[#Data],$DE538,52),0)</f>
        <v/>
      </c>
      <c r="BD538">
        <f>IFERROR(INDEX(PP_Grid[#Data],$DE538,53),0)</f>
        <v/>
      </c>
      <c r="BE538">
        <f>IFERROR(INDEX(PP_Grid[#Data],$DE538,54),0)</f>
        <v/>
      </c>
      <c r="BF538">
        <f>IFERROR(INDEX(PP_Grid[#Data],$DE538,55),0)</f>
        <v/>
      </c>
      <c r="BG538">
        <f>IFERROR(INDEX(PP_Grid[#Data],$DE538,56),0)</f>
        <v/>
      </c>
      <c r="BH538">
        <f>IFERROR(INDEX(PP_Grid[#Data],$DE538,57),0)</f>
        <v/>
      </c>
      <c r="BI538">
        <f>IFERROR(INDEX(PP_Grid[#Data],$DE538,58),0)</f>
        <v/>
      </c>
      <c r="BJ538">
        <f>IFERROR(INDEX(PP_Grid[#Data],$DE538,59),0)</f>
        <v/>
      </c>
      <c r="BK538">
        <f>IFERROR(INDEX(PP_Grid[#Data],$DE538,60),0)</f>
        <v/>
      </c>
      <c r="BL538">
        <f>IFERROR(INDEX(PP_Grid[#Data],$DE538,61),0)</f>
        <v/>
      </c>
      <c r="BM538">
        <f>IFERROR(INDEX(PP_Grid[#Data],$DE538,62),0)</f>
        <v/>
      </c>
      <c r="BN538">
        <f>IFERROR(INDEX(PP_Grid[#Data],$DE538,63),0)</f>
        <v/>
      </c>
      <c r="BO538">
        <f>IFERROR(INDEX(PP_Grid[#Data],$DE538,64),0)</f>
        <v/>
      </c>
      <c r="BP538">
        <f>IFERROR(INDEX(PP_Grid[#Data],$DE538,65),0)</f>
        <v/>
      </c>
      <c r="BQ538">
        <f>IFERROR(INDEX(PP_Grid[#Data],$DE538,66),0)</f>
        <v/>
      </c>
      <c r="BR538">
        <f>IFERROR(INDEX(PP_Grid[#Data],$DE538,67),0)</f>
        <v/>
      </c>
      <c r="BS538">
        <f>IFERROR(INDEX(PP_Grid[#Data],$DE538,68),0)</f>
        <v/>
      </c>
      <c r="BT538">
        <f>IFERROR(INDEX(PP_Grid[#Data],$DE538,69),0)</f>
        <v/>
      </c>
      <c r="BU538">
        <f>IFERROR(INDEX(PP_Grid[#Data],$DE538,70),0)</f>
        <v/>
      </c>
      <c r="BV538">
        <f>IFERROR(INDEX(PP_Grid[#Data],$DE538,71),0)</f>
        <v/>
      </c>
      <c r="BW538">
        <f>IFERROR(INDEX(PP_Grid[#Data],$DE538,72),0)</f>
        <v/>
      </c>
      <c r="BX538">
        <f>IFERROR(INDEX(PP_Grid[#Data],$DE538,73),0)</f>
        <v/>
      </c>
      <c r="BY538">
        <f>IFERROR(INDEX(PP_Grid[#Data],$DE538,74),0)</f>
        <v/>
      </c>
      <c r="BZ538">
        <f>IFERROR(INDEX(PP_Grid[#Data],$DE538,75),0)</f>
        <v/>
      </c>
      <c r="CA538">
        <f>IFERROR(INDEX(PP_Grid[#Data],$DE538,76),0)</f>
        <v/>
      </c>
      <c r="CB538">
        <f>IFERROR(INDEX(PP_Grid[#Data],$DE538,77),0)</f>
        <v/>
      </c>
      <c r="CC538">
        <f>IFERROR(INDEX(PP_Grid[#Data],$DE538,78),0)</f>
        <v/>
      </c>
      <c r="CD538">
        <f>IFERROR(INDEX(PP_Grid[#Data],$DE538,79),0)</f>
        <v/>
      </c>
      <c r="CE538">
        <f>IFERROR(INDEX(PP_Grid[#Data],$DE538,80),0)</f>
        <v/>
      </c>
      <c r="CF538">
        <f>IFERROR(INDEX(PP_Grid[#Data],$DE538,81),0)</f>
        <v/>
      </c>
      <c r="CG538">
        <f>IFERROR(INDEX(PP_Grid[#Data],$DE538,82),0)</f>
        <v/>
      </c>
      <c r="CH538">
        <f>IFERROR(INDEX(PP_Grid[#Data],$DE538,83),0)</f>
        <v/>
      </c>
      <c r="CI538">
        <f>IFERROR(INDEX(PP_Grid[#Data],$DE538,84),0)</f>
        <v/>
      </c>
      <c r="CJ538">
        <f>IFERROR(INDEX(PP_Grid[#Data],$DE538,85),0)</f>
        <v/>
      </c>
      <c r="CK538">
        <f>IFERROR(INDEX(PP_Grid[#Data],$DE538,86),0)</f>
        <v/>
      </c>
      <c r="CL538">
        <f>IFERROR(INDEX(PP_Grid[#Data],$DE538,87),0)</f>
        <v/>
      </c>
      <c r="CM538">
        <f>IFERROR(INDEX(PP_Grid[#Data],$DE538,88),0)</f>
        <v/>
      </c>
      <c r="CN538">
        <f>IFERROR(INDEX(PP_Grid[#Data],$DE538,89),0)</f>
        <v/>
      </c>
      <c r="CO538">
        <f>IFERROR(INDEX(PP_Grid[#Data],$DE538,90),0)</f>
        <v/>
      </c>
      <c r="CP538">
        <f>IFERROR(INDEX(PP_Grid[#Data],$DE538,91),0)</f>
        <v/>
      </c>
      <c r="CQ538">
        <f>IFERROR(INDEX(PP_Grid[#Data],$DE538,92),0)</f>
        <v/>
      </c>
      <c r="CR538">
        <f>IFERROR(INDEX(PP_Grid[#Data],$DE538,93),0)</f>
        <v/>
      </c>
      <c r="CS538">
        <f>IFERROR(INDEX(PP_Grid[#Data],$DE538,94),0)</f>
        <v/>
      </c>
      <c r="CT538">
        <f>IFERROR(INDEX(PP_Grid[#Data],$DE538,95),0)</f>
        <v/>
      </c>
      <c r="CU538">
        <f>IFERROR(INDEX(PP_Grid[#Data],$DE538,96),0)</f>
        <v/>
      </c>
      <c r="CV538">
        <f>IFERROR(INDEX(PP_Grid[#Data],$DE538,97),0)</f>
        <v/>
      </c>
      <c r="CW538">
        <f>IFERROR(INDEX(PP_Grid[#Data],$DE538,98),0)</f>
        <v/>
      </c>
      <c r="CX538">
        <f>IFERROR(INDEX(PP_Grid[#Data],$DE538,99),0)</f>
        <v/>
      </c>
      <c r="CY538">
        <f>IFERROR(INDEX(PP_Grid[#Data],$DE538,100),0)</f>
        <v/>
      </c>
      <c r="CZ538">
        <f>IFERROR(INDEX(PP_Grid[#Data],$DE538,101),0)</f>
        <v/>
      </c>
      <c r="DA538">
        <f>IFERROR(INDEX(PP_Grid[#Data],$DE538,102),0)</f>
        <v/>
      </c>
      <c r="DB538">
        <f>IFERROR(INDEX(PP_Grid[#Data],$DE538,103),0)</f>
        <v/>
      </c>
      <c r="DC538">
        <f>IFERROR(INDEX(PP_Grid[#Data],$DE538,104),0)</f>
        <v/>
      </c>
      <c r="DD538">
        <f>IFERROR(INDEX(PP_Grid[#Data],$DE538,105),0)</f>
        <v/>
      </c>
      <c r="DE538" s="7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SUMIFS(M_BOM[RM_Qty_Per_Batch],M_BOM[Intermediate],$B538,M_BOM[RM_Code],$A497)</f>
        <v/>
      </c>
      <c r="D539">
        <f>IFERROR(INDEX(E539:DD539,$F$1),"")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  <c r="DD539">
        <f>$C539*DD538</f>
        <v/>
      </c>
    </row>
    <row r="540">
      <c r="B540" t="inlineStr">
        <is>
          <t>TSP-710</t>
        </is>
      </c>
      <c r="C540" t="inlineStr">
        <is>
          <t>No. of batches</t>
        </is>
      </c>
      <c r="D540">
        <f>IFERROR(INDEX(E540:DD540,$F$1),"")</f>
        <v/>
      </c>
      <c r="E540">
        <f>IFERROR(INDEX(PP_Grid[#Data],$DE540,2),0)</f>
        <v/>
      </c>
      <c r="F540">
        <f>IFERROR(INDEX(PP_Grid[#Data],$DE540,3),0)</f>
        <v/>
      </c>
      <c r="G540">
        <f>IFERROR(INDEX(PP_Grid[#Data],$DE540,4),0)</f>
        <v/>
      </c>
      <c r="H540">
        <f>IFERROR(INDEX(PP_Grid[#Data],$DE540,5),0)</f>
        <v/>
      </c>
      <c r="I540">
        <f>IFERROR(INDEX(PP_Grid[#Data],$DE540,6),0)</f>
        <v/>
      </c>
      <c r="J540">
        <f>IFERROR(INDEX(PP_Grid[#Data],$DE540,7),0)</f>
        <v/>
      </c>
      <c r="K540">
        <f>IFERROR(INDEX(PP_Grid[#Data],$DE540,8),0)</f>
        <v/>
      </c>
      <c r="L540">
        <f>IFERROR(INDEX(PP_Grid[#Data],$DE540,9),0)</f>
        <v/>
      </c>
      <c r="M540">
        <f>IFERROR(INDEX(PP_Grid[#Data],$DE540,10),0)</f>
        <v/>
      </c>
      <c r="N540">
        <f>IFERROR(INDEX(PP_Grid[#Data],$DE540,11),0)</f>
        <v/>
      </c>
      <c r="O540">
        <f>IFERROR(INDEX(PP_Grid[#Data],$DE540,12),0)</f>
        <v/>
      </c>
      <c r="P540">
        <f>IFERROR(INDEX(PP_Grid[#Data],$DE540,13),0)</f>
        <v/>
      </c>
      <c r="Q540">
        <f>IFERROR(INDEX(PP_Grid[#Data],$DE540,14),0)</f>
        <v/>
      </c>
      <c r="R540">
        <f>IFERROR(INDEX(PP_Grid[#Data],$DE540,15),0)</f>
        <v/>
      </c>
      <c r="S540">
        <f>IFERROR(INDEX(PP_Grid[#Data],$DE540,16),0)</f>
        <v/>
      </c>
      <c r="T540">
        <f>IFERROR(INDEX(PP_Grid[#Data],$DE540,17),0)</f>
        <v/>
      </c>
      <c r="U540">
        <f>IFERROR(INDEX(PP_Grid[#Data],$DE540,18),0)</f>
        <v/>
      </c>
      <c r="V540">
        <f>IFERROR(INDEX(PP_Grid[#Data],$DE540,19),0)</f>
        <v/>
      </c>
      <c r="W540">
        <f>IFERROR(INDEX(PP_Grid[#Data],$DE540,20),0)</f>
        <v/>
      </c>
      <c r="X540">
        <f>IFERROR(INDEX(PP_Grid[#Data],$DE540,21),0)</f>
        <v/>
      </c>
      <c r="Y540">
        <f>IFERROR(INDEX(PP_Grid[#Data],$DE540,22),0)</f>
        <v/>
      </c>
      <c r="Z540">
        <f>IFERROR(INDEX(PP_Grid[#Data],$DE540,23),0)</f>
        <v/>
      </c>
      <c r="AA540">
        <f>IFERROR(INDEX(PP_Grid[#Data],$DE540,24),0)</f>
        <v/>
      </c>
      <c r="AB540">
        <f>IFERROR(INDEX(PP_Grid[#Data],$DE540,25),0)</f>
        <v/>
      </c>
      <c r="AC540">
        <f>IFERROR(INDEX(PP_Grid[#Data],$DE540,26),0)</f>
        <v/>
      </c>
      <c r="AD540">
        <f>IFERROR(INDEX(PP_Grid[#Data],$DE540,27),0)</f>
        <v/>
      </c>
      <c r="AE540">
        <f>IFERROR(INDEX(PP_Grid[#Data],$DE540,28),0)</f>
        <v/>
      </c>
      <c r="AF540">
        <f>IFERROR(INDEX(PP_Grid[#Data],$DE540,29),0)</f>
        <v/>
      </c>
      <c r="AG540">
        <f>IFERROR(INDEX(PP_Grid[#Data],$DE540,30),0)</f>
        <v/>
      </c>
      <c r="AH540">
        <f>IFERROR(INDEX(PP_Grid[#Data],$DE540,31),0)</f>
        <v/>
      </c>
      <c r="AI540">
        <f>IFERROR(INDEX(PP_Grid[#Data],$DE540,32),0)</f>
        <v/>
      </c>
      <c r="AJ540">
        <f>IFERROR(INDEX(PP_Grid[#Data],$DE540,33),0)</f>
        <v/>
      </c>
      <c r="AK540">
        <f>IFERROR(INDEX(PP_Grid[#Data],$DE540,34),0)</f>
        <v/>
      </c>
      <c r="AL540">
        <f>IFERROR(INDEX(PP_Grid[#Data],$DE540,35),0)</f>
        <v/>
      </c>
      <c r="AM540">
        <f>IFERROR(INDEX(PP_Grid[#Data],$DE540,36),0)</f>
        <v/>
      </c>
      <c r="AN540">
        <f>IFERROR(INDEX(PP_Grid[#Data],$DE540,37),0)</f>
        <v/>
      </c>
      <c r="AO540">
        <f>IFERROR(INDEX(PP_Grid[#Data],$DE540,38),0)</f>
        <v/>
      </c>
      <c r="AP540">
        <f>IFERROR(INDEX(PP_Grid[#Data],$DE540,39),0)</f>
        <v/>
      </c>
      <c r="AQ540">
        <f>IFERROR(INDEX(PP_Grid[#Data],$DE540,40),0)</f>
        <v/>
      </c>
      <c r="AR540">
        <f>IFERROR(INDEX(PP_Grid[#Data],$DE540,41),0)</f>
        <v/>
      </c>
      <c r="AS540">
        <f>IFERROR(INDEX(PP_Grid[#Data],$DE540,42),0)</f>
        <v/>
      </c>
      <c r="AT540">
        <f>IFERROR(INDEX(PP_Grid[#Data],$DE540,43),0)</f>
        <v/>
      </c>
      <c r="AU540">
        <f>IFERROR(INDEX(PP_Grid[#Data],$DE540,44),0)</f>
        <v/>
      </c>
      <c r="AV540">
        <f>IFERROR(INDEX(PP_Grid[#Data],$DE540,45),0)</f>
        <v/>
      </c>
      <c r="AW540">
        <f>IFERROR(INDEX(PP_Grid[#Data],$DE540,46),0)</f>
        <v/>
      </c>
      <c r="AX540">
        <f>IFERROR(INDEX(PP_Grid[#Data],$DE540,47),0)</f>
        <v/>
      </c>
      <c r="AY540">
        <f>IFERROR(INDEX(PP_Grid[#Data],$DE540,48),0)</f>
        <v/>
      </c>
      <c r="AZ540">
        <f>IFERROR(INDEX(PP_Grid[#Data],$DE540,49),0)</f>
        <v/>
      </c>
      <c r="BA540">
        <f>IFERROR(INDEX(PP_Grid[#Data],$DE540,50),0)</f>
        <v/>
      </c>
      <c r="BB540">
        <f>IFERROR(INDEX(PP_Grid[#Data],$DE540,51),0)</f>
        <v/>
      </c>
      <c r="BC540">
        <f>IFERROR(INDEX(PP_Grid[#Data],$DE540,52),0)</f>
        <v/>
      </c>
      <c r="BD540">
        <f>IFERROR(INDEX(PP_Grid[#Data],$DE540,53),0)</f>
        <v/>
      </c>
      <c r="BE540">
        <f>IFERROR(INDEX(PP_Grid[#Data],$DE540,54),0)</f>
        <v/>
      </c>
      <c r="BF540">
        <f>IFERROR(INDEX(PP_Grid[#Data],$DE540,55),0)</f>
        <v/>
      </c>
      <c r="BG540">
        <f>IFERROR(INDEX(PP_Grid[#Data],$DE540,56),0)</f>
        <v/>
      </c>
      <c r="BH540">
        <f>IFERROR(INDEX(PP_Grid[#Data],$DE540,57),0)</f>
        <v/>
      </c>
      <c r="BI540">
        <f>IFERROR(INDEX(PP_Grid[#Data],$DE540,58),0)</f>
        <v/>
      </c>
      <c r="BJ540">
        <f>IFERROR(INDEX(PP_Grid[#Data],$DE540,59),0)</f>
        <v/>
      </c>
      <c r="BK540">
        <f>IFERROR(INDEX(PP_Grid[#Data],$DE540,60),0)</f>
        <v/>
      </c>
      <c r="BL540">
        <f>IFERROR(INDEX(PP_Grid[#Data],$DE540,61),0)</f>
        <v/>
      </c>
      <c r="BM540">
        <f>IFERROR(INDEX(PP_Grid[#Data],$DE540,62),0)</f>
        <v/>
      </c>
      <c r="BN540">
        <f>IFERROR(INDEX(PP_Grid[#Data],$DE540,63),0)</f>
        <v/>
      </c>
      <c r="BO540">
        <f>IFERROR(INDEX(PP_Grid[#Data],$DE540,64),0)</f>
        <v/>
      </c>
      <c r="BP540">
        <f>IFERROR(INDEX(PP_Grid[#Data],$DE540,65),0)</f>
        <v/>
      </c>
      <c r="BQ540">
        <f>IFERROR(INDEX(PP_Grid[#Data],$DE540,66),0)</f>
        <v/>
      </c>
      <c r="BR540">
        <f>IFERROR(INDEX(PP_Grid[#Data],$DE540,67),0)</f>
        <v/>
      </c>
      <c r="BS540">
        <f>IFERROR(INDEX(PP_Grid[#Data],$DE540,68),0)</f>
        <v/>
      </c>
      <c r="BT540">
        <f>IFERROR(INDEX(PP_Grid[#Data],$DE540,69),0)</f>
        <v/>
      </c>
      <c r="BU540">
        <f>IFERROR(INDEX(PP_Grid[#Data],$DE540,70),0)</f>
        <v/>
      </c>
      <c r="BV540">
        <f>IFERROR(INDEX(PP_Grid[#Data],$DE540,71),0)</f>
        <v/>
      </c>
      <c r="BW540">
        <f>IFERROR(INDEX(PP_Grid[#Data],$DE540,72),0)</f>
        <v/>
      </c>
      <c r="BX540">
        <f>IFERROR(INDEX(PP_Grid[#Data],$DE540,73),0)</f>
        <v/>
      </c>
      <c r="BY540">
        <f>IFERROR(INDEX(PP_Grid[#Data],$DE540,74),0)</f>
        <v/>
      </c>
      <c r="BZ540">
        <f>IFERROR(INDEX(PP_Grid[#Data],$DE540,75),0)</f>
        <v/>
      </c>
      <c r="CA540">
        <f>IFERROR(INDEX(PP_Grid[#Data],$DE540,76),0)</f>
        <v/>
      </c>
      <c r="CB540">
        <f>IFERROR(INDEX(PP_Grid[#Data],$DE540,77),0)</f>
        <v/>
      </c>
      <c r="CC540">
        <f>IFERROR(INDEX(PP_Grid[#Data],$DE540,78),0)</f>
        <v/>
      </c>
      <c r="CD540">
        <f>IFERROR(INDEX(PP_Grid[#Data],$DE540,79),0)</f>
        <v/>
      </c>
      <c r="CE540">
        <f>IFERROR(INDEX(PP_Grid[#Data],$DE540,80),0)</f>
        <v/>
      </c>
      <c r="CF540">
        <f>IFERROR(INDEX(PP_Grid[#Data],$DE540,81),0)</f>
        <v/>
      </c>
      <c r="CG540">
        <f>IFERROR(INDEX(PP_Grid[#Data],$DE540,82),0)</f>
        <v/>
      </c>
      <c r="CH540">
        <f>IFERROR(INDEX(PP_Grid[#Data],$DE540,83),0)</f>
        <v/>
      </c>
      <c r="CI540">
        <f>IFERROR(INDEX(PP_Grid[#Data],$DE540,84),0)</f>
        <v/>
      </c>
      <c r="CJ540">
        <f>IFERROR(INDEX(PP_Grid[#Data],$DE540,85),0)</f>
        <v/>
      </c>
      <c r="CK540">
        <f>IFERROR(INDEX(PP_Grid[#Data],$DE540,86),0)</f>
        <v/>
      </c>
      <c r="CL540">
        <f>IFERROR(INDEX(PP_Grid[#Data],$DE540,87),0)</f>
        <v/>
      </c>
      <c r="CM540">
        <f>IFERROR(INDEX(PP_Grid[#Data],$DE540,88),0)</f>
        <v/>
      </c>
      <c r="CN540">
        <f>IFERROR(INDEX(PP_Grid[#Data],$DE540,89),0)</f>
        <v/>
      </c>
      <c r="CO540">
        <f>IFERROR(INDEX(PP_Grid[#Data],$DE540,90),0)</f>
        <v/>
      </c>
      <c r="CP540">
        <f>IFERROR(INDEX(PP_Grid[#Data],$DE540,91),0)</f>
        <v/>
      </c>
      <c r="CQ540">
        <f>IFERROR(INDEX(PP_Grid[#Data],$DE540,92),0)</f>
        <v/>
      </c>
      <c r="CR540">
        <f>IFERROR(INDEX(PP_Grid[#Data],$DE540,93),0)</f>
        <v/>
      </c>
      <c r="CS540">
        <f>IFERROR(INDEX(PP_Grid[#Data],$DE540,94),0)</f>
        <v/>
      </c>
      <c r="CT540">
        <f>IFERROR(INDEX(PP_Grid[#Data],$DE540,95),0)</f>
        <v/>
      </c>
      <c r="CU540">
        <f>IFERROR(INDEX(PP_Grid[#Data],$DE540,96),0)</f>
        <v/>
      </c>
      <c r="CV540">
        <f>IFERROR(INDEX(PP_Grid[#Data],$DE540,97),0)</f>
        <v/>
      </c>
      <c r="CW540">
        <f>IFERROR(INDEX(PP_Grid[#Data],$DE540,98),0)</f>
        <v/>
      </c>
      <c r="CX540">
        <f>IFERROR(INDEX(PP_Grid[#Data],$DE540,99),0)</f>
        <v/>
      </c>
      <c r="CY540">
        <f>IFERROR(INDEX(PP_Grid[#Data],$DE540,100),0)</f>
        <v/>
      </c>
      <c r="CZ540">
        <f>IFERROR(INDEX(PP_Grid[#Data],$DE540,101),0)</f>
        <v/>
      </c>
      <c r="DA540">
        <f>IFERROR(INDEX(PP_Grid[#Data],$DE540,102),0)</f>
        <v/>
      </c>
      <c r="DB540">
        <f>IFERROR(INDEX(PP_Grid[#Data],$DE540,103),0)</f>
        <v/>
      </c>
      <c r="DC540">
        <f>IFERROR(INDEX(PP_Grid[#Data],$DE540,104),0)</f>
        <v/>
      </c>
      <c r="DD540">
        <f>IFERROR(INDEX(PP_Grid[#Data],$DE540,105),0)</f>
        <v/>
      </c>
      <c r="DE540" s="7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SUMIFS(M_BOM[RM_Qty_Per_Batch],M_BOM[Intermediate],$B540,M_BOM[RM_Code],$A497)</f>
        <v/>
      </c>
      <c r="D541">
        <f>IFERROR(INDEX(E541:DD541,$F$1),"")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  <c r="DD541">
        <f>$C541*DD540</f>
        <v/>
      </c>
    </row>
    <row r="542">
      <c r="B542" t="inlineStr">
        <is>
          <t>TSP-828</t>
        </is>
      </c>
      <c r="C542" t="inlineStr">
        <is>
          <t>No. of batches</t>
        </is>
      </c>
      <c r="D542">
        <f>IFERROR(INDEX(E542:DD542,$F$1),"")</f>
        <v/>
      </c>
      <c r="E542">
        <f>IFERROR(INDEX(PP_Grid[#Data],$DE542,2),0)</f>
        <v/>
      </c>
      <c r="F542">
        <f>IFERROR(INDEX(PP_Grid[#Data],$DE542,3),0)</f>
        <v/>
      </c>
      <c r="G542">
        <f>IFERROR(INDEX(PP_Grid[#Data],$DE542,4),0)</f>
        <v/>
      </c>
      <c r="H542">
        <f>IFERROR(INDEX(PP_Grid[#Data],$DE542,5),0)</f>
        <v/>
      </c>
      <c r="I542">
        <f>IFERROR(INDEX(PP_Grid[#Data],$DE542,6),0)</f>
        <v/>
      </c>
      <c r="J542">
        <f>IFERROR(INDEX(PP_Grid[#Data],$DE542,7),0)</f>
        <v/>
      </c>
      <c r="K542">
        <f>IFERROR(INDEX(PP_Grid[#Data],$DE542,8),0)</f>
        <v/>
      </c>
      <c r="L542">
        <f>IFERROR(INDEX(PP_Grid[#Data],$DE542,9),0)</f>
        <v/>
      </c>
      <c r="M542">
        <f>IFERROR(INDEX(PP_Grid[#Data],$DE542,10),0)</f>
        <v/>
      </c>
      <c r="N542">
        <f>IFERROR(INDEX(PP_Grid[#Data],$DE542,11),0)</f>
        <v/>
      </c>
      <c r="O542">
        <f>IFERROR(INDEX(PP_Grid[#Data],$DE542,12),0)</f>
        <v/>
      </c>
      <c r="P542">
        <f>IFERROR(INDEX(PP_Grid[#Data],$DE542,13),0)</f>
        <v/>
      </c>
      <c r="Q542">
        <f>IFERROR(INDEX(PP_Grid[#Data],$DE542,14),0)</f>
        <v/>
      </c>
      <c r="R542">
        <f>IFERROR(INDEX(PP_Grid[#Data],$DE542,15),0)</f>
        <v/>
      </c>
      <c r="S542">
        <f>IFERROR(INDEX(PP_Grid[#Data],$DE542,16),0)</f>
        <v/>
      </c>
      <c r="T542">
        <f>IFERROR(INDEX(PP_Grid[#Data],$DE542,17),0)</f>
        <v/>
      </c>
      <c r="U542">
        <f>IFERROR(INDEX(PP_Grid[#Data],$DE542,18),0)</f>
        <v/>
      </c>
      <c r="V542">
        <f>IFERROR(INDEX(PP_Grid[#Data],$DE542,19),0)</f>
        <v/>
      </c>
      <c r="W542">
        <f>IFERROR(INDEX(PP_Grid[#Data],$DE542,20),0)</f>
        <v/>
      </c>
      <c r="X542">
        <f>IFERROR(INDEX(PP_Grid[#Data],$DE542,21),0)</f>
        <v/>
      </c>
      <c r="Y542">
        <f>IFERROR(INDEX(PP_Grid[#Data],$DE542,22),0)</f>
        <v/>
      </c>
      <c r="Z542">
        <f>IFERROR(INDEX(PP_Grid[#Data],$DE542,23),0)</f>
        <v/>
      </c>
      <c r="AA542">
        <f>IFERROR(INDEX(PP_Grid[#Data],$DE542,24),0)</f>
        <v/>
      </c>
      <c r="AB542">
        <f>IFERROR(INDEX(PP_Grid[#Data],$DE542,25),0)</f>
        <v/>
      </c>
      <c r="AC542">
        <f>IFERROR(INDEX(PP_Grid[#Data],$DE542,26),0)</f>
        <v/>
      </c>
      <c r="AD542">
        <f>IFERROR(INDEX(PP_Grid[#Data],$DE542,27),0)</f>
        <v/>
      </c>
      <c r="AE542">
        <f>IFERROR(INDEX(PP_Grid[#Data],$DE542,28),0)</f>
        <v/>
      </c>
      <c r="AF542">
        <f>IFERROR(INDEX(PP_Grid[#Data],$DE542,29),0)</f>
        <v/>
      </c>
      <c r="AG542">
        <f>IFERROR(INDEX(PP_Grid[#Data],$DE542,30),0)</f>
        <v/>
      </c>
      <c r="AH542">
        <f>IFERROR(INDEX(PP_Grid[#Data],$DE542,31),0)</f>
        <v/>
      </c>
      <c r="AI542">
        <f>IFERROR(INDEX(PP_Grid[#Data],$DE542,32),0)</f>
        <v/>
      </c>
      <c r="AJ542">
        <f>IFERROR(INDEX(PP_Grid[#Data],$DE542,33),0)</f>
        <v/>
      </c>
      <c r="AK542">
        <f>IFERROR(INDEX(PP_Grid[#Data],$DE542,34),0)</f>
        <v/>
      </c>
      <c r="AL542">
        <f>IFERROR(INDEX(PP_Grid[#Data],$DE542,35),0)</f>
        <v/>
      </c>
      <c r="AM542">
        <f>IFERROR(INDEX(PP_Grid[#Data],$DE542,36),0)</f>
        <v/>
      </c>
      <c r="AN542">
        <f>IFERROR(INDEX(PP_Grid[#Data],$DE542,37),0)</f>
        <v/>
      </c>
      <c r="AO542">
        <f>IFERROR(INDEX(PP_Grid[#Data],$DE542,38),0)</f>
        <v/>
      </c>
      <c r="AP542">
        <f>IFERROR(INDEX(PP_Grid[#Data],$DE542,39),0)</f>
        <v/>
      </c>
      <c r="AQ542">
        <f>IFERROR(INDEX(PP_Grid[#Data],$DE542,40),0)</f>
        <v/>
      </c>
      <c r="AR542">
        <f>IFERROR(INDEX(PP_Grid[#Data],$DE542,41),0)</f>
        <v/>
      </c>
      <c r="AS542">
        <f>IFERROR(INDEX(PP_Grid[#Data],$DE542,42),0)</f>
        <v/>
      </c>
      <c r="AT542">
        <f>IFERROR(INDEX(PP_Grid[#Data],$DE542,43),0)</f>
        <v/>
      </c>
      <c r="AU542">
        <f>IFERROR(INDEX(PP_Grid[#Data],$DE542,44),0)</f>
        <v/>
      </c>
      <c r="AV542">
        <f>IFERROR(INDEX(PP_Grid[#Data],$DE542,45),0)</f>
        <v/>
      </c>
      <c r="AW542">
        <f>IFERROR(INDEX(PP_Grid[#Data],$DE542,46),0)</f>
        <v/>
      </c>
      <c r="AX542">
        <f>IFERROR(INDEX(PP_Grid[#Data],$DE542,47),0)</f>
        <v/>
      </c>
      <c r="AY542">
        <f>IFERROR(INDEX(PP_Grid[#Data],$DE542,48),0)</f>
        <v/>
      </c>
      <c r="AZ542">
        <f>IFERROR(INDEX(PP_Grid[#Data],$DE542,49),0)</f>
        <v/>
      </c>
      <c r="BA542">
        <f>IFERROR(INDEX(PP_Grid[#Data],$DE542,50),0)</f>
        <v/>
      </c>
      <c r="BB542">
        <f>IFERROR(INDEX(PP_Grid[#Data],$DE542,51),0)</f>
        <v/>
      </c>
      <c r="BC542">
        <f>IFERROR(INDEX(PP_Grid[#Data],$DE542,52),0)</f>
        <v/>
      </c>
      <c r="BD542">
        <f>IFERROR(INDEX(PP_Grid[#Data],$DE542,53),0)</f>
        <v/>
      </c>
      <c r="BE542">
        <f>IFERROR(INDEX(PP_Grid[#Data],$DE542,54),0)</f>
        <v/>
      </c>
      <c r="BF542">
        <f>IFERROR(INDEX(PP_Grid[#Data],$DE542,55),0)</f>
        <v/>
      </c>
      <c r="BG542">
        <f>IFERROR(INDEX(PP_Grid[#Data],$DE542,56),0)</f>
        <v/>
      </c>
      <c r="BH542">
        <f>IFERROR(INDEX(PP_Grid[#Data],$DE542,57),0)</f>
        <v/>
      </c>
      <c r="BI542">
        <f>IFERROR(INDEX(PP_Grid[#Data],$DE542,58),0)</f>
        <v/>
      </c>
      <c r="BJ542">
        <f>IFERROR(INDEX(PP_Grid[#Data],$DE542,59),0)</f>
        <v/>
      </c>
      <c r="BK542">
        <f>IFERROR(INDEX(PP_Grid[#Data],$DE542,60),0)</f>
        <v/>
      </c>
      <c r="BL542">
        <f>IFERROR(INDEX(PP_Grid[#Data],$DE542,61),0)</f>
        <v/>
      </c>
      <c r="BM542">
        <f>IFERROR(INDEX(PP_Grid[#Data],$DE542,62),0)</f>
        <v/>
      </c>
      <c r="BN542">
        <f>IFERROR(INDEX(PP_Grid[#Data],$DE542,63),0)</f>
        <v/>
      </c>
      <c r="BO542">
        <f>IFERROR(INDEX(PP_Grid[#Data],$DE542,64),0)</f>
        <v/>
      </c>
      <c r="BP542">
        <f>IFERROR(INDEX(PP_Grid[#Data],$DE542,65),0)</f>
        <v/>
      </c>
      <c r="BQ542">
        <f>IFERROR(INDEX(PP_Grid[#Data],$DE542,66),0)</f>
        <v/>
      </c>
      <c r="BR542">
        <f>IFERROR(INDEX(PP_Grid[#Data],$DE542,67),0)</f>
        <v/>
      </c>
      <c r="BS542">
        <f>IFERROR(INDEX(PP_Grid[#Data],$DE542,68),0)</f>
        <v/>
      </c>
      <c r="BT542">
        <f>IFERROR(INDEX(PP_Grid[#Data],$DE542,69),0)</f>
        <v/>
      </c>
      <c r="BU542">
        <f>IFERROR(INDEX(PP_Grid[#Data],$DE542,70),0)</f>
        <v/>
      </c>
      <c r="BV542">
        <f>IFERROR(INDEX(PP_Grid[#Data],$DE542,71),0)</f>
        <v/>
      </c>
      <c r="BW542">
        <f>IFERROR(INDEX(PP_Grid[#Data],$DE542,72),0)</f>
        <v/>
      </c>
      <c r="BX542">
        <f>IFERROR(INDEX(PP_Grid[#Data],$DE542,73),0)</f>
        <v/>
      </c>
      <c r="BY542">
        <f>IFERROR(INDEX(PP_Grid[#Data],$DE542,74),0)</f>
        <v/>
      </c>
      <c r="BZ542">
        <f>IFERROR(INDEX(PP_Grid[#Data],$DE542,75),0)</f>
        <v/>
      </c>
      <c r="CA542">
        <f>IFERROR(INDEX(PP_Grid[#Data],$DE542,76),0)</f>
        <v/>
      </c>
      <c r="CB542">
        <f>IFERROR(INDEX(PP_Grid[#Data],$DE542,77),0)</f>
        <v/>
      </c>
      <c r="CC542">
        <f>IFERROR(INDEX(PP_Grid[#Data],$DE542,78),0)</f>
        <v/>
      </c>
      <c r="CD542">
        <f>IFERROR(INDEX(PP_Grid[#Data],$DE542,79),0)</f>
        <v/>
      </c>
      <c r="CE542">
        <f>IFERROR(INDEX(PP_Grid[#Data],$DE542,80),0)</f>
        <v/>
      </c>
      <c r="CF542">
        <f>IFERROR(INDEX(PP_Grid[#Data],$DE542,81),0)</f>
        <v/>
      </c>
      <c r="CG542">
        <f>IFERROR(INDEX(PP_Grid[#Data],$DE542,82),0)</f>
        <v/>
      </c>
      <c r="CH542">
        <f>IFERROR(INDEX(PP_Grid[#Data],$DE542,83),0)</f>
        <v/>
      </c>
      <c r="CI542">
        <f>IFERROR(INDEX(PP_Grid[#Data],$DE542,84),0)</f>
        <v/>
      </c>
      <c r="CJ542">
        <f>IFERROR(INDEX(PP_Grid[#Data],$DE542,85),0)</f>
        <v/>
      </c>
      <c r="CK542">
        <f>IFERROR(INDEX(PP_Grid[#Data],$DE542,86),0)</f>
        <v/>
      </c>
      <c r="CL542">
        <f>IFERROR(INDEX(PP_Grid[#Data],$DE542,87),0)</f>
        <v/>
      </c>
      <c r="CM542">
        <f>IFERROR(INDEX(PP_Grid[#Data],$DE542,88),0)</f>
        <v/>
      </c>
      <c r="CN542">
        <f>IFERROR(INDEX(PP_Grid[#Data],$DE542,89),0)</f>
        <v/>
      </c>
      <c r="CO542">
        <f>IFERROR(INDEX(PP_Grid[#Data],$DE542,90),0)</f>
        <v/>
      </c>
      <c r="CP542">
        <f>IFERROR(INDEX(PP_Grid[#Data],$DE542,91),0)</f>
        <v/>
      </c>
      <c r="CQ542">
        <f>IFERROR(INDEX(PP_Grid[#Data],$DE542,92),0)</f>
        <v/>
      </c>
      <c r="CR542">
        <f>IFERROR(INDEX(PP_Grid[#Data],$DE542,93),0)</f>
        <v/>
      </c>
      <c r="CS542">
        <f>IFERROR(INDEX(PP_Grid[#Data],$DE542,94),0)</f>
        <v/>
      </c>
      <c r="CT542">
        <f>IFERROR(INDEX(PP_Grid[#Data],$DE542,95),0)</f>
        <v/>
      </c>
      <c r="CU542">
        <f>IFERROR(INDEX(PP_Grid[#Data],$DE542,96),0)</f>
        <v/>
      </c>
      <c r="CV542">
        <f>IFERROR(INDEX(PP_Grid[#Data],$DE542,97),0)</f>
        <v/>
      </c>
      <c r="CW542">
        <f>IFERROR(INDEX(PP_Grid[#Data],$DE542,98),0)</f>
        <v/>
      </c>
      <c r="CX542">
        <f>IFERROR(INDEX(PP_Grid[#Data],$DE542,99),0)</f>
        <v/>
      </c>
      <c r="CY542">
        <f>IFERROR(INDEX(PP_Grid[#Data],$DE542,100),0)</f>
        <v/>
      </c>
      <c r="CZ542">
        <f>IFERROR(INDEX(PP_Grid[#Data],$DE542,101),0)</f>
        <v/>
      </c>
      <c r="DA542">
        <f>IFERROR(INDEX(PP_Grid[#Data],$DE542,102),0)</f>
        <v/>
      </c>
      <c r="DB542">
        <f>IFERROR(INDEX(PP_Grid[#Data],$DE542,103),0)</f>
        <v/>
      </c>
      <c r="DC542">
        <f>IFERROR(INDEX(PP_Grid[#Data],$DE542,104),0)</f>
        <v/>
      </c>
      <c r="DD542">
        <f>IFERROR(INDEX(PP_Grid[#Data],$DE542,105),0)</f>
        <v/>
      </c>
      <c r="DE542" s="7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SUMIFS(M_BOM[RM_Qty_Per_Batch],M_BOM[Intermediate],$B542,M_BOM[RM_Code],$A497)</f>
        <v/>
      </c>
      <c r="D543">
        <f>IFERROR(INDEX(E543:DD543,$F$1),"")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  <c r="DD543">
        <f>$C543*DD542</f>
        <v/>
      </c>
    </row>
    <row r="544">
      <c r="B544" t="inlineStr">
        <is>
          <t>TSP-903</t>
        </is>
      </c>
      <c r="C544" t="inlineStr">
        <is>
          <t>No. of batches</t>
        </is>
      </c>
      <c r="D544">
        <f>IFERROR(INDEX(E544:DD544,$F$1),"")</f>
        <v/>
      </c>
      <c r="E544">
        <f>IFERROR(INDEX(PP_Grid[#Data],$DE544,2),0)</f>
        <v/>
      </c>
      <c r="F544">
        <f>IFERROR(INDEX(PP_Grid[#Data],$DE544,3),0)</f>
        <v/>
      </c>
      <c r="G544">
        <f>IFERROR(INDEX(PP_Grid[#Data],$DE544,4),0)</f>
        <v/>
      </c>
      <c r="H544">
        <f>IFERROR(INDEX(PP_Grid[#Data],$DE544,5),0)</f>
        <v/>
      </c>
      <c r="I544">
        <f>IFERROR(INDEX(PP_Grid[#Data],$DE544,6),0)</f>
        <v/>
      </c>
      <c r="J544">
        <f>IFERROR(INDEX(PP_Grid[#Data],$DE544,7),0)</f>
        <v/>
      </c>
      <c r="K544">
        <f>IFERROR(INDEX(PP_Grid[#Data],$DE544,8),0)</f>
        <v/>
      </c>
      <c r="L544">
        <f>IFERROR(INDEX(PP_Grid[#Data],$DE544,9),0)</f>
        <v/>
      </c>
      <c r="M544">
        <f>IFERROR(INDEX(PP_Grid[#Data],$DE544,10),0)</f>
        <v/>
      </c>
      <c r="N544">
        <f>IFERROR(INDEX(PP_Grid[#Data],$DE544,11),0)</f>
        <v/>
      </c>
      <c r="O544">
        <f>IFERROR(INDEX(PP_Grid[#Data],$DE544,12),0)</f>
        <v/>
      </c>
      <c r="P544">
        <f>IFERROR(INDEX(PP_Grid[#Data],$DE544,13),0)</f>
        <v/>
      </c>
      <c r="Q544">
        <f>IFERROR(INDEX(PP_Grid[#Data],$DE544,14),0)</f>
        <v/>
      </c>
      <c r="R544">
        <f>IFERROR(INDEX(PP_Grid[#Data],$DE544,15),0)</f>
        <v/>
      </c>
      <c r="S544">
        <f>IFERROR(INDEX(PP_Grid[#Data],$DE544,16),0)</f>
        <v/>
      </c>
      <c r="T544">
        <f>IFERROR(INDEX(PP_Grid[#Data],$DE544,17),0)</f>
        <v/>
      </c>
      <c r="U544">
        <f>IFERROR(INDEX(PP_Grid[#Data],$DE544,18),0)</f>
        <v/>
      </c>
      <c r="V544">
        <f>IFERROR(INDEX(PP_Grid[#Data],$DE544,19),0)</f>
        <v/>
      </c>
      <c r="W544">
        <f>IFERROR(INDEX(PP_Grid[#Data],$DE544,20),0)</f>
        <v/>
      </c>
      <c r="X544">
        <f>IFERROR(INDEX(PP_Grid[#Data],$DE544,21),0)</f>
        <v/>
      </c>
      <c r="Y544">
        <f>IFERROR(INDEX(PP_Grid[#Data],$DE544,22),0)</f>
        <v/>
      </c>
      <c r="Z544">
        <f>IFERROR(INDEX(PP_Grid[#Data],$DE544,23),0)</f>
        <v/>
      </c>
      <c r="AA544">
        <f>IFERROR(INDEX(PP_Grid[#Data],$DE544,24),0)</f>
        <v/>
      </c>
      <c r="AB544">
        <f>IFERROR(INDEX(PP_Grid[#Data],$DE544,25),0)</f>
        <v/>
      </c>
      <c r="AC544">
        <f>IFERROR(INDEX(PP_Grid[#Data],$DE544,26),0)</f>
        <v/>
      </c>
      <c r="AD544">
        <f>IFERROR(INDEX(PP_Grid[#Data],$DE544,27),0)</f>
        <v/>
      </c>
      <c r="AE544">
        <f>IFERROR(INDEX(PP_Grid[#Data],$DE544,28),0)</f>
        <v/>
      </c>
      <c r="AF544">
        <f>IFERROR(INDEX(PP_Grid[#Data],$DE544,29),0)</f>
        <v/>
      </c>
      <c r="AG544">
        <f>IFERROR(INDEX(PP_Grid[#Data],$DE544,30),0)</f>
        <v/>
      </c>
      <c r="AH544">
        <f>IFERROR(INDEX(PP_Grid[#Data],$DE544,31),0)</f>
        <v/>
      </c>
      <c r="AI544">
        <f>IFERROR(INDEX(PP_Grid[#Data],$DE544,32),0)</f>
        <v/>
      </c>
      <c r="AJ544">
        <f>IFERROR(INDEX(PP_Grid[#Data],$DE544,33),0)</f>
        <v/>
      </c>
      <c r="AK544">
        <f>IFERROR(INDEX(PP_Grid[#Data],$DE544,34),0)</f>
        <v/>
      </c>
      <c r="AL544">
        <f>IFERROR(INDEX(PP_Grid[#Data],$DE544,35),0)</f>
        <v/>
      </c>
      <c r="AM544">
        <f>IFERROR(INDEX(PP_Grid[#Data],$DE544,36),0)</f>
        <v/>
      </c>
      <c r="AN544">
        <f>IFERROR(INDEX(PP_Grid[#Data],$DE544,37),0)</f>
        <v/>
      </c>
      <c r="AO544">
        <f>IFERROR(INDEX(PP_Grid[#Data],$DE544,38),0)</f>
        <v/>
      </c>
      <c r="AP544">
        <f>IFERROR(INDEX(PP_Grid[#Data],$DE544,39),0)</f>
        <v/>
      </c>
      <c r="AQ544">
        <f>IFERROR(INDEX(PP_Grid[#Data],$DE544,40),0)</f>
        <v/>
      </c>
      <c r="AR544">
        <f>IFERROR(INDEX(PP_Grid[#Data],$DE544,41),0)</f>
        <v/>
      </c>
      <c r="AS544">
        <f>IFERROR(INDEX(PP_Grid[#Data],$DE544,42),0)</f>
        <v/>
      </c>
      <c r="AT544">
        <f>IFERROR(INDEX(PP_Grid[#Data],$DE544,43),0)</f>
        <v/>
      </c>
      <c r="AU544">
        <f>IFERROR(INDEX(PP_Grid[#Data],$DE544,44),0)</f>
        <v/>
      </c>
      <c r="AV544">
        <f>IFERROR(INDEX(PP_Grid[#Data],$DE544,45),0)</f>
        <v/>
      </c>
      <c r="AW544">
        <f>IFERROR(INDEX(PP_Grid[#Data],$DE544,46),0)</f>
        <v/>
      </c>
      <c r="AX544">
        <f>IFERROR(INDEX(PP_Grid[#Data],$DE544,47),0)</f>
        <v/>
      </c>
      <c r="AY544">
        <f>IFERROR(INDEX(PP_Grid[#Data],$DE544,48),0)</f>
        <v/>
      </c>
      <c r="AZ544">
        <f>IFERROR(INDEX(PP_Grid[#Data],$DE544,49),0)</f>
        <v/>
      </c>
      <c r="BA544">
        <f>IFERROR(INDEX(PP_Grid[#Data],$DE544,50),0)</f>
        <v/>
      </c>
      <c r="BB544">
        <f>IFERROR(INDEX(PP_Grid[#Data],$DE544,51),0)</f>
        <v/>
      </c>
      <c r="BC544">
        <f>IFERROR(INDEX(PP_Grid[#Data],$DE544,52),0)</f>
        <v/>
      </c>
      <c r="BD544">
        <f>IFERROR(INDEX(PP_Grid[#Data],$DE544,53),0)</f>
        <v/>
      </c>
      <c r="BE544">
        <f>IFERROR(INDEX(PP_Grid[#Data],$DE544,54),0)</f>
        <v/>
      </c>
      <c r="BF544">
        <f>IFERROR(INDEX(PP_Grid[#Data],$DE544,55),0)</f>
        <v/>
      </c>
      <c r="BG544">
        <f>IFERROR(INDEX(PP_Grid[#Data],$DE544,56),0)</f>
        <v/>
      </c>
      <c r="BH544">
        <f>IFERROR(INDEX(PP_Grid[#Data],$DE544,57),0)</f>
        <v/>
      </c>
      <c r="BI544">
        <f>IFERROR(INDEX(PP_Grid[#Data],$DE544,58),0)</f>
        <v/>
      </c>
      <c r="BJ544">
        <f>IFERROR(INDEX(PP_Grid[#Data],$DE544,59),0)</f>
        <v/>
      </c>
      <c r="BK544">
        <f>IFERROR(INDEX(PP_Grid[#Data],$DE544,60),0)</f>
        <v/>
      </c>
      <c r="BL544">
        <f>IFERROR(INDEX(PP_Grid[#Data],$DE544,61),0)</f>
        <v/>
      </c>
      <c r="BM544">
        <f>IFERROR(INDEX(PP_Grid[#Data],$DE544,62),0)</f>
        <v/>
      </c>
      <c r="BN544">
        <f>IFERROR(INDEX(PP_Grid[#Data],$DE544,63),0)</f>
        <v/>
      </c>
      <c r="BO544">
        <f>IFERROR(INDEX(PP_Grid[#Data],$DE544,64),0)</f>
        <v/>
      </c>
      <c r="BP544">
        <f>IFERROR(INDEX(PP_Grid[#Data],$DE544,65),0)</f>
        <v/>
      </c>
      <c r="BQ544">
        <f>IFERROR(INDEX(PP_Grid[#Data],$DE544,66),0)</f>
        <v/>
      </c>
      <c r="BR544">
        <f>IFERROR(INDEX(PP_Grid[#Data],$DE544,67),0)</f>
        <v/>
      </c>
      <c r="BS544">
        <f>IFERROR(INDEX(PP_Grid[#Data],$DE544,68),0)</f>
        <v/>
      </c>
      <c r="BT544">
        <f>IFERROR(INDEX(PP_Grid[#Data],$DE544,69),0)</f>
        <v/>
      </c>
      <c r="BU544">
        <f>IFERROR(INDEX(PP_Grid[#Data],$DE544,70),0)</f>
        <v/>
      </c>
      <c r="BV544">
        <f>IFERROR(INDEX(PP_Grid[#Data],$DE544,71),0)</f>
        <v/>
      </c>
      <c r="BW544">
        <f>IFERROR(INDEX(PP_Grid[#Data],$DE544,72),0)</f>
        <v/>
      </c>
      <c r="BX544">
        <f>IFERROR(INDEX(PP_Grid[#Data],$DE544,73),0)</f>
        <v/>
      </c>
      <c r="BY544">
        <f>IFERROR(INDEX(PP_Grid[#Data],$DE544,74),0)</f>
        <v/>
      </c>
      <c r="BZ544">
        <f>IFERROR(INDEX(PP_Grid[#Data],$DE544,75),0)</f>
        <v/>
      </c>
      <c r="CA544">
        <f>IFERROR(INDEX(PP_Grid[#Data],$DE544,76),0)</f>
        <v/>
      </c>
      <c r="CB544">
        <f>IFERROR(INDEX(PP_Grid[#Data],$DE544,77),0)</f>
        <v/>
      </c>
      <c r="CC544">
        <f>IFERROR(INDEX(PP_Grid[#Data],$DE544,78),0)</f>
        <v/>
      </c>
      <c r="CD544">
        <f>IFERROR(INDEX(PP_Grid[#Data],$DE544,79),0)</f>
        <v/>
      </c>
      <c r="CE544">
        <f>IFERROR(INDEX(PP_Grid[#Data],$DE544,80),0)</f>
        <v/>
      </c>
      <c r="CF544">
        <f>IFERROR(INDEX(PP_Grid[#Data],$DE544,81),0)</f>
        <v/>
      </c>
      <c r="CG544">
        <f>IFERROR(INDEX(PP_Grid[#Data],$DE544,82),0)</f>
        <v/>
      </c>
      <c r="CH544">
        <f>IFERROR(INDEX(PP_Grid[#Data],$DE544,83),0)</f>
        <v/>
      </c>
      <c r="CI544">
        <f>IFERROR(INDEX(PP_Grid[#Data],$DE544,84),0)</f>
        <v/>
      </c>
      <c r="CJ544">
        <f>IFERROR(INDEX(PP_Grid[#Data],$DE544,85),0)</f>
        <v/>
      </c>
      <c r="CK544">
        <f>IFERROR(INDEX(PP_Grid[#Data],$DE544,86),0)</f>
        <v/>
      </c>
      <c r="CL544">
        <f>IFERROR(INDEX(PP_Grid[#Data],$DE544,87),0)</f>
        <v/>
      </c>
      <c r="CM544">
        <f>IFERROR(INDEX(PP_Grid[#Data],$DE544,88),0)</f>
        <v/>
      </c>
      <c r="CN544">
        <f>IFERROR(INDEX(PP_Grid[#Data],$DE544,89),0)</f>
        <v/>
      </c>
      <c r="CO544">
        <f>IFERROR(INDEX(PP_Grid[#Data],$DE544,90),0)</f>
        <v/>
      </c>
      <c r="CP544">
        <f>IFERROR(INDEX(PP_Grid[#Data],$DE544,91),0)</f>
        <v/>
      </c>
      <c r="CQ544">
        <f>IFERROR(INDEX(PP_Grid[#Data],$DE544,92),0)</f>
        <v/>
      </c>
      <c r="CR544">
        <f>IFERROR(INDEX(PP_Grid[#Data],$DE544,93),0)</f>
        <v/>
      </c>
      <c r="CS544">
        <f>IFERROR(INDEX(PP_Grid[#Data],$DE544,94),0)</f>
        <v/>
      </c>
      <c r="CT544">
        <f>IFERROR(INDEX(PP_Grid[#Data],$DE544,95),0)</f>
        <v/>
      </c>
      <c r="CU544">
        <f>IFERROR(INDEX(PP_Grid[#Data],$DE544,96),0)</f>
        <v/>
      </c>
      <c r="CV544">
        <f>IFERROR(INDEX(PP_Grid[#Data],$DE544,97),0)</f>
        <v/>
      </c>
      <c r="CW544">
        <f>IFERROR(INDEX(PP_Grid[#Data],$DE544,98),0)</f>
        <v/>
      </c>
      <c r="CX544">
        <f>IFERROR(INDEX(PP_Grid[#Data],$DE544,99),0)</f>
        <v/>
      </c>
      <c r="CY544">
        <f>IFERROR(INDEX(PP_Grid[#Data],$DE544,100),0)</f>
        <v/>
      </c>
      <c r="CZ544">
        <f>IFERROR(INDEX(PP_Grid[#Data],$DE544,101),0)</f>
        <v/>
      </c>
      <c r="DA544">
        <f>IFERROR(INDEX(PP_Grid[#Data],$DE544,102),0)</f>
        <v/>
      </c>
      <c r="DB544">
        <f>IFERROR(INDEX(PP_Grid[#Data],$DE544,103),0)</f>
        <v/>
      </c>
      <c r="DC544">
        <f>IFERROR(INDEX(PP_Grid[#Data],$DE544,104),0)</f>
        <v/>
      </c>
      <c r="DD544">
        <f>IFERROR(INDEX(PP_Grid[#Data],$DE544,105),0)</f>
        <v/>
      </c>
      <c r="DE544" s="7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SUMIFS(M_BOM[RM_Qty_Per_Batch],M_BOM[Intermediate],$B544,M_BOM[RM_Code],$A497)</f>
        <v/>
      </c>
      <c r="D545">
        <f>IFERROR(INDEX(E545:DD545,$F$1),"")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  <c r="DD545">
        <f>$C545*DD544</f>
        <v/>
      </c>
    </row>
    <row r="546">
      <c r="B546" t="inlineStr">
        <is>
          <t>TSP-924</t>
        </is>
      </c>
      <c r="C546" t="inlineStr">
        <is>
          <t>No. of batches</t>
        </is>
      </c>
      <c r="D546">
        <f>IFERROR(INDEX(E546:DD546,$F$1),"")</f>
        <v/>
      </c>
      <c r="E546">
        <f>IFERROR(INDEX(PP_Grid[#Data],$DE546,2),0)</f>
        <v/>
      </c>
      <c r="F546">
        <f>IFERROR(INDEX(PP_Grid[#Data],$DE546,3),0)</f>
        <v/>
      </c>
      <c r="G546">
        <f>IFERROR(INDEX(PP_Grid[#Data],$DE546,4),0)</f>
        <v/>
      </c>
      <c r="H546">
        <f>IFERROR(INDEX(PP_Grid[#Data],$DE546,5),0)</f>
        <v/>
      </c>
      <c r="I546">
        <f>IFERROR(INDEX(PP_Grid[#Data],$DE546,6),0)</f>
        <v/>
      </c>
      <c r="J546">
        <f>IFERROR(INDEX(PP_Grid[#Data],$DE546,7),0)</f>
        <v/>
      </c>
      <c r="K546">
        <f>IFERROR(INDEX(PP_Grid[#Data],$DE546,8),0)</f>
        <v/>
      </c>
      <c r="L546">
        <f>IFERROR(INDEX(PP_Grid[#Data],$DE546,9),0)</f>
        <v/>
      </c>
      <c r="M546">
        <f>IFERROR(INDEX(PP_Grid[#Data],$DE546,10),0)</f>
        <v/>
      </c>
      <c r="N546">
        <f>IFERROR(INDEX(PP_Grid[#Data],$DE546,11),0)</f>
        <v/>
      </c>
      <c r="O546">
        <f>IFERROR(INDEX(PP_Grid[#Data],$DE546,12),0)</f>
        <v/>
      </c>
      <c r="P546">
        <f>IFERROR(INDEX(PP_Grid[#Data],$DE546,13),0)</f>
        <v/>
      </c>
      <c r="Q546">
        <f>IFERROR(INDEX(PP_Grid[#Data],$DE546,14),0)</f>
        <v/>
      </c>
      <c r="R546">
        <f>IFERROR(INDEX(PP_Grid[#Data],$DE546,15),0)</f>
        <v/>
      </c>
      <c r="S546">
        <f>IFERROR(INDEX(PP_Grid[#Data],$DE546,16),0)</f>
        <v/>
      </c>
      <c r="T546">
        <f>IFERROR(INDEX(PP_Grid[#Data],$DE546,17),0)</f>
        <v/>
      </c>
      <c r="U546">
        <f>IFERROR(INDEX(PP_Grid[#Data],$DE546,18),0)</f>
        <v/>
      </c>
      <c r="V546">
        <f>IFERROR(INDEX(PP_Grid[#Data],$DE546,19),0)</f>
        <v/>
      </c>
      <c r="W546">
        <f>IFERROR(INDEX(PP_Grid[#Data],$DE546,20),0)</f>
        <v/>
      </c>
      <c r="X546">
        <f>IFERROR(INDEX(PP_Grid[#Data],$DE546,21),0)</f>
        <v/>
      </c>
      <c r="Y546">
        <f>IFERROR(INDEX(PP_Grid[#Data],$DE546,22),0)</f>
        <v/>
      </c>
      <c r="Z546">
        <f>IFERROR(INDEX(PP_Grid[#Data],$DE546,23),0)</f>
        <v/>
      </c>
      <c r="AA546">
        <f>IFERROR(INDEX(PP_Grid[#Data],$DE546,24),0)</f>
        <v/>
      </c>
      <c r="AB546">
        <f>IFERROR(INDEX(PP_Grid[#Data],$DE546,25),0)</f>
        <v/>
      </c>
      <c r="AC546">
        <f>IFERROR(INDEX(PP_Grid[#Data],$DE546,26),0)</f>
        <v/>
      </c>
      <c r="AD546">
        <f>IFERROR(INDEX(PP_Grid[#Data],$DE546,27),0)</f>
        <v/>
      </c>
      <c r="AE546">
        <f>IFERROR(INDEX(PP_Grid[#Data],$DE546,28),0)</f>
        <v/>
      </c>
      <c r="AF546">
        <f>IFERROR(INDEX(PP_Grid[#Data],$DE546,29),0)</f>
        <v/>
      </c>
      <c r="AG546">
        <f>IFERROR(INDEX(PP_Grid[#Data],$DE546,30),0)</f>
        <v/>
      </c>
      <c r="AH546">
        <f>IFERROR(INDEX(PP_Grid[#Data],$DE546,31),0)</f>
        <v/>
      </c>
      <c r="AI546">
        <f>IFERROR(INDEX(PP_Grid[#Data],$DE546,32),0)</f>
        <v/>
      </c>
      <c r="AJ546">
        <f>IFERROR(INDEX(PP_Grid[#Data],$DE546,33),0)</f>
        <v/>
      </c>
      <c r="AK546">
        <f>IFERROR(INDEX(PP_Grid[#Data],$DE546,34),0)</f>
        <v/>
      </c>
      <c r="AL546">
        <f>IFERROR(INDEX(PP_Grid[#Data],$DE546,35),0)</f>
        <v/>
      </c>
      <c r="AM546">
        <f>IFERROR(INDEX(PP_Grid[#Data],$DE546,36),0)</f>
        <v/>
      </c>
      <c r="AN546">
        <f>IFERROR(INDEX(PP_Grid[#Data],$DE546,37),0)</f>
        <v/>
      </c>
      <c r="AO546">
        <f>IFERROR(INDEX(PP_Grid[#Data],$DE546,38),0)</f>
        <v/>
      </c>
      <c r="AP546">
        <f>IFERROR(INDEX(PP_Grid[#Data],$DE546,39),0)</f>
        <v/>
      </c>
      <c r="AQ546">
        <f>IFERROR(INDEX(PP_Grid[#Data],$DE546,40),0)</f>
        <v/>
      </c>
      <c r="AR546">
        <f>IFERROR(INDEX(PP_Grid[#Data],$DE546,41),0)</f>
        <v/>
      </c>
      <c r="AS546">
        <f>IFERROR(INDEX(PP_Grid[#Data],$DE546,42),0)</f>
        <v/>
      </c>
      <c r="AT546">
        <f>IFERROR(INDEX(PP_Grid[#Data],$DE546,43),0)</f>
        <v/>
      </c>
      <c r="AU546">
        <f>IFERROR(INDEX(PP_Grid[#Data],$DE546,44),0)</f>
        <v/>
      </c>
      <c r="AV546">
        <f>IFERROR(INDEX(PP_Grid[#Data],$DE546,45),0)</f>
        <v/>
      </c>
      <c r="AW546">
        <f>IFERROR(INDEX(PP_Grid[#Data],$DE546,46),0)</f>
        <v/>
      </c>
      <c r="AX546">
        <f>IFERROR(INDEX(PP_Grid[#Data],$DE546,47),0)</f>
        <v/>
      </c>
      <c r="AY546">
        <f>IFERROR(INDEX(PP_Grid[#Data],$DE546,48),0)</f>
        <v/>
      </c>
      <c r="AZ546">
        <f>IFERROR(INDEX(PP_Grid[#Data],$DE546,49),0)</f>
        <v/>
      </c>
      <c r="BA546">
        <f>IFERROR(INDEX(PP_Grid[#Data],$DE546,50),0)</f>
        <v/>
      </c>
      <c r="BB546">
        <f>IFERROR(INDEX(PP_Grid[#Data],$DE546,51),0)</f>
        <v/>
      </c>
      <c r="BC546">
        <f>IFERROR(INDEX(PP_Grid[#Data],$DE546,52),0)</f>
        <v/>
      </c>
      <c r="BD546">
        <f>IFERROR(INDEX(PP_Grid[#Data],$DE546,53),0)</f>
        <v/>
      </c>
      <c r="BE546">
        <f>IFERROR(INDEX(PP_Grid[#Data],$DE546,54),0)</f>
        <v/>
      </c>
      <c r="BF546">
        <f>IFERROR(INDEX(PP_Grid[#Data],$DE546,55),0)</f>
        <v/>
      </c>
      <c r="BG546">
        <f>IFERROR(INDEX(PP_Grid[#Data],$DE546,56),0)</f>
        <v/>
      </c>
      <c r="BH546">
        <f>IFERROR(INDEX(PP_Grid[#Data],$DE546,57),0)</f>
        <v/>
      </c>
      <c r="BI546">
        <f>IFERROR(INDEX(PP_Grid[#Data],$DE546,58),0)</f>
        <v/>
      </c>
      <c r="BJ546">
        <f>IFERROR(INDEX(PP_Grid[#Data],$DE546,59),0)</f>
        <v/>
      </c>
      <c r="BK546">
        <f>IFERROR(INDEX(PP_Grid[#Data],$DE546,60),0)</f>
        <v/>
      </c>
      <c r="BL546">
        <f>IFERROR(INDEX(PP_Grid[#Data],$DE546,61),0)</f>
        <v/>
      </c>
      <c r="BM546">
        <f>IFERROR(INDEX(PP_Grid[#Data],$DE546,62),0)</f>
        <v/>
      </c>
      <c r="BN546">
        <f>IFERROR(INDEX(PP_Grid[#Data],$DE546,63),0)</f>
        <v/>
      </c>
      <c r="BO546">
        <f>IFERROR(INDEX(PP_Grid[#Data],$DE546,64),0)</f>
        <v/>
      </c>
      <c r="BP546">
        <f>IFERROR(INDEX(PP_Grid[#Data],$DE546,65),0)</f>
        <v/>
      </c>
      <c r="BQ546">
        <f>IFERROR(INDEX(PP_Grid[#Data],$DE546,66),0)</f>
        <v/>
      </c>
      <c r="BR546">
        <f>IFERROR(INDEX(PP_Grid[#Data],$DE546,67),0)</f>
        <v/>
      </c>
      <c r="BS546">
        <f>IFERROR(INDEX(PP_Grid[#Data],$DE546,68),0)</f>
        <v/>
      </c>
      <c r="BT546">
        <f>IFERROR(INDEX(PP_Grid[#Data],$DE546,69),0)</f>
        <v/>
      </c>
      <c r="BU546">
        <f>IFERROR(INDEX(PP_Grid[#Data],$DE546,70),0)</f>
        <v/>
      </c>
      <c r="BV546">
        <f>IFERROR(INDEX(PP_Grid[#Data],$DE546,71),0)</f>
        <v/>
      </c>
      <c r="BW546">
        <f>IFERROR(INDEX(PP_Grid[#Data],$DE546,72),0)</f>
        <v/>
      </c>
      <c r="BX546">
        <f>IFERROR(INDEX(PP_Grid[#Data],$DE546,73),0)</f>
        <v/>
      </c>
      <c r="BY546">
        <f>IFERROR(INDEX(PP_Grid[#Data],$DE546,74),0)</f>
        <v/>
      </c>
      <c r="BZ546">
        <f>IFERROR(INDEX(PP_Grid[#Data],$DE546,75),0)</f>
        <v/>
      </c>
      <c r="CA546">
        <f>IFERROR(INDEX(PP_Grid[#Data],$DE546,76),0)</f>
        <v/>
      </c>
      <c r="CB546">
        <f>IFERROR(INDEX(PP_Grid[#Data],$DE546,77),0)</f>
        <v/>
      </c>
      <c r="CC546">
        <f>IFERROR(INDEX(PP_Grid[#Data],$DE546,78),0)</f>
        <v/>
      </c>
      <c r="CD546">
        <f>IFERROR(INDEX(PP_Grid[#Data],$DE546,79),0)</f>
        <v/>
      </c>
      <c r="CE546">
        <f>IFERROR(INDEX(PP_Grid[#Data],$DE546,80),0)</f>
        <v/>
      </c>
      <c r="CF546">
        <f>IFERROR(INDEX(PP_Grid[#Data],$DE546,81),0)</f>
        <v/>
      </c>
      <c r="CG546">
        <f>IFERROR(INDEX(PP_Grid[#Data],$DE546,82),0)</f>
        <v/>
      </c>
      <c r="CH546">
        <f>IFERROR(INDEX(PP_Grid[#Data],$DE546,83),0)</f>
        <v/>
      </c>
      <c r="CI546">
        <f>IFERROR(INDEX(PP_Grid[#Data],$DE546,84),0)</f>
        <v/>
      </c>
      <c r="CJ546">
        <f>IFERROR(INDEX(PP_Grid[#Data],$DE546,85),0)</f>
        <v/>
      </c>
      <c r="CK546">
        <f>IFERROR(INDEX(PP_Grid[#Data],$DE546,86),0)</f>
        <v/>
      </c>
      <c r="CL546">
        <f>IFERROR(INDEX(PP_Grid[#Data],$DE546,87),0)</f>
        <v/>
      </c>
      <c r="CM546">
        <f>IFERROR(INDEX(PP_Grid[#Data],$DE546,88),0)</f>
        <v/>
      </c>
      <c r="CN546">
        <f>IFERROR(INDEX(PP_Grid[#Data],$DE546,89),0)</f>
        <v/>
      </c>
      <c r="CO546">
        <f>IFERROR(INDEX(PP_Grid[#Data],$DE546,90),0)</f>
        <v/>
      </c>
      <c r="CP546">
        <f>IFERROR(INDEX(PP_Grid[#Data],$DE546,91),0)</f>
        <v/>
      </c>
      <c r="CQ546">
        <f>IFERROR(INDEX(PP_Grid[#Data],$DE546,92),0)</f>
        <v/>
      </c>
      <c r="CR546">
        <f>IFERROR(INDEX(PP_Grid[#Data],$DE546,93),0)</f>
        <v/>
      </c>
      <c r="CS546">
        <f>IFERROR(INDEX(PP_Grid[#Data],$DE546,94),0)</f>
        <v/>
      </c>
      <c r="CT546">
        <f>IFERROR(INDEX(PP_Grid[#Data],$DE546,95),0)</f>
        <v/>
      </c>
      <c r="CU546">
        <f>IFERROR(INDEX(PP_Grid[#Data],$DE546,96),0)</f>
        <v/>
      </c>
      <c r="CV546">
        <f>IFERROR(INDEX(PP_Grid[#Data],$DE546,97),0)</f>
        <v/>
      </c>
      <c r="CW546">
        <f>IFERROR(INDEX(PP_Grid[#Data],$DE546,98),0)</f>
        <v/>
      </c>
      <c r="CX546">
        <f>IFERROR(INDEX(PP_Grid[#Data],$DE546,99),0)</f>
        <v/>
      </c>
      <c r="CY546">
        <f>IFERROR(INDEX(PP_Grid[#Data],$DE546,100),0)</f>
        <v/>
      </c>
      <c r="CZ546">
        <f>IFERROR(INDEX(PP_Grid[#Data],$DE546,101),0)</f>
        <v/>
      </c>
      <c r="DA546">
        <f>IFERROR(INDEX(PP_Grid[#Data],$DE546,102),0)</f>
        <v/>
      </c>
      <c r="DB546">
        <f>IFERROR(INDEX(PP_Grid[#Data],$DE546,103),0)</f>
        <v/>
      </c>
      <c r="DC546">
        <f>IFERROR(INDEX(PP_Grid[#Data],$DE546,104),0)</f>
        <v/>
      </c>
      <c r="DD546">
        <f>IFERROR(INDEX(PP_Grid[#Data],$DE546,105),0)</f>
        <v/>
      </c>
      <c r="DE546" s="7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SUMIFS(M_BOM[RM_Qty_Per_Batch],M_BOM[Intermediate],$B546,M_BOM[RM_Code],$A497)</f>
        <v/>
      </c>
      <c r="D547">
        <f>IFERROR(INDEX(E547:DD547,$F$1),"")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  <c r="DD547">
        <f>$C547*DD546</f>
        <v/>
      </c>
    </row>
    <row r="548">
      <c r="B548" t="inlineStr">
        <is>
          <t>TSP-925</t>
        </is>
      </c>
      <c r="C548" t="inlineStr">
        <is>
          <t>No. of batches</t>
        </is>
      </c>
      <c r="D548">
        <f>IFERROR(INDEX(E548:DD548,$F$1),"")</f>
        <v/>
      </c>
      <c r="E548">
        <f>IFERROR(INDEX(PP_Grid[#Data],$DE548,2),0)</f>
        <v/>
      </c>
      <c r="F548">
        <f>IFERROR(INDEX(PP_Grid[#Data],$DE548,3),0)</f>
        <v/>
      </c>
      <c r="G548">
        <f>IFERROR(INDEX(PP_Grid[#Data],$DE548,4),0)</f>
        <v/>
      </c>
      <c r="H548">
        <f>IFERROR(INDEX(PP_Grid[#Data],$DE548,5),0)</f>
        <v/>
      </c>
      <c r="I548">
        <f>IFERROR(INDEX(PP_Grid[#Data],$DE548,6),0)</f>
        <v/>
      </c>
      <c r="J548">
        <f>IFERROR(INDEX(PP_Grid[#Data],$DE548,7),0)</f>
        <v/>
      </c>
      <c r="K548">
        <f>IFERROR(INDEX(PP_Grid[#Data],$DE548,8),0)</f>
        <v/>
      </c>
      <c r="L548">
        <f>IFERROR(INDEX(PP_Grid[#Data],$DE548,9),0)</f>
        <v/>
      </c>
      <c r="M548">
        <f>IFERROR(INDEX(PP_Grid[#Data],$DE548,10),0)</f>
        <v/>
      </c>
      <c r="N548">
        <f>IFERROR(INDEX(PP_Grid[#Data],$DE548,11),0)</f>
        <v/>
      </c>
      <c r="O548">
        <f>IFERROR(INDEX(PP_Grid[#Data],$DE548,12),0)</f>
        <v/>
      </c>
      <c r="P548">
        <f>IFERROR(INDEX(PP_Grid[#Data],$DE548,13),0)</f>
        <v/>
      </c>
      <c r="Q548">
        <f>IFERROR(INDEX(PP_Grid[#Data],$DE548,14),0)</f>
        <v/>
      </c>
      <c r="R548">
        <f>IFERROR(INDEX(PP_Grid[#Data],$DE548,15),0)</f>
        <v/>
      </c>
      <c r="S548">
        <f>IFERROR(INDEX(PP_Grid[#Data],$DE548,16),0)</f>
        <v/>
      </c>
      <c r="T548">
        <f>IFERROR(INDEX(PP_Grid[#Data],$DE548,17),0)</f>
        <v/>
      </c>
      <c r="U548">
        <f>IFERROR(INDEX(PP_Grid[#Data],$DE548,18),0)</f>
        <v/>
      </c>
      <c r="V548">
        <f>IFERROR(INDEX(PP_Grid[#Data],$DE548,19),0)</f>
        <v/>
      </c>
      <c r="W548">
        <f>IFERROR(INDEX(PP_Grid[#Data],$DE548,20),0)</f>
        <v/>
      </c>
      <c r="X548">
        <f>IFERROR(INDEX(PP_Grid[#Data],$DE548,21),0)</f>
        <v/>
      </c>
      <c r="Y548">
        <f>IFERROR(INDEX(PP_Grid[#Data],$DE548,22),0)</f>
        <v/>
      </c>
      <c r="Z548">
        <f>IFERROR(INDEX(PP_Grid[#Data],$DE548,23),0)</f>
        <v/>
      </c>
      <c r="AA548">
        <f>IFERROR(INDEX(PP_Grid[#Data],$DE548,24),0)</f>
        <v/>
      </c>
      <c r="AB548">
        <f>IFERROR(INDEX(PP_Grid[#Data],$DE548,25),0)</f>
        <v/>
      </c>
      <c r="AC548">
        <f>IFERROR(INDEX(PP_Grid[#Data],$DE548,26),0)</f>
        <v/>
      </c>
      <c r="AD548">
        <f>IFERROR(INDEX(PP_Grid[#Data],$DE548,27),0)</f>
        <v/>
      </c>
      <c r="AE548">
        <f>IFERROR(INDEX(PP_Grid[#Data],$DE548,28),0)</f>
        <v/>
      </c>
      <c r="AF548">
        <f>IFERROR(INDEX(PP_Grid[#Data],$DE548,29),0)</f>
        <v/>
      </c>
      <c r="AG548">
        <f>IFERROR(INDEX(PP_Grid[#Data],$DE548,30),0)</f>
        <v/>
      </c>
      <c r="AH548">
        <f>IFERROR(INDEX(PP_Grid[#Data],$DE548,31),0)</f>
        <v/>
      </c>
      <c r="AI548">
        <f>IFERROR(INDEX(PP_Grid[#Data],$DE548,32),0)</f>
        <v/>
      </c>
      <c r="AJ548">
        <f>IFERROR(INDEX(PP_Grid[#Data],$DE548,33),0)</f>
        <v/>
      </c>
      <c r="AK548">
        <f>IFERROR(INDEX(PP_Grid[#Data],$DE548,34),0)</f>
        <v/>
      </c>
      <c r="AL548">
        <f>IFERROR(INDEX(PP_Grid[#Data],$DE548,35),0)</f>
        <v/>
      </c>
      <c r="AM548">
        <f>IFERROR(INDEX(PP_Grid[#Data],$DE548,36),0)</f>
        <v/>
      </c>
      <c r="AN548">
        <f>IFERROR(INDEX(PP_Grid[#Data],$DE548,37),0)</f>
        <v/>
      </c>
      <c r="AO548">
        <f>IFERROR(INDEX(PP_Grid[#Data],$DE548,38),0)</f>
        <v/>
      </c>
      <c r="AP548">
        <f>IFERROR(INDEX(PP_Grid[#Data],$DE548,39),0)</f>
        <v/>
      </c>
      <c r="AQ548">
        <f>IFERROR(INDEX(PP_Grid[#Data],$DE548,40),0)</f>
        <v/>
      </c>
      <c r="AR548">
        <f>IFERROR(INDEX(PP_Grid[#Data],$DE548,41),0)</f>
        <v/>
      </c>
      <c r="AS548">
        <f>IFERROR(INDEX(PP_Grid[#Data],$DE548,42),0)</f>
        <v/>
      </c>
      <c r="AT548">
        <f>IFERROR(INDEX(PP_Grid[#Data],$DE548,43),0)</f>
        <v/>
      </c>
      <c r="AU548">
        <f>IFERROR(INDEX(PP_Grid[#Data],$DE548,44),0)</f>
        <v/>
      </c>
      <c r="AV548">
        <f>IFERROR(INDEX(PP_Grid[#Data],$DE548,45),0)</f>
        <v/>
      </c>
      <c r="AW548">
        <f>IFERROR(INDEX(PP_Grid[#Data],$DE548,46),0)</f>
        <v/>
      </c>
      <c r="AX548">
        <f>IFERROR(INDEX(PP_Grid[#Data],$DE548,47),0)</f>
        <v/>
      </c>
      <c r="AY548">
        <f>IFERROR(INDEX(PP_Grid[#Data],$DE548,48),0)</f>
        <v/>
      </c>
      <c r="AZ548">
        <f>IFERROR(INDEX(PP_Grid[#Data],$DE548,49),0)</f>
        <v/>
      </c>
      <c r="BA548">
        <f>IFERROR(INDEX(PP_Grid[#Data],$DE548,50),0)</f>
        <v/>
      </c>
      <c r="BB548">
        <f>IFERROR(INDEX(PP_Grid[#Data],$DE548,51),0)</f>
        <v/>
      </c>
      <c r="BC548">
        <f>IFERROR(INDEX(PP_Grid[#Data],$DE548,52),0)</f>
        <v/>
      </c>
      <c r="BD548">
        <f>IFERROR(INDEX(PP_Grid[#Data],$DE548,53),0)</f>
        <v/>
      </c>
      <c r="BE548">
        <f>IFERROR(INDEX(PP_Grid[#Data],$DE548,54),0)</f>
        <v/>
      </c>
      <c r="BF548">
        <f>IFERROR(INDEX(PP_Grid[#Data],$DE548,55),0)</f>
        <v/>
      </c>
      <c r="BG548">
        <f>IFERROR(INDEX(PP_Grid[#Data],$DE548,56),0)</f>
        <v/>
      </c>
      <c r="BH548">
        <f>IFERROR(INDEX(PP_Grid[#Data],$DE548,57),0)</f>
        <v/>
      </c>
      <c r="BI548">
        <f>IFERROR(INDEX(PP_Grid[#Data],$DE548,58),0)</f>
        <v/>
      </c>
      <c r="BJ548">
        <f>IFERROR(INDEX(PP_Grid[#Data],$DE548,59),0)</f>
        <v/>
      </c>
      <c r="BK548">
        <f>IFERROR(INDEX(PP_Grid[#Data],$DE548,60),0)</f>
        <v/>
      </c>
      <c r="BL548">
        <f>IFERROR(INDEX(PP_Grid[#Data],$DE548,61),0)</f>
        <v/>
      </c>
      <c r="BM548">
        <f>IFERROR(INDEX(PP_Grid[#Data],$DE548,62),0)</f>
        <v/>
      </c>
      <c r="BN548">
        <f>IFERROR(INDEX(PP_Grid[#Data],$DE548,63),0)</f>
        <v/>
      </c>
      <c r="BO548">
        <f>IFERROR(INDEX(PP_Grid[#Data],$DE548,64),0)</f>
        <v/>
      </c>
      <c r="BP548">
        <f>IFERROR(INDEX(PP_Grid[#Data],$DE548,65),0)</f>
        <v/>
      </c>
      <c r="BQ548">
        <f>IFERROR(INDEX(PP_Grid[#Data],$DE548,66),0)</f>
        <v/>
      </c>
      <c r="BR548">
        <f>IFERROR(INDEX(PP_Grid[#Data],$DE548,67),0)</f>
        <v/>
      </c>
      <c r="BS548">
        <f>IFERROR(INDEX(PP_Grid[#Data],$DE548,68),0)</f>
        <v/>
      </c>
      <c r="BT548">
        <f>IFERROR(INDEX(PP_Grid[#Data],$DE548,69),0)</f>
        <v/>
      </c>
      <c r="BU548">
        <f>IFERROR(INDEX(PP_Grid[#Data],$DE548,70),0)</f>
        <v/>
      </c>
      <c r="BV548">
        <f>IFERROR(INDEX(PP_Grid[#Data],$DE548,71),0)</f>
        <v/>
      </c>
      <c r="BW548">
        <f>IFERROR(INDEX(PP_Grid[#Data],$DE548,72),0)</f>
        <v/>
      </c>
      <c r="BX548">
        <f>IFERROR(INDEX(PP_Grid[#Data],$DE548,73),0)</f>
        <v/>
      </c>
      <c r="BY548">
        <f>IFERROR(INDEX(PP_Grid[#Data],$DE548,74),0)</f>
        <v/>
      </c>
      <c r="BZ548">
        <f>IFERROR(INDEX(PP_Grid[#Data],$DE548,75),0)</f>
        <v/>
      </c>
      <c r="CA548">
        <f>IFERROR(INDEX(PP_Grid[#Data],$DE548,76),0)</f>
        <v/>
      </c>
      <c r="CB548">
        <f>IFERROR(INDEX(PP_Grid[#Data],$DE548,77),0)</f>
        <v/>
      </c>
      <c r="CC548">
        <f>IFERROR(INDEX(PP_Grid[#Data],$DE548,78),0)</f>
        <v/>
      </c>
      <c r="CD548">
        <f>IFERROR(INDEX(PP_Grid[#Data],$DE548,79),0)</f>
        <v/>
      </c>
      <c r="CE548">
        <f>IFERROR(INDEX(PP_Grid[#Data],$DE548,80),0)</f>
        <v/>
      </c>
      <c r="CF548">
        <f>IFERROR(INDEX(PP_Grid[#Data],$DE548,81),0)</f>
        <v/>
      </c>
      <c r="CG548">
        <f>IFERROR(INDEX(PP_Grid[#Data],$DE548,82),0)</f>
        <v/>
      </c>
      <c r="CH548">
        <f>IFERROR(INDEX(PP_Grid[#Data],$DE548,83),0)</f>
        <v/>
      </c>
      <c r="CI548">
        <f>IFERROR(INDEX(PP_Grid[#Data],$DE548,84),0)</f>
        <v/>
      </c>
      <c r="CJ548">
        <f>IFERROR(INDEX(PP_Grid[#Data],$DE548,85),0)</f>
        <v/>
      </c>
      <c r="CK548">
        <f>IFERROR(INDEX(PP_Grid[#Data],$DE548,86),0)</f>
        <v/>
      </c>
      <c r="CL548">
        <f>IFERROR(INDEX(PP_Grid[#Data],$DE548,87),0)</f>
        <v/>
      </c>
      <c r="CM548">
        <f>IFERROR(INDEX(PP_Grid[#Data],$DE548,88),0)</f>
        <v/>
      </c>
      <c r="CN548">
        <f>IFERROR(INDEX(PP_Grid[#Data],$DE548,89),0)</f>
        <v/>
      </c>
      <c r="CO548">
        <f>IFERROR(INDEX(PP_Grid[#Data],$DE548,90),0)</f>
        <v/>
      </c>
      <c r="CP548">
        <f>IFERROR(INDEX(PP_Grid[#Data],$DE548,91),0)</f>
        <v/>
      </c>
      <c r="CQ548">
        <f>IFERROR(INDEX(PP_Grid[#Data],$DE548,92),0)</f>
        <v/>
      </c>
      <c r="CR548">
        <f>IFERROR(INDEX(PP_Grid[#Data],$DE548,93),0)</f>
        <v/>
      </c>
      <c r="CS548">
        <f>IFERROR(INDEX(PP_Grid[#Data],$DE548,94),0)</f>
        <v/>
      </c>
      <c r="CT548">
        <f>IFERROR(INDEX(PP_Grid[#Data],$DE548,95),0)</f>
        <v/>
      </c>
      <c r="CU548">
        <f>IFERROR(INDEX(PP_Grid[#Data],$DE548,96),0)</f>
        <v/>
      </c>
      <c r="CV548">
        <f>IFERROR(INDEX(PP_Grid[#Data],$DE548,97),0)</f>
        <v/>
      </c>
      <c r="CW548">
        <f>IFERROR(INDEX(PP_Grid[#Data],$DE548,98),0)</f>
        <v/>
      </c>
      <c r="CX548">
        <f>IFERROR(INDEX(PP_Grid[#Data],$DE548,99),0)</f>
        <v/>
      </c>
      <c r="CY548">
        <f>IFERROR(INDEX(PP_Grid[#Data],$DE548,100),0)</f>
        <v/>
      </c>
      <c r="CZ548">
        <f>IFERROR(INDEX(PP_Grid[#Data],$DE548,101),0)</f>
        <v/>
      </c>
      <c r="DA548">
        <f>IFERROR(INDEX(PP_Grid[#Data],$DE548,102),0)</f>
        <v/>
      </c>
      <c r="DB548">
        <f>IFERROR(INDEX(PP_Grid[#Data],$DE548,103),0)</f>
        <v/>
      </c>
      <c r="DC548">
        <f>IFERROR(INDEX(PP_Grid[#Data],$DE548,104),0)</f>
        <v/>
      </c>
      <c r="DD548">
        <f>IFERROR(INDEX(PP_Grid[#Data],$DE548,105),0)</f>
        <v/>
      </c>
      <c r="DE548" s="7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SUMIFS(M_BOM[RM_Qty_Per_Batch],M_BOM[Intermediate],$B548,M_BOM[RM_Code],$A497)</f>
        <v/>
      </c>
      <c r="D549">
        <f>IFERROR(INDEX(E549:DD549,$F$1),"")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  <c r="DD549">
        <f>$C549*DD548</f>
        <v/>
      </c>
    </row>
    <row r="550">
      <c r="B550" t="inlineStr">
        <is>
          <t>TSP-927</t>
        </is>
      </c>
      <c r="C550" t="inlineStr">
        <is>
          <t>No. of batches</t>
        </is>
      </c>
      <c r="D550">
        <f>IFERROR(INDEX(E550:DD550,$F$1),"")</f>
        <v/>
      </c>
      <c r="E550">
        <f>IFERROR(INDEX(PP_Grid[#Data],$DE550,2),0)</f>
        <v/>
      </c>
      <c r="F550">
        <f>IFERROR(INDEX(PP_Grid[#Data],$DE550,3),0)</f>
        <v/>
      </c>
      <c r="G550">
        <f>IFERROR(INDEX(PP_Grid[#Data],$DE550,4),0)</f>
        <v/>
      </c>
      <c r="H550">
        <f>IFERROR(INDEX(PP_Grid[#Data],$DE550,5),0)</f>
        <v/>
      </c>
      <c r="I550">
        <f>IFERROR(INDEX(PP_Grid[#Data],$DE550,6),0)</f>
        <v/>
      </c>
      <c r="J550">
        <f>IFERROR(INDEX(PP_Grid[#Data],$DE550,7),0)</f>
        <v/>
      </c>
      <c r="K550">
        <f>IFERROR(INDEX(PP_Grid[#Data],$DE550,8),0)</f>
        <v/>
      </c>
      <c r="L550">
        <f>IFERROR(INDEX(PP_Grid[#Data],$DE550,9),0)</f>
        <v/>
      </c>
      <c r="M550">
        <f>IFERROR(INDEX(PP_Grid[#Data],$DE550,10),0)</f>
        <v/>
      </c>
      <c r="N550">
        <f>IFERROR(INDEX(PP_Grid[#Data],$DE550,11),0)</f>
        <v/>
      </c>
      <c r="O550">
        <f>IFERROR(INDEX(PP_Grid[#Data],$DE550,12),0)</f>
        <v/>
      </c>
      <c r="P550">
        <f>IFERROR(INDEX(PP_Grid[#Data],$DE550,13),0)</f>
        <v/>
      </c>
      <c r="Q550">
        <f>IFERROR(INDEX(PP_Grid[#Data],$DE550,14),0)</f>
        <v/>
      </c>
      <c r="R550">
        <f>IFERROR(INDEX(PP_Grid[#Data],$DE550,15),0)</f>
        <v/>
      </c>
      <c r="S550">
        <f>IFERROR(INDEX(PP_Grid[#Data],$DE550,16),0)</f>
        <v/>
      </c>
      <c r="T550">
        <f>IFERROR(INDEX(PP_Grid[#Data],$DE550,17),0)</f>
        <v/>
      </c>
      <c r="U550">
        <f>IFERROR(INDEX(PP_Grid[#Data],$DE550,18),0)</f>
        <v/>
      </c>
      <c r="V550">
        <f>IFERROR(INDEX(PP_Grid[#Data],$DE550,19),0)</f>
        <v/>
      </c>
      <c r="W550">
        <f>IFERROR(INDEX(PP_Grid[#Data],$DE550,20),0)</f>
        <v/>
      </c>
      <c r="X550">
        <f>IFERROR(INDEX(PP_Grid[#Data],$DE550,21),0)</f>
        <v/>
      </c>
      <c r="Y550">
        <f>IFERROR(INDEX(PP_Grid[#Data],$DE550,22),0)</f>
        <v/>
      </c>
      <c r="Z550">
        <f>IFERROR(INDEX(PP_Grid[#Data],$DE550,23),0)</f>
        <v/>
      </c>
      <c r="AA550">
        <f>IFERROR(INDEX(PP_Grid[#Data],$DE550,24),0)</f>
        <v/>
      </c>
      <c r="AB550">
        <f>IFERROR(INDEX(PP_Grid[#Data],$DE550,25),0)</f>
        <v/>
      </c>
      <c r="AC550">
        <f>IFERROR(INDEX(PP_Grid[#Data],$DE550,26),0)</f>
        <v/>
      </c>
      <c r="AD550">
        <f>IFERROR(INDEX(PP_Grid[#Data],$DE550,27),0)</f>
        <v/>
      </c>
      <c r="AE550">
        <f>IFERROR(INDEX(PP_Grid[#Data],$DE550,28),0)</f>
        <v/>
      </c>
      <c r="AF550">
        <f>IFERROR(INDEX(PP_Grid[#Data],$DE550,29),0)</f>
        <v/>
      </c>
      <c r="AG550">
        <f>IFERROR(INDEX(PP_Grid[#Data],$DE550,30),0)</f>
        <v/>
      </c>
      <c r="AH550">
        <f>IFERROR(INDEX(PP_Grid[#Data],$DE550,31),0)</f>
        <v/>
      </c>
      <c r="AI550">
        <f>IFERROR(INDEX(PP_Grid[#Data],$DE550,32),0)</f>
        <v/>
      </c>
      <c r="AJ550">
        <f>IFERROR(INDEX(PP_Grid[#Data],$DE550,33),0)</f>
        <v/>
      </c>
      <c r="AK550">
        <f>IFERROR(INDEX(PP_Grid[#Data],$DE550,34),0)</f>
        <v/>
      </c>
      <c r="AL550">
        <f>IFERROR(INDEX(PP_Grid[#Data],$DE550,35),0)</f>
        <v/>
      </c>
      <c r="AM550">
        <f>IFERROR(INDEX(PP_Grid[#Data],$DE550,36),0)</f>
        <v/>
      </c>
      <c r="AN550">
        <f>IFERROR(INDEX(PP_Grid[#Data],$DE550,37),0)</f>
        <v/>
      </c>
      <c r="AO550">
        <f>IFERROR(INDEX(PP_Grid[#Data],$DE550,38),0)</f>
        <v/>
      </c>
      <c r="AP550">
        <f>IFERROR(INDEX(PP_Grid[#Data],$DE550,39),0)</f>
        <v/>
      </c>
      <c r="AQ550">
        <f>IFERROR(INDEX(PP_Grid[#Data],$DE550,40),0)</f>
        <v/>
      </c>
      <c r="AR550">
        <f>IFERROR(INDEX(PP_Grid[#Data],$DE550,41),0)</f>
        <v/>
      </c>
      <c r="AS550">
        <f>IFERROR(INDEX(PP_Grid[#Data],$DE550,42),0)</f>
        <v/>
      </c>
      <c r="AT550">
        <f>IFERROR(INDEX(PP_Grid[#Data],$DE550,43),0)</f>
        <v/>
      </c>
      <c r="AU550">
        <f>IFERROR(INDEX(PP_Grid[#Data],$DE550,44),0)</f>
        <v/>
      </c>
      <c r="AV550">
        <f>IFERROR(INDEX(PP_Grid[#Data],$DE550,45),0)</f>
        <v/>
      </c>
      <c r="AW550">
        <f>IFERROR(INDEX(PP_Grid[#Data],$DE550,46),0)</f>
        <v/>
      </c>
      <c r="AX550">
        <f>IFERROR(INDEX(PP_Grid[#Data],$DE550,47),0)</f>
        <v/>
      </c>
      <c r="AY550">
        <f>IFERROR(INDEX(PP_Grid[#Data],$DE550,48),0)</f>
        <v/>
      </c>
      <c r="AZ550">
        <f>IFERROR(INDEX(PP_Grid[#Data],$DE550,49),0)</f>
        <v/>
      </c>
      <c r="BA550">
        <f>IFERROR(INDEX(PP_Grid[#Data],$DE550,50),0)</f>
        <v/>
      </c>
      <c r="BB550">
        <f>IFERROR(INDEX(PP_Grid[#Data],$DE550,51),0)</f>
        <v/>
      </c>
      <c r="BC550">
        <f>IFERROR(INDEX(PP_Grid[#Data],$DE550,52),0)</f>
        <v/>
      </c>
      <c r="BD550">
        <f>IFERROR(INDEX(PP_Grid[#Data],$DE550,53),0)</f>
        <v/>
      </c>
      <c r="BE550">
        <f>IFERROR(INDEX(PP_Grid[#Data],$DE550,54),0)</f>
        <v/>
      </c>
      <c r="BF550">
        <f>IFERROR(INDEX(PP_Grid[#Data],$DE550,55),0)</f>
        <v/>
      </c>
      <c r="BG550">
        <f>IFERROR(INDEX(PP_Grid[#Data],$DE550,56),0)</f>
        <v/>
      </c>
      <c r="BH550">
        <f>IFERROR(INDEX(PP_Grid[#Data],$DE550,57),0)</f>
        <v/>
      </c>
      <c r="BI550">
        <f>IFERROR(INDEX(PP_Grid[#Data],$DE550,58),0)</f>
        <v/>
      </c>
      <c r="BJ550">
        <f>IFERROR(INDEX(PP_Grid[#Data],$DE550,59),0)</f>
        <v/>
      </c>
      <c r="BK550">
        <f>IFERROR(INDEX(PP_Grid[#Data],$DE550,60),0)</f>
        <v/>
      </c>
      <c r="BL550">
        <f>IFERROR(INDEX(PP_Grid[#Data],$DE550,61),0)</f>
        <v/>
      </c>
      <c r="BM550">
        <f>IFERROR(INDEX(PP_Grid[#Data],$DE550,62),0)</f>
        <v/>
      </c>
      <c r="BN550">
        <f>IFERROR(INDEX(PP_Grid[#Data],$DE550,63),0)</f>
        <v/>
      </c>
      <c r="BO550">
        <f>IFERROR(INDEX(PP_Grid[#Data],$DE550,64),0)</f>
        <v/>
      </c>
      <c r="BP550">
        <f>IFERROR(INDEX(PP_Grid[#Data],$DE550,65),0)</f>
        <v/>
      </c>
      <c r="BQ550">
        <f>IFERROR(INDEX(PP_Grid[#Data],$DE550,66),0)</f>
        <v/>
      </c>
      <c r="BR550">
        <f>IFERROR(INDEX(PP_Grid[#Data],$DE550,67),0)</f>
        <v/>
      </c>
      <c r="BS550">
        <f>IFERROR(INDEX(PP_Grid[#Data],$DE550,68),0)</f>
        <v/>
      </c>
      <c r="BT550">
        <f>IFERROR(INDEX(PP_Grid[#Data],$DE550,69),0)</f>
        <v/>
      </c>
      <c r="BU550">
        <f>IFERROR(INDEX(PP_Grid[#Data],$DE550,70),0)</f>
        <v/>
      </c>
      <c r="BV550">
        <f>IFERROR(INDEX(PP_Grid[#Data],$DE550,71),0)</f>
        <v/>
      </c>
      <c r="BW550">
        <f>IFERROR(INDEX(PP_Grid[#Data],$DE550,72),0)</f>
        <v/>
      </c>
      <c r="BX550">
        <f>IFERROR(INDEX(PP_Grid[#Data],$DE550,73),0)</f>
        <v/>
      </c>
      <c r="BY550">
        <f>IFERROR(INDEX(PP_Grid[#Data],$DE550,74),0)</f>
        <v/>
      </c>
      <c r="BZ550">
        <f>IFERROR(INDEX(PP_Grid[#Data],$DE550,75),0)</f>
        <v/>
      </c>
      <c r="CA550">
        <f>IFERROR(INDEX(PP_Grid[#Data],$DE550,76),0)</f>
        <v/>
      </c>
      <c r="CB550">
        <f>IFERROR(INDEX(PP_Grid[#Data],$DE550,77),0)</f>
        <v/>
      </c>
      <c r="CC550">
        <f>IFERROR(INDEX(PP_Grid[#Data],$DE550,78),0)</f>
        <v/>
      </c>
      <c r="CD550">
        <f>IFERROR(INDEX(PP_Grid[#Data],$DE550,79),0)</f>
        <v/>
      </c>
      <c r="CE550">
        <f>IFERROR(INDEX(PP_Grid[#Data],$DE550,80),0)</f>
        <v/>
      </c>
      <c r="CF550">
        <f>IFERROR(INDEX(PP_Grid[#Data],$DE550,81),0)</f>
        <v/>
      </c>
      <c r="CG550">
        <f>IFERROR(INDEX(PP_Grid[#Data],$DE550,82),0)</f>
        <v/>
      </c>
      <c r="CH550">
        <f>IFERROR(INDEX(PP_Grid[#Data],$DE550,83),0)</f>
        <v/>
      </c>
      <c r="CI550">
        <f>IFERROR(INDEX(PP_Grid[#Data],$DE550,84),0)</f>
        <v/>
      </c>
      <c r="CJ550">
        <f>IFERROR(INDEX(PP_Grid[#Data],$DE550,85),0)</f>
        <v/>
      </c>
      <c r="CK550">
        <f>IFERROR(INDEX(PP_Grid[#Data],$DE550,86),0)</f>
        <v/>
      </c>
      <c r="CL550">
        <f>IFERROR(INDEX(PP_Grid[#Data],$DE550,87),0)</f>
        <v/>
      </c>
      <c r="CM550">
        <f>IFERROR(INDEX(PP_Grid[#Data],$DE550,88),0)</f>
        <v/>
      </c>
      <c r="CN550">
        <f>IFERROR(INDEX(PP_Grid[#Data],$DE550,89),0)</f>
        <v/>
      </c>
      <c r="CO550">
        <f>IFERROR(INDEX(PP_Grid[#Data],$DE550,90),0)</f>
        <v/>
      </c>
      <c r="CP550">
        <f>IFERROR(INDEX(PP_Grid[#Data],$DE550,91),0)</f>
        <v/>
      </c>
      <c r="CQ550">
        <f>IFERROR(INDEX(PP_Grid[#Data],$DE550,92),0)</f>
        <v/>
      </c>
      <c r="CR550">
        <f>IFERROR(INDEX(PP_Grid[#Data],$DE550,93),0)</f>
        <v/>
      </c>
      <c r="CS550">
        <f>IFERROR(INDEX(PP_Grid[#Data],$DE550,94),0)</f>
        <v/>
      </c>
      <c r="CT550">
        <f>IFERROR(INDEX(PP_Grid[#Data],$DE550,95),0)</f>
        <v/>
      </c>
      <c r="CU550">
        <f>IFERROR(INDEX(PP_Grid[#Data],$DE550,96),0)</f>
        <v/>
      </c>
      <c r="CV550">
        <f>IFERROR(INDEX(PP_Grid[#Data],$DE550,97),0)</f>
        <v/>
      </c>
      <c r="CW550">
        <f>IFERROR(INDEX(PP_Grid[#Data],$DE550,98),0)</f>
        <v/>
      </c>
      <c r="CX550">
        <f>IFERROR(INDEX(PP_Grid[#Data],$DE550,99),0)</f>
        <v/>
      </c>
      <c r="CY550">
        <f>IFERROR(INDEX(PP_Grid[#Data],$DE550,100),0)</f>
        <v/>
      </c>
      <c r="CZ550">
        <f>IFERROR(INDEX(PP_Grid[#Data],$DE550,101),0)</f>
        <v/>
      </c>
      <c r="DA550">
        <f>IFERROR(INDEX(PP_Grid[#Data],$DE550,102),0)</f>
        <v/>
      </c>
      <c r="DB550">
        <f>IFERROR(INDEX(PP_Grid[#Data],$DE550,103),0)</f>
        <v/>
      </c>
      <c r="DC550">
        <f>IFERROR(INDEX(PP_Grid[#Data],$DE550,104),0)</f>
        <v/>
      </c>
      <c r="DD550">
        <f>IFERROR(INDEX(PP_Grid[#Data],$DE550,105),0)</f>
        <v/>
      </c>
      <c r="DE550" s="7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SUMIFS(M_BOM[RM_Qty_Per_Batch],M_BOM[Intermediate],$B550,M_BOM[RM_Code],$A497)</f>
        <v/>
      </c>
      <c r="D551">
        <f>IFERROR(INDEX(E551:DD551,$F$1),"")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  <c r="DD551">
        <f>$C551*DD550</f>
        <v/>
      </c>
    </row>
    <row r="552">
      <c r="B552" t="inlineStr">
        <is>
          <t>TSP-928</t>
        </is>
      </c>
      <c r="C552" t="inlineStr">
        <is>
          <t>No. of batches</t>
        </is>
      </c>
      <c r="D552">
        <f>IFERROR(INDEX(E552:DD552,$F$1),"")</f>
        <v/>
      </c>
      <c r="E552">
        <f>IFERROR(INDEX(PP_Grid[#Data],$DE552,2),0)</f>
        <v/>
      </c>
      <c r="F552">
        <f>IFERROR(INDEX(PP_Grid[#Data],$DE552,3),0)</f>
        <v/>
      </c>
      <c r="G552">
        <f>IFERROR(INDEX(PP_Grid[#Data],$DE552,4),0)</f>
        <v/>
      </c>
      <c r="H552">
        <f>IFERROR(INDEX(PP_Grid[#Data],$DE552,5),0)</f>
        <v/>
      </c>
      <c r="I552">
        <f>IFERROR(INDEX(PP_Grid[#Data],$DE552,6),0)</f>
        <v/>
      </c>
      <c r="J552">
        <f>IFERROR(INDEX(PP_Grid[#Data],$DE552,7),0)</f>
        <v/>
      </c>
      <c r="K552">
        <f>IFERROR(INDEX(PP_Grid[#Data],$DE552,8),0)</f>
        <v/>
      </c>
      <c r="L552">
        <f>IFERROR(INDEX(PP_Grid[#Data],$DE552,9),0)</f>
        <v/>
      </c>
      <c r="M552">
        <f>IFERROR(INDEX(PP_Grid[#Data],$DE552,10),0)</f>
        <v/>
      </c>
      <c r="N552">
        <f>IFERROR(INDEX(PP_Grid[#Data],$DE552,11),0)</f>
        <v/>
      </c>
      <c r="O552">
        <f>IFERROR(INDEX(PP_Grid[#Data],$DE552,12),0)</f>
        <v/>
      </c>
      <c r="P552">
        <f>IFERROR(INDEX(PP_Grid[#Data],$DE552,13),0)</f>
        <v/>
      </c>
      <c r="Q552">
        <f>IFERROR(INDEX(PP_Grid[#Data],$DE552,14),0)</f>
        <v/>
      </c>
      <c r="R552">
        <f>IFERROR(INDEX(PP_Grid[#Data],$DE552,15),0)</f>
        <v/>
      </c>
      <c r="S552">
        <f>IFERROR(INDEX(PP_Grid[#Data],$DE552,16),0)</f>
        <v/>
      </c>
      <c r="T552">
        <f>IFERROR(INDEX(PP_Grid[#Data],$DE552,17),0)</f>
        <v/>
      </c>
      <c r="U552">
        <f>IFERROR(INDEX(PP_Grid[#Data],$DE552,18),0)</f>
        <v/>
      </c>
      <c r="V552">
        <f>IFERROR(INDEX(PP_Grid[#Data],$DE552,19),0)</f>
        <v/>
      </c>
      <c r="W552">
        <f>IFERROR(INDEX(PP_Grid[#Data],$DE552,20),0)</f>
        <v/>
      </c>
      <c r="X552">
        <f>IFERROR(INDEX(PP_Grid[#Data],$DE552,21),0)</f>
        <v/>
      </c>
      <c r="Y552">
        <f>IFERROR(INDEX(PP_Grid[#Data],$DE552,22),0)</f>
        <v/>
      </c>
      <c r="Z552">
        <f>IFERROR(INDEX(PP_Grid[#Data],$DE552,23),0)</f>
        <v/>
      </c>
      <c r="AA552">
        <f>IFERROR(INDEX(PP_Grid[#Data],$DE552,24),0)</f>
        <v/>
      </c>
      <c r="AB552">
        <f>IFERROR(INDEX(PP_Grid[#Data],$DE552,25),0)</f>
        <v/>
      </c>
      <c r="AC552">
        <f>IFERROR(INDEX(PP_Grid[#Data],$DE552,26),0)</f>
        <v/>
      </c>
      <c r="AD552">
        <f>IFERROR(INDEX(PP_Grid[#Data],$DE552,27),0)</f>
        <v/>
      </c>
      <c r="AE552">
        <f>IFERROR(INDEX(PP_Grid[#Data],$DE552,28),0)</f>
        <v/>
      </c>
      <c r="AF552">
        <f>IFERROR(INDEX(PP_Grid[#Data],$DE552,29),0)</f>
        <v/>
      </c>
      <c r="AG552">
        <f>IFERROR(INDEX(PP_Grid[#Data],$DE552,30),0)</f>
        <v/>
      </c>
      <c r="AH552">
        <f>IFERROR(INDEX(PP_Grid[#Data],$DE552,31),0)</f>
        <v/>
      </c>
      <c r="AI552">
        <f>IFERROR(INDEX(PP_Grid[#Data],$DE552,32),0)</f>
        <v/>
      </c>
      <c r="AJ552">
        <f>IFERROR(INDEX(PP_Grid[#Data],$DE552,33),0)</f>
        <v/>
      </c>
      <c r="AK552">
        <f>IFERROR(INDEX(PP_Grid[#Data],$DE552,34),0)</f>
        <v/>
      </c>
      <c r="AL552">
        <f>IFERROR(INDEX(PP_Grid[#Data],$DE552,35),0)</f>
        <v/>
      </c>
      <c r="AM552">
        <f>IFERROR(INDEX(PP_Grid[#Data],$DE552,36),0)</f>
        <v/>
      </c>
      <c r="AN552">
        <f>IFERROR(INDEX(PP_Grid[#Data],$DE552,37),0)</f>
        <v/>
      </c>
      <c r="AO552">
        <f>IFERROR(INDEX(PP_Grid[#Data],$DE552,38),0)</f>
        <v/>
      </c>
      <c r="AP552">
        <f>IFERROR(INDEX(PP_Grid[#Data],$DE552,39),0)</f>
        <v/>
      </c>
      <c r="AQ552">
        <f>IFERROR(INDEX(PP_Grid[#Data],$DE552,40),0)</f>
        <v/>
      </c>
      <c r="AR552">
        <f>IFERROR(INDEX(PP_Grid[#Data],$DE552,41),0)</f>
        <v/>
      </c>
      <c r="AS552">
        <f>IFERROR(INDEX(PP_Grid[#Data],$DE552,42),0)</f>
        <v/>
      </c>
      <c r="AT552">
        <f>IFERROR(INDEX(PP_Grid[#Data],$DE552,43),0)</f>
        <v/>
      </c>
      <c r="AU552">
        <f>IFERROR(INDEX(PP_Grid[#Data],$DE552,44),0)</f>
        <v/>
      </c>
      <c r="AV552">
        <f>IFERROR(INDEX(PP_Grid[#Data],$DE552,45),0)</f>
        <v/>
      </c>
      <c r="AW552">
        <f>IFERROR(INDEX(PP_Grid[#Data],$DE552,46),0)</f>
        <v/>
      </c>
      <c r="AX552">
        <f>IFERROR(INDEX(PP_Grid[#Data],$DE552,47),0)</f>
        <v/>
      </c>
      <c r="AY552">
        <f>IFERROR(INDEX(PP_Grid[#Data],$DE552,48),0)</f>
        <v/>
      </c>
      <c r="AZ552">
        <f>IFERROR(INDEX(PP_Grid[#Data],$DE552,49),0)</f>
        <v/>
      </c>
      <c r="BA552">
        <f>IFERROR(INDEX(PP_Grid[#Data],$DE552,50),0)</f>
        <v/>
      </c>
      <c r="BB552">
        <f>IFERROR(INDEX(PP_Grid[#Data],$DE552,51),0)</f>
        <v/>
      </c>
      <c r="BC552">
        <f>IFERROR(INDEX(PP_Grid[#Data],$DE552,52),0)</f>
        <v/>
      </c>
      <c r="BD552">
        <f>IFERROR(INDEX(PP_Grid[#Data],$DE552,53),0)</f>
        <v/>
      </c>
      <c r="BE552">
        <f>IFERROR(INDEX(PP_Grid[#Data],$DE552,54),0)</f>
        <v/>
      </c>
      <c r="BF552">
        <f>IFERROR(INDEX(PP_Grid[#Data],$DE552,55),0)</f>
        <v/>
      </c>
      <c r="BG552">
        <f>IFERROR(INDEX(PP_Grid[#Data],$DE552,56),0)</f>
        <v/>
      </c>
      <c r="BH552">
        <f>IFERROR(INDEX(PP_Grid[#Data],$DE552,57),0)</f>
        <v/>
      </c>
      <c r="BI552">
        <f>IFERROR(INDEX(PP_Grid[#Data],$DE552,58),0)</f>
        <v/>
      </c>
      <c r="BJ552">
        <f>IFERROR(INDEX(PP_Grid[#Data],$DE552,59),0)</f>
        <v/>
      </c>
      <c r="BK552">
        <f>IFERROR(INDEX(PP_Grid[#Data],$DE552,60),0)</f>
        <v/>
      </c>
      <c r="BL552">
        <f>IFERROR(INDEX(PP_Grid[#Data],$DE552,61),0)</f>
        <v/>
      </c>
      <c r="BM552">
        <f>IFERROR(INDEX(PP_Grid[#Data],$DE552,62),0)</f>
        <v/>
      </c>
      <c r="BN552">
        <f>IFERROR(INDEX(PP_Grid[#Data],$DE552,63),0)</f>
        <v/>
      </c>
      <c r="BO552">
        <f>IFERROR(INDEX(PP_Grid[#Data],$DE552,64),0)</f>
        <v/>
      </c>
      <c r="BP552">
        <f>IFERROR(INDEX(PP_Grid[#Data],$DE552,65),0)</f>
        <v/>
      </c>
      <c r="BQ552">
        <f>IFERROR(INDEX(PP_Grid[#Data],$DE552,66),0)</f>
        <v/>
      </c>
      <c r="BR552">
        <f>IFERROR(INDEX(PP_Grid[#Data],$DE552,67),0)</f>
        <v/>
      </c>
      <c r="BS552">
        <f>IFERROR(INDEX(PP_Grid[#Data],$DE552,68),0)</f>
        <v/>
      </c>
      <c r="BT552">
        <f>IFERROR(INDEX(PP_Grid[#Data],$DE552,69),0)</f>
        <v/>
      </c>
      <c r="BU552">
        <f>IFERROR(INDEX(PP_Grid[#Data],$DE552,70),0)</f>
        <v/>
      </c>
      <c r="BV552">
        <f>IFERROR(INDEX(PP_Grid[#Data],$DE552,71),0)</f>
        <v/>
      </c>
      <c r="BW552">
        <f>IFERROR(INDEX(PP_Grid[#Data],$DE552,72),0)</f>
        <v/>
      </c>
      <c r="BX552">
        <f>IFERROR(INDEX(PP_Grid[#Data],$DE552,73),0)</f>
        <v/>
      </c>
      <c r="BY552">
        <f>IFERROR(INDEX(PP_Grid[#Data],$DE552,74),0)</f>
        <v/>
      </c>
      <c r="BZ552">
        <f>IFERROR(INDEX(PP_Grid[#Data],$DE552,75),0)</f>
        <v/>
      </c>
      <c r="CA552">
        <f>IFERROR(INDEX(PP_Grid[#Data],$DE552,76),0)</f>
        <v/>
      </c>
      <c r="CB552">
        <f>IFERROR(INDEX(PP_Grid[#Data],$DE552,77),0)</f>
        <v/>
      </c>
      <c r="CC552">
        <f>IFERROR(INDEX(PP_Grid[#Data],$DE552,78),0)</f>
        <v/>
      </c>
      <c r="CD552">
        <f>IFERROR(INDEX(PP_Grid[#Data],$DE552,79),0)</f>
        <v/>
      </c>
      <c r="CE552">
        <f>IFERROR(INDEX(PP_Grid[#Data],$DE552,80),0)</f>
        <v/>
      </c>
      <c r="CF552">
        <f>IFERROR(INDEX(PP_Grid[#Data],$DE552,81),0)</f>
        <v/>
      </c>
      <c r="CG552">
        <f>IFERROR(INDEX(PP_Grid[#Data],$DE552,82),0)</f>
        <v/>
      </c>
      <c r="CH552">
        <f>IFERROR(INDEX(PP_Grid[#Data],$DE552,83),0)</f>
        <v/>
      </c>
      <c r="CI552">
        <f>IFERROR(INDEX(PP_Grid[#Data],$DE552,84),0)</f>
        <v/>
      </c>
      <c r="CJ552">
        <f>IFERROR(INDEX(PP_Grid[#Data],$DE552,85),0)</f>
        <v/>
      </c>
      <c r="CK552">
        <f>IFERROR(INDEX(PP_Grid[#Data],$DE552,86),0)</f>
        <v/>
      </c>
      <c r="CL552">
        <f>IFERROR(INDEX(PP_Grid[#Data],$DE552,87),0)</f>
        <v/>
      </c>
      <c r="CM552">
        <f>IFERROR(INDEX(PP_Grid[#Data],$DE552,88),0)</f>
        <v/>
      </c>
      <c r="CN552">
        <f>IFERROR(INDEX(PP_Grid[#Data],$DE552,89),0)</f>
        <v/>
      </c>
      <c r="CO552">
        <f>IFERROR(INDEX(PP_Grid[#Data],$DE552,90),0)</f>
        <v/>
      </c>
      <c r="CP552">
        <f>IFERROR(INDEX(PP_Grid[#Data],$DE552,91),0)</f>
        <v/>
      </c>
      <c r="CQ552">
        <f>IFERROR(INDEX(PP_Grid[#Data],$DE552,92),0)</f>
        <v/>
      </c>
      <c r="CR552">
        <f>IFERROR(INDEX(PP_Grid[#Data],$DE552,93),0)</f>
        <v/>
      </c>
      <c r="CS552">
        <f>IFERROR(INDEX(PP_Grid[#Data],$DE552,94),0)</f>
        <v/>
      </c>
      <c r="CT552">
        <f>IFERROR(INDEX(PP_Grid[#Data],$DE552,95),0)</f>
        <v/>
      </c>
      <c r="CU552">
        <f>IFERROR(INDEX(PP_Grid[#Data],$DE552,96),0)</f>
        <v/>
      </c>
      <c r="CV552">
        <f>IFERROR(INDEX(PP_Grid[#Data],$DE552,97),0)</f>
        <v/>
      </c>
      <c r="CW552">
        <f>IFERROR(INDEX(PP_Grid[#Data],$DE552,98),0)</f>
        <v/>
      </c>
      <c r="CX552">
        <f>IFERROR(INDEX(PP_Grid[#Data],$DE552,99),0)</f>
        <v/>
      </c>
      <c r="CY552">
        <f>IFERROR(INDEX(PP_Grid[#Data],$DE552,100),0)</f>
        <v/>
      </c>
      <c r="CZ552">
        <f>IFERROR(INDEX(PP_Grid[#Data],$DE552,101),0)</f>
        <v/>
      </c>
      <c r="DA552">
        <f>IFERROR(INDEX(PP_Grid[#Data],$DE552,102),0)</f>
        <v/>
      </c>
      <c r="DB552">
        <f>IFERROR(INDEX(PP_Grid[#Data],$DE552,103),0)</f>
        <v/>
      </c>
      <c r="DC552">
        <f>IFERROR(INDEX(PP_Grid[#Data],$DE552,104),0)</f>
        <v/>
      </c>
      <c r="DD552">
        <f>IFERROR(INDEX(PP_Grid[#Data],$DE552,105),0)</f>
        <v/>
      </c>
      <c r="DE552" s="7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SUMIFS(M_BOM[RM_Qty_Per_Batch],M_BOM[Intermediate],$B552,M_BOM[RM_Code],$A497)</f>
        <v/>
      </c>
      <c r="D553">
        <f>IFERROR(INDEX(E553:DD553,$F$1),"")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  <c r="DD553">
        <f>$C553*DD552</f>
        <v/>
      </c>
    </row>
    <row r="554">
      <c r="B554" t="inlineStr">
        <is>
          <t>TSP-929</t>
        </is>
      </c>
      <c r="C554" t="inlineStr">
        <is>
          <t>No. of batches</t>
        </is>
      </c>
      <c r="D554">
        <f>IFERROR(INDEX(E554:DD554,$F$1),"")</f>
        <v/>
      </c>
      <c r="E554">
        <f>IFERROR(INDEX(PP_Grid[#Data],$DE554,2),0)</f>
        <v/>
      </c>
      <c r="F554">
        <f>IFERROR(INDEX(PP_Grid[#Data],$DE554,3),0)</f>
        <v/>
      </c>
      <c r="G554">
        <f>IFERROR(INDEX(PP_Grid[#Data],$DE554,4),0)</f>
        <v/>
      </c>
      <c r="H554">
        <f>IFERROR(INDEX(PP_Grid[#Data],$DE554,5),0)</f>
        <v/>
      </c>
      <c r="I554">
        <f>IFERROR(INDEX(PP_Grid[#Data],$DE554,6),0)</f>
        <v/>
      </c>
      <c r="J554">
        <f>IFERROR(INDEX(PP_Grid[#Data],$DE554,7),0)</f>
        <v/>
      </c>
      <c r="K554">
        <f>IFERROR(INDEX(PP_Grid[#Data],$DE554,8),0)</f>
        <v/>
      </c>
      <c r="L554">
        <f>IFERROR(INDEX(PP_Grid[#Data],$DE554,9),0)</f>
        <v/>
      </c>
      <c r="M554">
        <f>IFERROR(INDEX(PP_Grid[#Data],$DE554,10),0)</f>
        <v/>
      </c>
      <c r="N554">
        <f>IFERROR(INDEX(PP_Grid[#Data],$DE554,11),0)</f>
        <v/>
      </c>
      <c r="O554">
        <f>IFERROR(INDEX(PP_Grid[#Data],$DE554,12),0)</f>
        <v/>
      </c>
      <c r="P554">
        <f>IFERROR(INDEX(PP_Grid[#Data],$DE554,13),0)</f>
        <v/>
      </c>
      <c r="Q554">
        <f>IFERROR(INDEX(PP_Grid[#Data],$DE554,14),0)</f>
        <v/>
      </c>
      <c r="R554">
        <f>IFERROR(INDEX(PP_Grid[#Data],$DE554,15),0)</f>
        <v/>
      </c>
      <c r="S554">
        <f>IFERROR(INDEX(PP_Grid[#Data],$DE554,16),0)</f>
        <v/>
      </c>
      <c r="T554">
        <f>IFERROR(INDEX(PP_Grid[#Data],$DE554,17),0)</f>
        <v/>
      </c>
      <c r="U554">
        <f>IFERROR(INDEX(PP_Grid[#Data],$DE554,18),0)</f>
        <v/>
      </c>
      <c r="V554">
        <f>IFERROR(INDEX(PP_Grid[#Data],$DE554,19),0)</f>
        <v/>
      </c>
      <c r="W554">
        <f>IFERROR(INDEX(PP_Grid[#Data],$DE554,20),0)</f>
        <v/>
      </c>
      <c r="X554">
        <f>IFERROR(INDEX(PP_Grid[#Data],$DE554,21),0)</f>
        <v/>
      </c>
      <c r="Y554">
        <f>IFERROR(INDEX(PP_Grid[#Data],$DE554,22),0)</f>
        <v/>
      </c>
      <c r="Z554">
        <f>IFERROR(INDEX(PP_Grid[#Data],$DE554,23),0)</f>
        <v/>
      </c>
      <c r="AA554">
        <f>IFERROR(INDEX(PP_Grid[#Data],$DE554,24),0)</f>
        <v/>
      </c>
      <c r="AB554">
        <f>IFERROR(INDEX(PP_Grid[#Data],$DE554,25),0)</f>
        <v/>
      </c>
      <c r="AC554">
        <f>IFERROR(INDEX(PP_Grid[#Data],$DE554,26),0)</f>
        <v/>
      </c>
      <c r="AD554">
        <f>IFERROR(INDEX(PP_Grid[#Data],$DE554,27),0)</f>
        <v/>
      </c>
      <c r="AE554">
        <f>IFERROR(INDEX(PP_Grid[#Data],$DE554,28),0)</f>
        <v/>
      </c>
      <c r="AF554">
        <f>IFERROR(INDEX(PP_Grid[#Data],$DE554,29),0)</f>
        <v/>
      </c>
      <c r="AG554">
        <f>IFERROR(INDEX(PP_Grid[#Data],$DE554,30),0)</f>
        <v/>
      </c>
      <c r="AH554">
        <f>IFERROR(INDEX(PP_Grid[#Data],$DE554,31),0)</f>
        <v/>
      </c>
      <c r="AI554">
        <f>IFERROR(INDEX(PP_Grid[#Data],$DE554,32),0)</f>
        <v/>
      </c>
      <c r="AJ554">
        <f>IFERROR(INDEX(PP_Grid[#Data],$DE554,33),0)</f>
        <v/>
      </c>
      <c r="AK554">
        <f>IFERROR(INDEX(PP_Grid[#Data],$DE554,34),0)</f>
        <v/>
      </c>
      <c r="AL554">
        <f>IFERROR(INDEX(PP_Grid[#Data],$DE554,35),0)</f>
        <v/>
      </c>
      <c r="AM554">
        <f>IFERROR(INDEX(PP_Grid[#Data],$DE554,36),0)</f>
        <v/>
      </c>
      <c r="AN554">
        <f>IFERROR(INDEX(PP_Grid[#Data],$DE554,37),0)</f>
        <v/>
      </c>
      <c r="AO554">
        <f>IFERROR(INDEX(PP_Grid[#Data],$DE554,38),0)</f>
        <v/>
      </c>
      <c r="AP554">
        <f>IFERROR(INDEX(PP_Grid[#Data],$DE554,39),0)</f>
        <v/>
      </c>
      <c r="AQ554">
        <f>IFERROR(INDEX(PP_Grid[#Data],$DE554,40),0)</f>
        <v/>
      </c>
      <c r="AR554">
        <f>IFERROR(INDEX(PP_Grid[#Data],$DE554,41),0)</f>
        <v/>
      </c>
      <c r="AS554">
        <f>IFERROR(INDEX(PP_Grid[#Data],$DE554,42),0)</f>
        <v/>
      </c>
      <c r="AT554">
        <f>IFERROR(INDEX(PP_Grid[#Data],$DE554,43),0)</f>
        <v/>
      </c>
      <c r="AU554">
        <f>IFERROR(INDEX(PP_Grid[#Data],$DE554,44),0)</f>
        <v/>
      </c>
      <c r="AV554">
        <f>IFERROR(INDEX(PP_Grid[#Data],$DE554,45),0)</f>
        <v/>
      </c>
      <c r="AW554">
        <f>IFERROR(INDEX(PP_Grid[#Data],$DE554,46),0)</f>
        <v/>
      </c>
      <c r="AX554">
        <f>IFERROR(INDEX(PP_Grid[#Data],$DE554,47),0)</f>
        <v/>
      </c>
      <c r="AY554">
        <f>IFERROR(INDEX(PP_Grid[#Data],$DE554,48),0)</f>
        <v/>
      </c>
      <c r="AZ554">
        <f>IFERROR(INDEX(PP_Grid[#Data],$DE554,49),0)</f>
        <v/>
      </c>
      <c r="BA554">
        <f>IFERROR(INDEX(PP_Grid[#Data],$DE554,50),0)</f>
        <v/>
      </c>
      <c r="BB554">
        <f>IFERROR(INDEX(PP_Grid[#Data],$DE554,51),0)</f>
        <v/>
      </c>
      <c r="BC554">
        <f>IFERROR(INDEX(PP_Grid[#Data],$DE554,52),0)</f>
        <v/>
      </c>
      <c r="BD554">
        <f>IFERROR(INDEX(PP_Grid[#Data],$DE554,53),0)</f>
        <v/>
      </c>
      <c r="BE554">
        <f>IFERROR(INDEX(PP_Grid[#Data],$DE554,54),0)</f>
        <v/>
      </c>
      <c r="BF554">
        <f>IFERROR(INDEX(PP_Grid[#Data],$DE554,55),0)</f>
        <v/>
      </c>
      <c r="BG554">
        <f>IFERROR(INDEX(PP_Grid[#Data],$DE554,56),0)</f>
        <v/>
      </c>
      <c r="BH554">
        <f>IFERROR(INDEX(PP_Grid[#Data],$DE554,57),0)</f>
        <v/>
      </c>
      <c r="BI554">
        <f>IFERROR(INDEX(PP_Grid[#Data],$DE554,58),0)</f>
        <v/>
      </c>
      <c r="BJ554">
        <f>IFERROR(INDEX(PP_Grid[#Data],$DE554,59),0)</f>
        <v/>
      </c>
      <c r="BK554">
        <f>IFERROR(INDEX(PP_Grid[#Data],$DE554,60),0)</f>
        <v/>
      </c>
      <c r="BL554">
        <f>IFERROR(INDEX(PP_Grid[#Data],$DE554,61),0)</f>
        <v/>
      </c>
      <c r="BM554">
        <f>IFERROR(INDEX(PP_Grid[#Data],$DE554,62),0)</f>
        <v/>
      </c>
      <c r="BN554">
        <f>IFERROR(INDEX(PP_Grid[#Data],$DE554,63),0)</f>
        <v/>
      </c>
      <c r="BO554">
        <f>IFERROR(INDEX(PP_Grid[#Data],$DE554,64),0)</f>
        <v/>
      </c>
      <c r="BP554">
        <f>IFERROR(INDEX(PP_Grid[#Data],$DE554,65),0)</f>
        <v/>
      </c>
      <c r="BQ554">
        <f>IFERROR(INDEX(PP_Grid[#Data],$DE554,66),0)</f>
        <v/>
      </c>
      <c r="BR554">
        <f>IFERROR(INDEX(PP_Grid[#Data],$DE554,67),0)</f>
        <v/>
      </c>
      <c r="BS554">
        <f>IFERROR(INDEX(PP_Grid[#Data],$DE554,68),0)</f>
        <v/>
      </c>
      <c r="BT554">
        <f>IFERROR(INDEX(PP_Grid[#Data],$DE554,69),0)</f>
        <v/>
      </c>
      <c r="BU554">
        <f>IFERROR(INDEX(PP_Grid[#Data],$DE554,70),0)</f>
        <v/>
      </c>
      <c r="BV554">
        <f>IFERROR(INDEX(PP_Grid[#Data],$DE554,71),0)</f>
        <v/>
      </c>
      <c r="BW554">
        <f>IFERROR(INDEX(PP_Grid[#Data],$DE554,72),0)</f>
        <v/>
      </c>
      <c r="BX554">
        <f>IFERROR(INDEX(PP_Grid[#Data],$DE554,73),0)</f>
        <v/>
      </c>
      <c r="BY554">
        <f>IFERROR(INDEX(PP_Grid[#Data],$DE554,74),0)</f>
        <v/>
      </c>
      <c r="BZ554">
        <f>IFERROR(INDEX(PP_Grid[#Data],$DE554,75),0)</f>
        <v/>
      </c>
      <c r="CA554">
        <f>IFERROR(INDEX(PP_Grid[#Data],$DE554,76),0)</f>
        <v/>
      </c>
      <c r="CB554">
        <f>IFERROR(INDEX(PP_Grid[#Data],$DE554,77),0)</f>
        <v/>
      </c>
      <c r="CC554">
        <f>IFERROR(INDEX(PP_Grid[#Data],$DE554,78),0)</f>
        <v/>
      </c>
      <c r="CD554">
        <f>IFERROR(INDEX(PP_Grid[#Data],$DE554,79),0)</f>
        <v/>
      </c>
      <c r="CE554">
        <f>IFERROR(INDEX(PP_Grid[#Data],$DE554,80),0)</f>
        <v/>
      </c>
      <c r="CF554">
        <f>IFERROR(INDEX(PP_Grid[#Data],$DE554,81),0)</f>
        <v/>
      </c>
      <c r="CG554">
        <f>IFERROR(INDEX(PP_Grid[#Data],$DE554,82),0)</f>
        <v/>
      </c>
      <c r="CH554">
        <f>IFERROR(INDEX(PP_Grid[#Data],$DE554,83),0)</f>
        <v/>
      </c>
      <c r="CI554">
        <f>IFERROR(INDEX(PP_Grid[#Data],$DE554,84),0)</f>
        <v/>
      </c>
      <c r="CJ554">
        <f>IFERROR(INDEX(PP_Grid[#Data],$DE554,85),0)</f>
        <v/>
      </c>
      <c r="CK554">
        <f>IFERROR(INDEX(PP_Grid[#Data],$DE554,86),0)</f>
        <v/>
      </c>
      <c r="CL554">
        <f>IFERROR(INDEX(PP_Grid[#Data],$DE554,87),0)</f>
        <v/>
      </c>
      <c r="CM554">
        <f>IFERROR(INDEX(PP_Grid[#Data],$DE554,88),0)</f>
        <v/>
      </c>
      <c r="CN554">
        <f>IFERROR(INDEX(PP_Grid[#Data],$DE554,89),0)</f>
        <v/>
      </c>
      <c r="CO554">
        <f>IFERROR(INDEX(PP_Grid[#Data],$DE554,90),0)</f>
        <v/>
      </c>
      <c r="CP554">
        <f>IFERROR(INDEX(PP_Grid[#Data],$DE554,91),0)</f>
        <v/>
      </c>
      <c r="CQ554">
        <f>IFERROR(INDEX(PP_Grid[#Data],$DE554,92),0)</f>
        <v/>
      </c>
      <c r="CR554">
        <f>IFERROR(INDEX(PP_Grid[#Data],$DE554,93),0)</f>
        <v/>
      </c>
      <c r="CS554">
        <f>IFERROR(INDEX(PP_Grid[#Data],$DE554,94),0)</f>
        <v/>
      </c>
      <c r="CT554">
        <f>IFERROR(INDEX(PP_Grid[#Data],$DE554,95),0)</f>
        <v/>
      </c>
      <c r="CU554">
        <f>IFERROR(INDEX(PP_Grid[#Data],$DE554,96),0)</f>
        <v/>
      </c>
      <c r="CV554">
        <f>IFERROR(INDEX(PP_Grid[#Data],$DE554,97),0)</f>
        <v/>
      </c>
      <c r="CW554">
        <f>IFERROR(INDEX(PP_Grid[#Data],$DE554,98),0)</f>
        <v/>
      </c>
      <c r="CX554">
        <f>IFERROR(INDEX(PP_Grid[#Data],$DE554,99),0)</f>
        <v/>
      </c>
      <c r="CY554">
        <f>IFERROR(INDEX(PP_Grid[#Data],$DE554,100),0)</f>
        <v/>
      </c>
      <c r="CZ554">
        <f>IFERROR(INDEX(PP_Grid[#Data],$DE554,101),0)</f>
        <v/>
      </c>
      <c r="DA554">
        <f>IFERROR(INDEX(PP_Grid[#Data],$DE554,102),0)</f>
        <v/>
      </c>
      <c r="DB554">
        <f>IFERROR(INDEX(PP_Grid[#Data],$DE554,103),0)</f>
        <v/>
      </c>
      <c r="DC554">
        <f>IFERROR(INDEX(PP_Grid[#Data],$DE554,104),0)</f>
        <v/>
      </c>
      <c r="DD554">
        <f>IFERROR(INDEX(PP_Grid[#Data],$DE554,105),0)</f>
        <v/>
      </c>
      <c r="DE554" s="7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SUMIFS(M_BOM[RM_Qty_Per_Batch],M_BOM[Intermediate],$B554,M_BOM[RM_Code],$A497)</f>
        <v/>
      </c>
      <c r="D555">
        <f>IFERROR(INDEX(E555:DD555,$F$1),"")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  <c r="DD555">
        <f>$C555*DD554</f>
        <v/>
      </c>
    </row>
    <row r="556">
      <c r="B556" t="inlineStr">
        <is>
          <t>TSP-930</t>
        </is>
      </c>
      <c r="C556" t="inlineStr">
        <is>
          <t>No. of batches</t>
        </is>
      </c>
      <c r="D556">
        <f>IFERROR(INDEX(E556:DD556,$F$1),"")</f>
        <v/>
      </c>
      <c r="E556">
        <f>IFERROR(INDEX(PP_Grid[#Data],$DE556,2),0)</f>
        <v/>
      </c>
      <c r="F556">
        <f>IFERROR(INDEX(PP_Grid[#Data],$DE556,3),0)</f>
        <v/>
      </c>
      <c r="G556">
        <f>IFERROR(INDEX(PP_Grid[#Data],$DE556,4),0)</f>
        <v/>
      </c>
      <c r="H556">
        <f>IFERROR(INDEX(PP_Grid[#Data],$DE556,5),0)</f>
        <v/>
      </c>
      <c r="I556">
        <f>IFERROR(INDEX(PP_Grid[#Data],$DE556,6),0)</f>
        <v/>
      </c>
      <c r="J556">
        <f>IFERROR(INDEX(PP_Grid[#Data],$DE556,7),0)</f>
        <v/>
      </c>
      <c r="K556">
        <f>IFERROR(INDEX(PP_Grid[#Data],$DE556,8),0)</f>
        <v/>
      </c>
      <c r="L556">
        <f>IFERROR(INDEX(PP_Grid[#Data],$DE556,9),0)</f>
        <v/>
      </c>
      <c r="M556">
        <f>IFERROR(INDEX(PP_Grid[#Data],$DE556,10),0)</f>
        <v/>
      </c>
      <c r="N556">
        <f>IFERROR(INDEX(PP_Grid[#Data],$DE556,11),0)</f>
        <v/>
      </c>
      <c r="O556">
        <f>IFERROR(INDEX(PP_Grid[#Data],$DE556,12),0)</f>
        <v/>
      </c>
      <c r="P556">
        <f>IFERROR(INDEX(PP_Grid[#Data],$DE556,13),0)</f>
        <v/>
      </c>
      <c r="Q556">
        <f>IFERROR(INDEX(PP_Grid[#Data],$DE556,14),0)</f>
        <v/>
      </c>
      <c r="R556">
        <f>IFERROR(INDEX(PP_Grid[#Data],$DE556,15),0)</f>
        <v/>
      </c>
      <c r="S556">
        <f>IFERROR(INDEX(PP_Grid[#Data],$DE556,16),0)</f>
        <v/>
      </c>
      <c r="T556">
        <f>IFERROR(INDEX(PP_Grid[#Data],$DE556,17),0)</f>
        <v/>
      </c>
      <c r="U556">
        <f>IFERROR(INDEX(PP_Grid[#Data],$DE556,18),0)</f>
        <v/>
      </c>
      <c r="V556">
        <f>IFERROR(INDEX(PP_Grid[#Data],$DE556,19),0)</f>
        <v/>
      </c>
      <c r="W556">
        <f>IFERROR(INDEX(PP_Grid[#Data],$DE556,20),0)</f>
        <v/>
      </c>
      <c r="X556">
        <f>IFERROR(INDEX(PP_Grid[#Data],$DE556,21),0)</f>
        <v/>
      </c>
      <c r="Y556">
        <f>IFERROR(INDEX(PP_Grid[#Data],$DE556,22),0)</f>
        <v/>
      </c>
      <c r="Z556">
        <f>IFERROR(INDEX(PP_Grid[#Data],$DE556,23),0)</f>
        <v/>
      </c>
      <c r="AA556">
        <f>IFERROR(INDEX(PP_Grid[#Data],$DE556,24),0)</f>
        <v/>
      </c>
      <c r="AB556">
        <f>IFERROR(INDEX(PP_Grid[#Data],$DE556,25),0)</f>
        <v/>
      </c>
      <c r="AC556">
        <f>IFERROR(INDEX(PP_Grid[#Data],$DE556,26),0)</f>
        <v/>
      </c>
      <c r="AD556">
        <f>IFERROR(INDEX(PP_Grid[#Data],$DE556,27),0)</f>
        <v/>
      </c>
      <c r="AE556">
        <f>IFERROR(INDEX(PP_Grid[#Data],$DE556,28),0)</f>
        <v/>
      </c>
      <c r="AF556">
        <f>IFERROR(INDEX(PP_Grid[#Data],$DE556,29),0)</f>
        <v/>
      </c>
      <c r="AG556">
        <f>IFERROR(INDEX(PP_Grid[#Data],$DE556,30),0)</f>
        <v/>
      </c>
      <c r="AH556">
        <f>IFERROR(INDEX(PP_Grid[#Data],$DE556,31),0)</f>
        <v/>
      </c>
      <c r="AI556">
        <f>IFERROR(INDEX(PP_Grid[#Data],$DE556,32),0)</f>
        <v/>
      </c>
      <c r="AJ556">
        <f>IFERROR(INDEX(PP_Grid[#Data],$DE556,33),0)</f>
        <v/>
      </c>
      <c r="AK556">
        <f>IFERROR(INDEX(PP_Grid[#Data],$DE556,34),0)</f>
        <v/>
      </c>
      <c r="AL556">
        <f>IFERROR(INDEX(PP_Grid[#Data],$DE556,35),0)</f>
        <v/>
      </c>
      <c r="AM556">
        <f>IFERROR(INDEX(PP_Grid[#Data],$DE556,36),0)</f>
        <v/>
      </c>
      <c r="AN556">
        <f>IFERROR(INDEX(PP_Grid[#Data],$DE556,37),0)</f>
        <v/>
      </c>
      <c r="AO556">
        <f>IFERROR(INDEX(PP_Grid[#Data],$DE556,38),0)</f>
        <v/>
      </c>
      <c r="AP556">
        <f>IFERROR(INDEX(PP_Grid[#Data],$DE556,39),0)</f>
        <v/>
      </c>
      <c r="AQ556">
        <f>IFERROR(INDEX(PP_Grid[#Data],$DE556,40),0)</f>
        <v/>
      </c>
      <c r="AR556">
        <f>IFERROR(INDEX(PP_Grid[#Data],$DE556,41),0)</f>
        <v/>
      </c>
      <c r="AS556">
        <f>IFERROR(INDEX(PP_Grid[#Data],$DE556,42),0)</f>
        <v/>
      </c>
      <c r="AT556">
        <f>IFERROR(INDEX(PP_Grid[#Data],$DE556,43),0)</f>
        <v/>
      </c>
      <c r="AU556">
        <f>IFERROR(INDEX(PP_Grid[#Data],$DE556,44),0)</f>
        <v/>
      </c>
      <c r="AV556">
        <f>IFERROR(INDEX(PP_Grid[#Data],$DE556,45),0)</f>
        <v/>
      </c>
      <c r="AW556">
        <f>IFERROR(INDEX(PP_Grid[#Data],$DE556,46),0)</f>
        <v/>
      </c>
      <c r="AX556">
        <f>IFERROR(INDEX(PP_Grid[#Data],$DE556,47),0)</f>
        <v/>
      </c>
      <c r="AY556">
        <f>IFERROR(INDEX(PP_Grid[#Data],$DE556,48),0)</f>
        <v/>
      </c>
      <c r="AZ556">
        <f>IFERROR(INDEX(PP_Grid[#Data],$DE556,49),0)</f>
        <v/>
      </c>
      <c r="BA556">
        <f>IFERROR(INDEX(PP_Grid[#Data],$DE556,50),0)</f>
        <v/>
      </c>
      <c r="BB556">
        <f>IFERROR(INDEX(PP_Grid[#Data],$DE556,51),0)</f>
        <v/>
      </c>
      <c r="BC556">
        <f>IFERROR(INDEX(PP_Grid[#Data],$DE556,52),0)</f>
        <v/>
      </c>
      <c r="BD556">
        <f>IFERROR(INDEX(PP_Grid[#Data],$DE556,53),0)</f>
        <v/>
      </c>
      <c r="BE556">
        <f>IFERROR(INDEX(PP_Grid[#Data],$DE556,54),0)</f>
        <v/>
      </c>
      <c r="BF556">
        <f>IFERROR(INDEX(PP_Grid[#Data],$DE556,55),0)</f>
        <v/>
      </c>
      <c r="BG556">
        <f>IFERROR(INDEX(PP_Grid[#Data],$DE556,56),0)</f>
        <v/>
      </c>
      <c r="BH556">
        <f>IFERROR(INDEX(PP_Grid[#Data],$DE556,57),0)</f>
        <v/>
      </c>
      <c r="BI556">
        <f>IFERROR(INDEX(PP_Grid[#Data],$DE556,58),0)</f>
        <v/>
      </c>
      <c r="BJ556">
        <f>IFERROR(INDEX(PP_Grid[#Data],$DE556,59),0)</f>
        <v/>
      </c>
      <c r="BK556">
        <f>IFERROR(INDEX(PP_Grid[#Data],$DE556,60),0)</f>
        <v/>
      </c>
      <c r="BL556">
        <f>IFERROR(INDEX(PP_Grid[#Data],$DE556,61),0)</f>
        <v/>
      </c>
      <c r="BM556">
        <f>IFERROR(INDEX(PP_Grid[#Data],$DE556,62),0)</f>
        <v/>
      </c>
      <c r="BN556">
        <f>IFERROR(INDEX(PP_Grid[#Data],$DE556,63),0)</f>
        <v/>
      </c>
      <c r="BO556">
        <f>IFERROR(INDEX(PP_Grid[#Data],$DE556,64),0)</f>
        <v/>
      </c>
      <c r="BP556">
        <f>IFERROR(INDEX(PP_Grid[#Data],$DE556,65),0)</f>
        <v/>
      </c>
      <c r="BQ556">
        <f>IFERROR(INDEX(PP_Grid[#Data],$DE556,66),0)</f>
        <v/>
      </c>
      <c r="BR556">
        <f>IFERROR(INDEX(PP_Grid[#Data],$DE556,67),0)</f>
        <v/>
      </c>
      <c r="BS556">
        <f>IFERROR(INDEX(PP_Grid[#Data],$DE556,68),0)</f>
        <v/>
      </c>
      <c r="BT556">
        <f>IFERROR(INDEX(PP_Grid[#Data],$DE556,69),0)</f>
        <v/>
      </c>
      <c r="BU556">
        <f>IFERROR(INDEX(PP_Grid[#Data],$DE556,70),0)</f>
        <v/>
      </c>
      <c r="BV556">
        <f>IFERROR(INDEX(PP_Grid[#Data],$DE556,71),0)</f>
        <v/>
      </c>
      <c r="BW556">
        <f>IFERROR(INDEX(PP_Grid[#Data],$DE556,72),0)</f>
        <v/>
      </c>
      <c r="BX556">
        <f>IFERROR(INDEX(PP_Grid[#Data],$DE556,73),0)</f>
        <v/>
      </c>
      <c r="BY556">
        <f>IFERROR(INDEX(PP_Grid[#Data],$DE556,74),0)</f>
        <v/>
      </c>
      <c r="BZ556">
        <f>IFERROR(INDEX(PP_Grid[#Data],$DE556,75),0)</f>
        <v/>
      </c>
      <c r="CA556">
        <f>IFERROR(INDEX(PP_Grid[#Data],$DE556,76),0)</f>
        <v/>
      </c>
      <c r="CB556">
        <f>IFERROR(INDEX(PP_Grid[#Data],$DE556,77),0)</f>
        <v/>
      </c>
      <c r="CC556">
        <f>IFERROR(INDEX(PP_Grid[#Data],$DE556,78),0)</f>
        <v/>
      </c>
      <c r="CD556">
        <f>IFERROR(INDEX(PP_Grid[#Data],$DE556,79),0)</f>
        <v/>
      </c>
      <c r="CE556">
        <f>IFERROR(INDEX(PP_Grid[#Data],$DE556,80),0)</f>
        <v/>
      </c>
      <c r="CF556">
        <f>IFERROR(INDEX(PP_Grid[#Data],$DE556,81),0)</f>
        <v/>
      </c>
      <c r="CG556">
        <f>IFERROR(INDEX(PP_Grid[#Data],$DE556,82),0)</f>
        <v/>
      </c>
      <c r="CH556">
        <f>IFERROR(INDEX(PP_Grid[#Data],$DE556,83),0)</f>
        <v/>
      </c>
      <c r="CI556">
        <f>IFERROR(INDEX(PP_Grid[#Data],$DE556,84),0)</f>
        <v/>
      </c>
      <c r="CJ556">
        <f>IFERROR(INDEX(PP_Grid[#Data],$DE556,85),0)</f>
        <v/>
      </c>
      <c r="CK556">
        <f>IFERROR(INDEX(PP_Grid[#Data],$DE556,86),0)</f>
        <v/>
      </c>
      <c r="CL556">
        <f>IFERROR(INDEX(PP_Grid[#Data],$DE556,87),0)</f>
        <v/>
      </c>
      <c r="CM556">
        <f>IFERROR(INDEX(PP_Grid[#Data],$DE556,88),0)</f>
        <v/>
      </c>
      <c r="CN556">
        <f>IFERROR(INDEX(PP_Grid[#Data],$DE556,89),0)</f>
        <v/>
      </c>
      <c r="CO556">
        <f>IFERROR(INDEX(PP_Grid[#Data],$DE556,90),0)</f>
        <v/>
      </c>
      <c r="CP556">
        <f>IFERROR(INDEX(PP_Grid[#Data],$DE556,91),0)</f>
        <v/>
      </c>
      <c r="CQ556">
        <f>IFERROR(INDEX(PP_Grid[#Data],$DE556,92),0)</f>
        <v/>
      </c>
      <c r="CR556">
        <f>IFERROR(INDEX(PP_Grid[#Data],$DE556,93),0)</f>
        <v/>
      </c>
      <c r="CS556">
        <f>IFERROR(INDEX(PP_Grid[#Data],$DE556,94),0)</f>
        <v/>
      </c>
      <c r="CT556">
        <f>IFERROR(INDEX(PP_Grid[#Data],$DE556,95),0)</f>
        <v/>
      </c>
      <c r="CU556">
        <f>IFERROR(INDEX(PP_Grid[#Data],$DE556,96),0)</f>
        <v/>
      </c>
      <c r="CV556">
        <f>IFERROR(INDEX(PP_Grid[#Data],$DE556,97),0)</f>
        <v/>
      </c>
      <c r="CW556">
        <f>IFERROR(INDEX(PP_Grid[#Data],$DE556,98),0)</f>
        <v/>
      </c>
      <c r="CX556">
        <f>IFERROR(INDEX(PP_Grid[#Data],$DE556,99),0)</f>
        <v/>
      </c>
      <c r="CY556">
        <f>IFERROR(INDEX(PP_Grid[#Data],$DE556,100),0)</f>
        <v/>
      </c>
      <c r="CZ556">
        <f>IFERROR(INDEX(PP_Grid[#Data],$DE556,101),0)</f>
        <v/>
      </c>
      <c r="DA556">
        <f>IFERROR(INDEX(PP_Grid[#Data],$DE556,102),0)</f>
        <v/>
      </c>
      <c r="DB556">
        <f>IFERROR(INDEX(PP_Grid[#Data],$DE556,103),0)</f>
        <v/>
      </c>
      <c r="DC556">
        <f>IFERROR(INDEX(PP_Grid[#Data],$DE556,104),0)</f>
        <v/>
      </c>
      <c r="DD556">
        <f>IFERROR(INDEX(PP_Grid[#Data],$DE556,105),0)</f>
        <v/>
      </c>
      <c r="DE556" s="7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SUMIFS(M_BOM[RM_Qty_Per_Batch],M_BOM[Intermediate],$B556,M_BOM[RM_Code],$A497)</f>
        <v/>
      </c>
      <c r="D557">
        <f>IFERROR(INDEX(E557:DD557,$F$1),"")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  <c r="DD557">
        <f>$C557*DD556</f>
        <v/>
      </c>
    </row>
    <row r="558">
      <c r="B558" t="inlineStr">
        <is>
          <t>TSP-934</t>
        </is>
      </c>
      <c r="C558" t="inlineStr">
        <is>
          <t>No. of batches</t>
        </is>
      </c>
      <c r="D558">
        <f>IFERROR(INDEX(E558:DD558,$F$1),"")</f>
        <v/>
      </c>
      <c r="E558">
        <f>IFERROR(INDEX(PP_Grid[#Data],$DE558,2),0)</f>
        <v/>
      </c>
      <c r="F558">
        <f>IFERROR(INDEX(PP_Grid[#Data],$DE558,3),0)</f>
        <v/>
      </c>
      <c r="G558">
        <f>IFERROR(INDEX(PP_Grid[#Data],$DE558,4),0)</f>
        <v/>
      </c>
      <c r="H558">
        <f>IFERROR(INDEX(PP_Grid[#Data],$DE558,5),0)</f>
        <v/>
      </c>
      <c r="I558">
        <f>IFERROR(INDEX(PP_Grid[#Data],$DE558,6),0)</f>
        <v/>
      </c>
      <c r="J558">
        <f>IFERROR(INDEX(PP_Grid[#Data],$DE558,7),0)</f>
        <v/>
      </c>
      <c r="K558">
        <f>IFERROR(INDEX(PP_Grid[#Data],$DE558,8),0)</f>
        <v/>
      </c>
      <c r="L558">
        <f>IFERROR(INDEX(PP_Grid[#Data],$DE558,9),0)</f>
        <v/>
      </c>
      <c r="M558">
        <f>IFERROR(INDEX(PP_Grid[#Data],$DE558,10),0)</f>
        <v/>
      </c>
      <c r="N558">
        <f>IFERROR(INDEX(PP_Grid[#Data],$DE558,11),0)</f>
        <v/>
      </c>
      <c r="O558">
        <f>IFERROR(INDEX(PP_Grid[#Data],$DE558,12),0)</f>
        <v/>
      </c>
      <c r="P558">
        <f>IFERROR(INDEX(PP_Grid[#Data],$DE558,13),0)</f>
        <v/>
      </c>
      <c r="Q558">
        <f>IFERROR(INDEX(PP_Grid[#Data],$DE558,14),0)</f>
        <v/>
      </c>
      <c r="R558">
        <f>IFERROR(INDEX(PP_Grid[#Data],$DE558,15),0)</f>
        <v/>
      </c>
      <c r="S558">
        <f>IFERROR(INDEX(PP_Grid[#Data],$DE558,16),0)</f>
        <v/>
      </c>
      <c r="T558">
        <f>IFERROR(INDEX(PP_Grid[#Data],$DE558,17),0)</f>
        <v/>
      </c>
      <c r="U558">
        <f>IFERROR(INDEX(PP_Grid[#Data],$DE558,18),0)</f>
        <v/>
      </c>
      <c r="V558">
        <f>IFERROR(INDEX(PP_Grid[#Data],$DE558,19),0)</f>
        <v/>
      </c>
      <c r="W558">
        <f>IFERROR(INDEX(PP_Grid[#Data],$DE558,20),0)</f>
        <v/>
      </c>
      <c r="X558">
        <f>IFERROR(INDEX(PP_Grid[#Data],$DE558,21),0)</f>
        <v/>
      </c>
      <c r="Y558">
        <f>IFERROR(INDEX(PP_Grid[#Data],$DE558,22),0)</f>
        <v/>
      </c>
      <c r="Z558">
        <f>IFERROR(INDEX(PP_Grid[#Data],$DE558,23),0)</f>
        <v/>
      </c>
      <c r="AA558">
        <f>IFERROR(INDEX(PP_Grid[#Data],$DE558,24),0)</f>
        <v/>
      </c>
      <c r="AB558">
        <f>IFERROR(INDEX(PP_Grid[#Data],$DE558,25),0)</f>
        <v/>
      </c>
      <c r="AC558">
        <f>IFERROR(INDEX(PP_Grid[#Data],$DE558,26),0)</f>
        <v/>
      </c>
      <c r="AD558">
        <f>IFERROR(INDEX(PP_Grid[#Data],$DE558,27),0)</f>
        <v/>
      </c>
      <c r="AE558">
        <f>IFERROR(INDEX(PP_Grid[#Data],$DE558,28),0)</f>
        <v/>
      </c>
      <c r="AF558">
        <f>IFERROR(INDEX(PP_Grid[#Data],$DE558,29),0)</f>
        <v/>
      </c>
      <c r="AG558">
        <f>IFERROR(INDEX(PP_Grid[#Data],$DE558,30),0)</f>
        <v/>
      </c>
      <c r="AH558">
        <f>IFERROR(INDEX(PP_Grid[#Data],$DE558,31),0)</f>
        <v/>
      </c>
      <c r="AI558">
        <f>IFERROR(INDEX(PP_Grid[#Data],$DE558,32),0)</f>
        <v/>
      </c>
      <c r="AJ558">
        <f>IFERROR(INDEX(PP_Grid[#Data],$DE558,33),0)</f>
        <v/>
      </c>
      <c r="AK558">
        <f>IFERROR(INDEX(PP_Grid[#Data],$DE558,34),0)</f>
        <v/>
      </c>
      <c r="AL558">
        <f>IFERROR(INDEX(PP_Grid[#Data],$DE558,35),0)</f>
        <v/>
      </c>
      <c r="AM558">
        <f>IFERROR(INDEX(PP_Grid[#Data],$DE558,36),0)</f>
        <v/>
      </c>
      <c r="AN558">
        <f>IFERROR(INDEX(PP_Grid[#Data],$DE558,37),0)</f>
        <v/>
      </c>
      <c r="AO558">
        <f>IFERROR(INDEX(PP_Grid[#Data],$DE558,38),0)</f>
        <v/>
      </c>
      <c r="AP558">
        <f>IFERROR(INDEX(PP_Grid[#Data],$DE558,39),0)</f>
        <v/>
      </c>
      <c r="AQ558">
        <f>IFERROR(INDEX(PP_Grid[#Data],$DE558,40),0)</f>
        <v/>
      </c>
      <c r="AR558">
        <f>IFERROR(INDEX(PP_Grid[#Data],$DE558,41),0)</f>
        <v/>
      </c>
      <c r="AS558">
        <f>IFERROR(INDEX(PP_Grid[#Data],$DE558,42),0)</f>
        <v/>
      </c>
      <c r="AT558">
        <f>IFERROR(INDEX(PP_Grid[#Data],$DE558,43),0)</f>
        <v/>
      </c>
      <c r="AU558">
        <f>IFERROR(INDEX(PP_Grid[#Data],$DE558,44),0)</f>
        <v/>
      </c>
      <c r="AV558">
        <f>IFERROR(INDEX(PP_Grid[#Data],$DE558,45),0)</f>
        <v/>
      </c>
      <c r="AW558">
        <f>IFERROR(INDEX(PP_Grid[#Data],$DE558,46),0)</f>
        <v/>
      </c>
      <c r="AX558">
        <f>IFERROR(INDEX(PP_Grid[#Data],$DE558,47),0)</f>
        <v/>
      </c>
      <c r="AY558">
        <f>IFERROR(INDEX(PP_Grid[#Data],$DE558,48),0)</f>
        <v/>
      </c>
      <c r="AZ558">
        <f>IFERROR(INDEX(PP_Grid[#Data],$DE558,49),0)</f>
        <v/>
      </c>
      <c r="BA558">
        <f>IFERROR(INDEX(PP_Grid[#Data],$DE558,50),0)</f>
        <v/>
      </c>
      <c r="BB558">
        <f>IFERROR(INDEX(PP_Grid[#Data],$DE558,51),0)</f>
        <v/>
      </c>
      <c r="BC558">
        <f>IFERROR(INDEX(PP_Grid[#Data],$DE558,52),0)</f>
        <v/>
      </c>
      <c r="BD558">
        <f>IFERROR(INDEX(PP_Grid[#Data],$DE558,53),0)</f>
        <v/>
      </c>
      <c r="BE558">
        <f>IFERROR(INDEX(PP_Grid[#Data],$DE558,54),0)</f>
        <v/>
      </c>
      <c r="BF558">
        <f>IFERROR(INDEX(PP_Grid[#Data],$DE558,55),0)</f>
        <v/>
      </c>
      <c r="BG558">
        <f>IFERROR(INDEX(PP_Grid[#Data],$DE558,56),0)</f>
        <v/>
      </c>
      <c r="BH558">
        <f>IFERROR(INDEX(PP_Grid[#Data],$DE558,57),0)</f>
        <v/>
      </c>
      <c r="BI558">
        <f>IFERROR(INDEX(PP_Grid[#Data],$DE558,58),0)</f>
        <v/>
      </c>
      <c r="BJ558">
        <f>IFERROR(INDEX(PP_Grid[#Data],$DE558,59),0)</f>
        <v/>
      </c>
      <c r="BK558">
        <f>IFERROR(INDEX(PP_Grid[#Data],$DE558,60),0)</f>
        <v/>
      </c>
      <c r="BL558">
        <f>IFERROR(INDEX(PP_Grid[#Data],$DE558,61),0)</f>
        <v/>
      </c>
      <c r="BM558">
        <f>IFERROR(INDEX(PP_Grid[#Data],$DE558,62),0)</f>
        <v/>
      </c>
      <c r="BN558">
        <f>IFERROR(INDEX(PP_Grid[#Data],$DE558,63),0)</f>
        <v/>
      </c>
      <c r="BO558">
        <f>IFERROR(INDEX(PP_Grid[#Data],$DE558,64),0)</f>
        <v/>
      </c>
      <c r="BP558">
        <f>IFERROR(INDEX(PP_Grid[#Data],$DE558,65),0)</f>
        <v/>
      </c>
      <c r="BQ558">
        <f>IFERROR(INDEX(PP_Grid[#Data],$DE558,66),0)</f>
        <v/>
      </c>
      <c r="BR558">
        <f>IFERROR(INDEX(PP_Grid[#Data],$DE558,67),0)</f>
        <v/>
      </c>
      <c r="BS558">
        <f>IFERROR(INDEX(PP_Grid[#Data],$DE558,68),0)</f>
        <v/>
      </c>
      <c r="BT558">
        <f>IFERROR(INDEX(PP_Grid[#Data],$DE558,69),0)</f>
        <v/>
      </c>
      <c r="BU558">
        <f>IFERROR(INDEX(PP_Grid[#Data],$DE558,70),0)</f>
        <v/>
      </c>
      <c r="BV558">
        <f>IFERROR(INDEX(PP_Grid[#Data],$DE558,71),0)</f>
        <v/>
      </c>
      <c r="BW558">
        <f>IFERROR(INDEX(PP_Grid[#Data],$DE558,72),0)</f>
        <v/>
      </c>
      <c r="BX558">
        <f>IFERROR(INDEX(PP_Grid[#Data],$DE558,73),0)</f>
        <v/>
      </c>
      <c r="BY558">
        <f>IFERROR(INDEX(PP_Grid[#Data],$DE558,74),0)</f>
        <v/>
      </c>
      <c r="BZ558">
        <f>IFERROR(INDEX(PP_Grid[#Data],$DE558,75),0)</f>
        <v/>
      </c>
      <c r="CA558">
        <f>IFERROR(INDEX(PP_Grid[#Data],$DE558,76),0)</f>
        <v/>
      </c>
      <c r="CB558">
        <f>IFERROR(INDEX(PP_Grid[#Data],$DE558,77),0)</f>
        <v/>
      </c>
      <c r="CC558">
        <f>IFERROR(INDEX(PP_Grid[#Data],$DE558,78),0)</f>
        <v/>
      </c>
      <c r="CD558">
        <f>IFERROR(INDEX(PP_Grid[#Data],$DE558,79),0)</f>
        <v/>
      </c>
      <c r="CE558">
        <f>IFERROR(INDEX(PP_Grid[#Data],$DE558,80),0)</f>
        <v/>
      </c>
      <c r="CF558">
        <f>IFERROR(INDEX(PP_Grid[#Data],$DE558,81),0)</f>
        <v/>
      </c>
      <c r="CG558">
        <f>IFERROR(INDEX(PP_Grid[#Data],$DE558,82),0)</f>
        <v/>
      </c>
      <c r="CH558">
        <f>IFERROR(INDEX(PP_Grid[#Data],$DE558,83),0)</f>
        <v/>
      </c>
      <c r="CI558">
        <f>IFERROR(INDEX(PP_Grid[#Data],$DE558,84),0)</f>
        <v/>
      </c>
      <c r="CJ558">
        <f>IFERROR(INDEX(PP_Grid[#Data],$DE558,85),0)</f>
        <v/>
      </c>
      <c r="CK558">
        <f>IFERROR(INDEX(PP_Grid[#Data],$DE558,86),0)</f>
        <v/>
      </c>
      <c r="CL558">
        <f>IFERROR(INDEX(PP_Grid[#Data],$DE558,87),0)</f>
        <v/>
      </c>
      <c r="CM558">
        <f>IFERROR(INDEX(PP_Grid[#Data],$DE558,88),0)</f>
        <v/>
      </c>
      <c r="CN558">
        <f>IFERROR(INDEX(PP_Grid[#Data],$DE558,89),0)</f>
        <v/>
      </c>
      <c r="CO558">
        <f>IFERROR(INDEX(PP_Grid[#Data],$DE558,90),0)</f>
        <v/>
      </c>
      <c r="CP558">
        <f>IFERROR(INDEX(PP_Grid[#Data],$DE558,91),0)</f>
        <v/>
      </c>
      <c r="CQ558">
        <f>IFERROR(INDEX(PP_Grid[#Data],$DE558,92),0)</f>
        <v/>
      </c>
      <c r="CR558">
        <f>IFERROR(INDEX(PP_Grid[#Data],$DE558,93),0)</f>
        <v/>
      </c>
      <c r="CS558">
        <f>IFERROR(INDEX(PP_Grid[#Data],$DE558,94),0)</f>
        <v/>
      </c>
      <c r="CT558">
        <f>IFERROR(INDEX(PP_Grid[#Data],$DE558,95),0)</f>
        <v/>
      </c>
      <c r="CU558">
        <f>IFERROR(INDEX(PP_Grid[#Data],$DE558,96),0)</f>
        <v/>
      </c>
      <c r="CV558">
        <f>IFERROR(INDEX(PP_Grid[#Data],$DE558,97),0)</f>
        <v/>
      </c>
      <c r="CW558">
        <f>IFERROR(INDEX(PP_Grid[#Data],$DE558,98),0)</f>
        <v/>
      </c>
      <c r="CX558">
        <f>IFERROR(INDEX(PP_Grid[#Data],$DE558,99),0)</f>
        <v/>
      </c>
      <c r="CY558">
        <f>IFERROR(INDEX(PP_Grid[#Data],$DE558,100),0)</f>
        <v/>
      </c>
      <c r="CZ558">
        <f>IFERROR(INDEX(PP_Grid[#Data],$DE558,101),0)</f>
        <v/>
      </c>
      <c r="DA558">
        <f>IFERROR(INDEX(PP_Grid[#Data],$DE558,102),0)</f>
        <v/>
      </c>
      <c r="DB558">
        <f>IFERROR(INDEX(PP_Grid[#Data],$DE558,103),0)</f>
        <v/>
      </c>
      <c r="DC558">
        <f>IFERROR(INDEX(PP_Grid[#Data],$DE558,104),0)</f>
        <v/>
      </c>
      <c r="DD558">
        <f>IFERROR(INDEX(PP_Grid[#Data],$DE558,105),0)</f>
        <v/>
      </c>
      <c r="DE558" s="7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SUMIFS(M_BOM[RM_Qty_Per_Batch],M_BOM[Intermediate],$B558,M_BOM[RM_Code],$A497)</f>
        <v/>
      </c>
      <c r="D559">
        <f>IFERROR(INDEX(E559:DD559,$F$1),"")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  <c r="DD559">
        <f>$C559*DD558</f>
        <v/>
      </c>
    </row>
    <row r="560">
      <c r="B560" t="inlineStr">
        <is>
          <t>TSP-935</t>
        </is>
      </c>
      <c r="C560" t="inlineStr">
        <is>
          <t>No. of batches</t>
        </is>
      </c>
      <c r="D560">
        <f>IFERROR(INDEX(E560:DD560,$F$1),"")</f>
        <v/>
      </c>
      <c r="E560">
        <f>IFERROR(INDEX(PP_Grid[#Data],$DE560,2),0)</f>
        <v/>
      </c>
      <c r="F560">
        <f>IFERROR(INDEX(PP_Grid[#Data],$DE560,3),0)</f>
        <v/>
      </c>
      <c r="G560">
        <f>IFERROR(INDEX(PP_Grid[#Data],$DE560,4),0)</f>
        <v/>
      </c>
      <c r="H560">
        <f>IFERROR(INDEX(PP_Grid[#Data],$DE560,5),0)</f>
        <v/>
      </c>
      <c r="I560">
        <f>IFERROR(INDEX(PP_Grid[#Data],$DE560,6),0)</f>
        <v/>
      </c>
      <c r="J560">
        <f>IFERROR(INDEX(PP_Grid[#Data],$DE560,7),0)</f>
        <v/>
      </c>
      <c r="K560">
        <f>IFERROR(INDEX(PP_Grid[#Data],$DE560,8),0)</f>
        <v/>
      </c>
      <c r="L560">
        <f>IFERROR(INDEX(PP_Grid[#Data],$DE560,9),0)</f>
        <v/>
      </c>
      <c r="M560">
        <f>IFERROR(INDEX(PP_Grid[#Data],$DE560,10),0)</f>
        <v/>
      </c>
      <c r="N560">
        <f>IFERROR(INDEX(PP_Grid[#Data],$DE560,11),0)</f>
        <v/>
      </c>
      <c r="O560">
        <f>IFERROR(INDEX(PP_Grid[#Data],$DE560,12),0)</f>
        <v/>
      </c>
      <c r="P560">
        <f>IFERROR(INDEX(PP_Grid[#Data],$DE560,13),0)</f>
        <v/>
      </c>
      <c r="Q560">
        <f>IFERROR(INDEX(PP_Grid[#Data],$DE560,14),0)</f>
        <v/>
      </c>
      <c r="R560">
        <f>IFERROR(INDEX(PP_Grid[#Data],$DE560,15),0)</f>
        <v/>
      </c>
      <c r="S560">
        <f>IFERROR(INDEX(PP_Grid[#Data],$DE560,16),0)</f>
        <v/>
      </c>
      <c r="T560">
        <f>IFERROR(INDEX(PP_Grid[#Data],$DE560,17),0)</f>
        <v/>
      </c>
      <c r="U560">
        <f>IFERROR(INDEX(PP_Grid[#Data],$DE560,18),0)</f>
        <v/>
      </c>
      <c r="V560">
        <f>IFERROR(INDEX(PP_Grid[#Data],$DE560,19),0)</f>
        <v/>
      </c>
      <c r="W560">
        <f>IFERROR(INDEX(PP_Grid[#Data],$DE560,20),0)</f>
        <v/>
      </c>
      <c r="X560">
        <f>IFERROR(INDEX(PP_Grid[#Data],$DE560,21),0)</f>
        <v/>
      </c>
      <c r="Y560">
        <f>IFERROR(INDEX(PP_Grid[#Data],$DE560,22),0)</f>
        <v/>
      </c>
      <c r="Z560">
        <f>IFERROR(INDEX(PP_Grid[#Data],$DE560,23),0)</f>
        <v/>
      </c>
      <c r="AA560">
        <f>IFERROR(INDEX(PP_Grid[#Data],$DE560,24),0)</f>
        <v/>
      </c>
      <c r="AB560">
        <f>IFERROR(INDEX(PP_Grid[#Data],$DE560,25),0)</f>
        <v/>
      </c>
      <c r="AC560">
        <f>IFERROR(INDEX(PP_Grid[#Data],$DE560,26),0)</f>
        <v/>
      </c>
      <c r="AD560">
        <f>IFERROR(INDEX(PP_Grid[#Data],$DE560,27),0)</f>
        <v/>
      </c>
      <c r="AE560">
        <f>IFERROR(INDEX(PP_Grid[#Data],$DE560,28),0)</f>
        <v/>
      </c>
      <c r="AF560">
        <f>IFERROR(INDEX(PP_Grid[#Data],$DE560,29),0)</f>
        <v/>
      </c>
      <c r="AG560">
        <f>IFERROR(INDEX(PP_Grid[#Data],$DE560,30),0)</f>
        <v/>
      </c>
      <c r="AH560">
        <f>IFERROR(INDEX(PP_Grid[#Data],$DE560,31),0)</f>
        <v/>
      </c>
      <c r="AI560">
        <f>IFERROR(INDEX(PP_Grid[#Data],$DE560,32),0)</f>
        <v/>
      </c>
      <c r="AJ560">
        <f>IFERROR(INDEX(PP_Grid[#Data],$DE560,33),0)</f>
        <v/>
      </c>
      <c r="AK560">
        <f>IFERROR(INDEX(PP_Grid[#Data],$DE560,34),0)</f>
        <v/>
      </c>
      <c r="AL560">
        <f>IFERROR(INDEX(PP_Grid[#Data],$DE560,35),0)</f>
        <v/>
      </c>
      <c r="AM560">
        <f>IFERROR(INDEX(PP_Grid[#Data],$DE560,36),0)</f>
        <v/>
      </c>
      <c r="AN560">
        <f>IFERROR(INDEX(PP_Grid[#Data],$DE560,37),0)</f>
        <v/>
      </c>
      <c r="AO560">
        <f>IFERROR(INDEX(PP_Grid[#Data],$DE560,38),0)</f>
        <v/>
      </c>
      <c r="AP560">
        <f>IFERROR(INDEX(PP_Grid[#Data],$DE560,39),0)</f>
        <v/>
      </c>
      <c r="AQ560">
        <f>IFERROR(INDEX(PP_Grid[#Data],$DE560,40),0)</f>
        <v/>
      </c>
      <c r="AR560">
        <f>IFERROR(INDEX(PP_Grid[#Data],$DE560,41),0)</f>
        <v/>
      </c>
      <c r="AS560">
        <f>IFERROR(INDEX(PP_Grid[#Data],$DE560,42),0)</f>
        <v/>
      </c>
      <c r="AT560">
        <f>IFERROR(INDEX(PP_Grid[#Data],$DE560,43),0)</f>
        <v/>
      </c>
      <c r="AU560">
        <f>IFERROR(INDEX(PP_Grid[#Data],$DE560,44),0)</f>
        <v/>
      </c>
      <c r="AV560">
        <f>IFERROR(INDEX(PP_Grid[#Data],$DE560,45),0)</f>
        <v/>
      </c>
      <c r="AW560">
        <f>IFERROR(INDEX(PP_Grid[#Data],$DE560,46),0)</f>
        <v/>
      </c>
      <c r="AX560">
        <f>IFERROR(INDEX(PP_Grid[#Data],$DE560,47),0)</f>
        <v/>
      </c>
      <c r="AY560">
        <f>IFERROR(INDEX(PP_Grid[#Data],$DE560,48),0)</f>
        <v/>
      </c>
      <c r="AZ560">
        <f>IFERROR(INDEX(PP_Grid[#Data],$DE560,49),0)</f>
        <v/>
      </c>
      <c r="BA560">
        <f>IFERROR(INDEX(PP_Grid[#Data],$DE560,50),0)</f>
        <v/>
      </c>
      <c r="BB560">
        <f>IFERROR(INDEX(PP_Grid[#Data],$DE560,51),0)</f>
        <v/>
      </c>
      <c r="BC560">
        <f>IFERROR(INDEX(PP_Grid[#Data],$DE560,52),0)</f>
        <v/>
      </c>
      <c r="BD560">
        <f>IFERROR(INDEX(PP_Grid[#Data],$DE560,53),0)</f>
        <v/>
      </c>
      <c r="BE560">
        <f>IFERROR(INDEX(PP_Grid[#Data],$DE560,54),0)</f>
        <v/>
      </c>
      <c r="BF560">
        <f>IFERROR(INDEX(PP_Grid[#Data],$DE560,55),0)</f>
        <v/>
      </c>
      <c r="BG560">
        <f>IFERROR(INDEX(PP_Grid[#Data],$DE560,56),0)</f>
        <v/>
      </c>
      <c r="BH560">
        <f>IFERROR(INDEX(PP_Grid[#Data],$DE560,57),0)</f>
        <v/>
      </c>
      <c r="BI560">
        <f>IFERROR(INDEX(PP_Grid[#Data],$DE560,58),0)</f>
        <v/>
      </c>
      <c r="BJ560">
        <f>IFERROR(INDEX(PP_Grid[#Data],$DE560,59),0)</f>
        <v/>
      </c>
      <c r="BK560">
        <f>IFERROR(INDEX(PP_Grid[#Data],$DE560,60),0)</f>
        <v/>
      </c>
      <c r="BL560">
        <f>IFERROR(INDEX(PP_Grid[#Data],$DE560,61),0)</f>
        <v/>
      </c>
      <c r="BM560">
        <f>IFERROR(INDEX(PP_Grid[#Data],$DE560,62),0)</f>
        <v/>
      </c>
      <c r="BN560">
        <f>IFERROR(INDEX(PP_Grid[#Data],$DE560,63),0)</f>
        <v/>
      </c>
      <c r="BO560">
        <f>IFERROR(INDEX(PP_Grid[#Data],$DE560,64),0)</f>
        <v/>
      </c>
      <c r="BP560">
        <f>IFERROR(INDEX(PP_Grid[#Data],$DE560,65),0)</f>
        <v/>
      </c>
      <c r="BQ560">
        <f>IFERROR(INDEX(PP_Grid[#Data],$DE560,66),0)</f>
        <v/>
      </c>
      <c r="BR560">
        <f>IFERROR(INDEX(PP_Grid[#Data],$DE560,67),0)</f>
        <v/>
      </c>
      <c r="BS560">
        <f>IFERROR(INDEX(PP_Grid[#Data],$DE560,68),0)</f>
        <v/>
      </c>
      <c r="BT560">
        <f>IFERROR(INDEX(PP_Grid[#Data],$DE560,69),0)</f>
        <v/>
      </c>
      <c r="BU560">
        <f>IFERROR(INDEX(PP_Grid[#Data],$DE560,70),0)</f>
        <v/>
      </c>
      <c r="BV560">
        <f>IFERROR(INDEX(PP_Grid[#Data],$DE560,71),0)</f>
        <v/>
      </c>
      <c r="BW560">
        <f>IFERROR(INDEX(PP_Grid[#Data],$DE560,72),0)</f>
        <v/>
      </c>
      <c r="BX560">
        <f>IFERROR(INDEX(PP_Grid[#Data],$DE560,73),0)</f>
        <v/>
      </c>
      <c r="BY560">
        <f>IFERROR(INDEX(PP_Grid[#Data],$DE560,74),0)</f>
        <v/>
      </c>
      <c r="BZ560">
        <f>IFERROR(INDEX(PP_Grid[#Data],$DE560,75),0)</f>
        <v/>
      </c>
      <c r="CA560">
        <f>IFERROR(INDEX(PP_Grid[#Data],$DE560,76),0)</f>
        <v/>
      </c>
      <c r="CB560">
        <f>IFERROR(INDEX(PP_Grid[#Data],$DE560,77),0)</f>
        <v/>
      </c>
      <c r="CC560">
        <f>IFERROR(INDEX(PP_Grid[#Data],$DE560,78),0)</f>
        <v/>
      </c>
      <c r="CD560">
        <f>IFERROR(INDEX(PP_Grid[#Data],$DE560,79),0)</f>
        <v/>
      </c>
      <c r="CE560">
        <f>IFERROR(INDEX(PP_Grid[#Data],$DE560,80),0)</f>
        <v/>
      </c>
      <c r="CF560">
        <f>IFERROR(INDEX(PP_Grid[#Data],$DE560,81),0)</f>
        <v/>
      </c>
      <c r="CG560">
        <f>IFERROR(INDEX(PP_Grid[#Data],$DE560,82),0)</f>
        <v/>
      </c>
      <c r="CH560">
        <f>IFERROR(INDEX(PP_Grid[#Data],$DE560,83),0)</f>
        <v/>
      </c>
      <c r="CI560">
        <f>IFERROR(INDEX(PP_Grid[#Data],$DE560,84),0)</f>
        <v/>
      </c>
      <c r="CJ560">
        <f>IFERROR(INDEX(PP_Grid[#Data],$DE560,85),0)</f>
        <v/>
      </c>
      <c r="CK560">
        <f>IFERROR(INDEX(PP_Grid[#Data],$DE560,86),0)</f>
        <v/>
      </c>
      <c r="CL560">
        <f>IFERROR(INDEX(PP_Grid[#Data],$DE560,87),0)</f>
        <v/>
      </c>
      <c r="CM560">
        <f>IFERROR(INDEX(PP_Grid[#Data],$DE560,88),0)</f>
        <v/>
      </c>
      <c r="CN560">
        <f>IFERROR(INDEX(PP_Grid[#Data],$DE560,89),0)</f>
        <v/>
      </c>
      <c r="CO560">
        <f>IFERROR(INDEX(PP_Grid[#Data],$DE560,90),0)</f>
        <v/>
      </c>
      <c r="CP560">
        <f>IFERROR(INDEX(PP_Grid[#Data],$DE560,91),0)</f>
        <v/>
      </c>
      <c r="CQ560">
        <f>IFERROR(INDEX(PP_Grid[#Data],$DE560,92),0)</f>
        <v/>
      </c>
      <c r="CR560">
        <f>IFERROR(INDEX(PP_Grid[#Data],$DE560,93),0)</f>
        <v/>
      </c>
      <c r="CS560">
        <f>IFERROR(INDEX(PP_Grid[#Data],$DE560,94),0)</f>
        <v/>
      </c>
      <c r="CT560">
        <f>IFERROR(INDEX(PP_Grid[#Data],$DE560,95),0)</f>
        <v/>
      </c>
      <c r="CU560">
        <f>IFERROR(INDEX(PP_Grid[#Data],$DE560,96),0)</f>
        <v/>
      </c>
      <c r="CV560">
        <f>IFERROR(INDEX(PP_Grid[#Data],$DE560,97),0)</f>
        <v/>
      </c>
      <c r="CW560">
        <f>IFERROR(INDEX(PP_Grid[#Data],$DE560,98),0)</f>
        <v/>
      </c>
      <c r="CX560">
        <f>IFERROR(INDEX(PP_Grid[#Data],$DE560,99),0)</f>
        <v/>
      </c>
      <c r="CY560">
        <f>IFERROR(INDEX(PP_Grid[#Data],$DE560,100),0)</f>
        <v/>
      </c>
      <c r="CZ560">
        <f>IFERROR(INDEX(PP_Grid[#Data],$DE560,101),0)</f>
        <v/>
      </c>
      <c r="DA560">
        <f>IFERROR(INDEX(PP_Grid[#Data],$DE560,102),0)</f>
        <v/>
      </c>
      <c r="DB560">
        <f>IFERROR(INDEX(PP_Grid[#Data],$DE560,103),0)</f>
        <v/>
      </c>
      <c r="DC560">
        <f>IFERROR(INDEX(PP_Grid[#Data],$DE560,104),0)</f>
        <v/>
      </c>
      <c r="DD560">
        <f>IFERROR(INDEX(PP_Grid[#Data],$DE560,105),0)</f>
        <v/>
      </c>
      <c r="DE560" s="7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SUMIFS(M_BOM[RM_Qty_Per_Batch],M_BOM[Intermediate],$B560,M_BOM[RM_Code],$A497)</f>
        <v/>
      </c>
      <c r="D561">
        <f>IFERROR(INDEX(E561:DD561,$F$1),"")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  <c r="DD561">
        <f>$C561*DD560</f>
        <v/>
      </c>
    </row>
    <row r="562">
      <c r="B562" t="inlineStr">
        <is>
          <t>TSP-936</t>
        </is>
      </c>
      <c r="C562" t="inlineStr">
        <is>
          <t>No. of batches</t>
        </is>
      </c>
      <c r="D562">
        <f>IFERROR(INDEX(E562:DD562,$F$1),"")</f>
        <v/>
      </c>
      <c r="E562">
        <f>IFERROR(INDEX(PP_Grid[#Data],$DE562,2),0)</f>
        <v/>
      </c>
      <c r="F562">
        <f>IFERROR(INDEX(PP_Grid[#Data],$DE562,3),0)</f>
        <v/>
      </c>
      <c r="G562">
        <f>IFERROR(INDEX(PP_Grid[#Data],$DE562,4),0)</f>
        <v/>
      </c>
      <c r="H562">
        <f>IFERROR(INDEX(PP_Grid[#Data],$DE562,5),0)</f>
        <v/>
      </c>
      <c r="I562">
        <f>IFERROR(INDEX(PP_Grid[#Data],$DE562,6),0)</f>
        <v/>
      </c>
      <c r="J562">
        <f>IFERROR(INDEX(PP_Grid[#Data],$DE562,7),0)</f>
        <v/>
      </c>
      <c r="K562">
        <f>IFERROR(INDEX(PP_Grid[#Data],$DE562,8),0)</f>
        <v/>
      </c>
      <c r="L562">
        <f>IFERROR(INDEX(PP_Grid[#Data],$DE562,9),0)</f>
        <v/>
      </c>
      <c r="M562">
        <f>IFERROR(INDEX(PP_Grid[#Data],$DE562,10),0)</f>
        <v/>
      </c>
      <c r="N562">
        <f>IFERROR(INDEX(PP_Grid[#Data],$DE562,11),0)</f>
        <v/>
      </c>
      <c r="O562">
        <f>IFERROR(INDEX(PP_Grid[#Data],$DE562,12),0)</f>
        <v/>
      </c>
      <c r="P562">
        <f>IFERROR(INDEX(PP_Grid[#Data],$DE562,13),0)</f>
        <v/>
      </c>
      <c r="Q562">
        <f>IFERROR(INDEX(PP_Grid[#Data],$DE562,14),0)</f>
        <v/>
      </c>
      <c r="R562">
        <f>IFERROR(INDEX(PP_Grid[#Data],$DE562,15),0)</f>
        <v/>
      </c>
      <c r="S562">
        <f>IFERROR(INDEX(PP_Grid[#Data],$DE562,16),0)</f>
        <v/>
      </c>
      <c r="T562">
        <f>IFERROR(INDEX(PP_Grid[#Data],$DE562,17),0)</f>
        <v/>
      </c>
      <c r="U562">
        <f>IFERROR(INDEX(PP_Grid[#Data],$DE562,18),0)</f>
        <v/>
      </c>
      <c r="V562">
        <f>IFERROR(INDEX(PP_Grid[#Data],$DE562,19),0)</f>
        <v/>
      </c>
      <c r="W562">
        <f>IFERROR(INDEX(PP_Grid[#Data],$DE562,20),0)</f>
        <v/>
      </c>
      <c r="X562">
        <f>IFERROR(INDEX(PP_Grid[#Data],$DE562,21),0)</f>
        <v/>
      </c>
      <c r="Y562">
        <f>IFERROR(INDEX(PP_Grid[#Data],$DE562,22),0)</f>
        <v/>
      </c>
      <c r="Z562">
        <f>IFERROR(INDEX(PP_Grid[#Data],$DE562,23),0)</f>
        <v/>
      </c>
      <c r="AA562">
        <f>IFERROR(INDEX(PP_Grid[#Data],$DE562,24),0)</f>
        <v/>
      </c>
      <c r="AB562">
        <f>IFERROR(INDEX(PP_Grid[#Data],$DE562,25),0)</f>
        <v/>
      </c>
      <c r="AC562">
        <f>IFERROR(INDEX(PP_Grid[#Data],$DE562,26),0)</f>
        <v/>
      </c>
      <c r="AD562">
        <f>IFERROR(INDEX(PP_Grid[#Data],$DE562,27),0)</f>
        <v/>
      </c>
      <c r="AE562">
        <f>IFERROR(INDEX(PP_Grid[#Data],$DE562,28),0)</f>
        <v/>
      </c>
      <c r="AF562">
        <f>IFERROR(INDEX(PP_Grid[#Data],$DE562,29),0)</f>
        <v/>
      </c>
      <c r="AG562">
        <f>IFERROR(INDEX(PP_Grid[#Data],$DE562,30),0)</f>
        <v/>
      </c>
      <c r="AH562">
        <f>IFERROR(INDEX(PP_Grid[#Data],$DE562,31),0)</f>
        <v/>
      </c>
      <c r="AI562">
        <f>IFERROR(INDEX(PP_Grid[#Data],$DE562,32),0)</f>
        <v/>
      </c>
      <c r="AJ562">
        <f>IFERROR(INDEX(PP_Grid[#Data],$DE562,33),0)</f>
        <v/>
      </c>
      <c r="AK562">
        <f>IFERROR(INDEX(PP_Grid[#Data],$DE562,34),0)</f>
        <v/>
      </c>
      <c r="AL562">
        <f>IFERROR(INDEX(PP_Grid[#Data],$DE562,35),0)</f>
        <v/>
      </c>
      <c r="AM562">
        <f>IFERROR(INDEX(PP_Grid[#Data],$DE562,36),0)</f>
        <v/>
      </c>
      <c r="AN562">
        <f>IFERROR(INDEX(PP_Grid[#Data],$DE562,37),0)</f>
        <v/>
      </c>
      <c r="AO562">
        <f>IFERROR(INDEX(PP_Grid[#Data],$DE562,38),0)</f>
        <v/>
      </c>
      <c r="AP562">
        <f>IFERROR(INDEX(PP_Grid[#Data],$DE562,39),0)</f>
        <v/>
      </c>
      <c r="AQ562">
        <f>IFERROR(INDEX(PP_Grid[#Data],$DE562,40),0)</f>
        <v/>
      </c>
      <c r="AR562">
        <f>IFERROR(INDEX(PP_Grid[#Data],$DE562,41),0)</f>
        <v/>
      </c>
      <c r="AS562">
        <f>IFERROR(INDEX(PP_Grid[#Data],$DE562,42),0)</f>
        <v/>
      </c>
      <c r="AT562">
        <f>IFERROR(INDEX(PP_Grid[#Data],$DE562,43),0)</f>
        <v/>
      </c>
      <c r="AU562">
        <f>IFERROR(INDEX(PP_Grid[#Data],$DE562,44),0)</f>
        <v/>
      </c>
      <c r="AV562">
        <f>IFERROR(INDEX(PP_Grid[#Data],$DE562,45),0)</f>
        <v/>
      </c>
      <c r="AW562">
        <f>IFERROR(INDEX(PP_Grid[#Data],$DE562,46),0)</f>
        <v/>
      </c>
      <c r="AX562">
        <f>IFERROR(INDEX(PP_Grid[#Data],$DE562,47),0)</f>
        <v/>
      </c>
      <c r="AY562">
        <f>IFERROR(INDEX(PP_Grid[#Data],$DE562,48),0)</f>
        <v/>
      </c>
      <c r="AZ562">
        <f>IFERROR(INDEX(PP_Grid[#Data],$DE562,49),0)</f>
        <v/>
      </c>
      <c r="BA562">
        <f>IFERROR(INDEX(PP_Grid[#Data],$DE562,50),0)</f>
        <v/>
      </c>
      <c r="BB562">
        <f>IFERROR(INDEX(PP_Grid[#Data],$DE562,51),0)</f>
        <v/>
      </c>
      <c r="BC562">
        <f>IFERROR(INDEX(PP_Grid[#Data],$DE562,52),0)</f>
        <v/>
      </c>
      <c r="BD562">
        <f>IFERROR(INDEX(PP_Grid[#Data],$DE562,53),0)</f>
        <v/>
      </c>
      <c r="BE562">
        <f>IFERROR(INDEX(PP_Grid[#Data],$DE562,54),0)</f>
        <v/>
      </c>
      <c r="BF562">
        <f>IFERROR(INDEX(PP_Grid[#Data],$DE562,55),0)</f>
        <v/>
      </c>
      <c r="BG562">
        <f>IFERROR(INDEX(PP_Grid[#Data],$DE562,56),0)</f>
        <v/>
      </c>
      <c r="BH562">
        <f>IFERROR(INDEX(PP_Grid[#Data],$DE562,57),0)</f>
        <v/>
      </c>
      <c r="BI562">
        <f>IFERROR(INDEX(PP_Grid[#Data],$DE562,58),0)</f>
        <v/>
      </c>
      <c r="BJ562">
        <f>IFERROR(INDEX(PP_Grid[#Data],$DE562,59),0)</f>
        <v/>
      </c>
      <c r="BK562">
        <f>IFERROR(INDEX(PP_Grid[#Data],$DE562,60),0)</f>
        <v/>
      </c>
      <c r="BL562">
        <f>IFERROR(INDEX(PP_Grid[#Data],$DE562,61),0)</f>
        <v/>
      </c>
      <c r="BM562">
        <f>IFERROR(INDEX(PP_Grid[#Data],$DE562,62),0)</f>
        <v/>
      </c>
      <c r="BN562">
        <f>IFERROR(INDEX(PP_Grid[#Data],$DE562,63),0)</f>
        <v/>
      </c>
      <c r="BO562">
        <f>IFERROR(INDEX(PP_Grid[#Data],$DE562,64),0)</f>
        <v/>
      </c>
      <c r="BP562">
        <f>IFERROR(INDEX(PP_Grid[#Data],$DE562,65),0)</f>
        <v/>
      </c>
      <c r="BQ562">
        <f>IFERROR(INDEX(PP_Grid[#Data],$DE562,66),0)</f>
        <v/>
      </c>
      <c r="BR562">
        <f>IFERROR(INDEX(PP_Grid[#Data],$DE562,67),0)</f>
        <v/>
      </c>
      <c r="BS562">
        <f>IFERROR(INDEX(PP_Grid[#Data],$DE562,68),0)</f>
        <v/>
      </c>
      <c r="BT562">
        <f>IFERROR(INDEX(PP_Grid[#Data],$DE562,69),0)</f>
        <v/>
      </c>
      <c r="BU562">
        <f>IFERROR(INDEX(PP_Grid[#Data],$DE562,70),0)</f>
        <v/>
      </c>
      <c r="BV562">
        <f>IFERROR(INDEX(PP_Grid[#Data],$DE562,71),0)</f>
        <v/>
      </c>
      <c r="BW562">
        <f>IFERROR(INDEX(PP_Grid[#Data],$DE562,72),0)</f>
        <v/>
      </c>
      <c r="BX562">
        <f>IFERROR(INDEX(PP_Grid[#Data],$DE562,73),0)</f>
        <v/>
      </c>
      <c r="BY562">
        <f>IFERROR(INDEX(PP_Grid[#Data],$DE562,74),0)</f>
        <v/>
      </c>
      <c r="BZ562">
        <f>IFERROR(INDEX(PP_Grid[#Data],$DE562,75),0)</f>
        <v/>
      </c>
      <c r="CA562">
        <f>IFERROR(INDEX(PP_Grid[#Data],$DE562,76),0)</f>
        <v/>
      </c>
      <c r="CB562">
        <f>IFERROR(INDEX(PP_Grid[#Data],$DE562,77),0)</f>
        <v/>
      </c>
      <c r="CC562">
        <f>IFERROR(INDEX(PP_Grid[#Data],$DE562,78),0)</f>
        <v/>
      </c>
      <c r="CD562">
        <f>IFERROR(INDEX(PP_Grid[#Data],$DE562,79),0)</f>
        <v/>
      </c>
      <c r="CE562">
        <f>IFERROR(INDEX(PP_Grid[#Data],$DE562,80),0)</f>
        <v/>
      </c>
      <c r="CF562">
        <f>IFERROR(INDEX(PP_Grid[#Data],$DE562,81),0)</f>
        <v/>
      </c>
      <c r="CG562">
        <f>IFERROR(INDEX(PP_Grid[#Data],$DE562,82),0)</f>
        <v/>
      </c>
      <c r="CH562">
        <f>IFERROR(INDEX(PP_Grid[#Data],$DE562,83),0)</f>
        <v/>
      </c>
      <c r="CI562">
        <f>IFERROR(INDEX(PP_Grid[#Data],$DE562,84),0)</f>
        <v/>
      </c>
      <c r="CJ562">
        <f>IFERROR(INDEX(PP_Grid[#Data],$DE562,85),0)</f>
        <v/>
      </c>
      <c r="CK562">
        <f>IFERROR(INDEX(PP_Grid[#Data],$DE562,86),0)</f>
        <v/>
      </c>
      <c r="CL562">
        <f>IFERROR(INDEX(PP_Grid[#Data],$DE562,87),0)</f>
        <v/>
      </c>
      <c r="CM562">
        <f>IFERROR(INDEX(PP_Grid[#Data],$DE562,88),0)</f>
        <v/>
      </c>
      <c r="CN562">
        <f>IFERROR(INDEX(PP_Grid[#Data],$DE562,89),0)</f>
        <v/>
      </c>
      <c r="CO562">
        <f>IFERROR(INDEX(PP_Grid[#Data],$DE562,90),0)</f>
        <v/>
      </c>
      <c r="CP562">
        <f>IFERROR(INDEX(PP_Grid[#Data],$DE562,91),0)</f>
        <v/>
      </c>
      <c r="CQ562">
        <f>IFERROR(INDEX(PP_Grid[#Data],$DE562,92),0)</f>
        <v/>
      </c>
      <c r="CR562">
        <f>IFERROR(INDEX(PP_Grid[#Data],$DE562,93),0)</f>
        <v/>
      </c>
      <c r="CS562">
        <f>IFERROR(INDEX(PP_Grid[#Data],$DE562,94),0)</f>
        <v/>
      </c>
      <c r="CT562">
        <f>IFERROR(INDEX(PP_Grid[#Data],$DE562,95),0)</f>
        <v/>
      </c>
      <c r="CU562">
        <f>IFERROR(INDEX(PP_Grid[#Data],$DE562,96),0)</f>
        <v/>
      </c>
      <c r="CV562">
        <f>IFERROR(INDEX(PP_Grid[#Data],$DE562,97),0)</f>
        <v/>
      </c>
      <c r="CW562">
        <f>IFERROR(INDEX(PP_Grid[#Data],$DE562,98),0)</f>
        <v/>
      </c>
      <c r="CX562">
        <f>IFERROR(INDEX(PP_Grid[#Data],$DE562,99),0)</f>
        <v/>
      </c>
      <c r="CY562">
        <f>IFERROR(INDEX(PP_Grid[#Data],$DE562,100),0)</f>
        <v/>
      </c>
      <c r="CZ562">
        <f>IFERROR(INDEX(PP_Grid[#Data],$DE562,101),0)</f>
        <v/>
      </c>
      <c r="DA562">
        <f>IFERROR(INDEX(PP_Grid[#Data],$DE562,102),0)</f>
        <v/>
      </c>
      <c r="DB562">
        <f>IFERROR(INDEX(PP_Grid[#Data],$DE562,103),0)</f>
        <v/>
      </c>
      <c r="DC562">
        <f>IFERROR(INDEX(PP_Grid[#Data],$DE562,104),0)</f>
        <v/>
      </c>
      <c r="DD562">
        <f>IFERROR(INDEX(PP_Grid[#Data],$DE562,105),0)</f>
        <v/>
      </c>
      <c r="DE562" s="7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SUMIFS(M_BOM[RM_Qty_Per_Batch],M_BOM[Intermediate],$B562,M_BOM[RM_Code],$A497)</f>
        <v/>
      </c>
      <c r="D563">
        <f>IFERROR(INDEX(E563:DD563,$F$1),"")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  <c r="DD563">
        <f>$C563*DD562</f>
        <v/>
      </c>
    </row>
    <row r="564">
      <c r="B564" t="inlineStr">
        <is>
          <t>TSP-937</t>
        </is>
      </c>
      <c r="C564" t="inlineStr">
        <is>
          <t>No. of batches</t>
        </is>
      </c>
      <c r="D564">
        <f>IFERROR(INDEX(E564:DD564,$F$1),"")</f>
        <v/>
      </c>
      <c r="E564">
        <f>IFERROR(INDEX(PP_Grid[#Data],$DE564,2),0)</f>
        <v/>
      </c>
      <c r="F564">
        <f>IFERROR(INDEX(PP_Grid[#Data],$DE564,3),0)</f>
        <v/>
      </c>
      <c r="G564">
        <f>IFERROR(INDEX(PP_Grid[#Data],$DE564,4),0)</f>
        <v/>
      </c>
      <c r="H564">
        <f>IFERROR(INDEX(PP_Grid[#Data],$DE564,5),0)</f>
        <v/>
      </c>
      <c r="I564">
        <f>IFERROR(INDEX(PP_Grid[#Data],$DE564,6),0)</f>
        <v/>
      </c>
      <c r="J564">
        <f>IFERROR(INDEX(PP_Grid[#Data],$DE564,7),0)</f>
        <v/>
      </c>
      <c r="K564">
        <f>IFERROR(INDEX(PP_Grid[#Data],$DE564,8),0)</f>
        <v/>
      </c>
      <c r="L564">
        <f>IFERROR(INDEX(PP_Grid[#Data],$DE564,9),0)</f>
        <v/>
      </c>
      <c r="M564">
        <f>IFERROR(INDEX(PP_Grid[#Data],$DE564,10),0)</f>
        <v/>
      </c>
      <c r="N564">
        <f>IFERROR(INDEX(PP_Grid[#Data],$DE564,11),0)</f>
        <v/>
      </c>
      <c r="O564">
        <f>IFERROR(INDEX(PP_Grid[#Data],$DE564,12),0)</f>
        <v/>
      </c>
      <c r="P564">
        <f>IFERROR(INDEX(PP_Grid[#Data],$DE564,13),0)</f>
        <v/>
      </c>
      <c r="Q564">
        <f>IFERROR(INDEX(PP_Grid[#Data],$DE564,14),0)</f>
        <v/>
      </c>
      <c r="R564">
        <f>IFERROR(INDEX(PP_Grid[#Data],$DE564,15),0)</f>
        <v/>
      </c>
      <c r="S564">
        <f>IFERROR(INDEX(PP_Grid[#Data],$DE564,16),0)</f>
        <v/>
      </c>
      <c r="T564">
        <f>IFERROR(INDEX(PP_Grid[#Data],$DE564,17),0)</f>
        <v/>
      </c>
      <c r="U564">
        <f>IFERROR(INDEX(PP_Grid[#Data],$DE564,18),0)</f>
        <v/>
      </c>
      <c r="V564">
        <f>IFERROR(INDEX(PP_Grid[#Data],$DE564,19),0)</f>
        <v/>
      </c>
      <c r="W564">
        <f>IFERROR(INDEX(PP_Grid[#Data],$DE564,20),0)</f>
        <v/>
      </c>
      <c r="X564">
        <f>IFERROR(INDEX(PP_Grid[#Data],$DE564,21),0)</f>
        <v/>
      </c>
      <c r="Y564">
        <f>IFERROR(INDEX(PP_Grid[#Data],$DE564,22),0)</f>
        <v/>
      </c>
      <c r="Z564">
        <f>IFERROR(INDEX(PP_Grid[#Data],$DE564,23),0)</f>
        <v/>
      </c>
      <c r="AA564">
        <f>IFERROR(INDEX(PP_Grid[#Data],$DE564,24),0)</f>
        <v/>
      </c>
      <c r="AB564">
        <f>IFERROR(INDEX(PP_Grid[#Data],$DE564,25),0)</f>
        <v/>
      </c>
      <c r="AC564">
        <f>IFERROR(INDEX(PP_Grid[#Data],$DE564,26),0)</f>
        <v/>
      </c>
      <c r="AD564">
        <f>IFERROR(INDEX(PP_Grid[#Data],$DE564,27),0)</f>
        <v/>
      </c>
      <c r="AE564">
        <f>IFERROR(INDEX(PP_Grid[#Data],$DE564,28),0)</f>
        <v/>
      </c>
      <c r="AF564">
        <f>IFERROR(INDEX(PP_Grid[#Data],$DE564,29),0)</f>
        <v/>
      </c>
      <c r="AG564">
        <f>IFERROR(INDEX(PP_Grid[#Data],$DE564,30),0)</f>
        <v/>
      </c>
      <c r="AH564">
        <f>IFERROR(INDEX(PP_Grid[#Data],$DE564,31),0)</f>
        <v/>
      </c>
      <c r="AI564">
        <f>IFERROR(INDEX(PP_Grid[#Data],$DE564,32),0)</f>
        <v/>
      </c>
      <c r="AJ564">
        <f>IFERROR(INDEX(PP_Grid[#Data],$DE564,33),0)</f>
        <v/>
      </c>
      <c r="AK564">
        <f>IFERROR(INDEX(PP_Grid[#Data],$DE564,34),0)</f>
        <v/>
      </c>
      <c r="AL564">
        <f>IFERROR(INDEX(PP_Grid[#Data],$DE564,35),0)</f>
        <v/>
      </c>
      <c r="AM564">
        <f>IFERROR(INDEX(PP_Grid[#Data],$DE564,36),0)</f>
        <v/>
      </c>
      <c r="AN564">
        <f>IFERROR(INDEX(PP_Grid[#Data],$DE564,37),0)</f>
        <v/>
      </c>
      <c r="AO564">
        <f>IFERROR(INDEX(PP_Grid[#Data],$DE564,38),0)</f>
        <v/>
      </c>
      <c r="AP564">
        <f>IFERROR(INDEX(PP_Grid[#Data],$DE564,39),0)</f>
        <v/>
      </c>
      <c r="AQ564">
        <f>IFERROR(INDEX(PP_Grid[#Data],$DE564,40),0)</f>
        <v/>
      </c>
      <c r="AR564">
        <f>IFERROR(INDEX(PP_Grid[#Data],$DE564,41),0)</f>
        <v/>
      </c>
      <c r="AS564">
        <f>IFERROR(INDEX(PP_Grid[#Data],$DE564,42),0)</f>
        <v/>
      </c>
      <c r="AT564">
        <f>IFERROR(INDEX(PP_Grid[#Data],$DE564,43),0)</f>
        <v/>
      </c>
      <c r="AU564">
        <f>IFERROR(INDEX(PP_Grid[#Data],$DE564,44),0)</f>
        <v/>
      </c>
      <c r="AV564">
        <f>IFERROR(INDEX(PP_Grid[#Data],$DE564,45),0)</f>
        <v/>
      </c>
      <c r="AW564">
        <f>IFERROR(INDEX(PP_Grid[#Data],$DE564,46),0)</f>
        <v/>
      </c>
      <c r="AX564">
        <f>IFERROR(INDEX(PP_Grid[#Data],$DE564,47),0)</f>
        <v/>
      </c>
      <c r="AY564">
        <f>IFERROR(INDEX(PP_Grid[#Data],$DE564,48),0)</f>
        <v/>
      </c>
      <c r="AZ564">
        <f>IFERROR(INDEX(PP_Grid[#Data],$DE564,49),0)</f>
        <v/>
      </c>
      <c r="BA564">
        <f>IFERROR(INDEX(PP_Grid[#Data],$DE564,50),0)</f>
        <v/>
      </c>
      <c r="BB564">
        <f>IFERROR(INDEX(PP_Grid[#Data],$DE564,51),0)</f>
        <v/>
      </c>
      <c r="BC564">
        <f>IFERROR(INDEX(PP_Grid[#Data],$DE564,52),0)</f>
        <v/>
      </c>
      <c r="BD564">
        <f>IFERROR(INDEX(PP_Grid[#Data],$DE564,53),0)</f>
        <v/>
      </c>
      <c r="BE564">
        <f>IFERROR(INDEX(PP_Grid[#Data],$DE564,54),0)</f>
        <v/>
      </c>
      <c r="BF564">
        <f>IFERROR(INDEX(PP_Grid[#Data],$DE564,55),0)</f>
        <v/>
      </c>
      <c r="BG564">
        <f>IFERROR(INDEX(PP_Grid[#Data],$DE564,56),0)</f>
        <v/>
      </c>
      <c r="BH564">
        <f>IFERROR(INDEX(PP_Grid[#Data],$DE564,57),0)</f>
        <v/>
      </c>
      <c r="BI564">
        <f>IFERROR(INDEX(PP_Grid[#Data],$DE564,58),0)</f>
        <v/>
      </c>
      <c r="BJ564">
        <f>IFERROR(INDEX(PP_Grid[#Data],$DE564,59),0)</f>
        <v/>
      </c>
      <c r="BK564">
        <f>IFERROR(INDEX(PP_Grid[#Data],$DE564,60),0)</f>
        <v/>
      </c>
      <c r="BL564">
        <f>IFERROR(INDEX(PP_Grid[#Data],$DE564,61),0)</f>
        <v/>
      </c>
      <c r="BM564">
        <f>IFERROR(INDEX(PP_Grid[#Data],$DE564,62),0)</f>
        <v/>
      </c>
      <c r="BN564">
        <f>IFERROR(INDEX(PP_Grid[#Data],$DE564,63),0)</f>
        <v/>
      </c>
      <c r="BO564">
        <f>IFERROR(INDEX(PP_Grid[#Data],$DE564,64),0)</f>
        <v/>
      </c>
      <c r="BP564">
        <f>IFERROR(INDEX(PP_Grid[#Data],$DE564,65),0)</f>
        <v/>
      </c>
      <c r="BQ564">
        <f>IFERROR(INDEX(PP_Grid[#Data],$DE564,66),0)</f>
        <v/>
      </c>
      <c r="BR564">
        <f>IFERROR(INDEX(PP_Grid[#Data],$DE564,67),0)</f>
        <v/>
      </c>
      <c r="BS564">
        <f>IFERROR(INDEX(PP_Grid[#Data],$DE564,68),0)</f>
        <v/>
      </c>
      <c r="BT564">
        <f>IFERROR(INDEX(PP_Grid[#Data],$DE564,69),0)</f>
        <v/>
      </c>
      <c r="BU564">
        <f>IFERROR(INDEX(PP_Grid[#Data],$DE564,70),0)</f>
        <v/>
      </c>
      <c r="BV564">
        <f>IFERROR(INDEX(PP_Grid[#Data],$DE564,71),0)</f>
        <v/>
      </c>
      <c r="BW564">
        <f>IFERROR(INDEX(PP_Grid[#Data],$DE564,72),0)</f>
        <v/>
      </c>
      <c r="BX564">
        <f>IFERROR(INDEX(PP_Grid[#Data],$DE564,73),0)</f>
        <v/>
      </c>
      <c r="BY564">
        <f>IFERROR(INDEX(PP_Grid[#Data],$DE564,74),0)</f>
        <v/>
      </c>
      <c r="BZ564">
        <f>IFERROR(INDEX(PP_Grid[#Data],$DE564,75),0)</f>
        <v/>
      </c>
      <c r="CA564">
        <f>IFERROR(INDEX(PP_Grid[#Data],$DE564,76),0)</f>
        <v/>
      </c>
      <c r="CB564">
        <f>IFERROR(INDEX(PP_Grid[#Data],$DE564,77),0)</f>
        <v/>
      </c>
      <c r="CC564">
        <f>IFERROR(INDEX(PP_Grid[#Data],$DE564,78),0)</f>
        <v/>
      </c>
      <c r="CD564">
        <f>IFERROR(INDEX(PP_Grid[#Data],$DE564,79),0)</f>
        <v/>
      </c>
      <c r="CE564">
        <f>IFERROR(INDEX(PP_Grid[#Data],$DE564,80),0)</f>
        <v/>
      </c>
      <c r="CF564">
        <f>IFERROR(INDEX(PP_Grid[#Data],$DE564,81),0)</f>
        <v/>
      </c>
      <c r="CG564">
        <f>IFERROR(INDEX(PP_Grid[#Data],$DE564,82),0)</f>
        <v/>
      </c>
      <c r="CH564">
        <f>IFERROR(INDEX(PP_Grid[#Data],$DE564,83),0)</f>
        <v/>
      </c>
      <c r="CI564">
        <f>IFERROR(INDEX(PP_Grid[#Data],$DE564,84),0)</f>
        <v/>
      </c>
      <c r="CJ564">
        <f>IFERROR(INDEX(PP_Grid[#Data],$DE564,85),0)</f>
        <v/>
      </c>
      <c r="CK564">
        <f>IFERROR(INDEX(PP_Grid[#Data],$DE564,86),0)</f>
        <v/>
      </c>
      <c r="CL564">
        <f>IFERROR(INDEX(PP_Grid[#Data],$DE564,87),0)</f>
        <v/>
      </c>
      <c r="CM564">
        <f>IFERROR(INDEX(PP_Grid[#Data],$DE564,88),0)</f>
        <v/>
      </c>
      <c r="CN564">
        <f>IFERROR(INDEX(PP_Grid[#Data],$DE564,89),0)</f>
        <v/>
      </c>
      <c r="CO564">
        <f>IFERROR(INDEX(PP_Grid[#Data],$DE564,90),0)</f>
        <v/>
      </c>
      <c r="CP564">
        <f>IFERROR(INDEX(PP_Grid[#Data],$DE564,91),0)</f>
        <v/>
      </c>
      <c r="CQ564">
        <f>IFERROR(INDEX(PP_Grid[#Data],$DE564,92),0)</f>
        <v/>
      </c>
      <c r="CR564">
        <f>IFERROR(INDEX(PP_Grid[#Data],$DE564,93),0)</f>
        <v/>
      </c>
      <c r="CS564">
        <f>IFERROR(INDEX(PP_Grid[#Data],$DE564,94),0)</f>
        <v/>
      </c>
      <c r="CT564">
        <f>IFERROR(INDEX(PP_Grid[#Data],$DE564,95),0)</f>
        <v/>
      </c>
      <c r="CU564">
        <f>IFERROR(INDEX(PP_Grid[#Data],$DE564,96),0)</f>
        <v/>
      </c>
      <c r="CV564">
        <f>IFERROR(INDEX(PP_Grid[#Data],$DE564,97),0)</f>
        <v/>
      </c>
      <c r="CW564">
        <f>IFERROR(INDEX(PP_Grid[#Data],$DE564,98),0)</f>
        <v/>
      </c>
      <c r="CX564">
        <f>IFERROR(INDEX(PP_Grid[#Data],$DE564,99),0)</f>
        <v/>
      </c>
      <c r="CY564">
        <f>IFERROR(INDEX(PP_Grid[#Data],$DE564,100),0)</f>
        <v/>
      </c>
      <c r="CZ564">
        <f>IFERROR(INDEX(PP_Grid[#Data],$DE564,101),0)</f>
        <v/>
      </c>
      <c r="DA564">
        <f>IFERROR(INDEX(PP_Grid[#Data],$DE564,102),0)</f>
        <v/>
      </c>
      <c r="DB564">
        <f>IFERROR(INDEX(PP_Grid[#Data],$DE564,103),0)</f>
        <v/>
      </c>
      <c r="DC564">
        <f>IFERROR(INDEX(PP_Grid[#Data],$DE564,104),0)</f>
        <v/>
      </c>
      <c r="DD564">
        <f>IFERROR(INDEX(PP_Grid[#Data],$DE564,105),0)</f>
        <v/>
      </c>
      <c r="DE564" s="7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SUMIFS(M_BOM[RM_Qty_Per_Batch],M_BOM[Intermediate],$B564,M_BOM[RM_Code],$A497)</f>
        <v/>
      </c>
      <c r="D565">
        <f>IFERROR(INDEX(E565:DD565,$F$1),"")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  <c r="DD565">
        <f>$C565*DD564</f>
        <v/>
      </c>
    </row>
    <row r="566">
      <c r="B566" t="inlineStr">
        <is>
          <t>TSP-1388</t>
        </is>
      </c>
      <c r="C566" t="inlineStr">
        <is>
          <t>No. of batches</t>
        </is>
      </c>
      <c r="D566">
        <f>IFERROR(INDEX(E566:DD566,$F$1),"")</f>
        <v/>
      </c>
      <c r="E566">
        <f>IFERROR(INDEX(PP_Grid[#Data],$DE566,2),0)</f>
        <v/>
      </c>
      <c r="F566">
        <f>IFERROR(INDEX(PP_Grid[#Data],$DE566,3),0)</f>
        <v/>
      </c>
      <c r="G566">
        <f>IFERROR(INDEX(PP_Grid[#Data],$DE566,4),0)</f>
        <v/>
      </c>
      <c r="H566">
        <f>IFERROR(INDEX(PP_Grid[#Data],$DE566,5),0)</f>
        <v/>
      </c>
      <c r="I566">
        <f>IFERROR(INDEX(PP_Grid[#Data],$DE566,6),0)</f>
        <v/>
      </c>
      <c r="J566">
        <f>IFERROR(INDEX(PP_Grid[#Data],$DE566,7),0)</f>
        <v/>
      </c>
      <c r="K566">
        <f>IFERROR(INDEX(PP_Grid[#Data],$DE566,8),0)</f>
        <v/>
      </c>
      <c r="L566">
        <f>IFERROR(INDEX(PP_Grid[#Data],$DE566,9),0)</f>
        <v/>
      </c>
      <c r="M566">
        <f>IFERROR(INDEX(PP_Grid[#Data],$DE566,10),0)</f>
        <v/>
      </c>
      <c r="N566">
        <f>IFERROR(INDEX(PP_Grid[#Data],$DE566,11),0)</f>
        <v/>
      </c>
      <c r="O566">
        <f>IFERROR(INDEX(PP_Grid[#Data],$DE566,12),0)</f>
        <v/>
      </c>
      <c r="P566">
        <f>IFERROR(INDEX(PP_Grid[#Data],$DE566,13),0)</f>
        <v/>
      </c>
      <c r="Q566">
        <f>IFERROR(INDEX(PP_Grid[#Data],$DE566,14),0)</f>
        <v/>
      </c>
      <c r="R566">
        <f>IFERROR(INDEX(PP_Grid[#Data],$DE566,15),0)</f>
        <v/>
      </c>
      <c r="S566">
        <f>IFERROR(INDEX(PP_Grid[#Data],$DE566,16),0)</f>
        <v/>
      </c>
      <c r="T566">
        <f>IFERROR(INDEX(PP_Grid[#Data],$DE566,17),0)</f>
        <v/>
      </c>
      <c r="U566">
        <f>IFERROR(INDEX(PP_Grid[#Data],$DE566,18),0)</f>
        <v/>
      </c>
      <c r="V566">
        <f>IFERROR(INDEX(PP_Grid[#Data],$DE566,19),0)</f>
        <v/>
      </c>
      <c r="W566">
        <f>IFERROR(INDEX(PP_Grid[#Data],$DE566,20),0)</f>
        <v/>
      </c>
      <c r="X566">
        <f>IFERROR(INDEX(PP_Grid[#Data],$DE566,21),0)</f>
        <v/>
      </c>
      <c r="Y566">
        <f>IFERROR(INDEX(PP_Grid[#Data],$DE566,22),0)</f>
        <v/>
      </c>
      <c r="Z566">
        <f>IFERROR(INDEX(PP_Grid[#Data],$DE566,23),0)</f>
        <v/>
      </c>
      <c r="AA566">
        <f>IFERROR(INDEX(PP_Grid[#Data],$DE566,24),0)</f>
        <v/>
      </c>
      <c r="AB566">
        <f>IFERROR(INDEX(PP_Grid[#Data],$DE566,25),0)</f>
        <v/>
      </c>
      <c r="AC566">
        <f>IFERROR(INDEX(PP_Grid[#Data],$DE566,26),0)</f>
        <v/>
      </c>
      <c r="AD566">
        <f>IFERROR(INDEX(PP_Grid[#Data],$DE566,27),0)</f>
        <v/>
      </c>
      <c r="AE566">
        <f>IFERROR(INDEX(PP_Grid[#Data],$DE566,28),0)</f>
        <v/>
      </c>
      <c r="AF566">
        <f>IFERROR(INDEX(PP_Grid[#Data],$DE566,29),0)</f>
        <v/>
      </c>
      <c r="AG566">
        <f>IFERROR(INDEX(PP_Grid[#Data],$DE566,30),0)</f>
        <v/>
      </c>
      <c r="AH566">
        <f>IFERROR(INDEX(PP_Grid[#Data],$DE566,31),0)</f>
        <v/>
      </c>
      <c r="AI566">
        <f>IFERROR(INDEX(PP_Grid[#Data],$DE566,32),0)</f>
        <v/>
      </c>
      <c r="AJ566">
        <f>IFERROR(INDEX(PP_Grid[#Data],$DE566,33),0)</f>
        <v/>
      </c>
      <c r="AK566">
        <f>IFERROR(INDEX(PP_Grid[#Data],$DE566,34),0)</f>
        <v/>
      </c>
      <c r="AL566">
        <f>IFERROR(INDEX(PP_Grid[#Data],$DE566,35),0)</f>
        <v/>
      </c>
      <c r="AM566">
        <f>IFERROR(INDEX(PP_Grid[#Data],$DE566,36),0)</f>
        <v/>
      </c>
      <c r="AN566">
        <f>IFERROR(INDEX(PP_Grid[#Data],$DE566,37),0)</f>
        <v/>
      </c>
      <c r="AO566">
        <f>IFERROR(INDEX(PP_Grid[#Data],$DE566,38),0)</f>
        <v/>
      </c>
      <c r="AP566">
        <f>IFERROR(INDEX(PP_Grid[#Data],$DE566,39),0)</f>
        <v/>
      </c>
      <c r="AQ566">
        <f>IFERROR(INDEX(PP_Grid[#Data],$DE566,40),0)</f>
        <v/>
      </c>
      <c r="AR566">
        <f>IFERROR(INDEX(PP_Grid[#Data],$DE566,41),0)</f>
        <v/>
      </c>
      <c r="AS566">
        <f>IFERROR(INDEX(PP_Grid[#Data],$DE566,42),0)</f>
        <v/>
      </c>
      <c r="AT566">
        <f>IFERROR(INDEX(PP_Grid[#Data],$DE566,43),0)</f>
        <v/>
      </c>
      <c r="AU566">
        <f>IFERROR(INDEX(PP_Grid[#Data],$DE566,44),0)</f>
        <v/>
      </c>
      <c r="AV566">
        <f>IFERROR(INDEX(PP_Grid[#Data],$DE566,45),0)</f>
        <v/>
      </c>
      <c r="AW566">
        <f>IFERROR(INDEX(PP_Grid[#Data],$DE566,46),0)</f>
        <v/>
      </c>
      <c r="AX566">
        <f>IFERROR(INDEX(PP_Grid[#Data],$DE566,47),0)</f>
        <v/>
      </c>
      <c r="AY566">
        <f>IFERROR(INDEX(PP_Grid[#Data],$DE566,48),0)</f>
        <v/>
      </c>
      <c r="AZ566">
        <f>IFERROR(INDEX(PP_Grid[#Data],$DE566,49),0)</f>
        <v/>
      </c>
      <c r="BA566">
        <f>IFERROR(INDEX(PP_Grid[#Data],$DE566,50),0)</f>
        <v/>
      </c>
      <c r="BB566">
        <f>IFERROR(INDEX(PP_Grid[#Data],$DE566,51),0)</f>
        <v/>
      </c>
      <c r="BC566">
        <f>IFERROR(INDEX(PP_Grid[#Data],$DE566,52),0)</f>
        <v/>
      </c>
      <c r="BD566">
        <f>IFERROR(INDEX(PP_Grid[#Data],$DE566,53),0)</f>
        <v/>
      </c>
      <c r="BE566">
        <f>IFERROR(INDEX(PP_Grid[#Data],$DE566,54),0)</f>
        <v/>
      </c>
      <c r="BF566">
        <f>IFERROR(INDEX(PP_Grid[#Data],$DE566,55),0)</f>
        <v/>
      </c>
      <c r="BG566">
        <f>IFERROR(INDEX(PP_Grid[#Data],$DE566,56),0)</f>
        <v/>
      </c>
      <c r="BH566">
        <f>IFERROR(INDEX(PP_Grid[#Data],$DE566,57),0)</f>
        <v/>
      </c>
      <c r="BI566">
        <f>IFERROR(INDEX(PP_Grid[#Data],$DE566,58),0)</f>
        <v/>
      </c>
      <c r="BJ566">
        <f>IFERROR(INDEX(PP_Grid[#Data],$DE566,59),0)</f>
        <v/>
      </c>
      <c r="BK566">
        <f>IFERROR(INDEX(PP_Grid[#Data],$DE566,60),0)</f>
        <v/>
      </c>
      <c r="BL566">
        <f>IFERROR(INDEX(PP_Grid[#Data],$DE566,61),0)</f>
        <v/>
      </c>
      <c r="BM566">
        <f>IFERROR(INDEX(PP_Grid[#Data],$DE566,62),0)</f>
        <v/>
      </c>
      <c r="BN566">
        <f>IFERROR(INDEX(PP_Grid[#Data],$DE566,63),0)</f>
        <v/>
      </c>
      <c r="BO566">
        <f>IFERROR(INDEX(PP_Grid[#Data],$DE566,64),0)</f>
        <v/>
      </c>
      <c r="BP566">
        <f>IFERROR(INDEX(PP_Grid[#Data],$DE566,65),0)</f>
        <v/>
      </c>
      <c r="BQ566">
        <f>IFERROR(INDEX(PP_Grid[#Data],$DE566,66),0)</f>
        <v/>
      </c>
      <c r="BR566">
        <f>IFERROR(INDEX(PP_Grid[#Data],$DE566,67),0)</f>
        <v/>
      </c>
      <c r="BS566">
        <f>IFERROR(INDEX(PP_Grid[#Data],$DE566,68),0)</f>
        <v/>
      </c>
      <c r="BT566">
        <f>IFERROR(INDEX(PP_Grid[#Data],$DE566,69),0)</f>
        <v/>
      </c>
      <c r="BU566">
        <f>IFERROR(INDEX(PP_Grid[#Data],$DE566,70),0)</f>
        <v/>
      </c>
      <c r="BV566">
        <f>IFERROR(INDEX(PP_Grid[#Data],$DE566,71),0)</f>
        <v/>
      </c>
      <c r="BW566">
        <f>IFERROR(INDEX(PP_Grid[#Data],$DE566,72),0)</f>
        <v/>
      </c>
      <c r="BX566">
        <f>IFERROR(INDEX(PP_Grid[#Data],$DE566,73),0)</f>
        <v/>
      </c>
      <c r="BY566">
        <f>IFERROR(INDEX(PP_Grid[#Data],$DE566,74),0)</f>
        <v/>
      </c>
      <c r="BZ566">
        <f>IFERROR(INDEX(PP_Grid[#Data],$DE566,75),0)</f>
        <v/>
      </c>
      <c r="CA566">
        <f>IFERROR(INDEX(PP_Grid[#Data],$DE566,76),0)</f>
        <v/>
      </c>
      <c r="CB566">
        <f>IFERROR(INDEX(PP_Grid[#Data],$DE566,77),0)</f>
        <v/>
      </c>
      <c r="CC566">
        <f>IFERROR(INDEX(PP_Grid[#Data],$DE566,78),0)</f>
        <v/>
      </c>
      <c r="CD566">
        <f>IFERROR(INDEX(PP_Grid[#Data],$DE566,79),0)</f>
        <v/>
      </c>
      <c r="CE566">
        <f>IFERROR(INDEX(PP_Grid[#Data],$DE566,80),0)</f>
        <v/>
      </c>
      <c r="CF566">
        <f>IFERROR(INDEX(PP_Grid[#Data],$DE566,81),0)</f>
        <v/>
      </c>
      <c r="CG566">
        <f>IFERROR(INDEX(PP_Grid[#Data],$DE566,82),0)</f>
        <v/>
      </c>
      <c r="CH566">
        <f>IFERROR(INDEX(PP_Grid[#Data],$DE566,83),0)</f>
        <v/>
      </c>
      <c r="CI566">
        <f>IFERROR(INDEX(PP_Grid[#Data],$DE566,84),0)</f>
        <v/>
      </c>
      <c r="CJ566">
        <f>IFERROR(INDEX(PP_Grid[#Data],$DE566,85),0)</f>
        <v/>
      </c>
      <c r="CK566">
        <f>IFERROR(INDEX(PP_Grid[#Data],$DE566,86),0)</f>
        <v/>
      </c>
      <c r="CL566">
        <f>IFERROR(INDEX(PP_Grid[#Data],$DE566,87),0)</f>
        <v/>
      </c>
      <c r="CM566">
        <f>IFERROR(INDEX(PP_Grid[#Data],$DE566,88),0)</f>
        <v/>
      </c>
      <c r="CN566">
        <f>IFERROR(INDEX(PP_Grid[#Data],$DE566,89),0)</f>
        <v/>
      </c>
      <c r="CO566">
        <f>IFERROR(INDEX(PP_Grid[#Data],$DE566,90),0)</f>
        <v/>
      </c>
      <c r="CP566">
        <f>IFERROR(INDEX(PP_Grid[#Data],$DE566,91),0)</f>
        <v/>
      </c>
      <c r="CQ566">
        <f>IFERROR(INDEX(PP_Grid[#Data],$DE566,92),0)</f>
        <v/>
      </c>
      <c r="CR566">
        <f>IFERROR(INDEX(PP_Grid[#Data],$DE566,93),0)</f>
        <v/>
      </c>
      <c r="CS566">
        <f>IFERROR(INDEX(PP_Grid[#Data],$DE566,94),0)</f>
        <v/>
      </c>
      <c r="CT566">
        <f>IFERROR(INDEX(PP_Grid[#Data],$DE566,95),0)</f>
        <v/>
      </c>
      <c r="CU566">
        <f>IFERROR(INDEX(PP_Grid[#Data],$DE566,96),0)</f>
        <v/>
      </c>
      <c r="CV566">
        <f>IFERROR(INDEX(PP_Grid[#Data],$DE566,97),0)</f>
        <v/>
      </c>
      <c r="CW566">
        <f>IFERROR(INDEX(PP_Grid[#Data],$DE566,98),0)</f>
        <v/>
      </c>
      <c r="CX566">
        <f>IFERROR(INDEX(PP_Grid[#Data],$DE566,99),0)</f>
        <v/>
      </c>
      <c r="CY566">
        <f>IFERROR(INDEX(PP_Grid[#Data],$DE566,100),0)</f>
        <v/>
      </c>
      <c r="CZ566">
        <f>IFERROR(INDEX(PP_Grid[#Data],$DE566,101),0)</f>
        <v/>
      </c>
      <c r="DA566">
        <f>IFERROR(INDEX(PP_Grid[#Data],$DE566,102),0)</f>
        <v/>
      </c>
      <c r="DB566">
        <f>IFERROR(INDEX(PP_Grid[#Data],$DE566,103),0)</f>
        <v/>
      </c>
      <c r="DC566">
        <f>IFERROR(INDEX(PP_Grid[#Data],$DE566,104),0)</f>
        <v/>
      </c>
      <c r="DD566">
        <f>IFERROR(INDEX(PP_Grid[#Data],$DE566,105),0)</f>
        <v/>
      </c>
      <c r="DE566" s="7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SUMIFS(M_BOM[RM_Qty_Per_Batch],M_BOM[Intermediate],$B566,M_BOM[RM_Code],$A497)</f>
        <v/>
      </c>
      <c r="D567">
        <f>IFERROR(INDEX(E567:DD567,$F$1),"")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  <c r="DD567">
        <f>$C567*DD566</f>
        <v/>
      </c>
    </row>
    <row r="568">
      <c r="B568" t="inlineStr">
        <is>
          <t>TSP-1444</t>
        </is>
      </c>
      <c r="C568" t="inlineStr">
        <is>
          <t>No. of batches</t>
        </is>
      </c>
      <c r="D568">
        <f>IFERROR(INDEX(E568:DD568,$F$1),"")</f>
        <v/>
      </c>
      <c r="E568">
        <f>IFERROR(INDEX(PP_Grid[#Data],$DE568,2),0)</f>
        <v/>
      </c>
      <c r="F568">
        <f>IFERROR(INDEX(PP_Grid[#Data],$DE568,3),0)</f>
        <v/>
      </c>
      <c r="G568">
        <f>IFERROR(INDEX(PP_Grid[#Data],$DE568,4),0)</f>
        <v/>
      </c>
      <c r="H568">
        <f>IFERROR(INDEX(PP_Grid[#Data],$DE568,5),0)</f>
        <v/>
      </c>
      <c r="I568">
        <f>IFERROR(INDEX(PP_Grid[#Data],$DE568,6),0)</f>
        <v/>
      </c>
      <c r="J568">
        <f>IFERROR(INDEX(PP_Grid[#Data],$DE568,7),0)</f>
        <v/>
      </c>
      <c r="K568">
        <f>IFERROR(INDEX(PP_Grid[#Data],$DE568,8),0)</f>
        <v/>
      </c>
      <c r="L568">
        <f>IFERROR(INDEX(PP_Grid[#Data],$DE568,9),0)</f>
        <v/>
      </c>
      <c r="M568">
        <f>IFERROR(INDEX(PP_Grid[#Data],$DE568,10),0)</f>
        <v/>
      </c>
      <c r="N568">
        <f>IFERROR(INDEX(PP_Grid[#Data],$DE568,11),0)</f>
        <v/>
      </c>
      <c r="O568">
        <f>IFERROR(INDEX(PP_Grid[#Data],$DE568,12),0)</f>
        <v/>
      </c>
      <c r="P568">
        <f>IFERROR(INDEX(PP_Grid[#Data],$DE568,13),0)</f>
        <v/>
      </c>
      <c r="Q568">
        <f>IFERROR(INDEX(PP_Grid[#Data],$DE568,14),0)</f>
        <v/>
      </c>
      <c r="R568">
        <f>IFERROR(INDEX(PP_Grid[#Data],$DE568,15),0)</f>
        <v/>
      </c>
      <c r="S568">
        <f>IFERROR(INDEX(PP_Grid[#Data],$DE568,16),0)</f>
        <v/>
      </c>
      <c r="T568">
        <f>IFERROR(INDEX(PP_Grid[#Data],$DE568,17),0)</f>
        <v/>
      </c>
      <c r="U568">
        <f>IFERROR(INDEX(PP_Grid[#Data],$DE568,18),0)</f>
        <v/>
      </c>
      <c r="V568">
        <f>IFERROR(INDEX(PP_Grid[#Data],$DE568,19),0)</f>
        <v/>
      </c>
      <c r="W568">
        <f>IFERROR(INDEX(PP_Grid[#Data],$DE568,20),0)</f>
        <v/>
      </c>
      <c r="X568">
        <f>IFERROR(INDEX(PP_Grid[#Data],$DE568,21),0)</f>
        <v/>
      </c>
      <c r="Y568">
        <f>IFERROR(INDEX(PP_Grid[#Data],$DE568,22),0)</f>
        <v/>
      </c>
      <c r="Z568">
        <f>IFERROR(INDEX(PP_Grid[#Data],$DE568,23),0)</f>
        <v/>
      </c>
      <c r="AA568">
        <f>IFERROR(INDEX(PP_Grid[#Data],$DE568,24),0)</f>
        <v/>
      </c>
      <c r="AB568">
        <f>IFERROR(INDEX(PP_Grid[#Data],$DE568,25),0)</f>
        <v/>
      </c>
      <c r="AC568">
        <f>IFERROR(INDEX(PP_Grid[#Data],$DE568,26),0)</f>
        <v/>
      </c>
      <c r="AD568">
        <f>IFERROR(INDEX(PP_Grid[#Data],$DE568,27),0)</f>
        <v/>
      </c>
      <c r="AE568">
        <f>IFERROR(INDEX(PP_Grid[#Data],$DE568,28),0)</f>
        <v/>
      </c>
      <c r="AF568">
        <f>IFERROR(INDEX(PP_Grid[#Data],$DE568,29),0)</f>
        <v/>
      </c>
      <c r="AG568">
        <f>IFERROR(INDEX(PP_Grid[#Data],$DE568,30),0)</f>
        <v/>
      </c>
      <c r="AH568">
        <f>IFERROR(INDEX(PP_Grid[#Data],$DE568,31),0)</f>
        <v/>
      </c>
      <c r="AI568">
        <f>IFERROR(INDEX(PP_Grid[#Data],$DE568,32),0)</f>
        <v/>
      </c>
      <c r="AJ568">
        <f>IFERROR(INDEX(PP_Grid[#Data],$DE568,33),0)</f>
        <v/>
      </c>
      <c r="AK568">
        <f>IFERROR(INDEX(PP_Grid[#Data],$DE568,34),0)</f>
        <v/>
      </c>
      <c r="AL568">
        <f>IFERROR(INDEX(PP_Grid[#Data],$DE568,35),0)</f>
        <v/>
      </c>
      <c r="AM568">
        <f>IFERROR(INDEX(PP_Grid[#Data],$DE568,36),0)</f>
        <v/>
      </c>
      <c r="AN568">
        <f>IFERROR(INDEX(PP_Grid[#Data],$DE568,37),0)</f>
        <v/>
      </c>
      <c r="AO568">
        <f>IFERROR(INDEX(PP_Grid[#Data],$DE568,38),0)</f>
        <v/>
      </c>
      <c r="AP568">
        <f>IFERROR(INDEX(PP_Grid[#Data],$DE568,39),0)</f>
        <v/>
      </c>
      <c r="AQ568">
        <f>IFERROR(INDEX(PP_Grid[#Data],$DE568,40),0)</f>
        <v/>
      </c>
      <c r="AR568">
        <f>IFERROR(INDEX(PP_Grid[#Data],$DE568,41),0)</f>
        <v/>
      </c>
      <c r="AS568">
        <f>IFERROR(INDEX(PP_Grid[#Data],$DE568,42),0)</f>
        <v/>
      </c>
      <c r="AT568">
        <f>IFERROR(INDEX(PP_Grid[#Data],$DE568,43),0)</f>
        <v/>
      </c>
      <c r="AU568">
        <f>IFERROR(INDEX(PP_Grid[#Data],$DE568,44),0)</f>
        <v/>
      </c>
      <c r="AV568">
        <f>IFERROR(INDEX(PP_Grid[#Data],$DE568,45),0)</f>
        <v/>
      </c>
      <c r="AW568">
        <f>IFERROR(INDEX(PP_Grid[#Data],$DE568,46),0)</f>
        <v/>
      </c>
      <c r="AX568">
        <f>IFERROR(INDEX(PP_Grid[#Data],$DE568,47),0)</f>
        <v/>
      </c>
      <c r="AY568">
        <f>IFERROR(INDEX(PP_Grid[#Data],$DE568,48),0)</f>
        <v/>
      </c>
      <c r="AZ568">
        <f>IFERROR(INDEX(PP_Grid[#Data],$DE568,49),0)</f>
        <v/>
      </c>
      <c r="BA568">
        <f>IFERROR(INDEX(PP_Grid[#Data],$DE568,50),0)</f>
        <v/>
      </c>
      <c r="BB568">
        <f>IFERROR(INDEX(PP_Grid[#Data],$DE568,51),0)</f>
        <v/>
      </c>
      <c r="BC568">
        <f>IFERROR(INDEX(PP_Grid[#Data],$DE568,52),0)</f>
        <v/>
      </c>
      <c r="BD568">
        <f>IFERROR(INDEX(PP_Grid[#Data],$DE568,53),0)</f>
        <v/>
      </c>
      <c r="BE568">
        <f>IFERROR(INDEX(PP_Grid[#Data],$DE568,54),0)</f>
        <v/>
      </c>
      <c r="BF568">
        <f>IFERROR(INDEX(PP_Grid[#Data],$DE568,55),0)</f>
        <v/>
      </c>
      <c r="BG568">
        <f>IFERROR(INDEX(PP_Grid[#Data],$DE568,56),0)</f>
        <v/>
      </c>
      <c r="BH568">
        <f>IFERROR(INDEX(PP_Grid[#Data],$DE568,57),0)</f>
        <v/>
      </c>
      <c r="BI568">
        <f>IFERROR(INDEX(PP_Grid[#Data],$DE568,58),0)</f>
        <v/>
      </c>
      <c r="BJ568">
        <f>IFERROR(INDEX(PP_Grid[#Data],$DE568,59),0)</f>
        <v/>
      </c>
      <c r="BK568">
        <f>IFERROR(INDEX(PP_Grid[#Data],$DE568,60),0)</f>
        <v/>
      </c>
      <c r="BL568">
        <f>IFERROR(INDEX(PP_Grid[#Data],$DE568,61),0)</f>
        <v/>
      </c>
      <c r="BM568">
        <f>IFERROR(INDEX(PP_Grid[#Data],$DE568,62),0)</f>
        <v/>
      </c>
      <c r="BN568">
        <f>IFERROR(INDEX(PP_Grid[#Data],$DE568,63),0)</f>
        <v/>
      </c>
      <c r="BO568">
        <f>IFERROR(INDEX(PP_Grid[#Data],$DE568,64),0)</f>
        <v/>
      </c>
      <c r="BP568">
        <f>IFERROR(INDEX(PP_Grid[#Data],$DE568,65),0)</f>
        <v/>
      </c>
      <c r="BQ568">
        <f>IFERROR(INDEX(PP_Grid[#Data],$DE568,66),0)</f>
        <v/>
      </c>
      <c r="BR568">
        <f>IFERROR(INDEX(PP_Grid[#Data],$DE568,67),0)</f>
        <v/>
      </c>
      <c r="BS568">
        <f>IFERROR(INDEX(PP_Grid[#Data],$DE568,68),0)</f>
        <v/>
      </c>
      <c r="BT568">
        <f>IFERROR(INDEX(PP_Grid[#Data],$DE568,69),0)</f>
        <v/>
      </c>
      <c r="BU568">
        <f>IFERROR(INDEX(PP_Grid[#Data],$DE568,70),0)</f>
        <v/>
      </c>
      <c r="BV568">
        <f>IFERROR(INDEX(PP_Grid[#Data],$DE568,71),0)</f>
        <v/>
      </c>
      <c r="BW568">
        <f>IFERROR(INDEX(PP_Grid[#Data],$DE568,72),0)</f>
        <v/>
      </c>
      <c r="BX568">
        <f>IFERROR(INDEX(PP_Grid[#Data],$DE568,73),0)</f>
        <v/>
      </c>
      <c r="BY568">
        <f>IFERROR(INDEX(PP_Grid[#Data],$DE568,74),0)</f>
        <v/>
      </c>
      <c r="BZ568">
        <f>IFERROR(INDEX(PP_Grid[#Data],$DE568,75),0)</f>
        <v/>
      </c>
      <c r="CA568">
        <f>IFERROR(INDEX(PP_Grid[#Data],$DE568,76),0)</f>
        <v/>
      </c>
      <c r="CB568">
        <f>IFERROR(INDEX(PP_Grid[#Data],$DE568,77),0)</f>
        <v/>
      </c>
      <c r="CC568">
        <f>IFERROR(INDEX(PP_Grid[#Data],$DE568,78),0)</f>
        <v/>
      </c>
      <c r="CD568">
        <f>IFERROR(INDEX(PP_Grid[#Data],$DE568,79),0)</f>
        <v/>
      </c>
      <c r="CE568">
        <f>IFERROR(INDEX(PP_Grid[#Data],$DE568,80),0)</f>
        <v/>
      </c>
      <c r="CF568">
        <f>IFERROR(INDEX(PP_Grid[#Data],$DE568,81),0)</f>
        <v/>
      </c>
      <c r="CG568">
        <f>IFERROR(INDEX(PP_Grid[#Data],$DE568,82),0)</f>
        <v/>
      </c>
      <c r="CH568">
        <f>IFERROR(INDEX(PP_Grid[#Data],$DE568,83),0)</f>
        <v/>
      </c>
      <c r="CI568">
        <f>IFERROR(INDEX(PP_Grid[#Data],$DE568,84),0)</f>
        <v/>
      </c>
      <c r="CJ568">
        <f>IFERROR(INDEX(PP_Grid[#Data],$DE568,85),0)</f>
        <v/>
      </c>
      <c r="CK568">
        <f>IFERROR(INDEX(PP_Grid[#Data],$DE568,86),0)</f>
        <v/>
      </c>
      <c r="CL568">
        <f>IFERROR(INDEX(PP_Grid[#Data],$DE568,87),0)</f>
        <v/>
      </c>
      <c r="CM568">
        <f>IFERROR(INDEX(PP_Grid[#Data],$DE568,88),0)</f>
        <v/>
      </c>
      <c r="CN568">
        <f>IFERROR(INDEX(PP_Grid[#Data],$DE568,89),0)</f>
        <v/>
      </c>
      <c r="CO568">
        <f>IFERROR(INDEX(PP_Grid[#Data],$DE568,90),0)</f>
        <v/>
      </c>
      <c r="CP568">
        <f>IFERROR(INDEX(PP_Grid[#Data],$DE568,91),0)</f>
        <v/>
      </c>
      <c r="CQ568">
        <f>IFERROR(INDEX(PP_Grid[#Data],$DE568,92),0)</f>
        <v/>
      </c>
      <c r="CR568">
        <f>IFERROR(INDEX(PP_Grid[#Data],$DE568,93),0)</f>
        <v/>
      </c>
      <c r="CS568">
        <f>IFERROR(INDEX(PP_Grid[#Data],$DE568,94),0)</f>
        <v/>
      </c>
      <c r="CT568">
        <f>IFERROR(INDEX(PP_Grid[#Data],$DE568,95),0)</f>
        <v/>
      </c>
      <c r="CU568">
        <f>IFERROR(INDEX(PP_Grid[#Data],$DE568,96),0)</f>
        <v/>
      </c>
      <c r="CV568">
        <f>IFERROR(INDEX(PP_Grid[#Data],$DE568,97),0)</f>
        <v/>
      </c>
      <c r="CW568">
        <f>IFERROR(INDEX(PP_Grid[#Data],$DE568,98),0)</f>
        <v/>
      </c>
      <c r="CX568">
        <f>IFERROR(INDEX(PP_Grid[#Data],$DE568,99),0)</f>
        <v/>
      </c>
      <c r="CY568">
        <f>IFERROR(INDEX(PP_Grid[#Data],$DE568,100),0)</f>
        <v/>
      </c>
      <c r="CZ568">
        <f>IFERROR(INDEX(PP_Grid[#Data],$DE568,101),0)</f>
        <v/>
      </c>
      <c r="DA568">
        <f>IFERROR(INDEX(PP_Grid[#Data],$DE568,102),0)</f>
        <v/>
      </c>
      <c r="DB568">
        <f>IFERROR(INDEX(PP_Grid[#Data],$DE568,103),0)</f>
        <v/>
      </c>
      <c r="DC568">
        <f>IFERROR(INDEX(PP_Grid[#Data],$DE568,104),0)</f>
        <v/>
      </c>
      <c r="DD568">
        <f>IFERROR(INDEX(PP_Grid[#Data],$DE568,105),0)</f>
        <v/>
      </c>
      <c r="DE568" s="7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SUMIFS(M_BOM[RM_Qty_Per_Batch],M_BOM[Intermediate],$B568,M_BOM[RM_Code],$A497)</f>
        <v/>
      </c>
      <c r="D569">
        <f>IFERROR(INDEX(E569:DD569,$F$1),"")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  <c r="DD569">
        <f>$C569*DD568</f>
        <v/>
      </c>
    </row>
    <row r="570">
      <c r="B570" t="inlineStr">
        <is>
          <t>TSP-1448</t>
        </is>
      </c>
      <c r="C570" t="inlineStr">
        <is>
          <t>No. of batches</t>
        </is>
      </c>
      <c r="D570">
        <f>IFERROR(INDEX(E570:DD570,$F$1),"")</f>
        <v/>
      </c>
      <c r="E570">
        <f>IFERROR(INDEX(PP_Grid[#Data],$DE570,2),0)</f>
        <v/>
      </c>
      <c r="F570">
        <f>IFERROR(INDEX(PP_Grid[#Data],$DE570,3),0)</f>
        <v/>
      </c>
      <c r="G570">
        <f>IFERROR(INDEX(PP_Grid[#Data],$DE570,4),0)</f>
        <v/>
      </c>
      <c r="H570">
        <f>IFERROR(INDEX(PP_Grid[#Data],$DE570,5),0)</f>
        <v/>
      </c>
      <c r="I570">
        <f>IFERROR(INDEX(PP_Grid[#Data],$DE570,6),0)</f>
        <v/>
      </c>
      <c r="J570">
        <f>IFERROR(INDEX(PP_Grid[#Data],$DE570,7),0)</f>
        <v/>
      </c>
      <c r="K570">
        <f>IFERROR(INDEX(PP_Grid[#Data],$DE570,8),0)</f>
        <v/>
      </c>
      <c r="L570">
        <f>IFERROR(INDEX(PP_Grid[#Data],$DE570,9),0)</f>
        <v/>
      </c>
      <c r="M570">
        <f>IFERROR(INDEX(PP_Grid[#Data],$DE570,10),0)</f>
        <v/>
      </c>
      <c r="N570">
        <f>IFERROR(INDEX(PP_Grid[#Data],$DE570,11),0)</f>
        <v/>
      </c>
      <c r="O570">
        <f>IFERROR(INDEX(PP_Grid[#Data],$DE570,12),0)</f>
        <v/>
      </c>
      <c r="P570">
        <f>IFERROR(INDEX(PP_Grid[#Data],$DE570,13),0)</f>
        <v/>
      </c>
      <c r="Q570">
        <f>IFERROR(INDEX(PP_Grid[#Data],$DE570,14),0)</f>
        <v/>
      </c>
      <c r="R570">
        <f>IFERROR(INDEX(PP_Grid[#Data],$DE570,15),0)</f>
        <v/>
      </c>
      <c r="S570">
        <f>IFERROR(INDEX(PP_Grid[#Data],$DE570,16),0)</f>
        <v/>
      </c>
      <c r="T570">
        <f>IFERROR(INDEX(PP_Grid[#Data],$DE570,17),0)</f>
        <v/>
      </c>
      <c r="U570">
        <f>IFERROR(INDEX(PP_Grid[#Data],$DE570,18),0)</f>
        <v/>
      </c>
      <c r="V570">
        <f>IFERROR(INDEX(PP_Grid[#Data],$DE570,19),0)</f>
        <v/>
      </c>
      <c r="W570">
        <f>IFERROR(INDEX(PP_Grid[#Data],$DE570,20),0)</f>
        <v/>
      </c>
      <c r="X570">
        <f>IFERROR(INDEX(PP_Grid[#Data],$DE570,21),0)</f>
        <v/>
      </c>
      <c r="Y570">
        <f>IFERROR(INDEX(PP_Grid[#Data],$DE570,22),0)</f>
        <v/>
      </c>
      <c r="Z570">
        <f>IFERROR(INDEX(PP_Grid[#Data],$DE570,23),0)</f>
        <v/>
      </c>
      <c r="AA570">
        <f>IFERROR(INDEX(PP_Grid[#Data],$DE570,24),0)</f>
        <v/>
      </c>
      <c r="AB570">
        <f>IFERROR(INDEX(PP_Grid[#Data],$DE570,25),0)</f>
        <v/>
      </c>
      <c r="AC570">
        <f>IFERROR(INDEX(PP_Grid[#Data],$DE570,26),0)</f>
        <v/>
      </c>
      <c r="AD570">
        <f>IFERROR(INDEX(PP_Grid[#Data],$DE570,27),0)</f>
        <v/>
      </c>
      <c r="AE570">
        <f>IFERROR(INDEX(PP_Grid[#Data],$DE570,28),0)</f>
        <v/>
      </c>
      <c r="AF570">
        <f>IFERROR(INDEX(PP_Grid[#Data],$DE570,29),0)</f>
        <v/>
      </c>
      <c r="AG570">
        <f>IFERROR(INDEX(PP_Grid[#Data],$DE570,30),0)</f>
        <v/>
      </c>
      <c r="AH570">
        <f>IFERROR(INDEX(PP_Grid[#Data],$DE570,31),0)</f>
        <v/>
      </c>
      <c r="AI570">
        <f>IFERROR(INDEX(PP_Grid[#Data],$DE570,32),0)</f>
        <v/>
      </c>
      <c r="AJ570">
        <f>IFERROR(INDEX(PP_Grid[#Data],$DE570,33),0)</f>
        <v/>
      </c>
      <c r="AK570">
        <f>IFERROR(INDEX(PP_Grid[#Data],$DE570,34),0)</f>
        <v/>
      </c>
      <c r="AL570">
        <f>IFERROR(INDEX(PP_Grid[#Data],$DE570,35),0)</f>
        <v/>
      </c>
      <c r="AM570">
        <f>IFERROR(INDEX(PP_Grid[#Data],$DE570,36),0)</f>
        <v/>
      </c>
      <c r="AN570">
        <f>IFERROR(INDEX(PP_Grid[#Data],$DE570,37),0)</f>
        <v/>
      </c>
      <c r="AO570">
        <f>IFERROR(INDEX(PP_Grid[#Data],$DE570,38),0)</f>
        <v/>
      </c>
      <c r="AP570">
        <f>IFERROR(INDEX(PP_Grid[#Data],$DE570,39),0)</f>
        <v/>
      </c>
      <c r="AQ570">
        <f>IFERROR(INDEX(PP_Grid[#Data],$DE570,40),0)</f>
        <v/>
      </c>
      <c r="AR570">
        <f>IFERROR(INDEX(PP_Grid[#Data],$DE570,41),0)</f>
        <v/>
      </c>
      <c r="AS570">
        <f>IFERROR(INDEX(PP_Grid[#Data],$DE570,42),0)</f>
        <v/>
      </c>
      <c r="AT570">
        <f>IFERROR(INDEX(PP_Grid[#Data],$DE570,43),0)</f>
        <v/>
      </c>
      <c r="AU570">
        <f>IFERROR(INDEX(PP_Grid[#Data],$DE570,44),0)</f>
        <v/>
      </c>
      <c r="AV570">
        <f>IFERROR(INDEX(PP_Grid[#Data],$DE570,45),0)</f>
        <v/>
      </c>
      <c r="AW570">
        <f>IFERROR(INDEX(PP_Grid[#Data],$DE570,46),0)</f>
        <v/>
      </c>
      <c r="AX570">
        <f>IFERROR(INDEX(PP_Grid[#Data],$DE570,47),0)</f>
        <v/>
      </c>
      <c r="AY570">
        <f>IFERROR(INDEX(PP_Grid[#Data],$DE570,48),0)</f>
        <v/>
      </c>
      <c r="AZ570">
        <f>IFERROR(INDEX(PP_Grid[#Data],$DE570,49),0)</f>
        <v/>
      </c>
      <c r="BA570">
        <f>IFERROR(INDEX(PP_Grid[#Data],$DE570,50),0)</f>
        <v/>
      </c>
      <c r="BB570">
        <f>IFERROR(INDEX(PP_Grid[#Data],$DE570,51),0)</f>
        <v/>
      </c>
      <c r="BC570">
        <f>IFERROR(INDEX(PP_Grid[#Data],$DE570,52),0)</f>
        <v/>
      </c>
      <c r="BD570">
        <f>IFERROR(INDEX(PP_Grid[#Data],$DE570,53),0)</f>
        <v/>
      </c>
      <c r="BE570">
        <f>IFERROR(INDEX(PP_Grid[#Data],$DE570,54),0)</f>
        <v/>
      </c>
      <c r="BF570">
        <f>IFERROR(INDEX(PP_Grid[#Data],$DE570,55),0)</f>
        <v/>
      </c>
      <c r="BG570">
        <f>IFERROR(INDEX(PP_Grid[#Data],$DE570,56),0)</f>
        <v/>
      </c>
      <c r="BH570">
        <f>IFERROR(INDEX(PP_Grid[#Data],$DE570,57),0)</f>
        <v/>
      </c>
      <c r="BI570">
        <f>IFERROR(INDEX(PP_Grid[#Data],$DE570,58),0)</f>
        <v/>
      </c>
      <c r="BJ570">
        <f>IFERROR(INDEX(PP_Grid[#Data],$DE570,59),0)</f>
        <v/>
      </c>
      <c r="BK570">
        <f>IFERROR(INDEX(PP_Grid[#Data],$DE570,60),0)</f>
        <v/>
      </c>
      <c r="BL570">
        <f>IFERROR(INDEX(PP_Grid[#Data],$DE570,61),0)</f>
        <v/>
      </c>
      <c r="BM570">
        <f>IFERROR(INDEX(PP_Grid[#Data],$DE570,62),0)</f>
        <v/>
      </c>
      <c r="BN570">
        <f>IFERROR(INDEX(PP_Grid[#Data],$DE570,63),0)</f>
        <v/>
      </c>
      <c r="BO570">
        <f>IFERROR(INDEX(PP_Grid[#Data],$DE570,64),0)</f>
        <v/>
      </c>
      <c r="BP570">
        <f>IFERROR(INDEX(PP_Grid[#Data],$DE570,65),0)</f>
        <v/>
      </c>
      <c r="BQ570">
        <f>IFERROR(INDEX(PP_Grid[#Data],$DE570,66),0)</f>
        <v/>
      </c>
      <c r="BR570">
        <f>IFERROR(INDEX(PP_Grid[#Data],$DE570,67),0)</f>
        <v/>
      </c>
      <c r="BS570">
        <f>IFERROR(INDEX(PP_Grid[#Data],$DE570,68),0)</f>
        <v/>
      </c>
      <c r="BT570">
        <f>IFERROR(INDEX(PP_Grid[#Data],$DE570,69),0)</f>
        <v/>
      </c>
      <c r="BU570">
        <f>IFERROR(INDEX(PP_Grid[#Data],$DE570,70),0)</f>
        <v/>
      </c>
      <c r="BV570">
        <f>IFERROR(INDEX(PP_Grid[#Data],$DE570,71),0)</f>
        <v/>
      </c>
      <c r="BW570">
        <f>IFERROR(INDEX(PP_Grid[#Data],$DE570,72),0)</f>
        <v/>
      </c>
      <c r="BX570">
        <f>IFERROR(INDEX(PP_Grid[#Data],$DE570,73),0)</f>
        <v/>
      </c>
      <c r="BY570">
        <f>IFERROR(INDEX(PP_Grid[#Data],$DE570,74),0)</f>
        <v/>
      </c>
      <c r="BZ570">
        <f>IFERROR(INDEX(PP_Grid[#Data],$DE570,75),0)</f>
        <v/>
      </c>
      <c r="CA570">
        <f>IFERROR(INDEX(PP_Grid[#Data],$DE570,76),0)</f>
        <v/>
      </c>
      <c r="CB570">
        <f>IFERROR(INDEX(PP_Grid[#Data],$DE570,77),0)</f>
        <v/>
      </c>
      <c r="CC570">
        <f>IFERROR(INDEX(PP_Grid[#Data],$DE570,78),0)</f>
        <v/>
      </c>
      <c r="CD570">
        <f>IFERROR(INDEX(PP_Grid[#Data],$DE570,79),0)</f>
        <v/>
      </c>
      <c r="CE570">
        <f>IFERROR(INDEX(PP_Grid[#Data],$DE570,80),0)</f>
        <v/>
      </c>
      <c r="CF570">
        <f>IFERROR(INDEX(PP_Grid[#Data],$DE570,81),0)</f>
        <v/>
      </c>
      <c r="CG570">
        <f>IFERROR(INDEX(PP_Grid[#Data],$DE570,82),0)</f>
        <v/>
      </c>
      <c r="CH570">
        <f>IFERROR(INDEX(PP_Grid[#Data],$DE570,83),0)</f>
        <v/>
      </c>
      <c r="CI570">
        <f>IFERROR(INDEX(PP_Grid[#Data],$DE570,84),0)</f>
        <v/>
      </c>
      <c r="CJ570">
        <f>IFERROR(INDEX(PP_Grid[#Data],$DE570,85),0)</f>
        <v/>
      </c>
      <c r="CK570">
        <f>IFERROR(INDEX(PP_Grid[#Data],$DE570,86),0)</f>
        <v/>
      </c>
      <c r="CL570">
        <f>IFERROR(INDEX(PP_Grid[#Data],$DE570,87),0)</f>
        <v/>
      </c>
      <c r="CM570">
        <f>IFERROR(INDEX(PP_Grid[#Data],$DE570,88),0)</f>
        <v/>
      </c>
      <c r="CN570">
        <f>IFERROR(INDEX(PP_Grid[#Data],$DE570,89),0)</f>
        <v/>
      </c>
      <c r="CO570">
        <f>IFERROR(INDEX(PP_Grid[#Data],$DE570,90),0)</f>
        <v/>
      </c>
      <c r="CP570">
        <f>IFERROR(INDEX(PP_Grid[#Data],$DE570,91),0)</f>
        <v/>
      </c>
      <c r="CQ570">
        <f>IFERROR(INDEX(PP_Grid[#Data],$DE570,92),0)</f>
        <v/>
      </c>
      <c r="CR570">
        <f>IFERROR(INDEX(PP_Grid[#Data],$DE570,93),0)</f>
        <v/>
      </c>
      <c r="CS570">
        <f>IFERROR(INDEX(PP_Grid[#Data],$DE570,94),0)</f>
        <v/>
      </c>
      <c r="CT570">
        <f>IFERROR(INDEX(PP_Grid[#Data],$DE570,95),0)</f>
        <v/>
      </c>
      <c r="CU570">
        <f>IFERROR(INDEX(PP_Grid[#Data],$DE570,96),0)</f>
        <v/>
      </c>
      <c r="CV570">
        <f>IFERROR(INDEX(PP_Grid[#Data],$DE570,97),0)</f>
        <v/>
      </c>
      <c r="CW570">
        <f>IFERROR(INDEX(PP_Grid[#Data],$DE570,98),0)</f>
        <v/>
      </c>
      <c r="CX570">
        <f>IFERROR(INDEX(PP_Grid[#Data],$DE570,99),0)</f>
        <v/>
      </c>
      <c r="CY570">
        <f>IFERROR(INDEX(PP_Grid[#Data],$DE570,100),0)</f>
        <v/>
      </c>
      <c r="CZ570">
        <f>IFERROR(INDEX(PP_Grid[#Data],$DE570,101),0)</f>
        <v/>
      </c>
      <c r="DA570">
        <f>IFERROR(INDEX(PP_Grid[#Data],$DE570,102),0)</f>
        <v/>
      </c>
      <c r="DB570">
        <f>IFERROR(INDEX(PP_Grid[#Data],$DE570,103),0)</f>
        <v/>
      </c>
      <c r="DC570">
        <f>IFERROR(INDEX(PP_Grid[#Data],$DE570,104),0)</f>
        <v/>
      </c>
      <c r="DD570">
        <f>IFERROR(INDEX(PP_Grid[#Data],$DE570,105),0)</f>
        <v/>
      </c>
      <c r="DE570" s="7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SUMIFS(M_BOM[RM_Qty_Per_Batch],M_BOM[Intermediate],$B570,M_BOM[RM_Code],$A497)</f>
        <v/>
      </c>
      <c r="D571">
        <f>IFERROR(INDEX(E571:DD571,$F$1),"")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  <c r="DD571">
        <f>$C571*DD570</f>
        <v/>
      </c>
    </row>
    <row r="572">
      <c r="B572" t="inlineStr">
        <is>
          <t>TSP-1445</t>
        </is>
      </c>
      <c r="C572" t="inlineStr">
        <is>
          <t>No. of batches</t>
        </is>
      </c>
      <c r="D572">
        <f>IFERROR(INDEX(E572:DD572,$F$1),"")</f>
        <v/>
      </c>
      <c r="E572">
        <f>IFERROR(INDEX(PP_Grid[#Data],$DE572,2),0)</f>
        <v/>
      </c>
      <c r="F572">
        <f>IFERROR(INDEX(PP_Grid[#Data],$DE572,3),0)</f>
        <v/>
      </c>
      <c r="G572">
        <f>IFERROR(INDEX(PP_Grid[#Data],$DE572,4),0)</f>
        <v/>
      </c>
      <c r="H572">
        <f>IFERROR(INDEX(PP_Grid[#Data],$DE572,5),0)</f>
        <v/>
      </c>
      <c r="I572">
        <f>IFERROR(INDEX(PP_Grid[#Data],$DE572,6),0)</f>
        <v/>
      </c>
      <c r="J572">
        <f>IFERROR(INDEX(PP_Grid[#Data],$DE572,7),0)</f>
        <v/>
      </c>
      <c r="K572">
        <f>IFERROR(INDEX(PP_Grid[#Data],$DE572,8),0)</f>
        <v/>
      </c>
      <c r="L572">
        <f>IFERROR(INDEX(PP_Grid[#Data],$DE572,9),0)</f>
        <v/>
      </c>
      <c r="M572">
        <f>IFERROR(INDEX(PP_Grid[#Data],$DE572,10),0)</f>
        <v/>
      </c>
      <c r="N572">
        <f>IFERROR(INDEX(PP_Grid[#Data],$DE572,11),0)</f>
        <v/>
      </c>
      <c r="O572">
        <f>IFERROR(INDEX(PP_Grid[#Data],$DE572,12),0)</f>
        <v/>
      </c>
      <c r="P572">
        <f>IFERROR(INDEX(PP_Grid[#Data],$DE572,13),0)</f>
        <v/>
      </c>
      <c r="Q572">
        <f>IFERROR(INDEX(PP_Grid[#Data],$DE572,14),0)</f>
        <v/>
      </c>
      <c r="R572">
        <f>IFERROR(INDEX(PP_Grid[#Data],$DE572,15),0)</f>
        <v/>
      </c>
      <c r="S572">
        <f>IFERROR(INDEX(PP_Grid[#Data],$DE572,16),0)</f>
        <v/>
      </c>
      <c r="T572">
        <f>IFERROR(INDEX(PP_Grid[#Data],$DE572,17),0)</f>
        <v/>
      </c>
      <c r="U572">
        <f>IFERROR(INDEX(PP_Grid[#Data],$DE572,18),0)</f>
        <v/>
      </c>
      <c r="V572">
        <f>IFERROR(INDEX(PP_Grid[#Data],$DE572,19),0)</f>
        <v/>
      </c>
      <c r="W572">
        <f>IFERROR(INDEX(PP_Grid[#Data],$DE572,20),0)</f>
        <v/>
      </c>
      <c r="X572">
        <f>IFERROR(INDEX(PP_Grid[#Data],$DE572,21),0)</f>
        <v/>
      </c>
      <c r="Y572">
        <f>IFERROR(INDEX(PP_Grid[#Data],$DE572,22),0)</f>
        <v/>
      </c>
      <c r="Z572">
        <f>IFERROR(INDEX(PP_Grid[#Data],$DE572,23),0)</f>
        <v/>
      </c>
      <c r="AA572">
        <f>IFERROR(INDEX(PP_Grid[#Data],$DE572,24),0)</f>
        <v/>
      </c>
      <c r="AB572">
        <f>IFERROR(INDEX(PP_Grid[#Data],$DE572,25),0)</f>
        <v/>
      </c>
      <c r="AC572">
        <f>IFERROR(INDEX(PP_Grid[#Data],$DE572,26),0)</f>
        <v/>
      </c>
      <c r="AD572">
        <f>IFERROR(INDEX(PP_Grid[#Data],$DE572,27),0)</f>
        <v/>
      </c>
      <c r="AE572">
        <f>IFERROR(INDEX(PP_Grid[#Data],$DE572,28),0)</f>
        <v/>
      </c>
      <c r="AF572">
        <f>IFERROR(INDEX(PP_Grid[#Data],$DE572,29),0)</f>
        <v/>
      </c>
      <c r="AG572">
        <f>IFERROR(INDEX(PP_Grid[#Data],$DE572,30),0)</f>
        <v/>
      </c>
      <c r="AH572">
        <f>IFERROR(INDEX(PP_Grid[#Data],$DE572,31),0)</f>
        <v/>
      </c>
      <c r="AI572">
        <f>IFERROR(INDEX(PP_Grid[#Data],$DE572,32),0)</f>
        <v/>
      </c>
      <c r="AJ572">
        <f>IFERROR(INDEX(PP_Grid[#Data],$DE572,33),0)</f>
        <v/>
      </c>
      <c r="AK572">
        <f>IFERROR(INDEX(PP_Grid[#Data],$DE572,34),0)</f>
        <v/>
      </c>
      <c r="AL572">
        <f>IFERROR(INDEX(PP_Grid[#Data],$DE572,35),0)</f>
        <v/>
      </c>
      <c r="AM572">
        <f>IFERROR(INDEX(PP_Grid[#Data],$DE572,36),0)</f>
        <v/>
      </c>
      <c r="AN572">
        <f>IFERROR(INDEX(PP_Grid[#Data],$DE572,37),0)</f>
        <v/>
      </c>
      <c r="AO572">
        <f>IFERROR(INDEX(PP_Grid[#Data],$DE572,38),0)</f>
        <v/>
      </c>
      <c r="AP572">
        <f>IFERROR(INDEX(PP_Grid[#Data],$DE572,39),0)</f>
        <v/>
      </c>
      <c r="AQ572">
        <f>IFERROR(INDEX(PP_Grid[#Data],$DE572,40),0)</f>
        <v/>
      </c>
      <c r="AR572">
        <f>IFERROR(INDEX(PP_Grid[#Data],$DE572,41),0)</f>
        <v/>
      </c>
      <c r="AS572">
        <f>IFERROR(INDEX(PP_Grid[#Data],$DE572,42),0)</f>
        <v/>
      </c>
      <c r="AT572">
        <f>IFERROR(INDEX(PP_Grid[#Data],$DE572,43),0)</f>
        <v/>
      </c>
      <c r="AU572">
        <f>IFERROR(INDEX(PP_Grid[#Data],$DE572,44),0)</f>
        <v/>
      </c>
      <c r="AV572">
        <f>IFERROR(INDEX(PP_Grid[#Data],$DE572,45),0)</f>
        <v/>
      </c>
      <c r="AW572">
        <f>IFERROR(INDEX(PP_Grid[#Data],$DE572,46),0)</f>
        <v/>
      </c>
      <c r="AX572">
        <f>IFERROR(INDEX(PP_Grid[#Data],$DE572,47),0)</f>
        <v/>
      </c>
      <c r="AY572">
        <f>IFERROR(INDEX(PP_Grid[#Data],$DE572,48),0)</f>
        <v/>
      </c>
      <c r="AZ572">
        <f>IFERROR(INDEX(PP_Grid[#Data],$DE572,49),0)</f>
        <v/>
      </c>
      <c r="BA572">
        <f>IFERROR(INDEX(PP_Grid[#Data],$DE572,50),0)</f>
        <v/>
      </c>
      <c r="BB572">
        <f>IFERROR(INDEX(PP_Grid[#Data],$DE572,51),0)</f>
        <v/>
      </c>
      <c r="BC572">
        <f>IFERROR(INDEX(PP_Grid[#Data],$DE572,52),0)</f>
        <v/>
      </c>
      <c r="BD572">
        <f>IFERROR(INDEX(PP_Grid[#Data],$DE572,53),0)</f>
        <v/>
      </c>
      <c r="BE572">
        <f>IFERROR(INDEX(PP_Grid[#Data],$DE572,54),0)</f>
        <v/>
      </c>
      <c r="BF572">
        <f>IFERROR(INDEX(PP_Grid[#Data],$DE572,55),0)</f>
        <v/>
      </c>
      <c r="BG572">
        <f>IFERROR(INDEX(PP_Grid[#Data],$DE572,56),0)</f>
        <v/>
      </c>
      <c r="BH572">
        <f>IFERROR(INDEX(PP_Grid[#Data],$DE572,57),0)</f>
        <v/>
      </c>
      <c r="BI572">
        <f>IFERROR(INDEX(PP_Grid[#Data],$DE572,58),0)</f>
        <v/>
      </c>
      <c r="BJ572">
        <f>IFERROR(INDEX(PP_Grid[#Data],$DE572,59),0)</f>
        <v/>
      </c>
      <c r="BK572">
        <f>IFERROR(INDEX(PP_Grid[#Data],$DE572,60),0)</f>
        <v/>
      </c>
      <c r="BL572">
        <f>IFERROR(INDEX(PP_Grid[#Data],$DE572,61),0)</f>
        <v/>
      </c>
      <c r="BM572">
        <f>IFERROR(INDEX(PP_Grid[#Data],$DE572,62),0)</f>
        <v/>
      </c>
      <c r="BN572">
        <f>IFERROR(INDEX(PP_Grid[#Data],$DE572,63),0)</f>
        <v/>
      </c>
      <c r="BO572">
        <f>IFERROR(INDEX(PP_Grid[#Data],$DE572,64),0)</f>
        <v/>
      </c>
      <c r="BP572">
        <f>IFERROR(INDEX(PP_Grid[#Data],$DE572,65),0)</f>
        <v/>
      </c>
      <c r="BQ572">
        <f>IFERROR(INDEX(PP_Grid[#Data],$DE572,66),0)</f>
        <v/>
      </c>
      <c r="BR572">
        <f>IFERROR(INDEX(PP_Grid[#Data],$DE572,67),0)</f>
        <v/>
      </c>
      <c r="BS572">
        <f>IFERROR(INDEX(PP_Grid[#Data],$DE572,68),0)</f>
        <v/>
      </c>
      <c r="BT572">
        <f>IFERROR(INDEX(PP_Grid[#Data],$DE572,69),0)</f>
        <v/>
      </c>
      <c r="BU572">
        <f>IFERROR(INDEX(PP_Grid[#Data],$DE572,70),0)</f>
        <v/>
      </c>
      <c r="BV572">
        <f>IFERROR(INDEX(PP_Grid[#Data],$DE572,71),0)</f>
        <v/>
      </c>
      <c r="BW572">
        <f>IFERROR(INDEX(PP_Grid[#Data],$DE572,72),0)</f>
        <v/>
      </c>
      <c r="BX572">
        <f>IFERROR(INDEX(PP_Grid[#Data],$DE572,73),0)</f>
        <v/>
      </c>
      <c r="BY572">
        <f>IFERROR(INDEX(PP_Grid[#Data],$DE572,74),0)</f>
        <v/>
      </c>
      <c r="BZ572">
        <f>IFERROR(INDEX(PP_Grid[#Data],$DE572,75),0)</f>
        <v/>
      </c>
      <c r="CA572">
        <f>IFERROR(INDEX(PP_Grid[#Data],$DE572,76),0)</f>
        <v/>
      </c>
      <c r="CB572">
        <f>IFERROR(INDEX(PP_Grid[#Data],$DE572,77),0)</f>
        <v/>
      </c>
      <c r="CC572">
        <f>IFERROR(INDEX(PP_Grid[#Data],$DE572,78),0)</f>
        <v/>
      </c>
      <c r="CD572">
        <f>IFERROR(INDEX(PP_Grid[#Data],$DE572,79),0)</f>
        <v/>
      </c>
      <c r="CE572">
        <f>IFERROR(INDEX(PP_Grid[#Data],$DE572,80),0)</f>
        <v/>
      </c>
      <c r="CF572">
        <f>IFERROR(INDEX(PP_Grid[#Data],$DE572,81),0)</f>
        <v/>
      </c>
      <c r="CG572">
        <f>IFERROR(INDEX(PP_Grid[#Data],$DE572,82),0)</f>
        <v/>
      </c>
      <c r="CH572">
        <f>IFERROR(INDEX(PP_Grid[#Data],$DE572,83),0)</f>
        <v/>
      </c>
      <c r="CI572">
        <f>IFERROR(INDEX(PP_Grid[#Data],$DE572,84),0)</f>
        <v/>
      </c>
      <c r="CJ572">
        <f>IFERROR(INDEX(PP_Grid[#Data],$DE572,85),0)</f>
        <v/>
      </c>
      <c r="CK572">
        <f>IFERROR(INDEX(PP_Grid[#Data],$DE572,86),0)</f>
        <v/>
      </c>
      <c r="CL572">
        <f>IFERROR(INDEX(PP_Grid[#Data],$DE572,87),0)</f>
        <v/>
      </c>
      <c r="CM572">
        <f>IFERROR(INDEX(PP_Grid[#Data],$DE572,88),0)</f>
        <v/>
      </c>
      <c r="CN572">
        <f>IFERROR(INDEX(PP_Grid[#Data],$DE572,89),0)</f>
        <v/>
      </c>
      <c r="CO572">
        <f>IFERROR(INDEX(PP_Grid[#Data],$DE572,90),0)</f>
        <v/>
      </c>
      <c r="CP572">
        <f>IFERROR(INDEX(PP_Grid[#Data],$DE572,91),0)</f>
        <v/>
      </c>
      <c r="CQ572">
        <f>IFERROR(INDEX(PP_Grid[#Data],$DE572,92),0)</f>
        <v/>
      </c>
      <c r="CR572">
        <f>IFERROR(INDEX(PP_Grid[#Data],$DE572,93),0)</f>
        <v/>
      </c>
      <c r="CS572">
        <f>IFERROR(INDEX(PP_Grid[#Data],$DE572,94),0)</f>
        <v/>
      </c>
      <c r="CT572">
        <f>IFERROR(INDEX(PP_Grid[#Data],$DE572,95),0)</f>
        <v/>
      </c>
      <c r="CU572">
        <f>IFERROR(INDEX(PP_Grid[#Data],$DE572,96),0)</f>
        <v/>
      </c>
      <c r="CV572">
        <f>IFERROR(INDEX(PP_Grid[#Data],$DE572,97),0)</f>
        <v/>
      </c>
      <c r="CW572">
        <f>IFERROR(INDEX(PP_Grid[#Data],$DE572,98),0)</f>
        <v/>
      </c>
      <c r="CX572">
        <f>IFERROR(INDEX(PP_Grid[#Data],$DE572,99),0)</f>
        <v/>
      </c>
      <c r="CY572">
        <f>IFERROR(INDEX(PP_Grid[#Data],$DE572,100),0)</f>
        <v/>
      </c>
      <c r="CZ572">
        <f>IFERROR(INDEX(PP_Grid[#Data],$DE572,101),0)</f>
        <v/>
      </c>
      <c r="DA572">
        <f>IFERROR(INDEX(PP_Grid[#Data],$DE572,102),0)</f>
        <v/>
      </c>
      <c r="DB572">
        <f>IFERROR(INDEX(PP_Grid[#Data],$DE572,103),0)</f>
        <v/>
      </c>
      <c r="DC572">
        <f>IFERROR(INDEX(PP_Grid[#Data],$DE572,104),0)</f>
        <v/>
      </c>
      <c r="DD572">
        <f>IFERROR(INDEX(PP_Grid[#Data],$DE572,105),0)</f>
        <v/>
      </c>
      <c r="DE572" s="7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SUMIFS(M_BOM[RM_Qty_Per_Batch],M_BOM[Intermediate],$B572,M_BOM[RM_Code],$A497)</f>
        <v/>
      </c>
      <c r="D573">
        <f>IFERROR(INDEX(E573:DD573,$F$1),"")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  <c r="DD573">
        <f>$C573*DD572</f>
        <v/>
      </c>
    </row>
    <row r="574">
      <c r="B574" t="inlineStr">
        <is>
          <t>TSP-1446</t>
        </is>
      </c>
      <c r="C574" t="inlineStr">
        <is>
          <t>No. of batches</t>
        </is>
      </c>
      <c r="D574">
        <f>IFERROR(INDEX(E574:DD574,$F$1),"")</f>
        <v/>
      </c>
      <c r="E574">
        <f>IFERROR(INDEX(PP_Grid[#Data],$DE574,2),0)</f>
        <v/>
      </c>
      <c r="F574">
        <f>IFERROR(INDEX(PP_Grid[#Data],$DE574,3),0)</f>
        <v/>
      </c>
      <c r="G574">
        <f>IFERROR(INDEX(PP_Grid[#Data],$DE574,4),0)</f>
        <v/>
      </c>
      <c r="H574">
        <f>IFERROR(INDEX(PP_Grid[#Data],$DE574,5),0)</f>
        <v/>
      </c>
      <c r="I574">
        <f>IFERROR(INDEX(PP_Grid[#Data],$DE574,6),0)</f>
        <v/>
      </c>
      <c r="J574">
        <f>IFERROR(INDEX(PP_Grid[#Data],$DE574,7),0)</f>
        <v/>
      </c>
      <c r="K574">
        <f>IFERROR(INDEX(PP_Grid[#Data],$DE574,8),0)</f>
        <v/>
      </c>
      <c r="L574">
        <f>IFERROR(INDEX(PP_Grid[#Data],$DE574,9),0)</f>
        <v/>
      </c>
      <c r="M574">
        <f>IFERROR(INDEX(PP_Grid[#Data],$DE574,10),0)</f>
        <v/>
      </c>
      <c r="N574">
        <f>IFERROR(INDEX(PP_Grid[#Data],$DE574,11),0)</f>
        <v/>
      </c>
      <c r="O574">
        <f>IFERROR(INDEX(PP_Grid[#Data],$DE574,12),0)</f>
        <v/>
      </c>
      <c r="P574">
        <f>IFERROR(INDEX(PP_Grid[#Data],$DE574,13),0)</f>
        <v/>
      </c>
      <c r="Q574">
        <f>IFERROR(INDEX(PP_Grid[#Data],$DE574,14),0)</f>
        <v/>
      </c>
      <c r="R574">
        <f>IFERROR(INDEX(PP_Grid[#Data],$DE574,15),0)</f>
        <v/>
      </c>
      <c r="S574">
        <f>IFERROR(INDEX(PP_Grid[#Data],$DE574,16),0)</f>
        <v/>
      </c>
      <c r="T574">
        <f>IFERROR(INDEX(PP_Grid[#Data],$DE574,17),0)</f>
        <v/>
      </c>
      <c r="U574">
        <f>IFERROR(INDEX(PP_Grid[#Data],$DE574,18),0)</f>
        <v/>
      </c>
      <c r="V574">
        <f>IFERROR(INDEX(PP_Grid[#Data],$DE574,19),0)</f>
        <v/>
      </c>
      <c r="W574">
        <f>IFERROR(INDEX(PP_Grid[#Data],$DE574,20),0)</f>
        <v/>
      </c>
      <c r="X574">
        <f>IFERROR(INDEX(PP_Grid[#Data],$DE574,21),0)</f>
        <v/>
      </c>
      <c r="Y574">
        <f>IFERROR(INDEX(PP_Grid[#Data],$DE574,22),0)</f>
        <v/>
      </c>
      <c r="Z574">
        <f>IFERROR(INDEX(PP_Grid[#Data],$DE574,23),0)</f>
        <v/>
      </c>
      <c r="AA574">
        <f>IFERROR(INDEX(PP_Grid[#Data],$DE574,24),0)</f>
        <v/>
      </c>
      <c r="AB574">
        <f>IFERROR(INDEX(PP_Grid[#Data],$DE574,25),0)</f>
        <v/>
      </c>
      <c r="AC574">
        <f>IFERROR(INDEX(PP_Grid[#Data],$DE574,26),0)</f>
        <v/>
      </c>
      <c r="AD574">
        <f>IFERROR(INDEX(PP_Grid[#Data],$DE574,27),0)</f>
        <v/>
      </c>
      <c r="AE574">
        <f>IFERROR(INDEX(PP_Grid[#Data],$DE574,28),0)</f>
        <v/>
      </c>
      <c r="AF574">
        <f>IFERROR(INDEX(PP_Grid[#Data],$DE574,29),0)</f>
        <v/>
      </c>
      <c r="AG574">
        <f>IFERROR(INDEX(PP_Grid[#Data],$DE574,30),0)</f>
        <v/>
      </c>
      <c r="AH574">
        <f>IFERROR(INDEX(PP_Grid[#Data],$DE574,31),0)</f>
        <v/>
      </c>
      <c r="AI574">
        <f>IFERROR(INDEX(PP_Grid[#Data],$DE574,32),0)</f>
        <v/>
      </c>
      <c r="AJ574">
        <f>IFERROR(INDEX(PP_Grid[#Data],$DE574,33),0)</f>
        <v/>
      </c>
      <c r="AK574">
        <f>IFERROR(INDEX(PP_Grid[#Data],$DE574,34),0)</f>
        <v/>
      </c>
      <c r="AL574">
        <f>IFERROR(INDEX(PP_Grid[#Data],$DE574,35),0)</f>
        <v/>
      </c>
      <c r="AM574">
        <f>IFERROR(INDEX(PP_Grid[#Data],$DE574,36),0)</f>
        <v/>
      </c>
      <c r="AN574">
        <f>IFERROR(INDEX(PP_Grid[#Data],$DE574,37),0)</f>
        <v/>
      </c>
      <c r="AO574">
        <f>IFERROR(INDEX(PP_Grid[#Data],$DE574,38),0)</f>
        <v/>
      </c>
      <c r="AP574">
        <f>IFERROR(INDEX(PP_Grid[#Data],$DE574,39),0)</f>
        <v/>
      </c>
      <c r="AQ574">
        <f>IFERROR(INDEX(PP_Grid[#Data],$DE574,40),0)</f>
        <v/>
      </c>
      <c r="AR574">
        <f>IFERROR(INDEX(PP_Grid[#Data],$DE574,41),0)</f>
        <v/>
      </c>
      <c r="AS574">
        <f>IFERROR(INDEX(PP_Grid[#Data],$DE574,42),0)</f>
        <v/>
      </c>
      <c r="AT574">
        <f>IFERROR(INDEX(PP_Grid[#Data],$DE574,43),0)</f>
        <v/>
      </c>
      <c r="AU574">
        <f>IFERROR(INDEX(PP_Grid[#Data],$DE574,44),0)</f>
        <v/>
      </c>
      <c r="AV574">
        <f>IFERROR(INDEX(PP_Grid[#Data],$DE574,45),0)</f>
        <v/>
      </c>
      <c r="AW574">
        <f>IFERROR(INDEX(PP_Grid[#Data],$DE574,46),0)</f>
        <v/>
      </c>
      <c r="AX574">
        <f>IFERROR(INDEX(PP_Grid[#Data],$DE574,47),0)</f>
        <v/>
      </c>
      <c r="AY574">
        <f>IFERROR(INDEX(PP_Grid[#Data],$DE574,48),0)</f>
        <v/>
      </c>
      <c r="AZ574">
        <f>IFERROR(INDEX(PP_Grid[#Data],$DE574,49),0)</f>
        <v/>
      </c>
      <c r="BA574">
        <f>IFERROR(INDEX(PP_Grid[#Data],$DE574,50),0)</f>
        <v/>
      </c>
      <c r="BB574">
        <f>IFERROR(INDEX(PP_Grid[#Data],$DE574,51),0)</f>
        <v/>
      </c>
      <c r="BC574">
        <f>IFERROR(INDEX(PP_Grid[#Data],$DE574,52),0)</f>
        <v/>
      </c>
      <c r="BD574">
        <f>IFERROR(INDEX(PP_Grid[#Data],$DE574,53),0)</f>
        <v/>
      </c>
      <c r="BE574">
        <f>IFERROR(INDEX(PP_Grid[#Data],$DE574,54),0)</f>
        <v/>
      </c>
      <c r="BF574">
        <f>IFERROR(INDEX(PP_Grid[#Data],$DE574,55),0)</f>
        <v/>
      </c>
      <c r="BG574">
        <f>IFERROR(INDEX(PP_Grid[#Data],$DE574,56),0)</f>
        <v/>
      </c>
      <c r="BH574">
        <f>IFERROR(INDEX(PP_Grid[#Data],$DE574,57),0)</f>
        <v/>
      </c>
      <c r="BI574">
        <f>IFERROR(INDEX(PP_Grid[#Data],$DE574,58),0)</f>
        <v/>
      </c>
      <c r="BJ574">
        <f>IFERROR(INDEX(PP_Grid[#Data],$DE574,59),0)</f>
        <v/>
      </c>
      <c r="BK574">
        <f>IFERROR(INDEX(PP_Grid[#Data],$DE574,60),0)</f>
        <v/>
      </c>
      <c r="BL574">
        <f>IFERROR(INDEX(PP_Grid[#Data],$DE574,61),0)</f>
        <v/>
      </c>
      <c r="BM574">
        <f>IFERROR(INDEX(PP_Grid[#Data],$DE574,62),0)</f>
        <v/>
      </c>
      <c r="BN574">
        <f>IFERROR(INDEX(PP_Grid[#Data],$DE574,63),0)</f>
        <v/>
      </c>
      <c r="BO574">
        <f>IFERROR(INDEX(PP_Grid[#Data],$DE574,64),0)</f>
        <v/>
      </c>
      <c r="BP574">
        <f>IFERROR(INDEX(PP_Grid[#Data],$DE574,65),0)</f>
        <v/>
      </c>
      <c r="BQ574">
        <f>IFERROR(INDEX(PP_Grid[#Data],$DE574,66),0)</f>
        <v/>
      </c>
      <c r="BR574">
        <f>IFERROR(INDEX(PP_Grid[#Data],$DE574,67),0)</f>
        <v/>
      </c>
      <c r="BS574">
        <f>IFERROR(INDEX(PP_Grid[#Data],$DE574,68),0)</f>
        <v/>
      </c>
      <c r="BT574">
        <f>IFERROR(INDEX(PP_Grid[#Data],$DE574,69),0)</f>
        <v/>
      </c>
      <c r="BU574">
        <f>IFERROR(INDEX(PP_Grid[#Data],$DE574,70),0)</f>
        <v/>
      </c>
      <c r="BV574">
        <f>IFERROR(INDEX(PP_Grid[#Data],$DE574,71),0)</f>
        <v/>
      </c>
      <c r="BW574">
        <f>IFERROR(INDEX(PP_Grid[#Data],$DE574,72),0)</f>
        <v/>
      </c>
      <c r="BX574">
        <f>IFERROR(INDEX(PP_Grid[#Data],$DE574,73),0)</f>
        <v/>
      </c>
      <c r="BY574">
        <f>IFERROR(INDEX(PP_Grid[#Data],$DE574,74),0)</f>
        <v/>
      </c>
      <c r="BZ574">
        <f>IFERROR(INDEX(PP_Grid[#Data],$DE574,75),0)</f>
        <v/>
      </c>
      <c r="CA574">
        <f>IFERROR(INDEX(PP_Grid[#Data],$DE574,76),0)</f>
        <v/>
      </c>
      <c r="CB574">
        <f>IFERROR(INDEX(PP_Grid[#Data],$DE574,77),0)</f>
        <v/>
      </c>
      <c r="CC574">
        <f>IFERROR(INDEX(PP_Grid[#Data],$DE574,78),0)</f>
        <v/>
      </c>
      <c r="CD574">
        <f>IFERROR(INDEX(PP_Grid[#Data],$DE574,79),0)</f>
        <v/>
      </c>
      <c r="CE574">
        <f>IFERROR(INDEX(PP_Grid[#Data],$DE574,80),0)</f>
        <v/>
      </c>
      <c r="CF574">
        <f>IFERROR(INDEX(PP_Grid[#Data],$DE574,81),0)</f>
        <v/>
      </c>
      <c r="CG574">
        <f>IFERROR(INDEX(PP_Grid[#Data],$DE574,82),0)</f>
        <v/>
      </c>
      <c r="CH574">
        <f>IFERROR(INDEX(PP_Grid[#Data],$DE574,83),0)</f>
        <v/>
      </c>
      <c r="CI574">
        <f>IFERROR(INDEX(PP_Grid[#Data],$DE574,84),0)</f>
        <v/>
      </c>
      <c r="CJ574">
        <f>IFERROR(INDEX(PP_Grid[#Data],$DE574,85),0)</f>
        <v/>
      </c>
      <c r="CK574">
        <f>IFERROR(INDEX(PP_Grid[#Data],$DE574,86),0)</f>
        <v/>
      </c>
      <c r="CL574">
        <f>IFERROR(INDEX(PP_Grid[#Data],$DE574,87),0)</f>
        <v/>
      </c>
      <c r="CM574">
        <f>IFERROR(INDEX(PP_Grid[#Data],$DE574,88),0)</f>
        <v/>
      </c>
      <c r="CN574">
        <f>IFERROR(INDEX(PP_Grid[#Data],$DE574,89),0)</f>
        <v/>
      </c>
      <c r="CO574">
        <f>IFERROR(INDEX(PP_Grid[#Data],$DE574,90),0)</f>
        <v/>
      </c>
      <c r="CP574">
        <f>IFERROR(INDEX(PP_Grid[#Data],$DE574,91),0)</f>
        <v/>
      </c>
      <c r="CQ574">
        <f>IFERROR(INDEX(PP_Grid[#Data],$DE574,92),0)</f>
        <v/>
      </c>
      <c r="CR574">
        <f>IFERROR(INDEX(PP_Grid[#Data],$DE574,93),0)</f>
        <v/>
      </c>
      <c r="CS574">
        <f>IFERROR(INDEX(PP_Grid[#Data],$DE574,94),0)</f>
        <v/>
      </c>
      <c r="CT574">
        <f>IFERROR(INDEX(PP_Grid[#Data],$DE574,95),0)</f>
        <v/>
      </c>
      <c r="CU574">
        <f>IFERROR(INDEX(PP_Grid[#Data],$DE574,96),0)</f>
        <v/>
      </c>
      <c r="CV574">
        <f>IFERROR(INDEX(PP_Grid[#Data],$DE574,97),0)</f>
        <v/>
      </c>
      <c r="CW574">
        <f>IFERROR(INDEX(PP_Grid[#Data],$DE574,98),0)</f>
        <v/>
      </c>
      <c r="CX574">
        <f>IFERROR(INDEX(PP_Grid[#Data],$DE574,99),0)</f>
        <v/>
      </c>
      <c r="CY574">
        <f>IFERROR(INDEX(PP_Grid[#Data],$DE574,100),0)</f>
        <v/>
      </c>
      <c r="CZ574">
        <f>IFERROR(INDEX(PP_Grid[#Data],$DE574,101),0)</f>
        <v/>
      </c>
      <c r="DA574">
        <f>IFERROR(INDEX(PP_Grid[#Data],$DE574,102),0)</f>
        <v/>
      </c>
      <c r="DB574">
        <f>IFERROR(INDEX(PP_Grid[#Data],$DE574,103),0)</f>
        <v/>
      </c>
      <c r="DC574">
        <f>IFERROR(INDEX(PP_Grid[#Data],$DE574,104),0)</f>
        <v/>
      </c>
      <c r="DD574">
        <f>IFERROR(INDEX(PP_Grid[#Data],$DE574,105),0)</f>
        <v/>
      </c>
      <c r="DE574" s="7">
        <f>IFERROR(MATCH($B574,PP_Grid[Intermediate],0),99999)</f>
        <v/>
      </c>
    </row>
    <row r="575">
      <c r="B575" t="inlineStr">
        <is>
          <t>使用量(kg)</t>
        </is>
      </c>
      <c r="C575">
        <f>SUMIFS(M_BOM[RM_Qty_Per_Batch],M_BOM[Intermediate],$B574,M_BOM[RM_Code],$A497)</f>
        <v/>
      </c>
      <c r="D575">
        <f>IFERROR(INDEX(E575:DD575,$F$1),"")</f>
        <v/>
      </c>
      <c r="E575">
        <f>$C575*E574</f>
        <v/>
      </c>
      <c r="F575">
        <f>$C575*F574</f>
        <v/>
      </c>
      <c r="G575">
        <f>$C575*G574</f>
        <v/>
      </c>
      <c r="H575">
        <f>$C575*H574</f>
        <v/>
      </c>
      <c r="I575">
        <f>$C575*I574</f>
        <v/>
      </c>
      <c r="J575">
        <f>$C575*J574</f>
        <v/>
      </c>
      <c r="K575">
        <f>$C575*K574</f>
        <v/>
      </c>
      <c r="L575">
        <f>$C575*L574</f>
        <v/>
      </c>
      <c r="M575">
        <f>$C575*M574</f>
        <v/>
      </c>
      <c r="N575">
        <f>$C575*N574</f>
        <v/>
      </c>
      <c r="O575">
        <f>$C575*O574</f>
        <v/>
      </c>
      <c r="P575">
        <f>$C575*P574</f>
        <v/>
      </c>
      <c r="Q575">
        <f>$C575*Q574</f>
        <v/>
      </c>
      <c r="R575">
        <f>$C575*R574</f>
        <v/>
      </c>
      <c r="S575">
        <f>$C575*S574</f>
        <v/>
      </c>
      <c r="T575">
        <f>$C575*T574</f>
        <v/>
      </c>
      <c r="U575">
        <f>$C575*U574</f>
        <v/>
      </c>
      <c r="V575">
        <f>$C575*V574</f>
        <v/>
      </c>
      <c r="W575">
        <f>$C575*W574</f>
        <v/>
      </c>
      <c r="X575">
        <f>$C575*X574</f>
        <v/>
      </c>
      <c r="Y575">
        <f>$C575*Y574</f>
        <v/>
      </c>
      <c r="Z575">
        <f>$C575*Z574</f>
        <v/>
      </c>
      <c r="AA575">
        <f>$C575*AA574</f>
        <v/>
      </c>
      <c r="AB575">
        <f>$C575*AB574</f>
        <v/>
      </c>
      <c r="AC575">
        <f>$C575*AC574</f>
        <v/>
      </c>
      <c r="AD575">
        <f>$C575*AD574</f>
        <v/>
      </c>
      <c r="AE575">
        <f>$C575*AE574</f>
        <v/>
      </c>
      <c r="AF575">
        <f>$C575*AF574</f>
        <v/>
      </c>
      <c r="AG575">
        <f>$C575*AG574</f>
        <v/>
      </c>
      <c r="AH575">
        <f>$C575*AH574</f>
        <v/>
      </c>
      <c r="AI575">
        <f>$C575*AI574</f>
        <v/>
      </c>
      <c r="AJ575">
        <f>$C575*AJ574</f>
        <v/>
      </c>
      <c r="AK575">
        <f>$C575*AK574</f>
        <v/>
      </c>
      <c r="AL575">
        <f>$C575*AL574</f>
        <v/>
      </c>
      <c r="AM575">
        <f>$C575*AM574</f>
        <v/>
      </c>
      <c r="AN575">
        <f>$C575*AN574</f>
        <v/>
      </c>
      <c r="AO575">
        <f>$C575*AO574</f>
        <v/>
      </c>
      <c r="AP575">
        <f>$C575*AP574</f>
        <v/>
      </c>
      <c r="AQ575">
        <f>$C575*AQ574</f>
        <v/>
      </c>
      <c r="AR575">
        <f>$C575*AR574</f>
        <v/>
      </c>
      <c r="AS575">
        <f>$C575*AS574</f>
        <v/>
      </c>
      <c r="AT575">
        <f>$C575*AT574</f>
        <v/>
      </c>
      <c r="AU575">
        <f>$C575*AU574</f>
        <v/>
      </c>
      <c r="AV575">
        <f>$C575*AV574</f>
        <v/>
      </c>
      <c r="AW575">
        <f>$C575*AW574</f>
        <v/>
      </c>
      <c r="AX575">
        <f>$C575*AX574</f>
        <v/>
      </c>
      <c r="AY575">
        <f>$C575*AY574</f>
        <v/>
      </c>
      <c r="AZ575">
        <f>$C575*AZ574</f>
        <v/>
      </c>
      <c r="BA575">
        <f>$C575*BA574</f>
        <v/>
      </c>
      <c r="BB575">
        <f>$C575*BB574</f>
        <v/>
      </c>
      <c r="BC575">
        <f>$C575*BC574</f>
        <v/>
      </c>
      <c r="BD575">
        <f>$C575*BD574</f>
        <v/>
      </c>
      <c r="BE575">
        <f>$C575*BE574</f>
        <v/>
      </c>
      <c r="BF575">
        <f>$C575*BF574</f>
        <v/>
      </c>
      <c r="BG575">
        <f>$C575*BG574</f>
        <v/>
      </c>
      <c r="BH575">
        <f>$C575*BH574</f>
        <v/>
      </c>
      <c r="BI575">
        <f>$C575*BI574</f>
        <v/>
      </c>
      <c r="BJ575">
        <f>$C575*BJ574</f>
        <v/>
      </c>
      <c r="BK575">
        <f>$C575*BK574</f>
        <v/>
      </c>
      <c r="BL575">
        <f>$C575*BL574</f>
        <v/>
      </c>
      <c r="BM575">
        <f>$C575*BM574</f>
        <v/>
      </c>
      <c r="BN575">
        <f>$C575*BN574</f>
        <v/>
      </c>
      <c r="BO575">
        <f>$C575*BO574</f>
        <v/>
      </c>
      <c r="BP575">
        <f>$C575*BP574</f>
        <v/>
      </c>
      <c r="BQ575">
        <f>$C575*BQ574</f>
        <v/>
      </c>
      <c r="BR575">
        <f>$C575*BR574</f>
        <v/>
      </c>
      <c r="BS575">
        <f>$C575*BS574</f>
        <v/>
      </c>
      <c r="BT575">
        <f>$C575*BT574</f>
        <v/>
      </c>
      <c r="BU575">
        <f>$C575*BU574</f>
        <v/>
      </c>
      <c r="BV575">
        <f>$C575*BV574</f>
        <v/>
      </c>
      <c r="BW575">
        <f>$C575*BW574</f>
        <v/>
      </c>
      <c r="BX575">
        <f>$C575*BX574</f>
        <v/>
      </c>
      <c r="BY575">
        <f>$C575*BY574</f>
        <v/>
      </c>
      <c r="BZ575">
        <f>$C575*BZ574</f>
        <v/>
      </c>
      <c r="CA575">
        <f>$C575*CA574</f>
        <v/>
      </c>
      <c r="CB575">
        <f>$C575*CB574</f>
        <v/>
      </c>
      <c r="CC575">
        <f>$C575*CC574</f>
        <v/>
      </c>
      <c r="CD575">
        <f>$C575*CD574</f>
        <v/>
      </c>
      <c r="CE575">
        <f>$C575*CE574</f>
        <v/>
      </c>
      <c r="CF575">
        <f>$C575*CF574</f>
        <v/>
      </c>
      <c r="CG575">
        <f>$C575*CG574</f>
        <v/>
      </c>
      <c r="CH575">
        <f>$C575*CH574</f>
        <v/>
      </c>
      <c r="CI575">
        <f>$C575*CI574</f>
        <v/>
      </c>
      <c r="CJ575">
        <f>$C575*CJ574</f>
        <v/>
      </c>
      <c r="CK575">
        <f>$C575*CK574</f>
        <v/>
      </c>
      <c r="CL575">
        <f>$C575*CL574</f>
        <v/>
      </c>
      <c r="CM575">
        <f>$C575*CM574</f>
        <v/>
      </c>
      <c r="CN575">
        <f>$C575*CN574</f>
        <v/>
      </c>
      <c r="CO575">
        <f>$C575*CO574</f>
        <v/>
      </c>
      <c r="CP575">
        <f>$C575*CP574</f>
        <v/>
      </c>
      <c r="CQ575">
        <f>$C575*CQ574</f>
        <v/>
      </c>
      <c r="CR575">
        <f>$C575*CR574</f>
        <v/>
      </c>
      <c r="CS575">
        <f>$C575*CS574</f>
        <v/>
      </c>
      <c r="CT575">
        <f>$C575*CT574</f>
        <v/>
      </c>
      <c r="CU575">
        <f>$C575*CU574</f>
        <v/>
      </c>
      <c r="CV575">
        <f>$C575*CV574</f>
        <v/>
      </c>
      <c r="CW575">
        <f>$C575*CW574</f>
        <v/>
      </c>
      <c r="CX575">
        <f>$C575*CX574</f>
        <v/>
      </c>
      <c r="CY575">
        <f>$C575*CY574</f>
        <v/>
      </c>
      <c r="CZ575">
        <f>$C575*CZ574</f>
        <v/>
      </c>
      <c r="DA575">
        <f>$C575*DA574</f>
        <v/>
      </c>
      <c r="DB575">
        <f>$C575*DB574</f>
        <v/>
      </c>
      <c r="DC575">
        <f>$C575*DC574</f>
        <v/>
      </c>
      <c r="DD575">
        <f>$C575*DD574</f>
        <v/>
      </c>
    </row>
    <row r="576">
      <c r="B576" t="inlineStr">
        <is>
          <t>TSP-1449</t>
        </is>
      </c>
      <c r="C576" t="inlineStr">
        <is>
          <t>No. of batches</t>
        </is>
      </c>
      <c r="D576">
        <f>IFERROR(INDEX(E576:DD576,$F$1),"")</f>
        <v/>
      </c>
      <c r="E576">
        <f>IFERROR(INDEX(PP_Grid[#Data],$DE576,2),0)</f>
        <v/>
      </c>
      <c r="F576">
        <f>IFERROR(INDEX(PP_Grid[#Data],$DE576,3),0)</f>
        <v/>
      </c>
      <c r="G576">
        <f>IFERROR(INDEX(PP_Grid[#Data],$DE576,4),0)</f>
        <v/>
      </c>
      <c r="H576">
        <f>IFERROR(INDEX(PP_Grid[#Data],$DE576,5),0)</f>
        <v/>
      </c>
      <c r="I576">
        <f>IFERROR(INDEX(PP_Grid[#Data],$DE576,6),0)</f>
        <v/>
      </c>
      <c r="J576">
        <f>IFERROR(INDEX(PP_Grid[#Data],$DE576,7),0)</f>
        <v/>
      </c>
      <c r="K576">
        <f>IFERROR(INDEX(PP_Grid[#Data],$DE576,8),0)</f>
        <v/>
      </c>
      <c r="L576">
        <f>IFERROR(INDEX(PP_Grid[#Data],$DE576,9),0)</f>
        <v/>
      </c>
      <c r="M576">
        <f>IFERROR(INDEX(PP_Grid[#Data],$DE576,10),0)</f>
        <v/>
      </c>
      <c r="N576">
        <f>IFERROR(INDEX(PP_Grid[#Data],$DE576,11),0)</f>
        <v/>
      </c>
      <c r="O576">
        <f>IFERROR(INDEX(PP_Grid[#Data],$DE576,12),0)</f>
        <v/>
      </c>
      <c r="P576">
        <f>IFERROR(INDEX(PP_Grid[#Data],$DE576,13),0)</f>
        <v/>
      </c>
      <c r="Q576">
        <f>IFERROR(INDEX(PP_Grid[#Data],$DE576,14),0)</f>
        <v/>
      </c>
      <c r="R576">
        <f>IFERROR(INDEX(PP_Grid[#Data],$DE576,15),0)</f>
        <v/>
      </c>
      <c r="S576">
        <f>IFERROR(INDEX(PP_Grid[#Data],$DE576,16),0)</f>
        <v/>
      </c>
      <c r="T576">
        <f>IFERROR(INDEX(PP_Grid[#Data],$DE576,17),0)</f>
        <v/>
      </c>
      <c r="U576">
        <f>IFERROR(INDEX(PP_Grid[#Data],$DE576,18),0)</f>
        <v/>
      </c>
      <c r="V576">
        <f>IFERROR(INDEX(PP_Grid[#Data],$DE576,19),0)</f>
        <v/>
      </c>
      <c r="W576">
        <f>IFERROR(INDEX(PP_Grid[#Data],$DE576,20),0)</f>
        <v/>
      </c>
      <c r="X576">
        <f>IFERROR(INDEX(PP_Grid[#Data],$DE576,21),0)</f>
        <v/>
      </c>
      <c r="Y576">
        <f>IFERROR(INDEX(PP_Grid[#Data],$DE576,22),0)</f>
        <v/>
      </c>
      <c r="Z576">
        <f>IFERROR(INDEX(PP_Grid[#Data],$DE576,23),0)</f>
        <v/>
      </c>
      <c r="AA576">
        <f>IFERROR(INDEX(PP_Grid[#Data],$DE576,24),0)</f>
        <v/>
      </c>
      <c r="AB576">
        <f>IFERROR(INDEX(PP_Grid[#Data],$DE576,25),0)</f>
        <v/>
      </c>
      <c r="AC576">
        <f>IFERROR(INDEX(PP_Grid[#Data],$DE576,26),0)</f>
        <v/>
      </c>
      <c r="AD576">
        <f>IFERROR(INDEX(PP_Grid[#Data],$DE576,27),0)</f>
        <v/>
      </c>
      <c r="AE576">
        <f>IFERROR(INDEX(PP_Grid[#Data],$DE576,28),0)</f>
        <v/>
      </c>
      <c r="AF576">
        <f>IFERROR(INDEX(PP_Grid[#Data],$DE576,29),0)</f>
        <v/>
      </c>
      <c r="AG576">
        <f>IFERROR(INDEX(PP_Grid[#Data],$DE576,30),0)</f>
        <v/>
      </c>
      <c r="AH576">
        <f>IFERROR(INDEX(PP_Grid[#Data],$DE576,31),0)</f>
        <v/>
      </c>
      <c r="AI576">
        <f>IFERROR(INDEX(PP_Grid[#Data],$DE576,32),0)</f>
        <v/>
      </c>
      <c r="AJ576">
        <f>IFERROR(INDEX(PP_Grid[#Data],$DE576,33),0)</f>
        <v/>
      </c>
      <c r="AK576">
        <f>IFERROR(INDEX(PP_Grid[#Data],$DE576,34),0)</f>
        <v/>
      </c>
      <c r="AL576">
        <f>IFERROR(INDEX(PP_Grid[#Data],$DE576,35),0)</f>
        <v/>
      </c>
      <c r="AM576">
        <f>IFERROR(INDEX(PP_Grid[#Data],$DE576,36),0)</f>
        <v/>
      </c>
      <c r="AN576">
        <f>IFERROR(INDEX(PP_Grid[#Data],$DE576,37),0)</f>
        <v/>
      </c>
      <c r="AO576">
        <f>IFERROR(INDEX(PP_Grid[#Data],$DE576,38),0)</f>
        <v/>
      </c>
      <c r="AP576">
        <f>IFERROR(INDEX(PP_Grid[#Data],$DE576,39),0)</f>
        <v/>
      </c>
      <c r="AQ576">
        <f>IFERROR(INDEX(PP_Grid[#Data],$DE576,40),0)</f>
        <v/>
      </c>
      <c r="AR576">
        <f>IFERROR(INDEX(PP_Grid[#Data],$DE576,41),0)</f>
        <v/>
      </c>
      <c r="AS576">
        <f>IFERROR(INDEX(PP_Grid[#Data],$DE576,42),0)</f>
        <v/>
      </c>
      <c r="AT576">
        <f>IFERROR(INDEX(PP_Grid[#Data],$DE576,43),0)</f>
        <v/>
      </c>
      <c r="AU576">
        <f>IFERROR(INDEX(PP_Grid[#Data],$DE576,44),0)</f>
        <v/>
      </c>
      <c r="AV576">
        <f>IFERROR(INDEX(PP_Grid[#Data],$DE576,45),0)</f>
        <v/>
      </c>
      <c r="AW576">
        <f>IFERROR(INDEX(PP_Grid[#Data],$DE576,46),0)</f>
        <v/>
      </c>
      <c r="AX576">
        <f>IFERROR(INDEX(PP_Grid[#Data],$DE576,47),0)</f>
        <v/>
      </c>
      <c r="AY576">
        <f>IFERROR(INDEX(PP_Grid[#Data],$DE576,48),0)</f>
        <v/>
      </c>
      <c r="AZ576">
        <f>IFERROR(INDEX(PP_Grid[#Data],$DE576,49),0)</f>
        <v/>
      </c>
      <c r="BA576">
        <f>IFERROR(INDEX(PP_Grid[#Data],$DE576,50),0)</f>
        <v/>
      </c>
      <c r="BB576">
        <f>IFERROR(INDEX(PP_Grid[#Data],$DE576,51),0)</f>
        <v/>
      </c>
      <c r="BC576">
        <f>IFERROR(INDEX(PP_Grid[#Data],$DE576,52),0)</f>
        <v/>
      </c>
      <c r="BD576">
        <f>IFERROR(INDEX(PP_Grid[#Data],$DE576,53),0)</f>
        <v/>
      </c>
      <c r="BE576">
        <f>IFERROR(INDEX(PP_Grid[#Data],$DE576,54),0)</f>
        <v/>
      </c>
      <c r="BF576">
        <f>IFERROR(INDEX(PP_Grid[#Data],$DE576,55),0)</f>
        <v/>
      </c>
      <c r="BG576">
        <f>IFERROR(INDEX(PP_Grid[#Data],$DE576,56),0)</f>
        <v/>
      </c>
      <c r="BH576">
        <f>IFERROR(INDEX(PP_Grid[#Data],$DE576,57),0)</f>
        <v/>
      </c>
      <c r="BI576">
        <f>IFERROR(INDEX(PP_Grid[#Data],$DE576,58),0)</f>
        <v/>
      </c>
      <c r="BJ576">
        <f>IFERROR(INDEX(PP_Grid[#Data],$DE576,59),0)</f>
        <v/>
      </c>
      <c r="BK576">
        <f>IFERROR(INDEX(PP_Grid[#Data],$DE576,60),0)</f>
        <v/>
      </c>
      <c r="BL576">
        <f>IFERROR(INDEX(PP_Grid[#Data],$DE576,61),0)</f>
        <v/>
      </c>
      <c r="BM576">
        <f>IFERROR(INDEX(PP_Grid[#Data],$DE576,62),0)</f>
        <v/>
      </c>
      <c r="BN576">
        <f>IFERROR(INDEX(PP_Grid[#Data],$DE576,63),0)</f>
        <v/>
      </c>
      <c r="BO576">
        <f>IFERROR(INDEX(PP_Grid[#Data],$DE576,64),0)</f>
        <v/>
      </c>
      <c r="BP576">
        <f>IFERROR(INDEX(PP_Grid[#Data],$DE576,65),0)</f>
        <v/>
      </c>
      <c r="BQ576">
        <f>IFERROR(INDEX(PP_Grid[#Data],$DE576,66),0)</f>
        <v/>
      </c>
      <c r="BR576">
        <f>IFERROR(INDEX(PP_Grid[#Data],$DE576,67),0)</f>
        <v/>
      </c>
      <c r="BS576">
        <f>IFERROR(INDEX(PP_Grid[#Data],$DE576,68),0)</f>
        <v/>
      </c>
      <c r="BT576">
        <f>IFERROR(INDEX(PP_Grid[#Data],$DE576,69),0)</f>
        <v/>
      </c>
      <c r="BU576">
        <f>IFERROR(INDEX(PP_Grid[#Data],$DE576,70),0)</f>
        <v/>
      </c>
      <c r="BV576">
        <f>IFERROR(INDEX(PP_Grid[#Data],$DE576,71),0)</f>
        <v/>
      </c>
      <c r="BW576">
        <f>IFERROR(INDEX(PP_Grid[#Data],$DE576,72),0)</f>
        <v/>
      </c>
      <c r="BX576">
        <f>IFERROR(INDEX(PP_Grid[#Data],$DE576,73),0)</f>
        <v/>
      </c>
      <c r="BY576">
        <f>IFERROR(INDEX(PP_Grid[#Data],$DE576,74),0)</f>
        <v/>
      </c>
      <c r="BZ576">
        <f>IFERROR(INDEX(PP_Grid[#Data],$DE576,75),0)</f>
        <v/>
      </c>
      <c r="CA576">
        <f>IFERROR(INDEX(PP_Grid[#Data],$DE576,76),0)</f>
        <v/>
      </c>
      <c r="CB576">
        <f>IFERROR(INDEX(PP_Grid[#Data],$DE576,77),0)</f>
        <v/>
      </c>
      <c r="CC576">
        <f>IFERROR(INDEX(PP_Grid[#Data],$DE576,78),0)</f>
        <v/>
      </c>
      <c r="CD576">
        <f>IFERROR(INDEX(PP_Grid[#Data],$DE576,79),0)</f>
        <v/>
      </c>
      <c r="CE576">
        <f>IFERROR(INDEX(PP_Grid[#Data],$DE576,80),0)</f>
        <v/>
      </c>
      <c r="CF576">
        <f>IFERROR(INDEX(PP_Grid[#Data],$DE576,81),0)</f>
        <v/>
      </c>
      <c r="CG576">
        <f>IFERROR(INDEX(PP_Grid[#Data],$DE576,82),0)</f>
        <v/>
      </c>
      <c r="CH576">
        <f>IFERROR(INDEX(PP_Grid[#Data],$DE576,83),0)</f>
        <v/>
      </c>
      <c r="CI576">
        <f>IFERROR(INDEX(PP_Grid[#Data],$DE576,84),0)</f>
        <v/>
      </c>
      <c r="CJ576">
        <f>IFERROR(INDEX(PP_Grid[#Data],$DE576,85),0)</f>
        <v/>
      </c>
      <c r="CK576">
        <f>IFERROR(INDEX(PP_Grid[#Data],$DE576,86),0)</f>
        <v/>
      </c>
      <c r="CL576">
        <f>IFERROR(INDEX(PP_Grid[#Data],$DE576,87),0)</f>
        <v/>
      </c>
      <c r="CM576">
        <f>IFERROR(INDEX(PP_Grid[#Data],$DE576,88),0)</f>
        <v/>
      </c>
      <c r="CN576">
        <f>IFERROR(INDEX(PP_Grid[#Data],$DE576,89),0)</f>
        <v/>
      </c>
      <c r="CO576">
        <f>IFERROR(INDEX(PP_Grid[#Data],$DE576,90),0)</f>
        <v/>
      </c>
      <c r="CP576">
        <f>IFERROR(INDEX(PP_Grid[#Data],$DE576,91),0)</f>
        <v/>
      </c>
      <c r="CQ576">
        <f>IFERROR(INDEX(PP_Grid[#Data],$DE576,92),0)</f>
        <v/>
      </c>
      <c r="CR576">
        <f>IFERROR(INDEX(PP_Grid[#Data],$DE576,93),0)</f>
        <v/>
      </c>
      <c r="CS576">
        <f>IFERROR(INDEX(PP_Grid[#Data],$DE576,94),0)</f>
        <v/>
      </c>
      <c r="CT576">
        <f>IFERROR(INDEX(PP_Grid[#Data],$DE576,95),0)</f>
        <v/>
      </c>
      <c r="CU576">
        <f>IFERROR(INDEX(PP_Grid[#Data],$DE576,96),0)</f>
        <v/>
      </c>
      <c r="CV576">
        <f>IFERROR(INDEX(PP_Grid[#Data],$DE576,97),0)</f>
        <v/>
      </c>
      <c r="CW576">
        <f>IFERROR(INDEX(PP_Grid[#Data],$DE576,98),0)</f>
        <v/>
      </c>
      <c r="CX576">
        <f>IFERROR(INDEX(PP_Grid[#Data],$DE576,99),0)</f>
        <v/>
      </c>
      <c r="CY576">
        <f>IFERROR(INDEX(PP_Grid[#Data],$DE576,100),0)</f>
        <v/>
      </c>
      <c r="CZ576">
        <f>IFERROR(INDEX(PP_Grid[#Data],$DE576,101),0)</f>
        <v/>
      </c>
      <c r="DA576">
        <f>IFERROR(INDEX(PP_Grid[#Data],$DE576,102),0)</f>
        <v/>
      </c>
      <c r="DB576">
        <f>IFERROR(INDEX(PP_Grid[#Data],$DE576,103),0)</f>
        <v/>
      </c>
      <c r="DC576">
        <f>IFERROR(INDEX(PP_Grid[#Data],$DE576,104),0)</f>
        <v/>
      </c>
      <c r="DD576">
        <f>IFERROR(INDEX(PP_Grid[#Data],$DE576,105),0)</f>
        <v/>
      </c>
      <c r="DE576" s="7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SUMIFS(M_BOM[RM_Qty_Per_Batch],M_BOM[Intermediate],$B576,M_BOM[RM_Code],$A497)</f>
        <v/>
      </c>
      <c r="D577">
        <f>IFERROR(INDEX(E577:DD577,$F$1),"")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  <c r="DD577">
        <f>$C577*DD576</f>
        <v/>
      </c>
    </row>
    <row r="578">
      <c r="B578" t="inlineStr">
        <is>
          <t>VSP-567</t>
        </is>
      </c>
      <c r="C578" t="inlineStr">
        <is>
          <t>No. of batches</t>
        </is>
      </c>
      <c r="D578">
        <f>IFERROR(INDEX(E578:DD578,$F$1),"")</f>
        <v/>
      </c>
      <c r="E578">
        <f>IFERROR(INDEX(PP_Grid[#Data],$DE578,2),0)</f>
        <v/>
      </c>
      <c r="F578">
        <f>IFERROR(INDEX(PP_Grid[#Data],$DE578,3),0)</f>
        <v/>
      </c>
      <c r="G578">
        <f>IFERROR(INDEX(PP_Grid[#Data],$DE578,4),0)</f>
        <v/>
      </c>
      <c r="H578">
        <f>IFERROR(INDEX(PP_Grid[#Data],$DE578,5),0)</f>
        <v/>
      </c>
      <c r="I578">
        <f>IFERROR(INDEX(PP_Grid[#Data],$DE578,6),0)</f>
        <v/>
      </c>
      <c r="J578">
        <f>IFERROR(INDEX(PP_Grid[#Data],$DE578,7),0)</f>
        <v/>
      </c>
      <c r="K578">
        <f>IFERROR(INDEX(PP_Grid[#Data],$DE578,8),0)</f>
        <v/>
      </c>
      <c r="L578">
        <f>IFERROR(INDEX(PP_Grid[#Data],$DE578,9),0)</f>
        <v/>
      </c>
      <c r="M578">
        <f>IFERROR(INDEX(PP_Grid[#Data],$DE578,10),0)</f>
        <v/>
      </c>
      <c r="N578">
        <f>IFERROR(INDEX(PP_Grid[#Data],$DE578,11),0)</f>
        <v/>
      </c>
      <c r="O578">
        <f>IFERROR(INDEX(PP_Grid[#Data],$DE578,12),0)</f>
        <v/>
      </c>
      <c r="P578">
        <f>IFERROR(INDEX(PP_Grid[#Data],$DE578,13),0)</f>
        <v/>
      </c>
      <c r="Q578">
        <f>IFERROR(INDEX(PP_Grid[#Data],$DE578,14),0)</f>
        <v/>
      </c>
      <c r="R578">
        <f>IFERROR(INDEX(PP_Grid[#Data],$DE578,15),0)</f>
        <v/>
      </c>
      <c r="S578">
        <f>IFERROR(INDEX(PP_Grid[#Data],$DE578,16),0)</f>
        <v/>
      </c>
      <c r="T578">
        <f>IFERROR(INDEX(PP_Grid[#Data],$DE578,17),0)</f>
        <v/>
      </c>
      <c r="U578">
        <f>IFERROR(INDEX(PP_Grid[#Data],$DE578,18),0)</f>
        <v/>
      </c>
      <c r="V578">
        <f>IFERROR(INDEX(PP_Grid[#Data],$DE578,19),0)</f>
        <v/>
      </c>
      <c r="W578">
        <f>IFERROR(INDEX(PP_Grid[#Data],$DE578,20),0)</f>
        <v/>
      </c>
      <c r="X578">
        <f>IFERROR(INDEX(PP_Grid[#Data],$DE578,21),0)</f>
        <v/>
      </c>
      <c r="Y578">
        <f>IFERROR(INDEX(PP_Grid[#Data],$DE578,22),0)</f>
        <v/>
      </c>
      <c r="Z578">
        <f>IFERROR(INDEX(PP_Grid[#Data],$DE578,23),0)</f>
        <v/>
      </c>
      <c r="AA578">
        <f>IFERROR(INDEX(PP_Grid[#Data],$DE578,24),0)</f>
        <v/>
      </c>
      <c r="AB578">
        <f>IFERROR(INDEX(PP_Grid[#Data],$DE578,25),0)</f>
        <v/>
      </c>
      <c r="AC578">
        <f>IFERROR(INDEX(PP_Grid[#Data],$DE578,26),0)</f>
        <v/>
      </c>
      <c r="AD578">
        <f>IFERROR(INDEX(PP_Grid[#Data],$DE578,27),0)</f>
        <v/>
      </c>
      <c r="AE578">
        <f>IFERROR(INDEX(PP_Grid[#Data],$DE578,28),0)</f>
        <v/>
      </c>
      <c r="AF578">
        <f>IFERROR(INDEX(PP_Grid[#Data],$DE578,29),0)</f>
        <v/>
      </c>
      <c r="AG578">
        <f>IFERROR(INDEX(PP_Grid[#Data],$DE578,30),0)</f>
        <v/>
      </c>
      <c r="AH578">
        <f>IFERROR(INDEX(PP_Grid[#Data],$DE578,31),0)</f>
        <v/>
      </c>
      <c r="AI578">
        <f>IFERROR(INDEX(PP_Grid[#Data],$DE578,32),0)</f>
        <v/>
      </c>
      <c r="AJ578">
        <f>IFERROR(INDEX(PP_Grid[#Data],$DE578,33),0)</f>
        <v/>
      </c>
      <c r="AK578">
        <f>IFERROR(INDEX(PP_Grid[#Data],$DE578,34),0)</f>
        <v/>
      </c>
      <c r="AL578">
        <f>IFERROR(INDEX(PP_Grid[#Data],$DE578,35),0)</f>
        <v/>
      </c>
      <c r="AM578">
        <f>IFERROR(INDEX(PP_Grid[#Data],$DE578,36),0)</f>
        <v/>
      </c>
      <c r="AN578">
        <f>IFERROR(INDEX(PP_Grid[#Data],$DE578,37),0)</f>
        <v/>
      </c>
      <c r="AO578">
        <f>IFERROR(INDEX(PP_Grid[#Data],$DE578,38),0)</f>
        <v/>
      </c>
      <c r="AP578">
        <f>IFERROR(INDEX(PP_Grid[#Data],$DE578,39),0)</f>
        <v/>
      </c>
      <c r="AQ578">
        <f>IFERROR(INDEX(PP_Grid[#Data],$DE578,40),0)</f>
        <v/>
      </c>
      <c r="AR578">
        <f>IFERROR(INDEX(PP_Grid[#Data],$DE578,41),0)</f>
        <v/>
      </c>
      <c r="AS578">
        <f>IFERROR(INDEX(PP_Grid[#Data],$DE578,42),0)</f>
        <v/>
      </c>
      <c r="AT578">
        <f>IFERROR(INDEX(PP_Grid[#Data],$DE578,43),0)</f>
        <v/>
      </c>
      <c r="AU578">
        <f>IFERROR(INDEX(PP_Grid[#Data],$DE578,44),0)</f>
        <v/>
      </c>
      <c r="AV578">
        <f>IFERROR(INDEX(PP_Grid[#Data],$DE578,45),0)</f>
        <v/>
      </c>
      <c r="AW578">
        <f>IFERROR(INDEX(PP_Grid[#Data],$DE578,46),0)</f>
        <v/>
      </c>
      <c r="AX578">
        <f>IFERROR(INDEX(PP_Grid[#Data],$DE578,47),0)</f>
        <v/>
      </c>
      <c r="AY578">
        <f>IFERROR(INDEX(PP_Grid[#Data],$DE578,48),0)</f>
        <v/>
      </c>
      <c r="AZ578">
        <f>IFERROR(INDEX(PP_Grid[#Data],$DE578,49),0)</f>
        <v/>
      </c>
      <c r="BA578">
        <f>IFERROR(INDEX(PP_Grid[#Data],$DE578,50),0)</f>
        <v/>
      </c>
      <c r="BB578">
        <f>IFERROR(INDEX(PP_Grid[#Data],$DE578,51),0)</f>
        <v/>
      </c>
      <c r="BC578">
        <f>IFERROR(INDEX(PP_Grid[#Data],$DE578,52),0)</f>
        <v/>
      </c>
      <c r="BD578">
        <f>IFERROR(INDEX(PP_Grid[#Data],$DE578,53),0)</f>
        <v/>
      </c>
      <c r="BE578">
        <f>IFERROR(INDEX(PP_Grid[#Data],$DE578,54),0)</f>
        <v/>
      </c>
      <c r="BF578">
        <f>IFERROR(INDEX(PP_Grid[#Data],$DE578,55),0)</f>
        <v/>
      </c>
      <c r="BG578">
        <f>IFERROR(INDEX(PP_Grid[#Data],$DE578,56),0)</f>
        <v/>
      </c>
      <c r="BH578">
        <f>IFERROR(INDEX(PP_Grid[#Data],$DE578,57),0)</f>
        <v/>
      </c>
      <c r="BI578">
        <f>IFERROR(INDEX(PP_Grid[#Data],$DE578,58),0)</f>
        <v/>
      </c>
      <c r="BJ578">
        <f>IFERROR(INDEX(PP_Grid[#Data],$DE578,59),0)</f>
        <v/>
      </c>
      <c r="BK578">
        <f>IFERROR(INDEX(PP_Grid[#Data],$DE578,60),0)</f>
        <v/>
      </c>
      <c r="BL578">
        <f>IFERROR(INDEX(PP_Grid[#Data],$DE578,61),0)</f>
        <v/>
      </c>
      <c r="BM578">
        <f>IFERROR(INDEX(PP_Grid[#Data],$DE578,62),0)</f>
        <v/>
      </c>
      <c r="BN578">
        <f>IFERROR(INDEX(PP_Grid[#Data],$DE578,63),0)</f>
        <v/>
      </c>
      <c r="BO578">
        <f>IFERROR(INDEX(PP_Grid[#Data],$DE578,64),0)</f>
        <v/>
      </c>
      <c r="BP578">
        <f>IFERROR(INDEX(PP_Grid[#Data],$DE578,65),0)</f>
        <v/>
      </c>
      <c r="BQ578">
        <f>IFERROR(INDEX(PP_Grid[#Data],$DE578,66),0)</f>
        <v/>
      </c>
      <c r="BR578">
        <f>IFERROR(INDEX(PP_Grid[#Data],$DE578,67),0)</f>
        <v/>
      </c>
      <c r="BS578">
        <f>IFERROR(INDEX(PP_Grid[#Data],$DE578,68),0)</f>
        <v/>
      </c>
      <c r="BT578">
        <f>IFERROR(INDEX(PP_Grid[#Data],$DE578,69),0)</f>
        <v/>
      </c>
      <c r="BU578">
        <f>IFERROR(INDEX(PP_Grid[#Data],$DE578,70),0)</f>
        <v/>
      </c>
      <c r="BV578">
        <f>IFERROR(INDEX(PP_Grid[#Data],$DE578,71),0)</f>
        <v/>
      </c>
      <c r="BW578">
        <f>IFERROR(INDEX(PP_Grid[#Data],$DE578,72),0)</f>
        <v/>
      </c>
      <c r="BX578">
        <f>IFERROR(INDEX(PP_Grid[#Data],$DE578,73),0)</f>
        <v/>
      </c>
      <c r="BY578">
        <f>IFERROR(INDEX(PP_Grid[#Data],$DE578,74),0)</f>
        <v/>
      </c>
      <c r="BZ578">
        <f>IFERROR(INDEX(PP_Grid[#Data],$DE578,75),0)</f>
        <v/>
      </c>
      <c r="CA578">
        <f>IFERROR(INDEX(PP_Grid[#Data],$DE578,76),0)</f>
        <v/>
      </c>
      <c r="CB578">
        <f>IFERROR(INDEX(PP_Grid[#Data],$DE578,77),0)</f>
        <v/>
      </c>
      <c r="CC578">
        <f>IFERROR(INDEX(PP_Grid[#Data],$DE578,78),0)</f>
        <v/>
      </c>
      <c r="CD578">
        <f>IFERROR(INDEX(PP_Grid[#Data],$DE578,79),0)</f>
        <v/>
      </c>
      <c r="CE578">
        <f>IFERROR(INDEX(PP_Grid[#Data],$DE578,80),0)</f>
        <v/>
      </c>
      <c r="CF578">
        <f>IFERROR(INDEX(PP_Grid[#Data],$DE578,81),0)</f>
        <v/>
      </c>
      <c r="CG578">
        <f>IFERROR(INDEX(PP_Grid[#Data],$DE578,82),0)</f>
        <v/>
      </c>
      <c r="CH578">
        <f>IFERROR(INDEX(PP_Grid[#Data],$DE578,83),0)</f>
        <v/>
      </c>
      <c r="CI578">
        <f>IFERROR(INDEX(PP_Grid[#Data],$DE578,84),0)</f>
        <v/>
      </c>
      <c r="CJ578">
        <f>IFERROR(INDEX(PP_Grid[#Data],$DE578,85),0)</f>
        <v/>
      </c>
      <c r="CK578">
        <f>IFERROR(INDEX(PP_Grid[#Data],$DE578,86),0)</f>
        <v/>
      </c>
      <c r="CL578">
        <f>IFERROR(INDEX(PP_Grid[#Data],$DE578,87),0)</f>
        <v/>
      </c>
      <c r="CM578">
        <f>IFERROR(INDEX(PP_Grid[#Data],$DE578,88),0)</f>
        <v/>
      </c>
      <c r="CN578">
        <f>IFERROR(INDEX(PP_Grid[#Data],$DE578,89),0)</f>
        <v/>
      </c>
      <c r="CO578">
        <f>IFERROR(INDEX(PP_Grid[#Data],$DE578,90),0)</f>
        <v/>
      </c>
      <c r="CP578">
        <f>IFERROR(INDEX(PP_Grid[#Data],$DE578,91),0)</f>
        <v/>
      </c>
      <c r="CQ578">
        <f>IFERROR(INDEX(PP_Grid[#Data],$DE578,92),0)</f>
        <v/>
      </c>
      <c r="CR578">
        <f>IFERROR(INDEX(PP_Grid[#Data],$DE578,93),0)</f>
        <v/>
      </c>
      <c r="CS578">
        <f>IFERROR(INDEX(PP_Grid[#Data],$DE578,94),0)</f>
        <v/>
      </c>
      <c r="CT578">
        <f>IFERROR(INDEX(PP_Grid[#Data],$DE578,95),0)</f>
        <v/>
      </c>
      <c r="CU578">
        <f>IFERROR(INDEX(PP_Grid[#Data],$DE578,96),0)</f>
        <v/>
      </c>
      <c r="CV578">
        <f>IFERROR(INDEX(PP_Grid[#Data],$DE578,97),0)</f>
        <v/>
      </c>
      <c r="CW578">
        <f>IFERROR(INDEX(PP_Grid[#Data],$DE578,98),0)</f>
        <v/>
      </c>
      <c r="CX578">
        <f>IFERROR(INDEX(PP_Grid[#Data],$DE578,99),0)</f>
        <v/>
      </c>
      <c r="CY578">
        <f>IFERROR(INDEX(PP_Grid[#Data],$DE578,100),0)</f>
        <v/>
      </c>
      <c r="CZ578">
        <f>IFERROR(INDEX(PP_Grid[#Data],$DE578,101),0)</f>
        <v/>
      </c>
      <c r="DA578">
        <f>IFERROR(INDEX(PP_Grid[#Data],$DE578,102),0)</f>
        <v/>
      </c>
      <c r="DB578">
        <f>IFERROR(INDEX(PP_Grid[#Data],$DE578,103),0)</f>
        <v/>
      </c>
      <c r="DC578">
        <f>IFERROR(INDEX(PP_Grid[#Data],$DE578,104),0)</f>
        <v/>
      </c>
      <c r="DD578">
        <f>IFERROR(INDEX(PP_Grid[#Data],$DE578,105),0)</f>
        <v/>
      </c>
      <c r="DE578" s="7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SUMIFS(M_BOM[RM_Qty_Per_Batch],M_BOM[Intermediate],$B578,M_BOM[RM_Code],$A497)</f>
        <v/>
      </c>
      <c r="D579">
        <f>IFERROR(INDEX(E579:DD579,$F$1),"")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  <c r="DD579">
        <f>$C579*DD578</f>
        <v/>
      </c>
    </row>
    <row r="580">
      <c r="B580" t="inlineStr">
        <is>
          <t>VSP-600</t>
        </is>
      </c>
      <c r="C580" t="inlineStr">
        <is>
          <t>No. of batches</t>
        </is>
      </c>
      <c r="D580">
        <f>IFERROR(INDEX(E580:DD580,$F$1),"")</f>
        <v/>
      </c>
      <c r="E580">
        <f>IFERROR(INDEX(PP_Grid[#Data],$DE580,2),0)</f>
        <v/>
      </c>
      <c r="F580">
        <f>IFERROR(INDEX(PP_Grid[#Data],$DE580,3),0)</f>
        <v/>
      </c>
      <c r="G580">
        <f>IFERROR(INDEX(PP_Grid[#Data],$DE580,4),0)</f>
        <v/>
      </c>
      <c r="H580">
        <f>IFERROR(INDEX(PP_Grid[#Data],$DE580,5),0)</f>
        <v/>
      </c>
      <c r="I580">
        <f>IFERROR(INDEX(PP_Grid[#Data],$DE580,6),0)</f>
        <v/>
      </c>
      <c r="J580">
        <f>IFERROR(INDEX(PP_Grid[#Data],$DE580,7),0)</f>
        <v/>
      </c>
      <c r="K580">
        <f>IFERROR(INDEX(PP_Grid[#Data],$DE580,8),0)</f>
        <v/>
      </c>
      <c r="L580">
        <f>IFERROR(INDEX(PP_Grid[#Data],$DE580,9),0)</f>
        <v/>
      </c>
      <c r="M580">
        <f>IFERROR(INDEX(PP_Grid[#Data],$DE580,10),0)</f>
        <v/>
      </c>
      <c r="N580">
        <f>IFERROR(INDEX(PP_Grid[#Data],$DE580,11),0)</f>
        <v/>
      </c>
      <c r="O580">
        <f>IFERROR(INDEX(PP_Grid[#Data],$DE580,12),0)</f>
        <v/>
      </c>
      <c r="P580">
        <f>IFERROR(INDEX(PP_Grid[#Data],$DE580,13),0)</f>
        <v/>
      </c>
      <c r="Q580">
        <f>IFERROR(INDEX(PP_Grid[#Data],$DE580,14),0)</f>
        <v/>
      </c>
      <c r="R580">
        <f>IFERROR(INDEX(PP_Grid[#Data],$DE580,15),0)</f>
        <v/>
      </c>
      <c r="S580">
        <f>IFERROR(INDEX(PP_Grid[#Data],$DE580,16),0)</f>
        <v/>
      </c>
      <c r="T580">
        <f>IFERROR(INDEX(PP_Grid[#Data],$DE580,17),0)</f>
        <v/>
      </c>
      <c r="U580">
        <f>IFERROR(INDEX(PP_Grid[#Data],$DE580,18),0)</f>
        <v/>
      </c>
      <c r="V580">
        <f>IFERROR(INDEX(PP_Grid[#Data],$DE580,19),0)</f>
        <v/>
      </c>
      <c r="W580">
        <f>IFERROR(INDEX(PP_Grid[#Data],$DE580,20),0)</f>
        <v/>
      </c>
      <c r="X580">
        <f>IFERROR(INDEX(PP_Grid[#Data],$DE580,21),0)</f>
        <v/>
      </c>
      <c r="Y580">
        <f>IFERROR(INDEX(PP_Grid[#Data],$DE580,22),0)</f>
        <v/>
      </c>
      <c r="Z580">
        <f>IFERROR(INDEX(PP_Grid[#Data],$DE580,23),0)</f>
        <v/>
      </c>
      <c r="AA580">
        <f>IFERROR(INDEX(PP_Grid[#Data],$DE580,24),0)</f>
        <v/>
      </c>
      <c r="AB580">
        <f>IFERROR(INDEX(PP_Grid[#Data],$DE580,25),0)</f>
        <v/>
      </c>
      <c r="AC580">
        <f>IFERROR(INDEX(PP_Grid[#Data],$DE580,26),0)</f>
        <v/>
      </c>
      <c r="AD580">
        <f>IFERROR(INDEX(PP_Grid[#Data],$DE580,27),0)</f>
        <v/>
      </c>
      <c r="AE580">
        <f>IFERROR(INDEX(PP_Grid[#Data],$DE580,28),0)</f>
        <v/>
      </c>
      <c r="AF580">
        <f>IFERROR(INDEX(PP_Grid[#Data],$DE580,29),0)</f>
        <v/>
      </c>
      <c r="AG580">
        <f>IFERROR(INDEX(PP_Grid[#Data],$DE580,30),0)</f>
        <v/>
      </c>
      <c r="AH580">
        <f>IFERROR(INDEX(PP_Grid[#Data],$DE580,31),0)</f>
        <v/>
      </c>
      <c r="AI580">
        <f>IFERROR(INDEX(PP_Grid[#Data],$DE580,32),0)</f>
        <v/>
      </c>
      <c r="AJ580">
        <f>IFERROR(INDEX(PP_Grid[#Data],$DE580,33),0)</f>
        <v/>
      </c>
      <c r="AK580">
        <f>IFERROR(INDEX(PP_Grid[#Data],$DE580,34),0)</f>
        <v/>
      </c>
      <c r="AL580">
        <f>IFERROR(INDEX(PP_Grid[#Data],$DE580,35),0)</f>
        <v/>
      </c>
      <c r="AM580">
        <f>IFERROR(INDEX(PP_Grid[#Data],$DE580,36),0)</f>
        <v/>
      </c>
      <c r="AN580">
        <f>IFERROR(INDEX(PP_Grid[#Data],$DE580,37),0)</f>
        <v/>
      </c>
      <c r="AO580">
        <f>IFERROR(INDEX(PP_Grid[#Data],$DE580,38),0)</f>
        <v/>
      </c>
      <c r="AP580">
        <f>IFERROR(INDEX(PP_Grid[#Data],$DE580,39),0)</f>
        <v/>
      </c>
      <c r="AQ580">
        <f>IFERROR(INDEX(PP_Grid[#Data],$DE580,40),0)</f>
        <v/>
      </c>
      <c r="AR580">
        <f>IFERROR(INDEX(PP_Grid[#Data],$DE580,41),0)</f>
        <v/>
      </c>
      <c r="AS580">
        <f>IFERROR(INDEX(PP_Grid[#Data],$DE580,42),0)</f>
        <v/>
      </c>
      <c r="AT580">
        <f>IFERROR(INDEX(PP_Grid[#Data],$DE580,43),0)</f>
        <v/>
      </c>
      <c r="AU580">
        <f>IFERROR(INDEX(PP_Grid[#Data],$DE580,44),0)</f>
        <v/>
      </c>
      <c r="AV580">
        <f>IFERROR(INDEX(PP_Grid[#Data],$DE580,45),0)</f>
        <v/>
      </c>
      <c r="AW580">
        <f>IFERROR(INDEX(PP_Grid[#Data],$DE580,46),0)</f>
        <v/>
      </c>
      <c r="AX580">
        <f>IFERROR(INDEX(PP_Grid[#Data],$DE580,47),0)</f>
        <v/>
      </c>
      <c r="AY580">
        <f>IFERROR(INDEX(PP_Grid[#Data],$DE580,48),0)</f>
        <v/>
      </c>
      <c r="AZ580">
        <f>IFERROR(INDEX(PP_Grid[#Data],$DE580,49),0)</f>
        <v/>
      </c>
      <c r="BA580">
        <f>IFERROR(INDEX(PP_Grid[#Data],$DE580,50),0)</f>
        <v/>
      </c>
      <c r="BB580">
        <f>IFERROR(INDEX(PP_Grid[#Data],$DE580,51),0)</f>
        <v/>
      </c>
      <c r="BC580">
        <f>IFERROR(INDEX(PP_Grid[#Data],$DE580,52),0)</f>
        <v/>
      </c>
      <c r="BD580">
        <f>IFERROR(INDEX(PP_Grid[#Data],$DE580,53),0)</f>
        <v/>
      </c>
      <c r="BE580">
        <f>IFERROR(INDEX(PP_Grid[#Data],$DE580,54),0)</f>
        <v/>
      </c>
      <c r="BF580">
        <f>IFERROR(INDEX(PP_Grid[#Data],$DE580,55),0)</f>
        <v/>
      </c>
      <c r="BG580">
        <f>IFERROR(INDEX(PP_Grid[#Data],$DE580,56),0)</f>
        <v/>
      </c>
      <c r="BH580">
        <f>IFERROR(INDEX(PP_Grid[#Data],$DE580,57),0)</f>
        <v/>
      </c>
      <c r="BI580">
        <f>IFERROR(INDEX(PP_Grid[#Data],$DE580,58),0)</f>
        <v/>
      </c>
      <c r="BJ580">
        <f>IFERROR(INDEX(PP_Grid[#Data],$DE580,59),0)</f>
        <v/>
      </c>
      <c r="BK580">
        <f>IFERROR(INDEX(PP_Grid[#Data],$DE580,60),0)</f>
        <v/>
      </c>
      <c r="BL580">
        <f>IFERROR(INDEX(PP_Grid[#Data],$DE580,61),0)</f>
        <v/>
      </c>
      <c r="BM580">
        <f>IFERROR(INDEX(PP_Grid[#Data],$DE580,62),0)</f>
        <v/>
      </c>
      <c r="BN580">
        <f>IFERROR(INDEX(PP_Grid[#Data],$DE580,63),0)</f>
        <v/>
      </c>
      <c r="BO580">
        <f>IFERROR(INDEX(PP_Grid[#Data],$DE580,64),0)</f>
        <v/>
      </c>
      <c r="BP580">
        <f>IFERROR(INDEX(PP_Grid[#Data],$DE580,65),0)</f>
        <v/>
      </c>
      <c r="BQ580">
        <f>IFERROR(INDEX(PP_Grid[#Data],$DE580,66),0)</f>
        <v/>
      </c>
      <c r="BR580">
        <f>IFERROR(INDEX(PP_Grid[#Data],$DE580,67),0)</f>
        <v/>
      </c>
      <c r="BS580">
        <f>IFERROR(INDEX(PP_Grid[#Data],$DE580,68),0)</f>
        <v/>
      </c>
      <c r="BT580">
        <f>IFERROR(INDEX(PP_Grid[#Data],$DE580,69),0)</f>
        <v/>
      </c>
      <c r="BU580">
        <f>IFERROR(INDEX(PP_Grid[#Data],$DE580,70),0)</f>
        <v/>
      </c>
      <c r="BV580">
        <f>IFERROR(INDEX(PP_Grid[#Data],$DE580,71),0)</f>
        <v/>
      </c>
      <c r="BW580">
        <f>IFERROR(INDEX(PP_Grid[#Data],$DE580,72),0)</f>
        <v/>
      </c>
      <c r="BX580">
        <f>IFERROR(INDEX(PP_Grid[#Data],$DE580,73),0)</f>
        <v/>
      </c>
      <c r="BY580">
        <f>IFERROR(INDEX(PP_Grid[#Data],$DE580,74),0)</f>
        <v/>
      </c>
      <c r="BZ580">
        <f>IFERROR(INDEX(PP_Grid[#Data],$DE580,75),0)</f>
        <v/>
      </c>
      <c r="CA580">
        <f>IFERROR(INDEX(PP_Grid[#Data],$DE580,76),0)</f>
        <v/>
      </c>
      <c r="CB580">
        <f>IFERROR(INDEX(PP_Grid[#Data],$DE580,77),0)</f>
        <v/>
      </c>
      <c r="CC580">
        <f>IFERROR(INDEX(PP_Grid[#Data],$DE580,78),0)</f>
        <v/>
      </c>
      <c r="CD580">
        <f>IFERROR(INDEX(PP_Grid[#Data],$DE580,79),0)</f>
        <v/>
      </c>
      <c r="CE580">
        <f>IFERROR(INDEX(PP_Grid[#Data],$DE580,80),0)</f>
        <v/>
      </c>
      <c r="CF580">
        <f>IFERROR(INDEX(PP_Grid[#Data],$DE580,81),0)</f>
        <v/>
      </c>
      <c r="CG580">
        <f>IFERROR(INDEX(PP_Grid[#Data],$DE580,82),0)</f>
        <v/>
      </c>
      <c r="CH580">
        <f>IFERROR(INDEX(PP_Grid[#Data],$DE580,83),0)</f>
        <v/>
      </c>
      <c r="CI580">
        <f>IFERROR(INDEX(PP_Grid[#Data],$DE580,84),0)</f>
        <v/>
      </c>
      <c r="CJ580">
        <f>IFERROR(INDEX(PP_Grid[#Data],$DE580,85),0)</f>
        <v/>
      </c>
      <c r="CK580">
        <f>IFERROR(INDEX(PP_Grid[#Data],$DE580,86),0)</f>
        <v/>
      </c>
      <c r="CL580">
        <f>IFERROR(INDEX(PP_Grid[#Data],$DE580,87),0)</f>
        <v/>
      </c>
      <c r="CM580">
        <f>IFERROR(INDEX(PP_Grid[#Data],$DE580,88),0)</f>
        <v/>
      </c>
      <c r="CN580">
        <f>IFERROR(INDEX(PP_Grid[#Data],$DE580,89),0)</f>
        <v/>
      </c>
      <c r="CO580">
        <f>IFERROR(INDEX(PP_Grid[#Data],$DE580,90),0)</f>
        <v/>
      </c>
      <c r="CP580">
        <f>IFERROR(INDEX(PP_Grid[#Data],$DE580,91),0)</f>
        <v/>
      </c>
      <c r="CQ580">
        <f>IFERROR(INDEX(PP_Grid[#Data],$DE580,92),0)</f>
        <v/>
      </c>
      <c r="CR580">
        <f>IFERROR(INDEX(PP_Grid[#Data],$DE580,93),0)</f>
        <v/>
      </c>
      <c r="CS580">
        <f>IFERROR(INDEX(PP_Grid[#Data],$DE580,94),0)</f>
        <v/>
      </c>
      <c r="CT580">
        <f>IFERROR(INDEX(PP_Grid[#Data],$DE580,95),0)</f>
        <v/>
      </c>
      <c r="CU580">
        <f>IFERROR(INDEX(PP_Grid[#Data],$DE580,96),0)</f>
        <v/>
      </c>
      <c r="CV580">
        <f>IFERROR(INDEX(PP_Grid[#Data],$DE580,97),0)</f>
        <v/>
      </c>
      <c r="CW580">
        <f>IFERROR(INDEX(PP_Grid[#Data],$DE580,98),0)</f>
        <v/>
      </c>
      <c r="CX580">
        <f>IFERROR(INDEX(PP_Grid[#Data],$DE580,99),0)</f>
        <v/>
      </c>
      <c r="CY580">
        <f>IFERROR(INDEX(PP_Grid[#Data],$DE580,100),0)</f>
        <v/>
      </c>
      <c r="CZ580">
        <f>IFERROR(INDEX(PP_Grid[#Data],$DE580,101),0)</f>
        <v/>
      </c>
      <c r="DA580">
        <f>IFERROR(INDEX(PP_Grid[#Data],$DE580,102),0)</f>
        <v/>
      </c>
      <c r="DB580">
        <f>IFERROR(INDEX(PP_Grid[#Data],$DE580,103),0)</f>
        <v/>
      </c>
      <c r="DC580">
        <f>IFERROR(INDEX(PP_Grid[#Data],$DE580,104),0)</f>
        <v/>
      </c>
      <c r="DD580">
        <f>IFERROR(INDEX(PP_Grid[#Data],$DE580,105),0)</f>
        <v/>
      </c>
      <c r="DE580" s="7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SUMIFS(M_BOM[RM_Qty_Per_Batch],M_BOM[Intermediate],$B580,M_BOM[RM_Code],$A497)</f>
        <v/>
      </c>
      <c r="D581">
        <f>IFERROR(INDEX(E581:DD581,$F$1),"")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  <c r="DD581">
        <f>$C581*DD580</f>
        <v/>
      </c>
    </row>
    <row r="582">
      <c r="B582" t="inlineStr">
        <is>
          <t>VSP-602</t>
        </is>
      </c>
      <c r="C582" t="inlineStr">
        <is>
          <t>No. of batches</t>
        </is>
      </c>
      <c r="D582">
        <f>IFERROR(INDEX(E582:DD582,$F$1),"")</f>
        <v/>
      </c>
      <c r="E582">
        <f>IFERROR(INDEX(PP_Grid[#Data],$DE582,2),0)</f>
        <v/>
      </c>
      <c r="F582">
        <f>IFERROR(INDEX(PP_Grid[#Data],$DE582,3),0)</f>
        <v/>
      </c>
      <c r="G582">
        <f>IFERROR(INDEX(PP_Grid[#Data],$DE582,4),0)</f>
        <v/>
      </c>
      <c r="H582">
        <f>IFERROR(INDEX(PP_Grid[#Data],$DE582,5),0)</f>
        <v/>
      </c>
      <c r="I582">
        <f>IFERROR(INDEX(PP_Grid[#Data],$DE582,6),0)</f>
        <v/>
      </c>
      <c r="J582">
        <f>IFERROR(INDEX(PP_Grid[#Data],$DE582,7),0)</f>
        <v/>
      </c>
      <c r="K582">
        <f>IFERROR(INDEX(PP_Grid[#Data],$DE582,8),0)</f>
        <v/>
      </c>
      <c r="L582">
        <f>IFERROR(INDEX(PP_Grid[#Data],$DE582,9),0)</f>
        <v/>
      </c>
      <c r="M582">
        <f>IFERROR(INDEX(PP_Grid[#Data],$DE582,10),0)</f>
        <v/>
      </c>
      <c r="N582">
        <f>IFERROR(INDEX(PP_Grid[#Data],$DE582,11),0)</f>
        <v/>
      </c>
      <c r="O582">
        <f>IFERROR(INDEX(PP_Grid[#Data],$DE582,12),0)</f>
        <v/>
      </c>
      <c r="P582">
        <f>IFERROR(INDEX(PP_Grid[#Data],$DE582,13),0)</f>
        <v/>
      </c>
      <c r="Q582">
        <f>IFERROR(INDEX(PP_Grid[#Data],$DE582,14),0)</f>
        <v/>
      </c>
      <c r="R582">
        <f>IFERROR(INDEX(PP_Grid[#Data],$DE582,15),0)</f>
        <v/>
      </c>
      <c r="S582">
        <f>IFERROR(INDEX(PP_Grid[#Data],$DE582,16),0)</f>
        <v/>
      </c>
      <c r="T582">
        <f>IFERROR(INDEX(PP_Grid[#Data],$DE582,17),0)</f>
        <v/>
      </c>
      <c r="U582">
        <f>IFERROR(INDEX(PP_Grid[#Data],$DE582,18),0)</f>
        <v/>
      </c>
      <c r="V582">
        <f>IFERROR(INDEX(PP_Grid[#Data],$DE582,19),0)</f>
        <v/>
      </c>
      <c r="W582">
        <f>IFERROR(INDEX(PP_Grid[#Data],$DE582,20),0)</f>
        <v/>
      </c>
      <c r="X582">
        <f>IFERROR(INDEX(PP_Grid[#Data],$DE582,21),0)</f>
        <v/>
      </c>
      <c r="Y582">
        <f>IFERROR(INDEX(PP_Grid[#Data],$DE582,22),0)</f>
        <v/>
      </c>
      <c r="Z582">
        <f>IFERROR(INDEX(PP_Grid[#Data],$DE582,23),0)</f>
        <v/>
      </c>
      <c r="AA582">
        <f>IFERROR(INDEX(PP_Grid[#Data],$DE582,24),0)</f>
        <v/>
      </c>
      <c r="AB582">
        <f>IFERROR(INDEX(PP_Grid[#Data],$DE582,25),0)</f>
        <v/>
      </c>
      <c r="AC582">
        <f>IFERROR(INDEX(PP_Grid[#Data],$DE582,26),0)</f>
        <v/>
      </c>
      <c r="AD582">
        <f>IFERROR(INDEX(PP_Grid[#Data],$DE582,27),0)</f>
        <v/>
      </c>
      <c r="AE582">
        <f>IFERROR(INDEX(PP_Grid[#Data],$DE582,28),0)</f>
        <v/>
      </c>
      <c r="AF582">
        <f>IFERROR(INDEX(PP_Grid[#Data],$DE582,29),0)</f>
        <v/>
      </c>
      <c r="AG582">
        <f>IFERROR(INDEX(PP_Grid[#Data],$DE582,30),0)</f>
        <v/>
      </c>
      <c r="AH582">
        <f>IFERROR(INDEX(PP_Grid[#Data],$DE582,31),0)</f>
        <v/>
      </c>
      <c r="AI582">
        <f>IFERROR(INDEX(PP_Grid[#Data],$DE582,32),0)</f>
        <v/>
      </c>
      <c r="AJ582">
        <f>IFERROR(INDEX(PP_Grid[#Data],$DE582,33),0)</f>
        <v/>
      </c>
      <c r="AK582">
        <f>IFERROR(INDEX(PP_Grid[#Data],$DE582,34),0)</f>
        <v/>
      </c>
      <c r="AL582">
        <f>IFERROR(INDEX(PP_Grid[#Data],$DE582,35),0)</f>
        <v/>
      </c>
      <c r="AM582">
        <f>IFERROR(INDEX(PP_Grid[#Data],$DE582,36),0)</f>
        <v/>
      </c>
      <c r="AN582">
        <f>IFERROR(INDEX(PP_Grid[#Data],$DE582,37),0)</f>
        <v/>
      </c>
      <c r="AO582">
        <f>IFERROR(INDEX(PP_Grid[#Data],$DE582,38),0)</f>
        <v/>
      </c>
      <c r="AP582">
        <f>IFERROR(INDEX(PP_Grid[#Data],$DE582,39),0)</f>
        <v/>
      </c>
      <c r="AQ582">
        <f>IFERROR(INDEX(PP_Grid[#Data],$DE582,40),0)</f>
        <v/>
      </c>
      <c r="AR582">
        <f>IFERROR(INDEX(PP_Grid[#Data],$DE582,41),0)</f>
        <v/>
      </c>
      <c r="AS582">
        <f>IFERROR(INDEX(PP_Grid[#Data],$DE582,42),0)</f>
        <v/>
      </c>
      <c r="AT582">
        <f>IFERROR(INDEX(PP_Grid[#Data],$DE582,43),0)</f>
        <v/>
      </c>
      <c r="AU582">
        <f>IFERROR(INDEX(PP_Grid[#Data],$DE582,44),0)</f>
        <v/>
      </c>
      <c r="AV582">
        <f>IFERROR(INDEX(PP_Grid[#Data],$DE582,45),0)</f>
        <v/>
      </c>
      <c r="AW582">
        <f>IFERROR(INDEX(PP_Grid[#Data],$DE582,46),0)</f>
        <v/>
      </c>
      <c r="AX582">
        <f>IFERROR(INDEX(PP_Grid[#Data],$DE582,47),0)</f>
        <v/>
      </c>
      <c r="AY582">
        <f>IFERROR(INDEX(PP_Grid[#Data],$DE582,48),0)</f>
        <v/>
      </c>
      <c r="AZ582">
        <f>IFERROR(INDEX(PP_Grid[#Data],$DE582,49),0)</f>
        <v/>
      </c>
      <c r="BA582">
        <f>IFERROR(INDEX(PP_Grid[#Data],$DE582,50),0)</f>
        <v/>
      </c>
      <c r="BB582">
        <f>IFERROR(INDEX(PP_Grid[#Data],$DE582,51),0)</f>
        <v/>
      </c>
      <c r="BC582">
        <f>IFERROR(INDEX(PP_Grid[#Data],$DE582,52),0)</f>
        <v/>
      </c>
      <c r="BD582">
        <f>IFERROR(INDEX(PP_Grid[#Data],$DE582,53),0)</f>
        <v/>
      </c>
      <c r="BE582">
        <f>IFERROR(INDEX(PP_Grid[#Data],$DE582,54),0)</f>
        <v/>
      </c>
      <c r="BF582">
        <f>IFERROR(INDEX(PP_Grid[#Data],$DE582,55),0)</f>
        <v/>
      </c>
      <c r="BG582">
        <f>IFERROR(INDEX(PP_Grid[#Data],$DE582,56),0)</f>
        <v/>
      </c>
      <c r="BH582">
        <f>IFERROR(INDEX(PP_Grid[#Data],$DE582,57),0)</f>
        <v/>
      </c>
      <c r="BI582">
        <f>IFERROR(INDEX(PP_Grid[#Data],$DE582,58),0)</f>
        <v/>
      </c>
      <c r="BJ582">
        <f>IFERROR(INDEX(PP_Grid[#Data],$DE582,59),0)</f>
        <v/>
      </c>
      <c r="BK582">
        <f>IFERROR(INDEX(PP_Grid[#Data],$DE582,60),0)</f>
        <v/>
      </c>
      <c r="BL582">
        <f>IFERROR(INDEX(PP_Grid[#Data],$DE582,61),0)</f>
        <v/>
      </c>
      <c r="BM582">
        <f>IFERROR(INDEX(PP_Grid[#Data],$DE582,62),0)</f>
        <v/>
      </c>
      <c r="BN582">
        <f>IFERROR(INDEX(PP_Grid[#Data],$DE582,63),0)</f>
        <v/>
      </c>
      <c r="BO582">
        <f>IFERROR(INDEX(PP_Grid[#Data],$DE582,64),0)</f>
        <v/>
      </c>
      <c r="BP582">
        <f>IFERROR(INDEX(PP_Grid[#Data],$DE582,65),0)</f>
        <v/>
      </c>
      <c r="BQ582">
        <f>IFERROR(INDEX(PP_Grid[#Data],$DE582,66),0)</f>
        <v/>
      </c>
      <c r="BR582">
        <f>IFERROR(INDEX(PP_Grid[#Data],$DE582,67),0)</f>
        <v/>
      </c>
      <c r="BS582">
        <f>IFERROR(INDEX(PP_Grid[#Data],$DE582,68),0)</f>
        <v/>
      </c>
      <c r="BT582">
        <f>IFERROR(INDEX(PP_Grid[#Data],$DE582,69),0)</f>
        <v/>
      </c>
      <c r="BU582">
        <f>IFERROR(INDEX(PP_Grid[#Data],$DE582,70),0)</f>
        <v/>
      </c>
      <c r="BV582">
        <f>IFERROR(INDEX(PP_Grid[#Data],$DE582,71),0)</f>
        <v/>
      </c>
      <c r="BW582">
        <f>IFERROR(INDEX(PP_Grid[#Data],$DE582,72),0)</f>
        <v/>
      </c>
      <c r="BX582">
        <f>IFERROR(INDEX(PP_Grid[#Data],$DE582,73),0)</f>
        <v/>
      </c>
      <c r="BY582">
        <f>IFERROR(INDEX(PP_Grid[#Data],$DE582,74),0)</f>
        <v/>
      </c>
      <c r="BZ582">
        <f>IFERROR(INDEX(PP_Grid[#Data],$DE582,75),0)</f>
        <v/>
      </c>
      <c r="CA582">
        <f>IFERROR(INDEX(PP_Grid[#Data],$DE582,76),0)</f>
        <v/>
      </c>
      <c r="CB582">
        <f>IFERROR(INDEX(PP_Grid[#Data],$DE582,77),0)</f>
        <v/>
      </c>
      <c r="CC582">
        <f>IFERROR(INDEX(PP_Grid[#Data],$DE582,78),0)</f>
        <v/>
      </c>
      <c r="CD582">
        <f>IFERROR(INDEX(PP_Grid[#Data],$DE582,79),0)</f>
        <v/>
      </c>
      <c r="CE582">
        <f>IFERROR(INDEX(PP_Grid[#Data],$DE582,80),0)</f>
        <v/>
      </c>
      <c r="CF582">
        <f>IFERROR(INDEX(PP_Grid[#Data],$DE582,81),0)</f>
        <v/>
      </c>
      <c r="CG582">
        <f>IFERROR(INDEX(PP_Grid[#Data],$DE582,82),0)</f>
        <v/>
      </c>
      <c r="CH582">
        <f>IFERROR(INDEX(PP_Grid[#Data],$DE582,83),0)</f>
        <v/>
      </c>
      <c r="CI582">
        <f>IFERROR(INDEX(PP_Grid[#Data],$DE582,84),0)</f>
        <v/>
      </c>
      <c r="CJ582">
        <f>IFERROR(INDEX(PP_Grid[#Data],$DE582,85),0)</f>
        <v/>
      </c>
      <c r="CK582">
        <f>IFERROR(INDEX(PP_Grid[#Data],$DE582,86),0)</f>
        <v/>
      </c>
      <c r="CL582">
        <f>IFERROR(INDEX(PP_Grid[#Data],$DE582,87),0)</f>
        <v/>
      </c>
      <c r="CM582">
        <f>IFERROR(INDEX(PP_Grid[#Data],$DE582,88),0)</f>
        <v/>
      </c>
      <c r="CN582">
        <f>IFERROR(INDEX(PP_Grid[#Data],$DE582,89),0)</f>
        <v/>
      </c>
      <c r="CO582">
        <f>IFERROR(INDEX(PP_Grid[#Data],$DE582,90),0)</f>
        <v/>
      </c>
      <c r="CP582">
        <f>IFERROR(INDEX(PP_Grid[#Data],$DE582,91),0)</f>
        <v/>
      </c>
      <c r="CQ582">
        <f>IFERROR(INDEX(PP_Grid[#Data],$DE582,92),0)</f>
        <v/>
      </c>
      <c r="CR582">
        <f>IFERROR(INDEX(PP_Grid[#Data],$DE582,93),0)</f>
        <v/>
      </c>
      <c r="CS582">
        <f>IFERROR(INDEX(PP_Grid[#Data],$DE582,94),0)</f>
        <v/>
      </c>
      <c r="CT582">
        <f>IFERROR(INDEX(PP_Grid[#Data],$DE582,95),0)</f>
        <v/>
      </c>
      <c r="CU582">
        <f>IFERROR(INDEX(PP_Grid[#Data],$DE582,96),0)</f>
        <v/>
      </c>
      <c r="CV582">
        <f>IFERROR(INDEX(PP_Grid[#Data],$DE582,97),0)</f>
        <v/>
      </c>
      <c r="CW582">
        <f>IFERROR(INDEX(PP_Grid[#Data],$DE582,98),0)</f>
        <v/>
      </c>
      <c r="CX582">
        <f>IFERROR(INDEX(PP_Grid[#Data],$DE582,99),0)</f>
        <v/>
      </c>
      <c r="CY582">
        <f>IFERROR(INDEX(PP_Grid[#Data],$DE582,100),0)</f>
        <v/>
      </c>
      <c r="CZ582">
        <f>IFERROR(INDEX(PP_Grid[#Data],$DE582,101),0)</f>
        <v/>
      </c>
      <c r="DA582">
        <f>IFERROR(INDEX(PP_Grid[#Data],$DE582,102),0)</f>
        <v/>
      </c>
      <c r="DB582">
        <f>IFERROR(INDEX(PP_Grid[#Data],$DE582,103),0)</f>
        <v/>
      </c>
      <c r="DC582">
        <f>IFERROR(INDEX(PP_Grid[#Data],$DE582,104),0)</f>
        <v/>
      </c>
      <c r="DD582">
        <f>IFERROR(INDEX(PP_Grid[#Data],$DE582,105),0)</f>
        <v/>
      </c>
      <c r="DE582" s="7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SUMIFS(M_BOM[RM_Qty_Per_Batch],M_BOM[Intermediate],$B582,M_BOM[RM_Code],$A497)</f>
        <v/>
      </c>
      <c r="D583">
        <f>IFERROR(INDEX(E583:DD583,$F$1),"")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  <c r="DD583">
        <f>$C583*DD582</f>
        <v/>
      </c>
    </row>
    <row r="584">
      <c r="B584" t="inlineStr">
        <is>
          <t>VSP-603</t>
        </is>
      </c>
      <c r="C584" t="inlineStr">
        <is>
          <t>No. of batches</t>
        </is>
      </c>
      <c r="D584">
        <f>IFERROR(INDEX(E584:DD584,$F$1),"")</f>
        <v/>
      </c>
      <c r="E584">
        <f>IFERROR(INDEX(PP_Grid[#Data],$DE584,2),0)</f>
        <v/>
      </c>
      <c r="F584">
        <f>IFERROR(INDEX(PP_Grid[#Data],$DE584,3),0)</f>
        <v/>
      </c>
      <c r="G584">
        <f>IFERROR(INDEX(PP_Grid[#Data],$DE584,4),0)</f>
        <v/>
      </c>
      <c r="H584">
        <f>IFERROR(INDEX(PP_Grid[#Data],$DE584,5),0)</f>
        <v/>
      </c>
      <c r="I584">
        <f>IFERROR(INDEX(PP_Grid[#Data],$DE584,6),0)</f>
        <v/>
      </c>
      <c r="J584">
        <f>IFERROR(INDEX(PP_Grid[#Data],$DE584,7),0)</f>
        <v/>
      </c>
      <c r="K584">
        <f>IFERROR(INDEX(PP_Grid[#Data],$DE584,8),0)</f>
        <v/>
      </c>
      <c r="L584">
        <f>IFERROR(INDEX(PP_Grid[#Data],$DE584,9),0)</f>
        <v/>
      </c>
      <c r="M584">
        <f>IFERROR(INDEX(PP_Grid[#Data],$DE584,10),0)</f>
        <v/>
      </c>
      <c r="N584">
        <f>IFERROR(INDEX(PP_Grid[#Data],$DE584,11),0)</f>
        <v/>
      </c>
      <c r="O584">
        <f>IFERROR(INDEX(PP_Grid[#Data],$DE584,12),0)</f>
        <v/>
      </c>
      <c r="P584">
        <f>IFERROR(INDEX(PP_Grid[#Data],$DE584,13),0)</f>
        <v/>
      </c>
      <c r="Q584">
        <f>IFERROR(INDEX(PP_Grid[#Data],$DE584,14),0)</f>
        <v/>
      </c>
      <c r="R584">
        <f>IFERROR(INDEX(PP_Grid[#Data],$DE584,15),0)</f>
        <v/>
      </c>
      <c r="S584">
        <f>IFERROR(INDEX(PP_Grid[#Data],$DE584,16),0)</f>
        <v/>
      </c>
      <c r="T584">
        <f>IFERROR(INDEX(PP_Grid[#Data],$DE584,17),0)</f>
        <v/>
      </c>
      <c r="U584">
        <f>IFERROR(INDEX(PP_Grid[#Data],$DE584,18),0)</f>
        <v/>
      </c>
      <c r="V584">
        <f>IFERROR(INDEX(PP_Grid[#Data],$DE584,19),0)</f>
        <v/>
      </c>
      <c r="W584">
        <f>IFERROR(INDEX(PP_Grid[#Data],$DE584,20),0)</f>
        <v/>
      </c>
      <c r="X584">
        <f>IFERROR(INDEX(PP_Grid[#Data],$DE584,21),0)</f>
        <v/>
      </c>
      <c r="Y584">
        <f>IFERROR(INDEX(PP_Grid[#Data],$DE584,22),0)</f>
        <v/>
      </c>
      <c r="Z584">
        <f>IFERROR(INDEX(PP_Grid[#Data],$DE584,23),0)</f>
        <v/>
      </c>
      <c r="AA584">
        <f>IFERROR(INDEX(PP_Grid[#Data],$DE584,24),0)</f>
        <v/>
      </c>
      <c r="AB584">
        <f>IFERROR(INDEX(PP_Grid[#Data],$DE584,25),0)</f>
        <v/>
      </c>
      <c r="AC584">
        <f>IFERROR(INDEX(PP_Grid[#Data],$DE584,26),0)</f>
        <v/>
      </c>
      <c r="AD584">
        <f>IFERROR(INDEX(PP_Grid[#Data],$DE584,27),0)</f>
        <v/>
      </c>
      <c r="AE584">
        <f>IFERROR(INDEX(PP_Grid[#Data],$DE584,28),0)</f>
        <v/>
      </c>
      <c r="AF584">
        <f>IFERROR(INDEX(PP_Grid[#Data],$DE584,29),0)</f>
        <v/>
      </c>
      <c r="AG584">
        <f>IFERROR(INDEX(PP_Grid[#Data],$DE584,30),0)</f>
        <v/>
      </c>
      <c r="AH584">
        <f>IFERROR(INDEX(PP_Grid[#Data],$DE584,31),0)</f>
        <v/>
      </c>
      <c r="AI584">
        <f>IFERROR(INDEX(PP_Grid[#Data],$DE584,32),0)</f>
        <v/>
      </c>
      <c r="AJ584">
        <f>IFERROR(INDEX(PP_Grid[#Data],$DE584,33),0)</f>
        <v/>
      </c>
      <c r="AK584">
        <f>IFERROR(INDEX(PP_Grid[#Data],$DE584,34),0)</f>
        <v/>
      </c>
      <c r="AL584">
        <f>IFERROR(INDEX(PP_Grid[#Data],$DE584,35),0)</f>
        <v/>
      </c>
      <c r="AM584">
        <f>IFERROR(INDEX(PP_Grid[#Data],$DE584,36),0)</f>
        <v/>
      </c>
      <c r="AN584">
        <f>IFERROR(INDEX(PP_Grid[#Data],$DE584,37),0)</f>
        <v/>
      </c>
      <c r="AO584">
        <f>IFERROR(INDEX(PP_Grid[#Data],$DE584,38),0)</f>
        <v/>
      </c>
      <c r="AP584">
        <f>IFERROR(INDEX(PP_Grid[#Data],$DE584,39),0)</f>
        <v/>
      </c>
      <c r="AQ584">
        <f>IFERROR(INDEX(PP_Grid[#Data],$DE584,40),0)</f>
        <v/>
      </c>
      <c r="AR584">
        <f>IFERROR(INDEX(PP_Grid[#Data],$DE584,41),0)</f>
        <v/>
      </c>
      <c r="AS584">
        <f>IFERROR(INDEX(PP_Grid[#Data],$DE584,42),0)</f>
        <v/>
      </c>
      <c r="AT584">
        <f>IFERROR(INDEX(PP_Grid[#Data],$DE584,43),0)</f>
        <v/>
      </c>
      <c r="AU584">
        <f>IFERROR(INDEX(PP_Grid[#Data],$DE584,44),0)</f>
        <v/>
      </c>
      <c r="AV584">
        <f>IFERROR(INDEX(PP_Grid[#Data],$DE584,45),0)</f>
        <v/>
      </c>
      <c r="AW584">
        <f>IFERROR(INDEX(PP_Grid[#Data],$DE584,46),0)</f>
        <v/>
      </c>
      <c r="AX584">
        <f>IFERROR(INDEX(PP_Grid[#Data],$DE584,47),0)</f>
        <v/>
      </c>
      <c r="AY584">
        <f>IFERROR(INDEX(PP_Grid[#Data],$DE584,48),0)</f>
        <v/>
      </c>
      <c r="AZ584">
        <f>IFERROR(INDEX(PP_Grid[#Data],$DE584,49),0)</f>
        <v/>
      </c>
      <c r="BA584">
        <f>IFERROR(INDEX(PP_Grid[#Data],$DE584,50),0)</f>
        <v/>
      </c>
      <c r="BB584">
        <f>IFERROR(INDEX(PP_Grid[#Data],$DE584,51),0)</f>
        <v/>
      </c>
      <c r="BC584">
        <f>IFERROR(INDEX(PP_Grid[#Data],$DE584,52),0)</f>
        <v/>
      </c>
      <c r="BD584">
        <f>IFERROR(INDEX(PP_Grid[#Data],$DE584,53),0)</f>
        <v/>
      </c>
      <c r="BE584">
        <f>IFERROR(INDEX(PP_Grid[#Data],$DE584,54),0)</f>
        <v/>
      </c>
      <c r="BF584">
        <f>IFERROR(INDEX(PP_Grid[#Data],$DE584,55),0)</f>
        <v/>
      </c>
      <c r="BG584">
        <f>IFERROR(INDEX(PP_Grid[#Data],$DE584,56),0)</f>
        <v/>
      </c>
      <c r="BH584">
        <f>IFERROR(INDEX(PP_Grid[#Data],$DE584,57),0)</f>
        <v/>
      </c>
      <c r="BI584">
        <f>IFERROR(INDEX(PP_Grid[#Data],$DE584,58),0)</f>
        <v/>
      </c>
      <c r="BJ584">
        <f>IFERROR(INDEX(PP_Grid[#Data],$DE584,59),0)</f>
        <v/>
      </c>
      <c r="BK584">
        <f>IFERROR(INDEX(PP_Grid[#Data],$DE584,60),0)</f>
        <v/>
      </c>
      <c r="BL584">
        <f>IFERROR(INDEX(PP_Grid[#Data],$DE584,61),0)</f>
        <v/>
      </c>
      <c r="BM584">
        <f>IFERROR(INDEX(PP_Grid[#Data],$DE584,62),0)</f>
        <v/>
      </c>
      <c r="BN584">
        <f>IFERROR(INDEX(PP_Grid[#Data],$DE584,63),0)</f>
        <v/>
      </c>
      <c r="BO584">
        <f>IFERROR(INDEX(PP_Grid[#Data],$DE584,64),0)</f>
        <v/>
      </c>
      <c r="BP584">
        <f>IFERROR(INDEX(PP_Grid[#Data],$DE584,65),0)</f>
        <v/>
      </c>
      <c r="BQ584">
        <f>IFERROR(INDEX(PP_Grid[#Data],$DE584,66),0)</f>
        <v/>
      </c>
      <c r="BR584">
        <f>IFERROR(INDEX(PP_Grid[#Data],$DE584,67),0)</f>
        <v/>
      </c>
      <c r="BS584">
        <f>IFERROR(INDEX(PP_Grid[#Data],$DE584,68),0)</f>
        <v/>
      </c>
      <c r="BT584">
        <f>IFERROR(INDEX(PP_Grid[#Data],$DE584,69),0)</f>
        <v/>
      </c>
      <c r="BU584">
        <f>IFERROR(INDEX(PP_Grid[#Data],$DE584,70),0)</f>
        <v/>
      </c>
      <c r="BV584">
        <f>IFERROR(INDEX(PP_Grid[#Data],$DE584,71),0)</f>
        <v/>
      </c>
      <c r="BW584">
        <f>IFERROR(INDEX(PP_Grid[#Data],$DE584,72),0)</f>
        <v/>
      </c>
      <c r="BX584">
        <f>IFERROR(INDEX(PP_Grid[#Data],$DE584,73),0)</f>
        <v/>
      </c>
      <c r="BY584">
        <f>IFERROR(INDEX(PP_Grid[#Data],$DE584,74),0)</f>
        <v/>
      </c>
      <c r="BZ584">
        <f>IFERROR(INDEX(PP_Grid[#Data],$DE584,75),0)</f>
        <v/>
      </c>
      <c r="CA584">
        <f>IFERROR(INDEX(PP_Grid[#Data],$DE584,76),0)</f>
        <v/>
      </c>
      <c r="CB584">
        <f>IFERROR(INDEX(PP_Grid[#Data],$DE584,77),0)</f>
        <v/>
      </c>
      <c r="CC584">
        <f>IFERROR(INDEX(PP_Grid[#Data],$DE584,78),0)</f>
        <v/>
      </c>
      <c r="CD584">
        <f>IFERROR(INDEX(PP_Grid[#Data],$DE584,79),0)</f>
        <v/>
      </c>
      <c r="CE584">
        <f>IFERROR(INDEX(PP_Grid[#Data],$DE584,80),0)</f>
        <v/>
      </c>
      <c r="CF584">
        <f>IFERROR(INDEX(PP_Grid[#Data],$DE584,81),0)</f>
        <v/>
      </c>
      <c r="CG584">
        <f>IFERROR(INDEX(PP_Grid[#Data],$DE584,82),0)</f>
        <v/>
      </c>
      <c r="CH584">
        <f>IFERROR(INDEX(PP_Grid[#Data],$DE584,83),0)</f>
        <v/>
      </c>
      <c r="CI584">
        <f>IFERROR(INDEX(PP_Grid[#Data],$DE584,84),0)</f>
        <v/>
      </c>
      <c r="CJ584">
        <f>IFERROR(INDEX(PP_Grid[#Data],$DE584,85),0)</f>
        <v/>
      </c>
      <c r="CK584">
        <f>IFERROR(INDEX(PP_Grid[#Data],$DE584,86),0)</f>
        <v/>
      </c>
      <c r="CL584">
        <f>IFERROR(INDEX(PP_Grid[#Data],$DE584,87),0)</f>
        <v/>
      </c>
      <c r="CM584">
        <f>IFERROR(INDEX(PP_Grid[#Data],$DE584,88),0)</f>
        <v/>
      </c>
      <c r="CN584">
        <f>IFERROR(INDEX(PP_Grid[#Data],$DE584,89),0)</f>
        <v/>
      </c>
      <c r="CO584">
        <f>IFERROR(INDEX(PP_Grid[#Data],$DE584,90),0)</f>
        <v/>
      </c>
      <c r="CP584">
        <f>IFERROR(INDEX(PP_Grid[#Data],$DE584,91),0)</f>
        <v/>
      </c>
      <c r="CQ584">
        <f>IFERROR(INDEX(PP_Grid[#Data],$DE584,92),0)</f>
        <v/>
      </c>
      <c r="CR584">
        <f>IFERROR(INDEX(PP_Grid[#Data],$DE584,93),0)</f>
        <v/>
      </c>
      <c r="CS584">
        <f>IFERROR(INDEX(PP_Grid[#Data],$DE584,94),0)</f>
        <v/>
      </c>
      <c r="CT584">
        <f>IFERROR(INDEX(PP_Grid[#Data],$DE584,95),0)</f>
        <v/>
      </c>
      <c r="CU584">
        <f>IFERROR(INDEX(PP_Grid[#Data],$DE584,96),0)</f>
        <v/>
      </c>
      <c r="CV584">
        <f>IFERROR(INDEX(PP_Grid[#Data],$DE584,97),0)</f>
        <v/>
      </c>
      <c r="CW584">
        <f>IFERROR(INDEX(PP_Grid[#Data],$DE584,98),0)</f>
        <v/>
      </c>
      <c r="CX584">
        <f>IFERROR(INDEX(PP_Grid[#Data],$DE584,99),0)</f>
        <v/>
      </c>
      <c r="CY584">
        <f>IFERROR(INDEX(PP_Grid[#Data],$DE584,100),0)</f>
        <v/>
      </c>
      <c r="CZ584">
        <f>IFERROR(INDEX(PP_Grid[#Data],$DE584,101),0)</f>
        <v/>
      </c>
      <c r="DA584">
        <f>IFERROR(INDEX(PP_Grid[#Data],$DE584,102),0)</f>
        <v/>
      </c>
      <c r="DB584">
        <f>IFERROR(INDEX(PP_Grid[#Data],$DE584,103),0)</f>
        <v/>
      </c>
      <c r="DC584">
        <f>IFERROR(INDEX(PP_Grid[#Data],$DE584,104),0)</f>
        <v/>
      </c>
      <c r="DD584">
        <f>IFERROR(INDEX(PP_Grid[#Data],$DE584,105),0)</f>
        <v/>
      </c>
      <c r="DE584" s="7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SUMIFS(M_BOM[RM_Qty_Per_Batch],M_BOM[Intermediate],$B584,M_BOM[RM_Code],$A497)</f>
        <v/>
      </c>
      <c r="D585">
        <f>IFERROR(INDEX(E585:DD585,$F$1),"")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  <c r="DD585">
        <f>$C585*DD584</f>
        <v/>
      </c>
    </row>
    <row r="586">
      <c r="B586" t="inlineStr">
        <is>
          <t>VSP-605</t>
        </is>
      </c>
      <c r="C586" t="inlineStr">
        <is>
          <t>No. of batches</t>
        </is>
      </c>
      <c r="D586">
        <f>IFERROR(INDEX(E586:DD586,$F$1),"")</f>
        <v/>
      </c>
      <c r="E586">
        <f>IFERROR(INDEX(PP_Grid[#Data],$DE586,2),0)</f>
        <v/>
      </c>
      <c r="F586">
        <f>IFERROR(INDEX(PP_Grid[#Data],$DE586,3),0)</f>
        <v/>
      </c>
      <c r="G586">
        <f>IFERROR(INDEX(PP_Grid[#Data],$DE586,4),0)</f>
        <v/>
      </c>
      <c r="H586">
        <f>IFERROR(INDEX(PP_Grid[#Data],$DE586,5),0)</f>
        <v/>
      </c>
      <c r="I586">
        <f>IFERROR(INDEX(PP_Grid[#Data],$DE586,6),0)</f>
        <v/>
      </c>
      <c r="J586">
        <f>IFERROR(INDEX(PP_Grid[#Data],$DE586,7),0)</f>
        <v/>
      </c>
      <c r="K586">
        <f>IFERROR(INDEX(PP_Grid[#Data],$DE586,8),0)</f>
        <v/>
      </c>
      <c r="L586">
        <f>IFERROR(INDEX(PP_Grid[#Data],$DE586,9),0)</f>
        <v/>
      </c>
      <c r="M586">
        <f>IFERROR(INDEX(PP_Grid[#Data],$DE586,10),0)</f>
        <v/>
      </c>
      <c r="N586">
        <f>IFERROR(INDEX(PP_Grid[#Data],$DE586,11),0)</f>
        <v/>
      </c>
      <c r="O586">
        <f>IFERROR(INDEX(PP_Grid[#Data],$DE586,12),0)</f>
        <v/>
      </c>
      <c r="P586">
        <f>IFERROR(INDEX(PP_Grid[#Data],$DE586,13),0)</f>
        <v/>
      </c>
      <c r="Q586">
        <f>IFERROR(INDEX(PP_Grid[#Data],$DE586,14),0)</f>
        <v/>
      </c>
      <c r="R586">
        <f>IFERROR(INDEX(PP_Grid[#Data],$DE586,15),0)</f>
        <v/>
      </c>
      <c r="S586">
        <f>IFERROR(INDEX(PP_Grid[#Data],$DE586,16),0)</f>
        <v/>
      </c>
      <c r="T586">
        <f>IFERROR(INDEX(PP_Grid[#Data],$DE586,17),0)</f>
        <v/>
      </c>
      <c r="U586">
        <f>IFERROR(INDEX(PP_Grid[#Data],$DE586,18),0)</f>
        <v/>
      </c>
      <c r="V586">
        <f>IFERROR(INDEX(PP_Grid[#Data],$DE586,19),0)</f>
        <v/>
      </c>
      <c r="W586">
        <f>IFERROR(INDEX(PP_Grid[#Data],$DE586,20),0)</f>
        <v/>
      </c>
      <c r="X586">
        <f>IFERROR(INDEX(PP_Grid[#Data],$DE586,21),0)</f>
        <v/>
      </c>
      <c r="Y586">
        <f>IFERROR(INDEX(PP_Grid[#Data],$DE586,22),0)</f>
        <v/>
      </c>
      <c r="Z586">
        <f>IFERROR(INDEX(PP_Grid[#Data],$DE586,23),0)</f>
        <v/>
      </c>
      <c r="AA586">
        <f>IFERROR(INDEX(PP_Grid[#Data],$DE586,24),0)</f>
        <v/>
      </c>
      <c r="AB586">
        <f>IFERROR(INDEX(PP_Grid[#Data],$DE586,25),0)</f>
        <v/>
      </c>
      <c r="AC586">
        <f>IFERROR(INDEX(PP_Grid[#Data],$DE586,26),0)</f>
        <v/>
      </c>
      <c r="AD586">
        <f>IFERROR(INDEX(PP_Grid[#Data],$DE586,27),0)</f>
        <v/>
      </c>
      <c r="AE586">
        <f>IFERROR(INDEX(PP_Grid[#Data],$DE586,28),0)</f>
        <v/>
      </c>
      <c r="AF586">
        <f>IFERROR(INDEX(PP_Grid[#Data],$DE586,29),0)</f>
        <v/>
      </c>
      <c r="AG586">
        <f>IFERROR(INDEX(PP_Grid[#Data],$DE586,30),0)</f>
        <v/>
      </c>
      <c r="AH586">
        <f>IFERROR(INDEX(PP_Grid[#Data],$DE586,31),0)</f>
        <v/>
      </c>
      <c r="AI586">
        <f>IFERROR(INDEX(PP_Grid[#Data],$DE586,32),0)</f>
        <v/>
      </c>
      <c r="AJ586">
        <f>IFERROR(INDEX(PP_Grid[#Data],$DE586,33),0)</f>
        <v/>
      </c>
      <c r="AK586">
        <f>IFERROR(INDEX(PP_Grid[#Data],$DE586,34),0)</f>
        <v/>
      </c>
      <c r="AL586">
        <f>IFERROR(INDEX(PP_Grid[#Data],$DE586,35),0)</f>
        <v/>
      </c>
      <c r="AM586">
        <f>IFERROR(INDEX(PP_Grid[#Data],$DE586,36),0)</f>
        <v/>
      </c>
      <c r="AN586">
        <f>IFERROR(INDEX(PP_Grid[#Data],$DE586,37),0)</f>
        <v/>
      </c>
      <c r="AO586">
        <f>IFERROR(INDEX(PP_Grid[#Data],$DE586,38),0)</f>
        <v/>
      </c>
      <c r="AP586">
        <f>IFERROR(INDEX(PP_Grid[#Data],$DE586,39),0)</f>
        <v/>
      </c>
      <c r="AQ586">
        <f>IFERROR(INDEX(PP_Grid[#Data],$DE586,40),0)</f>
        <v/>
      </c>
      <c r="AR586">
        <f>IFERROR(INDEX(PP_Grid[#Data],$DE586,41),0)</f>
        <v/>
      </c>
      <c r="AS586">
        <f>IFERROR(INDEX(PP_Grid[#Data],$DE586,42),0)</f>
        <v/>
      </c>
      <c r="AT586">
        <f>IFERROR(INDEX(PP_Grid[#Data],$DE586,43),0)</f>
        <v/>
      </c>
      <c r="AU586">
        <f>IFERROR(INDEX(PP_Grid[#Data],$DE586,44),0)</f>
        <v/>
      </c>
      <c r="AV586">
        <f>IFERROR(INDEX(PP_Grid[#Data],$DE586,45),0)</f>
        <v/>
      </c>
      <c r="AW586">
        <f>IFERROR(INDEX(PP_Grid[#Data],$DE586,46),0)</f>
        <v/>
      </c>
      <c r="AX586">
        <f>IFERROR(INDEX(PP_Grid[#Data],$DE586,47),0)</f>
        <v/>
      </c>
      <c r="AY586">
        <f>IFERROR(INDEX(PP_Grid[#Data],$DE586,48),0)</f>
        <v/>
      </c>
      <c r="AZ586">
        <f>IFERROR(INDEX(PP_Grid[#Data],$DE586,49),0)</f>
        <v/>
      </c>
      <c r="BA586">
        <f>IFERROR(INDEX(PP_Grid[#Data],$DE586,50),0)</f>
        <v/>
      </c>
      <c r="BB586">
        <f>IFERROR(INDEX(PP_Grid[#Data],$DE586,51),0)</f>
        <v/>
      </c>
      <c r="BC586">
        <f>IFERROR(INDEX(PP_Grid[#Data],$DE586,52),0)</f>
        <v/>
      </c>
      <c r="BD586">
        <f>IFERROR(INDEX(PP_Grid[#Data],$DE586,53),0)</f>
        <v/>
      </c>
      <c r="BE586">
        <f>IFERROR(INDEX(PP_Grid[#Data],$DE586,54),0)</f>
        <v/>
      </c>
      <c r="BF586">
        <f>IFERROR(INDEX(PP_Grid[#Data],$DE586,55),0)</f>
        <v/>
      </c>
      <c r="BG586">
        <f>IFERROR(INDEX(PP_Grid[#Data],$DE586,56),0)</f>
        <v/>
      </c>
      <c r="BH586">
        <f>IFERROR(INDEX(PP_Grid[#Data],$DE586,57),0)</f>
        <v/>
      </c>
      <c r="BI586">
        <f>IFERROR(INDEX(PP_Grid[#Data],$DE586,58),0)</f>
        <v/>
      </c>
      <c r="BJ586">
        <f>IFERROR(INDEX(PP_Grid[#Data],$DE586,59),0)</f>
        <v/>
      </c>
      <c r="BK586">
        <f>IFERROR(INDEX(PP_Grid[#Data],$DE586,60),0)</f>
        <v/>
      </c>
      <c r="BL586">
        <f>IFERROR(INDEX(PP_Grid[#Data],$DE586,61),0)</f>
        <v/>
      </c>
      <c r="BM586">
        <f>IFERROR(INDEX(PP_Grid[#Data],$DE586,62),0)</f>
        <v/>
      </c>
      <c r="BN586">
        <f>IFERROR(INDEX(PP_Grid[#Data],$DE586,63),0)</f>
        <v/>
      </c>
      <c r="BO586">
        <f>IFERROR(INDEX(PP_Grid[#Data],$DE586,64),0)</f>
        <v/>
      </c>
      <c r="BP586">
        <f>IFERROR(INDEX(PP_Grid[#Data],$DE586,65),0)</f>
        <v/>
      </c>
      <c r="BQ586">
        <f>IFERROR(INDEX(PP_Grid[#Data],$DE586,66),0)</f>
        <v/>
      </c>
      <c r="BR586">
        <f>IFERROR(INDEX(PP_Grid[#Data],$DE586,67),0)</f>
        <v/>
      </c>
      <c r="BS586">
        <f>IFERROR(INDEX(PP_Grid[#Data],$DE586,68),0)</f>
        <v/>
      </c>
      <c r="BT586">
        <f>IFERROR(INDEX(PP_Grid[#Data],$DE586,69),0)</f>
        <v/>
      </c>
      <c r="BU586">
        <f>IFERROR(INDEX(PP_Grid[#Data],$DE586,70),0)</f>
        <v/>
      </c>
      <c r="BV586">
        <f>IFERROR(INDEX(PP_Grid[#Data],$DE586,71),0)</f>
        <v/>
      </c>
      <c r="BW586">
        <f>IFERROR(INDEX(PP_Grid[#Data],$DE586,72),0)</f>
        <v/>
      </c>
      <c r="BX586">
        <f>IFERROR(INDEX(PP_Grid[#Data],$DE586,73),0)</f>
        <v/>
      </c>
      <c r="BY586">
        <f>IFERROR(INDEX(PP_Grid[#Data],$DE586,74),0)</f>
        <v/>
      </c>
      <c r="BZ586">
        <f>IFERROR(INDEX(PP_Grid[#Data],$DE586,75),0)</f>
        <v/>
      </c>
      <c r="CA586">
        <f>IFERROR(INDEX(PP_Grid[#Data],$DE586,76),0)</f>
        <v/>
      </c>
      <c r="CB586">
        <f>IFERROR(INDEX(PP_Grid[#Data],$DE586,77),0)</f>
        <v/>
      </c>
      <c r="CC586">
        <f>IFERROR(INDEX(PP_Grid[#Data],$DE586,78),0)</f>
        <v/>
      </c>
      <c r="CD586">
        <f>IFERROR(INDEX(PP_Grid[#Data],$DE586,79),0)</f>
        <v/>
      </c>
      <c r="CE586">
        <f>IFERROR(INDEX(PP_Grid[#Data],$DE586,80),0)</f>
        <v/>
      </c>
      <c r="CF586">
        <f>IFERROR(INDEX(PP_Grid[#Data],$DE586,81),0)</f>
        <v/>
      </c>
      <c r="CG586">
        <f>IFERROR(INDEX(PP_Grid[#Data],$DE586,82),0)</f>
        <v/>
      </c>
      <c r="CH586">
        <f>IFERROR(INDEX(PP_Grid[#Data],$DE586,83),0)</f>
        <v/>
      </c>
      <c r="CI586">
        <f>IFERROR(INDEX(PP_Grid[#Data],$DE586,84),0)</f>
        <v/>
      </c>
      <c r="CJ586">
        <f>IFERROR(INDEX(PP_Grid[#Data],$DE586,85),0)</f>
        <v/>
      </c>
      <c r="CK586">
        <f>IFERROR(INDEX(PP_Grid[#Data],$DE586,86),0)</f>
        <v/>
      </c>
      <c r="CL586">
        <f>IFERROR(INDEX(PP_Grid[#Data],$DE586,87),0)</f>
        <v/>
      </c>
      <c r="CM586">
        <f>IFERROR(INDEX(PP_Grid[#Data],$DE586,88),0)</f>
        <v/>
      </c>
      <c r="CN586">
        <f>IFERROR(INDEX(PP_Grid[#Data],$DE586,89),0)</f>
        <v/>
      </c>
      <c r="CO586">
        <f>IFERROR(INDEX(PP_Grid[#Data],$DE586,90),0)</f>
        <v/>
      </c>
      <c r="CP586">
        <f>IFERROR(INDEX(PP_Grid[#Data],$DE586,91),0)</f>
        <v/>
      </c>
      <c r="CQ586">
        <f>IFERROR(INDEX(PP_Grid[#Data],$DE586,92),0)</f>
        <v/>
      </c>
      <c r="CR586">
        <f>IFERROR(INDEX(PP_Grid[#Data],$DE586,93),0)</f>
        <v/>
      </c>
      <c r="CS586">
        <f>IFERROR(INDEX(PP_Grid[#Data],$DE586,94),0)</f>
        <v/>
      </c>
      <c r="CT586">
        <f>IFERROR(INDEX(PP_Grid[#Data],$DE586,95),0)</f>
        <v/>
      </c>
      <c r="CU586">
        <f>IFERROR(INDEX(PP_Grid[#Data],$DE586,96),0)</f>
        <v/>
      </c>
      <c r="CV586">
        <f>IFERROR(INDEX(PP_Grid[#Data],$DE586,97),0)</f>
        <v/>
      </c>
      <c r="CW586">
        <f>IFERROR(INDEX(PP_Grid[#Data],$DE586,98),0)</f>
        <v/>
      </c>
      <c r="CX586">
        <f>IFERROR(INDEX(PP_Grid[#Data],$DE586,99),0)</f>
        <v/>
      </c>
      <c r="CY586">
        <f>IFERROR(INDEX(PP_Grid[#Data],$DE586,100),0)</f>
        <v/>
      </c>
      <c r="CZ586">
        <f>IFERROR(INDEX(PP_Grid[#Data],$DE586,101),0)</f>
        <v/>
      </c>
      <c r="DA586">
        <f>IFERROR(INDEX(PP_Grid[#Data],$DE586,102),0)</f>
        <v/>
      </c>
      <c r="DB586">
        <f>IFERROR(INDEX(PP_Grid[#Data],$DE586,103),0)</f>
        <v/>
      </c>
      <c r="DC586">
        <f>IFERROR(INDEX(PP_Grid[#Data],$DE586,104),0)</f>
        <v/>
      </c>
      <c r="DD586">
        <f>IFERROR(INDEX(PP_Grid[#Data],$DE586,105),0)</f>
        <v/>
      </c>
      <c r="DE586" s="7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SUMIFS(M_BOM[RM_Qty_Per_Batch],M_BOM[Intermediate],$B586,M_BOM[RM_Code],$A497)</f>
        <v/>
      </c>
      <c r="D587">
        <f>IFERROR(INDEX(E587:DD587,$F$1),"")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  <c r="DD587">
        <f>$C587*DD586</f>
        <v/>
      </c>
    </row>
    <row r="588">
      <c r="B588" t="inlineStr">
        <is>
          <t>VSP-606</t>
        </is>
      </c>
      <c r="C588" t="inlineStr">
        <is>
          <t>No. of batches</t>
        </is>
      </c>
      <c r="D588">
        <f>IFERROR(INDEX(E588:DD588,$F$1),"")</f>
        <v/>
      </c>
      <c r="E588">
        <f>IFERROR(INDEX(PP_Grid[#Data],$DE588,2),0)</f>
        <v/>
      </c>
      <c r="F588">
        <f>IFERROR(INDEX(PP_Grid[#Data],$DE588,3),0)</f>
        <v/>
      </c>
      <c r="G588">
        <f>IFERROR(INDEX(PP_Grid[#Data],$DE588,4),0)</f>
        <v/>
      </c>
      <c r="H588">
        <f>IFERROR(INDEX(PP_Grid[#Data],$DE588,5),0)</f>
        <v/>
      </c>
      <c r="I588">
        <f>IFERROR(INDEX(PP_Grid[#Data],$DE588,6),0)</f>
        <v/>
      </c>
      <c r="J588">
        <f>IFERROR(INDEX(PP_Grid[#Data],$DE588,7),0)</f>
        <v/>
      </c>
      <c r="K588">
        <f>IFERROR(INDEX(PP_Grid[#Data],$DE588,8),0)</f>
        <v/>
      </c>
      <c r="L588">
        <f>IFERROR(INDEX(PP_Grid[#Data],$DE588,9),0)</f>
        <v/>
      </c>
      <c r="M588">
        <f>IFERROR(INDEX(PP_Grid[#Data],$DE588,10),0)</f>
        <v/>
      </c>
      <c r="N588">
        <f>IFERROR(INDEX(PP_Grid[#Data],$DE588,11),0)</f>
        <v/>
      </c>
      <c r="O588">
        <f>IFERROR(INDEX(PP_Grid[#Data],$DE588,12),0)</f>
        <v/>
      </c>
      <c r="P588">
        <f>IFERROR(INDEX(PP_Grid[#Data],$DE588,13),0)</f>
        <v/>
      </c>
      <c r="Q588">
        <f>IFERROR(INDEX(PP_Grid[#Data],$DE588,14),0)</f>
        <v/>
      </c>
      <c r="R588">
        <f>IFERROR(INDEX(PP_Grid[#Data],$DE588,15),0)</f>
        <v/>
      </c>
      <c r="S588">
        <f>IFERROR(INDEX(PP_Grid[#Data],$DE588,16),0)</f>
        <v/>
      </c>
      <c r="T588">
        <f>IFERROR(INDEX(PP_Grid[#Data],$DE588,17),0)</f>
        <v/>
      </c>
      <c r="U588">
        <f>IFERROR(INDEX(PP_Grid[#Data],$DE588,18),0)</f>
        <v/>
      </c>
      <c r="V588">
        <f>IFERROR(INDEX(PP_Grid[#Data],$DE588,19),0)</f>
        <v/>
      </c>
      <c r="W588">
        <f>IFERROR(INDEX(PP_Grid[#Data],$DE588,20),0)</f>
        <v/>
      </c>
      <c r="X588">
        <f>IFERROR(INDEX(PP_Grid[#Data],$DE588,21),0)</f>
        <v/>
      </c>
      <c r="Y588">
        <f>IFERROR(INDEX(PP_Grid[#Data],$DE588,22),0)</f>
        <v/>
      </c>
      <c r="Z588">
        <f>IFERROR(INDEX(PP_Grid[#Data],$DE588,23),0)</f>
        <v/>
      </c>
      <c r="AA588">
        <f>IFERROR(INDEX(PP_Grid[#Data],$DE588,24),0)</f>
        <v/>
      </c>
      <c r="AB588">
        <f>IFERROR(INDEX(PP_Grid[#Data],$DE588,25),0)</f>
        <v/>
      </c>
      <c r="AC588">
        <f>IFERROR(INDEX(PP_Grid[#Data],$DE588,26),0)</f>
        <v/>
      </c>
      <c r="AD588">
        <f>IFERROR(INDEX(PP_Grid[#Data],$DE588,27),0)</f>
        <v/>
      </c>
      <c r="AE588">
        <f>IFERROR(INDEX(PP_Grid[#Data],$DE588,28),0)</f>
        <v/>
      </c>
      <c r="AF588">
        <f>IFERROR(INDEX(PP_Grid[#Data],$DE588,29),0)</f>
        <v/>
      </c>
      <c r="AG588">
        <f>IFERROR(INDEX(PP_Grid[#Data],$DE588,30),0)</f>
        <v/>
      </c>
      <c r="AH588">
        <f>IFERROR(INDEX(PP_Grid[#Data],$DE588,31),0)</f>
        <v/>
      </c>
      <c r="AI588">
        <f>IFERROR(INDEX(PP_Grid[#Data],$DE588,32),0)</f>
        <v/>
      </c>
      <c r="AJ588">
        <f>IFERROR(INDEX(PP_Grid[#Data],$DE588,33),0)</f>
        <v/>
      </c>
      <c r="AK588">
        <f>IFERROR(INDEX(PP_Grid[#Data],$DE588,34),0)</f>
        <v/>
      </c>
      <c r="AL588">
        <f>IFERROR(INDEX(PP_Grid[#Data],$DE588,35),0)</f>
        <v/>
      </c>
      <c r="AM588">
        <f>IFERROR(INDEX(PP_Grid[#Data],$DE588,36),0)</f>
        <v/>
      </c>
      <c r="AN588">
        <f>IFERROR(INDEX(PP_Grid[#Data],$DE588,37),0)</f>
        <v/>
      </c>
      <c r="AO588">
        <f>IFERROR(INDEX(PP_Grid[#Data],$DE588,38),0)</f>
        <v/>
      </c>
      <c r="AP588">
        <f>IFERROR(INDEX(PP_Grid[#Data],$DE588,39),0)</f>
        <v/>
      </c>
      <c r="AQ588">
        <f>IFERROR(INDEX(PP_Grid[#Data],$DE588,40),0)</f>
        <v/>
      </c>
      <c r="AR588">
        <f>IFERROR(INDEX(PP_Grid[#Data],$DE588,41),0)</f>
        <v/>
      </c>
      <c r="AS588">
        <f>IFERROR(INDEX(PP_Grid[#Data],$DE588,42),0)</f>
        <v/>
      </c>
      <c r="AT588">
        <f>IFERROR(INDEX(PP_Grid[#Data],$DE588,43),0)</f>
        <v/>
      </c>
      <c r="AU588">
        <f>IFERROR(INDEX(PP_Grid[#Data],$DE588,44),0)</f>
        <v/>
      </c>
      <c r="AV588">
        <f>IFERROR(INDEX(PP_Grid[#Data],$DE588,45),0)</f>
        <v/>
      </c>
      <c r="AW588">
        <f>IFERROR(INDEX(PP_Grid[#Data],$DE588,46),0)</f>
        <v/>
      </c>
      <c r="AX588">
        <f>IFERROR(INDEX(PP_Grid[#Data],$DE588,47),0)</f>
        <v/>
      </c>
      <c r="AY588">
        <f>IFERROR(INDEX(PP_Grid[#Data],$DE588,48),0)</f>
        <v/>
      </c>
      <c r="AZ588">
        <f>IFERROR(INDEX(PP_Grid[#Data],$DE588,49),0)</f>
        <v/>
      </c>
      <c r="BA588">
        <f>IFERROR(INDEX(PP_Grid[#Data],$DE588,50),0)</f>
        <v/>
      </c>
      <c r="BB588">
        <f>IFERROR(INDEX(PP_Grid[#Data],$DE588,51),0)</f>
        <v/>
      </c>
      <c r="BC588">
        <f>IFERROR(INDEX(PP_Grid[#Data],$DE588,52),0)</f>
        <v/>
      </c>
      <c r="BD588">
        <f>IFERROR(INDEX(PP_Grid[#Data],$DE588,53),0)</f>
        <v/>
      </c>
      <c r="BE588">
        <f>IFERROR(INDEX(PP_Grid[#Data],$DE588,54),0)</f>
        <v/>
      </c>
      <c r="BF588">
        <f>IFERROR(INDEX(PP_Grid[#Data],$DE588,55),0)</f>
        <v/>
      </c>
      <c r="BG588">
        <f>IFERROR(INDEX(PP_Grid[#Data],$DE588,56),0)</f>
        <v/>
      </c>
      <c r="BH588">
        <f>IFERROR(INDEX(PP_Grid[#Data],$DE588,57),0)</f>
        <v/>
      </c>
      <c r="BI588">
        <f>IFERROR(INDEX(PP_Grid[#Data],$DE588,58),0)</f>
        <v/>
      </c>
      <c r="BJ588">
        <f>IFERROR(INDEX(PP_Grid[#Data],$DE588,59),0)</f>
        <v/>
      </c>
      <c r="BK588">
        <f>IFERROR(INDEX(PP_Grid[#Data],$DE588,60),0)</f>
        <v/>
      </c>
      <c r="BL588">
        <f>IFERROR(INDEX(PP_Grid[#Data],$DE588,61),0)</f>
        <v/>
      </c>
      <c r="BM588">
        <f>IFERROR(INDEX(PP_Grid[#Data],$DE588,62),0)</f>
        <v/>
      </c>
      <c r="BN588">
        <f>IFERROR(INDEX(PP_Grid[#Data],$DE588,63),0)</f>
        <v/>
      </c>
      <c r="BO588">
        <f>IFERROR(INDEX(PP_Grid[#Data],$DE588,64),0)</f>
        <v/>
      </c>
      <c r="BP588">
        <f>IFERROR(INDEX(PP_Grid[#Data],$DE588,65),0)</f>
        <v/>
      </c>
      <c r="BQ588">
        <f>IFERROR(INDEX(PP_Grid[#Data],$DE588,66),0)</f>
        <v/>
      </c>
      <c r="BR588">
        <f>IFERROR(INDEX(PP_Grid[#Data],$DE588,67),0)</f>
        <v/>
      </c>
      <c r="BS588">
        <f>IFERROR(INDEX(PP_Grid[#Data],$DE588,68),0)</f>
        <v/>
      </c>
      <c r="BT588">
        <f>IFERROR(INDEX(PP_Grid[#Data],$DE588,69),0)</f>
        <v/>
      </c>
      <c r="BU588">
        <f>IFERROR(INDEX(PP_Grid[#Data],$DE588,70),0)</f>
        <v/>
      </c>
      <c r="BV588">
        <f>IFERROR(INDEX(PP_Grid[#Data],$DE588,71),0)</f>
        <v/>
      </c>
      <c r="BW588">
        <f>IFERROR(INDEX(PP_Grid[#Data],$DE588,72),0)</f>
        <v/>
      </c>
      <c r="BX588">
        <f>IFERROR(INDEX(PP_Grid[#Data],$DE588,73),0)</f>
        <v/>
      </c>
      <c r="BY588">
        <f>IFERROR(INDEX(PP_Grid[#Data],$DE588,74),0)</f>
        <v/>
      </c>
      <c r="BZ588">
        <f>IFERROR(INDEX(PP_Grid[#Data],$DE588,75),0)</f>
        <v/>
      </c>
      <c r="CA588">
        <f>IFERROR(INDEX(PP_Grid[#Data],$DE588,76),0)</f>
        <v/>
      </c>
      <c r="CB588">
        <f>IFERROR(INDEX(PP_Grid[#Data],$DE588,77),0)</f>
        <v/>
      </c>
      <c r="CC588">
        <f>IFERROR(INDEX(PP_Grid[#Data],$DE588,78),0)</f>
        <v/>
      </c>
      <c r="CD588">
        <f>IFERROR(INDEX(PP_Grid[#Data],$DE588,79),0)</f>
        <v/>
      </c>
      <c r="CE588">
        <f>IFERROR(INDEX(PP_Grid[#Data],$DE588,80),0)</f>
        <v/>
      </c>
      <c r="CF588">
        <f>IFERROR(INDEX(PP_Grid[#Data],$DE588,81),0)</f>
        <v/>
      </c>
      <c r="CG588">
        <f>IFERROR(INDEX(PP_Grid[#Data],$DE588,82),0)</f>
        <v/>
      </c>
      <c r="CH588">
        <f>IFERROR(INDEX(PP_Grid[#Data],$DE588,83),0)</f>
        <v/>
      </c>
      <c r="CI588">
        <f>IFERROR(INDEX(PP_Grid[#Data],$DE588,84),0)</f>
        <v/>
      </c>
      <c r="CJ588">
        <f>IFERROR(INDEX(PP_Grid[#Data],$DE588,85),0)</f>
        <v/>
      </c>
      <c r="CK588">
        <f>IFERROR(INDEX(PP_Grid[#Data],$DE588,86),0)</f>
        <v/>
      </c>
      <c r="CL588">
        <f>IFERROR(INDEX(PP_Grid[#Data],$DE588,87),0)</f>
        <v/>
      </c>
      <c r="CM588">
        <f>IFERROR(INDEX(PP_Grid[#Data],$DE588,88),0)</f>
        <v/>
      </c>
      <c r="CN588">
        <f>IFERROR(INDEX(PP_Grid[#Data],$DE588,89),0)</f>
        <v/>
      </c>
      <c r="CO588">
        <f>IFERROR(INDEX(PP_Grid[#Data],$DE588,90),0)</f>
        <v/>
      </c>
      <c r="CP588">
        <f>IFERROR(INDEX(PP_Grid[#Data],$DE588,91),0)</f>
        <v/>
      </c>
      <c r="CQ588">
        <f>IFERROR(INDEX(PP_Grid[#Data],$DE588,92),0)</f>
        <v/>
      </c>
      <c r="CR588">
        <f>IFERROR(INDEX(PP_Grid[#Data],$DE588,93),0)</f>
        <v/>
      </c>
      <c r="CS588">
        <f>IFERROR(INDEX(PP_Grid[#Data],$DE588,94),0)</f>
        <v/>
      </c>
      <c r="CT588">
        <f>IFERROR(INDEX(PP_Grid[#Data],$DE588,95),0)</f>
        <v/>
      </c>
      <c r="CU588">
        <f>IFERROR(INDEX(PP_Grid[#Data],$DE588,96),0)</f>
        <v/>
      </c>
      <c r="CV588">
        <f>IFERROR(INDEX(PP_Grid[#Data],$DE588,97),0)</f>
        <v/>
      </c>
      <c r="CW588">
        <f>IFERROR(INDEX(PP_Grid[#Data],$DE588,98),0)</f>
        <v/>
      </c>
      <c r="CX588">
        <f>IFERROR(INDEX(PP_Grid[#Data],$DE588,99),0)</f>
        <v/>
      </c>
      <c r="CY588">
        <f>IFERROR(INDEX(PP_Grid[#Data],$DE588,100),0)</f>
        <v/>
      </c>
      <c r="CZ588">
        <f>IFERROR(INDEX(PP_Grid[#Data],$DE588,101),0)</f>
        <v/>
      </c>
      <c r="DA588">
        <f>IFERROR(INDEX(PP_Grid[#Data],$DE588,102),0)</f>
        <v/>
      </c>
      <c r="DB588">
        <f>IFERROR(INDEX(PP_Grid[#Data],$DE588,103),0)</f>
        <v/>
      </c>
      <c r="DC588">
        <f>IFERROR(INDEX(PP_Grid[#Data],$DE588,104),0)</f>
        <v/>
      </c>
      <c r="DD588">
        <f>IFERROR(INDEX(PP_Grid[#Data],$DE588,105),0)</f>
        <v/>
      </c>
      <c r="DE588" s="7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SUMIFS(M_BOM[RM_Qty_Per_Batch],M_BOM[Intermediate],$B588,M_BOM[RM_Code],$A497)</f>
        <v/>
      </c>
      <c r="D589">
        <f>IFERROR(INDEX(E589:DD589,$F$1),"")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  <c r="DD589">
        <f>$C589*DD588</f>
        <v/>
      </c>
    </row>
    <row r="590">
      <c r="B590" t="inlineStr">
        <is>
          <t>VSP-607</t>
        </is>
      </c>
      <c r="C590" t="inlineStr">
        <is>
          <t>No. of batches</t>
        </is>
      </c>
      <c r="D590">
        <f>IFERROR(INDEX(E590:DD590,$F$1),"")</f>
        <v/>
      </c>
      <c r="E590">
        <f>IFERROR(INDEX(PP_Grid[#Data],$DE590,2),0)</f>
        <v/>
      </c>
      <c r="F590">
        <f>IFERROR(INDEX(PP_Grid[#Data],$DE590,3),0)</f>
        <v/>
      </c>
      <c r="G590">
        <f>IFERROR(INDEX(PP_Grid[#Data],$DE590,4),0)</f>
        <v/>
      </c>
      <c r="H590">
        <f>IFERROR(INDEX(PP_Grid[#Data],$DE590,5),0)</f>
        <v/>
      </c>
      <c r="I590">
        <f>IFERROR(INDEX(PP_Grid[#Data],$DE590,6),0)</f>
        <v/>
      </c>
      <c r="J590">
        <f>IFERROR(INDEX(PP_Grid[#Data],$DE590,7),0)</f>
        <v/>
      </c>
      <c r="K590">
        <f>IFERROR(INDEX(PP_Grid[#Data],$DE590,8),0)</f>
        <v/>
      </c>
      <c r="L590">
        <f>IFERROR(INDEX(PP_Grid[#Data],$DE590,9),0)</f>
        <v/>
      </c>
      <c r="M590">
        <f>IFERROR(INDEX(PP_Grid[#Data],$DE590,10),0)</f>
        <v/>
      </c>
      <c r="N590">
        <f>IFERROR(INDEX(PP_Grid[#Data],$DE590,11),0)</f>
        <v/>
      </c>
      <c r="O590">
        <f>IFERROR(INDEX(PP_Grid[#Data],$DE590,12),0)</f>
        <v/>
      </c>
      <c r="P590">
        <f>IFERROR(INDEX(PP_Grid[#Data],$DE590,13),0)</f>
        <v/>
      </c>
      <c r="Q590">
        <f>IFERROR(INDEX(PP_Grid[#Data],$DE590,14),0)</f>
        <v/>
      </c>
      <c r="R590">
        <f>IFERROR(INDEX(PP_Grid[#Data],$DE590,15),0)</f>
        <v/>
      </c>
      <c r="S590">
        <f>IFERROR(INDEX(PP_Grid[#Data],$DE590,16),0)</f>
        <v/>
      </c>
      <c r="T590">
        <f>IFERROR(INDEX(PP_Grid[#Data],$DE590,17),0)</f>
        <v/>
      </c>
      <c r="U590">
        <f>IFERROR(INDEX(PP_Grid[#Data],$DE590,18),0)</f>
        <v/>
      </c>
      <c r="V590">
        <f>IFERROR(INDEX(PP_Grid[#Data],$DE590,19),0)</f>
        <v/>
      </c>
      <c r="W590">
        <f>IFERROR(INDEX(PP_Grid[#Data],$DE590,20),0)</f>
        <v/>
      </c>
      <c r="X590">
        <f>IFERROR(INDEX(PP_Grid[#Data],$DE590,21),0)</f>
        <v/>
      </c>
      <c r="Y590">
        <f>IFERROR(INDEX(PP_Grid[#Data],$DE590,22),0)</f>
        <v/>
      </c>
      <c r="Z590">
        <f>IFERROR(INDEX(PP_Grid[#Data],$DE590,23),0)</f>
        <v/>
      </c>
      <c r="AA590">
        <f>IFERROR(INDEX(PP_Grid[#Data],$DE590,24),0)</f>
        <v/>
      </c>
      <c r="AB590">
        <f>IFERROR(INDEX(PP_Grid[#Data],$DE590,25),0)</f>
        <v/>
      </c>
      <c r="AC590">
        <f>IFERROR(INDEX(PP_Grid[#Data],$DE590,26),0)</f>
        <v/>
      </c>
      <c r="AD590">
        <f>IFERROR(INDEX(PP_Grid[#Data],$DE590,27),0)</f>
        <v/>
      </c>
      <c r="AE590">
        <f>IFERROR(INDEX(PP_Grid[#Data],$DE590,28),0)</f>
        <v/>
      </c>
      <c r="AF590">
        <f>IFERROR(INDEX(PP_Grid[#Data],$DE590,29),0)</f>
        <v/>
      </c>
      <c r="AG590">
        <f>IFERROR(INDEX(PP_Grid[#Data],$DE590,30),0)</f>
        <v/>
      </c>
      <c r="AH590">
        <f>IFERROR(INDEX(PP_Grid[#Data],$DE590,31),0)</f>
        <v/>
      </c>
      <c r="AI590">
        <f>IFERROR(INDEX(PP_Grid[#Data],$DE590,32),0)</f>
        <v/>
      </c>
      <c r="AJ590">
        <f>IFERROR(INDEX(PP_Grid[#Data],$DE590,33),0)</f>
        <v/>
      </c>
      <c r="AK590">
        <f>IFERROR(INDEX(PP_Grid[#Data],$DE590,34),0)</f>
        <v/>
      </c>
      <c r="AL590">
        <f>IFERROR(INDEX(PP_Grid[#Data],$DE590,35),0)</f>
        <v/>
      </c>
      <c r="AM590">
        <f>IFERROR(INDEX(PP_Grid[#Data],$DE590,36),0)</f>
        <v/>
      </c>
      <c r="AN590">
        <f>IFERROR(INDEX(PP_Grid[#Data],$DE590,37),0)</f>
        <v/>
      </c>
      <c r="AO590">
        <f>IFERROR(INDEX(PP_Grid[#Data],$DE590,38),0)</f>
        <v/>
      </c>
      <c r="AP590">
        <f>IFERROR(INDEX(PP_Grid[#Data],$DE590,39),0)</f>
        <v/>
      </c>
      <c r="AQ590">
        <f>IFERROR(INDEX(PP_Grid[#Data],$DE590,40),0)</f>
        <v/>
      </c>
      <c r="AR590">
        <f>IFERROR(INDEX(PP_Grid[#Data],$DE590,41),0)</f>
        <v/>
      </c>
      <c r="AS590">
        <f>IFERROR(INDEX(PP_Grid[#Data],$DE590,42),0)</f>
        <v/>
      </c>
      <c r="AT590">
        <f>IFERROR(INDEX(PP_Grid[#Data],$DE590,43),0)</f>
        <v/>
      </c>
      <c r="AU590">
        <f>IFERROR(INDEX(PP_Grid[#Data],$DE590,44),0)</f>
        <v/>
      </c>
      <c r="AV590">
        <f>IFERROR(INDEX(PP_Grid[#Data],$DE590,45),0)</f>
        <v/>
      </c>
      <c r="AW590">
        <f>IFERROR(INDEX(PP_Grid[#Data],$DE590,46),0)</f>
        <v/>
      </c>
      <c r="AX590">
        <f>IFERROR(INDEX(PP_Grid[#Data],$DE590,47),0)</f>
        <v/>
      </c>
      <c r="AY590">
        <f>IFERROR(INDEX(PP_Grid[#Data],$DE590,48),0)</f>
        <v/>
      </c>
      <c r="AZ590">
        <f>IFERROR(INDEX(PP_Grid[#Data],$DE590,49),0)</f>
        <v/>
      </c>
      <c r="BA590">
        <f>IFERROR(INDEX(PP_Grid[#Data],$DE590,50),0)</f>
        <v/>
      </c>
      <c r="BB590">
        <f>IFERROR(INDEX(PP_Grid[#Data],$DE590,51),0)</f>
        <v/>
      </c>
      <c r="BC590">
        <f>IFERROR(INDEX(PP_Grid[#Data],$DE590,52),0)</f>
        <v/>
      </c>
      <c r="BD590">
        <f>IFERROR(INDEX(PP_Grid[#Data],$DE590,53),0)</f>
        <v/>
      </c>
      <c r="BE590">
        <f>IFERROR(INDEX(PP_Grid[#Data],$DE590,54),0)</f>
        <v/>
      </c>
      <c r="BF590">
        <f>IFERROR(INDEX(PP_Grid[#Data],$DE590,55),0)</f>
        <v/>
      </c>
      <c r="BG590">
        <f>IFERROR(INDEX(PP_Grid[#Data],$DE590,56),0)</f>
        <v/>
      </c>
      <c r="BH590">
        <f>IFERROR(INDEX(PP_Grid[#Data],$DE590,57),0)</f>
        <v/>
      </c>
      <c r="BI590">
        <f>IFERROR(INDEX(PP_Grid[#Data],$DE590,58),0)</f>
        <v/>
      </c>
      <c r="BJ590">
        <f>IFERROR(INDEX(PP_Grid[#Data],$DE590,59),0)</f>
        <v/>
      </c>
      <c r="BK590">
        <f>IFERROR(INDEX(PP_Grid[#Data],$DE590,60),0)</f>
        <v/>
      </c>
      <c r="BL590">
        <f>IFERROR(INDEX(PP_Grid[#Data],$DE590,61),0)</f>
        <v/>
      </c>
      <c r="BM590">
        <f>IFERROR(INDEX(PP_Grid[#Data],$DE590,62),0)</f>
        <v/>
      </c>
      <c r="BN590">
        <f>IFERROR(INDEX(PP_Grid[#Data],$DE590,63),0)</f>
        <v/>
      </c>
      <c r="BO590">
        <f>IFERROR(INDEX(PP_Grid[#Data],$DE590,64),0)</f>
        <v/>
      </c>
      <c r="BP590">
        <f>IFERROR(INDEX(PP_Grid[#Data],$DE590,65),0)</f>
        <v/>
      </c>
      <c r="BQ590">
        <f>IFERROR(INDEX(PP_Grid[#Data],$DE590,66),0)</f>
        <v/>
      </c>
      <c r="BR590">
        <f>IFERROR(INDEX(PP_Grid[#Data],$DE590,67),0)</f>
        <v/>
      </c>
      <c r="BS590">
        <f>IFERROR(INDEX(PP_Grid[#Data],$DE590,68),0)</f>
        <v/>
      </c>
      <c r="BT590">
        <f>IFERROR(INDEX(PP_Grid[#Data],$DE590,69),0)</f>
        <v/>
      </c>
      <c r="BU590">
        <f>IFERROR(INDEX(PP_Grid[#Data],$DE590,70),0)</f>
        <v/>
      </c>
      <c r="BV590">
        <f>IFERROR(INDEX(PP_Grid[#Data],$DE590,71),0)</f>
        <v/>
      </c>
      <c r="BW590">
        <f>IFERROR(INDEX(PP_Grid[#Data],$DE590,72),0)</f>
        <v/>
      </c>
      <c r="BX590">
        <f>IFERROR(INDEX(PP_Grid[#Data],$DE590,73),0)</f>
        <v/>
      </c>
      <c r="BY590">
        <f>IFERROR(INDEX(PP_Grid[#Data],$DE590,74),0)</f>
        <v/>
      </c>
      <c r="BZ590">
        <f>IFERROR(INDEX(PP_Grid[#Data],$DE590,75),0)</f>
        <v/>
      </c>
      <c r="CA590">
        <f>IFERROR(INDEX(PP_Grid[#Data],$DE590,76),0)</f>
        <v/>
      </c>
      <c r="CB590">
        <f>IFERROR(INDEX(PP_Grid[#Data],$DE590,77),0)</f>
        <v/>
      </c>
      <c r="CC590">
        <f>IFERROR(INDEX(PP_Grid[#Data],$DE590,78),0)</f>
        <v/>
      </c>
      <c r="CD590">
        <f>IFERROR(INDEX(PP_Grid[#Data],$DE590,79),0)</f>
        <v/>
      </c>
      <c r="CE590">
        <f>IFERROR(INDEX(PP_Grid[#Data],$DE590,80),0)</f>
        <v/>
      </c>
      <c r="CF590">
        <f>IFERROR(INDEX(PP_Grid[#Data],$DE590,81),0)</f>
        <v/>
      </c>
      <c r="CG590">
        <f>IFERROR(INDEX(PP_Grid[#Data],$DE590,82),0)</f>
        <v/>
      </c>
      <c r="CH590">
        <f>IFERROR(INDEX(PP_Grid[#Data],$DE590,83),0)</f>
        <v/>
      </c>
      <c r="CI590">
        <f>IFERROR(INDEX(PP_Grid[#Data],$DE590,84),0)</f>
        <v/>
      </c>
      <c r="CJ590">
        <f>IFERROR(INDEX(PP_Grid[#Data],$DE590,85),0)</f>
        <v/>
      </c>
      <c r="CK590">
        <f>IFERROR(INDEX(PP_Grid[#Data],$DE590,86),0)</f>
        <v/>
      </c>
      <c r="CL590">
        <f>IFERROR(INDEX(PP_Grid[#Data],$DE590,87),0)</f>
        <v/>
      </c>
      <c r="CM590">
        <f>IFERROR(INDEX(PP_Grid[#Data],$DE590,88),0)</f>
        <v/>
      </c>
      <c r="CN590">
        <f>IFERROR(INDEX(PP_Grid[#Data],$DE590,89),0)</f>
        <v/>
      </c>
      <c r="CO590">
        <f>IFERROR(INDEX(PP_Grid[#Data],$DE590,90),0)</f>
        <v/>
      </c>
      <c r="CP590">
        <f>IFERROR(INDEX(PP_Grid[#Data],$DE590,91),0)</f>
        <v/>
      </c>
      <c r="CQ590">
        <f>IFERROR(INDEX(PP_Grid[#Data],$DE590,92),0)</f>
        <v/>
      </c>
      <c r="CR590">
        <f>IFERROR(INDEX(PP_Grid[#Data],$DE590,93),0)</f>
        <v/>
      </c>
      <c r="CS590">
        <f>IFERROR(INDEX(PP_Grid[#Data],$DE590,94),0)</f>
        <v/>
      </c>
      <c r="CT590">
        <f>IFERROR(INDEX(PP_Grid[#Data],$DE590,95),0)</f>
        <v/>
      </c>
      <c r="CU590">
        <f>IFERROR(INDEX(PP_Grid[#Data],$DE590,96),0)</f>
        <v/>
      </c>
      <c r="CV590">
        <f>IFERROR(INDEX(PP_Grid[#Data],$DE590,97),0)</f>
        <v/>
      </c>
      <c r="CW590">
        <f>IFERROR(INDEX(PP_Grid[#Data],$DE590,98),0)</f>
        <v/>
      </c>
      <c r="CX590">
        <f>IFERROR(INDEX(PP_Grid[#Data],$DE590,99),0)</f>
        <v/>
      </c>
      <c r="CY590">
        <f>IFERROR(INDEX(PP_Grid[#Data],$DE590,100),0)</f>
        <v/>
      </c>
      <c r="CZ590">
        <f>IFERROR(INDEX(PP_Grid[#Data],$DE590,101),0)</f>
        <v/>
      </c>
      <c r="DA590">
        <f>IFERROR(INDEX(PP_Grid[#Data],$DE590,102),0)</f>
        <v/>
      </c>
      <c r="DB590">
        <f>IFERROR(INDEX(PP_Grid[#Data],$DE590,103),0)</f>
        <v/>
      </c>
      <c r="DC590">
        <f>IFERROR(INDEX(PP_Grid[#Data],$DE590,104),0)</f>
        <v/>
      </c>
      <c r="DD590">
        <f>IFERROR(INDEX(PP_Grid[#Data],$DE590,105),0)</f>
        <v/>
      </c>
      <c r="DE590" s="7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SUMIFS(M_BOM[RM_Qty_Per_Batch],M_BOM[Intermediate],$B590,M_BOM[RM_Code],$A497)</f>
        <v/>
      </c>
      <c r="D591">
        <f>IFERROR(INDEX(E591:DD591,$F$1),"")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  <c r="DD591">
        <f>$C591*DD590</f>
        <v/>
      </c>
    </row>
    <row r="592">
      <c r="B592" t="inlineStr">
        <is>
          <t>VSP-739</t>
        </is>
      </c>
      <c r="C592" t="inlineStr">
        <is>
          <t>No. of batches</t>
        </is>
      </c>
      <c r="D592">
        <f>IFERROR(INDEX(E592:DD592,$F$1),"")</f>
        <v/>
      </c>
      <c r="E592">
        <f>IFERROR(INDEX(PP_Grid[#Data],$DE592,2),0)</f>
        <v/>
      </c>
      <c r="F592">
        <f>IFERROR(INDEX(PP_Grid[#Data],$DE592,3),0)</f>
        <v/>
      </c>
      <c r="G592">
        <f>IFERROR(INDEX(PP_Grid[#Data],$DE592,4),0)</f>
        <v/>
      </c>
      <c r="H592">
        <f>IFERROR(INDEX(PP_Grid[#Data],$DE592,5),0)</f>
        <v/>
      </c>
      <c r="I592">
        <f>IFERROR(INDEX(PP_Grid[#Data],$DE592,6),0)</f>
        <v/>
      </c>
      <c r="J592">
        <f>IFERROR(INDEX(PP_Grid[#Data],$DE592,7),0)</f>
        <v/>
      </c>
      <c r="K592">
        <f>IFERROR(INDEX(PP_Grid[#Data],$DE592,8),0)</f>
        <v/>
      </c>
      <c r="L592">
        <f>IFERROR(INDEX(PP_Grid[#Data],$DE592,9),0)</f>
        <v/>
      </c>
      <c r="M592">
        <f>IFERROR(INDEX(PP_Grid[#Data],$DE592,10),0)</f>
        <v/>
      </c>
      <c r="N592">
        <f>IFERROR(INDEX(PP_Grid[#Data],$DE592,11),0)</f>
        <v/>
      </c>
      <c r="O592">
        <f>IFERROR(INDEX(PP_Grid[#Data],$DE592,12),0)</f>
        <v/>
      </c>
      <c r="P592">
        <f>IFERROR(INDEX(PP_Grid[#Data],$DE592,13),0)</f>
        <v/>
      </c>
      <c r="Q592">
        <f>IFERROR(INDEX(PP_Grid[#Data],$DE592,14),0)</f>
        <v/>
      </c>
      <c r="R592">
        <f>IFERROR(INDEX(PP_Grid[#Data],$DE592,15),0)</f>
        <v/>
      </c>
      <c r="S592">
        <f>IFERROR(INDEX(PP_Grid[#Data],$DE592,16),0)</f>
        <v/>
      </c>
      <c r="T592">
        <f>IFERROR(INDEX(PP_Grid[#Data],$DE592,17),0)</f>
        <v/>
      </c>
      <c r="U592">
        <f>IFERROR(INDEX(PP_Grid[#Data],$DE592,18),0)</f>
        <v/>
      </c>
      <c r="V592">
        <f>IFERROR(INDEX(PP_Grid[#Data],$DE592,19),0)</f>
        <v/>
      </c>
      <c r="W592">
        <f>IFERROR(INDEX(PP_Grid[#Data],$DE592,20),0)</f>
        <v/>
      </c>
      <c r="X592">
        <f>IFERROR(INDEX(PP_Grid[#Data],$DE592,21),0)</f>
        <v/>
      </c>
      <c r="Y592">
        <f>IFERROR(INDEX(PP_Grid[#Data],$DE592,22),0)</f>
        <v/>
      </c>
      <c r="Z592">
        <f>IFERROR(INDEX(PP_Grid[#Data],$DE592,23),0)</f>
        <v/>
      </c>
      <c r="AA592">
        <f>IFERROR(INDEX(PP_Grid[#Data],$DE592,24),0)</f>
        <v/>
      </c>
      <c r="AB592">
        <f>IFERROR(INDEX(PP_Grid[#Data],$DE592,25),0)</f>
        <v/>
      </c>
      <c r="AC592">
        <f>IFERROR(INDEX(PP_Grid[#Data],$DE592,26),0)</f>
        <v/>
      </c>
      <c r="AD592">
        <f>IFERROR(INDEX(PP_Grid[#Data],$DE592,27),0)</f>
        <v/>
      </c>
      <c r="AE592">
        <f>IFERROR(INDEX(PP_Grid[#Data],$DE592,28),0)</f>
        <v/>
      </c>
      <c r="AF592">
        <f>IFERROR(INDEX(PP_Grid[#Data],$DE592,29),0)</f>
        <v/>
      </c>
      <c r="AG592">
        <f>IFERROR(INDEX(PP_Grid[#Data],$DE592,30),0)</f>
        <v/>
      </c>
      <c r="AH592">
        <f>IFERROR(INDEX(PP_Grid[#Data],$DE592,31),0)</f>
        <v/>
      </c>
      <c r="AI592">
        <f>IFERROR(INDEX(PP_Grid[#Data],$DE592,32),0)</f>
        <v/>
      </c>
      <c r="AJ592">
        <f>IFERROR(INDEX(PP_Grid[#Data],$DE592,33),0)</f>
        <v/>
      </c>
      <c r="AK592">
        <f>IFERROR(INDEX(PP_Grid[#Data],$DE592,34),0)</f>
        <v/>
      </c>
      <c r="AL592">
        <f>IFERROR(INDEX(PP_Grid[#Data],$DE592,35),0)</f>
        <v/>
      </c>
      <c r="AM592">
        <f>IFERROR(INDEX(PP_Grid[#Data],$DE592,36),0)</f>
        <v/>
      </c>
      <c r="AN592">
        <f>IFERROR(INDEX(PP_Grid[#Data],$DE592,37),0)</f>
        <v/>
      </c>
      <c r="AO592">
        <f>IFERROR(INDEX(PP_Grid[#Data],$DE592,38),0)</f>
        <v/>
      </c>
      <c r="AP592">
        <f>IFERROR(INDEX(PP_Grid[#Data],$DE592,39),0)</f>
        <v/>
      </c>
      <c r="AQ592">
        <f>IFERROR(INDEX(PP_Grid[#Data],$DE592,40),0)</f>
        <v/>
      </c>
      <c r="AR592">
        <f>IFERROR(INDEX(PP_Grid[#Data],$DE592,41),0)</f>
        <v/>
      </c>
      <c r="AS592">
        <f>IFERROR(INDEX(PP_Grid[#Data],$DE592,42),0)</f>
        <v/>
      </c>
      <c r="AT592">
        <f>IFERROR(INDEX(PP_Grid[#Data],$DE592,43),0)</f>
        <v/>
      </c>
      <c r="AU592">
        <f>IFERROR(INDEX(PP_Grid[#Data],$DE592,44),0)</f>
        <v/>
      </c>
      <c r="AV592">
        <f>IFERROR(INDEX(PP_Grid[#Data],$DE592,45),0)</f>
        <v/>
      </c>
      <c r="AW592">
        <f>IFERROR(INDEX(PP_Grid[#Data],$DE592,46),0)</f>
        <v/>
      </c>
      <c r="AX592">
        <f>IFERROR(INDEX(PP_Grid[#Data],$DE592,47),0)</f>
        <v/>
      </c>
      <c r="AY592">
        <f>IFERROR(INDEX(PP_Grid[#Data],$DE592,48),0)</f>
        <v/>
      </c>
      <c r="AZ592">
        <f>IFERROR(INDEX(PP_Grid[#Data],$DE592,49),0)</f>
        <v/>
      </c>
      <c r="BA592">
        <f>IFERROR(INDEX(PP_Grid[#Data],$DE592,50),0)</f>
        <v/>
      </c>
      <c r="BB592">
        <f>IFERROR(INDEX(PP_Grid[#Data],$DE592,51),0)</f>
        <v/>
      </c>
      <c r="BC592">
        <f>IFERROR(INDEX(PP_Grid[#Data],$DE592,52),0)</f>
        <v/>
      </c>
      <c r="BD592">
        <f>IFERROR(INDEX(PP_Grid[#Data],$DE592,53),0)</f>
        <v/>
      </c>
      <c r="BE592">
        <f>IFERROR(INDEX(PP_Grid[#Data],$DE592,54),0)</f>
        <v/>
      </c>
      <c r="BF592">
        <f>IFERROR(INDEX(PP_Grid[#Data],$DE592,55),0)</f>
        <v/>
      </c>
      <c r="BG592">
        <f>IFERROR(INDEX(PP_Grid[#Data],$DE592,56),0)</f>
        <v/>
      </c>
      <c r="BH592">
        <f>IFERROR(INDEX(PP_Grid[#Data],$DE592,57),0)</f>
        <v/>
      </c>
      <c r="BI592">
        <f>IFERROR(INDEX(PP_Grid[#Data],$DE592,58),0)</f>
        <v/>
      </c>
      <c r="BJ592">
        <f>IFERROR(INDEX(PP_Grid[#Data],$DE592,59),0)</f>
        <v/>
      </c>
      <c r="BK592">
        <f>IFERROR(INDEX(PP_Grid[#Data],$DE592,60),0)</f>
        <v/>
      </c>
      <c r="BL592">
        <f>IFERROR(INDEX(PP_Grid[#Data],$DE592,61),0)</f>
        <v/>
      </c>
      <c r="BM592">
        <f>IFERROR(INDEX(PP_Grid[#Data],$DE592,62),0)</f>
        <v/>
      </c>
      <c r="BN592">
        <f>IFERROR(INDEX(PP_Grid[#Data],$DE592,63),0)</f>
        <v/>
      </c>
      <c r="BO592">
        <f>IFERROR(INDEX(PP_Grid[#Data],$DE592,64),0)</f>
        <v/>
      </c>
      <c r="BP592">
        <f>IFERROR(INDEX(PP_Grid[#Data],$DE592,65),0)</f>
        <v/>
      </c>
      <c r="BQ592">
        <f>IFERROR(INDEX(PP_Grid[#Data],$DE592,66),0)</f>
        <v/>
      </c>
      <c r="BR592">
        <f>IFERROR(INDEX(PP_Grid[#Data],$DE592,67),0)</f>
        <v/>
      </c>
      <c r="BS592">
        <f>IFERROR(INDEX(PP_Grid[#Data],$DE592,68),0)</f>
        <v/>
      </c>
      <c r="BT592">
        <f>IFERROR(INDEX(PP_Grid[#Data],$DE592,69),0)</f>
        <v/>
      </c>
      <c r="BU592">
        <f>IFERROR(INDEX(PP_Grid[#Data],$DE592,70),0)</f>
        <v/>
      </c>
      <c r="BV592">
        <f>IFERROR(INDEX(PP_Grid[#Data],$DE592,71),0)</f>
        <v/>
      </c>
      <c r="BW592">
        <f>IFERROR(INDEX(PP_Grid[#Data],$DE592,72),0)</f>
        <v/>
      </c>
      <c r="BX592">
        <f>IFERROR(INDEX(PP_Grid[#Data],$DE592,73),0)</f>
        <v/>
      </c>
      <c r="BY592">
        <f>IFERROR(INDEX(PP_Grid[#Data],$DE592,74),0)</f>
        <v/>
      </c>
      <c r="BZ592">
        <f>IFERROR(INDEX(PP_Grid[#Data],$DE592,75),0)</f>
        <v/>
      </c>
      <c r="CA592">
        <f>IFERROR(INDEX(PP_Grid[#Data],$DE592,76),0)</f>
        <v/>
      </c>
      <c r="CB592">
        <f>IFERROR(INDEX(PP_Grid[#Data],$DE592,77),0)</f>
        <v/>
      </c>
      <c r="CC592">
        <f>IFERROR(INDEX(PP_Grid[#Data],$DE592,78),0)</f>
        <v/>
      </c>
      <c r="CD592">
        <f>IFERROR(INDEX(PP_Grid[#Data],$DE592,79),0)</f>
        <v/>
      </c>
      <c r="CE592">
        <f>IFERROR(INDEX(PP_Grid[#Data],$DE592,80),0)</f>
        <v/>
      </c>
      <c r="CF592">
        <f>IFERROR(INDEX(PP_Grid[#Data],$DE592,81),0)</f>
        <v/>
      </c>
      <c r="CG592">
        <f>IFERROR(INDEX(PP_Grid[#Data],$DE592,82),0)</f>
        <v/>
      </c>
      <c r="CH592">
        <f>IFERROR(INDEX(PP_Grid[#Data],$DE592,83),0)</f>
        <v/>
      </c>
      <c r="CI592">
        <f>IFERROR(INDEX(PP_Grid[#Data],$DE592,84),0)</f>
        <v/>
      </c>
      <c r="CJ592">
        <f>IFERROR(INDEX(PP_Grid[#Data],$DE592,85),0)</f>
        <v/>
      </c>
      <c r="CK592">
        <f>IFERROR(INDEX(PP_Grid[#Data],$DE592,86),0)</f>
        <v/>
      </c>
      <c r="CL592">
        <f>IFERROR(INDEX(PP_Grid[#Data],$DE592,87),0)</f>
        <v/>
      </c>
      <c r="CM592">
        <f>IFERROR(INDEX(PP_Grid[#Data],$DE592,88),0)</f>
        <v/>
      </c>
      <c r="CN592">
        <f>IFERROR(INDEX(PP_Grid[#Data],$DE592,89),0)</f>
        <v/>
      </c>
      <c r="CO592">
        <f>IFERROR(INDEX(PP_Grid[#Data],$DE592,90),0)</f>
        <v/>
      </c>
      <c r="CP592">
        <f>IFERROR(INDEX(PP_Grid[#Data],$DE592,91),0)</f>
        <v/>
      </c>
      <c r="CQ592">
        <f>IFERROR(INDEX(PP_Grid[#Data],$DE592,92),0)</f>
        <v/>
      </c>
      <c r="CR592">
        <f>IFERROR(INDEX(PP_Grid[#Data],$DE592,93),0)</f>
        <v/>
      </c>
      <c r="CS592">
        <f>IFERROR(INDEX(PP_Grid[#Data],$DE592,94),0)</f>
        <v/>
      </c>
      <c r="CT592">
        <f>IFERROR(INDEX(PP_Grid[#Data],$DE592,95),0)</f>
        <v/>
      </c>
      <c r="CU592">
        <f>IFERROR(INDEX(PP_Grid[#Data],$DE592,96),0)</f>
        <v/>
      </c>
      <c r="CV592">
        <f>IFERROR(INDEX(PP_Grid[#Data],$DE592,97),0)</f>
        <v/>
      </c>
      <c r="CW592">
        <f>IFERROR(INDEX(PP_Grid[#Data],$DE592,98),0)</f>
        <v/>
      </c>
      <c r="CX592">
        <f>IFERROR(INDEX(PP_Grid[#Data],$DE592,99),0)</f>
        <v/>
      </c>
      <c r="CY592">
        <f>IFERROR(INDEX(PP_Grid[#Data],$DE592,100),0)</f>
        <v/>
      </c>
      <c r="CZ592">
        <f>IFERROR(INDEX(PP_Grid[#Data],$DE592,101),0)</f>
        <v/>
      </c>
      <c r="DA592">
        <f>IFERROR(INDEX(PP_Grid[#Data],$DE592,102),0)</f>
        <v/>
      </c>
      <c r="DB592">
        <f>IFERROR(INDEX(PP_Grid[#Data],$DE592,103),0)</f>
        <v/>
      </c>
      <c r="DC592">
        <f>IFERROR(INDEX(PP_Grid[#Data],$DE592,104),0)</f>
        <v/>
      </c>
      <c r="DD592">
        <f>IFERROR(INDEX(PP_Grid[#Data],$DE592,105),0)</f>
        <v/>
      </c>
      <c r="DE592" s="7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SUMIFS(M_BOM[RM_Qty_Per_Batch],M_BOM[Intermediate],$B592,M_BOM[RM_Code],$A497)</f>
        <v/>
      </c>
      <c r="D593">
        <f>IFERROR(INDEX(E593:DD593,$F$1),"")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  <c r="DD593">
        <f>$C593*DD592</f>
        <v/>
      </c>
    </row>
    <row r="594">
      <c r="B594" t="inlineStr">
        <is>
          <t>VSP-740</t>
        </is>
      </c>
      <c r="C594" t="inlineStr">
        <is>
          <t>No. of batches</t>
        </is>
      </c>
      <c r="D594">
        <f>IFERROR(INDEX(E594:DD594,$F$1),"")</f>
        <v/>
      </c>
      <c r="E594">
        <f>IFERROR(INDEX(PP_Grid[#Data],$DE594,2),0)</f>
        <v/>
      </c>
      <c r="F594">
        <f>IFERROR(INDEX(PP_Grid[#Data],$DE594,3),0)</f>
        <v/>
      </c>
      <c r="G594">
        <f>IFERROR(INDEX(PP_Grid[#Data],$DE594,4),0)</f>
        <v/>
      </c>
      <c r="H594">
        <f>IFERROR(INDEX(PP_Grid[#Data],$DE594,5),0)</f>
        <v/>
      </c>
      <c r="I594">
        <f>IFERROR(INDEX(PP_Grid[#Data],$DE594,6),0)</f>
        <v/>
      </c>
      <c r="J594">
        <f>IFERROR(INDEX(PP_Grid[#Data],$DE594,7),0)</f>
        <v/>
      </c>
      <c r="K594">
        <f>IFERROR(INDEX(PP_Grid[#Data],$DE594,8),0)</f>
        <v/>
      </c>
      <c r="L594">
        <f>IFERROR(INDEX(PP_Grid[#Data],$DE594,9),0)</f>
        <v/>
      </c>
      <c r="M594">
        <f>IFERROR(INDEX(PP_Grid[#Data],$DE594,10),0)</f>
        <v/>
      </c>
      <c r="N594">
        <f>IFERROR(INDEX(PP_Grid[#Data],$DE594,11),0)</f>
        <v/>
      </c>
      <c r="O594">
        <f>IFERROR(INDEX(PP_Grid[#Data],$DE594,12),0)</f>
        <v/>
      </c>
      <c r="P594">
        <f>IFERROR(INDEX(PP_Grid[#Data],$DE594,13),0)</f>
        <v/>
      </c>
      <c r="Q594">
        <f>IFERROR(INDEX(PP_Grid[#Data],$DE594,14),0)</f>
        <v/>
      </c>
      <c r="R594">
        <f>IFERROR(INDEX(PP_Grid[#Data],$DE594,15),0)</f>
        <v/>
      </c>
      <c r="S594">
        <f>IFERROR(INDEX(PP_Grid[#Data],$DE594,16),0)</f>
        <v/>
      </c>
      <c r="T594">
        <f>IFERROR(INDEX(PP_Grid[#Data],$DE594,17),0)</f>
        <v/>
      </c>
      <c r="U594">
        <f>IFERROR(INDEX(PP_Grid[#Data],$DE594,18),0)</f>
        <v/>
      </c>
      <c r="V594">
        <f>IFERROR(INDEX(PP_Grid[#Data],$DE594,19),0)</f>
        <v/>
      </c>
      <c r="W594">
        <f>IFERROR(INDEX(PP_Grid[#Data],$DE594,20),0)</f>
        <v/>
      </c>
      <c r="X594">
        <f>IFERROR(INDEX(PP_Grid[#Data],$DE594,21),0)</f>
        <v/>
      </c>
      <c r="Y594">
        <f>IFERROR(INDEX(PP_Grid[#Data],$DE594,22),0)</f>
        <v/>
      </c>
      <c r="Z594">
        <f>IFERROR(INDEX(PP_Grid[#Data],$DE594,23),0)</f>
        <v/>
      </c>
      <c r="AA594">
        <f>IFERROR(INDEX(PP_Grid[#Data],$DE594,24),0)</f>
        <v/>
      </c>
      <c r="AB594">
        <f>IFERROR(INDEX(PP_Grid[#Data],$DE594,25),0)</f>
        <v/>
      </c>
      <c r="AC594">
        <f>IFERROR(INDEX(PP_Grid[#Data],$DE594,26),0)</f>
        <v/>
      </c>
      <c r="AD594">
        <f>IFERROR(INDEX(PP_Grid[#Data],$DE594,27),0)</f>
        <v/>
      </c>
      <c r="AE594">
        <f>IFERROR(INDEX(PP_Grid[#Data],$DE594,28),0)</f>
        <v/>
      </c>
      <c r="AF594">
        <f>IFERROR(INDEX(PP_Grid[#Data],$DE594,29),0)</f>
        <v/>
      </c>
      <c r="AG594">
        <f>IFERROR(INDEX(PP_Grid[#Data],$DE594,30),0)</f>
        <v/>
      </c>
      <c r="AH594">
        <f>IFERROR(INDEX(PP_Grid[#Data],$DE594,31),0)</f>
        <v/>
      </c>
      <c r="AI594">
        <f>IFERROR(INDEX(PP_Grid[#Data],$DE594,32),0)</f>
        <v/>
      </c>
      <c r="AJ594">
        <f>IFERROR(INDEX(PP_Grid[#Data],$DE594,33),0)</f>
        <v/>
      </c>
      <c r="AK594">
        <f>IFERROR(INDEX(PP_Grid[#Data],$DE594,34),0)</f>
        <v/>
      </c>
      <c r="AL594">
        <f>IFERROR(INDEX(PP_Grid[#Data],$DE594,35),0)</f>
        <v/>
      </c>
      <c r="AM594">
        <f>IFERROR(INDEX(PP_Grid[#Data],$DE594,36),0)</f>
        <v/>
      </c>
      <c r="AN594">
        <f>IFERROR(INDEX(PP_Grid[#Data],$DE594,37),0)</f>
        <v/>
      </c>
      <c r="AO594">
        <f>IFERROR(INDEX(PP_Grid[#Data],$DE594,38),0)</f>
        <v/>
      </c>
      <c r="AP594">
        <f>IFERROR(INDEX(PP_Grid[#Data],$DE594,39),0)</f>
        <v/>
      </c>
      <c r="AQ594">
        <f>IFERROR(INDEX(PP_Grid[#Data],$DE594,40),0)</f>
        <v/>
      </c>
      <c r="AR594">
        <f>IFERROR(INDEX(PP_Grid[#Data],$DE594,41),0)</f>
        <v/>
      </c>
      <c r="AS594">
        <f>IFERROR(INDEX(PP_Grid[#Data],$DE594,42),0)</f>
        <v/>
      </c>
      <c r="AT594">
        <f>IFERROR(INDEX(PP_Grid[#Data],$DE594,43),0)</f>
        <v/>
      </c>
      <c r="AU594">
        <f>IFERROR(INDEX(PP_Grid[#Data],$DE594,44),0)</f>
        <v/>
      </c>
      <c r="AV594">
        <f>IFERROR(INDEX(PP_Grid[#Data],$DE594,45),0)</f>
        <v/>
      </c>
      <c r="AW594">
        <f>IFERROR(INDEX(PP_Grid[#Data],$DE594,46),0)</f>
        <v/>
      </c>
      <c r="AX594">
        <f>IFERROR(INDEX(PP_Grid[#Data],$DE594,47),0)</f>
        <v/>
      </c>
      <c r="AY594">
        <f>IFERROR(INDEX(PP_Grid[#Data],$DE594,48),0)</f>
        <v/>
      </c>
      <c r="AZ594">
        <f>IFERROR(INDEX(PP_Grid[#Data],$DE594,49),0)</f>
        <v/>
      </c>
      <c r="BA594">
        <f>IFERROR(INDEX(PP_Grid[#Data],$DE594,50),0)</f>
        <v/>
      </c>
      <c r="BB594">
        <f>IFERROR(INDEX(PP_Grid[#Data],$DE594,51),0)</f>
        <v/>
      </c>
      <c r="BC594">
        <f>IFERROR(INDEX(PP_Grid[#Data],$DE594,52),0)</f>
        <v/>
      </c>
      <c r="BD594">
        <f>IFERROR(INDEX(PP_Grid[#Data],$DE594,53),0)</f>
        <v/>
      </c>
      <c r="BE594">
        <f>IFERROR(INDEX(PP_Grid[#Data],$DE594,54),0)</f>
        <v/>
      </c>
      <c r="BF594">
        <f>IFERROR(INDEX(PP_Grid[#Data],$DE594,55),0)</f>
        <v/>
      </c>
      <c r="BG594">
        <f>IFERROR(INDEX(PP_Grid[#Data],$DE594,56),0)</f>
        <v/>
      </c>
      <c r="BH594">
        <f>IFERROR(INDEX(PP_Grid[#Data],$DE594,57),0)</f>
        <v/>
      </c>
      <c r="BI594">
        <f>IFERROR(INDEX(PP_Grid[#Data],$DE594,58),0)</f>
        <v/>
      </c>
      <c r="BJ594">
        <f>IFERROR(INDEX(PP_Grid[#Data],$DE594,59),0)</f>
        <v/>
      </c>
      <c r="BK594">
        <f>IFERROR(INDEX(PP_Grid[#Data],$DE594,60),0)</f>
        <v/>
      </c>
      <c r="BL594">
        <f>IFERROR(INDEX(PP_Grid[#Data],$DE594,61),0)</f>
        <v/>
      </c>
      <c r="BM594">
        <f>IFERROR(INDEX(PP_Grid[#Data],$DE594,62),0)</f>
        <v/>
      </c>
      <c r="BN594">
        <f>IFERROR(INDEX(PP_Grid[#Data],$DE594,63),0)</f>
        <v/>
      </c>
      <c r="BO594">
        <f>IFERROR(INDEX(PP_Grid[#Data],$DE594,64),0)</f>
        <v/>
      </c>
      <c r="BP594">
        <f>IFERROR(INDEX(PP_Grid[#Data],$DE594,65),0)</f>
        <v/>
      </c>
      <c r="BQ594">
        <f>IFERROR(INDEX(PP_Grid[#Data],$DE594,66),0)</f>
        <v/>
      </c>
      <c r="BR594">
        <f>IFERROR(INDEX(PP_Grid[#Data],$DE594,67),0)</f>
        <v/>
      </c>
      <c r="BS594">
        <f>IFERROR(INDEX(PP_Grid[#Data],$DE594,68),0)</f>
        <v/>
      </c>
      <c r="BT594">
        <f>IFERROR(INDEX(PP_Grid[#Data],$DE594,69),0)</f>
        <v/>
      </c>
      <c r="BU594">
        <f>IFERROR(INDEX(PP_Grid[#Data],$DE594,70),0)</f>
        <v/>
      </c>
      <c r="BV594">
        <f>IFERROR(INDEX(PP_Grid[#Data],$DE594,71),0)</f>
        <v/>
      </c>
      <c r="BW594">
        <f>IFERROR(INDEX(PP_Grid[#Data],$DE594,72),0)</f>
        <v/>
      </c>
      <c r="BX594">
        <f>IFERROR(INDEX(PP_Grid[#Data],$DE594,73),0)</f>
        <v/>
      </c>
      <c r="BY594">
        <f>IFERROR(INDEX(PP_Grid[#Data],$DE594,74),0)</f>
        <v/>
      </c>
      <c r="BZ594">
        <f>IFERROR(INDEX(PP_Grid[#Data],$DE594,75),0)</f>
        <v/>
      </c>
      <c r="CA594">
        <f>IFERROR(INDEX(PP_Grid[#Data],$DE594,76),0)</f>
        <v/>
      </c>
      <c r="CB594">
        <f>IFERROR(INDEX(PP_Grid[#Data],$DE594,77),0)</f>
        <v/>
      </c>
      <c r="CC594">
        <f>IFERROR(INDEX(PP_Grid[#Data],$DE594,78),0)</f>
        <v/>
      </c>
      <c r="CD594">
        <f>IFERROR(INDEX(PP_Grid[#Data],$DE594,79),0)</f>
        <v/>
      </c>
      <c r="CE594">
        <f>IFERROR(INDEX(PP_Grid[#Data],$DE594,80),0)</f>
        <v/>
      </c>
      <c r="CF594">
        <f>IFERROR(INDEX(PP_Grid[#Data],$DE594,81),0)</f>
        <v/>
      </c>
      <c r="CG594">
        <f>IFERROR(INDEX(PP_Grid[#Data],$DE594,82),0)</f>
        <v/>
      </c>
      <c r="CH594">
        <f>IFERROR(INDEX(PP_Grid[#Data],$DE594,83),0)</f>
        <v/>
      </c>
      <c r="CI594">
        <f>IFERROR(INDEX(PP_Grid[#Data],$DE594,84),0)</f>
        <v/>
      </c>
      <c r="CJ594">
        <f>IFERROR(INDEX(PP_Grid[#Data],$DE594,85),0)</f>
        <v/>
      </c>
      <c r="CK594">
        <f>IFERROR(INDEX(PP_Grid[#Data],$DE594,86),0)</f>
        <v/>
      </c>
      <c r="CL594">
        <f>IFERROR(INDEX(PP_Grid[#Data],$DE594,87),0)</f>
        <v/>
      </c>
      <c r="CM594">
        <f>IFERROR(INDEX(PP_Grid[#Data],$DE594,88),0)</f>
        <v/>
      </c>
      <c r="CN594">
        <f>IFERROR(INDEX(PP_Grid[#Data],$DE594,89),0)</f>
        <v/>
      </c>
      <c r="CO594">
        <f>IFERROR(INDEX(PP_Grid[#Data],$DE594,90),0)</f>
        <v/>
      </c>
      <c r="CP594">
        <f>IFERROR(INDEX(PP_Grid[#Data],$DE594,91),0)</f>
        <v/>
      </c>
      <c r="CQ594">
        <f>IFERROR(INDEX(PP_Grid[#Data],$DE594,92),0)</f>
        <v/>
      </c>
      <c r="CR594">
        <f>IFERROR(INDEX(PP_Grid[#Data],$DE594,93),0)</f>
        <v/>
      </c>
      <c r="CS594">
        <f>IFERROR(INDEX(PP_Grid[#Data],$DE594,94),0)</f>
        <v/>
      </c>
      <c r="CT594">
        <f>IFERROR(INDEX(PP_Grid[#Data],$DE594,95),0)</f>
        <v/>
      </c>
      <c r="CU594">
        <f>IFERROR(INDEX(PP_Grid[#Data],$DE594,96),0)</f>
        <v/>
      </c>
      <c r="CV594">
        <f>IFERROR(INDEX(PP_Grid[#Data],$DE594,97),0)</f>
        <v/>
      </c>
      <c r="CW594">
        <f>IFERROR(INDEX(PP_Grid[#Data],$DE594,98),0)</f>
        <v/>
      </c>
      <c r="CX594">
        <f>IFERROR(INDEX(PP_Grid[#Data],$DE594,99),0)</f>
        <v/>
      </c>
      <c r="CY594">
        <f>IFERROR(INDEX(PP_Grid[#Data],$DE594,100),0)</f>
        <v/>
      </c>
      <c r="CZ594">
        <f>IFERROR(INDEX(PP_Grid[#Data],$DE594,101),0)</f>
        <v/>
      </c>
      <c r="DA594">
        <f>IFERROR(INDEX(PP_Grid[#Data],$DE594,102),0)</f>
        <v/>
      </c>
      <c r="DB594">
        <f>IFERROR(INDEX(PP_Grid[#Data],$DE594,103),0)</f>
        <v/>
      </c>
      <c r="DC594">
        <f>IFERROR(INDEX(PP_Grid[#Data],$DE594,104),0)</f>
        <v/>
      </c>
      <c r="DD594">
        <f>IFERROR(INDEX(PP_Grid[#Data],$DE594,105),0)</f>
        <v/>
      </c>
      <c r="DE594" s="7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SUMIFS(M_BOM[RM_Qty_Per_Batch],M_BOM[Intermediate],$B594,M_BOM[RM_Code],$A497)</f>
        <v/>
      </c>
      <c r="D595">
        <f>IFERROR(INDEX(E595:DD595,$F$1),"")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  <c r="DD595">
        <f>$C595*DD594</f>
        <v/>
      </c>
    </row>
    <row r="596">
      <c r="B596" t="inlineStr">
        <is>
          <t>VSP-746</t>
        </is>
      </c>
      <c r="C596" t="inlineStr">
        <is>
          <t>No. of batches</t>
        </is>
      </c>
      <c r="D596">
        <f>IFERROR(INDEX(E596:DD596,$F$1),"")</f>
        <v/>
      </c>
      <c r="E596">
        <f>IFERROR(INDEX(PP_Grid[#Data],$DE596,2),0)</f>
        <v/>
      </c>
      <c r="F596">
        <f>IFERROR(INDEX(PP_Grid[#Data],$DE596,3),0)</f>
        <v/>
      </c>
      <c r="G596">
        <f>IFERROR(INDEX(PP_Grid[#Data],$DE596,4),0)</f>
        <v/>
      </c>
      <c r="H596">
        <f>IFERROR(INDEX(PP_Grid[#Data],$DE596,5),0)</f>
        <v/>
      </c>
      <c r="I596">
        <f>IFERROR(INDEX(PP_Grid[#Data],$DE596,6),0)</f>
        <v/>
      </c>
      <c r="J596">
        <f>IFERROR(INDEX(PP_Grid[#Data],$DE596,7),0)</f>
        <v/>
      </c>
      <c r="K596">
        <f>IFERROR(INDEX(PP_Grid[#Data],$DE596,8),0)</f>
        <v/>
      </c>
      <c r="L596">
        <f>IFERROR(INDEX(PP_Grid[#Data],$DE596,9),0)</f>
        <v/>
      </c>
      <c r="M596">
        <f>IFERROR(INDEX(PP_Grid[#Data],$DE596,10),0)</f>
        <v/>
      </c>
      <c r="N596">
        <f>IFERROR(INDEX(PP_Grid[#Data],$DE596,11),0)</f>
        <v/>
      </c>
      <c r="O596">
        <f>IFERROR(INDEX(PP_Grid[#Data],$DE596,12),0)</f>
        <v/>
      </c>
      <c r="P596">
        <f>IFERROR(INDEX(PP_Grid[#Data],$DE596,13),0)</f>
        <v/>
      </c>
      <c r="Q596">
        <f>IFERROR(INDEX(PP_Grid[#Data],$DE596,14),0)</f>
        <v/>
      </c>
      <c r="R596">
        <f>IFERROR(INDEX(PP_Grid[#Data],$DE596,15),0)</f>
        <v/>
      </c>
      <c r="S596">
        <f>IFERROR(INDEX(PP_Grid[#Data],$DE596,16),0)</f>
        <v/>
      </c>
      <c r="T596">
        <f>IFERROR(INDEX(PP_Grid[#Data],$DE596,17),0)</f>
        <v/>
      </c>
      <c r="U596">
        <f>IFERROR(INDEX(PP_Grid[#Data],$DE596,18),0)</f>
        <v/>
      </c>
      <c r="V596">
        <f>IFERROR(INDEX(PP_Grid[#Data],$DE596,19),0)</f>
        <v/>
      </c>
      <c r="W596">
        <f>IFERROR(INDEX(PP_Grid[#Data],$DE596,20),0)</f>
        <v/>
      </c>
      <c r="X596">
        <f>IFERROR(INDEX(PP_Grid[#Data],$DE596,21),0)</f>
        <v/>
      </c>
      <c r="Y596">
        <f>IFERROR(INDEX(PP_Grid[#Data],$DE596,22),0)</f>
        <v/>
      </c>
      <c r="Z596">
        <f>IFERROR(INDEX(PP_Grid[#Data],$DE596,23),0)</f>
        <v/>
      </c>
      <c r="AA596">
        <f>IFERROR(INDEX(PP_Grid[#Data],$DE596,24),0)</f>
        <v/>
      </c>
      <c r="AB596">
        <f>IFERROR(INDEX(PP_Grid[#Data],$DE596,25),0)</f>
        <v/>
      </c>
      <c r="AC596">
        <f>IFERROR(INDEX(PP_Grid[#Data],$DE596,26),0)</f>
        <v/>
      </c>
      <c r="AD596">
        <f>IFERROR(INDEX(PP_Grid[#Data],$DE596,27),0)</f>
        <v/>
      </c>
      <c r="AE596">
        <f>IFERROR(INDEX(PP_Grid[#Data],$DE596,28),0)</f>
        <v/>
      </c>
      <c r="AF596">
        <f>IFERROR(INDEX(PP_Grid[#Data],$DE596,29),0)</f>
        <v/>
      </c>
      <c r="AG596">
        <f>IFERROR(INDEX(PP_Grid[#Data],$DE596,30),0)</f>
        <v/>
      </c>
      <c r="AH596">
        <f>IFERROR(INDEX(PP_Grid[#Data],$DE596,31),0)</f>
        <v/>
      </c>
      <c r="AI596">
        <f>IFERROR(INDEX(PP_Grid[#Data],$DE596,32),0)</f>
        <v/>
      </c>
      <c r="AJ596">
        <f>IFERROR(INDEX(PP_Grid[#Data],$DE596,33),0)</f>
        <v/>
      </c>
      <c r="AK596">
        <f>IFERROR(INDEX(PP_Grid[#Data],$DE596,34),0)</f>
        <v/>
      </c>
      <c r="AL596">
        <f>IFERROR(INDEX(PP_Grid[#Data],$DE596,35),0)</f>
        <v/>
      </c>
      <c r="AM596">
        <f>IFERROR(INDEX(PP_Grid[#Data],$DE596,36),0)</f>
        <v/>
      </c>
      <c r="AN596">
        <f>IFERROR(INDEX(PP_Grid[#Data],$DE596,37),0)</f>
        <v/>
      </c>
      <c r="AO596">
        <f>IFERROR(INDEX(PP_Grid[#Data],$DE596,38),0)</f>
        <v/>
      </c>
      <c r="AP596">
        <f>IFERROR(INDEX(PP_Grid[#Data],$DE596,39),0)</f>
        <v/>
      </c>
      <c r="AQ596">
        <f>IFERROR(INDEX(PP_Grid[#Data],$DE596,40),0)</f>
        <v/>
      </c>
      <c r="AR596">
        <f>IFERROR(INDEX(PP_Grid[#Data],$DE596,41),0)</f>
        <v/>
      </c>
      <c r="AS596">
        <f>IFERROR(INDEX(PP_Grid[#Data],$DE596,42),0)</f>
        <v/>
      </c>
      <c r="AT596">
        <f>IFERROR(INDEX(PP_Grid[#Data],$DE596,43),0)</f>
        <v/>
      </c>
      <c r="AU596">
        <f>IFERROR(INDEX(PP_Grid[#Data],$DE596,44),0)</f>
        <v/>
      </c>
      <c r="AV596">
        <f>IFERROR(INDEX(PP_Grid[#Data],$DE596,45),0)</f>
        <v/>
      </c>
      <c r="AW596">
        <f>IFERROR(INDEX(PP_Grid[#Data],$DE596,46),0)</f>
        <v/>
      </c>
      <c r="AX596">
        <f>IFERROR(INDEX(PP_Grid[#Data],$DE596,47),0)</f>
        <v/>
      </c>
      <c r="AY596">
        <f>IFERROR(INDEX(PP_Grid[#Data],$DE596,48),0)</f>
        <v/>
      </c>
      <c r="AZ596">
        <f>IFERROR(INDEX(PP_Grid[#Data],$DE596,49),0)</f>
        <v/>
      </c>
      <c r="BA596">
        <f>IFERROR(INDEX(PP_Grid[#Data],$DE596,50),0)</f>
        <v/>
      </c>
      <c r="BB596">
        <f>IFERROR(INDEX(PP_Grid[#Data],$DE596,51),0)</f>
        <v/>
      </c>
      <c r="BC596">
        <f>IFERROR(INDEX(PP_Grid[#Data],$DE596,52),0)</f>
        <v/>
      </c>
      <c r="BD596">
        <f>IFERROR(INDEX(PP_Grid[#Data],$DE596,53),0)</f>
        <v/>
      </c>
      <c r="BE596">
        <f>IFERROR(INDEX(PP_Grid[#Data],$DE596,54),0)</f>
        <v/>
      </c>
      <c r="BF596">
        <f>IFERROR(INDEX(PP_Grid[#Data],$DE596,55),0)</f>
        <v/>
      </c>
      <c r="BG596">
        <f>IFERROR(INDEX(PP_Grid[#Data],$DE596,56),0)</f>
        <v/>
      </c>
      <c r="BH596">
        <f>IFERROR(INDEX(PP_Grid[#Data],$DE596,57),0)</f>
        <v/>
      </c>
      <c r="BI596">
        <f>IFERROR(INDEX(PP_Grid[#Data],$DE596,58),0)</f>
        <v/>
      </c>
      <c r="BJ596">
        <f>IFERROR(INDEX(PP_Grid[#Data],$DE596,59),0)</f>
        <v/>
      </c>
      <c r="BK596">
        <f>IFERROR(INDEX(PP_Grid[#Data],$DE596,60),0)</f>
        <v/>
      </c>
      <c r="BL596">
        <f>IFERROR(INDEX(PP_Grid[#Data],$DE596,61),0)</f>
        <v/>
      </c>
      <c r="BM596">
        <f>IFERROR(INDEX(PP_Grid[#Data],$DE596,62),0)</f>
        <v/>
      </c>
      <c r="BN596">
        <f>IFERROR(INDEX(PP_Grid[#Data],$DE596,63),0)</f>
        <v/>
      </c>
      <c r="BO596">
        <f>IFERROR(INDEX(PP_Grid[#Data],$DE596,64),0)</f>
        <v/>
      </c>
      <c r="BP596">
        <f>IFERROR(INDEX(PP_Grid[#Data],$DE596,65),0)</f>
        <v/>
      </c>
      <c r="BQ596">
        <f>IFERROR(INDEX(PP_Grid[#Data],$DE596,66),0)</f>
        <v/>
      </c>
      <c r="BR596">
        <f>IFERROR(INDEX(PP_Grid[#Data],$DE596,67),0)</f>
        <v/>
      </c>
      <c r="BS596">
        <f>IFERROR(INDEX(PP_Grid[#Data],$DE596,68),0)</f>
        <v/>
      </c>
      <c r="BT596">
        <f>IFERROR(INDEX(PP_Grid[#Data],$DE596,69),0)</f>
        <v/>
      </c>
      <c r="BU596">
        <f>IFERROR(INDEX(PP_Grid[#Data],$DE596,70),0)</f>
        <v/>
      </c>
      <c r="BV596">
        <f>IFERROR(INDEX(PP_Grid[#Data],$DE596,71),0)</f>
        <v/>
      </c>
      <c r="BW596">
        <f>IFERROR(INDEX(PP_Grid[#Data],$DE596,72),0)</f>
        <v/>
      </c>
      <c r="BX596">
        <f>IFERROR(INDEX(PP_Grid[#Data],$DE596,73),0)</f>
        <v/>
      </c>
      <c r="BY596">
        <f>IFERROR(INDEX(PP_Grid[#Data],$DE596,74),0)</f>
        <v/>
      </c>
      <c r="BZ596">
        <f>IFERROR(INDEX(PP_Grid[#Data],$DE596,75),0)</f>
        <v/>
      </c>
      <c r="CA596">
        <f>IFERROR(INDEX(PP_Grid[#Data],$DE596,76),0)</f>
        <v/>
      </c>
      <c r="CB596">
        <f>IFERROR(INDEX(PP_Grid[#Data],$DE596,77),0)</f>
        <v/>
      </c>
      <c r="CC596">
        <f>IFERROR(INDEX(PP_Grid[#Data],$DE596,78),0)</f>
        <v/>
      </c>
      <c r="CD596">
        <f>IFERROR(INDEX(PP_Grid[#Data],$DE596,79),0)</f>
        <v/>
      </c>
      <c r="CE596">
        <f>IFERROR(INDEX(PP_Grid[#Data],$DE596,80),0)</f>
        <v/>
      </c>
      <c r="CF596">
        <f>IFERROR(INDEX(PP_Grid[#Data],$DE596,81),0)</f>
        <v/>
      </c>
      <c r="CG596">
        <f>IFERROR(INDEX(PP_Grid[#Data],$DE596,82),0)</f>
        <v/>
      </c>
      <c r="CH596">
        <f>IFERROR(INDEX(PP_Grid[#Data],$DE596,83),0)</f>
        <v/>
      </c>
      <c r="CI596">
        <f>IFERROR(INDEX(PP_Grid[#Data],$DE596,84),0)</f>
        <v/>
      </c>
      <c r="CJ596">
        <f>IFERROR(INDEX(PP_Grid[#Data],$DE596,85),0)</f>
        <v/>
      </c>
      <c r="CK596">
        <f>IFERROR(INDEX(PP_Grid[#Data],$DE596,86),0)</f>
        <v/>
      </c>
      <c r="CL596">
        <f>IFERROR(INDEX(PP_Grid[#Data],$DE596,87),0)</f>
        <v/>
      </c>
      <c r="CM596">
        <f>IFERROR(INDEX(PP_Grid[#Data],$DE596,88),0)</f>
        <v/>
      </c>
      <c r="CN596">
        <f>IFERROR(INDEX(PP_Grid[#Data],$DE596,89),0)</f>
        <v/>
      </c>
      <c r="CO596">
        <f>IFERROR(INDEX(PP_Grid[#Data],$DE596,90),0)</f>
        <v/>
      </c>
      <c r="CP596">
        <f>IFERROR(INDEX(PP_Grid[#Data],$DE596,91),0)</f>
        <v/>
      </c>
      <c r="CQ596">
        <f>IFERROR(INDEX(PP_Grid[#Data],$DE596,92),0)</f>
        <v/>
      </c>
      <c r="CR596">
        <f>IFERROR(INDEX(PP_Grid[#Data],$DE596,93),0)</f>
        <v/>
      </c>
      <c r="CS596">
        <f>IFERROR(INDEX(PP_Grid[#Data],$DE596,94),0)</f>
        <v/>
      </c>
      <c r="CT596">
        <f>IFERROR(INDEX(PP_Grid[#Data],$DE596,95),0)</f>
        <v/>
      </c>
      <c r="CU596">
        <f>IFERROR(INDEX(PP_Grid[#Data],$DE596,96),0)</f>
        <v/>
      </c>
      <c r="CV596">
        <f>IFERROR(INDEX(PP_Grid[#Data],$DE596,97),0)</f>
        <v/>
      </c>
      <c r="CW596">
        <f>IFERROR(INDEX(PP_Grid[#Data],$DE596,98),0)</f>
        <v/>
      </c>
      <c r="CX596">
        <f>IFERROR(INDEX(PP_Grid[#Data],$DE596,99),0)</f>
        <v/>
      </c>
      <c r="CY596">
        <f>IFERROR(INDEX(PP_Grid[#Data],$DE596,100),0)</f>
        <v/>
      </c>
      <c r="CZ596">
        <f>IFERROR(INDEX(PP_Grid[#Data],$DE596,101),0)</f>
        <v/>
      </c>
      <c r="DA596">
        <f>IFERROR(INDEX(PP_Grid[#Data],$DE596,102),0)</f>
        <v/>
      </c>
      <c r="DB596">
        <f>IFERROR(INDEX(PP_Grid[#Data],$DE596,103),0)</f>
        <v/>
      </c>
      <c r="DC596">
        <f>IFERROR(INDEX(PP_Grid[#Data],$DE596,104),0)</f>
        <v/>
      </c>
      <c r="DD596">
        <f>IFERROR(INDEX(PP_Grid[#Data],$DE596,105),0)</f>
        <v/>
      </c>
      <c r="DE596" s="7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SUMIFS(M_BOM[RM_Qty_Per_Batch],M_BOM[Intermediate],$B596,M_BOM[RM_Code],$A497)</f>
        <v/>
      </c>
      <c r="D597">
        <f>IFERROR(INDEX(E597:DD597,$F$1),"")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  <c r="DD597">
        <f>$C597*DD596</f>
        <v/>
      </c>
    </row>
    <row r="598">
      <c r="B598" t="inlineStr">
        <is>
          <t>VSP-822</t>
        </is>
      </c>
      <c r="C598" t="inlineStr">
        <is>
          <t>No. of batches</t>
        </is>
      </c>
      <c r="D598">
        <f>IFERROR(INDEX(E598:DD598,$F$1),"")</f>
        <v/>
      </c>
      <c r="E598">
        <f>IFERROR(INDEX(PP_Grid[#Data],$DE598,2),0)</f>
        <v/>
      </c>
      <c r="F598">
        <f>IFERROR(INDEX(PP_Grid[#Data],$DE598,3),0)</f>
        <v/>
      </c>
      <c r="G598">
        <f>IFERROR(INDEX(PP_Grid[#Data],$DE598,4),0)</f>
        <v/>
      </c>
      <c r="H598">
        <f>IFERROR(INDEX(PP_Grid[#Data],$DE598,5),0)</f>
        <v/>
      </c>
      <c r="I598">
        <f>IFERROR(INDEX(PP_Grid[#Data],$DE598,6),0)</f>
        <v/>
      </c>
      <c r="J598">
        <f>IFERROR(INDEX(PP_Grid[#Data],$DE598,7),0)</f>
        <v/>
      </c>
      <c r="K598">
        <f>IFERROR(INDEX(PP_Grid[#Data],$DE598,8),0)</f>
        <v/>
      </c>
      <c r="L598">
        <f>IFERROR(INDEX(PP_Grid[#Data],$DE598,9),0)</f>
        <v/>
      </c>
      <c r="M598">
        <f>IFERROR(INDEX(PP_Grid[#Data],$DE598,10),0)</f>
        <v/>
      </c>
      <c r="N598">
        <f>IFERROR(INDEX(PP_Grid[#Data],$DE598,11),0)</f>
        <v/>
      </c>
      <c r="O598">
        <f>IFERROR(INDEX(PP_Grid[#Data],$DE598,12),0)</f>
        <v/>
      </c>
      <c r="P598">
        <f>IFERROR(INDEX(PP_Grid[#Data],$DE598,13),0)</f>
        <v/>
      </c>
      <c r="Q598">
        <f>IFERROR(INDEX(PP_Grid[#Data],$DE598,14),0)</f>
        <v/>
      </c>
      <c r="R598">
        <f>IFERROR(INDEX(PP_Grid[#Data],$DE598,15),0)</f>
        <v/>
      </c>
      <c r="S598">
        <f>IFERROR(INDEX(PP_Grid[#Data],$DE598,16),0)</f>
        <v/>
      </c>
      <c r="T598">
        <f>IFERROR(INDEX(PP_Grid[#Data],$DE598,17),0)</f>
        <v/>
      </c>
      <c r="U598">
        <f>IFERROR(INDEX(PP_Grid[#Data],$DE598,18),0)</f>
        <v/>
      </c>
      <c r="V598">
        <f>IFERROR(INDEX(PP_Grid[#Data],$DE598,19),0)</f>
        <v/>
      </c>
      <c r="W598">
        <f>IFERROR(INDEX(PP_Grid[#Data],$DE598,20),0)</f>
        <v/>
      </c>
      <c r="X598">
        <f>IFERROR(INDEX(PP_Grid[#Data],$DE598,21),0)</f>
        <v/>
      </c>
      <c r="Y598">
        <f>IFERROR(INDEX(PP_Grid[#Data],$DE598,22),0)</f>
        <v/>
      </c>
      <c r="Z598">
        <f>IFERROR(INDEX(PP_Grid[#Data],$DE598,23),0)</f>
        <v/>
      </c>
      <c r="AA598">
        <f>IFERROR(INDEX(PP_Grid[#Data],$DE598,24),0)</f>
        <v/>
      </c>
      <c r="AB598">
        <f>IFERROR(INDEX(PP_Grid[#Data],$DE598,25),0)</f>
        <v/>
      </c>
      <c r="AC598">
        <f>IFERROR(INDEX(PP_Grid[#Data],$DE598,26),0)</f>
        <v/>
      </c>
      <c r="AD598">
        <f>IFERROR(INDEX(PP_Grid[#Data],$DE598,27),0)</f>
        <v/>
      </c>
      <c r="AE598">
        <f>IFERROR(INDEX(PP_Grid[#Data],$DE598,28),0)</f>
        <v/>
      </c>
      <c r="AF598">
        <f>IFERROR(INDEX(PP_Grid[#Data],$DE598,29),0)</f>
        <v/>
      </c>
      <c r="AG598">
        <f>IFERROR(INDEX(PP_Grid[#Data],$DE598,30),0)</f>
        <v/>
      </c>
      <c r="AH598">
        <f>IFERROR(INDEX(PP_Grid[#Data],$DE598,31),0)</f>
        <v/>
      </c>
      <c r="AI598">
        <f>IFERROR(INDEX(PP_Grid[#Data],$DE598,32),0)</f>
        <v/>
      </c>
      <c r="AJ598">
        <f>IFERROR(INDEX(PP_Grid[#Data],$DE598,33),0)</f>
        <v/>
      </c>
      <c r="AK598">
        <f>IFERROR(INDEX(PP_Grid[#Data],$DE598,34),0)</f>
        <v/>
      </c>
      <c r="AL598">
        <f>IFERROR(INDEX(PP_Grid[#Data],$DE598,35),0)</f>
        <v/>
      </c>
      <c r="AM598">
        <f>IFERROR(INDEX(PP_Grid[#Data],$DE598,36),0)</f>
        <v/>
      </c>
      <c r="AN598">
        <f>IFERROR(INDEX(PP_Grid[#Data],$DE598,37),0)</f>
        <v/>
      </c>
      <c r="AO598">
        <f>IFERROR(INDEX(PP_Grid[#Data],$DE598,38),0)</f>
        <v/>
      </c>
      <c r="AP598">
        <f>IFERROR(INDEX(PP_Grid[#Data],$DE598,39),0)</f>
        <v/>
      </c>
      <c r="AQ598">
        <f>IFERROR(INDEX(PP_Grid[#Data],$DE598,40),0)</f>
        <v/>
      </c>
      <c r="AR598">
        <f>IFERROR(INDEX(PP_Grid[#Data],$DE598,41),0)</f>
        <v/>
      </c>
      <c r="AS598">
        <f>IFERROR(INDEX(PP_Grid[#Data],$DE598,42),0)</f>
        <v/>
      </c>
      <c r="AT598">
        <f>IFERROR(INDEX(PP_Grid[#Data],$DE598,43),0)</f>
        <v/>
      </c>
      <c r="AU598">
        <f>IFERROR(INDEX(PP_Grid[#Data],$DE598,44),0)</f>
        <v/>
      </c>
      <c r="AV598">
        <f>IFERROR(INDEX(PP_Grid[#Data],$DE598,45),0)</f>
        <v/>
      </c>
      <c r="AW598">
        <f>IFERROR(INDEX(PP_Grid[#Data],$DE598,46),0)</f>
        <v/>
      </c>
      <c r="AX598">
        <f>IFERROR(INDEX(PP_Grid[#Data],$DE598,47),0)</f>
        <v/>
      </c>
      <c r="AY598">
        <f>IFERROR(INDEX(PP_Grid[#Data],$DE598,48),0)</f>
        <v/>
      </c>
      <c r="AZ598">
        <f>IFERROR(INDEX(PP_Grid[#Data],$DE598,49),0)</f>
        <v/>
      </c>
      <c r="BA598">
        <f>IFERROR(INDEX(PP_Grid[#Data],$DE598,50),0)</f>
        <v/>
      </c>
      <c r="BB598">
        <f>IFERROR(INDEX(PP_Grid[#Data],$DE598,51),0)</f>
        <v/>
      </c>
      <c r="BC598">
        <f>IFERROR(INDEX(PP_Grid[#Data],$DE598,52),0)</f>
        <v/>
      </c>
      <c r="BD598">
        <f>IFERROR(INDEX(PP_Grid[#Data],$DE598,53),0)</f>
        <v/>
      </c>
      <c r="BE598">
        <f>IFERROR(INDEX(PP_Grid[#Data],$DE598,54),0)</f>
        <v/>
      </c>
      <c r="BF598">
        <f>IFERROR(INDEX(PP_Grid[#Data],$DE598,55),0)</f>
        <v/>
      </c>
      <c r="BG598">
        <f>IFERROR(INDEX(PP_Grid[#Data],$DE598,56),0)</f>
        <v/>
      </c>
      <c r="BH598">
        <f>IFERROR(INDEX(PP_Grid[#Data],$DE598,57),0)</f>
        <v/>
      </c>
      <c r="BI598">
        <f>IFERROR(INDEX(PP_Grid[#Data],$DE598,58),0)</f>
        <v/>
      </c>
      <c r="BJ598">
        <f>IFERROR(INDEX(PP_Grid[#Data],$DE598,59),0)</f>
        <v/>
      </c>
      <c r="BK598">
        <f>IFERROR(INDEX(PP_Grid[#Data],$DE598,60),0)</f>
        <v/>
      </c>
      <c r="BL598">
        <f>IFERROR(INDEX(PP_Grid[#Data],$DE598,61),0)</f>
        <v/>
      </c>
      <c r="BM598">
        <f>IFERROR(INDEX(PP_Grid[#Data],$DE598,62),0)</f>
        <v/>
      </c>
      <c r="BN598">
        <f>IFERROR(INDEX(PP_Grid[#Data],$DE598,63),0)</f>
        <v/>
      </c>
      <c r="BO598">
        <f>IFERROR(INDEX(PP_Grid[#Data],$DE598,64),0)</f>
        <v/>
      </c>
      <c r="BP598">
        <f>IFERROR(INDEX(PP_Grid[#Data],$DE598,65),0)</f>
        <v/>
      </c>
      <c r="BQ598">
        <f>IFERROR(INDEX(PP_Grid[#Data],$DE598,66),0)</f>
        <v/>
      </c>
      <c r="BR598">
        <f>IFERROR(INDEX(PP_Grid[#Data],$DE598,67),0)</f>
        <v/>
      </c>
      <c r="BS598">
        <f>IFERROR(INDEX(PP_Grid[#Data],$DE598,68),0)</f>
        <v/>
      </c>
      <c r="BT598">
        <f>IFERROR(INDEX(PP_Grid[#Data],$DE598,69),0)</f>
        <v/>
      </c>
      <c r="BU598">
        <f>IFERROR(INDEX(PP_Grid[#Data],$DE598,70),0)</f>
        <v/>
      </c>
      <c r="BV598">
        <f>IFERROR(INDEX(PP_Grid[#Data],$DE598,71),0)</f>
        <v/>
      </c>
      <c r="BW598">
        <f>IFERROR(INDEX(PP_Grid[#Data],$DE598,72),0)</f>
        <v/>
      </c>
      <c r="BX598">
        <f>IFERROR(INDEX(PP_Grid[#Data],$DE598,73),0)</f>
        <v/>
      </c>
      <c r="BY598">
        <f>IFERROR(INDEX(PP_Grid[#Data],$DE598,74),0)</f>
        <v/>
      </c>
      <c r="BZ598">
        <f>IFERROR(INDEX(PP_Grid[#Data],$DE598,75),0)</f>
        <v/>
      </c>
      <c r="CA598">
        <f>IFERROR(INDEX(PP_Grid[#Data],$DE598,76),0)</f>
        <v/>
      </c>
      <c r="CB598">
        <f>IFERROR(INDEX(PP_Grid[#Data],$DE598,77),0)</f>
        <v/>
      </c>
      <c r="CC598">
        <f>IFERROR(INDEX(PP_Grid[#Data],$DE598,78),0)</f>
        <v/>
      </c>
      <c r="CD598">
        <f>IFERROR(INDEX(PP_Grid[#Data],$DE598,79),0)</f>
        <v/>
      </c>
      <c r="CE598">
        <f>IFERROR(INDEX(PP_Grid[#Data],$DE598,80),0)</f>
        <v/>
      </c>
      <c r="CF598">
        <f>IFERROR(INDEX(PP_Grid[#Data],$DE598,81),0)</f>
        <v/>
      </c>
      <c r="CG598">
        <f>IFERROR(INDEX(PP_Grid[#Data],$DE598,82),0)</f>
        <v/>
      </c>
      <c r="CH598">
        <f>IFERROR(INDEX(PP_Grid[#Data],$DE598,83),0)</f>
        <v/>
      </c>
      <c r="CI598">
        <f>IFERROR(INDEX(PP_Grid[#Data],$DE598,84),0)</f>
        <v/>
      </c>
      <c r="CJ598">
        <f>IFERROR(INDEX(PP_Grid[#Data],$DE598,85),0)</f>
        <v/>
      </c>
      <c r="CK598">
        <f>IFERROR(INDEX(PP_Grid[#Data],$DE598,86),0)</f>
        <v/>
      </c>
      <c r="CL598">
        <f>IFERROR(INDEX(PP_Grid[#Data],$DE598,87),0)</f>
        <v/>
      </c>
      <c r="CM598">
        <f>IFERROR(INDEX(PP_Grid[#Data],$DE598,88),0)</f>
        <v/>
      </c>
      <c r="CN598">
        <f>IFERROR(INDEX(PP_Grid[#Data],$DE598,89),0)</f>
        <v/>
      </c>
      <c r="CO598">
        <f>IFERROR(INDEX(PP_Grid[#Data],$DE598,90),0)</f>
        <v/>
      </c>
      <c r="CP598">
        <f>IFERROR(INDEX(PP_Grid[#Data],$DE598,91),0)</f>
        <v/>
      </c>
      <c r="CQ598">
        <f>IFERROR(INDEX(PP_Grid[#Data],$DE598,92),0)</f>
        <v/>
      </c>
      <c r="CR598">
        <f>IFERROR(INDEX(PP_Grid[#Data],$DE598,93),0)</f>
        <v/>
      </c>
      <c r="CS598">
        <f>IFERROR(INDEX(PP_Grid[#Data],$DE598,94),0)</f>
        <v/>
      </c>
      <c r="CT598">
        <f>IFERROR(INDEX(PP_Grid[#Data],$DE598,95),0)</f>
        <v/>
      </c>
      <c r="CU598">
        <f>IFERROR(INDEX(PP_Grid[#Data],$DE598,96),0)</f>
        <v/>
      </c>
      <c r="CV598">
        <f>IFERROR(INDEX(PP_Grid[#Data],$DE598,97),0)</f>
        <v/>
      </c>
      <c r="CW598">
        <f>IFERROR(INDEX(PP_Grid[#Data],$DE598,98),0)</f>
        <v/>
      </c>
      <c r="CX598">
        <f>IFERROR(INDEX(PP_Grid[#Data],$DE598,99),0)</f>
        <v/>
      </c>
      <c r="CY598">
        <f>IFERROR(INDEX(PP_Grid[#Data],$DE598,100),0)</f>
        <v/>
      </c>
      <c r="CZ598">
        <f>IFERROR(INDEX(PP_Grid[#Data],$DE598,101),0)</f>
        <v/>
      </c>
      <c r="DA598">
        <f>IFERROR(INDEX(PP_Grid[#Data],$DE598,102),0)</f>
        <v/>
      </c>
      <c r="DB598">
        <f>IFERROR(INDEX(PP_Grid[#Data],$DE598,103),0)</f>
        <v/>
      </c>
      <c r="DC598">
        <f>IFERROR(INDEX(PP_Grid[#Data],$DE598,104),0)</f>
        <v/>
      </c>
      <c r="DD598">
        <f>IFERROR(INDEX(PP_Grid[#Data],$DE598,105),0)</f>
        <v/>
      </c>
      <c r="DE598" s="7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SUMIFS(M_BOM[RM_Qty_Per_Batch],M_BOM[Intermediate],$B598,M_BOM[RM_Code],$A497)</f>
        <v/>
      </c>
      <c r="D599">
        <f>IFERROR(INDEX(E599:DD599,$F$1),"")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  <c r="DD599">
        <f>$C599*DD598</f>
        <v/>
      </c>
    </row>
    <row r="600">
      <c r="B600" t="inlineStr">
        <is>
          <t>VSP-870</t>
        </is>
      </c>
      <c r="C600" t="inlineStr">
        <is>
          <t>No. of batches</t>
        </is>
      </c>
      <c r="D600">
        <f>IFERROR(INDEX(E600:DD600,$F$1),"")</f>
        <v/>
      </c>
      <c r="E600">
        <f>IFERROR(INDEX(PP_Grid[#Data],$DE600,2),0)</f>
        <v/>
      </c>
      <c r="F600">
        <f>IFERROR(INDEX(PP_Grid[#Data],$DE600,3),0)</f>
        <v/>
      </c>
      <c r="G600">
        <f>IFERROR(INDEX(PP_Grid[#Data],$DE600,4),0)</f>
        <v/>
      </c>
      <c r="H600">
        <f>IFERROR(INDEX(PP_Grid[#Data],$DE600,5),0)</f>
        <v/>
      </c>
      <c r="I600">
        <f>IFERROR(INDEX(PP_Grid[#Data],$DE600,6),0)</f>
        <v/>
      </c>
      <c r="J600">
        <f>IFERROR(INDEX(PP_Grid[#Data],$DE600,7),0)</f>
        <v/>
      </c>
      <c r="K600">
        <f>IFERROR(INDEX(PP_Grid[#Data],$DE600,8),0)</f>
        <v/>
      </c>
      <c r="L600">
        <f>IFERROR(INDEX(PP_Grid[#Data],$DE600,9),0)</f>
        <v/>
      </c>
      <c r="M600">
        <f>IFERROR(INDEX(PP_Grid[#Data],$DE600,10),0)</f>
        <v/>
      </c>
      <c r="N600">
        <f>IFERROR(INDEX(PP_Grid[#Data],$DE600,11),0)</f>
        <v/>
      </c>
      <c r="O600">
        <f>IFERROR(INDEX(PP_Grid[#Data],$DE600,12),0)</f>
        <v/>
      </c>
      <c r="P600">
        <f>IFERROR(INDEX(PP_Grid[#Data],$DE600,13),0)</f>
        <v/>
      </c>
      <c r="Q600">
        <f>IFERROR(INDEX(PP_Grid[#Data],$DE600,14),0)</f>
        <v/>
      </c>
      <c r="R600">
        <f>IFERROR(INDEX(PP_Grid[#Data],$DE600,15),0)</f>
        <v/>
      </c>
      <c r="S600">
        <f>IFERROR(INDEX(PP_Grid[#Data],$DE600,16),0)</f>
        <v/>
      </c>
      <c r="T600">
        <f>IFERROR(INDEX(PP_Grid[#Data],$DE600,17),0)</f>
        <v/>
      </c>
      <c r="U600">
        <f>IFERROR(INDEX(PP_Grid[#Data],$DE600,18),0)</f>
        <v/>
      </c>
      <c r="V600">
        <f>IFERROR(INDEX(PP_Grid[#Data],$DE600,19),0)</f>
        <v/>
      </c>
      <c r="W600">
        <f>IFERROR(INDEX(PP_Grid[#Data],$DE600,20),0)</f>
        <v/>
      </c>
      <c r="X600">
        <f>IFERROR(INDEX(PP_Grid[#Data],$DE600,21),0)</f>
        <v/>
      </c>
      <c r="Y600">
        <f>IFERROR(INDEX(PP_Grid[#Data],$DE600,22),0)</f>
        <v/>
      </c>
      <c r="Z600">
        <f>IFERROR(INDEX(PP_Grid[#Data],$DE600,23),0)</f>
        <v/>
      </c>
      <c r="AA600">
        <f>IFERROR(INDEX(PP_Grid[#Data],$DE600,24),0)</f>
        <v/>
      </c>
      <c r="AB600">
        <f>IFERROR(INDEX(PP_Grid[#Data],$DE600,25),0)</f>
        <v/>
      </c>
      <c r="AC600">
        <f>IFERROR(INDEX(PP_Grid[#Data],$DE600,26),0)</f>
        <v/>
      </c>
      <c r="AD600">
        <f>IFERROR(INDEX(PP_Grid[#Data],$DE600,27),0)</f>
        <v/>
      </c>
      <c r="AE600">
        <f>IFERROR(INDEX(PP_Grid[#Data],$DE600,28),0)</f>
        <v/>
      </c>
      <c r="AF600">
        <f>IFERROR(INDEX(PP_Grid[#Data],$DE600,29),0)</f>
        <v/>
      </c>
      <c r="AG600">
        <f>IFERROR(INDEX(PP_Grid[#Data],$DE600,30),0)</f>
        <v/>
      </c>
      <c r="AH600">
        <f>IFERROR(INDEX(PP_Grid[#Data],$DE600,31),0)</f>
        <v/>
      </c>
      <c r="AI600">
        <f>IFERROR(INDEX(PP_Grid[#Data],$DE600,32),0)</f>
        <v/>
      </c>
      <c r="AJ600">
        <f>IFERROR(INDEX(PP_Grid[#Data],$DE600,33),0)</f>
        <v/>
      </c>
      <c r="AK600">
        <f>IFERROR(INDEX(PP_Grid[#Data],$DE600,34),0)</f>
        <v/>
      </c>
      <c r="AL600">
        <f>IFERROR(INDEX(PP_Grid[#Data],$DE600,35),0)</f>
        <v/>
      </c>
      <c r="AM600">
        <f>IFERROR(INDEX(PP_Grid[#Data],$DE600,36),0)</f>
        <v/>
      </c>
      <c r="AN600">
        <f>IFERROR(INDEX(PP_Grid[#Data],$DE600,37),0)</f>
        <v/>
      </c>
      <c r="AO600">
        <f>IFERROR(INDEX(PP_Grid[#Data],$DE600,38),0)</f>
        <v/>
      </c>
      <c r="AP600">
        <f>IFERROR(INDEX(PP_Grid[#Data],$DE600,39),0)</f>
        <v/>
      </c>
      <c r="AQ600">
        <f>IFERROR(INDEX(PP_Grid[#Data],$DE600,40),0)</f>
        <v/>
      </c>
      <c r="AR600">
        <f>IFERROR(INDEX(PP_Grid[#Data],$DE600,41),0)</f>
        <v/>
      </c>
      <c r="AS600">
        <f>IFERROR(INDEX(PP_Grid[#Data],$DE600,42),0)</f>
        <v/>
      </c>
      <c r="AT600">
        <f>IFERROR(INDEX(PP_Grid[#Data],$DE600,43),0)</f>
        <v/>
      </c>
      <c r="AU600">
        <f>IFERROR(INDEX(PP_Grid[#Data],$DE600,44),0)</f>
        <v/>
      </c>
      <c r="AV600">
        <f>IFERROR(INDEX(PP_Grid[#Data],$DE600,45),0)</f>
        <v/>
      </c>
      <c r="AW600">
        <f>IFERROR(INDEX(PP_Grid[#Data],$DE600,46),0)</f>
        <v/>
      </c>
      <c r="AX600">
        <f>IFERROR(INDEX(PP_Grid[#Data],$DE600,47),0)</f>
        <v/>
      </c>
      <c r="AY600">
        <f>IFERROR(INDEX(PP_Grid[#Data],$DE600,48),0)</f>
        <v/>
      </c>
      <c r="AZ600">
        <f>IFERROR(INDEX(PP_Grid[#Data],$DE600,49),0)</f>
        <v/>
      </c>
      <c r="BA600">
        <f>IFERROR(INDEX(PP_Grid[#Data],$DE600,50),0)</f>
        <v/>
      </c>
      <c r="BB600">
        <f>IFERROR(INDEX(PP_Grid[#Data],$DE600,51),0)</f>
        <v/>
      </c>
      <c r="BC600">
        <f>IFERROR(INDEX(PP_Grid[#Data],$DE600,52),0)</f>
        <v/>
      </c>
      <c r="BD600">
        <f>IFERROR(INDEX(PP_Grid[#Data],$DE600,53),0)</f>
        <v/>
      </c>
      <c r="BE600">
        <f>IFERROR(INDEX(PP_Grid[#Data],$DE600,54),0)</f>
        <v/>
      </c>
      <c r="BF600">
        <f>IFERROR(INDEX(PP_Grid[#Data],$DE600,55),0)</f>
        <v/>
      </c>
      <c r="BG600">
        <f>IFERROR(INDEX(PP_Grid[#Data],$DE600,56),0)</f>
        <v/>
      </c>
      <c r="BH600">
        <f>IFERROR(INDEX(PP_Grid[#Data],$DE600,57),0)</f>
        <v/>
      </c>
      <c r="BI600">
        <f>IFERROR(INDEX(PP_Grid[#Data],$DE600,58),0)</f>
        <v/>
      </c>
      <c r="BJ600">
        <f>IFERROR(INDEX(PP_Grid[#Data],$DE600,59),0)</f>
        <v/>
      </c>
      <c r="BK600">
        <f>IFERROR(INDEX(PP_Grid[#Data],$DE600,60),0)</f>
        <v/>
      </c>
      <c r="BL600">
        <f>IFERROR(INDEX(PP_Grid[#Data],$DE600,61),0)</f>
        <v/>
      </c>
      <c r="BM600">
        <f>IFERROR(INDEX(PP_Grid[#Data],$DE600,62),0)</f>
        <v/>
      </c>
      <c r="BN600">
        <f>IFERROR(INDEX(PP_Grid[#Data],$DE600,63),0)</f>
        <v/>
      </c>
      <c r="BO600">
        <f>IFERROR(INDEX(PP_Grid[#Data],$DE600,64),0)</f>
        <v/>
      </c>
      <c r="BP600">
        <f>IFERROR(INDEX(PP_Grid[#Data],$DE600,65),0)</f>
        <v/>
      </c>
      <c r="BQ600">
        <f>IFERROR(INDEX(PP_Grid[#Data],$DE600,66),0)</f>
        <v/>
      </c>
      <c r="BR600">
        <f>IFERROR(INDEX(PP_Grid[#Data],$DE600,67),0)</f>
        <v/>
      </c>
      <c r="BS600">
        <f>IFERROR(INDEX(PP_Grid[#Data],$DE600,68),0)</f>
        <v/>
      </c>
      <c r="BT600">
        <f>IFERROR(INDEX(PP_Grid[#Data],$DE600,69),0)</f>
        <v/>
      </c>
      <c r="BU600">
        <f>IFERROR(INDEX(PP_Grid[#Data],$DE600,70),0)</f>
        <v/>
      </c>
      <c r="BV600">
        <f>IFERROR(INDEX(PP_Grid[#Data],$DE600,71),0)</f>
        <v/>
      </c>
      <c r="BW600">
        <f>IFERROR(INDEX(PP_Grid[#Data],$DE600,72),0)</f>
        <v/>
      </c>
      <c r="BX600">
        <f>IFERROR(INDEX(PP_Grid[#Data],$DE600,73),0)</f>
        <v/>
      </c>
      <c r="BY600">
        <f>IFERROR(INDEX(PP_Grid[#Data],$DE600,74),0)</f>
        <v/>
      </c>
      <c r="BZ600">
        <f>IFERROR(INDEX(PP_Grid[#Data],$DE600,75),0)</f>
        <v/>
      </c>
      <c r="CA600">
        <f>IFERROR(INDEX(PP_Grid[#Data],$DE600,76),0)</f>
        <v/>
      </c>
      <c r="CB600">
        <f>IFERROR(INDEX(PP_Grid[#Data],$DE600,77),0)</f>
        <v/>
      </c>
      <c r="CC600">
        <f>IFERROR(INDEX(PP_Grid[#Data],$DE600,78),0)</f>
        <v/>
      </c>
      <c r="CD600">
        <f>IFERROR(INDEX(PP_Grid[#Data],$DE600,79),0)</f>
        <v/>
      </c>
      <c r="CE600">
        <f>IFERROR(INDEX(PP_Grid[#Data],$DE600,80),0)</f>
        <v/>
      </c>
      <c r="CF600">
        <f>IFERROR(INDEX(PP_Grid[#Data],$DE600,81),0)</f>
        <v/>
      </c>
      <c r="CG600">
        <f>IFERROR(INDEX(PP_Grid[#Data],$DE600,82),0)</f>
        <v/>
      </c>
      <c r="CH600">
        <f>IFERROR(INDEX(PP_Grid[#Data],$DE600,83),0)</f>
        <v/>
      </c>
      <c r="CI600">
        <f>IFERROR(INDEX(PP_Grid[#Data],$DE600,84),0)</f>
        <v/>
      </c>
      <c r="CJ600">
        <f>IFERROR(INDEX(PP_Grid[#Data],$DE600,85),0)</f>
        <v/>
      </c>
      <c r="CK600">
        <f>IFERROR(INDEX(PP_Grid[#Data],$DE600,86),0)</f>
        <v/>
      </c>
      <c r="CL600">
        <f>IFERROR(INDEX(PP_Grid[#Data],$DE600,87),0)</f>
        <v/>
      </c>
      <c r="CM600">
        <f>IFERROR(INDEX(PP_Grid[#Data],$DE600,88),0)</f>
        <v/>
      </c>
      <c r="CN600">
        <f>IFERROR(INDEX(PP_Grid[#Data],$DE600,89),0)</f>
        <v/>
      </c>
      <c r="CO600">
        <f>IFERROR(INDEX(PP_Grid[#Data],$DE600,90),0)</f>
        <v/>
      </c>
      <c r="CP600">
        <f>IFERROR(INDEX(PP_Grid[#Data],$DE600,91),0)</f>
        <v/>
      </c>
      <c r="CQ600">
        <f>IFERROR(INDEX(PP_Grid[#Data],$DE600,92),0)</f>
        <v/>
      </c>
      <c r="CR600">
        <f>IFERROR(INDEX(PP_Grid[#Data],$DE600,93),0)</f>
        <v/>
      </c>
      <c r="CS600">
        <f>IFERROR(INDEX(PP_Grid[#Data],$DE600,94),0)</f>
        <v/>
      </c>
      <c r="CT600">
        <f>IFERROR(INDEX(PP_Grid[#Data],$DE600,95),0)</f>
        <v/>
      </c>
      <c r="CU600">
        <f>IFERROR(INDEX(PP_Grid[#Data],$DE600,96),0)</f>
        <v/>
      </c>
      <c r="CV600">
        <f>IFERROR(INDEX(PP_Grid[#Data],$DE600,97),0)</f>
        <v/>
      </c>
      <c r="CW600">
        <f>IFERROR(INDEX(PP_Grid[#Data],$DE600,98),0)</f>
        <v/>
      </c>
      <c r="CX600">
        <f>IFERROR(INDEX(PP_Grid[#Data],$DE600,99),0)</f>
        <v/>
      </c>
      <c r="CY600">
        <f>IFERROR(INDEX(PP_Grid[#Data],$DE600,100),0)</f>
        <v/>
      </c>
      <c r="CZ600">
        <f>IFERROR(INDEX(PP_Grid[#Data],$DE600,101),0)</f>
        <v/>
      </c>
      <c r="DA600">
        <f>IFERROR(INDEX(PP_Grid[#Data],$DE600,102),0)</f>
        <v/>
      </c>
      <c r="DB600">
        <f>IFERROR(INDEX(PP_Grid[#Data],$DE600,103),0)</f>
        <v/>
      </c>
      <c r="DC600">
        <f>IFERROR(INDEX(PP_Grid[#Data],$DE600,104),0)</f>
        <v/>
      </c>
      <c r="DD600">
        <f>IFERROR(INDEX(PP_Grid[#Data],$DE600,105),0)</f>
        <v/>
      </c>
      <c r="DE600" s="7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SUMIFS(M_BOM[RM_Qty_Per_Batch],M_BOM[Intermediate],$B600,M_BOM[RM_Code],$A497)</f>
        <v/>
      </c>
      <c r="D601">
        <f>IFERROR(INDEX(E601:DD601,$F$1),"")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  <c r="DD601">
        <f>$C601*DD600</f>
        <v/>
      </c>
    </row>
    <row r="602">
      <c r="B602" t="inlineStr">
        <is>
          <t>VSP-910</t>
        </is>
      </c>
      <c r="C602" t="inlineStr">
        <is>
          <t>No. of batches</t>
        </is>
      </c>
      <c r="D602">
        <f>IFERROR(INDEX(E602:DD602,$F$1),"")</f>
        <v/>
      </c>
      <c r="E602">
        <f>IFERROR(INDEX(PP_Grid[#Data],$DE602,2),0)</f>
        <v/>
      </c>
      <c r="F602">
        <f>IFERROR(INDEX(PP_Grid[#Data],$DE602,3),0)</f>
        <v/>
      </c>
      <c r="G602">
        <f>IFERROR(INDEX(PP_Grid[#Data],$DE602,4),0)</f>
        <v/>
      </c>
      <c r="H602">
        <f>IFERROR(INDEX(PP_Grid[#Data],$DE602,5),0)</f>
        <v/>
      </c>
      <c r="I602">
        <f>IFERROR(INDEX(PP_Grid[#Data],$DE602,6),0)</f>
        <v/>
      </c>
      <c r="J602">
        <f>IFERROR(INDEX(PP_Grid[#Data],$DE602,7),0)</f>
        <v/>
      </c>
      <c r="K602">
        <f>IFERROR(INDEX(PP_Grid[#Data],$DE602,8),0)</f>
        <v/>
      </c>
      <c r="L602">
        <f>IFERROR(INDEX(PP_Grid[#Data],$DE602,9),0)</f>
        <v/>
      </c>
      <c r="M602">
        <f>IFERROR(INDEX(PP_Grid[#Data],$DE602,10),0)</f>
        <v/>
      </c>
      <c r="N602">
        <f>IFERROR(INDEX(PP_Grid[#Data],$DE602,11),0)</f>
        <v/>
      </c>
      <c r="O602">
        <f>IFERROR(INDEX(PP_Grid[#Data],$DE602,12),0)</f>
        <v/>
      </c>
      <c r="P602">
        <f>IFERROR(INDEX(PP_Grid[#Data],$DE602,13),0)</f>
        <v/>
      </c>
      <c r="Q602">
        <f>IFERROR(INDEX(PP_Grid[#Data],$DE602,14),0)</f>
        <v/>
      </c>
      <c r="R602">
        <f>IFERROR(INDEX(PP_Grid[#Data],$DE602,15),0)</f>
        <v/>
      </c>
      <c r="S602">
        <f>IFERROR(INDEX(PP_Grid[#Data],$DE602,16),0)</f>
        <v/>
      </c>
      <c r="T602">
        <f>IFERROR(INDEX(PP_Grid[#Data],$DE602,17),0)</f>
        <v/>
      </c>
      <c r="U602">
        <f>IFERROR(INDEX(PP_Grid[#Data],$DE602,18),0)</f>
        <v/>
      </c>
      <c r="V602">
        <f>IFERROR(INDEX(PP_Grid[#Data],$DE602,19),0)</f>
        <v/>
      </c>
      <c r="W602">
        <f>IFERROR(INDEX(PP_Grid[#Data],$DE602,20),0)</f>
        <v/>
      </c>
      <c r="X602">
        <f>IFERROR(INDEX(PP_Grid[#Data],$DE602,21),0)</f>
        <v/>
      </c>
      <c r="Y602">
        <f>IFERROR(INDEX(PP_Grid[#Data],$DE602,22),0)</f>
        <v/>
      </c>
      <c r="Z602">
        <f>IFERROR(INDEX(PP_Grid[#Data],$DE602,23),0)</f>
        <v/>
      </c>
      <c r="AA602">
        <f>IFERROR(INDEX(PP_Grid[#Data],$DE602,24),0)</f>
        <v/>
      </c>
      <c r="AB602">
        <f>IFERROR(INDEX(PP_Grid[#Data],$DE602,25),0)</f>
        <v/>
      </c>
      <c r="AC602">
        <f>IFERROR(INDEX(PP_Grid[#Data],$DE602,26),0)</f>
        <v/>
      </c>
      <c r="AD602">
        <f>IFERROR(INDEX(PP_Grid[#Data],$DE602,27),0)</f>
        <v/>
      </c>
      <c r="AE602">
        <f>IFERROR(INDEX(PP_Grid[#Data],$DE602,28),0)</f>
        <v/>
      </c>
      <c r="AF602">
        <f>IFERROR(INDEX(PP_Grid[#Data],$DE602,29),0)</f>
        <v/>
      </c>
      <c r="AG602">
        <f>IFERROR(INDEX(PP_Grid[#Data],$DE602,30),0)</f>
        <v/>
      </c>
      <c r="AH602">
        <f>IFERROR(INDEX(PP_Grid[#Data],$DE602,31),0)</f>
        <v/>
      </c>
      <c r="AI602">
        <f>IFERROR(INDEX(PP_Grid[#Data],$DE602,32),0)</f>
        <v/>
      </c>
      <c r="AJ602">
        <f>IFERROR(INDEX(PP_Grid[#Data],$DE602,33),0)</f>
        <v/>
      </c>
      <c r="AK602">
        <f>IFERROR(INDEX(PP_Grid[#Data],$DE602,34),0)</f>
        <v/>
      </c>
      <c r="AL602">
        <f>IFERROR(INDEX(PP_Grid[#Data],$DE602,35),0)</f>
        <v/>
      </c>
      <c r="AM602">
        <f>IFERROR(INDEX(PP_Grid[#Data],$DE602,36),0)</f>
        <v/>
      </c>
      <c r="AN602">
        <f>IFERROR(INDEX(PP_Grid[#Data],$DE602,37),0)</f>
        <v/>
      </c>
      <c r="AO602">
        <f>IFERROR(INDEX(PP_Grid[#Data],$DE602,38),0)</f>
        <v/>
      </c>
      <c r="AP602">
        <f>IFERROR(INDEX(PP_Grid[#Data],$DE602,39),0)</f>
        <v/>
      </c>
      <c r="AQ602">
        <f>IFERROR(INDEX(PP_Grid[#Data],$DE602,40),0)</f>
        <v/>
      </c>
      <c r="AR602">
        <f>IFERROR(INDEX(PP_Grid[#Data],$DE602,41),0)</f>
        <v/>
      </c>
      <c r="AS602">
        <f>IFERROR(INDEX(PP_Grid[#Data],$DE602,42),0)</f>
        <v/>
      </c>
      <c r="AT602">
        <f>IFERROR(INDEX(PP_Grid[#Data],$DE602,43),0)</f>
        <v/>
      </c>
      <c r="AU602">
        <f>IFERROR(INDEX(PP_Grid[#Data],$DE602,44),0)</f>
        <v/>
      </c>
      <c r="AV602">
        <f>IFERROR(INDEX(PP_Grid[#Data],$DE602,45),0)</f>
        <v/>
      </c>
      <c r="AW602">
        <f>IFERROR(INDEX(PP_Grid[#Data],$DE602,46),0)</f>
        <v/>
      </c>
      <c r="AX602">
        <f>IFERROR(INDEX(PP_Grid[#Data],$DE602,47),0)</f>
        <v/>
      </c>
      <c r="AY602">
        <f>IFERROR(INDEX(PP_Grid[#Data],$DE602,48),0)</f>
        <v/>
      </c>
      <c r="AZ602">
        <f>IFERROR(INDEX(PP_Grid[#Data],$DE602,49),0)</f>
        <v/>
      </c>
      <c r="BA602">
        <f>IFERROR(INDEX(PP_Grid[#Data],$DE602,50),0)</f>
        <v/>
      </c>
      <c r="BB602">
        <f>IFERROR(INDEX(PP_Grid[#Data],$DE602,51),0)</f>
        <v/>
      </c>
      <c r="BC602">
        <f>IFERROR(INDEX(PP_Grid[#Data],$DE602,52),0)</f>
        <v/>
      </c>
      <c r="BD602">
        <f>IFERROR(INDEX(PP_Grid[#Data],$DE602,53),0)</f>
        <v/>
      </c>
      <c r="BE602">
        <f>IFERROR(INDEX(PP_Grid[#Data],$DE602,54),0)</f>
        <v/>
      </c>
      <c r="BF602">
        <f>IFERROR(INDEX(PP_Grid[#Data],$DE602,55),0)</f>
        <v/>
      </c>
      <c r="BG602">
        <f>IFERROR(INDEX(PP_Grid[#Data],$DE602,56),0)</f>
        <v/>
      </c>
      <c r="BH602">
        <f>IFERROR(INDEX(PP_Grid[#Data],$DE602,57),0)</f>
        <v/>
      </c>
      <c r="BI602">
        <f>IFERROR(INDEX(PP_Grid[#Data],$DE602,58),0)</f>
        <v/>
      </c>
      <c r="BJ602">
        <f>IFERROR(INDEX(PP_Grid[#Data],$DE602,59),0)</f>
        <v/>
      </c>
      <c r="BK602">
        <f>IFERROR(INDEX(PP_Grid[#Data],$DE602,60),0)</f>
        <v/>
      </c>
      <c r="BL602">
        <f>IFERROR(INDEX(PP_Grid[#Data],$DE602,61),0)</f>
        <v/>
      </c>
      <c r="BM602">
        <f>IFERROR(INDEX(PP_Grid[#Data],$DE602,62),0)</f>
        <v/>
      </c>
      <c r="BN602">
        <f>IFERROR(INDEX(PP_Grid[#Data],$DE602,63),0)</f>
        <v/>
      </c>
      <c r="BO602">
        <f>IFERROR(INDEX(PP_Grid[#Data],$DE602,64),0)</f>
        <v/>
      </c>
      <c r="BP602">
        <f>IFERROR(INDEX(PP_Grid[#Data],$DE602,65),0)</f>
        <v/>
      </c>
      <c r="BQ602">
        <f>IFERROR(INDEX(PP_Grid[#Data],$DE602,66),0)</f>
        <v/>
      </c>
      <c r="BR602">
        <f>IFERROR(INDEX(PP_Grid[#Data],$DE602,67),0)</f>
        <v/>
      </c>
      <c r="BS602">
        <f>IFERROR(INDEX(PP_Grid[#Data],$DE602,68),0)</f>
        <v/>
      </c>
      <c r="BT602">
        <f>IFERROR(INDEX(PP_Grid[#Data],$DE602,69),0)</f>
        <v/>
      </c>
      <c r="BU602">
        <f>IFERROR(INDEX(PP_Grid[#Data],$DE602,70),0)</f>
        <v/>
      </c>
      <c r="BV602">
        <f>IFERROR(INDEX(PP_Grid[#Data],$DE602,71),0)</f>
        <v/>
      </c>
      <c r="BW602">
        <f>IFERROR(INDEX(PP_Grid[#Data],$DE602,72),0)</f>
        <v/>
      </c>
      <c r="BX602">
        <f>IFERROR(INDEX(PP_Grid[#Data],$DE602,73),0)</f>
        <v/>
      </c>
      <c r="BY602">
        <f>IFERROR(INDEX(PP_Grid[#Data],$DE602,74),0)</f>
        <v/>
      </c>
      <c r="BZ602">
        <f>IFERROR(INDEX(PP_Grid[#Data],$DE602,75),0)</f>
        <v/>
      </c>
      <c r="CA602">
        <f>IFERROR(INDEX(PP_Grid[#Data],$DE602,76),0)</f>
        <v/>
      </c>
      <c r="CB602">
        <f>IFERROR(INDEX(PP_Grid[#Data],$DE602,77),0)</f>
        <v/>
      </c>
      <c r="CC602">
        <f>IFERROR(INDEX(PP_Grid[#Data],$DE602,78),0)</f>
        <v/>
      </c>
      <c r="CD602">
        <f>IFERROR(INDEX(PP_Grid[#Data],$DE602,79),0)</f>
        <v/>
      </c>
      <c r="CE602">
        <f>IFERROR(INDEX(PP_Grid[#Data],$DE602,80),0)</f>
        <v/>
      </c>
      <c r="CF602">
        <f>IFERROR(INDEX(PP_Grid[#Data],$DE602,81),0)</f>
        <v/>
      </c>
      <c r="CG602">
        <f>IFERROR(INDEX(PP_Grid[#Data],$DE602,82),0)</f>
        <v/>
      </c>
      <c r="CH602">
        <f>IFERROR(INDEX(PP_Grid[#Data],$DE602,83),0)</f>
        <v/>
      </c>
      <c r="CI602">
        <f>IFERROR(INDEX(PP_Grid[#Data],$DE602,84),0)</f>
        <v/>
      </c>
      <c r="CJ602">
        <f>IFERROR(INDEX(PP_Grid[#Data],$DE602,85),0)</f>
        <v/>
      </c>
      <c r="CK602">
        <f>IFERROR(INDEX(PP_Grid[#Data],$DE602,86),0)</f>
        <v/>
      </c>
      <c r="CL602">
        <f>IFERROR(INDEX(PP_Grid[#Data],$DE602,87),0)</f>
        <v/>
      </c>
      <c r="CM602">
        <f>IFERROR(INDEX(PP_Grid[#Data],$DE602,88),0)</f>
        <v/>
      </c>
      <c r="CN602">
        <f>IFERROR(INDEX(PP_Grid[#Data],$DE602,89),0)</f>
        <v/>
      </c>
      <c r="CO602">
        <f>IFERROR(INDEX(PP_Grid[#Data],$DE602,90),0)</f>
        <v/>
      </c>
      <c r="CP602">
        <f>IFERROR(INDEX(PP_Grid[#Data],$DE602,91),0)</f>
        <v/>
      </c>
      <c r="CQ602">
        <f>IFERROR(INDEX(PP_Grid[#Data],$DE602,92),0)</f>
        <v/>
      </c>
      <c r="CR602">
        <f>IFERROR(INDEX(PP_Grid[#Data],$DE602,93),0)</f>
        <v/>
      </c>
      <c r="CS602">
        <f>IFERROR(INDEX(PP_Grid[#Data],$DE602,94),0)</f>
        <v/>
      </c>
      <c r="CT602">
        <f>IFERROR(INDEX(PP_Grid[#Data],$DE602,95),0)</f>
        <v/>
      </c>
      <c r="CU602">
        <f>IFERROR(INDEX(PP_Grid[#Data],$DE602,96),0)</f>
        <v/>
      </c>
      <c r="CV602">
        <f>IFERROR(INDEX(PP_Grid[#Data],$DE602,97),0)</f>
        <v/>
      </c>
      <c r="CW602">
        <f>IFERROR(INDEX(PP_Grid[#Data],$DE602,98),0)</f>
        <v/>
      </c>
      <c r="CX602">
        <f>IFERROR(INDEX(PP_Grid[#Data],$DE602,99),0)</f>
        <v/>
      </c>
      <c r="CY602">
        <f>IFERROR(INDEX(PP_Grid[#Data],$DE602,100),0)</f>
        <v/>
      </c>
      <c r="CZ602">
        <f>IFERROR(INDEX(PP_Grid[#Data],$DE602,101),0)</f>
        <v/>
      </c>
      <c r="DA602">
        <f>IFERROR(INDEX(PP_Grid[#Data],$DE602,102),0)</f>
        <v/>
      </c>
      <c r="DB602">
        <f>IFERROR(INDEX(PP_Grid[#Data],$DE602,103),0)</f>
        <v/>
      </c>
      <c r="DC602">
        <f>IFERROR(INDEX(PP_Grid[#Data],$DE602,104),0)</f>
        <v/>
      </c>
      <c r="DD602">
        <f>IFERROR(INDEX(PP_Grid[#Data],$DE602,105),0)</f>
        <v/>
      </c>
      <c r="DE602" s="7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SUMIFS(M_BOM[RM_Qty_Per_Batch],M_BOM[Intermediate],$B602,M_BOM[RM_Code],$A497)</f>
        <v/>
      </c>
      <c r="D603">
        <f>IFERROR(INDEX(E603:DD603,$F$1),"")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  <c r="DD603">
        <f>$C603*DD602</f>
        <v/>
      </c>
    </row>
    <row r="604">
      <c r="B604" t="inlineStr">
        <is>
          <t>VSP-989</t>
        </is>
      </c>
      <c r="C604" t="inlineStr">
        <is>
          <t>No. of batches</t>
        </is>
      </c>
      <c r="D604">
        <f>IFERROR(INDEX(E604:DD604,$F$1),"")</f>
        <v/>
      </c>
      <c r="E604">
        <f>IFERROR(INDEX(PP_Grid[#Data],$DE604,2),0)</f>
        <v/>
      </c>
      <c r="F604">
        <f>IFERROR(INDEX(PP_Grid[#Data],$DE604,3),0)</f>
        <v/>
      </c>
      <c r="G604">
        <f>IFERROR(INDEX(PP_Grid[#Data],$DE604,4),0)</f>
        <v/>
      </c>
      <c r="H604">
        <f>IFERROR(INDEX(PP_Grid[#Data],$DE604,5),0)</f>
        <v/>
      </c>
      <c r="I604">
        <f>IFERROR(INDEX(PP_Grid[#Data],$DE604,6),0)</f>
        <v/>
      </c>
      <c r="J604">
        <f>IFERROR(INDEX(PP_Grid[#Data],$DE604,7),0)</f>
        <v/>
      </c>
      <c r="K604">
        <f>IFERROR(INDEX(PP_Grid[#Data],$DE604,8),0)</f>
        <v/>
      </c>
      <c r="L604">
        <f>IFERROR(INDEX(PP_Grid[#Data],$DE604,9),0)</f>
        <v/>
      </c>
      <c r="M604">
        <f>IFERROR(INDEX(PP_Grid[#Data],$DE604,10),0)</f>
        <v/>
      </c>
      <c r="N604">
        <f>IFERROR(INDEX(PP_Grid[#Data],$DE604,11),0)</f>
        <v/>
      </c>
      <c r="O604">
        <f>IFERROR(INDEX(PP_Grid[#Data],$DE604,12),0)</f>
        <v/>
      </c>
      <c r="P604">
        <f>IFERROR(INDEX(PP_Grid[#Data],$DE604,13),0)</f>
        <v/>
      </c>
      <c r="Q604">
        <f>IFERROR(INDEX(PP_Grid[#Data],$DE604,14),0)</f>
        <v/>
      </c>
      <c r="R604">
        <f>IFERROR(INDEX(PP_Grid[#Data],$DE604,15),0)</f>
        <v/>
      </c>
      <c r="S604">
        <f>IFERROR(INDEX(PP_Grid[#Data],$DE604,16),0)</f>
        <v/>
      </c>
      <c r="T604">
        <f>IFERROR(INDEX(PP_Grid[#Data],$DE604,17),0)</f>
        <v/>
      </c>
      <c r="U604">
        <f>IFERROR(INDEX(PP_Grid[#Data],$DE604,18),0)</f>
        <v/>
      </c>
      <c r="V604">
        <f>IFERROR(INDEX(PP_Grid[#Data],$DE604,19),0)</f>
        <v/>
      </c>
      <c r="W604">
        <f>IFERROR(INDEX(PP_Grid[#Data],$DE604,20),0)</f>
        <v/>
      </c>
      <c r="X604">
        <f>IFERROR(INDEX(PP_Grid[#Data],$DE604,21),0)</f>
        <v/>
      </c>
      <c r="Y604">
        <f>IFERROR(INDEX(PP_Grid[#Data],$DE604,22),0)</f>
        <v/>
      </c>
      <c r="Z604">
        <f>IFERROR(INDEX(PP_Grid[#Data],$DE604,23),0)</f>
        <v/>
      </c>
      <c r="AA604">
        <f>IFERROR(INDEX(PP_Grid[#Data],$DE604,24),0)</f>
        <v/>
      </c>
      <c r="AB604">
        <f>IFERROR(INDEX(PP_Grid[#Data],$DE604,25),0)</f>
        <v/>
      </c>
      <c r="AC604">
        <f>IFERROR(INDEX(PP_Grid[#Data],$DE604,26),0)</f>
        <v/>
      </c>
      <c r="AD604">
        <f>IFERROR(INDEX(PP_Grid[#Data],$DE604,27),0)</f>
        <v/>
      </c>
      <c r="AE604">
        <f>IFERROR(INDEX(PP_Grid[#Data],$DE604,28),0)</f>
        <v/>
      </c>
      <c r="AF604">
        <f>IFERROR(INDEX(PP_Grid[#Data],$DE604,29),0)</f>
        <v/>
      </c>
      <c r="AG604">
        <f>IFERROR(INDEX(PP_Grid[#Data],$DE604,30),0)</f>
        <v/>
      </c>
      <c r="AH604">
        <f>IFERROR(INDEX(PP_Grid[#Data],$DE604,31),0)</f>
        <v/>
      </c>
      <c r="AI604">
        <f>IFERROR(INDEX(PP_Grid[#Data],$DE604,32),0)</f>
        <v/>
      </c>
      <c r="AJ604">
        <f>IFERROR(INDEX(PP_Grid[#Data],$DE604,33),0)</f>
        <v/>
      </c>
      <c r="AK604">
        <f>IFERROR(INDEX(PP_Grid[#Data],$DE604,34),0)</f>
        <v/>
      </c>
      <c r="AL604">
        <f>IFERROR(INDEX(PP_Grid[#Data],$DE604,35),0)</f>
        <v/>
      </c>
      <c r="AM604">
        <f>IFERROR(INDEX(PP_Grid[#Data],$DE604,36),0)</f>
        <v/>
      </c>
      <c r="AN604">
        <f>IFERROR(INDEX(PP_Grid[#Data],$DE604,37),0)</f>
        <v/>
      </c>
      <c r="AO604">
        <f>IFERROR(INDEX(PP_Grid[#Data],$DE604,38),0)</f>
        <v/>
      </c>
      <c r="AP604">
        <f>IFERROR(INDEX(PP_Grid[#Data],$DE604,39),0)</f>
        <v/>
      </c>
      <c r="AQ604">
        <f>IFERROR(INDEX(PP_Grid[#Data],$DE604,40),0)</f>
        <v/>
      </c>
      <c r="AR604">
        <f>IFERROR(INDEX(PP_Grid[#Data],$DE604,41),0)</f>
        <v/>
      </c>
      <c r="AS604">
        <f>IFERROR(INDEX(PP_Grid[#Data],$DE604,42),0)</f>
        <v/>
      </c>
      <c r="AT604">
        <f>IFERROR(INDEX(PP_Grid[#Data],$DE604,43),0)</f>
        <v/>
      </c>
      <c r="AU604">
        <f>IFERROR(INDEX(PP_Grid[#Data],$DE604,44),0)</f>
        <v/>
      </c>
      <c r="AV604">
        <f>IFERROR(INDEX(PP_Grid[#Data],$DE604,45),0)</f>
        <v/>
      </c>
      <c r="AW604">
        <f>IFERROR(INDEX(PP_Grid[#Data],$DE604,46),0)</f>
        <v/>
      </c>
      <c r="AX604">
        <f>IFERROR(INDEX(PP_Grid[#Data],$DE604,47),0)</f>
        <v/>
      </c>
      <c r="AY604">
        <f>IFERROR(INDEX(PP_Grid[#Data],$DE604,48),0)</f>
        <v/>
      </c>
      <c r="AZ604">
        <f>IFERROR(INDEX(PP_Grid[#Data],$DE604,49),0)</f>
        <v/>
      </c>
      <c r="BA604">
        <f>IFERROR(INDEX(PP_Grid[#Data],$DE604,50),0)</f>
        <v/>
      </c>
      <c r="BB604">
        <f>IFERROR(INDEX(PP_Grid[#Data],$DE604,51),0)</f>
        <v/>
      </c>
      <c r="BC604">
        <f>IFERROR(INDEX(PP_Grid[#Data],$DE604,52),0)</f>
        <v/>
      </c>
      <c r="BD604">
        <f>IFERROR(INDEX(PP_Grid[#Data],$DE604,53),0)</f>
        <v/>
      </c>
      <c r="BE604">
        <f>IFERROR(INDEX(PP_Grid[#Data],$DE604,54),0)</f>
        <v/>
      </c>
      <c r="BF604">
        <f>IFERROR(INDEX(PP_Grid[#Data],$DE604,55),0)</f>
        <v/>
      </c>
      <c r="BG604">
        <f>IFERROR(INDEX(PP_Grid[#Data],$DE604,56),0)</f>
        <v/>
      </c>
      <c r="BH604">
        <f>IFERROR(INDEX(PP_Grid[#Data],$DE604,57),0)</f>
        <v/>
      </c>
      <c r="BI604">
        <f>IFERROR(INDEX(PP_Grid[#Data],$DE604,58),0)</f>
        <v/>
      </c>
      <c r="BJ604">
        <f>IFERROR(INDEX(PP_Grid[#Data],$DE604,59),0)</f>
        <v/>
      </c>
      <c r="BK604">
        <f>IFERROR(INDEX(PP_Grid[#Data],$DE604,60),0)</f>
        <v/>
      </c>
      <c r="BL604">
        <f>IFERROR(INDEX(PP_Grid[#Data],$DE604,61),0)</f>
        <v/>
      </c>
      <c r="BM604">
        <f>IFERROR(INDEX(PP_Grid[#Data],$DE604,62),0)</f>
        <v/>
      </c>
      <c r="BN604">
        <f>IFERROR(INDEX(PP_Grid[#Data],$DE604,63),0)</f>
        <v/>
      </c>
      <c r="BO604">
        <f>IFERROR(INDEX(PP_Grid[#Data],$DE604,64),0)</f>
        <v/>
      </c>
      <c r="BP604">
        <f>IFERROR(INDEX(PP_Grid[#Data],$DE604,65),0)</f>
        <v/>
      </c>
      <c r="BQ604">
        <f>IFERROR(INDEX(PP_Grid[#Data],$DE604,66),0)</f>
        <v/>
      </c>
      <c r="BR604">
        <f>IFERROR(INDEX(PP_Grid[#Data],$DE604,67),0)</f>
        <v/>
      </c>
      <c r="BS604">
        <f>IFERROR(INDEX(PP_Grid[#Data],$DE604,68),0)</f>
        <v/>
      </c>
      <c r="BT604">
        <f>IFERROR(INDEX(PP_Grid[#Data],$DE604,69),0)</f>
        <v/>
      </c>
      <c r="BU604">
        <f>IFERROR(INDEX(PP_Grid[#Data],$DE604,70),0)</f>
        <v/>
      </c>
      <c r="BV604">
        <f>IFERROR(INDEX(PP_Grid[#Data],$DE604,71),0)</f>
        <v/>
      </c>
      <c r="BW604">
        <f>IFERROR(INDEX(PP_Grid[#Data],$DE604,72),0)</f>
        <v/>
      </c>
      <c r="BX604">
        <f>IFERROR(INDEX(PP_Grid[#Data],$DE604,73),0)</f>
        <v/>
      </c>
      <c r="BY604">
        <f>IFERROR(INDEX(PP_Grid[#Data],$DE604,74),0)</f>
        <v/>
      </c>
      <c r="BZ604">
        <f>IFERROR(INDEX(PP_Grid[#Data],$DE604,75),0)</f>
        <v/>
      </c>
      <c r="CA604">
        <f>IFERROR(INDEX(PP_Grid[#Data],$DE604,76),0)</f>
        <v/>
      </c>
      <c r="CB604">
        <f>IFERROR(INDEX(PP_Grid[#Data],$DE604,77),0)</f>
        <v/>
      </c>
      <c r="CC604">
        <f>IFERROR(INDEX(PP_Grid[#Data],$DE604,78),0)</f>
        <v/>
      </c>
      <c r="CD604">
        <f>IFERROR(INDEX(PP_Grid[#Data],$DE604,79),0)</f>
        <v/>
      </c>
      <c r="CE604">
        <f>IFERROR(INDEX(PP_Grid[#Data],$DE604,80),0)</f>
        <v/>
      </c>
      <c r="CF604">
        <f>IFERROR(INDEX(PP_Grid[#Data],$DE604,81),0)</f>
        <v/>
      </c>
      <c r="CG604">
        <f>IFERROR(INDEX(PP_Grid[#Data],$DE604,82),0)</f>
        <v/>
      </c>
      <c r="CH604">
        <f>IFERROR(INDEX(PP_Grid[#Data],$DE604,83),0)</f>
        <v/>
      </c>
      <c r="CI604">
        <f>IFERROR(INDEX(PP_Grid[#Data],$DE604,84),0)</f>
        <v/>
      </c>
      <c r="CJ604">
        <f>IFERROR(INDEX(PP_Grid[#Data],$DE604,85),0)</f>
        <v/>
      </c>
      <c r="CK604">
        <f>IFERROR(INDEX(PP_Grid[#Data],$DE604,86),0)</f>
        <v/>
      </c>
      <c r="CL604">
        <f>IFERROR(INDEX(PP_Grid[#Data],$DE604,87),0)</f>
        <v/>
      </c>
      <c r="CM604">
        <f>IFERROR(INDEX(PP_Grid[#Data],$DE604,88),0)</f>
        <v/>
      </c>
      <c r="CN604">
        <f>IFERROR(INDEX(PP_Grid[#Data],$DE604,89),0)</f>
        <v/>
      </c>
      <c r="CO604">
        <f>IFERROR(INDEX(PP_Grid[#Data],$DE604,90),0)</f>
        <v/>
      </c>
      <c r="CP604">
        <f>IFERROR(INDEX(PP_Grid[#Data],$DE604,91),0)</f>
        <v/>
      </c>
      <c r="CQ604">
        <f>IFERROR(INDEX(PP_Grid[#Data],$DE604,92),0)</f>
        <v/>
      </c>
      <c r="CR604">
        <f>IFERROR(INDEX(PP_Grid[#Data],$DE604,93),0)</f>
        <v/>
      </c>
      <c r="CS604">
        <f>IFERROR(INDEX(PP_Grid[#Data],$DE604,94),0)</f>
        <v/>
      </c>
      <c r="CT604">
        <f>IFERROR(INDEX(PP_Grid[#Data],$DE604,95),0)</f>
        <v/>
      </c>
      <c r="CU604">
        <f>IFERROR(INDEX(PP_Grid[#Data],$DE604,96),0)</f>
        <v/>
      </c>
      <c r="CV604">
        <f>IFERROR(INDEX(PP_Grid[#Data],$DE604,97),0)</f>
        <v/>
      </c>
      <c r="CW604">
        <f>IFERROR(INDEX(PP_Grid[#Data],$DE604,98),0)</f>
        <v/>
      </c>
      <c r="CX604">
        <f>IFERROR(INDEX(PP_Grid[#Data],$DE604,99),0)</f>
        <v/>
      </c>
      <c r="CY604">
        <f>IFERROR(INDEX(PP_Grid[#Data],$DE604,100),0)</f>
        <v/>
      </c>
      <c r="CZ604">
        <f>IFERROR(INDEX(PP_Grid[#Data],$DE604,101),0)</f>
        <v/>
      </c>
      <c r="DA604">
        <f>IFERROR(INDEX(PP_Grid[#Data],$DE604,102),0)</f>
        <v/>
      </c>
      <c r="DB604">
        <f>IFERROR(INDEX(PP_Grid[#Data],$DE604,103),0)</f>
        <v/>
      </c>
      <c r="DC604">
        <f>IFERROR(INDEX(PP_Grid[#Data],$DE604,104),0)</f>
        <v/>
      </c>
      <c r="DD604">
        <f>IFERROR(INDEX(PP_Grid[#Data],$DE604,105),0)</f>
        <v/>
      </c>
      <c r="DE604" s="7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SUMIFS(M_BOM[RM_Qty_Per_Batch],M_BOM[Intermediate],$B604,M_BOM[RM_Code],$A497)</f>
        <v/>
      </c>
      <c r="D605">
        <f>IFERROR(INDEX(E605:DD605,$F$1),"")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  <c r="DD605">
        <f>$C605*DD604</f>
        <v/>
      </c>
    </row>
    <row r="606">
      <c r="B606" t="inlineStr">
        <is>
          <t>VSP-990</t>
        </is>
      </c>
      <c r="C606" t="inlineStr">
        <is>
          <t>No. of batches</t>
        </is>
      </c>
      <c r="D606">
        <f>IFERROR(INDEX(E606:DD606,$F$1),"")</f>
        <v/>
      </c>
      <c r="E606">
        <f>IFERROR(INDEX(PP_Grid[#Data],$DE606,2),0)</f>
        <v/>
      </c>
      <c r="F606">
        <f>IFERROR(INDEX(PP_Grid[#Data],$DE606,3),0)</f>
        <v/>
      </c>
      <c r="G606">
        <f>IFERROR(INDEX(PP_Grid[#Data],$DE606,4),0)</f>
        <v/>
      </c>
      <c r="H606">
        <f>IFERROR(INDEX(PP_Grid[#Data],$DE606,5),0)</f>
        <v/>
      </c>
      <c r="I606">
        <f>IFERROR(INDEX(PP_Grid[#Data],$DE606,6),0)</f>
        <v/>
      </c>
      <c r="J606">
        <f>IFERROR(INDEX(PP_Grid[#Data],$DE606,7),0)</f>
        <v/>
      </c>
      <c r="K606">
        <f>IFERROR(INDEX(PP_Grid[#Data],$DE606,8),0)</f>
        <v/>
      </c>
      <c r="L606">
        <f>IFERROR(INDEX(PP_Grid[#Data],$DE606,9),0)</f>
        <v/>
      </c>
      <c r="M606">
        <f>IFERROR(INDEX(PP_Grid[#Data],$DE606,10),0)</f>
        <v/>
      </c>
      <c r="N606">
        <f>IFERROR(INDEX(PP_Grid[#Data],$DE606,11),0)</f>
        <v/>
      </c>
      <c r="O606">
        <f>IFERROR(INDEX(PP_Grid[#Data],$DE606,12),0)</f>
        <v/>
      </c>
      <c r="P606">
        <f>IFERROR(INDEX(PP_Grid[#Data],$DE606,13),0)</f>
        <v/>
      </c>
      <c r="Q606">
        <f>IFERROR(INDEX(PP_Grid[#Data],$DE606,14),0)</f>
        <v/>
      </c>
      <c r="R606">
        <f>IFERROR(INDEX(PP_Grid[#Data],$DE606,15),0)</f>
        <v/>
      </c>
      <c r="S606">
        <f>IFERROR(INDEX(PP_Grid[#Data],$DE606,16),0)</f>
        <v/>
      </c>
      <c r="T606">
        <f>IFERROR(INDEX(PP_Grid[#Data],$DE606,17),0)</f>
        <v/>
      </c>
      <c r="U606">
        <f>IFERROR(INDEX(PP_Grid[#Data],$DE606,18),0)</f>
        <v/>
      </c>
      <c r="V606">
        <f>IFERROR(INDEX(PP_Grid[#Data],$DE606,19),0)</f>
        <v/>
      </c>
      <c r="W606">
        <f>IFERROR(INDEX(PP_Grid[#Data],$DE606,20),0)</f>
        <v/>
      </c>
      <c r="X606">
        <f>IFERROR(INDEX(PP_Grid[#Data],$DE606,21),0)</f>
        <v/>
      </c>
      <c r="Y606">
        <f>IFERROR(INDEX(PP_Grid[#Data],$DE606,22),0)</f>
        <v/>
      </c>
      <c r="Z606">
        <f>IFERROR(INDEX(PP_Grid[#Data],$DE606,23),0)</f>
        <v/>
      </c>
      <c r="AA606">
        <f>IFERROR(INDEX(PP_Grid[#Data],$DE606,24),0)</f>
        <v/>
      </c>
      <c r="AB606">
        <f>IFERROR(INDEX(PP_Grid[#Data],$DE606,25),0)</f>
        <v/>
      </c>
      <c r="AC606">
        <f>IFERROR(INDEX(PP_Grid[#Data],$DE606,26),0)</f>
        <v/>
      </c>
      <c r="AD606">
        <f>IFERROR(INDEX(PP_Grid[#Data],$DE606,27),0)</f>
        <v/>
      </c>
      <c r="AE606">
        <f>IFERROR(INDEX(PP_Grid[#Data],$DE606,28),0)</f>
        <v/>
      </c>
      <c r="AF606">
        <f>IFERROR(INDEX(PP_Grid[#Data],$DE606,29),0)</f>
        <v/>
      </c>
      <c r="AG606">
        <f>IFERROR(INDEX(PP_Grid[#Data],$DE606,30),0)</f>
        <v/>
      </c>
      <c r="AH606">
        <f>IFERROR(INDEX(PP_Grid[#Data],$DE606,31),0)</f>
        <v/>
      </c>
      <c r="AI606">
        <f>IFERROR(INDEX(PP_Grid[#Data],$DE606,32),0)</f>
        <v/>
      </c>
      <c r="AJ606">
        <f>IFERROR(INDEX(PP_Grid[#Data],$DE606,33),0)</f>
        <v/>
      </c>
      <c r="AK606">
        <f>IFERROR(INDEX(PP_Grid[#Data],$DE606,34),0)</f>
        <v/>
      </c>
      <c r="AL606">
        <f>IFERROR(INDEX(PP_Grid[#Data],$DE606,35),0)</f>
        <v/>
      </c>
      <c r="AM606">
        <f>IFERROR(INDEX(PP_Grid[#Data],$DE606,36),0)</f>
        <v/>
      </c>
      <c r="AN606">
        <f>IFERROR(INDEX(PP_Grid[#Data],$DE606,37),0)</f>
        <v/>
      </c>
      <c r="AO606">
        <f>IFERROR(INDEX(PP_Grid[#Data],$DE606,38),0)</f>
        <v/>
      </c>
      <c r="AP606">
        <f>IFERROR(INDEX(PP_Grid[#Data],$DE606,39),0)</f>
        <v/>
      </c>
      <c r="AQ606">
        <f>IFERROR(INDEX(PP_Grid[#Data],$DE606,40),0)</f>
        <v/>
      </c>
      <c r="AR606">
        <f>IFERROR(INDEX(PP_Grid[#Data],$DE606,41),0)</f>
        <v/>
      </c>
      <c r="AS606">
        <f>IFERROR(INDEX(PP_Grid[#Data],$DE606,42),0)</f>
        <v/>
      </c>
      <c r="AT606">
        <f>IFERROR(INDEX(PP_Grid[#Data],$DE606,43),0)</f>
        <v/>
      </c>
      <c r="AU606">
        <f>IFERROR(INDEX(PP_Grid[#Data],$DE606,44),0)</f>
        <v/>
      </c>
      <c r="AV606">
        <f>IFERROR(INDEX(PP_Grid[#Data],$DE606,45),0)</f>
        <v/>
      </c>
      <c r="AW606">
        <f>IFERROR(INDEX(PP_Grid[#Data],$DE606,46),0)</f>
        <v/>
      </c>
      <c r="AX606">
        <f>IFERROR(INDEX(PP_Grid[#Data],$DE606,47),0)</f>
        <v/>
      </c>
      <c r="AY606">
        <f>IFERROR(INDEX(PP_Grid[#Data],$DE606,48),0)</f>
        <v/>
      </c>
      <c r="AZ606">
        <f>IFERROR(INDEX(PP_Grid[#Data],$DE606,49),0)</f>
        <v/>
      </c>
      <c r="BA606">
        <f>IFERROR(INDEX(PP_Grid[#Data],$DE606,50),0)</f>
        <v/>
      </c>
      <c r="BB606">
        <f>IFERROR(INDEX(PP_Grid[#Data],$DE606,51),0)</f>
        <v/>
      </c>
      <c r="BC606">
        <f>IFERROR(INDEX(PP_Grid[#Data],$DE606,52),0)</f>
        <v/>
      </c>
      <c r="BD606">
        <f>IFERROR(INDEX(PP_Grid[#Data],$DE606,53),0)</f>
        <v/>
      </c>
      <c r="BE606">
        <f>IFERROR(INDEX(PP_Grid[#Data],$DE606,54),0)</f>
        <v/>
      </c>
      <c r="BF606">
        <f>IFERROR(INDEX(PP_Grid[#Data],$DE606,55),0)</f>
        <v/>
      </c>
      <c r="BG606">
        <f>IFERROR(INDEX(PP_Grid[#Data],$DE606,56),0)</f>
        <v/>
      </c>
      <c r="BH606">
        <f>IFERROR(INDEX(PP_Grid[#Data],$DE606,57),0)</f>
        <v/>
      </c>
      <c r="BI606">
        <f>IFERROR(INDEX(PP_Grid[#Data],$DE606,58),0)</f>
        <v/>
      </c>
      <c r="BJ606">
        <f>IFERROR(INDEX(PP_Grid[#Data],$DE606,59),0)</f>
        <v/>
      </c>
      <c r="BK606">
        <f>IFERROR(INDEX(PP_Grid[#Data],$DE606,60),0)</f>
        <v/>
      </c>
      <c r="BL606">
        <f>IFERROR(INDEX(PP_Grid[#Data],$DE606,61),0)</f>
        <v/>
      </c>
      <c r="BM606">
        <f>IFERROR(INDEX(PP_Grid[#Data],$DE606,62),0)</f>
        <v/>
      </c>
      <c r="BN606">
        <f>IFERROR(INDEX(PP_Grid[#Data],$DE606,63),0)</f>
        <v/>
      </c>
      <c r="BO606">
        <f>IFERROR(INDEX(PP_Grid[#Data],$DE606,64),0)</f>
        <v/>
      </c>
      <c r="BP606">
        <f>IFERROR(INDEX(PP_Grid[#Data],$DE606,65),0)</f>
        <v/>
      </c>
      <c r="BQ606">
        <f>IFERROR(INDEX(PP_Grid[#Data],$DE606,66),0)</f>
        <v/>
      </c>
      <c r="BR606">
        <f>IFERROR(INDEX(PP_Grid[#Data],$DE606,67),0)</f>
        <v/>
      </c>
      <c r="BS606">
        <f>IFERROR(INDEX(PP_Grid[#Data],$DE606,68),0)</f>
        <v/>
      </c>
      <c r="BT606">
        <f>IFERROR(INDEX(PP_Grid[#Data],$DE606,69),0)</f>
        <v/>
      </c>
      <c r="BU606">
        <f>IFERROR(INDEX(PP_Grid[#Data],$DE606,70),0)</f>
        <v/>
      </c>
      <c r="BV606">
        <f>IFERROR(INDEX(PP_Grid[#Data],$DE606,71),0)</f>
        <v/>
      </c>
      <c r="BW606">
        <f>IFERROR(INDEX(PP_Grid[#Data],$DE606,72),0)</f>
        <v/>
      </c>
      <c r="BX606">
        <f>IFERROR(INDEX(PP_Grid[#Data],$DE606,73),0)</f>
        <v/>
      </c>
      <c r="BY606">
        <f>IFERROR(INDEX(PP_Grid[#Data],$DE606,74),0)</f>
        <v/>
      </c>
      <c r="BZ606">
        <f>IFERROR(INDEX(PP_Grid[#Data],$DE606,75),0)</f>
        <v/>
      </c>
      <c r="CA606">
        <f>IFERROR(INDEX(PP_Grid[#Data],$DE606,76),0)</f>
        <v/>
      </c>
      <c r="CB606">
        <f>IFERROR(INDEX(PP_Grid[#Data],$DE606,77),0)</f>
        <v/>
      </c>
      <c r="CC606">
        <f>IFERROR(INDEX(PP_Grid[#Data],$DE606,78),0)</f>
        <v/>
      </c>
      <c r="CD606">
        <f>IFERROR(INDEX(PP_Grid[#Data],$DE606,79),0)</f>
        <v/>
      </c>
      <c r="CE606">
        <f>IFERROR(INDEX(PP_Grid[#Data],$DE606,80),0)</f>
        <v/>
      </c>
      <c r="CF606">
        <f>IFERROR(INDEX(PP_Grid[#Data],$DE606,81),0)</f>
        <v/>
      </c>
      <c r="CG606">
        <f>IFERROR(INDEX(PP_Grid[#Data],$DE606,82),0)</f>
        <v/>
      </c>
      <c r="CH606">
        <f>IFERROR(INDEX(PP_Grid[#Data],$DE606,83),0)</f>
        <v/>
      </c>
      <c r="CI606">
        <f>IFERROR(INDEX(PP_Grid[#Data],$DE606,84),0)</f>
        <v/>
      </c>
      <c r="CJ606">
        <f>IFERROR(INDEX(PP_Grid[#Data],$DE606,85),0)</f>
        <v/>
      </c>
      <c r="CK606">
        <f>IFERROR(INDEX(PP_Grid[#Data],$DE606,86),0)</f>
        <v/>
      </c>
      <c r="CL606">
        <f>IFERROR(INDEX(PP_Grid[#Data],$DE606,87),0)</f>
        <v/>
      </c>
      <c r="CM606">
        <f>IFERROR(INDEX(PP_Grid[#Data],$DE606,88),0)</f>
        <v/>
      </c>
      <c r="CN606">
        <f>IFERROR(INDEX(PP_Grid[#Data],$DE606,89),0)</f>
        <v/>
      </c>
      <c r="CO606">
        <f>IFERROR(INDEX(PP_Grid[#Data],$DE606,90),0)</f>
        <v/>
      </c>
      <c r="CP606">
        <f>IFERROR(INDEX(PP_Grid[#Data],$DE606,91),0)</f>
        <v/>
      </c>
      <c r="CQ606">
        <f>IFERROR(INDEX(PP_Grid[#Data],$DE606,92),0)</f>
        <v/>
      </c>
      <c r="CR606">
        <f>IFERROR(INDEX(PP_Grid[#Data],$DE606,93),0)</f>
        <v/>
      </c>
      <c r="CS606">
        <f>IFERROR(INDEX(PP_Grid[#Data],$DE606,94),0)</f>
        <v/>
      </c>
      <c r="CT606">
        <f>IFERROR(INDEX(PP_Grid[#Data],$DE606,95),0)</f>
        <v/>
      </c>
      <c r="CU606">
        <f>IFERROR(INDEX(PP_Grid[#Data],$DE606,96),0)</f>
        <v/>
      </c>
      <c r="CV606">
        <f>IFERROR(INDEX(PP_Grid[#Data],$DE606,97),0)</f>
        <v/>
      </c>
      <c r="CW606">
        <f>IFERROR(INDEX(PP_Grid[#Data],$DE606,98),0)</f>
        <v/>
      </c>
      <c r="CX606">
        <f>IFERROR(INDEX(PP_Grid[#Data],$DE606,99),0)</f>
        <v/>
      </c>
      <c r="CY606">
        <f>IFERROR(INDEX(PP_Grid[#Data],$DE606,100),0)</f>
        <v/>
      </c>
      <c r="CZ606">
        <f>IFERROR(INDEX(PP_Grid[#Data],$DE606,101),0)</f>
        <v/>
      </c>
      <c r="DA606">
        <f>IFERROR(INDEX(PP_Grid[#Data],$DE606,102),0)</f>
        <v/>
      </c>
      <c r="DB606">
        <f>IFERROR(INDEX(PP_Grid[#Data],$DE606,103),0)</f>
        <v/>
      </c>
      <c r="DC606">
        <f>IFERROR(INDEX(PP_Grid[#Data],$DE606,104),0)</f>
        <v/>
      </c>
      <c r="DD606">
        <f>IFERROR(INDEX(PP_Grid[#Data],$DE606,105),0)</f>
        <v/>
      </c>
      <c r="DE606" s="7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SUMIFS(M_BOM[RM_Qty_Per_Batch],M_BOM[Intermediate],$B606,M_BOM[RM_Code],$A497)</f>
        <v/>
      </c>
      <c r="D607">
        <f>IFERROR(INDEX(E607:DD607,$F$1),"")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  <c r="DD607">
        <f>$C607*DD606</f>
        <v/>
      </c>
    </row>
    <row r="608">
      <c r="B608" t="inlineStr">
        <is>
          <t>VSZ-745</t>
        </is>
      </c>
      <c r="C608" t="inlineStr">
        <is>
          <t>No. of batches</t>
        </is>
      </c>
      <c r="D608">
        <f>IFERROR(INDEX(E608:DD608,$F$1),"")</f>
        <v/>
      </c>
      <c r="E608">
        <f>IFERROR(INDEX(PP_Grid[#Data],$DE608,2),0)</f>
        <v/>
      </c>
      <c r="F608">
        <f>IFERROR(INDEX(PP_Grid[#Data],$DE608,3),0)</f>
        <v/>
      </c>
      <c r="G608">
        <f>IFERROR(INDEX(PP_Grid[#Data],$DE608,4),0)</f>
        <v/>
      </c>
      <c r="H608">
        <f>IFERROR(INDEX(PP_Grid[#Data],$DE608,5),0)</f>
        <v/>
      </c>
      <c r="I608">
        <f>IFERROR(INDEX(PP_Grid[#Data],$DE608,6),0)</f>
        <v/>
      </c>
      <c r="J608">
        <f>IFERROR(INDEX(PP_Grid[#Data],$DE608,7),0)</f>
        <v/>
      </c>
      <c r="K608">
        <f>IFERROR(INDEX(PP_Grid[#Data],$DE608,8),0)</f>
        <v/>
      </c>
      <c r="L608">
        <f>IFERROR(INDEX(PP_Grid[#Data],$DE608,9),0)</f>
        <v/>
      </c>
      <c r="M608">
        <f>IFERROR(INDEX(PP_Grid[#Data],$DE608,10),0)</f>
        <v/>
      </c>
      <c r="N608">
        <f>IFERROR(INDEX(PP_Grid[#Data],$DE608,11),0)</f>
        <v/>
      </c>
      <c r="O608">
        <f>IFERROR(INDEX(PP_Grid[#Data],$DE608,12),0)</f>
        <v/>
      </c>
      <c r="P608">
        <f>IFERROR(INDEX(PP_Grid[#Data],$DE608,13),0)</f>
        <v/>
      </c>
      <c r="Q608">
        <f>IFERROR(INDEX(PP_Grid[#Data],$DE608,14),0)</f>
        <v/>
      </c>
      <c r="R608">
        <f>IFERROR(INDEX(PP_Grid[#Data],$DE608,15),0)</f>
        <v/>
      </c>
      <c r="S608">
        <f>IFERROR(INDEX(PP_Grid[#Data],$DE608,16),0)</f>
        <v/>
      </c>
      <c r="T608">
        <f>IFERROR(INDEX(PP_Grid[#Data],$DE608,17),0)</f>
        <v/>
      </c>
      <c r="U608">
        <f>IFERROR(INDEX(PP_Grid[#Data],$DE608,18),0)</f>
        <v/>
      </c>
      <c r="V608">
        <f>IFERROR(INDEX(PP_Grid[#Data],$DE608,19),0)</f>
        <v/>
      </c>
      <c r="W608">
        <f>IFERROR(INDEX(PP_Grid[#Data],$DE608,20),0)</f>
        <v/>
      </c>
      <c r="X608">
        <f>IFERROR(INDEX(PP_Grid[#Data],$DE608,21),0)</f>
        <v/>
      </c>
      <c r="Y608">
        <f>IFERROR(INDEX(PP_Grid[#Data],$DE608,22),0)</f>
        <v/>
      </c>
      <c r="Z608">
        <f>IFERROR(INDEX(PP_Grid[#Data],$DE608,23),0)</f>
        <v/>
      </c>
      <c r="AA608">
        <f>IFERROR(INDEX(PP_Grid[#Data],$DE608,24),0)</f>
        <v/>
      </c>
      <c r="AB608">
        <f>IFERROR(INDEX(PP_Grid[#Data],$DE608,25),0)</f>
        <v/>
      </c>
      <c r="AC608">
        <f>IFERROR(INDEX(PP_Grid[#Data],$DE608,26),0)</f>
        <v/>
      </c>
      <c r="AD608">
        <f>IFERROR(INDEX(PP_Grid[#Data],$DE608,27),0)</f>
        <v/>
      </c>
      <c r="AE608">
        <f>IFERROR(INDEX(PP_Grid[#Data],$DE608,28),0)</f>
        <v/>
      </c>
      <c r="AF608">
        <f>IFERROR(INDEX(PP_Grid[#Data],$DE608,29),0)</f>
        <v/>
      </c>
      <c r="AG608">
        <f>IFERROR(INDEX(PP_Grid[#Data],$DE608,30),0)</f>
        <v/>
      </c>
      <c r="AH608">
        <f>IFERROR(INDEX(PP_Grid[#Data],$DE608,31),0)</f>
        <v/>
      </c>
      <c r="AI608">
        <f>IFERROR(INDEX(PP_Grid[#Data],$DE608,32),0)</f>
        <v/>
      </c>
      <c r="AJ608">
        <f>IFERROR(INDEX(PP_Grid[#Data],$DE608,33),0)</f>
        <v/>
      </c>
      <c r="AK608">
        <f>IFERROR(INDEX(PP_Grid[#Data],$DE608,34),0)</f>
        <v/>
      </c>
      <c r="AL608">
        <f>IFERROR(INDEX(PP_Grid[#Data],$DE608,35),0)</f>
        <v/>
      </c>
      <c r="AM608">
        <f>IFERROR(INDEX(PP_Grid[#Data],$DE608,36),0)</f>
        <v/>
      </c>
      <c r="AN608">
        <f>IFERROR(INDEX(PP_Grid[#Data],$DE608,37),0)</f>
        <v/>
      </c>
      <c r="AO608">
        <f>IFERROR(INDEX(PP_Grid[#Data],$DE608,38),0)</f>
        <v/>
      </c>
      <c r="AP608">
        <f>IFERROR(INDEX(PP_Grid[#Data],$DE608,39),0)</f>
        <v/>
      </c>
      <c r="AQ608">
        <f>IFERROR(INDEX(PP_Grid[#Data],$DE608,40),0)</f>
        <v/>
      </c>
      <c r="AR608">
        <f>IFERROR(INDEX(PP_Grid[#Data],$DE608,41),0)</f>
        <v/>
      </c>
      <c r="AS608">
        <f>IFERROR(INDEX(PP_Grid[#Data],$DE608,42),0)</f>
        <v/>
      </c>
      <c r="AT608">
        <f>IFERROR(INDEX(PP_Grid[#Data],$DE608,43),0)</f>
        <v/>
      </c>
      <c r="AU608">
        <f>IFERROR(INDEX(PP_Grid[#Data],$DE608,44),0)</f>
        <v/>
      </c>
      <c r="AV608">
        <f>IFERROR(INDEX(PP_Grid[#Data],$DE608,45),0)</f>
        <v/>
      </c>
      <c r="AW608">
        <f>IFERROR(INDEX(PP_Grid[#Data],$DE608,46),0)</f>
        <v/>
      </c>
      <c r="AX608">
        <f>IFERROR(INDEX(PP_Grid[#Data],$DE608,47),0)</f>
        <v/>
      </c>
      <c r="AY608">
        <f>IFERROR(INDEX(PP_Grid[#Data],$DE608,48),0)</f>
        <v/>
      </c>
      <c r="AZ608">
        <f>IFERROR(INDEX(PP_Grid[#Data],$DE608,49),0)</f>
        <v/>
      </c>
      <c r="BA608">
        <f>IFERROR(INDEX(PP_Grid[#Data],$DE608,50),0)</f>
        <v/>
      </c>
      <c r="BB608">
        <f>IFERROR(INDEX(PP_Grid[#Data],$DE608,51),0)</f>
        <v/>
      </c>
      <c r="BC608">
        <f>IFERROR(INDEX(PP_Grid[#Data],$DE608,52),0)</f>
        <v/>
      </c>
      <c r="BD608">
        <f>IFERROR(INDEX(PP_Grid[#Data],$DE608,53),0)</f>
        <v/>
      </c>
      <c r="BE608">
        <f>IFERROR(INDEX(PP_Grid[#Data],$DE608,54),0)</f>
        <v/>
      </c>
      <c r="BF608">
        <f>IFERROR(INDEX(PP_Grid[#Data],$DE608,55),0)</f>
        <v/>
      </c>
      <c r="BG608">
        <f>IFERROR(INDEX(PP_Grid[#Data],$DE608,56),0)</f>
        <v/>
      </c>
      <c r="BH608">
        <f>IFERROR(INDEX(PP_Grid[#Data],$DE608,57),0)</f>
        <v/>
      </c>
      <c r="BI608">
        <f>IFERROR(INDEX(PP_Grid[#Data],$DE608,58),0)</f>
        <v/>
      </c>
      <c r="BJ608">
        <f>IFERROR(INDEX(PP_Grid[#Data],$DE608,59),0)</f>
        <v/>
      </c>
      <c r="BK608">
        <f>IFERROR(INDEX(PP_Grid[#Data],$DE608,60),0)</f>
        <v/>
      </c>
      <c r="BL608">
        <f>IFERROR(INDEX(PP_Grid[#Data],$DE608,61),0)</f>
        <v/>
      </c>
      <c r="BM608">
        <f>IFERROR(INDEX(PP_Grid[#Data],$DE608,62),0)</f>
        <v/>
      </c>
      <c r="BN608">
        <f>IFERROR(INDEX(PP_Grid[#Data],$DE608,63),0)</f>
        <v/>
      </c>
      <c r="BO608">
        <f>IFERROR(INDEX(PP_Grid[#Data],$DE608,64),0)</f>
        <v/>
      </c>
      <c r="BP608">
        <f>IFERROR(INDEX(PP_Grid[#Data],$DE608,65),0)</f>
        <v/>
      </c>
      <c r="BQ608">
        <f>IFERROR(INDEX(PP_Grid[#Data],$DE608,66),0)</f>
        <v/>
      </c>
      <c r="BR608">
        <f>IFERROR(INDEX(PP_Grid[#Data],$DE608,67),0)</f>
        <v/>
      </c>
      <c r="BS608">
        <f>IFERROR(INDEX(PP_Grid[#Data],$DE608,68),0)</f>
        <v/>
      </c>
      <c r="BT608">
        <f>IFERROR(INDEX(PP_Grid[#Data],$DE608,69),0)</f>
        <v/>
      </c>
      <c r="BU608">
        <f>IFERROR(INDEX(PP_Grid[#Data],$DE608,70),0)</f>
        <v/>
      </c>
      <c r="BV608">
        <f>IFERROR(INDEX(PP_Grid[#Data],$DE608,71),0)</f>
        <v/>
      </c>
      <c r="BW608">
        <f>IFERROR(INDEX(PP_Grid[#Data],$DE608,72),0)</f>
        <v/>
      </c>
      <c r="BX608">
        <f>IFERROR(INDEX(PP_Grid[#Data],$DE608,73),0)</f>
        <v/>
      </c>
      <c r="BY608">
        <f>IFERROR(INDEX(PP_Grid[#Data],$DE608,74),0)</f>
        <v/>
      </c>
      <c r="BZ608">
        <f>IFERROR(INDEX(PP_Grid[#Data],$DE608,75),0)</f>
        <v/>
      </c>
      <c r="CA608">
        <f>IFERROR(INDEX(PP_Grid[#Data],$DE608,76),0)</f>
        <v/>
      </c>
      <c r="CB608">
        <f>IFERROR(INDEX(PP_Grid[#Data],$DE608,77),0)</f>
        <v/>
      </c>
      <c r="CC608">
        <f>IFERROR(INDEX(PP_Grid[#Data],$DE608,78),0)</f>
        <v/>
      </c>
      <c r="CD608">
        <f>IFERROR(INDEX(PP_Grid[#Data],$DE608,79),0)</f>
        <v/>
      </c>
      <c r="CE608">
        <f>IFERROR(INDEX(PP_Grid[#Data],$DE608,80),0)</f>
        <v/>
      </c>
      <c r="CF608">
        <f>IFERROR(INDEX(PP_Grid[#Data],$DE608,81),0)</f>
        <v/>
      </c>
      <c r="CG608">
        <f>IFERROR(INDEX(PP_Grid[#Data],$DE608,82),0)</f>
        <v/>
      </c>
      <c r="CH608">
        <f>IFERROR(INDEX(PP_Grid[#Data],$DE608,83),0)</f>
        <v/>
      </c>
      <c r="CI608">
        <f>IFERROR(INDEX(PP_Grid[#Data],$DE608,84),0)</f>
        <v/>
      </c>
      <c r="CJ608">
        <f>IFERROR(INDEX(PP_Grid[#Data],$DE608,85),0)</f>
        <v/>
      </c>
      <c r="CK608">
        <f>IFERROR(INDEX(PP_Grid[#Data],$DE608,86),0)</f>
        <v/>
      </c>
      <c r="CL608">
        <f>IFERROR(INDEX(PP_Grid[#Data],$DE608,87),0)</f>
        <v/>
      </c>
      <c r="CM608">
        <f>IFERROR(INDEX(PP_Grid[#Data],$DE608,88),0)</f>
        <v/>
      </c>
      <c r="CN608">
        <f>IFERROR(INDEX(PP_Grid[#Data],$DE608,89),0)</f>
        <v/>
      </c>
      <c r="CO608">
        <f>IFERROR(INDEX(PP_Grid[#Data],$DE608,90),0)</f>
        <v/>
      </c>
      <c r="CP608">
        <f>IFERROR(INDEX(PP_Grid[#Data],$DE608,91),0)</f>
        <v/>
      </c>
      <c r="CQ608">
        <f>IFERROR(INDEX(PP_Grid[#Data],$DE608,92),0)</f>
        <v/>
      </c>
      <c r="CR608">
        <f>IFERROR(INDEX(PP_Grid[#Data],$DE608,93),0)</f>
        <v/>
      </c>
      <c r="CS608">
        <f>IFERROR(INDEX(PP_Grid[#Data],$DE608,94),0)</f>
        <v/>
      </c>
      <c r="CT608">
        <f>IFERROR(INDEX(PP_Grid[#Data],$DE608,95),0)</f>
        <v/>
      </c>
      <c r="CU608">
        <f>IFERROR(INDEX(PP_Grid[#Data],$DE608,96),0)</f>
        <v/>
      </c>
      <c r="CV608">
        <f>IFERROR(INDEX(PP_Grid[#Data],$DE608,97),0)</f>
        <v/>
      </c>
      <c r="CW608">
        <f>IFERROR(INDEX(PP_Grid[#Data],$DE608,98),0)</f>
        <v/>
      </c>
      <c r="CX608">
        <f>IFERROR(INDEX(PP_Grid[#Data],$DE608,99),0)</f>
        <v/>
      </c>
      <c r="CY608">
        <f>IFERROR(INDEX(PP_Grid[#Data],$DE608,100),0)</f>
        <v/>
      </c>
      <c r="CZ608">
        <f>IFERROR(INDEX(PP_Grid[#Data],$DE608,101),0)</f>
        <v/>
      </c>
      <c r="DA608">
        <f>IFERROR(INDEX(PP_Grid[#Data],$DE608,102),0)</f>
        <v/>
      </c>
      <c r="DB608">
        <f>IFERROR(INDEX(PP_Grid[#Data],$DE608,103),0)</f>
        <v/>
      </c>
      <c r="DC608">
        <f>IFERROR(INDEX(PP_Grid[#Data],$DE608,104),0)</f>
        <v/>
      </c>
      <c r="DD608">
        <f>IFERROR(INDEX(PP_Grid[#Data],$DE608,105),0)</f>
        <v/>
      </c>
      <c r="DE608" s="7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SUMIFS(M_BOM[RM_Qty_Per_Batch],M_BOM[Intermediate],$B608,M_BOM[RM_Code],$A497)</f>
        <v/>
      </c>
      <c r="D609">
        <f>IFERROR(INDEX(E609:DD609,$F$1),"")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  <c r="DD609">
        <f>$C609*DD608</f>
        <v/>
      </c>
    </row>
    <row r="610">
      <c r="B610" t="inlineStr">
        <is>
          <t>TSP-1558</t>
        </is>
      </c>
      <c r="C610" t="inlineStr">
        <is>
          <t>No. of batches</t>
        </is>
      </c>
      <c r="D610">
        <f>IFERROR(INDEX(E610:DD610,$F$1),"")</f>
        <v/>
      </c>
      <c r="E610">
        <f>IFERROR(INDEX(PP_Grid[#Data],$DE610,2),0)</f>
        <v/>
      </c>
      <c r="F610">
        <f>IFERROR(INDEX(PP_Grid[#Data],$DE610,3),0)</f>
        <v/>
      </c>
      <c r="G610">
        <f>IFERROR(INDEX(PP_Grid[#Data],$DE610,4),0)</f>
        <v/>
      </c>
      <c r="H610">
        <f>IFERROR(INDEX(PP_Grid[#Data],$DE610,5),0)</f>
        <v/>
      </c>
      <c r="I610">
        <f>IFERROR(INDEX(PP_Grid[#Data],$DE610,6),0)</f>
        <v/>
      </c>
      <c r="J610">
        <f>IFERROR(INDEX(PP_Grid[#Data],$DE610,7),0)</f>
        <v/>
      </c>
      <c r="K610">
        <f>IFERROR(INDEX(PP_Grid[#Data],$DE610,8),0)</f>
        <v/>
      </c>
      <c r="L610">
        <f>IFERROR(INDEX(PP_Grid[#Data],$DE610,9),0)</f>
        <v/>
      </c>
      <c r="M610">
        <f>IFERROR(INDEX(PP_Grid[#Data],$DE610,10),0)</f>
        <v/>
      </c>
      <c r="N610">
        <f>IFERROR(INDEX(PP_Grid[#Data],$DE610,11),0)</f>
        <v/>
      </c>
      <c r="O610">
        <f>IFERROR(INDEX(PP_Grid[#Data],$DE610,12),0)</f>
        <v/>
      </c>
      <c r="P610">
        <f>IFERROR(INDEX(PP_Grid[#Data],$DE610,13),0)</f>
        <v/>
      </c>
      <c r="Q610">
        <f>IFERROR(INDEX(PP_Grid[#Data],$DE610,14),0)</f>
        <v/>
      </c>
      <c r="R610">
        <f>IFERROR(INDEX(PP_Grid[#Data],$DE610,15),0)</f>
        <v/>
      </c>
      <c r="S610">
        <f>IFERROR(INDEX(PP_Grid[#Data],$DE610,16),0)</f>
        <v/>
      </c>
      <c r="T610">
        <f>IFERROR(INDEX(PP_Grid[#Data],$DE610,17),0)</f>
        <v/>
      </c>
      <c r="U610">
        <f>IFERROR(INDEX(PP_Grid[#Data],$DE610,18),0)</f>
        <v/>
      </c>
      <c r="V610">
        <f>IFERROR(INDEX(PP_Grid[#Data],$DE610,19),0)</f>
        <v/>
      </c>
      <c r="W610">
        <f>IFERROR(INDEX(PP_Grid[#Data],$DE610,20),0)</f>
        <v/>
      </c>
      <c r="X610">
        <f>IFERROR(INDEX(PP_Grid[#Data],$DE610,21),0)</f>
        <v/>
      </c>
      <c r="Y610">
        <f>IFERROR(INDEX(PP_Grid[#Data],$DE610,22),0)</f>
        <v/>
      </c>
      <c r="Z610">
        <f>IFERROR(INDEX(PP_Grid[#Data],$DE610,23),0)</f>
        <v/>
      </c>
      <c r="AA610">
        <f>IFERROR(INDEX(PP_Grid[#Data],$DE610,24),0)</f>
        <v/>
      </c>
      <c r="AB610">
        <f>IFERROR(INDEX(PP_Grid[#Data],$DE610,25),0)</f>
        <v/>
      </c>
      <c r="AC610">
        <f>IFERROR(INDEX(PP_Grid[#Data],$DE610,26),0)</f>
        <v/>
      </c>
      <c r="AD610">
        <f>IFERROR(INDEX(PP_Grid[#Data],$DE610,27),0)</f>
        <v/>
      </c>
      <c r="AE610">
        <f>IFERROR(INDEX(PP_Grid[#Data],$DE610,28),0)</f>
        <v/>
      </c>
      <c r="AF610">
        <f>IFERROR(INDEX(PP_Grid[#Data],$DE610,29),0)</f>
        <v/>
      </c>
      <c r="AG610">
        <f>IFERROR(INDEX(PP_Grid[#Data],$DE610,30),0)</f>
        <v/>
      </c>
      <c r="AH610">
        <f>IFERROR(INDEX(PP_Grid[#Data],$DE610,31),0)</f>
        <v/>
      </c>
      <c r="AI610">
        <f>IFERROR(INDEX(PP_Grid[#Data],$DE610,32),0)</f>
        <v/>
      </c>
      <c r="AJ610">
        <f>IFERROR(INDEX(PP_Grid[#Data],$DE610,33),0)</f>
        <v/>
      </c>
      <c r="AK610">
        <f>IFERROR(INDEX(PP_Grid[#Data],$DE610,34),0)</f>
        <v/>
      </c>
      <c r="AL610">
        <f>IFERROR(INDEX(PP_Grid[#Data],$DE610,35),0)</f>
        <v/>
      </c>
      <c r="AM610">
        <f>IFERROR(INDEX(PP_Grid[#Data],$DE610,36),0)</f>
        <v/>
      </c>
      <c r="AN610">
        <f>IFERROR(INDEX(PP_Grid[#Data],$DE610,37),0)</f>
        <v/>
      </c>
      <c r="AO610">
        <f>IFERROR(INDEX(PP_Grid[#Data],$DE610,38),0)</f>
        <v/>
      </c>
      <c r="AP610">
        <f>IFERROR(INDEX(PP_Grid[#Data],$DE610,39),0)</f>
        <v/>
      </c>
      <c r="AQ610">
        <f>IFERROR(INDEX(PP_Grid[#Data],$DE610,40),0)</f>
        <v/>
      </c>
      <c r="AR610">
        <f>IFERROR(INDEX(PP_Grid[#Data],$DE610,41),0)</f>
        <v/>
      </c>
      <c r="AS610">
        <f>IFERROR(INDEX(PP_Grid[#Data],$DE610,42),0)</f>
        <v/>
      </c>
      <c r="AT610">
        <f>IFERROR(INDEX(PP_Grid[#Data],$DE610,43),0)</f>
        <v/>
      </c>
      <c r="AU610">
        <f>IFERROR(INDEX(PP_Grid[#Data],$DE610,44),0)</f>
        <v/>
      </c>
      <c r="AV610">
        <f>IFERROR(INDEX(PP_Grid[#Data],$DE610,45),0)</f>
        <v/>
      </c>
      <c r="AW610">
        <f>IFERROR(INDEX(PP_Grid[#Data],$DE610,46),0)</f>
        <v/>
      </c>
      <c r="AX610">
        <f>IFERROR(INDEX(PP_Grid[#Data],$DE610,47),0)</f>
        <v/>
      </c>
      <c r="AY610">
        <f>IFERROR(INDEX(PP_Grid[#Data],$DE610,48),0)</f>
        <v/>
      </c>
      <c r="AZ610">
        <f>IFERROR(INDEX(PP_Grid[#Data],$DE610,49),0)</f>
        <v/>
      </c>
      <c r="BA610">
        <f>IFERROR(INDEX(PP_Grid[#Data],$DE610,50),0)</f>
        <v/>
      </c>
      <c r="BB610">
        <f>IFERROR(INDEX(PP_Grid[#Data],$DE610,51),0)</f>
        <v/>
      </c>
      <c r="BC610">
        <f>IFERROR(INDEX(PP_Grid[#Data],$DE610,52),0)</f>
        <v/>
      </c>
      <c r="BD610">
        <f>IFERROR(INDEX(PP_Grid[#Data],$DE610,53),0)</f>
        <v/>
      </c>
      <c r="BE610">
        <f>IFERROR(INDEX(PP_Grid[#Data],$DE610,54),0)</f>
        <v/>
      </c>
      <c r="BF610">
        <f>IFERROR(INDEX(PP_Grid[#Data],$DE610,55),0)</f>
        <v/>
      </c>
      <c r="BG610">
        <f>IFERROR(INDEX(PP_Grid[#Data],$DE610,56),0)</f>
        <v/>
      </c>
      <c r="BH610">
        <f>IFERROR(INDEX(PP_Grid[#Data],$DE610,57),0)</f>
        <v/>
      </c>
      <c r="BI610">
        <f>IFERROR(INDEX(PP_Grid[#Data],$DE610,58),0)</f>
        <v/>
      </c>
      <c r="BJ610">
        <f>IFERROR(INDEX(PP_Grid[#Data],$DE610,59),0)</f>
        <v/>
      </c>
      <c r="BK610">
        <f>IFERROR(INDEX(PP_Grid[#Data],$DE610,60),0)</f>
        <v/>
      </c>
      <c r="BL610">
        <f>IFERROR(INDEX(PP_Grid[#Data],$DE610,61),0)</f>
        <v/>
      </c>
      <c r="BM610">
        <f>IFERROR(INDEX(PP_Grid[#Data],$DE610,62),0)</f>
        <v/>
      </c>
      <c r="BN610">
        <f>IFERROR(INDEX(PP_Grid[#Data],$DE610,63),0)</f>
        <v/>
      </c>
      <c r="BO610">
        <f>IFERROR(INDEX(PP_Grid[#Data],$DE610,64),0)</f>
        <v/>
      </c>
      <c r="BP610">
        <f>IFERROR(INDEX(PP_Grid[#Data],$DE610,65),0)</f>
        <v/>
      </c>
      <c r="BQ610">
        <f>IFERROR(INDEX(PP_Grid[#Data],$DE610,66),0)</f>
        <v/>
      </c>
      <c r="BR610">
        <f>IFERROR(INDEX(PP_Grid[#Data],$DE610,67),0)</f>
        <v/>
      </c>
      <c r="BS610">
        <f>IFERROR(INDEX(PP_Grid[#Data],$DE610,68),0)</f>
        <v/>
      </c>
      <c r="BT610">
        <f>IFERROR(INDEX(PP_Grid[#Data],$DE610,69),0)</f>
        <v/>
      </c>
      <c r="BU610">
        <f>IFERROR(INDEX(PP_Grid[#Data],$DE610,70),0)</f>
        <v/>
      </c>
      <c r="BV610">
        <f>IFERROR(INDEX(PP_Grid[#Data],$DE610,71),0)</f>
        <v/>
      </c>
      <c r="BW610">
        <f>IFERROR(INDEX(PP_Grid[#Data],$DE610,72),0)</f>
        <v/>
      </c>
      <c r="BX610">
        <f>IFERROR(INDEX(PP_Grid[#Data],$DE610,73),0)</f>
        <v/>
      </c>
      <c r="BY610">
        <f>IFERROR(INDEX(PP_Grid[#Data],$DE610,74),0)</f>
        <v/>
      </c>
      <c r="BZ610">
        <f>IFERROR(INDEX(PP_Grid[#Data],$DE610,75),0)</f>
        <v/>
      </c>
      <c r="CA610">
        <f>IFERROR(INDEX(PP_Grid[#Data],$DE610,76),0)</f>
        <v/>
      </c>
      <c r="CB610">
        <f>IFERROR(INDEX(PP_Grid[#Data],$DE610,77),0)</f>
        <v/>
      </c>
      <c r="CC610">
        <f>IFERROR(INDEX(PP_Grid[#Data],$DE610,78),0)</f>
        <v/>
      </c>
      <c r="CD610">
        <f>IFERROR(INDEX(PP_Grid[#Data],$DE610,79),0)</f>
        <v/>
      </c>
      <c r="CE610">
        <f>IFERROR(INDEX(PP_Grid[#Data],$DE610,80),0)</f>
        <v/>
      </c>
      <c r="CF610">
        <f>IFERROR(INDEX(PP_Grid[#Data],$DE610,81),0)</f>
        <v/>
      </c>
      <c r="CG610">
        <f>IFERROR(INDEX(PP_Grid[#Data],$DE610,82),0)</f>
        <v/>
      </c>
      <c r="CH610">
        <f>IFERROR(INDEX(PP_Grid[#Data],$DE610,83),0)</f>
        <v/>
      </c>
      <c r="CI610">
        <f>IFERROR(INDEX(PP_Grid[#Data],$DE610,84),0)</f>
        <v/>
      </c>
      <c r="CJ610">
        <f>IFERROR(INDEX(PP_Grid[#Data],$DE610,85),0)</f>
        <v/>
      </c>
      <c r="CK610">
        <f>IFERROR(INDEX(PP_Grid[#Data],$DE610,86),0)</f>
        <v/>
      </c>
      <c r="CL610">
        <f>IFERROR(INDEX(PP_Grid[#Data],$DE610,87),0)</f>
        <v/>
      </c>
      <c r="CM610">
        <f>IFERROR(INDEX(PP_Grid[#Data],$DE610,88),0)</f>
        <v/>
      </c>
      <c r="CN610">
        <f>IFERROR(INDEX(PP_Grid[#Data],$DE610,89),0)</f>
        <v/>
      </c>
      <c r="CO610">
        <f>IFERROR(INDEX(PP_Grid[#Data],$DE610,90),0)</f>
        <v/>
      </c>
      <c r="CP610">
        <f>IFERROR(INDEX(PP_Grid[#Data],$DE610,91),0)</f>
        <v/>
      </c>
      <c r="CQ610">
        <f>IFERROR(INDEX(PP_Grid[#Data],$DE610,92),0)</f>
        <v/>
      </c>
      <c r="CR610">
        <f>IFERROR(INDEX(PP_Grid[#Data],$DE610,93),0)</f>
        <v/>
      </c>
      <c r="CS610">
        <f>IFERROR(INDEX(PP_Grid[#Data],$DE610,94),0)</f>
        <v/>
      </c>
      <c r="CT610">
        <f>IFERROR(INDEX(PP_Grid[#Data],$DE610,95),0)</f>
        <v/>
      </c>
      <c r="CU610">
        <f>IFERROR(INDEX(PP_Grid[#Data],$DE610,96),0)</f>
        <v/>
      </c>
      <c r="CV610">
        <f>IFERROR(INDEX(PP_Grid[#Data],$DE610,97),0)</f>
        <v/>
      </c>
      <c r="CW610">
        <f>IFERROR(INDEX(PP_Grid[#Data],$DE610,98),0)</f>
        <v/>
      </c>
      <c r="CX610">
        <f>IFERROR(INDEX(PP_Grid[#Data],$DE610,99),0)</f>
        <v/>
      </c>
      <c r="CY610">
        <f>IFERROR(INDEX(PP_Grid[#Data],$DE610,100),0)</f>
        <v/>
      </c>
      <c r="CZ610">
        <f>IFERROR(INDEX(PP_Grid[#Data],$DE610,101),0)</f>
        <v/>
      </c>
      <c r="DA610">
        <f>IFERROR(INDEX(PP_Grid[#Data],$DE610,102),0)</f>
        <v/>
      </c>
      <c r="DB610">
        <f>IFERROR(INDEX(PP_Grid[#Data],$DE610,103),0)</f>
        <v/>
      </c>
      <c r="DC610">
        <f>IFERROR(INDEX(PP_Grid[#Data],$DE610,104),0)</f>
        <v/>
      </c>
      <c r="DD610">
        <f>IFERROR(INDEX(PP_Grid[#Data],$DE610,105),0)</f>
        <v/>
      </c>
      <c r="DE610" s="7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SUMIFS(M_BOM[RM_Qty_Per_Batch],M_BOM[Intermediate],$B610,M_BOM[RM_Code],$A497)</f>
        <v/>
      </c>
      <c r="D611">
        <f>IFERROR(INDEX(E611:DD611,$F$1),"")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  <c r="DD611">
        <f>$C611*DD610</f>
        <v/>
      </c>
    </row>
    <row r="612">
      <c r="B612" s="4" t="inlineStr">
        <is>
          <t>合計使用量(kg)/週</t>
        </is>
      </c>
      <c r="D612" s="22">
        <f>IFERROR(INDEX(E612:DD612,$F$1),"")</f>
        <v/>
      </c>
      <c r="E612">
        <f>'Grid_Requirement'!B10</f>
        <v/>
      </c>
      <c r="F612">
        <f>'Grid_Requirement'!C10</f>
        <v/>
      </c>
      <c r="G612">
        <f>'Grid_Requirement'!D10</f>
        <v/>
      </c>
      <c r="H612">
        <f>'Grid_Requirement'!E10</f>
        <v/>
      </c>
      <c r="I612">
        <f>'Grid_Requirement'!F10</f>
        <v/>
      </c>
      <c r="J612">
        <f>'Grid_Requirement'!G10</f>
        <v/>
      </c>
      <c r="K612">
        <f>'Grid_Requirement'!H10</f>
        <v/>
      </c>
      <c r="L612">
        <f>'Grid_Requirement'!I10</f>
        <v/>
      </c>
      <c r="M612">
        <f>'Grid_Requirement'!J10</f>
        <v/>
      </c>
      <c r="N612">
        <f>'Grid_Requirement'!K10</f>
        <v/>
      </c>
      <c r="O612">
        <f>'Grid_Requirement'!L10</f>
        <v/>
      </c>
      <c r="P612">
        <f>'Grid_Requirement'!M10</f>
        <v/>
      </c>
      <c r="Q612">
        <f>'Grid_Requirement'!N10</f>
        <v/>
      </c>
      <c r="R612">
        <f>'Grid_Requirement'!O10</f>
        <v/>
      </c>
      <c r="S612">
        <f>'Grid_Requirement'!P10</f>
        <v/>
      </c>
      <c r="T612">
        <f>'Grid_Requirement'!Q10</f>
        <v/>
      </c>
      <c r="U612">
        <f>'Grid_Requirement'!R10</f>
        <v/>
      </c>
      <c r="V612">
        <f>'Grid_Requirement'!S10</f>
        <v/>
      </c>
      <c r="W612">
        <f>'Grid_Requirement'!T10</f>
        <v/>
      </c>
      <c r="X612">
        <f>'Grid_Requirement'!U10</f>
        <v/>
      </c>
      <c r="Y612">
        <f>'Grid_Requirement'!V10</f>
        <v/>
      </c>
      <c r="Z612">
        <f>'Grid_Requirement'!W10</f>
        <v/>
      </c>
      <c r="AA612">
        <f>'Grid_Requirement'!X10</f>
        <v/>
      </c>
      <c r="AB612">
        <f>'Grid_Requirement'!Y10</f>
        <v/>
      </c>
      <c r="AC612">
        <f>'Grid_Requirement'!Z10</f>
        <v/>
      </c>
      <c r="AD612">
        <f>'Grid_Requirement'!AA10</f>
        <v/>
      </c>
      <c r="AE612">
        <f>'Grid_Requirement'!AB10</f>
        <v/>
      </c>
      <c r="AF612">
        <f>'Grid_Requirement'!AC10</f>
        <v/>
      </c>
      <c r="AG612">
        <f>'Grid_Requirement'!AD10</f>
        <v/>
      </c>
      <c r="AH612">
        <f>'Grid_Requirement'!AE10</f>
        <v/>
      </c>
      <c r="AI612">
        <f>'Grid_Requirement'!AF10</f>
        <v/>
      </c>
      <c r="AJ612">
        <f>'Grid_Requirement'!AG10</f>
        <v/>
      </c>
      <c r="AK612">
        <f>'Grid_Requirement'!AH10</f>
        <v/>
      </c>
      <c r="AL612">
        <f>'Grid_Requirement'!AI10</f>
        <v/>
      </c>
      <c r="AM612">
        <f>'Grid_Requirement'!AJ10</f>
        <v/>
      </c>
      <c r="AN612">
        <f>'Grid_Requirement'!AK10</f>
        <v/>
      </c>
      <c r="AO612">
        <f>'Grid_Requirement'!AL10</f>
        <v/>
      </c>
      <c r="AP612">
        <f>'Grid_Requirement'!AM10</f>
        <v/>
      </c>
      <c r="AQ612">
        <f>'Grid_Requirement'!AN10</f>
        <v/>
      </c>
      <c r="AR612">
        <f>'Grid_Requirement'!AO10</f>
        <v/>
      </c>
      <c r="AS612">
        <f>'Grid_Requirement'!AP10</f>
        <v/>
      </c>
      <c r="AT612">
        <f>'Grid_Requirement'!AQ10</f>
        <v/>
      </c>
      <c r="AU612">
        <f>'Grid_Requirement'!AR10</f>
        <v/>
      </c>
      <c r="AV612">
        <f>'Grid_Requirement'!AS10</f>
        <v/>
      </c>
      <c r="AW612">
        <f>'Grid_Requirement'!AT10</f>
        <v/>
      </c>
      <c r="AX612">
        <f>'Grid_Requirement'!AU10</f>
        <v/>
      </c>
      <c r="AY612">
        <f>'Grid_Requirement'!AV10</f>
        <v/>
      </c>
      <c r="AZ612">
        <f>'Grid_Requirement'!AW10</f>
        <v/>
      </c>
      <c r="BA612">
        <f>'Grid_Requirement'!AX10</f>
        <v/>
      </c>
      <c r="BB612">
        <f>'Grid_Requirement'!AY10</f>
        <v/>
      </c>
      <c r="BC612">
        <f>'Grid_Requirement'!AZ10</f>
        <v/>
      </c>
      <c r="BD612">
        <f>'Grid_Requirement'!BA10</f>
        <v/>
      </c>
      <c r="BE612">
        <f>'Grid_Requirement'!BB10</f>
        <v/>
      </c>
      <c r="BF612">
        <f>'Grid_Requirement'!BC10</f>
        <v/>
      </c>
      <c r="BG612">
        <f>'Grid_Requirement'!BD10</f>
        <v/>
      </c>
      <c r="BH612">
        <f>'Grid_Requirement'!BE10</f>
        <v/>
      </c>
      <c r="BI612">
        <f>'Grid_Requirement'!BF10</f>
        <v/>
      </c>
      <c r="BJ612">
        <f>'Grid_Requirement'!BG10</f>
        <v/>
      </c>
      <c r="BK612">
        <f>'Grid_Requirement'!BH10</f>
        <v/>
      </c>
      <c r="BL612">
        <f>'Grid_Requirement'!BI10</f>
        <v/>
      </c>
      <c r="BM612">
        <f>'Grid_Requirement'!BJ10</f>
        <v/>
      </c>
      <c r="BN612">
        <f>'Grid_Requirement'!BK10</f>
        <v/>
      </c>
      <c r="BO612">
        <f>'Grid_Requirement'!BL10</f>
        <v/>
      </c>
      <c r="BP612">
        <f>'Grid_Requirement'!BM10</f>
        <v/>
      </c>
      <c r="BQ612">
        <f>'Grid_Requirement'!BN10</f>
        <v/>
      </c>
      <c r="BR612">
        <f>'Grid_Requirement'!BO10</f>
        <v/>
      </c>
      <c r="BS612">
        <f>'Grid_Requirement'!BP10</f>
        <v/>
      </c>
      <c r="BT612">
        <f>'Grid_Requirement'!BQ10</f>
        <v/>
      </c>
      <c r="BU612">
        <f>'Grid_Requirement'!BR10</f>
        <v/>
      </c>
      <c r="BV612">
        <f>'Grid_Requirement'!BS10</f>
        <v/>
      </c>
      <c r="BW612">
        <f>'Grid_Requirement'!BT10</f>
        <v/>
      </c>
      <c r="BX612">
        <f>'Grid_Requirement'!BU10</f>
        <v/>
      </c>
      <c r="BY612">
        <f>'Grid_Requirement'!BV10</f>
        <v/>
      </c>
      <c r="BZ612">
        <f>'Grid_Requirement'!BW10</f>
        <v/>
      </c>
      <c r="CA612">
        <f>'Grid_Requirement'!BX10</f>
        <v/>
      </c>
      <c r="CB612">
        <f>'Grid_Requirement'!BY10</f>
        <v/>
      </c>
      <c r="CC612">
        <f>'Grid_Requirement'!BZ10</f>
        <v/>
      </c>
      <c r="CD612">
        <f>'Grid_Requirement'!CA10</f>
        <v/>
      </c>
      <c r="CE612">
        <f>'Grid_Requirement'!CB10</f>
        <v/>
      </c>
      <c r="CF612">
        <f>'Grid_Requirement'!CC10</f>
        <v/>
      </c>
      <c r="CG612">
        <f>'Grid_Requirement'!CD10</f>
        <v/>
      </c>
      <c r="CH612">
        <f>'Grid_Requirement'!CE10</f>
        <v/>
      </c>
      <c r="CI612">
        <f>'Grid_Requirement'!CF10</f>
        <v/>
      </c>
      <c r="CJ612">
        <f>'Grid_Requirement'!CG10</f>
        <v/>
      </c>
      <c r="CK612">
        <f>'Grid_Requirement'!CH10</f>
        <v/>
      </c>
      <c r="CL612">
        <f>'Grid_Requirement'!CI10</f>
        <v/>
      </c>
      <c r="CM612">
        <f>'Grid_Requirement'!CJ10</f>
        <v/>
      </c>
      <c r="CN612">
        <f>'Grid_Requirement'!CK10</f>
        <v/>
      </c>
      <c r="CO612">
        <f>'Grid_Requirement'!CL10</f>
        <v/>
      </c>
      <c r="CP612">
        <f>'Grid_Requirement'!CM10</f>
        <v/>
      </c>
      <c r="CQ612">
        <f>'Grid_Requirement'!CN10</f>
        <v/>
      </c>
      <c r="CR612">
        <f>'Grid_Requirement'!CO10</f>
        <v/>
      </c>
      <c r="CS612">
        <f>'Grid_Requirement'!CP10</f>
        <v/>
      </c>
      <c r="CT612">
        <f>'Grid_Requirement'!CQ10</f>
        <v/>
      </c>
      <c r="CU612">
        <f>'Grid_Requirement'!CR10</f>
        <v/>
      </c>
      <c r="CV612">
        <f>'Grid_Requirement'!CS10</f>
        <v/>
      </c>
      <c r="CW612">
        <f>'Grid_Requirement'!CT10</f>
        <v/>
      </c>
      <c r="CX612">
        <f>'Grid_Requirement'!CU10</f>
        <v/>
      </c>
      <c r="CY612">
        <f>'Grid_Requirement'!CV10</f>
        <v/>
      </c>
      <c r="CZ612">
        <f>'Grid_Requirement'!CW10</f>
        <v/>
      </c>
      <c r="DA612">
        <f>'Grid_Requirement'!CX10</f>
        <v/>
      </c>
      <c r="DB612">
        <f>'Grid_Requirement'!CY10</f>
        <v/>
      </c>
      <c r="DC612">
        <f>'Grid_Requirement'!CZ10</f>
        <v/>
      </c>
      <c r="DD612">
        <f>'Grid_Requirement'!DA10</f>
        <v/>
      </c>
    </row>
    <row r="613">
      <c r="B613" s="23" t="inlineStr">
        <is>
          <t>（在庫・入荷予定はDashboard参照）</t>
        </is>
      </c>
    </row>
    <row r="615">
      <c r="A615" s="21" t="inlineStr">
        <is>
          <t>CHEM-1400</t>
        </is>
      </c>
      <c r="B615" s="21" t="inlineStr">
        <is>
          <t>DISPAL 23N4-80</t>
        </is>
      </c>
      <c r="C615" s="21" t="n"/>
      <c r="D615" s="21" t="n"/>
      <c r="E615" s="21" t="n"/>
      <c r="F615" s="21" t="n"/>
      <c r="G615" s="21" t="n"/>
      <c r="H615" s="21" t="n"/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  <c r="Z615" s="21" t="n"/>
      <c r="AA615" s="21" t="n"/>
      <c r="AB615" s="21" t="n"/>
      <c r="AC615" s="21" t="n"/>
      <c r="AD615" s="21" t="n"/>
      <c r="AE615" s="21" t="n"/>
      <c r="AF615" s="21" t="n"/>
      <c r="AG615" s="21" t="n"/>
      <c r="AH615" s="21" t="n"/>
      <c r="AI615" s="21" t="n"/>
      <c r="AJ615" s="21" t="n"/>
      <c r="AK615" s="21" t="n"/>
      <c r="AL615" s="21" t="n"/>
      <c r="AM615" s="21" t="n"/>
      <c r="AN615" s="21" t="n"/>
      <c r="AO615" s="21" t="n"/>
      <c r="AP615" s="21" t="n"/>
      <c r="AQ615" s="21" t="n"/>
      <c r="AR615" s="21" t="n"/>
      <c r="AS615" s="21" t="n"/>
      <c r="AT615" s="21" t="n"/>
      <c r="AU615" s="21" t="n"/>
      <c r="AV615" s="21" t="n"/>
      <c r="AW615" s="21" t="n"/>
      <c r="AX615" s="21" t="n"/>
      <c r="AY615" s="21" t="n"/>
      <c r="AZ615" s="21" t="n"/>
      <c r="BA615" s="21" t="n"/>
      <c r="BB615" s="21" t="n"/>
      <c r="BC615" s="21" t="n"/>
      <c r="BD615" s="21" t="n"/>
      <c r="BE615" s="21" t="n"/>
      <c r="BF615" s="21" t="n"/>
      <c r="BG615" s="21" t="n"/>
      <c r="BH615" s="21" t="n"/>
      <c r="BI615" s="21" t="n"/>
      <c r="BJ615" s="21" t="n"/>
      <c r="BK615" s="21" t="n"/>
      <c r="BL615" s="21" t="n"/>
      <c r="BM615" s="21" t="n"/>
      <c r="BN615" s="21" t="n"/>
      <c r="BO615" s="21" t="n"/>
      <c r="BP615" s="21" t="n"/>
      <c r="BQ615" s="21" t="n"/>
      <c r="BR615" s="21" t="n"/>
      <c r="BS615" s="21" t="n"/>
      <c r="BT615" s="21" t="n"/>
      <c r="BU615" s="21" t="n"/>
      <c r="BV615" s="21" t="n"/>
      <c r="BW615" s="21" t="n"/>
      <c r="BX615" s="21" t="n"/>
      <c r="BY615" s="21" t="n"/>
      <c r="BZ615" s="21" t="n"/>
      <c r="CA615" s="21" t="n"/>
      <c r="CB615" s="21" t="n"/>
      <c r="CC615" s="21" t="n"/>
      <c r="CD615" s="21" t="n"/>
      <c r="CE615" s="21" t="n"/>
      <c r="CF615" s="21" t="n"/>
      <c r="CG615" s="21" t="n"/>
      <c r="CH615" s="21" t="n"/>
      <c r="CI615" s="21" t="n"/>
      <c r="CJ615" s="21" t="n"/>
      <c r="CK615" s="21" t="n"/>
      <c r="CL615" s="21" t="n"/>
      <c r="CM615" s="21" t="n"/>
      <c r="CN615" s="21" t="n"/>
      <c r="CO615" s="21" t="n"/>
      <c r="CP615" s="21" t="n"/>
      <c r="CQ615" s="21" t="n"/>
      <c r="CR615" s="21" t="n"/>
      <c r="CS615" s="21" t="n"/>
      <c r="CT615" s="21" t="n"/>
      <c r="CU615" s="21" t="n"/>
      <c r="CV615" s="21" t="n"/>
      <c r="CW615" s="21" t="n"/>
      <c r="CX615" s="21" t="n"/>
      <c r="CY615" s="21" t="n"/>
      <c r="CZ615" s="21" t="n"/>
      <c r="DA615" s="21" t="n"/>
      <c r="DB615" s="21" t="n"/>
      <c r="DC615" s="21" t="n"/>
      <c r="DD615" s="21" t="n"/>
    </row>
    <row r="616">
      <c r="B616" t="inlineStr">
        <is>
          <t>TSP-050</t>
        </is>
      </c>
      <c r="C616" t="inlineStr">
        <is>
          <t>No. of batches</t>
        </is>
      </c>
      <c r="D616">
        <f>IFERROR(INDEX(E616:DD616,$F$1),"")</f>
        <v/>
      </c>
      <c r="E616">
        <f>IFERROR(INDEX(PP_Grid[#Data],$DE616,2),0)</f>
        <v/>
      </c>
      <c r="F616">
        <f>IFERROR(INDEX(PP_Grid[#Data],$DE616,3),0)</f>
        <v/>
      </c>
      <c r="G616">
        <f>IFERROR(INDEX(PP_Grid[#Data],$DE616,4),0)</f>
        <v/>
      </c>
      <c r="H616">
        <f>IFERROR(INDEX(PP_Grid[#Data],$DE616,5),0)</f>
        <v/>
      </c>
      <c r="I616">
        <f>IFERROR(INDEX(PP_Grid[#Data],$DE616,6),0)</f>
        <v/>
      </c>
      <c r="J616">
        <f>IFERROR(INDEX(PP_Grid[#Data],$DE616,7),0)</f>
        <v/>
      </c>
      <c r="K616">
        <f>IFERROR(INDEX(PP_Grid[#Data],$DE616,8),0)</f>
        <v/>
      </c>
      <c r="L616">
        <f>IFERROR(INDEX(PP_Grid[#Data],$DE616,9),0)</f>
        <v/>
      </c>
      <c r="M616">
        <f>IFERROR(INDEX(PP_Grid[#Data],$DE616,10),0)</f>
        <v/>
      </c>
      <c r="N616">
        <f>IFERROR(INDEX(PP_Grid[#Data],$DE616,11),0)</f>
        <v/>
      </c>
      <c r="O616">
        <f>IFERROR(INDEX(PP_Grid[#Data],$DE616,12),0)</f>
        <v/>
      </c>
      <c r="P616">
        <f>IFERROR(INDEX(PP_Grid[#Data],$DE616,13),0)</f>
        <v/>
      </c>
      <c r="Q616">
        <f>IFERROR(INDEX(PP_Grid[#Data],$DE616,14),0)</f>
        <v/>
      </c>
      <c r="R616">
        <f>IFERROR(INDEX(PP_Grid[#Data],$DE616,15),0)</f>
        <v/>
      </c>
      <c r="S616">
        <f>IFERROR(INDEX(PP_Grid[#Data],$DE616,16),0)</f>
        <v/>
      </c>
      <c r="T616">
        <f>IFERROR(INDEX(PP_Grid[#Data],$DE616,17),0)</f>
        <v/>
      </c>
      <c r="U616">
        <f>IFERROR(INDEX(PP_Grid[#Data],$DE616,18),0)</f>
        <v/>
      </c>
      <c r="V616">
        <f>IFERROR(INDEX(PP_Grid[#Data],$DE616,19),0)</f>
        <v/>
      </c>
      <c r="W616">
        <f>IFERROR(INDEX(PP_Grid[#Data],$DE616,20),0)</f>
        <v/>
      </c>
      <c r="X616">
        <f>IFERROR(INDEX(PP_Grid[#Data],$DE616,21),0)</f>
        <v/>
      </c>
      <c r="Y616">
        <f>IFERROR(INDEX(PP_Grid[#Data],$DE616,22),0)</f>
        <v/>
      </c>
      <c r="Z616">
        <f>IFERROR(INDEX(PP_Grid[#Data],$DE616,23),0)</f>
        <v/>
      </c>
      <c r="AA616">
        <f>IFERROR(INDEX(PP_Grid[#Data],$DE616,24),0)</f>
        <v/>
      </c>
      <c r="AB616">
        <f>IFERROR(INDEX(PP_Grid[#Data],$DE616,25),0)</f>
        <v/>
      </c>
      <c r="AC616">
        <f>IFERROR(INDEX(PP_Grid[#Data],$DE616,26),0)</f>
        <v/>
      </c>
      <c r="AD616">
        <f>IFERROR(INDEX(PP_Grid[#Data],$DE616,27),0)</f>
        <v/>
      </c>
      <c r="AE616">
        <f>IFERROR(INDEX(PP_Grid[#Data],$DE616,28),0)</f>
        <v/>
      </c>
      <c r="AF616">
        <f>IFERROR(INDEX(PP_Grid[#Data],$DE616,29),0)</f>
        <v/>
      </c>
      <c r="AG616">
        <f>IFERROR(INDEX(PP_Grid[#Data],$DE616,30),0)</f>
        <v/>
      </c>
      <c r="AH616">
        <f>IFERROR(INDEX(PP_Grid[#Data],$DE616,31),0)</f>
        <v/>
      </c>
      <c r="AI616">
        <f>IFERROR(INDEX(PP_Grid[#Data],$DE616,32),0)</f>
        <v/>
      </c>
      <c r="AJ616">
        <f>IFERROR(INDEX(PP_Grid[#Data],$DE616,33),0)</f>
        <v/>
      </c>
      <c r="AK616">
        <f>IFERROR(INDEX(PP_Grid[#Data],$DE616,34),0)</f>
        <v/>
      </c>
      <c r="AL616">
        <f>IFERROR(INDEX(PP_Grid[#Data],$DE616,35),0)</f>
        <v/>
      </c>
      <c r="AM616">
        <f>IFERROR(INDEX(PP_Grid[#Data],$DE616,36),0)</f>
        <v/>
      </c>
      <c r="AN616">
        <f>IFERROR(INDEX(PP_Grid[#Data],$DE616,37),0)</f>
        <v/>
      </c>
      <c r="AO616">
        <f>IFERROR(INDEX(PP_Grid[#Data],$DE616,38),0)</f>
        <v/>
      </c>
      <c r="AP616">
        <f>IFERROR(INDEX(PP_Grid[#Data],$DE616,39),0)</f>
        <v/>
      </c>
      <c r="AQ616">
        <f>IFERROR(INDEX(PP_Grid[#Data],$DE616,40),0)</f>
        <v/>
      </c>
      <c r="AR616">
        <f>IFERROR(INDEX(PP_Grid[#Data],$DE616,41),0)</f>
        <v/>
      </c>
      <c r="AS616">
        <f>IFERROR(INDEX(PP_Grid[#Data],$DE616,42),0)</f>
        <v/>
      </c>
      <c r="AT616">
        <f>IFERROR(INDEX(PP_Grid[#Data],$DE616,43),0)</f>
        <v/>
      </c>
      <c r="AU616">
        <f>IFERROR(INDEX(PP_Grid[#Data],$DE616,44),0)</f>
        <v/>
      </c>
      <c r="AV616">
        <f>IFERROR(INDEX(PP_Grid[#Data],$DE616,45),0)</f>
        <v/>
      </c>
      <c r="AW616">
        <f>IFERROR(INDEX(PP_Grid[#Data],$DE616,46),0)</f>
        <v/>
      </c>
      <c r="AX616">
        <f>IFERROR(INDEX(PP_Grid[#Data],$DE616,47),0)</f>
        <v/>
      </c>
      <c r="AY616">
        <f>IFERROR(INDEX(PP_Grid[#Data],$DE616,48),0)</f>
        <v/>
      </c>
      <c r="AZ616">
        <f>IFERROR(INDEX(PP_Grid[#Data],$DE616,49),0)</f>
        <v/>
      </c>
      <c r="BA616">
        <f>IFERROR(INDEX(PP_Grid[#Data],$DE616,50),0)</f>
        <v/>
      </c>
      <c r="BB616">
        <f>IFERROR(INDEX(PP_Grid[#Data],$DE616,51),0)</f>
        <v/>
      </c>
      <c r="BC616">
        <f>IFERROR(INDEX(PP_Grid[#Data],$DE616,52),0)</f>
        <v/>
      </c>
      <c r="BD616">
        <f>IFERROR(INDEX(PP_Grid[#Data],$DE616,53),0)</f>
        <v/>
      </c>
      <c r="BE616">
        <f>IFERROR(INDEX(PP_Grid[#Data],$DE616,54),0)</f>
        <v/>
      </c>
      <c r="BF616">
        <f>IFERROR(INDEX(PP_Grid[#Data],$DE616,55),0)</f>
        <v/>
      </c>
      <c r="BG616">
        <f>IFERROR(INDEX(PP_Grid[#Data],$DE616,56),0)</f>
        <v/>
      </c>
      <c r="BH616">
        <f>IFERROR(INDEX(PP_Grid[#Data],$DE616,57),0)</f>
        <v/>
      </c>
      <c r="BI616">
        <f>IFERROR(INDEX(PP_Grid[#Data],$DE616,58),0)</f>
        <v/>
      </c>
      <c r="BJ616">
        <f>IFERROR(INDEX(PP_Grid[#Data],$DE616,59),0)</f>
        <v/>
      </c>
      <c r="BK616">
        <f>IFERROR(INDEX(PP_Grid[#Data],$DE616,60),0)</f>
        <v/>
      </c>
      <c r="BL616">
        <f>IFERROR(INDEX(PP_Grid[#Data],$DE616,61),0)</f>
        <v/>
      </c>
      <c r="BM616">
        <f>IFERROR(INDEX(PP_Grid[#Data],$DE616,62),0)</f>
        <v/>
      </c>
      <c r="BN616">
        <f>IFERROR(INDEX(PP_Grid[#Data],$DE616,63),0)</f>
        <v/>
      </c>
      <c r="BO616">
        <f>IFERROR(INDEX(PP_Grid[#Data],$DE616,64),0)</f>
        <v/>
      </c>
      <c r="BP616">
        <f>IFERROR(INDEX(PP_Grid[#Data],$DE616,65),0)</f>
        <v/>
      </c>
      <c r="BQ616">
        <f>IFERROR(INDEX(PP_Grid[#Data],$DE616,66),0)</f>
        <v/>
      </c>
      <c r="BR616">
        <f>IFERROR(INDEX(PP_Grid[#Data],$DE616,67),0)</f>
        <v/>
      </c>
      <c r="BS616">
        <f>IFERROR(INDEX(PP_Grid[#Data],$DE616,68),0)</f>
        <v/>
      </c>
      <c r="BT616">
        <f>IFERROR(INDEX(PP_Grid[#Data],$DE616,69),0)</f>
        <v/>
      </c>
      <c r="BU616">
        <f>IFERROR(INDEX(PP_Grid[#Data],$DE616,70),0)</f>
        <v/>
      </c>
      <c r="BV616">
        <f>IFERROR(INDEX(PP_Grid[#Data],$DE616,71),0)</f>
        <v/>
      </c>
      <c r="BW616">
        <f>IFERROR(INDEX(PP_Grid[#Data],$DE616,72),0)</f>
        <v/>
      </c>
      <c r="BX616">
        <f>IFERROR(INDEX(PP_Grid[#Data],$DE616,73),0)</f>
        <v/>
      </c>
      <c r="BY616">
        <f>IFERROR(INDEX(PP_Grid[#Data],$DE616,74),0)</f>
        <v/>
      </c>
      <c r="BZ616">
        <f>IFERROR(INDEX(PP_Grid[#Data],$DE616,75),0)</f>
        <v/>
      </c>
      <c r="CA616">
        <f>IFERROR(INDEX(PP_Grid[#Data],$DE616,76),0)</f>
        <v/>
      </c>
      <c r="CB616">
        <f>IFERROR(INDEX(PP_Grid[#Data],$DE616,77),0)</f>
        <v/>
      </c>
      <c r="CC616">
        <f>IFERROR(INDEX(PP_Grid[#Data],$DE616,78),0)</f>
        <v/>
      </c>
      <c r="CD616">
        <f>IFERROR(INDEX(PP_Grid[#Data],$DE616,79),0)</f>
        <v/>
      </c>
      <c r="CE616">
        <f>IFERROR(INDEX(PP_Grid[#Data],$DE616,80),0)</f>
        <v/>
      </c>
      <c r="CF616">
        <f>IFERROR(INDEX(PP_Grid[#Data],$DE616,81),0)</f>
        <v/>
      </c>
      <c r="CG616">
        <f>IFERROR(INDEX(PP_Grid[#Data],$DE616,82),0)</f>
        <v/>
      </c>
      <c r="CH616">
        <f>IFERROR(INDEX(PP_Grid[#Data],$DE616,83),0)</f>
        <v/>
      </c>
      <c r="CI616">
        <f>IFERROR(INDEX(PP_Grid[#Data],$DE616,84),0)</f>
        <v/>
      </c>
      <c r="CJ616">
        <f>IFERROR(INDEX(PP_Grid[#Data],$DE616,85),0)</f>
        <v/>
      </c>
      <c r="CK616">
        <f>IFERROR(INDEX(PP_Grid[#Data],$DE616,86),0)</f>
        <v/>
      </c>
      <c r="CL616">
        <f>IFERROR(INDEX(PP_Grid[#Data],$DE616,87),0)</f>
        <v/>
      </c>
      <c r="CM616">
        <f>IFERROR(INDEX(PP_Grid[#Data],$DE616,88),0)</f>
        <v/>
      </c>
      <c r="CN616">
        <f>IFERROR(INDEX(PP_Grid[#Data],$DE616,89),0)</f>
        <v/>
      </c>
      <c r="CO616">
        <f>IFERROR(INDEX(PP_Grid[#Data],$DE616,90),0)</f>
        <v/>
      </c>
      <c r="CP616">
        <f>IFERROR(INDEX(PP_Grid[#Data],$DE616,91),0)</f>
        <v/>
      </c>
      <c r="CQ616">
        <f>IFERROR(INDEX(PP_Grid[#Data],$DE616,92),0)</f>
        <v/>
      </c>
      <c r="CR616">
        <f>IFERROR(INDEX(PP_Grid[#Data],$DE616,93),0)</f>
        <v/>
      </c>
      <c r="CS616">
        <f>IFERROR(INDEX(PP_Grid[#Data],$DE616,94),0)</f>
        <v/>
      </c>
      <c r="CT616">
        <f>IFERROR(INDEX(PP_Grid[#Data],$DE616,95),0)</f>
        <v/>
      </c>
      <c r="CU616">
        <f>IFERROR(INDEX(PP_Grid[#Data],$DE616,96),0)</f>
        <v/>
      </c>
      <c r="CV616">
        <f>IFERROR(INDEX(PP_Grid[#Data],$DE616,97),0)</f>
        <v/>
      </c>
      <c r="CW616">
        <f>IFERROR(INDEX(PP_Grid[#Data],$DE616,98),0)</f>
        <v/>
      </c>
      <c r="CX616">
        <f>IFERROR(INDEX(PP_Grid[#Data],$DE616,99),0)</f>
        <v/>
      </c>
      <c r="CY616">
        <f>IFERROR(INDEX(PP_Grid[#Data],$DE616,100),0)</f>
        <v/>
      </c>
      <c r="CZ616">
        <f>IFERROR(INDEX(PP_Grid[#Data],$DE616,101),0)</f>
        <v/>
      </c>
      <c r="DA616">
        <f>IFERROR(INDEX(PP_Grid[#Data],$DE616,102),0)</f>
        <v/>
      </c>
      <c r="DB616">
        <f>IFERROR(INDEX(PP_Grid[#Data],$DE616,103),0)</f>
        <v/>
      </c>
      <c r="DC616">
        <f>IFERROR(INDEX(PP_Grid[#Data],$DE616,104),0)</f>
        <v/>
      </c>
      <c r="DD616">
        <f>IFERROR(INDEX(PP_Grid[#Data],$DE616,105),0)</f>
        <v/>
      </c>
      <c r="DE616" s="7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SUMIFS(M_BOM[RM_Qty_Per_Batch],M_BOM[Intermediate],$B616,M_BOM[RM_Code],$A615)</f>
        <v/>
      </c>
      <c r="D617">
        <f>IFERROR(INDEX(E617:DD617,$F$1),"")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  <c r="DD617">
        <f>$C617*DD616</f>
        <v/>
      </c>
    </row>
    <row r="618">
      <c r="B618" t="inlineStr">
        <is>
          <t>TSP-078</t>
        </is>
      </c>
      <c r="C618" t="inlineStr">
        <is>
          <t>No. of batches</t>
        </is>
      </c>
      <c r="D618">
        <f>IFERROR(INDEX(E618:DD618,$F$1),"")</f>
        <v/>
      </c>
      <c r="E618">
        <f>IFERROR(INDEX(PP_Grid[#Data],$DE618,2),0)</f>
        <v/>
      </c>
      <c r="F618">
        <f>IFERROR(INDEX(PP_Grid[#Data],$DE618,3),0)</f>
        <v/>
      </c>
      <c r="G618">
        <f>IFERROR(INDEX(PP_Grid[#Data],$DE618,4),0)</f>
        <v/>
      </c>
      <c r="H618">
        <f>IFERROR(INDEX(PP_Grid[#Data],$DE618,5),0)</f>
        <v/>
      </c>
      <c r="I618">
        <f>IFERROR(INDEX(PP_Grid[#Data],$DE618,6),0)</f>
        <v/>
      </c>
      <c r="J618">
        <f>IFERROR(INDEX(PP_Grid[#Data],$DE618,7),0)</f>
        <v/>
      </c>
      <c r="K618">
        <f>IFERROR(INDEX(PP_Grid[#Data],$DE618,8),0)</f>
        <v/>
      </c>
      <c r="L618">
        <f>IFERROR(INDEX(PP_Grid[#Data],$DE618,9),0)</f>
        <v/>
      </c>
      <c r="M618">
        <f>IFERROR(INDEX(PP_Grid[#Data],$DE618,10),0)</f>
        <v/>
      </c>
      <c r="N618">
        <f>IFERROR(INDEX(PP_Grid[#Data],$DE618,11),0)</f>
        <v/>
      </c>
      <c r="O618">
        <f>IFERROR(INDEX(PP_Grid[#Data],$DE618,12),0)</f>
        <v/>
      </c>
      <c r="P618">
        <f>IFERROR(INDEX(PP_Grid[#Data],$DE618,13),0)</f>
        <v/>
      </c>
      <c r="Q618">
        <f>IFERROR(INDEX(PP_Grid[#Data],$DE618,14),0)</f>
        <v/>
      </c>
      <c r="R618">
        <f>IFERROR(INDEX(PP_Grid[#Data],$DE618,15),0)</f>
        <v/>
      </c>
      <c r="S618">
        <f>IFERROR(INDEX(PP_Grid[#Data],$DE618,16),0)</f>
        <v/>
      </c>
      <c r="T618">
        <f>IFERROR(INDEX(PP_Grid[#Data],$DE618,17),0)</f>
        <v/>
      </c>
      <c r="U618">
        <f>IFERROR(INDEX(PP_Grid[#Data],$DE618,18),0)</f>
        <v/>
      </c>
      <c r="V618">
        <f>IFERROR(INDEX(PP_Grid[#Data],$DE618,19),0)</f>
        <v/>
      </c>
      <c r="W618">
        <f>IFERROR(INDEX(PP_Grid[#Data],$DE618,20),0)</f>
        <v/>
      </c>
      <c r="X618">
        <f>IFERROR(INDEX(PP_Grid[#Data],$DE618,21),0)</f>
        <v/>
      </c>
      <c r="Y618">
        <f>IFERROR(INDEX(PP_Grid[#Data],$DE618,22),0)</f>
        <v/>
      </c>
      <c r="Z618">
        <f>IFERROR(INDEX(PP_Grid[#Data],$DE618,23),0)</f>
        <v/>
      </c>
      <c r="AA618">
        <f>IFERROR(INDEX(PP_Grid[#Data],$DE618,24),0)</f>
        <v/>
      </c>
      <c r="AB618">
        <f>IFERROR(INDEX(PP_Grid[#Data],$DE618,25),0)</f>
        <v/>
      </c>
      <c r="AC618">
        <f>IFERROR(INDEX(PP_Grid[#Data],$DE618,26),0)</f>
        <v/>
      </c>
      <c r="AD618">
        <f>IFERROR(INDEX(PP_Grid[#Data],$DE618,27),0)</f>
        <v/>
      </c>
      <c r="AE618">
        <f>IFERROR(INDEX(PP_Grid[#Data],$DE618,28),0)</f>
        <v/>
      </c>
      <c r="AF618">
        <f>IFERROR(INDEX(PP_Grid[#Data],$DE618,29),0)</f>
        <v/>
      </c>
      <c r="AG618">
        <f>IFERROR(INDEX(PP_Grid[#Data],$DE618,30),0)</f>
        <v/>
      </c>
      <c r="AH618">
        <f>IFERROR(INDEX(PP_Grid[#Data],$DE618,31),0)</f>
        <v/>
      </c>
      <c r="AI618">
        <f>IFERROR(INDEX(PP_Grid[#Data],$DE618,32),0)</f>
        <v/>
      </c>
      <c r="AJ618">
        <f>IFERROR(INDEX(PP_Grid[#Data],$DE618,33),0)</f>
        <v/>
      </c>
      <c r="AK618">
        <f>IFERROR(INDEX(PP_Grid[#Data],$DE618,34),0)</f>
        <v/>
      </c>
      <c r="AL618">
        <f>IFERROR(INDEX(PP_Grid[#Data],$DE618,35),0)</f>
        <v/>
      </c>
      <c r="AM618">
        <f>IFERROR(INDEX(PP_Grid[#Data],$DE618,36),0)</f>
        <v/>
      </c>
      <c r="AN618">
        <f>IFERROR(INDEX(PP_Grid[#Data],$DE618,37),0)</f>
        <v/>
      </c>
      <c r="AO618">
        <f>IFERROR(INDEX(PP_Grid[#Data],$DE618,38),0)</f>
        <v/>
      </c>
      <c r="AP618">
        <f>IFERROR(INDEX(PP_Grid[#Data],$DE618,39),0)</f>
        <v/>
      </c>
      <c r="AQ618">
        <f>IFERROR(INDEX(PP_Grid[#Data],$DE618,40),0)</f>
        <v/>
      </c>
      <c r="AR618">
        <f>IFERROR(INDEX(PP_Grid[#Data],$DE618,41),0)</f>
        <v/>
      </c>
      <c r="AS618">
        <f>IFERROR(INDEX(PP_Grid[#Data],$DE618,42),0)</f>
        <v/>
      </c>
      <c r="AT618">
        <f>IFERROR(INDEX(PP_Grid[#Data],$DE618,43),0)</f>
        <v/>
      </c>
      <c r="AU618">
        <f>IFERROR(INDEX(PP_Grid[#Data],$DE618,44),0)</f>
        <v/>
      </c>
      <c r="AV618">
        <f>IFERROR(INDEX(PP_Grid[#Data],$DE618,45),0)</f>
        <v/>
      </c>
      <c r="AW618">
        <f>IFERROR(INDEX(PP_Grid[#Data],$DE618,46),0)</f>
        <v/>
      </c>
      <c r="AX618">
        <f>IFERROR(INDEX(PP_Grid[#Data],$DE618,47),0)</f>
        <v/>
      </c>
      <c r="AY618">
        <f>IFERROR(INDEX(PP_Grid[#Data],$DE618,48),0)</f>
        <v/>
      </c>
      <c r="AZ618">
        <f>IFERROR(INDEX(PP_Grid[#Data],$DE618,49),0)</f>
        <v/>
      </c>
      <c r="BA618">
        <f>IFERROR(INDEX(PP_Grid[#Data],$DE618,50),0)</f>
        <v/>
      </c>
      <c r="BB618">
        <f>IFERROR(INDEX(PP_Grid[#Data],$DE618,51),0)</f>
        <v/>
      </c>
      <c r="BC618">
        <f>IFERROR(INDEX(PP_Grid[#Data],$DE618,52),0)</f>
        <v/>
      </c>
      <c r="BD618">
        <f>IFERROR(INDEX(PP_Grid[#Data],$DE618,53),0)</f>
        <v/>
      </c>
      <c r="BE618">
        <f>IFERROR(INDEX(PP_Grid[#Data],$DE618,54),0)</f>
        <v/>
      </c>
      <c r="BF618">
        <f>IFERROR(INDEX(PP_Grid[#Data],$DE618,55),0)</f>
        <v/>
      </c>
      <c r="BG618">
        <f>IFERROR(INDEX(PP_Grid[#Data],$DE618,56),0)</f>
        <v/>
      </c>
      <c r="BH618">
        <f>IFERROR(INDEX(PP_Grid[#Data],$DE618,57),0)</f>
        <v/>
      </c>
      <c r="BI618">
        <f>IFERROR(INDEX(PP_Grid[#Data],$DE618,58),0)</f>
        <v/>
      </c>
      <c r="BJ618">
        <f>IFERROR(INDEX(PP_Grid[#Data],$DE618,59),0)</f>
        <v/>
      </c>
      <c r="BK618">
        <f>IFERROR(INDEX(PP_Grid[#Data],$DE618,60),0)</f>
        <v/>
      </c>
      <c r="BL618">
        <f>IFERROR(INDEX(PP_Grid[#Data],$DE618,61),0)</f>
        <v/>
      </c>
      <c r="BM618">
        <f>IFERROR(INDEX(PP_Grid[#Data],$DE618,62),0)</f>
        <v/>
      </c>
      <c r="BN618">
        <f>IFERROR(INDEX(PP_Grid[#Data],$DE618,63),0)</f>
        <v/>
      </c>
      <c r="BO618">
        <f>IFERROR(INDEX(PP_Grid[#Data],$DE618,64),0)</f>
        <v/>
      </c>
      <c r="BP618">
        <f>IFERROR(INDEX(PP_Grid[#Data],$DE618,65),0)</f>
        <v/>
      </c>
      <c r="BQ618">
        <f>IFERROR(INDEX(PP_Grid[#Data],$DE618,66),0)</f>
        <v/>
      </c>
      <c r="BR618">
        <f>IFERROR(INDEX(PP_Grid[#Data],$DE618,67),0)</f>
        <v/>
      </c>
      <c r="BS618">
        <f>IFERROR(INDEX(PP_Grid[#Data],$DE618,68),0)</f>
        <v/>
      </c>
      <c r="BT618">
        <f>IFERROR(INDEX(PP_Grid[#Data],$DE618,69),0)</f>
        <v/>
      </c>
      <c r="BU618">
        <f>IFERROR(INDEX(PP_Grid[#Data],$DE618,70),0)</f>
        <v/>
      </c>
      <c r="BV618">
        <f>IFERROR(INDEX(PP_Grid[#Data],$DE618,71),0)</f>
        <v/>
      </c>
      <c r="BW618">
        <f>IFERROR(INDEX(PP_Grid[#Data],$DE618,72),0)</f>
        <v/>
      </c>
      <c r="BX618">
        <f>IFERROR(INDEX(PP_Grid[#Data],$DE618,73),0)</f>
        <v/>
      </c>
      <c r="BY618">
        <f>IFERROR(INDEX(PP_Grid[#Data],$DE618,74),0)</f>
        <v/>
      </c>
      <c r="BZ618">
        <f>IFERROR(INDEX(PP_Grid[#Data],$DE618,75),0)</f>
        <v/>
      </c>
      <c r="CA618">
        <f>IFERROR(INDEX(PP_Grid[#Data],$DE618,76),0)</f>
        <v/>
      </c>
      <c r="CB618">
        <f>IFERROR(INDEX(PP_Grid[#Data],$DE618,77),0)</f>
        <v/>
      </c>
      <c r="CC618">
        <f>IFERROR(INDEX(PP_Grid[#Data],$DE618,78),0)</f>
        <v/>
      </c>
      <c r="CD618">
        <f>IFERROR(INDEX(PP_Grid[#Data],$DE618,79),0)</f>
        <v/>
      </c>
      <c r="CE618">
        <f>IFERROR(INDEX(PP_Grid[#Data],$DE618,80),0)</f>
        <v/>
      </c>
      <c r="CF618">
        <f>IFERROR(INDEX(PP_Grid[#Data],$DE618,81),0)</f>
        <v/>
      </c>
      <c r="CG618">
        <f>IFERROR(INDEX(PP_Grid[#Data],$DE618,82),0)</f>
        <v/>
      </c>
      <c r="CH618">
        <f>IFERROR(INDEX(PP_Grid[#Data],$DE618,83),0)</f>
        <v/>
      </c>
      <c r="CI618">
        <f>IFERROR(INDEX(PP_Grid[#Data],$DE618,84),0)</f>
        <v/>
      </c>
      <c r="CJ618">
        <f>IFERROR(INDEX(PP_Grid[#Data],$DE618,85),0)</f>
        <v/>
      </c>
      <c r="CK618">
        <f>IFERROR(INDEX(PP_Grid[#Data],$DE618,86),0)</f>
        <v/>
      </c>
      <c r="CL618">
        <f>IFERROR(INDEX(PP_Grid[#Data],$DE618,87),0)</f>
        <v/>
      </c>
      <c r="CM618">
        <f>IFERROR(INDEX(PP_Grid[#Data],$DE618,88),0)</f>
        <v/>
      </c>
      <c r="CN618">
        <f>IFERROR(INDEX(PP_Grid[#Data],$DE618,89),0)</f>
        <v/>
      </c>
      <c r="CO618">
        <f>IFERROR(INDEX(PP_Grid[#Data],$DE618,90),0)</f>
        <v/>
      </c>
      <c r="CP618">
        <f>IFERROR(INDEX(PP_Grid[#Data],$DE618,91),0)</f>
        <v/>
      </c>
      <c r="CQ618">
        <f>IFERROR(INDEX(PP_Grid[#Data],$DE618,92),0)</f>
        <v/>
      </c>
      <c r="CR618">
        <f>IFERROR(INDEX(PP_Grid[#Data],$DE618,93),0)</f>
        <v/>
      </c>
      <c r="CS618">
        <f>IFERROR(INDEX(PP_Grid[#Data],$DE618,94),0)</f>
        <v/>
      </c>
      <c r="CT618">
        <f>IFERROR(INDEX(PP_Grid[#Data],$DE618,95),0)</f>
        <v/>
      </c>
      <c r="CU618">
        <f>IFERROR(INDEX(PP_Grid[#Data],$DE618,96),0)</f>
        <v/>
      </c>
      <c r="CV618">
        <f>IFERROR(INDEX(PP_Grid[#Data],$DE618,97),0)</f>
        <v/>
      </c>
      <c r="CW618">
        <f>IFERROR(INDEX(PP_Grid[#Data],$DE618,98),0)</f>
        <v/>
      </c>
      <c r="CX618">
        <f>IFERROR(INDEX(PP_Grid[#Data],$DE618,99),0)</f>
        <v/>
      </c>
      <c r="CY618">
        <f>IFERROR(INDEX(PP_Grid[#Data],$DE618,100),0)</f>
        <v/>
      </c>
      <c r="CZ618">
        <f>IFERROR(INDEX(PP_Grid[#Data],$DE618,101),0)</f>
        <v/>
      </c>
      <c r="DA618">
        <f>IFERROR(INDEX(PP_Grid[#Data],$DE618,102),0)</f>
        <v/>
      </c>
      <c r="DB618">
        <f>IFERROR(INDEX(PP_Grid[#Data],$DE618,103),0)</f>
        <v/>
      </c>
      <c r="DC618">
        <f>IFERROR(INDEX(PP_Grid[#Data],$DE618,104),0)</f>
        <v/>
      </c>
      <c r="DD618">
        <f>IFERROR(INDEX(PP_Grid[#Data],$DE618,105),0)</f>
        <v/>
      </c>
      <c r="DE618" s="7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SUMIFS(M_BOM[RM_Qty_Per_Batch],M_BOM[Intermediate],$B618,M_BOM[RM_Code],$A615)</f>
        <v/>
      </c>
      <c r="D619">
        <f>IFERROR(INDEX(E619:DD619,$F$1),"")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  <c r="DD619">
        <f>$C619*DD618</f>
        <v/>
      </c>
    </row>
    <row r="620">
      <c r="B620" t="inlineStr">
        <is>
          <t>TSP-105</t>
        </is>
      </c>
      <c r="C620" t="inlineStr">
        <is>
          <t>No. of batches</t>
        </is>
      </c>
      <c r="D620">
        <f>IFERROR(INDEX(E620:DD620,$F$1),"")</f>
        <v/>
      </c>
      <c r="E620">
        <f>IFERROR(INDEX(PP_Grid[#Data],$DE620,2),0)</f>
        <v/>
      </c>
      <c r="F620">
        <f>IFERROR(INDEX(PP_Grid[#Data],$DE620,3),0)</f>
        <v/>
      </c>
      <c r="G620">
        <f>IFERROR(INDEX(PP_Grid[#Data],$DE620,4),0)</f>
        <v/>
      </c>
      <c r="H620">
        <f>IFERROR(INDEX(PP_Grid[#Data],$DE620,5),0)</f>
        <v/>
      </c>
      <c r="I620">
        <f>IFERROR(INDEX(PP_Grid[#Data],$DE620,6),0)</f>
        <v/>
      </c>
      <c r="J620">
        <f>IFERROR(INDEX(PP_Grid[#Data],$DE620,7),0)</f>
        <v/>
      </c>
      <c r="K620">
        <f>IFERROR(INDEX(PP_Grid[#Data],$DE620,8),0)</f>
        <v/>
      </c>
      <c r="L620">
        <f>IFERROR(INDEX(PP_Grid[#Data],$DE620,9),0)</f>
        <v/>
      </c>
      <c r="M620">
        <f>IFERROR(INDEX(PP_Grid[#Data],$DE620,10),0)</f>
        <v/>
      </c>
      <c r="N620">
        <f>IFERROR(INDEX(PP_Grid[#Data],$DE620,11),0)</f>
        <v/>
      </c>
      <c r="O620">
        <f>IFERROR(INDEX(PP_Grid[#Data],$DE620,12),0)</f>
        <v/>
      </c>
      <c r="P620">
        <f>IFERROR(INDEX(PP_Grid[#Data],$DE620,13),0)</f>
        <v/>
      </c>
      <c r="Q620">
        <f>IFERROR(INDEX(PP_Grid[#Data],$DE620,14),0)</f>
        <v/>
      </c>
      <c r="R620">
        <f>IFERROR(INDEX(PP_Grid[#Data],$DE620,15),0)</f>
        <v/>
      </c>
      <c r="S620">
        <f>IFERROR(INDEX(PP_Grid[#Data],$DE620,16),0)</f>
        <v/>
      </c>
      <c r="T620">
        <f>IFERROR(INDEX(PP_Grid[#Data],$DE620,17),0)</f>
        <v/>
      </c>
      <c r="U620">
        <f>IFERROR(INDEX(PP_Grid[#Data],$DE620,18),0)</f>
        <v/>
      </c>
      <c r="V620">
        <f>IFERROR(INDEX(PP_Grid[#Data],$DE620,19),0)</f>
        <v/>
      </c>
      <c r="W620">
        <f>IFERROR(INDEX(PP_Grid[#Data],$DE620,20),0)</f>
        <v/>
      </c>
      <c r="X620">
        <f>IFERROR(INDEX(PP_Grid[#Data],$DE620,21),0)</f>
        <v/>
      </c>
      <c r="Y620">
        <f>IFERROR(INDEX(PP_Grid[#Data],$DE620,22),0)</f>
        <v/>
      </c>
      <c r="Z620">
        <f>IFERROR(INDEX(PP_Grid[#Data],$DE620,23),0)</f>
        <v/>
      </c>
      <c r="AA620">
        <f>IFERROR(INDEX(PP_Grid[#Data],$DE620,24),0)</f>
        <v/>
      </c>
      <c r="AB620">
        <f>IFERROR(INDEX(PP_Grid[#Data],$DE620,25),0)</f>
        <v/>
      </c>
      <c r="AC620">
        <f>IFERROR(INDEX(PP_Grid[#Data],$DE620,26),0)</f>
        <v/>
      </c>
      <c r="AD620">
        <f>IFERROR(INDEX(PP_Grid[#Data],$DE620,27),0)</f>
        <v/>
      </c>
      <c r="AE620">
        <f>IFERROR(INDEX(PP_Grid[#Data],$DE620,28),0)</f>
        <v/>
      </c>
      <c r="AF620">
        <f>IFERROR(INDEX(PP_Grid[#Data],$DE620,29),0)</f>
        <v/>
      </c>
      <c r="AG620">
        <f>IFERROR(INDEX(PP_Grid[#Data],$DE620,30),0)</f>
        <v/>
      </c>
      <c r="AH620">
        <f>IFERROR(INDEX(PP_Grid[#Data],$DE620,31),0)</f>
        <v/>
      </c>
      <c r="AI620">
        <f>IFERROR(INDEX(PP_Grid[#Data],$DE620,32),0)</f>
        <v/>
      </c>
      <c r="AJ620">
        <f>IFERROR(INDEX(PP_Grid[#Data],$DE620,33),0)</f>
        <v/>
      </c>
      <c r="AK620">
        <f>IFERROR(INDEX(PP_Grid[#Data],$DE620,34),0)</f>
        <v/>
      </c>
      <c r="AL620">
        <f>IFERROR(INDEX(PP_Grid[#Data],$DE620,35),0)</f>
        <v/>
      </c>
      <c r="AM620">
        <f>IFERROR(INDEX(PP_Grid[#Data],$DE620,36),0)</f>
        <v/>
      </c>
      <c r="AN620">
        <f>IFERROR(INDEX(PP_Grid[#Data],$DE620,37),0)</f>
        <v/>
      </c>
      <c r="AO620">
        <f>IFERROR(INDEX(PP_Grid[#Data],$DE620,38),0)</f>
        <v/>
      </c>
      <c r="AP620">
        <f>IFERROR(INDEX(PP_Grid[#Data],$DE620,39),0)</f>
        <v/>
      </c>
      <c r="AQ620">
        <f>IFERROR(INDEX(PP_Grid[#Data],$DE620,40),0)</f>
        <v/>
      </c>
      <c r="AR620">
        <f>IFERROR(INDEX(PP_Grid[#Data],$DE620,41),0)</f>
        <v/>
      </c>
      <c r="AS620">
        <f>IFERROR(INDEX(PP_Grid[#Data],$DE620,42),0)</f>
        <v/>
      </c>
      <c r="AT620">
        <f>IFERROR(INDEX(PP_Grid[#Data],$DE620,43),0)</f>
        <v/>
      </c>
      <c r="AU620">
        <f>IFERROR(INDEX(PP_Grid[#Data],$DE620,44),0)</f>
        <v/>
      </c>
      <c r="AV620">
        <f>IFERROR(INDEX(PP_Grid[#Data],$DE620,45),0)</f>
        <v/>
      </c>
      <c r="AW620">
        <f>IFERROR(INDEX(PP_Grid[#Data],$DE620,46),0)</f>
        <v/>
      </c>
      <c r="AX620">
        <f>IFERROR(INDEX(PP_Grid[#Data],$DE620,47),0)</f>
        <v/>
      </c>
      <c r="AY620">
        <f>IFERROR(INDEX(PP_Grid[#Data],$DE620,48),0)</f>
        <v/>
      </c>
      <c r="AZ620">
        <f>IFERROR(INDEX(PP_Grid[#Data],$DE620,49),0)</f>
        <v/>
      </c>
      <c r="BA620">
        <f>IFERROR(INDEX(PP_Grid[#Data],$DE620,50),0)</f>
        <v/>
      </c>
      <c r="BB620">
        <f>IFERROR(INDEX(PP_Grid[#Data],$DE620,51),0)</f>
        <v/>
      </c>
      <c r="BC620">
        <f>IFERROR(INDEX(PP_Grid[#Data],$DE620,52),0)</f>
        <v/>
      </c>
      <c r="BD620">
        <f>IFERROR(INDEX(PP_Grid[#Data],$DE620,53),0)</f>
        <v/>
      </c>
      <c r="BE620">
        <f>IFERROR(INDEX(PP_Grid[#Data],$DE620,54),0)</f>
        <v/>
      </c>
      <c r="BF620">
        <f>IFERROR(INDEX(PP_Grid[#Data],$DE620,55),0)</f>
        <v/>
      </c>
      <c r="BG620">
        <f>IFERROR(INDEX(PP_Grid[#Data],$DE620,56),0)</f>
        <v/>
      </c>
      <c r="BH620">
        <f>IFERROR(INDEX(PP_Grid[#Data],$DE620,57),0)</f>
        <v/>
      </c>
      <c r="BI620">
        <f>IFERROR(INDEX(PP_Grid[#Data],$DE620,58),0)</f>
        <v/>
      </c>
      <c r="BJ620">
        <f>IFERROR(INDEX(PP_Grid[#Data],$DE620,59),0)</f>
        <v/>
      </c>
      <c r="BK620">
        <f>IFERROR(INDEX(PP_Grid[#Data],$DE620,60),0)</f>
        <v/>
      </c>
      <c r="BL620">
        <f>IFERROR(INDEX(PP_Grid[#Data],$DE620,61),0)</f>
        <v/>
      </c>
      <c r="BM620">
        <f>IFERROR(INDEX(PP_Grid[#Data],$DE620,62),0)</f>
        <v/>
      </c>
      <c r="BN620">
        <f>IFERROR(INDEX(PP_Grid[#Data],$DE620,63),0)</f>
        <v/>
      </c>
      <c r="BO620">
        <f>IFERROR(INDEX(PP_Grid[#Data],$DE620,64),0)</f>
        <v/>
      </c>
      <c r="BP620">
        <f>IFERROR(INDEX(PP_Grid[#Data],$DE620,65),0)</f>
        <v/>
      </c>
      <c r="BQ620">
        <f>IFERROR(INDEX(PP_Grid[#Data],$DE620,66),0)</f>
        <v/>
      </c>
      <c r="BR620">
        <f>IFERROR(INDEX(PP_Grid[#Data],$DE620,67),0)</f>
        <v/>
      </c>
      <c r="BS620">
        <f>IFERROR(INDEX(PP_Grid[#Data],$DE620,68),0)</f>
        <v/>
      </c>
      <c r="BT620">
        <f>IFERROR(INDEX(PP_Grid[#Data],$DE620,69),0)</f>
        <v/>
      </c>
      <c r="BU620">
        <f>IFERROR(INDEX(PP_Grid[#Data],$DE620,70),0)</f>
        <v/>
      </c>
      <c r="BV620">
        <f>IFERROR(INDEX(PP_Grid[#Data],$DE620,71),0)</f>
        <v/>
      </c>
      <c r="BW620">
        <f>IFERROR(INDEX(PP_Grid[#Data],$DE620,72),0)</f>
        <v/>
      </c>
      <c r="BX620">
        <f>IFERROR(INDEX(PP_Grid[#Data],$DE620,73),0)</f>
        <v/>
      </c>
      <c r="BY620">
        <f>IFERROR(INDEX(PP_Grid[#Data],$DE620,74),0)</f>
        <v/>
      </c>
      <c r="BZ620">
        <f>IFERROR(INDEX(PP_Grid[#Data],$DE620,75),0)</f>
        <v/>
      </c>
      <c r="CA620">
        <f>IFERROR(INDEX(PP_Grid[#Data],$DE620,76),0)</f>
        <v/>
      </c>
      <c r="CB620">
        <f>IFERROR(INDEX(PP_Grid[#Data],$DE620,77),0)</f>
        <v/>
      </c>
      <c r="CC620">
        <f>IFERROR(INDEX(PP_Grid[#Data],$DE620,78),0)</f>
        <v/>
      </c>
      <c r="CD620">
        <f>IFERROR(INDEX(PP_Grid[#Data],$DE620,79),0)</f>
        <v/>
      </c>
      <c r="CE620">
        <f>IFERROR(INDEX(PP_Grid[#Data],$DE620,80),0)</f>
        <v/>
      </c>
      <c r="CF620">
        <f>IFERROR(INDEX(PP_Grid[#Data],$DE620,81),0)</f>
        <v/>
      </c>
      <c r="CG620">
        <f>IFERROR(INDEX(PP_Grid[#Data],$DE620,82),0)</f>
        <v/>
      </c>
      <c r="CH620">
        <f>IFERROR(INDEX(PP_Grid[#Data],$DE620,83),0)</f>
        <v/>
      </c>
      <c r="CI620">
        <f>IFERROR(INDEX(PP_Grid[#Data],$DE620,84),0)</f>
        <v/>
      </c>
      <c r="CJ620">
        <f>IFERROR(INDEX(PP_Grid[#Data],$DE620,85),0)</f>
        <v/>
      </c>
      <c r="CK620">
        <f>IFERROR(INDEX(PP_Grid[#Data],$DE620,86),0)</f>
        <v/>
      </c>
      <c r="CL620">
        <f>IFERROR(INDEX(PP_Grid[#Data],$DE620,87),0)</f>
        <v/>
      </c>
      <c r="CM620">
        <f>IFERROR(INDEX(PP_Grid[#Data],$DE620,88),0)</f>
        <v/>
      </c>
      <c r="CN620">
        <f>IFERROR(INDEX(PP_Grid[#Data],$DE620,89),0)</f>
        <v/>
      </c>
      <c r="CO620">
        <f>IFERROR(INDEX(PP_Grid[#Data],$DE620,90),0)</f>
        <v/>
      </c>
      <c r="CP620">
        <f>IFERROR(INDEX(PP_Grid[#Data],$DE620,91),0)</f>
        <v/>
      </c>
      <c r="CQ620">
        <f>IFERROR(INDEX(PP_Grid[#Data],$DE620,92),0)</f>
        <v/>
      </c>
      <c r="CR620">
        <f>IFERROR(INDEX(PP_Grid[#Data],$DE620,93),0)</f>
        <v/>
      </c>
      <c r="CS620">
        <f>IFERROR(INDEX(PP_Grid[#Data],$DE620,94),0)</f>
        <v/>
      </c>
      <c r="CT620">
        <f>IFERROR(INDEX(PP_Grid[#Data],$DE620,95),0)</f>
        <v/>
      </c>
      <c r="CU620">
        <f>IFERROR(INDEX(PP_Grid[#Data],$DE620,96),0)</f>
        <v/>
      </c>
      <c r="CV620">
        <f>IFERROR(INDEX(PP_Grid[#Data],$DE620,97),0)</f>
        <v/>
      </c>
      <c r="CW620">
        <f>IFERROR(INDEX(PP_Grid[#Data],$DE620,98),0)</f>
        <v/>
      </c>
      <c r="CX620">
        <f>IFERROR(INDEX(PP_Grid[#Data],$DE620,99),0)</f>
        <v/>
      </c>
      <c r="CY620">
        <f>IFERROR(INDEX(PP_Grid[#Data],$DE620,100),0)</f>
        <v/>
      </c>
      <c r="CZ620">
        <f>IFERROR(INDEX(PP_Grid[#Data],$DE620,101),0)</f>
        <v/>
      </c>
      <c r="DA620">
        <f>IFERROR(INDEX(PP_Grid[#Data],$DE620,102),0)</f>
        <v/>
      </c>
      <c r="DB620">
        <f>IFERROR(INDEX(PP_Grid[#Data],$DE620,103),0)</f>
        <v/>
      </c>
      <c r="DC620">
        <f>IFERROR(INDEX(PP_Grid[#Data],$DE620,104),0)</f>
        <v/>
      </c>
      <c r="DD620">
        <f>IFERROR(INDEX(PP_Grid[#Data],$DE620,105),0)</f>
        <v/>
      </c>
      <c r="DE620" s="7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SUMIFS(M_BOM[RM_Qty_Per_Batch],M_BOM[Intermediate],$B620,M_BOM[RM_Code],$A615)</f>
        <v/>
      </c>
      <c r="D621">
        <f>IFERROR(INDEX(E621:DD621,$F$1),"")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  <c r="DD621">
        <f>$C621*DD620</f>
        <v/>
      </c>
    </row>
    <row r="622">
      <c r="B622" t="inlineStr">
        <is>
          <t>TSP-199</t>
        </is>
      </c>
      <c r="C622" t="inlineStr">
        <is>
          <t>No. of batches</t>
        </is>
      </c>
      <c r="D622">
        <f>IFERROR(INDEX(E622:DD622,$F$1),"")</f>
        <v/>
      </c>
      <c r="E622">
        <f>IFERROR(INDEX(PP_Grid[#Data],$DE622,2),0)</f>
        <v/>
      </c>
      <c r="F622">
        <f>IFERROR(INDEX(PP_Grid[#Data],$DE622,3),0)</f>
        <v/>
      </c>
      <c r="G622">
        <f>IFERROR(INDEX(PP_Grid[#Data],$DE622,4),0)</f>
        <v/>
      </c>
      <c r="H622">
        <f>IFERROR(INDEX(PP_Grid[#Data],$DE622,5),0)</f>
        <v/>
      </c>
      <c r="I622">
        <f>IFERROR(INDEX(PP_Grid[#Data],$DE622,6),0)</f>
        <v/>
      </c>
      <c r="J622">
        <f>IFERROR(INDEX(PP_Grid[#Data],$DE622,7),0)</f>
        <v/>
      </c>
      <c r="K622">
        <f>IFERROR(INDEX(PP_Grid[#Data],$DE622,8),0)</f>
        <v/>
      </c>
      <c r="L622">
        <f>IFERROR(INDEX(PP_Grid[#Data],$DE622,9),0)</f>
        <v/>
      </c>
      <c r="M622">
        <f>IFERROR(INDEX(PP_Grid[#Data],$DE622,10),0)</f>
        <v/>
      </c>
      <c r="N622">
        <f>IFERROR(INDEX(PP_Grid[#Data],$DE622,11),0)</f>
        <v/>
      </c>
      <c r="O622">
        <f>IFERROR(INDEX(PP_Grid[#Data],$DE622,12),0)</f>
        <v/>
      </c>
      <c r="P622">
        <f>IFERROR(INDEX(PP_Grid[#Data],$DE622,13),0)</f>
        <v/>
      </c>
      <c r="Q622">
        <f>IFERROR(INDEX(PP_Grid[#Data],$DE622,14),0)</f>
        <v/>
      </c>
      <c r="R622">
        <f>IFERROR(INDEX(PP_Grid[#Data],$DE622,15),0)</f>
        <v/>
      </c>
      <c r="S622">
        <f>IFERROR(INDEX(PP_Grid[#Data],$DE622,16),0)</f>
        <v/>
      </c>
      <c r="T622">
        <f>IFERROR(INDEX(PP_Grid[#Data],$DE622,17),0)</f>
        <v/>
      </c>
      <c r="U622">
        <f>IFERROR(INDEX(PP_Grid[#Data],$DE622,18),0)</f>
        <v/>
      </c>
      <c r="V622">
        <f>IFERROR(INDEX(PP_Grid[#Data],$DE622,19),0)</f>
        <v/>
      </c>
      <c r="W622">
        <f>IFERROR(INDEX(PP_Grid[#Data],$DE622,20),0)</f>
        <v/>
      </c>
      <c r="X622">
        <f>IFERROR(INDEX(PP_Grid[#Data],$DE622,21),0)</f>
        <v/>
      </c>
      <c r="Y622">
        <f>IFERROR(INDEX(PP_Grid[#Data],$DE622,22),0)</f>
        <v/>
      </c>
      <c r="Z622">
        <f>IFERROR(INDEX(PP_Grid[#Data],$DE622,23),0)</f>
        <v/>
      </c>
      <c r="AA622">
        <f>IFERROR(INDEX(PP_Grid[#Data],$DE622,24),0)</f>
        <v/>
      </c>
      <c r="AB622">
        <f>IFERROR(INDEX(PP_Grid[#Data],$DE622,25),0)</f>
        <v/>
      </c>
      <c r="AC622">
        <f>IFERROR(INDEX(PP_Grid[#Data],$DE622,26),0)</f>
        <v/>
      </c>
      <c r="AD622">
        <f>IFERROR(INDEX(PP_Grid[#Data],$DE622,27),0)</f>
        <v/>
      </c>
      <c r="AE622">
        <f>IFERROR(INDEX(PP_Grid[#Data],$DE622,28),0)</f>
        <v/>
      </c>
      <c r="AF622">
        <f>IFERROR(INDEX(PP_Grid[#Data],$DE622,29),0)</f>
        <v/>
      </c>
      <c r="AG622">
        <f>IFERROR(INDEX(PP_Grid[#Data],$DE622,30),0)</f>
        <v/>
      </c>
      <c r="AH622">
        <f>IFERROR(INDEX(PP_Grid[#Data],$DE622,31),0)</f>
        <v/>
      </c>
      <c r="AI622">
        <f>IFERROR(INDEX(PP_Grid[#Data],$DE622,32),0)</f>
        <v/>
      </c>
      <c r="AJ622">
        <f>IFERROR(INDEX(PP_Grid[#Data],$DE622,33),0)</f>
        <v/>
      </c>
      <c r="AK622">
        <f>IFERROR(INDEX(PP_Grid[#Data],$DE622,34),0)</f>
        <v/>
      </c>
      <c r="AL622">
        <f>IFERROR(INDEX(PP_Grid[#Data],$DE622,35),0)</f>
        <v/>
      </c>
      <c r="AM622">
        <f>IFERROR(INDEX(PP_Grid[#Data],$DE622,36),0)</f>
        <v/>
      </c>
      <c r="AN622">
        <f>IFERROR(INDEX(PP_Grid[#Data],$DE622,37),0)</f>
        <v/>
      </c>
      <c r="AO622">
        <f>IFERROR(INDEX(PP_Grid[#Data],$DE622,38),0)</f>
        <v/>
      </c>
      <c r="AP622">
        <f>IFERROR(INDEX(PP_Grid[#Data],$DE622,39),0)</f>
        <v/>
      </c>
      <c r="AQ622">
        <f>IFERROR(INDEX(PP_Grid[#Data],$DE622,40),0)</f>
        <v/>
      </c>
      <c r="AR622">
        <f>IFERROR(INDEX(PP_Grid[#Data],$DE622,41),0)</f>
        <v/>
      </c>
      <c r="AS622">
        <f>IFERROR(INDEX(PP_Grid[#Data],$DE622,42),0)</f>
        <v/>
      </c>
      <c r="AT622">
        <f>IFERROR(INDEX(PP_Grid[#Data],$DE622,43),0)</f>
        <v/>
      </c>
      <c r="AU622">
        <f>IFERROR(INDEX(PP_Grid[#Data],$DE622,44),0)</f>
        <v/>
      </c>
      <c r="AV622">
        <f>IFERROR(INDEX(PP_Grid[#Data],$DE622,45),0)</f>
        <v/>
      </c>
      <c r="AW622">
        <f>IFERROR(INDEX(PP_Grid[#Data],$DE622,46),0)</f>
        <v/>
      </c>
      <c r="AX622">
        <f>IFERROR(INDEX(PP_Grid[#Data],$DE622,47),0)</f>
        <v/>
      </c>
      <c r="AY622">
        <f>IFERROR(INDEX(PP_Grid[#Data],$DE622,48),0)</f>
        <v/>
      </c>
      <c r="AZ622">
        <f>IFERROR(INDEX(PP_Grid[#Data],$DE622,49),0)</f>
        <v/>
      </c>
      <c r="BA622">
        <f>IFERROR(INDEX(PP_Grid[#Data],$DE622,50),0)</f>
        <v/>
      </c>
      <c r="BB622">
        <f>IFERROR(INDEX(PP_Grid[#Data],$DE622,51),0)</f>
        <v/>
      </c>
      <c r="BC622">
        <f>IFERROR(INDEX(PP_Grid[#Data],$DE622,52),0)</f>
        <v/>
      </c>
      <c r="BD622">
        <f>IFERROR(INDEX(PP_Grid[#Data],$DE622,53),0)</f>
        <v/>
      </c>
      <c r="BE622">
        <f>IFERROR(INDEX(PP_Grid[#Data],$DE622,54),0)</f>
        <v/>
      </c>
      <c r="BF622">
        <f>IFERROR(INDEX(PP_Grid[#Data],$DE622,55),0)</f>
        <v/>
      </c>
      <c r="BG622">
        <f>IFERROR(INDEX(PP_Grid[#Data],$DE622,56),0)</f>
        <v/>
      </c>
      <c r="BH622">
        <f>IFERROR(INDEX(PP_Grid[#Data],$DE622,57),0)</f>
        <v/>
      </c>
      <c r="BI622">
        <f>IFERROR(INDEX(PP_Grid[#Data],$DE622,58),0)</f>
        <v/>
      </c>
      <c r="BJ622">
        <f>IFERROR(INDEX(PP_Grid[#Data],$DE622,59),0)</f>
        <v/>
      </c>
      <c r="BK622">
        <f>IFERROR(INDEX(PP_Grid[#Data],$DE622,60),0)</f>
        <v/>
      </c>
      <c r="BL622">
        <f>IFERROR(INDEX(PP_Grid[#Data],$DE622,61),0)</f>
        <v/>
      </c>
      <c r="BM622">
        <f>IFERROR(INDEX(PP_Grid[#Data],$DE622,62),0)</f>
        <v/>
      </c>
      <c r="BN622">
        <f>IFERROR(INDEX(PP_Grid[#Data],$DE622,63),0)</f>
        <v/>
      </c>
      <c r="BO622">
        <f>IFERROR(INDEX(PP_Grid[#Data],$DE622,64),0)</f>
        <v/>
      </c>
      <c r="BP622">
        <f>IFERROR(INDEX(PP_Grid[#Data],$DE622,65),0)</f>
        <v/>
      </c>
      <c r="BQ622">
        <f>IFERROR(INDEX(PP_Grid[#Data],$DE622,66),0)</f>
        <v/>
      </c>
      <c r="BR622">
        <f>IFERROR(INDEX(PP_Grid[#Data],$DE622,67),0)</f>
        <v/>
      </c>
      <c r="BS622">
        <f>IFERROR(INDEX(PP_Grid[#Data],$DE622,68),0)</f>
        <v/>
      </c>
      <c r="BT622">
        <f>IFERROR(INDEX(PP_Grid[#Data],$DE622,69),0)</f>
        <v/>
      </c>
      <c r="BU622">
        <f>IFERROR(INDEX(PP_Grid[#Data],$DE622,70),0)</f>
        <v/>
      </c>
      <c r="BV622">
        <f>IFERROR(INDEX(PP_Grid[#Data],$DE622,71),0)</f>
        <v/>
      </c>
      <c r="BW622">
        <f>IFERROR(INDEX(PP_Grid[#Data],$DE622,72),0)</f>
        <v/>
      </c>
      <c r="BX622">
        <f>IFERROR(INDEX(PP_Grid[#Data],$DE622,73),0)</f>
        <v/>
      </c>
      <c r="BY622">
        <f>IFERROR(INDEX(PP_Grid[#Data],$DE622,74),0)</f>
        <v/>
      </c>
      <c r="BZ622">
        <f>IFERROR(INDEX(PP_Grid[#Data],$DE622,75),0)</f>
        <v/>
      </c>
      <c r="CA622">
        <f>IFERROR(INDEX(PP_Grid[#Data],$DE622,76),0)</f>
        <v/>
      </c>
      <c r="CB622">
        <f>IFERROR(INDEX(PP_Grid[#Data],$DE622,77),0)</f>
        <v/>
      </c>
      <c r="CC622">
        <f>IFERROR(INDEX(PP_Grid[#Data],$DE622,78),0)</f>
        <v/>
      </c>
      <c r="CD622">
        <f>IFERROR(INDEX(PP_Grid[#Data],$DE622,79),0)</f>
        <v/>
      </c>
      <c r="CE622">
        <f>IFERROR(INDEX(PP_Grid[#Data],$DE622,80),0)</f>
        <v/>
      </c>
      <c r="CF622">
        <f>IFERROR(INDEX(PP_Grid[#Data],$DE622,81),0)</f>
        <v/>
      </c>
      <c r="CG622">
        <f>IFERROR(INDEX(PP_Grid[#Data],$DE622,82),0)</f>
        <v/>
      </c>
      <c r="CH622">
        <f>IFERROR(INDEX(PP_Grid[#Data],$DE622,83),0)</f>
        <v/>
      </c>
      <c r="CI622">
        <f>IFERROR(INDEX(PP_Grid[#Data],$DE622,84),0)</f>
        <v/>
      </c>
      <c r="CJ622">
        <f>IFERROR(INDEX(PP_Grid[#Data],$DE622,85),0)</f>
        <v/>
      </c>
      <c r="CK622">
        <f>IFERROR(INDEX(PP_Grid[#Data],$DE622,86),0)</f>
        <v/>
      </c>
      <c r="CL622">
        <f>IFERROR(INDEX(PP_Grid[#Data],$DE622,87),0)</f>
        <v/>
      </c>
      <c r="CM622">
        <f>IFERROR(INDEX(PP_Grid[#Data],$DE622,88),0)</f>
        <v/>
      </c>
      <c r="CN622">
        <f>IFERROR(INDEX(PP_Grid[#Data],$DE622,89),0)</f>
        <v/>
      </c>
      <c r="CO622">
        <f>IFERROR(INDEX(PP_Grid[#Data],$DE622,90),0)</f>
        <v/>
      </c>
      <c r="CP622">
        <f>IFERROR(INDEX(PP_Grid[#Data],$DE622,91),0)</f>
        <v/>
      </c>
      <c r="CQ622">
        <f>IFERROR(INDEX(PP_Grid[#Data],$DE622,92),0)</f>
        <v/>
      </c>
      <c r="CR622">
        <f>IFERROR(INDEX(PP_Grid[#Data],$DE622,93),0)</f>
        <v/>
      </c>
      <c r="CS622">
        <f>IFERROR(INDEX(PP_Grid[#Data],$DE622,94),0)</f>
        <v/>
      </c>
      <c r="CT622">
        <f>IFERROR(INDEX(PP_Grid[#Data],$DE622,95),0)</f>
        <v/>
      </c>
      <c r="CU622">
        <f>IFERROR(INDEX(PP_Grid[#Data],$DE622,96),0)</f>
        <v/>
      </c>
      <c r="CV622">
        <f>IFERROR(INDEX(PP_Grid[#Data],$DE622,97),0)</f>
        <v/>
      </c>
      <c r="CW622">
        <f>IFERROR(INDEX(PP_Grid[#Data],$DE622,98),0)</f>
        <v/>
      </c>
      <c r="CX622">
        <f>IFERROR(INDEX(PP_Grid[#Data],$DE622,99),0)</f>
        <v/>
      </c>
      <c r="CY622">
        <f>IFERROR(INDEX(PP_Grid[#Data],$DE622,100),0)</f>
        <v/>
      </c>
      <c r="CZ622">
        <f>IFERROR(INDEX(PP_Grid[#Data],$DE622,101),0)</f>
        <v/>
      </c>
      <c r="DA622">
        <f>IFERROR(INDEX(PP_Grid[#Data],$DE622,102),0)</f>
        <v/>
      </c>
      <c r="DB622">
        <f>IFERROR(INDEX(PP_Grid[#Data],$DE622,103),0)</f>
        <v/>
      </c>
      <c r="DC622">
        <f>IFERROR(INDEX(PP_Grid[#Data],$DE622,104),0)</f>
        <v/>
      </c>
      <c r="DD622">
        <f>IFERROR(INDEX(PP_Grid[#Data],$DE622,105),0)</f>
        <v/>
      </c>
      <c r="DE622" s="7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SUMIFS(M_BOM[RM_Qty_Per_Batch],M_BOM[Intermediate],$B622,M_BOM[RM_Code],$A615)</f>
        <v/>
      </c>
      <c r="D623">
        <f>IFERROR(INDEX(E623:DD623,$F$1),"")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  <c r="DD623">
        <f>$C623*DD622</f>
        <v/>
      </c>
    </row>
    <row r="624">
      <c r="B624" t="inlineStr">
        <is>
          <t>TSP-205</t>
        </is>
      </c>
      <c r="C624" t="inlineStr">
        <is>
          <t>No. of batches</t>
        </is>
      </c>
      <c r="D624">
        <f>IFERROR(INDEX(E624:DD624,$F$1),"")</f>
        <v/>
      </c>
      <c r="E624">
        <f>IFERROR(INDEX(PP_Grid[#Data],$DE624,2),0)</f>
        <v/>
      </c>
      <c r="F624">
        <f>IFERROR(INDEX(PP_Grid[#Data],$DE624,3),0)</f>
        <v/>
      </c>
      <c r="G624">
        <f>IFERROR(INDEX(PP_Grid[#Data],$DE624,4),0)</f>
        <v/>
      </c>
      <c r="H624">
        <f>IFERROR(INDEX(PP_Grid[#Data],$DE624,5),0)</f>
        <v/>
      </c>
      <c r="I624">
        <f>IFERROR(INDEX(PP_Grid[#Data],$DE624,6),0)</f>
        <v/>
      </c>
      <c r="J624">
        <f>IFERROR(INDEX(PP_Grid[#Data],$DE624,7),0)</f>
        <v/>
      </c>
      <c r="K624">
        <f>IFERROR(INDEX(PP_Grid[#Data],$DE624,8),0)</f>
        <v/>
      </c>
      <c r="L624">
        <f>IFERROR(INDEX(PP_Grid[#Data],$DE624,9),0)</f>
        <v/>
      </c>
      <c r="M624">
        <f>IFERROR(INDEX(PP_Grid[#Data],$DE624,10),0)</f>
        <v/>
      </c>
      <c r="N624">
        <f>IFERROR(INDEX(PP_Grid[#Data],$DE624,11),0)</f>
        <v/>
      </c>
      <c r="O624">
        <f>IFERROR(INDEX(PP_Grid[#Data],$DE624,12),0)</f>
        <v/>
      </c>
      <c r="P624">
        <f>IFERROR(INDEX(PP_Grid[#Data],$DE624,13),0)</f>
        <v/>
      </c>
      <c r="Q624">
        <f>IFERROR(INDEX(PP_Grid[#Data],$DE624,14),0)</f>
        <v/>
      </c>
      <c r="R624">
        <f>IFERROR(INDEX(PP_Grid[#Data],$DE624,15),0)</f>
        <v/>
      </c>
      <c r="S624">
        <f>IFERROR(INDEX(PP_Grid[#Data],$DE624,16),0)</f>
        <v/>
      </c>
      <c r="T624">
        <f>IFERROR(INDEX(PP_Grid[#Data],$DE624,17),0)</f>
        <v/>
      </c>
      <c r="U624">
        <f>IFERROR(INDEX(PP_Grid[#Data],$DE624,18),0)</f>
        <v/>
      </c>
      <c r="V624">
        <f>IFERROR(INDEX(PP_Grid[#Data],$DE624,19),0)</f>
        <v/>
      </c>
      <c r="W624">
        <f>IFERROR(INDEX(PP_Grid[#Data],$DE624,20),0)</f>
        <v/>
      </c>
      <c r="X624">
        <f>IFERROR(INDEX(PP_Grid[#Data],$DE624,21),0)</f>
        <v/>
      </c>
      <c r="Y624">
        <f>IFERROR(INDEX(PP_Grid[#Data],$DE624,22),0)</f>
        <v/>
      </c>
      <c r="Z624">
        <f>IFERROR(INDEX(PP_Grid[#Data],$DE624,23),0)</f>
        <v/>
      </c>
      <c r="AA624">
        <f>IFERROR(INDEX(PP_Grid[#Data],$DE624,24),0)</f>
        <v/>
      </c>
      <c r="AB624">
        <f>IFERROR(INDEX(PP_Grid[#Data],$DE624,25),0)</f>
        <v/>
      </c>
      <c r="AC624">
        <f>IFERROR(INDEX(PP_Grid[#Data],$DE624,26),0)</f>
        <v/>
      </c>
      <c r="AD624">
        <f>IFERROR(INDEX(PP_Grid[#Data],$DE624,27),0)</f>
        <v/>
      </c>
      <c r="AE624">
        <f>IFERROR(INDEX(PP_Grid[#Data],$DE624,28),0)</f>
        <v/>
      </c>
      <c r="AF624">
        <f>IFERROR(INDEX(PP_Grid[#Data],$DE624,29),0)</f>
        <v/>
      </c>
      <c r="AG624">
        <f>IFERROR(INDEX(PP_Grid[#Data],$DE624,30),0)</f>
        <v/>
      </c>
      <c r="AH624">
        <f>IFERROR(INDEX(PP_Grid[#Data],$DE624,31),0)</f>
        <v/>
      </c>
      <c r="AI624">
        <f>IFERROR(INDEX(PP_Grid[#Data],$DE624,32),0)</f>
        <v/>
      </c>
      <c r="AJ624">
        <f>IFERROR(INDEX(PP_Grid[#Data],$DE624,33),0)</f>
        <v/>
      </c>
      <c r="AK624">
        <f>IFERROR(INDEX(PP_Grid[#Data],$DE624,34),0)</f>
        <v/>
      </c>
      <c r="AL624">
        <f>IFERROR(INDEX(PP_Grid[#Data],$DE624,35),0)</f>
        <v/>
      </c>
      <c r="AM624">
        <f>IFERROR(INDEX(PP_Grid[#Data],$DE624,36),0)</f>
        <v/>
      </c>
      <c r="AN624">
        <f>IFERROR(INDEX(PP_Grid[#Data],$DE624,37),0)</f>
        <v/>
      </c>
      <c r="AO624">
        <f>IFERROR(INDEX(PP_Grid[#Data],$DE624,38),0)</f>
        <v/>
      </c>
      <c r="AP624">
        <f>IFERROR(INDEX(PP_Grid[#Data],$DE624,39),0)</f>
        <v/>
      </c>
      <c r="AQ624">
        <f>IFERROR(INDEX(PP_Grid[#Data],$DE624,40),0)</f>
        <v/>
      </c>
      <c r="AR624">
        <f>IFERROR(INDEX(PP_Grid[#Data],$DE624,41),0)</f>
        <v/>
      </c>
      <c r="AS624">
        <f>IFERROR(INDEX(PP_Grid[#Data],$DE624,42),0)</f>
        <v/>
      </c>
      <c r="AT624">
        <f>IFERROR(INDEX(PP_Grid[#Data],$DE624,43),0)</f>
        <v/>
      </c>
      <c r="AU624">
        <f>IFERROR(INDEX(PP_Grid[#Data],$DE624,44),0)</f>
        <v/>
      </c>
      <c r="AV624">
        <f>IFERROR(INDEX(PP_Grid[#Data],$DE624,45),0)</f>
        <v/>
      </c>
      <c r="AW624">
        <f>IFERROR(INDEX(PP_Grid[#Data],$DE624,46),0)</f>
        <v/>
      </c>
      <c r="AX624">
        <f>IFERROR(INDEX(PP_Grid[#Data],$DE624,47),0)</f>
        <v/>
      </c>
      <c r="AY624">
        <f>IFERROR(INDEX(PP_Grid[#Data],$DE624,48),0)</f>
        <v/>
      </c>
      <c r="AZ624">
        <f>IFERROR(INDEX(PP_Grid[#Data],$DE624,49),0)</f>
        <v/>
      </c>
      <c r="BA624">
        <f>IFERROR(INDEX(PP_Grid[#Data],$DE624,50),0)</f>
        <v/>
      </c>
      <c r="BB624">
        <f>IFERROR(INDEX(PP_Grid[#Data],$DE624,51),0)</f>
        <v/>
      </c>
      <c r="BC624">
        <f>IFERROR(INDEX(PP_Grid[#Data],$DE624,52),0)</f>
        <v/>
      </c>
      <c r="BD624">
        <f>IFERROR(INDEX(PP_Grid[#Data],$DE624,53),0)</f>
        <v/>
      </c>
      <c r="BE624">
        <f>IFERROR(INDEX(PP_Grid[#Data],$DE624,54),0)</f>
        <v/>
      </c>
      <c r="BF624">
        <f>IFERROR(INDEX(PP_Grid[#Data],$DE624,55),0)</f>
        <v/>
      </c>
      <c r="BG624">
        <f>IFERROR(INDEX(PP_Grid[#Data],$DE624,56),0)</f>
        <v/>
      </c>
      <c r="BH624">
        <f>IFERROR(INDEX(PP_Grid[#Data],$DE624,57),0)</f>
        <v/>
      </c>
      <c r="BI624">
        <f>IFERROR(INDEX(PP_Grid[#Data],$DE624,58),0)</f>
        <v/>
      </c>
      <c r="BJ624">
        <f>IFERROR(INDEX(PP_Grid[#Data],$DE624,59),0)</f>
        <v/>
      </c>
      <c r="BK624">
        <f>IFERROR(INDEX(PP_Grid[#Data],$DE624,60),0)</f>
        <v/>
      </c>
      <c r="BL624">
        <f>IFERROR(INDEX(PP_Grid[#Data],$DE624,61),0)</f>
        <v/>
      </c>
      <c r="BM624">
        <f>IFERROR(INDEX(PP_Grid[#Data],$DE624,62),0)</f>
        <v/>
      </c>
      <c r="BN624">
        <f>IFERROR(INDEX(PP_Grid[#Data],$DE624,63),0)</f>
        <v/>
      </c>
      <c r="BO624">
        <f>IFERROR(INDEX(PP_Grid[#Data],$DE624,64),0)</f>
        <v/>
      </c>
      <c r="BP624">
        <f>IFERROR(INDEX(PP_Grid[#Data],$DE624,65),0)</f>
        <v/>
      </c>
      <c r="BQ624">
        <f>IFERROR(INDEX(PP_Grid[#Data],$DE624,66),0)</f>
        <v/>
      </c>
      <c r="BR624">
        <f>IFERROR(INDEX(PP_Grid[#Data],$DE624,67),0)</f>
        <v/>
      </c>
      <c r="BS624">
        <f>IFERROR(INDEX(PP_Grid[#Data],$DE624,68),0)</f>
        <v/>
      </c>
      <c r="BT624">
        <f>IFERROR(INDEX(PP_Grid[#Data],$DE624,69),0)</f>
        <v/>
      </c>
      <c r="BU624">
        <f>IFERROR(INDEX(PP_Grid[#Data],$DE624,70),0)</f>
        <v/>
      </c>
      <c r="BV624">
        <f>IFERROR(INDEX(PP_Grid[#Data],$DE624,71),0)</f>
        <v/>
      </c>
      <c r="BW624">
        <f>IFERROR(INDEX(PP_Grid[#Data],$DE624,72),0)</f>
        <v/>
      </c>
      <c r="BX624">
        <f>IFERROR(INDEX(PP_Grid[#Data],$DE624,73),0)</f>
        <v/>
      </c>
      <c r="BY624">
        <f>IFERROR(INDEX(PP_Grid[#Data],$DE624,74),0)</f>
        <v/>
      </c>
      <c r="BZ624">
        <f>IFERROR(INDEX(PP_Grid[#Data],$DE624,75),0)</f>
        <v/>
      </c>
      <c r="CA624">
        <f>IFERROR(INDEX(PP_Grid[#Data],$DE624,76),0)</f>
        <v/>
      </c>
      <c r="CB624">
        <f>IFERROR(INDEX(PP_Grid[#Data],$DE624,77),0)</f>
        <v/>
      </c>
      <c r="CC624">
        <f>IFERROR(INDEX(PP_Grid[#Data],$DE624,78),0)</f>
        <v/>
      </c>
      <c r="CD624">
        <f>IFERROR(INDEX(PP_Grid[#Data],$DE624,79),0)</f>
        <v/>
      </c>
      <c r="CE624">
        <f>IFERROR(INDEX(PP_Grid[#Data],$DE624,80),0)</f>
        <v/>
      </c>
      <c r="CF624">
        <f>IFERROR(INDEX(PP_Grid[#Data],$DE624,81),0)</f>
        <v/>
      </c>
      <c r="CG624">
        <f>IFERROR(INDEX(PP_Grid[#Data],$DE624,82),0)</f>
        <v/>
      </c>
      <c r="CH624">
        <f>IFERROR(INDEX(PP_Grid[#Data],$DE624,83),0)</f>
        <v/>
      </c>
      <c r="CI624">
        <f>IFERROR(INDEX(PP_Grid[#Data],$DE624,84),0)</f>
        <v/>
      </c>
      <c r="CJ624">
        <f>IFERROR(INDEX(PP_Grid[#Data],$DE624,85),0)</f>
        <v/>
      </c>
      <c r="CK624">
        <f>IFERROR(INDEX(PP_Grid[#Data],$DE624,86),0)</f>
        <v/>
      </c>
      <c r="CL624">
        <f>IFERROR(INDEX(PP_Grid[#Data],$DE624,87),0)</f>
        <v/>
      </c>
      <c r="CM624">
        <f>IFERROR(INDEX(PP_Grid[#Data],$DE624,88),0)</f>
        <v/>
      </c>
      <c r="CN624">
        <f>IFERROR(INDEX(PP_Grid[#Data],$DE624,89),0)</f>
        <v/>
      </c>
      <c r="CO624">
        <f>IFERROR(INDEX(PP_Grid[#Data],$DE624,90),0)</f>
        <v/>
      </c>
      <c r="CP624">
        <f>IFERROR(INDEX(PP_Grid[#Data],$DE624,91),0)</f>
        <v/>
      </c>
      <c r="CQ624">
        <f>IFERROR(INDEX(PP_Grid[#Data],$DE624,92),0)</f>
        <v/>
      </c>
      <c r="CR624">
        <f>IFERROR(INDEX(PP_Grid[#Data],$DE624,93),0)</f>
        <v/>
      </c>
      <c r="CS624">
        <f>IFERROR(INDEX(PP_Grid[#Data],$DE624,94),0)</f>
        <v/>
      </c>
      <c r="CT624">
        <f>IFERROR(INDEX(PP_Grid[#Data],$DE624,95),0)</f>
        <v/>
      </c>
      <c r="CU624">
        <f>IFERROR(INDEX(PP_Grid[#Data],$DE624,96),0)</f>
        <v/>
      </c>
      <c r="CV624">
        <f>IFERROR(INDEX(PP_Grid[#Data],$DE624,97),0)</f>
        <v/>
      </c>
      <c r="CW624">
        <f>IFERROR(INDEX(PP_Grid[#Data],$DE624,98),0)</f>
        <v/>
      </c>
      <c r="CX624">
        <f>IFERROR(INDEX(PP_Grid[#Data],$DE624,99),0)</f>
        <v/>
      </c>
      <c r="CY624">
        <f>IFERROR(INDEX(PP_Grid[#Data],$DE624,100),0)</f>
        <v/>
      </c>
      <c r="CZ624">
        <f>IFERROR(INDEX(PP_Grid[#Data],$DE624,101),0)</f>
        <v/>
      </c>
      <c r="DA624">
        <f>IFERROR(INDEX(PP_Grid[#Data],$DE624,102),0)</f>
        <v/>
      </c>
      <c r="DB624">
        <f>IFERROR(INDEX(PP_Grid[#Data],$DE624,103),0)</f>
        <v/>
      </c>
      <c r="DC624">
        <f>IFERROR(INDEX(PP_Grid[#Data],$DE624,104),0)</f>
        <v/>
      </c>
      <c r="DD624">
        <f>IFERROR(INDEX(PP_Grid[#Data],$DE624,105),0)</f>
        <v/>
      </c>
      <c r="DE624" s="7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SUMIFS(M_BOM[RM_Qty_Per_Batch],M_BOM[Intermediate],$B624,M_BOM[RM_Code],$A615)</f>
        <v/>
      </c>
      <c r="D625">
        <f>IFERROR(INDEX(E625:DD625,$F$1),"")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  <c r="DD625">
        <f>$C625*DD624</f>
        <v/>
      </c>
    </row>
    <row r="626">
      <c r="B626" t="inlineStr">
        <is>
          <t>TSP-206</t>
        </is>
      </c>
      <c r="C626" t="inlineStr">
        <is>
          <t>No. of batches</t>
        </is>
      </c>
      <c r="D626">
        <f>IFERROR(INDEX(E626:DD626,$F$1),"")</f>
        <v/>
      </c>
      <c r="E626">
        <f>IFERROR(INDEX(PP_Grid[#Data],$DE626,2),0)</f>
        <v/>
      </c>
      <c r="F626">
        <f>IFERROR(INDEX(PP_Grid[#Data],$DE626,3),0)</f>
        <v/>
      </c>
      <c r="G626">
        <f>IFERROR(INDEX(PP_Grid[#Data],$DE626,4),0)</f>
        <v/>
      </c>
      <c r="H626">
        <f>IFERROR(INDEX(PP_Grid[#Data],$DE626,5),0)</f>
        <v/>
      </c>
      <c r="I626">
        <f>IFERROR(INDEX(PP_Grid[#Data],$DE626,6),0)</f>
        <v/>
      </c>
      <c r="J626">
        <f>IFERROR(INDEX(PP_Grid[#Data],$DE626,7),0)</f>
        <v/>
      </c>
      <c r="K626">
        <f>IFERROR(INDEX(PP_Grid[#Data],$DE626,8),0)</f>
        <v/>
      </c>
      <c r="L626">
        <f>IFERROR(INDEX(PP_Grid[#Data],$DE626,9),0)</f>
        <v/>
      </c>
      <c r="M626">
        <f>IFERROR(INDEX(PP_Grid[#Data],$DE626,10),0)</f>
        <v/>
      </c>
      <c r="N626">
        <f>IFERROR(INDEX(PP_Grid[#Data],$DE626,11),0)</f>
        <v/>
      </c>
      <c r="O626">
        <f>IFERROR(INDEX(PP_Grid[#Data],$DE626,12),0)</f>
        <v/>
      </c>
      <c r="P626">
        <f>IFERROR(INDEX(PP_Grid[#Data],$DE626,13),0)</f>
        <v/>
      </c>
      <c r="Q626">
        <f>IFERROR(INDEX(PP_Grid[#Data],$DE626,14),0)</f>
        <v/>
      </c>
      <c r="R626">
        <f>IFERROR(INDEX(PP_Grid[#Data],$DE626,15),0)</f>
        <v/>
      </c>
      <c r="S626">
        <f>IFERROR(INDEX(PP_Grid[#Data],$DE626,16),0)</f>
        <v/>
      </c>
      <c r="T626">
        <f>IFERROR(INDEX(PP_Grid[#Data],$DE626,17),0)</f>
        <v/>
      </c>
      <c r="U626">
        <f>IFERROR(INDEX(PP_Grid[#Data],$DE626,18),0)</f>
        <v/>
      </c>
      <c r="V626">
        <f>IFERROR(INDEX(PP_Grid[#Data],$DE626,19),0)</f>
        <v/>
      </c>
      <c r="W626">
        <f>IFERROR(INDEX(PP_Grid[#Data],$DE626,20),0)</f>
        <v/>
      </c>
      <c r="X626">
        <f>IFERROR(INDEX(PP_Grid[#Data],$DE626,21),0)</f>
        <v/>
      </c>
      <c r="Y626">
        <f>IFERROR(INDEX(PP_Grid[#Data],$DE626,22),0)</f>
        <v/>
      </c>
      <c r="Z626">
        <f>IFERROR(INDEX(PP_Grid[#Data],$DE626,23),0)</f>
        <v/>
      </c>
      <c r="AA626">
        <f>IFERROR(INDEX(PP_Grid[#Data],$DE626,24),0)</f>
        <v/>
      </c>
      <c r="AB626">
        <f>IFERROR(INDEX(PP_Grid[#Data],$DE626,25),0)</f>
        <v/>
      </c>
      <c r="AC626">
        <f>IFERROR(INDEX(PP_Grid[#Data],$DE626,26),0)</f>
        <v/>
      </c>
      <c r="AD626">
        <f>IFERROR(INDEX(PP_Grid[#Data],$DE626,27),0)</f>
        <v/>
      </c>
      <c r="AE626">
        <f>IFERROR(INDEX(PP_Grid[#Data],$DE626,28),0)</f>
        <v/>
      </c>
      <c r="AF626">
        <f>IFERROR(INDEX(PP_Grid[#Data],$DE626,29),0)</f>
        <v/>
      </c>
      <c r="AG626">
        <f>IFERROR(INDEX(PP_Grid[#Data],$DE626,30),0)</f>
        <v/>
      </c>
      <c r="AH626">
        <f>IFERROR(INDEX(PP_Grid[#Data],$DE626,31),0)</f>
        <v/>
      </c>
      <c r="AI626">
        <f>IFERROR(INDEX(PP_Grid[#Data],$DE626,32),0)</f>
        <v/>
      </c>
      <c r="AJ626">
        <f>IFERROR(INDEX(PP_Grid[#Data],$DE626,33),0)</f>
        <v/>
      </c>
      <c r="AK626">
        <f>IFERROR(INDEX(PP_Grid[#Data],$DE626,34),0)</f>
        <v/>
      </c>
      <c r="AL626">
        <f>IFERROR(INDEX(PP_Grid[#Data],$DE626,35),0)</f>
        <v/>
      </c>
      <c r="AM626">
        <f>IFERROR(INDEX(PP_Grid[#Data],$DE626,36),0)</f>
        <v/>
      </c>
      <c r="AN626">
        <f>IFERROR(INDEX(PP_Grid[#Data],$DE626,37),0)</f>
        <v/>
      </c>
      <c r="AO626">
        <f>IFERROR(INDEX(PP_Grid[#Data],$DE626,38),0)</f>
        <v/>
      </c>
      <c r="AP626">
        <f>IFERROR(INDEX(PP_Grid[#Data],$DE626,39),0)</f>
        <v/>
      </c>
      <c r="AQ626">
        <f>IFERROR(INDEX(PP_Grid[#Data],$DE626,40),0)</f>
        <v/>
      </c>
      <c r="AR626">
        <f>IFERROR(INDEX(PP_Grid[#Data],$DE626,41),0)</f>
        <v/>
      </c>
      <c r="AS626">
        <f>IFERROR(INDEX(PP_Grid[#Data],$DE626,42),0)</f>
        <v/>
      </c>
      <c r="AT626">
        <f>IFERROR(INDEX(PP_Grid[#Data],$DE626,43),0)</f>
        <v/>
      </c>
      <c r="AU626">
        <f>IFERROR(INDEX(PP_Grid[#Data],$DE626,44),0)</f>
        <v/>
      </c>
      <c r="AV626">
        <f>IFERROR(INDEX(PP_Grid[#Data],$DE626,45),0)</f>
        <v/>
      </c>
      <c r="AW626">
        <f>IFERROR(INDEX(PP_Grid[#Data],$DE626,46),0)</f>
        <v/>
      </c>
      <c r="AX626">
        <f>IFERROR(INDEX(PP_Grid[#Data],$DE626,47),0)</f>
        <v/>
      </c>
      <c r="AY626">
        <f>IFERROR(INDEX(PP_Grid[#Data],$DE626,48),0)</f>
        <v/>
      </c>
      <c r="AZ626">
        <f>IFERROR(INDEX(PP_Grid[#Data],$DE626,49),0)</f>
        <v/>
      </c>
      <c r="BA626">
        <f>IFERROR(INDEX(PP_Grid[#Data],$DE626,50),0)</f>
        <v/>
      </c>
      <c r="BB626">
        <f>IFERROR(INDEX(PP_Grid[#Data],$DE626,51),0)</f>
        <v/>
      </c>
      <c r="BC626">
        <f>IFERROR(INDEX(PP_Grid[#Data],$DE626,52),0)</f>
        <v/>
      </c>
      <c r="BD626">
        <f>IFERROR(INDEX(PP_Grid[#Data],$DE626,53),0)</f>
        <v/>
      </c>
      <c r="BE626">
        <f>IFERROR(INDEX(PP_Grid[#Data],$DE626,54),0)</f>
        <v/>
      </c>
      <c r="BF626">
        <f>IFERROR(INDEX(PP_Grid[#Data],$DE626,55),0)</f>
        <v/>
      </c>
      <c r="BG626">
        <f>IFERROR(INDEX(PP_Grid[#Data],$DE626,56),0)</f>
        <v/>
      </c>
      <c r="BH626">
        <f>IFERROR(INDEX(PP_Grid[#Data],$DE626,57),0)</f>
        <v/>
      </c>
      <c r="BI626">
        <f>IFERROR(INDEX(PP_Grid[#Data],$DE626,58),0)</f>
        <v/>
      </c>
      <c r="BJ626">
        <f>IFERROR(INDEX(PP_Grid[#Data],$DE626,59),0)</f>
        <v/>
      </c>
      <c r="BK626">
        <f>IFERROR(INDEX(PP_Grid[#Data],$DE626,60),0)</f>
        <v/>
      </c>
      <c r="BL626">
        <f>IFERROR(INDEX(PP_Grid[#Data],$DE626,61),0)</f>
        <v/>
      </c>
      <c r="BM626">
        <f>IFERROR(INDEX(PP_Grid[#Data],$DE626,62),0)</f>
        <v/>
      </c>
      <c r="BN626">
        <f>IFERROR(INDEX(PP_Grid[#Data],$DE626,63),0)</f>
        <v/>
      </c>
      <c r="BO626">
        <f>IFERROR(INDEX(PP_Grid[#Data],$DE626,64),0)</f>
        <v/>
      </c>
      <c r="BP626">
        <f>IFERROR(INDEX(PP_Grid[#Data],$DE626,65),0)</f>
        <v/>
      </c>
      <c r="BQ626">
        <f>IFERROR(INDEX(PP_Grid[#Data],$DE626,66),0)</f>
        <v/>
      </c>
      <c r="BR626">
        <f>IFERROR(INDEX(PP_Grid[#Data],$DE626,67),0)</f>
        <v/>
      </c>
      <c r="BS626">
        <f>IFERROR(INDEX(PP_Grid[#Data],$DE626,68),0)</f>
        <v/>
      </c>
      <c r="BT626">
        <f>IFERROR(INDEX(PP_Grid[#Data],$DE626,69),0)</f>
        <v/>
      </c>
      <c r="BU626">
        <f>IFERROR(INDEX(PP_Grid[#Data],$DE626,70),0)</f>
        <v/>
      </c>
      <c r="BV626">
        <f>IFERROR(INDEX(PP_Grid[#Data],$DE626,71),0)</f>
        <v/>
      </c>
      <c r="BW626">
        <f>IFERROR(INDEX(PP_Grid[#Data],$DE626,72),0)</f>
        <v/>
      </c>
      <c r="BX626">
        <f>IFERROR(INDEX(PP_Grid[#Data],$DE626,73),0)</f>
        <v/>
      </c>
      <c r="BY626">
        <f>IFERROR(INDEX(PP_Grid[#Data],$DE626,74),0)</f>
        <v/>
      </c>
      <c r="BZ626">
        <f>IFERROR(INDEX(PP_Grid[#Data],$DE626,75),0)</f>
        <v/>
      </c>
      <c r="CA626">
        <f>IFERROR(INDEX(PP_Grid[#Data],$DE626,76),0)</f>
        <v/>
      </c>
      <c r="CB626">
        <f>IFERROR(INDEX(PP_Grid[#Data],$DE626,77),0)</f>
        <v/>
      </c>
      <c r="CC626">
        <f>IFERROR(INDEX(PP_Grid[#Data],$DE626,78),0)</f>
        <v/>
      </c>
      <c r="CD626">
        <f>IFERROR(INDEX(PP_Grid[#Data],$DE626,79),0)</f>
        <v/>
      </c>
      <c r="CE626">
        <f>IFERROR(INDEX(PP_Grid[#Data],$DE626,80),0)</f>
        <v/>
      </c>
      <c r="CF626">
        <f>IFERROR(INDEX(PP_Grid[#Data],$DE626,81),0)</f>
        <v/>
      </c>
      <c r="CG626">
        <f>IFERROR(INDEX(PP_Grid[#Data],$DE626,82),0)</f>
        <v/>
      </c>
      <c r="CH626">
        <f>IFERROR(INDEX(PP_Grid[#Data],$DE626,83),0)</f>
        <v/>
      </c>
      <c r="CI626">
        <f>IFERROR(INDEX(PP_Grid[#Data],$DE626,84),0)</f>
        <v/>
      </c>
      <c r="CJ626">
        <f>IFERROR(INDEX(PP_Grid[#Data],$DE626,85),0)</f>
        <v/>
      </c>
      <c r="CK626">
        <f>IFERROR(INDEX(PP_Grid[#Data],$DE626,86),0)</f>
        <v/>
      </c>
      <c r="CL626">
        <f>IFERROR(INDEX(PP_Grid[#Data],$DE626,87),0)</f>
        <v/>
      </c>
      <c r="CM626">
        <f>IFERROR(INDEX(PP_Grid[#Data],$DE626,88),0)</f>
        <v/>
      </c>
      <c r="CN626">
        <f>IFERROR(INDEX(PP_Grid[#Data],$DE626,89),0)</f>
        <v/>
      </c>
      <c r="CO626">
        <f>IFERROR(INDEX(PP_Grid[#Data],$DE626,90),0)</f>
        <v/>
      </c>
      <c r="CP626">
        <f>IFERROR(INDEX(PP_Grid[#Data],$DE626,91),0)</f>
        <v/>
      </c>
      <c r="CQ626">
        <f>IFERROR(INDEX(PP_Grid[#Data],$DE626,92),0)</f>
        <v/>
      </c>
      <c r="CR626">
        <f>IFERROR(INDEX(PP_Grid[#Data],$DE626,93),0)</f>
        <v/>
      </c>
      <c r="CS626">
        <f>IFERROR(INDEX(PP_Grid[#Data],$DE626,94),0)</f>
        <v/>
      </c>
      <c r="CT626">
        <f>IFERROR(INDEX(PP_Grid[#Data],$DE626,95),0)</f>
        <v/>
      </c>
      <c r="CU626">
        <f>IFERROR(INDEX(PP_Grid[#Data],$DE626,96),0)</f>
        <v/>
      </c>
      <c r="CV626">
        <f>IFERROR(INDEX(PP_Grid[#Data],$DE626,97),0)</f>
        <v/>
      </c>
      <c r="CW626">
        <f>IFERROR(INDEX(PP_Grid[#Data],$DE626,98),0)</f>
        <v/>
      </c>
      <c r="CX626">
        <f>IFERROR(INDEX(PP_Grid[#Data],$DE626,99),0)</f>
        <v/>
      </c>
      <c r="CY626">
        <f>IFERROR(INDEX(PP_Grid[#Data],$DE626,100),0)</f>
        <v/>
      </c>
      <c r="CZ626">
        <f>IFERROR(INDEX(PP_Grid[#Data],$DE626,101),0)</f>
        <v/>
      </c>
      <c r="DA626">
        <f>IFERROR(INDEX(PP_Grid[#Data],$DE626,102),0)</f>
        <v/>
      </c>
      <c r="DB626">
        <f>IFERROR(INDEX(PP_Grid[#Data],$DE626,103),0)</f>
        <v/>
      </c>
      <c r="DC626">
        <f>IFERROR(INDEX(PP_Grid[#Data],$DE626,104),0)</f>
        <v/>
      </c>
      <c r="DD626">
        <f>IFERROR(INDEX(PP_Grid[#Data],$DE626,105),0)</f>
        <v/>
      </c>
      <c r="DE626" s="7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SUMIFS(M_BOM[RM_Qty_Per_Batch],M_BOM[Intermediate],$B626,M_BOM[RM_Code],$A615)</f>
        <v/>
      </c>
      <c r="D627">
        <f>IFERROR(INDEX(E627:DD627,$F$1),"")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  <c r="DD627">
        <f>$C627*DD626</f>
        <v/>
      </c>
    </row>
    <row r="628">
      <c r="B628" t="inlineStr">
        <is>
          <t>TSP-218</t>
        </is>
      </c>
      <c r="C628" t="inlineStr">
        <is>
          <t>No. of batches</t>
        </is>
      </c>
      <c r="D628">
        <f>IFERROR(INDEX(E628:DD628,$F$1),"")</f>
        <v/>
      </c>
      <c r="E628">
        <f>IFERROR(INDEX(PP_Grid[#Data],$DE628,2),0)</f>
        <v/>
      </c>
      <c r="F628">
        <f>IFERROR(INDEX(PP_Grid[#Data],$DE628,3),0)</f>
        <v/>
      </c>
      <c r="G628">
        <f>IFERROR(INDEX(PP_Grid[#Data],$DE628,4),0)</f>
        <v/>
      </c>
      <c r="H628">
        <f>IFERROR(INDEX(PP_Grid[#Data],$DE628,5),0)</f>
        <v/>
      </c>
      <c r="I628">
        <f>IFERROR(INDEX(PP_Grid[#Data],$DE628,6),0)</f>
        <v/>
      </c>
      <c r="J628">
        <f>IFERROR(INDEX(PP_Grid[#Data],$DE628,7),0)</f>
        <v/>
      </c>
      <c r="K628">
        <f>IFERROR(INDEX(PP_Grid[#Data],$DE628,8),0)</f>
        <v/>
      </c>
      <c r="L628">
        <f>IFERROR(INDEX(PP_Grid[#Data],$DE628,9),0)</f>
        <v/>
      </c>
      <c r="M628">
        <f>IFERROR(INDEX(PP_Grid[#Data],$DE628,10),0)</f>
        <v/>
      </c>
      <c r="N628">
        <f>IFERROR(INDEX(PP_Grid[#Data],$DE628,11),0)</f>
        <v/>
      </c>
      <c r="O628">
        <f>IFERROR(INDEX(PP_Grid[#Data],$DE628,12),0)</f>
        <v/>
      </c>
      <c r="P628">
        <f>IFERROR(INDEX(PP_Grid[#Data],$DE628,13),0)</f>
        <v/>
      </c>
      <c r="Q628">
        <f>IFERROR(INDEX(PP_Grid[#Data],$DE628,14),0)</f>
        <v/>
      </c>
      <c r="R628">
        <f>IFERROR(INDEX(PP_Grid[#Data],$DE628,15),0)</f>
        <v/>
      </c>
      <c r="S628">
        <f>IFERROR(INDEX(PP_Grid[#Data],$DE628,16),0)</f>
        <v/>
      </c>
      <c r="T628">
        <f>IFERROR(INDEX(PP_Grid[#Data],$DE628,17),0)</f>
        <v/>
      </c>
      <c r="U628">
        <f>IFERROR(INDEX(PP_Grid[#Data],$DE628,18),0)</f>
        <v/>
      </c>
      <c r="V628">
        <f>IFERROR(INDEX(PP_Grid[#Data],$DE628,19),0)</f>
        <v/>
      </c>
      <c r="W628">
        <f>IFERROR(INDEX(PP_Grid[#Data],$DE628,20),0)</f>
        <v/>
      </c>
      <c r="X628">
        <f>IFERROR(INDEX(PP_Grid[#Data],$DE628,21),0)</f>
        <v/>
      </c>
      <c r="Y628">
        <f>IFERROR(INDEX(PP_Grid[#Data],$DE628,22),0)</f>
        <v/>
      </c>
      <c r="Z628">
        <f>IFERROR(INDEX(PP_Grid[#Data],$DE628,23),0)</f>
        <v/>
      </c>
      <c r="AA628">
        <f>IFERROR(INDEX(PP_Grid[#Data],$DE628,24),0)</f>
        <v/>
      </c>
      <c r="AB628">
        <f>IFERROR(INDEX(PP_Grid[#Data],$DE628,25),0)</f>
        <v/>
      </c>
      <c r="AC628">
        <f>IFERROR(INDEX(PP_Grid[#Data],$DE628,26),0)</f>
        <v/>
      </c>
      <c r="AD628">
        <f>IFERROR(INDEX(PP_Grid[#Data],$DE628,27),0)</f>
        <v/>
      </c>
      <c r="AE628">
        <f>IFERROR(INDEX(PP_Grid[#Data],$DE628,28),0)</f>
        <v/>
      </c>
      <c r="AF628">
        <f>IFERROR(INDEX(PP_Grid[#Data],$DE628,29),0)</f>
        <v/>
      </c>
      <c r="AG628">
        <f>IFERROR(INDEX(PP_Grid[#Data],$DE628,30),0)</f>
        <v/>
      </c>
      <c r="AH628">
        <f>IFERROR(INDEX(PP_Grid[#Data],$DE628,31),0)</f>
        <v/>
      </c>
      <c r="AI628">
        <f>IFERROR(INDEX(PP_Grid[#Data],$DE628,32),0)</f>
        <v/>
      </c>
      <c r="AJ628">
        <f>IFERROR(INDEX(PP_Grid[#Data],$DE628,33),0)</f>
        <v/>
      </c>
      <c r="AK628">
        <f>IFERROR(INDEX(PP_Grid[#Data],$DE628,34),0)</f>
        <v/>
      </c>
      <c r="AL628">
        <f>IFERROR(INDEX(PP_Grid[#Data],$DE628,35),0)</f>
        <v/>
      </c>
      <c r="AM628">
        <f>IFERROR(INDEX(PP_Grid[#Data],$DE628,36),0)</f>
        <v/>
      </c>
      <c r="AN628">
        <f>IFERROR(INDEX(PP_Grid[#Data],$DE628,37),0)</f>
        <v/>
      </c>
      <c r="AO628">
        <f>IFERROR(INDEX(PP_Grid[#Data],$DE628,38),0)</f>
        <v/>
      </c>
      <c r="AP628">
        <f>IFERROR(INDEX(PP_Grid[#Data],$DE628,39),0)</f>
        <v/>
      </c>
      <c r="AQ628">
        <f>IFERROR(INDEX(PP_Grid[#Data],$DE628,40),0)</f>
        <v/>
      </c>
      <c r="AR628">
        <f>IFERROR(INDEX(PP_Grid[#Data],$DE628,41),0)</f>
        <v/>
      </c>
      <c r="AS628">
        <f>IFERROR(INDEX(PP_Grid[#Data],$DE628,42),0)</f>
        <v/>
      </c>
      <c r="AT628">
        <f>IFERROR(INDEX(PP_Grid[#Data],$DE628,43),0)</f>
        <v/>
      </c>
      <c r="AU628">
        <f>IFERROR(INDEX(PP_Grid[#Data],$DE628,44),0)</f>
        <v/>
      </c>
      <c r="AV628">
        <f>IFERROR(INDEX(PP_Grid[#Data],$DE628,45),0)</f>
        <v/>
      </c>
      <c r="AW628">
        <f>IFERROR(INDEX(PP_Grid[#Data],$DE628,46),0)</f>
        <v/>
      </c>
      <c r="AX628">
        <f>IFERROR(INDEX(PP_Grid[#Data],$DE628,47),0)</f>
        <v/>
      </c>
      <c r="AY628">
        <f>IFERROR(INDEX(PP_Grid[#Data],$DE628,48),0)</f>
        <v/>
      </c>
      <c r="AZ628">
        <f>IFERROR(INDEX(PP_Grid[#Data],$DE628,49),0)</f>
        <v/>
      </c>
      <c r="BA628">
        <f>IFERROR(INDEX(PP_Grid[#Data],$DE628,50),0)</f>
        <v/>
      </c>
      <c r="BB628">
        <f>IFERROR(INDEX(PP_Grid[#Data],$DE628,51),0)</f>
        <v/>
      </c>
      <c r="BC628">
        <f>IFERROR(INDEX(PP_Grid[#Data],$DE628,52),0)</f>
        <v/>
      </c>
      <c r="BD628">
        <f>IFERROR(INDEX(PP_Grid[#Data],$DE628,53),0)</f>
        <v/>
      </c>
      <c r="BE628">
        <f>IFERROR(INDEX(PP_Grid[#Data],$DE628,54),0)</f>
        <v/>
      </c>
      <c r="BF628">
        <f>IFERROR(INDEX(PP_Grid[#Data],$DE628,55),0)</f>
        <v/>
      </c>
      <c r="BG628">
        <f>IFERROR(INDEX(PP_Grid[#Data],$DE628,56),0)</f>
        <v/>
      </c>
      <c r="BH628">
        <f>IFERROR(INDEX(PP_Grid[#Data],$DE628,57),0)</f>
        <v/>
      </c>
      <c r="BI628">
        <f>IFERROR(INDEX(PP_Grid[#Data],$DE628,58),0)</f>
        <v/>
      </c>
      <c r="BJ628">
        <f>IFERROR(INDEX(PP_Grid[#Data],$DE628,59),0)</f>
        <v/>
      </c>
      <c r="BK628">
        <f>IFERROR(INDEX(PP_Grid[#Data],$DE628,60),0)</f>
        <v/>
      </c>
      <c r="BL628">
        <f>IFERROR(INDEX(PP_Grid[#Data],$DE628,61),0)</f>
        <v/>
      </c>
      <c r="BM628">
        <f>IFERROR(INDEX(PP_Grid[#Data],$DE628,62),0)</f>
        <v/>
      </c>
      <c r="BN628">
        <f>IFERROR(INDEX(PP_Grid[#Data],$DE628,63),0)</f>
        <v/>
      </c>
      <c r="BO628">
        <f>IFERROR(INDEX(PP_Grid[#Data],$DE628,64),0)</f>
        <v/>
      </c>
      <c r="BP628">
        <f>IFERROR(INDEX(PP_Grid[#Data],$DE628,65),0)</f>
        <v/>
      </c>
      <c r="BQ628">
        <f>IFERROR(INDEX(PP_Grid[#Data],$DE628,66),0)</f>
        <v/>
      </c>
      <c r="BR628">
        <f>IFERROR(INDEX(PP_Grid[#Data],$DE628,67),0)</f>
        <v/>
      </c>
      <c r="BS628">
        <f>IFERROR(INDEX(PP_Grid[#Data],$DE628,68),0)</f>
        <v/>
      </c>
      <c r="BT628">
        <f>IFERROR(INDEX(PP_Grid[#Data],$DE628,69),0)</f>
        <v/>
      </c>
      <c r="BU628">
        <f>IFERROR(INDEX(PP_Grid[#Data],$DE628,70),0)</f>
        <v/>
      </c>
      <c r="BV628">
        <f>IFERROR(INDEX(PP_Grid[#Data],$DE628,71),0)</f>
        <v/>
      </c>
      <c r="BW628">
        <f>IFERROR(INDEX(PP_Grid[#Data],$DE628,72),0)</f>
        <v/>
      </c>
      <c r="BX628">
        <f>IFERROR(INDEX(PP_Grid[#Data],$DE628,73),0)</f>
        <v/>
      </c>
      <c r="BY628">
        <f>IFERROR(INDEX(PP_Grid[#Data],$DE628,74),0)</f>
        <v/>
      </c>
      <c r="BZ628">
        <f>IFERROR(INDEX(PP_Grid[#Data],$DE628,75),0)</f>
        <v/>
      </c>
      <c r="CA628">
        <f>IFERROR(INDEX(PP_Grid[#Data],$DE628,76),0)</f>
        <v/>
      </c>
      <c r="CB628">
        <f>IFERROR(INDEX(PP_Grid[#Data],$DE628,77),0)</f>
        <v/>
      </c>
      <c r="CC628">
        <f>IFERROR(INDEX(PP_Grid[#Data],$DE628,78),0)</f>
        <v/>
      </c>
      <c r="CD628">
        <f>IFERROR(INDEX(PP_Grid[#Data],$DE628,79),0)</f>
        <v/>
      </c>
      <c r="CE628">
        <f>IFERROR(INDEX(PP_Grid[#Data],$DE628,80),0)</f>
        <v/>
      </c>
      <c r="CF628">
        <f>IFERROR(INDEX(PP_Grid[#Data],$DE628,81),0)</f>
        <v/>
      </c>
      <c r="CG628">
        <f>IFERROR(INDEX(PP_Grid[#Data],$DE628,82),0)</f>
        <v/>
      </c>
      <c r="CH628">
        <f>IFERROR(INDEX(PP_Grid[#Data],$DE628,83),0)</f>
        <v/>
      </c>
      <c r="CI628">
        <f>IFERROR(INDEX(PP_Grid[#Data],$DE628,84),0)</f>
        <v/>
      </c>
      <c r="CJ628">
        <f>IFERROR(INDEX(PP_Grid[#Data],$DE628,85),0)</f>
        <v/>
      </c>
      <c r="CK628">
        <f>IFERROR(INDEX(PP_Grid[#Data],$DE628,86),0)</f>
        <v/>
      </c>
      <c r="CL628">
        <f>IFERROR(INDEX(PP_Grid[#Data],$DE628,87),0)</f>
        <v/>
      </c>
      <c r="CM628">
        <f>IFERROR(INDEX(PP_Grid[#Data],$DE628,88),0)</f>
        <v/>
      </c>
      <c r="CN628">
        <f>IFERROR(INDEX(PP_Grid[#Data],$DE628,89),0)</f>
        <v/>
      </c>
      <c r="CO628">
        <f>IFERROR(INDEX(PP_Grid[#Data],$DE628,90),0)</f>
        <v/>
      </c>
      <c r="CP628">
        <f>IFERROR(INDEX(PP_Grid[#Data],$DE628,91),0)</f>
        <v/>
      </c>
      <c r="CQ628">
        <f>IFERROR(INDEX(PP_Grid[#Data],$DE628,92),0)</f>
        <v/>
      </c>
      <c r="CR628">
        <f>IFERROR(INDEX(PP_Grid[#Data],$DE628,93),0)</f>
        <v/>
      </c>
      <c r="CS628">
        <f>IFERROR(INDEX(PP_Grid[#Data],$DE628,94),0)</f>
        <v/>
      </c>
      <c r="CT628">
        <f>IFERROR(INDEX(PP_Grid[#Data],$DE628,95),0)</f>
        <v/>
      </c>
      <c r="CU628">
        <f>IFERROR(INDEX(PP_Grid[#Data],$DE628,96),0)</f>
        <v/>
      </c>
      <c r="CV628">
        <f>IFERROR(INDEX(PP_Grid[#Data],$DE628,97),0)</f>
        <v/>
      </c>
      <c r="CW628">
        <f>IFERROR(INDEX(PP_Grid[#Data],$DE628,98),0)</f>
        <v/>
      </c>
      <c r="CX628">
        <f>IFERROR(INDEX(PP_Grid[#Data],$DE628,99),0)</f>
        <v/>
      </c>
      <c r="CY628">
        <f>IFERROR(INDEX(PP_Grid[#Data],$DE628,100),0)</f>
        <v/>
      </c>
      <c r="CZ628">
        <f>IFERROR(INDEX(PP_Grid[#Data],$DE628,101),0)</f>
        <v/>
      </c>
      <c r="DA628">
        <f>IFERROR(INDEX(PP_Grid[#Data],$DE628,102),0)</f>
        <v/>
      </c>
      <c r="DB628">
        <f>IFERROR(INDEX(PP_Grid[#Data],$DE628,103),0)</f>
        <v/>
      </c>
      <c r="DC628">
        <f>IFERROR(INDEX(PP_Grid[#Data],$DE628,104),0)</f>
        <v/>
      </c>
      <c r="DD628">
        <f>IFERROR(INDEX(PP_Grid[#Data],$DE628,105),0)</f>
        <v/>
      </c>
      <c r="DE628" s="7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SUMIFS(M_BOM[RM_Qty_Per_Batch],M_BOM[Intermediate],$B628,M_BOM[RM_Code],$A615)</f>
        <v/>
      </c>
      <c r="D629">
        <f>IFERROR(INDEX(E629:DD629,$F$1),"")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  <c r="DD629">
        <f>$C629*DD628</f>
        <v/>
      </c>
    </row>
    <row r="630">
      <c r="B630" t="inlineStr">
        <is>
          <t>TSP-219</t>
        </is>
      </c>
      <c r="C630" t="inlineStr">
        <is>
          <t>No. of batches</t>
        </is>
      </c>
      <c r="D630">
        <f>IFERROR(INDEX(E630:DD630,$F$1),"")</f>
        <v/>
      </c>
      <c r="E630">
        <f>IFERROR(INDEX(PP_Grid[#Data],$DE630,2),0)</f>
        <v/>
      </c>
      <c r="F630">
        <f>IFERROR(INDEX(PP_Grid[#Data],$DE630,3),0)</f>
        <v/>
      </c>
      <c r="G630">
        <f>IFERROR(INDEX(PP_Grid[#Data],$DE630,4),0)</f>
        <v/>
      </c>
      <c r="H630">
        <f>IFERROR(INDEX(PP_Grid[#Data],$DE630,5),0)</f>
        <v/>
      </c>
      <c r="I630">
        <f>IFERROR(INDEX(PP_Grid[#Data],$DE630,6),0)</f>
        <v/>
      </c>
      <c r="J630">
        <f>IFERROR(INDEX(PP_Grid[#Data],$DE630,7),0)</f>
        <v/>
      </c>
      <c r="K630">
        <f>IFERROR(INDEX(PP_Grid[#Data],$DE630,8),0)</f>
        <v/>
      </c>
      <c r="L630">
        <f>IFERROR(INDEX(PP_Grid[#Data],$DE630,9),0)</f>
        <v/>
      </c>
      <c r="M630">
        <f>IFERROR(INDEX(PP_Grid[#Data],$DE630,10),0)</f>
        <v/>
      </c>
      <c r="N630">
        <f>IFERROR(INDEX(PP_Grid[#Data],$DE630,11),0)</f>
        <v/>
      </c>
      <c r="O630">
        <f>IFERROR(INDEX(PP_Grid[#Data],$DE630,12),0)</f>
        <v/>
      </c>
      <c r="P630">
        <f>IFERROR(INDEX(PP_Grid[#Data],$DE630,13),0)</f>
        <v/>
      </c>
      <c r="Q630">
        <f>IFERROR(INDEX(PP_Grid[#Data],$DE630,14),0)</f>
        <v/>
      </c>
      <c r="R630">
        <f>IFERROR(INDEX(PP_Grid[#Data],$DE630,15),0)</f>
        <v/>
      </c>
      <c r="S630">
        <f>IFERROR(INDEX(PP_Grid[#Data],$DE630,16),0)</f>
        <v/>
      </c>
      <c r="T630">
        <f>IFERROR(INDEX(PP_Grid[#Data],$DE630,17),0)</f>
        <v/>
      </c>
      <c r="U630">
        <f>IFERROR(INDEX(PP_Grid[#Data],$DE630,18),0)</f>
        <v/>
      </c>
      <c r="V630">
        <f>IFERROR(INDEX(PP_Grid[#Data],$DE630,19),0)</f>
        <v/>
      </c>
      <c r="W630">
        <f>IFERROR(INDEX(PP_Grid[#Data],$DE630,20),0)</f>
        <v/>
      </c>
      <c r="X630">
        <f>IFERROR(INDEX(PP_Grid[#Data],$DE630,21),0)</f>
        <v/>
      </c>
      <c r="Y630">
        <f>IFERROR(INDEX(PP_Grid[#Data],$DE630,22),0)</f>
        <v/>
      </c>
      <c r="Z630">
        <f>IFERROR(INDEX(PP_Grid[#Data],$DE630,23),0)</f>
        <v/>
      </c>
      <c r="AA630">
        <f>IFERROR(INDEX(PP_Grid[#Data],$DE630,24),0)</f>
        <v/>
      </c>
      <c r="AB630">
        <f>IFERROR(INDEX(PP_Grid[#Data],$DE630,25),0)</f>
        <v/>
      </c>
      <c r="AC630">
        <f>IFERROR(INDEX(PP_Grid[#Data],$DE630,26),0)</f>
        <v/>
      </c>
      <c r="AD630">
        <f>IFERROR(INDEX(PP_Grid[#Data],$DE630,27),0)</f>
        <v/>
      </c>
      <c r="AE630">
        <f>IFERROR(INDEX(PP_Grid[#Data],$DE630,28),0)</f>
        <v/>
      </c>
      <c r="AF630">
        <f>IFERROR(INDEX(PP_Grid[#Data],$DE630,29),0)</f>
        <v/>
      </c>
      <c r="AG630">
        <f>IFERROR(INDEX(PP_Grid[#Data],$DE630,30),0)</f>
        <v/>
      </c>
      <c r="AH630">
        <f>IFERROR(INDEX(PP_Grid[#Data],$DE630,31),0)</f>
        <v/>
      </c>
      <c r="AI630">
        <f>IFERROR(INDEX(PP_Grid[#Data],$DE630,32),0)</f>
        <v/>
      </c>
      <c r="AJ630">
        <f>IFERROR(INDEX(PP_Grid[#Data],$DE630,33),0)</f>
        <v/>
      </c>
      <c r="AK630">
        <f>IFERROR(INDEX(PP_Grid[#Data],$DE630,34),0)</f>
        <v/>
      </c>
      <c r="AL630">
        <f>IFERROR(INDEX(PP_Grid[#Data],$DE630,35),0)</f>
        <v/>
      </c>
      <c r="AM630">
        <f>IFERROR(INDEX(PP_Grid[#Data],$DE630,36),0)</f>
        <v/>
      </c>
      <c r="AN630">
        <f>IFERROR(INDEX(PP_Grid[#Data],$DE630,37),0)</f>
        <v/>
      </c>
      <c r="AO630">
        <f>IFERROR(INDEX(PP_Grid[#Data],$DE630,38),0)</f>
        <v/>
      </c>
      <c r="AP630">
        <f>IFERROR(INDEX(PP_Grid[#Data],$DE630,39),0)</f>
        <v/>
      </c>
      <c r="AQ630">
        <f>IFERROR(INDEX(PP_Grid[#Data],$DE630,40),0)</f>
        <v/>
      </c>
      <c r="AR630">
        <f>IFERROR(INDEX(PP_Grid[#Data],$DE630,41),0)</f>
        <v/>
      </c>
      <c r="AS630">
        <f>IFERROR(INDEX(PP_Grid[#Data],$DE630,42),0)</f>
        <v/>
      </c>
      <c r="AT630">
        <f>IFERROR(INDEX(PP_Grid[#Data],$DE630,43),0)</f>
        <v/>
      </c>
      <c r="AU630">
        <f>IFERROR(INDEX(PP_Grid[#Data],$DE630,44),0)</f>
        <v/>
      </c>
      <c r="AV630">
        <f>IFERROR(INDEX(PP_Grid[#Data],$DE630,45),0)</f>
        <v/>
      </c>
      <c r="AW630">
        <f>IFERROR(INDEX(PP_Grid[#Data],$DE630,46),0)</f>
        <v/>
      </c>
      <c r="AX630">
        <f>IFERROR(INDEX(PP_Grid[#Data],$DE630,47),0)</f>
        <v/>
      </c>
      <c r="AY630">
        <f>IFERROR(INDEX(PP_Grid[#Data],$DE630,48),0)</f>
        <v/>
      </c>
      <c r="AZ630">
        <f>IFERROR(INDEX(PP_Grid[#Data],$DE630,49),0)</f>
        <v/>
      </c>
      <c r="BA630">
        <f>IFERROR(INDEX(PP_Grid[#Data],$DE630,50),0)</f>
        <v/>
      </c>
      <c r="BB630">
        <f>IFERROR(INDEX(PP_Grid[#Data],$DE630,51),0)</f>
        <v/>
      </c>
      <c r="BC630">
        <f>IFERROR(INDEX(PP_Grid[#Data],$DE630,52),0)</f>
        <v/>
      </c>
      <c r="BD630">
        <f>IFERROR(INDEX(PP_Grid[#Data],$DE630,53),0)</f>
        <v/>
      </c>
      <c r="BE630">
        <f>IFERROR(INDEX(PP_Grid[#Data],$DE630,54),0)</f>
        <v/>
      </c>
      <c r="BF630">
        <f>IFERROR(INDEX(PP_Grid[#Data],$DE630,55),0)</f>
        <v/>
      </c>
      <c r="BG630">
        <f>IFERROR(INDEX(PP_Grid[#Data],$DE630,56),0)</f>
        <v/>
      </c>
      <c r="BH630">
        <f>IFERROR(INDEX(PP_Grid[#Data],$DE630,57),0)</f>
        <v/>
      </c>
      <c r="BI630">
        <f>IFERROR(INDEX(PP_Grid[#Data],$DE630,58),0)</f>
        <v/>
      </c>
      <c r="BJ630">
        <f>IFERROR(INDEX(PP_Grid[#Data],$DE630,59),0)</f>
        <v/>
      </c>
      <c r="BK630">
        <f>IFERROR(INDEX(PP_Grid[#Data],$DE630,60),0)</f>
        <v/>
      </c>
      <c r="BL630">
        <f>IFERROR(INDEX(PP_Grid[#Data],$DE630,61),0)</f>
        <v/>
      </c>
      <c r="BM630">
        <f>IFERROR(INDEX(PP_Grid[#Data],$DE630,62),0)</f>
        <v/>
      </c>
      <c r="BN630">
        <f>IFERROR(INDEX(PP_Grid[#Data],$DE630,63),0)</f>
        <v/>
      </c>
      <c r="BO630">
        <f>IFERROR(INDEX(PP_Grid[#Data],$DE630,64),0)</f>
        <v/>
      </c>
      <c r="BP630">
        <f>IFERROR(INDEX(PP_Grid[#Data],$DE630,65),0)</f>
        <v/>
      </c>
      <c r="BQ630">
        <f>IFERROR(INDEX(PP_Grid[#Data],$DE630,66),0)</f>
        <v/>
      </c>
      <c r="BR630">
        <f>IFERROR(INDEX(PP_Grid[#Data],$DE630,67),0)</f>
        <v/>
      </c>
      <c r="BS630">
        <f>IFERROR(INDEX(PP_Grid[#Data],$DE630,68),0)</f>
        <v/>
      </c>
      <c r="BT630">
        <f>IFERROR(INDEX(PP_Grid[#Data],$DE630,69),0)</f>
        <v/>
      </c>
      <c r="BU630">
        <f>IFERROR(INDEX(PP_Grid[#Data],$DE630,70),0)</f>
        <v/>
      </c>
      <c r="BV630">
        <f>IFERROR(INDEX(PP_Grid[#Data],$DE630,71),0)</f>
        <v/>
      </c>
      <c r="BW630">
        <f>IFERROR(INDEX(PP_Grid[#Data],$DE630,72),0)</f>
        <v/>
      </c>
      <c r="BX630">
        <f>IFERROR(INDEX(PP_Grid[#Data],$DE630,73),0)</f>
        <v/>
      </c>
      <c r="BY630">
        <f>IFERROR(INDEX(PP_Grid[#Data],$DE630,74),0)</f>
        <v/>
      </c>
      <c r="BZ630">
        <f>IFERROR(INDEX(PP_Grid[#Data],$DE630,75),0)</f>
        <v/>
      </c>
      <c r="CA630">
        <f>IFERROR(INDEX(PP_Grid[#Data],$DE630,76),0)</f>
        <v/>
      </c>
      <c r="CB630">
        <f>IFERROR(INDEX(PP_Grid[#Data],$DE630,77),0)</f>
        <v/>
      </c>
      <c r="CC630">
        <f>IFERROR(INDEX(PP_Grid[#Data],$DE630,78),0)</f>
        <v/>
      </c>
      <c r="CD630">
        <f>IFERROR(INDEX(PP_Grid[#Data],$DE630,79),0)</f>
        <v/>
      </c>
      <c r="CE630">
        <f>IFERROR(INDEX(PP_Grid[#Data],$DE630,80),0)</f>
        <v/>
      </c>
      <c r="CF630">
        <f>IFERROR(INDEX(PP_Grid[#Data],$DE630,81),0)</f>
        <v/>
      </c>
      <c r="CG630">
        <f>IFERROR(INDEX(PP_Grid[#Data],$DE630,82),0)</f>
        <v/>
      </c>
      <c r="CH630">
        <f>IFERROR(INDEX(PP_Grid[#Data],$DE630,83),0)</f>
        <v/>
      </c>
      <c r="CI630">
        <f>IFERROR(INDEX(PP_Grid[#Data],$DE630,84),0)</f>
        <v/>
      </c>
      <c r="CJ630">
        <f>IFERROR(INDEX(PP_Grid[#Data],$DE630,85),0)</f>
        <v/>
      </c>
      <c r="CK630">
        <f>IFERROR(INDEX(PP_Grid[#Data],$DE630,86),0)</f>
        <v/>
      </c>
      <c r="CL630">
        <f>IFERROR(INDEX(PP_Grid[#Data],$DE630,87),0)</f>
        <v/>
      </c>
      <c r="CM630">
        <f>IFERROR(INDEX(PP_Grid[#Data],$DE630,88),0)</f>
        <v/>
      </c>
      <c r="CN630">
        <f>IFERROR(INDEX(PP_Grid[#Data],$DE630,89),0)</f>
        <v/>
      </c>
      <c r="CO630">
        <f>IFERROR(INDEX(PP_Grid[#Data],$DE630,90),0)</f>
        <v/>
      </c>
      <c r="CP630">
        <f>IFERROR(INDEX(PP_Grid[#Data],$DE630,91),0)</f>
        <v/>
      </c>
      <c r="CQ630">
        <f>IFERROR(INDEX(PP_Grid[#Data],$DE630,92),0)</f>
        <v/>
      </c>
      <c r="CR630">
        <f>IFERROR(INDEX(PP_Grid[#Data],$DE630,93),0)</f>
        <v/>
      </c>
      <c r="CS630">
        <f>IFERROR(INDEX(PP_Grid[#Data],$DE630,94),0)</f>
        <v/>
      </c>
      <c r="CT630">
        <f>IFERROR(INDEX(PP_Grid[#Data],$DE630,95),0)</f>
        <v/>
      </c>
      <c r="CU630">
        <f>IFERROR(INDEX(PP_Grid[#Data],$DE630,96),0)</f>
        <v/>
      </c>
      <c r="CV630">
        <f>IFERROR(INDEX(PP_Grid[#Data],$DE630,97),0)</f>
        <v/>
      </c>
      <c r="CW630">
        <f>IFERROR(INDEX(PP_Grid[#Data],$DE630,98),0)</f>
        <v/>
      </c>
      <c r="CX630">
        <f>IFERROR(INDEX(PP_Grid[#Data],$DE630,99),0)</f>
        <v/>
      </c>
      <c r="CY630">
        <f>IFERROR(INDEX(PP_Grid[#Data],$DE630,100),0)</f>
        <v/>
      </c>
      <c r="CZ630">
        <f>IFERROR(INDEX(PP_Grid[#Data],$DE630,101),0)</f>
        <v/>
      </c>
      <c r="DA630">
        <f>IFERROR(INDEX(PP_Grid[#Data],$DE630,102),0)</f>
        <v/>
      </c>
      <c r="DB630">
        <f>IFERROR(INDEX(PP_Grid[#Data],$DE630,103),0)</f>
        <v/>
      </c>
      <c r="DC630">
        <f>IFERROR(INDEX(PP_Grid[#Data],$DE630,104),0)</f>
        <v/>
      </c>
      <c r="DD630">
        <f>IFERROR(INDEX(PP_Grid[#Data],$DE630,105),0)</f>
        <v/>
      </c>
      <c r="DE630" s="7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SUMIFS(M_BOM[RM_Qty_Per_Batch],M_BOM[Intermediate],$B630,M_BOM[RM_Code],$A615)</f>
        <v/>
      </c>
      <c r="D631">
        <f>IFERROR(INDEX(E631:DD631,$F$1),"")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  <c r="DD631">
        <f>$C631*DD630</f>
        <v/>
      </c>
    </row>
    <row r="632">
      <c r="B632" t="inlineStr">
        <is>
          <t>TSP-225</t>
        </is>
      </c>
      <c r="C632" t="inlineStr">
        <is>
          <t>No. of batches</t>
        </is>
      </c>
      <c r="D632">
        <f>IFERROR(INDEX(E632:DD632,$F$1),"")</f>
        <v/>
      </c>
      <c r="E632">
        <f>IFERROR(INDEX(PP_Grid[#Data],$DE632,2),0)</f>
        <v/>
      </c>
      <c r="F632">
        <f>IFERROR(INDEX(PP_Grid[#Data],$DE632,3),0)</f>
        <v/>
      </c>
      <c r="G632">
        <f>IFERROR(INDEX(PP_Grid[#Data],$DE632,4),0)</f>
        <v/>
      </c>
      <c r="H632">
        <f>IFERROR(INDEX(PP_Grid[#Data],$DE632,5),0)</f>
        <v/>
      </c>
      <c r="I632">
        <f>IFERROR(INDEX(PP_Grid[#Data],$DE632,6),0)</f>
        <v/>
      </c>
      <c r="J632">
        <f>IFERROR(INDEX(PP_Grid[#Data],$DE632,7),0)</f>
        <v/>
      </c>
      <c r="K632">
        <f>IFERROR(INDEX(PP_Grid[#Data],$DE632,8),0)</f>
        <v/>
      </c>
      <c r="L632">
        <f>IFERROR(INDEX(PP_Grid[#Data],$DE632,9),0)</f>
        <v/>
      </c>
      <c r="M632">
        <f>IFERROR(INDEX(PP_Grid[#Data],$DE632,10),0)</f>
        <v/>
      </c>
      <c r="N632">
        <f>IFERROR(INDEX(PP_Grid[#Data],$DE632,11),0)</f>
        <v/>
      </c>
      <c r="O632">
        <f>IFERROR(INDEX(PP_Grid[#Data],$DE632,12),0)</f>
        <v/>
      </c>
      <c r="P632">
        <f>IFERROR(INDEX(PP_Grid[#Data],$DE632,13),0)</f>
        <v/>
      </c>
      <c r="Q632">
        <f>IFERROR(INDEX(PP_Grid[#Data],$DE632,14),0)</f>
        <v/>
      </c>
      <c r="R632">
        <f>IFERROR(INDEX(PP_Grid[#Data],$DE632,15),0)</f>
        <v/>
      </c>
      <c r="S632">
        <f>IFERROR(INDEX(PP_Grid[#Data],$DE632,16),0)</f>
        <v/>
      </c>
      <c r="T632">
        <f>IFERROR(INDEX(PP_Grid[#Data],$DE632,17),0)</f>
        <v/>
      </c>
      <c r="U632">
        <f>IFERROR(INDEX(PP_Grid[#Data],$DE632,18),0)</f>
        <v/>
      </c>
      <c r="V632">
        <f>IFERROR(INDEX(PP_Grid[#Data],$DE632,19),0)</f>
        <v/>
      </c>
      <c r="W632">
        <f>IFERROR(INDEX(PP_Grid[#Data],$DE632,20),0)</f>
        <v/>
      </c>
      <c r="X632">
        <f>IFERROR(INDEX(PP_Grid[#Data],$DE632,21),0)</f>
        <v/>
      </c>
      <c r="Y632">
        <f>IFERROR(INDEX(PP_Grid[#Data],$DE632,22),0)</f>
        <v/>
      </c>
      <c r="Z632">
        <f>IFERROR(INDEX(PP_Grid[#Data],$DE632,23),0)</f>
        <v/>
      </c>
      <c r="AA632">
        <f>IFERROR(INDEX(PP_Grid[#Data],$DE632,24),0)</f>
        <v/>
      </c>
      <c r="AB632">
        <f>IFERROR(INDEX(PP_Grid[#Data],$DE632,25),0)</f>
        <v/>
      </c>
      <c r="AC632">
        <f>IFERROR(INDEX(PP_Grid[#Data],$DE632,26),0)</f>
        <v/>
      </c>
      <c r="AD632">
        <f>IFERROR(INDEX(PP_Grid[#Data],$DE632,27),0)</f>
        <v/>
      </c>
      <c r="AE632">
        <f>IFERROR(INDEX(PP_Grid[#Data],$DE632,28),0)</f>
        <v/>
      </c>
      <c r="AF632">
        <f>IFERROR(INDEX(PP_Grid[#Data],$DE632,29),0)</f>
        <v/>
      </c>
      <c r="AG632">
        <f>IFERROR(INDEX(PP_Grid[#Data],$DE632,30),0)</f>
        <v/>
      </c>
      <c r="AH632">
        <f>IFERROR(INDEX(PP_Grid[#Data],$DE632,31),0)</f>
        <v/>
      </c>
      <c r="AI632">
        <f>IFERROR(INDEX(PP_Grid[#Data],$DE632,32),0)</f>
        <v/>
      </c>
      <c r="AJ632">
        <f>IFERROR(INDEX(PP_Grid[#Data],$DE632,33),0)</f>
        <v/>
      </c>
      <c r="AK632">
        <f>IFERROR(INDEX(PP_Grid[#Data],$DE632,34),0)</f>
        <v/>
      </c>
      <c r="AL632">
        <f>IFERROR(INDEX(PP_Grid[#Data],$DE632,35),0)</f>
        <v/>
      </c>
      <c r="AM632">
        <f>IFERROR(INDEX(PP_Grid[#Data],$DE632,36),0)</f>
        <v/>
      </c>
      <c r="AN632">
        <f>IFERROR(INDEX(PP_Grid[#Data],$DE632,37),0)</f>
        <v/>
      </c>
      <c r="AO632">
        <f>IFERROR(INDEX(PP_Grid[#Data],$DE632,38),0)</f>
        <v/>
      </c>
      <c r="AP632">
        <f>IFERROR(INDEX(PP_Grid[#Data],$DE632,39),0)</f>
        <v/>
      </c>
      <c r="AQ632">
        <f>IFERROR(INDEX(PP_Grid[#Data],$DE632,40),0)</f>
        <v/>
      </c>
      <c r="AR632">
        <f>IFERROR(INDEX(PP_Grid[#Data],$DE632,41),0)</f>
        <v/>
      </c>
      <c r="AS632">
        <f>IFERROR(INDEX(PP_Grid[#Data],$DE632,42),0)</f>
        <v/>
      </c>
      <c r="AT632">
        <f>IFERROR(INDEX(PP_Grid[#Data],$DE632,43),0)</f>
        <v/>
      </c>
      <c r="AU632">
        <f>IFERROR(INDEX(PP_Grid[#Data],$DE632,44),0)</f>
        <v/>
      </c>
      <c r="AV632">
        <f>IFERROR(INDEX(PP_Grid[#Data],$DE632,45),0)</f>
        <v/>
      </c>
      <c r="AW632">
        <f>IFERROR(INDEX(PP_Grid[#Data],$DE632,46),0)</f>
        <v/>
      </c>
      <c r="AX632">
        <f>IFERROR(INDEX(PP_Grid[#Data],$DE632,47),0)</f>
        <v/>
      </c>
      <c r="AY632">
        <f>IFERROR(INDEX(PP_Grid[#Data],$DE632,48),0)</f>
        <v/>
      </c>
      <c r="AZ632">
        <f>IFERROR(INDEX(PP_Grid[#Data],$DE632,49),0)</f>
        <v/>
      </c>
      <c r="BA632">
        <f>IFERROR(INDEX(PP_Grid[#Data],$DE632,50),0)</f>
        <v/>
      </c>
      <c r="BB632">
        <f>IFERROR(INDEX(PP_Grid[#Data],$DE632,51),0)</f>
        <v/>
      </c>
      <c r="BC632">
        <f>IFERROR(INDEX(PP_Grid[#Data],$DE632,52),0)</f>
        <v/>
      </c>
      <c r="BD632">
        <f>IFERROR(INDEX(PP_Grid[#Data],$DE632,53),0)</f>
        <v/>
      </c>
      <c r="BE632">
        <f>IFERROR(INDEX(PP_Grid[#Data],$DE632,54),0)</f>
        <v/>
      </c>
      <c r="BF632">
        <f>IFERROR(INDEX(PP_Grid[#Data],$DE632,55),0)</f>
        <v/>
      </c>
      <c r="BG632">
        <f>IFERROR(INDEX(PP_Grid[#Data],$DE632,56),0)</f>
        <v/>
      </c>
      <c r="BH632">
        <f>IFERROR(INDEX(PP_Grid[#Data],$DE632,57),0)</f>
        <v/>
      </c>
      <c r="BI632">
        <f>IFERROR(INDEX(PP_Grid[#Data],$DE632,58),0)</f>
        <v/>
      </c>
      <c r="BJ632">
        <f>IFERROR(INDEX(PP_Grid[#Data],$DE632,59),0)</f>
        <v/>
      </c>
      <c r="BK632">
        <f>IFERROR(INDEX(PP_Grid[#Data],$DE632,60),0)</f>
        <v/>
      </c>
      <c r="BL632">
        <f>IFERROR(INDEX(PP_Grid[#Data],$DE632,61),0)</f>
        <v/>
      </c>
      <c r="BM632">
        <f>IFERROR(INDEX(PP_Grid[#Data],$DE632,62),0)</f>
        <v/>
      </c>
      <c r="BN632">
        <f>IFERROR(INDEX(PP_Grid[#Data],$DE632,63),0)</f>
        <v/>
      </c>
      <c r="BO632">
        <f>IFERROR(INDEX(PP_Grid[#Data],$DE632,64),0)</f>
        <v/>
      </c>
      <c r="BP632">
        <f>IFERROR(INDEX(PP_Grid[#Data],$DE632,65),0)</f>
        <v/>
      </c>
      <c r="BQ632">
        <f>IFERROR(INDEX(PP_Grid[#Data],$DE632,66),0)</f>
        <v/>
      </c>
      <c r="BR632">
        <f>IFERROR(INDEX(PP_Grid[#Data],$DE632,67),0)</f>
        <v/>
      </c>
      <c r="BS632">
        <f>IFERROR(INDEX(PP_Grid[#Data],$DE632,68),0)</f>
        <v/>
      </c>
      <c r="BT632">
        <f>IFERROR(INDEX(PP_Grid[#Data],$DE632,69),0)</f>
        <v/>
      </c>
      <c r="BU632">
        <f>IFERROR(INDEX(PP_Grid[#Data],$DE632,70),0)</f>
        <v/>
      </c>
      <c r="BV632">
        <f>IFERROR(INDEX(PP_Grid[#Data],$DE632,71),0)</f>
        <v/>
      </c>
      <c r="BW632">
        <f>IFERROR(INDEX(PP_Grid[#Data],$DE632,72),0)</f>
        <v/>
      </c>
      <c r="BX632">
        <f>IFERROR(INDEX(PP_Grid[#Data],$DE632,73),0)</f>
        <v/>
      </c>
      <c r="BY632">
        <f>IFERROR(INDEX(PP_Grid[#Data],$DE632,74),0)</f>
        <v/>
      </c>
      <c r="BZ632">
        <f>IFERROR(INDEX(PP_Grid[#Data],$DE632,75),0)</f>
        <v/>
      </c>
      <c r="CA632">
        <f>IFERROR(INDEX(PP_Grid[#Data],$DE632,76),0)</f>
        <v/>
      </c>
      <c r="CB632">
        <f>IFERROR(INDEX(PP_Grid[#Data],$DE632,77),0)</f>
        <v/>
      </c>
      <c r="CC632">
        <f>IFERROR(INDEX(PP_Grid[#Data],$DE632,78),0)</f>
        <v/>
      </c>
      <c r="CD632">
        <f>IFERROR(INDEX(PP_Grid[#Data],$DE632,79),0)</f>
        <v/>
      </c>
      <c r="CE632">
        <f>IFERROR(INDEX(PP_Grid[#Data],$DE632,80),0)</f>
        <v/>
      </c>
      <c r="CF632">
        <f>IFERROR(INDEX(PP_Grid[#Data],$DE632,81),0)</f>
        <v/>
      </c>
      <c r="CG632">
        <f>IFERROR(INDEX(PP_Grid[#Data],$DE632,82),0)</f>
        <v/>
      </c>
      <c r="CH632">
        <f>IFERROR(INDEX(PP_Grid[#Data],$DE632,83),0)</f>
        <v/>
      </c>
      <c r="CI632">
        <f>IFERROR(INDEX(PP_Grid[#Data],$DE632,84),0)</f>
        <v/>
      </c>
      <c r="CJ632">
        <f>IFERROR(INDEX(PP_Grid[#Data],$DE632,85),0)</f>
        <v/>
      </c>
      <c r="CK632">
        <f>IFERROR(INDEX(PP_Grid[#Data],$DE632,86),0)</f>
        <v/>
      </c>
      <c r="CL632">
        <f>IFERROR(INDEX(PP_Grid[#Data],$DE632,87),0)</f>
        <v/>
      </c>
      <c r="CM632">
        <f>IFERROR(INDEX(PP_Grid[#Data],$DE632,88),0)</f>
        <v/>
      </c>
      <c r="CN632">
        <f>IFERROR(INDEX(PP_Grid[#Data],$DE632,89),0)</f>
        <v/>
      </c>
      <c r="CO632">
        <f>IFERROR(INDEX(PP_Grid[#Data],$DE632,90),0)</f>
        <v/>
      </c>
      <c r="CP632">
        <f>IFERROR(INDEX(PP_Grid[#Data],$DE632,91),0)</f>
        <v/>
      </c>
      <c r="CQ632">
        <f>IFERROR(INDEX(PP_Grid[#Data],$DE632,92),0)</f>
        <v/>
      </c>
      <c r="CR632">
        <f>IFERROR(INDEX(PP_Grid[#Data],$DE632,93),0)</f>
        <v/>
      </c>
      <c r="CS632">
        <f>IFERROR(INDEX(PP_Grid[#Data],$DE632,94),0)</f>
        <v/>
      </c>
      <c r="CT632">
        <f>IFERROR(INDEX(PP_Grid[#Data],$DE632,95),0)</f>
        <v/>
      </c>
      <c r="CU632">
        <f>IFERROR(INDEX(PP_Grid[#Data],$DE632,96),0)</f>
        <v/>
      </c>
      <c r="CV632">
        <f>IFERROR(INDEX(PP_Grid[#Data],$DE632,97),0)</f>
        <v/>
      </c>
      <c r="CW632">
        <f>IFERROR(INDEX(PP_Grid[#Data],$DE632,98),0)</f>
        <v/>
      </c>
      <c r="CX632">
        <f>IFERROR(INDEX(PP_Grid[#Data],$DE632,99),0)</f>
        <v/>
      </c>
      <c r="CY632">
        <f>IFERROR(INDEX(PP_Grid[#Data],$DE632,100),0)</f>
        <v/>
      </c>
      <c r="CZ632">
        <f>IFERROR(INDEX(PP_Grid[#Data],$DE632,101),0)</f>
        <v/>
      </c>
      <c r="DA632">
        <f>IFERROR(INDEX(PP_Grid[#Data],$DE632,102),0)</f>
        <v/>
      </c>
      <c r="DB632">
        <f>IFERROR(INDEX(PP_Grid[#Data],$DE632,103),0)</f>
        <v/>
      </c>
      <c r="DC632">
        <f>IFERROR(INDEX(PP_Grid[#Data],$DE632,104),0)</f>
        <v/>
      </c>
      <c r="DD632">
        <f>IFERROR(INDEX(PP_Grid[#Data],$DE632,105),0)</f>
        <v/>
      </c>
      <c r="DE632" s="7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SUMIFS(M_BOM[RM_Qty_Per_Batch],M_BOM[Intermediate],$B632,M_BOM[RM_Code],$A615)</f>
        <v/>
      </c>
      <c r="D633">
        <f>IFERROR(INDEX(E633:DD633,$F$1),"")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  <c r="DD633">
        <f>$C633*DD632</f>
        <v/>
      </c>
    </row>
    <row r="634">
      <c r="B634" t="inlineStr">
        <is>
          <t>TSP-360</t>
        </is>
      </c>
      <c r="C634" t="inlineStr">
        <is>
          <t>No. of batches</t>
        </is>
      </c>
      <c r="D634">
        <f>IFERROR(INDEX(E634:DD634,$F$1),"")</f>
        <v/>
      </c>
      <c r="E634">
        <f>IFERROR(INDEX(PP_Grid[#Data],$DE634,2),0)</f>
        <v/>
      </c>
      <c r="F634">
        <f>IFERROR(INDEX(PP_Grid[#Data],$DE634,3),0)</f>
        <v/>
      </c>
      <c r="G634">
        <f>IFERROR(INDEX(PP_Grid[#Data],$DE634,4),0)</f>
        <v/>
      </c>
      <c r="H634">
        <f>IFERROR(INDEX(PP_Grid[#Data],$DE634,5),0)</f>
        <v/>
      </c>
      <c r="I634">
        <f>IFERROR(INDEX(PP_Grid[#Data],$DE634,6),0)</f>
        <v/>
      </c>
      <c r="J634">
        <f>IFERROR(INDEX(PP_Grid[#Data],$DE634,7),0)</f>
        <v/>
      </c>
      <c r="K634">
        <f>IFERROR(INDEX(PP_Grid[#Data],$DE634,8),0)</f>
        <v/>
      </c>
      <c r="L634">
        <f>IFERROR(INDEX(PP_Grid[#Data],$DE634,9),0)</f>
        <v/>
      </c>
      <c r="M634">
        <f>IFERROR(INDEX(PP_Grid[#Data],$DE634,10),0)</f>
        <v/>
      </c>
      <c r="N634">
        <f>IFERROR(INDEX(PP_Grid[#Data],$DE634,11),0)</f>
        <v/>
      </c>
      <c r="O634">
        <f>IFERROR(INDEX(PP_Grid[#Data],$DE634,12),0)</f>
        <v/>
      </c>
      <c r="P634">
        <f>IFERROR(INDEX(PP_Grid[#Data],$DE634,13),0)</f>
        <v/>
      </c>
      <c r="Q634">
        <f>IFERROR(INDEX(PP_Grid[#Data],$DE634,14),0)</f>
        <v/>
      </c>
      <c r="R634">
        <f>IFERROR(INDEX(PP_Grid[#Data],$DE634,15),0)</f>
        <v/>
      </c>
      <c r="S634">
        <f>IFERROR(INDEX(PP_Grid[#Data],$DE634,16),0)</f>
        <v/>
      </c>
      <c r="T634">
        <f>IFERROR(INDEX(PP_Grid[#Data],$DE634,17),0)</f>
        <v/>
      </c>
      <c r="U634">
        <f>IFERROR(INDEX(PP_Grid[#Data],$DE634,18),0)</f>
        <v/>
      </c>
      <c r="V634">
        <f>IFERROR(INDEX(PP_Grid[#Data],$DE634,19),0)</f>
        <v/>
      </c>
      <c r="W634">
        <f>IFERROR(INDEX(PP_Grid[#Data],$DE634,20),0)</f>
        <v/>
      </c>
      <c r="X634">
        <f>IFERROR(INDEX(PP_Grid[#Data],$DE634,21),0)</f>
        <v/>
      </c>
      <c r="Y634">
        <f>IFERROR(INDEX(PP_Grid[#Data],$DE634,22),0)</f>
        <v/>
      </c>
      <c r="Z634">
        <f>IFERROR(INDEX(PP_Grid[#Data],$DE634,23),0)</f>
        <v/>
      </c>
      <c r="AA634">
        <f>IFERROR(INDEX(PP_Grid[#Data],$DE634,24),0)</f>
        <v/>
      </c>
      <c r="AB634">
        <f>IFERROR(INDEX(PP_Grid[#Data],$DE634,25),0)</f>
        <v/>
      </c>
      <c r="AC634">
        <f>IFERROR(INDEX(PP_Grid[#Data],$DE634,26),0)</f>
        <v/>
      </c>
      <c r="AD634">
        <f>IFERROR(INDEX(PP_Grid[#Data],$DE634,27),0)</f>
        <v/>
      </c>
      <c r="AE634">
        <f>IFERROR(INDEX(PP_Grid[#Data],$DE634,28),0)</f>
        <v/>
      </c>
      <c r="AF634">
        <f>IFERROR(INDEX(PP_Grid[#Data],$DE634,29),0)</f>
        <v/>
      </c>
      <c r="AG634">
        <f>IFERROR(INDEX(PP_Grid[#Data],$DE634,30),0)</f>
        <v/>
      </c>
      <c r="AH634">
        <f>IFERROR(INDEX(PP_Grid[#Data],$DE634,31),0)</f>
        <v/>
      </c>
      <c r="AI634">
        <f>IFERROR(INDEX(PP_Grid[#Data],$DE634,32),0)</f>
        <v/>
      </c>
      <c r="AJ634">
        <f>IFERROR(INDEX(PP_Grid[#Data],$DE634,33),0)</f>
        <v/>
      </c>
      <c r="AK634">
        <f>IFERROR(INDEX(PP_Grid[#Data],$DE634,34),0)</f>
        <v/>
      </c>
      <c r="AL634">
        <f>IFERROR(INDEX(PP_Grid[#Data],$DE634,35),0)</f>
        <v/>
      </c>
      <c r="AM634">
        <f>IFERROR(INDEX(PP_Grid[#Data],$DE634,36),0)</f>
        <v/>
      </c>
      <c r="AN634">
        <f>IFERROR(INDEX(PP_Grid[#Data],$DE634,37),0)</f>
        <v/>
      </c>
      <c r="AO634">
        <f>IFERROR(INDEX(PP_Grid[#Data],$DE634,38),0)</f>
        <v/>
      </c>
      <c r="AP634">
        <f>IFERROR(INDEX(PP_Grid[#Data],$DE634,39),0)</f>
        <v/>
      </c>
      <c r="AQ634">
        <f>IFERROR(INDEX(PP_Grid[#Data],$DE634,40),0)</f>
        <v/>
      </c>
      <c r="AR634">
        <f>IFERROR(INDEX(PP_Grid[#Data],$DE634,41),0)</f>
        <v/>
      </c>
      <c r="AS634">
        <f>IFERROR(INDEX(PP_Grid[#Data],$DE634,42),0)</f>
        <v/>
      </c>
      <c r="AT634">
        <f>IFERROR(INDEX(PP_Grid[#Data],$DE634,43),0)</f>
        <v/>
      </c>
      <c r="AU634">
        <f>IFERROR(INDEX(PP_Grid[#Data],$DE634,44),0)</f>
        <v/>
      </c>
      <c r="AV634">
        <f>IFERROR(INDEX(PP_Grid[#Data],$DE634,45),0)</f>
        <v/>
      </c>
      <c r="AW634">
        <f>IFERROR(INDEX(PP_Grid[#Data],$DE634,46),0)</f>
        <v/>
      </c>
      <c r="AX634">
        <f>IFERROR(INDEX(PP_Grid[#Data],$DE634,47),0)</f>
        <v/>
      </c>
      <c r="AY634">
        <f>IFERROR(INDEX(PP_Grid[#Data],$DE634,48),0)</f>
        <v/>
      </c>
      <c r="AZ634">
        <f>IFERROR(INDEX(PP_Grid[#Data],$DE634,49),0)</f>
        <v/>
      </c>
      <c r="BA634">
        <f>IFERROR(INDEX(PP_Grid[#Data],$DE634,50),0)</f>
        <v/>
      </c>
      <c r="BB634">
        <f>IFERROR(INDEX(PP_Grid[#Data],$DE634,51),0)</f>
        <v/>
      </c>
      <c r="BC634">
        <f>IFERROR(INDEX(PP_Grid[#Data],$DE634,52),0)</f>
        <v/>
      </c>
      <c r="BD634">
        <f>IFERROR(INDEX(PP_Grid[#Data],$DE634,53),0)</f>
        <v/>
      </c>
      <c r="BE634">
        <f>IFERROR(INDEX(PP_Grid[#Data],$DE634,54),0)</f>
        <v/>
      </c>
      <c r="BF634">
        <f>IFERROR(INDEX(PP_Grid[#Data],$DE634,55),0)</f>
        <v/>
      </c>
      <c r="BG634">
        <f>IFERROR(INDEX(PP_Grid[#Data],$DE634,56),0)</f>
        <v/>
      </c>
      <c r="BH634">
        <f>IFERROR(INDEX(PP_Grid[#Data],$DE634,57),0)</f>
        <v/>
      </c>
      <c r="BI634">
        <f>IFERROR(INDEX(PP_Grid[#Data],$DE634,58),0)</f>
        <v/>
      </c>
      <c r="BJ634">
        <f>IFERROR(INDEX(PP_Grid[#Data],$DE634,59),0)</f>
        <v/>
      </c>
      <c r="BK634">
        <f>IFERROR(INDEX(PP_Grid[#Data],$DE634,60),0)</f>
        <v/>
      </c>
      <c r="BL634">
        <f>IFERROR(INDEX(PP_Grid[#Data],$DE634,61),0)</f>
        <v/>
      </c>
      <c r="BM634">
        <f>IFERROR(INDEX(PP_Grid[#Data],$DE634,62),0)</f>
        <v/>
      </c>
      <c r="BN634">
        <f>IFERROR(INDEX(PP_Grid[#Data],$DE634,63),0)</f>
        <v/>
      </c>
      <c r="BO634">
        <f>IFERROR(INDEX(PP_Grid[#Data],$DE634,64),0)</f>
        <v/>
      </c>
      <c r="BP634">
        <f>IFERROR(INDEX(PP_Grid[#Data],$DE634,65),0)</f>
        <v/>
      </c>
      <c r="BQ634">
        <f>IFERROR(INDEX(PP_Grid[#Data],$DE634,66),0)</f>
        <v/>
      </c>
      <c r="BR634">
        <f>IFERROR(INDEX(PP_Grid[#Data],$DE634,67),0)</f>
        <v/>
      </c>
      <c r="BS634">
        <f>IFERROR(INDEX(PP_Grid[#Data],$DE634,68),0)</f>
        <v/>
      </c>
      <c r="BT634">
        <f>IFERROR(INDEX(PP_Grid[#Data],$DE634,69),0)</f>
        <v/>
      </c>
      <c r="BU634">
        <f>IFERROR(INDEX(PP_Grid[#Data],$DE634,70),0)</f>
        <v/>
      </c>
      <c r="BV634">
        <f>IFERROR(INDEX(PP_Grid[#Data],$DE634,71),0)</f>
        <v/>
      </c>
      <c r="BW634">
        <f>IFERROR(INDEX(PP_Grid[#Data],$DE634,72),0)</f>
        <v/>
      </c>
      <c r="BX634">
        <f>IFERROR(INDEX(PP_Grid[#Data],$DE634,73),0)</f>
        <v/>
      </c>
      <c r="BY634">
        <f>IFERROR(INDEX(PP_Grid[#Data],$DE634,74),0)</f>
        <v/>
      </c>
      <c r="BZ634">
        <f>IFERROR(INDEX(PP_Grid[#Data],$DE634,75),0)</f>
        <v/>
      </c>
      <c r="CA634">
        <f>IFERROR(INDEX(PP_Grid[#Data],$DE634,76),0)</f>
        <v/>
      </c>
      <c r="CB634">
        <f>IFERROR(INDEX(PP_Grid[#Data],$DE634,77),0)</f>
        <v/>
      </c>
      <c r="CC634">
        <f>IFERROR(INDEX(PP_Grid[#Data],$DE634,78),0)</f>
        <v/>
      </c>
      <c r="CD634">
        <f>IFERROR(INDEX(PP_Grid[#Data],$DE634,79),0)</f>
        <v/>
      </c>
      <c r="CE634">
        <f>IFERROR(INDEX(PP_Grid[#Data],$DE634,80),0)</f>
        <v/>
      </c>
      <c r="CF634">
        <f>IFERROR(INDEX(PP_Grid[#Data],$DE634,81),0)</f>
        <v/>
      </c>
      <c r="CG634">
        <f>IFERROR(INDEX(PP_Grid[#Data],$DE634,82),0)</f>
        <v/>
      </c>
      <c r="CH634">
        <f>IFERROR(INDEX(PP_Grid[#Data],$DE634,83),0)</f>
        <v/>
      </c>
      <c r="CI634">
        <f>IFERROR(INDEX(PP_Grid[#Data],$DE634,84),0)</f>
        <v/>
      </c>
      <c r="CJ634">
        <f>IFERROR(INDEX(PP_Grid[#Data],$DE634,85),0)</f>
        <v/>
      </c>
      <c r="CK634">
        <f>IFERROR(INDEX(PP_Grid[#Data],$DE634,86),0)</f>
        <v/>
      </c>
      <c r="CL634">
        <f>IFERROR(INDEX(PP_Grid[#Data],$DE634,87),0)</f>
        <v/>
      </c>
      <c r="CM634">
        <f>IFERROR(INDEX(PP_Grid[#Data],$DE634,88),0)</f>
        <v/>
      </c>
      <c r="CN634">
        <f>IFERROR(INDEX(PP_Grid[#Data],$DE634,89),0)</f>
        <v/>
      </c>
      <c r="CO634">
        <f>IFERROR(INDEX(PP_Grid[#Data],$DE634,90),0)</f>
        <v/>
      </c>
      <c r="CP634">
        <f>IFERROR(INDEX(PP_Grid[#Data],$DE634,91),0)</f>
        <v/>
      </c>
      <c r="CQ634">
        <f>IFERROR(INDEX(PP_Grid[#Data],$DE634,92),0)</f>
        <v/>
      </c>
      <c r="CR634">
        <f>IFERROR(INDEX(PP_Grid[#Data],$DE634,93),0)</f>
        <v/>
      </c>
      <c r="CS634">
        <f>IFERROR(INDEX(PP_Grid[#Data],$DE634,94),0)</f>
        <v/>
      </c>
      <c r="CT634">
        <f>IFERROR(INDEX(PP_Grid[#Data],$DE634,95),0)</f>
        <v/>
      </c>
      <c r="CU634">
        <f>IFERROR(INDEX(PP_Grid[#Data],$DE634,96),0)</f>
        <v/>
      </c>
      <c r="CV634">
        <f>IFERROR(INDEX(PP_Grid[#Data],$DE634,97),0)</f>
        <v/>
      </c>
      <c r="CW634">
        <f>IFERROR(INDEX(PP_Grid[#Data],$DE634,98),0)</f>
        <v/>
      </c>
      <c r="CX634">
        <f>IFERROR(INDEX(PP_Grid[#Data],$DE634,99),0)</f>
        <v/>
      </c>
      <c r="CY634">
        <f>IFERROR(INDEX(PP_Grid[#Data],$DE634,100),0)</f>
        <v/>
      </c>
      <c r="CZ634">
        <f>IFERROR(INDEX(PP_Grid[#Data],$DE634,101),0)</f>
        <v/>
      </c>
      <c r="DA634">
        <f>IFERROR(INDEX(PP_Grid[#Data],$DE634,102),0)</f>
        <v/>
      </c>
      <c r="DB634">
        <f>IFERROR(INDEX(PP_Grid[#Data],$DE634,103),0)</f>
        <v/>
      </c>
      <c r="DC634">
        <f>IFERROR(INDEX(PP_Grid[#Data],$DE634,104),0)</f>
        <v/>
      </c>
      <c r="DD634">
        <f>IFERROR(INDEX(PP_Grid[#Data],$DE634,105),0)</f>
        <v/>
      </c>
      <c r="DE634" s="7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SUMIFS(M_BOM[RM_Qty_Per_Batch],M_BOM[Intermediate],$B634,M_BOM[RM_Code],$A615)</f>
        <v/>
      </c>
      <c r="D635">
        <f>IFERROR(INDEX(E635:DD635,$F$1),"")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  <c r="DD635">
        <f>$C635*DD634</f>
        <v/>
      </c>
    </row>
    <row r="636">
      <c r="B636" t="inlineStr">
        <is>
          <t>TSP-367</t>
        </is>
      </c>
      <c r="C636" t="inlineStr">
        <is>
          <t>No. of batches</t>
        </is>
      </c>
      <c r="D636">
        <f>IFERROR(INDEX(E636:DD636,$F$1),"")</f>
        <v/>
      </c>
      <c r="E636">
        <f>IFERROR(INDEX(PP_Grid[#Data],$DE636,2),0)</f>
        <v/>
      </c>
      <c r="F636">
        <f>IFERROR(INDEX(PP_Grid[#Data],$DE636,3),0)</f>
        <v/>
      </c>
      <c r="G636">
        <f>IFERROR(INDEX(PP_Grid[#Data],$DE636,4),0)</f>
        <v/>
      </c>
      <c r="H636">
        <f>IFERROR(INDEX(PP_Grid[#Data],$DE636,5),0)</f>
        <v/>
      </c>
      <c r="I636">
        <f>IFERROR(INDEX(PP_Grid[#Data],$DE636,6),0)</f>
        <v/>
      </c>
      <c r="J636">
        <f>IFERROR(INDEX(PP_Grid[#Data],$DE636,7),0)</f>
        <v/>
      </c>
      <c r="K636">
        <f>IFERROR(INDEX(PP_Grid[#Data],$DE636,8),0)</f>
        <v/>
      </c>
      <c r="L636">
        <f>IFERROR(INDEX(PP_Grid[#Data],$DE636,9),0)</f>
        <v/>
      </c>
      <c r="M636">
        <f>IFERROR(INDEX(PP_Grid[#Data],$DE636,10),0)</f>
        <v/>
      </c>
      <c r="N636">
        <f>IFERROR(INDEX(PP_Grid[#Data],$DE636,11),0)</f>
        <v/>
      </c>
      <c r="O636">
        <f>IFERROR(INDEX(PP_Grid[#Data],$DE636,12),0)</f>
        <v/>
      </c>
      <c r="P636">
        <f>IFERROR(INDEX(PP_Grid[#Data],$DE636,13),0)</f>
        <v/>
      </c>
      <c r="Q636">
        <f>IFERROR(INDEX(PP_Grid[#Data],$DE636,14),0)</f>
        <v/>
      </c>
      <c r="R636">
        <f>IFERROR(INDEX(PP_Grid[#Data],$DE636,15),0)</f>
        <v/>
      </c>
      <c r="S636">
        <f>IFERROR(INDEX(PP_Grid[#Data],$DE636,16),0)</f>
        <v/>
      </c>
      <c r="T636">
        <f>IFERROR(INDEX(PP_Grid[#Data],$DE636,17),0)</f>
        <v/>
      </c>
      <c r="U636">
        <f>IFERROR(INDEX(PP_Grid[#Data],$DE636,18),0)</f>
        <v/>
      </c>
      <c r="V636">
        <f>IFERROR(INDEX(PP_Grid[#Data],$DE636,19),0)</f>
        <v/>
      </c>
      <c r="W636">
        <f>IFERROR(INDEX(PP_Grid[#Data],$DE636,20),0)</f>
        <v/>
      </c>
      <c r="X636">
        <f>IFERROR(INDEX(PP_Grid[#Data],$DE636,21),0)</f>
        <v/>
      </c>
      <c r="Y636">
        <f>IFERROR(INDEX(PP_Grid[#Data],$DE636,22),0)</f>
        <v/>
      </c>
      <c r="Z636">
        <f>IFERROR(INDEX(PP_Grid[#Data],$DE636,23),0)</f>
        <v/>
      </c>
      <c r="AA636">
        <f>IFERROR(INDEX(PP_Grid[#Data],$DE636,24),0)</f>
        <v/>
      </c>
      <c r="AB636">
        <f>IFERROR(INDEX(PP_Grid[#Data],$DE636,25),0)</f>
        <v/>
      </c>
      <c r="AC636">
        <f>IFERROR(INDEX(PP_Grid[#Data],$DE636,26),0)</f>
        <v/>
      </c>
      <c r="AD636">
        <f>IFERROR(INDEX(PP_Grid[#Data],$DE636,27),0)</f>
        <v/>
      </c>
      <c r="AE636">
        <f>IFERROR(INDEX(PP_Grid[#Data],$DE636,28),0)</f>
        <v/>
      </c>
      <c r="AF636">
        <f>IFERROR(INDEX(PP_Grid[#Data],$DE636,29),0)</f>
        <v/>
      </c>
      <c r="AG636">
        <f>IFERROR(INDEX(PP_Grid[#Data],$DE636,30),0)</f>
        <v/>
      </c>
      <c r="AH636">
        <f>IFERROR(INDEX(PP_Grid[#Data],$DE636,31),0)</f>
        <v/>
      </c>
      <c r="AI636">
        <f>IFERROR(INDEX(PP_Grid[#Data],$DE636,32),0)</f>
        <v/>
      </c>
      <c r="AJ636">
        <f>IFERROR(INDEX(PP_Grid[#Data],$DE636,33),0)</f>
        <v/>
      </c>
      <c r="AK636">
        <f>IFERROR(INDEX(PP_Grid[#Data],$DE636,34),0)</f>
        <v/>
      </c>
      <c r="AL636">
        <f>IFERROR(INDEX(PP_Grid[#Data],$DE636,35),0)</f>
        <v/>
      </c>
      <c r="AM636">
        <f>IFERROR(INDEX(PP_Grid[#Data],$DE636,36),0)</f>
        <v/>
      </c>
      <c r="AN636">
        <f>IFERROR(INDEX(PP_Grid[#Data],$DE636,37),0)</f>
        <v/>
      </c>
      <c r="AO636">
        <f>IFERROR(INDEX(PP_Grid[#Data],$DE636,38),0)</f>
        <v/>
      </c>
      <c r="AP636">
        <f>IFERROR(INDEX(PP_Grid[#Data],$DE636,39),0)</f>
        <v/>
      </c>
      <c r="AQ636">
        <f>IFERROR(INDEX(PP_Grid[#Data],$DE636,40),0)</f>
        <v/>
      </c>
      <c r="AR636">
        <f>IFERROR(INDEX(PP_Grid[#Data],$DE636,41),0)</f>
        <v/>
      </c>
      <c r="AS636">
        <f>IFERROR(INDEX(PP_Grid[#Data],$DE636,42),0)</f>
        <v/>
      </c>
      <c r="AT636">
        <f>IFERROR(INDEX(PP_Grid[#Data],$DE636,43),0)</f>
        <v/>
      </c>
      <c r="AU636">
        <f>IFERROR(INDEX(PP_Grid[#Data],$DE636,44),0)</f>
        <v/>
      </c>
      <c r="AV636">
        <f>IFERROR(INDEX(PP_Grid[#Data],$DE636,45),0)</f>
        <v/>
      </c>
      <c r="AW636">
        <f>IFERROR(INDEX(PP_Grid[#Data],$DE636,46),0)</f>
        <v/>
      </c>
      <c r="AX636">
        <f>IFERROR(INDEX(PP_Grid[#Data],$DE636,47),0)</f>
        <v/>
      </c>
      <c r="AY636">
        <f>IFERROR(INDEX(PP_Grid[#Data],$DE636,48),0)</f>
        <v/>
      </c>
      <c r="AZ636">
        <f>IFERROR(INDEX(PP_Grid[#Data],$DE636,49),0)</f>
        <v/>
      </c>
      <c r="BA636">
        <f>IFERROR(INDEX(PP_Grid[#Data],$DE636,50),0)</f>
        <v/>
      </c>
      <c r="BB636">
        <f>IFERROR(INDEX(PP_Grid[#Data],$DE636,51),0)</f>
        <v/>
      </c>
      <c r="BC636">
        <f>IFERROR(INDEX(PP_Grid[#Data],$DE636,52),0)</f>
        <v/>
      </c>
      <c r="BD636">
        <f>IFERROR(INDEX(PP_Grid[#Data],$DE636,53),0)</f>
        <v/>
      </c>
      <c r="BE636">
        <f>IFERROR(INDEX(PP_Grid[#Data],$DE636,54),0)</f>
        <v/>
      </c>
      <c r="BF636">
        <f>IFERROR(INDEX(PP_Grid[#Data],$DE636,55),0)</f>
        <v/>
      </c>
      <c r="BG636">
        <f>IFERROR(INDEX(PP_Grid[#Data],$DE636,56),0)</f>
        <v/>
      </c>
      <c r="BH636">
        <f>IFERROR(INDEX(PP_Grid[#Data],$DE636,57),0)</f>
        <v/>
      </c>
      <c r="BI636">
        <f>IFERROR(INDEX(PP_Grid[#Data],$DE636,58),0)</f>
        <v/>
      </c>
      <c r="BJ636">
        <f>IFERROR(INDEX(PP_Grid[#Data],$DE636,59),0)</f>
        <v/>
      </c>
      <c r="BK636">
        <f>IFERROR(INDEX(PP_Grid[#Data],$DE636,60),0)</f>
        <v/>
      </c>
      <c r="BL636">
        <f>IFERROR(INDEX(PP_Grid[#Data],$DE636,61),0)</f>
        <v/>
      </c>
      <c r="BM636">
        <f>IFERROR(INDEX(PP_Grid[#Data],$DE636,62),0)</f>
        <v/>
      </c>
      <c r="BN636">
        <f>IFERROR(INDEX(PP_Grid[#Data],$DE636,63),0)</f>
        <v/>
      </c>
      <c r="BO636">
        <f>IFERROR(INDEX(PP_Grid[#Data],$DE636,64),0)</f>
        <v/>
      </c>
      <c r="BP636">
        <f>IFERROR(INDEX(PP_Grid[#Data],$DE636,65),0)</f>
        <v/>
      </c>
      <c r="BQ636">
        <f>IFERROR(INDEX(PP_Grid[#Data],$DE636,66),0)</f>
        <v/>
      </c>
      <c r="BR636">
        <f>IFERROR(INDEX(PP_Grid[#Data],$DE636,67),0)</f>
        <v/>
      </c>
      <c r="BS636">
        <f>IFERROR(INDEX(PP_Grid[#Data],$DE636,68),0)</f>
        <v/>
      </c>
      <c r="BT636">
        <f>IFERROR(INDEX(PP_Grid[#Data],$DE636,69),0)</f>
        <v/>
      </c>
      <c r="BU636">
        <f>IFERROR(INDEX(PP_Grid[#Data],$DE636,70),0)</f>
        <v/>
      </c>
      <c r="BV636">
        <f>IFERROR(INDEX(PP_Grid[#Data],$DE636,71),0)</f>
        <v/>
      </c>
      <c r="BW636">
        <f>IFERROR(INDEX(PP_Grid[#Data],$DE636,72),0)</f>
        <v/>
      </c>
      <c r="BX636">
        <f>IFERROR(INDEX(PP_Grid[#Data],$DE636,73),0)</f>
        <v/>
      </c>
      <c r="BY636">
        <f>IFERROR(INDEX(PP_Grid[#Data],$DE636,74),0)</f>
        <v/>
      </c>
      <c r="BZ636">
        <f>IFERROR(INDEX(PP_Grid[#Data],$DE636,75),0)</f>
        <v/>
      </c>
      <c r="CA636">
        <f>IFERROR(INDEX(PP_Grid[#Data],$DE636,76),0)</f>
        <v/>
      </c>
      <c r="CB636">
        <f>IFERROR(INDEX(PP_Grid[#Data],$DE636,77),0)</f>
        <v/>
      </c>
      <c r="CC636">
        <f>IFERROR(INDEX(PP_Grid[#Data],$DE636,78),0)</f>
        <v/>
      </c>
      <c r="CD636">
        <f>IFERROR(INDEX(PP_Grid[#Data],$DE636,79),0)</f>
        <v/>
      </c>
      <c r="CE636">
        <f>IFERROR(INDEX(PP_Grid[#Data],$DE636,80),0)</f>
        <v/>
      </c>
      <c r="CF636">
        <f>IFERROR(INDEX(PP_Grid[#Data],$DE636,81),0)</f>
        <v/>
      </c>
      <c r="CG636">
        <f>IFERROR(INDEX(PP_Grid[#Data],$DE636,82),0)</f>
        <v/>
      </c>
      <c r="CH636">
        <f>IFERROR(INDEX(PP_Grid[#Data],$DE636,83),0)</f>
        <v/>
      </c>
      <c r="CI636">
        <f>IFERROR(INDEX(PP_Grid[#Data],$DE636,84),0)</f>
        <v/>
      </c>
      <c r="CJ636">
        <f>IFERROR(INDEX(PP_Grid[#Data],$DE636,85),0)</f>
        <v/>
      </c>
      <c r="CK636">
        <f>IFERROR(INDEX(PP_Grid[#Data],$DE636,86),0)</f>
        <v/>
      </c>
      <c r="CL636">
        <f>IFERROR(INDEX(PP_Grid[#Data],$DE636,87),0)</f>
        <v/>
      </c>
      <c r="CM636">
        <f>IFERROR(INDEX(PP_Grid[#Data],$DE636,88),0)</f>
        <v/>
      </c>
      <c r="CN636">
        <f>IFERROR(INDEX(PP_Grid[#Data],$DE636,89),0)</f>
        <v/>
      </c>
      <c r="CO636">
        <f>IFERROR(INDEX(PP_Grid[#Data],$DE636,90),0)</f>
        <v/>
      </c>
      <c r="CP636">
        <f>IFERROR(INDEX(PP_Grid[#Data],$DE636,91),0)</f>
        <v/>
      </c>
      <c r="CQ636">
        <f>IFERROR(INDEX(PP_Grid[#Data],$DE636,92),0)</f>
        <v/>
      </c>
      <c r="CR636">
        <f>IFERROR(INDEX(PP_Grid[#Data],$DE636,93),0)</f>
        <v/>
      </c>
      <c r="CS636">
        <f>IFERROR(INDEX(PP_Grid[#Data],$DE636,94),0)</f>
        <v/>
      </c>
      <c r="CT636">
        <f>IFERROR(INDEX(PP_Grid[#Data],$DE636,95),0)</f>
        <v/>
      </c>
      <c r="CU636">
        <f>IFERROR(INDEX(PP_Grid[#Data],$DE636,96),0)</f>
        <v/>
      </c>
      <c r="CV636">
        <f>IFERROR(INDEX(PP_Grid[#Data],$DE636,97),0)</f>
        <v/>
      </c>
      <c r="CW636">
        <f>IFERROR(INDEX(PP_Grid[#Data],$DE636,98),0)</f>
        <v/>
      </c>
      <c r="CX636">
        <f>IFERROR(INDEX(PP_Grid[#Data],$DE636,99),0)</f>
        <v/>
      </c>
      <c r="CY636">
        <f>IFERROR(INDEX(PP_Grid[#Data],$DE636,100),0)</f>
        <v/>
      </c>
      <c r="CZ636">
        <f>IFERROR(INDEX(PP_Grid[#Data],$DE636,101),0)</f>
        <v/>
      </c>
      <c r="DA636">
        <f>IFERROR(INDEX(PP_Grid[#Data],$DE636,102),0)</f>
        <v/>
      </c>
      <c r="DB636">
        <f>IFERROR(INDEX(PP_Grid[#Data],$DE636,103),0)</f>
        <v/>
      </c>
      <c r="DC636">
        <f>IFERROR(INDEX(PP_Grid[#Data],$DE636,104),0)</f>
        <v/>
      </c>
      <c r="DD636">
        <f>IFERROR(INDEX(PP_Grid[#Data],$DE636,105),0)</f>
        <v/>
      </c>
      <c r="DE636" s="7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SUMIFS(M_BOM[RM_Qty_Per_Batch],M_BOM[Intermediate],$B636,M_BOM[RM_Code],$A615)</f>
        <v/>
      </c>
      <c r="D637">
        <f>IFERROR(INDEX(E637:DD637,$F$1),"")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  <c r="DD637">
        <f>$C637*DD636</f>
        <v/>
      </c>
    </row>
    <row r="638">
      <c r="B638" t="inlineStr">
        <is>
          <t>TSP-369</t>
        </is>
      </c>
      <c r="C638" t="inlineStr">
        <is>
          <t>No. of batches</t>
        </is>
      </c>
      <c r="D638">
        <f>IFERROR(INDEX(E638:DD638,$F$1),"")</f>
        <v/>
      </c>
      <c r="E638">
        <f>IFERROR(INDEX(PP_Grid[#Data],$DE638,2),0)</f>
        <v/>
      </c>
      <c r="F638">
        <f>IFERROR(INDEX(PP_Grid[#Data],$DE638,3),0)</f>
        <v/>
      </c>
      <c r="G638">
        <f>IFERROR(INDEX(PP_Grid[#Data],$DE638,4),0)</f>
        <v/>
      </c>
      <c r="H638">
        <f>IFERROR(INDEX(PP_Grid[#Data],$DE638,5),0)</f>
        <v/>
      </c>
      <c r="I638">
        <f>IFERROR(INDEX(PP_Grid[#Data],$DE638,6),0)</f>
        <v/>
      </c>
      <c r="J638">
        <f>IFERROR(INDEX(PP_Grid[#Data],$DE638,7),0)</f>
        <v/>
      </c>
      <c r="K638">
        <f>IFERROR(INDEX(PP_Grid[#Data],$DE638,8),0)</f>
        <v/>
      </c>
      <c r="L638">
        <f>IFERROR(INDEX(PP_Grid[#Data],$DE638,9),0)</f>
        <v/>
      </c>
      <c r="M638">
        <f>IFERROR(INDEX(PP_Grid[#Data],$DE638,10),0)</f>
        <v/>
      </c>
      <c r="N638">
        <f>IFERROR(INDEX(PP_Grid[#Data],$DE638,11),0)</f>
        <v/>
      </c>
      <c r="O638">
        <f>IFERROR(INDEX(PP_Grid[#Data],$DE638,12),0)</f>
        <v/>
      </c>
      <c r="P638">
        <f>IFERROR(INDEX(PP_Grid[#Data],$DE638,13),0)</f>
        <v/>
      </c>
      <c r="Q638">
        <f>IFERROR(INDEX(PP_Grid[#Data],$DE638,14),0)</f>
        <v/>
      </c>
      <c r="R638">
        <f>IFERROR(INDEX(PP_Grid[#Data],$DE638,15),0)</f>
        <v/>
      </c>
      <c r="S638">
        <f>IFERROR(INDEX(PP_Grid[#Data],$DE638,16),0)</f>
        <v/>
      </c>
      <c r="T638">
        <f>IFERROR(INDEX(PP_Grid[#Data],$DE638,17),0)</f>
        <v/>
      </c>
      <c r="U638">
        <f>IFERROR(INDEX(PP_Grid[#Data],$DE638,18),0)</f>
        <v/>
      </c>
      <c r="V638">
        <f>IFERROR(INDEX(PP_Grid[#Data],$DE638,19),0)</f>
        <v/>
      </c>
      <c r="W638">
        <f>IFERROR(INDEX(PP_Grid[#Data],$DE638,20),0)</f>
        <v/>
      </c>
      <c r="X638">
        <f>IFERROR(INDEX(PP_Grid[#Data],$DE638,21),0)</f>
        <v/>
      </c>
      <c r="Y638">
        <f>IFERROR(INDEX(PP_Grid[#Data],$DE638,22),0)</f>
        <v/>
      </c>
      <c r="Z638">
        <f>IFERROR(INDEX(PP_Grid[#Data],$DE638,23),0)</f>
        <v/>
      </c>
      <c r="AA638">
        <f>IFERROR(INDEX(PP_Grid[#Data],$DE638,24),0)</f>
        <v/>
      </c>
      <c r="AB638">
        <f>IFERROR(INDEX(PP_Grid[#Data],$DE638,25),0)</f>
        <v/>
      </c>
      <c r="AC638">
        <f>IFERROR(INDEX(PP_Grid[#Data],$DE638,26),0)</f>
        <v/>
      </c>
      <c r="AD638">
        <f>IFERROR(INDEX(PP_Grid[#Data],$DE638,27),0)</f>
        <v/>
      </c>
      <c r="AE638">
        <f>IFERROR(INDEX(PP_Grid[#Data],$DE638,28),0)</f>
        <v/>
      </c>
      <c r="AF638">
        <f>IFERROR(INDEX(PP_Grid[#Data],$DE638,29),0)</f>
        <v/>
      </c>
      <c r="AG638">
        <f>IFERROR(INDEX(PP_Grid[#Data],$DE638,30),0)</f>
        <v/>
      </c>
      <c r="AH638">
        <f>IFERROR(INDEX(PP_Grid[#Data],$DE638,31),0)</f>
        <v/>
      </c>
      <c r="AI638">
        <f>IFERROR(INDEX(PP_Grid[#Data],$DE638,32),0)</f>
        <v/>
      </c>
      <c r="AJ638">
        <f>IFERROR(INDEX(PP_Grid[#Data],$DE638,33),0)</f>
        <v/>
      </c>
      <c r="AK638">
        <f>IFERROR(INDEX(PP_Grid[#Data],$DE638,34),0)</f>
        <v/>
      </c>
      <c r="AL638">
        <f>IFERROR(INDEX(PP_Grid[#Data],$DE638,35),0)</f>
        <v/>
      </c>
      <c r="AM638">
        <f>IFERROR(INDEX(PP_Grid[#Data],$DE638,36),0)</f>
        <v/>
      </c>
      <c r="AN638">
        <f>IFERROR(INDEX(PP_Grid[#Data],$DE638,37),0)</f>
        <v/>
      </c>
      <c r="AO638">
        <f>IFERROR(INDEX(PP_Grid[#Data],$DE638,38),0)</f>
        <v/>
      </c>
      <c r="AP638">
        <f>IFERROR(INDEX(PP_Grid[#Data],$DE638,39),0)</f>
        <v/>
      </c>
      <c r="AQ638">
        <f>IFERROR(INDEX(PP_Grid[#Data],$DE638,40),0)</f>
        <v/>
      </c>
      <c r="AR638">
        <f>IFERROR(INDEX(PP_Grid[#Data],$DE638,41),0)</f>
        <v/>
      </c>
      <c r="AS638">
        <f>IFERROR(INDEX(PP_Grid[#Data],$DE638,42),0)</f>
        <v/>
      </c>
      <c r="AT638">
        <f>IFERROR(INDEX(PP_Grid[#Data],$DE638,43),0)</f>
        <v/>
      </c>
      <c r="AU638">
        <f>IFERROR(INDEX(PP_Grid[#Data],$DE638,44),0)</f>
        <v/>
      </c>
      <c r="AV638">
        <f>IFERROR(INDEX(PP_Grid[#Data],$DE638,45),0)</f>
        <v/>
      </c>
      <c r="AW638">
        <f>IFERROR(INDEX(PP_Grid[#Data],$DE638,46),0)</f>
        <v/>
      </c>
      <c r="AX638">
        <f>IFERROR(INDEX(PP_Grid[#Data],$DE638,47),0)</f>
        <v/>
      </c>
      <c r="AY638">
        <f>IFERROR(INDEX(PP_Grid[#Data],$DE638,48),0)</f>
        <v/>
      </c>
      <c r="AZ638">
        <f>IFERROR(INDEX(PP_Grid[#Data],$DE638,49),0)</f>
        <v/>
      </c>
      <c r="BA638">
        <f>IFERROR(INDEX(PP_Grid[#Data],$DE638,50),0)</f>
        <v/>
      </c>
      <c r="BB638">
        <f>IFERROR(INDEX(PP_Grid[#Data],$DE638,51),0)</f>
        <v/>
      </c>
      <c r="BC638">
        <f>IFERROR(INDEX(PP_Grid[#Data],$DE638,52),0)</f>
        <v/>
      </c>
      <c r="BD638">
        <f>IFERROR(INDEX(PP_Grid[#Data],$DE638,53),0)</f>
        <v/>
      </c>
      <c r="BE638">
        <f>IFERROR(INDEX(PP_Grid[#Data],$DE638,54),0)</f>
        <v/>
      </c>
      <c r="BF638">
        <f>IFERROR(INDEX(PP_Grid[#Data],$DE638,55),0)</f>
        <v/>
      </c>
      <c r="BG638">
        <f>IFERROR(INDEX(PP_Grid[#Data],$DE638,56),0)</f>
        <v/>
      </c>
      <c r="BH638">
        <f>IFERROR(INDEX(PP_Grid[#Data],$DE638,57),0)</f>
        <v/>
      </c>
      <c r="BI638">
        <f>IFERROR(INDEX(PP_Grid[#Data],$DE638,58),0)</f>
        <v/>
      </c>
      <c r="BJ638">
        <f>IFERROR(INDEX(PP_Grid[#Data],$DE638,59),0)</f>
        <v/>
      </c>
      <c r="BK638">
        <f>IFERROR(INDEX(PP_Grid[#Data],$DE638,60),0)</f>
        <v/>
      </c>
      <c r="BL638">
        <f>IFERROR(INDEX(PP_Grid[#Data],$DE638,61),0)</f>
        <v/>
      </c>
      <c r="BM638">
        <f>IFERROR(INDEX(PP_Grid[#Data],$DE638,62),0)</f>
        <v/>
      </c>
      <c r="BN638">
        <f>IFERROR(INDEX(PP_Grid[#Data],$DE638,63),0)</f>
        <v/>
      </c>
      <c r="BO638">
        <f>IFERROR(INDEX(PP_Grid[#Data],$DE638,64),0)</f>
        <v/>
      </c>
      <c r="BP638">
        <f>IFERROR(INDEX(PP_Grid[#Data],$DE638,65),0)</f>
        <v/>
      </c>
      <c r="BQ638">
        <f>IFERROR(INDEX(PP_Grid[#Data],$DE638,66),0)</f>
        <v/>
      </c>
      <c r="BR638">
        <f>IFERROR(INDEX(PP_Grid[#Data],$DE638,67),0)</f>
        <v/>
      </c>
      <c r="BS638">
        <f>IFERROR(INDEX(PP_Grid[#Data],$DE638,68),0)</f>
        <v/>
      </c>
      <c r="BT638">
        <f>IFERROR(INDEX(PP_Grid[#Data],$DE638,69),0)</f>
        <v/>
      </c>
      <c r="BU638">
        <f>IFERROR(INDEX(PP_Grid[#Data],$DE638,70),0)</f>
        <v/>
      </c>
      <c r="BV638">
        <f>IFERROR(INDEX(PP_Grid[#Data],$DE638,71),0)</f>
        <v/>
      </c>
      <c r="BW638">
        <f>IFERROR(INDEX(PP_Grid[#Data],$DE638,72),0)</f>
        <v/>
      </c>
      <c r="BX638">
        <f>IFERROR(INDEX(PP_Grid[#Data],$DE638,73),0)</f>
        <v/>
      </c>
      <c r="BY638">
        <f>IFERROR(INDEX(PP_Grid[#Data],$DE638,74),0)</f>
        <v/>
      </c>
      <c r="BZ638">
        <f>IFERROR(INDEX(PP_Grid[#Data],$DE638,75),0)</f>
        <v/>
      </c>
      <c r="CA638">
        <f>IFERROR(INDEX(PP_Grid[#Data],$DE638,76),0)</f>
        <v/>
      </c>
      <c r="CB638">
        <f>IFERROR(INDEX(PP_Grid[#Data],$DE638,77),0)</f>
        <v/>
      </c>
      <c r="CC638">
        <f>IFERROR(INDEX(PP_Grid[#Data],$DE638,78),0)</f>
        <v/>
      </c>
      <c r="CD638">
        <f>IFERROR(INDEX(PP_Grid[#Data],$DE638,79),0)</f>
        <v/>
      </c>
      <c r="CE638">
        <f>IFERROR(INDEX(PP_Grid[#Data],$DE638,80),0)</f>
        <v/>
      </c>
      <c r="CF638">
        <f>IFERROR(INDEX(PP_Grid[#Data],$DE638,81),0)</f>
        <v/>
      </c>
      <c r="CG638">
        <f>IFERROR(INDEX(PP_Grid[#Data],$DE638,82),0)</f>
        <v/>
      </c>
      <c r="CH638">
        <f>IFERROR(INDEX(PP_Grid[#Data],$DE638,83),0)</f>
        <v/>
      </c>
      <c r="CI638">
        <f>IFERROR(INDEX(PP_Grid[#Data],$DE638,84),0)</f>
        <v/>
      </c>
      <c r="CJ638">
        <f>IFERROR(INDEX(PP_Grid[#Data],$DE638,85),0)</f>
        <v/>
      </c>
      <c r="CK638">
        <f>IFERROR(INDEX(PP_Grid[#Data],$DE638,86),0)</f>
        <v/>
      </c>
      <c r="CL638">
        <f>IFERROR(INDEX(PP_Grid[#Data],$DE638,87),0)</f>
        <v/>
      </c>
      <c r="CM638">
        <f>IFERROR(INDEX(PP_Grid[#Data],$DE638,88),0)</f>
        <v/>
      </c>
      <c r="CN638">
        <f>IFERROR(INDEX(PP_Grid[#Data],$DE638,89),0)</f>
        <v/>
      </c>
      <c r="CO638">
        <f>IFERROR(INDEX(PP_Grid[#Data],$DE638,90),0)</f>
        <v/>
      </c>
      <c r="CP638">
        <f>IFERROR(INDEX(PP_Grid[#Data],$DE638,91),0)</f>
        <v/>
      </c>
      <c r="CQ638">
        <f>IFERROR(INDEX(PP_Grid[#Data],$DE638,92),0)</f>
        <v/>
      </c>
      <c r="CR638">
        <f>IFERROR(INDEX(PP_Grid[#Data],$DE638,93),0)</f>
        <v/>
      </c>
      <c r="CS638">
        <f>IFERROR(INDEX(PP_Grid[#Data],$DE638,94),0)</f>
        <v/>
      </c>
      <c r="CT638">
        <f>IFERROR(INDEX(PP_Grid[#Data],$DE638,95),0)</f>
        <v/>
      </c>
      <c r="CU638">
        <f>IFERROR(INDEX(PP_Grid[#Data],$DE638,96),0)</f>
        <v/>
      </c>
      <c r="CV638">
        <f>IFERROR(INDEX(PP_Grid[#Data],$DE638,97),0)</f>
        <v/>
      </c>
      <c r="CW638">
        <f>IFERROR(INDEX(PP_Grid[#Data],$DE638,98),0)</f>
        <v/>
      </c>
      <c r="CX638">
        <f>IFERROR(INDEX(PP_Grid[#Data],$DE638,99),0)</f>
        <v/>
      </c>
      <c r="CY638">
        <f>IFERROR(INDEX(PP_Grid[#Data],$DE638,100),0)</f>
        <v/>
      </c>
      <c r="CZ638">
        <f>IFERROR(INDEX(PP_Grid[#Data],$DE638,101),0)</f>
        <v/>
      </c>
      <c r="DA638">
        <f>IFERROR(INDEX(PP_Grid[#Data],$DE638,102),0)</f>
        <v/>
      </c>
      <c r="DB638">
        <f>IFERROR(INDEX(PP_Grid[#Data],$DE638,103),0)</f>
        <v/>
      </c>
      <c r="DC638">
        <f>IFERROR(INDEX(PP_Grid[#Data],$DE638,104),0)</f>
        <v/>
      </c>
      <c r="DD638">
        <f>IFERROR(INDEX(PP_Grid[#Data],$DE638,105),0)</f>
        <v/>
      </c>
      <c r="DE638" s="7">
        <f>IFERROR(MATCH($B638,PP_Grid[Intermediate],0),99999)</f>
        <v/>
      </c>
    </row>
    <row r="639">
      <c r="B639" t="inlineStr">
        <is>
          <t>使用量(kg)</t>
        </is>
      </c>
      <c r="C639">
        <f>SUMIFS(M_BOM[RM_Qty_Per_Batch],M_BOM[Intermediate],$B638,M_BOM[RM_Code],$A615)</f>
        <v/>
      </c>
      <c r="D639">
        <f>IFERROR(INDEX(E639:DD639,$F$1),"")</f>
        <v/>
      </c>
      <c r="E639">
        <f>$C639*E638</f>
        <v/>
      </c>
      <c r="F639">
        <f>$C639*F638</f>
        <v/>
      </c>
      <c r="G639">
        <f>$C639*G638</f>
        <v/>
      </c>
      <c r="H639">
        <f>$C639*H638</f>
        <v/>
      </c>
      <c r="I639">
        <f>$C639*I638</f>
        <v/>
      </c>
      <c r="J639">
        <f>$C639*J638</f>
        <v/>
      </c>
      <c r="K639">
        <f>$C639*K638</f>
        <v/>
      </c>
      <c r="L639">
        <f>$C639*L638</f>
        <v/>
      </c>
      <c r="M639">
        <f>$C639*M638</f>
        <v/>
      </c>
      <c r="N639">
        <f>$C639*N638</f>
        <v/>
      </c>
      <c r="O639">
        <f>$C639*O638</f>
        <v/>
      </c>
      <c r="P639">
        <f>$C639*P638</f>
        <v/>
      </c>
      <c r="Q639">
        <f>$C639*Q638</f>
        <v/>
      </c>
      <c r="R639">
        <f>$C639*R638</f>
        <v/>
      </c>
      <c r="S639">
        <f>$C639*S638</f>
        <v/>
      </c>
      <c r="T639">
        <f>$C639*T638</f>
        <v/>
      </c>
      <c r="U639">
        <f>$C639*U638</f>
        <v/>
      </c>
      <c r="V639">
        <f>$C639*V638</f>
        <v/>
      </c>
      <c r="W639">
        <f>$C639*W638</f>
        <v/>
      </c>
      <c r="X639">
        <f>$C639*X638</f>
        <v/>
      </c>
      <c r="Y639">
        <f>$C639*Y638</f>
        <v/>
      </c>
      <c r="Z639">
        <f>$C639*Z638</f>
        <v/>
      </c>
      <c r="AA639">
        <f>$C639*AA638</f>
        <v/>
      </c>
      <c r="AB639">
        <f>$C639*AB638</f>
        <v/>
      </c>
      <c r="AC639">
        <f>$C639*AC638</f>
        <v/>
      </c>
      <c r="AD639">
        <f>$C639*AD638</f>
        <v/>
      </c>
      <c r="AE639">
        <f>$C639*AE638</f>
        <v/>
      </c>
      <c r="AF639">
        <f>$C639*AF638</f>
        <v/>
      </c>
      <c r="AG639">
        <f>$C639*AG638</f>
        <v/>
      </c>
      <c r="AH639">
        <f>$C639*AH638</f>
        <v/>
      </c>
      <c r="AI639">
        <f>$C639*AI638</f>
        <v/>
      </c>
      <c r="AJ639">
        <f>$C639*AJ638</f>
        <v/>
      </c>
      <c r="AK639">
        <f>$C639*AK638</f>
        <v/>
      </c>
      <c r="AL639">
        <f>$C639*AL638</f>
        <v/>
      </c>
      <c r="AM639">
        <f>$C639*AM638</f>
        <v/>
      </c>
      <c r="AN639">
        <f>$C639*AN638</f>
        <v/>
      </c>
      <c r="AO639">
        <f>$C639*AO638</f>
        <v/>
      </c>
      <c r="AP639">
        <f>$C639*AP638</f>
        <v/>
      </c>
      <c r="AQ639">
        <f>$C639*AQ638</f>
        <v/>
      </c>
      <c r="AR639">
        <f>$C639*AR638</f>
        <v/>
      </c>
      <c r="AS639">
        <f>$C639*AS638</f>
        <v/>
      </c>
      <c r="AT639">
        <f>$C639*AT638</f>
        <v/>
      </c>
      <c r="AU639">
        <f>$C639*AU638</f>
        <v/>
      </c>
      <c r="AV639">
        <f>$C639*AV638</f>
        <v/>
      </c>
      <c r="AW639">
        <f>$C639*AW638</f>
        <v/>
      </c>
      <c r="AX639">
        <f>$C639*AX638</f>
        <v/>
      </c>
      <c r="AY639">
        <f>$C639*AY638</f>
        <v/>
      </c>
      <c r="AZ639">
        <f>$C639*AZ638</f>
        <v/>
      </c>
      <c r="BA639">
        <f>$C639*BA638</f>
        <v/>
      </c>
      <c r="BB639">
        <f>$C639*BB638</f>
        <v/>
      </c>
      <c r="BC639">
        <f>$C639*BC638</f>
        <v/>
      </c>
      <c r="BD639">
        <f>$C639*BD638</f>
        <v/>
      </c>
      <c r="BE639">
        <f>$C639*BE638</f>
        <v/>
      </c>
      <c r="BF639">
        <f>$C639*BF638</f>
        <v/>
      </c>
      <c r="BG639">
        <f>$C639*BG638</f>
        <v/>
      </c>
      <c r="BH639">
        <f>$C639*BH638</f>
        <v/>
      </c>
      <c r="BI639">
        <f>$C639*BI638</f>
        <v/>
      </c>
      <c r="BJ639">
        <f>$C639*BJ638</f>
        <v/>
      </c>
      <c r="BK639">
        <f>$C639*BK638</f>
        <v/>
      </c>
      <c r="BL639">
        <f>$C639*BL638</f>
        <v/>
      </c>
      <c r="BM639">
        <f>$C639*BM638</f>
        <v/>
      </c>
      <c r="BN639">
        <f>$C639*BN638</f>
        <v/>
      </c>
      <c r="BO639">
        <f>$C639*BO638</f>
        <v/>
      </c>
      <c r="BP639">
        <f>$C639*BP638</f>
        <v/>
      </c>
      <c r="BQ639">
        <f>$C639*BQ638</f>
        <v/>
      </c>
      <c r="BR639">
        <f>$C639*BR638</f>
        <v/>
      </c>
      <c r="BS639">
        <f>$C639*BS638</f>
        <v/>
      </c>
      <c r="BT639">
        <f>$C639*BT638</f>
        <v/>
      </c>
      <c r="BU639">
        <f>$C639*BU638</f>
        <v/>
      </c>
      <c r="BV639">
        <f>$C639*BV638</f>
        <v/>
      </c>
      <c r="BW639">
        <f>$C639*BW638</f>
        <v/>
      </c>
      <c r="BX639">
        <f>$C639*BX638</f>
        <v/>
      </c>
      <c r="BY639">
        <f>$C639*BY638</f>
        <v/>
      </c>
      <c r="BZ639">
        <f>$C639*BZ638</f>
        <v/>
      </c>
      <c r="CA639">
        <f>$C639*CA638</f>
        <v/>
      </c>
      <c r="CB639">
        <f>$C639*CB638</f>
        <v/>
      </c>
      <c r="CC639">
        <f>$C639*CC638</f>
        <v/>
      </c>
      <c r="CD639">
        <f>$C639*CD638</f>
        <v/>
      </c>
      <c r="CE639">
        <f>$C639*CE638</f>
        <v/>
      </c>
      <c r="CF639">
        <f>$C639*CF638</f>
        <v/>
      </c>
      <c r="CG639">
        <f>$C639*CG638</f>
        <v/>
      </c>
      <c r="CH639">
        <f>$C639*CH638</f>
        <v/>
      </c>
      <c r="CI639">
        <f>$C639*CI638</f>
        <v/>
      </c>
      <c r="CJ639">
        <f>$C639*CJ638</f>
        <v/>
      </c>
      <c r="CK639">
        <f>$C639*CK638</f>
        <v/>
      </c>
      <c r="CL639">
        <f>$C639*CL638</f>
        <v/>
      </c>
      <c r="CM639">
        <f>$C639*CM638</f>
        <v/>
      </c>
      <c r="CN639">
        <f>$C639*CN638</f>
        <v/>
      </c>
      <c r="CO639">
        <f>$C639*CO638</f>
        <v/>
      </c>
      <c r="CP639">
        <f>$C639*CP638</f>
        <v/>
      </c>
      <c r="CQ639">
        <f>$C639*CQ638</f>
        <v/>
      </c>
      <c r="CR639">
        <f>$C639*CR638</f>
        <v/>
      </c>
      <c r="CS639">
        <f>$C639*CS638</f>
        <v/>
      </c>
      <c r="CT639">
        <f>$C639*CT638</f>
        <v/>
      </c>
      <c r="CU639">
        <f>$C639*CU638</f>
        <v/>
      </c>
      <c r="CV639">
        <f>$C639*CV638</f>
        <v/>
      </c>
      <c r="CW639">
        <f>$C639*CW638</f>
        <v/>
      </c>
      <c r="CX639">
        <f>$C639*CX638</f>
        <v/>
      </c>
      <c r="CY639">
        <f>$C639*CY638</f>
        <v/>
      </c>
      <c r="CZ639">
        <f>$C639*CZ638</f>
        <v/>
      </c>
      <c r="DA639">
        <f>$C639*DA638</f>
        <v/>
      </c>
      <c r="DB639">
        <f>$C639*DB638</f>
        <v/>
      </c>
      <c r="DC639">
        <f>$C639*DC638</f>
        <v/>
      </c>
      <c r="DD639">
        <f>$C639*DD638</f>
        <v/>
      </c>
    </row>
    <row r="640">
      <c r="B640" t="inlineStr">
        <is>
          <t>TSP-402</t>
        </is>
      </c>
      <c r="C640" t="inlineStr">
        <is>
          <t>No. of batches</t>
        </is>
      </c>
      <c r="D640">
        <f>IFERROR(INDEX(E640:DD640,$F$1),"")</f>
        <v/>
      </c>
      <c r="E640">
        <f>IFERROR(INDEX(PP_Grid[#Data],$DE640,2),0)</f>
        <v/>
      </c>
      <c r="F640">
        <f>IFERROR(INDEX(PP_Grid[#Data],$DE640,3),0)</f>
        <v/>
      </c>
      <c r="G640">
        <f>IFERROR(INDEX(PP_Grid[#Data],$DE640,4),0)</f>
        <v/>
      </c>
      <c r="H640">
        <f>IFERROR(INDEX(PP_Grid[#Data],$DE640,5),0)</f>
        <v/>
      </c>
      <c r="I640">
        <f>IFERROR(INDEX(PP_Grid[#Data],$DE640,6),0)</f>
        <v/>
      </c>
      <c r="J640">
        <f>IFERROR(INDEX(PP_Grid[#Data],$DE640,7),0)</f>
        <v/>
      </c>
      <c r="K640">
        <f>IFERROR(INDEX(PP_Grid[#Data],$DE640,8),0)</f>
        <v/>
      </c>
      <c r="L640">
        <f>IFERROR(INDEX(PP_Grid[#Data],$DE640,9),0)</f>
        <v/>
      </c>
      <c r="M640">
        <f>IFERROR(INDEX(PP_Grid[#Data],$DE640,10),0)</f>
        <v/>
      </c>
      <c r="N640">
        <f>IFERROR(INDEX(PP_Grid[#Data],$DE640,11),0)</f>
        <v/>
      </c>
      <c r="O640">
        <f>IFERROR(INDEX(PP_Grid[#Data],$DE640,12),0)</f>
        <v/>
      </c>
      <c r="P640">
        <f>IFERROR(INDEX(PP_Grid[#Data],$DE640,13),0)</f>
        <v/>
      </c>
      <c r="Q640">
        <f>IFERROR(INDEX(PP_Grid[#Data],$DE640,14),0)</f>
        <v/>
      </c>
      <c r="R640">
        <f>IFERROR(INDEX(PP_Grid[#Data],$DE640,15),0)</f>
        <v/>
      </c>
      <c r="S640">
        <f>IFERROR(INDEX(PP_Grid[#Data],$DE640,16),0)</f>
        <v/>
      </c>
      <c r="T640">
        <f>IFERROR(INDEX(PP_Grid[#Data],$DE640,17),0)</f>
        <v/>
      </c>
      <c r="U640">
        <f>IFERROR(INDEX(PP_Grid[#Data],$DE640,18),0)</f>
        <v/>
      </c>
      <c r="V640">
        <f>IFERROR(INDEX(PP_Grid[#Data],$DE640,19),0)</f>
        <v/>
      </c>
      <c r="W640">
        <f>IFERROR(INDEX(PP_Grid[#Data],$DE640,20),0)</f>
        <v/>
      </c>
      <c r="X640">
        <f>IFERROR(INDEX(PP_Grid[#Data],$DE640,21),0)</f>
        <v/>
      </c>
      <c r="Y640">
        <f>IFERROR(INDEX(PP_Grid[#Data],$DE640,22),0)</f>
        <v/>
      </c>
      <c r="Z640">
        <f>IFERROR(INDEX(PP_Grid[#Data],$DE640,23),0)</f>
        <v/>
      </c>
      <c r="AA640">
        <f>IFERROR(INDEX(PP_Grid[#Data],$DE640,24),0)</f>
        <v/>
      </c>
      <c r="AB640">
        <f>IFERROR(INDEX(PP_Grid[#Data],$DE640,25),0)</f>
        <v/>
      </c>
      <c r="AC640">
        <f>IFERROR(INDEX(PP_Grid[#Data],$DE640,26),0)</f>
        <v/>
      </c>
      <c r="AD640">
        <f>IFERROR(INDEX(PP_Grid[#Data],$DE640,27),0)</f>
        <v/>
      </c>
      <c r="AE640">
        <f>IFERROR(INDEX(PP_Grid[#Data],$DE640,28),0)</f>
        <v/>
      </c>
      <c r="AF640">
        <f>IFERROR(INDEX(PP_Grid[#Data],$DE640,29),0)</f>
        <v/>
      </c>
      <c r="AG640">
        <f>IFERROR(INDEX(PP_Grid[#Data],$DE640,30),0)</f>
        <v/>
      </c>
      <c r="AH640">
        <f>IFERROR(INDEX(PP_Grid[#Data],$DE640,31),0)</f>
        <v/>
      </c>
      <c r="AI640">
        <f>IFERROR(INDEX(PP_Grid[#Data],$DE640,32),0)</f>
        <v/>
      </c>
      <c r="AJ640">
        <f>IFERROR(INDEX(PP_Grid[#Data],$DE640,33),0)</f>
        <v/>
      </c>
      <c r="AK640">
        <f>IFERROR(INDEX(PP_Grid[#Data],$DE640,34),0)</f>
        <v/>
      </c>
      <c r="AL640">
        <f>IFERROR(INDEX(PP_Grid[#Data],$DE640,35),0)</f>
        <v/>
      </c>
      <c r="AM640">
        <f>IFERROR(INDEX(PP_Grid[#Data],$DE640,36),0)</f>
        <v/>
      </c>
      <c r="AN640">
        <f>IFERROR(INDEX(PP_Grid[#Data],$DE640,37),0)</f>
        <v/>
      </c>
      <c r="AO640">
        <f>IFERROR(INDEX(PP_Grid[#Data],$DE640,38),0)</f>
        <v/>
      </c>
      <c r="AP640">
        <f>IFERROR(INDEX(PP_Grid[#Data],$DE640,39),0)</f>
        <v/>
      </c>
      <c r="AQ640">
        <f>IFERROR(INDEX(PP_Grid[#Data],$DE640,40),0)</f>
        <v/>
      </c>
      <c r="AR640">
        <f>IFERROR(INDEX(PP_Grid[#Data],$DE640,41),0)</f>
        <v/>
      </c>
      <c r="AS640">
        <f>IFERROR(INDEX(PP_Grid[#Data],$DE640,42),0)</f>
        <v/>
      </c>
      <c r="AT640">
        <f>IFERROR(INDEX(PP_Grid[#Data],$DE640,43),0)</f>
        <v/>
      </c>
      <c r="AU640">
        <f>IFERROR(INDEX(PP_Grid[#Data],$DE640,44),0)</f>
        <v/>
      </c>
      <c r="AV640">
        <f>IFERROR(INDEX(PP_Grid[#Data],$DE640,45),0)</f>
        <v/>
      </c>
      <c r="AW640">
        <f>IFERROR(INDEX(PP_Grid[#Data],$DE640,46),0)</f>
        <v/>
      </c>
      <c r="AX640">
        <f>IFERROR(INDEX(PP_Grid[#Data],$DE640,47),0)</f>
        <v/>
      </c>
      <c r="AY640">
        <f>IFERROR(INDEX(PP_Grid[#Data],$DE640,48),0)</f>
        <v/>
      </c>
      <c r="AZ640">
        <f>IFERROR(INDEX(PP_Grid[#Data],$DE640,49),0)</f>
        <v/>
      </c>
      <c r="BA640">
        <f>IFERROR(INDEX(PP_Grid[#Data],$DE640,50),0)</f>
        <v/>
      </c>
      <c r="BB640">
        <f>IFERROR(INDEX(PP_Grid[#Data],$DE640,51),0)</f>
        <v/>
      </c>
      <c r="BC640">
        <f>IFERROR(INDEX(PP_Grid[#Data],$DE640,52),0)</f>
        <v/>
      </c>
      <c r="BD640">
        <f>IFERROR(INDEX(PP_Grid[#Data],$DE640,53),0)</f>
        <v/>
      </c>
      <c r="BE640">
        <f>IFERROR(INDEX(PP_Grid[#Data],$DE640,54),0)</f>
        <v/>
      </c>
      <c r="BF640">
        <f>IFERROR(INDEX(PP_Grid[#Data],$DE640,55),0)</f>
        <v/>
      </c>
      <c r="BG640">
        <f>IFERROR(INDEX(PP_Grid[#Data],$DE640,56),0)</f>
        <v/>
      </c>
      <c r="BH640">
        <f>IFERROR(INDEX(PP_Grid[#Data],$DE640,57),0)</f>
        <v/>
      </c>
      <c r="BI640">
        <f>IFERROR(INDEX(PP_Grid[#Data],$DE640,58),0)</f>
        <v/>
      </c>
      <c r="BJ640">
        <f>IFERROR(INDEX(PP_Grid[#Data],$DE640,59),0)</f>
        <v/>
      </c>
      <c r="BK640">
        <f>IFERROR(INDEX(PP_Grid[#Data],$DE640,60),0)</f>
        <v/>
      </c>
      <c r="BL640">
        <f>IFERROR(INDEX(PP_Grid[#Data],$DE640,61),0)</f>
        <v/>
      </c>
      <c r="BM640">
        <f>IFERROR(INDEX(PP_Grid[#Data],$DE640,62),0)</f>
        <v/>
      </c>
      <c r="BN640">
        <f>IFERROR(INDEX(PP_Grid[#Data],$DE640,63),0)</f>
        <v/>
      </c>
      <c r="BO640">
        <f>IFERROR(INDEX(PP_Grid[#Data],$DE640,64),0)</f>
        <v/>
      </c>
      <c r="BP640">
        <f>IFERROR(INDEX(PP_Grid[#Data],$DE640,65),0)</f>
        <v/>
      </c>
      <c r="BQ640">
        <f>IFERROR(INDEX(PP_Grid[#Data],$DE640,66),0)</f>
        <v/>
      </c>
      <c r="BR640">
        <f>IFERROR(INDEX(PP_Grid[#Data],$DE640,67),0)</f>
        <v/>
      </c>
      <c r="BS640">
        <f>IFERROR(INDEX(PP_Grid[#Data],$DE640,68),0)</f>
        <v/>
      </c>
      <c r="BT640">
        <f>IFERROR(INDEX(PP_Grid[#Data],$DE640,69),0)</f>
        <v/>
      </c>
      <c r="BU640">
        <f>IFERROR(INDEX(PP_Grid[#Data],$DE640,70),0)</f>
        <v/>
      </c>
      <c r="BV640">
        <f>IFERROR(INDEX(PP_Grid[#Data],$DE640,71),0)</f>
        <v/>
      </c>
      <c r="BW640">
        <f>IFERROR(INDEX(PP_Grid[#Data],$DE640,72),0)</f>
        <v/>
      </c>
      <c r="BX640">
        <f>IFERROR(INDEX(PP_Grid[#Data],$DE640,73),0)</f>
        <v/>
      </c>
      <c r="BY640">
        <f>IFERROR(INDEX(PP_Grid[#Data],$DE640,74),0)</f>
        <v/>
      </c>
      <c r="BZ640">
        <f>IFERROR(INDEX(PP_Grid[#Data],$DE640,75),0)</f>
        <v/>
      </c>
      <c r="CA640">
        <f>IFERROR(INDEX(PP_Grid[#Data],$DE640,76),0)</f>
        <v/>
      </c>
      <c r="CB640">
        <f>IFERROR(INDEX(PP_Grid[#Data],$DE640,77),0)</f>
        <v/>
      </c>
      <c r="CC640">
        <f>IFERROR(INDEX(PP_Grid[#Data],$DE640,78),0)</f>
        <v/>
      </c>
      <c r="CD640">
        <f>IFERROR(INDEX(PP_Grid[#Data],$DE640,79),0)</f>
        <v/>
      </c>
      <c r="CE640">
        <f>IFERROR(INDEX(PP_Grid[#Data],$DE640,80),0)</f>
        <v/>
      </c>
      <c r="CF640">
        <f>IFERROR(INDEX(PP_Grid[#Data],$DE640,81),0)</f>
        <v/>
      </c>
      <c r="CG640">
        <f>IFERROR(INDEX(PP_Grid[#Data],$DE640,82),0)</f>
        <v/>
      </c>
      <c r="CH640">
        <f>IFERROR(INDEX(PP_Grid[#Data],$DE640,83),0)</f>
        <v/>
      </c>
      <c r="CI640">
        <f>IFERROR(INDEX(PP_Grid[#Data],$DE640,84),0)</f>
        <v/>
      </c>
      <c r="CJ640">
        <f>IFERROR(INDEX(PP_Grid[#Data],$DE640,85),0)</f>
        <v/>
      </c>
      <c r="CK640">
        <f>IFERROR(INDEX(PP_Grid[#Data],$DE640,86),0)</f>
        <v/>
      </c>
      <c r="CL640">
        <f>IFERROR(INDEX(PP_Grid[#Data],$DE640,87),0)</f>
        <v/>
      </c>
      <c r="CM640">
        <f>IFERROR(INDEX(PP_Grid[#Data],$DE640,88),0)</f>
        <v/>
      </c>
      <c r="CN640">
        <f>IFERROR(INDEX(PP_Grid[#Data],$DE640,89),0)</f>
        <v/>
      </c>
      <c r="CO640">
        <f>IFERROR(INDEX(PP_Grid[#Data],$DE640,90),0)</f>
        <v/>
      </c>
      <c r="CP640">
        <f>IFERROR(INDEX(PP_Grid[#Data],$DE640,91),0)</f>
        <v/>
      </c>
      <c r="CQ640">
        <f>IFERROR(INDEX(PP_Grid[#Data],$DE640,92),0)</f>
        <v/>
      </c>
      <c r="CR640">
        <f>IFERROR(INDEX(PP_Grid[#Data],$DE640,93),0)</f>
        <v/>
      </c>
      <c r="CS640">
        <f>IFERROR(INDEX(PP_Grid[#Data],$DE640,94),0)</f>
        <v/>
      </c>
      <c r="CT640">
        <f>IFERROR(INDEX(PP_Grid[#Data],$DE640,95),0)</f>
        <v/>
      </c>
      <c r="CU640">
        <f>IFERROR(INDEX(PP_Grid[#Data],$DE640,96),0)</f>
        <v/>
      </c>
      <c r="CV640">
        <f>IFERROR(INDEX(PP_Grid[#Data],$DE640,97),0)</f>
        <v/>
      </c>
      <c r="CW640">
        <f>IFERROR(INDEX(PP_Grid[#Data],$DE640,98),0)</f>
        <v/>
      </c>
      <c r="CX640">
        <f>IFERROR(INDEX(PP_Grid[#Data],$DE640,99),0)</f>
        <v/>
      </c>
      <c r="CY640">
        <f>IFERROR(INDEX(PP_Grid[#Data],$DE640,100),0)</f>
        <v/>
      </c>
      <c r="CZ640">
        <f>IFERROR(INDEX(PP_Grid[#Data],$DE640,101),0)</f>
        <v/>
      </c>
      <c r="DA640">
        <f>IFERROR(INDEX(PP_Grid[#Data],$DE640,102),0)</f>
        <v/>
      </c>
      <c r="DB640">
        <f>IFERROR(INDEX(PP_Grid[#Data],$DE640,103),0)</f>
        <v/>
      </c>
      <c r="DC640">
        <f>IFERROR(INDEX(PP_Grid[#Data],$DE640,104),0)</f>
        <v/>
      </c>
      <c r="DD640">
        <f>IFERROR(INDEX(PP_Grid[#Data],$DE640,105),0)</f>
        <v/>
      </c>
      <c r="DE640" s="7">
        <f>IFERROR(MATCH($B640,PP_Grid[Intermediate],0),99999)</f>
        <v/>
      </c>
    </row>
    <row r="641">
      <c r="B641" t="inlineStr">
        <is>
          <t>使用量(kg)</t>
        </is>
      </c>
      <c r="C641">
        <f>SUMIFS(M_BOM[RM_Qty_Per_Batch],M_BOM[Intermediate],$B640,M_BOM[RM_Code],$A615)</f>
        <v/>
      </c>
      <c r="D641">
        <f>IFERROR(INDEX(E641:DD641,$F$1),"")</f>
        <v/>
      </c>
      <c r="E641">
        <f>$C641*E640</f>
        <v/>
      </c>
      <c r="F641">
        <f>$C641*F640</f>
        <v/>
      </c>
      <c r="G641">
        <f>$C641*G640</f>
        <v/>
      </c>
      <c r="H641">
        <f>$C641*H640</f>
        <v/>
      </c>
      <c r="I641">
        <f>$C641*I640</f>
        <v/>
      </c>
      <c r="J641">
        <f>$C641*J640</f>
        <v/>
      </c>
      <c r="K641">
        <f>$C641*K640</f>
        <v/>
      </c>
      <c r="L641">
        <f>$C641*L640</f>
        <v/>
      </c>
      <c r="M641">
        <f>$C641*M640</f>
        <v/>
      </c>
      <c r="N641">
        <f>$C641*N640</f>
        <v/>
      </c>
      <c r="O641">
        <f>$C641*O640</f>
        <v/>
      </c>
      <c r="P641">
        <f>$C641*P640</f>
        <v/>
      </c>
      <c r="Q641">
        <f>$C641*Q640</f>
        <v/>
      </c>
      <c r="R641">
        <f>$C641*R640</f>
        <v/>
      </c>
      <c r="S641">
        <f>$C641*S640</f>
        <v/>
      </c>
      <c r="T641">
        <f>$C641*T640</f>
        <v/>
      </c>
      <c r="U641">
        <f>$C641*U640</f>
        <v/>
      </c>
      <c r="V641">
        <f>$C641*V640</f>
        <v/>
      </c>
      <c r="W641">
        <f>$C641*W640</f>
        <v/>
      </c>
      <c r="X641">
        <f>$C641*X640</f>
        <v/>
      </c>
      <c r="Y641">
        <f>$C641*Y640</f>
        <v/>
      </c>
      <c r="Z641">
        <f>$C641*Z640</f>
        <v/>
      </c>
      <c r="AA641">
        <f>$C641*AA640</f>
        <v/>
      </c>
      <c r="AB641">
        <f>$C641*AB640</f>
        <v/>
      </c>
      <c r="AC641">
        <f>$C641*AC640</f>
        <v/>
      </c>
      <c r="AD641">
        <f>$C641*AD640</f>
        <v/>
      </c>
      <c r="AE641">
        <f>$C641*AE640</f>
        <v/>
      </c>
      <c r="AF641">
        <f>$C641*AF640</f>
        <v/>
      </c>
      <c r="AG641">
        <f>$C641*AG640</f>
        <v/>
      </c>
      <c r="AH641">
        <f>$C641*AH640</f>
        <v/>
      </c>
      <c r="AI641">
        <f>$C641*AI640</f>
        <v/>
      </c>
      <c r="AJ641">
        <f>$C641*AJ640</f>
        <v/>
      </c>
      <c r="AK641">
        <f>$C641*AK640</f>
        <v/>
      </c>
      <c r="AL641">
        <f>$C641*AL640</f>
        <v/>
      </c>
      <c r="AM641">
        <f>$C641*AM640</f>
        <v/>
      </c>
      <c r="AN641">
        <f>$C641*AN640</f>
        <v/>
      </c>
      <c r="AO641">
        <f>$C641*AO640</f>
        <v/>
      </c>
      <c r="AP641">
        <f>$C641*AP640</f>
        <v/>
      </c>
      <c r="AQ641">
        <f>$C641*AQ640</f>
        <v/>
      </c>
      <c r="AR641">
        <f>$C641*AR640</f>
        <v/>
      </c>
      <c r="AS641">
        <f>$C641*AS640</f>
        <v/>
      </c>
      <c r="AT641">
        <f>$C641*AT640</f>
        <v/>
      </c>
      <c r="AU641">
        <f>$C641*AU640</f>
        <v/>
      </c>
      <c r="AV641">
        <f>$C641*AV640</f>
        <v/>
      </c>
      <c r="AW641">
        <f>$C641*AW640</f>
        <v/>
      </c>
      <c r="AX641">
        <f>$C641*AX640</f>
        <v/>
      </c>
      <c r="AY641">
        <f>$C641*AY640</f>
        <v/>
      </c>
      <c r="AZ641">
        <f>$C641*AZ640</f>
        <v/>
      </c>
      <c r="BA641">
        <f>$C641*BA640</f>
        <v/>
      </c>
      <c r="BB641">
        <f>$C641*BB640</f>
        <v/>
      </c>
      <c r="BC641">
        <f>$C641*BC640</f>
        <v/>
      </c>
      <c r="BD641">
        <f>$C641*BD640</f>
        <v/>
      </c>
      <c r="BE641">
        <f>$C641*BE640</f>
        <v/>
      </c>
      <c r="BF641">
        <f>$C641*BF640</f>
        <v/>
      </c>
      <c r="BG641">
        <f>$C641*BG640</f>
        <v/>
      </c>
      <c r="BH641">
        <f>$C641*BH640</f>
        <v/>
      </c>
      <c r="BI641">
        <f>$C641*BI640</f>
        <v/>
      </c>
      <c r="BJ641">
        <f>$C641*BJ640</f>
        <v/>
      </c>
      <c r="BK641">
        <f>$C641*BK640</f>
        <v/>
      </c>
      <c r="BL641">
        <f>$C641*BL640</f>
        <v/>
      </c>
      <c r="BM641">
        <f>$C641*BM640</f>
        <v/>
      </c>
      <c r="BN641">
        <f>$C641*BN640</f>
        <v/>
      </c>
      <c r="BO641">
        <f>$C641*BO640</f>
        <v/>
      </c>
      <c r="BP641">
        <f>$C641*BP640</f>
        <v/>
      </c>
      <c r="BQ641">
        <f>$C641*BQ640</f>
        <v/>
      </c>
      <c r="BR641">
        <f>$C641*BR640</f>
        <v/>
      </c>
      <c r="BS641">
        <f>$C641*BS640</f>
        <v/>
      </c>
      <c r="BT641">
        <f>$C641*BT640</f>
        <v/>
      </c>
      <c r="BU641">
        <f>$C641*BU640</f>
        <v/>
      </c>
      <c r="BV641">
        <f>$C641*BV640</f>
        <v/>
      </c>
      <c r="BW641">
        <f>$C641*BW640</f>
        <v/>
      </c>
      <c r="BX641">
        <f>$C641*BX640</f>
        <v/>
      </c>
      <c r="BY641">
        <f>$C641*BY640</f>
        <v/>
      </c>
      <c r="BZ641">
        <f>$C641*BZ640</f>
        <v/>
      </c>
      <c r="CA641">
        <f>$C641*CA640</f>
        <v/>
      </c>
      <c r="CB641">
        <f>$C641*CB640</f>
        <v/>
      </c>
      <c r="CC641">
        <f>$C641*CC640</f>
        <v/>
      </c>
      <c r="CD641">
        <f>$C641*CD640</f>
        <v/>
      </c>
      <c r="CE641">
        <f>$C641*CE640</f>
        <v/>
      </c>
      <c r="CF641">
        <f>$C641*CF640</f>
        <v/>
      </c>
      <c r="CG641">
        <f>$C641*CG640</f>
        <v/>
      </c>
      <c r="CH641">
        <f>$C641*CH640</f>
        <v/>
      </c>
      <c r="CI641">
        <f>$C641*CI640</f>
        <v/>
      </c>
      <c r="CJ641">
        <f>$C641*CJ640</f>
        <v/>
      </c>
      <c r="CK641">
        <f>$C641*CK640</f>
        <v/>
      </c>
      <c r="CL641">
        <f>$C641*CL640</f>
        <v/>
      </c>
      <c r="CM641">
        <f>$C641*CM640</f>
        <v/>
      </c>
      <c r="CN641">
        <f>$C641*CN640</f>
        <v/>
      </c>
      <c r="CO641">
        <f>$C641*CO640</f>
        <v/>
      </c>
      <c r="CP641">
        <f>$C641*CP640</f>
        <v/>
      </c>
      <c r="CQ641">
        <f>$C641*CQ640</f>
        <v/>
      </c>
      <c r="CR641">
        <f>$C641*CR640</f>
        <v/>
      </c>
      <c r="CS641">
        <f>$C641*CS640</f>
        <v/>
      </c>
      <c r="CT641">
        <f>$C641*CT640</f>
        <v/>
      </c>
      <c r="CU641">
        <f>$C641*CU640</f>
        <v/>
      </c>
      <c r="CV641">
        <f>$C641*CV640</f>
        <v/>
      </c>
      <c r="CW641">
        <f>$C641*CW640</f>
        <v/>
      </c>
      <c r="CX641">
        <f>$C641*CX640</f>
        <v/>
      </c>
      <c r="CY641">
        <f>$C641*CY640</f>
        <v/>
      </c>
      <c r="CZ641">
        <f>$C641*CZ640</f>
        <v/>
      </c>
      <c r="DA641">
        <f>$C641*DA640</f>
        <v/>
      </c>
      <c r="DB641">
        <f>$C641*DB640</f>
        <v/>
      </c>
      <c r="DC641">
        <f>$C641*DC640</f>
        <v/>
      </c>
      <c r="DD641">
        <f>$C641*DD640</f>
        <v/>
      </c>
    </row>
    <row r="642">
      <c r="B642" t="inlineStr">
        <is>
          <t>TSP-403</t>
        </is>
      </c>
      <c r="C642" t="inlineStr">
        <is>
          <t>No. of batches</t>
        </is>
      </c>
      <c r="D642">
        <f>IFERROR(INDEX(E642:DD642,$F$1),"")</f>
        <v/>
      </c>
      <c r="E642">
        <f>IFERROR(INDEX(PP_Grid[#Data],$DE642,2),0)</f>
        <v/>
      </c>
      <c r="F642">
        <f>IFERROR(INDEX(PP_Grid[#Data],$DE642,3),0)</f>
        <v/>
      </c>
      <c r="G642">
        <f>IFERROR(INDEX(PP_Grid[#Data],$DE642,4),0)</f>
        <v/>
      </c>
      <c r="H642">
        <f>IFERROR(INDEX(PP_Grid[#Data],$DE642,5),0)</f>
        <v/>
      </c>
      <c r="I642">
        <f>IFERROR(INDEX(PP_Grid[#Data],$DE642,6),0)</f>
        <v/>
      </c>
      <c r="J642">
        <f>IFERROR(INDEX(PP_Grid[#Data],$DE642,7),0)</f>
        <v/>
      </c>
      <c r="K642">
        <f>IFERROR(INDEX(PP_Grid[#Data],$DE642,8),0)</f>
        <v/>
      </c>
      <c r="L642">
        <f>IFERROR(INDEX(PP_Grid[#Data],$DE642,9),0)</f>
        <v/>
      </c>
      <c r="M642">
        <f>IFERROR(INDEX(PP_Grid[#Data],$DE642,10),0)</f>
        <v/>
      </c>
      <c r="N642">
        <f>IFERROR(INDEX(PP_Grid[#Data],$DE642,11),0)</f>
        <v/>
      </c>
      <c r="O642">
        <f>IFERROR(INDEX(PP_Grid[#Data],$DE642,12),0)</f>
        <v/>
      </c>
      <c r="P642">
        <f>IFERROR(INDEX(PP_Grid[#Data],$DE642,13),0)</f>
        <v/>
      </c>
      <c r="Q642">
        <f>IFERROR(INDEX(PP_Grid[#Data],$DE642,14),0)</f>
        <v/>
      </c>
      <c r="R642">
        <f>IFERROR(INDEX(PP_Grid[#Data],$DE642,15),0)</f>
        <v/>
      </c>
      <c r="S642">
        <f>IFERROR(INDEX(PP_Grid[#Data],$DE642,16),0)</f>
        <v/>
      </c>
      <c r="T642">
        <f>IFERROR(INDEX(PP_Grid[#Data],$DE642,17),0)</f>
        <v/>
      </c>
      <c r="U642">
        <f>IFERROR(INDEX(PP_Grid[#Data],$DE642,18),0)</f>
        <v/>
      </c>
      <c r="V642">
        <f>IFERROR(INDEX(PP_Grid[#Data],$DE642,19),0)</f>
        <v/>
      </c>
      <c r="W642">
        <f>IFERROR(INDEX(PP_Grid[#Data],$DE642,20),0)</f>
        <v/>
      </c>
      <c r="X642">
        <f>IFERROR(INDEX(PP_Grid[#Data],$DE642,21),0)</f>
        <v/>
      </c>
      <c r="Y642">
        <f>IFERROR(INDEX(PP_Grid[#Data],$DE642,22),0)</f>
        <v/>
      </c>
      <c r="Z642">
        <f>IFERROR(INDEX(PP_Grid[#Data],$DE642,23),0)</f>
        <v/>
      </c>
      <c r="AA642">
        <f>IFERROR(INDEX(PP_Grid[#Data],$DE642,24),0)</f>
        <v/>
      </c>
      <c r="AB642">
        <f>IFERROR(INDEX(PP_Grid[#Data],$DE642,25),0)</f>
        <v/>
      </c>
      <c r="AC642">
        <f>IFERROR(INDEX(PP_Grid[#Data],$DE642,26),0)</f>
        <v/>
      </c>
      <c r="AD642">
        <f>IFERROR(INDEX(PP_Grid[#Data],$DE642,27),0)</f>
        <v/>
      </c>
      <c r="AE642">
        <f>IFERROR(INDEX(PP_Grid[#Data],$DE642,28),0)</f>
        <v/>
      </c>
      <c r="AF642">
        <f>IFERROR(INDEX(PP_Grid[#Data],$DE642,29),0)</f>
        <v/>
      </c>
      <c r="AG642">
        <f>IFERROR(INDEX(PP_Grid[#Data],$DE642,30),0)</f>
        <v/>
      </c>
      <c r="AH642">
        <f>IFERROR(INDEX(PP_Grid[#Data],$DE642,31),0)</f>
        <v/>
      </c>
      <c r="AI642">
        <f>IFERROR(INDEX(PP_Grid[#Data],$DE642,32),0)</f>
        <v/>
      </c>
      <c r="AJ642">
        <f>IFERROR(INDEX(PP_Grid[#Data],$DE642,33),0)</f>
        <v/>
      </c>
      <c r="AK642">
        <f>IFERROR(INDEX(PP_Grid[#Data],$DE642,34),0)</f>
        <v/>
      </c>
      <c r="AL642">
        <f>IFERROR(INDEX(PP_Grid[#Data],$DE642,35),0)</f>
        <v/>
      </c>
      <c r="AM642">
        <f>IFERROR(INDEX(PP_Grid[#Data],$DE642,36),0)</f>
        <v/>
      </c>
      <c r="AN642">
        <f>IFERROR(INDEX(PP_Grid[#Data],$DE642,37),0)</f>
        <v/>
      </c>
      <c r="AO642">
        <f>IFERROR(INDEX(PP_Grid[#Data],$DE642,38),0)</f>
        <v/>
      </c>
      <c r="AP642">
        <f>IFERROR(INDEX(PP_Grid[#Data],$DE642,39),0)</f>
        <v/>
      </c>
      <c r="AQ642">
        <f>IFERROR(INDEX(PP_Grid[#Data],$DE642,40),0)</f>
        <v/>
      </c>
      <c r="AR642">
        <f>IFERROR(INDEX(PP_Grid[#Data],$DE642,41),0)</f>
        <v/>
      </c>
      <c r="AS642">
        <f>IFERROR(INDEX(PP_Grid[#Data],$DE642,42),0)</f>
        <v/>
      </c>
      <c r="AT642">
        <f>IFERROR(INDEX(PP_Grid[#Data],$DE642,43),0)</f>
        <v/>
      </c>
      <c r="AU642">
        <f>IFERROR(INDEX(PP_Grid[#Data],$DE642,44),0)</f>
        <v/>
      </c>
      <c r="AV642">
        <f>IFERROR(INDEX(PP_Grid[#Data],$DE642,45),0)</f>
        <v/>
      </c>
      <c r="AW642">
        <f>IFERROR(INDEX(PP_Grid[#Data],$DE642,46),0)</f>
        <v/>
      </c>
      <c r="AX642">
        <f>IFERROR(INDEX(PP_Grid[#Data],$DE642,47),0)</f>
        <v/>
      </c>
      <c r="AY642">
        <f>IFERROR(INDEX(PP_Grid[#Data],$DE642,48),0)</f>
        <v/>
      </c>
      <c r="AZ642">
        <f>IFERROR(INDEX(PP_Grid[#Data],$DE642,49),0)</f>
        <v/>
      </c>
      <c r="BA642">
        <f>IFERROR(INDEX(PP_Grid[#Data],$DE642,50),0)</f>
        <v/>
      </c>
      <c r="BB642">
        <f>IFERROR(INDEX(PP_Grid[#Data],$DE642,51),0)</f>
        <v/>
      </c>
      <c r="BC642">
        <f>IFERROR(INDEX(PP_Grid[#Data],$DE642,52),0)</f>
        <v/>
      </c>
      <c r="BD642">
        <f>IFERROR(INDEX(PP_Grid[#Data],$DE642,53),0)</f>
        <v/>
      </c>
      <c r="BE642">
        <f>IFERROR(INDEX(PP_Grid[#Data],$DE642,54),0)</f>
        <v/>
      </c>
      <c r="BF642">
        <f>IFERROR(INDEX(PP_Grid[#Data],$DE642,55),0)</f>
        <v/>
      </c>
      <c r="BG642">
        <f>IFERROR(INDEX(PP_Grid[#Data],$DE642,56),0)</f>
        <v/>
      </c>
      <c r="BH642">
        <f>IFERROR(INDEX(PP_Grid[#Data],$DE642,57),0)</f>
        <v/>
      </c>
      <c r="BI642">
        <f>IFERROR(INDEX(PP_Grid[#Data],$DE642,58),0)</f>
        <v/>
      </c>
      <c r="BJ642">
        <f>IFERROR(INDEX(PP_Grid[#Data],$DE642,59),0)</f>
        <v/>
      </c>
      <c r="BK642">
        <f>IFERROR(INDEX(PP_Grid[#Data],$DE642,60),0)</f>
        <v/>
      </c>
      <c r="BL642">
        <f>IFERROR(INDEX(PP_Grid[#Data],$DE642,61),0)</f>
        <v/>
      </c>
      <c r="BM642">
        <f>IFERROR(INDEX(PP_Grid[#Data],$DE642,62),0)</f>
        <v/>
      </c>
      <c r="BN642">
        <f>IFERROR(INDEX(PP_Grid[#Data],$DE642,63),0)</f>
        <v/>
      </c>
      <c r="BO642">
        <f>IFERROR(INDEX(PP_Grid[#Data],$DE642,64),0)</f>
        <v/>
      </c>
      <c r="BP642">
        <f>IFERROR(INDEX(PP_Grid[#Data],$DE642,65),0)</f>
        <v/>
      </c>
      <c r="BQ642">
        <f>IFERROR(INDEX(PP_Grid[#Data],$DE642,66),0)</f>
        <v/>
      </c>
      <c r="BR642">
        <f>IFERROR(INDEX(PP_Grid[#Data],$DE642,67),0)</f>
        <v/>
      </c>
      <c r="BS642">
        <f>IFERROR(INDEX(PP_Grid[#Data],$DE642,68),0)</f>
        <v/>
      </c>
      <c r="BT642">
        <f>IFERROR(INDEX(PP_Grid[#Data],$DE642,69),0)</f>
        <v/>
      </c>
      <c r="BU642">
        <f>IFERROR(INDEX(PP_Grid[#Data],$DE642,70),0)</f>
        <v/>
      </c>
      <c r="BV642">
        <f>IFERROR(INDEX(PP_Grid[#Data],$DE642,71),0)</f>
        <v/>
      </c>
      <c r="BW642">
        <f>IFERROR(INDEX(PP_Grid[#Data],$DE642,72),0)</f>
        <v/>
      </c>
      <c r="BX642">
        <f>IFERROR(INDEX(PP_Grid[#Data],$DE642,73),0)</f>
        <v/>
      </c>
      <c r="BY642">
        <f>IFERROR(INDEX(PP_Grid[#Data],$DE642,74),0)</f>
        <v/>
      </c>
      <c r="BZ642">
        <f>IFERROR(INDEX(PP_Grid[#Data],$DE642,75),0)</f>
        <v/>
      </c>
      <c r="CA642">
        <f>IFERROR(INDEX(PP_Grid[#Data],$DE642,76),0)</f>
        <v/>
      </c>
      <c r="CB642">
        <f>IFERROR(INDEX(PP_Grid[#Data],$DE642,77),0)</f>
        <v/>
      </c>
      <c r="CC642">
        <f>IFERROR(INDEX(PP_Grid[#Data],$DE642,78),0)</f>
        <v/>
      </c>
      <c r="CD642">
        <f>IFERROR(INDEX(PP_Grid[#Data],$DE642,79),0)</f>
        <v/>
      </c>
      <c r="CE642">
        <f>IFERROR(INDEX(PP_Grid[#Data],$DE642,80),0)</f>
        <v/>
      </c>
      <c r="CF642">
        <f>IFERROR(INDEX(PP_Grid[#Data],$DE642,81),0)</f>
        <v/>
      </c>
      <c r="CG642">
        <f>IFERROR(INDEX(PP_Grid[#Data],$DE642,82),0)</f>
        <v/>
      </c>
      <c r="CH642">
        <f>IFERROR(INDEX(PP_Grid[#Data],$DE642,83),0)</f>
        <v/>
      </c>
      <c r="CI642">
        <f>IFERROR(INDEX(PP_Grid[#Data],$DE642,84),0)</f>
        <v/>
      </c>
      <c r="CJ642">
        <f>IFERROR(INDEX(PP_Grid[#Data],$DE642,85),0)</f>
        <v/>
      </c>
      <c r="CK642">
        <f>IFERROR(INDEX(PP_Grid[#Data],$DE642,86),0)</f>
        <v/>
      </c>
      <c r="CL642">
        <f>IFERROR(INDEX(PP_Grid[#Data],$DE642,87),0)</f>
        <v/>
      </c>
      <c r="CM642">
        <f>IFERROR(INDEX(PP_Grid[#Data],$DE642,88),0)</f>
        <v/>
      </c>
      <c r="CN642">
        <f>IFERROR(INDEX(PP_Grid[#Data],$DE642,89),0)</f>
        <v/>
      </c>
      <c r="CO642">
        <f>IFERROR(INDEX(PP_Grid[#Data],$DE642,90),0)</f>
        <v/>
      </c>
      <c r="CP642">
        <f>IFERROR(INDEX(PP_Grid[#Data],$DE642,91),0)</f>
        <v/>
      </c>
      <c r="CQ642">
        <f>IFERROR(INDEX(PP_Grid[#Data],$DE642,92),0)</f>
        <v/>
      </c>
      <c r="CR642">
        <f>IFERROR(INDEX(PP_Grid[#Data],$DE642,93),0)</f>
        <v/>
      </c>
      <c r="CS642">
        <f>IFERROR(INDEX(PP_Grid[#Data],$DE642,94),0)</f>
        <v/>
      </c>
      <c r="CT642">
        <f>IFERROR(INDEX(PP_Grid[#Data],$DE642,95),0)</f>
        <v/>
      </c>
      <c r="CU642">
        <f>IFERROR(INDEX(PP_Grid[#Data],$DE642,96),0)</f>
        <v/>
      </c>
      <c r="CV642">
        <f>IFERROR(INDEX(PP_Grid[#Data],$DE642,97),0)</f>
        <v/>
      </c>
      <c r="CW642">
        <f>IFERROR(INDEX(PP_Grid[#Data],$DE642,98),0)</f>
        <v/>
      </c>
      <c r="CX642">
        <f>IFERROR(INDEX(PP_Grid[#Data],$DE642,99),0)</f>
        <v/>
      </c>
      <c r="CY642">
        <f>IFERROR(INDEX(PP_Grid[#Data],$DE642,100),0)</f>
        <v/>
      </c>
      <c r="CZ642">
        <f>IFERROR(INDEX(PP_Grid[#Data],$DE642,101),0)</f>
        <v/>
      </c>
      <c r="DA642">
        <f>IFERROR(INDEX(PP_Grid[#Data],$DE642,102),0)</f>
        <v/>
      </c>
      <c r="DB642">
        <f>IFERROR(INDEX(PP_Grid[#Data],$DE642,103),0)</f>
        <v/>
      </c>
      <c r="DC642">
        <f>IFERROR(INDEX(PP_Grid[#Data],$DE642,104),0)</f>
        <v/>
      </c>
      <c r="DD642">
        <f>IFERROR(INDEX(PP_Grid[#Data],$DE642,105),0)</f>
        <v/>
      </c>
      <c r="DE642" s="7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SUMIFS(M_BOM[RM_Qty_Per_Batch],M_BOM[Intermediate],$B642,M_BOM[RM_Code],$A615)</f>
        <v/>
      </c>
      <c r="D643">
        <f>IFERROR(INDEX(E643:DD643,$F$1),"")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  <c r="DD643">
        <f>$C643*DD642</f>
        <v/>
      </c>
    </row>
    <row r="644">
      <c r="B644" t="inlineStr">
        <is>
          <t>TSP-404</t>
        </is>
      </c>
      <c r="C644" t="inlineStr">
        <is>
          <t>No. of batches</t>
        </is>
      </c>
      <c r="D644">
        <f>IFERROR(INDEX(E644:DD644,$F$1),"")</f>
        <v/>
      </c>
      <c r="E644">
        <f>IFERROR(INDEX(PP_Grid[#Data],$DE644,2),0)</f>
        <v/>
      </c>
      <c r="F644">
        <f>IFERROR(INDEX(PP_Grid[#Data],$DE644,3),0)</f>
        <v/>
      </c>
      <c r="G644">
        <f>IFERROR(INDEX(PP_Grid[#Data],$DE644,4),0)</f>
        <v/>
      </c>
      <c r="H644">
        <f>IFERROR(INDEX(PP_Grid[#Data],$DE644,5),0)</f>
        <v/>
      </c>
      <c r="I644">
        <f>IFERROR(INDEX(PP_Grid[#Data],$DE644,6),0)</f>
        <v/>
      </c>
      <c r="J644">
        <f>IFERROR(INDEX(PP_Grid[#Data],$DE644,7),0)</f>
        <v/>
      </c>
      <c r="K644">
        <f>IFERROR(INDEX(PP_Grid[#Data],$DE644,8),0)</f>
        <v/>
      </c>
      <c r="L644">
        <f>IFERROR(INDEX(PP_Grid[#Data],$DE644,9),0)</f>
        <v/>
      </c>
      <c r="M644">
        <f>IFERROR(INDEX(PP_Grid[#Data],$DE644,10),0)</f>
        <v/>
      </c>
      <c r="N644">
        <f>IFERROR(INDEX(PP_Grid[#Data],$DE644,11),0)</f>
        <v/>
      </c>
      <c r="O644">
        <f>IFERROR(INDEX(PP_Grid[#Data],$DE644,12),0)</f>
        <v/>
      </c>
      <c r="P644">
        <f>IFERROR(INDEX(PP_Grid[#Data],$DE644,13),0)</f>
        <v/>
      </c>
      <c r="Q644">
        <f>IFERROR(INDEX(PP_Grid[#Data],$DE644,14),0)</f>
        <v/>
      </c>
      <c r="R644">
        <f>IFERROR(INDEX(PP_Grid[#Data],$DE644,15),0)</f>
        <v/>
      </c>
      <c r="S644">
        <f>IFERROR(INDEX(PP_Grid[#Data],$DE644,16),0)</f>
        <v/>
      </c>
      <c r="T644">
        <f>IFERROR(INDEX(PP_Grid[#Data],$DE644,17),0)</f>
        <v/>
      </c>
      <c r="U644">
        <f>IFERROR(INDEX(PP_Grid[#Data],$DE644,18),0)</f>
        <v/>
      </c>
      <c r="V644">
        <f>IFERROR(INDEX(PP_Grid[#Data],$DE644,19),0)</f>
        <v/>
      </c>
      <c r="W644">
        <f>IFERROR(INDEX(PP_Grid[#Data],$DE644,20),0)</f>
        <v/>
      </c>
      <c r="X644">
        <f>IFERROR(INDEX(PP_Grid[#Data],$DE644,21),0)</f>
        <v/>
      </c>
      <c r="Y644">
        <f>IFERROR(INDEX(PP_Grid[#Data],$DE644,22),0)</f>
        <v/>
      </c>
      <c r="Z644">
        <f>IFERROR(INDEX(PP_Grid[#Data],$DE644,23),0)</f>
        <v/>
      </c>
      <c r="AA644">
        <f>IFERROR(INDEX(PP_Grid[#Data],$DE644,24),0)</f>
        <v/>
      </c>
      <c r="AB644">
        <f>IFERROR(INDEX(PP_Grid[#Data],$DE644,25),0)</f>
        <v/>
      </c>
      <c r="AC644">
        <f>IFERROR(INDEX(PP_Grid[#Data],$DE644,26),0)</f>
        <v/>
      </c>
      <c r="AD644">
        <f>IFERROR(INDEX(PP_Grid[#Data],$DE644,27),0)</f>
        <v/>
      </c>
      <c r="AE644">
        <f>IFERROR(INDEX(PP_Grid[#Data],$DE644,28),0)</f>
        <v/>
      </c>
      <c r="AF644">
        <f>IFERROR(INDEX(PP_Grid[#Data],$DE644,29),0)</f>
        <v/>
      </c>
      <c r="AG644">
        <f>IFERROR(INDEX(PP_Grid[#Data],$DE644,30),0)</f>
        <v/>
      </c>
      <c r="AH644">
        <f>IFERROR(INDEX(PP_Grid[#Data],$DE644,31),0)</f>
        <v/>
      </c>
      <c r="AI644">
        <f>IFERROR(INDEX(PP_Grid[#Data],$DE644,32),0)</f>
        <v/>
      </c>
      <c r="AJ644">
        <f>IFERROR(INDEX(PP_Grid[#Data],$DE644,33),0)</f>
        <v/>
      </c>
      <c r="AK644">
        <f>IFERROR(INDEX(PP_Grid[#Data],$DE644,34),0)</f>
        <v/>
      </c>
      <c r="AL644">
        <f>IFERROR(INDEX(PP_Grid[#Data],$DE644,35),0)</f>
        <v/>
      </c>
      <c r="AM644">
        <f>IFERROR(INDEX(PP_Grid[#Data],$DE644,36),0)</f>
        <v/>
      </c>
      <c r="AN644">
        <f>IFERROR(INDEX(PP_Grid[#Data],$DE644,37),0)</f>
        <v/>
      </c>
      <c r="AO644">
        <f>IFERROR(INDEX(PP_Grid[#Data],$DE644,38),0)</f>
        <v/>
      </c>
      <c r="AP644">
        <f>IFERROR(INDEX(PP_Grid[#Data],$DE644,39),0)</f>
        <v/>
      </c>
      <c r="AQ644">
        <f>IFERROR(INDEX(PP_Grid[#Data],$DE644,40),0)</f>
        <v/>
      </c>
      <c r="AR644">
        <f>IFERROR(INDEX(PP_Grid[#Data],$DE644,41),0)</f>
        <v/>
      </c>
      <c r="AS644">
        <f>IFERROR(INDEX(PP_Grid[#Data],$DE644,42),0)</f>
        <v/>
      </c>
      <c r="AT644">
        <f>IFERROR(INDEX(PP_Grid[#Data],$DE644,43),0)</f>
        <v/>
      </c>
      <c r="AU644">
        <f>IFERROR(INDEX(PP_Grid[#Data],$DE644,44),0)</f>
        <v/>
      </c>
      <c r="AV644">
        <f>IFERROR(INDEX(PP_Grid[#Data],$DE644,45),0)</f>
        <v/>
      </c>
      <c r="AW644">
        <f>IFERROR(INDEX(PP_Grid[#Data],$DE644,46),0)</f>
        <v/>
      </c>
      <c r="AX644">
        <f>IFERROR(INDEX(PP_Grid[#Data],$DE644,47),0)</f>
        <v/>
      </c>
      <c r="AY644">
        <f>IFERROR(INDEX(PP_Grid[#Data],$DE644,48),0)</f>
        <v/>
      </c>
      <c r="AZ644">
        <f>IFERROR(INDEX(PP_Grid[#Data],$DE644,49),0)</f>
        <v/>
      </c>
      <c r="BA644">
        <f>IFERROR(INDEX(PP_Grid[#Data],$DE644,50),0)</f>
        <v/>
      </c>
      <c r="BB644">
        <f>IFERROR(INDEX(PP_Grid[#Data],$DE644,51),0)</f>
        <v/>
      </c>
      <c r="BC644">
        <f>IFERROR(INDEX(PP_Grid[#Data],$DE644,52),0)</f>
        <v/>
      </c>
      <c r="BD644">
        <f>IFERROR(INDEX(PP_Grid[#Data],$DE644,53),0)</f>
        <v/>
      </c>
      <c r="BE644">
        <f>IFERROR(INDEX(PP_Grid[#Data],$DE644,54),0)</f>
        <v/>
      </c>
      <c r="BF644">
        <f>IFERROR(INDEX(PP_Grid[#Data],$DE644,55),0)</f>
        <v/>
      </c>
      <c r="BG644">
        <f>IFERROR(INDEX(PP_Grid[#Data],$DE644,56),0)</f>
        <v/>
      </c>
      <c r="BH644">
        <f>IFERROR(INDEX(PP_Grid[#Data],$DE644,57),0)</f>
        <v/>
      </c>
      <c r="BI644">
        <f>IFERROR(INDEX(PP_Grid[#Data],$DE644,58),0)</f>
        <v/>
      </c>
      <c r="BJ644">
        <f>IFERROR(INDEX(PP_Grid[#Data],$DE644,59),0)</f>
        <v/>
      </c>
      <c r="BK644">
        <f>IFERROR(INDEX(PP_Grid[#Data],$DE644,60),0)</f>
        <v/>
      </c>
      <c r="BL644">
        <f>IFERROR(INDEX(PP_Grid[#Data],$DE644,61),0)</f>
        <v/>
      </c>
      <c r="BM644">
        <f>IFERROR(INDEX(PP_Grid[#Data],$DE644,62),0)</f>
        <v/>
      </c>
      <c r="BN644">
        <f>IFERROR(INDEX(PP_Grid[#Data],$DE644,63),0)</f>
        <v/>
      </c>
      <c r="BO644">
        <f>IFERROR(INDEX(PP_Grid[#Data],$DE644,64),0)</f>
        <v/>
      </c>
      <c r="BP644">
        <f>IFERROR(INDEX(PP_Grid[#Data],$DE644,65),0)</f>
        <v/>
      </c>
      <c r="BQ644">
        <f>IFERROR(INDEX(PP_Grid[#Data],$DE644,66),0)</f>
        <v/>
      </c>
      <c r="BR644">
        <f>IFERROR(INDEX(PP_Grid[#Data],$DE644,67),0)</f>
        <v/>
      </c>
      <c r="BS644">
        <f>IFERROR(INDEX(PP_Grid[#Data],$DE644,68),0)</f>
        <v/>
      </c>
      <c r="BT644">
        <f>IFERROR(INDEX(PP_Grid[#Data],$DE644,69),0)</f>
        <v/>
      </c>
      <c r="BU644">
        <f>IFERROR(INDEX(PP_Grid[#Data],$DE644,70),0)</f>
        <v/>
      </c>
      <c r="BV644">
        <f>IFERROR(INDEX(PP_Grid[#Data],$DE644,71),0)</f>
        <v/>
      </c>
      <c r="BW644">
        <f>IFERROR(INDEX(PP_Grid[#Data],$DE644,72),0)</f>
        <v/>
      </c>
      <c r="BX644">
        <f>IFERROR(INDEX(PP_Grid[#Data],$DE644,73),0)</f>
        <v/>
      </c>
      <c r="BY644">
        <f>IFERROR(INDEX(PP_Grid[#Data],$DE644,74),0)</f>
        <v/>
      </c>
      <c r="BZ644">
        <f>IFERROR(INDEX(PP_Grid[#Data],$DE644,75),0)</f>
        <v/>
      </c>
      <c r="CA644">
        <f>IFERROR(INDEX(PP_Grid[#Data],$DE644,76),0)</f>
        <v/>
      </c>
      <c r="CB644">
        <f>IFERROR(INDEX(PP_Grid[#Data],$DE644,77),0)</f>
        <v/>
      </c>
      <c r="CC644">
        <f>IFERROR(INDEX(PP_Grid[#Data],$DE644,78),0)</f>
        <v/>
      </c>
      <c r="CD644">
        <f>IFERROR(INDEX(PP_Grid[#Data],$DE644,79),0)</f>
        <v/>
      </c>
      <c r="CE644">
        <f>IFERROR(INDEX(PP_Grid[#Data],$DE644,80),0)</f>
        <v/>
      </c>
      <c r="CF644">
        <f>IFERROR(INDEX(PP_Grid[#Data],$DE644,81),0)</f>
        <v/>
      </c>
      <c r="CG644">
        <f>IFERROR(INDEX(PP_Grid[#Data],$DE644,82),0)</f>
        <v/>
      </c>
      <c r="CH644">
        <f>IFERROR(INDEX(PP_Grid[#Data],$DE644,83),0)</f>
        <v/>
      </c>
      <c r="CI644">
        <f>IFERROR(INDEX(PP_Grid[#Data],$DE644,84),0)</f>
        <v/>
      </c>
      <c r="CJ644">
        <f>IFERROR(INDEX(PP_Grid[#Data],$DE644,85),0)</f>
        <v/>
      </c>
      <c r="CK644">
        <f>IFERROR(INDEX(PP_Grid[#Data],$DE644,86),0)</f>
        <v/>
      </c>
      <c r="CL644">
        <f>IFERROR(INDEX(PP_Grid[#Data],$DE644,87),0)</f>
        <v/>
      </c>
      <c r="CM644">
        <f>IFERROR(INDEX(PP_Grid[#Data],$DE644,88),0)</f>
        <v/>
      </c>
      <c r="CN644">
        <f>IFERROR(INDEX(PP_Grid[#Data],$DE644,89),0)</f>
        <v/>
      </c>
      <c r="CO644">
        <f>IFERROR(INDEX(PP_Grid[#Data],$DE644,90),0)</f>
        <v/>
      </c>
      <c r="CP644">
        <f>IFERROR(INDEX(PP_Grid[#Data],$DE644,91),0)</f>
        <v/>
      </c>
      <c r="CQ644">
        <f>IFERROR(INDEX(PP_Grid[#Data],$DE644,92),0)</f>
        <v/>
      </c>
      <c r="CR644">
        <f>IFERROR(INDEX(PP_Grid[#Data],$DE644,93),0)</f>
        <v/>
      </c>
      <c r="CS644">
        <f>IFERROR(INDEX(PP_Grid[#Data],$DE644,94),0)</f>
        <v/>
      </c>
      <c r="CT644">
        <f>IFERROR(INDEX(PP_Grid[#Data],$DE644,95),0)</f>
        <v/>
      </c>
      <c r="CU644">
        <f>IFERROR(INDEX(PP_Grid[#Data],$DE644,96),0)</f>
        <v/>
      </c>
      <c r="CV644">
        <f>IFERROR(INDEX(PP_Grid[#Data],$DE644,97),0)</f>
        <v/>
      </c>
      <c r="CW644">
        <f>IFERROR(INDEX(PP_Grid[#Data],$DE644,98),0)</f>
        <v/>
      </c>
      <c r="CX644">
        <f>IFERROR(INDEX(PP_Grid[#Data],$DE644,99),0)</f>
        <v/>
      </c>
      <c r="CY644">
        <f>IFERROR(INDEX(PP_Grid[#Data],$DE644,100),0)</f>
        <v/>
      </c>
      <c r="CZ644">
        <f>IFERROR(INDEX(PP_Grid[#Data],$DE644,101),0)</f>
        <v/>
      </c>
      <c r="DA644">
        <f>IFERROR(INDEX(PP_Grid[#Data],$DE644,102),0)</f>
        <v/>
      </c>
      <c r="DB644">
        <f>IFERROR(INDEX(PP_Grid[#Data],$DE644,103),0)</f>
        <v/>
      </c>
      <c r="DC644">
        <f>IFERROR(INDEX(PP_Grid[#Data],$DE644,104),0)</f>
        <v/>
      </c>
      <c r="DD644">
        <f>IFERROR(INDEX(PP_Grid[#Data],$DE644,105),0)</f>
        <v/>
      </c>
      <c r="DE644" s="7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SUMIFS(M_BOM[RM_Qty_Per_Batch],M_BOM[Intermediate],$B644,M_BOM[RM_Code],$A615)</f>
        <v/>
      </c>
      <c r="D645">
        <f>IFERROR(INDEX(E645:DD645,$F$1),"")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  <c r="DD645">
        <f>$C645*DD644</f>
        <v/>
      </c>
    </row>
    <row r="646">
      <c r="B646" t="inlineStr">
        <is>
          <t>TSP-405</t>
        </is>
      </c>
      <c r="C646" t="inlineStr">
        <is>
          <t>No. of batches</t>
        </is>
      </c>
      <c r="D646">
        <f>IFERROR(INDEX(E646:DD646,$F$1),"")</f>
        <v/>
      </c>
      <c r="E646">
        <f>IFERROR(INDEX(PP_Grid[#Data],$DE646,2),0)</f>
        <v/>
      </c>
      <c r="F646">
        <f>IFERROR(INDEX(PP_Grid[#Data],$DE646,3),0)</f>
        <v/>
      </c>
      <c r="G646">
        <f>IFERROR(INDEX(PP_Grid[#Data],$DE646,4),0)</f>
        <v/>
      </c>
      <c r="H646">
        <f>IFERROR(INDEX(PP_Grid[#Data],$DE646,5),0)</f>
        <v/>
      </c>
      <c r="I646">
        <f>IFERROR(INDEX(PP_Grid[#Data],$DE646,6),0)</f>
        <v/>
      </c>
      <c r="J646">
        <f>IFERROR(INDEX(PP_Grid[#Data],$DE646,7),0)</f>
        <v/>
      </c>
      <c r="K646">
        <f>IFERROR(INDEX(PP_Grid[#Data],$DE646,8),0)</f>
        <v/>
      </c>
      <c r="L646">
        <f>IFERROR(INDEX(PP_Grid[#Data],$DE646,9),0)</f>
        <v/>
      </c>
      <c r="M646">
        <f>IFERROR(INDEX(PP_Grid[#Data],$DE646,10),0)</f>
        <v/>
      </c>
      <c r="N646">
        <f>IFERROR(INDEX(PP_Grid[#Data],$DE646,11),0)</f>
        <v/>
      </c>
      <c r="O646">
        <f>IFERROR(INDEX(PP_Grid[#Data],$DE646,12),0)</f>
        <v/>
      </c>
      <c r="P646">
        <f>IFERROR(INDEX(PP_Grid[#Data],$DE646,13),0)</f>
        <v/>
      </c>
      <c r="Q646">
        <f>IFERROR(INDEX(PP_Grid[#Data],$DE646,14),0)</f>
        <v/>
      </c>
      <c r="R646">
        <f>IFERROR(INDEX(PP_Grid[#Data],$DE646,15),0)</f>
        <v/>
      </c>
      <c r="S646">
        <f>IFERROR(INDEX(PP_Grid[#Data],$DE646,16),0)</f>
        <v/>
      </c>
      <c r="T646">
        <f>IFERROR(INDEX(PP_Grid[#Data],$DE646,17),0)</f>
        <v/>
      </c>
      <c r="U646">
        <f>IFERROR(INDEX(PP_Grid[#Data],$DE646,18),0)</f>
        <v/>
      </c>
      <c r="V646">
        <f>IFERROR(INDEX(PP_Grid[#Data],$DE646,19),0)</f>
        <v/>
      </c>
      <c r="W646">
        <f>IFERROR(INDEX(PP_Grid[#Data],$DE646,20),0)</f>
        <v/>
      </c>
      <c r="X646">
        <f>IFERROR(INDEX(PP_Grid[#Data],$DE646,21),0)</f>
        <v/>
      </c>
      <c r="Y646">
        <f>IFERROR(INDEX(PP_Grid[#Data],$DE646,22),0)</f>
        <v/>
      </c>
      <c r="Z646">
        <f>IFERROR(INDEX(PP_Grid[#Data],$DE646,23),0)</f>
        <v/>
      </c>
      <c r="AA646">
        <f>IFERROR(INDEX(PP_Grid[#Data],$DE646,24),0)</f>
        <v/>
      </c>
      <c r="AB646">
        <f>IFERROR(INDEX(PP_Grid[#Data],$DE646,25),0)</f>
        <v/>
      </c>
      <c r="AC646">
        <f>IFERROR(INDEX(PP_Grid[#Data],$DE646,26),0)</f>
        <v/>
      </c>
      <c r="AD646">
        <f>IFERROR(INDEX(PP_Grid[#Data],$DE646,27),0)</f>
        <v/>
      </c>
      <c r="AE646">
        <f>IFERROR(INDEX(PP_Grid[#Data],$DE646,28),0)</f>
        <v/>
      </c>
      <c r="AF646">
        <f>IFERROR(INDEX(PP_Grid[#Data],$DE646,29),0)</f>
        <v/>
      </c>
      <c r="AG646">
        <f>IFERROR(INDEX(PP_Grid[#Data],$DE646,30),0)</f>
        <v/>
      </c>
      <c r="AH646">
        <f>IFERROR(INDEX(PP_Grid[#Data],$DE646,31),0)</f>
        <v/>
      </c>
      <c r="AI646">
        <f>IFERROR(INDEX(PP_Grid[#Data],$DE646,32),0)</f>
        <v/>
      </c>
      <c r="AJ646">
        <f>IFERROR(INDEX(PP_Grid[#Data],$DE646,33),0)</f>
        <v/>
      </c>
      <c r="AK646">
        <f>IFERROR(INDEX(PP_Grid[#Data],$DE646,34),0)</f>
        <v/>
      </c>
      <c r="AL646">
        <f>IFERROR(INDEX(PP_Grid[#Data],$DE646,35),0)</f>
        <v/>
      </c>
      <c r="AM646">
        <f>IFERROR(INDEX(PP_Grid[#Data],$DE646,36),0)</f>
        <v/>
      </c>
      <c r="AN646">
        <f>IFERROR(INDEX(PP_Grid[#Data],$DE646,37),0)</f>
        <v/>
      </c>
      <c r="AO646">
        <f>IFERROR(INDEX(PP_Grid[#Data],$DE646,38),0)</f>
        <v/>
      </c>
      <c r="AP646">
        <f>IFERROR(INDEX(PP_Grid[#Data],$DE646,39),0)</f>
        <v/>
      </c>
      <c r="AQ646">
        <f>IFERROR(INDEX(PP_Grid[#Data],$DE646,40),0)</f>
        <v/>
      </c>
      <c r="AR646">
        <f>IFERROR(INDEX(PP_Grid[#Data],$DE646,41),0)</f>
        <v/>
      </c>
      <c r="AS646">
        <f>IFERROR(INDEX(PP_Grid[#Data],$DE646,42),0)</f>
        <v/>
      </c>
      <c r="AT646">
        <f>IFERROR(INDEX(PP_Grid[#Data],$DE646,43),0)</f>
        <v/>
      </c>
      <c r="AU646">
        <f>IFERROR(INDEX(PP_Grid[#Data],$DE646,44),0)</f>
        <v/>
      </c>
      <c r="AV646">
        <f>IFERROR(INDEX(PP_Grid[#Data],$DE646,45),0)</f>
        <v/>
      </c>
      <c r="AW646">
        <f>IFERROR(INDEX(PP_Grid[#Data],$DE646,46),0)</f>
        <v/>
      </c>
      <c r="AX646">
        <f>IFERROR(INDEX(PP_Grid[#Data],$DE646,47),0)</f>
        <v/>
      </c>
      <c r="AY646">
        <f>IFERROR(INDEX(PP_Grid[#Data],$DE646,48),0)</f>
        <v/>
      </c>
      <c r="AZ646">
        <f>IFERROR(INDEX(PP_Grid[#Data],$DE646,49),0)</f>
        <v/>
      </c>
      <c r="BA646">
        <f>IFERROR(INDEX(PP_Grid[#Data],$DE646,50),0)</f>
        <v/>
      </c>
      <c r="BB646">
        <f>IFERROR(INDEX(PP_Grid[#Data],$DE646,51),0)</f>
        <v/>
      </c>
      <c r="BC646">
        <f>IFERROR(INDEX(PP_Grid[#Data],$DE646,52),0)</f>
        <v/>
      </c>
      <c r="BD646">
        <f>IFERROR(INDEX(PP_Grid[#Data],$DE646,53),0)</f>
        <v/>
      </c>
      <c r="BE646">
        <f>IFERROR(INDEX(PP_Grid[#Data],$DE646,54),0)</f>
        <v/>
      </c>
      <c r="BF646">
        <f>IFERROR(INDEX(PP_Grid[#Data],$DE646,55),0)</f>
        <v/>
      </c>
      <c r="BG646">
        <f>IFERROR(INDEX(PP_Grid[#Data],$DE646,56),0)</f>
        <v/>
      </c>
      <c r="BH646">
        <f>IFERROR(INDEX(PP_Grid[#Data],$DE646,57),0)</f>
        <v/>
      </c>
      <c r="BI646">
        <f>IFERROR(INDEX(PP_Grid[#Data],$DE646,58),0)</f>
        <v/>
      </c>
      <c r="BJ646">
        <f>IFERROR(INDEX(PP_Grid[#Data],$DE646,59),0)</f>
        <v/>
      </c>
      <c r="BK646">
        <f>IFERROR(INDEX(PP_Grid[#Data],$DE646,60),0)</f>
        <v/>
      </c>
      <c r="BL646">
        <f>IFERROR(INDEX(PP_Grid[#Data],$DE646,61),0)</f>
        <v/>
      </c>
      <c r="BM646">
        <f>IFERROR(INDEX(PP_Grid[#Data],$DE646,62),0)</f>
        <v/>
      </c>
      <c r="BN646">
        <f>IFERROR(INDEX(PP_Grid[#Data],$DE646,63),0)</f>
        <v/>
      </c>
      <c r="BO646">
        <f>IFERROR(INDEX(PP_Grid[#Data],$DE646,64),0)</f>
        <v/>
      </c>
      <c r="BP646">
        <f>IFERROR(INDEX(PP_Grid[#Data],$DE646,65),0)</f>
        <v/>
      </c>
      <c r="BQ646">
        <f>IFERROR(INDEX(PP_Grid[#Data],$DE646,66),0)</f>
        <v/>
      </c>
      <c r="BR646">
        <f>IFERROR(INDEX(PP_Grid[#Data],$DE646,67),0)</f>
        <v/>
      </c>
      <c r="BS646">
        <f>IFERROR(INDEX(PP_Grid[#Data],$DE646,68),0)</f>
        <v/>
      </c>
      <c r="BT646">
        <f>IFERROR(INDEX(PP_Grid[#Data],$DE646,69),0)</f>
        <v/>
      </c>
      <c r="BU646">
        <f>IFERROR(INDEX(PP_Grid[#Data],$DE646,70),0)</f>
        <v/>
      </c>
      <c r="BV646">
        <f>IFERROR(INDEX(PP_Grid[#Data],$DE646,71),0)</f>
        <v/>
      </c>
      <c r="BW646">
        <f>IFERROR(INDEX(PP_Grid[#Data],$DE646,72),0)</f>
        <v/>
      </c>
      <c r="BX646">
        <f>IFERROR(INDEX(PP_Grid[#Data],$DE646,73),0)</f>
        <v/>
      </c>
      <c r="BY646">
        <f>IFERROR(INDEX(PP_Grid[#Data],$DE646,74),0)</f>
        <v/>
      </c>
      <c r="BZ646">
        <f>IFERROR(INDEX(PP_Grid[#Data],$DE646,75),0)</f>
        <v/>
      </c>
      <c r="CA646">
        <f>IFERROR(INDEX(PP_Grid[#Data],$DE646,76),0)</f>
        <v/>
      </c>
      <c r="CB646">
        <f>IFERROR(INDEX(PP_Grid[#Data],$DE646,77),0)</f>
        <v/>
      </c>
      <c r="CC646">
        <f>IFERROR(INDEX(PP_Grid[#Data],$DE646,78),0)</f>
        <v/>
      </c>
      <c r="CD646">
        <f>IFERROR(INDEX(PP_Grid[#Data],$DE646,79),0)</f>
        <v/>
      </c>
      <c r="CE646">
        <f>IFERROR(INDEX(PP_Grid[#Data],$DE646,80),0)</f>
        <v/>
      </c>
      <c r="CF646">
        <f>IFERROR(INDEX(PP_Grid[#Data],$DE646,81),0)</f>
        <v/>
      </c>
      <c r="CG646">
        <f>IFERROR(INDEX(PP_Grid[#Data],$DE646,82),0)</f>
        <v/>
      </c>
      <c r="CH646">
        <f>IFERROR(INDEX(PP_Grid[#Data],$DE646,83),0)</f>
        <v/>
      </c>
      <c r="CI646">
        <f>IFERROR(INDEX(PP_Grid[#Data],$DE646,84),0)</f>
        <v/>
      </c>
      <c r="CJ646">
        <f>IFERROR(INDEX(PP_Grid[#Data],$DE646,85),0)</f>
        <v/>
      </c>
      <c r="CK646">
        <f>IFERROR(INDEX(PP_Grid[#Data],$DE646,86),0)</f>
        <v/>
      </c>
      <c r="CL646">
        <f>IFERROR(INDEX(PP_Grid[#Data],$DE646,87),0)</f>
        <v/>
      </c>
      <c r="CM646">
        <f>IFERROR(INDEX(PP_Grid[#Data],$DE646,88),0)</f>
        <v/>
      </c>
      <c r="CN646">
        <f>IFERROR(INDEX(PP_Grid[#Data],$DE646,89),0)</f>
        <v/>
      </c>
      <c r="CO646">
        <f>IFERROR(INDEX(PP_Grid[#Data],$DE646,90),0)</f>
        <v/>
      </c>
      <c r="CP646">
        <f>IFERROR(INDEX(PP_Grid[#Data],$DE646,91),0)</f>
        <v/>
      </c>
      <c r="CQ646">
        <f>IFERROR(INDEX(PP_Grid[#Data],$DE646,92),0)</f>
        <v/>
      </c>
      <c r="CR646">
        <f>IFERROR(INDEX(PP_Grid[#Data],$DE646,93),0)</f>
        <v/>
      </c>
      <c r="CS646">
        <f>IFERROR(INDEX(PP_Grid[#Data],$DE646,94),0)</f>
        <v/>
      </c>
      <c r="CT646">
        <f>IFERROR(INDEX(PP_Grid[#Data],$DE646,95),0)</f>
        <v/>
      </c>
      <c r="CU646">
        <f>IFERROR(INDEX(PP_Grid[#Data],$DE646,96),0)</f>
        <v/>
      </c>
      <c r="CV646">
        <f>IFERROR(INDEX(PP_Grid[#Data],$DE646,97),0)</f>
        <v/>
      </c>
      <c r="CW646">
        <f>IFERROR(INDEX(PP_Grid[#Data],$DE646,98),0)</f>
        <v/>
      </c>
      <c r="CX646">
        <f>IFERROR(INDEX(PP_Grid[#Data],$DE646,99),0)</f>
        <v/>
      </c>
      <c r="CY646">
        <f>IFERROR(INDEX(PP_Grid[#Data],$DE646,100),0)</f>
        <v/>
      </c>
      <c r="CZ646">
        <f>IFERROR(INDEX(PP_Grid[#Data],$DE646,101),0)</f>
        <v/>
      </c>
      <c r="DA646">
        <f>IFERROR(INDEX(PP_Grid[#Data],$DE646,102),0)</f>
        <v/>
      </c>
      <c r="DB646">
        <f>IFERROR(INDEX(PP_Grid[#Data],$DE646,103),0)</f>
        <v/>
      </c>
      <c r="DC646">
        <f>IFERROR(INDEX(PP_Grid[#Data],$DE646,104),0)</f>
        <v/>
      </c>
      <c r="DD646">
        <f>IFERROR(INDEX(PP_Grid[#Data],$DE646,105),0)</f>
        <v/>
      </c>
      <c r="DE646" s="7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SUMIFS(M_BOM[RM_Qty_Per_Batch],M_BOM[Intermediate],$B646,M_BOM[RM_Code],$A615)</f>
        <v/>
      </c>
      <c r="D647">
        <f>IFERROR(INDEX(E647:DD647,$F$1),"")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  <c r="DD647">
        <f>$C647*DD646</f>
        <v/>
      </c>
    </row>
    <row r="648">
      <c r="B648" t="inlineStr">
        <is>
          <t>TSP-544</t>
        </is>
      </c>
      <c r="C648" t="inlineStr">
        <is>
          <t>No. of batches</t>
        </is>
      </c>
      <c r="D648">
        <f>IFERROR(INDEX(E648:DD648,$F$1),"")</f>
        <v/>
      </c>
      <c r="E648">
        <f>IFERROR(INDEX(PP_Grid[#Data],$DE648,2),0)</f>
        <v/>
      </c>
      <c r="F648">
        <f>IFERROR(INDEX(PP_Grid[#Data],$DE648,3),0)</f>
        <v/>
      </c>
      <c r="G648">
        <f>IFERROR(INDEX(PP_Grid[#Data],$DE648,4),0)</f>
        <v/>
      </c>
      <c r="H648">
        <f>IFERROR(INDEX(PP_Grid[#Data],$DE648,5),0)</f>
        <v/>
      </c>
      <c r="I648">
        <f>IFERROR(INDEX(PP_Grid[#Data],$DE648,6),0)</f>
        <v/>
      </c>
      <c r="J648">
        <f>IFERROR(INDEX(PP_Grid[#Data],$DE648,7),0)</f>
        <v/>
      </c>
      <c r="K648">
        <f>IFERROR(INDEX(PP_Grid[#Data],$DE648,8),0)</f>
        <v/>
      </c>
      <c r="L648">
        <f>IFERROR(INDEX(PP_Grid[#Data],$DE648,9),0)</f>
        <v/>
      </c>
      <c r="M648">
        <f>IFERROR(INDEX(PP_Grid[#Data],$DE648,10),0)</f>
        <v/>
      </c>
      <c r="N648">
        <f>IFERROR(INDEX(PP_Grid[#Data],$DE648,11),0)</f>
        <v/>
      </c>
      <c r="O648">
        <f>IFERROR(INDEX(PP_Grid[#Data],$DE648,12),0)</f>
        <v/>
      </c>
      <c r="P648">
        <f>IFERROR(INDEX(PP_Grid[#Data],$DE648,13),0)</f>
        <v/>
      </c>
      <c r="Q648">
        <f>IFERROR(INDEX(PP_Grid[#Data],$DE648,14),0)</f>
        <v/>
      </c>
      <c r="R648">
        <f>IFERROR(INDEX(PP_Grid[#Data],$DE648,15),0)</f>
        <v/>
      </c>
      <c r="S648">
        <f>IFERROR(INDEX(PP_Grid[#Data],$DE648,16),0)</f>
        <v/>
      </c>
      <c r="T648">
        <f>IFERROR(INDEX(PP_Grid[#Data],$DE648,17),0)</f>
        <v/>
      </c>
      <c r="U648">
        <f>IFERROR(INDEX(PP_Grid[#Data],$DE648,18),0)</f>
        <v/>
      </c>
      <c r="V648">
        <f>IFERROR(INDEX(PP_Grid[#Data],$DE648,19),0)</f>
        <v/>
      </c>
      <c r="W648">
        <f>IFERROR(INDEX(PP_Grid[#Data],$DE648,20),0)</f>
        <v/>
      </c>
      <c r="X648">
        <f>IFERROR(INDEX(PP_Grid[#Data],$DE648,21),0)</f>
        <v/>
      </c>
      <c r="Y648">
        <f>IFERROR(INDEX(PP_Grid[#Data],$DE648,22),0)</f>
        <v/>
      </c>
      <c r="Z648">
        <f>IFERROR(INDEX(PP_Grid[#Data],$DE648,23),0)</f>
        <v/>
      </c>
      <c r="AA648">
        <f>IFERROR(INDEX(PP_Grid[#Data],$DE648,24),0)</f>
        <v/>
      </c>
      <c r="AB648">
        <f>IFERROR(INDEX(PP_Grid[#Data],$DE648,25),0)</f>
        <v/>
      </c>
      <c r="AC648">
        <f>IFERROR(INDEX(PP_Grid[#Data],$DE648,26),0)</f>
        <v/>
      </c>
      <c r="AD648">
        <f>IFERROR(INDEX(PP_Grid[#Data],$DE648,27),0)</f>
        <v/>
      </c>
      <c r="AE648">
        <f>IFERROR(INDEX(PP_Grid[#Data],$DE648,28),0)</f>
        <v/>
      </c>
      <c r="AF648">
        <f>IFERROR(INDEX(PP_Grid[#Data],$DE648,29),0)</f>
        <v/>
      </c>
      <c r="AG648">
        <f>IFERROR(INDEX(PP_Grid[#Data],$DE648,30),0)</f>
        <v/>
      </c>
      <c r="AH648">
        <f>IFERROR(INDEX(PP_Grid[#Data],$DE648,31),0)</f>
        <v/>
      </c>
      <c r="AI648">
        <f>IFERROR(INDEX(PP_Grid[#Data],$DE648,32),0)</f>
        <v/>
      </c>
      <c r="AJ648">
        <f>IFERROR(INDEX(PP_Grid[#Data],$DE648,33),0)</f>
        <v/>
      </c>
      <c r="AK648">
        <f>IFERROR(INDEX(PP_Grid[#Data],$DE648,34),0)</f>
        <v/>
      </c>
      <c r="AL648">
        <f>IFERROR(INDEX(PP_Grid[#Data],$DE648,35),0)</f>
        <v/>
      </c>
      <c r="AM648">
        <f>IFERROR(INDEX(PP_Grid[#Data],$DE648,36),0)</f>
        <v/>
      </c>
      <c r="AN648">
        <f>IFERROR(INDEX(PP_Grid[#Data],$DE648,37),0)</f>
        <v/>
      </c>
      <c r="AO648">
        <f>IFERROR(INDEX(PP_Grid[#Data],$DE648,38),0)</f>
        <v/>
      </c>
      <c r="AP648">
        <f>IFERROR(INDEX(PP_Grid[#Data],$DE648,39),0)</f>
        <v/>
      </c>
      <c r="AQ648">
        <f>IFERROR(INDEX(PP_Grid[#Data],$DE648,40),0)</f>
        <v/>
      </c>
      <c r="AR648">
        <f>IFERROR(INDEX(PP_Grid[#Data],$DE648,41),0)</f>
        <v/>
      </c>
      <c r="AS648">
        <f>IFERROR(INDEX(PP_Grid[#Data],$DE648,42),0)</f>
        <v/>
      </c>
      <c r="AT648">
        <f>IFERROR(INDEX(PP_Grid[#Data],$DE648,43),0)</f>
        <v/>
      </c>
      <c r="AU648">
        <f>IFERROR(INDEX(PP_Grid[#Data],$DE648,44),0)</f>
        <v/>
      </c>
      <c r="AV648">
        <f>IFERROR(INDEX(PP_Grid[#Data],$DE648,45),0)</f>
        <v/>
      </c>
      <c r="AW648">
        <f>IFERROR(INDEX(PP_Grid[#Data],$DE648,46),0)</f>
        <v/>
      </c>
      <c r="AX648">
        <f>IFERROR(INDEX(PP_Grid[#Data],$DE648,47),0)</f>
        <v/>
      </c>
      <c r="AY648">
        <f>IFERROR(INDEX(PP_Grid[#Data],$DE648,48),0)</f>
        <v/>
      </c>
      <c r="AZ648">
        <f>IFERROR(INDEX(PP_Grid[#Data],$DE648,49),0)</f>
        <v/>
      </c>
      <c r="BA648">
        <f>IFERROR(INDEX(PP_Grid[#Data],$DE648,50),0)</f>
        <v/>
      </c>
      <c r="BB648">
        <f>IFERROR(INDEX(PP_Grid[#Data],$DE648,51),0)</f>
        <v/>
      </c>
      <c r="BC648">
        <f>IFERROR(INDEX(PP_Grid[#Data],$DE648,52),0)</f>
        <v/>
      </c>
      <c r="BD648">
        <f>IFERROR(INDEX(PP_Grid[#Data],$DE648,53),0)</f>
        <v/>
      </c>
      <c r="BE648">
        <f>IFERROR(INDEX(PP_Grid[#Data],$DE648,54),0)</f>
        <v/>
      </c>
      <c r="BF648">
        <f>IFERROR(INDEX(PP_Grid[#Data],$DE648,55),0)</f>
        <v/>
      </c>
      <c r="BG648">
        <f>IFERROR(INDEX(PP_Grid[#Data],$DE648,56),0)</f>
        <v/>
      </c>
      <c r="BH648">
        <f>IFERROR(INDEX(PP_Grid[#Data],$DE648,57),0)</f>
        <v/>
      </c>
      <c r="BI648">
        <f>IFERROR(INDEX(PP_Grid[#Data],$DE648,58),0)</f>
        <v/>
      </c>
      <c r="BJ648">
        <f>IFERROR(INDEX(PP_Grid[#Data],$DE648,59),0)</f>
        <v/>
      </c>
      <c r="BK648">
        <f>IFERROR(INDEX(PP_Grid[#Data],$DE648,60),0)</f>
        <v/>
      </c>
      <c r="BL648">
        <f>IFERROR(INDEX(PP_Grid[#Data],$DE648,61),0)</f>
        <v/>
      </c>
      <c r="BM648">
        <f>IFERROR(INDEX(PP_Grid[#Data],$DE648,62),0)</f>
        <v/>
      </c>
      <c r="BN648">
        <f>IFERROR(INDEX(PP_Grid[#Data],$DE648,63),0)</f>
        <v/>
      </c>
      <c r="BO648">
        <f>IFERROR(INDEX(PP_Grid[#Data],$DE648,64),0)</f>
        <v/>
      </c>
      <c r="BP648">
        <f>IFERROR(INDEX(PP_Grid[#Data],$DE648,65),0)</f>
        <v/>
      </c>
      <c r="BQ648">
        <f>IFERROR(INDEX(PP_Grid[#Data],$DE648,66),0)</f>
        <v/>
      </c>
      <c r="BR648">
        <f>IFERROR(INDEX(PP_Grid[#Data],$DE648,67),0)</f>
        <v/>
      </c>
      <c r="BS648">
        <f>IFERROR(INDEX(PP_Grid[#Data],$DE648,68),0)</f>
        <v/>
      </c>
      <c r="BT648">
        <f>IFERROR(INDEX(PP_Grid[#Data],$DE648,69),0)</f>
        <v/>
      </c>
      <c r="BU648">
        <f>IFERROR(INDEX(PP_Grid[#Data],$DE648,70),0)</f>
        <v/>
      </c>
      <c r="BV648">
        <f>IFERROR(INDEX(PP_Grid[#Data],$DE648,71),0)</f>
        <v/>
      </c>
      <c r="BW648">
        <f>IFERROR(INDEX(PP_Grid[#Data],$DE648,72),0)</f>
        <v/>
      </c>
      <c r="BX648">
        <f>IFERROR(INDEX(PP_Grid[#Data],$DE648,73),0)</f>
        <v/>
      </c>
      <c r="BY648">
        <f>IFERROR(INDEX(PP_Grid[#Data],$DE648,74),0)</f>
        <v/>
      </c>
      <c r="BZ648">
        <f>IFERROR(INDEX(PP_Grid[#Data],$DE648,75),0)</f>
        <v/>
      </c>
      <c r="CA648">
        <f>IFERROR(INDEX(PP_Grid[#Data],$DE648,76),0)</f>
        <v/>
      </c>
      <c r="CB648">
        <f>IFERROR(INDEX(PP_Grid[#Data],$DE648,77),0)</f>
        <v/>
      </c>
      <c r="CC648">
        <f>IFERROR(INDEX(PP_Grid[#Data],$DE648,78),0)</f>
        <v/>
      </c>
      <c r="CD648">
        <f>IFERROR(INDEX(PP_Grid[#Data],$DE648,79),0)</f>
        <v/>
      </c>
      <c r="CE648">
        <f>IFERROR(INDEX(PP_Grid[#Data],$DE648,80),0)</f>
        <v/>
      </c>
      <c r="CF648">
        <f>IFERROR(INDEX(PP_Grid[#Data],$DE648,81),0)</f>
        <v/>
      </c>
      <c r="CG648">
        <f>IFERROR(INDEX(PP_Grid[#Data],$DE648,82),0)</f>
        <v/>
      </c>
      <c r="CH648">
        <f>IFERROR(INDEX(PP_Grid[#Data],$DE648,83),0)</f>
        <v/>
      </c>
      <c r="CI648">
        <f>IFERROR(INDEX(PP_Grid[#Data],$DE648,84),0)</f>
        <v/>
      </c>
      <c r="CJ648">
        <f>IFERROR(INDEX(PP_Grid[#Data],$DE648,85),0)</f>
        <v/>
      </c>
      <c r="CK648">
        <f>IFERROR(INDEX(PP_Grid[#Data],$DE648,86),0)</f>
        <v/>
      </c>
      <c r="CL648">
        <f>IFERROR(INDEX(PP_Grid[#Data],$DE648,87),0)</f>
        <v/>
      </c>
      <c r="CM648">
        <f>IFERROR(INDEX(PP_Grid[#Data],$DE648,88),0)</f>
        <v/>
      </c>
      <c r="CN648">
        <f>IFERROR(INDEX(PP_Grid[#Data],$DE648,89),0)</f>
        <v/>
      </c>
      <c r="CO648">
        <f>IFERROR(INDEX(PP_Grid[#Data],$DE648,90),0)</f>
        <v/>
      </c>
      <c r="CP648">
        <f>IFERROR(INDEX(PP_Grid[#Data],$DE648,91),0)</f>
        <v/>
      </c>
      <c r="CQ648">
        <f>IFERROR(INDEX(PP_Grid[#Data],$DE648,92),0)</f>
        <v/>
      </c>
      <c r="CR648">
        <f>IFERROR(INDEX(PP_Grid[#Data],$DE648,93),0)</f>
        <v/>
      </c>
      <c r="CS648">
        <f>IFERROR(INDEX(PP_Grid[#Data],$DE648,94),0)</f>
        <v/>
      </c>
      <c r="CT648">
        <f>IFERROR(INDEX(PP_Grid[#Data],$DE648,95),0)</f>
        <v/>
      </c>
      <c r="CU648">
        <f>IFERROR(INDEX(PP_Grid[#Data],$DE648,96),0)</f>
        <v/>
      </c>
      <c r="CV648">
        <f>IFERROR(INDEX(PP_Grid[#Data],$DE648,97),0)</f>
        <v/>
      </c>
      <c r="CW648">
        <f>IFERROR(INDEX(PP_Grid[#Data],$DE648,98),0)</f>
        <v/>
      </c>
      <c r="CX648">
        <f>IFERROR(INDEX(PP_Grid[#Data],$DE648,99),0)</f>
        <v/>
      </c>
      <c r="CY648">
        <f>IFERROR(INDEX(PP_Grid[#Data],$DE648,100),0)</f>
        <v/>
      </c>
      <c r="CZ648">
        <f>IFERROR(INDEX(PP_Grid[#Data],$DE648,101),0)</f>
        <v/>
      </c>
      <c r="DA648">
        <f>IFERROR(INDEX(PP_Grid[#Data],$DE648,102),0)</f>
        <v/>
      </c>
      <c r="DB648">
        <f>IFERROR(INDEX(PP_Grid[#Data],$DE648,103),0)</f>
        <v/>
      </c>
      <c r="DC648">
        <f>IFERROR(INDEX(PP_Grid[#Data],$DE648,104),0)</f>
        <v/>
      </c>
      <c r="DD648">
        <f>IFERROR(INDEX(PP_Grid[#Data],$DE648,105),0)</f>
        <v/>
      </c>
      <c r="DE648" s="7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SUMIFS(M_BOM[RM_Qty_Per_Batch],M_BOM[Intermediate],$B648,M_BOM[RM_Code],$A615)</f>
        <v/>
      </c>
      <c r="D649">
        <f>IFERROR(INDEX(E649:DD649,$F$1),"")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  <c r="DD649">
        <f>$C649*DD648</f>
        <v/>
      </c>
    </row>
    <row r="650">
      <c r="B650" t="inlineStr">
        <is>
          <t>TSP-558</t>
        </is>
      </c>
      <c r="C650" t="inlineStr">
        <is>
          <t>No. of batches</t>
        </is>
      </c>
      <c r="D650">
        <f>IFERROR(INDEX(E650:DD650,$F$1),"")</f>
        <v/>
      </c>
      <c r="E650">
        <f>IFERROR(INDEX(PP_Grid[#Data],$DE650,2),0)</f>
        <v/>
      </c>
      <c r="F650">
        <f>IFERROR(INDEX(PP_Grid[#Data],$DE650,3),0)</f>
        <v/>
      </c>
      <c r="G650">
        <f>IFERROR(INDEX(PP_Grid[#Data],$DE650,4),0)</f>
        <v/>
      </c>
      <c r="H650">
        <f>IFERROR(INDEX(PP_Grid[#Data],$DE650,5),0)</f>
        <v/>
      </c>
      <c r="I650">
        <f>IFERROR(INDEX(PP_Grid[#Data],$DE650,6),0)</f>
        <v/>
      </c>
      <c r="J650">
        <f>IFERROR(INDEX(PP_Grid[#Data],$DE650,7),0)</f>
        <v/>
      </c>
      <c r="K650">
        <f>IFERROR(INDEX(PP_Grid[#Data],$DE650,8),0)</f>
        <v/>
      </c>
      <c r="L650">
        <f>IFERROR(INDEX(PP_Grid[#Data],$DE650,9),0)</f>
        <v/>
      </c>
      <c r="M650">
        <f>IFERROR(INDEX(PP_Grid[#Data],$DE650,10),0)</f>
        <v/>
      </c>
      <c r="N650">
        <f>IFERROR(INDEX(PP_Grid[#Data],$DE650,11),0)</f>
        <v/>
      </c>
      <c r="O650">
        <f>IFERROR(INDEX(PP_Grid[#Data],$DE650,12),0)</f>
        <v/>
      </c>
      <c r="P650">
        <f>IFERROR(INDEX(PP_Grid[#Data],$DE650,13),0)</f>
        <v/>
      </c>
      <c r="Q650">
        <f>IFERROR(INDEX(PP_Grid[#Data],$DE650,14),0)</f>
        <v/>
      </c>
      <c r="R650">
        <f>IFERROR(INDEX(PP_Grid[#Data],$DE650,15),0)</f>
        <v/>
      </c>
      <c r="S650">
        <f>IFERROR(INDEX(PP_Grid[#Data],$DE650,16),0)</f>
        <v/>
      </c>
      <c r="T650">
        <f>IFERROR(INDEX(PP_Grid[#Data],$DE650,17),0)</f>
        <v/>
      </c>
      <c r="U650">
        <f>IFERROR(INDEX(PP_Grid[#Data],$DE650,18),0)</f>
        <v/>
      </c>
      <c r="V650">
        <f>IFERROR(INDEX(PP_Grid[#Data],$DE650,19),0)</f>
        <v/>
      </c>
      <c r="W650">
        <f>IFERROR(INDEX(PP_Grid[#Data],$DE650,20),0)</f>
        <v/>
      </c>
      <c r="X650">
        <f>IFERROR(INDEX(PP_Grid[#Data],$DE650,21),0)</f>
        <v/>
      </c>
      <c r="Y650">
        <f>IFERROR(INDEX(PP_Grid[#Data],$DE650,22),0)</f>
        <v/>
      </c>
      <c r="Z650">
        <f>IFERROR(INDEX(PP_Grid[#Data],$DE650,23),0)</f>
        <v/>
      </c>
      <c r="AA650">
        <f>IFERROR(INDEX(PP_Grid[#Data],$DE650,24),0)</f>
        <v/>
      </c>
      <c r="AB650">
        <f>IFERROR(INDEX(PP_Grid[#Data],$DE650,25),0)</f>
        <v/>
      </c>
      <c r="AC650">
        <f>IFERROR(INDEX(PP_Grid[#Data],$DE650,26),0)</f>
        <v/>
      </c>
      <c r="AD650">
        <f>IFERROR(INDEX(PP_Grid[#Data],$DE650,27),0)</f>
        <v/>
      </c>
      <c r="AE650">
        <f>IFERROR(INDEX(PP_Grid[#Data],$DE650,28),0)</f>
        <v/>
      </c>
      <c r="AF650">
        <f>IFERROR(INDEX(PP_Grid[#Data],$DE650,29),0)</f>
        <v/>
      </c>
      <c r="AG650">
        <f>IFERROR(INDEX(PP_Grid[#Data],$DE650,30),0)</f>
        <v/>
      </c>
      <c r="AH650">
        <f>IFERROR(INDEX(PP_Grid[#Data],$DE650,31),0)</f>
        <v/>
      </c>
      <c r="AI650">
        <f>IFERROR(INDEX(PP_Grid[#Data],$DE650,32),0)</f>
        <v/>
      </c>
      <c r="AJ650">
        <f>IFERROR(INDEX(PP_Grid[#Data],$DE650,33),0)</f>
        <v/>
      </c>
      <c r="AK650">
        <f>IFERROR(INDEX(PP_Grid[#Data],$DE650,34),0)</f>
        <v/>
      </c>
      <c r="AL650">
        <f>IFERROR(INDEX(PP_Grid[#Data],$DE650,35),0)</f>
        <v/>
      </c>
      <c r="AM650">
        <f>IFERROR(INDEX(PP_Grid[#Data],$DE650,36),0)</f>
        <v/>
      </c>
      <c r="AN650">
        <f>IFERROR(INDEX(PP_Grid[#Data],$DE650,37),0)</f>
        <v/>
      </c>
      <c r="AO650">
        <f>IFERROR(INDEX(PP_Grid[#Data],$DE650,38),0)</f>
        <v/>
      </c>
      <c r="AP650">
        <f>IFERROR(INDEX(PP_Grid[#Data],$DE650,39),0)</f>
        <v/>
      </c>
      <c r="AQ650">
        <f>IFERROR(INDEX(PP_Grid[#Data],$DE650,40),0)</f>
        <v/>
      </c>
      <c r="AR650">
        <f>IFERROR(INDEX(PP_Grid[#Data],$DE650,41),0)</f>
        <v/>
      </c>
      <c r="AS650">
        <f>IFERROR(INDEX(PP_Grid[#Data],$DE650,42),0)</f>
        <v/>
      </c>
      <c r="AT650">
        <f>IFERROR(INDEX(PP_Grid[#Data],$DE650,43),0)</f>
        <v/>
      </c>
      <c r="AU650">
        <f>IFERROR(INDEX(PP_Grid[#Data],$DE650,44),0)</f>
        <v/>
      </c>
      <c r="AV650">
        <f>IFERROR(INDEX(PP_Grid[#Data],$DE650,45),0)</f>
        <v/>
      </c>
      <c r="AW650">
        <f>IFERROR(INDEX(PP_Grid[#Data],$DE650,46),0)</f>
        <v/>
      </c>
      <c r="AX650">
        <f>IFERROR(INDEX(PP_Grid[#Data],$DE650,47),0)</f>
        <v/>
      </c>
      <c r="AY650">
        <f>IFERROR(INDEX(PP_Grid[#Data],$DE650,48),0)</f>
        <v/>
      </c>
      <c r="AZ650">
        <f>IFERROR(INDEX(PP_Grid[#Data],$DE650,49),0)</f>
        <v/>
      </c>
      <c r="BA650">
        <f>IFERROR(INDEX(PP_Grid[#Data],$DE650,50),0)</f>
        <v/>
      </c>
      <c r="BB650">
        <f>IFERROR(INDEX(PP_Grid[#Data],$DE650,51),0)</f>
        <v/>
      </c>
      <c r="BC650">
        <f>IFERROR(INDEX(PP_Grid[#Data],$DE650,52),0)</f>
        <v/>
      </c>
      <c r="BD650">
        <f>IFERROR(INDEX(PP_Grid[#Data],$DE650,53),0)</f>
        <v/>
      </c>
      <c r="BE650">
        <f>IFERROR(INDEX(PP_Grid[#Data],$DE650,54),0)</f>
        <v/>
      </c>
      <c r="BF650">
        <f>IFERROR(INDEX(PP_Grid[#Data],$DE650,55),0)</f>
        <v/>
      </c>
      <c r="BG650">
        <f>IFERROR(INDEX(PP_Grid[#Data],$DE650,56),0)</f>
        <v/>
      </c>
      <c r="BH650">
        <f>IFERROR(INDEX(PP_Grid[#Data],$DE650,57),0)</f>
        <v/>
      </c>
      <c r="BI650">
        <f>IFERROR(INDEX(PP_Grid[#Data],$DE650,58),0)</f>
        <v/>
      </c>
      <c r="BJ650">
        <f>IFERROR(INDEX(PP_Grid[#Data],$DE650,59),0)</f>
        <v/>
      </c>
      <c r="BK650">
        <f>IFERROR(INDEX(PP_Grid[#Data],$DE650,60),0)</f>
        <v/>
      </c>
      <c r="BL650">
        <f>IFERROR(INDEX(PP_Grid[#Data],$DE650,61),0)</f>
        <v/>
      </c>
      <c r="BM650">
        <f>IFERROR(INDEX(PP_Grid[#Data],$DE650,62),0)</f>
        <v/>
      </c>
      <c r="BN650">
        <f>IFERROR(INDEX(PP_Grid[#Data],$DE650,63),0)</f>
        <v/>
      </c>
      <c r="BO650">
        <f>IFERROR(INDEX(PP_Grid[#Data],$DE650,64),0)</f>
        <v/>
      </c>
      <c r="BP650">
        <f>IFERROR(INDEX(PP_Grid[#Data],$DE650,65),0)</f>
        <v/>
      </c>
      <c r="BQ650">
        <f>IFERROR(INDEX(PP_Grid[#Data],$DE650,66),0)</f>
        <v/>
      </c>
      <c r="BR650">
        <f>IFERROR(INDEX(PP_Grid[#Data],$DE650,67),0)</f>
        <v/>
      </c>
      <c r="BS650">
        <f>IFERROR(INDEX(PP_Grid[#Data],$DE650,68),0)</f>
        <v/>
      </c>
      <c r="BT650">
        <f>IFERROR(INDEX(PP_Grid[#Data],$DE650,69),0)</f>
        <v/>
      </c>
      <c r="BU650">
        <f>IFERROR(INDEX(PP_Grid[#Data],$DE650,70),0)</f>
        <v/>
      </c>
      <c r="BV650">
        <f>IFERROR(INDEX(PP_Grid[#Data],$DE650,71),0)</f>
        <v/>
      </c>
      <c r="BW650">
        <f>IFERROR(INDEX(PP_Grid[#Data],$DE650,72),0)</f>
        <v/>
      </c>
      <c r="BX650">
        <f>IFERROR(INDEX(PP_Grid[#Data],$DE650,73),0)</f>
        <v/>
      </c>
      <c r="BY650">
        <f>IFERROR(INDEX(PP_Grid[#Data],$DE650,74),0)</f>
        <v/>
      </c>
      <c r="BZ650">
        <f>IFERROR(INDEX(PP_Grid[#Data],$DE650,75),0)</f>
        <v/>
      </c>
      <c r="CA650">
        <f>IFERROR(INDEX(PP_Grid[#Data],$DE650,76),0)</f>
        <v/>
      </c>
      <c r="CB650">
        <f>IFERROR(INDEX(PP_Grid[#Data],$DE650,77),0)</f>
        <v/>
      </c>
      <c r="CC650">
        <f>IFERROR(INDEX(PP_Grid[#Data],$DE650,78),0)</f>
        <v/>
      </c>
      <c r="CD650">
        <f>IFERROR(INDEX(PP_Grid[#Data],$DE650,79),0)</f>
        <v/>
      </c>
      <c r="CE650">
        <f>IFERROR(INDEX(PP_Grid[#Data],$DE650,80),0)</f>
        <v/>
      </c>
      <c r="CF650">
        <f>IFERROR(INDEX(PP_Grid[#Data],$DE650,81),0)</f>
        <v/>
      </c>
      <c r="CG650">
        <f>IFERROR(INDEX(PP_Grid[#Data],$DE650,82),0)</f>
        <v/>
      </c>
      <c r="CH650">
        <f>IFERROR(INDEX(PP_Grid[#Data],$DE650,83),0)</f>
        <v/>
      </c>
      <c r="CI650">
        <f>IFERROR(INDEX(PP_Grid[#Data],$DE650,84),0)</f>
        <v/>
      </c>
      <c r="CJ650">
        <f>IFERROR(INDEX(PP_Grid[#Data],$DE650,85),0)</f>
        <v/>
      </c>
      <c r="CK650">
        <f>IFERROR(INDEX(PP_Grid[#Data],$DE650,86),0)</f>
        <v/>
      </c>
      <c r="CL650">
        <f>IFERROR(INDEX(PP_Grid[#Data],$DE650,87),0)</f>
        <v/>
      </c>
      <c r="CM650">
        <f>IFERROR(INDEX(PP_Grid[#Data],$DE650,88),0)</f>
        <v/>
      </c>
      <c r="CN650">
        <f>IFERROR(INDEX(PP_Grid[#Data],$DE650,89),0)</f>
        <v/>
      </c>
      <c r="CO650">
        <f>IFERROR(INDEX(PP_Grid[#Data],$DE650,90),0)</f>
        <v/>
      </c>
      <c r="CP650">
        <f>IFERROR(INDEX(PP_Grid[#Data],$DE650,91),0)</f>
        <v/>
      </c>
      <c r="CQ650">
        <f>IFERROR(INDEX(PP_Grid[#Data],$DE650,92),0)</f>
        <v/>
      </c>
      <c r="CR650">
        <f>IFERROR(INDEX(PP_Grid[#Data],$DE650,93),0)</f>
        <v/>
      </c>
      <c r="CS650">
        <f>IFERROR(INDEX(PP_Grid[#Data],$DE650,94),0)</f>
        <v/>
      </c>
      <c r="CT650">
        <f>IFERROR(INDEX(PP_Grid[#Data],$DE650,95),0)</f>
        <v/>
      </c>
      <c r="CU650">
        <f>IFERROR(INDEX(PP_Grid[#Data],$DE650,96),0)</f>
        <v/>
      </c>
      <c r="CV650">
        <f>IFERROR(INDEX(PP_Grid[#Data],$DE650,97),0)</f>
        <v/>
      </c>
      <c r="CW650">
        <f>IFERROR(INDEX(PP_Grid[#Data],$DE650,98),0)</f>
        <v/>
      </c>
      <c r="CX650">
        <f>IFERROR(INDEX(PP_Grid[#Data],$DE650,99),0)</f>
        <v/>
      </c>
      <c r="CY650">
        <f>IFERROR(INDEX(PP_Grid[#Data],$DE650,100),0)</f>
        <v/>
      </c>
      <c r="CZ650">
        <f>IFERROR(INDEX(PP_Grid[#Data],$DE650,101),0)</f>
        <v/>
      </c>
      <c r="DA650">
        <f>IFERROR(INDEX(PP_Grid[#Data],$DE650,102),0)</f>
        <v/>
      </c>
      <c r="DB650">
        <f>IFERROR(INDEX(PP_Grid[#Data],$DE650,103),0)</f>
        <v/>
      </c>
      <c r="DC650">
        <f>IFERROR(INDEX(PP_Grid[#Data],$DE650,104),0)</f>
        <v/>
      </c>
      <c r="DD650">
        <f>IFERROR(INDEX(PP_Grid[#Data],$DE650,105),0)</f>
        <v/>
      </c>
      <c r="DE650" s="7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SUMIFS(M_BOM[RM_Qty_Per_Batch],M_BOM[Intermediate],$B650,M_BOM[RM_Code],$A615)</f>
        <v/>
      </c>
      <c r="D651">
        <f>IFERROR(INDEX(E651:DD651,$F$1),"")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  <c r="DD651">
        <f>$C651*DD650</f>
        <v/>
      </c>
    </row>
    <row r="652">
      <c r="B652" t="inlineStr">
        <is>
          <t>TSP-618</t>
        </is>
      </c>
      <c r="C652" t="inlineStr">
        <is>
          <t>No. of batches</t>
        </is>
      </c>
      <c r="D652">
        <f>IFERROR(INDEX(E652:DD652,$F$1),"")</f>
        <v/>
      </c>
      <c r="E652">
        <f>IFERROR(INDEX(PP_Grid[#Data],$DE652,2),0)</f>
        <v/>
      </c>
      <c r="F652">
        <f>IFERROR(INDEX(PP_Grid[#Data],$DE652,3),0)</f>
        <v/>
      </c>
      <c r="G652">
        <f>IFERROR(INDEX(PP_Grid[#Data],$DE652,4),0)</f>
        <v/>
      </c>
      <c r="H652">
        <f>IFERROR(INDEX(PP_Grid[#Data],$DE652,5),0)</f>
        <v/>
      </c>
      <c r="I652">
        <f>IFERROR(INDEX(PP_Grid[#Data],$DE652,6),0)</f>
        <v/>
      </c>
      <c r="J652">
        <f>IFERROR(INDEX(PP_Grid[#Data],$DE652,7),0)</f>
        <v/>
      </c>
      <c r="K652">
        <f>IFERROR(INDEX(PP_Grid[#Data],$DE652,8),0)</f>
        <v/>
      </c>
      <c r="L652">
        <f>IFERROR(INDEX(PP_Grid[#Data],$DE652,9),0)</f>
        <v/>
      </c>
      <c r="M652">
        <f>IFERROR(INDEX(PP_Grid[#Data],$DE652,10),0)</f>
        <v/>
      </c>
      <c r="N652">
        <f>IFERROR(INDEX(PP_Grid[#Data],$DE652,11),0)</f>
        <v/>
      </c>
      <c r="O652">
        <f>IFERROR(INDEX(PP_Grid[#Data],$DE652,12),0)</f>
        <v/>
      </c>
      <c r="P652">
        <f>IFERROR(INDEX(PP_Grid[#Data],$DE652,13),0)</f>
        <v/>
      </c>
      <c r="Q652">
        <f>IFERROR(INDEX(PP_Grid[#Data],$DE652,14),0)</f>
        <v/>
      </c>
      <c r="R652">
        <f>IFERROR(INDEX(PP_Grid[#Data],$DE652,15),0)</f>
        <v/>
      </c>
      <c r="S652">
        <f>IFERROR(INDEX(PP_Grid[#Data],$DE652,16),0)</f>
        <v/>
      </c>
      <c r="T652">
        <f>IFERROR(INDEX(PP_Grid[#Data],$DE652,17),0)</f>
        <v/>
      </c>
      <c r="U652">
        <f>IFERROR(INDEX(PP_Grid[#Data],$DE652,18),0)</f>
        <v/>
      </c>
      <c r="V652">
        <f>IFERROR(INDEX(PP_Grid[#Data],$DE652,19),0)</f>
        <v/>
      </c>
      <c r="W652">
        <f>IFERROR(INDEX(PP_Grid[#Data],$DE652,20),0)</f>
        <v/>
      </c>
      <c r="X652">
        <f>IFERROR(INDEX(PP_Grid[#Data],$DE652,21),0)</f>
        <v/>
      </c>
      <c r="Y652">
        <f>IFERROR(INDEX(PP_Grid[#Data],$DE652,22),0)</f>
        <v/>
      </c>
      <c r="Z652">
        <f>IFERROR(INDEX(PP_Grid[#Data],$DE652,23),0)</f>
        <v/>
      </c>
      <c r="AA652">
        <f>IFERROR(INDEX(PP_Grid[#Data],$DE652,24),0)</f>
        <v/>
      </c>
      <c r="AB652">
        <f>IFERROR(INDEX(PP_Grid[#Data],$DE652,25),0)</f>
        <v/>
      </c>
      <c r="AC652">
        <f>IFERROR(INDEX(PP_Grid[#Data],$DE652,26),0)</f>
        <v/>
      </c>
      <c r="AD652">
        <f>IFERROR(INDEX(PP_Grid[#Data],$DE652,27),0)</f>
        <v/>
      </c>
      <c r="AE652">
        <f>IFERROR(INDEX(PP_Grid[#Data],$DE652,28),0)</f>
        <v/>
      </c>
      <c r="AF652">
        <f>IFERROR(INDEX(PP_Grid[#Data],$DE652,29),0)</f>
        <v/>
      </c>
      <c r="AG652">
        <f>IFERROR(INDEX(PP_Grid[#Data],$DE652,30),0)</f>
        <v/>
      </c>
      <c r="AH652">
        <f>IFERROR(INDEX(PP_Grid[#Data],$DE652,31),0)</f>
        <v/>
      </c>
      <c r="AI652">
        <f>IFERROR(INDEX(PP_Grid[#Data],$DE652,32),0)</f>
        <v/>
      </c>
      <c r="AJ652">
        <f>IFERROR(INDEX(PP_Grid[#Data],$DE652,33),0)</f>
        <v/>
      </c>
      <c r="AK652">
        <f>IFERROR(INDEX(PP_Grid[#Data],$DE652,34),0)</f>
        <v/>
      </c>
      <c r="AL652">
        <f>IFERROR(INDEX(PP_Grid[#Data],$DE652,35),0)</f>
        <v/>
      </c>
      <c r="AM652">
        <f>IFERROR(INDEX(PP_Grid[#Data],$DE652,36),0)</f>
        <v/>
      </c>
      <c r="AN652">
        <f>IFERROR(INDEX(PP_Grid[#Data],$DE652,37),0)</f>
        <v/>
      </c>
      <c r="AO652">
        <f>IFERROR(INDEX(PP_Grid[#Data],$DE652,38),0)</f>
        <v/>
      </c>
      <c r="AP652">
        <f>IFERROR(INDEX(PP_Grid[#Data],$DE652,39),0)</f>
        <v/>
      </c>
      <c r="AQ652">
        <f>IFERROR(INDEX(PP_Grid[#Data],$DE652,40),0)</f>
        <v/>
      </c>
      <c r="AR652">
        <f>IFERROR(INDEX(PP_Grid[#Data],$DE652,41),0)</f>
        <v/>
      </c>
      <c r="AS652">
        <f>IFERROR(INDEX(PP_Grid[#Data],$DE652,42),0)</f>
        <v/>
      </c>
      <c r="AT652">
        <f>IFERROR(INDEX(PP_Grid[#Data],$DE652,43),0)</f>
        <v/>
      </c>
      <c r="AU652">
        <f>IFERROR(INDEX(PP_Grid[#Data],$DE652,44),0)</f>
        <v/>
      </c>
      <c r="AV652">
        <f>IFERROR(INDEX(PP_Grid[#Data],$DE652,45),0)</f>
        <v/>
      </c>
      <c r="AW652">
        <f>IFERROR(INDEX(PP_Grid[#Data],$DE652,46),0)</f>
        <v/>
      </c>
      <c r="AX652">
        <f>IFERROR(INDEX(PP_Grid[#Data],$DE652,47),0)</f>
        <v/>
      </c>
      <c r="AY652">
        <f>IFERROR(INDEX(PP_Grid[#Data],$DE652,48),0)</f>
        <v/>
      </c>
      <c r="AZ652">
        <f>IFERROR(INDEX(PP_Grid[#Data],$DE652,49),0)</f>
        <v/>
      </c>
      <c r="BA652">
        <f>IFERROR(INDEX(PP_Grid[#Data],$DE652,50),0)</f>
        <v/>
      </c>
      <c r="BB652">
        <f>IFERROR(INDEX(PP_Grid[#Data],$DE652,51),0)</f>
        <v/>
      </c>
      <c r="BC652">
        <f>IFERROR(INDEX(PP_Grid[#Data],$DE652,52),0)</f>
        <v/>
      </c>
      <c r="BD652">
        <f>IFERROR(INDEX(PP_Grid[#Data],$DE652,53),0)</f>
        <v/>
      </c>
      <c r="BE652">
        <f>IFERROR(INDEX(PP_Grid[#Data],$DE652,54),0)</f>
        <v/>
      </c>
      <c r="BF652">
        <f>IFERROR(INDEX(PP_Grid[#Data],$DE652,55),0)</f>
        <v/>
      </c>
      <c r="BG652">
        <f>IFERROR(INDEX(PP_Grid[#Data],$DE652,56),0)</f>
        <v/>
      </c>
      <c r="BH652">
        <f>IFERROR(INDEX(PP_Grid[#Data],$DE652,57),0)</f>
        <v/>
      </c>
      <c r="BI652">
        <f>IFERROR(INDEX(PP_Grid[#Data],$DE652,58),0)</f>
        <v/>
      </c>
      <c r="BJ652">
        <f>IFERROR(INDEX(PP_Grid[#Data],$DE652,59),0)</f>
        <v/>
      </c>
      <c r="BK652">
        <f>IFERROR(INDEX(PP_Grid[#Data],$DE652,60),0)</f>
        <v/>
      </c>
      <c r="BL652">
        <f>IFERROR(INDEX(PP_Grid[#Data],$DE652,61),0)</f>
        <v/>
      </c>
      <c r="BM652">
        <f>IFERROR(INDEX(PP_Grid[#Data],$DE652,62),0)</f>
        <v/>
      </c>
      <c r="BN652">
        <f>IFERROR(INDEX(PP_Grid[#Data],$DE652,63),0)</f>
        <v/>
      </c>
      <c r="BO652">
        <f>IFERROR(INDEX(PP_Grid[#Data],$DE652,64),0)</f>
        <v/>
      </c>
      <c r="BP652">
        <f>IFERROR(INDEX(PP_Grid[#Data],$DE652,65),0)</f>
        <v/>
      </c>
      <c r="BQ652">
        <f>IFERROR(INDEX(PP_Grid[#Data],$DE652,66),0)</f>
        <v/>
      </c>
      <c r="BR652">
        <f>IFERROR(INDEX(PP_Grid[#Data],$DE652,67),0)</f>
        <v/>
      </c>
      <c r="BS652">
        <f>IFERROR(INDEX(PP_Grid[#Data],$DE652,68),0)</f>
        <v/>
      </c>
      <c r="BT652">
        <f>IFERROR(INDEX(PP_Grid[#Data],$DE652,69),0)</f>
        <v/>
      </c>
      <c r="BU652">
        <f>IFERROR(INDEX(PP_Grid[#Data],$DE652,70),0)</f>
        <v/>
      </c>
      <c r="BV652">
        <f>IFERROR(INDEX(PP_Grid[#Data],$DE652,71),0)</f>
        <v/>
      </c>
      <c r="BW652">
        <f>IFERROR(INDEX(PP_Grid[#Data],$DE652,72),0)</f>
        <v/>
      </c>
      <c r="BX652">
        <f>IFERROR(INDEX(PP_Grid[#Data],$DE652,73),0)</f>
        <v/>
      </c>
      <c r="BY652">
        <f>IFERROR(INDEX(PP_Grid[#Data],$DE652,74),0)</f>
        <v/>
      </c>
      <c r="BZ652">
        <f>IFERROR(INDEX(PP_Grid[#Data],$DE652,75),0)</f>
        <v/>
      </c>
      <c r="CA652">
        <f>IFERROR(INDEX(PP_Grid[#Data],$DE652,76),0)</f>
        <v/>
      </c>
      <c r="CB652">
        <f>IFERROR(INDEX(PP_Grid[#Data],$DE652,77),0)</f>
        <v/>
      </c>
      <c r="CC652">
        <f>IFERROR(INDEX(PP_Grid[#Data],$DE652,78),0)</f>
        <v/>
      </c>
      <c r="CD652">
        <f>IFERROR(INDEX(PP_Grid[#Data],$DE652,79),0)</f>
        <v/>
      </c>
      <c r="CE652">
        <f>IFERROR(INDEX(PP_Grid[#Data],$DE652,80),0)</f>
        <v/>
      </c>
      <c r="CF652">
        <f>IFERROR(INDEX(PP_Grid[#Data],$DE652,81),0)</f>
        <v/>
      </c>
      <c r="CG652">
        <f>IFERROR(INDEX(PP_Grid[#Data],$DE652,82),0)</f>
        <v/>
      </c>
      <c r="CH652">
        <f>IFERROR(INDEX(PP_Grid[#Data],$DE652,83),0)</f>
        <v/>
      </c>
      <c r="CI652">
        <f>IFERROR(INDEX(PP_Grid[#Data],$DE652,84),0)</f>
        <v/>
      </c>
      <c r="CJ652">
        <f>IFERROR(INDEX(PP_Grid[#Data],$DE652,85),0)</f>
        <v/>
      </c>
      <c r="CK652">
        <f>IFERROR(INDEX(PP_Grid[#Data],$DE652,86),0)</f>
        <v/>
      </c>
      <c r="CL652">
        <f>IFERROR(INDEX(PP_Grid[#Data],$DE652,87),0)</f>
        <v/>
      </c>
      <c r="CM652">
        <f>IFERROR(INDEX(PP_Grid[#Data],$DE652,88),0)</f>
        <v/>
      </c>
      <c r="CN652">
        <f>IFERROR(INDEX(PP_Grid[#Data],$DE652,89),0)</f>
        <v/>
      </c>
      <c r="CO652">
        <f>IFERROR(INDEX(PP_Grid[#Data],$DE652,90),0)</f>
        <v/>
      </c>
      <c r="CP652">
        <f>IFERROR(INDEX(PP_Grid[#Data],$DE652,91),0)</f>
        <v/>
      </c>
      <c r="CQ652">
        <f>IFERROR(INDEX(PP_Grid[#Data],$DE652,92),0)</f>
        <v/>
      </c>
      <c r="CR652">
        <f>IFERROR(INDEX(PP_Grid[#Data],$DE652,93),0)</f>
        <v/>
      </c>
      <c r="CS652">
        <f>IFERROR(INDEX(PP_Grid[#Data],$DE652,94),0)</f>
        <v/>
      </c>
      <c r="CT652">
        <f>IFERROR(INDEX(PP_Grid[#Data],$DE652,95),0)</f>
        <v/>
      </c>
      <c r="CU652">
        <f>IFERROR(INDEX(PP_Grid[#Data],$DE652,96),0)</f>
        <v/>
      </c>
      <c r="CV652">
        <f>IFERROR(INDEX(PP_Grid[#Data],$DE652,97),0)</f>
        <v/>
      </c>
      <c r="CW652">
        <f>IFERROR(INDEX(PP_Grid[#Data],$DE652,98),0)</f>
        <v/>
      </c>
      <c r="CX652">
        <f>IFERROR(INDEX(PP_Grid[#Data],$DE652,99),0)</f>
        <v/>
      </c>
      <c r="CY652">
        <f>IFERROR(INDEX(PP_Grid[#Data],$DE652,100),0)</f>
        <v/>
      </c>
      <c r="CZ652">
        <f>IFERROR(INDEX(PP_Grid[#Data],$DE652,101),0)</f>
        <v/>
      </c>
      <c r="DA652">
        <f>IFERROR(INDEX(PP_Grid[#Data],$DE652,102),0)</f>
        <v/>
      </c>
      <c r="DB652">
        <f>IFERROR(INDEX(PP_Grid[#Data],$DE652,103),0)</f>
        <v/>
      </c>
      <c r="DC652">
        <f>IFERROR(INDEX(PP_Grid[#Data],$DE652,104),0)</f>
        <v/>
      </c>
      <c r="DD652">
        <f>IFERROR(INDEX(PP_Grid[#Data],$DE652,105),0)</f>
        <v/>
      </c>
      <c r="DE652" s="7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SUMIFS(M_BOM[RM_Qty_Per_Batch],M_BOM[Intermediate],$B652,M_BOM[RM_Code],$A615)</f>
        <v/>
      </c>
      <c r="D653">
        <f>IFERROR(INDEX(E653:DD653,$F$1),"")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  <c r="DD653">
        <f>$C653*DD652</f>
        <v/>
      </c>
    </row>
    <row r="654">
      <c r="B654" t="inlineStr">
        <is>
          <t>TSP-620</t>
        </is>
      </c>
      <c r="C654" t="inlineStr">
        <is>
          <t>No. of batches</t>
        </is>
      </c>
      <c r="D654">
        <f>IFERROR(INDEX(E654:DD654,$F$1),"")</f>
        <v/>
      </c>
      <c r="E654">
        <f>IFERROR(INDEX(PP_Grid[#Data],$DE654,2),0)</f>
        <v/>
      </c>
      <c r="F654">
        <f>IFERROR(INDEX(PP_Grid[#Data],$DE654,3),0)</f>
        <v/>
      </c>
      <c r="G654">
        <f>IFERROR(INDEX(PP_Grid[#Data],$DE654,4),0)</f>
        <v/>
      </c>
      <c r="H654">
        <f>IFERROR(INDEX(PP_Grid[#Data],$DE654,5),0)</f>
        <v/>
      </c>
      <c r="I654">
        <f>IFERROR(INDEX(PP_Grid[#Data],$DE654,6),0)</f>
        <v/>
      </c>
      <c r="J654">
        <f>IFERROR(INDEX(PP_Grid[#Data],$DE654,7),0)</f>
        <v/>
      </c>
      <c r="K654">
        <f>IFERROR(INDEX(PP_Grid[#Data],$DE654,8),0)</f>
        <v/>
      </c>
      <c r="L654">
        <f>IFERROR(INDEX(PP_Grid[#Data],$DE654,9),0)</f>
        <v/>
      </c>
      <c r="M654">
        <f>IFERROR(INDEX(PP_Grid[#Data],$DE654,10),0)</f>
        <v/>
      </c>
      <c r="N654">
        <f>IFERROR(INDEX(PP_Grid[#Data],$DE654,11),0)</f>
        <v/>
      </c>
      <c r="O654">
        <f>IFERROR(INDEX(PP_Grid[#Data],$DE654,12),0)</f>
        <v/>
      </c>
      <c r="P654">
        <f>IFERROR(INDEX(PP_Grid[#Data],$DE654,13),0)</f>
        <v/>
      </c>
      <c r="Q654">
        <f>IFERROR(INDEX(PP_Grid[#Data],$DE654,14),0)</f>
        <v/>
      </c>
      <c r="R654">
        <f>IFERROR(INDEX(PP_Grid[#Data],$DE654,15),0)</f>
        <v/>
      </c>
      <c r="S654">
        <f>IFERROR(INDEX(PP_Grid[#Data],$DE654,16),0)</f>
        <v/>
      </c>
      <c r="T654">
        <f>IFERROR(INDEX(PP_Grid[#Data],$DE654,17),0)</f>
        <v/>
      </c>
      <c r="U654">
        <f>IFERROR(INDEX(PP_Grid[#Data],$DE654,18),0)</f>
        <v/>
      </c>
      <c r="V654">
        <f>IFERROR(INDEX(PP_Grid[#Data],$DE654,19),0)</f>
        <v/>
      </c>
      <c r="W654">
        <f>IFERROR(INDEX(PP_Grid[#Data],$DE654,20),0)</f>
        <v/>
      </c>
      <c r="X654">
        <f>IFERROR(INDEX(PP_Grid[#Data],$DE654,21),0)</f>
        <v/>
      </c>
      <c r="Y654">
        <f>IFERROR(INDEX(PP_Grid[#Data],$DE654,22),0)</f>
        <v/>
      </c>
      <c r="Z654">
        <f>IFERROR(INDEX(PP_Grid[#Data],$DE654,23),0)</f>
        <v/>
      </c>
      <c r="AA654">
        <f>IFERROR(INDEX(PP_Grid[#Data],$DE654,24),0)</f>
        <v/>
      </c>
      <c r="AB654">
        <f>IFERROR(INDEX(PP_Grid[#Data],$DE654,25),0)</f>
        <v/>
      </c>
      <c r="AC654">
        <f>IFERROR(INDEX(PP_Grid[#Data],$DE654,26),0)</f>
        <v/>
      </c>
      <c r="AD654">
        <f>IFERROR(INDEX(PP_Grid[#Data],$DE654,27),0)</f>
        <v/>
      </c>
      <c r="AE654">
        <f>IFERROR(INDEX(PP_Grid[#Data],$DE654,28),0)</f>
        <v/>
      </c>
      <c r="AF654">
        <f>IFERROR(INDEX(PP_Grid[#Data],$DE654,29),0)</f>
        <v/>
      </c>
      <c r="AG654">
        <f>IFERROR(INDEX(PP_Grid[#Data],$DE654,30),0)</f>
        <v/>
      </c>
      <c r="AH654">
        <f>IFERROR(INDEX(PP_Grid[#Data],$DE654,31),0)</f>
        <v/>
      </c>
      <c r="AI654">
        <f>IFERROR(INDEX(PP_Grid[#Data],$DE654,32),0)</f>
        <v/>
      </c>
      <c r="AJ654">
        <f>IFERROR(INDEX(PP_Grid[#Data],$DE654,33),0)</f>
        <v/>
      </c>
      <c r="AK654">
        <f>IFERROR(INDEX(PP_Grid[#Data],$DE654,34),0)</f>
        <v/>
      </c>
      <c r="AL654">
        <f>IFERROR(INDEX(PP_Grid[#Data],$DE654,35),0)</f>
        <v/>
      </c>
      <c r="AM654">
        <f>IFERROR(INDEX(PP_Grid[#Data],$DE654,36),0)</f>
        <v/>
      </c>
      <c r="AN654">
        <f>IFERROR(INDEX(PP_Grid[#Data],$DE654,37),0)</f>
        <v/>
      </c>
      <c r="AO654">
        <f>IFERROR(INDEX(PP_Grid[#Data],$DE654,38),0)</f>
        <v/>
      </c>
      <c r="AP654">
        <f>IFERROR(INDEX(PP_Grid[#Data],$DE654,39),0)</f>
        <v/>
      </c>
      <c r="AQ654">
        <f>IFERROR(INDEX(PP_Grid[#Data],$DE654,40),0)</f>
        <v/>
      </c>
      <c r="AR654">
        <f>IFERROR(INDEX(PP_Grid[#Data],$DE654,41),0)</f>
        <v/>
      </c>
      <c r="AS654">
        <f>IFERROR(INDEX(PP_Grid[#Data],$DE654,42),0)</f>
        <v/>
      </c>
      <c r="AT654">
        <f>IFERROR(INDEX(PP_Grid[#Data],$DE654,43),0)</f>
        <v/>
      </c>
      <c r="AU654">
        <f>IFERROR(INDEX(PP_Grid[#Data],$DE654,44),0)</f>
        <v/>
      </c>
      <c r="AV654">
        <f>IFERROR(INDEX(PP_Grid[#Data],$DE654,45),0)</f>
        <v/>
      </c>
      <c r="AW654">
        <f>IFERROR(INDEX(PP_Grid[#Data],$DE654,46),0)</f>
        <v/>
      </c>
      <c r="AX654">
        <f>IFERROR(INDEX(PP_Grid[#Data],$DE654,47),0)</f>
        <v/>
      </c>
      <c r="AY654">
        <f>IFERROR(INDEX(PP_Grid[#Data],$DE654,48),0)</f>
        <v/>
      </c>
      <c r="AZ654">
        <f>IFERROR(INDEX(PP_Grid[#Data],$DE654,49),0)</f>
        <v/>
      </c>
      <c r="BA654">
        <f>IFERROR(INDEX(PP_Grid[#Data],$DE654,50),0)</f>
        <v/>
      </c>
      <c r="BB654">
        <f>IFERROR(INDEX(PP_Grid[#Data],$DE654,51),0)</f>
        <v/>
      </c>
      <c r="BC654">
        <f>IFERROR(INDEX(PP_Grid[#Data],$DE654,52),0)</f>
        <v/>
      </c>
      <c r="BD654">
        <f>IFERROR(INDEX(PP_Grid[#Data],$DE654,53),0)</f>
        <v/>
      </c>
      <c r="BE654">
        <f>IFERROR(INDEX(PP_Grid[#Data],$DE654,54),0)</f>
        <v/>
      </c>
      <c r="BF654">
        <f>IFERROR(INDEX(PP_Grid[#Data],$DE654,55),0)</f>
        <v/>
      </c>
      <c r="BG654">
        <f>IFERROR(INDEX(PP_Grid[#Data],$DE654,56),0)</f>
        <v/>
      </c>
      <c r="BH654">
        <f>IFERROR(INDEX(PP_Grid[#Data],$DE654,57),0)</f>
        <v/>
      </c>
      <c r="BI654">
        <f>IFERROR(INDEX(PP_Grid[#Data],$DE654,58),0)</f>
        <v/>
      </c>
      <c r="BJ654">
        <f>IFERROR(INDEX(PP_Grid[#Data],$DE654,59),0)</f>
        <v/>
      </c>
      <c r="BK654">
        <f>IFERROR(INDEX(PP_Grid[#Data],$DE654,60),0)</f>
        <v/>
      </c>
      <c r="BL654">
        <f>IFERROR(INDEX(PP_Grid[#Data],$DE654,61),0)</f>
        <v/>
      </c>
      <c r="BM654">
        <f>IFERROR(INDEX(PP_Grid[#Data],$DE654,62),0)</f>
        <v/>
      </c>
      <c r="BN654">
        <f>IFERROR(INDEX(PP_Grid[#Data],$DE654,63),0)</f>
        <v/>
      </c>
      <c r="BO654">
        <f>IFERROR(INDEX(PP_Grid[#Data],$DE654,64),0)</f>
        <v/>
      </c>
      <c r="BP654">
        <f>IFERROR(INDEX(PP_Grid[#Data],$DE654,65),0)</f>
        <v/>
      </c>
      <c r="BQ654">
        <f>IFERROR(INDEX(PP_Grid[#Data],$DE654,66),0)</f>
        <v/>
      </c>
      <c r="BR654">
        <f>IFERROR(INDEX(PP_Grid[#Data],$DE654,67),0)</f>
        <v/>
      </c>
      <c r="BS654">
        <f>IFERROR(INDEX(PP_Grid[#Data],$DE654,68),0)</f>
        <v/>
      </c>
      <c r="BT654">
        <f>IFERROR(INDEX(PP_Grid[#Data],$DE654,69),0)</f>
        <v/>
      </c>
      <c r="BU654">
        <f>IFERROR(INDEX(PP_Grid[#Data],$DE654,70),0)</f>
        <v/>
      </c>
      <c r="BV654">
        <f>IFERROR(INDEX(PP_Grid[#Data],$DE654,71),0)</f>
        <v/>
      </c>
      <c r="BW654">
        <f>IFERROR(INDEX(PP_Grid[#Data],$DE654,72),0)</f>
        <v/>
      </c>
      <c r="BX654">
        <f>IFERROR(INDEX(PP_Grid[#Data],$DE654,73),0)</f>
        <v/>
      </c>
      <c r="BY654">
        <f>IFERROR(INDEX(PP_Grid[#Data],$DE654,74),0)</f>
        <v/>
      </c>
      <c r="BZ654">
        <f>IFERROR(INDEX(PP_Grid[#Data],$DE654,75),0)</f>
        <v/>
      </c>
      <c r="CA654">
        <f>IFERROR(INDEX(PP_Grid[#Data],$DE654,76),0)</f>
        <v/>
      </c>
      <c r="CB654">
        <f>IFERROR(INDEX(PP_Grid[#Data],$DE654,77),0)</f>
        <v/>
      </c>
      <c r="CC654">
        <f>IFERROR(INDEX(PP_Grid[#Data],$DE654,78),0)</f>
        <v/>
      </c>
      <c r="CD654">
        <f>IFERROR(INDEX(PP_Grid[#Data],$DE654,79),0)</f>
        <v/>
      </c>
      <c r="CE654">
        <f>IFERROR(INDEX(PP_Grid[#Data],$DE654,80),0)</f>
        <v/>
      </c>
      <c r="CF654">
        <f>IFERROR(INDEX(PP_Grid[#Data],$DE654,81),0)</f>
        <v/>
      </c>
      <c r="CG654">
        <f>IFERROR(INDEX(PP_Grid[#Data],$DE654,82),0)</f>
        <v/>
      </c>
      <c r="CH654">
        <f>IFERROR(INDEX(PP_Grid[#Data],$DE654,83),0)</f>
        <v/>
      </c>
      <c r="CI654">
        <f>IFERROR(INDEX(PP_Grid[#Data],$DE654,84),0)</f>
        <v/>
      </c>
      <c r="CJ654">
        <f>IFERROR(INDEX(PP_Grid[#Data],$DE654,85),0)</f>
        <v/>
      </c>
      <c r="CK654">
        <f>IFERROR(INDEX(PP_Grid[#Data],$DE654,86),0)</f>
        <v/>
      </c>
      <c r="CL654">
        <f>IFERROR(INDEX(PP_Grid[#Data],$DE654,87),0)</f>
        <v/>
      </c>
      <c r="CM654">
        <f>IFERROR(INDEX(PP_Grid[#Data],$DE654,88),0)</f>
        <v/>
      </c>
      <c r="CN654">
        <f>IFERROR(INDEX(PP_Grid[#Data],$DE654,89),0)</f>
        <v/>
      </c>
      <c r="CO654">
        <f>IFERROR(INDEX(PP_Grid[#Data],$DE654,90),0)</f>
        <v/>
      </c>
      <c r="CP654">
        <f>IFERROR(INDEX(PP_Grid[#Data],$DE654,91),0)</f>
        <v/>
      </c>
      <c r="CQ654">
        <f>IFERROR(INDEX(PP_Grid[#Data],$DE654,92),0)</f>
        <v/>
      </c>
      <c r="CR654">
        <f>IFERROR(INDEX(PP_Grid[#Data],$DE654,93),0)</f>
        <v/>
      </c>
      <c r="CS654">
        <f>IFERROR(INDEX(PP_Grid[#Data],$DE654,94),0)</f>
        <v/>
      </c>
      <c r="CT654">
        <f>IFERROR(INDEX(PP_Grid[#Data],$DE654,95),0)</f>
        <v/>
      </c>
      <c r="CU654">
        <f>IFERROR(INDEX(PP_Grid[#Data],$DE654,96),0)</f>
        <v/>
      </c>
      <c r="CV654">
        <f>IFERROR(INDEX(PP_Grid[#Data],$DE654,97),0)</f>
        <v/>
      </c>
      <c r="CW654">
        <f>IFERROR(INDEX(PP_Grid[#Data],$DE654,98),0)</f>
        <v/>
      </c>
      <c r="CX654">
        <f>IFERROR(INDEX(PP_Grid[#Data],$DE654,99),0)</f>
        <v/>
      </c>
      <c r="CY654">
        <f>IFERROR(INDEX(PP_Grid[#Data],$DE654,100),0)</f>
        <v/>
      </c>
      <c r="CZ654">
        <f>IFERROR(INDEX(PP_Grid[#Data],$DE654,101),0)</f>
        <v/>
      </c>
      <c r="DA654">
        <f>IFERROR(INDEX(PP_Grid[#Data],$DE654,102),0)</f>
        <v/>
      </c>
      <c r="DB654">
        <f>IFERROR(INDEX(PP_Grid[#Data],$DE654,103),0)</f>
        <v/>
      </c>
      <c r="DC654">
        <f>IFERROR(INDEX(PP_Grid[#Data],$DE654,104),0)</f>
        <v/>
      </c>
      <c r="DD654">
        <f>IFERROR(INDEX(PP_Grid[#Data],$DE654,105),0)</f>
        <v/>
      </c>
      <c r="DE654" s="7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SUMIFS(M_BOM[RM_Qty_Per_Batch],M_BOM[Intermediate],$B654,M_BOM[RM_Code],$A615)</f>
        <v/>
      </c>
      <c r="D655">
        <f>IFERROR(INDEX(E655:DD655,$F$1),"")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  <c r="DD655">
        <f>$C655*DD654</f>
        <v/>
      </c>
    </row>
    <row r="656">
      <c r="B656" t="inlineStr">
        <is>
          <t>TSP-623</t>
        </is>
      </c>
      <c r="C656" t="inlineStr">
        <is>
          <t>No. of batches</t>
        </is>
      </c>
      <c r="D656">
        <f>IFERROR(INDEX(E656:DD656,$F$1),"")</f>
        <v/>
      </c>
      <c r="E656">
        <f>IFERROR(INDEX(PP_Grid[#Data],$DE656,2),0)</f>
        <v/>
      </c>
      <c r="F656">
        <f>IFERROR(INDEX(PP_Grid[#Data],$DE656,3),0)</f>
        <v/>
      </c>
      <c r="G656">
        <f>IFERROR(INDEX(PP_Grid[#Data],$DE656,4),0)</f>
        <v/>
      </c>
      <c r="H656">
        <f>IFERROR(INDEX(PP_Grid[#Data],$DE656,5),0)</f>
        <v/>
      </c>
      <c r="I656">
        <f>IFERROR(INDEX(PP_Grid[#Data],$DE656,6),0)</f>
        <v/>
      </c>
      <c r="J656">
        <f>IFERROR(INDEX(PP_Grid[#Data],$DE656,7),0)</f>
        <v/>
      </c>
      <c r="K656">
        <f>IFERROR(INDEX(PP_Grid[#Data],$DE656,8),0)</f>
        <v/>
      </c>
      <c r="L656">
        <f>IFERROR(INDEX(PP_Grid[#Data],$DE656,9),0)</f>
        <v/>
      </c>
      <c r="M656">
        <f>IFERROR(INDEX(PP_Grid[#Data],$DE656,10),0)</f>
        <v/>
      </c>
      <c r="N656">
        <f>IFERROR(INDEX(PP_Grid[#Data],$DE656,11),0)</f>
        <v/>
      </c>
      <c r="O656">
        <f>IFERROR(INDEX(PP_Grid[#Data],$DE656,12),0)</f>
        <v/>
      </c>
      <c r="P656">
        <f>IFERROR(INDEX(PP_Grid[#Data],$DE656,13),0)</f>
        <v/>
      </c>
      <c r="Q656">
        <f>IFERROR(INDEX(PP_Grid[#Data],$DE656,14),0)</f>
        <v/>
      </c>
      <c r="R656">
        <f>IFERROR(INDEX(PP_Grid[#Data],$DE656,15),0)</f>
        <v/>
      </c>
      <c r="S656">
        <f>IFERROR(INDEX(PP_Grid[#Data],$DE656,16),0)</f>
        <v/>
      </c>
      <c r="T656">
        <f>IFERROR(INDEX(PP_Grid[#Data],$DE656,17),0)</f>
        <v/>
      </c>
      <c r="U656">
        <f>IFERROR(INDEX(PP_Grid[#Data],$DE656,18),0)</f>
        <v/>
      </c>
      <c r="V656">
        <f>IFERROR(INDEX(PP_Grid[#Data],$DE656,19),0)</f>
        <v/>
      </c>
      <c r="W656">
        <f>IFERROR(INDEX(PP_Grid[#Data],$DE656,20),0)</f>
        <v/>
      </c>
      <c r="X656">
        <f>IFERROR(INDEX(PP_Grid[#Data],$DE656,21),0)</f>
        <v/>
      </c>
      <c r="Y656">
        <f>IFERROR(INDEX(PP_Grid[#Data],$DE656,22),0)</f>
        <v/>
      </c>
      <c r="Z656">
        <f>IFERROR(INDEX(PP_Grid[#Data],$DE656,23),0)</f>
        <v/>
      </c>
      <c r="AA656">
        <f>IFERROR(INDEX(PP_Grid[#Data],$DE656,24),0)</f>
        <v/>
      </c>
      <c r="AB656">
        <f>IFERROR(INDEX(PP_Grid[#Data],$DE656,25),0)</f>
        <v/>
      </c>
      <c r="AC656">
        <f>IFERROR(INDEX(PP_Grid[#Data],$DE656,26),0)</f>
        <v/>
      </c>
      <c r="AD656">
        <f>IFERROR(INDEX(PP_Grid[#Data],$DE656,27),0)</f>
        <v/>
      </c>
      <c r="AE656">
        <f>IFERROR(INDEX(PP_Grid[#Data],$DE656,28),0)</f>
        <v/>
      </c>
      <c r="AF656">
        <f>IFERROR(INDEX(PP_Grid[#Data],$DE656,29),0)</f>
        <v/>
      </c>
      <c r="AG656">
        <f>IFERROR(INDEX(PP_Grid[#Data],$DE656,30),0)</f>
        <v/>
      </c>
      <c r="AH656">
        <f>IFERROR(INDEX(PP_Grid[#Data],$DE656,31),0)</f>
        <v/>
      </c>
      <c r="AI656">
        <f>IFERROR(INDEX(PP_Grid[#Data],$DE656,32),0)</f>
        <v/>
      </c>
      <c r="AJ656">
        <f>IFERROR(INDEX(PP_Grid[#Data],$DE656,33),0)</f>
        <v/>
      </c>
      <c r="AK656">
        <f>IFERROR(INDEX(PP_Grid[#Data],$DE656,34),0)</f>
        <v/>
      </c>
      <c r="AL656">
        <f>IFERROR(INDEX(PP_Grid[#Data],$DE656,35),0)</f>
        <v/>
      </c>
      <c r="AM656">
        <f>IFERROR(INDEX(PP_Grid[#Data],$DE656,36),0)</f>
        <v/>
      </c>
      <c r="AN656">
        <f>IFERROR(INDEX(PP_Grid[#Data],$DE656,37),0)</f>
        <v/>
      </c>
      <c r="AO656">
        <f>IFERROR(INDEX(PP_Grid[#Data],$DE656,38),0)</f>
        <v/>
      </c>
      <c r="AP656">
        <f>IFERROR(INDEX(PP_Grid[#Data],$DE656,39),0)</f>
        <v/>
      </c>
      <c r="AQ656">
        <f>IFERROR(INDEX(PP_Grid[#Data],$DE656,40),0)</f>
        <v/>
      </c>
      <c r="AR656">
        <f>IFERROR(INDEX(PP_Grid[#Data],$DE656,41),0)</f>
        <v/>
      </c>
      <c r="AS656">
        <f>IFERROR(INDEX(PP_Grid[#Data],$DE656,42),0)</f>
        <v/>
      </c>
      <c r="AT656">
        <f>IFERROR(INDEX(PP_Grid[#Data],$DE656,43),0)</f>
        <v/>
      </c>
      <c r="AU656">
        <f>IFERROR(INDEX(PP_Grid[#Data],$DE656,44),0)</f>
        <v/>
      </c>
      <c r="AV656">
        <f>IFERROR(INDEX(PP_Grid[#Data],$DE656,45),0)</f>
        <v/>
      </c>
      <c r="AW656">
        <f>IFERROR(INDEX(PP_Grid[#Data],$DE656,46),0)</f>
        <v/>
      </c>
      <c r="AX656">
        <f>IFERROR(INDEX(PP_Grid[#Data],$DE656,47),0)</f>
        <v/>
      </c>
      <c r="AY656">
        <f>IFERROR(INDEX(PP_Grid[#Data],$DE656,48),0)</f>
        <v/>
      </c>
      <c r="AZ656">
        <f>IFERROR(INDEX(PP_Grid[#Data],$DE656,49),0)</f>
        <v/>
      </c>
      <c r="BA656">
        <f>IFERROR(INDEX(PP_Grid[#Data],$DE656,50),0)</f>
        <v/>
      </c>
      <c r="BB656">
        <f>IFERROR(INDEX(PP_Grid[#Data],$DE656,51),0)</f>
        <v/>
      </c>
      <c r="BC656">
        <f>IFERROR(INDEX(PP_Grid[#Data],$DE656,52),0)</f>
        <v/>
      </c>
      <c r="BD656">
        <f>IFERROR(INDEX(PP_Grid[#Data],$DE656,53),0)</f>
        <v/>
      </c>
      <c r="BE656">
        <f>IFERROR(INDEX(PP_Grid[#Data],$DE656,54),0)</f>
        <v/>
      </c>
      <c r="BF656">
        <f>IFERROR(INDEX(PP_Grid[#Data],$DE656,55),0)</f>
        <v/>
      </c>
      <c r="BG656">
        <f>IFERROR(INDEX(PP_Grid[#Data],$DE656,56),0)</f>
        <v/>
      </c>
      <c r="BH656">
        <f>IFERROR(INDEX(PP_Grid[#Data],$DE656,57),0)</f>
        <v/>
      </c>
      <c r="BI656">
        <f>IFERROR(INDEX(PP_Grid[#Data],$DE656,58),0)</f>
        <v/>
      </c>
      <c r="BJ656">
        <f>IFERROR(INDEX(PP_Grid[#Data],$DE656,59),0)</f>
        <v/>
      </c>
      <c r="BK656">
        <f>IFERROR(INDEX(PP_Grid[#Data],$DE656,60),0)</f>
        <v/>
      </c>
      <c r="BL656">
        <f>IFERROR(INDEX(PP_Grid[#Data],$DE656,61),0)</f>
        <v/>
      </c>
      <c r="BM656">
        <f>IFERROR(INDEX(PP_Grid[#Data],$DE656,62),0)</f>
        <v/>
      </c>
      <c r="BN656">
        <f>IFERROR(INDEX(PP_Grid[#Data],$DE656,63),0)</f>
        <v/>
      </c>
      <c r="BO656">
        <f>IFERROR(INDEX(PP_Grid[#Data],$DE656,64),0)</f>
        <v/>
      </c>
      <c r="BP656">
        <f>IFERROR(INDEX(PP_Grid[#Data],$DE656,65),0)</f>
        <v/>
      </c>
      <c r="BQ656">
        <f>IFERROR(INDEX(PP_Grid[#Data],$DE656,66),0)</f>
        <v/>
      </c>
      <c r="BR656">
        <f>IFERROR(INDEX(PP_Grid[#Data],$DE656,67),0)</f>
        <v/>
      </c>
      <c r="BS656">
        <f>IFERROR(INDEX(PP_Grid[#Data],$DE656,68),0)</f>
        <v/>
      </c>
      <c r="BT656">
        <f>IFERROR(INDEX(PP_Grid[#Data],$DE656,69),0)</f>
        <v/>
      </c>
      <c r="BU656">
        <f>IFERROR(INDEX(PP_Grid[#Data],$DE656,70),0)</f>
        <v/>
      </c>
      <c r="BV656">
        <f>IFERROR(INDEX(PP_Grid[#Data],$DE656,71),0)</f>
        <v/>
      </c>
      <c r="BW656">
        <f>IFERROR(INDEX(PP_Grid[#Data],$DE656,72),0)</f>
        <v/>
      </c>
      <c r="BX656">
        <f>IFERROR(INDEX(PP_Grid[#Data],$DE656,73),0)</f>
        <v/>
      </c>
      <c r="BY656">
        <f>IFERROR(INDEX(PP_Grid[#Data],$DE656,74),0)</f>
        <v/>
      </c>
      <c r="BZ656">
        <f>IFERROR(INDEX(PP_Grid[#Data],$DE656,75),0)</f>
        <v/>
      </c>
      <c r="CA656">
        <f>IFERROR(INDEX(PP_Grid[#Data],$DE656,76),0)</f>
        <v/>
      </c>
      <c r="CB656">
        <f>IFERROR(INDEX(PP_Grid[#Data],$DE656,77),0)</f>
        <v/>
      </c>
      <c r="CC656">
        <f>IFERROR(INDEX(PP_Grid[#Data],$DE656,78),0)</f>
        <v/>
      </c>
      <c r="CD656">
        <f>IFERROR(INDEX(PP_Grid[#Data],$DE656,79),0)</f>
        <v/>
      </c>
      <c r="CE656">
        <f>IFERROR(INDEX(PP_Grid[#Data],$DE656,80),0)</f>
        <v/>
      </c>
      <c r="CF656">
        <f>IFERROR(INDEX(PP_Grid[#Data],$DE656,81),0)</f>
        <v/>
      </c>
      <c r="CG656">
        <f>IFERROR(INDEX(PP_Grid[#Data],$DE656,82),0)</f>
        <v/>
      </c>
      <c r="CH656">
        <f>IFERROR(INDEX(PP_Grid[#Data],$DE656,83),0)</f>
        <v/>
      </c>
      <c r="CI656">
        <f>IFERROR(INDEX(PP_Grid[#Data],$DE656,84),0)</f>
        <v/>
      </c>
      <c r="CJ656">
        <f>IFERROR(INDEX(PP_Grid[#Data],$DE656,85),0)</f>
        <v/>
      </c>
      <c r="CK656">
        <f>IFERROR(INDEX(PP_Grid[#Data],$DE656,86),0)</f>
        <v/>
      </c>
      <c r="CL656">
        <f>IFERROR(INDEX(PP_Grid[#Data],$DE656,87),0)</f>
        <v/>
      </c>
      <c r="CM656">
        <f>IFERROR(INDEX(PP_Grid[#Data],$DE656,88),0)</f>
        <v/>
      </c>
      <c r="CN656">
        <f>IFERROR(INDEX(PP_Grid[#Data],$DE656,89),0)</f>
        <v/>
      </c>
      <c r="CO656">
        <f>IFERROR(INDEX(PP_Grid[#Data],$DE656,90),0)</f>
        <v/>
      </c>
      <c r="CP656">
        <f>IFERROR(INDEX(PP_Grid[#Data],$DE656,91),0)</f>
        <v/>
      </c>
      <c r="CQ656">
        <f>IFERROR(INDEX(PP_Grid[#Data],$DE656,92),0)</f>
        <v/>
      </c>
      <c r="CR656">
        <f>IFERROR(INDEX(PP_Grid[#Data],$DE656,93),0)</f>
        <v/>
      </c>
      <c r="CS656">
        <f>IFERROR(INDEX(PP_Grid[#Data],$DE656,94),0)</f>
        <v/>
      </c>
      <c r="CT656">
        <f>IFERROR(INDEX(PP_Grid[#Data],$DE656,95),0)</f>
        <v/>
      </c>
      <c r="CU656">
        <f>IFERROR(INDEX(PP_Grid[#Data],$DE656,96),0)</f>
        <v/>
      </c>
      <c r="CV656">
        <f>IFERROR(INDEX(PP_Grid[#Data],$DE656,97),0)</f>
        <v/>
      </c>
      <c r="CW656">
        <f>IFERROR(INDEX(PP_Grid[#Data],$DE656,98),0)</f>
        <v/>
      </c>
      <c r="CX656">
        <f>IFERROR(INDEX(PP_Grid[#Data],$DE656,99),0)</f>
        <v/>
      </c>
      <c r="CY656">
        <f>IFERROR(INDEX(PP_Grid[#Data],$DE656,100),0)</f>
        <v/>
      </c>
      <c r="CZ656">
        <f>IFERROR(INDEX(PP_Grid[#Data],$DE656,101),0)</f>
        <v/>
      </c>
      <c r="DA656">
        <f>IFERROR(INDEX(PP_Grid[#Data],$DE656,102),0)</f>
        <v/>
      </c>
      <c r="DB656">
        <f>IFERROR(INDEX(PP_Grid[#Data],$DE656,103),0)</f>
        <v/>
      </c>
      <c r="DC656">
        <f>IFERROR(INDEX(PP_Grid[#Data],$DE656,104),0)</f>
        <v/>
      </c>
      <c r="DD656">
        <f>IFERROR(INDEX(PP_Grid[#Data],$DE656,105),0)</f>
        <v/>
      </c>
      <c r="DE656" s="7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SUMIFS(M_BOM[RM_Qty_Per_Batch],M_BOM[Intermediate],$B656,M_BOM[RM_Code],$A615)</f>
        <v/>
      </c>
      <c r="D657">
        <f>IFERROR(INDEX(E657:DD657,$F$1),"")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  <c r="DD657">
        <f>$C657*DD656</f>
        <v/>
      </c>
    </row>
    <row r="658">
      <c r="B658" t="inlineStr">
        <is>
          <t>TSP-655</t>
        </is>
      </c>
      <c r="C658" t="inlineStr">
        <is>
          <t>No. of batches</t>
        </is>
      </c>
      <c r="D658">
        <f>IFERROR(INDEX(E658:DD658,$F$1),"")</f>
        <v/>
      </c>
      <c r="E658">
        <f>IFERROR(INDEX(PP_Grid[#Data],$DE658,2),0)</f>
        <v/>
      </c>
      <c r="F658">
        <f>IFERROR(INDEX(PP_Grid[#Data],$DE658,3),0)</f>
        <v/>
      </c>
      <c r="G658">
        <f>IFERROR(INDEX(PP_Grid[#Data],$DE658,4),0)</f>
        <v/>
      </c>
      <c r="H658">
        <f>IFERROR(INDEX(PP_Grid[#Data],$DE658,5),0)</f>
        <v/>
      </c>
      <c r="I658">
        <f>IFERROR(INDEX(PP_Grid[#Data],$DE658,6),0)</f>
        <v/>
      </c>
      <c r="J658">
        <f>IFERROR(INDEX(PP_Grid[#Data],$DE658,7),0)</f>
        <v/>
      </c>
      <c r="K658">
        <f>IFERROR(INDEX(PP_Grid[#Data],$DE658,8),0)</f>
        <v/>
      </c>
      <c r="L658">
        <f>IFERROR(INDEX(PP_Grid[#Data],$DE658,9),0)</f>
        <v/>
      </c>
      <c r="M658">
        <f>IFERROR(INDEX(PP_Grid[#Data],$DE658,10),0)</f>
        <v/>
      </c>
      <c r="N658">
        <f>IFERROR(INDEX(PP_Grid[#Data],$DE658,11),0)</f>
        <v/>
      </c>
      <c r="O658">
        <f>IFERROR(INDEX(PP_Grid[#Data],$DE658,12),0)</f>
        <v/>
      </c>
      <c r="P658">
        <f>IFERROR(INDEX(PP_Grid[#Data],$DE658,13),0)</f>
        <v/>
      </c>
      <c r="Q658">
        <f>IFERROR(INDEX(PP_Grid[#Data],$DE658,14),0)</f>
        <v/>
      </c>
      <c r="R658">
        <f>IFERROR(INDEX(PP_Grid[#Data],$DE658,15),0)</f>
        <v/>
      </c>
      <c r="S658">
        <f>IFERROR(INDEX(PP_Grid[#Data],$DE658,16),0)</f>
        <v/>
      </c>
      <c r="T658">
        <f>IFERROR(INDEX(PP_Grid[#Data],$DE658,17),0)</f>
        <v/>
      </c>
      <c r="U658">
        <f>IFERROR(INDEX(PP_Grid[#Data],$DE658,18),0)</f>
        <v/>
      </c>
      <c r="V658">
        <f>IFERROR(INDEX(PP_Grid[#Data],$DE658,19),0)</f>
        <v/>
      </c>
      <c r="W658">
        <f>IFERROR(INDEX(PP_Grid[#Data],$DE658,20),0)</f>
        <v/>
      </c>
      <c r="X658">
        <f>IFERROR(INDEX(PP_Grid[#Data],$DE658,21),0)</f>
        <v/>
      </c>
      <c r="Y658">
        <f>IFERROR(INDEX(PP_Grid[#Data],$DE658,22),0)</f>
        <v/>
      </c>
      <c r="Z658">
        <f>IFERROR(INDEX(PP_Grid[#Data],$DE658,23),0)</f>
        <v/>
      </c>
      <c r="AA658">
        <f>IFERROR(INDEX(PP_Grid[#Data],$DE658,24),0)</f>
        <v/>
      </c>
      <c r="AB658">
        <f>IFERROR(INDEX(PP_Grid[#Data],$DE658,25),0)</f>
        <v/>
      </c>
      <c r="AC658">
        <f>IFERROR(INDEX(PP_Grid[#Data],$DE658,26),0)</f>
        <v/>
      </c>
      <c r="AD658">
        <f>IFERROR(INDEX(PP_Grid[#Data],$DE658,27),0)</f>
        <v/>
      </c>
      <c r="AE658">
        <f>IFERROR(INDEX(PP_Grid[#Data],$DE658,28),0)</f>
        <v/>
      </c>
      <c r="AF658">
        <f>IFERROR(INDEX(PP_Grid[#Data],$DE658,29),0)</f>
        <v/>
      </c>
      <c r="AG658">
        <f>IFERROR(INDEX(PP_Grid[#Data],$DE658,30),0)</f>
        <v/>
      </c>
      <c r="AH658">
        <f>IFERROR(INDEX(PP_Grid[#Data],$DE658,31),0)</f>
        <v/>
      </c>
      <c r="AI658">
        <f>IFERROR(INDEX(PP_Grid[#Data],$DE658,32),0)</f>
        <v/>
      </c>
      <c r="AJ658">
        <f>IFERROR(INDEX(PP_Grid[#Data],$DE658,33),0)</f>
        <v/>
      </c>
      <c r="AK658">
        <f>IFERROR(INDEX(PP_Grid[#Data],$DE658,34),0)</f>
        <v/>
      </c>
      <c r="AL658">
        <f>IFERROR(INDEX(PP_Grid[#Data],$DE658,35),0)</f>
        <v/>
      </c>
      <c r="AM658">
        <f>IFERROR(INDEX(PP_Grid[#Data],$DE658,36),0)</f>
        <v/>
      </c>
      <c r="AN658">
        <f>IFERROR(INDEX(PP_Grid[#Data],$DE658,37),0)</f>
        <v/>
      </c>
      <c r="AO658">
        <f>IFERROR(INDEX(PP_Grid[#Data],$DE658,38),0)</f>
        <v/>
      </c>
      <c r="AP658">
        <f>IFERROR(INDEX(PP_Grid[#Data],$DE658,39),0)</f>
        <v/>
      </c>
      <c r="AQ658">
        <f>IFERROR(INDEX(PP_Grid[#Data],$DE658,40),0)</f>
        <v/>
      </c>
      <c r="AR658">
        <f>IFERROR(INDEX(PP_Grid[#Data],$DE658,41),0)</f>
        <v/>
      </c>
      <c r="AS658">
        <f>IFERROR(INDEX(PP_Grid[#Data],$DE658,42),0)</f>
        <v/>
      </c>
      <c r="AT658">
        <f>IFERROR(INDEX(PP_Grid[#Data],$DE658,43),0)</f>
        <v/>
      </c>
      <c r="AU658">
        <f>IFERROR(INDEX(PP_Grid[#Data],$DE658,44),0)</f>
        <v/>
      </c>
      <c r="AV658">
        <f>IFERROR(INDEX(PP_Grid[#Data],$DE658,45),0)</f>
        <v/>
      </c>
      <c r="AW658">
        <f>IFERROR(INDEX(PP_Grid[#Data],$DE658,46),0)</f>
        <v/>
      </c>
      <c r="AX658">
        <f>IFERROR(INDEX(PP_Grid[#Data],$DE658,47),0)</f>
        <v/>
      </c>
      <c r="AY658">
        <f>IFERROR(INDEX(PP_Grid[#Data],$DE658,48),0)</f>
        <v/>
      </c>
      <c r="AZ658">
        <f>IFERROR(INDEX(PP_Grid[#Data],$DE658,49),0)</f>
        <v/>
      </c>
      <c r="BA658">
        <f>IFERROR(INDEX(PP_Grid[#Data],$DE658,50),0)</f>
        <v/>
      </c>
      <c r="BB658">
        <f>IFERROR(INDEX(PP_Grid[#Data],$DE658,51),0)</f>
        <v/>
      </c>
      <c r="BC658">
        <f>IFERROR(INDEX(PP_Grid[#Data],$DE658,52),0)</f>
        <v/>
      </c>
      <c r="BD658">
        <f>IFERROR(INDEX(PP_Grid[#Data],$DE658,53),0)</f>
        <v/>
      </c>
      <c r="BE658">
        <f>IFERROR(INDEX(PP_Grid[#Data],$DE658,54),0)</f>
        <v/>
      </c>
      <c r="BF658">
        <f>IFERROR(INDEX(PP_Grid[#Data],$DE658,55),0)</f>
        <v/>
      </c>
      <c r="BG658">
        <f>IFERROR(INDEX(PP_Grid[#Data],$DE658,56),0)</f>
        <v/>
      </c>
      <c r="BH658">
        <f>IFERROR(INDEX(PP_Grid[#Data],$DE658,57),0)</f>
        <v/>
      </c>
      <c r="BI658">
        <f>IFERROR(INDEX(PP_Grid[#Data],$DE658,58),0)</f>
        <v/>
      </c>
      <c r="BJ658">
        <f>IFERROR(INDEX(PP_Grid[#Data],$DE658,59),0)</f>
        <v/>
      </c>
      <c r="BK658">
        <f>IFERROR(INDEX(PP_Grid[#Data],$DE658,60),0)</f>
        <v/>
      </c>
      <c r="BL658">
        <f>IFERROR(INDEX(PP_Grid[#Data],$DE658,61),0)</f>
        <v/>
      </c>
      <c r="BM658">
        <f>IFERROR(INDEX(PP_Grid[#Data],$DE658,62),0)</f>
        <v/>
      </c>
      <c r="BN658">
        <f>IFERROR(INDEX(PP_Grid[#Data],$DE658,63),0)</f>
        <v/>
      </c>
      <c r="BO658">
        <f>IFERROR(INDEX(PP_Grid[#Data],$DE658,64),0)</f>
        <v/>
      </c>
      <c r="BP658">
        <f>IFERROR(INDEX(PP_Grid[#Data],$DE658,65),0)</f>
        <v/>
      </c>
      <c r="BQ658">
        <f>IFERROR(INDEX(PP_Grid[#Data],$DE658,66),0)</f>
        <v/>
      </c>
      <c r="BR658">
        <f>IFERROR(INDEX(PP_Grid[#Data],$DE658,67),0)</f>
        <v/>
      </c>
      <c r="BS658">
        <f>IFERROR(INDEX(PP_Grid[#Data],$DE658,68),0)</f>
        <v/>
      </c>
      <c r="BT658">
        <f>IFERROR(INDEX(PP_Grid[#Data],$DE658,69),0)</f>
        <v/>
      </c>
      <c r="BU658">
        <f>IFERROR(INDEX(PP_Grid[#Data],$DE658,70),0)</f>
        <v/>
      </c>
      <c r="BV658">
        <f>IFERROR(INDEX(PP_Grid[#Data],$DE658,71),0)</f>
        <v/>
      </c>
      <c r="BW658">
        <f>IFERROR(INDEX(PP_Grid[#Data],$DE658,72),0)</f>
        <v/>
      </c>
      <c r="BX658">
        <f>IFERROR(INDEX(PP_Grid[#Data],$DE658,73),0)</f>
        <v/>
      </c>
      <c r="BY658">
        <f>IFERROR(INDEX(PP_Grid[#Data],$DE658,74),0)</f>
        <v/>
      </c>
      <c r="BZ658">
        <f>IFERROR(INDEX(PP_Grid[#Data],$DE658,75),0)</f>
        <v/>
      </c>
      <c r="CA658">
        <f>IFERROR(INDEX(PP_Grid[#Data],$DE658,76),0)</f>
        <v/>
      </c>
      <c r="CB658">
        <f>IFERROR(INDEX(PP_Grid[#Data],$DE658,77),0)</f>
        <v/>
      </c>
      <c r="CC658">
        <f>IFERROR(INDEX(PP_Grid[#Data],$DE658,78),0)</f>
        <v/>
      </c>
      <c r="CD658">
        <f>IFERROR(INDEX(PP_Grid[#Data],$DE658,79),0)</f>
        <v/>
      </c>
      <c r="CE658">
        <f>IFERROR(INDEX(PP_Grid[#Data],$DE658,80),0)</f>
        <v/>
      </c>
      <c r="CF658">
        <f>IFERROR(INDEX(PP_Grid[#Data],$DE658,81),0)</f>
        <v/>
      </c>
      <c r="CG658">
        <f>IFERROR(INDEX(PP_Grid[#Data],$DE658,82),0)</f>
        <v/>
      </c>
      <c r="CH658">
        <f>IFERROR(INDEX(PP_Grid[#Data],$DE658,83),0)</f>
        <v/>
      </c>
      <c r="CI658">
        <f>IFERROR(INDEX(PP_Grid[#Data],$DE658,84),0)</f>
        <v/>
      </c>
      <c r="CJ658">
        <f>IFERROR(INDEX(PP_Grid[#Data],$DE658,85),0)</f>
        <v/>
      </c>
      <c r="CK658">
        <f>IFERROR(INDEX(PP_Grid[#Data],$DE658,86),0)</f>
        <v/>
      </c>
      <c r="CL658">
        <f>IFERROR(INDEX(PP_Grid[#Data],$DE658,87),0)</f>
        <v/>
      </c>
      <c r="CM658">
        <f>IFERROR(INDEX(PP_Grid[#Data],$DE658,88),0)</f>
        <v/>
      </c>
      <c r="CN658">
        <f>IFERROR(INDEX(PP_Grid[#Data],$DE658,89),0)</f>
        <v/>
      </c>
      <c r="CO658">
        <f>IFERROR(INDEX(PP_Grid[#Data],$DE658,90),0)</f>
        <v/>
      </c>
      <c r="CP658">
        <f>IFERROR(INDEX(PP_Grid[#Data],$DE658,91),0)</f>
        <v/>
      </c>
      <c r="CQ658">
        <f>IFERROR(INDEX(PP_Grid[#Data],$DE658,92),0)</f>
        <v/>
      </c>
      <c r="CR658">
        <f>IFERROR(INDEX(PP_Grid[#Data],$DE658,93),0)</f>
        <v/>
      </c>
      <c r="CS658">
        <f>IFERROR(INDEX(PP_Grid[#Data],$DE658,94),0)</f>
        <v/>
      </c>
      <c r="CT658">
        <f>IFERROR(INDEX(PP_Grid[#Data],$DE658,95),0)</f>
        <v/>
      </c>
      <c r="CU658">
        <f>IFERROR(INDEX(PP_Grid[#Data],$DE658,96),0)</f>
        <v/>
      </c>
      <c r="CV658">
        <f>IFERROR(INDEX(PP_Grid[#Data],$DE658,97),0)</f>
        <v/>
      </c>
      <c r="CW658">
        <f>IFERROR(INDEX(PP_Grid[#Data],$DE658,98),0)</f>
        <v/>
      </c>
      <c r="CX658">
        <f>IFERROR(INDEX(PP_Grid[#Data],$DE658,99),0)</f>
        <v/>
      </c>
      <c r="CY658">
        <f>IFERROR(INDEX(PP_Grid[#Data],$DE658,100),0)</f>
        <v/>
      </c>
      <c r="CZ658">
        <f>IFERROR(INDEX(PP_Grid[#Data],$DE658,101),0)</f>
        <v/>
      </c>
      <c r="DA658">
        <f>IFERROR(INDEX(PP_Grid[#Data],$DE658,102),0)</f>
        <v/>
      </c>
      <c r="DB658">
        <f>IFERROR(INDEX(PP_Grid[#Data],$DE658,103),0)</f>
        <v/>
      </c>
      <c r="DC658">
        <f>IFERROR(INDEX(PP_Grid[#Data],$DE658,104),0)</f>
        <v/>
      </c>
      <c r="DD658">
        <f>IFERROR(INDEX(PP_Grid[#Data],$DE658,105),0)</f>
        <v/>
      </c>
      <c r="DE658" s="7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SUMIFS(M_BOM[RM_Qty_Per_Batch],M_BOM[Intermediate],$B658,M_BOM[RM_Code],$A615)</f>
        <v/>
      </c>
      <c r="D659">
        <f>IFERROR(INDEX(E659:DD659,$F$1),"")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  <c r="DD659">
        <f>$C659*DD658</f>
        <v/>
      </c>
    </row>
    <row r="660">
      <c r="B660" t="inlineStr">
        <is>
          <t>TSP-656</t>
        </is>
      </c>
      <c r="C660" t="inlineStr">
        <is>
          <t>No. of batches</t>
        </is>
      </c>
      <c r="D660">
        <f>IFERROR(INDEX(E660:DD660,$F$1),"")</f>
        <v/>
      </c>
      <c r="E660">
        <f>IFERROR(INDEX(PP_Grid[#Data],$DE660,2),0)</f>
        <v/>
      </c>
      <c r="F660">
        <f>IFERROR(INDEX(PP_Grid[#Data],$DE660,3),0)</f>
        <v/>
      </c>
      <c r="G660">
        <f>IFERROR(INDEX(PP_Grid[#Data],$DE660,4),0)</f>
        <v/>
      </c>
      <c r="H660">
        <f>IFERROR(INDEX(PP_Grid[#Data],$DE660,5),0)</f>
        <v/>
      </c>
      <c r="I660">
        <f>IFERROR(INDEX(PP_Grid[#Data],$DE660,6),0)</f>
        <v/>
      </c>
      <c r="J660">
        <f>IFERROR(INDEX(PP_Grid[#Data],$DE660,7),0)</f>
        <v/>
      </c>
      <c r="K660">
        <f>IFERROR(INDEX(PP_Grid[#Data],$DE660,8),0)</f>
        <v/>
      </c>
      <c r="L660">
        <f>IFERROR(INDEX(PP_Grid[#Data],$DE660,9),0)</f>
        <v/>
      </c>
      <c r="M660">
        <f>IFERROR(INDEX(PP_Grid[#Data],$DE660,10),0)</f>
        <v/>
      </c>
      <c r="N660">
        <f>IFERROR(INDEX(PP_Grid[#Data],$DE660,11),0)</f>
        <v/>
      </c>
      <c r="O660">
        <f>IFERROR(INDEX(PP_Grid[#Data],$DE660,12),0)</f>
        <v/>
      </c>
      <c r="P660">
        <f>IFERROR(INDEX(PP_Grid[#Data],$DE660,13),0)</f>
        <v/>
      </c>
      <c r="Q660">
        <f>IFERROR(INDEX(PP_Grid[#Data],$DE660,14),0)</f>
        <v/>
      </c>
      <c r="R660">
        <f>IFERROR(INDEX(PP_Grid[#Data],$DE660,15),0)</f>
        <v/>
      </c>
      <c r="S660">
        <f>IFERROR(INDEX(PP_Grid[#Data],$DE660,16),0)</f>
        <v/>
      </c>
      <c r="T660">
        <f>IFERROR(INDEX(PP_Grid[#Data],$DE660,17),0)</f>
        <v/>
      </c>
      <c r="U660">
        <f>IFERROR(INDEX(PP_Grid[#Data],$DE660,18),0)</f>
        <v/>
      </c>
      <c r="V660">
        <f>IFERROR(INDEX(PP_Grid[#Data],$DE660,19),0)</f>
        <v/>
      </c>
      <c r="W660">
        <f>IFERROR(INDEX(PP_Grid[#Data],$DE660,20),0)</f>
        <v/>
      </c>
      <c r="X660">
        <f>IFERROR(INDEX(PP_Grid[#Data],$DE660,21),0)</f>
        <v/>
      </c>
      <c r="Y660">
        <f>IFERROR(INDEX(PP_Grid[#Data],$DE660,22),0)</f>
        <v/>
      </c>
      <c r="Z660">
        <f>IFERROR(INDEX(PP_Grid[#Data],$DE660,23),0)</f>
        <v/>
      </c>
      <c r="AA660">
        <f>IFERROR(INDEX(PP_Grid[#Data],$DE660,24),0)</f>
        <v/>
      </c>
      <c r="AB660">
        <f>IFERROR(INDEX(PP_Grid[#Data],$DE660,25),0)</f>
        <v/>
      </c>
      <c r="AC660">
        <f>IFERROR(INDEX(PP_Grid[#Data],$DE660,26),0)</f>
        <v/>
      </c>
      <c r="AD660">
        <f>IFERROR(INDEX(PP_Grid[#Data],$DE660,27),0)</f>
        <v/>
      </c>
      <c r="AE660">
        <f>IFERROR(INDEX(PP_Grid[#Data],$DE660,28),0)</f>
        <v/>
      </c>
      <c r="AF660">
        <f>IFERROR(INDEX(PP_Grid[#Data],$DE660,29),0)</f>
        <v/>
      </c>
      <c r="AG660">
        <f>IFERROR(INDEX(PP_Grid[#Data],$DE660,30),0)</f>
        <v/>
      </c>
      <c r="AH660">
        <f>IFERROR(INDEX(PP_Grid[#Data],$DE660,31),0)</f>
        <v/>
      </c>
      <c r="AI660">
        <f>IFERROR(INDEX(PP_Grid[#Data],$DE660,32),0)</f>
        <v/>
      </c>
      <c r="AJ660">
        <f>IFERROR(INDEX(PP_Grid[#Data],$DE660,33),0)</f>
        <v/>
      </c>
      <c r="AK660">
        <f>IFERROR(INDEX(PP_Grid[#Data],$DE660,34),0)</f>
        <v/>
      </c>
      <c r="AL660">
        <f>IFERROR(INDEX(PP_Grid[#Data],$DE660,35),0)</f>
        <v/>
      </c>
      <c r="AM660">
        <f>IFERROR(INDEX(PP_Grid[#Data],$DE660,36),0)</f>
        <v/>
      </c>
      <c r="AN660">
        <f>IFERROR(INDEX(PP_Grid[#Data],$DE660,37),0)</f>
        <v/>
      </c>
      <c r="AO660">
        <f>IFERROR(INDEX(PP_Grid[#Data],$DE660,38),0)</f>
        <v/>
      </c>
      <c r="AP660">
        <f>IFERROR(INDEX(PP_Grid[#Data],$DE660,39),0)</f>
        <v/>
      </c>
      <c r="AQ660">
        <f>IFERROR(INDEX(PP_Grid[#Data],$DE660,40),0)</f>
        <v/>
      </c>
      <c r="AR660">
        <f>IFERROR(INDEX(PP_Grid[#Data],$DE660,41),0)</f>
        <v/>
      </c>
      <c r="AS660">
        <f>IFERROR(INDEX(PP_Grid[#Data],$DE660,42),0)</f>
        <v/>
      </c>
      <c r="AT660">
        <f>IFERROR(INDEX(PP_Grid[#Data],$DE660,43),0)</f>
        <v/>
      </c>
      <c r="AU660">
        <f>IFERROR(INDEX(PP_Grid[#Data],$DE660,44),0)</f>
        <v/>
      </c>
      <c r="AV660">
        <f>IFERROR(INDEX(PP_Grid[#Data],$DE660,45),0)</f>
        <v/>
      </c>
      <c r="AW660">
        <f>IFERROR(INDEX(PP_Grid[#Data],$DE660,46),0)</f>
        <v/>
      </c>
      <c r="AX660">
        <f>IFERROR(INDEX(PP_Grid[#Data],$DE660,47),0)</f>
        <v/>
      </c>
      <c r="AY660">
        <f>IFERROR(INDEX(PP_Grid[#Data],$DE660,48),0)</f>
        <v/>
      </c>
      <c r="AZ660">
        <f>IFERROR(INDEX(PP_Grid[#Data],$DE660,49),0)</f>
        <v/>
      </c>
      <c r="BA660">
        <f>IFERROR(INDEX(PP_Grid[#Data],$DE660,50),0)</f>
        <v/>
      </c>
      <c r="BB660">
        <f>IFERROR(INDEX(PP_Grid[#Data],$DE660,51),0)</f>
        <v/>
      </c>
      <c r="BC660">
        <f>IFERROR(INDEX(PP_Grid[#Data],$DE660,52),0)</f>
        <v/>
      </c>
      <c r="BD660">
        <f>IFERROR(INDEX(PP_Grid[#Data],$DE660,53),0)</f>
        <v/>
      </c>
      <c r="BE660">
        <f>IFERROR(INDEX(PP_Grid[#Data],$DE660,54),0)</f>
        <v/>
      </c>
      <c r="BF660">
        <f>IFERROR(INDEX(PP_Grid[#Data],$DE660,55),0)</f>
        <v/>
      </c>
      <c r="BG660">
        <f>IFERROR(INDEX(PP_Grid[#Data],$DE660,56),0)</f>
        <v/>
      </c>
      <c r="BH660">
        <f>IFERROR(INDEX(PP_Grid[#Data],$DE660,57),0)</f>
        <v/>
      </c>
      <c r="BI660">
        <f>IFERROR(INDEX(PP_Grid[#Data],$DE660,58),0)</f>
        <v/>
      </c>
      <c r="BJ660">
        <f>IFERROR(INDEX(PP_Grid[#Data],$DE660,59),0)</f>
        <v/>
      </c>
      <c r="BK660">
        <f>IFERROR(INDEX(PP_Grid[#Data],$DE660,60),0)</f>
        <v/>
      </c>
      <c r="BL660">
        <f>IFERROR(INDEX(PP_Grid[#Data],$DE660,61),0)</f>
        <v/>
      </c>
      <c r="BM660">
        <f>IFERROR(INDEX(PP_Grid[#Data],$DE660,62),0)</f>
        <v/>
      </c>
      <c r="BN660">
        <f>IFERROR(INDEX(PP_Grid[#Data],$DE660,63),0)</f>
        <v/>
      </c>
      <c r="BO660">
        <f>IFERROR(INDEX(PP_Grid[#Data],$DE660,64),0)</f>
        <v/>
      </c>
      <c r="BP660">
        <f>IFERROR(INDEX(PP_Grid[#Data],$DE660,65),0)</f>
        <v/>
      </c>
      <c r="BQ660">
        <f>IFERROR(INDEX(PP_Grid[#Data],$DE660,66),0)</f>
        <v/>
      </c>
      <c r="BR660">
        <f>IFERROR(INDEX(PP_Grid[#Data],$DE660,67),0)</f>
        <v/>
      </c>
      <c r="BS660">
        <f>IFERROR(INDEX(PP_Grid[#Data],$DE660,68),0)</f>
        <v/>
      </c>
      <c r="BT660">
        <f>IFERROR(INDEX(PP_Grid[#Data],$DE660,69),0)</f>
        <v/>
      </c>
      <c r="BU660">
        <f>IFERROR(INDEX(PP_Grid[#Data],$DE660,70),0)</f>
        <v/>
      </c>
      <c r="BV660">
        <f>IFERROR(INDEX(PP_Grid[#Data],$DE660,71),0)</f>
        <v/>
      </c>
      <c r="BW660">
        <f>IFERROR(INDEX(PP_Grid[#Data],$DE660,72),0)</f>
        <v/>
      </c>
      <c r="BX660">
        <f>IFERROR(INDEX(PP_Grid[#Data],$DE660,73),0)</f>
        <v/>
      </c>
      <c r="BY660">
        <f>IFERROR(INDEX(PP_Grid[#Data],$DE660,74),0)</f>
        <v/>
      </c>
      <c r="BZ660">
        <f>IFERROR(INDEX(PP_Grid[#Data],$DE660,75),0)</f>
        <v/>
      </c>
      <c r="CA660">
        <f>IFERROR(INDEX(PP_Grid[#Data],$DE660,76),0)</f>
        <v/>
      </c>
      <c r="CB660">
        <f>IFERROR(INDEX(PP_Grid[#Data],$DE660,77),0)</f>
        <v/>
      </c>
      <c r="CC660">
        <f>IFERROR(INDEX(PP_Grid[#Data],$DE660,78),0)</f>
        <v/>
      </c>
      <c r="CD660">
        <f>IFERROR(INDEX(PP_Grid[#Data],$DE660,79),0)</f>
        <v/>
      </c>
      <c r="CE660">
        <f>IFERROR(INDEX(PP_Grid[#Data],$DE660,80),0)</f>
        <v/>
      </c>
      <c r="CF660">
        <f>IFERROR(INDEX(PP_Grid[#Data],$DE660,81),0)</f>
        <v/>
      </c>
      <c r="CG660">
        <f>IFERROR(INDEX(PP_Grid[#Data],$DE660,82),0)</f>
        <v/>
      </c>
      <c r="CH660">
        <f>IFERROR(INDEX(PP_Grid[#Data],$DE660,83),0)</f>
        <v/>
      </c>
      <c r="CI660">
        <f>IFERROR(INDEX(PP_Grid[#Data],$DE660,84),0)</f>
        <v/>
      </c>
      <c r="CJ660">
        <f>IFERROR(INDEX(PP_Grid[#Data],$DE660,85),0)</f>
        <v/>
      </c>
      <c r="CK660">
        <f>IFERROR(INDEX(PP_Grid[#Data],$DE660,86),0)</f>
        <v/>
      </c>
      <c r="CL660">
        <f>IFERROR(INDEX(PP_Grid[#Data],$DE660,87),0)</f>
        <v/>
      </c>
      <c r="CM660">
        <f>IFERROR(INDEX(PP_Grid[#Data],$DE660,88),0)</f>
        <v/>
      </c>
      <c r="CN660">
        <f>IFERROR(INDEX(PP_Grid[#Data],$DE660,89),0)</f>
        <v/>
      </c>
      <c r="CO660">
        <f>IFERROR(INDEX(PP_Grid[#Data],$DE660,90),0)</f>
        <v/>
      </c>
      <c r="CP660">
        <f>IFERROR(INDEX(PP_Grid[#Data],$DE660,91),0)</f>
        <v/>
      </c>
      <c r="CQ660">
        <f>IFERROR(INDEX(PP_Grid[#Data],$DE660,92),0)</f>
        <v/>
      </c>
      <c r="CR660">
        <f>IFERROR(INDEX(PP_Grid[#Data],$DE660,93),0)</f>
        <v/>
      </c>
      <c r="CS660">
        <f>IFERROR(INDEX(PP_Grid[#Data],$DE660,94),0)</f>
        <v/>
      </c>
      <c r="CT660">
        <f>IFERROR(INDEX(PP_Grid[#Data],$DE660,95),0)</f>
        <v/>
      </c>
      <c r="CU660">
        <f>IFERROR(INDEX(PP_Grid[#Data],$DE660,96),0)</f>
        <v/>
      </c>
      <c r="CV660">
        <f>IFERROR(INDEX(PP_Grid[#Data],$DE660,97),0)</f>
        <v/>
      </c>
      <c r="CW660">
        <f>IFERROR(INDEX(PP_Grid[#Data],$DE660,98),0)</f>
        <v/>
      </c>
      <c r="CX660">
        <f>IFERROR(INDEX(PP_Grid[#Data],$DE660,99),0)</f>
        <v/>
      </c>
      <c r="CY660">
        <f>IFERROR(INDEX(PP_Grid[#Data],$DE660,100),0)</f>
        <v/>
      </c>
      <c r="CZ660">
        <f>IFERROR(INDEX(PP_Grid[#Data],$DE660,101),0)</f>
        <v/>
      </c>
      <c r="DA660">
        <f>IFERROR(INDEX(PP_Grid[#Data],$DE660,102),0)</f>
        <v/>
      </c>
      <c r="DB660">
        <f>IFERROR(INDEX(PP_Grid[#Data],$DE660,103),0)</f>
        <v/>
      </c>
      <c r="DC660">
        <f>IFERROR(INDEX(PP_Grid[#Data],$DE660,104),0)</f>
        <v/>
      </c>
      <c r="DD660">
        <f>IFERROR(INDEX(PP_Grid[#Data],$DE660,105),0)</f>
        <v/>
      </c>
      <c r="DE660" s="7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SUMIFS(M_BOM[RM_Qty_Per_Batch],M_BOM[Intermediate],$B660,M_BOM[RM_Code],$A615)</f>
        <v/>
      </c>
      <c r="D661">
        <f>IFERROR(INDEX(E661:DD661,$F$1),"")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  <c r="DD661">
        <f>$C661*DD660</f>
        <v/>
      </c>
    </row>
    <row r="662">
      <c r="B662" t="inlineStr">
        <is>
          <t>TSP-710</t>
        </is>
      </c>
      <c r="C662" t="inlineStr">
        <is>
          <t>No. of batches</t>
        </is>
      </c>
      <c r="D662">
        <f>IFERROR(INDEX(E662:DD662,$F$1),"")</f>
        <v/>
      </c>
      <c r="E662">
        <f>IFERROR(INDEX(PP_Grid[#Data],$DE662,2),0)</f>
        <v/>
      </c>
      <c r="F662">
        <f>IFERROR(INDEX(PP_Grid[#Data],$DE662,3),0)</f>
        <v/>
      </c>
      <c r="G662">
        <f>IFERROR(INDEX(PP_Grid[#Data],$DE662,4),0)</f>
        <v/>
      </c>
      <c r="H662">
        <f>IFERROR(INDEX(PP_Grid[#Data],$DE662,5),0)</f>
        <v/>
      </c>
      <c r="I662">
        <f>IFERROR(INDEX(PP_Grid[#Data],$DE662,6),0)</f>
        <v/>
      </c>
      <c r="J662">
        <f>IFERROR(INDEX(PP_Grid[#Data],$DE662,7),0)</f>
        <v/>
      </c>
      <c r="K662">
        <f>IFERROR(INDEX(PP_Grid[#Data],$DE662,8),0)</f>
        <v/>
      </c>
      <c r="L662">
        <f>IFERROR(INDEX(PP_Grid[#Data],$DE662,9),0)</f>
        <v/>
      </c>
      <c r="M662">
        <f>IFERROR(INDEX(PP_Grid[#Data],$DE662,10),0)</f>
        <v/>
      </c>
      <c r="N662">
        <f>IFERROR(INDEX(PP_Grid[#Data],$DE662,11),0)</f>
        <v/>
      </c>
      <c r="O662">
        <f>IFERROR(INDEX(PP_Grid[#Data],$DE662,12),0)</f>
        <v/>
      </c>
      <c r="P662">
        <f>IFERROR(INDEX(PP_Grid[#Data],$DE662,13),0)</f>
        <v/>
      </c>
      <c r="Q662">
        <f>IFERROR(INDEX(PP_Grid[#Data],$DE662,14),0)</f>
        <v/>
      </c>
      <c r="R662">
        <f>IFERROR(INDEX(PP_Grid[#Data],$DE662,15),0)</f>
        <v/>
      </c>
      <c r="S662">
        <f>IFERROR(INDEX(PP_Grid[#Data],$DE662,16),0)</f>
        <v/>
      </c>
      <c r="T662">
        <f>IFERROR(INDEX(PP_Grid[#Data],$DE662,17),0)</f>
        <v/>
      </c>
      <c r="U662">
        <f>IFERROR(INDEX(PP_Grid[#Data],$DE662,18),0)</f>
        <v/>
      </c>
      <c r="V662">
        <f>IFERROR(INDEX(PP_Grid[#Data],$DE662,19),0)</f>
        <v/>
      </c>
      <c r="W662">
        <f>IFERROR(INDEX(PP_Grid[#Data],$DE662,20),0)</f>
        <v/>
      </c>
      <c r="X662">
        <f>IFERROR(INDEX(PP_Grid[#Data],$DE662,21),0)</f>
        <v/>
      </c>
      <c r="Y662">
        <f>IFERROR(INDEX(PP_Grid[#Data],$DE662,22),0)</f>
        <v/>
      </c>
      <c r="Z662">
        <f>IFERROR(INDEX(PP_Grid[#Data],$DE662,23),0)</f>
        <v/>
      </c>
      <c r="AA662">
        <f>IFERROR(INDEX(PP_Grid[#Data],$DE662,24),0)</f>
        <v/>
      </c>
      <c r="AB662">
        <f>IFERROR(INDEX(PP_Grid[#Data],$DE662,25),0)</f>
        <v/>
      </c>
      <c r="AC662">
        <f>IFERROR(INDEX(PP_Grid[#Data],$DE662,26),0)</f>
        <v/>
      </c>
      <c r="AD662">
        <f>IFERROR(INDEX(PP_Grid[#Data],$DE662,27),0)</f>
        <v/>
      </c>
      <c r="AE662">
        <f>IFERROR(INDEX(PP_Grid[#Data],$DE662,28),0)</f>
        <v/>
      </c>
      <c r="AF662">
        <f>IFERROR(INDEX(PP_Grid[#Data],$DE662,29),0)</f>
        <v/>
      </c>
      <c r="AG662">
        <f>IFERROR(INDEX(PP_Grid[#Data],$DE662,30),0)</f>
        <v/>
      </c>
      <c r="AH662">
        <f>IFERROR(INDEX(PP_Grid[#Data],$DE662,31),0)</f>
        <v/>
      </c>
      <c r="AI662">
        <f>IFERROR(INDEX(PP_Grid[#Data],$DE662,32),0)</f>
        <v/>
      </c>
      <c r="AJ662">
        <f>IFERROR(INDEX(PP_Grid[#Data],$DE662,33),0)</f>
        <v/>
      </c>
      <c r="AK662">
        <f>IFERROR(INDEX(PP_Grid[#Data],$DE662,34),0)</f>
        <v/>
      </c>
      <c r="AL662">
        <f>IFERROR(INDEX(PP_Grid[#Data],$DE662,35),0)</f>
        <v/>
      </c>
      <c r="AM662">
        <f>IFERROR(INDEX(PP_Grid[#Data],$DE662,36),0)</f>
        <v/>
      </c>
      <c r="AN662">
        <f>IFERROR(INDEX(PP_Grid[#Data],$DE662,37),0)</f>
        <v/>
      </c>
      <c r="AO662">
        <f>IFERROR(INDEX(PP_Grid[#Data],$DE662,38),0)</f>
        <v/>
      </c>
      <c r="AP662">
        <f>IFERROR(INDEX(PP_Grid[#Data],$DE662,39),0)</f>
        <v/>
      </c>
      <c r="AQ662">
        <f>IFERROR(INDEX(PP_Grid[#Data],$DE662,40),0)</f>
        <v/>
      </c>
      <c r="AR662">
        <f>IFERROR(INDEX(PP_Grid[#Data],$DE662,41),0)</f>
        <v/>
      </c>
      <c r="AS662">
        <f>IFERROR(INDEX(PP_Grid[#Data],$DE662,42),0)</f>
        <v/>
      </c>
      <c r="AT662">
        <f>IFERROR(INDEX(PP_Grid[#Data],$DE662,43),0)</f>
        <v/>
      </c>
      <c r="AU662">
        <f>IFERROR(INDEX(PP_Grid[#Data],$DE662,44),0)</f>
        <v/>
      </c>
      <c r="AV662">
        <f>IFERROR(INDEX(PP_Grid[#Data],$DE662,45),0)</f>
        <v/>
      </c>
      <c r="AW662">
        <f>IFERROR(INDEX(PP_Grid[#Data],$DE662,46),0)</f>
        <v/>
      </c>
      <c r="AX662">
        <f>IFERROR(INDEX(PP_Grid[#Data],$DE662,47),0)</f>
        <v/>
      </c>
      <c r="AY662">
        <f>IFERROR(INDEX(PP_Grid[#Data],$DE662,48),0)</f>
        <v/>
      </c>
      <c r="AZ662">
        <f>IFERROR(INDEX(PP_Grid[#Data],$DE662,49),0)</f>
        <v/>
      </c>
      <c r="BA662">
        <f>IFERROR(INDEX(PP_Grid[#Data],$DE662,50),0)</f>
        <v/>
      </c>
      <c r="BB662">
        <f>IFERROR(INDEX(PP_Grid[#Data],$DE662,51),0)</f>
        <v/>
      </c>
      <c r="BC662">
        <f>IFERROR(INDEX(PP_Grid[#Data],$DE662,52),0)</f>
        <v/>
      </c>
      <c r="BD662">
        <f>IFERROR(INDEX(PP_Grid[#Data],$DE662,53),0)</f>
        <v/>
      </c>
      <c r="BE662">
        <f>IFERROR(INDEX(PP_Grid[#Data],$DE662,54),0)</f>
        <v/>
      </c>
      <c r="BF662">
        <f>IFERROR(INDEX(PP_Grid[#Data],$DE662,55),0)</f>
        <v/>
      </c>
      <c r="BG662">
        <f>IFERROR(INDEX(PP_Grid[#Data],$DE662,56),0)</f>
        <v/>
      </c>
      <c r="BH662">
        <f>IFERROR(INDEX(PP_Grid[#Data],$DE662,57),0)</f>
        <v/>
      </c>
      <c r="BI662">
        <f>IFERROR(INDEX(PP_Grid[#Data],$DE662,58),0)</f>
        <v/>
      </c>
      <c r="BJ662">
        <f>IFERROR(INDEX(PP_Grid[#Data],$DE662,59),0)</f>
        <v/>
      </c>
      <c r="BK662">
        <f>IFERROR(INDEX(PP_Grid[#Data],$DE662,60),0)</f>
        <v/>
      </c>
      <c r="BL662">
        <f>IFERROR(INDEX(PP_Grid[#Data],$DE662,61),0)</f>
        <v/>
      </c>
      <c r="BM662">
        <f>IFERROR(INDEX(PP_Grid[#Data],$DE662,62),0)</f>
        <v/>
      </c>
      <c r="BN662">
        <f>IFERROR(INDEX(PP_Grid[#Data],$DE662,63),0)</f>
        <v/>
      </c>
      <c r="BO662">
        <f>IFERROR(INDEX(PP_Grid[#Data],$DE662,64),0)</f>
        <v/>
      </c>
      <c r="BP662">
        <f>IFERROR(INDEX(PP_Grid[#Data],$DE662,65),0)</f>
        <v/>
      </c>
      <c r="BQ662">
        <f>IFERROR(INDEX(PP_Grid[#Data],$DE662,66),0)</f>
        <v/>
      </c>
      <c r="BR662">
        <f>IFERROR(INDEX(PP_Grid[#Data],$DE662,67),0)</f>
        <v/>
      </c>
      <c r="BS662">
        <f>IFERROR(INDEX(PP_Grid[#Data],$DE662,68),0)</f>
        <v/>
      </c>
      <c r="BT662">
        <f>IFERROR(INDEX(PP_Grid[#Data],$DE662,69),0)</f>
        <v/>
      </c>
      <c r="BU662">
        <f>IFERROR(INDEX(PP_Grid[#Data],$DE662,70),0)</f>
        <v/>
      </c>
      <c r="BV662">
        <f>IFERROR(INDEX(PP_Grid[#Data],$DE662,71),0)</f>
        <v/>
      </c>
      <c r="BW662">
        <f>IFERROR(INDEX(PP_Grid[#Data],$DE662,72),0)</f>
        <v/>
      </c>
      <c r="BX662">
        <f>IFERROR(INDEX(PP_Grid[#Data],$DE662,73),0)</f>
        <v/>
      </c>
      <c r="BY662">
        <f>IFERROR(INDEX(PP_Grid[#Data],$DE662,74),0)</f>
        <v/>
      </c>
      <c r="BZ662">
        <f>IFERROR(INDEX(PP_Grid[#Data],$DE662,75),0)</f>
        <v/>
      </c>
      <c r="CA662">
        <f>IFERROR(INDEX(PP_Grid[#Data],$DE662,76),0)</f>
        <v/>
      </c>
      <c r="CB662">
        <f>IFERROR(INDEX(PP_Grid[#Data],$DE662,77),0)</f>
        <v/>
      </c>
      <c r="CC662">
        <f>IFERROR(INDEX(PP_Grid[#Data],$DE662,78),0)</f>
        <v/>
      </c>
      <c r="CD662">
        <f>IFERROR(INDEX(PP_Grid[#Data],$DE662,79),0)</f>
        <v/>
      </c>
      <c r="CE662">
        <f>IFERROR(INDEX(PP_Grid[#Data],$DE662,80),0)</f>
        <v/>
      </c>
      <c r="CF662">
        <f>IFERROR(INDEX(PP_Grid[#Data],$DE662,81),0)</f>
        <v/>
      </c>
      <c r="CG662">
        <f>IFERROR(INDEX(PP_Grid[#Data],$DE662,82),0)</f>
        <v/>
      </c>
      <c r="CH662">
        <f>IFERROR(INDEX(PP_Grid[#Data],$DE662,83),0)</f>
        <v/>
      </c>
      <c r="CI662">
        <f>IFERROR(INDEX(PP_Grid[#Data],$DE662,84),0)</f>
        <v/>
      </c>
      <c r="CJ662">
        <f>IFERROR(INDEX(PP_Grid[#Data],$DE662,85),0)</f>
        <v/>
      </c>
      <c r="CK662">
        <f>IFERROR(INDEX(PP_Grid[#Data],$DE662,86),0)</f>
        <v/>
      </c>
      <c r="CL662">
        <f>IFERROR(INDEX(PP_Grid[#Data],$DE662,87),0)</f>
        <v/>
      </c>
      <c r="CM662">
        <f>IFERROR(INDEX(PP_Grid[#Data],$DE662,88),0)</f>
        <v/>
      </c>
      <c r="CN662">
        <f>IFERROR(INDEX(PP_Grid[#Data],$DE662,89),0)</f>
        <v/>
      </c>
      <c r="CO662">
        <f>IFERROR(INDEX(PP_Grid[#Data],$DE662,90),0)</f>
        <v/>
      </c>
      <c r="CP662">
        <f>IFERROR(INDEX(PP_Grid[#Data],$DE662,91),0)</f>
        <v/>
      </c>
      <c r="CQ662">
        <f>IFERROR(INDEX(PP_Grid[#Data],$DE662,92),0)</f>
        <v/>
      </c>
      <c r="CR662">
        <f>IFERROR(INDEX(PP_Grid[#Data],$DE662,93),0)</f>
        <v/>
      </c>
      <c r="CS662">
        <f>IFERROR(INDEX(PP_Grid[#Data],$DE662,94),0)</f>
        <v/>
      </c>
      <c r="CT662">
        <f>IFERROR(INDEX(PP_Grid[#Data],$DE662,95),0)</f>
        <v/>
      </c>
      <c r="CU662">
        <f>IFERROR(INDEX(PP_Grid[#Data],$DE662,96),0)</f>
        <v/>
      </c>
      <c r="CV662">
        <f>IFERROR(INDEX(PP_Grid[#Data],$DE662,97),0)</f>
        <v/>
      </c>
      <c r="CW662">
        <f>IFERROR(INDEX(PP_Grid[#Data],$DE662,98),0)</f>
        <v/>
      </c>
      <c r="CX662">
        <f>IFERROR(INDEX(PP_Grid[#Data],$DE662,99),0)</f>
        <v/>
      </c>
      <c r="CY662">
        <f>IFERROR(INDEX(PP_Grid[#Data],$DE662,100),0)</f>
        <v/>
      </c>
      <c r="CZ662">
        <f>IFERROR(INDEX(PP_Grid[#Data],$DE662,101),0)</f>
        <v/>
      </c>
      <c r="DA662">
        <f>IFERROR(INDEX(PP_Grid[#Data],$DE662,102),0)</f>
        <v/>
      </c>
      <c r="DB662">
        <f>IFERROR(INDEX(PP_Grid[#Data],$DE662,103),0)</f>
        <v/>
      </c>
      <c r="DC662">
        <f>IFERROR(INDEX(PP_Grid[#Data],$DE662,104),0)</f>
        <v/>
      </c>
      <c r="DD662">
        <f>IFERROR(INDEX(PP_Grid[#Data],$DE662,105),0)</f>
        <v/>
      </c>
      <c r="DE662" s="7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SUMIFS(M_BOM[RM_Qty_Per_Batch],M_BOM[Intermediate],$B662,M_BOM[RM_Code],$A615)</f>
        <v/>
      </c>
      <c r="D663">
        <f>IFERROR(INDEX(E663:DD663,$F$1),"")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  <c r="DD663">
        <f>$C663*DD662</f>
        <v/>
      </c>
    </row>
    <row r="664">
      <c r="B664" t="inlineStr">
        <is>
          <t>TSP-828</t>
        </is>
      </c>
      <c r="C664" t="inlineStr">
        <is>
          <t>No. of batches</t>
        </is>
      </c>
      <c r="D664">
        <f>IFERROR(INDEX(E664:DD664,$F$1),"")</f>
        <v/>
      </c>
      <c r="E664">
        <f>IFERROR(INDEX(PP_Grid[#Data],$DE664,2),0)</f>
        <v/>
      </c>
      <c r="F664">
        <f>IFERROR(INDEX(PP_Grid[#Data],$DE664,3),0)</f>
        <v/>
      </c>
      <c r="G664">
        <f>IFERROR(INDEX(PP_Grid[#Data],$DE664,4),0)</f>
        <v/>
      </c>
      <c r="H664">
        <f>IFERROR(INDEX(PP_Grid[#Data],$DE664,5),0)</f>
        <v/>
      </c>
      <c r="I664">
        <f>IFERROR(INDEX(PP_Grid[#Data],$DE664,6),0)</f>
        <v/>
      </c>
      <c r="J664">
        <f>IFERROR(INDEX(PP_Grid[#Data],$DE664,7),0)</f>
        <v/>
      </c>
      <c r="K664">
        <f>IFERROR(INDEX(PP_Grid[#Data],$DE664,8),0)</f>
        <v/>
      </c>
      <c r="L664">
        <f>IFERROR(INDEX(PP_Grid[#Data],$DE664,9),0)</f>
        <v/>
      </c>
      <c r="M664">
        <f>IFERROR(INDEX(PP_Grid[#Data],$DE664,10),0)</f>
        <v/>
      </c>
      <c r="N664">
        <f>IFERROR(INDEX(PP_Grid[#Data],$DE664,11),0)</f>
        <v/>
      </c>
      <c r="O664">
        <f>IFERROR(INDEX(PP_Grid[#Data],$DE664,12),0)</f>
        <v/>
      </c>
      <c r="P664">
        <f>IFERROR(INDEX(PP_Grid[#Data],$DE664,13),0)</f>
        <v/>
      </c>
      <c r="Q664">
        <f>IFERROR(INDEX(PP_Grid[#Data],$DE664,14),0)</f>
        <v/>
      </c>
      <c r="R664">
        <f>IFERROR(INDEX(PP_Grid[#Data],$DE664,15),0)</f>
        <v/>
      </c>
      <c r="S664">
        <f>IFERROR(INDEX(PP_Grid[#Data],$DE664,16),0)</f>
        <v/>
      </c>
      <c r="T664">
        <f>IFERROR(INDEX(PP_Grid[#Data],$DE664,17),0)</f>
        <v/>
      </c>
      <c r="U664">
        <f>IFERROR(INDEX(PP_Grid[#Data],$DE664,18),0)</f>
        <v/>
      </c>
      <c r="V664">
        <f>IFERROR(INDEX(PP_Grid[#Data],$DE664,19),0)</f>
        <v/>
      </c>
      <c r="W664">
        <f>IFERROR(INDEX(PP_Grid[#Data],$DE664,20),0)</f>
        <v/>
      </c>
      <c r="X664">
        <f>IFERROR(INDEX(PP_Grid[#Data],$DE664,21),0)</f>
        <v/>
      </c>
      <c r="Y664">
        <f>IFERROR(INDEX(PP_Grid[#Data],$DE664,22),0)</f>
        <v/>
      </c>
      <c r="Z664">
        <f>IFERROR(INDEX(PP_Grid[#Data],$DE664,23),0)</f>
        <v/>
      </c>
      <c r="AA664">
        <f>IFERROR(INDEX(PP_Grid[#Data],$DE664,24),0)</f>
        <v/>
      </c>
      <c r="AB664">
        <f>IFERROR(INDEX(PP_Grid[#Data],$DE664,25),0)</f>
        <v/>
      </c>
      <c r="AC664">
        <f>IFERROR(INDEX(PP_Grid[#Data],$DE664,26),0)</f>
        <v/>
      </c>
      <c r="AD664">
        <f>IFERROR(INDEX(PP_Grid[#Data],$DE664,27),0)</f>
        <v/>
      </c>
      <c r="AE664">
        <f>IFERROR(INDEX(PP_Grid[#Data],$DE664,28),0)</f>
        <v/>
      </c>
      <c r="AF664">
        <f>IFERROR(INDEX(PP_Grid[#Data],$DE664,29),0)</f>
        <v/>
      </c>
      <c r="AG664">
        <f>IFERROR(INDEX(PP_Grid[#Data],$DE664,30),0)</f>
        <v/>
      </c>
      <c r="AH664">
        <f>IFERROR(INDEX(PP_Grid[#Data],$DE664,31),0)</f>
        <v/>
      </c>
      <c r="AI664">
        <f>IFERROR(INDEX(PP_Grid[#Data],$DE664,32),0)</f>
        <v/>
      </c>
      <c r="AJ664">
        <f>IFERROR(INDEX(PP_Grid[#Data],$DE664,33),0)</f>
        <v/>
      </c>
      <c r="AK664">
        <f>IFERROR(INDEX(PP_Grid[#Data],$DE664,34),0)</f>
        <v/>
      </c>
      <c r="AL664">
        <f>IFERROR(INDEX(PP_Grid[#Data],$DE664,35),0)</f>
        <v/>
      </c>
      <c r="AM664">
        <f>IFERROR(INDEX(PP_Grid[#Data],$DE664,36),0)</f>
        <v/>
      </c>
      <c r="AN664">
        <f>IFERROR(INDEX(PP_Grid[#Data],$DE664,37),0)</f>
        <v/>
      </c>
      <c r="AO664">
        <f>IFERROR(INDEX(PP_Grid[#Data],$DE664,38),0)</f>
        <v/>
      </c>
      <c r="AP664">
        <f>IFERROR(INDEX(PP_Grid[#Data],$DE664,39),0)</f>
        <v/>
      </c>
      <c r="AQ664">
        <f>IFERROR(INDEX(PP_Grid[#Data],$DE664,40),0)</f>
        <v/>
      </c>
      <c r="AR664">
        <f>IFERROR(INDEX(PP_Grid[#Data],$DE664,41),0)</f>
        <v/>
      </c>
      <c r="AS664">
        <f>IFERROR(INDEX(PP_Grid[#Data],$DE664,42),0)</f>
        <v/>
      </c>
      <c r="AT664">
        <f>IFERROR(INDEX(PP_Grid[#Data],$DE664,43),0)</f>
        <v/>
      </c>
      <c r="AU664">
        <f>IFERROR(INDEX(PP_Grid[#Data],$DE664,44),0)</f>
        <v/>
      </c>
      <c r="AV664">
        <f>IFERROR(INDEX(PP_Grid[#Data],$DE664,45),0)</f>
        <v/>
      </c>
      <c r="AW664">
        <f>IFERROR(INDEX(PP_Grid[#Data],$DE664,46),0)</f>
        <v/>
      </c>
      <c r="AX664">
        <f>IFERROR(INDEX(PP_Grid[#Data],$DE664,47),0)</f>
        <v/>
      </c>
      <c r="AY664">
        <f>IFERROR(INDEX(PP_Grid[#Data],$DE664,48),0)</f>
        <v/>
      </c>
      <c r="AZ664">
        <f>IFERROR(INDEX(PP_Grid[#Data],$DE664,49),0)</f>
        <v/>
      </c>
      <c r="BA664">
        <f>IFERROR(INDEX(PP_Grid[#Data],$DE664,50),0)</f>
        <v/>
      </c>
      <c r="BB664">
        <f>IFERROR(INDEX(PP_Grid[#Data],$DE664,51),0)</f>
        <v/>
      </c>
      <c r="BC664">
        <f>IFERROR(INDEX(PP_Grid[#Data],$DE664,52),0)</f>
        <v/>
      </c>
      <c r="BD664">
        <f>IFERROR(INDEX(PP_Grid[#Data],$DE664,53),0)</f>
        <v/>
      </c>
      <c r="BE664">
        <f>IFERROR(INDEX(PP_Grid[#Data],$DE664,54),0)</f>
        <v/>
      </c>
      <c r="BF664">
        <f>IFERROR(INDEX(PP_Grid[#Data],$DE664,55),0)</f>
        <v/>
      </c>
      <c r="BG664">
        <f>IFERROR(INDEX(PP_Grid[#Data],$DE664,56),0)</f>
        <v/>
      </c>
      <c r="BH664">
        <f>IFERROR(INDEX(PP_Grid[#Data],$DE664,57),0)</f>
        <v/>
      </c>
      <c r="BI664">
        <f>IFERROR(INDEX(PP_Grid[#Data],$DE664,58),0)</f>
        <v/>
      </c>
      <c r="BJ664">
        <f>IFERROR(INDEX(PP_Grid[#Data],$DE664,59),0)</f>
        <v/>
      </c>
      <c r="BK664">
        <f>IFERROR(INDEX(PP_Grid[#Data],$DE664,60),0)</f>
        <v/>
      </c>
      <c r="BL664">
        <f>IFERROR(INDEX(PP_Grid[#Data],$DE664,61),0)</f>
        <v/>
      </c>
      <c r="BM664">
        <f>IFERROR(INDEX(PP_Grid[#Data],$DE664,62),0)</f>
        <v/>
      </c>
      <c r="BN664">
        <f>IFERROR(INDEX(PP_Grid[#Data],$DE664,63),0)</f>
        <v/>
      </c>
      <c r="BO664">
        <f>IFERROR(INDEX(PP_Grid[#Data],$DE664,64),0)</f>
        <v/>
      </c>
      <c r="BP664">
        <f>IFERROR(INDEX(PP_Grid[#Data],$DE664,65),0)</f>
        <v/>
      </c>
      <c r="BQ664">
        <f>IFERROR(INDEX(PP_Grid[#Data],$DE664,66),0)</f>
        <v/>
      </c>
      <c r="BR664">
        <f>IFERROR(INDEX(PP_Grid[#Data],$DE664,67),0)</f>
        <v/>
      </c>
      <c r="BS664">
        <f>IFERROR(INDEX(PP_Grid[#Data],$DE664,68),0)</f>
        <v/>
      </c>
      <c r="BT664">
        <f>IFERROR(INDEX(PP_Grid[#Data],$DE664,69),0)</f>
        <v/>
      </c>
      <c r="BU664">
        <f>IFERROR(INDEX(PP_Grid[#Data],$DE664,70),0)</f>
        <v/>
      </c>
      <c r="BV664">
        <f>IFERROR(INDEX(PP_Grid[#Data],$DE664,71),0)</f>
        <v/>
      </c>
      <c r="BW664">
        <f>IFERROR(INDEX(PP_Grid[#Data],$DE664,72),0)</f>
        <v/>
      </c>
      <c r="BX664">
        <f>IFERROR(INDEX(PP_Grid[#Data],$DE664,73),0)</f>
        <v/>
      </c>
      <c r="BY664">
        <f>IFERROR(INDEX(PP_Grid[#Data],$DE664,74),0)</f>
        <v/>
      </c>
      <c r="BZ664">
        <f>IFERROR(INDEX(PP_Grid[#Data],$DE664,75),0)</f>
        <v/>
      </c>
      <c r="CA664">
        <f>IFERROR(INDEX(PP_Grid[#Data],$DE664,76),0)</f>
        <v/>
      </c>
      <c r="CB664">
        <f>IFERROR(INDEX(PP_Grid[#Data],$DE664,77),0)</f>
        <v/>
      </c>
      <c r="CC664">
        <f>IFERROR(INDEX(PP_Grid[#Data],$DE664,78),0)</f>
        <v/>
      </c>
      <c r="CD664">
        <f>IFERROR(INDEX(PP_Grid[#Data],$DE664,79),0)</f>
        <v/>
      </c>
      <c r="CE664">
        <f>IFERROR(INDEX(PP_Grid[#Data],$DE664,80),0)</f>
        <v/>
      </c>
      <c r="CF664">
        <f>IFERROR(INDEX(PP_Grid[#Data],$DE664,81),0)</f>
        <v/>
      </c>
      <c r="CG664">
        <f>IFERROR(INDEX(PP_Grid[#Data],$DE664,82),0)</f>
        <v/>
      </c>
      <c r="CH664">
        <f>IFERROR(INDEX(PP_Grid[#Data],$DE664,83),0)</f>
        <v/>
      </c>
      <c r="CI664">
        <f>IFERROR(INDEX(PP_Grid[#Data],$DE664,84),0)</f>
        <v/>
      </c>
      <c r="CJ664">
        <f>IFERROR(INDEX(PP_Grid[#Data],$DE664,85),0)</f>
        <v/>
      </c>
      <c r="CK664">
        <f>IFERROR(INDEX(PP_Grid[#Data],$DE664,86),0)</f>
        <v/>
      </c>
      <c r="CL664">
        <f>IFERROR(INDEX(PP_Grid[#Data],$DE664,87),0)</f>
        <v/>
      </c>
      <c r="CM664">
        <f>IFERROR(INDEX(PP_Grid[#Data],$DE664,88),0)</f>
        <v/>
      </c>
      <c r="CN664">
        <f>IFERROR(INDEX(PP_Grid[#Data],$DE664,89),0)</f>
        <v/>
      </c>
      <c r="CO664">
        <f>IFERROR(INDEX(PP_Grid[#Data],$DE664,90),0)</f>
        <v/>
      </c>
      <c r="CP664">
        <f>IFERROR(INDEX(PP_Grid[#Data],$DE664,91),0)</f>
        <v/>
      </c>
      <c r="CQ664">
        <f>IFERROR(INDEX(PP_Grid[#Data],$DE664,92),0)</f>
        <v/>
      </c>
      <c r="CR664">
        <f>IFERROR(INDEX(PP_Grid[#Data],$DE664,93),0)</f>
        <v/>
      </c>
      <c r="CS664">
        <f>IFERROR(INDEX(PP_Grid[#Data],$DE664,94),0)</f>
        <v/>
      </c>
      <c r="CT664">
        <f>IFERROR(INDEX(PP_Grid[#Data],$DE664,95),0)</f>
        <v/>
      </c>
      <c r="CU664">
        <f>IFERROR(INDEX(PP_Grid[#Data],$DE664,96),0)</f>
        <v/>
      </c>
      <c r="CV664">
        <f>IFERROR(INDEX(PP_Grid[#Data],$DE664,97),0)</f>
        <v/>
      </c>
      <c r="CW664">
        <f>IFERROR(INDEX(PP_Grid[#Data],$DE664,98),0)</f>
        <v/>
      </c>
      <c r="CX664">
        <f>IFERROR(INDEX(PP_Grid[#Data],$DE664,99),0)</f>
        <v/>
      </c>
      <c r="CY664">
        <f>IFERROR(INDEX(PP_Grid[#Data],$DE664,100),0)</f>
        <v/>
      </c>
      <c r="CZ664">
        <f>IFERROR(INDEX(PP_Grid[#Data],$DE664,101),0)</f>
        <v/>
      </c>
      <c r="DA664">
        <f>IFERROR(INDEX(PP_Grid[#Data],$DE664,102),0)</f>
        <v/>
      </c>
      <c r="DB664">
        <f>IFERROR(INDEX(PP_Grid[#Data],$DE664,103),0)</f>
        <v/>
      </c>
      <c r="DC664">
        <f>IFERROR(INDEX(PP_Grid[#Data],$DE664,104),0)</f>
        <v/>
      </c>
      <c r="DD664">
        <f>IFERROR(INDEX(PP_Grid[#Data],$DE664,105),0)</f>
        <v/>
      </c>
      <c r="DE664" s="7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SUMIFS(M_BOM[RM_Qty_Per_Batch],M_BOM[Intermediate],$B664,M_BOM[RM_Code],$A615)</f>
        <v/>
      </c>
      <c r="D665">
        <f>IFERROR(INDEX(E665:DD665,$F$1),"")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  <c r="DD665">
        <f>$C665*DD664</f>
        <v/>
      </c>
    </row>
    <row r="666">
      <c r="B666" t="inlineStr">
        <is>
          <t>TSP-903</t>
        </is>
      </c>
      <c r="C666" t="inlineStr">
        <is>
          <t>No. of batches</t>
        </is>
      </c>
      <c r="D666">
        <f>IFERROR(INDEX(E666:DD666,$F$1),"")</f>
        <v/>
      </c>
      <c r="E666">
        <f>IFERROR(INDEX(PP_Grid[#Data],$DE666,2),0)</f>
        <v/>
      </c>
      <c r="F666">
        <f>IFERROR(INDEX(PP_Grid[#Data],$DE666,3),0)</f>
        <v/>
      </c>
      <c r="G666">
        <f>IFERROR(INDEX(PP_Grid[#Data],$DE666,4),0)</f>
        <v/>
      </c>
      <c r="H666">
        <f>IFERROR(INDEX(PP_Grid[#Data],$DE666,5),0)</f>
        <v/>
      </c>
      <c r="I666">
        <f>IFERROR(INDEX(PP_Grid[#Data],$DE666,6),0)</f>
        <v/>
      </c>
      <c r="J666">
        <f>IFERROR(INDEX(PP_Grid[#Data],$DE666,7),0)</f>
        <v/>
      </c>
      <c r="K666">
        <f>IFERROR(INDEX(PP_Grid[#Data],$DE666,8),0)</f>
        <v/>
      </c>
      <c r="L666">
        <f>IFERROR(INDEX(PP_Grid[#Data],$DE666,9),0)</f>
        <v/>
      </c>
      <c r="M666">
        <f>IFERROR(INDEX(PP_Grid[#Data],$DE666,10),0)</f>
        <v/>
      </c>
      <c r="N666">
        <f>IFERROR(INDEX(PP_Grid[#Data],$DE666,11),0)</f>
        <v/>
      </c>
      <c r="O666">
        <f>IFERROR(INDEX(PP_Grid[#Data],$DE666,12),0)</f>
        <v/>
      </c>
      <c r="P666">
        <f>IFERROR(INDEX(PP_Grid[#Data],$DE666,13),0)</f>
        <v/>
      </c>
      <c r="Q666">
        <f>IFERROR(INDEX(PP_Grid[#Data],$DE666,14),0)</f>
        <v/>
      </c>
      <c r="R666">
        <f>IFERROR(INDEX(PP_Grid[#Data],$DE666,15),0)</f>
        <v/>
      </c>
      <c r="S666">
        <f>IFERROR(INDEX(PP_Grid[#Data],$DE666,16),0)</f>
        <v/>
      </c>
      <c r="T666">
        <f>IFERROR(INDEX(PP_Grid[#Data],$DE666,17),0)</f>
        <v/>
      </c>
      <c r="U666">
        <f>IFERROR(INDEX(PP_Grid[#Data],$DE666,18),0)</f>
        <v/>
      </c>
      <c r="V666">
        <f>IFERROR(INDEX(PP_Grid[#Data],$DE666,19),0)</f>
        <v/>
      </c>
      <c r="W666">
        <f>IFERROR(INDEX(PP_Grid[#Data],$DE666,20),0)</f>
        <v/>
      </c>
      <c r="X666">
        <f>IFERROR(INDEX(PP_Grid[#Data],$DE666,21),0)</f>
        <v/>
      </c>
      <c r="Y666">
        <f>IFERROR(INDEX(PP_Grid[#Data],$DE666,22),0)</f>
        <v/>
      </c>
      <c r="Z666">
        <f>IFERROR(INDEX(PP_Grid[#Data],$DE666,23),0)</f>
        <v/>
      </c>
      <c r="AA666">
        <f>IFERROR(INDEX(PP_Grid[#Data],$DE666,24),0)</f>
        <v/>
      </c>
      <c r="AB666">
        <f>IFERROR(INDEX(PP_Grid[#Data],$DE666,25),0)</f>
        <v/>
      </c>
      <c r="AC666">
        <f>IFERROR(INDEX(PP_Grid[#Data],$DE666,26),0)</f>
        <v/>
      </c>
      <c r="AD666">
        <f>IFERROR(INDEX(PP_Grid[#Data],$DE666,27),0)</f>
        <v/>
      </c>
      <c r="AE666">
        <f>IFERROR(INDEX(PP_Grid[#Data],$DE666,28),0)</f>
        <v/>
      </c>
      <c r="AF666">
        <f>IFERROR(INDEX(PP_Grid[#Data],$DE666,29),0)</f>
        <v/>
      </c>
      <c r="AG666">
        <f>IFERROR(INDEX(PP_Grid[#Data],$DE666,30),0)</f>
        <v/>
      </c>
      <c r="AH666">
        <f>IFERROR(INDEX(PP_Grid[#Data],$DE666,31),0)</f>
        <v/>
      </c>
      <c r="AI666">
        <f>IFERROR(INDEX(PP_Grid[#Data],$DE666,32),0)</f>
        <v/>
      </c>
      <c r="AJ666">
        <f>IFERROR(INDEX(PP_Grid[#Data],$DE666,33),0)</f>
        <v/>
      </c>
      <c r="AK666">
        <f>IFERROR(INDEX(PP_Grid[#Data],$DE666,34),0)</f>
        <v/>
      </c>
      <c r="AL666">
        <f>IFERROR(INDEX(PP_Grid[#Data],$DE666,35),0)</f>
        <v/>
      </c>
      <c r="AM666">
        <f>IFERROR(INDEX(PP_Grid[#Data],$DE666,36),0)</f>
        <v/>
      </c>
      <c r="AN666">
        <f>IFERROR(INDEX(PP_Grid[#Data],$DE666,37),0)</f>
        <v/>
      </c>
      <c r="AO666">
        <f>IFERROR(INDEX(PP_Grid[#Data],$DE666,38),0)</f>
        <v/>
      </c>
      <c r="AP666">
        <f>IFERROR(INDEX(PP_Grid[#Data],$DE666,39),0)</f>
        <v/>
      </c>
      <c r="AQ666">
        <f>IFERROR(INDEX(PP_Grid[#Data],$DE666,40),0)</f>
        <v/>
      </c>
      <c r="AR666">
        <f>IFERROR(INDEX(PP_Grid[#Data],$DE666,41),0)</f>
        <v/>
      </c>
      <c r="AS666">
        <f>IFERROR(INDEX(PP_Grid[#Data],$DE666,42),0)</f>
        <v/>
      </c>
      <c r="AT666">
        <f>IFERROR(INDEX(PP_Grid[#Data],$DE666,43),0)</f>
        <v/>
      </c>
      <c r="AU666">
        <f>IFERROR(INDEX(PP_Grid[#Data],$DE666,44),0)</f>
        <v/>
      </c>
      <c r="AV666">
        <f>IFERROR(INDEX(PP_Grid[#Data],$DE666,45),0)</f>
        <v/>
      </c>
      <c r="AW666">
        <f>IFERROR(INDEX(PP_Grid[#Data],$DE666,46),0)</f>
        <v/>
      </c>
      <c r="AX666">
        <f>IFERROR(INDEX(PP_Grid[#Data],$DE666,47),0)</f>
        <v/>
      </c>
      <c r="AY666">
        <f>IFERROR(INDEX(PP_Grid[#Data],$DE666,48),0)</f>
        <v/>
      </c>
      <c r="AZ666">
        <f>IFERROR(INDEX(PP_Grid[#Data],$DE666,49),0)</f>
        <v/>
      </c>
      <c r="BA666">
        <f>IFERROR(INDEX(PP_Grid[#Data],$DE666,50),0)</f>
        <v/>
      </c>
      <c r="BB666">
        <f>IFERROR(INDEX(PP_Grid[#Data],$DE666,51),0)</f>
        <v/>
      </c>
      <c r="BC666">
        <f>IFERROR(INDEX(PP_Grid[#Data],$DE666,52),0)</f>
        <v/>
      </c>
      <c r="BD666">
        <f>IFERROR(INDEX(PP_Grid[#Data],$DE666,53),0)</f>
        <v/>
      </c>
      <c r="BE666">
        <f>IFERROR(INDEX(PP_Grid[#Data],$DE666,54),0)</f>
        <v/>
      </c>
      <c r="BF666">
        <f>IFERROR(INDEX(PP_Grid[#Data],$DE666,55),0)</f>
        <v/>
      </c>
      <c r="BG666">
        <f>IFERROR(INDEX(PP_Grid[#Data],$DE666,56),0)</f>
        <v/>
      </c>
      <c r="BH666">
        <f>IFERROR(INDEX(PP_Grid[#Data],$DE666,57),0)</f>
        <v/>
      </c>
      <c r="BI666">
        <f>IFERROR(INDEX(PP_Grid[#Data],$DE666,58),0)</f>
        <v/>
      </c>
      <c r="BJ666">
        <f>IFERROR(INDEX(PP_Grid[#Data],$DE666,59),0)</f>
        <v/>
      </c>
      <c r="BK666">
        <f>IFERROR(INDEX(PP_Grid[#Data],$DE666,60),0)</f>
        <v/>
      </c>
      <c r="BL666">
        <f>IFERROR(INDEX(PP_Grid[#Data],$DE666,61),0)</f>
        <v/>
      </c>
      <c r="BM666">
        <f>IFERROR(INDEX(PP_Grid[#Data],$DE666,62),0)</f>
        <v/>
      </c>
      <c r="BN666">
        <f>IFERROR(INDEX(PP_Grid[#Data],$DE666,63),0)</f>
        <v/>
      </c>
      <c r="BO666">
        <f>IFERROR(INDEX(PP_Grid[#Data],$DE666,64),0)</f>
        <v/>
      </c>
      <c r="BP666">
        <f>IFERROR(INDEX(PP_Grid[#Data],$DE666,65),0)</f>
        <v/>
      </c>
      <c r="BQ666">
        <f>IFERROR(INDEX(PP_Grid[#Data],$DE666,66),0)</f>
        <v/>
      </c>
      <c r="BR666">
        <f>IFERROR(INDEX(PP_Grid[#Data],$DE666,67),0)</f>
        <v/>
      </c>
      <c r="BS666">
        <f>IFERROR(INDEX(PP_Grid[#Data],$DE666,68),0)</f>
        <v/>
      </c>
      <c r="BT666">
        <f>IFERROR(INDEX(PP_Grid[#Data],$DE666,69),0)</f>
        <v/>
      </c>
      <c r="BU666">
        <f>IFERROR(INDEX(PP_Grid[#Data],$DE666,70),0)</f>
        <v/>
      </c>
      <c r="BV666">
        <f>IFERROR(INDEX(PP_Grid[#Data],$DE666,71),0)</f>
        <v/>
      </c>
      <c r="BW666">
        <f>IFERROR(INDEX(PP_Grid[#Data],$DE666,72),0)</f>
        <v/>
      </c>
      <c r="BX666">
        <f>IFERROR(INDEX(PP_Grid[#Data],$DE666,73),0)</f>
        <v/>
      </c>
      <c r="BY666">
        <f>IFERROR(INDEX(PP_Grid[#Data],$DE666,74),0)</f>
        <v/>
      </c>
      <c r="BZ666">
        <f>IFERROR(INDEX(PP_Grid[#Data],$DE666,75),0)</f>
        <v/>
      </c>
      <c r="CA666">
        <f>IFERROR(INDEX(PP_Grid[#Data],$DE666,76),0)</f>
        <v/>
      </c>
      <c r="CB666">
        <f>IFERROR(INDEX(PP_Grid[#Data],$DE666,77),0)</f>
        <v/>
      </c>
      <c r="CC666">
        <f>IFERROR(INDEX(PP_Grid[#Data],$DE666,78),0)</f>
        <v/>
      </c>
      <c r="CD666">
        <f>IFERROR(INDEX(PP_Grid[#Data],$DE666,79),0)</f>
        <v/>
      </c>
      <c r="CE666">
        <f>IFERROR(INDEX(PP_Grid[#Data],$DE666,80),0)</f>
        <v/>
      </c>
      <c r="CF666">
        <f>IFERROR(INDEX(PP_Grid[#Data],$DE666,81),0)</f>
        <v/>
      </c>
      <c r="CG666">
        <f>IFERROR(INDEX(PP_Grid[#Data],$DE666,82),0)</f>
        <v/>
      </c>
      <c r="CH666">
        <f>IFERROR(INDEX(PP_Grid[#Data],$DE666,83),0)</f>
        <v/>
      </c>
      <c r="CI666">
        <f>IFERROR(INDEX(PP_Grid[#Data],$DE666,84),0)</f>
        <v/>
      </c>
      <c r="CJ666">
        <f>IFERROR(INDEX(PP_Grid[#Data],$DE666,85),0)</f>
        <v/>
      </c>
      <c r="CK666">
        <f>IFERROR(INDEX(PP_Grid[#Data],$DE666,86),0)</f>
        <v/>
      </c>
      <c r="CL666">
        <f>IFERROR(INDEX(PP_Grid[#Data],$DE666,87),0)</f>
        <v/>
      </c>
      <c r="CM666">
        <f>IFERROR(INDEX(PP_Grid[#Data],$DE666,88),0)</f>
        <v/>
      </c>
      <c r="CN666">
        <f>IFERROR(INDEX(PP_Grid[#Data],$DE666,89),0)</f>
        <v/>
      </c>
      <c r="CO666">
        <f>IFERROR(INDEX(PP_Grid[#Data],$DE666,90),0)</f>
        <v/>
      </c>
      <c r="CP666">
        <f>IFERROR(INDEX(PP_Grid[#Data],$DE666,91),0)</f>
        <v/>
      </c>
      <c r="CQ666">
        <f>IFERROR(INDEX(PP_Grid[#Data],$DE666,92),0)</f>
        <v/>
      </c>
      <c r="CR666">
        <f>IFERROR(INDEX(PP_Grid[#Data],$DE666,93),0)</f>
        <v/>
      </c>
      <c r="CS666">
        <f>IFERROR(INDEX(PP_Grid[#Data],$DE666,94),0)</f>
        <v/>
      </c>
      <c r="CT666">
        <f>IFERROR(INDEX(PP_Grid[#Data],$DE666,95),0)</f>
        <v/>
      </c>
      <c r="CU666">
        <f>IFERROR(INDEX(PP_Grid[#Data],$DE666,96),0)</f>
        <v/>
      </c>
      <c r="CV666">
        <f>IFERROR(INDEX(PP_Grid[#Data],$DE666,97),0)</f>
        <v/>
      </c>
      <c r="CW666">
        <f>IFERROR(INDEX(PP_Grid[#Data],$DE666,98),0)</f>
        <v/>
      </c>
      <c r="CX666">
        <f>IFERROR(INDEX(PP_Grid[#Data],$DE666,99),0)</f>
        <v/>
      </c>
      <c r="CY666">
        <f>IFERROR(INDEX(PP_Grid[#Data],$DE666,100),0)</f>
        <v/>
      </c>
      <c r="CZ666">
        <f>IFERROR(INDEX(PP_Grid[#Data],$DE666,101),0)</f>
        <v/>
      </c>
      <c r="DA666">
        <f>IFERROR(INDEX(PP_Grid[#Data],$DE666,102),0)</f>
        <v/>
      </c>
      <c r="DB666">
        <f>IFERROR(INDEX(PP_Grid[#Data],$DE666,103),0)</f>
        <v/>
      </c>
      <c r="DC666">
        <f>IFERROR(INDEX(PP_Grid[#Data],$DE666,104),0)</f>
        <v/>
      </c>
      <c r="DD666">
        <f>IFERROR(INDEX(PP_Grid[#Data],$DE666,105),0)</f>
        <v/>
      </c>
      <c r="DE666" s="7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SUMIFS(M_BOM[RM_Qty_Per_Batch],M_BOM[Intermediate],$B666,M_BOM[RM_Code],$A615)</f>
        <v/>
      </c>
      <c r="D667">
        <f>IFERROR(INDEX(E667:DD667,$F$1),"")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  <c r="DD667">
        <f>$C667*DD666</f>
        <v/>
      </c>
    </row>
    <row r="668">
      <c r="B668" t="inlineStr">
        <is>
          <t>TSP-959</t>
        </is>
      </c>
      <c r="C668" t="inlineStr">
        <is>
          <t>No. of batches</t>
        </is>
      </c>
      <c r="D668">
        <f>IFERROR(INDEX(E668:DD668,$F$1),"")</f>
        <v/>
      </c>
      <c r="E668">
        <f>IFERROR(INDEX(PP_Grid[#Data],$DE668,2),0)</f>
        <v/>
      </c>
      <c r="F668">
        <f>IFERROR(INDEX(PP_Grid[#Data],$DE668,3),0)</f>
        <v/>
      </c>
      <c r="G668">
        <f>IFERROR(INDEX(PP_Grid[#Data],$DE668,4),0)</f>
        <v/>
      </c>
      <c r="H668">
        <f>IFERROR(INDEX(PP_Grid[#Data],$DE668,5),0)</f>
        <v/>
      </c>
      <c r="I668">
        <f>IFERROR(INDEX(PP_Grid[#Data],$DE668,6),0)</f>
        <v/>
      </c>
      <c r="J668">
        <f>IFERROR(INDEX(PP_Grid[#Data],$DE668,7),0)</f>
        <v/>
      </c>
      <c r="K668">
        <f>IFERROR(INDEX(PP_Grid[#Data],$DE668,8),0)</f>
        <v/>
      </c>
      <c r="L668">
        <f>IFERROR(INDEX(PP_Grid[#Data],$DE668,9),0)</f>
        <v/>
      </c>
      <c r="M668">
        <f>IFERROR(INDEX(PP_Grid[#Data],$DE668,10),0)</f>
        <v/>
      </c>
      <c r="N668">
        <f>IFERROR(INDEX(PP_Grid[#Data],$DE668,11),0)</f>
        <v/>
      </c>
      <c r="O668">
        <f>IFERROR(INDEX(PP_Grid[#Data],$DE668,12),0)</f>
        <v/>
      </c>
      <c r="P668">
        <f>IFERROR(INDEX(PP_Grid[#Data],$DE668,13),0)</f>
        <v/>
      </c>
      <c r="Q668">
        <f>IFERROR(INDEX(PP_Grid[#Data],$DE668,14),0)</f>
        <v/>
      </c>
      <c r="R668">
        <f>IFERROR(INDEX(PP_Grid[#Data],$DE668,15),0)</f>
        <v/>
      </c>
      <c r="S668">
        <f>IFERROR(INDEX(PP_Grid[#Data],$DE668,16),0)</f>
        <v/>
      </c>
      <c r="T668">
        <f>IFERROR(INDEX(PP_Grid[#Data],$DE668,17),0)</f>
        <v/>
      </c>
      <c r="U668">
        <f>IFERROR(INDEX(PP_Grid[#Data],$DE668,18),0)</f>
        <v/>
      </c>
      <c r="V668">
        <f>IFERROR(INDEX(PP_Grid[#Data],$DE668,19),0)</f>
        <v/>
      </c>
      <c r="W668">
        <f>IFERROR(INDEX(PP_Grid[#Data],$DE668,20),0)</f>
        <v/>
      </c>
      <c r="X668">
        <f>IFERROR(INDEX(PP_Grid[#Data],$DE668,21),0)</f>
        <v/>
      </c>
      <c r="Y668">
        <f>IFERROR(INDEX(PP_Grid[#Data],$DE668,22),0)</f>
        <v/>
      </c>
      <c r="Z668">
        <f>IFERROR(INDEX(PP_Grid[#Data],$DE668,23),0)</f>
        <v/>
      </c>
      <c r="AA668">
        <f>IFERROR(INDEX(PP_Grid[#Data],$DE668,24),0)</f>
        <v/>
      </c>
      <c r="AB668">
        <f>IFERROR(INDEX(PP_Grid[#Data],$DE668,25),0)</f>
        <v/>
      </c>
      <c r="AC668">
        <f>IFERROR(INDEX(PP_Grid[#Data],$DE668,26),0)</f>
        <v/>
      </c>
      <c r="AD668">
        <f>IFERROR(INDEX(PP_Grid[#Data],$DE668,27),0)</f>
        <v/>
      </c>
      <c r="AE668">
        <f>IFERROR(INDEX(PP_Grid[#Data],$DE668,28),0)</f>
        <v/>
      </c>
      <c r="AF668">
        <f>IFERROR(INDEX(PP_Grid[#Data],$DE668,29),0)</f>
        <v/>
      </c>
      <c r="AG668">
        <f>IFERROR(INDEX(PP_Grid[#Data],$DE668,30),0)</f>
        <v/>
      </c>
      <c r="AH668">
        <f>IFERROR(INDEX(PP_Grid[#Data],$DE668,31),0)</f>
        <v/>
      </c>
      <c r="AI668">
        <f>IFERROR(INDEX(PP_Grid[#Data],$DE668,32),0)</f>
        <v/>
      </c>
      <c r="AJ668">
        <f>IFERROR(INDEX(PP_Grid[#Data],$DE668,33),0)</f>
        <v/>
      </c>
      <c r="AK668">
        <f>IFERROR(INDEX(PP_Grid[#Data],$DE668,34),0)</f>
        <v/>
      </c>
      <c r="AL668">
        <f>IFERROR(INDEX(PP_Grid[#Data],$DE668,35),0)</f>
        <v/>
      </c>
      <c r="AM668">
        <f>IFERROR(INDEX(PP_Grid[#Data],$DE668,36),0)</f>
        <v/>
      </c>
      <c r="AN668">
        <f>IFERROR(INDEX(PP_Grid[#Data],$DE668,37),0)</f>
        <v/>
      </c>
      <c r="AO668">
        <f>IFERROR(INDEX(PP_Grid[#Data],$DE668,38),0)</f>
        <v/>
      </c>
      <c r="AP668">
        <f>IFERROR(INDEX(PP_Grid[#Data],$DE668,39),0)</f>
        <v/>
      </c>
      <c r="AQ668">
        <f>IFERROR(INDEX(PP_Grid[#Data],$DE668,40),0)</f>
        <v/>
      </c>
      <c r="AR668">
        <f>IFERROR(INDEX(PP_Grid[#Data],$DE668,41),0)</f>
        <v/>
      </c>
      <c r="AS668">
        <f>IFERROR(INDEX(PP_Grid[#Data],$DE668,42),0)</f>
        <v/>
      </c>
      <c r="AT668">
        <f>IFERROR(INDEX(PP_Grid[#Data],$DE668,43),0)</f>
        <v/>
      </c>
      <c r="AU668">
        <f>IFERROR(INDEX(PP_Grid[#Data],$DE668,44),0)</f>
        <v/>
      </c>
      <c r="AV668">
        <f>IFERROR(INDEX(PP_Grid[#Data],$DE668,45),0)</f>
        <v/>
      </c>
      <c r="AW668">
        <f>IFERROR(INDEX(PP_Grid[#Data],$DE668,46),0)</f>
        <v/>
      </c>
      <c r="AX668">
        <f>IFERROR(INDEX(PP_Grid[#Data],$DE668,47),0)</f>
        <v/>
      </c>
      <c r="AY668">
        <f>IFERROR(INDEX(PP_Grid[#Data],$DE668,48),0)</f>
        <v/>
      </c>
      <c r="AZ668">
        <f>IFERROR(INDEX(PP_Grid[#Data],$DE668,49),0)</f>
        <v/>
      </c>
      <c r="BA668">
        <f>IFERROR(INDEX(PP_Grid[#Data],$DE668,50),0)</f>
        <v/>
      </c>
      <c r="BB668">
        <f>IFERROR(INDEX(PP_Grid[#Data],$DE668,51),0)</f>
        <v/>
      </c>
      <c r="BC668">
        <f>IFERROR(INDEX(PP_Grid[#Data],$DE668,52),0)</f>
        <v/>
      </c>
      <c r="BD668">
        <f>IFERROR(INDEX(PP_Grid[#Data],$DE668,53),0)</f>
        <v/>
      </c>
      <c r="BE668">
        <f>IFERROR(INDEX(PP_Grid[#Data],$DE668,54),0)</f>
        <v/>
      </c>
      <c r="BF668">
        <f>IFERROR(INDEX(PP_Grid[#Data],$DE668,55),0)</f>
        <v/>
      </c>
      <c r="BG668">
        <f>IFERROR(INDEX(PP_Grid[#Data],$DE668,56),0)</f>
        <v/>
      </c>
      <c r="BH668">
        <f>IFERROR(INDEX(PP_Grid[#Data],$DE668,57),0)</f>
        <v/>
      </c>
      <c r="BI668">
        <f>IFERROR(INDEX(PP_Grid[#Data],$DE668,58),0)</f>
        <v/>
      </c>
      <c r="BJ668">
        <f>IFERROR(INDEX(PP_Grid[#Data],$DE668,59),0)</f>
        <v/>
      </c>
      <c r="BK668">
        <f>IFERROR(INDEX(PP_Grid[#Data],$DE668,60),0)</f>
        <v/>
      </c>
      <c r="BL668">
        <f>IFERROR(INDEX(PP_Grid[#Data],$DE668,61),0)</f>
        <v/>
      </c>
      <c r="BM668">
        <f>IFERROR(INDEX(PP_Grid[#Data],$DE668,62),0)</f>
        <v/>
      </c>
      <c r="BN668">
        <f>IFERROR(INDEX(PP_Grid[#Data],$DE668,63),0)</f>
        <v/>
      </c>
      <c r="BO668">
        <f>IFERROR(INDEX(PP_Grid[#Data],$DE668,64),0)</f>
        <v/>
      </c>
      <c r="BP668">
        <f>IFERROR(INDEX(PP_Grid[#Data],$DE668,65),0)</f>
        <v/>
      </c>
      <c r="BQ668">
        <f>IFERROR(INDEX(PP_Grid[#Data],$DE668,66),0)</f>
        <v/>
      </c>
      <c r="BR668">
        <f>IFERROR(INDEX(PP_Grid[#Data],$DE668,67),0)</f>
        <v/>
      </c>
      <c r="BS668">
        <f>IFERROR(INDEX(PP_Grid[#Data],$DE668,68),0)</f>
        <v/>
      </c>
      <c r="BT668">
        <f>IFERROR(INDEX(PP_Grid[#Data],$DE668,69),0)</f>
        <v/>
      </c>
      <c r="BU668">
        <f>IFERROR(INDEX(PP_Grid[#Data],$DE668,70),0)</f>
        <v/>
      </c>
      <c r="BV668">
        <f>IFERROR(INDEX(PP_Grid[#Data],$DE668,71),0)</f>
        <v/>
      </c>
      <c r="BW668">
        <f>IFERROR(INDEX(PP_Grid[#Data],$DE668,72),0)</f>
        <v/>
      </c>
      <c r="BX668">
        <f>IFERROR(INDEX(PP_Grid[#Data],$DE668,73),0)</f>
        <v/>
      </c>
      <c r="BY668">
        <f>IFERROR(INDEX(PP_Grid[#Data],$DE668,74),0)</f>
        <v/>
      </c>
      <c r="BZ668">
        <f>IFERROR(INDEX(PP_Grid[#Data],$DE668,75),0)</f>
        <v/>
      </c>
      <c r="CA668">
        <f>IFERROR(INDEX(PP_Grid[#Data],$DE668,76),0)</f>
        <v/>
      </c>
      <c r="CB668">
        <f>IFERROR(INDEX(PP_Grid[#Data],$DE668,77),0)</f>
        <v/>
      </c>
      <c r="CC668">
        <f>IFERROR(INDEX(PP_Grid[#Data],$DE668,78),0)</f>
        <v/>
      </c>
      <c r="CD668">
        <f>IFERROR(INDEX(PP_Grid[#Data],$DE668,79),0)</f>
        <v/>
      </c>
      <c r="CE668">
        <f>IFERROR(INDEX(PP_Grid[#Data],$DE668,80),0)</f>
        <v/>
      </c>
      <c r="CF668">
        <f>IFERROR(INDEX(PP_Grid[#Data],$DE668,81),0)</f>
        <v/>
      </c>
      <c r="CG668">
        <f>IFERROR(INDEX(PP_Grid[#Data],$DE668,82),0)</f>
        <v/>
      </c>
      <c r="CH668">
        <f>IFERROR(INDEX(PP_Grid[#Data],$DE668,83),0)</f>
        <v/>
      </c>
      <c r="CI668">
        <f>IFERROR(INDEX(PP_Grid[#Data],$DE668,84),0)</f>
        <v/>
      </c>
      <c r="CJ668">
        <f>IFERROR(INDEX(PP_Grid[#Data],$DE668,85),0)</f>
        <v/>
      </c>
      <c r="CK668">
        <f>IFERROR(INDEX(PP_Grid[#Data],$DE668,86),0)</f>
        <v/>
      </c>
      <c r="CL668">
        <f>IFERROR(INDEX(PP_Grid[#Data],$DE668,87),0)</f>
        <v/>
      </c>
      <c r="CM668">
        <f>IFERROR(INDEX(PP_Grid[#Data],$DE668,88),0)</f>
        <v/>
      </c>
      <c r="CN668">
        <f>IFERROR(INDEX(PP_Grid[#Data],$DE668,89),0)</f>
        <v/>
      </c>
      <c r="CO668">
        <f>IFERROR(INDEX(PP_Grid[#Data],$DE668,90),0)</f>
        <v/>
      </c>
      <c r="CP668">
        <f>IFERROR(INDEX(PP_Grid[#Data],$DE668,91),0)</f>
        <v/>
      </c>
      <c r="CQ668">
        <f>IFERROR(INDEX(PP_Grid[#Data],$DE668,92),0)</f>
        <v/>
      </c>
      <c r="CR668">
        <f>IFERROR(INDEX(PP_Grid[#Data],$DE668,93),0)</f>
        <v/>
      </c>
      <c r="CS668">
        <f>IFERROR(INDEX(PP_Grid[#Data],$DE668,94),0)</f>
        <v/>
      </c>
      <c r="CT668">
        <f>IFERROR(INDEX(PP_Grid[#Data],$DE668,95),0)</f>
        <v/>
      </c>
      <c r="CU668">
        <f>IFERROR(INDEX(PP_Grid[#Data],$DE668,96),0)</f>
        <v/>
      </c>
      <c r="CV668">
        <f>IFERROR(INDEX(PP_Grid[#Data],$DE668,97),0)</f>
        <v/>
      </c>
      <c r="CW668">
        <f>IFERROR(INDEX(PP_Grid[#Data],$DE668,98),0)</f>
        <v/>
      </c>
      <c r="CX668">
        <f>IFERROR(INDEX(PP_Grid[#Data],$DE668,99),0)</f>
        <v/>
      </c>
      <c r="CY668">
        <f>IFERROR(INDEX(PP_Grid[#Data],$DE668,100),0)</f>
        <v/>
      </c>
      <c r="CZ668">
        <f>IFERROR(INDEX(PP_Grid[#Data],$DE668,101),0)</f>
        <v/>
      </c>
      <c r="DA668">
        <f>IFERROR(INDEX(PP_Grid[#Data],$DE668,102),0)</f>
        <v/>
      </c>
      <c r="DB668">
        <f>IFERROR(INDEX(PP_Grid[#Data],$DE668,103),0)</f>
        <v/>
      </c>
      <c r="DC668">
        <f>IFERROR(INDEX(PP_Grid[#Data],$DE668,104),0)</f>
        <v/>
      </c>
      <c r="DD668">
        <f>IFERROR(INDEX(PP_Grid[#Data],$DE668,105),0)</f>
        <v/>
      </c>
      <c r="DE668" s="7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SUMIFS(M_BOM[RM_Qty_Per_Batch],M_BOM[Intermediate],$B668,M_BOM[RM_Code],$A615)</f>
        <v/>
      </c>
      <c r="D669">
        <f>IFERROR(INDEX(E669:DD669,$F$1),"")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  <c r="DD669">
        <f>$C669*DD668</f>
        <v/>
      </c>
    </row>
    <row r="670">
      <c r="B670" t="inlineStr">
        <is>
          <t>TSP-966</t>
        </is>
      </c>
      <c r="C670" t="inlineStr">
        <is>
          <t>No. of batches</t>
        </is>
      </c>
      <c r="D670">
        <f>IFERROR(INDEX(E670:DD670,$F$1),"")</f>
        <v/>
      </c>
      <c r="E670">
        <f>IFERROR(INDEX(PP_Grid[#Data],$DE670,2),0)</f>
        <v/>
      </c>
      <c r="F670">
        <f>IFERROR(INDEX(PP_Grid[#Data],$DE670,3),0)</f>
        <v/>
      </c>
      <c r="G670">
        <f>IFERROR(INDEX(PP_Grid[#Data],$DE670,4),0)</f>
        <v/>
      </c>
      <c r="H670">
        <f>IFERROR(INDEX(PP_Grid[#Data],$DE670,5),0)</f>
        <v/>
      </c>
      <c r="I670">
        <f>IFERROR(INDEX(PP_Grid[#Data],$DE670,6),0)</f>
        <v/>
      </c>
      <c r="J670">
        <f>IFERROR(INDEX(PP_Grid[#Data],$DE670,7),0)</f>
        <v/>
      </c>
      <c r="K670">
        <f>IFERROR(INDEX(PP_Grid[#Data],$DE670,8),0)</f>
        <v/>
      </c>
      <c r="L670">
        <f>IFERROR(INDEX(PP_Grid[#Data],$DE670,9),0)</f>
        <v/>
      </c>
      <c r="M670">
        <f>IFERROR(INDEX(PP_Grid[#Data],$DE670,10),0)</f>
        <v/>
      </c>
      <c r="N670">
        <f>IFERROR(INDEX(PP_Grid[#Data],$DE670,11),0)</f>
        <v/>
      </c>
      <c r="O670">
        <f>IFERROR(INDEX(PP_Grid[#Data],$DE670,12),0)</f>
        <v/>
      </c>
      <c r="P670">
        <f>IFERROR(INDEX(PP_Grid[#Data],$DE670,13),0)</f>
        <v/>
      </c>
      <c r="Q670">
        <f>IFERROR(INDEX(PP_Grid[#Data],$DE670,14),0)</f>
        <v/>
      </c>
      <c r="R670">
        <f>IFERROR(INDEX(PP_Grid[#Data],$DE670,15),0)</f>
        <v/>
      </c>
      <c r="S670">
        <f>IFERROR(INDEX(PP_Grid[#Data],$DE670,16),0)</f>
        <v/>
      </c>
      <c r="T670">
        <f>IFERROR(INDEX(PP_Grid[#Data],$DE670,17),0)</f>
        <v/>
      </c>
      <c r="U670">
        <f>IFERROR(INDEX(PP_Grid[#Data],$DE670,18),0)</f>
        <v/>
      </c>
      <c r="V670">
        <f>IFERROR(INDEX(PP_Grid[#Data],$DE670,19),0)</f>
        <v/>
      </c>
      <c r="W670">
        <f>IFERROR(INDEX(PP_Grid[#Data],$DE670,20),0)</f>
        <v/>
      </c>
      <c r="X670">
        <f>IFERROR(INDEX(PP_Grid[#Data],$DE670,21),0)</f>
        <v/>
      </c>
      <c r="Y670">
        <f>IFERROR(INDEX(PP_Grid[#Data],$DE670,22),0)</f>
        <v/>
      </c>
      <c r="Z670">
        <f>IFERROR(INDEX(PP_Grid[#Data],$DE670,23),0)</f>
        <v/>
      </c>
      <c r="AA670">
        <f>IFERROR(INDEX(PP_Grid[#Data],$DE670,24),0)</f>
        <v/>
      </c>
      <c r="AB670">
        <f>IFERROR(INDEX(PP_Grid[#Data],$DE670,25),0)</f>
        <v/>
      </c>
      <c r="AC670">
        <f>IFERROR(INDEX(PP_Grid[#Data],$DE670,26),0)</f>
        <v/>
      </c>
      <c r="AD670">
        <f>IFERROR(INDEX(PP_Grid[#Data],$DE670,27),0)</f>
        <v/>
      </c>
      <c r="AE670">
        <f>IFERROR(INDEX(PP_Grid[#Data],$DE670,28),0)</f>
        <v/>
      </c>
      <c r="AF670">
        <f>IFERROR(INDEX(PP_Grid[#Data],$DE670,29),0)</f>
        <v/>
      </c>
      <c r="AG670">
        <f>IFERROR(INDEX(PP_Grid[#Data],$DE670,30),0)</f>
        <v/>
      </c>
      <c r="AH670">
        <f>IFERROR(INDEX(PP_Grid[#Data],$DE670,31),0)</f>
        <v/>
      </c>
      <c r="AI670">
        <f>IFERROR(INDEX(PP_Grid[#Data],$DE670,32),0)</f>
        <v/>
      </c>
      <c r="AJ670">
        <f>IFERROR(INDEX(PP_Grid[#Data],$DE670,33),0)</f>
        <v/>
      </c>
      <c r="AK670">
        <f>IFERROR(INDEX(PP_Grid[#Data],$DE670,34),0)</f>
        <v/>
      </c>
      <c r="AL670">
        <f>IFERROR(INDEX(PP_Grid[#Data],$DE670,35),0)</f>
        <v/>
      </c>
      <c r="AM670">
        <f>IFERROR(INDEX(PP_Grid[#Data],$DE670,36),0)</f>
        <v/>
      </c>
      <c r="AN670">
        <f>IFERROR(INDEX(PP_Grid[#Data],$DE670,37),0)</f>
        <v/>
      </c>
      <c r="AO670">
        <f>IFERROR(INDEX(PP_Grid[#Data],$DE670,38),0)</f>
        <v/>
      </c>
      <c r="AP670">
        <f>IFERROR(INDEX(PP_Grid[#Data],$DE670,39),0)</f>
        <v/>
      </c>
      <c r="AQ670">
        <f>IFERROR(INDEX(PP_Grid[#Data],$DE670,40),0)</f>
        <v/>
      </c>
      <c r="AR670">
        <f>IFERROR(INDEX(PP_Grid[#Data],$DE670,41),0)</f>
        <v/>
      </c>
      <c r="AS670">
        <f>IFERROR(INDEX(PP_Grid[#Data],$DE670,42),0)</f>
        <v/>
      </c>
      <c r="AT670">
        <f>IFERROR(INDEX(PP_Grid[#Data],$DE670,43),0)</f>
        <v/>
      </c>
      <c r="AU670">
        <f>IFERROR(INDEX(PP_Grid[#Data],$DE670,44),0)</f>
        <v/>
      </c>
      <c r="AV670">
        <f>IFERROR(INDEX(PP_Grid[#Data],$DE670,45),0)</f>
        <v/>
      </c>
      <c r="AW670">
        <f>IFERROR(INDEX(PP_Grid[#Data],$DE670,46),0)</f>
        <v/>
      </c>
      <c r="AX670">
        <f>IFERROR(INDEX(PP_Grid[#Data],$DE670,47),0)</f>
        <v/>
      </c>
      <c r="AY670">
        <f>IFERROR(INDEX(PP_Grid[#Data],$DE670,48),0)</f>
        <v/>
      </c>
      <c r="AZ670">
        <f>IFERROR(INDEX(PP_Grid[#Data],$DE670,49),0)</f>
        <v/>
      </c>
      <c r="BA670">
        <f>IFERROR(INDEX(PP_Grid[#Data],$DE670,50),0)</f>
        <v/>
      </c>
      <c r="BB670">
        <f>IFERROR(INDEX(PP_Grid[#Data],$DE670,51),0)</f>
        <v/>
      </c>
      <c r="BC670">
        <f>IFERROR(INDEX(PP_Grid[#Data],$DE670,52),0)</f>
        <v/>
      </c>
      <c r="BD670">
        <f>IFERROR(INDEX(PP_Grid[#Data],$DE670,53),0)</f>
        <v/>
      </c>
      <c r="BE670">
        <f>IFERROR(INDEX(PP_Grid[#Data],$DE670,54),0)</f>
        <v/>
      </c>
      <c r="BF670">
        <f>IFERROR(INDEX(PP_Grid[#Data],$DE670,55),0)</f>
        <v/>
      </c>
      <c r="BG670">
        <f>IFERROR(INDEX(PP_Grid[#Data],$DE670,56),0)</f>
        <v/>
      </c>
      <c r="BH670">
        <f>IFERROR(INDEX(PP_Grid[#Data],$DE670,57),0)</f>
        <v/>
      </c>
      <c r="BI670">
        <f>IFERROR(INDEX(PP_Grid[#Data],$DE670,58),0)</f>
        <v/>
      </c>
      <c r="BJ670">
        <f>IFERROR(INDEX(PP_Grid[#Data],$DE670,59),0)</f>
        <v/>
      </c>
      <c r="BK670">
        <f>IFERROR(INDEX(PP_Grid[#Data],$DE670,60),0)</f>
        <v/>
      </c>
      <c r="BL670">
        <f>IFERROR(INDEX(PP_Grid[#Data],$DE670,61),0)</f>
        <v/>
      </c>
      <c r="BM670">
        <f>IFERROR(INDEX(PP_Grid[#Data],$DE670,62),0)</f>
        <v/>
      </c>
      <c r="BN670">
        <f>IFERROR(INDEX(PP_Grid[#Data],$DE670,63),0)</f>
        <v/>
      </c>
      <c r="BO670">
        <f>IFERROR(INDEX(PP_Grid[#Data],$DE670,64),0)</f>
        <v/>
      </c>
      <c r="BP670">
        <f>IFERROR(INDEX(PP_Grid[#Data],$DE670,65),0)</f>
        <v/>
      </c>
      <c r="BQ670">
        <f>IFERROR(INDEX(PP_Grid[#Data],$DE670,66),0)</f>
        <v/>
      </c>
      <c r="BR670">
        <f>IFERROR(INDEX(PP_Grid[#Data],$DE670,67),0)</f>
        <v/>
      </c>
      <c r="BS670">
        <f>IFERROR(INDEX(PP_Grid[#Data],$DE670,68),0)</f>
        <v/>
      </c>
      <c r="BT670">
        <f>IFERROR(INDEX(PP_Grid[#Data],$DE670,69),0)</f>
        <v/>
      </c>
      <c r="BU670">
        <f>IFERROR(INDEX(PP_Grid[#Data],$DE670,70),0)</f>
        <v/>
      </c>
      <c r="BV670">
        <f>IFERROR(INDEX(PP_Grid[#Data],$DE670,71),0)</f>
        <v/>
      </c>
      <c r="BW670">
        <f>IFERROR(INDEX(PP_Grid[#Data],$DE670,72),0)</f>
        <v/>
      </c>
      <c r="BX670">
        <f>IFERROR(INDEX(PP_Grid[#Data],$DE670,73),0)</f>
        <v/>
      </c>
      <c r="BY670">
        <f>IFERROR(INDEX(PP_Grid[#Data],$DE670,74),0)</f>
        <v/>
      </c>
      <c r="BZ670">
        <f>IFERROR(INDEX(PP_Grid[#Data],$DE670,75),0)</f>
        <v/>
      </c>
      <c r="CA670">
        <f>IFERROR(INDEX(PP_Grid[#Data],$DE670,76),0)</f>
        <v/>
      </c>
      <c r="CB670">
        <f>IFERROR(INDEX(PP_Grid[#Data],$DE670,77),0)</f>
        <v/>
      </c>
      <c r="CC670">
        <f>IFERROR(INDEX(PP_Grid[#Data],$DE670,78),0)</f>
        <v/>
      </c>
      <c r="CD670">
        <f>IFERROR(INDEX(PP_Grid[#Data],$DE670,79),0)</f>
        <v/>
      </c>
      <c r="CE670">
        <f>IFERROR(INDEX(PP_Grid[#Data],$DE670,80),0)</f>
        <v/>
      </c>
      <c r="CF670">
        <f>IFERROR(INDEX(PP_Grid[#Data],$DE670,81),0)</f>
        <v/>
      </c>
      <c r="CG670">
        <f>IFERROR(INDEX(PP_Grid[#Data],$DE670,82),0)</f>
        <v/>
      </c>
      <c r="CH670">
        <f>IFERROR(INDEX(PP_Grid[#Data],$DE670,83),0)</f>
        <v/>
      </c>
      <c r="CI670">
        <f>IFERROR(INDEX(PP_Grid[#Data],$DE670,84),0)</f>
        <v/>
      </c>
      <c r="CJ670">
        <f>IFERROR(INDEX(PP_Grid[#Data],$DE670,85),0)</f>
        <v/>
      </c>
      <c r="CK670">
        <f>IFERROR(INDEX(PP_Grid[#Data],$DE670,86),0)</f>
        <v/>
      </c>
      <c r="CL670">
        <f>IFERROR(INDEX(PP_Grid[#Data],$DE670,87),0)</f>
        <v/>
      </c>
      <c r="CM670">
        <f>IFERROR(INDEX(PP_Grid[#Data],$DE670,88),0)</f>
        <v/>
      </c>
      <c r="CN670">
        <f>IFERROR(INDEX(PP_Grid[#Data],$DE670,89),0)</f>
        <v/>
      </c>
      <c r="CO670">
        <f>IFERROR(INDEX(PP_Grid[#Data],$DE670,90),0)</f>
        <v/>
      </c>
      <c r="CP670">
        <f>IFERROR(INDEX(PP_Grid[#Data],$DE670,91),0)</f>
        <v/>
      </c>
      <c r="CQ670">
        <f>IFERROR(INDEX(PP_Grid[#Data],$DE670,92),0)</f>
        <v/>
      </c>
      <c r="CR670">
        <f>IFERROR(INDEX(PP_Grid[#Data],$DE670,93),0)</f>
        <v/>
      </c>
      <c r="CS670">
        <f>IFERROR(INDEX(PP_Grid[#Data],$DE670,94),0)</f>
        <v/>
      </c>
      <c r="CT670">
        <f>IFERROR(INDEX(PP_Grid[#Data],$DE670,95),0)</f>
        <v/>
      </c>
      <c r="CU670">
        <f>IFERROR(INDEX(PP_Grid[#Data],$DE670,96),0)</f>
        <v/>
      </c>
      <c r="CV670">
        <f>IFERROR(INDEX(PP_Grid[#Data],$DE670,97),0)</f>
        <v/>
      </c>
      <c r="CW670">
        <f>IFERROR(INDEX(PP_Grid[#Data],$DE670,98),0)</f>
        <v/>
      </c>
      <c r="CX670">
        <f>IFERROR(INDEX(PP_Grid[#Data],$DE670,99),0)</f>
        <v/>
      </c>
      <c r="CY670">
        <f>IFERROR(INDEX(PP_Grid[#Data],$DE670,100),0)</f>
        <v/>
      </c>
      <c r="CZ670">
        <f>IFERROR(INDEX(PP_Grid[#Data],$DE670,101),0)</f>
        <v/>
      </c>
      <c r="DA670">
        <f>IFERROR(INDEX(PP_Grid[#Data],$DE670,102),0)</f>
        <v/>
      </c>
      <c r="DB670">
        <f>IFERROR(INDEX(PP_Grid[#Data],$DE670,103),0)</f>
        <v/>
      </c>
      <c r="DC670">
        <f>IFERROR(INDEX(PP_Grid[#Data],$DE670,104),0)</f>
        <v/>
      </c>
      <c r="DD670">
        <f>IFERROR(INDEX(PP_Grid[#Data],$DE670,105),0)</f>
        <v/>
      </c>
      <c r="DE670" s="7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SUMIFS(M_BOM[RM_Qty_Per_Batch],M_BOM[Intermediate],$B670,M_BOM[RM_Code],$A615)</f>
        <v/>
      </c>
      <c r="D671">
        <f>IFERROR(INDEX(E671:DD671,$F$1),"")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  <c r="DD671">
        <f>$C671*DD670</f>
        <v/>
      </c>
    </row>
    <row r="672">
      <c r="B672" t="inlineStr">
        <is>
          <t>TSP-1449</t>
        </is>
      </c>
      <c r="C672" t="inlineStr">
        <is>
          <t>No. of batches</t>
        </is>
      </c>
      <c r="D672">
        <f>IFERROR(INDEX(E672:DD672,$F$1),"")</f>
        <v/>
      </c>
      <c r="E672">
        <f>IFERROR(INDEX(PP_Grid[#Data],$DE672,2),0)</f>
        <v/>
      </c>
      <c r="F672">
        <f>IFERROR(INDEX(PP_Grid[#Data],$DE672,3),0)</f>
        <v/>
      </c>
      <c r="G672">
        <f>IFERROR(INDEX(PP_Grid[#Data],$DE672,4),0)</f>
        <v/>
      </c>
      <c r="H672">
        <f>IFERROR(INDEX(PP_Grid[#Data],$DE672,5),0)</f>
        <v/>
      </c>
      <c r="I672">
        <f>IFERROR(INDEX(PP_Grid[#Data],$DE672,6),0)</f>
        <v/>
      </c>
      <c r="J672">
        <f>IFERROR(INDEX(PP_Grid[#Data],$DE672,7),0)</f>
        <v/>
      </c>
      <c r="K672">
        <f>IFERROR(INDEX(PP_Grid[#Data],$DE672,8),0)</f>
        <v/>
      </c>
      <c r="L672">
        <f>IFERROR(INDEX(PP_Grid[#Data],$DE672,9),0)</f>
        <v/>
      </c>
      <c r="M672">
        <f>IFERROR(INDEX(PP_Grid[#Data],$DE672,10),0)</f>
        <v/>
      </c>
      <c r="N672">
        <f>IFERROR(INDEX(PP_Grid[#Data],$DE672,11),0)</f>
        <v/>
      </c>
      <c r="O672">
        <f>IFERROR(INDEX(PP_Grid[#Data],$DE672,12),0)</f>
        <v/>
      </c>
      <c r="P672">
        <f>IFERROR(INDEX(PP_Grid[#Data],$DE672,13),0)</f>
        <v/>
      </c>
      <c r="Q672">
        <f>IFERROR(INDEX(PP_Grid[#Data],$DE672,14),0)</f>
        <v/>
      </c>
      <c r="R672">
        <f>IFERROR(INDEX(PP_Grid[#Data],$DE672,15),0)</f>
        <v/>
      </c>
      <c r="S672">
        <f>IFERROR(INDEX(PP_Grid[#Data],$DE672,16),0)</f>
        <v/>
      </c>
      <c r="T672">
        <f>IFERROR(INDEX(PP_Grid[#Data],$DE672,17),0)</f>
        <v/>
      </c>
      <c r="U672">
        <f>IFERROR(INDEX(PP_Grid[#Data],$DE672,18),0)</f>
        <v/>
      </c>
      <c r="V672">
        <f>IFERROR(INDEX(PP_Grid[#Data],$DE672,19),0)</f>
        <v/>
      </c>
      <c r="W672">
        <f>IFERROR(INDEX(PP_Grid[#Data],$DE672,20),0)</f>
        <v/>
      </c>
      <c r="X672">
        <f>IFERROR(INDEX(PP_Grid[#Data],$DE672,21),0)</f>
        <v/>
      </c>
      <c r="Y672">
        <f>IFERROR(INDEX(PP_Grid[#Data],$DE672,22),0)</f>
        <v/>
      </c>
      <c r="Z672">
        <f>IFERROR(INDEX(PP_Grid[#Data],$DE672,23),0)</f>
        <v/>
      </c>
      <c r="AA672">
        <f>IFERROR(INDEX(PP_Grid[#Data],$DE672,24),0)</f>
        <v/>
      </c>
      <c r="AB672">
        <f>IFERROR(INDEX(PP_Grid[#Data],$DE672,25),0)</f>
        <v/>
      </c>
      <c r="AC672">
        <f>IFERROR(INDEX(PP_Grid[#Data],$DE672,26),0)</f>
        <v/>
      </c>
      <c r="AD672">
        <f>IFERROR(INDEX(PP_Grid[#Data],$DE672,27),0)</f>
        <v/>
      </c>
      <c r="AE672">
        <f>IFERROR(INDEX(PP_Grid[#Data],$DE672,28),0)</f>
        <v/>
      </c>
      <c r="AF672">
        <f>IFERROR(INDEX(PP_Grid[#Data],$DE672,29),0)</f>
        <v/>
      </c>
      <c r="AG672">
        <f>IFERROR(INDEX(PP_Grid[#Data],$DE672,30),0)</f>
        <v/>
      </c>
      <c r="AH672">
        <f>IFERROR(INDEX(PP_Grid[#Data],$DE672,31),0)</f>
        <v/>
      </c>
      <c r="AI672">
        <f>IFERROR(INDEX(PP_Grid[#Data],$DE672,32),0)</f>
        <v/>
      </c>
      <c r="AJ672">
        <f>IFERROR(INDEX(PP_Grid[#Data],$DE672,33),0)</f>
        <v/>
      </c>
      <c r="AK672">
        <f>IFERROR(INDEX(PP_Grid[#Data],$DE672,34),0)</f>
        <v/>
      </c>
      <c r="AL672">
        <f>IFERROR(INDEX(PP_Grid[#Data],$DE672,35),0)</f>
        <v/>
      </c>
      <c r="AM672">
        <f>IFERROR(INDEX(PP_Grid[#Data],$DE672,36),0)</f>
        <v/>
      </c>
      <c r="AN672">
        <f>IFERROR(INDEX(PP_Grid[#Data],$DE672,37),0)</f>
        <v/>
      </c>
      <c r="AO672">
        <f>IFERROR(INDEX(PP_Grid[#Data],$DE672,38),0)</f>
        <v/>
      </c>
      <c r="AP672">
        <f>IFERROR(INDEX(PP_Grid[#Data],$DE672,39),0)</f>
        <v/>
      </c>
      <c r="AQ672">
        <f>IFERROR(INDEX(PP_Grid[#Data],$DE672,40),0)</f>
        <v/>
      </c>
      <c r="AR672">
        <f>IFERROR(INDEX(PP_Grid[#Data],$DE672,41),0)</f>
        <v/>
      </c>
      <c r="AS672">
        <f>IFERROR(INDEX(PP_Grid[#Data],$DE672,42),0)</f>
        <v/>
      </c>
      <c r="AT672">
        <f>IFERROR(INDEX(PP_Grid[#Data],$DE672,43),0)</f>
        <v/>
      </c>
      <c r="AU672">
        <f>IFERROR(INDEX(PP_Grid[#Data],$DE672,44),0)</f>
        <v/>
      </c>
      <c r="AV672">
        <f>IFERROR(INDEX(PP_Grid[#Data],$DE672,45),0)</f>
        <v/>
      </c>
      <c r="AW672">
        <f>IFERROR(INDEX(PP_Grid[#Data],$DE672,46),0)</f>
        <v/>
      </c>
      <c r="AX672">
        <f>IFERROR(INDEX(PP_Grid[#Data],$DE672,47),0)</f>
        <v/>
      </c>
      <c r="AY672">
        <f>IFERROR(INDEX(PP_Grid[#Data],$DE672,48),0)</f>
        <v/>
      </c>
      <c r="AZ672">
        <f>IFERROR(INDEX(PP_Grid[#Data],$DE672,49),0)</f>
        <v/>
      </c>
      <c r="BA672">
        <f>IFERROR(INDEX(PP_Grid[#Data],$DE672,50),0)</f>
        <v/>
      </c>
      <c r="BB672">
        <f>IFERROR(INDEX(PP_Grid[#Data],$DE672,51),0)</f>
        <v/>
      </c>
      <c r="BC672">
        <f>IFERROR(INDEX(PP_Grid[#Data],$DE672,52),0)</f>
        <v/>
      </c>
      <c r="BD672">
        <f>IFERROR(INDEX(PP_Grid[#Data],$DE672,53),0)</f>
        <v/>
      </c>
      <c r="BE672">
        <f>IFERROR(INDEX(PP_Grid[#Data],$DE672,54),0)</f>
        <v/>
      </c>
      <c r="BF672">
        <f>IFERROR(INDEX(PP_Grid[#Data],$DE672,55),0)</f>
        <v/>
      </c>
      <c r="BG672">
        <f>IFERROR(INDEX(PP_Grid[#Data],$DE672,56),0)</f>
        <v/>
      </c>
      <c r="BH672">
        <f>IFERROR(INDEX(PP_Grid[#Data],$DE672,57),0)</f>
        <v/>
      </c>
      <c r="BI672">
        <f>IFERROR(INDEX(PP_Grid[#Data],$DE672,58),0)</f>
        <v/>
      </c>
      <c r="BJ672">
        <f>IFERROR(INDEX(PP_Grid[#Data],$DE672,59),0)</f>
        <v/>
      </c>
      <c r="BK672">
        <f>IFERROR(INDEX(PP_Grid[#Data],$DE672,60),0)</f>
        <v/>
      </c>
      <c r="BL672">
        <f>IFERROR(INDEX(PP_Grid[#Data],$DE672,61),0)</f>
        <v/>
      </c>
      <c r="BM672">
        <f>IFERROR(INDEX(PP_Grid[#Data],$DE672,62),0)</f>
        <v/>
      </c>
      <c r="BN672">
        <f>IFERROR(INDEX(PP_Grid[#Data],$DE672,63),0)</f>
        <v/>
      </c>
      <c r="BO672">
        <f>IFERROR(INDEX(PP_Grid[#Data],$DE672,64),0)</f>
        <v/>
      </c>
      <c r="BP672">
        <f>IFERROR(INDEX(PP_Grid[#Data],$DE672,65),0)</f>
        <v/>
      </c>
      <c r="BQ672">
        <f>IFERROR(INDEX(PP_Grid[#Data],$DE672,66),0)</f>
        <v/>
      </c>
      <c r="BR672">
        <f>IFERROR(INDEX(PP_Grid[#Data],$DE672,67),0)</f>
        <v/>
      </c>
      <c r="BS672">
        <f>IFERROR(INDEX(PP_Grid[#Data],$DE672,68),0)</f>
        <v/>
      </c>
      <c r="BT672">
        <f>IFERROR(INDEX(PP_Grid[#Data],$DE672,69),0)</f>
        <v/>
      </c>
      <c r="BU672">
        <f>IFERROR(INDEX(PP_Grid[#Data],$DE672,70),0)</f>
        <v/>
      </c>
      <c r="BV672">
        <f>IFERROR(INDEX(PP_Grid[#Data],$DE672,71),0)</f>
        <v/>
      </c>
      <c r="BW672">
        <f>IFERROR(INDEX(PP_Grid[#Data],$DE672,72),0)</f>
        <v/>
      </c>
      <c r="BX672">
        <f>IFERROR(INDEX(PP_Grid[#Data],$DE672,73),0)</f>
        <v/>
      </c>
      <c r="BY672">
        <f>IFERROR(INDEX(PP_Grid[#Data],$DE672,74),0)</f>
        <v/>
      </c>
      <c r="BZ672">
        <f>IFERROR(INDEX(PP_Grid[#Data],$DE672,75),0)</f>
        <v/>
      </c>
      <c r="CA672">
        <f>IFERROR(INDEX(PP_Grid[#Data],$DE672,76),0)</f>
        <v/>
      </c>
      <c r="CB672">
        <f>IFERROR(INDEX(PP_Grid[#Data],$DE672,77),0)</f>
        <v/>
      </c>
      <c r="CC672">
        <f>IFERROR(INDEX(PP_Grid[#Data],$DE672,78),0)</f>
        <v/>
      </c>
      <c r="CD672">
        <f>IFERROR(INDEX(PP_Grid[#Data],$DE672,79),0)</f>
        <v/>
      </c>
      <c r="CE672">
        <f>IFERROR(INDEX(PP_Grid[#Data],$DE672,80),0)</f>
        <v/>
      </c>
      <c r="CF672">
        <f>IFERROR(INDEX(PP_Grid[#Data],$DE672,81),0)</f>
        <v/>
      </c>
      <c r="CG672">
        <f>IFERROR(INDEX(PP_Grid[#Data],$DE672,82),0)</f>
        <v/>
      </c>
      <c r="CH672">
        <f>IFERROR(INDEX(PP_Grid[#Data],$DE672,83),0)</f>
        <v/>
      </c>
      <c r="CI672">
        <f>IFERROR(INDEX(PP_Grid[#Data],$DE672,84),0)</f>
        <v/>
      </c>
      <c r="CJ672">
        <f>IFERROR(INDEX(PP_Grid[#Data],$DE672,85),0)</f>
        <v/>
      </c>
      <c r="CK672">
        <f>IFERROR(INDEX(PP_Grid[#Data],$DE672,86),0)</f>
        <v/>
      </c>
      <c r="CL672">
        <f>IFERROR(INDEX(PP_Grid[#Data],$DE672,87),0)</f>
        <v/>
      </c>
      <c r="CM672">
        <f>IFERROR(INDEX(PP_Grid[#Data],$DE672,88),0)</f>
        <v/>
      </c>
      <c r="CN672">
        <f>IFERROR(INDEX(PP_Grid[#Data],$DE672,89),0)</f>
        <v/>
      </c>
      <c r="CO672">
        <f>IFERROR(INDEX(PP_Grid[#Data],$DE672,90),0)</f>
        <v/>
      </c>
      <c r="CP672">
        <f>IFERROR(INDEX(PP_Grid[#Data],$DE672,91),0)</f>
        <v/>
      </c>
      <c r="CQ672">
        <f>IFERROR(INDEX(PP_Grid[#Data],$DE672,92),0)</f>
        <v/>
      </c>
      <c r="CR672">
        <f>IFERROR(INDEX(PP_Grid[#Data],$DE672,93),0)</f>
        <v/>
      </c>
      <c r="CS672">
        <f>IFERROR(INDEX(PP_Grid[#Data],$DE672,94),0)</f>
        <v/>
      </c>
      <c r="CT672">
        <f>IFERROR(INDEX(PP_Grid[#Data],$DE672,95),0)</f>
        <v/>
      </c>
      <c r="CU672">
        <f>IFERROR(INDEX(PP_Grid[#Data],$DE672,96),0)</f>
        <v/>
      </c>
      <c r="CV672">
        <f>IFERROR(INDEX(PP_Grid[#Data],$DE672,97),0)</f>
        <v/>
      </c>
      <c r="CW672">
        <f>IFERROR(INDEX(PP_Grid[#Data],$DE672,98),0)</f>
        <v/>
      </c>
      <c r="CX672">
        <f>IFERROR(INDEX(PP_Grid[#Data],$DE672,99),0)</f>
        <v/>
      </c>
      <c r="CY672">
        <f>IFERROR(INDEX(PP_Grid[#Data],$DE672,100),0)</f>
        <v/>
      </c>
      <c r="CZ672">
        <f>IFERROR(INDEX(PP_Grid[#Data],$DE672,101),0)</f>
        <v/>
      </c>
      <c r="DA672">
        <f>IFERROR(INDEX(PP_Grid[#Data],$DE672,102),0)</f>
        <v/>
      </c>
      <c r="DB672">
        <f>IFERROR(INDEX(PP_Grid[#Data],$DE672,103),0)</f>
        <v/>
      </c>
      <c r="DC672">
        <f>IFERROR(INDEX(PP_Grid[#Data],$DE672,104),0)</f>
        <v/>
      </c>
      <c r="DD672">
        <f>IFERROR(INDEX(PP_Grid[#Data],$DE672,105),0)</f>
        <v/>
      </c>
      <c r="DE672" s="7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SUMIFS(M_BOM[RM_Qty_Per_Batch],M_BOM[Intermediate],$B672,M_BOM[RM_Code],$A615)</f>
        <v/>
      </c>
      <c r="D673">
        <f>IFERROR(INDEX(E673:DD673,$F$1),"")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  <c r="DD673">
        <f>$C673*DD672</f>
        <v/>
      </c>
    </row>
    <row r="674">
      <c r="B674" t="inlineStr">
        <is>
          <t>VSP-567</t>
        </is>
      </c>
      <c r="C674" t="inlineStr">
        <is>
          <t>No. of batches</t>
        </is>
      </c>
      <c r="D674">
        <f>IFERROR(INDEX(E674:DD674,$F$1),"")</f>
        <v/>
      </c>
      <c r="E674">
        <f>IFERROR(INDEX(PP_Grid[#Data],$DE674,2),0)</f>
        <v/>
      </c>
      <c r="F674">
        <f>IFERROR(INDEX(PP_Grid[#Data],$DE674,3),0)</f>
        <v/>
      </c>
      <c r="G674">
        <f>IFERROR(INDEX(PP_Grid[#Data],$DE674,4),0)</f>
        <v/>
      </c>
      <c r="H674">
        <f>IFERROR(INDEX(PP_Grid[#Data],$DE674,5),0)</f>
        <v/>
      </c>
      <c r="I674">
        <f>IFERROR(INDEX(PP_Grid[#Data],$DE674,6),0)</f>
        <v/>
      </c>
      <c r="J674">
        <f>IFERROR(INDEX(PP_Grid[#Data],$DE674,7),0)</f>
        <v/>
      </c>
      <c r="K674">
        <f>IFERROR(INDEX(PP_Grid[#Data],$DE674,8),0)</f>
        <v/>
      </c>
      <c r="L674">
        <f>IFERROR(INDEX(PP_Grid[#Data],$DE674,9),0)</f>
        <v/>
      </c>
      <c r="M674">
        <f>IFERROR(INDEX(PP_Grid[#Data],$DE674,10),0)</f>
        <v/>
      </c>
      <c r="N674">
        <f>IFERROR(INDEX(PP_Grid[#Data],$DE674,11),0)</f>
        <v/>
      </c>
      <c r="O674">
        <f>IFERROR(INDEX(PP_Grid[#Data],$DE674,12),0)</f>
        <v/>
      </c>
      <c r="P674">
        <f>IFERROR(INDEX(PP_Grid[#Data],$DE674,13),0)</f>
        <v/>
      </c>
      <c r="Q674">
        <f>IFERROR(INDEX(PP_Grid[#Data],$DE674,14),0)</f>
        <v/>
      </c>
      <c r="R674">
        <f>IFERROR(INDEX(PP_Grid[#Data],$DE674,15),0)</f>
        <v/>
      </c>
      <c r="S674">
        <f>IFERROR(INDEX(PP_Grid[#Data],$DE674,16),0)</f>
        <v/>
      </c>
      <c r="T674">
        <f>IFERROR(INDEX(PP_Grid[#Data],$DE674,17),0)</f>
        <v/>
      </c>
      <c r="U674">
        <f>IFERROR(INDEX(PP_Grid[#Data],$DE674,18),0)</f>
        <v/>
      </c>
      <c r="V674">
        <f>IFERROR(INDEX(PP_Grid[#Data],$DE674,19),0)</f>
        <v/>
      </c>
      <c r="W674">
        <f>IFERROR(INDEX(PP_Grid[#Data],$DE674,20),0)</f>
        <v/>
      </c>
      <c r="X674">
        <f>IFERROR(INDEX(PP_Grid[#Data],$DE674,21),0)</f>
        <v/>
      </c>
      <c r="Y674">
        <f>IFERROR(INDEX(PP_Grid[#Data],$DE674,22),0)</f>
        <v/>
      </c>
      <c r="Z674">
        <f>IFERROR(INDEX(PP_Grid[#Data],$DE674,23),0)</f>
        <v/>
      </c>
      <c r="AA674">
        <f>IFERROR(INDEX(PP_Grid[#Data],$DE674,24),0)</f>
        <v/>
      </c>
      <c r="AB674">
        <f>IFERROR(INDEX(PP_Grid[#Data],$DE674,25),0)</f>
        <v/>
      </c>
      <c r="AC674">
        <f>IFERROR(INDEX(PP_Grid[#Data],$DE674,26),0)</f>
        <v/>
      </c>
      <c r="AD674">
        <f>IFERROR(INDEX(PP_Grid[#Data],$DE674,27),0)</f>
        <v/>
      </c>
      <c r="AE674">
        <f>IFERROR(INDEX(PP_Grid[#Data],$DE674,28),0)</f>
        <v/>
      </c>
      <c r="AF674">
        <f>IFERROR(INDEX(PP_Grid[#Data],$DE674,29),0)</f>
        <v/>
      </c>
      <c r="AG674">
        <f>IFERROR(INDEX(PP_Grid[#Data],$DE674,30),0)</f>
        <v/>
      </c>
      <c r="AH674">
        <f>IFERROR(INDEX(PP_Grid[#Data],$DE674,31),0)</f>
        <v/>
      </c>
      <c r="AI674">
        <f>IFERROR(INDEX(PP_Grid[#Data],$DE674,32),0)</f>
        <v/>
      </c>
      <c r="AJ674">
        <f>IFERROR(INDEX(PP_Grid[#Data],$DE674,33),0)</f>
        <v/>
      </c>
      <c r="AK674">
        <f>IFERROR(INDEX(PP_Grid[#Data],$DE674,34),0)</f>
        <v/>
      </c>
      <c r="AL674">
        <f>IFERROR(INDEX(PP_Grid[#Data],$DE674,35),0)</f>
        <v/>
      </c>
      <c r="AM674">
        <f>IFERROR(INDEX(PP_Grid[#Data],$DE674,36),0)</f>
        <v/>
      </c>
      <c r="AN674">
        <f>IFERROR(INDEX(PP_Grid[#Data],$DE674,37),0)</f>
        <v/>
      </c>
      <c r="AO674">
        <f>IFERROR(INDEX(PP_Grid[#Data],$DE674,38),0)</f>
        <v/>
      </c>
      <c r="AP674">
        <f>IFERROR(INDEX(PP_Grid[#Data],$DE674,39),0)</f>
        <v/>
      </c>
      <c r="AQ674">
        <f>IFERROR(INDEX(PP_Grid[#Data],$DE674,40),0)</f>
        <v/>
      </c>
      <c r="AR674">
        <f>IFERROR(INDEX(PP_Grid[#Data],$DE674,41),0)</f>
        <v/>
      </c>
      <c r="AS674">
        <f>IFERROR(INDEX(PP_Grid[#Data],$DE674,42),0)</f>
        <v/>
      </c>
      <c r="AT674">
        <f>IFERROR(INDEX(PP_Grid[#Data],$DE674,43),0)</f>
        <v/>
      </c>
      <c r="AU674">
        <f>IFERROR(INDEX(PP_Grid[#Data],$DE674,44),0)</f>
        <v/>
      </c>
      <c r="AV674">
        <f>IFERROR(INDEX(PP_Grid[#Data],$DE674,45),0)</f>
        <v/>
      </c>
      <c r="AW674">
        <f>IFERROR(INDEX(PP_Grid[#Data],$DE674,46),0)</f>
        <v/>
      </c>
      <c r="AX674">
        <f>IFERROR(INDEX(PP_Grid[#Data],$DE674,47),0)</f>
        <v/>
      </c>
      <c r="AY674">
        <f>IFERROR(INDEX(PP_Grid[#Data],$DE674,48),0)</f>
        <v/>
      </c>
      <c r="AZ674">
        <f>IFERROR(INDEX(PP_Grid[#Data],$DE674,49),0)</f>
        <v/>
      </c>
      <c r="BA674">
        <f>IFERROR(INDEX(PP_Grid[#Data],$DE674,50),0)</f>
        <v/>
      </c>
      <c r="BB674">
        <f>IFERROR(INDEX(PP_Grid[#Data],$DE674,51),0)</f>
        <v/>
      </c>
      <c r="BC674">
        <f>IFERROR(INDEX(PP_Grid[#Data],$DE674,52),0)</f>
        <v/>
      </c>
      <c r="BD674">
        <f>IFERROR(INDEX(PP_Grid[#Data],$DE674,53),0)</f>
        <v/>
      </c>
      <c r="BE674">
        <f>IFERROR(INDEX(PP_Grid[#Data],$DE674,54),0)</f>
        <v/>
      </c>
      <c r="BF674">
        <f>IFERROR(INDEX(PP_Grid[#Data],$DE674,55),0)</f>
        <v/>
      </c>
      <c r="BG674">
        <f>IFERROR(INDEX(PP_Grid[#Data],$DE674,56),0)</f>
        <v/>
      </c>
      <c r="BH674">
        <f>IFERROR(INDEX(PP_Grid[#Data],$DE674,57),0)</f>
        <v/>
      </c>
      <c r="BI674">
        <f>IFERROR(INDEX(PP_Grid[#Data],$DE674,58),0)</f>
        <v/>
      </c>
      <c r="BJ674">
        <f>IFERROR(INDEX(PP_Grid[#Data],$DE674,59),0)</f>
        <v/>
      </c>
      <c r="BK674">
        <f>IFERROR(INDEX(PP_Grid[#Data],$DE674,60),0)</f>
        <v/>
      </c>
      <c r="BL674">
        <f>IFERROR(INDEX(PP_Grid[#Data],$DE674,61),0)</f>
        <v/>
      </c>
      <c r="BM674">
        <f>IFERROR(INDEX(PP_Grid[#Data],$DE674,62),0)</f>
        <v/>
      </c>
      <c r="BN674">
        <f>IFERROR(INDEX(PP_Grid[#Data],$DE674,63),0)</f>
        <v/>
      </c>
      <c r="BO674">
        <f>IFERROR(INDEX(PP_Grid[#Data],$DE674,64),0)</f>
        <v/>
      </c>
      <c r="BP674">
        <f>IFERROR(INDEX(PP_Grid[#Data],$DE674,65),0)</f>
        <v/>
      </c>
      <c r="BQ674">
        <f>IFERROR(INDEX(PP_Grid[#Data],$DE674,66),0)</f>
        <v/>
      </c>
      <c r="BR674">
        <f>IFERROR(INDEX(PP_Grid[#Data],$DE674,67),0)</f>
        <v/>
      </c>
      <c r="BS674">
        <f>IFERROR(INDEX(PP_Grid[#Data],$DE674,68),0)</f>
        <v/>
      </c>
      <c r="BT674">
        <f>IFERROR(INDEX(PP_Grid[#Data],$DE674,69),0)</f>
        <v/>
      </c>
      <c r="BU674">
        <f>IFERROR(INDEX(PP_Grid[#Data],$DE674,70),0)</f>
        <v/>
      </c>
      <c r="BV674">
        <f>IFERROR(INDEX(PP_Grid[#Data],$DE674,71),0)</f>
        <v/>
      </c>
      <c r="BW674">
        <f>IFERROR(INDEX(PP_Grid[#Data],$DE674,72),0)</f>
        <v/>
      </c>
      <c r="BX674">
        <f>IFERROR(INDEX(PP_Grid[#Data],$DE674,73),0)</f>
        <v/>
      </c>
      <c r="BY674">
        <f>IFERROR(INDEX(PP_Grid[#Data],$DE674,74),0)</f>
        <v/>
      </c>
      <c r="BZ674">
        <f>IFERROR(INDEX(PP_Grid[#Data],$DE674,75),0)</f>
        <v/>
      </c>
      <c r="CA674">
        <f>IFERROR(INDEX(PP_Grid[#Data],$DE674,76),0)</f>
        <v/>
      </c>
      <c r="CB674">
        <f>IFERROR(INDEX(PP_Grid[#Data],$DE674,77),0)</f>
        <v/>
      </c>
      <c r="CC674">
        <f>IFERROR(INDEX(PP_Grid[#Data],$DE674,78),0)</f>
        <v/>
      </c>
      <c r="CD674">
        <f>IFERROR(INDEX(PP_Grid[#Data],$DE674,79),0)</f>
        <v/>
      </c>
      <c r="CE674">
        <f>IFERROR(INDEX(PP_Grid[#Data],$DE674,80),0)</f>
        <v/>
      </c>
      <c r="CF674">
        <f>IFERROR(INDEX(PP_Grid[#Data],$DE674,81),0)</f>
        <v/>
      </c>
      <c r="CG674">
        <f>IFERROR(INDEX(PP_Grid[#Data],$DE674,82),0)</f>
        <v/>
      </c>
      <c r="CH674">
        <f>IFERROR(INDEX(PP_Grid[#Data],$DE674,83),0)</f>
        <v/>
      </c>
      <c r="CI674">
        <f>IFERROR(INDEX(PP_Grid[#Data],$DE674,84),0)</f>
        <v/>
      </c>
      <c r="CJ674">
        <f>IFERROR(INDEX(PP_Grid[#Data],$DE674,85),0)</f>
        <v/>
      </c>
      <c r="CK674">
        <f>IFERROR(INDEX(PP_Grid[#Data],$DE674,86),0)</f>
        <v/>
      </c>
      <c r="CL674">
        <f>IFERROR(INDEX(PP_Grid[#Data],$DE674,87),0)</f>
        <v/>
      </c>
      <c r="CM674">
        <f>IFERROR(INDEX(PP_Grid[#Data],$DE674,88),0)</f>
        <v/>
      </c>
      <c r="CN674">
        <f>IFERROR(INDEX(PP_Grid[#Data],$DE674,89),0)</f>
        <v/>
      </c>
      <c r="CO674">
        <f>IFERROR(INDEX(PP_Grid[#Data],$DE674,90),0)</f>
        <v/>
      </c>
      <c r="CP674">
        <f>IFERROR(INDEX(PP_Grid[#Data],$DE674,91),0)</f>
        <v/>
      </c>
      <c r="CQ674">
        <f>IFERROR(INDEX(PP_Grid[#Data],$DE674,92),0)</f>
        <v/>
      </c>
      <c r="CR674">
        <f>IFERROR(INDEX(PP_Grid[#Data],$DE674,93),0)</f>
        <v/>
      </c>
      <c r="CS674">
        <f>IFERROR(INDEX(PP_Grid[#Data],$DE674,94),0)</f>
        <v/>
      </c>
      <c r="CT674">
        <f>IFERROR(INDEX(PP_Grid[#Data],$DE674,95),0)</f>
        <v/>
      </c>
      <c r="CU674">
        <f>IFERROR(INDEX(PP_Grid[#Data],$DE674,96),0)</f>
        <v/>
      </c>
      <c r="CV674">
        <f>IFERROR(INDEX(PP_Grid[#Data],$DE674,97),0)</f>
        <v/>
      </c>
      <c r="CW674">
        <f>IFERROR(INDEX(PP_Grid[#Data],$DE674,98),0)</f>
        <v/>
      </c>
      <c r="CX674">
        <f>IFERROR(INDEX(PP_Grid[#Data],$DE674,99),0)</f>
        <v/>
      </c>
      <c r="CY674">
        <f>IFERROR(INDEX(PP_Grid[#Data],$DE674,100),0)</f>
        <v/>
      </c>
      <c r="CZ674">
        <f>IFERROR(INDEX(PP_Grid[#Data],$DE674,101),0)</f>
        <v/>
      </c>
      <c r="DA674">
        <f>IFERROR(INDEX(PP_Grid[#Data],$DE674,102),0)</f>
        <v/>
      </c>
      <c r="DB674">
        <f>IFERROR(INDEX(PP_Grid[#Data],$DE674,103),0)</f>
        <v/>
      </c>
      <c r="DC674">
        <f>IFERROR(INDEX(PP_Grid[#Data],$DE674,104),0)</f>
        <v/>
      </c>
      <c r="DD674">
        <f>IFERROR(INDEX(PP_Grid[#Data],$DE674,105),0)</f>
        <v/>
      </c>
      <c r="DE674" s="7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SUMIFS(M_BOM[RM_Qty_Per_Batch],M_BOM[Intermediate],$B674,M_BOM[RM_Code],$A615)</f>
        <v/>
      </c>
      <c r="D675">
        <f>IFERROR(INDEX(E675:DD675,$F$1),"")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  <c r="DD675">
        <f>$C675*DD674</f>
        <v/>
      </c>
    </row>
    <row r="676">
      <c r="B676" t="inlineStr">
        <is>
          <t>VSP-600</t>
        </is>
      </c>
      <c r="C676" t="inlineStr">
        <is>
          <t>No. of batches</t>
        </is>
      </c>
      <c r="D676">
        <f>IFERROR(INDEX(E676:DD676,$F$1),"")</f>
        <v/>
      </c>
      <c r="E676">
        <f>IFERROR(INDEX(PP_Grid[#Data],$DE676,2),0)</f>
        <v/>
      </c>
      <c r="F676">
        <f>IFERROR(INDEX(PP_Grid[#Data],$DE676,3),0)</f>
        <v/>
      </c>
      <c r="G676">
        <f>IFERROR(INDEX(PP_Grid[#Data],$DE676,4),0)</f>
        <v/>
      </c>
      <c r="H676">
        <f>IFERROR(INDEX(PP_Grid[#Data],$DE676,5),0)</f>
        <v/>
      </c>
      <c r="I676">
        <f>IFERROR(INDEX(PP_Grid[#Data],$DE676,6),0)</f>
        <v/>
      </c>
      <c r="J676">
        <f>IFERROR(INDEX(PP_Grid[#Data],$DE676,7),0)</f>
        <v/>
      </c>
      <c r="K676">
        <f>IFERROR(INDEX(PP_Grid[#Data],$DE676,8),0)</f>
        <v/>
      </c>
      <c r="L676">
        <f>IFERROR(INDEX(PP_Grid[#Data],$DE676,9),0)</f>
        <v/>
      </c>
      <c r="M676">
        <f>IFERROR(INDEX(PP_Grid[#Data],$DE676,10),0)</f>
        <v/>
      </c>
      <c r="N676">
        <f>IFERROR(INDEX(PP_Grid[#Data],$DE676,11),0)</f>
        <v/>
      </c>
      <c r="O676">
        <f>IFERROR(INDEX(PP_Grid[#Data],$DE676,12),0)</f>
        <v/>
      </c>
      <c r="P676">
        <f>IFERROR(INDEX(PP_Grid[#Data],$DE676,13),0)</f>
        <v/>
      </c>
      <c r="Q676">
        <f>IFERROR(INDEX(PP_Grid[#Data],$DE676,14),0)</f>
        <v/>
      </c>
      <c r="R676">
        <f>IFERROR(INDEX(PP_Grid[#Data],$DE676,15),0)</f>
        <v/>
      </c>
      <c r="S676">
        <f>IFERROR(INDEX(PP_Grid[#Data],$DE676,16),0)</f>
        <v/>
      </c>
      <c r="T676">
        <f>IFERROR(INDEX(PP_Grid[#Data],$DE676,17),0)</f>
        <v/>
      </c>
      <c r="U676">
        <f>IFERROR(INDEX(PP_Grid[#Data],$DE676,18),0)</f>
        <v/>
      </c>
      <c r="V676">
        <f>IFERROR(INDEX(PP_Grid[#Data],$DE676,19),0)</f>
        <v/>
      </c>
      <c r="W676">
        <f>IFERROR(INDEX(PP_Grid[#Data],$DE676,20),0)</f>
        <v/>
      </c>
      <c r="X676">
        <f>IFERROR(INDEX(PP_Grid[#Data],$DE676,21),0)</f>
        <v/>
      </c>
      <c r="Y676">
        <f>IFERROR(INDEX(PP_Grid[#Data],$DE676,22),0)</f>
        <v/>
      </c>
      <c r="Z676">
        <f>IFERROR(INDEX(PP_Grid[#Data],$DE676,23),0)</f>
        <v/>
      </c>
      <c r="AA676">
        <f>IFERROR(INDEX(PP_Grid[#Data],$DE676,24),0)</f>
        <v/>
      </c>
      <c r="AB676">
        <f>IFERROR(INDEX(PP_Grid[#Data],$DE676,25),0)</f>
        <v/>
      </c>
      <c r="AC676">
        <f>IFERROR(INDEX(PP_Grid[#Data],$DE676,26),0)</f>
        <v/>
      </c>
      <c r="AD676">
        <f>IFERROR(INDEX(PP_Grid[#Data],$DE676,27),0)</f>
        <v/>
      </c>
      <c r="AE676">
        <f>IFERROR(INDEX(PP_Grid[#Data],$DE676,28),0)</f>
        <v/>
      </c>
      <c r="AF676">
        <f>IFERROR(INDEX(PP_Grid[#Data],$DE676,29),0)</f>
        <v/>
      </c>
      <c r="AG676">
        <f>IFERROR(INDEX(PP_Grid[#Data],$DE676,30),0)</f>
        <v/>
      </c>
      <c r="AH676">
        <f>IFERROR(INDEX(PP_Grid[#Data],$DE676,31),0)</f>
        <v/>
      </c>
      <c r="AI676">
        <f>IFERROR(INDEX(PP_Grid[#Data],$DE676,32),0)</f>
        <v/>
      </c>
      <c r="AJ676">
        <f>IFERROR(INDEX(PP_Grid[#Data],$DE676,33),0)</f>
        <v/>
      </c>
      <c r="AK676">
        <f>IFERROR(INDEX(PP_Grid[#Data],$DE676,34),0)</f>
        <v/>
      </c>
      <c r="AL676">
        <f>IFERROR(INDEX(PP_Grid[#Data],$DE676,35),0)</f>
        <v/>
      </c>
      <c r="AM676">
        <f>IFERROR(INDEX(PP_Grid[#Data],$DE676,36),0)</f>
        <v/>
      </c>
      <c r="AN676">
        <f>IFERROR(INDEX(PP_Grid[#Data],$DE676,37),0)</f>
        <v/>
      </c>
      <c r="AO676">
        <f>IFERROR(INDEX(PP_Grid[#Data],$DE676,38),0)</f>
        <v/>
      </c>
      <c r="AP676">
        <f>IFERROR(INDEX(PP_Grid[#Data],$DE676,39),0)</f>
        <v/>
      </c>
      <c r="AQ676">
        <f>IFERROR(INDEX(PP_Grid[#Data],$DE676,40),0)</f>
        <v/>
      </c>
      <c r="AR676">
        <f>IFERROR(INDEX(PP_Grid[#Data],$DE676,41),0)</f>
        <v/>
      </c>
      <c r="AS676">
        <f>IFERROR(INDEX(PP_Grid[#Data],$DE676,42),0)</f>
        <v/>
      </c>
      <c r="AT676">
        <f>IFERROR(INDEX(PP_Grid[#Data],$DE676,43),0)</f>
        <v/>
      </c>
      <c r="AU676">
        <f>IFERROR(INDEX(PP_Grid[#Data],$DE676,44),0)</f>
        <v/>
      </c>
      <c r="AV676">
        <f>IFERROR(INDEX(PP_Grid[#Data],$DE676,45),0)</f>
        <v/>
      </c>
      <c r="AW676">
        <f>IFERROR(INDEX(PP_Grid[#Data],$DE676,46),0)</f>
        <v/>
      </c>
      <c r="AX676">
        <f>IFERROR(INDEX(PP_Grid[#Data],$DE676,47),0)</f>
        <v/>
      </c>
      <c r="AY676">
        <f>IFERROR(INDEX(PP_Grid[#Data],$DE676,48),0)</f>
        <v/>
      </c>
      <c r="AZ676">
        <f>IFERROR(INDEX(PP_Grid[#Data],$DE676,49),0)</f>
        <v/>
      </c>
      <c r="BA676">
        <f>IFERROR(INDEX(PP_Grid[#Data],$DE676,50),0)</f>
        <v/>
      </c>
      <c r="BB676">
        <f>IFERROR(INDEX(PP_Grid[#Data],$DE676,51),0)</f>
        <v/>
      </c>
      <c r="BC676">
        <f>IFERROR(INDEX(PP_Grid[#Data],$DE676,52),0)</f>
        <v/>
      </c>
      <c r="BD676">
        <f>IFERROR(INDEX(PP_Grid[#Data],$DE676,53),0)</f>
        <v/>
      </c>
      <c r="BE676">
        <f>IFERROR(INDEX(PP_Grid[#Data],$DE676,54),0)</f>
        <v/>
      </c>
      <c r="BF676">
        <f>IFERROR(INDEX(PP_Grid[#Data],$DE676,55),0)</f>
        <v/>
      </c>
      <c r="BG676">
        <f>IFERROR(INDEX(PP_Grid[#Data],$DE676,56),0)</f>
        <v/>
      </c>
      <c r="BH676">
        <f>IFERROR(INDEX(PP_Grid[#Data],$DE676,57),0)</f>
        <v/>
      </c>
      <c r="BI676">
        <f>IFERROR(INDEX(PP_Grid[#Data],$DE676,58),0)</f>
        <v/>
      </c>
      <c r="BJ676">
        <f>IFERROR(INDEX(PP_Grid[#Data],$DE676,59),0)</f>
        <v/>
      </c>
      <c r="BK676">
        <f>IFERROR(INDEX(PP_Grid[#Data],$DE676,60),0)</f>
        <v/>
      </c>
      <c r="BL676">
        <f>IFERROR(INDEX(PP_Grid[#Data],$DE676,61),0)</f>
        <v/>
      </c>
      <c r="BM676">
        <f>IFERROR(INDEX(PP_Grid[#Data],$DE676,62),0)</f>
        <v/>
      </c>
      <c r="BN676">
        <f>IFERROR(INDEX(PP_Grid[#Data],$DE676,63),0)</f>
        <v/>
      </c>
      <c r="BO676">
        <f>IFERROR(INDEX(PP_Grid[#Data],$DE676,64),0)</f>
        <v/>
      </c>
      <c r="BP676">
        <f>IFERROR(INDEX(PP_Grid[#Data],$DE676,65),0)</f>
        <v/>
      </c>
      <c r="BQ676">
        <f>IFERROR(INDEX(PP_Grid[#Data],$DE676,66),0)</f>
        <v/>
      </c>
      <c r="BR676">
        <f>IFERROR(INDEX(PP_Grid[#Data],$DE676,67),0)</f>
        <v/>
      </c>
      <c r="BS676">
        <f>IFERROR(INDEX(PP_Grid[#Data],$DE676,68),0)</f>
        <v/>
      </c>
      <c r="BT676">
        <f>IFERROR(INDEX(PP_Grid[#Data],$DE676,69),0)</f>
        <v/>
      </c>
      <c r="BU676">
        <f>IFERROR(INDEX(PP_Grid[#Data],$DE676,70),0)</f>
        <v/>
      </c>
      <c r="BV676">
        <f>IFERROR(INDEX(PP_Grid[#Data],$DE676,71),0)</f>
        <v/>
      </c>
      <c r="BW676">
        <f>IFERROR(INDEX(PP_Grid[#Data],$DE676,72),0)</f>
        <v/>
      </c>
      <c r="BX676">
        <f>IFERROR(INDEX(PP_Grid[#Data],$DE676,73),0)</f>
        <v/>
      </c>
      <c r="BY676">
        <f>IFERROR(INDEX(PP_Grid[#Data],$DE676,74),0)</f>
        <v/>
      </c>
      <c r="BZ676">
        <f>IFERROR(INDEX(PP_Grid[#Data],$DE676,75),0)</f>
        <v/>
      </c>
      <c r="CA676">
        <f>IFERROR(INDEX(PP_Grid[#Data],$DE676,76),0)</f>
        <v/>
      </c>
      <c r="CB676">
        <f>IFERROR(INDEX(PP_Grid[#Data],$DE676,77),0)</f>
        <v/>
      </c>
      <c r="CC676">
        <f>IFERROR(INDEX(PP_Grid[#Data],$DE676,78),0)</f>
        <v/>
      </c>
      <c r="CD676">
        <f>IFERROR(INDEX(PP_Grid[#Data],$DE676,79),0)</f>
        <v/>
      </c>
      <c r="CE676">
        <f>IFERROR(INDEX(PP_Grid[#Data],$DE676,80),0)</f>
        <v/>
      </c>
      <c r="CF676">
        <f>IFERROR(INDEX(PP_Grid[#Data],$DE676,81),0)</f>
        <v/>
      </c>
      <c r="CG676">
        <f>IFERROR(INDEX(PP_Grid[#Data],$DE676,82),0)</f>
        <v/>
      </c>
      <c r="CH676">
        <f>IFERROR(INDEX(PP_Grid[#Data],$DE676,83),0)</f>
        <v/>
      </c>
      <c r="CI676">
        <f>IFERROR(INDEX(PP_Grid[#Data],$DE676,84),0)</f>
        <v/>
      </c>
      <c r="CJ676">
        <f>IFERROR(INDEX(PP_Grid[#Data],$DE676,85),0)</f>
        <v/>
      </c>
      <c r="CK676">
        <f>IFERROR(INDEX(PP_Grid[#Data],$DE676,86),0)</f>
        <v/>
      </c>
      <c r="CL676">
        <f>IFERROR(INDEX(PP_Grid[#Data],$DE676,87),0)</f>
        <v/>
      </c>
      <c r="CM676">
        <f>IFERROR(INDEX(PP_Grid[#Data],$DE676,88),0)</f>
        <v/>
      </c>
      <c r="CN676">
        <f>IFERROR(INDEX(PP_Grid[#Data],$DE676,89),0)</f>
        <v/>
      </c>
      <c r="CO676">
        <f>IFERROR(INDEX(PP_Grid[#Data],$DE676,90),0)</f>
        <v/>
      </c>
      <c r="CP676">
        <f>IFERROR(INDEX(PP_Grid[#Data],$DE676,91),0)</f>
        <v/>
      </c>
      <c r="CQ676">
        <f>IFERROR(INDEX(PP_Grid[#Data],$DE676,92),0)</f>
        <v/>
      </c>
      <c r="CR676">
        <f>IFERROR(INDEX(PP_Grid[#Data],$DE676,93),0)</f>
        <v/>
      </c>
      <c r="CS676">
        <f>IFERROR(INDEX(PP_Grid[#Data],$DE676,94),0)</f>
        <v/>
      </c>
      <c r="CT676">
        <f>IFERROR(INDEX(PP_Grid[#Data],$DE676,95),0)</f>
        <v/>
      </c>
      <c r="CU676">
        <f>IFERROR(INDEX(PP_Grid[#Data],$DE676,96),0)</f>
        <v/>
      </c>
      <c r="CV676">
        <f>IFERROR(INDEX(PP_Grid[#Data],$DE676,97),0)</f>
        <v/>
      </c>
      <c r="CW676">
        <f>IFERROR(INDEX(PP_Grid[#Data],$DE676,98),0)</f>
        <v/>
      </c>
      <c r="CX676">
        <f>IFERROR(INDEX(PP_Grid[#Data],$DE676,99),0)</f>
        <v/>
      </c>
      <c r="CY676">
        <f>IFERROR(INDEX(PP_Grid[#Data],$DE676,100),0)</f>
        <v/>
      </c>
      <c r="CZ676">
        <f>IFERROR(INDEX(PP_Grid[#Data],$DE676,101),0)</f>
        <v/>
      </c>
      <c r="DA676">
        <f>IFERROR(INDEX(PP_Grid[#Data],$DE676,102),0)</f>
        <v/>
      </c>
      <c r="DB676">
        <f>IFERROR(INDEX(PP_Grid[#Data],$DE676,103),0)</f>
        <v/>
      </c>
      <c r="DC676">
        <f>IFERROR(INDEX(PP_Grid[#Data],$DE676,104),0)</f>
        <v/>
      </c>
      <c r="DD676">
        <f>IFERROR(INDEX(PP_Grid[#Data],$DE676,105),0)</f>
        <v/>
      </c>
      <c r="DE676" s="7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SUMIFS(M_BOM[RM_Qty_Per_Batch],M_BOM[Intermediate],$B676,M_BOM[RM_Code],$A615)</f>
        <v/>
      </c>
      <c r="D677">
        <f>IFERROR(INDEX(E677:DD677,$F$1),"")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  <c r="DD677">
        <f>$C677*DD676</f>
        <v/>
      </c>
    </row>
    <row r="678">
      <c r="B678" t="inlineStr">
        <is>
          <t>VSP-601</t>
        </is>
      </c>
      <c r="C678" t="inlineStr">
        <is>
          <t>No. of batches</t>
        </is>
      </c>
      <c r="D678">
        <f>IFERROR(INDEX(E678:DD678,$F$1),"")</f>
        <v/>
      </c>
      <c r="E678">
        <f>IFERROR(INDEX(PP_Grid[#Data],$DE678,2),0)</f>
        <v/>
      </c>
      <c r="F678">
        <f>IFERROR(INDEX(PP_Grid[#Data],$DE678,3),0)</f>
        <v/>
      </c>
      <c r="G678">
        <f>IFERROR(INDEX(PP_Grid[#Data],$DE678,4),0)</f>
        <v/>
      </c>
      <c r="H678">
        <f>IFERROR(INDEX(PP_Grid[#Data],$DE678,5),0)</f>
        <v/>
      </c>
      <c r="I678">
        <f>IFERROR(INDEX(PP_Grid[#Data],$DE678,6),0)</f>
        <v/>
      </c>
      <c r="J678">
        <f>IFERROR(INDEX(PP_Grid[#Data],$DE678,7),0)</f>
        <v/>
      </c>
      <c r="K678">
        <f>IFERROR(INDEX(PP_Grid[#Data],$DE678,8),0)</f>
        <v/>
      </c>
      <c r="L678">
        <f>IFERROR(INDEX(PP_Grid[#Data],$DE678,9),0)</f>
        <v/>
      </c>
      <c r="M678">
        <f>IFERROR(INDEX(PP_Grid[#Data],$DE678,10),0)</f>
        <v/>
      </c>
      <c r="N678">
        <f>IFERROR(INDEX(PP_Grid[#Data],$DE678,11),0)</f>
        <v/>
      </c>
      <c r="O678">
        <f>IFERROR(INDEX(PP_Grid[#Data],$DE678,12),0)</f>
        <v/>
      </c>
      <c r="P678">
        <f>IFERROR(INDEX(PP_Grid[#Data],$DE678,13),0)</f>
        <v/>
      </c>
      <c r="Q678">
        <f>IFERROR(INDEX(PP_Grid[#Data],$DE678,14),0)</f>
        <v/>
      </c>
      <c r="R678">
        <f>IFERROR(INDEX(PP_Grid[#Data],$DE678,15),0)</f>
        <v/>
      </c>
      <c r="S678">
        <f>IFERROR(INDEX(PP_Grid[#Data],$DE678,16),0)</f>
        <v/>
      </c>
      <c r="T678">
        <f>IFERROR(INDEX(PP_Grid[#Data],$DE678,17),0)</f>
        <v/>
      </c>
      <c r="U678">
        <f>IFERROR(INDEX(PP_Grid[#Data],$DE678,18),0)</f>
        <v/>
      </c>
      <c r="V678">
        <f>IFERROR(INDEX(PP_Grid[#Data],$DE678,19),0)</f>
        <v/>
      </c>
      <c r="W678">
        <f>IFERROR(INDEX(PP_Grid[#Data],$DE678,20),0)</f>
        <v/>
      </c>
      <c r="X678">
        <f>IFERROR(INDEX(PP_Grid[#Data],$DE678,21),0)</f>
        <v/>
      </c>
      <c r="Y678">
        <f>IFERROR(INDEX(PP_Grid[#Data],$DE678,22),0)</f>
        <v/>
      </c>
      <c r="Z678">
        <f>IFERROR(INDEX(PP_Grid[#Data],$DE678,23),0)</f>
        <v/>
      </c>
      <c r="AA678">
        <f>IFERROR(INDEX(PP_Grid[#Data],$DE678,24),0)</f>
        <v/>
      </c>
      <c r="AB678">
        <f>IFERROR(INDEX(PP_Grid[#Data],$DE678,25),0)</f>
        <v/>
      </c>
      <c r="AC678">
        <f>IFERROR(INDEX(PP_Grid[#Data],$DE678,26),0)</f>
        <v/>
      </c>
      <c r="AD678">
        <f>IFERROR(INDEX(PP_Grid[#Data],$DE678,27),0)</f>
        <v/>
      </c>
      <c r="AE678">
        <f>IFERROR(INDEX(PP_Grid[#Data],$DE678,28),0)</f>
        <v/>
      </c>
      <c r="AF678">
        <f>IFERROR(INDEX(PP_Grid[#Data],$DE678,29),0)</f>
        <v/>
      </c>
      <c r="AG678">
        <f>IFERROR(INDEX(PP_Grid[#Data],$DE678,30),0)</f>
        <v/>
      </c>
      <c r="AH678">
        <f>IFERROR(INDEX(PP_Grid[#Data],$DE678,31),0)</f>
        <v/>
      </c>
      <c r="AI678">
        <f>IFERROR(INDEX(PP_Grid[#Data],$DE678,32),0)</f>
        <v/>
      </c>
      <c r="AJ678">
        <f>IFERROR(INDEX(PP_Grid[#Data],$DE678,33),0)</f>
        <v/>
      </c>
      <c r="AK678">
        <f>IFERROR(INDEX(PP_Grid[#Data],$DE678,34),0)</f>
        <v/>
      </c>
      <c r="AL678">
        <f>IFERROR(INDEX(PP_Grid[#Data],$DE678,35),0)</f>
        <v/>
      </c>
      <c r="AM678">
        <f>IFERROR(INDEX(PP_Grid[#Data],$DE678,36),0)</f>
        <v/>
      </c>
      <c r="AN678">
        <f>IFERROR(INDEX(PP_Grid[#Data],$DE678,37),0)</f>
        <v/>
      </c>
      <c r="AO678">
        <f>IFERROR(INDEX(PP_Grid[#Data],$DE678,38),0)</f>
        <v/>
      </c>
      <c r="AP678">
        <f>IFERROR(INDEX(PP_Grid[#Data],$DE678,39),0)</f>
        <v/>
      </c>
      <c r="AQ678">
        <f>IFERROR(INDEX(PP_Grid[#Data],$DE678,40),0)</f>
        <v/>
      </c>
      <c r="AR678">
        <f>IFERROR(INDEX(PP_Grid[#Data],$DE678,41),0)</f>
        <v/>
      </c>
      <c r="AS678">
        <f>IFERROR(INDEX(PP_Grid[#Data],$DE678,42),0)</f>
        <v/>
      </c>
      <c r="AT678">
        <f>IFERROR(INDEX(PP_Grid[#Data],$DE678,43),0)</f>
        <v/>
      </c>
      <c r="AU678">
        <f>IFERROR(INDEX(PP_Grid[#Data],$DE678,44),0)</f>
        <v/>
      </c>
      <c r="AV678">
        <f>IFERROR(INDEX(PP_Grid[#Data],$DE678,45),0)</f>
        <v/>
      </c>
      <c r="AW678">
        <f>IFERROR(INDEX(PP_Grid[#Data],$DE678,46),0)</f>
        <v/>
      </c>
      <c r="AX678">
        <f>IFERROR(INDEX(PP_Grid[#Data],$DE678,47),0)</f>
        <v/>
      </c>
      <c r="AY678">
        <f>IFERROR(INDEX(PP_Grid[#Data],$DE678,48),0)</f>
        <v/>
      </c>
      <c r="AZ678">
        <f>IFERROR(INDEX(PP_Grid[#Data],$DE678,49),0)</f>
        <v/>
      </c>
      <c r="BA678">
        <f>IFERROR(INDEX(PP_Grid[#Data],$DE678,50),0)</f>
        <v/>
      </c>
      <c r="BB678">
        <f>IFERROR(INDEX(PP_Grid[#Data],$DE678,51),0)</f>
        <v/>
      </c>
      <c r="BC678">
        <f>IFERROR(INDEX(PP_Grid[#Data],$DE678,52),0)</f>
        <v/>
      </c>
      <c r="BD678">
        <f>IFERROR(INDEX(PP_Grid[#Data],$DE678,53),0)</f>
        <v/>
      </c>
      <c r="BE678">
        <f>IFERROR(INDEX(PP_Grid[#Data],$DE678,54),0)</f>
        <v/>
      </c>
      <c r="BF678">
        <f>IFERROR(INDEX(PP_Grid[#Data],$DE678,55),0)</f>
        <v/>
      </c>
      <c r="BG678">
        <f>IFERROR(INDEX(PP_Grid[#Data],$DE678,56),0)</f>
        <v/>
      </c>
      <c r="BH678">
        <f>IFERROR(INDEX(PP_Grid[#Data],$DE678,57),0)</f>
        <v/>
      </c>
      <c r="BI678">
        <f>IFERROR(INDEX(PP_Grid[#Data],$DE678,58),0)</f>
        <v/>
      </c>
      <c r="BJ678">
        <f>IFERROR(INDEX(PP_Grid[#Data],$DE678,59),0)</f>
        <v/>
      </c>
      <c r="BK678">
        <f>IFERROR(INDEX(PP_Grid[#Data],$DE678,60),0)</f>
        <v/>
      </c>
      <c r="BL678">
        <f>IFERROR(INDEX(PP_Grid[#Data],$DE678,61),0)</f>
        <v/>
      </c>
      <c r="BM678">
        <f>IFERROR(INDEX(PP_Grid[#Data],$DE678,62),0)</f>
        <v/>
      </c>
      <c r="BN678">
        <f>IFERROR(INDEX(PP_Grid[#Data],$DE678,63),0)</f>
        <v/>
      </c>
      <c r="BO678">
        <f>IFERROR(INDEX(PP_Grid[#Data],$DE678,64),0)</f>
        <v/>
      </c>
      <c r="BP678">
        <f>IFERROR(INDEX(PP_Grid[#Data],$DE678,65),0)</f>
        <v/>
      </c>
      <c r="BQ678">
        <f>IFERROR(INDEX(PP_Grid[#Data],$DE678,66),0)</f>
        <v/>
      </c>
      <c r="BR678">
        <f>IFERROR(INDEX(PP_Grid[#Data],$DE678,67),0)</f>
        <v/>
      </c>
      <c r="BS678">
        <f>IFERROR(INDEX(PP_Grid[#Data],$DE678,68),0)</f>
        <v/>
      </c>
      <c r="BT678">
        <f>IFERROR(INDEX(PP_Grid[#Data],$DE678,69),0)</f>
        <v/>
      </c>
      <c r="BU678">
        <f>IFERROR(INDEX(PP_Grid[#Data],$DE678,70),0)</f>
        <v/>
      </c>
      <c r="BV678">
        <f>IFERROR(INDEX(PP_Grid[#Data],$DE678,71),0)</f>
        <v/>
      </c>
      <c r="BW678">
        <f>IFERROR(INDEX(PP_Grid[#Data],$DE678,72),0)</f>
        <v/>
      </c>
      <c r="BX678">
        <f>IFERROR(INDEX(PP_Grid[#Data],$DE678,73),0)</f>
        <v/>
      </c>
      <c r="BY678">
        <f>IFERROR(INDEX(PP_Grid[#Data],$DE678,74),0)</f>
        <v/>
      </c>
      <c r="BZ678">
        <f>IFERROR(INDEX(PP_Grid[#Data],$DE678,75),0)</f>
        <v/>
      </c>
      <c r="CA678">
        <f>IFERROR(INDEX(PP_Grid[#Data],$DE678,76),0)</f>
        <v/>
      </c>
      <c r="CB678">
        <f>IFERROR(INDEX(PP_Grid[#Data],$DE678,77),0)</f>
        <v/>
      </c>
      <c r="CC678">
        <f>IFERROR(INDEX(PP_Grid[#Data],$DE678,78),0)</f>
        <v/>
      </c>
      <c r="CD678">
        <f>IFERROR(INDEX(PP_Grid[#Data],$DE678,79),0)</f>
        <v/>
      </c>
      <c r="CE678">
        <f>IFERROR(INDEX(PP_Grid[#Data],$DE678,80),0)</f>
        <v/>
      </c>
      <c r="CF678">
        <f>IFERROR(INDEX(PP_Grid[#Data],$DE678,81),0)</f>
        <v/>
      </c>
      <c r="CG678">
        <f>IFERROR(INDEX(PP_Grid[#Data],$DE678,82),0)</f>
        <v/>
      </c>
      <c r="CH678">
        <f>IFERROR(INDEX(PP_Grid[#Data],$DE678,83),0)</f>
        <v/>
      </c>
      <c r="CI678">
        <f>IFERROR(INDEX(PP_Grid[#Data],$DE678,84),0)</f>
        <v/>
      </c>
      <c r="CJ678">
        <f>IFERROR(INDEX(PP_Grid[#Data],$DE678,85),0)</f>
        <v/>
      </c>
      <c r="CK678">
        <f>IFERROR(INDEX(PP_Grid[#Data],$DE678,86),0)</f>
        <v/>
      </c>
      <c r="CL678">
        <f>IFERROR(INDEX(PP_Grid[#Data],$DE678,87),0)</f>
        <v/>
      </c>
      <c r="CM678">
        <f>IFERROR(INDEX(PP_Grid[#Data],$DE678,88),0)</f>
        <v/>
      </c>
      <c r="CN678">
        <f>IFERROR(INDEX(PP_Grid[#Data],$DE678,89),0)</f>
        <v/>
      </c>
      <c r="CO678">
        <f>IFERROR(INDEX(PP_Grid[#Data],$DE678,90),0)</f>
        <v/>
      </c>
      <c r="CP678">
        <f>IFERROR(INDEX(PP_Grid[#Data],$DE678,91),0)</f>
        <v/>
      </c>
      <c r="CQ678">
        <f>IFERROR(INDEX(PP_Grid[#Data],$DE678,92),0)</f>
        <v/>
      </c>
      <c r="CR678">
        <f>IFERROR(INDEX(PP_Grid[#Data],$DE678,93),0)</f>
        <v/>
      </c>
      <c r="CS678">
        <f>IFERROR(INDEX(PP_Grid[#Data],$DE678,94),0)</f>
        <v/>
      </c>
      <c r="CT678">
        <f>IFERROR(INDEX(PP_Grid[#Data],$DE678,95),0)</f>
        <v/>
      </c>
      <c r="CU678">
        <f>IFERROR(INDEX(PP_Grid[#Data],$DE678,96),0)</f>
        <v/>
      </c>
      <c r="CV678">
        <f>IFERROR(INDEX(PP_Grid[#Data],$DE678,97),0)</f>
        <v/>
      </c>
      <c r="CW678">
        <f>IFERROR(INDEX(PP_Grid[#Data],$DE678,98),0)</f>
        <v/>
      </c>
      <c r="CX678">
        <f>IFERROR(INDEX(PP_Grid[#Data],$DE678,99),0)</f>
        <v/>
      </c>
      <c r="CY678">
        <f>IFERROR(INDEX(PP_Grid[#Data],$DE678,100),0)</f>
        <v/>
      </c>
      <c r="CZ678">
        <f>IFERROR(INDEX(PP_Grid[#Data],$DE678,101),0)</f>
        <v/>
      </c>
      <c r="DA678">
        <f>IFERROR(INDEX(PP_Grid[#Data],$DE678,102),0)</f>
        <v/>
      </c>
      <c r="DB678">
        <f>IFERROR(INDEX(PP_Grid[#Data],$DE678,103),0)</f>
        <v/>
      </c>
      <c r="DC678">
        <f>IFERROR(INDEX(PP_Grid[#Data],$DE678,104),0)</f>
        <v/>
      </c>
      <c r="DD678">
        <f>IFERROR(INDEX(PP_Grid[#Data],$DE678,105),0)</f>
        <v/>
      </c>
      <c r="DE678" s="7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SUMIFS(M_BOM[RM_Qty_Per_Batch],M_BOM[Intermediate],$B678,M_BOM[RM_Code],$A615)</f>
        <v/>
      </c>
      <c r="D679">
        <f>IFERROR(INDEX(E679:DD679,$F$1),"")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  <c r="DD679">
        <f>$C679*DD678</f>
        <v/>
      </c>
    </row>
    <row r="680">
      <c r="B680" t="inlineStr">
        <is>
          <t>VSP-602</t>
        </is>
      </c>
      <c r="C680" t="inlineStr">
        <is>
          <t>No. of batches</t>
        </is>
      </c>
      <c r="D680">
        <f>IFERROR(INDEX(E680:DD680,$F$1),"")</f>
        <v/>
      </c>
      <c r="E680">
        <f>IFERROR(INDEX(PP_Grid[#Data],$DE680,2),0)</f>
        <v/>
      </c>
      <c r="F680">
        <f>IFERROR(INDEX(PP_Grid[#Data],$DE680,3),0)</f>
        <v/>
      </c>
      <c r="G680">
        <f>IFERROR(INDEX(PP_Grid[#Data],$DE680,4),0)</f>
        <v/>
      </c>
      <c r="H680">
        <f>IFERROR(INDEX(PP_Grid[#Data],$DE680,5),0)</f>
        <v/>
      </c>
      <c r="I680">
        <f>IFERROR(INDEX(PP_Grid[#Data],$DE680,6),0)</f>
        <v/>
      </c>
      <c r="J680">
        <f>IFERROR(INDEX(PP_Grid[#Data],$DE680,7),0)</f>
        <v/>
      </c>
      <c r="K680">
        <f>IFERROR(INDEX(PP_Grid[#Data],$DE680,8),0)</f>
        <v/>
      </c>
      <c r="L680">
        <f>IFERROR(INDEX(PP_Grid[#Data],$DE680,9),0)</f>
        <v/>
      </c>
      <c r="M680">
        <f>IFERROR(INDEX(PP_Grid[#Data],$DE680,10),0)</f>
        <v/>
      </c>
      <c r="N680">
        <f>IFERROR(INDEX(PP_Grid[#Data],$DE680,11),0)</f>
        <v/>
      </c>
      <c r="O680">
        <f>IFERROR(INDEX(PP_Grid[#Data],$DE680,12),0)</f>
        <v/>
      </c>
      <c r="P680">
        <f>IFERROR(INDEX(PP_Grid[#Data],$DE680,13),0)</f>
        <v/>
      </c>
      <c r="Q680">
        <f>IFERROR(INDEX(PP_Grid[#Data],$DE680,14),0)</f>
        <v/>
      </c>
      <c r="R680">
        <f>IFERROR(INDEX(PP_Grid[#Data],$DE680,15),0)</f>
        <v/>
      </c>
      <c r="S680">
        <f>IFERROR(INDEX(PP_Grid[#Data],$DE680,16),0)</f>
        <v/>
      </c>
      <c r="T680">
        <f>IFERROR(INDEX(PP_Grid[#Data],$DE680,17),0)</f>
        <v/>
      </c>
      <c r="U680">
        <f>IFERROR(INDEX(PP_Grid[#Data],$DE680,18),0)</f>
        <v/>
      </c>
      <c r="V680">
        <f>IFERROR(INDEX(PP_Grid[#Data],$DE680,19),0)</f>
        <v/>
      </c>
      <c r="W680">
        <f>IFERROR(INDEX(PP_Grid[#Data],$DE680,20),0)</f>
        <v/>
      </c>
      <c r="X680">
        <f>IFERROR(INDEX(PP_Grid[#Data],$DE680,21),0)</f>
        <v/>
      </c>
      <c r="Y680">
        <f>IFERROR(INDEX(PP_Grid[#Data],$DE680,22),0)</f>
        <v/>
      </c>
      <c r="Z680">
        <f>IFERROR(INDEX(PP_Grid[#Data],$DE680,23),0)</f>
        <v/>
      </c>
      <c r="AA680">
        <f>IFERROR(INDEX(PP_Grid[#Data],$DE680,24),0)</f>
        <v/>
      </c>
      <c r="AB680">
        <f>IFERROR(INDEX(PP_Grid[#Data],$DE680,25),0)</f>
        <v/>
      </c>
      <c r="AC680">
        <f>IFERROR(INDEX(PP_Grid[#Data],$DE680,26),0)</f>
        <v/>
      </c>
      <c r="AD680">
        <f>IFERROR(INDEX(PP_Grid[#Data],$DE680,27),0)</f>
        <v/>
      </c>
      <c r="AE680">
        <f>IFERROR(INDEX(PP_Grid[#Data],$DE680,28),0)</f>
        <v/>
      </c>
      <c r="AF680">
        <f>IFERROR(INDEX(PP_Grid[#Data],$DE680,29),0)</f>
        <v/>
      </c>
      <c r="AG680">
        <f>IFERROR(INDEX(PP_Grid[#Data],$DE680,30),0)</f>
        <v/>
      </c>
      <c r="AH680">
        <f>IFERROR(INDEX(PP_Grid[#Data],$DE680,31),0)</f>
        <v/>
      </c>
      <c r="AI680">
        <f>IFERROR(INDEX(PP_Grid[#Data],$DE680,32),0)</f>
        <v/>
      </c>
      <c r="AJ680">
        <f>IFERROR(INDEX(PP_Grid[#Data],$DE680,33),0)</f>
        <v/>
      </c>
      <c r="AK680">
        <f>IFERROR(INDEX(PP_Grid[#Data],$DE680,34),0)</f>
        <v/>
      </c>
      <c r="AL680">
        <f>IFERROR(INDEX(PP_Grid[#Data],$DE680,35),0)</f>
        <v/>
      </c>
      <c r="AM680">
        <f>IFERROR(INDEX(PP_Grid[#Data],$DE680,36),0)</f>
        <v/>
      </c>
      <c r="AN680">
        <f>IFERROR(INDEX(PP_Grid[#Data],$DE680,37),0)</f>
        <v/>
      </c>
      <c r="AO680">
        <f>IFERROR(INDEX(PP_Grid[#Data],$DE680,38),0)</f>
        <v/>
      </c>
      <c r="AP680">
        <f>IFERROR(INDEX(PP_Grid[#Data],$DE680,39),0)</f>
        <v/>
      </c>
      <c r="AQ680">
        <f>IFERROR(INDEX(PP_Grid[#Data],$DE680,40),0)</f>
        <v/>
      </c>
      <c r="AR680">
        <f>IFERROR(INDEX(PP_Grid[#Data],$DE680,41),0)</f>
        <v/>
      </c>
      <c r="AS680">
        <f>IFERROR(INDEX(PP_Grid[#Data],$DE680,42),0)</f>
        <v/>
      </c>
      <c r="AT680">
        <f>IFERROR(INDEX(PP_Grid[#Data],$DE680,43),0)</f>
        <v/>
      </c>
      <c r="AU680">
        <f>IFERROR(INDEX(PP_Grid[#Data],$DE680,44),0)</f>
        <v/>
      </c>
      <c r="AV680">
        <f>IFERROR(INDEX(PP_Grid[#Data],$DE680,45),0)</f>
        <v/>
      </c>
      <c r="AW680">
        <f>IFERROR(INDEX(PP_Grid[#Data],$DE680,46),0)</f>
        <v/>
      </c>
      <c r="AX680">
        <f>IFERROR(INDEX(PP_Grid[#Data],$DE680,47),0)</f>
        <v/>
      </c>
      <c r="AY680">
        <f>IFERROR(INDEX(PP_Grid[#Data],$DE680,48),0)</f>
        <v/>
      </c>
      <c r="AZ680">
        <f>IFERROR(INDEX(PP_Grid[#Data],$DE680,49),0)</f>
        <v/>
      </c>
      <c r="BA680">
        <f>IFERROR(INDEX(PP_Grid[#Data],$DE680,50),0)</f>
        <v/>
      </c>
      <c r="BB680">
        <f>IFERROR(INDEX(PP_Grid[#Data],$DE680,51),0)</f>
        <v/>
      </c>
      <c r="BC680">
        <f>IFERROR(INDEX(PP_Grid[#Data],$DE680,52),0)</f>
        <v/>
      </c>
      <c r="BD680">
        <f>IFERROR(INDEX(PP_Grid[#Data],$DE680,53),0)</f>
        <v/>
      </c>
      <c r="BE680">
        <f>IFERROR(INDEX(PP_Grid[#Data],$DE680,54),0)</f>
        <v/>
      </c>
      <c r="BF680">
        <f>IFERROR(INDEX(PP_Grid[#Data],$DE680,55),0)</f>
        <v/>
      </c>
      <c r="BG680">
        <f>IFERROR(INDEX(PP_Grid[#Data],$DE680,56),0)</f>
        <v/>
      </c>
      <c r="BH680">
        <f>IFERROR(INDEX(PP_Grid[#Data],$DE680,57),0)</f>
        <v/>
      </c>
      <c r="BI680">
        <f>IFERROR(INDEX(PP_Grid[#Data],$DE680,58),0)</f>
        <v/>
      </c>
      <c r="BJ680">
        <f>IFERROR(INDEX(PP_Grid[#Data],$DE680,59),0)</f>
        <v/>
      </c>
      <c r="BK680">
        <f>IFERROR(INDEX(PP_Grid[#Data],$DE680,60),0)</f>
        <v/>
      </c>
      <c r="BL680">
        <f>IFERROR(INDEX(PP_Grid[#Data],$DE680,61),0)</f>
        <v/>
      </c>
      <c r="BM680">
        <f>IFERROR(INDEX(PP_Grid[#Data],$DE680,62),0)</f>
        <v/>
      </c>
      <c r="BN680">
        <f>IFERROR(INDEX(PP_Grid[#Data],$DE680,63),0)</f>
        <v/>
      </c>
      <c r="BO680">
        <f>IFERROR(INDEX(PP_Grid[#Data],$DE680,64),0)</f>
        <v/>
      </c>
      <c r="BP680">
        <f>IFERROR(INDEX(PP_Grid[#Data],$DE680,65),0)</f>
        <v/>
      </c>
      <c r="BQ680">
        <f>IFERROR(INDEX(PP_Grid[#Data],$DE680,66),0)</f>
        <v/>
      </c>
      <c r="BR680">
        <f>IFERROR(INDEX(PP_Grid[#Data],$DE680,67),0)</f>
        <v/>
      </c>
      <c r="BS680">
        <f>IFERROR(INDEX(PP_Grid[#Data],$DE680,68),0)</f>
        <v/>
      </c>
      <c r="BT680">
        <f>IFERROR(INDEX(PP_Grid[#Data],$DE680,69),0)</f>
        <v/>
      </c>
      <c r="BU680">
        <f>IFERROR(INDEX(PP_Grid[#Data],$DE680,70),0)</f>
        <v/>
      </c>
      <c r="BV680">
        <f>IFERROR(INDEX(PP_Grid[#Data],$DE680,71),0)</f>
        <v/>
      </c>
      <c r="BW680">
        <f>IFERROR(INDEX(PP_Grid[#Data],$DE680,72),0)</f>
        <v/>
      </c>
      <c r="BX680">
        <f>IFERROR(INDEX(PP_Grid[#Data],$DE680,73),0)</f>
        <v/>
      </c>
      <c r="BY680">
        <f>IFERROR(INDEX(PP_Grid[#Data],$DE680,74),0)</f>
        <v/>
      </c>
      <c r="BZ680">
        <f>IFERROR(INDEX(PP_Grid[#Data],$DE680,75),0)</f>
        <v/>
      </c>
      <c r="CA680">
        <f>IFERROR(INDEX(PP_Grid[#Data],$DE680,76),0)</f>
        <v/>
      </c>
      <c r="CB680">
        <f>IFERROR(INDEX(PP_Grid[#Data],$DE680,77),0)</f>
        <v/>
      </c>
      <c r="CC680">
        <f>IFERROR(INDEX(PP_Grid[#Data],$DE680,78),0)</f>
        <v/>
      </c>
      <c r="CD680">
        <f>IFERROR(INDEX(PP_Grid[#Data],$DE680,79),0)</f>
        <v/>
      </c>
      <c r="CE680">
        <f>IFERROR(INDEX(PP_Grid[#Data],$DE680,80),0)</f>
        <v/>
      </c>
      <c r="CF680">
        <f>IFERROR(INDEX(PP_Grid[#Data],$DE680,81),0)</f>
        <v/>
      </c>
      <c r="CG680">
        <f>IFERROR(INDEX(PP_Grid[#Data],$DE680,82),0)</f>
        <v/>
      </c>
      <c r="CH680">
        <f>IFERROR(INDEX(PP_Grid[#Data],$DE680,83),0)</f>
        <v/>
      </c>
      <c r="CI680">
        <f>IFERROR(INDEX(PP_Grid[#Data],$DE680,84),0)</f>
        <v/>
      </c>
      <c r="CJ680">
        <f>IFERROR(INDEX(PP_Grid[#Data],$DE680,85),0)</f>
        <v/>
      </c>
      <c r="CK680">
        <f>IFERROR(INDEX(PP_Grid[#Data],$DE680,86),0)</f>
        <v/>
      </c>
      <c r="CL680">
        <f>IFERROR(INDEX(PP_Grid[#Data],$DE680,87),0)</f>
        <v/>
      </c>
      <c r="CM680">
        <f>IFERROR(INDEX(PP_Grid[#Data],$DE680,88),0)</f>
        <v/>
      </c>
      <c r="CN680">
        <f>IFERROR(INDEX(PP_Grid[#Data],$DE680,89),0)</f>
        <v/>
      </c>
      <c r="CO680">
        <f>IFERROR(INDEX(PP_Grid[#Data],$DE680,90),0)</f>
        <v/>
      </c>
      <c r="CP680">
        <f>IFERROR(INDEX(PP_Grid[#Data],$DE680,91),0)</f>
        <v/>
      </c>
      <c r="CQ680">
        <f>IFERROR(INDEX(PP_Grid[#Data],$DE680,92),0)</f>
        <v/>
      </c>
      <c r="CR680">
        <f>IFERROR(INDEX(PP_Grid[#Data],$DE680,93),0)</f>
        <v/>
      </c>
      <c r="CS680">
        <f>IFERROR(INDEX(PP_Grid[#Data],$DE680,94),0)</f>
        <v/>
      </c>
      <c r="CT680">
        <f>IFERROR(INDEX(PP_Grid[#Data],$DE680,95),0)</f>
        <v/>
      </c>
      <c r="CU680">
        <f>IFERROR(INDEX(PP_Grid[#Data],$DE680,96),0)</f>
        <v/>
      </c>
      <c r="CV680">
        <f>IFERROR(INDEX(PP_Grid[#Data],$DE680,97),0)</f>
        <v/>
      </c>
      <c r="CW680">
        <f>IFERROR(INDEX(PP_Grid[#Data],$DE680,98),0)</f>
        <v/>
      </c>
      <c r="CX680">
        <f>IFERROR(INDEX(PP_Grid[#Data],$DE680,99),0)</f>
        <v/>
      </c>
      <c r="CY680">
        <f>IFERROR(INDEX(PP_Grid[#Data],$DE680,100),0)</f>
        <v/>
      </c>
      <c r="CZ680">
        <f>IFERROR(INDEX(PP_Grid[#Data],$DE680,101),0)</f>
        <v/>
      </c>
      <c r="DA680">
        <f>IFERROR(INDEX(PP_Grid[#Data],$DE680,102),0)</f>
        <v/>
      </c>
      <c r="DB680">
        <f>IFERROR(INDEX(PP_Grid[#Data],$DE680,103),0)</f>
        <v/>
      </c>
      <c r="DC680">
        <f>IFERROR(INDEX(PP_Grid[#Data],$DE680,104),0)</f>
        <v/>
      </c>
      <c r="DD680">
        <f>IFERROR(INDEX(PP_Grid[#Data],$DE680,105),0)</f>
        <v/>
      </c>
      <c r="DE680" s="7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SUMIFS(M_BOM[RM_Qty_Per_Batch],M_BOM[Intermediate],$B680,M_BOM[RM_Code],$A615)</f>
        <v/>
      </c>
      <c r="D681">
        <f>IFERROR(INDEX(E681:DD681,$F$1),"")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  <c r="DD681">
        <f>$C681*DD680</f>
        <v/>
      </c>
    </row>
    <row r="682">
      <c r="B682" t="inlineStr">
        <is>
          <t>VSP-603</t>
        </is>
      </c>
      <c r="C682" t="inlineStr">
        <is>
          <t>No. of batches</t>
        </is>
      </c>
      <c r="D682">
        <f>IFERROR(INDEX(E682:DD682,$F$1),"")</f>
        <v/>
      </c>
      <c r="E682">
        <f>IFERROR(INDEX(PP_Grid[#Data],$DE682,2),0)</f>
        <v/>
      </c>
      <c r="F682">
        <f>IFERROR(INDEX(PP_Grid[#Data],$DE682,3),0)</f>
        <v/>
      </c>
      <c r="G682">
        <f>IFERROR(INDEX(PP_Grid[#Data],$DE682,4),0)</f>
        <v/>
      </c>
      <c r="H682">
        <f>IFERROR(INDEX(PP_Grid[#Data],$DE682,5),0)</f>
        <v/>
      </c>
      <c r="I682">
        <f>IFERROR(INDEX(PP_Grid[#Data],$DE682,6),0)</f>
        <v/>
      </c>
      <c r="J682">
        <f>IFERROR(INDEX(PP_Grid[#Data],$DE682,7),0)</f>
        <v/>
      </c>
      <c r="K682">
        <f>IFERROR(INDEX(PP_Grid[#Data],$DE682,8),0)</f>
        <v/>
      </c>
      <c r="L682">
        <f>IFERROR(INDEX(PP_Grid[#Data],$DE682,9),0)</f>
        <v/>
      </c>
      <c r="M682">
        <f>IFERROR(INDEX(PP_Grid[#Data],$DE682,10),0)</f>
        <v/>
      </c>
      <c r="N682">
        <f>IFERROR(INDEX(PP_Grid[#Data],$DE682,11),0)</f>
        <v/>
      </c>
      <c r="O682">
        <f>IFERROR(INDEX(PP_Grid[#Data],$DE682,12),0)</f>
        <v/>
      </c>
      <c r="P682">
        <f>IFERROR(INDEX(PP_Grid[#Data],$DE682,13),0)</f>
        <v/>
      </c>
      <c r="Q682">
        <f>IFERROR(INDEX(PP_Grid[#Data],$DE682,14),0)</f>
        <v/>
      </c>
      <c r="R682">
        <f>IFERROR(INDEX(PP_Grid[#Data],$DE682,15),0)</f>
        <v/>
      </c>
      <c r="S682">
        <f>IFERROR(INDEX(PP_Grid[#Data],$DE682,16),0)</f>
        <v/>
      </c>
      <c r="T682">
        <f>IFERROR(INDEX(PP_Grid[#Data],$DE682,17),0)</f>
        <v/>
      </c>
      <c r="U682">
        <f>IFERROR(INDEX(PP_Grid[#Data],$DE682,18),0)</f>
        <v/>
      </c>
      <c r="V682">
        <f>IFERROR(INDEX(PP_Grid[#Data],$DE682,19),0)</f>
        <v/>
      </c>
      <c r="W682">
        <f>IFERROR(INDEX(PP_Grid[#Data],$DE682,20),0)</f>
        <v/>
      </c>
      <c r="X682">
        <f>IFERROR(INDEX(PP_Grid[#Data],$DE682,21),0)</f>
        <v/>
      </c>
      <c r="Y682">
        <f>IFERROR(INDEX(PP_Grid[#Data],$DE682,22),0)</f>
        <v/>
      </c>
      <c r="Z682">
        <f>IFERROR(INDEX(PP_Grid[#Data],$DE682,23),0)</f>
        <v/>
      </c>
      <c r="AA682">
        <f>IFERROR(INDEX(PP_Grid[#Data],$DE682,24),0)</f>
        <v/>
      </c>
      <c r="AB682">
        <f>IFERROR(INDEX(PP_Grid[#Data],$DE682,25),0)</f>
        <v/>
      </c>
      <c r="AC682">
        <f>IFERROR(INDEX(PP_Grid[#Data],$DE682,26),0)</f>
        <v/>
      </c>
      <c r="AD682">
        <f>IFERROR(INDEX(PP_Grid[#Data],$DE682,27),0)</f>
        <v/>
      </c>
      <c r="AE682">
        <f>IFERROR(INDEX(PP_Grid[#Data],$DE682,28),0)</f>
        <v/>
      </c>
      <c r="AF682">
        <f>IFERROR(INDEX(PP_Grid[#Data],$DE682,29),0)</f>
        <v/>
      </c>
      <c r="AG682">
        <f>IFERROR(INDEX(PP_Grid[#Data],$DE682,30),0)</f>
        <v/>
      </c>
      <c r="AH682">
        <f>IFERROR(INDEX(PP_Grid[#Data],$DE682,31),0)</f>
        <v/>
      </c>
      <c r="AI682">
        <f>IFERROR(INDEX(PP_Grid[#Data],$DE682,32),0)</f>
        <v/>
      </c>
      <c r="AJ682">
        <f>IFERROR(INDEX(PP_Grid[#Data],$DE682,33),0)</f>
        <v/>
      </c>
      <c r="AK682">
        <f>IFERROR(INDEX(PP_Grid[#Data],$DE682,34),0)</f>
        <v/>
      </c>
      <c r="AL682">
        <f>IFERROR(INDEX(PP_Grid[#Data],$DE682,35),0)</f>
        <v/>
      </c>
      <c r="AM682">
        <f>IFERROR(INDEX(PP_Grid[#Data],$DE682,36),0)</f>
        <v/>
      </c>
      <c r="AN682">
        <f>IFERROR(INDEX(PP_Grid[#Data],$DE682,37),0)</f>
        <v/>
      </c>
      <c r="AO682">
        <f>IFERROR(INDEX(PP_Grid[#Data],$DE682,38),0)</f>
        <v/>
      </c>
      <c r="AP682">
        <f>IFERROR(INDEX(PP_Grid[#Data],$DE682,39),0)</f>
        <v/>
      </c>
      <c r="AQ682">
        <f>IFERROR(INDEX(PP_Grid[#Data],$DE682,40),0)</f>
        <v/>
      </c>
      <c r="AR682">
        <f>IFERROR(INDEX(PP_Grid[#Data],$DE682,41),0)</f>
        <v/>
      </c>
      <c r="AS682">
        <f>IFERROR(INDEX(PP_Grid[#Data],$DE682,42),0)</f>
        <v/>
      </c>
      <c r="AT682">
        <f>IFERROR(INDEX(PP_Grid[#Data],$DE682,43),0)</f>
        <v/>
      </c>
      <c r="AU682">
        <f>IFERROR(INDEX(PP_Grid[#Data],$DE682,44),0)</f>
        <v/>
      </c>
      <c r="AV682">
        <f>IFERROR(INDEX(PP_Grid[#Data],$DE682,45),0)</f>
        <v/>
      </c>
      <c r="AW682">
        <f>IFERROR(INDEX(PP_Grid[#Data],$DE682,46),0)</f>
        <v/>
      </c>
      <c r="AX682">
        <f>IFERROR(INDEX(PP_Grid[#Data],$DE682,47),0)</f>
        <v/>
      </c>
      <c r="AY682">
        <f>IFERROR(INDEX(PP_Grid[#Data],$DE682,48),0)</f>
        <v/>
      </c>
      <c r="AZ682">
        <f>IFERROR(INDEX(PP_Grid[#Data],$DE682,49),0)</f>
        <v/>
      </c>
      <c r="BA682">
        <f>IFERROR(INDEX(PP_Grid[#Data],$DE682,50),0)</f>
        <v/>
      </c>
      <c r="BB682">
        <f>IFERROR(INDEX(PP_Grid[#Data],$DE682,51),0)</f>
        <v/>
      </c>
      <c r="BC682">
        <f>IFERROR(INDEX(PP_Grid[#Data],$DE682,52),0)</f>
        <v/>
      </c>
      <c r="BD682">
        <f>IFERROR(INDEX(PP_Grid[#Data],$DE682,53),0)</f>
        <v/>
      </c>
      <c r="BE682">
        <f>IFERROR(INDEX(PP_Grid[#Data],$DE682,54),0)</f>
        <v/>
      </c>
      <c r="BF682">
        <f>IFERROR(INDEX(PP_Grid[#Data],$DE682,55),0)</f>
        <v/>
      </c>
      <c r="BG682">
        <f>IFERROR(INDEX(PP_Grid[#Data],$DE682,56),0)</f>
        <v/>
      </c>
      <c r="BH682">
        <f>IFERROR(INDEX(PP_Grid[#Data],$DE682,57),0)</f>
        <v/>
      </c>
      <c r="BI682">
        <f>IFERROR(INDEX(PP_Grid[#Data],$DE682,58),0)</f>
        <v/>
      </c>
      <c r="BJ682">
        <f>IFERROR(INDEX(PP_Grid[#Data],$DE682,59),0)</f>
        <v/>
      </c>
      <c r="BK682">
        <f>IFERROR(INDEX(PP_Grid[#Data],$DE682,60),0)</f>
        <v/>
      </c>
      <c r="BL682">
        <f>IFERROR(INDEX(PP_Grid[#Data],$DE682,61),0)</f>
        <v/>
      </c>
      <c r="BM682">
        <f>IFERROR(INDEX(PP_Grid[#Data],$DE682,62),0)</f>
        <v/>
      </c>
      <c r="BN682">
        <f>IFERROR(INDEX(PP_Grid[#Data],$DE682,63),0)</f>
        <v/>
      </c>
      <c r="BO682">
        <f>IFERROR(INDEX(PP_Grid[#Data],$DE682,64),0)</f>
        <v/>
      </c>
      <c r="BP682">
        <f>IFERROR(INDEX(PP_Grid[#Data],$DE682,65),0)</f>
        <v/>
      </c>
      <c r="BQ682">
        <f>IFERROR(INDEX(PP_Grid[#Data],$DE682,66),0)</f>
        <v/>
      </c>
      <c r="BR682">
        <f>IFERROR(INDEX(PP_Grid[#Data],$DE682,67),0)</f>
        <v/>
      </c>
      <c r="BS682">
        <f>IFERROR(INDEX(PP_Grid[#Data],$DE682,68),0)</f>
        <v/>
      </c>
      <c r="BT682">
        <f>IFERROR(INDEX(PP_Grid[#Data],$DE682,69),0)</f>
        <v/>
      </c>
      <c r="BU682">
        <f>IFERROR(INDEX(PP_Grid[#Data],$DE682,70),0)</f>
        <v/>
      </c>
      <c r="BV682">
        <f>IFERROR(INDEX(PP_Grid[#Data],$DE682,71),0)</f>
        <v/>
      </c>
      <c r="BW682">
        <f>IFERROR(INDEX(PP_Grid[#Data],$DE682,72),0)</f>
        <v/>
      </c>
      <c r="BX682">
        <f>IFERROR(INDEX(PP_Grid[#Data],$DE682,73),0)</f>
        <v/>
      </c>
      <c r="BY682">
        <f>IFERROR(INDEX(PP_Grid[#Data],$DE682,74),0)</f>
        <v/>
      </c>
      <c r="BZ682">
        <f>IFERROR(INDEX(PP_Grid[#Data],$DE682,75),0)</f>
        <v/>
      </c>
      <c r="CA682">
        <f>IFERROR(INDEX(PP_Grid[#Data],$DE682,76),0)</f>
        <v/>
      </c>
      <c r="CB682">
        <f>IFERROR(INDEX(PP_Grid[#Data],$DE682,77),0)</f>
        <v/>
      </c>
      <c r="CC682">
        <f>IFERROR(INDEX(PP_Grid[#Data],$DE682,78),0)</f>
        <v/>
      </c>
      <c r="CD682">
        <f>IFERROR(INDEX(PP_Grid[#Data],$DE682,79),0)</f>
        <v/>
      </c>
      <c r="CE682">
        <f>IFERROR(INDEX(PP_Grid[#Data],$DE682,80),0)</f>
        <v/>
      </c>
      <c r="CF682">
        <f>IFERROR(INDEX(PP_Grid[#Data],$DE682,81),0)</f>
        <v/>
      </c>
      <c r="CG682">
        <f>IFERROR(INDEX(PP_Grid[#Data],$DE682,82),0)</f>
        <v/>
      </c>
      <c r="CH682">
        <f>IFERROR(INDEX(PP_Grid[#Data],$DE682,83),0)</f>
        <v/>
      </c>
      <c r="CI682">
        <f>IFERROR(INDEX(PP_Grid[#Data],$DE682,84),0)</f>
        <v/>
      </c>
      <c r="CJ682">
        <f>IFERROR(INDEX(PP_Grid[#Data],$DE682,85),0)</f>
        <v/>
      </c>
      <c r="CK682">
        <f>IFERROR(INDEX(PP_Grid[#Data],$DE682,86),0)</f>
        <v/>
      </c>
      <c r="CL682">
        <f>IFERROR(INDEX(PP_Grid[#Data],$DE682,87),0)</f>
        <v/>
      </c>
      <c r="CM682">
        <f>IFERROR(INDEX(PP_Grid[#Data],$DE682,88),0)</f>
        <v/>
      </c>
      <c r="CN682">
        <f>IFERROR(INDEX(PP_Grid[#Data],$DE682,89),0)</f>
        <v/>
      </c>
      <c r="CO682">
        <f>IFERROR(INDEX(PP_Grid[#Data],$DE682,90),0)</f>
        <v/>
      </c>
      <c r="CP682">
        <f>IFERROR(INDEX(PP_Grid[#Data],$DE682,91),0)</f>
        <v/>
      </c>
      <c r="CQ682">
        <f>IFERROR(INDEX(PP_Grid[#Data],$DE682,92),0)</f>
        <v/>
      </c>
      <c r="CR682">
        <f>IFERROR(INDEX(PP_Grid[#Data],$DE682,93),0)</f>
        <v/>
      </c>
      <c r="CS682">
        <f>IFERROR(INDEX(PP_Grid[#Data],$DE682,94),0)</f>
        <v/>
      </c>
      <c r="CT682">
        <f>IFERROR(INDEX(PP_Grid[#Data],$DE682,95),0)</f>
        <v/>
      </c>
      <c r="CU682">
        <f>IFERROR(INDEX(PP_Grid[#Data],$DE682,96),0)</f>
        <v/>
      </c>
      <c r="CV682">
        <f>IFERROR(INDEX(PP_Grid[#Data],$DE682,97),0)</f>
        <v/>
      </c>
      <c r="CW682">
        <f>IFERROR(INDEX(PP_Grid[#Data],$DE682,98),0)</f>
        <v/>
      </c>
      <c r="CX682">
        <f>IFERROR(INDEX(PP_Grid[#Data],$DE682,99),0)</f>
        <v/>
      </c>
      <c r="CY682">
        <f>IFERROR(INDEX(PP_Grid[#Data],$DE682,100),0)</f>
        <v/>
      </c>
      <c r="CZ682">
        <f>IFERROR(INDEX(PP_Grid[#Data],$DE682,101),0)</f>
        <v/>
      </c>
      <c r="DA682">
        <f>IFERROR(INDEX(PP_Grid[#Data],$DE682,102),0)</f>
        <v/>
      </c>
      <c r="DB682">
        <f>IFERROR(INDEX(PP_Grid[#Data],$DE682,103),0)</f>
        <v/>
      </c>
      <c r="DC682">
        <f>IFERROR(INDEX(PP_Grid[#Data],$DE682,104),0)</f>
        <v/>
      </c>
      <c r="DD682">
        <f>IFERROR(INDEX(PP_Grid[#Data],$DE682,105),0)</f>
        <v/>
      </c>
      <c r="DE682" s="7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SUMIFS(M_BOM[RM_Qty_Per_Batch],M_BOM[Intermediate],$B682,M_BOM[RM_Code],$A615)</f>
        <v/>
      </c>
      <c r="D683">
        <f>IFERROR(INDEX(E683:DD683,$F$1),"")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  <c r="DD683">
        <f>$C683*DD682</f>
        <v/>
      </c>
    </row>
    <row r="684">
      <c r="B684" t="inlineStr">
        <is>
          <t>VSP-604</t>
        </is>
      </c>
      <c r="C684" t="inlineStr">
        <is>
          <t>No. of batches</t>
        </is>
      </c>
      <c r="D684">
        <f>IFERROR(INDEX(E684:DD684,$F$1),"")</f>
        <v/>
      </c>
      <c r="E684">
        <f>IFERROR(INDEX(PP_Grid[#Data],$DE684,2),0)</f>
        <v/>
      </c>
      <c r="F684">
        <f>IFERROR(INDEX(PP_Grid[#Data],$DE684,3),0)</f>
        <v/>
      </c>
      <c r="G684">
        <f>IFERROR(INDEX(PP_Grid[#Data],$DE684,4),0)</f>
        <v/>
      </c>
      <c r="H684">
        <f>IFERROR(INDEX(PP_Grid[#Data],$DE684,5),0)</f>
        <v/>
      </c>
      <c r="I684">
        <f>IFERROR(INDEX(PP_Grid[#Data],$DE684,6),0)</f>
        <v/>
      </c>
      <c r="J684">
        <f>IFERROR(INDEX(PP_Grid[#Data],$DE684,7),0)</f>
        <v/>
      </c>
      <c r="K684">
        <f>IFERROR(INDEX(PP_Grid[#Data],$DE684,8),0)</f>
        <v/>
      </c>
      <c r="L684">
        <f>IFERROR(INDEX(PP_Grid[#Data],$DE684,9),0)</f>
        <v/>
      </c>
      <c r="M684">
        <f>IFERROR(INDEX(PP_Grid[#Data],$DE684,10),0)</f>
        <v/>
      </c>
      <c r="N684">
        <f>IFERROR(INDEX(PP_Grid[#Data],$DE684,11),0)</f>
        <v/>
      </c>
      <c r="O684">
        <f>IFERROR(INDEX(PP_Grid[#Data],$DE684,12),0)</f>
        <v/>
      </c>
      <c r="P684">
        <f>IFERROR(INDEX(PP_Grid[#Data],$DE684,13),0)</f>
        <v/>
      </c>
      <c r="Q684">
        <f>IFERROR(INDEX(PP_Grid[#Data],$DE684,14),0)</f>
        <v/>
      </c>
      <c r="R684">
        <f>IFERROR(INDEX(PP_Grid[#Data],$DE684,15),0)</f>
        <v/>
      </c>
      <c r="S684">
        <f>IFERROR(INDEX(PP_Grid[#Data],$DE684,16),0)</f>
        <v/>
      </c>
      <c r="T684">
        <f>IFERROR(INDEX(PP_Grid[#Data],$DE684,17),0)</f>
        <v/>
      </c>
      <c r="U684">
        <f>IFERROR(INDEX(PP_Grid[#Data],$DE684,18),0)</f>
        <v/>
      </c>
      <c r="V684">
        <f>IFERROR(INDEX(PP_Grid[#Data],$DE684,19),0)</f>
        <v/>
      </c>
      <c r="W684">
        <f>IFERROR(INDEX(PP_Grid[#Data],$DE684,20),0)</f>
        <v/>
      </c>
      <c r="X684">
        <f>IFERROR(INDEX(PP_Grid[#Data],$DE684,21),0)</f>
        <v/>
      </c>
      <c r="Y684">
        <f>IFERROR(INDEX(PP_Grid[#Data],$DE684,22),0)</f>
        <v/>
      </c>
      <c r="Z684">
        <f>IFERROR(INDEX(PP_Grid[#Data],$DE684,23),0)</f>
        <v/>
      </c>
      <c r="AA684">
        <f>IFERROR(INDEX(PP_Grid[#Data],$DE684,24),0)</f>
        <v/>
      </c>
      <c r="AB684">
        <f>IFERROR(INDEX(PP_Grid[#Data],$DE684,25),0)</f>
        <v/>
      </c>
      <c r="AC684">
        <f>IFERROR(INDEX(PP_Grid[#Data],$DE684,26),0)</f>
        <v/>
      </c>
      <c r="AD684">
        <f>IFERROR(INDEX(PP_Grid[#Data],$DE684,27),0)</f>
        <v/>
      </c>
      <c r="AE684">
        <f>IFERROR(INDEX(PP_Grid[#Data],$DE684,28),0)</f>
        <v/>
      </c>
      <c r="AF684">
        <f>IFERROR(INDEX(PP_Grid[#Data],$DE684,29),0)</f>
        <v/>
      </c>
      <c r="AG684">
        <f>IFERROR(INDEX(PP_Grid[#Data],$DE684,30),0)</f>
        <v/>
      </c>
      <c r="AH684">
        <f>IFERROR(INDEX(PP_Grid[#Data],$DE684,31),0)</f>
        <v/>
      </c>
      <c r="AI684">
        <f>IFERROR(INDEX(PP_Grid[#Data],$DE684,32),0)</f>
        <v/>
      </c>
      <c r="AJ684">
        <f>IFERROR(INDEX(PP_Grid[#Data],$DE684,33),0)</f>
        <v/>
      </c>
      <c r="AK684">
        <f>IFERROR(INDEX(PP_Grid[#Data],$DE684,34),0)</f>
        <v/>
      </c>
      <c r="AL684">
        <f>IFERROR(INDEX(PP_Grid[#Data],$DE684,35),0)</f>
        <v/>
      </c>
      <c r="AM684">
        <f>IFERROR(INDEX(PP_Grid[#Data],$DE684,36),0)</f>
        <v/>
      </c>
      <c r="AN684">
        <f>IFERROR(INDEX(PP_Grid[#Data],$DE684,37),0)</f>
        <v/>
      </c>
      <c r="AO684">
        <f>IFERROR(INDEX(PP_Grid[#Data],$DE684,38),0)</f>
        <v/>
      </c>
      <c r="AP684">
        <f>IFERROR(INDEX(PP_Grid[#Data],$DE684,39),0)</f>
        <v/>
      </c>
      <c r="AQ684">
        <f>IFERROR(INDEX(PP_Grid[#Data],$DE684,40),0)</f>
        <v/>
      </c>
      <c r="AR684">
        <f>IFERROR(INDEX(PP_Grid[#Data],$DE684,41),0)</f>
        <v/>
      </c>
      <c r="AS684">
        <f>IFERROR(INDEX(PP_Grid[#Data],$DE684,42),0)</f>
        <v/>
      </c>
      <c r="AT684">
        <f>IFERROR(INDEX(PP_Grid[#Data],$DE684,43),0)</f>
        <v/>
      </c>
      <c r="AU684">
        <f>IFERROR(INDEX(PP_Grid[#Data],$DE684,44),0)</f>
        <v/>
      </c>
      <c r="AV684">
        <f>IFERROR(INDEX(PP_Grid[#Data],$DE684,45),0)</f>
        <v/>
      </c>
      <c r="AW684">
        <f>IFERROR(INDEX(PP_Grid[#Data],$DE684,46),0)</f>
        <v/>
      </c>
      <c r="AX684">
        <f>IFERROR(INDEX(PP_Grid[#Data],$DE684,47),0)</f>
        <v/>
      </c>
      <c r="AY684">
        <f>IFERROR(INDEX(PP_Grid[#Data],$DE684,48),0)</f>
        <v/>
      </c>
      <c r="AZ684">
        <f>IFERROR(INDEX(PP_Grid[#Data],$DE684,49),0)</f>
        <v/>
      </c>
      <c r="BA684">
        <f>IFERROR(INDEX(PP_Grid[#Data],$DE684,50),0)</f>
        <v/>
      </c>
      <c r="BB684">
        <f>IFERROR(INDEX(PP_Grid[#Data],$DE684,51),0)</f>
        <v/>
      </c>
      <c r="BC684">
        <f>IFERROR(INDEX(PP_Grid[#Data],$DE684,52),0)</f>
        <v/>
      </c>
      <c r="BD684">
        <f>IFERROR(INDEX(PP_Grid[#Data],$DE684,53),0)</f>
        <v/>
      </c>
      <c r="BE684">
        <f>IFERROR(INDEX(PP_Grid[#Data],$DE684,54),0)</f>
        <v/>
      </c>
      <c r="BF684">
        <f>IFERROR(INDEX(PP_Grid[#Data],$DE684,55),0)</f>
        <v/>
      </c>
      <c r="BG684">
        <f>IFERROR(INDEX(PP_Grid[#Data],$DE684,56),0)</f>
        <v/>
      </c>
      <c r="BH684">
        <f>IFERROR(INDEX(PP_Grid[#Data],$DE684,57),0)</f>
        <v/>
      </c>
      <c r="BI684">
        <f>IFERROR(INDEX(PP_Grid[#Data],$DE684,58),0)</f>
        <v/>
      </c>
      <c r="BJ684">
        <f>IFERROR(INDEX(PP_Grid[#Data],$DE684,59),0)</f>
        <v/>
      </c>
      <c r="BK684">
        <f>IFERROR(INDEX(PP_Grid[#Data],$DE684,60),0)</f>
        <v/>
      </c>
      <c r="BL684">
        <f>IFERROR(INDEX(PP_Grid[#Data],$DE684,61),0)</f>
        <v/>
      </c>
      <c r="BM684">
        <f>IFERROR(INDEX(PP_Grid[#Data],$DE684,62),0)</f>
        <v/>
      </c>
      <c r="BN684">
        <f>IFERROR(INDEX(PP_Grid[#Data],$DE684,63),0)</f>
        <v/>
      </c>
      <c r="BO684">
        <f>IFERROR(INDEX(PP_Grid[#Data],$DE684,64),0)</f>
        <v/>
      </c>
      <c r="BP684">
        <f>IFERROR(INDEX(PP_Grid[#Data],$DE684,65),0)</f>
        <v/>
      </c>
      <c r="BQ684">
        <f>IFERROR(INDEX(PP_Grid[#Data],$DE684,66),0)</f>
        <v/>
      </c>
      <c r="BR684">
        <f>IFERROR(INDEX(PP_Grid[#Data],$DE684,67),0)</f>
        <v/>
      </c>
      <c r="BS684">
        <f>IFERROR(INDEX(PP_Grid[#Data],$DE684,68),0)</f>
        <v/>
      </c>
      <c r="BT684">
        <f>IFERROR(INDEX(PP_Grid[#Data],$DE684,69),0)</f>
        <v/>
      </c>
      <c r="BU684">
        <f>IFERROR(INDEX(PP_Grid[#Data],$DE684,70),0)</f>
        <v/>
      </c>
      <c r="BV684">
        <f>IFERROR(INDEX(PP_Grid[#Data],$DE684,71),0)</f>
        <v/>
      </c>
      <c r="BW684">
        <f>IFERROR(INDEX(PP_Grid[#Data],$DE684,72),0)</f>
        <v/>
      </c>
      <c r="BX684">
        <f>IFERROR(INDEX(PP_Grid[#Data],$DE684,73),0)</f>
        <v/>
      </c>
      <c r="BY684">
        <f>IFERROR(INDEX(PP_Grid[#Data],$DE684,74),0)</f>
        <v/>
      </c>
      <c r="BZ684">
        <f>IFERROR(INDEX(PP_Grid[#Data],$DE684,75),0)</f>
        <v/>
      </c>
      <c r="CA684">
        <f>IFERROR(INDEX(PP_Grid[#Data],$DE684,76),0)</f>
        <v/>
      </c>
      <c r="CB684">
        <f>IFERROR(INDEX(PP_Grid[#Data],$DE684,77),0)</f>
        <v/>
      </c>
      <c r="CC684">
        <f>IFERROR(INDEX(PP_Grid[#Data],$DE684,78),0)</f>
        <v/>
      </c>
      <c r="CD684">
        <f>IFERROR(INDEX(PP_Grid[#Data],$DE684,79),0)</f>
        <v/>
      </c>
      <c r="CE684">
        <f>IFERROR(INDEX(PP_Grid[#Data],$DE684,80),0)</f>
        <v/>
      </c>
      <c r="CF684">
        <f>IFERROR(INDEX(PP_Grid[#Data],$DE684,81),0)</f>
        <v/>
      </c>
      <c r="CG684">
        <f>IFERROR(INDEX(PP_Grid[#Data],$DE684,82),0)</f>
        <v/>
      </c>
      <c r="CH684">
        <f>IFERROR(INDEX(PP_Grid[#Data],$DE684,83),0)</f>
        <v/>
      </c>
      <c r="CI684">
        <f>IFERROR(INDEX(PP_Grid[#Data],$DE684,84),0)</f>
        <v/>
      </c>
      <c r="CJ684">
        <f>IFERROR(INDEX(PP_Grid[#Data],$DE684,85),0)</f>
        <v/>
      </c>
      <c r="CK684">
        <f>IFERROR(INDEX(PP_Grid[#Data],$DE684,86),0)</f>
        <v/>
      </c>
      <c r="CL684">
        <f>IFERROR(INDEX(PP_Grid[#Data],$DE684,87),0)</f>
        <v/>
      </c>
      <c r="CM684">
        <f>IFERROR(INDEX(PP_Grid[#Data],$DE684,88),0)</f>
        <v/>
      </c>
      <c r="CN684">
        <f>IFERROR(INDEX(PP_Grid[#Data],$DE684,89),0)</f>
        <v/>
      </c>
      <c r="CO684">
        <f>IFERROR(INDEX(PP_Grid[#Data],$DE684,90),0)</f>
        <v/>
      </c>
      <c r="CP684">
        <f>IFERROR(INDEX(PP_Grid[#Data],$DE684,91),0)</f>
        <v/>
      </c>
      <c r="CQ684">
        <f>IFERROR(INDEX(PP_Grid[#Data],$DE684,92),0)</f>
        <v/>
      </c>
      <c r="CR684">
        <f>IFERROR(INDEX(PP_Grid[#Data],$DE684,93),0)</f>
        <v/>
      </c>
      <c r="CS684">
        <f>IFERROR(INDEX(PP_Grid[#Data],$DE684,94),0)</f>
        <v/>
      </c>
      <c r="CT684">
        <f>IFERROR(INDEX(PP_Grid[#Data],$DE684,95),0)</f>
        <v/>
      </c>
      <c r="CU684">
        <f>IFERROR(INDEX(PP_Grid[#Data],$DE684,96),0)</f>
        <v/>
      </c>
      <c r="CV684">
        <f>IFERROR(INDEX(PP_Grid[#Data],$DE684,97),0)</f>
        <v/>
      </c>
      <c r="CW684">
        <f>IFERROR(INDEX(PP_Grid[#Data],$DE684,98),0)</f>
        <v/>
      </c>
      <c r="CX684">
        <f>IFERROR(INDEX(PP_Grid[#Data],$DE684,99),0)</f>
        <v/>
      </c>
      <c r="CY684">
        <f>IFERROR(INDEX(PP_Grid[#Data],$DE684,100),0)</f>
        <v/>
      </c>
      <c r="CZ684">
        <f>IFERROR(INDEX(PP_Grid[#Data],$DE684,101),0)</f>
        <v/>
      </c>
      <c r="DA684">
        <f>IFERROR(INDEX(PP_Grid[#Data],$DE684,102),0)</f>
        <v/>
      </c>
      <c r="DB684">
        <f>IFERROR(INDEX(PP_Grid[#Data],$DE684,103),0)</f>
        <v/>
      </c>
      <c r="DC684">
        <f>IFERROR(INDEX(PP_Grid[#Data],$DE684,104),0)</f>
        <v/>
      </c>
      <c r="DD684">
        <f>IFERROR(INDEX(PP_Grid[#Data],$DE684,105),0)</f>
        <v/>
      </c>
      <c r="DE684" s="7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SUMIFS(M_BOM[RM_Qty_Per_Batch],M_BOM[Intermediate],$B684,M_BOM[RM_Code],$A615)</f>
        <v/>
      </c>
      <c r="D685">
        <f>IFERROR(INDEX(E685:DD685,$F$1),"")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  <c r="DD685">
        <f>$C685*DD684</f>
        <v/>
      </c>
    </row>
    <row r="686">
      <c r="B686" t="inlineStr">
        <is>
          <t>VSP-605</t>
        </is>
      </c>
      <c r="C686" t="inlineStr">
        <is>
          <t>No. of batches</t>
        </is>
      </c>
      <c r="D686">
        <f>IFERROR(INDEX(E686:DD686,$F$1),"")</f>
        <v/>
      </c>
      <c r="E686">
        <f>IFERROR(INDEX(PP_Grid[#Data],$DE686,2),0)</f>
        <v/>
      </c>
      <c r="F686">
        <f>IFERROR(INDEX(PP_Grid[#Data],$DE686,3),0)</f>
        <v/>
      </c>
      <c r="G686">
        <f>IFERROR(INDEX(PP_Grid[#Data],$DE686,4),0)</f>
        <v/>
      </c>
      <c r="H686">
        <f>IFERROR(INDEX(PP_Grid[#Data],$DE686,5),0)</f>
        <v/>
      </c>
      <c r="I686">
        <f>IFERROR(INDEX(PP_Grid[#Data],$DE686,6),0)</f>
        <v/>
      </c>
      <c r="J686">
        <f>IFERROR(INDEX(PP_Grid[#Data],$DE686,7),0)</f>
        <v/>
      </c>
      <c r="K686">
        <f>IFERROR(INDEX(PP_Grid[#Data],$DE686,8),0)</f>
        <v/>
      </c>
      <c r="L686">
        <f>IFERROR(INDEX(PP_Grid[#Data],$DE686,9),0)</f>
        <v/>
      </c>
      <c r="M686">
        <f>IFERROR(INDEX(PP_Grid[#Data],$DE686,10),0)</f>
        <v/>
      </c>
      <c r="N686">
        <f>IFERROR(INDEX(PP_Grid[#Data],$DE686,11),0)</f>
        <v/>
      </c>
      <c r="O686">
        <f>IFERROR(INDEX(PP_Grid[#Data],$DE686,12),0)</f>
        <v/>
      </c>
      <c r="P686">
        <f>IFERROR(INDEX(PP_Grid[#Data],$DE686,13),0)</f>
        <v/>
      </c>
      <c r="Q686">
        <f>IFERROR(INDEX(PP_Grid[#Data],$DE686,14),0)</f>
        <v/>
      </c>
      <c r="R686">
        <f>IFERROR(INDEX(PP_Grid[#Data],$DE686,15),0)</f>
        <v/>
      </c>
      <c r="S686">
        <f>IFERROR(INDEX(PP_Grid[#Data],$DE686,16),0)</f>
        <v/>
      </c>
      <c r="T686">
        <f>IFERROR(INDEX(PP_Grid[#Data],$DE686,17),0)</f>
        <v/>
      </c>
      <c r="U686">
        <f>IFERROR(INDEX(PP_Grid[#Data],$DE686,18),0)</f>
        <v/>
      </c>
      <c r="V686">
        <f>IFERROR(INDEX(PP_Grid[#Data],$DE686,19),0)</f>
        <v/>
      </c>
      <c r="W686">
        <f>IFERROR(INDEX(PP_Grid[#Data],$DE686,20),0)</f>
        <v/>
      </c>
      <c r="X686">
        <f>IFERROR(INDEX(PP_Grid[#Data],$DE686,21),0)</f>
        <v/>
      </c>
      <c r="Y686">
        <f>IFERROR(INDEX(PP_Grid[#Data],$DE686,22),0)</f>
        <v/>
      </c>
      <c r="Z686">
        <f>IFERROR(INDEX(PP_Grid[#Data],$DE686,23),0)</f>
        <v/>
      </c>
      <c r="AA686">
        <f>IFERROR(INDEX(PP_Grid[#Data],$DE686,24),0)</f>
        <v/>
      </c>
      <c r="AB686">
        <f>IFERROR(INDEX(PP_Grid[#Data],$DE686,25),0)</f>
        <v/>
      </c>
      <c r="AC686">
        <f>IFERROR(INDEX(PP_Grid[#Data],$DE686,26),0)</f>
        <v/>
      </c>
      <c r="AD686">
        <f>IFERROR(INDEX(PP_Grid[#Data],$DE686,27),0)</f>
        <v/>
      </c>
      <c r="AE686">
        <f>IFERROR(INDEX(PP_Grid[#Data],$DE686,28),0)</f>
        <v/>
      </c>
      <c r="AF686">
        <f>IFERROR(INDEX(PP_Grid[#Data],$DE686,29),0)</f>
        <v/>
      </c>
      <c r="AG686">
        <f>IFERROR(INDEX(PP_Grid[#Data],$DE686,30),0)</f>
        <v/>
      </c>
      <c r="AH686">
        <f>IFERROR(INDEX(PP_Grid[#Data],$DE686,31),0)</f>
        <v/>
      </c>
      <c r="AI686">
        <f>IFERROR(INDEX(PP_Grid[#Data],$DE686,32),0)</f>
        <v/>
      </c>
      <c r="AJ686">
        <f>IFERROR(INDEX(PP_Grid[#Data],$DE686,33),0)</f>
        <v/>
      </c>
      <c r="AK686">
        <f>IFERROR(INDEX(PP_Grid[#Data],$DE686,34),0)</f>
        <v/>
      </c>
      <c r="AL686">
        <f>IFERROR(INDEX(PP_Grid[#Data],$DE686,35),0)</f>
        <v/>
      </c>
      <c r="AM686">
        <f>IFERROR(INDEX(PP_Grid[#Data],$DE686,36),0)</f>
        <v/>
      </c>
      <c r="AN686">
        <f>IFERROR(INDEX(PP_Grid[#Data],$DE686,37),0)</f>
        <v/>
      </c>
      <c r="AO686">
        <f>IFERROR(INDEX(PP_Grid[#Data],$DE686,38),0)</f>
        <v/>
      </c>
      <c r="AP686">
        <f>IFERROR(INDEX(PP_Grid[#Data],$DE686,39),0)</f>
        <v/>
      </c>
      <c r="AQ686">
        <f>IFERROR(INDEX(PP_Grid[#Data],$DE686,40),0)</f>
        <v/>
      </c>
      <c r="AR686">
        <f>IFERROR(INDEX(PP_Grid[#Data],$DE686,41),0)</f>
        <v/>
      </c>
      <c r="AS686">
        <f>IFERROR(INDEX(PP_Grid[#Data],$DE686,42),0)</f>
        <v/>
      </c>
      <c r="AT686">
        <f>IFERROR(INDEX(PP_Grid[#Data],$DE686,43),0)</f>
        <v/>
      </c>
      <c r="AU686">
        <f>IFERROR(INDEX(PP_Grid[#Data],$DE686,44),0)</f>
        <v/>
      </c>
      <c r="AV686">
        <f>IFERROR(INDEX(PP_Grid[#Data],$DE686,45),0)</f>
        <v/>
      </c>
      <c r="AW686">
        <f>IFERROR(INDEX(PP_Grid[#Data],$DE686,46),0)</f>
        <v/>
      </c>
      <c r="AX686">
        <f>IFERROR(INDEX(PP_Grid[#Data],$DE686,47),0)</f>
        <v/>
      </c>
      <c r="AY686">
        <f>IFERROR(INDEX(PP_Grid[#Data],$DE686,48),0)</f>
        <v/>
      </c>
      <c r="AZ686">
        <f>IFERROR(INDEX(PP_Grid[#Data],$DE686,49),0)</f>
        <v/>
      </c>
      <c r="BA686">
        <f>IFERROR(INDEX(PP_Grid[#Data],$DE686,50),0)</f>
        <v/>
      </c>
      <c r="BB686">
        <f>IFERROR(INDEX(PP_Grid[#Data],$DE686,51),0)</f>
        <v/>
      </c>
      <c r="BC686">
        <f>IFERROR(INDEX(PP_Grid[#Data],$DE686,52),0)</f>
        <v/>
      </c>
      <c r="BD686">
        <f>IFERROR(INDEX(PP_Grid[#Data],$DE686,53),0)</f>
        <v/>
      </c>
      <c r="BE686">
        <f>IFERROR(INDEX(PP_Grid[#Data],$DE686,54),0)</f>
        <v/>
      </c>
      <c r="BF686">
        <f>IFERROR(INDEX(PP_Grid[#Data],$DE686,55),0)</f>
        <v/>
      </c>
      <c r="BG686">
        <f>IFERROR(INDEX(PP_Grid[#Data],$DE686,56),0)</f>
        <v/>
      </c>
      <c r="BH686">
        <f>IFERROR(INDEX(PP_Grid[#Data],$DE686,57),0)</f>
        <v/>
      </c>
      <c r="BI686">
        <f>IFERROR(INDEX(PP_Grid[#Data],$DE686,58),0)</f>
        <v/>
      </c>
      <c r="BJ686">
        <f>IFERROR(INDEX(PP_Grid[#Data],$DE686,59),0)</f>
        <v/>
      </c>
      <c r="BK686">
        <f>IFERROR(INDEX(PP_Grid[#Data],$DE686,60),0)</f>
        <v/>
      </c>
      <c r="BL686">
        <f>IFERROR(INDEX(PP_Grid[#Data],$DE686,61),0)</f>
        <v/>
      </c>
      <c r="BM686">
        <f>IFERROR(INDEX(PP_Grid[#Data],$DE686,62),0)</f>
        <v/>
      </c>
      <c r="BN686">
        <f>IFERROR(INDEX(PP_Grid[#Data],$DE686,63),0)</f>
        <v/>
      </c>
      <c r="BO686">
        <f>IFERROR(INDEX(PP_Grid[#Data],$DE686,64),0)</f>
        <v/>
      </c>
      <c r="BP686">
        <f>IFERROR(INDEX(PP_Grid[#Data],$DE686,65),0)</f>
        <v/>
      </c>
      <c r="BQ686">
        <f>IFERROR(INDEX(PP_Grid[#Data],$DE686,66),0)</f>
        <v/>
      </c>
      <c r="BR686">
        <f>IFERROR(INDEX(PP_Grid[#Data],$DE686,67),0)</f>
        <v/>
      </c>
      <c r="BS686">
        <f>IFERROR(INDEX(PP_Grid[#Data],$DE686,68),0)</f>
        <v/>
      </c>
      <c r="BT686">
        <f>IFERROR(INDEX(PP_Grid[#Data],$DE686,69),0)</f>
        <v/>
      </c>
      <c r="BU686">
        <f>IFERROR(INDEX(PP_Grid[#Data],$DE686,70),0)</f>
        <v/>
      </c>
      <c r="BV686">
        <f>IFERROR(INDEX(PP_Grid[#Data],$DE686,71),0)</f>
        <v/>
      </c>
      <c r="BW686">
        <f>IFERROR(INDEX(PP_Grid[#Data],$DE686,72),0)</f>
        <v/>
      </c>
      <c r="BX686">
        <f>IFERROR(INDEX(PP_Grid[#Data],$DE686,73),0)</f>
        <v/>
      </c>
      <c r="BY686">
        <f>IFERROR(INDEX(PP_Grid[#Data],$DE686,74),0)</f>
        <v/>
      </c>
      <c r="BZ686">
        <f>IFERROR(INDEX(PP_Grid[#Data],$DE686,75),0)</f>
        <v/>
      </c>
      <c r="CA686">
        <f>IFERROR(INDEX(PP_Grid[#Data],$DE686,76),0)</f>
        <v/>
      </c>
      <c r="CB686">
        <f>IFERROR(INDEX(PP_Grid[#Data],$DE686,77),0)</f>
        <v/>
      </c>
      <c r="CC686">
        <f>IFERROR(INDEX(PP_Grid[#Data],$DE686,78),0)</f>
        <v/>
      </c>
      <c r="CD686">
        <f>IFERROR(INDEX(PP_Grid[#Data],$DE686,79),0)</f>
        <v/>
      </c>
      <c r="CE686">
        <f>IFERROR(INDEX(PP_Grid[#Data],$DE686,80),0)</f>
        <v/>
      </c>
      <c r="CF686">
        <f>IFERROR(INDEX(PP_Grid[#Data],$DE686,81),0)</f>
        <v/>
      </c>
      <c r="CG686">
        <f>IFERROR(INDEX(PP_Grid[#Data],$DE686,82),0)</f>
        <v/>
      </c>
      <c r="CH686">
        <f>IFERROR(INDEX(PP_Grid[#Data],$DE686,83),0)</f>
        <v/>
      </c>
      <c r="CI686">
        <f>IFERROR(INDEX(PP_Grid[#Data],$DE686,84),0)</f>
        <v/>
      </c>
      <c r="CJ686">
        <f>IFERROR(INDEX(PP_Grid[#Data],$DE686,85),0)</f>
        <v/>
      </c>
      <c r="CK686">
        <f>IFERROR(INDEX(PP_Grid[#Data],$DE686,86),0)</f>
        <v/>
      </c>
      <c r="CL686">
        <f>IFERROR(INDEX(PP_Grid[#Data],$DE686,87),0)</f>
        <v/>
      </c>
      <c r="CM686">
        <f>IFERROR(INDEX(PP_Grid[#Data],$DE686,88),0)</f>
        <v/>
      </c>
      <c r="CN686">
        <f>IFERROR(INDEX(PP_Grid[#Data],$DE686,89),0)</f>
        <v/>
      </c>
      <c r="CO686">
        <f>IFERROR(INDEX(PP_Grid[#Data],$DE686,90),0)</f>
        <v/>
      </c>
      <c r="CP686">
        <f>IFERROR(INDEX(PP_Grid[#Data],$DE686,91),0)</f>
        <v/>
      </c>
      <c r="CQ686">
        <f>IFERROR(INDEX(PP_Grid[#Data],$DE686,92),0)</f>
        <v/>
      </c>
      <c r="CR686">
        <f>IFERROR(INDEX(PP_Grid[#Data],$DE686,93),0)</f>
        <v/>
      </c>
      <c r="CS686">
        <f>IFERROR(INDEX(PP_Grid[#Data],$DE686,94),0)</f>
        <v/>
      </c>
      <c r="CT686">
        <f>IFERROR(INDEX(PP_Grid[#Data],$DE686,95),0)</f>
        <v/>
      </c>
      <c r="CU686">
        <f>IFERROR(INDEX(PP_Grid[#Data],$DE686,96),0)</f>
        <v/>
      </c>
      <c r="CV686">
        <f>IFERROR(INDEX(PP_Grid[#Data],$DE686,97),0)</f>
        <v/>
      </c>
      <c r="CW686">
        <f>IFERROR(INDEX(PP_Grid[#Data],$DE686,98),0)</f>
        <v/>
      </c>
      <c r="CX686">
        <f>IFERROR(INDEX(PP_Grid[#Data],$DE686,99),0)</f>
        <v/>
      </c>
      <c r="CY686">
        <f>IFERROR(INDEX(PP_Grid[#Data],$DE686,100),0)</f>
        <v/>
      </c>
      <c r="CZ686">
        <f>IFERROR(INDEX(PP_Grid[#Data],$DE686,101),0)</f>
        <v/>
      </c>
      <c r="DA686">
        <f>IFERROR(INDEX(PP_Grid[#Data],$DE686,102),0)</f>
        <v/>
      </c>
      <c r="DB686">
        <f>IFERROR(INDEX(PP_Grid[#Data],$DE686,103),0)</f>
        <v/>
      </c>
      <c r="DC686">
        <f>IFERROR(INDEX(PP_Grid[#Data],$DE686,104),0)</f>
        <v/>
      </c>
      <c r="DD686">
        <f>IFERROR(INDEX(PP_Grid[#Data],$DE686,105),0)</f>
        <v/>
      </c>
      <c r="DE686" s="7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SUMIFS(M_BOM[RM_Qty_Per_Batch],M_BOM[Intermediate],$B686,M_BOM[RM_Code],$A615)</f>
        <v/>
      </c>
      <c r="D687">
        <f>IFERROR(INDEX(E687:DD687,$F$1),"")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  <c r="DD687">
        <f>$C687*DD686</f>
        <v/>
      </c>
    </row>
    <row r="688">
      <c r="B688" t="inlineStr">
        <is>
          <t>VSP-606</t>
        </is>
      </c>
      <c r="C688" t="inlineStr">
        <is>
          <t>No. of batches</t>
        </is>
      </c>
      <c r="D688">
        <f>IFERROR(INDEX(E688:DD688,$F$1),"")</f>
        <v/>
      </c>
      <c r="E688">
        <f>IFERROR(INDEX(PP_Grid[#Data],$DE688,2),0)</f>
        <v/>
      </c>
      <c r="F688">
        <f>IFERROR(INDEX(PP_Grid[#Data],$DE688,3),0)</f>
        <v/>
      </c>
      <c r="G688">
        <f>IFERROR(INDEX(PP_Grid[#Data],$DE688,4),0)</f>
        <v/>
      </c>
      <c r="H688">
        <f>IFERROR(INDEX(PP_Grid[#Data],$DE688,5),0)</f>
        <v/>
      </c>
      <c r="I688">
        <f>IFERROR(INDEX(PP_Grid[#Data],$DE688,6),0)</f>
        <v/>
      </c>
      <c r="J688">
        <f>IFERROR(INDEX(PP_Grid[#Data],$DE688,7),0)</f>
        <v/>
      </c>
      <c r="K688">
        <f>IFERROR(INDEX(PP_Grid[#Data],$DE688,8),0)</f>
        <v/>
      </c>
      <c r="L688">
        <f>IFERROR(INDEX(PP_Grid[#Data],$DE688,9),0)</f>
        <v/>
      </c>
      <c r="M688">
        <f>IFERROR(INDEX(PP_Grid[#Data],$DE688,10),0)</f>
        <v/>
      </c>
      <c r="N688">
        <f>IFERROR(INDEX(PP_Grid[#Data],$DE688,11),0)</f>
        <v/>
      </c>
      <c r="O688">
        <f>IFERROR(INDEX(PP_Grid[#Data],$DE688,12),0)</f>
        <v/>
      </c>
      <c r="P688">
        <f>IFERROR(INDEX(PP_Grid[#Data],$DE688,13),0)</f>
        <v/>
      </c>
      <c r="Q688">
        <f>IFERROR(INDEX(PP_Grid[#Data],$DE688,14),0)</f>
        <v/>
      </c>
      <c r="R688">
        <f>IFERROR(INDEX(PP_Grid[#Data],$DE688,15),0)</f>
        <v/>
      </c>
      <c r="S688">
        <f>IFERROR(INDEX(PP_Grid[#Data],$DE688,16),0)</f>
        <v/>
      </c>
      <c r="T688">
        <f>IFERROR(INDEX(PP_Grid[#Data],$DE688,17),0)</f>
        <v/>
      </c>
      <c r="U688">
        <f>IFERROR(INDEX(PP_Grid[#Data],$DE688,18),0)</f>
        <v/>
      </c>
      <c r="V688">
        <f>IFERROR(INDEX(PP_Grid[#Data],$DE688,19),0)</f>
        <v/>
      </c>
      <c r="W688">
        <f>IFERROR(INDEX(PP_Grid[#Data],$DE688,20),0)</f>
        <v/>
      </c>
      <c r="X688">
        <f>IFERROR(INDEX(PP_Grid[#Data],$DE688,21),0)</f>
        <v/>
      </c>
      <c r="Y688">
        <f>IFERROR(INDEX(PP_Grid[#Data],$DE688,22),0)</f>
        <v/>
      </c>
      <c r="Z688">
        <f>IFERROR(INDEX(PP_Grid[#Data],$DE688,23),0)</f>
        <v/>
      </c>
      <c r="AA688">
        <f>IFERROR(INDEX(PP_Grid[#Data],$DE688,24),0)</f>
        <v/>
      </c>
      <c r="AB688">
        <f>IFERROR(INDEX(PP_Grid[#Data],$DE688,25),0)</f>
        <v/>
      </c>
      <c r="AC688">
        <f>IFERROR(INDEX(PP_Grid[#Data],$DE688,26),0)</f>
        <v/>
      </c>
      <c r="AD688">
        <f>IFERROR(INDEX(PP_Grid[#Data],$DE688,27),0)</f>
        <v/>
      </c>
      <c r="AE688">
        <f>IFERROR(INDEX(PP_Grid[#Data],$DE688,28),0)</f>
        <v/>
      </c>
      <c r="AF688">
        <f>IFERROR(INDEX(PP_Grid[#Data],$DE688,29),0)</f>
        <v/>
      </c>
      <c r="AG688">
        <f>IFERROR(INDEX(PP_Grid[#Data],$DE688,30),0)</f>
        <v/>
      </c>
      <c r="AH688">
        <f>IFERROR(INDEX(PP_Grid[#Data],$DE688,31),0)</f>
        <v/>
      </c>
      <c r="AI688">
        <f>IFERROR(INDEX(PP_Grid[#Data],$DE688,32),0)</f>
        <v/>
      </c>
      <c r="AJ688">
        <f>IFERROR(INDEX(PP_Grid[#Data],$DE688,33),0)</f>
        <v/>
      </c>
      <c r="AK688">
        <f>IFERROR(INDEX(PP_Grid[#Data],$DE688,34),0)</f>
        <v/>
      </c>
      <c r="AL688">
        <f>IFERROR(INDEX(PP_Grid[#Data],$DE688,35),0)</f>
        <v/>
      </c>
      <c r="AM688">
        <f>IFERROR(INDEX(PP_Grid[#Data],$DE688,36),0)</f>
        <v/>
      </c>
      <c r="AN688">
        <f>IFERROR(INDEX(PP_Grid[#Data],$DE688,37),0)</f>
        <v/>
      </c>
      <c r="AO688">
        <f>IFERROR(INDEX(PP_Grid[#Data],$DE688,38),0)</f>
        <v/>
      </c>
      <c r="AP688">
        <f>IFERROR(INDEX(PP_Grid[#Data],$DE688,39),0)</f>
        <v/>
      </c>
      <c r="AQ688">
        <f>IFERROR(INDEX(PP_Grid[#Data],$DE688,40),0)</f>
        <v/>
      </c>
      <c r="AR688">
        <f>IFERROR(INDEX(PP_Grid[#Data],$DE688,41),0)</f>
        <v/>
      </c>
      <c r="AS688">
        <f>IFERROR(INDEX(PP_Grid[#Data],$DE688,42),0)</f>
        <v/>
      </c>
      <c r="AT688">
        <f>IFERROR(INDEX(PP_Grid[#Data],$DE688,43),0)</f>
        <v/>
      </c>
      <c r="AU688">
        <f>IFERROR(INDEX(PP_Grid[#Data],$DE688,44),0)</f>
        <v/>
      </c>
      <c r="AV688">
        <f>IFERROR(INDEX(PP_Grid[#Data],$DE688,45),0)</f>
        <v/>
      </c>
      <c r="AW688">
        <f>IFERROR(INDEX(PP_Grid[#Data],$DE688,46),0)</f>
        <v/>
      </c>
      <c r="AX688">
        <f>IFERROR(INDEX(PP_Grid[#Data],$DE688,47),0)</f>
        <v/>
      </c>
      <c r="AY688">
        <f>IFERROR(INDEX(PP_Grid[#Data],$DE688,48),0)</f>
        <v/>
      </c>
      <c r="AZ688">
        <f>IFERROR(INDEX(PP_Grid[#Data],$DE688,49),0)</f>
        <v/>
      </c>
      <c r="BA688">
        <f>IFERROR(INDEX(PP_Grid[#Data],$DE688,50),0)</f>
        <v/>
      </c>
      <c r="BB688">
        <f>IFERROR(INDEX(PP_Grid[#Data],$DE688,51),0)</f>
        <v/>
      </c>
      <c r="BC688">
        <f>IFERROR(INDEX(PP_Grid[#Data],$DE688,52),0)</f>
        <v/>
      </c>
      <c r="BD688">
        <f>IFERROR(INDEX(PP_Grid[#Data],$DE688,53),0)</f>
        <v/>
      </c>
      <c r="BE688">
        <f>IFERROR(INDEX(PP_Grid[#Data],$DE688,54),0)</f>
        <v/>
      </c>
      <c r="BF688">
        <f>IFERROR(INDEX(PP_Grid[#Data],$DE688,55),0)</f>
        <v/>
      </c>
      <c r="BG688">
        <f>IFERROR(INDEX(PP_Grid[#Data],$DE688,56),0)</f>
        <v/>
      </c>
      <c r="BH688">
        <f>IFERROR(INDEX(PP_Grid[#Data],$DE688,57),0)</f>
        <v/>
      </c>
      <c r="BI688">
        <f>IFERROR(INDEX(PP_Grid[#Data],$DE688,58),0)</f>
        <v/>
      </c>
      <c r="BJ688">
        <f>IFERROR(INDEX(PP_Grid[#Data],$DE688,59),0)</f>
        <v/>
      </c>
      <c r="BK688">
        <f>IFERROR(INDEX(PP_Grid[#Data],$DE688,60),0)</f>
        <v/>
      </c>
      <c r="BL688">
        <f>IFERROR(INDEX(PP_Grid[#Data],$DE688,61),0)</f>
        <v/>
      </c>
      <c r="BM688">
        <f>IFERROR(INDEX(PP_Grid[#Data],$DE688,62),0)</f>
        <v/>
      </c>
      <c r="BN688">
        <f>IFERROR(INDEX(PP_Grid[#Data],$DE688,63),0)</f>
        <v/>
      </c>
      <c r="BO688">
        <f>IFERROR(INDEX(PP_Grid[#Data],$DE688,64),0)</f>
        <v/>
      </c>
      <c r="BP688">
        <f>IFERROR(INDEX(PP_Grid[#Data],$DE688,65),0)</f>
        <v/>
      </c>
      <c r="BQ688">
        <f>IFERROR(INDEX(PP_Grid[#Data],$DE688,66),0)</f>
        <v/>
      </c>
      <c r="BR688">
        <f>IFERROR(INDEX(PP_Grid[#Data],$DE688,67),0)</f>
        <v/>
      </c>
      <c r="BS688">
        <f>IFERROR(INDEX(PP_Grid[#Data],$DE688,68),0)</f>
        <v/>
      </c>
      <c r="BT688">
        <f>IFERROR(INDEX(PP_Grid[#Data],$DE688,69),0)</f>
        <v/>
      </c>
      <c r="BU688">
        <f>IFERROR(INDEX(PP_Grid[#Data],$DE688,70),0)</f>
        <v/>
      </c>
      <c r="BV688">
        <f>IFERROR(INDEX(PP_Grid[#Data],$DE688,71),0)</f>
        <v/>
      </c>
      <c r="BW688">
        <f>IFERROR(INDEX(PP_Grid[#Data],$DE688,72),0)</f>
        <v/>
      </c>
      <c r="BX688">
        <f>IFERROR(INDEX(PP_Grid[#Data],$DE688,73),0)</f>
        <v/>
      </c>
      <c r="BY688">
        <f>IFERROR(INDEX(PP_Grid[#Data],$DE688,74),0)</f>
        <v/>
      </c>
      <c r="BZ688">
        <f>IFERROR(INDEX(PP_Grid[#Data],$DE688,75),0)</f>
        <v/>
      </c>
      <c r="CA688">
        <f>IFERROR(INDEX(PP_Grid[#Data],$DE688,76),0)</f>
        <v/>
      </c>
      <c r="CB688">
        <f>IFERROR(INDEX(PP_Grid[#Data],$DE688,77),0)</f>
        <v/>
      </c>
      <c r="CC688">
        <f>IFERROR(INDEX(PP_Grid[#Data],$DE688,78),0)</f>
        <v/>
      </c>
      <c r="CD688">
        <f>IFERROR(INDEX(PP_Grid[#Data],$DE688,79),0)</f>
        <v/>
      </c>
      <c r="CE688">
        <f>IFERROR(INDEX(PP_Grid[#Data],$DE688,80),0)</f>
        <v/>
      </c>
      <c r="CF688">
        <f>IFERROR(INDEX(PP_Grid[#Data],$DE688,81),0)</f>
        <v/>
      </c>
      <c r="CG688">
        <f>IFERROR(INDEX(PP_Grid[#Data],$DE688,82),0)</f>
        <v/>
      </c>
      <c r="CH688">
        <f>IFERROR(INDEX(PP_Grid[#Data],$DE688,83),0)</f>
        <v/>
      </c>
      <c r="CI688">
        <f>IFERROR(INDEX(PP_Grid[#Data],$DE688,84),0)</f>
        <v/>
      </c>
      <c r="CJ688">
        <f>IFERROR(INDEX(PP_Grid[#Data],$DE688,85),0)</f>
        <v/>
      </c>
      <c r="CK688">
        <f>IFERROR(INDEX(PP_Grid[#Data],$DE688,86),0)</f>
        <v/>
      </c>
      <c r="CL688">
        <f>IFERROR(INDEX(PP_Grid[#Data],$DE688,87),0)</f>
        <v/>
      </c>
      <c r="CM688">
        <f>IFERROR(INDEX(PP_Grid[#Data],$DE688,88),0)</f>
        <v/>
      </c>
      <c r="CN688">
        <f>IFERROR(INDEX(PP_Grid[#Data],$DE688,89),0)</f>
        <v/>
      </c>
      <c r="CO688">
        <f>IFERROR(INDEX(PP_Grid[#Data],$DE688,90),0)</f>
        <v/>
      </c>
      <c r="CP688">
        <f>IFERROR(INDEX(PP_Grid[#Data],$DE688,91),0)</f>
        <v/>
      </c>
      <c r="CQ688">
        <f>IFERROR(INDEX(PP_Grid[#Data],$DE688,92),0)</f>
        <v/>
      </c>
      <c r="CR688">
        <f>IFERROR(INDEX(PP_Grid[#Data],$DE688,93),0)</f>
        <v/>
      </c>
      <c r="CS688">
        <f>IFERROR(INDEX(PP_Grid[#Data],$DE688,94),0)</f>
        <v/>
      </c>
      <c r="CT688">
        <f>IFERROR(INDEX(PP_Grid[#Data],$DE688,95),0)</f>
        <v/>
      </c>
      <c r="CU688">
        <f>IFERROR(INDEX(PP_Grid[#Data],$DE688,96),0)</f>
        <v/>
      </c>
      <c r="CV688">
        <f>IFERROR(INDEX(PP_Grid[#Data],$DE688,97),0)</f>
        <v/>
      </c>
      <c r="CW688">
        <f>IFERROR(INDEX(PP_Grid[#Data],$DE688,98),0)</f>
        <v/>
      </c>
      <c r="CX688">
        <f>IFERROR(INDEX(PP_Grid[#Data],$DE688,99),0)</f>
        <v/>
      </c>
      <c r="CY688">
        <f>IFERROR(INDEX(PP_Grid[#Data],$DE688,100),0)</f>
        <v/>
      </c>
      <c r="CZ688">
        <f>IFERROR(INDEX(PP_Grid[#Data],$DE688,101),0)</f>
        <v/>
      </c>
      <c r="DA688">
        <f>IFERROR(INDEX(PP_Grid[#Data],$DE688,102),0)</f>
        <v/>
      </c>
      <c r="DB688">
        <f>IFERROR(INDEX(PP_Grid[#Data],$DE688,103),0)</f>
        <v/>
      </c>
      <c r="DC688">
        <f>IFERROR(INDEX(PP_Grid[#Data],$DE688,104),0)</f>
        <v/>
      </c>
      <c r="DD688">
        <f>IFERROR(INDEX(PP_Grid[#Data],$DE688,105),0)</f>
        <v/>
      </c>
      <c r="DE688" s="7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SUMIFS(M_BOM[RM_Qty_Per_Batch],M_BOM[Intermediate],$B688,M_BOM[RM_Code],$A615)</f>
        <v/>
      </c>
      <c r="D689">
        <f>IFERROR(INDEX(E689:DD689,$F$1),"")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  <c r="DD689">
        <f>$C689*DD688</f>
        <v/>
      </c>
    </row>
    <row r="690">
      <c r="B690" t="inlineStr">
        <is>
          <t>VSP-607</t>
        </is>
      </c>
      <c r="C690" t="inlineStr">
        <is>
          <t>No. of batches</t>
        </is>
      </c>
      <c r="D690">
        <f>IFERROR(INDEX(E690:DD690,$F$1),"")</f>
        <v/>
      </c>
      <c r="E690">
        <f>IFERROR(INDEX(PP_Grid[#Data],$DE690,2),0)</f>
        <v/>
      </c>
      <c r="F690">
        <f>IFERROR(INDEX(PP_Grid[#Data],$DE690,3),0)</f>
        <v/>
      </c>
      <c r="G690">
        <f>IFERROR(INDEX(PP_Grid[#Data],$DE690,4),0)</f>
        <v/>
      </c>
      <c r="H690">
        <f>IFERROR(INDEX(PP_Grid[#Data],$DE690,5),0)</f>
        <v/>
      </c>
      <c r="I690">
        <f>IFERROR(INDEX(PP_Grid[#Data],$DE690,6),0)</f>
        <v/>
      </c>
      <c r="J690">
        <f>IFERROR(INDEX(PP_Grid[#Data],$DE690,7),0)</f>
        <v/>
      </c>
      <c r="K690">
        <f>IFERROR(INDEX(PP_Grid[#Data],$DE690,8),0)</f>
        <v/>
      </c>
      <c r="L690">
        <f>IFERROR(INDEX(PP_Grid[#Data],$DE690,9),0)</f>
        <v/>
      </c>
      <c r="M690">
        <f>IFERROR(INDEX(PP_Grid[#Data],$DE690,10),0)</f>
        <v/>
      </c>
      <c r="N690">
        <f>IFERROR(INDEX(PP_Grid[#Data],$DE690,11),0)</f>
        <v/>
      </c>
      <c r="O690">
        <f>IFERROR(INDEX(PP_Grid[#Data],$DE690,12),0)</f>
        <v/>
      </c>
      <c r="P690">
        <f>IFERROR(INDEX(PP_Grid[#Data],$DE690,13),0)</f>
        <v/>
      </c>
      <c r="Q690">
        <f>IFERROR(INDEX(PP_Grid[#Data],$DE690,14),0)</f>
        <v/>
      </c>
      <c r="R690">
        <f>IFERROR(INDEX(PP_Grid[#Data],$DE690,15),0)</f>
        <v/>
      </c>
      <c r="S690">
        <f>IFERROR(INDEX(PP_Grid[#Data],$DE690,16),0)</f>
        <v/>
      </c>
      <c r="T690">
        <f>IFERROR(INDEX(PP_Grid[#Data],$DE690,17),0)</f>
        <v/>
      </c>
      <c r="U690">
        <f>IFERROR(INDEX(PP_Grid[#Data],$DE690,18),0)</f>
        <v/>
      </c>
      <c r="V690">
        <f>IFERROR(INDEX(PP_Grid[#Data],$DE690,19),0)</f>
        <v/>
      </c>
      <c r="W690">
        <f>IFERROR(INDEX(PP_Grid[#Data],$DE690,20),0)</f>
        <v/>
      </c>
      <c r="X690">
        <f>IFERROR(INDEX(PP_Grid[#Data],$DE690,21),0)</f>
        <v/>
      </c>
      <c r="Y690">
        <f>IFERROR(INDEX(PP_Grid[#Data],$DE690,22),0)</f>
        <v/>
      </c>
      <c r="Z690">
        <f>IFERROR(INDEX(PP_Grid[#Data],$DE690,23),0)</f>
        <v/>
      </c>
      <c r="AA690">
        <f>IFERROR(INDEX(PP_Grid[#Data],$DE690,24),0)</f>
        <v/>
      </c>
      <c r="AB690">
        <f>IFERROR(INDEX(PP_Grid[#Data],$DE690,25),0)</f>
        <v/>
      </c>
      <c r="AC690">
        <f>IFERROR(INDEX(PP_Grid[#Data],$DE690,26),0)</f>
        <v/>
      </c>
      <c r="AD690">
        <f>IFERROR(INDEX(PP_Grid[#Data],$DE690,27),0)</f>
        <v/>
      </c>
      <c r="AE690">
        <f>IFERROR(INDEX(PP_Grid[#Data],$DE690,28),0)</f>
        <v/>
      </c>
      <c r="AF690">
        <f>IFERROR(INDEX(PP_Grid[#Data],$DE690,29),0)</f>
        <v/>
      </c>
      <c r="AG690">
        <f>IFERROR(INDEX(PP_Grid[#Data],$DE690,30),0)</f>
        <v/>
      </c>
      <c r="AH690">
        <f>IFERROR(INDEX(PP_Grid[#Data],$DE690,31),0)</f>
        <v/>
      </c>
      <c r="AI690">
        <f>IFERROR(INDEX(PP_Grid[#Data],$DE690,32),0)</f>
        <v/>
      </c>
      <c r="AJ690">
        <f>IFERROR(INDEX(PP_Grid[#Data],$DE690,33),0)</f>
        <v/>
      </c>
      <c r="AK690">
        <f>IFERROR(INDEX(PP_Grid[#Data],$DE690,34),0)</f>
        <v/>
      </c>
      <c r="AL690">
        <f>IFERROR(INDEX(PP_Grid[#Data],$DE690,35),0)</f>
        <v/>
      </c>
      <c r="AM690">
        <f>IFERROR(INDEX(PP_Grid[#Data],$DE690,36),0)</f>
        <v/>
      </c>
      <c r="AN690">
        <f>IFERROR(INDEX(PP_Grid[#Data],$DE690,37),0)</f>
        <v/>
      </c>
      <c r="AO690">
        <f>IFERROR(INDEX(PP_Grid[#Data],$DE690,38),0)</f>
        <v/>
      </c>
      <c r="AP690">
        <f>IFERROR(INDEX(PP_Grid[#Data],$DE690,39),0)</f>
        <v/>
      </c>
      <c r="AQ690">
        <f>IFERROR(INDEX(PP_Grid[#Data],$DE690,40),0)</f>
        <v/>
      </c>
      <c r="AR690">
        <f>IFERROR(INDEX(PP_Grid[#Data],$DE690,41),0)</f>
        <v/>
      </c>
      <c r="AS690">
        <f>IFERROR(INDEX(PP_Grid[#Data],$DE690,42),0)</f>
        <v/>
      </c>
      <c r="AT690">
        <f>IFERROR(INDEX(PP_Grid[#Data],$DE690,43),0)</f>
        <v/>
      </c>
      <c r="AU690">
        <f>IFERROR(INDEX(PP_Grid[#Data],$DE690,44),0)</f>
        <v/>
      </c>
      <c r="AV690">
        <f>IFERROR(INDEX(PP_Grid[#Data],$DE690,45),0)</f>
        <v/>
      </c>
      <c r="AW690">
        <f>IFERROR(INDEX(PP_Grid[#Data],$DE690,46),0)</f>
        <v/>
      </c>
      <c r="AX690">
        <f>IFERROR(INDEX(PP_Grid[#Data],$DE690,47),0)</f>
        <v/>
      </c>
      <c r="AY690">
        <f>IFERROR(INDEX(PP_Grid[#Data],$DE690,48),0)</f>
        <v/>
      </c>
      <c r="AZ690">
        <f>IFERROR(INDEX(PP_Grid[#Data],$DE690,49),0)</f>
        <v/>
      </c>
      <c r="BA690">
        <f>IFERROR(INDEX(PP_Grid[#Data],$DE690,50),0)</f>
        <v/>
      </c>
      <c r="BB690">
        <f>IFERROR(INDEX(PP_Grid[#Data],$DE690,51),0)</f>
        <v/>
      </c>
      <c r="BC690">
        <f>IFERROR(INDEX(PP_Grid[#Data],$DE690,52),0)</f>
        <v/>
      </c>
      <c r="BD690">
        <f>IFERROR(INDEX(PP_Grid[#Data],$DE690,53),0)</f>
        <v/>
      </c>
      <c r="BE690">
        <f>IFERROR(INDEX(PP_Grid[#Data],$DE690,54),0)</f>
        <v/>
      </c>
      <c r="BF690">
        <f>IFERROR(INDEX(PP_Grid[#Data],$DE690,55),0)</f>
        <v/>
      </c>
      <c r="BG690">
        <f>IFERROR(INDEX(PP_Grid[#Data],$DE690,56),0)</f>
        <v/>
      </c>
      <c r="BH690">
        <f>IFERROR(INDEX(PP_Grid[#Data],$DE690,57),0)</f>
        <v/>
      </c>
      <c r="BI690">
        <f>IFERROR(INDEX(PP_Grid[#Data],$DE690,58),0)</f>
        <v/>
      </c>
      <c r="BJ690">
        <f>IFERROR(INDEX(PP_Grid[#Data],$DE690,59),0)</f>
        <v/>
      </c>
      <c r="BK690">
        <f>IFERROR(INDEX(PP_Grid[#Data],$DE690,60),0)</f>
        <v/>
      </c>
      <c r="BL690">
        <f>IFERROR(INDEX(PP_Grid[#Data],$DE690,61),0)</f>
        <v/>
      </c>
      <c r="BM690">
        <f>IFERROR(INDEX(PP_Grid[#Data],$DE690,62),0)</f>
        <v/>
      </c>
      <c r="BN690">
        <f>IFERROR(INDEX(PP_Grid[#Data],$DE690,63),0)</f>
        <v/>
      </c>
      <c r="BO690">
        <f>IFERROR(INDEX(PP_Grid[#Data],$DE690,64),0)</f>
        <v/>
      </c>
      <c r="BP690">
        <f>IFERROR(INDEX(PP_Grid[#Data],$DE690,65),0)</f>
        <v/>
      </c>
      <c r="BQ690">
        <f>IFERROR(INDEX(PP_Grid[#Data],$DE690,66),0)</f>
        <v/>
      </c>
      <c r="BR690">
        <f>IFERROR(INDEX(PP_Grid[#Data],$DE690,67),0)</f>
        <v/>
      </c>
      <c r="BS690">
        <f>IFERROR(INDEX(PP_Grid[#Data],$DE690,68),0)</f>
        <v/>
      </c>
      <c r="BT690">
        <f>IFERROR(INDEX(PP_Grid[#Data],$DE690,69),0)</f>
        <v/>
      </c>
      <c r="BU690">
        <f>IFERROR(INDEX(PP_Grid[#Data],$DE690,70),0)</f>
        <v/>
      </c>
      <c r="BV690">
        <f>IFERROR(INDEX(PP_Grid[#Data],$DE690,71),0)</f>
        <v/>
      </c>
      <c r="BW690">
        <f>IFERROR(INDEX(PP_Grid[#Data],$DE690,72),0)</f>
        <v/>
      </c>
      <c r="BX690">
        <f>IFERROR(INDEX(PP_Grid[#Data],$DE690,73),0)</f>
        <v/>
      </c>
      <c r="BY690">
        <f>IFERROR(INDEX(PP_Grid[#Data],$DE690,74),0)</f>
        <v/>
      </c>
      <c r="BZ690">
        <f>IFERROR(INDEX(PP_Grid[#Data],$DE690,75),0)</f>
        <v/>
      </c>
      <c r="CA690">
        <f>IFERROR(INDEX(PP_Grid[#Data],$DE690,76),0)</f>
        <v/>
      </c>
      <c r="CB690">
        <f>IFERROR(INDEX(PP_Grid[#Data],$DE690,77),0)</f>
        <v/>
      </c>
      <c r="CC690">
        <f>IFERROR(INDEX(PP_Grid[#Data],$DE690,78),0)</f>
        <v/>
      </c>
      <c r="CD690">
        <f>IFERROR(INDEX(PP_Grid[#Data],$DE690,79),0)</f>
        <v/>
      </c>
      <c r="CE690">
        <f>IFERROR(INDEX(PP_Grid[#Data],$DE690,80),0)</f>
        <v/>
      </c>
      <c r="CF690">
        <f>IFERROR(INDEX(PP_Grid[#Data],$DE690,81),0)</f>
        <v/>
      </c>
      <c r="CG690">
        <f>IFERROR(INDEX(PP_Grid[#Data],$DE690,82),0)</f>
        <v/>
      </c>
      <c r="CH690">
        <f>IFERROR(INDEX(PP_Grid[#Data],$DE690,83),0)</f>
        <v/>
      </c>
      <c r="CI690">
        <f>IFERROR(INDEX(PP_Grid[#Data],$DE690,84),0)</f>
        <v/>
      </c>
      <c r="CJ690">
        <f>IFERROR(INDEX(PP_Grid[#Data],$DE690,85),0)</f>
        <v/>
      </c>
      <c r="CK690">
        <f>IFERROR(INDEX(PP_Grid[#Data],$DE690,86),0)</f>
        <v/>
      </c>
      <c r="CL690">
        <f>IFERROR(INDEX(PP_Grid[#Data],$DE690,87),0)</f>
        <v/>
      </c>
      <c r="CM690">
        <f>IFERROR(INDEX(PP_Grid[#Data],$DE690,88),0)</f>
        <v/>
      </c>
      <c r="CN690">
        <f>IFERROR(INDEX(PP_Grid[#Data],$DE690,89),0)</f>
        <v/>
      </c>
      <c r="CO690">
        <f>IFERROR(INDEX(PP_Grid[#Data],$DE690,90),0)</f>
        <v/>
      </c>
      <c r="CP690">
        <f>IFERROR(INDEX(PP_Grid[#Data],$DE690,91),0)</f>
        <v/>
      </c>
      <c r="CQ690">
        <f>IFERROR(INDEX(PP_Grid[#Data],$DE690,92),0)</f>
        <v/>
      </c>
      <c r="CR690">
        <f>IFERROR(INDEX(PP_Grid[#Data],$DE690,93),0)</f>
        <v/>
      </c>
      <c r="CS690">
        <f>IFERROR(INDEX(PP_Grid[#Data],$DE690,94),0)</f>
        <v/>
      </c>
      <c r="CT690">
        <f>IFERROR(INDEX(PP_Grid[#Data],$DE690,95),0)</f>
        <v/>
      </c>
      <c r="CU690">
        <f>IFERROR(INDEX(PP_Grid[#Data],$DE690,96),0)</f>
        <v/>
      </c>
      <c r="CV690">
        <f>IFERROR(INDEX(PP_Grid[#Data],$DE690,97),0)</f>
        <v/>
      </c>
      <c r="CW690">
        <f>IFERROR(INDEX(PP_Grid[#Data],$DE690,98),0)</f>
        <v/>
      </c>
      <c r="CX690">
        <f>IFERROR(INDEX(PP_Grid[#Data],$DE690,99),0)</f>
        <v/>
      </c>
      <c r="CY690">
        <f>IFERROR(INDEX(PP_Grid[#Data],$DE690,100),0)</f>
        <v/>
      </c>
      <c r="CZ690">
        <f>IFERROR(INDEX(PP_Grid[#Data],$DE690,101),0)</f>
        <v/>
      </c>
      <c r="DA690">
        <f>IFERROR(INDEX(PP_Grid[#Data],$DE690,102),0)</f>
        <v/>
      </c>
      <c r="DB690">
        <f>IFERROR(INDEX(PP_Grid[#Data],$DE690,103),0)</f>
        <v/>
      </c>
      <c r="DC690">
        <f>IFERROR(INDEX(PP_Grid[#Data],$DE690,104),0)</f>
        <v/>
      </c>
      <c r="DD690">
        <f>IFERROR(INDEX(PP_Grid[#Data],$DE690,105),0)</f>
        <v/>
      </c>
      <c r="DE690" s="7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SUMIFS(M_BOM[RM_Qty_Per_Batch],M_BOM[Intermediate],$B690,M_BOM[RM_Code],$A615)</f>
        <v/>
      </c>
      <c r="D691">
        <f>IFERROR(INDEX(E691:DD691,$F$1),"")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  <c r="DD691">
        <f>$C691*DD690</f>
        <v/>
      </c>
    </row>
    <row r="692">
      <c r="B692" t="inlineStr">
        <is>
          <t>VSP-738</t>
        </is>
      </c>
      <c r="C692" t="inlineStr">
        <is>
          <t>No. of batches</t>
        </is>
      </c>
      <c r="D692">
        <f>IFERROR(INDEX(E692:DD692,$F$1),"")</f>
        <v/>
      </c>
      <c r="E692">
        <f>IFERROR(INDEX(PP_Grid[#Data],$DE692,2),0)</f>
        <v/>
      </c>
      <c r="F692">
        <f>IFERROR(INDEX(PP_Grid[#Data],$DE692,3),0)</f>
        <v/>
      </c>
      <c r="G692">
        <f>IFERROR(INDEX(PP_Grid[#Data],$DE692,4),0)</f>
        <v/>
      </c>
      <c r="H692">
        <f>IFERROR(INDEX(PP_Grid[#Data],$DE692,5),0)</f>
        <v/>
      </c>
      <c r="I692">
        <f>IFERROR(INDEX(PP_Grid[#Data],$DE692,6),0)</f>
        <v/>
      </c>
      <c r="J692">
        <f>IFERROR(INDEX(PP_Grid[#Data],$DE692,7),0)</f>
        <v/>
      </c>
      <c r="K692">
        <f>IFERROR(INDEX(PP_Grid[#Data],$DE692,8),0)</f>
        <v/>
      </c>
      <c r="L692">
        <f>IFERROR(INDEX(PP_Grid[#Data],$DE692,9),0)</f>
        <v/>
      </c>
      <c r="M692">
        <f>IFERROR(INDEX(PP_Grid[#Data],$DE692,10),0)</f>
        <v/>
      </c>
      <c r="N692">
        <f>IFERROR(INDEX(PP_Grid[#Data],$DE692,11),0)</f>
        <v/>
      </c>
      <c r="O692">
        <f>IFERROR(INDEX(PP_Grid[#Data],$DE692,12),0)</f>
        <v/>
      </c>
      <c r="P692">
        <f>IFERROR(INDEX(PP_Grid[#Data],$DE692,13),0)</f>
        <v/>
      </c>
      <c r="Q692">
        <f>IFERROR(INDEX(PP_Grid[#Data],$DE692,14),0)</f>
        <v/>
      </c>
      <c r="R692">
        <f>IFERROR(INDEX(PP_Grid[#Data],$DE692,15),0)</f>
        <v/>
      </c>
      <c r="S692">
        <f>IFERROR(INDEX(PP_Grid[#Data],$DE692,16),0)</f>
        <v/>
      </c>
      <c r="T692">
        <f>IFERROR(INDEX(PP_Grid[#Data],$DE692,17),0)</f>
        <v/>
      </c>
      <c r="U692">
        <f>IFERROR(INDEX(PP_Grid[#Data],$DE692,18),0)</f>
        <v/>
      </c>
      <c r="V692">
        <f>IFERROR(INDEX(PP_Grid[#Data],$DE692,19),0)</f>
        <v/>
      </c>
      <c r="W692">
        <f>IFERROR(INDEX(PP_Grid[#Data],$DE692,20),0)</f>
        <v/>
      </c>
      <c r="X692">
        <f>IFERROR(INDEX(PP_Grid[#Data],$DE692,21),0)</f>
        <v/>
      </c>
      <c r="Y692">
        <f>IFERROR(INDEX(PP_Grid[#Data],$DE692,22),0)</f>
        <v/>
      </c>
      <c r="Z692">
        <f>IFERROR(INDEX(PP_Grid[#Data],$DE692,23),0)</f>
        <v/>
      </c>
      <c r="AA692">
        <f>IFERROR(INDEX(PP_Grid[#Data],$DE692,24),0)</f>
        <v/>
      </c>
      <c r="AB692">
        <f>IFERROR(INDEX(PP_Grid[#Data],$DE692,25),0)</f>
        <v/>
      </c>
      <c r="AC692">
        <f>IFERROR(INDEX(PP_Grid[#Data],$DE692,26),0)</f>
        <v/>
      </c>
      <c r="AD692">
        <f>IFERROR(INDEX(PP_Grid[#Data],$DE692,27),0)</f>
        <v/>
      </c>
      <c r="AE692">
        <f>IFERROR(INDEX(PP_Grid[#Data],$DE692,28),0)</f>
        <v/>
      </c>
      <c r="AF692">
        <f>IFERROR(INDEX(PP_Grid[#Data],$DE692,29),0)</f>
        <v/>
      </c>
      <c r="AG692">
        <f>IFERROR(INDEX(PP_Grid[#Data],$DE692,30),0)</f>
        <v/>
      </c>
      <c r="AH692">
        <f>IFERROR(INDEX(PP_Grid[#Data],$DE692,31),0)</f>
        <v/>
      </c>
      <c r="AI692">
        <f>IFERROR(INDEX(PP_Grid[#Data],$DE692,32),0)</f>
        <v/>
      </c>
      <c r="AJ692">
        <f>IFERROR(INDEX(PP_Grid[#Data],$DE692,33),0)</f>
        <v/>
      </c>
      <c r="AK692">
        <f>IFERROR(INDEX(PP_Grid[#Data],$DE692,34),0)</f>
        <v/>
      </c>
      <c r="AL692">
        <f>IFERROR(INDEX(PP_Grid[#Data],$DE692,35),0)</f>
        <v/>
      </c>
      <c r="AM692">
        <f>IFERROR(INDEX(PP_Grid[#Data],$DE692,36),0)</f>
        <v/>
      </c>
      <c r="AN692">
        <f>IFERROR(INDEX(PP_Grid[#Data],$DE692,37),0)</f>
        <v/>
      </c>
      <c r="AO692">
        <f>IFERROR(INDEX(PP_Grid[#Data],$DE692,38),0)</f>
        <v/>
      </c>
      <c r="AP692">
        <f>IFERROR(INDEX(PP_Grid[#Data],$DE692,39),0)</f>
        <v/>
      </c>
      <c r="AQ692">
        <f>IFERROR(INDEX(PP_Grid[#Data],$DE692,40),0)</f>
        <v/>
      </c>
      <c r="AR692">
        <f>IFERROR(INDEX(PP_Grid[#Data],$DE692,41),0)</f>
        <v/>
      </c>
      <c r="AS692">
        <f>IFERROR(INDEX(PP_Grid[#Data],$DE692,42),0)</f>
        <v/>
      </c>
      <c r="AT692">
        <f>IFERROR(INDEX(PP_Grid[#Data],$DE692,43),0)</f>
        <v/>
      </c>
      <c r="AU692">
        <f>IFERROR(INDEX(PP_Grid[#Data],$DE692,44),0)</f>
        <v/>
      </c>
      <c r="AV692">
        <f>IFERROR(INDEX(PP_Grid[#Data],$DE692,45),0)</f>
        <v/>
      </c>
      <c r="AW692">
        <f>IFERROR(INDEX(PP_Grid[#Data],$DE692,46),0)</f>
        <v/>
      </c>
      <c r="AX692">
        <f>IFERROR(INDEX(PP_Grid[#Data],$DE692,47),0)</f>
        <v/>
      </c>
      <c r="AY692">
        <f>IFERROR(INDEX(PP_Grid[#Data],$DE692,48),0)</f>
        <v/>
      </c>
      <c r="AZ692">
        <f>IFERROR(INDEX(PP_Grid[#Data],$DE692,49),0)</f>
        <v/>
      </c>
      <c r="BA692">
        <f>IFERROR(INDEX(PP_Grid[#Data],$DE692,50),0)</f>
        <v/>
      </c>
      <c r="BB692">
        <f>IFERROR(INDEX(PP_Grid[#Data],$DE692,51),0)</f>
        <v/>
      </c>
      <c r="BC692">
        <f>IFERROR(INDEX(PP_Grid[#Data],$DE692,52),0)</f>
        <v/>
      </c>
      <c r="BD692">
        <f>IFERROR(INDEX(PP_Grid[#Data],$DE692,53),0)</f>
        <v/>
      </c>
      <c r="BE692">
        <f>IFERROR(INDEX(PP_Grid[#Data],$DE692,54),0)</f>
        <v/>
      </c>
      <c r="BF692">
        <f>IFERROR(INDEX(PP_Grid[#Data],$DE692,55),0)</f>
        <v/>
      </c>
      <c r="BG692">
        <f>IFERROR(INDEX(PP_Grid[#Data],$DE692,56),0)</f>
        <v/>
      </c>
      <c r="BH692">
        <f>IFERROR(INDEX(PP_Grid[#Data],$DE692,57),0)</f>
        <v/>
      </c>
      <c r="BI692">
        <f>IFERROR(INDEX(PP_Grid[#Data],$DE692,58),0)</f>
        <v/>
      </c>
      <c r="BJ692">
        <f>IFERROR(INDEX(PP_Grid[#Data],$DE692,59),0)</f>
        <v/>
      </c>
      <c r="BK692">
        <f>IFERROR(INDEX(PP_Grid[#Data],$DE692,60),0)</f>
        <v/>
      </c>
      <c r="BL692">
        <f>IFERROR(INDEX(PP_Grid[#Data],$DE692,61),0)</f>
        <v/>
      </c>
      <c r="BM692">
        <f>IFERROR(INDEX(PP_Grid[#Data],$DE692,62),0)</f>
        <v/>
      </c>
      <c r="BN692">
        <f>IFERROR(INDEX(PP_Grid[#Data],$DE692,63),0)</f>
        <v/>
      </c>
      <c r="BO692">
        <f>IFERROR(INDEX(PP_Grid[#Data],$DE692,64),0)</f>
        <v/>
      </c>
      <c r="BP692">
        <f>IFERROR(INDEX(PP_Grid[#Data],$DE692,65),0)</f>
        <v/>
      </c>
      <c r="BQ692">
        <f>IFERROR(INDEX(PP_Grid[#Data],$DE692,66),0)</f>
        <v/>
      </c>
      <c r="BR692">
        <f>IFERROR(INDEX(PP_Grid[#Data],$DE692,67),0)</f>
        <v/>
      </c>
      <c r="BS692">
        <f>IFERROR(INDEX(PP_Grid[#Data],$DE692,68),0)</f>
        <v/>
      </c>
      <c r="BT692">
        <f>IFERROR(INDEX(PP_Grid[#Data],$DE692,69),0)</f>
        <v/>
      </c>
      <c r="BU692">
        <f>IFERROR(INDEX(PP_Grid[#Data],$DE692,70),0)</f>
        <v/>
      </c>
      <c r="BV692">
        <f>IFERROR(INDEX(PP_Grid[#Data],$DE692,71),0)</f>
        <v/>
      </c>
      <c r="BW692">
        <f>IFERROR(INDEX(PP_Grid[#Data],$DE692,72),0)</f>
        <v/>
      </c>
      <c r="BX692">
        <f>IFERROR(INDEX(PP_Grid[#Data],$DE692,73),0)</f>
        <v/>
      </c>
      <c r="BY692">
        <f>IFERROR(INDEX(PP_Grid[#Data],$DE692,74),0)</f>
        <v/>
      </c>
      <c r="BZ692">
        <f>IFERROR(INDEX(PP_Grid[#Data],$DE692,75),0)</f>
        <v/>
      </c>
      <c r="CA692">
        <f>IFERROR(INDEX(PP_Grid[#Data],$DE692,76),0)</f>
        <v/>
      </c>
      <c r="CB692">
        <f>IFERROR(INDEX(PP_Grid[#Data],$DE692,77),0)</f>
        <v/>
      </c>
      <c r="CC692">
        <f>IFERROR(INDEX(PP_Grid[#Data],$DE692,78),0)</f>
        <v/>
      </c>
      <c r="CD692">
        <f>IFERROR(INDEX(PP_Grid[#Data],$DE692,79),0)</f>
        <v/>
      </c>
      <c r="CE692">
        <f>IFERROR(INDEX(PP_Grid[#Data],$DE692,80),0)</f>
        <v/>
      </c>
      <c r="CF692">
        <f>IFERROR(INDEX(PP_Grid[#Data],$DE692,81),0)</f>
        <v/>
      </c>
      <c r="CG692">
        <f>IFERROR(INDEX(PP_Grid[#Data],$DE692,82),0)</f>
        <v/>
      </c>
      <c r="CH692">
        <f>IFERROR(INDEX(PP_Grid[#Data],$DE692,83),0)</f>
        <v/>
      </c>
      <c r="CI692">
        <f>IFERROR(INDEX(PP_Grid[#Data],$DE692,84),0)</f>
        <v/>
      </c>
      <c r="CJ692">
        <f>IFERROR(INDEX(PP_Grid[#Data],$DE692,85),0)</f>
        <v/>
      </c>
      <c r="CK692">
        <f>IFERROR(INDEX(PP_Grid[#Data],$DE692,86),0)</f>
        <v/>
      </c>
      <c r="CL692">
        <f>IFERROR(INDEX(PP_Grid[#Data],$DE692,87),0)</f>
        <v/>
      </c>
      <c r="CM692">
        <f>IFERROR(INDEX(PP_Grid[#Data],$DE692,88),0)</f>
        <v/>
      </c>
      <c r="CN692">
        <f>IFERROR(INDEX(PP_Grid[#Data],$DE692,89),0)</f>
        <v/>
      </c>
      <c r="CO692">
        <f>IFERROR(INDEX(PP_Grid[#Data],$DE692,90),0)</f>
        <v/>
      </c>
      <c r="CP692">
        <f>IFERROR(INDEX(PP_Grid[#Data],$DE692,91),0)</f>
        <v/>
      </c>
      <c r="CQ692">
        <f>IFERROR(INDEX(PP_Grid[#Data],$DE692,92),0)</f>
        <v/>
      </c>
      <c r="CR692">
        <f>IFERROR(INDEX(PP_Grid[#Data],$DE692,93),0)</f>
        <v/>
      </c>
      <c r="CS692">
        <f>IFERROR(INDEX(PP_Grid[#Data],$DE692,94),0)</f>
        <v/>
      </c>
      <c r="CT692">
        <f>IFERROR(INDEX(PP_Grid[#Data],$DE692,95),0)</f>
        <v/>
      </c>
      <c r="CU692">
        <f>IFERROR(INDEX(PP_Grid[#Data],$DE692,96),0)</f>
        <v/>
      </c>
      <c r="CV692">
        <f>IFERROR(INDEX(PP_Grid[#Data],$DE692,97),0)</f>
        <v/>
      </c>
      <c r="CW692">
        <f>IFERROR(INDEX(PP_Grid[#Data],$DE692,98),0)</f>
        <v/>
      </c>
      <c r="CX692">
        <f>IFERROR(INDEX(PP_Grid[#Data],$DE692,99),0)</f>
        <v/>
      </c>
      <c r="CY692">
        <f>IFERROR(INDEX(PP_Grid[#Data],$DE692,100),0)</f>
        <v/>
      </c>
      <c r="CZ692">
        <f>IFERROR(INDEX(PP_Grid[#Data],$DE692,101),0)</f>
        <v/>
      </c>
      <c r="DA692">
        <f>IFERROR(INDEX(PP_Grid[#Data],$DE692,102),0)</f>
        <v/>
      </c>
      <c r="DB692">
        <f>IFERROR(INDEX(PP_Grid[#Data],$DE692,103),0)</f>
        <v/>
      </c>
      <c r="DC692">
        <f>IFERROR(INDEX(PP_Grid[#Data],$DE692,104),0)</f>
        <v/>
      </c>
      <c r="DD692">
        <f>IFERROR(INDEX(PP_Grid[#Data],$DE692,105),0)</f>
        <v/>
      </c>
      <c r="DE692" s="7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SUMIFS(M_BOM[RM_Qty_Per_Batch],M_BOM[Intermediate],$B692,M_BOM[RM_Code],$A615)</f>
        <v/>
      </c>
      <c r="D693">
        <f>IFERROR(INDEX(E693:DD693,$F$1),"")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  <c r="DD693">
        <f>$C693*DD692</f>
        <v/>
      </c>
    </row>
    <row r="694">
      <c r="B694" t="inlineStr">
        <is>
          <t>VSP-739</t>
        </is>
      </c>
      <c r="C694" t="inlineStr">
        <is>
          <t>No. of batches</t>
        </is>
      </c>
      <c r="D694">
        <f>IFERROR(INDEX(E694:DD694,$F$1),"")</f>
        <v/>
      </c>
      <c r="E694">
        <f>IFERROR(INDEX(PP_Grid[#Data],$DE694,2),0)</f>
        <v/>
      </c>
      <c r="F694">
        <f>IFERROR(INDEX(PP_Grid[#Data],$DE694,3),0)</f>
        <v/>
      </c>
      <c r="G694">
        <f>IFERROR(INDEX(PP_Grid[#Data],$DE694,4),0)</f>
        <v/>
      </c>
      <c r="H694">
        <f>IFERROR(INDEX(PP_Grid[#Data],$DE694,5),0)</f>
        <v/>
      </c>
      <c r="I694">
        <f>IFERROR(INDEX(PP_Grid[#Data],$DE694,6),0)</f>
        <v/>
      </c>
      <c r="J694">
        <f>IFERROR(INDEX(PP_Grid[#Data],$DE694,7),0)</f>
        <v/>
      </c>
      <c r="K694">
        <f>IFERROR(INDEX(PP_Grid[#Data],$DE694,8),0)</f>
        <v/>
      </c>
      <c r="L694">
        <f>IFERROR(INDEX(PP_Grid[#Data],$DE694,9),0)</f>
        <v/>
      </c>
      <c r="M694">
        <f>IFERROR(INDEX(PP_Grid[#Data],$DE694,10),0)</f>
        <v/>
      </c>
      <c r="N694">
        <f>IFERROR(INDEX(PP_Grid[#Data],$DE694,11),0)</f>
        <v/>
      </c>
      <c r="O694">
        <f>IFERROR(INDEX(PP_Grid[#Data],$DE694,12),0)</f>
        <v/>
      </c>
      <c r="P694">
        <f>IFERROR(INDEX(PP_Grid[#Data],$DE694,13),0)</f>
        <v/>
      </c>
      <c r="Q694">
        <f>IFERROR(INDEX(PP_Grid[#Data],$DE694,14),0)</f>
        <v/>
      </c>
      <c r="R694">
        <f>IFERROR(INDEX(PP_Grid[#Data],$DE694,15),0)</f>
        <v/>
      </c>
      <c r="S694">
        <f>IFERROR(INDEX(PP_Grid[#Data],$DE694,16),0)</f>
        <v/>
      </c>
      <c r="T694">
        <f>IFERROR(INDEX(PP_Grid[#Data],$DE694,17),0)</f>
        <v/>
      </c>
      <c r="U694">
        <f>IFERROR(INDEX(PP_Grid[#Data],$DE694,18),0)</f>
        <v/>
      </c>
      <c r="V694">
        <f>IFERROR(INDEX(PP_Grid[#Data],$DE694,19),0)</f>
        <v/>
      </c>
      <c r="W694">
        <f>IFERROR(INDEX(PP_Grid[#Data],$DE694,20),0)</f>
        <v/>
      </c>
      <c r="X694">
        <f>IFERROR(INDEX(PP_Grid[#Data],$DE694,21),0)</f>
        <v/>
      </c>
      <c r="Y694">
        <f>IFERROR(INDEX(PP_Grid[#Data],$DE694,22),0)</f>
        <v/>
      </c>
      <c r="Z694">
        <f>IFERROR(INDEX(PP_Grid[#Data],$DE694,23),0)</f>
        <v/>
      </c>
      <c r="AA694">
        <f>IFERROR(INDEX(PP_Grid[#Data],$DE694,24),0)</f>
        <v/>
      </c>
      <c r="AB694">
        <f>IFERROR(INDEX(PP_Grid[#Data],$DE694,25),0)</f>
        <v/>
      </c>
      <c r="AC694">
        <f>IFERROR(INDEX(PP_Grid[#Data],$DE694,26),0)</f>
        <v/>
      </c>
      <c r="AD694">
        <f>IFERROR(INDEX(PP_Grid[#Data],$DE694,27),0)</f>
        <v/>
      </c>
      <c r="AE694">
        <f>IFERROR(INDEX(PP_Grid[#Data],$DE694,28),0)</f>
        <v/>
      </c>
      <c r="AF694">
        <f>IFERROR(INDEX(PP_Grid[#Data],$DE694,29),0)</f>
        <v/>
      </c>
      <c r="AG694">
        <f>IFERROR(INDEX(PP_Grid[#Data],$DE694,30),0)</f>
        <v/>
      </c>
      <c r="AH694">
        <f>IFERROR(INDEX(PP_Grid[#Data],$DE694,31),0)</f>
        <v/>
      </c>
      <c r="AI694">
        <f>IFERROR(INDEX(PP_Grid[#Data],$DE694,32),0)</f>
        <v/>
      </c>
      <c r="AJ694">
        <f>IFERROR(INDEX(PP_Grid[#Data],$DE694,33),0)</f>
        <v/>
      </c>
      <c r="AK694">
        <f>IFERROR(INDEX(PP_Grid[#Data],$DE694,34),0)</f>
        <v/>
      </c>
      <c r="AL694">
        <f>IFERROR(INDEX(PP_Grid[#Data],$DE694,35),0)</f>
        <v/>
      </c>
      <c r="AM694">
        <f>IFERROR(INDEX(PP_Grid[#Data],$DE694,36),0)</f>
        <v/>
      </c>
      <c r="AN694">
        <f>IFERROR(INDEX(PP_Grid[#Data],$DE694,37),0)</f>
        <v/>
      </c>
      <c r="AO694">
        <f>IFERROR(INDEX(PP_Grid[#Data],$DE694,38),0)</f>
        <v/>
      </c>
      <c r="AP694">
        <f>IFERROR(INDEX(PP_Grid[#Data],$DE694,39),0)</f>
        <v/>
      </c>
      <c r="AQ694">
        <f>IFERROR(INDEX(PP_Grid[#Data],$DE694,40),0)</f>
        <v/>
      </c>
      <c r="AR694">
        <f>IFERROR(INDEX(PP_Grid[#Data],$DE694,41),0)</f>
        <v/>
      </c>
      <c r="AS694">
        <f>IFERROR(INDEX(PP_Grid[#Data],$DE694,42),0)</f>
        <v/>
      </c>
      <c r="AT694">
        <f>IFERROR(INDEX(PP_Grid[#Data],$DE694,43),0)</f>
        <v/>
      </c>
      <c r="AU694">
        <f>IFERROR(INDEX(PP_Grid[#Data],$DE694,44),0)</f>
        <v/>
      </c>
      <c r="AV694">
        <f>IFERROR(INDEX(PP_Grid[#Data],$DE694,45),0)</f>
        <v/>
      </c>
      <c r="AW694">
        <f>IFERROR(INDEX(PP_Grid[#Data],$DE694,46),0)</f>
        <v/>
      </c>
      <c r="AX694">
        <f>IFERROR(INDEX(PP_Grid[#Data],$DE694,47),0)</f>
        <v/>
      </c>
      <c r="AY694">
        <f>IFERROR(INDEX(PP_Grid[#Data],$DE694,48),0)</f>
        <v/>
      </c>
      <c r="AZ694">
        <f>IFERROR(INDEX(PP_Grid[#Data],$DE694,49),0)</f>
        <v/>
      </c>
      <c r="BA694">
        <f>IFERROR(INDEX(PP_Grid[#Data],$DE694,50),0)</f>
        <v/>
      </c>
      <c r="BB694">
        <f>IFERROR(INDEX(PP_Grid[#Data],$DE694,51),0)</f>
        <v/>
      </c>
      <c r="BC694">
        <f>IFERROR(INDEX(PP_Grid[#Data],$DE694,52),0)</f>
        <v/>
      </c>
      <c r="BD694">
        <f>IFERROR(INDEX(PP_Grid[#Data],$DE694,53),0)</f>
        <v/>
      </c>
      <c r="BE694">
        <f>IFERROR(INDEX(PP_Grid[#Data],$DE694,54),0)</f>
        <v/>
      </c>
      <c r="BF694">
        <f>IFERROR(INDEX(PP_Grid[#Data],$DE694,55),0)</f>
        <v/>
      </c>
      <c r="BG694">
        <f>IFERROR(INDEX(PP_Grid[#Data],$DE694,56),0)</f>
        <v/>
      </c>
      <c r="BH694">
        <f>IFERROR(INDEX(PP_Grid[#Data],$DE694,57),0)</f>
        <v/>
      </c>
      <c r="BI694">
        <f>IFERROR(INDEX(PP_Grid[#Data],$DE694,58),0)</f>
        <v/>
      </c>
      <c r="BJ694">
        <f>IFERROR(INDEX(PP_Grid[#Data],$DE694,59),0)</f>
        <v/>
      </c>
      <c r="BK694">
        <f>IFERROR(INDEX(PP_Grid[#Data],$DE694,60),0)</f>
        <v/>
      </c>
      <c r="BL694">
        <f>IFERROR(INDEX(PP_Grid[#Data],$DE694,61),0)</f>
        <v/>
      </c>
      <c r="BM694">
        <f>IFERROR(INDEX(PP_Grid[#Data],$DE694,62),0)</f>
        <v/>
      </c>
      <c r="BN694">
        <f>IFERROR(INDEX(PP_Grid[#Data],$DE694,63),0)</f>
        <v/>
      </c>
      <c r="BO694">
        <f>IFERROR(INDEX(PP_Grid[#Data],$DE694,64),0)</f>
        <v/>
      </c>
      <c r="BP694">
        <f>IFERROR(INDEX(PP_Grid[#Data],$DE694,65),0)</f>
        <v/>
      </c>
      <c r="BQ694">
        <f>IFERROR(INDEX(PP_Grid[#Data],$DE694,66),0)</f>
        <v/>
      </c>
      <c r="BR694">
        <f>IFERROR(INDEX(PP_Grid[#Data],$DE694,67),0)</f>
        <v/>
      </c>
      <c r="BS694">
        <f>IFERROR(INDEX(PP_Grid[#Data],$DE694,68),0)</f>
        <v/>
      </c>
      <c r="BT694">
        <f>IFERROR(INDEX(PP_Grid[#Data],$DE694,69),0)</f>
        <v/>
      </c>
      <c r="BU694">
        <f>IFERROR(INDEX(PP_Grid[#Data],$DE694,70),0)</f>
        <v/>
      </c>
      <c r="BV694">
        <f>IFERROR(INDEX(PP_Grid[#Data],$DE694,71),0)</f>
        <v/>
      </c>
      <c r="BW694">
        <f>IFERROR(INDEX(PP_Grid[#Data],$DE694,72),0)</f>
        <v/>
      </c>
      <c r="BX694">
        <f>IFERROR(INDEX(PP_Grid[#Data],$DE694,73),0)</f>
        <v/>
      </c>
      <c r="BY694">
        <f>IFERROR(INDEX(PP_Grid[#Data],$DE694,74),0)</f>
        <v/>
      </c>
      <c r="BZ694">
        <f>IFERROR(INDEX(PP_Grid[#Data],$DE694,75),0)</f>
        <v/>
      </c>
      <c r="CA694">
        <f>IFERROR(INDEX(PP_Grid[#Data],$DE694,76),0)</f>
        <v/>
      </c>
      <c r="CB694">
        <f>IFERROR(INDEX(PP_Grid[#Data],$DE694,77),0)</f>
        <v/>
      </c>
      <c r="CC694">
        <f>IFERROR(INDEX(PP_Grid[#Data],$DE694,78),0)</f>
        <v/>
      </c>
      <c r="CD694">
        <f>IFERROR(INDEX(PP_Grid[#Data],$DE694,79),0)</f>
        <v/>
      </c>
      <c r="CE694">
        <f>IFERROR(INDEX(PP_Grid[#Data],$DE694,80),0)</f>
        <v/>
      </c>
      <c r="CF694">
        <f>IFERROR(INDEX(PP_Grid[#Data],$DE694,81),0)</f>
        <v/>
      </c>
      <c r="CG694">
        <f>IFERROR(INDEX(PP_Grid[#Data],$DE694,82),0)</f>
        <v/>
      </c>
      <c r="CH694">
        <f>IFERROR(INDEX(PP_Grid[#Data],$DE694,83),0)</f>
        <v/>
      </c>
      <c r="CI694">
        <f>IFERROR(INDEX(PP_Grid[#Data],$DE694,84),0)</f>
        <v/>
      </c>
      <c r="CJ694">
        <f>IFERROR(INDEX(PP_Grid[#Data],$DE694,85),0)</f>
        <v/>
      </c>
      <c r="CK694">
        <f>IFERROR(INDEX(PP_Grid[#Data],$DE694,86),0)</f>
        <v/>
      </c>
      <c r="CL694">
        <f>IFERROR(INDEX(PP_Grid[#Data],$DE694,87),0)</f>
        <v/>
      </c>
      <c r="CM694">
        <f>IFERROR(INDEX(PP_Grid[#Data],$DE694,88),0)</f>
        <v/>
      </c>
      <c r="CN694">
        <f>IFERROR(INDEX(PP_Grid[#Data],$DE694,89),0)</f>
        <v/>
      </c>
      <c r="CO694">
        <f>IFERROR(INDEX(PP_Grid[#Data],$DE694,90),0)</f>
        <v/>
      </c>
      <c r="CP694">
        <f>IFERROR(INDEX(PP_Grid[#Data],$DE694,91),0)</f>
        <v/>
      </c>
      <c r="CQ694">
        <f>IFERROR(INDEX(PP_Grid[#Data],$DE694,92),0)</f>
        <v/>
      </c>
      <c r="CR694">
        <f>IFERROR(INDEX(PP_Grid[#Data],$DE694,93),0)</f>
        <v/>
      </c>
      <c r="CS694">
        <f>IFERROR(INDEX(PP_Grid[#Data],$DE694,94),0)</f>
        <v/>
      </c>
      <c r="CT694">
        <f>IFERROR(INDEX(PP_Grid[#Data],$DE694,95),0)</f>
        <v/>
      </c>
      <c r="CU694">
        <f>IFERROR(INDEX(PP_Grid[#Data],$DE694,96),0)</f>
        <v/>
      </c>
      <c r="CV694">
        <f>IFERROR(INDEX(PP_Grid[#Data],$DE694,97),0)</f>
        <v/>
      </c>
      <c r="CW694">
        <f>IFERROR(INDEX(PP_Grid[#Data],$DE694,98),0)</f>
        <v/>
      </c>
      <c r="CX694">
        <f>IFERROR(INDEX(PP_Grid[#Data],$DE694,99),0)</f>
        <v/>
      </c>
      <c r="CY694">
        <f>IFERROR(INDEX(PP_Grid[#Data],$DE694,100),0)</f>
        <v/>
      </c>
      <c r="CZ694">
        <f>IFERROR(INDEX(PP_Grid[#Data],$DE694,101),0)</f>
        <v/>
      </c>
      <c r="DA694">
        <f>IFERROR(INDEX(PP_Grid[#Data],$DE694,102),0)</f>
        <v/>
      </c>
      <c r="DB694">
        <f>IFERROR(INDEX(PP_Grid[#Data],$DE694,103),0)</f>
        <v/>
      </c>
      <c r="DC694">
        <f>IFERROR(INDEX(PP_Grid[#Data],$DE694,104),0)</f>
        <v/>
      </c>
      <c r="DD694">
        <f>IFERROR(INDEX(PP_Grid[#Data],$DE694,105),0)</f>
        <v/>
      </c>
      <c r="DE694" s="7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SUMIFS(M_BOM[RM_Qty_Per_Batch],M_BOM[Intermediate],$B694,M_BOM[RM_Code],$A615)</f>
        <v/>
      </c>
      <c r="D695">
        <f>IFERROR(INDEX(E695:DD695,$F$1),"")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  <c r="DD695">
        <f>$C695*DD694</f>
        <v/>
      </c>
    </row>
    <row r="696">
      <c r="B696" t="inlineStr">
        <is>
          <t>VSP-740</t>
        </is>
      </c>
      <c r="C696" t="inlineStr">
        <is>
          <t>No. of batches</t>
        </is>
      </c>
      <c r="D696">
        <f>IFERROR(INDEX(E696:DD696,$F$1),"")</f>
        <v/>
      </c>
      <c r="E696">
        <f>IFERROR(INDEX(PP_Grid[#Data],$DE696,2),0)</f>
        <v/>
      </c>
      <c r="F696">
        <f>IFERROR(INDEX(PP_Grid[#Data],$DE696,3),0)</f>
        <v/>
      </c>
      <c r="G696">
        <f>IFERROR(INDEX(PP_Grid[#Data],$DE696,4),0)</f>
        <v/>
      </c>
      <c r="H696">
        <f>IFERROR(INDEX(PP_Grid[#Data],$DE696,5),0)</f>
        <v/>
      </c>
      <c r="I696">
        <f>IFERROR(INDEX(PP_Grid[#Data],$DE696,6),0)</f>
        <v/>
      </c>
      <c r="J696">
        <f>IFERROR(INDEX(PP_Grid[#Data],$DE696,7),0)</f>
        <v/>
      </c>
      <c r="K696">
        <f>IFERROR(INDEX(PP_Grid[#Data],$DE696,8),0)</f>
        <v/>
      </c>
      <c r="L696">
        <f>IFERROR(INDEX(PP_Grid[#Data],$DE696,9),0)</f>
        <v/>
      </c>
      <c r="M696">
        <f>IFERROR(INDEX(PP_Grid[#Data],$DE696,10),0)</f>
        <v/>
      </c>
      <c r="N696">
        <f>IFERROR(INDEX(PP_Grid[#Data],$DE696,11),0)</f>
        <v/>
      </c>
      <c r="O696">
        <f>IFERROR(INDEX(PP_Grid[#Data],$DE696,12),0)</f>
        <v/>
      </c>
      <c r="P696">
        <f>IFERROR(INDEX(PP_Grid[#Data],$DE696,13),0)</f>
        <v/>
      </c>
      <c r="Q696">
        <f>IFERROR(INDEX(PP_Grid[#Data],$DE696,14),0)</f>
        <v/>
      </c>
      <c r="R696">
        <f>IFERROR(INDEX(PP_Grid[#Data],$DE696,15),0)</f>
        <v/>
      </c>
      <c r="S696">
        <f>IFERROR(INDEX(PP_Grid[#Data],$DE696,16),0)</f>
        <v/>
      </c>
      <c r="T696">
        <f>IFERROR(INDEX(PP_Grid[#Data],$DE696,17),0)</f>
        <v/>
      </c>
      <c r="U696">
        <f>IFERROR(INDEX(PP_Grid[#Data],$DE696,18),0)</f>
        <v/>
      </c>
      <c r="V696">
        <f>IFERROR(INDEX(PP_Grid[#Data],$DE696,19),0)</f>
        <v/>
      </c>
      <c r="W696">
        <f>IFERROR(INDEX(PP_Grid[#Data],$DE696,20),0)</f>
        <v/>
      </c>
      <c r="X696">
        <f>IFERROR(INDEX(PP_Grid[#Data],$DE696,21),0)</f>
        <v/>
      </c>
      <c r="Y696">
        <f>IFERROR(INDEX(PP_Grid[#Data],$DE696,22),0)</f>
        <v/>
      </c>
      <c r="Z696">
        <f>IFERROR(INDEX(PP_Grid[#Data],$DE696,23),0)</f>
        <v/>
      </c>
      <c r="AA696">
        <f>IFERROR(INDEX(PP_Grid[#Data],$DE696,24),0)</f>
        <v/>
      </c>
      <c r="AB696">
        <f>IFERROR(INDEX(PP_Grid[#Data],$DE696,25),0)</f>
        <v/>
      </c>
      <c r="AC696">
        <f>IFERROR(INDEX(PP_Grid[#Data],$DE696,26),0)</f>
        <v/>
      </c>
      <c r="AD696">
        <f>IFERROR(INDEX(PP_Grid[#Data],$DE696,27),0)</f>
        <v/>
      </c>
      <c r="AE696">
        <f>IFERROR(INDEX(PP_Grid[#Data],$DE696,28),0)</f>
        <v/>
      </c>
      <c r="AF696">
        <f>IFERROR(INDEX(PP_Grid[#Data],$DE696,29),0)</f>
        <v/>
      </c>
      <c r="AG696">
        <f>IFERROR(INDEX(PP_Grid[#Data],$DE696,30),0)</f>
        <v/>
      </c>
      <c r="AH696">
        <f>IFERROR(INDEX(PP_Grid[#Data],$DE696,31),0)</f>
        <v/>
      </c>
      <c r="AI696">
        <f>IFERROR(INDEX(PP_Grid[#Data],$DE696,32),0)</f>
        <v/>
      </c>
      <c r="AJ696">
        <f>IFERROR(INDEX(PP_Grid[#Data],$DE696,33),0)</f>
        <v/>
      </c>
      <c r="AK696">
        <f>IFERROR(INDEX(PP_Grid[#Data],$DE696,34),0)</f>
        <v/>
      </c>
      <c r="AL696">
        <f>IFERROR(INDEX(PP_Grid[#Data],$DE696,35),0)</f>
        <v/>
      </c>
      <c r="AM696">
        <f>IFERROR(INDEX(PP_Grid[#Data],$DE696,36),0)</f>
        <v/>
      </c>
      <c r="AN696">
        <f>IFERROR(INDEX(PP_Grid[#Data],$DE696,37),0)</f>
        <v/>
      </c>
      <c r="AO696">
        <f>IFERROR(INDEX(PP_Grid[#Data],$DE696,38),0)</f>
        <v/>
      </c>
      <c r="AP696">
        <f>IFERROR(INDEX(PP_Grid[#Data],$DE696,39),0)</f>
        <v/>
      </c>
      <c r="AQ696">
        <f>IFERROR(INDEX(PP_Grid[#Data],$DE696,40),0)</f>
        <v/>
      </c>
      <c r="AR696">
        <f>IFERROR(INDEX(PP_Grid[#Data],$DE696,41),0)</f>
        <v/>
      </c>
      <c r="AS696">
        <f>IFERROR(INDEX(PP_Grid[#Data],$DE696,42),0)</f>
        <v/>
      </c>
      <c r="AT696">
        <f>IFERROR(INDEX(PP_Grid[#Data],$DE696,43),0)</f>
        <v/>
      </c>
      <c r="AU696">
        <f>IFERROR(INDEX(PP_Grid[#Data],$DE696,44),0)</f>
        <v/>
      </c>
      <c r="AV696">
        <f>IFERROR(INDEX(PP_Grid[#Data],$DE696,45),0)</f>
        <v/>
      </c>
      <c r="AW696">
        <f>IFERROR(INDEX(PP_Grid[#Data],$DE696,46),0)</f>
        <v/>
      </c>
      <c r="AX696">
        <f>IFERROR(INDEX(PP_Grid[#Data],$DE696,47),0)</f>
        <v/>
      </c>
      <c r="AY696">
        <f>IFERROR(INDEX(PP_Grid[#Data],$DE696,48),0)</f>
        <v/>
      </c>
      <c r="AZ696">
        <f>IFERROR(INDEX(PP_Grid[#Data],$DE696,49),0)</f>
        <v/>
      </c>
      <c r="BA696">
        <f>IFERROR(INDEX(PP_Grid[#Data],$DE696,50),0)</f>
        <v/>
      </c>
      <c r="BB696">
        <f>IFERROR(INDEX(PP_Grid[#Data],$DE696,51),0)</f>
        <v/>
      </c>
      <c r="BC696">
        <f>IFERROR(INDEX(PP_Grid[#Data],$DE696,52),0)</f>
        <v/>
      </c>
      <c r="BD696">
        <f>IFERROR(INDEX(PP_Grid[#Data],$DE696,53),0)</f>
        <v/>
      </c>
      <c r="BE696">
        <f>IFERROR(INDEX(PP_Grid[#Data],$DE696,54),0)</f>
        <v/>
      </c>
      <c r="BF696">
        <f>IFERROR(INDEX(PP_Grid[#Data],$DE696,55),0)</f>
        <v/>
      </c>
      <c r="BG696">
        <f>IFERROR(INDEX(PP_Grid[#Data],$DE696,56),0)</f>
        <v/>
      </c>
      <c r="BH696">
        <f>IFERROR(INDEX(PP_Grid[#Data],$DE696,57),0)</f>
        <v/>
      </c>
      <c r="BI696">
        <f>IFERROR(INDEX(PP_Grid[#Data],$DE696,58),0)</f>
        <v/>
      </c>
      <c r="BJ696">
        <f>IFERROR(INDEX(PP_Grid[#Data],$DE696,59),0)</f>
        <v/>
      </c>
      <c r="BK696">
        <f>IFERROR(INDEX(PP_Grid[#Data],$DE696,60),0)</f>
        <v/>
      </c>
      <c r="BL696">
        <f>IFERROR(INDEX(PP_Grid[#Data],$DE696,61),0)</f>
        <v/>
      </c>
      <c r="BM696">
        <f>IFERROR(INDEX(PP_Grid[#Data],$DE696,62),0)</f>
        <v/>
      </c>
      <c r="BN696">
        <f>IFERROR(INDEX(PP_Grid[#Data],$DE696,63),0)</f>
        <v/>
      </c>
      <c r="BO696">
        <f>IFERROR(INDEX(PP_Grid[#Data],$DE696,64),0)</f>
        <v/>
      </c>
      <c r="BP696">
        <f>IFERROR(INDEX(PP_Grid[#Data],$DE696,65),0)</f>
        <v/>
      </c>
      <c r="BQ696">
        <f>IFERROR(INDEX(PP_Grid[#Data],$DE696,66),0)</f>
        <v/>
      </c>
      <c r="BR696">
        <f>IFERROR(INDEX(PP_Grid[#Data],$DE696,67),0)</f>
        <v/>
      </c>
      <c r="BS696">
        <f>IFERROR(INDEX(PP_Grid[#Data],$DE696,68),0)</f>
        <v/>
      </c>
      <c r="BT696">
        <f>IFERROR(INDEX(PP_Grid[#Data],$DE696,69),0)</f>
        <v/>
      </c>
      <c r="BU696">
        <f>IFERROR(INDEX(PP_Grid[#Data],$DE696,70),0)</f>
        <v/>
      </c>
      <c r="BV696">
        <f>IFERROR(INDEX(PP_Grid[#Data],$DE696,71),0)</f>
        <v/>
      </c>
      <c r="BW696">
        <f>IFERROR(INDEX(PP_Grid[#Data],$DE696,72),0)</f>
        <v/>
      </c>
      <c r="BX696">
        <f>IFERROR(INDEX(PP_Grid[#Data],$DE696,73),0)</f>
        <v/>
      </c>
      <c r="BY696">
        <f>IFERROR(INDEX(PP_Grid[#Data],$DE696,74),0)</f>
        <v/>
      </c>
      <c r="BZ696">
        <f>IFERROR(INDEX(PP_Grid[#Data],$DE696,75),0)</f>
        <v/>
      </c>
      <c r="CA696">
        <f>IFERROR(INDEX(PP_Grid[#Data],$DE696,76),0)</f>
        <v/>
      </c>
      <c r="CB696">
        <f>IFERROR(INDEX(PP_Grid[#Data],$DE696,77),0)</f>
        <v/>
      </c>
      <c r="CC696">
        <f>IFERROR(INDEX(PP_Grid[#Data],$DE696,78),0)</f>
        <v/>
      </c>
      <c r="CD696">
        <f>IFERROR(INDEX(PP_Grid[#Data],$DE696,79),0)</f>
        <v/>
      </c>
      <c r="CE696">
        <f>IFERROR(INDEX(PP_Grid[#Data],$DE696,80),0)</f>
        <v/>
      </c>
      <c r="CF696">
        <f>IFERROR(INDEX(PP_Grid[#Data],$DE696,81),0)</f>
        <v/>
      </c>
      <c r="CG696">
        <f>IFERROR(INDEX(PP_Grid[#Data],$DE696,82),0)</f>
        <v/>
      </c>
      <c r="CH696">
        <f>IFERROR(INDEX(PP_Grid[#Data],$DE696,83),0)</f>
        <v/>
      </c>
      <c r="CI696">
        <f>IFERROR(INDEX(PP_Grid[#Data],$DE696,84),0)</f>
        <v/>
      </c>
      <c r="CJ696">
        <f>IFERROR(INDEX(PP_Grid[#Data],$DE696,85),0)</f>
        <v/>
      </c>
      <c r="CK696">
        <f>IFERROR(INDEX(PP_Grid[#Data],$DE696,86),0)</f>
        <v/>
      </c>
      <c r="CL696">
        <f>IFERROR(INDEX(PP_Grid[#Data],$DE696,87),0)</f>
        <v/>
      </c>
      <c r="CM696">
        <f>IFERROR(INDEX(PP_Grid[#Data],$DE696,88),0)</f>
        <v/>
      </c>
      <c r="CN696">
        <f>IFERROR(INDEX(PP_Grid[#Data],$DE696,89),0)</f>
        <v/>
      </c>
      <c r="CO696">
        <f>IFERROR(INDEX(PP_Grid[#Data],$DE696,90),0)</f>
        <v/>
      </c>
      <c r="CP696">
        <f>IFERROR(INDEX(PP_Grid[#Data],$DE696,91),0)</f>
        <v/>
      </c>
      <c r="CQ696">
        <f>IFERROR(INDEX(PP_Grid[#Data],$DE696,92),0)</f>
        <v/>
      </c>
      <c r="CR696">
        <f>IFERROR(INDEX(PP_Grid[#Data],$DE696,93),0)</f>
        <v/>
      </c>
      <c r="CS696">
        <f>IFERROR(INDEX(PP_Grid[#Data],$DE696,94),0)</f>
        <v/>
      </c>
      <c r="CT696">
        <f>IFERROR(INDEX(PP_Grid[#Data],$DE696,95),0)</f>
        <v/>
      </c>
      <c r="CU696">
        <f>IFERROR(INDEX(PP_Grid[#Data],$DE696,96),0)</f>
        <v/>
      </c>
      <c r="CV696">
        <f>IFERROR(INDEX(PP_Grid[#Data],$DE696,97),0)</f>
        <v/>
      </c>
      <c r="CW696">
        <f>IFERROR(INDEX(PP_Grid[#Data],$DE696,98),0)</f>
        <v/>
      </c>
      <c r="CX696">
        <f>IFERROR(INDEX(PP_Grid[#Data],$DE696,99),0)</f>
        <v/>
      </c>
      <c r="CY696">
        <f>IFERROR(INDEX(PP_Grid[#Data],$DE696,100),0)</f>
        <v/>
      </c>
      <c r="CZ696">
        <f>IFERROR(INDEX(PP_Grid[#Data],$DE696,101),0)</f>
        <v/>
      </c>
      <c r="DA696">
        <f>IFERROR(INDEX(PP_Grid[#Data],$DE696,102),0)</f>
        <v/>
      </c>
      <c r="DB696">
        <f>IFERROR(INDEX(PP_Grid[#Data],$DE696,103),0)</f>
        <v/>
      </c>
      <c r="DC696">
        <f>IFERROR(INDEX(PP_Grid[#Data],$DE696,104),0)</f>
        <v/>
      </c>
      <c r="DD696">
        <f>IFERROR(INDEX(PP_Grid[#Data],$DE696,105),0)</f>
        <v/>
      </c>
      <c r="DE696" s="7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SUMIFS(M_BOM[RM_Qty_Per_Batch],M_BOM[Intermediate],$B696,M_BOM[RM_Code],$A615)</f>
        <v/>
      </c>
      <c r="D697">
        <f>IFERROR(INDEX(E697:DD697,$F$1),"")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  <c r="DD697">
        <f>$C697*DD696</f>
        <v/>
      </c>
    </row>
    <row r="698">
      <c r="B698" t="inlineStr">
        <is>
          <t>VSP-746</t>
        </is>
      </c>
      <c r="C698" t="inlineStr">
        <is>
          <t>No. of batches</t>
        </is>
      </c>
      <c r="D698">
        <f>IFERROR(INDEX(E698:DD698,$F$1),"")</f>
        <v/>
      </c>
      <c r="E698">
        <f>IFERROR(INDEX(PP_Grid[#Data],$DE698,2),0)</f>
        <v/>
      </c>
      <c r="F698">
        <f>IFERROR(INDEX(PP_Grid[#Data],$DE698,3),0)</f>
        <v/>
      </c>
      <c r="G698">
        <f>IFERROR(INDEX(PP_Grid[#Data],$DE698,4),0)</f>
        <v/>
      </c>
      <c r="H698">
        <f>IFERROR(INDEX(PP_Grid[#Data],$DE698,5),0)</f>
        <v/>
      </c>
      <c r="I698">
        <f>IFERROR(INDEX(PP_Grid[#Data],$DE698,6),0)</f>
        <v/>
      </c>
      <c r="J698">
        <f>IFERROR(INDEX(PP_Grid[#Data],$DE698,7),0)</f>
        <v/>
      </c>
      <c r="K698">
        <f>IFERROR(INDEX(PP_Grid[#Data],$DE698,8),0)</f>
        <v/>
      </c>
      <c r="L698">
        <f>IFERROR(INDEX(PP_Grid[#Data],$DE698,9),0)</f>
        <v/>
      </c>
      <c r="M698">
        <f>IFERROR(INDEX(PP_Grid[#Data],$DE698,10),0)</f>
        <v/>
      </c>
      <c r="N698">
        <f>IFERROR(INDEX(PP_Grid[#Data],$DE698,11),0)</f>
        <v/>
      </c>
      <c r="O698">
        <f>IFERROR(INDEX(PP_Grid[#Data],$DE698,12),0)</f>
        <v/>
      </c>
      <c r="P698">
        <f>IFERROR(INDEX(PP_Grid[#Data],$DE698,13),0)</f>
        <v/>
      </c>
      <c r="Q698">
        <f>IFERROR(INDEX(PP_Grid[#Data],$DE698,14),0)</f>
        <v/>
      </c>
      <c r="R698">
        <f>IFERROR(INDEX(PP_Grid[#Data],$DE698,15),0)</f>
        <v/>
      </c>
      <c r="S698">
        <f>IFERROR(INDEX(PP_Grid[#Data],$DE698,16),0)</f>
        <v/>
      </c>
      <c r="T698">
        <f>IFERROR(INDEX(PP_Grid[#Data],$DE698,17),0)</f>
        <v/>
      </c>
      <c r="U698">
        <f>IFERROR(INDEX(PP_Grid[#Data],$DE698,18),0)</f>
        <v/>
      </c>
      <c r="V698">
        <f>IFERROR(INDEX(PP_Grid[#Data],$DE698,19),0)</f>
        <v/>
      </c>
      <c r="W698">
        <f>IFERROR(INDEX(PP_Grid[#Data],$DE698,20),0)</f>
        <v/>
      </c>
      <c r="X698">
        <f>IFERROR(INDEX(PP_Grid[#Data],$DE698,21),0)</f>
        <v/>
      </c>
      <c r="Y698">
        <f>IFERROR(INDEX(PP_Grid[#Data],$DE698,22),0)</f>
        <v/>
      </c>
      <c r="Z698">
        <f>IFERROR(INDEX(PP_Grid[#Data],$DE698,23),0)</f>
        <v/>
      </c>
      <c r="AA698">
        <f>IFERROR(INDEX(PP_Grid[#Data],$DE698,24),0)</f>
        <v/>
      </c>
      <c r="AB698">
        <f>IFERROR(INDEX(PP_Grid[#Data],$DE698,25),0)</f>
        <v/>
      </c>
      <c r="AC698">
        <f>IFERROR(INDEX(PP_Grid[#Data],$DE698,26),0)</f>
        <v/>
      </c>
      <c r="AD698">
        <f>IFERROR(INDEX(PP_Grid[#Data],$DE698,27),0)</f>
        <v/>
      </c>
      <c r="AE698">
        <f>IFERROR(INDEX(PP_Grid[#Data],$DE698,28),0)</f>
        <v/>
      </c>
      <c r="AF698">
        <f>IFERROR(INDEX(PP_Grid[#Data],$DE698,29),0)</f>
        <v/>
      </c>
      <c r="AG698">
        <f>IFERROR(INDEX(PP_Grid[#Data],$DE698,30),0)</f>
        <v/>
      </c>
      <c r="AH698">
        <f>IFERROR(INDEX(PP_Grid[#Data],$DE698,31),0)</f>
        <v/>
      </c>
      <c r="AI698">
        <f>IFERROR(INDEX(PP_Grid[#Data],$DE698,32),0)</f>
        <v/>
      </c>
      <c r="AJ698">
        <f>IFERROR(INDEX(PP_Grid[#Data],$DE698,33),0)</f>
        <v/>
      </c>
      <c r="AK698">
        <f>IFERROR(INDEX(PP_Grid[#Data],$DE698,34),0)</f>
        <v/>
      </c>
      <c r="AL698">
        <f>IFERROR(INDEX(PP_Grid[#Data],$DE698,35),0)</f>
        <v/>
      </c>
      <c r="AM698">
        <f>IFERROR(INDEX(PP_Grid[#Data],$DE698,36),0)</f>
        <v/>
      </c>
      <c r="AN698">
        <f>IFERROR(INDEX(PP_Grid[#Data],$DE698,37),0)</f>
        <v/>
      </c>
      <c r="AO698">
        <f>IFERROR(INDEX(PP_Grid[#Data],$DE698,38),0)</f>
        <v/>
      </c>
      <c r="AP698">
        <f>IFERROR(INDEX(PP_Grid[#Data],$DE698,39),0)</f>
        <v/>
      </c>
      <c r="AQ698">
        <f>IFERROR(INDEX(PP_Grid[#Data],$DE698,40),0)</f>
        <v/>
      </c>
      <c r="AR698">
        <f>IFERROR(INDEX(PP_Grid[#Data],$DE698,41),0)</f>
        <v/>
      </c>
      <c r="AS698">
        <f>IFERROR(INDEX(PP_Grid[#Data],$DE698,42),0)</f>
        <v/>
      </c>
      <c r="AT698">
        <f>IFERROR(INDEX(PP_Grid[#Data],$DE698,43),0)</f>
        <v/>
      </c>
      <c r="AU698">
        <f>IFERROR(INDEX(PP_Grid[#Data],$DE698,44),0)</f>
        <v/>
      </c>
      <c r="AV698">
        <f>IFERROR(INDEX(PP_Grid[#Data],$DE698,45),0)</f>
        <v/>
      </c>
      <c r="AW698">
        <f>IFERROR(INDEX(PP_Grid[#Data],$DE698,46),0)</f>
        <v/>
      </c>
      <c r="AX698">
        <f>IFERROR(INDEX(PP_Grid[#Data],$DE698,47),0)</f>
        <v/>
      </c>
      <c r="AY698">
        <f>IFERROR(INDEX(PP_Grid[#Data],$DE698,48),0)</f>
        <v/>
      </c>
      <c r="AZ698">
        <f>IFERROR(INDEX(PP_Grid[#Data],$DE698,49),0)</f>
        <v/>
      </c>
      <c r="BA698">
        <f>IFERROR(INDEX(PP_Grid[#Data],$DE698,50),0)</f>
        <v/>
      </c>
      <c r="BB698">
        <f>IFERROR(INDEX(PP_Grid[#Data],$DE698,51),0)</f>
        <v/>
      </c>
      <c r="BC698">
        <f>IFERROR(INDEX(PP_Grid[#Data],$DE698,52),0)</f>
        <v/>
      </c>
      <c r="BD698">
        <f>IFERROR(INDEX(PP_Grid[#Data],$DE698,53),0)</f>
        <v/>
      </c>
      <c r="BE698">
        <f>IFERROR(INDEX(PP_Grid[#Data],$DE698,54),0)</f>
        <v/>
      </c>
      <c r="BF698">
        <f>IFERROR(INDEX(PP_Grid[#Data],$DE698,55),0)</f>
        <v/>
      </c>
      <c r="BG698">
        <f>IFERROR(INDEX(PP_Grid[#Data],$DE698,56),0)</f>
        <v/>
      </c>
      <c r="BH698">
        <f>IFERROR(INDEX(PP_Grid[#Data],$DE698,57),0)</f>
        <v/>
      </c>
      <c r="BI698">
        <f>IFERROR(INDEX(PP_Grid[#Data],$DE698,58),0)</f>
        <v/>
      </c>
      <c r="BJ698">
        <f>IFERROR(INDEX(PP_Grid[#Data],$DE698,59),0)</f>
        <v/>
      </c>
      <c r="BK698">
        <f>IFERROR(INDEX(PP_Grid[#Data],$DE698,60),0)</f>
        <v/>
      </c>
      <c r="BL698">
        <f>IFERROR(INDEX(PP_Grid[#Data],$DE698,61),0)</f>
        <v/>
      </c>
      <c r="BM698">
        <f>IFERROR(INDEX(PP_Grid[#Data],$DE698,62),0)</f>
        <v/>
      </c>
      <c r="BN698">
        <f>IFERROR(INDEX(PP_Grid[#Data],$DE698,63),0)</f>
        <v/>
      </c>
      <c r="BO698">
        <f>IFERROR(INDEX(PP_Grid[#Data],$DE698,64),0)</f>
        <v/>
      </c>
      <c r="BP698">
        <f>IFERROR(INDEX(PP_Grid[#Data],$DE698,65),0)</f>
        <v/>
      </c>
      <c r="BQ698">
        <f>IFERROR(INDEX(PP_Grid[#Data],$DE698,66),0)</f>
        <v/>
      </c>
      <c r="BR698">
        <f>IFERROR(INDEX(PP_Grid[#Data],$DE698,67),0)</f>
        <v/>
      </c>
      <c r="BS698">
        <f>IFERROR(INDEX(PP_Grid[#Data],$DE698,68),0)</f>
        <v/>
      </c>
      <c r="BT698">
        <f>IFERROR(INDEX(PP_Grid[#Data],$DE698,69),0)</f>
        <v/>
      </c>
      <c r="BU698">
        <f>IFERROR(INDEX(PP_Grid[#Data],$DE698,70),0)</f>
        <v/>
      </c>
      <c r="BV698">
        <f>IFERROR(INDEX(PP_Grid[#Data],$DE698,71),0)</f>
        <v/>
      </c>
      <c r="BW698">
        <f>IFERROR(INDEX(PP_Grid[#Data],$DE698,72),0)</f>
        <v/>
      </c>
      <c r="BX698">
        <f>IFERROR(INDEX(PP_Grid[#Data],$DE698,73),0)</f>
        <v/>
      </c>
      <c r="BY698">
        <f>IFERROR(INDEX(PP_Grid[#Data],$DE698,74),0)</f>
        <v/>
      </c>
      <c r="BZ698">
        <f>IFERROR(INDEX(PP_Grid[#Data],$DE698,75),0)</f>
        <v/>
      </c>
      <c r="CA698">
        <f>IFERROR(INDEX(PP_Grid[#Data],$DE698,76),0)</f>
        <v/>
      </c>
      <c r="CB698">
        <f>IFERROR(INDEX(PP_Grid[#Data],$DE698,77),0)</f>
        <v/>
      </c>
      <c r="CC698">
        <f>IFERROR(INDEX(PP_Grid[#Data],$DE698,78),0)</f>
        <v/>
      </c>
      <c r="CD698">
        <f>IFERROR(INDEX(PP_Grid[#Data],$DE698,79),0)</f>
        <v/>
      </c>
      <c r="CE698">
        <f>IFERROR(INDEX(PP_Grid[#Data],$DE698,80),0)</f>
        <v/>
      </c>
      <c r="CF698">
        <f>IFERROR(INDEX(PP_Grid[#Data],$DE698,81),0)</f>
        <v/>
      </c>
      <c r="CG698">
        <f>IFERROR(INDEX(PP_Grid[#Data],$DE698,82),0)</f>
        <v/>
      </c>
      <c r="CH698">
        <f>IFERROR(INDEX(PP_Grid[#Data],$DE698,83),0)</f>
        <v/>
      </c>
      <c r="CI698">
        <f>IFERROR(INDEX(PP_Grid[#Data],$DE698,84),0)</f>
        <v/>
      </c>
      <c r="CJ698">
        <f>IFERROR(INDEX(PP_Grid[#Data],$DE698,85),0)</f>
        <v/>
      </c>
      <c r="CK698">
        <f>IFERROR(INDEX(PP_Grid[#Data],$DE698,86),0)</f>
        <v/>
      </c>
      <c r="CL698">
        <f>IFERROR(INDEX(PP_Grid[#Data],$DE698,87),0)</f>
        <v/>
      </c>
      <c r="CM698">
        <f>IFERROR(INDEX(PP_Grid[#Data],$DE698,88),0)</f>
        <v/>
      </c>
      <c r="CN698">
        <f>IFERROR(INDEX(PP_Grid[#Data],$DE698,89),0)</f>
        <v/>
      </c>
      <c r="CO698">
        <f>IFERROR(INDEX(PP_Grid[#Data],$DE698,90),0)</f>
        <v/>
      </c>
      <c r="CP698">
        <f>IFERROR(INDEX(PP_Grid[#Data],$DE698,91),0)</f>
        <v/>
      </c>
      <c r="CQ698">
        <f>IFERROR(INDEX(PP_Grid[#Data],$DE698,92),0)</f>
        <v/>
      </c>
      <c r="CR698">
        <f>IFERROR(INDEX(PP_Grid[#Data],$DE698,93),0)</f>
        <v/>
      </c>
      <c r="CS698">
        <f>IFERROR(INDEX(PP_Grid[#Data],$DE698,94),0)</f>
        <v/>
      </c>
      <c r="CT698">
        <f>IFERROR(INDEX(PP_Grid[#Data],$DE698,95),0)</f>
        <v/>
      </c>
      <c r="CU698">
        <f>IFERROR(INDEX(PP_Grid[#Data],$DE698,96),0)</f>
        <v/>
      </c>
      <c r="CV698">
        <f>IFERROR(INDEX(PP_Grid[#Data],$DE698,97),0)</f>
        <v/>
      </c>
      <c r="CW698">
        <f>IFERROR(INDEX(PP_Grid[#Data],$DE698,98),0)</f>
        <v/>
      </c>
      <c r="CX698">
        <f>IFERROR(INDEX(PP_Grid[#Data],$DE698,99),0)</f>
        <v/>
      </c>
      <c r="CY698">
        <f>IFERROR(INDEX(PP_Grid[#Data],$DE698,100),0)</f>
        <v/>
      </c>
      <c r="CZ698">
        <f>IFERROR(INDEX(PP_Grid[#Data],$DE698,101),0)</f>
        <v/>
      </c>
      <c r="DA698">
        <f>IFERROR(INDEX(PP_Grid[#Data],$DE698,102),0)</f>
        <v/>
      </c>
      <c r="DB698">
        <f>IFERROR(INDEX(PP_Grid[#Data],$DE698,103),0)</f>
        <v/>
      </c>
      <c r="DC698">
        <f>IFERROR(INDEX(PP_Grid[#Data],$DE698,104),0)</f>
        <v/>
      </c>
      <c r="DD698">
        <f>IFERROR(INDEX(PP_Grid[#Data],$DE698,105),0)</f>
        <v/>
      </c>
      <c r="DE698" s="7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SUMIFS(M_BOM[RM_Qty_Per_Batch],M_BOM[Intermediate],$B698,M_BOM[RM_Code],$A615)</f>
        <v/>
      </c>
      <c r="D699">
        <f>IFERROR(INDEX(E699:DD699,$F$1),"")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  <c r="DD699">
        <f>$C699*DD698</f>
        <v/>
      </c>
    </row>
    <row r="700">
      <c r="B700" t="inlineStr">
        <is>
          <t>VSP-820</t>
        </is>
      </c>
      <c r="C700" t="inlineStr">
        <is>
          <t>No. of batches</t>
        </is>
      </c>
      <c r="D700">
        <f>IFERROR(INDEX(E700:DD700,$F$1),"")</f>
        <v/>
      </c>
      <c r="E700">
        <f>IFERROR(INDEX(PP_Grid[#Data],$DE700,2),0)</f>
        <v/>
      </c>
      <c r="F700">
        <f>IFERROR(INDEX(PP_Grid[#Data],$DE700,3),0)</f>
        <v/>
      </c>
      <c r="G700">
        <f>IFERROR(INDEX(PP_Grid[#Data],$DE700,4),0)</f>
        <v/>
      </c>
      <c r="H700">
        <f>IFERROR(INDEX(PP_Grid[#Data],$DE700,5),0)</f>
        <v/>
      </c>
      <c r="I700">
        <f>IFERROR(INDEX(PP_Grid[#Data],$DE700,6),0)</f>
        <v/>
      </c>
      <c r="J700">
        <f>IFERROR(INDEX(PP_Grid[#Data],$DE700,7),0)</f>
        <v/>
      </c>
      <c r="K700">
        <f>IFERROR(INDEX(PP_Grid[#Data],$DE700,8),0)</f>
        <v/>
      </c>
      <c r="L700">
        <f>IFERROR(INDEX(PP_Grid[#Data],$DE700,9),0)</f>
        <v/>
      </c>
      <c r="M700">
        <f>IFERROR(INDEX(PP_Grid[#Data],$DE700,10),0)</f>
        <v/>
      </c>
      <c r="N700">
        <f>IFERROR(INDEX(PP_Grid[#Data],$DE700,11),0)</f>
        <v/>
      </c>
      <c r="O700">
        <f>IFERROR(INDEX(PP_Grid[#Data],$DE700,12),0)</f>
        <v/>
      </c>
      <c r="P700">
        <f>IFERROR(INDEX(PP_Grid[#Data],$DE700,13),0)</f>
        <v/>
      </c>
      <c r="Q700">
        <f>IFERROR(INDEX(PP_Grid[#Data],$DE700,14),0)</f>
        <v/>
      </c>
      <c r="R700">
        <f>IFERROR(INDEX(PP_Grid[#Data],$DE700,15),0)</f>
        <v/>
      </c>
      <c r="S700">
        <f>IFERROR(INDEX(PP_Grid[#Data],$DE700,16),0)</f>
        <v/>
      </c>
      <c r="T700">
        <f>IFERROR(INDEX(PP_Grid[#Data],$DE700,17),0)</f>
        <v/>
      </c>
      <c r="U700">
        <f>IFERROR(INDEX(PP_Grid[#Data],$DE700,18),0)</f>
        <v/>
      </c>
      <c r="V700">
        <f>IFERROR(INDEX(PP_Grid[#Data],$DE700,19),0)</f>
        <v/>
      </c>
      <c r="W700">
        <f>IFERROR(INDEX(PP_Grid[#Data],$DE700,20),0)</f>
        <v/>
      </c>
      <c r="X700">
        <f>IFERROR(INDEX(PP_Grid[#Data],$DE700,21),0)</f>
        <v/>
      </c>
      <c r="Y700">
        <f>IFERROR(INDEX(PP_Grid[#Data],$DE700,22),0)</f>
        <v/>
      </c>
      <c r="Z700">
        <f>IFERROR(INDEX(PP_Grid[#Data],$DE700,23),0)</f>
        <v/>
      </c>
      <c r="AA700">
        <f>IFERROR(INDEX(PP_Grid[#Data],$DE700,24),0)</f>
        <v/>
      </c>
      <c r="AB700">
        <f>IFERROR(INDEX(PP_Grid[#Data],$DE700,25),0)</f>
        <v/>
      </c>
      <c r="AC700">
        <f>IFERROR(INDEX(PP_Grid[#Data],$DE700,26),0)</f>
        <v/>
      </c>
      <c r="AD700">
        <f>IFERROR(INDEX(PP_Grid[#Data],$DE700,27),0)</f>
        <v/>
      </c>
      <c r="AE700">
        <f>IFERROR(INDEX(PP_Grid[#Data],$DE700,28),0)</f>
        <v/>
      </c>
      <c r="AF700">
        <f>IFERROR(INDEX(PP_Grid[#Data],$DE700,29),0)</f>
        <v/>
      </c>
      <c r="AG700">
        <f>IFERROR(INDEX(PP_Grid[#Data],$DE700,30),0)</f>
        <v/>
      </c>
      <c r="AH700">
        <f>IFERROR(INDEX(PP_Grid[#Data],$DE700,31),0)</f>
        <v/>
      </c>
      <c r="AI700">
        <f>IFERROR(INDEX(PP_Grid[#Data],$DE700,32),0)</f>
        <v/>
      </c>
      <c r="AJ700">
        <f>IFERROR(INDEX(PP_Grid[#Data],$DE700,33),0)</f>
        <v/>
      </c>
      <c r="AK700">
        <f>IFERROR(INDEX(PP_Grid[#Data],$DE700,34),0)</f>
        <v/>
      </c>
      <c r="AL700">
        <f>IFERROR(INDEX(PP_Grid[#Data],$DE700,35),0)</f>
        <v/>
      </c>
      <c r="AM700">
        <f>IFERROR(INDEX(PP_Grid[#Data],$DE700,36),0)</f>
        <v/>
      </c>
      <c r="AN700">
        <f>IFERROR(INDEX(PP_Grid[#Data],$DE700,37),0)</f>
        <v/>
      </c>
      <c r="AO700">
        <f>IFERROR(INDEX(PP_Grid[#Data],$DE700,38),0)</f>
        <v/>
      </c>
      <c r="AP700">
        <f>IFERROR(INDEX(PP_Grid[#Data],$DE700,39),0)</f>
        <v/>
      </c>
      <c r="AQ700">
        <f>IFERROR(INDEX(PP_Grid[#Data],$DE700,40),0)</f>
        <v/>
      </c>
      <c r="AR700">
        <f>IFERROR(INDEX(PP_Grid[#Data],$DE700,41),0)</f>
        <v/>
      </c>
      <c r="AS700">
        <f>IFERROR(INDEX(PP_Grid[#Data],$DE700,42),0)</f>
        <v/>
      </c>
      <c r="AT700">
        <f>IFERROR(INDEX(PP_Grid[#Data],$DE700,43),0)</f>
        <v/>
      </c>
      <c r="AU700">
        <f>IFERROR(INDEX(PP_Grid[#Data],$DE700,44),0)</f>
        <v/>
      </c>
      <c r="AV700">
        <f>IFERROR(INDEX(PP_Grid[#Data],$DE700,45),0)</f>
        <v/>
      </c>
      <c r="AW700">
        <f>IFERROR(INDEX(PP_Grid[#Data],$DE700,46),0)</f>
        <v/>
      </c>
      <c r="AX700">
        <f>IFERROR(INDEX(PP_Grid[#Data],$DE700,47),0)</f>
        <v/>
      </c>
      <c r="AY700">
        <f>IFERROR(INDEX(PP_Grid[#Data],$DE700,48),0)</f>
        <v/>
      </c>
      <c r="AZ700">
        <f>IFERROR(INDEX(PP_Grid[#Data],$DE700,49),0)</f>
        <v/>
      </c>
      <c r="BA700">
        <f>IFERROR(INDEX(PP_Grid[#Data],$DE700,50),0)</f>
        <v/>
      </c>
      <c r="BB700">
        <f>IFERROR(INDEX(PP_Grid[#Data],$DE700,51),0)</f>
        <v/>
      </c>
      <c r="BC700">
        <f>IFERROR(INDEX(PP_Grid[#Data],$DE700,52),0)</f>
        <v/>
      </c>
      <c r="BD700">
        <f>IFERROR(INDEX(PP_Grid[#Data],$DE700,53),0)</f>
        <v/>
      </c>
      <c r="BE700">
        <f>IFERROR(INDEX(PP_Grid[#Data],$DE700,54),0)</f>
        <v/>
      </c>
      <c r="BF700">
        <f>IFERROR(INDEX(PP_Grid[#Data],$DE700,55),0)</f>
        <v/>
      </c>
      <c r="BG700">
        <f>IFERROR(INDEX(PP_Grid[#Data],$DE700,56),0)</f>
        <v/>
      </c>
      <c r="BH700">
        <f>IFERROR(INDEX(PP_Grid[#Data],$DE700,57),0)</f>
        <v/>
      </c>
      <c r="BI700">
        <f>IFERROR(INDEX(PP_Grid[#Data],$DE700,58),0)</f>
        <v/>
      </c>
      <c r="BJ700">
        <f>IFERROR(INDEX(PP_Grid[#Data],$DE700,59),0)</f>
        <v/>
      </c>
      <c r="BK700">
        <f>IFERROR(INDEX(PP_Grid[#Data],$DE700,60),0)</f>
        <v/>
      </c>
      <c r="BL700">
        <f>IFERROR(INDEX(PP_Grid[#Data],$DE700,61),0)</f>
        <v/>
      </c>
      <c r="BM700">
        <f>IFERROR(INDEX(PP_Grid[#Data],$DE700,62),0)</f>
        <v/>
      </c>
      <c r="BN700">
        <f>IFERROR(INDEX(PP_Grid[#Data],$DE700,63),0)</f>
        <v/>
      </c>
      <c r="BO700">
        <f>IFERROR(INDEX(PP_Grid[#Data],$DE700,64),0)</f>
        <v/>
      </c>
      <c r="BP700">
        <f>IFERROR(INDEX(PP_Grid[#Data],$DE700,65),0)</f>
        <v/>
      </c>
      <c r="BQ700">
        <f>IFERROR(INDEX(PP_Grid[#Data],$DE700,66),0)</f>
        <v/>
      </c>
      <c r="BR700">
        <f>IFERROR(INDEX(PP_Grid[#Data],$DE700,67),0)</f>
        <v/>
      </c>
      <c r="BS700">
        <f>IFERROR(INDEX(PP_Grid[#Data],$DE700,68),0)</f>
        <v/>
      </c>
      <c r="BT700">
        <f>IFERROR(INDEX(PP_Grid[#Data],$DE700,69),0)</f>
        <v/>
      </c>
      <c r="BU700">
        <f>IFERROR(INDEX(PP_Grid[#Data],$DE700,70),0)</f>
        <v/>
      </c>
      <c r="BV700">
        <f>IFERROR(INDEX(PP_Grid[#Data],$DE700,71),0)</f>
        <v/>
      </c>
      <c r="BW700">
        <f>IFERROR(INDEX(PP_Grid[#Data],$DE700,72),0)</f>
        <v/>
      </c>
      <c r="BX700">
        <f>IFERROR(INDEX(PP_Grid[#Data],$DE700,73),0)</f>
        <v/>
      </c>
      <c r="BY700">
        <f>IFERROR(INDEX(PP_Grid[#Data],$DE700,74),0)</f>
        <v/>
      </c>
      <c r="BZ700">
        <f>IFERROR(INDEX(PP_Grid[#Data],$DE700,75),0)</f>
        <v/>
      </c>
      <c r="CA700">
        <f>IFERROR(INDEX(PP_Grid[#Data],$DE700,76),0)</f>
        <v/>
      </c>
      <c r="CB700">
        <f>IFERROR(INDEX(PP_Grid[#Data],$DE700,77),0)</f>
        <v/>
      </c>
      <c r="CC700">
        <f>IFERROR(INDEX(PP_Grid[#Data],$DE700,78),0)</f>
        <v/>
      </c>
      <c r="CD700">
        <f>IFERROR(INDEX(PP_Grid[#Data],$DE700,79),0)</f>
        <v/>
      </c>
      <c r="CE700">
        <f>IFERROR(INDEX(PP_Grid[#Data],$DE700,80),0)</f>
        <v/>
      </c>
      <c r="CF700">
        <f>IFERROR(INDEX(PP_Grid[#Data],$DE700,81),0)</f>
        <v/>
      </c>
      <c r="CG700">
        <f>IFERROR(INDEX(PP_Grid[#Data],$DE700,82),0)</f>
        <v/>
      </c>
      <c r="CH700">
        <f>IFERROR(INDEX(PP_Grid[#Data],$DE700,83),0)</f>
        <v/>
      </c>
      <c r="CI700">
        <f>IFERROR(INDEX(PP_Grid[#Data],$DE700,84),0)</f>
        <v/>
      </c>
      <c r="CJ700">
        <f>IFERROR(INDEX(PP_Grid[#Data],$DE700,85),0)</f>
        <v/>
      </c>
      <c r="CK700">
        <f>IFERROR(INDEX(PP_Grid[#Data],$DE700,86),0)</f>
        <v/>
      </c>
      <c r="CL700">
        <f>IFERROR(INDEX(PP_Grid[#Data],$DE700,87),0)</f>
        <v/>
      </c>
      <c r="CM700">
        <f>IFERROR(INDEX(PP_Grid[#Data],$DE700,88),0)</f>
        <v/>
      </c>
      <c r="CN700">
        <f>IFERROR(INDEX(PP_Grid[#Data],$DE700,89),0)</f>
        <v/>
      </c>
      <c r="CO700">
        <f>IFERROR(INDEX(PP_Grid[#Data],$DE700,90),0)</f>
        <v/>
      </c>
      <c r="CP700">
        <f>IFERROR(INDEX(PP_Grid[#Data],$DE700,91),0)</f>
        <v/>
      </c>
      <c r="CQ700">
        <f>IFERROR(INDEX(PP_Grid[#Data],$DE700,92),0)</f>
        <v/>
      </c>
      <c r="CR700">
        <f>IFERROR(INDEX(PP_Grid[#Data],$DE700,93),0)</f>
        <v/>
      </c>
      <c r="CS700">
        <f>IFERROR(INDEX(PP_Grid[#Data],$DE700,94),0)</f>
        <v/>
      </c>
      <c r="CT700">
        <f>IFERROR(INDEX(PP_Grid[#Data],$DE700,95),0)</f>
        <v/>
      </c>
      <c r="CU700">
        <f>IFERROR(INDEX(PP_Grid[#Data],$DE700,96),0)</f>
        <v/>
      </c>
      <c r="CV700">
        <f>IFERROR(INDEX(PP_Grid[#Data],$DE700,97),0)</f>
        <v/>
      </c>
      <c r="CW700">
        <f>IFERROR(INDEX(PP_Grid[#Data],$DE700,98),0)</f>
        <v/>
      </c>
      <c r="CX700">
        <f>IFERROR(INDEX(PP_Grid[#Data],$DE700,99),0)</f>
        <v/>
      </c>
      <c r="CY700">
        <f>IFERROR(INDEX(PP_Grid[#Data],$DE700,100),0)</f>
        <v/>
      </c>
      <c r="CZ700">
        <f>IFERROR(INDEX(PP_Grid[#Data],$DE700,101),0)</f>
        <v/>
      </c>
      <c r="DA700">
        <f>IFERROR(INDEX(PP_Grid[#Data],$DE700,102),0)</f>
        <v/>
      </c>
      <c r="DB700">
        <f>IFERROR(INDEX(PP_Grid[#Data],$DE700,103),0)</f>
        <v/>
      </c>
      <c r="DC700">
        <f>IFERROR(INDEX(PP_Grid[#Data],$DE700,104),0)</f>
        <v/>
      </c>
      <c r="DD700">
        <f>IFERROR(INDEX(PP_Grid[#Data],$DE700,105),0)</f>
        <v/>
      </c>
      <c r="DE700" s="7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SUMIFS(M_BOM[RM_Qty_Per_Batch],M_BOM[Intermediate],$B700,M_BOM[RM_Code],$A615)</f>
        <v/>
      </c>
      <c r="D701">
        <f>IFERROR(INDEX(E701:DD701,$F$1),"")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  <c r="DD701">
        <f>$C701*DD700</f>
        <v/>
      </c>
    </row>
    <row r="702">
      <c r="B702" t="inlineStr">
        <is>
          <t>VSP-822</t>
        </is>
      </c>
      <c r="C702" t="inlineStr">
        <is>
          <t>No. of batches</t>
        </is>
      </c>
      <c r="D702">
        <f>IFERROR(INDEX(E702:DD702,$F$1),"")</f>
        <v/>
      </c>
      <c r="E702">
        <f>IFERROR(INDEX(PP_Grid[#Data],$DE702,2),0)</f>
        <v/>
      </c>
      <c r="F702">
        <f>IFERROR(INDEX(PP_Grid[#Data],$DE702,3),0)</f>
        <v/>
      </c>
      <c r="G702">
        <f>IFERROR(INDEX(PP_Grid[#Data],$DE702,4),0)</f>
        <v/>
      </c>
      <c r="H702">
        <f>IFERROR(INDEX(PP_Grid[#Data],$DE702,5),0)</f>
        <v/>
      </c>
      <c r="I702">
        <f>IFERROR(INDEX(PP_Grid[#Data],$DE702,6),0)</f>
        <v/>
      </c>
      <c r="J702">
        <f>IFERROR(INDEX(PP_Grid[#Data],$DE702,7),0)</f>
        <v/>
      </c>
      <c r="K702">
        <f>IFERROR(INDEX(PP_Grid[#Data],$DE702,8),0)</f>
        <v/>
      </c>
      <c r="L702">
        <f>IFERROR(INDEX(PP_Grid[#Data],$DE702,9),0)</f>
        <v/>
      </c>
      <c r="M702">
        <f>IFERROR(INDEX(PP_Grid[#Data],$DE702,10),0)</f>
        <v/>
      </c>
      <c r="N702">
        <f>IFERROR(INDEX(PP_Grid[#Data],$DE702,11),0)</f>
        <v/>
      </c>
      <c r="O702">
        <f>IFERROR(INDEX(PP_Grid[#Data],$DE702,12),0)</f>
        <v/>
      </c>
      <c r="P702">
        <f>IFERROR(INDEX(PP_Grid[#Data],$DE702,13),0)</f>
        <v/>
      </c>
      <c r="Q702">
        <f>IFERROR(INDEX(PP_Grid[#Data],$DE702,14),0)</f>
        <v/>
      </c>
      <c r="R702">
        <f>IFERROR(INDEX(PP_Grid[#Data],$DE702,15),0)</f>
        <v/>
      </c>
      <c r="S702">
        <f>IFERROR(INDEX(PP_Grid[#Data],$DE702,16),0)</f>
        <v/>
      </c>
      <c r="T702">
        <f>IFERROR(INDEX(PP_Grid[#Data],$DE702,17),0)</f>
        <v/>
      </c>
      <c r="U702">
        <f>IFERROR(INDEX(PP_Grid[#Data],$DE702,18),0)</f>
        <v/>
      </c>
      <c r="V702">
        <f>IFERROR(INDEX(PP_Grid[#Data],$DE702,19),0)</f>
        <v/>
      </c>
      <c r="W702">
        <f>IFERROR(INDEX(PP_Grid[#Data],$DE702,20),0)</f>
        <v/>
      </c>
      <c r="X702">
        <f>IFERROR(INDEX(PP_Grid[#Data],$DE702,21),0)</f>
        <v/>
      </c>
      <c r="Y702">
        <f>IFERROR(INDEX(PP_Grid[#Data],$DE702,22),0)</f>
        <v/>
      </c>
      <c r="Z702">
        <f>IFERROR(INDEX(PP_Grid[#Data],$DE702,23),0)</f>
        <v/>
      </c>
      <c r="AA702">
        <f>IFERROR(INDEX(PP_Grid[#Data],$DE702,24),0)</f>
        <v/>
      </c>
      <c r="AB702">
        <f>IFERROR(INDEX(PP_Grid[#Data],$DE702,25),0)</f>
        <v/>
      </c>
      <c r="AC702">
        <f>IFERROR(INDEX(PP_Grid[#Data],$DE702,26),0)</f>
        <v/>
      </c>
      <c r="AD702">
        <f>IFERROR(INDEX(PP_Grid[#Data],$DE702,27),0)</f>
        <v/>
      </c>
      <c r="AE702">
        <f>IFERROR(INDEX(PP_Grid[#Data],$DE702,28),0)</f>
        <v/>
      </c>
      <c r="AF702">
        <f>IFERROR(INDEX(PP_Grid[#Data],$DE702,29),0)</f>
        <v/>
      </c>
      <c r="AG702">
        <f>IFERROR(INDEX(PP_Grid[#Data],$DE702,30),0)</f>
        <v/>
      </c>
      <c r="AH702">
        <f>IFERROR(INDEX(PP_Grid[#Data],$DE702,31),0)</f>
        <v/>
      </c>
      <c r="AI702">
        <f>IFERROR(INDEX(PP_Grid[#Data],$DE702,32),0)</f>
        <v/>
      </c>
      <c r="AJ702">
        <f>IFERROR(INDEX(PP_Grid[#Data],$DE702,33),0)</f>
        <v/>
      </c>
      <c r="AK702">
        <f>IFERROR(INDEX(PP_Grid[#Data],$DE702,34),0)</f>
        <v/>
      </c>
      <c r="AL702">
        <f>IFERROR(INDEX(PP_Grid[#Data],$DE702,35),0)</f>
        <v/>
      </c>
      <c r="AM702">
        <f>IFERROR(INDEX(PP_Grid[#Data],$DE702,36),0)</f>
        <v/>
      </c>
      <c r="AN702">
        <f>IFERROR(INDEX(PP_Grid[#Data],$DE702,37),0)</f>
        <v/>
      </c>
      <c r="AO702">
        <f>IFERROR(INDEX(PP_Grid[#Data],$DE702,38),0)</f>
        <v/>
      </c>
      <c r="AP702">
        <f>IFERROR(INDEX(PP_Grid[#Data],$DE702,39),0)</f>
        <v/>
      </c>
      <c r="AQ702">
        <f>IFERROR(INDEX(PP_Grid[#Data],$DE702,40),0)</f>
        <v/>
      </c>
      <c r="AR702">
        <f>IFERROR(INDEX(PP_Grid[#Data],$DE702,41),0)</f>
        <v/>
      </c>
      <c r="AS702">
        <f>IFERROR(INDEX(PP_Grid[#Data],$DE702,42),0)</f>
        <v/>
      </c>
      <c r="AT702">
        <f>IFERROR(INDEX(PP_Grid[#Data],$DE702,43),0)</f>
        <v/>
      </c>
      <c r="AU702">
        <f>IFERROR(INDEX(PP_Grid[#Data],$DE702,44),0)</f>
        <v/>
      </c>
      <c r="AV702">
        <f>IFERROR(INDEX(PP_Grid[#Data],$DE702,45),0)</f>
        <v/>
      </c>
      <c r="AW702">
        <f>IFERROR(INDEX(PP_Grid[#Data],$DE702,46),0)</f>
        <v/>
      </c>
      <c r="AX702">
        <f>IFERROR(INDEX(PP_Grid[#Data],$DE702,47),0)</f>
        <v/>
      </c>
      <c r="AY702">
        <f>IFERROR(INDEX(PP_Grid[#Data],$DE702,48),0)</f>
        <v/>
      </c>
      <c r="AZ702">
        <f>IFERROR(INDEX(PP_Grid[#Data],$DE702,49),0)</f>
        <v/>
      </c>
      <c r="BA702">
        <f>IFERROR(INDEX(PP_Grid[#Data],$DE702,50),0)</f>
        <v/>
      </c>
      <c r="BB702">
        <f>IFERROR(INDEX(PP_Grid[#Data],$DE702,51),0)</f>
        <v/>
      </c>
      <c r="BC702">
        <f>IFERROR(INDEX(PP_Grid[#Data],$DE702,52),0)</f>
        <v/>
      </c>
      <c r="BD702">
        <f>IFERROR(INDEX(PP_Grid[#Data],$DE702,53),0)</f>
        <v/>
      </c>
      <c r="BE702">
        <f>IFERROR(INDEX(PP_Grid[#Data],$DE702,54),0)</f>
        <v/>
      </c>
      <c r="BF702">
        <f>IFERROR(INDEX(PP_Grid[#Data],$DE702,55),0)</f>
        <v/>
      </c>
      <c r="BG702">
        <f>IFERROR(INDEX(PP_Grid[#Data],$DE702,56),0)</f>
        <v/>
      </c>
      <c r="BH702">
        <f>IFERROR(INDEX(PP_Grid[#Data],$DE702,57),0)</f>
        <v/>
      </c>
      <c r="BI702">
        <f>IFERROR(INDEX(PP_Grid[#Data],$DE702,58),0)</f>
        <v/>
      </c>
      <c r="BJ702">
        <f>IFERROR(INDEX(PP_Grid[#Data],$DE702,59),0)</f>
        <v/>
      </c>
      <c r="BK702">
        <f>IFERROR(INDEX(PP_Grid[#Data],$DE702,60),0)</f>
        <v/>
      </c>
      <c r="BL702">
        <f>IFERROR(INDEX(PP_Grid[#Data],$DE702,61),0)</f>
        <v/>
      </c>
      <c r="BM702">
        <f>IFERROR(INDEX(PP_Grid[#Data],$DE702,62),0)</f>
        <v/>
      </c>
      <c r="BN702">
        <f>IFERROR(INDEX(PP_Grid[#Data],$DE702,63),0)</f>
        <v/>
      </c>
      <c r="BO702">
        <f>IFERROR(INDEX(PP_Grid[#Data],$DE702,64),0)</f>
        <v/>
      </c>
      <c r="BP702">
        <f>IFERROR(INDEX(PP_Grid[#Data],$DE702,65),0)</f>
        <v/>
      </c>
      <c r="BQ702">
        <f>IFERROR(INDEX(PP_Grid[#Data],$DE702,66),0)</f>
        <v/>
      </c>
      <c r="BR702">
        <f>IFERROR(INDEX(PP_Grid[#Data],$DE702,67),0)</f>
        <v/>
      </c>
      <c r="BS702">
        <f>IFERROR(INDEX(PP_Grid[#Data],$DE702,68),0)</f>
        <v/>
      </c>
      <c r="BT702">
        <f>IFERROR(INDEX(PP_Grid[#Data],$DE702,69),0)</f>
        <v/>
      </c>
      <c r="BU702">
        <f>IFERROR(INDEX(PP_Grid[#Data],$DE702,70),0)</f>
        <v/>
      </c>
      <c r="BV702">
        <f>IFERROR(INDEX(PP_Grid[#Data],$DE702,71),0)</f>
        <v/>
      </c>
      <c r="BW702">
        <f>IFERROR(INDEX(PP_Grid[#Data],$DE702,72),0)</f>
        <v/>
      </c>
      <c r="BX702">
        <f>IFERROR(INDEX(PP_Grid[#Data],$DE702,73),0)</f>
        <v/>
      </c>
      <c r="BY702">
        <f>IFERROR(INDEX(PP_Grid[#Data],$DE702,74),0)</f>
        <v/>
      </c>
      <c r="BZ702">
        <f>IFERROR(INDEX(PP_Grid[#Data],$DE702,75),0)</f>
        <v/>
      </c>
      <c r="CA702">
        <f>IFERROR(INDEX(PP_Grid[#Data],$DE702,76),0)</f>
        <v/>
      </c>
      <c r="CB702">
        <f>IFERROR(INDEX(PP_Grid[#Data],$DE702,77),0)</f>
        <v/>
      </c>
      <c r="CC702">
        <f>IFERROR(INDEX(PP_Grid[#Data],$DE702,78),0)</f>
        <v/>
      </c>
      <c r="CD702">
        <f>IFERROR(INDEX(PP_Grid[#Data],$DE702,79),0)</f>
        <v/>
      </c>
      <c r="CE702">
        <f>IFERROR(INDEX(PP_Grid[#Data],$DE702,80),0)</f>
        <v/>
      </c>
      <c r="CF702">
        <f>IFERROR(INDEX(PP_Grid[#Data],$DE702,81),0)</f>
        <v/>
      </c>
      <c r="CG702">
        <f>IFERROR(INDEX(PP_Grid[#Data],$DE702,82),0)</f>
        <v/>
      </c>
      <c r="CH702">
        <f>IFERROR(INDEX(PP_Grid[#Data],$DE702,83),0)</f>
        <v/>
      </c>
      <c r="CI702">
        <f>IFERROR(INDEX(PP_Grid[#Data],$DE702,84),0)</f>
        <v/>
      </c>
      <c r="CJ702">
        <f>IFERROR(INDEX(PP_Grid[#Data],$DE702,85),0)</f>
        <v/>
      </c>
      <c r="CK702">
        <f>IFERROR(INDEX(PP_Grid[#Data],$DE702,86),0)</f>
        <v/>
      </c>
      <c r="CL702">
        <f>IFERROR(INDEX(PP_Grid[#Data],$DE702,87),0)</f>
        <v/>
      </c>
      <c r="CM702">
        <f>IFERROR(INDEX(PP_Grid[#Data],$DE702,88),0)</f>
        <v/>
      </c>
      <c r="CN702">
        <f>IFERROR(INDEX(PP_Grid[#Data],$DE702,89),0)</f>
        <v/>
      </c>
      <c r="CO702">
        <f>IFERROR(INDEX(PP_Grid[#Data],$DE702,90),0)</f>
        <v/>
      </c>
      <c r="CP702">
        <f>IFERROR(INDEX(PP_Grid[#Data],$DE702,91),0)</f>
        <v/>
      </c>
      <c r="CQ702">
        <f>IFERROR(INDEX(PP_Grid[#Data],$DE702,92),0)</f>
        <v/>
      </c>
      <c r="CR702">
        <f>IFERROR(INDEX(PP_Grid[#Data],$DE702,93),0)</f>
        <v/>
      </c>
      <c r="CS702">
        <f>IFERROR(INDEX(PP_Grid[#Data],$DE702,94),0)</f>
        <v/>
      </c>
      <c r="CT702">
        <f>IFERROR(INDEX(PP_Grid[#Data],$DE702,95),0)</f>
        <v/>
      </c>
      <c r="CU702">
        <f>IFERROR(INDEX(PP_Grid[#Data],$DE702,96),0)</f>
        <v/>
      </c>
      <c r="CV702">
        <f>IFERROR(INDEX(PP_Grid[#Data],$DE702,97),0)</f>
        <v/>
      </c>
      <c r="CW702">
        <f>IFERROR(INDEX(PP_Grid[#Data],$DE702,98),0)</f>
        <v/>
      </c>
      <c r="CX702">
        <f>IFERROR(INDEX(PP_Grid[#Data],$DE702,99),0)</f>
        <v/>
      </c>
      <c r="CY702">
        <f>IFERROR(INDEX(PP_Grid[#Data],$DE702,100),0)</f>
        <v/>
      </c>
      <c r="CZ702">
        <f>IFERROR(INDEX(PP_Grid[#Data],$DE702,101),0)</f>
        <v/>
      </c>
      <c r="DA702">
        <f>IFERROR(INDEX(PP_Grid[#Data],$DE702,102),0)</f>
        <v/>
      </c>
      <c r="DB702">
        <f>IFERROR(INDEX(PP_Grid[#Data],$DE702,103),0)</f>
        <v/>
      </c>
      <c r="DC702">
        <f>IFERROR(INDEX(PP_Grid[#Data],$DE702,104),0)</f>
        <v/>
      </c>
      <c r="DD702">
        <f>IFERROR(INDEX(PP_Grid[#Data],$DE702,105),0)</f>
        <v/>
      </c>
      <c r="DE702" s="7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SUMIFS(M_BOM[RM_Qty_Per_Batch],M_BOM[Intermediate],$B702,M_BOM[RM_Code],$A615)</f>
        <v/>
      </c>
      <c r="D703">
        <f>IFERROR(INDEX(E703:DD703,$F$1),"")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  <c r="DD703">
        <f>$C703*DD702</f>
        <v/>
      </c>
    </row>
    <row r="704">
      <c r="B704" t="inlineStr">
        <is>
          <t>VSP-869</t>
        </is>
      </c>
      <c r="C704" t="inlineStr">
        <is>
          <t>No. of batches</t>
        </is>
      </c>
      <c r="D704">
        <f>IFERROR(INDEX(E704:DD704,$F$1),"")</f>
        <v/>
      </c>
      <c r="E704">
        <f>IFERROR(INDEX(PP_Grid[#Data],$DE704,2),0)</f>
        <v/>
      </c>
      <c r="F704">
        <f>IFERROR(INDEX(PP_Grid[#Data],$DE704,3),0)</f>
        <v/>
      </c>
      <c r="G704">
        <f>IFERROR(INDEX(PP_Grid[#Data],$DE704,4),0)</f>
        <v/>
      </c>
      <c r="H704">
        <f>IFERROR(INDEX(PP_Grid[#Data],$DE704,5),0)</f>
        <v/>
      </c>
      <c r="I704">
        <f>IFERROR(INDEX(PP_Grid[#Data],$DE704,6),0)</f>
        <v/>
      </c>
      <c r="J704">
        <f>IFERROR(INDEX(PP_Grid[#Data],$DE704,7),0)</f>
        <v/>
      </c>
      <c r="K704">
        <f>IFERROR(INDEX(PP_Grid[#Data],$DE704,8),0)</f>
        <v/>
      </c>
      <c r="L704">
        <f>IFERROR(INDEX(PP_Grid[#Data],$DE704,9),0)</f>
        <v/>
      </c>
      <c r="M704">
        <f>IFERROR(INDEX(PP_Grid[#Data],$DE704,10),0)</f>
        <v/>
      </c>
      <c r="N704">
        <f>IFERROR(INDEX(PP_Grid[#Data],$DE704,11),0)</f>
        <v/>
      </c>
      <c r="O704">
        <f>IFERROR(INDEX(PP_Grid[#Data],$DE704,12),0)</f>
        <v/>
      </c>
      <c r="P704">
        <f>IFERROR(INDEX(PP_Grid[#Data],$DE704,13),0)</f>
        <v/>
      </c>
      <c r="Q704">
        <f>IFERROR(INDEX(PP_Grid[#Data],$DE704,14),0)</f>
        <v/>
      </c>
      <c r="R704">
        <f>IFERROR(INDEX(PP_Grid[#Data],$DE704,15),0)</f>
        <v/>
      </c>
      <c r="S704">
        <f>IFERROR(INDEX(PP_Grid[#Data],$DE704,16),0)</f>
        <v/>
      </c>
      <c r="T704">
        <f>IFERROR(INDEX(PP_Grid[#Data],$DE704,17),0)</f>
        <v/>
      </c>
      <c r="U704">
        <f>IFERROR(INDEX(PP_Grid[#Data],$DE704,18),0)</f>
        <v/>
      </c>
      <c r="V704">
        <f>IFERROR(INDEX(PP_Grid[#Data],$DE704,19),0)</f>
        <v/>
      </c>
      <c r="W704">
        <f>IFERROR(INDEX(PP_Grid[#Data],$DE704,20),0)</f>
        <v/>
      </c>
      <c r="X704">
        <f>IFERROR(INDEX(PP_Grid[#Data],$DE704,21),0)</f>
        <v/>
      </c>
      <c r="Y704">
        <f>IFERROR(INDEX(PP_Grid[#Data],$DE704,22),0)</f>
        <v/>
      </c>
      <c r="Z704">
        <f>IFERROR(INDEX(PP_Grid[#Data],$DE704,23),0)</f>
        <v/>
      </c>
      <c r="AA704">
        <f>IFERROR(INDEX(PP_Grid[#Data],$DE704,24),0)</f>
        <v/>
      </c>
      <c r="AB704">
        <f>IFERROR(INDEX(PP_Grid[#Data],$DE704,25),0)</f>
        <v/>
      </c>
      <c r="AC704">
        <f>IFERROR(INDEX(PP_Grid[#Data],$DE704,26),0)</f>
        <v/>
      </c>
      <c r="AD704">
        <f>IFERROR(INDEX(PP_Grid[#Data],$DE704,27),0)</f>
        <v/>
      </c>
      <c r="AE704">
        <f>IFERROR(INDEX(PP_Grid[#Data],$DE704,28),0)</f>
        <v/>
      </c>
      <c r="AF704">
        <f>IFERROR(INDEX(PP_Grid[#Data],$DE704,29),0)</f>
        <v/>
      </c>
      <c r="AG704">
        <f>IFERROR(INDEX(PP_Grid[#Data],$DE704,30),0)</f>
        <v/>
      </c>
      <c r="AH704">
        <f>IFERROR(INDEX(PP_Grid[#Data],$DE704,31),0)</f>
        <v/>
      </c>
      <c r="AI704">
        <f>IFERROR(INDEX(PP_Grid[#Data],$DE704,32),0)</f>
        <v/>
      </c>
      <c r="AJ704">
        <f>IFERROR(INDEX(PP_Grid[#Data],$DE704,33),0)</f>
        <v/>
      </c>
      <c r="AK704">
        <f>IFERROR(INDEX(PP_Grid[#Data],$DE704,34),0)</f>
        <v/>
      </c>
      <c r="AL704">
        <f>IFERROR(INDEX(PP_Grid[#Data],$DE704,35),0)</f>
        <v/>
      </c>
      <c r="AM704">
        <f>IFERROR(INDEX(PP_Grid[#Data],$DE704,36),0)</f>
        <v/>
      </c>
      <c r="AN704">
        <f>IFERROR(INDEX(PP_Grid[#Data],$DE704,37),0)</f>
        <v/>
      </c>
      <c r="AO704">
        <f>IFERROR(INDEX(PP_Grid[#Data],$DE704,38),0)</f>
        <v/>
      </c>
      <c r="AP704">
        <f>IFERROR(INDEX(PP_Grid[#Data],$DE704,39),0)</f>
        <v/>
      </c>
      <c r="AQ704">
        <f>IFERROR(INDEX(PP_Grid[#Data],$DE704,40),0)</f>
        <v/>
      </c>
      <c r="AR704">
        <f>IFERROR(INDEX(PP_Grid[#Data],$DE704,41),0)</f>
        <v/>
      </c>
      <c r="AS704">
        <f>IFERROR(INDEX(PP_Grid[#Data],$DE704,42),0)</f>
        <v/>
      </c>
      <c r="AT704">
        <f>IFERROR(INDEX(PP_Grid[#Data],$DE704,43),0)</f>
        <v/>
      </c>
      <c r="AU704">
        <f>IFERROR(INDEX(PP_Grid[#Data],$DE704,44),0)</f>
        <v/>
      </c>
      <c r="AV704">
        <f>IFERROR(INDEX(PP_Grid[#Data],$DE704,45),0)</f>
        <v/>
      </c>
      <c r="AW704">
        <f>IFERROR(INDEX(PP_Grid[#Data],$DE704,46),0)</f>
        <v/>
      </c>
      <c r="AX704">
        <f>IFERROR(INDEX(PP_Grid[#Data],$DE704,47),0)</f>
        <v/>
      </c>
      <c r="AY704">
        <f>IFERROR(INDEX(PP_Grid[#Data],$DE704,48),0)</f>
        <v/>
      </c>
      <c r="AZ704">
        <f>IFERROR(INDEX(PP_Grid[#Data],$DE704,49),0)</f>
        <v/>
      </c>
      <c r="BA704">
        <f>IFERROR(INDEX(PP_Grid[#Data],$DE704,50),0)</f>
        <v/>
      </c>
      <c r="BB704">
        <f>IFERROR(INDEX(PP_Grid[#Data],$DE704,51),0)</f>
        <v/>
      </c>
      <c r="BC704">
        <f>IFERROR(INDEX(PP_Grid[#Data],$DE704,52),0)</f>
        <v/>
      </c>
      <c r="BD704">
        <f>IFERROR(INDEX(PP_Grid[#Data],$DE704,53),0)</f>
        <v/>
      </c>
      <c r="BE704">
        <f>IFERROR(INDEX(PP_Grid[#Data],$DE704,54),0)</f>
        <v/>
      </c>
      <c r="BF704">
        <f>IFERROR(INDEX(PP_Grid[#Data],$DE704,55),0)</f>
        <v/>
      </c>
      <c r="BG704">
        <f>IFERROR(INDEX(PP_Grid[#Data],$DE704,56),0)</f>
        <v/>
      </c>
      <c r="BH704">
        <f>IFERROR(INDEX(PP_Grid[#Data],$DE704,57),0)</f>
        <v/>
      </c>
      <c r="BI704">
        <f>IFERROR(INDEX(PP_Grid[#Data],$DE704,58),0)</f>
        <v/>
      </c>
      <c r="BJ704">
        <f>IFERROR(INDEX(PP_Grid[#Data],$DE704,59),0)</f>
        <v/>
      </c>
      <c r="BK704">
        <f>IFERROR(INDEX(PP_Grid[#Data],$DE704,60),0)</f>
        <v/>
      </c>
      <c r="BL704">
        <f>IFERROR(INDEX(PP_Grid[#Data],$DE704,61),0)</f>
        <v/>
      </c>
      <c r="BM704">
        <f>IFERROR(INDEX(PP_Grid[#Data],$DE704,62),0)</f>
        <v/>
      </c>
      <c r="BN704">
        <f>IFERROR(INDEX(PP_Grid[#Data],$DE704,63),0)</f>
        <v/>
      </c>
      <c r="BO704">
        <f>IFERROR(INDEX(PP_Grid[#Data],$DE704,64),0)</f>
        <v/>
      </c>
      <c r="BP704">
        <f>IFERROR(INDEX(PP_Grid[#Data],$DE704,65),0)</f>
        <v/>
      </c>
      <c r="BQ704">
        <f>IFERROR(INDEX(PP_Grid[#Data],$DE704,66),0)</f>
        <v/>
      </c>
      <c r="BR704">
        <f>IFERROR(INDEX(PP_Grid[#Data],$DE704,67),0)</f>
        <v/>
      </c>
      <c r="BS704">
        <f>IFERROR(INDEX(PP_Grid[#Data],$DE704,68),0)</f>
        <v/>
      </c>
      <c r="BT704">
        <f>IFERROR(INDEX(PP_Grid[#Data],$DE704,69),0)</f>
        <v/>
      </c>
      <c r="BU704">
        <f>IFERROR(INDEX(PP_Grid[#Data],$DE704,70),0)</f>
        <v/>
      </c>
      <c r="BV704">
        <f>IFERROR(INDEX(PP_Grid[#Data],$DE704,71),0)</f>
        <v/>
      </c>
      <c r="BW704">
        <f>IFERROR(INDEX(PP_Grid[#Data],$DE704,72),0)</f>
        <v/>
      </c>
      <c r="BX704">
        <f>IFERROR(INDEX(PP_Grid[#Data],$DE704,73),0)</f>
        <v/>
      </c>
      <c r="BY704">
        <f>IFERROR(INDEX(PP_Grid[#Data],$DE704,74),0)</f>
        <v/>
      </c>
      <c r="BZ704">
        <f>IFERROR(INDEX(PP_Grid[#Data],$DE704,75),0)</f>
        <v/>
      </c>
      <c r="CA704">
        <f>IFERROR(INDEX(PP_Grid[#Data],$DE704,76),0)</f>
        <v/>
      </c>
      <c r="CB704">
        <f>IFERROR(INDEX(PP_Grid[#Data],$DE704,77),0)</f>
        <v/>
      </c>
      <c r="CC704">
        <f>IFERROR(INDEX(PP_Grid[#Data],$DE704,78),0)</f>
        <v/>
      </c>
      <c r="CD704">
        <f>IFERROR(INDEX(PP_Grid[#Data],$DE704,79),0)</f>
        <v/>
      </c>
      <c r="CE704">
        <f>IFERROR(INDEX(PP_Grid[#Data],$DE704,80),0)</f>
        <v/>
      </c>
      <c r="CF704">
        <f>IFERROR(INDEX(PP_Grid[#Data],$DE704,81),0)</f>
        <v/>
      </c>
      <c r="CG704">
        <f>IFERROR(INDEX(PP_Grid[#Data],$DE704,82),0)</f>
        <v/>
      </c>
      <c r="CH704">
        <f>IFERROR(INDEX(PP_Grid[#Data],$DE704,83),0)</f>
        <v/>
      </c>
      <c r="CI704">
        <f>IFERROR(INDEX(PP_Grid[#Data],$DE704,84),0)</f>
        <v/>
      </c>
      <c r="CJ704">
        <f>IFERROR(INDEX(PP_Grid[#Data],$DE704,85),0)</f>
        <v/>
      </c>
      <c r="CK704">
        <f>IFERROR(INDEX(PP_Grid[#Data],$DE704,86),0)</f>
        <v/>
      </c>
      <c r="CL704">
        <f>IFERROR(INDEX(PP_Grid[#Data],$DE704,87),0)</f>
        <v/>
      </c>
      <c r="CM704">
        <f>IFERROR(INDEX(PP_Grid[#Data],$DE704,88),0)</f>
        <v/>
      </c>
      <c r="CN704">
        <f>IFERROR(INDEX(PP_Grid[#Data],$DE704,89),0)</f>
        <v/>
      </c>
      <c r="CO704">
        <f>IFERROR(INDEX(PP_Grid[#Data],$DE704,90),0)</f>
        <v/>
      </c>
      <c r="CP704">
        <f>IFERROR(INDEX(PP_Grid[#Data],$DE704,91),0)</f>
        <v/>
      </c>
      <c r="CQ704">
        <f>IFERROR(INDEX(PP_Grid[#Data],$DE704,92),0)</f>
        <v/>
      </c>
      <c r="CR704">
        <f>IFERROR(INDEX(PP_Grid[#Data],$DE704,93),0)</f>
        <v/>
      </c>
      <c r="CS704">
        <f>IFERROR(INDEX(PP_Grid[#Data],$DE704,94),0)</f>
        <v/>
      </c>
      <c r="CT704">
        <f>IFERROR(INDEX(PP_Grid[#Data],$DE704,95),0)</f>
        <v/>
      </c>
      <c r="CU704">
        <f>IFERROR(INDEX(PP_Grid[#Data],$DE704,96),0)</f>
        <v/>
      </c>
      <c r="CV704">
        <f>IFERROR(INDEX(PP_Grid[#Data],$DE704,97),0)</f>
        <v/>
      </c>
      <c r="CW704">
        <f>IFERROR(INDEX(PP_Grid[#Data],$DE704,98),0)</f>
        <v/>
      </c>
      <c r="CX704">
        <f>IFERROR(INDEX(PP_Grid[#Data],$DE704,99),0)</f>
        <v/>
      </c>
      <c r="CY704">
        <f>IFERROR(INDEX(PP_Grid[#Data],$DE704,100),0)</f>
        <v/>
      </c>
      <c r="CZ704">
        <f>IFERROR(INDEX(PP_Grid[#Data],$DE704,101),0)</f>
        <v/>
      </c>
      <c r="DA704">
        <f>IFERROR(INDEX(PP_Grid[#Data],$DE704,102),0)</f>
        <v/>
      </c>
      <c r="DB704">
        <f>IFERROR(INDEX(PP_Grid[#Data],$DE704,103),0)</f>
        <v/>
      </c>
      <c r="DC704">
        <f>IFERROR(INDEX(PP_Grid[#Data],$DE704,104),0)</f>
        <v/>
      </c>
      <c r="DD704">
        <f>IFERROR(INDEX(PP_Grid[#Data],$DE704,105),0)</f>
        <v/>
      </c>
      <c r="DE704" s="7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SUMIFS(M_BOM[RM_Qty_Per_Batch],M_BOM[Intermediate],$B704,M_BOM[RM_Code],$A615)</f>
        <v/>
      </c>
      <c r="D705">
        <f>IFERROR(INDEX(E705:DD705,$F$1),"")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  <c r="DD705">
        <f>$C705*DD704</f>
        <v/>
      </c>
    </row>
    <row r="706">
      <c r="B706" t="inlineStr">
        <is>
          <t>VSP-870</t>
        </is>
      </c>
      <c r="C706" t="inlineStr">
        <is>
          <t>No. of batches</t>
        </is>
      </c>
      <c r="D706">
        <f>IFERROR(INDEX(E706:DD706,$F$1),"")</f>
        <v/>
      </c>
      <c r="E706">
        <f>IFERROR(INDEX(PP_Grid[#Data],$DE706,2),0)</f>
        <v/>
      </c>
      <c r="F706">
        <f>IFERROR(INDEX(PP_Grid[#Data],$DE706,3),0)</f>
        <v/>
      </c>
      <c r="G706">
        <f>IFERROR(INDEX(PP_Grid[#Data],$DE706,4),0)</f>
        <v/>
      </c>
      <c r="H706">
        <f>IFERROR(INDEX(PP_Grid[#Data],$DE706,5),0)</f>
        <v/>
      </c>
      <c r="I706">
        <f>IFERROR(INDEX(PP_Grid[#Data],$DE706,6),0)</f>
        <v/>
      </c>
      <c r="J706">
        <f>IFERROR(INDEX(PP_Grid[#Data],$DE706,7),0)</f>
        <v/>
      </c>
      <c r="K706">
        <f>IFERROR(INDEX(PP_Grid[#Data],$DE706,8),0)</f>
        <v/>
      </c>
      <c r="L706">
        <f>IFERROR(INDEX(PP_Grid[#Data],$DE706,9),0)</f>
        <v/>
      </c>
      <c r="M706">
        <f>IFERROR(INDEX(PP_Grid[#Data],$DE706,10),0)</f>
        <v/>
      </c>
      <c r="N706">
        <f>IFERROR(INDEX(PP_Grid[#Data],$DE706,11),0)</f>
        <v/>
      </c>
      <c r="O706">
        <f>IFERROR(INDEX(PP_Grid[#Data],$DE706,12),0)</f>
        <v/>
      </c>
      <c r="P706">
        <f>IFERROR(INDEX(PP_Grid[#Data],$DE706,13),0)</f>
        <v/>
      </c>
      <c r="Q706">
        <f>IFERROR(INDEX(PP_Grid[#Data],$DE706,14),0)</f>
        <v/>
      </c>
      <c r="R706">
        <f>IFERROR(INDEX(PP_Grid[#Data],$DE706,15),0)</f>
        <v/>
      </c>
      <c r="S706">
        <f>IFERROR(INDEX(PP_Grid[#Data],$DE706,16),0)</f>
        <v/>
      </c>
      <c r="T706">
        <f>IFERROR(INDEX(PP_Grid[#Data],$DE706,17),0)</f>
        <v/>
      </c>
      <c r="U706">
        <f>IFERROR(INDEX(PP_Grid[#Data],$DE706,18),0)</f>
        <v/>
      </c>
      <c r="V706">
        <f>IFERROR(INDEX(PP_Grid[#Data],$DE706,19),0)</f>
        <v/>
      </c>
      <c r="W706">
        <f>IFERROR(INDEX(PP_Grid[#Data],$DE706,20),0)</f>
        <v/>
      </c>
      <c r="X706">
        <f>IFERROR(INDEX(PP_Grid[#Data],$DE706,21),0)</f>
        <v/>
      </c>
      <c r="Y706">
        <f>IFERROR(INDEX(PP_Grid[#Data],$DE706,22),0)</f>
        <v/>
      </c>
      <c r="Z706">
        <f>IFERROR(INDEX(PP_Grid[#Data],$DE706,23),0)</f>
        <v/>
      </c>
      <c r="AA706">
        <f>IFERROR(INDEX(PP_Grid[#Data],$DE706,24),0)</f>
        <v/>
      </c>
      <c r="AB706">
        <f>IFERROR(INDEX(PP_Grid[#Data],$DE706,25),0)</f>
        <v/>
      </c>
      <c r="AC706">
        <f>IFERROR(INDEX(PP_Grid[#Data],$DE706,26),0)</f>
        <v/>
      </c>
      <c r="AD706">
        <f>IFERROR(INDEX(PP_Grid[#Data],$DE706,27),0)</f>
        <v/>
      </c>
      <c r="AE706">
        <f>IFERROR(INDEX(PP_Grid[#Data],$DE706,28),0)</f>
        <v/>
      </c>
      <c r="AF706">
        <f>IFERROR(INDEX(PP_Grid[#Data],$DE706,29),0)</f>
        <v/>
      </c>
      <c r="AG706">
        <f>IFERROR(INDEX(PP_Grid[#Data],$DE706,30),0)</f>
        <v/>
      </c>
      <c r="AH706">
        <f>IFERROR(INDEX(PP_Grid[#Data],$DE706,31),0)</f>
        <v/>
      </c>
      <c r="AI706">
        <f>IFERROR(INDEX(PP_Grid[#Data],$DE706,32),0)</f>
        <v/>
      </c>
      <c r="AJ706">
        <f>IFERROR(INDEX(PP_Grid[#Data],$DE706,33),0)</f>
        <v/>
      </c>
      <c r="AK706">
        <f>IFERROR(INDEX(PP_Grid[#Data],$DE706,34),0)</f>
        <v/>
      </c>
      <c r="AL706">
        <f>IFERROR(INDEX(PP_Grid[#Data],$DE706,35),0)</f>
        <v/>
      </c>
      <c r="AM706">
        <f>IFERROR(INDEX(PP_Grid[#Data],$DE706,36),0)</f>
        <v/>
      </c>
      <c r="AN706">
        <f>IFERROR(INDEX(PP_Grid[#Data],$DE706,37),0)</f>
        <v/>
      </c>
      <c r="AO706">
        <f>IFERROR(INDEX(PP_Grid[#Data],$DE706,38),0)</f>
        <v/>
      </c>
      <c r="AP706">
        <f>IFERROR(INDEX(PP_Grid[#Data],$DE706,39),0)</f>
        <v/>
      </c>
      <c r="AQ706">
        <f>IFERROR(INDEX(PP_Grid[#Data],$DE706,40),0)</f>
        <v/>
      </c>
      <c r="AR706">
        <f>IFERROR(INDEX(PP_Grid[#Data],$DE706,41),0)</f>
        <v/>
      </c>
      <c r="AS706">
        <f>IFERROR(INDEX(PP_Grid[#Data],$DE706,42),0)</f>
        <v/>
      </c>
      <c r="AT706">
        <f>IFERROR(INDEX(PP_Grid[#Data],$DE706,43),0)</f>
        <v/>
      </c>
      <c r="AU706">
        <f>IFERROR(INDEX(PP_Grid[#Data],$DE706,44),0)</f>
        <v/>
      </c>
      <c r="AV706">
        <f>IFERROR(INDEX(PP_Grid[#Data],$DE706,45),0)</f>
        <v/>
      </c>
      <c r="AW706">
        <f>IFERROR(INDEX(PP_Grid[#Data],$DE706,46),0)</f>
        <v/>
      </c>
      <c r="AX706">
        <f>IFERROR(INDEX(PP_Grid[#Data],$DE706,47),0)</f>
        <v/>
      </c>
      <c r="AY706">
        <f>IFERROR(INDEX(PP_Grid[#Data],$DE706,48),0)</f>
        <v/>
      </c>
      <c r="AZ706">
        <f>IFERROR(INDEX(PP_Grid[#Data],$DE706,49),0)</f>
        <v/>
      </c>
      <c r="BA706">
        <f>IFERROR(INDEX(PP_Grid[#Data],$DE706,50),0)</f>
        <v/>
      </c>
      <c r="BB706">
        <f>IFERROR(INDEX(PP_Grid[#Data],$DE706,51),0)</f>
        <v/>
      </c>
      <c r="BC706">
        <f>IFERROR(INDEX(PP_Grid[#Data],$DE706,52),0)</f>
        <v/>
      </c>
      <c r="BD706">
        <f>IFERROR(INDEX(PP_Grid[#Data],$DE706,53),0)</f>
        <v/>
      </c>
      <c r="BE706">
        <f>IFERROR(INDEX(PP_Grid[#Data],$DE706,54),0)</f>
        <v/>
      </c>
      <c r="BF706">
        <f>IFERROR(INDEX(PP_Grid[#Data],$DE706,55),0)</f>
        <v/>
      </c>
      <c r="BG706">
        <f>IFERROR(INDEX(PP_Grid[#Data],$DE706,56),0)</f>
        <v/>
      </c>
      <c r="BH706">
        <f>IFERROR(INDEX(PP_Grid[#Data],$DE706,57),0)</f>
        <v/>
      </c>
      <c r="BI706">
        <f>IFERROR(INDEX(PP_Grid[#Data],$DE706,58),0)</f>
        <v/>
      </c>
      <c r="BJ706">
        <f>IFERROR(INDEX(PP_Grid[#Data],$DE706,59),0)</f>
        <v/>
      </c>
      <c r="BK706">
        <f>IFERROR(INDEX(PP_Grid[#Data],$DE706,60),0)</f>
        <v/>
      </c>
      <c r="BL706">
        <f>IFERROR(INDEX(PP_Grid[#Data],$DE706,61),0)</f>
        <v/>
      </c>
      <c r="BM706">
        <f>IFERROR(INDEX(PP_Grid[#Data],$DE706,62),0)</f>
        <v/>
      </c>
      <c r="BN706">
        <f>IFERROR(INDEX(PP_Grid[#Data],$DE706,63),0)</f>
        <v/>
      </c>
      <c r="BO706">
        <f>IFERROR(INDEX(PP_Grid[#Data],$DE706,64),0)</f>
        <v/>
      </c>
      <c r="BP706">
        <f>IFERROR(INDEX(PP_Grid[#Data],$DE706,65),0)</f>
        <v/>
      </c>
      <c r="BQ706">
        <f>IFERROR(INDEX(PP_Grid[#Data],$DE706,66),0)</f>
        <v/>
      </c>
      <c r="BR706">
        <f>IFERROR(INDEX(PP_Grid[#Data],$DE706,67),0)</f>
        <v/>
      </c>
      <c r="BS706">
        <f>IFERROR(INDEX(PP_Grid[#Data],$DE706,68),0)</f>
        <v/>
      </c>
      <c r="BT706">
        <f>IFERROR(INDEX(PP_Grid[#Data],$DE706,69),0)</f>
        <v/>
      </c>
      <c r="BU706">
        <f>IFERROR(INDEX(PP_Grid[#Data],$DE706,70),0)</f>
        <v/>
      </c>
      <c r="BV706">
        <f>IFERROR(INDEX(PP_Grid[#Data],$DE706,71),0)</f>
        <v/>
      </c>
      <c r="BW706">
        <f>IFERROR(INDEX(PP_Grid[#Data],$DE706,72),0)</f>
        <v/>
      </c>
      <c r="BX706">
        <f>IFERROR(INDEX(PP_Grid[#Data],$DE706,73),0)</f>
        <v/>
      </c>
      <c r="BY706">
        <f>IFERROR(INDEX(PP_Grid[#Data],$DE706,74),0)</f>
        <v/>
      </c>
      <c r="BZ706">
        <f>IFERROR(INDEX(PP_Grid[#Data],$DE706,75),0)</f>
        <v/>
      </c>
      <c r="CA706">
        <f>IFERROR(INDEX(PP_Grid[#Data],$DE706,76),0)</f>
        <v/>
      </c>
      <c r="CB706">
        <f>IFERROR(INDEX(PP_Grid[#Data],$DE706,77),0)</f>
        <v/>
      </c>
      <c r="CC706">
        <f>IFERROR(INDEX(PP_Grid[#Data],$DE706,78),0)</f>
        <v/>
      </c>
      <c r="CD706">
        <f>IFERROR(INDEX(PP_Grid[#Data],$DE706,79),0)</f>
        <v/>
      </c>
      <c r="CE706">
        <f>IFERROR(INDEX(PP_Grid[#Data],$DE706,80),0)</f>
        <v/>
      </c>
      <c r="CF706">
        <f>IFERROR(INDEX(PP_Grid[#Data],$DE706,81),0)</f>
        <v/>
      </c>
      <c r="CG706">
        <f>IFERROR(INDEX(PP_Grid[#Data],$DE706,82),0)</f>
        <v/>
      </c>
      <c r="CH706">
        <f>IFERROR(INDEX(PP_Grid[#Data],$DE706,83),0)</f>
        <v/>
      </c>
      <c r="CI706">
        <f>IFERROR(INDEX(PP_Grid[#Data],$DE706,84),0)</f>
        <v/>
      </c>
      <c r="CJ706">
        <f>IFERROR(INDEX(PP_Grid[#Data],$DE706,85),0)</f>
        <v/>
      </c>
      <c r="CK706">
        <f>IFERROR(INDEX(PP_Grid[#Data],$DE706,86),0)</f>
        <v/>
      </c>
      <c r="CL706">
        <f>IFERROR(INDEX(PP_Grid[#Data],$DE706,87),0)</f>
        <v/>
      </c>
      <c r="CM706">
        <f>IFERROR(INDEX(PP_Grid[#Data],$DE706,88),0)</f>
        <v/>
      </c>
      <c r="CN706">
        <f>IFERROR(INDEX(PP_Grid[#Data],$DE706,89),0)</f>
        <v/>
      </c>
      <c r="CO706">
        <f>IFERROR(INDEX(PP_Grid[#Data],$DE706,90),0)</f>
        <v/>
      </c>
      <c r="CP706">
        <f>IFERROR(INDEX(PP_Grid[#Data],$DE706,91),0)</f>
        <v/>
      </c>
      <c r="CQ706">
        <f>IFERROR(INDEX(PP_Grid[#Data],$DE706,92),0)</f>
        <v/>
      </c>
      <c r="CR706">
        <f>IFERROR(INDEX(PP_Grid[#Data],$DE706,93),0)</f>
        <v/>
      </c>
      <c r="CS706">
        <f>IFERROR(INDEX(PP_Grid[#Data],$DE706,94),0)</f>
        <v/>
      </c>
      <c r="CT706">
        <f>IFERROR(INDEX(PP_Grid[#Data],$DE706,95),0)</f>
        <v/>
      </c>
      <c r="CU706">
        <f>IFERROR(INDEX(PP_Grid[#Data],$DE706,96),0)</f>
        <v/>
      </c>
      <c r="CV706">
        <f>IFERROR(INDEX(PP_Grid[#Data],$DE706,97),0)</f>
        <v/>
      </c>
      <c r="CW706">
        <f>IFERROR(INDEX(PP_Grid[#Data],$DE706,98),0)</f>
        <v/>
      </c>
      <c r="CX706">
        <f>IFERROR(INDEX(PP_Grid[#Data],$DE706,99),0)</f>
        <v/>
      </c>
      <c r="CY706">
        <f>IFERROR(INDEX(PP_Grid[#Data],$DE706,100),0)</f>
        <v/>
      </c>
      <c r="CZ706">
        <f>IFERROR(INDEX(PP_Grid[#Data],$DE706,101),0)</f>
        <v/>
      </c>
      <c r="DA706">
        <f>IFERROR(INDEX(PP_Grid[#Data],$DE706,102),0)</f>
        <v/>
      </c>
      <c r="DB706">
        <f>IFERROR(INDEX(PP_Grid[#Data],$DE706,103),0)</f>
        <v/>
      </c>
      <c r="DC706">
        <f>IFERROR(INDEX(PP_Grid[#Data],$DE706,104),0)</f>
        <v/>
      </c>
      <c r="DD706">
        <f>IFERROR(INDEX(PP_Grid[#Data],$DE706,105),0)</f>
        <v/>
      </c>
      <c r="DE706" s="7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SUMIFS(M_BOM[RM_Qty_Per_Batch],M_BOM[Intermediate],$B706,M_BOM[RM_Code],$A615)</f>
        <v/>
      </c>
      <c r="D707">
        <f>IFERROR(INDEX(E707:DD707,$F$1),"")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  <c r="DD707">
        <f>$C707*DD706</f>
        <v/>
      </c>
    </row>
    <row r="708">
      <c r="B708" t="inlineStr">
        <is>
          <t>VSP-910</t>
        </is>
      </c>
      <c r="C708" t="inlineStr">
        <is>
          <t>No. of batches</t>
        </is>
      </c>
      <c r="D708">
        <f>IFERROR(INDEX(E708:DD708,$F$1),"")</f>
        <v/>
      </c>
      <c r="E708">
        <f>IFERROR(INDEX(PP_Grid[#Data],$DE708,2),0)</f>
        <v/>
      </c>
      <c r="F708">
        <f>IFERROR(INDEX(PP_Grid[#Data],$DE708,3),0)</f>
        <v/>
      </c>
      <c r="G708">
        <f>IFERROR(INDEX(PP_Grid[#Data],$DE708,4),0)</f>
        <v/>
      </c>
      <c r="H708">
        <f>IFERROR(INDEX(PP_Grid[#Data],$DE708,5),0)</f>
        <v/>
      </c>
      <c r="I708">
        <f>IFERROR(INDEX(PP_Grid[#Data],$DE708,6),0)</f>
        <v/>
      </c>
      <c r="J708">
        <f>IFERROR(INDEX(PP_Grid[#Data],$DE708,7),0)</f>
        <v/>
      </c>
      <c r="K708">
        <f>IFERROR(INDEX(PP_Grid[#Data],$DE708,8),0)</f>
        <v/>
      </c>
      <c r="L708">
        <f>IFERROR(INDEX(PP_Grid[#Data],$DE708,9),0)</f>
        <v/>
      </c>
      <c r="M708">
        <f>IFERROR(INDEX(PP_Grid[#Data],$DE708,10),0)</f>
        <v/>
      </c>
      <c r="N708">
        <f>IFERROR(INDEX(PP_Grid[#Data],$DE708,11),0)</f>
        <v/>
      </c>
      <c r="O708">
        <f>IFERROR(INDEX(PP_Grid[#Data],$DE708,12),0)</f>
        <v/>
      </c>
      <c r="P708">
        <f>IFERROR(INDEX(PP_Grid[#Data],$DE708,13),0)</f>
        <v/>
      </c>
      <c r="Q708">
        <f>IFERROR(INDEX(PP_Grid[#Data],$DE708,14),0)</f>
        <v/>
      </c>
      <c r="R708">
        <f>IFERROR(INDEX(PP_Grid[#Data],$DE708,15),0)</f>
        <v/>
      </c>
      <c r="S708">
        <f>IFERROR(INDEX(PP_Grid[#Data],$DE708,16),0)</f>
        <v/>
      </c>
      <c r="T708">
        <f>IFERROR(INDEX(PP_Grid[#Data],$DE708,17),0)</f>
        <v/>
      </c>
      <c r="U708">
        <f>IFERROR(INDEX(PP_Grid[#Data],$DE708,18),0)</f>
        <v/>
      </c>
      <c r="V708">
        <f>IFERROR(INDEX(PP_Grid[#Data],$DE708,19),0)</f>
        <v/>
      </c>
      <c r="W708">
        <f>IFERROR(INDEX(PP_Grid[#Data],$DE708,20),0)</f>
        <v/>
      </c>
      <c r="X708">
        <f>IFERROR(INDEX(PP_Grid[#Data],$DE708,21),0)</f>
        <v/>
      </c>
      <c r="Y708">
        <f>IFERROR(INDEX(PP_Grid[#Data],$DE708,22),0)</f>
        <v/>
      </c>
      <c r="Z708">
        <f>IFERROR(INDEX(PP_Grid[#Data],$DE708,23),0)</f>
        <v/>
      </c>
      <c r="AA708">
        <f>IFERROR(INDEX(PP_Grid[#Data],$DE708,24),0)</f>
        <v/>
      </c>
      <c r="AB708">
        <f>IFERROR(INDEX(PP_Grid[#Data],$DE708,25),0)</f>
        <v/>
      </c>
      <c r="AC708">
        <f>IFERROR(INDEX(PP_Grid[#Data],$DE708,26),0)</f>
        <v/>
      </c>
      <c r="AD708">
        <f>IFERROR(INDEX(PP_Grid[#Data],$DE708,27),0)</f>
        <v/>
      </c>
      <c r="AE708">
        <f>IFERROR(INDEX(PP_Grid[#Data],$DE708,28),0)</f>
        <v/>
      </c>
      <c r="AF708">
        <f>IFERROR(INDEX(PP_Grid[#Data],$DE708,29),0)</f>
        <v/>
      </c>
      <c r="AG708">
        <f>IFERROR(INDEX(PP_Grid[#Data],$DE708,30),0)</f>
        <v/>
      </c>
      <c r="AH708">
        <f>IFERROR(INDEX(PP_Grid[#Data],$DE708,31),0)</f>
        <v/>
      </c>
      <c r="AI708">
        <f>IFERROR(INDEX(PP_Grid[#Data],$DE708,32),0)</f>
        <v/>
      </c>
      <c r="AJ708">
        <f>IFERROR(INDEX(PP_Grid[#Data],$DE708,33),0)</f>
        <v/>
      </c>
      <c r="AK708">
        <f>IFERROR(INDEX(PP_Grid[#Data],$DE708,34),0)</f>
        <v/>
      </c>
      <c r="AL708">
        <f>IFERROR(INDEX(PP_Grid[#Data],$DE708,35),0)</f>
        <v/>
      </c>
      <c r="AM708">
        <f>IFERROR(INDEX(PP_Grid[#Data],$DE708,36),0)</f>
        <v/>
      </c>
      <c r="AN708">
        <f>IFERROR(INDEX(PP_Grid[#Data],$DE708,37),0)</f>
        <v/>
      </c>
      <c r="AO708">
        <f>IFERROR(INDEX(PP_Grid[#Data],$DE708,38),0)</f>
        <v/>
      </c>
      <c r="AP708">
        <f>IFERROR(INDEX(PP_Grid[#Data],$DE708,39),0)</f>
        <v/>
      </c>
      <c r="AQ708">
        <f>IFERROR(INDEX(PP_Grid[#Data],$DE708,40),0)</f>
        <v/>
      </c>
      <c r="AR708">
        <f>IFERROR(INDEX(PP_Grid[#Data],$DE708,41),0)</f>
        <v/>
      </c>
      <c r="AS708">
        <f>IFERROR(INDEX(PP_Grid[#Data],$DE708,42),0)</f>
        <v/>
      </c>
      <c r="AT708">
        <f>IFERROR(INDEX(PP_Grid[#Data],$DE708,43),0)</f>
        <v/>
      </c>
      <c r="AU708">
        <f>IFERROR(INDEX(PP_Grid[#Data],$DE708,44),0)</f>
        <v/>
      </c>
      <c r="AV708">
        <f>IFERROR(INDEX(PP_Grid[#Data],$DE708,45),0)</f>
        <v/>
      </c>
      <c r="AW708">
        <f>IFERROR(INDEX(PP_Grid[#Data],$DE708,46),0)</f>
        <v/>
      </c>
      <c r="AX708">
        <f>IFERROR(INDEX(PP_Grid[#Data],$DE708,47),0)</f>
        <v/>
      </c>
      <c r="AY708">
        <f>IFERROR(INDEX(PP_Grid[#Data],$DE708,48),0)</f>
        <v/>
      </c>
      <c r="AZ708">
        <f>IFERROR(INDEX(PP_Grid[#Data],$DE708,49),0)</f>
        <v/>
      </c>
      <c r="BA708">
        <f>IFERROR(INDEX(PP_Grid[#Data],$DE708,50),0)</f>
        <v/>
      </c>
      <c r="BB708">
        <f>IFERROR(INDEX(PP_Grid[#Data],$DE708,51),0)</f>
        <v/>
      </c>
      <c r="BC708">
        <f>IFERROR(INDEX(PP_Grid[#Data],$DE708,52),0)</f>
        <v/>
      </c>
      <c r="BD708">
        <f>IFERROR(INDEX(PP_Grid[#Data],$DE708,53),0)</f>
        <v/>
      </c>
      <c r="BE708">
        <f>IFERROR(INDEX(PP_Grid[#Data],$DE708,54),0)</f>
        <v/>
      </c>
      <c r="BF708">
        <f>IFERROR(INDEX(PP_Grid[#Data],$DE708,55),0)</f>
        <v/>
      </c>
      <c r="BG708">
        <f>IFERROR(INDEX(PP_Grid[#Data],$DE708,56),0)</f>
        <v/>
      </c>
      <c r="BH708">
        <f>IFERROR(INDEX(PP_Grid[#Data],$DE708,57),0)</f>
        <v/>
      </c>
      <c r="BI708">
        <f>IFERROR(INDEX(PP_Grid[#Data],$DE708,58),0)</f>
        <v/>
      </c>
      <c r="BJ708">
        <f>IFERROR(INDEX(PP_Grid[#Data],$DE708,59),0)</f>
        <v/>
      </c>
      <c r="BK708">
        <f>IFERROR(INDEX(PP_Grid[#Data],$DE708,60),0)</f>
        <v/>
      </c>
      <c r="BL708">
        <f>IFERROR(INDEX(PP_Grid[#Data],$DE708,61),0)</f>
        <v/>
      </c>
      <c r="BM708">
        <f>IFERROR(INDEX(PP_Grid[#Data],$DE708,62),0)</f>
        <v/>
      </c>
      <c r="BN708">
        <f>IFERROR(INDEX(PP_Grid[#Data],$DE708,63),0)</f>
        <v/>
      </c>
      <c r="BO708">
        <f>IFERROR(INDEX(PP_Grid[#Data],$DE708,64),0)</f>
        <v/>
      </c>
      <c r="BP708">
        <f>IFERROR(INDEX(PP_Grid[#Data],$DE708,65),0)</f>
        <v/>
      </c>
      <c r="BQ708">
        <f>IFERROR(INDEX(PP_Grid[#Data],$DE708,66),0)</f>
        <v/>
      </c>
      <c r="BR708">
        <f>IFERROR(INDEX(PP_Grid[#Data],$DE708,67),0)</f>
        <v/>
      </c>
      <c r="BS708">
        <f>IFERROR(INDEX(PP_Grid[#Data],$DE708,68),0)</f>
        <v/>
      </c>
      <c r="BT708">
        <f>IFERROR(INDEX(PP_Grid[#Data],$DE708,69),0)</f>
        <v/>
      </c>
      <c r="BU708">
        <f>IFERROR(INDEX(PP_Grid[#Data],$DE708,70),0)</f>
        <v/>
      </c>
      <c r="BV708">
        <f>IFERROR(INDEX(PP_Grid[#Data],$DE708,71),0)</f>
        <v/>
      </c>
      <c r="BW708">
        <f>IFERROR(INDEX(PP_Grid[#Data],$DE708,72),0)</f>
        <v/>
      </c>
      <c r="BX708">
        <f>IFERROR(INDEX(PP_Grid[#Data],$DE708,73),0)</f>
        <v/>
      </c>
      <c r="BY708">
        <f>IFERROR(INDEX(PP_Grid[#Data],$DE708,74),0)</f>
        <v/>
      </c>
      <c r="BZ708">
        <f>IFERROR(INDEX(PP_Grid[#Data],$DE708,75),0)</f>
        <v/>
      </c>
      <c r="CA708">
        <f>IFERROR(INDEX(PP_Grid[#Data],$DE708,76),0)</f>
        <v/>
      </c>
      <c r="CB708">
        <f>IFERROR(INDEX(PP_Grid[#Data],$DE708,77),0)</f>
        <v/>
      </c>
      <c r="CC708">
        <f>IFERROR(INDEX(PP_Grid[#Data],$DE708,78),0)</f>
        <v/>
      </c>
      <c r="CD708">
        <f>IFERROR(INDEX(PP_Grid[#Data],$DE708,79),0)</f>
        <v/>
      </c>
      <c r="CE708">
        <f>IFERROR(INDEX(PP_Grid[#Data],$DE708,80),0)</f>
        <v/>
      </c>
      <c r="CF708">
        <f>IFERROR(INDEX(PP_Grid[#Data],$DE708,81),0)</f>
        <v/>
      </c>
      <c r="CG708">
        <f>IFERROR(INDEX(PP_Grid[#Data],$DE708,82),0)</f>
        <v/>
      </c>
      <c r="CH708">
        <f>IFERROR(INDEX(PP_Grid[#Data],$DE708,83),0)</f>
        <v/>
      </c>
      <c r="CI708">
        <f>IFERROR(INDEX(PP_Grid[#Data],$DE708,84),0)</f>
        <v/>
      </c>
      <c r="CJ708">
        <f>IFERROR(INDEX(PP_Grid[#Data],$DE708,85),0)</f>
        <v/>
      </c>
      <c r="CK708">
        <f>IFERROR(INDEX(PP_Grid[#Data],$DE708,86),0)</f>
        <v/>
      </c>
      <c r="CL708">
        <f>IFERROR(INDEX(PP_Grid[#Data],$DE708,87),0)</f>
        <v/>
      </c>
      <c r="CM708">
        <f>IFERROR(INDEX(PP_Grid[#Data],$DE708,88),0)</f>
        <v/>
      </c>
      <c r="CN708">
        <f>IFERROR(INDEX(PP_Grid[#Data],$DE708,89),0)</f>
        <v/>
      </c>
      <c r="CO708">
        <f>IFERROR(INDEX(PP_Grid[#Data],$DE708,90),0)</f>
        <v/>
      </c>
      <c r="CP708">
        <f>IFERROR(INDEX(PP_Grid[#Data],$DE708,91),0)</f>
        <v/>
      </c>
      <c r="CQ708">
        <f>IFERROR(INDEX(PP_Grid[#Data],$DE708,92),0)</f>
        <v/>
      </c>
      <c r="CR708">
        <f>IFERROR(INDEX(PP_Grid[#Data],$DE708,93),0)</f>
        <v/>
      </c>
      <c r="CS708">
        <f>IFERROR(INDEX(PP_Grid[#Data],$DE708,94),0)</f>
        <v/>
      </c>
      <c r="CT708">
        <f>IFERROR(INDEX(PP_Grid[#Data],$DE708,95),0)</f>
        <v/>
      </c>
      <c r="CU708">
        <f>IFERROR(INDEX(PP_Grid[#Data],$DE708,96),0)</f>
        <v/>
      </c>
      <c r="CV708">
        <f>IFERROR(INDEX(PP_Grid[#Data],$DE708,97),0)</f>
        <v/>
      </c>
      <c r="CW708">
        <f>IFERROR(INDEX(PP_Grid[#Data],$DE708,98),0)</f>
        <v/>
      </c>
      <c r="CX708">
        <f>IFERROR(INDEX(PP_Grid[#Data],$DE708,99),0)</f>
        <v/>
      </c>
      <c r="CY708">
        <f>IFERROR(INDEX(PP_Grid[#Data],$DE708,100),0)</f>
        <v/>
      </c>
      <c r="CZ708">
        <f>IFERROR(INDEX(PP_Grid[#Data],$DE708,101),0)</f>
        <v/>
      </c>
      <c r="DA708">
        <f>IFERROR(INDEX(PP_Grid[#Data],$DE708,102),0)</f>
        <v/>
      </c>
      <c r="DB708">
        <f>IFERROR(INDEX(PP_Grid[#Data],$DE708,103),0)</f>
        <v/>
      </c>
      <c r="DC708">
        <f>IFERROR(INDEX(PP_Grid[#Data],$DE708,104),0)</f>
        <v/>
      </c>
      <c r="DD708">
        <f>IFERROR(INDEX(PP_Grid[#Data],$DE708,105),0)</f>
        <v/>
      </c>
      <c r="DE708" s="7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SUMIFS(M_BOM[RM_Qty_Per_Batch],M_BOM[Intermediate],$B708,M_BOM[RM_Code],$A615)</f>
        <v/>
      </c>
      <c r="D709">
        <f>IFERROR(INDEX(E709:DD709,$F$1),"")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  <c r="DD709">
        <f>$C709*DD708</f>
        <v/>
      </c>
    </row>
    <row r="710">
      <c r="B710" t="inlineStr">
        <is>
          <t>VSP-989</t>
        </is>
      </c>
      <c r="C710" t="inlineStr">
        <is>
          <t>No. of batches</t>
        </is>
      </c>
      <c r="D710">
        <f>IFERROR(INDEX(E710:DD710,$F$1),"")</f>
        <v/>
      </c>
      <c r="E710">
        <f>IFERROR(INDEX(PP_Grid[#Data],$DE710,2),0)</f>
        <v/>
      </c>
      <c r="F710">
        <f>IFERROR(INDEX(PP_Grid[#Data],$DE710,3),0)</f>
        <v/>
      </c>
      <c r="G710">
        <f>IFERROR(INDEX(PP_Grid[#Data],$DE710,4),0)</f>
        <v/>
      </c>
      <c r="H710">
        <f>IFERROR(INDEX(PP_Grid[#Data],$DE710,5),0)</f>
        <v/>
      </c>
      <c r="I710">
        <f>IFERROR(INDEX(PP_Grid[#Data],$DE710,6),0)</f>
        <v/>
      </c>
      <c r="J710">
        <f>IFERROR(INDEX(PP_Grid[#Data],$DE710,7),0)</f>
        <v/>
      </c>
      <c r="K710">
        <f>IFERROR(INDEX(PP_Grid[#Data],$DE710,8),0)</f>
        <v/>
      </c>
      <c r="L710">
        <f>IFERROR(INDEX(PP_Grid[#Data],$DE710,9),0)</f>
        <v/>
      </c>
      <c r="M710">
        <f>IFERROR(INDEX(PP_Grid[#Data],$DE710,10),0)</f>
        <v/>
      </c>
      <c r="N710">
        <f>IFERROR(INDEX(PP_Grid[#Data],$DE710,11),0)</f>
        <v/>
      </c>
      <c r="O710">
        <f>IFERROR(INDEX(PP_Grid[#Data],$DE710,12),0)</f>
        <v/>
      </c>
      <c r="P710">
        <f>IFERROR(INDEX(PP_Grid[#Data],$DE710,13),0)</f>
        <v/>
      </c>
      <c r="Q710">
        <f>IFERROR(INDEX(PP_Grid[#Data],$DE710,14),0)</f>
        <v/>
      </c>
      <c r="R710">
        <f>IFERROR(INDEX(PP_Grid[#Data],$DE710,15),0)</f>
        <v/>
      </c>
      <c r="S710">
        <f>IFERROR(INDEX(PP_Grid[#Data],$DE710,16),0)</f>
        <v/>
      </c>
      <c r="T710">
        <f>IFERROR(INDEX(PP_Grid[#Data],$DE710,17),0)</f>
        <v/>
      </c>
      <c r="U710">
        <f>IFERROR(INDEX(PP_Grid[#Data],$DE710,18),0)</f>
        <v/>
      </c>
      <c r="V710">
        <f>IFERROR(INDEX(PP_Grid[#Data],$DE710,19),0)</f>
        <v/>
      </c>
      <c r="W710">
        <f>IFERROR(INDEX(PP_Grid[#Data],$DE710,20),0)</f>
        <v/>
      </c>
      <c r="X710">
        <f>IFERROR(INDEX(PP_Grid[#Data],$DE710,21),0)</f>
        <v/>
      </c>
      <c r="Y710">
        <f>IFERROR(INDEX(PP_Grid[#Data],$DE710,22),0)</f>
        <v/>
      </c>
      <c r="Z710">
        <f>IFERROR(INDEX(PP_Grid[#Data],$DE710,23),0)</f>
        <v/>
      </c>
      <c r="AA710">
        <f>IFERROR(INDEX(PP_Grid[#Data],$DE710,24),0)</f>
        <v/>
      </c>
      <c r="AB710">
        <f>IFERROR(INDEX(PP_Grid[#Data],$DE710,25),0)</f>
        <v/>
      </c>
      <c r="AC710">
        <f>IFERROR(INDEX(PP_Grid[#Data],$DE710,26),0)</f>
        <v/>
      </c>
      <c r="AD710">
        <f>IFERROR(INDEX(PP_Grid[#Data],$DE710,27),0)</f>
        <v/>
      </c>
      <c r="AE710">
        <f>IFERROR(INDEX(PP_Grid[#Data],$DE710,28),0)</f>
        <v/>
      </c>
      <c r="AF710">
        <f>IFERROR(INDEX(PP_Grid[#Data],$DE710,29),0)</f>
        <v/>
      </c>
      <c r="AG710">
        <f>IFERROR(INDEX(PP_Grid[#Data],$DE710,30),0)</f>
        <v/>
      </c>
      <c r="AH710">
        <f>IFERROR(INDEX(PP_Grid[#Data],$DE710,31),0)</f>
        <v/>
      </c>
      <c r="AI710">
        <f>IFERROR(INDEX(PP_Grid[#Data],$DE710,32),0)</f>
        <v/>
      </c>
      <c r="AJ710">
        <f>IFERROR(INDEX(PP_Grid[#Data],$DE710,33),0)</f>
        <v/>
      </c>
      <c r="AK710">
        <f>IFERROR(INDEX(PP_Grid[#Data],$DE710,34),0)</f>
        <v/>
      </c>
      <c r="AL710">
        <f>IFERROR(INDEX(PP_Grid[#Data],$DE710,35),0)</f>
        <v/>
      </c>
      <c r="AM710">
        <f>IFERROR(INDEX(PP_Grid[#Data],$DE710,36),0)</f>
        <v/>
      </c>
      <c r="AN710">
        <f>IFERROR(INDEX(PP_Grid[#Data],$DE710,37),0)</f>
        <v/>
      </c>
      <c r="AO710">
        <f>IFERROR(INDEX(PP_Grid[#Data],$DE710,38),0)</f>
        <v/>
      </c>
      <c r="AP710">
        <f>IFERROR(INDEX(PP_Grid[#Data],$DE710,39),0)</f>
        <v/>
      </c>
      <c r="AQ710">
        <f>IFERROR(INDEX(PP_Grid[#Data],$DE710,40),0)</f>
        <v/>
      </c>
      <c r="AR710">
        <f>IFERROR(INDEX(PP_Grid[#Data],$DE710,41),0)</f>
        <v/>
      </c>
      <c r="AS710">
        <f>IFERROR(INDEX(PP_Grid[#Data],$DE710,42),0)</f>
        <v/>
      </c>
      <c r="AT710">
        <f>IFERROR(INDEX(PP_Grid[#Data],$DE710,43),0)</f>
        <v/>
      </c>
      <c r="AU710">
        <f>IFERROR(INDEX(PP_Grid[#Data],$DE710,44),0)</f>
        <v/>
      </c>
      <c r="AV710">
        <f>IFERROR(INDEX(PP_Grid[#Data],$DE710,45),0)</f>
        <v/>
      </c>
      <c r="AW710">
        <f>IFERROR(INDEX(PP_Grid[#Data],$DE710,46),0)</f>
        <v/>
      </c>
      <c r="AX710">
        <f>IFERROR(INDEX(PP_Grid[#Data],$DE710,47),0)</f>
        <v/>
      </c>
      <c r="AY710">
        <f>IFERROR(INDEX(PP_Grid[#Data],$DE710,48),0)</f>
        <v/>
      </c>
      <c r="AZ710">
        <f>IFERROR(INDEX(PP_Grid[#Data],$DE710,49),0)</f>
        <v/>
      </c>
      <c r="BA710">
        <f>IFERROR(INDEX(PP_Grid[#Data],$DE710,50),0)</f>
        <v/>
      </c>
      <c r="BB710">
        <f>IFERROR(INDEX(PP_Grid[#Data],$DE710,51),0)</f>
        <v/>
      </c>
      <c r="BC710">
        <f>IFERROR(INDEX(PP_Grid[#Data],$DE710,52),0)</f>
        <v/>
      </c>
      <c r="BD710">
        <f>IFERROR(INDEX(PP_Grid[#Data],$DE710,53),0)</f>
        <v/>
      </c>
      <c r="BE710">
        <f>IFERROR(INDEX(PP_Grid[#Data],$DE710,54),0)</f>
        <v/>
      </c>
      <c r="BF710">
        <f>IFERROR(INDEX(PP_Grid[#Data],$DE710,55),0)</f>
        <v/>
      </c>
      <c r="BG710">
        <f>IFERROR(INDEX(PP_Grid[#Data],$DE710,56),0)</f>
        <v/>
      </c>
      <c r="BH710">
        <f>IFERROR(INDEX(PP_Grid[#Data],$DE710,57),0)</f>
        <v/>
      </c>
      <c r="BI710">
        <f>IFERROR(INDEX(PP_Grid[#Data],$DE710,58),0)</f>
        <v/>
      </c>
      <c r="BJ710">
        <f>IFERROR(INDEX(PP_Grid[#Data],$DE710,59),0)</f>
        <v/>
      </c>
      <c r="BK710">
        <f>IFERROR(INDEX(PP_Grid[#Data],$DE710,60),0)</f>
        <v/>
      </c>
      <c r="BL710">
        <f>IFERROR(INDEX(PP_Grid[#Data],$DE710,61),0)</f>
        <v/>
      </c>
      <c r="BM710">
        <f>IFERROR(INDEX(PP_Grid[#Data],$DE710,62),0)</f>
        <v/>
      </c>
      <c r="BN710">
        <f>IFERROR(INDEX(PP_Grid[#Data],$DE710,63),0)</f>
        <v/>
      </c>
      <c r="BO710">
        <f>IFERROR(INDEX(PP_Grid[#Data],$DE710,64),0)</f>
        <v/>
      </c>
      <c r="BP710">
        <f>IFERROR(INDEX(PP_Grid[#Data],$DE710,65),0)</f>
        <v/>
      </c>
      <c r="BQ710">
        <f>IFERROR(INDEX(PP_Grid[#Data],$DE710,66),0)</f>
        <v/>
      </c>
      <c r="BR710">
        <f>IFERROR(INDEX(PP_Grid[#Data],$DE710,67),0)</f>
        <v/>
      </c>
      <c r="BS710">
        <f>IFERROR(INDEX(PP_Grid[#Data],$DE710,68),0)</f>
        <v/>
      </c>
      <c r="BT710">
        <f>IFERROR(INDEX(PP_Grid[#Data],$DE710,69),0)</f>
        <v/>
      </c>
      <c r="BU710">
        <f>IFERROR(INDEX(PP_Grid[#Data],$DE710,70),0)</f>
        <v/>
      </c>
      <c r="BV710">
        <f>IFERROR(INDEX(PP_Grid[#Data],$DE710,71),0)</f>
        <v/>
      </c>
      <c r="BW710">
        <f>IFERROR(INDEX(PP_Grid[#Data],$DE710,72),0)</f>
        <v/>
      </c>
      <c r="BX710">
        <f>IFERROR(INDEX(PP_Grid[#Data],$DE710,73),0)</f>
        <v/>
      </c>
      <c r="BY710">
        <f>IFERROR(INDEX(PP_Grid[#Data],$DE710,74),0)</f>
        <v/>
      </c>
      <c r="BZ710">
        <f>IFERROR(INDEX(PP_Grid[#Data],$DE710,75),0)</f>
        <v/>
      </c>
      <c r="CA710">
        <f>IFERROR(INDEX(PP_Grid[#Data],$DE710,76),0)</f>
        <v/>
      </c>
      <c r="CB710">
        <f>IFERROR(INDEX(PP_Grid[#Data],$DE710,77),0)</f>
        <v/>
      </c>
      <c r="CC710">
        <f>IFERROR(INDEX(PP_Grid[#Data],$DE710,78),0)</f>
        <v/>
      </c>
      <c r="CD710">
        <f>IFERROR(INDEX(PP_Grid[#Data],$DE710,79),0)</f>
        <v/>
      </c>
      <c r="CE710">
        <f>IFERROR(INDEX(PP_Grid[#Data],$DE710,80),0)</f>
        <v/>
      </c>
      <c r="CF710">
        <f>IFERROR(INDEX(PP_Grid[#Data],$DE710,81),0)</f>
        <v/>
      </c>
      <c r="CG710">
        <f>IFERROR(INDEX(PP_Grid[#Data],$DE710,82),0)</f>
        <v/>
      </c>
      <c r="CH710">
        <f>IFERROR(INDEX(PP_Grid[#Data],$DE710,83),0)</f>
        <v/>
      </c>
      <c r="CI710">
        <f>IFERROR(INDEX(PP_Grid[#Data],$DE710,84),0)</f>
        <v/>
      </c>
      <c r="CJ710">
        <f>IFERROR(INDEX(PP_Grid[#Data],$DE710,85),0)</f>
        <v/>
      </c>
      <c r="CK710">
        <f>IFERROR(INDEX(PP_Grid[#Data],$DE710,86),0)</f>
        <v/>
      </c>
      <c r="CL710">
        <f>IFERROR(INDEX(PP_Grid[#Data],$DE710,87),0)</f>
        <v/>
      </c>
      <c r="CM710">
        <f>IFERROR(INDEX(PP_Grid[#Data],$DE710,88),0)</f>
        <v/>
      </c>
      <c r="CN710">
        <f>IFERROR(INDEX(PP_Grid[#Data],$DE710,89),0)</f>
        <v/>
      </c>
      <c r="CO710">
        <f>IFERROR(INDEX(PP_Grid[#Data],$DE710,90),0)</f>
        <v/>
      </c>
      <c r="CP710">
        <f>IFERROR(INDEX(PP_Grid[#Data],$DE710,91),0)</f>
        <v/>
      </c>
      <c r="CQ710">
        <f>IFERROR(INDEX(PP_Grid[#Data],$DE710,92),0)</f>
        <v/>
      </c>
      <c r="CR710">
        <f>IFERROR(INDEX(PP_Grid[#Data],$DE710,93),0)</f>
        <v/>
      </c>
      <c r="CS710">
        <f>IFERROR(INDEX(PP_Grid[#Data],$DE710,94),0)</f>
        <v/>
      </c>
      <c r="CT710">
        <f>IFERROR(INDEX(PP_Grid[#Data],$DE710,95),0)</f>
        <v/>
      </c>
      <c r="CU710">
        <f>IFERROR(INDEX(PP_Grid[#Data],$DE710,96),0)</f>
        <v/>
      </c>
      <c r="CV710">
        <f>IFERROR(INDEX(PP_Grid[#Data],$DE710,97),0)</f>
        <v/>
      </c>
      <c r="CW710">
        <f>IFERROR(INDEX(PP_Grid[#Data],$DE710,98),0)</f>
        <v/>
      </c>
      <c r="CX710">
        <f>IFERROR(INDEX(PP_Grid[#Data],$DE710,99),0)</f>
        <v/>
      </c>
      <c r="CY710">
        <f>IFERROR(INDEX(PP_Grid[#Data],$DE710,100),0)</f>
        <v/>
      </c>
      <c r="CZ710">
        <f>IFERROR(INDEX(PP_Grid[#Data],$DE710,101),0)</f>
        <v/>
      </c>
      <c r="DA710">
        <f>IFERROR(INDEX(PP_Grid[#Data],$DE710,102),0)</f>
        <v/>
      </c>
      <c r="DB710">
        <f>IFERROR(INDEX(PP_Grid[#Data],$DE710,103),0)</f>
        <v/>
      </c>
      <c r="DC710">
        <f>IFERROR(INDEX(PP_Grid[#Data],$DE710,104),0)</f>
        <v/>
      </c>
      <c r="DD710">
        <f>IFERROR(INDEX(PP_Grid[#Data],$DE710,105),0)</f>
        <v/>
      </c>
      <c r="DE710" s="7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SUMIFS(M_BOM[RM_Qty_Per_Batch],M_BOM[Intermediate],$B710,M_BOM[RM_Code],$A615)</f>
        <v/>
      </c>
      <c r="D711">
        <f>IFERROR(INDEX(E711:DD711,$F$1),"")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  <c r="DD711">
        <f>$C711*DD710</f>
        <v/>
      </c>
    </row>
    <row r="712">
      <c r="B712" t="inlineStr">
        <is>
          <t>VSP-990</t>
        </is>
      </c>
      <c r="C712" t="inlineStr">
        <is>
          <t>No. of batches</t>
        </is>
      </c>
      <c r="D712">
        <f>IFERROR(INDEX(E712:DD712,$F$1),"")</f>
        <v/>
      </c>
      <c r="E712">
        <f>IFERROR(INDEX(PP_Grid[#Data],$DE712,2),0)</f>
        <v/>
      </c>
      <c r="F712">
        <f>IFERROR(INDEX(PP_Grid[#Data],$DE712,3),0)</f>
        <v/>
      </c>
      <c r="G712">
        <f>IFERROR(INDEX(PP_Grid[#Data],$DE712,4),0)</f>
        <v/>
      </c>
      <c r="H712">
        <f>IFERROR(INDEX(PP_Grid[#Data],$DE712,5),0)</f>
        <v/>
      </c>
      <c r="I712">
        <f>IFERROR(INDEX(PP_Grid[#Data],$DE712,6),0)</f>
        <v/>
      </c>
      <c r="J712">
        <f>IFERROR(INDEX(PP_Grid[#Data],$DE712,7),0)</f>
        <v/>
      </c>
      <c r="K712">
        <f>IFERROR(INDEX(PP_Grid[#Data],$DE712,8),0)</f>
        <v/>
      </c>
      <c r="L712">
        <f>IFERROR(INDEX(PP_Grid[#Data],$DE712,9),0)</f>
        <v/>
      </c>
      <c r="M712">
        <f>IFERROR(INDEX(PP_Grid[#Data],$DE712,10),0)</f>
        <v/>
      </c>
      <c r="N712">
        <f>IFERROR(INDEX(PP_Grid[#Data],$DE712,11),0)</f>
        <v/>
      </c>
      <c r="O712">
        <f>IFERROR(INDEX(PP_Grid[#Data],$DE712,12),0)</f>
        <v/>
      </c>
      <c r="P712">
        <f>IFERROR(INDEX(PP_Grid[#Data],$DE712,13),0)</f>
        <v/>
      </c>
      <c r="Q712">
        <f>IFERROR(INDEX(PP_Grid[#Data],$DE712,14),0)</f>
        <v/>
      </c>
      <c r="R712">
        <f>IFERROR(INDEX(PP_Grid[#Data],$DE712,15),0)</f>
        <v/>
      </c>
      <c r="S712">
        <f>IFERROR(INDEX(PP_Grid[#Data],$DE712,16),0)</f>
        <v/>
      </c>
      <c r="T712">
        <f>IFERROR(INDEX(PP_Grid[#Data],$DE712,17),0)</f>
        <v/>
      </c>
      <c r="U712">
        <f>IFERROR(INDEX(PP_Grid[#Data],$DE712,18),0)</f>
        <v/>
      </c>
      <c r="V712">
        <f>IFERROR(INDEX(PP_Grid[#Data],$DE712,19),0)</f>
        <v/>
      </c>
      <c r="W712">
        <f>IFERROR(INDEX(PP_Grid[#Data],$DE712,20),0)</f>
        <v/>
      </c>
      <c r="X712">
        <f>IFERROR(INDEX(PP_Grid[#Data],$DE712,21),0)</f>
        <v/>
      </c>
      <c r="Y712">
        <f>IFERROR(INDEX(PP_Grid[#Data],$DE712,22),0)</f>
        <v/>
      </c>
      <c r="Z712">
        <f>IFERROR(INDEX(PP_Grid[#Data],$DE712,23),0)</f>
        <v/>
      </c>
      <c r="AA712">
        <f>IFERROR(INDEX(PP_Grid[#Data],$DE712,24),0)</f>
        <v/>
      </c>
      <c r="AB712">
        <f>IFERROR(INDEX(PP_Grid[#Data],$DE712,25),0)</f>
        <v/>
      </c>
      <c r="AC712">
        <f>IFERROR(INDEX(PP_Grid[#Data],$DE712,26),0)</f>
        <v/>
      </c>
      <c r="AD712">
        <f>IFERROR(INDEX(PP_Grid[#Data],$DE712,27),0)</f>
        <v/>
      </c>
      <c r="AE712">
        <f>IFERROR(INDEX(PP_Grid[#Data],$DE712,28),0)</f>
        <v/>
      </c>
      <c r="AF712">
        <f>IFERROR(INDEX(PP_Grid[#Data],$DE712,29),0)</f>
        <v/>
      </c>
      <c r="AG712">
        <f>IFERROR(INDEX(PP_Grid[#Data],$DE712,30),0)</f>
        <v/>
      </c>
      <c r="AH712">
        <f>IFERROR(INDEX(PP_Grid[#Data],$DE712,31),0)</f>
        <v/>
      </c>
      <c r="AI712">
        <f>IFERROR(INDEX(PP_Grid[#Data],$DE712,32),0)</f>
        <v/>
      </c>
      <c r="AJ712">
        <f>IFERROR(INDEX(PP_Grid[#Data],$DE712,33),0)</f>
        <v/>
      </c>
      <c r="AK712">
        <f>IFERROR(INDEX(PP_Grid[#Data],$DE712,34),0)</f>
        <v/>
      </c>
      <c r="AL712">
        <f>IFERROR(INDEX(PP_Grid[#Data],$DE712,35),0)</f>
        <v/>
      </c>
      <c r="AM712">
        <f>IFERROR(INDEX(PP_Grid[#Data],$DE712,36),0)</f>
        <v/>
      </c>
      <c r="AN712">
        <f>IFERROR(INDEX(PP_Grid[#Data],$DE712,37),0)</f>
        <v/>
      </c>
      <c r="AO712">
        <f>IFERROR(INDEX(PP_Grid[#Data],$DE712,38),0)</f>
        <v/>
      </c>
      <c r="AP712">
        <f>IFERROR(INDEX(PP_Grid[#Data],$DE712,39),0)</f>
        <v/>
      </c>
      <c r="AQ712">
        <f>IFERROR(INDEX(PP_Grid[#Data],$DE712,40),0)</f>
        <v/>
      </c>
      <c r="AR712">
        <f>IFERROR(INDEX(PP_Grid[#Data],$DE712,41),0)</f>
        <v/>
      </c>
      <c r="AS712">
        <f>IFERROR(INDEX(PP_Grid[#Data],$DE712,42),0)</f>
        <v/>
      </c>
      <c r="AT712">
        <f>IFERROR(INDEX(PP_Grid[#Data],$DE712,43),0)</f>
        <v/>
      </c>
      <c r="AU712">
        <f>IFERROR(INDEX(PP_Grid[#Data],$DE712,44),0)</f>
        <v/>
      </c>
      <c r="AV712">
        <f>IFERROR(INDEX(PP_Grid[#Data],$DE712,45),0)</f>
        <v/>
      </c>
      <c r="AW712">
        <f>IFERROR(INDEX(PP_Grid[#Data],$DE712,46),0)</f>
        <v/>
      </c>
      <c r="AX712">
        <f>IFERROR(INDEX(PP_Grid[#Data],$DE712,47),0)</f>
        <v/>
      </c>
      <c r="AY712">
        <f>IFERROR(INDEX(PP_Grid[#Data],$DE712,48),0)</f>
        <v/>
      </c>
      <c r="AZ712">
        <f>IFERROR(INDEX(PP_Grid[#Data],$DE712,49),0)</f>
        <v/>
      </c>
      <c r="BA712">
        <f>IFERROR(INDEX(PP_Grid[#Data],$DE712,50),0)</f>
        <v/>
      </c>
      <c r="BB712">
        <f>IFERROR(INDEX(PP_Grid[#Data],$DE712,51),0)</f>
        <v/>
      </c>
      <c r="BC712">
        <f>IFERROR(INDEX(PP_Grid[#Data],$DE712,52),0)</f>
        <v/>
      </c>
      <c r="BD712">
        <f>IFERROR(INDEX(PP_Grid[#Data],$DE712,53),0)</f>
        <v/>
      </c>
      <c r="BE712">
        <f>IFERROR(INDEX(PP_Grid[#Data],$DE712,54),0)</f>
        <v/>
      </c>
      <c r="BF712">
        <f>IFERROR(INDEX(PP_Grid[#Data],$DE712,55),0)</f>
        <v/>
      </c>
      <c r="BG712">
        <f>IFERROR(INDEX(PP_Grid[#Data],$DE712,56),0)</f>
        <v/>
      </c>
      <c r="BH712">
        <f>IFERROR(INDEX(PP_Grid[#Data],$DE712,57),0)</f>
        <v/>
      </c>
      <c r="BI712">
        <f>IFERROR(INDEX(PP_Grid[#Data],$DE712,58),0)</f>
        <v/>
      </c>
      <c r="BJ712">
        <f>IFERROR(INDEX(PP_Grid[#Data],$DE712,59),0)</f>
        <v/>
      </c>
      <c r="BK712">
        <f>IFERROR(INDEX(PP_Grid[#Data],$DE712,60),0)</f>
        <v/>
      </c>
      <c r="BL712">
        <f>IFERROR(INDEX(PP_Grid[#Data],$DE712,61),0)</f>
        <v/>
      </c>
      <c r="BM712">
        <f>IFERROR(INDEX(PP_Grid[#Data],$DE712,62),0)</f>
        <v/>
      </c>
      <c r="BN712">
        <f>IFERROR(INDEX(PP_Grid[#Data],$DE712,63),0)</f>
        <v/>
      </c>
      <c r="BO712">
        <f>IFERROR(INDEX(PP_Grid[#Data],$DE712,64),0)</f>
        <v/>
      </c>
      <c r="BP712">
        <f>IFERROR(INDEX(PP_Grid[#Data],$DE712,65),0)</f>
        <v/>
      </c>
      <c r="BQ712">
        <f>IFERROR(INDEX(PP_Grid[#Data],$DE712,66),0)</f>
        <v/>
      </c>
      <c r="BR712">
        <f>IFERROR(INDEX(PP_Grid[#Data],$DE712,67),0)</f>
        <v/>
      </c>
      <c r="BS712">
        <f>IFERROR(INDEX(PP_Grid[#Data],$DE712,68),0)</f>
        <v/>
      </c>
      <c r="BT712">
        <f>IFERROR(INDEX(PP_Grid[#Data],$DE712,69),0)</f>
        <v/>
      </c>
      <c r="BU712">
        <f>IFERROR(INDEX(PP_Grid[#Data],$DE712,70),0)</f>
        <v/>
      </c>
      <c r="BV712">
        <f>IFERROR(INDEX(PP_Grid[#Data],$DE712,71),0)</f>
        <v/>
      </c>
      <c r="BW712">
        <f>IFERROR(INDEX(PP_Grid[#Data],$DE712,72),0)</f>
        <v/>
      </c>
      <c r="BX712">
        <f>IFERROR(INDEX(PP_Grid[#Data],$DE712,73),0)</f>
        <v/>
      </c>
      <c r="BY712">
        <f>IFERROR(INDEX(PP_Grid[#Data],$DE712,74),0)</f>
        <v/>
      </c>
      <c r="BZ712">
        <f>IFERROR(INDEX(PP_Grid[#Data],$DE712,75),0)</f>
        <v/>
      </c>
      <c r="CA712">
        <f>IFERROR(INDEX(PP_Grid[#Data],$DE712,76),0)</f>
        <v/>
      </c>
      <c r="CB712">
        <f>IFERROR(INDEX(PP_Grid[#Data],$DE712,77),0)</f>
        <v/>
      </c>
      <c r="CC712">
        <f>IFERROR(INDEX(PP_Grid[#Data],$DE712,78),0)</f>
        <v/>
      </c>
      <c r="CD712">
        <f>IFERROR(INDEX(PP_Grid[#Data],$DE712,79),0)</f>
        <v/>
      </c>
      <c r="CE712">
        <f>IFERROR(INDEX(PP_Grid[#Data],$DE712,80),0)</f>
        <v/>
      </c>
      <c r="CF712">
        <f>IFERROR(INDEX(PP_Grid[#Data],$DE712,81),0)</f>
        <v/>
      </c>
      <c r="CG712">
        <f>IFERROR(INDEX(PP_Grid[#Data],$DE712,82),0)</f>
        <v/>
      </c>
      <c r="CH712">
        <f>IFERROR(INDEX(PP_Grid[#Data],$DE712,83),0)</f>
        <v/>
      </c>
      <c r="CI712">
        <f>IFERROR(INDEX(PP_Grid[#Data],$DE712,84),0)</f>
        <v/>
      </c>
      <c r="CJ712">
        <f>IFERROR(INDEX(PP_Grid[#Data],$DE712,85),0)</f>
        <v/>
      </c>
      <c r="CK712">
        <f>IFERROR(INDEX(PP_Grid[#Data],$DE712,86),0)</f>
        <v/>
      </c>
      <c r="CL712">
        <f>IFERROR(INDEX(PP_Grid[#Data],$DE712,87),0)</f>
        <v/>
      </c>
      <c r="CM712">
        <f>IFERROR(INDEX(PP_Grid[#Data],$DE712,88),0)</f>
        <v/>
      </c>
      <c r="CN712">
        <f>IFERROR(INDEX(PP_Grid[#Data],$DE712,89),0)</f>
        <v/>
      </c>
      <c r="CO712">
        <f>IFERROR(INDEX(PP_Grid[#Data],$DE712,90),0)</f>
        <v/>
      </c>
      <c r="CP712">
        <f>IFERROR(INDEX(PP_Grid[#Data],$DE712,91),0)</f>
        <v/>
      </c>
      <c r="CQ712">
        <f>IFERROR(INDEX(PP_Grid[#Data],$DE712,92),0)</f>
        <v/>
      </c>
      <c r="CR712">
        <f>IFERROR(INDEX(PP_Grid[#Data],$DE712,93),0)</f>
        <v/>
      </c>
      <c r="CS712">
        <f>IFERROR(INDEX(PP_Grid[#Data],$DE712,94),0)</f>
        <v/>
      </c>
      <c r="CT712">
        <f>IFERROR(INDEX(PP_Grid[#Data],$DE712,95),0)</f>
        <v/>
      </c>
      <c r="CU712">
        <f>IFERROR(INDEX(PP_Grid[#Data],$DE712,96),0)</f>
        <v/>
      </c>
      <c r="CV712">
        <f>IFERROR(INDEX(PP_Grid[#Data],$DE712,97),0)</f>
        <v/>
      </c>
      <c r="CW712">
        <f>IFERROR(INDEX(PP_Grid[#Data],$DE712,98),0)</f>
        <v/>
      </c>
      <c r="CX712">
        <f>IFERROR(INDEX(PP_Grid[#Data],$DE712,99),0)</f>
        <v/>
      </c>
      <c r="CY712">
        <f>IFERROR(INDEX(PP_Grid[#Data],$DE712,100),0)</f>
        <v/>
      </c>
      <c r="CZ712">
        <f>IFERROR(INDEX(PP_Grid[#Data],$DE712,101),0)</f>
        <v/>
      </c>
      <c r="DA712">
        <f>IFERROR(INDEX(PP_Grid[#Data],$DE712,102),0)</f>
        <v/>
      </c>
      <c r="DB712">
        <f>IFERROR(INDEX(PP_Grid[#Data],$DE712,103),0)</f>
        <v/>
      </c>
      <c r="DC712">
        <f>IFERROR(INDEX(PP_Grid[#Data],$DE712,104),0)</f>
        <v/>
      </c>
      <c r="DD712">
        <f>IFERROR(INDEX(PP_Grid[#Data],$DE712,105),0)</f>
        <v/>
      </c>
      <c r="DE712" s="7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SUMIFS(M_BOM[RM_Qty_Per_Batch],M_BOM[Intermediate],$B712,M_BOM[RM_Code],$A615)</f>
        <v/>
      </c>
      <c r="D713">
        <f>IFERROR(INDEX(E713:DD713,$F$1),"")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  <c r="DD713">
        <f>$C713*DD712</f>
        <v/>
      </c>
    </row>
    <row r="714">
      <c r="B714" t="inlineStr">
        <is>
          <t>VSZ-745</t>
        </is>
      </c>
      <c r="C714" t="inlineStr">
        <is>
          <t>No. of batches</t>
        </is>
      </c>
      <c r="D714">
        <f>IFERROR(INDEX(E714:DD714,$F$1),"")</f>
        <v/>
      </c>
      <c r="E714">
        <f>IFERROR(INDEX(PP_Grid[#Data],$DE714,2),0)</f>
        <v/>
      </c>
      <c r="F714">
        <f>IFERROR(INDEX(PP_Grid[#Data],$DE714,3),0)</f>
        <v/>
      </c>
      <c r="G714">
        <f>IFERROR(INDEX(PP_Grid[#Data],$DE714,4),0)</f>
        <v/>
      </c>
      <c r="H714">
        <f>IFERROR(INDEX(PP_Grid[#Data],$DE714,5),0)</f>
        <v/>
      </c>
      <c r="I714">
        <f>IFERROR(INDEX(PP_Grid[#Data],$DE714,6),0)</f>
        <v/>
      </c>
      <c r="J714">
        <f>IFERROR(INDEX(PP_Grid[#Data],$DE714,7),0)</f>
        <v/>
      </c>
      <c r="K714">
        <f>IFERROR(INDEX(PP_Grid[#Data],$DE714,8),0)</f>
        <v/>
      </c>
      <c r="L714">
        <f>IFERROR(INDEX(PP_Grid[#Data],$DE714,9),0)</f>
        <v/>
      </c>
      <c r="M714">
        <f>IFERROR(INDEX(PP_Grid[#Data],$DE714,10),0)</f>
        <v/>
      </c>
      <c r="N714">
        <f>IFERROR(INDEX(PP_Grid[#Data],$DE714,11),0)</f>
        <v/>
      </c>
      <c r="O714">
        <f>IFERROR(INDEX(PP_Grid[#Data],$DE714,12),0)</f>
        <v/>
      </c>
      <c r="P714">
        <f>IFERROR(INDEX(PP_Grid[#Data],$DE714,13),0)</f>
        <v/>
      </c>
      <c r="Q714">
        <f>IFERROR(INDEX(PP_Grid[#Data],$DE714,14),0)</f>
        <v/>
      </c>
      <c r="R714">
        <f>IFERROR(INDEX(PP_Grid[#Data],$DE714,15),0)</f>
        <v/>
      </c>
      <c r="S714">
        <f>IFERROR(INDEX(PP_Grid[#Data],$DE714,16),0)</f>
        <v/>
      </c>
      <c r="T714">
        <f>IFERROR(INDEX(PP_Grid[#Data],$DE714,17),0)</f>
        <v/>
      </c>
      <c r="U714">
        <f>IFERROR(INDEX(PP_Grid[#Data],$DE714,18),0)</f>
        <v/>
      </c>
      <c r="V714">
        <f>IFERROR(INDEX(PP_Grid[#Data],$DE714,19),0)</f>
        <v/>
      </c>
      <c r="W714">
        <f>IFERROR(INDEX(PP_Grid[#Data],$DE714,20),0)</f>
        <v/>
      </c>
      <c r="X714">
        <f>IFERROR(INDEX(PP_Grid[#Data],$DE714,21),0)</f>
        <v/>
      </c>
      <c r="Y714">
        <f>IFERROR(INDEX(PP_Grid[#Data],$DE714,22),0)</f>
        <v/>
      </c>
      <c r="Z714">
        <f>IFERROR(INDEX(PP_Grid[#Data],$DE714,23),0)</f>
        <v/>
      </c>
      <c r="AA714">
        <f>IFERROR(INDEX(PP_Grid[#Data],$DE714,24),0)</f>
        <v/>
      </c>
      <c r="AB714">
        <f>IFERROR(INDEX(PP_Grid[#Data],$DE714,25),0)</f>
        <v/>
      </c>
      <c r="AC714">
        <f>IFERROR(INDEX(PP_Grid[#Data],$DE714,26),0)</f>
        <v/>
      </c>
      <c r="AD714">
        <f>IFERROR(INDEX(PP_Grid[#Data],$DE714,27),0)</f>
        <v/>
      </c>
      <c r="AE714">
        <f>IFERROR(INDEX(PP_Grid[#Data],$DE714,28),0)</f>
        <v/>
      </c>
      <c r="AF714">
        <f>IFERROR(INDEX(PP_Grid[#Data],$DE714,29),0)</f>
        <v/>
      </c>
      <c r="AG714">
        <f>IFERROR(INDEX(PP_Grid[#Data],$DE714,30),0)</f>
        <v/>
      </c>
      <c r="AH714">
        <f>IFERROR(INDEX(PP_Grid[#Data],$DE714,31),0)</f>
        <v/>
      </c>
      <c r="AI714">
        <f>IFERROR(INDEX(PP_Grid[#Data],$DE714,32),0)</f>
        <v/>
      </c>
      <c r="AJ714">
        <f>IFERROR(INDEX(PP_Grid[#Data],$DE714,33),0)</f>
        <v/>
      </c>
      <c r="AK714">
        <f>IFERROR(INDEX(PP_Grid[#Data],$DE714,34),0)</f>
        <v/>
      </c>
      <c r="AL714">
        <f>IFERROR(INDEX(PP_Grid[#Data],$DE714,35),0)</f>
        <v/>
      </c>
      <c r="AM714">
        <f>IFERROR(INDEX(PP_Grid[#Data],$DE714,36),0)</f>
        <v/>
      </c>
      <c r="AN714">
        <f>IFERROR(INDEX(PP_Grid[#Data],$DE714,37),0)</f>
        <v/>
      </c>
      <c r="AO714">
        <f>IFERROR(INDEX(PP_Grid[#Data],$DE714,38),0)</f>
        <v/>
      </c>
      <c r="AP714">
        <f>IFERROR(INDEX(PP_Grid[#Data],$DE714,39),0)</f>
        <v/>
      </c>
      <c r="AQ714">
        <f>IFERROR(INDEX(PP_Grid[#Data],$DE714,40),0)</f>
        <v/>
      </c>
      <c r="AR714">
        <f>IFERROR(INDEX(PP_Grid[#Data],$DE714,41),0)</f>
        <v/>
      </c>
      <c r="AS714">
        <f>IFERROR(INDEX(PP_Grid[#Data],$DE714,42),0)</f>
        <v/>
      </c>
      <c r="AT714">
        <f>IFERROR(INDEX(PP_Grid[#Data],$DE714,43),0)</f>
        <v/>
      </c>
      <c r="AU714">
        <f>IFERROR(INDEX(PP_Grid[#Data],$DE714,44),0)</f>
        <v/>
      </c>
      <c r="AV714">
        <f>IFERROR(INDEX(PP_Grid[#Data],$DE714,45),0)</f>
        <v/>
      </c>
      <c r="AW714">
        <f>IFERROR(INDEX(PP_Grid[#Data],$DE714,46),0)</f>
        <v/>
      </c>
      <c r="AX714">
        <f>IFERROR(INDEX(PP_Grid[#Data],$DE714,47),0)</f>
        <v/>
      </c>
      <c r="AY714">
        <f>IFERROR(INDEX(PP_Grid[#Data],$DE714,48),0)</f>
        <v/>
      </c>
      <c r="AZ714">
        <f>IFERROR(INDEX(PP_Grid[#Data],$DE714,49),0)</f>
        <v/>
      </c>
      <c r="BA714">
        <f>IFERROR(INDEX(PP_Grid[#Data],$DE714,50),0)</f>
        <v/>
      </c>
      <c r="BB714">
        <f>IFERROR(INDEX(PP_Grid[#Data],$DE714,51),0)</f>
        <v/>
      </c>
      <c r="BC714">
        <f>IFERROR(INDEX(PP_Grid[#Data],$DE714,52),0)</f>
        <v/>
      </c>
      <c r="BD714">
        <f>IFERROR(INDEX(PP_Grid[#Data],$DE714,53),0)</f>
        <v/>
      </c>
      <c r="BE714">
        <f>IFERROR(INDEX(PP_Grid[#Data],$DE714,54),0)</f>
        <v/>
      </c>
      <c r="BF714">
        <f>IFERROR(INDEX(PP_Grid[#Data],$DE714,55),0)</f>
        <v/>
      </c>
      <c r="BG714">
        <f>IFERROR(INDEX(PP_Grid[#Data],$DE714,56),0)</f>
        <v/>
      </c>
      <c r="BH714">
        <f>IFERROR(INDEX(PP_Grid[#Data],$DE714,57),0)</f>
        <v/>
      </c>
      <c r="BI714">
        <f>IFERROR(INDEX(PP_Grid[#Data],$DE714,58),0)</f>
        <v/>
      </c>
      <c r="BJ714">
        <f>IFERROR(INDEX(PP_Grid[#Data],$DE714,59),0)</f>
        <v/>
      </c>
      <c r="BK714">
        <f>IFERROR(INDEX(PP_Grid[#Data],$DE714,60),0)</f>
        <v/>
      </c>
      <c r="BL714">
        <f>IFERROR(INDEX(PP_Grid[#Data],$DE714,61),0)</f>
        <v/>
      </c>
      <c r="BM714">
        <f>IFERROR(INDEX(PP_Grid[#Data],$DE714,62),0)</f>
        <v/>
      </c>
      <c r="BN714">
        <f>IFERROR(INDEX(PP_Grid[#Data],$DE714,63),0)</f>
        <v/>
      </c>
      <c r="BO714">
        <f>IFERROR(INDEX(PP_Grid[#Data],$DE714,64),0)</f>
        <v/>
      </c>
      <c r="BP714">
        <f>IFERROR(INDEX(PP_Grid[#Data],$DE714,65),0)</f>
        <v/>
      </c>
      <c r="BQ714">
        <f>IFERROR(INDEX(PP_Grid[#Data],$DE714,66),0)</f>
        <v/>
      </c>
      <c r="BR714">
        <f>IFERROR(INDEX(PP_Grid[#Data],$DE714,67),0)</f>
        <v/>
      </c>
      <c r="BS714">
        <f>IFERROR(INDEX(PP_Grid[#Data],$DE714,68),0)</f>
        <v/>
      </c>
      <c r="BT714">
        <f>IFERROR(INDEX(PP_Grid[#Data],$DE714,69),0)</f>
        <v/>
      </c>
      <c r="BU714">
        <f>IFERROR(INDEX(PP_Grid[#Data],$DE714,70),0)</f>
        <v/>
      </c>
      <c r="BV714">
        <f>IFERROR(INDEX(PP_Grid[#Data],$DE714,71),0)</f>
        <v/>
      </c>
      <c r="BW714">
        <f>IFERROR(INDEX(PP_Grid[#Data],$DE714,72),0)</f>
        <v/>
      </c>
      <c r="BX714">
        <f>IFERROR(INDEX(PP_Grid[#Data],$DE714,73),0)</f>
        <v/>
      </c>
      <c r="BY714">
        <f>IFERROR(INDEX(PP_Grid[#Data],$DE714,74),0)</f>
        <v/>
      </c>
      <c r="BZ714">
        <f>IFERROR(INDEX(PP_Grid[#Data],$DE714,75),0)</f>
        <v/>
      </c>
      <c r="CA714">
        <f>IFERROR(INDEX(PP_Grid[#Data],$DE714,76),0)</f>
        <v/>
      </c>
      <c r="CB714">
        <f>IFERROR(INDEX(PP_Grid[#Data],$DE714,77),0)</f>
        <v/>
      </c>
      <c r="CC714">
        <f>IFERROR(INDEX(PP_Grid[#Data],$DE714,78),0)</f>
        <v/>
      </c>
      <c r="CD714">
        <f>IFERROR(INDEX(PP_Grid[#Data],$DE714,79),0)</f>
        <v/>
      </c>
      <c r="CE714">
        <f>IFERROR(INDEX(PP_Grid[#Data],$DE714,80),0)</f>
        <v/>
      </c>
      <c r="CF714">
        <f>IFERROR(INDEX(PP_Grid[#Data],$DE714,81),0)</f>
        <v/>
      </c>
      <c r="CG714">
        <f>IFERROR(INDEX(PP_Grid[#Data],$DE714,82),0)</f>
        <v/>
      </c>
      <c r="CH714">
        <f>IFERROR(INDEX(PP_Grid[#Data],$DE714,83),0)</f>
        <v/>
      </c>
      <c r="CI714">
        <f>IFERROR(INDEX(PP_Grid[#Data],$DE714,84),0)</f>
        <v/>
      </c>
      <c r="CJ714">
        <f>IFERROR(INDEX(PP_Grid[#Data],$DE714,85),0)</f>
        <v/>
      </c>
      <c r="CK714">
        <f>IFERROR(INDEX(PP_Grid[#Data],$DE714,86),0)</f>
        <v/>
      </c>
      <c r="CL714">
        <f>IFERROR(INDEX(PP_Grid[#Data],$DE714,87),0)</f>
        <v/>
      </c>
      <c r="CM714">
        <f>IFERROR(INDEX(PP_Grid[#Data],$DE714,88),0)</f>
        <v/>
      </c>
      <c r="CN714">
        <f>IFERROR(INDEX(PP_Grid[#Data],$DE714,89),0)</f>
        <v/>
      </c>
      <c r="CO714">
        <f>IFERROR(INDEX(PP_Grid[#Data],$DE714,90),0)</f>
        <v/>
      </c>
      <c r="CP714">
        <f>IFERROR(INDEX(PP_Grid[#Data],$DE714,91),0)</f>
        <v/>
      </c>
      <c r="CQ714">
        <f>IFERROR(INDEX(PP_Grid[#Data],$DE714,92),0)</f>
        <v/>
      </c>
      <c r="CR714">
        <f>IFERROR(INDEX(PP_Grid[#Data],$DE714,93),0)</f>
        <v/>
      </c>
      <c r="CS714">
        <f>IFERROR(INDEX(PP_Grid[#Data],$DE714,94),0)</f>
        <v/>
      </c>
      <c r="CT714">
        <f>IFERROR(INDEX(PP_Grid[#Data],$DE714,95),0)</f>
        <v/>
      </c>
      <c r="CU714">
        <f>IFERROR(INDEX(PP_Grid[#Data],$DE714,96),0)</f>
        <v/>
      </c>
      <c r="CV714">
        <f>IFERROR(INDEX(PP_Grid[#Data],$DE714,97),0)</f>
        <v/>
      </c>
      <c r="CW714">
        <f>IFERROR(INDEX(PP_Grid[#Data],$DE714,98),0)</f>
        <v/>
      </c>
      <c r="CX714">
        <f>IFERROR(INDEX(PP_Grid[#Data],$DE714,99),0)</f>
        <v/>
      </c>
      <c r="CY714">
        <f>IFERROR(INDEX(PP_Grid[#Data],$DE714,100),0)</f>
        <v/>
      </c>
      <c r="CZ714">
        <f>IFERROR(INDEX(PP_Grid[#Data],$DE714,101),0)</f>
        <v/>
      </c>
      <c r="DA714">
        <f>IFERROR(INDEX(PP_Grid[#Data],$DE714,102),0)</f>
        <v/>
      </c>
      <c r="DB714">
        <f>IFERROR(INDEX(PP_Grid[#Data],$DE714,103),0)</f>
        <v/>
      </c>
      <c r="DC714">
        <f>IFERROR(INDEX(PP_Grid[#Data],$DE714,104),0)</f>
        <v/>
      </c>
      <c r="DD714">
        <f>IFERROR(INDEX(PP_Grid[#Data],$DE714,105),0)</f>
        <v/>
      </c>
      <c r="DE714" s="7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SUMIFS(M_BOM[RM_Qty_Per_Batch],M_BOM[Intermediate],$B714,M_BOM[RM_Code],$A615)</f>
        <v/>
      </c>
      <c r="D715">
        <f>IFERROR(INDEX(E715:DD715,$F$1),"")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  <c r="DD715">
        <f>$C715*DD714</f>
        <v/>
      </c>
    </row>
    <row r="716">
      <c r="B716" t="inlineStr">
        <is>
          <t>TSP-1499</t>
        </is>
      </c>
      <c r="C716" t="inlineStr">
        <is>
          <t>No. of batches</t>
        </is>
      </c>
      <c r="D716">
        <f>IFERROR(INDEX(E716:DD716,$F$1),"")</f>
        <v/>
      </c>
      <c r="E716">
        <f>IFERROR(INDEX(PP_Grid[#Data],$DE716,2),0)</f>
        <v/>
      </c>
      <c r="F716">
        <f>IFERROR(INDEX(PP_Grid[#Data],$DE716,3),0)</f>
        <v/>
      </c>
      <c r="G716">
        <f>IFERROR(INDEX(PP_Grid[#Data],$DE716,4),0)</f>
        <v/>
      </c>
      <c r="H716">
        <f>IFERROR(INDEX(PP_Grid[#Data],$DE716,5),0)</f>
        <v/>
      </c>
      <c r="I716">
        <f>IFERROR(INDEX(PP_Grid[#Data],$DE716,6),0)</f>
        <v/>
      </c>
      <c r="J716">
        <f>IFERROR(INDEX(PP_Grid[#Data],$DE716,7),0)</f>
        <v/>
      </c>
      <c r="K716">
        <f>IFERROR(INDEX(PP_Grid[#Data],$DE716,8),0)</f>
        <v/>
      </c>
      <c r="L716">
        <f>IFERROR(INDEX(PP_Grid[#Data],$DE716,9),0)</f>
        <v/>
      </c>
      <c r="M716">
        <f>IFERROR(INDEX(PP_Grid[#Data],$DE716,10),0)</f>
        <v/>
      </c>
      <c r="N716">
        <f>IFERROR(INDEX(PP_Grid[#Data],$DE716,11),0)</f>
        <v/>
      </c>
      <c r="O716">
        <f>IFERROR(INDEX(PP_Grid[#Data],$DE716,12),0)</f>
        <v/>
      </c>
      <c r="P716">
        <f>IFERROR(INDEX(PP_Grid[#Data],$DE716,13),0)</f>
        <v/>
      </c>
      <c r="Q716">
        <f>IFERROR(INDEX(PP_Grid[#Data],$DE716,14),0)</f>
        <v/>
      </c>
      <c r="R716">
        <f>IFERROR(INDEX(PP_Grid[#Data],$DE716,15),0)</f>
        <v/>
      </c>
      <c r="S716">
        <f>IFERROR(INDEX(PP_Grid[#Data],$DE716,16),0)</f>
        <v/>
      </c>
      <c r="T716">
        <f>IFERROR(INDEX(PP_Grid[#Data],$DE716,17),0)</f>
        <v/>
      </c>
      <c r="U716">
        <f>IFERROR(INDEX(PP_Grid[#Data],$DE716,18),0)</f>
        <v/>
      </c>
      <c r="V716">
        <f>IFERROR(INDEX(PP_Grid[#Data],$DE716,19),0)</f>
        <v/>
      </c>
      <c r="W716">
        <f>IFERROR(INDEX(PP_Grid[#Data],$DE716,20),0)</f>
        <v/>
      </c>
      <c r="X716">
        <f>IFERROR(INDEX(PP_Grid[#Data],$DE716,21),0)</f>
        <v/>
      </c>
      <c r="Y716">
        <f>IFERROR(INDEX(PP_Grid[#Data],$DE716,22),0)</f>
        <v/>
      </c>
      <c r="Z716">
        <f>IFERROR(INDEX(PP_Grid[#Data],$DE716,23),0)</f>
        <v/>
      </c>
      <c r="AA716">
        <f>IFERROR(INDEX(PP_Grid[#Data],$DE716,24),0)</f>
        <v/>
      </c>
      <c r="AB716">
        <f>IFERROR(INDEX(PP_Grid[#Data],$DE716,25),0)</f>
        <v/>
      </c>
      <c r="AC716">
        <f>IFERROR(INDEX(PP_Grid[#Data],$DE716,26),0)</f>
        <v/>
      </c>
      <c r="AD716">
        <f>IFERROR(INDEX(PP_Grid[#Data],$DE716,27),0)</f>
        <v/>
      </c>
      <c r="AE716">
        <f>IFERROR(INDEX(PP_Grid[#Data],$DE716,28),0)</f>
        <v/>
      </c>
      <c r="AF716">
        <f>IFERROR(INDEX(PP_Grid[#Data],$DE716,29),0)</f>
        <v/>
      </c>
      <c r="AG716">
        <f>IFERROR(INDEX(PP_Grid[#Data],$DE716,30),0)</f>
        <v/>
      </c>
      <c r="AH716">
        <f>IFERROR(INDEX(PP_Grid[#Data],$DE716,31),0)</f>
        <v/>
      </c>
      <c r="AI716">
        <f>IFERROR(INDEX(PP_Grid[#Data],$DE716,32),0)</f>
        <v/>
      </c>
      <c r="AJ716">
        <f>IFERROR(INDEX(PP_Grid[#Data],$DE716,33),0)</f>
        <v/>
      </c>
      <c r="AK716">
        <f>IFERROR(INDEX(PP_Grid[#Data],$DE716,34),0)</f>
        <v/>
      </c>
      <c r="AL716">
        <f>IFERROR(INDEX(PP_Grid[#Data],$DE716,35),0)</f>
        <v/>
      </c>
      <c r="AM716">
        <f>IFERROR(INDEX(PP_Grid[#Data],$DE716,36),0)</f>
        <v/>
      </c>
      <c r="AN716">
        <f>IFERROR(INDEX(PP_Grid[#Data],$DE716,37),0)</f>
        <v/>
      </c>
      <c r="AO716">
        <f>IFERROR(INDEX(PP_Grid[#Data],$DE716,38),0)</f>
        <v/>
      </c>
      <c r="AP716">
        <f>IFERROR(INDEX(PP_Grid[#Data],$DE716,39),0)</f>
        <v/>
      </c>
      <c r="AQ716">
        <f>IFERROR(INDEX(PP_Grid[#Data],$DE716,40),0)</f>
        <v/>
      </c>
      <c r="AR716">
        <f>IFERROR(INDEX(PP_Grid[#Data],$DE716,41),0)</f>
        <v/>
      </c>
      <c r="AS716">
        <f>IFERROR(INDEX(PP_Grid[#Data],$DE716,42),0)</f>
        <v/>
      </c>
      <c r="AT716">
        <f>IFERROR(INDEX(PP_Grid[#Data],$DE716,43),0)</f>
        <v/>
      </c>
      <c r="AU716">
        <f>IFERROR(INDEX(PP_Grid[#Data],$DE716,44),0)</f>
        <v/>
      </c>
      <c r="AV716">
        <f>IFERROR(INDEX(PP_Grid[#Data],$DE716,45),0)</f>
        <v/>
      </c>
      <c r="AW716">
        <f>IFERROR(INDEX(PP_Grid[#Data],$DE716,46),0)</f>
        <v/>
      </c>
      <c r="AX716">
        <f>IFERROR(INDEX(PP_Grid[#Data],$DE716,47),0)</f>
        <v/>
      </c>
      <c r="AY716">
        <f>IFERROR(INDEX(PP_Grid[#Data],$DE716,48),0)</f>
        <v/>
      </c>
      <c r="AZ716">
        <f>IFERROR(INDEX(PP_Grid[#Data],$DE716,49),0)</f>
        <v/>
      </c>
      <c r="BA716">
        <f>IFERROR(INDEX(PP_Grid[#Data],$DE716,50),0)</f>
        <v/>
      </c>
      <c r="BB716">
        <f>IFERROR(INDEX(PP_Grid[#Data],$DE716,51),0)</f>
        <v/>
      </c>
      <c r="BC716">
        <f>IFERROR(INDEX(PP_Grid[#Data],$DE716,52),0)</f>
        <v/>
      </c>
      <c r="BD716">
        <f>IFERROR(INDEX(PP_Grid[#Data],$DE716,53),0)</f>
        <v/>
      </c>
      <c r="BE716">
        <f>IFERROR(INDEX(PP_Grid[#Data],$DE716,54),0)</f>
        <v/>
      </c>
      <c r="BF716">
        <f>IFERROR(INDEX(PP_Grid[#Data],$DE716,55),0)</f>
        <v/>
      </c>
      <c r="BG716">
        <f>IFERROR(INDEX(PP_Grid[#Data],$DE716,56),0)</f>
        <v/>
      </c>
      <c r="BH716">
        <f>IFERROR(INDEX(PP_Grid[#Data],$DE716,57),0)</f>
        <v/>
      </c>
      <c r="BI716">
        <f>IFERROR(INDEX(PP_Grid[#Data],$DE716,58),0)</f>
        <v/>
      </c>
      <c r="BJ716">
        <f>IFERROR(INDEX(PP_Grid[#Data],$DE716,59),0)</f>
        <v/>
      </c>
      <c r="BK716">
        <f>IFERROR(INDEX(PP_Grid[#Data],$DE716,60),0)</f>
        <v/>
      </c>
      <c r="BL716">
        <f>IFERROR(INDEX(PP_Grid[#Data],$DE716,61),0)</f>
        <v/>
      </c>
      <c r="BM716">
        <f>IFERROR(INDEX(PP_Grid[#Data],$DE716,62),0)</f>
        <v/>
      </c>
      <c r="BN716">
        <f>IFERROR(INDEX(PP_Grid[#Data],$DE716,63),0)</f>
        <v/>
      </c>
      <c r="BO716">
        <f>IFERROR(INDEX(PP_Grid[#Data],$DE716,64),0)</f>
        <v/>
      </c>
      <c r="BP716">
        <f>IFERROR(INDEX(PP_Grid[#Data],$DE716,65),0)</f>
        <v/>
      </c>
      <c r="BQ716">
        <f>IFERROR(INDEX(PP_Grid[#Data],$DE716,66),0)</f>
        <v/>
      </c>
      <c r="BR716">
        <f>IFERROR(INDEX(PP_Grid[#Data],$DE716,67),0)</f>
        <v/>
      </c>
      <c r="BS716">
        <f>IFERROR(INDEX(PP_Grid[#Data],$DE716,68),0)</f>
        <v/>
      </c>
      <c r="BT716">
        <f>IFERROR(INDEX(PP_Grid[#Data],$DE716,69),0)</f>
        <v/>
      </c>
      <c r="BU716">
        <f>IFERROR(INDEX(PP_Grid[#Data],$DE716,70),0)</f>
        <v/>
      </c>
      <c r="BV716">
        <f>IFERROR(INDEX(PP_Grid[#Data],$DE716,71),0)</f>
        <v/>
      </c>
      <c r="BW716">
        <f>IFERROR(INDEX(PP_Grid[#Data],$DE716,72),0)</f>
        <v/>
      </c>
      <c r="BX716">
        <f>IFERROR(INDEX(PP_Grid[#Data],$DE716,73),0)</f>
        <v/>
      </c>
      <c r="BY716">
        <f>IFERROR(INDEX(PP_Grid[#Data],$DE716,74),0)</f>
        <v/>
      </c>
      <c r="BZ716">
        <f>IFERROR(INDEX(PP_Grid[#Data],$DE716,75),0)</f>
        <v/>
      </c>
      <c r="CA716">
        <f>IFERROR(INDEX(PP_Grid[#Data],$DE716,76),0)</f>
        <v/>
      </c>
      <c r="CB716">
        <f>IFERROR(INDEX(PP_Grid[#Data],$DE716,77),0)</f>
        <v/>
      </c>
      <c r="CC716">
        <f>IFERROR(INDEX(PP_Grid[#Data],$DE716,78),0)</f>
        <v/>
      </c>
      <c r="CD716">
        <f>IFERROR(INDEX(PP_Grid[#Data],$DE716,79),0)</f>
        <v/>
      </c>
      <c r="CE716">
        <f>IFERROR(INDEX(PP_Grid[#Data],$DE716,80),0)</f>
        <v/>
      </c>
      <c r="CF716">
        <f>IFERROR(INDEX(PP_Grid[#Data],$DE716,81),0)</f>
        <v/>
      </c>
      <c r="CG716">
        <f>IFERROR(INDEX(PP_Grid[#Data],$DE716,82),0)</f>
        <v/>
      </c>
      <c r="CH716">
        <f>IFERROR(INDEX(PP_Grid[#Data],$DE716,83),0)</f>
        <v/>
      </c>
      <c r="CI716">
        <f>IFERROR(INDEX(PP_Grid[#Data],$DE716,84),0)</f>
        <v/>
      </c>
      <c r="CJ716">
        <f>IFERROR(INDEX(PP_Grid[#Data],$DE716,85),0)</f>
        <v/>
      </c>
      <c r="CK716">
        <f>IFERROR(INDEX(PP_Grid[#Data],$DE716,86),0)</f>
        <v/>
      </c>
      <c r="CL716">
        <f>IFERROR(INDEX(PP_Grid[#Data],$DE716,87),0)</f>
        <v/>
      </c>
      <c r="CM716">
        <f>IFERROR(INDEX(PP_Grid[#Data],$DE716,88),0)</f>
        <v/>
      </c>
      <c r="CN716">
        <f>IFERROR(INDEX(PP_Grid[#Data],$DE716,89),0)</f>
        <v/>
      </c>
      <c r="CO716">
        <f>IFERROR(INDEX(PP_Grid[#Data],$DE716,90),0)</f>
        <v/>
      </c>
      <c r="CP716">
        <f>IFERROR(INDEX(PP_Grid[#Data],$DE716,91),0)</f>
        <v/>
      </c>
      <c r="CQ716">
        <f>IFERROR(INDEX(PP_Grid[#Data],$DE716,92),0)</f>
        <v/>
      </c>
      <c r="CR716">
        <f>IFERROR(INDEX(PP_Grid[#Data],$DE716,93),0)</f>
        <v/>
      </c>
      <c r="CS716">
        <f>IFERROR(INDEX(PP_Grid[#Data],$DE716,94),0)</f>
        <v/>
      </c>
      <c r="CT716">
        <f>IFERROR(INDEX(PP_Grid[#Data],$DE716,95),0)</f>
        <v/>
      </c>
      <c r="CU716">
        <f>IFERROR(INDEX(PP_Grid[#Data],$DE716,96),0)</f>
        <v/>
      </c>
      <c r="CV716">
        <f>IFERROR(INDEX(PP_Grid[#Data],$DE716,97),0)</f>
        <v/>
      </c>
      <c r="CW716">
        <f>IFERROR(INDEX(PP_Grid[#Data],$DE716,98),0)</f>
        <v/>
      </c>
      <c r="CX716">
        <f>IFERROR(INDEX(PP_Grid[#Data],$DE716,99),0)</f>
        <v/>
      </c>
      <c r="CY716">
        <f>IFERROR(INDEX(PP_Grid[#Data],$DE716,100),0)</f>
        <v/>
      </c>
      <c r="CZ716">
        <f>IFERROR(INDEX(PP_Grid[#Data],$DE716,101),0)</f>
        <v/>
      </c>
      <c r="DA716">
        <f>IFERROR(INDEX(PP_Grid[#Data],$DE716,102),0)</f>
        <v/>
      </c>
      <c r="DB716">
        <f>IFERROR(INDEX(PP_Grid[#Data],$DE716,103),0)</f>
        <v/>
      </c>
      <c r="DC716">
        <f>IFERROR(INDEX(PP_Grid[#Data],$DE716,104),0)</f>
        <v/>
      </c>
      <c r="DD716">
        <f>IFERROR(INDEX(PP_Grid[#Data],$DE716,105),0)</f>
        <v/>
      </c>
      <c r="DE716" s="7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SUMIFS(M_BOM[RM_Qty_Per_Batch],M_BOM[Intermediate],$B716,M_BOM[RM_Code],$A615)</f>
        <v/>
      </c>
      <c r="D717">
        <f>IFERROR(INDEX(E717:DD717,$F$1),"")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  <c r="DD717">
        <f>$C717*DD716</f>
        <v/>
      </c>
    </row>
    <row r="718">
      <c r="B718" s="4" t="inlineStr">
        <is>
          <t>合計使用量(kg)/週</t>
        </is>
      </c>
      <c r="D718" s="22">
        <f>IFERROR(INDEX(E718:DD718,$F$1),"")</f>
        <v/>
      </c>
      <c r="E718">
        <f>'Grid_Requirement'!B18</f>
        <v/>
      </c>
      <c r="F718">
        <f>'Grid_Requirement'!C18</f>
        <v/>
      </c>
      <c r="G718">
        <f>'Grid_Requirement'!D18</f>
        <v/>
      </c>
      <c r="H718">
        <f>'Grid_Requirement'!E18</f>
        <v/>
      </c>
      <c r="I718">
        <f>'Grid_Requirement'!F18</f>
        <v/>
      </c>
      <c r="J718">
        <f>'Grid_Requirement'!G18</f>
        <v/>
      </c>
      <c r="K718">
        <f>'Grid_Requirement'!H18</f>
        <v/>
      </c>
      <c r="L718">
        <f>'Grid_Requirement'!I18</f>
        <v/>
      </c>
      <c r="M718">
        <f>'Grid_Requirement'!J18</f>
        <v/>
      </c>
      <c r="N718">
        <f>'Grid_Requirement'!K18</f>
        <v/>
      </c>
      <c r="O718">
        <f>'Grid_Requirement'!L18</f>
        <v/>
      </c>
      <c r="P718">
        <f>'Grid_Requirement'!M18</f>
        <v/>
      </c>
      <c r="Q718">
        <f>'Grid_Requirement'!N18</f>
        <v/>
      </c>
      <c r="R718">
        <f>'Grid_Requirement'!O18</f>
        <v/>
      </c>
      <c r="S718">
        <f>'Grid_Requirement'!P18</f>
        <v/>
      </c>
      <c r="T718">
        <f>'Grid_Requirement'!Q18</f>
        <v/>
      </c>
      <c r="U718">
        <f>'Grid_Requirement'!R18</f>
        <v/>
      </c>
      <c r="V718">
        <f>'Grid_Requirement'!S18</f>
        <v/>
      </c>
      <c r="W718">
        <f>'Grid_Requirement'!T18</f>
        <v/>
      </c>
      <c r="X718">
        <f>'Grid_Requirement'!U18</f>
        <v/>
      </c>
      <c r="Y718">
        <f>'Grid_Requirement'!V18</f>
        <v/>
      </c>
      <c r="Z718">
        <f>'Grid_Requirement'!W18</f>
        <v/>
      </c>
      <c r="AA718">
        <f>'Grid_Requirement'!X18</f>
        <v/>
      </c>
      <c r="AB718">
        <f>'Grid_Requirement'!Y18</f>
        <v/>
      </c>
      <c r="AC718">
        <f>'Grid_Requirement'!Z18</f>
        <v/>
      </c>
      <c r="AD718">
        <f>'Grid_Requirement'!AA18</f>
        <v/>
      </c>
      <c r="AE718">
        <f>'Grid_Requirement'!AB18</f>
        <v/>
      </c>
      <c r="AF718">
        <f>'Grid_Requirement'!AC18</f>
        <v/>
      </c>
      <c r="AG718">
        <f>'Grid_Requirement'!AD18</f>
        <v/>
      </c>
      <c r="AH718">
        <f>'Grid_Requirement'!AE18</f>
        <v/>
      </c>
      <c r="AI718">
        <f>'Grid_Requirement'!AF18</f>
        <v/>
      </c>
      <c r="AJ718">
        <f>'Grid_Requirement'!AG18</f>
        <v/>
      </c>
      <c r="AK718">
        <f>'Grid_Requirement'!AH18</f>
        <v/>
      </c>
      <c r="AL718">
        <f>'Grid_Requirement'!AI18</f>
        <v/>
      </c>
      <c r="AM718">
        <f>'Grid_Requirement'!AJ18</f>
        <v/>
      </c>
      <c r="AN718">
        <f>'Grid_Requirement'!AK18</f>
        <v/>
      </c>
      <c r="AO718">
        <f>'Grid_Requirement'!AL18</f>
        <v/>
      </c>
      <c r="AP718">
        <f>'Grid_Requirement'!AM18</f>
        <v/>
      </c>
      <c r="AQ718">
        <f>'Grid_Requirement'!AN18</f>
        <v/>
      </c>
      <c r="AR718">
        <f>'Grid_Requirement'!AO18</f>
        <v/>
      </c>
      <c r="AS718">
        <f>'Grid_Requirement'!AP18</f>
        <v/>
      </c>
      <c r="AT718">
        <f>'Grid_Requirement'!AQ18</f>
        <v/>
      </c>
      <c r="AU718">
        <f>'Grid_Requirement'!AR18</f>
        <v/>
      </c>
      <c r="AV718">
        <f>'Grid_Requirement'!AS18</f>
        <v/>
      </c>
      <c r="AW718">
        <f>'Grid_Requirement'!AT18</f>
        <v/>
      </c>
      <c r="AX718">
        <f>'Grid_Requirement'!AU18</f>
        <v/>
      </c>
      <c r="AY718">
        <f>'Grid_Requirement'!AV18</f>
        <v/>
      </c>
      <c r="AZ718">
        <f>'Grid_Requirement'!AW18</f>
        <v/>
      </c>
      <c r="BA718">
        <f>'Grid_Requirement'!AX18</f>
        <v/>
      </c>
      <c r="BB718">
        <f>'Grid_Requirement'!AY18</f>
        <v/>
      </c>
      <c r="BC718">
        <f>'Grid_Requirement'!AZ18</f>
        <v/>
      </c>
      <c r="BD718">
        <f>'Grid_Requirement'!BA18</f>
        <v/>
      </c>
      <c r="BE718">
        <f>'Grid_Requirement'!BB18</f>
        <v/>
      </c>
      <c r="BF718">
        <f>'Grid_Requirement'!BC18</f>
        <v/>
      </c>
      <c r="BG718">
        <f>'Grid_Requirement'!BD18</f>
        <v/>
      </c>
      <c r="BH718">
        <f>'Grid_Requirement'!BE18</f>
        <v/>
      </c>
      <c r="BI718">
        <f>'Grid_Requirement'!BF18</f>
        <v/>
      </c>
      <c r="BJ718">
        <f>'Grid_Requirement'!BG18</f>
        <v/>
      </c>
      <c r="BK718">
        <f>'Grid_Requirement'!BH18</f>
        <v/>
      </c>
      <c r="BL718">
        <f>'Grid_Requirement'!BI18</f>
        <v/>
      </c>
      <c r="BM718">
        <f>'Grid_Requirement'!BJ18</f>
        <v/>
      </c>
      <c r="BN718">
        <f>'Grid_Requirement'!BK18</f>
        <v/>
      </c>
      <c r="BO718">
        <f>'Grid_Requirement'!BL18</f>
        <v/>
      </c>
      <c r="BP718">
        <f>'Grid_Requirement'!BM18</f>
        <v/>
      </c>
      <c r="BQ718">
        <f>'Grid_Requirement'!BN18</f>
        <v/>
      </c>
      <c r="BR718">
        <f>'Grid_Requirement'!BO18</f>
        <v/>
      </c>
      <c r="BS718">
        <f>'Grid_Requirement'!BP18</f>
        <v/>
      </c>
      <c r="BT718">
        <f>'Grid_Requirement'!BQ18</f>
        <v/>
      </c>
      <c r="BU718">
        <f>'Grid_Requirement'!BR18</f>
        <v/>
      </c>
      <c r="BV718">
        <f>'Grid_Requirement'!BS18</f>
        <v/>
      </c>
      <c r="BW718">
        <f>'Grid_Requirement'!BT18</f>
        <v/>
      </c>
      <c r="BX718">
        <f>'Grid_Requirement'!BU18</f>
        <v/>
      </c>
      <c r="BY718">
        <f>'Grid_Requirement'!BV18</f>
        <v/>
      </c>
      <c r="BZ718">
        <f>'Grid_Requirement'!BW18</f>
        <v/>
      </c>
      <c r="CA718">
        <f>'Grid_Requirement'!BX18</f>
        <v/>
      </c>
      <c r="CB718">
        <f>'Grid_Requirement'!BY18</f>
        <v/>
      </c>
      <c r="CC718">
        <f>'Grid_Requirement'!BZ18</f>
        <v/>
      </c>
      <c r="CD718">
        <f>'Grid_Requirement'!CA18</f>
        <v/>
      </c>
      <c r="CE718">
        <f>'Grid_Requirement'!CB18</f>
        <v/>
      </c>
      <c r="CF718">
        <f>'Grid_Requirement'!CC18</f>
        <v/>
      </c>
      <c r="CG718">
        <f>'Grid_Requirement'!CD18</f>
        <v/>
      </c>
      <c r="CH718">
        <f>'Grid_Requirement'!CE18</f>
        <v/>
      </c>
      <c r="CI718">
        <f>'Grid_Requirement'!CF18</f>
        <v/>
      </c>
      <c r="CJ718">
        <f>'Grid_Requirement'!CG18</f>
        <v/>
      </c>
      <c r="CK718">
        <f>'Grid_Requirement'!CH18</f>
        <v/>
      </c>
      <c r="CL718">
        <f>'Grid_Requirement'!CI18</f>
        <v/>
      </c>
      <c r="CM718">
        <f>'Grid_Requirement'!CJ18</f>
        <v/>
      </c>
      <c r="CN718">
        <f>'Grid_Requirement'!CK18</f>
        <v/>
      </c>
      <c r="CO718">
        <f>'Grid_Requirement'!CL18</f>
        <v/>
      </c>
      <c r="CP718">
        <f>'Grid_Requirement'!CM18</f>
        <v/>
      </c>
      <c r="CQ718">
        <f>'Grid_Requirement'!CN18</f>
        <v/>
      </c>
      <c r="CR718">
        <f>'Grid_Requirement'!CO18</f>
        <v/>
      </c>
      <c r="CS718">
        <f>'Grid_Requirement'!CP18</f>
        <v/>
      </c>
      <c r="CT718">
        <f>'Grid_Requirement'!CQ18</f>
        <v/>
      </c>
      <c r="CU718">
        <f>'Grid_Requirement'!CR18</f>
        <v/>
      </c>
      <c r="CV718">
        <f>'Grid_Requirement'!CS18</f>
        <v/>
      </c>
      <c r="CW718">
        <f>'Grid_Requirement'!CT18</f>
        <v/>
      </c>
      <c r="CX718">
        <f>'Grid_Requirement'!CU18</f>
        <v/>
      </c>
      <c r="CY718">
        <f>'Grid_Requirement'!CV18</f>
        <v/>
      </c>
      <c r="CZ718">
        <f>'Grid_Requirement'!CW18</f>
        <v/>
      </c>
      <c r="DA718">
        <f>'Grid_Requirement'!CX18</f>
        <v/>
      </c>
      <c r="DB718">
        <f>'Grid_Requirement'!CY18</f>
        <v/>
      </c>
      <c r="DC718">
        <f>'Grid_Requirement'!CZ18</f>
        <v/>
      </c>
      <c r="DD718">
        <f>'Grid_Requirement'!DA18</f>
        <v/>
      </c>
    </row>
    <row r="719">
      <c r="B719" s="23" t="inlineStr">
        <is>
          <t>（在庫・入荷予定はDashboard参照）</t>
        </is>
      </c>
    </row>
    <row r="721">
      <c r="A721" s="21" t="inlineStr">
        <is>
          <t>CHEM-1430</t>
        </is>
      </c>
      <c r="B721" s="21" t="inlineStr">
        <is>
          <t>RCT22</t>
        </is>
      </c>
      <c r="C721" s="21" t="n"/>
      <c r="D721" s="21" t="n"/>
      <c r="E721" s="21" t="n"/>
      <c r="F721" s="21" t="n"/>
      <c r="G721" s="21" t="n"/>
      <c r="H721" s="21" t="n"/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  <c r="Z721" s="21" t="n"/>
      <c r="AA721" s="21" t="n"/>
      <c r="AB721" s="21" t="n"/>
      <c r="AC721" s="21" t="n"/>
      <c r="AD721" s="21" t="n"/>
      <c r="AE721" s="21" t="n"/>
      <c r="AF721" s="21" t="n"/>
      <c r="AG721" s="21" t="n"/>
      <c r="AH721" s="21" t="n"/>
      <c r="AI721" s="21" t="n"/>
      <c r="AJ721" s="21" t="n"/>
      <c r="AK721" s="21" t="n"/>
      <c r="AL721" s="21" t="n"/>
      <c r="AM721" s="21" t="n"/>
      <c r="AN721" s="21" t="n"/>
      <c r="AO721" s="21" t="n"/>
      <c r="AP721" s="21" t="n"/>
      <c r="AQ721" s="21" t="n"/>
      <c r="AR721" s="21" t="n"/>
      <c r="AS721" s="21" t="n"/>
      <c r="AT721" s="21" t="n"/>
      <c r="AU721" s="21" t="n"/>
      <c r="AV721" s="21" t="n"/>
      <c r="AW721" s="21" t="n"/>
      <c r="AX721" s="21" t="n"/>
      <c r="AY721" s="21" t="n"/>
      <c r="AZ721" s="21" t="n"/>
      <c r="BA721" s="21" t="n"/>
      <c r="BB721" s="21" t="n"/>
      <c r="BC721" s="21" t="n"/>
      <c r="BD721" s="21" t="n"/>
      <c r="BE721" s="21" t="n"/>
      <c r="BF721" s="21" t="n"/>
      <c r="BG721" s="21" t="n"/>
      <c r="BH721" s="21" t="n"/>
      <c r="BI721" s="21" t="n"/>
      <c r="BJ721" s="21" t="n"/>
      <c r="BK721" s="21" t="n"/>
      <c r="BL721" s="21" t="n"/>
      <c r="BM721" s="21" t="n"/>
      <c r="BN721" s="21" t="n"/>
      <c r="BO721" s="21" t="n"/>
      <c r="BP721" s="21" t="n"/>
      <c r="BQ721" s="21" t="n"/>
      <c r="BR721" s="21" t="n"/>
      <c r="BS721" s="21" t="n"/>
      <c r="BT721" s="21" t="n"/>
      <c r="BU721" s="21" t="n"/>
      <c r="BV721" s="21" t="n"/>
      <c r="BW721" s="21" t="n"/>
      <c r="BX721" s="21" t="n"/>
      <c r="BY721" s="21" t="n"/>
      <c r="BZ721" s="21" t="n"/>
      <c r="CA721" s="21" t="n"/>
      <c r="CB721" s="21" t="n"/>
      <c r="CC721" s="21" t="n"/>
      <c r="CD721" s="21" t="n"/>
      <c r="CE721" s="21" t="n"/>
      <c r="CF721" s="21" t="n"/>
      <c r="CG721" s="21" t="n"/>
      <c r="CH721" s="21" t="n"/>
      <c r="CI721" s="21" t="n"/>
      <c r="CJ721" s="21" t="n"/>
      <c r="CK721" s="21" t="n"/>
      <c r="CL721" s="21" t="n"/>
      <c r="CM721" s="21" t="n"/>
      <c r="CN721" s="21" t="n"/>
      <c r="CO721" s="21" t="n"/>
      <c r="CP721" s="21" t="n"/>
      <c r="CQ721" s="21" t="n"/>
      <c r="CR721" s="21" t="n"/>
      <c r="CS721" s="21" t="n"/>
      <c r="CT721" s="21" t="n"/>
      <c r="CU721" s="21" t="n"/>
      <c r="CV721" s="21" t="n"/>
      <c r="CW721" s="21" t="n"/>
      <c r="CX721" s="21" t="n"/>
      <c r="CY721" s="21" t="n"/>
      <c r="CZ721" s="21" t="n"/>
      <c r="DA721" s="21" t="n"/>
      <c r="DB721" s="21" t="n"/>
      <c r="DC721" s="21" t="n"/>
      <c r="DD721" s="21" t="n"/>
    </row>
    <row r="722">
      <c r="B722" t="inlineStr">
        <is>
          <t>TSP-050</t>
        </is>
      </c>
      <c r="C722" t="inlineStr">
        <is>
          <t>No. of batches</t>
        </is>
      </c>
      <c r="D722">
        <f>IFERROR(INDEX(E722:DD722,$F$1),"")</f>
        <v/>
      </c>
      <c r="E722">
        <f>IFERROR(INDEX(PP_Grid[#Data],$DE722,2),0)</f>
        <v/>
      </c>
      <c r="F722">
        <f>IFERROR(INDEX(PP_Grid[#Data],$DE722,3),0)</f>
        <v/>
      </c>
      <c r="G722">
        <f>IFERROR(INDEX(PP_Grid[#Data],$DE722,4),0)</f>
        <v/>
      </c>
      <c r="H722">
        <f>IFERROR(INDEX(PP_Grid[#Data],$DE722,5),0)</f>
        <v/>
      </c>
      <c r="I722">
        <f>IFERROR(INDEX(PP_Grid[#Data],$DE722,6),0)</f>
        <v/>
      </c>
      <c r="J722">
        <f>IFERROR(INDEX(PP_Grid[#Data],$DE722,7),0)</f>
        <v/>
      </c>
      <c r="K722">
        <f>IFERROR(INDEX(PP_Grid[#Data],$DE722,8),0)</f>
        <v/>
      </c>
      <c r="L722">
        <f>IFERROR(INDEX(PP_Grid[#Data],$DE722,9),0)</f>
        <v/>
      </c>
      <c r="M722">
        <f>IFERROR(INDEX(PP_Grid[#Data],$DE722,10),0)</f>
        <v/>
      </c>
      <c r="N722">
        <f>IFERROR(INDEX(PP_Grid[#Data],$DE722,11),0)</f>
        <v/>
      </c>
      <c r="O722">
        <f>IFERROR(INDEX(PP_Grid[#Data],$DE722,12),0)</f>
        <v/>
      </c>
      <c r="P722">
        <f>IFERROR(INDEX(PP_Grid[#Data],$DE722,13),0)</f>
        <v/>
      </c>
      <c r="Q722">
        <f>IFERROR(INDEX(PP_Grid[#Data],$DE722,14),0)</f>
        <v/>
      </c>
      <c r="R722">
        <f>IFERROR(INDEX(PP_Grid[#Data],$DE722,15),0)</f>
        <v/>
      </c>
      <c r="S722">
        <f>IFERROR(INDEX(PP_Grid[#Data],$DE722,16),0)</f>
        <v/>
      </c>
      <c r="T722">
        <f>IFERROR(INDEX(PP_Grid[#Data],$DE722,17),0)</f>
        <v/>
      </c>
      <c r="U722">
        <f>IFERROR(INDEX(PP_Grid[#Data],$DE722,18),0)</f>
        <v/>
      </c>
      <c r="V722">
        <f>IFERROR(INDEX(PP_Grid[#Data],$DE722,19),0)</f>
        <v/>
      </c>
      <c r="W722">
        <f>IFERROR(INDEX(PP_Grid[#Data],$DE722,20),0)</f>
        <v/>
      </c>
      <c r="X722">
        <f>IFERROR(INDEX(PP_Grid[#Data],$DE722,21),0)</f>
        <v/>
      </c>
      <c r="Y722">
        <f>IFERROR(INDEX(PP_Grid[#Data],$DE722,22),0)</f>
        <v/>
      </c>
      <c r="Z722">
        <f>IFERROR(INDEX(PP_Grid[#Data],$DE722,23),0)</f>
        <v/>
      </c>
      <c r="AA722">
        <f>IFERROR(INDEX(PP_Grid[#Data],$DE722,24),0)</f>
        <v/>
      </c>
      <c r="AB722">
        <f>IFERROR(INDEX(PP_Grid[#Data],$DE722,25),0)</f>
        <v/>
      </c>
      <c r="AC722">
        <f>IFERROR(INDEX(PP_Grid[#Data],$DE722,26),0)</f>
        <v/>
      </c>
      <c r="AD722">
        <f>IFERROR(INDEX(PP_Grid[#Data],$DE722,27),0)</f>
        <v/>
      </c>
      <c r="AE722">
        <f>IFERROR(INDEX(PP_Grid[#Data],$DE722,28),0)</f>
        <v/>
      </c>
      <c r="AF722">
        <f>IFERROR(INDEX(PP_Grid[#Data],$DE722,29),0)</f>
        <v/>
      </c>
      <c r="AG722">
        <f>IFERROR(INDEX(PP_Grid[#Data],$DE722,30),0)</f>
        <v/>
      </c>
      <c r="AH722">
        <f>IFERROR(INDEX(PP_Grid[#Data],$DE722,31),0)</f>
        <v/>
      </c>
      <c r="AI722">
        <f>IFERROR(INDEX(PP_Grid[#Data],$DE722,32),0)</f>
        <v/>
      </c>
      <c r="AJ722">
        <f>IFERROR(INDEX(PP_Grid[#Data],$DE722,33),0)</f>
        <v/>
      </c>
      <c r="AK722">
        <f>IFERROR(INDEX(PP_Grid[#Data],$DE722,34),0)</f>
        <v/>
      </c>
      <c r="AL722">
        <f>IFERROR(INDEX(PP_Grid[#Data],$DE722,35),0)</f>
        <v/>
      </c>
      <c r="AM722">
        <f>IFERROR(INDEX(PP_Grid[#Data],$DE722,36),0)</f>
        <v/>
      </c>
      <c r="AN722">
        <f>IFERROR(INDEX(PP_Grid[#Data],$DE722,37),0)</f>
        <v/>
      </c>
      <c r="AO722">
        <f>IFERROR(INDEX(PP_Grid[#Data],$DE722,38),0)</f>
        <v/>
      </c>
      <c r="AP722">
        <f>IFERROR(INDEX(PP_Grid[#Data],$DE722,39),0)</f>
        <v/>
      </c>
      <c r="AQ722">
        <f>IFERROR(INDEX(PP_Grid[#Data],$DE722,40),0)</f>
        <v/>
      </c>
      <c r="AR722">
        <f>IFERROR(INDEX(PP_Grid[#Data],$DE722,41),0)</f>
        <v/>
      </c>
      <c r="AS722">
        <f>IFERROR(INDEX(PP_Grid[#Data],$DE722,42),0)</f>
        <v/>
      </c>
      <c r="AT722">
        <f>IFERROR(INDEX(PP_Grid[#Data],$DE722,43),0)</f>
        <v/>
      </c>
      <c r="AU722">
        <f>IFERROR(INDEX(PP_Grid[#Data],$DE722,44),0)</f>
        <v/>
      </c>
      <c r="AV722">
        <f>IFERROR(INDEX(PP_Grid[#Data],$DE722,45),0)</f>
        <v/>
      </c>
      <c r="AW722">
        <f>IFERROR(INDEX(PP_Grid[#Data],$DE722,46),0)</f>
        <v/>
      </c>
      <c r="AX722">
        <f>IFERROR(INDEX(PP_Grid[#Data],$DE722,47),0)</f>
        <v/>
      </c>
      <c r="AY722">
        <f>IFERROR(INDEX(PP_Grid[#Data],$DE722,48),0)</f>
        <v/>
      </c>
      <c r="AZ722">
        <f>IFERROR(INDEX(PP_Grid[#Data],$DE722,49),0)</f>
        <v/>
      </c>
      <c r="BA722">
        <f>IFERROR(INDEX(PP_Grid[#Data],$DE722,50),0)</f>
        <v/>
      </c>
      <c r="BB722">
        <f>IFERROR(INDEX(PP_Grid[#Data],$DE722,51),0)</f>
        <v/>
      </c>
      <c r="BC722">
        <f>IFERROR(INDEX(PP_Grid[#Data],$DE722,52),0)</f>
        <v/>
      </c>
      <c r="BD722">
        <f>IFERROR(INDEX(PP_Grid[#Data],$DE722,53),0)</f>
        <v/>
      </c>
      <c r="BE722">
        <f>IFERROR(INDEX(PP_Grid[#Data],$DE722,54),0)</f>
        <v/>
      </c>
      <c r="BF722">
        <f>IFERROR(INDEX(PP_Grid[#Data],$DE722,55),0)</f>
        <v/>
      </c>
      <c r="BG722">
        <f>IFERROR(INDEX(PP_Grid[#Data],$DE722,56),0)</f>
        <v/>
      </c>
      <c r="BH722">
        <f>IFERROR(INDEX(PP_Grid[#Data],$DE722,57),0)</f>
        <v/>
      </c>
      <c r="BI722">
        <f>IFERROR(INDEX(PP_Grid[#Data],$DE722,58),0)</f>
        <v/>
      </c>
      <c r="BJ722">
        <f>IFERROR(INDEX(PP_Grid[#Data],$DE722,59),0)</f>
        <v/>
      </c>
      <c r="BK722">
        <f>IFERROR(INDEX(PP_Grid[#Data],$DE722,60),0)</f>
        <v/>
      </c>
      <c r="BL722">
        <f>IFERROR(INDEX(PP_Grid[#Data],$DE722,61),0)</f>
        <v/>
      </c>
      <c r="BM722">
        <f>IFERROR(INDEX(PP_Grid[#Data],$DE722,62),0)</f>
        <v/>
      </c>
      <c r="BN722">
        <f>IFERROR(INDEX(PP_Grid[#Data],$DE722,63),0)</f>
        <v/>
      </c>
      <c r="BO722">
        <f>IFERROR(INDEX(PP_Grid[#Data],$DE722,64),0)</f>
        <v/>
      </c>
      <c r="BP722">
        <f>IFERROR(INDEX(PP_Grid[#Data],$DE722,65),0)</f>
        <v/>
      </c>
      <c r="BQ722">
        <f>IFERROR(INDEX(PP_Grid[#Data],$DE722,66),0)</f>
        <v/>
      </c>
      <c r="BR722">
        <f>IFERROR(INDEX(PP_Grid[#Data],$DE722,67),0)</f>
        <v/>
      </c>
      <c r="BS722">
        <f>IFERROR(INDEX(PP_Grid[#Data],$DE722,68),0)</f>
        <v/>
      </c>
      <c r="BT722">
        <f>IFERROR(INDEX(PP_Grid[#Data],$DE722,69),0)</f>
        <v/>
      </c>
      <c r="BU722">
        <f>IFERROR(INDEX(PP_Grid[#Data],$DE722,70),0)</f>
        <v/>
      </c>
      <c r="BV722">
        <f>IFERROR(INDEX(PP_Grid[#Data],$DE722,71),0)</f>
        <v/>
      </c>
      <c r="BW722">
        <f>IFERROR(INDEX(PP_Grid[#Data],$DE722,72),0)</f>
        <v/>
      </c>
      <c r="BX722">
        <f>IFERROR(INDEX(PP_Grid[#Data],$DE722,73),0)</f>
        <v/>
      </c>
      <c r="BY722">
        <f>IFERROR(INDEX(PP_Grid[#Data],$DE722,74),0)</f>
        <v/>
      </c>
      <c r="BZ722">
        <f>IFERROR(INDEX(PP_Grid[#Data],$DE722,75),0)</f>
        <v/>
      </c>
      <c r="CA722">
        <f>IFERROR(INDEX(PP_Grid[#Data],$DE722,76),0)</f>
        <v/>
      </c>
      <c r="CB722">
        <f>IFERROR(INDEX(PP_Grid[#Data],$DE722,77),0)</f>
        <v/>
      </c>
      <c r="CC722">
        <f>IFERROR(INDEX(PP_Grid[#Data],$DE722,78),0)</f>
        <v/>
      </c>
      <c r="CD722">
        <f>IFERROR(INDEX(PP_Grid[#Data],$DE722,79),0)</f>
        <v/>
      </c>
      <c r="CE722">
        <f>IFERROR(INDEX(PP_Grid[#Data],$DE722,80),0)</f>
        <v/>
      </c>
      <c r="CF722">
        <f>IFERROR(INDEX(PP_Grid[#Data],$DE722,81),0)</f>
        <v/>
      </c>
      <c r="CG722">
        <f>IFERROR(INDEX(PP_Grid[#Data],$DE722,82),0)</f>
        <v/>
      </c>
      <c r="CH722">
        <f>IFERROR(INDEX(PP_Grid[#Data],$DE722,83),0)</f>
        <v/>
      </c>
      <c r="CI722">
        <f>IFERROR(INDEX(PP_Grid[#Data],$DE722,84),0)</f>
        <v/>
      </c>
      <c r="CJ722">
        <f>IFERROR(INDEX(PP_Grid[#Data],$DE722,85),0)</f>
        <v/>
      </c>
      <c r="CK722">
        <f>IFERROR(INDEX(PP_Grid[#Data],$DE722,86),0)</f>
        <v/>
      </c>
      <c r="CL722">
        <f>IFERROR(INDEX(PP_Grid[#Data],$DE722,87),0)</f>
        <v/>
      </c>
      <c r="CM722">
        <f>IFERROR(INDEX(PP_Grid[#Data],$DE722,88),0)</f>
        <v/>
      </c>
      <c r="CN722">
        <f>IFERROR(INDEX(PP_Grid[#Data],$DE722,89),0)</f>
        <v/>
      </c>
      <c r="CO722">
        <f>IFERROR(INDEX(PP_Grid[#Data],$DE722,90),0)</f>
        <v/>
      </c>
      <c r="CP722">
        <f>IFERROR(INDEX(PP_Grid[#Data],$DE722,91),0)</f>
        <v/>
      </c>
      <c r="CQ722">
        <f>IFERROR(INDEX(PP_Grid[#Data],$DE722,92),0)</f>
        <v/>
      </c>
      <c r="CR722">
        <f>IFERROR(INDEX(PP_Grid[#Data],$DE722,93),0)</f>
        <v/>
      </c>
      <c r="CS722">
        <f>IFERROR(INDEX(PP_Grid[#Data],$DE722,94),0)</f>
        <v/>
      </c>
      <c r="CT722">
        <f>IFERROR(INDEX(PP_Grid[#Data],$DE722,95),0)</f>
        <v/>
      </c>
      <c r="CU722">
        <f>IFERROR(INDEX(PP_Grid[#Data],$DE722,96),0)</f>
        <v/>
      </c>
      <c r="CV722">
        <f>IFERROR(INDEX(PP_Grid[#Data],$DE722,97),0)</f>
        <v/>
      </c>
      <c r="CW722">
        <f>IFERROR(INDEX(PP_Grid[#Data],$DE722,98),0)</f>
        <v/>
      </c>
      <c r="CX722">
        <f>IFERROR(INDEX(PP_Grid[#Data],$DE722,99),0)</f>
        <v/>
      </c>
      <c r="CY722">
        <f>IFERROR(INDEX(PP_Grid[#Data],$DE722,100),0)</f>
        <v/>
      </c>
      <c r="CZ722">
        <f>IFERROR(INDEX(PP_Grid[#Data],$DE722,101),0)</f>
        <v/>
      </c>
      <c r="DA722">
        <f>IFERROR(INDEX(PP_Grid[#Data],$DE722,102),0)</f>
        <v/>
      </c>
      <c r="DB722">
        <f>IFERROR(INDEX(PP_Grid[#Data],$DE722,103),0)</f>
        <v/>
      </c>
      <c r="DC722">
        <f>IFERROR(INDEX(PP_Grid[#Data],$DE722,104),0)</f>
        <v/>
      </c>
      <c r="DD722">
        <f>IFERROR(INDEX(PP_Grid[#Data],$DE722,105),0)</f>
        <v/>
      </c>
      <c r="DE722" s="7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SUMIFS(M_BOM[RM_Qty_Per_Batch],M_BOM[Intermediate],$B722,M_BOM[RM_Code],$A721)</f>
        <v/>
      </c>
      <c r="D723">
        <f>IFERROR(INDEX(E723:DD723,$F$1),"")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  <c r="DD723">
        <f>$C723*DD722</f>
        <v/>
      </c>
    </row>
    <row r="724">
      <c r="B724" t="inlineStr">
        <is>
          <t>TSP-078</t>
        </is>
      </c>
      <c r="C724" t="inlineStr">
        <is>
          <t>No. of batches</t>
        </is>
      </c>
      <c r="D724">
        <f>IFERROR(INDEX(E724:DD724,$F$1),"")</f>
        <v/>
      </c>
      <c r="E724">
        <f>IFERROR(INDEX(PP_Grid[#Data],$DE724,2),0)</f>
        <v/>
      </c>
      <c r="F724">
        <f>IFERROR(INDEX(PP_Grid[#Data],$DE724,3),0)</f>
        <v/>
      </c>
      <c r="G724">
        <f>IFERROR(INDEX(PP_Grid[#Data],$DE724,4),0)</f>
        <v/>
      </c>
      <c r="H724">
        <f>IFERROR(INDEX(PP_Grid[#Data],$DE724,5),0)</f>
        <v/>
      </c>
      <c r="I724">
        <f>IFERROR(INDEX(PP_Grid[#Data],$DE724,6),0)</f>
        <v/>
      </c>
      <c r="J724">
        <f>IFERROR(INDEX(PP_Grid[#Data],$DE724,7),0)</f>
        <v/>
      </c>
      <c r="K724">
        <f>IFERROR(INDEX(PP_Grid[#Data],$DE724,8),0)</f>
        <v/>
      </c>
      <c r="L724">
        <f>IFERROR(INDEX(PP_Grid[#Data],$DE724,9),0)</f>
        <v/>
      </c>
      <c r="M724">
        <f>IFERROR(INDEX(PP_Grid[#Data],$DE724,10),0)</f>
        <v/>
      </c>
      <c r="N724">
        <f>IFERROR(INDEX(PP_Grid[#Data],$DE724,11),0)</f>
        <v/>
      </c>
      <c r="O724">
        <f>IFERROR(INDEX(PP_Grid[#Data],$DE724,12),0)</f>
        <v/>
      </c>
      <c r="P724">
        <f>IFERROR(INDEX(PP_Grid[#Data],$DE724,13),0)</f>
        <v/>
      </c>
      <c r="Q724">
        <f>IFERROR(INDEX(PP_Grid[#Data],$DE724,14),0)</f>
        <v/>
      </c>
      <c r="R724">
        <f>IFERROR(INDEX(PP_Grid[#Data],$DE724,15),0)</f>
        <v/>
      </c>
      <c r="S724">
        <f>IFERROR(INDEX(PP_Grid[#Data],$DE724,16),0)</f>
        <v/>
      </c>
      <c r="T724">
        <f>IFERROR(INDEX(PP_Grid[#Data],$DE724,17),0)</f>
        <v/>
      </c>
      <c r="U724">
        <f>IFERROR(INDEX(PP_Grid[#Data],$DE724,18),0)</f>
        <v/>
      </c>
      <c r="V724">
        <f>IFERROR(INDEX(PP_Grid[#Data],$DE724,19),0)</f>
        <v/>
      </c>
      <c r="W724">
        <f>IFERROR(INDEX(PP_Grid[#Data],$DE724,20),0)</f>
        <v/>
      </c>
      <c r="X724">
        <f>IFERROR(INDEX(PP_Grid[#Data],$DE724,21),0)</f>
        <v/>
      </c>
      <c r="Y724">
        <f>IFERROR(INDEX(PP_Grid[#Data],$DE724,22),0)</f>
        <v/>
      </c>
      <c r="Z724">
        <f>IFERROR(INDEX(PP_Grid[#Data],$DE724,23),0)</f>
        <v/>
      </c>
      <c r="AA724">
        <f>IFERROR(INDEX(PP_Grid[#Data],$DE724,24),0)</f>
        <v/>
      </c>
      <c r="AB724">
        <f>IFERROR(INDEX(PP_Grid[#Data],$DE724,25),0)</f>
        <v/>
      </c>
      <c r="AC724">
        <f>IFERROR(INDEX(PP_Grid[#Data],$DE724,26),0)</f>
        <v/>
      </c>
      <c r="AD724">
        <f>IFERROR(INDEX(PP_Grid[#Data],$DE724,27),0)</f>
        <v/>
      </c>
      <c r="AE724">
        <f>IFERROR(INDEX(PP_Grid[#Data],$DE724,28),0)</f>
        <v/>
      </c>
      <c r="AF724">
        <f>IFERROR(INDEX(PP_Grid[#Data],$DE724,29),0)</f>
        <v/>
      </c>
      <c r="AG724">
        <f>IFERROR(INDEX(PP_Grid[#Data],$DE724,30),0)</f>
        <v/>
      </c>
      <c r="AH724">
        <f>IFERROR(INDEX(PP_Grid[#Data],$DE724,31),0)</f>
        <v/>
      </c>
      <c r="AI724">
        <f>IFERROR(INDEX(PP_Grid[#Data],$DE724,32),0)</f>
        <v/>
      </c>
      <c r="AJ724">
        <f>IFERROR(INDEX(PP_Grid[#Data],$DE724,33),0)</f>
        <v/>
      </c>
      <c r="AK724">
        <f>IFERROR(INDEX(PP_Grid[#Data],$DE724,34),0)</f>
        <v/>
      </c>
      <c r="AL724">
        <f>IFERROR(INDEX(PP_Grid[#Data],$DE724,35),0)</f>
        <v/>
      </c>
      <c r="AM724">
        <f>IFERROR(INDEX(PP_Grid[#Data],$DE724,36),0)</f>
        <v/>
      </c>
      <c r="AN724">
        <f>IFERROR(INDEX(PP_Grid[#Data],$DE724,37),0)</f>
        <v/>
      </c>
      <c r="AO724">
        <f>IFERROR(INDEX(PP_Grid[#Data],$DE724,38),0)</f>
        <v/>
      </c>
      <c r="AP724">
        <f>IFERROR(INDEX(PP_Grid[#Data],$DE724,39),0)</f>
        <v/>
      </c>
      <c r="AQ724">
        <f>IFERROR(INDEX(PP_Grid[#Data],$DE724,40),0)</f>
        <v/>
      </c>
      <c r="AR724">
        <f>IFERROR(INDEX(PP_Grid[#Data],$DE724,41),0)</f>
        <v/>
      </c>
      <c r="AS724">
        <f>IFERROR(INDEX(PP_Grid[#Data],$DE724,42),0)</f>
        <v/>
      </c>
      <c r="AT724">
        <f>IFERROR(INDEX(PP_Grid[#Data],$DE724,43),0)</f>
        <v/>
      </c>
      <c r="AU724">
        <f>IFERROR(INDEX(PP_Grid[#Data],$DE724,44),0)</f>
        <v/>
      </c>
      <c r="AV724">
        <f>IFERROR(INDEX(PP_Grid[#Data],$DE724,45),0)</f>
        <v/>
      </c>
      <c r="AW724">
        <f>IFERROR(INDEX(PP_Grid[#Data],$DE724,46),0)</f>
        <v/>
      </c>
      <c r="AX724">
        <f>IFERROR(INDEX(PP_Grid[#Data],$DE724,47),0)</f>
        <v/>
      </c>
      <c r="AY724">
        <f>IFERROR(INDEX(PP_Grid[#Data],$DE724,48),0)</f>
        <v/>
      </c>
      <c r="AZ724">
        <f>IFERROR(INDEX(PP_Grid[#Data],$DE724,49),0)</f>
        <v/>
      </c>
      <c r="BA724">
        <f>IFERROR(INDEX(PP_Grid[#Data],$DE724,50),0)</f>
        <v/>
      </c>
      <c r="BB724">
        <f>IFERROR(INDEX(PP_Grid[#Data],$DE724,51),0)</f>
        <v/>
      </c>
      <c r="BC724">
        <f>IFERROR(INDEX(PP_Grid[#Data],$DE724,52),0)</f>
        <v/>
      </c>
      <c r="BD724">
        <f>IFERROR(INDEX(PP_Grid[#Data],$DE724,53),0)</f>
        <v/>
      </c>
      <c r="BE724">
        <f>IFERROR(INDEX(PP_Grid[#Data],$DE724,54),0)</f>
        <v/>
      </c>
      <c r="BF724">
        <f>IFERROR(INDEX(PP_Grid[#Data],$DE724,55),0)</f>
        <v/>
      </c>
      <c r="BG724">
        <f>IFERROR(INDEX(PP_Grid[#Data],$DE724,56),0)</f>
        <v/>
      </c>
      <c r="BH724">
        <f>IFERROR(INDEX(PP_Grid[#Data],$DE724,57),0)</f>
        <v/>
      </c>
      <c r="BI724">
        <f>IFERROR(INDEX(PP_Grid[#Data],$DE724,58),0)</f>
        <v/>
      </c>
      <c r="BJ724">
        <f>IFERROR(INDEX(PP_Grid[#Data],$DE724,59),0)</f>
        <v/>
      </c>
      <c r="BK724">
        <f>IFERROR(INDEX(PP_Grid[#Data],$DE724,60),0)</f>
        <v/>
      </c>
      <c r="BL724">
        <f>IFERROR(INDEX(PP_Grid[#Data],$DE724,61),0)</f>
        <v/>
      </c>
      <c r="BM724">
        <f>IFERROR(INDEX(PP_Grid[#Data],$DE724,62),0)</f>
        <v/>
      </c>
      <c r="BN724">
        <f>IFERROR(INDEX(PP_Grid[#Data],$DE724,63),0)</f>
        <v/>
      </c>
      <c r="BO724">
        <f>IFERROR(INDEX(PP_Grid[#Data],$DE724,64),0)</f>
        <v/>
      </c>
      <c r="BP724">
        <f>IFERROR(INDEX(PP_Grid[#Data],$DE724,65),0)</f>
        <v/>
      </c>
      <c r="BQ724">
        <f>IFERROR(INDEX(PP_Grid[#Data],$DE724,66),0)</f>
        <v/>
      </c>
      <c r="BR724">
        <f>IFERROR(INDEX(PP_Grid[#Data],$DE724,67),0)</f>
        <v/>
      </c>
      <c r="BS724">
        <f>IFERROR(INDEX(PP_Grid[#Data],$DE724,68),0)</f>
        <v/>
      </c>
      <c r="BT724">
        <f>IFERROR(INDEX(PP_Grid[#Data],$DE724,69),0)</f>
        <v/>
      </c>
      <c r="BU724">
        <f>IFERROR(INDEX(PP_Grid[#Data],$DE724,70),0)</f>
        <v/>
      </c>
      <c r="BV724">
        <f>IFERROR(INDEX(PP_Grid[#Data],$DE724,71),0)</f>
        <v/>
      </c>
      <c r="BW724">
        <f>IFERROR(INDEX(PP_Grid[#Data],$DE724,72),0)</f>
        <v/>
      </c>
      <c r="BX724">
        <f>IFERROR(INDEX(PP_Grid[#Data],$DE724,73),0)</f>
        <v/>
      </c>
      <c r="BY724">
        <f>IFERROR(INDEX(PP_Grid[#Data],$DE724,74),0)</f>
        <v/>
      </c>
      <c r="BZ724">
        <f>IFERROR(INDEX(PP_Grid[#Data],$DE724,75),0)</f>
        <v/>
      </c>
      <c r="CA724">
        <f>IFERROR(INDEX(PP_Grid[#Data],$DE724,76),0)</f>
        <v/>
      </c>
      <c r="CB724">
        <f>IFERROR(INDEX(PP_Grid[#Data],$DE724,77),0)</f>
        <v/>
      </c>
      <c r="CC724">
        <f>IFERROR(INDEX(PP_Grid[#Data],$DE724,78),0)</f>
        <v/>
      </c>
      <c r="CD724">
        <f>IFERROR(INDEX(PP_Grid[#Data],$DE724,79),0)</f>
        <v/>
      </c>
      <c r="CE724">
        <f>IFERROR(INDEX(PP_Grid[#Data],$DE724,80),0)</f>
        <v/>
      </c>
      <c r="CF724">
        <f>IFERROR(INDEX(PP_Grid[#Data],$DE724,81),0)</f>
        <v/>
      </c>
      <c r="CG724">
        <f>IFERROR(INDEX(PP_Grid[#Data],$DE724,82),0)</f>
        <v/>
      </c>
      <c r="CH724">
        <f>IFERROR(INDEX(PP_Grid[#Data],$DE724,83),0)</f>
        <v/>
      </c>
      <c r="CI724">
        <f>IFERROR(INDEX(PP_Grid[#Data],$DE724,84),0)</f>
        <v/>
      </c>
      <c r="CJ724">
        <f>IFERROR(INDEX(PP_Grid[#Data],$DE724,85),0)</f>
        <v/>
      </c>
      <c r="CK724">
        <f>IFERROR(INDEX(PP_Grid[#Data],$DE724,86),0)</f>
        <v/>
      </c>
      <c r="CL724">
        <f>IFERROR(INDEX(PP_Grid[#Data],$DE724,87),0)</f>
        <v/>
      </c>
      <c r="CM724">
        <f>IFERROR(INDEX(PP_Grid[#Data],$DE724,88),0)</f>
        <v/>
      </c>
      <c r="CN724">
        <f>IFERROR(INDEX(PP_Grid[#Data],$DE724,89),0)</f>
        <v/>
      </c>
      <c r="CO724">
        <f>IFERROR(INDEX(PP_Grid[#Data],$DE724,90),0)</f>
        <v/>
      </c>
      <c r="CP724">
        <f>IFERROR(INDEX(PP_Grid[#Data],$DE724,91),0)</f>
        <v/>
      </c>
      <c r="CQ724">
        <f>IFERROR(INDEX(PP_Grid[#Data],$DE724,92),0)</f>
        <v/>
      </c>
      <c r="CR724">
        <f>IFERROR(INDEX(PP_Grid[#Data],$DE724,93),0)</f>
        <v/>
      </c>
      <c r="CS724">
        <f>IFERROR(INDEX(PP_Grid[#Data],$DE724,94),0)</f>
        <v/>
      </c>
      <c r="CT724">
        <f>IFERROR(INDEX(PP_Grid[#Data],$DE724,95),0)</f>
        <v/>
      </c>
      <c r="CU724">
        <f>IFERROR(INDEX(PP_Grid[#Data],$DE724,96),0)</f>
        <v/>
      </c>
      <c r="CV724">
        <f>IFERROR(INDEX(PP_Grid[#Data],$DE724,97),0)</f>
        <v/>
      </c>
      <c r="CW724">
        <f>IFERROR(INDEX(PP_Grid[#Data],$DE724,98),0)</f>
        <v/>
      </c>
      <c r="CX724">
        <f>IFERROR(INDEX(PP_Grid[#Data],$DE724,99),0)</f>
        <v/>
      </c>
      <c r="CY724">
        <f>IFERROR(INDEX(PP_Grid[#Data],$DE724,100),0)</f>
        <v/>
      </c>
      <c r="CZ724">
        <f>IFERROR(INDEX(PP_Grid[#Data],$DE724,101),0)</f>
        <v/>
      </c>
      <c r="DA724">
        <f>IFERROR(INDEX(PP_Grid[#Data],$DE724,102),0)</f>
        <v/>
      </c>
      <c r="DB724">
        <f>IFERROR(INDEX(PP_Grid[#Data],$DE724,103),0)</f>
        <v/>
      </c>
      <c r="DC724">
        <f>IFERROR(INDEX(PP_Grid[#Data],$DE724,104),0)</f>
        <v/>
      </c>
      <c r="DD724">
        <f>IFERROR(INDEX(PP_Grid[#Data],$DE724,105),0)</f>
        <v/>
      </c>
      <c r="DE724" s="7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SUMIFS(M_BOM[RM_Qty_Per_Batch],M_BOM[Intermediate],$B724,M_BOM[RM_Code],$A721)</f>
        <v/>
      </c>
      <c r="D725">
        <f>IFERROR(INDEX(E725:DD725,$F$1),"")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  <c r="DD725">
        <f>$C725*DD724</f>
        <v/>
      </c>
    </row>
    <row r="726">
      <c r="B726" t="inlineStr">
        <is>
          <t>TSP-080</t>
        </is>
      </c>
      <c r="C726" t="inlineStr">
        <is>
          <t>No. of batches</t>
        </is>
      </c>
      <c r="D726">
        <f>IFERROR(INDEX(E726:DD726,$F$1),"")</f>
        <v/>
      </c>
      <c r="E726">
        <f>IFERROR(INDEX(PP_Grid[#Data],$DE726,2),0)</f>
        <v/>
      </c>
      <c r="F726">
        <f>IFERROR(INDEX(PP_Grid[#Data],$DE726,3),0)</f>
        <v/>
      </c>
      <c r="G726">
        <f>IFERROR(INDEX(PP_Grid[#Data],$DE726,4),0)</f>
        <v/>
      </c>
      <c r="H726">
        <f>IFERROR(INDEX(PP_Grid[#Data],$DE726,5),0)</f>
        <v/>
      </c>
      <c r="I726">
        <f>IFERROR(INDEX(PP_Grid[#Data],$DE726,6),0)</f>
        <v/>
      </c>
      <c r="J726">
        <f>IFERROR(INDEX(PP_Grid[#Data],$DE726,7),0)</f>
        <v/>
      </c>
      <c r="K726">
        <f>IFERROR(INDEX(PP_Grid[#Data],$DE726,8),0)</f>
        <v/>
      </c>
      <c r="L726">
        <f>IFERROR(INDEX(PP_Grid[#Data],$DE726,9),0)</f>
        <v/>
      </c>
      <c r="M726">
        <f>IFERROR(INDEX(PP_Grid[#Data],$DE726,10),0)</f>
        <v/>
      </c>
      <c r="N726">
        <f>IFERROR(INDEX(PP_Grid[#Data],$DE726,11),0)</f>
        <v/>
      </c>
      <c r="O726">
        <f>IFERROR(INDEX(PP_Grid[#Data],$DE726,12),0)</f>
        <v/>
      </c>
      <c r="P726">
        <f>IFERROR(INDEX(PP_Grid[#Data],$DE726,13),0)</f>
        <v/>
      </c>
      <c r="Q726">
        <f>IFERROR(INDEX(PP_Grid[#Data],$DE726,14),0)</f>
        <v/>
      </c>
      <c r="R726">
        <f>IFERROR(INDEX(PP_Grid[#Data],$DE726,15),0)</f>
        <v/>
      </c>
      <c r="S726">
        <f>IFERROR(INDEX(PP_Grid[#Data],$DE726,16),0)</f>
        <v/>
      </c>
      <c r="T726">
        <f>IFERROR(INDEX(PP_Grid[#Data],$DE726,17),0)</f>
        <v/>
      </c>
      <c r="U726">
        <f>IFERROR(INDEX(PP_Grid[#Data],$DE726,18),0)</f>
        <v/>
      </c>
      <c r="V726">
        <f>IFERROR(INDEX(PP_Grid[#Data],$DE726,19),0)</f>
        <v/>
      </c>
      <c r="W726">
        <f>IFERROR(INDEX(PP_Grid[#Data],$DE726,20),0)</f>
        <v/>
      </c>
      <c r="X726">
        <f>IFERROR(INDEX(PP_Grid[#Data],$DE726,21),0)</f>
        <v/>
      </c>
      <c r="Y726">
        <f>IFERROR(INDEX(PP_Grid[#Data],$DE726,22),0)</f>
        <v/>
      </c>
      <c r="Z726">
        <f>IFERROR(INDEX(PP_Grid[#Data],$DE726,23),0)</f>
        <v/>
      </c>
      <c r="AA726">
        <f>IFERROR(INDEX(PP_Grid[#Data],$DE726,24),0)</f>
        <v/>
      </c>
      <c r="AB726">
        <f>IFERROR(INDEX(PP_Grid[#Data],$DE726,25),0)</f>
        <v/>
      </c>
      <c r="AC726">
        <f>IFERROR(INDEX(PP_Grid[#Data],$DE726,26),0)</f>
        <v/>
      </c>
      <c r="AD726">
        <f>IFERROR(INDEX(PP_Grid[#Data],$DE726,27),0)</f>
        <v/>
      </c>
      <c r="AE726">
        <f>IFERROR(INDEX(PP_Grid[#Data],$DE726,28),0)</f>
        <v/>
      </c>
      <c r="AF726">
        <f>IFERROR(INDEX(PP_Grid[#Data],$DE726,29),0)</f>
        <v/>
      </c>
      <c r="AG726">
        <f>IFERROR(INDEX(PP_Grid[#Data],$DE726,30),0)</f>
        <v/>
      </c>
      <c r="AH726">
        <f>IFERROR(INDEX(PP_Grid[#Data],$DE726,31),0)</f>
        <v/>
      </c>
      <c r="AI726">
        <f>IFERROR(INDEX(PP_Grid[#Data],$DE726,32),0)</f>
        <v/>
      </c>
      <c r="AJ726">
        <f>IFERROR(INDEX(PP_Grid[#Data],$DE726,33),0)</f>
        <v/>
      </c>
      <c r="AK726">
        <f>IFERROR(INDEX(PP_Grid[#Data],$DE726,34),0)</f>
        <v/>
      </c>
      <c r="AL726">
        <f>IFERROR(INDEX(PP_Grid[#Data],$DE726,35),0)</f>
        <v/>
      </c>
      <c r="AM726">
        <f>IFERROR(INDEX(PP_Grid[#Data],$DE726,36),0)</f>
        <v/>
      </c>
      <c r="AN726">
        <f>IFERROR(INDEX(PP_Grid[#Data],$DE726,37),0)</f>
        <v/>
      </c>
      <c r="AO726">
        <f>IFERROR(INDEX(PP_Grid[#Data],$DE726,38),0)</f>
        <v/>
      </c>
      <c r="AP726">
        <f>IFERROR(INDEX(PP_Grid[#Data],$DE726,39),0)</f>
        <v/>
      </c>
      <c r="AQ726">
        <f>IFERROR(INDEX(PP_Grid[#Data],$DE726,40),0)</f>
        <v/>
      </c>
      <c r="AR726">
        <f>IFERROR(INDEX(PP_Grid[#Data],$DE726,41),0)</f>
        <v/>
      </c>
      <c r="AS726">
        <f>IFERROR(INDEX(PP_Grid[#Data],$DE726,42),0)</f>
        <v/>
      </c>
      <c r="AT726">
        <f>IFERROR(INDEX(PP_Grid[#Data],$DE726,43),0)</f>
        <v/>
      </c>
      <c r="AU726">
        <f>IFERROR(INDEX(PP_Grid[#Data],$DE726,44),0)</f>
        <v/>
      </c>
      <c r="AV726">
        <f>IFERROR(INDEX(PP_Grid[#Data],$DE726,45),0)</f>
        <v/>
      </c>
      <c r="AW726">
        <f>IFERROR(INDEX(PP_Grid[#Data],$DE726,46),0)</f>
        <v/>
      </c>
      <c r="AX726">
        <f>IFERROR(INDEX(PP_Grid[#Data],$DE726,47),0)</f>
        <v/>
      </c>
      <c r="AY726">
        <f>IFERROR(INDEX(PP_Grid[#Data],$DE726,48),0)</f>
        <v/>
      </c>
      <c r="AZ726">
        <f>IFERROR(INDEX(PP_Grid[#Data],$DE726,49),0)</f>
        <v/>
      </c>
      <c r="BA726">
        <f>IFERROR(INDEX(PP_Grid[#Data],$DE726,50),0)</f>
        <v/>
      </c>
      <c r="BB726">
        <f>IFERROR(INDEX(PP_Grid[#Data],$DE726,51),0)</f>
        <v/>
      </c>
      <c r="BC726">
        <f>IFERROR(INDEX(PP_Grid[#Data],$DE726,52),0)</f>
        <v/>
      </c>
      <c r="BD726">
        <f>IFERROR(INDEX(PP_Grid[#Data],$DE726,53),0)</f>
        <v/>
      </c>
      <c r="BE726">
        <f>IFERROR(INDEX(PP_Grid[#Data],$DE726,54),0)</f>
        <v/>
      </c>
      <c r="BF726">
        <f>IFERROR(INDEX(PP_Grid[#Data],$DE726,55),0)</f>
        <v/>
      </c>
      <c r="BG726">
        <f>IFERROR(INDEX(PP_Grid[#Data],$DE726,56),0)</f>
        <v/>
      </c>
      <c r="BH726">
        <f>IFERROR(INDEX(PP_Grid[#Data],$DE726,57),0)</f>
        <v/>
      </c>
      <c r="BI726">
        <f>IFERROR(INDEX(PP_Grid[#Data],$DE726,58),0)</f>
        <v/>
      </c>
      <c r="BJ726">
        <f>IFERROR(INDEX(PP_Grid[#Data],$DE726,59),0)</f>
        <v/>
      </c>
      <c r="BK726">
        <f>IFERROR(INDEX(PP_Grid[#Data],$DE726,60),0)</f>
        <v/>
      </c>
      <c r="BL726">
        <f>IFERROR(INDEX(PP_Grid[#Data],$DE726,61),0)</f>
        <v/>
      </c>
      <c r="BM726">
        <f>IFERROR(INDEX(PP_Grid[#Data],$DE726,62),0)</f>
        <v/>
      </c>
      <c r="BN726">
        <f>IFERROR(INDEX(PP_Grid[#Data],$DE726,63),0)</f>
        <v/>
      </c>
      <c r="BO726">
        <f>IFERROR(INDEX(PP_Grid[#Data],$DE726,64),0)</f>
        <v/>
      </c>
      <c r="BP726">
        <f>IFERROR(INDEX(PP_Grid[#Data],$DE726,65),0)</f>
        <v/>
      </c>
      <c r="BQ726">
        <f>IFERROR(INDEX(PP_Grid[#Data],$DE726,66),0)</f>
        <v/>
      </c>
      <c r="BR726">
        <f>IFERROR(INDEX(PP_Grid[#Data],$DE726,67),0)</f>
        <v/>
      </c>
      <c r="BS726">
        <f>IFERROR(INDEX(PP_Grid[#Data],$DE726,68),0)</f>
        <v/>
      </c>
      <c r="BT726">
        <f>IFERROR(INDEX(PP_Grid[#Data],$DE726,69),0)</f>
        <v/>
      </c>
      <c r="BU726">
        <f>IFERROR(INDEX(PP_Grid[#Data],$DE726,70),0)</f>
        <v/>
      </c>
      <c r="BV726">
        <f>IFERROR(INDEX(PP_Grid[#Data],$DE726,71),0)</f>
        <v/>
      </c>
      <c r="BW726">
        <f>IFERROR(INDEX(PP_Grid[#Data],$DE726,72),0)</f>
        <v/>
      </c>
      <c r="BX726">
        <f>IFERROR(INDEX(PP_Grid[#Data],$DE726,73),0)</f>
        <v/>
      </c>
      <c r="BY726">
        <f>IFERROR(INDEX(PP_Grid[#Data],$DE726,74),0)</f>
        <v/>
      </c>
      <c r="BZ726">
        <f>IFERROR(INDEX(PP_Grid[#Data],$DE726,75),0)</f>
        <v/>
      </c>
      <c r="CA726">
        <f>IFERROR(INDEX(PP_Grid[#Data],$DE726,76),0)</f>
        <v/>
      </c>
      <c r="CB726">
        <f>IFERROR(INDEX(PP_Grid[#Data],$DE726,77),0)</f>
        <v/>
      </c>
      <c r="CC726">
        <f>IFERROR(INDEX(PP_Grid[#Data],$DE726,78),0)</f>
        <v/>
      </c>
      <c r="CD726">
        <f>IFERROR(INDEX(PP_Grid[#Data],$DE726,79),0)</f>
        <v/>
      </c>
      <c r="CE726">
        <f>IFERROR(INDEX(PP_Grid[#Data],$DE726,80),0)</f>
        <v/>
      </c>
      <c r="CF726">
        <f>IFERROR(INDEX(PP_Grid[#Data],$DE726,81),0)</f>
        <v/>
      </c>
      <c r="CG726">
        <f>IFERROR(INDEX(PP_Grid[#Data],$DE726,82),0)</f>
        <v/>
      </c>
      <c r="CH726">
        <f>IFERROR(INDEX(PP_Grid[#Data],$DE726,83),0)</f>
        <v/>
      </c>
      <c r="CI726">
        <f>IFERROR(INDEX(PP_Grid[#Data],$DE726,84),0)</f>
        <v/>
      </c>
      <c r="CJ726">
        <f>IFERROR(INDEX(PP_Grid[#Data],$DE726,85),0)</f>
        <v/>
      </c>
      <c r="CK726">
        <f>IFERROR(INDEX(PP_Grid[#Data],$DE726,86),0)</f>
        <v/>
      </c>
      <c r="CL726">
        <f>IFERROR(INDEX(PP_Grid[#Data],$DE726,87),0)</f>
        <v/>
      </c>
      <c r="CM726">
        <f>IFERROR(INDEX(PP_Grid[#Data],$DE726,88),0)</f>
        <v/>
      </c>
      <c r="CN726">
        <f>IFERROR(INDEX(PP_Grid[#Data],$DE726,89),0)</f>
        <v/>
      </c>
      <c r="CO726">
        <f>IFERROR(INDEX(PP_Grid[#Data],$DE726,90),0)</f>
        <v/>
      </c>
      <c r="CP726">
        <f>IFERROR(INDEX(PP_Grid[#Data],$DE726,91),0)</f>
        <v/>
      </c>
      <c r="CQ726">
        <f>IFERROR(INDEX(PP_Grid[#Data],$DE726,92),0)</f>
        <v/>
      </c>
      <c r="CR726">
        <f>IFERROR(INDEX(PP_Grid[#Data],$DE726,93),0)</f>
        <v/>
      </c>
      <c r="CS726">
        <f>IFERROR(INDEX(PP_Grid[#Data],$DE726,94),0)</f>
        <v/>
      </c>
      <c r="CT726">
        <f>IFERROR(INDEX(PP_Grid[#Data],$DE726,95),0)</f>
        <v/>
      </c>
      <c r="CU726">
        <f>IFERROR(INDEX(PP_Grid[#Data],$DE726,96),0)</f>
        <v/>
      </c>
      <c r="CV726">
        <f>IFERROR(INDEX(PP_Grid[#Data],$DE726,97),0)</f>
        <v/>
      </c>
      <c r="CW726">
        <f>IFERROR(INDEX(PP_Grid[#Data],$DE726,98),0)</f>
        <v/>
      </c>
      <c r="CX726">
        <f>IFERROR(INDEX(PP_Grid[#Data],$DE726,99),0)</f>
        <v/>
      </c>
      <c r="CY726">
        <f>IFERROR(INDEX(PP_Grid[#Data],$DE726,100),0)</f>
        <v/>
      </c>
      <c r="CZ726">
        <f>IFERROR(INDEX(PP_Grid[#Data],$DE726,101),0)</f>
        <v/>
      </c>
      <c r="DA726">
        <f>IFERROR(INDEX(PP_Grid[#Data],$DE726,102),0)</f>
        <v/>
      </c>
      <c r="DB726">
        <f>IFERROR(INDEX(PP_Grid[#Data],$DE726,103),0)</f>
        <v/>
      </c>
      <c r="DC726">
        <f>IFERROR(INDEX(PP_Grid[#Data],$DE726,104),0)</f>
        <v/>
      </c>
      <c r="DD726">
        <f>IFERROR(INDEX(PP_Grid[#Data],$DE726,105),0)</f>
        <v/>
      </c>
      <c r="DE726" s="7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SUMIFS(M_BOM[RM_Qty_Per_Batch],M_BOM[Intermediate],$B726,M_BOM[RM_Code],$A721)</f>
        <v/>
      </c>
      <c r="D727">
        <f>IFERROR(INDEX(E727:DD727,$F$1),"")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  <c r="DD727">
        <f>$C727*DD726</f>
        <v/>
      </c>
    </row>
    <row r="728">
      <c r="B728" t="inlineStr">
        <is>
          <t>TSP-088</t>
        </is>
      </c>
      <c r="C728" t="inlineStr">
        <is>
          <t>No. of batches</t>
        </is>
      </c>
      <c r="D728">
        <f>IFERROR(INDEX(E728:DD728,$F$1),"")</f>
        <v/>
      </c>
      <c r="E728">
        <f>IFERROR(INDEX(PP_Grid[#Data],$DE728,2),0)</f>
        <v/>
      </c>
      <c r="F728">
        <f>IFERROR(INDEX(PP_Grid[#Data],$DE728,3),0)</f>
        <v/>
      </c>
      <c r="G728">
        <f>IFERROR(INDEX(PP_Grid[#Data],$DE728,4),0)</f>
        <v/>
      </c>
      <c r="H728">
        <f>IFERROR(INDEX(PP_Grid[#Data],$DE728,5),0)</f>
        <v/>
      </c>
      <c r="I728">
        <f>IFERROR(INDEX(PP_Grid[#Data],$DE728,6),0)</f>
        <v/>
      </c>
      <c r="J728">
        <f>IFERROR(INDEX(PP_Grid[#Data],$DE728,7),0)</f>
        <v/>
      </c>
      <c r="K728">
        <f>IFERROR(INDEX(PP_Grid[#Data],$DE728,8),0)</f>
        <v/>
      </c>
      <c r="L728">
        <f>IFERROR(INDEX(PP_Grid[#Data],$DE728,9),0)</f>
        <v/>
      </c>
      <c r="M728">
        <f>IFERROR(INDEX(PP_Grid[#Data],$DE728,10),0)</f>
        <v/>
      </c>
      <c r="N728">
        <f>IFERROR(INDEX(PP_Grid[#Data],$DE728,11),0)</f>
        <v/>
      </c>
      <c r="O728">
        <f>IFERROR(INDEX(PP_Grid[#Data],$DE728,12),0)</f>
        <v/>
      </c>
      <c r="P728">
        <f>IFERROR(INDEX(PP_Grid[#Data],$DE728,13),0)</f>
        <v/>
      </c>
      <c r="Q728">
        <f>IFERROR(INDEX(PP_Grid[#Data],$DE728,14),0)</f>
        <v/>
      </c>
      <c r="R728">
        <f>IFERROR(INDEX(PP_Grid[#Data],$DE728,15),0)</f>
        <v/>
      </c>
      <c r="S728">
        <f>IFERROR(INDEX(PP_Grid[#Data],$DE728,16),0)</f>
        <v/>
      </c>
      <c r="T728">
        <f>IFERROR(INDEX(PP_Grid[#Data],$DE728,17),0)</f>
        <v/>
      </c>
      <c r="U728">
        <f>IFERROR(INDEX(PP_Grid[#Data],$DE728,18),0)</f>
        <v/>
      </c>
      <c r="V728">
        <f>IFERROR(INDEX(PP_Grid[#Data],$DE728,19),0)</f>
        <v/>
      </c>
      <c r="W728">
        <f>IFERROR(INDEX(PP_Grid[#Data],$DE728,20),0)</f>
        <v/>
      </c>
      <c r="X728">
        <f>IFERROR(INDEX(PP_Grid[#Data],$DE728,21),0)</f>
        <v/>
      </c>
      <c r="Y728">
        <f>IFERROR(INDEX(PP_Grid[#Data],$DE728,22),0)</f>
        <v/>
      </c>
      <c r="Z728">
        <f>IFERROR(INDEX(PP_Grid[#Data],$DE728,23),0)</f>
        <v/>
      </c>
      <c r="AA728">
        <f>IFERROR(INDEX(PP_Grid[#Data],$DE728,24),0)</f>
        <v/>
      </c>
      <c r="AB728">
        <f>IFERROR(INDEX(PP_Grid[#Data],$DE728,25),0)</f>
        <v/>
      </c>
      <c r="AC728">
        <f>IFERROR(INDEX(PP_Grid[#Data],$DE728,26),0)</f>
        <v/>
      </c>
      <c r="AD728">
        <f>IFERROR(INDEX(PP_Grid[#Data],$DE728,27),0)</f>
        <v/>
      </c>
      <c r="AE728">
        <f>IFERROR(INDEX(PP_Grid[#Data],$DE728,28),0)</f>
        <v/>
      </c>
      <c r="AF728">
        <f>IFERROR(INDEX(PP_Grid[#Data],$DE728,29),0)</f>
        <v/>
      </c>
      <c r="AG728">
        <f>IFERROR(INDEX(PP_Grid[#Data],$DE728,30),0)</f>
        <v/>
      </c>
      <c r="AH728">
        <f>IFERROR(INDEX(PP_Grid[#Data],$DE728,31),0)</f>
        <v/>
      </c>
      <c r="AI728">
        <f>IFERROR(INDEX(PP_Grid[#Data],$DE728,32),0)</f>
        <v/>
      </c>
      <c r="AJ728">
        <f>IFERROR(INDEX(PP_Grid[#Data],$DE728,33),0)</f>
        <v/>
      </c>
      <c r="AK728">
        <f>IFERROR(INDEX(PP_Grid[#Data],$DE728,34),0)</f>
        <v/>
      </c>
      <c r="AL728">
        <f>IFERROR(INDEX(PP_Grid[#Data],$DE728,35),0)</f>
        <v/>
      </c>
      <c r="AM728">
        <f>IFERROR(INDEX(PP_Grid[#Data],$DE728,36),0)</f>
        <v/>
      </c>
      <c r="AN728">
        <f>IFERROR(INDEX(PP_Grid[#Data],$DE728,37),0)</f>
        <v/>
      </c>
      <c r="AO728">
        <f>IFERROR(INDEX(PP_Grid[#Data],$DE728,38),0)</f>
        <v/>
      </c>
      <c r="AP728">
        <f>IFERROR(INDEX(PP_Grid[#Data],$DE728,39),0)</f>
        <v/>
      </c>
      <c r="AQ728">
        <f>IFERROR(INDEX(PP_Grid[#Data],$DE728,40),0)</f>
        <v/>
      </c>
      <c r="AR728">
        <f>IFERROR(INDEX(PP_Grid[#Data],$DE728,41),0)</f>
        <v/>
      </c>
      <c r="AS728">
        <f>IFERROR(INDEX(PP_Grid[#Data],$DE728,42),0)</f>
        <v/>
      </c>
      <c r="AT728">
        <f>IFERROR(INDEX(PP_Grid[#Data],$DE728,43),0)</f>
        <v/>
      </c>
      <c r="AU728">
        <f>IFERROR(INDEX(PP_Grid[#Data],$DE728,44),0)</f>
        <v/>
      </c>
      <c r="AV728">
        <f>IFERROR(INDEX(PP_Grid[#Data],$DE728,45),0)</f>
        <v/>
      </c>
      <c r="AW728">
        <f>IFERROR(INDEX(PP_Grid[#Data],$DE728,46),0)</f>
        <v/>
      </c>
      <c r="AX728">
        <f>IFERROR(INDEX(PP_Grid[#Data],$DE728,47),0)</f>
        <v/>
      </c>
      <c r="AY728">
        <f>IFERROR(INDEX(PP_Grid[#Data],$DE728,48),0)</f>
        <v/>
      </c>
      <c r="AZ728">
        <f>IFERROR(INDEX(PP_Grid[#Data],$DE728,49),0)</f>
        <v/>
      </c>
      <c r="BA728">
        <f>IFERROR(INDEX(PP_Grid[#Data],$DE728,50),0)</f>
        <v/>
      </c>
      <c r="BB728">
        <f>IFERROR(INDEX(PP_Grid[#Data],$DE728,51),0)</f>
        <v/>
      </c>
      <c r="BC728">
        <f>IFERROR(INDEX(PP_Grid[#Data],$DE728,52),0)</f>
        <v/>
      </c>
      <c r="BD728">
        <f>IFERROR(INDEX(PP_Grid[#Data],$DE728,53),0)</f>
        <v/>
      </c>
      <c r="BE728">
        <f>IFERROR(INDEX(PP_Grid[#Data],$DE728,54),0)</f>
        <v/>
      </c>
      <c r="BF728">
        <f>IFERROR(INDEX(PP_Grid[#Data],$DE728,55),0)</f>
        <v/>
      </c>
      <c r="BG728">
        <f>IFERROR(INDEX(PP_Grid[#Data],$DE728,56),0)</f>
        <v/>
      </c>
      <c r="BH728">
        <f>IFERROR(INDEX(PP_Grid[#Data],$DE728,57),0)</f>
        <v/>
      </c>
      <c r="BI728">
        <f>IFERROR(INDEX(PP_Grid[#Data],$DE728,58),0)</f>
        <v/>
      </c>
      <c r="BJ728">
        <f>IFERROR(INDEX(PP_Grid[#Data],$DE728,59),0)</f>
        <v/>
      </c>
      <c r="BK728">
        <f>IFERROR(INDEX(PP_Grid[#Data],$DE728,60),0)</f>
        <v/>
      </c>
      <c r="BL728">
        <f>IFERROR(INDEX(PP_Grid[#Data],$DE728,61),0)</f>
        <v/>
      </c>
      <c r="BM728">
        <f>IFERROR(INDEX(PP_Grid[#Data],$DE728,62),0)</f>
        <v/>
      </c>
      <c r="BN728">
        <f>IFERROR(INDEX(PP_Grid[#Data],$DE728,63),0)</f>
        <v/>
      </c>
      <c r="BO728">
        <f>IFERROR(INDEX(PP_Grid[#Data],$DE728,64),0)</f>
        <v/>
      </c>
      <c r="BP728">
        <f>IFERROR(INDEX(PP_Grid[#Data],$DE728,65),0)</f>
        <v/>
      </c>
      <c r="BQ728">
        <f>IFERROR(INDEX(PP_Grid[#Data],$DE728,66),0)</f>
        <v/>
      </c>
      <c r="BR728">
        <f>IFERROR(INDEX(PP_Grid[#Data],$DE728,67),0)</f>
        <v/>
      </c>
      <c r="BS728">
        <f>IFERROR(INDEX(PP_Grid[#Data],$DE728,68),0)</f>
        <v/>
      </c>
      <c r="BT728">
        <f>IFERROR(INDEX(PP_Grid[#Data],$DE728,69),0)</f>
        <v/>
      </c>
      <c r="BU728">
        <f>IFERROR(INDEX(PP_Grid[#Data],$DE728,70),0)</f>
        <v/>
      </c>
      <c r="BV728">
        <f>IFERROR(INDEX(PP_Grid[#Data],$DE728,71),0)</f>
        <v/>
      </c>
      <c r="BW728">
        <f>IFERROR(INDEX(PP_Grid[#Data],$DE728,72),0)</f>
        <v/>
      </c>
      <c r="BX728">
        <f>IFERROR(INDEX(PP_Grid[#Data],$DE728,73),0)</f>
        <v/>
      </c>
      <c r="BY728">
        <f>IFERROR(INDEX(PP_Grid[#Data],$DE728,74),0)</f>
        <v/>
      </c>
      <c r="BZ728">
        <f>IFERROR(INDEX(PP_Grid[#Data],$DE728,75),0)</f>
        <v/>
      </c>
      <c r="CA728">
        <f>IFERROR(INDEX(PP_Grid[#Data],$DE728,76),0)</f>
        <v/>
      </c>
      <c r="CB728">
        <f>IFERROR(INDEX(PP_Grid[#Data],$DE728,77),0)</f>
        <v/>
      </c>
      <c r="CC728">
        <f>IFERROR(INDEX(PP_Grid[#Data],$DE728,78),0)</f>
        <v/>
      </c>
      <c r="CD728">
        <f>IFERROR(INDEX(PP_Grid[#Data],$DE728,79),0)</f>
        <v/>
      </c>
      <c r="CE728">
        <f>IFERROR(INDEX(PP_Grid[#Data],$DE728,80),0)</f>
        <v/>
      </c>
      <c r="CF728">
        <f>IFERROR(INDEX(PP_Grid[#Data],$DE728,81),0)</f>
        <v/>
      </c>
      <c r="CG728">
        <f>IFERROR(INDEX(PP_Grid[#Data],$DE728,82),0)</f>
        <v/>
      </c>
      <c r="CH728">
        <f>IFERROR(INDEX(PP_Grid[#Data],$DE728,83),0)</f>
        <v/>
      </c>
      <c r="CI728">
        <f>IFERROR(INDEX(PP_Grid[#Data],$DE728,84),0)</f>
        <v/>
      </c>
      <c r="CJ728">
        <f>IFERROR(INDEX(PP_Grid[#Data],$DE728,85),0)</f>
        <v/>
      </c>
      <c r="CK728">
        <f>IFERROR(INDEX(PP_Grid[#Data],$DE728,86),0)</f>
        <v/>
      </c>
      <c r="CL728">
        <f>IFERROR(INDEX(PP_Grid[#Data],$DE728,87),0)</f>
        <v/>
      </c>
      <c r="CM728">
        <f>IFERROR(INDEX(PP_Grid[#Data],$DE728,88),0)</f>
        <v/>
      </c>
      <c r="CN728">
        <f>IFERROR(INDEX(PP_Grid[#Data],$DE728,89),0)</f>
        <v/>
      </c>
      <c r="CO728">
        <f>IFERROR(INDEX(PP_Grid[#Data],$DE728,90),0)</f>
        <v/>
      </c>
      <c r="CP728">
        <f>IFERROR(INDEX(PP_Grid[#Data],$DE728,91),0)</f>
        <v/>
      </c>
      <c r="CQ728">
        <f>IFERROR(INDEX(PP_Grid[#Data],$DE728,92),0)</f>
        <v/>
      </c>
      <c r="CR728">
        <f>IFERROR(INDEX(PP_Grid[#Data],$DE728,93),0)</f>
        <v/>
      </c>
      <c r="CS728">
        <f>IFERROR(INDEX(PP_Grid[#Data],$DE728,94),0)</f>
        <v/>
      </c>
      <c r="CT728">
        <f>IFERROR(INDEX(PP_Grid[#Data],$DE728,95),0)</f>
        <v/>
      </c>
      <c r="CU728">
        <f>IFERROR(INDEX(PP_Grid[#Data],$DE728,96),0)</f>
        <v/>
      </c>
      <c r="CV728">
        <f>IFERROR(INDEX(PP_Grid[#Data],$DE728,97),0)</f>
        <v/>
      </c>
      <c r="CW728">
        <f>IFERROR(INDEX(PP_Grid[#Data],$DE728,98),0)</f>
        <v/>
      </c>
      <c r="CX728">
        <f>IFERROR(INDEX(PP_Grid[#Data],$DE728,99),0)</f>
        <v/>
      </c>
      <c r="CY728">
        <f>IFERROR(INDEX(PP_Grid[#Data],$DE728,100),0)</f>
        <v/>
      </c>
      <c r="CZ728">
        <f>IFERROR(INDEX(PP_Grid[#Data],$DE728,101),0)</f>
        <v/>
      </c>
      <c r="DA728">
        <f>IFERROR(INDEX(PP_Grid[#Data],$DE728,102),0)</f>
        <v/>
      </c>
      <c r="DB728">
        <f>IFERROR(INDEX(PP_Grid[#Data],$DE728,103),0)</f>
        <v/>
      </c>
      <c r="DC728">
        <f>IFERROR(INDEX(PP_Grid[#Data],$DE728,104),0)</f>
        <v/>
      </c>
      <c r="DD728">
        <f>IFERROR(INDEX(PP_Grid[#Data],$DE728,105),0)</f>
        <v/>
      </c>
      <c r="DE728" s="7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SUMIFS(M_BOM[RM_Qty_Per_Batch],M_BOM[Intermediate],$B728,M_BOM[RM_Code],$A721)</f>
        <v/>
      </c>
      <c r="D729">
        <f>IFERROR(INDEX(E729:DD729,$F$1),"")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  <c r="DD729">
        <f>$C729*DD728</f>
        <v/>
      </c>
    </row>
    <row r="730">
      <c r="B730" t="inlineStr">
        <is>
          <t>TSP-089</t>
        </is>
      </c>
      <c r="C730" t="inlineStr">
        <is>
          <t>No. of batches</t>
        </is>
      </c>
      <c r="D730">
        <f>IFERROR(INDEX(E730:DD730,$F$1),"")</f>
        <v/>
      </c>
      <c r="E730">
        <f>IFERROR(INDEX(PP_Grid[#Data],$DE730,2),0)</f>
        <v/>
      </c>
      <c r="F730">
        <f>IFERROR(INDEX(PP_Grid[#Data],$DE730,3),0)</f>
        <v/>
      </c>
      <c r="G730">
        <f>IFERROR(INDEX(PP_Grid[#Data],$DE730,4),0)</f>
        <v/>
      </c>
      <c r="H730">
        <f>IFERROR(INDEX(PP_Grid[#Data],$DE730,5),0)</f>
        <v/>
      </c>
      <c r="I730">
        <f>IFERROR(INDEX(PP_Grid[#Data],$DE730,6),0)</f>
        <v/>
      </c>
      <c r="J730">
        <f>IFERROR(INDEX(PP_Grid[#Data],$DE730,7),0)</f>
        <v/>
      </c>
      <c r="K730">
        <f>IFERROR(INDEX(PP_Grid[#Data],$DE730,8),0)</f>
        <v/>
      </c>
      <c r="L730">
        <f>IFERROR(INDEX(PP_Grid[#Data],$DE730,9),0)</f>
        <v/>
      </c>
      <c r="M730">
        <f>IFERROR(INDEX(PP_Grid[#Data],$DE730,10),0)</f>
        <v/>
      </c>
      <c r="N730">
        <f>IFERROR(INDEX(PP_Grid[#Data],$DE730,11),0)</f>
        <v/>
      </c>
      <c r="O730">
        <f>IFERROR(INDEX(PP_Grid[#Data],$DE730,12),0)</f>
        <v/>
      </c>
      <c r="P730">
        <f>IFERROR(INDEX(PP_Grid[#Data],$DE730,13),0)</f>
        <v/>
      </c>
      <c r="Q730">
        <f>IFERROR(INDEX(PP_Grid[#Data],$DE730,14),0)</f>
        <v/>
      </c>
      <c r="R730">
        <f>IFERROR(INDEX(PP_Grid[#Data],$DE730,15),0)</f>
        <v/>
      </c>
      <c r="S730">
        <f>IFERROR(INDEX(PP_Grid[#Data],$DE730,16),0)</f>
        <v/>
      </c>
      <c r="T730">
        <f>IFERROR(INDEX(PP_Grid[#Data],$DE730,17),0)</f>
        <v/>
      </c>
      <c r="U730">
        <f>IFERROR(INDEX(PP_Grid[#Data],$DE730,18),0)</f>
        <v/>
      </c>
      <c r="V730">
        <f>IFERROR(INDEX(PP_Grid[#Data],$DE730,19),0)</f>
        <v/>
      </c>
      <c r="W730">
        <f>IFERROR(INDEX(PP_Grid[#Data],$DE730,20),0)</f>
        <v/>
      </c>
      <c r="X730">
        <f>IFERROR(INDEX(PP_Grid[#Data],$DE730,21),0)</f>
        <v/>
      </c>
      <c r="Y730">
        <f>IFERROR(INDEX(PP_Grid[#Data],$DE730,22),0)</f>
        <v/>
      </c>
      <c r="Z730">
        <f>IFERROR(INDEX(PP_Grid[#Data],$DE730,23),0)</f>
        <v/>
      </c>
      <c r="AA730">
        <f>IFERROR(INDEX(PP_Grid[#Data],$DE730,24),0)</f>
        <v/>
      </c>
      <c r="AB730">
        <f>IFERROR(INDEX(PP_Grid[#Data],$DE730,25),0)</f>
        <v/>
      </c>
      <c r="AC730">
        <f>IFERROR(INDEX(PP_Grid[#Data],$DE730,26),0)</f>
        <v/>
      </c>
      <c r="AD730">
        <f>IFERROR(INDEX(PP_Grid[#Data],$DE730,27),0)</f>
        <v/>
      </c>
      <c r="AE730">
        <f>IFERROR(INDEX(PP_Grid[#Data],$DE730,28),0)</f>
        <v/>
      </c>
      <c r="AF730">
        <f>IFERROR(INDEX(PP_Grid[#Data],$DE730,29),0)</f>
        <v/>
      </c>
      <c r="AG730">
        <f>IFERROR(INDEX(PP_Grid[#Data],$DE730,30),0)</f>
        <v/>
      </c>
      <c r="AH730">
        <f>IFERROR(INDEX(PP_Grid[#Data],$DE730,31),0)</f>
        <v/>
      </c>
      <c r="AI730">
        <f>IFERROR(INDEX(PP_Grid[#Data],$DE730,32),0)</f>
        <v/>
      </c>
      <c r="AJ730">
        <f>IFERROR(INDEX(PP_Grid[#Data],$DE730,33),0)</f>
        <v/>
      </c>
      <c r="AK730">
        <f>IFERROR(INDEX(PP_Grid[#Data],$DE730,34),0)</f>
        <v/>
      </c>
      <c r="AL730">
        <f>IFERROR(INDEX(PP_Grid[#Data],$DE730,35),0)</f>
        <v/>
      </c>
      <c r="AM730">
        <f>IFERROR(INDEX(PP_Grid[#Data],$DE730,36),0)</f>
        <v/>
      </c>
      <c r="AN730">
        <f>IFERROR(INDEX(PP_Grid[#Data],$DE730,37),0)</f>
        <v/>
      </c>
      <c r="AO730">
        <f>IFERROR(INDEX(PP_Grid[#Data],$DE730,38),0)</f>
        <v/>
      </c>
      <c r="AP730">
        <f>IFERROR(INDEX(PP_Grid[#Data],$DE730,39),0)</f>
        <v/>
      </c>
      <c r="AQ730">
        <f>IFERROR(INDEX(PP_Grid[#Data],$DE730,40),0)</f>
        <v/>
      </c>
      <c r="AR730">
        <f>IFERROR(INDEX(PP_Grid[#Data],$DE730,41),0)</f>
        <v/>
      </c>
      <c r="AS730">
        <f>IFERROR(INDEX(PP_Grid[#Data],$DE730,42),0)</f>
        <v/>
      </c>
      <c r="AT730">
        <f>IFERROR(INDEX(PP_Grid[#Data],$DE730,43),0)</f>
        <v/>
      </c>
      <c r="AU730">
        <f>IFERROR(INDEX(PP_Grid[#Data],$DE730,44),0)</f>
        <v/>
      </c>
      <c r="AV730">
        <f>IFERROR(INDEX(PP_Grid[#Data],$DE730,45),0)</f>
        <v/>
      </c>
      <c r="AW730">
        <f>IFERROR(INDEX(PP_Grid[#Data],$DE730,46),0)</f>
        <v/>
      </c>
      <c r="AX730">
        <f>IFERROR(INDEX(PP_Grid[#Data],$DE730,47),0)</f>
        <v/>
      </c>
      <c r="AY730">
        <f>IFERROR(INDEX(PP_Grid[#Data],$DE730,48),0)</f>
        <v/>
      </c>
      <c r="AZ730">
        <f>IFERROR(INDEX(PP_Grid[#Data],$DE730,49),0)</f>
        <v/>
      </c>
      <c r="BA730">
        <f>IFERROR(INDEX(PP_Grid[#Data],$DE730,50),0)</f>
        <v/>
      </c>
      <c r="BB730">
        <f>IFERROR(INDEX(PP_Grid[#Data],$DE730,51),0)</f>
        <v/>
      </c>
      <c r="BC730">
        <f>IFERROR(INDEX(PP_Grid[#Data],$DE730,52),0)</f>
        <v/>
      </c>
      <c r="BD730">
        <f>IFERROR(INDEX(PP_Grid[#Data],$DE730,53),0)</f>
        <v/>
      </c>
      <c r="BE730">
        <f>IFERROR(INDEX(PP_Grid[#Data],$DE730,54),0)</f>
        <v/>
      </c>
      <c r="BF730">
        <f>IFERROR(INDEX(PP_Grid[#Data],$DE730,55),0)</f>
        <v/>
      </c>
      <c r="BG730">
        <f>IFERROR(INDEX(PP_Grid[#Data],$DE730,56),0)</f>
        <v/>
      </c>
      <c r="BH730">
        <f>IFERROR(INDEX(PP_Grid[#Data],$DE730,57),0)</f>
        <v/>
      </c>
      <c r="BI730">
        <f>IFERROR(INDEX(PP_Grid[#Data],$DE730,58),0)</f>
        <v/>
      </c>
      <c r="BJ730">
        <f>IFERROR(INDEX(PP_Grid[#Data],$DE730,59),0)</f>
        <v/>
      </c>
      <c r="BK730">
        <f>IFERROR(INDEX(PP_Grid[#Data],$DE730,60),0)</f>
        <v/>
      </c>
      <c r="BL730">
        <f>IFERROR(INDEX(PP_Grid[#Data],$DE730,61),0)</f>
        <v/>
      </c>
      <c r="BM730">
        <f>IFERROR(INDEX(PP_Grid[#Data],$DE730,62),0)</f>
        <v/>
      </c>
      <c r="BN730">
        <f>IFERROR(INDEX(PP_Grid[#Data],$DE730,63),0)</f>
        <v/>
      </c>
      <c r="BO730">
        <f>IFERROR(INDEX(PP_Grid[#Data],$DE730,64),0)</f>
        <v/>
      </c>
      <c r="BP730">
        <f>IFERROR(INDEX(PP_Grid[#Data],$DE730,65),0)</f>
        <v/>
      </c>
      <c r="BQ730">
        <f>IFERROR(INDEX(PP_Grid[#Data],$DE730,66),0)</f>
        <v/>
      </c>
      <c r="BR730">
        <f>IFERROR(INDEX(PP_Grid[#Data],$DE730,67),0)</f>
        <v/>
      </c>
      <c r="BS730">
        <f>IFERROR(INDEX(PP_Grid[#Data],$DE730,68),0)</f>
        <v/>
      </c>
      <c r="BT730">
        <f>IFERROR(INDEX(PP_Grid[#Data],$DE730,69),0)</f>
        <v/>
      </c>
      <c r="BU730">
        <f>IFERROR(INDEX(PP_Grid[#Data],$DE730,70),0)</f>
        <v/>
      </c>
      <c r="BV730">
        <f>IFERROR(INDEX(PP_Grid[#Data],$DE730,71),0)</f>
        <v/>
      </c>
      <c r="BW730">
        <f>IFERROR(INDEX(PP_Grid[#Data],$DE730,72),0)</f>
        <v/>
      </c>
      <c r="BX730">
        <f>IFERROR(INDEX(PP_Grid[#Data],$DE730,73),0)</f>
        <v/>
      </c>
      <c r="BY730">
        <f>IFERROR(INDEX(PP_Grid[#Data],$DE730,74),0)</f>
        <v/>
      </c>
      <c r="BZ730">
        <f>IFERROR(INDEX(PP_Grid[#Data],$DE730,75),0)</f>
        <v/>
      </c>
      <c r="CA730">
        <f>IFERROR(INDEX(PP_Grid[#Data],$DE730,76),0)</f>
        <v/>
      </c>
      <c r="CB730">
        <f>IFERROR(INDEX(PP_Grid[#Data],$DE730,77),0)</f>
        <v/>
      </c>
      <c r="CC730">
        <f>IFERROR(INDEX(PP_Grid[#Data],$DE730,78),0)</f>
        <v/>
      </c>
      <c r="CD730">
        <f>IFERROR(INDEX(PP_Grid[#Data],$DE730,79),0)</f>
        <v/>
      </c>
      <c r="CE730">
        <f>IFERROR(INDEX(PP_Grid[#Data],$DE730,80),0)</f>
        <v/>
      </c>
      <c r="CF730">
        <f>IFERROR(INDEX(PP_Grid[#Data],$DE730,81),0)</f>
        <v/>
      </c>
      <c r="CG730">
        <f>IFERROR(INDEX(PP_Grid[#Data],$DE730,82),0)</f>
        <v/>
      </c>
      <c r="CH730">
        <f>IFERROR(INDEX(PP_Grid[#Data],$DE730,83),0)</f>
        <v/>
      </c>
      <c r="CI730">
        <f>IFERROR(INDEX(PP_Grid[#Data],$DE730,84),0)</f>
        <v/>
      </c>
      <c r="CJ730">
        <f>IFERROR(INDEX(PP_Grid[#Data],$DE730,85),0)</f>
        <v/>
      </c>
      <c r="CK730">
        <f>IFERROR(INDEX(PP_Grid[#Data],$DE730,86),0)</f>
        <v/>
      </c>
      <c r="CL730">
        <f>IFERROR(INDEX(PP_Grid[#Data],$DE730,87),0)</f>
        <v/>
      </c>
      <c r="CM730">
        <f>IFERROR(INDEX(PP_Grid[#Data],$DE730,88),0)</f>
        <v/>
      </c>
      <c r="CN730">
        <f>IFERROR(INDEX(PP_Grid[#Data],$DE730,89),0)</f>
        <v/>
      </c>
      <c r="CO730">
        <f>IFERROR(INDEX(PP_Grid[#Data],$DE730,90),0)</f>
        <v/>
      </c>
      <c r="CP730">
        <f>IFERROR(INDEX(PP_Grid[#Data],$DE730,91),0)</f>
        <v/>
      </c>
      <c r="CQ730">
        <f>IFERROR(INDEX(PP_Grid[#Data],$DE730,92),0)</f>
        <v/>
      </c>
      <c r="CR730">
        <f>IFERROR(INDEX(PP_Grid[#Data],$DE730,93),0)</f>
        <v/>
      </c>
      <c r="CS730">
        <f>IFERROR(INDEX(PP_Grid[#Data],$DE730,94),0)</f>
        <v/>
      </c>
      <c r="CT730">
        <f>IFERROR(INDEX(PP_Grid[#Data],$DE730,95),0)</f>
        <v/>
      </c>
      <c r="CU730">
        <f>IFERROR(INDEX(PP_Grid[#Data],$DE730,96),0)</f>
        <v/>
      </c>
      <c r="CV730">
        <f>IFERROR(INDEX(PP_Grid[#Data],$DE730,97),0)</f>
        <v/>
      </c>
      <c r="CW730">
        <f>IFERROR(INDEX(PP_Grid[#Data],$DE730,98),0)</f>
        <v/>
      </c>
      <c r="CX730">
        <f>IFERROR(INDEX(PP_Grid[#Data],$DE730,99),0)</f>
        <v/>
      </c>
      <c r="CY730">
        <f>IFERROR(INDEX(PP_Grid[#Data],$DE730,100),0)</f>
        <v/>
      </c>
      <c r="CZ730">
        <f>IFERROR(INDEX(PP_Grid[#Data],$DE730,101),0)</f>
        <v/>
      </c>
      <c r="DA730">
        <f>IFERROR(INDEX(PP_Grid[#Data],$DE730,102),0)</f>
        <v/>
      </c>
      <c r="DB730">
        <f>IFERROR(INDEX(PP_Grid[#Data],$DE730,103),0)</f>
        <v/>
      </c>
      <c r="DC730">
        <f>IFERROR(INDEX(PP_Grid[#Data],$DE730,104),0)</f>
        <v/>
      </c>
      <c r="DD730">
        <f>IFERROR(INDEX(PP_Grid[#Data],$DE730,105),0)</f>
        <v/>
      </c>
      <c r="DE730" s="7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SUMIFS(M_BOM[RM_Qty_Per_Batch],M_BOM[Intermediate],$B730,M_BOM[RM_Code],$A721)</f>
        <v/>
      </c>
      <c r="D731">
        <f>IFERROR(INDEX(E731:DD731,$F$1),"")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  <c r="DD731">
        <f>$C731*DD730</f>
        <v/>
      </c>
    </row>
    <row r="732">
      <c r="B732" t="inlineStr">
        <is>
          <t>TSP-105</t>
        </is>
      </c>
      <c r="C732" t="inlineStr">
        <is>
          <t>No. of batches</t>
        </is>
      </c>
      <c r="D732">
        <f>IFERROR(INDEX(E732:DD732,$F$1),"")</f>
        <v/>
      </c>
      <c r="E732">
        <f>IFERROR(INDEX(PP_Grid[#Data],$DE732,2),0)</f>
        <v/>
      </c>
      <c r="F732">
        <f>IFERROR(INDEX(PP_Grid[#Data],$DE732,3),0)</f>
        <v/>
      </c>
      <c r="G732">
        <f>IFERROR(INDEX(PP_Grid[#Data],$DE732,4),0)</f>
        <v/>
      </c>
      <c r="H732">
        <f>IFERROR(INDEX(PP_Grid[#Data],$DE732,5),0)</f>
        <v/>
      </c>
      <c r="I732">
        <f>IFERROR(INDEX(PP_Grid[#Data],$DE732,6),0)</f>
        <v/>
      </c>
      <c r="J732">
        <f>IFERROR(INDEX(PP_Grid[#Data],$DE732,7),0)</f>
        <v/>
      </c>
      <c r="K732">
        <f>IFERROR(INDEX(PP_Grid[#Data],$DE732,8),0)</f>
        <v/>
      </c>
      <c r="L732">
        <f>IFERROR(INDEX(PP_Grid[#Data],$DE732,9),0)</f>
        <v/>
      </c>
      <c r="M732">
        <f>IFERROR(INDEX(PP_Grid[#Data],$DE732,10),0)</f>
        <v/>
      </c>
      <c r="N732">
        <f>IFERROR(INDEX(PP_Grid[#Data],$DE732,11),0)</f>
        <v/>
      </c>
      <c r="O732">
        <f>IFERROR(INDEX(PP_Grid[#Data],$DE732,12),0)</f>
        <v/>
      </c>
      <c r="P732">
        <f>IFERROR(INDEX(PP_Grid[#Data],$DE732,13),0)</f>
        <v/>
      </c>
      <c r="Q732">
        <f>IFERROR(INDEX(PP_Grid[#Data],$DE732,14),0)</f>
        <v/>
      </c>
      <c r="R732">
        <f>IFERROR(INDEX(PP_Grid[#Data],$DE732,15),0)</f>
        <v/>
      </c>
      <c r="S732">
        <f>IFERROR(INDEX(PP_Grid[#Data],$DE732,16),0)</f>
        <v/>
      </c>
      <c r="T732">
        <f>IFERROR(INDEX(PP_Grid[#Data],$DE732,17),0)</f>
        <v/>
      </c>
      <c r="U732">
        <f>IFERROR(INDEX(PP_Grid[#Data],$DE732,18),0)</f>
        <v/>
      </c>
      <c r="V732">
        <f>IFERROR(INDEX(PP_Grid[#Data],$DE732,19),0)</f>
        <v/>
      </c>
      <c r="W732">
        <f>IFERROR(INDEX(PP_Grid[#Data],$DE732,20),0)</f>
        <v/>
      </c>
      <c r="X732">
        <f>IFERROR(INDEX(PP_Grid[#Data],$DE732,21),0)</f>
        <v/>
      </c>
      <c r="Y732">
        <f>IFERROR(INDEX(PP_Grid[#Data],$DE732,22),0)</f>
        <v/>
      </c>
      <c r="Z732">
        <f>IFERROR(INDEX(PP_Grid[#Data],$DE732,23),0)</f>
        <v/>
      </c>
      <c r="AA732">
        <f>IFERROR(INDEX(PP_Grid[#Data],$DE732,24),0)</f>
        <v/>
      </c>
      <c r="AB732">
        <f>IFERROR(INDEX(PP_Grid[#Data],$DE732,25),0)</f>
        <v/>
      </c>
      <c r="AC732">
        <f>IFERROR(INDEX(PP_Grid[#Data],$DE732,26),0)</f>
        <v/>
      </c>
      <c r="AD732">
        <f>IFERROR(INDEX(PP_Grid[#Data],$DE732,27),0)</f>
        <v/>
      </c>
      <c r="AE732">
        <f>IFERROR(INDEX(PP_Grid[#Data],$DE732,28),0)</f>
        <v/>
      </c>
      <c r="AF732">
        <f>IFERROR(INDEX(PP_Grid[#Data],$DE732,29),0)</f>
        <v/>
      </c>
      <c r="AG732">
        <f>IFERROR(INDEX(PP_Grid[#Data],$DE732,30),0)</f>
        <v/>
      </c>
      <c r="AH732">
        <f>IFERROR(INDEX(PP_Grid[#Data],$DE732,31),0)</f>
        <v/>
      </c>
      <c r="AI732">
        <f>IFERROR(INDEX(PP_Grid[#Data],$DE732,32),0)</f>
        <v/>
      </c>
      <c r="AJ732">
        <f>IFERROR(INDEX(PP_Grid[#Data],$DE732,33),0)</f>
        <v/>
      </c>
      <c r="AK732">
        <f>IFERROR(INDEX(PP_Grid[#Data],$DE732,34),0)</f>
        <v/>
      </c>
      <c r="AL732">
        <f>IFERROR(INDEX(PP_Grid[#Data],$DE732,35),0)</f>
        <v/>
      </c>
      <c r="AM732">
        <f>IFERROR(INDEX(PP_Grid[#Data],$DE732,36),0)</f>
        <v/>
      </c>
      <c r="AN732">
        <f>IFERROR(INDEX(PP_Grid[#Data],$DE732,37),0)</f>
        <v/>
      </c>
      <c r="AO732">
        <f>IFERROR(INDEX(PP_Grid[#Data],$DE732,38),0)</f>
        <v/>
      </c>
      <c r="AP732">
        <f>IFERROR(INDEX(PP_Grid[#Data],$DE732,39),0)</f>
        <v/>
      </c>
      <c r="AQ732">
        <f>IFERROR(INDEX(PP_Grid[#Data],$DE732,40),0)</f>
        <v/>
      </c>
      <c r="AR732">
        <f>IFERROR(INDEX(PP_Grid[#Data],$DE732,41),0)</f>
        <v/>
      </c>
      <c r="AS732">
        <f>IFERROR(INDEX(PP_Grid[#Data],$DE732,42),0)</f>
        <v/>
      </c>
      <c r="AT732">
        <f>IFERROR(INDEX(PP_Grid[#Data],$DE732,43),0)</f>
        <v/>
      </c>
      <c r="AU732">
        <f>IFERROR(INDEX(PP_Grid[#Data],$DE732,44),0)</f>
        <v/>
      </c>
      <c r="AV732">
        <f>IFERROR(INDEX(PP_Grid[#Data],$DE732,45),0)</f>
        <v/>
      </c>
      <c r="AW732">
        <f>IFERROR(INDEX(PP_Grid[#Data],$DE732,46),0)</f>
        <v/>
      </c>
      <c r="AX732">
        <f>IFERROR(INDEX(PP_Grid[#Data],$DE732,47),0)</f>
        <v/>
      </c>
      <c r="AY732">
        <f>IFERROR(INDEX(PP_Grid[#Data],$DE732,48),0)</f>
        <v/>
      </c>
      <c r="AZ732">
        <f>IFERROR(INDEX(PP_Grid[#Data],$DE732,49),0)</f>
        <v/>
      </c>
      <c r="BA732">
        <f>IFERROR(INDEX(PP_Grid[#Data],$DE732,50),0)</f>
        <v/>
      </c>
      <c r="BB732">
        <f>IFERROR(INDEX(PP_Grid[#Data],$DE732,51),0)</f>
        <v/>
      </c>
      <c r="BC732">
        <f>IFERROR(INDEX(PP_Grid[#Data],$DE732,52),0)</f>
        <v/>
      </c>
      <c r="BD732">
        <f>IFERROR(INDEX(PP_Grid[#Data],$DE732,53),0)</f>
        <v/>
      </c>
      <c r="BE732">
        <f>IFERROR(INDEX(PP_Grid[#Data],$DE732,54),0)</f>
        <v/>
      </c>
      <c r="BF732">
        <f>IFERROR(INDEX(PP_Grid[#Data],$DE732,55),0)</f>
        <v/>
      </c>
      <c r="BG732">
        <f>IFERROR(INDEX(PP_Grid[#Data],$DE732,56),0)</f>
        <v/>
      </c>
      <c r="BH732">
        <f>IFERROR(INDEX(PP_Grid[#Data],$DE732,57),0)</f>
        <v/>
      </c>
      <c r="BI732">
        <f>IFERROR(INDEX(PP_Grid[#Data],$DE732,58),0)</f>
        <v/>
      </c>
      <c r="BJ732">
        <f>IFERROR(INDEX(PP_Grid[#Data],$DE732,59),0)</f>
        <v/>
      </c>
      <c r="BK732">
        <f>IFERROR(INDEX(PP_Grid[#Data],$DE732,60),0)</f>
        <v/>
      </c>
      <c r="BL732">
        <f>IFERROR(INDEX(PP_Grid[#Data],$DE732,61),0)</f>
        <v/>
      </c>
      <c r="BM732">
        <f>IFERROR(INDEX(PP_Grid[#Data],$DE732,62),0)</f>
        <v/>
      </c>
      <c r="BN732">
        <f>IFERROR(INDEX(PP_Grid[#Data],$DE732,63),0)</f>
        <v/>
      </c>
      <c r="BO732">
        <f>IFERROR(INDEX(PP_Grid[#Data],$DE732,64),0)</f>
        <v/>
      </c>
      <c r="BP732">
        <f>IFERROR(INDEX(PP_Grid[#Data],$DE732,65),0)</f>
        <v/>
      </c>
      <c r="BQ732">
        <f>IFERROR(INDEX(PP_Grid[#Data],$DE732,66),0)</f>
        <v/>
      </c>
      <c r="BR732">
        <f>IFERROR(INDEX(PP_Grid[#Data],$DE732,67),0)</f>
        <v/>
      </c>
      <c r="BS732">
        <f>IFERROR(INDEX(PP_Grid[#Data],$DE732,68),0)</f>
        <v/>
      </c>
      <c r="BT732">
        <f>IFERROR(INDEX(PP_Grid[#Data],$DE732,69),0)</f>
        <v/>
      </c>
      <c r="BU732">
        <f>IFERROR(INDEX(PP_Grid[#Data],$DE732,70),0)</f>
        <v/>
      </c>
      <c r="BV732">
        <f>IFERROR(INDEX(PP_Grid[#Data],$DE732,71),0)</f>
        <v/>
      </c>
      <c r="BW732">
        <f>IFERROR(INDEX(PP_Grid[#Data],$DE732,72),0)</f>
        <v/>
      </c>
      <c r="BX732">
        <f>IFERROR(INDEX(PP_Grid[#Data],$DE732,73),0)</f>
        <v/>
      </c>
      <c r="BY732">
        <f>IFERROR(INDEX(PP_Grid[#Data],$DE732,74),0)</f>
        <v/>
      </c>
      <c r="BZ732">
        <f>IFERROR(INDEX(PP_Grid[#Data],$DE732,75),0)</f>
        <v/>
      </c>
      <c r="CA732">
        <f>IFERROR(INDEX(PP_Grid[#Data],$DE732,76),0)</f>
        <v/>
      </c>
      <c r="CB732">
        <f>IFERROR(INDEX(PP_Grid[#Data],$DE732,77),0)</f>
        <v/>
      </c>
      <c r="CC732">
        <f>IFERROR(INDEX(PP_Grid[#Data],$DE732,78),0)</f>
        <v/>
      </c>
      <c r="CD732">
        <f>IFERROR(INDEX(PP_Grid[#Data],$DE732,79),0)</f>
        <v/>
      </c>
      <c r="CE732">
        <f>IFERROR(INDEX(PP_Grid[#Data],$DE732,80),0)</f>
        <v/>
      </c>
      <c r="CF732">
        <f>IFERROR(INDEX(PP_Grid[#Data],$DE732,81),0)</f>
        <v/>
      </c>
      <c r="CG732">
        <f>IFERROR(INDEX(PP_Grid[#Data],$DE732,82),0)</f>
        <v/>
      </c>
      <c r="CH732">
        <f>IFERROR(INDEX(PP_Grid[#Data],$DE732,83),0)</f>
        <v/>
      </c>
      <c r="CI732">
        <f>IFERROR(INDEX(PP_Grid[#Data],$DE732,84),0)</f>
        <v/>
      </c>
      <c r="CJ732">
        <f>IFERROR(INDEX(PP_Grid[#Data],$DE732,85),0)</f>
        <v/>
      </c>
      <c r="CK732">
        <f>IFERROR(INDEX(PP_Grid[#Data],$DE732,86),0)</f>
        <v/>
      </c>
      <c r="CL732">
        <f>IFERROR(INDEX(PP_Grid[#Data],$DE732,87),0)</f>
        <v/>
      </c>
      <c r="CM732">
        <f>IFERROR(INDEX(PP_Grid[#Data],$DE732,88),0)</f>
        <v/>
      </c>
      <c r="CN732">
        <f>IFERROR(INDEX(PP_Grid[#Data],$DE732,89),0)</f>
        <v/>
      </c>
      <c r="CO732">
        <f>IFERROR(INDEX(PP_Grid[#Data],$DE732,90),0)</f>
        <v/>
      </c>
      <c r="CP732">
        <f>IFERROR(INDEX(PP_Grid[#Data],$DE732,91),0)</f>
        <v/>
      </c>
      <c r="CQ732">
        <f>IFERROR(INDEX(PP_Grid[#Data],$DE732,92),0)</f>
        <v/>
      </c>
      <c r="CR732">
        <f>IFERROR(INDEX(PP_Grid[#Data],$DE732,93),0)</f>
        <v/>
      </c>
      <c r="CS732">
        <f>IFERROR(INDEX(PP_Grid[#Data],$DE732,94),0)</f>
        <v/>
      </c>
      <c r="CT732">
        <f>IFERROR(INDEX(PP_Grid[#Data],$DE732,95),0)</f>
        <v/>
      </c>
      <c r="CU732">
        <f>IFERROR(INDEX(PP_Grid[#Data],$DE732,96),0)</f>
        <v/>
      </c>
      <c r="CV732">
        <f>IFERROR(INDEX(PP_Grid[#Data],$DE732,97),0)</f>
        <v/>
      </c>
      <c r="CW732">
        <f>IFERROR(INDEX(PP_Grid[#Data],$DE732,98),0)</f>
        <v/>
      </c>
      <c r="CX732">
        <f>IFERROR(INDEX(PP_Grid[#Data],$DE732,99),0)</f>
        <v/>
      </c>
      <c r="CY732">
        <f>IFERROR(INDEX(PP_Grid[#Data],$DE732,100),0)</f>
        <v/>
      </c>
      <c r="CZ732">
        <f>IFERROR(INDEX(PP_Grid[#Data],$DE732,101),0)</f>
        <v/>
      </c>
      <c r="DA732">
        <f>IFERROR(INDEX(PP_Grid[#Data],$DE732,102),0)</f>
        <v/>
      </c>
      <c r="DB732">
        <f>IFERROR(INDEX(PP_Grid[#Data],$DE732,103),0)</f>
        <v/>
      </c>
      <c r="DC732">
        <f>IFERROR(INDEX(PP_Grid[#Data],$DE732,104),0)</f>
        <v/>
      </c>
      <c r="DD732">
        <f>IFERROR(INDEX(PP_Grid[#Data],$DE732,105),0)</f>
        <v/>
      </c>
      <c r="DE732" s="7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SUMIFS(M_BOM[RM_Qty_Per_Batch],M_BOM[Intermediate],$B732,M_BOM[RM_Code],$A721)</f>
        <v/>
      </c>
      <c r="D733">
        <f>IFERROR(INDEX(E733:DD733,$F$1),"")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  <c r="DD733">
        <f>$C733*DD732</f>
        <v/>
      </c>
    </row>
    <row r="734">
      <c r="B734" t="inlineStr">
        <is>
          <t>TSP-225</t>
        </is>
      </c>
      <c r="C734" t="inlineStr">
        <is>
          <t>No. of batches</t>
        </is>
      </c>
      <c r="D734">
        <f>IFERROR(INDEX(E734:DD734,$F$1),"")</f>
        <v/>
      </c>
      <c r="E734">
        <f>IFERROR(INDEX(PP_Grid[#Data],$DE734,2),0)</f>
        <v/>
      </c>
      <c r="F734">
        <f>IFERROR(INDEX(PP_Grid[#Data],$DE734,3),0)</f>
        <v/>
      </c>
      <c r="G734">
        <f>IFERROR(INDEX(PP_Grid[#Data],$DE734,4),0)</f>
        <v/>
      </c>
      <c r="H734">
        <f>IFERROR(INDEX(PP_Grid[#Data],$DE734,5),0)</f>
        <v/>
      </c>
      <c r="I734">
        <f>IFERROR(INDEX(PP_Grid[#Data],$DE734,6),0)</f>
        <v/>
      </c>
      <c r="J734">
        <f>IFERROR(INDEX(PP_Grid[#Data],$DE734,7),0)</f>
        <v/>
      </c>
      <c r="K734">
        <f>IFERROR(INDEX(PP_Grid[#Data],$DE734,8),0)</f>
        <v/>
      </c>
      <c r="L734">
        <f>IFERROR(INDEX(PP_Grid[#Data],$DE734,9),0)</f>
        <v/>
      </c>
      <c r="M734">
        <f>IFERROR(INDEX(PP_Grid[#Data],$DE734,10),0)</f>
        <v/>
      </c>
      <c r="N734">
        <f>IFERROR(INDEX(PP_Grid[#Data],$DE734,11),0)</f>
        <v/>
      </c>
      <c r="O734">
        <f>IFERROR(INDEX(PP_Grid[#Data],$DE734,12),0)</f>
        <v/>
      </c>
      <c r="P734">
        <f>IFERROR(INDEX(PP_Grid[#Data],$DE734,13),0)</f>
        <v/>
      </c>
      <c r="Q734">
        <f>IFERROR(INDEX(PP_Grid[#Data],$DE734,14),0)</f>
        <v/>
      </c>
      <c r="R734">
        <f>IFERROR(INDEX(PP_Grid[#Data],$DE734,15),0)</f>
        <v/>
      </c>
      <c r="S734">
        <f>IFERROR(INDEX(PP_Grid[#Data],$DE734,16),0)</f>
        <v/>
      </c>
      <c r="T734">
        <f>IFERROR(INDEX(PP_Grid[#Data],$DE734,17),0)</f>
        <v/>
      </c>
      <c r="U734">
        <f>IFERROR(INDEX(PP_Grid[#Data],$DE734,18),0)</f>
        <v/>
      </c>
      <c r="V734">
        <f>IFERROR(INDEX(PP_Grid[#Data],$DE734,19),0)</f>
        <v/>
      </c>
      <c r="W734">
        <f>IFERROR(INDEX(PP_Grid[#Data],$DE734,20),0)</f>
        <v/>
      </c>
      <c r="X734">
        <f>IFERROR(INDEX(PP_Grid[#Data],$DE734,21),0)</f>
        <v/>
      </c>
      <c r="Y734">
        <f>IFERROR(INDEX(PP_Grid[#Data],$DE734,22),0)</f>
        <v/>
      </c>
      <c r="Z734">
        <f>IFERROR(INDEX(PP_Grid[#Data],$DE734,23),0)</f>
        <v/>
      </c>
      <c r="AA734">
        <f>IFERROR(INDEX(PP_Grid[#Data],$DE734,24),0)</f>
        <v/>
      </c>
      <c r="AB734">
        <f>IFERROR(INDEX(PP_Grid[#Data],$DE734,25),0)</f>
        <v/>
      </c>
      <c r="AC734">
        <f>IFERROR(INDEX(PP_Grid[#Data],$DE734,26),0)</f>
        <v/>
      </c>
      <c r="AD734">
        <f>IFERROR(INDEX(PP_Grid[#Data],$DE734,27),0)</f>
        <v/>
      </c>
      <c r="AE734">
        <f>IFERROR(INDEX(PP_Grid[#Data],$DE734,28),0)</f>
        <v/>
      </c>
      <c r="AF734">
        <f>IFERROR(INDEX(PP_Grid[#Data],$DE734,29),0)</f>
        <v/>
      </c>
      <c r="AG734">
        <f>IFERROR(INDEX(PP_Grid[#Data],$DE734,30),0)</f>
        <v/>
      </c>
      <c r="AH734">
        <f>IFERROR(INDEX(PP_Grid[#Data],$DE734,31),0)</f>
        <v/>
      </c>
      <c r="AI734">
        <f>IFERROR(INDEX(PP_Grid[#Data],$DE734,32),0)</f>
        <v/>
      </c>
      <c r="AJ734">
        <f>IFERROR(INDEX(PP_Grid[#Data],$DE734,33),0)</f>
        <v/>
      </c>
      <c r="AK734">
        <f>IFERROR(INDEX(PP_Grid[#Data],$DE734,34),0)</f>
        <v/>
      </c>
      <c r="AL734">
        <f>IFERROR(INDEX(PP_Grid[#Data],$DE734,35),0)</f>
        <v/>
      </c>
      <c r="AM734">
        <f>IFERROR(INDEX(PP_Grid[#Data],$DE734,36),0)</f>
        <v/>
      </c>
      <c r="AN734">
        <f>IFERROR(INDEX(PP_Grid[#Data],$DE734,37),0)</f>
        <v/>
      </c>
      <c r="AO734">
        <f>IFERROR(INDEX(PP_Grid[#Data],$DE734,38),0)</f>
        <v/>
      </c>
      <c r="AP734">
        <f>IFERROR(INDEX(PP_Grid[#Data],$DE734,39),0)</f>
        <v/>
      </c>
      <c r="AQ734">
        <f>IFERROR(INDEX(PP_Grid[#Data],$DE734,40),0)</f>
        <v/>
      </c>
      <c r="AR734">
        <f>IFERROR(INDEX(PP_Grid[#Data],$DE734,41),0)</f>
        <v/>
      </c>
      <c r="AS734">
        <f>IFERROR(INDEX(PP_Grid[#Data],$DE734,42),0)</f>
        <v/>
      </c>
      <c r="AT734">
        <f>IFERROR(INDEX(PP_Grid[#Data],$DE734,43),0)</f>
        <v/>
      </c>
      <c r="AU734">
        <f>IFERROR(INDEX(PP_Grid[#Data],$DE734,44),0)</f>
        <v/>
      </c>
      <c r="AV734">
        <f>IFERROR(INDEX(PP_Grid[#Data],$DE734,45),0)</f>
        <v/>
      </c>
      <c r="AW734">
        <f>IFERROR(INDEX(PP_Grid[#Data],$DE734,46),0)</f>
        <v/>
      </c>
      <c r="AX734">
        <f>IFERROR(INDEX(PP_Grid[#Data],$DE734,47),0)</f>
        <v/>
      </c>
      <c r="AY734">
        <f>IFERROR(INDEX(PP_Grid[#Data],$DE734,48),0)</f>
        <v/>
      </c>
      <c r="AZ734">
        <f>IFERROR(INDEX(PP_Grid[#Data],$DE734,49),0)</f>
        <v/>
      </c>
      <c r="BA734">
        <f>IFERROR(INDEX(PP_Grid[#Data],$DE734,50),0)</f>
        <v/>
      </c>
      <c r="BB734">
        <f>IFERROR(INDEX(PP_Grid[#Data],$DE734,51),0)</f>
        <v/>
      </c>
      <c r="BC734">
        <f>IFERROR(INDEX(PP_Grid[#Data],$DE734,52),0)</f>
        <v/>
      </c>
      <c r="BD734">
        <f>IFERROR(INDEX(PP_Grid[#Data],$DE734,53),0)</f>
        <v/>
      </c>
      <c r="BE734">
        <f>IFERROR(INDEX(PP_Grid[#Data],$DE734,54),0)</f>
        <v/>
      </c>
      <c r="BF734">
        <f>IFERROR(INDEX(PP_Grid[#Data],$DE734,55),0)</f>
        <v/>
      </c>
      <c r="BG734">
        <f>IFERROR(INDEX(PP_Grid[#Data],$DE734,56),0)</f>
        <v/>
      </c>
      <c r="BH734">
        <f>IFERROR(INDEX(PP_Grid[#Data],$DE734,57),0)</f>
        <v/>
      </c>
      <c r="BI734">
        <f>IFERROR(INDEX(PP_Grid[#Data],$DE734,58),0)</f>
        <v/>
      </c>
      <c r="BJ734">
        <f>IFERROR(INDEX(PP_Grid[#Data],$DE734,59),0)</f>
        <v/>
      </c>
      <c r="BK734">
        <f>IFERROR(INDEX(PP_Grid[#Data],$DE734,60),0)</f>
        <v/>
      </c>
      <c r="BL734">
        <f>IFERROR(INDEX(PP_Grid[#Data],$DE734,61),0)</f>
        <v/>
      </c>
      <c r="BM734">
        <f>IFERROR(INDEX(PP_Grid[#Data],$DE734,62),0)</f>
        <v/>
      </c>
      <c r="BN734">
        <f>IFERROR(INDEX(PP_Grid[#Data],$DE734,63),0)</f>
        <v/>
      </c>
      <c r="BO734">
        <f>IFERROR(INDEX(PP_Grid[#Data],$DE734,64),0)</f>
        <v/>
      </c>
      <c r="BP734">
        <f>IFERROR(INDEX(PP_Grid[#Data],$DE734,65),0)</f>
        <v/>
      </c>
      <c r="BQ734">
        <f>IFERROR(INDEX(PP_Grid[#Data],$DE734,66),0)</f>
        <v/>
      </c>
      <c r="BR734">
        <f>IFERROR(INDEX(PP_Grid[#Data],$DE734,67),0)</f>
        <v/>
      </c>
      <c r="BS734">
        <f>IFERROR(INDEX(PP_Grid[#Data],$DE734,68),0)</f>
        <v/>
      </c>
      <c r="BT734">
        <f>IFERROR(INDEX(PP_Grid[#Data],$DE734,69),0)</f>
        <v/>
      </c>
      <c r="BU734">
        <f>IFERROR(INDEX(PP_Grid[#Data],$DE734,70),0)</f>
        <v/>
      </c>
      <c r="BV734">
        <f>IFERROR(INDEX(PP_Grid[#Data],$DE734,71),0)</f>
        <v/>
      </c>
      <c r="BW734">
        <f>IFERROR(INDEX(PP_Grid[#Data],$DE734,72),0)</f>
        <v/>
      </c>
      <c r="BX734">
        <f>IFERROR(INDEX(PP_Grid[#Data],$DE734,73),0)</f>
        <v/>
      </c>
      <c r="BY734">
        <f>IFERROR(INDEX(PP_Grid[#Data],$DE734,74),0)</f>
        <v/>
      </c>
      <c r="BZ734">
        <f>IFERROR(INDEX(PP_Grid[#Data],$DE734,75),0)</f>
        <v/>
      </c>
      <c r="CA734">
        <f>IFERROR(INDEX(PP_Grid[#Data],$DE734,76),0)</f>
        <v/>
      </c>
      <c r="CB734">
        <f>IFERROR(INDEX(PP_Grid[#Data],$DE734,77),0)</f>
        <v/>
      </c>
      <c r="CC734">
        <f>IFERROR(INDEX(PP_Grid[#Data],$DE734,78),0)</f>
        <v/>
      </c>
      <c r="CD734">
        <f>IFERROR(INDEX(PP_Grid[#Data],$DE734,79),0)</f>
        <v/>
      </c>
      <c r="CE734">
        <f>IFERROR(INDEX(PP_Grid[#Data],$DE734,80),0)</f>
        <v/>
      </c>
      <c r="CF734">
        <f>IFERROR(INDEX(PP_Grid[#Data],$DE734,81),0)</f>
        <v/>
      </c>
      <c r="CG734">
        <f>IFERROR(INDEX(PP_Grid[#Data],$DE734,82),0)</f>
        <v/>
      </c>
      <c r="CH734">
        <f>IFERROR(INDEX(PP_Grid[#Data],$DE734,83),0)</f>
        <v/>
      </c>
      <c r="CI734">
        <f>IFERROR(INDEX(PP_Grid[#Data],$DE734,84),0)</f>
        <v/>
      </c>
      <c r="CJ734">
        <f>IFERROR(INDEX(PP_Grid[#Data],$DE734,85),0)</f>
        <v/>
      </c>
      <c r="CK734">
        <f>IFERROR(INDEX(PP_Grid[#Data],$DE734,86),0)</f>
        <v/>
      </c>
      <c r="CL734">
        <f>IFERROR(INDEX(PP_Grid[#Data],$DE734,87),0)</f>
        <v/>
      </c>
      <c r="CM734">
        <f>IFERROR(INDEX(PP_Grid[#Data],$DE734,88),0)</f>
        <v/>
      </c>
      <c r="CN734">
        <f>IFERROR(INDEX(PP_Grid[#Data],$DE734,89),0)</f>
        <v/>
      </c>
      <c r="CO734">
        <f>IFERROR(INDEX(PP_Grid[#Data],$DE734,90),0)</f>
        <v/>
      </c>
      <c r="CP734">
        <f>IFERROR(INDEX(PP_Grid[#Data],$DE734,91),0)</f>
        <v/>
      </c>
      <c r="CQ734">
        <f>IFERROR(INDEX(PP_Grid[#Data],$DE734,92),0)</f>
        <v/>
      </c>
      <c r="CR734">
        <f>IFERROR(INDEX(PP_Grid[#Data],$DE734,93),0)</f>
        <v/>
      </c>
      <c r="CS734">
        <f>IFERROR(INDEX(PP_Grid[#Data],$DE734,94),0)</f>
        <v/>
      </c>
      <c r="CT734">
        <f>IFERROR(INDEX(PP_Grid[#Data],$DE734,95),0)</f>
        <v/>
      </c>
      <c r="CU734">
        <f>IFERROR(INDEX(PP_Grid[#Data],$DE734,96),0)</f>
        <v/>
      </c>
      <c r="CV734">
        <f>IFERROR(INDEX(PP_Grid[#Data],$DE734,97),0)</f>
        <v/>
      </c>
      <c r="CW734">
        <f>IFERROR(INDEX(PP_Grid[#Data],$DE734,98),0)</f>
        <v/>
      </c>
      <c r="CX734">
        <f>IFERROR(INDEX(PP_Grid[#Data],$DE734,99),0)</f>
        <v/>
      </c>
      <c r="CY734">
        <f>IFERROR(INDEX(PP_Grid[#Data],$DE734,100),0)</f>
        <v/>
      </c>
      <c r="CZ734">
        <f>IFERROR(INDEX(PP_Grid[#Data],$DE734,101),0)</f>
        <v/>
      </c>
      <c r="DA734">
        <f>IFERROR(INDEX(PP_Grid[#Data],$DE734,102),0)</f>
        <v/>
      </c>
      <c r="DB734">
        <f>IFERROR(INDEX(PP_Grid[#Data],$DE734,103),0)</f>
        <v/>
      </c>
      <c r="DC734">
        <f>IFERROR(INDEX(PP_Grid[#Data],$DE734,104),0)</f>
        <v/>
      </c>
      <c r="DD734">
        <f>IFERROR(INDEX(PP_Grid[#Data],$DE734,105),0)</f>
        <v/>
      </c>
      <c r="DE734" s="7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SUMIFS(M_BOM[RM_Qty_Per_Batch],M_BOM[Intermediate],$B734,M_BOM[RM_Code],$A721)</f>
        <v/>
      </c>
      <c r="D735">
        <f>IFERROR(INDEX(E735:DD735,$F$1),"")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  <c r="DD735">
        <f>$C735*DD734</f>
        <v/>
      </c>
    </row>
    <row r="736">
      <c r="B736" s="4" t="inlineStr">
        <is>
          <t>合計使用量(kg)/週</t>
        </is>
      </c>
      <c r="D736" s="22">
        <f>IFERROR(INDEX(E736:DD736,$F$1),"")</f>
        <v/>
      </c>
      <c r="E736">
        <f>'Grid_Requirement'!B47</f>
        <v/>
      </c>
      <c r="F736">
        <f>'Grid_Requirement'!C47</f>
        <v/>
      </c>
      <c r="G736">
        <f>'Grid_Requirement'!D47</f>
        <v/>
      </c>
      <c r="H736">
        <f>'Grid_Requirement'!E47</f>
        <v/>
      </c>
      <c r="I736">
        <f>'Grid_Requirement'!F47</f>
        <v/>
      </c>
      <c r="J736">
        <f>'Grid_Requirement'!G47</f>
        <v/>
      </c>
      <c r="K736">
        <f>'Grid_Requirement'!H47</f>
        <v/>
      </c>
      <c r="L736">
        <f>'Grid_Requirement'!I47</f>
        <v/>
      </c>
      <c r="M736">
        <f>'Grid_Requirement'!J47</f>
        <v/>
      </c>
      <c r="N736">
        <f>'Grid_Requirement'!K47</f>
        <v/>
      </c>
      <c r="O736">
        <f>'Grid_Requirement'!L47</f>
        <v/>
      </c>
      <c r="P736">
        <f>'Grid_Requirement'!M47</f>
        <v/>
      </c>
      <c r="Q736">
        <f>'Grid_Requirement'!N47</f>
        <v/>
      </c>
      <c r="R736">
        <f>'Grid_Requirement'!O47</f>
        <v/>
      </c>
      <c r="S736">
        <f>'Grid_Requirement'!P47</f>
        <v/>
      </c>
      <c r="T736">
        <f>'Grid_Requirement'!Q47</f>
        <v/>
      </c>
      <c r="U736">
        <f>'Grid_Requirement'!R47</f>
        <v/>
      </c>
      <c r="V736">
        <f>'Grid_Requirement'!S47</f>
        <v/>
      </c>
      <c r="W736">
        <f>'Grid_Requirement'!T47</f>
        <v/>
      </c>
      <c r="X736">
        <f>'Grid_Requirement'!U47</f>
        <v/>
      </c>
      <c r="Y736">
        <f>'Grid_Requirement'!V47</f>
        <v/>
      </c>
      <c r="Z736">
        <f>'Grid_Requirement'!W47</f>
        <v/>
      </c>
      <c r="AA736">
        <f>'Grid_Requirement'!X47</f>
        <v/>
      </c>
      <c r="AB736">
        <f>'Grid_Requirement'!Y47</f>
        <v/>
      </c>
      <c r="AC736">
        <f>'Grid_Requirement'!Z47</f>
        <v/>
      </c>
      <c r="AD736">
        <f>'Grid_Requirement'!AA47</f>
        <v/>
      </c>
      <c r="AE736">
        <f>'Grid_Requirement'!AB47</f>
        <v/>
      </c>
      <c r="AF736">
        <f>'Grid_Requirement'!AC47</f>
        <v/>
      </c>
      <c r="AG736">
        <f>'Grid_Requirement'!AD47</f>
        <v/>
      </c>
      <c r="AH736">
        <f>'Grid_Requirement'!AE47</f>
        <v/>
      </c>
      <c r="AI736">
        <f>'Grid_Requirement'!AF47</f>
        <v/>
      </c>
      <c r="AJ736">
        <f>'Grid_Requirement'!AG47</f>
        <v/>
      </c>
      <c r="AK736">
        <f>'Grid_Requirement'!AH47</f>
        <v/>
      </c>
      <c r="AL736">
        <f>'Grid_Requirement'!AI47</f>
        <v/>
      </c>
      <c r="AM736">
        <f>'Grid_Requirement'!AJ47</f>
        <v/>
      </c>
      <c r="AN736">
        <f>'Grid_Requirement'!AK47</f>
        <v/>
      </c>
      <c r="AO736">
        <f>'Grid_Requirement'!AL47</f>
        <v/>
      </c>
      <c r="AP736">
        <f>'Grid_Requirement'!AM47</f>
        <v/>
      </c>
      <c r="AQ736">
        <f>'Grid_Requirement'!AN47</f>
        <v/>
      </c>
      <c r="AR736">
        <f>'Grid_Requirement'!AO47</f>
        <v/>
      </c>
      <c r="AS736">
        <f>'Grid_Requirement'!AP47</f>
        <v/>
      </c>
      <c r="AT736">
        <f>'Grid_Requirement'!AQ47</f>
        <v/>
      </c>
      <c r="AU736">
        <f>'Grid_Requirement'!AR47</f>
        <v/>
      </c>
      <c r="AV736">
        <f>'Grid_Requirement'!AS47</f>
        <v/>
      </c>
      <c r="AW736">
        <f>'Grid_Requirement'!AT47</f>
        <v/>
      </c>
      <c r="AX736">
        <f>'Grid_Requirement'!AU47</f>
        <v/>
      </c>
      <c r="AY736">
        <f>'Grid_Requirement'!AV47</f>
        <v/>
      </c>
      <c r="AZ736">
        <f>'Grid_Requirement'!AW47</f>
        <v/>
      </c>
      <c r="BA736">
        <f>'Grid_Requirement'!AX47</f>
        <v/>
      </c>
      <c r="BB736">
        <f>'Grid_Requirement'!AY47</f>
        <v/>
      </c>
      <c r="BC736">
        <f>'Grid_Requirement'!AZ47</f>
        <v/>
      </c>
      <c r="BD736">
        <f>'Grid_Requirement'!BA47</f>
        <v/>
      </c>
      <c r="BE736">
        <f>'Grid_Requirement'!BB47</f>
        <v/>
      </c>
      <c r="BF736">
        <f>'Grid_Requirement'!BC47</f>
        <v/>
      </c>
      <c r="BG736">
        <f>'Grid_Requirement'!BD47</f>
        <v/>
      </c>
      <c r="BH736">
        <f>'Grid_Requirement'!BE47</f>
        <v/>
      </c>
      <c r="BI736">
        <f>'Grid_Requirement'!BF47</f>
        <v/>
      </c>
      <c r="BJ736">
        <f>'Grid_Requirement'!BG47</f>
        <v/>
      </c>
      <c r="BK736">
        <f>'Grid_Requirement'!BH47</f>
        <v/>
      </c>
      <c r="BL736">
        <f>'Grid_Requirement'!BI47</f>
        <v/>
      </c>
      <c r="BM736">
        <f>'Grid_Requirement'!BJ47</f>
        <v/>
      </c>
      <c r="BN736">
        <f>'Grid_Requirement'!BK47</f>
        <v/>
      </c>
      <c r="BO736">
        <f>'Grid_Requirement'!BL47</f>
        <v/>
      </c>
      <c r="BP736">
        <f>'Grid_Requirement'!BM47</f>
        <v/>
      </c>
      <c r="BQ736">
        <f>'Grid_Requirement'!BN47</f>
        <v/>
      </c>
      <c r="BR736">
        <f>'Grid_Requirement'!BO47</f>
        <v/>
      </c>
      <c r="BS736">
        <f>'Grid_Requirement'!BP47</f>
        <v/>
      </c>
      <c r="BT736">
        <f>'Grid_Requirement'!BQ47</f>
        <v/>
      </c>
      <c r="BU736">
        <f>'Grid_Requirement'!BR47</f>
        <v/>
      </c>
      <c r="BV736">
        <f>'Grid_Requirement'!BS47</f>
        <v/>
      </c>
      <c r="BW736">
        <f>'Grid_Requirement'!BT47</f>
        <v/>
      </c>
      <c r="BX736">
        <f>'Grid_Requirement'!BU47</f>
        <v/>
      </c>
      <c r="BY736">
        <f>'Grid_Requirement'!BV47</f>
        <v/>
      </c>
      <c r="BZ736">
        <f>'Grid_Requirement'!BW47</f>
        <v/>
      </c>
      <c r="CA736">
        <f>'Grid_Requirement'!BX47</f>
        <v/>
      </c>
      <c r="CB736">
        <f>'Grid_Requirement'!BY47</f>
        <v/>
      </c>
      <c r="CC736">
        <f>'Grid_Requirement'!BZ47</f>
        <v/>
      </c>
      <c r="CD736">
        <f>'Grid_Requirement'!CA47</f>
        <v/>
      </c>
      <c r="CE736">
        <f>'Grid_Requirement'!CB47</f>
        <v/>
      </c>
      <c r="CF736">
        <f>'Grid_Requirement'!CC47</f>
        <v/>
      </c>
      <c r="CG736">
        <f>'Grid_Requirement'!CD47</f>
        <v/>
      </c>
      <c r="CH736">
        <f>'Grid_Requirement'!CE47</f>
        <v/>
      </c>
      <c r="CI736">
        <f>'Grid_Requirement'!CF47</f>
        <v/>
      </c>
      <c r="CJ736">
        <f>'Grid_Requirement'!CG47</f>
        <v/>
      </c>
      <c r="CK736">
        <f>'Grid_Requirement'!CH47</f>
        <v/>
      </c>
      <c r="CL736">
        <f>'Grid_Requirement'!CI47</f>
        <v/>
      </c>
      <c r="CM736">
        <f>'Grid_Requirement'!CJ47</f>
        <v/>
      </c>
      <c r="CN736">
        <f>'Grid_Requirement'!CK47</f>
        <v/>
      </c>
      <c r="CO736">
        <f>'Grid_Requirement'!CL47</f>
        <v/>
      </c>
      <c r="CP736">
        <f>'Grid_Requirement'!CM47</f>
        <v/>
      </c>
      <c r="CQ736">
        <f>'Grid_Requirement'!CN47</f>
        <v/>
      </c>
      <c r="CR736">
        <f>'Grid_Requirement'!CO47</f>
        <v/>
      </c>
      <c r="CS736">
        <f>'Grid_Requirement'!CP47</f>
        <v/>
      </c>
      <c r="CT736">
        <f>'Grid_Requirement'!CQ47</f>
        <v/>
      </c>
      <c r="CU736">
        <f>'Grid_Requirement'!CR47</f>
        <v/>
      </c>
      <c r="CV736">
        <f>'Grid_Requirement'!CS47</f>
        <v/>
      </c>
      <c r="CW736">
        <f>'Grid_Requirement'!CT47</f>
        <v/>
      </c>
      <c r="CX736">
        <f>'Grid_Requirement'!CU47</f>
        <v/>
      </c>
      <c r="CY736">
        <f>'Grid_Requirement'!CV47</f>
        <v/>
      </c>
      <c r="CZ736">
        <f>'Grid_Requirement'!CW47</f>
        <v/>
      </c>
      <c r="DA736">
        <f>'Grid_Requirement'!CX47</f>
        <v/>
      </c>
      <c r="DB736">
        <f>'Grid_Requirement'!CY47</f>
        <v/>
      </c>
      <c r="DC736">
        <f>'Grid_Requirement'!CZ47</f>
        <v/>
      </c>
      <c r="DD736">
        <f>'Grid_Requirement'!DA47</f>
        <v/>
      </c>
    </row>
    <row r="737">
      <c r="B737" s="23" t="inlineStr">
        <is>
          <t>（在庫・入荷予定はDashboard参照）</t>
        </is>
      </c>
    </row>
    <row r="739">
      <c r="A739" s="21" t="inlineStr">
        <is>
          <t>CHEM-1480</t>
        </is>
      </c>
      <c r="B739" s="21" t="inlineStr">
        <is>
          <t>NAT-30</t>
        </is>
      </c>
      <c r="C739" s="21" t="n"/>
      <c r="D739" s="21" t="n"/>
      <c r="E739" s="21" t="n"/>
      <c r="F739" s="21" t="n"/>
      <c r="G739" s="21" t="n"/>
      <c r="H739" s="21" t="n"/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  <c r="Z739" s="21" t="n"/>
      <c r="AA739" s="21" t="n"/>
      <c r="AB739" s="21" t="n"/>
      <c r="AC739" s="21" t="n"/>
      <c r="AD739" s="21" t="n"/>
      <c r="AE739" s="21" t="n"/>
      <c r="AF739" s="21" t="n"/>
      <c r="AG739" s="21" t="n"/>
      <c r="AH739" s="21" t="n"/>
      <c r="AI739" s="21" t="n"/>
      <c r="AJ739" s="21" t="n"/>
      <c r="AK739" s="21" t="n"/>
      <c r="AL739" s="21" t="n"/>
      <c r="AM739" s="21" t="n"/>
      <c r="AN739" s="21" t="n"/>
      <c r="AO739" s="21" t="n"/>
      <c r="AP739" s="21" t="n"/>
      <c r="AQ739" s="21" t="n"/>
      <c r="AR739" s="21" t="n"/>
      <c r="AS739" s="21" t="n"/>
      <c r="AT739" s="21" t="n"/>
      <c r="AU739" s="21" t="n"/>
      <c r="AV739" s="21" t="n"/>
      <c r="AW739" s="21" t="n"/>
      <c r="AX739" s="21" t="n"/>
      <c r="AY739" s="21" t="n"/>
      <c r="AZ739" s="21" t="n"/>
      <c r="BA739" s="21" t="n"/>
      <c r="BB739" s="21" t="n"/>
      <c r="BC739" s="21" t="n"/>
      <c r="BD739" s="21" t="n"/>
      <c r="BE739" s="21" t="n"/>
      <c r="BF739" s="21" t="n"/>
      <c r="BG739" s="21" t="n"/>
      <c r="BH739" s="21" t="n"/>
      <c r="BI739" s="21" t="n"/>
      <c r="BJ739" s="21" t="n"/>
      <c r="BK739" s="21" t="n"/>
      <c r="BL739" s="21" t="n"/>
      <c r="BM739" s="21" t="n"/>
      <c r="BN739" s="21" t="n"/>
      <c r="BO739" s="21" t="n"/>
      <c r="BP739" s="21" t="n"/>
      <c r="BQ739" s="21" t="n"/>
      <c r="BR739" s="21" t="n"/>
      <c r="BS739" s="21" t="n"/>
      <c r="BT739" s="21" t="n"/>
      <c r="BU739" s="21" t="n"/>
      <c r="BV739" s="21" t="n"/>
      <c r="BW739" s="21" t="n"/>
      <c r="BX739" s="21" t="n"/>
      <c r="BY739" s="21" t="n"/>
      <c r="BZ739" s="21" t="n"/>
      <c r="CA739" s="21" t="n"/>
      <c r="CB739" s="21" t="n"/>
      <c r="CC739" s="21" t="n"/>
      <c r="CD739" s="21" t="n"/>
      <c r="CE739" s="21" t="n"/>
      <c r="CF739" s="21" t="n"/>
      <c r="CG739" s="21" t="n"/>
      <c r="CH739" s="21" t="n"/>
      <c r="CI739" s="21" t="n"/>
      <c r="CJ739" s="21" t="n"/>
      <c r="CK739" s="21" t="n"/>
      <c r="CL739" s="21" t="n"/>
      <c r="CM739" s="21" t="n"/>
      <c r="CN739" s="21" t="n"/>
      <c r="CO739" s="21" t="n"/>
      <c r="CP739" s="21" t="n"/>
      <c r="CQ739" s="21" t="n"/>
      <c r="CR739" s="21" t="n"/>
      <c r="CS739" s="21" t="n"/>
      <c r="CT739" s="21" t="n"/>
      <c r="CU739" s="21" t="n"/>
      <c r="CV739" s="21" t="n"/>
      <c r="CW739" s="21" t="n"/>
      <c r="CX739" s="21" t="n"/>
      <c r="CY739" s="21" t="n"/>
      <c r="CZ739" s="21" t="n"/>
      <c r="DA739" s="21" t="n"/>
      <c r="DB739" s="21" t="n"/>
      <c r="DC739" s="21" t="n"/>
      <c r="DD739" s="21" t="n"/>
    </row>
    <row r="740">
      <c r="B740" t="inlineStr">
        <is>
          <t>TSP-206</t>
        </is>
      </c>
      <c r="C740" t="inlineStr">
        <is>
          <t>No. of batches</t>
        </is>
      </c>
      <c r="D740">
        <f>IFERROR(INDEX(E740:DD740,$F$1),"")</f>
        <v/>
      </c>
      <c r="E740">
        <f>IFERROR(INDEX(PP_Grid[#Data],$DE740,2),0)</f>
        <v/>
      </c>
      <c r="F740">
        <f>IFERROR(INDEX(PP_Grid[#Data],$DE740,3),0)</f>
        <v/>
      </c>
      <c r="G740">
        <f>IFERROR(INDEX(PP_Grid[#Data],$DE740,4),0)</f>
        <v/>
      </c>
      <c r="H740">
        <f>IFERROR(INDEX(PP_Grid[#Data],$DE740,5),0)</f>
        <v/>
      </c>
      <c r="I740">
        <f>IFERROR(INDEX(PP_Grid[#Data],$DE740,6),0)</f>
        <v/>
      </c>
      <c r="J740">
        <f>IFERROR(INDEX(PP_Grid[#Data],$DE740,7),0)</f>
        <v/>
      </c>
      <c r="K740">
        <f>IFERROR(INDEX(PP_Grid[#Data],$DE740,8),0)</f>
        <v/>
      </c>
      <c r="L740">
        <f>IFERROR(INDEX(PP_Grid[#Data],$DE740,9),0)</f>
        <v/>
      </c>
      <c r="M740">
        <f>IFERROR(INDEX(PP_Grid[#Data],$DE740,10),0)</f>
        <v/>
      </c>
      <c r="N740">
        <f>IFERROR(INDEX(PP_Grid[#Data],$DE740,11),0)</f>
        <v/>
      </c>
      <c r="O740">
        <f>IFERROR(INDEX(PP_Grid[#Data],$DE740,12),0)</f>
        <v/>
      </c>
      <c r="P740">
        <f>IFERROR(INDEX(PP_Grid[#Data],$DE740,13),0)</f>
        <v/>
      </c>
      <c r="Q740">
        <f>IFERROR(INDEX(PP_Grid[#Data],$DE740,14),0)</f>
        <v/>
      </c>
      <c r="R740">
        <f>IFERROR(INDEX(PP_Grid[#Data],$DE740,15),0)</f>
        <v/>
      </c>
      <c r="S740">
        <f>IFERROR(INDEX(PP_Grid[#Data],$DE740,16),0)</f>
        <v/>
      </c>
      <c r="T740">
        <f>IFERROR(INDEX(PP_Grid[#Data],$DE740,17),0)</f>
        <v/>
      </c>
      <c r="U740">
        <f>IFERROR(INDEX(PP_Grid[#Data],$DE740,18),0)</f>
        <v/>
      </c>
      <c r="V740">
        <f>IFERROR(INDEX(PP_Grid[#Data],$DE740,19),0)</f>
        <v/>
      </c>
      <c r="W740">
        <f>IFERROR(INDEX(PP_Grid[#Data],$DE740,20),0)</f>
        <v/>
      </c>
      <c r="X740">
        <f>IFERROR(INDEX(PP_Grid[#Data],$DE740,21),0)</f>
        <v/>
      </c>
      <c r="Y740">
        <f>IFERROR(INDEX(PP_Grid[#Data],$DE740,22),0)</f>
        <v/>
      </c>
      <c r="Z740">
        <f>IFERROR(INDEX(PP_Grid[#Data],$DE740,23),0)</f>
        <v/>
      </c>
      <c r="AA740">
        <f>IFERROR(INDEX(PP_Grid[#Data],$DE740,24),0)</f>
        <v/>
      </c>
      <c r="AB740">
        <f>IFERROR(INDEX(PP_Grid[#Data],$DE740,25),0)</f>
        <v/>
      </c>
      <c r="AC740">
        <f>IFERROR(INDEX(PP_Grid[#Data],$DE740,26),0)</f>
        <v/>
      </c>
      <c r="AD740">
        <f>IFERROR(INDEX(PP_Grid[#Data],$DE740,27),0)</f>
        <v/>
      </c>
      <c r="AE740">
        <f>IFERROR(INDEX(PP_Grid[#Data],$DE740,28),0)</f>
        <v/>
      </c>
      <c r="AF740">
        <f>IFERROR(INDEX(PP_Grid[#Data],$DE740,29),0)</f>
        <v/>
      </c>
      <c r="AG740">
        <f>IFERROR(INDEX(PP_Grid[#Data],$DE740,30),0)</f>
        <v/>
      </c>
      <c r="AH740">
        <f>IFERROR(INDEX(PP_Grid[#Data],$DE740,31),0)</f>
        <v/>
      </c>
      <c r="AI740">
        <f>IFERROR(INDEX(PP_Grid[#Data],$DE740,32),0)</f>
        <v/>
      </c>
      <c r="AJ740">
        <f>IFERROR(INDEX(PP_Grid[#Data],$DE740,33),0)</f>
        <v/>
      </c>
      <c r="AK740">
        <f>IFERROR(INDEX(PP_Grid[#Data],$DE740,34),0)</f>
        <v/>
      </c>
      <c r="AL740">
        <f>IFERROR(INDEX(PP_Grid[#Data],$DE740,35),0)</f>
        <v/>
      </c>
      <c r="AM740">
        <f>IFERROR(INDEX(PP_Grid[#Data],$DE740,36),0)</f>
        <v/>
      </c>
      <c r="AN740">
        <f>IFERROR(INDEX(PP_Grid[#Data],$DE740,37),0)</f>
        <v/>
      </c>
      <c r="AO740">
        <f>IFERROR(INDEX(PP_Grid[#Data],$DE740,38),0)</f>
        <v/>
      </c>
      <c r="AP740">
        <f>IFERROR(INDEX(PP_Grid[#Data],$DE740,39),0)</f>
        <v/>
      </c>
      <c r="AQ740">
        <f>IFERROR(INDEX(PP_Grid[#Data],$DE740,40),0)</f>
        <v/>
      </c>
      <c r="AR740">
        <f>IFERROR(INDEX(PP_Grid[#Data],$DE740,41),0)</f>
        <v/>
      </c>
      <c r="AS740">
        <f>IFERROR(INDEX(PP_Grid[#Data],$DE740,42),0)</f>
        <v/>
      </c>
      <c r="AT740">
        <f>IFERROR(INDEX(PP_Grid[#Data],$DE740,43),0)</f>
        <v/>
      </c>
      <c r="AU740">
        <f>IFERROR(INDEX(PP_Grid[#Data],$DE740,44),0)</f>
        <v/>
      </c>
      <c r="AV740">
        <f>IFERROR(INDEX(PP_Grid[#Data],$DE740,45),0)</f>
        <v/>
      </c>
      <c r="AW740">
        <f>IFERROR(INDEX(PP_Grid[#Data],$DE740,46),0)</f>
        <v/>
      </c>
      <c r="AX740">
        <f>IFERROR(INDEX(PP_Grid[#Data],$DE740,47),0)</f>
        <v/>
      </c>
      <c r="AY740">
        <f>IFERROR(INDEX(PP_Grid[#Data],$DE740,48),0)</f>
        <v/>
      </c>
      <c r="AZ740">
        <f>IFERROR(INDEX(PP_Grid[#Data],$DE740,49),0)</f>
        <v/>
      </c>
      <c r="BA740">
        <f>IFERROR(INDEX(PP_Grid[#Data],$DE740,50),0)</f>
        <v/>
      </c>
      <c r="BB740">
        <f>IFERROR(INDEX(PP_Grid[#Data],$DE740,51),0)</f>
        <v/>
      </c>
      <c r="BC740">
        <f>IFERROR(INDEX(PP_Grid[#Data],$DE740,52),0)</f>
        <v/>
      </c>
      <c r="BD740">
        <f>IFERROR(INDEX(PP_Grid[#Data],$DE740,53),0)</f>
        <v/>
      </c>
      <c r="BE740">
        <f>IFERROR(INDEX(PP_Grid[#Data],$DE740,54),0)</f>
        <v/>
      </c>
      <c r="BF740">
        <f>IFERROR(INDEX(PP_Grid[#Data],$DE740,55),0)</f>
        <v/>
      </c>
      <c r="BG740">
        <f>IFERROR(INDEX(PP_Grid[#Data],$DE740,56),0)</f>
        <v/>
      </c>
      <c r="BH740">
        <f>IFERROR(INDEX(PP_Grid[#Data],$DE740,57),0)</f>
        <v/>
      </c>
      <c r="BI740">
        <f>IFERROR(INDEX(PP_Grid[#Data],$DE740,58),0)</f>
        <v/>
      </c>
      <c r="BJ740">
        <f>IFERROR(INDEX(PP_Grid[#Data],$DE740,59),0)</f>
        <v/>
      </c>
      <c r="BK740">
        <f>IFERROR(INDEX(PP_Grid[#Data],$DE740,60),0)</f>
        <v/>
      </c>
      <c r="BL740">
        <f>IFERROR(INDEX(PP_Grid[#Data],$DE740,61),0)</f>
        <v/>
      </c>
      <c r="BM740">
        <f>IFERROR(INDEX(PP_Grid[#Data],$DE740,62),0)</f>
        <v/>
      </c>
      <c r="BN740">
        <f>IFERROR(INDEX(PP_Grid[#Data],$DE740,63),0)</f>
        <v/>
      </c>
      <c r="BO740">
        <f>IFERROR(INDEX(PP_Grid[#Data],$DE740,64),0)</f>
        <v/>
      </c>
      <c r="BP740">
        <f>IFERROR(INDEX(PP_Grid[#Data],$DE740,65),0)</f>
        <v/>
      </c>
      <c r="BQ740">
        <f>IFERROR(INDEX(PP_Grid[#Data],$DE740,66),0)</f>
        <v/>
      </c>
      <c r="BR740">
        <f>IFERROR(INDEX(PP_Grid[#Data],$DE740,67),0)</f>
        <v/>
      </c>
      <c r="BS740">
        <f>IFERROR(INDEX(PP_Grid[#Data],$DE740,68),0)</f>
        <v/>
      </c>
      <c r="BT740">
        <f>IFERROR(INDEX(PP_Grid[#Data],$DE740,69),0)</f>
        <v/>
      </c>
      <c r="BU740">
        <f>IFERROR(INDEX(PP_Grid[#Data],$DE740,70),0)</f>
        <v/>
      </c>
      <c r="BV740">
        <f>IFERROR(INDEX(PP_Grid[#Data],$DE740,71),0)</f>
        <v/>
      </c>
      <c r="BW740">
        <f>IFERROR(INDEX(PP_Grid[#Data],$DE740,72),0)</f>
        <v/>
      </c>
      <c r="BX740">
        <f>IFERROR(INDEX(PP_Grid[#Data],$DE740,73),0)</f>
        <v/>
      </c>
      <c r="BY740">
        <f>IFERROR(INDEX(PP_Grid[#Data],$DE740,74),0)</f>
        <v/>
      </c>
      <c r="BZ740">
        <f>IFERROR(INDEX(PP_Grid[#Data],$DE740,75),0)</f>
        <v/>
      </c>
      <c r="CA740">
        <f>IFERROR(INDEX(PP_Grid[#Data],$DE740,76),0)</f>
        <v/>
      </c>
      <c r="CB740">
        <f>IFERROR(INDEX(PP_Grid[#Data],$DE740,77),0)</f>
        <v/>
      </c>
      <c r="CC740">
        <f>IFERROR(INDEX(PP_Grid[#Data],$DE740,78),0)</f>
        <v/>
      </c>
      <c r="CD740">
        <f>IFERROR(INDEX(PP_Grid[#Data],$DE740,79),0)</f>
        <v/>
      </c>
      <c r="CE740">
        <f>IFERROR(INDEX(PP_Grid[#Data],$DE740,80),0)</f>
        <v/>
      </c>
      <c r="CF740">
        <f>IFERROR(INDEX(PP_Grid[#Data],$DE740,81),0)</f>
        <v/>
      </c>
      <c r="CG740">
        <f>IFERROR(INDEX(PP_Grid[#Data],$DE740,82),0)</f>
        <v/>
      </c>
      <c r="CH740">
        <f>IFERROR(INDEX(PP_Grid[#Data],$DE740,83),0)</f>
        <v/>
      </c>
      <c r="CI740">
        <f>IFERROR(INDEX(PP_Grid[#Data],$DE740,84),0)</f>
        <v/>
      </c>
      <c r="CJ740">
        <f>IFERROR(INDEX(PP_Grid[#Data],$DE740,85),0)</f>
        <v/>
      </c>
      <c r="CK740">
        <f>IFERROR(INDEX(PP_Grid[#Data],$DE740,86),0)</f>
        <v/>
      </c>
      <c r="CL740">
        <f>IFERROR(INDEX(PP_Grid[#Data],$DE740,87),0)</f>
        <v/>
      </c>
      <c r="CM740">
        <f>IFERROR(INDEX(PP_Grid[#Data],$DE740,88),0)</f>
        <v/>
      </c>
      <c r="CN740">
        <f>IFERROR(INDEX(PP_Grid[#Data],$DE740,89),0)</f>
        <v/>
      </c>
      <c r="CO740">
        <f>IFERROR(INDEX(PP_Grid[#Data],$DE740,90),0)</f>
        <v/>
      </c>
      <c r="CP740">
        <f>IFERROR(INDEX(PP_Grid[#Data],$DE740,91),0)</f>
        <v/>
      </c>
      <c r="CQ740">
        <f>IFERROR(INDEX(PP_Grid[#Data],$DE740,92),0)</f>
        <v/>
      </c>
      <c r="CR740">
        <f>IFERROR(INDEX(PP_Grid[#Data],$DE740,93),0)</f>
        <v/>
      </c>
      <c r="CS740">
        <f>IFERROR(INDEX(PP_Grid[#Data],$DE740,94),0)</f>
        <v/>
      </c>
      <c r="CT740">
        <f>IFERROR(INDEX(PP_Grid[#Data],$DE740,95),0)</f>
        <v/>
      </c>
      <c r="CU740">
        <f>IFERROR(INDEX(PP_Grid[#Data],$DE740,96),0)</f>
        <v/>
      </c>
      <c r="CV740">
        <f>IFERROR(INDEX(PP_Grid[#Data],$DE740,97),0)</f>
        <v/>
      </c>
      <c r="CW740">
        <f>IFERROR(INDEX(PP_Grid[#Data],$DE740,98),0)</f>
        <v/>
      </c>
      <c r="CX740">
        <f>IFERROR(INDEX(PP_Grid[#Data],$DE740,99),0)</f>
        <v/>
      </c>
      <c r="CY740">
        <f>IFERROR(INDEX(PP_Grid[#Data],$DE740,100),0)</f>
        <v/>
      </c>
      <c r="CZ740">
        <f>IFERROR(INDEX(PP_Grid[#Data],$DE740,101),0)</f>
        <v/>
      </c>
      <c r="DA740">
        <f>IFERROR(INDEX(PP_Grid[#Data],$DE740,102),0)</f>
        <v/>
      </c>
      <c r="DB740">
        <f>IFERROR(INDEX(PP_Grid[#Data],$DE740,103),0)</f>
        <v/>
      </c>
      <c r="DC740">
        <f>IFERROR(INDEX(PP_Grid[#Data],$DE740,104),0)</f>
        <v/>
      </c>
      <c r="DD740">
        <f>IFERROR(INDEX(PP_Grid[#Data],$DE740,105),0)</f>
        <v/>
      </c>
      <c r="DE740" s="7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SUMIFS(M_BOM[RM_Qty_Per_Batch],M_BOM[Intermediate],$B740,M_BOM[RM_Code],$A739)</f>
        <v/>
      </c>
      <c r="D741">
        <f>IFERROR(INDEX(E741:DD741,$F$1),"")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  <c r="DD741">
        <f>$C741*DD740</f>
        <v/>
      </c>
    </row>
    <row r="742">
      <c r="B742" s="4" t="inlineStr">
        <is>
          <t>合計使用量(kg)/週</t>
        </is>
      </c>
      <c r="D742" s="22">
        <f>IFERROR(INDEX(E742:DD742,$F$1),"")</f>
        <v/>
      </c>
      <c r="E742">
        <f>'Grid_Requirement'!B50</f>
        <v/>
      </c>
      <c r="F742">
        <f>'Grid_Requirement'!C50</f>
        <v/>
      </c>
      <c r="G742">
        <f>'Grid_Requirement'!D50</f>
        <v/>
      </c>
      <c r="H742">
        <f>'Grid_Requirement'!E50</f>
        <v/>
      </c>
      <c r="I742">
        <f>'Grid_Requirement'!F50</f>
        <v/>
      </c>
      <c r="J742">
        <f>'Grid_Requirement'!G50</f>
        <v/>
      </c>
      <c r="K742">
        <f>'Grid_Requirement'!H50</f>
        <v/>
      </c>
      <c r="L742">
        <f>'Grid_Requirement'!I50</f>
        <v/>
      </c>
      <c r="M742">
        <f>'Grid_Requirement'!J50</f>
        <v/>
      </c>
      <c r="N742">
        <f>'Grid_Requirement'!K50</f>
        <v/>
      </c>
      <c r="O742">
        <f>'Grid_Requirement'!L50</f>
        <v/>
      </c>
      <c r="P742">
        <f>'Grid_Requirement'!M50</f>
        <v/>
      </c>
      <c r="Q742">
        <f>'Grid_Requirement'!N50</f>
        <v/>
      </c>
      <c r="R742">
        <f>'Grid_Requirement'!O50</f>
        <v/>
      </c>
      <c r="S742">
        <f>'Grid_Requirement'!P50</f>
        <v/>
      </c>
      <c r="T742">
        <f>'Grid_Requirement'!Q50</f>
        <v/>
      </c>
      <c r="U742">
        <f>'Grid_Requirement'!R50</f>
        <v/>
      </c>
      <c r="V742">
        <f>'Grid_Requirement'!S50</f>
        <v/>
      </c>
      <c r="W742">
        <f>'Grid_Requirement'!T50</f>
        <v/>
      </c>
      <c r="X742">
        <f>'Grid_Requirement'!U50</f>
        <v/>
      </c>
      <c r="Y742">
        <f>'Grid_Requirement'!V50</f>
        <v/>
      </c>
      <c r="Z742">
        <f>'Grid_Requirement'!W50</f>
        <v/>
      </c>
      <c r="AA742">
        <f>'Grid_Requirement'!X50</f>
        <v/>
      </c>
      <c r="AB742">
        <f>'Grid_Requirement'!Y50</f>
        <v/>
      </c>
      <c r="AC742">
        <f>'Grid_Requirement'!Z50</f>
        <v/>
      </c>
      <c r="AD742">
        <f>'Grid_Requirement'!AA50</f>
        <v/>
      </c>
      <c r="AE742">
        <f>'Grid_Requirement'!AB50</f>
        <v/>
      </c>
      <c r="AF742">
        <f>'Grid_Requirement'!AC50</f>
        <v/>
      </c>
      <c r="AG742">
        <f>'Grid_Requirement'!AD50</f>
        <v/>
      </c>
      <c r="AH742">
        <f>'Grid_Requirement'!AE50</f>
        <v/>
      </c>
      <c r="AI742">
        <f>'Grid_Requirement'!AF50</f>
        <v/>
      </c>
      <c r="AJ742">
        <f>'Grid_Requirement'!AG50</f>
        <v/>
      </c>
      <c r="AK742">
        <f>'Grid_Requirement'!AH50</f>
        <v/>
      </c>
      <c r="AL742">
        <f>'Grid_Requirement'!AI50</f>
        <v/>
      </c>
      <c r="AM742">
        <f>'Grid_Requirement'!AJ50</f>
        <v/>
      </c>
      <c r="AN742">
        <f>'Grid_Requirement'!AK50</f>
        <v/>
      </c>
      <c r="AO742">
        <f>'Grid_Requirement'!AL50</f>
        <v/>
      </c>
      <c r="AP742">
        <f>'Grid_Requirement'!AM50</f>
        <v/>
      </c>
      <c r="AQ742">
        <f>'Grid_Requirement'!AN50</f>
        <v/>
      </c>
      <c r="AR742">
        <f>'Grid_Requirement'!AO50</f>
        <v/>
      </c>
      <c r="AS742">
        <f>'Grid_Requirement'!AP50</f>
        <v/>
      </c>
      <c r="AT742">
        <f>'Grid_Requirement'!AQ50</f>
        <v/>
      </c>
      <c r="AU742">
        <f>'Grid_Requirement'!AR50</f>
        <v/>
      </c>
      <c r="AV742">
        <f>'Grid_Requirement'!AS50</f>
        <v/>
      </c>
      <c r="AW742">
        <f>'Grid_Requirement'!AT50</f>
        <v/>
      </c>
      <c r="AX742">
        <f>'Grid_Requirement'!AU50</f>
        <v/>
      </c>
      <c r="AY742">
        <f>'Grid_Requirement'!AV50</f>
        <v/>
      </c>
      <c r="AZ742">
        <f>'Grid_Requirement'!AW50</f>
        <v/>
      </c>
      <c r="BA742">
        <f>'Grid_Requirement'!AX50</f>
        <v/>
      </c>
      <c r="BB742">
        <f>'Grid_Requirement'!AY50</f>
        <v/>
      </c>
      <c r="BC742">
        <f>'Grid_Requirement'!AZ50</f>
        <v/>
      </c>
      <c r="BD742">
        <f>'Grid_Requirement'!BA50</f>
        <v/>
      </c>
      <c r="BE742">
        <f>'Grid_Requirement'!BB50</f>
        <v/>
      </c>
      <c r="BF742">
        <f>'Grid_Requirement'!BC50</f>
        <v/>
      </c>
      <c r="BG742">
        <f>'Grid_Requirement'!BD50</f>
        <v/>
      </c>
      <c r="BH742">
        <f>'Grid_Requirement'!BE50</f>
        <v/>
      </c>
      <c r="BI742">
        <f>'Grid_Requirement'!BF50</f>
        <v/>
      </c>
      <c r="BJ742">
        <f>'Grid_Requirement'!BG50</f>
        <v/>
      </c>
      <c r="BK742">
        <f>'Grid_Requirement'!BH50</f>
        <v/>
      </c>
      <c r="BL742">
        <f>'Grid_Requirement'!BI50</f>
        <v/>
      </c>
      <c r="BM742">
        <f>'Grid_Requirement'!BJ50</f>
        <v/>
      </c>
      <c r="BN742">
        <f>'Grid_Requirement'!BK50</f>
        <v/>
      </c>
      <c r="BO742">
        <f>'Grid_Requirement'!BL50</f>
        <v/>
      </c>
      <c r="BP742">
        <f>'Grid_Requirement'!BM50</f>
        <v/>
      </c>
      <c r="BQ742">
        <f>'Grid_Requirement'!BN50</f>
        <v/>
      </c>
      <c r="BR742">
        <f>'Grid_Requirement'!BO50</f>
        <v/>
      </c>
      <c r="BS742">
        <f>'Grid_Requirement'!BP50</f>
        <v/>
      </c>
      <c r="BT742">
        <f>'Grid_Requirement'!BQ50</f>
        <v/>
      </c>
      <c r="BU742">
        <f>'Grid_Requirement'!BR50</f>
        <v/>
      </c>
      <c r="BV742">
        <f>'Grid_Requirement'!BS50</f>
        <v/>
      </c>
      <c r="BW742">
        <f>'Grid_Requirement'!BT50</f>
        <v/>
      </c>
      <c r="BX742">
        <f>'Grid_Requirement'!BU50</f>
        <v/>
      </c>
      <c r="BY742">
        <f>'Grid_Requirement'!BV50</f>
        <v/>
      </c>
      <c r="BZ742">
        <f>'Grid_Requirement'!BW50</f>
        <v/>
      </c>
      <c r="CA742">
        <f>'Grid_Requirement'!BX50</f>
        <v/>
      </c>
      <c r="CB742">
        <f>'Grid_Requirement'!BY50</f>
        <v/>
      </c>
      <c r="CC742">
        <f>'Grid_Requirement'!BZ50</f>
        <v/>
      </c>
      <c r="CD742">
        <f>'Grid_Requirement'!CA50</f>
        <v/>
      </c>
      <c r="CE742">
        <f>'Grid_Requirement'!CB50</f>
        <v/>
      </c>
      <c r="CF742">
        <f>'Grid_Requirement'!CC50</f>
        <v/>
      </c>
      <c r="CG742">
        <f>'Grid_Requirement'!CD50</f>
        <v/>
      </c>
      <c r="CH742">
        <f>'Grid_Requirement'!CE50</f>
        <v/>
      </c>
      <c r="CI742">
        <f>'Grid_Requirement'!CF50</f>
        <v/>
      </c>
      <c r="CJ742">
        <f>'Grid_Requirement'!CG50</f>
        <v/>
      </c>
      <c r="CK742">
        <f>'Grid_Requirement'!CH50</f>
        <v/>
      </c>
      <c r="CL742">
        <f>'Grid_Requirement'!CI50</f>
        <v/>
      </c>
      <c r="CM742">
        <f>'Grid_Requirement'!CJ50</f>
        <v/>
      </c>
      <c r="CN742">
        <f>'Grid_Requirement'!CK50</f>
        <v/>
      </c>
      <c r="CO742">
        <f>'Grid_Requirement'!CL50</f>
        <v/>
      </c>
      <c r="CP742">
        <f>'Grid_Requirement'!CM50</f>
        <v/>
      </c>
      <c r="CQ742">
        <f>'Grid_Requirement'!CN50</f>
        <v/>
      </c>
      <c r="CR742">
        <f>'Grid_Requirement'!CO50</f>
        <v/>
      </c>
      <c r="CS742">
        <f>'Grid_Requirement'!CP50</f>
        <v/>
      </c>
      <c r="CT742">
        <f>'Grid_Requirement'!CQ50</f>
        <v/>
      </c>
      <c r="CU742">
        <f>'Grid_Requirement'!CR50</f>
        <v/>
      </c>
      <c r="CV742">
        <f>'Grid_Requirement'!CS50</f>
        <v/>
      </c>
      <c r="CW742">
        <f>'Grid_Requirement'!CT50</f>
        <v/>
      </c>
      <c r="CX742">
        <f>'Grid_Requirement'!CU50</f>
        <v/>
      </c>
      <c r="CY742">
        <f>'Grid_Requirement'!CV50</f>
        <v/>
      </c>
      <c r="CZ742">
        <f>'Grid_Requirement'!CW50</f>
        <v/>
      </c>
      <c r="DA742">
        <f>'Grid_Requirement'!CX50</f>
        <v/>
      </c>
      <c r="DB742">
        <f>'Grid_Requirement'!CY50</f>
        <v/>
      </c>
      <c r="DC742">
        <f>'Grid_Requirement'!CZ50</f>
        <v/>
      </c>
      <c r="DD742">
        <f>'Grid_Requirement'!DA50</f>
        <v/>
      </c>
    </row>
    <row r="743">
      <c r="B743" s="23" t="inlineStr">
        <is>
          <t>（在庫・入荷予定はDashboard参照）</t>
        </is>
      </c>
    </row>
    <row r="745">
      <c r="A745" s="21" t="inlineStr">
        <is>
          <t>CHEM-1520</t>
        </is>
      </c>
      <c r="B745" s="21" t="inlineStr">
        <is>
          <t>Puralox TH100-100L1</t>
        </is>
      </c>
      <c r="C745" s="21" t="n"/>
      <c r="D745" s="21" t="n"/>
      <c r="E745" s="21" t="n"/>
      <c r="F745" s="21" t="n"/>
      <c r="G745" s="21" t="n"/>
      <c r="H745" s="21" t="n"/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  <c r="Z745" s="21" t="n"/>
      <c r="AA745" s="21" t="n"/>
      <c r="AB745" s="21" t="n"/>
      <c r="AC745" s="21" t="n"/>
      <c r="AD745" s="21" t="n"/>
      <c r="AE745" s="21" t="n"/>
      <c r="AF745" s="21" t="n"/>
      <c r="AG745" s="21" t="n"/>
      <c r="AH745" s="21" t="n"/>
      <c r="AI745" s="21" t="n"/>
      <c r="AJ745" s="21" t="n"/>
      <c r="AK745" s="21" t="n"/>
      <c r="AL745" s="21" t="n"/>
      <c r="AM745" s="21" t="n"/>
      <c r="AN745" s="21" t="n"/>
      <c r="AO745" s="21" t="n"/>
      <c r="AP745" s="21" t="n"/>
      <c r="AQ745" s="21" t="n"/>
      <c r="AR745" s="21" t="n"/>
      <c r="AS745" s="21" t="n"/>
      <c r="AT745" s="21" t="n"/>
      <c r="AU745" s="21" t="n"/>
      <c r="AV745" s="21" t="n"/>
      <c r="AW745" s="21" t="n"/>
      <c r="AX745" s="21" t="n"/>
      <c r="AY745" s="21" t="n"/>
      <c r="AZ745" s="21" t="n"/>
      <c r="BA745" s="21" t="n"/>
      <c r="BB745" s="21" t="n"/>
      <c r="BC745" s="21" t="n"/>
      <c r="BD745" s="21" t="n"/>
      <c r="BE745" s="21" t="n"/>
      <c r="BF745" s="21" t="n"/>
      <c r="BG745" s="21" t="n"/>
      <c r="BH745" s="21" t="n"/>
      <c r="BI745" s="21" t="n"/>
      <c r="BJ745" s="21" t="n"/>
      <c r="BK745" s="21" t="n"/>
      <c r="BL745" s="21" t="n"/>
      <c r="BM745" s="21" t="n"/>
      <c r="BN745" s="21" t="n"/>
      <c r="BO745" s="21" t="n"/>
      <c r="BP745" s="21" t="n"/>
      <c r="BQ745" s="21" t="n"/>
      <c r="BR745" s="21" t="n"/>
      <c r="BS745" s="21" t="n"/>
      <c r="BT745" s="21" t="n"/>
      <c r="BU745" s="21" t="n"/>
      <c r="BV745" s="21" t="n"/>
      <c r="BW745" s="21" t="n"/>
      <c r="BX745" s="21" t="n"/>
      <c r="BY745" s="21" t="n"/>
      <c r="BZ745" s="21" t="n"/>
      <c r="CA745" s="21" t="n"/>
      <c r="CB745" s="21" t="n"/>
      <c r="CC745" s="21" t="n"/>
      <c r="CD745" s="21" t="n"/>
      <c r="CE745" s="21" t="n"/>
      <c r="CF745" s="21" t="n"/>
      <c r="CG745" s="21" t="n"/>
      <c r="CH745" s="21" t="n"/>
      <c r="CI745" s="21" t="n"/>
      <c r="CJ745" s="21" t="n"/>
      <c r="CK745" s="21" t="n"/>
      <c r="CL745" s="21" t="n"/>
      <c r="CM745" s="21" t="n"/>
      <c r="CN745" s="21" t="n"/>
      <c r="CO745" s="21" t="n"/>
      <c r="CP745" s="21" t="n"/>
      <c r="CQ745" s="21" t="n"/>
      <c r="CR745" s="21" t="n"/>
      <c r="CS745" s="21" t="n"/>
      <c r="CT745" s="21" t="n"/>
      <c r="CU745" s="21" t="n"/>
      <c r="CV745" s="21" t="n"/>
      <c r="CW745" s="21" t="n"/>
      <c r="CX745" s="21" t="n"/>
      <c r="CY745" s="21" t="n"/>
      <c r="CZ745" s="21" t="n"/>
      <c r="DA745" s="21" t="n"/>
      <c r="DB745" s="21" t="n"/>
      <c r="DC745" s="21" t="n"/>
      <c r="DD745" s="21" t="n"/>
    </row>
    <row r="746">
      <c r="B746" t="inlineStr">
        <is>
          <t>TSP-218</t>
        </is>
      </c>
      <c r="C746" t="inlineStr">
        <is>
          <t>No. of batches</t>
        </is>
      </c>
      <c r="D746">
        <f>IFERROR(INDEX(E746:DD746,$F$1),"")</f>
        <v/>
      </c>
      <c r="E746">
        <f>IFERROR(INDEX(PP_Grid[#Data],$DE746,2),0)</f>
        <v/>
      </c>
      <c r="F746">
        <f>IFERROR(INDEX(PP_Grid[#Data],$DE746,3),0)</f>
        <v/>
      </c>
      <c r="G746">
        <f>IFERROR(INDEX(PP_Grid[#Data],$DE746,4),0)</f>
        <v/>
      </c>
      <c r="H746">
        <f>IFERROR(INDEX(PP_Grid[#Data],$DE746,5),0)</f>
        <v/>
      </c>
      <c r="I746">
        <f>IFERROR(INDEX(PP_Grid[#Data],$DE746,6),0)</f>
        <v/>
      </c>
      <c r="J746">
        <f>IFERROR(INDEX(PP_Grid[#Data],$DE746,7),0)</f>
        <v/>
      </c>
      <c r="K746">
        <f>IFERROR(INDEX(PP_Grid[#Data],$DE746,8),0)</f>
        <v/>
      </c>
      <c r="L746">
        <f>IFERROR(INDEX(PP_Grid[#Data],$DE746,9),0)</f>
        <v/>
      </c>
      <c r="M746">
        <f>IFERROR(INDEX(PP_Grid[#Data],$DE746,10),0)</f>
        <v/>
      </c>
      <c r="N746">
        <f>IFERROR(INDEX(PP_Grid[#Data],$DE746,11),0)</f>
        <v/>
      </c>
      <c r="O746">
        <f>IFERROR(INDEX(PP_Grid[#Data],$DE746,12),0)</f>
        <v/>
      </c>
      <c r="P746">
        <f>IFERROR(INDEX(PP_Grid[#Data],$DE746,13),0)</f>
        <v/>
      </c>
      <c r="Q746">
        <f>IFERROR(INDEX(PP_Grid[#Data],$DE746,14),0)</f>
        <v/>
      </c>
      <c r="R746">
        <f>IFERROR(INDEX(PP_Grid[#Data],$DE746,15),0)</f>
        <v/>
      </c>
      <c r="S746">
        <f>IFERROR(INDEX(PP_Grid[#Data],$DE746,16),0)</f>
        <v/>
      </c>
      <c r="T746">
        <f>IFERROR(INDEX(PP_Grid[#Data],$DE746,17),0)</f>
        <v/>
      </c>
      <c r="U746">
        <f>IFERROR(INDEX(PP_Grid[#Data],$DE746,18),0)</f>
        <v/>
      </c>
      <c r="V746">
        <f>IFERROR(INDEX(PP_Grid[#Data],$DE746,19),0)</f>
        <v/>
      </c>
      <c r="W746">
        <f>IFERROR(INDEX(PP_Grid[#Data],$DE746,20),0)</f>
        <v/>
      </c>
      <c r="X746">
        <f>IFERROR(INDEX(PP_Grid[#Data],$DE746,21),0)</f>
        <v/>
      </c>
      <c r="Y746">
        <f>IFERROR(INDEX(PP_Grid[#Data],$DE746,22),0)</f>
        <v/>
      </c>
      <c r="Z746">
        <f>IFERROR(INDEX(PP_Grid[#Data],$DE746,23),0)</f>
        <v/>
      </c>
      <c r="AA746">
        <f>IFERROR(INDEX(PP_Grid[#Data],$DE746,24),0)</f>
        <v/>
      </c>
      <c r="AB746">
        <f>IFERROR(INDEX(PP_Grid[#Data],$DE746,25),0)</f>
        <v/>
      </c>
      <c r="AC746">
        <f>IFERROR(INDEX(PP_Grid[#Data],$DE746,26),0)</f>
        <v/>
      </c>
      <c r="AD746">
        <f>IFERROR(INDEX(PP_Grid[#Data],$DE746,27),0)</f>
        <v/>
      </c>
      <c r="AE746">
        <f>IFERROR(INDEX(PP_Grid[#Data],$DE746,28),0)</f>
        <v/>
      </c>
      <c r="AF746">
        <f>IFERROR(INDEX(PP_Grid[#Data],$DE746,29),0)</f>
        <v/>
      </c>
      <c r="AG746">
        <f>IFERROR(INDEX(PP_Grid[#Data],$DE746,30),0)</f>
        <v/>
      </c>
      <c r="AH746">
        <f>IFERROR(INDEX(PP_Grid[#Data],$DE746,31),0)</f>
        <v/>
      </c>
      <c r="AI746">
        <f>IFERROR(INDEX(PP_Grid[#Data],$DE746,32),0)</f>
        <v/>
      </c>
      <c r="AJ746">
        <f>IFERROR(INDEX(PP_Grid[#Data],$DE746,33),0)</f>
        <v/>
      </c>
      <c r="AK746">
        <f>IFERROR(INDEX(PP_Grid[#Data],$DE746,34),0)</f>
        <v/>
      </c>
      <c r="AL746">
        <f>IFERROR(INDEX(PP_Grid[#Data],$DE746,35),0)</f>
        <v/>
      </c>
      <c r="AM746">
        <f>IFERROR(INDEX(PP_Grid[#Data],$DE746,36),0)</f>
        <v/>
      </c>
      <c r="AN746">
        <f>IFERROR(INDEX(PP_Grid[#Data],$DE746,37),0)</f>
        <v/>
      </c>
      <c r="AO746">
        <f>IFERROR(INDEX(PP_Grid[#Data],$DE746,38),0)</f>
        <v/>
      </c>
      <c r="AP746">
        <f>IFERROR(INDEX(PP_Grid[#Data],$DE746,39),0)</f>
        <v/>
      </c>
      <c r="AQ746">
        <f>IFERROR(INDEX(PP_Grid[#Data],$DE746,40),0)</f>
        <v/>
      </c>
      <c r="AR746">
        <f>IFERROR(INDEX(PP_Grid[#Data],$DE746,41),0)</f>
        <v/>
      </c>
      <c r="AS746">
        <f>IFERROR(INDEX(PP_Grid[#Data],$DE746,42),0)</f>
        <v/>
      </c>
      <c r="AT746">
        <f>IFERROR(INDEX(PP_Grid[#Data],$DE746,43),0)</f>
        <v/>
      </c>
      <c r="AU746">
        <f>IFERROR(INDEX(PP_Grid[#Data],$DE746,44),0)</f>
        <v/>
      </c>
      <c r="AV746">
        <f>IFERROR(INDEX(PP_Grid[#Data],$DE746,45),0)</f>
        <v/>
      </c>
      <c r="AW746">
        <f>IFERROR(INDEX(PP_Grid[#Data],$DE746,46),0)</f>
        <v/>
      </c>
      <c r="AX746">
        <f>IFERROR(INDEX(PP_Grid[#Data],$DE746,47),0)</f>
        <v/>
      </c>
      <c r="AY746">
        <f>IFERROR(INDEX(PP_Grid[#Data],$DE746,48),0)</f>
        <v/>
      </c>
      <c r="AZ746">
        <f>IFERROR(INDEX(PP_Grid[#Data],$DE746,49),0)</f>
        <v/>
      </c>
      <c r="BA746">
        <f>IFERROR(INDEX(PP_Grid[#Data],$DE746,50),0)</f>
        <v/>
      </c>
      <c r="BB746">
        <f>IFERROR(INDEX(PP_Grid[#Data],$DE746,51),0)</f>
        <v/>
      </c>
      <c r="BC746">
        <f>IFERROR(INDEX(PP_Grid[#Data],$DE746,52),0)</f>
        <v/>
      </c>
      <c r="BD746">
        <f>IFERROR(INDEX(PP_Grid[#Data],$DE746,53),0)</f>
        <v/>
      </c>
      <c r="BE746">
        <f>IFERROR(INDEX(PP_Grid[#Data],$DE746,54),0)</f>
        <v/>
      </c>
      <c r="BF746">
        <f>IFERROR(INDEX(PP_Grid[#Data],$DE746,55),0)</f>
        <v/>
      </c>
      <c r="BG746">
        <f>IFERROR(INDEX(PP_Grid[#Data],$DE746,56),0)</f>
        <v/>
      </c>
      <c r="BH746">
        <f>IFERROR(INDEX(PP_Grid[#Data],$DE746,57),0)</f>
        <v/>
      </c>
      <c r="BI746">
        <f>IFERROR(INDEX(PP_Grid[#Data],$DE746,58),0)</f>
        <v/>
      </c>
      <c r="BJ746">
        <f>IFERROR(INDEX(PP_Grid[#Data],$DE746,59),0)</f>
        <v/>
      </c>
      <c r="BK746">
        <f>IFERROR(INDEX(PP_Grid[#Data],$DE746,60),0)</f>
        <v/>
      </c>
      <c r="BL746">
        <f>IFERROR(INDEX(PP_Grid[#Data],$DE746,61),0)</f>
        <v/>
      </c>
      <c r="BM746">
        <f>IFERROR(INDEX(PP_Grid[#Data],$DE746,62),0)</f>
        <v/>
      </c>
      <c r="BN746">
        <f>IFERROR(INDEX(PP_Grid[#Data],$DE746,63),0)</f>
        <v/>
      </c>
      <c r="BO746">
        <f>IFERROR(INDEX(PP_Grid[#Data],$DE746,64),0)</f>
        <v/>
      </c>
      <c r="BP746">
        <f>IFERROR(INDEX(PP_Grid[#Data],$DE746,65),0)</f>
        <v/>
      </c>
      <c r="BQ746">
        <f>IFERROR(INDEX(PP_Grid[#Data],$DE746,66),0)</f>
        <v/>
      </c>
      <c r="BR746">
        <f>IFERROR(INDEX(PP_Grid[#Data],$DE746,67),0)</f>
        <v/>
      </c>
      <c r="BS746">
        <f>IFERROR(INDEX(PP_Grid[#Data],$DE746,68),0)</f>
        <v/>
      </c>
      <c r="BT746">
        <f>IFERROR(INDEX(PP_Grid[#Data],$DE746,69),0)</f>
        <v/>
      </c>
      <c r="BU746">
        <f>IFERROR(INDEX(PP_Grid[#Data],$DE746,70),0)</f>
        <v/>
      </c>
      <c r="BV746">
        <f>IFERROR(INDEX(PP_Grid[#Data],$DE746,71),0)</f>
        <v/>
      </c>
      <c r="BW746">
        <f>IFERROR(INDEX(PP_Grid[#Data],$DE746,72),0)</f>
        <v/>
      </c>
      <c r="BX746">
        <f>IFERROR(INDEX(PP_Grid[#Data],$DE746,73),0)</f>
        <v/>
      </c>
      <c r="BY746">
        <f>IFERROR(INDEX(PP_Grid[#Data],$DE746,74),0)</f>
        <v/>
      </c>
      <c r="BZ746">
        <f>IFERROR(INDEX(PP_Grid[#Data],$DE746,75),0)</f>
        <v/>
      </c>
      <c r="CA746">
        <f>IFERROR(INDEX(PP_Grid[#Data],$DE746,76),0)</f>
        <v/>
      </c>
      <c r="CB746">
        <f>IFERROR(INDEX(PP_Grid[#Data],$DE746,77),0)</f>
        <v/>
      </c>
      <c r="CC746">
        <f>IFERROR(INDEX(PP_Grid[#Data],$DE746,78),0)</f>
        <v/>
      </c>
      <c r="CD746">
        <f>IFERROR(INDEX(PP_Grid[#Data],$DE746,79),0)</f>
        <v/>
      </c>
      <c r="CE746">
        <f>IFERROR(INDEX(PP_Grid[#Data],$DE746,80),0)</f>
        <v/>
      </c>
      <c r="CF746">
        <f>IFERROR(INDEX(PP_Grid[#Data],$DE746,81),0)</f>
        <v/>
      </c>
      <c r="CG746">
        <f>IFERROR(INDEX(PP_Grid[#Data],$DE746,82),0)</f>
        <v/>
      </c>
      <c r="CH746">
        <f>IFERROR(INDEX(PP_Grid[#Data],$DE746,83),0)</f>
        <v/>
      </c>
      <c r="CI746">
        <f>IFERROR(INDEX(PP_Grid[#Data],$DE746,84),0)</f>
        <v/>
      </c>
      <c r="CJ746">
        <f>IFERROR(INDEX(PP_Grid[#Data],$DE746,85),0)</f>
        <v/>
      </c>
      <c r="CK746">
        <f>IFERROR(INDEX(PP_Grid[#Data],$DE746,86),0)</f>
        <v/>
      </c>
      <c r="CL746">
        <f>IFERROR(INDEX(PP_Grid[#Data],$DE746,87),0)</f>
        <v/>
      </c>
      <c r="CM746">
        <f>IFERROR(INDEX(PP_Grid[#Data],$DE746,88),0)</f>
        <v/>
      </c>
      <c r="CN746">
        <f>IFERROR(INDEX(PP_Grid[#Data],$DE746,89),0)</f>
        <v/>
      </c>
      <c r="CO746">
        <f>IFERROR(INDEX(PP_Grid[#Data],$DE746,90),0)</f>
        <v/>
      </c>
      <c r="CP746">
        <f>IFERROR(INDEX(PP_Grid[#Data],$DE746,91),0)</f>
        <v/>
      </c>
      <c r="CQ746">
        <f>IFERROR(INDEX(PP_Grid[#Data],$DE746,92),0)</f>
        <v/>
      </c>
      <c r="CR746">
        <f>IFERROR(INDEX(PP_Grid[#Data],$DE746,93),0)</f>
        <v/>
      </c>
      <c r="CS746">
        <f>IFERROR(INDEX(PP_Grid[#Data],$DE746,94),0)</f>
        <v/>
      </c>
      <c r="CT746">
        <f>IFERROR(INDEX(PP_Grid[#Data],$DE746,95),0)</f>
        <v/>
      </c>
      <c r="CU746">
        <f>IFERROR(INDEX(PP_Grid[#Data],$DE746,96),0)</f>
        <v/>
      </c>
      <c r="CV746">
        <f>IFERROR(INDEX(PP_Grid[#Data],$DE746,97),0)</f>
        <v/>
      </c>
      <c r="CW746">
        <f>IFERROR(INDEX(PP_Grid[#Data],$DE746,98),0)</f>
        <v/>
      </c>
      <c r="CX746">
        <f>IFERROR(INDEX(PP_Grid[#Data],$DE746,99),0)</f>
        <v/>
      </c>
      <c r="CY746">
        <f>IFERROR(INDEX(PP_Grid[#Data],$DE746,100),0)</f>
        <v/>
      </c>
      <c r="CZ746">
        <f>IFERROR(INDEX(PP_Grid[#Data],$DE746,101),0)</f>
        <v/>
      </c>
      <c r="DA746">
        <f>IFERROR(INDEX(PP_Grid[#Data],$DE746,102),0)</f>
        <v/>
      </c>
      <c r="DB746">
        <f>IFERROR(INDEX(PP_Grid[#Data],$DE746,103),0)</f>
        <v/>
      </c>
      <c r="DC746">
        <f>IFERROR(INDEX(PP_Grid[#Data],$DE746,104),0)</f>
        <v/>
      </c>
      <c r="DD746">
        <f>IFERROR(INDEX(PP_Grid[#Data],$DE746,105),0)</f>
        <v/>
      </c>
      <c r="DE746" s="7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SUMIFS(M_BOM[RM_Qty_Per_Batch],M_BOM[Intermediate],$B746,M_BOM[RM_Code],$A745)</f>
        <v/>
      </c>
      <c r="D747">
        <f>IFERROR(INDEX(E747:DD747,$F$1),"")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  <c r="DD747">
        <f>$C747*DD746</f>
        <v/>
      </c>
    </row>
    <row r="748">
      <c r="B748" t="inlineStr">
        <is>
          <t>TSP-369</t>
        </is>
      </c>
      <c r="C748" t="inlineStr">
        <is>
          <t>No. of batches</t>
        </is>
      </c>
      <c r="D748">
        <f>IFERROR(INDEX(E748:DD748,$F$1),"")</f>
        <v/>
      </c>
      <c r="E748">
        <f>IFERROR(INDEX(PP_Grid[#Data],$DE748,2),0)</f>
        <v/>
      </c>
      <c r="F748">
        <f>IFERROR(INDEX(PP_Grid[#Data],$DE748,3),0)</f>
        <v/>
      </c>
      <c r="G748">
        <f>IFERROR(INDEX(PP_Grid[#Data],$DE748,4),0)</f>
        <v/>
      </c>
      <c r="H748">
        <f>IFERROR(INDEX(PP_Grid[#Data],$DE748,5),0)</f>
        <v/>
      </c>
      <c r="I748">
        <f>IFERROR(INDEX(PP_Grid[#Data],$DE748,6),0)</f>
        <v/>
      </c>
      <c r="J748">
        <f>IFERROR(INDEX(PP_Grid[#Data],$DE748,7),0)</f>
        <v/>
      </c>
      <c r="K748">
        <f>IFERROR(INDEX(PP_Grid[#Data],$DE748,8),0)</f>
        <v/>
      </c>
      <c r="L748">
        <f>IFERROR(INDEX(PP_Grid[#Data],$DE748,9),0)</f>
        <v/>
      </c>
      <c r="M748">
        <f>IFERROR(INDEX(PP_Grid[#Data],$DE748,10),0)</f>
        <v/>
      </c>
      <c r="N748">
        <f>IFERROR(INDEX(PP_Grid[#Data],$DE748,11),0)</f>
        <v/>
      </c>
      <c r="O748">
        <f>IFERROR(INDEX(PP_Grid[#Data],$DE748,12),0)</f>
        <v/>
      </c>
      <c r="P748">
        <f>IFERROR(INDEX(PP_Grid[#Data],$DE748,13),0)</f>
        <v/>
      </c>
      <c r="Q748">
        <f>IFERROR(INDEX(PP_Grid[#Data],$DE748,14),0)</f>
        <v/>
      </c>
      <c r="R748">
        <f>IFERROR(INDEX(PP_Grid[#Data],$DE748,15),0)</f>
        <v/>
      </c>
      <c r="S748">
        <f>IFERROR(INDEX(PP_Grid[#Data],$DE748,16),0)</f>
        <v/>
      </c>
      <c r="T748">
        <f>IFERROR(INDEX(PP_Grid[#Data],$DE748,17),0)</f>
        <v/>
      </c>
      <c r="U748">
        <f>IFERROR(INDEX(PP_Grid[#Data],$DE748,18),0)</f>
        <v/>
      </c>
      <c r="V748">
        <f>IFERROR(INDEX(PP_Grid[#Data],$DE748,19),0)</f>
        <v/>
      </c>
      <c r="W748">
        <f>IFERROR(INDEX(PP_Grid[#Data],$DE748,20),0)</f>
        <v/>
      </c>
      <c r="X748">
        <f>IFERROR(INDEX(PP_Grid[#Data],$DE748,21),0)</f>
        <v/>
      </c>
      <c r="Y748">
        <f>IFERROR(INDEX(PP_Grid[#Data],$DE748,22),0)</f>
        <v/>
      </c>
      <c r="Z748">
        <f>IFERROR(INDEX(PP_Grid[#Data],$DE748,23),0)</f>
        <v/>
      </c>
      <c r="AA748">
        <f>IFERROR(INDEX(PP_Grid[#Data],$DE748,24),0)</f>
        <v/>
      </c>
      <c r="AB748">
        <f>IFERROR(INDEX(PP_Grid[#Data],$DE748,25),0)</f>
        <v/>
      </c>
      <c r="AC748">
        <f>IFERROR(INDEX(PP_Grid[#Data],$DE748,26),0)</f>
        <v/>
      </c>
      <c r="AD748">
        <f>IFERROR(INDEX(PP_Grid[#Data],$DE748,27),0)</f>
        <v/>
      </c>
      <c r="AE748">
        <f>IFERROR(INDEX(PP_Grid[#Data],$DE748,28),0)</f>
        <v/>
      </c>
      <c r="AF748">
        <f>IFERROR(INDEX(PP_Grid[#Data],$DE748,29),0)</f>
        <v/>
      </c>
      <c r="AG748">
        <f>IFERROR(INDEX(PP_Grid[#Data],$DE748,30),0)</f>
        <v/>
      </c>
      <c r="AH748">
        <f>IFERROR(INDEX(PP_Grid[#Data],$DE748,31),0)</f>
        <v/>
      </c>
      <c r="AI748">
        <f>IFERROR(INDEX(PP_Grid[#Data],$DE748,32),0)</f>
        <v/>
      </c>
      <c r="AJ748">
        <f>IFERROR(INDEX(PP_Grid[#Data],$DE748,33),0)</f>
        <v/>
      </c>
      <c r="AK748">
        <f>IFERROR(INDEX(PP_Grid[#Data],$DE748,34),0)</f>
        <v/>
      </c>
      <c r="AL748">
        <f>IFERROR(INDEX(PP_Grid[#Data],$DE748,35),0)</f>
        <v/>
      </c>
      <c r="AM748">
        <f>IFERROR(INDEX(PP_Grid[#Data],$DE748,36),0)</f>
        <v/>
      </c>
      <c r="AN748">
        <f>IFERROR(INDEX(PP_Grid[#Data],$DE748,37),0)</f>
        <v/>
      </c>
      <c r="AO748">
        <f>IFERROR(INDEX(PP_Grid[#Data],$DE748,38),0)</f>
        <v/>
      </c>
      <c r="AP748">
        <f>IFERROR(INDEX(PP_Grid[#Data],$DE748,39),0)</f>
        <v/>
      </c>
      <c r="AQ748">
        <f>IFERROR(INDEX(PP_Grid[#Data],$DE748,40),0)</f>
        <v/>
      </c>
      <c r="AR748">
        <f>IFERROR(INDEX(PP_Grid[#Data],$DE748,41),0)</f>
        <v/>
      </c>
      <c r="AS748">
        <f>IFERROR(INDEX(PP_Grid[#Data],$DE748,42),0)</f>
        <v/>
      </c>
      <c r="AT748">
        <f>IFERROR(INDEX(PP_Grid[#Data],$DE748,43),0)</f>
        <v/>
      </c>
      <c r="AU748">
        <f>IFERROR(INDEX(PP_Grid[#Data],$DE748,44),0)</f>
        <v/>
      </c>
      <c r="AV748">
        <f>IFERROR(INDEX(PP_Grid[#Data],$DE748,45),0)</f>
        <v/>
      </c>
      <c r="AW748">
        <f>IFERROR(INDEX(PP_Grid[#Data],$DE748,46),0)</f>
        <v/>
      </c>
      <c r="AX748">
        <f>IFERROR(INDEX(PP_Grid[#Data],$DE748,47),0)</f>
        <v/>
      </c>
      <c r="AY748">
        <f>IFERROR(INDEX(PP_Grid[#Data],$DE748,48),0)</f>
        <v/>
      </c>
      <c r="AZ748">
        <f>IFERROR(INDEX(PP_Grid[#Data],$DE748,49),0)</f>
        <v/>
      </c>
      <c r="BA748">
        <f>IFERROR(INDEX(PP_Grid[#Data],$DE748,50),0)</f>
        <v/>
      </c>
      <c r="BB748">
        <f>IFERROR(INDEX(PP_Grid[#Data],$DE748,51),0)</f>
        <v/>
      </c>
      <c r="BC748">
        <f>IFERROR(INDEX(PP_Grid[#Data],$DE748,52),0)</f>
        <v/>
      </c>
      <c r="BD748">
        <f>IFERROR(INDEX(PP_Grid[#Data],$DE748,53),0)</f>
        <v/>
      </c>
      <c r="BE748">
        <f>IFERROR(INDEX(PP_Grid[#Data],$DE748,54),0)</f>
        <v/>
      </c>
      <c r="BF748">
        <f>IFERROR(INDEX(PP_Grid[#Data],$DE748,55),0)</f>
        <v/>
      </c>
      <c r="BG748">
        <f>IFERROR(INDEX(PP_Grid[#Data],$DE748,56),0)</f>
        <v/>
      </c>
      <c r="BH748">
        <f>IFERROR(INDEX(PP_Grid[#Data],$DE748,57),0)</f>
        <v/>
      </c>
      <c r="BI748">
        <f>IFERROR(INDEX(PP_Grid[#Data],$DE748,58),0)</f>
        <v/>
      </c>
      <c r="BJ748">
        <f>IFERROR(INDEX(PP_Grid[#Data],$DE748,59),0)</f>
        <v/>
      </c>
      <c r="BK748">
        <f>IFERROR(INDEX(PP_Grid[#Data],$DE748,60),0)</f>
        <v/>
      </c>
      <c r="BL748">
        <f>IFERROR(INDEX(PP_Grid[#Data],$DE748,61),0)</f>
        <v/>
      </c>
      <c r="BM748">
        <f>IFERROR(INDEX(PP_Grid[#Data],$DE748,62),0)</f>
        <v/>
      </c>
      <c r="BN748">
        <f>IFERROR(INDEX(PP_Grid[#Data],$DE748,63),0)</f>
        <v/>
      </c>
      <c r="BO748">
        <f>IFERROR(INDEX(PP_Grid[#Data],$DE748,64),0)</f>
        <v/>
      </c>
      <c r="BP748">
        <f>IFERROR(INDEX(PP_Grid[#Data],$DE748,65),0)</f>
        <v/>
      </c>
      <c r="BQ748">
        <f>IFERROR(INDEX(PP_Grid[#Data],$DE748,66),0)</f>
        <v/>
      </c>
      <c r="BR748">
        <f>IFERROR(INDEX(PP_Grid[#Data],$DE748,67),0)</f>
        <v/>
      </c>
      <c r="BS748">
        <f>IFERROR(INDEX(PP_Grid[#Data],$DE748,68),0)</f>
        <v/>
      </c>
      <c r="BT748">
        <f>IFERROR(INDEX(PP_Grid[#Data],$DE748,69),0)</f>
        <v/>
      </c>
      <c r="BU748">
        <f>IFERROR(INDEX(PP_Grid[#Data],$DE748,70),0)</f>
        <v/>
      </c>
      <c r="BV748">
        <f>IFERROR(INDEX(PP_Grid[#Data],$DE748,71),0)</f>
        <v/>
      </c>
      <c r="BW748">
        <f>IFERROR(INDEX(PP_Grid[#Data],$DE748,72),0)</f>
        <v/>
      </c>
      <c r="BX748">
        <f>IFERROR(INDEX(PP_Grid[#Data],$DE748,73),0)</f>
        <v/>
      </c>
      <c r="BY748">
        <f>IFERROR(INDEX(PP_Grid[#Data],$DE748,74),0)</f>
        <v/>
      </c>
      <c r="BZ748">
        <f>IFERROR(INDEX(PP_Grid[#Data],$DE748,75),0)</f>
        <v/>
      </c>
      <c r="CA748">
        <f>IFERROR(INDEX(PP_Grid[#Data],$DE748,76),0)</f>
        <v/>
      </c>
      <c r="CB748">
        <f>IFERROR(INDEX(PP_Grid[#Data],$DE748,77),0)</f>
        <v/>
      </c>
      <c r="CC748">
        <f>IFERROR(INDEX(PP_Grid[#Data],$DE748,78),0)</f>
        <v/>
      </c>
      <c r="CD748">
        <f>IFERROR(INDEX(PP_Grid[#Data],$DE748,79),0)</f>
        <v/>
      </c>
      <c r="CE748">
        <f>IFERROR(INDEX(PP_Grid[#Data],$DE748,80),0)</f>
        <v/>
      </c>
      <c r="CF748">
        <f>IFERROR(INDEX(PP_Grid[#Data],$DE748,81),0)</f>
        <v/>
      </c>
      <c r="CG748">
        <f>IFERROR(INDEX(PP_Grid[#Data],$DE748,82),0)</f>
        <v/>
      </c>
      <c r="CH748">
        <f>IFERROR(INDEX(PP_Grid[#Data],$DE748,83),0)</f>
        <v/>
      </c>
      <c r="CI748">
        <f>IFERROR(INDEX(PP_Grid[#Data],$DE748,84),0)</f>
        <v/>
      </c>
      <c r="CJ748">
        <f>IFERROR(INDEX(PP_Grid[#Data],$DE748,85),0)</f>
        <v/>
      </c>
      <c r="CK748">
        <f>IFERROR(INDEX(PP_Grid[#Data],$DE748,86),0)</f>
        <v/>
      </c>
      <c r="CL748">
        <f>IFERROR(INDEX(PP_Grid[#Data],$DE748,87),0)</f>
        <v/>
      </c>
      <c r="CM748">
        <f>IFERROR(INDEX(PP_Grid[#Data],$DE748,88),0)</f>
        <v/>
      </c>
      <c r="CN748">
        <f>IFERROR(INDEX(PP_Grid[#Data],$DE748,89),0)</f>
        <v/>
      </c>
      <c r="CO748">
        <f>IFERROR(INDEX(PP_Grid[#Data],$DE748,90),0)</f>
        <v/>
      </c>
      <c r="CP748">
        <f>IFERROR(INDEX(PP_Grid[#Data],$DE748,91),0)</f>
        <v/>
      </c>
      <c r="CQ748">
        <f>IFERROR(INDEX(PP_Grid[#Data],$DE748,92),0)</f>
        <v/>
      </c>
      <c r="CR748">
        <f>IFERROR(INDEX(PP_Grid[#Data],$DE748,93),0)</f>
        <v/>
      </c>
      <c r="CS748">
        <f>IFERROR(INDEX(PP_Grid[#Data],$DE748,94),0)</f>
        <v/>
      </c>
      <c r="CT748">
        <f>IFERROR(INDEX(PP_Grid[#Data],$DE748,95),0)</f>
        <v/>
      </c>
      <c r="CU748">
        <f>IFERROR(INDEX(PP_Grid[#Data],$DE748,96),0)</f>
        <v/>
      </c>
      <c r="CV748">
        <f>IFERROR(INDEX(PP_Grid[#Data],$DE748,97),0)</f>
        <v/>
      </c>
      <c r="CW748">
        <f>IFERROR(INDEX(PP_Grid[#Data],$DE748,98),0)</f>
        <v/>
      </c>
      <c r="CX748">
        <f>IFERROR(INDEX(PP_Grid[#Data],$DE748,99),0)</f>
        <v/>
      </c>
      <c r="CY748">
        <f>IFERROR(INDEX(PP_Grid[#Data],$DE748,100),0)</f>
        <v/>
      </c>
      <c r="CZ748">
        <f>IFERROR(INDEX(PP_Grid[#Data],$DE748,101),0)</f>
        <v/>
      </c>
      <c r="DA748">
        <f>IFERROR(INDEX(PP_Grid[#Data],$DE748,102),0)</f>
        <v/>
      </c>
      <c r="DB748">
        <f>IFERROR(INDEX(PP_Grid[#Data],$DE748,103),0)</f>
        <v/>
      </c>
      <c r="DC748">
        <f>IFERROR(INDEX(PP_Grid[#Data],$DE748,104),0)</f>
        <v/>
      </c>
      <c r="DD748">
        <f>IFERROR(INDEX(PP_Grid[#Data],$DE748,105),0)</f>
        <v/>
      </c>
      <c r="DE748" s="7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SUMIFS(M_BOM[RM_Qty_Per_Batch],M_BOM[Intermediate],$B748,M_BOM[RM_Code],$A745)</f>
        <v/>
      </c>
      <c r="D749">
        <f>IFERROR(INDEX(E749:DD749,$F$1),"")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  <c r="DD749">
        <f>$C749*DD748</f>
        <v/>
      </c>
    </row>
    <row r="750">
      <c r="B750" t="inlineStr">
        <is>
          <t>TSP-402</t>
        </is>
      </c>
      <c r="C750" t="inlineStr">
        <is>
          <t>No. of batches</t>
        </is>
      </c>
      <c r="D750">
        <f>IFERROR(INDEX(E750:DD750,$F$1),"")</f>
        <v/>
      </c>
      <c r="E750">
        <f>IFERROR(INDEX(PP_Grid[#Data],$DE750,2),0)</f>
        <v/>
      </c>
      <c r="F750">
        <f>IFERROR(INDEX(PP_Grid[#Data],$DE750,3),0)</f>
        <v/>
      </c>
      <c r="G750">
        <f>IFERROR(INDEX(PP_Grid[#Data],$DE750,4),0)</f>
        <v/>
      </c>
      <c r="H750">
        <f>IFERROR(INDEX(PP_Grid[#Data],$DE750,5),0)</f>
        <v/>
      </c>
      <c r="I750">
        <f>IFERROR(INDEX(PP_Grid[#Data],$DE750,6),0)</f>
        <v/>
      </c>
      <c r="J750">
        <f>IFERROR(INDEX(PP_Grid[#Data],$DE750,7),0)</f>
        <v/>
      </c>
      <c r="K750">
        <f>IFERROR(INDEX(PP_Grid[#Data],$DE750,8),0)</f>
        <v/>
      </c>
      <c r="L750">
        <f>IFERROR(INDEX(PP_Grid[#Data],$DE750,9),0)</f>
        <v/>
      </c>
      <c r="M750">
        <f>IFERROR(INDEX(PP_Grid[#Data],$DE750,10),0)</f>
        <v/>
      </c>
      <c r="N750">
        <f>IFERROR(INDEX(PP_Grid[#Data],$DE750,11),0)</f>
        <v/>
      </c>
      <c r="O750">
        <f>IFERROR(INDEX(PP_Grid[#Data],$DE750,12),0)</f>
        <v/>
      </c>
      <c r="P750">
        <f>IFERROR(INDEX(PP_Grid[#Data],$DE750,13),0)</f>
        <v/>
      </c>
      <c r="Q750">
        <f>IFERROR(INDEX(PP_Grid[#Data],$DE750,14),0)</f>
        <v/>
      </c>
      <c r="R750">
        <f>IFERROR(INDEX(PP_Grid[#Data],$DE750,15),0)</f>
        <v/>
      </c>
      <c r="S750">
        <f>IFERROR(INDEX(PP_Grid[#Data],$DE750,16),0)</f>
        <v/>
      </c>
      <c r="T750">
        <f>IFERROR(INDEX(PP_Grid[#Data],$DE750,17),0)</f>
        <v/>
      </c>
      <c r="U750">
        <f>IFERROR(INDEX(PP_Grid[#Data],$DE750,18),0)</f>
        <v/>
      </c>
      <c r="V750">
        <f>IFERROR(INDEX(PP_Grid[#Data],$DE750,19),0)</f>
        <v/>
      </c>
      <c r="W750">
        <f>IFERROR(INDEX(PP_Grid[#Data],$DE750,20),0)</f>
        <v/>
      </c>
      <c r="X750">
        <f>IFERROR(INDEX(PP_Grid[#Data],$DE750,21),0)</f>
        <v/>
      </c>
      <c r="Y750">
        <f>IFERROR(INDEX(PP_Grid[#Data],$DE750,22),0)</f>
        <v/>
      </c>
      <c r="Z750">
        <f>IFERROR(INDEX(PP_Grid[#Data],$DE750,23),0)</f>
        <v/>
      </c>
      <c r="AA750">
        <f>IFERROR(INDEX(PP_Grid[#Data],$DE750,24),0)</f>
        <v/>
      </c>
      <c r="AB750">
        <f>IFERROR(INDEX(PP_Grid[#Data],$DE750,25),0)</f>
        <v/>
      </c>
      <c r="AC750">
        <f>IFERROR(INDEX(PP_Grid[#Data],$DE750,26),0)</f>
        <v/>
      </c>
      <c r="AD750">
        <f>IFERROR(INDEX(PP_Grid[#Data],$DE750,27),0)</f>
        <v/>
      </c>
      <c r="AE750">
        <f>IFERROR(INDEX(PP_Grid[#Data],$DE750,28),0)</f>
        <v/>
      </c>
      <c r="AF750">
        <f>IFERROR(INDEX(PP_Grid[#Data],$DE750,29),0)</f>
        <v/>
      </c>
      <c r="AG750">
        <f>IFERROR(INDEX(PP_Grid[#Data],$DE750,30),0)</f>
        <v/>
      </c>
      <c r="AH750">
        <f>IFERROR(INDEX(PP_Grid[#Data],$DE750,31),0)</f>
        <v/>
      </c>
      <c r="AI750">
        <f>IFERROR(INDEX(PP_Grid[#Data],$DE750,32),0)</f>
        <v/>
      </c>
      <c r="AJ750">
        <f>IFERROR(INDEX(PP_Grid[#Data],$DE750,33),0)</f>
        <v/>
      </c>
      <c r="AK750">
        <f>IFERROR(INDEX(PP_Grid[#Data],$DE750,34),0)</f>
        <v/>
      </c>
      <c r="AL750">
        <f>IFERROR(INDEX(PP_Grid[#Data],$DE750,35),0)</f>
        <v/>
      </c>
      <c r="AM750">
        <f>IFERROR(INDEX(PP_Grid[#Data],$DE750,36),0)</f>
        <v/>
      </c>
      <c r="AN750">
        <f>IFERROR(INDEX(PP_Grid[#Data],$DE750,37),0)</f>
        <v/>
      </c>
      <c r="AO750">
        <f>IFERROR(INDEX(PP_Grid[#Data],$DE750,38),0)</f>
        <v/>
      </c>
      <c r="AP750">
        <f>IFERROR(INDEX(PP_Grid[#Data],$DE750,39),0)</f>
        <v/>
      </c>
      <c r="AQ750">
        <f>IFERROR(INDEX(PP_Grid[#Data],$DE750,40),0)</f>
        <v/>
      </c>
      <c r="AR750">
        <f>IFERROR(INDEX(PP_Grid[#Data],$DE750,41),0)</f>
        <v/>
      </c>
      <c r="AS750">
        <f>IFERROR(INDEX(PP_Grid[#Data],$DE750,42),0)</f>
        <v/>
      </c>
      <c r="AT750">
        <f>IFERROR(INDEX(PP_Grid[#Data],$DE750,43),0)</f>
        <v/>
      </c>
      <c r="AU750">
        <f>IFERROR(INDEX(PP_Grid[#Data],$DE750,44),0)</f>
        <v/>
      </c>
      <c r="AV750">
        <f>IFERROR(INDEX(PP_Grid[#Data],$DE750,45),0)</f>
        <v/>
      </c>
      <c r="AW750">
        <f>IFERROR(INDEX(PP_Grid[#Data],$DE750,46),0)</f>
        <v/>
      </c>
      <c r="AX750">
        <f>IFERROR(INDEX(PP_Grid[#Data],$DE750,47),0)</f>
        <v/>
      </c>
      <c r="AY750">
        <f>IFERROR(INDEX(PP_Grid[#Data],$DE750,48),0)</f>
        <v/>
      </c>
      <c r="AZ750">
        <f>IFERROR(INDEX(PP_Grid[#Data],$DE750,49),0)</f>
        <v/>
      </c>
      <c r="BA750">
        <f>IFERROR(INDEX(PP_Grid[#Data],$DE750,50),0)</f>
        <v/>
      </c>
      <c r="BB750">
        <f>IFERROR(INDEX(PP_Grid[#Data],$DE750,51),0)</f>
        <v/>
      </c>
      <c r="BC750">
        <f>IFERROR(INDEX(PP_Grid[#Data],$DE750,52),0)</f>
        <v/>
      </c>
      <c r="BD750">
        <f>IFERROR(INDEX(PP_Grid[#Data],$DE750,53),0)</f>
        <v/>
      </c>
      <c r="BE750">
        <f>IFERROR(INDEX(PP_Grid[#Data],$DE750,54),0)</f>
        <v/>
      </c>
      <c r="BF750">
        <f>IFERROR(INDEX(PP_Grid[#Data],$DE750,55),0)</f>
        <v/>
      </c>
      <c r="BG750">
        <f>IFERROR(INDEX(PP_Grid[#Data],$DE750,56),0)</f>
        <v/>
      </c>
      <c r="BH750">
        <f>IFERROR(INDEX(PP_Grid[#Data],$DE750,57),0)</f>
        <v/>
      </c>
      <c r="BI750">
        <f>IFERROR(INDEX(PP_Grid[#Data],$DE750,58),0)</f>
        <v/>
      </c>
      <c r="BJ750">
        <f>IFERROR(INDEX(PP_Grid[#Data],$DE750,59),0)</f>
        <v/>
      </c>
      <c r="BK750">
        <f>IFERROR(INDEX(PP_Grid[#Data],$DE750,60),0)</f>
        <v/>
      </c>
      <c r="BL750">
        <f>IFERROR(INDEX(PP_Grid[#Data],$DE750,61),0)</f>
        <v/>
      </c>
      <c r="BM750">
        <f>IFERROR(INDEX(PP_Grid[#Data],$DE750,62),0)</f>
        <v/>
      </c>
      <c r="BN750">
        <f>IFERROR(INDEX(PP_Grid[#Data],$DE750,63),0)</f>
        <v/>
      </c>
      <c r="BO750">
        <f>IFERROR(INDEX(PP_Grid[#Data],$DE750,64),0)</f>
        <v/>
      </c>
      <c r="BP750">
        <f>IFERROR(INDEX(PP_Grid[#Data],$DE750,65),0)</f>
        <v/>
      </c>
      <c r="BQ750">
        <f>IFERROR(INDEX(PP_Grid[#Data],$DE750,66),0)</f>
        <v/>
      </c>
      <c r="BR750">
        <f>IFERROR(INDEX(PP_Grid[#Data],$DE750,67),0)</f>
        <v/>
      </c>
      <c r="BS750">
        <f>IFERROR(INDEX(PP_Grid[#Data],$DE750,68),0)</f>
        <v/>
      </c>
      <c r="BT750">
        <f>IFERROR(INDEX(PP_Grid[#Data],$DE750,69),0)</f>
        <v/>
      </c>
      <c r="BU750">
        <f>IFERROR(INDEX(PP_Grid[#Data],$DE750,70),0)</f>
        <v/>
      </c>
      <c r="BV750">
        <f>IFERROR(INDEX(PP_Grid[#Data],$DE750,71),0)</f>
        <v/>
      </c>
      <c r="BW750">
        <f>IFERROR(INDEX(PP_Grid[#Data],$DE750,72),0)</f>
        <v/>
      </c>
      <c r="BX750">
        <f>IFERROR(INDEX(PP_Grid[#Data],$DE750,73),0)</f>
        <v/>
      </c>
      <c r="BY750">
        <f>IFERROR(INDEX(PP_Grid[#Data],$DE750,74),0)</f>
        <v/>
      </c>
      <c r="BZ750">
        <f>IFERROR(INDEX(PP_Grid[#Data],$DE750,75),0)</f>
        <v/>
      </c>
      <c r="CA750">
        <f>IFERROR(INDEX(PP_Grid[#Data],$DE750,76),0)</f>
        <v/>
      </c>
      <c r="CB750">
        <f>IFERROR(INDEX(PP_Grid[#Data],$DE750,77),0)</f>
        <v/>
      </c>
      <c r="CC750">
        <f>IFERROR(INDEX(PP_Grid[#Data],$DE750,78),0)</f>
        <v/>
      </c>
      <c r="CD750">
        <f>IFERROR(INDEX(PP_Grid[#Data],$DE750,79),0)</f>
        <v/>
      </c>
      <c r="CE750">
        <f>IFERROR(INDEX(PP_Grid[#Data],$DE750,80),0)</f>
        <v/>
      </c>
      <c r="CF750">
        <f>IFERROR(INDEX(PP_Grid[#Data],$DE750,81),0)</f>
        <v/>
      </c>
      <c r="CG750">
        <f>IFERROR(INDEX(PP_Grid[#Data],$DE750,82),0)</f>
        <v/>
      </c>
      <c r="CH750">
        <f>IFERROR(INDEX(PP_Grid[#Data],$DE750,83),0)</f>
        <v/>
      </c>
      <c r="CI750">
        <f>IFERROR(INDEX(PP_Grid[#Data],$DE750,84),0)</f>
        <v/>
      </c>
      <c r="CJ750">
        <f>IFERROR(INDEX(PP_Grid[#Data],$DE750,85),0)</f>
        <v/>
      </c>
      <c r="CK750">
        <f>IFERROR(INDEX(PP_Grid[#Data],$DE750,86),0)</f>
        <v/>
      </c>
      <c r="CL750">
        <f>IFERROR(INDEX(PP_Grid[#Data],$DE750,87),0)</f>
        <v/>
      </c>
      <c r="CM750">
        <f>IFERROR(INDEX(PP_Grid[#Data],$DE750,88),0)</f>
        <v/>
      </c>
      <c r="CN750">
        <f>IFERROR(INDEX(PP_Grid[#Data],$DE750,89),0)</f>
        <v/>
      </c>
      <c r="CO750">
        <f>IFERROR(INDEX(PP_Grid[#Data],$DE750,90),0)</f>
        <v/>
      </c>
      <c r="CP750">
        <f>IFERROR(INDEX(PP_Grid[#Data],$DE750,91),0)</f>
        <v/>
      </c>
      <c r="CQ750">
        <f>IFERROR(INDEX(PP_Grid[#Data],$DE750,92),0)</f>
        <v/>
      </c>
      <c r="CR750">
        <f>IFERROR(INDEX(PP_Grid[#Data],$DE750,93),0)</f>
        <v/>
      </c>
      <c r="CS750">
        <f>IFERROR(INDEX(PP_Grid[#Data],$DE750,94),0)</f>
        <v/>
      </c>
      <c r="CT750">
        <f>IFERROR(INDEX(PP_Grid[#Data],$DE750,95),0)</f>
        <v/>
      </c>
      <c r="CU750">
        <f>IFERROR(INDEX(PP_Grid[#Data],$DE750,96),0)</f>
        <v/>
      </c>
      <c r="CV750">
        <f>IFERROR(INDEX(PP_Grid[#Data],$DE750,97),0)</f>
        <v/>
      </c>
      <c r="CW750">
        <f>IFERROR(INDEX(PP_Grid[#Data],$DE750,98),0)</f>
        <v/>
      </c>
      <c r="CX750">
        <f>IFERROR(INDEX(PP_Grid[#Data],$DE750,99),0)</f>
        <v/>
      </c>
      <c r="CY750">
        <f>IFERROR(INDEX(PP_Grid[#Data],$DE750,100),0)</f>
        <v/>
      </c>
      <c r="CZ750">
        <f>IFERROR(INDEX(PP_Grid[#Data],$DE750,101),0)</f>
        <v/>
      </c>
      <c r="DA750">
        <f>IFERROR(INDEX(PP_Grid[#Data],$DE750,102),0)</f>
        <v/>
      </c>
      <c r="DB750">
        <f>IFERROR(INDEX(PP_Grid[#Data],$DE750,103),0)</f>
        <v/>
      </c>
      <c r="DC750">
        <f>IFERROR(INDEX(PP_Grid[#Data],$DE750,104),0)</f>
        <v/>
      </c>
      <c r="DD750">
        <f>IFERROR(INDEX(PP_Grid[#Data],$DE750,105),0)</f>
        <v/>
      </c>
      <c r="DE750" s="7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SUMIFS(M_BOM[RM_Qty_Per_Batch],M_BOM[Intermediate],$B750,M_BOM[RM_Code],$A745)</f>
        <v/>
      </c>
      <c r="D751">
        <f>IFERROR(INDEX(E751:DD751,$F$1),"")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  <c r="DD751">
        <f>$C751*DD750</f>
        <v/>
      </c>
    </row>
    <row r="752">
      <c r="B752" t="inlineStr">
        <is>
          <t>TSP-403</t>
        </is>
      </c>
      <c r="C752" t="inlineStr">
        <is>
          <t>No. of batches</t>
        </is>
      </c>
      <c r="D752">
        <f>IFERROR(INDEX(E752:DD752,$F$1),"")</f>
        <v/>
      </c>
      <c r="E752">
        <f>IFERROR(INDEX(PP_Grid[#Data],$DE752,2),0)</f>
        <v/>
      </c>
      <c r="F752">
        <f>IFERROR(INDEX(PP_Grid[#Data],$DE752,3),0)</f>
        <v/>
      </c>
      <c r="G752">
        <f>IFERROR(INDEX(PP_Grid[#Data],$DE752,4),0)</f>
        <v/>
      </c>
      <c r="H752">
        <f>IFERROR(INDEX(PP_Grid[#Data],$DE752,5),0)</f>
        <v/>
      </c>
      <c r="I752">
        <f>IFERROR(INDEX(PP_Grid[#Data],$DE752,6),0)</f>
        <v/>
      </c>
      <c r="J752">
        <f>IFERROR(INDEX(PP_Grid[#Data],$DE752,7),0)</f>
        <v/>
      </c>
      <c r="K752">
        <f>IFERROR(INDEX(PP_Grid[#Data],$DE752,8),0)</f>
        <v/>
      </c>
      <c r="L752">
        <f>IFERROR(INDEX(PP_Grid[#Data],$DE752,9),0)</f>
        <v/>
      </c>
      <c r="M752">
        <f>IFERROR(INDEX(PP_Grid[#Data],$DE752,10),0)</f>
        <v/>
      </c>
      <c r="N752">
        <f>IFERROR(INDEX(PP_Grid[#Data],$DE752,11),0)</f>
        <v/>
      </c>
      <c r="O752">
        <f>IFERROR(INDEX(PP_Grid[#Data],$DE752,12),0)</f>
        <v/>
      </c>
      <c r="P752">
        <f>IFERROR(INDEX(PP_Grid[#Data],$DE752,13),0)</f>
        <v/>
      </c>
      <c r="Q752">
        <f>IFERROR(INDEX(PP_Grid[#Data],$DE752,14),0)</f>
        <v/>
      </c>
      <c r="R752">
        <f>IFERROR(INDEX(PP_Grid[#Data],$DE752,15),0)</f>
        <v/>
      </c>
      <c r="S752">
        <f>IFERROR(INDEX(PP_Grid[#Data],$DE752,16),0)</f>
        <v/>
      </c>
      <c r="T752">
        <f>IFERROR(INDEX(PP_Grid[#Data],$DE752,17),0)</f>
        <v/>
      </c>
      <c r="U752">
        <f>IFERROR(INDEX(PP_Grid[#Data],$DE752,18),0)</f>
        <v/>
      </c>
      <c r="V752">
        <f>IFERROR(INDEX(PP_Grid[#Data],$DE752,19),0)</f>
        <v/>
      </c>
      <c r="W752">
        <f>IFERROR(INDEX(PP_Grid[#Data],$DE752,20),0)</f>
        <v/>
      </c>
      <c r="X752">
        <f>IFERROR(INDEX(PP_Grid[#Data],$DE752,21),0)</f>
        <v/>
      </c>
      <c r="Y752">
        <f>IFERROR(INDEX(PP_Grid[#Data],$DE752,22),0)</f>
        <v/>
      </c>
      <c r="Z752">
        <f>IFERROR(INDEX(PP_Grid[#Data],$DE752,23),0)</f>
        <v/>
      </c>
      <c r="AA752">
        <f>IFERROR(INDEX(PP_Grid[#Data],$DE752,24),0)</f>
        <v/>
      </c>
      <c r="AB752">
        <f>IFERROR(INDEX(PP_Grid[#Data],$DE752,25),0)</f>
        <v/>
      </c>
      <c r="AC752">
        <f>IFERROR(INDEX(PP_Grid[#Data],$DE752,26),0)</f>
        <v/>
      </c>
      <c r="AD752">
        <f>IFERROR(INDEX(PP_Grid[#Data],$DE752,27),0)</f>
        <v/>
      </c>
      <c r="AE752">
        <f>IFERROR(INDEX(PP_Grid[#Data],$DE752,28),0)</f>
        <v/>
      </c>
      <c r="AF752">
        <f>IFERROR(INDEX(PP_Grid[#Data],$DE752,29),0)</f>
        <v/>
      </c>
      <c r="AG752">
        <f>IFERROR(INDEX(PP_Grid[#Data],$DE752,30),0)</f>
        <v/>
      </c>
      <c r="AH752">
        <f>IFERROR(INDEX(PP_Grid[#Data],$DE752,31),0)</f>
        <v/>
      </c>
      <c r="AI752">
        <f>IFERROR(INDEX(PP_Grid[#Data],$DE752,32),0)</f>
        <v/>
      </c>
      <c r="AJ752">
        <f>IFERROR(INDEX(PP_Grid[#Data],$DE752,33),0)</f>
        <v/>
      </c>
      <c r="AK752">
        <f>IFERROR(INDEX(PP_Grid[#Data],$DE752,34),0)</f>
        <v/>
      </c>
      <c r="AL752">
        <f>IFERROR(INDEX(PP_Grid[#Data],$DE752,35),0)</f>
        <v/>
      </c>
      <c r="AM752">
        <f>IFERROR(INDEX(PP_Grid[#Data],$DE752,36),0)</f>
        <v/>
      </c>
      <c r="AN752">
        <f>IFERROR(INDEX(PP_Grid[#Data],$DE752,37),0)</f>
        <v/>
      </c>
      <c r="AO752">
        <f>IFERROR(INDEX(PP_Grid[#Data],$DE752,38),0)</f>
        <v/>
      </c>
      <c r="AP752">
        <f>IFERROR(INDEX(PP_Grid[#Data],$DE752,39),0)</f>
        <v/>
      </c>
      <c r="AQ752">
        <f>IFERROR(INDEX(PP_Grid[#Data],$DE752,40),0)</f>
        <v/>
      </c>
      <c r="AR752">
        <f>IFERROR(INDEX(PP_Grid[#Data],$DE752,41),0)</f>
        <v/>
      </c>
      <c r="AS752">
        <f>IFERROR(INDEX(PP_Grid[#Data],$DE752,42),0)</f>
        <v/>
      </c>
      <c r="AT752">
        <f>IFERROR(INDEX(PP_Grid[#Data],$DE752,43),0)</f>
        <v/>
      </c>
      <c r="AU752">
        <f>IFERROR(INDEX(PP_Grid[#Data],$DE752,44),0)</f>
        <v/>
      </c>
      <c r="AV752">
        <f>IFERROR(INDEX(PP_Grid[#Data],$DE752,45),0)</f>
        <v/>
      </c>
      <c r="AW752">
        <f>IFERROR(INDEX(PP_Grid[#Data],$DE752,46),0)</f>
        <v/>
      </c>
      <c r="AX752">
        <f>IFERROR(INDEX(PP_Grid[#Data],$DE752,47),0)</f>
        <v/>
      </c>
      <c r="AY752">
        <f>IFERROR(INDEX(PP_Grid[#Data],$DE752,48),0)</f>
        <v/>
      </c>
      <c r="AZ752">
        <f>IFERROR(INDEX(PP_Grid[#Data],$DE752,49),0)</f>
        <v/>
      </c>
      <c r="BA752">
        <f>IFERROR(INDEX(PP_Grid[#Data],$DE752,50),0)</f>
        <v/>
      </c>
      <c r="BB752">
        <f>IFERROR(INDEX(PP_Grid[#Data],$DE752,51),0)</f>
        <v/>
      </c>
      <c r="BC752">
        <f>IFERROR(INDEX(PP_Grid[#Data],$DE752,52),0)</f>
        <v/>
      </c>
      <c r="BD752">
        <f>IFERROR(INDEX(PP_Grid[#Data],$DE752,53),0)</f>
        <v/>
      </c>
      <c r="BE752">
        <f>IFERROR(INDEX(PP_Grid[#Data],$DE752,54),0)</f>
        <v/>
      </c>
      <c r="BF752">
        <f>IFERROR(INDEX(PP_Grid[#Data],$DE752,55),0)</f>
        <v/>
      </c>
      <c r="BG752">
        <f>IFERROR(INDEX(PP_Grid[#Data],$DE752,56),0)</f>
        <v/>
      </c>
      <c r="BH752">
        <f>IFERROR(INDEX(PP_Grid[#Data],$DE752,57),0)</f>
        <v/>
      </c>
      <c r="BI752">
        <f>IFERROR(INDEX(PP_Grid[#Data],$DE752,58),0)</f>
        <v/>
      </c>
      <c r="BJ752">
        <f>IFERROR(INDEX(PP_Grid[#Data],$DE752,59),0)</f>
        <v/>
      </c>
      <c r="BK752">
        <f>IFERROR(INDEX(PP_Grid[#Data],$DE752,60),0)</f>
        <v/>
      </c>
      <c r="BL752">
        <f>IFERROR(INDEX(PP_Grid[#Data],$DE752,61),0)</f>
        <v/>
      </c>
      <c r="BM752">
        <f>IFERROR(INDEX(PP_Grid[#Data],$DE752,62),0)</f>
        <v/>
      </c>
      <c r="BN752">
        <f>IFERROR(INDEX(PP_Grid[#Data],$DE752,63),0)</f>
        <v/>
      </c>
      <c r="BO752">
        <f>IFERROR(INDEX(PP_Grid[#Data],$DE752,64),0)</f>
        <v/>
      </c>
      <c r="BP752">
        <f>IFERROR(INDEX(PP_Grid[#Data],$DE752,65),0)</f>
        <v/>
      </c>
      <c r="BQ752">
        <f>IFERROR(INDEX(PP_Grid[#Data],$DE752,66),0)</f>
        <v/>
      </c>
      <c r="BR752">
        <f>IFERROR(INDEX(PP_Grid[#Data],$DE752,67),0)</f>
        <v/>
      </c>
      <c r="BS752">
        <f>IFERROR(INDEX(PP_Grid[#Data],$DE752,68),0)</f>
        <v/>
      </c>
      <c r="BT752">
        <f>IFERROR(INDEX(PP_Grid[#Data],$DE752,69),0)</f>
        <v/>
      </c>
      <c r="BU752">
        <f>IFERROR(INDEX(PP_Grid[#Data],$DE752,70),0)</f>
        <v/>
      </c>
      <c r="BV752">
        <f>IFERROR(INDEX(PP_Grid[#Data],$DE752,71),0)</f>
        <v/>
      </c>
      <c r="BW752">
        <f>IFERROR(INDEX(PP_Grid[#Data],$DE752,72),0)</f>
        <v/>
      </c>
      <c r="BX752">
        <f>IFERROR(INDEX(PP_Grid[#Data],$DE752,73),0)</f>
        <v/>
      </c>
      <c r="BY752">
        <f>IFERROR(INDEX(PP_Grid[#Data],$DE752,74),0)</f>
        <v/>
      </c>
      <c r="BZ752">
        <f>IFERROR(INDEX(PP_Grid[#Data],$DE752,75),0)</f>
        <v/>
      </c>
      <c r="CA752">
        <f>IFERROR(INDEX(PP_Grid[#Data],$DE752,76),0)</f>
        <v/>
      </c>
      <c r="CB752">
        <f>IFERROR(INDEX(PP_Grid[#Data],$DE752,77),0)</f>
        <v/>
      </c>
      <c r="CC752">
        <f>IFERROR(INDEX(PP_Grid[#Data],$DE752,78),0)</f>
        <v/>
      </c>
      <c r="CD752">
        <f>IFERROR(INDEX(PP_Grid[#Data],$DE752,79),0)</f>
        <v/>
      </c>
      <c r="CE752">
        <f>IFERROR(INDEX(PP_Grid[#Data],$DE752,80),0)</f>
        <v/>
      </c>
      <c r="CF752">
        <f>IFERROR(INDEX(PP_Grid[#Data],$DE752,81),0)</f>
        <v/>
      </c>
      <c r="CG752">
        <f>IFERROR(INDEX(PP_Grid[#Data],$DE752,82),0)</f>
        <v/>
      </c>
      <c r="CH752">
        <f>IFERROR(INDEX(PP_Grid[#Data],$DE752,83),0)</f>
        <v/>
      </c>
      <c r="CI752">
        <f>IFERROR(INDEX(PP_Grid[#Data],$DE752,84),0)</f>
        <v/>
      </c>
      <c r="CJ752">
        <f>IFERROR(INDEX(PP_Grid[#Data],$DE752,85),0)</f>
        <v/>
      </c>
      <c r="CK752">
        <f>IFERROR(INDEX(PP_Grid[#Data],$DE752,86),0)</f>
        <v/>
      </c>
      <c r="CL752">
        <f>IFERROR(INDEX(PP_Grid[#Data],$DE752,87),0)</f>
        <v/>
      </c>
      <c r="CM752">
        <f>IFERROR(INDEX(PP_Grid[#Data],$DE752,88),0)</f>
        <v/>
      </c>
      <c r="CN752">
        <f>IFERROR(INDEX(PP_Grid[#Data],$DE752,89),0)</f>
        <v/>
      </c>
      <c r="CO752">
        <f>IFERROR(INDEX(PP_Grid[#Data],$DE752,90),0)</f>
        <v/>
      </c>
      <c r="CP752">
        <f>IFERROR(INDEX(PP_Grid[#Data],$DE752,91),0)</f>
        <v/>
      </c>
      <c r="CQ752">
        <f>IFERROR(INDEX(PP_Grid[#Data],$DE752,92),0)</f>
        <v/>
      </c>
      <c r="CR752">
        <f>IFERROR(INDEX(PP_Grid[#Data],$DE752,93),0)</f>
        <v/>
      </c>
      <c r="CS752">
        <f>IFERROR(INDEX(PP_Grid[#Data],$DE752,94),0)</f>
        <v/>
      </c>
      <c r="CT752">
        <f>IFERROR(INDEX(PP_Grid[#Data],$DE752,95),0)</f>
        <v/>
      </c>
      <c r="CU752">
        <f>IFERROR(INDEX(PP_Grid[#Data],$DE752,96),0)</f>
        <v/>
      </c>
      <c r="CV752">
        <f>IFERROR(INDEX(PP_Grid[#Data],$DE752,97),0)</f>
        <v/>
      </c>
      <c r="CW752">
        <f>IFERROR(INDEX(PP_Grid[#Data],$DE752,98),0)</f>
        <v/>
      </c>
      <c r="CX752">
        <f>IFERROR(INDEX(PP_Grid[#Data],$DE752,99),0)</f>
        <v/>
      </c>
      <c r="CY752">
        <f>IFERROR(INDEX(PP_Grid[#Data],$DE752,100),0)</f>
        <v/>
      </c>
      <c r="CZ752">
        <f>IFERROR(INDEX(PP_Grid[#Data],$DE752,101),0)</f>
        <v/>
      </c>
      <c r="DA752">
        <f>IFERROR(INDEX(PP_Grid[#Data],$DE752,102),0)</f>
        <v/>
      </c>
      <c r="DB752">
        <f>IFERROR(INDEX(PP_Grid[#Data],$DE752,103),0)</f>
        <v/>
      </c>
      <c r="DC752">
        <f>IFERROR(INDEX(PP_Grid[#Data],$DE752,104),0)</f>
        <v/>
      </c>
      <c r="DD752">
        <f>IFERROR(INDEX(PP_Grid[#Data],$DE752,105),0)</f>
        <v/>
      </c>
      <c r="DE752" s="7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SUMIFS(M_BOM[RM_Qty_Per_Batch],M_BOM[Intermediate],$B752,M_BOM[RM_Code],$A745)</f>
        <v/>
      </c>
      <c r="D753">
        <f>IFERROR(INDEX(E753:DD753,$F$1),"")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  <c r="DD753">
        <f>$C753*DD752</f>
        <v/>
      </c>
    </row>
    <row r="754">
      <c r="B754" t="inlineStr">
        <is>
          <t>TSP-404</t>
        </is>
      </c>
      <c r="C754" t="inlineStr">
        <is>
          <t>No. of batches</t>
        </is>
      </c>
      <c r="D754">
        <f>IFERROR(INDEX(E754:DD754,$F$1),"")</f>
        <v/>
      </c>
      <c r="E754">
        <f>IFERROR(INDEX(PP_Grid[#Data],$DE754,2),0)</f>
        <v/>
      </c>
      <c r="F754">
        <f>IFERROR(INDEX(PP_Grid[#Data],$DE754,3),0)</f>
        <v/>
      </c>
      <c r="G754">
        <f>IFERROR(INDEX(PP_Grid[#Data],$DE754,4),0)</f>
        <v/>
      </c>
      <c r="H754">
        <f>IFERROR(INDEX(PP_Grid[#Data],$DE754,5),0)</f>
        <v/>
      </c>
      <c r="I754">
        <f>IFERROR(INDEX(PP_Grid[#Data],$DE754,6),0)</f>
        <v/>
      </c>
      <c r="J754">
        <f>IFERROR(INDEX(PP_Grid[#Data],$DE754,7),0)</f>
        <v/>
      </c>
      <c r="K754">
        <f>IFERROR(INDEX(PP_Grid[#Data],$DE754,8),0)</f>
        <v/>
      </c>
      <c r="L754">
        <f>IFERROR(INDEX(PP_Grid[#Data],$DE754,9),0)</f>
        <v/>
      </c>
      <c r="M754">
        <f>IFERROR(INDEX(PP_Grid[#Data],$DE754,10),0)</f>
        <v/>
      </c>
      <c r="N754">
        <f>IFERROR(INDEX(PP_Grid[#Data],$DE754,11),0)</f>
        <v/>
      </c>
      <c r="O754">
        <f>IFERROR(INDEX(PP_Grid[#Data],$DE754,12),0)</f>
        <v/>
      </c>
      <c r="P754">
        <f>IFERROR(INDEX(PP_Grid[#Data],$DE754,13),0)</f>
        <v/>
      </c>
      <c r="Q754">
        <f>IFERROR(INDEX(PP_Grid[#Data],$DE754,14),0)</f>
        <v/>
      </c>
      <c r="R754">
        <f>IFERROR(INDEX(PP_Grid[#Data],$DE754,15),0)</f>
        <v/>
      </c>
      <c r="S754">
        <f>IFERROR(INDEX(PP_Grid[#Data],$DE754,16),0)</f>
        <v/>
      </c>
      <c r="T754">
        <f>IFERROR(INDEX(PP_Grid[#Data],$DE754,17),0)</f>
        <v/>
      </c>
      <c r="U754">
        <f>IFERROR(INDEX(PP_Grid[#Data],$DE754,18),0)</f>
        <v/>
      </c>
      <c r="V754">
        <f>IFERROR(INDEX(PP_Grid[#Data],$DE754,19),0)</f>
        <v/>
      </c>
      <c r="W754">
        <f>IFERROR(INDEX(PP_Grid[#Data],$DE754,20),0)</f>
        <v/>
      </c>
      <c r="X754">
        <f>IFERROR(INDEX(PP_Grid[#Data],$DE754,21),0)</f>
        <v/>
      </c>
      <c r="Y754">
        <f>IFERROR(INDEX(PP_Grid[#Data],$DE754,22),0)</f>
        <v/>
      </c>
      <c r="Z754">
        <f>IFERROR(INDEX(PP_Grid[#Data],$DE754,23),0)</f>
        <v/>
      </c>
      <c r="AA754">
        <f>IFERROR(INDEX(PP_Grid[#Data],$DE754,24),0)</f>
        <v/>
      </c>
      <c r="AB754">
        <f>IFERROR(INDEX(PP_Grid[#Data],$DE754,25),0)</f>
        <v/>
      </c>
      <c r="AC754">
        <f>IFERROR(INDEX(PP_Grid[#Data],$DE754,26),0)</f>
        <v/>
      </c>
      <c r="AD754">
        <f>IFERROR(INDEX(PP_Grid[#Data],$DE754,27),0)</f>
        <v/>
      </c>
      <c r="AE754">
        <f>IFERROR(INDEX(PP_Grid[#Data],$DE754,28),0)</f>
        <v/>
      </c>
      <c r="AF754">
        <f>IFERROR(INDEX(PP_Grid[#Data],$DE754,29),0)</f>
        <v/>
      </c>
      <c r="AG754">
        <f>IFERROR(INDEX(PP_Grid[#Data],$DE754,30),0)</f>
        <v/>
      </c>
      <c r="AH754">
        <f>IFERROR(INDEX(PP_Grid[#Data],$DE754,31),0)</f>
        <v/>
      </c>
      <c r="AI754">
        <f>IFERROR(INDEX(PP_Grid[#Data],$DE754,32),0)</f>
        <v/>
      </c>
      <c r="AJ754">
        <f>IFERROR(INDEX(PP_Grid[#Data],$DE754,33),0)</f>
        <v/>
      </c>
      <c r="AK754">
        <f>IFERROR(INDEX(PP_Grid[#Data],$DE754,34),0)</f>
        <v/>
      </c>
      <c r="AL754">
        <f>IFERROR(INDEX(PP_Grid[#Data],$DE754,35),0)</f>
        <v/>
      </c>
      <c r="AM754">
        <f>IFERROR(INDEX(PP_Grid[#Data],$DE754,36),0)</f>
        <v/>
      </c>
      <c r="AN754">
        <f>IFERROR(INDEX(PP_Grid[#Data],$DE754,37),0)</f>
        <v/>
      </c>
      <c r="AO754">
        <f>IFERROR(INDEX(PP_Grid[#Data],$DE754,38),0)</f>
        <v/>
      </c>
      <c r="AP754">
        <f>IFERROR(INDEX(PP_Grid[#Data],$DE754,39),0)</f>
        <v/>
      </c>
      <c r="AQ754">
        <f>IFERROR(INDEX(PP_Grid[#Data],$DE754,40),0)</f>
        <v/>
      </c>
      <c r="AR754">
        <f>IFERROR(INDEX(PP_Grid[#Data],$DE754,41),0)</f>
        <v/>
      </c>
      <c r="AS754">
        <f>IFERROR(INDEX(PP_Grid[#Data],$DE754,42),0)</f>
        <v/>
      </c>
      <c r="AT754">
        <f>IFERROR(INDEX(PP_Grid[#Data],$DE754,43),0)</f>
        <v/>
      </c>
      <c r="AU754">
        <f>IFERROR(INDEX(PP_Grid[#Data],$DE754,44),0)</f>
        <v/>
      </c>
      <c r="AV754">
        <f>IFERROR(INDEX(PP_Grid[#Data],$DE754,45),0)</f>
        <v/>
      </c>
      <c r="AW754">
        <f>IFERROR(INDEX(PP_Grid[#Data],$DE754,46),0)</f>
        <v/>
      </c>
      <c r="AX754">
        <f>IFERROR(INDEX(PP_Grid[#Data],$DE754,47),0)</f>
        <v/>
      </c>
      <c r="AY754">
        <f>IFERROR(INDEX(PP_Grid[#Data],$DE754,48),0)</f>
        <v/>
      </c>
      <c r="AZ754">
        <f>IFERROR(INDEX(PP_Grid[#Data],$DE754,49),0)</f>
        <v/>
      </c>
      <c r="BA754">
        <f>IFERROR(INDEX(PP_Grid[#Data],$DE754,50),0)</f>
        <v/>
      </c>
      <c r="BB754">
        <f>IFERROR(INDEX(PP_Grid[#Data],$DE754,51),0)</f>
        <v/>
      </c>
      <c r="BC754">
        <f>IFERROR(INDEX(PP_Grid[#Data],$DE754,52),0)</f>
        <v/>
      </c>
      <c r="BD754">
        <f>IFERROR(INDEX(PP_Grid[#Data],$DE754,53),0)</f>
        <v/>
      </c>
      <c r="BE754">
        <f>IFERROR(INDEX(PP_Grid[#Data],$DE754,54),0)</f>
        <v/>
      </c>
      <c r="BF754">
        <f>IFERROR(INDEX(PP_Grid[#Data],$DE754,55),0)</f>
        <v/>
      </c>
      <c r="BG754">
        <f>IFERROR(INDEX(PP_Grid[#Data],$DE754,56),0)</f>
        <v/>
      </c>
      <c r="BH754">
        <f>IFERROR(INDEX(PP_Grid[#Data],$DE754,57),0)</f>
        <v/>
      </c>
      <c r="BI754">
        <f>IFERROR(INDEX(PP_Grid[#Data],$DE754,58),0)</f>
        <v/>
      </c>
      <c r="BJ754">
        <f>IFERROR(INDEX(PP_Grid[#Data],$DE754,59),0)</f>
        <v/>
      </c>
      <c r="BK754">
        <f>IFERROR(INDEX(PP_Grid[#Data],$DE754,60),0)</f>
        <v/>
      </c>
      <c r="BL754">
        <f>IFERROR(INDEX(PP_Grid[#Data],$DE754,61),0)</f>
        <v/>
      </c>
      <c r="BM754">
        <f>IFERROR(INDEX(PP_Grid[#Data],$DE754,62),0)</f>
        <v/>
      </c>
      <c r="BN754">
        <f>IFERROR(INDEX(PP_Grid[#Data],$DE754,63),0)</f>
        <v/>
      </c>
      <c r="BO754">
        <f>IFERROR(INDEX(PP_Grid[#Data],$DE754,64),0)</f>
        <v/>
      </c>
      <c r="BP754">
        <f>IFERROR(INDEX(PP_Grid[#Data],$DE754,65),0)</f>
        <v/>
      </c>
      <c r="BQ754">
        <f>IFERROR(INDEX(PP_Grid[#Data],$DE754,66),0)</f>
        <v/>
      </c>
      <c r="BR754">
        <f>IFERROR(INDEX(PP_Grid[#Data],$DE754,67),0)</f>
        <v/>
      </c>
      <c r="BS754">
        <f>IFERROR(INDEX(PP_Grid[#Data],$DE754,68),0)</f>
        <v/>
      </c>
      <c r="BT754">
        <f>IFERROR(INDEX(PP_Grid[#Data],$DE754,69),0)</f>
        <v/>
      </c>
      <c r="BU754">
        <f>IFERROR(INDEX(PP_Grid[#Data],$DE754,70),0)</f>
        <v/>
      </c>
      <c r="BV754">
        <f>IFERROR(INDEX(PP_Grid[#Data],$DE754,71),0)</f>
        <v/>
      </c>
      <c r="BW754">
        <f>IFERROR(INDEX(PP_Grid[#Data],$DE754,72),0)</f>
        <v/>
      </c>
      <c r="BX754">
        <f>IFERROR(INDEX(PP_Grid[#Data],$DE754,73),0)</f>
        <v/>
      </c>
      <c r="BY754">
        <f>IFERROR(INDEX(PP_Grid[#Data],$DE754,74),0)</f>
        <v/>
      </c>
      <c r="BZ754">
        <f>IFERROR(INDEX(PP_Grid[#Data],$DE754,75),0)</f>
        <v/>
      </c>
      <c r="CA754">
        <f>IFERROR(INDEX(PP_Grid[#Data],$DE754,76),0)</f>
        <v/>
      </c>
      <c r="CB754">
        <f>IFERROR(INDEX(PP_Grid[#Data],$DE754,77),0)</f>
        <v/>
      </c>
      <c r="CC754">
        <f>IFERROR(INDEX(PP_Grid[#Data],$DE754,78),0)</f>
        <v/>
      </c>
      <c r="CD754">
        <f>IFERROR(INDEX(PP_Grid[#Data],$DE754,79),0)</f>
        <v/>
      </c>
      <c r="CE754">
        <f>IFERROR(INDEX(PP_Grid[#Data],$DE754,80),0)</f>
        <v/>
      </c>
      <c r="CF754">
        <f>IFERROR(INDEX(PP_Grid[#Data],$DE754,81),0)</f>
        <v/>
      </c>
      <c r="CG754">
        <f>IFERROR(INDEX(PP_Grid[#Data],$DE754,82),0)</f>
        <v/>
      </c>
      <c r="CH754">
        <f>IFERROR(INDEX(PP_Grid[#Data],$DE754,83),0)</f>
        <v/>
      </c>
      <c r="CI754">
        <f>IFERROR(INDEX(PP_Grid[#Data],$DE754,84),0)</f>
        <v/>
      </c>
      <c r="CJ754">
        <f>IFERROR(INDEX(PP_Grid[#Data],$DE754,85),0)</f>
        <v/>
      </c>
      <c r="CK754">
        <f>IFERROR(INDEX(PP_Grid[#Data],$DE754,86),0)</f>
        <v/>
      </c>
      <c r="CL754">
        <f>IFERROR(INDEX(PP_Grid[#Data],$DE754,87),0)</f>
        <v/>
      </c>
      <c r="CM754">
        <f>IFERROR(INDEX(PP_Grid[#Data],$DE754,88),0)</f>
        <v/>
      </c>
      <c r="CN754">
        <f>IFERROR(INDEX(PP_Grid[#Data],$DE754,89),0)</f>
        <v/>
      </c>
      <c r="CO754">
        <f>IFERROR(INDEX(PP_Grid[#Data],$DE754,90),0)</f>
        <v/>
      </c>
      <c r="CP754">
        <f>IFERROR(INDEX(PP_Grid[#Data],$DE754,91),0)</f>
        <v/>
      </c>
      <c r="CQ754">
        <f>IFERROR(INDEX(PP_Grid[#Data],$DE754,92),0)</f>
        <v/>
      </c>
      <c r="CR754">
        <f>IFERROR(INDEX(PP_Grid[#Data],$DE754,93),0)</f>
        <v/>
      </c>
      <c r="CS754">
        <f>IFERROR(INDEX(PP_Grid[#Data],$DE754,94),0)</f>
        <v/>
      </c>
      <c r="CT754">
        <f>IFERROR(INDEX(PP_Grid[#Data],$DE754,95),0)</f>
        <v/>
      </c>
      <c r="CU754">
        <f>IFERROR(INDEX(PP_Grid[#Data],$DE754,96),0)</f>
        <v/>
      </c>
      <c r="CV754">
        <f>IFERROR(INDEX(PP_Grid[#Data],$DE754,97),0)</f>
        <v/>
      </c>
      <c r="CW754">
        <f>IFERROR(INDEX(PP_Grid[#Data],$DE754,98),0)</f>
        <v/>
      </c>
      <c r="CX754">
        <f>IFERROR(INDEX(PP_Grid[#Data],$DE754,99),0)</f>
        <v/>
      </c>
      <c r="CY754">
        <f>IFERROR(INDEX(PP_Grid[#Data],$DE754,100),0)</f>
        <v/>
      </c>
      <c r="CZ754">
        <f>IFERROR(INDEX(PP_Grid[#Data],$DE754,101),0)</f>
        <v/>
      </c>
      <c r="DA754">
        <f>IFERROR(INDEX(PP_Grid[#Data],$DE754,102),0)</f>
        <v/>
      </c>
      <c r="DB754">
        <f>IFERROR(INDEX(PP_Grid[#Data],$DE754,103),0)</f>
        <v/>
      </c>
      <c r="DC754">
        <f>IFERROR(INDEX(PP_Grid[#Data],$DE754,104),0)</f>
        <v/>
      </c>
      <c r="DD754">
        <f>IFERROR(INDEX(PP_Grid[#Data],$DE754,105),0)</f>
        <v/>
      </c>
      <c r="DE754" s="7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SUMIFS(M_BOM[RM_Qty_Per_Batch],M_BOM[Intermediate],$B754,M_BOM[RM_Code],$A745)</f>
        <v/>
      </c>
      <c r="D755">
        <f>IFERROR(INDEX(E755:DD755,$F$1),"")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  <c r="DD755">
        <f>$C755*DD754</f>
        <v/>
      </c>
    </row>
    <row r="756">
      <c r="B756" t="inlineStr">
        <is>
          <t>TSP-405</t>
        </is>
      </c>
      <c r="C756" t="inlineStr">
        <is>
          <t>No. of batches</t>
        </is>
      </c>
      <c r="D756">
        <f>IFERROR(INDEX(E756:DD756,$F$1),"")</f>
        <v/>
      </c>
      <c r="E756">
        <f>IFERROR(INDEX(PP_Grid[#Data],$DE756,2),0)</f>
        <v/>
      </c>
      <c r="F756">
        <f>IFERROR(INDEX(PP_Grid[#Data],$DE756,3),0)</f>
        <v/>
      </c>
      <c r="G756">
        <f>IFERROR(INDEX(PP_Grid[#Data],$DE756,4),0)</f>
        <v/>
      </c>
      <c r="H756">
        <f>IFERROR(INDEX(PP_Grid[#Data],$DE756,5),0)</f>
        <v/>
      </c>
      <c r="I756">
        <f>IFERROR(INDEX(PP_Grid[#Data],$DE756,6),0)</f>
        <v/>
      </c>
      <c r="J756">
        <f>IFERROR(INDEX(PP_Grid[#Data],$DE756,7),0)</f>
        <v/>
      </c>
      <c r="K756">
        <f>IFERROR(INDEX(PP_Grid[#Data],$DE756,8),0)</f>
        <v/>
      </c>
      <c r="L756">
        <f>IFERROR(INDEX(PP_Grid[#Data],$DE756,9),0)</f>
        <v/>
      </c>
      <c r="M756">
        <f>IFERROR(INDEX(PP_Grid[#Data],$DE756,10),0)</f>
        <v/>
      </c>
      <c r="N756">
        <f>IFERROR(INDEX(PP_Grid[#Data],$DE756,11),0)</f>
        <v/>
      </c>
      <c r="O756">
        <f>IFERROR(INDEX(PP_Grid[#Data],$DE756,12),0)</f>
        <v/>
      </c>
      <c r="P756">
        <f>IFERROR(INDEX(PP_Grid[#Data],$DE756,13),0)</f>
        <v/>
      </c>
      <c r="Q756">
        <f>IFERROR(INDEX(PP_Grid[#Data],$DE756,14),0)</f>
        <v/>
      </c>
      <c r="R756">
        <f>IFERROR(INDEX(PP_Grid[#Data],$DE756,15),0)</f>
        <v/>
      </c>
      <c r="S756">
        <f>IFERROR(INDEX(PP_Grid[#Data],$DE756,16),0)</f>
        <v/>
      </c>
      <c r="T756">
        <f>IFERROR(INDEX(PP_Grid[#Data],$DE756,17),0)</f>
        <v/>
      </c>
      <c r="U756">
        <f>IFERROR(INDEX(PP_Grid[#Data],$DE756,18),0)</f>
        <v/>
      </c>
      <c r="V756">
        <f>IFERROR(INDEX(PP_Grid[#Data],$DE756,19),0)</f>
        <v/>
      </c>
      <c r="W756">
        <f>IFERROR(INDEX(PP_Grid[#Data],$DE756,20),0)</f>
        <v/>
      </c>
      <c r="X756">
        <f>IFERROR(INDEX(PP_Grid[#Data],$DE756,21),0)</f>
        <v/>
      </c>
      <c r="Y756">
        <f>IFERROR(INDEX(PP_Grid[#Data],$DE756,22),0)</f>
        <v/>
      </c>
      <c r="Z756">
        <f>IFERROR(INDEX(PP_Grid[#Data],$DE756,23),0)</f>
        <v/>
      </c>
      <c r="AA756">
        <f>IFERROR(INDEX(PP_Grid[#Data],$DE756,24),0)</f>
        <v/>
      </c>
      <c r="AB756">
        <f>IFERROR(INDEX(PP_Grid[#Data],$DE756,25),0)</f>
        <v/>
      </c>
      <c r="AC756">
        <f>IFERROR(INDEX(PP_Grid[#Data],$DE756,26),0)</f>
        <v/>
      </c>
      <c r="AD756">
        <f>IFERROR(INDEX(PP_Grid[#Data],$DE756,27),0)</f>
        <v/>
      </c>
      <c r="AE756">
        <f>IFERROR(INDEX(PP_Grid[#Data],$DE756,28),0)</f>
        <v/>
      </c>
      <c r="AF756">
        <f>IFERROR(INDEX(PP_Grid[#Data],$DE756,29),0)</f>
        <v/>
      </c>
      <c r="AG756">
        <f>IFERROR(INDEX(PP_Grid[#Data],$DE756,30),0)</f>
        <v/>
      </c>
      <c r="AH756">
        <f>IFERROR(INDEX(PP_Grid[#Data],$DE756,31),0)</f>
        <v/>
      </c>
      <c r="AI756">
        <f>IFERROR(INDEX(PP_Grid[#Data],$DE756,32),0)</f>
        <v/>
      </c>
      <c r="AJ756">
        <f>IFERROR(INDEX(PP_Grid[#Data],$DE756,33),0)</f>
        <v/>
      </c>
      <c r="AK756">
        <f>IFERROR(INDEX(PP_Grid[#Data],$DE756,34),0)</f>
        <v/>
      </c>
      <c r="AL756">
        <f>IFERROR(INDEX(PP_Grid[#Data],$DE756,35),0)</f>
        <v/>
      </c>
      <c r="AM756">
        <f>IFERROR(INDEX(PP_Grid[#Data],$DE756,36),0)</f>
        <v/>
      </c>
      <c r="AN756">
        <f>IFERROR(INDEX(PP_Grid[#Data],$DE756,37),0)</f>
        <v/>
      </c>
      <c r="AO756">
        <f>IFERROR(INDEX(PP_Grid[#Data],$DE756,38),0)</f>
        <v/>
      </c>
      <c r="AP756">
        <f>IFERROR(INDEX(PP_Grid[#Data],$DE756,39),0)</f>
        <v/>
      </c>
      <c r="AQ756">
        <f>IFERROR(INDEX(PP_Grid[#Data],$DE756,40),0)</f>
        <v/>
      </c>
      <c r="AR756">
        <f>IFERROR(INDEX(PP_Grid[#Data],$DE756,41),0)</f>
        <v/>
      </c>
      <c r="AS756">
        <f>IFERROR(INDEX(PP_Grid[#Data],$DE756,42),0)</f>
        <v/>
      </c>
      <c r="AT756">
        <f>IFERROR(INDEX(PP_Grid[#Data],$DE756,43),0)</f>
        <v/>
      </c>
      <c r="AU756">
        <f>IFERROR(INDEX(PP_Grid[#Data],$DE756,44),0)</f>
        <v/>
      </c>
      <c r="AV756">
        <f>IFERROR(INDEX(PP_Grid[#Data],$DE756,45),0)</f>
        <v/>
      </c>
      <c r="AW756">
        <f>IFERROR(INDEX(PP_Grid[#Data],$DE756,46),0)</f>
        <v/>
      </c>
      <c r="AX756">
        <f>IFERROR(INDEX(PP_Grid[#Data],$DE756,47),0)</f>
        <v/>
      </c>
      <c r="AY756">
        <f>IFERROR(INDEX(PP_Grid[#Data],$DE756,48),0)</f>
        <v/>
      </c>
      <c r="AZ756">
        <f>IFERROR(INDEX(PP_Grid[#Data],$DE756,49),0)</f>
        <v/>
      </c>
      <c r="BA756">
        <f>IFERROR(INDEX(PP_Grid[#Data],$DE756,50),0)</f>
        <v/>
      </c>
      <c r="BB756">
        <f>IFERROR(INDEX(PP_Grid[#Data],$DE756,51),0)</f>
        <v/>
      </c>
      <c r="BC756">
        <f>IFERROR(INDEX(PP_Grid[#Data],$DE756,52),0)</f>
        <v/>
      </c>
      <c r="BD756">
        <f>IFERROR(INDEX(PP_Grid[#Data],$DE756,53),0)</f>
        <v/>
      </c>
      <c r="BE756">
        <f>IFERROR(INDEX(PP_Grid[#Data],$DE756,54),0)</f>
        <v/>
      </c>
      <c r="BF756">
        <f>IFERROR(INDEX(PP_Grid[#Data],$DE756,55),0)</f>
        <v/>
      </c>
      <c r="BG756">
        <f>IFERROR(INDEX(PP_Grid[#Data],$DE756,56),0)</f>
        <v/>
      </c>
      <c r="BH756">
        <f>IFERROR(INDEX(PP_Grid[#Data],$DE756,57),0)</f>
        <v/>
      </c>
      <c r="BI756">
        <f>IFERROR(INDEX(PP_Grid[#Data],$DE756,58),0)</f>
        <v/>
      </c>
      <c r="BJ756">
        <f>IFERROR(INDEX(PP_Grid[#Data],$DE756,59),0)</f>
        <v/>
      </c>
      <c r="BK756">
        <f>IFERROR(INDEX(PP_Grid[#Data],$DE756,60),0)</f>
        <v/>
      </c>
      <c r="BL756">
        <f>IFERROR(INDEX(PP_Grid[#Data],$DE756,61),0)</f>
        <v/>
      </c>
      <c r="BM756">
        <f>IFERROR(INDEX(PP_Grid[#Data],$DE756,62),0)</f>
        <v/>
      </c>
      <c r="BN756">
        <f>IFERROR(INDEX(PP_Grid[#Data],$DE756,63),0)</f>
        <v/>
      </c>
      <c r="BO756">
        <f>IFERROR(INDEX(PP_Grid[#Data],$DE756,64),0)</f>
        <v/>
      </c>
      <c r="BP756">
        <f>IFERROR(INDEX(PP_Grid[#Data],$DE756,65),0)</f>
        <v/>
      </c>
      <c r="BQ756">
        <f>IFERROR(INDEX(PP_Grid[#Data],$DE756,66),0)</f>
        <v/>
      </c>
      <c r="BR756">
        <f>IFERROR(INDEX(PP_Grid[#Data],$DE756,67),0)</f>
        <v/>
      </c>
      <c r="BS756">
        <f>IFERROR(INDEX(PP_Grid[#Data],$DE756,68),0)</f>
        <v/>
      </c>
      <c r="BT756">
        <f>IFERROR(INDEX(PP_Grid[#Data],$DE756,69),0)</f>
        <v/>
      </c>
      <c r="BU756">
        <f>IFERROR(INDEX(PP_Grid[#Data],$DE756,70),0)</f>
        <v/>
      </c>
      <c r="BV756">
        <f>IFERROR(INDEX(PP_Grid[#Data],$DE756,71),0)</f>
        <v/>
      </c>
      <c r="BW756">
        <f>IFERROR(INDEX(PP_Grid[#Data],$DE756,72),0)</f>
        <v/>
      </c>
      <c r="BX756">
        <f>IFERROR(INDEX(PP_Grid[#Data],$DE756,73),0)</f>
        <v/>
      </c>
      <c r="BY756">
        <f>IFERROR(INDEX(PP_Grid[#Data],$DE756,74),0)</f>
        <v/>
      </c>
      <c r="BZ756">
        <f>IFERROR(INDEX(PP_Grid[#Data],$DE756,75),0)</f>
        <v/>
      </c>
      <c r="CA756">
        <f>IFERROR(INDEX(PP_Grid[#Data],$DE756,76),0)</f>
        <v/>
      </c>
      <c r="CB756">
        <f>IFERROR(INDEX(PP_Grid[#Data],$DE756,77),0)</f>
        <v/>
      </c>
      <c r="CC756">
        <f>IFERROR(INDEX(PP_Grid[#Data],$DE756,78),0)</f>
        <v/>
      </c>
      <c r="CD756">
        <f>IFERROR(INDEX(PP_Grid[#Data],$DE756,79),0)</f>
        <v/>
      </c>
      <c r="CE756">
        <f>IFERROR(INDEX(PP_Grid[#Data],$DE756,80),0)</f>
        <v/>
      </c>
      <c r="CF756">
        <f>IFERROR(INDEX(PP_Grid[#Data],$DE756,81),0)</f>
        <v/>
      </c>
      <c r="CG756">
        <f>IFERROR(INDEX(PP_Grid[#Data],$DE756,82),0)</f>
        <v/>
      </c>
      <c r="CH756">
        <f>IFERROR(INDEX(PP_Grid[#Data],$DE756,83),0)</f>
        <v/>
      </c>
      <c r="CI756">
        <f>IFERROR(INDEX(PP_Grid[#Data],$DE756,84),0)</f>
        <v/>
      </c>
      <c r="CJ756">
        <f>IFERROR(INDEX(PP_Grid[#Data],$DE756,85),0)</f>
        <v/>
      </c>
      <c r="CK756">
        <f>IFERROR(INDEX(PP_Grid[#Data],$DE756,86),0)</f>
        <v/>
      </c>
      <c r="CL756">
        <f>IFERROR(INDEX(PP_Grid[#Data],$DE756,87),0)</f>
        <v/>
      </c>
      <c r="CM756">
        <f>IFERROR(INDEX(PP_Grid[#Data],$DE756,88),0)</f>
        <v/>
      </c>
      <c r="CN756">
        <f>IFERROR(INDEX(PP_Grid[#Data],$DE756,89),0)</f>
        <v/>
      </c>
      <c r="CO756">
        <f>IFERROR(INDEX(PP_Grid[#Data],$DE756,90),0)</f>
        <v/>
      </c>
      <c r="CP756">
        <f>IFERROR(INDEX(PP_Grid[#Data],$DE756,91),0)</f>
        <v/>
      </c>
      <c r="CQ756">
        <f>IFERROR(INDEX(PP_Grid[#Data],$DE756,92),0)</f>
        <v/>
      </c>
      <c r="CR756">
        <f>IFERROR(INDEX(PP_Grid[#Data],$DE756,93),0)</f>
        <v/>
      </c>
      <c r="CS756">
        <f>IFERROR(INDEX(PP_Grid[#Data],$DE756,94),0)</f>
        <v/>
      </c>
      <c r="CT756">
        <f>IFERROR(INDEX(PP_Grid[#Data],$DE756,95),0)</f>
        <v/>
      </c>
      <c r="CU756">
        <f>IFERROR(INDEX(PP_Grid[#Data],$DE756,96),0)</f>
        <v/>
      </c>
      <c r="CV756">
        <f>IFERROR(INDEX(PP_Grid[#Data],$DE756,97),0)</f>
        <v/>
      </c>
      <c r="CW756">
        <f>IFERROR(INDEX(PP_Grid[#Data],$DE756,98),0)</f>
        <v/>
      </c>
      <c r="CX756">
        <f>IFERROR(INDEX(PP_Grid[#Data],$DE756,99),0)</f>
        <v/>
      </c>
      <c r="CY756">
        <f>IFERROR(INDEX(PP_Grid[#Data],$DE756,100),0)</f>
        <v/>
      </c>
      <c r="CZ756">
        <f>IFERROR(INDEX(PP_Grid[#Data],$DE756,101),0)</f>
        <v/>
      </c>
      <c r="DA756">
        <f>IFERROR(INDEX(PP_Grid[#Data],$DE756,102),0)</f>
        <v/>
      </c>
      <c r="DB756">
        <f>IFERROR(INDEX(PP_Grid[#Data],$DE756,103),0)</f>
        <v/>
      </c>
      <c r="DC756">
        <f>IFERROR(INDEX(PP_Grid[#Data],$DE756,104),0)</f>
        <v/>
      </c>
      <c r="DD756">
        <f>IFERROR(INDEX(PP_Grid[#Data],$DE756,105),0)</f>
        <v/>
      </c>
      <c r="DE756" s="7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SUMIFS(M_BOM[RM_Qty_Per_Batch],M_BOM[Intermediate],$B756,M_BOM[RM_Code],$A745)</f>
        <v/>
      </c>
      <c r="D757">
        <f>IFERROR(INDEX(E757:DD757,$F$1),"")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  <c r="DD757">
        <f>$C757*DD756</f>
        <v/>
      </c>
    </row>
    <row r="758">
      <c r="B758" t="inlineStr">
        <is>
          <t>TSP-558</t>
        </is>
      </c>
      <c r="C758" t="inlineStr">
        <is>
          <t>No. of batches</t>
        </is>
      </c>
      <c r="D758">
        <f>IFERROR(INDEX(E758:DD758,$F$1),"")</f>
        <v/>
      </c>
      <c r="E758">
        <f>IFERROR(INDEX(PP_Grid[#Data],$DE758,2),0)</f>
        <v/>
      </c>
      <c r="F758">
        <f>IFERROR(INDEX(PP_Grid[#Data],$DE758,3),0)</f>
        <v/>
      </c>
      <c r="G758">
        <f>IFERROR(INDEX(PP_Grid[#Data],$DE758,4),0)</f>
        <v/>
      </c>
      <c r="H758">
        <f>IFERROR(INDEX(PP_Grid[#Data],$DE758,5),0)</f>
        <v/>
      </c>
      <c r="I758">
        <f>IFERROR(INDEX(PP_Grid[#Data],$DE758,6),0)</f>
        <v/>
      </c>
      <c r="J758">
        <f>IFERROR(INDEX(PP_Grid[#Data],$DE758,7),0)</f>
        <v/>
      </c>
      <c r="K758">
        <f>IFERROR(INDEX(PP_Grid[#Data],$DE758,8),0)</f>
        <v/>
      </c>
      <c r="L758">
        <f>IFERROR(INDEX(PP_Grid[#Data],$DE758,9),0)</f>
        <v/>
      </c>
      <c r="M758">
        <f>IFERROR(INDEX(PP_Grid[#Data],$DE758,10),0)</f>
        <v/>
      </c>
      <c r="N758">
        <f>IFERROR(INDEX(PP_Grid[#Data],$DE758,11),0)</f>
        <v/>
      </c>
      <c r="O758">
        <f>IFERROR(INDEX(PP_Grid[#Data],$DE758,12),0)</f>
        <v/>
      </c>
      <c r="P758">
        <f>IFERROR(INDEX(PP_Grid[#Data],$DE758,13),0)</f>
        <v/>
      </c>
      <c r="Q758">
        <f>IFERROR(INDEX(PP_Grid[#Data],$DE758,14),0)</f>
        <v/>
      </c>
      <c r="R758">
        <f>IFERROR(INDEX(PP_Grid[#Data],$DE758,15),0)</f>
        <v/>
      </c>
      <c r="S758">
        <f>IFERROR(INDEX(PP_Grid[#Data],$DE758,16),0)</f>
        <v/>
      </c>
      <c r="T758">
        <f>IFERROR(INDEX(PP_Grid[#Data],$DE758,17),0)</f>
        <v/>
      </c>
      <c r="U758">
        <f>IFERROR(INDEX(PP_Grid[#Data],$DE758,18),0)</f>
        <v/>
      </c>
      <c r="V758">
        <f>IFERROR(INDEX(PP_Grid[#Data],$DE758,19),0)</f>
        <v/>
      </c>
      <c r="W758">
        <f>IFERROR(INDEX(PP_Grid[#Data],$DE758,20),0)</f>
        <v/>
      </c>
      <c r="X758">
        <f>IFERROR(INDEX(PP_Grid[#Data],$DE758,21),0)</f>
        <v/>
      </c>
      <c r="Y758">
        <f>IFERROR(INDEX(PP_Grid[#Data],$DE758,22),0)</f>
        <v/>
      </c>
      <c r="Z758">
        <f>IFERROR(INDEX(PP_Grid[#Data],$DE758,23),0)</f>
        <v/>
      </c>
      <c r="AA758">
        <f>IFERROR(INDEX(PP_Grid[#Data],$DE758,24),0)</f>
        <v/>
      </c>
      <c r="AB758">
        <f>IFERROR(INDEX(PP_Grid[#Data],$DE758,25),0)</f>
        <v/>
      </c>
      <c r="AC758">
        <f>IFERROR(INDEX(PP_Grid[#Data],$DE758,26),0)</f>
        <v/>
      </c>
      <c r="AD758">
        <f>IFERROR(INDEX(PP_Grid[#Data],$DE758,27),0)</f>
        <v/>
      </c>
      <c r="AE758">
        <f>IFERROR(INDEX(PP_Grid[#Data],$DE758,28),0)</f>
        <v/>
      </c>
      <c r="AF758">
        <f>IFERROR(INDEX(PP_Grid[#Data],$DE758,29),0)</f>
        <v/>
      </c>
      <c r="AG758">
        <f>IFERROR(INDEX(PP_Grid[#Data],$DE758,30),0)</f>
        <v/>
      </c>
      <c r="AH758">
        <f>IFERROR(INDEX(PP_Grid[#Data],$DE758,31),0)</f>
        <v/>
      </c>
      <c r="AI758">
        <f>IFERROR(INDEX(PP_Grid[#Data],$DE758,32),0)</f>
        <v/>
      </c>
      <c r="AJ758">
        <f>IFERROR(INDEX(PP_Grid[#Data],$DE758,33),0)</f>
        <v/>
      </c>
      <c r="AK758">
        <f>IFERROR(INDEX(PP_Grid[#Data],$DE758,34),0)</f>
        <v/>
      </c>
      <c r="AL758">
        <f>IFERROR(INDEX(PP_Grid[#Data],$DE758,35),0)</f>
        <v/>
      </c>
      <c r="AM758">
        <f>IFERROR(INDEX(PP_Grid[#Data],$DE758,36),0)</f>
        <v/>
      </c>
      <c r="AN758">
        <f>IFERROR(INDEX(PP_Grid[#Data],$DE758,37),0)</f>
        <v/>
      </c>
      <c r="AO758">
        <f>IFERROR(INDEX(PP_Grid[#Data],$DE758,38),0)</f>
        <v/>
      </c>
      <c r="AP758">
        <f>IFERROR(INDEX(PP_Grid[#Data],$DE758,39),0)</f>
        <v/>
      </c>
      <c r="AQ758">
        <f>IFERROR(INDEX(PP_Grid[#Data],$DE758,40),0)</f>
        <v/>
      </c>
      <c r="AR758">
        <f>IFERROR(INDEX(PP_Grid[#Data],$DE758,41),0)</f>
        <v/>
      </c>
      <c r="AS758">
        <f>IFERROR(INDEX(PP_Grid[#Data],$DE758,42),0)</f>
        <v/>
      </c>
      <c r="AT758">
        <f>IFERROR(INDEX(PP_Grid[#Data],$DE758,43),0)</f>
        <v/>
      </c>
      <c r="AU758">
        <f>IFERROR(INDEX(PP_Grid[#Data],$DE758,44),0)</f>
        <v/>
      </c>
      <c r="AV758">
        <f>IFERROR(INDEX(PP_Grid[#Data],$DE758,45),0)</f>
        <v/>
      </c>
      <c r="AW758">
        <f>IFERROR(INDEX(PP_Grid[#Data],$DE758,46),0)</f>
        <v/>
      </c>
      <c r="AX758">
        <f>IFERROR(INDEX(PP_Grid[#Data],$DE758,47),0)</f>
        <v/>
      </c>
      <c r="AY758">
        <f>IFERROR(INDEX(PP_Grid[#Data],$DE758,48),0)</f>
        <v/>
      </c>
      <c r="AZ758">
        <f>IFERROR(INDEX(PP_Grid[#Data],$DE758,49),0)</f>
        <v/>
      </c>
      <c r="BA758">
        <f>IFERROR(INDEX(PP_Grid[#Data],$DE758,50),0)</f>
        <v/>
      </c>
      <c r="BB758">
        <f>IFERROR(INDEX(PP_Grid[#Data],$DE758,51),0)</f>
        <v/>
      </c>
      <c r="BC758">
        <f>IFERROR(INDEX(PP_Grid[#Data],$DE758,52),0)</f>
        <v/>
      </c>
      <c r="BD758">
        <f>IFERROR(INDEX(PP_Grid[#Data],$DE758,53),0)</f>
        <v/>
      </c>
      <c r="BE758">
        <f>IFERROR(INDEX(PP_Grid[#Data],$DE758,54),0)</f>
        <v/>
      </c>
      <c r="BF758">
        <f>IFERROR(INDEX(PP_Grid[#Data],$DE758,55),0)</f>
        <v/>
      </c>
      <c r="BG758">
        <f>IFERROR(INDEX(PP_Grid[#Data],$DE758,56),0)</f>
        <v/>
      </c>
      <c r="BH758">
        <f>IFERROR(INDEX(PP_Grid[#Data],$DE758,57),0)</f>
        <v/>
      </c>
      <c r="BI758">
        <f>IFERROR(INDEX(PP_Grid[#Data],$DE758,58),0)</f>
        <v/>
      </c>
      <c r="BJ758">
        <f>IFERROR(INDEX(PP_Grid[#Data],$DE758,59),0)</f>
        <v/>
      </c>
      <c r="BK758">
        <f>IFERROR(INDEX(PP_Grid[#Data],$DE758,60),0)</f>
        <v/>
      </c>
      <c r="BL758">
        <f>IFERROR(INDEX(PP_Grid[#Data],$DE758,61),0)</f>
        <v/>
      </c>
      <c r="BM758">
        <f>IFERROR(INDEX(PP_Grid[#Data],$DE758,62),0)</f>
        <v/>
      </c>
      <c r="BN758">
        <f>IFERROR(INDEX(PP_Grid[#Data],$DE758,63),0)</f>
        <v/>
      </c>
      <c r="BO758">
        <f>IFERROR(INDEX(PP_Grid[#Data],$DE758,64),0)</f>
        <v/>
      </c>
      <c r="BP758">
        <f>IFERROR(INDEX(PP_Grid[#Data],$DE758,65),0)</f>
        <v/>
      </c>
      <c r="BQ758">
        <f>IFERROR(INDEX(PP_Grid[#Data],$DE758,66),0)</f>
        <v/>
      </c>
      <c r="BR758">
        <f>IFERROR(INDEX(PP_Grid[#Data],$DE758,67),0)</f>
        <v/>
      </c>
      <c r="BS758">
        <f>IFERROR(INDEX(PP_Grid[#Data],$DE758,68),0)</f>
        <v/>
      </c>
      <c r="BT758">
        <f>IFERROR(INDEX(PP_Grid[#Data],$DE758,69),0)</f>
        <v/>
      </c>
      <c r="BU758">
        <f>IFERROR(INDEX(PP_Grid[#Data],$DE758,70),0)</f>
        <v/>
      </c>
      <c r="BV758">
        <f>IFERROR(INDEX(PP_Grid[#Data],$DE758,71),0)</f>
        <v/>
      </c>
      <c r="BW758">
        <f>IFERROR(INDEX(PP_Grid[#Data],$DE758,72),0)</f>
        <v/>
      </c>
      <c r="BX758">
        <f>IFERROR(INDEX(PP_Grid[#Data],$DE758,73),0)</f>
        <v/>
      </c>
      <c r="BY758">
        <f>IFERROR(INDEX(PP_Grid[#Data],$DE758,74),0)</f>
        <v/>
      </c>
      <c r="BZ758">
        <f>IFERROR(INDEX(PP_Grid[#Data],$DE758,75),0)</f>
        <v/>
      </c>
      <c r="CA758">
        <f>IFERROR(INDEX(PP_Grid[#Data],$DE758,76),0)</f>
        <v/>
      </c>
      <c r="CB758">
        <f>IFERROR(INDEX(PP_Grid[#Data],$DE758,77),0)</f>
        <v/>
      </c>
      <c r="CC758">
        <f>IFERROR(INDEX(PP_Grid[#Data],$DE758,78),0)</f>
        <v/>
      </c>
      <c r="CD758">
        <f>IFERROR(INDEX(PP_Grid[#Data],$DE758,79),0)</f>
        <v/>
      </c>
      <c r="CE758">
        <f>IFERROR(INDEX(PP_Grid[#Data],$DE758,80),0)</f>
        <v/>
      </c>
      <c r="CF758">
        <f>IFERROR(INDEX(PP_Grid[#Data],$DE758,81),0)</f>
        <v/>
      </c>
      <c r="CG758">
        <f>IFERROR(INDEX(PP_Grid[#Data],$DE758,82),0)</f>
        <v/>
      </c>
      <c r="CH758">
        <f>IFERROR(INDEX(PP_Grid[#Data],$DE758,83),0)</f>
        <v/>
      </c>
      <c r="CI758">
        <f>IFERROR(INDEX(PP_Grid[#Data],$DE758,84),0)</f>
        <v/>
      </c>
      <c r="CJ758">
        <f>IFERROR(INDEX(PP_Grid[#Data],$DE758,85),0)</f>
        <v/>
      </c>
      <c r="CK758">
        <f>IFERROR(INDEX(PP_Grid[#Data],$DE758,86),0)</f>
        <v/>
      </c>
      <c r="CL758">
        <f>IFERROR(INDEX(PP_Grid[#Data],$DE758,87),0)</f>
        <v/>
      </c>
      <c r="CM758">
        <f>IFERROR(INDEX(PP_Grid[#Data],$DE758,88),0)</f>
        <v/>
      </c>
      <c r="CN758">
        <f>IFERROR(INDEX(PP_Grid[#Data],$DE758,89),0)</f>
        <v/>
      </c>
      <c r="CO758">
        <f>IFERROR(INDEX(PP_Grid[#Data],$DE758,90),0)</f>
        <v/>
      </c>
      <c r="CP758">
        <f>IFERROR(INDEX(PP_Grid[#Data],$DE758,91),0)</f>
        <v/>
      </c>
      <c r="CQ758">
        <f>IFERROR(INDEX(PP_Grid[#Data],$DE758,92),0)</f>
        <v/>
      </c>
      <c r="CR758">
        <f>IFERROR(INDEX(PP_Grid[#Data],$DE758,93),0)</f>
        <v/>
      </c>
      <c r="CS758">
        <f>IFERROR(INDEX(PP_Grid[#Data],$DE758,94),0)</f>
        <v/>
      </c>
      <c r="CT758">
        <f>IFERROR(INDEX(PP_Grid[#Data],$DE758,95),0)</f>
        <v/>
      </c>
      <c r="CU758">
        <f>IFERROR(INDEX(PP_Grid[#Data],$DE758,96),0)</f>
        <v/>
      </c>
      <c r="CV758">
        <f>IFERROR(INDEX(PP_Grid[#Data],$DE758,97),0)</f>
        <v/>
      </c>
      <c r="CW758">
        <f>IFERROR(INDEX(PP_Grid[#Data],$DE758,98),0)</f>
        <v/>
      </c>
      <c r="CX758">
        <f>IFERROR(INDEX(PP_Grid[#Data],$DE758,99),0)</f>
        <v/>
      </c>
      <c r="CY758">
        <f>IFERROR(INDEX(PP_Grid[#Data],$DE758,100),0)</f>
        <v/>
      </c>
      <c r="CZ758">
        <f>IFERROR(INDEX(PP_Grid[#Data],$DE758,101),0)</f>
        <v/>
      </c>
      <c r="DA758">
        <f>IFERROR(INDEX(PP_Grid[#Data],$DE758,102),0)</f>
        <v/>
      </c>
      <c r="DB758">
        <f>IFERROR(INDEX(PP_Grid[#Data],$DE758,103),0)</f>
        <v/>
      </c>
      <c r="DC758">
        <f>IFERROR(INDEX(PP_Grid[#Data],$DE758,104),0)</f>
        <v/>
      </c>
      <c r="DD758">
        <f>IFERROR(INDEX(PP_Grid[#Data],$DE758,105),0)</f>
        <v/>
      </c>
      <c r="DE758" s="7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SUMIFS(M_BOM[RM_Qty_Per_Batch],M_BOM[Intermediate],$B758,M_BOM[RM_Code],$A745)</f>
        <v/>
      </c>
      <c r="D759">
        <f>IFERROR(INDEX(E759:DD759,$F$1),"")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  <c r="DD759">
        <f>$C759*DD758</f>
        <v/>
      </c>
    </row>
    <row r="760">
      <c r="B760" t="inlineStr">
        <is>
          <t>TSP-618</t>
        </is>
      </c>
      <c r="C760" t="inlineStr">
        <is>
          <t>No. of batches</t>
        </is>
      </c>
      <c r="D760">
        <f>IFERROR(INDEX(E760:DD760,$F$1),"")</f>
        <v/>
      </c>
      <c r="E760">
        <f>IFERROR(INDEX(PP_Grid[#Data],$DE760,2),0)</f>
        <v/>
      </c>
      <c r="F760">
        <f>IFERROR(INDEX(PP_Grid[#Data],$DE760,3),0)</f>
        <v/>
      </c>
      <c r="G760">
        <f>IFERROR(INDEX(PP_Grid[#Data],$DE760,4),0)</f>
        <v/>
      </c>
      <c r="H760">
        <f>IFERROR(INDEX(PP_Grid[#Data],$DE760,5),0)</f>
        <v/>
      </c>
      <c r="I760">
        <f>IFERROR(INDEX(PP_Grid[#Data],$DE760,6),0)</f>
        <v/>
      </c>
      <c r="J760">
        <f>IFERROR(INDEX(PP_Grid[#Data],$DE760,7),0)</f>
        <v/>
      </c>
      <c r="K760">
        <f>IFERROR(INDEX(PP_Grid[#Data],$DE760,8),0)</f>
        <v/>
      </c>
      <c r="L760">
        <f>IFERROR(INDEX(PP_Grid[#Data],$DE760,9),0)</f>
        <v/>
      </c>
      <c r="M760">
        <f>IFERROR(INDEX(PP_Grid[#Data],$DE760,10),0)</f>
        <v/>
      </c>
      <c r="N760">
        <f>IFERROR(INDEX(PP_Grid[#Data],$DE760,11),0)</f>
        <v/>
      </c>
      <c r="O760">
        <f>IFERROR(INDEX(PP_Grid[#Data],$DE760,12),0)</f>
        <v/>
      </c>
      <c r="P760">
        <f>IFERROR(INDEX(PP_Grid[#Data],$DE760,13),0)</f>
        <v/>
      </c>
      <c r="Q760">
        <f>IFERROR(INDEX(PP_Grid[#Data],$DE760,14),0)</f>
        <v/>
      </c>
      <c r="R760">
        <f>IFERROR(INDEX(PP_Grid[#Data],$DE760,15),0)</f>
        <v/>
      </c>
      <c r="S760">
        <f>IFERROR(INDEX(PP_Grid[#Data],$DE760,16),0)</f>
        <v/>
      </c>
      <c r="T760">
        <f>IFERROR(INDEX(PP_Grid[#Data],$DE760,17),0)</f>
        <v/>
      </c>
      <c r="U760">
        <f>IFERROR(INDEX(PP_Grid[#Data],$DE760,18),0)</f>
        <v/>
      </c>
      <c r="V760">
        <f>IFERROR(INDEX(PP_Grid[#Data],$DE760,19),0)</f>
        <v/>
      </c>
      <c r="W760">
        <f>IFERROR(INDEX(PP_Grid[#Data],$DE760,20),0)</f>
        <v/>
      </c>
      <c r="X760">
        <f>IFERROR(INDEX(PP_Grid[#Data],$DE760,21),0)</f>
        <v/>
      </c>
      <c r="Y760">
        <f>IFERROR(INDEX(PP_Grid[#Data],$DE760,22),0)</f>
        <v/>
      </c>
      <c r="Z760">
        <f>IFERROR(INDEX(PP_Grid[#Data],$DE760,23),0)</f>
        <v/>
      </c>
      <c r="AA760">
        <f>IFERROR(INDEX(PP_Grid[#Data],$DE760,24),0)</f>
        <v/>
      </c>
      <c r="AB760">
        <f>IFERROR(INDEX(PP_Grid[#Data],$DE760,25),0)</f>
        <v/>
      </c>
      <c r="AC760">
        <f>IFERROR(INDEX(PP_Grid[#Data],$DE760,26),0)</f>
        <v/>
      </c>
      <c r="AD760">
        <f>IFERROR(INDEX(PP_Grid[#Data],$DE760,27),0)</f>
        <v/>
      </c>
      <c r="AE760">
        <f>IFERROR(INDEX(PP_Grid[#Data],$DE760,28),0)</f>
        <v/>
      </c>
      <c r="AF760">
        <f>IFERROR(INDEX(PP_Grid[#Data],$DE760,29),0)</f>
        <v/>
      </c>
      <c r="AG760">
        <f>IFERROR(INDEX(PP_Grid[#Data],$DE760,30),0)</f>
        <v/>
      </c>
      <c r="AH760">
        <f>IFERROR(INDEX(PP_Grid[#Data],$DE760,31),0)</f>
        <v/>
      </c>
      <c r="AI760">
        <f>IFERROR(INDEX(PP_Grid[#Data],$DE760,32),0)</f>
        <v/>
      </c>
      <c r="AJ760">
        <f>IFERROR(INDEX(PP_Grid[#Data],$DE760,33),0)</f>
        <v/>
      </c>
      <c r="AK760">
        <f>IFERROR(INDEX(PP_Grid[#Data],$DE760,34),0)</f>
        <v/>
      </c>
      <c r="AL760">
        <f>IFERROR(INDEX(PP_Grid[#Data],$DE760,35),0)</f>
        <v/>
      </c>
      <c r="AM760">
        <f>IFERROR(INDEX(PP_Grid[#Data],$DE760,36),0)</f>
        <v/>
      </c>
      <c r="AN760">
        <f>IFERROR(INDEX(PP_Grid[#Data],$DE760,37),0)</f>
        <v/>
      </c>
      <c r="AO760">
        <f>IFERROR(INDEX(PP_Grid[#Data],$DE760,38),0)</f>
        <v/>
      </c>
      <c r="AP760">
        <f>IFERROR(INDEX(PP_Grid[#Data],$DE760,39),0)</f>
        <v/>
      </c>
      <c r="AQ760">
        <f>IFERROR(INDEX(PP_Grid[#Data],$DE760,40),0)</f>
        <v/>
      </c>
      <c r="AR760">
        <f>IFERROR(INDEX(PP_Grid[#Data],$DE760,41),0)</f>
        <v/>
      </c>
      <c r="AS760">
        <f>IFERROR(INDEX(PP_Grid[#Data],$DE760,42),0)</f>
        <v/>
      </c>
      <c r="AT760">
        <f>IFERROR(INDEX(PP_Grid[#Data],$DE760,43),0)</f>
        <v/>
      </c>
      <c r="AU760">
        <f>IFERROR(INDEX(PP_Grid[#Data],$DE760,44),0)</f>
        <v/>
      </c>
      <c r="AV760">
        <f>IFERROR(INDEX(PP_Grid[#Data],$DE760,45),0)</f>
        <v/>
      </c>
      <c r="AW760">
        <f>IFERROR(INDEX(PP_Grid[#Data],$DE760,46),0)</f>
        <v/>
      </c>
      <c r="AX760">
        <f>IFERROR(INDEX(PP_Grid[#Data],$DE760,47),0)</f>
        <v/>
      </c>
      <c r="AY760">
        <f>IFERROR(INDEX(PP_Grid[#Data],$DE760,48),0)</f>
        <v/>
      </c>
      <c r="AZ760">
        <f>IFERROR(INDEX(PP_Grid[#Data],$DE760,49),0)</f>
        <v/>
      </c>
      <c r="BA760">
        <f>IFERROR(INDEX(PP_Grid[#Data],$DE760,50),0)</f>
        <v/>
      </c>
      <c r="BB760">
        <f>IFERROR(INDEX(PP_Grid[#Data],$DE760,51),0)</f>
        <v/>
      </c>
      <c r="BC760">
        <f>IFERROR(INDEX(PP_Grid[#Data],$DE760,52),0)</f>
        <v/>
      </c>
      <c r="BD760">
        <f>IFERROR(INDEX(PP_Grid[#Data],$DE760,53),0)</f>
        <v/>
      </c>
      <c r="BE760">
        <f>IFERROR(INDEX(PP_Grid[#Data],$DE760,54),0)</f>
        <v/>
      </c>
      <c r="BF760">
        <f>IFERROR(INDEX(PP_Grid[#Data],$DE760,55),0)</f>
        <v/>
      </c>
      <c r="BG760">
        <f>IFERROR(INDEX(PP_Grid[#Data],$DE760,56),0)</f>
        <v/>
      </c>
      <c r="BH760">
        <f>IFERROR(INDEX(PP_Grid[#Data],$DE760,57),0)</f>
        <v/>
      </c>
      <c r="BI760">
        <f>IFERROR(INDEX(PP_Grid[#Data],$DE760,58),0)</f>
        <v/>
      </c>
      <c r="BJ760">
        <f>IFERROR(INDEX(PP_Grid[#Data],$DE760,59),0)</f>
        <v/>
      </c>
      <c r="BK760">
        <f>IFERROR(INDEX(PP_Grid[#Data],$DE760,60),0)</f>
        <v/>
      </c>
      <c r="BL760">
        <f>IFERROR(INDEX(PP_Grid[#Data],$DE760,61),0)</f>
        <v/>
      </c>
      <c r="BM760">
        <f>IFERROR(INDEX(PP_Grid[#Data],$DE760,62),0)</f>
        <v/>
      </c>
      <c r="BN760">
        <f>IFERROR(INDEX(PP_Grid[#Data],$DE760,63),0)</f>
        <v/>
      </c>
      <c r="BO760">
        <f>IFERROR(INDEX(PP_Grid[#Data],$DE760,64),0)</f>
        <v/>
      </c>
      <c r="BP760">
        <f>IFERROR(INDEX(PP_Grid[#Data],$DE760,65),0)</f>
        <v/>
      </c>
      <c r="BQ760">
        <f>IFERROR(INDEX(PP_Grid[#Data],$DE760,66),0)</f>
        <v/>
      </c>
      <c r="BR760">
        <f>IFERROR(INDEX(PP_Grid[#Data],$DE760,67),0)</f>
        <v/>
      </c>
      <c r="BS760">
        <f>IFERROR(INDEX(PP_Grid[#Data],$DE760,68),0)</f>
        <v/>
      </c>
      <c r="BT760">
        <f>IFERROR(INDEX(PP_Grid[#Data],$DE760,69),0)</f>
        <v/>
      </c>
      <c r="BU760">
        <f>IFERROR(INDEX(PP_Grid[#Data],$DE760,70),0)</f>
        <v/>
      </c>
      <c r="BV760">
        <f>IFERROR(INDEX(PP_Grid[#Data],$DE760,71),0)</f>
        <v/>
      </c>
      <c r="BW760">
        <f>IFERROR(INDEX(PP_Grid[#Data],$DE760,72),0)</f>
        <v/>
      </c>
      <c r="BX760">
        <f>IFERROR(INDEX(PP_Grid[#Data],$DE760,73),0)</f>
        <v/>
      </c>
      <c r="BY760">
        <f>IFERROR(INDEX(PP_Grid[#Data],$DE760,74),0)</f>
        <v/>
      </c>
      <c r="BZ760">
        <f>IFERROR(INDEX(PP_Grid[#Data],$DE760,75),0)</f>
        <v/>
      </c>
      <c r="CA760">
        <f>IFERROR(INDEX(PP_Grid[#Data],$DE760,76),0)</f>
        <v/>
      </c>
      <c r="CB760">
        <f>IFERROR(INDEX(PP_Grid[#Data],$DE760,77),0)</f>
        <v/>
      </c>
      <c r="CC760">
        <f>IFERROR(INDEX(PP_Grid[#Data],$DE760,78),0)</f>
        <v/>
      </c>
      <c r="CD760">
        <f>IFERROR(INDEX(PP_Grid[#Data],$DE760,79),0)</f>
        <v/>
      </c>
      <c r="CE760">
        <f>IFERROR(INDEX(PP_Grid[#Data],$DE760,80),0)</f>
        <v/>
      </c>
      <c r="CF760">
        <f>IFERROR(INDEX(PP_Grid[#Data],$DE760,81),0)</f>
        <v/>
      </c>
      <c r="CG760">
        <f>IFERROR(INDEX(PP_Grid[#Data],$DE760,82),0)</f>
        <v/>
      </c>
      <c r="CH760">
        <f>IFERROR(INDEX(PP_Grid[#Data],$DE760,83),0)</f>
        <v/>
      </c>
      <c r="CI760">
        <f>IFERROR(INDEX(PP_Grid[#Data],$DE760,84),0)</f>
        <v/>
      </c>
      <c r="CJ760">
        <f>IFERROR(INDEX(PP_Grid[#Data],$DE760,85),0)</f>
        <v/>
      </c>
      <c r="CK760">
        <f>IFERROR(INDEX(PP_Grid[#Data],$DE760,86),0)</f>
        <v/>
      </c>
      <c r="CL760">
        <f>IFERROR(INDEX(PP_Grid[#Data],$DE760,87),0)</f>
        <v/>
      </c>
      <c r="CM760">
        <f>IFERROR(INDEX(PP_Grid[#Data],$DE760,88),0)</f>
        <v/>
      </c>
      <c r="CN760">
        <f>IFERROR(INDEX(PP_Grid[#Data],$DE760,89),0)</f>
        <v/>
      </c>
      <c r="CO760">
        <f>IFERROR(INDEX(PP_Grid[#Data],$DE760,90),0)</f>
        <v/>
      </c>
      <c r="CP760">
        <f>IFERROR(INDEX(PP_Grid[#Data],$DE760,91),0)</f>
        <v/>
      </c>
      <c r="CQ760">
        <f>IFERROR(INDEX(PP_Grid[#Data],$DE760,92),0)</f>
        <v/>
      </c>
      <c r="CR760">
        <f>IFERROR(INDEX(PP_Grid[#Data],$DE760,93),0)</f>
        <v/>
      </c>
      <c r="CS760">
        <f>IFERROR(INDEX(PP_Grid[#Data],$DE760,94),0)</f>
        <v/>
      </c>
      <c r="CT760">
        <f>IFERROR(INDEX(PP_Grid[#Data],$DE760,95),0)</f>
        <v/>
      </c>
      <c r="CU760">
        <f>IFERROR(INDEX(PP_Grid[#Data],$DE760,96),0)</f>
        <v/>
      </c>
      <c r="CV760">
        <f>IFERROR(INDEX(PP_Grid[#Data],$DE760,97),0)</f>
        <v/>
      </c>
      <c r="CW760">
        <f>IFERROR(INDEX(PP_Grid[#Data],$DE760,98),0)</f>
        <v/>
      </c>
      <c r="CX760">
        <f>IFERROR(INDEX(PP_Grid[#Data],$DE760,99),0)</f>
        <v/>
      </c>
      <c r="CY760">
        <f>IFERROR(INDEX(PP_Grid[#Data],$DE760,100),0)</f>
        <v/>
      </c>
      <c r="CZ760">
        <f>IFERROR(INDEX(PP_Grid[#Data],$DE760,101),0)</f>
        <v/>
      </c>
      <c r="DA760">
        <f>IFERROR(INDEX(PP_Grid[#Data],$DE760,102),0)</f>
        <v/>
      </c>
      <c r="DB760">
        <f>IFERROR(INDEX(PP_Grid[#Data],$DE760,103),0)</f>
        <v/>
      </c>
      <c r="DC760">
        <f>IFERROR(INDEX(PP_Grid[#Data],$DE760,104),0)</f>
        <v/>
      </c>
      <c r="DD760">
        <f>IFERROR(INDEX(PP_Grid[#Data],$DE760,105),0)</f>
        <v/>
      </c>
      <c r="DE760" s="7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SUMIFS(M_BOM[RM_Qty_Per_Batch],M_BOM[Intermediate],$B760,M_BOM[RM_Code],$A745)</f>
        <v/>
      </c>
      <c r="D761">
        <f>IFERROR(INDEX(E761:DD761,$F$1),"")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  <c r="DD761">
        <f>$C761*DD760</f>
        <v/>
      </c>
    </row>
    <row r="762">
      <c r="B762" t="inlineStr">
        <is>
          <t>TSP-620</t>
        </is>
      </c>
      <c r="C762" t="inlineStr">
        <is>
          <t>No. of batches</t>
        </is>
      </c>
      <c r="D762">
        <f>IFERROR(INDEX(E762:DD762,$F$1),"")</f>
        <v/>
      </c>
      <c r="E762">
        <f>IFERROR(INDEX(PP_Grid[#Data],$DE762,2),0)</f>
        <v/>
      </c>
      <c r="F762">
        <f>IFERROR(INDEX(PP_Grid[#Data],$DE762,3),0)</f>
        <v/>
      </c>
      <c r="G762">
        <f>IFERROR(INDEX(PP_Grid[#Data],$DE762,4),0)</f>
        <v/>
      </c>
      <c r="H762">
        <f>IFERROR(INDEX(PP_Grid[#Data],$DE762,5),0)</f>
        <v/>
      </c>
      <c r="I762">
        <f>IFERROR(INDEX(PP_Grid[#Data],$DE762,6),0)</f>
        <v/>
      </c>
      <c r="J762">
        <f>IFERROR(INDEX(PP_Grid[#Data],$DE762,7),0)</f>
        <v/>
      </c>
      <c r="K762">
        <f>IFERROR(INDEX(PP_Grid[#Data],$DE762,8),0)</f>
        <v/>
      </c>
      <c r="L762">
        <f>IFERROR(INDEX(PP_Grid[#Data],$DE762,9),0)</f>
        <v/>
      </c>
      <c r="M762">
        <f>IFERROR(INDEX(PP_Grid[#Data],$DE762,10),0)</f>
        <v/>
      </c>
      <c r="N762">
        <f>IFERROR(INDEX(PP_Grid[#Data],$DE762,11),0)</f>
        <v/>
      </c>
      <c r="O762">
        <f>IFERROR(INDEX(PP_Grid[#Data],$DE762,12),0)</f>
        <v/>
      </c>
      <c r="P762">
        <f>IFERROR(INDEX(PP_Grid[#Data],$DE762,13),0)</f>
        <v/>
      </c>
      <c r="Q762">
        <f>IFERROR(INDEX(PP_Grid[#Data],$DE762,14),0)</f>
        <v/>
      </c>
      <c r="R762">
        <f>IFERROR(INDEX(PP_Grid[#Data],$DE762,15),0)</f>
        <v/>
      </c>
      <c r="S762">
        <f>IFERROR(INDEX(PP_Grid[#Data],$DE762,16),0)</f>
        <v/>
      </c>
      <c r="T762">
        <f>IFERROR(INDEX(PP_Grid[#Data],$DE762,17),0)</f>
        <v/>
      </c>
      <c r="U762">
        <f>IFERROR(INDEX(PP_Grid[#Data],$DE762,18),0)</f>
        <v/>
      </c>
      <c r="V762">
        <f>IFERROR(INDEX(PP_Grid[#Data],$DE762,19),0)</f>
        <v/>
      </c>
      <c r="W762">
        <f>IFERROR(INDEX(PP_Grid[#Data],$DE762,20),0)</f>
        <v/>
      </c>
      <c r="X762">
        <f>IFERROR(INDEX(PP_Grid[#Data],$DE762,21),0)</f>
        <v/>
      </c>
      <c r="Y762">
        <f>IFERROR(INDEX(PP_Grid[#Data],$DE762,22),0)</f>
        <v/>
      </c>
      <c r="Z762">
        <f>IFERROR(INDEX(PP_Grid[#Data],$DE762,23),0)</f>
        <v/>
      </c>
      <c r="AA762">
        <f>IFERROR(INDEX(PP_Grid[#Data],$DE762,24),0)</f>
        <v/>
      </c>
      <c r="AB762">
        <f>IFERROR(INDEX(PP_Grid[#Data],$DE762,25),0)</f>
        <v/>
      </c>
      <c r="AC762">
        <f>IFERROR(INDEX(PP_Grid[#Data],$DE762,26),0)</f>
        <v/>
      </c>
      <c r="AD762">
        <f>IFERROR(INDEX(PP_Grid[#Data],$DE762,27),0)</f>
        <v/>
      </c>
      <c r="AE762">
        <f>IFERROR(INDEX(PP_Grid[#Data],$DE762,28),0)</f>
        <v/>
      </c>
      <c r="AF762">
        <f>IFERROR(INDEX(PP_Grid[#Data],$DE762,29),0)</f>
        <v/>
      </c>
      <c r="AG762">
        <f>IFERROR(INDEX(PP_Grid[#Data],$DE762,30),0)</f>
        <v/>
      </c>
      <c r="AH762">
        <f>IFERROR(INDEX(PP_Grid[#Data],$DE762,31),0)</f>
        <v/>
      </c>
      <c r="AI762">
        <f>IFERROR(INDEX(PP_Grid[#Data],$DE762,32),0)</f>
        <v/>
      </c>
      <c r="AJ762">
        <f>IFERROR(INDEX(PP_Grid[#Data],$DE762,33),0)</f>
        <v/>
      </c>
      <c r="AK762">
        <f>IFERROR(INDEX(PP_Grid[#Data],$DE762,34),0)</f>
        <v/>
      </c>
      <c r="AL762">
        <f>IFERROR(INDEX(PP_Grid[#Data],$DE762,35),0)</f>
        <v/>
      </c>
      <c r="AM762">
        <f>IFERROR(INDEX(PP_Grid[#Data],$DE762,36),0)</f>
        <v/>
      </c>
      <c r="AN762">
        <f>IFERROR(INDEX(PP_Grid[#Data],$DE762,37),0)</f>
        <v/>
      </c>
      <c r="AO762">
        <f>IFERROR(INDEX(PP_Grid[#Data],$DE762,38),0)</f>
        <v/>
      </c>
      <c r="AP762">
        <f>IFERROR(INDEX(PP_Grid[#Data],$DE762,39),0)</f>
        <v/>
      </c>
      <c r="AQ762">
        <f>IFERROR(INDEX(PP_Grid[#Data],$DE762,40),0)</f>
        <v/>
      </c>
      <c r="AR762">
        <f>IFERROR(INDEX(PP_Grid[#Data],$DE762,41),0)</f>
        <v/>
      </c>
      <c r="AS762">
        <f>IFERROR(INDEX(PP_Grid[#Data],$DE762,42),0)</f>
        <v/>
      </c>
      <c r="AT762">
        <f>IFERROR(INDEX(PP_Grid[#Data],$DE762,43),0)</f>
        <v/>
      </c>
      <c r="AU762">
        <f>IFERROR(INDEX(PP_Grid[#Data],$DE762,44),0)</f>
        <v/>
      </c>
      <c r="AV762">
        <f>IFERROR(INDEX(PP_Grid[#Data],$DE762,45),0)</f>
        <v/>
      </c>
      <c r="AW762">
        <f>IFERROR(INDEX(PP_Grid[#Data],$DE762,46),0)</f>
        <v/>
      </c>
      <c r="AX762">
        <f>IFERROR(INDEX(PP_Grid[#Data],$DE762,47),0)</f>
        <v/>
      </c>
      <c r="AY762">
        <f>IFERROR(INDEX(PP_Grid[#Data],$DE762,48),0)</f>
        <v/>
      </c>
      <c r="AZ762">
        <f>IFERROR(INDEX(PP_Grid[#Data],$DE762,49),0)</f>
        <v/>
      </c>
      <c r="BA762">
        <f>IFERROR(INDEX(PP_Grid[#Data],$DE762,50),0)</f>
        <v/>
      </c>
      <c r="BB762">
        <f>IFERROR(INDEX(PP_Grid[#Data],$DE762,51),0)</f>
        <v/>
      </c>
      <c r="BC762">
        <f>IFERROR(INDEX(PP_Grid[#Data],$DE762,52),0)</f>
        <v/>
      </c>
      <c r="BD762">
        <f>IFERROR(INDEX(PP_Grid[#Data],$DE762,53),0)</f>
        <v/>
      </c>
      <c r="BE762">
        <f>IFERROR(INDEX(PP_Grid[#Data],$DE762,54),0)</f>
        <v/>
      </c>
      <c r="BF762">
        <f>IFERROR(INDEX(PP_Grid[#Data],$DE762,55),0)</f>
        <v/>
      </c>
      <c r="BG762">
        <f>IFERROR(INDEX(PP_Grid[#Data],$DE762,56),0)</f>
        <v/>
      </c>
      <c r="BH762">
        <f>IFERROR(INDEX(PP_Grid[#Data],$DE762,57),0)</f>
        <v/>
      </c>
      <c r="BI762">
        <f>IFERROR(INDEX(PP_Grid[#Data],$DE762,58),0)</f>
        <v/>
      </c>
      <c r="BJ762">
        <f>IFERROR(INDEX(PP_Grid[#Data],$DE762,59),0)</f>
        <v/>
      </c>
      <c r="BK762">
        <f>IFERROR(INDEX(PP_Grid[#Data],$DE762,60),0)</f>
        <v/>
      </c>
      <c r="BL762">
        <f>IFERROR(INDEX(PP_Grid[#Data],$DE762,61),0)</f>
        <v/>
      </c>
      <c r="BM762">
        <f>IFERROR(INDEX(PP_Grid[#Data],$DE762,62),0)</f>
        <v/>
      </c>
      <c r="BN762">
        <f>IFERROR(INDEX(PP_Grid[#Data],$DE762,63),0)</f>
        <v/>
      </c>
      <c r="BO762">
        <f>IFERROR(INDEX(PP_Grid[#Data],$DE762,64),0)</f>
        <v/>
      </c>
      <c r="BP762">
        <f>IFERROR(INDEX(PP_Grid[#Data],$DE762,65),0)</f>
        <v/>
      </c>
      <c r="BQ762">
        <f>IFERROR(INDEX(PP_Grid[#Data],$DE762,66),0)</f>
        <v/>
      </c>
      <c r="BR762">
        <f>IFERROR(INDEX(PP_Grid[#Data],$DE762,67),0)</f>
        <v/>
      </c>
      <c r="BS762">
        <f>IFERROR(INDEX(PP_Grid[#Data],$DE762,68),0)</f>
        <v/>
      </c>
      <c r="BT762">
        <f>IFERROR(INDEX(PP_Grid[#Data],$DE762,69),0)</f>
        <v/>
      </c>
      <c r="BU762">
        <f>IFERROR(INDEX(PP_Grid[#Data],$DE762,70),0)</f>
        <v/>
      </c>
      <c r="BV762">
        <f>IFERROR(INDEX(PP_Grid[#Data],$DE762,71),0)</f>
        <v/>
      </c>
      <c r="BW762">
        <f>IFERROR(INDEX(PP_Grid[#Data],$DE762,72),0)</f>
        <v/>
      </c>
      <c r="BX762">
        <f>IFERROR(INDEX(PP_Grid[#Data],$DE762,73),0)</f>
        <v/>
      </c>
      <c r="BY762">
        <f>IFERROR(INDEX(PP_Grid[#Data],$DE762,74),0)</f>
        <v/>
      </c>
      <c r="BZ762">
        <f>IFERROR(INDEX(PP_Grid[#Data],$DE762,75),0)</f>
        <v/>
      </c>
      <c r="CA762">
        <f>IFERROR(INDEX(PP_Grid[#Data],$DE762,76),0)</f>
        <v/>
      </c>
      <c r="CB762">
        <f>IFERROR(INDEX(PP_Grid[#Data],$DE762,77),0)</f>
        <v/>
      </c>
      <c r="CC762">
        <f>IFERROR(INDEX(PP_Grid[#Data],$DE762,78),0)</f>
        <v/>
      </c>
      <c r="CD762">
        <f>IFERROR(INDEX(PP_Grid[#Data],$DE762,79),0)</f>
        <v/>
      </c>
      <c r="CE762">
        <f>IFERROR(INDEX(PP_Grid[#Data],$DE762,80),0)</f>
        <v/>
      </c>
      <c r="CF762">
        <f>IFERROR(INDEX(PP_Grid[#Data],$DE762,81),0)</f>
        <v/>
      </c>
      <c r="CG762">
        <f>IFERROR(INDEX(PP_Grid[#Data],$DE762,82),0)</f>
        <v/>
      </c>
      <c r="CH762">
        <f>IFERROR(INDEX(PP_Grid[#Data],$DE762,83),0)</f>
        <v/>
      </c>
      <c r="CI762">
        <f>IFERROR(INDEX(PP_Grid[#Data],$DE762,84),0)</f>
        <v/>
      </c>
      <c r="CJ762">
        <f>IFERROR(INDEX(PP_Grid[#Data],$DE762,85),0)</f>
        <v/>
      </c>
      <c r="CK762">
        <f>IFERROR(INDEX(PP_Grid[#Data],$DE762,86),0)</f>
        <v/>
      </c>
      <c r="CL762">
        <f>IFERROR(INDEX(PP_Grid[#Data],$DE762,87),0)</f>
        <v/>
      </c>
      <c r="CM762">
        <f>IFERROR(INDEX(PP_Grid[#Data],$DE762,88),0)</f>
        <v/>
      </c>
      <c r="CN762">
        <f>IFERROR(INDEX(PP_Grid[#Data],$DE762,89),0)</f>
        <v/>
      </c>
      <c r="CO762">
        <f>IFERROR(INDEX(PP_Grid[#Data],$DE762,90),0)</f>
        <v/>
      </c>
      <c r="CP762">
        <f>IFERROR(INDEX(PP_Grid[#Data],$DE762,91),0)</f>
        <v/>
      </c>
      <c r="CQ762">
        <f>IFERROR(INDEX(PP_Grid[#Data],$DE762,92),0)</f>
        <v/>
      </c>
      <c r="CR762">
        <f>IFERROR(INDEX(PP_Grid[#Data],$DE762,93),0)</f>
        <v/>
      </c>
      <c r="CS762">
        <f>IFERROR(INDEX(PP_Grid[#Data],$DE762,94),0)</f>
        <v/>
      </c>
      <c r="CT762">
        <f>IFERROR(INDEX(PP_Grid[#Data],$DE762,95),0)</f>
        <v/>
      </c>
      <c r="CU762">
        <f>IFERROR(INDEX(PP_Grid[#Data],$DE762,96),0)</f>
        <v/>
      </c>
      <c r="CV762">
        <f>IFERROR(INDEX(PP_Grid[#Data],$DE762,97),0)</f>
        <v/>
      </c>
      <c r="CW762">
        <f>IFERROR(INDEX(PP_Grid[#Data],$DE762,98),0)</f>
        <v/>
      </c>
      <c r="CX762">
        <f>IFERROR(INDEX(PP_Grid[#Data],$DE762,99),0)</f>
        <v/>
      </c>
      <c r="CY762">
        <f>IFERROR(INDEX(PP_Grid[#Data],$DE762,100),0)</f>
        <v/>
      </c>
      <c r="CZ762">
        <f>IFERROR(INDEX(PP_Grid[#Data],$DE762,101),0)</f>
        <v/>
      </c>
      <c r="DA762">
        <f>IFERROR(INDEX(PP_Grid[#Data],$DE762,102),0)</f>
        <v/>
      </c>
      <c r="DB762">
        <f>IFERROR(INDEX(PP_Grid[#Data],$DE762,103),0)</f>
        <v/>
      </c>
      <c r="DC762">
        <f>IFERROR(INDEX(PP_Grid[#Data],$DE762,104),0)</f>
        <v/>
      </c>
      <c r="DD762">
        <f>IFERROR(INDEX(PP_Grid[#Data],$DE762,105),0)</f>
        <v/>
      </c>
      <c r="DE762" s="7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SUMIFS(M_BOM[RM_Qty_Per_Batch],M_BOM[Intermediate],$B762,M_BOM[RM_Code],$A745)</f>
        <v/>
      </c>
      <c r="D763">
        <f>IFERROR(INDEX(E763:DD763,$F$1),"")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  <c r="DD763">
        <f>$C763*DD762</f>
        <v/>
      </c>
    </row>
    <row r="764">
      <c r="B764" t="inlineStr">
        <is>
          <t>TSP-623</t>
        </is>
      </c>
      <c r="C764" t="inlineStr">
        <is>
          <t>No. of batches</t>
        </is>
      </c>
      <c r="D764">
        <f>IFERROR(INDEX(E764:DD764,$F$1),"")</f>
        <v/>
      </c>
      <c r="E764">
        <f>IFERROR(INDEX(PP_Grid[#Data],$DE764,2),0)</f>
        <v/>
      </c>
      <c r="F764">
        <f>IFERROR(INDEX(PP_Grid[#Data],$DE764,3),0)</f>
        <v/>
      </c>
      <c r="G764">
        <f>IFERROR(INDEX(PP_Grid[#Data],$DE764,4),0)</f>
        <v/>
      </c>
      <c r="H764">
        <f>IFERROR(INDEX(PP_Grid[#Data],$DE764,5),0)</f>
        <v/>
      </c>
      <c r="I764">
        <f>IFERROR(INDEX(PP_Grid[#Data],$DE764,6),0)</f>
        <v/>
      </c>
      <c r="J764">
        <f>IFERROR(INDEX(PP_Grid[#Data],$DE764,7),0)</f>
        <v/>
      </c>
      <c r="K764">
        <f>IFERROR(INDEX(PP_Grid[#Data],$DE764,8),0)</f>
        <v/>
      </c>
      <c r="L764">
        <f>IFERROR(INDEX(PP_Grid[#Data],$DE764,9),0)</f>
        <v/>
      </c>
      <c r="M764">
        <f>IFERROR(INDEX(PP_Grid[#Data],$DE764,10),0)</f>
        <v/>
      </c>
      <c r="N764">
        <f>IFERROR(INDEX(PP_Grid[#Data],$DE764,11),0)</f>
        <v/>
      </c>
      <c r="O764">
        <f>IFERROR(INDEX(PP_Grid[#Data],$DE764,12),0)</f>
        <v/>
      </c>
      <c r="P764">
        <f>IFERROR(INDEX(PP_Grid[#Data],$DE764,13),0)</f>
        <v/>
      </c>
      <c r="Q764">
        <f>IFERROR(INDEX(PP_Grid[#Data],$DE764,14),0)</f>
        <v/>
      </c>
      <c r="R764">
        <f>IFERROR(INDEX(PP_Grid[#Data],$DE764,15),0)</f>
        <v/>
      </c>
      <c r="S764">
        <f>IFERROR(INDEX(PP_Grid[#Data],$DE764,16),0)</f>
        <v/>
      </c>
      <c r="T764">
        <f>IFERROR(INDEX(PP_Grid[#Data],$DE764,17),0)</f>
        <v/>
      </c>
      <c r="U764">
        <f>IFERROR(INDEX(PP_Grid[#Data],$DE764,18),0)</f>
        <v/>
      </c>
      <c r="V764">
        <f>IFERROR(INDEX(PP_Grid[#Data],$DE764,19),0)</f>
        <v/>
      </c>
      <c r="W764">
        <f>IFERROR(INDEX(PP_Grid[#Data],$DE764,20),0)</f>
        <v/>
      </c>
      <c r="X764">
        <f>IFERROR(INDEX(PP_Grid[#Data],$DE764,21),0)</f>
        <v/>
      </c>
      <c r="Y764">
        <f>IFERROR(INDEX(PP_Grid[#Data],$DE764,22),0)</f>
        <v/>
      </c>
      <c r="Z764">
        <f>IFERROR(INDEX(PP_Grid[#Data],$DE764,23),0)</f>
        <v/>
      </c>
      <c r="AA764">
        <f>IFERROR(INDEX(PP_Grid[#Data],$DE764,24),0)</f>
        <v/>
      </c>
      <c r="AB764">
        <f>IFERROR(INDEX(PP_Grid[#Data],$DE764,25),0)</f>
        <v/>
      </c>
      <c r="AC764">
        <f>IFERROR(INDEX(PP_Grid[#Data],$DE764,26),0)</f>
        <v/>
      </c>
      <c r="AD764">
        <f>IFERROR(INDEX(PP_Grid[#Data],$DE764,27),0)</f>
        <v/>
      </c>
      <c r="AE764">
        <f>IFERROR(INDEX(PP_Grid[#Data],$DE764,28),0)</f>
        <v/>
      </c>
      <c r="AF764">
        <f>IFERROR(INDEX(PP_Grid[#Data],$DE764,29),0)</f>
        <v/>
      </c>
      <c r="AG764">
        <f>IFERROR(INDEX(PP_Grid[#Data],$DE764,30),0)</f>
        <v/>
      </c>
      <c r="AH764">
        <f>IFERROR(INDEX(PP_Grid[#Data],$DE764,31),0)</f>
        <v/>
      </c>
      <c r="AI764">
        <f>IFERROR(INDEX(PP_Grid[#Data],$DE764,32),0)</f>
        <v/>
      </c>
      <c r="AJ764">
        <f>IFERROR(INDEX(PP_Grid[#Data],$DE764,33),0)</f>
        <v/>
      </c>
      <c r="AK764">
        <f>IFERROR(INDEX(PP_Grid[#Data],$DE764,34),0)</f>
        <v/>
      </c>
      <c r="AL764">
        <f>IFERROR(INDEX(PP_Grid[#Data],$DE764,35),0)</f>
        <v/>
      </c>
      <c r="AM764">
        <f>IFERROR(INDEX(PP_Grid[#Data],$DE764,36),0)</f>
        <v/>
      </c>
      <c r="AN764">
        <f>IFERROR(INDEX(PP_Grid[#Data],$DE764,37),0)</f>
        <v/>
      </c>
      <c r="AO764">
        <f>IFERROR(INDEX(PP_Grid[#Data],$DE764,38),0)</f>
        <v/>
      </c>
      <c r="AP764">
        <f>IFERROR(INDEX(PP_Grid[#Data],$DE764,39),0)</f>
        <v/>
      </c>
      <c r="AQ764">
        <f>IFERROR(INDEX(PP_Grid[#Data],$DE764,40),0)</f>
        <v/>
      </c>
      <c r="AR764">
        <f>IFERROR(INDEX(PP_Grid[#Data],$DE764,41),0)</f>
        <v/>
      </c>
      <c r="AS764">
        <f>IFERROR(INDEX(PP_Grid[#Data],$DE764,42),0)</f>
        <v/>
      </c>
      <c r="AT764">
        <f>IFERROR(INDEX(PP_Grid[#Data],$DE764,43),0)</f>
        <v/>
      </c>
      <c r="AU764">
        <f>IFERROR(INDEX(PP_Grid[#Data],$DE764,44),0)</f>
        <v/>
      </c>
      <c r="AV764">
        <f>IFERROR(INDEX(PP_Grid[#Data],$DE764,45),0)</f>
        <v/>
      </c>
      <c r="AW764">
        <f>IFERROR(INDEX(PP_Grid[#Data],$DE764,46),0)</f>
        <v/>
      </c>
      <c r="AX764">
        <f>IFERROR(INDEX(PP_Grid[#Data],$DE764,47),0)</f>
        <v/>
      </c>
      <c r="AY764">
        <f>IFERROR(INDEX(PP_Grid[#Data],$DE764,48),0)</f>
        <v/>
      </c>
      <c r="AZ764">
        <f>IFERROR(INDEX(PP_Grid[#Data],$DE764,49),0)</f>
        <v/>
      </c>
      <c r="BA764">
        <f>IFERROR(INDEX(PP_Grid[#Data],$DE764,50),0)</f>
        <v/>
      </c>
      <c r="BB764">
        <f>IFERROR(INDEX(PP_Grid[#Data],$DE764,51),0)</f>
        <v/>
      </c>
      <c r="BC764">
        <f>IFERROR(INDEX(PP_Grid[#Data],$DE764,52),0)</f>
        <v/>
      </c>
      <c r="BD764">
        <f>IFERROR(INDEX(PP_Grid[#Data],$DE764,53),0)</f>
        <v/>
      </c>
      <c r="BE764">
        <f>IFERROR(INDEX(PP_Grid[#Data],$DE764,54),0)</f>
        <v/>
      </c>
      <c r="BF764">
        <f>IFERROR(INDEX(PP_Grid[#Data],$DE764,55),0)</f>
        <v/>
      </c>
      <c r="BG764">
        <f>IFERROR(INDEX(PP_Grid[#Data],$DE764,56),0)</f>
        <v/>
      </c>
      <c r="BH764">
        <f>IFERROR(INDEX(PP_Grid[#Data],$DE764,57),0)</f>
        <v/>
      </c>
      <c r="BI764">
        <f>IFERROR(INDEX(PP_Grid[#Data],$DE764,58),0)</f>
        <v/>
      </c>
      <c r="BJ764">
        <f>IFERROR(INDEX(PP_Grid[#Data],$DE764,59),0)</f>
        <v/>
      </c>
      <c r="BK764">
        <f>IFERROR(INDEX(PP_Grid[#Data],$DE764,60),0)</f>
        <v/>
      </c>
      <c r="BL764">
        <f>IFERROR(INDEX(PP_Grid[#Data],$DE764,61),0)</f>
        <v/>
      </c>
      <c r="BM764">
        <f>IFERROR(INDEX(PP_Grid[#Data],$DE764,62),0)</f>
        <v/>
      </c>
      <c r="BN764">
        <f>IFERROR(INDEX(PP_Grid[#Data],$DE764,63),0)</f>
        <v/>
      </c>
      <c r="BO764">
        <f>IFERROR(INDEX(PP_Grid[#Data],$DE764,64),0)</f>
        <v/>
      </c>
      <c r="BP764">
        <f>IFERROR(INDEX(PP_Grid[#Data],$DE764,65),0)</f>
        <v/>
      </c>
      <c r="BQ764">
        <f>IFERROR(INDEX(PP_Grid[#Data],$DE764,66),0)</f>
        <v/>
      </c>
      <c r="BR764">
        <f>IFERROR(INDEX(PP_Grid[#Data],$DE764,67),0)</f>
        <v/>
      </c>
      <c r="BS764">
        <f>IFERROR(INDEX(PP_Grid[#Data],$DE764,68),0)</f>
        <v/>
      </c>
      <c r="BT764">
        <f>IFERROR(INDEX(PP_Grid[#Data],$DE764,69),0)</f>
        <v/>
      </c>
      <c r="BU764">
        <f>IFERROR(INDEX(PP_Grid[#Data],$DE764,70),0)</f>
        <v/>
      </c>
      <c r="BV764">
        <f>IFERROR(INDEX(PP_Grid[#Data],$DE764,71),0)</f>
        <v/>
      </c>
      <c r="BW764">
        <f>IFERROR(INDEX(PP_Grid[#Data],$DE764,72),0)</f>
        <v/>
      </c>
      <c r="BX764">
        <f>IFERROR(INDEX(PP_Grid[#Data],$DE764,73),0)</f>
        <v/>
      </c>
      <c r="BY764">
        <f>IFERROR(INDEX(PP_Grid[#Data],$DE764,74),0)</f>
        <v/>
      </c>
      <c r="BZ764">
        <f>IFERROR(INDEX(PP_Grid[#Data],$DE764,75),0)</f>
        <v/>
      </c>
      <c r="CA764">
        <f>IFERROR(INDEX(PP_Grid[#Data],$DE764,76),0)</f>
        <v/>
      </c>
      <c r="CB764">
        <f>IFERROR(INDEX(PP_Grid[#Data],$DE764,77),0)</f>
        <v/>
      </c>
      <c r="CC764">
        <f>IFERROR(INDEX(PP_Grid[#Data],$DE764,78),0)</f>
        <v/>
      </c>
      <c r="CD764">
        <f>IFERROR(INDEX(PP_Grid[#Data],$DE764,79),0)</f>
        <v/>
      </c>
      <c r="CE764">
        <f>IFERROR(INDEX(PP_Grid[#Data],$DE764,80),0)</f>
        <v/>
      </c>
      <c r="CF764">
        <f>IFERROR(INDEX(PP_Grid[#Data],$DE764,81),0)</f>
        <v/>
      </c>
      <c r="CG764">
        <f>IFERROR(INDEX(PP_Grid[#Data],$DE764,82),0)</f>
        <v/>
      </c>
      <c r="CH764">
        <f>IFERROR(INDEX(PP_Grid[#Data],$DE764,83),0)</f>
        <v/>
      </c>
      <c r="CI764">
        <f>IFERROR(INDEX(PP_Grid[#Data],$DE764,84),0)</f>
        <v/>
      </c>
      <c r="CJ764">
        <f>IFERROR(INDEX(PP_Grid[#Data],$DE764,85),0)</f>
        <v/>
      </c>
      <c r="CK764">
        <f>IFERROR(INDEX(PP_Grid[#Data],$DE764,86),0)</f>
        <v/>
      </c>
      <c r="CL764">
        <f>IFERROR(INDEX(PP_Grid[#Data],$DE764,87),0)</f>
        <v/>
      </c>
      <c r="CM764">
        <f>IFERROR(INDEX(PP_Grid[#Data],$DE764,88),0)</f>
        <v/>
      </c>
      <c r="CN764">
        <f>IFERROR(INDEX(PP_Grid[#Data],$DE764,89),0)</f>
        <v/>
      </c>
      <c r="CO764">
        <f>IFERROR(INDEX(PP_Grid[#Data],$DE764,90),0)</f>
        <v/>
      </c>
      <c r="CP764">
        <f>IFERROR(INDEX(PP_Grid[#Data],$DE764,91),0)</f>
        <v/>
      </c>
      <c r="CQ764">
        <f>IFERROR(INDEX(PP_Grid[#Data],$DE764,92),0)</f>
        <v/>
      </c>
      <c r="CR764">
        <f>IFERROR(INDEX(PP_Grid[#Data],$DE764,93),0)</f>
        <v/>
      </c>
      <c r="CS764">
        <f>IFERROR(INDEX(PP_Grid[#Data],$DE764,94),0)</f>
        <v/>
      </c>
      <c r="CT764">
        <f>IFERROR(INDEX(PP_Grid[#Data],$DE764,95),0)</f>
        <v/>
      </c>
      <c r="CU764">
        <f>IFERROR(INDEX(PP_Grid[#Data],$DE764,96),0)</f>
        <v/>
      </c>
      <c r="CV764">
        <f>IFERROR(INDEX(PP_Grid[#Data],$DE764,97),0)</f>
        <v/>
      </c>
      <c r="CW764">
        <f>IFERROR(INDEX(PP_Grid[#Data],$DE764,98),0)</f>
        <v/>
      </c>
      <c r="CX764">
        <f>IFERROR(INDEX(PP_Grid[#Data],$DE764,99),0)</f>
        <v/>
      </c>
      <c r="CY764">
        <f>IFERROR(INDEX(PP_Grid[#Data],$DE764,100),0)</f>
        <v/>
      </c>
      <c r="CZ764">
        <f>IFERROR(INDEX(PP_Grid[#Data],$DE764,101),0)</f>
        <v/>
      </c>
      <c r="DA764">
        <f>IFERROR(INDEX(PP_Grid[#Data],$DE764,102),0)</f>
        <v/>
      </c>
      <c r="DB764">
        <f>IFERROR(INDEX(PP_Grid[#Data],$DE764,103),0)</f>
        <v/>
      </c>
      <c r="DC764">
        <f>IFERROR(INDEX(PP_Grid[#Data],$DE764,104),0)</f>
        <v/>
      </c>
      <c r="DD764">
        <f>IFERROR(INDEX(PP_Grid[#Data],$DE764,105),0)</f>
        <v/>
      </c>
      <c r="DE764" s="7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SUMIFS(M_BOM[RM_Qty_Per_Batch],M_BOM[Intermediate],$B764,M_BOM[RM_Code],$A745)</f>
        <v/>
      </c>
      <c r="D765">
        <f>IFERROR(INDEX(E765:DD765,$F$1),"")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  <c r="DD765">
        <f>$C765*DD764</f>
        <v/>
      </c>
    </row>
    <row r="766">
      <c r="B766" t="inlineStr">
        <is>
          <t>TSP-903</t>
        </is>
      </c>
      <c r="C766" t="inlineStr">
        <is>
          <t>No. of batches</t>
        </is>
      </c>
      <c r="D766">
        <f>IFERROR(INDEX(E766:DD766,$F$1),"")</f>
        <v/>
      </c>
      <c r="E766">
        <f>IFERROR(INDEX(PP_Grid[#Data],$DE766,2),0)</f>
        <v/>
      </c>
      <c r="F766">
        <f>IFERROR(INDEX(PP_Grid[#Data],$DE766,3),0)</f>
        <v/>
      </c>
      <c r="G766">
        <f>IFERROR(INDEX(PP_Grid[#Data],$DE766,4),0)</f>
        <v/>
      </c>
      <c r="H766">
        <f>IFERROR(INDEX(PP_Grid[#Data],$DE766,5),0)</f>
        <v/>
      </c>
      <c r="I766">
        <f>IFERROR(INDEX(PP_Grid[#Data],$DE766,6),0)</f>
        <v/>
      </c>
      <c r="J766">
        <f>IFERROR(INDEX(PP_Grid[#Data],$DE766,7),0)</f>
        <v/>
      </c>
      <c r="K766">
        <f>IFERROR(INDEX(PP_Grid[#Data],$DE766,8),0)</f>
        <v/>
      </c>
      <c r="L766">
        <f>IFERROR(INDEX(PP_Grid[#Data],$DE766,9),0)</f>
        <v/>
      </c>
      <c r="M766">
        <f>IFERROR(INDEX(PP_Grid[#Data],$DE766,10),0)</f>
        <v/>
      </c>
      <c r="N766">
        <f>IFERROR(INDEX(PP_Grid[#Data],$DE766,11),0)</f>
        <v/>
      </c>
      <c r="O766">
        <f>IFERROR(INDEX(PP_Grid[#Data],$DE766,12),0)</f>
        <v/>
      </c>
      <c r="P766">
        <f>IFERROR(INDEX(PP_Grid[#Data],$DE766,13),0)</f>
        <v/>
      </c>
      <c r="Q766">
        <f>IFERROR(INDEX(PP_Grid[#Data],$DE766,14),0)</f>
        <v/>
      </c>
      <c r="R766">
        <f>IFERROR(INDEX(PP_Grid[#Data],$DE766,15),0)</f>
        <v/>
      </c>
      <c r="S766">
        <f>IFERROR(INDEX(PP_Grid[#Data],$DE766,16),0)</f>
        <v/>
      </c>
      <c r="T766">
        <f>IFERROR(INDEX(PP_Grid[#Data],$DE766,17),0)</f>
        <v/>
      </c>
      <c r="U766">
        <f>IFERROR(INDEX(PP_Grid[#Data],$DE766,18),0)</f>
        <v/>
      </c>
      <c r="V766">
        <f>IFERROR(INDEX(PP_Grid[#Data],$DE766,19),0)</f>
        <v/>
      </c>
      <c r="W766">
        <f>IFERROR(INDEX(PP_Grid[#Data],$DE766,20),0)</f>
        <v/>
      </c>
      <c r="X766">
        <f>IFERROR(INDEX(PP_Grid[#Data],$DE766,21),0)</f>
        <v/>
      </c>
      <c r="Y766">
        <f>IFERROR(INDEX(PP_Grid[#Data],$DE766,22),0)</f>
        <v/>
      </c>
      <c r="Z766">
        <f>IFERROR(INDEX(PP_Grid[#Data],$DE766,23),0)</f>
        <v/>
      </c>
      <c r="AA766">
        <f>IFERROR(INDEX(PP_Grid[#Data],$DE766,24),0)</f>
        <v/>
      </c>
      <c r="AB766">
        <f>IFERROR(INDEX(PP_Grid[#Data],$DE766,25),0)</f>
        <v/>
      </c>
      <c r="AC766">
        <f>IFERROR(INDEX(PP_Grid[#Data],$DE766,26),0)</f>
        <v/>
      </c>
      <c r="AD766">
        <f>IFERROR(INDEX(PP_Grid[#Data],$DE766,27),0)</f>
        <v/>
      </c>
      <c r="AE766">
        <f>IFERROR(INDEX(PP_Grid[#Data],$DE766,28),0)</f>
        <v/>
      </c>
      <c r="AF766">
        <f>IFERROR(INDEX(PP_Grid[#Data],$DE766,29),0)</f>
        <v/>
      </c>
      <c r="AG766">
        <f>IFERROR(INDEX(PP_Grid[#Data],$DE766,30),0)</f>
        <v/>
      </c>
      <c r="AH766">
        <f>IFERROR(INDEX(PP_Grid[#Data],$DE766,31),0)</f>
        <v/>
      </c>
      <c r="AI766">
        <f>IFERROR(INDEX(PP_Grid[#Data],$DE766,32),0)</f>
        <v/>
      </c>
      <c r="AJ766">
        <f>IFERROR(INDEX(PP_Grid[#Data],$DE766,33),0)</f>
        <v/>
      </c>
      <c r="AK766">
        <f>IFERROR(INDEX(PP_Grid[#Data],$DE766,34),0)</f>
        <v/>
      </c>
      <c r="AL766">
        <f>IFERROR(INDEX(PP_Grid[#Data],$DE766,35),0)</f>
        <v/>
      </c>
      <c r="AM766">
        <f>IFERROR(INDEX(PP_Grid[#Data],$DE766,36),0)</f>
        <v/>
      </c>
      <c r="AN766">
        <f>IFERROR(INDEX(PP_Grid[#Data],$DE766,37),0)</f>
        <v/>
      </c>
      <c r="AO766">
        <f>IFERROR(INDEX(PP_Grid[#Data],$DE766,38),0)</f>
        <v/>
      </c>
      <c r="AP766">
        <f>IFERROR(INDEX(PP_Grid[#Data],$DE766,39),0)</f>
        <v/>
      </c>
      <c r="AQ766">
        <f>IFERROR(INDEX(PP_Grid[#Data],$DE766,40),0)</f>
        <v/>
      </c>
      <c r="AR766">
        <f>IFERROR(INDEX(PP_Grid[#Data],$DE766,41),0)</f>
        <v/>
      </c>
      <c r="AS766">
        <f>IFERROR(INDEX(PP_Grid[#Data],$DE766,42),0)</f>
        <v/>
      </c>
      <c r="AT766">
        <f>IFERROR(INDEX(PP_Grid[#Data],$DE766,43),0)</f>
        <v/>
      </c>
      <c r="AU766">
        <f>IFERROR(INDEX(PP_Grid[#Data],$DE766,44),0)</f>
        <v/>
      </c>
      <c r="AV766">
        <f>IFERROR(INDEX(PP_Grid[#Data],$DE766,45),0)</f>
        <v/>
      </c>
      <c r="AW766">
        <f>IFERROR(INDEX(PP_Grid[#Data],$DE766,46),0)</f>
        <v/>
      </c>
      <c r="AX766">
        <f>IFERROR(INDEX(PP_Grid[#Data],$DE766,47),0)</f>
        <v/>
      </c>
      <c r="AY766">
        <f>IFERROR(INDEX(PP_Grid[#Data],$DE766,48),0)</f>
        <v/>
      </c>
      <c r="AZ766">
        <f>IFERROR(INDEX(PP_Grid[#Data],$DE766,49),0)</f>
        <v/>
      </c>
      <c r="BA766">
        <f>IFERROR(INDEX(PP_Grid[#Data],$DE766,50),0)</f>
        <v/>
      </c>
      <c r="BB766">
        <f>IFERROR(INDEX(PP_Grid[#Data],$DE766,51),0)</f>
        <v/>
      </c>
      <c r="BC766">
        <f>IFERROR(INDEX(PP_Grid[#Data],$DE766,52),0)</f>
        <v/>
      </c>
      <c r="BD766">
        <f>IFERROR(INDEX(PP_Grid[#Data],$DE766,53),0)</f>
        <v/>
      </c>
      <c r="BE766">
        <f>IFERROR(INDEX(PP_Grid[#Data],$DE766,54),0)</f>
        <v/>
      </c>
      <c r="BF766">
        <f>IFERROR(INDEX(PP_Grid[#Data],$DE766,55),0)</f>
        <v/>
      </c>
      <c r="BG766">
        <f>IFERROR(INDEX(PP_Grid[#Data],$DE766,56),0)</f>
        <v/>
      </c>
      <c r="BH766">
        <f>IFERROR(INDEX(PP_Grid[#Data],$DE766,57),0)</f>
        <v/>
      </c>
      <c r="BI766">
        <f>IFERROR(INDEX(PP_Grid[#Data],$DE766,58),0)</f>
        <v/>
      </c>
      <c r="BJ766">
        <f>IFERROR(INDEX(PP_Grid[#Data],$DE766,59),0)</f>
        <v/>
      </c>
      <c r="BK766">
        <f>IFERROR(INDEX(PP_Grid[#Data],$DE766,60),0)</f>
        <v/>
      </c>
      <c r="BL766">
        <f>IFERROR(INDEX(PP_Grid[#Data],$DE766,61),0)</f>
        <v/>
      </c>
      <c r="BM766">
        <f>IFERROR(INDEX(PP_Grid[#Data],$DE766,62),0)</f>
        <v/>
      </c>
      <c r="BN766">
        <f>IFERROR(INDEX(PP_Grid[#Data],$DE766,63),0)</f>
        <v/>
      </c>
      <c r="BO766">
        <f>IFERROR(INDEX(PP_Grid[#Data],$DE766,64),0)</f>
        <v/>
      </c>
      <c r="BP766">
        <f>IFERROR(INDEX(PP_Grid[#Data],$DE766,65),0)</f>
        <v/>
      </c>
      <c r="BQ766">
        <f>IFERROR(INDEX(PP_Grid[#Data],$DE766,66),0)</f>
        <v/>
      </c>
      <c r="BR766">
        <f>IFERROR(INDEX(PP_Grid[#Data],$DE766,67),0)</f>
        <v/>
      </c>
      <c r="BS766">
        <f>IFERROR(INDEX(PP_Grid[#Data],$DE766,68),0)</f>
        <v/>
      </c>
      <c r="BT766">
        <f>IFERROR(INDEX(PP_Grid[#Data],$DE766,69),0)</f>
        <v/>
      </c>
      <c r="BU766">
        <f>IFERROR(INDEX(PP_Grid[#Data],$DE766,70),0)</f>
        <v/>
      </c>
      <c r="BV766">
        <f>IFERROR(INDEX(PP_Grid[#Data],$DE766,71),0)</f>
        <v/>
      </c>
      <c r="BW766">
        <f>IFERROR(INDEX(PP_Grid[#Data],$DE766,72),0)</f>
        <v/>
      </c>
      <c r="BX766">
        <f>IFERROR(INDEX(PP_Grid[#Data],$DE766,73),0)</f>
        <v/>
      </c>
      <c r="BY766">
        <f>IFERROR(INDEX(PP_Grid[#Data],$DE766,74),0)</f>
        <v/>
      </c>
      <c r="BZ766">
        <f>IFERROR(INDEX(PP_Grid[#Data],$DE766,75),0)</f>
        <v/>
      </c>
      <c r="CA766">
        <f>IFERROR(INDEX(PP_Grid[#Data],$DE766,76),0)</f>
        <v/>
      </c>
      <c r="CB766">
        <f>IFERROR(INDEX(PP_Grid[#Data],$DE766,77),0)</f>
        <v/>
      </c>
      <c r="CC766">
        <f>IFERROR(INDEX(PP_Grid[#Data],$DE766,78),0)</f>
        <v/>
      </c>
      <c r="CD766">
        <f>IFERROR(INDEX(PP_Grid[#Data],$DE766,79),0)</f>
        <v/>
      </c>
      <c r="CE766">
        <f>IFERROR(INDEX(PP_Grid[#Data],$DE766,80),0)</f>
        <v/>
      </c>
      <c r="CF766">
        <f>IFERROR(INDEX(PP_Grid[#Data],$DE766,81),0)</f>
        <v/>
      </c>
      <c r="CG766">
        <f>IFERROR(INDEX(PP_Grid[#Data],$DE766,82),0)</f>
        <v/>
      </c>
      <c r="CH766">
        <f>IFERROR(INDEX(PP_Grid[#Data],$DE766,83),0)</f>
        <v/>
      </c>
      <c r="CI766">
        <f>IFERROR(INDEX(PP_Grid[#Data],$DE766,84),0)</f>
        <v/>
      </c>
      <c r="CJ766">
        <f>IFERROR(INDEX(PP_Grid[#Data],$DE766,85),0)</f>
        <v/>
      </c>
      <c r="CK766">
        <f>IFERROR(INDEX(PP_Grid[#Data],$DE766,86),0)</f>
        <v/>
      </c>
      <c r="CL766">
        <f>IFERROR(INDEX(PP_Grid[#Data],$DE766,87),0)</f>
        <v/>
      </c>
      <c r="CM766">
        <f>IFERROR(INDEX(PP_Grid[#Data],$DE766,88),0)</f>
        <v/>
      </c>
      <c r="CN766">
        <f>IFERROR(INDEX(PP_Grid[#Data],$DE766,89),0)</f>
        <v/>
      </c>
      <c r="CO766">
        <f>IFERROR(INDEX(PP_Grid[#Data],$DE766,90),0)</f>
        <v/>
      </c>
      <c r="CP766">
        <f>IFERROR(INDEX(PP_Grid[#Data],$DE766,91),0)</f>
        <v/>
      </c>
      <c r="CQ766">
        <f>IFERROR(INDEX(PP_Grid[#Data],$DE766,92),0)</f>
        <v/>
      </c>
      <c r="CR766">
        <f>IFERROR(INDEX(PP_Grid[#Data],$DE766,93),0)</f>
        <v/>
      </c>
      <c r="CS766">
        <f>IFERROR(INDEX(PP_Grid[#Data],$DE766,94),0)</f>
        <v/>
      </c>
      <c r="CT766">
        <f>IFERROR(INDEX(PP_Grid[#Data],$DE766,95),0)</f>
        <v/>
      </c>
      <c r="CU766">
        <f>IFERROR(INDEX(PP_Grid[#Data],$DE766,96),0)</f>
        <v/>
      </c>
      <c r="CV766">
        <f>IFERROR(INDEX(PP_Grid[#Data],$DE766,97),0)</f>
        <v/>
      </c>
      <c r="CW766">
        <f>IFERROR(INDEX(PP_Grid[#Data],$DE766,98),0)</f>
        <v/>
      </c>
      <c r="CX766">
        <f>IFERROR(INDEX(PP_Grid[#Data],$DE766,99),0)</f>
        <v/>
      </c>
      <c r="CY766">
        <f>IFERROR(INDEX(PP_Grid[#Data],$DE766,100),0)</f>
        <v/>
      </c>
      <c r="CZ766">
        <f>IFERROR(INDEX(PP_Grid[#Data],$DE766,101),0)</f>
        <v/>
      </c>
      <c r="DA766">
        <f>IFERROR(INDEX(PP_Grid[#Data],$DE766,102),0)</f>
        <v/>
      </c>
      <c r="DB766">
        <f>IFERROR(INDEX(PP_Grid[#Data],$DE766,103),0)</f>
        <v/>
      </c>
      <c r="DC766">
        <f>IFERROR(INDEX(PP_Grid[#Data],$DE766,104),0)</f>
        <v/>
      </c>
      <c r="DD766">
        <f>IFERROR(INDEX(PP_Grid[#Data],$DE766,105),0)</f>
        <v/>
      </c>
      <c r="DE766" s="7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SUMIFS(M_BOM[RM_Qty_Per_Batch],M_BOM[Intermediate],$B766,M_BOM[RM_Code],$A745)</f>
        <v/>
      </c>
      <c r="D767">
        <f>IFERROR(INDEX(E767:DD767,$F$1),"")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  <c r="DD767">
        <f>$C767*DD766</f>
        <v/>
      </c>
    </row>
    <row r="768">
      <c r="B768" t="inlineStr">
        <is>
          <t>TSP-1444</t>
        </is>
      </c>
      <c r="C768" t="inlineStr">
        <is>
          <t>No. of batches</t>
        </is>
      </c>
      <c r="D768">
        <f>IFERROR(INDEX(E768:DD768,$F$1),"")</f>
        <v/>
      </c>
      <c r="E768">
        <f>IFERROR(INDEX(PP_Grid[#Data],$DE768,2),0)</f>
        <v/>
      </c>
      <c r="F768">
        <f>IFERROR(INDEX(PP_Grid[#Data],$DE768,3),0)</f>
        <v/>
      </c>
      <c r="G768">
        <f>IFERROR(INDEX(PP_Grid[#Data],$DE768,4),0)</f>
        <v/>
      </c>
      <c r="H768">
        <f>IFERROR(INDEX(PP_Grid[#Data],$DE768,5),0)</f>
        <v/>
      </c>
      <c r="I768">
        <f>IFERROR(INDEX(PP_Grid[#Data],$DE768,6),0)</f>
        <v/>
      </c>
      <c r="J768">
        <f>IFERROR(INDEX(PP_Grid[#Data],$DE768,7),0)</f>
        <v/>
      </c>
      <c r="K768">
        <f>IFERROR(INDEX(PP_Grid[#Data],$DE768,8),0)</f>
        <v/>
      </c>
      <c r="L768">
        <f>IFERROR(INDEX(PP_Grid[#Data],$DE768,9),0)</f>
        <v/>
      </c>
      <c r="M768">
        <f>IFERROR(INDEX(PP_Grid[#Data],$DE768,10),0)</f>
        <v/>
      </c>
      <c r="N768">
        <f>IFERROR(INDEX(PP_Grid[#Data],$DE768,11),0)</f>
        <v/>
      </c>
      <c r="O768">
        <f>IFERROR(INDEX(PP_Grid[#Data],$DE768,12),0)</f>
        <v/>
      </c>
      <c r="P768">
        <f>IFERROR(INDEX(PP_Grid[#Data],$DE768,13),0)</f>
        <v/>
      </c>
      <c r="Q768">
        <f>IFERROR(INDEX(PP_Grid[#Data],$DE768,14),0)</f>
        <v/>
      </c>
      <c r="R768">
        <f>IFERROR(INDEX(PP_Grid[#Data],$DE768,15),0)</f>
        <v/>
      </c>
      <c r="S768">
        <f>IFERROR(INDEX(PP_Grid[#Data],$DE768,16),0)</f>
        <v/>
      </c>
      <c r="T768">
        <f>IFERROR(INDEX(PP_Grid[#Data],$DE768,17),0)</f>
        <v/>
      </c>
      <c r="U768">
        <f>IFERROR(INDEX(PP_Grid[#Data],$DE768,18),0)</f>
        <v/>
      </c>
      <c r="V768">
        <f>IFERROR(INDEX(PP_Grid[#Data],$DE768,19),0)</f>
        <v/>
      </c>
      <c r="W768">
        <f>IFERROR(INDEX(PP_Grid[#Data],$DE768,20),0)</f>
        <v/>
      </c>
      <c r="X768">
        <f>IFERROR(INDEX(PP_Grid[#Data],$DE768,21),0)</f>
        <v/>
      </c>
      <c r="Y768">
        <f>IFERROR(INDEX(PP_Grid[#Data],$DE768,22),0)</f>
        <v/>
      </c>
      <c r="Z768">
        <f>IFERROR(INDEX(PP_Grid[#Data],$DE768,23),0)</f>
        <v/>
      </c>
      <c r="AA768">
        <f>IFERROR(INDEX(PP_Grid[#Data],$DE768,24),0)</f>
        <v/>
      </c>
      <c r="AB768">
        <f>IFERROR(INDEX(PP_Grid[#Data],$DE768,25),0)</f>
        <v/>
      </c>
      <c r="AC768">
        <f>IFERROR(INDEX(PP_Grid[#Data],$DE768,26),0)</f>
        <v/>
      </c>
      <c r="AD768">
        <f>IFERROR(INDEX(PP_Grid[#Data],$DE768,27),0)</f>
        <v/>
      </c>
      <c r="AE768">
        <f>IFERROR(INDEX(PP_Grid[#Data],$DE768,28),0)</f>
        <v/>
      </c>
      <c r="AF768">
        <f>IFERROR(INDEX(PP_Grid[#Data],$DE768,29),0)</f>
        <v/>
      </c>
      <c r="AG768">
        <f>IFERROR(INDEX(PP_Grid[#Data],$DE768,30),0)</f>
        <v/>
      </c>
      <c r="AH768">
        <f>IFERROR(INDEX(PP_Grid[#Data],$DE768,31),0)</f>
        <v/>
      </c>
      <c r="AI768">
        <f>IFERROR(INDEX(PP_Grid[#Data],$DE768,32),0)</f>
        <v/>
      </c>
      <c r="AJ768">
        <f>IFERROR(INDEX(PP_Grid[#Data],$DE768,33),0)</f>
        <v/>
      </c>
      <c r="AK768">
        <f>IFERROR(INDEX(PP_Grid[#Data],$DE768,34),0)</f>
        <v/>
      </c>
      <c r="AL768">
        <f>IFERROR(INDEX(PP_Grid[#Data],$DE768,35),0)</f>
        <v/>
      </c>
      <c r="AM768">
        <f>IFERROR(INDEX(PP_Grid[#Data],$DE768,36),0)</f>
        <v/>
      </c>
      <c r="AN768">
        <f>IFERROR(INDEX(PP_Grid[#Data],$DE768,37),0)</f>
        <v/>
      </c>
      <c r="AO768">
        <f>IFERROR(INDEX(PP_Grid[#Data],$DE768,38),0)</f>
        <v/>
      </c>
      <c r="AP768">
        <f>IFERROR(INDEX(PP_Grid[#Data],$DE768,39),0)</f>
        <v/>
      </c>
      <c r="AQ768">
        <f>IFERROR(INDEX(PP_Grid[#Data],$DE768,40),0)</f>
        <v/>
      </c>
      <c r="AR768">
        <f>IFERROR(INDEX(PP_Grid[#Data],$DE768,41),0)</f>
        <v/>
      </c>
      <c r="AS768">
        <f>IFERROR(INDEX(PP_Grid[#Data],$DE768,42),0)</f>
        <v/>
      </c>
      <c r="AT768">
        <f>IFERROR(INDEX(PP_Grid[#Data],$DE768,43),0)</f>
        <v/>
      </c>
      <c r="AU768">
        <f>IFERROR(INDEX(PP_Grid[#Data],$DE768,44),0)</f>
        <v/>
      </c>
      <c r="AV768">
        <f>IFERROR(INDEX(PP_Grid[#Data],$DE768,45),0)</f>
        <v/>
      </c>
      <c r="AW768">
        <f>IFERROR(INDEX(PP_Grid[#Data],$DE768,46),0)</f>
        <v/>
      </c>
      <c r="AX768">
        <f>IFERROR(INDEX(PP_Grid[#Data],$DE768,47),0)</f>
        <v/>
      </c>
      <c r="AY768">
        <f>IFERROR(INDEX(PP_Grid[#Data],$DE768,48),0)</f>
        <v/>
      </c>
      <c r="AZ768">
        <f>IFERROR(INDEX(PP_Grid[#Data],$DE768,49),0)</f>
        <v/>
      </c>
      <c r="BA768">
        <f>IFERROR(INDEX(PP_Grid[#Data],$DE768,50),0)</f>
        <v/>
      </c>
      <c r="BB768">
        <f>IFERROR(INDEX(PP_Grid[#Data],$DE768,51),0)</f>
        <v/>
      </c>
      <c r="BC768">
        <f>IFERROR(INDEX(PP_Grid[#Data],$DE768,52),0)</f>
        <v/>
      </c>
      <c r="BD768">
        <f>IFERROR(INDEX(PP_Grid[#Data],$DE768,53),0)</f>
        <v/>
      </c>
      <c r="BE768">
        <f>IFERROR(INDEX(PP_Grid[#Data],$DE768,54),0)</f>
        <v/>
      </c>
      <c r="BF768">
        <f>IFERROR(INDEX(PP_Grid[#Data],$DE768,55),0)</f>
        <v/>
      </c>
      <c r="BG768">
        <f>IFERROR(INDEX(PP_Grid[#Data],$DE768,56),0)</f>
        <v/>
      </c>
      <c r="BH768">
        <f>IFERROR(INDEX(PP_Grid[#Data],$DE768,57),0)</f>
        <v/>
      </c>
      <c r="BI768">
        <f>IFERROR(INDEX(PP_Grid[#Data],$DE768,58),0)</f>
        <v/>
      </c>
      <c r="BJ768">
        <f>IFERROR(INDEX(PP_Grid[#Data],$DE768,59),0)</f>
        <v/>
      </c>
      <c r="BK768">
        <f>IFERROR(INDEX(PP_Grid[#Data],$DE768,60),0)</f>
        <v/>
      </c>
      <c r="BL768">
        <f>IFERROR(INDEX(PP_Grid[#Data],$DE768,61),0)</f>
        <v/>
      </c>
      <c r="BM768">
        <f>IFERROR(INDEX(PP_Grid[#Data],$DE768,62),0)</f>
        <v/>
      </c>
      <c r="BN768">
        <f>IFERROR(INDEX(PP_Grid[#Data],$DE768,63),0)</f>
        <v/>
      </c>
      <c r="BO768">
        <f>IFERROR(INDEX(PP_Grid[#Data],$DE768,64),0)</f>
        <v/>
      </c>
      <c r="BP768">
        <f>IFERROR(INDEX(PP_Grid[#Data],$DE768,65),0)</f>
        <v/>
      </c>
      <c r="BQ768">
        <f>IFERROR(INDEX(PP_Grid[#Data],$DE768,66),0)</f>
        <v/>
      </c>
      <c r="BR768">
        <f>IFERROR(INDEX(PP_Grid[#Data],$DE768,67),0)</f>
        <v/>
      </c>
      <c r="BS768">
        <f>IFERROR(INDEX(PP_Grid[#Data],$DE768,68),0)</f>
        <v/>
      </c>
      <c r="BT768">
        <f>IFERROR(INDEX(PP_Grid[#Data],$DE768,69),0)</f>
        <v/>
      </c>
      <c r="BU768">
        <f>IFERROR(INDEX(PP_Grid[#Data],$DE768,70),0)</f>
        <v/>
      </c>
      <c r="BV768">
        <f>IFERROR(INDEX(PP_Grid[#Data],$DE768,71),0)</f>
        <v/>
      </c>
      <c r="BW768">
        <f>IFERROR(INDEX(PP_Grid[#Data],$DE768,72),0)</f>
        <v/>
      </c>
      <c r="BX768">
        <f>IFERROR(INDEX(PP_Grid[#Data],$DE768,73),0)</f>
        <v/>
      </c>
      <c r="BY768">
        <f>IFERROR(INDEX(PP_Grid[#Data],$DE768,74),0)</f>
        <v/>
      </c>
      <c r="BZ768">
        <f>IFERROR(INDEX(PP_Grid[#Data],$DE768,75),0)</f>
        <v/>
      </c>
      <c r="CA768">
        <f>IFERROR(INDEX(PP_Grid[#Data],$DE768,76),0)</f>
        <v/>
      </c>
      <c r="CB768">
        <f>IFERROR(INDEX(PP_Grid[#Data],$DE768,77),0)</f>
        <v/>
      </c>
      <c r="CC768">
        <f>IFERROR(INDEX(PP_Grid[#Data],$DE768,78),0)</f>
        <v/>
      </c>
      <c r="CD768">
        <f>IFERROR(INDEX(PP_Grid[#Data],$DE768,79),0)</f>
        <v/>
      </c>
      <c r="CE768">
        <f>IFERROR(INDEX(PP_Grid[#Data],$DE768,80),0)</f>
        <v/>
      </c>
      <c r="CF768">
        <f>IFERROR(INDEX(PP_Grid[#Data],$DE768,81),0)</f>
        <v/>
      </c>
      <c r="CG768">
        <f>IFERROR(INDEX(PP_Grid[#Data],$DE768,82),0)</f>
        <v/>
      </c>
      <c r="CH768">
        <f>IFERROR(INDEX(PP_Grid[#Data],$DE768,83),0)</f>
        <v/>
      </c>
      <c r="CI768">
        <f>IFERROR(INDEX(PP_Grid[#Data],$DE768,84),0)</f>
        <v/>
      </c>
      <c r="CJ768">
        <f>IFERROR(INDEX(PP_Grid[#Data],$DE768,85),0)</f>
        <v/>
      </c>
      <c r="CK768">
        <f>IFERROR(INDEX(PP_Grid[#Data],$DE768,86),0)</f>
        <v/>
      </c>
      <c r="CL768">
        <f>IFERROR(INDEX(PP_Grid[#Data],$DE768,87),0)</f>
        <v/>
      </c>
      <c r="CM768">
        <f>IFERROR(INDEX(PP_Grid[#Data],$DE768,88),0)</f>
        <v/>
      </c>
      <c r="CN768">
        <f>IFERROR(INDEX(PP_Grid[#Data],$DE768,89),0)</f>
        <v/>
      </c>
      <c r="CO768">
        <f>IFERROR(INDEX(PP_Grid[#Data],$DE768,90),0)</f>
        <v/>
      </c>
      <c r="CP768">
        <f>IFERROR(INDEX(PP_Grid[#Data],$DE768,91),0)</f>
        <v/>
      </c>
      <c r="CQ768">
        <f>IFERROR(INDEX(PP_Grid[#Data],$DE768,92),0)</f>
        <v/>
      </c>
      <c r="CR768">
        <f>IFERROR(INDEX(PP_Grid[#Data],$DE768,93),0)</f>
        <v/>
      </c>
      <c r="CS768">
        <f>IFERROR(INDEX(PP_Grid[#Data],$DE768,94),0)</f>
        <v/>
      </c>
      <c r="CT768">
        <f>IFERROR(INDEX(PP_Grid[#Data],$DE768,95),0)</f>
        <v/>
      </c>
      <c r="CU768">
        <f>IFERROR(INDEX(PP_Grid[#Data],$DE768,96),0)</f>
        <v/>
      </c>
      <c r="CV768">
        <f>IFERROR(INDEX(PP_Grid[#Data],$DE768,97),0)</f>
        <v/>
      </c>
      <c r="CW768">
        <f>IFERROR(INDEX(PP_Grid[#Data],$DE768,98),0)</f>
        <v/>
      </c>
      <c r="CX768">
        <f>IFERROR(INDEX(PP_Grid[#Data],$DE768,99),0)</f>
        <v/>
      </c>
      <c r="CY768">
        <f>IFERROR(INDEX(PP_Grid[#Data],$DE768,100),0)</f>
        <v/>
      </c>
      <c r="CZ768">
        <f>IFERROR(INDEX(PP_Grid[#Data],$DE768,101),0)</f>
        <v/>
      </c>
      <c r="DA768">
        <f>IFERROR(INDEX(PP_Grid[#Data],$DE768,102),0)</f>
        <v/>
      </c>
      <c r="DB768">
        <f>IFERROR(INDEX(PP_Grid[#Data],$DE768,103),0)</f>
        <v/>
      </c>
      <c r="DC768">
        <f>IFERROR(INDEX(PP_Grid[#Data],$DE768,104),0)</f>
        <v/>
      </c>
      <c r="DD768">
        <f>IFERROR(INDEX(PP_Grid[#Data],$DE768,105),0)</f>
        <v/>
      </c>
      <c r="DE768" s="7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SUMIFS(M_BOM[RM_Qty_Per_Batch],M_BOM[Intermediate],$B768,M_BOM[RM_Code],$A745)</f>
        <v/>
      </c>
      <c r="D769">
        <f>IFERROR(INDEX(E769:DD769,$F$1),"")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  <c r="DD769">
        <f>$C769*DD768</f>
        <v/>
      </c>
    </row>
    <row r="770">
      <c r="B770" t="inlineStr">
        <is>
          <t>TSP-1445</t>
        </is>
      </c>
      <c r="C770" t="inlineStr">
        <is>
          <t>No. of batches</t>
        </is>
      </c>
      <c r="D770">
        <f>IFERROR(INDEX(E770:DD770,$F$1),"")</f>
        <v/>
      </c>
      <c r="E770">
        <f>IFERROR(INDEX(PP_Grid[#Data],$DE770,2),0)</f>
        <v/>
      </c>
      <c r="F770">
        <f>IFERROR(INDEX(PP_Grid[#Data],$DE770,3),0)</f>
        <v/>
      </c>
      <c r="G770">
        <f>IFERROR(INDEX(PP_Grid[#Data],$DE770,4),0)</f>
        <v/>
      </c>
      <c r="H770">
        <f>IFERROR(INDEX(PP_Grid[#Data],$DE770,5),0)</f>
        <v/>
      </c>
      <c r="I770">
        <f>IFERROR(INDEX(PP_Grid[#Data],$DE770,6),0)</f>
        <v/>
      </c>
      <c r="J770">
        <f>IFERROR(INDEX(PP_Grid[#Data],$DE770,7),0)</f>
        <v/>
      </c>
      <c r="K770">
        <f>IFERROR(INDEX(PP_Grid[#Data],$DE770,8),0)</f>
        <v/>
      </c>
      <c r="L770">
        <f>IFERROR(INDEX(PP_Grid[#Data],$DE770,9),0)</f>
        <v/>
      </c>
      <c r="M770">
        <f>IFERROR(INDEX(PP_Grid[#Data],$DE770,10),0)</f>
        <v/>
      </c>
      <c r="N770">
        <f>IFERROR(INDEX(PP_Grid[#Data],$DE770,11),0)</f>
        <v/>
      </c>
      <c r="O770">
        <f>IFERROR(INDEX(PP_Grid[#Data],$DE770,12),0)</f>
        <v/>
      </c>
      <c r="P770">
        <f>IFERROR(INDEX(PP_Grid[#Data],$DE770,13),0)</f>
        <v/>
      </c>
      <c r="Q770">
        <f>IFERROR(INDEX(PP_Grid[#Data],$DE770,14),0)</f>
        <v/>
      </c>
      <c r="R770">
        <f>IFERROR(INDEX(PP_Grid[#Data],$DE770,15),0)</f>
        <v/>
      </c>
      <c r="S770">
        <f>IFERROR(INDEX(PP_Grid[#Data],$DE770,16),0)</f>
        <v/>
      </c>
      <c r="T770">
        <f>IFERROR(INDEX(PP_Grid[#Data],$DE770,17),0)</f>
        <v/>
      </c>
      <c r="U770">
        <f>IFERROR(INDEX(PP_Grid[#Data],$DE770,18),0)</f>
        <v/>
      </c>
      <c r="V770">
        <f>IFERROR(INDEX(PP_Grid[#Data],$DE770,19),0)</f>
        <v/>
      </c>
      <c r="W770">
        <f>IFERROR(INDEX(PP_Grid[#Data],$DE770,20),0)</f>
        <v/>
      </c>
      <c r="X770">
        <f>IFERROR(INDEX(PP_Grid[#Data],$DE770,21),0)</f>
        <v/>
      </c>
      <c r="Y770">
        <f>IFERROR(INDEX(PP_Grid[#Data],$DE770,22),0)</f>
        <v/>
      </c>
      <c r="Z770">
        <f>IFERROR(INDEX(PP_Grid[#Data],$DE770,23),0)</f>
        <v/>
      </c>
      <c r="AA770">
        <f>IFERROR(INDEX(PP_Grid[#Data],$DE770,24),0)</f>
        <v/>
      </c>
      <c r="AB770">
        <f>IFERROR(INDEX(PP_Grid[#Data],$DE770,25),0)</f>
        <v/>
      </c>
      <c r="AC770">
        <f>IFERROR(INDEX(PP_Grid[#Data],$DE770,26),0)</f>
        <v/>
      </c>
      <c r="AD770">
        <f>IFERROR(INDEX(PP_Grid[#Data],$DE770,27),0)</f>
        <v/>
      </c>
      <c r="AE770">
        <f>IFERROR(INDEX(PP_Grid[#Data],$DE770,28),0)</f>
        <v/>
      </c>
      <c r="AF770">
        <f>IFERROR(INDEX(PP_Grid[#Data],$DE770,29),0)</f>
        <v/>
      </c>
      <c r="AG770">
        <f>IFERROR(INDEX(PP_Grid[#Data],$DE770,30),0)</f>
        <v/>
      </c>
      <c r="AH770">
        <f>IFERROR(INDEX(PP_Grid[#Data],$DE770,31),0)</f>
        <v/>
      </c>
      <c r="AI770">
        <f>IFERROR(INDEX(PP_Grid[#Data],$DE770,32),0)</f>
        <v/>
      </c>
      <c r="AJ770">
        <f>IFERROR(INDEX(PP_Grid[#Data],$DE770,33),0)</f>
        <v/>
      </c>
      <c r="AK770">
        <f>IFERROR(INDEX(PP_Grid[#Data],$DE770,34),0)</f>
        <v/>
      </c>
      <c r="AL770">
        <f>IFERROR(INDEX(PP_Grid[#Data],$DE770,35),0)</f>
        <v/>
      </c>
      <c r="AM770">
        <f>IFERROR(INDEX(PP_Grid[#Data],$DE770,36),0)</f>
        <v/>
      </c>
      <c r="AN770">
        <f>IFERROR(INDEX(PP_Grid[#Data],$DE770,37),0)</f>
        <v/>
      </c>
      <c r="AO770">
        <f>IFERROR(INDEX(PP_Grid[#Data],$DE770,38),0)</f>
        <v/>
      </c>
      <c r="AP770">
        <f>IFERROR(INDEX(PP_Grid[#Data],$DE770,39),0)</f>
        <v/>
      </c>
      <c r="AQ770">
        <f>IFERROR(INDEX(PP_Grid[#Data],$DE770,40),0)</f>
        <v/>
      </c>
      <c r="AR770">
        <f>IFERROR(INDEX(PP_Grid[#Data],$DE770,41),0)</f>
        <v/>
      </c>
      <c r="AS770">
        <f>IFERROR(INDEX(PP_Grid[#Data],$DE770,42),0)</f>
        <v/>
      </c>
      <c r="AT770">
        <f>IFERROR(INDEX(PP_Grid[#Data],$DE770,43),0)</f>
        <v/>
      </c>
      <c r="AU770">
        <f>IFERROR(INDEX(PP_Grid[#Data],$DE770,44),0)</f>
        <v/>
      </c>
      <c r="AV770">
        <f>IFERROR(INDEX(PP_Grid[#Data],$DE770,45),0)</f>
        <v/>
      </c>
      <c r="AW770">
        <f>IFERROR(INDEX(PP_Grid[#Data],$DE770,46),0)</f>
        <v/>
      </c>
      <c r="AX770">
        <f>IFERROR(INDEX(PP_Grid[#Data],$DE770,47),0)</f>
        <v/>
      </c>
      <c r="AY770">
        <f>IFERROR(INDEX(PP_Grid[#Data],$DE770,48),0)</f>
        <v/>
      </c>
      <c r="AZ770">
        <f>IFERROR(INDEX(PP_Grid[#Data],$DE770,49),0)</f>
        <v/>
      </c>
      <c r="BA770">
        <f>IFERROR(INDEX(PP_Grid[#Data],$DE770,50),0)</f>
        <v/>
      </c>
      <c r="BB770">
        <f>IFERROR(INDEX(PP_Grid[#Data],$DE770,51),0)</f>
        <v/>
      </c>
      <c r="BC770">
        <f>IFERROR(INDEX(PP_Grid[#Data],$DE770,52),0)</f>
        <v/>
      </c>
      <c r="BD770">
        <f>IFERROR(INDEX(PP_Grid[#Data],$DE770,53),0)</f>
        <v/>
      </c>
      <c r="BE770">
        <f>IFERROR(INDEX(PP_Grid[#Data],$DE770,54),0)</f>
        <v/>
      </c>
      <c r="BF770">
        <f>IFERROR(INDEX(PP_Grid[#Data],$DE770,55),0)</f>
        <v/>
      </c>
      <c r="BG770">
        <f>IFERROR(INDEX(PP_Grid[#Data],$DE770,56),0)</f>
        <v/>
      </c>
      <c r="BH770">
        <f>IFERROR(INDEX(PP_Grid[#Data],$DE770,57),0)</f>
        <v/>
      </c>
      <c r="BI770">
        <f>IFERROR(INDEX(PP_Grid[#Data],$DE770,58),0)</f>
        <v/>
      </c>
      <c r="BJ770">
        <f>IFERROR(INDEX(PP_Grid[#Data],$DE770,59),0)</f>
        <v/>
      </c>
      <c r="BK770">
        <f>IFERROR(INDEX(PP_Grid[#Data],$DE770,60),0)</f>
        <v/>
      </c>
      <c r="BL770">
        <f>IFERROR(INDEX(PP_Grid[#Data],$DE770,61),0)</f>
        <v/>
      </c>
      <c r="BM770">
        <f>IFERROR(INDEX(PP_Grid[#Data],$DE770,62),0)</f>
        <v/>
      </c>
      <c r="BN770">
        <f>IFERROR(INDEX(PP_Grid[#Data],$DE770,63),0)</f>
        <v/>
      </c>
      <c r="BO770">
        <f>IFERROR(INDEX(PP_Grid[#Data],$DE770,64),0)</f>
        <v/>
      </c>
      <c r="BP770">
        <f>IFERROR(INDEX(PP_Grid[#Data],$DE770,65),0)</f>
        <v/>
      </c>
      <c r="BQ770">
        <f>IFERROR(INDEX(PP_Grid[#Data],$DE770,66),0)</f>
        <v/>
      </c>
      <c r="BR770">
        <f>IFERROR(INDEX(PP_Grid[#Data],$DE770,67),0)</f>
        <v/>
      </c>
      <c r="BS770">
        <f>IFERROR(INDEX(PP_Grid[#Data],$DE770,68),0)</f>
        <v/>
      </c>
      <c r="BT770">
        <f>IFERROR(INDEX(PP_Grid[#Data],$DE770,69),0)</f>
        <v/>
      </c>
      <c r="BU770">
        <f>IFERROR(INDEX(PP_Grid[#Data],$DE770,70),0)</f>
        <v/>
      </c>
      <c r="BV770">
        <f>IFERROR(INDEX(PP_Grid[#Data],$DE770,71),0)</f>
        <v/>
      </c>
      <c r="BW770">
        <f>IFERROR(INDEX(PP_Grid[#Data],$DE770,72),0)</f>
        <v/>
      </c>
      <c r="BX770">
        <f>IFERROR(INDEX(PP_Grid[#Data],$DE770,73),0)</f>
        <v/>
      </c>
      <c r="BY770">
        <f>IFERROR(INDEX(PP_Grid[#Data],$DE770,74),0)</f>
        <v/>
      </c>
      <c r="BZ770">
        <f>IFERROR(INDEX(PP_Grid[#Data],$DE770,75),0)</f>
        <v/>
      </c>
      <c r="CA770">
        <f>IFERROR(INDEX(PP_Grid[#Data],$DE770,76),0)</f>
        <v/>
      </c>
      <c r="CB770">
        <f>IFERROR(INDEX(PP_Grid[#Data],$DE770,77),0)</f>
        <v/>
      </c>
      <c r="CC770">
        <f>IFERROR(INDEX(PP_Grid[#Data],$DE770,78),0)</f>
        <v/>
      </c>
      <c r="CD770">
        <f>IFERROR(INDEX(PP_Grid[#Data],$DE770,79),0)</f>
        <v/>
      </c>
      <c r="CE770">
        <f>IFERROR(INDEX(PP_Grid[#Data],$DE770,80),0)</f>
        <v/>
      </c>
      <c r="CF770">
        <f>IFERROR(INDEX(PP_Grid[#Data],$DE770,81),0)</f>
        <v/>
      </c>
      <c r="CG770">
        <f>IFERROR(INDEX(PP_Grid[#Data],$DE770,82),0)</f>
        <v/>
      </c>
      <c r="CH770">
        <f>IFERROR(INDEX(PP_Grid[#Data],$DE770,83),0)</f>
        <v/>
      </c>
      <c r="CI770">
        <f>IFERROR(INDEX(PP_Grid[#Data],$DE770,84),0)</f>
        <v/>
      </c>
      <c r="CJ770">
        <f>IFERROR(INDEX(PP_Grid[#Data],$DE770,85),0)</f>
        <v/>
      </c>
      <c r="CK770">
        <f>IFERROR(INDEX(PP_Grid[#Data],$DE770,86),0)</f>
        <v/>
      </c>
      <c r="CL770">
        <f>IFERROR(INDEX(PP_Grid[#Data],$DE770,87),0)</f>
        <v/>
      </c>
      <c r="CM770">
        <f>IFERROR(INDEX(PP_Grid[#Data],$DE770,88),0)</f>
        <v/>
      </c>
      <c r="CN770">
        <f>IFERROR(INDEX(PP_Grid[#Data],$DE770,89),0)</f>
        <v/>
      </c>
      <c r="CO770">
        <f>IFERROR(INDEX(PP_Grid[#Data],$DE770,90),0)</f>
        <v/>
      </c>
      <c r="CP770">
        <f>IFERROR(INDEX(PP_Grid[#Data],$DE770,91),0)</f>
        <v/>
      </c>
      <c r="CQ770">
        <f>IFERROR(INDEX(PP_Grid[#Data],$DE770,92),0)</f>
        <v/>
      </c>
      <c r="CR770">
        <f>IFERROR(INDEX(PP_Grid[#Data],$DE770,93),0)</f>
        <v/>
      </c>
      <c r="CS770">
        <f>IFERROR(INDEX(PP_Grid[#Data],$DE770,94),0)</f>
        <v/>
      </c>
      <c r="CT770">
        <f>IFERROR(INDEX(PP_Grid[#Data],$DE770,95),0)</f>
        <v/>
      </c>
      <c r="CU770">
        <f>IFERROR(INDEX(PP_Grid[#Data],$DE770,96),0)</f>
        <v/>
      </c>
      <c r="CV770">
        <f>IFERROR(INDEX(PP_Grid[#Data],$DE770,97),0)</f>
        <v/>
      </c>
      <c r="CW770">
        <f>IFERROR(INDEX(PP_Grid[#Data],$DE770,98),0)</f>
        <v/>
      </c>
      <c r="CX770">
        <f>IFERROR(INDEX(PP_Grid[#Data],$DE770,99),0)</f>
        <v/>
      </c>
      <c r="CY770">
        <f>IFERROR(INDEX(PP_Grid[#Data],$DE770,100),0)</f>
        <v/>
      </c>
      <c r="CZ770">
        <f>IFERROR(INDEX(PP_Grid[#Data],$DE770,101),0)</f>
        <v/>
      </c>
      <c r="DA770">
        <f>IFERROR(INDEX(PP_Grid[#Data],$DE770,102),0)</f>
        <v/>
      </c>
      <c r="DB770">
        <f>IFERROR(INDEX(PP_Grid[#Data],$DE770,103),0)</f>
        <v/>
      </c>
      <c r="DC770">
        <f>IFERROR(INDEX(PP_Grid[#Data],$DE770,104),0)</f>
        <v/>
      </c>
      <c r="DD770">
        <f>IFERROR(INDEX(PP_Grid[#Data],$DE770,105),0)</f>
        <v/>
      </c>
      <c r="DE770" s="7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SUMIFS(M_BOM[RM_Qty_Per_Batch],M_BOM[Intermediate],$B770,M_BOM[RM_Code],$A745)</f>
        <v/>
      </c>
      <c r="D771">
        <f>IFERROR(INDEX(E771:DD771,$F$1),"")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  <c r="DD771">
        <f>$C771*DD770</f>
        <v/>
      </c>
    </row>
    <row r="772">
      <c r="B772" t="inlineStr">
        <is>
          <t>TSP-1446</t>
        </is>
      </c>
      <c r="C772" t="inlineStr">
        <is>
          <t>No. of batches</t>
        </is>
      </c>
      <c r="D772">
        <f>IFERROR(INDEX(E772:DD772,$F$1),"")</f>
        <v/>
      </c>
      <c r="E772">
        <f>IFERROR(INDEX(PP_Grid[#Data],$DE772,2),0)</f>
        <v/>
      </c>
      <c r="F772">
        <f>IFERROR(INDEX(PP_Grid[#Data],$DE772,3),0)</f>
        <v/>
      </c>
      <c r="G772">
        <f>IFERROR(INDEX(PP_Grid[#Data],$DE772,4),0)</f>
        <v/>
      </c>
      <c r="H772">
        <f>IFERROR(INDEX(PP_Grid[#Data],$DE772,5),0)</f>
        <v/>
      </c>
      <c r="I772">
        <f>IFERROR(INDEX(PP_Grid[#Data],$DE772,6),0)</f>
        <v/>
      </c>
      <c r="J772">
        <f>IFERROR(INDEX(PP_Grid[#Data],$DE772,7),0)</f>
        <v/>
      </c>
      <c r="K772">
        <f>IFERROR(INDEX(PP_Grid[#Data],$DE772,8),0)</f>
        <v/>
      </c>
      <c r="L772">
        <f>IFERROR(INDEX(PP_Grid[#Data],$DE772,9),0)</f>
        <v/>
      </c>
      <c r="M772">
        <f>IFERROR(INDEX(PP_Grid[#Data],$DE772,10),0)</f>
        <v/>
      </c>
      <c r="N772">
        <f>IFERROR(INDEX(PP_Grid[#Data],$DE772,11),0)</f>
        <v/>
      </c>
      <c r="O772">
        <f>IFERROR(INDEX(PP_Grid[#Data],$DE772,12),0)</f>
        <v/>
      </c>
      <c r="P772">
        <f>IFERROR(INDEX(PP_Grid[#Data],$DE772,13),0)</f>
        <v/>
      </c>
      <c r="Q772">
        <f>IFERROR(INDEX(PP_Grid[#Data],$DE772,14),0)</f>
        <v/>
      </c>
      <c r="R772">
        <f>IFERROR(INDEX(PP_Grid[#Data],$DE772,15),0)</f>
        <v/>
      </c>
      <c r="S772">
        <f>IFERROR(INDEX(PP_Grid[#Data],$DE772,16),0)</f>
        <v/>
      </c>
      <c r="T772">
        <f>IFERROR(INDEX(PP_Grid[#Data],$DE772,17),0)</f>
        <v/>
      </c>
      <c r="U772">
        <f>IFERROR(INDEX(PP_Grid[#Data],$DE772,18),0)</f>
        <v/>
      </c>
      <c r="V772">
        <f>IFERROR(INDEX(PP_Grid[#Data],$DE772,19),0)</f>
        <v/>
      </c>
      <c r="W772">
        <f>IFERROR(INDEX(PP_Grid[#Data],$DE772,20),0)</f>
        <v/>
      </c>
      <c r="X772">
        <f>IFERROR(INDEX(PP_Grid[#Data],$DE772,21),0)</f>
        <v/>
      </c>
      <c r="Y772">
        <f>IFERROR(INDEX(PP_Grid[#Data],$DE772,22),0)</f>
        <v/>
      </c>
      <c r="Z772">
        <f>IFERROR(INDEX(PP_Grid[#Data],$DE772,23),0)</f>
        <v/>
      </c>
      <c r="AA772">
        <f>IFERROR(INDEX(PP_Grid[#Data],$DE772,24),0)</f>
        <v/>
      </c>
      <c r="AB772">
        <f>IFERROR(INDEX(PP_Grid[#Data],$DE772,25),0)</f>
        <v/>
      </c>
      <c r="AC772">
        <f>IFERROR(INDEX(PP_Grid[#Data],$DE772,26),0)</f>
        <v/>
      </c>
      <c r="AD772">
        <f>IFERROR(INDEX(PP_Grid[#Data],$DE772,27),0)</f>
        <v/>
      </c>
      <c r="AE772">
        <f>IFERROR(INDEX(PP_Grid[#Data],$DE772,28),0)</f>
        <v/>
      </c>
      <c r="AF772">
        <f>IFERROR(INDEX(PP_Grid[#Data],$DE772,29),0)</f>
        <v/>
      </c>
      <c r="AG772">
        <f>IFERROR(INDEX(PP_Grid[#Data],$DE772,30),0)</f>
        <v/>
      </c>
      <c r="AH772">
        <f>IFERROR(INDEX(PP_Grid[#Data],$DE772,31),0)</f>
        <v/>
      </c>
      <c r="AI772">
        <f>IFERROR(INDEX(PP_Grid[#Data],$DE772,32),0)</f>
        <v/>
      </c>
      <c r="AJ772">
        <f>IFERROR(INDEX(PP_Grid[#Data],$DE772,33),0)</f>
        <v/>
      </c>
      <c r="AK772">
        <f>IFERROR(INDEX(PP_Grid[#Data],$DE772,34),0)</f>
        <v/>
      </c>
      <c r="AL772">
        <f>IFERROR(INDEX(PP_Grid[#Data],$DE772,35),0)</f>
        <v/>
      </c>
      <c r="AM772">
        <f>IFERROR(INDEX(PP_Grid[#Data],$DE772,36),0)</f>
        <v/>
      </c>
      <c r="AN772">
        <f>IFERROR(INDEX(PP_Grid[#Data],$DE772,37),0)</f>
        <v/>
      </c>
      <c r="AO772">
        <f>IFERROR(INDEX(PP_Grid[#Data],$DE772,38),0)</f>
        <v/>
      </c>
      <c r="AP772">
        <f>IFERROR(INDEX(PP_Grid[#Data],$DE772,39),0)</f>
        <v/>
      </c>
      <c r="AQ772">
        <f>IFERROR(INDEX(PP_Grid[#Data],$DE772,40),0)</f>
        <v/>
      </c>
      <c r="AR772">
        <f>IFERROR(INDEX(PP_Grid[#Data],$DE772,41),0)</f>
        <v/>
      </c>
      <c r="AS772">
        <f>IFERROR(INDEX(PP_Grid[#Data],$DE772,42),0)</f>
        <v/>
      </c>
      <c r="AT772">
        <f>IFERROR(INDEX(PP_Grid[#Data],$DE772,43),0)</f>
        <v/>
      </c>
      <c r="AU772">
        <f>IFERROR(INDEX(PP_Grid[#Data],$DE772,44),0)</f>
        <v/>
      </c>
      <c r="AV772">
        <f>IFERROR(INDEX(PP_Grid[#Data],$DE772,45),0)</f>
        <v/>
      </c>
      <c r="AW772">
        <f>IFERROR(INDEX(PP_Grid[#Data],$DE772,46),0)</f>
        <v/>
      </c>
      <c r="AX772">
        <f>IFERROR(INDEX(PP_Grid[#Data],$DE772,47),0)</f>
        <v/>
      </c>
      <c r="AY772">
        <f>IFERROR(INDEX(PP_Grid[#Data],$DE772,48),0)</f>
        <v/>
      </c>
      <c r="AZ772">
        <f>IFERROR(INDEX(PP_Grid[#Data],$DE772,49),0)</f>
        <v/>
      </c>
      <c r="BA772">
        <f>IFERROR(INDEX(PP_Grid[#Data],$DE772,50),0)</f>
        <v/>
      </c>
      <c r="BB772">
        <f>IFERROR(INDEX(PP_Grid[#Data],$DE772,51),0)</f>
        <v/>
      </c>
      <c r="BC772">
        <f>IFERROR(INDEX(PP_Grid[#Data],$DE772,52),0)</f>
        <v/>
      </c>
      <c r="BD772">
        <f>IFERROR(INDEX(PP_Grid[#Data],$DE772,53),0)</f>
        <v/>
      </c>
      <c r="BE772">
        <f>IFERROR(INDEX(PP_Grid[#Data],$DE772,54),0)</f>
        <v/>
      </c>
      <c r="BF772">
        <f>IFERROR(INDEX(PP_Grid[#Data],$DE772,55),0)</f>
        <v/>
      </c>
      <c r="BG772">
        <f>IFERROR(INDEX(PP_Grid[#Data],$DE772,56),0)</f>
        <v/>
      </c>
      <c r="BH772">
        <f>IFERROR(INDEX(PP_Grid[#Data],$DE772,57),0)</f>
        <v/>
      </c>
      <c r="BI772">
        <f>IFERROR(INDEX(PP_Grid[#Data],$DE772,58),0)</f>
        <v/>
      </c>
      <c r="BJ772">
        <f>IFERROR(INDEX(PP_Grid[#Data],$DE772,59),0)</f>
        <v/>
      </c>
      <c r="BK772">
        <f>IFERROR(INDEX(PP_Grid[#Data],$DE772,60),0)</f>
        <v/>
      </c>
      <c r="BL772">
        <f>IFERROR(INDEX(PP_Grid[#Data],$DE772,61),0)</f>
        <v/>
      </c>
      <c r="BM772">
        <f>IFERROR(INDEX(PP_Grid[#Data],$DE772,62),0)</f>
        <v/>
      </c>
      <c r="BN772">
        <f>IFERROR(INDEX(PP_Grid[#Data],$DE772,63),0)</f>
        <v/>
      </c>
      <c r="BO772">
        <f>IFERROR(INDEX(PP_Grid[#Data],$DE772,64),0)</f>
        <v/>
      </c>
      <c r="BP772">
        <f>IFERROR(INDEX(PP_Grid[#Data],$DE772,65),0)</f>
        <v/>
      </c>
      <c r="BQ772">
        <f>IFERROR(INDEX(PP_Grid[#Data],$DE772,66),0)</f>
        <v/>
      </c>
      <c r="BR772">
        <f>IFERROR(INDEX(PP_Grid[#Data],$DE772,67),0)</f>
        <v/>
      </c>
      <c r="BS772">
        <f>IFERROR(INDEX(PP_Grid[#Data],$DE772,68),0)</f>
        <v/>
      </c>
      <c r="BT772">
        <f>IFERROR(INDEX(PP_Grid[#Data],$DE772,69),0)</f>
        <v/>
      </c>
      <c r="BU772">
        <f>IFERROR(INDEX(PP_Grid[#Data],$DE772,70),0)</f>
        <v/>
      </c>
      <c r="BV772">
        <f>IFERROR(INDEX(PP_Grid[#Data],$DE772,71),0)</f>
        <v/>
      </c>
      <c r="BW772">
        <f>IFERROR(INDEX(PP_Grid[#Data],$DE772,72),0)</f>
        <v/>
      </c>
      <c r="BX772">
        <f>IFERROR(INDEX(PP_Grid[#Data],$DE772,73),0)</f>
        <v/>
      </c>
      <c r="BY772">
        <f>IFERROR(INDEX(PP_Grid[#Data],$DE772,74),0)</f>
        <v/>
      </c>
      <c r="BZ772">
        <f>IFERROR(INDEX(PP_Grid[#Data],$DE772,75),0)</f>
        <v/>
      </c>
      <c r="CA772">
        <f>IFERROR(INDEX(PP_Grid[#Data],$DE772,76),0)</f>
        <v/>
      </c>
      <c r="CB772">
        <f>IFERROR(INDEX(PP_Grid[#Data],$DE772,77),0)</f>
        <v/>
      </c>
      <c r="CC772">
        <f>IFERROR(INDEX(PP_Grid[#Data],$DE772,78),0)</f>
        <v/>
      </c>
      <c r="CD772">
        <f>IFERROR(INDEX(PP_Grid[#Data],$DE772,79),0)</f>
        <v/>
      </c>
      <c r="CE772">
        <f>IFERROR(INDEX(PP_Grid[#Data],$DE772,80),0)</f>
        <v/>
      </c>
      <c r="CF772">
        <f>IFERROR(INDEX(PP_Grid[#Data],$DE772,81),0)</f>
        <v/>
      </c>
      <c r="CG772">
        <f>IFERROR(INDEX(PP_Grid[#Data],$DE772,82),0)</f>
        <v/>
      </c>
      <c r="CH772">
        <f>IFERROR(INDEX(PP_Grid[#Data],$DE772,83),0)</f>
        <v/>
      </c>
      <c r="CI772">
        <f>IFERROR(INDEX(PP_Grid[#Data],$DE772,84),0)</f>
        <v/>
      </c>
      <c r="CJ772">
        <f>IFERROR(INDEX(PP_Grid[#Data],$DE772,85),0)</f>
        <v/>
      </c>
      <c r="CK772">
        <f>IFERROR(INDEX(PP_Grid[#Data],$DE772,86),0)</f>
        <v/>
      </c>
      <c r="CL772">
        <f>IFERROR(INDEX(PP_Grid[#Data],$DE772,87),0)</f>
        <v/>
      </c>
      <c r="CM772">
        <f>IFERROR(INDEX(PP_Grid[#Data],$DE772,88),0)</f>
        <v/>
      </c>
      <c r="CN772">
        <f>IFERROR(INDEX(PP_Grid[#Data],$DE772,89),0)</f>
        <v/>
      </c>
      <c r="CO772">
        <f>IFERROR(INDEX(PP_Grid[#Data],$DE772,90),0)</f>
        <v/>
      </c>
      <c r="CP772">
        <f>IFERROR(INDEX(PP_Grid[#Data],$DE772,91),0)</f>
        <v/>
      </c>
      <c r="CQ772">
        <f>IFERROR(INDEX(PP_Grid[#Data],$DE772,92),0)</f>
        <v/>
      </c>
      <c r="CR772">
        <f>IFERROR(INDEX(PP_Grid[#Data],$DE772,93),0)</f>
        <v/>
      </c>
      <c r="CS772">
        <f>IFERROR(INDEX(PP_Grid[#Data],$DE772,94),0)</f>
        <v/>
      </c>
      <c r="CT772">
        <f>IFERROR(INDEX(PP_Grid[#Data],$DE772,95),0)</f>
        <v/>
      </c>
      <c r="CU772">
        <f>IFERROR(INDEX(PP_Grid[#Data],$DE772,96),0)</f>
        <v/>
      </c>
      <c r="CV772">
        <f>IFERROR(INDEX(PP_Grid[#Data],$DE772,97),0)</f>
        <v/>
      </c>
      <c r="CW772">
        <f>IFERROR(INDEX(PP_Grid[#Data],$DE772,98),0)</f>
        <v/>
      </c>
      <c r="CX772">
        <f>IFERROR(INDEX(PP_Grid[#Data],$DE772,99),0)</f>
        <v/>
      </c>
      <c r="CY772">
        <f>IFERROR(INDEX(PP_Grid[#Data],$DE772,100),0)</f>
        <v/>
      </c>
      <c r="CZ772">
        <f>IFERROR(INDEX(PP_Grid[#Data],$DE772,101),0)</f>
        <v/>
      </c>
      <c r="DA772">
        <f>IFERROR(INDEX(PP_Grid[#Data],$DE772,102),0)</f>
        <v/>
      </c>
      <c r="DB772">
        <f>IFERROR(INDEX(PP_Grid[#Data],$DE772,103),0)</f>
        <v/>
      </c>
      <c r="DC772">
        <f>IFERROR(INDEX(PP_Grid[#Data],$DE772,104),0)</f>
        <v/>
      </c>
      <c r="DD772">
        <f>IFERROR(INDEX(PP_Grid[#Data],$DE772,105),0)</f>
        <v/>
      </c>
      <c r="DE772" s="7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SUMIFS(M_BOM[RM_Qty_Per_Batch],M_BOM[Intermediate],$B772,M_BOM[RM_Code],$A745)</f>
        <v/>
      </c>
      <c r="D773">
        <f>IFERROR(INDEX(E773:DD773,$F$1),"")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  <c r="DD773">
        <f>$C773*DD772</f>
        <v/>
      </c>
    </row>
    <row r="774">
      <c r="B774" t="inlineStr">
        <is>
          <t>VSP-602</t>
        </is>
      </c>
      <c r="C774" t="inlineStr">
        <is>
          <t>No. of batches</t>
        </is>
      </c>
      <c r="D774">
        <f>IFERROR(INDEX(E774:DD774,$F$1),"")</f>
        <v/>
      </c>
      <c r="E774">
        <f>IFERROR(INDEX(PP_Grid[#Data],$DE774,2),0)</f>
        <v/>
      </c>
      <c r="F774">
        <f>IFERROR(INDEX(PP_Grid[#Data],$DE774,3),0)</f>
        <v/>
      </c>
      <c r="G774">
        <f>IFERROR(INDEX(PP_Grid[#Data],$DE774,4),0)</f>
        <v/>
      </c>
      <c r="H774">
        <f>IFERROR(INDEX(PP_Grid[#Data],$DE774,5),0)</f>
        <v/>
      </c>
      <c r="I774">
        <f>IFERROR(INDEX(PP_Grid[#Data],$DE774,6),0)</f>
        <v/>
      </c>
      <c r="J774">
        <f>IFERROR(INDEX(PP_Grid[#Data],$DE774,7),0)</f>
        <v/>
      </c>
      <c r="K774">
        <f>IFERROR(INDEX(PP_Grid[#Data],$DE774,8),0)</f>
        <v/>
      </c>
      <c r="L774">
        <f>IFERROR(INDEX(PP_Grid[#Data],$DE774,9),0)</f>
        <v/>
      </c>
      <c r="M774">
        <f>IFERROR(INDEX(PP_Grid[#Data],$DE774,10),0)</f>
        <v/>
      </c>
      <c r="N774">
        <f>IFERROR(INDEX(PP_Grid[#Data],$DE774,11),0)</f>
        <v/>
      </c>
      <c r="O774">
        <f>IFERROR(INDEX(PP_Grid[#Data],$DE774,12),0)</f>
        <v/>
      </c>
      <c r="P774">
        <f>IFERROR(INDEX(PP_Grid[#Data],$DE774,13),0)</f>
        <v/>
      </c>
      <c r="Q774">
        <f>IFERROR(INDEX(PP_Grid[#Data],$DE774,14),0)</f>
        <v/>
      </c>
      <c r="R774">
        <f>IFERROR(INDEX(PP_Grid[#Data],$DE774,15),0)</f>
        <v/>
      </c>
      <c r="S774">
        <f>IFERROR(INDEX(PP_Grid[#Data],$DE774,16),0)</f>
        <v/>
      </c>
      <c r="T774">
        <f>IFERROR(INDEX(PP_Grid[#Data],$DE774,17),0)</f>
        <v/>
      </c>
      <c r="U774">
        <f>IFERROR(INDEX(PP_Grid[#Data],$DE774,18),0)</f>
        <v/>
      </c>
      <c r="V774">
        <f>IFERROR(INDEX(PP_Grid[#Data],$DE774,19),0)</f>
        <v/>
      </c>
      <c r="W774">
        <f>IFERROR(INDEX(PP_Grid[#Data],$DE774,20),0)</f>
        <v/>
      </c>
      <c r="X774">
        <f>IFERROR(INDEX(PP_Grid[#Data],$DE774,21),0)</f>
        <v/>
      </c>
      <c r="Y774">
        <f>IFERROR(INDEX(PP_Grid[#Data],$DE774,22),0)</f>
        <v/>
      </c>
      <c r="Z774">
        <f>IFERROR(INDEX(PP_Grid[#Data],$DE774,23),0)</f>
        <v/>
      </c>
      <c r="AA774">
        <f>IFERROR(INDEX(PP_Grid[#Data],$DE774,24),0)</f>
        <v/>
      </c>
      <c r="AB774">
        <f>IFERROR(INDEX(PP_Grid[#Data],$DE774,25),0)</f>
        <v/>
      </c>
      <c r="AC774">
        <f>IFERROR(INDEX(PP_Grid[#Data],$DE774,26),0)</f>
        <v/>
      </c>
      <c r="AD774">
        <f>IFERROR(INDEX(PP_Grid[#Data],$DE774,27),0)</f>
        <v/>
      </c>
      <c r="AE774">
        <f>IFERROR(INDEX(PP_Grid[#Data],$DE774,28),0)</f>
        <v/>
      </c>
      <c r="AF774">
        <f>IFERROR(INDEX(PP_Grid[#Data],$DE774,29),0)</f>
        <v/>
      </c>
      <c r="AG774">
        <f>IFERROR(INDEX(PP_Grid[#Data],$DE774,30),0)</f>
        <v/>
      </c>
      <c r="AH774">
        <f>IFERROR(INDEX(PP_Grid[#Data],$DE774,31),0)</f>
        <v/>
      </c>
      <c r="AI774">
        <f>IFERROR(INDEX(PP_Grid[#Data],$DE774,32),0)</f>
        <v/>
      </c>
      <c r="AJ774">
        <f>IFERROR(INDEX(PP_Grid[#Data],$DE774,33),0)</f>
        <v/>
      </c>
      <c r="AK774">
        <f>IFERROR(INDEX(PP_Grid[#Data],$DE774,34),0)</f>
        <v/>
      </c>
      <c r="AL774">
        <f>IFERROR(INDEX(PP_Grid[#Data],$DE774,35),0)</f>
        <v/>
      </c>
      <c r="AM774">
        <f>IFERROR(INDEX(PP_Grid[#Data],$DE774,36),0)</f>
        <v/>
      </c>
      <c r="AN774">
        <f>IFERROR(INDEX(PP_Grid[#Data],$DE774,37),0)</f>
        <v/>
      </c>
      <c r="AO774">
        <f>IFERROR(INDEX(PP_Grid[#Data],$DE774,38),0)</f>
        <v/>
      </c>
      <c r="AP774">
        <f>IFERROR(INDEX(PP_Grid[#Data],$DE774,39),0)</f>
        <v/>
      </c>
      <c r="AQ774">
        <f>IFERROR(INDEX(PP_Grid[#Data],$DE774,40),0)</f>
        <v/>
      </c>
      <c r="AR774">
        <f>IFERROR(INDEX(PP_Grid[#Data],$DE774,41),0)</f>
        <v/>
      </c>
      <c r="AS774">
        <f>IFERROR(INDEX(PP_Grid[#Data],$DE774,42),0)</f>
        <v/>
      </c>
      <c r="AT774">
        <f>IFERROR(INDEX(PP_Grid[#Data],$DE774,43),0)</f>
        <v/>
      </c>
      <c r="AU774">
        <f>IFERROR(INDEX(PP_Grid[#Data],$DE774,44),0)</f>
        <v/>
      </c>
      <c r="AV774">
        <f>IFERROR(INDEX(PP_Grid[#Data],$DE774,45),0)</f>
        <v/>
      </c>
      <c r="AW774">
        <f>IFERROR(INDEX(PP_Grid[#Data],$DE774,46),0)</f>
        <v/>
      </c>
      <c r="AX774">
        <f>IFERROR(INDEX(PP_Grid[#Data],$DE774,47),0)</f>
        <v/>
      </c>
      <c r="AY774">
        <f>IFERROR(INDEX(PP_Grid[#Data],$DE774,48),0)</f>
        <v/>
      </c>
      <c r="AZ774">
        <f>IFERROR(INDEX(PP_Grid[#Data],$DE774,49),0)</f>
        <v/>
      </c>
      <c r="BA774">
        <f>IFERROR(INDEX(PP_Grid[#Data],$DE774,50),0)</f>
        <v/>
      </c>
      <c r="BB774">
        <f>IFERROR(INDEX(PP_Grid[#Data],$DE774,51),0)</f>
        <v/>
      </c>
      <c r="BC774">
        <f>IFERROR(INDEX(PP_Grid[#Data],$DE774,52),0)</f>
        <v/>
      </c>
      <c r="BD774">
        <f>IFERROR(INDEX(PP_Grid[#Data],$DE774,53),0)</f>
        <v/>
      </c>
      <c r="BE774">
        <f>IFERROR(INDEX(PP_Grid[#Data],$DE774,54),0)</f>
        <v/>
      </c>
      <c r="BF774">
        <f>IFERROR(INDEX(PP_Grid[#Data],$DE774,55),0)</f>
        <v/>
      </c>
      <c r="BG774">
        <f>IFERROR(INDEX(PP_Grid[#Data],$DE774,56),0)</f>
        <v/>
      </c>
      <c r="BH774">
        <f>IFERROR(INDEX(PP_Grid[#Data],$DE774,57),0)</f>
        <v/>
      </c>
      <c r="BI774">
        <f>IFERROR(INDEX(PP_Grid[#Data],$DE774,58),0)</f>
        <v/>
      </c>
      <c r="BJ774">
        <f>IFERROR(INDEX(PP_Grid[#Data],$DE774,59),0)</f>
        <v/>
      </c>
      <c r="BK774">
        <f>IFERROR(INDEX(PP_Grid[#Data],$DE774,60),0)</f>
        <v/>
      </c>
      <c r="BL774">
        <f>IFERROR(INDEX(PP_Grid[#Data],$DE774,61),0)</f>
        <v/>
      </c>
      <c r="BM774">
        <f>IFERROR(INDEX(PP_Grid[#Data],$DE774,62),0)</f>
        <v/>
      </c>
      <c r="BN774">
        <f>IFERROR(INDEX(PP_Grid[#Data],$DE774,63),0)</f>
        <v/>
      </c>
      <c r="BO774">
        <f>IFERROR(INDEX(PP_Grid[#Data],$DE774,64),0)</f>
        <v/>
      </c>
      <c r="BP774">
        <f>IFERROR(INDEX(PP_Grid[#Data],$DE774,65),0)</f>
        <v/>
      </c>
      <c r="BQ774">
        <f>IFERROR(INDEX(PP_Grid[#Data],$DE774,66),0)</f>
        <v/>
      </c>
      <c r="BR774">
        <f>IFERROR(INDEX(PP_Grid[#Data],$DE774,67),0)</f>
        <v/>
      </c>
      <c r="BS774">
        <f>IFERROR(INDEX(PP_Grid[#Data],$DE774,68),0)</f>
        <v/>
      </c>
      <c r="BT774">
        <f>IFERROR(INDEX(PP_Grid[#Data],$DE774,69),0)</f>
        <v/>
      </c>
      <c r="BU774">
        <f>IFERROR(INDEX(PP_Grid[#Data],$DE774,70),0)</f>
        <v/>
      </c>
      <c r="BV774">
        <f>IFERROR(INDEX(PP_Grid[#Data],$DE774,71),0)</f>
        <v/>
      </c>
      <c r="BW774">
        <f>IFERROR(INDEX(PP_Grid[#Data],$DE774,72),0)</f>
        <v/>
      </c>
      <c r="BX774">
        <f>IFERROR(INDEX(PP_Grid[#Data],$DE774,73),0)</f>
        <v/>
      </c>
      <c r="BY774">
        <f>IFERROR(INDEX(PP_Grid[#Data],$DE774,74),0)</f>
        <v/>
      </c>
      <c r="BZ774">
        <f>IFERROR(INDEX(PP_Grid[#Data],$DE774,75),0)</f>
        <v/>
      </c>
      <c r="CA774">
        <f>IFERROR(INDEX(PP_Grid[#Data],$DE774,76),0)</f>
        <v/>
      </c>
      <c r="CB774">
        <f>IFERROR(INDEX(PP_Grid[#Data],$DE774,77),0)</f>
        <v/>
      </c>
      <c r="CC774">
        <f>IFERROR(INDEX(PP_Grid[#Data],$DE774,78),0)</f>
        <v/>
      </c>
      <c r="CD774">
        <f>IFERROR(INDEX(PP_Grid[#Data],$DE774,79),0)</f>
        <v/>
      </c>
      <c r="CE774">
        <f>IFERROR(INDEX(PP_Grid[#Data],$DE774,80),0)</f>
        <v/>
      </c>
      <c r="CF774">
        <f>IFERROR(INDEX(PP_Grid[#Data],$DE774,81),0)</f>
        <v/>
      </c>
      <c r="CG774">
        <f>IFERROR(INDEX(PP_Grid[#Data],$DE774,82),0)</f>
        <v/>
      </c>
      <c r="CH774">
        <f>IFERROR(INDEX(PP_Grid[#Data],$DE774,83),0)</f>
        <v/>
      </c>
      <c r="CI774">
        <f>IFERROR(INDEX(PP_Grid[#Data],$DE774,84),0)</f>
        <v/>
      </c>
      <c r="CJ774">
        <f>IFERROR(INDEX(PP_Grid[#Data],$DE774,85),0)</f>
        <v/>
      </c>
      <c r="CK774">
        <f>IFERROR(INDEX(PP_Grid[#Data],$DE774,86),0)</f>
        <v/>
      </c>
      <c r="CL774">
        <f>IFERROR(INDEX(PP_Grid[#Data],$DE774,87),0)</f>
        <v/>
      </c>
      <c r="CM774">
        <f>IFERROR(INDEX(PP_Grid[#Data],$DE774,88),0)</f>
        <v/>
      </c>
      <c r="CN774">
        <f>IFERROR(INDEX(PP_Grid[#Data],$DE774,89),0)</f>
        <v/>
      </c>
      <c r="CO774">
        <f>IFERROR(INDEX(PP_Grid[#Data],$DE774,90),0)</f>
        <v/>
      </c>
      <c r="CP774">
        <f>IFERROR(INDEX(PP_Grid[#Data],$DE774,91),0)</f>
        <v/>
      </c>
      <c r="CQ774">
        <f>IFERROR(INDEX(PP_Grid[#Data],$DE774,92),0)</f>
        <v/>
      </c>
      <c r="CR774">
        <f>IFERROR(INDEX(PP_Grid[#Data],$DE774,93),0)</f>
        <v/>
      </c>
      <c r="CS774">
        <f>IFERROR(INDEX(PP_Grid[#Data],$DE774,94),0)</f>
        <v/>
      </c>
      <c r="CT774">
        <f>IFERROR(INDEX(PP_Grid[#Data],$DE774,95),0)</f>
        <v/>
      </c>
      <c r="CU774">
        <f>IFERROR(INDEX(PP_Grid[#Data],$DE774,96),0)</f>
        <v/>
      </c>
      <c r="CV774">
        <f>IFERROR(INDEX(PP_Grid[#Data],$DE774,97),0)</f>
        <v/>
      </c>
      <c r="CW774">
        <f>IFERROR(INDEX(PP_Grid[#Data],$DE774,98),0)</f>
        <v/>
      </c>
      <c r="CX774">
        <f>IFERROR(INDEX(PP_Grid[#Data],$DE774,99),0)</f>
        <v/>
      </c>
      <c r="CY774">
        <f>IFERROR(INDEX(PP_Grid[#Data],$DE774,100),0)</f>
        <v/>
      </c>
      <c r="CZ774">
        <f>IFERROR(INDEX(PP_Grid[#Data],$DE774,101),0)</f>
        <v/>
      </c>
      <c r="DA774">
        <f>IFERROR(INDEX(PP_Grid[#Data],$DE774,102),0)</f>
        <v/>
      </c>
      <c r="DB774">
        <f>IFERROR(INDEX(PP_Grid[#Data],$DE774,103),0)</f>
        <v/>
      </c>
      <c r="DC774">
        <f>IFERROR(INDEX(PP_Grid[#Data],$DE774,104),0)</f>
        <v/>
      </c>
      <c r="DD774">
        <f>IFERROR(INDEX(PP_Grid[#Data],$DE774,105),0)</f>
        <v/>
      </c>
      <c r="DE774" s="7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SUMIFS(M_BOM[RM_Qty_Per_Batch],M_BOM[Intermediate],$B774,M_BOM[RM_Code],$A745)</f>
        <v/>
      </c>
      <c r="D775">
        <f>IFERROR(INDEX(E775:DD775,$F$1),"")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  <c r="DD775">
        <f>$C775*DD774</f>
        <v/>
      </c>
    </row>
    <row r="776">
      <c r="B776" t="inlineStr">
        <is>
          <t>VSP-740</t>
        </is>
      </c>
      <c r="C776" t="inlineStr">
        <is>
          <t>No. of batches</t>
        </is>
      </c>
      <c r="D776">
        <f>IFERROR(INDEX(E776:DD776,$F$1),"")</f>
        <v/>
      </c>
      <c r="E776">
        <f>IFERROR(INDEX(PP_Grid[#Data],$DE776,2),0)</f>
        <v/>
      </c>
      <c r="F776">
        <f>IFERROR(INDEX(PP_Grid[#Data],$DE776,3),0)</f>
        <v/>
      </c>
      <c r="G776">
        <f>IFERROR(INDEX(PP_Grid[#Data],$DE776,4),0)</f>
        <v/>
      </c>
      <c r="H776">
        <f>IFERROR(INDEX(PP_Grid[#Data],$DE776,5),0)</f>
        <v/>
      </c>
      <c r="I776">
        <f>IFERROR(INDEX(PP_Grid[#Data],$DE776,6),0)</f>
        <v/>
      </c>
      <c r="J776">
        <f>IFERROR(INDEX(PP_Grid[#Data],$DE776,7),0)</f>
        <v/>
      </c>
      <c r="K776">
        <f>IFERROR(INDEX(PP_Grid[#Data],$DE776,8),0)</f>
        <v/>
      </c>
      <c r="L776">
        <f>IFERROR(INDEX(PP_Grid[#Data],$DE776,9),0)</f>
        <v/>
      </c>
      <c r="M776">
        <f>IFERROR(INDEX(PP_Grid[#Data],$DE776,10),0)</f>
        <v/>
      </c>
      <c r="N776">
        <f>IFERROR(INDEX(PP_Grid[#Data],$DE776,11),0)</f>
        <v/>
      </c>
      <c r="O776">
        <f>IFERROR(INDEX(PP_Grid[#Data],$DE776,12),0)</f>
        <v/>
      </c>
      <c r="P776">
        <f>IFERROR(INDEX(PP_Grid[#Data],$DE776,13),0)</f>
        <v/>
      </c>
      <c r="Q776">
        <f>IFERROR(INDEX(PP_Grid[#Data],$DE776,14),0)</f>
        <v/>
      </c>
      <c r="R776">
        <f>IFERROR(INDEX(PP_Grid[#Data],$DE776,15),0)</f>
        <v/>
      </c>
      <c r="S776">
        <f>IFERROR(INDEX(PP_Grid[#Data],$DE776,16),0)</f>
        <v/>
      </c>
      <c r="T776">
        <f>IFERROR(INDEX(PP_Grid[#Data],$DE776,17),0)</f>
        <v/>
      </c>
      <c r="U776">
        <f>IFERROR(INDEX(PP_Grid[#Data],$DE776,18),0)</f>
        <v/>
      </c>
      <c r="V776">
        <f>IFERROR(INDEX(PP_Grid[#Data],$DE776,19),0)</f>
        <v/>
      </c>
      <c r="W776">
        <f>IFERROR(INDEX(PP_Grid[#Data],$DE776,20),0)</f>
        <v/>
      </c>
      <c r="X776">
        <f>IFERROR(INDEX(PP_Grid[#Data],$DE776,21),0)</f>
        <v/>
      </c>
      <c r="Y776">
        <f>IFERROR(INDEX(PP_Grid[#Data],$DE776,22),0)</f>
        <v/>
      </c>
      <c r="Z776">
        <f>IFERROR(INDEX(PP_Grid[#Data],$DE776,23),0)</f>
        <v/>
      </c>
      <c r="AA776">
        <f>IFERROR(INDEX(PP_Grid[#Data],$DE776,24),0)</f>
        <v/>
      </c>
      <c r="AB776">
        <f>IFERROR(INDEX(PP_Grid[#Data],$DE776,25),0)</f>
        <v/>
      </c>
      <c r="AC776">
        <f>IFERROR(INDEX(PP_Grid[#Data],$DE776,26),0)</f>
        <v/>
      </c>
      <c r="AD776">
        <f>IFERROR(INDEX(PP_Grid[#Data],$DE776,27),0)</f>
        <v/>
      </c>
      <c r="AE776">
        <f>IFERROR(INDEX(PP_Grid[#Data],$DE776,28),0)</f>
        <v/>
      </c>
      <c r="AF776">
        <f>IFERROR(INDEX(PP_Grid[#Data],$DE776,29),0)</f>
        <v/>
      </c>
      <c r="AG776">
        <f>IFERROR(INDEX(PP_Grid[#Data],$DE776,30),0)</f>
        <v/>
      </c>
      <c r="AH776">
        <f>IFERROR(INDEX(PP_Grid[#Data],$DE776,31),0)</f>
        <v/>
      </c>
      <c r="AI776">
        <f>IFERROR(INDEX(PP_Grid[#Data],$DE776,32),0)</f>
        <v/>
      </c>
      <c r="AJ776">
        <f>IFERROR(INDEX(PP_Grid[#Data],$DE776,33),0)</f>
        <v/>
      </c>
      <c r="AK776">
        <f>IFERROR(INDEX(PP_Grid[#Data],$DE776,34),0)</f>
        <v/>
      </c>
      <c r="AL776">
        <f>IFERROR(INDEX(PP_Grid[#Data],$DE776,35),0)</f>
        <v/>
      </c>
      <c r="AM776">
        <f>IFERROR(INDEX(PP_Grid[#Data],$DE776,36),0)</f>
        <v/>
      </c>
      <c r="AN776">
        <f>IFERROR(INDEX(PP_Grid[#Data],$DE776,37),0)</f>
        <v/>
      </c>
      <c r="AO776">
        <f>IFERROR(INDEX(PP_Grid[#Data],$DE776,38),0)</f>
        <v/>
      </c>
      <c r="AP776">
        <f>IFERROR(INDEX(PP_Grid[#Data],$DE776,39),0)</f>
        <v/>
      </c>
      <c r="AQ776">
        <f>IFERROR(INDEX(PP_Grid[#Data],$DE776,40),0)</f>
        <v/>
      </c>
      <c r="AR776">
        <f>IFERROR(INDEX(PP_Grid[#Data],$DE776,41),0)</f>
        <v/>
      </c>
      <c r="AS776">
        <f>IFERROR(INDEX(PP_Grid[#Data],$DE776,42),0)</f>
        <v/>
      </c>
      <c r="AT776">
        <f>IFERROR(INDEX(PP_Grid[#Data],$DE776,43),0)</f>
        <v/>
      </c>
      <c r="AU776">
        <f>IFERROR(INDEX(PP_Grid[#Data],$DE776,44),0)</f>
        <v/>
      </c>
      <c r="AV776">
        <f>IFERROR(INDEX(PP_Grid[#Data],$DE776,45),0)</f>
        <v/>
      </c>
      <c r="AW776">
        <f>IFERROR(INDEX(PP_Grid[#Data],$DE776,46),0)</f>
        <v/>
      </c>
      <c r="AX776">
        <f>IFERROR(INDEX(PP_Grid[#Data],$DE776,47),0)</f>
        <v/>
      </c>
      <c r="AY776">
        <f>IFERROR(INDEX(PP_Grid[#Data],$DE776,48),0)</f>
        <v/>
      </c>
      <c r="AZ776">
        <f>IFERROR(INDEX(PP_Grid[#Data],$DE776,49),0)</f>
        <v/>
      </c>
      <c r="BA776">
        <f>IFERROR(INDEX(PP_Grid[#Data],$DE776,50),0)</f>
        <v/>
      </c>
      <c r="BB776">
        <f>IFERROR(INDEX(PP_Grid[#Data],$DE776,51),0)</f>
        <v/>
      </c>
      <c r="BC776">
        <f>IFERROR(INDEX(PP_Grid[#Data],$DE776,52),0)</f>
        <v/>
      </c>
      <c r="BD776">
        <f>IFERROR(INDEX(PP_Grid[#Data],$DE776,53),0)</f>
        <v/>
      </c>
      <c r="BE776">
        <f>IFERROR(INDEX(PP_Grid[#Data],$DE776,54),0)</f>
        <v/>
      </c>
      <c r="BF776">
        <f>IFERROR(INDEX(PP_Grid[#Data],$DE776,55),0)</f>
        <v/>
      </c>
      <c r="BG776">
        <f>IFERROR(INDEX(PP_Grid[#Data],$DE776,56),0)</f>
        <v/>
      </c>
      <c r="BH776">
        <f>IFERROR(INDEX(PP_Grid[#Data],$DE776,57),0)</f>
        <v/>
      </c>
      <c r="BI776">
        <f>IFERROR(INDEX(PP_Grid[#Data],$DE776,58),0)</f>
        <v/>
      </c>
      <c r="BJ776">
        <f>IFERROR(INDEX(PP_Grid[#Data],$DE776,59),0)</f>
        <v/>
      </c>
      <c r="BK776">
        <f>IFERROR(INDEX(PP_Grid[#Data],$DE776,60),0)</f>
        <v/>
      </c>
      <c r="BL776">
        <f>IFERROR(INDEX(PP_Grid[#Data],$DE776,61),0)</f>
        <v/>
      </c>
      <c r="BM776">
        <f>IFERROR(INDEX(PP_Grid[#Data],$DE776,62),0)</f>
        <v/>
      </c>
      <c r="BN776">
        <f>IFERROR(INDEX(PP_Grid[#Data],$DE776,63),0)</f>
        <v/>
      </c>
      <c r="BO776">
        <f>IFERROR(INDEX(PP_Grid[#Data],$DE776,64),0)</f>
        <v/>
      </c>
      <c r="BP776">
        <f>IFERROR(INDEX(PP_Grid[#Data],$DE776,65),0)</f>
        <v/>
      </c>
      <c r="BQ776">
        <f>IFERROR(INDEX(PP_Grid[#Data],$DE776,66),0)</f>
        <v/>
      </c>
      <c r="BR776">
        <f>IFERROR(INDEX(PP_Grid[#Data],$DE776,67),0)</f>
        <v/>
      </c>
      <c r="BS776">
        <f>IFERROR(INDEX(PP_Grid[#Data],$DE776,68),0)</f>
        <v/>
      </c>
      <c r="BT776">
        <f>IFERROR(INDEX(PP_Grid[#Data],$DE776,69),0)</f>
        <v/>
      </c>
      <c r="BU776">
        <f>IFERROR(INDEX(PP_Grid[#Data],$DE776,70),0)</f>
        <v/>
      </c>
      <c r="BV776">
        <f>IFERROR(INDEX(PP_Grid[#Data],$DE776,71),0)</f>
        <v/>
      </c>
      <c r="BW776">
        <f>IFERROR(INDEX(PP_Grid[#Data],$DE776,72),0)</f>
        <v/>
      </c>
      <c r="BX776">
        <f>IFERROR(INDEX(PP_Grid[#Data],$DE776,73),0)</f>
        <v/>
      </c>
      <c r="BY776">
        <f>IFERROR(INDEX(PP_Grid[#Data],$DE776,74),0)</f>
        <v/>
      </c>
      <c r="BZ776">
        <f>IFERROR(INDEX(PP_Grid[#Data],$DE776,75),0)</f>
        <v/>
      </c>
      <c r="CA776">
        <f>IFERROR(INDEX(PP_Grid[#Data],$DE776,76),0)</f>
        <v/>
      </c>
      <c r="CB776">
        <f>IFERROR(INDEX(PP_Grid[#Data],$DE776,77),0)</f>
        <v/>
      </c>
      <c r="CC776">
        <f>IFERROR(INDEX(PP_Grid[#Data],$DE776,78),0)</f>
        <v/>
      </c>
      <c r="CD776">
        <f>IFERROR(INDEX(PP_Grid[#Data],$DE776,79),0)</f>
        <v/>
      </c>
      <c r="CE776">
        <f>IFERROR(INDEX(PP_Grid[#Data],$DE776,80),0)</f>
        <v/>
      </c>
      <c r="CF776">
        <f>IFERROR(INDEX(PP_Grid[#Data],$DE776,81),0)</f>
        <v/>
      </c>
      <c r="CG776">
        <f>IFERROR(INDEX(PP_Grid[#Data],$DE776,82),0)</f>
        <v/>
      </c>
      <c r="CH776">
        <f>IFERROR(INDEX(PP_Grid[#Data],$DE776,83),0)</f>
        <v/>
      </c>
      <c r="CI776">
        <f>IFERROR(INDEX(PP_Grid[#Data],$DE776,84),0)</f>
        <v/>
      </c>
      <c r="CJ776">
        <f>IFERROR(INDEX(PP_Grid[#Data],$DE776,85),0)</f>
        <v/>
      </c>
      <c r="CK776">
        <f>IFERROR(INDEX(PP_Grid[#Data],$DE776,86),0)</f>
        <v/>
      </c>
      <c r="CL776">
        <f>IFERROR(INDEX(PP_Grid[#Data],$DE776,87),0)</f>
        <v/>
      </c>
      <c r="CM776">
        <f>IFERROR(INDEX(PP_Grid[#Data],$DE776,88),0)</f>
        <v/>
      </c>
      <c r="CN776">
        <f>IFERROR(INDEX(PP_Grid[#Data],$DE776,89),0)</f>
        <v/>
      </c>
      <c r="CO776">
        <f>IFERROR(INDEX(PP_Grid[#Data],$DE776,90),0)</f>
        <v/>
      </c>
      <c r="CP776">
        <f>IFERROR(INDEX(PP_Grid[#Data],$DE776,91),0)</f>
        <v/>
      </c>
      <c r="CQ776">
        <f>IFERROR(INDEX(PP_Grid[#Data],$DE776,92),0)</f>
        <v/>
      </c>
      <c r="CR776">
        <f>IFERROR(INDEX(PP_Grid[#Data],$DE776,93),0)</f>
        <v/>
      </c>
      <c r="CS776">
        <f>IFERROR(INDEX(PP_Grid[#Data],$DE776,94),0)</f>
        <v/>
      </c>
      <c r="CT776">
        <f>IFERROR(INDEX(PP_Grid[#Data],$DE776,95),0)</f>
        <v/>
      </c>
      <c r="CU776">
        <f>IFERROR(INDEX(PP_Grid[#Data],$DE776,96),0)</f>
        <v/>
      </c>
      <c r="CV776">
        <f>IFERROR(INDEX(PP_Grid[#Data],$DE776,97),0)</f>
        <v/>
      </c>
      <c r="CW776">
        <f>IFERROR(INDEX(PP_Grid[#Data],$DE776,98),0)</f>
        <v/>
      </c>
      <c r="CX776">
        <f>IFERROR(INDEX(PP_Grid[#Data],$DE776,99),0)</f>
        <v/>
      </c>
      <c r="CY776">
        <f>IFERROR(INDEX(PP_Grid[#Data],$DE776,100),0)</f>
        <v/>
      </c>
      <c r="CZ776">
        <f>IFERROR(INDEX(PP_Grid[#Data],$DE776,101),0)</f>
        <v/>
      </c>
      <c r="DA776">
        <f>IFERROR(INDEX(PP_Grid[#Data],$DE776,102),0)</f>
        <v/>
      </c>
      <c r="DB776">
        <f>IFERROR(INDEX(PP_Grid[#Data],$DE776,103),0)</f>
        <v/>
      </c>
      <c r="DC776">
        <f>IFERROR(INDEX(PP_Grid[#Data],$DE776,104),0)</f>
        <v/>
      </c>
      <c r="DD776">
        <f>IFERROR(INDEX(PP_Grid[#Data],$DE776,105),0)</f>
        <v/>
      </c>
      <c r="DE776" s="7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SUMIFS(M_BOM[RM_Qty_Per_Batch],M_BOM[Intermediate],$B776,M_BOM[RM_Code],$A745)</f>
        <v/>
      </c>
      <c r="D777">
        <f>IFERROR(INDEX(E777:DD777,$F$1),"")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  <c r="DD777">
        <f>$C777*DD776</f>
        <v/>
      </c>
    </row>
    <row r="778">
      <c r="B778" t="inlineStr">
        <is>
          <t>TPP-350</t>
        </is>
      </c>
      <c r="C778" t="inlineStr">
        <is>
          <t>No. of batches</t>
        </is>
      </c>
      <c r="D778">
        <f>IFERROR(INDEX(E778:DD778,$F$1),"")</f>
        <v/>
      </c>
      <c r="E778">
        <f>IFERROR(INDEX(PP_Grid[#Data],$DE778,2),0)</f>
        <v/>
      </c>
      <c r="F778">
        <f>IFERROR(INDEX(PP_Grid[#Data],$DE778,3),0)</f>
        <v/>
      </c>
      <c r="G778">
        <f>IFERROR(INDEX(PP_Grid[#Data],$DE778,4),0)</f>
        <v/>
      </c>
      <c r="H778">
        <f>IFERROR(INDEX(PP_Grid[#Data],$DE778,5),0)</f>
        <v/>
      </c>
      <c r="I778">
        <f>IFERROR(INDEX(PP_Grid[#Data],$DE778,6),0)</f>
        <v/>
      </c>
      <c r="J778">
        <f>IFERROR(INDEX(PP_Grid[#Data],$DE778,7),0)</f>
        <v/>
      </c>
      <c r="K778">
        <f>IFERROR(INDEX(PP_Grid[#Data],$DE778,8),0)</f>
        <v/>
      </c>
      <c r="L778">
        <f>IFERROR(INDEX(PP_Grid[#Data],$DE778,9),0)</f>
        <v/>
      </c>
      <c r="M778">
        <f>IFERROR(INDEX(PP_Grid[#Data],$DE778,10),0)</f>
        <v/>
      </c>
      <c r="N778">
        <f>IFERROR(INDEX(PP_Grid[#Data],$DE778,11),0)</f>
        <v/>
      </c>
      <c r="O778">
        <f>IFERROR(INDEX(PP_Grid[#Data],$DE778,12),0)</f>
        <v/>
      </c>
      <c r="P778">
        <f>IFERROR(INDEX(PP_Grid[#Data],$DE778,13),0)</f>
        <v/>
      </c>
      <c r="Q778">
        <f>IFERROR(INDEX(PP_Grid[#Data],$DE778,14),0)</f>
        <v/>
      </c>
      <c r="R778">
        <f>IFERROR(INDEX(PP_Grid[#Data],$DE778,15),0)</f>
        <v/>
      </c>
      <c r="S778">
        <f>IFERROR(INDEX(PP_Grid[#Data],$DE778,16),0)</f>
        <v/>
      </c>
      <c r="T778">
        <f>IFERROR(INDEX(PP_Grid[#Data],$DE778,17),0)</f>
        <v/>
      </c>
      <c r="U778">
        <f>IFERROR(INDEX(PP_Grid[#Data],$DE778,18),0)</f>
        <v/>
      </c>
      <c r="V778">
        <f>IFERROR(INDEX(PP_Grid[#Data],$DE778,19),0)</f>
        <v/>
      </c>
      <c r="W778">
        <f>IFERROR(INDEX(PP_Grid[#Data],$DE778,20),0)</f>
        <v/>
      </c>
      <c r="X778">
        <f>IFERROR(INDEX(PP_Grid[#Data],$DE778,21),0)</f>
        <v/>
      </c>
      <c r="Y778">
        <f>IFERROR(INDEX(PP_Grid[#Data],$DE778,22),0)</f>
        <v/>
      </c>
      <c r="Z778">
        <f>IFERROR(INDEX(PP_Grid[#Data],$DE778,23),0)</f>
        <v/>
      </c>
      <c r="AA778">
        <f>IFERROR(INDEX(PP_Grid[#Data],$DE778,24),0)</f>
        <v/>
      </c>
      <c r="AB778">
        <f>IFERROR(INDEX(PP_Grid[#Data],$DE778,25),0)</f>
        <v/>
      </c>
      <c r="AC778">
        <f>IFERROR(INDEX(PP_Grid[#Data],$DE778,26),0)</f>
        <v/>
      </c>
      <c r="AD778">
        <f>IFERROR(INDEX(PP_Grid[#Data],$DE778,27),0)</f>
        <v/>
      </c>
      <c r="AE778">
        <f>IFERROR(INDEX(PP_Grid[#Data],$DE778,28),0)</f>
        <v/>
      </c>
      <c r="AF778">
        <f>IFERROR(INDEX(PP_Grid[#Data],$DE778,29),0)</f>
        <v/>
      </c>
      <c r="AG778">
        <f>IFERROR(INDEX(PP_Grid[#Data],$DE778,30),0)</f>
        <v/>
      </c>
      <c r="AH778">
        <f>IFERROR(INDEX(PP_Grid[#Data],$DE778,31),0)</f>
        <v/>
      </c>
      <c r="AI778">
        <f>IFERROR(INDEX(PP_Grid[#Data],$DE778,32),0)</f>
        <v/>
      </c>
      <c r="AJ778">
        <f>IFERROR(INDEX(PP_Grid[#Data],$DE778,33),0)</f>
        <v/>
      </c>
      <c r="AK778">
        <f>IFERROR(INDEX(PP_Grid[#Data],$DE778,34),0)</f>
        <v/>
      </c>
      <c r="AL778">
        <f>IFERROR(INDEX(PP_Grid[#Data],$DE778,35),0)</f>
        <v/>
      </c>
      <c r="AM778">
        <f>IFERROR(INDEX(PP_Grid[#Data],$DE778,36),0)</f>
        <v/>
      </c>
      <c r="AN778">
        <f>IFERROR(INDEX(PP_Grid[#Data],$DE778,37),0)</f>
        <v/>
      </c>
      <c r="AO778">
        <f>IFERROR(INDEX(PP_Grid[#Data],$DE778,38),0)</f>
        <v/>
      </c>
      <c r="AP778">
        <f>IFERROR(INDEX(PP_Grid[#Data],$DE778,39),0)</f>
        <v/>
      </c>
      <c r="AQ778">
        <f>IFERROR(INDEX(PP_Grid[#Data],$DE778,40),0)</f>
        <v/>
      </c>
      <c r="AR778">
        <f>IFERROR(INDEX(PP_Grid[#Data],$DE778,41),0)</f>
        <v/>
      </c>
      <c r="AS778">
        <f>IFERROR(INDEX(PP_Grid[#Data],$DE778,42),0)</f>
        <v/>
      </c>
      <c r="AT778">
        <f>IFERROR(INDEX(PP_Grid[#Data],$DE778,43),0)</f>
        <v/>
      </c>
      <c r="AU778">
        <f>IFERROR(INDEX(PP_Grid[#Data],$DE778,44),0)</f>
        <v/>
      </c>
      <c r="AV778">
        <f>IFERROR(INDEX(PP_Grid[#Data],$DE778,45),0)</f>
        <v/>
      </c>
      <c r="AW778">
        <f>IFERROR(INDEX(PP_Grid[#Data],$DE778,46),0)</f>
        <v/>
      </c>
      <c r="AX778">
        <f>IFERROR(INDEX(PP_Grid[#Data],$DE778,47),0)</f>
        <v/>
      </c>
      <c r="AY778">
        <f>IFERROR(INDEX(PP_Grid[#Data],$DE778,48),0)</f>
        <v/>
      </c>
      <c r="AZ778">
        <f>IFERROR(INDEX(PP_Grid[#Data],$DE778,49),0)</f>
        <v/>
      </c>
      <c r="BA778">
        <f>IFERROR(INDEX(PP_Grid[#Data],$DE778,50),0)</f>
        <v/>
      </c>
      <c r="BB778">
        <f>IFERROR(INDEX(PP_Grid[#Data],$DE778,51),0)</f>
        <v/>
      </c>
      <c r="BC778">
        <f>IFERROR(INDEX(PP_Grid[#Data],$DE778,52),0)</f>
        <v/>
      </c>
      <c r="BD778">
        <f>IFERROR(INDEX(PP_Grid[#Data],$DE778,53),0)</f>
        <v/>
      </c>
      <c r="BE778">
        <f>IFERROR(INDEX(PP_Grid[#Data],$DE778,54),0)</f>
        <v/>
      </c>
      <c r="BF778">
        <f>IFERROR(INDEX(PP_Grid[#Data],$DE778,55),0)</f>
        <v/>
      </c>
      <c r="BG778">
        <f>IFERROR(INDEX(PP_Grid[#Data],$DE778,56),0)</f>
        <v/>
      </c>
      <c r="BH778">
        <f>IFERROR(INDEX(PP_Grid[#Data],$DE778,57),0)</f>
        <v/>
      </c>
      <c r="BI778">
        <f>IFERROR(INDEX(PP_Grid[#Data],$DE778,58),0)</f>
        <v/>
      </c>
      <c r="BJ778">
        <f>IFERROR(INDEX(PP_Grid[#Data],$DE778,59),0)</f>
        <v/>
      </c>
      <c r="BK778">
        <f>IFERROR(INDEX(PP_Grid[#Data],$DE778,60),0)</f>
        <v/>
      </c>
      <c r="BL778">
        <f>IFERROR(INDEX(PP_Grid[#Data],$DE778,61),0)</f>
        <v/>
      </c>
      <c r="BM778">
        <f>IFERROR(INDEX(PP_Grid[#Data],$DE778,62),0)</f>
        <v/>
      </c>
      <c r="BN778">
        <f>IFERROR(INDEX(PP_Grid[#Data],$DE778,63),0)</f>
        <v/>
      </c>
      <c r="BO778">
        <f>IFERROR(INDEX(PP_Grid[#Data],$DE778,64),0)</f>
        <v/>
      </c>
      <c r="BP778">
        <f>IFERROR(INDEX(PP_Grid[#Data],$DE778,65),0)</f>
        <v/>
      </c>
      <c r="BQ778">
        <f>IFERROR(INDEX(PP_Grid[#Data],$DE778,66),0)</f>
        <v/>
      </c>
      <c r="BR778">
        <f>IFERROR(INDEX(PP_Grid[#Data],$DE778,67),0)</f>
        <v/>
      </c>
      <c r="BS778">
        <f>IFERROR(INDEX(PP_Grid[#Data],$DE778,68),0)</f>
        <v/>
      </c>
      <c r="BT778">
        <f>IFERROR(INDEX(PP_Grid[#Data],$DE778,69),0)</f>
        <v/>
      </c>
      <c r="BU778">
        <f>IFERROR(INDEX(PP_Grid[#Data],$DE778,70),0)</f>
        <v/>
      </c>
      <c r="BV778">
        <f>IFERROR(INDEX(PP_Grid[#Data],$DE778,71),0)</f>
        <v/>
      </c>
      <c r="BW778">
        <f>IFERROR(INDEX(PP_Grid[#Data],$DE778,72),0)</f>
        <v/>
      </c>
      <c r="BX778">
        <f>IFERROR(INDEX(PP_Grid[#Data],$DE778,73),0)</f>
        <v/>
      </c>
      <c r="BY778">
        <f>IFERROR(INDEX(PP_Grid[#Data],$DE778,74),0)</f>
        <v/>
      </c>
      <c r="BZ778">
        <f>IFERROR(INDEX(PP_Grid[#Data],$DE778,75),0)</f>
        <v/>
      </c>
      <c r="CA778">
        <f>IFERROR(INDEX(PP_Grid[#Data],$DE778,76),0)</f>
        <v/>
      </c>
      <c r="CB778">
        <f>IFERROR(INDEX(PP_Grid[#Data],$DE778,77),0)</f>
        <v/>
      </c>
      <c r="CC778">
        <f>IFERROR(INDEX(PP_Grid[#Data],$DE778,78),0)</f>
        <v/>
      </c>
      <c r="CD778">
        <f>IFERROR(INDEX(PP_Grid[#Data],$DE778,79),0)</f>
        <v/>
      </c>
      <c r="CE778">
        <f>IFERROR(INDEX(PP_Grid[#Data],$DE778,80),0)</f>
        <v/>
      </c>
      <c r="CF778">
        <f>IFERROR(INDEX(PP_Grid[#Data],$DE778,81),0)</f>
        <v/>
      </c>
      <c r="CG778">
        <f>IFERROR(INDEX(PP_Grid[#Data],$DE778,82),0)</f>
        <v/>
      </c>
      <c r="CH778">
        <f>IFERROR(INDEX(PP_Grid[#Data],$DE778,83),0)</f>
        <v/>
      </c>
      <c r="CI778">
        <f>IFERROR(INDEX(PP_Grid[#Data],$DE778,84),0)</f>
        <v/>
      </c>
      <c r="CJ778">
        <f>IFERROR(INDEX(PP_Grid[#Data],$DE778,85),0)</f>
        <v/>
      </c>
      <c r="CK778">
        <f>IFERROR(INDEX(PP_Grid[#Data],$DE778,86),0)</f>
        <v/>
      </c>
      <c r="CL778">
        <f>IFERROR(INDEX(PP_Grid[#Data],$DE778,87),0)</f>
        <v/>
      </c>
      <c r="CM778">
        <f>IFERROR(INDEX(PP_Grid[#Data],$DE778,88),0)</f>
        <v/>
      </c>
      <c r="CN778">
        <f>IFERROR(INDEX(PP_Grid[#Data],$DE778,89),0)</f>
        <v/>
      </c>
      <c r="CO778">
        <f>IFERROR(INDEX(PP_Grid[#Data],$DE778,90),0)</f>
        <v/>
      </c>
      <c r="CP778">
        <f>IFERROR(INDEX(PP_Grid[#Data],$DE778,91),0)</f>
        <v/>
      </c>
      <c r="CQ778">
        <f>IFERROR(INDEX(PP_Grid[#Data],$DE778,92),0)</f>
        <v/>
      </c>
      <c r="CR778">
        <f>IFERROR(INDEX(PP_Grid[#Data],$DE778,93),0)</f>
        <v/>
      </c>
      <c r="CS778">
        <f>IFERROR(INDEX(PP_Grid[#Data],$DE778,94),0)</f>
        <v/>
      </c>
      <c r="CT778">
        <f>IFERROR(INDEX(PP_Grid[#Data],$DE778,95),0)</f>
        <v/>
      </c>
      <c r="CU778">
        <f>IFERROR(INDEX(PP_Grid[#Data],$DE778,96),0)</f>
        <v/>
      </c>
      <c r="CV778">
        <f>IFERROR(INDEX(PP_Grid[#Data],$DE778,97),0)</f>
        <v/>
      </c>
      <c r="CW778">
        <f>IFERROR(INDEX(PP_Grid[#Data],$DE778,98),0)</f>
        <v/>
      </c>
      <c r="CX778">
        <f>IFERROR(INDEX(PP_Grid[#Data],$DE778,99),0)</f>
        <v/>
      </c>
      <c r="CY778">
        <f>IFERROR(INDEX(PP_Grid[#Data],$DE778,100),0)</f>
        <v/>
      </c>
      <c r="CZ778">
        <f>IFERROR(INDEX(PP_Grid[#Data],$DE778,101),0)</f>
        <v/>
      </c>
      <c r="DA778">
        <f>IFERROR(INDEX(PP_Grid[#Data],$DE778,102),0)</f>
        <v/>
      </c>
      <c r="DB778">
        <f>IFERROR(INDEX(PP_Grid[#Data],$DE778,103),0)</f>
        <v/>
      </c>
      <c r="DC778">
        <f>IFERROR(INDEX(PP_Grid[#Data],$DE778,104),0)</f>
        <v/>
      </c>
      <c r="DD778">
        <f>IFERROR(INDEX(PP_Grid[#Data],$DE778,105),0)</f>
        <v/>
      </c>
      <c r="DE778" s="7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SUMIFS(M_BOM[RM_Qty_Per_Batch],M_BOM[Intermediate],$B778,M_BOM[RM_Code],$A745)</f>
        <v/>
      </c>
      <c r="D779">
        <f>IFERROR(INDEX(E779:DD779,$F$1),"")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  <c r="DD779">
        <f>$C779*DD778</f>
        <v/>
      </c>
    </row>
    <row r="780">
      <c r="B780" t="inlineStr">
        <is>
          <t>TPP-378</t>
        </is>
      </c>
      <c r="C780" t="inlineStr">
        <is>
          <t>No. of batches</t>
        </is>
      </c>
      <c r="D780">
        <f>IFERROR(INDEX(E780:DD780,$F$1),"")</f>
        <v/>
      </c>
      <c r="E780">
        <f>IFERROR(INDEX(PP_Grid[#Data],$DE780,2),0)</f>
        <v/>
      </c>
      <c r="F780">
        <f>IFERROR(INDEX(PP_Grid[#Data],$DE780,3),0)</f>
        <v/>
      </c>
      <c r="G780">
        <f>IFERROR(INDEX(PP_Grid[#Data],$DE780,4),0)</f>
        <v/>
      </c>
      <c r="H780">
        <f>IFERROR(INDEX(PP_Grid[#Data],$DE780,5),0)</f>
        <v/>
      </c>
      <c r="I780">
        <f>IFERROR(INDEX(PP_Grid[#Data],$DE780,6),0)</f>
        <v/>
      </c>
      <c r="J780">
        <f>IFERROR(INDEX(PP_Grid[#Data],$DE780,7),0)</f>
        <v/>
      </c>
      <c r="K780">
        <f>IFERROR(INDEX(PP_Grid[#Data],$DE780,8),0)</f>
        <v/>
      </c>
      <c r="L780">
        <f>IFERROR(INDEX(PP_Grid[#Data],$DE780,9),0)</f>
        <v/>
      </c>
      <c r="M780">
        <f>IFERROR(INDEX(PP_Grid[#Data],$DE780,10),0)</f>
        <v/>
      </c>
      <c r="N780">
        <f>IFERROR(INDEX(PP_Grid[#Data],$DE780,11),0)</f>
        <v/>
      </c>
      <c r="O780">
        <f>IFERROR(INDEX(PP_Grid[#Data],$DE780,12),0)</f>
        <v/>
      </c>
      <c r="P780">
        <f>IFERROR(INDEX(PP_Grid[#Data],$DE780,13),0)</f>
        <v/>
      </c>
      <c r="Q780">
        <f>IFERROR(INDEX(PP_Grid[#Data],$DE780,14),0)</f>
        <v/>
      </c>
      <c r="R780">
        <f>IFERROR(INDEX(PP_Grid[#Data],$DE780,15),0)</f>
        <v/>
      </c>
      <c r="S780">
        <f>IFERROR(INDEX(PP_Grid[#Data],$DE780,16),0)</f>
        <v/>
      </c>
      <c r="T780">
        <f>IFERROR(INDEX(PP_Grid[#Data],$DE780,17),0)</f>
        <v/>
      </c>
      <c r="U780">
        <f>IFERROR(INDEX(PP_Grid[#Data],$DE780,18),0)</f>
        <v/>
      </c>
      <c r="V780">
        <f>IFERROR(INDEX(PP_Grid[#Data],$DE780,19),0)</f>
        <v/>
      </c>
      <c r="W780">
        <f>IFERROR(INDEX(PP_Grid[#Data],$DE780,20),0)</f>
        <v/>
      </c>
      <c r="X780">
        <f>IFERROR(INDEX(PP_Grid[#Data],$DE780,21),0)</f>
        <v/>
      </c>
      <c r="Y780">
        <f>IFERROR(INDEX(PP_Grid[#Data],$DE780,22),0)</f>
        <v/>
      </c>
      <c r="Z780">
        <f>IFERROR(INDEX(PP_Grid[#Data],$DE780,23),0)</f>
        <v/>
      </c>
      <c r="AA780">
        <f>IFERROR(INDEX(PP_Grid[#Data],$DE780,24),0)</f>
        <v/>
      </c>
      <c r="AB780">
        <f>IFERROR(INDEX(PP_Grid[#Data],$DE780,25),0)</f>
        <v/>
      </c>
      <c r="AC780">
        <f>IFERROR(INDEX(PP_Grid[#Data],$DE780,26),0)</f>
        <v/>
      </c>
      <c r="AD780">
        <f>IFERROR(INDEX(PP_Grid[#Data],$DE780,27),0)</f>
        <v/>
      </c>
      <c r="AE780">
        <f>IFERROR(INDEX(PP_Grid[#Data],$DE780,28),0)</f>
        <v/>
      </c>
      <c r="AF780">
        <f>IFERROR(INDEX(PP_Grid[#Data],$DE780,29),0)</f>
        <v/>
      </c>
      <c r="AG780">
        <f>IFERROR(INDEX(PP_Grid[#Data],$DE780,30),0)</f>
        <v/>
      </c>
      <c r="AH780">
        <f>IFERROR(INDEX(PP_Grid[#Data],$DE780,31),0)</f>
        <v/>
      </c>
      <c r="AI780">
        <f>IFERROR(INDEX(PP_Grid[#Data],$DE780,32),0)</f>
        <v/>
      </c>
      <c r="AJ780">
        <f>IFERROR(INDEX(PP_Grid[#Data],$DE780,33),0)</f>
        <v/>
      </c>
      <c r="AK780">
        <f>IFERROR(INDEX(PP_Grid[#Data],$DE780,34),0)</f>
        <v/>
      </c>
      <c r="AL780">
        <f>IFERROR(INDEX(PP_Grid[#Data],$DE780,35),0)</f>
        <v/>
      </c>
      <c r="AM780">
        <f>IFERROR(INDEX(PP_Grid[#Data],$DE780,36),0)</f>
        <v/>
      </c>
      <c r="AN780">
        <f>IFERROR(INDEX(PP_Grid[#Data],$DE780,37),0)</f>
        <v/>
      </c>
      <c r="AO780">
        <f>IFERROR(INDEX(PP_Grid[#Data],$DE780,38),0)</f>
        <v/>
      </c>
      <c r="AP780">
        <f>IFERROR(INDEX(PP_Grid[#Data],$DE780,39),0)</f>
        <v/>
      </c>
      <c r="AQ780">
        <f>IFERROR(INDEX(PP_Grid[#Data],$DE780,40),0)</f>
        <v/>
      </c>
      <c r="AR780">
        <f>IFERROR(INDEX(PP_Grid[#Data],$DE780,41),0)</f>
        <v/>
      </c>
      <c r="AS780">
        <f>IFERROR(INDEX(PP_Grid[#Data],$DE780,42),0)</f>
        <v/>
      </c>
      <c r="AT780">
        <f>IFERROR(INDEX(PP_Grid[#Data],$DE780,43),0)</f>
        <v/>
      </c>
      <c r="AU780">
        <f>IFERROR(INDEX(PP_Grid[#Data],$DE780,44),0)</f>
        <v/>
      </c>
      <c r="AV780">
        <f>IFERROR(INDEX(PP_Grid[#Data],$DE780,45),0)</f>
        <v/>
      </c>
      <c r="AW780">
        <f>IFERROR(INDEX(PP_Grid[#Data],$DE780,46),0)</f>
        <v/>
      </c>
      <c r="AX780">
        <f>IFERROR(INDEX(PP_Grid[#Data],$DE780,47),0)</f>
        <v/>
      </c>
      <c r="AY780">
        <f>IFERROR(INDEX(PP_Grid[#Data],$DE780,48),0)</f>
        <v/>
      </c>
      <c r="AZ780">
        <f>IFERROR(INDEX(PP_Grid[#Data],$DE780,49),0)</f>
        <v/>
      </c>
      <c r="BA780">
        <f>IFERROR(INDEX(PP_Grid[#Data],$DE780,50),0)</f>
        <v/>
      </c>
      <c r="BB780">
        <f>IFERROR(INDEX(PP_Grid[#Data],$DE780,51),0)</f>
        <v/>
      </c>
      <c r="BC780">
        <f>IFERROR(INDEX(PP_Grid[#Data],$DE780,52),0)</f>
        <v/>
      </c>
      <c r="BD780">
        <f>IFERROR(INDEX(PP_Grid[#Data],$DE780,53),0)</f>
        <v/>
      </c>
      <c r="BE780">
        <f>IFERROR(INDEX(PP_Grid[#Data],$DE780,54),0)</f>
        <v/>
      </c>
      <c r="BF780">
        <f>IFERROR(INDEX(PP_Grid[#Data],$DE780,55),0)</f>
        <v/>
      </c>
      <c r="BG780">
        <f>IFERROR(INDEX(PP_Grid[#Data],$DE780,56),0)</f>
        <v/>
      </c>
      <c r="BH780">
        <f>IFERROR(INDEX(PP_Grid[#Data],$DE780,57),0)</f>
        <v/>
      </c>
      <c r="BI780">
        <f>IFERROR(INDEX(PP_Grid[#Data],$DE780,58),0)</f>
        <v/>
      </c>
      <c r="BJ780">
        <f>IFERROR(INDEX(PP_Grid[#Data],$DE780,59),0)</f>
        <v/>
      </c>
      <c r="BK780">
        <f>IFERROR(INDEX(PP_Grid[#Data],$DE780,60),0)</f>
        <v/>
      </c>
      <c r="BL780">
        <f>IFERROR(INDEX(PP_Grid[#Data],$DE780,61),0)</f>
        <v/>
      </c>
      <c r="BM780">
        <f>IFERROR(INDEX(PP_Grid[#Data],$DE780,62),0)</f>
        <v/>
      </c>
      <c r="BN780">
        <f>IFERROR(INDEX(PP_Grid[#Data],$DE780,63),0)</f>
        <v/>
      </c>
      <c r="BO780">
        <f>IFERROR(INDEX(PP_Grid[#Data],$DE780,64),0)</f>
        <v/>
      </c>
      <c r="BP780">
        <f>IFERROR(INDEX(PP_Grid[#Data],$DE780,65),0)</f>
        <v/>
      </c>
      <c r="BQ780">
        <f>IFERROR(INDEX(PP_Grid[#Data],$DE780,66),0)</f>
        <v/>
      </c>
      <c r="BR780">
        <f>IFERROR(INDEX(PP_Grid[#Data],$DE780,67),0)</f>
        <v/>
      </c>
      <c r="BS780">
        <f>IFERROR(INDEX(PP_Grid[#Data],$DE780,68),0)</f>
        <v/>
      </c>
      <c r="BT780">
        <f>IFERROR(INDEX(PP_Grid[#Data],$DE780,69),0)</f>
        <v/>
      </c>
      <c r="BU780">
        <f>IFERROR(INDEX(PP_Grid[#Data],$DE780,70),0)</f>
        <v/>
      </c>
      <c r="BV780">
        <f>IFERROR(INDEX(PP_Grid[#Data],$DE780,71),0)</f>
        <v/>
      </c>
      <c r="BW780">
        <f>IFERROR(INDEX(PP_Grid[#Data],$DE780,72),0)</f>
        <v/>
      </c>
      <c r="BX780">
        <f>IFERROR(INDEX(PP_Grid[#Data],$DE780,73),0)</f>
        <v/>
      </c>
      <c r="BY780">
        <f>IFERROR(INDEX(PP_Grid[#Data],$DE780,74),0)</f>
        <v/>
      </c>
      <c r="BZ780">
        <f>IFERROR(INDEX(PP_Grid[#Data],$DE780,75),0)</f>
        <v/>
      </c>
      <c r="CA780">
        <f>IFERROR(INDEX(PP_Grid[#Data],$DE780,76),0)</f>
        <v/>
      </c>
      <c r="CB780">
        <f>IFERROR(INDEX(PP_Grid[#Data],$DE780,77),0)</f>
        <v/>
      </c>
      <c r="CC780">
        <f>IFERROR(INDEX(PP_Grid[#Data],$DE780,78),0)</f>
        <v/>
      </c>
      <c r="CD780">
        <f>IFERROR(INDEX(PP_Grid[#Data],$DE780,79),0)</f>
        <v/>
      </c>
      <c r="CE780">
        <f>IFERROR(INDEX(PP_Grid[#Data],$DE780,80),0)</f>
        <v/>
      </c>
      <c r="CF780">
        <f>IFERROR(INDEX(PP_Grid[#Data],$DE780,81),0)</f>
        <v/>
      </c>
      <c r="CG780">
        <f>IFERROR(INDEX(PP_Grid[#Data],$DE780,82),0)</f>
        <v/>
      </c>
      <c r="CH780">
        <f>IFERROR(INDEX(PP_Grid[#Data],$DE780,83),0)</f>
        <v/>
      </c>
      <c r="CI780">
        <f>IFERROR(INDEX(PP_Grid[#Data],$DE780,84),0)</f>
        <v/>
      </c>
      <c r="CJ780">
        <f>IFERROR(INDEX(PP_Grid[#Data],$DE780,85),0)</f>
        <v/>
      </c>
      <c r="CK780">
        <f>IFERROR(INDEX(PP_Grid[#Data],$DE780,86),0)</f>
        <v/>
      </c>
      <c r="CL780">
        <f>IFERROR(INDEX(PP_Grid[#Data],$DE780,87),0)</f>
        <v/>
      </c>
      <c r="CM780">
        <f>IFERROR(INDEX(PP_Grid[#Data],$DE780,88),0)</f>
        <v/>
      </c>
      <c r="CN780">
        <f>IFERROR(INDEX(PP_Grid[#Data],$DE780,89),0)</f>
        <v/>
      </c>
      <c r="CO780">
        <f>IFERROR(INDEX(PP_Grid[#Data],$DE780,90),0)</f>
        <v/>
      </c>
      <c r="CP780">
        <f>IFERROR(INDEX(PP_Grid[#Data],$DE780,91),0)</f>
        <v/>
      </c>
      <c r="CQ780">
        <f>IFERROR(INDEX(PP_Grid[#Data],$DE780,92),0)</f>
        <v/>
      </c>
      <c r="CR780">
        <f>IFERROR(INDEX(PP_Grid[#Data],$DE780,93),0)</f>
        <v/>
      </c>
      <c r="CS780">
        <f>IFERROR(INDEX(PP_Grid[#Data],$DE780,94),0)</f>
        <v/>
      </c>
      <c r="CT780">
        <f>IFERROR(INDEX(PP_Grid[#Data],$DE780,95),0)</f>
        <v/>
      </c>
      <c r="CU780">
        <f>IFERROR(INDEX(PP_Grid[#Data],$DE780,96),0)</f>
        <v/>
      </c>
      <c r="CV780">
        <f>IFERROR(INDEX(PP_Grid[#Data],$DE780,97),0)</f>
        <v/>
      </c>
      <c r="CW780">
        <f>IFERROR(INDEX(PP_Grid[#Data],$DE780,98),0)</f>
        <v/>
      </c>
      <c r="CX780">
        <f>IFERROR(INDEX(PP_Grid[#Data],$DE780,99),0)</f>
        <v/>
      </c>
      <c r="CY780">
        <f>IFERROR(INDEX(PP_Grid[#Data],$DE780,100),0)</f>
        <v/>
      </c>
      <c r="CZ780">
        <f>IFERROR(INDEX(PP_Grid[#Data],$DE780,101),0)</f>
        <v/>
      </c>
      <c r="DA780">
        <f>IFERROR(INDEX(PP_Grid[#Data],$DE780,102),0)</f>
        <v/>
      </c>
      <c r="DB780">
        <f>IFERROR(INDEX(PP_Grid[#Data],$DE780,103),0)</f>
        <v/>
      </c>
      <c r="DC780">
        <f>IFERROR(INDEX(PP_Grid[#Data],$DE780,104),0)</f>
        <v/>
      </c>
      <c r="DD780">
        <f>IFERROR(INDEX(PP_Grid[#Data],$DE780,105),0)</f>
        <v/>
      </c>
      <c r="DE780" s="7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SUMIFS(M_BOM[RM_Qty_Per_Batch],M_BOM[Intermediate],$B780,M_BOM[RM_Code],$A745)</f>
        <v/>
      </c>
      <c r="D781">
        <f>IFERROR(INDEX(E781:DD781,$F$1),"")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  <c r="DD781">
        <f>$C781*DD780</f>
        <v/>
      </c>
    </row>
    <row r="782">
      <c r="B782" t="inlineStr">
        <is>
          <t>TPP-527</t>
        </is>
      </c>
      <c r="C782" t="inlineStr">
        <is>
          <t>No. of batches</t>
        </is>
      </c>
      <c r="D782">
        <f>IFERROR(INDEX(E782:DD782,$F$1),"")</f>
        <v/>
      </c>
      <c r="E782">
        <f>IFERROR(INDEX(PP_Grid[#Data],$DE782,2),0)</f>
        <v/>
      </c>
      <c r="F782">
        <f>IFERROR(INDEX(PP_Grid[#Data],$DE782,3),0)</f>
        <v/>
      </c>
      <c r="G782">
        <f>IFERROR(INDEX(PP_Grid[#Data],$DE782,4),0)</f>
        <v/>
      </c>
      <c r="H782">
        <f>IFERROR(INDEX(PP_Grid[#Data],$DE782,5),0)</f>
        <v/>
      </c>
      <c r="I782">
        <f>IFERROR(INDEX(PP_Grid[#Data],$DE782,6),0)</f>
        <v/>
      </c>
      <c r="J782">
        <f>IFERROR(INDEX(PP_Grid[#Data],$DE782,7),0)</f>
        <v/>
      </c>
      <c r="K782">
        <f>IFERROR(INDEX(PP_Grid[#Data],$DE782,8),0)</f>
        <v/>
      </c>
      <c r="L782">
        <f>IFERROR(INDEX(PP_Grid[#Data],$DE782,9),0)</f>
        <v/>
      </c>
      <c r="M782">
        <f>IFERROR(INDEX(PP_Grid[#Data],$DE782,10),0)</f>
        <v/>
      </c>
      <c r="N782">
        <f>IFERROR(INDEX(PP_Grid[#Data],$DE782,11),0)</f>
        <v/>
      </c>
      <c r="O782">
        <f>IFERROR(INDEX(PP_Grid[#Data],$DE782,12),0)</f>
        <v/>
      </c>
      <c r="P782">
        <f>IFERROR(INDEX(PP_Grid[#Data],$DE782,13),0)</f>
        <v/>
      </c>
      <c r="Q782">
        <f>IFERROR(INDEX(PP_Grid[#Data],$DE782,14),0)</f>
        <v/>
      </c>
      <c r="R782">
        <f>IFERROR(INDEX(PP_Grid[#Data],$DE782,15),0)</f>
        <v/>
      </c>
      <c r="S782">
        <f>IFERROR(INDEX(PP_Grid[#Data],$DE782,16),0)</f>
        <v/>
      </c>
      <c r="T782">
        <f>IFERROR(INDEX(PP_Grid[#Data],$DE782,17),0)</f>
        <v/>
      </c>
      <c r="U782">
        <f>IFERROR(INDEX(PP_Grid[#Data],$DE782,18),0)</f>
        <v/>
      </c>
      <c r="V782">
        <f>IFERROR(INDEX(PP_Grid[#Data],$DE782,19),0)</f>
        <v/>
      </c>
      <c r="W782">
        <f>IFERROR(INDEX(PP_Grid[#Data],$DE782,20),0)</f>
        <v/>
      </c>
      <c r="X782">
        <f>IFERROR(INDEX(PP_Grid[#Data],$DE782,21),0)</f>
        <v/>
      </c>
      <c r="Y782">
        <f>IFERROR(INDEX(PP_Grid[#Data],$DE782,22),0)</f>
        <v/>
      </c>
      <c r="Z782">
        <f>IFERROR(INDEX(PP_Grid[#Data],$DE782,23),0)</f>
        <v/>
      </c>
      <c r="AA782">
        <f>IFERROR(INDEX(PP_Grid[#Data],$DE782,24),0)</f>
        <v/>
      </c>
      <c r="AB782">
        <f>IFERROR(INDEX(PP_Grid[#Data],$DE782,25),0)</f>
        <v/>
      </c>
      <c r="AC782">
        <f>IFERROR(INDEX(PP_Grid[#Data],$DE782,26),0)</f>
        <v/>
      </c>
      <c r="AD782">
        <f>IFERROR(INDEX(PP_Grid[#Data],$DE782,27),0)</f>
        <v/>
      </c>
      <c r="AE782">
        <f>IFERROR(INDEX(PP_Grid[#Data],$DE782,28),0)</f>
        <v/>
      </c>
      <c r="AF782">
        <f>IFERROR(INDEX(PP_Grid[#Data],$DE782,29),0)</f>
        <v/>
      </c>
      <c r="AG782">
        <f>IFERROR(INDEX(PP_Grid[#Data],$DE782,30),0)</f>
        <v/>
      </c>
      <c r="AH782">
        <f>IFERROR(INDEX(PP_Grid[#Data],$DE782,31),0)</f>
        <v/>
      </c>
      <c r="AI782">
        <f>IFERROR(INDEX(PP_Grid[#Data],$DE782,32),0)</f>
        <v/>
      </c>
      <c r="AJ782">
        <f>IFERROR(INDEX(PP_Grid[#Data],$DE782,33),0)</f>
        <v/>
      </c>
      <c r="AK782">
        <f>IFERROR(INDEX(PP_Grid[#Data],$DE782,34),0)</f>
        <v/>
      </c>
      <c r="AL782">
        <f>IFERROR(INDEX(PP_Grid[#Data],$DE782,35),0)</f>
        <v/>
      </c>
      <c r="AM782">
        <f>IFERROR(INDEX(PP_Grid[#Data],$DE782,36),0)</f>
        <v/>
      </c>
      <c r="AN782">
        <f>IFERROR(INDEX(PP_Grid[#Data],$DE782,37),0)</f>
        <v/>
      </c>
      <c r="AO782">
        <f>IFERROR(INDEX(PP_Grid[#Data],$DE782,38),0)</f>
        <v/>
      </c>
      <c r="AP782">
        <f>IFERROR(INDEX(PP_Grid[#Data],$DE782,39),0)</f>
        <v/>
      </c>
      <c r="AQ782">
        <f>IFERROR(INDEX(PP_Grid[#Data],$DE782,40),0)</f>
        <v/>
      </c>
      <c r="AR782">
        <f>IFERROR(INDEX(PP_Grid[#Data],$DE782,41),0)</f>
        <v/>
      </c>
      <c r="AS782">
        <f>IFERROR(INDEX(PP_Grid[#Data],$DE782,42),0)</f>
        <v/>
      </c>
      <c r="AT782">
        <f>IFERROR(INDEX(PP_Grid[#Data],$DE782,43),0)</f>
        <v/>
      </c>
      <c r="AU782">
        <f>IFERROR(INDEX(PP_Grid[#Data],$DE782,44),0)</f>
        <v/>
      </c>
      <c r="AV782">
        <f>IFERROR(INDEX(PP_Grid[#Data],$DE782,45),0)</f>
        <v/>
      </c>
      <c r="AW782">
        <f>IFERROR(INDEX(PP_Grid[#Data],$DE782,46),0)</f>
        <v/>
      </c>
      <c r="AX782">
        <f>IFERROR(INDEX(PP_Grid[#Data],$DE782,47),0)</f>
        <v/>
      </c>
      <c r="AY782">
        <f>IFERROR(INDEX(PP_Grid[#Data],$DE782,48),0)</f>
        <v/>
      </c>
      <c r="AZ782">
        <f>IFERROR(INDEX(PP_Grid[#Data],$DE782,49),0)</f>
        <v/>
      </c>
      <c r="BA782">
        <f>IFERROR(INDEX(PP_Grid[#Data],$DE782,50),0)</f>
        <v/>
      </c>
      <c r="BB782">
        <f>IFERROR(INDEX(PP_Grid[#Data],$DE782,51),0)</f>
        <v/>
      </c>
      <c r="BC782">
        <f>IFERROR(INDEX(PP_Grid[#Data],$DE782,52),0)</f>
        <v/>
      </c>
      <c r="BD782">
        <f>IFERROR(INDEX(PP_Grid[#Data],$DE782,53),0)</f>
        <v/>
      </c>
      <c r="BE782">
        <f>IFERROR(INDEX(PP_Grid[#Data],$DE782,54),0)</f>
        <v/>
      </c>
      <c r="BF782">
        <f>IFERROR(INDEX(PP_Grid[#Data],$DE782,55),0)</f>
        <v/>
      </c>
      <c r="BG782">
        <f>IFERROR(INDEX(PP_Grid[#Data],$DE782,56),0)</f>
        <v/>
      </c>
      <c r="BH782">
        <f>IFERROR(INDEX(PP_Grid[#Data],$DE782,57),0)</f>
        <v/>
      </c>
      <c r="BI782">
        <f>IFERROR(INDEX(PP_Grid[#Data],$DE782,58),0)</f>
        <v/>
      </c>
      <c r="BJ782">
        <f>IFERROR(INDEX(PP_Grid[#Data],$DE782,59),0)</f>
        <v/>
      </c>
      <c r="BK782">
        <f>IFERROR(INDEX(PP_Grid[#Data],$DE782,60),0)</f>
        <v/>
      </c>
      <c r="BL782">
        <f>IFERROR(INDEX(PP_Grid[#Data],$DE782,61),0)</f>
        <v/>
      </c>
      <c r="BM782">
        <f>IFERROR(INDEX(PP_Grid[#Data],$DE782,62),0)</f>
        <v/>
      </c>
      <c r="BN782">
        <f>IFERROR(INDEX(PP_Grid[#Data],$DE782,63),0)</f>
        <v/>
      </c>
      <c r="BO782">
        <f>IFERROR(INDEX(PP_Grid[#Data],$DE782,64),0)</f>
        <v/>
      </c>
      <c r="BP782">
        <f>IFERROR(INDEX(PP_Grid[#Data],$DE782,65),0)</f>
        <v/>
      </c>
      <c r="BQ782">
        <f>IFERROR(INDEX(PP_Grid[#Data],$DE782,66),0)</f>
        <v/>
      </c>
      <c r="BR782">
        <f>IFERROR(INDEX(PP_Grid[#Data],$DE782,67),0)</f>
        <v/>
      </c>
      <c r="BS782">
        <f>IFERROR(INDEX(PP_Grid[#Data],$DE782,68),0)</f>
        <v/>
      </c>
      <c r="BT782">
        <f>IFERROR(INDEX(PP_Grid[#Data],$DE782,69),0)</f>
        <v/>
      </c>
      <c r="BU782">
        <f>IFERROR(INDEX(PP_Grid[#Data],$DE782,70),0)</f>
        <v/>
      </c>
      <c r="BV782">
        <f>IFERROR(INDEX(PP_Grid[#Data],$DE782,71),0)</f>
        <v/>
      </c>
      <c r="BW782">
        <f>IFERROR(INDEX(PP_Grid[#Data],$DE782,72),0)</f>
        <v/>
      </c>
      <c r="BX782">
        <f>IFERROR(INDEX(PP_Grid[#Data],$DE782,73),0)</f>
        <v/>
      </c>
      <c r="BY782">
        <f>IFERROR(INDEX(PP_Grid[#Data],$DE782,74),0)</f>
        <v/>
      </c>
      <c r="BZ782">
        <f>IFERROR(INDEX(PP_Grid[#Data],$DE782,75),0)</f>
        <v/>
      </c>
      <c r="CA782">
        <f>IFERROR(INDEX(PP_Grid[#Data],$DE782,76),0)</f>
        <v/>
      </c>
      <c r="CB782">
        <f>IFERROR(INDEX(PP_Grid[#Data],$DE782,77),0)</f>
        <v/>
      </c>
      <c r="CC782">
        <f>IFERROR(INDEX(PP_Grid[#Data],$DE782,78),0)</f>
        <v/>
      </c>
      <c r="CD782">
        <f>IFERROR(INDEX(PP_Grid[#Data],$DE782,79),0)</f>
        <v/>
      </c>
      <c r="CE782">
        <f>IFERROR(INDEX(PP_Grid[#Data],$DE782,80),0)</f>
        <v/>
      </c>
      <c r="CF782">
        <f>IFERROR(INDEX(PP_Grid[#Data],$DE782,81),0)</f>
        <v/>
      </c>
      <c r="CG782">
        <f>IFERROR(INDEX(PP_Grid[#Data],$DE782,82),0)</f>
        <v/>
      </c>
      <c r="CH782">
        <f>IFERROR(INDEX(PP_Grid[#Data],$DE782,83),0)</f>
        <v/>
      </c>
      <c r="CI782">
        <f>IFERROR(INDEX(PP_Grid[#Data],$DE782,84),0)</f>
        <v/>
      </c>
      <c r="CJ782">
        <f>IFERROR(INDEX(PP_Grid[#Data],$DE782,85),0)</f>
        <v/>
      </c>
      <c r="CK782">
        <f>IFERROR(INDEX(PP_Grid[#Data],$DE782,86),0)</f>
        <v/>
      </c>
      <c r="CL782">
        <f>IFERROR(INDEX(PP_Grid[#Data],$DE782,87),0)</f>
        <v/>
      </c>
      <c r="CM782">
        <f>IFERROR(INDEX(PP_Grid[#Data],$DE782,88),0)</f>
        <v/>
      </c>
      <c r="CN782">
        <f>IFERROR(INDEX(PP_Grid[#Data],$DE782,89),0)</f>
        <v/>
      </c>
      <c r="CO782">
        <f>IFERROR(INDEX(PP_Grid[#Data],$DE782,90),0)</f>
        <v/>
      </c>
      <c r="CP782">
        <f>IFERROR(INDEX(PP_Grid[#Data],$DE782,91),0)</f>
        <v/>
      </c>
      <c r="CQ782">
        <f>IFERROR(INDEX(PP_Grid[#Data],$DE782,92),0)</f>
        <v/>
      </c>
      <c r="CR782">
        <f>IFERROR(INDEX(PP_Grid[#Data],$DE782,93),0)</f>
        <v/>
      </c>
      <c r="CS782">
        <f>IFERROR(INDEX(PP_Grid[#Data],$DE782,94),0)</f>
        <v/>
      </c>
      <c r="CT782">
        <f>IFERROR(INDEX(PP_Grid[#Data],$DE782,95),0)</f>
        <v/>
      </c>
      <c r="CU782">
        <f>IFERROR(INDEX(PP_Grid[#Data],$DE782,96),0)</f>
        <v/>
      </c>
      <c r="CV782">
        <f>IFERROR(INDEX(PP_Grid[#Data],$DE782,97),0)</f>
        <v/>
      </c>
      <c r="CW782">
        <f>IFERROR(INDEX(PP_Grid[#Data],$DE782,98),0)</f>
        <v/>
      </c>
      <c r="CX782">
        <f>IFERROR(INDEX(PP_Grid[#Data],$DE782,99),0)</f>
        <v/>
      </c>
      <c r="CY782">
        <f>IFERROR(INDEX(PP_Grid[#Data],$DE782,100),0)</f>
        <v/>
      </c>
      <c r="CZ782">
        <f>IFERROR(INDEX(PP_Grid[#Data],$DE782,101),0)</f>
        <v/>
      </c>
      <c r="DA782">
        <f>IFERROR(INDEX(PP_Grid[#Data],$DE782,102),0)</f>
        <v/>
      </c>
      <c r="DB782">
        <f>IFERROR(INDEX(PP_Grid[#Data],$DE782,103),0)</f>
        <v/>
      </c>
      <c r="DC782">
        <f>IFERROR(INDEX(PP_Grid[#Data],$DE782,104),0)</f>
        <v/>
      </c>
      <c r="DD782">
        <f>IFERROR(INDEX(PP_Grid[#Data],$DE782,105),0)</f>
        <v/>
      </c>
      <c r="DE782" s="7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SUMIFS(M_BOM[RM_Qty_Per_Batch],M_BOM[Intermediate],$B782,M_BOM[RM_Code],$A745)</f>
        <v/>
      </c>
      <c r="D783">
        <f>IFERROR(INDEX(E783:DD783,$F$1),"")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  <c r="DD783">
        <f>$C783*DD782</f>
        <v/>
      </c>
    </row>
    <row r="784">
      <c r="B784" t="inlineStr">
        <is>
          <t>TPP-968</t>
        </is>
      </c>
      <c r="C784" t="inlineStr">
        <is>
          <t>No. of batches</t>
        </is>
      </c>
      <c r="D784">
        <f>IFERROR(INDEX(E784:DD784,$F$1),"")</f>
        <v/>
      </c>
      <c r="E784">
        <f>IFERROR(INDEX(PP_Grid[#Data],$DE784,2),0)</f>
        <v/>
      </c>
      <c r="F784">
        <f>IFERROR(INDEX(PP_Grid[#Data],$DE784,3),0)</f>
        <v/>
      </c>
      <c r="G784">
        <f>IFERROR(INDEX(PP_Grid[#Data],$DE784,4),0)</f>
        <v/>
      </c>
      <c r="H784">
        <f>IFERROR(INDEX(PP_Grid[#Data],$DE784,5),0)</f>
        <v/>
      </c>
      <c r="I784">
        <f>IFERROR(INDEX(PP_Grid[#Data],$DE784,6),0)</f>
        <v/>
      </c>
      <c r="J784">
        <f>IFERROR(INDEX(PP_Grid[#Data],$DE784,7),0)</f>
        <v/>
      </c>
      <c r="K784">
        <f>IFERROR(INDEX(PP_Grid[#Data],$DE784,8),0)</f>
        <v/>
      </c>
      <c r="L784">
        <f>IFERROR(INDEX(PP_Grid[#Data],$DE784,9),0)</f>
        <v/>
      </c>
      <c r="M784">
        <f>IFERROR(INDEX(PP_Grid[#Data],$DE784,10),0)</f>
        <v/>
      </c>
      <c r="N784">
        <f>IFERROR(INDEX(PP_Grid[#Data],$DE784,11),0)</f>
        <v/>
      </c>
      <c r="O784">
        <f>IFERROR(INDEX(PP_Grid[#Data],$DE784,12),0)</f>
        <v/>
      </c>
      <c r="P784">
        <f>IFERROR(INDEX(PP_Grid[#Data],$DE784,13),0)</f>
        <v/>
      </c>
      <c r="Q784">
        <f>IFERROR(INDEX(PP_Grid[#Data],$DE784,14),0)</f>
        <v/>
      </c>
      <c r="R784">
        <f>IFERROR(INDEX(PP_Grid[#Data],$DE784,15),0)</f>
        <v/>
      </c>
      <c r="S784">
        <f>IFERROR(INDEX(PP_Grid[#Data],$DE784,16),0)</f>
        <v/>
      </c>
      <c r="T784">
        <f>IFERROR(INDEX(PP_Grid[#Data],$DE784,17),0)</f>
        <v/>
      </c>
      <c r="U784">
        <f>IFERROR(INDEX(PP_Grid[#Data],$DE784,18),0)</f>
        <v/>
      </c>
      <c r="V784">
        <f>IFERROR(INDEX(PP_Grid[#Data],$DE784,19),0)</f>
        <v/>
      </c>
      <c r="W784">
        <f>IFERROR(INDEX(PP_Grid[#Data],$DE784,20),0)</f>
        <v/>
      </c>
      <c r="X784">
        <f>IFERROR(INDEX(PP_Grid[#Data],$DE784,21),0)</f>
        <v/>
      </c>
      <c r="Y784">
        <f>IFERROR(INDEX(PP_Grid[#Data],$DE784,22),0)</f>
        <v/>
      </c>
      <c r="Z784">
        <f>IFERROR(INDEX(PP_Grid[#Data],$DE784,23),0)</f>
        <v/>
      </c>
      <c r="AA784">
        <f>IFERROR(INDEX(PP_Grid[#Data],$DE784,24),0)</f>
        <v/>
      </c>
      <c r="AB784">
        <f>IFERROR(INDEX(PP_Grid[#Data],$DE784,25),0)</f>
        <v/>
      </c>
      <c r="AC784">
        <f>IFERROR(INDEX(PP_Grid[#Data],$DE784,26),0)</f>
        <v/>
      </c>
      <c r="AD784">
        <f>IFERROR(INDEX(PP_Grid[#Data],$DE784,27),0)</f>
        <v/>
      </c>
      <c r="AE784">
        <f>IFERROR(INDEX(PP_Grid[#Data],$DE784,28),0)</f>
        <v/>
      </c>
      <c r="AF784">
        <f>IFERROR(INDEX(PP_Grid[#Data],$DE784,29),0)</f>
        <v/>
      </c>
      <c r="AG784">
        <f>IFERROR(INDEX(PP_Grid[#Data],$DE784,30),0)</f>
        <v/>
      </c>
      <c r="AH784">
        <f>IFERROR(INDEX(PP_Grid[#Data],$DE784,31),0)</f>
        <v/>
      </c>
      <c r="AI784">
        <f>IFERROR(INDEX(PP_Grid[#Data],$DE784,32),0)</f>
        <v/>
      </c>
      <c r="AJ784">
        <f>IFERROR(INDEX(PP_Grid[#Data],$DE784,33),0)</f>
        <v/>
      </c>
      <c r="AK784">
        <f>IFERROR(INDEX(PP_Grid[#Data],$DE784,34),0)</f>
        <v/>
      </c>
      <c r="AL784">
        <f>IFERROR(INDEX(PP_Grid[#Data],$DE784,35),0)</f>
        <v/>
      </c>
      <c r="AM784">
        <f>IFERROR(INDEX(PP_Grid[#Data],$DE784,36),0)</f>
        <v/>
      </c>
      <c r="AN784">
        <f>IFERROR(INDEX(PP_Grid[#Data],$DE784,37),0)</f>
        <v/>
      </c>
      <c r="AO784">
        <f>IFERROR(INDEX(PP_Grid[#Data],$DE784,38),0)</f>
        <v/>
      </c>
      <c r="AP784">
        <f>IFERROR(INDEX(PP_Grid[#Data],$DE784,39),0)</f>
        <v/>
      </c>
      <c r="AQ784">
        <f>IFERROR(INDEX(PP_Grid[#Data],$DE784,40),0)</f>
        <v/>
      </c>
      <c r="AR784">
        <f>IFERROR(INDEX(PP_Grid[#Data],$DE784,41),0)</f>
        <v/>
      </c>
      <c r="AS784">
        <f>IFERROR(INDEX(PP_Grid[#Data],$DE784,42),0)</f>
        <v/>
      </c>
      <c r="AT784">
        <f>IFERROR(INDEX(PP_Grid[#Data],$DE784,43),0)</f>
        <v/>
      </c>
      <c r="AU784">
        <f>IFERROR(INDEX(PP_Grid[#Data],$DE784,44),0)</f>
        <v/>
      </c>
      <c r="AV784">
        <f>IFERROR(INDEX(PP_Grid[#Data],$DE784,45),0)</f>
        <v/>
      </c>
      <c r="AW784">
        <f>IFERROR(INDEX(PP_Grid[#Data],$DE784,46),0)</f>
        <v/>
      </c>
      <c r="AX784">
        <f>IFERROR(INDEX(PP_Grid[#Data],$DE784,47),0)</f>
        <v/>
      </c>
      <c r="AY784">
        <f>IFERROR(INDEX(PP_Grid[#Data],$DE784,48),0)</f>
        <v/>
      </c>
      <c r="AZ784">
        <f>IFERROR(INDEX(PP_Grid[#Data],$DE784,49),0)</f>
        <v/>
      </c>
      <c r="BA784">
        <f>IFERROR(INDEX(PP_Grid[#Data],$DE784,50),0)</f>
        <v/>
      </c>
      <c r="BB784">
        <f>IFERROR(INDEX(PP_Grid[#Data],$DE784,51),0)</f>
        <v/>
      </c>
      <c r="BC784">
        <f>IFERROR(INDEX(PP_Grid[#Data],$DE784,52),0)</f>
        <v/>
      </c>
      <c r="BD784">
        <f>IFERROR(INDEX(PP_Grid[#Data],$DE784,53),0)</f>
        <v/>
      </c>
      <c r="BE784">
        <f>IFERROR(INDEX(PP_Grid[#Data],$DE784,54),0)</f>
        <v/>
      </c>
      <c r="BF784">
        <f>IFERROR(INDEX(PP_Grid[#Data],$DE784,55),0)</f>
        <v/>
      </c>
      <c r="BG784">
        <f>IFERROR(INDEX(PP_Grid[#Data],$DE784,56),0)</f>
        <v/>
      </c>
      <c r="BH784">
        <f>IFERROR(INDEX(PP_Grid[#Data],$DE784,57),0)</f>
        <v/>
      </c>
      <c r="BI784">
        <f>IFERROR(INDEX(PP_Grid[#Data],$DE784,58),0)</f>
        <v/>
      </c>
      <c r="BJ784">
        <f>IFERROR(INDEX(PP_Grid[#Data],$DE784,59),0)</f>
        <v/>
      </c>
      <c r="BK784">
        <f>IFERROR(INDEX(PP_Grid[#Data],$DE784,60),0)</f>
        <v/>
      </c>
      <c r="BL784">
        <f>IFERROR(INDEX(PP_Grid[#Data],$DE784,61),0)</f>
        <v/>
      </c>
      <c r="BM784">
        <f>IFERROR(INDEX(PP_Grid[#Data],$DE784,62),0)</f>
        <v/>
      </c>
      <c r="BN784">
        <f>IFERROR(INDEX(PP_Grid[#Data],$DE784,63),0)</f>
        <v/>
      </c>
      <c r="BO784">
        <f>IFERROR(INDEX(PP_Grid[#Data],$DE784,64),0)</f>
        <v/>
      </c>
      <c r="BP784">
        <f>IFERROR(INDEX(PP_Grid[#Data],$DE784,65),0)</f>
        <v/>
      </c>
      <c r="BQ784">
        <f>IFERROR(INDEX(PP_Grid[#Data],$DE784,66),0)</f>
        <v/>
      </c>
      <c r="BR784">
        <f>IFERROR(INDEX(PP_Grid[#Data],$DE784,67),0)</f>
        <v/>
      </c>
      <c r="BS784">
        <f>IFERROR(INDEX(PP_Grid[#Data],$DE784,68),0)</f>
        <v/>
      </c>
      <c r="BT784">
        <f>IFERROR(INDEX(PP_Grid[#Data],$DE784,69),0)</f>
        <v/>
      </c>
      <c r="BU784">
        <f>IFERROR(INDEX(PP_Grid[#Data],$DE784,70),0)</f>
        <v/>
      </c>
      <c r="BV784">
        <f>IFERROR(INDEX(PP_Grid[#Data],$DE784,71),0)</f>
        <v/>
      </c>
      <c r="BW784">
        <f>IFERROR(INDEX(PP_Grid[#Data],$DE784,72),0)</f>
        <v/>
      </c>
      <c r="BX784">
        <f>IFERROR(INDEX(PP_Grid[#Data],$DE784,73),0)</f>
        <v/>
      </c>
      <c r="BY784">
        <f>IFERROR(INDEX(PP_Grid[#Data],$DE784,74),0)</f>
        <v/>
      </c>
      <c r="BZ784">
        <f>IFERROR(INDEX(PP_Grid[#Data],$DE784,75),0)</f>
        <v/>
      </c>
      <c r="CA784">
        <f>IFERROR(INDEX(PP_Grid[#Data],$DE784,76),0)</f>
        <v/>
      </c>
      <c r="CB784">
        <f>IFERROR(INDEX(PP_Grid[#Data],$DE784,77),0)</f>
        <v/>
      </c>
      <c r="CC784">
        <f>IFERROR(INDEX(PP_Grid[#Data],$DE784,78),0)</f>
        <v/>
      </c>
      <c r="CD784">
        <f>IFERROR(INDEX(PP_Grid[#Data],$DE784,79),0)</f>
        <v/>
      </c>
      <c r="CE784">
        <f>IFERROR(INDEX(PP_Grid[#Data],$DE784,80),0)</f>
        <v/>
      </c>
      <c r="CF784">
        <f>IFERROR(INDEX(PP_Grid[#Data],$DE784,81),0)</f>
        <v/>
      </c>
      <c r="CG784">
        <f>IFERROR(INDEX(PP_Grid[#Data],$DE784,82),0)</f>
        <v/>
      </c>
      <c r="CH784">
        <f>IFERROR(INDEX(PP_Grid[#Data],$DE784,83),0)</f>
        <v/>
      </c>
      <c r="CI784">
        <f>IFERROR(INDEX(PP_Grid[#Data],$DE784,84),0)</f>
        <v/>
      </c>
      <c r="CJ784">
        <f>IFERROR(INDEX(PP_Grid[#Data],$DE784,85),0)</f>
        <v/>
      </c>
      <c r="CK784">
        <f>IFERROR(INDEX(PP_Grid[#Data],$DE784,86),0)</f>
        <v/>
      </c>
      <c r="CL784">
        <f>IFERROR(INDEX(PP_Grid[#Data],$DE784,87),0)</f>
        <v/>
      </c>
      <c r="CM784">
        <f>IFERROR(INDEX(PP_Grid[#Data],$DE784,88),0)</f>
        <v/>
      </c>
      <c r="CN784">
        <f>IFERROR(INDEX(PP_Grid[#Data],$DE784,89),0)</f>
        <v/>
      </c>
      <c r="CO784">
        <f>IFERROR(INDEX(PP_Grid[#Data],$DE784,90),0)</f>
        <v/>
      </c>
      <c r="CP784">
        <f>IFERROR(INDEX(PP_Grid[#Data],$DE784,91),0)</f>
        <v/>
      </c>
      <c r="CQ784">
        <f>IFERROR(INDEX(PP_Grid[#Data],$DE784,92),0)</f>
        <v/>
      </c>
      <c r="CR784">
        <f>IFERROR(INDEX(PP_Grid[#Data],$DE784,93),0)</f>
        <v/>
      </c>
      <c r="CS784">
        <f>IFERROR(INDEX(PP_Grid[#Data],$DE784,94),0)</f>
        <v/>
      </c>
      <c r="CT784">
        <f>IFERROR(INDEX(PP_Grid[#Data],$DE784,95),0)</f>
        <v/>
      </c>
      <c r="CU784">
        <f>IFERROR(INDEX(PP_Grid[#Data],$DE784,96),0)</f>
        <v/>
      </c>
      <c r="CV784">
        <f>IFERROR(INDEX(PP_Grid[#Data],$DE784,97),0)</f>
        <v/>
      </c>
      <c r="CW784">
        <f>IFERROR(INDEX(PP_Grid[#Data],$DE784,98),0)</f>
        <v/>
      </c>
      <c r="CX784">
        <f>IFERROR(INDEX(PP_Grid[#Data],$DE784,99),0)</f>
        <v/>
      </c>
      <c r="CY784">
        <f>IFERROR(INDEX(PP_Grid[#Data],$DE784,100),0)</f>
        <v/>
      </c>
      <c r="CZ784">
        <f>IFERROR(INDEX(PP_Grid[#Data],$DE784,101),0)</f>
        <v/>
      </c>
      <c r="DA784">
        <f>IFERROR(INDEX(PP_Grid[#Data],$DE784,102),0)</f>
        <v/>
      </c>
      <c r="DB784">
        <f>IFERROR(INDEX(PP_Grid[#Data],$DE784,103),0)</f>
        <v/>
      </c>
      <c r="DC784">
        <f>IFERROR(INDEX(PP_Grid[#Data],$DE784,104),0)</f>
        <v/>
      </c>
      <c r="DD784">
        <f>IFERROR(INDEX(PP_Grid[#Data],$DE784,105),0)</f>
        <v/>
      </c>
      <c r="DE784" s="7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SUMIFS(M_BOM[RM_Qty_Per_Batch],M_BOM[Intermediate],$B784,M_BOM[RM_Code],$A745)</f>
        <v/>
      </c>
      <c r="D785">
        <f>IFERROR(INDEX(E785:DD785,$F$1),"")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  <c r="DD785">
        <f>$C785*DD784</f>
        <v/>
      </c>
    </row>
    <row r="786">
      <c r="B786" t="inlineStr">
        <is>
          <t>TPP-970</t>
        </is>
      </c>
      <c r="C786" t="inlineStr">
        <is>
          <t>No. of batches</t>
        </is>
      </c>
      <c r="D786">
        <f>IFERROR(INDEX(E786:DD786,$F$1),"")</f>
        <v/>
      </c>
      <c r="E786">
        <f>IFERROR(INDEX(PP_Grid[#Data],$DE786,2),0)</f>
        <v/>
      </c>
      <c r="F786">
        <f>IFERROR(INDEX(PP_Grid[#Data],$DE786,3),0)</f>
        <v/>
      </c>
      <c r="G786">
        <f>IFERROR(INDEX(PP_Grid[#Data],$DE786,4),0)</f>
        <v/>
      </c>
      <c r="H786">
        <f>IFERROR(INDEX(PP_Grid[#Data],$DE786,5),0)</f>
        <v/>
      </c>
      <c r="I786">
        <f>IFERROR(INDEX(PP_Grid[#Data],$DE786,6),0)</f>
        <v/>
      </c>
      <c r="J786">
        <f>IFERROR(INDEX(PP_Grid[#Data],$DE786,7),0)</f>
        <v/>
      </c>
      <c r="K786">
        <f>IFERROR(INDEX(PP_Grid[#Data],$DE786,8),0)</f>
        <v/>
      </c>
      <c r="L786">
        <f>IFERROR(INDEX(PP_Grid[#Data],$DE786,9),0)</f>
        <v/>
      </c>
      <c r="M786">
        <f>IFERROR(INDEX(PP_Grid[#Data],$DE786,10),0)</f>
        <v/>
      </c>
      <c r="N786">
        <f>IFERROR(INDEX(PP_Grid[#Data],$DE786,11),0)</f>
        <v/>
      </c>
      <c r="O786">
        <f>IFERROR(INDEX(PP_Grid[#Data],$DE786,12),0)</f>
        <v/>
      </c>
      <c r="P786">
        <f>IFERROR(INDEX(PP_Grid[#Data],$DE786,13),0)</f>
        <v/>
      </c>
      <c r="Q786">
        <f>IFERROR(INDEX(PP_Grid[#Data],$DE786,14),0)</f>
        <v/>
      </c>
      <c r="R786">
        <f>IFERROR(INDEX(PP_Grid[#Data],$DE786,15),0)</f>
        <v/>
      </c>
      <c r="S786">
        <f>IFERROR(INDEX(PP_Grid[#Data],$DE786,16),0)</f>
        <v/>
      </c>
      <c r="T786">
        <f>IFERROR(INDEX(PP_Grid[#Data],$DE786,17),0)</f>
        <v/>
      </c>
      <c r="U786">
        <f>IFERROR(INDEX(PP_Grid[#Data],$DE786,18),0)</f>
        <v/>
      </c>
      <c r="V786">
        <f>IFERROR(INDEX(PP_Grid[#Data],$DE786,19),0)</f>
        <v/>
      </c>
      <c r="W786">
        <f>IFERROR(INDEX(PP_Grid[#Data],$DE786,20),0)</f>
        <v/>
      </c>
      <c r="X786">
        <f>IFERROR(INDEX(PP_Grid[#Data],$DE786,21),0)</f>
        <v/>
      </c>
      <c r="Y786">
        <f>IFERROR(INDEX(PP_Grid[#Data],$DE786,22),0)</f>
        <v/>
      </c>
      <c r="Z786">
        <f>IFERROR(INDEX(PP_Grid[#Data],$DE786,23),0)</f>
        <v/>
      </c>
      <c r="AA786">
        <f>IFERROR(INDEX(PP_Grid[#Data],$DE786,24),0)</f>
        <v/>
      </c>
      <c r="AB786">
        <f>IFERROR(INDEX(PP_Grid[#Data],$DE786,25),0)</f>
        <v/>
      </c>
      <c r="AC786">
        <f>IFERROR(INDEX(PP_Grid[#Data],$DE786,26),0)</f>
        <v/>
      </c>
      <c r="AD786">
        <f>IFERROR(INDEX(PP_Grid[#Data],$DE786,27),0)</f>
        <v/>
      </c>
      <c r="AE786">
        <f>IFERROR(INDEX(PP_Grid[#Data],$DE786,28),0)</f>
        <v/>
      </c>
      <c r="AF786">
        <f>IFERROR(INDEX(PP_Grid[#Data],$DE786,29),0)</f>
        <v/>
      </c>
      <c r="AG786">
        <f>IFERROR(INDEX(PP_Grid[#Data],$DE786,30),0)</f>
        <v/>
      </c>
      <c r="AH786">
        <f>IFERROR(INDEX(PP_Grid[#Data],$DE786,31),0)</f>
        <v/>
      </c>
      <c r="AI786">
        <f>IFERROR(INDEX(PP_Grid[#Data],$DE786,32),0)</f>
        <v/>
      </c>
      <c r="AJ786">
        <f>IFERROR(INDEX(PP_Grid[#Data],$DE786,33),0)</f>
        <v/>
      </c>
      <c r="AK786">
        <f>IFERROR(INDEX(PP_Grid[#Data],$DE786,34),0)</f>
        <v/>
      </c>
      <c r="AL786">
        <f>IFERROR(INDEX(PP_Grid[#Data],$DE786,35),0)</f>
        <v/>
      </c>
      <c r="AM786">
        <f>IFERROR(INDEX(PP_Grid[#Data],$DE786,36),0)</f>
        <v/>
      </c>
      <c r="AN786">
        <f>IFERROR(INDEX(PP_Grid[#Data],$DE786,37),0)</f>
        <v/>
      </c>
      <c r="AO786">
        <f>IFERROR(INDEX(PP_Grid[#Data],$DE786,38),0)</f>
        <v/>
      </c>
      <c r="AP786">
        <f>IFERROR(INDEX(PP_Grid[#Data],$DE786,39),0)</f>
        <v/>
      </c>
      <c r="AQ786">
        <f>IFERROR(INDEX(PP_Grid[#Data],$DE786,40),0)</f>
        <v/>
      </c>
      <c r="AR786">
        <f>IFERROR(INDEX(PP_Grid[#Data],$DE786,41),0)</f>
        <v/>
      </c>
      <c r="AS786">
        <f>IFERROR(INDEX(PP_Grid[#Data],$DE786,42),0)</f>
        <v/>
      </c>
      <c r="AT786">
        <f>IFERROR(INDEX(PP_Grid[#Data],$DE786,43),0)</f>
        <v/>
      </c>
      <c r="AU786">
        <f>IFERROR(INDEX(PP_Grid[#Data],$DE786,44),0)</f>
        <v/>
      </c>
      <c r="AV786">
        <f>IFERROR(INDEX(PP_Grid[#Data],$DE786,45),0)</f>
        <v/>
      </c>
      <c r="AW786">
        <f>IFERROR(INDEX(PP_Grid[#Data],$DE786,46),0)</f>
        <v/>
      </c>
      <c r="AX786">
        <f>IFERROR(INDEX(PP_Grid[#Data],$DE786,47),0)</f>
        <v/>
      </c>
      <c r="AY786">
        <f>IFERROR(INDEX(PP_Grid[#Data],$DE786,48),0)</f>
        <v/>
      </c>
      <c r="AZ786">
        <f>IFERROR(INDEX(PP_Grid[#Data],$DE786,49),0)</f>
        <v/>
      </c>
      <c r="BA786">
        <f>IFERROR(INDEX(PP_Grid[#Data],$DE786,50),0)</f>
        <v/>
      </c>
      <c r="BB786">
        <f>IFERROR(INDEX(PP_Grid[#Data],$DE786,51),0)</f>
        <v/>
      </c>
      <c r="BC786">
        <f>IFERROR(INDEX(PP_Grid[#Data],$DE786,52),0)</f>
        <v/>
      </c>
      <c r="BD786">
        <f>IFERROR(INDEX(PP_Grid[#Data],$DE786,53),0)</f>
        <v/>
      </c>
      <c r="BE786">
        <f>IFERROR(INDEX(PP_Grid[#Data],$DE786,54),0)</f>
        <v/>
      </c>
      <c r="BF786">
        <f>IFERROR(INDEX(PP_Grid[#Data],$DE786,55),0)</f>
        <v/>
      </c>
      <c r="BG786">
        <f>IFERROR(INDEX(PP_Grid[#Data],$DE786,56),0)</f>
        <v/>
      </c>
      <c r="BH786">
        <f>IFERROR(INDEX(PP_Grid[#Data],$DE786,57),0)</f>
        <v/>
      </c>
      <c r="BI786">
        <f>IFERROR(INDEX(PP_Grid[#Data],$DE786,58),0)</f>
        <v/>
      </c>
      <c r="BJ786">
        <f>IFERROR(INDEX(PP_Grid[#Data],$DE786,59),0)</f>
        <v/>
      </c>
      <c r="BK786">
        <f>IFERROR(INDEX(PP_Grid[#Data],$DE786,60),0)</f>
        <v/>
      </c>
      <c r="BL786">
        <f>IFERROR(INDEX(PP_Grid[#Data],$DE786,61),0)</f>
        <v/>
      </c>
      <c r="BM786">
        <f>IFERROR(INDEX(PP_Grid[#Data],$DE786,62),0)</f>
        <v/>
      </c>
      <c r="BN786">
        <f>IFERROR(INDEX(PP_Grid[#Data],$DE786,63),0)</f>
        <v/>
      </c>
      <c r="BO786">
        <f>IFERROR(INDEX(PP_Grid[#Data],$DE786,64),0)</f>
        <v/>
      </c>
      <c r="BP786">
        <f>IFERROR(INDEX(PP_Grid[#Data],$DE786,65),0)</f>
        <v/>
      </c>
      <c r="BQ786">
        <f>IFERROR(INDEX(PP_Grid[#Data],$DE786,66),0)</f>
        <v/>
      </c>
      <c r="BR786">
        <f>IFERROR(INDEX(PP_Grid[#Data],$DE786,67),0)</f>
        <v/>
      </c>
      <c r="BS786">
        <f>IFERROR(INDEX(PP_Grid[#Data],$DE786,68),0)</f>
        <v/>
      </c>
      <c r="BT786">
        <f>IFERROR(INDEX(PP_Grid[#Data],$DE786,69),0)</f>
        <v/>
      </c>
      <c r="BU786">
        <f>IFERROR(INDEX(PP_Grid[#Data],$DE786,70),0)</f>
        <v/>
      </c>
      <c r="BV786">
        <f>IFERROR(INDEX(PP_Grid[#Data],$DE786,71),0)</f>
        <v/>
      </c>
      <c r="BW786">
        <f>IFERROR(INDEX(PP_Grid[#Data],$DE786,72),0)</f>
        <v/>
      </c>
      <c r="BX786">
        <f>IFERROR(INDEX(PP_Grid[#Data],$DE786,73),0)</f>
        <v/>
      </c>
      <c r="BY786">
        <f>IFERROR(INDEX(PP_Grid[#Data],$DE786,74),0)</f>
        <v/>
      </c>
      <c r="BZ786">
        <f>IFERROR(INDEX(PP_Grid[#Data],$DE786,75),0)</f>
        <v/>
      </c>
      <c r="CA786">
        <f>IFERROR(INDEX(PP_Grid[#Data],$DE786,76),0)</f>
        <v/>
      </c>
      <c r="CB786">
        <f>IFERROR(INDEX(PP_Grid[#Data],$DE786,77),0)</f>
        <v/>
      </c>
      <c r="CC786">
        <f>IFERROR(INDEX(PP_Grid[#Data],$DE786,78),0)</f>
        <v/>
      </c>
      <c r="CD786">
        <f>IFERROR(INDEX(PP_Grid[#Data],$DE786,79),0)</f>
        <v/>
      </c>
      <c r="CE786">
        <f>IFERROR(INDEX(PP_Grid[#Data],$DE786,80),0)</f>
        <v/>
      </c>
      <c r="CF786">
        <f>IFERROR(INDEX(PP_Grid[#Data],$DE786,81),0)</f>
        <v/>
      </c>
      <c r="CG786">
        <f>IFERROR(INDEX(PP_Grid[#Data],$DE786,82),0)</f>
        <v/>
      </c>
      <c r="CH786">
        <f>IFERROR(INDEX(PP_Grid[#Data],$DE786,83),0)</f>
        <v/>
      </c>
      <c r="CI786">
        <f>IFERROR(INDEX(PP_Grid[#Data],$DE786,84),0)</f>
        <v/>
      </c>
      <c r="CJ786">
        <f>IFERROR(INDEX(PP_Grid[#Data],$DE786,85),0)</f>
        <v/>
      </c>
      <c r="CK786">
        <f>IFERROR(INDEX(PP_Grid[#Data],$DE786,86),0)</f>
        <v/>
      </c>
      <c r="CL786">
        <f>IFERROR(INDEX(PP_Grid[#Data],$DE786,87),0)</f>
        <v/>
      </c>
      <c r="CM786">
        <f>IFERROR(INDEX(PP_Grid[#Data],$DE786,88),0)</f>
        <v/>
      </c>
      <c r="CN786">
        <f>IFERROR(INDEX(PP_Grid[#Data],$DE786,89),0)</f>
        <v/>
      </c>
      <c r="CO786">
        <f>IFERROR(INDEX(PP_Grid[#Data],$DE786,90),0)</f>
        <v/>
      </c>
      <c r="CP786">
        <f>IFERROR(INDEX(PP_Grid[#Data],$DE786,91),0)</f>
        <v/>
      </c>
      <c r="CQ786">
        <f>IFERROR(INDEX(PP_Grid[#Data],$DE786,92),0)</f>
        <v/>
      </c>
      <c r="CR786">
        <f>IFERROR(INDEX(PP_Grid[#Data],$DE786,93),0)</f>
        <v/>
      </c>
      <c r="CS786">
        <f>IFERROR(INDEX(PP_Grid[#Data],$DE786,94),0)</f>
        <v/>
      </c>
      <c r="CT786">
        <f>IFERROR(INDEX(PP_Grid[#Data],$DE786,95),0)</f>
        <v/>
      </c>
      <c r="CU786">
        <f>IFERROR(INDEX(PP_Grid[#Data],$DE786,96),0)</f>
        <v/>
      </c>
      <c r="CV786">
        <f>IFERROR(INDEX(PP_Grid[#Data],$DE786,97),0)</f>
        <v/>
      </c>
      <c r="CW786">
        <f>IFERROR(INDEX(PP_Grid[#Data],$DE786,98),0)</f>
        <v/>
      </c>
      <c r="CX786">
        <f>IFERROR(INDEX(PP_Grid[#Data],$DE786,99),0)</f>
        <v/>
      </c>
      <c r="CY786">
        <f>IFERROR(INDEX(PP_Grid[#Data],$DE786,100),0)</f>
        <v/>
      </c>
      <c r="CZ786">
        <f>IFERROR(INDEX(PP_Grid[#Data],$DE786,101),0)</f>
        <v/>
      </c>
      <c r="DA786">
        <f>IFERROR(INDEX(PP_Grid[#Data],$DE786,102),0)</f>
        <v/>
      </c>
      <c r="DB786">
        <f>IFERROR(INDEX(PP_Grid[#Data],$DE786,103),0)</f>
        <v/>
      </c>
      <c r="DC786">
        <f>IFERROR(INDEX(PP_Grid[#Data],$DE786,104),0)</f>
        <v/>
      </c>
      <c r="DD786">
        <f>IFERROR(INDEX(PP_Grid[#Data],$DE786,105),0)</f>
        <v/>
      </c>
      <c r="DE786" s="7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SUMIFS(M_BOM[RM_Qty_Per_Batch],M_BOM[Intermediate],$B786,M_BOM[RM_Code],$A745)</f>
        <v/>
      </c>
      <c r="D787">
        <f>IFERROR(INDEX(E787:DD787,$F$1),"")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  <c r="DD787">
        <f>$C787*DD786</f>
        <v/>
      </c>
    </row>
    <row r="788">
      <c r="B788" t="inlineStr">
        <is>
          <t>No of times used</t>
        </is>
      </c>
      <c r="C788" t="inlineStr">
        <is>
          <t>No. of batches</t>
        </is>
      </c>
      <c r="D788">
        <f>IFERROR(INDEX(E788:DD788,$F$1),"")</f>
        <v/>
      </c>
      <c r="E788">
        <f>IFERROR(INDEX(PP_Grid[#Data],$DE788,2),0)</f>
        <v/>
      </c>
      <c r="F788">
        <f>IFERROR(INDEX(PP_Grid[#Data],$DE788,3),0)</f>
        <v/>
      </c>
      <c r="G788">
        <f>IFERROR(INDEX(PP_Grid[#Data],$DE788,4),0)</f>
        <v/>
      </c>
      <c r="H788">
        <f>IFERROR(INDEX(PP_Grid[#Data],$DE788,5),0)</f>
        <v/>
      </c>
      <c r="I788">
        <f>IFERROR(INDEX(PP_Grid[#Data],$DE788,6),0)</f>
        <v/>
      </c>
      <c r="J788">
        <f>IFERROR(INDEX(PP_Grid[#Data],$DE788,7),0)</f>
        <v/>
      </c>
      <c r="K788">
        <f>IFERROR(INDEX(PP_Grid[#Data],$DE788,8),0)</f>
        <v/>
      </c>
      <c r="L788">
        <f>IFERROR(INDEX(PP_Grid[#Data],$DE788,9),0)</f>
        <v/>
      </c>
      <c r="M788">
        <f>IFERROR(INDEX(PP_Grid[#Data],$DE788,10),0)</f>
        <v/>
      </c>
      <c r="N788">
        <f>IFERROR(INDEX(PP_Grid[#Data],$DE788,11),0)</f>
        <v/>
      </c>
      <c r="O788">
        <f>IFERROR(INDEX(PP_Grid[#Data],$DE788,12),0)</f>
        <v/>
      </c>
      <c r="P788">
        <f>IFERROR(INDEX(PP_Grid[#Data],$DE788,13),0)</f>
        <v/>
      </c>
      <c r="Q788">
        <f>IFERROR(INDEX(PP_Grid[#Data],$DE788,14),0)</f>
        <v/>
      </c>
      <c r="R788">
        <f>IFERROR(INDEX(PP_Grid[#Data],$DE788,15),0)</f>
        <v/>
      </c>
      <c r="S788">
        <f>IFERROR(INDEX(PP_Grid[#Data],$DE788,16),0)</f>
        <v/>
      </c>
      <c r="T788">
        <f>IFERROR(INDEX(PP_Grid[#Data],$DE788,17),0)</f>
        <v/>
      </c>
      <c r="U788">
        <f>IFERROR(INDEX(PP_Grid[#Data],$DE788,18),0)</f>
        <v/>
      </c>
      <c r="V788">
        <f>IFERROR(INDEX(PP_Grid[#Data],$DE788,19),0)</f>
        <v/>
      </c>
      <c r="W788">
        <f>IFERROR(INDEX(PP_Grid[#Data],$DE788,20),0)</f>
        <v/>
      </c>
      <c r="X788">
        <f>IFERROR(INDEX(PP_Grid[#Data],$DE788,21),0)</f>
        <v/>
      </c>
      <c r="Y788">
        <f>IFERROR(INDEX(PP_Grid[#Data],$DE788,22),0)</f>
        <v/>
      </c>
      <c r="Z788">
        <f>IFERROR(INDEX(PP_Grid[#Data],$DE788,23),0)</f>
        <v/>
      </c>
      <c r="AA788">
        <f>IFERROR(INDEX(PP_Grid[#Data],$DE788,24),0)</f>
        <v/>
      </c>
      <c r="AB788">
        <f>IFERROR(INDEX(PP_Grid[#Data],$DE788,25),0)</f>
        <v/>
      </c>
      <c r="AC788">
        <f>IFERROR(INDEX(PP_Grid[#Data],$DE788,26),0)</f>
        <v/>
      </c>
      <c r="AD788">
        <f>IFERROR(INDEX(PP_Grid[#Data],$DE788,27),0)</f>
        <v/>
      </c>
      <c r="AE788">
        <f>IFERROR(INDEX(PP_Grid[#Data],$DE788,28),0)</f>
        <v/>
      </c>
      <c r="AF788">
        <f>IFERROR(INDEX(PP_Grid[#Data],$DE788,29),0)</f>
        <v/>
      </c>
      <c r="AG788">
        <f>IFERROR(INDEX(PP_Grid[#Data],$DE788,30),0)</f>
        <v/>
      </c>
      <c r="AH788">
        <f>IFERROR(INDEX(PP_Grid[#Data],$DE788,31),0)</f>
        <v/>
      </c>
      <c r="AI788">
        <f>IFERROR(INDEX(PP_Grid[#Data],$DE788,32),0)</f>
        <v/>
      </c>
      <c r="AJ788">
        <f>IFERROR(INDEX(PP_Grid[#Data],$DE788,33),0)</f>
        <v/>
      </c>
      <c r="AK788">
        <f>IFERROR(INDEX(PP_Grid[#Data],$DE788,34),0)</f>
        <v/>
      </c>
      <c r="AL788">
        <f>IFERROR(INDEX(PP_Grid[#Data],$DE788,35),0)</f>
        <v/>
      </c>
      <c r="AM788">
        <f>IFERROR(INDEX(PP_Grid[#Data],$DE788,36),0)</f>
        <v/>
      </c>
      <c r="AN788">
        <f>IFERROR(INDEX(PP_Grid[#Data],$DE788,37),0)</f>
        <v/>
      </c>
      <c r="AO788">
        <f>IFERROR(INDEX(PP_Grid[#Data],$DE788,38),0)</f>
        <v/>
      </c>
      <c r="AP788">
        <f>IFERROR(INDEX(PP_Grid[#Data],$DE788,39),0)</f>
        <v/>
      </c>
      <c r="AQ788">
        <f>IFERROR(INDEX(PP_Grid[#Data],$DE788,40),0)</f>
        <v/>
      </c>
      <c r="AR788">
        <f>IFERROR(INDEX(PP_Grid[#Data],$DE788,41),0)</f>
        <v/>
      </c>
      <c r="AS788">
        <f>IFERROR(INDEX(PP_Grid[#Data],$DE788,42),0)</f>
        <v/>
      </c>
      <c r="AT788">
        <f>IFERROR(INDEX(PP_Grid[#Data],$DE788,43),0)</f>
        <v/>
      </c>
      <c r="AU788">
        <f>IFERROR(INDEX(PP_Grid[#Data],$DE788,44),0)</f>
        <v/>
      </c>
      <c r="AV788">
        <f>IFERROR(INDEX(PP_Grid[#Data],$DE788,45),0)</f>
        <v/>
      </c>
      <c r="AW788">
        <f>IFERROR(INDEX(PP_Grid[#Data],$DE788,46),0)</f>
        <v/>
      </c>
      <c r="AX788">
        <f>IFERROR(INDEX(PP_Grid[#Data],$DE788,47),0)</f>
        <v/>
      </c>
      <c r="AY788">
        <f>IFERROR(INDEX(PP_Grid[#Data],$DE788,48),0)</f>
        <v/>
      </c>
      <c r="AZ788">
        <f>IFERROR(INDEX(PP_Grid[#Data],$DE788,49),0)</f>
        <v/>
      </c>
      <c r="BA788">
        <f>IFERROR(INDEX(PP_Grid[#Data],$DE788,50),0)</f>
        <v/>
      </c>
      <c r="BB788">
        <f>IFERROR(INDEX(PP_Grid[#Data],$DE788,51),0)</f>
        <v/>
      </c>
      <c r="BC788">
        <f>IFERROR(INDEX(PP_Grid[#Data],$DE788,52),0)</f>
        <v/>
      </c>
      <c r="BD788">
        <f>IFERROR(INDEX(PP_Grid[#Data],$DE788,53),0)</f>
        <v/>
      </c>
      <c r="BE788">
        <f>IFERROR(INDEX(PP_Grid[#Data],$DE788,54),0)</f>
        <v/>
      </c>
      <c r="BF788">
        <f>IFERROR(INDEX(PP_Grid[#Data],$DE788,55),0)</f>
        <v/>
      </c>
      <c r="BG788">
        <f>IFERROR(INDEX(PP_Grid[#Data],$DE788,56),0)</f>
        <v/>
      </c>
      <c r="BH788">
        <f>IFERROR(INDEX(PP_Grid[#Data],$DE788,57),0)</f>
        <v/>
      </c>
      <c r="BI788">
        <f>IFERROR(INDEX(PP_Grid[#Data],$DE788,58),0)</f>
        <v/>
      </c>
      <c r="BJ788">
        <f>IFERROR(INDEX(PP_Grid[#Data],$DE788,59),0)</f>
        <v/>
      </c>
      <c r="BK788">
        <f>IFERROR(INDEX(PP_Grid[#Data],$DE788,60),0)</f>
        <v/>
      </c>
      <c r="BL788">
        <f>IFERROR(INDEX(PP_Grid[#Data],$DE788,61),0)</f>
        <v/>
      </c>
      <c r="BM788">
        <f>IFERROR(INDEX(PP_Grid[#Data],$DE788,62),0)</f>
        <v/>
      </c>
      <c r="BN788">
        <f>IFERROR(INDEX(PP_Grid[#Data],$DE788,63),0)</f>
        <v/>
      </c>
      <c r="BO788">
        <f>IFERROR(INDEX(PP_Grid[#Data],$DE788,64),0)</f>
        <v/>
      </c>
      <c r="BP788">
        <f>IFERROR(INDEX(PP_Grid[#Data],$DE788,65),0)</f>
        <v/>
      </c>
      <c r="BQ788">
        <f>IFERROR(INDEX(PP_Grid[#Data],$DE788,66),0)</f>
        <v/>
      </c>
      <c r="BR788">
        <f>IFERROR(INDEX(PP_Grid[#Data],$DE788,67),0)</f>
        <v/>
      </c>
      <c r="BS788">
        <f>IFERROR(INDEX(PP_Grid[#Data],$DE788,68),0)</f>
        <v/>
      </c>
      <c r="BT788">
        <f>IFERROR(INDEX(PP_Grid[#Data],$DE788,69),0)</f>
        <v/>
      </c>
      <c r="BU788">
        <f>IFERROR(INDEX(PP_Grid[#Data],$DE788,70),0)</f>
        <v/>
      </c>
      <c r="BV788">
        <f>IFERROR(INDEX(PP_Grid[#Data],$DE788,71),0)</f>
        <v/>
      </c>
      <c r="BW788">
        <f>IFERROR(INDEX(PP_Grid[#Data],$DE788,72),0)</f>
        <v/>
      </c>
      <c r="BX788">
        <f>IFERROR(INDEX(PP_Grid[#Data],$DE788,73),0)</f>
        <v/>
      </c>
      <c r="BY788">
        <f>IFERROR(INDEX(PP_Grid[#Data],$DE788,74),0)</f>
        <v/>
      </c>
      <c r="BZ788">
        <f>IFERROR(INDEX(PP_Grid[#Data],$DE788,75),0)</f>
        <v/>
      </c>
      <c r="CA788">
        <f>IFERROR(INDEX(PP_Grid[#Data],$DE788,76),0)</f>
        <v/>
      </c>
      <c r="CB788">
        <f>IFERROR(INDEX(PP_Grid[#Data],$DE788,77),0)</f>
        <v/>
      </c>
      <c r="CC788">
        <f>IFERROR(INDEX(PP_Grid[#Data],$DE788,78),0)</f>
        <v/>
      </c>
      <c r="CD788">
        <f>IFERROR(INDEX(PP_Grid[#Data],$DE788,79),0)</f>
        <v/>
      </c>
      <c r="CE788">
        <f>IFERROR(INDEX(PP_Grid[#Data],$DE788,80),0)</f>
        <v/>
      </c>
      <c r="CF788">
        <f>IFERROR(INDEX(PP_Grid[#Data],$DE788,81),0)</f>
        <v/>
      </c>
      <c r="CG788">
        <f>IFERROR(INDEX(PP_Grid[#Data],$DE788,82),0)</f>
        <v/>
      </c>
      <c r="CH788">
        <f>IFERROR(INDEX(PP_Grid[#Data],$DE788,83),0)</f>
        <v/>
      </c>
      <c r="CI788">
        <f>IFERROR(INDEX(PP_Grid[#Data],$DE788,84),0)</f>
        <v/>
      </c>
      <c r="CJ788">
        <f>IFERROR(INDEX(PP_Grid[#Data],$DE788,85),0)</f>
        <v/>
      </c>
      <c r="CK788">
        <f>IFERROR(INDEX(PP_Grid[#Data],$DE788,86),0)</f>
        <v/>
      </c>
      <c r="CL788">
        <f>IFERROR(INDEX(PP_Grid[#Data],$DE788,87),0)</f>
        <v/>
      </c>
      <c r="CM788">
        <f>IFERROR(INDEX(PP_Grid[#Data],$DE788,88),0)</f>
        <v/>
      </c>
      <c r="CN788">
        <f>IFERROR(INDEX(PP_Grid[#Data],$DE788,89),0)</f>
        <v/>
      </c>
      <c r="CO788">
        <f>IFERROR(INDEX(PP_Grid[#Data],$DE788,90),0)</f>
        <v/>
      </c>
      <c r="CP788">
        <f>IFERROR(INDEX(PP_Grid[#Data],$DE788,91),0)</f>
        <v/>
      </c>
      <c r="CQ788">
        <f>IFERROR(INDEX(PP_Grid[#Data],$DE788,92),0)</f>
        <v/>
      </c>
      <c r="CR788">
        <f>IFERROR(INDEX(PP_Grid[#Data],$DE788,93),0)</f>
        <v/>
      </c>
      <c r="CS788">
        <f>IFERROR(INDEX(PP_Grid[#Data],$DE788,94),0)</f>
        <v/>
      </c>
      <c r="CT788">
        <f>IFERROR(INDEX(PP_Grid[#Data],$DE788,95),0)</f>
        <v/>
      </c>
      <c r="CU788">
        <f>IFERROR(INDEX(PP_Grid[#Data],$DE788,96),0)</f>
        <v/>
      </c>
      <c r="CV788">
        <f>IFERROR(INDEX(PP_Grid[#Data],$DE788,97),0)</f>
        <v/>
      </c>
      <c r="CW788">
        <f>IFERROR(INDEX(PP_Grid[#Data],$DE788,98),0)</f>
        <v/>
      </c>
      <c r="CX788">
        <f>IFERROR(INDEX(PP_Grid[#Data],$DE788,99),0)</f>
        <v/>
      </c>
      <c r="CY788">
        <f>IFERROR(INDEX(PP_Grid[#Data],$DE788,100),0)</f>
        <v/>
      </c>
      <c r="CZ788">
        <f>IFERROR(INDEX(PP_Grid[#Data],$DE788,101),0)</f>
        <v/>
      </c>
      <c r="DA788">
        <f>IFERROR(INDEX(PP_Grid[#Data],$DE788,102),0)</f>
        <v/>
      </c>
      <c r="DB788">
        <f>IFERROR(INDEX(PP_Grid[#Data],$DE788,103),0)</f>
        <v/>
      </c>
      <c r="DC788">
        <f>IFERROR(INDEX(PP_Grid[#Data],$DE788,104),0)</f>
        <v/>
      </c>
      <c r="DD788">
        <f>IFERROR(INDEX(PP_Grid[#Data],$DE788,105),0)</f>
        <v/>
      </c>
      <c r="DE788" s="7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SUMIFS(M_BOM[RM_Qty_Per_Batch],M_BOM[Intermediate],$B788,M_BOM[RM_Code],$A745)</f>
        <v/>
      </c>
      <c r="D789">
        <f>IFERROR(INDEX(E789:DD789,$F$1),"")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  <c r="DD789">
        <f>$C789*DD788</f>
        <v/>
      </c>
    </row>
    <row r="790">
      <c r="B790" s="4" t="inlineStr">
        <is>
          <t>合計使用量(kg)/週</t>
        </is>
      </c>
      <c r="D790" s="22">
        <f>IFERROR(INDEX(E790:DD790,$F$1),"")</f>
        <v/>
      </c>
      <c r="E790">
        <f>'Grid_Requirement'!B52</f>
        <v/>
      </c>
      <c r="F790">
        <f>'Grid_Requirement'!C52</f>
        <v/>
      </c>
      <c r="G790">
        <f>'Grid_Requirement'!D52</f>
        <v/>
      </c>
      <c r="H790">
        <f>'Grid_Requirement'!E52</f>
        <v/>
      </c>
      <c r="I790">
        <f>'Grid_Requirement'!F52</f>
        <v/>
      </c>
      <c r="J790">
        <f>'Grid_Requirement'!G52</f>
        <v/>
      </c>
      <c r="K790">
        <f>'Grid_Requirement'!H52</f>
        <v/>
      </c>
      <c r="L790">
        <f>'Grid_Requirement'!I52</f>
        <v/>
      </c>
      <c r="M790">
        <f>'Grid_Requirement'!J52</f>
        <v/>
      </c>
      <c r="N790">
        <f>'Grid_Requirement'!K52</f>
        <v/>
      </c>
      <c r="O790">
        <f>'Grid_Requirement'!L52</f>
        <v/>
      </c>
      <c r="P790">
        <f>'Grid_Requirement'!M52</f>
        <v/>
      </c>
      <c r="Q790">
        <f>'Grid_Requirement'!N52</f>
        <v/>
      </c>
      <c r="R790">
        <f>'Grid_Requirement'!O52</f>
        <v/>
      </c>
      <c r="S790">
        <f>'Grid_Requirement'!P52</f>
        <v/>
      </c>
      <c r="T790">
        <f>'Grid_Requirement'!Q52</f>
        <v/>
      </c>
      <c r="U790">
        <f>'Grid_Requirement'!R52</f>
        <v/>
      </c>
      <c r="V790">
        <f>'Grid_Requirement'!S52</f>
        <v/>
      </c>
      <c r="W790">
        <f>'Grid_Requirement'!T52</f>
        <v/>
      </c>
      <c r="X790">
        <f>'Grid_Requirement'!U52</f>
        <v/>
      </c>
      <c r="Y790">
        <f>'Grid_Requirement'!V52</f>
        <v/>
      </c>
      <c r="Z790">
        <f>'Grid_Requirement'!W52</f>
        <v/>
      </c>
      <c r="AA790">
        <f>'Grid_Requirement'!X52</f>
        <v/>
      </c>
      <c r="AB790">
        <f>'Grid_Requirement'!Y52</f>
        <v/>
      </c>
      <c r="AC790">
        <f>'Grid_Requirement'!Z52</f>
        <v/>
      </c>
      <c r="AD790">
        <f>'Grid_Requirement'!AA52</f>
        <v/>
      </c>
      <c r="AE790">
        <f>'Grid_Requirement'!AB52</f>
        <v/>
      </c>
      <c r="AF790">
        <f>'Grid_Requirement'!AC52</f>
        <v/>
      </c>
      <c r="AG790">
        <f>'Grid_Requirement'!AD52</f>
        <v/>
      </c>
      <c r="AH790">
        <f>'Grid_Requirement'!AE52</f>
        <v/>
      </c>
      <c r="AI790">
        <f>'Grid_Requirement'!AF52</f>
        <v/>
      </c>
      <c r="AJ790">
        <f>'Grid_Requirement'!AG52</f>
        <v/>
      </c>
      <c r="AK790">
        <f>'Grid_Requirement'!AH52</f>
        <v/>
      </c>
      <c r="AL790">
        <f>'Grid_Requirement'!AI52</f>
        <v/>
      </c>
      <c r="AM790">
        <f>'Grid_Requirement'!AJ52</f>
        <v/>
      </c>
      <c r="AN790">
        <f>'Grid_Requirement'!AK52</f>
        <v/>
      </c>
      <c r="AO790">
        <f>'Grid_Requirement'!AL52</f>
        <v/>
      </c>
      <c r="AP790">
        <f>'Grid_Requirement'!AM52</f>
        <v/>
      </c>
      <c r="AQ790">
        <f>'Grid_Requirement'!AN52</f>
        <v/>
      </c>
      <c r="AR790">
        <f>'Grid_Requirement'!AO52</f>
        <v/>
      </c>
      <c r="AS790">
        <f>'Grid_Requirement'!AP52</f>
        <v/>
      </c>
      <c r="AT790">
        <f>'Grid_Requirement'!AQ52</f>
        <v/>
      </c>
      <c r="AU790">
        <f>'Grid_Requirement'!AR52</f>
        <v/>
      </c>
      <c r="AV790">
        <f>'Grid_Requirement'!AS52</f>
        <v/>
      </c>
      <c r="AW790">
        <f>'Grid_Requirement'!AT52</f>
        <v/>
      </c>
      <c r="AX790">
        <f>'Grid_Requirement'!AU52</f>
        <v/>
      </c>
      <c r="AY790">
        <f>'Grid_Requirement'!AV52</f>
        <v/>
      </c>
      <c r="AZ790">
        <f>'Grid_Requirement'!AW52</f>
        <v/>
      </c>
      <c r="BA790">
        <f>'Grid_Requirement'!AX52</f>
        <v/>
      </c>
      <c r="BB790">
        <f>'Grid_Requirement'!AY52</f>
        <v/>
      </c>
      <c r="BC790">
        <f>'Grid_Requirement'!AZ52</f>
        <v/>
      </c>
      <c r="BD790">
        <f>'Grid_Requirement'!BA52</f>
        <v/>
      </c>
      <c r="BE790">
        <f>'Grid_Requirement'!BB52</f>
        <v/>
      </c>
      <c r="BF790">
        <f>'Grid_Requirement'!BC52</f>
        <v/>
      </c>
      <c r="BG790">
        <f>'Grid_Requirement'!BD52</f>
        <v/>
      </c>
      <c r="BH790">
        <f>'Grid_Requirement'!BE52</f>
        <v/>
      </c>
      <c r="BI790">
        <f>'Grid_Requirement'!BF52</f>
        <v/>
      </c>
      <c r="BJ790">
        <f>'Grid_Requirement'!BG52</f>
        <v/>
      </c>
      <c r="BK790">
        <f>'Grid_Requirement'!BH52</f>
        <v/>
      </c>
      <c r="BL790">
        <f>'Grid_Requirement'!BI52</f>
        <v/>
      </c>
      <c r="BM790">
        <f>'Grid_Requirement'!BJ52</f>
        <v/>
      </c>
      <c r="BN790">
        <f>'Grid_Requirement'!BK52</f>
        <v/>
      </c>
      <c r="BO790">
        <f>'Grid_Requirement'!BL52</f>
        <v/>
      </c>
      <c r="BP790">
        <f>'Grid_Requirement'!BM52</f>
        <v/>
      </c>
      <c r="BQ790">
        <f>'Grid_Requirement'!BN52</f>
        <v/>
      </c>
      <c r="BR790">
        <f>'Grid_Requirement'!BO52</f>
        <v/>
      </c>
      <c r="BS790">
        <f>'Grid_Requirement'!BP52</f>
        <v/>
      </c>
      <c r="BT790">
        <f>'Grid_Requirement'!BQ52</f>
        <v/>
      </c>
      <c r="BU790">
        <f>'Grid_Requirement'!BR52</f>
        <v/>
      </c>
      <c r="BV790">
        <f>'Grid_Requirement'!BS52</f>
        <v/>
      </c>
      <c r="BW790">
        <f>'Grid_Requirement'!BT52</f>
        <v/>
      </c>
      <c r="BX790">
        <f>'Grid_Requirement'!BU52</f>
        <v/>
      </c>
      <c r="BY790">
        <f>'Grid_Requirement'!BV52</f>
        <v/>
      </c>
      <c r="BZ790">
        <f>'Grid_Requirement'!BW52</f>
        <v/>
      </c>
      <c r="CA790">
        <f>'Grid_Requirement'!BX52</f>
        <v/>
      </c>
      <c r="CB790">
        <f>'Grid_Requirement'!BY52</f>
        <v/>
      </c>
      <c r="CC790">
        <f>'Grid_Requirement'!BZ52</f>
        <v/>
      </c>
      <c r="CD790">
        <f>'Grid_Requirement'!CA52</f>
        <v/>
      </c>
      <c r="CE790">
        <f>'Grid_Requirement'!CB52</f>
        <v/>
      </c>
      <c r="CF790">
        <f>'Grid_Requirement'!CC52</f>
        <v/>
      </c>
      <c r="CG790">
        <f>'Grid_Requirement'!CD52</f>
        <v/>
      </c>
      <c r="CH790">
        <f>'Grid_Requirement'!CE52</f>
        <v/>
      </c>
      <c r="CI790">
        <f>'Grid_Requirement'!CF52</f>
        <v/>
      </c>
      <c r="CJ790">
        <f>'Grid_Requirement'!CG52</f>
        <v/>
      </c>
      <c r="CK790">
        <f>'Grid_Requirement'!CH52</f>
        <v/>
      </c>
      <c r="CL790">
        <f>'Grid_Requirement'!CI52</f>
        <v/>
      </c>
      <c r="CM790">
        <f>'Grid_Requirement'!CJ52</f>
        <v/>
      </c>
      <c r="CN790">
        <f>'Grid_Requirement'!CK52</f>
        <v/>
      </c>
      <c r="CO790">
        <f>'Grid_Requirement'!CL52</f>
        <v/>
      </c>
      <c r="CP790">
        <f>'Grid_Requirement'!CM52</f>
        <v/>
      </c>
      <c r="CQ790">
        <f>'Grid_Requirement'!CN52</f>
        <v/>
      </c>
      <c r="CR790">
        <f>'Grid_Requirement'!CO52</f>
        <v/>
      </c>
      <c r="CS790">
        <f>'Grid_Requirement'!CP52</f>
        <v/>
      </c>
      <c r="CT790">
        <f>'Grid_Requirement'!CQ52</f>
        <v/>
      </c>
      <c r="CU790">
        <f>'Grid_Requirement'!CR52</f>
        <v/>
      </c>
      <c r="CV790">
        <f>'Grid_Requirement'!CS52</f>
        <v/>
      </c>
      <c r="CW790">
        <f>'Grid_Requirement'!CT52</f>
        <v/>
      </c>
      <c r="CX790">
        <f>'Grid_Requirement'!CU52</f>
        <v/>
      </c>
      <c r="CY790">
        <f>'Grid_Requirement'!CV52</f>
        <v/>
      </c>
      <c r="CZ790">
        <f>'Grid_Requirement'!CW52</f>
        <v/>
      </c>
      <c r="DA790">
        <f>'Grid_Requirement'!CX52</f>
        <v/>
      </c>
      <c r="DB790">
        <f>'Grid_Requirement'!CY52</f>
        <v/>
      </c>
      <c r="DC790">
        <f>'Grid_Requirement'!CZ52</f>
        <v/>
      </c>
      <c r="DD790">
        <f>'Grid_Requirement'!DA52</f>
        <v/>
      </c>
    </row>
    <row r="791">
      <c r="B791" s="23" t="inlineStr">
        <is>
          <t>（在庫・入荷予定はDashboard参照）</t>
        </is>
      </c>
    </row>
    <row r="793">
      <c r="A793" s="21" t="inlineStr">
        <is>
          <t>CHEM-1670</t>
        </is>
      </c>
      <c r="B793" s="21" t="inlineStr">
        <is>
          <t>ALESPER 1065</t>
        </is>
      </c>
      <c r="C793" s="21" t="n"/>
      <c r="D793" s="21" t="n"/>
      <c r="E793" s="21" t="n"/>
      <c r="F793" s="21" t="n"/>
      <c r="G793" s="21" t="n"/>
      <c r="H793" s="21" t="n"/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  <c r="Z793" s="21" t="n"/>
      <c r="AA793" s="21" t="n"/>
      <c r="AB793" s="21" t="n"/>
      <c r="AC793" s="21" t="n"/>
      <c r="AD793" s="21" t="n"/>
      <c r="AE793" s="21" t="n"/>
      <c r="AF793" s="21" t="n"/>
      <c r="AG793" s="21" t="n"/>
      <c r="AH793" s="21" t="n"/>
      <c r="AI793" s="21" t="n"/>
      <c r="AJ793" s="21" t="n"/>
      <c r="AK793" s="21" t="n"/>
      <c r="AL793" s="21" t="n"/>
      <c r="AM793" s="21" t="n"/>
      <c r="AN793" s="21" t="n"/>
      <c r="AO793" s="21" t="n"/>
      <c r="AP793" s="21" t="n"/>
      <c r="AQ793" s="21" t="n"/>
      <c r="AR793" s="21" t="n"/>
      <c r="AS793" s="21" t="n"/>
      <c r="AT793" s="21" t="n"/>
      <c r="AU793" s="21" t="n"/>
      <c r="AV793" s="21" t="n"/>
      <c r="AW793" s="21" t="n"/>
      <c r="AX793" s="21" t="n"/>
      <c r="AY793" s="21" t="n"/>
      <c r="AZ793" s="21" t="n"/>
      <c r="BA793" s="21" t="n"/>
      <c r="BB793" s="21" t="n"/>
      <c r="BC793" s="21" t="n"/>
      <c r="BD793" s="21" t="n"/>
      <c r="BE793" s="21" t="n"/>
      <c r="BF793" s="21" t="n"/>
      <c r="BG793" s="21" t="n"/>
      <c r="BH793" s="21" t="n"/>
      <c r="BI793" s="21" t="n"/>
      <c r="BJ793" s="21" t="n"/>
      <c r="BK793" s="21" t="n"/>
      <c r="BL793" s="21" t="n"/>
      <c r="BM793" s="21" t="n"/>
      <c r="BN793" s="21" t="n"/>
      <c r="BO793" s="21" t="n"/>
      <c r="BP793" s="21" t="n"/>
      <c r="BQ793" s="21" t="n"/>
      <c r="BR793" s="21" t="n"/>
      <c r="BS793" s="21" t="n"/>
      <c r="BT793" s="21" t="n"/>
      <c r="BU793" s="21" t="n"/>
      <c r="BV793" s="21" t="n"/>
      <c r="BW793" s="21" t="n"/>
      <c r="BX793" s="21" t="n"/>
      <c r="BY793" s="21" t="n"/>
      <c r="BZ793" s="21" t="n"/>
      <c r="CA793" s="21" t="n"/>
      <c r="CB793" s="21" t="n"/>
      <c r="CC793" s="21" t="n"/>
      <c r="CD793" s="21" t="n"/>
      <c r="CE793" s="21" t="n"/>
      <c r="CF793" s="21" t="n"/>
      <c r="CG793" s="21" t="n"/>
      <c r="CH793" s="21" t="n"/>
      <c r="CI793" s="21" t="n"/>
      <c r="CJ793" s="21" t="n"/>
      <c r="CK793" s="21" t="n"/>
      <c r="CL793" s="21" t="n"/>
      <c r="CM793" s="21" t="n"/>
      <c r="CN793" s="21" t="n"/>
      <c r="CO793" s="21" t="n"/>
      <c r="CP793" s="21" t="n"/>
      <c r="CQ793" s="21" t="n"/>
      <c r="CR793" s="21" t="n"/>
      <c r="CS793" s="21" t="n"/>
      <c r="CT793" s="21" t="n"/>
      <c r="CU793" s="21" t="n"/>
      <c r="CV793" s="21" t="n"/>
      <c r="CW793" s="21" t="n"/>
      <c r="CX793" s="21" t="n"/>
      <c r="CY793" s="21" t="n"/>
      <c r="CZ793" s="21" t="n"/>
      <c r="DA793" s="21" t="n"/>
      <c r="DB793" s="21" t="n"/>
      <c r="DC793" s="21" t="n"/>
      <c r="DD793" s="21" t="n"/>
    </row>
    <row r="794">
      <c r="B794" t="inlineStr">
        <is>
          <t>TSP-218</t>
        </is>
      </c>
      <c r="C794" t="inlineStr">
        <is>
          <t>No. of batches</t>
        </is>
      </c>
      <c r="D794">
        <f>IFERROR(INDEX(E794:DD794,$F$1),"")</f>
        <v/>
      </c>
      <c r="E794">
        <f>IFERROR(INDEX(PP_Grid[#Data],$DE794,2),0)</f>
        <v/>
      </c>
      <c r="F794">
        <f>IFERROR(INDEX(PP_Grid[#Data],$DE794,3),0)</f>
        <v/>
      </c>
      <c r="G794">
        <f>IFERROR(INDEX(PP_Grid[#Data],$DE794,4),0)</f>
        <v/>
      </c>
      <c r="H794">
        <f>IFERROR(INDEX(PP_Grid[#Data],$DE794,5),0)</f>
        <v/>
      </c>
      <c r="I794">
        <f>IFERROR(INDEX(PP_Grid[#Data],$DE794,6),0)</f>
        <v/>
      </c>
      <c r="J794">
        <f>IFERROR(INDEX(PP_Grid[#Data],$DE794,7),0)</f>
        <v/>
      </c>
      <c r="K794">
        <f>IFERROR(INDEX(PP_Grid[#Data],$DE794,8),0)</f>
        <v/>
      </c>
      <c r="L794">
        <f>IFERROR(INDEX(PP_Grid[#Data],$DE794,9),0)</f>
        <v/>
      </c>
      <c r="M794">
        <f>IFERROR(INDEX(PP_Grid[#Data],$DE794,10),0)</f>
        <v/>
      </c>
      <c r="N794">
        <f>IFERROR(INDEX(PP_Grid[#Data],$DE794,11),0)</f>
        <v/>
      </c>
      <c r="O794">
        <f>IFERROR(INDEX(PP_Grid[#Data],$DE794,12),0)</f>
        <v/>
      </c>
      <c r="P794">
        <f>IFERROR(INDEX(PP_Grid[#Data],$DE794,13),0)</f>
        <v/>
      </c>
      <c r="Q794">
        <f>IFERROR(INDEX(PP_Grid[#Data],$DE794,14),0)</f>
        <v/>
      </c>
      <c r="R794">
        <f>IFERROR(INDEX(PP_Grid[#Data],$DE794,15),0)</f>
        <v/>
      </c>
      <c r="S794">
        <f>IFERROR(INDEX(PP_Grid[#Data],$DE794,16),0)</f>
        <v/>
      </c>
      <c r="T794">
        <f>IFERROR(INDEX(PP_Grid[#Data],$DE794,17),0)</f>
        <v/>
      </c>
      <c r="U794">
        <f>IFERROR(INDEX(PP_Grid[#Data],$DE794,18),0)</f>
        <v/>
      </c>
      <c r="V794">
        <f>IFERROR(INDEX(PP_Grid[#Data],$DE794,19),0)</f>
        <v/>
      </c>
      <c r="W794">
        <f>IFERROR(INDEX(PP_Grid[#Data],$DE794,20),0)</f>
        <v/>
      </c>
      <c r="X794">
        <f>IFERROR(INDEX(PP_Grid[#Data],$DE794,21),0)</f>
        <v/>
      </c>
      <c r="Y794">
        <f>IFERROR(INDEX(PP_Grid[#Data],$DE794,22),0)</f>
        <v/>
      </c>
      <c r="Z794">
        <f>IFERROR(INDEX(PP_Grid[#Data],$DE794,23),0)</f>
        <v/>
      </c>
      <c r="AA794">
        <f>IFERROR(INDEX(PP_Grid[#Data],$DE794,24),0)</f>
        <v/>
      </c>
      <c r="AB794">
        <f>IFERROR(INDEX(PP_Grid[#Data],$DE794,25),0)</f>
        <v/>
      </c>
      <c r="AC794">
        <f>IFERROR(INDEX(PP_Grid[#Data],$DE794,26),0)</f>
        <v/>
      </c>
      <c r="AD794">
        <f>IFERROR(INDEX(PP_Grid[#Data],$DE794,27),0)</f>
        <v/>
      </c>
      <c r="AE794">
        <f>IFERROR(INDEX(PP_Grid[#Data],$DE794,28),0)</f>
        <v/>
      </c>
      <c r="AF794">
        <f>IFERROR(INDEX(PP_Grid[#Data],$DE794,29),0)</f>
        <v/>
      </c>
      <c r="AG794">
        <f>IFERROR(INDEX(PP_Grid[#Data],$DE794,30),0)</f>
        <v/>
      </c>
      <c r="AH794">
        <f>IFERROR(INDEX(PP_Grid[#Data],$DE794,31),0)</f>
        <v/>
      </c>
      <c r="AI794">
        <f>IFERROR(INDEX(PP_Grid[#Data],$DE794,32),0)</f>
        <v/>
      </c>
      <c r="AJ794">
        <f>IFERROR(INDEX(PP_Grid[#Data],$DE794,33),0)</f>
        <v/>
      </c>
      <c r="AK794">
        <f>IFERROR(INDEX(PP_Grid[#Data],$DE794,34),0)</f>
        <v/>
      </c>
      <c r="AL794">
        <f>IFERROR(INDEX(PP_Grid[#Data],$DE794,35),0)</f>
        <v/>
      </c>
      <c r="AM794">
        <f>IFERROR(INDEX(PP_Grid[#Data],$DE794,36),0)</f>
        <v/>
      </c>
      <c r="AN794">
        <f>IFERROR(INDEX(PP_Grid[#Data],$DE794,37),0)</f>
        <v/>
      </c>
      <c r="AO794">
        <f>IFERROR(INDEX(PP_Grid[#Data],$DE794,38),0)</f>
        <v/>
      </c>
      <c r="AP794">
        <f>IFERROR(INDEX(PP_Grid[#Data],$DE794,39),0)</f>
        <v/>
      </c>
      <c r="AQ794">
        <f>IFERROR(INDEX(PP_Grid[#Data],$DE794,40),0)</f>
        <v/>
      </c>
      <c r="AR794">
        <f>IFERROR(INDEX(PP_Grid[#Data],$DE794,41),0)</f>
        <v/>
      </c>
      <c r="AS794">
        <f>IFERROR(INDEX(PP_Grid[#Data],$DE794,42),0)</f>
        <v/>
      </c>
      <c r="AT794">
        <f>IFERROR(INDEX(PP_Grid[#Data],$DE794,43),0)</f>
        <v/>
      </c>
      <c r="AU794">
        <f>IFERROR(INDEX(PP_Grid[#Data],$DE794,44),0)</f>
        <v/>
      </c>
      <c r="AV794">
        <f>IFERROR(INDEX(PP_Grid[#Data],$DE794,45),0)</f>
        <v/>
      </c>
      <c r="AW794">
        <f>IFERROR(INDEX(PP_Grid[#Data],$DE794,46),0)</f>
        <v/>
      </c>
      <c r="AX794">
        <f>IFERROR(INDEX(PP_Grid[#Data],$DE794,47),0)</f>
        <v/>
      </c>
      <c r="AY794">
        <f>IFERROR(INDEX(PP_Grid[#Data],$DE794,48),0)</f>
        <v/>
      </c>
      <c r="AZ794">
        <f>IFERROR(INDEX(PP_Grid[#Data],$DE794,49),0)</f>
        <v/>
      </c>
      <c r="BA794">
        <f>IFERROR(INDEX(PP_Grid[#Data],$DE794,50),0)</f>
        <v/>
      </c>
      <c r="BB794">
        <f>IFERROR(INDEX(PP_Grid[#Data],$DE794,51),0)</f>
        <v/>
      </c>
      <c r="BC794">
        <f>IFERROR(INDEX(PP_Grid[#Data],$DE794,52),0)</f>
        <v/>
      </c>
      <c r="BD794">
        <f>IFERROR(INDEX(PP_Grid[#Data],$DE794,53),0)</f>
        <v/>
      </c>
      <c r="BE794">
        <f>IFERROR(INDEX(PP_Grid[#Data],$DE794,54),0)</f>
        <v/>
      </c>
      <c r="BF794">
        <f>IFERROR(INDEX(PP_Grid[#Data],$DE794,55),0)</f>
        <v/>
      </c>
      <c r="BG794">
        <f>IFERROR(INDEX(PP_Grid[#Data],$DE794,56),0)</f>
        <v/>
      </c>
      <c r="BH794">
        <f>IFERROR(INDEX(PP_Grid[#Data],$DE794,57),0)</f>
        <v/>
      </c>
      <c r="BI794">
        <f>IFERROR(INDEX(PP_Grid[#Data],$DE794,58),0)</f>
        <v/>
      </c>
      <c r="BJ794">
        <f>IFERROR(INDEX(PP_Grid[#Data],$DE794,59),0)</f>
        <v/>
      </c>
      <c r="BK794">
        <f>IFERROR(INDEX(PP_Grid[#Data],$DE794,60),0)</f>
        <v/>
      </c>
      <c r="BL794">
        <f>IFERROR(INDEX(PP_Grid[#Data],$DE794,61),0)</f>
        <v/>
      </c>
      <c r="BM794">
        <f>IFERROR(INDEX(PP_Grid[#Data],$DE794,62),0)</f>
        <v/>
      </c>
      <c r="BN794">
        <f>IFERROR(INDEX(PP_Grid[#Data],$DE794,63),0)</f>
        <v/>
      </c>
      <c r="BO794">
        <f>IFERROR(INDEX(PP_Grid[#Data],$DE794,64),0)</f>
        <v/>
      </c>
      <c r="BP794">
        <f>IFERROR(INDEX(PP_Grid[#Data],$DE794,65),0)</f>
        <v/>
      </c>
      <c r="BQ794">
        <f>IFERROR(INDEX(PP_Grid[#Data],$DE794,66),0)</f>
        <v/>
      </c>
      <c r="BR794">
        <f>IFERROR(INDEX(PP_Grid[#Data],$DE794,67),0)</f>
        <v/>
      </c>
      <c r="BS794">
        <f>IFERROR(INDEX(PP_Grid[#Data],$DE794,68),0)</f>
        <v/>
      </c>
      <c r="BT794">
        <f>IFERROR(INDEX(PP_Grid[#Data],$DE794,69),0)</f>
        <v/>
      </c>
      <c r="BU794">
        <f>IFERROR(INDEX(PP_Grid[#Data],$DE794,70),0)</f>
        <v/>
      </c>
      <c r="BV794">
        <f>IFERROR(INDEX(PP_Grid[#Data],$DE794,71),0)</f>
        <v/>
      </c>
      <c r="BW794">
        <f>IFERROR(INDEX(PP_Grid[#Data],$DE794,72),0)</f>
        <v/>
      </c>
      <c r="BX794">
        <f>IFERROR(INDEX(PP_Grid[#Data],$DE794,73),0)</f>
        <v/>
      </c>
      <c r="BY794">
        <f>IFERROR(INDEX(PP_Grid[#Data],$DE794,74),0)</f>
        <v/>
      </c>
      <c r="BZ794">
        <f>IFERROR(INDEX(PP_Grid[#Data],$DE794,75),0)</f>
        <v/>
      </c>
      <c r="CA794">
        <f>IFERROR(INDEX(PP_Grid[#Data],$DE794,76),0)</f>
        <v/>
      </c>
      <c r="CB794">
        <f>IFERROR(INDEX(PP_Grid[#Data],$DE794,77),0)</f>
        <v/>
      </c>
      <c r="CC794">
        <f>IFERROR(INDEX(PP_Grid[#Data],$DE794,78),0)</f>
        <v/>
      </c>
      <c r="CD794">
        <f>IFERROR(INDEX(PP_Grid[#Data],$DE794,79),0)</f>
        <v/>
      </c>
      <c r="CE794">
        <f>IFERROR(INDEX(PP_Grid[#Data],$DE794,80),0)</f>
        <v/>
      </c>
      <c r="CF794">
        <f>IFERROR(INDEX(PP_Grid[#Data],$DE794,81),0)</f>
        <v/>
      </c>
      <c r="CG794">
        <f>IFERROR(INDEX(PP_Grid[#Data],$DE794,82),0)</f>
        <v/>
      </c>
      <c r="CH794">
        <f>IFERROR(INDEX(PP_Grid[#Data],$DE794,83),0)</f>
        <v/>
      </c>
      <c r="CI794">
        <f>IFERROR(INDEX(PP_Grid[#Data],$DE794,84),0)</f>
        <v/>
      </c>
      <c r="CJ794">
        <f>IFERROR(INDEX(PP_Grid[#Data],$DE794,85),0)</f>
        <v/>
      </c>
      <c r="CK794">
        <f>IFERROR(INDEX(PP_Grid[#Data],$DE794,86),0)</f>
        <v/>
      </c>
      <c r="CL794">
        <f>IFERROR(INDEX(PP_Grid[#Data],$DE794,87),0)</f>
        <v/>
      </c>
      <c r="CM794">
        <f>IFERROR(INDEX(PP_Grid[#Data],$DE794,88),0)</f>
        <v/>
      </c>
      <c r="CN794">
        <f>IFERROR(INDEX(PP_Grid[#Data],$DE794,89),0)</f>
        <v/>
      </c>
      <c r="CO794">
        <f>IFERROR(INDEX(PP_Grid[#Data],$DE794,90),0)</f>
        <v/>
      </c>
      <c r="CP794">
        <f>IFERROR(INDEX(PP_Grid[#Data],$DE794,91),0)</f>
        <v/>
      </c>
      <c r="CQ794">
        <f>IFERROR(INDEX(PP_Grid[#Data],$DE794,92),0)</f>
        <v/>
      </c>
      <c r="CR794">
        <f>IFERROR(INDEX(PP_Grid[#Data],$DE794,93),0)</f>
        <v/>
      </c>
      <c r="CS794">
        <f>IFERROR(INDEX(PP_Grid[#Data],$DE794,94),0)</f>
        <v/>
      </c>
      <c r="CT794">
        <f>IFERROR(INDEX(PP_Grid[#Data],$DE794,95),0)</f>
        <v/>
      </c>
      <c r="CU794">
        <f>IFERROR(INDEX(PP_Grid[#Data],$DE794,96),0)</f>
        <v/>
      </c>
      <c r="CV794">
        <f>IFERROR(INDEX(PP_Grid[#Data],$DE794,97),0)</f>
        <v/>
      </c>
      <c r="CW794">
        <f>IFERROR(INDEX(PP_Grid[#Data],$DE794,98),0)</f>
        <v/>
      </c>
      <c r="CX794">
        <f>IFERROR(INDEX(PP_Grid[#Data],$DE794,99),0)</f>
        <v/>
      </c>
      <c r="CY794">
        <f>IFERROR(INDEX(PP_Grid[#Data],$DE794,100),0)</f>
        <v/>
      </c>
      <c r="CZ794">
        <f>IFERROR(INDEX(PP_Grid[#Data],$DE794,101),0)</f>
        <v/>
      </c>
      <c r="DA794">
        <f>IFERROR(INDEX(PP_Grid[#Data],$DE794,102),0)</f>
        <v/>
      </c>
      <c r="DB794">
        <f>IFERROR(INDEX(PP_Grid[#Data],$DE794,103),0)</f>
        <v/>
      </c>
      <c r="DC794">
        <f>IFERROR(INDEX(PP_Grid[#Data],$DE794,104),0)</f>
        <v/>
      </c>
      <c r="DD794">
        <f>IFERROR(INDEX(PP_Grid[#Data],$DE794,105),0)</f>
        <v/>
      </c>
      <c r="DE794" s="7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SUMIFS(M_BOM[RM_Qty_Per_Batch],M_BOM[Intermediate],$B794,M_BOM[RM_Code],$A793)</f>
        <v/>
      </c>
      <c r="D795">
        <f>IFERROR(INDEX(E795:DD795,$F$1),"")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  <c r="DD795">
        <f>$C795*DD794</f>
        <v/>
      </c>
    </row>
    <row r="796">
      <c r="B796" t="inlineStr">
        <is>
          <t>TSP-558</t>
        </is>
      </c>
      <c r="C796" t="inlineStr">
        <is>
          <t>No. of batches</t>
        </is>
      </c>
      <c r="D796">
        <f>IFERROR(INDEX(E796:DD796,$F$1),"")</f>
        <v/>
      </c>
      <c r="E796">
        <f>IFERROR(INDEX(PP_Grid[#Data],$DE796,2),0)</f>
        <v/>
      </c>
      <c r="F796">
        <f>IFERROR(INDEX(PP_Grid[#Data],$DE796,3),0)</f>
        <v/>
      </c>
      <c r="G796">
        <f>IFERROR(INDEX(PP_Grid[#Data],$DE796,4),0)</f>
        <v/>
      </c>
      <c r="H796">
        <f>IFERROR(INDEX(PP_Grid[#Data],$DE796,5),0)</f>
        <v/>
      </c>
      <c r="I796">
        <f>IFERROR(INDEX(PP_Grid[#Data],$DE796,6),0)</f>
        <v/>
      </c>
      <c r="J796">
        <f>IFERROR(INDEX(PP_Grid[#Data],$DE796,7),0)</f>
        <v/>
      </c>
      <c r="K796">
        <f>IFERROR(INDEX(PP_Grid[#Data],$DE796,8),0)</f>
        <v/>
      </c>
      <c r="L796">
        <f>IFERROR(INDEX(PP_Grid[#Data],$DE796,9),0)</f>
        <v/>
      </c>
      <c r="M796">
        <f>IFERROR(INDEX(PP_Grid[#Data],$DE796,10),0)</f>
        <v/>
      </c>
      <c r="N796">
        <f>IFERROR(INDEX(PP_Grid[#Data],$DE796,11),0)</f>
        <v/>
      </c>
      <c r="O796">
        <f>IFERROR(INDEX(PP_Grid[#Data],$DE796,12),0)</f>
        <v/>
      </c>
      <c r="P796">
        <f>IFERROR(INDEX(PP_Grid[#Data],$DE796,13),0)</f>
        <v/>
      </c>
      <c r="Q796">
        <f>IFERROR(INDEX(PP_Grid[#Data],$DE796,14),0)</f>
        <v/>
      </c>
      <c r="R796">
        <f>IFERROR(INDEX(PP_Grid[#Data],$DE796,15),0)</f>
        <v/>
      </c>
      <c r="S796">
        <f>IFERROR(INDEX(PP_Grid[#Data],$DE796,16),0)</f>
        <v/>
      </c>
      <c r="T796">
        <f>IFERROR(INDEX(PP_Grid[#Data],$DE796,17),0)</f>
        <v/>
      </c>
      <c r="U796">
        <f>IFERROR(INDEX(PP_Grid[#Data],$DE796,18),0)</f>
        <v/>
      </c>
      <c r="V796">
        <f>IFERROR(INDEX(PP_Grid[#Data],$DE796,19),0)</f>
        <v/>
      </c>
      <c r="W796">
        <f>IFERROR(INDEX(PP_Grid[#Data],$DE796,20),0)</f>
        <v/>
      </c>
      <c r="X796">
        <f>IFERROR(INDEX(PP_Grid[#Data],$DE796,21),0)</f>
        <v/>
      </c>
      <c r="Y796">
        <f>IFERROR(INDEX(PP_Grid[#Data],$DE796,22),0)</f>
        <v/>
      </c>
      <c r="Z796">
        <f>IFERROR(INDEX(PP_Grid[#Data],$DE796,23),0)</f>
        <v/>
      </c>
      <c r="AA796">
        <f>IFERROR(INDEX(PP_Grid[#Data],$DE796,24),0)</f>
        <v/>
      </c>
      <c r="AB796">
        <f>IFERROR(INDEX(PP_Grid[#Data],$DE796,25),0)</f>
        <v/>
      </c>
      <c r="AC796">
        <f>IFERROR(INDEX(PP_Grid[#Data],$DE796,26),0)</f>
        <v/>
      </c>
      <c r="AD796">
        <f>IFERROR(INDEX(PP_Grid[#Data],$DE796,27),0)</f>
        <v/>
      </c>
      <c r="AE796">
        <f>IFERROR(INDEX(PP_Grid[#Data],$DE796,28),0)</f>
        <v/>
      </c>
      <c r="AF796">
        <f>IFERROR(INDEX(PP_Grid[#Data],$DE796,29),0)</f>
        <v/>
      </c>
      <c r="AG796">
        <f>IFERROR(INDEX(PP_Grid[#Data],$DE796,30),0)</f>
        <v/>
      </c>
      <c r="AH796">
        <f>IFERROR(INDEX(PP_Grid[#Data],$DE796,31),0)</f>
        <v/>
      </c>
      <c r="AI796">
        <f>IFERROR(INDEX(PP_Grid[#Data],$DE796,32),0)</f>
        <v/>
      </c>
      <c r="AJ796">
        <f>IFERROR(INDEX(PP_Grid[#Data],$DE796,33),0)</f>
        <v/>
      </c>
      <c r="AK796">
        <f>IFERROR(INDEX(PP_Grid[#Data],$DE796,34),0)</f>
        <v/>
      </c>
      <c r="AL796">
        <f>IFERROR(INDEX(PP_Grid[#Data],$DE796,35),0)</f>
        <v/>
      </c>
      <c r="AM796">
        <f>IFERROR(INDEX(PP_Grid[#Data],$DE796,36),0)</f>
        <v/>
      </c>
      <c r="AN796">
        <f>IFERROR(INDEX(PP_Grid[#Data],$DE796,37),0)</f>
        <v/>
      </c>
      <c r="AO796">
        <f>IFERROR(INDEX(PP_Grid[#Data],$DE796,38),0)</f>
        <v/>
      </c>
      <c r="AP796">
        <f>IFERROR(INDEX(PP_Grid[#Data],$DE796,39),0)</f>
        <v/>
      </c>
      <c r="AQ796">
        <f>IFERROR(INDEX(PP_Grid[#Data],$DE796,40),0)</f>
        <v/>
      </c>
      <c r="AR796">
        <f>IFERROR(INDEX(PP_Grid[#Data],$DE796,41),0)</f>
        <v/>
      </c>
      <c r="AS796">
        <f>IFERROR(INDEX(PP_Grid[#Data],$DE796,42),0)</f>
        <v/>
      </c>
      <c r="AT796">
        <f>IFERROR(INDEX(PP_Grid[#Data],$DE796,43),0)</f>
        <v/>
      </c>
      <c r="AU796">
        <f>IFERROR(INDEX(PP_Grid[#Data],$DE796,44),0)</f>
        <v/>
      </c>
      <c r="AV796">
        <f>IFERROR(INDEX(PP_Grid[#Data],$DE796,45),0)</f>
        <v/>
      </c>
      <c r="AW796">
        <f>IFERROR(INDEX(PP_Grid[#Data],$DE796,46),0)</f>
        <v/>
      </c>
      <c r="AX796">
        <f>IFERROR(INDEX(PP_Grid[#Data],$DE796,47),0)</f>
        <v/>
      </c>
      <c r="AY796">
        <f>IFERROR(INDEX(PP_Grid[#Data],$DE796,48),0)</f>
        <v/>
      </c>
      <c r="AZ796">
        <f>IFERROR(INDEX(PP_Grid[#Data],$DE796,49),0)</f>
        <v/>
      </c>
      <c r="BA796">
        <f>IFERROR(INDEX(PP_Grid[#Data],$DE796,50),0)</f>
        <v/>
      </c>
      <c r="BB796">
        <f>IFERROR(INDEX(PP_Grid[#Data],$DE796,51),0)</f>
        <v/>
      </c>
      <c r="BC796">
        <f>IFERROR(INDEX(PP_Grid[#Data],$DE796,52),0)</f>
        <v/>
      </c>
      <c r="BD796">
        <f>IFERROR(INDEX(PP_Grid[#Data],$DE796,53),0)</f>
        <v/>
      </c>
      <c r="BE796">
        <f>IFERROR(INDEX(PP_Grid[#Data],$DE796,54),0)</f>
        <v/>
      </c>
      <c r="BF796">
        <f>IFERROR(INDEX(PP_Grid[#Data],$DE796,55),0)</f>
        <v/>
      </c>
      <c r="BG796">
        <f>IFERROR(INDEX(PP_Grid[#Data],$DE796,56),0)</f>
        <v/>
      </c>
      <c r="BH796">
        <f>IFERROR(INDEX(PP_Grid[#Data],$DE796,57),0)</f>
        <v/>
      </c>
      <c r="BI796">
        <f>IFERROR(INDEX(PP_Grid[#Data],$DE796,58),0)</f>
        <v/>
      </c>
      <c r="BJ796">
        <f>IFERROR(INDEX(PP_Grid[#Data],$DE796,59),0)</f>
        <v/>
      </c>
      <c r="BK796">
        <f>IFERROR(INDEX(PP_Grid[#Data],$DE796,60),0)</f>
        <v/>
      </c>
      <c r="BL796">
        <f>IFERROR(INDEX(PP_Grid[#Data],$DE796,61),0)</f>
        <v/>
      </c>
      <c r="BM796">
        <f>IFERROR(INDEX(PP_Grid[#Data],$DE796,62),0)</f>
        <v/>
      </c>
      <c r="BN796">
        <f>IFERROR(INDEX(PP_Grid[#Data],$DE796,63),0)</f>
        <v/>
      </c>
      <c r="BO796">
        <f>IFERROR(INDEX(PP_Grid[#Data],$DE796,64),0)</f>
        <v/>
      </c>
      <c r="BP796">
        <f>IFERROR(INDEX(PP_Grid[#Data],$DE796,65),0)</f>
        <v/>
      </c>
      <c r="BQ796">
        <f>IFERROR(INDEX(PP_Grid[#Data],$DE796,66),0)</f>
        <v/>
      </c>
      <c r="BR796">
        <f>IFERROR(INDEX(PP_Grid[#Data],$DE796,67),0)</f>
        <v/>
      </c>
      <c r="BS796">
        <f>IFERROR(INDEX(PP_Grid[#Data],$DE796,68),0)</f>
        <v/>
      </c>
      <c r="BT796">
        <f>IFERROR(INDEX(PP_Grid[#Data],$DE796,69),0)</f>
        <v/>
      </c>
      <c r="BU796">
        <f>IFERROR(INDEX(PP_Grid[#Data],$DE796,70),0)</f>
        <v/>
      </c>
      <c r="BV796">
        <f>IFERROR(INDEX(PP_Grid[#Data],$DE796,71),0)</f>
        <v/>
      </c>
      <c r="BW796">
        <f>IFERROR(INDEX(PP_Grid[#Data],$DE796,72),0)</f>
        <v/>
      </c>
      <c r="BX796">
        <f>IFERROR(INDEX(PP_Grid[#Data],$DE796,73),0)</f>
        <v/>
      </c>
      <c r="BY796">
        <f>IFERROR(INDEX(PP_Grid[#Data],$DE796,74),0)</f>
        <v/>
      </c>
      <c r="BZ796">
        <f>IFERROR(INDEX(PP_Grid[#Data],$DE796,75),0)</f>
        <v/>
      </c>
      <c r="CA796">
        <f>IFERROR(INDEX(PP_Grid[#Data],$DE796,76),0)</f>
        <v/>
      </c>
      <c r="CB796">
        <f>IFERROR(INDEX(PP_Grid[#Data],$DE796,77),0)</f>
        <v/>
      </c>
      <c r="CC796">
        <f>IFERROR(INDEX(PP_Grid[#Data],$DE796,78),0)</f>
        <v/>
      </c>
      <c r="CD796">
        <f>IFERROR(INDEX(PP_Grid[#Data],$DE796,79),0)</f>
        <v/>
      </c>
      <c r="CE796">
        <f>IFERROR(INDEX(PP_Grid[#Data],$DE796,80),0)</f>
        <v/>
      </c>
      <c r="CF796">
        <f>IFERROR(INDEX(PP_Grid[#Data],$DE796,81),0)</f>
        <v/>
      </c>
      <c r="CG796">
        <f>IFERROR(INDEX(PP_Grid[#Data],$DE796,82),0)</f>
        <v/>
      </c>
      <c r="CH796">
        <f>IFERROR(INDEX(PP_Grid[#Data],$DE796,83),0)</f>
        <v/>
      </c>
      <c r="CI796">
        <f>IFERROR(INDEX(PP_Grid[#Data],$DE796,84),0)</f>
        <v/>
      </c>
      <c r="CJ796">
        <f>IFERROR(INDEX(PP_Grid[#Data],$DE796,85),0)</f>
        <v/>
      </c>
      <c r="CK796">
        <f>IFERROR(INDEX(PP_Grid[#Data],$DE796,86),0)</f>
        <v/>
      </c>
      <c r="CL796">
        <f>IFERROR(INDEX(PP_Grid[#Data],$DE796,87),0)</f>
        <v/>
      </c>
      <c r="CM796">
        <f>IFERROR(INDEX(PP_Grid[#Data],$DE796,88),0)</f>
        <v/>
      </c>
      <c r="CN796">
        <f>IFERROR(INDEX(PP_Grid[#Data],$DE796,89),0)</f>
        <v/>
      </c>
      <c r="CO796">
        <f>IFERROR(INDEX(PP_Grid[#Data],$DE796,90),0)</f>
        <v/>
      </c>
      <c r="CP796">
        <f>IFERROR(INDEX(PP_Grid[#Data],$DE796,91),0)</f>
        <v/>
      </c>
      <c r="CQ796">
        <f>IFERROR(INDEX(PP_Grid[#Data],$DE796,92),0)</f>
        <v/>
      </c>
      <c r="CR796">
        <f>IFERROR(INDEX(PP_Grid[#Data],$DE796,93),0)</f>
        <v/>
      </c>
      <c r="CS796">
        <f>IFERROR(INDEX(PP_Grid[#Data],$DE796,94),0)</f>
        <v/>
      </c>
      <c r="CT796">
        <f>IFERROR(INDEX(PP_Grid[#Data],$DE796,95),0)</f>
        <v/>
      </c>
      <c r="CU796">
        <f>IFERROR(INDEX(PP_Grid[#Data],$DE796,96),0)</f>
        <v/>
      </c>
      <c r="CV796">
        <f>IFERROR(INDEX(PP_Grid[#Data],$DE796,97),0)</f>
        <v/>
      </c>
      <c r="CW796">
        <f>IFERROR(INDEX(PP_Grid[#Data],$DE796,98),0)</f>
        <v/>
      </c>
      <c r="CX796">
        <f>IFERROR(INDEX(PP_Grid[#Data],$DE796,99),0)</f>
        <v/>
      </c>
      <c r="CY796">
        <f>IFERROR(INDEX(PP_Grid[#Data],$DE796,100),0)</f>
        <v/>
      </c>
      <c r="CZ796">
        <f>IFERROR(INDEX(PP_Grid[#Data],$DE796,101),0)</f>
        <v/>
      </c>
      <c r="DA796">
        <f>IFERROR(INDEX(PP_Grid[#Data],$DE796,102),0)</f>
        <v/>
      </c>
      <c r="DB796">
        <f>IFERROR(INDEX(PP_Grid[#Data],$DE796,103),0)</f>
        <v/>
      </c>
      <c r="DC796">
        <f>IFERROR(INDEX(PP_Grid[#Data],$DE796,104),0)</f>
        <v/>
      </c>
      <c r="DD796">
        <f>IFERROR(INDEX(PP_Grid[#Data],$DE796,105),0)</f>
        <v/>
      </c>
      <c r="DE796" s="7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SUMIFS(M_BOM[RM_Qty_Per_Batch],M_BOM[Intermediate],$B796,M_BOM[RM_Code],$A793)</f>
        <v/>
      </c>
      <c r="D797">
        <f>IFERROR(INDEX(E797:DD797,$F$1),"")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  <c r="DD797">
        <f>$C797*DD796</f>
        <v/>
      </c>
    </row>
    <row r="798">
      <c r="B798" t="inlineStr">
        <is>
          <t>TSP-903</t>
        </is>
      </c>
      <c r="C798" t="inlineStr">
        <is>
          <t>No. of batches</t>
        </is>
      </c>
      <c r="D798">
        <f>IFERROR(INDEX(E798:DD798,$F$1),"")</f>
        <v/>
      </c>
      <c r="E798">
        <f>IFERROR(INDEX(PP_Grid[#Data],$DE798,2),0)</f>
        <v/>
      </c>
      <c r="F798">
        <f>IFERROR(INDEX(PP_Grid[#Data],$DE798,3),0)</f>
        <v/>
      </c>
      <c r="G798">
        <f>IFERROR(INDEX(PP_Grid[#Data],$DE798,4),0)</f>
        <v/>
      </c>
      <c r="H798">
        <f>IFERROR(INDEX(PP_Grid[#Data],$DE798,5),0)</f>
        <v/>
      </c>
      <c r="I798">
        <f>IFERROR(INDEX(PP_Grid[#Data],$DE798,6),0)</f>
        <v/>
      </c>
      <c r="J798">
        <f>IFERROR(INDEX(PP_Grid[#Data],$DE798,7),0)</f>
        <v/>
      </c>
      <c r="K798">
        <f>IFERROR(INDEX(PP_Grid[#Data],$DE798,8),0)</f>
        <v/>
      </c>
      <c r="L798">
        <f>IFERROR(INDEX(PP_Grid[#Data],$DE798,9),0)</f>
        <v/>
      </c>
      <c r="M798">
        <f>IFERROR(INDEX(PP_Grid[#Data],$DE798,10),0)</f>
        <v/>
      </c>
      <c r="N798">
        <f>IFERROR(INDEX(PP_Grid[#Data],$DE798,11),0)</f>
        <v/>
      </c>
      <c r="O798">
        <f>IFERROR(INDEX(PP_Grid[#Data],$DE798,12),0)</f>
        <v/>
      </c>
      <c r="P798">
        <f>IFERROR(INDEX(PP_Grid[#Data],$DE798,13),0)</f>
        <v/>
      </c>
      <c r="Q798">
        <f>IFERROR(INDEX(PP_Grid[#Data],$DE798,14),0)</f>
        <v/>
      </c>
      <c r="R798">
        <f>IFERROR(INDEX(PP_Grid[#Data],$DE798,15),0)</f>
        <v/>
      </c>
      <c r="S798">
        <f>IFERROR(INDEX(PP_Grid[#Data],$DE798,16),0)</f>
        <v/>
      </c>
      <c r="T798">
        <f>IFERROR(INDEX(PP_Grid[#Data],$DE798,17),0)</f>
        <v/>
      </c>
      <c r="U798">
        <f>IFERROR(INDEX(PP_Grid[#Data],$DE798,18),0)</f>
        <v/>
      </c>
      <c r="V798">
        <f>IFERROR(INDEX(PP_Grid[#Data],$DE798,19),0)</f>
        <v/>
      </c>
      <c r="W798">
        <f>IFERROR(INDEX(PP_Grid[#Data],$DE798,20),0)</f>
        <v/>
      </c>
      <c r="X798">
        <f>IFERROR(INDEX(PP_Grid[#Data],$DE798,21),0)</f>
        <v/>
      </c>
      <c r="Y798">
        <f>IFERROR(INDEX(PP_Grid[#Data],$DE798,22),0)</f>
        <v/>
      </c>
      <c r="Z798">
        <f>IFERROR(INDEX(PP_Grid[#Data],$DE798,23),0)</f>
        <v/>
      </c>
      <c r="AA798">
        <f>IFERROR(INDEX(PP_Grid[#Data],$DE798,24),0)</f>
        <v/>
      </c>
      <c r="AB798">
        <f>IFERROR(INDEX(PP_Grid[#Data],$DE798,25),0)</f>
        <v/>
      </c>
      <c r="AC798">
        <f>IFERROR(INDEX(PP_Grid[#Data],$DE798,26),0)</f>
        <v/>
      </c>
      <c r="AD798">
        <f>IFERROR(INDEX(PP_Grid[#Data],$DE798,27),0)</f>
        <v/>
      </c>
      <c r="AE798">
        <f>IFERROR(INDEX(PP_Grid[#Data],$DE798,28),0)</f>
        <v/>
      </c>
      <c r="AF798">
        <f>IFERROR(INDEX(PP_Grid[#Data],$DE798,29),0)</f>
        <v/>
      </c>
      <c r="AG798">
        <f>IFERROR(INDEX(PP_Grid[#Data],$DE798,30),0)</f>
        <v/>
      </c>
      <c r="AH798">
        <f>IFERROR(INDEX(PP_Grid[#Data],$DE798,31),0)</f>
        <v/>
      </c>
      <c r="AI798">
        <f>IFERROR(INDEX(PP_Grid[#Data],$DE798,32),0)</f>
        <v/>
      </c>
      <c r="AJ798">
        <f>IFERROR(INDEX(PP_Grid[#Data],$DE798,33),0)</f>
        <v/>
      </c>
      <c r="AK798">
        <f>IFERROR(INDEX(PP_Grid[#Data],$DE798,34),0)</f>
        <v/>
      </c>
      <c r="AL798">
        <f>IFERROR(INDEX(PP_Grid[#Data],$DE798,35),0)</f>
        <v/>
      </c>
      <c r="AM798">
        <f>IFERROR(INDEX(PP_Grid[#Data],$DE798,36),0)</f>
        <v/>
      </c>
      <c r="AN798">
        <f>IFERROR(INDEX(PP_Grid[#Data],$DE798,37),0)</f>
        <v/>
      </c>
      <c r="AO798">
        <f>IFERROR(INDEX(PP_Grid[#Data],$DE798,38),0)</f>
        <v/>
      </c>
      <c r="AP798">
        <f>IFERROR(INDEX(PP_Grid[#Data],$DE798,39),0)</f>
        <v/>
      </c>
      <c r="AQ798">
        <f>IFERROR(INDEX(PP_Grid[#Data],$DE798,40),0)</f>
        <v/>
      </c>
      <c r="AR798">
        <f>IFERROR(INDEX(PP_Grid[#Data],$DE798,41),0)</f>
        <v/>
      </c>
      <c r="AS798">
        <f>IFERROR(INDEX(PP_Grid[#Data],$DE798,42),0)</f>
        <v/>
      </c>
      <c r="AT798">
        <f>IFERROR(INDEX(PP_Grid[#Data],$DE798,43),0)</f>
        <v/>
      </c>
      <c r="AU798">
        <f>IFERROR(INDEX(PP_Grid[#Data],$DE798,44),0)</f>
        <v/>
      </c>
      <c r="AV798">
        <f>IFERROR(INDEX(PP_Grid[#Data],$DE798,45),0)</f>
        <v/>
      </c>
      <c r="AW798">
        <f>IFERROR(INDEX(PP_Grid[#Data],$DE798,46),0)</f>
        <v/>
      </c>
      <c r="AX798">
        <f>IFERROR(INDEX(PP_Grid[#Data],$DE798,47),0)</f>
        <v/>
      </c>
      <c r="AY798">
        <f>IFERROR(INDEX(PP_Grid[#Data],$DE798,48),0)</f>
        <v/>
      </c>
      <c r="AZ798">
        <f>IFERROR(INDEX(PP_Grid[#Data],$DE798,49),0)</f>
        <v/>
      </c>
      <c r="BA798">
        <f>IFERROR(INDEX(PP_Grid[#Data],$DE798,50),0)</f>
        <v/>
      </c>
      <c r="BB798">
        <f>IFERROR(INDEX(PP_Grid[#Data],$DE798,51),0)</f>
        <v/>
      </c>
      <c r="BC798">
        <f>IFERROR(INDEX(PP_Grid[#Data],$DE798,52),0)</f>
        <v/>
      </c>
      <c r="BD798">
        <f>IFERROR(INDEX(PP_Grid[#Data],$DE798,53),0)</f>
        <v/>
      </c>
      <c r="BE798">
        <f>IFERROR(INDEX(PP_Grid[#Data],$DE798,54),0)</f>
        <v/>
      </c>
      <c r="BF798">
        <f>IFERROR(INDEX(PP_Grid[#Data],$DE798,55),0)</f>
        <v/>
      </c>
      <c r="BG798">
        <f>IFERROR(INDEX(PP_Grid[#Data],$DE798,56),0)</f>
        <v/>
      </c>
      <c r="BH798">
        <f>IFERROR(INDEX(PP_Grid[#Data],$DE798,57),0)</f>
        <v/>
      </c>
      <c r="BI798">
        <f>IFERROR(INDEX(PP_Grid[#Data],$DE798,58),0)</f>
        <v/>
      </c>
      <c r="BJ798">
        <f>IFERROR(INDEX(PP_Grid[#Data],$DE798,59),0)</f>
        <v/>
      </c>
      <c r="BK798">
        <f>IFERROR(INDEX(PP_Grid[#Data],$DE798,60),0)</f>
        <v/>
      </c>
      <c r="BL798">
        <f>IFERROR(INDEX(PP_Grid[#Data],$DE798,61),0)</f>
        <v/>
      </c>
      <c r="BM798">
        <f>IFERROR(INDEX(PP_Grid[#Data],$DE798,62),0)</f>
        <v/>
      </c>
      <c r="BN798">
        <f>IFERROR(INDEX(PP_Grid[#Data],$DE798,63),0)</f>
        <v/>
      </c>
      <c r="BO798">
        <f>IFERROR(INDEX(PP_Grid[#Data],$DE798,64),0)</f>
        <v/>
      </c>
      <c r="BP798">
        <f>IFERROR(INDEX(PP_Grid[#Data],$DE798,65),0)</f>
        <v/>
      </c>
      <c r="BQ798">
        <f>IFERROR(INDEX(PP_Grid[#Data],$DE798,66),0)</f>
        <v/>
      </c>
      <c r="BR798">
        <f>IFERROR(INDEX(PP_Grid[#Data],$DE798,67),0)</f>
        <v/>
      </c>
      <c r="BS798">
        <f>IFERROR(INDEX(PP_Grid[#Data],$DE798,68),0)</f>
        <v/>
      </c>
      <c r="BT798">
        <f>IFERROR(INDEX(PP_Grid[#Data],$DE798,69),0)</f>
        <v/>
      </c>
      <c r="BU798">
        <f>IFERROR(INDEX(PP_Grid[#Data],$DE798,70),0)</f>
        <v/>
      </c>
      <c r="BV798">
        <f>IFERROR(INDEX(PP_Grid[#Data],$DE798,71),0)</f>
        <v/>
      </c>
      <c r="BW798">
        <f>IFERROR(INDEX(PP_Grid[#Data],$DE798,72),0)</f>
        <v/>
      </c>
      <c r="BX798">
        <f>IFERROR(INDEX(PP_Grid[#Data],$DE798,73),0)</f>
        <v/>
      </c>
      <c r="BY798">
        <f>IFERROR(INDEX(PP_Grid[#Data],$DE798,74),0)</f>
        <v/>
      </c>
      <c r="BZ798">
        <f>IFERROR(INDEX(PP_Grid[#Data],$DE798,75),0)</f>
        <v/>
      </c>
      <c r="CA798">
        <f>IFERROR(INDEX(PP_Grid[#Data],$DE798,76),0)</f>
        <v/>
      </c>
      <c r="CB798">
        <f>IFERROR(INDEX(PP_Grid[#Data],$DE798,77),0)</f>
        <v/>
      </c>
      <c r="CC798">
        <f>IFERROR(INDEX(PP_Grid[#Data],$DE798,78),0)</f>
        <v/>
      </c>
      <c r="CD798">
        <f>IFERROR(INDEX(PP_Grid[#Data],$DE798,79),0)</f>
        <v/>
      </c>
      <c r="CE798">
        <f>IFERROR(INDEX(PP_Grid[#Data],$DE798,80),0)</f>
        <v/>
      </c>
      <c r="CF798">
        <f>IFERROR(INDEX(PP_Grid[#Data],$DE798,81),0)</f>
        <v/>
      </c>
      <c r="CG798">
        <f>IFERROR(INDEX(PP_Grid[#Data],$DE798,82),0)</f>
        <v/>
      </c>
      <c r="CH798">
        <f>IFERROR(INDEX(PP_Grid[#Data],$DE798,83),0)</f>
        <v/>
      </c>
      <c r="CI798">
        <f>IFERROR(INDEX(PP_Grid[#Data],$DE798,84),0)</f>
        <v/>
      </c>
      <c r="CJ798">
        <f>IFERROR(INDEX(PP_Grid[#Data],$DE798,85),0)</f>
        <v/>
      </c>
      <c r="CK798">
        <f>IFERROR(INDEX(PP_Grid[#Data],$DE798,86),0)</f>
        <v/>
      </c>
      <c r="CL798">
        <f>IFERROR(INDEX(PP_Grid[#Data],$DE798,87),0)</f>
        <v/>
      </c>
      <c r="CM798">
        <f>IFERROR(INDEX(PP_Grid[#Data],$DE798,88),0)</f>
        <v/>
      </c>
      <c r="CN798">
        <f>IFERROR(INDEX(PP_Grid[#Data],$DE798,89),0)</f>
        <v/>
      </c>
      <c r="CO798">
        <f>IFERROR(INDEX(PP_Grid[#Data],$DE798,90),0)</f>
        <v/>
      </c>
      <c r="CP798">
        <f>IFERROR(INDEX(PP_Grid[#Data],$DE798,91),0)</f>
        <v/>
      </c>
      <c r="CQ798">
        <f>IFERROR(INDEX(PP_Grid[#Data],$DE798,92),0)</f>
        <v/>
      </c>
      <c r="CR798">
        <f>IFERROR(INDEX(PP_Grid[#Data],$DE798,93),0)</f>
        <v/>
      </c>
      <c r="CS798">
        <f>IFERROR(INDEX(PP_Grid[#Data],$DE798,94),0)</f>
        <v/>
      </c>
      <c r="CT798">
        <f>IFERROR(INDEX(PP_Grid[#Data],$DE798,95),0)</f>
        <v/>
      </c>
      <c r="CU798">
        <f>IFERROR(INDEX(PP_Grid[#Data],$DE798,96),0)</f>
        <v/>
      </c>
      <c r="CV798">
        <f>IFERROR(INDEX(PP_Grid[#Data],$DE798,97),0)</f>
        <v/>
      </c>
      <c r="CW798">
        <f>IFERROR(INDEX(PP_Grid[#Data],$DE798,98),0)</f>
        <v/>
      </c>
      <c r="CX798">
        <f>IFERROR(INDEX(PP_Grid[#Data],$DE798,99),0)</f>
        <v/>
      </c>
      <c r="CY798">
        <f>IFERROR(INDEX(PP_Grid[#Data],$DE798,100),0)</f>
        <v/>
      </c>
      <c r="CZ798">
        <f>IFERROR(INDEX(PP_Grid[#Data],$DE798,101),0)</f>
        <v/>
      </c>
      <c r="DA798">
        <f>IFERROR(INDEX(PP_Grid[#Data],$DE798,102),0)</f>
        <v/>
      </c>
      <c r="DB798">
        <f>IFERROR(INDEX(PP_Grid[#Data],$DE798,103),0)</f>
        <v/>
      </c>
      <c r="DC798">
        <f>IFERROR(INDEX(PP_Grid[#Data],$DE798,104),0)</f>
        <v/>
      </c>
      <c r="DD798">
        <f>IFERROR(INDEX(PP_Grid[#Data],$DE798,105),0)</f>
        <v/>
      </c>
      <c r="DE798" s="7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SUMIFS(M_BOM[RM_Qty_Per_Batch],M_BOM[Intermediate],$B798,M_BOM[RM_Code],$A793)</f>
        <v/>
      </c>
      <c r="D799">
        <f>IFERROR(INDEX(E799:DD799,$F$1),"")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  <c r="DD799">
        <f>$C799*DD798</f>
        <v/>
      </c>
    </row>
    <row r="800">
      <c r="B800" t="inlineStr">
        <is>
          <t>TSP-1444</t>
        </is>
      </c>
      <c r="C800" t="inlineStr">
        <is>
          <t>No. of batches</t>
        </is>
      </c>
      <c r="D800">
        <f>IFERROR(INDEX(E800:DD800,$F$1),"")</f>
        <v/>
      </c>
      <c r="E800">
        <f>IFERROR(INDEX(PP_Grid[#Data],$DE800,2),0)</f>
        <v/>
      </c>
      <c r="F800">
        <f>IFERROR(INDEX(PP_Grid[#Data],$DE800,3),0)</f>
        <v/>
      </c>
      <c r="G800">
        <f>IFERROR(INDEX(PP_Grid[#Data],$DE800,4),0)</f>
        <v/>
      </c>
      <c r="H800">
        <f>IFERROR(INDEX(PP_Grid[#Data],$DE800,5),0)</f>
        <v/>
      </c>
      <c r="I800">
        <f>IFERROR(INDEX(PP_Grid[#Data],$DE800,6),0)</f>
        <v/>
      </c>
      <c r="J800">
        <f>IFERROR(INDEX(PP_Grid[#Data],$DE800,7),0)</f>
        <v/>
      </c>
      <c r="K800">
        <f>IFERROR(INDEX(PP_Grid[#Data],$DE800,8),0)</f>
        <v/>
      </c>
      <c r="L800">
        <f>IFERROR(INDEX(PP_Grid[#Data],$DE800,9),0)</f>
        <v/>
      </c>
      <c r="M800">
        <f>IFERROR(INDEX(PP_Grid[#Data],$DE800,10),0)</f>
        <v/>
      </c>
      <c r="N800">
        <f>IFERROR(INDEX(PP_Grid[#Data],$DE800,11),0)</f>
        <v/>
      </c>
      <c r="O800">
        <f>IFERROR(INDEX(PP_Grid[#Data],$DE800,12),0)</f>
        <v/>
      </c>
      <c r="P800">
        <f>IFERROR(INDEX(PP_Grid[#Data],$DE800,13),0)</f>
        <v/>
      </c>
      <c r="Q800">
        <f>IFERROR(INDEX(PP_Grid[#Data],$DE800,14),0)</f>
        <v/>
      </c>
      <c r="R800">
        <f>IFERROR(INDEX(PP_Grid[#Data],$DE800,15),0)</f>
        <v/>
      </c>
      <c r="S800">
        <f>IFERROR(INDEX(PP_Grid[#Data],$DE800,16),0)</f>
        <v/>
      </c>
      <c r="T800">
        <f>IFERROR(INDEX(PP_Grid[#Data],$DE800,17),0)</f>
        <v/>
      </c>
      <c r="U800">
        <f>IFERROR(INDEX(PP_Grid[#Data],$DE800,18),0)</f>
        <v/>
      </c>
      <c r="V800">
        <f>IFERROR(INDEX(PP_Grid[#Data],$DE800,19),0)</f>
        <v/>
      </c>
      <c r="W800">
        <f>IFERROR(INDEX(PP_Grid[#Data],$DE800,20),0)</f>
        <v/>
      </c>
      <c r="X800">
        <f>IFERROR(INDEX(PP_Grid[#Data],$DE800,21),0)</f>
        <v/>
      </c>
      <c r="Y800">
        <f>IFERROR(INDEX(PP_Grid[#Data],$DE800,22),0)</f>
        <v/>
      </c>
      <c r="Z800">
        <f>IFERROR(INDEX(PP_Grid[#Data],$DE800,23),0)</f>
        <v/>
      </c>
      <c r="AA800">
        <f>IFERROR(INDEX(PP_Grid[#Data],$DE800,24),0)</f>
        <v/>
      </c>
      <c r="AB800">
        <f>IFERROR(INDEX(PP_Grid[#Data],$DE800,25),0)</f>
        <v/>
      </c>
      <c r="AC800">
        <f>IFERROR(INDEX(PP_Grid[#Data],$DE800,26),0)</f>
        <v/>
      </c>
      <c r="AD800">
        <f>IFERROR(INDEX(PP_Grid[#Data],$DE800,27),0)</f>
        <v/>
      </c>
      <c r="AE800">
        <f>IFERROR(INDEX(PP_Grid[#Data],$DE800,28),0)</f>
        <v/>
      </c>
      <c r="AF800">
        <f>IFERROR(INDEX(PP_Grid[#Data],$DE800,29),0)</f>
        <v/>
      </c>
      <c r="AG800">
        <f>IFERROR(INDEX(PP_Grid[#Data],$DE800,30),0)</f>
        <v/>
      </c>
      <c r="AH800">
        <f>IFERROR(INDEX(PP_Grid[#Data],$DE800,31),0)</f>
        <v/>
      </c>
      <c r="AI800">
        <f>IFERROR(INDEX(PP_Grid[#Data],$DE800,32),0)</f>
        <v/>
      </c>
      <c r="AJ800">
        <f>IFERROR(INDEX(PP_Grid[#Data],$DE800,33),0)</f>
        <v/>
      </c>
      <c r="AK800">
        <f>IFERROR(INDEX(PP_Grid[#Data],$DE800,34),0)</f>
        <v/>
      </c>
      <c r="AL800">
        <f>IFERROR(INDEX(PP_Grid[#Data],$DE800,35),0)</f>
        <v/>
      </c>
      <c r="AM800">
        <f>IFERROR(INDEX(PP_Grid[#Data],$DE800,36),0)</f>
        <v/>
      </c>
      <c r="AN800">
        <f>IFERROR(INDEX(PP_Grid[#Data],$DE800,37),0)</f>
        <v/>
      </c>
      <c r="AO800">
        <f>IFERROR(INDEX(PP_Grid[#Data],$DE800,38),0)</f>
        <v/>
      </c>
      <c r="AP800">
        <f>IFERROR(INDEX(PP_Grid[#Data],$DE800,39),0)</f>
        <v/>
      </c>
      <c r="AQ800">
        <f>IFERROR(INDEX(PP_Grid[#Data],$DE800,40),0)</f>
        <v/>
      </c>
      <c r="AR800">
        <f>IFERROR(INDEX(PP_Grid[#Data],$DE800,41),0)</f>
        <v/>
      </c>
      <c r="AS800">
        <f>IFERROR(INDEX(PP_Grid[#Data],$DE800,42),0)</f>
        <v/>
      </c>
      <c r="AT800">
        <f>IFERROR(INDEX(PP_Grid[#Data],$DE800,43),0)</f>
        <v/>
      </c>
      <c r="AU800">
        <f>IFERROR(INDEX(PP_Grid[#Data],$DE800,44),0)</f>
        <v/>
      </c>
      <c r="AV800">
        <f>IFERROR(INDEX(PP_Grid[#Data],$DE800,45),0)</f>
        <v/>
      </c>
      <c r="AW800">
        <f>IFERROR(INDEX(PP_Grid[#Data],$DE800,46),0)</f>
        <v/>
      </c>
      <c r="AX800">
        <f>IFERROR(INDEX(PP_Grid[#Data],$DE800,47),0)</f>
        <v/>
      </c>
      <c r="AY800">
        <f>IFERROR(INDEX(PP_Grid[#Data],$DE800,48),0)</f>
        <v/>
      </c>
      <c r="AZ800">
        <f>IFERROR(INDEX(PP_Grid[#Data],$DE800,49),0)</f>
        <v/>
      </c>
      <c r="BA800">
        <f>IFERROR(INDEX(PP_Grid[#Data],$DE800,50),0)</f>
        <v/>
      </c>
      <c r="BB800">
        <f>IFERROR(INDEX(PP_Grid[#Data],$DE800,51),0)</f>
        <v/>
      </c>
      <c r="BC800">
        <f>IFERROR(INDEX(PP_Grid[#Data],$DE800,52),0)</f>
        <v/>
      </c>
      <c r="BD800">
        <f>IFERROR(INDEX(PP_Grid[#Data],$DE800,53),0)</f>
        <v/>
      </c>
      <c r="BE800">
        <f>IFERROR(INDEX(PP_Grid[#Data],$DE800,54),0)</f>
        <v/>
      </c>
      <c r="BF800">
        <f>IFERROR(INDEX(PP_Grid[#Data],$DE800,55),0)</f>
        <v/>
      </c>
      <c r="BG800">
        <f>IFERROR(INDEX(PP_Grid[#Data],$DE800,56),0)</f>
        <v/>
      </c>
      <c r="BH800">
        <f>IFERROR(INDEX(PP_Grid[#Data],$DE800,57),0)</f>
        <v/>
      </c>
      <c r="BI800">
        <f>IFERROR(INDEX(PP_Grid[#Data],$DE800,58),0)</f>
        <v/>
      </c>
      <c r="BJ800">
        <f>IFERROR(INDEX(PP_Grid[#Data],$DE800,59),0)</f>
        <v/>
      </c>
      <c r="BK800">
        <f>IFERROR(INDEX(PP_Grid[#Data],$DE800,60),0)</f>
        <v/>
      </c>
      <c r="BL800">
        <f>IFERROR(INDEX(PP_Grid[#Data],$DE800,61),0)</f>
        <v/>
      </c>
      <c r="BM800">
        <f>IFERROR(INDEX(PP_Grid[#Data],$DE800,62),0)</f>
        <v/>
      </c>
      <c r="BN800">
        <f>IFERROR(INDEX(PP_Grid[#Data],$DE800,63),0)</f>
        <v/>
      </c>
      <c r="BO800">
        <f>IFERROR(INDEX(PP_Grid[#Data],$DE800,64),0)</f>
        <v/>
      </c>
      <c r="BP800">
        <f>IFERROR(INDEX(PP_Grid[#Data],$DE800,65),0)</f>
        <v/>
      </c>
      <c r="BQ800">
        <f>IFERROR(INDEX(PP_Grid[#Data],$DE800,66),0)</f>
        <v/>
      </c>
      <c r="BR800">
        <f>IFERROR(INDEX(PP_Grid[#Data],$DE800,67),0)</f>
        <v/>
      </c>
      <c r="BS800">
        <f>IFERROR(INDEX(PP_Grid[#Data],$DE800,68),0)</f>
        <v/>
      </c>
      <c r="BT800">
        <f>IFERROR(INDEX(PP_Grid[#Data],$DE800,69),0)</f>
        <v/>
      </c>
      <c r="BU800">
        <f>IFERROR(INDEX(PP_Grid[#Data],$DE800,70),0)</f>
        <v/>
      </c>
      <c r="BV800">
        <f>IFERROR(INDEX(PP_Grid[#Data],$DE800,71),0)</f>
        <v/>
      </c>
      <c r="BW800">
        <f>IFERROR(INDEX(PP_Grid[#Data],$DE800,72),0)</f>
        <v/>
      </c>
      <c r="BX800">
        <f>IFERROR(INDEX(PP_Grid[#Data],$DE800,73),0)</f>
        <v/>
      </c>
      <c r="BY800">
        <f>IFERROR(INDEX(PP_Grid[#Data],$DE800,74),0)</f>
        <v/>
      </c>
      <c r="BZ800">
        <f>IFERROR(INDEX(PP_Grid[#Data],$DE800,75),0)</f>
        <v/>
      </c>
      <c r="CA800">
        <f>IFERROR(INDEX(PP_Grid[#Data],$DE800,76),0)</f>
        <v/>
      </c>
      <c r="CB800">
        <f>IFERROR(INDEX(PP_Grid[#Data],$DE800,77),0)</f>
        <v/>
      </c>
      <c r="CC800">
        <f>IFERROR(INDEX(PP_Grid[#Data],$DE800,78),0)</f>
        <v/>
      </c>
      <c r="CD800">
        <f>IFERROR(INDEX(PP_Grid[#Data],$DE800,79),0)</f>
        <v/>
      </c>
      <c r="CE800">
        <f>IFERROR(INDEX(PP_Grid[#Data],$DE800,80),0)</f>
        <v/>
      </c>
      <c r="CF800">
        <f>IFERROR(INDEX(PP_Grid[#Data],$DE800,81),0)</f>
        <v/>
      </c>
      <c r="CG800">
        <f>IFERROR(INDEX(PP_Grid[#Data],$DE800,82),0)</f>
        <v/>
      </c>
      <c r="CH800">
        <f>IFERROR(INDEX(PP_Grid[#Data],$DE800,83),0)</f>
        <v/>
      </c>
      <c r="CI800">
        <f>IFERROR(INDEX(PP_Grid[#Data],$DE800,84),0)</f>
        <v/>
      </c>
      <c r="CJ800">
        <f>IFERROR(INDEX(PP_Grid[#Data],$DE800,85),0)</f>
        <v/>
      </c>
      <c r="CK800">
        <f>IFERROR(INDEX(PP_Grid[#Data],$DE800,86),0)</f>
        <v/>
      </c>
      <c r="CL800">
        <f>IFERROR(INDEX(PP_Grid[#Data],$DE800,87),0)</f>
        <v/>
      </c>
      <c r="CM800">
        <f>IFERROR(INDEX(PP_Grid[#Data],$DE800,88),0)</f>
        <v/>
      </c>
      <c r="CN800">
        <f>IFERROR(INDEX(PP_Grid[#Data],$DE800,89),0)</f>
        <v/>
      </c>
      <c r="CO800">
        <f>IFERROR(INDEX(PP_Grid[#Data],$DE800,90),0)</f>
        <v/>
      </c>
      <c r="CP800">
        <f>IFERROR(INDEX(PP_Grid[#Data],$DE800,91),0)</f>
        <v/>
      </c>
      <c r="CQ800">
        <f>IFERROR(INDEX(PP_Grid[#Data],$DE800,92),0)</f>
        <v/>
      </c>
      <c r="CR800">
        <f>IFERROR(INDEX(PP_Grid[#Data],$DE800,93),0)</f>
        <v/>
      </c>
      <c r="CS800">
        <f>IFERROR(INDEX(PP_Grid[#Data],$DE800,94),0)</f>
        <v/>
      </c>
      <c r="CT800">
        <f>IFERROR(INDEX(PP_Grid[#Data],$DE800,95),0)</f>
        <v/>
      </c>
      <c r="CU800">
        <f>IFERROR(INDEX(PP_Grid[#Data],$DE800,96),0)</f>
        <v/>
      </c>
      <c r="CV800">
        <f>IFERROR(INDEX(PP_Grid[#Data],$DE800,97),0)</f>
        <v/>
      </c>
      <c r="CW800">
        <f>IFERROR(INDEX(PP_Grid[#Data],$DE800,98),0)</f>
        <v/>
      </c>
      <c r="CX800">
        <f>IFERROR(INDEX(PP_Grid[#Data],$DE800,99),0)</f>
        <v/>
      </c>
      <c r="CY800">
        <f>IFERROR(INDEX(PP_Grid[#Data],$DE800,100),0)</f>
        <v/>
      </c>
      <c r="CZ800">
        <f>IFERROR(INDEX(PP_Grid[#Data],$DE800,101),0)</f>
        <v/>
      </c>
      <c r="DA800">
        <f>IFERROR(INDEX(PP_Grid[#Data],$DE800,102),0)</f>
        <v/>
      </c>
      <c r="DB800">
        <f>IFERROR(INDEX(PP_Grid[#Data],$DE800,103),0)</f>
        <v/>
      </c>
      <c r="DC800">
        <f>IFERROR(INDEX(PP_Grid[#Data],$DE800,104),0)</f>
        <v/>
      </c>
      <c r="DD800">
        <f>IFERROR(INDEX(PP_Grid[#Data],$DE800,105),0)</f>
        <v/>
      </c>
      <c r="DE800" s="7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SUMIFS(M_BOM[RM_Qty_Per_Batch],M_BOM[Intermediate],$B800,M_BOM[RM_Code],$A793)</f>
        <v/>
      </c>
      <c r="D801">
        <f>IFERROR(INDEX(E801:DD801,$F$1),"")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  <c r="DD801">
        <f>$C801*DD800</f>
        <v/>
      </c>
    </row>
    <row r="802">
      <c r="B802" t="inlineStr">
        <is>
          <t>TSP-1445</t>
        </is>
      </c>
      <c r="C802" t="inlineStr">
        <is>
          <t>No. of batches</t>
        </is>
      </c>
      <c r="D802">
        <f>IFERROR(INDEX(E802:DD802,$F$1),"")</f>
        <v/>
      </c>
      <c r="E802">
        <f>IFERROR(INDEX(PP_Grid[#Data],$DE802,2),0)</f>
        <v/>
      </c>
      <c r="F802">
        <f>IFERROR(INDEX(PP_Grid[#Data],$DE802,3),0)</f>
        <v/>
      </c>
      <c r="G802">
        <f>IFERROR(INDEX(PP_Grid[#Data],$DE802,4),0)</f>
        <v/>
      </c>
      <c r="H802">
        <f>IFERROR(INDEX(PP_Grid[#Data],$DE802,5),0)</f>
        <v/>
      </c>
      <c r="I802">
        <f>IFERROR(INDEX(PP_Grid[#Data],$DE802,6),0)</f>
        <v/>
      </c>
      <c r="J802">
        <f>IFERROR(INDEX(PP_Grid[#Data],$DE802,7),0)</f>
        <v/>
      </c>
      <c r="K802">
        <f>IFERROR(INDEX(PP_Grid[#Data],$DE802,8),0)</f>
        <v/>
      </c>
      <c r="L802">
        <f>IFERROR(INDEX(PP_Grid[#Data],$DE802,9),0)</f>
        <v/>
      </c>
      <c r="M802">
        <f>IFERROR(INDEX(PP_Grid[#Data],$DE802,10),0)</f>
        <v/>
      </c>
      <c r="N802">
        <f>IFERROR(INDEX(PP_Grid[#Data],$DE802,11),0)</f>
        <v/>
      </c>
      <c r="O802">
        <f>IFERROR(INDEX(PP_Grid[#Data],$DE802,12),0)</f>
        <v/>
      </c>
      <c r="P802">
        <f>IFERROR(INDEX(PP_Grid[#Data],$DE802,13),0)</f>
        <v/>
      </c>
      <c r="Q802">
        <f>IFERROR(INDEX(PP_Grid[#Data],$DE802,14),0)</f>
        <v/>
      </c>
      <c r="R802">
        <f>IFERROR(INDEX(PP_Grid[#Data],$DE802,15),0)</f>
        <v/>
      </c>
      <c r="S802">
        <f>IFERROR(INDEX(PP_Grid[#Data],$DE802,16),0)</f>
        <v/>
      </c>
      <c r="T802">
        <f>IFERROR(INDEX(PP_Grid[#Data],$DE802,17),0)</f>
        <v/>
      </c>
      <c r="U802">
        <f>IFERROR(INDEX(PP_Grid[#Data],$DE802,18),0)</f>
        <v/>
      </c>
      <c r="V802">
        <f>IFERROR(INDEX(PP_Grid[#Data],$DE802,19),0)</f>
        <v/>
      </c>
      <c r="W802">
        <f>IFERROR(INDEX(PP_Grid[#Data],$DE802,20),0)</f>
        <v/>
      </c>
      <c r="X802">
        <f>IFERROR(INDEX(PP_Grid[#Data],$DE802,21),0)</f>
        <v/>
      </c>
      <c r="Y802">
        <f>IFERROR(INDEX(PP_Grid[#Data],$DE802,22),0)</f>
        <v/>
      </c>
      <c r="Z802">
        <f>IFERROR(INDEX(PP_Grid[#Data],$DE802,23),0)</f>
        <v/>
      </c>
      <c r="AA802">
        <f>IFERROR(INDEX(PP_Grid[#Data],$DE802,24),0)</f>
        <v/>
      </c>
      <c r="AB802">
        <f>IFERROR(INDEX(PP_Grid[#Data],$DE802,25),0)</f>
        <v/>
      </c>
      <c r="AC802">
        <f>IFERROR(INDEX(PP_Grid[#Data],$DE802,26),0)</f>
        <v/>
      </c>
      <c r="AD802">
        <f>IFERROR(INDEX(PP_Grid[#Data],$DE802,27),0)</f>
        <v/>
      </c>
      <c r="AE802">
        <f>IFERROR(INDEX(PP_Grid[#Data],$DE802,28),0)</f>
        <v/>
      </c>
      <c r="AF802">
        <f>IFERROR(INDEX(PP_Grid[#Data],$DE802,29),0)</f>
        <v/>
      </c>
      <c r="AG802">
        <f>IFERROR(INDEX(PP_Grid[#Data],$DE802,30),0)</f>
        <v/>
      </c>
      <c r="AH802">
        <f>IFERROR(INDEX(PP_Grid[#Data],$DE802,31),0)</f>
        <v/>
      </c>
      <c r="AI802">
        <f>IFERROR(INDEX(PP_Grid[#Data],$DE802,32),0)</f>
        <v/>
      </c>
      <c r="AJ802">
        <f>IFERROR(INDEX(PP_Grid[#Data],$DE802,33),0)</f>
        <v/>
      </c>
      <c r="AK802">
        <f>IFERROR(INDEX(PP_Grid[#Data],$DE802,34),0)</f>
        <v/>
      </c>
      <c r="AL802">
        <f>IFERROR(INDEX(PP_Grid[#Data],$DE802,35),0)</f>
        <v/>
      </c>
      <c r="AM802">
        <f>IFERROR(INDEX(PP_Grid[#Data],$DE802,36),0)</f>
        <v/>
      </c>
      <c r="AN802">
        <f>IFERROR(INDEX(PP_Grid[#Data],$DE802,37),0)</f>
        <v/>
      </c>
      <c r="AO802">
        <f>IFERROR(INDEX(PP_Grid[#Data],$DE802,38),0)</f>
        <v/>
      </c>
      <c r="AP802">
        <f>IFERROR(INDEX(PP_Grid[#Data],$DE802,39),0)</f>
        <v/>
      </c>
      <c r="AQ802">
        <f>IFERROR(INDEX(PP_Grid[#Data],$DE802,40),0)</f>
        <v/>
      </c>
      <c r="AR802">
        <f>IFERROR(INDEX(PP_Grid[#Data],$DE802,41),0)</f>
        <v/>
      </c>
      <c r="AS802">
        <f>IFERROR(INDEX(PP_Grid[#Data],$DE802,42),0)</f>
        <v/>
      </c>
      <c r="AT802">
        <f>IFERROR(INDEX(PP_Grid[#Data],$DE802,43),0)</f>
        <v/>
      </c>
      <c r="AU802">
        <f>IFERROR(INDEX(PP_Grid[#Data],$DE802,44),0)</f>
        <v/>
      </c>
      <c r="AV802">
        <f>IFERROR(INDEX(PP_Grid[#Data],$DE802,45),0)</f>
        <v/>
      </c>
      <c r="AW802">
        <f>IFERROR(INDEX(PP_Grid[#Data],$DE802,46),0)</f>
        <v/>
      </c>
      <c r="AX802">
        <f>IFERROR(INDEX(PP_Grid[#Data],$DE802,47),0)</f>
        <v/>
      </c>
      <c r="AY802">
        <f>IFERROR(INDEX(PP_Grid[#Data],$DE802,48),0)</f>
        <v/>
      </c>
      <c r="AZ802">
        <f>IFERROR(INDEX(PP_Grid[#Data],$DE802,49),0)</f>
        <v/>
      </c>
      <c r="BA802">
        <f>IFERROR(INDEX(PP_Grid[#Data],$DE802,50),0)</f>
        <v/>
      </c>
      <c r="BB802">
        <f>IFERROR(INDEX(PP_Grid[#Data],$DE802,51),0)</f>
        <v/>
      </c>
      <c r="BC802">
        <f>IFERROR(INDEX(PP_Grid[#Data],$DE802,52),0)</f>
        <v/>
      </c>
      <c r="BD802">
        <f>IFERROR(INDEX(PP_Grid[#Data],$DE802,53),0)</f>
        <v/>
      </c>
      <c r="BE802">
        <f>IFERROR(INDEX(PP_Grid[#Data],$DE802,54),0)</f>
        <v/>
      </c>
      <c r="BF802">
        <f>IFERROR(INDEX(PP_Grid[#Data],$DE802,55),0)</f>
        <v/>
      </c>
      <c r="BG802">
        <f>IFERROR(INDEX(PP_Grid[#Data],$DE802,56),0)</f>
        <v/>
      </c>
      <c r="BH802">
        <f>IFERROR(INDEX(PP_Grid[#Data],$DE802,57),0)</f>
        <v/>
      </c>
      <c r="BI802">
        <f>IFERROR(INDEX(PP_Grid[#Data],$DE802,58),0)</f>
        <v/>
      </c>
      <c r="BJ802">
        <f>IFERROR(INDEX(PP_Grid[#Data],$DE802,59),0)</f>
        <v/>
      </c>
      <c r="BK802">
        <f>IFERROR(INDEX(PP_Grid[#Data],$DE802,60),0)</f>
        <v/>
      </c>
      <c r="BL802">
        <f>IFERROR(INDEX(PP_Grid[#Data],$DE802,61),0)</f>
        <v/>
      </c>
      <c r="BM802">
        <f>IFERROR(INDEX(PP_Grid[#Data],$DE802,62),0)</f>
        <v/>
      </c>
      <c r="BN802">
        <f>IFERROR(INDEX(PP_Grid[#Data],$DE802,63),0)</f>
        <v/>
      </c>
      <c r="BO802">
        <f>IFERROR(INDEX(PP_Grid[#Data],$DE802,64),0)</f>
        <v/>
      </c>
      <c r="BP802">
        <f>IFERROR(INDEX(PP_Grid[#Data],$DE802,65),0)</f>
        <v/>
      </c>
      <c r="BQ802">
        <f>IFERROR(INDEX(PP_Grid[#Data],$DE802,66),0)</f>
        <v/>
      </c>
      <c r="BR802">
        <f>IFERROR(INDEX(PP_Grid[#Data],$DE802,67),0)</f>
        <v/>
      </c>
      <c r="BS802">
        <f>IFERROR(INDEX(PP_Grid[#Data],$DE802,68),0)</f>
        <v/>
      </c>
      <c r="BT802">
        <f>IFERROR(INDEX(PP_Grid[#Data],$DE802,69),0)</f>
        <v/>
      </c>
      <c r="BU802">
        <f>IFERROR(INDEX(PP_Grid[#Data],$DE802,70),0)</f>
        <v/>
      </c>
      <c r="BV802">
        <f>IFERROR(INDEX(PP_Grid[#Data],$DE802,71),0)</f>
        <v/>
      </c>
      <c r="BW802">
        <f>IFERROR(INDEX(PP_Grid[#Data],$DE802,72),0)</f>
        <v/>
      </c>
      <c r="BX802">
        <f>IFERROR(INDEX(PP_Grid[#Data],$DE802,73),0)</f>
        <v/>
      </c>
      <c r="BY802">
        <f>IFERROR(INDEX(PP_Grid[#Data],$DE802,74),0)</f>
        <v/>
      </c>
      <c r="BZ802">
        <f>IFERROR(INDEX(PP_Grid[#Data],$DE802,75),0)</f>
        <v/>
      </c>
      <c r="CA802">
        <f>IFERROR(INDEX(PP_Grid[#Data],$DE802,76),0)</f>
        <v/>
      </c>
      <c r="CB802">
        <f>IFERROR(INDEX(PP_Grid[#Data],$DE802,77),0)</f>
        <v/>
      </c>
      <c r="CC802">
        <f>IFERROR(INDEX(PP_Grid[#Data],$DE802,78),0)</f>
        <v/>
      </c>
      <c r="CD802">
        <f>IFERROR(INDEX(PP_Grid[#Data],$DE802,79),0)</f>
        <v/>
      </c>
      <c r="CE802">
        <f>IFERROR(INDEX(PP_Grid[#Data],$DE802,80),0)</f>
        <v/>
      </c>
      <c r="CF802">
        <f>IFERROR(INDEX(PP_Grid[#Data],$DE802,81),0)</f>
        <v/>
      </c>
      <c r="CG802">
        <f>IFERROR(INDEX(PP_Grid[#Data],$DE802,82),0)</f>
        <v/>
      </c>
      <c r="CH802">
        <f>IFERROR(INDEX(PP_Grid[#Data],$DE802,83),0)</f>
        <v/>
      </c>
      <c r="CI802">
        <f>IFERROR(INDEX(PP_Grid[#Data],$DE802,84),0)</f>
        <v/>
      </c>
      <c r="CJ802">
        <f>IFERROR(INDEX(PP_Grid[#Data],$DE802,85),0)</f>
        <v/>
      </c>
      <c r="CK802">
        <f>IFERROR(INDEX(PP_Grid[#Data],$DE802,86),0)</f>
        <v/>
      </c>
      <c r="CL802">
        <f>IFERROR(INDEX(PP_Grid[#Data],$DE802,87),0)</f>
        <v/>
      </c>
      <c r="CM802">
        <f>IFERROR(INDEX(PP_Grid[#Data],$DE802,88),0)</f>
        <v/>
      </c>
      <c r="CN802">
        <f>IFERROR(INDEX(PP_Grid[#Data],$DE802,89),0)</f>
        <v/>
      </c>
      <c r="CO802">
        <f>IFERROR(INDEX(PP_Grid[#Data],$DE802,90),0)</f>
        <v/>
      </c>
      <c r="CP802">
        <f>IFERROR(INDEX(PP_Grid[#Data],$DE802,91),0)</f>
        <v/>
      </c>
      <c r="CQ802">
        <f>IFERROR(INDEX(PP_Grid[#Data],$DE802,92),0)</f>
        <v/>
      </c>
      <c r="CR802">
        <f>IFERROR(INDEX(PP_Grid[#Data],$DE802,93),0)</f>
        <v/>
      </c>
      <c r="CS802">
        <f>IFERROR(INDEX(PP_Grid[#Data],$DE802,94),0)</f>
        <v/>
      </c>
      <c r="CT802">
        <f>IFERROR(INDEX(PP_Grid[#Data],$DE802,95),0)</f>
        <v/>
      </c>
      <c r="CU802">
        <f>IFERROR(INDEX(PP_Grid[#Data],$DE802,96),0)</f>
        <v/>
      </c>
      <c r="CV802">
        <f>IFERROR(INDEX(PP_Grid[#Data],$DE802,97),0)</f>
        <v/>
      </c>
      <c r="CW802">
        <f>IFERROR(INDEX(PP_Grid[#Data],$DE802,98),0)</f>
        <v/>
      </c>
      <c r="CX802">
        <f>IFERROR(INDEX(PP_Grid[#Data],$DE802,99),0)</f>
        <v/>
      </c>
      <c r="CY802">
        <f>IFERROR(INDEX(PP_Grid[#Data],$DE802,100),0)</f>
        <v/>
      </c>
      <c r="CZ802">
        <f>IFERROR(INDEX(PP_Grid[#Data],$DE802,101),0)</f>
        <v/>
      </c>
      <c r="DA802">
        <f>IFERROR(INDEX(PP_Grid[#Data],$DE802,102),0)</f>
        <v/>
      </c>
      <c r="DB802">
        <f>IFERROR(INDEX(PP_Grid[#Data],$DE802,103),0)</f>
        <v/>
      </c>
      <c r="DC802">
        <f>IFERROR(INDEX(PP_Grid[#Data],$DE802,104),0)</f>
        <v/>
      </c>
      <c r="DD802">
        <f>IFERROR(INDEX(PP_Grid[#Data],$DE802,105),0)</f>
        <v/>
      </c>
      <c r="DE802" s="7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SUMIFS(M_BOM[RM_Qty_Per_Batch],M_BOM[Intermediate],$B802,M_BOM[RM_Code],$A793)</f>
        <v/>
      </c>
      <c r="D803">
        <f>IFERROR(INDEX(E803:DD803,$F$1),"")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  <c r="DD803">
        <f>$C803*DD802</f>
        <v/>
      </c>
    </row>
    <row r="804">
      <c r="B804" t="inlineStr">
        <is>
          <t>TSP-1446</t>
        </is>
      </c>
      <c r="C804" t="inlineStr">
        <is>
          <t>No. of batches</t>
        </is>
      </c>
      <c r="D804">
        <f>IFERROR(INDEX(E804:DD804,$F$1),"")</f>
        <v/>
      </c>
      <c r="E804">
        <f>IFERROR(INDEX(PP_Grid[#Data],$DE804,2),0)</f>
        <v/>
      </c>
      <c r="F804">
        <f>IFERROR(INDEX(PP_Grid[#Data],$DE804,3),0)</f>
        <v/>
      </c>
      <c r="G804">
        <f>IFERROR(INDEX(PP_Grid[#Data],$DE804,4),0)</f>
        <v/>
      </c>
      <c r="H804">
        <f>IFERROR(INDEX(PP_Grid[#Data],$DE804,5),0)</f>
        <v/>
      </c>
      <c r="I804">
        <f>IFERROR(INDEX(PP_Grid[#Data],$DE804,6),0)</f>
        <v/>
      </c>
      <c r="J804">
        <f>IFERROR(INDEX(PP_Grid[#Data],$DE804,7),0)</f>
        <v/>
      </c>
      <c r="K804">
        <f>IFERROR(INDEX(PP_Grid[#Data],$DE804,8),0)</f>
        <v/>
      </c>
      <c r="L804">
        <f>IFERROR(INDEX(PP_Grid[#Data],$DE804,9),0)</f>
        <v/>
      </c>
      <c r="M804">
        <f>IFERROR(INDEX(PP_Grid[#Data],$DE804,10),0)</f>
        <v/>
      </c>
      <c r="N804">
        <f>IFERROR(INDEX(PP_Grid[#Data],$DE804,11),0)</f>
        <v/>
      </c>
      <c r="O804">
        <f>IFERROR(INDEX(PP_Grid[#Data],$DE804,12),0)</f>
        <v/>
      </c>
      <c r="P804">
        <f>IFERROR(INDEX(PP_Grid[#Data],$DE804,13),0)</f>
        <v/>
      </c>
      <c r="Q804">
        <f>IFERROR(INDEX(PP_Grid[#Data],$DE804,14),0)</f>
        <v/>
      </c>
      <c r="R804">
        <f>IFERROR(INDEX(PP_Grid[#Data],$DE804,15),0)</f>
        <v/>
      </c>
      <c r="S804">
        <f>IFERROR(INDEX(PP_Grid[#Data],$DE804,16),0)</f>
        <v/>
      </c>
      <c r="T804">
        <f>IFERROR(INDEX(PP_Grid[#Data],$DE804,17),0)</f>
        <v/>
      </c>
      <c r="U804">
        <f>IFERROR(INDEX(PP_Grid[#Data],$DE804,18),0)</f>
        <v/>
      </c>
      <c r="V804">
        <f>IFERROR(INDEX(PP_Grid[#Data],$DE804,19),0)</f>
        <v/>
      </c>
      <c r="W804">
        <f>IFERROR(INDEX(PP_Grid[#Data],$DE804,20),0)</f>
        <v/>
      </c>
      <c r="X804">
        <f>IFERROR(INDEX(PP_Grid[#Data],$DE804,21),0)</f>
        <v/>
      </c>
      <c r="Y804">
        <f>IFERROR(INDEX(PP_Grid[#Data],$DE804,22),0)</f>
        <v/>
      </c>
      <c r="Z804">
        <f>IFERROR(INDEX(PP_Grid[#Data],$DE804,23),0)</f>
        <v/>
      </c>
      <c r="AA804">
        <f>IFERROR(INDEX(PP_Grid[#Data],$DE804,24),0)</f>
        <v/>
      </c>
      <c r="AB804">
        <f>IFERROR(INDEX(PP_Grid[#Data],$DE804,25),0)</f>
        <v/>
      </c>
      <c r="AC804">
        <f>IFERROR(INDEX(PP_Grid[#Data],$DE804,26),0)</f>
        <v/>
      </c>
      <c r="AD804">
        <f>IFERROR(INDEX(PP_Grid[#Data],$DE804,27),0)</f>
        <v/>
      </c>
      <c r="AE804">
        <f>IFERROR(INDEX(PP_Grid[#Data],$DE804,28),0)</f>
        <v/>
      </c>
      <c r="AF804">
        <f>IFERROR(INDEX(PP_Grid[#Data],$DE804,29),0)</f>
        <v/>
      </c>
      <c r="AG804">
        <f>IFERROR(INDEX(PP_Grid[#Data],$DE804,30),0)</f>
        <v/>
      </c>
      <c r="AH804">
        <f>IFERROR(INDEX(PP_Grid[#Data],$DE804,31),0)</f>
        <v/>
      </c>
      <c r="AI804">
        <f>IFERROR(INDEX(PP_Grid[#Data],$DE804,32),0)</f>
        <v/>
      </c>
      <c r="AJ804">
        <f>IFERROR(INDEX(PP_Grid[#Data],$DE804,33),0)</f>
        <v/>
      </c>
      <c r="AK804">
        <f>IFERROR(INDEX(PP_Grid[#Data],$DE804,34),0)</f>
        <v/>
      </c>
      <c r="AL804">
        <f>IFERROR(INDEX(PP_Grid[#Data],$DE804,35),0)</f>
        <v/>
      </c>
      <c r="AM804">
        <f>IFERROR(INDEX(PP_Grid[#Data],$DE804,36),0)</f>
        <v/>
      </c>
      <c r="AN804">
        <f>IFERROR(INDEX(PP_Grid[#Data],$DE804,37),0)</f>
        <v/>
      </c>
      <c r="AO804">
        <f>IFERROR(INDEX(PP_Grid[#Data],$DE804,38),0)</f>
        <v/>
      </c>
      <c r="AP804">
        <f>IFERROR(INDEX(PP_Grid[#Data],$DE804,39),0)</f>
        <v/>
      </c>
      <c r="AQ804">
        <f>IFERROR(INDEX(PP_Grid[#Data],$DE804,40),0)</f>
        <v/>
      </c>
      <c r="AR804">
        <f>IFERROR(INDEX(PP_Grid[#Data],$DE804,41),0)</f>
        <v/>
      </c>
      <c r="AS804">
        <f>IFERROR(INDEX(PP_Grid[#Data],$DE804,42),0)</f>
        <v/>
      </c>
      <c r="AT804">
        <f>IFERROR(INDEX(PP_Grid[#Data],$DE804,43),0)</f>
        <v/>
      </c>
      <c r="AU804">
        <f>IFERROR(INDEX(PP_Grid[#Data],$DE804,44),0)</f>
        <v/>
      </c>
      <c r="AV804">
        <f>IFERROR(INDEX(PP_Grid[#Data],$DE804,45),0)</f>
        <v/>
      </c>
      <c r="AW804">
        <f>IFERROR(INDEX(PP_Grid[#Data],$DE804,46),0)</f>
        <v/>
      </c>
      <c r="AX804">
        <f>IFERROR(INDEX(PP_Grid[#Data],$DE804,47),0)</f>
        <v/>
      </c>
      <c r="AY804">
        <f>IFERROR(INDEX(PP_Grid[#Data],$DE804,48),0)</f>
        <v/>
      </c>
      <c r="AZ804">
        <f>IFERROR(INDEX(PP_Grid[#Data],$DE804,49),0)</f>
        <v/>
      </c>
      <c r="BA804">
        <f>IFERROR(INDEX(PP_Grid[#Data],$DE804,50),0)</f>
        <v/>
      </c>
      <c r="BB804">
        <f>IFERROR(INDEX(PP_Grid[#Data],$DE804,51),0)</f>
        <v/>
      </c>
      <c r="BC804">
        <f>IFERROR(INDEX(PP_Grid[#Data],$DE804,52),0)</f>
        <v/>
      </c>
      <c r="BD804">
        <f>IFERROR(INDEX(PP_Grid[#Data],$DE804,53),0)</f>
        <v/>
      </c>
      <c r="BE804">
        <f>IFERROR(INDEX(PP_Grid[#Data],$DE804,54),0)</f>
        <v/>
      </c>
      <c r="BF804">
        <f>IFERROR(INDEX(PP_Grid[#Data],$DE804,55),0)</f>
        <v/>
      </c>
      <c r="BG804">
        <f>IFERROR(INDEX(PP_Grid[#Data],$DE804,56),0)</f>
        <v/>
      </c>
      <c r="BH804">
        <f>IFERROR(INDEX(PP_Grid[#Data],$DE804,57),0)</f>
        <v/>
      </c>
      <c r="BI804">
        <f>IFERROR(INDEX(PP_Grid[#Data],$DE804,58),0)</f>
        <v/>
      </c>
      <c r="BJ804">
        <f>IFERROR(INDEX(PP_Grid[#Data],$DE804,59),0)</f>
        <v/>
      </c>
      <c r="BK804">
        <f>IFERROR(INDEX(PP_Grid[#Data],$DE804,60),0)</f>
        <v/>
      </c>
      <c r="BL804">
        <f>IFERROR(INDEX(PP_Grid[#Data],$DE804,61),0)</f>
        <v/>
      </c>
      <c r="BM804">
        <f>IFERROR(INDEX(PP_Grid[#Data],$DE804,62),0)</f>
        <v/>
      </c>
      <c r="BN804">
        <f>IFERROR(INDEX(PP_Grid[#Data],$DE804,63),0)</f>
        <v/>
      </c>
      <c r="BO804">
        <f>IFERROR(INDEX(PP_Grid[#Data],$DE804,64),0)</f>
        <v/>
      </c>
      <c r="BP804">
        <f>IFERROR(INDEX(PP_Grid[#Data],$DE804,65),0)</f>
        <v/>
      </c>
      <c r="BQ804">
        <f>IFERROR(INDEX(PP_Grid[#Data],$DE804,66),0)</f>
        <v/>
      </c>
      <c r="BR804">
        <f>IFERROR(INDEX(PP_Grid[#Data],$DE804,67),0)</f>
        <v/>
      </c>
      <c r="BS804">
        <f>IFERROR(INDEX(PP_Grid[#Data],$DE804,68),0)</f>
        <v/>
      </c>
      <c r="BT804">
        <f>IFERROR(INDEX(PP_Grid[#Data],$DE804,69),0)</f>
        <v/>
      </c>
      <c r="BU804">
        <f>IFERROR(INDEX(PP_Grid[#Data],$DE804,70),0)</f>
        <v/>
      </c>
      <c r="BV804">
        <f>IFERROR(INDEX(PP_Grid[#Data],$DE804,71),0)</f>
        <v/>
      </c>
      <c r="BW804">
        <f>IFERROR(INDEX(PP_Grid[#Data],$DE804,72),0)</f>
        <v/>
      </c>
      <c r="BX804">
        <f>IFERROR(INDEX(PP_Grid[#Data],$DE804,73),0)</f>
        <v/>
      </c>
      <c r="BY804">
        <f>IFERROR(INDEX(PP_Grid[#Data],$DE804,74),0)</f>
        <v/>
      </c>
      <c r="BZ804">
        <f>IFERROR(INDEX(PP_Grid[#Data],$DE804,75),0)</f>
        <v/>
      </c>
      <c r="CA804">
        <f>IFERROR(INDEX(PP_Grid[#Data],$DE804,76),0)</f>
        <v/>
      </c>
      <c r="CB804">
        <f>IFERROR(INDEX(PP_Grid[#Data],$DE804,77),0)</f>
        <v/>
      </c>
      <c r="CC804">
        <f>IFERROR(INDEX(PP_Grid[#Data],$DE804,78),0)</f>
        <v/>
      </c>
      <c r="CD804">
        <f>IFERROR(INDEX(PP_Grid[#Data],$DE804,79),0)</f>
        <v/>
      </c>
      <c r="CE804">
        <f>IFERROR(INDEX(PP_Grid[#Data],$DE804,80),0)</f>
        <v/>
      </c>
      <c r="CF804">
        <f>IFERROR(INDEX(PP_Grid[#Data],$DE804,81),0)</f>
        <v/>
      </c>
      <c r="CG804">
        <f>IFERROR(INDEX(PP_Grid[#Data],$DE804,82),0)</f>
        <v/>
      </c>
      <c r="CH804">
        <f>IFERROR(INDEX(PP_Grid[#Data],$DE804,83),0)</f>
        <v/>
      </c>
      <c r="CI804">
        <f>IFERROR(INDEX(PP_Grid[#Data],$DE804,84),0)</f>
        <v/>
      </c>
      <c r="CJ804">
        <f>IFERROR(INDEX(PP_Grid[#Data],$DE804,85),0)</f>
        <v/>
      </c>
      <c r="CK804">
        <f>IFERROR(INDEX(PP_Grid[#Data],$DE804,86),0)</f>
        <v/>
      </c>
      <c r="CL804">
        <f>IFERROR(INDEX(PP_Grid[#Data],$DE804,87),0)</f>
        <v/>
      </c>
      <c r="CM804">
        <f>IFERROR(INDEX(PP_Grid[#Data],$DE804,88),0)</f>
        <v/>
      </c>
      <c r="CN804">
        <f>IFERROR(INDEX(PP_Grid[#Data],$DE804,89),0)</f>
        <v/>
      </c>
      <c r="CO804">
        <f>IFERROR(INDEX(PP_Grid[#Data],$DE804,90),0)</f>
        <v/>
      </c>
      <c r="CP804">
        <f>IFERROR(INDEX(PP_Grid[#Data],$DE804,91),0)</f>
        <v/>
      </c>
      <c r="CQ804">
        <f>IFERROR(INDEX(PP_Grid[#Data],$DE804,92),0)</f>
        <v/>
      </c>
      <c r="CR804">
        <f>IFERROR(INDEX(PP_Grid[#Data],$DE804,93),0)</f>
        <v/>
      </c>
      <c r="CS804">
        <f>IFERROR(INDEX(PP_Grid[#Data],$DE804,94),0)</f>
        <v/>
      </c>
      <c r="CT804">
        <f>IFERROR(INDEX(PP_Grid[#Data],$DE804,95),0)</f>
        <v/>
      </c>
      <c r="CU804">
        <f>IFERROR(INDEX(PP_Grid[#Data],$DE804,96),0)</f>
        <v/>
      </c>
      <c r="CV804">
        <f>IFERROR(INDEX(PP_Grid[#Data],$DE804,97),0)</f>
        <v/>
      </c>
      <c r="CW804">
        <f>IFERROR(INDEX(PP_Grid[#Data],$DE804,98),0)</f>
        <v/>
      </c>
      <c r="CX804">
        <f>IFERROR(INDEX(PP_Grid[#Data],$DE804,99),0)</f>
        <v/>
      </c>
      <c r="CY804">
        <f>IFERROR(INDEX(PP_Grid[#Data],$DE804,100),0)</f>
        <v/>
      </c>
      <c r="CZ804">
        <f>IFERROR(INDEX(PP_Grid[#Data],$DE804,101),0)</f>
        <v/>
      </c>
      <c r="DA804">
        <f>IFERROR(INDEX(PP_Grid[#Data],$DE804,102),0)</f>
        <v/>
      </c>
      <c r="DB804">
        <f>IFERROR(INDEX(PP_Grid[#Data],$DE804,103),0)</f>
        <v/>
      </c>
      <c r="DC804">
        <f>IFERROR(INDEX(PP_Grid[#Data],$DE804,104),0)</f>
        <v/>
      </c>
      <c r="DD804">
        <f>IFERROR(INDEX(PP_Grid[#Data],$DE804,105),0)</f>
        <v/>
      </c>
      <c r="DE804" s="7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SUMIFS(M_BOM[RM_Qty_Per_Batch],M_BOM[Intermediate],$B804,M_BOM[RM_Code],$A793)</f>
        <v/>
      </c>
      <c r="D805">
        <f>IFERROR(INDEX(E805:DD805,$F$1),"")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  <c r="DD805">
        <f>$C805*DD804</f>
        <v/>
      </c>
    </row>
    <row r="806">
      <c r="B806" t="inlineStr">
        <is>
          <t>TSP-1499</t>
        </is>
      </c>
      <c r="C806" t="inlineStr">
        <is>
          <t>No. of batches</t>
        </is>
      </c>
      <c r="D806">
        <f>IFERROR(INDEX(E806:DD806,$F$1),"")</f>
        <v/>
      </c>
      <c r="E806">
        <f>IFERROR(INDEX(PP_Grid[#Data],$DE806,2),0)</f>
        <v/>
      </c>
      <c r="F806">
        <f>IFERROR(INDEX(PP_Grid[#Data],$DE806,3),0)</f>
        <v/>
      </c>
      <c r="G806">
        <f>IFERROR(INDEX(PP_Grid[#Data],$DE806,4),0)</f>
        <v/>
      </c>
      <c r="H806">
        <f>IFERROR(INDEX(PP_Grid[#Data],$DE806,5),0)</f>
        <v/>
      </c>
      <c r="I806">
        <f>IFERROR(INDEX(PP_Grid[#Data],$DE806,6),0)</f>
        <v/>
      </c>
      <c r="J806">
        <f>IFERROR(INDEX(PP_Grid[#Data],$DE806,7),0)</f>
        <v/>
      </c>
      <c r="K806">
        <f>IFERROR(INDEX(PP_Grid[#Data],$DE806,8),0)</f>
        <v/>
      </c>
      <c r="L806">
        <f>IFERROR(INDEX(PP_Grid[#Data],$DE806,9),0)</f>
        <v/>
      </c>
      <c r="M806">
        <f>IFERROR(INDEX(PP_Grid[#Data],$DE806,10),0)</f>
        <v/>
      </c>
      <c r="N806">
        <f>IFERROR(INDEX(PP_Grid[#Data],$DE806,11),0)</f>
        <v/>
      </c>
      <c r="O806">
        <f>IFERROR(INDEX(PP_Grid[#Data],$DE806,12),0)</f>
        <v/>
      </c>
      <c r="P806">
        <f>IFERROR(INDEX(PP_Grid[#Data],$DE806,13),0)</f>
        <v/>
      </c>
      <c r="Q806">
        <f>IFERROR(INDEX(PP_Grid[#Data],$DE806,14),0)</f>
        <v/>
      </c>
      <c r="R806">
        <f>IFERROR(INDEX(PP_Grid[#Data],$DE806,15),0)</f>
        <v/>
      </c>
      <c r="S806">
        <f>IFERROR(INDEX(PP_Grid[#Data],$DE806,16),0)</f>
        <v/>
      </c>
      <c r="T806">
        <f>IFERROR(INDEX(PP_Grid[#Data],$DE806,17),0)</f>
        <v/>
      </c>
      <c r="U806">
        <f>IFERROR(INDEX(PP_Grid[#Data],$DE806,18),0)</f>
        <v/>
      </c>
      <c r="V806">
        <f>IFERROR(INDEX(PP_Grid[#Data],$DE806,19),0)</f>
        <v/>
      </c>
      <c r="W806">
        <f>IFERROR(INDEX(PP_Grid[#Data],$DE806,20),0)</f>
        <v/>
      </c>
      <c r="X806">
        <f>IFERROR(INDEX(PP_Grid[#Data],$DE806,21),0)</f>
        <v/>
      </c>
      <c r="Y806">
        <f>IFERROR(INDEX(PP_Grid[#Data],$DE806,22),0)</f>
        <v/>
      </c>
      <c r="Z806">
        <f>IFERROR(INDEX(PP_Grid[#Data],$DE806,23),0)</f>
        <v/>
      </c>
      <c r="AA806">
        <f>IFERROR(INDEX(PP_Grid[#Data],$DE806,24),0)</f>
        <v/>
      </c>
      <c r="AB806">
        <f>IFERROR(INDEX(PP_Grid[#Data],$DE806,25),0)</f>
        <v/>
      </c>
      <c r="AC806">
        <f>IFERROR(INDEX(PP_Grid[#Data],$DE806,26),0)</f>
        <v/>
      </c>
      <c r="AD806">
        <f>IFERROR(INDEX(PP_Grid[#Data],$DE806,27),0)</f>
        <v/>
      </c>
      <c r="AE806">
        <f>IFERROR(INDEX(PP_Grid[#Data],$DE806,28),0)</f>
        <v/>
      </c>
      <c r="AF806">
        <f>IFERROR(INDEX(PP_Grid[#Data],$DE806,29),0)</f>
        <v/>
      </c>
      <c r="AG806">
        <f>IFERROR(INDEX(PP_Grid[#Data],$DE806,30),0)</f>
        <v/>
      </c>
      <c r="AH806">
        <f>IFERROR(INDEX(PP_Grid[#Data],$DE806,31),0)</f>
        <v/>
      </c>
      <c r="AI806">
        <f>IFERROR(INDEX(PP_Grid[#Data],$DE806,32),0)</f>
        <v/>
      </c>
      <c r="AJ806">
        <f>IFERROR(INDEX(PP_Grid[#Data],$DE806,33),0)</f>
        <v/>
      </c>
      <c r="AK806">
        <f>IFERROR(INDEX(PP_Grid[#Data],$DE806,34),0)</f>
        <v/>
      </c>
      <c r="AL806">
        <f>IFERROR(INDEX(PP_Grid[#Data],$DE806,35),0)</f>
        <v/>
      </c>
      <c r="AM806">
        <f>IFERROR(INDEX(PP_Grid[#Data],$DE806,36),0)</f>
        <v/>
      </c>
      <c r="AN806">
        <f>IFERROR(INDEX(PP_Grid[#Data],$DE806,37),0)</f>
        <v/>
      </c>
      <c r="AO806">
        <f>IFERROR(INDEX(PP_Grid[#Data],$DE806,38),0)</f>
        <v/>
      </c>
      <c r="AP806">
        <f>IFERROR(INDEX(PP_Grid[#Data],$DE806,39),0)</f>
        <v/>
      </c>
      <c r="AQ806">
        <f>IFERROR(INDEX(PP_Grid[#Data],$DE806,40),0)</f>
        <v/>
      </c>
      <c r="AR806">
        <f>IFERROR(INDEX(PP_Grid[#Data],$DE806,41),0)</f>
        <v/>
      </c>
      <c r="AS806">
        <f>IFERROR(INDEX(PP_Grid[#Data],$DE806,42),0)</f>
        <v/>
      </c>
      <c r="AT806">
        <f>IFERROR(INDEX(PP_Grid[#Data],$DE806,43),0)</f>
        <v/>
      </c>
      <c r="AU806">
        <f>IFERROR(INDEX(PP_Grid[#Data],$DE806,44),0)</f>
        <v/>
      </c>
      <c r="AV806">
        <f>IFERROR(INDEX(PP_Grid[#Data],$DE806,45),0)</f>
        <v/>
      </c>
      <c r="AW806">
        <f>IFERROR(INDEX(PP_Grid[#Data],$DE806,46),0)</f>
        <v/>
      </c>
      <c r="AX806">
        <f>IFERROR(INDEX(PP_Grid[#Data],$DE806,47),0)</f>
        <v/>
      </c>
      <c r="AY806">
        <f>IFERROR(INDEX(PP_Grid[#Data],$DE806,48),0)</f>
        <v/>
      </c>
      <c r="AZ806">
        <f>IFERROR(INDEX(PP_Grid[#Data],$DE806,49),0)</f>
        <v/>
      </c>
      <c r="BA806">
        <f>IFERROR(INDEX(PP_Grid[#Data],$DE806,50),0)</f>
        <v/>
      </c>
      <c r="BB806">
        <f>IFERROR(INDEX(PP_Grid[#Data],$DE806,51),0)</f>
        <v/>
      </c>
      <c r="BC806">
        <f>IFERROR(INDEX(PP_Grid[#Data],$DE806,52),0)</f>
        <v/>
      </c>
      <c r="BD806">
        <f>IFERROR(INDEX(PP_Grid[#Data],$DE806,53),0)</f>
        <v/>
      </c>
      <c r="BE806">
        <f>IFERROR(INDEX(PP_Grid[#Data],$DE806,54),0)</f>
        <v/>
      </c>
      <c r="BF806">
        <f>IFERROR(INDEX(PP_Grid[#Data],$DE806,55),0)</f>
        <v/>
      </c>
      <c r="BG806">
        <f>IFERROR(INDEX(PP_Grid[#Data],$DE806,56),0)</f>
        <v/>
      </c>
      <c r="BH806">
        <f>IFERROR(INDEX(PP_Grid[#Data],$DE806,57),0)</f>
        <v/>
      </c>
      <c r="BI806">
        <f>IFERROR(INDEX(PP_Grid[#Data],$DE806,58),0)</f>
        <v/>
      </c>
      <c r="BJ806">
        <f>IFERROR(INDEX(PP_Grid[#Data],$DE806,59),0)</f>
        <v/>
      </c>
      <c r="BK806">
        <f>IFERROR(INDEX(PP_Grid[#Data],$DE806,60),0)</f>
        <v/>
      </c>
      <c r="BL806">
        <f>IFERROR(INDEX(PP_Grid[#Data],$DE806,61),0)</f>
        <v/>
      </c>
      <c r="BM806">
        <f>IFERROR(INDEX(PP_Grid[#Data],$DE806,62),0)</f>
        <v/>
      </c>
      <c r="BN806">
        <f>IFERROR(INDEX(PP_Grid[#Data],$DE806,63),0)</f>
        <v/>
      </c>
      <c r="BO806">
        <f>IFERROR(INDEX(PP_Grid[#Data],$DE806,64),0)</f>
        <v/>
      </c>
      <c r="BP806">
        <f>IFERROR(INDEX(PP_Grid[#Data],$DE806,65),0)</f>
        <v/>
      </c>
      <c r="BQ806">
        <f>IFERROR(INDEX(PP_Grid[#Data],$DE806,66),0)</f>
        <v/>
      </c>
      <c r="BR806">
        <f>IFERROR(INDEX(PP_Grid[#Data],$DE806,67),0)</f>
        <v/>
      </c>
      <c r="BS806">
        <f>IFERROR(INDEX(PP_Grid[#Data],$DE806,68),0)</f>
        <v/>
      </c>
      <c r="BT806">
        <f>IFERROR(INDEX(PP_Grid[#Data],$DE806,69),0)</f>
        <v/>
      </c>
      <c r="BU806">
        <f>IFERROR(INDEX(PP_Grid[#Data],$DE806,70),0)</f>
        <v/>
      </c>
      <c r="BV806">
        <f>IFERROR(INDEX(PP_Grid[#Data],$DE806,71),0)</f>
        <v/>
      </c>
      <c r="BW806">
        <f>IFERROR(INDEX(PP_Grid[#Data],$DE806,72),0)</f>
        <v/>
      </c>
      <c r="BX806">
        <f>IFERROR(INDEX(PP_Grid[#Data],$DE806,73),0)</f>
        <v/>
      </c>
      <c r="BY806">
        <f>IFERROR(INDEX(PP_Grid[#Data],$DE806,74),0)</f>
        <v/>
      </c>
      <c r="BZ806">
        <f>IFERROR(INDEX(PP_Grid[#Data],$DE806,75),0)</f>
        <v/>
      </c>
      <c r="CA806">
        <f>IFERROR(INDEX(PP_Grid[#Data],$DE806,76),0)</f>
        <v/>
      </c>
      <c r="CB806">
        <f>IFERROR(INDEX(PP_Grid[#Data],$DE806,77),0)</f>
        <v/>
      </c>
      <c r="CC806">
        <f>IFERROR(INDEX(PP_Grid[#Data],$DE806,78),0)</f>
        <v/>
      </c>
      <c r="CD806">
        <f>IFERROR(INDEX(PP_Grid[#Data],$DE806,79),0)</f>
        <v/>
      </c>
      <c r="CE806">
        <f>IFERROR(INDEX(PP_Grid[#Data],$DE806,80),0)</f>
        <v/>
      </c>
      <c r="CF806">
        <f>IFERROR(INDEX(PP_Grid[#Data],$DE806,81),0)</f>
        <v/>
      </c>
      <c r="CG806">
        <f>IFERROR(INDEX(PP_Grid[#Data],$DE806,82),0)</f>
        <v/>
      </c>
      <c r="CH806">
        <f>IFERROR(INDEX(PP_Grid[#Data],$DE806,83),0)</f>
        <v/>
      </c>
      <c r="CI806">
        <f>IFERROR(INDEX(PP_Grid[#Data],$DE806,84),0)</f>
        <v/>
      </c>
      <c r="CJ806">
        <f>IFERROR(INDEX(PP_Grid[#Data],$DE806,85),0)</f>
        <v/>
      </c>
      <c r="CK806">
        <f>IFERROR(INDEX(PP_Grid[#Data],$DE806,86),0)</f>
        <v/>
      </c>
      <c r="CL806">
        <f>IFERROR(INDEX(PP_Grid[#Data],$DE806,87),0)</f>
        <v/>
      </c>
      <c r="CM806">
        <f>IFERROR(INDEX(PP_Grid[#Data],$DE806,88),0)</f>
        <v/>
      </c>
      <c r="CN806">
        <f>IFERROR(INDEX(PP_Grid[#Data],$DE806,89),0)</f>
        <v/>
      </c>
      <c r="CO806">
        <f>IFERROR(INDEX(PP_Grid[#Data],$DE806,90),0)</f>
        <v/>
      </c>
      <c r="CP806">
        <f>IFERROR(INDEX(PP_Grid[#Data],$DE806,91),0)</f>
        <v/>
      </c>
      <c r="CQ806">
        <f>IFERROR(INDEX(PP_Grid[#Data],$DE806,92),0)</f>
        <v/>
      </c>
      <c r="CR806">
        <f>IFERROR(INDEX(PP_Grid[#Data],$DE806,93),0)</f>
        <v/>
      </c>
      <c r="CS806">
        <f>IFERROR(INDEX(PP_Grid[#Data],$DE806,94),0)</f>
        <v/>
      </c>
      <c r="CT806">
        <f>IFERROR(INDEX(PP_Grid[#Data],$DE806,95),0)</f>
        <v/>
      </c>
      <c r="CU806">
        <f>IFERROR(INDEX(PP_Grid[#Data],$DE806,96),0)</f>
        <v/>
      </c>
      <c r="CV806">
        <f>IFERROR(INDEX(PP_Grid[#Data],$DE806,97),0)</f>
        <v/>
      </c>
      <c r="CW806">
        <f>IFERROR(INDEX(PP_Grid[#Data],$DE806,98),0)</f>
        <v/>
      </c>
      <c r="CX806">
        <f>IFERROR(INDEX(PP_Grid[#Data],$DE806,99),0)</f>
        <v/>
      </c>
      <c r="CY806">
        <f>IFERROR(INDEX(PP_Grid[#Data],$DE806,100),0)</f>
        <v/>
      </c>
      <c r="CZ806">
        <f>IFERROR(INDEX(PP_Grid[#Data],$DE806,101),0)</f>
        <v/>
      </c>
      <c r="DA806">
        <f>IFERROR(INDEX(PP_Grid[#Data],$DE806,102),0)</f>
        <v/>
      </c>
      <c r="DB806">
        <f>IFERROR(INDEX(PP_Grid[#Data],$DE806,103),0)</f>
        <v/>
      </c>
      <c r="DC806">
        <f>IFERROR(INDEX(PP_Grid[#Data],$DE806,104),0)</f>
        <v/>
      </c>
      <c r="DD806">
        <f>IFERROR(INDEX(PP_Grid[#Data],$DE806,105),0)</f>
        <v/>
      </c>
      <c r="DE806" s="7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SUMIFS(M_BOM[RM_Qty_Per_Batch],M_BOM[Intermediate],$B806,M_BOM[RM_Code],$A793)</f>
        <v/>
      </c>
      <c r="D807">
        <f>IFERROR(INDEX(E807:DD807,$F$1),"")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  <c r="DD807">
        <f>$C807*DD806</f>
        <v/>
      </c>
    </row>
    <row r="808">
      <c r="B808" s="4" t="inlineStr">
        <is>
          <t>合計使用量(kg)/週</t>
        </is>
      </c>
      <c r="D808" s="22">
        <f>IFERROR(INDEX(E808:DD808,$F$1),"")</f>
        <v/>
      </c>
      <c r="E808">
        <f>'Grid_Requirement'!B3</f>
        <v/>
      </c>
      <c r="F808">
        <f>'Grid_Requirement'!C3</f>
        <v/>
      </c>
      <c r="G808">
        <f>'Grid_Requirement'!D3</f>
        <v/>
      </c>
      <c r="H808">
        <f>'Grid_Requirement'!E3</f>
        <v/>
      </c>
      <c r="I808">
        <f>'Grid_Requirement'!F3</f>
        <v/>
      </c>
      <c r="J808">
        <f>'Grid_Requirement'!G3</f>
        <v/>
      </c>
      <c r="K808">
        <f>'Grid_Requirement'!H3</f>
        <v/>
      </c>
      <c r="L808">
        <f>'Grid_Requirement'!I3</f>
        <v/>
      </c>
      <c r="M808">
        <f>'Grid_Requirement'!J3</f>
        <v/>
      </c>
      <c r="N808">
        <f>'Grid_Requirement'!K3</f>
        <v/>
      </c>
      <c r="O808">
        <f>'Grid_Requirement'!L3</f>
        <v/>
      </c>
      <c r="P808">
        <f>'Grid_Requirement'!M3</f>
        <v/>
      </c>
      <c r="Q808">
        <f>'Grid_Requirement'!N3</f>
        <v/>
      </c>
      <c r="R808">
        <f>'Grid_Requirement'!O3</f>
        <v/>
      </c>
      <c r="S808">
        <f>'Grid_Requirement'!P3</f>
        <v/>
      </c>
      <c r="T808">
        <f>'Grid_Requirement'!Q3</f>
        <v/>
      </c>
      <c r="U808">
        <f>'Grid_Requirement'!R3</f>
        <v/>
      </c>
      <c r="V808">
        <f>'Grid_Requirement'!S3</f>
        <v/>
      </c>
      <c r="W808">
        <f>'Grid_Requirement'!T3</f>
        <v/>
      </c>
      <c r="X808">
        <f>'Grid_Requirement'!U3</f>
        <v/>
      </c>
      <c r="Y808">
        <f>'Grid_Requirement'!V3</f>
        <v/>
      </c>
      <c r="Z808">
        <f>'Grid_Requirement'!W3</f>
        <v/>
      </c>
      <c r="AA808">
        <f>'Grid_Requirement'!X3</f>
        <v/>
      </c>
      <c r="AB808">
        <f>'Grid_Requirement'!Y3</f>
        <v/>
      </c>
      <c r="AC808">
        <f>'Grid_Requirement'!Z3</f>
        <v/>
      </c>
      <c r="AD808">
        <f>'Grid_Requirement'!AA3</f>
        <v/>
      </c>
      <c r="AE808">
        <f>'Grid_Requirement'!AB3</f>
        <v/>
      </c>
      <c r="AF808">
        <f>'Grid_Requirement'!AC3</f>
        <v/>
      </c>
      <c r="AG808">
        <f>'Grid_Requirement'!AD3</f>
        <v/>
      </c>
      <c r="AH808">
        <f>'Grid_Requirement'!AE3</f>
        <v/>
      </c>
      <c r="AI808">
        <f>'Grid_Requirement'!AF3</f>
        <v/>
      </c>
      <c r="AJ808">
        <f>'Grid_Requirement'!AG3</f>
        <v/>
      </c>
      <c r="AK808">
        <f>'Grid_Requirement'!AH3</f>
        <v/>
      </c>
      <c r="AL808">
        <f>'Grid_Requirement'!AI3</f>
        <v/>
      </c>
      <c r="AM808">
        <f>'Grid_Requirement'!AJ3</f>
        <v/>
      </c>
      <c r="AN808">
        <f>'Grid_Requirement'!AK3</f>
        <v/>
      </c>
      <c r="AO808">
        <f>'Grid_Requirement'!AL3</f>
        <v/>
      </c>
      <c r="AP808">
        <f>'Grid_Requirement'!AM3</f>
        <v/>
      </c>
      <c r="AQ808">
        <f>'Grid_Requirement'!AN3</f>
        <v/>
      </c>
      <c r="AR808">
        <f>'Grid_Requirement'!AO3</f>
        <v/>
      </c>
      <c r="AS808">
        <f>'Grid_Requirement'!AP3</f>
        <v/>
      </c>
      <c r="AT808">
        <f>'Grid_Requirement'!AQ3</f>
        <v/>
      </c>
      <c r="AU808">
        <f>'Grid_Requirement'!AR3</f>
        <v/>
      </c>
      <c r="AV808">
        <f>'Grid_Requirement'!AS3</f>
        <v/>
      </c>
      <c r="AW808">
        <f>'Grid_Requirement'!AT3</f>
        <v/>
      </c>
      <c r="AX808">
        <f>'Grid_Requirement'!AU3</f>
        <v/>
      </c>
      <c r="AY808">
        <f>'Grid_Requirement'!AV3</f>
        <v/>
      </c>
      <c r="AZ808">
        <f>'Grid_Requirement'!AW3</f>
        <v/>
      </c>
      <c r="BA808">
        <f>'Grid_Requirement'!AX3</f>
        <v/>
      </c>
      <c r="BB808">
        <f>'Grid_Requirement'!AY3</f>
        <v/>
      </c>
      <c r="BC808">
        <f>'Grid_Requirement'!AZ3</f>
        <v/>
      </c>
      <c r="BD808">
        <f>'Grid_Requirement'!BA3</f>
        <v/>
      </c>
      <c r="BE808">
        <f>'Grid_Requirement'!BB3</f>
        <v/>
      </c>
      <c r="BF808">
        <f>'Grid_Requirement'!BC3</f>
        <v/>
      </c>
      <c r="BG808">
        <f>'Grid_Requirement'!BD3</f>
        <v/>
      </c>
      <c r="BH808">
        <f>'Grid_Requirement'!BE3</f>
        <v/>
      </c>
      <c r="BI808">
        <f>'Grid_Requirement'!BF3</f>
        <v/>
      </c>
      <c r="BJ808">
        <f>'Grid_Requirement'!BG3</f>
        <v/>
      </c>
      <c r="BK808">
        <f>'Grid_Requirement'!BH3</f>
        <v/>
      </c>
      <c r="BL808">
        <f>'Grid_Requirement'!BI3</f>
        <v/>
      </c>
      <c r="BM808">
        <f>'Grid_Requirement'!BJ3</f>
        <v/>
      </c>
      <c r="BN808">
        <f>'Grid_Requirement'!BK3</f>
        <v/>
      </c>
      <c r="BO808">
        <f>'Grid_Requirement'!BL3</f>
        <v/>
      </c>
      <c r="BP808">
        <f>'Grid_Requirement'!BM3</f>
        <v/>
      </c>
      <c r="BQ808">
        <f>'Grid_Requirement'!BN3</f>
        <v/>
      </c>
      <c r="BR808">
        <f>'Grid_Requirement'!BO3</f>
        <v/>
      </c>
      <c r="BS808">
        <f>'Grid_Requirement'!BP3</f>
        <v/>
      </c>
      <c r="BT808">
        <f>'Grid_Requirement'!BQ3</f>
        <v/>
      </c>
      <c r="BU808">
        <f>'Grid_Requirement'!BR3</f>
        <v/>
      </c>
      <c r="BV808">
        <f>'Grid_Requirement'!BS3</f>
        <v/>
      </c>
      <c r="BW808">
        <f>'Grid_Requirement'!BT3</f>
        <v/>
      </c>
      <c r="BX808">
        <f>'Grid_Requirement'!BU3</f>
        <v/>
      </c>
      <c r="BY808">
        <f>'Grid_Requirement'!BV3</f>
        <v/>
      </c>
      <c r="BZ808">
        <f>'Grid_Requirement'!BW3</f>
        <v/>
      </c>
      <c r="CA808">
        <f>'Grid_Requirement'!BX3</f>
        <v/>
      </c>
      <c r="CB808">
        <f>'Grid_Requirement'!BY3</f>
        <v/>
      </c>
      <c r="CC808">
        <f>'Grid_Requirement'!BZ3</f>
        <v/>
      </c>
      <c r="CD808">
        <f>'Grid_Requirement'!CA3</f>
        <v/>
      </c>
      <c r="CE808">
        <f>'Grid_Requirement'!CB3</f>
        <v/>
      </c>
      <c r="CF808">
        <f>'Grid_Requirement'!CC3</f>
        <v/>
      </c>
      <c r="CG808">
        <f>'Grid_Requirement'!CD3</f>
        <v/>
      </c>
      <c r="CH808">
        <f>'Grid_Requirement'!CE3</f>
        <v/>
      </c>
      <c r="CI808">
        <f>'Grid_Requirement'!CF3</f>
        <v/>
      </c>
      <c r="CJ808">
        <f>'Grid_Requirement'!CG3</f>
        <v/>
      </c>
      <c r="CK808">
        <f>'Grid_Requirement'!CH3</f>
        <v/>
      </c>
      <c r="CL808">
        <f>'Grid_Requirement'!CI3</f>
        <v/>
      </c>
      <c r="CM808">
        <f>'Grid_Requirement'!CJ3</f>
        <v/>
      </c>
      <c r="CN808">
        <f>'Grid_Requirement'!CK3</f>
        <v/>
      </c>
      <c r="CO808">
        <f>'Grid_Requirement'!CL3</f>
        <v/>
      </c>
      <c r="CP808">
        <f>'Grid_Requirement'!CM3</f>
        <v/>
      </c>
      <c r="CQ808">
        <f>'Grid_Requirement'!CN3</f>
        <v/>
      </c>
      <c r="CR808">
        <f>'Grid_Requirement'!CO3</f>
        <v/>
      </c>
      <c r="CS808">
        <f>'Grid_Requirement'!CP3</f>
        <v/>
      </c>
      <c r="CT808">
        <f>'Grid_Requirement'!CQ3</f>
        <v/>
      </c>
      <c r="CU808">
        <f>'Grid_Requirement'!CR3</f>
        <v/>
      </c>
      <c r="CV808">
        <f>'Grid_Requirement'!CS3</f>
        <v/>
      </c>
      <c r="CW808">
        <f>'Grid_Requirement'!CT3</f>
        <v/>
      </c>
      <c r="CX808">
        <f>'Grid_Requirement'!CU3</f>
        <v/>
      </c>
      <c r="CY808">
        <f>'Grid_Requirement'!CV3</f>
        <v/>
      </c>
      <c r="CZ808">
        <f>'Grid_Requirement'!CW3</f>
        <v/>
      </c>
      <c r="DA808">
        <f>'Grid_Requirement'!CX3</f>
        <v/>
      </c>
      <c r="DB808">
        <f>'Grid_Requirement'!CY3</f>
        <v/>
      </c>
      <c r="DC808">
        <f>'Grid_Requirement'!CZ3</f>
        <v/>
      </c>
      <c r="DD808">
        <f>'Grid_Requirement'!DA3</f>
        <v/>
      </c>
    </row>
    <row r="809">
      <c r="B809" s="23" t="inlineStr">
        <is>
          <t>（在庫・入荷予定はDashboard参照）</t>
        </is>
      </c>
    </row>
    <row r="811">
      <c r="A811" s="21" t="inlineStr">
        <is>
          <t>CHEM-1450</t>
        </is>
      </c>
      <c r="B811" s="21" t="inlineStr">
        <is>
          <t>Noptechs</t>
        </is>
      </c>
      <c r="C811" s="21" t="n"/>
      <c r="D811" s="21" t="n"/>
      <c r="E811" s="21" t="n"/>
      <c r="F811" s="21" t="n"/>
      <c r="G811" s="21" t="n"/>
      <c r="H811" s="21" t="n"/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  <c r="Z811" s="21" t="n"/>
      <c r="AA811" s="21" t="n"/>
      <c r="AB811" s="21" t="n"/>
      <c r="AC811" s="21" t="n"/>
      <c r="AD811" s="21" t="n"/>
      <c r="AE811" s="21" t="n"/>
      <c r="AF811" s="21" t="n"/>
      <c r="AG811" s="21" t="n"/>
      <c r="AH811" s="21" t="n"/>
      <c r="AI811" s="21" t="n"/>
      <c r="AJ811" s="21" t="n"/>
      <c r="AK811" s="21" t="n"/>
      <c r="AL811" s="21" t="n"/>
      <c r="AM811" s="21" t="n"/>
      <c r="AN811" s="21" t="n"/>
      <c r="AO811" s="21" t="n"/>
      <c r="AP811" s="21" t="n"/>
      <c r="AQ811" s="21" t="n"/>
      <c r="AR811" s="21" t="n"/>
      <c r="AS811" s="21" t="n"/>
      <c r="AT811" s="21" t="n"/>
      <c r="AU811" s="21" t="n"/>
      <c r="AV811" s="21" t="n"/>
      <c r="AW811" s="21" t="n"/>
      <c r="AX811" s="21" t="n"/>
      <c r="AY811" s="21" t="n"/>
      <c r="AZ811" s="21" t="n"/>
      <c r="BA811" s="21" t="n"/>
      <c r="BB811" s="21" t="n"/>
      <c r="BC811" s="21" t="n"/>
      <c r="BD811" s="21" t="n"/>
      <c r="BE811" s="21" t="n"/>
      <c r="BF811" s="21" t="n"/>
      <c r="BG811" s="21" t="n"/>
      <c r="BH811" s="21" t="n"/>
      <c r="BI811" s="21" t="n"/>
      <c r="BJ811" s="21" t="n"/>
      <c r="BK811" s="21" t="n"/>
      <c r="BL811" s="21" t="n"/>
      <c r="BM811" s="21" t="n"/>
      <c r="BN811" s="21" t="n"/>
      <c r="BO811" s="21" t="n"/>
      <c r="BP811" s="21" t="n"/>
      <c r="BQ811" s="21" t="n"/>
      <c r="BR811" s="21" t="n"/>
      <c r="BS811" s="21" t="n"/>
      <c r="BT811" s="21" t="n"/>
      <c r="BU811" s="21" t="n"/>
      <c r="BV811" s="21" t="n"/>
      <c r="BW811" s="21" t="n"/>
      <c r="BX811" s="21" t="n"/>
      <c r="BY811" s="21" t="n"/>
      <c r="BZ811" s="21" t="n"/>
      <c r="CA811" s="21" t="n"/>
      <c r="CB811" s="21" t="n"/>
      <c r="CC811" s="21" t="n"/>
      <c r="CD811" s="21" t="n"/>
      <c r="CE811" s="21" t="n"/>
      <c r="CF811" s="21" t="n"/>
      <c r="CG811" s="21" t="n"/>
      <c r="CH811" s="21" t="n"/>
      <c r="CI811" s="21" t="n"/>
      <c r="CJ811" s="21" t="n"/>
      <c r="CK811" s="21" t="n"/>
      <c r="CL811" s="21" t="n"/>
      <c r="CM811" s="21" t="n"/>
      <c r="CN811" s="21" t="n"/>
      <c r="CO811" s="21" t="n"/>
      <c r="CP811" s="21" t="n"/>
      <c r="CQ811" s="21" t="n"/>
      <c r="CR811" s="21" t="n"/>
      <c r="CS811" s="21" t="n"/>
      <c r="CT811" s="21" t="n"/>
      <c r="CU811" s="21" t="n"/>
      <c r="CV811" s="21" t="n"/>
      <c r="CW811" s="21" t="n"/>
      <c r="CX811" s="21" t="n"/>
      <c r="CY811" s="21" t="n"/>
      <c r="CZ811" s="21" t="n"/>
      <c r="DA811" s="21" t="n"/>
      <c r="DB811" s="21" t="n"/>
      <c r="DC811" s="21" t="n"/>
      <c r="DD811" s="21" t="n"/>
    </row>
    <row r="812">
      <c r="B812" t="inlineStr">
        <is>
          <t>TSP-218</t>
        </is>
      </c>
      <c r="C812" t="inlineStr">
        <is>
          <t>No. of batches</t>
        </is>
      </c>
      <c r="D812">
        <f>IFERROR(INDEX(E812:DD812,$F$1),"")</f>
        <v/>
      </c>
      <c r="E812">
        <f>IFERROR(INDEX(PP_Grid[#Data],$DE812,2),0)</f>
        <v/>
      </c>
      <c r="F812">
        <f>IFERROR(INDEX(PP_Grid[#Data],$DE812,3),0)</f>
        <v/>
      </c>
      <c r="G812">
        <f>IFERROR(INDEX(PP_Grid[#Data],$DE812,4),0)</f>
        <v/>
      </c>
      <c r="H812">
        <f>IFERROR(INDEX(PP_Grid[#Data],$DE812,5),0)</f>
        <v/>
      </c>
      <c r="I812">
        <f>IFERROR(INDEX(PP_Grid[#Data],$DE812,6),0)</f>
        <v/>
      </c>
      <c r="J812">
        <f>IFERROR(INDEX(PP_Grid[#Data],$DE812,7),0)</f>
        <v/>
      </c>
      <c r="K812">
        <f>IFERROR(INDEX(PP_Grid[#Data],$DE812,8),0)</f>
        <v/>
      </c>
      <c r="L812">
        <f>IFERROR(INDEX(PP_Grid[#Data],$DE812,9),0)</f>
        <v/>
      </c>
      <c r="M812">
        <f>IFERROR(INDEX(PP_Grid[#Data],$DE812,10),0)</f>
        <v/>
      </c>
      <c r="N812">
        <f>IFERROR(INDEX(PP_Grid[#Data],$DE812,11),0)</f>
        <v/>
      </c>
      <c r="O812">
        <f>IFERROR(INDEX(PP_Grid[#Data],$DE812,12),0)</f>
        <v/>
      </c>
      <c r="P812">
        <f>IFERROR(INDEX(PP_Grid[#Data],$DE812,13),0)</f>
        <v/>
      </c>
      <c r="Q812">
        <f>IFERROR(INDEX(PP_Grid[#Data],$DE812,14),0)</f>
        <v/>
      </c>
      <c r="R812">
        <f>IFERROR(INDEX(PP_Grid[#Data],$DE812,15),0)</f>
        <v/>
      </c>
      <c r="S812">
        <f>IFERROR(INDEX(PP_Grid[#Data],$DE812,16),0)</f>
        <v/>
      </c>
      <c r="T812">
        <f>IFERROR(INDEX(PP_Grid[#Data],$DE812,17),0)</f>
        <v/>
      </c>
      <c r="U812">
        <f>IFERROR(INDEX(PP_Grid[#Data],$DE812,18),0)</f>
        <v/>
      </c>
      <c r="V812">
        <f>IFERROR(INDEX(PP_Grid[#Data],$DE812,19),0)</f>
        <v/>
      </c>
      <c r="W812">
        <f>IFERROR(INDEX(PP_Grid[#Data],$DE812,20),0)</f>
        <v/>
      </c>
      <c r="X812">
        <f>IFERROR(INDEX(PP_Grid[#Data],$DE812,21),0)</f>
        <v/>
      </c>
      <c r="Y812">
        <f>IFERROR(INDEX(PP_Grid[#Data],$DE812,22),0)</f>
        <v/>
      </c>
      <c r="Z812">
        <f>IFERROR(INDEX(PP_Grid[#Data],$DE812,23),0)</f>
        <v/>
      </c>
      <c r="AA812">
        <f>IFERROR(INDEX(PP_Grid[#Data],$DE812,24),0)</f>
        <v/>
      </c>
      <c r="AB812">
        <f>IFERROR(INDEX(PP_Grid[#Data],$DE812,25),0)</f>
        <v/>
      </c>
      <c r="AC812">
        <f>IFERROR(INDEX(PP_Grid[#Data],$DE812,26),0)</f>
        <v/>
      </c>
      <c r="AD812">
        <f>IFERROR(INDEX(PP_Grid[#Data],$DE812,27),0)</f>
        <v/>
      </c>
      <c r="AE812">
        <f>IFERROR(INDEX(PP_Grid[#Data],$DE812,28),0)</f>
        <v/>
      </c>
      <c r="AF812">
        <f>IFERROR(INDEX(PP_Grid[#Data],$DE812,29),0)</f>
        <v/>
      </c>
      <c r="AG812">
        <f>IFERROR(INDEX(PP_Grid[#Data],$DE812,30),0)</f>
        <v/>
      </c>
      <c r="AH812">
        <f>IFERROR(INDEX(PP_Grid[#Data],$DE812,31),0)</f>
        <v/>
      </c>
      <c r="AI812">
        <f>IFERROR(INDEX(PP_Grid[#Data],$DE812,32),0)</f>
        <v/>
      </c>
      <c r="AJ812">
        <f>IFERROR(INDEX(PP_Grid[#Data],$DE812,33),0)</f>
        <v/>
      </c>
      <c r="AK812">
        <f>IFERROR(INDEX(PP_Grid[#Data],$DE812,34),0)</f>
        <v/>
      </c>
      <c r="AL812">
        <f>IFERROR(INDEX(PP_Grid[#Data],$DE812,35),0)</f>
        <v/>
      </c>
      <c r="AM812">
        <f>IFERROR(INDEX(PP_Grid[#Data],$DE812,36),0)</f>
        <v/>
      </c>
      <c r="AN812">
        <f>IFERROR(INDEX(PP_Grid[#Data],$DE812,37),0)</f>
        <v/>
      </c>
      <c r="AO812">
        <f>IFERROR(INDEX(PP_Grid[#Data],$DE812,38),0)</f>
        <v/>
      </c>
      <c r="AP812">
        <f>IFERROR(INDEX(PP_Grid[#Data],$DE812,39),0)</f>
        <v/>
      </c>
      <c r="AQ812">
        <f>IFERROR(INDEX(PP_Grid[#Data],$DE812,40),0)</f>
        <v/>
      </c>
      <c r="AR812">
        <f>IFERROR(INDEX(PP_Grid[#Data],$DE812,41),0)</f>
        <v/>
      </c>
      <c r="AS812">
        <f>IFERROR(INDEX(PP_Grid[#Data],$DE812,42),0)</f>
        <v/>
      </c>
      <c r="AT812">
        <f>IFERROR(INDEX(PP_Grid[#Data],$DE812,43),0)</f>
        <v/>
      </c>
      <c r="AU812">
        <f>IFERROR(INDEX(PP_Grid[#Data],$DE812,44),0)</f>
        <v/>
      </c>
      <c r="AV812">
        <f>IFERROR(INDEX(PP_Grid[#Data],$DE812,45),0)</f>
        <v/>
      </c>
      <c r="AW812">
        <f>IFERROR(INDEX(PP_Grid[#Data],$DE812,46),0)</f>
        <v/>
      </c>
      <c r="AX812">
        <f>IFERROR(INDEX(PP_Grid[#Data],$DE812,47),0)</f>
        <v/>
      </c>
      <c r="AY812">
        <f>IFERROR(INDEX(PP_Grid[#Data],$DE812,48),0)</f>
        <v/>
      </c>
      <c r="AZ812">
        <f>IFERROR(INDEX(PP_Grid[#Data],$DE812,49),0)</f>
        <v/>
      </c>
      <c r="BA812">
        <f>IFERROR(INDEX(PP_Grid[#Data],$DE812,50),0)</f>
        <v/>
      </c>
      <c r="BB812">
        <f>IFERROR(INDEX(PP_Grid[#Data],$DE812,51),0)</f>
        <v/>
      </c>
      <c r="BC812">
        <f>IFERROR(INDEX(PP_Grid[#Data],$DE812,52),0)</f>
        <v/>
      </c>
      <c r="BD812">
        <f>IFERROR(INDEX(PP_Grid[#Data],$DE812,53),0)</f>
        <v/>
      </c>
      <c r="BE812">
        <f>IFERROR(INDEX(PP_Grid[#Data],$DE812,54),0)</f>
        <v/>
      </c>
      <c r="BF812">
        <f>IFERROR(INDEX(PP_Grid[#Data],$DE812,55),0)</f>
        <v/>
      </c>
      <c r="BG812">
        <f>IFERROR(INDEX(PP_Grid[#Data],$DE812,56),0)</f>
        <v/>
      </c>
      <c r="BH812">
        <f>IFERROR(INDEX(PP_Grid[#Data],$DE812,57),0)</f>
        <v/>
      </c>
      <c r="BI812">
        <f>IFERROR(INDEX(PP_Grid[#Data],$DE812,58),0)</f>
        <v/>
      </c>
      <c r="BJ812">
        <f>IFERROR(INDEX(PP_Grid[#Data],$DE812,59),0)</f>
        <v/>
      </c>
      <c r="BK812">
        <f>IFERROR(INDEX(PP_Grid[#Data],$DE812,60),0)</f>
        <v/>
      </c>
      <c r="BL812">
        <f>IFERROR(INDEX(PP_Grid[#Data],$DE812,61),0)</f>
        <v/>
      </c>
      <c r="BM812">
        <f>IFERROR(INDEX(PP_Grid[#Data],$DE812,62),0)</f>
        <v/>
      </c>
      <c r="BN812">
        <f>IFERROR(INDEX(PP_Grid[#Data],$DE812,63),0)</f>
        <v/>
      </c>
      <c r="BO812">
        <f>IFERROR(INDEX(PP_Grid[#Data],$DE812,64),0)</f>
        <v/>
      </c>
      <c r="BP812">
        <f>IFERROR(INDEX(PP_Grid[#Data],$DE812,65),0)</f>
        <v/>
      </c>
      <c r="BQ812">
        <f>IFERROR(INDEX(PP_Grid[#Data],$DE812,66),0)</f>
        <v/>
      </c>
      <c r="BR812">
        <f>IFERROR(INDEX(PP_Grid[#Data],$DE812,67),0)</f>
        <v/>
      </c>
      <c r="BS812">
        <f>IFERROR(INDEX(PP_Grid[#Data],$DE812,68),0)</f>
        <v/>
      </c>
      <c r="BT812">
        <f>IFERROR(INDEX(PP_Grid[#Data],$DE812,69),0)</f>
        <v/>
      </c>
      <c r="BU812">
        <f>IFERROR(INDEX(PP_Grid[#Data],$DE812,70),0)</f>
        <v/>
      </c>
      <c r="BV812">
        <f>IFERROR(INDEX(PP_Grid[#Data],$DE812,71),0)</f>
        <v/>
      </c>
      <c r="BW812">
        <f>IFERROR(INDEX(PP_Grid[#Data],$DE812,72),0)</f>
        <v/>
      </c>
      <c r="BX812">
        <f>IFERROR(INDEX(PP_Grid[#Data],$DE812,73),0)</f>
        <v/>
      </c>
      <c r="BY812">
        <f>IFERROR(INDEX(PP_Grid[#Data],$DE812,74),0)</f>
        <v/>
      </c>
      <c r="BZ812">
        <f>IFERROR(INDEX(PP_Grid[#Data],$DE812,75),0)</f>
        <v/>
      </c>
      <c r="CA812">
        <f>IFERROR(INDEX(PP_Grid[#Data],$DE812,76),0)</f>
        <v/>
      </c>
      <c r="CB812">
        <f>IFERROR(INDEX(PP_Grid[#Data],$DE812,77),0)</f>
        <v/>
      </c>
      <c r="CC812">
        <f>IFERROR(INDEX(PP_Grid[#Data],$DE812,78),0)</f>
        <v/>
      </c>
      <c r="CD812">
        <f>IFERROR(INDEX(PP_Grid[#Data],$DE812,79),0)</f>
        <v/>
      </c>
      <c r="CE812">
        <f>IFERROR(INDEX(PP_Grid[#Data],$DE812,80),0)</f>
        <v/>
      </c>
      <c r="CF812">
        <f>IFERROR(INDEX(PP_Grid[#Data],$DE812,81),0)</f>
        <v/>
      </c>
      <c r="CG812">
        <f>IFERROR(INDEX(PP_Grid[#Data],$DE812,82),0)</f>
        <v/>
      </c>
      <c r="CH812">
        <f>IFERROR(INDEX(PP_Grid[#Data],$DE812,83),0)</f>
        <v/>
      </c>
      <c r="CI812">
        <f>IFERROR(INDEX(PP_Grid[#Data],$DE812,84),0)</f>
        <v/>
      </c>
      <c r="CJ812">
        <f>IFERROR(INDEX(PP_Grid[#Data],$DE812,85),0)</f>
        <v/>
      </c>
      <c r="CK812">
        <f>IFERROR(INDEX(PP_Grid[#Data],$DE812,86),0)</f>
        <v/>
      </c>
      <c r="CL812">
        <f>IFERROR(INDEX(PP_Grid[#Data],$DE812,87),0)</f>
        <v/>
      </c>
      <c r="CM812">
        <f>IFERROR(INDEX(PP_Grid[#Data],$DE812,88),0)</f>
        <v/>
      </c>
      <c r="CN812">
        <f>IFERROR(INDEX(PP_Grid[#Data],$DE812,89),0)</f>
        <v/>
      </c>
      <c r="CO812">
        <f>IFERROR(INDEX(PP_Grid[#Data],$DE812,90),0)</f>
        <v/>
      </c>
      <c r="CP812">
        <f>IFERROR(INDEX(PP_Grid[#Data],$DE812,91),0)</f>
        <v/>
      </c>
      <c r="CQ812">
        <f>IFERROR(INDEX(PP_Grid[#Data],$DE812,92),0)</f>
        <v/>
      </c>
      <c r="CR812">
        <f>IFERROR(INDEX(PP_Grid[#Data],$DE812,93),0)</f>
        <v/>
      </c>
      <c r="CS812">
        <f>IFERROR(INDEX(PP_Grid[#Data],$DE812,94),0)</f>
        <v/>
      </c>
      <c r="CT812">
        <f>IFERROR(INDEX(PP_Grid[#Data],$DE812,95),0)</f>
        <v/>
      </c>
      <c r="CU812">
        <f>IFERROR(INDEX(PP_Grid[#Data],$DE812,96),0)</f>
        <v/>
      </c>
      <c r="CV812">
        <f>IFERROR(INDEX(PP_Grid[#Data],$DE812,97),0)</f>
        <v/>
      </c>
      <c r="CW812">
        <f>IFERROR(INDEX(PP_Grid[#Data],$DE812,98),0)</f>
        <v/>
      </c>
      <c r="CX812">
        <f>IFERROR(INDEX(PP_Grid[#Data],$DE812,99),0)</f>
        <v/>
      </c>
      <c r="CY812">
        <f>IFERROR(INDEX(PP_Grid[#Data],$DE812,100),0)</f>
        <v/>
      </c>
      <c r="CZ812">
        <f>IFERROR(INDEX(PP_Grid[#Data],$DE812,101),0)</f>
        <v/>
      </c>
      <c r="DA812">
        <f>IFERROR(INDEX(PP_Grid[#Data],$DE812,102),0)</f>
        <v/>
      </c>
      <c r="DB812">
        <f>IFERROR(INDEX(PP_Grid[#Data],$DE812,103),0)</f>
        <v/>
      </c>
      <c r="DC812">
        <f>IFERROR(INDEX(PP_Grid[#Data],$DE812,104),0)</f>
        <v/>
      </c>
      <c r="DD812">
        <f>IFERROR(INDEX(PP_Grid[#Data],$DE812,105),0)</f>
        <v/>
      </c>
      <c r="DE812" s="7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SUMIFS(M_BOM[RM_Qty_Per_Batch],M_BOM[Intermediate],$B812,M_BOM[RM_Code],$A811)</f>
        <v/>
      </c>
      <c r="D813">
        <f>IFERROR(INDEX(E813:DD813,$F$1),"")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  <c r="DD813">
        <f>$C813*DD812</f>
        <v/>
      </c>
    </row>
    <row r="814">
      <c r="B814" t="inlineStr">
        <is>
          <t>TSP-225</t>
        </is>
      </c>
      <c r="C814" t="inlineStr">
        <is>
          <t>No. of batches</t>
        </is>
      </c>
      <c r="D814">
        <f>IFERROR(INDEX(E814:DD814,$F$1),"")</f>
        <v/>
      </c>
      <c r="E814">
        <f>IFERROR(INDEX(PP_Grid[#Data],$DE814,2),0)</f>
        <v/>
      </c>
      <c r="F814">
        <f>IFERROR(INDEX(PP_Grid[#Data],$DE814,3),0)</f>
        <v/>
      </c>
      <c r="G814">
        <f>IFERROR(INDEX(PP_Grid[#Data],$DE814,4),0)</f>
        <v/>
      </c>
      <c r="H814">
        <f>IFERROR(INDEX(PP_Grid[#Data],$DE814,5),0)</f>
        <v/>
      </c>
      <c r="I814">
        <f>IFERROR(INDEX(PP_Grid[#Data],$DE814,6),0)</f>
        <v/>
      </c>
      <c r="J814">
        <f>IFERROR(INDEX(PP_Grid[#Data],$DE814,7),0)</f>
        <v/>
      </c>
      <c r="K814">
        <f>IFERROR(INDEX(PP_Grid[#Data],$DE814,8),0)</f>
        <v/>
      </c>
      <c r="L814">
        <f>IFERROR(INDEX(PP_Grid[#Data],$DE814,9),0)</f>
        <v/>
      </c>
      <c r="M814">
        <f>IFERROR(INDEX(PP_Grid[#Data],$DE814,10),0)</f>
        <v/>
      </c>
      <c r="N814">
        <f>IFERROR(INDEX(PP_Grid[#Data],$DE814,11),0)</f>
        <v/>
      </c>
      <c r="O814">
        <f>IFERROR(INDEX(PP_Grid[#Data],$DE814,12),0)</f>
        <v/>
      </c>
      <c r="P814">
        <f>IFERROR(INDEX(PP_Grid[#Data],$DE814,13),0)</f>
        <v/>
      </c>
      <c r="Q814">
        <f>IFERROR(INDEX(PP_Grid[#Data],$DE814,14),0)</f>
        <v/>
      </c>
      <c r="R814">
        <f>IFERROR(INDEX(PP_Grid[#Data],$DE814,15),0)</f>
        <v/>
      </c>
      <c r="S814">
        <f>IFERROR(INDEX(PP_Grid[#Data],$DE814,16),0)</f>
        <v/>
      </c>
      <c r="T814">
        <f>IFERROR(INDEX(PP_Grid[#Data],$DE814,17),0)</f>
        <v/>
      </c>
      <c r="U814">
        <f>IFERROR(INDEX(PP_Grid[#Data],$DE814,18),0)</f>
        <v/>
      </c>
      <c r="V814">
        <f>IFERROR(INDEX(PP_Grid[#Data],$DE814,19),0)</f>
        <v/>
      </c>
      <c r="W814">
        <f>IFERROR(INDEX(PP_Grid[#Data],$DE814,20),0)</f>
        <v/>
      </c>
      <c r="X814">
        <f>IFERROR(INDEX(PP_Grid[#Data],$DE814,21),0)</f>
        <v/>
      </c>
      <c r="Y814">
        <f>IFERROR(INDEX(PP_Grid[#Data],$DE814,22),0)</f>
        <v/>
      </c>
      <c r="Z814">
        <f>IFERROR(INDEX(PP_Grid[#Data],$DE814,23),0)</f>
        <v/>
      </c>
      <c r="AA814">
        <f>IFERROR(INDEX(PP_Grid[#Data],$DE814,24),0)</f>
        <v/>
      </c>
      <c r="AB814">
        <f>IFERROR(INDEX(PP_Grid[#Data],$DE814,25),0)</f>
        <v/>
      </c>
      <c r="AC814">
        <f>IFERROR(INDEX(PP_Grid[#Data],$DE814,26),0)</f>
        <v/>
      </c>
      <c r="AD814">
        <f>IFERROR(INDEX(PP_Grid[#Data],$DE814,27),0)</f>
        <v/>
      </c>
      <c r="AE814">
        <f>IFERROR(INDEX(PP_Grid[#Data],$DE814,28),0)</f>
        <v/>
      </c>
      <c r="AF814">
        <f>IFERROR(INDEX(PP_Grid[#Data],$DE814,29),0)</f>
        <v/>
      </c>
      <c r="AG814">
        <f>IFERROR(INDEX(PP_Grid[#Data],$DE814,30),0)</f>
        <v/>
      </c>
      <c r="AH814">
        <f>IFERROR(INDEX(PP_Grid[#Data],$DE814,31),0)</f>
        <v/>
      </c>
      <c r="AI814">
        <f>IFERROR(INDEX(PP_Grid[#Data],$DE814,32),0)</f>
        <v/>
      </c>
      <c r="AJ814">
        <f>IFERROR(INDEX(PP_Grid[#Data],$DE814,33),0)</f>
        <v/>
      </c>
      <c r="AK814">
        <f>IFERROR(INDEX(PP_Grid[#Data],$DE814,34),0)</f>
        <v/>
      </c>
      <c r="AL814">
        <f>IFERROR(INDEX(PP_Grid[#Data],$DE814,35),0)</f>
        <v/>
      </c>
      <c r="AM814">
        <f>IFERROR(INDEX(PP_Grid[#Data],$DE814,36),0)</f>
        <v/>
      </c>
      <c r="AN814">
        <f>IFERROR(INDEX(PP_Grid[#Data],$DE814,37),0)</f>
        <v/>
      </c>
      <c r="AO814">
        <f>IFERROR(INDEX(PP_Grid[#Data],$DE814,38),0)</f>
        <v/>
      </c>
      <c r="AP814">
        <f>IFERROR(INDEX(PP_Grid[#Data],$DE814,39),0)</f>
        <v/>
      </c>
      <c r="AQ814">
        <f>IFERROR(INDEX(PP_Grid[#Data],$DE814,40),0)</f>
        <v/>
      </c>
      <c r="AR814">
        <f>IFERROR(INDEX(PP_Grid[#Data],$DE814,41),0)</f>
        <v/>
      </c>
      <c r="AS814">
        <f>IFERROR(INDEX(PP_Grid[#Data],$DE814,42),0)</f>
        <v/>
      </c>
      <c r="AT814">
        <f>IFERROR(INDEX(PP_Grid[#Data],$DE814,43),0)</f>
        <v/>
      </c>
      <c r="AU814">
        <f>IFERROR(INDEX(PP_Grid[#Data],$DE814,44),0)</f>
        <v/>
      </c>
      <c r="AV814">
        <f>IFERROR(INDEX(PP_Grid[#Data],$DE814,45),0)</f>
        <v/>
      </c>
      <c r="AW814">
        <f>IFERROR(INDEX(PP_Grid[#Data],$DE814,46),0)</f>
        <v/>
      </c>
      <c r="AX814">
        <f>IFERROR(INDEX(PP_Grid[#Data],$DE814,47),0)</f>
        <v/>
      </c>
      <c r="AY814">
        <f>IFERROR(INDEX(PP_Grid[#Data],$DE814,48),0)</f>
        <v/>
      </c>
      <c r="AZ814">
        <f>IFERROR(INDEX(PP_Grid[#Data],$DE814,49),0)</f>
        <v/>
      </c>
      <c r="BA814">
        <f>IFERROR(INDEX(PP_Grid[#Data],$DE814,50),0)</f>
        <v/>
      </c>
      <c r="BB814">
        <f>IFERROR(INDEX(PP_Grid[#Data],$DE814,51),0)</f>
        <v/>
      </c>
      <c r="BC814">
        <f>IFERROR(INDEX(PP_Grid[#Data],$DE814,52),0)</f>
        <v/>
      </c>
      <c r="BD814">
        <f>IFERROR(INDEX(PP_Grid[#Data],$DE814,53),0)</f>
        <v/>
      </c>
      <c r="BE814">
        <f>IFERROR(INDEX(PP_Grid[#Data],$DE814,54),0)</f>
        <v/>
      </c>
      <c r="BF814">
        <f>IFERROR(INDEX(PP_Grid[#Data],$DE814,55),0)</f>
        <v/>
      </c>
      <c r="BG814">
        <f>IFERROR(INDEX(PP_Grid[#Data],$DE814,56),0)</f>
        <v/>
      </c>
      <c r="BH814">
        <f>IFERROR(INDEX(PP_Grid[#Data],$DE814,57),0)</f>
        <v/>
      </c>
      <c r="BI814">
        <f>IFERROR(INDEX(PP_Grid[#Data],$DE814,58),0)</f>
        <v/>
      </c>
      <c r="BJ814">
        <f>IFERROR(INDEX(PP_Grid[#Data],$DE814,59),0)</f>
        <v/>
      </c>
      <c r="BK814">
        <f>IFERROR(INDEX(PP_Grid[#Data],$DE814,60),0)</f>
        <v/>
      </c>
      <c r="BL814">
        <f>IFERROR(INDEX(PP_Grid[#Data],$DE814,61),0)</f>
        <v/>
      </c>
      <c r="BM814">
        <f>IFERROR(INDEX(PP_Grid[#Data],$DE814,62),0)</f>
        <v/>
      </c>
      <c r="BN814">
        <f>IFERROR(INDEX(PP_Grid[#Data],$DE814,63),0)</f>
        <v/>
      </c>
      <c r="BO814">
        <f>IFERROR(INDEX(PP_Grid[#Data],$DE814,64),0)</f>
        <v/>
      </c>
      <c r="BP814">
        <f>IFERROR(INDEX(PP_Grid[#Data],$DE814,65),0)</f>
        <v/>
      </c>
      <c r="BQ814">
        <f>IFERROR(INDEX(PP_Grid[#Data],$DE814,66),0)</f>
        <v/>
      </c>
      <c r="BR814">
        <f>IFERROR(INDEX(PP_Grid[#Data],$DE814,67),0)</f>
        <v/>
      </c>
      <c r="BS814">
        <f>IFERROR(INDEX(PP_Grid[#Data],$DE814,68),0)</f>
        <v/>
      </c>
      <c r="BT814">
        <f>IFERROR(INDEX(PP_Grid[#Data],$DE814,69),0)</f>
        <v/>
      </c>
      <c r="BU814">
        <f>IFERROR(INDEX(PP_Grid[#Data],$DE814,70),0)</f>
        <v/>
      </c>
      <c r="BV814">
        <f>IFERROR(INDEX(PP_Grid[#Data],$DE814,71),0)</f>
        <v/>
      </c>
      <c r="BW814">
        <f>IFERROR(INDEX(PP_Grid[#Data],$DE814,72),0)</f>
        <v/>
      </c>
      <c r="BX814">
        <f>IFERROR(INDEX(PP_Grid[#Data],$DE814,73),0)</f>
        <v/>
      </c>
      <c r="BY814">
        <f>IFERROR(INDEX(PP_Grid[#Data],$DE814,74),0)</f>
        <v/>
      </c>
      <c r="BZ814">
        <f>IFERROR(INDEX(PP_Grid[#Data],$DE814,75),0)</f>
        <v/>
      </c>
      <c r="CA814">
        <f>IFERROR(INDEX(PP_Grid[#Data],$DE814,76),0)</f>
        <v/>
      </c>
      <c r="CB814">
        <f>IFERROR(INDEX(PP_Grid[#Data],$DE814,77),0)</f>
        <v/>
      </c>
      <c r="CC814">
        <f>IFERROR(INDEX(PP_Grid[#Data],$DE814,78),0)</f>
        <v/>
      </c>
      <c r="CD814">
        <f>IFERROR(INDEX(PP_Grid[#Data],$DE814,79),0)</f>
        <v/>
      </c>
      <c r="CE814">
        <f>IFERROR(INDEX(PP_Grid[#Data],$DE814,80),0)</f>
        <v/>
      </c>
      <c r="CF814">
        <f>IFERROR(INDEX(PP_Grid[#Data],$DE814,81),0)</f>
        <v/>
      </c>
      <c r="CG814">
        <f>IFERROR(INDEX(PP_Grid[#Data],$DE814,82),0)</f>
        <v/>
      </c>
      <c r="CH814">
        <f>IFERROR(INDEX(PP_Grid[#Data],$DE814,83),0)</f>
        <v/>
      </c>
      <c r="CI814">
        <f>IFERROR(INDEX(PP_Grid[#Data],$DE814,84),0)</f>
        <v/>
      </c>
      <c r="CJ814">
        <f>IFERROR(INDEX(PP_Grid[#Data],$DE814,85),0)</f>
        <v/>
      </c>
      <c r="CK814">
        <f>IFERROR(INDEX(PP_Grid[#Data],$DE814,86),0)</f>
        <v/>
      </c>
      <c r="CL814">
        <f>IFERROR(INDEX(PP_Grid[#Data],$DE814,87),0)</f>
        <v/>
      </c>
      <c r="CM814">
        <f>IFERROR(INDEX(PP_Grid[#Data],$DE814,88),0)</f>
        <v/>
      </c>
      <c r="CN814">
        <f>IFERROR(INDEX(PP_Grid[#Data],$DE814,89),0)</f>
        <v/>
      </c>
      <c r="CO814">
        <f>IFERROR(INDEX(PP_Grid[#Data],$DE814,90),0)</f>
        <v/>
      </c>
      <c r="CP814">
        <f>IFERROR(INDEX(PP_Grid[#Data],$DE814,91),0)</f>
        <v/>
      </c>
      <c r="CQ814">
        <f>IFERROR(INDEX(PP_Grid[#Data],$DE814,92),0)</f>
        <v/>
      </c>
      <c r="CR814">
        <f>IFERROR(INDEX(PP_Grid[#Data],$DE814,93),0)</f>
        <v/>
      </c>
      <c r="CS814">
        <f>IFERROR(INDEX(PP_Grid[#Data],$DE814,94),0)</f>
        <v/>
      </c>
      <c r="CT814">
        <f>IFERROR(INDEX(PP_Grid[#Data],$DE814,95),0)</f>
        <v/>
      </c>
      <c r="CU814">
        <f>IFERROR(INDEX(PP_Grid[#Data],$DE814,96),0)</f>
        <v/>
      </c>
      <c r="CV814">
        <f>IFERROR(INDEX(PP_Grid[#Data],$DE814,97),0)</f>
        <v/>
      </c>
      <c r="CW814">
        <f>IFERROR(INDEX(PP_Grid[#Data],$DE814,98),0)</f>
        <v/>
      </c>
      <c r="CX814">
        <f>IFERROR(INDEX(PP_Grid[#Data],$DE814,99),0)</f>
        <v/>
      </c>
      <c r="CY814">
        <f>IFERROR(INDEX(PP_Grid[#Data],$DE814,100),0)</f>
        <v/>
      </c>
      <c r="CZ814">
        <f>IFERROR(INDEX(PP_Grid[#Data],$DE814,101),0)</f>
        <v/>
      </c>
      <c r="DA814">
        <f>IFERROR(INDEX(PP_Grid[#Data],$DE814,102),0)</f>
        <v/>
      </c>
      <c r="DB814">
        <f>IFERROR(INDEX(PP_Grid[#Data],$DE814,103),0)</f>
        <v/>
      </c>
      <c r="DC814">
        <f>IFERROR(INDEX(PP_Grid[#Data],$DE814,104),0)</f>
        <v/>
      </c>
      <c r="DD814">
        <f>IFERROR(INDEX(PP_Grid[#Data],$DE814,105),0)</f>
        <v/>
      </c>
      <c r="DE814" s="7">
        <f>IFERROR(MATCH($B814,PP_Grid[Intermediate],0),99999)</f>
        <v/>
      </c>
    </row>
    <row r="815">
      <c r="B815" t="inlineStr">
        <is>
          <t>使用量(kg)</t>
        </is>
      </c>
      <c r="C815">
        <f>SUMIFS(M_BOM[RM_Qty_Per_Batch],M_BOM[Intermediate],$B814,M_BOM[RM_Code],$A811)</f>
        <v/>
      </c>
      <c r="D815">
        <f>IFERROR(INDEX(E815:DD815,$F$1),"")</f>
        <v/>
      </c>
      <c r="E815">
        <f>$C815*E814</f>
        <v/>
      </c>
      <c r="F815">
        <f>$C815*F814</f>
        <v/>
      </c>
      <c r="G815">
        <f>$C815*G814</f>
        <v/>
      </c>
      <c r="H815">
        <f>$C815*H814</f>
        <v/>
      </c>
      <c r="I815">
        <f>$C815*I814</f>
        <v/>
      </c>
      <c r="J815">
        <f>$C815*J814</f>
        <v/>
      </c>
      <c r="K815">
        <f>$C815*K814</f>
        <v/>
      </c>
      <c r="L815">
        <f>$C815*L814</f>
        <v/>
      </c>
      <c r="M815">
        <f>$C815*M814</f>
        <v/>
      </c>
      <c r="N815">
        <f>$C815*N814</f>
        <v/>
      </c>
      <c r="O815">
        <f>$C815*O814</f>
        <v/>
      </c>
      <c r="P815">
        <f>$C815*P814</f>
        <v/>
      </c>
      <c r="Q815">
        <f>$C815*Q814</f>
        <v/>
      </c>
      <c r="R815">
        <f>$C815*R814</f>
        <v/>
      </c>
      <c r="S815">
        <f>$C815*S814</f>
        <v/>
      </c>
      <c r="T815">
        <f>$C815*T814</f>
        <v/>
      </c>
      <c r="U815">
        <f>$C815*U814</f>
        <v/>
      </c>
      <c r="V815">
        <f>$C815*V814</f>
        <v/>
      </c>
      <c r="W815">
        <f>$C815*W814</f>
        <v/>
      </c>
      <c r="X815">
        <f>$C815*X814</f>
        <v/>
      </c>
      <c r="Y815">
        <f>$C815*Y814</f>
        <v/>
      </c>
      <c r="Z815">
        <f>$C815*Z814</f>
        <v/>
      </c>
      <c r="AA815">
        <f>$C815*AA814</f>
        <v/>
      </c>
      <c r="AB815">
        <f>$C815*AB814</f>
        <v/>
      </c>
      <c r="AC815">
        <f>$C815*AC814</f>
        <v/>
      </c>
      <c r="AD815">
        <f>$C815*AD814</f>
        <v/>
      </c>
      <c r="AE815">
        <f>$C815*AE814</f>
        <v/>
      </c>
      <c r="AF815">
        <f>$C815*AF814</f>
        <v/>
      </c>
      <c r="AG815">
        <f>$C815*AG814</f>
        <v/>
      </c>
      <c r="AH815">
        <f>$C815*AH814</f>
        <v/>
      </c>
      <c r="AI815">
        <f>$C815*AI814</f>
        <v/>
      </c>
      <c r="AJ815">
        <f>$C815*AJ814</f>
        <v/>
      </c>
      <c r="AK815">
        <f>$C815*AK814</f>
        <v/>
      </c>
      <c r="AL815">
        <f>$C815*AL814</f>
        <v/>
      </c>
      <c r="AM815">
        <f>$C815*AM814</f>
        <v/>
      </c>
      <c r="AN815">
        <f>$C815*AN814</f>
        <v/>
      </c>
      <c r="AO815">
        <f>$C815*AO814</f>
        <v/>
      </c>
      <c r="AP815">
        <f>$C815*AP814</f>
        <v/>
      </c>
      <c r="AQ815">
        <f>$C815*AQ814</f>
        <v/>
      </c>
      <c r="AR815">
        <f>$C815*AR814</f>
        <v/>
      </c>
      <c r="AS815">
        <f>$C815*AS814</f>
        <v/>
      </c>
      <c r="AT815">
        <f>$C815*AT814</f>
        <v/>
      </c>
      <c r="AU815">
        <f>$C815*AU814</f>
        <v/>
      </c>
      <c r="AV815">
        <f>$C815*AV814</f>
        <v/>
      </c>
      <c r="AW815">
        <f>$C815*AW814</f>
        <v/>
      </c>
      <c r="AX815">
        <f>$C815*AX814</f>
        <v/>
      </c>
      <c r="AY815">
        <f>$C815*AY814</f>
        <v/>
      </c>
      <c r="AZ815">
        <f>$C815*AZ814</f>
        <v/>
      </c>
      <c r="BA815">
        <f>$C815*BA814</f>
        <v/>
      </c>
      <c r="BB815">
        <f>$C815*BB814</f>
        <v/>
      </c>
      <c r="BC815">
        <f>$C815*BC814</f>
        <v/>
      </c>
      <c r="BD815">
        <f>$C815*BD814</f>
        <v/>
      </c>
      <c r="BE815">
        <f>$C815*BE814</f>
        <v/>
      </c>
      <c r="BF815">
        <f>$C815*BF814</f>
        <v/>
      </c>
      <c r="BG815">
        <f>$C815*BG814</f>
        <v/>
      </c>
      <c r="BH815">
        <f>$C815*BH814</f>
        <v/>
      </c>
      <c r="BI815">
        <f>$C815*BI814</f>
        <v/>
      </c>
      <c r="BJ815">
        <f>$C815*BJ814</f>
        <v/>
      </c>
      <c r="BK815">
        <f>$C815*BK814</f>
        <v/>
      </c>
      <c r="BL815">
        <f>$C815*BL814</f>
        <v/>
      </c>
      <c r="BM815">
        <f>$C815*BM814</f>
        <v/>
      </c>
      <c r="BN815">
        <f>$C815*BN814</f>
        <v/>
      </c>
      <c r="BO815">
        <f>$C815*BO814</f>
        <v/>
      </c>
      <c r="BP815">
        <f>$C815*BP814</f>
        <v/>
      </c>
      <c r="BQ815">
        <f>$C815*BQ814</f>
        <v/>
      </c>
      <c r="BR815">
        <f>$C815*BR814</f>
        <v/>
      </c>
      <c r="BS815">
        <f>$C815*BS814</f>
        <v/>
      </c>
      <c r="BT815">
        <f>$C815*BT814</f>
        <v/>
      </c>
      <c r="BU815">
        <f>$C815*BU814</f>
        <v/>
      </c>
      <c r="BV815">
        <f>$C815*BV814</f>
        <v/>
      </c>
      <c r="BW815">
        <f>$C815*BW814</f>
        <v/>
      </c>
      <c r="BX815">
        <f>$C815*BX814</f>
        <v/>
      </c>
      <c r="BY815">
        <f>$C815*BY814</f>
        <v/>
      </c>
      <c r="BZ815">
        <f>$C815*BZ814</f>
        <v/>
      </c>
      <c r="CA815">
        <f>$C815*CA814</f>
        <v/>
      </c>
      <c r="CB815">
        <f>$C815*CB814</f>
        <v/>
      </c>
      <c r="CC815">
        <f>$C815*CC814</f>
        <v/>
      </c>
      <c r="CD815">
        <f>$C815*CD814</f>
        <v/>
      </c>
      <c r="CE815">
        <f>$C815*CE814</f>
        <v/>
      </c>
      <c r="CF815">
        <f>$C815*CF814</f>
        <v/>
      </c>
      <c r="CG815">
        <f>$C815*CG814</f>
        <v/>
      </c>
      <c r="CH815">
        <f>$C815*CH814</f>
        <v/>
      </c>
      <c r="CI815">
        <f>$C815*CI814</f>
        <v/>
      </c>
      <c r="CJ815">
        <f>$C815*CJ814</f>
        <v/>
      </c>
      <c r="CK815">
        <f>$C815*CK814</f>
        <v/>
      </c>
      <c r="CL815">
        <f>$C815*CL814</f>
        <v/>
      </c>
      <c r="CM815">
        <f>$C815*CM814</f>
        <v/>
      </c>
      <c r="CN815">
        <f>$C815*CN814</f>
        <v/>
      </c>
      <c r="CO815">
        <f>$C815*CO814</f>
        <v/>
      </c>
      <c r="CP815">
        <f>$C815*CP814</f>
        <v/>
      </c>
      <c r="CQ815">
        <f>$C815*CQ814</f>
        <v/>
      </c>
      <c r="CR815">
        <f>$C815*CR814</f>
        <v/>
      </c>
      <c r="CS815">
        <f>$C815*CS814</f>
        <v/>
      </c>
      <c r="CT815">
        <f>$C815*CT814</f>
        <v/>
      </c>
      <c r="CU815">
        <f>$C815*CU814</f>
        <v/>
      </c>
      <c r="CV815">
        <f>$C815*CV814</f>
        <v/>
      </c>
      <c r="CW815">
        <f>$C815*CW814</f>
        <v/>
      </c>
      <c r="CX815">
        <f>$C815*CX814</f>
        <v/>
      </c>
      <c r="CY815">
        <f>$C815*CY814</f>
        <v/>
      </c>
      <c r="CZ815">
        <f>$C815*CZ814</f>
        <v/>
      </c>
      <c r="DA815">
        <f>$C815*DA814</f>
        <v/>
      </c>
      <c r="DB815">
        <f>$C815*DB814</f>
        <v/>
      </c>
      <c r="DC815">
        <f>$C815*DC814</f>
        <v/>
      </c>
      <c r="DD815">
        <f>$C815*DD814</f>
        <v/>
      </c>
    </row>
    <row r="816">
      <c r="B816" t="inlineStr">
        <is>
          <t>TSP-558</t>
        </is>
      </c>
      <c r="C816" t="inlineStr">
        <is>
          <t>No. of batches</t>
        </is>
      </c>
      <c r="D816">
        <f>IFERROR(INDEX(E816:DD816,$F$1),"")</f>
        <v/>
      </c>
      <c r="E816">
        <f>IFERROR(INDEX(PP_Grid[#Data],$DE816,2),0)</f>
        <v/>
      </c>
      <c r="F816">
        <f>IFERROR(INDEX(PP_Grid[#Data],$DE816,3),0)</f>
        <v/>
      </c>
      <c r="G816">
        <f>IFERROR(INDEX(PP_Grid[#Data],$DE816,4),0)</f>
        <v/>
      </c>
      <c r="H816">
        <f>IFERROR(INDEX(PP_Grid[#Data],$DE816,5),0)</f>
        <v/>
      </c>
      <c r="I816">
        <f>IFERROR(INDEX(PP_Grid[#Data],$DE816,6),0)</f>
        <v/>
      </c>
      <c r="J816">
        <f>IFERROR(INDEX(PP_Grid[#Data],$DE816,7),0)</f>
        <v/>
      </c>
      <c r="K816">
        <f>IFERROR(INDEX(PP_Grid[#Data],$DE816,8),0)</f>
        <v/>
      </c>
      <c r="L816">
        <f>IFERROR(INDEX(PP_Grid[#Data],$DE816,9),0)</f>
        <v/>
      </c>
      <c r="M816">
        <f>IFERROR(INDEX(PP_Grid[#Data],$DE816,10),0)</f>
        <v/>
      </c>
      <c r="N816">
        <f>IFERROR(INDEX(PP_Grid[#Data],$DE816,11),0)</f>
        <v/>
      </c>
      <c r="O816">
        <f>IFERROR(INDEX(PP_Grid[#Data],$DE816,12),0)</f>
        <v/>
      </c>
      <c r="P816">
        <f>IFERROR(INDEX(PP_Grid[#Data],$DE816,13),0)</f>
        <v/>
      </c>
      <c r="Q816">
        <f>IFERROR(INDEX(PP_Grid[#Data],$DE816,14),0)</f>
        <v/>
      </c>
      <c r="R816">
        <f>IFERROR(INDEX(PP_Grid[#Data],$DE816,15),0)</f>
        <v/>
      </c>
      <c r="S816">
        <f>IFERROR(INDEX(PP_Grid[#Data],$DE816,16),0)</f>
        <v/>
      </c>
      <c r="T816">
        <f>IFERROR(INDEX(PP_Grid[#Data],$DE816,17),0)</f>
        <v/>
      </c>
      <c r="U816">
        <f>IFERROR(INDEX(PP_Grid[#Data],$DE816,18),0)</f>
        <v/>
      </c>
      <c r="V816">
        <f>IFERROR(INDEX(PP_Grid[#Data],$DE816,19),0)</f>
        <v/>
      </c>
      <c r="W816">
        <f>IFERROR(INDEX(PP_Grid[#Data],$DE816,20),0)</f>
        <v/>
      </c>
      <c r="X816">
        <f>IFERROR(INDEX(PP_Grid[#Data],$DE816,21),0)</f>
        <v/>
      </c>
      <c r="Y816">
        <f>IFERROR(INDEX(PP_Grid[#Data],$DE816,22),0)</f>
        <v/>
      </c>
      <c r="Z816">
        <f>IFERROR(INDEX(PP_Grid[#Data],$DE816,23),0)</f>
        <v/>
      </c>
      <c r="AA816">
        <f>IFERROR(INDEX(PP_Grid[#Data],$DE816,24),0)</f>
        <v/>
      </c>
      <c r="AB816">
        <f>IFERROR(INDEX(PP_Grid[#Data],$DE816,25),0)</f>
        <v/>
      </c>
      <c r="AC816">
        <f>IFERROR(INDEX(PP_Grid[#Data],$DE816,26),0)</f>
        <v/>
      </c>
      <c r="AD816">
        <f>IFERROR(INDEX(PP_Grid[#Data],$DE816,27),0)</f>
        <v/>
      </c>
      <c r="AE816">
        <f>IFERROR(INDEX(PP_Grid[#Data],$DE816,28),0)</f>
        <v/>
      </c>
      <c r="AF816">
        <f>IFERROR(INDEX(PP_Grid[#Data],$DE816,29),0)</f>
        <v/>
      </c>
      <c r="AG816">
        <f>IFERROR(INDEX(PP_Grid[#Data],$DE816,30),0)</f>
        <v/>
      </c>
      <c r="AH816">
        <f>IFERROR(INDEX(PP_Grid[#Data],$DE816,31),0)</f>
        <v/>
      </c>
      <c r="AI816">
        <f>IFERROR(INDEX(PP_Grid[#Data],$DE816,32),0)</f>
        <v/>
      </c>
      <c r="AJ816">
        <f>IFERROR(INDEX(PP_Grid[#Data],$DE816,33),0)</f>
        <v/>
      </c>
      <c r="AK816">
        <f>IFERROR(INDEX(PP_Grid[#Data],$DE816,34),0)</f>
        <v/>
      </c>
      <c r="AL816">
        <f>IFERROR(INDEX(PP_Grid[#Data],$DE816,35),0)</f>
        <v/>
      </c>
      <c r="AM816">
        <f>IFERROR(INDEX(PP_Grid[#Data],$DE816,36),0)</f>
        <v/>
      </c>
      <c r="AN816">
        <f>IFERROR(INDEX(PP_Grid[#Data],$DE816,37),0)</f>
        <v/>
      </c>
      <c r="AO816">
        <f>IFERROR(INDEX(PP_Grid[#Data],$DE816,38),0)</f>
        <v/>
      </c>
      <c r="AP816">
        <f>IFERROR(INDEX(PP_Grid[#Data],$DE816,39),0)</f>
        <v/>
      </c>
      <c r="AQ816">
        <f>IFERROR(INDEX(PP_Grid[#Data],$DE816,40),0)</f>
        <v/>
      </c>
      <c r="AR816">
        <f>IFERROR(INDEX(PP_Grid[#Data],$DE816,41),0)</f>
        <v/>
      </c>
      <c r="AS816">
        <f>IFERROR(INDEX(PP_Grid[#Data],$DE816,42),0)</f>
        <v/>
      </c>
      <c r="AT816">
        <f>IFERROR(INDEX(PP_Grid[#Data],$DE816,43),0)</f>
        <v/>
      </c>
      <c r="AU816">
        <f>IFERROR(INDEX(PP_Grid[#Data],$DE816,44),0)</f>
        <v/>
      </c>
      <c r="AV816">
        <f>IFERROR(INDEX(PP_Grid[#Data],$DE816,45),0)</f>
        <v/>
      </c>
      <c r="AW816">
        <f>IFERROR(INDEX(PP_Grid[#Data],$DE816,46),0)</f>
        <v/>
      </c>
      <c r="AX816">
        <f>IFERROR(INDEX(PP_Grid[#Data],$DE816,47),0)</f>
        <v/>
      </c>
      <c r="AY816">
        <f>IFERROR(INDEX(PP_Grid[#Data],$DE816,48),0)</f>
        <v/>
      </c>
      <c r="AZ816">
        <f>IFERROR(INDEX(PP_Grid[#Data],$DE816,49),0)</f>
        <v/>
      </c>
      <c r="BA816">
        <f>IFERROR(INDEX(PP_Grid[#Data],$DE816,50),0)</f>
        <v/>
      </c>
      <c r="BB816">
        <f>IFERROR(INDEX(PP_Grid[#Data],$DE816,51),0)</f>
        <v/>
      </c>
      <c r="BC816">
        <f>IFERROR(INDEX(PP_Grid[#Data],$DE816,52),0)</f>
        <v/>
      </c>
      <c r="BD816">
        <f>IFERROR(INDEX(PP_Grid[#Data],$DE816,53),0)</f>
        <v/>
      </c>
      <c r="BE816">
        <f>IFERROR(INDEX(PP_Grid[#Data],$DE816,54),0)</f>
        <v/>
      </c>
      <c r="BF816">
        <f>IFERROR(INDEX(PP_Grid[#Data],$DE816,55),0)</f>
        <v/>
      </c>
      <c r="BG816">
        <f>IFERROR(INDEX(PP_Grid[#Data],$DE816,56),0)</f>
        <v/>
      </c>
      <c r="BH816">
        <f>IFERROR(INDEX(PP_Grid[#Data],$DE816,57),0)</f>
        <v/>
      </c>
      <c r="BI816">
        <f>IFERROR(INDEX(PP_Grid[#Data],$DE816,58),0)</f>
        <v/>
      </c>
      <c r="BJ816">
        <f>IFERROR(INDEX(PP_Grid[#Data],$DE816,59),0)</f>
        <v/>
      </c>
      <c r="BK816">
        <f>IFERROR(INDEX(PP_Grid[#Data],$DE816,60),0)</f>
        <v/>
      </c>
      <c r="BL816">
        <f>IFERROR(INDEX(PP_Grid[#Data],$DE816,61),0)</f>
        <v/>
      </c>
      <c r="BM816">
        <f>IFERROR(INDEX(PP_Grid[#Data],$DE816,62),0)</f>
        <v/>
      </c>
      <c r="BN816">
        <f>IFERROR(INDEX(PP_Grid[#Data],$DE816,63),0)</f>
        <v/>
      </c>
      <c r="BO816">
        <f>IFERROR(INDEX(PP_Grid[#Data],$DE816,64),0)</f>
        <v/>
      </c>
      <c r="BP816">
        <f>IFERROR(INDEX(PP_Grid[#Data],$DE816,65),0)</f>
        <v/>
      </c>
      <c r="BQ816">
        <f>IFERROR(INDEX(PP_Grid[#Data],$DE816,66),0)</f>
        <v/>
      </c>
      <c r="BR816">
        <f>IFERROR(INDEX(PP_Grid[#Data],$DE816,67),0)</f>
        <v/>
      </c>
      <c r="BS816">
        <f>IFERROR(INDEX(PP_Grid[#Data],$DE816,68),0)</f>
        <v/>
      </c>
      <c r="BT816">
        <f>IFERROR(INDEX(PP_Grid[#Data],$DE816,69),0)</f>
        <v/>
      </c>
      <c r="BU816">
        <f>IFERROR(INDEX(PP_Grid[#Data],$DE816,70),0)</f>
        <v/>
      </c>
      <c r="BV816">
        <f>IFERROR(INDEX(PP_Grid[#Data],$DE816,71),0)</f>
        <v/>
      </c>
      <c r="BW816">
        <f>IFERROR(INDEX(PP_Grid[#Data],$DE816,72),0)</f>
        <v/>
      </c>
      <c r="BX816">
        <f>IFERROR(INDEX(PP_Grid[#Data],$DE816,73),0)</f>
        <v/>
      </c>
      <c r="BY816">
        <f>IFERROR(INDEX(PP_Grid[#Data],$DE816,74),0)</f>
        <v/>
      </c>
      <c r="BZ816">
        <f>IFERROR(INDEX(PP_Grid[#Data],$DE816,75),0)</f>
        <v/>
      </c>
      <c r="CA816">
        <f>IFERROR(INDEX(PP_Grid[#Data],$DE816,76),0)</f>
        <v/>
      </c>
      <c r="CB816">
        <f>IFERROR(INDEX(PP_Grid[#Data],$DE816,77),0)</f>
        <v/>
      </c>
      <c r="CC816">
        <f>IFERROR(INDEX(PP_Grid[#Data],$DE816,78),0)</f>
        <v/>
      </c>
      <c r="CD816">
        <f>IFERROR(INDEX(PP_Grid[#Data],$DE816,79),0)</f>
        <v/>
      </c>
      <c r="CE816">
        <f>IFERROR(INDEX(PP_Grid[#Data],$DE816,80),0)</f>
        <v/>
      </c>
      <c r="CF816">
        <f>IFERROR(INDEX(PP_Grid[#Data],$DE816,81),0)</f>
        <v/>
      </c>
      <c r="CG816">
        <f>IFERROR(INDEX(PP_Grid[#Data],$DE816,82),0)</f>
        <v/>
      </c>
      <c r="CH816">
        <f>IFERROR(INDEX(PP_Grid[#Data],$DE816,83),0)</f>
        <v/>
      </c>
      <c r="CI816">
        <f>IFERROR(INDEX(PP_Grid[#Data],$DE816,84),0)</f>
        <v/>
      </c>
      <c r="CJ816">
        <f>IFERROR(INDEX(PP_Grid[#Data],$DE816,85),0)</f>
        <v/>
      </c>
      <c r="CK816">
        <f>IFERROR(INDEX(PP_Grid[#Data],$DE816,86),0)</f>
        <v/>
      </c>
      <c r="CL816">
        <f>IFERROR(INDEX(PP_Grid[#Data],$DE816,87),0)</f>
        <v/>
      </c>
      <c r="CM816">
        <f>IFERROR(INDEX(PP_Grid[#Data],$DE816,88),0)</f>
        <v/>
      </c>
      <c r="CN816">
        <f>IFERROR(INDEX(PP_Grid[#Data],$DE816,89),0)</f>
        <v/>
      </c>
      <c r="CO816">
        <f>IFERROR(INDEX(PP_Grid[#Data],$DE816,90),0)</f>
        <v/>
      </c>
      <c r="CP816">
        <f>IFERROR(INDEX(PP_Grid[#Data],$DE816,91),0)</f>
        <v/>
      </c>
      <c r="CQ816">
        <f>IFERROR(INDEX(PP_Grid[#Data],$DE816,92),0)</f>
        <v/>
      </c>
      <c r="CR816">
        <f>IFERROR(INDEX(PP_Grid[#Data],$DE816,93),0)</f>
        <v/>
      </c>
      <c r="CS816">
        <f>IFERROR(INDEX(PP_Grid[#Data],$DE816,94),0)</f>
        <v/>
      </c>
      <c r="CT816">
        <f>IFERROR(INDEX(PP_Grid[#Data],$DE816,95),0)</f>
        <v/>
      </c>
      <c r="CU816">
        <f>IFERROR(INDEX(PP_Grid[#Data],$DE816,96),0)</f>
        <v/>
      </c>
      <c r="CV816">
        <f>IFERROR(INDEX(PP_Grid[#Data],$DE816,97),0)</f>
        <v/>
      </c>
      <c r="CW816">
        <f>IFERROR(INDEX(PP_Grid[#Data],$DE816,98),0)</f>
        <v/>
      </c>
      <c r="CX816">
        <f>IFERROR(INDEX(PP_Grid[#Data],$DE816,99),0)</f>
        <v/>
      </c>
      <c r="CY816">
        <f>IFERROR(INDEX(PP_Grid[#Data],$DE816,100),0)</f>
        <v/>
      </c>
      <c r="CZ816">
        <f>IFERROR(INDEX(PP_Grid[#Data],$DE816,101),0)</f>
        <v/>
      </c>
      <c r="DA816">
        <f>IFERROR(INDEX(PP_Grid[#Data],$DE816,102),0)</f>
        <v/>
      </c>
      <c r="DB816">
        <f>IFERROR(INDEX(PP_Grid[#Data],$DE816,103),0)</f>
        <v/>
      </c>
      <c r="DC816">
        <f>IFERROR(INDEX(PP_Grid[#Data],$DE816,104),0)</f>
        <v/>
      </c>
      <c r="DD816">
        <f>IFERROR(INDEX(PP_Grid[#Data],$DE816,105),0)</f>
        <v/>
      </c>
      <c r="DE816" s="7">
        <f>IFERROR(MATCH($B816,PP_Grid[Intermediate],0),99999)</f>
        <v/>
      </c>
    </row>
    <row r="817">
      <c r="B817" t="inlineStr">
        <is>
          <t>使用量(kg)</t>
        </is>
      </c>
      <c r="C817">
        <f>SUMIFS(M_BOM[RM_Qty_Per_Batch],M_BOM[Intermediate],$B816,M_BOM[RM_Code],$A811)</f>
        <v/>
      </c>
      <c r="D817">
        <f>IFERROR(INDEX(E817:DD817,$F$1),"")</f>
        <v/>
      </c>
      <c r="E817">
        <f>$C817*E816</f>
        <v/>
      </c>
      <c r="F817">
        <f>$C817*F816</f>
        <v/>
      </c>
      <c r="G817">
        <f>$C817*G816</f>
        <v/>
      </c>
      <c r="H817">
        <f>$C817*H816</f>
        <v/>
      </c>
      <c r="I817">
        <f>$C817*I816</f>
        <v/>
      </c>
      <c r="J817">
        <f>$C817*J816</f>
        <v/>
      </c>
      <c r="K817">
        <f>$C817*K816</f>
        <v/>
      </c>
      <c r="L817">
        <f>$C817*L816</f>
        <v/>
      </c>
      <c r="M817">
        <f>$C817*M816</f>
        <v/>
      </c>
      <c r="N817">
        <f>$C817*N816</f>
        <v/>
      </c>
      <c r="O817">
        <f>$C817*O816</f>
        <v/>
      </c>
      <c r="P817">
        <f>$C817*P816</f>
        <v/>
      </c>
      <c r="Q817">
        <f>$C817*Q816</f>
        <v/>
      </c>
      <c r="R817">
        <f>$C817*R816</f>
        <v/>
      </c>
      <c r="S817">
        <f>$C817*S816</f>
        <v/>
      </c>
      <c r="T817">
        <f>$C817*T816</f>
        <v/>
      </c>
      <c r="U817">
        <f>$C817*U816</f>
        <v/>
      </c>
      <c r="V817">
        <f>$C817*V816</f>
        <v/>
      </c>
      <c r="W817">
        <f>$C817*W816</f>
        <v/>
      </c>
      <c r="X817">
        <f>$C817*X816</f>
        <v/>
      </c>
      <c r="Y817">
        <f>$C817*Y816</f>
        <v/>
      </c>
      <c r="Z817">
        <f>$C817*Z816</f>
        <v/>
      </c>
      <c r="AA817">
        <f>$C817*AA816</f>
        <v/>
      </c>
      <c r="AB817">
        <f>$C817*AB816</f>
        <v/>
      </c>
      <c r="AC817">
        <f>$C817*AC816</f>
        <v/>
      </c>
      <c r="AD817">
        <f>$C817*AD816</f>
        <v/>
      </c>
      <c r="AE817">
        <f>$C817*AE816</f>
        <v/>
      </c>
      <c r="AF817">
        <f>$C817*AF816</f>
        <v/>
      </c>
      <c r="AG817">
        <f>$C817*AG816</f>
        <v/>
      </c>
      <c r="AH817">
        <f>$C817*AH816</f>
        <v/>
      </c>
      <c r="AI817">
        <f>$C817*AI816</f>
        <v/>
      </c>
      <c r="AJ817">
        <f>$C817*AJ816</f>
        <v/>
      </c>
      <c r="AK817">
        <f>$C817*AK816</f>
        <v/>
      </c>
      <c r="AL817">
        <f>$C817*AL816</f>
        <v/>
      </c>
      <c r="AM817">
        <f>$C817*AM816</f>
        <v/>
      </c>
      <c r="AN817">
        <f>$C817*AN816</f>
        <v/>
      </c>
      <c r="AO817">
        <f>$C817*AO816</f>
        <v/>
      </c>
      <c r="AP817">
        <f>$C817*AP816</f>
        <v/>
      </c>
      <c r="AQ817">
        <f>$C817*AQ816</f>
        <v/>
      </c>
      <c r="AR817">
        <f>$C817*AR816</f>
        <v/>
      </c>
      <c r="AS817">
        <f>$C817*AS816</f>
        <v/>
      </c>
      <c r="AT817">
        <f>$C817*AT816</f>
        <v/>
      </c>
      <c r="AU817">
        <f>$C817*AU816</f>
        <v/>
      </c>
      <c r="AV817">
        <f>$C817*AV816</f>
        <v/>
      </c>
      <c r="AW817">
        <f>$C817*AW816</f>
        <v/>
      </c>
      <c r="AX817">
        <f>$C817*AX816</f>
        <v/>
      </c>
      <c r="AY817">
        <f>$C817*AY816</f>
        <v/>
      </c>
      <c r="AZ817">
        <f>$C817*AZ816</f>
        <v/>
      </c>
      <c r="BA817">
        <f>$C817*BA816</f>
        <v/>
      </c>
      <c r="BB817">
        <f>$C817*BB816</f>
        <v/>
      </c>
      <c r="BC817">
        <f>$C817*BC816</f>
        <v/>
      </c>
      <c r="BD817">
        <f>$C817*BD816</f>
        <v/>
      </c>
      <c r="BE817">
        <f>$C817*BE816</f>
        <v/>
      </c>
      <c r="BF817">
        <f>$C817*BF816</f>
        <v/>
      </c>
      <c r="BG817">
        <f>$C817*BG816</f>
        <v/>
      </c>
      <c r="BH817">
        <f>$C817*BH816</f>
        <v/>
      </c>
      <c r="BI817">
        <f>$C817*BI816</f>
        <v/>
      </c>
      <c r="BJ817">
        <f>$C817*BJ816</f>
        <v/>
      </c>
      <c r="BK817">
        <f>$C817*BK816</f>
        <v/>
      </c>
      <c r="BL817">
        <f>$C817*BL816</f>
        <v/>
      </c>
      <c r="BM817">
        <f>$C817*BM816</f>
        <v/>
      </c>
      <c r="BN817">
        <f>$C817*BN816</f>
        <v/>
      </c>
      <c r="BO817">
        <f>$C817*BO816</f>
        <v/>
      </c>
      <c r="BP817">
        <f>$C817*BP816</f>
        <v/>
      </c>
      <c r="BQ817">
        <f>$C817*BQ816</f>
        <v/>
      </c>
      <c r="BR817">
        <f>$C817*BR816</f>
        <v/>
      </c>
      <c r="BS817">
        <f>$C817*BS816</f>
        <v/>
      </c>
      <c r="BT817">
        <f>$C817*BT816</f>
        <v/>
      </c>
      <c r="BU817">
        <f>$C817*BU816</f>
        <v/>
      </c>
      <c r="BV817">
        <f>$C817*BV816</f>
        <v/>
      </c>
      <c r="BW817">
        <f>$C817*BW816</f>
        <v/>
      </c>
      <c r="BX817">
        <f>$C817*BX816</f>
        <v/>
      </c>
      <c r="BY817">
        <f>$C817*BY816</f>
        <v/>
      </c>
      <c r="BZ817">
        <f>$C817*BZ816</f>
        <v/>
      </c>
      <c r="CA817">
        <f>$C817*CA816</f>
        <v/>
      </c>
      <c r="CB817">
        <f>$C817*CB816</f>
        <v/>
      </c>
      <c r="CC817">
        <f>$C817*CC816</f>
        <v/>
      </c>
      <c r="CD817">
        <f>$C817*CD816</f>
        <v/>
      </c>
      <c r="CE817">
        <f>$C817*CE816</f>
        <v/>
      </c>
      <c r="CF817">
        <f>$C817*CF816</f>
        <v/>
      </c>
      <c r="CG817">
        <f>$C817*CG816</f>
        <v/>
      </c>
      <c r="CH817">
        <f>$C817*CH816</f>
        <v/>
      </c>
      <c r="CI817">
        <f>$C817*CI816</f>
        <v/>
      </c>
      <c r="CJ817">
        <f>$C817*CJ816</f>
        <v/>
      </c>
      <c r="CK817">
        <f>$C817*CK816</f>
        <v/>
      </c>
      <c r="CL817">
        <f>$C817*CL816</f>
        <v/>
      </c>
      <c r="CM817">
        <f>$C817*CM816</f>
        <v/>
      </c>
      <c r="CN817">
        <f>$C817*CN816</f>
        <v/>
      </c>
      <c r="CO817">
        <f>$C817*CO816</f>
        <v/>
      </c>
      <c r="CP817">
        <f>$C817*CP816</f>
        <v/>
      </c>
      <c r="CQ817">
        <f>$C817*CQ816</f>
        <v/>
      </c>
      <c r="CR817">
        <f>$C817*CR816</f>
        <v/>
      </c>
      <c r="CS817">
        <f>$C817*CS816</f>
        <v/>
      </c>
      <c r="CT817">
        <f>$C817*CT816</f>
        <v/>
      </c>
      <c r="CU817">
        <f>$C817*CU816</f>
        <v/>
      </c>
      <c r="CV817">
        <f>$C817*CV816</f>
        <v/>
      </c>
      <c r="CW817">
        <f>$C817*CW816</f>
        <v/>
      </c>
      <c r="CX817">
        <f>$C817*CX816</f>
        <v/>
      </c>
      <c r="CY817">
        <f>$C817*CY816</f>
        <v/>
      </c>
      <c r="CZ817">
        <f>$C817*CZ816</f>
        <v/>
      </c>
      <c r="DA817">
        <f>$C817*DA816</f>
        <v/>
      </c>
      <c r="DB817">
        <f>$C817*DB816</f>
        <v/>
      </c>
      <c r="DC817">
        <f>$C817*DC816</f>
        <v/>
      </c>
      <c r="DD817">
        <f>$C817*DD816</f>
        <v/>
      </c>
    </row>
    <row r="818">
      <c r="B818" s="4" t="inlineStr">
        <is>
          <t>合計使用量(kg)/週</t>
        </is>
      </c>
      <c r="D818" s="22">
        <f>IFERROR(INDEX(E818:DD818,$F$1),"")</f>
        <v/>
      </c>
      <c r="E818">
        <f>'Grid_Requirement'!B48</f>
        <v/>
      </c>
      <c r="F818">
        <f>'Grid_Requirement'!C48</f>
        <v/>
      </c>
      <c r="G818">
        <f>'Grid_Requirement'!D48</f>
        <v/>
      </c>
      <c r="H818">
        <f>'Grid_Requirement'!E48</f>
        <v/>
      </c>
      <c r="I818">
        <f>'Grid_Requirement'!F48</f>
        <v/>
      </c>
      <c r="J818">
        <f>'Grid_Requirement'!G48</f>
        <v/>
      </c>
      <c r="K818">
        <f>'Grid_Requirement'!H48</f>
        <v/>
      </c>
      <c r="L818">
        <f>'Grid_Requirement'!I48</f>
        <v/>
      </c>
      <c r="M818">
        <f>'Grid_Requirement'!J48</f>
        <v/>
      </c>
      <c r="N818">
        <f>'Grid_Requirement'!K48</f>
        <v/>
      </c>
      <c r="O818">
        <f>'Grid_Requirement'!L48</f>
        <v/>
      </c>
      <c r="P818">
        <f>'Grid_Requirement'!M48</f>
        <v/>
      </c>
      <c r="Q818">
        <f>'Grid_Requirement'!N48</f>
        <v/>
      </c>
      <c r="R818">
        <f>'Grid_Requirement'!O48</f>
        <v/>
      </c>
      <c r="S818">
        <f>'Grid_Requirement'!P48</f>
        <v/>
      </c>
      <c r="T818">
        <f>'Grid_Requirement'!Q48</f>
        <v/>
      </c>
      <c r="U818">
        <f>'Grid_Requirement'!R48</f>
        <v/>
      </c>
      <c r="V818">
        <f>'Grid_Requirement'!S48</f>
        <v/>
      </c>
      <c r="W818">
        <f>'Grid_Requirement'!T48</f>
        <v/>
      </c>
      <c r="X818">
        <f>'Grid_Requirement'!U48</f>
        <v/>
      </c>
      <c r="Y818">
        <f>'Grid_Requirement'!V48</f>
        <v/>
      </c>
      <c r="Z818">
        <f>'Grid_Requirement'!W48</f>
        <v/>
      </c>
      <c r="AA818">
        <f>'Grid_Requirement'!X48</f>
        <v/>
      </c>
      <c r="AB818">
        <f>'Grid_Requirement'!Y48</f>
        <v/>
      </c>
      <c r="AC818">
        <f>'Grid_Requirement'!Z48</f>
        <v/>
      </c>
      <c r="AD818">
        <f>'Grid_Requirement'!AA48</f>
        <v/>
      </c>
      <c r="AE818">
        <f>'Grid_Requirement'!AB48</f>
        <v/>
      </c>
      <c r="AF818">
        <f>'Grid_Requirement'!AC48</f>
        <v/>
      </c>
      <c r="AG818">
        <f>'Grid_Requirement'!AD48</f>
        <v/>
      </c>
      <c r="AH818">
        <f>'Grid_Requirement'!AE48</f>
        <v/>
      </c>
      <c r="AI818">
        <f>'Grid_Requirement'!AF48</f>
        <v/>
      </c>
      <c r="AJ818">
        <f>'Grid_Requirement'!AG48</f>
        <v/>
      </c>
      <c r="AK818">
        <f>'Grid_Requirement'!AH48</f>
        <v/>
      </c>
      <c r="AL818">
        <f>'Grid_Requirement'!AI48</f>
        <v/>
      </c>
      <c r="AM818">
        <f>'Grid_Requirement'!AJ48</f>
        <v/>
      </c>
      <c r="AN818">
        <f>'Grid_Requirement'!AK48</f>
        <v/>
      </c>
      <c r="AO818">
        <f>'Grid_Requirement'!AL48</f>
        <v/>
      </c>
      <c r="AP818">
        <f>'Grid_Requirement'!AM48</f>
        <v/>
      </c>
      <c r="AQ818">
        <f>'Grid_Requirement'!AN48</f>
        <v/>
      </c>
      <c r="AR818">
        <f>'Grid_Requirement'!AO48</f>
        <v/>
      </c>
      <c r="AS818">
        <f>'Grid_Requirement'!AP48</f>
        <v/>
      </c>
      <c r="AT818">
        <f>'Grid_Requirement'!AQ48</f>
        <v/>
      </c>
      <c r="AU818">
        <f>'Grid_Requirement'!AR48</f>
        <v/>
      </c>
      <c r="AV818">
        <f>'Grid_Requirement'!AS48</f>
        <v/>
      </c>
      <c r="AW818">
        <f>'Grid_Requirement'!AT48</f>
        <v/>
      </c>
      <c r="AX818">
        <f>'Grid_Requirement'!AU48</f>
        <v/>
      </c>
      <c r="AY818">
        <f>'Grid_Requirement'!AV48</f>
        <v/>
      </c>
      <c r="AZ818">
        <f>'Grid_Requirement'!AW48</f>
        <v/>
      </c>
      <c r="BA818">
        <f>'Grid_Requirement'!AX48</f>
        <v/>
      </c>
      <c r="BB818">
        <f>'Grid_Requirement'!AY48</f>
        <v/>
      </c>
      <c r="BC818">
        <f>'Grid_Requirement'!AZ48</f>
        <v/>
      </c>
      <c r="BD818">
        <f>'Grid_Requirement'!BA48</f>
        <v/>
      </c>
      <c r="BE818">
        <f>'Grid_Requirement'!BB48</f>
        <v/>
      </c>
      <c r="BF818">
        <f>'Grid_Requirement'!BC48</f>
        <v/>
      </c>
      <c r="BG818">
        <f>'Grid_Requirement'!BD48</f>
        <v/>
      </c>
      <c r="BH818">
        <f>'Grid_Requirement'!BE48</f>
        <v/>
      </c>
      <c r="BI818">
        <f>'Grid_Requirement'!BF48</f>
        <v/>
      </c>
      <c r="BJ818">
        <f>'Grid_Requirement'!BG48</f>
        <v/>
      </c>
      <c r="BK818">
        <f>'Grid_Requirement'!BH48</f>
        <v/>
      </c>
      <c r="BL818">
        <f>'Grid_Requirement'!BI48</f>
        <v/>
      </c>
      <c r="BM818">
        <f>'Grid_Requirement'!BJ48</f>
        <v/>
      </c>
      <c r="BN818">
        <f>'Grid_Requirement'!BK48</f>
        <v/>
      </c>
      <c r="BO818">
        <f>'Grid_Requirement'!BL48</f>
        <v/>
      </c>
      <c r="BP818">
        <f>'Grid_Requirement'!BM48</f>
        <v/>
      </c>
      <c r="BQ818">
        <f>'Grid_Requirement'!BN48</f>
        <v/>
      </c>
      <c r="BR818">
        <f>'Grid_Requirement'!BO48</f>
        <v/>
      </c>
      <c r="BS818">
        <f>'Grid_Requirement'!BP48</f>
        <v/>
      </c>
      <c r="BT818">
        <f>'Grid_Requirement'!BQ48</f>
        <v/>
      </c>
      <c r="BU818">
        <f>'Grid_Requirement'!BR48</f>
        <v/>
      </c>
      <c r="BV818">
        <f>'Grid_Requirement'!BS48</f>
        <v/>
      </c>
      <c r="BW818">
        <f>'Grid_Requirement'!BT48</f>
        <v/>
      </c>
      <c r="BX818">
        <f>'Grid_Requirement'!BU48</f>
        <v/>
      </c>
      <c r="BY818">
        <f>'Grid_Requirement'!BV48</f>
        <v/>
      </c>
      <c r="BZ818">
        <f>'Grid_Requirement'!BW48</f>
        <v/>
      </c>
      <c r="CA818">
        <f>'Grid_Requirement'!BX48</f>
        <v/>
      </c>
      <c r="CB818">
        <f>'Grid_Requirement'!BY48</f>
        <v/>
      </c>
      <c r="CC818">
        <f>'Grid_Requirement'!BZ48</f>
        <v/>
      </c>
      <c r="CD818">
        <f>'Grid_Requirement'!CA48</f>
        <v/>
      </c>
      <c r="CE818">
        <f>'Grid_Requirement'!CB48</f>
        <v/>
      </c>
      <c r="CF818">
        <f>'Grid_Requirement'!CC48</f>
        <v/>
      </c>
      <c r="CG818">
        <f>'Grid_Requirement'!CD48</f>
        <v/>
      </c>
      <c r="CH818">
        <f>'Grid_Requirement'!CE48</f>
        <v/>
      </c>
      <c r="CI818">
        <f>'Grid_Requirement'!CF48</f>
        <v/>
      </c>
      <c r="CJ818">
        <f>'Grid_Requirement'!CG48</f>
        <v/>
      </c>
      <c r="CK818">
        <f>'Grid_Requirement'!CH48</f>
        <v/>
      </c>
      <c r="CL818">
        <f>'Grid_Requirement'!CI48</f>
        <v/>
      </c>
      <c r="CM818">
        <f>'Grid_Requirement'!CJ48</f>
        <v/>
      </c>
      <c r="CN818">
        <f>'Grid_Requirement'!CK48</f>
        <v/>
      </c>
      <c r="CO818">
        <f>'Grid_Requirement'!CL48</f>
        <v/>
      </c>
      <c r="CP818">
        <f>'Grid_Requirement'!CM48</f>
        <v/>
      </c>
      <c r="CQ818">
        <f>'Grid_Requirement'!CN48</f>
        <v/>
      </c>
      <c r="CR818">
        <f>'Grid_Requirement'!CO48</f>
        <v/>
      </c>
      <c r="CS818">
        <f>'Grid_Requirement'!CP48</f>
        <v/>
      </c>
      <c r="CT818">
        <f>'Grid_Requirement'!CQ48</f>
        <v/>
      </c>
      <c r="CU818">
        <f>'Grid_Requirement'!CR48</f>
        <v/>
      </c>
      <c r="CV818">
        <f>'Grid_Requirement'!CS48</f>
        <v/>
      </c>
      <c r="CW818">
        <f>'Grid_Requirement'!CT48</f>
        <v/>
      </c>
      <c r="CX818">
        <f>'Grid_Requirement'!CU48</f>
        <v/>
      </c>
      <c r="CY818">
        <f>'Grid_Requirement'!CV48</f>
        <v/>
      </c>
      <c r="CZ818">
        <f>'Grid_Requirement'!CW48</f>
        <v/>
      </c>
      <c r="DA818">
        <f>'Grid_Requirement'!CX48</f>
        <v/>
      </c>
      <c r="DB818">
        <f>'Grid_Requirement'!CY48</f>
        <v/>
      </c>
      <c r="DC818">
        <f>'Grid_Requirement'!CZ48</f>
        <v/>
      </c>
      <c r="DD818">
        <f>'Grid_Requirement'!DA48</f>
        <v/>
      </c>
    </row>
    <row r="819">
      <c r="B819" s="23" t="inlineStr">
        <is>
          <t>（在庫・入荷予定はDashboard参照）</t>
        </is>
      </c>
    </row>
    <row r="821">
      <c r="A821" s="21" t="inlineStr">
        <is>
          <t>CHEM-1610</t>
        </is>
      </c>
      <c r="B821" s="21" t="inlineStr">
        <is>
          <t>Optalys 138</t>
        </is>
      </c>
      <c r="C821" s="21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  <c r="AA821" s="21" t="n"/>
      <c r="AB821" s="21" t="n"/>
      <c r="AC821" s="21" t="n"/>
      <c r="AD821" s="21" t="n"/>
      <c r="AE821" s="21" t="n"/>
      <c r="AF821" s="21" t="n"/>
      <c r="AG821" s="21" t="n"/>
      <c r="AH821" s="21" t="n"/>
      <c r="AI821" s="21" t="n"/>
      <c r="AJ821" s="21" t="n"/>
      <c r="AK821" s="21" t="n"/>
      <c r="AL821" s="21" t="n"/>
      <c r="AM821" s="21" t="n"/>
      <c r="AN821" s="21" t="n"/>
      <c r="AO821" s="21" t="n"/>
      <c r="AP821" s="21" t="n"/>
      <c r="AQ821" s="21" t="n"/>
      <c r="AR821" s="21" t="n"/>
      <c r="AS821" s="21" t="n"/>
      <c r="AT821" s="21" t="n"/>
      <c r="AU821" s="21" t="n"/>
      <c r="AV821" s="21" t="n"/>
      <c r="AW821" s="21" t="n"/>
      <c r="AX821" s="21" t="n"/>
      <c r="AY821" s="21" t="n"/>
      <c r="AZ821" s="21" t="n"/>
      <c r="BA821" s="21" t="n"/>
      <c r="BB821" s="21" t="n"/>
      <c r="BC821" s="21" t="n"/>
      <c r="BD821" s="21" t="n"/>
      <c r="BE821" s="21" t="n"/>
      <c r="BF821" s="21" t="n"/>
      <c r="BG821" s="21" t="n"/>
      <c r="BH821" s="21" t="n"/>
      <c r="BI821" s="21" t="n"/>
      <c r="BJ821" s="21" t="n"/>
      <c r="BK821" s="21" t="n"/>
      <c r="BL821" s="21" t="n"/>
      <c r="BM821" s="21" t="n"/>
      <c r="BN821" s="21" t="n"/>
      <c r="BO821" s="21" t="n"/>
      <c r="BP821" s="21" t="n"/>
      <c r="BQ821" s="21" t="n"/>
      <c r="BR821" s="21" t="n"/>
      <c r="BS821" s="21" t="n"/>
      <c r="BT821" s="21" t="n"/>
      <c r="BU821" s="21" t="n"/>
      <c r="BV821" s="21" t="n"/>
      <c r="BW821" s="21" t="n"/>
      <c r="BX821" s="21" t="n"/>
      <c r="BY821" s="21" t="n"/>
      <c r="BZ821" s="21" t="n"/>
      <c r="CA821" s="21" t="n"/>
      <c r="CB821" s="21" t="n"/>
      <c r="CC821" s="21" t="n"/>
      <c r="CD821" s="21" t="n"/>
      <c r="CE821" s="21" t="n"/>
      <c r="CF821" s="21" t="n"/>
      <c r="CG821" s="21" t="n"/>
      <c r="CH821" s="21" t="n"/>
      <c r="CI821" s="21" t="n"/>
      <c r="CJ821" s="21" t="n"/>
      <c r="CK821" s="21" t="n"/>
      <c r="CL821" s="21" t="n"/>
      <c r="CM821" s="21" t="n"/>
      <c r="CN821" s="21" t="n"/>
      <c r="CO821" s="21" t="n"/>
      <c r="CP821" s="21" t="n"/>
      <c r="CQ821" s="21" t="n"/>
      <c r="CR821" s="21" t="n"/>
      <c r="CS821" s="21" t="n"/>
      <c r="CT821" s="21" t="n"/>
      <c r="CU821" s="21" t="n"/>
      <c r="CV821" s="21" t="n"/>
      <c r="CW821" s="21" t="n"/>
      <c r="CX821" s="21" t="n"/>
      <c r="CY821" s="21" t="n"/>
      <c r="CZ821" s="21" t="n"/>
      <c r="DA821" s="21" t="n"/>
      <c r="DB821" s="21" t="n"/>
      <c r="DC821" s="21" t="n"/>
      <c r="DD821" s="21" t="n"/>
    </row>
    <row r="822">
      <c r="B822" t="inlineStr">
        <is>
          <t>TSP-219</t>
        </is>
      </c>
      <c r="C822" t="inlineStr">
        <is>
          <t>No. of batches</t>
        </is>
      </c>
      <c r="D822">
        <f>IFERROR(INDEX(E822:DD822,$F$1),"")</f>
        <v/>
      </c>
      <c r="E822">
        <f>IFERROR(INDEX(PP_Grid[#Data],$DE822,2),0)</f>
        <v/>
      </c>
      <c r="F822">
        <f>IFERROR(INDEX(PP_Grid[#Data],$DE822,3),0)</f>
        <v/>
      </c>
      <c r="G822">
        <f>IFERROR(INDEX(PP_Grid[#Data],$DE822,4),0)</f>
        <v/>
      </c>
      <c r="H822">
        <f>IFERROR(INDEX(PP_Grid[#Data],$DE822,5),0)</f>
        <v/>
      </c>
      <c r="I822">
        <f>IFERROR(INDEX(PP_Grid[#Data],$DE822,6),0)</f>
        <v/>
      </c>
      <c r="J822">
        <f>IFERROR(INDEX(PP_Grid[#Data],$DE822,7),0)</f>
        <v/>
      </c>
      <c r="K822">
        <f>IFERROR(INDEX(PP_Grid[#Data],$DE822,8),0)</f>
        <v/>
      </c>
      <c r="L822">
        <f>IFERROR(INDEX(PP_Grid[#Data],$DE822,9),0)</f>
        <v/>
      </c>
      <c r="M822">
        <f>IFERROR(INDEX(PP_Grid[#Data],$DE822,10),0)</f>
        <v/>
      </c>
      <c r="N822">
        <f>IFERROR(INDEX(PP_Grid[#Data],$DE822,11),0)</f>
        <v/>
      </c>
      <c r="O822">
        <f>IFERROR(INDEX(PP_Grid[#Data],$DE822,12),0)</f>
        <v/>
      </c>
      <c r="P822">
        <f>IFERROR(INDEX(PP_Grid[#Data],$DE822,13),0)</f>
        <v/>
      </c>
      <c r="Q822">
        <f>IFERROR(INDEX(PP_Grid[#Data],$DE822,14),0)</f>
        <v/>
      </c>
      <c r="R822">
        <f>IFERROR(INDEX(PP_Grid[#Data],$DE822,15),0)</f>
        <v/>
      </c>
      <c r="S822">
        <f>IFERROR(INDEX(PP_Grid[#Data],$DE822,16),0)</f>
        <v/>
      </c>
      <c r="T822">
        <f>IFERROR(INDEX(PP_Grid[#Data],$DE822,17),0)</f>
        <v/>
      </c>
      <c r="U822">
        <f>IFERROR(INDEX(PP_Grid[#Data],$DE822,18),0)</f>
        <v/>
      </c>
      <c r="V822">
        <f>IFERROR(INDEX(PP_Grid[#Data],$DE822,19),0)</f>
        <v/>
      </c>
      <c r="W822">
        <f>IFERROR(INDEX(PP_Grid[#Data],$DE822,20),0)</f>
        <v/>
      </c>
      <c r="X822">
        <f>IFERROR(INDEX(PP_Grid[#Data],$DE822,21),0)</f>
        <v/>
      </c>
      <c r="Y822">
        <f>IFERROR(INDEX(PP_Grid[#Data],$DE822,22),0)</f>
        <v/>
      </c>
      <c r="Z822">
        <f>IFERROR(INDEX(PP_Grid[#Data],$DE822,23),0)</f>
        <v/>
      </c>
      <c r="AA822">
        <f>IFERROR(INDEX(PP_Grid[#Data],$DE822,24),0)</f>
        <v/>
      </c>
      <c r="AB822">
        <f>IFERROR(INDEX(PP_Grid[#Data],$DE822,25),0)</f>
        <v/>
      </c>
      <c r="AC822">
        <f>IFERROR(INDEX(PP_Grid[#Data],$DE822,26),0)</f>
        <v/>
      </c>
      <c r="AD822">
        <f>IFERROR(INDEX(PP_Grid[#Data],$DE822,27),0)</f>
        <v/>
      </c>
      <c r="AE822">
        <f>IFERROR(INDEX(PP_Grid[#Data],$DE822,28),0)</f>
        <v/>
      </c>
      <c r="AF822">
        <f>IFERROR(INDEX(PP_Grid[#Data],$DE822,29),0)</f>
        <v/>
      </c>
      <c r="AG822">
        <f>IFERROR(INDEX(PP_Grid[#Data],$DE822,30),0)</f>
        <v/>
      </c>
      <c r="AH822">
        <f>IFERROR(INDEX(PP_Grid[#Data],$DE822,31),0)</f>
        <v/>
      </c>
      <c r="AI822">
        <f>IFERROR(INDEX(PP_Grid[#Data],$DE822,32),0)</f>
        <v/>
      </c>
      <c r="AJ822">
        <f>IFERROR(INDEX(PP_Grid[#Data],$DE822,33),0)</f>
        <v/>
      </c>
      <c r="AK822">
        <f>IFERROR(INDEX(PP_Grid[#Data],$DE822,34),0)</f>
        <v/>
      </c>
      <c r="AL822">
        <f>IFERROR(INDEX(PP_Grid[#Data],$DE822,35),0)</f>
        <v/>
      </c>
      <c r="AM822">
        <f>IFERROR(INDEX(PP_Grid[#Data],$DE822,36),0)</f>
        <v/>
      </c>
      <c r="AN822">
        <f>IFERROR(INDEX(PP_Grid[#Data],$DE822,37),0)</f>
        <v/>
      </c>
      <c r="AO822">
        <f>IFERROR(INDEX(PP_Grid[#Data],$DE822,38),0)</f>
        <v/>
      </c>
      <c r="AP822">
        <f>IFERROR(INDEX(PP_Grid[#Data],$DE822,39),0)</f>
        <v/>
      </c>
      <c r="AQ822">
        <f>IFERROR(INDEX(PP_Grid[#Data],$DE822,40),0)</f>
        <v/>
      </c>
      <c r="AR822">
        <f>IFERROR(INDEX(PP_Grid[#Data],$DE822,41),0)</f>
        <v/>
      </c>
      <c r="AS822">
        <f>IFERROR(INDEX(PP_Grid[#Data],$DE822,42),0)</f>
        <v/>
      </c>
      <c r="AT822">
        <f>IFERROR(INDEX(PP_Grid[#Data],$DE822,43),0)</f>
        <v/>
      </c>
      <c r="AU822">
        <f>IFERROR(INDEX(PP_Grid[#Data],$DE822,44),0)</f>
        <v/>
      </c>
      <c r="AV822">
        <f>IFERROR(INDEX(PP_Grid[#Data],$DE822,45),0)</f>
        <v/>
      </c>
      <c r="AW822">
        <f>IFERROR(INDEX(PP_Grid[#Data],$DE822,46),0)</f>
        <v/>
      </c>
      <c r="AX822">
        <f>IFERROR(INDEX(PP_Grid[#Data],$DE822,47),0)</f>
        <v/>
      </c>
      <c r="AY822">
        <f>IFERROR(INDEX(PP_Grid[#Data],$DE822,48),0)</f>
        <v/>
      </c>
      <c r="AZ822">
        <f>IFERROR(INDEX(PP_Grid[#Data],$DE822,49),0)</f>
        <v/>
      </c>
      <c r="BA822">
        <f>IFERROR(INDEX(PP_Grid[#Data],$DE822,50),0)</f>
        <v/>
      </c>
      <c r="BB822">
        <f>IFERROR(INDEX(PP_Grid[#Data],$DE822,51),0)</f>
        <v/>
      </c>
      <c r="BC822">
        <f>IFERROR(INDEX(PP_Grid[#Data],$DE822,52),0)</f>
        <v/>
      </c>
      <c r="BD822">
        <f>IFERROR(INDEX(PP_Grid[#Data],$DE822,53),0)</f>
        <v/>
      </c>
      <c r="BE822">
        <f>IFERROR(INDEX(PP_Grid[#Data],$DE822,54),0)</f>
        <v/>
      </c>
      <c r="BF822">
        <f>IFERROR(INDEX(PP_Grid[#Data],$DE822,55),0)</f>
        <v/>
      </c>
      <c r="BG822">
        <f>IFERROR(INDEX(PP_Grid[#Data],$DE822,56),0)</f>
        <v/>
      </c>
      <c r="BH822">
        <f>IFERROR(INDEX(PP_Grid[#Data],$DE822,57),0)</f>
        <v/>
      </c>
      <c r="BI822">
        <f>IFERROR(INDEX(PP_Grid[#Data],$DE822,58),0)</f>
        <v/>
      </c>
      <c r="BJ822">
        <f>IFERROR(INDEX(PP_Grid[#Data],$DE822,59),0)</f>
        <v/>
      </c>
      <c r="BK822">
        <f>IFERROR(INDEX(PP_Grid[#Data],$DE822,60),0)</f>
        <v/>
      </c>
      <c r="BL822">
        <f>IFERROR(INDEX(PP_Grid[#Data],$DE822,61),0)</f>
        <v/>
      </c>
      <c r="BM822">
        <f>IFERROR(INDEX(PP_Grid[#Data],$DE822,62),0)</f>
        <v/>
      </c>
      <c r="BN822">
        <f>IFERROR(INDEX(PP_Grid[#Data],$DE822,63),0)</f>
        <v/>
      </c>
      <c r="BO822">
        <f>IFERROR(INDEX(PP_Grid[#Data],$DE822,64),0)</f>
        <v/>
      </c>
      <c r="BP822">
        <f>IFERROR(INDEX(PP_Grid[#Data],$DE822,65),0)</f>
        <v/>
      </c>
      <c r="BQ822">
        <f>IFERROR(INDEX(PP_Grid[#Data],$DE822,66),0)</f>
        <v/>
      </c>
      <c r="BR822">
        <f>IFERROR(INDEX(PP_Grid[#Data],$DE822,67),0)</f>
        <v/>
      </c>
      <c r="BS822">
        <f>IFERROR(INDEX(PP_Grid[#Data],$DE822,68),0)</f>
        <v/>
      </c>
      <c r="BT822">
        <f>IFERROR(INDEX(PP_Grid[#Data],$DE822,69),0)</f>
        <v/>
      </c>
      <c r="BU822">
        <f>IFERROR(INDEX(PP_Grid[#Data],$DE822,70),0)</f>
        <v/>
      </c>
      <c r="BV822">
        <f>IFERROR(INDEX(PP_Grid[#Data],$DE822,71),0)</f>
        <v/>
      </c>
      <c r="BW822">
        <f>IFERROR(INDEX(PP_Grid[#Data],$DE822,72),0)</f>
        <v/>
      </c>
      <c r="BX822">
        <f>IFERROR(INDEX(PP_Grid[#Data],$DE822,73),0)</f>
        <v/>
      </c>
      <c r="BY822">
        <f>IFERROR(INDEX(PP_Grid[#Data],$DE822,74),0)</f>
        <v/>
      </c>
      <c r="BZ822">
        <f>IFERROR(INDEX(PP_Grid[#Data],$DE822,75),0)</f>
        <v/>
      </c>
      <c r="CA822">
        <f>IFERROR(INDEX(PP_Grid[#Data],$DE822,76),0)</f>
        <v/>
      </c>
      <c r="CB822">
        <f>IFERROR(INDEX(PP_Grid[#Data],$DE822,77),0)</f>
        <v/>
      </c>
      <c r="CC822">
        <f>IFERROR(INDEX(PP_Grid[#Data],$DE822,78),0)</f>
        <v/>
      </c>
      <c r="CD822">
        <f>IFERROR(INDEX(PP_Grid[#Data],$DE822,79),0)</f>
        <v/>
      </c>
      <c r="CE822">
        <f>IFERROR(INDEX(PP_Grid[#Data],$DE822,80),0)</f>
        <v/>
      </c>
      <c r="CF822">
        <f>IFERROR(INDEX(PP_Grid[#Data],$DE822,81),0)</f>
        <v/>
      </c>
      <c r="CG822">
        <f>IFERROR(INDEX(PP_Grid[#Data],$DE822,82),0)</f>
        <v/>
      </c>
      <c r="CH822">
        <f>IFERROR(INDEX(PP_Grid[#Data],$DE822,83),0)</f>
        <v/>
      </c>
      <c r="CI822">
        <f>IFERROR(INDEX(PP_Grid[#Data],$DE822,84),0)</f>
        <v/>
      </c>
      <c r="CJ822">
        <f>IFERROR(INDEX(PP_Grid[#Data],$DE822,85),0)</f>
        <v/>
      </c>
      <c r="CK822">
        <f>IFERROR(INDEX(PP_Grid[#Data],$DE822,86),0)</f>
        <v/>
      </c>
      <c r="CL822">
        <f>IFERROR(INDEX(PP_Grid[#Data],$DE822,87),0)</f>
        <v/>
      </c>
      <c r="CM822">
        <f>IFERROR(INDEX(PP_Grid[#Data],$DE822,88),0)</f>
        <v/>
      </c>
      <c r="CN822">
        <f>IFERROR(INDEX(PP_Grid[#Data],$DE822,89),0)</f>
        <v/>
      </c>
      <c r="CO822">
        <f>IFERROR(INDEX(PP_Grid[#Data],$DE822,90),0)</f>
        <v/>
      </c>
      <c r="CP822">
        <f>IFERROR(INDEX(PP_Grid[#Data],$DE822,91),0)</f>
        <v/>
      </c>
      <c r="CQ822">
        <f>IFERROR(INDEX(PP_Grid[#Data],$DE822,92),0)</f>
        <v/>
      </c>
      <c r="CR822">
        <f>IFERROR(INDEX(PP_Grid[#Data],$DE822,93),0)</f>
        <v/>
      </c>
      <c r="CS822">
        <f>IFERROR(INDEX(PP_Grid[#Data],$DE822,94),0)</f>
        <v/>
      </c>
      <c r="CT822">
        <f>IFERROR(INDEX(PP_Grid[#Data],$DE822,95),0)</f>
        <v/>
      </c>
      <c r="CU822">
        <f>IFERROR(INDEX(PP_Grid[#Data],$DE822,96),0)</f>
        <v/>
      </c>
      <c r="CV822">
        <f>IFERROR(INDEX(PP_Grid[#Data],$DE822,97),0)</f>
        <v/>
      </c>
      <c r="CW822">
        <f>IFERROR(INDEX(PP_Grid[#Data],$DE822,98),0)</f>
        <v/>
      </c>
      <c r="CX822">
        <f>IFERROR(INDEX(PP_Grid[#Data],$DE822,99),0)</f>
        <v/>
      </c>
      <c r="CY822">
        <f>IFERROR(INDEX(PP_Grid[#Data],$DE822,100),0)</f>
        <v/>
      </c>
      <c r="CZ822">
        <f>IFERROR(INDEX(PP_Grid[#Data],$DE822,101),0)</f>
        <v/>
      </c>
      <c r="DA822">
        <f>IFERROR(INDEX(PP_Grid[#Data],$DE822,102),0)</f>
        <v/>
      </c>
      <c r="DB822">
        <f>IFERROR(INDEX(PP_Grid[#Data],$DE822,103),0)</f>
        <v/>
      </c>
      <c r="DC822">
        <f>IFERROR(INDEX(PP_Grid[#Data],$DE822,104),0)</f>
        <v/>
      </c>
      <c r="DD822">
        <f>IFERROR(INDEX(PP_Grid[#Data],$DE822,105),0)</f>
        <v/>
      </c>
      <c r="DE822" s="7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SUMIFS(M_BOM[RM_Qty_Per_Batch],M_BOM[Intermediate],$B822,M_BOM[RM_Code],$A821)</f>
        <v/>
      </c>
      <c r="D823">
        <f>IFERROR(INDEX(E823:DD823,$F$1),"")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  <c r="DD823">
        <f>$C823*DD822</f>
        <v/>
      </c>
    </row>
    <row r="824">
      <c r="B824" t="inlineStr">
        <is>
          <t>TSP-1449</t>
        </is>
      </c>
      <c r="C824" t="inlineStr">
        <is>
          <t>No. of batches</t>
        </is>
      </c>
      <c r="D824">
        <f>IFERROR(INDEX(E824:DD824,$F$1),"")</f>
        <v/>
      </c>
      <c r="E824">
        <f>IFERROR(INDEX(PP_Grid[#Data],$DE824,2),0)</f>
        <v/>
      </c>
      <c r="F824">
        <f>IFERROR(INDEX(PP_Grid[#Data],$DE824,3),0)</f>
        <v/>
      </c>
      <c r="G824">
        <f>IFERROR(INDEX(PP_Grid[#Data],$DE824,4),0)</f>
        <v/>
      </c>
      <c r="H824">
        <f>IFERROR(INDEX(PP_Grid[#Data],$DE824,5),0)</f>
        <v/>
      </c>
      <c r="I824">
        <f>IFERROR(INDEX(PP_Grid[#Data],$DE824,6),0)</f>
        <v/>
      </c>
      <c r="J824">
        <f>IFERROR(INDEX(PP_Grid[#Data],$DE824,7),0)</f>
        <v/>
      </c>
      <c r="K824">
        <f>IFERROR(INDEX(PP_Grid[#Data],$DE824,8),0)</f>
        <v/>
      </c>
      <c r="L824">
        <f>IFERROR(INDEX(PP_Grid[#Data],$DE824,9),0)</f>
        <v/>
      </c>
      <c r="M824">
        <f>IFERROR(INDEX(PP_Grid[#Data],$DE824,10),0)</f>
        <v/>
      </c>
      <c r="N824">
        <f>IFERROR(INDEX(PP_Grid[#Data],$DE824,11),0)</f>
        <v/>
      </c>
      <c r="O824">
        <f>IFERROR(INDEX(PP_Grid[#Data],$DE824,12),0)</f>
        <v/>
      </c>
      <c r="P824">
        <f>IFERROR(INDEX(PP_Grid[#Data],$DE824,13),0)</f>
        <v/>
      </c>
      <c r="Q824">
        <f>IFERROR(INDEX(PP_Grid[#Data],$DE824,14),0)</f>
        <v/>
      </c>
      <c r="R824">
        <f>IFERROR(INDEX(PP_Grid[#Data],$DE824,15),0)</f>
        <v/>
      </c>
      <c r="S824">
        <f>IFERROR(INDEX(PP_Grid[#Data],$DE824,16),0)</f>
        <v/>
      </c>
      <c r="T824">
        <f>IFERROR(INDEX(PP_Grid[#Data],$DE824,17),0)</f>
        <v/>
      </c>
      <c r="U824">
        <f>IFERROR(INDEX(PP_Grid[#Data],$DE824,18),0)</f>
        <v/>
      </c>
      <c r="V824">
        <f>IFERROR(INDEX(PP_Grid[#Data],$DE824,19),0)</f>
        <v/>
      </c>
      <c r="W824">
        <f>IFERROR(INDEX(PP_Grid[#Data],$DE824,20),0)</f>
        <v/>
      </c>
      <c r="X824">
        <f>IFERROR(INDEX(PP_Grid[#Data],$DE824,21),0)</f>
        <v/>
      </c>
      <c r="Y824">
        <f>IFERROR(INDEX(PP_Grid[#Data],$DE824,22),0)</f>
        <v/>
      </c>
      <c r="Z824">
        <f>IFERROR(INDEX(PP_Grid[#Data],$DE824,23),0)</f>
        <v/>
      </c>
      <c r="AA824">
        <f>IFERROR(INDEX(PP_Grid[#Data],$DE824,24),0)</f>
        <v/>
      </c>
      <c r="AB824">
        <f>IFERROR(INDEX(PP_Grid[#Data],$DE824,25),0)</f>
        <v/>
      </c>
      <c r="AC824">
        <f>IFERROR(INDEX(PP_Grid[#Data],$DE824,26),0)</f>
        <v/>
      </c>
      <c r="AD824">
        <f>IFERROR(INDEX(PP_Grid[#Data],$DE824,27),0)</f>
        <v/>
      </c>
      <c r="AE824">
        <f>IFERROR(INDEX(PP_Grid[#Data],$DE824,28),0)</f>
        <v/>
      </c>
      <c r="AF824">
        <f>IFERROR(INDEX(PP_Grid[#Data],$DE824,29),0)</f>
        <v/>
      </c>
      <c r="AG824">
        <f>IFERROR(INDEX(PP_Grid[#Data],$DE824,30),0)</f>
        <v/>
      </c>
      <c r="AH824">
        <f>IFERROR(INDEX(PP_Grid[#Data],$DE824,31),0)</f>
        <v/>
      </c>
      <c r="AI824">
        <f>IFERROR(INDEX(PP_Grid[#Data],$DE824,32),0)</f>
        <v/>
      </c>
      <c r="AJ824">
        <f>IFERROR(INDEX(PP_Grid[#Data],$DE824,33),0)</f>
        <v/>
      </c>
      <c r="AK824">
        <f>IFERROR(INDEX(PP_Grid[#Data],$DE824,34),0)</f>
        <v/>
      </c>
      <c r="AL824">
        <f>IFERROR(INDEX(PP_Grid[#Data],$DE824,35),0)</f>
        <v/>
      </c>
      <c r="AM824">
        <f>IFERROR(INDEX(PP_Grid[#Data],$DE824,36),0)</f>
        <v/>
      </c>
      <c r="AN824">
        <f>IFERROR(INDEX(PP_Grid[#Data],$DE824,37),0)</f>
        <v/>
      </c>
      <c r="AO824">
        <f>IFERROR(INDEX(PP_Grid[#Data],$DE824,38),0)</f>
        <v/>
      </c>
      <c r="AP824">
        <f>IFERROR(INDEX(PP_Grid[#Data],$DE824,39),0)</f>
        <v/>
      </c>
      <c r="AQ824">
        <f>IFERROR(INDEX(PP_Grid[#Data],$DE824,40),0)</f>
        <v/>
      </c>
      <c r="AR824">
        <f>IFERROR(INDEX(PP_Grid[#Data],$DE824,41),0)</f>
        <v/>
      </c>
      <c r="AS824">
        <f>IFERROR(INDEX(PP_Grid[#Data],$DE824,42),0)</f>
        <v/>
      </c>
      <c r="AT824">
        <f>IFERROR(INDEX(PP_Grid[#Data],$DE824,43),0)</f>
        <v/>
      </c>
      <c r="AU824">
        <f>IFERROR(INDEX(PP_Grid[#Data],$DE824,44),0)</f>
        <v/>
      </c>
      <c r="AV824">
        <f>IFERROR(INDEX(PP_Grid[#Data],$DE824,45),0)</f>
        <v/>
      </c>
      <c r="AW824">
        <f>IFERROR(INDEX(PP_Grid[#Data],$DE824,46),0)</f>
        <v/>
      </c>
      <c r="AX824">
        <f>IFERROR(INDEX(PP_Grid[#Data],$DE824,47),0)</f>
        <v/>
      </c>
      <c r="AY824">
        <f>IFERROR(INDEX(PP_Grid[#Data],$DE824,48),0)</f>
        <v/>
      </c>
      <c r="AZ824">
        <f>IFERROR(INDEX(PP_Grid[#Data],$DE824,49),0)</f>
        <v/>
      </c>
      <c r="BA824">
        <f>IFERROR(INDEX(PP_Grid[#Data],$DE824,50),0)</f>
        <v/>
      </c>
      <c r="BB824">
        <f>IFERROR(INDEX(PP_Grid[#Data],$DE824,51),0)</f>
        <v/>
      </c>
      <c r="BC824">
        <f>IFERROR(INDEX(PP_Grid[#Data],$DE824,52),0)</f>
        <v/>
      </c>
      <c r="BD824">
        <f>IFERROR(INDEX(PP_Grid[#Data],$DE824,53),0)</f>
        <v/>
      </c>
      <c r="BE824">
        <f>IFERROR(INDEX(PP_Grid[#Data],$DE824,54),0)</f>
        <v/>
      </c>
      <c r="BF824">
        <f>IFERROR(INDEX(PP_Grid[#Data],$DE824,55),0)</f>
        <v/>
      </c>
      <c r="BG824">
        <f>IFERROR(INDEX(PP_Grid[#Data],$DE824,56),0)</f>
        <v/>
      </c>
      <c r="BH824">
        <f>IFERROR(INDEX(PP_Grid[#Data],$DE824,57),0)</f>
        <v/>
      </c>
      <c r="BI824">
        <f>IFERROR(INDEX(PP_Grid[#Data],$DE824,58),0)</f>
        <v/>
      </c>
      <c r="BJ824">
        <f>IFERROR(INDEX(PP_Grid[#Data],$DE824,59),0)</f>
        <v/>
      </c>
      <c r="BK824">
        <f>IFERROR(INDEX(PP_Grid[#Data],$DE824,60),0)</f>
        <v/>
      </c>
      <c r="BL824">
        <f>IFERROR(INDEX(PP_Grid[#Data],$DE824,61),0)</f>
        <v/>
      </c>
      <c r="BM824">
        <f>IFERROR(INDEX(PP_Grid[#Data],$DE824,62),0)</f>
        <v/>
      </c>
      <c r="BN824">
        <f>IFERROR(INDEX(PP_Grid[#Data],$DE824,63),0)</f>
        <v/>
      </c>
      <c r="BO824">
        <f>IFERROR(INDEX(PP_Grid[#Data],$DE824,64),0)</f>
        <v/>
      </c>
      <c r="BP824">
        <f>IFERROR(INDEX(PP_Grid[#Data],$DE824,65),0)</f>
        <v/>
      </c>
      <c r="BQ824">
        <f>IFERROR(INDEX(PP_Grid[#Data],$DE824,66),0)</f>
        <v/>
      </c>
      <c r="BR824">
        <f>IFERROR(INDEX(PP_Grid[#Data],$DE824,67),0)</f>
        <v/>
      </c>
      <c r="BS824">
        <f>IFERROR(INDEX(PP_Grid[#Data],$DE824,68),0)</f>
        <v/>
      </c>
      <c r="BT824">
        <f>IFERROR(INDEX(PP_Grid[#Data],$DE824,69),0)</f>
        <v/>
      </c>
      <c r="BU824">
        <f>IFERROR(INDEX(PP_Grid[#Data],$DE824,70),0)</f>
        <v/>
      </c>
      <c r="BV824">
        <f>IFERROR(INDEX(PP_Grid[#Data],$DE824,71),0)</f>
        <v/>
      </c>
      <c r="BW824">
        <f>IFERROR(INDEX(PP_Grid[#Data],$DE824,72),0)</f>
        <v/>
      </c>
      <c r="BX824">
        <f>IFERROR(INDEX(PP_Grid[#Data],$DE824,73),0)</f>
        <v/>
      </c>
      <c r="BY824">
        <f>IFERROR(INDEX(PP_Grid[#Data],$DE824,74),0)</f>
        <v/>
      </c>
      <c r="BZ824">
        <f>IFERROR(INDEX(PP_Grid[#Data],$DE824,75),0)</f>
        <v/>
      </c>
      <c r="CA824">
        <f>IFERROR(INDEX(PP_Grid[#Data],$DE824,76),0)</f>
        <v/>
      </c>
      <c r="CB824">
        <f>IFERROR(INDEX(PP_Grid[#Data],$DE824,77),0)</f>
        <v/>
      </c>
      <c r="CC824">
        <f>IFERROR(INDEX(PP_Grid[#Data],$DE824,78),0)</f>
        <v/>
      </c>
      <c r="CD824">
        <f>IFERROR(INDEX(PP_Grid[#Data],$DE824,79),0)</f>
        <v/>
      </c>
      <c r="CE824">
        <f>IFERROR(INDEX(PP_Grid[#Data],$DE824,80),0)</f>
        <v/>
      </c>
      <c r="CF824">
        <f>IFERROR(INDEX(PP_Grid[#Data],$DE824,81),0)</f>
        <v/>
      </c>
      <c r="CG824">
        <f>IFERROR(INDEX(PP_Grid[#Data],$DE824,82),0)</f>
        <v/>
      </c>
      <c r="CH824">
        <f>IFERROR(INDEX(PP_Grid[#Data],$DE824,83),0)</f>
        <v/>
      </c>
      <c r="CI824">
        <f>IFERROR(INDEX(PP_Grid[#Data],$DE824,84),0)</f>
        <v/>
      </c>
      <c r="CJ824">
        <f>IFERROR(INDEX(PP_Grid[#Data],$DE824,85),0)</f>
        <v/>
      </c>
      <c r="CK824">
        <f>IFERROR(INDEX(PP_Grid[#Data],$DE824,86),0)</f>
        <v/>
      </c>
      <c r="CL824">
        <f>IFERROR(INDEX(PP_Grid[#Data],$DE824,87),0)</f>
        <v/>
      </c>
      <c r="CM824">
        <f>IFERROR(INDEX(PP_Grid[#Data],$DE824,88),0)</f>
        <v/>
      </c>
      <c r="CN824">
        <f>IFERROR(INDEX(PP_Grid[#Data],$DE824,89),0)</f>
        <v/>
      </c>
      <c r="CO824">
        <f>IFERROR(INDEX(PP_Grid[#Data],$DE824,90),0)</f>
        <v/>
      </c>
      <c r="CP824">
        <f>IFERROR(INDEX(PP_Grid[#Data],$DE824,91),0)</f>
        <v/>
      </c>
      <c r="CQ824">
        <f>IFERROR(INDEX(PP_Grid[#Data],$DE824,92),0)</f>
        <v/>
      </c>
      <c r="CR824">
        <f>IFERROR(INDEX(PP_Grid[#Data],$DE824,93),0)</f>
        <v/>
      </c>
      <c r="CS824">
        <f>IFERROR(INDEX(PP_Grid[#Data],$DE824,94),0)</f>
        <v/>
      </c>
      <c r="CT824">
        <f>IFERROR(INDEX(PP_Grid[#Data],$DE824,95),0)</f>
        <v/>
      </c>
      <c r="CU824">
        <f>IFERROR(INDEX(PP_Grid[#Data],$DE824,96),0)</f>
        <v/>
      </c>
      <c r="CV824">
        <f>IFERROR(INDEX(PP_Grid[#Data],$DE824,97),0)</f>
        <v/>
      </c>
      <c r="CW824">
        <f>IFERROR(INDEX(PP_Grid[#Data],$DE824,98),0)</f>
        <v/>
      </c>
      <c r="CX824">
        <f>IFERROR(INDEX(PP_Grid[#Data],$DE824,99),0)</f>
        <v/>
      </c>
      <c r="CY824">
        <f>IFERROR(INDEX(PP_Grid[#Data],$DE824,100),0)</f>
        <v/>
      </c>
      <c r="CZ824">
        <f>IFERROR(INDEX(PP_Grid[#Data],$DE824,101),0)</f>
        <v/>
      </c>
      <c r="DA824">
        <f>IFERROR(INDEX(PP_Grid[#Data],$DE824,102),0)</f>
        <v/>
      </c>
      <c r="DB824">
        <f>IFERROR(INDEX(PP_Grid[#Data],$DE824,103),0)</f>
        <v/>
      </c>
      <c r="DC824">
        <f>IFERROR(INDEX(PP_Grid[#Data],$DE824,104),0)</f>
        <v/>
      </c>
      <c r="DD824">
        <f>IFERROR(INDEX(PP_Grid[#Data],$DE824,105),0)</f>
        <v/>
      </c>
      <c r="DE824" s="7">
        <f>IFERROR(MATCH($B824,PP_Grid[Intermediate],0),99999)</f>
        <v/>
      </c>
    </row>
    <row r="825">
      <c r="B825" t="inlineStr">
        <is>
          <t>使用量(kg)</t>
        </is>
      </c>
      <c r="C825">
        <f>SUMIFS(M_BOM[RM_Qty_Per_Batch],M_BOM[Intermediate],$B824,M_BOM[RM_Code],$A821)</f>
        <v/>
      </c>
      <c r="D825">
        <f>IFERROR(INDEX(E825:DD825,$F$1),"")</f>
        <v/>
      </c>
      <c r="E825">
        <f>$C825*E824</f>
        <v/>
      </c>
      <c r="F825">
        <f>$C825*F824</f>
        <v/>
      </c>
      <c r="G825">
        <f>$C825*G824</f>
        <v/>
      </c>
      <c r="H825">
        <f>$C825*H824</f>
        <v/>
      </c>
      <c r="I825">
        <f>$C825*I824</f>
        <v/>
      </c>
      <c r="J825">
        <f>$C825*J824</f>
        <v/>
      </c>
      <c r="K825">
        <f>$C825*K824</f>
        <v/>
      </c>
      <c r="L825">
        <f>$C825*L824</f>
        <v/>
      </c>
      <c r="M825">
        <f>$C825*M824</f>
        <v/>
      </c>
      <c r="N825">
        <f>$C825*N824</f>
        <v/>
      </c>
      <c r="O825">
        <f>$C825*O824</f>
        <v/>
      </c>
      <c r="P825">
        <f>$C825*P824</f>
        <v/>
      </c>
      <c r="Q825">
        <f>$C825*Q824</f>
        <v/>
      </c>
      <c r="R825">
        <f>$C825*R824</f>
        <v/>
      </c>
      <c r="S825">
        <f>$C825*S824</f>
        <v/>
      </c>
      <c r="T825">
        <f>$C825*T824</f>
        <v/>
      </c>
      <c r="U825">
        <f>$C825*U824</f>
        <v/>
      </c>
      <c r="V825">
        <f>$C825*V824</f>
        <v/>
      </c>
      <c r="W825">
        <f>$C825*W824</f>
        <v/>
      </c>
      <c r="X825">
        <f>$C825*X824</f>
        <v/>
      </c>
      <c r="Y825">
        <f>$C825*Y824</f>
        <v/>
      </c>
      <c r="Z825">
        <f>$C825*Z824</f>
        <v/>
      </c>
      <c r="AA825">
        <f>$C825*AA824</f>
        <v/>
      </c>
      <c r="AB825">
        <f>$C825*AB824</f>
        <v/>
      </c>
      <c r="AC825">
        <f>$C825*AC824</f>
        <v/>
      </c>
      <c r="AD825">
        <f>$C825*AD824</f>
        <v/>
      </c>
      <c r="AE825">
        <f>$C825*AE824</f>
        <v/>
      </c>
      <c r="AF825">
        <f>$C825*AF824</f>
        <v/>
      </c>
      <c r="AG825">
        <f>$C825*AG824</f>
        <v/>
      </c>
      <c r="AH825">
        <f>$C825*AH824</f>
        <v/>
      </c>
      <c r="AI825">
        <f>$C825*AI824</f>
        <v/>
      </c>
      <c r="AJ825">
        <f>$C825*AJ824</f>
        <v/>
      </c>
      <c r="AK825">
        <f>$C825*AK824</f>
        <v/>
      </c>
      <c r="AL825">
        <f>$C825*AL824</f>
        <v/>
      </c>
      <c r="AM825">
        <f>$C825*AM824</f>
        <v/>
      </c>
      <c r="AN825">
        <f>$C825*AN824</f>
        <v/>
      </c>
      <c r="AO825">
        <f>$C825*AO824</f>
        <v/>
      </c>
      <c r="AP825">
        <f>$C825*AP824</f>
        <v/>
      </c>
      <c r="AQ825">
        <f>$C825*AQ824</f>
        <v/>
      </c>
      <c r="AR825">
        <f>$C825*AR824</f>
        <v/>
      </c>
      <c r="AS825">
        <f>$C825*AS824</f>
        <v/>
      </c>
      <c r="AT825">
        <f>$C825*AT824</f>
        <v/>
      </c>
      <c r="AU825">
        <f>$C825*AU824</f>
        <v/>
      </c>
      <c r="AV825">
        <f>$C825*AV824</f>
        <v/>
      </c>
      <c r="AW825">
        <f>$C825*AW824</f>
        <v/>
      </c>
      <c r="AX825">
        <f>$C825*AX824</f>
        <v/>
      </c>
      <c r="AY825">
        <f>$C825*AY824</f>
        <v/>
      </c>
      <c r="AZ825">
        <f>$C825*AZ824</f>
        <v/>
      </c>
      <c r="BA825">
        <f>$C825*BA824</f>
        <v/>
      </c>
      <c r="BB825">
        <f>$C825*BB824</f>
        <v/>
      </c>
      <c r="BC825">
        <f>$C825*BC824</f>
        <v/>
      </c>
      <c r="BD825">
        <f>$C825*BD824</f>
        <v/>
      </c>
      <c r="BE825">
        <f>$C825*BE824</f>
        <v/>
      </c>
      <c r="BF825">
        <f>$C825*BF824</f>
        <v/>
      </c>
      <c r="BG825">
        <f>$C825*BG824</f>
        <v/>
      </c>
      <c r="BH825">
        <f>$C825*BH824</f>
        <v/>
      </c>
      <c r="BI825">
        <f>$C825*BI824</f>
        <v/>
      </c>
      <c r="BJ825">
        <f>$C825*BJ824</f>
        <v/>
      </c>
      <c r="BK825">
        <f>$C825*BK824</f>
        <v/>
      </c>
      <c r="BL825">
        <f>$C825*BL824</f>
        <v/>
      </c>
      <c r="BM825">
        <f>$C825*BM824</f>
        <v/>
      </c>
      <c r="BN825">
        <f>$C825*BN824</f>
        <v/>
      </c>
      <c r="BO825">
        <f>$C825*BO824</f>
        <v/>
      </c>
      <c r="BP825">
        <f>$C825*BP824</f>
        <v/>
      </c>
      <c r="BQ825">
        <f>$C825*BQ824</f>
        <v/>
      </c>
      <c r="BR825">
        <f>$C825*BR824</f>
        <v/>
      </c>
      <c r="BS825">
        <f>$C825*BS824</f>
        <v/>
      </c>
      <c r="BT825">
        <f>$C825*BT824</f>
        <v/>
      </c>
      <c r="BU825">
        <f>$C825*BU824</f>
        <v/>
      </c>
      <c r="BV825">
        <f>$C825*BV824</f>
        <v/>
      </c>
      <c r="BW825">
        <f>$C825*BW824</f>
        <v/>
      </c>
      <c r="BX825">
        <f>$C825*BX824</f>
        <v/>
      </c>
      <c r="BY825">
        <f>$C825*BY824</f>
        <v/>
      </c>
      <c r="BZ825">
        <f>$C825*BZ824</f>
        <v/>
      </c>
      <c r="CA825">
        <f>$C825*CA824</f>
        <v/>
      </c>
      <c r="CB825">
        <f>$C825*CB824</f>
        <v/>
      </c>
      <c r="CC825">
        <f>$C825*CC824</f>
        <v/>
      </c>
      <c r="CD825">
        <f>$C825*CD824</f>
        <v/>
      </c>
      <c r="CE825">
        <f>$C825*CE824</f>
        <v/>
      </c>
      <c r="CF825">
        <f>$C825*CF824</f>
        <v/>
      </c>
      <c r="CG825">
        <f>$C825*CG824</f>
        <v/>
      </c>
      <c r="CH825">
        <f>$C825*CH824</f>
        <v/>
      </c>
      <c r="CI825">
        <f>$C825*CI824</f>
        <v/>
      </c>
      <c r="CJ825">
        <f>$C825*CJ824</f>
        <v/>
      </c>
      <c r="CK825">
        <f>$C825*CK824</f>
        <v/>
      </c>
      <c r="CL825">
        <f>$C825*CL824</f>
        <v/>
      </c>
      <c r="CM825">
        <f>$C825*CM824</f>
        <v/>
      </c>
      <c r="CN825">
        <f>$C825*CN824</f>
        <v/>
      </c>
      <c r="CO825">
        <f>$C825*CO824</f>
        <v/>
      </c>
      <c r="CP825">
        <f>$C825*CP824</f>
        <v/>
      </c>
      <c r="CQ825">
        <f>$C825*CQ824</f>
        <v/>
      </c>
      <c r="CR825">
        <f>$C825*CR824</f>
        <v/>
      </c>
      <c r="CS825">
        <f>$C825*CS824</f>
        <v/>
      </c>
      <c r="CT825">
        <f>$C825*CT824</f>
        <v/>
      </c>
      <c r="CU825">
        <f>$C825*CU824</f>
        <v/>
      </c>
      <c r="CV825">
        <f>$C825*CV824</f>
        <v/>
      </c>
      <c r="CW825">
        <f>$C825*CW824</f>
        <v/>
      </c>
      <c r="CX825">
        <f>$C825*CX824</f>
        <v/>
      </c>
      <c r="CY825">
        <f>$C825*CY824</f>
        <v/>
      </c>
      <c r="CZ825">
        <f>$C825*CZ824</f>
        <v/>
      </c>
      <c r="DA825">
        <f>$C825*DA824</f>
        <v/>
      </c>
      <c r="DB825">
        <f>$C825*DB824</f>
        <v/>
      </c>
      <c r="DC825">
        <f>$C825*DC824</f>
        <v/>
      </c>
      <c r="DD825">
        <f>$C825*DD824</f>
        <v/>
      </c>
    </row>
    <row r="826">
      <c r="B826" t="inlineStr">
        <is>
          <t>VSP-600</t>
        </is>
      </c>
      <c r="C826" t="inlineStr">
        <is>
          <t>No. of batches</t>
        </is>
      </c>
      <c r="D826">
        <f>IFERROR(INDEX(E826:DD826,$F$1),"")</f>
        <v/>
      </c>
      <c r="E826">
        <f>IFERROR(INDEX(PP_Grid[#Data],$DE826,2),0)</f>
        <v/>
      </c>
      <c r="F826">
        <f>IFERROR(INDEX(PP_Grid[#Data],$DE826,3),0)</f>
        <v/>
      </c>
      <c r="G826">
        <f>IFERROR(INDEX(PP_Grid[#Data],$DE826,4),0)</f>
        <v/>
      </c>
      <c r="H826">
        <f>IFERROR(INDEX(PP_Grid[#Data],$DE826,5),0)</f>
        <v/>
      </c>
      <c r="I826">
        <f>IFERROR(INDEX(PP_Grid[#Data],$DE826,6),0)</f>
        <v/>
      </c>
      <c r="J826">
        <f>IFERROR(INDEX(PP_Grid[#Data],$DE826,7),0)</f>
        <v/>
      </c>
      <c r="K826">
        <f>IFERROR(INDEX(PP_Grid[#Data],$DE826,8),0)</f>
        <v/>
      </c>
      <c r="L826">
        <f>IFERROR(INDEX(PP_Grid[#Data],$DE826,9),0)</f>
        <v/>
      </c>
      <c r="M826">
        <f>IFERROR(INDEX(PP_Grid[#Data],$DE826,10),0)</f>
        <v/>
      </c>
      <c r="N826">
        <f>IFERROR(INDEX(PP_Grid[#Data],$DE826,11),0)</f>
        <v/>
      </c>
      <c r="O826">
        <f>IFERROR(INDEX(PP_Grid[#Data],$DE826,12),0)</f>
        <v/>
      </c>
      <c r="P826">
        <f>IFERROR(INDEX(PP_Grid[#Data],$DE826,13),0)</f>
        <v/>
      </c>
      <c r="Q826">
        <f>IFERROR(INDEX(PP_Grid[#Data],$DE826,14),0)</f>
        <v/>
      </c>
      <c r="R826">
        <f>IFERROR(INDEX(PP_Grid[#Data],$DE826,15),0)</f>
        <v/>
      </c>
      <c r="S826">
        <f>IFERROR(INDEX(PP_Grid[#Data],$DE826,16),0)</f>
        <v/>
      </c>
      <c r="T826">
        <f>IFERROR(INDEX(PP_Grid[#Data],$DE826,17),0)</f>
        <v/>
      </c>
      <c r="U826">
        <f>IFERROR(INDEX(PP_Grid[#Data],$DE826,18),0)</f>
        <v/>
      </c>
      <c r="V826">
        <f>IFERROR(INDEX(PP_Grid[#Data],$DE826,19),0)</f>
        <v/>
      </c>
      <c r="W826">
        <f>IFERROR(INDEX(PP_Grid[#Data],$DE826,20),0)</f>
        <v/>
      </c>
      <c r="X826">
        <f>IFERROR(INDEX(PP_Grid[#Data],$DE826,21),0)</f>
        <v/>
      </c>
      <c r="Y826">
        <f>IFERROR(INDEX(PP_Grid[#Data],$DE826,22),0)</f>
        <v/>
      </c>
      <c r="Z826">
        <f>IFERROR(INDEX(PP_Grid[#Data],$DE826,23),0)</f>
        <v/>
      </c>
      <c r="AA826">
        <f>IFERROR(INDEX(PP_Grid[#Data],$DE826,24),0)</f>
        <v/>
      </c>
      <c r="AB826">
        <f>IFERROR(INDEX(PP_Grid[#Data],$DE826,25),0)</f>
        <v/>
      </c>
      <c r="AC826">
        <f>IFERROR(INDEX(PP_Grid[#Data],$DE826,26),0)</f>
        <v/>
      </c>
      <c r="AD826">
        <f>IFERROR(INDEX(PP_Grid[#Data],$DE826,27),0)</f>
        <v/>
      </c>
      <c r="AE826">
        <f>IFERROR(INDEX(PP_Grid[#Data],$DE826,28),0)</f>
        <v/>
      </c>
      <c r="AF826">
        <f>IFERROR(INDEX(PP_Grid[#Data],$DE826,29),0)</f>
        <v/>
      </c>
      <c r="AG826">
        <f>IFERROR(INDEX(PP_Grid[#Data],$DE826,30),0)</f>
        <v/>
      </c>
      <c r="AH826">
        <f>IFERROR(INDEX(PP_Grid[#Data],$DE826,31),0)</f>
        <v/>
      </c>
      <c r="AI826">
        <f>IFERROR(INDEX(PP_Grid[#Data],$DE826,32),0)</f>
        <v/>
      </c>
      <c r="AJ826">
        <f>IFERROR(INDEX(PP_Grid[#Data],$DE826,33),0)</f>
        <v/>
      </c>
      <c r="AK826">
        <f>IFERROR(INDEX(PP_Grid[#Data],$DE826,34),0)</f>
        <v/>
      </c>
      <c r="AL826">
        <f>IFERROR(INDEX(PP_Grid[#Data],$DE826,35),0)</f>
        <v/>
      </c>
      <c r="AM826">
        <f>IFERROR(INDEX(PP_Grid[#Data],$DE826,36),0)</f>
        <v/>
      </c>
      <c r="AN826">
        <f>IFERROR(INDEX(PP_Grid[#Data],$DE826,37),0)</f>
        <v/>
      </c>
      <c r="AO826">
        <f>IFERROR(INDEX(PP_Grid[#Data],$DE826,38),0)</f>
        <v/>
      </c>
      <c r="AP826">
        <f>IFERROR(INDEX(PP_Grid[#Data],$DE826,39),0)</f>
        <v/>
      </c>
      <c r="AQ826">
        <f>IFERROR(INDEX(PP_Grid[#Data],$DE826,40),0)</f>
        <v/>
      </c>
      <c r="AR826">
        <f>IFERROR(INDEX(PP_Grid[#Data],$DE826,41),0)</f>
        <v/>
      </c>
      <c r="AS826">
        <f>IFERROR(INDEX(PP_Grid[#Data],$DE826,42),0)</f>
        <v/>
      </c>
      <c r="AT826">
        <f>IFERROR(INDEX(PP_Grid[#Data],$DE826,43),0)</f>
        <v/>
      </c>
      <c r="AU826">
        <f>IFERROR(INDEX(PP_Grid[#Data],$DE826,44),0)</f>
        <v/>
      </c>
      <c r="AV826">
        <f>IFERROR(INDEX(PP_Grid[#Data],$DE826,45),0)</f>
        <v/>
      </c>
      <c r="AW826">
        <f>IFERROR(INDEX(PP_Grid[#Data],$DE826,46),0)</f>
        <v/>
      </c>
      <c r="AX826">
        <f>IFERROR(INDEX(PP_Grid[#Data],$DE826,47),0)</f>
        <v/>
      </c>
      <c r="AY826">
        <f>IFERROR(INDEX(PP_Grid[#Data],$DE826,48),0)</f>
        <v/>
      </c>
      <c r="AZ826">
        <f>IFERROR(INDEX(PP_Grid[#Data],$DE826,49),0)</f>
        <v/>
      </c>
      <c r="BA826">
        <f>IFERROR(INDEX(PP_Grid[#Data],$DE826,50),0)</f>
        <v/>
      </c>
      <c r="BB826">
        <f>IFERROR(INDEX(PP_Grid[#Data],$DE826,51),0)</f>
        <v/>
      </c>
      <c r="BC826">
        <f>IFERROR(INDEX(PP_Grid[#Data],$DE826,52),0)</f>
        <v/>
      </c>
      <c r="BD826">
        <f>IFERROR(INDEX(PP_Grid[#Data],$DE826,53),0)</f>
        <v/>
      </c>
      <c r="BE826">
        <f>IFERROR(INDEX(PP_Grid[#Data],$DE826,54),0)</f>
        <v/>
      </c>
      <c r="BF826">
        <f>IFERROR(INDEX(PP_Grid[#Data],$DE826,55),0)</f>
        <v/>
      </c>
      <c r="BG826">
        <f>IFERROR(INDEX(PP_Grid[#Data],$DE826,56),0)</f>
        <v/>
      </c>
      <c r="BH826">
        <f>IFERROR(INDEX(PP_Grid[#Data],$DE826,57),0)</f>
        <v/>
      </c>
      <c r="BI826">
        <f>IFERROR(INDEX(PP_Grid[#Data],$DE826,58),0)</f>
        <v/>
      </c>
      <c r="BJ826">
        <f>IFERROR(INDEX(PP_Grid[#Data],$DE826,59),0)</f>
        <v/>
      </c>
      <c r="BK826">
        <f>IFERROR(INDEX(PP_Grid[#Data],$DE826,60),0)</f>
        <v/>
      </c>
      <c r="BL826">
        <f>IFERROR(INDEX(PP_Grid[#Data],$DE826,61),0)</f>
        <v/>
      </c>
      <c r="BM826">
        <f>IFERROR(INDEX(PP_Grid[#Data],$DE826,62),0)</f>
        <v/>
      </c>
      <c r="BN826">
        <f>IFERROR(INDEX(PP_Grid[#Data],$DE826,63),0)</f>
        <v/>
      </c>
      <c r="BO826">
        <f>IFERROR(INDEX(PP_Grid[#Data],$DE826,64),0)</f>
        <v/>
      </c>
      <c r="BP826">
        <f>IFERROR(INDEX(PP_Grid[#Data],$DE826,65),0)</f>
        <v/>
      </c>
      <c r="BQ826">
        <f>IFERROR(INDEX(PP_Grid[#Data],$DE826,66),0)</f>
        <v/>
      </c>
      <c r="BR826">
        <f>IFERROR(INDEX(PP_Grid[#Data],$DE826,67),0)</f>
        <v/>
      </c>
      <c r="BS826">
        <f>IFERROR(INDEX(PP_Grid[#Data],$DE826,68),0)</f>
        <v/>
      </c>
      <c r="BT826">
        <f>IFERROR(INDEX(PP_Grid[#Data],$DE826,69),0)</f>
        <v/>
      </c>
      <c r="BU826">
        <f>IFERROR(INDEX(PP_Grid[#Data],$DE826,70),0)</f>
        <v/>
      </c>
      <c r="BV826">
        <f>IFERROR(INDEX(PP_Grid[#Data],$DE826,71),0)</f>
        <v/>
      </c>
      <c r="BW826">
        <f>IFERROR(INDEX(PP_Grid[#Data],$DE826,72),0)</f>
        <v/>
      </c>
      <c r="BX826">
        <f>IFERROR(INDEX(PP_Grid[#Data],$DE826,73),0)</f>
        <v/>
      </c>
      <c r="BY826">
        <f>IFERROR(INDEX(PP_Grid[#Data],$DE826,74),0)</f>
        <v/>
      </c>
      <c r="BZ826">
        <f>IFERROR(INDEX(PP_Grid[#Data],$DE826,75),0)</f>
        <v/>
      </c>
      <c r="CA826">
        <f>IFERROR(INDEX(PP_Grid[#Data],$DE826,76),0)</f>
        <v/>
      </c>
      <c r="CB826">
        <f>IFERROR(INDEX(PP_Grid[#Data],$DE826,77),0)</f>
        <v/>
      </c>
      <c r="CC826">
        <f>IFERROR(INDEX(PP_Grid[#Data],$DE826,78),0)</f>
        <v/>
      </c>
      <c r="CD826">
        <f>IFERROR(INDEX(PP_Grid[#Data],$DE826,79),0)</f>
        <v/>
      </c>
      <c r="CE826">
        <f>IFERROR(INDEX(PP_Grid[#Data],$DE826,80),0)</f>
        <v/>
      </c>
      <c r="CF826">
        <f>IFERROR(INDEX(PP_Grid[#Data],$DE826,81),0)</f>
        <v/>
      </c>
      <c r="CG826">
        <f>IFERROR(INDEX(PP_Grid[#Data],$DE826,82),0)</f>
        <v/>
      </c>
      <c r="CH826">
        <f>IFERROR(INDEX(PP_Grid[#Data],$DE826,83),0)</f>
        <v/>
      </c>
      <c r="CI826">
        <f>IFERROR(INDEX(PP_Grid[#Data],$DE826,84),0)</f>
        <v/>
      </c>
      <c r="CJ826">
        <f>IFERROR(INDEX(PP_Grid[#Data],$DE826,85),0)</f>
        <v/>
      </c>
      <c r="CK826">
        <f>IFERROR(INDEX(PP_Grid[#Data],$DE826,86),0)</f>
        <v/>
      </c>
      <c r="CL826">
        <f>IFERROR(INDEX(PP_Grid[#Data],$DE826,87),0)</f>
        <v/>
      </c>
      <c r="CM826">
        <f>IFERROR(INDEX(PP_Grid[#Data],$DE826,88),0)</f>
        <v/>
      </c>
      <c r="CN826">
        <f>IFERROR(INDEX(PP_Grid[#Data],$DE826,89),0)</f>
        <v/>
      </c>
      <c r="CO826">
        <f>IFERROR(INDEX(PP_Grid[#Data],$DE826,90),0)</f>
        <v/>
      </c>
      <c r="CP826">
        <f>IFERROR(INDEX(PP_Grid[#Data],$DE826,91),0)</f>
        <v/>
      </c>
      <c r="CQ826">
        <f>IFERROR(INDEX(PP_Grid[#Data],$DE826,92),0)</f>
        <v/>
      </c>
      <c r="CR826">
        <f>IFERROR(INDEX(PP_Grid[#Data],$DE826,93),0)</f>
        <v/>
      </c>
      <c r="CS826">
        <f>IFERROR(INDEX(PP_Grid[#Data],$DE826,94),0)</f>
        <v/>
      </c>
      <c r="CT826">
        <f>IFERROR(INDEX(PP_Grid[#Data],$DE826,95),0)</f>
        <v/>
      </c>
      <c r="CU826">
        <f>IFERROR(INDEX(PP_Grid[#Data],$DE826,96),0)</f>
        <v/>
      </c>
      <c r="CV826">
        <f>IFERROR(INDEX(PP_Grid[#Data],$DE826,97),0)</f>
        <v/>
      </c>
      <c r="CW826">
        <f>IFERROR(INDEX(PP_Grid[#Data],$DE826,98),0)</f>
        <v/>
      </c>
      <c r="CX826">
        <f>IFERROR(INDEX(PP_Grid[#Data],$DE826,99),0)</f>
        <v/>
      </c>
      <c r="CY826">
        <f>IFERROR(INDEX(PP_Grid[#Data],$DE826,100),0)</f>
        <v/>
      </c>
      <c r="CZ826">
        <f>IFERROR(INDEX(PP_Grid[#Data],$DE826,101),0)</f>
        <v/>
      </c>
      <c r="DA826">
        <f>IFERROR(INDEX(PP_Grid[#Data],$DE826,102),0)</f>
        <v/>
      </c>
      <c r="DB826">
        <f>IFERROR(INDEX(PP_Grid[#Data],$DE826,103),0)</f>
        <v/>
      </c>
      <c r="DC826">
        <f>IFERROR(INDEX(PP_Grid[#Data],$DE826,104),0)</f>
        <v/>
      </c>
      <c r="DD826">
        <f>IFERROR(INDEX(PP_Grid[#Data],$DE826,105),0)</f>
        <v/>
      </c>
      <c r="DE826" s="7">
        <f>IFERROR(MATCH($B826,PP_Grid[Intermediate],0),99999)</f>
        <v/>
      </c>
    </row>
    <row r="827">
      <c r="B827" t="inlineStr">
        <is>
          <t>使用量(kg)</t>
        </is>
      </c>
      <c r="C827">
        <f>SUMIFS(M_BOM[RM_Qty_Per_Batch],M_BOM[Intermediate],$B826,M_BOM[RM_Code],$A821)</f>
        <v/>
      </c>
      <c r="D827">
        <f>IFERROR(INDEX(E827:DD827,$F$1),"")</f>
        <v/>
      </c>
      <c r="E827">
        <f>$C827*E826</f>
        <v/>
      </c>
      <c r="F827">
        <f>$C827*F826</f>
        <v/>
      </c>
      <c r="G827">
        <f>$C827*G826</f>
        <v/>
      </c>
      <c r="H827">
        <f>$C827*H826</f>
        <v/>
      </c>
      <c r="I827">
        <f>$C827*I826</f>
        <v/>
      </c>
      <c r="J827">
        <f>$C827*J826</f>
        <v/>
      </c>
      <c r="K827">
        <f>$C827*K826</f>
        <v/>
      </c>
      <c r="L827">
        <f>$C827*L826</f>
        <v/>
      </c>
      <c r="M827">
        <f>$C827*M826</f>
        <v/>
      </c>
      <c r="N827">
        <f>$C827*N826</f>
        <v/>
      </c>
      <c r="O827">
        <f>$C827*O826</f>
        <v/>
      </c>
      <c r="P827">
        <f>$C827*P826</f>
        <v/>
      </c>
      <c r="Q827">
        <f>$C827*Q826</f>
        <v/>
      </c>
      <c r="R827">
        <f>$C827*R826</f>
        <v/>
      </c>
      <c r="S827">
        <f>$C827*S826</f>
        <v/>
      </c>
      <c r="T827">
        <f>$C827*T826</f>
        <v/>
      </c>
      <c r="U827">
        <f>$C827*U826</f>
        <v/>
      </c>
      <c r="V827">
        <f>$C827*V826</f>
        <v/>
      </c>
      <c r="W827">
        <f>$C827*W826</f>
        <v/>
      </c>
      <c r="X827">
        <f>$C827*X826</f>
        <v/>
      </c>
      <c r="Y827">
        <f>$C827*Y826</f>
        <v/>
      </c>
      <c r="Z827">
        <f>$C827*Z826</f>
        <v/>
      </c>
      <c r="AA827">
        <f>$C827*AA826</f>
        <v/>
      </c>
      <c r="AB827">
        <f>$C827*AB826</f>
        <v/>
      </c>
      <c r="AC827">
        <f>$C827*AC826</f>
        <v/>
      </c>
      <c r="AD827">
        <f>$C827*AD826</f>
        <v/>
      </c>
      <c r="AE827">
        <f>$C827*AE826</f>
        <v/>
      </c>
      <c r="AF827">
        <f>$C827*AF826</f>
        <v/>
      </c>
      <c r="AG827">
        <f>$C827*AG826</f>
        <v/>
      </c>
      <c r="AH827">
        <f>$C827*AH826</f>
        <v/>
      </c>
      <c r="AI827">
        <f>$C827*AI826</f>
        <v/>
      </c>
      <c r="AJ827">
        <f>$C827*AJ826</f>
        <v/>
      </c>
      <c r="AK827">
        <f>$C827*AK826</f>
        <v/>
      </c>
      <c r="AL827">
        <f>$C827*AL826</f>
        <v/>
      </c>
      <c r="AM827">
        <f>$C827*AM826</f>
        <v/>
      </c>
      <c r="AN827">
        <f>$C827*AN826</f>
        <v/>
      </c>
      <c r="AO827">
        <f>$C827*AO826</f>
        <v/>
      </c>
      <c r="AP827">
        <f>$C827*AP826</f>
        <v/>
      </c>
      <c r="AQ827">
        <f>$C827*AQ826</f>
        <v/>
      </c>
      <c r="AR827">
        <f>$C827*AR826</f>
        <v/>
      </c>
      <c r="AS827">
        <f>$C827*AS826</f>
        <v/>
      </c>
      <c r="AT827">
        <f>$C827*AT826</f>
        <v/>
      </c>
      <c r="AU827">
        <f>$C827*AU826</f>
        <v/>
      </c>
      <c r="AV827">
        <f>$C827*AV826</f>
        <v/>
      </c>
      <c r="AW827">
        <f>$C827*AW826</f>
        <v/>
      </c>
      <c r="AX827">
        <f>$C827*AX826</f>
        <v/>
      </c>
      <c r="AY827">
        <f>$C827*AY826</f>
        <v/>
      </c>
      <c r="AZ827">
        <f>$C827*AZ826</f>
        <v/>
      </c>
      <c r="BA827">
        <f>$C827*BA826</f>
        <v/>
      </c>
      <c r="BB827">
        <f>$C827*BB826</f>
        <v/>
      </c>
      <c r="BC827">
        <f>$C827*BC826</f>
        <v/>
      </c>
      <c r="BD827">
        <f>$C827*BD826</f>
        <v/>
      </c>
      <c r="BE827">
        <f>$C827*BE826</f>
        <v/>
      </c>
      <c r="BF827">
        <f>$C827*BF826</f>
        <v/>
      </c>
      <c r="BG827">
        <f>$C827*BG826</f>
        <v/>
      </c>
      <c r="BH827">
        <f>$C827*BH826</f>
        <v/>
      </c>
      <c r="BI827">
        <f>$C827*BI826</f>
        <v/>
      </c>
      <c r="BJ827">
        <f>$C827*BJ826</f>
        <v/>
      </c>
      <c r="BK827">
        <f>$C827*BK826</f>
        <v/>
      </c>
      <c r="BL827">
        <f>$C827*BL826</f>
        <v/>
      </c>
      <c r="BM827">
        <f>$C827*BM826</f>
        <v/>
      </c>
      <c r="BN827">
        <f>$C827*BN826</f>
        <v/>
      </c>
      <c r="BO827">
        <f>$C827*BO826</f>
        <v/>
      </c>
      <c r="BP827">
        <f>$C827*BP826</f>
        <v/>
      </c>
      <c r="BQ827">
        <f>$C827*BQ826</f>
        <v/>
      </c>
      <c r="BR827">
        <f>$C827*BR826</f>
        <v/>
      </c>
      <c r="BS827">
        <f>$C827*BS826</f>
        <v/>
      </c>
      <c r="BT827">
        <f>$C827*BT826</f>
        <v/>
      </c>
      <c r="BU827">
        <f>$C827*BU826</f>
        <v/>
      </c>
      <c r="BV827">
        <f>$C827*BV826</f>
        <v/>
      </c>
      <c r="BW827">
        <f>$C827*BW826</f>
        <v/>
      </c>
      <c r="BX827">
        <f>$C827*BX826</f>
        <v/>
      </c>
      <c r="BY827">
        <f>$C827*BY826</f>
        <v/>
      </c>
      <c r="BZ827">
        <f>$C827*BZ826</f>
        <v/>
      </c>
      <c r="CA827">
        <f>$C827*CA826</f>
        <v/>
      </c>
      <c r="CB827">
        <f>$C827*CB826</f>
        <v/>
      </c>
      <c r="CC827">
        <f>$C827*CC826</f>
        <v/>
      </c>
      <c r="CD827">
        <f>$C827*CD826</f>
        <v/>
      </c>
      <c r="CE827">
        <f>$C827*CE826</f>
        <v/>
      </c>
      <c r="CF827">
        <f>$C827*CF826</f>
        <v/>
      </c>
      <c r="CG827">
        <f>$C827*CG826</f>
        <v/>
      </c>
      <c r="CH827">
        <f>$C827*CH826</f>
        <v/>
      </c>
      <c r="CI827">
        <f>$C827*CI826</f>
        <v/>
      </c>
      <c r="CJ827">
        <f>$C827*CJ826</f>
        <v/>
      </c>
      <c r="CK827">
        <f>$C827*CK826</f>
        <v/>
      </c>
      <c r="CL827">
        <f>$C827*CL826</f>
        <v/>
      </c>
      <c r="CM827">
        <f>$C827*CM826</f>
        <v/>
      </c>
      <c r="CN827">
        <f>$C827*CN826</f>
        <v/>
      </c>
      <c r="CO827">
        <f>$C827*CO826</f>
        <v/>
      </c>
      <c r="CP827">
        <f>$C827*CP826</f>
        <v/>
      </c>
      <c r="CQ827">
        <f>$C827*CQ826</f>
        <v/>
      </c>
      <c r="CR827">
        <f>$C827*CR826</f>
        <v/>
      </c>
      <c r="CS827">
        <f>$C827*CS826</f>
        <v/>
      </c>
      <c r="CT827">
        <f>$C827*CT826</f>
        <v/>
      </c>
      <c r="CU827">
        <f>$C827*CU826</f>
        <v/>
      </c>
      <c r="CV827">
        <f>$C827*CV826</f>
        <v/>
      </c>
      <c r="CW827">
        <f>$C827*CW826</f>
        <v/>
      </c>
      <c r="CX827">
        <f>$C827*CX826</f>
        <v/>
      </c>
      <c r="CY827">
        <f>$C827*CY826</f>
        <v/>
      </c>
      <c r="CZ827">
        <f>$C827*CZ826</f>
        <v/>
      </c>
      <c r="DA827">
        <f>$C827*DA826</f>
        <v/>
      </c>
      <c r="DB827">
        <f>$C827*DB826</f>
        <v/>
      </c>
      <c r="DC827">
        <f>$C827*DC826</f>
        <v/>
      </c>
      <c r="DD827">
        <f>$C827*DD826</f>
        <v/>
      </c>
    </row>
    <row r="828">
      <c r="B828" t="inlineStr">
        <is>
          <t>VSP-601</t>
        </is>
      </c>
      <c r="C828" t="inlineStr">
        <is>
          <t>No. of batches</t>
        </is>
      </c>
      <c r="D828">
        <f>IFERROR(INDEX(E828:DD828,$F$1),"")</f>
        <v/>
      </c>
      <c r="E828">
        <f>IFERROR(INDEX(PP_Grid[#Data],$DE828,2),0)</f>
        <v/>
      </c>
      <c r="F828">
        <f>IFERROR(INDEX(PP_Grid[#Data],$DE828,3),0)</f>
        <v/>
      </c>
      <c r="G828">
        <f>IFERROR(INDEX(PP_Grid[#Data],$DE828,4),0)</f>
        <v/>
      </c>
      <c r="H828">
        <f>IFERROR(INDEX(PP_Grid[#Data],$DE828,5),0)</f>
        <v/>
      </c>
      <c r="I828">
        <f>IFERROR(INDEX(PP_Grid[#Data],$DE828,6),0)</f>
        <v/>
      </c>
      <c r="J828">
        <f>IFERROR(INDEX(PP_Grid[#Data],$DE828,7),0)</f>
        <v/>
      </c>
      <c r="K828">
        <f>IFERROR(INDEX(PP_Grid[#Data],$DE828,8),0)</f>
        <v/>
      </c>
      <c r="L828">
        <f>IFERROR(INDEX(PP_Grid[#Data],$DE828,9),0)</f>
        <v/>
      </c>
      <c r="M828">
        <f>IFERROR(INDEX(PP_Grid[#Data],$DE828,10),0)</f>
        <v/>
      </c>
      <c r="N828">
        <f>IFERROR(INDEX(PP_Grid[#Data],$DE828,11),0)</f>
        <v/>
      </c>
      <c r="O828">
        <f>IFERROR(INDEX(PP_Grid[#Data],$DE828,12),0)</f>
        <v/>
      </c>
      <c r="P828">
        <f>IFERROR(INDEX(PP_Grid[#Data],$DE828,13),0)</f>
        <v/>
      </c>
      <c r="Q828">
        <f>IFERROR(INDEX(PP_Grid[#Data],$DE828,14),0)</f>
        <v/>
      </c>
      <c r="R828">
        <f>IFERROR(INDEX(PP_Grid[#Data],$DE828,15),0)</f>
        <v/>
      </c>
      <c r="S828">
        <f>IFERROR(INDEX(PP_Grid[#Data],$DE828,16),0)</f>
        <v/>
      </c>
      <c r="T828">
        <f>IFERROR(INDEX(PP_Grid[#Data],$DE828,17),0)</f>
        <v/>
      </c>
      <c r="U828">
        <f>IFERROR(INDEX(PP_Grid[#Data],$DE828,18),0)</f>
        <v/>
      </c>
      <c r="V828">
        <f>IFERROR(INDEX(PP_Grid[#Data],$DE828,19),0)</f>
        <v/>
      </c>
      <c r="W828">
        <f>IFERROR(INDEX(PP_Grid[#Data],$DE828,20),0)</f>
        <v/>
      </c>
      <c r="X828">
        <f>IFERROR(INDEX(PP_Grid[#Data],$DE828,21),0)</f>
        <v/>
      </c>
      <c r="Y828">
        <f>IFERROR(INDEX(PP_Grid[#Data],$DE828,22),0)</f>
        <v/>
      </c>
      <c r="Z828">
        <f>IFERROR(INDEX(PP_Grid[#Data],$DE828,23),0)</f>
        <v/>
      </c>
      <c r="AA828">
        <f>IFERROR(INDEX(PP_Grid[#Data],$DE828,24),0)</f>
        <v/>
      </c>
      <c r="AB828">
        <f>IFERROR(INDEX(PP_Grid[#Data],$DE828,25),0)</f>
        <v/>
      </c>
      <c r="AC828">
        <f>IFERROR(INDEX(PP_Grid[#Data],$DE828,26),0)</f>
        <v/>
      </c>
      <c r="AD828">
        <f>IFERROR(INDEX(PP_Grid[#Data],$DE828,27),0)</f>
        <v/>
      </c>
      <c r="AE828">
        <f>IFERROR(INDEX(PP_Grid[#Data],$DE828,28),0)</f>
        <v/>
      </c>
      <c r="AF828">
        <f>IFERROR(INDEX(PP_Grid[#Data],$DE828,29),0)</f>
        <v/>
      </c>
      <c r="AG828">
        <f>IFERROR(INDEX(PP_Grid[#Data],$DE828,30),0)</f>
        <v/>
      </c>
      <c r="AH828">
        <f>IFERROR(INDEX(PP_Grid[#Data],$DE828,31),0)</f>
        <v/>
      </c>
      <c r="AI828">
        <f>IFERROR(INDEX(PP_Grid[#Data],$DE828,32),0)</f>
        <v/>
      </c>
      <c r="AJ828">
        <f>IFERROR(INDEX(PP_Grid[#Data],$DE828,33),0)</f>
        <v/>
      </c>
      <c r="AK828">
        <f>IFERROR(INDEX(PP_Grid[#Data],$DE828,34),0)</f>
        <v/>
      </c>
      <c r="AL828">
        <f>IFERROR(INDEX(PP_Grid[#Data],$DE828,35),0)</f>
        <v/>
      </c>
      <c r="AM828">
        <f>IFERROR(INDEX(PP_Grid[#Data],$DE828,36),0)</f>
        <v/>
      </c>
      <c r="AN828">
        <f>IFERROR(INDEX(PP_Grid[#Data],$DE828,37),0)</f>
        <v/>
      </c>
      <c r="AO828">
        <f>IFERROR(INDEX(PP_Grid[#Data],$DE828,38),0)</f>
        <v/>
      </c>
      <c r="AP828">
        <f>IFERROR(INDEX(PP_Grid[#Data],$DE828,39),0)</f>
        <v/>
      </c>
      <c r="AQ828">
        <f>IFERROR(INDEX(PP_Grid[#Data],$DE828,40),0)</f>
        <v/>
      </c>
      <c r="AR828">
        <f>IFERROR(INDEX(PP_Grid[#Data],$DE828,41),0)</f>
        <v/>
      </c>
      <c r="AS828">
        <f>IFERROR(INDEX(PP_Grid[#Data],$DE828,42),0)</f>
        <v/>
      </c>
      <c r="AT828">
        <f>IFERROR(INDEX(PP_Grid[#Data],$DE828,43),0)</f>
        <v/>
      </c>
      <c r="AU828">
        <f>IFERROR(INDEX(PP_Grid[#Data],$DE828,44),0)</f>
        <v/>
      </c>
      <c r="AV828">
        <f>IFERROR(INDEX(PP_Grid[#Data],$DE828,45),0)</f>
        <v/>
      </c>
      <c r="AW828">
        <f>IFERROR(INDEX(PP_Grid[#Data],$DE828,46),0)</f>
        <v/>
      </c>
      <c r="AX828">
        <f>IFERROR(INDEX(PP_Grid[#Data],$DE828,47),0)</f>
        <v/>
      </c>
      <c r="AY828">
        <f>IFERROR(INDEX(PP_Grid[#Data],$DE828,48),0)</f>
        <v/>
      </c>
      <c r="AZ828">
        <f>IFERROR(INDEX(PP_Grid[#Data],$DE828,49),0)</f>
        <v/>
      </c>
      <c r="BA828">
        <f>IFERROR(INDEX(PP_Grid[#Data],$DE828,50),0)</f>
        <v/>
      </c>
      <c r="BB828">
        <f>IFERROR(INDEX(PP_Grid[#Data],$DE828,51),0)</f>
        <v/>
      </c>
      <c r="BC828">
        <f>IFERROR(INDEX(PP_Grid[#Data],$DE828,52),0)</f>
        <v/>
      </c>
      <c r="BD828">
        <f>IFERROR(INDEX(PP_Grid[#Data],$DE828,53),0)</f>
        <v/>
      </c>
      <c r="BE828">
        <f>IFERROR(INDEX(PP_Grid[#Data],$DE828,54),0)</f>
        <v/>
      </c>
      <c r="BF828">
        <f>IFERROR(INDEX(PP_Grid[#Data],$DE828,55),0)</f>
        <v/>
      </c>
      <c r="BG828">
        <f>IFERROR(INDEX(PP_Grid[#Data],$DE828,56),0)</f>
        <v/>
      </c>
      <c r="BH828">
        <f>IFERROR(INDEX(PP_Grid[#Data],$DE828,57),0)</f>
        <v/>
      </c>
      <c r="BI828">
        <f>IFERROR(INDEX(PP_Grid[#Data],$DE828,58),0)</f>
        <v/>
      </c>
      <c r="BJ828">
        <f>IFERROR(INDEX(PP_Grid[#Data],$DE828,59),0)</f>
        <v/>
      </c>
      <c r="BK828">
        <f>IFERROR(INDEX(PP_Grid[#Data],$DE828,60),0)</f>
        <v/>
      </c>
      <c r="BL828">
        <f>IFERROR(INDEX(PP_Grid[#Data],$DE828,61),0)</f>
        <v/>
      </c>
      <c r="BM828">
        <f>IFERROR(INDEX(PP_Grid[#Data],$DE828,62),0)</f>
        <v/>
      </c>
      <c r="BN828">
        <f>IFERROR(INDEX(PP_Grid[#Data],$DE828,63),0)</f>
        <v/>
      </c>
      <c r="BO828">
        <f>IFERROR(INDEX(PP_Grid[#Data],$DE828,64),0)</f>
        <v/>
      </c>
      <c r="BP828">
        <f>IFERROR(INDEX(PP_Grid[#Data],$DE828,65),0)</f>
        <v/>
      </c>
      <c r="BQ828">
        <f>IFERROR(INDEX(PP_Grid[#Data],$DE828,66),0)</f>
        <v/>
      </c>
      <c r="BR828">
        <f>IFERROR(INDEX(PP_Grid[#Data],$DE828,67),0)</f>
        <v/>
      </c>
      <c r="BS828">
        <f>IFERROR(INDEX(PP_Grid[#Data],$DE828,68),0)</f>
        <v/>
      </c>
      <c r="BT828">
        <f>IFERROR(INDEX(PP_Grid[#Data],$DE828,69),0)</f>
        <v/>
      </c>
      <c r="BU828">
        <f>IFERROR(INDEX(PP_Grid[#Data],$DE828,70),0)</f>
        <v/>
      </c>
      <c r="BV828">
        <f>IFERROR(INDEX(PP_Grid[#Data],$DE828,71),0)</f>
        <v/>
      </c>
      <c r="BW828">
        <f>IFERROR(INDEX(PP_Grid[#Data],$DE828,72),0)</f>
        <v/>
      </c>
      <c r="BX828">
        <f>IFERROR(INDEX(PP_Grid[#Data],$DE828,73),0)</f>
        <v/>
      </c>
      <c r="BY828">
        <f>IFERROR(INDEX(PP_Grid[#Data],$DE828,74),0)</f>
        <v/>
      </c>
      <c r="BZ828">
        <f>IFERROR(INDEX(PP_Grid[#Data],$DE828,75),0)</f>
        <v/>
      </c>
      <c r="CA828">
        <f>IFERROR(INDEX(PP_Grid[#Data],$DE828,76),0)</f>
        <v/>
      </c>
      <c r="CB828">
        <f>IFERROR(INDEX(PP_Grid[#Data],$DE828,77),0)</f>
        <v/>
      </c>
      <c r="CC828">
        <f>IFERROR(INDEX(PP_Grid[#Data],$DE828,78),0)</f>
        <v/>
      </c>
      <c r="CD828">
        <f>IFERROR(INDEX(PP_Grid[#Data],$DE828,79),0)</f>
        <v/>
      </c>
      <c r="CE828">
        <f>IFERROR(INDEX(PP_Grid[#Data],$DE828,80),0)</f>
        <v/>
      </c>
      <c r="CF828">
        <f>IFERROR(INDEX(PP_Grid[#Data],$DE828,81),0)</f>
        <v/>
      </c>
      <c r="CG828">
        <f>IFERROR(INDEX(PP_Grid[#Data],$DE828,82),0)</f>
        <v/>
      </c>
      <c r="CH828">
        <f>IFERROR(INDEX(PP_Grid[#Data],$DE828,83),0)</f>
        <v/>
      </c>
      <c r="CI828">
        <f>IFERROR(INDEX(PP_Grid[#Data],$DE828,84),0)</f>
        <v/>
      </c>
      <c r="CJ828">
        <f>IFERROR(INDEX(PP_Grid[#Data],$DE828,85),0)</f>
        <v/>
      </c>
      <c r="CK828">
        <f>IFERROR(INDEX(PP_Grid[#Data],$DE828,86),0)</f>
        <v/>
      </c>
      <c r="CL828">
        <f>IFERROR(INDEX(PP_Grid[#Data],$DE828,87),0)</f>
        <v/>
      </c>
      <c r="CM828">
        <f>IFERROR(INDEX(PP_Grid[#Data],$DE828,88),0)</f>
        <v/>
      </c>
      <c r="CN828">
        <f>IFERROR(INDEX(PP_Grid[#Data],$DE828,89),0)</f>
        <v/>
      </c>
      <c r="CO828">
        <f>IFERROR(INDEX(PP_Grid[#Data],$DE828,90),0)</f>
        <v/>
      </c>
      <c r="CP828">
        <f>IFERROR(INDEX(PP_Grid[#Data],$DE828,91),0)</f>
        <v/>
      </c>
      <c r="CQ828">
        <f>IFERROR(INDEX(PP_Grid[#Data],$DE828,92),0)</f>
        <v/>
      </c>
      <c r="CR828">
        <f>IFERROR(INDEX(PP_Grid[#Data],$DE828,93),0)</f>
        <v/>
      </c>
      <c r="CS828">
        <f>IFERROR(INDEX(PP_Grid[#Data],$DE828,94),0)</f>
        <v/>
      </c>
      <c r="CT828">
        <f>IFERROR(INDEX(PP_Grid[#Data],$DE828,95),0)</f>
        <v/>
      </c>
      <c r="CU828">
        <f>IFERROR(INDEX(PP_Grid[#Data],$DE828,96),0)</f>
        <v/>
      </c>
      <c r="CV828">
        <f>IFERROR(INDEX(PP_Grid[#Data],$DE828,97),0)</f>
        <v/>
      </c>
      <c r="CW828">
        <f>IFERROR(INDEX(PP_Grid[#Data],$DE828,98),0)</f>
        <v/>
      </c>
      <c r="CX828">
        <f>IFERROR(INDEX(PP_Grid[#Data],$DE828,99),0)</f>
        <v/>
      </c>
      <c r="CY828">
        <f>IFERROR(INDEX(PP_Grid[#Data],$DE828,100),0)</f>
        <v/>
      </c>
      <c r="CZ828">
        <f>IFERROR(INDEX(PP_Grid[#Data],$DE828,101),0)</f>
        <v/>
      </c>
      <c r="DA828">
        <f>IFERROR(INDEX(PP_Grid[#Data],$DE828,102),0)</f>
        <v/>
      </c>
      <c r="DB828">
        <f>IFERROR(INDEX(PP_Grid[#Data],$DE828,103),0)</f>
        <v/>
      </c>
      <c r="DC828">
        <f>IFERROR(INDEX(PP_Grid[#Data],$DE828,104),0)</f>
        <v/>
      </c>
      <c r="DD828">
        <f>IFERROR(INDEX(PP_Grid[#Data],$DE828,105),0)</f>
        <v/>
      </c>
      <c r="DE828" s="7">
        <f>IFERROR(MATCH($B828,PP_Grid[Intermediate],0),99999)</f>
        <v/>
      </c>
    </row>
    <row r="829">
      <c r="B829" t="inlineStr">
        <is>
          <t>使用量(kg)</t>
        </is>
      </c>
      <c r="C829">
        <f>SUMIFS(M_BOM[RM_Qty_Per_Batch],M_BOM[Intermediate],$B828,M_BOM[RM_Code],$A821)</f>
        <v/>
      </c>
      <c r="D829">
        <f>IFERROR(INDEX(E829:DD829,$F$1),"")</f>
        <v/>
      </c>
      <c r="E829">
        <f>$C829*E828</f>
        <v/>
      </c>
      <c r="F829">
        <f>$C829*F828</f>
        <v/>
      </c>
      <c r="G829">
        <f>$C829*G828</f>
        <v/>
      </c>
      <c r="H829">
        <f>$C829*H828</f>
        <v/>
      </c>
      <c r="I829">
        <f>$C829*I828</f>
        <v/>
      </c>
      <c r="J829">
        <f>$C829*J828</f>
        <v/>
      </c>
      <c r="K829">
        <f>$C829*K828</f>
        <v/>
      </c>
      <c r="L829">
        <f>$C829*L828</f>
        <v/>
      </c>
      <c r="M829">
        <f>$C829*M828</f>
        <v/>
      </c>
      <c r="N829">
        <f>$C829*N828</f>
        <v/>
      </c>
      <c r="O829">
        <f>$C829*O828</f>
        <v/>
      </c>
      <c r="P829">
        <f>$C829*P828</f>
        <v/>
      </c>
      <c r="Q829">
        <f>$C829*Q828</f>
        <v/>
      </c>
      <c r="R829">
        <f>$C829*R828</f>
        <v/>
      </c>
      <c r="S829">
        <f>$C829*S828</f>
        <v/>
      </c>
      <c r="T829">
        <f>$C829*T828</f>
        <v/>
      </c>
      <c r="U829">
        <f>$C829*U828</f>
        <v/>
      </c>
      <c r="V829">
        <f>$C829*V828</f>
        <v/>
      </c>
      <c r="W829">
        <f>$C829*W828</f>
        <v/>
      </c>
      <c r="X829">
        <f>$C829*X828</f>
        <v/>
      </c>
      <c r="Y829">
        <f>$C829*Y828</f>
        <v/>
      </c>
      <c r="Z829">
        <f>$C829*Z828</f>
        <v/>
      </c>
      <c r="AA829">
        <f>$C829*AA828</f>
        <v/>
      </c>
      <c r="AB829">
        <f>$C829*AB828</f>
        <v/>
      </c>
      <c r="AC829">
        <f>$C829*AC828</f>
        <v/>
      </c>
      <c r="AD829">
        <f>$C829*AD828</f>
        <v/>
      </c>
      <c r="AE829">
        <f>$C829*AE828</f>
        <v/>
      </c>
      <c r="AF829">
        <f>$C829*AF828</f>
        <v/>
      </c>
      <c r="AG829">
        <f>$C829*AG828</f>
        <v/>
      </c>
      <c r="AH829">
        <f>$C829*AH828</f>
        <v/>
      </c>
      <c r="AI829">
        <f>$C829*AI828</f>
        <v/>
      </c>
      <c r="AJ829">
        <f>$C829*AJ828</f>
        <v/>
      </c>
      <c r="AK829">
        <f>$C829*AK828</f>
        <v/>
      </c>
      <c r="AL829">
        <f>$C829*AL828</f>
        <v/>
      </c>
      <c r="AM829">
        <f>$C829*AM828</f>
        <v/>
      </c>
      <c r="AN829">
        <f>$C829*AN828</f>
        <v/>
      </c>
      <c r="AO829">
        <f>$C829*AO828</f>
        <v/>
      </c>
      <c r="AP829">
        <f>$C829*AP828</f>
        <v/>
      </c>
      <c r="AQ829">
        <f>$C829*AQ828</f>
        <v/>
      </c>
      <c r="AR829">
        <f>$C829*AR828</f>
        <v/>
      </c>
      <c r="AS829">
        <f>$C829*AS828</f>
        <v/>
      </c>
      <c r="AT829">
        <f>$C829*AT828</f>
        <v/>
      </c>
      <c r="AU829">
        <f>$C829*AU828</f>
        <v/>
      </c>
      <c r="AV829">
        <f>$C829*AV828</f>
        <v/>
      </c>
      <c r="AW829">
        <f>$C829*AW828</f>
        <v/>
      </c>
      <c r="AX829">
        <f>$C829*AX828</f>
        <v/>
      </c>
      <c r="AY829">
        <f>$C829*AY828</f>
        <v/>
      </c>
      <c r="AZ829">
        <f>$C829*AZ828</f>
        <v/>
      </c>
      <c r="BA829">
        <f>$C829*BA828</f>
        <v/>
      </c>
      <c r="BB829">
        <f>$C829*BB828</f>
        <v/>
      </c>
      <c r="BC829">
        <f>$C829*BC828</f>
        <v/>
      </c>
      <c r="BD829">
        <f>$C829*BD828</f>
        <v/>
      </c>
      <c r="BE829">
        <f>$C829*BE828</f>
        <v/>
      </c>
      <c r="BF829">
        <f>$C829*BF828</f>
        <v/>
      </c>
      <c r="BG829">
        <f>$C829*BG828</f>
        <v/>
      </c>
      <c r="BH829">
        <f>$C829*BH828</f>
        <v/>
      </c>
      <c r="BI829">
        <f>$C829*BI828</f>
        <v/>
      </c>
      <c r="BJ829">
        <f>$C829*BJ828</f>
        <v/>
      </c>
      <c r="BK829">
        <f>$C829*BK828</f>
        <v/>
      </c>
      <c r="BL829">
        <f>$C829*BL828</f>
        <v/>
      </c>
      <c r="BM829">
        <f>$C829*BM828</f>
        <v/>
      </c>
      <c r="BN829">
        <f>$C829*BN828</f>
        <v/>
      </c>
      <c r="BO829">
        <f>$C829*BO828</f>
        <v/>
      </c>
      <c r="BP829">
        <f>$C829*BP828</f>
        <v/>
      </c>
      <c r="BQ829">
        <f>$C829*BQ828</f>
        <v/>
      </c>
      <c r="BR829">
        <f>$C829*BR828</f>
        <v/>
      </c>
      <c r="BS829">
        <f>$C829*BS828</f>
        <v/>
      </c>
      <c r="BT829">
        <f>$C829*BT828</f>
        <v/>
      </c>
      <c r="BU829">
        <f>$C829*BU828</f>
        <v/>
      </c>
      <c r="BV829">
        <f>$C829*BV828</f>
        <v/>
      </c>
      <c r="BW829">
        <f>$C829*BW828</f>
        <v/>
      </c>
      <c r="BX829">
        <f>$C829*BX828</f>
        <v/>
      </c>
      <c r="BY829">
        <f>$C829*BY828</f>
        <v/>
      </c>
      <c r="BZ829">
        <f>$C829*BZ828</f>
        <v/>
      </c>
      <c r="CA829">
        <f>$C829*CA828</f>
        <v/>
      </c>
      <c r="CB829">
        <f>$C829*CB828</f>
        <v/>
      </c>
      <c r="CC829">
        <f>$C829*CC828</f>
        <v/>
      </c>
      <c r="CD829">
        <f>$C829*CD828</f>
        <v/>
      </c>
      <c r="CE829">
        <f>$C829*CE828</f>
        <v/>
      </c>
      <c r="CF829">
        <f>$C829*CF828</f>
        <v/>
      </c>
      <c r="CG829">
        <f>$C829*CG828</f>
        <v/>
      </c>
      <c r="CH829">
        <f>$C829*CH828</f>
        <v/>
      </c>
      <c r="CI829">
        <f>$C829*CI828</f>
        <v/>
      </c>
      <c r="CJ829">
        <f>$C829*CJ828</f>
        <v/>
      </c>
      <c r="CK829">
        <f>$C829*CK828</f>
        <v/>
      </c>
      <c r="CL829">
        <f>$C829*CL828</f>
        <v/>
      </c>
      <c r="CM829">
        <f>$C829*CM828</f>
        <v/>
      </c>
      <c r="CN829">
        <f>$C829*CN828</f>
        <v/>
      </c>
      <c r="CO829">
        <f>$C829*CO828</f>
        <v/>
      </c>
      <c r="CP829">
        <f>$C829*CP828</f>
        <v/>
      </c>
      <c r="CQ829">
        <f>$C829*CQ828</f>
        <v/>
      </c>
      <c r="CR829">
        <f>$C829*CR828</f>
        <v/>
      </c>
      <c r="CS829">
        <f>$C829*CS828</f>
        <v/>
      </c>
      <c r="CT829">
        <f>$C829*CT828</f>
        <v/>
      </c>
      <c r="CU829">
        <f>$C829*CU828</f>
        <v/>
      </c>
      <c r="CV829">
        <f>$C829*CV828</f>
        <v/>
      </c>
      <c r="CW829">
        <f>$C829*CW828</f>
        <v/>
      </c>
      <c r="CX829">
        <f>$C829*CX828</f>
        <v/>
      </c>
      <c r="CY829">
        <f>$C829*CY828</f>
        <v/>
      </c>
      <c r="CZ829">
        <f>$C829*CZ828</f>
        <v/>
      </c>
      <c r="DA829">
        <f>$C829*DA828</f>
        <v/>
      </c>
      <c r="DB829">
        <f>$C829*DB828</f>
        <v/>
      </c>
      <c r="DC829">
        <f>$C829*DC828</f>
        <v/>
      </c>
      <c r="DD829">
        <f>$C829*DD828</f>
        <v/>
      </c>
    </row>
    <row r="830">
      <c r="B830" t="inlineStr">
        <is>
          <t>VSP-603</t>
        </is>
      </c>
      <c r="C830" t="inlineStr">
        <is>
          <t>No. of batches</t>
        </is>
      </c>
      <c r="D830">
        <f>IFERROR(INDEX(E830:DD830,$F$1),"")</f>
        <v/>
      </c>
      <c r="E830">
        <f>IFERROR(INDEX(PP_Grid[#Data],$DE830,2),0)</f>
        <v/>
      </c>
      <c r="F830">
        <f>IFERROR(INDEX(PP_Grid[#Data],$DE830,3),0)</f>
        <v/>
      </c>
      <c r="G830">
        <f>IFERROR(INDEX(PP_Grid[#Data],$DE830,4),0)</f>
        <v/>
      </c>
      <c r="H830">
        <f>IFERROR(INDEX(PP_Grid[#Data],$DE830,5),0)</f>
        <v/>
      </c>
      <c r="I830">
        <f>IFERROR(INDEX(PP_Grid[#Data],$DE830,6),0)</f>
        <v/>
      </c>
      <c r="J830">
        <f>IFERROR(INDEX(PP_Grid[#Data],$DE830,7),0)</f>
        <v/>
      </c>
      <c r="K830">
        <f>IFERROR(INDEX(PP_Grid[#Data],$DE830,8),0)</f>
        <v/>
      </c>
      <c r="L830">
        <f>IFERROR(INDEX(PP_Grid[#Data],$DE830,9),0)</f>
        <v/>
      </c>
      <c r="M830">
        <f>IFERROR(INDEX(PP_Grid[#Data],$DE830,10),0)</f>
        <v/>
      </c>
      <c r="N830">
        <f>IFERROR(INDEX(PP_Grid[#Data],$DE830,11),0)</f>
        <v/>
      </c>
      <c r="O830">
        <f>IFERROR(INDEX(PP_Grid[#Data],$DE830,12),0)</f>
        <v/>
      </c>
      <c r="P830">
        <f>IFERROR(INDEX(PP_Grid[#Data],$DE830,13),0)</f>
        <v/>
      </c>
      <c r="Q830">
        <f>IFERROR(INDEX(PP_Grid[#Data],$DE830,14),0)</f>
        <v/>
      </c>
      <c r="R830">
        <f>IFERROR(INDEX(PP_Grid[#Data],$DE830,15),0)</f>
        <v/>
      </c>
      <c r="S830">
        <f>IFERROR(INDEX(PP_Grid[#Data],$DE830,16),0)</f>
        <v/>
      </c>
      <c r="T830">
        <f>IFERROR(INDEX(PP_Grid[#Data],$DE830,17),0)</f>
        <v/>
      </c>
      <c r="U830">
        <f>IFERROR(INDEX(PP_Grid[#Data],$DE830,18),0)</f>
        <v/>
      </c>
      <c r="V830">
        <f>IFERROR(INDEX(PP_Grid[#Data],$DE830,19),0)</f>
        <v/>
      </c>
      <c r="W830">
        <f>IFERROR(INDEX(PP_Grid[#Data],$DE830,20),0)</f>
        <v/>
      </c>
      <c r="X830">
        <f>IFERROR(INDEX(PP_Grid[#Data],$DE830,21),0)</f>
        <v/>
      </c>
      <c r="Y830">
        <f>IFERROR(INDEX(PP_Grid[#Data],$DE830,22),0)</f>
        <v/>
      </c>
      <c r="Z830">
        <f>IFERROR(INDEX(PP_Grid[#Data],$DE830,23),0)</f>
        <v/>
      </c>
      <c r="AA830">
        <f>IFERROR(INDEX(PP_Grid[#Data],$DE830,24),0)</f>
        <v/>
      </c>
      <c r="AB830">
        <f>IFERROR(INDEX(PP_Grid[#Data],$DE830,25),0)</f>
        <v/>
      </c>
      <c r="AC830">
        <f>IFERROR(INDEX(PP_Grid[#Data],$DE830,26),0)</f>
        <v/>
      </c>
      <c r="AD830">
        <f>IFERROR(INDEX(PP_Grid[#Data],$DE830,27),0)</f>
        <v/>
      </c>
      <c r="AE830">
        <f>IFERROR(INDEX(PP_Grid[#Data],$DE830,28),0)</f>
        <v/>
      </c>
      <c r="AF830">
        <f>IFERROR(INDEX(PP_Grid[#Data],$DE830,29),0)</f>
        <v/>
      </c>
      <c r="AG830">
        <f>IFERROR(INDEX(PP_Grid[#Data],$DE830,30),0)</f>
        <v/>
      </c>
      <c r="AH830">
        <f>IFERROR(INDEX(PP_Grid[#Data],$DE830,31),0)</f>
        <v/>
      </c>
      <c r="AI830">
        <f>IFERROR(INDEX(PP_Grid[#Data],$DE830,32),0)</f>
        <v/>
      </c>
      <c r="AJ830">
        <f>IFERROR(INDEX(PP_Grid[#Data],$DE830,33),0)</f>
        <v/>
      </c>
      <c r="AK830">
        <f>IFERROR(INDEX(PP_Grid[#Data],$DE830,34),0)</f>
        <v/>
      </c>
      <c r="AL830">
        <f>IFERROR(INDEX(PP_Grid[#Data],$DE830,35),0)</f>
        <v/>
      </c>
      <c r="AM830">
        <f>IFERROR(INDEX(PP_Grid[#Data],$DE830,36),0)</f>
        <v/>
      </c>
      <c r="AN830">
        <f>IFERROR(INDEX(PP_Grid[#Data],$DE830,37),0)</f>
        <v/>
      </c>
      <c r="AO830">
        <f>IFERROR(INDEX(PP_Grid[#Data],$DE830,38),0)</f>
        <v/>
      </c>
      <c r="AP830">
        <f>IFERROR(INDEX(PP_Grid[#Data],$DE830,39),0)</f>
        <v/>
      </c>
      <c r="AQ830">
        <f>IFERROR(INDEX(PP_Grid[#Data],$DE830,40),0)</f>
        <v/>
      </c>
      <c r="AR830">
        <f>IFERROR(INDEX(PP_Grid[#Data],$DE830,41),0)</f>
        <v/>
      </c>
      <c r="AS830">
        <f>IFERROR(INDEX(PP_Grid[#Data],$DE830,42),0)</f>
        <v/>
      </c>
      <c r="AT830">
        <f>IFERROR(INDEX(PP_Grid[#Data],$DE830,43),0)</f>
        <v/>
      </c>
      <c r="AU830">
        <f>IFERROR(INDEX(PP_Grid[#Data],$DE830,44),0)</f>
        <v/>
      </c>
      <c r="AV830">
        <f>IFERROR(INDEX(PP_Grid[#Data],$DE830,45),0)</f>
        <v/>
      </c>
      <c r="AW830">
        <f>IFERROR(INDEX(PP_Grid[#Data],$DE830,46),0)</f>
        <v/>
      </c>
      <c r="AX830">
        <f>IFERROR(INDEX(PP_Grid[#Data],$DE830,47),0)</f>
        <v/>
      </c>
      <c r="AY830">
        <f>IFERROR(INDEX(PP_Grid[#Data],$DE830,48),0)</f>
        <v/>
      </c>
      <c r="AZ830">
        <f>IFERROR(INDEX(PP_Grid[#Data],$DE830,49),0)</f>
        <v/>
      </c>
      <c r="BA830">
        <f>IFERROR(INDEX(PP_Grid[#Data],$DE830,50),0)</f>
        <v/>
      </c>
      <c r="BB830">
        <f>IFERROR(INDEX(PP_Grid[#Data],$DE830,51),0)</f>
        <v/>
      </c>
      <c r="BC830">
        <f>IFERROR(INDEX(PP_Grid[#Data],$DE830,52),0)</f>
        <v/>
      </c>
      <c r="BD830">
        <f>IFERROR(INDEX(PP_Grid[#Data],$DE830,53),0)</f>
        <v/>
      </c>
      <c r="BE830">
        <f>IFERROR(INDEX(PP_Grid[#Data],$DE830,54),0)</f>
        <v/>
      </c>
      <c r="BF830">
        <f>IFERROR(INDEX(PP_Grid[#Data],$DE830,55),0)</f>
        <v/>
      </c>
      <c r="BG830">
        <f>IFERROR(INDEX(PP_Grid[#Data],$DE830,56),0)</f>
        <v/>
      </c>
      <c r="BH830">
        <f>IFERROR(INDEX(PP_Grid[#Data],$DE830,57),0)</f>
        <v/>
      </c>
      <c r="BI830">
        <f>IFERROR(INDEX(PP_Grid[#Data],$DE830,58),0)</f>
        <v/>
      </c>
      <c r="BJ830">
        <f>IFERROR(INDEX(PP_Grid[#Data],$DE830,59),0)</f>
        <v/>
      </c>
      <c r="BK830">
        <f>IFERROR(INDEX(PP_Grid[#Data],$DE830,60),0)</f>
        <v/>
      </c>
      <c r="BL830">
        <f>IFERROR(INDEX(PP_Grid[#Data],$DE830,61),0)</f>
        <v/>
      </c>
      <c r="BM830">
        <f>IFERROR(INDEX(PP_Grid[#Data],$DE830,62),0)</f>
        <v/>
      </c>
      <c r="BN830">
        <f>IFERROR(INDEX(PP_Grid[#Data],$DE830,63),0)</f>
        <v/>
      </c>
      <c r="BO830">
        <f>IFERROR(INDEX(PP_Grid[#Data],$DE830,64),0)</f>
        <v/>
      </c>
      <c r="BP830">
        <f>IFERROR(INDEX(PP_Grid[#Data],$DE830,65),0)</f>
        <v/>
      </c>
      <c r="BQ830">
        <f>IFERROR(INDEX(PP_Grid[#Data],$DE830,66),0)</f>
        <v/>
      </c>
      <c r="BR830">
        <f>IFERROR(INDEX(PP_Grid[#Data],$DE830,67),0)</f>
        <v/>
      </c>
      <c r="BS830">
        <f>IFERROR(INDEX(PP_Grid[#Data],$DE830,68),0)</f>
        <v/>
      </c>
      <c r="BT830">
        <f>IFERROR(INDEX(PP_Grid[#Data],$DE830,69),0)</f>
        <v/>
      </c>
      <c r="BU830">
        <f>IFERROR(INDEX(PP_Grid[#Data],$DE830,70),0)</f>
        <v/>
      </c>
      <c r="BV830">
        <f>IFERROR(INDEX(PP_Grid[#Data],$DE830,71),0)</f>
        <v/>
      </c>
      <c r="BW830">
        <f>IFERROR(INDEX(PP_Grid[#Data],$DE830,72),0)</f>
        <v/>
      </c>
      <c r="BX830">
        <f>IFERROR(INDEX(PP_Grid[#Data],$DE830,73),0)</f>
        <v/>
      </c>
      <c r="BY830">
        <f>IFERROR(INDEX(PP_Grid[#Data],$DE830,74),0)</f>
        <v/>
      </c>
      <c r="BZ830">
        <f>IFERROR(INDEX(PP_Grid[#Data],$DE830,75),0)</f>
        <v/>
      </c>
      <c r="CA830">
        <f>IFERROR(INDEX(PP_Grid[#Data],$DE830,76),0)</f>
        <v/>
      </c>
      <c r="CB830">
        <f>IFERROR(INDEX(PP_Grid[#Data],$DE830,77),0)</f>
        <v/>
      </c>
      <c r="CC830">
        <f>IFERROR(INDEX(PP_Grid[#Data],$DE830,78),0)</f>
        <v/>
      </c>
      <c r="CD830">
        <f>IFERROR(INDEX(PP_Grid[#Data],$DE830,79),0)</f>
        <v/>
      </c>
      <c r="CE830">
        <f>IFERROR(INDEX(PP_Grid[#Data],$DE830,80),0)</f>
        <v/>
      </c>
      <c r="CF830">
        <f>IFERROR(INDEX(PP_Grid[#Data],$DE830,81),0)</f>
        <v/>
      </c>
      <c r="CG830">
        <f>IFERROR(INDEX(PP_Grid[#Data],$DE830,82),0)</f>
        <v/>
      </c>
      <c r="CH830">
        <f>IFERROR(INDEX(PP_Grid[#Data],$DE830,83),0)</f>
        <v/>
      </c>
      <c r="CI830">
        <f>IFERROR(INDEX(PP_Grid[#Data],$DE830,84),0)</f>
        <v/>
      </c>
      <c r="CJ830">
        <f>IFERROR(INDEX(PP_Grid[#Data],$DE830,85),0)</f>
        <v/>
      </c>
      <c r="CK830">
        <f>IFERROR(INDEX(PP_Grid[#Data],$DE830,86),0)</f>
        <v/>
      </c>
      <c r="CL830">
        <f>IFERROR(INDEX(PP_Grid[#Data],$DE830,87),0)</f>
        <v/>
      </c>
      <c r="CM830">
        <f>IFERROR(INDEX(PP_Grid[#Data],$DE830,88),0)</f>
        <v/>
      </c>
      <c r="CN830">
        <f>IFERROR(INDEX(PP_Grid[#Data],$DE830,89),0)</f>
        <v/>
      </c>
      <c r="CO830">
        <f>IFERROR(INDEX(PP_Grid[#Data],$DE830,90),0)</f>
        <v/>
      </c>
      <c r="CP830">
        <f>IFERROR(INDEX(PP_Grid[#Data],$DE830,91),0)</f>
        <v/>
      </c>
      <c r="CQ830">
        <f>IFERROR(INDEX(PP_Grid[#Data],$DE830,92),0)</f>
        <v/>
      </c>
      <c r="CR830">
        <f>IFERROR(INDEX(PP_Grid[#Data],$DE830,93),0)</f>
        <v/>
      </c>
      <c r="CS830">
        <f>IFERROR(INDEX(PP_Grid[#Data],$DE830,94),0)</f>
        <v/>
      </c>
      <c r="CT830">
        <f>IFERROR(INDEX(PP_Grid[#Data],$DE830,95),0)</f>
        <v/>
      </c>
      <c r="CU830">
        <f>IFERROR(INDEX(PP_Grid[#Data],$DE830,96),0)</f>
        <v/>
      </c>
      <c r="CV830">
        <f>IFERROR(INDEX(PP_Grid[#Data],$DE830,97),0)</f>
        <v/>
      </c>
      <c r="CW830">
        <f>IFERROR(INDEX(PP_Grid[#Data],$DE830,98),0)</f>
        <v/>
      </c>
      <c r="CX830">
        <f>IFERROR(INDEX(PP_Grid[#Data],$DE830,99),0)</f>
        <v/>
      </c>
      <c r="CY830">
        <f>IFERROR(INDEX(PP_Grid[#Data],$DE830,100),0)</f>
        <v/>
      </c>
      <c r="CZ830">
        <f>IFERROR(INDEX(PP_Grid[#Data],$DE830,101),0)</f>
        <v/>
      </c>
      <c r="DA830">
        <f>IFERROR(INDEX(PP_Grid[#Data],$DE830,102),0)</f>
        <v/>
      </c>
      <c r="DB830">
        <f>IFERROR(INDEX(PP_Grid[#Data],$DE830,103),0)</f>
        <v/>
      </c>
      <c r="DC830">
        <f>IFERROR(INDEX(PP_Grid[#Data],$DE830,104),0)</f>
        <v/>
      </c>
      <c r="DD830">
        <f>IFERROR(INDEX(PP_Grid[#Data],$DE830,105),0)</f>
        <v/>
      </c>
      <c r="DE830" s="7">
        <f>IFERROR(MATCH($B830,PP_Grid[Intermediate],0),99999)</f>
        <v/>
      </c>
    </row>
    <row r="831">
      <c r="B831" t="inlineStr">
        <is>
          <t>使用量(kg)</t>
        </is>
      </c>
      <c r="C831">
        <f>SUMIFS(M_BOM[RM_Qty_Per_Batch],M_BOM[Intermediate],$B830,M_BOM[RM_Code],$A821)</f>
        <v/>
      </c>
      <c r="D831">
        <f>IFERROR(INDEX(E831:DD831,$F$1),"")</f>
        <v/>
      </c>
      <c r="E831">
        <f>$C831*E830</f>
        <v/>
      </c>
      <c r="F831">
        <f>$C831*F830</f>
        <v/>
      </c>
      <c r="G831">
        <f>$C831*G830</f>
        <v/>
      </c>
      <c r="H831">
        <f>$C831*H830</f>
        <v/>
      </c>
      <c r="I831">
        <f>$C831*I830</f>
        <v/>
      </c>
      <c r="J831">
        <f>$C831*J830</f>
        <v/>
      </c>
      <c r="K831">
        <f>$C831*K830</f>
        <v/>
      </c>
      <c r="L831">
        <f>$C831*L830</f>
        <v/>
      </c>
      <c r="M831">
        <f>$C831*M830</f>
        <v/>
      </c>
      <c r="N831">
        <f>$C831*N830</f>
        <v/>
      </c>
      <c r="O831">
        <f>$C831*O830</f>
        <v/>
      </c>
      <c r="P831">
        <f>$C831*P830</f>
        <v/>
      </c>
      <c r="Q831">
        <f>$C831*Q830</f>
        <v/>
      </c>
      <c r="R831">
        <f>$C831*R830</f>
        <v/>
      </c>
      <c r="S831">
        <f>$C831*S830</f>
        <v/>
      </c>
      <c r="T831">
        <f>$C831*T830</f>
        <v/>
      </c>
      <c r="U831">
        <f>$C831*U830</f>
        <v/>
      </c>
      <c r="V831">
        <f>$C831*V830</f>
        <v/>
      </c>
      <c r="W831">
        <f>$C831*W830</f>
        <v/>
      </c>
      <c r="X831">
        <f>$C831*X830</f>
        <v/>
      </c>
      <c r="Y831">
        <f>$C831*Y830</f>
        <v/>
      </c>
      <c r="Z831">
        <f>$C831*Z830</f>
        <v/>
      </c>
      <c r="AA831">
        <f>$C831*AA830</f>
        <v/>
      </c>
      <c r="AB831">
        <f>$C831*AB830</f>
        <v/>
      </c>
      <c r="AC831">
        <f>$C831*AC830</f>
        <v/>
      </c>
      <c r="AD831">
        <f>$C831*AD830</f>
        <v/>
      </c>
      <c r="AE831">
        <f>$C831*AE830</f>
        <v/>
      </c>
      <c r="AF831">
        <f>$C831*AF830</f>
        <v/>
      </c>
      <c r="AG831">
        <f>$C831*AG830</f>
        <v/>
      </c>
      <c r="AH831">
        <f>$C831*AH830</f>
        <v/>
      </c>
      <c r="AI831">
        <f>$C831*AI830</f>
        <v/>
      </c>
      <c r="AJ831">
        <f>$C831*AJ830</f>
        <v/>
      </c>
      <c r="AK831">
        <f>$C831*AK830</f>
        <v/>
      </c>
      <c r="AL831">
        <f>$C831*AL830</f>
        <v/>
      </c>
      <c r="AM831">
        <f>$C831*AM830</f>
        <v/>
      </c>
      <c r="AN831">
        <f>$C831*AN830</f>
        <v/>
      </c>
      <c r="AO831">
        <f>$C831*AO830</f>
        <v/>
      </c>
      <c r="AP831">
        <f>$C831*AP830</f>
        <v/>
      </c>
      <c r="AQ831">
        <f>$C831*AQ830</f>
        <v/>
      </c>
      <c r="AR831">
        <f>$C831*AR830</f>
        <v/>
      </c>
      <c r="AS831">
        <f>$C831*AS830</f>
        <v/>
      </c>
      <c r="AT831">
        <f>$C831*AT830</f>
        <v/>
      </c>
      <c r="AU831">
        <f>$C831*AU830</f>
        <v/>
      </c>
      <c r="AV831">
        <f>$C831*AV830</f>
        <v/>
      </c>
      <c r="AW831">
        <f>$C831*AW830</f>
        <v/>
      </c>
      <c r="AX831">
        <f>$C831*AX830</f>
        <v/>
      </c>
      <c r="AY831">
        <f>$C831*AY830</f>
        <v/>
      </c>
      <c r="AZ831">
        <f>$C831*AZ830</f>
        <v/>
      </c>
      <c r="BA831">
        <f>$C831*BA830</f>
        <v/>
      </c>
      <c r="BB831">
        <f>$C831*BB830</f>
        <v/>
      </c>
      <c r="BC831">
        <f>$C831*BC830</f>
        <v/>
      </c>
      <c r="BD831">
        <f>$C831*BD830</f>
        <v/>
      </c>
      <c r="BE831">
        <f>$C831*BE830</f>
        <v/>
      </c>
      <c r="BF831">
        <f>$C831*BF830</f>
        <v/>
      </c>
      <c r="BG831">
        <f>$C831*BG830</f>
        <v/>
      </c>
      <c r="BH831">
        <f>$C831*BH830</f>
        <v/>
      </c>
      <c r="BI831">
        <f>$C831*BI830</f>
        <v/>
      </c>
      <c r="BJ831">
        <f>$C831*BJ830</f>
        <v/>
      </c>
      <c r="BK831">
        <f>$C831*BK830</f>
        <v/>
      </c>
      <c r="BL831">
        <f>$C831*BL830</f>
        <v/>
      </c>
      <c r="BM831">
        <f>$C831*BM830</f>
        <v/>
      </c>
      <c r="BN831">
        <f>$C831*BN830</f>
        <v/>
      </c>
      <c r="BO831">
        <f>$C831*BO830</f>
        <v/>
      </c>
      <c r="BP831">
        <f>$C831*BP830</f>
        <v/>
      </c>
      <c r="BQ831">
        <f>$C831*BQ830</f>
        <v/>
      </c>
      <c r="BR831">
        <f>$C831*BR830</f>
        <v/>
      </c>
      <c r="BS831">
        <f>$C831*BS830</f>
        <v/>
      </c>
      <c r="BT831">
        <f>$C831*BT830</f>
        <v/>
      </c>
      <c r="BU831">
        <f>$C831*BU830</f>
        <v/>
      </c>
      <c r="BV831">
        <f>$C831*BV830</f>
        <v/>
      </c>
      <c r="BW831">
        <f>$C831*BW830</f>
        <v/>
      </c>
      <c r="BX831">
        <f>$C831*BX830</f>
        <v/>
      </c>
      <c r="BY831">
        <f>$C831*BY830</f>
        <v/>
      </c>
      <c r="BZ831">
        <f>$C831*BZ830</f>
        <v/>
      </c>
      <c r="CA831">
        <f>$C831*CA830</f>
        <v/>
      </c>
      <c r="CB831">
        <f>$C831*CB830</f>
        <v/>
      </c>
      <c r="CC831">
        <f>$C831*CC830</f>
        <v/>
      </c>
      <c r="CD831">
        <f>$C831*CD830</f>
        <v/>
      </c>
      <c r="CE831">
        <f>$C831*CE830</f>
        <v/>
      </c>
      <c r="CF831">
        <f>$C831*CF830</f>
        <v/>
      </c>
      <c r="CG831">
        <f>$C831*CG830</f>
        <v/>
      </c>
      <c r="CH831">
        <f>$C831*CH830</f>
        <v/>
      </c>
      <c r="CI831">
        <f>$C831*CI830</f>
        <v/>
      </c>
      <c r="CJ831">
        <f>$C831*CJ830</f>
        <v/>
      </c>
      <c r="CK831">
        <f>$C831*CK830</f>
        <v/>
      </c>
      <c r="CL831">
        <f>$C831*CL830</f>
        <v/>
      </c>
      <c r="CM831">
        <f>$C831*CM830</f>
        <v/>
      </c>
      <c r="CN831">
        <f>$C831*CN830</f>
        <v/>
      </c>
      <c r="CO831">
        <f>$C831*CO830</f>
        <v/>
      </c>
      <c r="CP831">
        <f>$C831*CP830</f>
        <v/>
      </c>
      <c r="CQ831">
        <f>$C831*CQ830</f>
        <v/>
      </c>
      <c r="CR831">
        <f>$C831*CR830</f>
        <v/>
      </c>
      <c r="CS831">
        <f>$C831*CS830</f>
        <v/>
      </c>
      <c r="CT831">
        <f>$C831*CT830</f>
        <v/>
      </c>
      <c r="CU831">
        <f>$C831*CU830</f>
        <v/>
      </c>
      <c r="CV831">
        <f>$C831*CV830</f>
        <v/>
      </c>
      <c r="CW831">
        <f>$C831*CW830</f>
        <v/>
      </c>
      <c r="CX831">
        <f>$C831*CX830</f>
        <v/>
      </c>
      <c r="CY831">
        <f>$C831*CY830</f>
        <v/>
      </c>
      <c r="CZ831">
        <f>$C831*CZ830</f>
        <v/>
      </c>
      <c r="DA831">
        <f>$C831*DA830</f>
        <v/>
      </c>
      <c r="DB831">
        <f>$C831*DB830</f>
        <v/>
      </c>
      <c r="DC831">
        <f>$C831*DC830</f>
        <v/>
      </c>
      <c r="DD831">
        <f>$C831*DD830</f>
        <v/>
      </c>
    </row>
    <row r="832">
      <c r="B832" t="inlineStr">
        <is>
          <t>VSP-604</t>
        </is>
      </c>
      <c r="C832" t="inlineStr">
        <is>
          <t>No. of batches</t>
        </is>
      </c>
      <c r="D832">
        <f>IFERROR(INDEX(E832:DD832,$F$1),"")</f>
        <v/>
      </c>
      <c r="E832">
        <f>IFERROR(INDEX(PP_Grid[#Data],$DE832,2),0)</f>
        <v/>
      </c>
      <c r="F832">
        <f>IFERROR(INDEX(PP_Grid[#Data],$DE832,3),0)</f>
        <v/>
      </c>
      <c r="G832">
        <f>IFERROR(INDEX(PP_Grid[#Data],$DE832,4),0)</f>
        <v/>
      </c>
      <c r="H832">
        <f>IFERROR(INDEX(PP_Grid[#Data],$DE832,5),0)</f>
        <v/>
      </c>
      <c r="I832">
        <f>IFERROR(INDEX(PP_Grid[#Data],$DE832,6),0)</f>
        <v/>
      </c>
      <c r="J832">
        <f>IFERROR(INDEX(PP_Grid[#Data],$DE832,7),0)</f>
        <v/>
      </c>
      <c r="K832">
        <f>IFERROR(INDEX(PP_Grid[#Data],$DE832,8),0)</f>
        <v/>
      </c>
      <c r="L832">
        <f>IFERROR(INDEX(PP_Grid[#Data],$DE832,9),0)</f>
        <v/>
      </c>
      <c r="M832">
        <f>IFERROR(INDEX(PP_Grid[#Data],$DE832,10),0)</f>
        <v/>
      </c>
      <c r="N832">
        <f>IFERROR(INDEX(PP_Grid[#Data],$DE832,11),0)</f>
        <v/>
      </c>
      <c r="O832">
        <f>IFERROR(INDEX(PP_Grid[#Data],$DE832,12),0)</f>
        <v/>
      </c>
      <c r="P832">
        <f>IFERROR(INDEX(PP_Grid[#Data],$DE832,13),0)</f>
        <v/>
      </c>
      <c r="Q832">
        <f>IFERROR(INDEX(PP_Grid[#Data],$DE832,14),0)</f>
        <v/>
      </c>
      <c r="R832">
        <f>IFERROR(INDEX(PP_Grid[#Data],$DE832,15),0)</f>
        <v/>
      </c>
      <c r="S832">
        <f>IFERROR(INDEX(PP_Grid[#Data],$DE832,16),0)</f>
        <v/>
      </c>
      <c r="T832">
        <f>IFERROR(INDEX(PP_Grid[#Data],$DE832,17),0)</f>
        <v/>
      </c>
      <c r="U832">
        <f>IFERROR(INDEX(PP_Grid[#Data],$DE832,18),0)</f>
        <v/>
      </c>
      <c r="V832">
        <f>IFERROR(INDEX(PP_Grid[#Data],$DE832,19),0)</f>
        <v/>
      </c>
      <c r="W832">
        <f>IFERROR(INDEX(PP_Grid[#Data],$DE832,20),0)</f>
        <v/>
      </c>
      <c r="X832">
        <f>IFERROR(INDEX(PP_Grid[#Data],$DE832,21),0)</f>
        <v/>
      </c>
      <c r="Y832">
        <f>IFERROR(INDEX(PP_Grid[#Data],$DE832,22),0)</f>
        <v/>
      </c>
      <c r="Z832">
        <f>IFERROR(INDEX(PP_Grid[#Data],$DE832,23),0)</f>
        <v/>
      </c>
      <c r="AA832">
        <f>IFERROR(INDEX(PP_Grid[#Data],$DE832,24),0)</f>
        <v/>
      </c>
      <c r="AB832">
        <f>IFERROR(INDEX(PP_Grid[#Data],$DE832,25),0)</f>
        <v/>
      </c>
      <c r="AC832">
        <f>IFERROR(INDEX(PP_Grid[#Data],$DE832,26),0)</f>
        <v/>
      </c>
      <c r="AD832">
        <f>IFERROR(INDEX(PP_Grid[#Data],$DE832,27),0)</f>
        <v/>
      </c>
      <c r="AE832">
        <f>IFERROR(INDEX(PP_Grid[#Data],$DE832,28),0)</f>
        <v/>
      </c>
      <c r="AF832">
        <f>IFERROR(INDEX(PP_Grid[#Data],$DE832,29),0)</f>
        <v/>
      </c>
      <c r="AG832">
        <f>IFERROR(INDEX(PP_Grid[#Data],$DE832,30),0)</f>
        <v/>
      </c>
      <c r="AH832">
        <f>IFERROR(INDEX(PP_Grid[#Data],$DE832,31),0)</f>
        <v/>
      </c>
      <c r="AI832">
        <f>IFERROR(INDEX(PP_Grid[#Data],$DE832,32),0)</f>
        <v/>
      </c>
      <c r="AJ832">
        <f>IFERROR(INDEX(PP_Grid[#Data],$DE832,33),0)</f>
        <v/>
      </c>
      <c r="AK832">
        <f>IFERROR(INDEX(PP_Grid[#Data],$DE832,34),0)</f>
        <v/>
      </c>
      <c r="AL832">
        <f>IFERROR(INDEX(PP_Grid[#Data],$DE832,35),0)</f>
        <v/>
      </c>
      <c r="AM832">
        <f>IFERROR(INDEX(PP_Grid[#Data],$DE832,36),0)</f>
        <v/>
      </c>
      <c r="AN832">
        <f>IFERROR(INDEX(PP_Grid[#Data],$DE832,37),0)</f>
        <v/>
      </c>
      <c r="AO832">
        <f>IFERROR(INDEX(PP_Grid[#Data],$DE832,38),0)</f>
        <v/>
      </c>
      <c r="AP832">
        <f>IFERROR(INDEX(PP_Grid[#Data],$DE832,39),0)</f>
        <v/>
      </c>
      <c r="AQ832">
        <f>IFERROR(INDEX(PP_Grid[#Data],$DE832,40),0)</f>
        <v/>
      </c>
      <c r="AR832">
        <f>IFERROR(INDEX(PP_Grid[#Data],$DE832,41),0)</f>
        <v/>
      </c>
      <c r="AS832">
        <f>IFERROR(INDEX(PP_Grid[#Data],$DE832,42),0)</f>
        <v/>
      </c>
      <c r="AT832">
        <f>IFERROR(INDEX(PP_Grid[#Data],$DE832,43),0)</f>
        <v/>
      </c>
      <c r="AU832">
        <f>IFERROR(INDEX(PP_Grid[#Data],$DE832,44),0)</f>
        <v/>
      </c>
      <c r="AV832">
        <f>IFERROR(INDEX(PP_Grid[#Data],$DE832,45),0)</f>
        <v/>
      </c>
      <c r="AW832">
        <f>IFERROR(INDEX(PP_Grid[#Data],$DE832,46),0)</f>
        <v/>
      </c>
      <c r="AX832">
        <f>IFERROR(INDEX(PP_Grid[#Data],$DE832,47),0)</f>
        <v/>
      </c>
      <c r="AY832">
        <f>IFERROR(INDEX(PP_Grid[#Data],$DE832,48),0)</f>
        <v/>
      </c>
      <c r="AZ832">
        <f>IFERROR(INDEX(PP_Grid[#Data],$DE832,49),0)</f>
        <v/>
      </c>
      <c r="BA832">
        <f>IFERROR(INDEX(PP_Grid[#Data],$DE832,50),0)</f>
        <v/>
      </c>
      <c r="BB832">
        <f>IFERROR(INDEX(PP_Grid[#Data],$DE832,51),0)</f>
        <v/>
      </c>
      <c r="BC832">
        <f>IFERROR(INDEX(PP_Grid[#Data],$DE832,52),0)</f>
        <v/>
      </c>
      <c r="BD832">
        <f>IFERROR(INDEX(PP_Grid[#Data],$DE832,53),0)</f>
        <v/>
      </c>
      <c r="BE832">
        <f>IFERROR(INDEX(PP_Grid[#Data],$DE832,54),0)</f>
        <v/>
      </c>
      <c r="BF832">
        <f>IFERROR(INDEX(PP_Grid[#Data],$DE832,55),0)</f>
        <v/>
      </c>
      <c r="BG832">
        <f>IFERROR(INDEX(PP_Grid[#Data],$DE832,56),0)</f>
        <v/>
      </c>
      <c r="BH832">
        <f>IFERROR(INDEX(PP_Grid[#Data],$DE832,57),0)</f>
        <v/>
      </c>
      <c r="BI832">
        <f>IFERROR(INDEX(PP_Grid[#Data],$DE832,58),0)</f>
        <v/>
      </c>
      <c r="BJ832">
        <f>IFERROR(INDEX(PP_Grid[#Data],$DE832,59),0)</f>
        <v/>
      </c>
      <c r="BK832">
        <f>IFERROR(INDEX(PP_Grid[#Data],$DE832,60),0)</f>
        <v/>
      </c>
      <c r="BL832">
        <f>IFERROR(INDEX(PP_Grid[#Data],$DE832,61),0)</f>
        <v/>
      </c>
      <c r="BM832">
        <f>IFERROR(INDEX(PP_Grid[#Data],$DE832,62),0)</f>
        <v/>
      </c>
      <c r="BN832">
        <f>IFERROR(INDEX(PP_Grid[#Data],$DE832,63),0)</f>
        <v/>
      </c>
      <c r="BO832">
        <f>IFERROR(INDEX(PP_Grid[#Data],$DE832,64),0)</f>
        <v/>
      </c>
      <c r="BP832">
        <f>IFERROR(INDEX(PP_Grid[#Data],$DE832,65),0)</f>
        <v/>
      </c>
      <c r="BQ832">
        <f>IFERROR(INDEX(PP_Grid[#Data],$DE832,66),0)</f>
        <v/>
      </c>
      <c r="BR832">
        <f>IFERROR(INDEX(PP_Grid[#Data],$DE832,67),0)</f>
        <v/>
      </c>
      <c r="BS832">
        <f>IFERROR(INDEX(PP_Grid[#Data],$DE832,68),0)</f>
        <v/>
      </c>
      <c r="BT832">
        <f>IFERROR(INDEX(PP_Grid[#Data],$DE832,69),0)</f>
        <v/>
      </c>
      <c r="BU832">
        <f>IFERROR(INDEX(PP_Grid[#Data],$DE832,70),0)</f>
        <v/>
      </c>
      <c r="BV832">
        <f>IFERROR(INDEX(PP_Grid[#Data],$DE832,71),0)</f>
        <v/>
      </c>
      <c r="BW832">
        <f>IFERROR(INDEX(PP_Grid[#Data],$DE832,72),0)</f>
        <v/>
      </c>
      <c r="BX832">
        <f>IFERROR(INDEX(PP_Grid[#Data],$DE832,73),0)</f>
        <v/>
      </c>
      <c r="BY832">
        <f>IFERROR(INDEX(PP_Grid[#Data],$DE832,74),0)</f>
        <v/>
      </c>
      <c r="BZ832">
        <f>IFERROR(INDEX(PP_Grid[#Data],$DE832,75),0)</f>
        <v/>
      </c>
      <c r="CA832">
        <f>IFERROR(INDEX(PP_Grid[#Data],$DE832,76),0)</f>
        <v/>
      </c>
      <c r="CB832">
        <f>IFERROR(INDEX(PP_Grid[#Data],$DE832,77),0)</f>
        <v/>
      </c>
      <c r="CC832">
        <f>IFERROR(INDEX(PP_Grid[#Data],$DE832,78),0)</f>
        <v/>
      </c>
      <c r="CD832">
        <f>IFERROR(INDEX(PP_Grid[#Data],$DE832,79),0)</f>
        <v/>
      </c>
      <c r="CE832">
        <f>IFERROR(INDEX(PP_Grid[#Data],$DE832,80),0)</f>
        <v/>
      </c>
      <c r="CF832">
        <f>IFERROR(INDEX(PP_Grid[#Data],$DE832,81),0)</f>
        <v/>
      </c>
      <c r="CG832">
        <f>IFERROR(INDEX(PP_Grid[#Data],$DE832,82),0)</f>
        <v/>
      </c>
      <c r="CH832">
        <f>IFERROR(INDEX(PP_Grid[#Data],$DE832,83),0)</f>
        <v/>
      </c>
      <c r="CI832">
        <f>IFERROR(INDEX(PP_Grid[#Data],$DE832,84),0)</f>
        <v/>
      </c>
      <c r="CJ832">
        <f>IFERROR(INDEX(PP_Grid[#Data],$DE832,85),0)</f>
        <v/>
      </c>
      <c r="CK832">
        <f>IFERROR(INDEX(PP_Grid[#Data],$DE832,86),0)</f>
        <v/>
      </c>
      <c r="CL832">
        <f>IFERROR(INDEX(PP_Grid[#Data],$DE832,87),0)</f>
        <v/>
      </c>
      <c r="CM832">
        <f>IFERROR(INDEX(PP_Grid[#Data],$DE832,88),0)</f>
        <v/>
      </c>
      <c r="CN832">
        <f>IFERROR(INDEX(PP_Grid[#Data],$DE832,89),0)</f>
        <v/>
      </c>
      <c r="CO832">
        <f>IFERROR(INDEX(PP_Grid[#Data],$DE832,90),0)</f>
        <v/>
      </c>
      <c r="CP832">
        <f>IFERROR(INDEX(PP_Grid[#Data],$DE832,91),0)</f>
        <v/>
      </c>
      <c r="CQ832">
        <f>IFERROR(INDEX(PP_Grid[#Data],$DE832,92),0)</f>
        <v/>
      </c>
      <c r="CR832">
        <f>IFERROR(INDEX(PP_Grid[#Data],$DE832,93),0)</f>
        <v/>
      </c>
      <c r="CS832">
        <f>IFERROR(INDEX(PP_Grid[#Data],$DE832,94),0)</f>
        <v/>
      </c>
      <c r="CT832">
        <f>IFERROR(INDEX(PP_Grid[#Data],$DE832,95),0)</f>
        <v/>
      </c>
      <c r="CU832">
        <f>IFERROR(INDEX(PP_Grid[#Data],$DE832,96),0)</f>
        <v/>
      </c>
      <c r="CV832">
        <f>IFERROR(INDEX(PP_Grid[#Data],$DE832,97),0)</f>
        <v/>
      </c>
      <c r="CW832">
        <f>IFERROR(INDEX(PP_Grid[#Data],$DE832,98),0)</f>
        <v/>
      </c>
      <c r="CX832">
        <f>IFERROR(INDEX(PP_Grid[#Data],$DE832,99),0)</f>
        <v/>
      </c>
      <c r="CY832">
        <f>IFERROR(INDEX(PP_Grid[#Data],$DE832,100),0)</f>
        <v/>
      </c>
      <c r="CZ832">
        <f>IFERROR(INDEX(PP_Grid[#Data],$DE832,101),0)</f>
        <v/>
      </c>
      <c r="DA832">
        <f>IFERROR(INDEX(PP_Grid[#Data],$DE832,102),0)</f>
        <v/>
      </c>
      <c r="DB832">
        <f>IFERROR(INDEX(PP_Grid[#Data],$DE832,103),0)</f>
        <v/>
      </c>
      <c r="DC832">
        <f>IFERROR(INDEX(PP_Grid[#Data],$DE832,104),0)</f>
        <v/>
      </c>
      <c r="DD832">
        <f>IFERROR(INDEX(PP_Grid[#Data],$DE832,105),0)</f>
        <v/>
      </c>
      <c r="DE832" s="7">
        <f>IFERROR(MATCH($B832,PP_Grid[Intermediate],0),99999)</f>
        <v/>
      </c>
    </row>
    <row r="833">
      <c r="B833" t="inlineStr">
        <is>
          <t>使用量(kg)</t>
        </is>
      </c>
      <c r="C833">
        <f>SUMIFS(M_BOM[RM_Qty_Per_Batch],M_BOM[Intermediate],$B832,M_BOM[RM_Code],$A821)</f>
        <v/>
      </c>
      <c r="D833">
        <f>IFERROR(INDEX(E833:DD833,$F$1),"")</f>
        <v/>
      </c>
      <c r="E833">
        <f>$C833*E832</f>
        <v/>
      </c>
      <c r="F833">
        <f>$C833*F832</f>
        <v/>
      </c>
      <c r="G833">
        <f>$C833*G832</f>
        <v/>
      </c>
      <c r="H833">
        <f>$C833*H832</f>
        <v/>
      </c>
      <c r="I833">
        <f>$C833*I832</f>
        <v/>
      </c>
      <c r="J833">
        <f>$C833*J832</f>
        <v/>
      </c>
      <c r="K833">
        <f>$C833*K832</f>
        <v/>
      </c>
      <c r="L833">
        <f>$C833*L832</f>
        <v/>
      </c>
      <c r="M833">
        <f>$C833*M832</f>
        <v/>
      </c>
      <c r="N833">
        <f>$C833*N832</f>
        <v/>
      </c>
      <c r="O833">
        <f>$C833*O832</f>
        <v/>
      </c>
      <c r="P833">
        <f>$C833*P832</f>
        <v/>
      </c>
      <c r="Q833">
        <f>$C833*Q832</f>
        <v/>
      </c>
      <c r="R833">
        <f>$C833*R832</f>
        <v/>
      </c>
      <c r="S833">
        <f>$C833*S832</f>
        <v/>
      </c>
      <c r="T833">
        <f>$C833*T832</f>
        <v/>
      </c>
      <c r="U833">
        <f>$C833*U832</f>
        <v/>
      </c>
      <c r="V833">
        <f>$C833*V832</f>
        <v/>
      </c>
      <c r="W833">
        <f>$C833*W832</f>
        <v/>
      </c>
      <c r="X833">
        <f>$C833*X832</f>
        <v/>
      </c>
      <c r="Y833">
        <f>$C833*Y832</f>
        <v/>
      </c>
      <c r="Z833">
        <f>$C833*Z832</f>
        <v/>
      </c>
      <c r="AA833">
        <f>$C833*AA832</f>
        <v/>
      </c>
      <c r="AB833">
        <f>$C833*AB832</f>
        <v/>
      </c>
      <c r="AC833">
        <f>$C833*AC832</f>
        <v/>
      </c>
      <c r="AD833">
        <f>$C833*AD832</f>
        <v/>
      </c>
      <c r="AE833">
        <f>$C833*AE832</f>
        <v/>
      </c>
      <c r="AF833">
        <f>$C833*AF832</f>
        <v/>
      </c>
      <c r="AG833">
        <f>$C833*AG832</f>
        <v/>
      </c>
      <c r="AH833">
        <f>$C833*AH832</f>
        <v/>
      </c>
      <c r="AI833">
        <f>$C833*AI832</f>
        <v/>
      </c>
      <c r="AJ833">
        <f>$C833*AJ832</f>
        <v/>
      </c>
      <c r="AK833">
        <f>$C833*AK832</f>
        <v/>
      </c>
      <c r="AL833">
        <f>$C833*AL832</f>
        <v/>
      </c>
      <c r="AM833">
        <f>$C833*AM832</f>
        <v/>
      </c>
      <c r="AN833">
        <f>$C833*AN832</f>
        <v/>
      </c>
      <c r="AO833">
        <f>$C833*AO832</f>
        <v/>
      </c>
      <c r="AP833">
        <f>$C833*AP832</f>
        <v/>
      </c>
      <c r="AQ833">
        <f>$C833*AQ832</f>
        <v/>
      </c>
      <c r="AR833">
        <f>$C833*AR832</f>
        <v/>
      </c>
      <c r="AS833">
        <f>$C833*AS832</f>
        <v/>
      </c>
      <c r="AT833">
        <f>$C833*AT832</f>
        <v/>
      </c>
      <c r="AU833">
        <f>$C833*AU832</f>
        <v/>
      </c>
      <c r="AV833">
        <f>$C833*AV832</f>
        <v/>
      </c>
      <c r="AW833">
        <f>$C833*AW832</f>
        <v/>
      </c>
      <c r="AX833">
        <f>$C833*AX832</f>
        <v/>
      </c>
      <c r="AY833">
        <f>$C833*AY832</f>
        <v/>
      </c>
      <c r="AZ833">
        <f>$C833*AZ832</f>
        <v/>
      </c>
      <c r="BA833">
        <f>$C833*BA832</f>
        <v/>
      </c>
      <c r="BB833">
        <f>$C833*BB832</f>
        <v/>
      </c>
      <c r="BC833">
        <f>$C833*BC832</f>
        <v/>
      </c>
      <c r="BD833">
        <f>$C833*BD832</f>
        <v/>
      </c>
      <c r="BE833">
        <f>$C833*BE832</f>
        <v/>
      </c>
      <c r="BF833">
        <f>$C833*BF832</f>
        <v/>
      </c>
      <c r="BG833">
        <f>$C833*BG832</f>
        <v/>
      </c>
      <c r="BH833">
        <f>$C833*BH832</f>
        <v/>
      </c>
      <c r="BI833">
        <f>$C833*BI832</f>
        <v/>
      </c>
      <c r="BJ833">
        <f>$C833*BJ832</f>
        <v/>
      </c>
      <c r="BK833">
        <f>$C833*BK832</f>
        <v/>
      </c>
      <c r="BL833">
        <f>$C833*BL832</f>
        <v/>
      </c>
      <c r="BM833">
        <f>$C833*BM832</f>
        <v/>
      </c>
      <c r="BN833">
        <f>$C833*BN832</f>
        <v/>
      </c>
      <c r="BO833">
        <f>$C833*BO832</f>
        <v/>
      </c>
      <c r="BP833">
        <f>$C833*BP832</f>
        <v/>
      </c>
      <c r="BQ833">
        <f>$C833*BQ832</f>
        <v/>
      </c>
      <c r="BR833">
        <f>$C833*BR832</f>
        <v/>
      </c>
      <c r="BS833">
        <f>$C833*BS832</f>
        <v/>
      </c>
      <c r="BT833">
        <f>$C833*BT832</f>
        <v/>
      </c>
      <c r="BU833">
        <f>$C833*BU832</f>
        <v/>
      </c>
      <c r="BV833">
        <f>$C833*BV832</f>
        <v/>
      </c>
      <c r="BW833">
        <f>$C833*BW832</f>
        <v/>
      </c>
      <c r="BX833">
        <f>$C833*BX832</f>
        <v/>
      </c>
      <c r="BY833">
        <f>$C833*BY832</f>
        <v/>
      </c>
      <c r="BZ833">
        <f>$C833*BZ832</f>
        <v/>
      </c>
      <c r="CA833">
        <f>$C833*CA832</f>
        <v/>
      </c>
      <c r="CB833">
        <f>$C833*CB832</f>
        <v/>
      </c>
      <c r="CC833">
        <f>$C833*CC832</f>
        <v/>
      </c>
      <c r="CD833">
        <f>$C833*CD832</f>
        <v/>
      </c>
      <c r="CE833">
        <f>$C833*CE832</f>
        <v/>
      </c>
      <c r="CF833">
        <f>$C833*CF832</f>
        <v/>
      </c>
      <c r="CG833">
        <f>$C833*CG832</f>
        <v/>
      </c>
      <c r="CH833">
        <f>$C833*CH832</f>
        <v/>
      </c>
      <c r="CI833">
        <f>$C833*CI832</f>
        <v/>
      </c>
      <c r="CJ833">
        <f>$C833*CJ832</f>
        <v/>
      </c>
      <c r="CK833">
        <f>$C833*CK832</f>
        <v/>
      </c>
      <c r="CL833">
        <f>$C833*CL832</f>
        <v/>
      </c>
      <c r="CM833">
        <f>$C833*CM832</f>
        <v/>
      </c>
      <c r="CN833">
        <f>$C833*CN832</f>
        <v/>
      </c>
      <c r="CO833">
        <f>$C833*CO832</f>
        <v/>
      </c>
      <c r="CP833">
        <f>$C833*CP832</f>
        <v/>
      </c>
      <c r="CQ833">
        <f>$C833*CQ832</f>
        <v/>
      </c>
      <c r="CR833">
        <f>$C833*CR832</f>
        <v/>
      </c>
      <c r="CS833">
        <f>$C833*CS832</f>
        <v/>
      </c>
      <c r="CT833">
        <f>$C833*CT832</f>
        <v/>
      </c>
      <c r="CU833">
        <f>$C833*CU832</f>
        <v/>
      </c>
      <c r="CV833">
        <f>$C833*CV832</f>
        <v/>
      </c>
      <c r="CW833">
        <f>$C833*CW832</f>
        <v/>
      </c>
      <c r="CX833">
        <f>$C833*CX832</f>
        <v/>
      </c>
      <c r="CY833">
        <f>$C833*CY832</f>
        <v/>
      </c>
      <c r="CZ833">
        <f>$C833*CZ832</f>
        <v/>
      </c>
      <c r="DA833">
        <f>$C833*DA832</f>
        <v/>
      </c>
      <c r="DB833">
        <f>$C833*DB832</f>
        <v/>
      </c>
      <c r="DC833">
        <f>$C833*DC832</f>
        <v/>
      </c>
      <c r="DD833">
        <f>$C833*DD832</f>
        <v/>
      </c>
    </row>
    <row r="834">
      <c r="B834" t="inlineStr">
        <is>
          <t>VSP-606</t>
        </is>
      </c>
      <c r="C834" t="inlineStr">
        <is>
          <t>No. of batches</t>
        </is>
      </c>
      <c r="D834">
        <f>IFERROR(INDEX(E834:DD834,$F$1),"")</f>
        <v/>
      </c>
      <c r="E834">
        <f>IFERROR(INDEX(PP_Grid[#Data],$DE834,2),0)</f>
        <v/>
      </c>
      <c r="F834">
        <f>IFERROR(INDEX(PP_Grid[#Data],$DE834,3),0)</f>
        <v/>
      </c>
      <c r="G834">
        <f>IFERROR(INDEX(PP_Grid[#Data],$DE834,4),0)</f>
        <v/>
      </c>
      <c r="H834">
        <f>IFERROR(INDEX(PP_Grid[#Data],$DE834,5),0)</f>
        <v/>
      </c>
      <c r="I834">
        <f>IFERROR(INDEX(PP_Grid[#Data],$DE834,6),0)</f>
        <v/>
      </c>
      <c r="J834">
        <f>IFERROR(INDEX(PP_Grid[#Data],$DE834,7),0)</f>
        <v/>
      </c>
      <c r="K834">
        <f>IFERROR(INDEX(PP_Grid[#Data],$DE834,8),0)</f>
        <v/>
      </c>
      <c r="L834">
        <f>IFERROR(INDEX(PP_Grid[#Data],$DE834,9),0)</f>
        <v/>
      </c>
      <c r="M834">
        <f>IFERROR(INDEX(PP_Grid[#Data],$DE834,10),0)</f>
        <v/>
      </c>
      <c r="N834">
        <f>IFERROR(INDEX(PP_Grid[#Data],$DE834,11),0)</f>
        <v/>
      </c>
      <c r="O834">
        <f>IFERROR(INDEX(PP_Grid[#Data],$DE834,12),0)</f>
        <v/>
      </c>
      <c r="P834">
        <f>IFERROR(INDEX(PP_Grid[#Data],$DE834,13),0)</f>
        <v/>
      </c>
      <c r="Q834">
        <f>IFERROR(INDEX(PP_Grid[#Data],$DE834,14),0)</f>
        <v/>
      </c>
      <c r="R834">
        <f>IFERROR(INDEX(PP_Grid[#Data],$DE834,15),0)</f>
        <v/>
      </c>
      <c r="S834">
        <f>IFERROR(INDEX(PP_Grid[#Data],$DE834,16),0)</f>
        <v/>
      </c>
      <c r="T834">
        <f>IFERROR(INDEX(PP_Grid[#Data],$DE834,17),0)</f>
        <v/>
      </c>
      <c r="U834">
        <f>IFERROR(INDEX(PP_Grid[#Data],$DE834,18),0)</f>
        <v/>
      </c>
      <c r="V834">
        <f>IFERROR(INDEX(PP_Grid[#Data],$DE834,19),0)</f>
        <v/>
      </c>
      <c r="W834">
        <f>IFERROR(INDEX(PP_Grid[#Data],$DE834,20),0)</f>
        <v/>
      </c>
      <c r="X834">
        <f>IFERROR(INDEX(PP_Grid[#Data],$DE834,21),0)</f>
        <v/>
      </c>
      <c r="Y834">
        <f>IFERROR(INDEX(PP_Grid[#Data],$DE834,22),0)</f>
        <v/>
      </c>
      <c r="Z834">
        <f>IFERROR(INDEX(PP_Grid[#Data],$DE834,23),0)</f>
        <v/>
      </c>
      <c r="AA834">
        <f>IFERROR(INDEX(PP_Grid[#Data],$DE834,24),0)</f>
        <v/>
      </c>
      <c r="AB834">
        <f>IFERROR(INDEX(PP_Grid[#Data],$DE834,25),0)</f>
        <v/>
      </c>
      <c r="AC834">
        <f>IFERROR(INDEX(PP_Grid[#Data],$DE834,26),0)</f>
        <v/>
      </c>
      <c r="AD834">
        <f>IFERROR(INDEX(PP_Grid[#Data],$DE834,27),0)</f>
        <v/>
      </c>
      <c r="AE834">
        <f>IFERROR(INDEX(PP_Grid[#Data],$DE834,28),0)</f>
        <v/>
      </c>
      <c r="AF834">
        <f>IFERROR(INDEX(PP_Grid[#Data],$DE834,29),0)</f>
        <v/>
      </c>
      <c r="AG834">
        <f>IFERROR(INDEX(PP_Grid[#Data],$DE834,30),0)</f>
        <v/>
      </c>
      <c r="AH834">
        <f>IFERROR(INDEX(PP_Grid[#Data],$DE834,31),0)</f>
        <v/>
      </c>
      <c r="AI834">
        <f>IFERROR(INDEX(PP_Grid[#Data],$DE834,32),0)</f>
        <v/>
      </c>
      <c r="AJ834">
        <f>IFERROR(INDEX(PP_Grid[#Data],$DE834,33),0)</f>
        <v/>
      </c>
      <c r="AK834">
        <f>IFERROR(INDEX(PP_Grid[#Data],$DE834,34),0)</f>
        <v/>
      </c>
      <c r="AL834">
        <f>IFERROR(INDEX(PP_Grid[#Data],$DE834,35),0)</f>
        <v/>
      </c>
      <c r="AM834">
        <f>IFERROR(INDEX(PP_Grid[#Data],$DE834,36),0)</f>
        <v/>
      </c>
      <c r="AN834">
        <f>IFERROR(INDEX(PP_Grid[#Data],$DE834,37),0)</f>
        <v/>
      </c>
      <c r="AO834">
        <f>IFERROR(INDEX(PP_Grid[#Data],$DE834,38),0)</f>
        <v/>
      </c>
      <c r="AP834">
        <f>IFERROR(INDEX(PP_Grid[#Data],$DE834,39),0)</f>
        <v/>
      </c>
      <c r="AQ834">
        <f>IFERROR(INDEX(PP_Grid[#Data],$DE834,40),0)</f>
        <v/>
      </c>
      <c r="AR834">
        <f>IFERROR(INDEX(PP_Grid[#Data],$DE834,41),0)</f>
        <v/>
      </c>
      <c r="AS834">
        <f>IFERROR(INDEX(PP_Grid[#Data],$DE834,42),0)</f>
        <v/>
      </c>
      <c r="AT834">
        <f>IFERROR(INDEX(PP_Grid[#Data],$DE834,43),0)</f>
        <v/>
      </c>
      <c r="AU834">
        <f>IFERROR(INDEX(PP_Grid[#Data],$DE834,44),0)</f>
        <v/>
      </c>
      <c r="AV834">
        <f>IFERROR(INDEX(PP_Grid[#Data],$DE834,45),0)</f>
        <v/>
      </c>
      <c r="AW834">
        <f>IFERROR(INDEX(PP_Grid[#Data],$DE834,46),0)</f>
        <v/>
      </c>
      <c r="AX834">
        <f>IFERROR(INDEX(PP_Grid[#Data],$DE834,47),0)</f>
        <v/>
      </c>
      <c r="AY834">
        <f>IFERROR(INDEX(PP_Grid[#Data],$DE834,48),0)</f>
        <v/>
      </c>
      <c r="AZ834">
        <f>IFERROR(INDEX(PP_Grid[#Data],$DE834,49),0)</f>
        <v/>
      </c>
      <c r="BA834">
        <f>IFERROR(INDEX(PP_Grid[#Data],$DE834,50),0)</f>
        <v/>
      </c>
      <c r="BB834">
        <f>IFERROR(INDEX(PP_Grid[#Data],$DE834,51),0)</f>
        <v/>
      </c>
      <c r="BC834">
        <f>IFERROR(INDEX(PP_Grid[#Data],$DE834,52),0)</f>
        <v/>
      </c>
      <c r="BD834">
        <f>IFERROR(INDEX(PP_Grid[#Data],$DE834,53),0)</f>
        <v/>
      </c>
      <c r="BE834">
        <f>IFERROR(INDEX(PP_Grid[#Data],$DE834,54),0)</f>
        <v/>
      </c>
      <c r="BF834">
        <f>IFERROR(INDEX(PP_Grid[#Data],$DE834,55),0)</f>
        <v/>
      </c>
      <c r="BG834">
        <f>IFERROR(INDEX(PP_Grid[#Data],$DE834,56),0)</f>
        <v/>
      </c>
      <c r="BH834">
        <f>IFERROR(INDEX(PP_Grid[#Data],$DE834,57),0)</f>
        <v/>
      </c>
      <c r="BI834">
        <f>IFERROR(INDEX(PP_Grid[#Data],$DE834,58),0)</f>
        <v/>
      </c>
      <c r="BJ834">
        <f>IFERROR(INDEX(PP_Grid[#Data],$DE834,59),0)</f>
        <v/>
      </c>
      <c r="BK834">
        <f>IFERROR(INDEX(PP_Grid[#Data],$DE834,60),0)</f>
        <v/>
      </c>
      <c r="BL834">
        <f>IFERROR(INDEX(PP_Grid[#Data],$DE834,61),0)</f>
        <v/>
      </c>
      <c r="BM834">
        <f>IFERROR(INDEX(PP_Grid[#Data],$DE834,62),0)</f>
        <v/>
      </c>
      <c r="BN834">
        <f>IFERROR(INDEX(PP_Grid[#Data],$DE834,63),0)</f>
        <v/>
      </c>
      <c r="BO834">
        <f>IFERROR(INDEX(PP_Grid[#Data],$DE834,64),0)</f>
        <v/>
      </c>
      <c r="BP834">
        <f>IFERROR(INDEX(PP_Grid[#Data],$DE834,65),0)</f>
        <v/>
      </c>
      <c r="BQ834">
        <f>IFERROR(INDEX(PP_Grid[#Data],$DE834,66),0)</f>
        <v/>
      </c>
      <c r="BR834">
        <f>IFERROR(INDEX(PP_Grid[#Data],$DE834,67),0)</f>
        <v/>
      </c>
      <c r="BS834">
        <f>IFERROR(INDEX(PP_Grid[#Data],$DE834,68),0)</f>
        <v/>
      </c>
      <c r="BT834">
        <f>IFERROR(INDEX(PP_Grid[#Data],$DE834,69),0)</f>
        <v/>
      </c>
      <c r="BU834">
        <f>IFERROR(INDEX(PP_Grid[#Data],$DE834,70),0)</f>
        <v/>
      </c>
      <c r="BV834">
        <f>IFERROR(INDEX(PP_Grid[#Data],$DE834,71),0)</f>
        <v/>
      </c>
      <c r="BW834">
        <f>IFERROR(INDEX(PP_Grid[#Data],$DE834,72),0)</f>
        <v/>
      </c>
      <c r="BX834">
        <f>IFERROR(INDEX(PP_Grid[#Data],$DE834,73),0)</f>
        <v/>
      </c>
      <c r="BY834">
        <f>IFERROR(INDEX(PP_Grid[#Data],$DE834,74),0)</f>
        <v/>
      </c>
      <c r="BZ834">
        <f>IFERROR(INDEX(PP_Grid[#Data],$DE834,75),0)</f>
        <v/>
      </c>
      <c r="CA834">
        <f>IFERROR(INDEX(PP_Grid[#Data],$DE834,76),0)</f>
        <v/>
      </c>
      <c r="CB834">
        <f>IFERROR(INDEX(PP_Grid[#Data],$DE834,77),0)</f>
        <v/>
      </c>
      <c r="CC834">
        <f>IFERROR(INDEX(PP_Grid[#Data],$DE834,78),0)</f>
        <v/>
      </c>
      <c r="CD834">
        <f>IFERROR(INDEX(PP_Grid[#Data],$DE834,79),0)</f>
        <v/>
      </c>
      <c r="CE834">
        <f>IFERROR(INDEX(PP_Grid[#Data],$DE834,80),0)</f>
        <v/>
      </c>
      <c r="CF834">
        <f>IFERROR(INDEX(PP_Grid[#Data],$DE834,81),0)</f>
        <v/>
      </c>
      <c r="CG834">
        <f>IFERROR(INDEX(PP_Grid[#Data],$DE834,82),0)</f>
        <v/>
      </c>
      <c r="CH834">
        <f>IFERROR(INDEX(PP_Grid[#Data],$DE834,83),0)</f>
        <v/>
      </c>
      <c r="CI834">
        <f>IFERROR(INDEX(PP_Grid[#Data],$DE834,84),0)</f>
        <v/>
      </c>
      <c r="CJ834">
        <f>IFERROR(INDEX(PP_Grid[#Data],$DE834,85),0)</f>
        <v/>
      </c>
      <c r="CK834">
        <f>IFERROR(INDEX(PP_Grid[#Data],$DE834,86),0)</f>
        <v/>
      </c>
      <c r="CL834">
        <f>IFERROR(INDEX(PP_Grid[#Data],$DE834,87),0)</f>
        <v/>
      </c>
      <c r="CM834">
        <f>IFERROR(INDEX(PP_Grid[#Data],$DE834,88),0)</f>
        <v/>
      </c>
      <c r="CN834">
        <f>IFERROR(INDEX(PP_Grid[#Data],$DE834,89),0)</f>
        <v/>
      </c>
      <c r="CO834">
        <f>IFERROR(INDEX(PP_Grid[#Data],$DE834,90),0)</f>
        <v/>
      </c>
      <c r="CP834">
        <f>IFERROR(INDEX(PP_Grid[#Data],$DE834,91),0)</f>
        <v/>
      </c>
      <c r="CQ834">
        <f>IFERROR(INDEX(PP_Grid[#Data],$DE834,92),0)</f>
        <v/>
      </c>
      <c r="CR834">
        <f>IFERROR(INDEX(PP_Grid[#Data],$DE834,93),0)</f>
        <v/>
      </c>
      <c r="CS834">
        <f>IFERROR(INDEX(PP_Grid[#Data],$DE834,94),0)</f>
        <v/>
      </c>
      <c r="CT834">
        <f>IFERROR(INDEX(PP_Grid[#Data],$DE834,95),0)</f>
        <v/>
      </c>
      <c r="CU834">
        <f>IFERROR(INDEX(PP_Grid[#Data],$DE834,96),0)</f>
        <v/>
      </c>
      <c r="CV834">
        <f>IFERROR(INDEX(PP_Grid[#Data],$DE834,97),0)</f>
        <v/>
      </c>
      <c r="CW834">
        <f>IFERROR(INDEX(PP_Grid[#Data],$DE834,98),0)</f>
        <v/>
      </c>
      <c r="CX834">
        <f>IFERROR(INDEX(PP_Grid[#Data],$DE834,99),0)</f>
        <v/>
      </c>
      <c r="CY834">
        <f>IFERROR(INDEX(PP_Grid[#Data],$DE834,100),0)</f>
        <v/>
      </c>
      <c r="CZ834">
        <f>IFERROR(INDEX(PP_Grid[#Data],$DE834,101),0)</f>
        <v/>
      </c>
      <c r="DA834">
        <f>IFERROR(INDEX(PP_Grid[#Data],$DE834,102),0)</f>
        <v/>
      </c>
      <c r="DB834">
        <f>IFERROR(INDEX(PP_Grid[#Data],$DE834,103),0)</f>
        <v/>
      </c>
      <c r="DC834">
        <f>IFERROR(INDEX(PP_Grid[#Data],$DE834,104),0)</f>
        <v/>
      </c>
      <c r="DD834">
        <f>IFERROR(INDEX(PP_Grid[#Data],$DE834,105),0)</f>
        <v/>
      </c>
      <c r="DE834" s="7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SUMIFS(M_BOM[RM_Qty_Per_Batch],M_BOM[Intermediate],$B834,M_BOM[RM_Code],$A821)</f>
        <v/>
      </c>
      <c r="D835">
        <f>IFERROR(INDEX(E835:DD835,$F$1),"")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  <c r="DD835">
        <f>$C835*DD834</f>
        <v/>
      </c>
    </row>
    <row r="836">
      <c r="B836" t="inlineStr">
        <is>
          <t>VSP-738</t>
        </is>
      </c>
      <c r="C836" t="inlineStr">
        <is>
          <t>No. of batches</t>
        </is>
      </c>
      <c r="D836">
        <f>IFERROR(INDEX(E836:DD836,$F$1),"")</f>
        <v/>
      </c>
      <c r="E836">
        <f>IFERROR(INDEX(PP_Grid[#Data],$DE836,2),0)</f>
        <v/>
      </c>
      <c r="F836">
        <f>IFERROR(INDEX(PP_Grid[#Data],$DE836,3),0)</f>
        <v/>
      </c>
      <c r="G836">
        <f>IFERROR(INDEX(PP_Grid[#Data],$DE836,4),0)</f>
        <v/>
      </c>
      <c r="H836">
        <f>IFERROR(INDEX(PP_Grid[#Data],$DE836,5),0)</f>
        <v/>
      </c>
      <c r="I836">
        <f>IFERROR(INDEX(PP_Grid[#Data],$DE836,6),0)</f>
        <v/>
      </c>
      <c r="J836">
        <f>IFERROR(INDEX(PP_Grid[#Data],$DE836,7),0)</f>
        <v/>
      </c>
      <c r="K836">
        <f>IFERROR(INDEX(PP_Grid[#Data],$DE836,8),0)</f>
        <v/>
      </c>
      <c r="L836">
        <f>IFERROR(INDEX(PP_Grid[#Data],$DE836,9),0)</f>
        <v/>
      </c>
      <c r="M836">
        <f>IFERROR(INDEX(PP_Grid[#Data],$DE836,10),0)</f>
        <v/>
      </c>
      <c r="N836">
        <f>IFERROR(INDEX(PP_Grid[#Data],$DE836,11),0)</f>
        <v/>
      </c>
      <c r="O836">
        <f>IFERROR(INDEX(PP_Grid[#Data],$DE836,12),0)</f>
        <v/>
      </c>
      <c r="P836">
        <f>IFERROR(INDEX(PP_Grid[#Data],$DE836,13),0)</f>
        <v/>
      </c>
      <c r="Q836">
        <f>IFERROR(INDEX(PP_Grid[#Data],$DE836,14),0)</f>
        <v/>
      </c>
      <c r="R836">
        <f>IFERROR(INDEX(PP_Grid[#Data],$DE836,15),0)</f>
        <v/>
      </c>
      <c r="S836">
        <f>IFERROR(INDEX(PP_Grid[#Data],$DE836,16),0)</f>
        <v/>
      </c>
      <c r="T836">
        <f>IFERROR(INDEX(PP_Grid[#Data],$DE836,17),0)</f>
        <v/>
      </c>
      <c r="U836">
        <f>IFERROR(INDEX(PP_Grid[#Data],$DE836,18),0)</f>
        <v/>
      </c>
      <c r="V836">
        <f>IFERROR(INDEX(PP_Grid[#Data],$DE836,19),0)</f>
        <v/>
      </c>
      <c r="W836">
        <f>IFERROR(INDEX(PP_Grid[#Data],$DE836,20),0)</f>
        <v/>
      </c>
      <c r="X836">
        <f>IFERROR(INDEX(PP_Grid[#Data],$DE836,21),0)</f>
        <v/>
      </c>
      <c r="Y836">
        <f>IFERROR(INDEX(PP_Grid[#Data],$DE836,22),0)</f>
        <v/>
      </c>
      <c r="Z836">
        <f>IFERROR(INDEX(PP_Grid[#Data],$DE836,23),0)</f>
        <v/>
      </c>
      <c r="AA836">
        <f>IFERROR(INDEX(PP_Grid[#Data],$DE836,24),0)</f>
        <v/>
      </c>
      <c r="AB836">
        <f>IFERROR(INDEX(PP_Grid[#Data],$DE836,25),0)</f>
        <v/>
      </c>
      <c r="AC836">
        <f>IFERROR(INDEX(PP_Grid[#Data],$DE836,26),0)</f>
        <v/>
      </c>
      <c r="AD836">
        <f>IFERROR(INDEX(PP_Grid[#Data],$DE836,27),0)</f>
        <v/>
      </c>
      <c r="AE836">
        <f>IFERROR(INDEX(PP_Grid[#Data],$DE836,28),0)</f>
        <v/>
      </c>
      <c r="AF836">
        <f>IFERROR(INDEX(PP_Grid[#Data],$DE836,29),0)</f>
        <v/>
      </c>
      <c r="AG836">
        <f>IFERROR(INDEX(PP_Grid[#Data],$DE836,30),0)</f>
        <v/>
      </c>
      <c r="AH836">
        <f>IFERROR(INDEX(PP_Grid[#Data],$DE836,31),0)</f>
        <v/>
      </c>
      <c r="AI836">
        <f>IFERROR(INDEX(PP_Grid[#Data],$DE836,32),0)</f>
        <v/>
      </c>
      <c r="AJ836">
        <f>IFERROR(INDEX(PP_Grid[#Data],$DE836,33),0)</f>
        <v/>
      </c>
      <c r="AK836">
        <f>IFERROR(INDEX(PP_Grid[#Data],$DE836,34),0)</f>
        <v/>
      </c>
      <c r="AL836">
        <f>IFERROR(INDEX(PP_Grid[#Data],$DE836,35),0)</f>
        <v/>
      </c>
      <c r="AM836">
        <f>IFERROR(INDEX(PP_Grid[#Data],$DE836,36),0)</f>
        <v/>
      </c>
      <c r="AN836">
        <f>IFERROR(INDEX(PP_Grid[#Data],$DE836,37),0)</f>
        <v/>
      </c>
      <c r="AO836">
        <f>IFERROR(INDEX(PP_Grid[#Data],$DE836,38),0)</f>
        <v/>
      </c>
      <c r="AP836">
        <f>IFERROR(INDEX(PP_Grid[#Data],$DE836,39),0)</f>
        <v/>
      </c>
      <c r="AQ836">
        <f>IFERROR(INDEX(PP_Grid[#Data],$DE836,40),0)</f>
        <v/>
      </c>
      <c r="AR836">
        <f>IFERROR(INDEX(PP_Grid[#Data],$DE836,41),0)</f>
        <v/>
      </c>
      <c r="AS836">
        <f>IFERROR(INDEX(PP_Grid[#Data],$DE836,42),0)</f>
        <v/>
      </c>
      <c r="AT836">
        <f>IFERROR(INDEX(PP_Grid[#Data],$DE836,43),0)</f>
        <v/>
      </c>
      <c r="AU836">
        <f>IFERROR(INDEX(PP_Grid[#Data],$DE836,44),0)</f>
        <v/>
      </c>
      <c r="AV836">
        <f>IFERROR(INDEX(PP_Grid[#Data],$DE836,45),0)</f>
        <v/>
      </c>
      <c r="AW836">
        <f>IFERROR(INDEX(PP_Grid[#Data],$DE836,46),0)</f>
        <v/>
      </c>
      <c r="AX836">
        <f>IFERROR(INDEX(PP_Grid[#Data],$DE836,47),0)</f>
        <v/>
      </c>
      <c r="AY836">
        <f>IFERROR(INDEX(PP_Grid[#Data],$DE836,48),0)</f>
        <v/>
      </c>
      <c r="AZ836">
        <f>IFERROR(INDEX(PP_Grid[#Data],$DE836,49),0)</f>
        <v/>
      </c>
      <c r="BA836">
        <f>IFERROR(INDEX(PP_Grid[#Data],$DE836,50),0)</f>
        <v/>
      </c>
      <c r="BB836">
        <f>IFERROR(INDEX(PP_Grid[#Data],$DE836,51),0)</f>
        <v/>
      </c>
      <c r="BC836">
        <f>IFERROR(INDEX(PP_Grid[#Data],$DE836,52),0)</f>
        <v/>
      </c>
      <c r="BD836">
        <f>IFERROR(INDEX(PP_Grid[#Data],$DE836,53),0)</f>
        <v/>
      </c>
      <c r="BE836">
        <f>IFERROR(INDEX(PP_Grid[#Data],$DE836,54),0)</f>
        <v/>
      </c>
      <c r="BF836">
        <f>IFERROR(INDEX(PP_Grid[#Data],$DE836,55),0)</f>
        <v/>
      </c>
      <c r="BG836">
        <f>IFERROR(INDEX(PP_Grid[#Data],$DE836,56),0)</f>
        <v/>
      </c>
      <c r="BH836">
        <f>IFERROR(INDEX(PP_Grid[#Data],$DE836,57),0)</f>
        <v/>
      </c>
      <c r="BI836">
        <f>IFERROR(INDEX(PP_Grid[#Data],$DE836,58),0)</f>
        <v/>
      </c>
      <c r="BJ836">
        <f>IFERROR(INDEX(PP_Grid[#Data],$DE836,59),0)</f>
        <v/>
      </c>
      <c r="BK836">
        <f>IFERROR(INDEX(PP_Grid[#Data],$DE836,60),0)</f>
        <v/>
      </c>
      <c r="BL836">
        <f>IFERROR(INDEX(PP_Grid[#Data],$DE836,61),0)</f>
        <v/>
      </c>
      <c r="BM836">
        <f>IFERROR(INDEX(PP_Grid[#Data],$DE836,62),0)</f>
        <v/>
      </c>
      <c r="BN836">
        <f>IFERROR(INDEX(PP_Grid[#Data],$DE836,63),0)</f>
        <v/>
      </c>
      <c r="BO836">
        <f>IFERROR(INDEX(PP_Grid[#Data],$DE836,64),0)</f>
        <v/>
      </c>
      <c r="BP836">
        <f>IFERROR(INDEX(PP_Grid[#Data],$DE836,65),0)</f>
        <v/>
      </c>
      <c r="BQ836">
        <f>IFERROR(INDEX(PP_Grid[#Data],$DE836,66),0)</f>
        <v/>
      </c>
      <c r="BR836">
        <f>IFERROR(INDEX(PP_Grid[#Data],$DE836,67),0)</f>
        <v/>
      </c>
      <c r="BS836">
        <f>IFERROR(INDEX(PP_Grid[#Data],$DE836,68),0)</f>
        <v/>
      </c>
      <c r="BT836">
        <f>IFERROR(INDEX(PP_Grid[#Data],$DE836,69),0)</f>
        <v/>
      </c>
      <c r="BU836">
        <f>IFERROR(INDEX(PP_Grid[#Data],$DE836,70),0)</f>
        <v/>
      </c>
      <c r="BV836">
        <f>IFERROR(INDEX(PP_Grid[#Data],$DE836,71),0)</f>
        <v/>
      </c>
      <c r="BW836">
        <f>IFERROR(INDEX(PP_Grid[#Data],$DE836,72),0)</f>
        <v/>
      </c>
      <c r="BX836">
        <f>IFERROR(INDEX(PP_Grid[#Data],$DE836,73),0)</f>
        <v/>
      </c>
      <c r="BY836">
        <f>IFERROR(INDEX(PP_Grid[#Data],$DE836,74),0)</f>
        <v/>
      </c>
      <c r="BZ836">
        <f>IFERROR(INDEX(PP_Grid[#Data],$DE836,75),0)</f>
        <v/>
      </c>
      <c r="CA836">
        <f>IFERROR(INDEX(PP_Grid[#Data],$DE836,76),0)</f>
        <v/>
      </c>
      <c r="CB836">
        <f>IFERROR(INDEX(PP_Grid[#Data],$DE836,77),0)</f>
        <v/>
      </c>
      <c r="CC836">
        <f>IFERROR(INDEX(PP_Grid[#Data],$DE836,78),0)</f>
        <v/>
      </c>
      <c r="CD836">
        <f>IFERROR(INDEX(PP_Grid[#Data],$DE836,79),0)</f>
        <v/>
      </c>
      <c r="CE836">
        <f>IFERROR(INDEX(PP_Grid[#Data],$DE836,80),0)</f>
        <v/>
      </c>
      <c r="CF836">
        <f>IFERROR(INDEX(PP_Grid[#Data],$DE836,81),0)</f>
        <v/>
      </c>
      <c r="CG836">
        <f>IFERROR(INDEX(PP_Grid[#Data],$DE836,82),0)</f>
        <v/>
      </c>
      <c r="CH836">
        <f>IFERROR(INDEX(PP_Grid[#Data],$DE836,83),0)</f>
        <v/>
      </c>
      <c r="CI836">
        <f>IFERROR(INDEX(PP_Grid[#Data],$DE836,84),0)</f>
        <v/>
      </c>
      <c r="CJ836">
        <f>IFERROR(INDEX(PP_Grid[#Data],$DE836,85),0)</f>
        <v/>
      </c>
      <c r="CK836">
        <f>IFERROR(INDEX(PP_Grid[#Data],$DE836,86),0)</f>
        <v/>
      </c>
      <c r="CL836">
        <f>IFERROR(INDEX(PP_Grid[#Data],$DE836,87),0)</f>
        <v/>
      </c>
      <c r="CM836">
        <f>IFERROR(INDEX(PP_Grid[#Data],$DE836,88),0)</f>
        <v/>
      </c>
      <c r="CN836">
        <f>IFERROR(INDEX(PP_Grid[#Data],$DE836,89),0)</f>
        <v/>
      </c>
      <c r="CO836">
        <f>IFERROR(INDEX(PP_Grid[#Data],$DE836,90),0)</f>
        <v/>
      </c>
      <c r="CP836">
        <f>IFERROR(INDEX(PP_Grid[#Data],$DE836,91),0)</f>
        <v/>
      </c>
      <c r="CQ836">
        <f>IFERROR(INDEX(PP_Grid[#Data],$DE836,92),0)</f>
        <v/>
      </c>
      <c r="CR836">
        <f>IFERROR(INDEX(PP_Grid[#Data],$DE836,93),0)</f>
        <v/>
      </c>
      <c r="CS836">
        <f>IFERROR(INDEX(PP_Grid[#Data],$DE836,94),0)</f>
        <v/>
      </c>
      <c r="CT836">
        <f>IFERROR(INDEX(PP_Grid[#Data],$DE836,95),0)</f>
        <v/>
      </c>
      <c r="CU836">
        <f>IFERROR(INDEX(PP_Grid[#Data],$DE836,96),0)</f>
        <v/>
      </c>
      <c r="CV836">
        <f>IFERROR(INDEX(PP_Grid[#Data],$DE836,97),0)</f>
        <v/>
      </c>
      <c r="CW836">
        <f>IFERROR(INDEX(PP_Grid[#Data],$DE836,98),0)</f>
        <v/>
      </c>
      <c r="CX836">
        <f>IFERROR(INDEX(PP_Grid[#Data],$DE836,99),0)</f>
        <v/>
      </c>
      <c r="CY836">
        <f>IFERROR(INDEX(PP_Grid[#Data],$DE836,100),0)</f>
        <v/>
      </c>
      <c r="CZ836">
        <f>IFERROR(INDEX(PP_Grid[#Data],$DE836,101),0)</f>
        <v/>
      </c>
      <c r="DA836">
        <f>IFERROR(INDEX(PP_Grid[#Data],$DE836,102),0)</f>
        <v/>
      </c>
      <c r="DB836">
        <f>IFERROR(INDEX(PP_Grid[#Data],$DE836,103),0)</f>
        <v/>
      </c>
      <c r="DC836">
        <f>IFERROR(INDEX(PP_Grid[#Data],$DE836,104),0)</f>
        <v/>
      </c>
      <c r="DD836">
        <f>IFERROR(INDEX(PP_Grid[#Data],$DE836,105),0)</f>
        <v/>
      </c>
      <c r="DE836" s="7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SUMIFS(M_BOM[RM_Qty_Per_Batch],M_BOM[Intermediate],$B836,M_BOM[RM_Code],$A821)</f>
        <v/>
      </c>
      <c r="D837">
        <f>IFERROR(INDEX(E837:DD837,$F$1),"")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  <c r="DD837">
        <f>$C837*DD836</f>
        <v/>
      </c>
    </row>
    <row r="838">
      <c r="B838" t="inlineStr">
        <is>
          <t>VSP-739</t>
        </is>
      </c>
      <c r="C838" t="inlineStr">
        <is>
          <t>No. of batches</t>
        </is>
      </c>
      <c r="D838">
        <f>IFERROR(INDEX(E838:DD838,$F$1),"")</f>
        <v/>
      </c>
      <c r="E838">
        <f>IFERROR(INDEX(PP_Grid[#Data],$DE838,2),0)</f>
        <v/>
      </c>
      <c r="F838">
        <f>IFERROR(INDEX(PP_Grid[#Data],$DE838,3),0)</f>
        <v/>
      </c>
      <c r="G838">
        <f>IFERROR(INDEX(PP_Grid[#Data],$DE838,4),0)</f>
        <v/>
      </c>
      <c r="H838">
        <f>IFERROR(INDEX(PP_Grid[#Data],$DE838,5),0)</f>
        <v/>
      </c>
      <c r="I838">
        <f>IFERROR(INDEX(PP_Grid[#Data],$DE838,6),0)</f>
        <v/>
      </c>
      <c r="J838">
        <f>IFERROR(INDEX(PP_Grid[#Data],$DE838,7),0)</f>
        <v/>
      </c>
      <c r="K838">
        <f>IFERROR(INDEX(PP_Grid[#Data],$DE838,8),0)</f>
        <v/>
      </c>
      <c r="L838">
        <f>IFERROR(INDEX(PP_Grid[#Data],$DE838,9),0)</f>
        <v/>
      </c>
      <c r="M838">
        <f>IFERROR(INDEX(PP_Grid[#Data],$DE838,10),0)</f>
        <v/>
      </c>
      <c r="N838">
        <f>IFERROR(INDEX(PP_Grid[#Data],$DE838,11),0)</f>
        <v/>
      </c>
      <c r="O838">
        <f>IFERROR(INDEX(PP_Grid[#Data],$DE838,12),0)</f>
        <v/>
      </c>
      <c r="P838">
        <f>IFERROR(INDEX(PP_Grid[#Data],$DE838,13),0)</f>
        <v/>
      </c>
      <c r="Q838">
        <f>IFERROR(INDEX(PP_Grid[#Data],$DE838,14),0)</f>
        <v/>
      </c>
      <c r="R838">
        <f>IFERROR(INDEX(PP_Grid[#Data],$DE838,15),0)</f>
        <v/>
      </c>
      <c r="S838">
        <f>IFERROR(INDEX(PP_Grid[#Data],$DE838,16),0)</f>
        <v/>
      </c>
      <c r="T838">
        <f>IFERROR(INDEX(PP_Grid[#Data],$DE838,17),0)</f>
        <v/>
      </c>
      <c r="U838">
        <f>IFERROR(INDEX(PP_Grid[#Data],$DE838,18),0)</f>
        <v/>
      </c>
      <c r="V838">
        <f>IFERROR(INDEX(PP_Grid[#Data],$DE838,19),0)</f>
        <v/>
      </c>
      <c r="W838">
        <f>IFERROR(INDEX(PP_Grid[#Data],$DE838,20),0)</f>
        <v/>
      </c>
      <c r="X838">
        <f>IFERROR(INDEX(PP_Grid[#Data],$DE838,21),0)</f>
        <v/>
      </c>
      <c r="Y838">
        <f>IFERROR(INDEX(PP_Grid[#Data],$DE838,22),0)</f>
        <v/>
      </c>
      <c r="Z838">
        <f>IFERROR(INDEX(PP_Grid[#Data],$DE838,23),0)</f>
        <v/>
      </c>
      <c r="AA838">
        <f>IFERROR(INDEX(PP_Grid[#Data],$DE838,24),0)</f>
        <v/>
      </c>
      <c r="AB838">
        <f>IFERROR(INDEX(PP_Grid[#Data],$DE838,25),0)</f>
        <v/>
      </c>
      <c r="AC838">
        <f>IFERROR(INDEX(PP_Grid[#Data],$DE838,26),0)</f>
        <v/>
      </c>
      <c r="AD838">
        <f>IFERROR(INDEX(PP_Grid[#Data],$DE838,27),0)</f>
        <v/>
      </c>
      <c r="AE838">
        <f>IFERROR(INDEX(PP_Grid[#Data],$DE838,28),0)</f>
        <v/>
      </c>
      <c r="AF838">
        <f>IFERROR(INDEX(PP_Grid[#Data],$DE838,29),0)</f>
        <v/>
      </c>
      <c r="AG838">
        <f>IFERROR(INDEX(PP_Grid[#Data],$DE838,30),0)</f>
        <v/>
      </c>
      <c r="AH838">
        <f>IFERROR(INDEX(PP_Grid[#Data],$DE838,31),0)</f>
        <v/>
      </c>
      <c r="AI838">
        <f>IFERROR(INDEX(PP_Grid[#Data],$DE838,32),0)</f>
        <v/>
      </c>
      <c r="AJ838">
        <f>IFERROR(INDEX(PP_Grid[#Data],$DE838,33),0)</f>
        <v/>
      </c>
      <c r="AK838">
        <f>IFERROR(INDEX(PP_Grid[#Data],$DE838,34),0)</f>
        <v/>
      </c>
      <c r="AL838">
        <f>IFERROR(INDEX(PP_Grid[#Data],$DE838,35),0)</f>
        <v/>
      </c>
      <c r="AM838">
        <f>IFERROR(INDEX(PP_Grid[#Data],$DE838,36),0)</f>
        <v/>
      </c>
      <c r="AN838">
        <f>IFERROR(INDEX(PP_Grid[#Data],$DE838,37),0)</f>
        <v/>
      </c>
      <c r="AO838">
        <f>IFERROR(INDEX(PP_Grid[#Data],$DE838,38),0)</f>
        <v/>
      </c>
      <c r="AP838">
        <f>IFERROR(INDEX(PP_Grid[#Data],$DE838,39),0)</f>
        <v/>
      </c>
      <c r="AQ838">
        <f>IFERROR(INDEX(PP_Grid[#Data],$DE838,40),0)</f>
        <v/>
      </c>
      <c r="AR838">
        <f>IFERROR(INDEX(PP_Grid[#Data],$DE838,41),0)</f>
        <v/>
      </c>
      <c r="AS838">
        <f>IFERROR(INDEX(PP_Grid[#Data],$DE838,42),0)</f>
        <v/>
      </c>
      <c r="AT838">
        <f>IFERROR(INDEX(PP_Grid[#Data],$DE838,43),0)</f>
        <v/>
      </c>
      <c r="AU838">
        <f>IFERROR(INDEX(PP_Grid[#Data],$DE838,44),0)</f>
        <v/>
      </c>
      <c r="AV838">
        <f>IFERROR(INDEX(PP_Grid[#Data],$DE838,45),0)</f>
        <v/>
      </c>
      <c r="AW838">
        <f>IFERROR(INDEX(PP_Grid[#Data],$DE838,46),0)</f>
        <v/>
      </c>
      <c r="AX838">
        <f>IFERROR(INDEX(PP_Grid[#Data],$DE838,47),0)</f>
        <v/>
      </c>
      <c r="AY838">
        <f>IFERROR(INDEX(PP_Grid[#Data],$DE838,48),0)</f>
        <v/>
      </c>
      <c r="AZ838">
        <f>IFERROR(INDEX(PP_Grid[#Data],$DE838,49),0)</f>
        <v/>
      </c>
      <c r="BA838">
        <f>IFERROR(INDEX(PP_Grid[#Data],$DE838,50),0)</f>
        <v/>
      </c>
      <c r="BB838">
        <f>IFERROR(INDEX(PP_Grid[#Data],$DE838,51),0)</f>
        <v/>
      </c>
      <c r="BC838">
        <f>IFERROR(INDEX(PP_Grid[#Data],$DE838,52),0)</f>
        <v/>
      </c>
      <c r="BD838">
        <f>IFERROR(INDEX(PP_Grid[#Data],$DE838,53),0)</f>
        <v/>
      </c>
      <c r="BE838">
        <f>IFERROR(INDEX(PP_Grid[#Data],$DE838,54),0)</f>
        <v/>
      </c>
      <c r="BF838">
        <f>IFERROR(INDEX(PP_Grid[#Data],$DE838,55),0)</f>
        <v/>
      </c>
      <c r="BG838">
        <f>IFERROR(INDEX(PP_Grid[#Data],$DE838,56),0)</f>
        <v/>
      </c>
      <c r="BH838">
        <f>IFERROR(INDEX(PP_Grid[#Data],$DE838,57),0)</f>
        <v/>
      </c>
      <c r="BI838">
        <f>IFERROR(INDEX(PP_Grid[#Data],$DE838,58),0)</f>
        <v/>
      </c>
      <c r="BJ838">
        <f>IFERROR(INDEX(PP_Grid[#Data],$DE838,59),0)</f>
        <v/>
      </c>
      <c r="BK838">
        <f>IFERROR(INDEX(PP_Grid[#Data],$DE838,60),0)</f>
        <v/>
      </c>
      <c r="BL838">
        <f>IFERROR(INDEX(PP_Grid[#Data],$DE838,61),0)</f>
        <v/>
      </c>
      <c r="BM838">
        <f>IFERROR(INDEX(PP_Grid[#Data],$DE838,62),0)</f>
        <v/>
      </c>
      <c r="BN838">
        <f>IFERROR(INDEX(PP_Grid[#Data],$DE838,63),0)</f>
        <v/>
      </c>
      <c r="BO838">
        <f>IFERROR(INDEX(PP_Grid[#Data],$DE838,64),0)</f>
        <v/>
      </c>
      <c r="BP838">
        <f>IFERROR(INDEX(PP_Grid[#Data],$DE838,65),0)</f>
        <v/>
      </c>
      <c r="BQ838">
        <f>IFERROR(INDEX(PP_Grid[#Data],$DE838,66),0)</f>
        <v/>
      </c>
      <c r="BR838">
        <f>IFERROR(INDEX(PP_Grid[#Data],$DE838,67),0)</f>
        <v/>
      </c>
      <c r="BS838">
        <f>IFERROR(INDEX(PP_Grid[#Data],$DE838,68),0)</f>
        <v/>
      </c>
      <c r="BT838">
        <f>IFERROR(INDEX(PP_Grid[#Data],$DE838,69),0)</f>
        <v/>
      </c>
      <c r="BU838">
        <f>IFERROR(INDEX(PP_Grid[#Data],$DE838,70),0)</f>
        <v/>
      </c>
      <c r="BV838">
        <f>IFERROR(INDEX(PP_Grid[#Data],$DE838,71),0)</f>
        <v/>
      </c>
      <c r="BW838">
        <f>IFERROR(INDEX(PP_Grid[#Data],$DE838,72),0)</f>
        <v/>
      </c>
      <c r="BX838">
        <f>IFERROR(INDEX(PP_Grid[#Data],$DE838,73),0)</f>
        <v/>
      </c>
      <c r="BY838">
        <f>IFERROR(INDEX(PP_Grid[#Data],$DE838,74),0)</f>
        <v/>
      </c>
      <c r="BZ838">
        <f>IFERROR(INDEX(PP_Grid[#Data],$DE838,75),0)</f>
        <v/>
      </c>
      <c r="CA838">
        <f>IFERROR(INDEX(PP_Grid[#Data],$DE838,76),0)</f>
        <v/>
      </c>
      <c r="CB838">
        <f>IFERROR(INDEX(PP_Grid[#Data],$DE838,77),0)</f>
        <v/>
      </c>
      <c r="CC838">
        <f>IFERROR(INDEX(PP_Grid[#Data],$DE838,78),0)</f>
        <v/>
      </c>
      <c r="CD838">
        <f>IFERROR(INDEX(PP_Grid[#Data],$DE838,79),0)</f>
        <v/>
      </c>
      <c r="CE838">
        <f>IFERROR(INDEX(PP_Grid[#Data],$DE838,80),0)</f>
        <v/>
      </c>
      <c r="CF838">
        <f>IFERROR(INDEX(PP_Grid[#Data],$DE838,81),0)</f>
        <v/>
      </c>
      <c r="CG838">
        <f>IFERROR(INDEX(PP_Grid[#Data],$DE838,82),0)</f>
        <v/>
      </c>
      <c r="CH838">
        <f>IFERROR(INDEX(PP_Grid[#Data],$DE838,83),0)</f>
        <v/>
      </c>
      <c r="CI838">
        <f>IFERROR(INDEX(PP_Grid[#Data],$DE838,84),0)</f>
        <v/>
      </c>
      <c r="CJ838">
        <f>IFERROR(INDEX(PP_Grid[#Data],$DE838,85),0)</f>
        <v/>
      </c>
      <c r="CK838">
        <f>IFERROR(INDEX(PP_Grid[#Data],$DE838,86),0)</f>
        <v/>
      </c>
      <c r="CL838">
        <f>IFERROR(INDEX(PP_Grid[#Data],$DE838,87),0)</f>
        <v/>
      </c>
      <c r="CM838">
        <f>IFERROR(INDEX(PP_Grid[#Data],$DE838,88),0)</f>
        <v/>
      </c>
      <c r="CN838">
        <f>IFERROR(INDEX(PP_Grid[#Data],$DE838,89),0)</f>
        <v/>
      </c>
      <c r="CO838">
        <f>IFERROR(INDEX(PP_Grid[#Data],$DE838,90),0)</f>
        <v/>
      </c>
      <c r="CP838">
        <f>IFERROR(INDEX(PP_Grid[#Data],$DE838,91),0)</f>
        <v/>
      </c>
      <c r="CQ838">
        <f>IFERROR(INDEX(PP_Grid[#Data],$DE838,92),0)</f>
        <v/>
      </c>
      <c r="CR838">
        <f>IFERROR(INDEX(PP_Grid[#Data],$DE838,93),0)</f>
        <v/>
      </c>
      <c r="CS838">
        <f>IFERROR(INDEX(PP_Grid[#Data],$DE838,94),0)</f>
        <v/>
      </c>
      <c r="CT838">
        <f>IFERROR(INDEX(PP_Grid[#Data],$DE838,95),0)</f>
        <v/>
      </c>
      <c r="CU838">
        <f>IFERROR(INDEX(PP_Grid[#Data],$DE838,96),0)</f>
        <v/>
      </c>
      <c r="CV838">
        <f>IFERROR(INDEX(PP_Grid[#Data],$DE838,97),0)</f>
        <v/>
      </c>
      <c r="CW838">
        <f>IFERROR(INDEX(PP_Grid[#Data],$DE838,98),0)</f>
        <v/>
      </c>
      <c r="CX838">
        <f>IFERROR(INDEX(PP_Grid[#Data],$DE838,99),0)</f>
        <v/>
      </c>
      <c r="CY838">
        <f>IFERROR(INDEX(PP_Grid[#Data],$DE838,100),0)</f>
        <v/>
      </c>
      <c r="CZ838">
        <f>IFERROR(INDEX(PP_Grid[#Data],$DE838,101),0)</f>
        <v/>
      </c>
      <c r="DA838">
        <f>IFERROR(INDEX(PP_Grid[#Data],$DE838,102),0)</f>
        <v/>
      </c>
      <c r="DB838">
        <f>IFERROR(INDEX(PP_Grid[#Data],$DE838,103),0)</f>
        <v/>
      </c>
      <c r="DC838">
        <f>IFERROR(INDEX(PP_Grid[#Data],$DE838,104),0)</f>
        <v/>
      </c>
      <c r="DD838">
        <f>IFERROR(INDEX(PP_Grid[#Data],$DE838,105),0)</f>
        <v/>
      </c>
      <c r="DE838" s="7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SUMIFS(M_BOM[RM_Qty_Per_Batch],M_BOM[Intermediate],$B838,M_BOM[RM_Code],$A821)</f>
        <v/>
      </c>
      <c r="D839">
        <f>IFERROR(INDEX(E839:DD839,$F$1),"")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  <c r="DD839">
        <f>$C839*DD838</f>
        <v/>
      </c>
    </row>
    <row r="840">
      <c r="B840" t="inlineStr">
        <is>
          <t>VSP-820</t>
        </is>
      </c>
      <c r="C840" t="inlineStr">
        <is>
          <t>No. of batches</t>
        </is>
      </c>
      <c r="D840">
        <f>IFERROR(INDEX(E840:DD840,$F$1),"")</f>
        <v/>
      </c>
      <c r="E840">
        <f>IFERROR(INDEX(PP_Grid[#Data],$DE840,2),0)</f>
        <v/>
      </c>
      <c r="F840">
        <f>IFERROR(INDEX(PP_Grid[#Data],$DE840,3),0)</f>
        <v/>
      </c>
      <c r="G840">
        <f>IFERROR(INDEX(PP_Grid[#Data],$DE840,4),0)</f>
        <v/>
      </c>
      <c r="H840">
        <f>IFERROR(INDEX(PP_Grid[#Data],$DE840,5),0)</f>
        <v/>
      </c>
      <c r="I840">
        <f>IFERROR(INDEX(PP_Grid[#Data],$DE840,6),0)</f>
        <v/>
      </c>
      <c r="J840">
        <f>IFERROR(INDEX(PP_Grid[#Data],$DE840,7),0)</f>
        <v/>
      </c>
      <c r="K840">
        <f>IFERROR(INDEX(PP_Grid[#Data],$DE840,8),0)</f>
        <v/>
      </c>
      <c r="L840">
        <f>IFERROR(INDEX(PP_Grid[#Data],$DE840,9),0)</f>
        <v/>
      </c>
      <c r="M840">
        <f>IFERROR(INDEX(PP_Grid[#Data],$DE840,10),0)</f>
        <v/>
      </c>
      <c r="N840">
        <f>IFERROR(INDEX(PP_Grid[#Data],$DE840,11),0)</f>
        <v/>
      </c>
      <c r="O840">
        <f>IFERROR(INDEX(PP_Grid[#Data],$DE840,12),0)</f>
        <v/>
      </c>
      <c r="P840">
        <f>IFERROR(INDEX(PP_Grid[#Data],$DE840,13),0)</f>
        <v/>
      </c>
      <c r="Q840">
        <f>IFERROR(INDEX(PP_Grid[#Data],$DE840,14),0)</f>
        <v/>
      </c>
      <c r="R840">
        <f>IFERROR(INDEX(PP_Grid[#Data],$DE840,15),0)</f>
        <v/>
      </c>
      <c r="S840">
        <f>IFERROR(INDEX(PP_Grid[#Data],$DE840,16),0)</f>
        <v/>
      </c>
      <c r="T840">
        <f>IFERROR(INDEX(PP_Grid[#Data],$DE840,17),0)</f>
        <v/>
      </c>
      <c r="U840">
        <f>IFERROR(INDEX(PP_Grid[#Data],$DE840,18),0)</f>
        <v/>
      </c>
      <c r="V840">
        <f>IFERROR(INDEX(PP_Grid[#Data],$DE840,19),0)</f>
        <v/>
      </c>
      <c r="W840">
        <f>IFERROR(INDEX(PP_Grid[#Data],$DE840,20),0)</f>
        <v/>
      </c>
      <c r="X840">
        <f>IFERROR(INDEX(PP_Grid[#Data],$DE840,21),0)</f>
        <v/>
      </c>
      <c r="Y840">
        <f>IFERROR(INDEX(PP_Grid[#Data],$DE840,22),0)</f>
        <v/>
      </c>
      <c r="Z840">
        <f>IFERROR(INDEX(PP_Grid[#Data],$DE840,23),0)</f>
        <v/>
      </c>
      <c r="AA840">
        <f>IFERROR(INDEX(PP_Grid[#Data],$DE840,24),0)</f>
        <v/>
      </c>
      <c r="AB840">
        <f>IFERROR(INDEX(PP_Grid[#Data],$DE840,25),0)</f>
        <v/>
      </c>
      <c r="AC840">
        <f>IFERROR(INDEX(PP_Grid[#Data],$DE840,26),0)</f>
        <v/>
      </c>
      <c r="AD840">
        <f>IFERROR(INDEX(PP_Grid[#Data],$DE840,27),0)</f>
        <v/>
      </c>
      <c r="AE840">
        <f>IFERROR(INDEX(PP_Grid[#Data],$DE840,28),0)</f>
        <v/>
      </c>
      <c r="AF840">
        <f>IFERROR(INDEX(PP_Grid[#Data],$DE840,29),0)</f>
        <v/>
      </c>
      <c r="AG840">
        <f>IFERROR(INDEX(PP_Grid[#Data],$DE840,30),0)</f>
        <v/>
      </c>
      <c r="AH840">
        <f>IFERROR(INDEX(PP_Grid[#Data],$DE840,31),0)</f>
        <v/>
      </c>
      <c r="AI840">
        <f>IFERROR(INDEX(PP_Grid[#Data],$DE840,32),0)</f>
        <v/>
      </c>
      <c r="AJ840">
        <f>IFERROR(INDEX(PP_Grid[#Data],$DE840,33),0)</f>
        <v/>
      </c>
      <c r="AK840">
        <f>IFERROR(INDEX(PP_Grid[#Data],$DE840,34),0)</f>
        <v/>
      </c>
      <c r="AL840">
        <f>IFERROR(INDEX(PP_Grid[#Data],$DE840,35),0)</f>
        <v/>
      </c>
      <c r="AM840">
        <f>IFERROR(INDEX(PP_Grid[#Data],$DE840,36),0)</f>
        <v/>
      </c>
      <c r="AN840">
        <f>IFERROR(INDEX(PP_Grid[#Data],$DE840,37),0)</f>
        <v/>
      </c>
      <c r="AO840">
        <f>IFERROR(INDEX(PP_Grid[#Data],$DE840,38),0)</f>
        <v/>
      </c>
      <c r="AP840">
        <f>IFERROR(INDEX(PP_Grid[#Data],$DE840,39),0)</f>
        <v/>
      </c>
      <c r="AQ840">
        <f>IFERROR(INDEX(PP_Grid[#Data],$DE840,40),0)</f>
        <v/>
      </c>
      <c r="AR840">
        <f>IFERROR(INDEX(PP_Grid[#Data],$DE840,41),0)</f>
        <v/>
      </c>
      <c r="AS840">
        <f>IFERROR(INDEX(PP_Grid[#Data],$DE840,42),0)</f>
        <v/>
      </c>
      <c r="AT840">
        <f>IFERROR(INDEX(PP_Grid[#Data],$DE840,43),0)</f>
        <v/>
      </c>
      <c r="AU840">
        <f>IFERROR(INDEX(PP_Grid[#Data],$DE840,44),0)</f>
        <v/>
      </c>
      <c r="AV840">
        <f>IFERROR(INDEX(PP_Grid[#Data],$DE840,45),0)</f>
        <v/>
      </c>
      <c r="AW840">
        <f>IFERROR(INDEX(PP_Grid[#Data],$DE840,46),0)</f>
        <v/>
      </c>
      <c r="AX840">
        <f>IFERROR(INDEX(PP_Grid[#Data],$DE840,47),0)</f>
        <v/>
      </c>
      <c r="AY840">
        <f>IFERROR(INDEX(PP_Grid[#Data],$DE840,48),0)</f>
        <v/>
      </c>
      <c r="AZ840">
        <f>IFERROR(INDEX(PP_Grid[#Data],$DE840,49),0)</f>
        <v/>
      </c>
      <c r="BA840">
        <f>IFERROR(INDEX(PP_Grid[#Data],$DE840,50),0)</f>
        <v/>
      </c>
      <c r="BB840">
        <f>IFERROR(INDEX(PP_Grid[#Data],$DE840,51),0)</f>
        <v/>
      </c>
      <c r="BC840">
        <f>IFERROR(INDEX(PP_Grid[#Data],$DE840,52),0)</f>
        <v/>
      </c>
      <c r="BD840">
        <f>IFERROR(INDEX(PP_Grid[#Data],$DE840,53),0)</f>
        <v/>
      </c>
      <c r="BE840">
        <f>IFERROR(INDEX(PP_Grid[#Data],$DE840,54),0)</f>
        <v/>
      </c>
      <c r="BF840">
        <f>IFERROR(INDEX(PP_Grid[#Data],$DE840,55),0)</f>
        <v/>
      </c>
      <c r="BG840">
        <f>IFERROR(INDEX(PP_Grid[#Data],$DE840,56),0)</f>
        <v/>
      </c>
      <c r="BH840">
        <f>IFERROR(INDEX(PP_Grid[#Data],$DE840,57),0)</f>
        <v/>
      </c>
      <c r="BI840">
        <f>IFERROR(INDEX(PP_Grid[#Data],$DE840,58),0)</f>
        <v/>
      </c>
      <c r="BJ840">
        <f>IFERROR(INDEX(PP_Grid[#Data],$DE840,59),0)</f>
        <v/>
      </c>
      <c r="BK840">
        <f>IFERROR(INDEX(PP_Grid[#Data],$DE840,60),0)</f>
        <v/>
      </c>
      <c r="BL840">
        <f>IFERROR(INDEX(PP_Grid[#Data],$DE840,61),0)</f>
        <v/>
      </c>
      <c r="BM840">
        <f>IFERROR(INDEX(PP_Grid[#Data],$DE840,62),0)</f>
        <v/>
      </c>
      <c r="BN840">
        <f>IFERROR(INDEX(PP_Grid[#Data],$DE840,63),0)</f>
        <v/>
      </c>
      <c r="BO840">
        <f>IFERROR(INDEX(PP_Grid[#Data],$DE840,64),0)</f>
        <v/>
      </c>
      <c r="BP840">
        <f>IFERROR(INDEX(PP_Grid[#Data],$DE840,65),0)</f>
        <v/>
      </c>
      <c r="BQ840">
        <f>IFERROR(INDEX(PP_Grid[#Data],$DE840,66),0)</f>
        <v/>
      </c>
      <c r="BR840">
        <f>IFERROR(INDEX(PP_Grid[#Data],$DE840,67),0)</f>
        <v/>
      </c>
      <c r="BS840">
        <f>IFERROR(INDEX(PP_Grid[#Data],$DE840,68),0)</f>
        <v/>
      </c>
      <c r="BT840">
        <f>IFERROR(INDEX(PP_Grid[#Data],$DE840,69),0)</f>
        <v/>
      </c>
      <c r="BU840">
        <f>IFERROR(INDEX(PP_Grid[#Data],$DE840,70),0)</f>
        <v/>
      </c>
      <c r="BV840">
        <f>IFERROR(INDEX(PP_Grid[#Data],$DE840,71),0)</f>
        <v/>
      </c>
      <c r="BW840">
        <f>IFERROR(INDEX(PP_Grid[#Data],$DE840,72),0)</f>
        <v/>
      </c>
      <c r="BX840">
        <f>IFERROR(INDEX(PP_Grid[#Data],$DE840,73),0)</f>
        <v/>
      </c>
      <c r="BY840">
        <f>IFERROR(INDEX(PP_Grid[#Data],$DE840,74),0)</f>
        <v/>
      </c>
      <c r="BZ840">
        <f>IFERROR(INDEX(PP_Grid[#Data],$DE840,75),0)</f>
        <v/>
      </c>
      <c r="CA840">
        <f>IFERROR(INDEX(PP_Grid[#Data],$DE840,76),0)</f>
        <v/>
      </c>
      <c r="CB840">
        <f>IFERROR(INDEX(PP_Grid[#Data],$DE840,77),0)</f>
        <v/>
      </c>
      <c r="CC840">
        <f>IFERROR(INDEX(PP_Grid[#Data],$DE840,78),0)</f>
        <v/>
      </c>
      <c r="CD840">
        <f>IFERROR(INDEX(PP_Grid[#Data],$DE840,79),0)</f>
        <v/>
      </c>
      <c r="CE840">
        <f>IFERROR(INDEX(PP_Grid[#Data],$DE840,80),0)</f>
        <v/>
      </c>
      <c r="CF840">
        <f>IFERROR(INDEX(PP_Grid[#Data],$DE840,81),0)</f>
        <v/>
      </c>
      <c r="CG840">
        <f>IFERROR(INDEX(PP_Grid[#Data],$DE840,82),0)</f>
        <v/>
      </c>
      <c r="CH840">
        <f>IFERROR(INDEX(PP_Grid[#Data],$DE840,83),0)</f>
        <v/>
      </c>
      <c r="CI840">
        <f>IFERROR(INDEX(PP_Grid[#Data],$DE840,84),0)</f>
        <v/>
      </c>
      <c r="CJ840">
        <f>IFERROR(INDEX(PP_Grid[#Data],$DE840,85),0)</f>
        <v/>
      </c>
      <c r="CK840">
        <f>IFERROR(INDEX(PP_Grid[#Data],$DE840,86),0)</f>
        <v/>
      </c>
      <c r="CL840">
        <f>IFERROR(INDEX(PP_Grid[#Data],$DE840,87),0)</f>
        <v/>
      </c>
      <c r="CM840">
        <f>IFERROR(INDEX(PP_Grid[#Data],$DE840,88),0)</f>
        <v/>
      </c>
      <c r="CN840">
        <f>IFERROR(INDEX(PP_Grid[#Data],$DE840,89),0)</f>
        <v/>
      </c>
      <c r="CO840">
        <f>IFERROR(INDEX(PP_Grid[#Data],$DE840,90),0)</f>
        <v/>
      </c>
      <c r="CP840">
        <f>IFERROR(INDEX(PP_Grid[#Data],$DE840,91),0)</f>
        <v/>
      </c>
      <c r="CQ840">
        <f>IFERROR(INDEX(PP_Grid[#Data],$DE840,92),0)</f>
        <v/>
      </c>
      <c r="CR840">
        <f>IFERROR(INDEX(PP_Grid[#Data],$DE840,93),0)</f>
        <v/>
      </c>
      <c r="CS840">
        <f>IFERROR(INDEX(PP_Grid[#Data],$DE840,94),0)</f>
        <v/>
      </c>
      <c r="CT840">
        <f>IFERROR(INDEX(PP_Grid[#Data],$DE840,95),0)</f>
        <v/>
      </c>
      <c r="CU840">
        <f>IFERROR(INDEX(PP_Grid[#Data],$DE840,96),0)</f>
        <v/>
      </c>
      <c r="CV840">
        <f>IFERROR(INDEX(PP_Grid[#Data],$DE840,97),0)</f>
        <v/>
      </c>
      <c r="CW840">
        <f>IFERROR(INDEX(PP_Grid[#Data],$DE840,98),0)</f>
        <v/>
      </c>
      <c r="CX840">
        <f>IFERROR(INDEX(PP_Grid[#Data],$DE840,99),0)</f>
        <v/>
      </c>
      <c r="CY840">
        <f>IFERROR(INDEX(PP_Grid[#Data],$DE840,100),0)</f>
        <v/>
      </c>
      <c r="CZ840">
        <f>IFERROR(INDEX(PP_Grid[#Data],$DE840,101),0)</f>
        <v/>
      </c>
      <c r="DA840">
        <f>IFERROR(INDEX(PP_Grid[#Data],$DE840,102),0)</f>
        <v/>
      </c>
      <c r="DB840">
        <f>IFERROR(INDEX(PP_Grid[#Data],$DE840,103),0)</f>
        <v/>
      </c>
      <c r="DC840">
        <f>IFERROR(INDEX(PP_Grid[#Data],$DE840,104),0)</f>
        <v/>
      </c>
      <c r="DD840">
        <f>IFERROR(INDEX(PP_Grid[#Data],$DE840,105),0)</f>
        <v/>
      </c>
      <c r="DE840" s="7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SUMIFS(M_BOM[RM_Qty_Per_Batch],M_BOM[Intermediate],$B840,M_BOM[RM_Code],$A821)</f>
        <v/>
      </c>
      <c r="D841">
        <f>IFERROR(INDEX(E841:DD841,$F$1),"")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  <c r="DD841">
        <f>$C841*DD840</f>
        <v/>
      </c>
    </row>
    <row r="842">
      <c r="B842" t="inlineStr">
        <is>
          <t>VSP-869</t>
        </is>
      </c>
      <c r="C842" t="inlineStr">
        <is>
          <t>No. of batches</t>
        </is>
      </c>
      <c r="D842">
        <f>IFERROR(INDEX(E842:DD842,$F$1),"")</f>
        <v/>
      </c>
      <c r="E842">
        <f>IFERROR(INDEX(PP_Grid[#Data],$DE842,2),0)</f>
        <v/>
      </c>
      <c r="F842">
        <f>IFERROR(INDEX(PP_Grid[#Data],$DE842,3),0)</f>
        <v/>
      </c>
      <c r="G842">
        <f>IFERROR(INDEX(PP_Grid[#Data],$DE842,4),0)</f>
        <v/>
      </c>
      <c r="H842">
        <f>IFERROR(INDEX(PP_Grid[#Data],$DE842,5),0)</f>
        <v/>
      </c>
      <c r="I842">
        <f>IFERROR(INDEX(PP_Grid[#Data],$DE842,6),0)</f>
        <v/>
      </c>
      <c r="J842">
        <f>IFERROR(INDEX(PP_Grid[#Data],$DE842,7),0)</f>
        <v/>
      </c>
      <c r="K842">
        <f>IFERROR(INDEX(PP_Grid[#Data],$DE842,8),0)</f>
        <v/>
      </c>
      <c r="L842">
        <f>IFERROR(INDEX(PP_Grid[#Data],$DE842,9),0)</f>
        <v/>
      </c>
      <c r="M842">
        <f>IFERROR(INDEX(PP_Grid[#Data],$DE842,10),0)</f>
        <v/>
      </c>
      <c r="N842">
        <f>IFERROR(INDEX(PP_Grid[#Data],$DE842,11),0)</f>
        <v/>
      </c>
      <c r="O842">
        <f>IFERROR(INDEX(PP_Grid[#Data],$DE842,12),0)</f>
        <v/>
      </c>
      <c r="P842">
        <f>IFERROR(INDEX(PP_Grid[#Data],$DE842,13),0)</f>
        <v/>
      </c>
      <c r="Q842">
        <f>IFERROR(INDEX(PP_Grid[#Data],$DE842,14),0)</f>
        <v/>
      </c>
      <c r="R842">
        <f>IFERROR(INDEX(PP_Grid[#Data],$DE842,15),0)</f>
        <v/>
      </c>
      <c r="S842">
        <f>IFERROR(INDEX(PP_Grid[#Data],$DE842,16),0)</f>
        <v/>
      </c>
      <c r="T842">
        <f>IFERROR(INDEX(PP_Grid[#Data],$DE842,17),0)</f>
        <v/>
      </c>
      <c r="U842">
        <f>IFERROR(INDEX(PP_Grid[#Data],$DE842,18),0)</f>
        <v/>
      </c>
      <c r="V842">
        <f>IFERROR(INDEX(PP_Grid[#Data],$DE842,19),0)</f>
        <v/>
      </c>
      <c r="W842">
        <f>IFERROR(INDEX(PP_Grid[#Data],$DE842,20),0)</f>
        <v/>
      </c>
      <c r="X842">
        <f>IFERROR(INDEX(PP_Grid[#Data],$DE842,21),0)</f>
        <v/>
      </c>
      <c r="Y842">
        <f>IFERROR(INDEX(PP_Grid[#Data],$DE842,22),0)</f>
        <v/>
      </c>
      <c r="Z842">
        <f>IFERROR(INDEX(PP_Grid[#Data],$DE842,23),0)</f>
        <v/>
      </c>
      <c r="AA842">
        <f>IFERROR(INDEX(PP_Grid[#Data],$DE842,24),0)</f>
        <v/>
      </c>
      <c r="AB842">
        <f>IFERROR(INDEX(PP_Grid[#Data],$DE842,25),0)</f>
        <v/>
      </c>
      <c r="AC842">
        <f>IFERROR(INDEX(PP_Grid[#Data],$DE842,26),0)</f>
        <v/>
      </c>
      <c r="AD842">
        <f>IFERROR(INDEX(PP_Grid[#Data],$DE842,27),0)</f>
        <v/>
      </c>
      <c r="AE842">
        <f>IFERROR(INDEX(PP_Grid[#Data],$DE842,28),0)</f>
        <v/>
      </c>
      <c r="AF842">
        <f>IFERROR(INDEX(PP_Grid[#Data],$DE842,29),0)</f>
        <v/>
      </c>
      <c r="AG842">
        <f>IFERROR(INDEX(PP_Grid[#Data],$DE842,30),0)</f>
        <v/>
      </c>
      <c r="AH842">
        <f>IFERROR(INDEX(PP_Grid[#Data],$DE842,31),0)</f>
        <v/>
      </c>
      <c r="AI842">
        <f>IFERROR(INDEX(PP_Grid[#Data],$DE842,32),0)</f>
        <v/>
      </c>
      <c r="AJ842">
        <f>IFERROR(INDEX(PP_Grid[#Data],$DE842,33),0)</f>
        <v/>
      </c>
      <c r="AK842">
        <f>IFERROR(INDEX(PP_Grid[#Data],$DE842,34),0)</f>
        <v/>
      </c>
      <c r="AL842">
        <f>IFERROR(INDEX(PP_Grid[#Data],$DE842,35),0)</f>
        <v/>
      </c>
      <c r="AM842">
        <f>IFERROR(INDEX(PP_Grid[#Data],$DE842,36),0)</f>
        <v/>
      </c>
      <c r="AN842">
        <f>IFERROR(INDEX(PP_Grid[#Data],$DE842,37),0)</f>
        <v/>
      </c>
      <c r="AO842">
        <f>IFERROR(INDEX(PP_Grid[#Data],$DE842,38),0)</f>
        <v/>
      </c>
      <c r="AP842">
        <f>IFERROR(INDEX(PP_Grid[#Data],$DE842,39),0)</f>
        <v/>
      </c>
      <c r="AQ842">
        <f>IFERROR(INDEX(PP_Grid[#Data],$DE842,40),0)</f>
        <v/>
      </c>
      <c r="AR842">
        <f>IFERROR(INDEX(PP_Grid[#Data],$DE842,41),0)</f>
        <v/>
      </c>
      <c r="AS842">
        <f>IFERROR(INDEX(PP_Grid[#Data],$DE842,42),0)</f>
        <v/>
      </c>
      <c r="AT842">
        <f>IFERROR(INDEX(PP_Grid[#Data],$DE842,43),0)</f>
        <v/>
      </c>
      <c r="AU842">
        <f>IFERROR(INDEX(PP_Grid[#Data],$DE842,44),0)</f>
        <v/>
      </c>
      <c r="AV842">
        <f>IFERROR(INDEX(PP_Grid[#Data],$DE842,45),0)</f>
        <v/>
      </c>
      <c r="AW842">
        <f>IFERROR(INDEX(PP_Grid[#Data],$DE842,46),0)</f>
        <v/>
      </c>
      <c r="AX842">
        <f>IFERROR(INDEX(PP_Grid[#Data],$DE842,47),0)</f>
        <v/>
      </c>
      <c r="AY842">
        <f>IFERROR(INDEX(PP_Grid[#Data],$DE842,48),0)</f>
        <v/>
      </c>
      <c r="AZ842">
        <f>IFERROR(INDEX(PP_Grid[#Data],$DE842,49),0)</f>
        <v/>
      </c>
      <c r="BA842">
        <f>IFERROR(INDEX(PP_Grid[#Data],$DE842,50),0)</f>
        <v/>
      </c>
      <c r="BB842">
        <f>IFERROR(INDEX(PP_Grid[#Data],$DE842,51),0)</f>
        <v/>
      </c>
      <c r="BC842">
        <f>IFERROR(INDEX(PP_Grid[#Data],$DE842,52),0)</f>
        <v/>
      </c>
      <c r="BD842">
        <f>IFERROR(INDEX(PP_Grid[#Data],$DE842,53),0)</f>
        <v/>
      </c>
      <c r="BE842">
        <f>IFERROR(INDEX(PP_Grid[#Data],$DE842,54),0)</f>
        <v/>
      </c>
      <c r="BF842">
        <f>IFERROR(INDEX(PP_Grid[#Data],$DE842,55),0)</f>
        <v/>
      </c>
      <c r="BG842">
        <f>IFERROR(INDEX(PP_Grid[#Data],$DE842,56),0)</f>
        <v/>
      </c>
      <c r="BH842">
        <f>IFERROR(INDEX(PP_Grid[#Data],$DE842,57),0)</f>
        <v/>
      </c>
      <c r="BI842">
        <f>IFERROR(INDEX(PP_Grid[#Data],$DE842,58),0)</f>
        <v/>
      </c>
      <c r="BJ842">
        <f>IFERROR(INDEX(PP_Grid[#Data],$DE842,59),0)</f>
        <v/>
      </c>
      <c r="BK842">
        <f>IFERROR(INDEX(PP_Grid[#Data],$DE842,60),0)</f>
        <v/>
      </c>
      <c r="BL842">
        <f>IFERROR(INDEX(PP_Grid[#Data],$DE842,61),0)</f>
        <v/>
      </c>
      <c r="BM842">
        <f>IFERROR(INDEX(PP_Grid[#Data],$DE842,62),0)</f>
        <v/>
      </c>
      <c r="BN842">
        <f>IFERROR(INDEX(PP_Grid[#Data],$DE842,63),0)</f>
        <v/>
      </c>
      <c r="BO842">
        <f>IFERROR(INDEX(PP_Grid[#Data],$DE842,64),0)</f>
        <v/>
      </c>
      <c r="BP842">
        <f>IFERROR(INDEX(PP_Grid[#Data],$DE842,65),0)</f>
        <v/>
      </c>
      <c r="BQ842">
        <f>IFERROR(INDEX(PP_Grid[#Data],$DE842,66),0)</f>
        <v/>
      </c>
      <c r="BR842">
        <f>IFERROR(INDEX(PP_Grid[#Data],$DE842,67),0)</f>
        <v/>
      </c>
      <c r="BS842">
        <f>IFERROR(INDEX(PP_Grid[#Data],$DE842,68),0)</f>
        <v/>
      </c>
      <c r="BT842">
        <f>IFERROR(INDEX(PP_Grid[#Data],$DE842,69),0)</f>
        <v/>
      </c>
      <c r="BU842">
        <f>IFERROR(INDEX(PP_Grid[#Data],$DE842,70),0)</f>
        <v/>
      </c>
      <c r="BV842">
        <f>IFERROR(INDEX(PP_Grid[#Data],$DE842,71),0)</f>
        <v/>
      </c>
      <c r="BW842">
        <f>IFERROR(INDEX(PP_Grid[#Data],$DE842,72),0)</f>
        <v/>
      </c>
      <c r="BX842">
        <f>IFERROR(INDEX(PP_Grid[#Data],$DE842,73),0)</f>
        <v/>
      </c>
      <c r="BY842">
        <f>IFERROR(INDEX(PP_Grid[#Data],$DE842,74),0)</f>
        <v/>
      </c>
      <c r="BZ842">
        <f>IFERROR(INDEX(PP_Grid[#Data],$DE842,75),0)</f>
        <v/>
      </c>
      <c r="CA842">
        <f>IFERROR(INDEX(PP_Grid[#Data],$DE842,76),0)</f>
        <v/>
      </c>
      <c r="CB842">
        <f>IFERROR(INDEX(PP_Grid[#Data],$DE842,77),0)</f>
        <v/>
      </c>
      <c r="CC842">
        <f>IFERROR(INDEX(PP_Grid[#Data],$DE842,78),0)</f>
        <v/>
      </c>
      <c r="CD842">
        <f>IFERROR(INDEX(PP_Grid[#Data],$DE842,79),0)</f>
        <v/>
      </c>
      <c r="CE842">
        <f>IFERROR(INDEX(PP_Grid[#Data],$DE842,80),0)</f>
        <v/>
      </c>
      <c r="CF842">
        <f>IFERROR(INDEX(PP_Grid[#Data],$DE842,81),0)</f>
        <v/>
      </c>
      <c r="CG842">
        <f>IFERROR(INDEX(PP_Grid[#Data],$DE842,82),0)</f>
        <v/>
      </c>
      <c r="CH842">
        <f>IFERROR(INDEX(PP_Grid[#Data],$DE842,83),0)</f>
        <v/>
      </c>
      <c r="CI842">
        <f>IFERROR(INDEX(PP_Grid[#Data],$DE842,84),0)</f>
        <v/>
      </c>
      <c r="CJ842">
        <f>IFERROR(INDEX(PP_Grid[#Data],$DE842,85),0)</f>
        <v/>
      </c>
      <c r="CK842">
        <f>IFERROR(INDEX(PP_Grid[#Data],$DE842,86),0)</f>
        <v/>
      </c>
      <c r="CL842">
        <f>IFERROR(INDEX(PP_Grid[#Data],$DE842,87),0)</f>
        <v/>
      </c>
      <c r="CM842">
        <f>IFERROR(INDEX(PP_Grid[#Data],$DE842,88),0)</f>
        <v/>
      </c>
      <c r="CN842">
        <f>IFERROR(INDEX(PP_Grid[#Data],$DE842,89),0)</f>
        <v/>
      </c>
      <c r="CO842">
        <f>IFERROR(INDEX(PP_Grid[#Data],$DE842,90),0)</f>
        <v/>
      </c>
      <c r="CP842">
        <f>IFERROR(INDEX(PP_Grid[#Data],$DE842,91),0)</f>
        <v/>
      </c>
      <c r="CQ842">
        <f>IFERROR(INDEX(PP_Grid[#Data],$DE842,92),0)</f>
        <v/>
      </c>
      <c r="CR842">
        <f>IFERROR(INDEX(PP_Grid[#Data],$DE842,93),0)</f>
        <v/>
      </c>
      <c r="CS842">
        <f>IFERROR(INDEX(PP_Grid[#Data],$DE842,94),0)</f>
        <v/>
      </c>
      <c r="CT842">
        <f>IFERROR(INDEX(PP_Grid[#Data],$DE842,95),0)</f>
        <v/>
      </c>
      <c r="CU842">
        <f>IFERROR(INDEX(PP_Grid[#Data],$DE842,96),0)</f>
        <v/>
      </c>
      <c r="CV842">
        <f>IFERROR(INDEX(PP_Grid[#Data],$DE842,97),0)</f>
        <v/>
      </c>
      <c r="CW842">
        <f>IFERROR(INDEX(PP_Grid[#Data],$DE842,98),0)</f>
        <v/>
      </c>
      <c r="CX842">
        <f>IFERROR(INDEX(PP_Grid[#Data],$DE842,99),0)</f>
        <v/>
      </c>
      <c r="CY842">
        <f>IFERROR(INDEX(PP_Grid[#Data],$DE842,100),0)</f>
        <v/>
      </c>
      <c r="CZ842">
        <f>IFERROR(INDEX(PP_Grid[#Data],$DE842,101),0)</f>
        <v/>
      </c>
      <c r="DA842">
        <f>IFERROR(INDEX(PP_Grid[#Data],$DE842,102),0)</f>
        <v/>
      </c>
      <c r="DB842">
        <f>IFERROR(INDEX(PP_Grid[#Data],$DE842,103),0)</f>
        <v/>
      </c>
      <c r="DC842">
        <f>IFERROR(INDEX(PP_Grid[#Data],$DE842,104),0)</f>
        <v/>
      </c>
      <c r="DD842">
        <f>IFERROR(INDEX(PP_Grid[#Data],$DE842,105),0)</f>
        <v/>
      </c>
      <c r="DE842" s="7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SUMIFS(M_BOM[RM_Qty_Per_Batch],M_BOM[Intermediate],$B842,M_BOM[RM_Code],$A821)</f>
        <v/>
      </c>
      <c r="D843">
        <f>IFERROR(INDEX(E843:DD843,$F$1),"")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  <c r="DD843">
        <f>$C843*DD842</f>
        <v/>
      </c>
    </row>
    <row r="844">
      <c r="B844" t="inlineStr">
        <is>
          <t>VSP-989</t>
        </is>
      </c>
      <c r="C844" t="inlineStr">
        <is>
          <t>No. of batches</t>
        </is>
      </c>
      <c r="D844">
        <f>IFERROR(INDEX(E844:DD844,$F$1),"")</f>
        <v/>
      </c>
      <c r="E844">
        <f>IFERROR(INDEX(PP_Grid[#Data],$DE844,2),0)</f>
        <v/>
      </c>
      <c r="F844">
        <f>IFERROR(INDEX(PP_Grid[#Data],$DE844,3),0)</f>
        <v/>
      </c>
      <c r="G844">
        <f>IFERROR(INDEX(PP_Grid[#Data],$DE844,4),0)</f>
        <v/>
      </c>
      <c r="H844">
        <f>IFERROR(INDEX(PP_Grid[#Data],$DE844,5),0)</f>
        <v/>
      </c>
      <c r="I844">
        <f>IFERROR(INDEX(PP_Grid[#Data],$DE844,6),0)</f>
        <v/>
      </c>
      <c r="J844">
        <f>IFERROR(INDEX(PP_Grid[#Data],$DE844,7),0)</f>
        <v/>
      </c>
      <c r="K844">
        <f>IFERROR(INDEX(PP_Grid[#Data],$DE844,8),0)</f>
        <v/>
      </c>
      <c r="L844">
        <f>IFERROR(INDEX(PP_Grid[#Data],$DE844,9),0)</f>
        <v/>
      </c>
      <c r="M844">
        <f>IFERROR(INDEX(PP_Grid[#Data],$DE844,10),0)</f>
        <v/>
      </c>
      <c r="N844">
        <f>IFERROR(INDEX(PP_Grid[#Data],$DE844,11),0)</f>
        <v/>
      </c>
      <c r="O844">
        <f>IFERROR(INDEX(PP_Grid[#Data],$DE844,12),0)</f>
        <v/>
      </c>
      <c r="P844">
        <f>IFERROR(INDEX(PP_Grid[#Data],$DE844,13),0)</f>
        <v/>
      </c>
      <c r="Q844">
        <f>IFERROR(INDEX(PP_Grid[#Data],$DE844,14),0)</f>
        <v/>
      </c>
      <c r="R844">
        <f>IFERROR(INDEX(PP_Grid[#Data],$DE844,15),0)</f>
        <v/>
      </c>
      <c r="S844">
        <f>IFERROR(INDEX(PP_Grid[#Data],$DE844,16),0)</f>
        <v/>
      </c>
      <c r="T844">
        <f>IFERROR(INDEX(PP_Grid[#Data],$DE844,17),0)</f>
        <v/>
      </c>
      <c r="U844">
        <f>IFERROR(INDEX(PP_Grid[#Data],$DE844,18),0)</f>
        <v/>
      </c>
      <c r="V844">
        <f>IFERROR(INDEX(PP_Grid[#Data],$DE844,19),0)</f>
        <v/>
      </c>
      <c r="W844">
        <f>IFERROR(INDEX(PP_Grid[#Data],$DE844,20),0)</f>
        <v/>
      </c>
      <c r="X844">
        <f>IFERROR(INDEX(PP_Grid[#Data],$DE844,21),0)</f>
        <v/>
      </c>
      <c r="Y844">
        <f>IFERROR(INDEX(PP_Grid[#Data],$DE844,22),0)</f>
        <v/>
      </c>
      <c r="Z844">
        <f>IFERROR(INDEX(PP_Grid[#Data],$DE844,23),0)</f>
        <v/>
      </c>
      <c r="AA844">
        <f>IFERROR(INDEX(PP_Grid[#Data],$DE844,24),0)</f>
        <v/>
      </c>
      <c r="AB844">
        <f>IFERROR(INDEX(PP_Grid[#Data],$DE844,25),0)</f>
        <v/>
      </c>
      <c r="AC844">
        <f>IFERROR(INDEX(PP_Grid[#Data],$DE844,26),0)</f>
        <v/>
      </c>
      <c r="AD844">
        <f>IFERROR(INDEX(PP_Grid[#Data],$DE844,27),0)</f>
        <v/>
      </c>
      <c r="AE844">
        <f>IFERROR(INDEX(PP_Grid[#Data],$DE844,28),0)</f>
        <v/>
      </c>
      <c r="AF844">
        <f>IFERROR(INDEX(PP_Grid[#Data],$DE844,29),0)</f>
        <v/>
      </c>
      <c r="AG844">
        <f>IFERROR(INDEX(PP_Grid[#Data],$DE844,30),0)</f>
        <v/>
      </c>
      <c r="AH844">
        <f>IFERROR(INDEX(PP_Grid[#Data],$DE844,31),0)</f>
        <v/>
      </c>
      <c r="AI844">
        <f>IFERROR(INDEX(PP_Grid[#Data],$DE844,32),0)</f>
        <v/>
      </c>
      <c r="AJ844">
        <f>IFERROR(INDEX(PP_Grid[#Data],$DE844,33),0)</f>
        <v/>
      </c>
      <c r="AK844">
        <f>IFERROR(INDEX(PP_Grid[#Data],$DE844,34),0)</f>
        <v/>
      </c>
      <c r="AL844">
        <f>IFERROR(INDEX(PP_Grid[#Data],$DE844,35),0)</f>
        <v/>
      </c>
      <c r="AM844">
        <f>IFERROR(INDEX(PP_Grid[#Data],$DE844,36),0)</f>
        <v/>
      </c>
      <c r="AN844">
        <f>IFERROR(INDEX(PP_Grid[#Data],$DE844,37),0)</f>
        <v/>
      </c>
      <c r="AO844">
        <f>IFERROR(INDEX(PP_Grid[#Data],$DE844,38),0)</f>
        <v/>
      </c>
      <c r="AP844">
        <f>IFERROR(INDEX(PP_Grid[#Data],$DE844,39),0)</f>
        <v/>
      </c>
      <c r="AQ844">
        <f>IFERROR(INDEX(PP_Grid[#Data],$DE844,40),0)</f>
        <v/>
      </c>
      <c r="AR844">
        <f>IFERROR(INDEX(PP_Grid[#Data],$DE844,41),0)</f>
        <v/>
      </c>
      <c r="AS844">
        <f>IFERROR(INDEX(PP_Grid[#Data],$DE844,42),0)</f>
        <v/>
      </c>
      <c r="AT844">
        <f>IFERROR(INDEX(PP_Grid[#Data],$DE844,43),0)</f>
        <v/>
      </c>
      <c r="AU844">
        <f>IFERROR(INDEX(PP_Grid[#Data],$DE844,44),0)</f>
        <v/>
      </c>
      <c r="AV844">
        <f>IFERROR(INDEX(PP_Grid[#Data],$DE844,45),0)</f>
        <v/>
      </c>
      <c r="AW844">
        <f>IFERROR(INDEX(PP_Grid[#Data],$DE844,46),0)</f>
        <v/>
      </c>
      <c r="AX844">
        <f>IFERROR(INDEX(PP_Grid[#Data],$DE844,47),0)</f>
        <v/>
      </c>
      <c r="AY844">
        <f>IFERROR(INDEX(PP_Grid[#Data],$DE844,48),0)</f>
        <v/>
      </c>
      <c r="AZ844">
        <f>IFERROR(INDEX(PP_Grid[#Data],$DE844,49),0)</f>
        <v/>
      </c>
      <c r="BA844">
        <f>IFERROR(INDEX(PP_Grid[#Data],$DE844,50),0)</f>
        <v/>
      </c>
      <c r="BB844">
        <f>IFERROR(INDEX(PP_Grid[#Data],$DE844,51),0)</f>
        <v/>
      </c>
      <c r="BC844">
        <f>IFERROR(INDEX(PP_Grid[#Data],$DE844,52),0)</f>
        <v/>
      </c>
      <c r="BD844">
        <f>IFERROR(INDEX(PP_Grid[#Data],$DE844,53),0)</f>
        <v/>
      </c>
      <c r="BE844">
        <f>IFERROR(INDEX(PP_Grid[#Data],$DE844,54),0)</f>
        <v/>
      </c>
      <c r="BF844">
        <f>IFERROR(INDEX(PP_Grid[#Data],$DE844,55),0)</f>
        <v/>
      </c>
      <c r="BG844">
        <f>IFERROR(INDEX(PP_Grid[#Data],$DE844,56),0)</f>
        <v/>
      </c>
      <c r="BH844">
        <f>IFERROR(INDEX(PP_Grid[#Data],$DE844,57),0)</f>
        <v/>
      </c>
      <c r="BI844">
        <f>IFERROR(INDEX(PP_Grid[#Data],$DE844,58),0)</f>
        <v/>
      </c>
      <c r="BJ844">
        <f>IFERROR(INDEX(PP_Grid[#Data],$DE844,59),0)</f>
        <v/>
      </c>
      <c r="BK844">
        <f>IFERROR(INDEX(PP_Grid[#Data],$DE844,60),0)</f>
        <v/>
      </c>
      <c r="BL844">
        <f>IFERROR(INDEX(PP_Grid[#Data],$DE844,61),0)</f>
        <v/>
      </c>
      <c r="BM844">
        <f>IFERROR(INDEX(PP_Grid[#Data],$DE844,62),0)</f>
        <v/>
      </c>
      <c r="BN844">
        <f>IFERROR(INDEX(PP_Grid[#Data],$DE844,63),0)</f>
        <v/>
      </c>
      <c r="BO844">
        <f>IFERROR(INDEX(PP_Grid[#Data],$DE844,64),0)</f>
        <v/>
      </c>
      <c r="BP844">
        <f>IFERROR(INDEX(PP_Grid[#Data],$DE844,65),0)</f>
        <v/>
      </c>
      <c r="BQ844">
        <f>IFERROR(INDEX(PP_Grid[#Data],$DE844,66),0)</f>
        <v/>
      </c>
      <c r="BR844">
        <f>IFERROR(INDEX(PP_Grid[#Data],$DE844,67),0)</f>
        <v/>
      </c>
      <c r="BS844">
        <f>IFERROR(INDEX(PP_Grid[#Data],$DE844,68),0)</f>
        <v/>
      </c>
      <c r="BT844">
        <f>IFERROR(INDEX(PP_Grid[#Data],$DE844,69),0)</f>
        <v/>
      </c>
      <c r="BU844">
        <f>IFERROR(INDEX(PP_Grid[#Data],$DE844,70),0)</f>
        <v/>
      </c>
      <c r="BV844">
        <f>IFERROR(INDEX(PP_Grid[#Data],$DE844,71),0)</f>
        <v/>
      </c>
      <c r="BW844">
        <f>IFERROR(INDEX(PP_Grid[#Data],$DE844,72),0)</f>
        <v/>
      </c>
      <c r="BX844">
        <f>IFERROR(INDEX(PP_Grid[#Data],$DE844,73),0)</f>
        <v/>
      </c>
      <c r="BY844">
        <f>IFERROR(INDEX(PP_Grid[#Data],$DE844,74),0)</f>
        <v/>
      </c>
      <c r="BZ844">
        <f>IFERROR(INDEX(PP_Grid[#Data],$DE844,75),0)</f>
        <v/>
      </c>
      <c r="CA844">
        <f>IFERROR(INDEX(PP_Grid[#Data],$DE844,76),0)</f>
        <v/>
      </c>
      <c r="CB844">
        <f>IFERROR(INDEX(PP_Grid[#Data],$DE844,77),0)</f>
        <v/>
      </c>
      <c r="CC844">
        <f>IFERROR(INDEX(PP_Grid[#Data],$DE844,78),0)</f>
        <v/>
      </c>
      <c r="CD844">
        <f>IFERROR(INDEX(PP_Grid[#Data],$DE844,79),0)</f>
        <v/>
      </c>
      <c r="CE844">
        <f>IFERROR(INDEX(PP_Grid[#Data],$DE844,80),0)</f>
        <v/>
      </c>
      <c r="CF844">
        <f>IFERROR(INDEX(PP_Grid[#Data],$DE844,81),0)</f>
        <v/>
      </c>
      <c r="CG844">
        <f>IFERROR(INDEX(PP_Grid[#Data],$DE844,82),0)</f>
        <v/>
      </c>
      <c r="CH844">
        <f>IFERROR(INDEX(PP_Grid[#Data],$DE844,83),0)</f>
        <v/>
      </c>
      <c r="CI844">
        <f>IFERROR(INDEX(PP_Grid[#Data],$DE844,84),0)</f>
        <v/>
      </c>
      <c r="CJ844">
        <f>IFERROR(INDEX(PP_Grid[#Data],$DE844,85),0)</f>
        <v/>
      </c>
      <c r="CK844">
        <f>IFERROR(INDEX(PP_Grid[#Data],$DE844,86),0)</f>
        <v/>
      </c>
      <c r="CL844">
        <f>IFERROR(INDEX(PP_Grid[#Data],$DE844,87),0)</f>
        <v/>
      </c>
      <c r="CM844">
        <f>IFERROR(INDEX(PP_Grid[#Data],$DE844,88),0)</f>
        <v/>
      </c>
      <c r="CN844">
        <f>IFERROR(INDEX(PP_Grid[#Data],$DE844,89),0)</f>
        <v/>
      </c>
      <c r="CO844">
        <f>IFERROR(INDEX(PP_Grid[#Data],$DE844,90),0)</f>
        <v/>
      </c>
      <c r="CP844">
        <f>IFERROR(INDEX(PP_Grid[#Data],$DE844,91),0)</f>
        <v/>
      </c>
      <c r="CQ844">
        <f>IFERROR(INDEX(PP_Grid[#Data],$DE844,92),0)</f>
        <v/>
      </c>
      <c r="CR844">
        <f>IFERROR(INDEX(PP_Grid[#Data],$DE844,93),0)</f>
        <v/>
      </c>
      <c r="CS844">
        <f>IFERROR(INDEX(PP_Grid[#Data],$DE844,94),0)</f>
        <v/>
      </c>
      <c r="CT844">
        <f>IFERROR(INDEX(PP_Grid[#Data],$DE844,95),0)</f>
        <v/>
      </c>
      <c r="CU844">
        <f>IFERROR(INDEX(PP_Grid[#Data],$DE844,96),0)</f>
        <v/>
      </c>
      <c r="CV844">
        <f>IFERROR(INDEX(PP_Grid[#Data],$DE844,97),0)</f>
        <v/>
      </c>
      <c r="CW844">
        <f>IFERROR(INDEX(PP_Grid[#Data],$DE844,98),0)</f>
        <v/>
      </c>
      <c r="CX844">
        <f>IFERROR(INDEX(PP_Grid[#Data],$DE844,99),0)</f>
        <v/>
      </c>
      <c r="CY844">
        <f>IFERROR(INDEX(PP_Grid[#Data],$DE844,100),0)</f>
        <v/>
      </c>
      <c r="CZ844">
        <f>IFERROR(INDEX(PP_Grid[#Data],$DE844,101),0)</f>
        <v/>
      </c>
      <c r="DA844">
        <f>IFERROR(INDEX(PP_Grid[#Data],$DE844,102),0)</f>
        <v/>
      </c>
      <c r="DB844">
        <f>IFERROR(INDEX(PP_Grid[#Data],$DE844,103),0)</f>
        <v/>
      </c>
      <c r="DC844">
        <f>IFERROR(INDEX(PP_Grid[#Data],$DE844,104),0)</f>
        <v/>
      </c>
      <c r="DD844">
        <f>IFERROR(INDEX(PP_Grid[#Data],$DE844,105),0)</f>
        <v/>
      </c>
      <c r="DE844" s="7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SUMIFS(M_BOM[RM_Qty_Per_Batch],M_BOM[Intermediate],$B844,M_BOM[RM_Code],$A821)</f>
        <v/>
      </c>
      <c r="D845">
        <f>IFERROR(INDEX(E845:DD845,$F$1),"")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  <c r="DD845">
        <f>$C845*DD844</f>
        <v/>
      </c>
    </row>
    <row r="846">
      <c r="B846" s="4" t="inlineStr">
        <is>
          <t>合計使用量(kg)/週</t>
        </is>
      </c>
      <c r="D846" s="22">
        <f>IFERROR(INDEX(E846:DD846,$F$1),"")</f>
        <v/>
      </c>
      <c r="E846">
        <f>'Grid_Requirement'!B91</f>
        <v/>
      </c>
      <c r="F846">
        <f>'Grid_Requirement'!C91</f>
        <v/>
      </c>
      <c r="G846">
        <f>'Grid_Requirement'!D91</f>
        <v/>
      </c>
      <c r="H846">
        <f>'Grid_Requirement'!E91</f>
        <v/>
      </c>
      <c r="I846">
        <f>'Grid_Requirement'!F91</f>
        <v/>
      </c>
      <c r="J846">
        <f>'Grid_Requirement'!G91</f>
        <v/>
      </c>
      <c r="K846">
        <f>'Grid_Requirement'!H91</f>
        <v/>
      </c>
      <c r="L846">
        <f>'Grid_Requirement'!I91</f>
        <v/>
      </c>
      <c r="M846">
        <f>'Grid_Requirement'!J91</f>
        <v/>
      </c>
      <c r="N846">
        <f>'Grid_Requirement'!K91</f>
        <v/>
      </c>
      <c r="O846">
        <f>'Grid_Requirement'!L91</f>
        <v/>
      </c>
      <c r="P846">
        <f>'Grid_Requirement'!M91</f>
        <v/>
      </c>
      <c r="Q846">
        <f>'Grid_Requirement'!N91</f>
        <v/>
      </c>
      <c r="R846">
        <f>'Grid_Requirement'!O91</f>
        <v/>
      </c>
      <c r="S846">
        <f>'Grid_Requirement'!P91</f>
        <v/>
      </c>
      <c r="T846">
        <f>'Grid_Requirement'!Q91</f>
        <v/>
      </c>
      <c r="U846">
        <f>'Grid_Requirement'!R91</f>
        <v/>
      </c>
      <c r="V846">
        <f>'Grid_Requirement'!S91</f>
        <v/>
      </c>
      <c r="W846">
        <f>'Grid_Requirement'!T91</f>
        <v/>
      </c>
      <c r="X846">
        <f>'Grid_Requirement'!U91</f>
        <v/>
      </c>
      <c r="Y846">
        <f>'Grid_Requirement'!V91</f>
        <v/>
      </c>
      <c r="Z846">
        <f>'Grid_Requirement'!W91</f>
        <v/>
      </c>
      <c r="AA846">
        <f>'Grid_Requirement'!X91</f>
        <v/>
      </c>
      <c r="AB846">
        <f>'Grid_Requirement'!Y91</f>
        <v/>
      </c>
      <c r="AC846">
        <f>'Grid_Requirement'!Z91</f>
        <v/>
      </c>
      <c r="AD846">
        <f>'Grid_Requirement'!AA91</f>
        <v/>
      </c>
      <c r="AE846">
        <f>'Grid_Requirement'!AB91</f>
        <v/>
      </c>
      <c r="AF846">
        <f>'Grid_Requirement'!AC91</f>
        <v/>
      </c>
      <c r="AG846">
        <f>'Grid_Requirement'!AD91</f>
        <v/>
      </c>
      <c r="AH846">
        <f>'Grid_Requirement'!AE91</f>
        <v/>
      </c>
      <c r="AI846">
        <f>'Grid_Requirement'!AF91</f>
        <v/>
      </c>
      <c r="AJ846">
        <f>'Grid_Requirement'!AG91</f>
        <v/>
      </c>
      <c r="AK846">
        <f>'Grid_Requirement'!AH91</f>
        <v/>
      </c>
      <c r="AL846">
        <f>'Grid_Requirement'!AI91</f>
        <v/>
      </c>
      <c r="AM846">
        <f>'Grid_Requirement'!AJ91</f>
        <v/>
      </c>
      <c r="AN846">
        <f>'Grid_Requirement'!AK91</f>
        <v/>
      </c>
      <c r="AO846">
        <f>'Grid_Requirement'!AL91</f>
        <v/>
      </c>
      <c r="AP846">
        <f>'Grid_Requirement'!AM91</f>
        <v/>
      </c>
      <c r="AQ846">
        <f>'Grid_Requirement'!AN91</f>
        <v/>
      </c>
      <c r="AR846">
        <f>'Grid_Requirement'!AO91</f>
        <v/>
      </c>
      <c r="AS846">
        <f>'Grid_Requirement'!AP91</f>
        <v/>
      </c>
      <c r="AT846">
        <f>'Grid_Requirement'!AQ91</f>
        <v/>
      </c>
      <c r="AU846">
        <f>'Grid_Requirement'!AR91</f>
        <v/>
      </c>
      <c r="AV846">
        <f>'Grid_Requirement'!AS91</f>
        <v/>
      </c>
      <c r="AW846">
        <f>'Grid_Requirement'!AT91</f>
        <v/>
      </c>
      <c r="AX846">
        <f>'Grid_Requirement'!AU91</f>
        <v/>
      </c>
      <c r="AY846">
        <f>'Grid_Requirement'!AV91</f>
        <v/>
      </c>
      <c r="AZ846">
        <f>'Grid_Requirement'!AW91</f>
        <v/>
      </c>
      <c r="BA846">
        <f>'Grid_Requirement'!AX91</f>
        <v/>
      </c>
      <c r="BB846">
        <f>'Grid_Requirement'!AY91</f>
        <v/>
      </c>
      <c r="BC846">
        <f>'Grid_Requirement'!AZ91</f>
        <v/>
      </c>
      <c r="BD846">
        <f>'Grid_Requirement'!BA91</f>
        <v/>
      </c>
      <c r="BE846">
        <f>'Grid_Requirement'!BB91</f>
        <v/>
      </c>
      <c r="BF846">
        <f>'Grid_Requirement'!BC91</f>
        <v/>
      </c>
      <c r="BG846">
        <f>'Grid_Requirement'!BD91</f>
        <v/>
      </c>
      <c r="BH846">
        <f>'Grid_Requirement'!BE91</f>
        <v/>
      </c>
      <c r="BI846">
        <f>'Grid_Requirement'!BF91</f>
        <v/>
      </c>
      <c r="BJ846">
        <f>'Grid_Requirement'!BG91</f>
        <v/>
      </c>
      <c r="BK846">
        <f>'Grid_Requirement'!BH91</f>
        <v/>
      </c>
      <c r="BL846">
        <f>'Grid_Requirement'!BI91</f>
        <v/>
      </c>
      <c r="BM846">
        <f>'Grid_Requirement'!BJ91</f>
        <v/>
      </c>
      <c r="BN846">
        <f>'Grid_Requirement'!BK91</f>
        <v/>
      </c>
      <c r="BO846">
        <f>'Grid_Requirement'!BL91</f>
        <v/>
      </c>
      <c r="BP846">
        <f>'Grid_Requirement'!BM91</f>
        <v/>
      </c>
      <c r="BQ846">
        <f>'Grid_Requirement'!BN91</f>
        <v/>
      </c>
      <c r="BR846">
        <f>'Grid_Requirement'!BO91</f>
        <v/>
      </c>
      <c r="BS846">
        <f>'Grid_Requirement'!BP91</f>
        <v/>
      </c>
      <c r="BT846">
        <f>'Grid_Requirement'!BQ91</f>
        <v/>
      </c>
      <c r="BU846">
        <f>'Grid_Requirement'!BR91</f>
        <v/>
      </c>
      <c r="BV846">
        <f>'Grid_Requirement'!BS91</f>
        <v/>
      </c>
      <c r="BW846">
        <f>'Grid_Requirement'!BT91</f>
        <v/>
      </c>
      <c r="BX846">
        <f>'Grid_Requirement'!BU91</f>
        <v/>
      </c>
      <c r="BY846">
        <f>'Grid_Requirement'!BV91</f>
        <v/>
      </c>
      <c r="BZ846">
        <f>'Grid_Requirement'!BW91</f>
        <v/>
      </c>
      <c r="CA846">
        <f>'Grid_Requirement'!BX91</f>
        <v/>
      </c>
      <c r="CB846">
        <f>'Grid_Requirement'!BY91</f>
        <v/>
      </c>
      <c r="CC846">
        <f>'Grid_Requirement'!BZ91</f>
        <v/>
      </c>
      <c r="CD846">
        <f>'Grid_Requirement'!CA91</f>
        <v/>
      </c>
      <c r="CE846">
        <f>'Grid_Requirement'!CB91</f>
        <v/>
      </c>
      <c r="CF846">
        <f>'Grid_Requirement'!CC91</f>
        <v/>
      </c>
      <c r="CG846">
        <f>'Grid_Requirement'!CD91</f>
        <v/>
      </c>
      <c r="CH846">
        <f>'Grid_Requirement'!CE91</f>
        <v/>
      </c>
      <c r="CI846">
        <f>'Grid_Requirement'!CF91</f>
        <v/>
      </c>
      <c r="CJ846">
        <f>'Grid_Requirement'!CG91</f>
        <v/>
      </c>
      <c r="CK846">
        <f>'Grid_Requirement'!CH91</f>
        <v/>
      </c>
      <c r="CL846">
        <f>'Grid_Requirement'!CI91</f>
        <v/>
      </c>
      <c r="CM846">
        <f>'Grid_Requirement'!CJ91</f>
        <v/>
      </c>
      <c r="CN846">
        <f>'Grid_Requirement'!CK91</f>
        <v/>
      </c>
      <c r="CO846">
        <f>'Grid_Requirement'!CL91</f>
        <v/>
      </c>
      <c r="CP846">
        <f>'Grid_Requirement'!CM91</f>
        <v/>
      </c>
      <c r="CQ846">
        <f>'Grid_Requirement'!CN91</f>
        <v/>
      </c>
      <c r="CR846">
        <f>'Grid_Requirement'!CO91</f>
        <v/>
      </c>
      <c r="CS846">
        <f>'Grid_Requirement'!CP91</f>
        <v/>
      </c>
      <c r="CT846">
        <f>'Grid_Requirement'!CQ91</f>
        <v/>
      </c>
      <c r="CU846">
        <f>'Grid_Requirement'!CR91</f>
        <v/>
      </c>
      <c r="CV846">
        <f>'Grid_Requirement'!CS91</f>
        <v/>
      </c>
      <c r="CW846">
        <f>'Grid_Requirement'!CT91</f>
        <v/>
      </c>
      <c r="CX846">
        <f>'Grid_Requirement'!CU91</f>
        <v/>
      </c>
      <c r="CY846">
        <f>'Grid_Requirement'!CV91</f>
        <v/>
      </c>
      <c r="CZ846">
        <f>'Grid_Requirement'!CW91</f>
        <v/>
      </c>
      <c r="DA846">
        <f>'Grid_Requirement'!CX91</f>
        <v/>
      </c>
      <c r="DB846">
        <f>'Grid_Requirement'!CY91</f>
        <v/>
      </c>
      <c r="DC846">
        <f>'Grid_Requirement'!CZ91</f>
        <v/>
      </c>
      <c r="DD846">
        <f>'Grid_Requirement'!DA91</f>
        <v/>
      </c>
    </row>
    <row r="847">
      <c r="B847" s="23" t="inlineStr">
        <is>
          <t>（在庫・入荷予定はDashboard参照）</t>
        </is>
      </c>
    </row>
    <row r="849">
      <c r="A849" s="21" t="inlineStr">
        <is>
          <t>CHEM-1600</t>
        </is>
      </c>
      <c r="B849" s="21" t="inlineStr">
        <is>
          <t>BF-1P</t>
        </is>
      </c>
      <c r="C849" s="21" t="n"/>
      <c r="D849" s="21" t="n"/>
      <c r="E849" s="21" t="n"/>
      <c r="F849" s="21" t="n"/>
      <c r="G849" s="21" t="n"/>
      <c r="H849" s="21" t="n"/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  <c r="Z849" s="21" t="n"/>
      <c r="AA849" s="21" t="n"/>
      <c r="AB849" s="21" t="n"/>
      <c r="AC849" s="21" t="n"/>
      <c r="AD849" s="21" t="n"/>
      <c r="AE849" s="21" t="n"/>
      <c r="AF849" s="21" t="n"/>
      <c r="AG849" s="21" t="n"/>
      <c r="AH849" s="21" t="n"/>
      <c r="AI849" s="21" t="n"/>
      <c r="AJ849" s="21" t="n"/>
      <c r="AK849" s="21" t="n"/>
      <c r="AL849" s="21" t="n"/>
      <c r="AM849" s="21" t="n"/>
      <c r="AN849" s="21" t="n"/>
      <c r="AO849" s="21" t="n"/>
      <c r="AP849" s="21" t="n"/>
      <c r="AQ849" s="21" t="n"/>
      <c r="AR849" s="21" t="n"/>
      <c r="AS849" s="21" t="n"/>
      <c r="AT849" s="21" t="n"/>
      <c r="AU849" s="21" t="n"/>
      <c r="AV849" s="21" t="n"/>
      <c r="AW849" s="21" t="n"/>
      <c r="AX849" s="21" t="n"/>
      <c r="AY849" s="21" t="n"/>
      <c r="AZ849" s="21" t="n"/>
      <c r="BA849" s="21" t="n"/>
      <c r="BB849" s="21" t="n"/>
      <c r="BC849" s="21" t="n"/>
      <c r="BD849" s="21" t="n"/>
      <c r="BE849" s="21" t="n"/>
      <c r="BF849" s="21" t="n"/>
      <c r="BG849" s="21" t="n"/>
      <c r="BH849" s="21" t="n"/>
      <c r="BI849" s="21" t="n"/>
      <c r="BJ849" s="21" t="n"/>
      <c r="BK849" s="21" t="n"/>
      <c r="BL849" s="21" t="n"/>
      <c r="BM849" s="21" t="n"/>
      <c r="BN849" s="21" t="n"/>
      <c r="BO849" s="21" t="n"/>
      <c r="BP849" s="21" t="n"/>
      <c r="BQ849" s="21" t="n"/>
      <c r="BR849" s="21" t="n"/>
      <c r="BS849" s="21" t="n"/>
      <c r="BT849" s="21" t="n"/>
      <c r="BU849" s="21" t="n"/>
      <c r="BV849" s="21" t="n"/>
      <c r="BW849" s="21" t="n"/>
      <c r="BX849" s="21" t="n"/>
      <c r="BY849" s="21" t="n"/>
      <c r="BZ849" s="21" t="n"/>
      <c r="CA849" s="21" t="n"/>
      <c r="CB849" s="21" t="n"/>
      <c r="CC849" s="21" t="n"/>
      <c r="CD849" s="21" t="n"/>
      <c r="CE849" s="21" t="n"/>
      <c r="CF849" s="21" t="n"/>
      <c r="CG849" s="21" t="n"/>
      <c r="CH849" s="21" t="n"/>
      <c r="CI849" s="21" t="n"/>
      <c r="CJ849" s="21" t="n"/>
      <c r="CK849" s="21" t="n"/>
      <c r="CL849" s="21" t="n"/>
      <c r="CM849" s="21" t="n"/>
      <c r="CN849" s="21" t="n"/>
      <c r="CO849" s="21" t="n"/>
      <c r="CP849" s="21" t="n"/>
      <c r="CQ849" s="21" t="n"/>
      <c r="CR849" s="21" t="n"/>
      <c r="CS849" s="21" t="n"/>
      <c r="CT849" s="21" t="n"/>
      <c r="CU849" s="21" t="n"/>
      <c r="CV849" s="21" t="n"/>
      <c r="CW849" s="21" t="n"/>
      <c r="CX849" s="21" t="n"/>
      <c r="CY849" s="21" t="n"/>
      <c r="CZ849" s="21" t="n"/>
      <c r="DA849" s="21" t="n"/>
      <c r="DB849" s="21" t="n"/>
      <c r="DC849" s="21" t="n"/>
      <c r="DD849" s="21" t="n"/>
    </row>
    <row r="850">
      <c r="B850" t="inlineStr">
        <is>
          <t>TSP-219</t>
        </is>
      </c>
      <c r="C850" t="inlineStr">
        <is>
          <t>No. of batches</t>
        </is>
      </c>
      <c r="D850">
        <f>IFERROR(INDEX(E850:DD850,$F$1),"")</f>
        <v/>
      </c>
      <c r="E850">
        <f>IFERROR(INDEX(PP_Grid[#Data],$DE850,2),0)</f>
        <v/>
      </c>
      <c r="F850">
        <f>IFERROR(INDEX(PP_Grid[#Data],$DE850,3),0)</f>
        <v/>
      </c>
      <c r="G850">
        <f>IFERROR(INDEX(PP_Grid[#Data],$DE850,4),0)</f>
        <v/>
      </c>
      <c r="H850">
        <f>IFERROR(INDEX(PP_Grid[#Data],$DE850,5),0)</f>
        <v/>
      </c>
      <c r="I850">
        <f>IFERROR(INDEX(PP_Grid[#Data],$DE850,6),0)</f>
        <v/>
      </c>
      <c r="J850">
        <f>IFERROR(INDEX(PP_Grid[#Data],$DE850,7),0)</f>
        <v/>
      </c>
      <c r="K850">
        <f>IFERROR(INDEX(PP_Grid[#Data],$DE850,8),0)</f>
        <v/>
      </c>
      <c r="L850">
        <f>IFERROR(INDEX(PP_Grid[#Data],$DE850,9),0)</f>
        <v/>
      </c>
      <c r="M850">
        <f>IFERROR(INDEX(PP_Grid[#Data],$DE850,10),0)</f>
        <v/>
      </c>
      <c r="N850">
        <f>IFERROR(INDEX(PP_Grid[#Data],$DE850,11),0)</f>
        <v/>
      </c>
      <c r="O850">
        <f>IFERROR(INDEX(PP_Grid[#Data],$DE850,12),0)</f>
        <v/>
      </c>
      <c r="P850">
        <f>IFERROR(INDEX(PP_Grid[#Data],$DE850,13),0)</f>
        <v/>
      </c>
      <c r="Q850">
        <f>IFERROR(INDEX(PP_Grid[#Data],$DE850,14),0)</f>
        <v/>
      </c>
      <c r="R850">
        <f>IFERROR(INDEX(PP_Grid[#Data],$DE850,15),0)</f>
        <v/>
      </c>
      <c r="S850">
        <f>IFERROR(INDEX(PP_Grid[#Data],$DE850,16),0)</f>
        <v/>
      </c>
      <c r="T850">
        <f>IFERROR(INDEX(PP_Grid[#Data],$DE850,17),0)</f>
        <v/>
      </c>
      <c r="U850">
        <f>IFERROR(INDEX(PP_Grid[#Data],$DE850,18),0)</f>
        <v/>
      </c>
      <c r="V850">
        <f>IFERROR(INDEX(PP_Grid[#Data],$DE850,19),0)</f>
        <v/>
      </c>
      <c r="W850">
        <f>IFERROR(INDEX(PP_Grid[#Data],$DE850,20),0)</f>
        <v/>
      </c>
      <c r="X850">
        <f>IFERROR(INDEX(PP_Grid[#Data],$DE850,21),0)</f>
        <v/>
      </c>
      <c r="Y850">
        <f>IFERROR(INDEX(PP_Grid[#Data],$DE850,22),0)</f>
        <v/>
      </c>
      <c r="Z850">
        <f>IFERROR(INDEX(PP_Grid[#Data],$DE850,23),0)</f>
        <v/>
      </c>
      <c r="AA850">
        <f>IFERROR(INDEX(PP_Grid[#Data],$DE850,24),0)</f>
        <v/>
      </c>
      <c r="AB850">
        <f>IFERROR(INDEX(PP_Grid[#Data],$DE850,25),0)</f>
        <v/>
      </c>
      <c r="AC850">
        <f>IFERROR(INDEX(PP_Grid[#Data],$DE850,26),0)</f>
        <v/>
      </c>
      <c r="AD850">
        <f>IFERROR(INDEX(PP_Grid[#Data],$DE850,27),0)</f>
        <v/>
      </c>
      <c r="AE850">
        <f>IFERROR(INDEX(PP_Grid[#Data],$DE850,28),0)</f>
        <v/>
      </c>
      <c r="AF850">
        <f>IFERROR(INDEX(PP_Grid[#Data],$DE850,29),0)</f>
        <v/>
      </c>
      <c r="AG850">
        <f>IFERROR(INDEX(PP_Grid[#Data],$DE850,30),0)</f>
        <v/>
      </c>
      <c r="AH850">
        <f>IFERROR(INDEX(PP_Grid[#Data],$DE850,31),0)</f>
        <v/>
      </c>
      <c r="AI850">
        <f>IFERROR(INDEX(PP_Grid[#Data],$DE850,32),0)</f>
        <v/>
      </c>
      <c r="AJ850">
        <f>IFERROR(INDEX(PP_Grid[#Data],$DE850,33),0)</f>
        <v/>
      </c>
      <c r="AK850">
        <f>IFERROR(INDEX(PP_Grid[#Data],$DE850,34),0)</f>
        <v/>
      </c>
      <c r="AL850">
        <f>IFERROR(INDEX(PP_Grid[#Data],$DE850,35),0)</f>
        <v/>
      </c>
      <c r="AM850">
        <f>IFERROR(INDEX(PP_Grid[#Data],$DE850,36),0)</f>
        <v/>
      </c>
      <c r="AN850">
        <f>IFERROR(INDEX(PP_Grid[#Data],$DE850,37),0)</f>
        <v/>
      </c>
      <c r="AO850">
        <f>IFERROR(INDEX(PP_Grid[#Data],$DE850,38),0)</f>
        <v/>
      </c>
      <c r="AP850">
        <f>IFERROR(INDEX(PP_Grid[#Data],$DE850,39),0)</f>
        <v/>
      </c>
      <c r="AQ850">
        <f>IFERROR(INDEX(PP_Grid[#Data],$DE850,40),0)</f>
        <v/>
      </c>
      <c r="AR850">
        <f>IFERROR(INDEX(PP_Grid[#Data],$DE850,41),0)</f>
        <v/>
      </c>
      <c r="AS850">
        <f>IFERROR(INDEX(PP_Grid[#Data],$DE850,42),0)</f>
        <v/>
      </c>
      <c r="AT850">
        <f>IFERROR(INDEX(PP_Grid[#Data],$DE850,43),0)</f>
        <v/>
      </c>
      <c r="AU850">
        <f>IFERROR(INDEX(PP_Grid[#Data],$DE850,44),0)</f>
        <v/>
      </c>
      <c r="AV850">
        <f>IFERROR(INDEX(PP_Grid[#Data],$DE850,45),0)</f>
        <v/>
      </c>
      <c r="AW850">
        <f>IFERROR(INDEX(PP_Grid[#Data],$DE850,46),0)</f>
        <v/>
      </c>
      <c r="AX850">
        <f>IFERROR(INDEX(PP_Grid[#Data],$DE850,47),0)</f>
        <v/>
      </c>
      <c r="AY850">
        <f>IFERROR(INDEX(PP_Grid[#Data],$DE850,48),0)</f>
        <v/>
      </c>
      <c r="AZ850">
        <f>IFERROR(INDEX(PP_Grid[#Data],$DE850,49),0)</f>
        <v/>
      </c>
      <c r="BA850">
        <f>IFERROR(INDEX(PP_Grid[#Data],$DE850,50),0)</f>
        <v/>
      </c>
      <c r="BB850">
        <f>IFERROR(INDEX(PP_Grid[#Data],$DE850,51),0)</f>
        <v/>
      </c>
      <c r="BC850">
        <f>IFERROR(INDEX(PP_Grid[#Data],$DE850,52),0)</f>
        <v/>
      </c>
      <c r="BD850">
        <f>IFERROR(INDEX(PP_Grid[#Data],$DE850,53),0)</f>
        <v/>
      </c>
      <c r="BE850">
        <f>IFERROR(INDEX(PP_Grid[#Data],$DE850,54),0)</f>
        <v/>
      </c>
      <c r="BF850">
        <f>IFERROR(INDEX(PP_Grid[#Data],$DE850,55),0)</f>
        <v/>
      </c>
      <c r="BG850">
        <f>IFERROR(INDEX(PP_Grid[#Data],$DE850,56),0)</f>
        <v/>
      </c>
      <c r="BH850">
        <f>IFERROR(INDEX(PP_Grid[#Data],$DE850,57),0)</f>
        <v/>
      </c>
      <c r="BI850">
        <f>IFERROR(INDEX(PP_Grid[#Data],$DE850,58),0)</f>
        <v/>
      </c>
      <c r="BJ850">
        <f>IFERROR(INDEX(PP_Grid[#Data],$DE850,59),0)</f>
        <v/>
      </c>
      <c r="BK850">
        <f>IFERROR(INDEX(PP_Grid[#Data],$DE850,60),0)</f>
        <v/>
      </c>
      <c r="BL850">
        <f>IFERROR(INDEX(PP_Grid[#Data],$DE850,61),0)</f>
        <v/>
      </c>
      <c r="BM850">
        <f>IFERROR(INDEX(PP_Grid[#Data],$DE850,62),0)</f>
        <v/>
      </c>
      <c r="BN850">
        <f>IFERROR(INDEX(PP_Grid[#Data],$DE850,63),0)</f>
        <v/>
      </c>
      <c r="BO850">
        <f>IFERROR(INDEX(PP_Grid[#Data],$DE850,64),0)</f>
        <v/>
      </c>
      <c r="BP850">
        <f>IFERROR(INDEX(PP_Grid[#Data],$DE850,65),0)</f>
        <v/>
      </c>
      <c r="BQ850">
        <f>IFERROR(INDEX(PP_Grid[#Data],$DE850,66),0)</f>
        <v/>
      </c>
      <c r="BR850">
        <f>IFERROR(INDEX(PP_Grid[#Data],$DE850,67),0)</f>
        <v/>
      </c>
      <c r="BS850">
        <f>IFERROR(INDEX(PP_Grid[#Data],$DE850,68),0)</f>
        <v/>
      </c>
      <c r="BT850">
        <f>IFERROR(INDEX(PP_Grid[#Data],$DE850,69),0)</f>
        <v/>
      </c>
      <c r="BU850">
        <f>IFERROR(INDEX(PP_Grid[#Data],$DE850,70),0)</f>
        <v/>
      </c>
      <c r="BV850">
        <f>IFERROR(INDEX(PP_Grid[#Data],$DE850,71),0)</f>
        <v/>
      </c>
      <c r="BW850">
        <f>IFERROR(INDEX(PP_Grid[#Data],$DE850,72),0)</f>
        <v/>
      </c>
      <c r="BX850">
        <f>IFERROR(INDEX(PP_Grid[#Data],$DE850,73),0)</f>
        <v/>
      </c>
      <c r="BY850">
        <f>IFERROR(INDEX(PP_Grid[#Data],$DE850,74),0)</f>
        <v/>
      </c>
      <c r="BZ850">
        <f>IFERROR(INDEX(PP_Grid[#Data],$DE850,75),0)</f>
        <v/>
      </c>
      <c r="CA850">
        <f>IFERROR(INDEX(PP_Grid[#Data],$DE850,76),0)</f>
        <v/>
      </c>
      <c r="CB850">
        <f>IFERROR(INDEX(PP_Grid[#Data],$DE850,77),0)</f>
        <v/>
      </c>
      <c r="CC850">
        <f>IFERROR(INDEX(PP_Grid[#Data],$DE850,78),0)</f>
        <v/>
      </c>
      <c r="CD850">
        <f>IFERROR(INDEX(PP_Grid[#Data],$DE850,79),0)</f>
        <v/>
      </c>
      <c r="CE850">
        <f>IFERROR(INDEX(PP_Grid[#Data],$DE850,80),0)</f>
        <v/>
      </c>
      <c r="CF850">
        <f>IFERROR(INDEX(PP_Grid[#Data],$DE850,81),0)</f>
        <v/>
      </c>
      <c r="CG850">
        <f>IFERROR(INDEX(PP_Grid[#Data],$DE850,82),0)</f>
        <v/>
      </c>
      <c r="CH850">
        <f>IFERROR(INDEX(PP_Grid[#Data],$DE850,83),0)</f>
        <v/>
      </c>
      <c r="CI850">
        <f>IFERROR(INDEX(PP_Grid[#Data],$DE850,84),0)</f>
        <v/>
      </c>
      <c r="CJ850">
        <f>IFERROR(INDEX(PP_Grid[#Data],$DE850,85),0)</f>
        <v/>
      </c>
      <c r="CK850">
        <f>IFERROR(INDEX(PP_Grid[#Data],$DE850,86),0)</f>
        <v/>
      </c>
      <c r="CL850">
        <f>IFERROR(INDEX(PP_Grid[#Data],$DE850,87),0)</f>
        <v/>
      </c>
      <c r="CM850">
        <f>IFERROR(INDEX(PP_Grid[#Data],$DE850,88),0)</f>
        <v/>
      </c>
      <c r="CN850">
        <f>IFERROR(INDEX(PP_Grid[#Data],$DE850,89),0)</f>
        <v/>
      </c>
      <c r="CO850">
        <f>IFERROR(INDEX(PP_Grid[#Data],$DE850,90),0)</f>
        <v/>
      </c>
      <c r="CP850">
        <f>IFERROR(INDEX(PP_Grid[#Data],$DE850,91),0)</f>
        <v/>
      </c>
      <c r="CQ850">
        <f>IFERROR(INDEX(PP_Grid[#Data],$DE850,92),0)</f>
        <v/>
      </c>
      <c r="CR850">
        <f>IFERROR(INDEX(PP_Grid[#Data],$DE850,93),0)</f>
        <v/>
      </c>
      <c r="CS850">
        <f>IFERROR(INDEX(PP_Grid[#Data],$DE850,94),0)</f>
        <v/>
      </c>
      <c r="CT850">
        <f>IFERROR(INDEX(PP_Grid[#Data],$DE850,95),0)</f>
        <v/>
      </c>
      <c r="CU850">
        <f>IFERROR(INDEX(PP_Grid[#Data],$DE850,96),0)</f>
        <v/>
      </c>
      <c r="CV850">
        <f>IFERROR(INDEX(PP_Grid[#Data],$DE850,97),0)</f>
        <v/>
      </c>
      <c r="CW850">
        <f>IFERROR(INDEX(PP_Grid[#Data],$DE850,98),0)</f>
        <v/>
      </c>
      <c r="CX850">
        <f>IFERROR(INDEX(PP_Grid[#Data],$DE850,99),0)</f>
        <v/>
      </c>
      <c r="CY850">
        <f>IFERROR(INDEX(PP_Grid[#Data],$DE850,100),0)</f>
        <v/>
      </c>
      <c r="CZ850">
        <f>IFERROR(INDEX(PP_Grid[#Data],$DE850,101),0)</f>
        <v/>
      </c>
      <c r="DA850">
        <f>IFERROR(INDEX(PP_Grid[#Data],$DE850,102),0)</f>
        <v/>
      </c>
      <c r="DB850">
        <f>IFERROR(INDEX(PP_Grid[#Data],$DE850,103),0)</f>
        <v/>
      </c>
      <c r="DC850">
        <f>IFERROR(INDEX(PP_Grid[#Data],$DE850,104),0)</f>
        <v/>
      </c>
      <c r="DD850">
        <f>IFERROR(INDEX(PP_Grid[#Data],$DE850,105),0)</f>
        <v/>
      </c>
      <c r="DE850" s="7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SUMIFS(M_BOM[RM_Qty_Per_Batch],M_BOM[Intermediate],$B850,M_BOM[RM_Code],$A849)</f>
        <v/>
      </c>
      <c r="D851">
        <f>IFERROR(INDEX(E851:DD851,$F$1),"")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  <c r="DD851">
        <f>$C851*DD850</f>
        <v/>
      </c>
    </row>
    <row r="852">
      <c r="B852" t="inlineStr">
        <is>
          <t>TSP-828</t>
        </is>
      </c>
      <c r="C852" t="inlineStr">
        <is>
          <t>No. of batches</t>
        </is>
      </c>
      <c r="D852">
        <f>IFERROR(INDEX(E852:DD852,$F$1),"")</f>
        <v/>
      </c>
      <c r="E852">
        <f>IFERROR(INDEX(PP_Grid[#Data],$DE852,2),0)</f>
        <v/>
      </c>
      <c r="F852">
        <f>IFERROR(INDEX(PP_Grid[#Data],$DE852,3),0)</f>
        <v/>
      </c>
      <c r="G852">
        <f>IFERROR(INDEX(PP_Grid[#Data],$DE852,4),0)</f>
        <v/>
      </c>
      <c r="H852">
        <f>IFERROR(INDEX(PP_Grid[#Data],$DE852,5),0)</f>
        <v/>
      </c>
      <c r="I852">
        <f>IFERROR(INDEX(PP_Grid[#Data],$DE852,6),0)</f>
        <v/>
      </c>
      <c r="J852">
        <f>IFERROR(INDEX(PP_Grid[#Data],$DE852,7),0)</f>
        <v/>
      </c>
      <c r="K852">
        <f>IFERROR(INDEX(PP_Grid[#Data],$DE852,8),0)</f>
        <v/>
      </c>
      <c r="L852">
        <f>IFERROR(INDEX(PP_Grid[#Data],$DE852,9),0)</f>
        <v/>
      </c>
      <c r="M852">
        <f>IFERROR(INDEX(PP_Grid[#Data],$DE852,10),0)</f>
        <v/>
      </c>
      <c r="N852">
        <f>IFERROR(INDEX(PP_Grid[#Data],$DE852,11),0)</f>
        <v/>
      </c>
      <c r="O852">
        <f>IFERROR(INDEX(PP_Grid[#Data],$DE852,12),0)</f>
        <v/>
      </c>
      <c r="P852">
        <f>IFERROR(INDEX(PP_Grid[#Data],$DE852,13),0)</f>
        <v/>
      </c>
      <c r="Q852">
        <f>IFERROR(INDEX(PP_Grid[#Data],$DE852,14),0)</f>
        <v/>
      </c>
      <c r="R852">
        <f>IFERROR(INDEX(PP_Grid[#Data],$DE852,15),0)</f>
        <v/>
      </c>
      <c r="S852">
        <f>IFERROR(INDEX(PP_Grid[#Data],$DE852,16),0)</f>
        <v/>
      </c>
      <c r="T852">
        <f>IFERROR(INDEX(PP_Grid[#Data],$DE852,17),0)</f>
        <v/>
      </c>
      <c r="U852">
        <f>IFERROR(INDEX(PP_Grid[#Data],$DE852,18),0)</f>
        <v/>
      </c>
      <c r="V852">
        <f>IFERROR(INDEX(PP_Grid[#Data],$DE852,19),0)</f>
        <v/>
      </c>
      <c r="W852">
        <f>IFERROR(INDEX(PP_Grid[#Data],$DE852,20),0)</f>
        <v/>
      </c>
      <c r="X852">
        <f>IFERROR(INDEX(PP_Grid[#Data],$DE852,21),0)</f>
        <v/>
      </c>
      <c r="Y852">
        <f>IFERROR(INDEX(PP_Grid[#Data],$DE852,22),0)</f>
        <v/>
      </c>
      <c r="Z852">
        <f>IFERROR(INDEX(PP_Grid[#Data],$DE852,23),0)</f>
        <v/>
      </c>
      <c r="AA852">
        <f>IFERROR(INDEX(PP_Grid[#Data],$DE852,24),0)</f>
        <v/>
      </c>
      <c r="AB852">
        <f>IFERROR(INDEX(PP_Grid[#Data],$DE852,25),0)</f>
        <v/>
      </c>
      <c r="AC852">
        <f>IFERROR(INDEX(PP_Grid[#Data],$DE852,26),0)</f>
        <v/>
      </c>
      <c r="AD852">
        <f>IFERROR(INDEX(PP_Grid[#Data],$DE852,27),0)</f>
        <v/>
      </c>
      <c r="AE852">
        <f>IFERROR(INDEX(PP_Grid[#Data],$DE852,28),0)</f>
        <v/>
      </c>
      <c r="AF852">
        <f>IFERROR(INDEX(PP_Grid[#Data],$DE852,29),0)</f>
        <v/>
      </c>
      <c r="AG852">
        <f>IFERROR(INDEX(PP_Grid[#Data],$DE852,30),0)</f>
        <v/>
      </c>
      <c r="AH852">
        <f>IFERROR(INDEX(PP_Grid[#Data],$DE852,31),0)</f>
        <v/>
      </c>
      <c r="AI852">
        <f>IFERROR(INDEX(PP_Grid[#Data],$DE852,32),0)</f>
        <v/>
      </c>
      <c r="AJ852">
        <f>IFERROR(INDEX(PP_Grid[#Data],$DE852,33),0)</f>
        <v/>
      </c>
      <c r="AK852">
        <f>IFERROR(INDEX(PP_Grid[#Data],$DE852,34),0)</f>
        <v/>
      </c>
      <c r="AL852">
        <f>IFERROR(INDEX(PP_Grid[#Data],$DE852,35),0)</f>
        <v/>
      </c>
      <c r="AM852">
        <f>IFERROR(INDEX(PP_Grid[#Data],$DE852,36),0)</f>
        <v/>
      </c>
      <c r="AN852">
        <f>IFERROR(INDEX(PP_Grid[#Data],$DE852,37),0)</f>
        <v/>
      </c>
      <c r="AO852">
        <f>IFERROR(INDEX(PP_Grid[#Data],$DE852,38),0)</f>
        <v/>
      </c>
      <c r="AP852">
        <f>IFERROR(INDEX(PP_Grid[#Data],$DE852,39),0)</f>
        <v/>
      </c>
      <c r="AQ852">
        <f>IFERROR(INDEX(PP_Grid[#Data],$DE852,40),0)</f>
        <v/>
      </c>
      <c r="AR852">
        <f>IFERROR(INDEX(PP_Grid[#Data],$DE852,41),0)</f>
        <v/>
      </c>
      <c r="AS852">
        <f>IFERROR(INDEX(PP_Grid[#Data],$DE852,42),0)</f>
        <v/>
      </c>
      <c r="AT852">
        <f>IFERROR(INDEX(PP_Grid[#Data],$DE852,43),0)</f>
        <v/>
      </c>
      <c r="AU852">
        <f>IFERROR(INDEX(PP_Grid[#Data],$DE852,44),0)</f>
        <v/>
      </c>
      <c r="AV852">
        <f>IFERROR(INDEX(PP_Grid[#Data],$DE852,45),0)</f>
        <v/>
      </c>
      <c r="AW852">
        <f>IFERROR(INDEX(PP_Grid[#Data],$DE852,46),0)</f>
        <v/>
      </c>
      <c r="AX852">
        <f>IFERROR(INDEX(PP_Grid[#Data],$DE852,47),0)</f>
        <v/>
      </c>
      <c r="AY852">
        <f>IFERROR(INDEX(PP_Grid[#Data],$DE852,48),0)</f>
        <v/>
      </c>
      <c r="AZ852">
        <f>IFERROR(INDEX(PP_Grid[#Data],$DE852,49),0)</f>
        <v/>
      </c>
      <c r="BA852">
        <f>IFERROR(INDEX(PP_Grid[#Data],$DE852,50),0)</f>
        <v/>
      </c>
      <c r="BB852">
        <f>IFERROR(INDEX(PP_Grid[#Data],$DE852,51),0)</f>
        <v/>
      </c>
      <c r="BC852">
        <f>IFERROR(INDEX(PP_Grid[#Data],$DE852,52),0)</f>
        <v/>
      </c>
      <c r="BD852">
        <f>IFERROR(INDEX(PP_Grid[#Data],$DE852,53),0)</f>
        <v/>
      </c>
      <c r="BE852">
        <f>IFERROR(INDEX(PP_Grid[#Data],$DE852,54),0)</f>
        <v/>
      </c>
      <c r="BF852">
        <f>IFERROR(INDEX(PP_Grid[#Data],$DE852,55),0)</f>
        <v/>
      </c>
      <c r="BG852">
        <f>IFERROR(INDEX(PP_Grid[#Data],$DE852,56),0)</f>
        <v/>
      </c>
      <c r="BH852">
        <f>IFERROR(INDEX(PP_Grid[#Data],$DE852,57),0)</f>
        <v/>
      </c>
      <c r="BI852">
        <f>IFERROR(INDEX(PP_Grid[#Data],$DE852,58),0)</f>
        <v/>
      </c>
      <c r="BJ852">
        <f>IFERROR(INDEX(PP_Grid[#Data],$DE852,59),0)</f>
        <v/>
      </c>
      <c r="BK852">
        <f>IFERROR(INDEX(PP_Grid[#Data],$DE852,60),0)</f>
        <v/>
      </c>
      <c r="BL852">
        <f>IFERROR(INDEX(PP_Grid[#Data],$DE852,61),0)</f>
        <v/>
      </c>
      <c r="BM852">
        <f>IFERROR(INDEX(PP_Grid[#Data],$DE852,62),0)</f>
        <v/>
      </c>
      <c r="BN852">
        <f>IFERROR(INDEX(PP_Grid[#Data],$DE852,63),0)</f>
        <v/>
      </c>
      <c r="BO852">
        <f>IFERROR(INDEX(PP_Grid[#Data],$DE852,64),0)</f>
        <v/>
      </c>
      <c r="BP852">
        <f>IFERROR(INDEX(PP_Grid[#Data],$DE852,65),0)</f>
        <v/>
      </c>
      <c r="BQ852">
        <f>IFERROR(INDEX(PP_Grid[#Data],$DE852,66),0)</f>
        <v/>
      </c>
      <c r="BR852">
        <f>IFERROR(INDEX(PP_Grid[#Data],$DE852,67),0)</f>
        <v/>
      </c>
      <c r="BS852">
        <f>IFERROR(INDEX(PP_Grid[#Data],$DE852,68),0)</f>
        <v/>
      </c>
      <c r="BT852">
        <f>IFERROR(INDEX(PP_Grid[#Data],$DE852,69),0)</f>
        <v/>
      </c>
      <c r="BU852">
        <f>IFERROR(INDEX(PP_Grid[#Data],$DE852,70),0)</f>
        <v/>
      </c>
      <c r="BV852">
        <f>IFERROR(INDEX(PP_Grid[#Data],$DE852,71),0)</f>
        <v/>
      </c>
      <c r="BW852">
        <f>IFERROR(INDEX(PP_Grid[#Data],$DE852,72),0)</f>
        <v/>
      </c>
      <c r="BX852">
        <f>IFERROR(INDEX(PP_Grid[#Data],$DE852,73),0)</f>
        <v/>
      </c>
      <c r="BY852">
        <f>IFERROR(INDEX(PP_Grid[#Data],$DE852,74),0)</f>
        <v/>
      </c>
      <c r="BZ852">
        <f>IFERROR(INDEX(PP_Grid[#Data],$DE852,75),0)</f>
        <v/>
      </c>
      <c r="CA852">
        <f>IFERROR(INDEX(PP_Grid[#Data],$DE852,76),0)</f>
        <v/>
      </c>
      <c r="CB852">
        <f>IFERROR(INDEX(PP_Grid[#Data],$DE852,77),0)</f>
        <v/>
      </c>
      <c r="CC852">
        <f>IFERROR(INDEX(PP_Grid[#Data],$DE852,78),0)</f>
        <v/>
      </c>
      <c r="CD852">
        <f>IFERROR(INDEX(PP_Grid[#Data],$DE852,79),0)</f>
        <v/>
      </c>
      <c r="CE852">
        <f>IFERROR(INDEX(PP_Grid[#Data],$DE852,80),0)</f>
        <v/>
      </c>
      <c r="CF852">
        <f>IFERROR(INDEX(PP_Grid[#Data],$DE852,81),0)</f>
        <v/>
      </c>
      <c r="CG852">
        <f>IFERROR(INDEX(PP_Grid[#Data],$DE852,82),0)</f>
        <v/>
      </c>
      <c r="CH852">
        <f>IFERROR(INDEX(PP_Grid[#Data],$DE852,83),0)</f>
        <v/>
      </c>
      <c r="CI852">
        <f>IFERROR(INDEX(PP_Grid[#Data],$DE852,84),0)</f>
        <v/>
      </c>
      <c r="CJ852">
        <f>IFERROR(INDEX(PP_Grid[#Data],$DE852,85),0)</f>
        <v/>
      </c>
      <c r="CK852">
        <f>IFERROR(INDEX(PP_Grid[#Data],$DE852,86),0)</f>
        <v/>
      </c>
      <c r="CL852">
        <f>IFERROR(INDEX(PP_Grid[#Data],$DE852,87),0)</f>
        <v/>
      </c>
      <c r="CM852">
        <f>IFERROR(INDEX(PP_Grid[#Data],$DE852,88),0)</f>
        <v/>
      </c>
      <c r="CN852">
        <f>IFERROR(INDEX(PP_Grid[#Data],$DE852,89),0)</f>
        <v/>
      </c>
      <c r="CO852">
        <f>IFERROR(INDEX(PP_Grid[#Data],$DE852,90),0)</f>
        <v/>
      </c>
      <c r="CP852">
        <f>IFERROR(INDEX(PP_Grid[#Data],$DE852,91),0)</f>
        <v/>
      </c>
      <c r="CQ852">
        <f>IFERROR(INDEX(PP_Grid[#Data],$DE852,92),0)</f>
        <v/>
      </c>
      <c r="CR852">
        <f>IFERROR(INDEX(PP_Grid[#Data],$DE852,93),0)</f>
        <v/>
      </c>
      <c r="CS852">
        <f>IFERROR(INDEX(PP_Grid[#Data],$DE852,94),0)</f>
        <v/>
      </c>
      <c r="CT852">
        <f>IFERROR(INDEX(PP_Grid[#Data],$DE852,95),0)</f>
        <v/>
      </c>
      <c r="CU852">
        <f>IFERROR(INDEX(PP_Grid[#Data],$DE852,96),0)</f>
        <v/>
      </c>
      <c r="CV852">
        <f>IFERROR(INDEX(PP_Grid[#Data],$DE852,97),0)</f>
        <v/>
      </c>
      <c r="CW852">
        <f>IFERROR(INDEX(PP_Grid[#Data],$DE852,98),0)</f>
        <v/>
      </c>
      <c r="CX852">
        <f>IFERROR(INDEX(PP_Grid[#Data],$DE852,99),0)</f>
        <v/>
      </c>
      <c r="CY852">
        <f>IFERROR(INDEX(PP_Grid[#Data],$DE852,100),0)</f>
        <v/>
      </c>
      <c r="CZ852">
        <f>IFERROR(INDEX(PP_Grid[#Data],$DE852,101),0)</f>
        <v/>
      </c>
      <c r="DA852">
        <f>IFERROR(INDEX(PP_Grid[#Data],$DE852,102),0)</f>
        <v/>
      </c>
      <c r="DB852">
        <f>IFERROR(INDEX(PP_Grid[#Data],$DE852,103),0)</f>
        <v/>
      </c>
      <c r="DC852">
        <f>IFERROR(INDEX(PP_Grid[#Data],$DE852,104),0)</f>
        <v/>
      </c>
      <c r="DD852">
        <f>IFERROR(INDEX(PP_Grid[#Data],$DE852,105),0)</f>
        <v/>
      </c>
      <c r="DE852" s="7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SUMIFS(M_BOM[RM_Qty_Per_Batch],M_BOM[Intermediate],$B852,M_BOM[RM_Code],$A849)</f>
        <v/>
      </c>
      <c r="D853">
        <f>IFERROR(INDEX(E853:DD853,$F$1),"")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  <c r="DD853">
        <f>$C853*DD852</f>
        <v/>
      </c>
    </row>
    <row r="854">
      <c r="B854" t="inlineStr">
        <is>
          <t>TSZ-616</t>
        </is>
      </c>
      <c r="C854" t="inlineStr">
        <is>
          <t>No. of batches</t>
        </is>
      </c>
      <c r="D854">
        <f>IFERROR(INDEX(E854:DD854,$F$1),"")</f>
        <v/>
      </c>
      <c r="E854">
        <f>IFERROR(INDEX(PP_Grid[#Data],$DE854,2),0)</f>
        <v/>
      </c>
      <c r="F854">
        <f>IFERROR(INDEX(PP_Grid[#Data],$DE854,3),0)</f>
        <v/>
      </c>
      <c r="G854">
        <f>IFERROR(INDEX(PP_Grid[#Data],$DE854,4),0)</f>
        <v/>
      </c>
      <c r="H854">
        <f>IFERROR(INDEX(PP_Grid[#Data],$DE854,5),0)</f>
        <v/>
      </c>
      <c r="I854">
        <f>IFERROR(INDEX(PP_Grid[#Data],$DE854,6),0)</f>
        <v/>
      </c>
      <c r="J854">
        <f>IFERROR(INDEX(PP_Grid[#Data],$DE854,7),0)</f>
        <v/>
      </c>
      <c r="K854">
        <f>IFERROR(INDEX(PP_Grid[#Data],$DE854,8),0)</f>
        <v/>
      </c>
      <c r="L854">
        <f>IFERROR(INDEX(PP_Grid[#Data],$DE854,9),0)</f>
        <v/>
      </c>
      <c r="M854">
        <f>IFERROR(INDEX(PP_Grid[#Data],$DE854,10),0)</f>
        <v/>
      </c>
      <c r="N854">
        <f>IFERROR(INDEX(PP_Grid[#Data],$DE854,11),0)</f>
        <v/>
      </c>
      <c r="O854">
        <f>IFERROR(INDEX(PP_Grid[#Data],$DE854,12),0)</f>
        <v/>
      </c>
      <c r="P854">
        <f>IFERROR(INDEX(PP_Grid[#Data],$DE854,13),0)</f>
        <v/>
      </c>
      <c r="Q854">
        <f>IFERROR(INDEX(PP_Grid[#Data],$DE854,14),0)</f>
        <v/>
      </c>
      <c r="R854">
        <f>IFERROR(INDEX(PP_Grid[#Data],$DE854,15),0)</f>
        <v/>
      </c>
      <c r="S854">
        <f>IFERROR(INDEX(PP_Grid[#Data],$DE854,16),0)</f>
        <v/>
      </c>
      <c r="T854">
        <f>IFERROR(INDEX(PP_Grid[#Data],$DE854,17),0)</f>
        <v/>
      </c>
      <c r="U854">
        <f>IFERROR(INDEX(PP_Grid[#Data],$DE854,18),0)</f>
        <v/>
      </c>
      <c r="V854">
        <f>IFERROR(INDEX(PP_Grid[#Data],$DE854,19),0)</f>
        <v/>
      </c>
      <c r="W854">
        <f>IFERROR(INDEX(PP_Grid[#Data],$DE854,20),0)</f>
        <v/>
      </c>
      <c r="X854">
        <f>IFERROR(INDEX(PP_Grid[#Data],$DE854,21),0)</f>
        <v/>
      </c>
      <c r="Y854">
        <f>IFERROR(INDEX(PP_Grid[#Data],$DE854,22),0)</f>
        <v/>
      </c>
      <c r="Z854">
        <f>IFERROR(INDEX(PP_Grid[#Data],$DE854,23),0)</f>
        <v/>
      </c>
      <c r="AA854">
        <f>IFERROR(INDEX(PP_Grid[#Data],$DE854,24),0)</f>
        <v/>
      </c>
      <c r="AB854">
        <f>IFERROR(INDEX(PP_Grid[#Data],$DE854,25),0)</f>
        <v/>
      </c>
      <c r="AC854">
        <f>IFERROR(INDEX(PP_Grid[#Data],$DE854,26),0)</f>
        <v/>
      </c>
      <c r="AD854">
        <f>IFERROR(INDEX(PP_Grid[#Data],$DE854,27),0)</f>
        <v/>
      </c>
      <c r="AE854">
        <f>IFERROR(INDEX(PP_Grid[#Data],$DE854,28),0)</f>
        <v/>
      </c>
      <c r="AF854">
        <f>IFERROR(INDEX(PP_Grid[#Data],$DE854,29),0)</f>
        <v/>
      </c>
      <c r="AG854">
        <f>IFERROR(INDEX(PP_Grid[#Data],$DE854,30),0)</f>
        <v/>
      </c>
      <c r="AH854">
        <f>IFERROR(INDEX(PP_Grid[#Data],$DE854,31),0)</f>
        <v/>
      </c>
      <c r="AI854">
        <f>IFERROR(INDEX(PP_Grid[#Data],$DE854,32),0)</f>
        <v/>
      </c>
      <c r="AJ854">
        <f>IFERROR(INDEX(PP_Grid[#Data],$DE854,33),0)</f>
        <v/>
      </c>
      <c r="AK854">
        <f>IFERROR(INDEX(PP_Grid[#Data],$DE854,34),0)</f>
        <v/>
      </c>
      <c r="AL854">
        <f>IFERROR(INDEX(PP_Grid[#Data],$DE854,35),0)</f>
        <v/>
      </c>
      <c r="AM854">
        <f>IFERROR(INDEX(PP_Grid[#Data],$DE854,36),0)</f>
        <v/>
      </c>
      <c r="AN854">
        <f>IFERROR(INDEX(PP_Grid[#Data],$DE854,37),0)</f>
        <v/>
      </c>
      <c r="AO854">
        <f>IFERROR(INDEX(PP_Grid[#Data],$DE854,38),0)</f>
        <v/>
      </c>
      <c r="AP854">
        <f>IFERROR(INDEX(PP_Grid[#Data],$DE854,39),0)</f>
        <v/>
      </c>
      <c r="AQ854">
        <f>IFERROR(INDEX(PP_Grid[#Data],$DE854,40),0)</f>
        <v/>
      </c>
      <c r="AR854">
        <f>IFERROR(INDEX(PP_Grid[#Data],$DE854,41),0)</f>
        <v/>
      </c>
      <c r="AS854">
        <f>IFERROR(INDEX(PP_Grid[#Data],$DE854,42),0)</f>
        <v/>
      </c>
      <c r="AT854">
        <f>IFERROR(INDEX(PP_Grid[#Data],$DE854,43),0)</f>
        <v/>
      </c>
      <c r="AU854">
        <f>IFERROR(INDEX(PP_Grid[#Data],$DE854,44),0)</f>
        <v/>
      </c>
      <c r="AV854">
        <f>IFERROR(INDEX(PP_Grid[#Data],$DE854,45),0)</f>
        <v/>
      </c>
      <c r="AW854">
        <f>IFERROR(INDEX(PP_Grid[#Data],$DE854,46),0)</f>
        <v/>
      </c>
      <c r="AX854">
        <f>IFERROR(INDEX(PP_Grid[#Data],$DE854,47),0)</f>
        <v/>
      </c>
      <c r="AY854">
        <f>IFERROR(INDEX(PP_Grid[#Data],$DE854,48),0)</f>
        <v/>
      </c>
      <c r="AZ854">
        <f>IFERROR(INDEX(PP_Grid[#Data],$DE854,49),0)</f>
        <v/>
      </c>
      <c r="BA854">
        <f>IFERROR(INDEX(PP_Grid[#Data],$DE854,50),0)</f>
        <v/>
      </c>
      <c r="BB854">
        <f>IFERROR(INDEX(PP_Grid[#Data],$DE854,51),0)</f>
        <v/>
      </c>
      <c r="BC854">
        <f>IFERROR(INDEX(PP_Grid[#Data],$DE854,52),0)</f>
        <v/>
      </c>
      <c r="BD854">
        <f>IFERROR(INDEX(PP_Grid[#Data],$DE854,53),0)</f>
        <v/>
      </c>
      <c r="BE854">
        <f>IFERROR(INDEX(PP_Grid[#Data],$DE854,54),0)</f>
        <v/>
      </c>
      <c r="BF854">
        <f>IFERROR(INDEX(PP_Grid[#Data],$DE854,55),0)</f>
        <v/>
      </c>
      <c r="BG854">
        <f>IFERROR(INDEX(PP_Grid[#Data],$DE854,56),0)</f>
        <v/>
      </c>
      <c r="BH854">
        <f>IFERROR(INDEX(PP_Grid[#Data],$DE854,57),0)</f>
        <v/>
      </c>
      <c r="BI854">
        <f>IFERROR(INDEX(PP_Grid[#Data],$DE854,58),0)</f>
        <v/>
      </c>
      <c r="BJ854">
        <f>IFERROR(INDEX(PP_Grid[#Data],$DE854,59),0)</f>
        <v/>
      </c>
      <c r="BK854">
        <f>IFERROR(INDEX(PP_Grid[#Data],$DE854,60),0)</f>
        <v/>
      </c>
      <c r="BL854">
        <f>IFERROR(INDEX(PP_Grid[#Data],$DE854,61),0)</f>
        <v/>
      </c>
      <c r="BM854">
        <f>IFERROR(INDEX(PP_Grid[#Data],$DE854,62),0)</f>
        <v/>
      </c>
      <c r="BN854">
        <f>IFERROR(INDEX(PP_Grid[#Data],$DE854,63),0)</f>
        <v/>
      </c>
      <c r="BO854">
        <f>IFERROR(INDEX(PP_Grid[#Data],$DE854,64),0)</f>
        <v/>
      </c>
      <c r="BP854">
        <f>IFERROR(INDEX(PP_Grid[#Data],$DE854,65),0)</f>
        <v/>
      </c>
      <c r="BQ854">
        <f>IFERROR(INDEX(PP_Grid[#Data],$DE854,66),0)</f>
        <v/>
      </c>
      <c r="BR854">
        <f>IFERROR(INDEX(PP_Grid[#Data],$DE854,67),0)</f>
        <v/>
      </c>
      <c r="BS854">
        <f>IFERROR(INDEX(PP_Grid[#Data],$DE854,68),0)</f>
        <v/>
      </c>
      <c r="BT854">
        <f>IFERROR(INDEX(PP_Grid[#Data],$DE854,69),0)</f>
        <v/>
      </c>
      <c r="BU854">
        <f>IFERROR(INDEX(PP_Grid[#Data],$DE854,70),0)</f>
        <v/>
      </c>
      <c r="BV854">
        <f>IFERROR(INDEX(PP_Grid[#Data],$DE854,71),0)</f>
        <v/>
      </c>
      <c r="BW854">
        <f>IFERROR(INDEX(PP_Grid[#Data],$DE854,72),0)</f>
        <v/>
      </c>
      <c r="BX854">
        <f>IFERROR(INDEX(PP_Grid[#Data],$DE854,73),0)</f>
        <v/>
      </c>
      <c r="BY854">
        <f>IFERROR(INDEX(PP_Grid[#Data],$DE854,74),0)</f>
        <v/>
      </c>
      <c r="BZ854">
        <f>IFERROR(INDEX(PP_Grid[#Data],$DE854,75),0)</f>
        <v/>
      </c>
      <c r="CA854">
        <f>IFERROR(INDEX(PP_Grid[#Data],$DE854,76),0)</f>
        <v/>
      </c>
      <c r="CB854">
        <f>IFERROR(INDEX(PP_Grid[#Data],$DE854,77),0)</f>
        <v/>
      </c>
      <c r="CC854">
        <f>IFERROR(INDEX(PP_Grid[#Data],$DE854,78),0)</f>
        <v/>
      </c>
      <c r="CD854">
        <f>IFERROR(INDEX(PP_Grid[#Data],$DE854,79),0)</f>
        <v/>
      </c>
      <c r="CE854">
        <f>IFERROR(INDEX(PP_Grid[#Data],$DE854,80),0)</f>
        <v/>
      </c>
      <c r="CF854">
        <f>IFERROR(INDEX(PP_Grid[#Data],$DE854,81),0)</f>
        <v/>
      </c>
      <c r="CG854">
        <f>IFERROR(INDEX(PP_Grid[#Data],$DE854,82),0)</f>
        <v/>
      </c>
      <c r="CH854">
        <f>IFERROR(INDEX(PP_Grid[#Data],$DE854,83),0)</f>
        <v/>
      </c>
      <c r="CI854">
        <f>IFERROR(INDEX(PP_Grid[#Data],$DE854,84),0)</f>
        <v/>
      </c>
      <c r="CJ854">
        <f>IFERROR(INDEX(PP_Grid[#Data],$DE854,85),0)</f>
        <v/>
      </c>
      <c r="CK854">
        <f>IFERROR(INDEX(PP_Grid[#Data],$DE854,86),0)</f>
        <v/>
      </c>
      <c r="CL854">
        <f>IFERROR(INDEX(PP_Grid[#Data],$DE854,87),0)</f>
        <v/>
      </c>
      <c r="CM854">
        <f>IFERROR(INDEX(PP_Grid[#Data],$DE854,88),0)</f>
        <v/>
      </c>
      <c r="CN854">
        <f>IFERROR(INDEX(PP_Grid[#Data],$DE854,89),0)</f>
        <v/>
      </c>
      <c r="CO854">
        <f>IFERROR(INDEX(PP_Grid[#Data],$DE854,90),0)</f>
        <v/>
      </c>
      <c r="CP854">
        <f>IFERROR(INDEX(PP_Grid[#Data],$DE854,91),0)</f>
        <v/>
      </c>
      <c r="CQ854">
        <f>IFERROR(INDEX(PP_Grid[#Data],$DE854,92),0)</f>
        <v/>
      </c>
      <c r="CR854">
        <f>IFERROR(INDEX(PP_Grid[#Data],$DE854,93),0)</f>
        <v/>
      </c>
      <c r="CS854">
        <f>IFERROR(INDEX(PP_Grid[#Data],$DE854,94),0)</f>
        <v/>
      </c>
      <c r="CT854">
        <f>IFERROR(INDEX(PP_Grid[#Data],$DE854,95),0)</f>
        <v/>
      </c>
      <c r="CU854">
        <f>IFERROR(INDEX(PP_Grid[#Data],$DE854,96),0)</f>
        <v/>
      </c>
      <c r="CV854">
        <f>IFERROR(INDEX(PP_Grid[#Data],$DE854,97),0)</f>
        <v/>
      </c>
      <c r="CW854">
        <f>IFERROR(INDEX(PP_Grid[#Data],$DE854,98),0)</f>
        <v/>
      </c>
      <c r="CX854">
        <f>IFERROR(INDEX(PP_Grid[#Data],$DE854,99),0)</f>
        <v/>
      </c>
      <c r="CY854">
        <f>IFERROR(INDEX(PP_Grid[#Data],$DE854,100),0)</f>
        <v/>
      </c>
      <c r="CZ854">
        <f>IFERROR(INDEX(PP_Grid[#Data],$DE854,101),0)</f>
        <v/>
      </c>
      <c r="DA854">
        <f>IFERROR(INDEX(PP_Grid[#Data],$DE854,102),0)</f>
        <v/>
      </c>
      <c r="DB854">
        <f>IFERROR(INDEX(PP_Grid[#Data],$DE854,103),0)</f>
        <v/>
      </c>
      <c r="DC854">
        <f>IFERROR(INDEX(PP_Grid[#Data],$DE854,104),0)</f>
        <v/>
      </c>
      <c r="DD854">
        <f>IFERROR(INDEX(PP_Grid[#Data],$DE854,105),0)</f>
        <v/>
      </c>
      <c r="DE854" s="7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SUMIFS(M_BOM[RM_Qty_Per_Batch],M_BOM[Intermediate],$B854,M_BOM[RM_Code],$A849)</f>
        <v/>
      </c>
      <c r="D855">
        <f>IFERROR(INDEX(E855:DD855,$F$1),"")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  <c r="DD855">
        <f>$C855*DD854</f>
        <v/>
      </c>
    </row>
    <row r="856">
      <c r="B856" t="inlineStr">
        <is>
          <t>TSP-1449</t>
        </is>
      </c>
      <c r="C856" t="inlineStr">
        <is>
          <t>No. of batches</t>
        </is>
      </c>
      <c r="D856">
        <f>IFERROR(INDEX(E856:DD856,$F$1),"")</f>
        <v/>
      </c>
      <c r="E856">
        <f>IFERROR(INDEX(PP_Grid[#Data],$DE856,2),0)</f>
        <v/>
      </c>
      <c r="F856">
        <f>IFERROR(INDEX(PP_Grid[#Data],$DE856,3),0)</f>
        <v/>
      </c>
      <c r="G856">
        <f>IFERROR(INDEX(PP_Grid[#Data],$DE856,4),0)</f>
        <v/>
      </c>
      <c r="H856">
        <f>IFERROR(INDEX(PP_Grid[#Data],$DE856,5),0)</f>
        <v/>
      </c>
      <c r="I856">
        <f>IFERROR(INDEX(PP_Grid[#Data],$DE856,6),0)</f>
        <v/>
      </c>
      <c r="J856">
        <f>IFERROR(INDEX(PP_Grid[#Data],$DE856,7),0)</f>
        <v/>
      </c>
      <c r="K856">
        <f>IFERROR(INDEX(PP_Grid[#Data],$DE856,8),0)</f>
        <v/>
      </c>
      <c r="L856">
        <f>IFERROR(INDEX(PP_Grid[#Data],$DE856,9),0)</f>
        <v/>
      </c>
      <c r="M856">
        <f>IFERROR(INDEX(PP_Grid[#Data],$DE856,10),0)</f>
        <v/>
      </c>
      <c r="N856">
        <f>IFERROR(INDEX(PP_Grid[#Data],$DE856,11),0)</f>
        <v/>
      </c>
      <c r="O856">
        <f>IFERROR(INDEX(PP_Grid[#Data],$DE856,12),0)</f>
        <v/>
      </c>
      <c r="P856">
        <f>IFERROR(INDEX(PP_Grid[#Data],$DE856,13),0)</f>
        <v/>
      </c>
      <c r="Q856">
        <f>IFERROR(INDEX(PP_Grid[#Data],$DE856,14),0)</f>
        <v/>
      </c>
      <c r="R856">
        <f>IFERROR(INDEX(PP_Grid[#Data],$DE856,15),0)</f>
        <v/>
      </c>
      <c r="S856">
        <f>IFERROR(INDEX(PP_Grid[#Data],$DE856,16),0)</f>
        <v/>
      </c>
      <c r="T856">
        <f>IFERROR(INDEX(PP_Grid[#Data],$DE856,17),0)</f>
        <v/>
      </c>
      <c r="U856">
        <f>IFERROR(INDEX(PP_Grid[#Data],$DE856,18),0)</f>
        <v/>
      </c>
      <c r="V856">
        <f>IFERROR(INDEX(PP_Grid[#Data],$DE856,19),0)</f>
        <v/>
      </c>
      <c r="W856">
        <f>IFERROR(INDEX(PP_Grid[#Data],$DE856,20),0)</f>
        <v/>
      </c>
      <c r="X856">
        <f>IFERROR(INDEX(PP_Grid[#Data],$DE856,21),0)</f>
        <v/>
      </c>
      <c r="Y856">
        <f>IFERROR(INDEX(PP_Grid[#Data],$DE856,22),0)</f>
        <v/>
      </c>
      <c r="Z856">
        <f>IFERROR(INDEX(PP_Grid[#Data],$DE856,23),0)</f>
        <v/>
      </c>
      <c r="AA856">
        <f>IFERROR(INDEX(PP_Grid[#Data],$DE856,24),0)</f>
        <v/>
      </c>
      <c r="AB856">
        <f>IFERROR(INDEX(PP_Grid[#Data],$DE856,25),0)</f>
        <v/>
      </c>
      <c r="AC856">
        <f>IFERROR(INDEX(PP_Grid[#Data],$DE856,26),0)</f>
        <v/>
      </c>
      <c r="AD856">
        <f>IFERROR(INDEX(PP_Grid[#Data],$DE856,27),0)</f>
        <v/>
      </c>
      <c r="AE856">
        <f>IFERROR(INDEX(PP_Grid[#Data],$DE856,28),0)</f>
        <v/>
      </c>
      <c r="AF856">
        <f>IFERROR(INDEX(PP_Grid[#Data],$DE856,29),0)</f>
        <v/>
      </c>
      <c r="AG856">
        <f>IFERROR(INDEX(PP_Grid[#Data],$DE856,30),0)</f>
        <v/>
      </c>
      <c r="AH856">
        <f>IFERROR(INDEX(PP_Grid[#Data],$DE856,31),0)</f>
        <v/>
      </c>
      <c r="AI856">
        <f>IFERROR(INDEX(PP_Grid[#Data],$DE856,32),0)</f>
        <v/>
      </c>
      <c r="AJ856">
        <f>IFERROR(INDEX(PP_Grid[#Data],$DE856,33),0)</f>
        <v/>
      </c>
      <c r="AK856">
        <f>IFERROR(INDEX(PP_Grid[#Data],$DE856,34),0)</f>
        <v/>
      </c>
      <c r="AL856">
        <f>IFERROR(INDEX(PP_Grid[#Data],$DE856,35),0)</f>
        <v/>
      </c>
      <c r="AM856">
        <f>IFERROR(INDEX(PP_Grid[#Data],$DE856,36),0)</f>
        <v/>
      </c>
      <c r="AN856">
        <f>IFERROR(INDEX(PP_Grid[#Data],$DE856,37),0)</f>
        <v/>
      </c>
      <c r="AO856">
        <f>IFERROR(INDEX(PP_Grid[#Data],$DE856,38),0)</f>
        <v/>
      </c>
      <c r="AP856">
        <f>IFERROR(INDEX(PP_Grid[#Data],$DE856,39),0)</f>
        <v/>
      </c>
      <c r="AQ856">
        <f>IFERROR(INDEX(PP_Grid[#Data],$DE856,40),0)</f>
        <v/>
      </c>
      <c r="AR856">
        <f>IFERROR(INDEX(PP_Grid[#Data],$DE856,41),0)</f>
        <v/>
      </c>
      <c r="AS856">
        <f>IFERROR(INDEX(PP_Grid[#Data],$DE856,42),0)</f>
        <v/>
      </c>
      <c r="AT856">
        <f>IFERROR(INDEX(PP_Grid[#Data],$DE856,43),0)</f>
        <v/>
      </c>
      <c r="AU856">
        <f>IFERROR(INDEX(PP_Grid[#Data],$DE856,44),0)</f>
        <v/>
      </c>
      <c r="AV856">
        <f>IFERROR(INDEX(PP_Grid[#Data],$DE856,45),0)</f>
        <v/>
      </c>
      <c r="AW856">
        <f>IFERROR(INDEX(PP_Grid[#Data],$DE856,46),0)</f>
        <v/>
      </c>
      <c r="AX856">
        <f>IFERROR(INDEX(PP_Grid[#Data],$DE856,47),0)</f>
        <v/>
      </c>
      <c r="AY856">
        <f>IFERROR(INDEX(PP_Grid[#Data],$DE856,48),0)</f>
        <v/>
      </c>
      <c r="AZ856">
        <f>IFERROR(INDEX(PP_Grid[#Data],$DE856,49),0)</f>
        <v/>
      </c>
      <c r="BA856">
        <f>IFERROR(INDEX(PP_Grid[#Data],$DE856,50),0)</f>
        <v/>
      </c>
      <c r="BB856">
        <f>IFERROR(INDEX(PP_Grid[#Data],$DE856,51),0)</f>
        <v/>
      </c>
      <c r="BC856">
        <f>IFERROR(INDEX(PP_Grid[#Data],$DE856,52),0)</f>
        <v/>
      </c>
      <c r="BD856">
        <f>IFERROR(INDEX(PP_Grid[#Data],$DE856,53),0)</f>
        <v/>
      </c>
      <c r="BE856">
        <f>IFERROR(INDEX(PP_Grid[#Data],$DE856,54),0)</f>
        <v/>
      </c>
      <c r="BF856">
        <f>IFERROR(INDEX(PP_Grid[#Data],$DE856,55),0)</f>
        <v/>
      </c>
      <c r="BG856">
        <f>IFERROR(INDEX(PP_Grid[#Data],$DE856,56),0)</f>
        <v/>
      </c>
      <c r="BH856">
        <f>IFERROR(INDEX(PP_Grid[#Data],$DE856,57),0)</f>
        <v/>
      </c>
      <c r="BI856">
        <f>IFERROR(INDEX(PP_Grid[#Data],$DE856,58),0)</f>
        <v/>
      </c>
      <c r="BJ856">
        <f>IFERROR(INDEX(PP_Grid[#Data],$DE856,59),0)</f>
        <v/>
      </c>
      <c r="BK856">
        <f>IFERROR(INDEX(PP_Grid[#Data],$DE856,60),0)</f>
        <v/>
      </c>
      <c r="BL856">
        <f>IFERROR(INDEX(PP_Grid[#Data],$DE856,61),0)</f>
        <v/>
      </c>
      <c r="BM856">
        <f>IFERROR(INDEX(PP_Grid[#Data],$DE856,62),0)</f>
        <v/>
      </c>
      <c r="BN856">
        <f>IFERROR(INDEX(PP_Grid[#Data],$DE856,63),0)</f>
        <v/>
      </c>
      <c r="BO856">
        <f>IFERROR(INDEX(PP_Grid[#Data],$DE856,64),0)</f>
        <v/>
      </c>
      <c r="BP856">
        <f>IFERROR(INDEX(PP_Grid[#Data],$DE856,65),0)</f>
        <v/>
      </c>
      <c r="BQ856">
        <f>IFERROR(INDEX(PP_Grid[#Data],$DE856,66),0)</f>
        <v/>
      </c>
      <c r="BR856">
        <f>IFERROR(INDEX(PP_Grid[#Data],$DE856,67),0)</f>
        <v/>
      </c>
      <c r="BS856">
        <f>IFERROR(INDEX(PP_Grid[#Data],$DE856,68),0)</f>
        <v/>
      </c>
      <c r="BT856">
        <f>IFERROR(INDEX(PP_Grid[#Data],$DE856,69),0)</f>
        <v/>
      </c>
      <c r="BU856">
        <f>IFERROR(INDEX(PP_Grid[#Data],$DE856,70),0)</f>
        <v/>
      </c>
      <c r="BV856">
        <f>IFERROR(INDEX(PP_Grid[#Data],$DE856,71),0)</f>
        <v/>
      </c>
      <c r="BW856">
        <f>IFERROR(INDEX(PP_Grid[#Data],$DE856,72),0)</f>
        <v/>
      </c>
      <c r="BX856">
        <f>IFERROR(INDEX(PP_Grid[#Data],$DE856,73),0)</f>
        <v/>
      </c>
      <c r="BY856">
        <f>IFERROR(INDEX(PP_Grid[#Data],$DE856,74),0)</f>
        <v/>
      </c>
      <c r="BZ856">
        <f>IFERROR(INDEX(PP_Grid[#Data],$DE856,75),0)</f>
        <v/>
      </c>
      <c r="CA856">
        <f>IFERROR(INDEX(PP_Grid[#Data],$DE856,76),0)</f>
        <v/>
      </c>
      <c r="CB856">
        <f>IFERROR(INDEX(PP_Grid[#Data],$DE856,77),0)</f>
        <v/>
      </c>
      <c r="CC856">
        <f>IFERROR(INDEX(PP_Grid[#Data],$DE856,78),0)</f>
        <v/>
      </c>
      <c r="CD856">
        <f>IFERROR(INDEX(PP_Grid[#Data],$DE856,79),0)</f>
        <v/>
      </c>
      <c r="CE856">
        <f>IFERROR(INDEX(PP_Grid[#Data],$DE856,80),0)</f>
        <v/>
      </c>
      <c r="CF856">
        <f>IFERROR(INDEX(PP_Grid[#Data],$DE856,81),0)</f>
        <v/>
      </c>
      <c r="CG856">
        <f>IFERROR(INDEX(PP_Grid[#Data],$DE856,82),0)</f>
        <v/>
      </c>
      <c r="CH856">
        <f>IFERROR(INDEX(PP_Grid[#Data],$DE856,83),0)</f>
        <v/>
      </c>
      <c r="CI856">
        <f>IFERROR(INDEX(PP_Grid[#Data],$DE856,84),0)</f>
        <v/>
      </c>
      <c r="CJ856">
        <f>IFERROR(INDEX(PP_Grid[#Data],$DE856,85),0)</f>
        <v/>
      </c>
      <c r="CK856">
        <f>IFERROR(INDEX(PP_Grid[#Data],$DE856,86),0)</f>
        <v/>
      </c>
      <c r="CL856">
        <f>IFERROR(INDEX(PP_Grid[#Data],$DE856,87),0)</f>
        <v/>
      </c>
      <c r="CM856">
        <f>IFERROR(INDEX(PP_Grid[#Data],$DE856,88),0)</f>
        <v/>
      </c>
      <c r="CN856">
        <f>IFERROR(INDEX(PP_Grid[#Data],$DE856,89),0)</f>
        <v/>
      </c>
      <c r="CO856">
        <f>IFERROR(INDEX(PP_Grid[#Data],$DE856,90),0)</f>
        <v/>
      </c>
      <c r="CP856">
        <f>IFERROR(INDEX(PP_Grid[#Data],$DE856,91),0)</f>
        <v/>
      </c>
      <c r="CQ856">
        <f>IFERROR(INDEX(PP_Grid[#Data],$DE856,92),0)</f>
        <v/>
      </c>
      <c r="CR856">
        <f>IFERROR(INDEX(PP_Grid[#Data],$DE856,93),0)</f>
        <v/>
      </c>
      <c r="CS856">
        <f>IFERROR(INDEX(PP_Grid[#Data],$DE856,94),0)</f>
        <v/>
      </c>
      <c r="CT856">
        <f>IFERROR(INDEX(PP_Grid[#Data],$DE856,95),0)</f>
        <v/>
      </c>
      <c r="CU856">
        <f>IFERROR(INDEX(PP_Grid[#Data],$DE856,96),0)</f>
        <v/>
      </c>
      <c r="CV856">
        <f>IFERROR(INDEX(PP_Grid[#Data],$DE856,97),0)</f>
        <v/>
      </c>
      <c r="CW856">
        <f>IFERROR(INDEX(PP_Grid[#Data],$DE856,98),0)</f>
        <v/>
      </c>
      <c r="CX856">
        <f>IFERROR(INDEX(PP_Grid[#Data],$DE856,99),0)</f>
        <v/>
      </c>
      <c r="CY856">
        <f>IFERROR(INDEX(PP_Grid[#Data],$DE856,100),0)</f>
        <v/>
      </c>
      <c r="CZ856">
        <f>IFERROR(INDEX(PP_Grid[#Data],$DE856,101),0)</f>
        <v/>
      </c>
      <c r="DA856">
        <f>IFERROR(INDEX(PP_Grid[#Data],$DE856,102),0)</f>
        <v/>
      </c>
      <c r="DB856">
        <f>IFERROR(INDEX(PP_Grid[#Data],$DE856,103),0)</f>
        <v/>
      </c>
      <c r="DC856">
        <f>IFERROR(INDEX(PP_Grid[#Data],$DE856,104),0)</f>
        <v/>
      </c>
      <c r="DD856">
        <f>IFERROR(INDEX(PP_Grid[#Data],$DE856,105),0)</f>
        <v/>
      </c>
      <c r="DE856" s="7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SUMIFS(M_BOM[RM_Qty_Per_Batch],M_BOM[Intermediate],$B856,M_BOM[RM_Code],$A849)</f>
        <v/>
      </c>
      <c r="D857">
        <f>IFERROR(INDEX(E857:DD857,$F$1),"")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  <c r="DD857">
        <f>$C857*DD856</f>
        <v/>
      </c>
    </row>
    <row r="858">
      <c r="B858" t="inlineStr">
        <is>
          <t>VSP-567</t>
        </is>
      </c>
      <c r="C858" t="inlineStr">
        <is>
          <t>No. of batches</t>
        </is>
      </c>
      <c r="D858">
        <f>IFERROR(INDEX(E858:DD858,$F$1),"")</f>
        <v/>
      </c>
      <c r="E858">
        <f>IFERROR(INDEX(PP_Grid[#Data],$DE858,2),0)</f>
        <v/>
      </c>
      <c r="F858">
        <f>IFERROR(INDEX(PP_Grid[#Data],$DE858,3),0)</f>
        <v/>
      </c>
      <c r="G858">
        <f>IFERROR(INDEX(PP_Grid[#Data],$DE858,4),0)</f>
        <v/>
      </c>
      <c r="H858">
        <f>IFERROR(INDEX(PP_Grid[#Data],$DE858,5),0)</f>
        <v/>
      </c>
      <c r="I858">
        <f>IFERROR(INDEX(PP_Grid[#Data],$DE858,6),0)</f>
        <v/>
      </c>
      <c r="J858">
        <f>IFERROR(INDEX(PP_Grid[#Data],$DE858,7),0)</f>
        <v/>
      </c>
      <c r="K858">
        <f>IFERROR(INDEX(PP_Grid[#Data],$DE858,8),0)</f>
        <v/>
      </c>
      <c r="L858">
        <f>IFERROR(INDEX(PP_Grid[#Data],$DE858,9),0)</f>
        <v/>
      </c>
      <c r="M858">
        <f>IFERROR(INDEX(PP_Grid[#Data],$DE858,10),0)</f>
        <v/>
      </c>
      <c r="N858">
        <f>IFERROR(INDEX(PP_Grid[#Data],$DE858,11),0)</f>
        <v/>
      </c>
      <c r="O858">
        <f>IFERROR(INDEX(PP_Grid[#Data],$DE858,12),0)</f>
        <v/>
      </c>
      <c r="P858">
        <f>IFERROR(INDEX(PP_Grid[#Data],$DE858,13),0)</f>
        <v/>
      </c>
      <c r="Q858">
        <f>IFERROR(INDEX(PP_Grid[#Data],$DE858,14),0)</f>
        <v/>
      </c>
      <c r="R858">
        <f>IFERROR(INDEX(PP_Grid[#Data],$DE858,15),0)</f>
        <v/>
      </c>
      <c r="S858">
        <f>IFERROR(INDEX(PP_Grid[#Data],$DE858,16),0)</f>
        <v/>
      </c>
      <c r="T858">
        <f>IFERROR(INDEX(PP_Grid[#Data],$DE858,17),0)</f>
        <v/>
      </c>
      <c r="U858">
        <f>IFERROR(INDEX(PP_Grid[#Data],$DE858,18),0)</f>
        <v/>
      </c>
      <c r="V858">
        <f>IFERROR(INDEX(PP_Grid[#Data],$DE858,19),0)</f>
        <v/>
      </c>
      <c r="W858">
        <f>IFERROR(INDEX(PP_Grid[#Data],$DE858,20),0)</f>
        <v/>
      </c>
      <c r="X858">
        <f>IFERROR(INDEX(PP_Grid[#Data],$DE858,21),0)</f>
        <v/>
      </c>
      <c r="Y858">
        <f>IFERROR(INDEX(PP_Grid[#Data],$DE858,22),0)</f>
        <v/>
      </c>
      <c r="Z858">
        <f>IFERROR(INDEX(PP_Grid[#Data],$DE858,23),0)</f>
        <v/>
      </c>
      <c r="AA858">
        <f>IFERROR(INDEX(PP_Grid[#Data],$DE858,24),0)</f>
        <v/>
      </c>
      <c r="AB858">
        <f>IFERROR(INDEX(PP_Grid[#Data],$DE858,25),0)</f>
        <v/>
      </c>
      <c r="AC858">
        <f>IFERROR(INDEX(PP_Grid[#Data],$DE858,26),0)</f>
        <v/>
      </c>
      <c r="AD858">
        <f>IFERROR(INDEX(PP_Grid[#Data],$DE858,27),0)</f>
        <v/>
      </c>
      <c r="AE858">
        <f>IFERROR(INDEX(PP_Grid[#Data],$DE858,28),0)</f>
        <v/>
      </c>
      <c r="AF858">
        <f>IFERROR(INDEX(PP_Grid[#Data],$DE858,29),0)</f>
        <v/>
      </c>
      <c r="AG858">
        <f>IFERROR(INDEX(PP_Grid[#Data],$DE858,30),0)</f>
        <v/>
      </c>
      <c r="AH858">
        <f>IFERROR(INDEX(PP_Grid[#Data],$DE858,31),0)</f>
        <v/>
      </c>
      <c r="AI858">
        <f>IFERROR(INDEX(PP_Grid[#Data],$DE858,32),0)</f>
        <v/>
      </c>
      <c r="AJ858">
        <f>IFERROR(INDEX(PP_Grid[#Data],$DE858,33),0)</f>
        <v/>
      </c>
      <c r="AK858">
        <f>IFERROR(INDEX(PP_Grid[#Data],$DE858,34),0)</f>
        <v/>
      </c>
      <c r="AL858">
        <f>IFERROR(INDEX(PP_Grid[#Data],$DE858,35),0)</f>
        <v/>
      </c>
      <c r="AM858">
        <f>IFERROR(INDEX(PP_Grid[#Data],$DE858,36),0)</f>
        <v/>
      </c>
      <c r="AN858">
        <f>IFERROR(INDEX(PP_Grid[#Data],$DE858,37),0)</f>
        <v/>
      </c>
      <c r="AO858">
        <f>IFERROR(INDEX(PP_Grid[#Data],$DE858,38),0)</f>
        <v/>
      </c>
      <c r="AP858">
        <f>IFERROR(INDEX(PP_Grid[#Data],$DE858,39),0)</f>
        <v/>
      </c>
      <c r="AQ858">
        <f>IFERROR(INDEX(PP_Grid[#Data],$DE858,40),0)</f>
        <v/>
      </c>
      <c r="AR858">
        <f>IFERROR(INDEX(PP_Grid[#Data],$DE858,41),0)</f>
        <v/>
      </c>
      <c r="AS858">
        <f>IFERROR(INDEX(PP_Grid[#Data],$DE858,42),0)</f>
        <v/>
      </c>
      <c r="AT858">
        <f>IFERROR(INDEX(PP_Grid[#Data],$DE858,43),0)</f>
        <v/>
      </c>
      <c r="AU858">
        <f>IFERROR(INDEX(PP_Grid[#Data],$DE858,44),0)</f>
        <v/>
      </c>
      <c r="AV858">
        <f>IFERROR(INDEX(PP_Grid[#Data],$DE858,45),0)</f>
        <v/>
      </c>
      <c r="AW858">
        <f>IFERROR(INDEX(PP_Grid[#Data],$DE858,46),0)</f>
        <v/>
      </c>
      <c r="AX858">
        <f>IFERROR(INDEX(PP_Grid[#Data],$DE858,47),0)</f>
        <v/>
      </c>
      <c r="AY858">
        <f>IFERROR(INDEX(PP_Grid[#Data],$DE858,48),0)</f>
        <v/>
      </c>
      <c r="AZ858">
        <f>IFERROR(INDEX(PP_Grid[#Data],$DE858,49),0)</f>
        <v/>
      </c>
      <c r="BA858">
        <f>IFERROR(INDEX(PP_Grid[#Data],$DE858,50),0)</f>
        <v/>
      </c>
      <c r="BB858">
        <f>IFERROR(INDEX(PP_Grid[#Data],$DE858,51),0)</f>
        <v/>
      </c>
      <c r="BC858">
        <f>IFERROR(INDEX(PP_Grid[#Data],$DE858,52),0)</f>
        <v/>
      </c>
      <c r="BD858">
        <f>IFERROR(INDEX(PP_Grid[#Data],$DE858,53),0)</f>
        <v/>
      </c>
      <c r="BE858">
        <f>IFERROR(INDEX(PP_Grid[#Data],$DE858,54),0)</f>
        <v/>
      </c>
      <c r="BF858">
        <f>IFERROR(INDEX(PP_Grid[#Data],$DE858,55),0)</f>
        <v/>
      </c>
      <c r="BG858">
        <f>IFERROR(INDEX(PP_Grid[#Data],$DE858,56),0)</f>
        <v/>
      </c>
      <c r="BH858">
        <f>IFERROR(INDEX(PP_Grid[#Data],$DE858,57),0)</f>
        <v/>
      </c>
      <c r="BI858">
        <f>IFERROR(INDEX(PP_Grid[#Data],$DE858,58),0)</f>
        <v/>
      </c>
      <c r="BJ858">
        <f>IFERROR(INDEX(PP_Grid[#Data],$DE858,59),0)</f>
        <v/>
      </c>
      <c r="BK858">
        <f>IFERROR(INDEX(PP_Grid[#Data],$DE858,60),0)</f>
        <v/>
      </c>
      <c r="BL858">
        <f>IFERROR(INDEX(PP_Grid[#Data],$DE858,61),0)</f>
        <v/>
      </c>
      <c r="BM858">
        <f>IFERROR(INDEX(PP_Grid[#Data],$DE858,62),0)</f>
        <v/>
      </c>
      <c r="BN858">
        <f>IFERROR(INDEX(PP_Grid[#Data],$DE858,63),0)</f>
        <v/>
      </c>
      <c r="BO858">
        <f>IFERROR(INDEX(PP_Grid[#Data],$DE858,64),0)</f>
        <v/>
      </c>
      <c r="BP858">
        <f>IFERROR(INDEX(PP_Grid[#Data],$DE858,65),0)</f>
        <v/>
      </c>
      <c r="BQ858">
        <f>IFERROR(INDEX(PP_Grid[#Data],$DE858,66),0)</f>
        <v/>
      </c>
      <c r="BR858">
        <f>IFERROR(INDEX(PP_Grid[#Data],$DE858,67),0)</f>
        <v/>
      </c>
      <c r="BS858">
        <f>IFERROR(INDEX(PP_Grid[#Data],$DE858,68),0)</f>
        <v/>
      </c>
      <c r="BT858">
        <f>IFERROR(INDEX(PP_Grid[#Data],$DE858,69),0)</f>
        <v/>
      </c>
      <c r="BU858">
        <f>IFERROR(INDEX(PP_Grid[#Data],$DE858,70),0)</f>
        <v/>
      </c>
      <c r="BV858">
        <f>IFERROR(INDEX(PP_Grid[#Data],$DE858,71),0)</f>
        <v/>
      </c>
      <c r="BW858">
        <f>IFERROR(INDEX(PP_Grid[#Data],$DE858,72),0)</f>
        <v/>
      </c>
      <c r="BX858">
        <f>IFERROR(INDEX(PP_Grid[#Data],$DE858,73),0)</f>
        <v/>
      </c>
      <c r="BY858">
        <f>IFERROR(INDEX(PP_Grid[#Data],$DE858,74),0)</f>
        <v/>
      </c>
      <c r="BZ858">
        <f>IFERROR(INDEX(PP_Grid[#Data],$DE858,75),0)</f>
        <v/>
      </c>
      <c r="CA858">
        <f>IFERROR(INDEX(PP_Grid[#Data],$DE858,76),0)</f>
        <v/>
      </c>
      <c r="CB858">
        <f>IFERROR(INDEX(PP_Grid[#Data],$DE858,77),0)</f>
        <v/>
      </c>
      <c r="CC858">
        <f>IFERROR(INDEX(PP_Grid[#Data],$DE858,78),0)</f>
        <v/>
      </c>
      <c r="CD858">
        <f>IFERROR(INDEX(PP_Grid[#Data],$DE858,79),0)</f>
        <v/>
      </c>
      <c r="CE858">
        <f>IFERROR(INDEX(PP_Grid[#Data],$DE858,80),0)</f>
        <v/>
      </c>
      <c r="CF858">
        <f>IFERROR(INDEX(PP_Grid[#Data],$DE858,81),0)</f>
        <v/>
      </c>
      <c r="CG858">
        <f>IFERROR(INDEX(PP_Grid[#Data],$DE858,82),0)</f>
        <v/>
      </c>
      <c r="CH858">
        <f>IFERROR(INDEX(PP_Grid[#Data],$DE858,83),0)</f>
        <v/>
      </c>
      <c r="CI858">
        <f>IFERROR(INDEX(PP_Grid[#Data],$DE858,84),0)</f>
        <v/>
      </c>
      <c r="CJ858">
        <f>IFERROR(INDEX(PP_Grid[#Data],$DE858,85),0)</f>
        <v/>
      </c>
      <c r="CK858">
        <f>IFERROR(INDEX(PP_Grid[#Data],$DE858,86),0)</f>
        <v/>
      </c>
      <c r="CL858">
        <f>IFERROR(INDEX(PP_Grid[#Data],$DE858,87),0)</f>
        <v/>
      </c>
      <c r="CM858">
        <f>IFERROR(INDEX(PP_Grid[#Data],$DE858,88),0)</f>
        <v/>
      </c>
      <c r="CN858">
        <f>IFERROR(INDEX(PP_Grid[#Data],$DE858,89),0)</f>
        <v/>
      </c>
      <c r="CO858">
        <f>IFERROR(INDEX(PP_Grid[#Data],$DE858,90),0)</f>
        <v/>
      </c>
      <c r="CP858">
        <f>IFERROR(INDEX(PP_Grid[#Data],$DE858,91),0)</f>
        <v/>
      </c>
      <c r="CQ858">
        <f>IFERROR(INDEX(PP_Grid[#Data],$DE858,92),0)</f>
        <v/>
      </c>
      <c r="CR858">
        <f>IFERROR(INDEX(PP_Grid[#Data],$DE858,93),0)</f>
        <v/>
      </c>
      <c r="CS858">
        <f>IFERROR(INDEX(PP_Grid[#Data],$DE858,94),0)</f>
        <v/>
      </c>
      <c r="CT858">
        <f>IFERROR(INDEX(PP_Grid[#Data],$DE858,95),0)</f>
        <v/>
      </c>
      <c r="CU858">
        <f>IFERROR(INDEX(PP_Grid[#Data],$DE858,96),0)</f>
        <v/>
      </c>
      <c r="CV858">
        <f>IFERROR(INDEX(PP_Grid[#Data],$DE858,97),0)</f>
        <v/>
      </c>
      <c r="CW858">
        <f>IFERROR(INDEX(PP_Grid[#Data],$DE858,98),0)</f>
        <v/>
      </c>
      <c r="CX858">
        <f>IFERROR(INDEX(PP_Grid[#Data],$DE858,99),0)</f>
        <v/>
      </c>
      <c r="CY858">
        <f>IFERROR(INDEX(PP_Grid[#Data],$DE858,100),0)</f>
        <v/>
      </c>
      <c r="CZ858">
        <f>IFERROR(INDEX(PP_Grid[#Data],$DE858,101),0)</f>
        <v/>
      </c>
      <c r="DA858">
        <f>IFERROR(INDEX(PP_Grid[#Data],$DE858,102),0)</f>
        <v/>
      </c>
      <c r="DB858">
        <f>IFERROR(INDEX(PP_Grid[#Data],$DE858,103),0)</f>
        <v/>
      </c>
      <c r="DC858">
        <f>IFERROR(INDEX(PP_Grid[#Data],$DE858,104),0)</f>
        <v/>
      </c>
      <c r="DD858">
        <f>IFERROR(INDEX(PP_Grid[#Data],$DE858,105),0)</f>
        <v/>
      </c>
      <c r="DE858" s="7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SUMIFS(M_BOM[RM_Qty_Per_Batch],M_BOM[Intermediate],$B858,M_BOM[RM_Code],$A849)</f>
        <v/>
      </c>
      <c r="D859">
        <f>IFERROR(INDEX(E859:DD859,$F$1),"")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  <c r="DD859">
        <f>$C859*DD858</f>
        <v/>
      </c>
    </row>
    <row r="860">
      <c r="B860" t="inlineStr">
        <is>
          <t>VSP-600</t>
        </is>
      </c>
      <c r="C860" t="inlineStr">
        <is>
          <t>No. of batches</t>
        </is>
      </c>
      <c r="D860">
        <f>IFERROR(INDEX(E860:DD860,$F$1),"")</f>
        <v/>
      </c>
      <c r="E860">
        <f>IFERROR(INDEX(PP_Grid[#Data],$DE860,2),0)</f>
        <v/>
      </c>
      <c r="F860">
        <f>IFERROR(INDEX(PP_Grid[#Data],$DE860,3),0)</f>
        <v/>
      </c>
      <c r="G860">
        <f>IFERROR(INDEX(PP_Grid[#Data],$DE860,4),0)</f>
        <v/>
      </c>
      <c r="H860">
        <f>IFERROR(INDEX(PP_Grid[#Data],$DE860,5),0)</f>
        <v/>
      </c>
      <c r="I860">
        <f>IFERROR(INDEX(PP_Grid[#Data],$DE860,6),0)</f>
        <v/>
      </c>
      <c r="J860">
        <f>IFERROR(INDEX(PP_Grid[#Data],$DE860,7),0)</f>
        <v/>
      </c>
      <c r="K860">
        <f>IFERROR(INDEX(PP_Grid[#Data],$DE860,8),0)</f>
        <v/>
      </c>
      <c r="L860">
        <f>IFERROR(INDEX(PP_Grid[#Data],$DE860,9),0)</f>
        <v/>
      </c>
      <c r="M860">
        <f>IFERROR(INDEX(PP_Grid[#Data],$DE860,10),0)</f>
        <v/>
      </c>
      <c r="N860">
        <f>IFERROR(INDEX(PP_Grid[#Data],$DE860,11),0)</f>
        <v/>
      </c>
      <c r="O860">
        <f>IFERROR(INDEX(PP_Grid[#Data],$DE860,12),0)</f>
        <v/>
      </c>
      <c r="P860">
        <f>IFERROR(INDEX(PP_Grid[#Data],$DE860,13),0)</f>
        <v/>
      </c>
      <c r="Q860">
        <f>IFERROR(INDEX(PP_Grid[#Data],$DE860,14),0)</f>
        <v/>
      </c>
      <c r="R860">
        <f>IFERROR(INDEX(PP_Grid[#Data],$DE860,15),0)</f>
        <v/>
      </c>
      <c r="S860">
        <f>IFERROR(INDEX(PP_Grid[#Data],$DE860,16),0)</f>
        <v/>
      </c>
      <c r="T860">
        <f>IFERROR(INDEX(PP_Grid[#Data],$DE860,17),0)</f>
        <v/>
      </c>
      <c r="U860">
        <f>IFERROR(INDEX(PP_Grid[#Data],$DE860,18),0)</f>
        <v/>
      </c>
      <c r="V860">
        <f>IFERROR(INDEX(PP_Grid[#Data],$DE860,19),0)</f>
        <v/>
      </c>
      <c r="W860">
        <f>IFERROR(INDEX(PP_Grid[#Data],$DE860,20),0)</f>
        <v/>
      </c>
      <c r="X860">
        <f>IFERROR(INDEX(PP_Grid[#Data],$DE860,21),0)</f>
        <v/>
      </c>
      <c r="Y860">
        <f>IFERROR(INDEX(PP_Grid[#Data],$DE860,22),0)</f>
        <v/>
      </c>
      <c r="Z860">
        <f>IFERROR(INDEX(PP_Grid[#Data],$DE860,23),0)</f>
        <v/>
      </c>
      <c r="AA860">
        <f>IFERROR(INDEX(PP_Grid[#Data],$DE860,24),0)</f>
        <v/>
      </c>
      <c r="AB860">
        <f>IFERROR(INDEX(PP_Grid[#Data],$DE860,25),0)</f>
        <v/>
      </c>
      <c r="AC860">
        <f>IFERROR(INDEX(PP_Grid[#Data],$DE860,26),0)</f>
        <v/>
      </c>
      <c r="AD860">
        <f>IFERROR(INDEX(PP_Grid[#Data],$DE860,27),0)</f>
        <v/>
      </c>
      <c r="AE860">
        <f>IFERROR(INDEX(PP_Grid[#Data],$DE860,28),0)</f>
        <v/>
      </c>
      <c r="AF860">
        <f>IFERROR(INDEX(PP_Grid[#Data],$DE860,29),0)</f>
        <v/>
      </c>
      <c r="AG860">
        <f>IFERROR(INDEX(PP_Grid[#Data],$DE860,30),0)</f>
        <v/>
      </c>
      <c r="AH860">
        <f>IFERROR(INDEX(PP_Grid[#Data],$DE860,31),0)</f>
        <v/>
      </c>
      <c r="AI860">
        <f>IFERROR(INDEX(PP_Grid[#Data],$DE860,32),0)</f>
        <v/>
      </c>
      <c r="AJ860">
        <f>IFERROR(INDEX(PP_Grid[#Data],$DE860,33),0)</f>
        <v/>
      </c>
      <c r="AK860">
        <f>IFERROR(INDEX(PP_Grid[#Data],$DE860,34),0)</f>
        <v/>
      </c>
      <c r="AL860">
        <f>IFERROR(INDEX(PP_Grid[#Data],$DE860,35),0)</f>
        <v/>
      </c>
      <c r="AM860">
        <f>IFERROR(INDEX(PP_Grid[#Data],$DE860,36),0)</f>
        <v/>
      </c>
      <c r="AN860">
        <f>IFERROR(INDEX(PP_Grid[#Data],$DE860,37),0)</f>
        <v/>
      </c>
      <c r="AO860">
        <f>IFERROR(INDEX(PP_Grid[#Data],$DE860,38),0)</f>
        <v/>
      </c>
      <c r="AP860">
        <f>IFERROR(INDEX(PP_Grid[#Data],$DE860,39),0)</f>
        <v/>
      </c>
      <c r="AQ860">
        <f>IFERROR(INDEX(PP_Grid[#Data],$DE860,40),0)</f>
        <v/>
      </c>
      <c r="AR860">
        <f>IFERROR(INDEX(PP_Grid[#Data],$DE860,41),0)</f>
        <v/>
      </c>
      <c r="AS860">
        <f>IFERROR(INDEX(PP_Grid[#Data],$DE860,42),0)</f>
        <v/>
      </c>
      <c r="AT860">
        <f>IFERROR(INDEX(PP_Grid[#Data],$DE860,43),0)</f>
        <v/>
      </c>
      <c r="AU860">
        <f>IFERROR(INDEX(PP_Grid[#Data],$DE860,44),0)</f>
        <v/>
      </c>
      <c r="AV860">
        <f>IFERROR(INDEX(PP_Grid[#Data],$DE860,45),0)</f>
        <v/>
      </c>
      <c r="AW860">
        <f>IFERROR(INDEX(PP_Grid[#Data],$DE860,46),0)</f>
        <v/>
      </c>
      <c r="AX860">
        <f>IFERROR(INDEX(PP_Grid[#Data],$DE860,47),0)</f>
        <v/>
      </c>
      <c r="AY860">
        <f>IFERROR(INDEX(PP_Grid[#Data],$DE860,48),0)</f>
        <v/>
      </c>
      <c r="AZ860">
        <f>IFERROR(INDEX(PP_Grid[#Data],$DE860,49),0)</f>
        <v/>
      </c>
      <c r="BA860">
        <f>IFERROR(INDEX(PP_Grid[#Data],$DE860,50),0)</f>
        <v/>
      </c>
      <c r="BB860">
        <f>IFERROR(INDEX(PP_Grid[#Data],$DE860,51),0)</f>
        <v/>
      </c>
      <c r="BC860">
        <f>IFERROR(INDEX(PP_Grid[#Data],$DE860,52),0)</f>
        <v/>
      </c>
      <c r="BD860">
        <f>IFERROR(INDEX(PP_Grid[#Data],$DE860,53),0)</f>
        <v/>
      </c>
      <c r="BE860">
        <f>IFERROR(INDEX(PP_Grid[#Data],$DE860,54),0)</f>
        <v/>
      </c>
      <c r="BF860">
        <f>IFERROR(INDEX(PP_Grid[#Data],$DE860,55),0)</f>
        <v/>
      </c>
      <c r="BG860">
        <f>IFERROR(INDEX(PP_Grid[#Data],$DE860,56),0)</f>
        <v/>
      </c>
      <c r="BH860">
        <f>IFERROR(INDEX(PP_Grid[#Data],$DE860,57),0)</f>
        <v/>
      </c>
      <c r="BI860">
        <f>IFERROR(INDEX(PP_Grid[#Data],$DE860,58),0)</f>
        <v/>
      </c>
      <c r="BJ860">
        <f>IFERROR(INDEX(PP_Grid[#Data],$DE860,59),0)</f>
        <v/>
      </c>
      <c r="BK860">
        <f>IFERROR(INDEX(PP_Grid[#Data],$DE860,60),0)</f>
        <v/>
      </c>
      <c r="BL860">
        <f>IFERROR(INDEX(PP_Grid[#Data],$DE860,61),0)</f>
        <v/>
      </c>
      <c r="BM860">
        <f>IFERROR(INDEX(PP_Grid[#Data],$DE860,62),0)</f>
        <v/>
      </c>
      <c r="BN860">
        <f>IFERROR(INDEX(PP_Grid[#Data],$DE860,63),0)</f>
        <v/>
      </c>
      <c r="BO860">
        <f>IFERROR(INDEX(PP_Grid[#Data],$DE860,64),0)</f>
        <v/>
      </c>
      <c r="BP860">
        <f>IFERROR(INDEX(PP_Grid[#Data],$DE860,65),0)</f>
        <v/>
      </c>
      <c r="BQ860">
        <f>IFERROR(INDEX(PP_Grid[#Data],$DE860,66),0)</f>
        <v/>
      </c>
      <c r="BR860">
        <f>IFERROR(INDEX(PP_Grid[#Data],$DE860,67),0)</f>
        <v/>
      </c>
      <c r="BS860">
        <f>IFERROR(INDEX(PP_Grid[#Data],$DE860,68),0)</f>
        <v/>
      </c>
      <c r="BT860">
        <f>IFERROR(INDEX(PP_Grid[#Data],$DE860,69),0)</f>
        <v/>
      </c>
      <c r="BU860">
        <f>IFERROR(INDEX(PP_Grid[#Data],$DE860,70),0)</f>
        <v/>
      </c>
      <c r="BV860">
        <f>IFERROR(INDEX(PP_Grid[#Data],$DE860,71),0)</f>
        <v/>
      </c>
      <c r="BW860">
        <f>IFERROR(INDEX(PP_Grid[#Data],$DE860,72),0)</f>
        <v/>
      </c>
      <c r="BX860">
        <f>IFERROR(INDEX(PP_Grid[#Data],$DE860,73),0)</f>
        <v/>
      </c>
      <c r="BY860">
        <f>IFERROR(INDEX(PP_Grid[#Data],$DE860,74),0)</f>
        <v/>
      </c>
      <c r="BZ860">
        <f>IFERROR(INDEX(PP_Grid[#Data],$DE860,75),0)</f>
        <v/>
      </c>
      <c r="CA860">
        <f>IFERROR(INDEX(PP_Grid[#Data],$DE860,76),0)</f>
        <v/>
      </c>
      <c r="CB860">
        <f>IFERROR(INDEX(PP_Grid[#Data],$DE860,77),0)</f>
        <v/>
      </c>
      <c r="CC860">
        <f>IFERROR(INDEX(PP_Grid[#Data],$DE860,78),0)</f>
        <v/>
      </c>
      <c r="CD860">
        <f>IFERROR(INDEX(PP_Grid[#Data],$DE860,79),0)</f>
        <v/>
      </c>
      <c r="CE860">
        <f>IFERROR(INDEX(PP_Grid[#Data],$DE860,80),0)</f>
        <v/>
      </c>
      <c r="CF860">
        <f>IFERROR(INDEX(PP_Grid[#Data],$DE860,81),0)</f>
        <v/>
      </c>
      <c r="CG860">
        <f>IFERROR(INDEX(PP_Grid[#Data],$DE860,82),0)</f>
        <v/>
      </c>
      <c r="CH860">
        <f>IFERROR(INDEX(PP_Grid[#Data],$DE860,83),0)</f>
        <v/>
      </c>
      <c r="CI860">
        <f>IFERROR(INDEX(PP_Grid[#Data],$DE860,84),0)</f>
        <v/>
      </c>
      <c r="CJ860">
        <f>IFERROR(INDEX(PP_Grid[#Data],$DE860,85),0)</f>
        <v/>
      </c>
      <c r="CK860">
        <f>IFERROR(INDEX(PP_Grid[#Data],$DE860,86),0)</f>
        <v/>
      </c>
      <c r="CL860">
        <f>IFERROR(INDEX(PP_Grid[#Data],$DE860,87),0)</f>
        <v/>
      </c>
      <c r="CM860">
        <f>IFERROR(INDEX(PP_Grid[#Data],$DE860,88),0)</f>
        <v/>
      </c>
      <c r="CN860">
        <f>IFERROR(INDEX(PP_Grid[#Data],$DE860,89),0)</f>
        <v/>
      </c>
      <c r="CO860">
        <f>IFERROR(INDEX(PP_Grid[#Data],$DE860,90),0)</f>
        <v/>
      </c>
      <c r="CP860">
        <f>IFERROR(INDEX(PP_Grid[#Data],$DE860,91),0)</f>
        <v/>
      </c>
      <c r="CQ860">
        <f>IFERROR(INDEX(PP_Grid[#Data],$DE860,92),0)</f>
        <v/>
      </c>
      <c r="CR860">
        <f>IFERROR(INDEX(PP_Grid[#Data],$DE860,93),0)</f>
        <v/>
      </c>
      <c r="CS860">
        <f>IFERROR(INDEX(PP_Grid[#Data],$DE860,94),0)</f>
        <v/>
      </c>
      <c r="CT860">
        <f>IFERROR(INDEX(PP_Grid[#Data],$DE860,95),0)</f>
        <v/>
      </c>
      <c r="CU860">
        <f>IFERROR(INDEX(PP_Grid[#Data],$DE860,96),0)</f>
        <v/>
      </c>
      <c r="CV860">
        <f>IFERROR(INDEX(PP_Grid[#Data],$DE860,97),0)</f>
        <v/>
      </c>
      <c r="CW860">
        <f>IFERROR(INDEX(PP_Grid[#Data],$DE860,98),0)</f>
        <v/>
      </c>
      <c r="CX860">
        <f>IFERROR(INDEX(PP_Grid[#Data],$DE860,99),0)</f>
        <v/>
      </c>
      <c r="CY860">
        <f>IFERROR(INDEX(PP_Grid[#Data],$DE860,100),0)</f>
        <v/>
      </c>
      <c r="CZ860">
        <f>IFERROR(INDEX(PP_Grid[#Data],$DE860,101),0)</f>
        <v/>
      </c>
      <c r="DA860">
        <f>IFERROR(INDEX(PP_Grid[#Data],$DE860,102),0)</f>
        <v/>
      </c>
      <c r="DB860">
        <f>IFERROR(INDEX(PP_Grid[#Data],$DE860,103),0)</f>
        <v/>
      </c>
      <c r="DC860">
        <f>IFERROR(INDEX(PP_Grid[#Data],$DE860,104),0)</f>
        <v/>
      </c>
      <c r="DD860">
        <f>IFERROR(INDEX(PP_Grid[#Data],$DE860,105),0)</f>
        <v/>
      </c>
      <c r="DE860" s="7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SUMIFS(M_BOM[RM_Qty_Per_Batch],M_BOM[Intermediate],$B860,M_BOM[RM_Code],$A849)</f>
        <v/>
      </c>
      <c r="D861">
        <f>IFERROR(INDEX(E861:DD861,$F$1),"")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  <c r="DD861">
        <f>$C861*DD860</f>
        <v/>
      </c>
    </row>
    <row r="862">
      <c r="B862" t="inlineStr">
        <is>
          <t>VSP-601</t>
        </is>
      </c>
      <c r="C862" t="inlineStr">
        <is>
          <t>No. of batches</t>
        </is>
      </c>
      <c r="D862">
        <f>IFERROR(INDEX(E862:DD862,$F$1),"")</f>
        <v/>
      </c>
      <c r="E862">
        <f>IFERROR(INDEX(PP_Grid[#Data],$DE862,2),0)</f>
        <v/>
      </c>
      <c r="F862">
        <f>IFERROR(INDEX(PP_Grid[#Data],$DE862,3),0)</f>
        <v/>
      </c>
      <c r="G862">
        <f>IFERROR(INDEX(PP_Grid[#Data],$DE862,4),0)</f>
        <v/>
      </c>
      <c r="H862">
        <f>IFERROR(INDEX(PP_Grid[#Data],$DE862,5),0)</f>
        <v/>
      </c>
      <c r="I862">
        <f>IFERROR(INDEX(PP_Grid[#Data],$DE862,6),0)</f>
        <v/>
      </c>
      <c r="J862">
        <f>IFERROR(INDEX(PP_Grid[#Data],$DE862,7),0)</f>
        <v/>
      </c>
      <c r="K862">
        <f>IFERROR(INDEX(PP_Grid[#Data],$DE862,8),0)</f>
        <v/>
      </c>
      <c r="L862">
        <f>IFERROR(INDEX(PP_Grid[#Data],$DE862,9),0)</f>
        <v/>
      </c>
      <c r="M862">
        <f>IFERROR(INDEX(PP_Grid[#Data],$DE862,10),0)</f>
        <v/>
      </c>
      <c r="N862">
        <f>IFERROR(INDEX(PP_Grid[#Data],$DE862,11),0)</f>
        <v/>
      </c>
      <c r="O862">
        <f>IFERROR(INDEX(PP_Grid[#Data],$DE862,12),0)</f>
        <v/>
      </c>
      <c r="P862">
        <f>IFERROR(INDEX(PP_Grid[#Data],$DE862,13),0)</f>
        <v/>
      </c>
      <c r="Q862">
        <f>IFERROR(INDEX(PP_Grid[#Data],$DE862,14),0)</f>
        <v/>
      </c>
      <c r="R862">
        <f>IFERROR(INDEX(PP_Grid[#Data],$DE862,15),0)</f>
        <v/>
      </c>
      <c r="S862">
        <f>IFERROR(INDEX(PP_Grid[#Data],$DE862,16),0)</f>
        <v/>
      </c>
      <c r="T862">
        <f>IFERROR(INDEX(PP_Grid[#Data],$DE862,17),0)</f>
        <v/>
      </c>
      <c r="U862">
        <f>IFERROR(INDEX(PP_Grid[#Data],$DE862,18),0)</f>
        <v/>
      </c>
      <c r="V862">
        <f>IFERROR(INDEX(PP_Grid[#Data],$DE862,19),0)</f>
        <v/>
      </c>
      <c r="W862">
        <f>IFERROR(INDEX(PP_Grid[#Data],$DE862,20),0)</f>
        <v/>
      </c>
      <c r="X862">
        <f>IFERROR(INDEX(PP_Grid[#Data],$DE862,21),0)</f>
        <v/>
      </c>
      <c r="Y862">
        <f>IFERROR(INDEX(PP_Grid[#Data],$DE862,22),0)</f>
        <v/>
      </c>
      <c r="Z862">
        <f>IFERROR(INDEX(PP_Grid[#Data],$DE862,23),0)</f>
        <v/>
      </c>
      <c r="AA862">
        <f>IFERROR(INDEX(PP_Grid[#Data],$DE862,24),0)</f>
        <v/>
      </c>
      <c r="AB862">
        <f>IFERROR(INDEX(PP_Grid[#Data],$DE862,25),0)</f>
        <v/>
      </c>
      <c r="AC862">
        <f>IFERROR(INDEX(PP_Grid[#Data],$DE862,26),0)</f>
        <v/>
      </c>
      <c r="AD862">
        <f>IFERROR(INDEX(PP_Grid[#Data],$DE862,27),0)</f>
        <v/>
      </c>
      <c r="AE862">
        <f>IFERROR(INDEX(PP_Grid[#Data],$DE862,28),0)</f>
        <v/>
      </c>
      <c r="AF862">
        <f>IFERROR(INDEX(PP_Grid[#Data],$DE862,29),0)</f>
        <v/>
      </c>
      <c r="AG862">
        <f>IFERROR(INDEX(PP_Grid[#Data],$DE862,30),0)</f>
        <v/>
      </c>
      <c r="AH862">
        <f>IFERROR(INDEX(PP_Grid[#Data],$DE862,31),0)</f>
        <v/>
      </c>
      <c r="AI862">
        <f>IFERROR(INDEX(PP_Grid[#Data],$DE862,32),0)</f>
        <v/>
      </c>
      <c r="AJ862">
        <f>IFERROR(INDEX(PP_Grid[#Data],$DE862,33),0)</f>
        <v/>
      </c>
      <c r="AK862">
        <f>IFERROR(INDEX(PP_Grid[#Data],$DE862,34),0)</f>
        <v/>
      </c>
      <c r="AL862">
        <f>IFERROR(INDEX(PP_Grid[#Data],$DE862,35),0)</f>
        <v/>
      </c>
      <c r="AM862">
        <f>IFERROR(INDEX(PP_Grid[#Data],$DE862,36),0)</f>
        <v/>
      </c>
      <c r="AN862">
        <f>IFERROR(INDEX(PP_Grid[#Data],$DE862,37),0)</f>
        <v/>
      </c>
      <c r="AO862">
        <f>IFERROR(INDEX(PP_Grid[#Data],$DE862,38),0)</f>
        <v/>
      </c>
      <c r="AP862">
        <f>IFERROR(INDEX(PP_Grid[#Data],$DE862,39),0)</f>
        <v/>
      </c>
      <c r="AQ862">
        <f>IFERROR(INDEX(PP_Grid[#Data],$DE862,40),0)</f>
        <v/>
      </c>
      <c r="AR862">
        <f>IFERROR(INDEX(PP_Grid[#Data],$DE862,41),0)</f>
        <v/>
      </c>
      <c r="AS862">
        <f>IFERROR(INDEX(PP_Grid[#Data],$DE862,42),0)</f>
        <v/>
      </c>
      <c r="AT862">
        <f>IFERROR(INDEX(PP_Grid[#Data],$DE862,43),0)</f>
        <v/>
      </c>
      <c r="AU862">
        <f>IFERROR(INDEX(PP_Grid[#Data],$DE862,44),0)</f>
        <v/>
      </c>
      <c r="AV862">
        <f>IFERROR(INDEX(PP_Grid[#Data],$DE862,45),0)</f>
        <v/>
      </c>
      <c r="AW862">
        <f>IFERROR(INDEX(PP_Grid[#Data],$DE862,46),0)</f>
        <v/>
      </c>
      <c r="AX862">
        <f>IFERROR(INDEX(PP_Grid[#Data],$DE862,47),0)</f>
        <v/>
      </c>
      <c r="AY862">
        <f>IFERROR(INDEX(PP_Grid[#Data],$DE862,48),0)</f>
        <v/>
      </c>
      <c r="AZ862">
        <f>IFERROR(INDEX(PP_Grid[#Data],$DE862,49),0)</f>
        <v/>
      </c>
      <c r="BA862">
        <f>IFERROR(INDEX(PP_Grid[#Data],$DE862,50),0)</f>
        <v/>
      </c>
      <c r="BB862">
        <f>IFERROR(INDEX(PP_Grid[#Data],$DE862,51),0)</f>
        <v/>
      </c>
      <c r="BC862">
        <f>IFERROR(INDEX(PP_Grid[#Data],$DE862,52),0)</f>
        <v/>
      </c>
      <c r="BD862">
        <f>IFERROR(INDEX(PP_Grid[#Data],$DE862,53),0)</f>
        <v/>
      </c>
      <c r="BE862">
        <f>IFERROR(INDEX(PP_Grid[#Data],$DE862,54),0)</f>
        <v/>
      </c>
      <c r="BF862">
        <f>IFERROR(INDEX(PP_Grid[#Data],$DE862,55),0)</f>
        <v/>
      </c>
      <c r="BG862">
        <f>IFERROR(INDEX(PP_Grid[#Data],$DE862,56),0)</f>
        <v/>
      </c>
      <c r="BH862">
        <f>IFERROR(INDEX(PP_Grid[#Data],$DE862,57),0)</f>
        <v/>
      </c>
      <c r="BI862">
        <f>IFERROR(INDEX(PP_Grid[#Data],$DE862,58),0)</f>
        <v/>
      </c>
      <c r="BJ862">
        <f>IFERROR(INDEX(PP_Grid[#Data],$DE862,59),0)</f>
        <v/>
      </c>
      <c r="BK862">
        <f>IFERROR(INDEX(PP_Grid[#Data],$DE862,60),0)</f>
        <v/>
      </c>
      <c r="BL862">
        <f>IFERROR(INDEX(PP_Grid[#Data],$DE862,61),0)</f>
        <v/>
      </c>
      <c r="BM862">
        <f>IFERROR(INDEX(PP_Grid[#Data],$DE862,62),0)</f>
        <v/>
      </c>
      <c r="BN862">
        <f>IFERROR(INDEX(PP_Grid[#Data],$DE862,63),0)</f>
        <v/>
      </c>
      <c r="BO862">
        <f>IFERROR(INDEX(PP_Grid[#Data],$DE862,64),0)</f>
        <v/>
      </c>
      <c r="BP862">
        <f>IFERROR(INDEX(PP_Grid[#Data],$DE862,65),0)</f>
        <v/>
      </c>
      <c r="BQ862">
        <f>IFERROR(INDEX(PP_Grid[#Data],$DE862,66),0)</f>
        <v/>
      </c>
      <c r="BR862">
        <f>IFERROR(INDEX(PP_Grid[#Data],$DE862,67),0)</f>
        <v/>
      </c>
      <c r="BS862">
        <f>IFERROR(INDEX(PP_Grid[#Data],$DE862,68),0)</f>
        <v/>
      </c>
      <c r="BT862">
        <f>IFERROR(INDEX(PP_Grid[#Data],$DE862,69),0)</f>
        <v/>
      </c>
      <c r="BU862">
        <f>IFERROR(INDEX(PP_Grid[#Data],$DE862,70),0)</f>
        <v/>
      </c>
      <c r="BV862">
        <f>IFERROR(INDEX(PP_Grid[#Data],$DE862,71),0)</f>
        <v/>
      </c>
      <c r="BW862">
        <f>IFERROR(INDEX(PP_Grid[#Data],$DE862,72),0)</f>
        <v/>
      </c>
      <c r="BX862">
        <f>IFERROR(INDEX(PP_Grid[#Data],$DE862,73),0)</f>
        <v/>
      </c>
      <c r="BY862">
        <f>IFERROR(INDEX(PP_Grid[#Data],$DE862,74),0)</f>
        <v/>
      </c>
      <c r="BZ862">
        <f>IFERROR(INDEX(PP_Grid[#Data],$DE862,75),0)</f>
        <v/>
      </c>
      <c r="CA862">
        <f>IFERROR(INDEX(PP_Grid[#Data],$DE862,76),0)</f>
        <v/>
      </c>
      <c r="CB862">
        <f>IFERROR(INDEX(PP_Grid[#Data],$DE862,77),0)</f>
        <v/>
      </c>
      <c r="CC862">
        <f>IFERROR(INDEX(PP_Grid[#Data],$DE862,78),0)</f>
        <v/>
      </c>
      <c r="CD862">
        <f>IFERROR(INDEX(PP_Grid[#Data],$DE862,79),0)</f>
        <v/>
      </c>
      <c r="CE862">
        <f>IFERROR(INDEX(PP_Grid[#Data],$DE862,80),0)</f>
        <v/>
      </c>
      <c r="CF862">
        <f>IFERROR(INDEX(PP_Grid[#Data],$DE862,81),0)</f>
        <v/>
      </c>
      <c r="CG862">
        <f>IFERROR(INDEX(PP_Grid[#Data],$DE862,82),0)</f>
        <v/>
      </c>
      <c r="CH862">
        <f>IFERROR(INDEX(PP_Grid[#Data],$DE862,83),0)</f>
        <v/>
      </c>
      <c r="CI862">
        <f>IFERROR(INDEX(PP_Grid[#Data],$DE862,84),0)</f>
        <v/>
      </c>
      <c r="CJ862">
        <f>IFERROR(INDEX(PP_Grid[#Data],$DE862,85),0)</f>
        <v/>
      </c>
      <c r="CK862">
        <f>IFERROR(INDEX(PP_Grid[#Data],$DE862,86),0)</f>
        <v/>
      </c>
      <c r="CL862">
        <f>IFERROR(INDEX(PP_Grid[#Data],$DE862,87),0)</f>
        <v/>
      </c>
      <c r="CM862">
        <f>IFERROR(INDEX(PP_Grid[#Data],$DE862,88),0)</f>
        <v/>
      </c>
      <c r="CN862">
        <f>IFERROR(INDEX(PP_Grid[#Data],$DE862,89),0)</f>
        <v/>
      </c>
      <c r="CO862">
        <f>IFERROR(INDEX(PP_Grid[#Data],$DE862,90),0)</f>
        <v/>
      </c>
      <c r="CP862">
        <f>IFERROR(INDEX(PP_Grid[#Data],$DE862,91),0)</f>
        <v/>
      </c>
      <c r="CQ862">
        <f>IFERROR(INDEX(PP_Grid[#Data],$DE862,92),0)</f>
        <v/>
      </c>
      <c r="CR862">
        <f>IFERROR(INDEX(PP_Grid[#Data],$DE862,93),0)</f>
        <v/>
      </c>
      <c r="CS862">
        <f>IFERROR(INDEX(PP_Grid[#Data],$DE862,94),0)</f>
        <v/>
      </c>
      <c r="CT862">
        <f>IFERROR(INDEX(PP_Grid[#Data],$DE862,95),0)</f>
        <v/>
      </c>
      <c r="CU862">
        <f>IFERROR(INDEX(PP_Grid[#Data],$DE862,96),0)</f>
        <v/>
      </c>
      <c r="CV862">
        <f>IFERROR(INDEX(PP_Grid[#Data],$DE862,97),0)</f>
        <v/>
      </c>
      <c r="CW862">
        <f>IFERROR(INDEX(PP_Grid[#Data],$DE862,98),0)</f>
        <v/>
      </c>
      <c r="CX862">
        <f>IFERROR(INDEX(PP_Grid[#Data],$DE862,99),0)</f>
        <v/>
      </c>
      <c r="CY862">
        <f>IFERROR(INDEX(PP_Grid[#Data],$DE862,100),0)</f>
        <v/>
      </c>
      <c r="CZ862">
        <f>IFERROR(INDEX(PP_Grid[#Data],$DE862,101),0)</f>
        <v/>
      </c>
      <c r="DA862">
        <f>IFERROR(INDEX(PP_Grid[#Data],$DE862,102),0)</f>
        <v/>
      </c>
      <c r="DB862">
        <f>IFERROR(INDEX(PP_Grid[#Data],$DE862,103),0)</f>
        <v/>
      </c>
      <c r="DC862">
        <f>IFERROR(INDEX(PP_Grid[#Data],$DE862,104),0)</f>
        <v/>
      </c>
      <c r="DD862">
        <f>IFERROR(INDEX(PP_Grid[#Data],$DE862,105),0)</f>
        <v/>
      </c>
      <c r="DE862" s="7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SUMIFS(M_BOM[RM_Qty_Per_Batch],M_BOM[Intermediate],$B862,M_BOM[RM_Code],$A849)</f>
        <v/>
      </c>
      <c r="D863">
        <f>IFERROR(INDEX(E863:DD863,$F$1),"")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  <c r="DD863">
        <f>$C863*DD862</f>
        <v/>
      </c>
    </row>
    <row r="864">
      <c r="B864" t="inlineStr">
        <is>
          <t>VSP-603</t>
        </is>
      </c>
      <c r="C864" t="inlineStr">
        <is>
          <t>No. of batches</t>
        </is>
      </c>
      <c r="D864">
        <f>IFERROR(INDEX(E864:DD864,$F$1),"")</f>
        <v/>
      </c>
      <c r="E864">
        <f>IFERROR(INDEX(PP_Grid[#Data],$DE864,2),0)</f>
        <v/>
      </c>
      <c r="F864">
        <f>IFERROR(INDEX(PP_Grid[#Data],$DE864,3),0)</f>
        <v/>
      </c>
      <c r="G864">
        <f>IFERROR(INDEX(PP_Grid[#Data],$DE864,4),0)</f>
        <v/>
      </c>
      <c r="H864">
        <f>IFERROR(INDEX(PP_Grid[#Data],$DE864,5),0)</f>
        <v/>
      </c>
      <c r="I864">
        <f>IFERROR(INDEX(PP_Grid[#Data],$DE864,6),0)</f>
        <v/>
      </c>
      <c r="J864">
        <f>IFERROR(INDEX(PP_Grid[#Data],$DE864,7),0)</f>
        <v/>
      </c>
      <c r="K864">
        <f>IFERROR(INDEX(PP_Grid[#Data],$DE864,8),0)</f>
        <v/>
      </c>
      <c r="L864">
        <f>IFERROR(INDEX(PP_Grid[#Data],$DE864,9),0)</f>
        <v/>
      </c>
      <c r="M864">
        <f>IFERROR(INDEX(PP_Grid[#Data],$DE864,10),0)</f>
        <v/>
      </c>
      <c r="N864">
        <f>IFERROR(INDEX(PP_Grid[#Data],$DE864,11),0)</f>
        <v/>
      </c>
      <c r="O864">
        <f>IFERROR(INDEX(PP_Grid[#Data],$DE864,12),0)</f>
        <v/>
      </c>
      <c r="P864">
        <f>IFERROR(INDEX(PP_Grid[#Data],$DE864,13),0)</f>
        <v/>
      </c>
      <c r="Q864">
        <f>IFERROR(INDEX(PP_Grid[#Data],$DE864,14),0)</f>
        <v/>
      </c>
      <c r="R864">
        <f>IFERROR(INDEX(PP_Grid[#Data],$DE864,15),0)</f>
        <v/>
      </c>
      <c r="S864">
        <f>IFERROR(INDEX(PP_Grid[#Data],$DE864,16),0)</f>
        <v/>
      </c>
      <c r="T864">
        <f>IFERROR(INDEX(PP_Grid[#Data],$DE864,17),0)</f>
        <v/>
      </c>
      <c r="U864">
        <f>IFERROR(INDEX(PP_Grid[#Data],$DE864,18),0)</f>
        <v/>
      </c>
      <c r="V864">
        <f>IFERROR(INDEX(PP_Grid[#Data],$DE864,19),0)</f>
        <v/>
      </c>
      <c r="W864">
        <f>IFERROR(INDEX(PP_Grid[#Data],$DE864,20),0)</f>
        <v/>
      </c>
      <c r="X864">
        <f>IFERROR(INDEX(PP_Grid[#Data],$DE864,21),0)</f>
        <v/>
      </c>
      <c r="Y864">
        <f>IFERROR(INDEX(PP_Grid[#Data],$DE864,22),0)</f>
        <v/>
      </c>
      <c r="Z864">
        <f>IFERROR(INDEX(PP_Grid[#Data],$DE864,23),0)</f>
        <v/>
      </c>
      <c r="AA864">
        <f>IFERROR(INDEX(PP_Grid[#Data],$DE864,24),0)</f>
        <v/>
      </c>
      <c r="AB864">
        <f>IFERROR(INDEX(PP_Grid[#Data],$DE864,25),0)</f>
        <v/>
      </c>
      <c r="AC864">
        <f>IFERROR(INDEX(PP_Grid[#Data],$DE864,26),0)</f>
        <v/>
      </c>
      <c r="AD864">
        <f>IFERROR(INDEX(PP_Grid[#Data],$DE864,27),0)</f>
        <v/>
      </c>
      <c r="AE864">
        <f>IFERROR(INDEX(PP_Grid[#Data],$DE864,28),0)</f>
        <v/>
      </c>
      <c r="AF864">
        <f>IFERROR(INDEX(PP_Grid[#Data],$DE864,29),0)</f>
        <v/>
      </c>
      <c r="AG864">
        <f>IFERROR(INDEX(PP_Grid[#Data],$DE864,30),0)</f>
        <v/>
      </c>
      <c r="AH864">
        <f>IFERROR(INDEX(PP_Grid[#Data],$DE864,31),0)</f>
        <v/>
      </c>
      <c r="AI864">
        <f>IFERROR(INDEX(PP_Grid[#Data],$DE864,32),0)</f>
        <v/>
      </c>
      <c r="AJ864">
        <f>IFERROR(INDEX(PP_Grid[#Data],$DE864,33),0)</f>
        <v/>
      </c>
      <c r="AK864">
        <f>IFERROR(INDEX(PP_Grid[#Data],$DE864,34),0)</f>
        <v/>
      </c>
      <c r="AL864">
        <f>IFERROR(INDEX(PP_Grid[#Data],$DE864,35),0)</f>
        <v/>
      </c>
      <c r="AM864">
        <f>IFERROR(INDEX(PP_Grid[#Data],$DE864,36),0)</f>
        <v/>
      </c>
      <c r="AN864">
        <f>IFERROR(INDEX(PP_Grid[#Data],$DE864,37),0)</f>
        <v/>
      </c>
      <c r="AO864">
        <f>IFERROR(INDEX(PP_Grid[#Data],$DE864,38),0)</f>
        <v/>
      </c>
      <c r="AP864">
        <f>IFERROR(INDEX(PP_Grid[#Data],$DE864,39),0)</f>
        <v/>
      </c>
      <c r="AQ864">
        <f>IFERROR(INDEX(PP_Grid[#Data],$DE864,40),0)</f>
        <v/>
      </c>
      <c r="AR864">
        <f>IFERROR(INDEX(PP_Grid[#Data],$DE864,41),0)</f>
        <v/>
      </c>
      <c r="AS864">
        <f>IFERROR(INDEX(PP_Grid[#Data],$DE864,42),0)</f>
        <v/>
      </c>
      <c r="AT864">
        <f>IFERROR(INDEX(PP_Grid[#Data],$DE864,43),0)</f>
        <v/>
      </c>
      <c r="AU864">
        <f>IFERROR(INDEX(PP_Grid[#Data],$DE864,44),0)</f>
        <v/>
      </c>
      <c r="AV864">
        <f>IFERROR(INDEX(PP_Grid[#Data],$DE864,45),0)</f>
        <v/>
      </c>
      <c r="AW864">
        <f>IFERROR(INDEX(PP_Grid[#Data],$DE864,46),0)</f>
        <v/>
      </c>
      <c r="AX864">
        <f>IFERROR(INDEX(PP_Grid[#Data],$DE864,47),0)</f>
        <v/>
      </c>
      <c r="AY864">
        <f>IFERROR(INDEX(PP_Grid[#Data],$DE864,48),0)</f>
        <v/>
      </c>
      <c r="AZ864">
        <f>IFERROR(INDEX(PP_Grid[#Data],$DE864,49),0)</f>
        <v/>
      </c>
      <c r="BA864">
        <f>IFERROR(INDEX(PP_Grid[#Data],$DE864,50),0)</f>
        <v/>
      </c>
      <c r="BB864">
        <f>IFERROR(INDEX(PP_Grid[#Data],$DE864,51),0)</f>
        <v/>
      </c>
      <c r="BC864">
        <f>IFERROR(INDEX(PP_Grid[#Data],$DE864,52),0)</f>
        <v/>
      </c>
      <c r="BD864">
        <f>IFERROR(INDEX(PP_Grid[#Data],$DE864,53),0)</f>
        <v/>
      </c>
      <c r="BE864">
        <f>IFERROR(INDEX(PP_Grid[#Data],$DE864,54),0)</f>
        <v/>
      </c>
      <c r="BF864">
        <f>IFERROR(INDEX(PP_Grid[#Data],$DE864,55),0)</f>
        <v/>
      </c>
      <c r="BG864">
        <f>IFERROR(INDEX(PP_Grid[#Data],$DE864,56),0)</f>
        <v/>
      </c>
      <c r="BH864">
        <f>IFERROR(INDEX(PP_Grid[#Data],$DE864,57),0)</f>
        <v/>
      </c>
      <c r="BI864">
        <f>IFERROR(INDEX(PP_Grid[#Data],$DE864,58),0)</f>
        <v/>
      </c>
      <c r="BJ864">
        <f>IFERROR(INDEX(PP_Grid[#Data],$DE864,59),0)</f>
        <v/>
      </c>
      <c r="BK864">
        <f>IFERROR(INDEX(PP_Grid[#Data],$DE864,60),0)</f>
        <v/>
      </c>
      <c r="BL864">
        <f>IFERROR(INDEX(PP_Grid[#Data],$DE864,61),0)</f>
        <v/>
      </c>
      <c r="BM864">
        <f>IFERROR(INDEX(PP_Grid[#Data],$DE864,62),0)</f>
        <v/>
      </c>
      <c r="BN864">
        <f>IFERROR(INDEX(PP_Grid[#Data],$DE864,63),0)</f>
        <v/>
      </c>
      <c r="BO864">
        <f>IFERROR(INDEX(PP_Grid[#Data],$DE864,64),0)</f>
        <v/>
      </c>
      <c r="BP864">
        <f>IFERROR(INDEX(PP_Grid[#Data],$DE864,65),0)</f>
        <v/>
      </c>
      <c r="BQ864">
        <f>IFERROR(INDEX(PP_Grid[#Data],$DE864,66),0)</f>
        <v/>
      </c>
      <c r="BR864">
        <f>IFERROR(INDEX(PP_Grid[#Data],$DE864,67),0)</f>
        <v/>
      </c>
      <c r="BS864">
        <f>IFERROR(INDEX(PP_Grid[#Data],$DE864,68),0)</f>
        <v/>
      </c>
      <c r="BT864">
        <f>IFERROR(INDEX(PP_Grid[#Data],$DE864,69),0)</f>
        <v/>
      </c>
      <c r="BU864">
        <f>IFERROR(INDEX(PP_Grid[#Data],$DE864,70),0)</f>
        <v/>
      </c>
      <c r="BV864">
        <f>IFERROR(INDEX(PP_Grid[#Data],$DE864,71),0)</f>
        <v/>
      </c>
      <c r="BW864">
        <f>IFERROR(INDEX(PP_Grid[#Data],$DE864,72),0)</f>
        <v/>
      </c>
      <c r="BX864">
        <f>IFERROR(INDEX(PP_Grid[#Data],$DE864,73),0)</f>
        <v/>
      </c>
      <c r="BY864">
        <f>IFERROR(INDEX(PP_Grid[#Data],$DE864,74),0)</f>
        <v/>
      </c>
      <c r="BZ864">
        <f>IFERROR(INDEX(PP_Grid[#Data],$DE864,75),0)</f>
        <v/>
      </c>
      <c r="CA864">
        <f>IFERROR(INDEX(PP_Grid[#Data],$DE864,76),0)</f>
        <v/>
      </c>
      <c r="CB864">
        <f>IFERROR(INDEX(PP_Grid[#Data],$DE864,77),0)</f>
        <v/>
      </c>
      <c r="CC864">
        <f>IFERROR(INDEX(PP_Grid[#Data],$DE864,78),0)</f>
        <v/>
      </c>
      <c r="CD864">
        <f>IFERROR(INDEX(PP_Grid[#Data],$DE864,79),0)</f>
        <v/>
      </c>
      <c r="CE864">
        <f>IFERROR(INDEX(PP_Grid[#Data],$DE864,80),0)</f>
        <v/>
      </c>
      <c r="CF864">
        <f>IFERROR(INDEX(PP_Grid[#Data],$DE864,81),0)</f>
        <v/>
      </c>
      <c r="CG864">
        <f>IFERROR(INDEX(PP_Grid[#Data],$DE864,82),0)</f>
        <v/>
      </c>
      <c r="CH864">
        <f>IFERROR(INDEX(PP_Grid[#Data],$DE864,83),0)</f>
        <v/>
      </c>
      <c r="CI864">
        <f>IFERROR(INDEX(PP_Grid[#Data],$DE864,84),0)</f>
        <v/>
      </c>
      <c r="CJ864">
        <f>IFERROR(INDEX(PP_Grid[#Data],$DE864,85),0)</f>
        <v/>
      </c>
      <c r="CK864">
        <f>IFERROR(INDEX(PP_Grid[#Data],$DE864,86),0)</f>
        <v/>
      </c>
      <c r="CL864">
        <f>IFERROR(INDEX(PP_Grid[#Data],$DE864,87),0)</f>
        <v/>
      </c>
      <c r="CM864">
        <f>IFERROR(INDEX(PP_Grid[#Data],$DE864,88),0)</f>
        <v/>
      </c>
      <c r="CN864">
        <f>IFERROR(INDEX(PP_Grid[#Data],$DE864,89),0)</f>
        <v/>
      </c>
      <c r="CO864">
        <f>IFERROR(INDEX(PP_Grid[#Data],$DE864,90),0)</f>
        <v/>
      </c>
      <c r="CP864">
        <f>IFERROR(INDEX(PP_Grid[#Data],$DE864,91),0)</f>
        <v/>
      </c>
      <c r="CQ864">
        <f>IFERROR(INDEX(PP_Grid[#Data],$DE864,92),0)</f>
        <v/>
      </c>
      <c r="CR864">
        <f>IFERROR(INDEX(PP_Grid[#Data],$DE864,93),0)</f>
        <v/>
      </c>
      <c r="CS864">
        <f>IFERROR(INDEX(PP_Grid[#Data],$DE864,94),0)</f>
        <v/>
      </c>
      <c r="CT864">
        <f>IFERROR(INDEX(PP_Grid[#Data],$DE864,95),0)</f>
        <v/>
      </c>
      <c r="CU864">
        <f>IFERROR(INDEX(PP_Grid[#Data],$DE864,96),0)</f>
        <v/>
      </c>
      <c r="CV864">
        <f>IFERROR(INDEX(PP_Grid[#Data],$DE864,97),0)</f>
        <v/>
      </c>
      <c r="CW864">
        <f>IFERROR(INDEX(PP_Grid[#Data],$DE864,98),0)</f>
        <v/>
      </c>
      <c r="CX864">
        <f>IFERROR(INDEX(PP_Grid[#Data],$DE864,99),0)</f>
        <v/>
      </c>
      <c r="CY864">
        <f>IFERROR(INDEX(PP_Grid[#Data],$DE864,100),0)</f>
        <v/>
      </c>
      <c r="CZ864">
        <f>IFERROR(INDEX(PP_Grid[#Data],$DE864,101),0)</f>
        <v/>
      </c>
      <c r="DA864">
        <f>IFERROR(INDEX(PP_Grid[#Data],$DE864,102),0)</f>
        <v/>
      </c>
      <c r="DB864">
        <f>IFERROR(INDEX(PP_Grid[#Data],$DE864,103),0)</f>
        <v/>
      </c>
      <c r="DC864">
        <f>IFERROR(INDEX(PP_Grid[#Data],$DE864,104),0)</f>
        <v/>
      </c>
      <c r="DD864">
        <f>IFERROR(INDEX(PP_Grid[#Data],$DE864,105),0)</f>
        <v/>
      </c>
      <c r="DE864" s="7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SUMIFS(M_BOM[RM_Qty_Per_Batch],M_BOM[Intermediate],$B864,M_BOM[RM_Code],$A849)</f>
        <v/>
      </c>
      <c r="D865">
        <f>IFERROR(INDEX(E865:DD865,$F$1),"")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  <c r="DD865">
        <f>$C865*DD864</f>
        <v/>
      </c>
    </row>
    <row r="866">
      <c r="B866" t="inlineStr">
        <is>
          <t>VSP-604</t>
        </is>
      </c>
      <c r="C866" t="inlineStr">
        <is>
          <t>No. of batches</t>
        </is>
      </c>
      <c r="D866">
        <f>IFERROR(INDEX(E866:DD866,$F$1),"")</f>
        <v/>
      </c>
      <c r="E866">
        <f>IFERROR(INDEX(PP_Grid[#Data],$DE866,2),0)</f>
        <v/>
      </c>
      <c r="F866">
        <f>IFERROR(INDEX(PP_Grid[#Data],$DE866,3),0)</f>
        <v/>
      </c>
      <c r="G866">
        <f>IFERROR(INDEX(PP_Grid[#Data],$DE866,4),0)</f>
        <v/>
      </c>
      <c r="H866">
        <f>IFERROR(INDEX(PP_Grid[#Data],$DE866,5),0)</f>
        <v/>
      </c>
      <c r="I866">
        <f>IFERROR(INDEX(PP_Grid[#Data],$DE866,6),0)</f>
        <v/>
      </c>
      <c r="J866">
        <f>IFERROR(INDEX(PP_Grid[#Data],$DE866,7),0)</f>
        <v/>
      </c>
      <c r="K866">
        <f>IFERROR(INDEX(PP_Grid[#Data],$DE866,8),0)</f>
        <v/>
      </c>
      <c r="L866">
        <f>IFERROR(INDEX(PP_Grid[#Data],$DE866,9),0)</f>
        <v/>
      </c>
      <c r="M866">
        <f>IFERROR(INDEX(PP_Grid[#Data],$DE866,10),0)</f>
        <v/>
      </c>
      <c r="N866">
        <f>IFERROR(INDEX(PP_Grid[#Data],$DE866,11),0)</f>
        <v/>
      </c>
      <c r="O866">
        <f>IFERROR(INDEX(PP_Grid[#Data],$DE866,12),0)</f>
        <v/>
      </c>
      <c r="P866">
        <f>IFERROR(INDEX(PP_Grid[#Data],$DE866,13),0)</f>
        <v/>
      </c>
      <c r="Q866">
        <f>IFERROR(INDEX(PP_Grid[#Data],$DE866,14),0)</f>
        <v/>
      </c>
      <c r="R866">
        <f>IFERROR(INDEX(PP_Grid[#Data],$DE866,15),0)</f>
        <v/>
      </c>
      <c r="S866">
        <f>IFERROR(INDEX(PP_Grid[#Data],$DE866,16),0)</f>
        <v/>
      </c>
      <c r="T866">
        <f>IFERROR(INDEX(PP_Grid[#Data],$DE866,17),0)</f>
        <v/>
      </c>
      <c r="U866">
        <f>IFERROR(INDEX(PP_Grid[#Data],$DE866,18),0)</f>
        <v/>
      </c>
      <c r="V866">
        <f>IFERROR(INDEX(PP_Grid[#Data],$DE866,19),0)</f>
        <v/>
      </c>
      <c r="W866">
        <f>IFERROR(INDEX(PP_Grid[#Data],$DE866,20),0)</f>
        <v/>
      </c>
      <c r="X866">
        <f>IFERROR(INDEX(PP_Grid[#Data],$DE866,21),0)</f>
        <v/>
      </c>
      <c r="Y866">
        <f>IFERROR(INDEX(PP_Grid[#Data],$DE866,22),0)</f>
        <v/>
      </c>
      <c r="Z866">
        <f>IFERROR(INDEX(PP_Grid[#Data],$DE866,23),0)</f>
        <v/>
      </c>
      <c r="AA866">
        <f>IFERROR(INDEX(PP_Grid[#Data],$DE866,24),0)</f>
        <v/>
      </c>
      <c r="AB866">
        <f>IFERROR(INDEX(PP_Grid[#Data],$DE866,25),0)</f>
        <v/>
      </c>
      <c r="AC866">
        <f>IFERROR(INDEX(PP_Grid[#Data],$DE866,26),0)</f>
        <v/>
      </c>
      <c r="AD866">
        <f>IFERROR(INDEX(PP_Grid[#Data],$DE866,27),0)</f>
        <v/>
      </c>
      <c r="AE866">
        <f>IFERROR(INDEX(PP_Grid[#Data],$DE866,28),0)</f>
        <v/>
      </c>
      <c r="AF866">
        <f>IFERROR(INDEX(PP_Grid[#Data],$DE866,29),0)</f>
        <v/>
      </c>
      <c r="AG866">
        <f>IFERROR(INDEX(PP_Grid[#Data],$DE866,30),0)</f>
        <v/>
      </c>
      <c r="AH866">
        <f>IFERROR(INDEX(PP_Grid[#Data],$DE866,31),0)</f>
        <v/>
      </c>
      <c r="AI866">
        <f>IFERROR(INDEX(PP_Grid[#Data],$DE866,32),0)</f>
        <v/>
      </c>
      <c r="AJ866">
        <f>IFERROR(INDEX(PP_Grid[#Data],$DE866,33),0)</f>
        <v/>
      </c>
      <c r="AK866">
        <f>IFERROR(INDEX(PP_Grid[#Data],$DE866,34),0)</f>
        <v/>
      </c>
      <c r="AL866">
        <f>IFERROR(INDEX(PP_Grid[#Data],$DE866,35),0)</f>
        <v/>
      </c>
      <c r="AM866">
        <f>IFERROR(INDEX(PP_Grid[#Data],$DE866,36),0)</f>
        <v/>
      </c>
      <c r="AN866">
        <f>IFERROR(INDEX(PP_Grid[#Data],$DE866,37),0)</f>
        <v/>
      </c>
      <c r="AO866">
        <f>IFERROR(INDEX(PP_Grid[#Data],$DE866,38),0)</f>
        <v/>
      </c>
      <c r="AP866">
        <f>IFERROR(INDEX(PP_Grid[#Data],$DE866,39),0)</f>
        <v/>
      </c>
      <c r="AQ866">
        <f>IFERROR(INDEX(PP_Grid[#Data],$DE866,40),0)</f>
        <v/>
      </c>
      <c r="AR866">
        <f>IFERROR(INDEX(PP_Grid[#Data],$DE866,41),0)</f>
        <v/>
      </c>
      <c r="AS866">
        <f>IFERROR(INDEX(PP_Grid[#Data],$DE866,42),0)</f>
        <v/>
      </c>
      <c r="AT866">
        <f>IFERROR(INDEX(PP_Grid[#Data],$DE866,43),0)</f>
        <v/>
      </c>
      <c r="AU866">
        <f>IFERROR(INDEX(PP_Grid[#Data],$DE866,44),0)</f>
        <v/>
      </c>
      <c r="AV866">
        <f>IFERROR(INDEX(PP_Grid[#Data],$DE866,45),0)</f>
        <v/>
      </c>
      <c r="AW866">
        <f>IFERROR(INDEX(PP_Grid[#Data],$DE866,46),0)</f>
        <v/>
      </c>
      <c r="AX866">
        <f>IFERROR(INDEX(PP_Grid[#Data],$DE866,47),0)</f>
        <v/>
      </c>
      <c r="AY866">
        <f>IFERROR(INDEX(PP_Grid[#Data],$DE866,48),0)</f>
        <v/>
      </c>
      <c r="AZ866">
        <f>IFERROR(INDEX(PP_Grid[#Data],$DE866,49),0)</f>
        <v/>
      </c>
      <c r="BA866">
        <f>IFERROR(INDEX(PP_Grid[#Data],$DE866,50),0)</f>
        <v/>
      </c>
      <c r="BB866">
        <f>IFERROR(INDEX(PP_Grid[#Data],$DE866,51),0)</f>
        <v/>
      </c>
      <c r="BC866">
        <f>IFERROR(INDEX(PP_Grid[#Data],$DE866,52),0)</f>
        <v/>
      </c>
      <c r="BD866">
        <f>IFERROR(INDEX(PP_Grid[#Data],$DE866,53),0)</f>
        <v/>
      </c>
      <c r="BE866">
        <f>IFERROR(INDEX(PP_Grid[#Data],$DE866,54),0)</f>
        <v/>
      </c>
      <c r="BF866">
        <f>IFERROR(INDEX(PP_Grid[#Data],$DE866,55),0)</f>
        <v/>
      </c>
      <c r="BG866">
        <f>IFERROR(INDEX(PP_Grid[#Data],$DE866,56),0)</f>
        <v/>
      </c>
      <c r="BH866">
        <f>IFERROR(INDEX(PP_Grid[#Data],$DE866,57),0)</f>
        <v/>
      </c>
      <c r="BI866">
        <f>IFERROR(INDEX(PP_Grid[#Data],$DE866,58),0)</f>
        <v/>
      </c>
      <c r="BJ866">
        <f>IFERROR(INDEX(PP_Grid[#Data],$DE866,59),0)</f>
        <v/>
      </c>
      <c r="BK866">
        <f>IFERROR(INDEX(PP_Grid[#Data],$DE866,60),0)</f>
        <v/>
      </c>
      <c r="BL866">
        <f>IFERROR(INDEX(PP_Grid[#Data],$DE866,61),0)</f>
        <v/>
      </c>
      <c r="BM866">
        <f>IFERROR(INDEX(PP_Grid[#Data],$DE866,62),0)</f>
        <v/>
      </c>
      <c r="BN866">
        <f>IFERROR(INDEX(PP_Grid[#Data],$DE866,63),0)</f>
        <v/>
      </c>
      <c r="BO866">
        <f>IFERROR(INDEX(PP_Grid[#Data],$DE866,64),0)</f>
        <v/>
      </c>
      <c r="BP866">
        <f>IFERROR(INDEX(PP_Grid[#Data],$DE866,65),0)</f>
        <v/>
      </c>
      <c r="BQ866">
        <f>IFERROR(INDEX(PP_Grid[#Data],$DE866,66),0)</f>
        <v/>
      </c>
      <c r="BR866">
        <f>IFERROR(INDEX(PP_Grid[#Data],$DE866,67),0)</f>
        <v/>
      </c>
      <c r="BS866">
        <f>IFERROR(INDEX(PP_Grid[#Data],$DE866,68),0)</f>
        <v/>
      </c>
      <c r="BT866">
        <f>IFERROR(INDEX(PP_Grid[#Data],$DE866,69),0)</f>
        <v/>
      </c>
      <c r="BU866">
        <f>IFERROR(INDEX(PP_Grid[#Data],$DE866,70),0)</f>
        <v/>
      </c>
      <c r="BV866">
        <f>IFERROR(INDEX(PP_Grid[#Data],$DE866,71),0)</f>
        <v/>
      </c>
      <c r="BW866">
        <f>IFERROR(INDEX(PP_Grid[#Data],$DE866,72),0)</f>
        <v/>
      </c>
      <c r="BX866">
        <f>IFERROR(INDEX(PP_Grid[#Data],$DE866,73),0)</f>
        <v/>
      </c>
      <c r="BY866">
        <f>IFERROR(INDEX(PP_Grid[#Data],$DE866,74),0)</f>
        <v/>
      </c>
      <c r="BZ866">
        <f>IFERROR(INDEX(PP_Grid[#Data],$DE866,75),0)</f>
        <v/>
      </c>
      <c r="CA866">
        <f>IFERROR(INDEX(PP_Grid[#Data],$DE866,76),0)</f>
        <v/>
      </c>
      <c r="CB866">
        <f>IFERROR(INDEX(PP_Grid[#Data],$DE866,77),0)</f>
        <v/>
      </c>
      <c r="CC866">
        <f>IFERROR(INDEX(PP_Grid[#Data],$DE866,78),0)</f>
        <v/>
      </c>
      <c r="CD866">
        <f>IFERROR(INDEX(PP_Grid[#Data],$DE866,79),0)</f>
        <v/>
      </c>
      <c r="CE866">
        <f>IFERROR(INDEX(PP_Grid[#Data],$DE866,80),0)</f>
        <v/>
      </c>
      <c r="CF866">
        <f>IFERROR(INDEX(PP_Grid[#Data],$DE866,81),0)</f>
        <v/>
      </c>
      <c r="CG866">
        <f>IFERROR(INDEX(PP_Grid[#Data],$DE866,82),0)</f>
        <v/>
      </c>
      <c r="CH866">
        <f>IFERROR(INDEX(PP_Grid[#Data],$DE866,83),0)</f>
        <v/>
      </c>
      <c r="CI866">
        <f>IFERROR(INDEX(PP_Grid[#Data],$DE866,84),0)</f>
        <v/>
      </c>
      <c r="CJ866">
        <f>IFERROR(INDEX(PP_Grid[#Data],$DE866,85),0)</f>
        <v/>
      </c>
      <c r="CK866">
        <f>IFERROR(INDEX(PP_Grid[#Data],$DE866,86),0)</f>
        <v/>
      </c>
      <c r="CL866">
        <f>IFERROR(INDEX(PP_Grid[#Data],$DE866,87),0)</f>
        <v/>
      </c>
      <c r="CM866">
        <f>IFERROR(INDEX(PP_Grid[#Data],$DE866,88),0)</f>
        <v/>
      </c>
      <c r="CN866">
        <f>IFERROR(INDEX(PP_Grid[#Data],$DE866,89),0)</f>
        <v/>
      </c>
      <c r="CO866">
        <f>IFERROR(INDEX(PP_Grid[#Data],$DE866,90),0)</f>
        <v/>
      </c>
      <c r="CP866">
        <f>IFERROR(INDEX(PP_Grid[#Data],$DE866,91),0)</f>
        <v/>
      </c>
      <c r="CQ866">
        <f>IFERROR(INDEX(PP_Grid[#Data],$DE866,92),0)</f>
        <v/>
      </c>
      <c r="CR866">
        <f>IFERROR(INDEX(PP_Grid[#Data],$DE866,93),0)</f>
        <v/>
      </c>
      <c r="CS866">
        <f>IFERROR(INDEX(PP_Grid[#Data],$DE866,94),0)</f>
        <v/>
      </c>
      <c r="CT866">
        <f>IFERROR(INDEX(PP_Grid[#Data],$DE866,95),0)</f>
        <v/>
      </c>
      <c r="CU866">
        <f>IFERROR(INDEX(PP_Grid[#Data],$DE866,96),0)</f>
        <v/>
      </c>
      <c r="CV866">
        <f>IFERROR(INDEX(PP_Grid[#Data],$DE866,97),0)</f>
        <v/>
      </c>
      <c r="CW866">
        <f>IFERROR(INDEX(PP_Grid[#Data],$DE866,98),0)</f>
        <v/>
      </c>
      <c r="CX866">
        <f>IFERROR(INDEX(PP_Grid[#Data],$DE866,99),0)</f>
        <v/>
      </c>
      <c r="CY866">
        <f>IFERROR(INDEX(PP_Grid[#Data],$DE866,100),0)</f>
        <v/>
      </c>
      <c r="CZ866">
        <f>IFERROR(INDEX(PP_Grid[#Data],$DE866,101),0)</f>
        <v/>
      </c>
      <c r="DA866">
        <f>IFERROR(INDEX(PP_Grid[#Data],$DE866,102),0)</f>
        <v/>
      </c>
      <c r="DB866">
        <f>IFERROR(INDEX(PP_Grid[#Data],$DE866,103),0)</f>
        <v/>
      </c>
      <c r="DC866">
        <f>IFERROR(INDEX(PP_Grid[#Data],$DE866,104),0)</f>
        <v/>
      </c>
      <c r="DD866">
        <f>IFERROR(INDEX(PP_Grid[#Data],$DE866,105),0)</f>
        <v/>
      </c>
      <c r="DE866" s="7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SUMIFS(M_BOM[RM_Qty_Per_Batch],M_BOM[Intermediate],$B866,M_BOM[RM_Code],$A849)</f>
        <v/>
      </c>
      <c r="D867">
        <f>IFERROR(INDEX(E867:DD867,$F$1),"")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  <c r="DD867">
        <f>$C867*DD866</f>
        <v/>
      </c>
    </row>
    <row r="868">
      <c r="B868" t="inlineStr">
        <is>
          <t>VSP-606</t>
        </is>
      </c>
      <c r="C868" t="inlineStr">
        <is>
          <t>No. of batches</t>
        </is>
      </c>
      <c r="D868">
        <f>IFERROR(INDEX(E868:DD868,$F$1),"")</f>
        <v/>
      </c>
      <c r="E868">
        <f>IFERROR(INDEX(PP_Grid[#Data],$DE868,2),0)</f>
        <v/>
      </c>
      <c r="F868">
        <f>IFERROR(INDEX(PP_Grid[#Data],$DE868,3),0)</f>
        <v/>
      </c>
      <c r="G868">
        <f>IFERROR(INDEX(PP_Grid[#Data],$DE868,4),0)</f>
        <v/>
      </c>
      <c r="H868">
        <f>IFERROR(INDEX(PP_Grid[#Data],$DE868,5),0)</f>
        <v/>
      </c>
      <c r="I868">
        <f>IFERROR(INDEX(PP_Grid[#Data],$DE868,6),0)</f>
        <v/>
      </c>
      <c r="J868">
        <f>IFERROR(INDEX(PP_Grid[#Data],$DE868,7),0)</f>
        <v/>
      </c>
      <c r="K868">
        <f>IFERROR(INDEX(PP_Grid[#Data],$DE868,8),0)</f>
        <v/>
      </c>
      <c r="L868">
        <f>IFERROR(INDEX(PP_Grid[#Data],$DE868,9),0)</f>
        <v/>
      </c>
      <c r="M868">
        <f>IFERROR(INDEX(PP_Grid[#Data],$DE868,10),0)</f>
        <v/>
      </c>
      <c r="N868">
        <f>IFERROR(INDEX(PP_Grid[#Data],$DE868,11),0)</f>
        <v/>
      </c>
      <c r="O868">
        <f>IFERROR(INDEX(PP_Grid[#Data],$DE868,12),0)</f>
        <v/>
      </c>
      <c r="P868">
        <f>IFERROR(INDEX(PP_Grid[#Data],$DE868,13),0)</f>
        <v/>
      </c>
      <c r="Q868">
        <f>IFERROR(INDEX(PP_Grid[#Data],$DE868,14),0)</f>
        <v/>
      </c>
      <c r="R868">
        <f>IFERROR(INDEX(PP_Grid[#Data],$DE868,15),0)</f>
        <v/>
      </c>
      <c r="S868">
        <f>IFERROR(INDEX(PP_Grid[#Data],$DE868,16),0)</f>
        <v/>
      </c>
      <c r="T868">
        <f>IFERROR(INDEX(PP_Grid[#Data],$DE868,17),0)</f>
        <v/>
      </c>
      <c r="U868">
        <f>IFERROR(INDEX(PP_Grid[#Data],$DE868,18),0)</f>
        <v/>
      </c>
      <c r="V868">
        <f>IFERROR(INDEX(PP_Grid[#Data],$DE868,19),0)</f>
        <v/>
      </c>
      <c r="W868">
        <f>IFERROR(INDEX(PP_Grid[#Data],$DE868,20),0)</f>
        <v/>
      </c>
      <c r="X868">
        <f>IFERROR(INDEX(PP_Grid[#Data],$DE868,21),0)</f>
        <v/>
      </c>
      <c r="Y868">
        <f>IFERROR(INDEX(PP_Grid[#Data],$DE868,22),0)</f>
        <v/>
      </c>
      <c r="Z868">
        <f>IFERROR(INDEX(PP_Grid[#Data],$DE868,23),0)</f>
        <v/>
      </c>
      <c r="AA868">
        <f>IFERROR(INDEX(PP_Grid[#Data],$DE868,24),0)</f>
        <v/>
      </c>
      <c r="AB868">
        <f>IFERROR(INDEX(PP_Grid[#Data],$DE868,25),0)</f>
        <v/>
      </c>
      <c r="AC868">
        <f>IFERROR(INDEX(PP_Grid[#Data],$DE868,26),0)</f>
        <v/>
      </c>
      <c r="AD868">
        <f>IFERROR(INDEX(PP_Grid[#Data],$DE868,27),0)</f>
        <v/>
      </c>
      <c r="AE868">
        <f>IFERROR(INDEX(PP_Grid[#Data],$DE868,28),0)</f>
        <v/>
      </c>
      <c r="AF868">
        <f>IFERROR(INDEX(PP_Grid[#Data],$DE868,29),0)</f>
        <v/>
      </c>
      <c r="AG868">
        <f>IFERROR(INDEX(PP_Grid[#Data],$DE868,30),0)</f>
        <v/>
      </c>
      <c r="AH868">
        <f>IFERROR(INDEX(PP_Grid[#Data],$DE868,31),0)</f>
        <v/>
      </c>
      <c r="AI868">
        <f>IFERROR(INDEX(PP_Grid[#Data],$DE868,32),0)</f>
        <v/>
      </c>
      <c r="AJ868">
        <f>IFERROR(INDEX(PP_Grid[#Data],$DE868,33),0)</f>
        <v/>
      </c>
      <c r="AK868">
        <f>IFERROR(INDEX(PP_Grid[#Data],$DE868,34),0)</f>
        <v/>
      </c>
      <c r="AL868">
        <f>IFERROR(INDEX(PP_Grid[#Data],$DE868,35),0)</f>
        <v/>
      </c>
      <c r="AM868">
        <f>IFERROR(INDEX(PP_Grid[#Data],$DE868,36),0)</f>
        <v/>
      </c>
      <c r="AN868">
        <f>IFERROR(INDEX(PP_Grid[#Data],$DE868,37),0)</f>
        <v/>
      </c>
      <c r="AO868">
        <f>IFERROR(INDEX(PP_Grid[#Data],$DE868,38),0)</f>
        <v/>
      </c>
      <c r="AP868">
        <f>IFERROR(INDEX(PP_Grid[#Data],$DE868,39),0)</f>
        <v/>
      </c>
      <c r="AQ868">
        <f>IFERROR(INDEX(PP_Grid[#Data],$DE868,40),0)</f>
        <v/>
      </c>
      <c r="AR868">
        <f>IFERROR(INDEX(PP_Grid[#Data],$DE868,41),0)</f>
        <v/>
      </c>
      <c r="AS868">
        <f>IFERROR(INDEX(PP_Grid[#Data],$DE868,42),0)</f>
        <v/>
      </c>
      <c r="AT868">
        <f>IFERROR(INDEX(PP_Grid[#Data],$DE868,43),0)</f>
        <v/>
      </c>
      <c r="AU868">
        <f>IFERROR(INDEX(PP_Grid[#Data],$DE868,44),0)</f>
        <v/>
      </c>
      <c r="AV868">
        <f>IFERROR(INDEX(PP_Grid[#Data],$DE868,45),0)</f>
        <v/>
      </c>
      <c r="AW868">
        <f>IFERROR(INDEX(PP_Grid[#Data],$DE868,46),0)</f>
        <v/>
      </c>
      <c r="AX868">
        <f>IFERROR(INDEX(PP_Grid[#Data],$DE868,47),0)</f>
        <v/>
      </c>
      <c r="AY868">
        <f>IFERROR(INDEX(PP_Grid[#Data],$DE868,48),0)</f>
        <v/>
      </c>
      <c r="AZ868">
        <f>IFERROR(INDEX(PP_Grid[#Data],$DE868,49),0)</f>
        <v/>
      </c>
      <c r="BA868">
        <f>IFERROR(INDEX(PP_Grid[#Data],$DE868,50),0)</f>
        <v/>
      </c>
      <c r="BB868">
        <f>IFERROR(INDEX(PP_Grid[#Data],$DE868,51),0)</f>
        <v/>
      </c>
      <c r="BC868">
        <f>IFERROR(INDEX(PP_Grid[#Data],$DE868,52),0)</f>
        <v/>
      </c>
      <c r="BD868">
        <f>IFERROR(INDEX(PP_Grid[#Data],$DE868,53),0)</f>
        <v/>
      </c>
      <c r="BE868">
        <f>IFERROR(INDEX(PP_Grid[#Data],$DE868,54),0)</f>
        <v/>
      </c>
      <c r="BF868">
        <f>IFERROR(INDEX(PP_Grid[#Data],$DE868,55),0)</f>
        <v/>
      </c>
      <c r="BG868">
        <f>IFERROR(INDEX(PP_Grid[#Data],$DE868,56),0)</f>
        <v/>
      </c>
      <c r="BH868">
        <f>IFERROR(INDEX(PP_Grid[#Data],$DE868,57),0)</f>
        <v/>
      </c>
      <c r="BI868">
        <f>IFERROR(INDEX(PP_Grid[#Data],$DE868,58),0)</f>
        <v/>
      </c>
      <c r="BJ868">
        <f>IFERROR(INDEX(PP_Grid[#Data],$DE868,59),0)</f>
        <v/>
      </c>
      <c r="BK868">
        <f>IFERROR(INDEX(PP_Grid[#Data],$DE868,60),0)</f>
        <v/>
      </c>
      <c r="BL868">
        <f>IFERROR(INDEX(PP_Grid[#Data],$DE868,61),0)</f>
        <v/>
      </c>
      <c r="BM868">
        <f>IFERROR(INDEX(PP_Grid[#Data],$DE868,62),0)</f>
        <v/>
      </c>
      <c r="BN868">
        <f>IFERROR(INDEX(PP_Grid[#Data],$DE868,63),0)</f>
        <v/>
      </c>
      <c r="BO868">
        <f>IFERROR(INDEX(PP_Grid[#Data],$DE868,64),0)</f>
        <v/>
      </c>
      <c r="BP868">
        <f>IFERROR(INDEX(PP_Grid[#Data],$DE868,65),0)</f>
        <v/>
      </c>
      <c r="BQ868">
        <f>IFERROR(INDEX(PP_Grid[#Data],$DE868,66),0)</f>
        <v/>
      </c>
      <c r="BR868">
        <f>IFERROR(INDEX(PP_Grid[#Data],$DE868,67),0)</f>
        <v/>
      </c>
      <c r="BS868">
        <f>IFERROR(INDEX(PP_Grid[#Data],$DE868,68),0)</f>
        <v/>
      </c>
      <c r="BT868">
        <f>IFERROR(INDEX(PP_Grid[#Data],$DE868,69),0)</f>
        <v/>
      </c>
      <c r="BU868">
        <f>IFERROR(INDEX(PP_Grid[#Data],$DE868,70),0)</f>
        <v/>
      </c>
      <c r="BV868">
        <f>IFERROR(INDEX(PP_Grid[#Data],$DE868,71),0)</f>
        <v/>
      </c>
      <c r="BW868">
        <f>IFERROR(INDEX(PP_Grid[#Data],$DE868,72),0)</f>
        <v/>
      </c>
      <c r="BX868">
        <f>IFERROR(INDEX(PP_Grid[#Data],$DE868,73),0)</f>
        <v/>
      </c>
      <c r="BY868">
        <f>IFERROR(INDEX(PP_Grid[#Data],$DE868,74),0)</f>
        <v/>
      </c>
      <c r="BZ868">
        <f>IFERROR(INDEX(PP_Grid[#Data],$DE868,75),0)</f>
        <v/>
      </c>
      <c r="CA868">
        <f>IFERROR(INDEX(PP_Grid[#Data],$DE868,76),0)</f>
        <v/>
      </c>
      <c r="CB868">
        <f>IFERROR(INDEX(PP_Grid[#Data],$DE868,77),0)</f>
        <v/>
      </c>
      <c r="CC868">
        <f>IFERROR(INDEX(PP_Grid[#Data],$DE868,78),0)</f>
        <v/>
      </c>
      <c r="CD868">
        <f>IFERROR(INDEX(PP_Grid[#Data],$DE868,79),0)</f>
        <v/>
      </c>
      <c r="CE868">
        <f>IFERROR(INDEX(PP_Grid[#Data],$DE868,80),0)</f>
        <v/>
      </c>
      <c r="CF868">
        <f>IFERROR(INDEX(PP_Grid[#Data],$DE868,81),0)</f>
        <v/>
      </c>
      <c r="CG868">
        <f>IFERROR(INDEX(PP_Grid[#Data],$DE868,82),0)</f>
        <v/>
      </c>
      <c r="CH868">
        <f>IFERROR(INDEX(PP_Grid[#Data],$DE868,83),0)</f>
        <v/>
      </c>
      <c r="CI868">
        <f>IFERROR(INDEX(PP_Grid[#Data],$DE868,84),0)</f>
        <v/>
      </c>
      <c r="CJ868">
        <f>IFERROR(INDEX(PP_Grid[#Data],$DE868,85),0)</f>
        <v/>
      </c>
      <c r="CK868">
        <f>IFERROR(INDEX(PP_Grid[#Data],$DE868,86),0)</f>
        <v/>
      </c>
      <c r="CL868">
        <f>IFERROR(INDEX(PP_Grid[#Data],$DE868,87),0)</f>
        <v/>
      </c>
      <c r="CM868">
        <f>IFERROR(INDEX(PP_Grid[#Data],$DE868,88),0)</f>
        <v/>
      </c>
      <c r="CN868">
        <f>IFERROR(INDEX(PP_Grid[#Data],$DE868,89),0)</f>
        <v/>
      </c>
      <c r="CO868">
        <f>IFERROR(INDEX(PP_Grid[#Data],$DE868,90),0)</f>
        <v/>
      </c>
      <c r="CP868">
        <f>IFERROR(INDEX(PP_Grid[#Data],$DE868,91),0)</f>
        <v/>
      </c>
      <c r="CQ868">
        <f>IFERROR(INDEX(PP_Grid[#Data],$DE868,92),0)</f>
        <v/>
      </c>
      <c r="CR868">
        <f>IFERROR(INDEX(PP_Grid[#Data],$DE868,93),0)</f>
        <v/>
      </c>
      <c r="CS868">
        <f>IFERROR(INDEX(PP_Grid[#Data],$DE868,94),0)</f>
        <v/>
      </c>
      <c r="CT868">
        <f>IFERROR(INDEX(PP_Grid[#Data],$DE868,95),0)</f>
        <v/>
      </c>
      <c r="CU868">
        <f>IFERROR(INDEX(PP_Grid[#Data],$DE868,96),0)</f>
        <v/>
      </c>
      <c r="CV868">
        <f>IFERROR(INDEX(PP_Grid[#Data],$DE868,97),0)</f>
        <v/>
      </c>
      <c r="CW868">
        <f>IFERROR(INDEX(PP_Grid[#Data],$DE868,98),0)</f>
        <v/>
      </c>
      <c r="CX868">
        <f>IFERROR(INDEX(PP_Grid[#Data],$DE868,99),0)</f>
        <v/>
      </c>
      <c r="CY868">
        <f>IFERROR(INDEX(PP_Grid[#Data],$DE868,100),0)</f>
        <v/>
      </c>
      <c r="CZ868">
        <f>IFERROR(INDEX(PP_Grid[#Data],$DE868,101),0)</f>
        <v/>
      </c>
      <c r="DA868">
        <f>IFERROR(INDEX(PP_Grid[#Data],$DE868,102),0)</f>
        <v/>
      </c>
      <c r="DB868">
        <f>IFERROR(INDEX(PP_Grid[#Data],$DE868,103),0)</f>
        <v/>
      </c>
      <c r="DC868">
        <f>IFERROR(INDEX(PP_Grid[#Data],$DE868,104),0)</f>
        <v/>
      </c>
      <c r="DD868">
        <f>IFERROR(INDEX(PP_Grid[#Data],$DE868,105),0)</f>
        <v/>
      </c>
      <c r="DE868" s="7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SUMIFS(M_BOM[RM_Qty_Per_Batch],M_BOM[Intermediate],$B868,M_BOM[RM_Code],$A849)</f>
        <v/>
      </c>
      <c r="D869">
        <f>IFERROR(INDEX(E869:DD869,$F$1),"")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  <c r="DD869">
        <f>$C869*DD868</f>
        <v/>
      </c>
    </row>
    <row r="870">
      <c r="B870" t="inlineStr">
        <is>
          <t>VSP-607</t>
        </is>
      </c>
      <c r="C870" t="inlineStr">
        <is>
          <t>No. of batches</t>
        </is>
      </c>
      <c r="D870">
        <f>IFERROR(INDEX(E870:DD870,$F$1),"")</f>
        <v/>
      </c>
      <c r="E870">
        <f>IFERROR(INDEX(PP_Grid[#Data],$DE870,2),0)</f>
        <v/>
      </c>
      <c r="F870">
        <f>IFERROR(INDEX(PP_Grid[#Data],$DE870,3),0)</f>
        <v/>
      </c>
      <c r="G870">
        <f>IFERROR(INDEX(PP_Grid[#Data],$DE870,4),0)</f>
        <v/>
      </c>
      <c r="H870">
        <f>IFERROR(INDEX(PP_Grid[#Data],$DE870,5),0)</f>
        <v/>
      </c>
      <c r="I870">
        <f>IFERROR(INDEX(PP_Grid[#Data],$DE870,6),0)</f>
        <v/>
      </c>
      <c r="J870">
        <f>IFERROR(INDEX(PP_Grid[#Data],$DE870,7),0)</f>
        <v/>
      </c>
      <c r="K870">
        <f>IFERROR(INDEX(PP_Grid[#Data],$DE870,8),0)</f>
        <v/>
      </c>
      <c r="L870">
        <f>IFERROR(INDEX(PP_Grid[#Data],$DE870,9),0)</f>
        <v/>
      </c>
      <c r="M870">
        <f>IFERROR(INDEX(PP_Grid[#Data],$DE870,10),0)</f>
        <v/>
      </c>
      <c r="N870">
        <f>IFERROR(INDEX(PP_Grid[#Data],$DE870,11),0)</f>
        <v/>
      </c>
      <c r="O870">
        <f>IFERROR(INDEX(PP_Grid[#Data],$DE870,12),0)</f>
        <v/>
      </c>
      <c r="P870">
        <f>IFERROR(INDEX(PP_Grid[#Data],$DE870,13),0)</f>
        <v/>
      </c>
      <c r="Q870">
        <f>IFERROR(INDEX(PP_Grid[#Data],$DE870,14),0)</f>
        <v/>
      </c>
      <c r="R870">
        <f>IFERROR(INDEX(PP_Grid[#Data],$DE870,15),0)</f>
        <v/>
      </c>
      <c r="S870">
        <f>IFERROR(INDEX(PP_Grid[#Data],$DE870,16),0)</f>
        <v/>
      </c>
      <c r="T870">
        <f>IFERROR(INDEX(PP_Grid[#Data],$DE870,17),0)</f>
        <v/>
      </c>
      <c r="U870">
        <f>IFERROR(INDEX(PP_Grid[#Data],$DE870,18),0)</f>
        <v/>
      </c>
      <c r="V870">
        <f>IFERROR(INDEX(PP_Grid[#Data],$DE870,19),0)</f>
        <v/>
      </c>
      <c r="W870">
        <f>IFERROR(INDEX(PP_Grid[#Data],$DE870,20),0)</f>
        <v/>
      </c>
      <c r="X870">
        <f>IFERROR(INDEX(PP_Grid[#Data],$DE870,21),0)</f>
        <v/>
      </c>
      <c r="Y870">
        <f>IFERROR(INDEX(PP_Grid[#Data],$DE870,22),0)</f>
        <v/>
      </c>
      <c r="Z870">
        <f>IFERROR(INDEX(PP_Grid[#Data],$DE870,23),0)</f>
        <v/>
      </c>
      <c r="AA870">
        <f>IFERROR(INDEX(PP_Grid[#Data],$DE870,24),0)</f>
        <v/>
      </c>
      <c r="AB870">
        <f>IFERROR(INDEX(PP_Grid[#Data],$DE870,25),0)</f>
        <v/>
      </c>
      <c r="AC870">
        <f>IFERROR(INDEX(PP_Grid[#Data],$DE870,26),0)</f>
        <v/>
      </c>
      <c r="AD870">
        <f>IFERROR(INDEX(PP_Grid[#Data],$DE870,27),0)</f>
        <v/>
      </c>
      <c r="AE870">
        <f>IFERROR(INDEX(PP_Grid[#Data],$DE870,28),0)</f>
        <v/>
      </c>
      <c r="AF870">
        <f>IFERROR(INDEX(PP_Grid[#Data],$DE870,29),0)</f>
        <v/>
      </c>
      <c r="AG870">
        <f>IFERROR(INDEX(PP_Grid[#Data],$DE870,30),0)</f>
        <v/>
      </c>
      <c r="AH870">
        <f>IFERROR(INDEX(PP_Grid[#Data],$DE870,31),0)</f>
        <v/>
      </c>
      <c r="AI870">
        <f>IFERROR(INDEX(PP_Grid[#Data],$DE870,32),0)</f>
        <v/>
      </c>
      <c r="AJ870">
        <f>IFERROR(INDEX(PP_Grid[#Data],$DE870,33),0)</f>
        <v/>
      </c>
      <c r="AK870">
        <f>IFERROR(INDEX(PP_Grid[#Data],$DE870,34),0)</f>
        <v/>
      </c>
      <c r="AL870">
        <f>IFERROR(INDEX(PP_Grid[#Data],$DE870,35),0)</f>
        <v/>
      </c>
      <c r="AM870">
        <f>IFERROR(INDEX(PP_Grid[#Data],$DE870,36),0)</f>
        <v/>
      </c>
      <c r="AN870">
        <f>IFERROR(INDEX(PP_Grid[#Data],$DE870,37),0)</f>
        <v/>
      </c>
      <c r="AO870">
        <f>IFERROR(INDEX(PP_Grid[#Data],$DE870,38),0)</f>
        <v/>
      </c>
      <c r="AP870">
        <f>IFERROR(INDEX(PP_Grid[#Data],$DE870,39),0)</f>
        <v/>
      </c>
      <c r="AQ870">
        <f>IFERROR(INDEX(PP_Grid[#Data],$DE870,40),0)</f>
        <v/>
      </c>
      <c r="AR870">
        <f>IFERROR(INDEX(PP_Grid[#Data],$DE870,41),0)</f>
        <v/>
      </c>
      <c r="AS870">
        <f>IFERROR(INDEX(PP_Grid[#Data],$DE870,42),0)</f>
        <v/>
      </c>
      <c r="AT870">
        <f>IFERROR(INDEX(PP_Grid[#Data],$DE870,43),0)</f>
        <v/>
      </c>
      <c r="AU870">
        <f>IFERROR(INDEX(PP_Grid[#Data],$DE870,44),0)</f>
        <v/>
      </c>
      <c r="AV870">
        <f>IFERROR(INDEX(PP_Grid[#Data],$DE870,45),0)</f>
        <v/>
      </c>
      <c r="AW870">
        <f>IFERROR(INDEX(PP_Grid[#Data],$DE870,46),0)</f>
        <v/>
      </c>
      <c r="AX870">
        <f>IFERROR(INDEX(PP_Grid[#Data],$DE870,47),0)</f>
        <v/>
      </c>
      <c r="AY870">
        <f>IFERROR(INDEX(PP_Grid[#Data],$DE870,48),0)</f>
        <v/>
      </c>
      <c r="AZ870">
        <f>IFERROR(INDEX(PP_Grid[#Data],$DE870,49),0)</f>
        <v/>
      </c>
      <c r="BA870">
        <f>IFERROR(INDEX(PP_Grid[#Data],$DE870,50),0)</f>
        <v/>
      </c>
      <c r="BB870">
        <f>IFERROR(INDEX(PP_Grid[#Data],$DE870,51),0)</f>
        <v/>
      </c>
      <c r="BC870">
        <f>IFERROR(INDEX(PP_Grid[#Data],$DE870,52),0)</f>
        <v/>
      </c>
      <c r="BD870">
        <f>IFERROR(INDEX(PP_Grid[#Data],$DE870,53),0)</f>
        <v/>
      </c>
      <c r="BE870">
        <f>IFERROR(INDEX(PP_Grid[#Data],$DE870,54),0)</f>
        <v/>
      </c>
      <c r="BF870">
        <f>IFERROR(INDEX(PP_Grid[#Data],$DE870,55),0)</f>
        <v/>
      </c>
      <c r="BG870">
        <f>IFERROR(INDEX(PP_Grid[#Data],$DE870,56),0)</f>
        <v/>
      </c>
      <c r="BH870">
        <f>IFERROR(INDEX(PP_Grid[#Data],$DE870,57),0)</f>
        <v/>
      </c>
      <c r="BI870">
        <f>IFERROR(INDEX(PP_Grid[#Data],$DE870,58),0)</f>
        <v/>
      </c>
      <c r="BJ870">
        <f>IFERROR(INDEX(PP_Grid[#Data],$DE870,59),0)</f>
        <v/>
      </c>
      <c r="BK870">
        <f>IFERROR(INDEX(PP_Grid[#Data],$DE870,60),0)</f>
        <v/>
      </c>
      <c r="BL870">
        <f>IFERROR(INDEX(PP_Grid[#Data],$DE870,61),0)</f>
        <v/>
      </c>
      <c r="BM870">
        <f>IFERROR(INDEX(PP_Grid[#Data],$DE870,62),0)</f>
        <v/>
      </c>
      <c r="BN870">
        <f>IFERROR(INDEX(PP_Grid[#Data],$DE870,63),0)</f>
        <v/>
      </c>
      <c r="BO870">
        <f>IFERROR(INDEX(PP_Grid[#Data],$DE870,64),0)</f>
        <v/>
      </c>
      <c r="BP870">
        <f>IFERROR(INDEX(PP_Grid[#Data],$DE870,65),0)</f>
        <v/>
      </c>
      <c r="BQ870">
        <f>IFERROR(INDEX(PP_Grid[#Data],$DE870,66),0)</f>
        <v/>
      </c>
      <c r="BR870">
        <f>IFERROR(INDEX(PP_Grid[#Data],$DE870,67),0)</f>
        <v/>
      </c>
      <c r="BS870">
        <f>IFERROR(INDEX(PP_Grid[#Data],$DE870,68),0)</f>
        <v/>
      </c>
      <c r="BT870">
        <f>IFERROR(INDEX(PP_Grid[#Data],$DE870,69),0)</f>
        <v/>
      </c>
      <c r="BU870">
        <f>IFERROR(INDEX(PP_Grid[#Data],$DE870,70),0)</f>
        <v/>
      </c>
      <c r="BV870">
        <f>IFERROR(INDEX(PP_Grid[#Data],$DE870,71),0)</f>
        <v/>
      </c>
      <c r="BW870">
        <f>IFERROR(INDEX(PP_Grid[#Data],$DE870,72),0)</f>
        <v/>
      </c>
      <c r="BX870">
        <f>IFERROR(INDEX(PP_Grid[#Data],$DE870,73),0)</f>
        <v/>
      </c>
      <c r="BY870">
        <f>IFERROR(INDEX(PP_Grid[#Data],$DE870,74),0)</f>
        <v/>
      </c>
      <c r="BZ870">
        <f>IFERROR(INDEX(PP_Grid[#Data],$DE870,75),0)</f>
        <v/>
      </c>
      <c r="CA870">
        <f>IFERROR(INDEX(PP_Grid[#Data],$DE870,76),0)</f>
        <v/>
      </c>
      <c r="CB870">
        <f>IFERROR(INDEX(PP_Grid[#Data],$DE870,77),0)</f>
        <v/>
      </c>
      <c r="CC870">
        <f>IFERROR(INDEX(PP_Grid[#Data],$DE870,78),0)</f>
        <v/>
      </c>
      <c r="CD870">
        <f>IFERROR(INDEX(PP_Grid[#Data],$DE870,79),0)</f>
        <v/>
      </c>
      <c r="CE870">
        <f>IFERROR(INDEX(PP_Grid[#Data],$DE870,80),0)</f>
        <v/>
      </c>
      <c r="CF870">
        <f>IFERROR(INDEX(PP_Grid[#Data],$DE870,81),0)</f>
        <v/>
      </c>
      <c r="CG870">
        <f>IFERROR(INDEX(PP_Grid[#Data],$DE870,82),0)</f>
        <v/>
      </c>
      <c r="CH870">
        <f>IFERROR(INDEX(PP_Grid[#Data],$DE870,83),0)</f>
        <v/>
      </c>
      <c r="CI870">
        <f>IFERROR(INDEX(PP_Grid[#Data],$DE870,84),0)</f>
        <v/>
      </c>
      <c r="CJ870">
        <f>IFERROR(INDEX(PP_Grid[#Data],$DE870,85),0)</f>
        <v/>
      </c>
      <c r="CK870">
        <f>IFERROR(INDEX(PP_Grid[#Data],$DE870,86),0)</f>
        <v/>
      </c>
      <c r="CL870">
        <f>IFERROR(INDEX(PP_Grid[#Data],$DE870,87),0)</f>
        <v/>
      </c>
      <c r="CM870">
        <f>IFERROR(INDEX(PP_Grid[#Data],$DE870,88),0)</f>
        <v/>
      </c>
      <c r="CN870">
        <f>IFERROR(INDEX(PP_Grid[#Data],$DE870,89),0)</f>
        <v/>
      </c>
      <c r="CO870">
        <f>IFERROR(INDEX(PP_Grid[#Data],$DE870,90),0)</f>
        <v/>
      </c>
      <c r="CP870">
        <f>IFERROR(INDEX(PP_Grid[#Data],$DE870,91),0)</f>
        <v/>
      </c>
      <c r="CQ870">
        <f>IFERROR(INDEX(PP_Grid[#Data],$DE870,92),0)</f>
        <v/>
      </c>
      <c r="CR870">
        <f>IFERROR(INDEX(PP_Grid[#Data],$DE870,93),0)</f>
        <v/>
      </c>
      <c r="CS870">
        <f>IFERROR(INDEX(PP_Grid[#Data],$DE870,94),0)</f>
        <v/>
      </c>
      <c r="CT870">
        <f>IFERROR(INDEX(PP_Grid[#Data],$DE870,95),0)</f>
        <v/>
      </c>
      <c r="CU870">
        <f>IFERROR(INDEX(PP_Grid[#Data],$DE870,96),0)</f>
        <v/>
      </c>
      <c r="CV870">
        <f>IFERROR(INDEX(PP_Grid[#Data],$DE870,97),0)</f>
        <v/>
      </c>
      <c r="CW870">
        <f>IFERROR(INDEX(PP_Grid[#Data],$DE870,98),0)</f>
        <v/>
      </c>
      <c r="CX870">
        <f>IFERROR(INDEX(PP_Grid[#Data],$DE870,99),0)</f>
        <v/>
      </c>
      <c r="CY870">
        <f>IFERROR(INDEX(PP_Grid[#Data],$DE870,100),0)</f>
        <v/>
      </c>
      <c r="CZ870">
        <f>IFERROR(INDEX(PP_Grid[#Data],$DE870,101),0)</f>
        <v/>
      </c>
      <c r="DA870">
        <f>IFERROR(INDEX(PP_Grid[#Data],$DE870,102),0)</f>
        <v/>
      </c>
      <c r="DB870">
        <f>IFERROR(INDEX(PP_Grid[#Data],$DE870,103),0)</f>
        <v/>
      </c>
      <c r="DC870">
        <f>IFERROR(INDEX(PP_Grid[#Data],$DE870,104),0)</f>
        <v/>
      </c>
      <c r="DD870">
        <f>IFERROR(INDEX(PP_Grid[#Data],$DE870,105),0)</f>
        <v/>
      </c>
      <c r="DE870" s="7">
        <f>IFERROR(MATCH($B870,PP_Grid[Intermediate],0),99999)</f>
        <v/>
      </c>
    </row>
    <row r="871">
      <c r="B871" t="inlineStr">
        <is>
          <t>使用量(kg)</t>
        </is>
      </c>
      <c r="C871">
        <f>SUMIFS(M_BOM[RM_Qty_Per_Batch],M_BOM[Intermediate],$B870,M_BOM[RM_Code],$A849)</f>
        <v/>
      </c>
      <c r="D871">
        <f>IFERROR(INDEX(E871:DD871,$F$1),"")</f>
        <v/>
      </c>
      <c r="E871">
        <f>$C871*E870</f>
        <v/>
      </c>
      <c r="F871">
        <f>$C871*F870</f>
        <v/>
      </c>
      <c r="G871">
        <f>$C871*G870</f>
        <v/>
      </c>
      <c r="H871">
        <f>$C871*H870</f>
        <v/>
      </c>
      <c r="I871">
        <f>$C871*I870</f>
        <v/>
      </c>
      <c r="J871">
        <f>$C871*J870</f>
        <v/>
      </c>
      <c r="K871">
        <f>$C871*K870</f>
        <v/>
      </c>
      <c r="L871">
        <f>$C871*L870</f>
        <v/>
      </c>
      <c r="M871">
        <f>$C871*M870</f>
        <v/>
      </c>
      <c r="N871">
        <f>$C871*N870</f>
        <v/>
      </c>
      <c r="O871">
        <f>$C871*O870</f>
        <v/>
      </c>
      <c r="P871">
        <f>$C871*P870</f>
        <v/>
      </c>
      <c r="Q871">
        <f>$C871*Q870</f>
        <v/>
      </c>
      <c r="R871">
        <f>$C871*R870</f>
        <v/>
      </c>
      <c r="S871">
        <f>$C871*S870</f>
        <v/>
      </c>
      <c r="T871">
        <f>$C871*T870</f>
        <v/>
      </c>
      <c r="U871">
        <f>$C871*U870</f>
        <v/>
      </c>
      <c r="V871">
        <f>$C871*V870</f>
        <v/>
      </c>
      <c r="W871">
        <f>$C871*W870</f>
        <v/>
      </c>
      <c r="X871">
        <f>$C871*X870</f>
        <v/>
      </c>
      <c r="Y871">
        <f>$C871*Y870</f>
        <v/>
      </c>
      <c r="Z871">
        <f>$C871*Z870</f>
        <v/>
      </c>
      <c r="AA871">
        <f>$C871*AA870</f>
        <v/>
      </c>
      <c r="AB871">
        <f>$C871*AB870</f>
        <v/>
      </c>
      <c r="AC871">
        <f>$C871*AC870</f>
        <v/>
      </c>
      <c r="AD871">
        <f>$C871*AD870</f>
        <v/>
      </c>
      <c r="AE871">
        <f>$C871*AE870</f>
        <v/>
      </c>
      <c r="AF871">
        <f>$C871*AF870</f>
        <v/>
      </c>
      <c r="AG871">
        <f>$C871*AG870</f>
        <v/>
      </c>
      <c r="AH871">
        <f>$C871*AH870</f>
        <v/>
      </c>
      <c r="AI871">
        <f>$C871*AI870</f>
        <v/>
      </c>
      <c r="AJ871">
        <f>$C871*AJ870</f>
        <v/>
      </c>
      <c r="AK871">
        <f>$C871*AK870</f>
        <v/>
      </c>
      <c r="AL871">
        <f>$C871*AL870</f>
        <v/>
      </c>
      <c r="AM871">
        <f>$C871*AM870</f>
        <v/>
      </c>
      <c r="AN871">
        <f>$C871*AN870</f>
        <v/>
      </c>
      <c r="AO871">
        <f>$C871*AO870</f>
        <v/>
      </c>
      <c r="AP871">
        <f>$C871*AP870</f>
        <v/>
      </c>
      <c r="AQ871">
        <f>$C871*AQ870</f>
        <v/>
      </c>
      <c r="AR871">
        <f>$C871*AR870</f>
        <v/>
      </c>
      <c r="AS871">
        <f>$C871*AS870</f>
        <v/>
      </c>
      <c r="AT871">
        <f>$C871*AT870</f>
        <v/>
      </c>
      <c r="AU871">
        <f>$C871*AU870</f>
        <v/>
      </c>
      <c r="AV871">
        <f>$C871*AV870</f>
        <v/>
      </c>
      <c r="AW871">
        <f>$C871*AW870</f>
        <v/>
      </c>
      <c r="AX871">
        <f>$C871*AX870</f>
        <v/>
      </c>
      <c r="AY871">
        <f>$C871*AY870</f>
        <v/>
      </c>
      <c r="AZ871">
        <f>$C871*AZ870</f>
        <v/>
      </c>
      <c r="BA871">
        <f>$C871*BA870</f>
        <v/>
      </c>
      <c r="BB871">
        <f>$C871*BB870</f>
        <v/>
      </c>
      <c r="BC871">
        <f>$C871*BC870</f>
        <v/>
      </c>
      <c r="BD871">
        <f>$C871*BD870</f>
        <v/>
      </c>
      <c r="BE871">
        <f>$C871*BE870</f>
        <v/>
      </c>
      <c r="BF871">
        <f>$C871*BF870</f>
        <v/>
      </c>
      <c r="BG871">
        <f>$C871*BG870</f>
        <v/>
      </c>
      <c r="BH871">
        <f>$C871*BH870</f>
        <v/>
      </c>
      <c r="BI871">
        <f>$C871*BI870</f>
        <v/>
      </c>
      <c r="BJ871">
        <f>$C871*BJ870</f>
        <v/>
      </c>
      <c r="BK871">
        <f>$C871*BK870</f>
        <v/>
      </c>
      <c r="BL871">
        <f>$C871*BL870</f>
        <v/>
      </c>
      <c r="BM871">
        <f>$C871*BM870</f>
        <v/>
      </c>
      <c r="BN871">
        <f>$C871*BN870</f>
        <v/>
      </c>
      <c r="BO871">
        <f>$C871*BO870</f>
        <v/>
      </c>
      <c r="BP871">
        <f>$C871*BP870</f>
        <v/>
      </c>
      <c r="BQ871">
        <f>$C871*BQ870</f>
        <v/>
      </c>
      <c r="BR871">
        <f>$C871*BR870</f>
        <v/>
      </c>
      <c r="BS871">
        <f>$C871*BS870</f>
        <v/>
      </c>
      <c r="BT871">
        <f>$C871*BT870</f>
        <v/>
      </c>
      <c r="BU871">
        <f>$C871*BU870</f>
        <v/>
      </c>
      <c r="BV871">
        <f>$C871*BV870</f>
        <v/>
      </c>
      <c r="BW871">
        <f>$C871*BW870</f>
        <v/>
      </c>
      <c r="BX871">
        <f>$C871*BX870</f>
        <v/>
      </c>
      <c r="BY871">
        <f>$C871*BY870</f>
        <v/>
      </c>
      <c r="BZ871">
        <f>$C871*BZ870</f>
        <v/>
      </c>
      <c r="CA871">
        <f>$C871*CA870</f>
        <v/>
      </c>
      <c r="CB871">
        <f>$C871*CB870</f>
        <v/>
      </c>
      <c r="CC871">
        <f>$C871*CC870</f>
        <v/>
      </c>
      <c r="CD871">
        <f>$C871*CD870</f>
        <v/>
      </c>
      <c r="CE871">
        <f>$C871*CE870</f>
        <v/>
      </c>
      <c r="CF871">
        <f>$C871*CF870</f>
        <v/>
      </c>
      <c r="CG871">
        <f>$C871*CG870</f>
        <v/>
      </c>
      <c r="CH871">
        <f>$C871*CH870</f>
        <v/>
      </c>
      <c r="CI871">
        <f>$C871*CI870</f>
        <v/>
      </c>
      <c r="CJ871">
        <f>$C871*CJ870</f>
        <v/>
      </c>
      <c r="CK871">
        <f>$C871*CK870</f>
        <v/>
      </c>
      <c r="CL871">
        <f>$C871*CL870</f>
        <v/>
      </c>
      <c r="CM871">
        <f>$C871*CM870</f>
        <v/>
      </c>
      <c r="CN871">
        <f>$C871*CN870</f>
        <v/>
      </c>
      <c r="CO871">
        <f>$C871*CO870</f>
        <v/>
      </c>
      <c r="CP871">
        <f>$C871*CP870</f>
        <v/>
      </c>
      <c r="CQ871">
        <f>$C871*CQ870</f>
        <v/>
      </c>
      <c r="CR871">
        <f>$C871*CR870</f>
        <v/>
      </c>
      <c r="CS871">
        <f>$C871*CS870</f>
        <v/>
      </c>
      <c r="CT871">
        <f>$C871*CT870</f>
        <v/>
      </c>
      <c r="CU871">
        <f>$C871*CU870</f>
        <v/>
      </c>
      <c r="CV871">
        <f>$C871*CV870</f>
        <v/>
      </c>
      <c r="CW871">
        <f>$C871*CW870</f>
        <v/>
      </c>
      <c r="CX871">
        <f>$C871*CX870</f>
        <v/>
      </c>
      <c r="CY871">
        <f>$C871*CY870</f>
        <v/>
      </c>
      <c r="CZ871">
        <f>$C871*CZ870</f>
        <v/>
      </c>
      <c r="DA871">
        <f>$C871*DA870</f>
        <v/>
      </c>
      <c r="DB871">
        <f>$C871*DB870</f>
        <v/>
      </c>
      <c r="DC871">
        <f>$C871*DC870</f>
        <v/>
      </c>
      <c r="DD871">
        <f>$C871*DD870</f>
        <v/>
      </c>
    </row>
    <row r="872">
      <c r="B872" t="inlineStr">
        <is>
          <t>VSP-738</t>
        </is>
      </c>
      <c r="C872" t="inlineStr">
        <is>
          <t>No. of batches</t>
        </is>
      </c>
      <c r="D872">
        <f>IFERROR(INDEX(E872:DD872,$F$1),"")</f>
        <v/>
      </c>
      <c r="E872">
        <f>IFERROR(INDEX(PP_Grid[#Data],$DE872,2),0)</f>
        <v/>
      </c>
      <c r="F872">
        <f>IFERROR(INDEX(PP_Grid[#Data],$DE872,3),0)</f>
        <v/>
      </c>
      <c r="G872">
        <f>IFERROR(INDEX(PP_Grid[#Data],$DE872,4),0)</f>
        <v/>
      </c>
      <c r="H872">
        <f>IFERROR(INDEX(PP_Grid[#Data],$DE872,5),0)</f>
        <v/>
      </c>
      <c r="I872">
        <f>IFERROR(INDEX(PP_Grid[#Data],$DE872,6),0)</f>
        <v/>
      </c>
      <c r="J872">
        <f>IFERROR(INDEX(PP_Grid[#Data],$DE872,7),0)</f>
        <v/>
      </c>
      <c r="K872">
        <f>IFERROR(INDEX(PP_Grid[#Data],$DE872,8),0)</f>
        <v/>
      </c>
      <c r="L872">
        <f>IFERROR(INDEX(PP_Grid[#Data],$DE872,9),0)</f>
        <v/>
      </c>
      <c r="M872">
        <f>IFERROR(INDEX(PP_Grid[#Data],$DE872,10),0)</f>
        <v/>
      </c>
      <c r="N872">
        <f>IFERROR(INDEX(PP_Grid[#Data],$DE872,11),0)</f>
        <v/>
      </c>
      <c r="O872">
        <f>IFERROR(INDEX(PP_Grid[#Data],$DE872,12),0)</f>
        <v/>
      </c>
      <c r="P872">
        <f>IFERROR(INDEX(PP_Grid[#Data],$DE872,13),0)</f>
        <v/>
      </c>
      <c r="Q872">
        <f>IFERROR(INDEX(PP_Grid[#Data],$DE872,14),0)</f>
        <v/>
      </c>
      <c r="R872">
        <f>IFERROR(INDEX(PP_Grid[#Data],$DE872,15),0)</f>
        <v/>
      </c>
      <c r="S872">
        <f>IFERROR(INDEX(PP_Grid[#Data],$DE872,16),0)</f>
        <v/>
      </c>
      <c r="T872">
        <f>IFERROR(INDEX(PP_Grid[#Data],$DE872,17),0)</f>
        <v/>
      </c>
      <c r="U872">
        <f>IFERROR(INDEX(PP_Grid[#Data],$DE872,18),0)</f>
        <v/>
      </c>
      <c r="V872">
        <f>IFERROR(INDEX(PP_Grid[#Data],$DE872,19),0)</f>
        <v/>
      </c>
      <c r="W872">
        <f>IFERROR(INDEX(PP_Grid[#Data],$DE872,20),0)</f>
        <v/>
      </c>
      <c r="X872">
        <f>IFERROR(INDEX(PP_Grid[#Data],$DE872,21),0)</f>
        <v/>
      </c>
      <c r="Y872">
        <f>IFERROR(INDEX(PP_Grid[#Data],$DE872,22),0)</f>
        <v/>
      </c>
      <c r="Z872">
        <f>IFERROR(INDEX(PP_Grid[#Data],$DE872,23),0)</f>
        <v/>
      </c>
      <c r="AA872">
        <f>IFERROR(INDEX(PP_Grid[#Data],$DE872,24),0)</f>
        <v/>
      </c>
      <c r="AB872">
        <f>IFERROR(INDEX(PP_Grid[#Data],$DE872,25),0)</f>
        <v/>
      </c>
      <c r="AC872">
        <f>IFERROR(INDEX(PP_Grid[#Data],$DE872,26),0)</f>
        <v/>
      </c>
      <c r="AD872">
        <f>IFERROR(INDEX(PP_Grid[#Data],$DE872,27),0)</f>
        <v/>
      </c>
      <c r="AE872">
        <f>IFERROR(INDEX(PP_Grid[#Data],$DE872,28),0)</f>
        <v/>
      </c>
      <c r="AF872">
        <f>IFERROR(INDEX(PP_Grid[#Data],$DE872,29),0)</f>
        <v/>
      </c>
      <c r="AG872">
        <f>IFERROR(INDEX(PP_Grid[#Data],$DE872,30),0)</f>
        <v/>
      </c>
      <c r="AH872">
        <f>IFERROR(INDEX(PP_Grid[#Data],$DE872,31),0)</f>
        <v/>
      </c>
      <c r="AI872">
        <f>IFERROR(INDEX(PP_Grid[#Data],$DE872,32),0)</f>
        <v/>
      </c>
      <c r="AJ872">
        <f>IFERROR(INDEX(PP_Grid[#Data],$DE872,33),0)</f>
        <v/>
      </c>
      <c r="AK872">
        <f>IFERROR(INDEX(PP_Grid[#Data],$DE872,34),0)</f>
        <v/>
      </c>
      <c r="AL872">
        <f>IFERROR(INDEX(PP_Grid[#Data],$DE872,35),0)</f>
        <v/>
      </c>
      <c r="AM872">
        <f>IFERROR(INDEX(PP_Grid[#Data],$DE872,36),0)</f>
        <v/>
      </c>
      <c r="AN872">
        <f>IFERROR(INDEX(PP_Grid[#Data],$DE872,37),0)</f>
        <v/>
      </c>
      <c r="AO872">
        <f>IFERROR(INDEX(PP_Grid[#Data],$DE872,38),0)</f>
        <v/>
      </c>
      <c r="AP872">
        <f>IFERROR(INDEX(PP_Grid[#Data],$DE872,39),0)</f>
        <v/>
      </c>
      <c r="AQ872">
        <f>IFERROR(INDEX(PP_Grid[#Data],$DE872,40),0)</f>
        <v/>
      </c>
      <c r="AR872">
        <f>IFERROR(INDEX(PP_Grid[#Data],$DE872,41),0)</f>
        <v/>
      </c>
      <c r="AS872">
        <f>IFERROR(INDEX(PP_Grid[#Data],$DE872,42),0)</f>
        <v/>
      </c>
      <c r="AT872">
        <f>IFERROR(INDEX(PP_Grid[#Data],$DE872,43),0)</f>
        <v/>
      </c>
      <c r="AU872">
        <f>IFERROR(INDEX(PP_Grid[#Data],$DE872,44),0)</f>
        <v/>
      </c>
      <c r="AV872">
        <f>IFERROR(INDEX(PP_Grid[#Data],$DE872,45),0)</f>
        <v/>
      </c>
      <c r="AW872">
        <f>IFERROR(INDEX(PP_Grid[#Data],$DE872,46),0)</f>
        <v/>
      </c>
      <c r="AX872">
        <f>IFERROR(INDEX(PP_Grid[#Data],$DE872,47),0)</f>
        <v/>
      </c>
      <c r="AY872">
        <f>IFERROR(INDEX(PP_Grid[#Data],$DE872,48),0)</f>
        <v/>
      </c>
      <c r="AZ872">
        <f>IFERROR(INDEX(PP_Grid[#Data],$DE872,49),0)</f>
        <v/>
      </c>
      <c r="BA872">
        <f>IFERROR(INDEX(PP_Grid[#Data],$DE872,50),0)</f>
        <v/>
      </c>
      <c r="BB872">
        <f>IFERROR(INDEX(PP_Grid[#Data],$DE872,51),0)</f>
        <v/>
      </c>
      <c r="BC872">
        <f>IFERROR(INDEX(PP_Grid[#Data],$DE872,52),0)</f>
        <v/>
      </c>
      <c r="BD872">
        <f>IFERROR(INDEX(PP_Grid[#Data],$DE872,53),0)</f>
        <v/>
      </c>
      <c r="BE872">
        <f>IFERROR(INDEX(PP_Grid[#Data],$DE872,54),0)</f>
        <v/>
      </c>
      <c r="BF872">
        <f>IFERROR(INDEX(PP_Grid[#Data],$DE872,55),0)</f>
        <v/>
      </c>
      <c r="BG872">
        <f>IFERROR(INDEX(PP_Grid[#Data],$DE872,56),0)</f>
        <v/>
      </c>
      <c r="BH872">
        <f>IFERROR(INDEX(PP_Grid[#Data],$DE872,57),0)</f>
        <v/>
      </c>
      <c r="BI872">
        <f>IFERROR(INDEX(PP_Grid[#Data],$DE872,58),0)</f>
        <v/>
      </c>
      <c r="BJ872">
        <f>IFERROR(INDEX(PP_Grid[#Data],$DE872,59),0)</f>
        <v/>
      </c>
      <c r="BK872">
        <f>IFERROR(INDEX(PP_Grid[#Data],$DE872,60),0)</f>
        <v/>
      </c>
      <c r="BL872">
        <f>IFERROR(INDEX(PP_Grid[#Data],$DE872,61),0)</f>
        <v/>
      </c>
      <c r="BM872">
        <f>IFERROR(INDEX(PP_Grid[#Data],$DE872,62),0)</f>
        <v/>
      </c>
      <c r="BN872">
        <f>IFERROR(INDEX(PP_Grid[#Data],$DE872,63),0)</f>
        <v/>
      </c>
      <c r="BO872">
        <f>IFERROR(INDEX(PP_Grid[#Data],$DE872,64),0)</f>
        <v/>
      </c>
      <c r="BP872">
        <f>IFERROR(INDEX(PP_Grid[#Data],$DE872,65),0)</f>
        <v/>
      </c>
      <c r="BQ872">
        <f>IFERROR(INDEX(PP_Grid[#Data],$DE872,66),0)</f>
        <v/>
      </c>
      <c r="BR872">
        <f>IFERROR(INDEX(PP_Grid[#Data],$DE872,67),0)</f>
        <v/>
      </c>
      <c r="BS872">
        <f>IFERROR(INDEX(PP_Grid[#Data],$DE872,68),0)</f>
        <v/>
      </c>
      <c r="BT872">
        <f>IFERROR(INDEX(PP_Grid[#Data],$DE872,69),0)</f>
        <v/>
      </c>
      <c r="BU872">
        <f>IFERROR(INDEX(PP_Grid[#Data],$DE872,70),0)</f>
        <v/>
      </c>
      <c r="BV872">
        <f>IFERROR(INDEX(PP_Grid[#Data],$DE872,71),0)</f>
        <v/>
      </c>
      <c r="BW872">
        <f>IFERROR(INDEX(PP_Grid[#Data],$DE872,72),0)</f>
        <v/>
      </c>
      <c r="BX872">
        <f>IFERROR(INDEX(PP_Grid[#Data],$DE872,73),0)</f>
        <v/>
      </c>
      <c r="BY872">
        <f>IFERROR(INDEX(PP_Grid[#Data],$DE872,74),0)</f>
        <v/>
      </c>
      <c r="BZ872">
        <f>IFERROR(INDEX(PP_Grid[#Data],$DE872,75),0)</f>
        <v/>
      </c>
      <c r="CA872">
        <f>IFERROR(INDEX(PP_Grid[#Data],$DE872,76),0)</f>
        <v/>
      </c>
      <c r="CB872">
        <f>IFERROR(INDEX(PP_Grid[#Data],$DE872,77),0)</f>
        <v/>
      </c>
      <c r="CC872">
        <f>IFERROR(INDEX(PP_Grid[#Data],$DE872,78),0)</f>
        <v/>
      </c>
      <c r="CD872">
        <f>IFERROR(INDEX(PP_Grid[#Data],$DE872,79),0)</f>
        <v/>
      </c>
      <c r="CE872">
        <f>IFERROR(INDEX(PP_Grid[#Data],$DE872,80),0)</f>
        <v/>
      </c>
      <c r="CF872">
        <f>IFERROR(INDEX(PP_Grid[#Data],$DE872,81),0)</f>
        <v/>
      </c>
      <c r="CG872">
        <f>IFERROR(INDEX(PP_Grid[#Data],$DE872,82),0)</f>
        <v/>
      </c>
      <c r="CH872">
        <f>IFERROR(INDEX(PP_Grid[#Data],$DE872,83),0)</f>
        <v/>
      </c>
      <c r="CI872">
        <f>IFERROR(INDEX(PP_Grid[#Data],$DE872,84),0)</f>
        <v/>
      </c>
      <c r="CJ872">
        <f>IFERROR(INDEX(PP_Grid[#Data],$DE872,85),0)</f>
        <v/>
      </c>
      <c r="CK872">
        <f>IFERROR(INDEX(PP_Grid[#Data],$DE872,86),0)</f>
        <v/>
      </c>
      <c r="CL872">
        <f>IFERROR(INDEX(PP_Grid[#Data],$DE872,87),0)</f>
        <v/>
      </c>
      <c r="CM872">
        <f>IFERROR(INDEX(PP_Grid[#Data],$DE872,88),0)</f>
        <v/>
      </c>
      <c r="CN872">
        <f>IFERROR(INDEX(PP_Grid[#Data],$DE872,89),0)</f>
        <v/>
      </c>
      <c r="CO872">
        <f>IFERROR(INDEX(PP_Grid[#Data],$DE872,90),0)</f>
        <v/>
      </c>
      <c r="CP872">
        <f>IFERROR(INDEX(PP_Grid[#Data],$DE872,91),0)</f>
        <v/>
      </c>
      <c r="CQ872">
        <f>IFERROR(INDEX(PP_Grid[#Data],$DE872,92),0)</f>
        <v/>
      </c>
      <c r="CR872">
        <f>IFERROR(INDEX(PP_Grid[#Data],$DE872,93),0)</f>
        <v/>
      </c>
      <c r="CS872">
        <f>IFERROR(INDEX(PP_Grid[#Data],$DE872,94),0)</f>
        <v/>
      </c>
      <c r="CT872">
        <f>IFERROR(INDEX(PP_Grid[#Data],$DE872,95),0)</f>
        <v/>
      </c>
      <c r="CU872">
        <f>IFERROR(INDEX(PP_Grid[#Data],$DE872,96),0)</f>
        <v/>
      </c>
      <c r="CV872">
        <f>IFERROR(INDEX(PP_Grid[#Data],$DE872,97),0)</f>
        <v/>
      </c>
      <c r="CW872">
        <f>IFERROR(INDEX(PP_Grid[#Data],$DE872,98),0)</f>
        <v/>
      </c>
      <c r="CX872">
        <f>IFERROR(INDEX(PP_Grid[#Data],$DE872,99),0)</f>
        <v/>
      </c>
      <c r="CY872">
        <f>IFERROR(INDEX(PP_Grid[#Data],$DE872,100),0)</f>
        <v/>
      </c>
      <c r="CZ872">
        <f>IFERROR(INDEX(PP_Grid[#Data],$DE872,101),0)</f>
        <v/>
      </c>
      <c r="DA872">
        <f>IFERROR(INDEX(PP_Grid[#Data],$DE872,102),0)</f>
        <v/>
      </c>
      <c r="DB872">
        <f>IFERROR(INDEX(PP_Grid[#Data],$DE872,103),0)</f>
        <v/>
      </c>
      <c r="DC872">
        <f>IFERROR(INDEX(PP_Grid[#Data],$DE872,104),0)</f>
        <v/>
      </c>
      <c r="DD872">
        <f>IFERROR(INDEX(PP_Grid[#Data],$DE872,105),0)</f>
        <v/>
      </c>
      <c r="DE872" s="7">
        <f>IFERROR(MATCH($B872,PP_Grid[Intermediate],0),99999)</f>
        <v/>
      </c>
    </row>
    <row r="873">
      <c r="B873" t="inlineStr">
        <is>
          <t>使用量(kg)</t>
        </is>
      </c>
      <c r="C873">
        <f>SUMIFS(M_BOM[RM_Qty_Per_Batch],M_BOM[Intermediate],$B872,M_BOM[RM_Code],$A849)</f>
        <v/>
      </c>
      <c r="D873">
        <f>IFERROR(INDEX(E873:DD873,$F$1),"")</f>
        <v/>
      </c>
      <c r="E873">
        <f>$C873*E872</f>
        <v/>
      </c>
      <c r="F873">
        <f>$C873*F872</f>
        <v/>
      </c>
      <c r="G873">
        <f>$C873*G872</f>
        <v/>
      </c>
      <c r="H873">
        <f>$C873*H872</f>
        <v/>
      </c>
      <c r="I873">
        <f>$C873*I872</f>
        <v/>
      </c>
      <c r="J873">
        <f>$C873*J872</f>
        <v/>
      </c>
      <c r="K873">
        <f>$C873*K872</f>
        <v/>
      </c>
      <c r="L873">
        <f>$C873*L872</f>
        <v/>
      </c>
      <c r="M873">
        <f>$C873*M872</f>
        <v/>
      </c>
      <c r="N873">
        <f>$C873*N872</f>
        <v/>
      </c>
      <c r="O873">
        <f>$C873*O872</f>
        <v/>
      </c>
      <c r="P873">
        <f>$C873*P872</f>
        <v/>
      </c>
      <c r="Q873">
        <f>$C873*Q872</f>
        <v/>
      </c>
      <c r="R873">
        <f>$C873*R872</f>
        <v/>
      </c>
      <c r="S873">
        <f>$C873*S872</f>
        <v/>
      </c>
      <c r="T873">
        <f>$C873*T872</f>
        <v/>
      </c>
      <c r="U873">
        <f>$C873*U872</f>
        <v/>
      </c>
      <c r="V873">
        <f>$C873*V872</f>
        <v/>
      </c>
      <c r="W873">
        <f>$C873*W872</f>
        <v/>
      </c>
      <c r="X873">
        <f>$C873*X872</f>
        <v/>
      </c>
      <c r="Y873">
        <f>$C873*Y872</f>
        <v/>
      </c>
      <c r="Z873">
        <f>$C873*Z872</f>
        <v/>
      </c>
      <c r="AA873">
        <f>$C873*AA872</f>
        <v/>
      </c>
      <c r="AB873">
        <f>$C873*AB872</f>
        <v/>
      </c>
      <c r="AC873">
        <f>$C873*AC872</f>
        <v/>
      </c>
      <c r="AD873">
        <f>$C873*AD872</f>
        <v/>
      </c>
      <c r="AE873">
        <f>$C873*AE872</f>
        <v/>
      </c>
      <c r="AF873">
        <f>$C873*AF872</f>
        <v/>
      </c>
      <c r="AG873">
        <f>$C873*AG872</f>
        <v/>
      </c>
      <c r="AH873">
        <f>$C873*AH872</f>
        <v/>
      </c>
      <c r="AI873">
        <f>$C873*AI872</f>
        <v/>
      </c>
      <c r="AJ873">
        <f>$C873*AJ872</f>
        <v/>
      </c>
      <c r="AK873">
        <f>$C873*AK872</f>
        <v/>
      </c>
      <c r="AL873">
        <f>$C873*AL872</f>
        <v/>
      </c>
      <c r="AM873">
        <f>$C873*AM872</f>
        <v/>
      </c>
      <c r="AN873">
        <f>$C873*AN872</f>
        <v/>
      </c>
      <c r="AO873">
        <f>$C873*AO872</f>
        <v/>
      </c>
      <c r="AP873">
        <f>$C873*AP872</f>
        <v/>
      </c>
      <c r="AQ873">
        <f>$C873*AQ872</f>
        <v/>
      </c>
      <c r="AR873">
        <f>$C873*AR872</f>
        <v/>
      </c>
      <c r="AS873">
        <f>$C873*AS872</f>
        <v/>
      </c>
      <c r="AT873">
        <f>$C873*AT872</f>
        <v/>
      </c>
      <c r="AU873">
        <f>$C873*AU872</f>
        <v/>
      </c>
      <c r="AV873">
        <f>$C873*AV872</f>
        <v/>
      </c>
      <c r="AW873">
        <f>$C873*AW872</f>
        <v/>
      </c>
      <c r="AX873">
        <f>$C873*AX872</f>
        <v/>
      </c>
      <c r="AY873">
        <f>$C873*AY872</f>
        <v/>
      </c>
      <c r="AZ873">
        <f>$C873*AZ872</f>
        <v/>
      </c>
      <c r="BA873">
        <f>$C873*BA872</f>
        <v/>
      </c>
      <c r="BB873">
        <f>$C873*BB872</f>
        <v/>
      </c>
      <c r="BC873">
        <f>$C873*BC872</f>
        <v/>
      </c>
      <c r="BD873">
        <f>$C873*BD872</f>
        <v/>
      </c>
      <c r="BE873">
        <f>$C873*BE872</f>
        <v/>
      </c>
      <c r="BF873">
        <f>$C873*BF872</f>
        <v/>
      </c>
      <c r="BG873">
        <f>$C873*BG872</f>
        <v/>
      </c>
      <c r="BH873">
        <f>$C873*BH872</f>
        <v/>
      </c>
      <c r="BI873">
        <f>$C873*BI872</f>
        <v/>
      </c>
      <c r="BJ873">
        <f>$C873*BJ872</f>
        <v/>
      </c>
      <c r="BK873">
        <f>$C873*BK872</f>
        <v/>
      </c>
      <c r="BL873">
        <f>$C873*BL872</f>
        <v/>
      </c>
      <c r="BM873">
        <f>$C873*BM872</f>
        <v/>
      </c>
      <c r="BN873">
        <f>$C873*BN872</f>
        <v/>
      </c>
      <c r="BO873">
        <f>$C873*BO872</f>
        <v/>
      </c>
      <c r="BP873">
        <f>$C873*BP872</f>
        <v/>
      </c>
      <c r="BQ873">
        <f>$C873*BQ872</f>
        <v/>
      </c>
      <c r="BR873">
        <f>$C873*BR872</f>
        <v/>
      </c>
      <c r="BS873">
        <f>$C873*BS872</f>
        <v/>
      </c>
      <c r="BT873">
        <f>$C873*BT872</f>
        <v/>
      </c>
      <c r="BU873">
        <f>$C873*BU872</f>
        <v/>
      </c>
      <c r="BV873">
        <f>$C873*BV872</f>
        <v/>
      </c>
      <c r="BW873">
        <f>$C873*BW872</f>
        <v/>
      </c>
      <c r="BX873">
        <f>$C873*BX872</f>
        <v/>
      </c>
      <c r="BY873">
        <f>$C873*BY872</f>
        <v/>
      </c>
      <c r="BZ873">
        <f>$C873*BZ872</f>
        <v/>
      </c>
      <c r="CA873">
        <f>$C873*CA872</f>
        <v/>
      </c>
      <c r="CB873">
        <f>$C873*CB872</f>
        <v/>
      </c>
      <c r="CC873">
        <f>$C873*CC872</f>
        <v/>
      </c>
      <c r="CD873">
        <f>$C873*CD872</f>
        <v/>
      </c>
      <c r="CE873">
        <f>$C873*CE872</f>
        <v/>
      </c>
      <c r="CF873">
        <f>$C873*CF872</f>
        <v/>
      </c>
      <c r="CG873">
        <f>$C873*CG872</f>
        <v/>
      </c>
      <c r="CH873">
        <f>$C873*CH872</f>
        <v/>
      </c>
      <c r="CI873">
        <f>$C873*CI872</f>
        <v/>
      </c>
      <c r="CJ873">
        <f>$C873*CJ872</f>
        <v/>
      </c>
      <c r="CK873">
        <f>$C873*CK872</f>
        <v/>
      </c>
      <c r="CL873">
        <f>$C873*CL872</f>
        <v/>
      </c>
      <c r="CM873">
        <f>$C873*CM872</f>
        <v/>
      </c>
      <c r="CN873">
        <f>$C873*CN872</f>
        <v/>
      </c>
      <c r="CO873">
        <f>$C873*CO872</f>
        <v/>
      </c>
      <c r="CP873">
        <f>$C873*CP872</f>
        <v/>
      </c>
      <c r="CQ873">
        <f>$C873*CQ872</f>
        <v/>
      </c>
      <c r="CR873">
        <f>$C873*CR872</f>
        <v/>
      </c>
      <c r="CS873">
        <f>$C873*CS872</f>
        <v/>
      </c>
      <c r="CT873">
        <f>$C873*CT872</f>
        <v/>
      </c>
      <c r="CU873">
        <f>$C873*CU872</f>
        <v/>
      </c>
      <c r="CV873">
        <f>$C873*CV872</f>
        <v/>
      </c>
      <c r="CW873">
        <f>$C873*CW872</f>
        <v/>
      </c>
      <c r="CX873">
        <f>$C873*CX872</f>
        <v/>
      </c>
      <c r="CY873">
        <f>$C873*CY872</f>
        <v/>
      </c>
      <c r="CZ873">
        <f>$C873*CZ872</f>
        <v/>
      </c>
      <c r="DA873">
        <f>$C873*DA872</f>
        <v/>
      </c>
      <c r="DB873">
        <f>$C873*DB872</f>
        <v/>
      </c>
      <c r="DC873">
        <f>$C873*DC872</f>
        <v/>
      </c>
      <c r="DD873">
        <f>$C873*DD872</f>
        <v/>
      </c>
    </row>
    <row r="874">
      <c r="B874" t="inlineStr">
        <is>
          <t>VSP-739</t>
        </is>
      </c>
      <c r="C874" t="inlineStr">
        <is>
          <t>No. of batches</t>
        </is>
      </c>
      <c r="D874">
        <f>IFERROR(INDEX(E874:DD874,$F$1),"")</f>
        <v/>
      </c>
      <c r="E874">
        <f>IFERROR(INDEX(PP_Grid[#Data],$DE874,2),0)</f>
        <v/>
      </c>
      <c r="F874">
        <f>IFERROR(INDEX(PP_Grid[#Data],$DE874,3),0)</f>
        <v/>
      </c>
      <c r="G874">
        <f>IFERROR(INDEX(PP_Grid[#Data],$DE874,4),0)</f>
        <v/>
      </c>
      <c r="H874">
        <f>IFERROR(INDEX(PP_Grid[#Data],$DE874,5),0)</f>
        <v/>
      </c>
      <c r="I874">
        <f>IFERROR(INDEX(PP_Grid[#Data],$DE874,6),0)</f>
        <v/>
      </c>
      <c r="J874">
        <f>IFERROR(INDEX(PP_Grid[#Data],$DE874,7),0)</f>
        <v/>
      </c>
      <c r="K874">
        <f>IFERROR(INDEX(PP_Grid[#Data],$DE874,8),0)</f>
        <v/>
      </c>
      <c r="L874">
        <f>IFERROR(INDEX(PP_Grid[#Data],$DE874,9),0)</f>
        <v/>
      </c>
      <c r="M874">
        <f>IFERROR(INDEX(PP_Grid[#Data],$DE874,10),0)</f>
        <v/>
      </c>
      <c r="N874">
        <f>IFERROR(INDEX(PP_Grid[#Data],$DE874,11),0)</f>
        <v/>
      </c>
      <c r="O874">
        <f>IFERROR(INDEX(PP_Grid[#Data],$DE874,12),0)</f>
        <v/>
      </c>
      <c r="P874">
        <f>IFERROR(INDEX(PP_Grid[#Data],$DE874,13),0)</f>
        <v/>
      </c>
      <c r="Q874">
        <f>IFERROR(INDEX(PP_Grid[#Data],$DE874,14),0)</f>
        <v/>
      </c>
      <c r="R874">
        <f>IFERROR(INDEX(PP_Grid[#Data],$DE874,15),0)</f>
        <v/>
      </c>
      <c r="S874">
        <f>IFERROR(INDEX(PP_Grid[#Data],$DE874,16),0)</f>
        <v/>
      </c>
      <c r="T874">
        <f>IFERROR(INDEX(PP_Grid[#Data],$DE874,17),0)</f>
        <v/>
      </c>
      <c r="U874">
        <f>IFERROR(INDEX(PP_Grid[#Data],$DE874,18),0)</f>
        <v/>
      </c>
      <c r="V874">
        <f>IFERROR(INDEX(PP_Grid[#Data],$DE874,19),0)</f>
        <v/>
      </c>
      <c r="W874">
        <f>IFERROR(INDEX(PP_Grid[#Data],$DE874,20),0)</f>
        <v/>
      </c>
      <c r="X874">
        <f>IFERROR(INDEX(PP_Grid[#Data],$DE874,21),0)</f>
        <v/>
      </c>
      <c r="Y874">
        <f>IFERROR(INDEX(PP_Grid[#Data],$DE874,22),0)</f>
        <v/>
      </c>
      <c r="Z874">
        <f>IFERROR(INDEX(PP_Grid[#Data],$DE874,23),0)</f>
        <v/>
      </c>
      <c r="AA874">
        <f>IFERROR(INDEX(PP_Grid[#Data],$DE874,24),0)</f>
        <v/>
      </c>
      <c r="AB874">
        <f>IFERROR(INDEX(PP_Grid[#Data],$DE874,25),0)</f>
        <v/>
      </c>
      <c r="AC874">
        <f>IFERROR(INDEX(PP_Grid[#Data],$DE874,26),0)</f>
        <v/>
      </c>
      <c r="AD874">
        <f>IFERROR(INDEX(PP_Grid[#Data],$DE874,27),0)</f>
        <v/>
      </c>
      <c r="AE874">
        <f>IFERROR(INDEX(PP_Grid[#Data],$DE874,28),0)</f>
        <v/>
      </c>
      <c r="AF874">
        <f>IFERROR(INDEX(PP_Grid[#Data],$DE874,29),0)</f>
        <v/>
      </c>
      <c r="AG874">
        <f>IFERROR(INDEX(PP_Grid[#Data],$DE874,30),0)</f>
        <v/>
      </c>
      <c r="AH874">
        <f>IFERROR(INDEX(PP_Grid[#Data],$DE874,31),0)</f>
        <v/>
      </c>
      <c r="AI874">
        <f>IFERROR(INDEX(PP_Grid[#Data],$DE874,32),0)</f>
        <v/>
      </c>
      <c r="AJ874">
        <f>IFERROR(INDEX(PP_Grid[#Data],$DE874,33),0)</f>
        <v/>
      </c>
      <c r="AK874">
        <f>IFERROR(INDEX(PP_Grid[#Data],$DE874,34),0)</f>
        <v/>
      </c>
      <c r="AL874">
        <f>IFERROR(INDEX(PP_Grid[#Data],$DE874,35),0)</f>
        <v/>
      </c>
      <c r="AM874">
        <f>IFERROR(INDEX(PP_Grid[#Data],$DE874,36),0)</f>
        <v/>
      </c>
      <c r="AN874">
        <f>IFERROR(INDEX(PP_Grid[#Data],$DE874,37),0)</f>
        <v/>
      </c>
      <c r="AO874">
        <f>IFERROR(INDEX(PP_Grid[#Data],$DE874,38),0)</f>
        <v/>
      </c>
      <c r="AP874">
        <f>IFERROR(INDEX(PP_Grid[#Data],$DE874,39),0)</f>
        <v/>
      </c>
      <c r="AQ874">
        <f>IFERROR(INDEX(PP_Grid[#Data],$DE874,40),0)</f>
        <v/>
      </c>
      <c r="AR874">
        <f>IFERROR(INDEX(PP_Grid[#Data],$DE874,41),0)</f>
        <v/>
      </c>
      <c r="AS874">
        <f>IFERROR(INDEX(PP_Grid[#Data],$DE874,42),0)</f>
        <v/>
      </c>
      <c r="AT874">
        <f>IFERROR(INDEX(PP_Grid[#Data],$DE874,43),0)</f>
        <v/>
      </c>
      <c r="AU874">
        <f>IFERROR(INDEX(PP_Grid[#Data],$DE874,44),0)</f>
        <v/>
      </c>
      <c r="AV874">
        <f>IFERROR(INDEX(PP_Grid[#Data],$DE874,45),0)</f>
        <v/>
      </c>
      <c r="AW874">
        <f>IFERROR(INDEX(PP_Grid[#Data],$DE874,46),0)</f>
        <v/>
      </c>
      <c r="AX874">
        <f>IFERROR(INDEX(PP_Grid[#Data],$DE874,47),0)</f>
        <v/>
      </c>
      <c r="AY874">
        <f>IFERROR(INDEX(PP_Grid[#Data],$DE874,48),0)</f>
        <v/>
      </c>
      <c r="AZ874">
        <f>IFERROR(INDEX(PP_Grid[#Data],$DE874,49),0)</f>
        <v/>
      </c>
      <c r="BA874">
        <f>IFERROR(INDEX(PP_Grid[#Data],$DE874,50),0)</f>
        <v/>
      </c>
      <c r="BB874">
        <f>IFERROR(INDEX(PP_Grid[#Data],$DE874,51),0)</f>
        <v/>
      </c>
      <c r="BC874">
        <f>IFERROR(INDEX(PP_Grid[#Data],$DE874,52),0)</f>
        <v/>
      </c>
      <c r="BD874">
        <f>IFERROR(INDEX(PP_Grid[#Data],$DE874,53),0)</f>
        <v/>
      </c>
      <c r="BE874">
        <f>IFERROR(INDEX(PP_Grid[#Data],$DE874,54),0)</f>
        <v/>
      </c>
      <c r="BF874">
        <f>IFERROR(INDEX(PP_Grid[#Data],$DE874,55),0)</f>
        <v/>
      </c>
      <c r="BG874">
        <f>IFERROR(INDEX(PP_Grid[#Data],$DE874,56),0)</f>
        <v/>
      </c>
      <c r="BH874">
        <f>IFERROR(INDEX(PP_Grid[#Data],$DE874,57),0)</f>
        <v/>
      </c>
      <c r="BI874">
        <f>IFERROR(INDEX(PP_Grid[#Data],$DE874,58),0)</f>
        <v/>
      </c>
      <c r="BJ874">
        <f>IFERROR(INDEX(PP_Grid[#Data],$DE874,59),0)</f>
        <v/>
      </c>
      <c r="BK874">
        <f>IFERROR(INDEX(PP_Grid[#Data],$DE874,60),0)</f>
        <v/>
      </c>
      <c r="BL874">
        <f>IFERROR(INDEX(PP_Grid[#Data],$DE874,61),0)</f>
        <v/>
      </c>
      <c r="BM874">
        <f>IFERROR(INDEX(PP_Grid[#Data],$DE874,62),0)</f>
        <v/>
      </c>
      <c r="BN874">
        <f>IFERROR(INDEX(PP_Grid[#Data],$DE874,63),0)</f>
        <v/>
      </c>
      <c r="BO874">
        <f>IFERROR(INDEX(PP_Grid[#Data],$DE874,64),0)</f>
        <v/>
      </c>
      <c r="BP874">
        <f>IFERROR(INDEX(PP_Grid[#Data],$DE874,65),0)</f>
        <v/>
      </c>
      <c r="BQ874">
        <f>IFERROR(INDEX(PP_Grid[#Data],$DE874,66),0)</f>
        <v/>
      </c>
      <c r="BR874">
        <f>IFERROR(INDEX(PP_Grid[#Data],$DE874,67),0)</f>
        <v/>
      </c>
      <c r="BS874">
        <f>IFERROR(INDEX(PP_Grid[#Data],$DE874,68),0)</f>
        <v/>
      </c>
      <c r="BT874">
        <f>IFERROR(INDEX(PP_Grid[#Data],$DE874,69),0)</f>
        <v/>
      </c>
      <c r="BU874">
        <f>IFERROR(INDEX(PP_Grid[#Data],$DE874,70),0)</f>
        <v/>
      </c>
      <c r="BV874">
        <f>IFERROR(INDEX(PP_Grid[#Data],$DE874,71),0)</f>
        <v/>
      </c>
      <c r="BW874">
        <f>IFERROR(INDEX(PP_Grid[#Data],$DE874,72),0)</f>
        <v/>
      </c>
      <c r="BX874">
        <f>IFERROR(INDEX(PP_Grid[#Data],$DE874,73),0)</f>
        <v/>
      </c>
      <c r="BY874">
        <f>IFERROR(INDEX(PP_Grid[#Data],$DE874,74),0)</f>
        <v/>
      </c>
      <c r="BZ874">
        <f>IFERROR(INDEX(PP_Grid[#Data],$DE874,75),0)</f>
        <v/>
      </c>
      <c r="CA874">
        <f>IFERROR(INDEX(PP_Grid[#Data],$DE874,76),0)</f>
        <v/>
      </c>
      <c r="CB874">
        <f>IFERROR(INDEX(PP_Grid[#Data],$DE874,77),0)</f>
        <v/>
      </c>
      <c r="CC874">
        <f>IFERROR(INDEX(PP_Grid[#Data],$DE874,78),0)</f>
        <v/>
      </c>
      <c r="CD874">
        <f>IFERROR(INDEX(PP_Grid[#Data],$DE874,79),0)</f>
        <v/>
      </c>
      <c r="CE874">
        <f>IFERROR(INDEX(PP_Grid[#Data],$DE874,80),0)</f>
        <v/>
      </c>
      <c r="CF874">
        <f>IFERROR(INDEX(PP_Grid[#Data],$DE874,81),0)</f>
        <v/>
      </c>
      <c r="CG874">
        <f>IFERROR(INDEX(PP_Grid[#Data],$DE874,82),0)</f>
        <v/>
      </c>
      <c r="CH874">
        <f>IFERROR(INDEX(PP_Grid[#Data],$DE874,83),0)</f>
        <v/>
      </c>
      <c r="CI874">
        <f>IFERROR(INDEX(PP_Grid[#Data],$DE874,84),0)</f>
        <v/>
      </c>
      <c r="CJ874">
        <f>IFERROR(INDEX(PP_Grid[#Data],$DE874,85),0)</f>
        <v/>
      </c>
      <c r="CK874">
        <f>IFERROR(INDEX(PP_Grid[#Data],$DE874,86),0)</f>
        <v/>
      </c>
      <c r="CL874">
        <f>IFERROR(INDEX(PP_Grid[#Data],$DE874,87),0)</f>
        <v/>
      </c>
      <c r="CM874">
        <f>IFERROR(INDEX(PP_Grid[#Data],$DE874,88),0)</f>
        <v/>
      </c>
      <c r="CN874">
        <f>IFERROR(INDEX(PP_Grid[#Data],$DE874,89),0)</f>
        <v/>
      </c>
      <c r="CO874">
        <f>IFERROR(INDEX(PP_Grid[#Data],$DE874,90),0)</f>
        <v/>
      </c>
      <c r="CP874">
        <f>IFERROR(INDEX(PP_Grid[#Data],$DE874,91),0)</f>
        <v/>
      </c>
      <c r="CQ874">
        <f>IFERROR(INDEX(PP_Grid[#Data],$DE874,92),0)</f>
        <v/>
      </c>
      <c r="CR874">
        <f>IFERROR(INDEX(PP_Grid[#Data],$DE874,93),0)</f>
        <v/>
      </c>
      <c r="CS874">
        <f>IFERROR(INDEX(PP_Grid[#Data],$DE874,94),0)</f>
        <v/>
      </c>
      <c r="CT874">
        <f>IFERROR(INDEX(PP_Grid[#Data],$DE874,95),0)</f>
        <v/>
      </c>
      <c r="CU874">
        <f>IFERROR(INDEX(PP_Grid[#Data],$DE874,96),0)</f>
        <v/>
      </c>
      <c r="CV874">
        <f>IFERROR(INDEX(PP_Grid[#Data],$DE874,97),0)</f>
        <v/>
      </c>
      <c r="CW874">
        <f>IFERROR(INDEX(PP_Grid[#Data],$DE874,98),0)</f>
        <v/>
      </c>
      <c r="CX874">
        <f>IFERROR(INDEX(PP_Grid[#Data],$DE874,99),0)</f>
        <v/>
      </c>
      <c r="CY874">
        <f>IFERROR(INDEX(PP_Grid[#Data],$DE874,100),0)</f>
        <v/>
      </c>
      <c r="CZ874">
        <f>IFERROR(INDEX(PP_Grid[#Data],$DE874,101),0)</f>
        <v/>
      </c>
      <c r="DA874">
        <f>IFERROR(INDEX(PP_Grid[#Data],$DE874,102),0)</f>
        <v/>
      </c>
      <c r="DB874">
        <f>IFERROR(INDEX(PP_Grid[#Data],$DE874,103),0)</f>
        <v/>
      </c>
      <c r="DC874">
        <f>IFERROR(INDEX(PP_Grid[#Data],$DE874,104),0)</f>
        <v/>
      </c>
      <c r="DD874">
        <f>IFERROR(INDEX(PP_Grid[#Data],$DE874,105),0)</f>
        <v/>
      </c>
      <c r="DE874" s="7">
        <f>IFERROR(MATCH($B874,PP_Grid[Intermediate],0),99999)</f>
        <v/>
      </c>
    </row>
    <row r="875">
      <c r="B875" t="inlineStr">
        <is>
          <t>使用量(kg)</t>
        </is>
      </c>
      <c r="C875">
        <f>SUMIFS(M_BOM[RM_Qty_Per_Batch],M_BOM[Intermediate],$B874,M_BOM[RM_Code],$A849)</f>
        <v/>
      </c>
      <c r="D875">
        <f>IFERROR(INDEX(E875:DD875,$F$1),"")</f>
        <v/>
      </c>
      <c r="E875">
        <f>$C875*E874</f>
        <v/>
      </c>
      <c r="F875">
        <f>$C875*F874</f>
        <v/>
      </c>
      <c r="G875">
        <f>$C875*G874</f>
        <v/>
      </c>
      <c r="H875">
        <f>$C875*H874</f>
        <v/>
      </c>
      <c r="I875">
        <f>$C875*I874</f>
        <v/>
      </c>
      <c r="J875">
        <f>$C875*J874</f>
        <v/>
      </c>
      <c r="K875">
        <f>$C875*K874</f>
        <v/>
      </c>
      <c r="L875">
        <f>$C875*L874</f>
        <v/>
      </c>
      <c r="M875">
        <f>$C875*M874</f>
        <v/>
      </c>
      <c r="N875">
        <f>$C875*N874</f>
        <v/>
      </c>
      <c r="O875">
        <f>$C875*O874</f>
        <v/>
      </c>
      <c r="P875">
        <f>$C875*P874</f>
        <v/>
      </c>
      <c r="Q875">
        <f>$C875*Q874</f>
        <v/>
      </c>
      <c r="R875">
        <f>$C875*R874</f>
        <v/>
      </c>
      <c r="S875">
        <f>$C875*S874</f>
        <v/>
      </c>
      <c r="T875">
        <f>$C875*T874</f>
        <v/>
      </c>
      <c r="U875">
        <f>$C875*U874</f>
        <v/>
      </c>
      <c r="V875">
        <f>$C875*V874</f>
        <v/>
      </c>
      <c r="W875">
        <f>$C875*W874</f>
        <v/>
      </c>
      <c r="X875">
        <f>$C875*X874</f>
        <v/>
      </c>
      <c r="Y875">
        <f>$C875*Y874</f>
        <v/>
      </c>
      <c r="Z875">
        <f>$C875*Z874</f>
        <v/>
      </c>
      <c r="AA875">
        <f>$C875*AA874</f>
        <v/>
      </c>
      <c r="AB875">
        <f>$C875*AB874</f>
        <v/>
      </c>
      <c r="AC875">
        <f>$C875*AC874</f>
        <v/>
      </c>
      <c r="AD875">
        <f>$C875*AD874</f>
        <v/>
      </c>
      <c r="AE875">
        <f>$C875*AE874</f>
        <v/>
      </c>
      <c r="AF875">
        <f>$C875*AF874</f>
        <v/>
      </c>
      <c r="AG875">
        <f>$C875*AG874</f>
        <v/>
      </c>
      <c r="AH875">
        <f>$C875*AH874</f>
        <v/>
      </c>
      <c r="AI875">
        <f>$C875*AI874</f>
        <v/>
      </c>
      <c r="AJ875">
        <f>$C875*AJ874</f>
        <v/>
      </c>
      <c r="AK875">
        <f>$C875*AK874</f>
        <v/>
      </c>
      <c r="AL875">
        <f>$C875*AL874</f>
        <v/>
      </c>
      <c r="AM875">
        <f>$C875*AM874</f>
        <v/>
      </c>
      <c r="AN875">
        <f>$C875*AN874</f>
        <v/>
      </c>
      <c r="AO875">
        <f>$C875*AO874</f>
        <v/>
      </c>
      <c r="AP875">
        <f>$C875*AP874</f>
        <v/>
      </c>
      <c r="AQ875">
        <f>$C875*AQ874</f>
        <v/>
      </c>
      <c r="AR875">
        <f>$C875*AR874</f>
        <v/>
      </c>
      <c r="AS875">
        <f>$C875*AS874</f>
        <v/>
      </c>
      <c r="AT875">
        <f>$C875*AT874</f>
        <v/>
      </c>
      <c r="AU875">
        <f>$C875*AU874</f>
        <v/>
      </c>
      <c r="AV875">
        <f>$C875*AV874</f>
        <v/>
      </c>
      <c r="AW875">
        <f>$C875*AW874</f>
        <v/>
      </c>
      <c r="AX875">
        <f>$C875*AX874</f>
        <v/>
      </c>
      <c r="AY875">
        <f>$C875*AY874</f>
        <v/>
      </c>
      <c r="AZ875">
        <f>$C875*AZ874</f>
        <v/>
      </c>
      <c r="BA875">
        <f>$C875*BA874</f>
        <v/>
      </c>
      <c r="BB875">
        <f>$C875*BB874</f>
        <v/>
      </c>
      <c r="BC875">
        <f>$C875*BC874</f>
        <v/>
      </c>
      <c r="BD875">
        <f>$C875*BD874</f>
        <v/>
      </c>
      <c r="BE875">
        <f>$C875*BE874</f>
        <v/>
      </c>
      <c r="BF875">
        <f>$C875*BF874</f>
        <v/>
      </c>
      <c r="BG875">
        <f>$C875*BG874</f>
        <v/>
      </c>
      <c r="BH875">
        <f>$C875*BH874</f>
        <v/>
      </c>
      <c r="BI875">
        <f>$C875*BI874</f>
        <v/>
      </c>
      <c r="BJ875">
        <f>$C875*BJ874</f>
        <v/>
      </c>
      <c r="BK875">
        <f>$C875*BK874</f>
        <v/>
      </c>
      <c r="BL875">
        <f>$C875*BL874</f>
        <v/>
      </c>
      <c r="BM875">
        <f>$C875*BM874</f>
        <v/>
      </c>
      <c r="BN875">
        <f>$C875*BN874</f>
        <v/>
      </c>
      <c r="BO875">
        <f>$C875*BO874</f>
        <v/>
      </c>
      <c r="BP875">
        <f>$C875*BP874</f>
        <v/>
      </c>
      <c r="BQ875">
        <f>$C875*BQ874</f>
        <v/>
      </c>
      <c r="BR875">
        <f>$C875*BR874</f>
        <v/>
      </c>
      <c r="BS875">
        <f>$C875*BS874</f>
        <v/>
      </c>
      <c r="BT875">
        <f>$C875*BT874</f>
        <v/>
      </c>
      <c r="BU875">
        <f>$C875*BU874</f>
        <v/>
      </c>
      <c r="BV875">
        <f>$C875*BV874</f>
        <v/>
      </c>
      <c r="BW875">
        <f>$C875*BW874</f>
        <v/>
      </c>
      <c r="BX875">
        <f>$C875*BX874</f>
        <v/>
      </c>
      <c r="BY875">
        <f>$C875*BY874</f>
        <v/>
      </c>
      <c r="BZ875">
        <f>$C875*BZ874</f>
        <v/>
      </c>
      <c r="CA875">
        <f>$C875*CA874</f>
        <v/>
      </c>
      <c r="CB875">
        <f>$C875*CB874</f>
        <v/>
      </c>
      <c r="CC875">
        <f>$C875*CC874</f>
        <v/>
      </c>
      <c r="CD875">
        <f>$C875*CD874</f>
        <v/>
      </c>
      <c r="CE875">
        <f>$C875*CE874</f>
        <v/>
      </c>
      <c r="CF875">
        <f>$C875*CF874</f>
        <v/>
      </c>
      <c r="CG875">
        <f>$C875*CG874</f>
        <v/>
      </c>
      <c r="CH875">
        <f>$C875*CH874</f>
        <v/>
      </c>
      <c r="CI875">
        <f>$C875*CI874</f>
        <v/>
      </c>
      <c r="CJ875">
        <f>$C875*CJ874</f>
        <v/>
      </c>
      <c r="CK875">
        <f>$C875*CK874</f>
        <v/>
      </c>
      <c r="CL875">
        <f>$C875*CL874</f>
        <v/>
      </c>
      <c r="CM875">
        <f>$C875*CM874</f>
        <v/>
      </c>
      <c r="CN875">
        <f>$C875*CN874</f>
        <v/>
      </c>
      <c r="CO875">
        <f>$C875*CO874</f>
        <v/>
      </c>
      <c r="CP875">
        <f>$C875*CP874</f>
        <v/>
      </c>
      <c r="CQ875">
        <f>$C875*CQ874</f>
        <v/>
      </c>
      <c r="CR875">
        <f>$C875*CR874</f>
        <v/>
      </c>
      <c r="CS875">
        <f>$C875*CS874</f>
        <v/>
      </c>
      <c r="CT875">
        <f>$C875*CT874</f>
        <v/>
      </c>
      <c r="CU875">
        <f>$C875*CU874</f>
        <v/>
      </c>
      <c r="CV875">
        <f>$C875*CV874</f>
        <v/>
      </c>
      <c r="CW875">
        <f>$C875*CW874</f>
        <v/>
      </c>
      <c r="CX875">
        <f>$C875*CX874</f>
        <v/>
      </c>
      <c r="CY875">
        <f>$C875*CY874</f>
        <v/>
      </c>
      <c r="CZ875">
        <f>$C875*CZ874</f>
        <v/>
      </c>
      <c r="DA875">
        <f>$C875*DA874</f>
        <v/>
      </c>
      <c r="DB875">
        <f>$C875*DB874</f>
        <v/>
      </c>
      <c r="DC875">
        <f>$C875*DC874</f>
        <v/>
      </c>
      <c r="DD875">
        <f>$C875*DD874</f>
        <v/>
      </c>
    </row>
    <row r="876">
      <c r="B876" t="inlineStr">
        <is>
          <t>VSP-820</t>
        </is>
      </c>
      <c r="C876" t="inlineStr">
        <is>
          <t>No. of batches</t>
        </is>
      </c>
      <c r="D876">
        <f>IFERROR(INDEX(E876:DD876,$F$1),"")</f>
        <v/>
      </c>
      <c r="E876">
        <f>IFERROR(INDEX(PP_Grid[#Data],$DE876,2),0)</f>
        <v/>
      </c>
      <c r="F876">
        <f>IFERROR(INDEX(PP_Grid[#Data],$DE876,3),0)</f>
        <v/>
      </c>
      <c r="G876">
        <f>IFERROR(INDEX(PP_Grid[#Data],$DE876,4),0)</f>
        <v/>
      </c>
      <c r="H876">
        <f>IFERROR(INDEX(PP_Grid[#Data],$DE876,5),0)</f>
        <v/>
      </c>
      <c r="I876">
        <f>IFERROR(INDEX(PP_Grid[#Data],$DE876,6),0)</f>
        <v/>
      </c>
      <c r="J876">
        <f>IFERROR(INDEX(PP_Grid[#Data],$DE876,7),0)</f>
        <v/>
      </c>
      <c r="K876">
        <f>IFERROR(INDEX(PP_Grid[#Data],$DE876,8),0)</f>
        <v/>
      </c>
      <c r="L876">
        <f>IFERROR(INDEX(PP_Grid[#Data],$DE876,9),0)</f>
        <v/>
      </c>
      <c r="M876">
        <f>IFERROR(INDEX(PP_Grid[#Data],$DE876,10),0)</f>
        <v/>
      </c>
      <c r="N876">
        <f>IFERROR(INDEX(PP_Grid[#Data],$DE876,11),0)</f>
        <v/>
      </c>
      <c r="O876">
        <f>IFERROR(INDEX(PP_Grid[#Data],$DE876,12),0)</f>
        <v/>
      </c>
      <c r="P876">
        <f>IFERROR(INDEX(PP_Grid[#Data],$DE876,13),0)</f>
        <v/>
      </c>
      <c r="Q876">
        <f>IFERROR(INDEX(PP_Grid[#Data],$DE876,14),0)</f>
        <v/>
      </c>
      <c r="R876">
        <f>IFERROR(INDEX(PP_Grid[#Data],$DE876,15),0)</f>
        <v/>
      </c>
      <c r="S876">
        <f>IFERROR(INDEX(PP_Grid[#Data],$DE876,16),0)</f>
        <v/>
      </c>
      <c r="T876">
        <f>IFERROR(INDEX(PP_Grid[#Data],$DE876,17),0)</f>
        <v/>
      </c>
      <c r="U876">
        <f>IFERROR(INDEX(PP_Grid[#Data],$DE876,18),0)</f>
        <v/>
      </c>
      <c r="V876">
        <f>IFERROR(INDEX(PP_Grid[#Data],$DE876,19),0)</f>
        <v/>
      </c>
      <c r="W876">
        <f>IFERROR(INDEX(PP_Grid[#Data],$DE876,20),0)</f>
        <v/>
      </c>
      <c r="X876">
        <f>IFERROR(INDEX(PP_Grid[#Data],$DE876,21),0)</f>
        <v/>
      </c>
      <c r="Y876">
        <f>IFERROR(INDEX(PP_Grid[#Data],$DE876,22),0)</f>
        <v/>
      </c>
      <c r="Z876">
        <f>IFERROR(INDEX(PP_Grid[#Data],$DE876,23),0)</f>
        <v/>
      </c>
      <c r="AA876">
        <f>IFERROR(INDEX(PP_Grid[#Data],$DE876,24),0)</f>
        <v/>
      </c>
      <c r="AB876">
        <f>IFERROR(INDEX(PP_Grid[#Data],$DE876,25),0)</f>
        <v/>
      </c>
      <c r="AC876">
        <f>IFERROR(INDEX(PP_Grid[#Data],$DE876,26),0)</f>
        <v/>
      </c>
      <c r="AD876">
        <f>IFERROR(INDEX(PP_Grid[#Data],$DE876,27),0)</f>
        <v/>
      </c>
      <c r="AE876">
        <f>IFERROR(INDEX(PP_Grid[#Data],$DE876,28),0)</f>
        <v/>
      </c>
      <c r="AF876">
        <f>IFERROR(INDEX(PP_Grid[#Data],$DE876,29),0)</f>
        <v/>
      </c>
      <c r="AG876">
        <f>IFERROR(INDEX(PP_Grid[#Data],$DE876,30),0)</f>
        <v/>
      </c>
      <c r="AH876">
        <f>IFERROR(INDEX(PP_Grid[#Data],$DE876,31),0)</f>
        <v/>
      </c>
      <c r="AI876">
        <f>IFERROR(INDEX(PP_Grid[#Data],$DE876,32),0)</f>
        <v/>
      </c>
      <c r="AJ876">
        <f>IFERROR(INDEX(PP_Grid[#Data],$DE876,33),0)</f>
        <v/>
      </c>
      <c r="AK876">
        <f>IFERROR(INDEX(PP_Grid[#Data],$DE876,34),0)</f>
        <v/>
      </c>
      <c r="AL876">
        <f>IFERROR(INDEX(PP_Grid[#Data],$DE876,35),0)</f>
        <v/>
      </c>
      <c r="AM876">
        <f>IFERROR(INDEX(PP_Grid[#Data],$DE876,36),0)</f>
        <v/>
      </c>
      <c r="AN876">
        <f>IFERROR(INDEX(PP_Grid[#Data],$DE876,37),0)</f>
        <v/>
      </c>
      <c r="AO876">
        <f>IFERROR(INDEX(PP_Grid[#Data],$DE876,38),0)</f>
        <v/>
      </c>
      <c r="AP876">
        <f>IFERROR(INDEX(PP_Grid[#Data],$DE876,39),0)</f>
        <v/>
      </c>
      <c r="AQ876">
        <f>IFERROR(INDEX(PP_Grid[#Data],$DE876,40),0)</f>
        <v/>
      </c>
      <c r="AR876">
        <f>IFERROR(INDEX(PP_Grid[#Data],$DE876,41),0)</f>
        <v/>
      </c>
      <c r="AS876">
        <f>IFERROR(INDEX(PP_Grid[#Data],$DE876,42),0)</f>
        <v/>
      </c>
      <c r="AT876">
        <f>IFERROR(INDEX(PP_Grid[#Data],$DE876,43),0)</f>
        <v/>
      </c>
      <c r="AU876">
        <f>IFERROR(INDEX(PP_Grid[#Data],$DE876,44),0)</f>
        <v/>
      </c>
      <c r="AV876">
        <f>IFERROR(INDEX(PP_Grid[#Data],$DE876,45),0)</f>
        <v/>
      </c>
      <c r="AW876">
        <f>IFERROR(INDEX(PP_Grid[#Data],$DE876,46),0)</f>
        <v/>
      </c>
      <c r="AX876">
        <f>IFERROR(INDEX(PP_Grid[#Data],$DE876,47),0)</f>
        <v/>
      </c>
      <c r="AY876">
        <f>IFERROR(INDEX(PP_Grid[#Data],$DE876,48),0)</f>
        <v/>
      </c>
      <c r="AZ876">
        <f>IFERROR(INDEX(PP_Grid[#Data],$DE876,49),0)</f>
        <v/>
      </c>
      <c r="BA876">
        <f>IFERROR(INDEX(PP_Grid[#Data],$DE876,50),0)</f>
        <v/>
      </c>
      <c r="BB876">
        <f>IFERROR(INDEX(PP_Grid[#Data],$DE876,51),0)</f>
        <v/>
      </c>
      <c r="BC876">
        <f>IFERROR(INDEX(PP_Grid[#Data],$DE876,52),0)</f>
        <v/>
      </c>
      <c r="BD876">
        <f>IFERROR(INDEX(PP_Grid[#Data],$DE876,53),0)</f>
        <v/>
      </c>
      <c r="BE876">
        <f>IFERROR(INDEX(PP_Grid[#Data],$DE876,54),0)</f>
        <v/>
      </c>
      <c r="BF876">
        <f>IFERROR(INDEX(PP_Grid[#Data],$DE876,55),0)</f>
        <v/>
      </c>
      <c r="BG876">
        <f>IFERROR(INDEX(PP_Grid[#Data],$DE876,56),0)</f>
        <v/>
      </c>
      <c r="BH876">
        <f>IFERROR(INDEX(PP_Grid[#Data],$DE876,57),0)</f>
        <v/>
      </c>
      <c r="BI876">
        <f>IFERROR(INDEX(PP_Grid[#Data],$DE876,58),0)</f>
        <v/>
      </c>
      <c r="BJ876">
        <f>IFERROR(INDEX(PP_Grid[#Data],$DE876,59),0)</f>
        <v/>
      </c>
      <c r="BK876">
        <f>IFERROR(INDEX(PP_Grid[#Data],$DE876,60),0)</f>
        <v/>
      </c>
      <c r="BL876">
        <f>IFERROR(INDEX(PP_Grid[#Data],$DE876,61),0)</f>
        <v/>
      </c>
      <c r="BM876">
        <f>IFERROR(INDEX(PP_Grid[#Data],$DE876,62),0)</f>
        <v/>
      </c>
      <c r="BN876">
        <f>IFERROR(INDEX(PP_Grid[#Data],$DE876,63),0)</f>
        <v/>
      </c>
      <c r="BO876">
        <f>IFERROR(INDEX(PP_Grid[#Data],$DE876,64),0)</f>
        <v/>
      </c>
      <c r="BP876">
        <f>IFERROR(INDEX(PP_Grid[#Data],$DE876,65),0)</f>
        <v/>
      </c>
      <c r="BQ876">
        <f>IFERROR(INDEX(PP_Grid[#Data],$DE876,66),0)</f>
        <v/>
      </c>
      <c r="BR876">
        <f>IFERROR(INDEX(PP_Grid[#Data],$DE876,67),0)</f>
        <v/>
      </c>
      <c r="BS876">
        <f>IFERROR(INDEX(PP_Grid[#Data],$DE876,68),0)</f>
        <v/>
      </c>
      <c r="BT876">
        <f>IFERROR(INDEX(PP_Grid[#Data],$DE876,69),0)</f>
        <v/>
      </c>
      <c r="BU876">
        <f>IFERROR(INDEX(PP_Grid[#Data],$DE876,70),0)</f>
        <v/>
      </c>
      <c r="BV876">
        <f>IFERROR(INDEX(PP_Grid[#Data],$DE876,71),0)</f>
        <v/>
      </c>
      <c r="BW876">
        <f>IFERROR(INDEX(PP_Grid[#Data],$DE876,72),0)</f>
        <v/>
      </c>
      <c r="BX876">
        <f>IFERROR(INDEX(PP_Grid[#Data],$DE876,73),0)</f>
        <v/>
      </c>
      <c r="BY876">
        <f>IFERROR(INDEX(PP_Grid[#Data],$DE876,74),0)</f>
        <v/>
      </c>
      <c r="BZ876">
        <f>IFERROR(INDEX(PP_Grid[#Data],$DE876,75),0)</f>
        <v/>
      </c>
      <c r="CA876">
        <f>IFERROR(INDEX(PP_Grid[#Data],$DE876,76),0)</f>
        <v/>
      </c>
      <c r="CB876">
        <f>IFERROR(INDEX(PP_Grid[#Data],$DE876,77),0)</f>
        <v/>
      </c>
      <c r="CC876">
        <f>IFERROR(INDEX(PP_Grid[#Data],$DE876,78),0)</f>
        <v/>
      </c>
      <c r="CD876">
        <f>IFERROR(INDEX(PP_Grid[#Data],$DE876,79),0)</f>
        <v/>
      </c>
      <c r="CE876">
        <f>IFERROR(INDEX(PP_Grid[#Data],$DE876,80),0)</f>
        <v/>
      </c>
      <c r="CF876">
        <f>IFERROR(INDEX(PP_Grid[#Data],$DE876,81),0)</f>
        <v/>
      </c>
      <c r="CG876">
        <f>IFERROR(INDEX(PP_Grid[#Data],$DE876,82),0)</f>
        <v/>
      </c>
      <c r="CH876">
        <f>IFERROR(INDEX(PP_Grid[#Data],$DE876,83),0)</f>
        <v/>
      </c>
      <c r="CI876">
        <f>IFERROR(INDEX(PP_Grid[#Data],$DE876,84),0)</f>
        <v/>
      </c>
      <c r="CJ876">
        <f>IFERROR(INDEX(PP_Grid[#Data],$DE876,85),0)</f>
        <v/>
      </c>
      <c r="CK876">
        <f>IFERROR(INDEX(PP_Grid[#Data],$DE876,86),0)</f>
        <v/>
      </c>
      <c r="CL876">
        <f>IFERROR(INDEX(PP_Grid[#Data],$DE876,87),0)</f>
        <v/>
      </c>
      <c r="CM876">
        <f>IFERROR(INDEX(PP_Grid[#Data],$DE876,88),0)</f>
        <v/>
      </c>
      <c r="CN876">
        <f>IFERROR(INDEX(PP_Grid[#Data],$DE876,89),0)</f>
        <v/>
      </c>
      <c r="CO876">
        <f>IFERROR(INDEX(PP_Grid[#Data],$DE876,90),0)</f>
        <v/>
      </c>
      <c r="CP876">
        <f>IFERROR(INDEX(PP_Grid[#Data],$DE876,91),0)</f>
        <v/>
      </c>
      <c r="CQ876">
        <f>IFERROR(INDEX(PP_Grid[#Data],$DE876,92),0)</f>
        <v/>
      </c>
      <c r="CR876">
        <f>IFERROR(INDEX(PP_Grid[#Data],$DE876,93),0)</f>
        <v/>
      </c>
      <c r="CS876">
        <f>IFERROR(INDEX(PP_Grid[#Data],$DE876,94),0)</f>
        <v/>
      </c>
      <c r="CT876">
        <f>IFERROR(INDEX(PP_Grid[#Data],$DE876,95),0)</f>
        <v/>
      </c>
      <c r="CU876">
        <f>IFERROR(INDEX(PP_Grid[#Data],$DE876,96),0)</f>
        <v/>
      </c>
      <c r="CV876">
        <f>IFERROR(INDEX(PP_Grid[#Data],$DE876,97),0)</f>
        <v/>
      </c>
      <c r="CW876">
        <f>IFERROR(INDEX(PP_Grid[#Data],$DE876,98),0)</f>
        <v/>
      </c>
      <c r="CX876">
        <f>IFERROR(INDEX(PP_Grid[#Data],$DE876,99),0)</f>
        <v/>
      </c>
      <c r="CY876">
        <f>IFERROR(INDEX(PP_Grid[#Data],$DE876,100),0)</f>
        <v/>
      </c>
      <c r="CZ876">
        <f>IFERROR(INDEX(PP_Grid[#Data],$DE876,101),0)</f>
        <v/>
      </c>
      <c r="DA876">
        <f>IFERROR(INDEX(PP_Grid[#Data],$DE876,102),0)</f>
        <v/>
      </c>
      <c r="DB876">
        <f>IFERROR(INDEX(PP_Grid[#Data],$DE876,103),0)</f>
        <v/>
      </c>
      <c r="DC876">
        <f>IFERROR(INDEX(PP_Grid[#Data],$DE876,104),0)</f>
        <v/>
      </c>
      <c r="DD876">
        <f>IFERROR(INDEX(PP_Grid[#Data],$DE876,105),0)</f>
        <v/>
      </c>
      <c r="DE876" s="7">
        <f>IFERROR(MATCH($B876,PP_Grid[Intermediate],0),99999)</f>
        <v/>
      </c>
    </row>
    <row r="877">
      <c r="B877" t="inlineStr">
        <is>
          <t>使用量(kg)</t>
        </is>
      </c>
      <c r="C877">
        <f>SUMIFS(M_BOM[RM_Qty_Per_Batch],M_BOM[Intermediate],$B876,M_BOM[RM_Code],$A849)</f>
        <v/>
      </c>
      <c r="D877">
        <f>IFERROR(INDEX(E877:DD877,$F$1),"")</f>
        <v/>
      </c>
      <c r="E877">
        <f>$C877*E876</f>
        <v/>
      </c>
      <c r="F877">
        <f>$C877*F876</f>
        <v/>
      </c>
      <c r="G877">
        <f>$C877*G876</f>
        <v/>
      </c>
      <c r="H877">
        <f>$C877*H876</f>
        <v/>
      </c>
      <c r="I877">
        <f>$C877*I876</f>
        <v/>
      </c>
      <c r="J877">
        <f>$C877*J876</f>
        <v/>
      </c>
      <c r="K877">
        <f>$C877*K876</f>
        <v/>
      </c>
      <c r="L877">
        <f>$C877*L876</f>
        <v/>
      </c>
      <c r="M877">
        <f>$C877*M876</f>
        <v/>
      </c>
      <c r="N877">
        <f>$C877*N876</f>
        <v/>
      </c>
      <c r="O877">
        <f>$C877*O876</f>
        <v/>
      </c>
      <c r="P877">
        <f>$C877*P876</f>
        <v/>
      </c>
      <c r="Q877">
        <f>$C877*Q876</f>
        <v/>
      </c>
      <c r="R877">
        <f>$C877*R876</f>
        <v/>
      </c>
      <c r="S877">
        <f>$C877*S876</f>
        <v/>
      </c>
      <c r="T877">
        <f>$C877*T876</f>
        <v/>
      </c>
      <c r="U877">
        <f>$C877*U876</f>
        <v/>
      </c>
      <c r="V877">
        <f>$C877*V876</f>
        <v/>
      </c>
      <c r="W877">
        <f>$C877*W876</f>
        <v/>
      </c>
      <c r="X877">
        <f>$C877*X876</f>
        <v/>
      </c>
      <c r="Y877">
        <f>$C877*Y876</f>
        <v/>
      </c>
      <c r="Z877">
        <f>$C877*Z876</f>
        <v/>
      </c>
      <c r="AA877">
        <f>$C877*AA876</f>
        <v/>
      </c>
      <c r="AB877">
        <f>$C877*AB876</f>
        <v/>
      </c>
      <c r="AC877">
        <f>$C877*AC876</f>
        <v/>
      </c>
      <c r="AD877">
        <f>$C877*AD876</f>
        <v/>
      </c>
      <c r="AE877">
        <f>$C877*AE876</f>
        <v/>
      </c>
      <c r="AF877">
        <f>$C877*AF876</f>
        <v/>
      </c>
      <c r="AG877">
        <f>$C877*AG876</f>
        <v/>
      </c>
      <c r="AH877">
        <f>$C877*AH876</f>
        <v/>
      </c>
      <c r="AI877">
        <f>$C877*AI876</f>
        <v/>
      </c>
      <c r="AJ877">
        <f>$C877*AJ876</f>
        <v/>
      </c>
      <c r="AK877">
        <f>$C877*AK876</f>
        <v/>
      </c>
      <c r="AL877">
        <f>$C877*AL876</f>
        <v/>
      </c>
      <c r="AM877">
        <f>$C877*AM876</f>
        <v/>
      </c>
      <c r="AN877">
        <f>$C877*AN876</f>
        <v/>
      </c>
      <c r="AO877">
        <f>$C877*AO876</f>
        <v/>
      </c>
      <c r="AP877">
        <f>$C877*AP876</f>
        <v/>
      </c>
      <c r="AQ877">
        <f>$C877*AQ876</f>
        <v/>
      </c>
      <c r="AR877">
        <f>$C877*AR876</f>
        <v/>
      </c>
      <c r="AS877">
        <f>$C877*AS876</f>
        <v/>
      </c>
      <c r="AT877">
        <f>$C877*AT876</f>
        <v/>
      </c>
      <c r="AU877">
        <f>$C877*AU876</f>
        <v/>
      </c>
      <c r="AV877">
        <f>$C877*AV876</f>
        <v/>
      </c>
      <c r="AW877">
        <f>$C877*AW876</f>
        <v/>
      </c>
      <c r="AX877">
        <f>$C877*AX876</f>
        <v/>
      </c>
      <c r="AY877">
        <f>$C877*AY876</f>
        <v/>
      </c>
      <c r="AZ877">
        <f>$C877*AZ876</f>
        <v/>
      </c>
      <c r="BA877">
        <f>$C877*BA876</f>
        <v/>
      </c>
      <c r="BB877">
        <f>$C877*BB876</f>
        <v/>
      </c>
      <c r="BC877">
        <f>$C877*BC876</f>
        <v/>
      </c>
      <c r="BD877">
        <f>$C877*BD876</f>
        <v/>
      </c>
      <c r="BE877">
        <f>$C877*BE876</f>
        <v/>
      </c>
      <c r="BF877">
        <f>$C877*BF876</f>
        <v/>
      </c>
      <c r="BG877">
        <f>$C877*BG876</f>
        <v/>
      </c>
      <c r="BH877">
        <f>$C877*BH876</f>
        <v/>
      </c>
      <c r="BI877">
        <f>$C877*BI876</f>
        <v/>
      </c>
      <c r="BJ877">
        <f>$C877*BJ876</f>
        <v/>
      </c>
      <c r="BK877">
        <f>$C877*BK876</f>
        <v/>
      </c>
      <c r="BL877">
        <f>$C877*BL876</f>
        <v/>
      </c>
      <c r="BM877">
        <f>$C877*BM876</f>
        <v/>
      </c>
      <c r="BN877">
        <f>$C877*BN876</f>
        <v/>
      </c>
      <c r="BO877">
        <f>$C877*BO876</f>
        <v/>
      </c>
      <c r="BP877">
        <f>$C877*BP876</f>
        <v/>
      </c>
      <c r="BQ877">
        <f>$C877*BQ876</f>
        <v/>
      </c>
      <c r="BR877">
        <f>$C877*BR876</f>
        <v/>
      </c>
      <c r="BS877">
        <f>$C877*BS876</f>
        <v/>
      </c>
      <c r="BT877">
        <f>$C877*BT876</f>
        <v/>
      </c>
      <c r="BU877">
        <f>$C877*BU876</f>
        <v/>
      </c>
      <c r="BV877">
        <f>$C877*BV876</f>
        <v/>
      </c>
      <c r="BW877">
        <f>$C877*BW876</f>
        <v/>
      </c>
      <c r="BX877">
        <f>$C877*BX876</f>
        <v/>
      </c>
      <c r="BY877">
        <f>$C877*BY876</f>
        <v/>
      </c>
      <c r="BZ877">
        <f>$C877*BZ876</f>
        <v/>
      </c>
      <c r="CA877">
        <f>$C877*CA876</f>
        <v/>
      </c>
      <c r="CB877">
        <f>$C877*CB876</f>
        <v/>
      </c>
      <c r="CC877">
        <f>$C877*CC876</f>
        <v/>
      </c>
      <c r="CD877">
        <f>$C877*CD876</f>
        <v/>
      </c>
      <c r="CE877">
        <f>$C877*CE876</f>
        <v/>
      </c>
      <c r="CF877">
        <f>$C877*CF876</f>
        <v/>
      </c>
      <c r="CG877">
        <f>$C877*CG876</f>
        <v/>
      </c>
      <c r="CH877">
        <f>$C877*CH876</f>
        <v/>
      </c>
      <c r="CI877">
        <f>$C877*CI876</f>
        <v/>
      </c>
      <c r="CJ877">
        <f>$C877*CJ876</f>
        <v/>
      </c>
      <c r="CK877">
        <f>$C877*CK876</f>
        <v/>
      </c>
      <c r="CL877">
        <f>$C877*CL876</f>
        <v/>
      </c>
      <c r="CM877">
        <f>$C877*CM876</f>
        <v/>
      </c>
      <c r="CN877">
        <f>$C877*CN876</f>
        <v/>
      </c>
      <c r="CO877">
        <f>$C877*CO876</f>
        <v/>
      </c>
      <c r="CP877">
        <f>$C877*CP876</f>
        <v/>
      </c>
      <c r="CQ877">
        <f>$C877*CQ876</f>
        <v/>
      </c>
      <c r="CR877">
        <f>$C877*CR876</f>
        <v/>
      </c>
      <c r="CS877">
        <f>$C877*CS876</f>
        <v/>
      </c>
      <c r="CT877">
        <f>$C877*CT876</f>
        <v/>
      </c>
      <c r="CU877">
        <f>$C877*CU876</f>
        <v/>
      </c>
      <c r="CV877">
        <f>$C877*CV876</f>
        <v/>
      </c>
      <c r="CW877">
        <f>$C877*CW876</f>
        <v/>
      </c>
      <c r="CX877">
        <f>$C877*CX876</f>
        <v/>
      </c>
      <c r="CY877">
        <f>$C877*CY876</f>
        <v/>
      </c>
      <c r="CZ877">
        <f>$C877*CZ876</f>
        <v/>
      </c>
      <c r="DA877">
        <f>$C877*DA876</f>
        <v/>
      </c>
      <c r="DB877">
        <f>$C877*DB876</f>
        <v/>
      </c>
      <c r="DC877">
        <f>$C877*DC876</f>
        <v/>
      </c>
      <c r="DD877">
        <f>$C877*DD876</f>
        <v/>
      </c>
    </row>
    <row r="878">
      <c r="B878" t="inlineStr">
        <is>
          <t>VSP-869</t>
        </is>
      </c>
      <c r="C878" t="inlineStr">
        <is>
          <t>No. of batches</t>
        </is>
      </c>
      <c r="D878">
        <f>IFERROR(INDEX(E878:DD878,$F$1),"")</f>
        <v/>
      </c>
      <c r="E878">
        <f>IFERROR(INDEX(PP_Grid[#Data],$DE878,2),0)</f>
        <v/>
      </c>
      <c r="F878">
        <f>IFERROR(INDEX(PP_Grid[#Data],$DE878,3),0)</f>
        <v/>
      </c>
      <c r="G878">
        <f>IFERROR(INDEX(PP_Grid[#Data],$DE878,4),0)</f>
        <v/>
      </c>
      <c r="H878">
        <f>IFERROR(INDEX(PP_Grid[#Data],$DE878,5),0)</f>
        <v/>
      </c>
      <c r="I878">
        <f>IFERROR(INDEX(PP_Grid[#Data],$DE878,6),0)</f>
        <v/>
      </c>
      <c r="J878">
        <f>IFERROR(INDEX(PP_Grid[#Data],$DE878,7),0)</f>
        <v/>
      </c>
      <c r="K878">
        <f>IFERROR(INDEX(PP_Grid[#Data],$DE878,8),0)</f>
        <v/>
      </c>
      <c r="L878">
        <f>IFERROR(INDEX(PP_Grid[#Data],$DE878,9),0)</f>
        <v/>
      </c>
      <c r="M878">
        <f>IFERROR(INDEX(PP_Grid[#Data],$DE878,10),0)</f>
        <v/>
      </c>
      <c r="N878">
        <f>IFERROR(INDEX(PP_Grid[#Data],$DE878,11),0)</f>
        <v/>
      </c>
      <c r="O878">
        <f>IFERROR(INDEX(PP_Grid[#Data],$DE878,12),0)</f>
        <v/>
      </c>
      <c r="P878">
        <f>IFERROR(INDEX(PP_Grid[#Data],$DE878,13),0)</f>
        <v/>
      </c>
      <c r="Q878">
        <f>IFERROR(INDEX(PP_Grid[#Data],$DE878,14),0)</f>
        <v/>
      </c>
      <c r="R878">
        <f>IFERROR(INDEX(PP_Grid[#Data],$DE878,15),0)</f>
        <v/>
      </c>
      <c r="S878">
        <f>IFERROR(INDEX(PP_Grid[#Data],$DE878,16),0)</f>
        <v/>
      </c>
      <c r="T878">
        <f>IFERROR(INDEX(PP_Grid[#Data],$DE878,17),0)</f>
        <v/>
      </c>
      <c r="U878">
        <f>IFERROR(INDEX(PP_Grid[#Data],$DE878,18),0)</f>
        <v/>
      </c>
      <c r="V878">
        <f>IFERROR(INDEX(PP_Grid[#Data],$DE878,19),0)</f>
        <v/>
      </c>
      <c r="W878">
        <f>IFERROR(INDEX(PP_Grid[#Data],$DE878,20),0)</f>
        <v/>
      </c>
      <c r="X878">
        <f>IFERROR(INDEX(PP_Grid[#Data],$DE878,21),0)</f>
        <v/>
      </c>
      <c r="Y878">
        <f>IFERROR(INDEX(PP_Grid[#Data],$DE878,22),0)</f>
        <v/>
      </c>
      <c r="Z878">
        <f>IFERROR(INDEX(PP_Grid[#Data],$DE878,23),0)</f>
        <v/>
      </c>
      <c r="AA878">
        <f>IFERROR(INDEX(PP_Grid[#Data],$DE878,24),0)</f>
        <v/>
      </c>
      <c r="AB878">
        <f>IFERROR(INDEX(PP_Grid[#Data],$DE878,25),0)</f>
        <v/>
      </c>
      <c r="AC878">
        <f>IFERROR(INDEX(PP_Grid[#Data],$DE878,26),0)</f>
        <v/>
      </c>
      <c r="AD878">
        <f>IFERROR(INDEX(PP_Grid[#Data],$DE878,27),0)</f>
        <v/>
      </c>
      <c r="AE878">
        <f>IFERROR(INDEX(PP_Grid[#Data],$DE878,28),0)</f>
        <v/>
      </c>
      <c r="AF878">
        <f>IFERROR(INDEX(PP_Grid[#Data],$DE878,29),0)</f>
        <v/>
      </c>
      <c r="AG878">
        <f>IFERROR(INDEX(PP_Grid[#Data],$DE878,30),0)</f>
        <v/>
      </c>
      <c r="AH878">
        <f>IFERROR(INDEX(PP_Grid[#Data],$DE878,31),0)</f>
        <v/>
      </c>
      <c r="AI878">
        <f>IFERROR(INDEX(PP_Grid[#Data],$DE878,32),0)</f>
        <v/>
      </c>
      <c r="AJ878">
        <f>IFERROR(INDEX(PP_Grid[#Data],$DE878,33),0)</f>
        <v/>
      </c>
      <c r="AK878">
        <f>IFERROR(INDEX(PP_Grid[#Data],$DE878,34),0)</f>
        <v/>
      </c>
      <c r="AL878">
        <f>IFERROR(INDEX(PP_Grid[#Data],$DE878,35),0)</f>
        <v/>
      </c>
      <c r="AM878">
        <f>IFERROR(INDEX(PP_Grid[#Data],$DE878,36),0)</f>
        <v/>
      </c>
      <c r="AN878">
        <f>IFERROR(INDEX(PP_Grid[#Data],$DE878,37),0)</f>
        <v/>
      </c>
      <c r="AO878">
        <f>IFERROR(INDEX(PP_Grid[#Data],$DE878,38),0)</f>
        <v/>
      </c>
      <c r="AP878">
        <f>IFERROR(INDEX(PP_Grid[#Data],$DE878,39),0)</f>
        <v/>
      </c>
      <c r="AQ878">
        <f>IFERROR(INDEX(PP_Grid[#Data],$DE878,40),0)</f>
        <v/>
      </c>
      <c r="AR878">
        <f>IFERROR(INDEX(PP_Grid[#Data],$DE878,41),0)</f>
        <v/>
      </c>
      <c r="AS878">
        <f>IFERROR(INDEX(PP_Grid[#Data],$DE878,42),0)</f>
        <v/>
      </c>
      <c r="AT878">
        <f>IFERROR(INDEX(PP_Grid[#Data],$DE878,43),0)</f>
        <v/>
      </c>
      <c r="AU878">
        <f>IFERROR(INDEX(PP_Grid[#Data],$DE878,44),0)</f>
        <v/>
      </c>
      <c r="AV878">
        <f>IFERROR(INDEX(PP_Grid[#Data],$DE878,45),0)</f>
        <v/>
      </c>
      <c r="AW878">
        <f>IFERROR(INDEX(PP_Grid[#Data],$DE878,46),0)</f>
        <v/>
      </c>
      <c r="AX878">
        <f>IFERROR(INDEX(PP_Grid[#Data],$DE878,47),0)</f>
        <v/>
      </c>
      <c r="AY878">
        <f>IFERROR(INDEX(PP_Grid[#Data],$DE878,48),0)</f>
        <v/>
      </c>
      <c r="AZ878">
        <f>IFERROR(INDEX(PP_Grid[#Data],$DE878,49),0)</f>
        <v/>
      </c>
      <c r="BA878">
        <f>IFERROR(INDEX(PP_Grid[#Data],$DE878,50),0)</f>
        <v/>
      </c>
      <c r="BB878">
        <f>IFERROR(INDEX(PP_Grid[#Data],$DE878,51),0)</f>
        <v/>
      </c>
      <c r="BC878">
        <f>IFERROR(INDEX(PP_Grid[#Data],$DE878,52),0)</f>
        <v/>
      </c>
      <c r="BD878">
        <f>IFERROR(INDEX(PP_Grid[#Data],$DE878,53),0)</f>
        <v/>
      </c>
      <c r="BE878">
        <f>IFERROR(INDEX(PP_Grid[#Data],$DE878,54),0)</f>
        <v/>
      </c>
      <c r="BF878">
        <f>IFERROR(INDEX(PP_Grid[#Data],$DE878,55),0)</f>
        <v/>
      </c>
      <c r="BG878">
        <f>IFERROR(INDEX(PP_Grid[#Data],$DE878,56),0)</f>
        <v/>
      </c>
      <c r="BH878">
        <f>IFERROR(INDEX(PP_Grid[#Data],$DE878,57),0)</f>
        <v/>
      </c>
      <c r="BI878">
        <f>IFERROR(INDEX(PP_Grid[#Data],$DE878,58),0)</f>
        <v/>
      </c>
      <c r="BJ878">
        <f>IFERROR(INDEX(PP_Grid[#Data],$DE878,59),0)</f>
        <v/>
      </c>
      <c r="BK878">
        <f>IFERROR(INDEX(PP_Grid[#Data],$DE878,60),0)</f>
        <v/>
      </c>
      <c r="BL878">
        <f>IFERROR(INDEX(PP_Grid[#Data],$DE878,61),0)</f>
        <v/>
      </c>
      <c r="BM878">
        <f>IFERROR(INDEX(PP_Grid[#Data],$DE878,62),0)</f>
        <v/>
      </c>
      <c r="BN878">
        <f>IFERROR(INDEX(PP_Grid[#Data],$DE878,63),0)</f>
        <v/>
      </c>
      <c r="BO878">
        <f>IFERROR(INDEX(PP_Grid[#Data],$DE878,64),0)</f>
        <v/>
      </c>
      <c r="BP878">
        <f>IFERROR(INDEX(PP_Grid[#Data],$DE878,65),0)</f>
        <v/>
      </c>
      <c r="BQ878">
        <f>IFERROR(INDEX(PP_Grid[#Data],$DE878,66),0)</f>
        <v/>
      </c>
      <c r="BR878">
        <f>IFERROR(INDEX(PP_Grid[#Data],$DE878,67),0)</f>
        <v/>
      </c>
      <c r="BS878">
        <f>IFERROR(INDEX(PP_Grid[#Data],$DE878,68),0)</f>
        <v/>
      </c>
      <c r="BT878">
        <f>IFERROR(INDEX(PP_Grid[#Data],$DE878,69),0)</f>
        <v/>
      </c>
      <c r="BU878">
        <f>IFERROR(INDEX(PP_Grid[#Data],$DE878,70),0)</f>
        <v/>
      </c>
      <c r="BV878">
        <f>IFERROR(INDEX(PP_Grid[#Data],$DE878,71),0)</f>
        <v/>
      </c>
      <c r="BW878">
        <f>IFERROR(INDEX(PP_Grid[#Data],$DE878,72),0)</f>
        <v/>
      </c>
      <c r="BX878">
        <f>IFERROR(INDEX(PP_Grid[#Data],$DE878,73),0)</f>
        <v/>
      </c>
      <c r="BY878">
        <f>IFERROR(INDEX(PP_Grid[#Data],$DE878,74),0)</f>
        <v/>
      </c>
      <c r="BZ878">
        <f>IFERROR(INDEX(PP_Grid[#Data],$DE878,75),0)</f>
        <v/>
      </c>
      <c r="CA878">
        <f>IFERROR(INDEX(PP_Grid[#Data],$DE878,76),0)</f>
        <v/>
      </c>
      <c r="CB878">
        <f>IFERROR(INDEX(PP_Grid[#Data],$DE878,77),0)</f>
        <v/>
      </c>
      <c r="CC878">
        <f>IFERROR(INDEX(PP_Grid[#Data],$DE878,78),0)</f>
        <v/>
      </c>
      <c r="CD878">
        <f>IFERROR(INDEX(PP_Grid[#Data],$DE878,79),0)</f>
        <v/>
      </c>
      <c r="CE878">
        <f>IFERROR(INDEX(PP_Grid[#Data],$DE878,80),0)</f>
        <v/>
      </c>
      <c r="CF878">
        <f>IFERROR(INDEX(PP_Grid[#Data],$DE878,81),0)</f>
        <v/>
      </c>
      <c r="CG878">
        <f>IFERROR(INDEX(PP_Grid[#Data],$DE878,82),0)</f>
        <v/>
      </c>
      <c r="CH878">
        <f>IFERROR(INDEX(PP_Grid[#Data],$DE878,83),0)</f>
        <v/>
      </c>
      <c r="CI878">
        <f>IFERROR(INDEX(PP_Grid[#Data],$DE878,84),0)</f>
        <v/>
      </c>
      <c r="CJ878">
        <f>IFERROR(INDEX(PP_Grid[#Data],$DE878,85),0)</f>
        <v/>
      </c>
      <c r="CK878">
        <f>IFERROR(INDEX(PP_Grid[#Data],$DE878,86),0)</f>
        <v/>
      </c>
      <c r="CL878">
        <f>IFERROR(INDEX(PP_Grid[#Data],$DE878,87),0)</f>
        <v/>
      </c>
      <c r="CM878">
        <f>IFERROR(INDEX(PP_Grid[#Data],$DE878,88),0)</f>
        <v/>
      </c>
      <c r="CN878">
        <f>IFERROR(INDEX(PP_Grid[#Data],$DE878,89),0)</f>
        <v/>
      </c>
      <c r="CO878">
        <f>IFERROR(INDEX(PP_Grid[#Data],$DE878,90),0)</f>
        <v/>
      </c>
      <c r="CP878">
        <f>IFERROR(INDEX(PP_Grid[#Data],$DE878,91),0)</f>
        <v/>
      </c>
      <c r="CQ878">
        <f>IFERROR(INDEX(PP_Grid[#Data],$DE878,92),0)</f>
        <v/>
      </c>
      <c r="CR878">
        <f>IFERROR(INDEX(PP_Grid[#Data],$DE878,93),0)</f>
        <v/>
      </c>
      <c r="CS878">
        <f>IFERROR(INDEX(PP_Grid[#Data],$DE878,94),0)</f>
        <v/>
      </c>
      <c r="CT878">
        <f>IFERROR(INDEX(PP_Grid[#Data],$DE878,95),0)</f>
        <v/>
      </c>
      <c r="CU878">
        <f>IFERROR(INDEX(PP_Grid[#Data],$DE878,96),0)</f>
        <v/>
      </c>
      <c r="CV878">
        <f>IFERROR(INDEX(PP_Grid[#Data],$DE878,97),0)</f>
        <v/>
      </c>
      <c r="CW878">
        <f>IFERROR(INDEX(PP_Grid[#Data],$DE878,98),0)</f>
        <v/>
      </c>
      <c r="CX878">
        <f>IFERROR(INDEX(PP_Grid[#Data],$DE878,99),0)</f>
        <v/>
      </c>
      <c r="CY878">
        <f>IFERROR(INDEX(PP_Grid[#Data],$DE878,100),0)</f>
        <v/>
      </c>
      <c r="CZ878">
        <f>IFERROR(INDEX(PP_Grid[#Data],$DE878,101),0)</f>
        <v/>
      </c>
      <c r="DA878">
        <f>IFERROR(INDEX(PP_Grid[#Data],$DE878,102),0)</f>
        <v/>
      </c>
      <c r="DB878">
        <f>IFERROR(INDEX(PP_Grid[#Data],$DE878,103),0)</f>
        <v/>
      </c>
      <c r="DC878">
        <f>IFERROR(INDEX(PP_Grid[#Data],$DE878,104),0)</f>
        <v/>
      </c>
      <c r="DD878">
        <f>IFERROR(INDEX(PP_Grid[#Data],$DE878,105),0)</f>
        <v/>
      </c>
      <c r="DE878" s="7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SUMIFS(M_BOM[RM_Qty_Per_Batch],M_BOM[Intermediate],$B878,M_BOM[RM_Code],$A849)</f>
        <v/>
      </c>
      <c r="D879">
        <f>IFERROR(INDEX(E879:DD879,$F$1),"")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  <c r="DD879">
        <f>$C879*DD878</f>
        <v/>
      </c>
    </row>
    <row r="880">
      <c r="B880" t="inlineStr">
        <is>
          <t>VSP-989</t>
        </is>
      </c>
      <c r="C880" t="inlineStr">
        <is>
          <t>No. of batches</t>
        </is>
      </c>
      <c r="D880">
        <f>IFERROR(INDEX(E880:DD880,$F$1),"")</f>
        <v/>
      </c>
      <c r="E880">
        <f>IFERROR(INDEX(PP_Grid[#Data],$DE880,2),0)</f>
        <v/>
      </c>
      <c r="F880">
        <f>IFERROR(INDEX(PP_Grid[#Data],$DE880,3),0)</f>
        <v/>
      </c>
      <c r="G880">
        <f>IFERROR(INDEX(PP_Grid[#Data],$DE880,4),0)</f>
        <v/>
      </c>
      <c r="H880">
        <f>IFERROR(INDEX(PP_Grid[#Data],$DE880,5),0)</f>
        <v/>
      </c>
      <c r="I880">
        <f>IFERROR(INDEX(PP_Grid[#Data],$DE880,6),0)</f>
        <v/>
      </c>
      <c r="J880">
        <f>IFERROR(INDEX(PP_Grid[#Data],$DE880,7),0)</f>
        <v/>
      </c>
      <c r="K880">
        <f>IFERROR(INDEX(PP_Grid[#Data],$DE880,8),0)</f>
        <v/>
      </c>
      <c r="L880">
        <f>IFERROR(INDEX(PP_Grid[#Data],$DE880,9),0)</f>
        <v/>
      </c>
      <c r="M880">
        <f>IFERROR(INDEX(PP_Grid[#Data],$DE880,10),0)</f>
        <v/>
      </c>
      <c r="N880">
        <f>IFERROR(INDEX(PP_Grid[#Data],$DE880,11),0)</f>
        <v/>
      </c>
      <c r="O880">
        <f>IFERROR(INDEX(PP_Grid[#Data],$DE880,12),0)</f>
        <v/>
      </c>
      <c r="P880">
        <f>IFERROR(INDEX(PP_Grid[#Data],$DE880,13),0)</f>
        <v/>
      </c>
      <c r="Q880">
        <f>IFERROR(INDEX(PP_Grid[#Data],$DE880,14),0)</f>
        <v/>
      </c>
      <c r="R880">
        <f>IFERROR(INDEX(PP_Grid[#Data],$DE880,15),0)</f>
        <v/>
      </c>
      <c r="S880">
        <f>IFERROR(INDEX(PP_Grid[#Data],$DE880,16),0)</f>
        <v/>
      </c>
      <c r="T880">
        <f>IFERROR(INDEX(PP_Grid[#Data],$DE880,17),0)</f>
        <v/>
      </c>
      <c r="U880">
        <f>IFERROR(INDEX(PP_Grid[#Data],$DE880,18),0)</f>
        <v/>
      </c>
      <c r="V880">
        <f>IFERROR(INDEX(PP_Grid[#Data],$DE880,19),0)</f>
        <v/>
      </c>
      <c r="W880">
        <f>IFERROR(INDEX(PP_Grid[#Data],$DE880,20),0)</f>
        <v/>
      </c>
      <c r="X880">
        <f>IFERROR(INDEX(PP_Grid[#Data],$DE880,21),0)</f>
        <v/>
      </c>
      <c r="Y880">
        <f>IFERROR(INDEX(PP_Grid[#Data],$DE880,22),0)</f>
        <v/>
      </c>
      <c r="Z880">
        <f>IFERROR(INDEX(PP_Grid[#Data],$DE880,23),0)</f>
        <v/>
      </c>
      <c r="AA880">
        <f>IFERROR(INDEX(PP_Grid[#Data],$DE880,24),0)</f>
        <v/>
      </c>
      <c r="AB880">
        <f>IFERROR(INDEX(PP_Grid[#Data],$DE880,25),0)</f>
        <v/>
      </c>
      <c r="AC880">
        <f>IFERROR(INDEX(PP_Grid[#Data],$DE880,26),0)</f>
        <v/>
      </c>
      <c r="AD880">
        <f>IFERROR(INDEX(PP_Grid[#Data],$DE880,27),0)</f>
        <v/>
      </c>
      <c r="AE880">
        <f>IFERROR(INDEX(PP_Grid[#Data],$DE880,28),0)</f>
        <v/>
      </c>
      <c r="AF880">
        <f>IFERROR(INDEX(PP_Grid[#Data],$DE880,29),0)</f>
        <v/>
      </c>
      <c r="AG880">
        <f>IFERROR(INDEX(PP_Grid[#Data],$DE880,30),0)</f>
        <v/>
      </c>
      <c r="AH880">
        <f>IFERROR(INDEX(PP_Grid[#Data],$DE880,31),0)</f>
        <v/>
      </c>
      <c r="AI880">
        <f>IFERROR(INDEX(PP_Grid[#Data],$DE880,32),0)</f>
        <v/>
      </c>
      <c r="AJ880">
        <f>IFERROR(INDEX(PP_Grid[#Data],$DE880,33),0)</f>
        <v/>
      </c>
      <c r="AK880">
        <f>IFERROR(INDEX(PP_Grid[#Data],$DE880,34),0)</f>
        <v/>
      </c>
      <c r="AL880">
        <f>IFERROR(INDEX(PP_Grid[#Data],$DE880,35),0)</f>
        <v/>
      </c>
      <c r="AM880">
        <f>IFERROR(INDEX(PP_Grid[#Data],$DE880,36),0)</f>
        <v/>
      </c>
      <c r="AN880">
        <f>IFERROR(INDEX(PP_Grid[#Data],$DE880,37),0)</f>
        <v/>
      </c>
      <c r="AO880">
        <f>IFERROR(INDEX(PP_Grid[#Data],$DE880,38),0)</f>
        <v/>
      </c>
      <c r="AP880">
        <f>IFERROR(INDEX(PP_Grid[#Data],$DE880,39),0)</f>
        <v/>
      </c>
      <c r="AQ880">
        <f>IFERROR(INDEX(PP_Grid[#Data],$DE880,40),0)</f>
        <v/>
      </c>
      <c r="AR880">
        <f>IFERROR(INDEX(PP_Grid[#Data],$DE880,41),0)</f>
        <v/>
      </c>
      <c r="AS880">
        <f>IFERROR(INDEX(PP_Grid[#Data],$DE880,42),0)</f>
        <v/>
      </c>
      <c r="AT880">
        <f>IFERROR(INDEX(PP_Grid[#Data],$DE880,43),0)</f>
        <v/>
      </c>
      <c r="AU880">
        <f>IFERROR(INDEX(PP_Grid[#Data],$DE880,44),0)</f>
        <v/>
      </c>
      <c r="AV880">
        <f>IFERROR(INDEX(PP_Grid[#Data],$DE880,45),0)</f>
        <v/>
      </c>
      <c r="AW880">
        <f>IFERROR(INDEX(PP_Grid[#Data],$DE880,46),0)</f>
        <v/>
      </c>
      <c r="AX880">
        <f>IFERROR(INDEX(PP_Grid[#Data],$DE880,47),0)</f>
        <v/>
      </c>
      <c r="AY880">
        <f>IFERROR(INDEX(PP_Grid[#Data],$DE880,48),0)</f>
        <v/>
      </c>
      <c r="AZ880">
        <f>IFERROR(INDEX(PP_Grid[#Data],$DE880,49),0)</f>
        <v/>
      </c>
      <c r="BA880">
        <f>IFERROR(INDEX(PP_Grid[#Data],$DE880,50),0)</f>
        <v/>
      </c>
      <c r="BB880">
        <f>IFERROR(INDEX(PP_Grid[#Data],$DE880,51),0)</f>
        <v/>
      </c>
      <c r="BC880">
        <f>IFERROR(INDEX(PP_Grid[#Data],$DE880,52),0)</f>
        <v/>
      </c>
      <c r="BD880">
        <f>IFERROR(INDEX(PP_Grid[#Data],$DE880,53),0)</f>
        <v/>
      </c>
      <c r="BE880">
        <f>IFERROR(INDEX(PP_Grid[#Data],$DE880,54),0)</f>
        <v/>
      </c>
      <c r="BF880">
        <f>IFERROR(INDEX(PP_Grid[#Data],$DE880,55),0)</f>
        <v/>
      </c>
      <c r="BG880">
        <f>IFERROR(INDEX(PP_Grid[#Data],$DE880,56),0)</f>
        <v/>
      </c>
      <c r="BH880">
        <f>IFERROR(INDEX(PP_Grid[#Data],$DE880,57),0)</f>
        <v/>
      </c>
      <c r="BI880">
        <f>IFERROR(INDEX(PP_Grid[#Data],$DE880,58),0)</f>
        <v/>
      </c>
      <c r="BJ880">
        <f>IFERROR(INDEX(PP_Grid[#Data],$DE880,59),0)</f>
        <v/>
      </c>
      <c r="BK880">
        <f>IFERROR(INDEX(PP_Grid[#Data],$DE880,60),0)</f>
        <v/>
      </c>
      <c r="BL880">
        <f>IFERROR(INDEX(PP_Grid[#Data],$DE880,61),0)</f>
        <v/>
      </c>
      <c r="BM880">
        <f>IFERROR(INDEX(PP_Grid[#Data],$DE880,62),0)</f>
        <v/>
      </c>
      <c r="BN880">
        <f>IFERROR(INDEX(PP_Grid[#Data],$DE880,63),0)</f>
        <v/>
      </c>
      <c r="BO880">
        <f>IFERROR(INDEX(PP_Grid[#Data],$DE880,64),0)</f>
        <v/>
      </c>
      <c r="BP880">
        <f>IFERROR(INDEX(PP_Grid[#Data],$DE880,65),0)</f>
        <v/>
      </c>
      <c r="BQ880">
        <f>IFERROR(INDEX(PP_Grid[#Data],$DE880,66),0)</f>
        <v/>
      </c>
      <c r="BR880">
        <f>IFERROR(INDEX(PP_Grid[#Data],$DE880,67),0)</f>
        <v/>
      </c>
      <c r="BS880">
        <f>IFERROR(INDEX(PP_Grid[#Data],$DE880,68),0)</f>
        <v/>
      </c>
      <c r="BT880">
        <f>IFERROR(INDEX(PP_Grid[#Data],$DE880,69),0)</f>
        <v/>
      </c>
      <c r="BU880">
        <f>IFERROR(INDEX(PP_Grid[#Data],$DE880,70),0)</f>
        <v/>
      </c>
      <c r="BV880">
        <f>IFERROR(INDEX(PP_Grid[#Data],$DE880,71),0)</f>
        <v/>
      </c>
      <c r="BW880">
        <f>IFERROR(INDEX(PP_Grid[#Data],$DE880,72),0)</f>
        <v/>
      </c>
      <c r="BX880">
        <f>IFERROR(INDEX(PP_Grid[#Data],$DE880,73),0)</f>
        <v/>
      </c>
      <c r="BY880">
        <f>IFERROR(INDEX(PP_Grid[#Data],$DE880,74),0)</f>
        <v/>
      </c>
      <c r="BZ880">
        <f>IFERROR(INDEX(PP_Grid[#Data],$DE880,75),0)</f>
        <v/>
      </c>
      <c r="CA880">
        <f>IFERROR(INDEX(PP_Grid[#Data],$DE880,76),0)</f>
        <v/>
      </c>
      <c r="CB880">
        <f>IFERROR(INDEX(PP_Grid[#Data],$DE880,77),0)</f>
        <v/>
      </c>
      <c r="CC880">
        <f>IFERROR(INDEX(PP_Grid[#Data],$DE880,78),0)</f>
        <v/>
      </c>
      <c r="CD880">
        <f>IFERROR(INDEX(PP_Grid[#Data],$DE880,79),0)</f>
        <v/>
      </c>
      <c r="CE880">
        <f>IFERROR(INDEX(PP_Grid[#Data],$DE880,80),0)</f>
        <v/>
      </c>
      <c r="CF880">
        <f>IFERROR(INDEX(PP_Grid[#Data],$DE880,81),0)</f>
        <v/>
      </c>
      <c r="CG880">
        <f>IFERROR(INDEX(PP_Grid[#Data],$DE880,82),0)</f>
        <v/>
      </c>
      <c r="CH880">
        <f>IFERROR(INDEX(PP_Grid[#Data],$DE880,83),0)</f>
        <v/>
      </c>
      <c r="CI880">
        <f>IFERROR(INDEX(PP_Grid[#Data],$DE880,84),0)</f>
        <v/>
      </c>
      <c r="CJ880">
        <f>IFERROR(INDEX(PP_Grid[#Data],$DE880,85),0)</f>
        <v/>
      </c>
      <c r="CK880">
        <f>IFERROR(INDEX(PP_Grid[#Data],$DE880,86),0)</f>
        <v/>
      </c>
      <c r="CL880">
        <f>IFERROR(INDEX(PP_Grid[#Data],$DE880,87),0)</f>
        <v/>
      </c>
      <c r="CM880">
        <f>IFERROR(INDEX(PP_Grid[#Data],$DE880,88),0)</f>
        <v/>
      </c>
      <c r="CN880">
        <f>IFERROR(INDEX(PP_Grid[#Data],$DE880,89),0)</f>
        <v/>
      </c>
      <c r="CO880">
        <f>IFERROR(INDEX(PP_Grid[#Data],$DE880,90),0)</f>
        <v/>
      </c>
      <c r="CP880">
        <f>IFERROR(INDEX(PP_Grid[#Data],$DE880,91),0)</f>
        <v/>
      </c>
      <c r="CQ880">
        <f>IFERROR(INDEX(PP_Grid[#Data],$DE880,92),0)</f>
        <v/>
      </c>
      <c r="CR880">
        <f>IFERROR(INDEX(PP_Grid[#Data],$DE880,93),0)</f>
        <v/>
      </c>
      <c r="CS880">
        <f>IFERROR(INDEX(PP_Grid[#Data],$DE880,94),0)</f>
        <v/>
      </c>
      <c r="CT880">
        <f>IFERROR(INDEX(PP_Grid[#Data],$DE880,95),0)</f>
        <v/>
      </c>
      <c r="CU880">
        <f>IFERROR(INDEX(PP_Grid[#Data],$DE880,96),0)</f>
        <v/>
      </c>
      <c r="CV880">
        <f>IFERROR(INDEX(PP_Grid[#Data],$DE880,97),0)</f>
        <v/>
      </c>
      <c r="CW880">
        <f>IFERROR(INDEX(PP_Grid[#Data],$DE880,98),0)</f>
        <v/>
      </c>
      <c r="CX880">
        <f>IFERROR(INDEX(PP_Grid[#Data],$DE880,99),0)</f>
        <v/>
      </c>
      <c r="CY880">
        <f>IFERROR(INDEX(PP_Grid[#Data],$DE880,100),0)</f>
        <v/>
      </c>
      <c r="CZ880">
        <f>IFERROR(INDEX(PP_Grid[#Data],$DE880,101),0)</f>
        <v/>
      </c>
      <c r="DA880">
        <f>IFERROR(INDEX(PP_Grid[#Data],$DE880,102),0)</f>
        <v/>
      </c>
      <c r="DB880">
        <f>IFERROR(INDEX(PP_Grid[#Data],$DE880,103),0)</f>
        <v/>
      </c>
      <c r="DC880">
        <f>IFERROR(INDEX(PP_Grid[#Data],$DE880,104),0)</f>
        <v/>
      </c>
      <c r="DD880">
        <f>IFERROR(INDEX(PP_Grid[#Data],$DE880,105),0)</f>
        <v/>
      </c>
      <c r="DE880" s="7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SUMIFS(M_BOM[RM_Qty_Per_Batch],M_BOM[Intermediate],$B880,M_BOM[RM_Code],$A849)</f>
        <v/>
      </c>
      <c r="D881">
        <f>IFERROR(INDEX(E881:DD881,$F$1),"")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  <c r="DD881">
        <f>$C881*DD880</f>
        <v/>
      </c>
    </row>
    <row r="882">
      <c r="B882" t="inlineStr">
        <is>
          <t>VSZ-745</t>
        </is>
      </c>
      <c r="C882" t="inlineStr">
        <is>
          <t>No. of batches</t>
        </is>
      </c>
      <c r="D882">
        <f>IFERROR(INDEX(E882:DD882,$F$1),"")</f>
        <v/>
      </c>
      <c r="E882">
        <f>IFERROR(INDEX(PP_Grid[#Data],$DE882,2),0)</f>
        <v/>
      </c>
      <c r="F882">
        <f>IFERROR(INDEX(PP_Grid[#Data],$DE882,3),0)</f>
        <v/>
      </c>
      <c r="G882">
        <f>IFERROR(INDEX(PP_Grid[#Data],$DE882,4),0)</f>
        <v/>
      </c>
      <c r="H882">
        <f>IFERROR(INDEX(PP_Grid[#Data],$DE882,5),0)</f>
        <v/>
      </c>
      <c r="I882">
        <f>IFERROR(INDEX(PP_Grid[#Data],$DE882,6),0)</f>
        <v/>
      </c>
      <c r="J882">
        <f>IFERROR(INDEX(PP_Grid[#Data],$DE882,7),0)</f>
        <v/>
      </c>
      <c r="K882">
        <f>IFERROR(INDEX(PP_Grid[#Data],$DE882,8),0)</f>
        <v/>
      </c>
      <c r="L882">
        <f>IFERROR(INDEX(PP_Grid[#Data],$DE882,9),0)</f>
        <v/>
      </c>
      <c r="M882">
        <f>IFERROR(INDEX(PP_Grid[#Data],$DE882,10),0)</f>
        <v/>
      </c>
      <c r="N882">
        <f>IFERROR(INDEX(PP_Grid[#Data],$DE882,11),0)</f>
        <v/>
      </c>
      <c r="O882">
        <f>IFERROR(INDEX(PP_Grid[#Data],$DE882,12),0)</f>
        <v/>
      </c>
      <c r="P882">
        <f>IFERROR(INDEX(PP_Grid[#Data],$DE882,13),0)</f>
        <v/>
      </c>
      <c r="Q882">
        <f>IFERROR(INDEX(PP_Grid[#Data],$DE882,14),0)</f>
        <v/>
      </c>
      <c r="R882">
        <f>IFERROR(INDEX(PP_Grid[#Data],$DE882,15),0)</f>
        <v/>
      </c>
      <c r="S882">
        <f>IFERROR(INDEX(PP_Grid[#Data],$DE882,16),0)</f>
        <v/>
      </c>
      <c r="T882">
        <f>IFERROR(INDEX(PP_Grid[#Data],$DE882,17),0)</f>
        <v/>
      </c>
      <c r="U882">
        <f>IFERROR(INDEX(PP_Grid[#Data],$DE882,18),0)</f>
        <v/>
      </c>
      <c r="V882">
        <f>IFERROR(INDEX(PP_Grid[#Data],$DE882,19),0)</f>
        <v/>
      </c>
      <c r="W882">
        <f>IFERROR(INDEX(PP_Grid[#Data],$DE882,20),0)</f>
        <v/>
      </c>
      <c r="X882">
        <f>IFERROR(INDEX(PP_Grid[#Data],$DE882,21),0)</f>
        <v/>
      </c>
      <c r="Y882">
        <f>IFERROR(INDEX(PP_Grid[#Data],$DE882,22),0)</f>
        <v/>
      </c>
      <c r="Z882">
        <f>IFERROR(INDEX(PP_Grid[#Data],$DE882,23),0)</f>
        <v/>
      </c>
      <c r="AA882">
        <f>IFERROR(INDEX(PP_Grid[#Data],$DE882,24),0)</f>
        <v/>
      </c>
      <c r="AB882">
        <f>IFERROR(INDEX(PP_Grid[#Data],$DE882,25),0)</f>
        <v/>
      </c>
      <c r="AC882">
        <f>IFERROR(INDEX(PP_Grid[#Data],$DE882,26),0)</f>
        <v/>
      </c>
      <c r="AD882">
        <f>IFERROR(INDEX(PP_Grid[#Data],$DE882,27),0)</f>
        <v/>
      </c>
      <c r="AE882">
        <f>IFERROR(INDEX(PP_Grid[#Data],$DE882,28),0)</f>
        <v/>
      </c>
      <c r="AF882">
        <f>IFERROR(INDEX(PP_Grid[#Data],$DE882,29),0)</f>
        <v/>
      </c>
      <c r="AG882">
        <f>IFERROR(INDEX(PP_Grid[#Data],$DE882,30),0)</f>
        <v/>
      </c>
      <c r="AH882">
        <f>IFERROR(INDEX(PP_Grid[#Data],$DE882,31),0)</f>
        <v/>
      </c>
      <c r="AI882">
        <f>IFERROR(INDEX(PP_Grid[#Data],$DE882,32),0)</f>
        <v/>
      </c>
      <c r="AJ882">
        <f>IFERROR(INDEX(PP_Grid[#Data],$DE882,33),0)</f>
        <v/>
      </c>
      <c r="AK882">
        <f>IFERROR(INDEX(PP_Grid[#Data],$DE882,34),0)</f>
        <v/>
      </c>
      <c r="AL882">
        <f>IFERROR(INDEX(PP_Grid[#Data],$DE882,35),0)</f>
        <v/>
      </c>
      <c r="AM882">
        <f>IFERROR(INDEX(PP_Grid[#Data],$DE882,36),0)</f>
        <v/>
      </c>
      <c r="AN882">
        <f>IFERROR(INDEX(PP_Grid[#Data],$DE882,37),0)</f>
        <v/>
      </c>
      <c r="AO882">
        <f>IFERROR(INDEX(PP_Grid[#Data],$DE882,38),0)</f>
        <v/>
      </c>
      <c r="AP882">
        <f>IFERROR(INDEX(PP_Grid[#Data],$DE882,39),0)</f>
        <v/>
      </c>
      <c r="AQ882">
        <f>IFERROR(INDEX(PP_Grid[#Data],$DE882,40),0)</f>
        <v/>
      </c>
      <c r="AR882">
        <f>IFERROR(INDEX(PP_Grid[#Data],$DE882,41),0)</f>
        <v/>
      </c>
      <c r="AS882">
        <f>IFERROR(INDEX(PP_Grid[#Data],$DE882,42),0)</f>
        <v/>
      </c>
      <c r="AT882">
        <f>IFERROR(INDEX(PP_Grid[#Data],$DE882,43),0)</f>
        <v/>
      </c>
      <c r="AU882">
        <f>IFERROR(INDEX(PP_Grid[#Data],$DE882,44),0)</f>
        <v/>
      </c>
      <c r="AV882">
        <f>IFERROR(INDEX(PP_Grid[#Data],$DE882,45),0)</f>
        <v/>
      </c>
      <c r="AW882">
        <f>IFERROR(INDEX(PP_Grid[#Data],$DE882,46),0)</f>
        <v/>
      </c>
      <c r="AX882">
        <f>IFERROR(INDEX(PP_Grid[#Data],$DE882,47),0)</f>
        <v/>
      </c>
      <c r="AY882">
        <f>IFERROR(INDEX(PP_Grid[#Data],$DE882,48),0)</f>
        <v/>
      </c>
      <c r="AZ882">
        <f>IFERROR(INDEX(PP_Grid[#Data],$DE882,49),0)</f>
        <v/>
      </c>
      <c r="BA882">
        <f>IFERROR(INDEX(PP_Grid[#Data],$DE882,50),0)</f>
        <v/>
      </c>
      <c r="BB882">
        <f>IFERROR(INDEX(PP_Grid[#Data],$DE882,51),0)</f>
        <v/>
      </c>
      <c r="BC882">
        <f>IFERROR(INDEX(PP_Grid[#Data],$DE882,52),0)</f>
        <v/>
      </c>
      <c r="BD882">
        <f>IFERROR(INDEX(PP_Grid[#Data],$DE882,53),0)</f>
        <v/>
      </c>
      <c r="BE882">
        <f>IFERROR(INDEX(PP_Grid[#Data],$DE882,54),0)</f>
        <v/>
      </c>
      <c r="BF882">
        <f>IFERROR(INDEX(PP_Grid[#Data],$DE882,55),0)</f>
        <v/>
      </c>
      <c r="BG882">
        <f>IFERROR(INDEX(PP_Grid[#Data],$DE882,56),0)</f>
        <v/>
      </c>
      <c r="BH882">
        <f>IFERROR(INDEX(PP_Grid[#Data],$DE882,57),0)</f>
        <v/>
      </c>
      <c r="BI882">
        <f>IFERROR(INDEX(PP_Grid[#Data],$DE882,58),0)</f>
        <v/>
      </c>
      <c r="BJ882">
        <f>IFERROR(INDEX(PP_Grid[#Data],$DE882,59),0)</f>
        <v/>
      </c>
      <c r="BK882">
        <f>IFERROR(INDEX(PP_Grid[#Data],$DE882,60),0)</f>
        <v/>
      </c>
      <c r="BL882">
        <f>IFERROR(INDEX(PP_Grid[#Data],$DE882,61),0)</f>
        <v/>
      </c>
      <c r="BM882">
        <f>IFERROR(INDEX(PP_Grid[#Data],$DE882,62),0)</f>
        <v/>
      </c>
      <c r="BN882">
        <f>IFERROR(INDEX(PP_Grid[#Data],$DE882,63),0)</f>
        <v/>
      </c>
      <c r="BO882">
        <f>IFERROR(INDEX(PP_Grid[#Data],$DE882,64),0)</f>
        <v/>
      </c>
      <c r="BP882">
        <f>IFERROR(INDEX(PP_Grid[#Data],$DE882,65),0)</f>
        <v/>
      </c>
      <c r="BQ882">
        <f>IFERROR(INDEX(PP_Grid[#Data],$DE882,66),0)</f>
        <v/>
      </c>
      <c r="BR882">
        <f>IFERROR(INDEX(PP_Grid[#Data],$DE882,67),0)</f>
        <v/>
      </c>
      <c r="BS882">
        <f>IFERROR(INDEX(PP_Grid[#Data],$DE882,68),0)</f>
        <v/>
      </c>
      <c r="BT882">
        <f>IFERROR(INDEX(PP_Grid[#Data],$DE882,69),0)</f>
        <v/>
      </c>
      <c r="BU882">
        <f>IFERROR(INDEX(PP_Grid[#Data],$DE882,70),0)</f>
        <v/>
      </c>
      <c r="BV882">
        <f>IFERROR(INDEX(PP_Grid[#Data],$DE882,71),0)</f>
        <v/>
      </c>
      <c r="BW882">
        <f>IFERROR(INDEX(PP_Grid[#Data],$DE882,72),0)</f>
        <v/>
      </c>
      <c r="BX882">
        <f>IFERROR(INDEX(PP_Grid[#Data],$DE882,73),0)</f>
        <v/>
      </c>
      <c r="BY882">
        <f>IFERROR(INDEX(PP_Grid[#Data],$DE882,74),0)</f>
        <v/>
      </c>
      <c r="BZ882">
        <f>IFERROR(INDEX(PP_Grid[#Data],$DE882,75),0)</f>
        <v/>
      </c>
      <c r="CA882">
        <f>IFERROR(INDEX(PP_Grid[#Data],$DE882,76),0)</f>
        <v/>
      </c>
      <c r="CB882">
        <f>IFERROR(INDEX(PP_Grid[#Data],$DE882,77),0)</f>
        <v/>
      </c>
      <c r="CC882">
        <f>IFERROR(INDEX(PP_Grid[#Data],$DE882,78),0)</f>
        <v/>
      </c>
      <c r="CD882">
        <f>IFERROR(INDEX(PP_Grid[#Data],$DE882,79),0)</f>
        <v/>
      </c>
      <c r="CE882">
        <f>IFERROR(INDEX(PP_Grid[#Data],$DE882,80),0)</f>
        <v/>
      </c>
      <c r="CF882">
        <f>IFERROR(INDEX(PP_Grid[#Data],$DE882,81),0)</f>
        <v/>
      </c>
      <c r="CG882">
        <f>IFERROR(INDEX(PP_Grid[#Data],$DE882,82),0)</f>
        <v/>
      </c>
      <c r="CH882">
        <f>IFERROR(INDEX(PP_Grid[#Data],$DE882,83),0)</f>
        <v/>
      </c>
      <c r="CI882">
        <f>IFERROR(INDEX(PP_Grid[#Data],$DE882,84),0)</f>
        <v/>
      </c>
      <c r="CJ882">
        <f>IFERROR(INDEX(PP_Grid[#Data],$DE882,85),0)</f>
        <v/>
      </c>
      <c r="CK882">
        <f>IFERROR(INDEX(PP_Grid[#Data],$DE882,86),0)</f>
        <v/>
      </c>
      <c r="CL882">
        <f>IFERROR(INDEX(PP_Grid[#Data],$DE882,87),0)</f>
        <v/>
      </c>
      <c r="CM882">
        <f>IFERROR(INDEX(PP_Grid[#Data],$DE882,88),0)</f>
        <v/>
      </c>
      <c r="CN882">
        <f>IFERROR(INDEX(PP_Grid[#Data],$DE882,89),0)</f>
        <v/>
      </c>
      <c r="CO882">
        <f>IFERROR(INDEX(PP_Grid[#Data],$DE882,90),0)</f>
        <v/>
      </c>
      <c r="CP882">
        <f>IFERROR(INDEX(PP_Grid[#Data],$DE882,91),0)</f>
        <v/>
      </c>
      <c r="CQ882">
        <f>IFERROR(INDEX(PP_Grid[#Data],$DE882,92),0)</f>
        <v/>
      </c>
      <c r="CR882">
        <f>IFERROR(INDEX(PP_Grid[#Data],$DE882,93),0)</f>
        <v/>
      </c>
      <c r="CS882">
        <f>IFERROR(INDEX(PP_Grid[#Data],$DE882,94),0)</f>
        <v/>
      </c>
      <c r="CT882">
        <f>IFERROR(INDEX(PP_Grid[#Data],$DE882,95),0)</f>
        <v/>
      </c>
      <c r="CU882">
        <f>IFERROR(INDEX(PP_Grid[#Data],$DE882,96),0)</f>
        <v/>
      </c>
      <c r="CV882">
        <f>IFERROR(INDEX(PP_Grid[#Data],$DE882,97),0)</f>
        <v/>
      </c>
      <c r="CW882">
        <f>IFERROR(INDEX(PP_Grid[#Data],$DE882,98),0)</f>
        <v/>
      </c>
      <c r="CX882">
        <f>IFERROR(INDEX(PP_Grid[#Data],$DE882,99),0)</f>
        <v/>
      </c>
      <c r="CY882">
        <f>IFERROR(INDEX(PP_Grid[#Data],$DE882,100),0)</f>
        <v/>
      </c>
      <c r="CZ882">
        <f>IFERROR(INDEX(PP_Grid[#Data],$DE882,101),0)</f>
        <v/>
      </c>
      <c r="DA882">
        <f>IFERROR(INDEX(PP_Grid[#Data],$DE882,102),0)</f>
        <v/>
      </c>
      <c r="DB882">
        <f>IFERROR(INDEX(PP_Grid[#Data],$DE882,103),0)</f>
        <v/>
      </c>
      <c r="DC882">
        <f>IFERROR(INDEX(PP_Grid[#Data],$DE882,104),0)</f>
        <v/>
      </c>
      <c r="DD882">
        <f>IFERROR(INDEX(PP_Grid[#Data],$DE882,105),0)</f>
        <v/>
      </c>
      <c r="DE882" s="7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SUMIFS(M_BOM[RM_Qty_Per_Batch],M_BOM[Intermediate],$B882,M_BOM[RM_Code],$A849)</f>
        <v/>
      </c>
      <c r="D883">
        <f>IFERROR(INDEX(E883:DD883,$F$1),"")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  <c r="DD883">
        <f>$C883*DD882</f>
        <v/>
      </c>
    </row>
    <row r="884">
      <c r="B884" t="inlineStr">
        <is>
          <t>TSP-1388</t>
        </is>
      </c>
      <c r="C884" t="inlineStr">
        <is>
          <t>No. of batches</t>
        </is>
      </c>
      <c r="D884">
        <f>IFERROR(INDEX(E884:DD884,$F$1),"")</f>
        <v/>
      </c>
      <c r="E884">
        <f>IFERROR(INDEX(PP_Grid[#Data],$DE884,2),0)</f>
        <v/>
      </c>
      <c r="F884">
        <f>IFERROR(INDEX(PP_Grid[#Data],$DE884,3),0)</f>
        <v/>
      </c>
      <c r="G884">
        <f>IFERROR(INDEX(PP_Grid[#Data],$DE884,4),0)</f>
        <v/>
      </c>
      <c r="H884">
        <f>IFERROR(INDEX(PP_Grid[#Data],$DE884,5),0)</f>
        <v/>
      </c>
      <c r="I884">
        <f>IFERROR(INDEX(PP_Grid[#Data],$DE884,6),0)</f>
        <v/>
      </c>
      <c r="J884">
        <f>IFERROR(INDEX(PP_Grid[#Data],$DE884,7),0)</f>
        <v/>
      </c>
      <c r="K884">
        <f>IFERROR(INDEX(PP_Grid[#Data],$DE884,8),0)</f>
        <v/>
      </c>
      <c r="L884">
        <f>IFERROR(INDEX(PP_Grid[#Data],$DE884,9),0)</f>
        <v/>
      </c>
      <c r="M884">
        <f>IFERROR(INDEX(PP_Grid[#Data],$DE884,10),0)</f>
        <v/>
      </c>
      <c r="N884">
        <f>IFERROR(INDEX(PP_Grid[#Data],$DE884,11),0)</f>
        <v/>
      </c>
      <c r="O884">
        <f>IFERROR(INDEX(PP_Grid[#Data],$DE884,12),0)</f>
        <v/>
      </c>
      <c r="P884">
        <f>IFERROR(INDEX(PP_Grid[#Data],$DE884,13),0)</f>
        <v/>
      </c>
      <c r="Q884">
        <f>IFERROR(INDEX(PP_Grid[#Data],$DE884,14),0)</f>
        <v/>
      </c>
      <c r="R884">
        <f>IFERROR(INDEX(PP_Grid[#Data],$DE884,15),0)</f>
        <v/>
      </c>
      <c r="S884">
        <f>IFERROR(INDEX(PP_Grid[#Data],$DE884,16),0)</f>
        <v/>
      </c>
      <c r="T884">
        <f>IFERROR(INDEX(PP_Grid[#Data],$DE884,17),0)</f>
        <v/>
      </c>
      <c r="U884">
        <f>IFERROR(INDEX(PP_Grid[#Data],$DE884,18),0)</f>
        <v/>
      </c>
      <c r="V884">
        <f>IFERROR(INDEX(PP_Grid[#Data],$DE884,19),0)</f>
        <v/>
      </c>
      <c r="W884">
        <f>IFERROR(INDEX(PP_Grid[#Data],$DE884,20),0)</f>
        <v/>
      </c>
      <c r="X884">
        <f>IFERROR(INDEX(PP_Grid[#Data],$DE884,21),0)</f>
        <v/>
      </c>
      <c r="Y884">
        <f>IFERROR(INDEX(PP_Grid[#Data],$DE884,22),0)</f>
        <v/>
      </c>
      <c r="Z884">
        <f>IFERROR(INDEX(PP_Grid[#Data],$DE884,23),0)</f>
        <v/>
      </c>
      <c r="AA884">
        <f>IFERROR(INDEX(PP_Grid[#Data],$DE884,24),0)</f>
        <v/>
      </c>
      <c r="AB884">
        <f>IFERROR(INDEX(PP_Grid[#Data],$DE884,25),0)</f>
        <v/>
      </c>
      <c r="AC884">
        <f>IFERROR(INDEX(PP_Grid[#Data],$DE884,26),0)</f>
        <v/>
      </c>
      <c r="AD884">
        <f>IFERROR(INDEX(PP_Grid[#Data],$DE884,27),0)</f>
        <v/>
      </c>
      <c r="AE884">
        <f>IFERROR(INDEX(PP_Grid[#Data],$DE884,28),0)</f>
        <v/>
      </c>
      <c r="AF884">
        <f>IFERROR(INDEX(PP_Grid[#Data],$DE884,29),0)</f>
        <v/>
      </c>
      <c r="AG884">
        <f>IFERROR(INDEX(PP_Grid[#Data],$DE884,30),0)</f>
        <v/>
      </c>
      <c r="AH884">
        <f>IFERROR(INDEX(PP_Grid[#Data],$DE884,31),0)</f>
        <v/>
      </c>
      <c r="AI884">
        <f>IFERROR(INDEX(PP_Grid[#Data],$DE884,32),0)</f>
        <v/>
      </c>
      <c r="AJ884">
        <f>IFERROR(INDEX(PP_Grid[#Data],$DE884,33),0)</f>
        <v/>
      </c>
      <c r="AK884">
        <f>IFERROR(INDEX(PP_Grid[#Data],$DE884,34),0)</f>
        <v/>
      </c>
      <c r="AL884">
        <f>IFERROR(INDEX(PP_Grid[#Data],$DE884,35),0)</f>
        <v/>
      </c>
      <c r="AM884">
        <f>IFERROR(INDEX(PP_Grid[#Data],$DE884,36),0)</f>
        <v/>
      </c>
      <c r="AN884">
        <f>IFERROR(INDEX(PP_Grid[#Data],$DE884,37),0)</f>
        <v/>
      </c>
      <c r="AO884">
        <f>IFERROR(INDEX(PP_Grid[#Data],$DE884,38),0)</f>
        <v/>
      </c>
      <c r="AP884">
        <f>IFERROR(INDEX(PP_Grid[#Data],$DE884,39),0)</f>
        <v/>
      </c>
      <c r="AQ884">
        <f>IFERROR(INDEX(PP_Grid[#Data],$DE884,40),0)</f>
        <v/>
      </c>
      <c r="AR884">
        <f>IFERROR(INDEX(PP_Grid[#Data],$DE884,41),0)</f>
        <v/>
      </c>
      <c r="AS884">
        <f>IFERROR(INDEX(PP_Grid[#Data],$DE884,42),0)</f>
        <v/>
      </c>
      <c r="AT884">
        <f>IFERROR(INDEX(PP_Grid[#Data],$DE884,43),0)</f>
        <v/>
      </c>
      <c r="AU884">
        <f>IFERROR(INDEX(PP_Grid[#Data],$DE884,44),0)</f>
        <v/>
      </c>
      <c r="AV884">
        <f>IFERROR(INDEX(PP_Grid[#Data],$DE884,45),0)</f>
        <v/>
      </c>
      <c r="AW884">
        <f>IFERROR(INDEX(PP_Grid[#Data],$DE884,46),0)</f>
        <v/>
      </c>
      <c r="AX884">
        <f>IFERROR(INDEX(PP_Grid[#Data],$DE884,47),0)</f>
        <v/>
      </c>
      <c r="AY884">
        <f>IFERROR(INDEX(PP_Grid[#Data],$DE884,48),0)</f>
        <v/>
      </c>
      <c r="AZ884">
        <f>IFERROR(INDEX(PP_Grid[#Data],$DE884,49),0)</f>
        <v/>
      </c>
      <c r="BA884">
        <f>IFERROR(INDEX(PP_Grid[#Data],$DE884,50),0)</f>
        <v/>
      </c>
      <c r="BB884">
        <f>IFERROR(INDEX(PP_Grid[#Data],$DE884,51),0)</f>
        <v/>
      </c>
      <c r="BC884">
        <f>IFERROR(INDEX(PP_Grid[#Data],$DE884,52),0)</f>
        <v/>
      </c>
      <c r="BD884">
        <f>IFERROR(INDEX(PP_Grid[#Data],$DE884,53),0)</f>
        <v/>
      </c>
      <c r="BE884">
        <f>IFERROR(INDEX(PP_Grid[#Data],$DE884,54),0)</f>
        <v/>
      </c>
      <c r="BF884">
        <f>IFERROR(INDEX(PP_Grid[#Data],$DE884,55),0)</f>
        <v/>
      </c>
      <c r="BG884">
        <f>IFERROR(INDEX(PP_Grid[#Data],$DE884,56),0)</f>
        <v/>
      </c>
      <c r="BH884">
        <f>IFERROR(INDEX(PP_Grid[#Data],$DE884,57),0)</f>
        <v/>
      </c>
      <c r="BI884">
        <f>IFERROR(INDEX(PP_Grid[#Data],$DE884,58),0)</f>
        <v/>
      </c>
      <c r="BJ884">
        <f>IFERROR(INDEX(PP_Grid[#Data],$DE884,59),0)</f>
        <v/>
      </c>
      <c r="BK884">
        <f>IFERROR(INDEX(PP_Grid[#Data],$DE884,60),0)</f>
        <v/>
      </c>
      <c r="BL884">
        <f>IFERROR(INDEX(PP_Grid[#Data],$DE884,61),0)</f>
        <v/>
      </c>
      <c r="BM884">
        <f>IFERROR(INDEX(PP_Grid[#Data],$DE884,62),0)</f>
        <v/>
      </c>
      <c r="BN884">
        <f>IFERROR(INDEX(PP_Grid[#Data],$DE884,63),0)</f>
        <v/>
      </c>
      <c r="BO884">
        <f>IFERROR(INDEX(PP_Grid[#Data],$DE884,64),0)</f>
        <v/>
      </c>
      <c r="BP884">
        <f>IFERROR(INDEX(PP_Grid[#Data],$DE884,65),0)</f>
        <v/>
      </c>
      <c r="BQ884">
        <f>IFERROR(INDEX(PP_Grid[#Data],$DE884,66),0)</f>
        <v/>
      </c>
      <c r="BR884">
        <f>IFERROR(INDEX(PP_Grid[#Data],$DE884,67),0)</f>
        <v/>
      </c>
      <c r="BS884">
        <f>IFERROR(INDEX(PP_Grid[#Data],$DE884,68),0)</f>
        <v/>
      </c>
      <c r="BT884">
        <f>IFERROR(INDEX(PP_Grid[#Data],$DE884,69),0)</f>
        <v/>
      </c>
      <c r="BU884">
        <f>IFERROR(INDEX(PP_Grid[#Data],$DE884,70),0)</f>
        <v/>
      </c>
      <c r="BV884">
        <f>IFERROR(INDEX(PP_Grid[#Data],$DE884,71),0)</f>
        <v/>
      </c>
      <c r="BW884">
        <f>IFERROR(INDEX(PP_Grid[#Data],$DE884,72),0)</f>
        <v/>
      </c>
      <c r="BX884">
        <f>IFERROR(INDEX(PP_Grid[#Data],$DE884,73),0)</f>
        <v/>
      </c>
      <c r="BY884">
        <f>IFERROR(INDEX(PP_Grid[#Data],$DE884,74),0)</f>
        <v/>
      </c>
      <c r="BZ884">
        <f>IFERROR(INDEX(PP_Grid[#Data],$DE884,75),0)</f>
        <v/>
      </c>
      <c r="CA884">
        <f>IFERROR(INDEX(PP_Grid[#Data],$DE884,76),0)</f>
        <v/>
      </c>
      <c r="CB884">
        <f>IFERROR(INDEX(PP_Grid[#Data],$DE884,77),0)</f>
        <v/>
      </c>
      <c r="CC884">
        <f>IFERROR(INDEX(PP_Grid[#Data],$DE884,78),0)</f>
        <v/>
      </c>
      <c r="CD884">
        <f>IFERROR(INDEX(PP_Grid[#Data],$DE884,79),0)</f>
        <v/>
      </c>
      <c r="CE884">
        <f>IFERROR(INDEX(PP_Grid[#Data],$DE884,80),0)</f>
        <v/>
      </c>
      <c r="CF884">
        <f>IFERROR(INDEX(PP_Grid[#Data],$DE884,81),0)</f>
        <v/>
      </c>
      <c r="CG884">
        <f>IFERROR(INDEX(PP_Grid[#Data],$DE884,82),0)</f>
        <v/>
      </c>
      <c r="CH884">
        <f>IFERROR(INDEX(PP_Grid[#Data],$DE884,83),0)</f>
        <v/>
      </c>
      <c r="CI884">
        <f>IFERROR(INDEX(PP_Grid[#Data],$DE884,84),0)</f>
        <v/>
      </c>
      <c r="CJ884">
        <f>IFERROR(INDEX(PP_Grid[#Data],$DE884,85),0)</f>
        <v/>
      </c>
      <c r="CK884">
        <f>IFERROR(INDEX(PP_Grid[#Data],$DE884,86),0)</f>
        <v/>
      </c>
      <c r="CL884">
        <f>IFERROR(INDEX(PP_Grid[#Data],$DE884,87),0)</f>
        <v/>
      </c>
      <c r="CM884">
        <f>IFERROR(INDEX(PP_Grid[#Data],$DE884,88),0)</f>
        <v/>
      </c>
      <c r="CN884">
        <f>IFERROR(INDEX(PP_Grid[#Data],$DE884,89),0)</f>
        <v/>
      </c>
      <c r="CO884">
        <f>IFERROR(INDEX(PP_Grid[#Data],$DE884,90),0)</f>
        <v/>
      </c>
      <c r="CP884">
        <f>IFERROR(INDEX(PP_Grid[#Data],$DE884,91),0)</f>
        <v/>
      </c>
      <c r="CQ884">
        <f>IFERROR(INDEX(PP_Grid[#Data],$DE884,92),0)</f>
        <v/>
      </c>
      <c r="CR884">
        <f>IFERROR(INDEX(PP_Grid[#Data],$DE884,93),0)</f>
        <v/>
      </c>
      <c r="CS884">
        <f>IFERROR(INDEX(PP_Grid[#Data],$DE884,94),0)</f>
        <v/>
      </c>
      <c r="CT884">
        <f>IFERROR(INDEX(PP_Grid[#Data],$DE884,95),0)</f>
        <v/>
      </c>
      <c r="CU884">
        <f>IFERROR(INDEX(PP_Grid[#Data],$DE884,96),0)</f>
        <v/>
      </c>
      <c r="CV884">
        <f>IFERROR(INDEX(PP_Grid[#Data],$DE884,97),0)</f>
        <v/>
      </c>
      <c r="CW884">
        <f>IFERROR(INDEX(PP_Grid[#Data],$DE884,98),0)</f>
        <v/>
      </c>
      <c r="CX884">
        <f>IFERROR(INDEX(PP_Grid[#Data],$DE884,99),0)</f>
        <v/>
      </c>
      <c r="CY884">
        <f>IFERROR(INDEX(PP_Grid[#Data],$DE884,100),0)</f>
        <v/>
      </c>
      <c r="CZ884">
        <f>IFERROR(INDEX(PP_Grid[#Data],$DE884,101),0)</f>
        <v/>
      </c>
      <c r="DA884">
        <f>IFERROR(INDEX(PP_Grid[#Data],$DE884,102),0)</f>
        <v/>
      </c>
      <c r="DB884">
        <f>IFERROR(INDEX(PP_Grid[#Data],$DE884,103),0)</f>
        <v/>
      </c>
      <c r="DC884">
        <f>IFERROR(INDEX(PP_Grid[#Data],$DE884,104),0)</f>
        <v/>
      </c>
      <c r="DD884">
        <f>IFERROR(INDEX(PP_Grid[#Data],$DE884,105),0)</f>
        <v/>
      </c>
      <c r="DE884" s="7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SUMIFS(M_BOM[RM_Qty_Per_Batch],M_BOM[Intermediate],$B884,M_BOM[RM_Code],$A849)</f>
        <v/>
      </c>
      <c r="D885">
        <f>IFERROR(INDEX(E885:DD885,$F$1),"")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  <c r="DD885">
        <f>$C885*DD884</f>
        <v/>
      </c>
    </row>
    <row r="886">
      <c r="B886" t="inlineStr">
        <is>
          <t>TSP-924</t>
        </is>
      </c>
      <c r="C886" t="inlineStr">
        <is>
          <t>No. of batches</t>
        </is>
      </c>
      <c r="D886">
        <f>IFERROR(INDEX(E886:DD886,$F$1),"")</f>
        <v/>
      </c>
      <c r="E886">
        <f>IFERROR(INDEX(PP_Grid[#Data],$DE886,2),0)</f>
        <v/>
      </c>
      <c r="F886">
        <f>IFERROR(INDEX(PP_Grid[#Data],$DE886,3),0)</f>
        <v/>
      </c>
      <c r="G886">
        <f>IFERROR(INDEX(PP_Grid[#Data],$DE886,4),0)</f>
        <v/>
      </c>
      <c r="H886">
        <f>IFERROR(INDEX(PP_Grid[#Data],$DE886,5),0)</f>
        <v/>
      </c>
      <c r="I886">
        <f>IFERROR(INDEX(PP_Grid[#Data],$DE886,6),0)</f>
        <v/>
      </c>
      <c r="J886">
        <f>IFERROR(INDEX(PP_Grid[#Data],$DE886,7),0)</f>
        <v/>
      </c>
      <c r="K886">
        <f>IFERROR(INDEX(PP_Grid[#Data],$DE886,8),0)</f>
        <v/>
      </c>
      <c r="L886">
        <f>IFERROR(INDEX(PP_Grid[#Data],$DE886,9),0)</f>
        <v/>
      </c>
      <c r="M886">
        <f>IFERROR(INDEX(PP_Grid[#Data],$DE886,10),0)</f>
        <v/>
      </c>
      <c r="N886">
        <f>IFERROR(INDEX(PP_Grid[#Data],$DE886,11),0)</f>
        <v/>
      </c>
      <c r="O886">
        <f>IFERROR(INDEX(PP_Grid[#Data],$DE886,12),0)</f>
        <v/>
      </c>
      <c r="P886">
        <f>IFERROR(INDEX(PP_Grid[#Data],$DE886,13),0)</f>
        <v/>
      </c>
      <c r="Q886">
        <f>IFERROR(INDEX(PP_Grid[#Data],$DE886,14),0)</f>
        <v/>
      </c>
      <c r="R886">
        <f>IFERROR(INDEX(PP_Grid[#Data],$DE886,15),0)</f>
        <v/>
      </c>
      <c r="S886">
        <f>IFERROR(INDEX(PP_Grid[#Data],$DE886,16),0)</f>
        <v/>
      </c>
      <c r="T886">
        <f>IFERROR(INDEX(PP_Grid[#Data],$DE886,17),0)</f>
        <v/>
      </c>
      <c r="U886">
        <f>IFERROR(INDEX(PP_Grid[#Data],$DE886,18),0)</f>
        <v/>
      </c>
      <c r="V886">
        <f>IFERROR(INDEX(PP_Grid[#Data],$DE886,19),0)</f>
        <v/>
      </c>
      <c r="W886">
        <f>IFERROR(INDEX(PP_Grid[#Data],$DE886,20),0)</f>
        <v/>
      </c>
      <c r="X886">
        <f>IFERROR(INDEX(PP_Grid[#Data],$DE886,21),0)</f>
        <v/>
      </c>
      <c r="Y886">
        <f>IFERROR(INDEX(PP_Grid[#Data],$DE886,22),0)</f>
        <v/>
      </c>
      <c r="Z886">
        <f>IFERROR(INDEX(PP_Grid[#Data],$DE886,23),0)</f>
        <v/>
      </c>
      <c r="AA886">
        <f>IFERROR(INDEX(PP_Grid[#Data],$DE886,24),0)</f>
        <v/>
      </c>
      <c r="AB886">
        <f>IFERROR(INDEX(PP_Grid[#Data],$DE886,25),0)</f>
        <v/>
      </c>
      <c r="AC886">
        <f>IFERROR(INDEX(PP_Grid[#Data],$DE886,26),0)</f>
        <v/>
      </c>
      <c r="AD886">
        <f>IFERROR(INDEX(PP_Grid[#Data],$DE886,27),0)</f>
        <v/>
      </c>
      <c r="AE886">
        <f>IFERROR(INDEX(PP_Grid[#Data],$DE886,28),0)</f>
        <v/>
      </c>
      <c r="AF886">
        <f>IFERROR(INDEX(PP_Grid[#Data],$DE886,29),0)</f>
        <v/>
      </c>
      <c r="AG886">
        <f>IFERROR(INDEX(PP_Grid[#Data],$DE886,30),0)</f>
        <v/>
      </c>
      <c r="AH886">
        <f>IFERROR(INDEX(PP_Grid[#Data],$DE886,31),0)</f>
        <v/>
      </c>
      <c r="AI886">
        <f>IFERROR(INDEX(PP_Grid[#Data],$DE886,32),0)</f>
        <v/>
      </c>
      <c r="AJ886">
        <f>IFERROR(INDEX(PP_Grid[#Data],$DE886,33),0)</f>
        <v/>
      </c>
      <c r="AK886">
        <f>IFERROR(INDEX(PP_Grid[#Data],$DE886,34),0)</f>
        <v/>
      </c>
      <c r="AL886">
        <f>IFERROR(INDEX(PP_Grid[#Data],$DE886,35),0)</f>
        <v/>
      </c>
      <c r="AM886">
        <f>IFERROR(INDEX(PP_Grid[#Data],$DE886,36),0)</f>
        <v/>
      </c>
      <c r="AN886">
        <f>IFERROR(INDEX(PP_Grid[#Data],$DE886,37),0)</f>
        <v/>
      </c>
      <c r="AO886">
        <f>IFERROR(INDEX(PP_Grid[#Data],$DE886,38),0)</f>
        <v/>
      </c>
      <c r="AP886">
        <f>IFERROR(INDEX(PP_Grid[#Data],$DE886,39),0)</f>
        <v/>
      </c>
      <c r="AQ886">
        <f>IFERROR(INDEX(PP_Grid[#Data],$DE886,40),0)</f>
        <v/>
      </c>
      <c r="AR886">
        <f>IFERROR(INDEX(PP_Grid[#Data],$DE886,41),0)</f>
        <v/>
      </c>
      <c r="AS886">
        <f>IFERROR(INDEX(PP_Grid[#Data],$DE886,42),0)</f>
        <v/>
      </c>
      <c r="AT886">
        <f>IFERROR(INDEX(PP_Grid[#Data],$DE886,43),0)</f>
        <v/>
      </c>
      <c r="AU886">
        <f>IFERROR(INDEX(PP_Grid[#Data],$DE886,44),0)</f>
        <v/>
      </c>
      <c r="AV886">
        <f>IFERROR(INDEX(PP_Grid[#Data],$DE886,45),0)</f>
        <v/>
      </c>
      <c r="AW886">
        <f>IFERROR(INDEX(PP_Grid[#Data],$DE886,46),0)</f>
        <v/>
      </c>
      <c r="AX886">
        <f>IFERROR(INDEX(PP_Grid[#Data],$DE886,47),0)</f>
        <v/>
      </c>
      <c r="AY886">
        <f>IFERROR(INDEX(PP_Grid[#Data],$DE886,48),0)</f>
        <v/>
      </c>
      <c r="AZ886">
        <f>IFERROR(INDEX(PP_Grid[#Data],$DE886,49),0)</f>
        <v/>
      </c>
      <c r="BA886">
        <f>IFERROR(INDEX(PP_Grid[#Data],$DE886,50),0)</f>
        <v/>
      </c>
      <c r="BB886">
        <f>IFERROR(INDEX(PP_Grid[#Data],$DE886,51),0)</f>
        <v/>
      </c>
      <c r="BC886">
        <f>IFERROR(INDEX(PP_Grid[#Data],$DE886,52),0)</f>
        <v/>
      </c>
      <c r="BD886">
        <f>IFERROR(INDEX(PP_Grid[#Data],$DE886,53),0)</f>
        <v/>
      </c>
      <c r="BE886">
        <f>IFERROR(INDEX(PP_Grid[#Data],$DE886,54),0)</f>
        <v/>
      </c>
      <c r="BF886">
        <f>IFERROR(INDEX(PP_Grid[#Data],$DE886,55),0)</f>
        <v/>
      </c>
      <c r="BG886">
        <f>IFERROR(INDEX(PP_Grid[#Data],$DE886,56),0)</f>
        <v/>
      </c>
      <c r="BH886">
        <f>IFERROR(INDEX(PP_Grid[#Data],$DE886,57),0)</f>
        <v/>
      </c>
      <c r="BI886">
        <f>IFERROR(INDEX(PP_Grid[#Data],$DE886,58),0)</f>
        <v/>
      </c>
      <c r="BJ886">
        <f>IFERROR(INDEX(PP_Grid[#Data],$DE886,59),0)</f>
        <v/>
      </c>
      <c r="BK886">
        <f>IFERROR(INDEX(PP_Grid[#Data],$DE886,60),0)</f>
        <v/>
      </c>
      <c r="BL886">
        <f>IFERROR(INDEX(PP_Grid[#Data],$DE886,61),0)</f>
        <v/>
      </c>
      <c r="BM886">
        <f>IFERROR(INDEX(PP_Grid[#Data],$DE886,62),0)</f>
        <v/>
      </c>
      <c r="BN886">
        <f>IFERROR(INDEX(PP_Grid[#Data],$DE886,63),0)</f>
        <v/>
      </c>
      <c r="BO886">
        <f>IFERROR(INDEX(PP_Grid[#Data],$DE886,64),0)</f>
        <v/>
      </c>
      <c r="BP886">
        <f>IFERROR(INDEX(PP_Grid[#Data],$DE886,65),0)</f>
        <v/>
      </c>
      <c r="BQ886">
        <f>IFERROR(INDEX(PP_Grid[#Data],$DE886,66),0)</f>
        <v/>
      </c>
      <c r="BR886">
        <f>IFERROR(INDEX(PP_Grid[#Data],$DE886,67),0)</f>
        <v/>
      </c>
      <c r="BS886">
        <f>IFERROR(INDEX(PP_Grid[#Data],$DE886,68),0)</f>
        <v/>
      </c>
      <c r="BT886">
        <f>IFERROR(INDEX(PP_Grid[#Data],$DE886,69),0)</f>
        <v/>
      </c>
      <c r="BU886">
        <f>IFERROR(INDEX(PP_Grid[#Data],$DE886,70),0)</f>
        <v/>
      </c>
      <c r="BV886">
        <f>IFERROR(INDEX(PP_Grid[#Data],$DE886,71),0)</f>
        <v/>
      </c>
      <c r="BW886">
        <f>IFERROR(INDEX(PP_Grid[#Data],$DE886,72),0)</f>
        <v/>
      </c>
      <c r="BX886">
        <f>IFERROR(INDEX(PP_Grid[#Data],$DE886,73),0)</f>
        <v/>
      </c>
      <c r="BY886">
        <f>IFERROR(INDEX(PP_Grid[#Data],$DE886,74),0)</f>
        <v/>
      </c>
      <c r="BZ886">
        <f>IFERROR(INDEX(PP_Grid[#Data],$DE886,75),0)</f>
        <v/>
      </c>
      <c r="CA886">
        <f>IFERROR(INDEX(PP_Grid[#Data],$DE886,76),0)</f>
        <v/>
      </c>
      <c r="CB886">
        <f>IFERROR(INDEX(PP_Grid[#Data],$DE886,77),0)</f>
        <v/>
      </c>
      <c r="CC886">
        <f>IFERROR(INDEX(PP_Grid[#Data],$DE886,78),0)</f>
        <v/>
      </c>
      <c r="CD886">
        <f>IFERROR(INDEX(PP_Grid[#Data],$DE886,79),0)</f>
        <v/>
      </c>
      <c r="CE886">
        <f>IFERROR(INDEX(PP_Grid[#Data],$DE886,80),0)</f>
        <v/>
      </c>
      <c r="CF886">
        <f>IFERROR(INDEX(PP_Grid[#Data],$DE886,81),0)</f>
        <v/>
      </c>
      <c r="CG886">
        <f>IFERROR(INDEX(PP_Grid[#Data],$DE886,82),0)</f>
        <v/>
      </c>
      <c r="CH886">
        <f>IFERROR(INDEX(PP_Grid[#Data],$DE886,83),0)</f>
        <v/>
      </c>
      <c r="CI886">
        <f>IFERROR(INDEX(PP_Grid[#Data],$DE886,84),0)</f>
        <v/>
      </c>
      <c r="CJ886">
        <f>IFERROR(INDEX(PP_Grid[#Data],$DE886,85),0)</f>
        <v/>
      </c>
      <c r="CK886">
        <f>IFERROR(INDEX(PP_Grid[#Data],$DE886,86),0)</f>
        <v/>
      </c>
      <c r="CL886">
        <f>IFERROR(INDEX(PP_Grid[#Data],$DE886,87),0)</f>
        <v/>
      </c>
      <c r="CM886">
        <f>IFERROR(INDEX(PP_Grid[#Data],$DE886,88),0)</f>
        <v/>
      </c>
      <c r="CN886">
        <f>IFERROR(INDEX(PP_Grid[#Data],$DE886,89),0)</f>
        <v/>
      </c>
      <c r="CO886">
        <f>IFERROR(INDEX(PP_Grid[#Data],$DE886,90),0)</f>
        <v/>
      </c>
      <c r="CP886">
        <f>IFERROR(INDEX(PP_Grid[#Data],$DE886,91),0)</f>
        <v/>
      </c>
      <c r="CQ886">
        <f>IFERROR(INDEX(PP_Grid[#Data],$DE886,92),0)</f>
        <v/>
      </c>
      <c r="CR886">
        <f>IFERROR(INDEX(PP_Grid[#Data],$DE886,93),0)</f>
        <v/>
      </c>
      <c r="CS886">
        <f>IFERROR(INDEX(PP_Grid[#Data],$DE886,94),0)</f>
        <v/>
      </c>
      <c r="CT886">
        <f>IFERROR(INDEX(PP_Grid[#Data],$DE886,95),0)</f>
        <v/>
      </c>
      <c r="CU886">
        <f>IFERROR(INDEX(PP_Grid[#Data],$DE886,96),0)</f>
        <v/>
      </c>
      <c r="CV886">
        <f>IFERROR(INDEX(PP_Grid[#Data],$DE886,97),0)</f>
        <v/>
      </c>
      <c r="CW886">
        <f>IFERROR(INDEX(PP_Grid[#Data],$DE886,98),0)</f>
        <v/>
      </c>
      <c r="CX886">
        <f>IFERROR(INDEX(PP_Grid[#Data],$DE886,99),0)</f>
        <v/>
      </c>
      <c r="CY886">
        <f>IFERROR(INDEX(PP_Grid[#Data],$DE886,100),0)</f>
        <v/>
      </c>
      <c r="CZ886">
        <f>IFERROR(INDEX(PP_Grid[#Data],$DE886,101),0)</f>
        <v/>
      </c>
      <c r="DA886">
        <f>IFERROR(INDEX(PP_Grid[#Data],$DE886,102),0)</f>
        <v/>
      </c>
      <c r="DB886">
        <f>IFERROR(INDEX(PP_Grid[#Data],$DE886,103),0)</f>
        <v/>
      </c>
      <c r="DC886">
        <f>IFERROR(INDEX(PP_Grid[#Data],$DE886,104),0)</f>
        <v/>
      </c>
      <c r="DD886">
        <f>IFERROR(INDEX(PP_Grid[#Data],$DE886,105),0)</f>
        <v/>
      </c>
      <c r="DE886" s="7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SUMIFS(M_BOM[RM_Qty_Per_Batch],M_BOM[Intermediate],$B886,M_BOM[RM_Code],$A849)</f>
        <v/>
      </c>
      <c r="D887">
        <f>IFERROR(INDEX(E887:DD887,$F$1),"")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  <c r="DD887">
        <f>$C887*DD886</f>
        <v/>
      </c>
    </row>
    <row r="888">
      <c r="B888" t="inlineStr">
        <is>
          <t>TSP-925</t>
        </is>
      </c>
      <c r="C888" t="inlineStr">
        <is>
          <t>No. of batches</t>
        </is>
      </c>
      <c r="D888">
        <f>IFERROR(INDEX(E888:DD888,$F$1),"")</f>
        <v/>
      </c>
      <c r="E888">
        <f>IFERROR(INDEX(PP_Grid[#Data],$DE888,2),0)</f>
        <v/>
      </c>
      <c r="F888">
        <f>IFERROR(INDEX(PP_Grid[#Data],$DE888,3),0)</f>
        <v/>
      </c>
      <c r="G888">
        <f>IFERROR(INDEX(PP_Grid[#Data],$DE888,4),0)</f>
        <v/>
      </c>
      <c r="H888">
        <f>IFERROR(INDEX(PP_Grid[#Data],$DE888,5),0)</f>
        <v/>
      </c>
      <c r="I888">
        <f>IFERROR(INDEX(PP_Grid[#Data],$DE888,6),0)</f>
        <v/>
      </c>
      <c r="J888">
        <f>IFERROR(INDEX(PP_Grid[#Data],$DE888,7),0)</f>
        <v/>
      </c>
      <c r="K888">
        <f>IFERROR(INDEX(PP_Grid[#Data],$DE888,8),0)</f>
        <v/>
      </c>
      <c r="L888">
        <f>IFERROR(INDEX(PP_Grid[#Data],$DE888,9),0)</f>
        <v/>
      </c>
      <c r="M888">
        <f>IFERROR(INDEX(PP_Grid[#Data],$DE888,10),0)</f>
        <v/>
      </c>
      <c r="N888">
        <f>IFERROR(INDEX(PP_Grid[#Data],$DE888,11),0)</f>
        <v/>
      </c>
      <c r="O888">
        <f>IFERROR(INDEX(PP_Grid[#Data],$DE888,12),0)</f>
        <v/>
      </c>
      <c r="P888">
        <f>IFERROR(INDEX(PP_Grid[#Data],$DE888,13),0)</f>
        <v/>
      </c>
      <c r="Q888">
        <f>IFERROR(INDEX(PP_Grid[#Data],$DE888,14),0)</f>
        <v/>
      </c>
      <c r="R888">
        <f>IFERROR(INDEX(PP_Grid[#Data],$DE888,15),0)</f>
        <v/>
      </c>
      <c r="S888">
        <f>IFERROR(INDEX(PP_Grid[#Data],$DE888,16),0)</f>
        <v/>
      </c>
      <c r="T888">
        <f>IFERROR(INDEX(PP_Grid[#Data],$DE888,17),0)</f>
        <v/>
      </c>
      <c r="U888">
        <f>IFERROR(INDEX(PP_Grid[#Data],$DE888,18),0)</f>
        <v/>
      </c>
      <c r="V888">
        <f>IFERROR(INDEX(PP_Grid[#Data],$DE888,19),0)</f>
        <v/>
      </c>
      <c r="W888">
        <f>IFERROR(INDEX(PP_Grid[#Data],$DE888,20),0)</f>
        <v/>
      </c>
      <c r="X888">
        <f>IFERROR(INDEX(PP_Grid[#Data],$DE888,21),0)</f>
        <v/>
      </c>
      <c r="Y888">
        <f>IFERROR(INDEX(PP_Grid[#Data],$DE888,22),0)</f>
        <v/>
      </c>
      <c r="Z888">
        <f>IFERROR(INDEX(PP_Grid[#Data],$DE888,23),0)</f>
        <v/>
      </c>
      <c r="AA888">
        <f>IFERROR(INDEX(PP_Grid[#Data],$DE888,24),0)</f>
        <v/>
      </c>
      <c r="AB888">
        <f>IFERROR(INDEX(PP_Grid[#Data],$DE888,25),0)</f>
        <v/>
      </c>
      <c r="AC888">
        <f>IFERROR(INDEX(PP_Grid[#Data],$DE888,26),0)</f>
        <v/>
      </c>
      <c r="AD888">
        <f>IFERROR(INDEX(PP_Grid[#Data],$DE888,27),0)</f>
        <v/>
      </c>
      <c r="AE888">
        <f>IFERROR(INDEX(PP_Grid[#Data],$DE888,28),0)</f>
        <v/>
      </c>
      <c r="AF888">
        <f>IFERROR(INDEX(PP_Grid[#Data],$DE888,29),0)</f>
        <v/>
      </c>
      <c r="AG888">
        <f>IFERROR(INDEX(PP_Grid[#Data],$DE888,30),0)</f>
        <v/>
      </c>
      <c r="AH888">
        <f>IFERROR(INDEX(PP_Grid[#Data],$DE888,31),0)</f>
        <v/>
      </c>
      <c r="AI888">
        <f>IFERROR(INDEX(PP_Grid[#Data],$DE888,32),0)</f>
        <v/>
      </c>
      <c r="AJ888">
        <f>IFERROR(INDEX(PP_Grid[#Data],$DE888,33),0)</f>
        <v/>
      </c>
      <c r="AK888">
        <f>IFERROR(INDEX(PP_Grid[#Data],$DE888,34),0)</f>
        <v/>
      </c>
      <c r="AL888">
        <f>IFERROR(INDEX(PP_Grid[#Data],$DE888,35),0)</f>
        <v/>
      </c>
      <c r="AM888">
        <f>IFERROR(INDEX(PP_Grid[#Data],$DE888,36),0)</f>
        <v/>
      </c>
      <c r="AN888">
        <f>IFERROR(INDEX(PP_Grid[#Data],$DE888,37),0)</f>
        <v/>
      </c>
      <c r="AO888">
        <f>IFERROR(INDEX(PP_Grid[#Data],$DE888,38),0)</f>
        <v/>
      </c>
      <c r="AP888">
        <f>IFERROR(INDEX(PP_Grid[#Data],$DE888,39),0)</f>
        <v/>
      </c>
      <c r="AQ888">
        <f>IFERROR(INDEX(PP_Grid[#Data],$DE888,40),0)</f>
        <v/>
      </c>
      <c r="AR888">
        <f>IFERROR(INDEX(PP_Grid[#Data],$DE888,41),0)</f>
        <v/>
      </c>
      <c r="AS888">
        <f>IFERROR(INDEX(PP_Grid[#Data],$DE888,42),0)</f>
        <v/>
      </c>
      <c r="AT888">
        <f>IFERROR(INDEX(PP_Grid[#Data],$DE888,43),0)</f>
        <v/>
      </c>
      <c r="AU888">
        <f>IFERROR(INDEX(PP_Grid[#Data],$DE888,44),0)</f>
        <v/>
      </c>
      <c r="AV888">
        <f>IFERROR(INDEX(PP_Grid[#Data],$DE888,45),0)</f>
        <v/>
      </c>
      <c r="AW888">
        <f>IFERROR(INDEX(PP_Grid[#Data],$DE888,46),0)</f>
        <v/>
      </c>
      <c r="AX888">
        <f>IFERROR(INDEX(PP_Grid[#Data],$DE888,47),0)</f>
        <v/>
      </c>
      <c r="AY888">
        <f>IFERROR(INDEX(PP_Grid[#Data],$DE888,48),0)</f>
        <v/>
      </c>
      <c r="AZ888">
        <f>IFERROR(INDEX(PP_Grid[#Data],$DE888,49),0)</f>
        <v/>
      </c>
      <c r="BA888">
        <f>IFERROR(INDEX(PP_Grid[#Data],$DE888,50),0)</f>
        <v/>
      </c>
      <c r="BB888">
        <f>IFERROR(INDEX(PP_Grid[#Data],$DE888,51),0)</f>
        <v/>
      </c>
      <c r="BC888">
        <f>IFERROR(INDEX(PP_Grid[#Data],$DE888,52),0)</f>
        <v/>
      </c>
      <c r="BD888">
        <f>IFERROR(INDEX(PP_Grid[#Data],$DE888,53),0)</f>
        <v/>
      </c>
      <c r="BE888">
        <f>IFERROR(INDEX(PP_Grid[#Data],$DE888,54),0)</f>
        <v/>
      </c>
      <c r="BF888">
        <f>IFERROR(INDEX(PP_Grid[#Data],$DE888,55),0)</f>
        <v/>
      </c>
      <c r="BG888">
        <f>IFERROR(INDEX(PP_Grid[#Data],$DE888,56),0)</f>
        <v/>
      </c>
      <c r="BH888">
        <f>IFERROR(INDEX(PP_Grid[#Data],$DE888,57),0)</f>
        <v/>
      </c>
      <c r="BI888">
        <f>IFERROR(INDEX(PP_Grid[#Data],$DE888,58),0)</f>
        <v/>
      </c>
      <c r="BJ888">
        <f>IFERROR(INDEX(PP_Grid[#Data],$DE888,59),0)</f>
        <v/>
      </c>
      <c r="BK888">
        <f>IFERROR(INDEX(PP_Grid[#Data],$DE888,60),0)</f>
        <v/>
      </c>
      <c r="BL888">
        <f>IFERROR(INDEX(PP_Grid[#Data],$DE888,61),0)</f>
        <v/>
      </c>
      <c r="BM888">
        <f>IFERROR(INDEX(PP_Grid[#Data],$DE888,62),0)</f>
        <v/>
      </c>
      <c r="BN888">
        <f>IFERROR(INDEX(PP_Grid[#Data],$DE888,63),0)</f>
        <v/>
      </c>
      <c r="BO888">
        <f>IFERROR(INDEX(PP_Grid[#Data],$DE888,64),0)</f>
        <v/>
      </c>
      <c r="BP888">
        <f>IFERROR(INDEX(PP_Grid[#Data],$DE888,65),0)</f>
        <v/>
      </c>
      <c r="BQ888">
        <f>IFERROR(INDEX(PP_Grid[#Data],$DE888,66),0)</f>
        <v/>
      </c>
      <c r="BR888">
        <f>IFERROR(INDEX(PP_Grid[#Data],$DE888,67),0)</f>
        <v/>
      </c>
      <c r="BS888">
        <f>IFERROR(INDEX(PP_Grid[#Data],$DE888,68),0)</f>
        <v/>
      </c>
      <c r="BT888">
        <f>IFERROR(INDEX(PP_Grid[#Data],$DE888,69),0)</f>
        <v/>
      </c>
      <c r="BU888">
        <f>IFERROR(INDEX(PP_Grid[#Data],$DE888,70),0)</f>
        <v/>
      </c>
      <c r="BV888">
        <f>IFERROR(INDEX(PP_Grid[#Data],$DE888,71),0)</f>
        <v/>
      </c>
      <c r="BW888">
        <f>IFERROR(INDEX(PP_Grid[#Data],$DE888,72),0)</f>
        <v/>
      </c>
      <c r="BX888">
        <f>IFERROR(INDEX(PP_Grid[#Data],$DE888,73),0)</f>
        <v/>
      </c>
      <c r="BY888">
        <f>IFERROR(INDEX(PP_Grid[#Data],$DE888,74),0)</f>
        <v/>
      </c>
      <c r="BZ888">
        <f>IFERROR(INDEX(PP_Grid[#Data],$DE888,75),0)</f>
        <v/>
      </c>
      <c r="CA888">
        <f>IFERROR(INDEX(PP_Grid[#Data],$DE888,76),0)</f>
        <v/>
      </c>
      <c r="CB888">
        <f>IFERROR(INDEX(PP_Grid[#Data],$DE888,77),0)</f>
        <v/>
      </c>
      <c r="CC888">
        <f>IFERROR(INDEX(PP_Grid[#Data],$DE888,78),0)</f>
        <v/>
      </c>
      <c r="CD888">
        <f>IFERROR(INDEX(PP_Grid[#Data],$DE888,79),0)</f>
        <v/>
      </c>
      <c r="CE888">
        <f>IFERROR(INDEX(PP_Grid[#Data],$DE888,80),0)</f>
        <v/>
      </c>
      <c r="CF888">
        <f>IFERROR(INDEX(PP_Grid[#Data],$DE888,81),0)</f>
        <v/>
      </c>
      <c r="CG888">
        <f>IFERROR(INDEX(PP_Grid[#Data],$DE888,82),0)</f>
        <v/>
      </c>
      <c r="CH888">
        <f>IFERROR(INDEX(PP_Grid[#Data],$DE888,83),0)</f>
        <v/>
      </c>
      <c r="CI888">
        <f>IFERROR(INDEX(PP_Grid[#Data],$DE888,84),0)</f>
        <v/>
      </c>
      <c r="CJ888">
        <f>IFERROR(INDEX(PP_Grid[#Data],$DE888,85),0)</f>
        <v/>
      </c>
      <c r="CK888">
        <f>IFERROR(INDEX(PP_Grid[#Data],$DE888,86),0)</f>
        <v/>
      </c>
      <c r="CL888">
        <f>IFERROR(INDEX(PP_Grid[#Data],$DE888,87),0)</f>
        <v/>
      </c>
      <c r="CM888">
        <f>IFERROR(INDEX(PP_Grid[#Data],$DE888,88),0)</f>
        <v/>
      </c>
      <c r="CN888">
        <f>IFERROR(INDEX(PP_Grid[#Data],$DE888,89),0)</f>
        <v/>
      </c>
      <c r="CO888">
        <f>IFERROR(INDEX(PP_Grid[#Data],$DE888,90),0)</f>
        <v/>
      </c>
      <c r="CP888">
        <f>IFERROR(INDEX(PP_Grid[#Data],$DE888,91),0)</f>
        <v/>
      </c>
      <c r="CQ888">
        <f>IFERROR(INDEX(PP_Grid[#Data],$DE888,92),0)</f>
        <v/>
      </c>
      <c r="CR888">
        <f>IFERROR(INDEX(PP_Grid[#Data],$DE888,93),0)</f>
        <v/>
      </c>
      <c r="CS888">
        <f>IFERROR(INDEX(PP_Grid[#Data],$DE888,94),0)</f>
        <v/>
      </c>
      <c r="CT888">
        <f>IFERROR(INDEX(PP_Grid[#Data],$DE888,95),0)</f>
        <v/>
      </c>
      <c r="CU888">
        <f>IFERROR(INDEX(PP_Grid[#Data],$DE888,96),0)</f>
        <v/>
      </c>
      <c r="CV888">
        <f>IFERROR(INDEX(PP_Grid[#Data],$DE888,97),0)</f>
        <v/>
      </c>
      <c r="CW888">
        <f>IFERROR(INDEX(PP_Grid[#Data],$DE888,98),0)</f>
        <v/>
      </c>
      <c r="CX888">
        <f>IFERROR(INDEX(PP_Grid[#Data],$DE888,99),0)</f>
        <v/>
      </c>
      <c r="CY888">
        <f>IFERROR(INDEX(PP_Grid[#Data],$DE888,100),0)</f>
        <v/>
      </c>
      <c r="CZ888">
        <f>IFERROR(INDEX(PP_Grid[#Data],$DE888,101),0)</f>
        <v/>
      </c>
      <c r="DA888">
        <f>IFERROR(INDEX(PP_Grid[#Data],$DE888,102),0)</f>
        <v/>
      </c>
      <c r="DB888">
        <f>IFERROR(INDEX(PP_Grid[#Data],$DE888,103),0)</f>
        <v/>
      </c>
      <c r="DC888">
        <f>IFERROR(INDEX(PP_Grid[#Data],$DE888,104),0)</f>
        <v/>
      </c>
      <c r="DD888">
        <f>IFERROR(INDEX(PP_Grid[#Data],$DE888,105),0)</f>
        <v/>
      </c>
      <c r="DE888" s="7">
        <f>IFERROR(MATCH($B888,PP_Grid[Intermediate],0),99999)</f>
        <v/>
      </c>
    </row>
    <row r="889">
      <c r="B889" t="inlineStr">
        <is>
          <t>使用量(kg)</t>
        </is>
      </c>
      <c r="C889">
        <f>SUMIFS(M_BOM[RM_Qty_Per_Batch],M_BOM[Intermediate],$B888,M_BOM[RM_Code],$A849)</f>
        <v/>
      </c>
      <c r="D889">
        <f>IFERROR(INDEX(E889:DD889,$F$1),"")</f>
        <v/>
      </c>
      <c r="E889">
        <f>$C889*E888</f>
        <v/>
      </c>
      <c r="F889">
        <f>$C889*F888</f>
        <v/>
      </c>
      <c r="G889">
        <f>$C889*G888</f>
        <v/>
      </c>
      <c r="H889">
        <f>$C889*H888</f>
        <v/>
      </c>
      <c r="I889">
        <f>$C889*I888</f>
        <v/>
      </c>
      <c r="J889">
        <f>$C889*J888</f>
        <v/>
      </c>
      <c r="K889">
        <f>$C889*K888</f>
        <v/>
      </c>
      <c r="L889">
        <f>$C889*L888</f>
        <v/>
      </c>
      <c r="M889">
        <f>$C889*M888</f>
        <v/>
      </c>
      <c r="N889">
        <f>$C889*N888</f>
        <v/>
      </c>
      <c r="O889">
        <f>$C889*O888</f>
        <v/>
      </c>
      <c r="P889">
        <f>$C889*P888</f>
        <v/>
      </c>
      <c r="Q889">
        <f>$C889*Q888</f>
        <v/>
      </c>
      <c r="R889">
        <f>$C889*R888</f>
        <v/>
      </c>
      <c r="S889">
        <f>$C889*S888</f>
        <v/>
      </c>
      <c r="T889">
        <f>$C889*T888</f>
        <v/>
      </c>
      <c r="U889">
        <f>$C889*U888</f>
        <v/>
      </c>
      <c r="V889">
        <f>$C889*V888</f>
        <v/>
      </c>
      <c r="W889">
        <f>$C889*W888</f>
        <v/>
      </c>
      <c r="X889">
        <f>$C889*X888</f>
        <v/>
      </c>
      <c r="Y889">
        <f>$C889*Y888</f>
        <v/>
      </c>
      <c r="Z889">
        <f>$C889*Z888</f>
        <v/>
      </c>
      <c r="AA889">
        <f>$C889*AA888</f>
        <v/>
      </c>
      <c r="AB889">
        <f>$C889*AB888</f>
        <v/>
      </c>
      <c r="AC889">
        <f>$C889*AC888</f>
        <v/>
      </c>
      <c r="AD889">
        <f>$C889*AD888</f>
        <v/>
      </c>
      <c r="AE889">
        <f>$C889*AE888</f>
        <v/>
      </c>
      <c r="AF889">
        <f>$C889*AF888</f>
        <v/>
      </c>
      <c r="AG889">
        <f>$C889*AG888</f>
        <v/>
      </c>
      <c r="AH889">
        <f>$C889*AH888</f>
        <v/>
      </c>
      <c r="AI889">
        <f>$C889*AI888</f>
        <v/>
      </c>
      <c r="AJ889">
        <f>$C889*AJ888</f>
        <v/>
      </c>
      <c r="AK889">
        <f>$C889*AK888</f>
        <v/>
      </c>
      <c r="AL889">
        <f>$C889*AL888</f>
        <v/>
      </c>
      <c r="AM889">
        <f>$C889*AM888</f>
        <v/>
      </c>
      <c r="AN889">
        <f>$C889*AN888</f>
        <v/>
      </c>
      <c r="AO889">
        <f>$C889*AO888</f>
        <v/>
      </c>
      <c r="AP889">
        <f>$C889*AP888</f>
        <v/>
      </c>
      <c r="AQ889">
        <f>$C889*AQ888</f>
        <v/>
      </c>
      <c r="AR889">
        <f>$C889*AR888</f>
        <v/>
      </c>
      <c r="AS889">
        <f>$C889*AS888</f>
        <v/>
      </c>
      <c r="AT889">
        <f>$C889*AT888</f>
        <v/>
      </c>
      <c r="AU889">
        <f>$C889*AU888</f>
        <v/>
      </c>
      <c r="AV889">
        <f>$C889*AV888</f>
        <v/>
      </c>
      <c r="AW889">
        <f>$C889*AW888</f>
        <v/>
      </c>
      <c r="AX889">
        <f>$C889*AX888</f>
        <v/>
      </c>
      <c r="AY889">
        <f>$C889*AY888</f>
        <v/>
      </c>
      <c r="AZ889">
        <f>$C889*AZ888</f>
        <v/>
      </c>
      <c r="BA889">
        <f>$C889*BA888</f>
        <v/>
      </c>
      <c r="BB889">
        <f>$C889*BB888</f>
        <v/>
      </c>
      <c r="BC889">
        <f>$C889*BC888</f>
        <v/>
      </c>
      <c r="BD889">
        <f>$C889*BD888</f>
        <v/>
      </c>
      <c r="BE889">
        <f>$C889*BE888</f>
        <v/>
      </c>
      <c r="BF889">
        <f>$C889*BF888</f>
        <v/>
      </c>
      <c r="BG889">
        <f>$C889*BG888</f>
        <v/>
      </c>
      <c r="BH889">
        <f>$C889*BH888</f>
        <v/>
      </c>
      <c r="BI889">
        <f>$C889*BI888</f>
        <v/>
      </c>
      <c r="BJ889">
        <f>$C889*BJ888</f>
        <v/>
      </c>
      <c r="BK889">
        <f>$C889*BK888</f>
        <v/>
      </c>
      <c r="BL889">
        <f>$C889*BL888</f>
        <v/>
      </c>
      <c r="BM889">
        <f>$C889*BM888</f>
        <v/>
      </c>
      <c r="BN889">
        <f>$C889*BN888</f>
        <v/>
      </c>
      <c r="BO889">
        <f>$C889*BO888</f>
        <v/>
      </c>
      <c r="BP889">
        <f>$C889*BP888</f>
        <v/>
      </c>
      <c r="BQ889">
        <f>$C889*BQ888</f>
        <v/>
      </c>
      <c r="BR889">
        <f>$C889*BR888</f>
        <v/>
      </c>
      <c r="BS889">
        <f>$C889*BS888</f>
        <v/>
      </c>
      <c r="BT889">
        <f>$C889*BT888</f>
        <v/>
      </c>
      <c r="BU889">
        <f>$C889*BU888</f>
        <v/>
      </c>
      <c r="BV889">
        <f>$C889*BV888</f>
        <v/>
      </c>
      <c r="BW889">
        <f>$C889*BW888</f>
        <v/>
      </c>
      <c r="BX889">
        <f>$C889*BX888</f>
        <v/>
      </c>
      <c r="BY889">
        <f>$C889*BY888</f>
        <v/>
      </c>
      <c r="BZ889">
        <f>$C889*BZ888</f>
        <v/>
      </c>
      <c r="CA889">
        <f>$C889*CA888</f>
        <v/>
      </c>
      <c r="CB889">
        <f>$C889*CB888</f>
        <v/>
      </c>
      <c r="CC889">
        <f>$C889*CC888</f>
        <v/>
      </c>
      <c r="CD889">
        <f>$C889*CD888</f>
        <v/>
      </c>
      <c r="CE889">
        <f>$C889*CE888</f>
        <v/>
      </c>
      <c r="CF889">
        <f>$C889*CF888</f>
        <v/>
      </c>
      <c r="CG889">
        <f>$C889*CG888</f>
        <v/>
      </c>
      <c r="CH889">
        <f>$C889*CH888</f>
        <v/>
      </c>
      <c r="CI889">
        <f>$C889*CI888</f>
        <v/>
      </c>
      <c r="CJ889">
        <f>$C889*CJ888</f>
        <v/>
      </c>
      <c r="CK889">
        <f>$C889*CK888</f>
        <v/>
      </c>
      <c r="CL889">
        <f>$C889*CL888</f>
        <v/>
      </c>
      <c r="CM889">
        <f>$C889*CM888</f>
        <v/>
      </c>
      <c r="CN889">
        <f>$C889*CN888</f>
        <v/>
      </c>
      <c r="CO889">
        <f>$C889*CO888</f>
        <v/>
      </c>
      <c r="CP889">
        <f>$C889*CP888</f>
        <v/>
      </c>
      <c r="CQ889">
        <f>$C889*CQ888</f>
        <v/>
      </c>
      <c r="CR889">
        <f>$C889*CR888</f>
        <v/>
      </c>
      <c r="CS889">
        <f>$C889*CS888</f>
        <v/>
      </c>
      <c r="CT889">
        <f>$C889*CT888</f>
        <v/>
      </c>
      <c r="CU889">
        <f>$C889*CU888</f>
        <v/>
      </c>
      <c r="CV889">
        <f>$C889*CV888</f>
        <v/>
      </c>
      <c r="CW889">
        <f>$C889*CW888</f>
        <v/>
      </c>
      <c r="CX889">
        <f>$C889*CX888</f>
        <v/>
      </c>
      <c r="CY889">
        <f>$C889*CY888</f>
        <v/>
      </c>
      <c r="CZ889">
        <f>$C889*CZ888</f>
        <v/>
      </c>
      <c r="DA889">
        <f>$C889*DA888</f>
        <v/>
      </c>
      <c r="DB889">
        <f>$C889*DB888</f>
        <v/>
      </c>
      <c r="DC889">
        <f>$C889*DC888</f>
        <v/>
      </c>
      <c r="DD889">
        <f>$C889*DD888</f>
        <v/>
      </c>
    </row>
    <row r="890">
      <c r="B890" s="4" t="inlineStr">
        <is>
          <t>合計使用量(kg)/週</t>
        </is>
      </c>
      <c r="D890" s="22">
        <f>IFERROR(INDEX(E890:DD890,$F$1),"")</f>
        <v/>
      </c>
      <c r="E890">
        <f>'Grid_Requirement'!B22</f>
        <v/>
      </c>
      <c r="F890">
        <f>'Grid_Requirement'!C22</f>
        <v/>
      </c>
      <c r="G890">
        <f>'Grid_Requirement'!D22</f>
        <v/>
      </c>
      <c r="H890">
        <f>'Grid_Requirement'!E22</f>
        <v/>
      </c>
      <c r="I890">
        <f>'Grid_Requirement'!F22</f>
        <v/>
      </c>
      <c r="J890">
        <f>'Grid_Requirement'!G22</f>
        <v/>
      </c>
      <c r="K890">
        <f>'Grid_Requirement'!H22</f>
        <v/>
      </c>
      <c r="L890">
        <f>'Grid_Requirement'!I22</f>
        <v/>
      </c>
      <c r="M890">
        <f>'Grid_Requirement'!J22</f>
        <v/>
      </c>
      <c r="N890">
        <f>'Grid_Requirement'!K22</f>
        <v/>
      </c>
      <c r="O890">
        <f>'Grid_Requirement'!L22</f>
        <v/>
      </c>
      <c r="P890">
        <f>'Grid_Requirement'!M22</f>
        <v/>
      </c>
      <c r="Q890">
        <f>'Grid_Requirement'!N22</f>
        <v/>
      </c>
      <c r="R890">
        <f>'Grid_Requirement'!O22</f>
        <v/>
      </c>
      <c r="S890">
        <f>'Grid_Requirement'!P22</f>
        <v/>
      </c>
      <c r="T890">
        <f>'Grid_Requirement'!Q22</f>
        <v/>
      </c>
      <c r="U890">
        <f>'Grid_Requirement'!R22</f>
        <v/>
      </c>
      <c r="V890">
        <f>'Grid_Requirement'!S22</f>
        <v/>
      </c>
      <c r="W890">
        <f>'Grid_Requirement'!T22</f>
        <v/>
      </c>
      <c r="X890">
        <f>'Grid_Requirement'!U22</f>
        <v/>
      </c>
      <c r="Y890">
        <f>'Grid_Requirement'!V22</f>
        <v/>
      </c>
      <c r="Z890">
        <f>'Grid_Requirement'!W22</f>
        <v/>
      </c>
      <c r="AA890">
        <f>'Grid_Requirement'!X22</f>
        <v/>
      </c>
      <c r="AB890">
        <f>'Grid_Requirement'!Y22</f>
        <v/>
      </c>
      <c r="AC890">
        <f>'Grid_Requirement'!Z22</f>
        <v/>
      </c>
      <c r="AD890">
        <f>'Grid_Requirement'!AA22</f>
        <v/>
      </c>
      <c r="AE890">
        <f>'Grid_Requirement'!AB22</f>
        <v/>
      </c>
      <c r="AF890">
        <f>'Grid_Requirement'!AC22</f>
        <v/>
      </c>
      <c r="AG890">
        <f>'Grid_Requirement'!AD22</f>
        <v/>
      </c>
      <c r="AH890">
        <f>'Grid_Requirement'!AE22</f>
        <v/>
      </c>
      <c r="AI890">
        <f>'Grid_Requirement'!AF22</f>
        <v/>
      </c>
      <c r="AJ890">
        <f>'Grid_Requirement'!AG22</f>
        <v/>
      </c>
      <c r="AK890">
        <f>'Grid_Requirement'!AH22</f>
        <v/>
      </c>
      <c r="AL890">
        <f>'Grid_Requirement'!AI22</f>
        <v/>
      </c>
      <c r="AM890">
        <f>'Grid_Requirement'!AJ22</f>
        <v/>
      </c>
      <c r="AN890">
        <f>'Grid_Requirement'!AK22</f>
        <v/>
      </c>
      <c r="AO890">
        <f>'Grid_Requirement'!AL22</f>
        <v/>
      </c>
      <c r="AP890">
        <f>'Grid_Requirement'!AM22</f>
        <v/>
      </c>
      <c r="AQ890">
        <f>'Grid_Requirement'!AN22</f>
        <v/>
      </c>
      <c r="AR890">
        <f>'Grid_Requirement'!AO22</f>
        <v/>
      </c>
      <c r="AS890">
        <f>'Grid_Requirement'!AP22</f>
        <v/>
      </c>
      <c r="AT890">
        <f>'Grid_Requirement'!AQ22</f>
        <v/>
      </c>
      <c r="AU890">
        <f>'Grid_Requirement'!AR22</f>
        <v/>
      </c>
      <c r="AV890">
        <f>'Grid_Requirement'!AS22</f>
        <v/>
      </c>
      <c r="AW890">
        <f>'Grid_Requirement'!AT22</f>
        <v/>
      </c>
      <c r="AX890">
        <f>'Grid_Requirement'!AU22</f>
        <v/>
      </c>
      <c r="AY890">
        <f>'Grid_Requirement'!AV22</f>
        <v/>
      </c>
      <c r="AZ890">
        <f>'Grid_Requirement'!AW22</f>
        <v/>
      </c>
      <c r="BA890">
        <f>'Grid_Requirement'!AX22</f>
        <v/>
      </c>
      <c r="BB890">
        <f>'Grid_Requirement'!AY22</f>
        <v/>
      </c>
      <c r="BC890">
        <f>'Grid_Requirement'!AZ22</f>
        <v/>
      </c>
      <c r="BD890">
        <f>'Grid_Requirement'!BA22</f>
        <v/>
      </c>
      <c r="BE890">
        <f>'Grid_Requirement'!BB22</f>
        <v/>
      </c>
      <c r="BF890">
        <f>'Grid_Requirement'!BC22</f>
        <v/>
      </c>
      <c r="BG890">
        <f>'Grid_Requirement'!BD22</f>
        <v/>
      </c>
      <c r="BH890">
        <f>'Grid_Requirement'!BE22</f>
        <v/>
      </c>
      <c r="BI890">
        <f>'Grid_Requirement'!BF22</f>
        <v/>
      </c>
      <c r="BJ890">
        <f>'Grid_Requirement'!BG22</f>
        <v/>
      </c>
      <c r="BK890">
        <f>'Grid_Requirement'!BH22</f>
        <v/>
      </c>
      <c r="BL890">
        <f>'Grid_Requirement'!BI22</f>
        <v/>
      </c>
      <c r="BM890">
        <f>'Grid_Requirement'!BJ22</f>
        <v/>
      </c>
      <c r="BN890">
        <f>'Grid_Requirement'!BK22</f>
        <v/>
      </c>
      <c r="BO890">
        <f>'Grid_Requirement'!BL22</f>
        <v/>
      </c>
      <c r="BP890">
        <f>'Grid_Requirement'!BM22</f>
        <v/>
      </c>
      <c r="BQ890">
        <f>'Grid_Requirement'!BN22</f>
        <v/>
      </c>
      <c r="BR890">
        <f>'Grid_Requirement'!BO22</f>
        <v/>
      </c>
      <c r="BS890">
        <f>'Grid_Requirement'!BP22</f>
        <v/>
      </c>
      <c r="BT890">
        <f>'Grid_Requirement'!BQ22</f>
        <v/>
      </c>
      <c r="BU890">
        <f>'Grid_Requirement'!BR22</f>
        <v/>
      </c>
      <c r="BV890">
        <f>'Grid_Requirement'!BS22</f>
        <v/>
      </c>
      <c r="BW890">
        <f>'Grid_Requirement'!BT22</f>
        <v/>
      </c>
      <c r="BX890">
        <f>'Grid_Requirement'!BU22</f>
        <v/>
      </c>
      <c r="BY890">
        <f>'Grid_Requirement'!BV22</f>
        <v/>
      </c>
      <c r="BZ890">
        <f>'Grid_Requirement'!BW22</f>
        <v/>
      </c>
      <c r="CA890">
        <f>'Grid_Requirement'!BX22</f>
        <v/>
      </c>
      <c r="CB890">
        <f>'Grid_Requirement'!BY22</f>
        <v/>
      </c>
      <c r="CC890">
        <f>'Grid_Requirement'!BZ22</f>
        <v/>
      </c>
      <c r="CD890">
        <f>'Grid_Requirement'!CA22</f>
        <v/>
      </c>
      <c r="CE890">
        <f>'Grid_Requirement'!CB22</f>
        <v/>
      </c>
      <c r="CF890">
        <f>'Grid_Requirement'!CC22</f>
        <v/>
      </c>
      <c r="CG890">
        <f>'Grid_Requirement'!CD22</f>
        <v/>
      </c>
      <c r="CH890">
        <f>'Grid_Requirement'!CE22</f>
        <v/>
      </c>
      <c r="CI890">
        <f>'Grid_Requirement'!CF22</f>
        <v/>
      </c>
      <c r="CJ890">
        <f>'Grid_Requirement'!CG22</f>
        <v/>
      </c>
      <c r="CK890">
        <f>'Grid_Requirement'!CH22</f>
        <v/>
      </c>
      <c r="CL890">
        <f>'Grid_Requirement'!CI22</f>
        <v/>
      </c>
      <c r="CM890">
        <f>'Grid_Requirement'!CJ22</f>
        <v/>
      </c>
      <c r="CN890">
        <f>'Grid_Requirement'!CK22</f>
        <v/>
      </c>
      <c r="CO890">
        <f>'Grid_Requirement'!CL22</f>
        <v/>
      </c>
      <c r="CP890">
        <f>'Grid_Requirement'!CM22</f>
        <v/>
      </c>
      <c r="CQ890">
        <f>'Grid_Requirement'!CN22</f>
        <v/>
      </c>
      <c r="CR890">
        <f>'Grid_Requirement'!CO22</f>
        <v/>
      </c>
      <c r="CS890">
        <f>'Grid_Requirement'!CP22</f>
        <v/>
      </c>
      <c r="CT890">
        <f>'Grid_Requirement'!CQ22</f>
        <v/>
      </c>
      <c r="CU890">
        <f>'Grid_Requirement'!CR22</f>
        <v/>
      </c>
      <c r="CV890">
        <f>'Grid_Requirement'!CS22</f>
        <v/>
      </c>
      <c r="CW890">
        <f>'Grid_Requirement'!CT22</f>
        <v/>
      </c>
      <c r="CX890">
        <f>'Grid_Requirement'!CU22</f>
        <v/>
      </c>
      <c r="CY890">
        <f>'Grid_Requirement'!CV22</f>
        <v/>
      </c>
      <c r="CZ890">
        <f>'Grid_Requirement'!CW22</f>
        <v/>
      </c>
      <c r="DA890">
        <f>'Grid_Requirement'!CX22</f>
        <v/>
      </c>
      <c r="DB890">
        <f>'Grid_Requirement'!CY22</f>
        <v/>
      </c>
      <c r="DC890">
        <f>'Grid_Requirement'!CZ22</f>
        <v/>
      </c>
      <c r="DD890">
        <f>'Grid_Requirement'!DA22</f>
        <v/>
      </c>
    </row>
    <row r="891">
      <c r="B891" s="23" t="inlineStr">
        <is>
          <t>（在庫・入荷予定はDashboard参照）</t>
        </is>
      </c>
    </row>
    <row r="893">
      <c r="A893" s="21" t="inlineStr">
        <is>
          <t>CHEM-1510</t>
        </is>
      </c>
      <c r="B893" s="21" t="inlineStr">
        <is>
          <t>BA-070</t>
        </is>
      </c>
      <c r="C893" s="21" t="n"/>
      <c r="D893" s="21" t="n"/>
      <c r="E893" s="21" t="n"/>
      <c r="F893" s="21" t="n"/>
      <c r="G893" s="21" t="n"/>
      <c r="H893" s="21" t="n"/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  <c r="Z893" s="21" t="n"/>
      <c r="AA893" s="21" t="n"/>
      <c r="AB893" s="21" t="n"/>
      <c r="AC893" s="21" t="n"/>
      <c r="AD893" s="21" t="n"/>
      <c r="AE893" s="21" t="n"/>
      <c r="AF893" s="21" t="n"/>
      <c r="AG893" s="21" t="n"/>
      <c r="AH893" s="21" t="n"/>
      <c r="AI893" s="21" t="n"/>
      <c r="AJ893" s="21" t="n"/>
      <c r="AK893" s="21" t="n"/>
      <c r="AL893" s="21" t="n"/>
      <c r="AM893" s="21" t="n"/>
      <c r="AN893" s="21" t="n"/>
      <c r="AO893" s="21" t="n"/>
      <c r="AP893" s="21" t="n"/>
      <c r="AQ893" s="21" t="n"/>
      <c r="AR893" s="21" t="n"/>
      <c r="AS893" s="21" t="n"/>
      <c r="AT893" s="21" t="n"/>
      <c r="AU893" s="21" t="n"/>
      <c r="AV893" s="21" t="n"/>
      <c r="AW893" s="21" t="n"/>
      <c r="AX893" s="21" t="n"/>
      <c r="AY893" s="21" t="n"/>
      <c r="AZ893" s="21" t="n"/>
      <c r="BA893" s="21" t="n"/>
      <c r="BB893" s="21" t="n"/>
      <c r="BC893" s="21" t="n"/>
      <c r="BD893" s="21" t="n"/>
      <c r="BE893" s="21" t="n"/>
      <c r="BF893" s="21" t="n"/>
      <c r="BG893" s="21" t="n"/>
      <c r="BH893" s="21" t="n"/>
      <c r="BI893" s="21" t="n"/>
      <c r="BJ893" s="21" t="n"/>
      <c r="BK893" s="21" t="n"/>
      <c r="BL893" s="21" t="n"/>
      <c r="BM893" s="21" t="n"/>
      <c r="BN893" s="21" t="n"/>
      <c r="BO893" s="21" t="n"/>
      <c r="BP893" s="21" t="n"/>
      <c r="BQ893" s="21" t="n"/>
      <c r="BR893" s="21" t="n"/>
      <c r="BS893" s="21" t="n"/>
      <c r="BT893" s="21" t="n"/>
      <c r="BU893" s="21" t="n"/>
      <c r="BV893" s="21" t="n"/>
      <c r="BW893" s="21" t="n"/>
      <c r="BX893" s="21" t="n"/>
      <c r="BY893" s="21" t="n"/>
      <c r="BZ893" s="21" t="n"/>
      <c r="CA893" s="21" t="n"/>
      <c r="CB893" s="21" t="n"/>
      <c r="CC893" s="21" t="n"/>
      <c r="CD893" s="21" t="n"/>
      <c r="CE893" s="21" t="n"/>
      <c r="CF893" s="21" t="n"/>
      <c r="CG893" s="21" t="n"/>
      <c r="CH893" s="21" t="n"/>
      <c r="CI893" s="21" t="n"/>
      <c r="CJ893" s="21" t="n"/>
      <c r="CK893" s="21" t="n"/>
      <c r="CL893" s="21" t="n"/>
      <c r="CM893" s="21" t="n"/>
      <c r="CN893" s="21" t="n"/>
      <c r="CO893" s="21" t="n"/>
      <c r="CP893" s="21" t="n"/>
      <c r="CQ893" s="21" t="n"/>
      <c r="CR893" s="21" t="n"/>
      <c r="CS893" s="21" t="n"/>
      <c r="CT893" s="21" t="n"/>
      <c r="CU893" s="21" t="n"/>
      <c r="CV893" s="21" t="n"/>
      <c r="CW893" s="21" t="n"/>
      <c r="CX893" s="21" t="n"/>
      <c r="CY893" s="21" t="n"/>
      <c r="CZ893" s="21" t="n"/>
      <c r="DA893" s="21" t="n"/>
      <c r="DB893" s="21" t="n"/>
      <c r="DC893" s="21" t="n"/>
      <c r="DD893" s="21" t="n"/>
    </row>
    <row r="894">
      <c r="B894" t="inlineStr">
        <is>
          <t>TSP-219</t>
        </is>
      </c>
      <c r="C894" t="inlineStr">
        <is>
          <t>No. of batches</t>
        </is>
      </c>
      <c r="D894">
        <f>IFERROR(INDEX(E894:DD894,$F$1),"")</f>
        <v/>
      </c>
      <c r="E894">
        <f>IFERROR(INDEX(PP_Grid[#Data],$DE894,2),0)</f>
        <v/>
      </c>
      <c r="F894">
        <f>IFERROR(INDEX(PP_Grid[#Data],$DE894,3),0)</f>
        <v/>
      </c>
      <c r="G894">
        <f>IFERROR(INDEX(PP_Grid[#Data],$DE894,4),0)</f>
        <v/>
      </c>
      <c r="H894">
        <f>IFERROR(INDEX(PP_Grid[#Data],$DE894,5),0)</f>
        <v/>
      </c>
      <c r="I894">
        <f>IFERROR(INDEX(PP_Grid[#Data],$DE894,6),0)</f>
        <v/>
      </c>
      <c r="J894">
        <f>IFERROR(INDEX(PP_Grid[#Data],$DE894,7),0)</f>
        <v/>
      </c>
      <c r="K894">
        <f>IFERROR(INDEX(PP_Grid[#Data],$DE894,8),0)</f>
        <v/>
      </c>
      <c r="L894">
        <f>IFERROR(INDEX(PP_Grid[#Data],$DE894,9),0)</f>
        <v/>
      </c>
      <c r="M894">
        <f>IFERROR(INDEX(PP_Grid[#Data],$DE894,10),0)</f>
        <v/>
      </c>
      <c r="N894">
        <f>IFERROR(INDEX(PP_Grid[#Data],$DE894,11),0)</f>
        <v/>
      </c>
      <c r="O894">
        <f>IFERROR(INDEX(PP_Grid[#Data],$DE894,12),0)</f>
        <v/>
      </c>
      <c r="P894">
        <f>IFERROR(INDEX(PP_Grid[#Data],$DE894,13),0)</f>
        <v/>
      </c>
      <c r="Q894">
        <f>IFERROR(INDEX(PP_Grid[#Data],$DE894,14),0)</f>
        <v/>
      </c>
      <c r="R894">
        <f>IFERROR(INDEX(PP_Grid[#Data],$DE894,15),0)</f>
        <v/>
      </c>
      <c r="S894">
        <f>IFERROR(INDEX(PP_Grid[#Data],$DE894,16),0)</f>
        <v/>
      </c>
      <c r="T894">
        <f>IFERROR(INDEX(PP_Grid[#Data],$DE894,17),0)</f>
        <v/>
      </c>
      <c r="U894">
        <f>IFERROR(INDEX(PP_Grid[#Data],$DE894,18),0)</f>
        <v/>
      </c>
      <c r="V894">
        <f>IFERROR(INDEX(PP_Grid[#Data],$DE894,19),0)</f>
        <v/>
      </c>
      <c r="W894">
        <f>IFERROR(INDEX(PP_Grid[#Data],$DE894,20),0)</f>
        <v/>
      </c>
      <c r="X894">
        <f>IFERROR(INDEX(PP_Grid[#Data],$DE894,21),0)</f>
        <v/>
      </c>
      <c r="Y894">
        <f>IFERROR(INDEX(PP_Grid[#Data],$DE894,22),0)</f>
        <v/>
      </c>
      <c r="Z894">
        <f>IFERROR(INDEX(PP_Grid[#Data],$DE894,23),0)</f>
        <v/>
      </c>
      <c r="AA894">
        <f>IFERROR(INDEX(PP_Grid[#Data],$DE894,24),0)</f>
        <v/>
      </c>
      <c r="AB894">
        <f>IFERROR(INDEX(PP_Grid[#Data],$DE894,25),0)</f>
        <v/>
      </c>
      <c r="AC894">
        <f>IFERROR(INDEX(PP_Grid[#Data],$DE894,26),0)</f>
        <v/>
      </c>
      <c r="AD894">
        <f>IFERROR(INDEX(PP_Grid[#Data],$DE894,27),0)</f>
        <v/>
      </c>
      <c r="AE894">
        <f>IFERROR(INDEX(PP_Grid[#Data],$DE894,28),0)</f>
        <v/>
      </c>
      <c r="AF894">
        <f>IFERROR(INDEX(PP_Grid[#Data],$DE894,29),0)</f>
        <v/>
      </c>
      <c r="AG894">
        <f>IFERROR(INDEX(PP_Grid[#Data],$DE894,30),0)</f>
        <v/>
      </c>
      <c r="AH894">
        <f>IFERROR(INDEX(PP_Grid[#Data],$DE894,31),0)</f>
        <v/>
      </c>
      <c r="AI894">
        <f>IFERROR(INDEX(PP_Grid[#Data],$DE894,32),0)</f>
        <v/>
      </c>
      <c r="AJ894">
        <f>IFERROR(INDEX(PP_Grid[#Data],$DE894,33),0)</f>
        <v/>
      </c>
      <c r="AK894">
        <f>IFERROR(INDEX(PP_Grid[#Data],$DE894,34),0)</f>
        <v/>
      </c>
      <c r="AL894">
        <f>IFERROR(INDEX(PP_Grid[#Data],$DE894,35),0)</f>
        <v/>
      </c>
      <c r="AM894">
        <f>IFERROR(INDEX(PP_Grid[#Data],$DE894,36),0)</f>
        <v/>
      </c>
      <c r="AN894">
        <f>IFERROR(INDEX(PP_Grid[#Data],$DE894,37),0)</f>
        <v/>
      </c>
      <c r="AO894">
        <f>IFERROR(INDEX(PP_Grid[#Data],$DE894,38),0)</f>
        <v/>
      </c>
      <c r="AP894">
        <f>IFERROR(INDEX(PP_Grid[#Data],$DE894,39),0)</f>
        <v/>
      </c>
      <c r="AQ894">
        <f>IFERROR(INDEX(PP_Grid[#Data],$DE894,40),0)</f>
        <v/>
      </c>
      <c r="AR894">
        <f>IFERROR(INDEX(PP_Grid[#Data],$DE894,41),0)</f>
        <v/>
      </c>
      <c r="AS894">
        <f>IFERROR(INDEX(PP_Grid[#Data],$DE894,42),0)</f>
        <v/>
      </c>
      <c r="AT894">
        <f>IFERROR(INDEX(PP_Grid[#Data],$DE894,43),0)</f>
        <v/>
      </c>
      <c r="AU894">
        <f>IFERROR(INDEX(PP_Grid[#Data],$DE894,44),0)</f>
        <v/>
      </c>
      <c r="AV894">
        <f>IFERROR(INDEX(PP_Grid[#Data],$DE894,45),0)</f>
        <v/>
      </c>
      <c r="AW894">
        <f>IFERROR(INDEX(PP_Grid[#Data],$DE894,46),0)</f>
        <v/>
      </c>
      <c r="AX894">
        <f>IFERROR(INDEX(PP_Grid[#Data],$DE894,47),0)</f>
        <v/>
      </c>
      <c r="AY894">
        <f>IFERROR(INDEX(PP_Grid[#Data],$DE894,48),0)</f>
        <v/>
      </c>
      <c r="AZ894">
        <f>IFERROR(INDEX(PP_Grid[#Data],$DE894,49),0)</f>
        <v/>
      </c>
      <c r="BA894">
        <f>IFERROR(INDEX(PP_Grid[#Data],$DE894,50),0)</f>
        <v/>
      </c>
      <c r="BB894">
        <f>IFERROR(INDEX(PP_Grid[#Data],$DE894,51),0)</f>
        <v/>
      </c>
      <c r="BC894">
        <f>IFERROR(INDEX(PP_Grid[#Data],$DE894,52),0)</f>
        <v/>
      </c>
      <c r="BD894">
        <f>IFERROR(INDEX(PP_Grid[#Data],$DE894,53),0)</f>
        <v/>
      </c>
      <c r="BE894">
        <f>IFERROR(INDEX(PP_Grid[#Data],$DE894,54),0)</f>
        <v/>
      </c>
      <c r="BF894">
        <f>IFERROR(INDEX(PP_Grid[#Data],$DE894,55),0)</f>
        <v/>
      </c>
      <c r="BG894">
        <f>IFERROR(INDEX(PP_Grid[#Data],$DE894,56),0)</f>
        <v/>
      </c>
      <c r="BH894">
        <f>IFERROR(INDEX(PP_Grid[#Data],$DE894,57),0)</f>
        <v/>
      </c>
      <c r="BI894">
        <f>IFERROR(INDEX(PP_Grid[#Data],$DE894,58),0)</f>
        <v/>
      </c>
      <c r="BJ894">
        <f>IFERROR(INDEX(PP_Grid[#Data],$DE894,59),0)</f>
        <v/>
      </c>
      <c r="BK894">
        <f>IFERROR(INDEX(PP_Grid[#Data],$DE894,60),0)</f>
        <v/>
      </c>
      <c r="BL894">
        <f>IFERROR(INDEX(PP_Grid[#Data],$DE894,61),0)</f>
        <v/>
      </c>
      <c r="BM894">
        <f>IFERROR(INDEX(PP_Grid[#Data],$DE894,62),0)</f>
        <v/>
      </c>
      <c r="BN894">
        <f>IFERROR(INDEX(PP_Grid[#Data],$DE894,63),0)</f>
        <v/>
      </c>
      <c r="BO894">
        <f>IFERROR(INDEX(PP_Grid[#Data],$DE894,64),0)</f>
        <v/>
      </c>
      <c r="BP894">
        <f>IFERROR(INDEX(PP_Grid[#Data],$DE894,65),0)</f>
        <v/>
      </c>
      <c r="BQ894">
        <f>IFERROR(INDEX(PP_Grid[#Data],$DE894,66),0)</f>
        <v/>
      </c>
      <c r="BR894">
        <f>IFERROR(INDEX(PP_Grid[#Data],$DE894,67),0)</f>
        <v/>
      </c>
      <c r="BS894">
        <f>IFERROR(INDEX(PP_Grid[#Data],$DE894,68),0)</f>
        <v/>
      </c>
      <c r="BT894">
        <f>IFERROR(INDEX(PP_Grid[#Data],$DE894,69),0)</f>
        <v/>
      </c>
      <c r="BU894">
        <f>IFERROR(INDEX(PP_Grid[#Data],$DE894,70),0)</f>
        <v/>
      </c>
      <c r="BV894">
        <f>IFERROR(INDEX(PP_Grid[#Data],$DE894,71),0)</f>
        <v/>
      </c>
      <c r="BW894">
        <f>IFERROR(INDEX(PP_Grid[#Data],$DE894,72),0)</f>
        <v/>
      </c>
      <c r="BX894">
        <f>IFERROR(INDEX(PP_Grid[#Data],$DE894,73),0)</f>
        <v/>
      </c>
      <c r="BY894">
        <f>IFERROR(INDEX(PP_Grid[#Data],$DE894,74),0)</f>
        <v/>
      </c>
      <c r="BZ894">
        <f>IFERROR(INDEX(PP_Grid[#Data],$DE894,75),0)</f>
        <v/>
      </c>
      <c r="CA894">
        <f>IFERROR(INDEX(PP_Grid[#Data],$DE894,76),0)</f>
        <v/>
      </c>
      <c r="CB894">
        <f>IFERROR(INDEX(PP_Grid[#Data],$DE894,77),0)</f>
        <v/>
      </c>
      <c r="CC894">
        <f>IFERROR(INDEX(PP_Grid[#Data],$DE894,78),0)</f>
        <v/>
      </c>
      <c r="CD894">
        <f>IFERROR(INDEX(PP_Grid[#Data],$DE894,79),0)</f>
        <v/>
      </c>
      <c r="CE894">
        <f>IFERROR(INDEX(PP_Grid[#Data],$DE894,80),0)</f>
        <v/>
      </c>
      <c r="CF894">
        <f>IFERROR(INDEX(PP_Grid[#Data],$DE894,81),0)</f>
        <v/>
      </c>
      <c r="CG894">
        <f>IFERROR(INDEX(PP_Grid[#Data],$DE894,82),0)</f>
        <v/>
      </c>
      <c r="CH894">
        <f>IFERROR(INDEX(PP_Grid[#Data],$DE894,83),0)</f>
        <v/>
      </c>
      <c r="CI894">
        <f>IFERROR(INDEX(PP_Grid[#Data],$DE894,84),0)</f>
        <v/>
      </c>
      <c r="CJ894">
        <f>IFERROR(INDEX(PP_Grid[#Data],$DE894,85),0)</f>
        <v/>
      </c>
      <c r="CK894">
        <f>IFERROR(INDEX(PP_Grid[#Data],$DE894,86),0)</f>
        <v/>
      </c>
      <c r="CL894">
        <f>IFERROR(INDEX(PP_Grid[#Data],$DE894,87),0)</f>
        <v/>
      </c>
      <c r="CM894">
        <f>IFERROR(INDEX(PP_Grid[#Data],$DE894,88),0)</f>
        <v/>
      </c>
      <c r="CN894">
        <f>IFERROR(INDEX(PP_Grid[#Data],$DE894,89),0)</f>
        <v/>
      </c>
      <c r="CO894">
        <f>IFERROR(INDEX(PP_Grid[#Data],$DE894,90),0)</f>
        <v/>
      </c>
      <c r="CP894">
        <f>IFERROR(INDEX(PP_Grid[#Data],$DE894,91),0)</f>
        <v/>
      </c>
      <c r="CQ894">
        <f>IFERROR(INDEX(PP_Grid[#Data],$DE894,92),0)</f>
        <v/>
      </c>
      <c r="CR894">
        <f>IFERROR(INDEX(PP_Grid[#Data],$DE894,93),0)</f>
        <v/>
      </c>
      <c r="CS894">
        <f>IFERROR(INDEX(PP_Grid[#Data],$DE894,94),0)</f>
        <v/>
      </c>
      <c r="CT894">
        <f>IFERROR(INDEX(PP_Grid[#Data],$DE894,95),0)</f>
        <v/>
      </c>
      <c r="CU894">
        <f>IFERROR(INDEX(PP_Grid[#Data],$DE894,96),0)</f>
        <v/>
      </c>
      <c r="CV894">
        <f>IFERROR(INDEX(PP_Grid[#Data],$DE894,97),0)</f>
        <v/>
      </c>
      <c r="CW894">
        <f>IFERROR(INDEX(PP_Grid[#Data],$DE894,98),0)</f>
        <v/>
      </c>
      <c r="CX894">
        <f>IFERROR(INDEX(PP_Grid[#Data],$DE894,99),0)</f>
        <v/>
      </c>
      <c r="CY894">
        <f>IFERROR(INDEX(PP_Grid[#Data],$DE894,100),0)</f>
        <v/>
      </c>
      <c r="CZ894">
        <f>IFERROR(INDEX(PP_Grid[#Data],$DE894,101),0)</f>
        <v/>
      </c>
      <c r="DA894">
        <f>IFERROR(INDEX(PP_Grid[#Data],$DE894,102),0)</f>
        <v/>
      </c>
      <c r="DB894">
        <f>IFERROR(INDEX(PP_Grid[#Data],$DE894,103),0)</f>
        <v/>
      </c>
      <c r="DC894">
        <f>IFERROR(INDEX(PP_Grid[#Data],$DE894,104),0)</f>
        <v/>
      </c>
      <c r="DD894">
        <f>IFERROR(INDEX(PP_Grid[#Data],$DE894,105),0)</f>
        <v/>
      </c>
      <c r="DE894" s="7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SUMIFS(M_BOM[RM_Qty_Per_Batch],M_BOM[Intermediate],$B894,M_BOM[RM_Code],$A893)</f>
        <v/>
      </c>
      <c r="D895">
        <f>IFERROR(INDEX(E895:DD895,$F$1),"")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  <c r="DD895">
        <f>$C895*DD894</f>
        <v/>
      </c>
    </row>
    <row r="896">
      <c r="B896" t="inlineStr">
        <is>
          <t>TSP-360</t>
        </is>
      </c>
      <c r="C896" t="inlineStr">
        <is>
          <t>No. of batches</t>
        </is>
      </c>
      <c r="D896">
        <f>IFERROR(INDEX(E896:DD896,$F$1),"")</f>
        <v/>
      </c>
      <c r="E896">
        <f>IFERROR(INDEX(PP_Grid[#Data],$DE896,2),0)</f>
        <v/>
      </c>
      <c r="F896">
        <f>IFERROR(INDEX(PP_Grid[#Data],$DE896,3),0)</f>
        <v/>
      </c>
      <c r="G896">
        <f>IFERROR(INDEX(PP_Grid[#Data],$DE896,4),0)</f>
        <v/>
      </c>
      <c r="H896">
        <f>IFERROR(INDEX(PP_Grid[#Data],$DE896,5),0)</f>
        <v/>
      </c>
      <c r="I896">
        <f>IFERROR(INDEX(PP_Grid[#Data],$DE896,6),0)</f>
        <v/>
      </c>
      <c r="J896">
        <f>IFERROR(INDEX(PP_Grid[#Data],$DE896,7),0)</f>
        <v/>
      </c>
      <c r="K896">
        <f>IFERROR(INDEX(PP_Grid[#Data],$DE896,8),0)</f>
        <v/>
      </c>
      <c r="L896">
        <f>IFERROR(INDEX(PP_Grid[#Data],$DE896,9),0)</f>
        <v/>
      </c>
      <c r="M896">
        <f>IFERROR(INDEX(PP_Grid[#Data],$DE896,10),0)</f>
        <v/>
      </c>
      <c r="N896">
        <f>IFERROR(INDEX(PP_Grid[#Data],$DE896,11),0)</f>
        <v/>
      </c>
      <c r="O896">
        <f>IFERROR(INDEX(PP_Grid[#Data],$DE896,12),0)</f>
        <v/>
      </c>
      <c r="P896">
        <f>IFERROR(INDEX(PP_Grid[#Data],$DE896,13),0)</f>
        <v/>
      </c>
      <c r="Q896">
        <f>IFERROR(INDEX(PP_Grid[#Data],$DE896,14),0)</f>
        <v/>
      </c>
      <c r="R896">
        <f>IFERROR(INDEX(PP_Grid[#Data],$DE896,15),0)</f>
        <v/>
      </c>
      <c r="S896">
        <f>IFERROR(INDEX(PP_Grid[#Data],$DE896,16),0)</f>
        <v/>
      </c>
      <c r="T896">
        <f>IFERROR(INDEX(PP_Grid[#Data],$DE896,17),0)</f>
        <v/>
      </c>
      <c r="U896">
        <f>IFERROR(INDEX(PP_Grid[#Data],$DE896,18),0)</f>
        <v/>
      </c>
      <c r="V896">
        <f>IFERROR(INDEX(PP_Grid[#Data],$DE896,19),0)</f>
        <v/>
      </c>
      <c r="W896">
        <f>IFERROR(INDEX(PP_Grid[#Data],$DE896,20),0)</f>
        <v/>
      </c>
      <c r="X896">
        <f>IFERROR(INDEX(PP_Grid[#Data],$DE896,21),0)</f>
        <v/>
      </c>
      <c r="Y896">
        <f>IFERROR(INDEX(PP_Grid[#Data],$DE896,22),0)</f>
        <v/>
      </c>
      <c r="Z896">
        <f>IFERROR(INDEX(PP_Grid[#Data],$DE896,23),0)</f>
        <v/>
      </c>
      <c r="AA896">
        <f>IFERROR(INDEX(PP_Grid[#Data],$DE896,24),0)</f>
        <v/>
      </c>
      <c r="AB896">
        <f>IFERROR(INDEX(PP_Grid[#Data],$DE896,25),0)</f>
        <v/>
      </c>
      <c r="AC896">
        <f>IFERROR(INDEX(PP_Grid[#Data],$DE896,26),0)</f>
        <v/>
      </c>
      <c r="AD896">
        <f>IFERROR(INDEX(PP_Grid[#Data],$DE896,27),0)</f>
        <v/>
      </c>
      <c r="AE896">
        <f>IFERROR(INDEX(PP_Grid[#Data],$DE896,28),0)</f>
        <v/>
      </c>
      <c r="AF896">
        <f>IFERROR(INDEX(PP_Grid[#Data],$DE896,29),0)</f>
        <v/>
      </c>
      <c r="AG896">
        <f>IFERROR(INDEX(PP_Grid[#Data],$DE896,30),0)</f>
        <v/>
      </c>
      <c r="AH896">
        <f>IFERROR(INDEX(PP_Grid[#Data],$DE896,31),0)</f>
        <v/>
      </c>
      <c r="AI896">
        <f>IFERROR(INDEX(PP_Grid[#Data],$DE896,32),0)</f>
        <v/>
      </c>
      <c r="AJ896">
        <f>IFERROR(INDEX(PP_Grid[#Data],$DE896,33),0)</f>
        <v/>
      </c>
      <c r="AK896">
        <f>IFERROR(INDEX(PP_Grid[#Data],$DE896,34),0)</f>
        <v/>
      </c>
      <c r="AL896">
        <f>IFERROR(INDEX(PP_Grid[#Data],$DE896,35),0)</f>
        <v/>
      </c>
      <c r="AM896">
        <f>IFERROR(INDEX(PP_Grid[#Data],$DE896,36),0)</f>
        <v/>
      </c>
      <c r="AN896">
        <f>IFERROR(INDEX(PP_Grid[#Data],$DE896,37),0)</f>
        <v/>
      </c>
      <c r="AO896">
        <f>IFERROR(INDEX(PP_Grid[#Data],$DE896,38),0)</f>
        <v/>
      </c>
      <c r="AP896">
        <f>IFERROR(INDEX(PP_Grid[#Data],$DE896,39),0)</f>
        <v/>
      </c>
      <c r="AQ896">
        <f>IFERROR(INDEX(PP_Grid[#Data],$DE896,40),0)</f>
        <v/>
      </c>
      <c r="AR896">
        <f>IFERROR(INDEX(PP_Grid[#Data],$DE896,41),0)</f>
        <v/>
      </c>
      <c r="AS896">
        <f>IFERROR(INDEX(PP_Grid[#Data],$DE896,42),0)</f>
        <v/>
      </c>
      <c r="AT896">
        <f>IFERROR(INDEX(PP_Grid[#Data],$DE896,43),0)</f>
        <v/>
      </c>
      <c r="AU896">
        <f>IFERROR(INDEX(PP_Grid[#Data],$DE896,44),0)</f>
        <v/>
      </c>
      <c r="AV896">
        <f>IFERROR(INDEX(PP_Grid[#Data],$DE896,45),0)</f>
        <v/>
      </c>
      <c r="AW896">
        <f>IFERROR(INDEX(PP_Grid[#Data],$DE896,46),0)</f>
        <v/>
      </c>
      <c r="AX896">
        <f>IFERROR(INDEX(PP_Grid[#Data],$DE896,47),0)</f>
        <v/>
      </c>
      <c r="AY896">
        <f>IFERROR(INDEX(PP_Grid[#Data],$DE896,48),0)</f>
        <v/>
      </c>
      <c r="AZ896">
        <f>IFERROR(INDEX(PP_Grid[#Data],$DE896,49),0)</f>
        <v/>
      </c>
      <c r="BA896">
        <f>IFERROR(INDEX(PP_Grid[#Data],$DE896,50),0)</f>
        <v/>
      </c>
      <c r="BB896">
        <f>IFERROR(INDEX(PP_Grid[#Data],$DE896,51),0)</f>
        <v/>
      </c>
      <c r="BC896">
        <f>IFERROR(INDEX(PP_Grid[#Data],$DE896,52),0)</f>
        <v/>
      </c>
      <c r="BD896">
        <f>IFERROR(INDEX(PP_Grid[#Data],$DE896,53),0)</f>
        <v/>
      </c>
      <c r="BE896">
        <f>IFERROR(INDEX(PP_Grid[#Data],$DE896,54),0)</f>
        <v/>
      </c>
      <c r="BF896">
        <f>IFERROR(INDEX(PP_Grid[#Data],$DE896,55),0)</f>
        <v/>
      </c>
      <c r="BG896">
        <f>IFERROR(INDEX(PP_Grid[#Data],$DE896,56),0)</f>
        <v/>
      </c>
      <c r="BH896">
        <f>IFERROR(INDEX(PP_Grid[#Data],$DE896,57),0)</f>
        <v/>
      </c>
      <c r="BI896">
        <f>IFERROR(INDEX(PP_Grid[#Data],$DE896,58),0)</f>
        <v/>
      </c>
      <c r="BJ896">
        <f>IFERROR(INDEX(PP_Grid[#Data],$DE896,59),0)</f>
        <v/>
      </c>
      <c r="BK896">
        <f>IFERROR(INDEX(PP_Grid[#Data],$DE896,60),0)</f>
        <v/>
      </c>
      <c r="BL896">
        <f>IFERROR(INDEX(PP_Grid[#Data],$DE896,61),0)</f>
        <v/>
      </c>
      <c r="BM896">
        <f>IFERROR(INDEX(PP_Grid[#Data],$DE896,62),0)</f>
        <v/>
      </c>
      <c r="BN896">
        <f>IFERROR(INDEX(PP_Grid[#Data],$DE896,63),0)</f>
        <v/>
      </c>
      <c r="BO896">
        <f>IFERROR(INDEX(PP_Grid[#Data],$DE896,64),0)</f>
        <v/>
      </c>
      <c r="BP896">
        <f>IFERROR(INDEX(PP_Grid[#Data],$DE896,65),0)</f>
        <v/>
      </c>
      <c r="BQ896">
        <f>IFERROR(INDEX(PP_Grid[#Data],$DE896,66),0)</f>
        <v/>
      </c>
      <c r="BR896">
        <f>IFERROR(INDEX(PP_Grid[#Data],$DE896,67),0)</f>
        <v/>
      </c>
      <c r="BS896">
        <f>IFERROR(INDEX(PP_Grid[#Data],$DE896,68),0)</f>
        <v/>
      </c>
      <c r="BT896">
        <f>IFERROR(INDEX(PP_Grid[#Data],$DE896,69),0)</f>
        <v/>
      </c>
      <c r="BU896">
        <f>IFERROR(INDEX(PP_Grid[#Data],$DE896,70),0)</f>
        <v/>
      </c>
      <c r="BV896">
        <f>IFERROR(INDEX(PP_Grid[#Data],$DE896,71),0)</f>
        <v/>
      </c>
      <c r="BW896">
        <f>IFERROR(INDEX(PP_Grid[#Data],$DE896,72),0)</f>
        <v/>
      </c>
      <c r="BX896">
        <f>IFERROR(INDEX(PP_Grid[#Data],$DE896,73),0)</f>
        <v/>
      </c>
      <c r="BY896">
        <f>IFERROR(INDEX(PP_Grid[#Data],$DE896,74),0)</f>
        <v/>
      </c>
      <c r="BZ896">
        <f>IFERROR(INDEX(PP_Grid[#Data],$DE896,75),0)</f>
        <v/>
      </c>
      <c r="CA896">
        <f>IFERROR(INDEX(PP_Grid[#Data],$DE896,76),0)</f>
        <v/>
      </c>
      <c r="CB896">
        <f>IFERROR(INDEX(PP_Grid[#Data],$DE896,77),0)</f>
        <v/>
      </c>
      <c r="CC896">
        <f>IFERROR(INDEX(PP_Grid[#Data],$DE896,78),0)</f>
        <v/>
      </c>
      <c r="CD896">
        <f>IFERROR(INDEX(PP_Grid[#Data],$DE896,79),0)</f>
        <v/>
      </c>
      <c r="CE896">
        <f>IFERROR(INDEX(PP_Grid[#Data],$DE896,80),0)</f>
        <v/>
      </c>
      <c r="CF896">
        <f>IFERROR(INDEX(PP_Grid[#Data],$DE896,81),0)</f>
        <v/>
      </c>
      <c r="CG896">
        <f>IFERROR(INDEX(PP_Grid[#Data],$DE896,82),0)</f>
        <v/>
      </c>
      <c r="CH896">
        <f>IFERROR(INDEX(PP_Grid[#Data],$DE896,83),0)</f>
        <v/>
      </c>
      <c r="CI896">
        <f>IFERROR(INDEX(PP_Grid[#Data],$DE896,84),0)</f>
        <v/>
      </c>
      <c r="CJ896">
        <f>IFERROR(INDEX(PP_Grid[#Data],$DE896,85),0)</f>
        <v/>
      </c>
      <c r="CK896">
        <f>IFERROR(INDEX(PP_Grid[#Data],$DE896,86),0)</f>
        <v/>
      </c>
      <c r="CL896">
        <f>IFERROR(INDEX(PP_Grid[#Data],$DE896,87),0)</f>
        <v/>
      </c>
      <c r="CM896">
        <f>IFERROR(INDEX(PP_Grid[#Data],$DE896,88),0)</f>
        <v/>
      </c>
      <c r="CN896">
        <f>IFERROR(INDEX(PP_Grid[#Data],$DE896,89),0)</f>
        <v/>
      </c>
      <c r="CO896">
        <f>IFERROR(INDEX(PP_Grid[#Data],$DE896,90),0)</f>
        <v/>
      </c>
      <c r="CP896">
        <f>IFERROR(INDEX(PP_Grid[#Data],$DE896,91),0)</f>
        <v/>
      </c>
      <c r="CQ896">
        <f>IFERROR(INDEX(PP_Grid[#Data],$DE896,92),0)</f>
        <v/>
      </c>
      <c r="CR896">
        <f>IFERROR(INDEX(PP_Grid[#Data],$DE896,93),0)</f>
        <v/>
      </c>
      <c r="CS896">
        <f>IFERROR(INDEX(PP_Grid[#Data],$DE896,94),0)</f>
        <v/>
      </c>
      <c r="CT896">
        <f>IFERROR(INDEX(PP_Grid[#Data],$DE896,95),0)</f>
        <v/>
      </c>
      <c r="CU896">
        <f>IFERROR(INDEX(PP_Grid[#Data],$DE896,96),0)</f>
        <v/>
      </c>
      <c r="CV896">
        <f>IFERROR(INDEX(PP_Grid[#Data],$DE896,97),0)</f>
        <v/>
      </c>
      <c r="CW896">
        <f>IFERROR(INDEX(PP_Grid[#Data],$DE896,98),0)</f>
        <v/>
      </c>
      <c r="CX896">
        <f>IFERROR(INDEX(PP_Grid[#Data],$DE896,99),0)</f>
        <v/>
      </c>
      <c r="CY896">
        <f>IFERROR(INDEX(PP_Grid[#Data],$DE896,100),0)</f>
        <v/>
      </c>
      <c r="CZ896">
        <f>IFERROR(INDEX(PP_Grid[#Data],$DE896,101),0)</f>
        <v/>
      </c>
      <c r="DA896">
        <f>IFERROR(INDEX(PP_Grid[#Data],$DE896,102),0)</f>
        <v/>
      </c>
      <c r="DB896">
        <f>IFERROR(INDEX(PP_Grid[#Data],$DE896,103),0)</f>
        <v/>
      </c>
      <c r="DC896">
        <f>IFERROR(INDEX(PP_Grid[#Data],$DE896,104),0)</f>
        <v/>
      </c>
      <c r="DD896">
        <f>IFERROR(INDEX(PP_Grid[#Data],$DE896,105),0)</f>
        <v/>
      </c>
      <c r="DE896" s="7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SUMIFS(M_BOM[RM_Qty_Per_Batch],M_BOM[Intermediate],$B896,M_BOM[RM_Code],$A893)</f>
        <v/>
      </c>
      <c r="D897">
        <f>IFERROR(INDEX(E897:DD897,$F$1),"")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  <c r="DD897">
        <f>$C897*DD896</f>
        <v/>
      </c>
    </row>
    <row r="898">
      <c r="B898" t="inlineStr">
        <is>
          <t>TSP-367</t>
        </is>
      </c>
      <c r="C898" t="inlineStr">
        <is>
          <t>No. of batches</t>
        </is>
      </c>
      <c r="D898">
        <f>IFERROR(INDEX(E898:DD898,$F$1),"")</f>
        <v/>
      </c>
      <c r="E898">
        <f>IFERROR(INDEX(PP_Grid[#Data],$DE898,2),0)</f>
        <v/>
      </c>
      <c r="F898">
        <f>IFERROR(INDEX(PP_Grid[#Data],$DE898,3),0)</f>
        <v/>
      </c>
      <c r="G898">
        <f>IFERROR(INDEX(PP_Grid[#Data],$DE898,4),0)</f>
        <v/>
      </c>
      <c r="H898">
        <f>IFERROR(INDEX(PP_Grid[#Data],$DE898,5),0)</f>
        <v/>
      </c>
      <c r="I898">
        <f>IFERROR(INDEX(PP_Grid[#Data],$DE898,6),0)</f>
        <v/>
      </c>
      <c r="J898">
        <f>IFERROR(INDEX(PP_Grid[#Data],$DE898,7),0)</f>
        <v/>
      </c>
      <c r="K898">
        <f>IFERROR(INDEX(PP_Grid[#Data],$DE898,8),0)</f>
        <v/>
      </c>
      <c r="L898">
        <f>IFERROR(INDEX(PP_Grid[#Data],$DE898,9),0)</f>
        <v/>
      </c>
      <c r="M898">
        <f>IFERROR(INDEX(PP_Grid[#Data],$DE898,10),0)</f>
        <v/>
      </c>
      <c r="N898">
        <f>IFERROR(INDEX(PP_Grid[#Data],$DE898,11),0)</f>
        <v/>
      </c>
      <c r="O898">
        <f>IFERROR(INDEX(PP_Grid[#Data],$DE898,12),0)</f>
        <v/>
      </c>
      <c r="P898">
        <f>IFERROR(INDEX(PP_Grid[#Data],$DE898,13),0)</f>
        <v/>
      </c>
      <c r="Q898">
        <f>IFERROR(INDEX(PP_Grid[#Data],$DE898,14),0)</f>
        <v/>
      </c>
      <c r="R898">
        <f>IFERROR(INDEX(PP_Grid[#Data],$DE898,15),0)</f>
        <v/>
      </c>
      <c r="S898">
        <f>IFERROR(INDEX(PP_Grid[#Data],$DE898,16),0)</f>
        <v/>
      </c>
      <c r="T898">
        <f>IFERROR(INDEX(PP_Grid[#Data],$DE898,17),0)</f>
        <v/>
      </c>
      <c r="U898">
        <f>IFERROR(INDEX(PP_Grid[#Data],$DE898,18),0)</f>
        <v/>
      </c>
      <c r="V898">
        <f>IFERROR(INDEX(PP_Grid[#Data],$DE898,19),0)</f>
        <v/>
      </c>
      <c r="W898">
        <f>IFERROR(INDEX(PP_Grid[#Data],$DE898,20),0)</f>
        <v/>
      </c>
      <c r="X898">
        <f>IFERROR(INDEX(PP_Grid[#Data],$DE898,21),0)</f>
        <v/>
      </c>
      <c r="Y898">
        <f>IFERROR(INDEX(PP_Grid[#Data],$DE898,22),0)</f>
        <v/>
      </c>
      <c r="Z898">
        <f>IFERROR(INDEX(PP_Grid[#Data],$DE898,23),0)</f>
        <v/>
      </c>
      <c r="AA898">
        <f>IFERROR(INDEX(PP_Grid[#Data],$DE898,24),0)</f>
        <v/>
      </c>
      <c r="AB898">
        <f>IFERROR(INDEX(PP_Grid[#Data],$DE898,25),0)</f>
        <v/>
      </c>
      <c r="AC898">
        <f>IFERROR(INDEX(PP_Grid[#Data],$DE898,26),0)</f>
        <v/>
      </c>
      <c r="AD898">
        <f>IFERROR(INDEX(PP_Grid[#Data],$DE898,27),0)</f>
        <v/>
      </c>
      <c r="AE898">
        <f>IFERROR(INDEX(PP_Grid[#Data],$DE898,28),0)</f>
        <v/>
      </c>
      <c r="AF898">
        <f>IFERROR(INDEX(PP_Grid[#Data],$DE898,29),0)</f>
        <v/>
      </c>
      <c r="AG898">
        <f>IFERROR(INDEX(PP_Grid[#Data],$DE898,30),0)</f>
        <v/>
      </c>
      <c r="AH898">
        <f>IFERROR(INDEX(PP_Grid[#Data],$DE898,31),0)</f>
        <v/>
      </c>
      <c r="AI898">
        <f>IFERROR(INDEX(PP_Grid[#Data],$DE898,32),0)</f>
        <v/>
      </c>
      <c r="AJ898">
        <f>IFERROR(INDEX(PP_Grid[#Data],$DE898,33),0)</f>
        <v/>
      </c>
      <c r="AK898">
        <f>IFERROR(INDEX(PP_Grid[#Data],$DE898,34),0)</f>
        <v/>
      </c>
      <c r="AL898">
        <f>IFERROR(INDEX(PP_Grid[#Data],$DE898,35),0)</f>
        <v/>
      </c>
      <c r="AM898">
        <f>IFERROR(INDEX(PP_Grid[#Data],$DE898,36),0)</f>
        <v/>
      </c>
      <c r="AN898">
        <f>IFERROR(INDEX(PP_Grid[#Data],$DE898,37),0)</f>
        <v/>
      </c>
      <c r="AO898">
        <f>IFERROR(INDEX(PP_Grid[#Data],$DE898,38),0)</f>
        <v/>
      </c>
      <c r="AP898">
        <f>IFERROR(INDEX(PP_Grid[#Data],$DE898,39),0)</f>
        <v/>
      </c>
      <c r="AQ898">
        <f>IFERROR(INDEX(PP_Grid[#Data],$DE898,40),0)</f>
        <v/>
      </c>
      <c r="AR898">
        <f>IFERROR(INDEX(PP_Grid[#Data],$DE898,41),0)</f>
        <v/>
      </c>
      <c r="AS898">
        <f>IFERROR(INDEX(PP_Grid[#Data],$DE898,42),0)</f>
        <v/>
      </c>
      <c r="AT898">
        <f>IFERROR(INDEX(PP_Grid[#Data],$DE898,43),0)</f>
        <v/>
      </c>
      <c r="AU898">
        <f>IFERROR(INDEX(PP_Grid[#Data],$DE898,44),0)</f>
        <v/>
      </c>
      <c r="AV898">
        <f>IFERROR(INDEX(PP_Grid[#Data],$DE898,45),0)</f>
        <v/>
      </c>
      <c r="AW898">
        <f>IFERROR(INDEX(PP_Grid[#Data],$DE898,46),0)</f>
        <v/>
      </c>
      <c r="AX898">
        <f>IFERROR(INDEX(PP_Grid[#Data],$DE898,47),0)</f>
        <v/>
      </c>
      <c r="AY898">
        <f>IFERROR(INDEX(PP_Grid[#Data],$DE898,48),0)</f>
        <v/>
      </c>
      <c r="AZ898">
        <f>IFERROR(INDEX(PP_Grid[#Data],$DE898,49),0)</f>
        <v/>
      </c>
      <c r="BA898">
        <f>IFERROR(INDEX(PP_Grid[#Data],$DE898,50),0)</f>
        <v/>
      </c>
      <c r="BB898">
        <f>IFERROR(INDEX(PP_Grid[#Data],$DE898,51),0)</f>
        <v/>
      </c>
      <c r="BC898">
        <f>IFERROR(INDEX(PP_Grid[#Data],$DE898,52),0)</f>
        <v/>
      </c>
      <c r="BD898">
        <f>IFERROR(INDEX(PP_Grid[#Data],$DE898,53),0)</f>
        <v/>
      </c>
      <c r="BE898">
        <f>IFERROR(INDEX(PP_Grid[#Data],$DE898,54),0)</f>
        <v/>
      </c>
      <c r="BF898">
        <f>IFERROR(INDEX(PP_Grid[#Data],$DE898,55),0)</f>
        <v/>
      </c>
      <c r="BG898">
        <f>IFERROR(INDEX(PP_Grid[#Data],$DE898,56),0)</f>
        <v/>
      </c>
      <c r="BH898">
        <f>IFERROR(INDEX(PP_Grid[#Data],$DE898,57),0)</f>
        <v/>
      </c>
      <c r="BI898">
        <f>IFERROR(INDEX(PP_Grid[#Data],$DE898,58),0)</f>
        <v/>
      </c>
      <c r="BJ898">
        <f>IFERROR(INDEX(PP_Grid[#Data],$DE898,59),0)</f>
        <v/>
      </c>
      <c r="BK898">
        <f>IFERROR(INDEX(PP_Grid[#Data],$DE898,60),0)</f>
        <v/>
      </c>
      <c r="BL898">
        <f>IFERROR(INDEX(PP_Grid[#Data],$DE898,61),0)</f>
        <v/>
      </c>
      <c r="BM898">
        <f>IFERROR(INDEX(PP_Grid[#Data],$DE898,62),0)</f>
        <v/>
      </c>
      <c r="BN898">
        <f>IFERROR(INDEX(PP_Grid[#Data],$DE898,63),0)</f>
        <v/>
      </c>
      <c r="BO898">
        <f>IFERROR(INDEX(PP_Grid[#Data],$DE898,64),0)</f>
        <v/>
      </c>
      <c r="BP898">
        <f>IFERROR(INDEX(PP_Grid[#Data],$DE898,65),0)</f>
        <v/>
      </c>
      <c r="BQ898">
        <f>IFERROR(INDEX(PP_Grid[#Data],$DE898,66),0)</f>
        <v/>
      </c>
      <c r="BR898">
        <f>IFERROR(INDEX(PP_Grid[#Data],$DE898,67),0)</f>
        <v/>
      </c>
      <c r="BS898">
        <f>IFERROR(INDEX(PP_Grid[#Data],$DE898,68),0)</f>
        <v/>
      </c>
      <c r="BT898">
        <f>IFERROR(INDEX(PP_Grid[#Data],$DE898,69),0)</f>
        <v/>
      </c>
      <c r="BU898">
        <f>IFERROR(INDEX(PP_Grid[#Data],$DE898,70),0)</f>
        <v/>
      </c>
      <c r="BV898">
        <f>IFERROR(INDEX(PP_Grid[#Data],$DE898,71),0)</f>
        <v/>
      </c>
      <c r="BW898">
        <f>IFERROR(INDEX(PP_Grid[#Data],$DE898,72),0)</f>
        <v/>
      </c>
      <c r="BX898">
        <f>IFERROR(INDEX(PP_Grid[#Data],$DE898,73),0)</f>
        <v/>
      </c>
      <c r="BY898">
        <f>IFERROR(INDEX(PP_Grid[#Data],$DE898,74),0)</f>
        <v/>
      </c>
      <c r="BZ898">
        <f>IFERROR(INDEX(PP_Grid[#Data],$DE898,75),0)</f>
        <v/>
      </c>
      <c r="CA898">
        <f>IFERROR(INDEX(PP_Grid[#Data],$DE898,76),0)</f>
        <v/>
      </c>
      <c r="CB898">
        <f>IFERROR(INDEX(PP_Grid[#Data],$DE898,77),0)</f>
        <v/>
      </c>
      <c r="CC898">
        <f>IFERROR(INDEX(PP_Grid[#Data],$DE898,78),0)</f>
        <v/>
      </c>
      <c r="CD898">
        <f>IFERROR(INDEX(PP_Grid[#Data],$DE898,79),0)</f>
        <v/>
      </c>
      <c r="CE898">
        <f>IFERROR(INDEX(PP_Grid[#Data],$DE898,80),0)</f>
        <v/>
      </c>
      <c r="CF898">
        <f>IFERROR(INDEX(PP_Grid[#Data],$DE898,81),0)</f>
        <v/>
      </c>
      <c r="CG898">
        <f>IFERROR(INDEX(PP_Grid[#Data],$DE898,82),0)</f>
        <v/>
      </c>
      <c r="CH898">
        <f>IFERROR(INDEX(PP_Grid[#Data],$DE898,83),0)</f>
        <v/>
      </c>
      <c r="CI898">
        <f>IFERROR(INDEX(PP_Grid[#Data],$DE898,84),0)</f>
        <v/>
      </c>
      <c r="CJ898">
        <f>IFERROR(INDEX(PP_Grid[#Data],$DE898,85),0)</f>
        <v/>
      </c>
      <c r="CK898">
        <f>IFERROR(INDEX(PP_Grid[#Data],$DE898,86),0)</f>
        <v/>
      </c>
      <c r="CL898">
        <f>IFERROR(INDEX(PP_Grid[#Data],$DE898,87),0)</f>
        <v/>
      </c>
      <c r="CM898">
        <f>IFERROR(INDEX(PP_Grid[#Data],$DE898,88),0)</f>
        <v/>
      </c>
      <c r="CN898">
        <f>IFERROR(INDEX(PP_Grid[#Data],$DE898,89),0)</f>
        <v/>
      </c>
      <c r="CO898">
        <f>IFERROR(INDEX(PP_Grid[#Data],$DE898,90),0)</f>
        <v/>
      </c>
      <c r="CP898">
        <f>IFERROR(INDEX(PP_Grid[#Data],$DE898,91),0)</f>
        <v/>
      </c>
      <c r="CQ898">
        <f>IFERROR(INDEX(PP_Grid[#Data],$DE898,92),0)</f>
        <v/>
      </c>
      <c r="CR898">
        <f>IFERROR(INDEX(PP_Grid[#Data],$DE898,93),0)</f>
        <v/>
      </c>
      <c r="CS898">
        <f>IFERROR(INDEX(PP_Grid[#Data],$DE898,94),0)</f>
        <v/>
      </c>
      <c r="CT898">
        <f>IFERROR(INDEX(PP_Grid[#Data],$DE898,95),0)</f>
        <v/>
      </c>
      <c r="CU898">
        <f>IFERROR(INDEX(PP_Grid[#Data],$DE898,96),0)</f>
        <v/>
      </c>
      <c r="CV898">
        <f>IFERROR(INDEX(PP_Grid[#Data],$DE898,97),0)</f>
        <v/>
      </c>
      <c r="CW898">
        <f>IFERROR(INDEX(PP_Grid[#Data],$DE898,98),0)</f>
        <v/>
      </c>
      <c r="CX898">
        <f>IFERROR(INDEX(PP_Grid[#Data],$DE898,99),0)</f>
        <v/>
      </c>
      <c r="CY898">
        <f>IFERROR(INDEX(PP_Grid[#Data],$DE898,100),0)</f>
        <v/>
      </c>
      <c r="CZ898">
        <f>IFERROR(INDEX(PP_Grid[#Data],$DE898,101),0)</f>
        <v/>
      </c>
      <c r="DA898">
        <f>IFERROR(INDEX(PP_Grid[#Data],$DE898,102),0)</f>
        <v/>
      </c>
      <c r="DB898">
        <f>IFERROR(INDEX(PP_Grid[#Data],$DE898,103),0)</f>
        <v/>
      </c>
      <c r="DC898">
        <f>IFERROR(INDEX(PP_Grid[#Data],$DE898,104),0)</f>
        <v/>
      </c>
      <c r="DD898">
        <f>IFERROR(INDEX(PP_Grid[#Data],$DE898,105),0)</f>
        <v/>
      </c>
      <c r="DE898" s="7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SUMIFS(M_BOM[RM_Qty_Per_Batch],M_BOM[Intermediate],$B898,M_BOM[RM_Code],$A893)</f>
        <v/>
      </c>
      <c r="D899">
        <f>IFERROR(INDEX(E899:DD899,$F$1),"")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  <c r="DD899">
        <f>$C899*DD898</f>
        <v/>
      </c>
    </row>
    <row r="900">
      <c r="B900" t="inlineStr">
        <is>
          <t>TSP-544</t>
        </is>
      </c>
      <c r="C900" t="inlineStr">
        <is>
          <t>No. of batches</t>
        </is>
      </c>
      <c r="D900">
        <f>IFERROR(INDEX(E900:DD900,$F$1),"")</f>
        <v/>
      </c>
      <c r="E900">
        <f>IFERROR(INDEX(PP_Grid[#Data],$DE900,2),0)</f>
        <v/>
      </c>
      <c r="F900">
        <f>IFERROR(INDEX(PP_Grid[#Data],$DE900,3),0)</f>
        <v/>
      </c>
      <c r="G900">
        <f>IFERROR(INDEX(PP_Grid[#Data],$DE900,4),0)</f>
        <v/>
      </c>
      <c r="H900">
        <f>IFERROR(INDEX(PP_Grid[#Data],$DE900,5),0)</f>
        <v/>
      </c>
      <c r="I900">
        <f>IFERROR(INDEX(PP_Grid[#Data],$DE900,6),0)</f>
        <v/>
      </c>
      <c r="J900">
        <f>IFERROR(INDEX(PP_Grid[#Data],$DE900,7),0)</f>
        <v/>
      </c>
      <c r="K900">
        <f>IFERROR(INDEX(PP_Grid[#Data],$DE900,8),0)</f>
        <v/>
      </c>
      <c r="L900">
        <f>IFERROR(INDEX(PP_Grid[#Data],$DE900,9),0)</f>
        <v/>
      </c>
      <c r="M900">
        <f>IFERROR(INDEX(PP_Grid[#Data],$DE900,10),0)</f>
        <v/>
      </c>
      <c r="N900">
        <f>IFERROR(INDEX(PP_Grid[#Data],$DE900,11),0)</f>
        <v/>
      </c>
      <c r="O900">
        <f>IFERROR(INDEX(PP_Grid[#Data],$DE900,12),0)</f>
        <v/>
      </c>
      <c r="P900">
        <f>IFERROR(INDEX(PP_Grid[#Data],$DE900,13),0)</f>
        <v/>
      </c>
      <c r="Q900">
        <f>IFERROR(INDEX(PP_Grid[#Data],$DE900,14),0)</f>
        <v/>
      </c>
      <c r="R900">
        <f>IFERROR(INDEX(PP_Grid[#Data],$DE900,15),0)</f>
        <v/>
      </c>
      <c r="S900">
        <f>IFERROR(INDEX(PP_Grid[#Data],$DE900,16),0)</f>
        <v/>
      </c>
      <c r="T900">
        <f>IFERROR(INDEX(PP_Grid[#Data],$DE900,17),0)</f>
        <v/>
      </c>
      <c r="U900">
        <f>IFERROR(INDEX(PP_Grid[#Data],$DE900,18),0)</f>
        <v/>
      </c>
      <c r="V900">
        <f>IFERROR(INDEX(PP_Grid[#Data],$DE900,19),0)</f>
        <v/>
      </c>
      <c r="W900">
        <f>IFERROR(INDEX(PP_Grid[#Data],$DE900,20),0)</f>
        <v/>
      </c>
      <c r="X900">
        <f>IFERROR(INDEX(PP_Grid[#Data],$DE900,21),0)</f>
        <v/>
      </c>
      <c r="Y900">
        <f>IFERROR(INDEX(PP_Grid[#Data],$DE900,22),0)</f>
        <v/>
      </c>
      <c r="Z900">
        <f>IFERROR(INDEX(PP_Grid[#Data],$DE900,23),0)</f>
        <v/>
      </c>
      <c r="AA900">
        <f>IFERROR(INDEX(PP_Grid[#Data],$DE900,24),0)</f>
        <v/>
      </c>
      <c r="AB900">
        <f>IFERROR(INDEX(PP_Grid[#Data],$DE900,25),0)</f>
        <v/>
      </c>
      <c r="AC900">
        <f>IFERROR(INDEX(PP_Grid[#Data],$DE900,26),0)</f>
        <v/>
      </c>
      <c r="AD900">
        <f>IFERROR(INDEX(PP_Grid[#Data],$DE900,27),0)</f>
        <v/>
      </c>
      <c r="AE900">
        <f>IFERROR(INDEX(PP_Grid[#Data],$DE900,28),0)</f>
        <v/>
      </c>
      <c r="AF900">
        <f>IFERROR(INDEX(PP_Grid[#Data],$DE900,29),0)</f>
        <v/>
      </c>
      <c r="AG900">
        <f>IFERROR(INDEX(PP_Grid[#Data],$DE900,30),0)</f>
        <v/>
      </c>
      <c r="AH900">
        <f>IFERROR(INDEX(PP_Grid[#Data],$DE900,31),0)</f>
        <v/>
      </c>
      <c r="AI900">
        <f>IFERROR(INDEX(PP_Grid[#Data],$DE900,32),0)</f>
        <v/>
      </c>
      <c r="AJ900">
        <f>IFERROR(INDEX(PP_Grid[#Data],$DE900,33),0)</f>
        <v/>
      </c>
      <c r="AK900">
        <f>IFERROR(INDEX(PP_Grid[#Data],$DE900,34),0)</f>
        <v/>
      </c>
      <c r="AL900">
        <f>IFERROR(INDEX(PP_Grid[#Data],$DE900,35),0)</f>
        <v/>
      </c>
      <c r="AM900">
        <f>IFERROR(INDEX(PP_Grid[#Data],$DE900,36),0)</f>
        <v/>
      </c>
      <c r="AN900">
        <f>IFERROR(INDEX(PP_Grid[#Data],$DE900,37),0)</f>
        <v/>
      </c>
      <c r="AO900">
        <f>IFERROR(INDEX(PP_Grid[#Data],$DE900,38),0)</f>
        <v/>
      </c>
      <c r="AP900">
        <f>IFERROR(INDEX(PP_Grid[#Data],$DE900,39),0)</f>
        <v/>
      </c>
      <c r="AQ900">
        <f>IFERROR(INDEX(PP_Grid[#Data],$DE900,40),0)</f>
        <v/>
      </c>
      <c r="AR900">
        <f>IFERROR(INDEX(PP_Grid[#Data],$DE900,41),0)</f>
        <v/>
      </c>
      <c r="AS900">
        <f>IFERROR(INDEX(PP_Grid[#Data],$DE900,42),0)</f>
        <v/>
      </c>
      <c r="AT900">
        <f>IFERROR(INDEX(PP_Grid[#Data],$DE900,43),0)</f>
        <v/>
      </c>
      <c r="AU900">
        <f>IFERROR(INDEX(PP_Grid[#Data],$DE900,44),0)</f>
        <v/>
      </c>
      <c r="AV900">
        <f>IFERROR(INDEX(PP_Grid[#Data],$DE900,45),0)</f>
        <v/>
      </c>
      <c r="AW900">
        <f>IFERROR(INDEX(PP_Grid[#Data],$DE900,46),0)</f>
        <v/>
      </c>
      <c r="AX900">
        <f>IFERROR(INDEX(PP_Grid[#Data],$DE900,47),0)</f>
        <v/>
      </c>
      <c r="AY900">
        <f>IFERROR(INDEX(PP_Grid[#Data],$DE900,48),0)</f>
        <v/>
      </c>
      <c r="AZ900">
        <f>IFERROR(INDEX(PP_Grid[#Data],$DE900,49),0)</f>
        <v/>
      </c>
      <c r="BA900">
        <f>IFERROR(INDEX(PP_Grid[#Data],$DE900,50),0)</f>
        <v/>
      </c>
      <c r="BB900">
        <f>IFERROR(INDEX(PP_Grid[#Data],$DE900,51),0)</f>
        <v/>
      </c>
      <c r="BC900">
        <f>IFERROR(INDEX(PP_Grid[#Data],$DE900,52),0)</f>
        <v/>
      </c>
      <c r="BD900">
        <f>IFERROR(INDEX(PP_Grid[#Data],$DE900,53),0)</f>
        <v/>
      </c>
      <c r="BE900">
        <f>IFERROR(INDEX(PP_Grid[#Data],$DE900,54),0)</f>
        <v/>
      </c>
      <c r="BF900">
        <f>IFERROR(INDEX(PP_Grid[#Data],$DE900,55),0)</f>
        <v/>
      </c>
      <c r="BG900">
        <f>IFERROR(INDEX(PP_Grid[#Data],$DE900,56),0)</f>
        <v/>
      </c>
      <c r="BH900">
        <f>IFERROR(INDEX(PP_Grid[#Data],$DE900,57),0)</f>
        <v/>
      </c>
      <c r="BI900">
        <f>IFERROR(INDEX(PP_Grid[#Data],$DE900,58),0)</f>
        <v/>
      </c>
      <c r="BJ900">
        <f>IFERROR(INDEX(PP_Grid[#Data],$DE900,59),0)</f>
        <v/>
      </c>
      <c r="BK900">
        <f>IFERROR(INDEX(PP_Grid[#Data],$DE900,60),0)</f>
        <v/>
      </c>
      <c r="BL900">
        <f>IFERROR(INDEX(PP_Grid[#Data],$DE900,61),0)</f>
        <v/>
      </c>
      <c r="BM900">
        <f>IFERROR(INDEX(PP_Grid[#Data],$DE900,62),0)</f>
        <v/>
      </c>
      <c r="BN900">
        <f>IFERROR(INDEX(PP_Grid[#Data],$DE900,63),0)</f>
        <v/>
      </c>
      <c r="BO900">
        <f>IFERROR(INDEX(PP_Grid[#Data],$DE900,64),0)</f>
        <v/>
      </c>
      <c r="BP900">
        <f>IFERROR(INDEX(PP_Grid[#Data],$DE900,65),0)</f>
        <v/>
      </c>
      <c r="BQ900">
        <f>IFERROR(INDEX(PP_Grid[#Data],$DE900,66),0)</f>
        <v/>
      </c>
      <c r="BR900">
        <f>IFERROR(INDEX(PP_Grid[#Data],$DE900,67),0)</f>
        <v/>
      </c>
      <c r="BS900">
        <f>IFERROR(INDEX(PP_Grid[#Data],$DE900,68),0)</f>
        <v/>
      </c>
      <c r="BT900">
        <f>IFERROR(INDEX(PP_Grid[#Data],$DE900,69),0)</f>
        <v/>
      </c>
      <c r="BU900">
        <f>IFERROR(INDEX(PP_Grid[#Data],$DE900,70),0)</f>
        <v/>
      </c>
      <c r="BV900">
        <f>IFERROR(INDEX(PP_Grid[#Data],$DE900,71),0)</f>
        <v/>
      </c>
      <c r="BW900">
        <f>IFERROR(INDEX(PP_Grid[#Data],$DE900,72),0)</f>
        <v/>
      </c>
      <c r="BX900">
        <f>IFERROR(INDEX(PP_Grid[#Data],$DE900,73),0)</f>
        <v/>
      </c>
      <c r="BY900">
        <f>IFERROR(INDEX(PP_Grid[#Data],$DE900,74),0)</f>
        <v/>
      </c>
      <c r="BZ900">
        <f>IFERROR(INDEX(PP_Grid[#Data],$DE900,75),0)</f>
        <v/>
      </c>
      <c r="CA900">
        <f>IFERROR(INDEX(PP_Grid[#Data],$DE900,76),0)</f>
        <v/>
      </c>
      <c r="CB900">
        <f>IFERROR(INDEX(PP_Grid[#Data],$DE900,77),0)</f>
        <v/>
      </c>
      <c r="CC900">
        <f>IFERROR(INDEX(PP_Grid[#Data],$DE900,78),0)</f>
        <v/>
      </c>
      <c r="CD900">
        <f>IFERROR(INDEX(PP_Grid[#Data],$DE900,79),0)</f>
        <v/>
      </c>
      <c r="CE900">
        <f>IFERROR(INDEX(PP_Grid[#Data],$DE900,80),0)</f>
        <v/>
      </c>
      <c r="CF900">
        <f>IFERROR(INDEX(PP_Grid[#Data],$DE900,81),0)</f>
        <v/>
      </c>
      <c r="CG900">
        <f>IFERROR(INDEX(PP_Grid[#Data],$DE900,82),0)</f>
        <v/>
      </c>
      <c r="CH900">
        <f>IFERROR(INDEX(PP_Grid[#Data],$DE900,83),0)</f>
        <v/>
      </c>
      <c r="CI900">
        <f>IFERROR(INDEX(PP_Grid[#Data],$DE900,84),0)</f>
        <v/>
      </c>
      <c r="CJ900">
        <f>IFERROR(INDEX(PP_Grid[#Data],$DE900,85),0)</f>
        <v/>
      </c>
      <c r="CK900">
        <f>IFERROR(INDEX(PP_Grid[#Data],$DE900,86),0)</f>
        <v/>
      </c>
      <c r="CL900">
        <f>IFERROR(INDEX(PP_Grid[#Data],$DE900,87),0)</f>
        <v/>
      </c>
      <c r="CM900">
        <f>IFERROR(INDEX(PP_Grid[#Data],$DE900,88),0)</f>
        <v/>
      </c>
      <c r="CN900">
        <f>IFERROR(INDEX(PP_Grid[#Data],$DE900,89),0)</f>
        <v/>
      </c>
      <c r="CO900">
        <f>IFERROR(INDEX(PP_Grid[#Data],$DE900,90),0)</f>
        <v/>
      </c>
      <c r="CP900">
        <f>IFERROR(INDEX(PP_Grid[#Data],$DE900,91),0)</f>
        <v/>
      </c>
      <c r="CQ900">
        <f>IFERROR(INDEX(PP_Grid[#Data],$DE900,92),0)</f>
        <v/>
      </c>
      <c r="CR900">
        <f>IFERROR(INDEX(PP_Grid[#Data],$DE900,93),0)</f>
        <v/>
      </c>
      <c r="CS900">
        <f>IFERROR(INDEX(PP_Grid[#Data],$DE900,94),0)</f>
        <v/>
      </c>
      <c r="CT900">
        <f>IFERROR(INDEX(PP_Grid[#Data],$DE900,95),0)</f>
        <v/>
      </c>
      <c r="CU900">
        <f>IFERROR(INDEX(PP_Grid[#Data],$DE900,96),0)</f>
        <v/>
      </c>
      <c r="CV900">
        <f>IFERROR(INDEX(PP_Grid[#Data],$DE900,97),0)</f>
        <v/>
      </c>
      <c r="CW900">
        <f>IFERROR(INDEX(PP_Grid[#Data],$DE900,98),0)</f>
        <v/>
      </c>
      <c r="CX900">
        <f>IFERROR(INDEX(PP_Grid[#Data],$DE900,99),0)</f>
        <v/>
      </c>
      <c r="CY900">
        <f>IFERROR(INDEX(PP_Grid[#Data],$DE900,100),0)</f>
        <v/>
      </c>
      <c r="CZ900">
        <f>IFERROR(INDEX(PP_Grid[#Data],$DE900,101),0)</f>
        <v/>
      </c>
      <c r="DA900">
        <f>IFERROR(INDEX(PP_Grid[#Data],$DE900,102),0)</f>
        <v/>
      </c>
      <c r="DB900">
        <f>IFERROR(INDEX(PP_Grid[#Data],$DE900,103),0)</f>
        <v/>
      </c>
      <c r="DC900">
        <f>IFERROR(INDEX(PP_Grid[#Data],$DE900,104),0)</f>
        <v/>
      </c>
      <c r="DD900">
        <f>IFERROR(INDEX(PP_Grid[#Data],$DE900,105),0)</f>
        <v/>
      </c>
      <c r="DE900" s="7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SUMIFS(M_BOM[RM_Qty_Per_Batch],M_BOM[Intermediate],$B900,M_BOM[RM_Code],$A893)</f>
        <v/>
      </c>
      <c r="D901">
        <f>IFERROR(INDEX(E901:DD901,$F$1),"")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  <c r="DD901">
        <f>$C901*DD900</f>
        <v/>
      </c>
    </row>
    <row r="902">
      <c r="B902" t="inlineStr">
        <is>
          <t>TSP-710</t>
        </is>
      </c>
      <c r="C902" t="inlineStr">
        <is>
          <t>No. of batches</t>
        </is>
      </c>
      <c r="D902">
        <f>IFERROR(INDEX(E902:DD902,$F$1),"")</f>
        <v/>
      </c>
      <c r="E902">
        <f>IFERROR(INDEX(PP_Grid[#Data],$DE902,2),0)</f>
        <v/>
      </c>
      <c r="F902">
        <f>IFERROR(INDEX(PP_Grid[#Data],$DE902,3),0)</f>
        <v/>
      </c>
      <c r="G902">
        <f>IFERROR(INDEX(PP_Grid[#Data],$DE902,4),0)</f>
        <v/>
      </c>
      <c r="H902">
        <f>IFERROR(INDEX(PP_Grid[#Data],$DE902,5),0)</f>
        <v/>
      </c>
      <c r="I902">
        <f>IFERROR(INDEX(PP_Grid[#Data],$DE902,6),0)</f>
        <v/>
      </c>
      <c r="J902">
        <f>IFERROR(INDEX(PP_Grid[#Data],$DE902,7),0)</f>
        <v/>
      </c>
      <c r="K902">
        <f>IFERROR(INDEX(PP_Grid[#Data],$DE902,8),0)</f>
        <v/>
      </c>
      <c r="L902">
        <f>IFERROR(INDEX(PP_Grid[#Data],$DE902,9),0)</f>
        <v/>
      </c>
      <c r="M902">
        <f>IFERROR(INDEX(PP_Grid[#Data],$DE902,10),0)</f>
        <v/>
      </c>
      <c r="N902">
        <f>IFERROR(INDEX(PP_Grid[#Data],$DE902,11),0)</f>
        <v/>
      </c>
      <c r="O902">
        <f>IFERROR(INDEX(PP_Grid[#Data],$DE902,12),0)</f>
        <v/>
      </c>
      <c r="P902">
        <f>IFERROR(INDEX(PP_Grid[#Data],$DE902,13),0)</f>
        <v/>
      </c>
      <c r="Q902">
        <f>IFERROR(INDEX(PP_Grid[#Data],$DE902,14),0)</f>
        <v/>
      </c>
      <c r="R902">
        <f>IFERROR(INDEX(PP_Grid[#Data],$DE902,15),0)</f>
        <v/>
      </c>
      <c r="S902">
        <f>IFERROR(INDEX(PP_Grid[#Data],$DE902,16),0)</f>
        <v/>
      </c>
      <c r="T902">
        <f>IFERROR(INDEX(PP_Grid[#Data],$DE902,17),0)</f>
        <v/>
      </c>
      <c r="U902">
        <f>IFERROR(INDEX(PP_Grid[#Data],$DE902,18),0)</f>
        <v/>
      </c>
      <c r="V902">
        <f>IFERROR(INDEX(PP_Grid[#Data],$DE902,19),0)</f>
        <v/>
      </c>
      <c r="W902">
        <f>IFERROR(INDEX(PP_Grid[#Data],$DE902,20),0)</f>
        <v/>
      </c>
      <c r="X902">
        <f>IFERROR(INDEX(PP_Grid[#Data],$DE902,21),0)</f>
        <v/>
      </c>
      <c r="Y902">
        <f>IFERROR(INDEX(PP_Grid[#Data],$DE902,22),0)</f>
        <v/>
      </c>
      <c r="Z902">
        <f>IFERROR(INDEX(PP_Grid[#Data],$DE902,23),0)</f>
        <v/>
      </c>
      <c r="AA902">
        <f>IFERROR(INDEX(PP_Grid[#Data],$DE902,24),0)</f>
        <v/>
      </c>
      <c r="AB902">
        <f>IFERROR(INDEX(PP_Grid[#Data],$DE902,25),0)</f>
        <v/>
      </c>
      <c r="AC902">
        <f>IFERROR(INDEX(PP_Grid[#Data],$DE902,26),0)</f>
        <v/>
      </c>
      <c r="AD902">
        <f>IFERROR(INDEX(PP_Grid[#Data],$DE902,27),0)</f>
        <v/>
      </c>
      <c r="AE902">
        <f>IFERROR(INDEX(PP_Grid[#Data],$DE902,28),0)</f>
        <v/>
      </c>
      <c r="AF902">
        <f>IFERROR(INDEX(PP_Grid[#Data],$DE902,29),0)</f>
        <v/>
      </c>
      <c r="AG902">
        <f>IFERROR(INDEX(PP_Grid[#Data],$DE902,30),0)</f>
        <v/>
      </c>
      <c r="AH902">
        <f>IFERROR(INDEX(PP_Grid[#Data],$DE902,31),0)</f>
        <v/>
      </c>
      <c r="AI902">
        <f>IFERROR(INDEX(PP_Grid[#Data],$DE902,32),0)</f>
        <v/>
      </c>
      <c r="AJ902">
        <f>IFERROR(INDEX(PP_Grid[#Data],$DE902,33),0)</f>
        <v/>
      </c>
      <c r="AK902">
        <f>IFERROR(INDEX(PP_Grid[#Data],$DE902,34),0)</f>
        <v/>
      </c>
      <c r="AL902">
        <f>IFERROR(INDEX(PP_Grid[#Data],$DE902,35),0)</f>
        <v/>
      </c>
      <c r="AM902">
        <f>IFERROR(INDEX(PP_Grid[#Data],$DE902,36),0)</f>
        <v/>
      </c>
      <c r="AN902">
        <f>IFERROR(INDEX(PP_Grid[#Data],$DE902,37),0)</f>
        <v/>
      </c>
      <c r="AO902">
        <f>IFERROR(INDEX(PP_Grid[#Data],$DE902,38),0)</f>
        <v/>
      </c>
      <c r="AP902">
        <f>IFERROR(INDEX(PP_Grid[#Data],$DE902,39),0)</f>
        <v/>
      </c>
      <c r="AQ902">
        <f>IFERROR(INDEX(PP_Grid[#Data],$DE902,40),0)</f>
        <v/>
      </c>
      <c r="AR902">
        <f>IFERROR(INDEX(PP_Grid[#Data],$DE902,41),0)</f>
        <v/>
      </c>
      <c r="AS902">
        <f>IFERROR(INDEX(PP_Grid[#Data],$DE902,42),0)</f>
        <v/>
      </c>
      <c r="AT902">
        <f>IFERROR(INDEX(PP_Grid[#Data],$DE902,43),0)</f>
        <v/>
      </c>
      <c r="AU902">
        <f>IFERROR(INDEX(PP_Grid[#Data],$DE902,44),0)</f>
        <v/>
      </c>
      <c r="AV902">
        <f>IFERROR(INDEX(PP_Grid[#Data],$DE902,45),0)</f>
        <v/>
      </c>
      <c r="AW902">
        <f>IFERROR(INDEX(PP_Grid[#Data],$DE902,46),0)</f>
        <v/>
      </c>
      <c r="AX902">
        <f>IFERROR(INDEX(PP_Grid[#Data],$DE902,47),0)</f>
        <v/>
      </c>
      <c r="AY902">
        <f>IFERROR(INDEX(PP_Grid[#Data],$DE902,48),0)</f>
        <v/>
      </c>
      <c r="AZ902">
        <f>IFERROR(INDEX(PP_Grid[#Data],$DE902,49),0)</f>
        <v/>
      </c>
      <c r="BA902">
        <f>IFERROR(INDEX(PP_Grid[#Data],$DE902,50),0)</f>
        <v/>
      </c>
      <c r="BB902">
        <f>IFERROR(INDEX(PP_Grid[#Data],$DE902,51),0)</f>
        <v/>
      </c>
      <c r="BC902">
        <f>IFERROR(INDEX(PP_Grid[#Data],$DE902,52),0)</f>
        <v/>
      </c>
      <c r="BD902">
        <f>IFERROR(INDEX(PP_Grid[#Data],$DE902,53),0)</f>
        <v/>
      </c>
      <c r="BE902">
        <f>IFERROR(INDEX(PP_Grid[#Data],$DE902,54),0)</f>
        <v/>
      </c>
      <c r="BF902">
        <f>IFERROR(INDEX(PP_Grid[#Data],$DE902,55),0)</f>
        <v/>
      </c>
      <c r="BG902">
        <f>IFERROR(INDEX(PP_Grid[#Data],$DE902,56),0)</f>
        <v/>
      </c>
      <c r="BH902">
        <f>IFERROR(INDEX(PP_Grid[#Data],$DE902,57),0)</f>
        <v/>
      </c>
      <c r="BI902">
        <f>IFERROR(INDEX(PP_Grid[#Data],$DE902,58),0)</f>
        <v/>
      </c>
      <c r="BJ902">
        <f>IFERROR(INDEX(PP_Grid[#Data],$DE902,59),0)</f>
        <v/>
      </c>
      <c r="BK902">
        <f>IFERROR(INDEX(PP_Grid[#Data],$DE902,60),0)</f>
        <v/>
      </c>
      <c r="BL902">
        <f>IFERROR(INDEX(PP_Grid[#Data],$DE902,61),0)</f>
        <v/>
      </c>
      <c r="BM902">
        <f>IFERROR(INDEX(PP_Grid[#Data],$DE902,62),0)</f>
        <v/>
      </c>
      <c r="BN902">
        <f>IFERROR(INDEX(PP_Grid[#Data],$DE902,63),0)</f>
        <v/>
      </c>
      <c r="BO902">
        <f>IFERROR(INDEX(PP_Grid[#Data],$DE902,64),0)</f>
        <v/>
      </c>
      <c r="BP902">
        <f>IFERROR(INDEX(PP_Grid[#Data],$DE902,65),0)</f>
        <v/>
      </c>
      <c r="BQ902">
        <f>IFERROR(INDEX(PP_Grid[#Data],$DE902,66),0)</f>
        <v/>
      </c>
      <c r="BR902">
        <f>IFERROR(INDEX(PP_Grid[#Data],$DE902,67),0)</f>
        <v/>
      </c>
      <c r="BS902">
        <f>IFERROR(INDEX(PP_Grid[#Data],$DE902,68),0)</f>
        <v/>
      </c>
      <c r="BT902">
        <f>IFERROR(INDEX(PP_Grid[#Data],$DE902,69),0)</f>
        <v/>
      </c>
      <c r="BU902">
        <f>IFERROR(INDEX(PP_Grid[#Data],$DE902,70),0)</f>
        <v/>
      </c>
      <c r="BV902">
        <f>IFERROR(INDEX(PP_Grid[#Data],$DE902,71),0)</f>
        <v/>
      </c>
      <c r="BW902">
        <f>IFERROR(INDEX(PP_Grid[#Data],$DE902,72),0)</f>
        <v/>
      </c>
      <c r="BX902">
        <f>IFERROR(INDEX(PP_Grid[#Data],$DE902,73),0)</f>
        <v/>
      </c>
      <c r="BY902">
        <f>IFERROR(INDEX(PP_Grid[#Data],$DE902,74),0)</f>
        <v/>
      </c>
      <c r="BZ902">
        <f>IFERROR(INDEX(PP_Grid[#Data],$DE902,75),0)</f>
        <v/>
      </c>
      <c r="CA902">
        <f>IFERROR(INDEX(PP_Grid[#Data],$DE902,76),0)</f>
        <v/>
      </c>
      <c r="CB902">
        <f>IFERROR(INDEX(PP_Grid[#Data],$DE902,77),0)</f>
        <v/>
      </c>
      <c r="CC902">
        <f>IFERROR(INDEX(PP_Grid[#Data],$DE902,78),0)</f>
        <v/>
      </c>
      <c r="CD902">
        <f>IFERROR(INDEX(PP_Grid[#Data],$DE902,79),0)</f>
        <v/>
      </c>
      <c r="CE902">
        <f>IFERROR(INDEX(PP_Grid[#Data],$DE902,80),0)</f>
        <v/>
      </c>
      <c r="CF902">
        <f>IFERROR(INDEX(PP_Grid[#Data],$DE902,81),0)</f>
        <v/>
      </c>
      <c r="CG902">
        <f>IFERROR(INDEX(PP_Grid[#Data],$DE902,82),0)</f>
        <v/>
      </c>
      <c r="CH902">
        <f>IFERROR(INDEX(PP_Grid[#Data],$DE902,83),0)</f>
        <v/>
      </c>
      <c r="CI902">
        <f>IFERROR(INDEX(PP_Grid[#Data],$DE902,84),0)</f>
        <v/>
      </c>
      <c r="CJ902">
        <f>IFERROR(INDEX(PP_Grid[#Data],$DE902,85),0)</f>
        <v/>
      </c>
      <c r="CK902">
        <f>IFERROR(INDEX(PP_Grid[#Data],$DE902,86),0)</f>
        <v/>
      </c>
      <c r="CL902">
        <f>IFERROR(INDEX(PP_Grid[#Data],$DE902,87),0)</f>
        <v/>
      </c>
      <c r="CM902">
        <f>IFERROR(INDEX(PP_Grid[#Data],$DE902,88),0)</f>
        <v/>
      </c>
      <c r="CN902">
        <f>IFERROR(INDEX(PP_Grid[#Data],$DE902,89),0)</f>
        <v/>
      </c>
      <c r="CO902">
        <f>IFERROR(INDEX(PP_Grid[#Data],$DE902,90),0)</f>
        <v/>
      </c>
      <c r="CP902">
        <f>IFERROR(INDEX(PP_Grid[#Data],$DE902,91),0)</f>
        <v/>
      </c>
      <c r="CQ902">
        <f>IFERROR(INDEX(PP_Grid[#Data],$DE902,92),0)</f>
        <v/>
      </c>
      <c r="CR902">
        <f>IFERROR(INDEX(PP_Grid[#Data],$DE902,93),0)</f>
        <v/>
      </c>
      <c r="CS902">
        <f>IFERROR(INDEX(PP_Grid[#Data],$DE902,94),0)</f>
        <v/>
      </c>
      <c r="CT902">
        <f>IFERROR(INDEX(PP_Grid[#Data],$DE902,95),0)</f>
        <v/>
      </c>
      <c r="CU902">
        <f>IFERROR(INDEX(PP_Grid[#Data],$DE902,96),0)</f>
        <v/>
      </c>
      <c r="CV902">
        <f>IFERROR(INDEX(PP_Grid[#Data],$DE902,97),0)</f>
        <v/>
      </c>
      <c r="CW902">
        <f>IFERROR(INDEX(PP_Grid[#Data],$DE902,98),0)</f>
        <v/>
      </c>
      <c r="CX902">
        <f>IFERROR(INDEX(PP_Grid[#Data],$DE902,99),0)</f>
        <v/>
      </c>
      <c r="CY902">
        <f>IFERROR(INDEX(PP_Grid[#Data],$DE902,100),0)</f>
        <v/>
      </c>
      <c r="CZ902">
        <f>IFERROR(INDEX(PP_Grid[#Data],$DE902,101),0)</f>
        <v/>
      </c>
      <c r="DA902">
        <f>IFERROR(INDEX(PP_Grid[#Data],$DE902,102),0)</f>
        <v/>
      </c>
      <c r="DB902">
        <f>IFERROR(INDEX(PP_Grid[#Data],$DE902,103),0)</f>
        <v/>
      </c>
      <c r="DC902">
        <f>IFERROR(INDEX(PP_Grid[#Data],$DE902,104),0)</f>
        <v/>
      </c>
      <c r="DD902">
        <f>IFERROR(INDEX(PP_Grid[#Data],$DE902,105),0)</f>
        <v/>
      </c>
      <c r="DE902" s="7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SUMIFS(M_BOM[RM_Qty_Per_Batch],M_BOM[Intermediate],$B902,M_BOM[RM_Code],$A893)</f>
        <v/>
      </c>
      <c r="D903">
        <f>IFERROR(INDEX(E903:DD903,$F$1),"")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  <c r="DD903">
        <f>$C903*DD902</f>
        <v/>
      </c>
    </row>
    <row r="904">
      <c r="B904" t="inlineStr">
        <is>
          <t>TSZ-616</t>
        </is>
      </c>
      <c r="C904" t="inlineStr">
        <is>
          <t>No. of batches</t>
        </is>
      </c>
      <c r="D904">
        <f>IFERROR(INDEX(E904:DD904,$F$1),"")</f>
        <v/>
      </c>
      <c r="E904">
        <f>IFERROR(INDEX(PP_Grid[#Data],$DE904,2),0)</f>
        <v/>
      </c>
      <c r="F904">
        <f>IFERROR(INDEX(PP_Grid[#Data],$DE904,3),0)</f>
        <v/>
      </c>
      <c r="G904">
        <f>IFERROR(INDEX(PP_Grid[#Data],$DE904,4),0)</f>
        <v/>
      </c>
      <c r="H904">
        <f>IFERROR(INDEX(PP_Grid[#Data],$DE904,5),0)</f>
        <v/>
      </c>
      <c r="I904">
        <f>IFERROR(INDEX(PP_Grid[#Data],$DE904,6),0)</f>
        <v/>
      </c>
      <c r="J904">
        <f>IFERROR(INDEX(PP_Grid[#Data],$DE904,7),0)</f>
        <v/>
      </c>
      <c r="K904">
        <f>IFERROR(INDEX(PP_Grid[#Data],$DE904,8),0)</f>
        <v/>
      </c>
      <c r="L904">
        <f>IFERROR(INDEX(PP_Grid[#Data],$DE904,9),0)</f>
        <v/>
      </c>
      <c r="M904">
        <f>IFERROR(INDEX(PP_Grid[#Data],$DE904,10),0)</f>
        <v/>
      </c>
      <c r="N904">
        <f>IFERROR(INDEX(PP_Grid[#Data],$DE904,11),0)</f>
        <v/>
      </c>
      <c r="O904">
        <f>IFERROR(INDEX(PP_Grid[#Data],$DE904,12),0)</f>
        <v/>
      </c>
      <c r="P904">
        <f>IFERROR(INDEX(PP_Grid[#Data],$DE904,13),0)</f>
        <v/>
      </c>
      <c r="Q904">
        <f>IFERROR(INDEX(PP_Grid[#Data],$DE904,14),0)</f>
        <v/>
      </c>
      <c r="R904">
        <f>IFERROR(INDEX(PP_Grid[#Data],$DE904,15),0)</f>
        <v/>
      </c>
      <c r="S904">
        <f>IFERROR(INDEX(PP_Grid[#Data],$DE904,16),0)</f>
        <v/>
      </c>
      <c r="T904">
        <f>IFERROR(INDEX(PP_Grid[#Data],$DE904,17),0)</f>
        <v/>
      </c>
      <c r="U904">
        <f>IFERROR(INDEX(PP_Grid[#Data],$DE904,18),0)</f>
        <v/>
      </c>
      <c r="V904">
        <f>IFERROR(INDEX(PP_Grid[#Data],$DE904,19),0)</f>
        <v/>
      </c>
      <c r="W904">
        <f>IFERROR(INDEX(PP_Grid[#Data],$DE904,20),0)</f>
        <v/>
      </c>
      <c r="X904">
        <f>IFERROR(INDEX(PP_Grid[#Data],$DE904,21),0)</f>
        <v/>
      </c>
      <c r="Y904">
        <f>IFERROR(INDEX(PP_Grid[#Data],$DE904,22),0)</f>
        <v/>
      </c>
      <c r="Z904">
        <f>IFERROR(INDEX(PP_Grid[#Data],$DE904,23),0)</f>
        <v/>
      </c>
      <c r="AA904">
        <f>IFERROR(INDEX(PP_Grid[#Data],$DE904,24),0)</f>
        <v/>
      </c>
      <c r="AB904">
        <f>IFERROR(INDEX(PP_Grid[#Data],$DE904,25),0)</f>
        <v/>
      </c>
      <c r="AC904">
        <f>IFERROR(INDEX(PP_Grid[#Data],$DE904,26),0)</f>
        <v/>
      </c>
      <c r="AD904">
        <f>IFERROR(INDEX(PP_Grid[#Data],$DE904,27),0)</f>
        <v/>
      </c>
      <c r="AE904">
        <f>IFERROR(INDEX(PP_Grid[#Data],$DE904,28),0)</f>
        <v/>
      </c>
      <c r="AF904">
        <f>IFERROR(INDEX(PP_Grid[#Data],$DE904,29),0)</f>
        <v/>
      </c>
      <c r="AG904">
        <f>IFERROR(INDEX(PP_Grid[#Data],$DE904,30),0)</f>
        <v/>
      </c>
      <c r="AH904">
        <f>IFERROR(INDEX(PP_Grid[#Data],$DE904,31),0)</f>
        <v/>
      </c>
      <c r="AI904">
        <f>IFERROR(INDEX(PP_Grid[#Data],$DE904,32),0)</f>
        <v/>
      </c>
      <c r="AJ904">
        <f>IFERROR(INDEX(PP_Grid[#Data],$DE904,33),0)</f>
        <v/>
      </c>
      <c r="AK904">
        <f>IFERROR(INDEX(PP_Grid[#Data],$DE904,34),0)</f>
        <v/>
      </c>
      <c r="AL904">
        <f>IFERROR(INDEX(PP_Grid[#Data],$DE904,35),0)</f>
        <v/>
      </c>
      <c r="AM904">
        <f>IFERROR(INDEX(PP_Grid[#Data],$DE904,36),0)</f>
        <v/>
      </c>
      <c r="AN904">
        <f>IFERROR(INDEX(PP_Grid[#Data],$DE904,37),0)</f>
        <v/>
      </c>
      <c r="AO904">
        <f>IFERROR(INDEX(PP_Grid[#Data],$DE904,38),0)</f>
        <v/>
      </c>
      <c r="AP904">
        <f>IFERROR(INDEX(PP_Grid[#Data],$DE904,39),0)</f>
        <v/>
      </c>
      <c r="AQ904">
        <f>IFERROR(INDEX(PP_Grid[#Data],$DE904,40),0)</f>
        <v/>
      </c>
      <c r="AR904">
        <f>IFERROR(INDEX(PP_Grid[#Data],$DE904,41),0)</f>
        <v/>
      </c>
      <c r="AS904">
        <f>IFERROR(INDEX(PP_Grid[#Data],$DE904,42),0)</f>
        <v/>
      </c>
      <c r="AT904">
        <f>IFERROR(INDEX(PP_Grid[#Data],$DE904,43),0)</f>
        <v/>
      </c>
      <c r="AU904">
        <f>IFERROR(INDEX(PP_Grid[#Data],$DE904,44),0)</f>
        <v/>
      </c>
      <c r="AV904">
        <f>IFERROR(INDEX(PP_Grid[#Data],$DE904,45),0)</f>
        <v/>
      </c>
      <c r="AW904">
        <f>IFERROR(INDEX(PP_Grid[#Data],$DE904,46),0)</f>
        <v/>
      </c>
      <c r="AX904">
        <f>IFERROR(INDEX(PP_Grid[#Data],$DE904,47),0)</f>
        <v/>
      </c>
      <c r="AY904">
        <f>IFERROR(INDEX(PP_Grid[#Data],$DE904,48),0)</f>
        <v/>
      </c>
      <c r="AZ904">
        <f>IFERROR(INDEX(PP_Grid[#Data],$DE904,49),0)</f>
        <v/>
      </c>
      <c r="BA904">
        <f>IFERROR(INDEX(PP_Grid[#Data],$DE904,50),0)</f>
        <v/>
      </c>
      <c r="BB904">
        <f>IFERROR(INDEX(PP_Grid[#Data],$DE904,51),0)</f>
        <v/>
      </c>
      <c r="BC904">
        <f>IFERROR(INDEX(PP_Grid[#Data],$DE904,52),0)</f>
        <v/>
      </c>
      <c r="BD904">
        <f>IFERROR(INDEX(PP_Grid[#Data],$DE904,53),0)</f>
        <v/>
      </c>
      <c r="BE904">
        <f>IFERROR(INDEX(PP_Grid[#Data],$DE904,54),0)</f>
        <v/>
      </c>
      <c r="BF904">
        <f>IFERROR(INDEX(PP_Grid[#Data],$DE904,55),0)</f>
        <v/>
      </c>
      <c r="BG904">
        <f>IFERROR(INDEX(PP_Grid[#Data],$DE904,56),0)</f>
        <v/>
      </c>
      <c r="BH904">
        <f>IFERROR(INDEX(PP_Grid[#Data],$DE904,57),0)</f>
        <v/>
      </c>
      <c r="BI904">
        <f>IFERROR(INDEX(PP_Grid[#Data],$DE904,58),0)</f>
        <v/>
      </c>
      <c r="BJ904">
        <f>IFERROR(INDEX(PP_Grid[#Data],$DE904,59),0)</f>
        <v/>
      </c>
      <c r="BK904">
        <f>IFERROR(INDEX(PP_Grid[#Data],$DE904,60),0)</f>
        <v/>
      </c>
      <c r="BL904">
        <f>IFERROR(INDEX(PP_Grid[#Data],$DE904,61),0)</f>
        <v/>
      </c>
      <c r="BM904">
        <f>IFERROR(INDEX(PP_Grid[#Data],$DE904,62),0)</f>
        <v/>
      </c>
      <c r="BN904">
        <f>IFERROR(INDEX(PP_Grid[#Data],$DE904,63),0)</f>
        <v/>
      </c>
      <c r="BO904">
        <f>IFERROR(INDEX(PP_Grid[#Data],$DE904,64),0)</f>
        <v/>
      </c>
      <c r="BP904">
        <f>IFERROR(INDEX(PP_Grid[#Data],$DE904,65),0)</f>
        <v/>
      </c>
      <c r="BQ904">
        <f>IFERROR(INDEX(PP_Grid[#Data],$DE904,66),0)</f>
        <v/>
      </c>
      <c r="BR904">
        <f>IFERROR(INDEX(PP_Grid[#Data],$DE904,67),0)</f>
        <v/>
      </c>
      <c r="BS904">
        <f>IFERROR(INDEX(PP_Grid[#Data],$DE904,68),0)</f>
        <v/>
      </c>
      <c r="BT904">
        <f>IFERROR(INDEX(PP_Grid[#Data],$DE904,69),0)</f>
        <v/>
      </c>
      <c r="BU904">
        <f>IFERROR(INDEX(PP_Grid[#Data],$DE904,70),0)</f>
        <v/>
      </c>
      <c r="BV904">
        <f>IFERROR(INDEX(PP_Grid[#Data],$DE904,71),0)</f>
        <v/>
      </c>
      <c r="BW904">
        <f>IFERROR(INDEX(PP_Grid[#Data],$DE904,72),0)</f>
        <v/>
      </c>
      <c r="BX904">
        <f>IFERROR(INDEX(PP_Grid[#Data],$DE904,73),0)</f>
        <v/>
      </c>
      <c r="BY904">
        <f>IFERROR(INDEX(PP_Grid[#Data],$DE904,74),0)</f>
        <v/>
      </c>
      <c r="BZ904">
        <f>IFERROR(INDEX(PP_Grid[#Data],$DE904,75),0)</f>
        <v/>
      </c>
      <c r="CA904">
        <f>IFERROR(INDEX(PP_Grid[#Data],$DE904,76),0)</f>
        <v/>
      </c>
      <c r="CB904">
        <f>IFERROR(INDEX(PP_Grid[#Data],$DE904,77),0)</f>
        <v/>
      </c>
      <c r="CC904">
        <f>IFERROR(INDEX(PP_Grid[#Data],$DE904,78),0)</f>
        <v/>
      </c>
      <c r="CD904">
        <f>IFERROR(INDEX(PP_Grid[#Data],$DE904,79),0)</f>
        <v/>
      </c>
      <c r="CE904">
        <f>IFERROR(INDEX(PP_Grid[#Data],$DE904,80),0)</f>
        <v/>
      </c>
      <c r="CF904">
        <f>IFERROR(INDEX(PP_Grid[#Data],$DE904,81),0)</f>
        <v/>
      </c>
      <c r="CG904">
        <f>IFERROR(INDEX(PP_Grid[#Data],$DE904,82),0)</f>
        <v/>
      </c>
      <c r="CH904">
        <f>IFERROR(INDEX(PP_Grid[#Data],$DE904,83),0)</f>
        <v/>
      </c>
      <c r="CI904">
        <f>IFERROR(INDEX(PP_Grid[#Data],$DE904,84),0)</f>
        <v/>
      </c>
      <c r="CJ904">
        <f>IFERROR(INDEX(PP_Grid[#Data],$DE904,85),0)</f>
        <v/>
      </c>
      <c r="CK904">
        <f>IFERROR(INDEX(PP_Grid[#Data],$DE904,86),0)</f>
        <v/>
      </c>
      <c r="CL904">
        <f>IFERROR(INDEX(PP_Grid[#Data],$DE904,87),0)</f>
        <v/>
      </c>
      <c r="CM904">
        <f>IFERROR(INDEX(PP_Grid[#Data],$DE904,88),0)</f>
        <v/>
      </c>
      <c r="CN904">
        <f>IFERROR(INDEX(PP_Grid[#Data],$DE904,89),0)</f>
        <v/>
      </c>
      <c r="CO904">
        <f>IFERROR(INDEX(PP_Grid[#Data],$DE904,90),0)</f>
        <v/>
      </c>
      <c r="CP904">
        <f>IFERROR(INDEX(PP_Grid[#Data],$DE904,91),0)</f>
        <v/>
      </c>
      <c r="CQ904">
        <f>IFERROR(INDEX(PP_Grid[#Data],$DE904,92),0)</f>
        <v/>
      </c>
      <c r="CR904">
        <f>IFERROR(INDEX(PP_Grid[#Data],$DE904,93),0)</f>
        <v/>
      </c>
      <c r="CS904">
        <f>IFERROR(INDEX(PP_Grid[#Data],$DE904,94),0)</f>
        <v/>
      </c>
      <c r="CT904">
        <f>IFERROR(INDEX(PP_Grid[#Data],$DE904,95),0)</f>
        <v/>
      </c>
      <c r="CU904">
        <f>IFERROR(INDEX(PP_Grid[#Data],$DE904,96),0)</f>
        <v/>
      </c>
      <c r="CV904">
        <f>IFERROR(INDEX(PP_Grid[#Data],$DE904,97),0)</f>
        <v/>
      </c>
      <c r="CW904">
        <f>IFERROR(INDEX(PP_Grid[#Data],$DE904,98),0)</f>
        <v/>
      </c>
      <c r="CX904">
        <f>IFERROR(INDEX(PP_Grid[#Data],$DE904,99),0)</f>
        <v/>
      </c>
      <c r="CY904">
        <f>IFERROR(INDEX(PP_Grid[#Data],$DE904,100),0)</f>
        <v/>
      </c>
      <c r="CZ904">
        <f>IFERROR(INDEX(PP_Grid[#Data],$DE904,101),0)</f>
        <v/>
      </c>
      <c r="DA904">
        <f>IFERROR(INDEX(PP_Grid[#Data],$DE904,102),0)</f>
        <v/>
      </c>
      <c r="DB904">
        <f>IFERROR(INDEX(PP_Grid[#Data],$DE904,103),0)</f>
        <v/>
      </c>
      <c r="DC904">
        <f>IFERROR(INDEX(PP_Grid[#Data],$DE904,104),0)</f>
        <v/>
      </c>
      <c r="DD904">
        <f>IFERROR(INDEX(PP_Grid[#Data],$DE904,105),0)</f>
        <v/>
      </c>
      <c r="DE904" s="7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SUMIFS(M_BOM[RM_Qty_Per_Batch],M_BOM[Intermediate],$B904,M_BOM[RM_Code],$A893)</f>
        <v/>
      </c>
      <c r="D905">
        <f>IFERROR(INDEX(E905:DD905,$F$1),"")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  <c r="DD905">
        <f>$C905*DD904</f>
        <v/>
      </c>
    </row>
    <row r="906">
      <c r="B906" t="inlineStr">
        <is>
          <t>VSP-739</t>
        </is>
      </c>
      <c r="C906" t="inlineStr">
        <is>
          <t>No. of batches</t>
        </is>
      </c>
      <c r="D906">
        <f>IFERROR(INDEX(E906:DD906,$F$1),"")</f>
        <v/>
      </c>
      <c r="E906">
        <f>IFERROR(INDEX(PP_Grid[#Data],$DE906,2),0)</f>
        <v/>
      </c>
      <c r="F906">
        <f>IFERROR(INDEX(PP_Grid[#Data],$DE906,3),0)</f>
        <v/>
      </c>
      <c r="G906">
        <f>IFERROR(INDEX(PP_Grid[#Data],$DE906,4),0)</f>
        <v/>
      </c>
      <c r="H906">
        <f>IFERROR(INDEX(PP_Grid[#Data],$DE906,5),0)</f>
        <v/>
      </c>
      <c r="I906">
        <f>IFERROR(INDEX(PP_Grid[#Data],$DE906,6),0)</f>
        <v/>
      </c>
      <c r="J906">
        <f>IFERROR(INDEX(PP_Grid[#Data],$DE906,7),0)</f>
        <v/>
      </c>
      <c r="K906">
        <f>IFERROR(INDEX(PP_Grid[#Data],$DE906,8),0)</f>
        <v/>
      </c>
      <c r="L906">
        <f>IFERROR(INDEX(PP_Grid[#Data],$DE906,9),0)</f>
        <v/>
      </c>
      <c r="M906">
        <f>IFERROR(INDEX(PP_Grid[#Data],$DE906,10),0)</f>
        <v/>
      </c>
      <c r="N906">
        <f>IFERROR(INDEX(PP_Grid[#Data],$DE906,11),0)</f>
        <v/>
      </c>
      <c r="O906">
        <f>IFERROR(INDEX(PP_Grid[#Data],$DE906,12),0)</f>
        <v/>
      </c>
      <c r="P906">
        <f>IFERROR(INDEX(PP_Grid[#Data],$DE906,13),0)</f>
        <v/>
      </c>
      <c r="Q906">
        <f>IFERROR(INDEX(PP_Grid[#Data],$DE906,14),0)</f>
        <v/>
      </c>
      <c r="R906">
        <f>IFERROR(INDEX(PP_Grid[#Data],$DE906,15),0)</f>
        <v/>
      </c>
      <c r="S906">
        <f>IFERROR(INDEX(PP_Grid[#Data],$DE906,16),0)</f>
        <v/>
      </c>
      <c r="T906">
        <f>IFERROR(INDEX(PP_Grid[#Data],$DE906,17),0)</f>
        <v/>
      </c>
      <c r="U906">
        <f>IFERROR(INDEX(PP_Grid[#Data],$DE906,18),0)</f>
        <v/>
      </c>
      <c r="V906">
        <f>IFERROR(INDEX(PP_Grid[#Data],$DE906,19),0)</f>
        <v/>
      </c>
      <c r="W906">
        <f>IFERROR(INDEX(PP_Grid[#Data],$DE906,20),0)</f>
        <v/>
      </c>
      <c r="X906">
        <f>IFERROR(INDEX(PP_Grid[#Data],$DE906,21),0)</f>
        <v/>
      </c>
      <c r="Y906">
        <f>IFERROR(INDEX(PP_Grid[#Data],$DE906,22),0)</f>
        <v/>
      </c>
      <c r="Z906">
        <f>IFERROR(INDEX(PP_Grid[#Data],$DE906,23),0)</f>
        <v/>
      </c>
      <c r="AA906">
        <f>IFERROR(INDEX(PP_Grid[#Data],$DE906,24),0)</f>
        <v/>
      </c>
      <c r="AB906">
        <f>IFERROR(INDEX(PP_Grid[#Data],$DE906,25),0)</f>
        <v/>
      </c>
      <c r="AC906">
        <f>IFERROR(INDEX(PP_Grid[#Data],$DE906,26),0)</f>
        <v/>
      </c>
      <c r="AD906">
        <f>IFERROR(INDEX(PP_Grid[#Data],$DE906,27),0)</f>
        <v/>
      </c>
      <c r="AE906">
        <f>IFERROR(INDEX(PP_Grid[#Data],$DE906,28),0)</f>
        <v/>
      </c>
      <c r="AF906">
        <f>IFERROR(INDEX(PP_Grid[#Data],$DE906,29),0)</f>
        <v/>
      </c>
      <c r="AG906">
        <f>IFERROR(INDEX(PP_Grid[#Data],$DE906,30),0)</f>
        <v/>
      </c>
      <c r="AH906">
        <f>IFERROR(INDEX(PP_Grid[#Data],$DE906,31),0)</f>
        <v/>
      </c>
      <c r="AI906">
        <f>IFERROR(INDEX(PP_Grid[#Data],$DE906,32),0)</f>
        <v/>
      </c>
      <c r="AJ906">
        <f>IFERROR(INDEX(PP_Grid[#Data],$DE906,33),0)</f>
        <v/>
      </c>
      <c r="AK906">
        <f>IFERROR(INDEX(PP_Grid[#Data],$DE906,34),0)</f>
        <v/>
      </c>
      <c r="AL906">
        <f>IFERROR(INDEX(PP_Grid[#Data],$DE906,35),0)</f>
        <v/>
      </c>
      <c r="AM906">
        <f>IFERROR(INDEX(PP_Grid[#Data],$DE906,36),0)</f>
        <v/>
      </c>
      <c r="AN906">
        <f>IFERROR(INDEX(PP_Grid[#Data],$DE906,37),0)</f>
        <v/>
      </c>
      <c r="AO906">
        <f>IFERROR(INDEX(PP_Grid[#Data],$DE906,38),0)</f>
        <v/>
      </c>
      <c r="AP906">
        <f>IFERROR(INDEX(PP_Grid[#Data],$DE906,39),0)</f>
        <v/>
      </c>
      <c r="AQ906">
        <f>IFERROR(INDEX(PP_Grid[#Data],$DE906,40),0)</f>
        <v/>
      </c>
      <c r="AR906">
        <f>IFERROR(INDEX(PP_Grid[#Data],$DE906,41),0)</f>
        <v/>
      </c>
      <c r="AS906">
        <f>IFERROR(INDEX(PP_Grid[#Data],$DE906,42),0)</f>
        <v/>
      </c>
      <c r="AT906">
        <f>IFERROR(INDEX(PP_Grid[#Data],$DE906,43),0)</f>
        <v/>
      </c>
      <c r="AU906">
        <f>IFERROR(INDEX(PP_Grid[#Data],$DE906,44),0)</f>
        <v/>
      </c>
      <c r="AV906">
        <f>IFERROR(INDEX(PP_Grid[#Data],$DE906,45),0)</f>
        <v/>
      </c>
      <c r="AW906">
        <f>IFERROR(INDEX(PP_Grid[#Data],$DE906,46),0)</f>
        <v/>
      </c>
      <c r="AX906">
        <f>IFERROR(INDEX(PP_Grid[#Data],$DE906,47),0)</f>
        <v/>
      </c>
      <c r="AY906">
        <f>IFERROR(INDEX(PP_Grid[#Data],$DE906,48),0)</f>
        <v/>
      </c>
      <c r="AZ906">
        <f>IFERROR(INDEX(PP_Grid[#Data],$DE906,49),0)</f>
        <v/>
      </c>
      <c r="BA906">
        <f>IFERROR(INDEX(PP_Grid[#Data],$DE906,50),0)</f>
        <v/>
      </c>
      <c r="BB906">
        <f>IFERROR(INDEX(PP_Grid[#Data],$DE906,51),0)</f>
        <v/>
      </c>
      <c r="BC906">
        <f>IFERROR(INDEX(PP_Grid[#Data],$DE906,52),0)</f>
        <v/>
      </c>
      <c r="BD906">
        <f>IFERROR(INDEX(PP_Grid[#Data],$DE906,53),0)</f>
        <v/>
      </c>
      <c r="BE906">
        <f>IFERROR(INDEX(PP_Grid[#Data],$DE906,54),0)</f>
        <v/>
      </c>
      <c r="BF906">
        <f>IFERROR(INDEX(PP_Grid[#Data],$DE906,55),0)</f>
        <v/>
      </c>
      <c r="BG906">
        <f>IFERROR(INDEX(PP_Grid[#Data],$DE906,56),0)</f>
        <v/>
      </c>
      <c r="BH906">
        <f>IFERROR(INDEX(PP_Grid[#Data],$DE906,57),0)</f>
        <v/>
      </c>
      <c r="BI906">
        <f>IFERROR(INDEX(PP_Grid[#Data],$DE906,58),0)</f>
        <v/>
      </c>
      <c r="BJ906">
        <f>IFERROR(INDEX(PP_Grid[#Data],$DE906,59),0)</f>
        <v/>
      </c>
      <c r="BK906">
        <f>IFERROR(INDEX(PP_Grid[#Data],$DE906,60),0)</f>
        <v/>
      </c>
      <c r="BL906">
        <f>IFERROR(INDEX(PP_Grid[#Data],$DE906,61),0)</f>
        <v/>
      </c>
      <c r="BM906">
        <f>IFERROR(INDEX(PP_Grid[#Data],$DE906,62),0)</f>
        <v/>
      </c>
      <c r="BN906">
        <f>IFERROR(INDEX(PP_Grid[#Data],$DE906,63),0)</f>
        <v/>
      </c>
      <c r="BO906">
        <f>IFERROR(INDEX(PP_Grid[#Data],$DE906,64),0)</f>
        <v/>
      </c>
      <c r="BP906">
        <f>IFERROR(INDEX(PP_Grid[#Data],$DE906,65),0)</f>
        <v/>
      </c>
      <c r="BQ906">
        <f>IFERROR(INDEX(PP_Grid[#Data],$DE906,66),0)</f>
        <v/>
      </c>
      <c r="BR906">
        <f>IFERROR(INDEX(PP_Grid[#Data],$DE906,67),0)</f>
        <v/>
      </c>
      <c r="BS906">
        <f>IFERROR(INDEX(PP_Grid[#Data],$DE906,68),0)</f>
        <v/>
      </c>
      <c r="BT906">
        <f>IFERROR(INDEX(PP_Grid[#Data],$DE906,69),0)</f>
        <v/>
      </c>
      <c r="BU906">
        <f>IFERROR(INDEX(PP_Grid[#Data],$DE906,70),0)</f>
        <v/>
      </c>
      <c r="BV906">
        <f>IFERROR(INDEX(PP_Grid[#Data],$DE906,71),0)</f>
        <v/>
      </c>
      <c r="BW906">
        <f>IFERROR(INDEX(PP_Grid[#Data],$DE906,72),0)</f>
        <v/>
      </c>
      <c r="BX906">
        <f>IFERROR(INDEX(PP_Grid[#Data],$DE906,73),0)</f>
        <v/>
      </c>
      <c r="BY906">
        <f>IFERROR(INDEX(PP_Grid[#Data],$DE906,74),0)</f>
        <v/>
      </c>
      <c r="BZ906">
        <f>IFERROR(INDEX(PP_Grid[#Data],$DE906,75),0)</f>
        <v/>
      </c>
      <c r="CA906">
        <f>IFERROR(INDEX(PP_Grid[#Data],$DE906,76),0)</f>
        <v/>
      </c>
      <c r="CB906">
        <f>IFERROR(INDEX(PP_Grid[#Data],$DE906,77),0)</f>
        <v/>
      </c>
      <c r="CC906">
        <f>IFERROR(INDEX(PP_Grid[#Data],$DE906,78),0)</f>
        <v/>
      </c>
      <c r="CD906">
        <f>IFERROR(INDEX(PP_Grid[#Data],$DE906,79),0)</f>
        <v/>
      </c>
      <c r="CE906">
        <f>IFERROR(INDEX(PP_Grid[#Data],$DE906,80),0)</f>
        <v/>
      </c>
      <c r="CF906">
        <f>IFERROR(INDEX(PP_Grid[#Data],$DE906,81),0)</f>
        <v/>
      </c>
      <c r="CG906">
        <f>IFERROR(INDEX(PP_Grid[#Data],$DE906,82),0)</f>
        <v/>
      </c>
      <c r="CH906">
        <f>IFERROR(INDEX(PP_Grid[#Data],$DE906,83),0)</f>
        <v/>
      </c>
      <c r="CI906">
        <f>IFERROR(INDEX(PP_Grid[#Data],$DE906,84),0)</f>
        <v/>
      </c>
      <c r="CJ906">
        <f>IFERROR(INDEX(PP_Grid[#Data],$DE906,85),0)</f>
        <v/>
      </c>
      <c r="CK906">
        <f>IFERROR(INDEX(PP_Grid[#Data],$DE906,86),0)</f>
        <v/>
      </c>
      <c r="CL906">
        <f>IFERROR(INDEX(PP_Grid[#Data],$DE906,87),0)</f>
        <v/>
      </c>
      <c r="CM906">
        <f>IFERROR(INDEX(PP_Grid[#Data],$DE906,88),0)</f>
        <v/>
      </c>
      <c r="CN906">
        <f>IFERROR(INDEX(PP_Grid[#Data],$DE906,89),0)</f>
        <v/>
      </c>
      <c r="CO906">
        <f>IFERROR(INDEX(PP_Grid[#Data],$DE906,90),0)</f>
        <v/>
      </c>
      <c r="CP906">
        <f>IFERROR(INDEX(PP_Grid[#Data],$DE906,91),0)</f>
        <v/>
      </c>
      <c r="CQ906">
        <f>IFERROR(INDEX(PP_Grid[#Data],$DE906,92),0)</f>
        <v/>
      </c>
      <c r="CR906">
        <f>IFERROR(INDEX(PP_Grid[#Data],$DE906,93),0)</f>
        <v/>
      </c>
      <c r="CS906">
        <f>IFERROR(INDEX(PP_Grid[#Data],$DE906,94),0)</f>
        <v/>
      </c>
      <c r="CT906">
        <f>IFERROR(INDEX(PP_Grid[#Data],$DE906,95),0)</f>
        <v/>
      </c>
      <c r="CU906">
        <f>IFERROR(INDEX(PP_Grid[#Data],$DE906,96),0)</f>
        <v/>
      </c>
      <c r="CV906">
        <f>IFERROR(INDEX(PP_Grid[#Data],$DE906,97),0)</f>
        <v/>
      </c>
      <c r="CW906">
        <f>IFERROR(INDEX(PP_Grid[#Data],$DE906,98),0)</f>
        <v/>
      </c>
      <c r="CX906">
        <f>IFERROR(INDEX(PP_Grid[#Data],$DE906,99),0)</f>
        <v/>
      </c>
      <c r="CY906">
        <f>IFERROR(INDEX(PP_Grid[#Data],$DE906,100),0)</f>
        <v/>
      </c>
      <c r="CZ906">
        <f>IFERROR(INDEX(PP_Grid[#Data],$DE906,101),0)</f>
        <v/>
      </c>
      <c r="DA906">
        <f>IFERROR(INDEX(PP_Grid[#Data],$DE906,102),0)</f>
        <v/>
      </c>
      <c r="DB906">
        <f>IFERROR(INDEX(PP_Grid[#Data],$DE906,103),0)</f>
        <v/>
      </c>
      <c r="DC906">
        <f>IFERROR(INDEX(PP_Grid[#Data],$DE906,104),0)</f>
        <v/>
      </c>
      <c r="DD906">
        <f>IFERROR(INDEX(PP_Grid[#Data],$DE906,105),0)</f>
        <v/>
      </c>
      <c r="DE906" s="7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SUMIFS(M_BOM[RM_Qty_Per_Batch],M_BOM[Intermediate],$B906,M_BOM[RM_Code],$A893)</f>
        <v/>
      </c>
      <c r="D907">
        <f>IFERROR(INDEX(E907:DD907,$F$1),"")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  <c r="DD907">
        <f>$C907*DD906</f>
        <v/>
      </c>
    </row>
    <row r="908">
      <c r="B908" t="inlineStr">
        <is>
          <t>VSP-820</t>
        </is>
      </c>
      <c r="C908" t="inlineStr">
        <is>
          <t>No. of batches</t>
        </is>
      </c>
      <c r="D908">
        <f>IFERROR(INDEX(E908:DD908,$F$1),"")</f>
        <v/>
      </c>
      <c r="E908">
        <f>IFERROR(INDEX(PP_Grid[#Data],$DE908,2),0)</f>
        <v/>
      </c>
      <c r="F908">
        <f>IFERROR(INDEX(PP_Grid[#Data],$DE908,3),0)</f>
        <v/>
      </c>
      <c r="G908">
        <f>IFERROR(INDEX(PP_Grid[#Data],$DE908,4),0)</f>
        <v/>
      </c>
      <c r="H908">
        <f>IFERROR(INDEX(PP_Grid[#Data],$DE908,5),0)</f>
        <v/>
      </c>
      <c r="I908">
        <f>IFERROR(INDEX(PP_Grid[#Data],$DE908,6),0)</f>
        <v/>
      </c>
      <c r="J908">
        <f>IFERROR(INDEX(PP_Grid[#Data],$DE908,7),0)</f>
        <v/>
      </c>
      <c r="K908">
        <f>IFERROR(INDEX(PP_Grid[#Data],$DE908,8),0)</f>
        <v/>
      </c>
      <c r="L908">
        <f>IFERROR(INDEX(PP_Grid[#Data],$DE908,9),0)</f>
        <v/>
      </c>
      <c r="M908">
        <f>IFERROR(INDEX(PP_Grid[#Data],$DE908,10),0)</f>
        <v/>
      </c>
      <c r="N908">
        <f>IFERROR(INDEX(PP_Grid[#Data],$DE908,11),0)</f>
        <v/>
      </c>
      <c r="O908">
        <f>IFERROR(INDEX(PP_Grid[#Data],$DE908,12),0)</f>
        <v/>
      </c>
      <c r="P908">
        <f>IFERROR(INDEX(PP_Grid[#Data],$DE908,13),0)</f>
        <v/>
      </c>
      <c r="Q908">
        <f>IFERROR(INDEX(PP_Grid[#Data],$DE908,14),0)</f>
        <v/>
      </c>
      <c r="R908">
        <f>IFERROR(INDEX(PP_Grid[#Data],$DE908,15),0)</f>
        <v/>
      </c>
      <c r="S908">
        <f>IFERROR(INDEX(PP_Grid[#Data],$DE908,16),0)</f>
        <v/>
      </c>
      <c r="T908">
        <f>IFERROR(INDEX(PP_Grid[#Data],$DE908,17),0)</f>
        <v/>
      </c>
      <c r="U908">
        <f>IFERROR(INDEX(PP_Grid[#Data],$DE908,18),0)</f>
        <v/>
      </c>
      <c r="V908">
        <f>IFERROR(INDEX(PP_Grid[#Data],$DE908,19),0)</f>
        <v/>
      </c>
      <c r="W908">
        <f>IFERROR(INDEX(PP_Grid[#Data],$DE908,20),0)</f>
        <v/>
      </c>
      <c r="X908">
        <f>IFERROR(INDEX(PP_Grid[#Data],$DE908,21),0)</f>
        <v/>
      </c>
      <c r="Y908">
        <f>IFERROR(INDEX(PP_Grid[#Data],$DE908,22),0)</f>
        <v/>
      </c>
      <c r="Z908">
        <f>IFERROR(INDEX(PP_Grid[#Data],$DE908,23),0)</f>
        <v/>
      </c>
      <c r="AA908">
        <f>IFERROR(INDEX(PP_Grid[#Data],$DE908,24),0)</f>
        <v/>
      </c>
      <c r="AB908">
        <f>IFERROR(INDEX(PP_Grid[#Data],$DE908,25),0)</f>
        <v/>
      </c>
      <c r="AC908">
        <f>IFERROR(INDEX(PP_Grid[#Data],$DE908,26),0)</f>
        <v/>
      </c>
      <c r="AD908">
        <f>IFERROR(INDEX(PP_Grid[#Data],$DE908,27),0)</f>
        <v/>
      </c>
      <c r="AE908">
        <f>IFERROR(INDEX(PP_Grid[#Data],$DE908,28),0)</f>
        <v/>
      </c>
      <c r="AF908">
        <f>IFERROR(INDEX(PP_Grid[#Data],$DE908,29),0)</f>
        <v/>
      </c>
      <c r="AG908">
        <f>IFERROR(INDEX(PP_Grid[#Data],$DE908,30),0)</f>
        <v/>
      </c>
      <c r="AH908">
        <f>IFERROR(INDEX(PP_Grid[#Data],$DE908,31),0)</f>
        <v/>
      </c>
      <c r="AI908">
        <f>IFERROR(INDEX(PP_Grid[#Data],$DE908,32),0)</f>
        <v/>
      </c>
      <c r="AJ908">
        <f>IFERROR(INDEX(PP_Grid[#Data],$DE908,33),0)</f>
        <v/>
      </c>
      <c r="AK908">
        <f>IFERROR(INDEX(PP_Grid[#Data],$DE908,34),0)</f>
        <v/>
      </c>
      <c r="AL908">
        <f>IFERROR(INDEX(PP_Grid[#Data],$DE908,35),0)</f>
        <v/>
      </c>
      <c r="AM908">
        <f>IFERROR(INDEX(PP_Grid[#Data],$DE908,36),0)</f>
        <v/>
      </c>
      <c r="AN908">
        <f>IFERROR(INDEX(PP_Grid[#Data],$DE908,37),0)</f>
        <v/>
      </c>
      <c r="AO908">
        <f>IFERROR(INDEX(PP_Grid[#Data],$DE908,38),0)</f>
        <v/>
      </c>
      <c r="AP908">
        <f>IFERROR(INDEX(PP_Grid[#Data],$DE908,39),0)</f>
        <v/>
      </c>
      <c r="AQ908">
        <f>IFERROR(INDEX(PP_Grid[#Data],$DE908,40),0)</f>
        <v/>
      </c>
      <c r="AR908">
        <f>IFERROR(INDEX(PP_Grid[#Data],$DE908,41),0)</f>
        <v/>
      </c>
      <c r="AS908">
        <f>IFERROR(INDEX(PP_Grid[#Data],$DE908,42),0)</f>
        <v/>
      </c>
      <c r="AT908">
        <f>IFERROR(INDEX(PP_Grid[#Data],$DE908,43),0)</f>
        <v/>
      </c>
      <c r="AU908">
        <f>IFERROR(INDEX(PP_Grid[#Data],$DE908,44),0)</f>
        <v/>
      </c>
      <c r="AV908">
        <f>IFERROR(INDEX(PP_Grid[#Data],$DE908,45),0)</f>
        <v/>
      </c>
      <c r="AW908">
        <f>IFERROR(INDEX(PP_Grid[#Data],$DE908,46),0)</f>
        <v/>
      </c>
      <c r="AX908">
        <f>IFERROR(INDEX(PP_Grid[#Data],$DE908,47),0)</f>
        <v/>
      </c>
      <c r="AY908">
        <f>IFERROR(INDEX(PP_Grid[#Data],$DE908,48),0)</f>
        <v/>
      </c>
      <c r="AZ908">
        <f>IFERROR(INDEX(PP_Grid[#Data],$DE908,49),0)</f>
        <v/>
      </c>
      <c r="BA908">
        <f>IFERROR(INDEX(PP_Grid[#Data],$DE908,50),0)</f>
        <v/>
      </c>
      <c r="BB908">
        <f>IFERROR(INDEX(PP_Grid[#Data],$DE908,51),0)</f>
        <v/>
      </c>
      <c r="BC908">
        <f>IFERROR(INDEX(PP_Grid[#Data],$DE908,52),0)</f>
        <v/>
      </c>
      <c r="BD908">
        <f>IFERROR(INDEX(PP_Grid[#Data],$DE908,53),0)</f>
        <v/>
      </c>
      <c r="BE908">
        <f>IFERROR(INDEX(PP_Grid[#Data],$DE908,54),0)</f>
        <v/>
      </c>
      <c r="BF908">
        <f>IFERROR(INDEX(PP_Grid[#Data],$DE908,55),0)</f>
        <v/>
      </c>
      <c r="BG908">
        <f>IFERROR(INDEX(PP_Grid[#Data],$DE908,56),0)</f>
        <v/>
      </c>
      <c r="BH908">
        <f>IFERROR(INDEX(PP_Grid[#Data],$DE908,57),0)</f>
        <v/>
      </c>
      <c r="BI908">
        <f>IFERROR(INDEX(PP_Grid[#Data],$DE908,58),0)</f>
        <v/>
      </c>
      <c r="BJ908">
        <f>IFERROR(INDEX(PP_Grid[#Data],$DE908,59),0)</f>
        <v/>
      </c>
      <c r="BK908">
        <f>IFERROR(INDEX(PP_Grid[#Data],$DE908,60),0)</f>
        <v/>
      </c>
      <c r="BL908">
        <f>IFERROR(INDEX(PP_Grid[#Data],$DE908,61),0)</f>
        <v/>
      </c>
      <c r="BM908">
        <f>IFERROR(INDEX(PP_Grid[#Data],$DE908,62),0)</f>
        <v/>
      </c>
      <c r="BN908">
        <f>IFERROR(INDEX(PP_Grid[#Data],$DE908,63),0)</f>
        <v/>
      </c>
      <c r="BO908">
        <f>IFERROR(INDEX(PP_Grid[#Data],$DE908,64),0)</f>
        <v/>
      </c>
      <c r="BP908">
        <f>IFERROR(INDEX(PP_Grid[#Data],$DE908,65),0)</f>
        <v/>
      </c>
      <c r="BQ908">
        <f>IFERROR(INDEX(PP_Grid[#Data],$DE908,66),0)</f>
        <v/>
      </c>
      <c r="BR908">
        <f>IFERROR(INDEX(PP_Grid[#Data],$DE908,67),0)</f>
        <v/>
      </c>
      <c r="BS908">
        <f>IFERROR(INDEX(PP_Grid[#Data],$DE908,68),0)</f>
        <v/>
      </c>
      <c r="BT908">
        <f>IFERROR(INDEX(PP_Grid[#Data],$DE908,69),0)</f>
        <v/>
      </c>
      <c r="BU908">
        <f>IFERROR(INDEX(PP_Grid[#Data],$DE908,70),0)</f>
        <v/>
      </c>
      <c r="BV908">
        <f>IFERROR(INDEX(PP_Grid[#Data],$DE908,71),0)</f>
        <v/>
      </c>
      <c r="BW908">
        <f>IFERROR(INDEX(PP_Grid[#Data],$DE908,72),0)</f>
        <v/>
      </c>
      <c r="BX908">
        <f>IFERROR(INDEX(PP_Grid[#Data],$DE908,73),0)</f>
        <v/>
      </c>
      <c r="BY908">
        <f>IFERROR(INDEX(PP_Grid[#Data],$DE908,74),0)</f>
        <v/>
      </c>
      <c r="BZ908">
        <f>IFERROR(INDEX(PP_Grid[#Data],$DE908,75),0)</f>
        <v/>
      </c>
      <c r="CA908">
        <f>IFERROR(INDEX(PP_Grid[#Data],$DE908,76),0)</f>
        <v/>
      </c>
      <c r="CB908">
        <f>IFERROR(INDEX(PP_Grid[#Data],$DE908,77),0)</f>
        <v/>
      </c>
      <c r="CC908">
        <f>IFERROR(INDEX(PP_Grid[#Data],$DE908,78),0)</f>
        <v/>
      </c>
      <c r="CD908">
        <f>IFERROR(INDEX(PP_Grid[#Data],$DE908,79),0)</f>
        <v/>
      </c>
      <c r="CE908">
        <f>IFERROR(INDEX(PP_Grid[#Data],$DE908,80),0)</f>
        <v/>
      </c>
      <c r="CF908">
        <f>IFERROR(INDEX(PP_Grid[#Data],$DE908,81),0)</f>
        <v/>
      </c>
      <c r="CG908">
        <f>IFERROR(INDEX(PP_Grid[#Data],$DE908,82),0)</f>
        <v/>
      </c>
      <c r="CH908">
        <f>IFERROR(INDEX(PP_Grid[#Data],$DE908,83),0)</f>
        <v/>
      </c>
      <c r="CI908">
        <f>IFERROR(INDEX(PP_Grid[#Data],$DE908,84),0)</f>
        <v/>
      </c>
      <c r="CJ908">
        <f>IFERROR(INDEX(PP_Grid[#Data],$DE908,85),0)</f>
        <v/>
      </c>
      <c r="CK908">
        <f>IFERROR(INDEX(PP_Grid[#Data],$DE908,86),0)</f>
        <v/>
      </c>
      <c r="CL908">
        <f>IFERROR(INDEX(PP_Grid[#Data],$DE908,87),0)</f>
        <v/>
      </c>
      <c r="CM908">
        <f>IFERROR(INDEX(PP_Grid[#Data],$DE908,88),0)</f>
        <v/>
      </c>
      <c r="CN908">
        <f>IFERROR(INDEX(PP_Grid[#Data],$DE908,89),0)</f>
        <v/>
      </c>
      <c r="CO908">
        <f>IFERROR(INDEX(PP_Grid[#Data],$DE908,90),0)</f>
        <v/>
      </c>
      <c r="CP908">
        <f>IFERROR(INDEX(PP_Grid[#Data],$DE908,91),0)</f>
        <v/>
      </c>
      <c r="CQ908">
        <f>IFERROR(INDEX(PP_Grid[#Data],$DE908,92),0)</f>
        <v/>
      </c>
      <c r="CR908">
        <f>IFERROR(INDEX(PP_Grid[#Data],$DE908,93),0)</f>
        <v/>
      </c>
      <c r="CS908">
        <f>IFERROR(INDEX(PP_Grid[#Data],$DE908,94),0)</f>
        <v/>
      </c>
      <c r="CT908">
        <f>IFERROR(INDEX(PP_Grid[#Data],$DE908,95),0)</f>
        <v/>
      </c>
      <c r="CU908">
        <f>IFERROR(INDEX(PP_Grid[#Data],$DE908,96),0)</f>
        <v/>
      </c>
      <c r="CV908">
        <f>IFERROR(INDEX(PP_Grid[#Data],$DE908,97),0)</f>
        <v/>
      </c>
      <c r="CW908">
        <f>IFERROR(INDEX(PP_Grid[#Data],$DE908,98),0)</f>
        <v/>
      </c>
      <c r="CX908">
        <f>IFERROR(INDEX(PP_Grid[#Data],$DE908,99),0)</f>
        <v/>
      </c>
      <c r="CY908">
        <f>IFERROR(INDEX(PP_Grid[#Data],$DE908,100),0)</f>
        <v/>
      </c>
      <c r="CZ908">
        <f>IFERROR(INDEX(PP_Grid[#Data],$DE908,101),0)</f>
        <v/>
      </c>
      <c r="DA908">
        <f>IFERROR(INDEX(PP_Grid[#Data],$DE908,102),0)</f>
        <v/>
      </c>
      <c r="DB908">
        <f>IFERROR(INDEX(PP_Grid[#Data],$DE908,103),0)</f>
        <v/>
      </c>
      <c r="DC908">
        <f>IFERROR(INDEX(PP_Grid[#Data],$DE908,104),0)</f>
        <v/>
      </c>
      <c r="DD908">
        <f>IFERROR(INDEX(PP_Grid[#Data],$DE908,105),0)</f>
        <v/>
      </c>
      <c r="DE908" s="7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SUMIFS(M_BOM[RM_Qty_Per_Batch],M_BOM[Intermediate],$B908,M_BOM[RM_Code],$A893)</f>
        <v/>
      </c>
      <c r="D909">
        <f>IFERROR(INDEX(E909:DD909,$F$1),"")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  <c r="DD909">
        <f>$C909*DD908</f>
        <v/>
      </c>
    </row>
    <row r="910">
      <c r="B910" t="inlineStr">
        <is>
          <t>VSP-869</t>
        </is>
      </c>
      <c r="C910" t="inlineStr">
        <is>
          <t>No. of batches</t>
        </is>
      </c>
      <c r="D910">
        <f>IFERROR(INDEX(E910:DD910,$F$1),"")</f>
        <v/>
      </c>
      <c r="E910">
        <f>IFERROR(INDEX(PP_Grid[#Data],$DE910,2),0)</f>
        <v/>
      </c>
      <c r="F910">
        <f>IFERROR(INDEX(PP_Grid[#Data],$DE910,3),0)</f>
        <v/>
      </c>
      <c r="G910">
        <f>IFERROR(INDEX(PP_Grid[#Data],$DE910,4),0)</f>
        <v/>
      </c>
      <c r="H910">
        <f>IFERROR(INDEX(PP_Grid[#Data],$DE910,5),0)</f>
        <v/>
      </c>
      <c r="I910">
        <f>IFERROR(INDEX(PP_Grid[#Data],$DE910,6),0)</f>
        <v/>
      </c>
      <c r="J910">
        <f>IFERROR(INDEX(PP_Grid[#Data],$DE910,7),0)</f>
        <v/>
      </c>
      <c r="K910">
        <f>IFERROR(INDEX(PP_Grid[#Data],$DE910,8),0)</f>
        <v/>
      </c>
      <c r="L910">
        <f>IFERROR(INDEX(PP_Grid[#Data],$DE910,9),0)</f>
        <v/>
      </c>
      <c r="M910">
        <f>IFERROR(INDEX(PP_Grid[#Data],$DE910,10),0)</f>
        <v/>
      </c>
      <c r="N910">
        <f>IFERROR(INDEX(PP_Grid[#Data],$DE910,11),0)</f>
        <v/>
      </c>
      <c r="O910">
        <f>IFERROR(INDEX(PP_Grid[#Data],$DE910,12),0)</f>
        <v/>
      </c>
      <c r="P910">
        <f>IFERROR(INDEX(PP_Grid[#Data],$DE910,13),0)</f>
        <v/>
      </c>
      <c r="Q910">
        <f>IFERROR(INDEX(PP_Grid[#Data],$DE910,14),0)</f>
        <v/>
      </c>
      <c r="R910">
        <f>IFERROR(INDEX(PP_Grid[#Data],$DE910,15),0)</f>
        <v/>
      </c>
      <c r="S910">
        <f>IFERROR(INDEX(PP_Grid[#Data],$DE910,16),0)</f>
        <v/>
      </c>
      <c r="T910">
        <f>IFERROR(INDEX(PP_Grid[#Data],$DE910,17),0)</f>
        <v/>
      </c>
      <c r="U910">
        <f>IFERROR(INDEX(PP_Grid[#Data],$DE910,18),0)</f>
        <v/>
      </c>
      <c r="V910">
        <f>IFERROR(INDEX(PP_Grid[#Data],$DE910,19),0)</f>
        <v/>
      </c>
      <c r="W910">
        <f>IFERROR(INDEX(PP_Grid[#Data],$DE910,20),0)</f>
        <v/>
      </c>
      <c r="X910">
        <f>IFERROR(INDEX(PP_Grid[#Data],$DE910,21),0)</f>
        <v/>
      </c>
      <c r="Y910">
        <f>IFERROR(INDEX(PP_Grid[#Data],$DE910,22),0)</f>
        <v/>
      </c>
      <c r="Z910">
        <f>IFERROR(INDEX(PP_Grid[#Data],$DE910,23),0)</f>
        <v/>
      </c>
      <c r="AA910">
        <f>IFERROR(INDEX(PP_Grid[#Data],$DE910,24),0)</f>
        <v/>
      </c>
      <c r="AB910">
        <f>IFERROR(INDEX(PP_Grid[#Data],$DE910,25),0)</f>
        <v/>
      </c>
      <c r="AC910">
        <f>IFERROR(INDEX(PP_Grid[#Data],$DE910,26),0)</f>
        <v/>
      </c>
      <c r="AD910">
        <f>IFERROR(INDEX(PP_Grid[#Data],$DE910,27),0)</f>
        <v/>
      </c>
      <c r="AE910">
        <f>IFERROR(INDEX(PP_Grid[#Data],$DE910,28),0)</f>
        <v/>
      </c>
      <c r="AF910">
        <f>IFERROR(INDEX(PP_Grid[#Data],$DE910,29),0)</f>
        <v/>
      </c>
      <c r="AG910">
        <f>IFERROR(INDEX(PP_Grid[#Data],$DE910,30),0)</f>
        <v/>
      </c>
      <c r="AH910">
        <f>IFERROR(INDEX(PP_Grid[#Data],$DE910,31),0)</f>
        <v/>
      </c>
      <c r="AI910">
        <f>IFERROR(INDEX(PP_Grid[#Data],$DE910,32),0)</f>
        <v/>
      </c>
      <c r="AJ910">
        <f>IFERROR(INDEX(PP_Grid[#Data],$DE910,33),0)</f>
        <v/>
      </c>
      <c r="AK910">
        <f>IFERROR(INDEX(PP_Grid[#Data],$DE910,34),0)</f>
        <v/>
      </c>
      <c r="AL910">
        <f>IFERROR(INDEX(PP_Grid[#Data],$DE910,35),0)</f>
        <v/>
      </c>
      <c r="AM910">
        <f>IFERROR(INDEX(PP_Grid[#Data],$DE910,36),0)</f>
        <v/>
      </c>
      <c r="AN910">
        <f>IFERROR(INDEX(PP_Grid[#Data],$DE910,37),0)</f>
        <v/>
      </c>
      <c r="AO910">
        <f>IFERROR(INDEX(PP_Grid[#Data],$DE910,38),0)</f>
        <v/>
      </c>
      <c r="AP910">
        <f>IFERROR(INDEX(PP_Grid[#Data],$DE910,39),0)</f>
        <v/>
      </c>
      <c r="AQ910">
        <f>IFERROR(INDEX(PP_Grid[#Data],$DE910,40),0)</f>
        <v/>
      </c>
      <c r="AR910">
        <f>IFERROR(INDEX(PP_Grid[#Data],$DE910,41),0)</f>
        <v/>
      </c>
      <c r="AS910">
        <f>IFERROR(INDEX(PP_Grid[#Data],$DE910,42),0)</f>
        <v/>
      </c>
      <c r="AT910">
        <f>IFERROR(INDEX(PP_Grid[#Data],$DE910,43),0)</f>
        <v/>
      </c>
      <c r="AU910">
        <f>IFERROR(INDEX(PP_Grid[#Data],$DE910,44),0)</f>
        <v/>
      </c>
      <c r="AV910">
        <f>IFERROR(INDEX(PP_Grid[#Data],$DE910,45),0)</f>
        <v/>
      </c>
      <c r="AW910">
        <f>IFERROR(INDEX(PP_Grid[#Data],$DE910,46),0)</f>
        <v/>
      </c>
      <c r="AX910">
        <f>IFERROR(INDEX(PP_Grid[#Data],$DE910,47),0)</f>
        <v/>
      </c>
      <c r="AY910">
        <f>IFERROR(INDEX(PP_Grid[#Data],$DE910,48),0)</f>
        <v/>
      </c>
      <c r="AZ910">
        <f>IFERROR(INDEX(PP_Grid[#Data],$DE910,49),0)</f>
        <v/>
      </c>
      <c r="BA910">
        <f>IFERROR(INDEX(PP_Grid[#Data],$DE910,50),0)</f>
        <v/>
      </c>
      <c r="BB910">
        <f>IFERROR(INDEX(PP_Grid[#Data],$DE910,51),0)</f>
        <v/>
      </c>
      <c r="BC910">
        <f>IFERROR(INDEX(PP_Grid[#Data],$DE910,52),0)</f>
        <v/>
      </c>
      <c r="BD910">
        <f>IFERROR(INDEX(PP_Grid[#Data],$DE910,53),0)</f>
        <v/>
      </c>
      <c r="BE910">
        <f>IFERROR(INDEX(PP_Grid[#Data],$DE910,54),0)</f>
        <v/>
      </c>
      <c r="BF910">
        <f>IFERROR(INDEX(PP_Grid[#Data],$DE910,55),0)</f>
        <v/>
      </c>
      <c r="BG910">
        <f>IFERROR(INDEX(PP_Grid[#Data],$DE910,56),0)</f>
        <v/>
      </c>
      <c r="BH910">
        <f>IFERROR(INDEX(PP_Grid[#Data],$DE910,57),0)</f>
        <v/>
      </c>
      <c r="BI910">
        <f>IFERROR(INDEX(PP_Grid[#Data],$DE910,58),0)</f>
        <v/>
      </c>
      <c r="BJ910">
        <f>IFERROR(INDEX(PP_Grid[#Data],$DE910,59),0)</f>
        <v/>
      </c>
      <c r="BK910">
        <f>IFERROR(INDEX(PP_Grid[#Data],$DE910,60),0)</f>
        <v/>
      </c>
      <c r="BL910">
        <f>IFERROR(INDEX(PP_Grid[#Data],$DE910,61),0)</f>
        <v/>
      </c>
      <c r="BM910">
        <f>IFERROR(INDEX(PP_Grid[#Data],$DE910,62),0)</f>
        <v/>
      </c>
      <c r="BN910">
        <f>IFERROR(INDEX(PP_Grid[#Data],$DE910,63),0)</f>
        <v/>
      </c>
      <c r="BO910">
        <f>IFERROR(INDEX(PP_Grid[#Data],$DE910,64),0)</f>
        <v/>
      </c>
      <c r="BP910">
        <f>IFERROR(INDEX(PP_Grid[#Data],$DE910,65),0)</f>
        <v/>
      </c>
      <c r="BQ910">
        <f>IFERROR(INDEX(PP_Grid[#Data],$DE910,66),0)</f>
        <v/>
      </c>
      <c r="BR910">
        <f>IFERROR(INDEX(PP_Grid[#Data],$DE910,67),0)</f>
        <v/>
      </c>
      <c r="BS910">
        <f>IFERROR(INDEX(PP_Grid[#Data],$DE910,68),0)</f>
        <v/>
      </c>
      <c r="BT910">
        <f>IFERROR(INDEX(PP_Grid[#Data],$DE910,69),0)</f>
        <v/>
      </c>
      <c r="BU910">
        <f>IFERROR(INDEX(PP_Grid[#Data],$DE910,70),0)</f>
        <v/>
      </c>
      <c r="BV910">
        <f>IFERROR(INDEX(PP_Grid[#Data],$DE910,71),0)</f>
        <v/>
      </c>
      <c r="BW910">
        <f>IFERROR(INDEX(PP_Grid[#Data],$DE910,72),0)</f>
        <v/>
      </c>
      <c r="BX910">
        <f>IFERROR(INDEX(PP_Grid[#Data],$DE910,73),0)</f>
        <v/>
      </c>
      <c r="BY910">
        <f>IFERROR(INDEX(PP_Grid[#Data],$DE910,74),0)</f>
        <v/>
      </c>
      <c r="BZ910">
        <f>IFERROR(INDEX(PP_Grid[#Data],$DE910,75),0)</f>
        <v/>
      </c>
      <c r="CA910">
        <f>IFERROR(INDEX(PP_Grid[#Data],$DE910,76),0)</f>
        <v/>
      </c>
      <c r="CB910">
        <f>IFERROR(INDEX(PP_Grid[#Data],$DE910,77),0)</f>
        <v/>
      </c>
      <c r="CC910">
        <f>IFERROR(INDEX(PP_Grid[#Data],$DE910,78),0)</f>
        <v/>
      </c>
      <c r="CD910">
        <f>IFERROR(INDEX(PP_Grid[#Data],$DE910,79),0)</f>
        <v/>
      </c>
      <c r="CE910">
        <f>IFERROR(INDEX(PP_Grid[#Data],$DE910,80),0)</f>
        <v/>
      </c>
      <c r="CF910">
        <f>IFERROR(INDEX(PP_Grid[#Data],$DE910,81),0)</f>
        <v/>
      </c>
      <c r="CG910">
        <f>IFERROR(INDEX(PP_Grid[#Data],$DE910,82),0)</f>
        <v/>
      </c>
      <c r="CH910">
        <f>IFERROR(INDEX(PP_Grid[#Data],$DE910,83),0)</f>
        <v/>
      </c>
      <c r="CI910">
        <f>IFERROR(INDEX(PP_Grid[#Data],$DE910,84),0)</f>
        <v/>
      </c>
      <c r="CJ910">
        <f>IFERROR(INDEX(PP_Grid[#Data],$DE910,85),0)</f>
        <v/>
      </c>
      <c r="CK910">
        <f>IFERROR(INDEX(PP_Grid[#Data],$DE910,86),0)</f>
        <v/>
      </c>
      <c r="CL910">
        <f>IFERROR(INDEX(PP_Grid[#Data],$DE910,87),0)</f>
        <v/>
      </c>
      <c r="CM910">
        <f>IFERROR(INDEX(PP_Grid[#Data],$DE910,88),0)</f>
        <v/>
      </c>
      <c r="CN910">
        <f>IFERROR(INDEX(PP_Grid[#Data],$DE910,89),0)</f>
        <v/>
      </c>
      <c r="CO910">
        <f>IFERROR(INDEX(PP_Grid[#Data],$DE910,90),0)</f>
        <v/>
      </c>
      <c r="CP910">
        <f>IFERROR(INDEX(PP_Grid[#Data],$DE910,91),0)</f>
        <v/>
      </c>
      <c r="CQ910">
        <f>IFERROR(INDEX(PP_Grid[#Data],$DE910,92),0)</f>
        <v/>
      </c>
      <c r="CR910">
        <f>IFERROR(INDEX(PP_Grid[#Data],$DE910,93),0)</f>
        <v/>
      </c>
      <c r="CS910">
        <f>IFERROR(INDEX(PP_Grid[#Data],$DE910,94),0)</f>
        <v/>
      </c>
      <c r="CT910">
        <f>IFERROR(INDEX(PP_Grid[#Data],$DE910,95),0)</f>
        <v/>
      </c>
      <c r="CU910">
        <f>IFERROR(INDEX(PP_Grid[#Data],$DE910,96),0)</f>
        <v/>
      </c>
      <c r="CV910">
        <f>IFERROR(INDEX(PP_Grid[#Data],$DE910,97),0)</f>
        <v/>
      </c>
      <c r="CW910">
        <f>IFERROR(INDEX(PP_Grid[#Data],$DE910,98),0)</f>
        <v/>
      </c>
      <c r="CX910">
        <f>IFERROR(INDEX(PP_Grid[#Data],$DE910,99),0)</f>
        <v/>
      </c>
      <c r="CY910">
        <f>IFERROR(INDEX(PP_Grid[#Data],$DE910,100),0)</f>
        <v/>
      </c>
      <c r="CZ910">
        <f>IFERROR(INDEX(PP_Grid[#Data],$DE910,101),0)</f>
        <v/>
      </c>
      <c r="DA910">
        <f>IFERROR(INDEX(PP_Grid[#Data],$DE910,102),0)</f>
        <v/>
      </c>
      <c r="DB910">
        <f>IFERROR(INDEX(PP_Grid[#Data],$DE910,103),0)</f>
        <v/>
      </c>
      <c r="DC910">
        <f>IFERROR(INDEX(PP_Grid[#Data],$DE910,104),0)</f>
        <v/>
      </c>
      <c r="DD910">
        <f>IFERROR(INDEX(PP_Grid[#Data],$DE910,105),0)</f>
        <v/>
      </c>
      <c r="DE910" s="7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SUMIFS(M_BOM[RM_Qty_Per_Batch],M_BOM[Intermediate],$B910,M_BOM[RM_Code],$A893)</f>
        <v/>
      </c>
      <c r="D911">
        <f>IFERROR(INDEX(E911:DD911,$F$1),"")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  <c r="DD911">
        <f>$C911*DD910</f>
        <v/>
      </c>
    </row>
    <row r="912">
      <c r="B912" t="inlineStr">
        <is>
          <t>VSP-989</t>
        </is>
      </c>
      <c r="C912" t="inlineStr">
        <is>
          <t>No. of batches</t>
        </is>
      </c>
      <c r="D912">
        <f>IFERROR(INDEX(E912:DD912,$F$1),"")</f>
        <v/>
      </c>
      <c r="E912">
        <f>IFERROR(INDEX(PP_Grid[#Data],$DE912,2),0)</f>
        <v/>
      </c>
      <c r="F912">
        <f>IFERROR(INDEX(PP_Grid[#Data],$DE912,3),0)</f>
        <v/>
      </c>
      <c r="G912">
        <f>IFERROR(INDEX(PP_Grid[#Data],$DE912,4),0)</f>
        <v/>
      </c>
      <c r="H912">
        <f>IFERROR(INDEX(PP_Grid[#Data],$DE912,5),0)</f>
        <v/>
      </c>
      <c r="I912">
        <f>IFERROR(INDEX(PP_Grid[#Data],$DE912,6),0)</f>
        <v/>
      </c>
      <c r="J912">
        <f>IFERROR(INDEX(PP_Grid[#Data],$DE912,7),0)</f>
        <v/>
      </c>
      <c r="K912">
        <f>IFERROR(INDEX(PP_Grid[#Data],$DE912,8),0)</f>
        <v/>
      </c>
      <c r="L912">
        <f>IFERROR(INDEX(PP_Grid[#Data],$DE912,9),0)</f>
        <v/>
      </c>
      <c r="M912">
        <f>IFERROR(INDEX(PP_Grid[#Data],$DE912,10),0)</f>
        <v/>
      </c>
      <c r="N912">
        <f>IFERROR(INDEX(PP_Grid[#Data],$DE912,11),0)</f>
        <v/>
      </c>
      <c r="O912">
        <f>IFERROR(INDEX(PP_Grid[#Data],$DE912,12),0)</f>
        <v/>
      </c>
      <c r="P912">
        <f>IFERROR(INDEX(PP_Grid[#Data],$DE912,13),0)</f>
        <v/>
      </c>
      <c r="Q912">
        <f>IFERROR(INDEX(PP_Grid[#Data],$DE912,14),0)</f>
        <v/>
      </c>
      <c r="R912">
        <f>IFERROR(INDEX(PP_Grid[#Data],$DE912,15),0)</f>
        <v/>
      </c>
      <c r="S912">
        <f>IFERROR(INDEX(PP_Grid[#Data],$DE912,16),0)</f>
        <v/>
      </c>
      <c r="T912">
        <f>IFERROR(INDEX(PP_Grid[#Data],$DE912,17),0)</f>
        <v/>
      </c>
      <c r="U912">
        <f>IFERROR(INDEX(PP_Grid[#Data],$DE912,18),0)</f>
        <v/>
      </c>
      <c r="V912">
        <f>IFERROR(INDEX(PP_Grid[#Data],$DE912,19),0)</f>
        <v/>
      </c>
      <c r="W912">
        <f>IFERROR(INDEX(PP_Grid[#Data],$DE912,20),0)</f>
        <v/>
      </c>
      <c r="X912">
        <f>IFERROR(INDEX(PP_Grid[#Data],$DE912,21),0)</f>
        <v/>
      </c>
      <c r="Y912">
        <f>IFERROR(INDEX(PP_Grid[#Data],$DE912,22),0)</f>
        <v/>
      </c>
      <c r="Z912">
        <f>IFERROR(INDEX(PP_Grid[#Data],$DE912,23),0)</f>
        <v/>
      </c>
      <c r="AA912">
        <f>IFERROR(INDEX(PP_Grid[#Data],$DE912,24),0)</f>
        <v/>
      </c>
      <c r="AB912">
        <f>IFERROR(INDEX(PP_Grid[#Data],$DE912,25),0)</f>
        <v/>
      </c>
      <c r="AC912">
        <f>IFERROR(INDEX(PP_Grid[#Data],$DE912,26),0)</f>
        <v/>
      </c>
      <c r="AD912">
        <f>IFERROR(INDEX(PP_Grid[#Data],$DE912,27),0)</f>
        <v/>
      </c>
      <c r="AE912">
        <f>IFERROR(INDEX(PP_Grid[#Data],$DE912,28),0)</f>
        <v/>
      </c>
      <c r="AF912">
        <f>IFERROR(INDEX(PP_Grid[#Data],$DE912,29),0)</f>
        <v/>
      </c>
      <c r="AG912">
        <f>IFERROR(INDEX(PP_Grid[#Data],$DE912,30),0)</f>
        <v/>
      </c>
      <c r="AH912">
        <f>IFERROR(INDEX(PP_Grid[#Data],$DE912,31),0)</f>
        <v/>
      </c>
      <c r="AI912">
        <f>IFERROR(INDEX(PP_Grid[#Data],$DE912,32),0)</f>
        <v/>
      </c>
      <c r="AJ912">
        <f>IFERROR(INDEX(PP_Grid[#Data],$DE912,33),0)</f>
        <v/>
      </c>
      <c r="AK912">
        <f>IFERROR(INDEX(PP_Grid[#Data],$DE912,34),0)</f>
        <v/>
      </c>
      <c r="AL912">
        <f>IFERROR(INDEX(PP_Grid[#Data],$DE912,35),0)</f>
        <v/>
      </c>
      <c r="AM912">
        <f>IFERROR(INDEX(PP_Grid[#Data],$DE912,36),0)</f>
        <v/>
      </c>
      <c r="AN912">
        <f>IFERROR(INDEX(PP_Grid[#Data],$DE912,37),0)</f>
        <v/>
      </c>
      <c r="AO912">
        <f>IFERROR(INDEX(PP_Grid[#Data],$DE912,38),0)</f>
        <v/>
      </c>
      <c r="AP912">
        <f>IFERROR(INDEX(PP_Grid[#Data],$DE912,39),0)</f>
        <v/>
      </c>
      <c r="AQ912">
        <f>IFERROR(INDEX(PP_Grid[#Data],$DE912,40),0)</f>
        <v/>
      </c>
      <c r="AR912">
        <f>IFERROR(INDEX(PP_Grid[#Data],$DE912,41),0)</f>
        <v/>
      </c>
      <c r="AS912">
        <f>IFERROR(INDEX(PP_Grid[#Data],$DE912,42),0)</f>
        <v/>
      </c>
      <c r="AT912">
        <f>IFERROR(INDEX(PP_Grid[#Data],$DE912,43),0)</f>
        <v/>
      </c>
      <c r="AU912">
        <f>IFERROR(INDEX(PP_Grid[#Data],$DE912,44),0)</f>
        <v/>
      </c>
      <c r="AV912">
        <f>IFERROR(INDEX(PP_Grid[#Data],$DE912,45),0)</f>
        <v/>
      </c>
      <c r="AW912">
        <f>IFERROR(INDEX(PP_Grid[#Data],$DE912,46),0)</f>
        <v/>
      </c>
      <c r="AX912">
        <f>IFERROR(INDEX(PP_Grid[#Data],$DE912,47),0)</f>
        <v/>
      </c>
      <c r="AY912">
        <f>IFERROR(INDEX(PP_Grid[#Data],$DE912,48),0)</f>
        <v/>
      </c>
      <c r="AZ912">
        <f>IFERROR(INDEX(PP_Grid[#Data],$DE912,49),0)</f>
        <v/>
      </c>
      <c r="BA912">
        <f>IFERROR(INDEX(PP_Grid[#Data],$DE912,50),0)</f>
        <v/>
      </c>
      <c r="BB912">
        <f>IFERROR(INDEX(PP_Grid[#Data],$DE912,51),0)</f>
        <v/>
      </c>
      <c r="BC912">
        <f>IFERROR(INDEX(PP_Grid[#Data],$DE912,52),0)</f>
        <v/>
      </c>
      <c r="BD912">
        <f>IFERROR(INDEX(PP_Grid[#Data],$DE912,53),0)</f>
        <v/>
      </c>
      <c r="BE912">
        <f>IFERROR(INDEX(PP_Grid[#Data],$DE912,54),0)</f>
        <v/>
      </c>
      <c r="BF912">
        <f>IFERROR(INDEX(PP_Grid[#Data],$DE912,55),0)</f>
        <v/>
      </c>
      <c r="BG912">
        <f>IFERROR(INDEX(PP_Grid[#Data],$DE912,56),0)</f>
        <v/>
      </c>
      <c r="BH912">
        <f>IFERROR(INDEX(PP_Grid[#Data],$DE912,57),0)</f>
        <v/>
      </c>
      <c r="BI912">
        <f>IFERROR(INDEX(PP_Grid[#Data],$DE912,58),0)</f>
        <v/>
      </c>
      <c r="BJ912">
        <f>IFERROR(INDEX(PP_Grid[#Data],$DE912,59),0)</f>
        <v/>
      </c>
      <c r="BK912">
        <f>IFERROR(INDEX(PP_Grid[#Data],$DE912,60),0)</f>
        <v/>
      </c>
      <c r="BL912">
        <f>IFERROR(INDEX(PP_Grid[#Data],$DE912,61),0)</f>
        <v/>
      </c>
      <c r="BM912">
        <f>IFERROR(INDEX(PP_Grid[#Data],$DE912,62),0)</f>
        <v/>
      </c>
      <c r="BN912">
        <f>IFERROR(INDEX(PP_Grid[#Data],$DE912,63),0)</f>
        <v/>
      </c>
      <c r="BO912">
        <f>IFERROR(INDEX(PP_Grid[#Data],$DE912,64),0)</f>
        <v/>
      </c>
      <c r="BP912">
        <f>IFERROR(INDEX(PP_Grid[#Data],$DE912,65),0)</f>
        <v/>
      </c>
      <c r="BQ912">
        <f>IFERROR(INDEX(PP_Grid[#Data],$DE912,66),0)</f>
        <v/>
      </c>
      <c r="BR912">
        <f>IFERROR(INDEX(PP_Grid[#Data],$DE912,67),0)</f>
        <v/>
      </c>
      <c r="BS912">
        <f>IFERROR(INDEX(PP_Grid[#Data],$DE912,68),0)</f>
        <v/>
      </c>
      <c r="BT912">
        <f>IFERROR(INDEX(PP_Grid[#Data],$DE912,69),0)</f>
        <v/>
      </c>
      <c r="BU912">
        <f>IFERROR(INDEX(PP_Grid[#Data],$DE912,70),0)</f>
        <v/>
      </c>
      <c r="BV912">
        <f>IFERROR(INDEX(PP_Grid[#Data],$DE912,71),0)</f>
        <v/>
      </c>
      <c r="BW912">
        <f>IFERROR(INDEX(PP_Grid[#Data],$DE912,72),0)</f>
        <v/>
      </c>
      <c r="BX912">
        <f>IFERROR(INDEX(PP_Grid[#Data],$DE912,73),0)</f>
        <v/>
      </c>
      <c r="BY912">
        <f>IFERROR(INDEX(PP_Grid[#Data],$DE912,74),0)</f>
        <v/>
      </c>
      <c r="BZ912">
        <f>IFERROR(INDEX(PP_Grid[#Data],$DE912,75),0)</f>
        <v/>
      </c>
      <c r="CA912">
        <f>IFERROR(INDEX(PP_Grid[#Data],$DE912,76),0)</f>
        <v/>
      </c>
      <c r="CB912">
        <f>IFERROR(INDEX(PP_Grid[#Data],$DE912,77),0)</f>
        <v/>
      </c>
      <c r="CC912">
        <f>IFERROR(INDEX(PP_Grid[#Data],$DE912,78),0)</f>
        <v/>
      </c>
      <c r="CD912">
        <f>IFERROR(INDEX(PP_Grid[#Data],$DE912,79),0)</f>
        <v/>
      </c>
      <c r="CE912">
        <f>IFERROR(INDEX(PP_Grid[#Data],$DE912,80),0)</f>
        <v/>
      </c>
      <c r="CF912">
        <f>IFERROR(INDEX(PP_Grid[#Data],$DE912,81),0)</f>
        <v/>
      </c>
      <c r="CG912">
        <f>IFERROR(INDEX(PP_Grid[#Data],$DE912,82),0)</f>
        <v/>
      </c>
      <c r="CH912">
        <f>IFERROR(INDEX(PP_Grid[#Data],$DE912,83),0)</f>
        <v/>
      </c>
      <c r="CI912">
        <f>IFERROR(INDEX(PP_Grid[#Data],$DE912,84),0)</f>
        <v/>
      </c>
      <c r="CJ912">
        <f>IFERROR(INDEX(PP_Grid[#Data],$DE912,85),0)</f>
        <v/>
      </c>
      <c r="CK912">
        <f>IFERROR(INDEX(PP_Grid[#Data],$DE912,86),0)</f>
        <v/>
      </c>
      <c r="CL912">
        <f>IFERROR(INDEX(PP_Grid[#Data],$DE912,87),0)</f>
        <v/>
      </c>
      <c r="CM912">
        <f>IFERROR(INDEX(PP_Grid[#Data],$DE912,88),0)</f>
        <v/>
      </c>
      <c r="CN912">
        <f>IFERROR(INDEX(PP_Grid[#Data],$DE912,89),0)</f>
        <v/>
      </c>
      <c r="CO912">
        <f>IFERROR(INDEX(PP_Grid[#Data],$DE912,90),0)</f>
        <v/>
      </c>
      <c r="CP912">
        <f>IFERROR(INDEX(PP_Grid[#Data],$DE912,91),0)</f>
        <v/>
      </c>
      <c r="CQ912">
        <f>IFERROR(INDEX(PP_Grid[#Data],$DE912,92),0)</f>
        <v/>
      </c>
      <c r="CR912">
        <f>IFERROR(INDEX(PP_Grid[#Data],$DE912,93),0)</f>
        <v/>
      </c>
      <c r="CS912">
        <f>IFERROR(INDEX(PP_Grid[#Data],$DE912,94),0)</f>
        <v/>
      </c>
      <c r="CT912">
        <f>IFERROR(INDEX(PP_Grid[#Data],$DE912,95),0)</f>
        <v/>
      </c>
      <c r="CU912">
        <f>IFERROR(INDEX(PP_Grid[#Data],$DE912,96),0)</f>
        <v/>
      </c>
      <c r="CV912">
        <f>IFERROR(INDEX(PP_Grid[#Data],$DE912,97),0)</f>
        <v/>
      </c>
      <c r="CW912">
        <f>IFERROR(INDEX(PP_Grid[#Data],$DE912,98),0)</f>
        <v/>
      </c>
      <c r="CX912">
        <f>IFERROR(INDEX(PP_Grid[#Data],$DE912,99),0)</f>
        <v/>
      </c>
      <c r="CY912">
        <f>IFERROR(INDEX(PP_Grid[#Data],$DE912,100),0)</f>
        <v/>
      </c>
      <c r="CZ912">
        <f>IFERROR(INDEX(PP_Grid[#Data],$DE912,101),0)</f>
        <v/>
      </c>
      <c r="DA912">
        <f>IFERROR(INDEX(PP_Grid[#Data],$DE912,102),0)</f>
        <v/>
      </c>
      <c r="DB912">
        <f>IFERROR(INDEX(PP_Grid[#Data],$DE912,103),0)</f>
        <v/>
      </c>
      <c r="DC912">
        <f>IFERROR(INDEX(PP_Grid[#Data],$DE912,104),0)</f>
        <v/>
      </c>
      <c r="DD912">
        <f>IFERROR(INDEX(PP_Grid[#Data],$DE912,105),0)</f>
        <v/>
      </c>
      <c r="DE912" s="7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SUMIFS(M_BOM[RM_Qty_Per_Batch],M_BOM[Intermediate],$B912,M_BOM[RM_Code],$A893)</f>
        <v/>
      </c>
      <c r="D913">
        <f>IFERROR(INDEX(E913:DD913,$F$1),"")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  <c r="DD913">
        <f>$C913*DD912</f>
        <v/>
      </c>
    </row>
    <row r="914">
      <c r="B914" t="inlineStr">
        <is>
          <t>TSP-1388</t>
        </is>
      </c>
      <c r="C914" t="inlineStr">
        <is>
          <t>No. of batches</t>
        </is>
      </c>
      <c r="D914">
        <f>IFERROR(INDEX(E914:DD914,$F$1),"")</f>
        <v/>
      </c>
      <c r="E914">
        <f>IFERROR(INDEX(PP_Grid[#Data],$DE914,2),0)</f>
        <v/>
      </c>
      <c r="F914">
        <f>IFERROR(INDEX(PP_Grid[#Data],$DE914,3),0)</f>
        <v/>
      </c>
      <c r="G914">
        <f>IFERROR(INDEX(PP_Grid[#Data],$DE914,4),0)</f>
        <v/>
      </c>
      <c r="H914">
        <f>IFERROR(INDEX(PP_Grid[#Data],$DE914,5),0)</f>
        <v/>
      </c>
      <c r="I914">
        <f>IFERROR(INDEX(PP_Grid[#Data],$DE914,6),0)</f>
        <v/>
      </c>
      <c r="J914">
        <f>IFERROR(INDEX(PP_Grid[#Data],$DE914,7),0)</f>
        <v/>
      </c>
      <c r="K914">
        <f>IFERROR(INDEX(PP_Grid[#Data],$DE914,8),0)</f>
        <v/>
      </c>
      <c r="L914">
        <f>IFERROR(INDEX(PP_Grid[#Data],$DE914,9),0)</f>
        <v/>
      </c>
      <c r="M914">
        <f>IFERROR(INDEX(PP_Grid[#Data],$DE914,10),0)</f>
        <v/>
      </c>
      <c r="N914">
        <f>IFERROR(INDEX(PP_Grid[#Data],$DE914,11),0)</f>
        <v/>
      </c>
      <c r="O914">
        <f>IFERROR(INDEX(PP_Grid[#Data],$DE914,12),0)</f>
        <v/>
      </c>
      <c r="P914">
        <f>IFERROR(INDEX(PP_Grid[#Data],$DE914,13),0)</f>
        <v/>
      </c>
      <c r="Q914">
        <f>IFERROR(INDEX(PP_Grid[#Data],$DE914,14),0)</f>
        <v/>
      </c>
      <c r="R914">
        <f>IFERROR(INDEX(PP_Grid[#Data],$DE914,15),0)</f>
        <v/>
      </c>
      <c r="S914">
        <f>IFERROR(INDEX(PP_Grid[#Data],$DE914,16),0)</f>
        <v/>
      </c>
      <c r="T914">
        <f>IFERROR(INDEX(PP_Grid[#Data],$DE914,17),0)</f>
        <v/>
      </c>
      <c r="U914">
        <f>IFERROR(INDEX(PP_Grid[#Data],$DE914,18),0)</f>
        <v/>
      </c>
      <c r="V914">
        <f>IFERROR(INDEX(PP_Grid[#Data],$DE914,19),0)</f>
        <v/>
      </c>
      <c r="W914">
        <f>IFERROR(INDEX(PP_Grid[#Data],$DE914,20),0)</f>
        <v/>
      </c>
      <c r="X914">
        <f>IFERROR(INDEX(PP_Grid[#Data],$DE914,21),0)</f>
        <v/>
      </c>
      <c r="Y914">
        <f>IFERROR(INDEX(PP_Grid[#Data],$DE914,22),0)</f>
        <v/>
      </c>
      <c r="Z914">
        <f>IFERROR(INDEX(PP_Grid[#Data],$DE914,23),0)</f>
        <v/>
      </c>
      <c r="AA914">
        <f>IFERROR(INDEX(PP_Grid[#Data],$DE914,24),0)</f>
        <v/>
      </c>
      <c r="AB914">
        <f>IFERROR(INDEX(PP_Grid[#Data],$DE914,25),0)</f>
        <v/>
      </c>
      <c r="AC914">
        <f>IFERROR(INDEX(PP_Grid[#Data],$DE914,26),0)</f>
        <v/>
      </c>
      <c r="AD914">
        <f>IFERROR(INDEX(PP_Grid[#Data],$DE914,27),0)</f>
        <v/>
      </c>
      <c r="AE914">
        <f>IFERROR(INDEX(PP_Grid[#Data],$DE914,28),0)</f>
        <v/>
      </c>
      <c r="AF914">
        <f>IFERROR(INDEX(PP_Grid[#Data],$DE914,29),0)</f>
        <v/>
      </c>
      <c r="AG914">
        <f>IFERROR(INDEX(PP_Grid[#Data],$DE914,30),0)</f>
        <v/>
      </c>
      <c r="AH914">
        <f>IFERROR(INDEX(PP_Grid[#Data],$DE914,31),0)</f>
        <v/>
      </c>
      <c r="AI914">
        <f>IFERROR(INDEX(PP_Grid[#Data],$DE914,32),0)</f>
        <v/>
      </c>
      <c r="AJ914">
        <f>IFERROR(INDEX(PP_Grid[#Data],$DE914,33),0)</f>
        <v/>
      </c>
      <c r="AK914">
        <f>IFERROR(INDEX(PP_Grid[#Data],$DE914,34),0)</f>
        <v/>
      </c>
      <c r="AL914">
        <f>IFERROR(INDEX(PP_Grid[#Data],$DE914,35),0)</f>
        <v/>
      </c>
      <c r="AM914">
        <f>IFERROR(INDEX(PP_Grid[#Data],$DE914,36),0)</f>
        <v/>
      </c>
      <c r="AN914">
        <f>IFERROR(INDEX(PP_Grid[#Data],$DE914,37),0)</f>
        <v/>
      </c>
      <c r="AO914">
        <f>IFERROR(INDEX(PP_Grid[#Data],$DE914,38),0)</f>
        <v/>
      </c>
      <c r="AP914">
        <f>IFERROR(INDEX(PP_Grid[#Data],$DE914,39),0)</f>
        <v/>
      </c>
      <c r="AQ914">
        <f>IFERROR(INDEX(PP_Grid[#Data],$DE914,40),0)</f>
        <v/>
      </c>
      <c r="AR914">
        <f>IFERROR(INDEX(PP_Grid[#Data],$DE914,41),0)</f>
        <v/>
      </c>
      <c r="AS914">
        <f>IFERROR(INDEX(PP_Grid[#Data],$DE914,42),0)</f>
        <v/>
      </c>
      <c r="AT914">
        <f>IFERROR(INDEX(PP_Grid[#Data],$DE914,43),0)</f>
        <v/>
      </c>
      <c r="AU914">
        <f>IFERROR(INDEX(PP_Grid[#Data],$DE914,44),0)</f>
        <v/>
      </c>
      <c r="AV914">
        <f>IFERROR(INDEX(PP_Grid[#Data],$DE914,45),0)</f>
        <v/>
      </c>
      <c r="AW914">
        <f>IFERROR(INDEX(PP_Grid[#Data],$DE914,46),0)</f>
        <v/>
      </c>
      <c r="AX914">
        <f>IFERROR(INDEX(PP_Grid[#Data],$DE914,47),0)</f>
        <v/>
      </c>
      <c r="AY914">
        <f>IFERROR(INDEX(PP_Grid[#Data],$DE914,48),0)</f>
        <v/>
      </c>
      <c r="AZ914">
        <f>IFERROR(INDEX(PP_Grid[#Data],$DE914,49),0)</f>
        <v/>
      </c>
      <c r="BA914">
        <f>IFERROR(INDEX(PP_Grid[#Data],$DE914,50),0)</f>
        <v/>
      </c>
      <c r="BB914">
        <f>IFERROR(INDEX(PP_Grid[#Data],$DE914,51),0)</f>
        <v/>
      </c>
      <c r="BC914">
        <f>IFERROR(INDEX(PP_Grid[#Data],$DE914,52),0)</f>
        <v/>
      </c>
      <c r="BD914">
        <f>IFERROR(INDEX(PP_Grid[#Data],$DE914,53),0)</f>
        <v/>
      </c>
      <c r="BE914">
        <f>IFERROR(INDEX(PP_Grid[#Data],$DE914,54),0)</f>
        <v/>
      </c>
      <c r="BF914">
        <f>IFERROR(INDEX(PP_Grid[#Data],$DE914,55),0)</f>
        <v/>
      </c>
      <c r="BG914">
        <f>IFERROR(INDEX(PP_Grid[#Data],$DE914,56),0)</f>
        <v/>
      </c>
      <c r="BH914">
        <f>IFERROR(INDEX(PP_Grid[#Data],$DE914,57),0)</f>
        <v/>
      </c>
      <c r="BI914">
        <f>IFERROR(INDEX(PP_Grid[#Data],$DE914,58),0)</f>
        <v/>
      </c>
      <c r="BJ914">
        <f>IFERROR(INDEX(PP_Grid[#Data],$DE914,59),0)</f>
        <v/>
      </c>
      <c r="BK914">
        <f>IFERROR(INDEX(PP_Grid[#Data],$DE914,60),0)</f>
        <v/>
      </c>
      <c r="BL914">
        <f>IFERROR(INDEX(PP_Grid[#Data],$DE914,61),0)</f>
        <v/>
      </c>
      <c r="BM914">
        <f>IFERROR(INDEX(PP_Grid[#Data],$DE914,62),0)</f>
        <v/>
      </c>
      <c r="BN914">
        <f>IFERROR(INDEX(PP_Grid[#Data],$DE914,63),0)</f>
        <v/>
      </c>
      <c r="BO914">
        <f>IFERROR(INDEX(PP_Grid[#Data],$DE914,64),0)</f>
        <v/>
      </c>
      <c r="BP914">
        <f>IFERROR(INDEX(PP_Grid[#Data],$DE914,65),0)</f>
        <v/>
      </c>
      <c r="BQ914">
        <f>IFERROR(INDEX(PP_Grid[#Data],$DE914,66),0)</f>
        <v/>
      </c>
      <c r="BR914">
        <f>IFERROR(INDEX(PP_Grid[#Data],$DE914,67),0)</f>
        <v/>
      </c>
      <c r="BS914">
        <f>IFERROR(INDEX(PP_Grid[#Data],$DE914,68),0)</f>
        <v/>
      </c>
      <c r="BT914">
        <f>IFERROR(INDEX(PP_Grid[#Data],$DE914,69),0)</f>
        <v/>
      </c>
      <c r="BU914">
        <f>IFERROR(INDEX(PP_Grid[#Data],$DE914,70),0)</f>
        <v/>
      </c>
      <c r="BV914">
        <f>IFERROR(INDEX(PP_Grid[#Data],$DE914,71),0)</f>
        <v/>
      </c>
      <c r="BW914">
        <f>IFERROR(INDEX(PP_Grid[#Data],$DE914,72),0)</f>
        <v/>
      </c>
      <c r="BX914">
        <f>IFERROR(INDEX(PP_Grid[#Data],$DE914,73),0)</f>
        <v/>
      </c>
      <c r="BY914">
        <f>IFERROR(INDEX(PP_Grid[#Data],$DE914,74),0)</f>
        <v/>
      </c>
      <c r="BZ914">
        <f>IFERROR(INDEX(PP_Grid[#Data],$DE914,75),0)</f>
        <v/>
      </c>
      <c r="CA914">
        <f>IFERROR(INDEX(PP_Grid[#Data],$DE914,76),0)</f>
        <v/>
      </c>
      <c r="CB914">
        <f>IFERROR(INDEX(PP_Grid[#Data],$DE914,77),0)</f>
        <v/>
      </c>
      <c r="CC914">
        <f>IFERROR(INDEX(PP_Grid[#Data],$DE914,78),0)</f>
        <v/>
      </c>
      <c r="CD914">
        <f>IFERROR(INDEX(PP_Grid[#Data],$DE914,79),0)</f>
        <v/>
      </c>
      <c r="CE914">
        <f>IFERROR(INDEX(PP_Grid[#Data],$DE914,80),0)</f>
        <v/>
      </c>
      <c r="CF914">
        <f>IFERROR(INDEX(PP_Grid[#Data],$DE914,81),0)</f>
        <v/>
      </c>
      <c r="CG914">
        <f>IFERROR(INDEX(PP_Grid[#Data],$DE914,82),0)</f>
        <v/>
      </c>
      <c r="CH914">
        <f>IFERROR(INDEX(PP_Grid[#Data],$DE914,83),0)</f>
        <v/>
      </c>
      <c r="CI914">
        <f>IFERROR(INDEX(PP_Grid[#Data],$DE914,84),0)</f>
        <v/>
      </c>
      <c r="CJ914">
        <f>IFERROR(INDEX(PP_Grid[#Data],$DE914,85),0)</f>
        <v/>
      </c>
      <c r="CK914">
        <f>IFERROR(INDEX(PP_Grid[#Data],$DE914,86),0)</f>
        <v/>
      </c>
      <c r="CL914">
        <f>IFERROR(INDEX(PP_Grid[#Data],$DE914,87),0)</f>
        <v/>
      </c>
      <c r="CM914">
        <f>IFERROR(INDEX(PP_Grid[#Data],$DE914,88),0)</f>
        <v/>
      </c>
      <c r="CN914">
        <f>IFERROR(INDEX(PP_Grid[#Data],$DE914,89),0)</f>
        <v/>
      </c>
      <c r="CO914">
        <f>IFERROR(INDEX(PP_Grid[#Data],$DE914,90),0)</f>
        <v/>
      </c>
      <c r="CP914">
        <f>IFERROR(INDEX(PP_Grid[#Data],$DE914,91),0)</f>
        <v/>
      </c>
      <c r="CQ914">
        <f>IFERROR(INDEX(PP_Grid[#Data],$DE914,92),0)</f>
        <v/>
      </c>
      <c r="CR914">
        <f>IFERROR(INDEX(PP_Grid[#Data],$DE914,93),0)</f>
        <v/>
      </c>
      <c r="CS914">
        <f>IFERROR(INDEX(PP_Grid[#Data],$DE914,94),0)</f>
        <v/>
      </c>
      <c r="CT914">
        <f>IFERROR(INDEX(PP_Grid[#Data],$DE914,95),0)</f>
        <v/>
      </c>
      <c r="CU914">
        <f>IFERROR(INDEX(PP_Grid[#Data],$DE914,96),0)</f>
        <v/>
      </c>
      <c r="CV914">
        <f>IFERROR(INDEX(PP_Grid[#Data],$DE914,97),0)</f>
        <v/>
      </c>
      <c r="CW914">
        <f>IFERROR(INDEX(PP_Grid[#Data],$DE914,98),0)</f>
        <v/>
      </c>
      <c r="CX914">
        <f>IFERROR(INDEX(PP_Grid[#Data],$DE914,99),0)</f>
        <v/>
      </c>
      <c r="CY914">
        <f>IFERROR(INDEX(PP_Grid[#Data],$DE914,100),0)</f>
        <v/>
      </c>
      <c r="CZ914">
        <f>IFERROR(INDEX(PP_Grid[#Data],$DE914,101),0)</f>
        <v/>
      </c>
      <c r="DA914">
        <f>IFERROR(INDEX(PP_Grid[#Data],$DE914,102),0)</f>
        <v/>
      </c>
      <c r="DB914">
        <f>IFERROR(INDEX(PP_Grid[#Data],$DE914,103),0)</f>
        <v/>
      </c>
      <c r="DC914">
        <f>IFERROR(INDEX(PP_Grid[#Data],$DE914,104),0)</f>
        <v/>
      </c>
      <c r="DD914">
        <f>IFERROR(INDEX(PP_Grid[#Data],$DE914,105),0)</f>
        <v/>
      </c>
      <c r="DE914" s="7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SUMIFS(M_BOM[RM_Qty_Per_Batch],M_BOM[Intermediate],$B914,M_BOM[RM_Code],$A893)</f>
        <v/>
      </c>
      <c r="D915">
        <f>IFERROR(INDEX(E915:DD915,$F$1),"")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  <c r="DD915">
        <f>$C915*DD914</f>
        <v/>
      </c>
    </row>
    <row r="916">
      <c r="B916" t="inlineStr">
        <is>
          <t>TSP-924</t>
        </is>
      </c>
      <c r="C916" t="inlineStr">
        <is>
          <t>No. of batches</t>
        </is>
      </c>
      <c r="D916">
        <f>IFERROR(INDEX(E916:DD916,$F$1),"")</f>
        <v/>
      </c>
      <c r="E916">
        <f>IFERROR(INDEX(PP_Grid[#Data],$DE916,2),0)</f>
        <v/>
      </c>
      <c r="F916">
        <f>IFERROR(INDEX(PP_Grid[#Data],$DE916,3),0)</f>
        <v/>
      </c>
      <c r="G916">
        <f>IFERROR(INDEX(PP_Grid[#Data],$DE916,4),0)</f>
        <v/>
      </c>
      <c r="H916">
        <f>IFERROR(INDEX(PP_Grid[#Data],$DE916,5),0)</f>
        <v/>
      </c>
      <c r="I916">
        <f>IFERROR(INDEX(PP_Grid[#Data],$DE916,6),0)</f>
        <v/>
      </c>
      <c r="J916">
        <f>IFERROR(INDEX(PP_Grid[#Data],$DE916,7),0)</f>
        <v/>
      </c>
      <c r="K916">
        <f>IFERROR(INDEX(PP_Grid[#Data],$DE916,8),0)</f>
        <v/>
      </c>
      <c r="L916">
        <f>IFERROR(INDEX(PP_Grid[#Data],$DE916,9),0)</f>
        <v/>
      </c>
      <c r="M916">
        <f>IFERROR(INDEX(PP_Grid[#Data],$DE916,10),0)</f>
        <v/>
      </c>
      <c r="N916">
        <f>IFERROR(INDEX(PP_Grid[#Data],$DE916,11),0)</f>
        <v/>
      </c>
      <c r="O916">
        <f>IFERROR(INDEX(PP_Grid[#Data],$DE916,12),0)</f>
        <v/>
      </c>
      <c r="P916">
        <f>IFERROR(INDEX(PP_Grid[#Data],$DE916,13),0)</f>
        <v/>
      </c>
      <c r="Q916">
        <f>IFERROR(INDEX(PP_Grid[#Data],$DE916,14),0)</f>
        <v/>
      </c>
      <c r="R916">
        <f>IFERROR(INDEX(PP_Grid[#Data],$DE916,15),0)</f>
        <v/>
      </c>
      <c r="S916">
        <f>IFERROR(INDEX(PP_Grid[#Data],$DE916,16),0)</f>
        <v/>
      </c>
      <c r="T916">
        <f>IFERROR(INDEX(PP_Grid[#Data],$DE916,17),0)</f>
        <v/>
      </c>
      <c r="U916">
        <f>IFERROR(INDEX(PP_Grid[#Data],$DE916,18),0)</f>
        <v/>
      </c>
      <c r="V916">
        <f>IFERROR(INDEX(PP_Grid[#Data],$DE916,19),0)</f>
        <v/>
      </c>
      <c r="W916">
        <f>IFERROR(INDEX(PP_Grid[#Data],$DE916,20),0)</f>
        <v/>
      </c>
      <c r="X916">
        <f>IFERROR(INDEX(PP_Grid[#Data],$DE916,21),0)</f>
        <v/>
      </c>
      <c r="Y916">
        <f>IFERROR(INDEX(PP_Grid[#Data],$DE916,22),0)</f>
        <v/>
      </c>
      <c r="Z916">
        <f>IFERROR(INDEX(PP_Grid[#Data],$DE916,23),0)</f>
        <v/>
      </c>
      <c r="AA916">
        <f>IFERROR(INDEX(PP_Grid[#Data],$DE916,24),0)</f>
        <v/>
      </c>
      <c r="AB916">
        <f>IFERROR(INDEX(PP_Grid[#Data],$DE916,25),0)</f>
        <v/>
      </c>
      <c r="AC916">
        <f>IFERROR(INDEX(PP_Grid[#Data],$DE916,26),0)</f>
        <v/>
      </c>
      <c r="AD916">
        <f>IFERROR(INDEX(PP_Grid[#Data],$DE916,27),0)</f>
        <v/>
      </c>
      <c r="AE916">
        <f>IFERROR(INDEX(PP_Grid[#Data],$DE916,28),0)</f>
        <v/>
      </c>
      <c r="AF916">
        <f>IFERROR(INDEX(PP_Grid[#Data],$DE916,29),0)</f>
        <v/>
      </c>
      <c r="AG916">
        <f>IFERROR(INDEX(PP_Grid[#Data],$DE916,30),0)</f>
        <v/>
      </c>
      <c r="AH916">
        <f>IFERROR(INDEX(PP_Grid[#Data],$DE916,31),0)</f>
        <v/>
      </c>
      <c r="AI916">
        <f>IFERROR(INDEX(PP_Grid[#Data],$DE916,32),0)</f>
        <v/>
      </c>
      <c r="AJ916">
        <f>IFERROR(INDEX(PP_Grid[#Data],$DE916,33),0)</f>
        <v/>
      </c>
      <c r="AK916">
        <f>IFERROR(INDEX(PP_Grid[#Data],$DE916,34),0)</f>
        <v/>
      </c>
      <c r="AL916">
        <f>IFERROR(INDEX(PP_Grid[#Data],$DE916,35),0)</f>
        <v/>
      </c>
      <c r="AM916">
        <f>IFERROR(INDEX(PP_Grid[#Data],$DE916,36),0)</f>
        <v/>
      </c>
      <c r="AN916">
        <f>IFERROR(INDEX(PP_Grid[#Data],$DE916,37),0)</f>
        <v/>
      </c>
      <c r="AO916">
        <f>IFERROR(INDEX(PP_Grid[#Data],$DE916,38),0)</f>
        <v/>
      </c>
      <c r="AP916">
        <f>IFERROR(INDEX(PP_Grid[#Data],$DE916,39),0)</f>
        <v/>
      </c>
      <c r="AQ916">
        <f>IFERROR(INDEX(PP_Grid[#Data],$DE916,40),0)</f>
        <v/>
      </c>
      <c r="AR916">
        <f>IFERROR(INDEX(PP_Grid[#Data],$DE916,41),0)</f>
        <v/>
      </c>
      <c r="AS916">
        <f>IFERROR(INDEX(PP_Grid[#Data],$DE916,42),0)</f>
        <v/>
      </c>
      <c r="AT916">
        <f>IFERROR(INDEX(PP_Grid[#Data],$DE916,43),0)</f>
        <v/>
      </c>
      <c r="AU916">
        <f>IFERROR(INDEX(PP_Grid[#Data],$DE916,44),0)</f>
        <v/>
      </c>
      <c r="AV916">
        <f>IFERROR(INDEX(PP_Grid[#Data],$DE916,45),0)</f>
        <v/>
      </c>
      <c r="AW916">
        <f>IFERROR(INDEX(PP_Grid[#Data],$DE916,46),0)</f>
        <v/>
      </c>
      <c r="AX916">
        <f>IFERROR(INDEX(PP_Grid[#Data],$DE916,47),0)</f>
        <v/>
      </c>
      <c r="AY916">
        <f>IFERROR(INDEX(PP_Grid[#Data],$DE916,48),0)</f>
        <v/>
      </c>
      <c r="AZ916">
        <f>IFERROR(INDEX(PP_Grid[#Data],$DE916,49),0)</f>
        <v/>
      </c>
      <c r="BA916">
        <f>IFERROR(INDEX(PP_Grid[#Data],$DE916,50),0)</f>
        <v/>
      </c>
      <c r="BB916">
        <f>IFERROR(INDEX(PP_Grid[#Data],$DE916,51),0)</f>
        <v/>
      </c>
      <c r="BC916">
        <f>IFERROR(INDEX(PP_Grid[#Data],$DE916,52),0)</f>
        <v/>
      </c>
      <c r="BD916">
        <f>IFERROR(INDEX(PP_Grid[#Data],$DE916,53),0)</f>
        <v/>
      </c>
      <c r="BE916">
        <f>IFERROR(INDEX(PP_Grid[#Data],$DE916,54),0)</f>
        <v/>
      </c>
      <c r="BF916">
        <f>IFERROR(INDEX(PP_Grid[#Data],$DE916,55),0)</f>
        <v/>
      </c>
      <c r="BG916">
        <f>IFERROR(INDEX(PP_Grid[#Data],$DE916,56),0)</f>
        <v/>
      </c>
      <c r="BH916">
        <f>IFERROR(INDEX(PP_Grid[#Data],$DE916,57),0)</f>
        <v/>
      </c>
      <c r="BI916">
        <f>IFERROR(INDEX(PP_Grid[#Data],$DE916,58),0)</f>
        <v/>
      </c>
      <c r="BJ916">
        <f>IFERROR(INDEX(PP_Grid[#Data],$DE916,59),0)</f>
        <v/>
      </c>
      <c r="BK916">
        <f>IFERROR(INDEX(PP_Grid[#Data],$DE916,60),0)</f>
        <v/>
      </c>
      <c r="BL916">
        <f>IFERROR(INDEX(PP_Grid[#Data],$DE916,61),0)</f>
        <v/>
      </c>
      <c r="BM916">
        <f>IFERROR(INDEX(PP_Grid[#Data],$DE916,62),0)</f>
        <v/>
      </c>
      <c r="BN916">
        <f>IFERROR(INDEX(PP_Grid[#Data],$DE916,63),0)</f>
        <v/>
      </c>
      <c r="BO916">
        <f>IFERROR(INDEX(PP_Grid[#Data],$DE916,64),0)</f>
        <v/>
      </c>
      <c r="BP916">
        <f>IFERROR(INDEX(PP_Grid[#Data],$DE916,65),0)</f>
        <v/>
      </c>
      <c r="BQ916">
        <f>IFERROR(INDEX(PP_Grid[#Data],$DE916,66),0)</f>
        <v/>
      </c>
      <c r="BR916">
        <f>IFERROR(INDEX(PP_Grid[#Data],$DE916,67),0)</f>
        <v/>
      </c>
      <c r="BS916">
        <f>IFERROR(INDEX(PP_Grid[#Data],$DE916,68),0)</f>
        <v/>
      </c>
      <c r="BT916">
        <f>IFERROR(INDEX(PP_Grid[#Data],$DE916,69),0)</f>
        <v/>
      </c>
      <c r="BU916">
        <f>IFERROR(INDEX(PP_Grid[#Data],$DE916,70),0)</f>
        <v/>
      </c>
      <c r="BV916">
        <f>IFERROR(INDEX(PP_Grid[#Data],$DE916,71),0)</f>
        <v/>
      </c>
      <c r="BW916">
        <f>IFERROR(INDEX(PP_Grid[#Data],$DE916,72),0)</f>
        <v/>
      </c>
      <c r="BX916">
        <f>IFERROR(INDEX(PP_Grid[#Data],$DE916,73),0)</f>
        <v/>
      </c>
      <c r="BY916">
        <f>IFERROR(INDEX(PP_Grid[#Data],$DE916,74),0)</f>
        <v/>
      </c>
      <c r="BZ916">
        <f>IFERROR(INDEX(PP_Grid[#Data],$DE916,75),0)</f>
        <v/>
      </c>
      <c r="CA916">
        <f>IFERROR(INDEX(PP_Grid[#Data],$DE916,76),0)</f>
        <v/>
      </c>
      <c r="CB916">
        <f>IFERROR(INDEX(PP_Grid[#Data],$DE916,77),0)</f>
        <v/>
      </c>
      <c r="CC916">
        <f>IFERROR(INDEX(PP_Grid[#Data],$DE916,78),0)</f>
        <v/>
      </c>
      <c r="CD916">
        <f>IFERROR(INDEX(PP_Grid[#Data],$DE916,79),0)</f>
        <v/>
      </c>
      <c r="CE916">
        <f>IFERROR(INDEX(PP_Grid[#Data],$DE916,80),0)</f>
        <v/>
      </c>
      <c r="CF916">
        <f>IFERROR(INDEX(PP_Grid[#Data],$DE916,81),0)</f>
        <v/>
      </c>
      <c r="CG916">
        <f>IFERROR(INDEX(PP_Grid[#Data],$DE916,82),0)</f>
        <v/>
      </c>
      <c r="CH916">
        <f>IFERROR(INDEX(PP_Grid[#Data],$DE916,83),0)</f>
        <v/>
      </c>
      <c r="CI916">
        <f>IFERROR(INDEX(PP_Grid[#Data],$DE916,84),0)</f>
        <v/>
      </c>
      <c r="CJ916">
        <f>IFERROR(INDEX(PP_Grid[#Data],$DE916,85),0)</f>
        <v/>
      </c>
      <c r="CK916">
        <f>IFERROR(INDEX(PP_Grid[#Data],$DE916,86),0)</f>
        <v/>
      </c>
      <c r="CL916">
        <f>IFERROR(INDEX(PP_Grid[#Data],$DE916,87),0)</f>
        <v/>
      </c>
      <c r="CM916">
        <f>IFERROR(INDEX(PP_Grid[#Data],$DE916,88),0)</f>
        <v/>
      </c>
      <c r="CN916">
        <f>IFERROR(INDEX(PP_Grid[#Data],$DE916,89),0)</f>
        <v/>
      </c>
      <c r="CO916">
        <f>IFERROR(INDEX(PP_Grid[#Data],$DE916,90),0)</f>
        <v/>
      </c>
      <c r="CP916">
        <f>IFERROR(INDEX(PP_Grid[#Data],$DE916,91),0)</f>
        <v/>
      </c>
      <c r="CQ916">
        <f>IFERROR(INDEX(PP_Grid[#Data],$DE916,92),0)</f>
        <v/>
      </c>
      <c r="CR916">
        <f>IFERROR(INDEX(PP_Grid[#Data],$DE916,93),0)</f>
        <v/>
      </c>
      <c r="CS916">
        <f>IFERROR(INDEX(PP_Grid[#Data],$DE916,94),0)</f>
        <v/>
      </c>
      <c r="CT916">
        <f>IFERROR(INDEX(PP_Grid[#Data],$DE916,95),0)</f>
        <v/>
      </c>
      <c r="CU916">
        <f>IFERROR(INDEX(PP_Grid[#Data],$DE916,96),0)</f>
        <v/>
      </c>
      <c r="CV916">
        <f>IFERROR(INDEX(PP_Grid[#Data],$DE916,97),0)</f>
        <v/>
      </c>
      <c r="CW916">
        <f>IFERROR(INDEX(PP_Grid[#Data],$DE916,98),0)</f>
        <v/>
      </c>
      <c r="CX916">
        <f>IFERROR(INDEX(PP_Grid[#Data],$DE916,99),0)</f>
        <v/>
      </c>
      <c r="CY916">
        <f>IFERROR(INDEX(PP_Grid[#Data],$DE916,100),0)</f>
        <v/>
      </c>
      <c r="CZ916">
        <f>IFERROR(INDEX(PP_Grid[#Data],$DE916,101),0)</f>
        <v/>
      </c>
      <c r="DA916">
        <f>IFERROR(INDEX(PP_Grid[#Data],$DE916,102),0)</f>
        <v/>
      </c>
      <c r="DB916">
        <f>IFERROR(INDEX(PP_Grid[#Data],$DE916,103),0)</f>
        <v/>
      </c>
      <c r="DC916">
        <f>IFERROR(INDEX(PP_Grid[#Data],$DE916,104),0)</f>
        <v/>
      </c>
      <c r="DD916">
        <f>IFERROR(INDEX(PP_Grid[#Data],$DE916,105),0)</f>
        <v/>
      </c>
      <c r="DE916" s="7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SUMIFS(M_BOM[RM_Qty_Per_Batch],M_BOM[Intermediate],$B916,M_BOM[RM_Code],$A893)</f>
        <v/>
      </c>
      <c r="D917">
        <f>IFERROR(INDEX(E917:DD917,$F$1),"")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  <c r="DD917">
        <f>$C917*DD916</f>
        <v/>
      </c>
    </row>
    <row r="918">
      <c r="B918" t="inlineStr">
        <is>
          <t>TSP-925</t>
        </is>
      </c>
      <c r="C918" t="inlineStr">
        <is>
          <t>No. of batches</t>
        </is>
      </c>
      <c r="D918">
        <f>IFERROR(INDEX(E918:DD918,$F$1),"")</f>
        <v/>
      </c>
      <c r="E918">
        <f>IFERROR(INDEX(PP_Grid[#Data],$DE918,2),0)</f>
        <v/>
      </c>
      <c r="F918">
        <f>IFERROR(INDEX(PP_Grid[#Data],$DE918,3),0)</f>
        <v/>
      </c>
      <c r="G918">
        <f>IFERROR(INDEX(PP_Grid[#Data],$DE918,4),0)</f>
        <v/>
      </c>
      <c r="H918">
        <f>IFERROR(INDEX(PP_Grid[#Data],$DE918,5),0)</f>
        <v/>
      </c>
      <c r="I918">
        <f>IFERROR(INDEX(PP_Grid[#Data],$DE918,6),0)</f>
        <v/>
      </c>
      <c r="J918">
        <f>IFERROR(INDEX(PP_Grid[#Data],$DE918,7),0)</f>
        <v/>
      </c>
      <c r="K918">
        <f>IFERROR(INDEX(PP_Grid[#Data],$DE918,8),0)</f>
        <v/>
      </c>
      <c r="L918">
        <f>IFERROR(INDEX(PP_Grid[#Data],$DE918,9),0)</f>
        <v/>
      </c>
      <c r="M918">
        <f>IFERROR(INDEX(PP_Grid[#Data],$DE918,10),0)</f>
        <v/>
      </c>
      <c r="N918">
        <f>IFERROR(INDEX(PP_Grid[#Data],$DE918,11),0)</f>
        <v/>
      </c>
      <c r="O918">
        <f>IFERROR(INDEX(PP_Grid[#Data],$DE918,12),0)</f>
        <v/>
      </c>
      <c r="P918">
        <f>IFERROR(INDEX(PP_Grid[#Data],$DE918,13),0)</f>
        <v/>
      </c>
      <c r="Q918">
        <f>IFERROR(INDEX(PP_Grid[#Data],$DE918,14),0)</f>
        <v/>
      </c>
      <c r="R918">
        <f>IFERROR(INDEX(PP_Grid[#Data],$DE918,15),0)</f>
        <v/>
      </c>
      <c r="S918">
        <f>IFERROR(INDEX(PP_Grid[#Data],$DE918,16),0)</f>
        <v/>
      </c>
      <c r="T918">
        <f>IFERROR(INDEX(PP_Grid[#Data],$DE918,17),0)</f>
        <v/>
      </c>
      <c r="U918">
        <f>IFERROR(INDEX(PP_Grid[#Data],$DE918,18),0)</f>
        <v/>
      </c>
      <c r="V918">
        <f>IFERROR(INDEX(PP_Grid[#Data],$DE918,19),0)</f>
        <v/>
      </c>
      <c r="W918">
        <f>IFERROR(INDEX(PP_Grid[#Data],$DE918,20),0)</f>
        <v/>
      </c>
      <c r="X918">
        <f>IFERROR(INDEX(PP_Grid[#Data],$DE918,21),0)</f>
        <v/>
      </c>
      <c r="Y918">
        <f>IFERROR(INDEX(PP_Grid[#Data],$DE918,22),0)</f>
        <v/>
      </c>
      <c r="Z918">
        <f>IFERROR(INDEX(PP_Grid[#Data],$DE918,23),0)</f>
        <v/>
      </c>
      <c r="AA918">
        <f>IFERROR(INDEX(PP_Grid[#Data],$DE918,24),0)</f>
        <v/>
      </c>
      <c r="AB918">
        <f>IFERROR(INDEX(PP_Grid[#Data],$DE918,25),0)</f>
        <v/>
      </c>
      <c r="AC918">
        <f>IFERROR(INDEX(PP_Grid[#Data],$DE918,26),0)</f>
        <v/>
      </c>
      <c r="AD918">
        <f>IFERROR(INDEX(PP_Grid[#Data],$DE918,27),0)</f>
        <v/>
      </c>
      <c r="AE918">
        <f>IFERROR(INDEX(PP_Grid[#Data],$DE918,28),0)</f>
        <v/>
      </c>
      <c r="AF918">
        <f>IFERROR(INDEX(PP_Grid[#Data],$DE918,29),0)</f>
        <v/>
      </c>
      <c r="AG918">
        <f>IFERROR(INDEX(PP_Grid[#Data],$DE918,30),0)</f>
        <v/>
      </c>
      <c r="AH918">
        <f>IFERROR(INDEX(PP_Grid[#Data],$DE918,31),0)</f>
        <v/>
      </c>
      <c r="AI918">
        <f>IFERROR(INDEX(PP_Grid[#Data],$DE918,32),0)</f>
        <v/>
      </c>
      <c r="AJ918">
        <f>IFERROR(INDEX(PP_Grid[#Data],$DE918,33),0)</f>
        <v/>
      </c>
      <c r="AK918">
        <f>IFERROR(INDEX(PP_Grid[#Data],$DE918,34),0)</f>
        <v/>
      </c>
      <c r="AL918">
        <f>IFERROR(INDEX(PP_Grid[#Data],$DE918,35),0)</f>
        <v/>
      </c>
      <c r="AM918">
        <f>IFERROR(INDEX(PP_Grid[#Data],$DE918,36),0)</f>
        <v/>
      </c>
      <c r="AN918">
        <f>IFERROR(INDEX(PP_Grid[#Data],$DE918,37),0)</f>
        <v/>
      </c>
      <c r="AO918">
        <f>IFERROR(INDEX(PP_Grid[#Data],$DE918,38),0)</f>
        <v/>
      </c>
      <c r="AP918">
        <f>IFERROR(INDEX(PP_Grid[#Data],$DE918,39),0)</f>
        <v/>
      </c>
      <c r="AQ918">
        <f>IFERROR(INDEX(PP_Grid[#Data],$DE918,40),0)</f>
        <v/>
      </c>
      <c r="AR918">
        <f>IFERROR(INDEX(PP_Grid[#Data],$DE918,41),0)</f>
        <v/>
      </c>
      <c r="AS918">
        <f>IFERROR(INDEX(PP_Grid[#Data],$DE918,42),0)</f>
        <v/>
      </c>
      <c r="AT918">
        <f>IFERROR(INDEX(PP_Grid[#Data],$DE918,43),0)</f>
        <v/>
      </c>
      <c r="AU918">
        <f>IFERROR(INDEX(PP_Grid[#Data],$DE918,44),0)</f>
        <v/>
      </c>
      <c r="AV918">
        <f>IFERROR(INDEX(PP_Grid[#Data],$DE918,45),0)</f>
        <v/>
      </c>
      <c r="AW918">
        <f>IFERROR(INDEX(PP_Grid[#Data],$DE918,46),0)</f>
        <v/>
      </c>
      <c r="AX918">
        <f>IFERROR(INDEX(PP_Grid[#Data],$DE918,47),0)</f>
        <v/>
      </c>
      <c r="AY918">
        <f>IFERROR(INDEX(PP_Grid[#Data],$DE918,48),0)</f>
        <v/>
      </c>
      <c r="AZ918">
        <f>IFERROR(INDEX(PP_Grid[#Data],$DE918,49),0)</f>
        <v/>
      </c>
      <c r="BA918">
        <f>IFERROR(INDEX(PP_Grid[#Data],$DE918,50),0)</f>
        <v/>
      </c>
      <c r="BB918">
        <f>IFERROR(INDEX(PP_Grid[#Data],$DE918,51),0)</f>
        <v/>
      </c>
      <c r="BC918">
        <f>IFERROR(INDEX(PP_Grid[#Data],$DE918,52),0)</f>
        <v/>
      </c>
      <c r="BD918">
        <f>IFERROR(INDEX(PP_Grid[#Data],$DE918,53),0)</f>
        <v/>
      </c>
      <c r="BE918">
        <f>IFERROR(INDEX(PP_Grid[#Data],$DE918,54),0)</f>
        <v/>
      </c>
      <c r="BF918">
        <f>IFERROR(INDEX(PP_Grid[#Data],$DE918,55),0)</f>
        <v/>
      </c>
      <c r="BG918">
        <f>IFERROR(INDEX(PP_Grid[#Data],$DE918,56),0)</f>
        <v/>
      </c>
      <c r="BH918">
        <f>IFERROR(INDEX(PP_Grid[#Data],$DE918,57),0)</f>
        <v/>
      </c>
      <c r="BI918">
        <f>IFERROR(INDEX(PP_Grid[#Data],$DE918,58),0)</f>
        <v/>
      </c>
      <c r="BJ918">
        <f>IFERROR(INDEX(PP_Grid[#Data],$DE918,59),0)</f>
        <v/>
      </c>
      <c r="BK918">
        <f>IFERROR(INDEX(PP_Grid[#Data],$DE918,60),0)</f>
        <v/>
      </c>
      <c r="BL918">
        <f>IFERROR(INDEX(PP_Grid[#Data],$DE918,61),0)</f>
        <v/>
      </c>
      <c r="BM918">
        <f>IFERROR(INDEX(PP_Grid[#Data],$DE918,62),0)</f>
        <v/>
      </c>
      <c r="BN918">
        <f>IFERROR(INDEX(PP_Grid[#Data],$DE918,63),0)</f>
        <v/>
      </c>
      <c r="BO918">
        <f>IFERROR(INDEX(PP_Grid[#Data],$DE918,64),0)</f>
        <v/>
      </c>
      <c r="BP918">
        <f>IFERROR(INDEX(PP_Grid[#Data],$DE918,65),0)</f>
        <v/>
      </c>
      <c r="BQ918">
        <f>IFERROR(INDEX(PP_Grid[#Data],$DE918,66),0)</f>
        <v/>
      </c>
      <c r="BR918">
        <f>IFERROR(INDEX(PP_Grid[#Data],$DE918,67),0)</f>
        <v/>
      </c>
      <c r="BS918">
        <f>IFERROR(INDEX(PP_Grid[#Data],$DE918,68),0)</f>
        <v/>
      </c>
      <c r="BT918">
        <f>IFERROR(INDEX(PP_Grid[#Data],$DE918,69),0)</f>
        <v/>
      </c>
      <c r="BU918">
        <f>IFERROR(INDEX(PP_Grid[#Data],$DE918,70),0)</f>
        <v/>
      </c>
      <c r="BV918">
        <f>IFERROR(INDEX(PP_Grid[#Data],$DE918,71),0)</f>
        <v/>
      </c>
      <c r="BW918">
        <f>IFERROR(INDEX(PP_Grid[#Data],$DE918,72),0)</f>
        <v/>
      </c>
      <c r="BX918">
        <f>IFERROR(INDEX(PP_Grid[#Data],$DE918,73),0)</f>
        <v/>
      </c>
      <c r="BY918">
        <f>IFERROR(INDEX(PP_Grid[#Data],$DE918,74),0)</f>
        <v/>
      </c>
      <c r="BZ918">
        <f>IFERROR(INDEX(PP_Grid[#Data],$DE918,75),0)</f>
        <v/>
      </c>
      <c r="CA918">
        <f>IFERROR(INDEX(PP_Grid[#Data],$DE918,76),0)</f>
        <v/>
      </c>
      <c r="CB918">
        <f>IFERROR(INDEX(PP_Grid[#Data],$DE918,77),0)</f>
        <v/>
      </c>
      <c r="CC918">
        <f>IFERROR(INDEX(PP_Grid[#Data],$DE918,78),0)</f>
        <v/>
      </c>
      <c r="CD918">
        <f>IFERROR(INDEX(PP_Grid[#Data],$DE918,79),0)</f>
        <v/>
      </c>
      <c r="CE918">
        <f>IFERROR(INDEX(PP_Grid[#Data],$DE918,80),0)</f>
        <v/>
      </c>
      <c r="CF918">
        <f>IFERROR(INDEX(PP_Grid[#Data],$DE918,81),0)</f>
        <v/>
      </c>
      <c r="CG918">
        <f>IFERROR(INDEX(PP_Grid[#Data],$DE918,82),0)</f>
        <v/>
      </c>
      <c r="CH918">
        <f>IFERROR(INDEX(PP_Grid[#Data],$DE918,83),0)</f>
        <v/>
      </c>
      <c r="CI918">
        <f>IFERROR(INDEX(PP_Grid[#Data],$DE918,84),0)</f>
        <v/>
      </c>
      <c r="CJ918">
        <f>IFERROR(INDEX(PP_Grid[#Data],$DE918,85),0)</f>
        <v/>
      </c>
      <c r="CK918">
        <f>IFERROR(INDEX(PP_Grid[#Data],$DE918,86),0)</f>
        <v/>
      </c>
      <c r="CL918">
        <f>IFERROR(INDEX(PP_Grid[#Data],$DE918,87),0)</f>
        <v/>
      </c>
      <c r="CM918">
        <f>IFERROR(INDEX(PP_Grid[#Data],$DE918,88),0)</f>
        <v/>
      </c>
      <c r="CN918">
        <f>IFERROR(INDEX(PP_Grid[#Data],$DE918,89),0)</f>
        <v/>
      </c>
      <c r="CO918">
        <f>IFERROR(INDEX(PP_Grid[#Data],$DE918,90),0)</f>
        <v/>
      </c>
      <c r="CP918">
        <f>IFERROR(INDEX(PP_Grid[#Data],$DE918,91),0)</f>
        <v/>
      </c>
      <c r="CQ918">
        <f>IFERROR(INDEX(PP_Grid[#Data],$DE918,92),0)</f>
        <v/>
      </c>
      <c r="CR918">
        <f>IFERROR(INDEX(PP_Grid[#Data],$DE918,93),0)</f>
        <v/>
      </c>
      <c r="CS918">
        <f>IFERROR(INDEX(PP_Grid[#Data],$DE918,94),0)</f>
        <v/>
      </c>
      <c r="CT918">
        <f>IFERROR(INDEX(PP_Grid[#Data],$DE918,95),0)</f>
        <v/>
      </c>
      <c r="CU918">
        <f>IFERROR(INDEX(PP_Grid[#Data],$DE918,96),0)</f>
        <v/>
      </c>
      <c r="CV918">
        <f>IFERROR(INDEX(PP_Grid[#Data],$DE918,97),0)</f>
        <v/>
      </c>
      <c r="CW918">
        <f>IFERROR(INDEX(PP_Grid[#Data],$DE918,98),0)</f>
        <v/>
      </c>
      <c r="CX918">
        <f>IFERROR(INDEX(PP_Grid[#Data],$DE918,99),0)</f>
        <v/>
      </c>
      <c r="CY918">
        <f>IFERROR(INDEX(PP_Grid[#Data],$DE918,100),0)</f>
        <v/>
      </c>
      <c r="CZ918">
        <f>IFERROR(INDEX(PP_Grid[#Data],$DE918,101),0)</f>
        <v/>
      </c>
      <c r="DA918">
        <f>IFERROR(INDEX(PP_Grid[#Data],$DE918,102),0)</f>
        <v/>
      </c>
      <c r="DB918">
        <f>IFERROR(INDEX(PP_Grid[#Data],$DE918,103),0)</f>
        <v/>
      </c>
      <c r="DC918">
        <f>IFERROR(INDEX(PP_Grid[#Data],$DE918,104),0)</f>
        <v/>
      </c>
      <c r="DD918">
        <f>IFERROR(INDEX(PP_Grid[#Data],$DE918,105),0)</f>
        <v/>
      </c>
      <c r="DE918" s="7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SUMIFS(M_BOM[RM_Qty_Per_Batch],M_BOM[Intermediate],$B918,M_BOM[RM_Code],$A893)</f>
        <v/>
      </c>
      <c r="D919">
        <f>IFERROR(INDEX(E919:DD919,$F$1),"")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  <c r="DD919">
        <f>$C919*DD918</f>
        <v/>
      </c>
    </row>
    <row r="920">
      <c r="B920" s="4" t="inlineStr">
        <is>
          <t>合計使用量(kg)/週</t>
        </is>
      </c>
      <c r="D920" s="22">
        <f>IFERROR(INDEX(E920:DD920,$F$1),"")</f>
        <v/>
      </c>
      <c r="E920">
        <f>'Grid_Requirement'!B55</f>
        <v/>
      </c>
      <c r="F920">
        <f>'Grid_Requirement'!C55</f>
        <v/>
      </c>
      <c r="G920">
        <f>'Grid_Requirement'!D55</f>
        <v/>
      </c>
      <c r="H920">
        <f>'Grid_Requirement'!E55</f>
        <v/>
      </c>
      <c r="I920">
        <f>'Grid_Requirement'!F55</f>
        <v/>
      </c>
      <c r="J920">
        <f>'Grid_Requirement'!G55</f>
        <v/>
      </c>
      <c r="K920">
        <f>'Grid_Requirement'!H55</f>
        <v/>
      </c>
      <c r="L920">
        <f>'Grid_Requirement'!I55</f>
        <v/>
      </c>
      <c r="M920">
        <f>'Grid_Requirement'!J55</f>
        <v/>
      </c>
      <c r="N920">
        <f>'Grid_Requirement'!K55</f>
        <v/>
      </c>
      <c r="O920">
        <f>'Grid_Requirement'!L55</f>
        <v/>
      </c>
      <c r="P920">
        <f>'Grid_Requirement'!M55</f>
        <v/>
      </c>
      <c r="Q920">
        <f>'Grid_Requirement'!N55</f>
        <v/>
      </c>
      <c r="R920">
        <f>'Grid_Requirement'!O55</f>
        <v/>
      </c>
      <c r="S920">
        <f>'Grid_Requirement'!P55</f>
        <v/>
      </c>
      <c r="T920">
        <f>'Grid_Requirement'!Q55</f>
        <v/>
      </c>
      <c r="U920">
        <f>'Grid_Requirement'!R55</f>
        <v/>
      </c>
      <c r="V920">
        <f>'Grid_Requirement'!S55</f>
        <v/>
      </c>
      <c r="W920">
        <f>'Grid_Requirement'!T55</f>
        <v/>
      </c>
      <c r="X920">
        <f>'Grid_Requirement'!U55</f>
        <v/>
      </c>
      <c r="Y920">
        <f>'Grid_Requirement'!V55</f>
        <v/>
      </c>
      <c r="Z920">
        <f>'Grid_Requirement'!W55</f>
        <v/>
      </c>
      <c r="AA920">
        <f>'Grid_Requirement'!X55</f>
        <v/>
      </c>
      <c r="AB920">
        <f>'Grid_Requirement'!Y55</f>
        <v/>
      </c>
      <c r="AC920">
        <f>'Grid_Requirement'!Z55</f>
        <v/>
      </c>
      <c r="AD920">
        <f>'Grid_Requirement'!AA55</f>
        <v/>
      </c>
      <c r="AE920">
        <f>'Grid_Requirement'!AB55</f>
        <v/>
      </c>
      <c r="AF920">
        <f>'Grid_Requirement'!AC55</f>
        <v/>
      </c>
      <c r="AG920">
        <f>'Grid_Requirement'!AD55</f>
        <v/>
      </c>
      <c r="AH920">
        <f>'Grid_Requirement'!AE55</f>
        <v/>
      </c>
      <c r="AI920">
        <f>'Grid_Requirement'!AF55</f>
        <v/>
      </c>
      <c r="AJ920">
        <f>'Grid_Requirement'!AG55</f>
        <v/>
      </c>
      <c r="AK920">
        <f>'Grid_Requirement'!AH55</f>
        <v/>
      </c>
      <c r="AL920">
        <f>'Grid_Requirement'!AI55</f>
        <v/>
      </c>
      <c r="AM920">
        <f>'Grid_Requirement'!AJ55</f>
        <v/>
      </c>
      <c r="AN920">
        <f>'Grid_Requirement'!AK55</f>
        <v/>
      </c>
      <c r="AO920">
        <f>'Grid_Requirement'!AL55</f>
        <v/>
      </c>
      <c r="AP920">
        <f>'Grid_Requirement'!AM55</f>
        <v/>
      </c>
      <c r="AQ920">
        <f>'Grid_Requirement'!AN55</f>
        <v/>
      </c>
      <c r="AR920">
        <f>'Grid_Requirement'!AO55</f>
        <v/>
      </c>
      <c r="AS920">
        <f>'Grid_Requirement'!AP55</f>
        <v/>
      </c>
      <c r="AT920">
        <f>'Grid_Requirement'!AQ55</f>
        <v/>
      </c>
      <c r="AU920">
        <f>'Grid_Requirement'!AR55</f>
        <v/>
      </c>
      <c r="AV920">
        <f>'Grid_Requirement'!AS55</f>
        <v/>
      </c>
      <c r="AW920">
        <f>'Grid_Requirement'!AT55</f>
        <v/>
      </c>
      <c r="AX920">
        <f>'Grid_Requirement'!AU55</f>
        <v/>
      </c>
      <c r="AY920">
        <f>'Grid_Requirement'!AV55</f>
        <v/>
      </c>
      <c r="AZ920">
        <f>'Grid_Requirement'!AW55</f>
        <v/>
      </c>
      <c r="BA920">
        <f>'Grid_Requirement'!AX55</f>
        <v/>
      </c>
      <c r="BB920">
        <f>'Grid_Requirement'!AY55</f>
        <v/>
      </c>
      <c r="BC920">
        <f>'Grid_Requirement'!AZ55</f>
        <v/>
      </c>
      <c r="BD920">
        <f>'Grid_Requirement'!BA55</f>
        <v/>
      </c>
      <c r="BE920">
        <f>'Grid_Requirement'!BB55</f>
        <v/>
      </c>
      <c r="BF920">
        <f>'Grid_Requirement'!BC55</f>
        <v/>
      </c>
      <c r="BG920">
        <f>'Grid_Requirement'!BD55</f>
        <v/>
      </c>
      <c r="BH920">
        <f>'Grid_Requirement'!BE55</f>
        <v/>
      </c>
      <c r="BI920">
        <f>'Grid_Requirement'!BF55</f>
        <v/>
      </c>
      <c r="BJ920">
        <f>'Grid_Requirement'!BG55</f>
        <v/>
      </c>
      <c r="BK920">
        <f>'Grid_Requirement'!BH55</f>
        <v/>
      </c>
      <c r="BL920">
        <f>'Grid_Requirement'!BI55</f>
        <v/>
      </c>
      <c r="BM920">
        <f>'Grid_Requirement'!BJ55</f>
        <v/>
      </c>
      <c r="BN920">
        <f>'Grid_Requirement'!BK55</f>
        <v/>
      </c>
      <c r="BO920">
        <f>'Grid_Requirement'!BL55</f>
        <v/>
      </c>
      <c r="BP920">
        <f>'Grid_Requirement'!BM55</f>
        <v/>
      </c>
      <c r="BQ920">
        <f>'Grid_Requirement'!BN55</f>
        <v/>
      </c>
      <c r="BR920">
        <f>'Grid_Requirement'!BO55</f>
        <v/>
      </c>
      <c r="BS920">
        <f>'Grid_Requirement'!BP55</f>
        <v/>
      </c>
      <c r="BT920">
        <f>'Grid_Requirement'!BQ55</f>
        <v/>
      </c>
      <c r="BU920">
        <f>'Grid_Requirement'!BR55</f>
        <v/>
      </c>
      <c r="BV920">
        <f>'Grid_Requirement'!BS55</f>
        <v/>
      </c>
      <c r="BW920">
        <f>'Grid_Requirement'!BT55</f>
        <v/>
      </c>
      <c r="BX920">
        <f>'Grid_Requirement'!BU55</f>
        <v/>
      </c>
      <c r="BY920">
        <f>'Grid_Requirement'!BV55</f>
        <v/>
      </c>
      <c r="BZ920">
        <f>'Grid_Requirement'!BW55</f>
        <v/>
      </c>
      <c r="CA920">
        <f>'Grid_Requirement'!BX55</f>
        <v/>
      </c>
      <c r="CB920">
        <f>'Grid_Requirement'!BY55</f>
        <v/>
      </c>
      <c r="CC920">
        <f>'Grid_Requirement'!BZ55</f>
        <v/>
      </c>
      <c r="CD920">
        <f>'Grid_Requirement'!CA55</f>
        <v/>
      </c>
      <c r="CE920">
        <f>'Grid_Requirement'!CB55</f>
        <v/>
      </c>
      <c r="CF920">
        <f>'Grid_Requirement'!CC55</f>
        <v/>
      </c>
      <c r="CG920">
        <f>'Grid_Requirement'!CD55</f>
        <v/>
      </c>
      <c r="CH920">
        <f>'Grid_Requirement'!CE55</f>
        <v/>
      </c>
      <c r="CI920">
        <f>'Grid_Requirement'!CF55</f>
        <v/>
      </c>
      <c r="CJ920">
        <f>'Grid_Requirement'!CG55</f>
        <v/>
      </c>
      <c r="CK920">
        <f>'Grid_Requirement'!CH55</f>
        <v/>
      </c>
      <c r="CL920">
        <f>'Grid_Requirement'!CI55</f>
        <v/>
      </c>
      <c r="CM920">
        <f>'Grid_Requirement'!CJ55</f>
        <v/>
      </c>
      <c r="CN920">
        <f>'Grid_Requirement'!CK55</f>
        <v/>
      </c>
      <c r="CO920">
        <f>'Grid_Requirement'!CL55</f>
        <v/>
      </c>
      <c r="CP920">
        <f>'Grid_Requirement'!CM55</f>
        <v/>
      </c>
      <c r="CQ920">
        <f>'Grid_Requirement'!CN55</f>
        <v/>
      </c>
      <c r="CR920">
        <f>'Grid_Requirement'!CO55</f>
        <v/>
      </c>
      <c r="CS920">
        <f>'Grid_Requirement'!CP55</f>
        <v/>
      </c>
      <c r="CT920">
        <f>'Grid_Requirement'!CQ55</f>
        <v/>
      </c>
      <c r="CU920">
        <f>'Grid_Requirement'!CR55</f>
        <v/>
      </c>
      <c r="CV920">
        <f>'Grid_Requirement'!CS55</f>
        <v/>
      </c>
      <c r="CW920">
        <f>'Grid_Requirement'!CT55</f>
        <v/>
      </c>
      <c r="CX920">
        <f>'Grid_Requirement'!CU55</f>
        <v/>
      </c>
      <c r="CY920">
        <f>'Grid_Requirement'!CV55</f>
        <v/>
      </c>
      <c r="CZ920">
        <f>'Grid_Requirement'!CW55</f>
        <v/>
      </c>
      <c r="DA920">
        <f>'Grid_Requirement'!CX55</f>
        <v/>
      </c>
      <c r="DB920">
        <f>'Grid_Requirement'!CY55</f>
        <v/>
      </c>
      <c r="DC920">
        <f>'Grid_Requirement'!CZ55</f>
        <v/>
      </c>
      <c r="DD920">
        <f>'Grid_Requirement'!DA55</f>
        <v/>
      </c>
    </row>
    <row r="921">
      <c r="B921" s="23" t="inlineStr">
        <is>
          <t>（在庫・入荷予定はDashboard参照）</t>
        </is>
      </c>
    </row>
    <row r="923">
      <c r="A923" s="21" t="inlineStr">
        <is>
          <t>0JN</t>
        </is>
      </c>
      <c r="B923" s="21" t="inlineStr">
        <is>
          <t>N30S/10 : 11R-11 (F2090) Poland</t>
        </is>
      </c>
      <c r="C923" s="21" t="n"/>
      <c r="D923" s="21" t="n"/>
      <c r="E923" s="21" t="n"/>
      <c r="F923" s="21" t="n"/>
      <c r="G923" s="21" t="n"/>
      <c r="H923" s="21" t="n"/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  <c r="Z923" s="21" t="n"/>
      <c r="AA923" s="21" t="n"/>
      <c r="AB923" s="21" t="n"/>
      <c r="AC923" s="21" t="n"/>
      <c r="AD923" s="21" t="n"/>
      <c r="AE923" s="21" t="n"/>
      <c r="AF923" s="21" t="n"/>
      <c r="AG923" s="21" t="n"/>
      <c r="AH923" s="21" t="n"/>
      <c r="AI923" s="21" t="n"/>
      <c r="AJ923" s="21" t="n"/>
      <c r="AK923" s="21" t="n"/>
      <c r="AL923" s="21" t="n"/>
      <c r="AM923" s="21" t="n"/>
      <c r="AN923" s="21" t="n"/>
      <c r="AO923" s="21" t="n"/>
      <c r="AP923" s="21" t="n"/>
      <c r="AQ923" s="21" t="n"/>
      <c r="AR923" s="21" t="n"/>
      <c r="AS923" s="21" t="n"/>
      <c r="AT923" s="21" t="n"/>
      <c r="AU923" s="21" t="n"/>
      <c r="AV923" s="21" t="n"/>
      <c r="AW923" s="21" t="n"/>
      <c r="AX923" s="21" t="n"/>
      <c r="AY923" s="21" t="n"/>
      <c r="AZ923" s="21" t="n"/>
      <c r="BA923" s="21" t="n"/>
      <c r="BB923" s="21" t="n"/>
      <c r="BC923" s="21" t="n"/>
      <c r="BD923" s="21" t="n"/>
      <c r="BE923" s="21" t="n"/>
      <c r="BF923" s="21" t="n"/>
      <c r="BG923" s="21" t="n"/>
      <c r="BH923" s="21" t="n"/>
      <c r="BI923" s="21" t="n"/>
      <c r="BJ923" s="21" t="n"/>
      <c r="BK923" s="21" t="n"/>
      <c r="BL923" s="21" t="n"/>
      <c r="BM923" s="21" t="n"/>
      <c r="BN923" s="21" t="n"/>
      <c r="BO923" s="21" t="n"/>
      <c r="BP923" s="21" t="n"/>
      <c r="BQ923" s="21" t="n"/>
      <c r="BR923" s="21" t="n"/>
      <c r="BS923" s="21" t="n"/>
      <c r="BT923" s="21" t="n"/>
      <c r="BU923" s="21" t="n"/>
      <c r="BV923" s="21" t="n"/>
      <c r="BW923" s="21" t="n"/>
      <c r="BX923" s="21" t="n"/>
      <c r="BY923" s="21" t="n"/>
      <c r="BZ923" s="21" t="n"/>
      <c r="CA923" s="21" t="n"/>
      <c r="CB923" s="21" t="n"/>
      <c r="CC923" s="21" t="n"/>
      <c r="CD923" s="21" t="n"/>
      <c r="CE923" s="21" t="n"/>
      <c r="CF923" s="21" t="n"/>
      <c r="CG923" s="21" t="n"/>
      <c r="CH923" s="21" t="n"/>
      <c r="CI923" s="21" t="n"/>
      <c r="CJ923" s="21" t="n"/>
      <c r="CK923" s="21" t="n"/>
      <c r="CL923" s="21" t="n"/>
      <c r="CM923" s="21" t="n"/>
      <c r="CN923" s="21" t="n"/>
      <c r="CO923" s="21" t="n"/>
      <c r="CP923" s="21" t="n"/>
      <c r="CQ923" s="21" t="n"/>
      <c r="CR923" s="21" t="n"/>
      <c r="CS923" s="21" t="n"/>
      <c r="CT923" s="21" t="n"/>
      <c r="CU923" s="21" t="n"/>
      <c r="CV923" s="21" t="n"/>
      <c r="CW923" s="21" t="n"/>
      <c r="CX923" s="21" t="n"/>
      <c r="CY923" s="21" t="n"/>
      <c r="CZ923" s="21" t="n"/>
      <c r="DA923" s="21" t="n"/>
      <c r="DB923" s="21" t="n"/>
      <c r="DC923" s="21" t="n"/>
      <c r="DD923" s="21" t="n"/>
    </row>
    <row r="924">
      <c r="B924" t="inlineStr">
        <is>
          <t>TSP-219</t>
        </is>
      </c>
      <c r="C924" t="inlineStr">
        <is>
          <t>No. of batches</t>
        </is>
      </c>
      <c r="D924">
        <f>IFERROR(INDEX(E924:DD924,$F$1),"")</f>
        <v/>
      </c>
      <c r="E924">
        <f>IFERROR(INDEX(PP_Grid[#Data],$DE924,2),0)</f>
        <v/>
      </c>
      <c r="F924">
        <f>IFERROR(INDEX(PP_Grid[#Data],$DE924,3),0)</f>
        <v/>
      </c>
      <c r="G924">
        <f>IFERROR(INDEX(PP_Grid[#Data],$DE924,4),0)</f>
        <v/>
      </c>
      <c r="H924">
        <f>IFERROR(INDEX(PP_Grid[#Data],$DE924,5),0)</f>
        <v/>
      </c>
      <c r="I924">
        <f>IFERROR(INDEX(PP_Grid[#Data],$DE924,6),0)</f>
        <v/>
      </c>
      <c r="J924">
        <f>IFERROR(INDEX(PP_Grid[#Data],$DE924,7),0)</f>
        <v/>
      </c>
      <c r="K924">
        <f>IFERROR(INDEX(PP_Grid[#Data],$DE924,8),0)</f>
        <v/>
      </c>
      <c r="L924">
        <f>IFERROR(INDEX(PP_Grid[#Data],$DE924,9),0)</f>
        <v/>
      </c>
      <c r="M924">
        <f>IFERROR(INDEX(PP_Grid[#Data],$DE924,10),0)</f>
        <v/>
      </c>
      <c r="N924">
        <f>IFERROR(INDEX(PP_Grid[#Data],$DE924,11),0)</f>
        <v/>
      </c>
      <c r="O924">
        <f>IFERROR(INDEX(PP_Grid[#Data],$DE924,12),0)</f>
        <v/>
      </c>
      <c r="P924">
        <f>IFERROR(INDEX(PP_Grid[#Data],$DE924,13),0)</f>
        <v/>
      </c>
      <c r="Q924">
        <f>IFERROR(INDEX(PP_Grid[#Data],$DE924,14),0)</f>
        <v/>
      </c>
      <c r="R924">
        <f>IFERROR(INDEX(PP_Grid[#Data],$DE924,15),0)</f>
        <v/>
      </c>
      <c r="S924">
        <f>IFERROR(INDEX(PP_Grid[#Data],$DE924,16),0)</f>
        <v/>
      </c>
      <c r="T924">
        <f>IFERROR(INDEX(PP_Grid[#Data],$DE924,17),0)</f>
        <v/>
      </c>
      <c r="U924">
        <f>IFERROR(INDEX(PP_Grid[#Data],$DE924,18),0)</f>
        <v/>
      </c>
      <c r="V924">
        <f>IFERROR(INDEX(PP_Grid[#Data],$DE924,19),0)</f>
        <v/>
      </c>
      <c r="W924">
        <f>IFERROR(INDEX(PP_Grid[#Data],$DE924,20),0)</f>
        <v/>
      </c>
      <c r="X924">
        <f>IFERROR(INDEX(PP_Grid[#Data],$DE924,21),0)</f>
        <v/>
      </c>
      <c r="Y924">
        <f>IFERROR(INDEX(PP_Grid[#Data],$DE924,22),0)</f>
        <v/>
      </c>
      <c r="Z924">
        <f>IFERROR(INDEX(PP_Grid[#Data],$DE924,23),0)</f>
        <v/>
      </c>
      <c r="AA924">
        <f>IFERROR(INDEX(PP_Grid[#Data],$DE924,24),0)</f>
        <v/>
      </c>
      <c r="AB924">
        <f>IFERROR(INDEX(PP_Grid[#Data],$DE924,25),0)</f>
        <v/>
      </c>
      <c r="AC924">
        <f>IFERROR(INDEX(PP_Grid[#Data],$DE924,26),0)</f>
        <v/>
      </c>
      <c r="AD924">
        <f>IFERROR(INDEX(PP_Grid[#Data],$DE924,27),0)</f>
        <v/>
      </c>
      <c r="AE924">
        <f>IFERROR(INDEX(PP_Grid[#Data],$DE924,28),0)</f>
        <v/>
      </c>
      <c r="AF924">
        <f>IFERROR(INDEX(PP_Grid[#Data],$DE924,29),0)</f>
        <v/>
      </c>
      <c r="AG924">
        <f>IFERROR(INDEX(PP_Grid[#Data],$DE924,30),0)</f>
        <v/>
      </c>
      <c r="AH924">
        <f>IFERROR(INDEX(PP_Grid[#Data],$DE924,31),0)</f>
        <v/>
      </c>
      <c r="AI924">
        <f>IFERROR(INDEX(PP_Grid[#Data],$DE924,32),0)</f>
        <v/>
      </c>
      <c r="AJ924">
        <f>IFERROR(INDEX(PP_Grid[#Data],$DE924,33),0)</f>
        <v/>
      </c>
      <c r="AK924">
        <f>IFERROR(INDEX(PP_Grid[#Data],$DE924,34),0)</f>
        <v/>
      </c>
      <c r="AL924">
        <f>IFERROR(INDEX(PP_Grid[#Data],$DE924,35),0)</f>
        <v/>
      </c>
      <c r="AM924">
        <f>IFERROR(INDEX(PP_Grid[#Data],$DE924,36),0)</f>
        <v/>
      </c>
      <c r="AN924">
        <f>IFERROR(INDEX(PP_Grid[#Data],$DE924,37),0)</f>
        <v/>
      </c>
      <c r="AO924">
        <f>IFERROR(INDEX(PP_Grid[#Data],$DE924,38),0)</f>
        <v/>
      </c>
      <c r="AP924">
        <f>IFERROR(INDEX(PP_Grid[#Data],$DE924,39),0)</f>
        <v/>
      </c>
      <c r="AQ924">
        <f>IFERROR(INDEX(PP_Grid[#Data],$DE924,40),0)</f>
        <v/>
      </c>
      <c r="AR924">
        <f>IFERROR(INDEX(PP_Grid[#Data],$DE924,41),0)</f>
        <v/>
      </c>
      <c r="AS924">
        <f>IFERROR(INDEX(PP_Grid[#Data],$DE924,42),0)</f>
        <v/>
      </c>
      <c r="AT924">
        <f>IFERROR(INDEX(PP_Grid[#Data],$DE924,43),0)</f>
        <v/>
      </c>
      <c r="AU924">
        <f>IFERROR(INDEX(PP_Grid[#Data],$DE924,44),0)</f>
        <v/>
      </c>
      <c r="AV924">
        <f>IFERROR(INDEX(PP_Grid[#Data],$DE924,45),0)</f>
        <v/>
      </c>
      <c r="AW924">
        <f>IFERROR(INDEX(PP_Grid[#Data],$DE924,46),0)</f>
        <v/>
      </c>
      <c r="AX924">
        <f>IFERROR(INDEX(PP_Grid[#Data],$DE924,47),0)</f>
        <v/>
      </c>
      <c r="AY924">
        <f>IFERROR(INDEX(PP_Grid[#Data],$DE924,48),0)</f>
        <v/>
      </c>
      <c r="AZ924">
        <f>IFERROR(INDEX(PP_Grid[#Data],$DE924,49),0)</f>
        <v/>
      </c>
      <c r="BA924">
        <f>IFERROR(INDEX(PP_Grid[#Data],$DE924,50),0)</f>
        <v/>
      </c>
      <c r="BB924">
        <f>IFERROR(INDEX(PP_Grid[#Data],$DE924,51),0)</f>
        <v/>
      </c>
      <c r="BC924">
        <f>IFERROR(INDEX(PP_Grid[#Data],$DE924,52),0)</f>
        <v/>
      </c>
      <c r="BD924">
        <f>IFERROR(INDEX(PP_Grid[#Data],$DE924,53),0)</f>
        <v/>
      </c>
      <c r="BE924">
        <f>IFERROR(INDEX(PP_Grid[#Data],$DE924,54),0)</f>
        <v/>
      </c>
      <c r="BF924">
        <f>IFERROR(INDEX(PP_Grid[#Data],$DE924,55),0)</f>
        <v/>
      </c>
      <c r="BG924">
        <f>IFERROR(INDEX(PP_Grid[#Data],$DE924,56),0)</f>
        <v/>
      </c>
      <c r="BH924">
        <f>IFERROR(INDEX(PP_Grid[#Data],$DE924,57),0)</f>
        <v/>
      </c>
      <c r="BI924">
        <f>IFERROR(INDEX(PP_Grid[#Data],$DE924,58),0)</f>
        <v/>
      </c>
      <c r="BJ924">
        <f>IFERROR(INDEX(PP_Grid[#Data],$DE924,59),0)</f>
        <v/>
      </c>
      <c r="BK924">
        <f>IFERROR(INDEX(PP_Grid[#Data],$DE924,60),0)</f>
        <v/>
      </c>
      <c r="BL924">
        <f>IFERROR(INDEX(PP_Grid[#Data],$DE924,61),0)</f>
        <v/>
      </c>
      <c r="BM924">
        <f>IFERROR(INDEX(PP_Grid[#Data],$DE924,62),0)</f>
        <v/>
      </c>
      <c r="BN924">
        <f>IFERROR(INDEX(PP_Grid[#Data],$DE924,63),0)</f>
        <v/>
      </c>
      <c r="BO924">
        <f>IFERROR(INDEX(PP_Grid[#Data],$DE924,64),0)</f>
        <v/>
      </c>
      <c r="BP924">
        <f>IFERROR(INDEX(PP_Grid[#Data],$DE924,65),0)</f>
        <v/>
      </c>
      <c r="BQ924">
        <f>IFERROR(INDEX(PP_Grid[#Data],$DE924,66),0)</f>
        <v/>
      </c>
      <c r="BR924">
        <f>IFERROR(INDEX(PP_Grid[#Data],$DE924,67),0)</f>
        <v/>
      </c>
      <c r="BS924">
        <f>IFERROR(INDEX(PP_Grid[#Data],$DE924,68),0)</f>
        <v/>
      </c>
      <c r="BT924">
        <f>IFERROR(INDEX(PP_Grid[#Data],$DE924,69),0)</f>
        <v/>
      </c>
      <c r="BU924">
        <f>IFERROR(INDEX(PP_Grid[#Data],$DE924,70),0)</f>
        <v/>
      </c>
      <c r="BV924">
        <f>IFERROR(INDEX(PP_Grid[#Data],$DE924,71),0)</f>
        <v/>
      </c>
      <c r="BW924">
        <f>IFERROR(INDEX(PP_Grid[#Data],$DE924,72),0)</f>
        <v/>
      </c>
      <c r="BX924">
        <f>IFERROR(INDEX(PP_Grid[#Data],$DE924,73),0)</f>
        <v/>
      </c>
      <c r="BY924">
        <f>IFERROR(INDEX(PP_Grid[#Data],$DE924,74),0)</f>
        <v/>
      </c>
      <c r="BZ924">
        <f>IFERROR(INDEX(PP_Grid[#Data],$DE924,75),0)</f>
        <v/>
      </c>
      <c r="CA924">
        <f>IFERROR(INDEX(PP_Grid[#Data],$DE924,76),0)</f>
        <v/>
      </c>
      <c r="CB924">
        <f>IFERROR(INDEX(PP_Grid[#Data],$DE924,77),0)</f>
        <v/>
      </c>
      <c r="CC924">
        <f>IFERROR(INDEX(PP_Grid[#Data],$DE924,78),0)</f>
        <v/>
      </c>
      <c r="CD924">
        <f>IFERROR(INDEX(PP_Grid[#Data],$DE924,79),0)</f>
        <v/>
      </c>
      <c r="CE924">
        <f>IFERROR(INDEX(PP_Grid[#Data],$DE924,80),0)</f>
        <v/>
      </c>
      <c r="CF924">
        <f>IFERROR(INDEX(PP_Grid[#Data],$DE924,81),0)</f>
        <v/>
      </c>
      <c r="CG924">
        <f>IFERROR(INDEX(PP_Grid[#Data],$DE924,82),0)</f>
        <v/>
      </c>
      <c r="CH924">
        <f>IFERROR(INDEX(PP_Grid[#Data],$DE924,83),0)</f>
        <v/>
      </c>
      <c r="CI924">
        <f>IFERROR(INDEX(PP_Grid[#Data],$DE924,84),0)</f>
        <v/>
      </c>
      <c r="CJ924">
        <f>IFERROR(INDEX(PP_Grid[#Data],$DE924,85),0)</f>
        <v/>
      </c>
      <c r="CK924">
        <f>IFERROR(INDEX(PP_Grid[#Data],$DE924,86),0)</f>
        <v/>
      </c>
      <c r="CL924">
        <f>IFERROR(INDEX(PP_Grid[#Data],$DE924,87),0)</f>
        <v/>
      </c>
      <c r="CM924">
        <f>IFERROR(INDEX(PP_Grid[#Data],$DE924,88),0)</f>
        <v/>
      </c>
      <c r="CN924">
        <f>IFERROR(INDEX(PP_Grid[#Data],$DE924,89),0)</f>
        <v/>
      </c>
      <c r="CO924">
        <f>IFERROR(INDEX(PP_Grid[#Data],$DE924,90),0)</f>
        <v/>
      </c>
      <c r="CP924">
        <f>IFERROR(INDEX(PP_Grid[#Data],$DE924,91),0)</f>
        <v/>
      </c>
      <c r="CQ924">
        <f>IFERROR(INDEX(PP_Grid[#Data],$DE924,92),0)</f>
        <v/>
      </c>
      <c r="CR924">
        <f>IFERROR(INDEX(PP_Grid[#Data],$DE924,93),0)</f>
        <v/>
      </c>
      <c r="CS924">
        <f>IFERROR(INDEX(PP_Grid[#Data],$DE924,94),0)</f>
        <v/>
      </c>
      <c r="CT924">
        <f>IFERROR(INDEX(PP_Grid[#Data],$DE924,95),0)</f>
        <v/>
      </c>
      <c r="CU924">
        <f>IFERROR(INDEX(PP_Grid[#Data],$DE924,96),0)</f>
        <v/>
      </c>
      <c r="CV924">
        <f>IFERROR(INDEX(PP_Grid[#Data],$DE924,97),0)</f>
        <v/>
      </c>
      <c r="CW924">
        <f>IFERROR(INDEX(PP_Grid[#Data],$DE924,98),0)</f>
        <v/>
      </c>
      <c r="CX924">
        <f>IFERROR(INDEX(PP_Grid[#Data],$DE924,99),0)</f>
        <v/>
      </c>
      <c r="CY924">
        <f>IFERROR(INDEX(PP_Grid[#Data],$DE924,100),0)</f>
        <v/>
      </c>
      <c r="CZ924">
        <f>IFERROR(INDEX(PP_Grid[#Data],$DE924,101),0)</f>
        <v/>
      </c>
      <c r="DA924">
        <f>IFERROR(INDEX(PP_Grid[#Data],$DE924,102),0)</f>
        <v/>
      </c>
      <c r="DB924">
        <f>IFERROR(INDEX(PP_Grid[#Data],$DE924,103),0)</f>
        <v/>
      </c>
      <c r="DC924">
        <f>IFERROR(INDEX(PP_Grid[#Data],$DE924,104),0)</f>
        <v/>
      </c>
      <c r="DD924">
        <f>IFERROR(INDEX(PP_Grid[#Data],$DE924,105),0)</f>
        <v/>
      </c>
      <c r="DE924" s="7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SUMIFS(M_BOM[RM_Qty_Per_Batch],M_BOM[Intermediate],$B924,M_BOM[RM_Code],$A923)</f>
        <v/>
      </c>
      <c r="D925">
        <f>IFERROR(INDEX(E925:DD925,$F$1),"")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  <c r="DD925">
        <f>$C925*DD924</f>
        <v/>
      </c>
    </row>
    <row r="926">
      <c r="B926" t="inlineStr">
        <is>
          <t>TVS-833</t>
        </is>
      </c>
      <c r="C926" t="inlineStr">
        <is>
          <t>No. of batches</t>
        </is>
      </c>
      <c r="D926">
        <f>IFERROR(INDEX(E926:DD926,$F$1),"")</f>
        <v/>
      </c>
      <c r="E926">
        <f>IFERROR(INDEX(PP_Grid[#Data],$DE926,2),0)</f>
        <v/>
      </c>
      <c r="F926">
        <f>IFERROR(INDEX(PP_Grid[#Data],$DE926,3),0)</f>
        <v/>
      </c>
      <c r="G926">
        <f>IFERROR(INDEX(PP_Grid[#Data],$DE926,4),0)</f>
        <v/>
      </c>
      <c r="H926">
        <f>IFERROR(INDEX(PP_Grid[#Data],$DE926,5),0)</f>
        <v/>
      </c>
      <c r="I926">
        <f>IFERROR(INDEX(PP_Grid[#Data],$DE926,6),0)</f>
        <v/>
      </c>
      <c r="J926">
        <f>IFERROR(INDEX(PP_Grid[#Data],$DE926,7),0)</f>
        <v/>
      </c>
      <c r="K926">
        <f>IFERROR(INDEX(PP_Grid[#Data],$DE926,8),0)</f>
        <v/>
      </c>
      <c r="L926">
        <f>IFERROR(INDEX(PP_Grid[#Data],$DE926,9),0)</f>
        <v/>
      </c>
      <c r="M926">
        <f>IFERROR(INDEX(PP_Grid[#Data],$DE926,10),0)</f>
        <v/>
      </c>
      <c r="N926">
        <f>IFERROR(INDEX(PP_Grid[#Data],$DE926,11),0)</f>
        <v/>
      </c>
      <c r="O926">
        <f>IFERROR(INDEX(PP_Grid[#Data],$DE926,12),0)</f>
        <v/>
      </c>
      <c r="P926">
        <f>IFERROR(INDEX(PP_Grid[#Data],$DE926,13),0)</f>
        <v/>
      </c>
      <c r="Q926">
        <f>IFERROR(INDEX(PP_Grid[#Data],$DE926,14),0)</f>
        <v/>
      </c>
      <c r="R926">
        <f>IFERROR(INDEX(PP_Grid[#Data],$DE926,15),0)</f>
        <v/>
      </c>
      <c r="S926">
        <f>IFERROR(INDEX(PP_Grid[#Data],$DE926,16),0)</f>
        <v/>
      </c>
      <c r="T926">
        <f>IFERROR(INDEX(PP_Grid[#Data],$DE926,17),0)</f>
        <v/>
      </c>
      <c r="U926">
        <f>IFERROR(INDEX(PP_Grid[#Data],$DE926,18),0)</f>
        <v/>
      </c>
      <c r="V926">
        <f>IFERROR(INDEX(PP_Grid[#Data],$DE926,19),0)</f>
        <v/>
      </c>
      <c r="W926">
        <f>IFERROR(INDEX(PP_Grid[#Data],$DE926,20),0)</f>
        <v/>
      </c>
      <c r="X926">
        <f>IFERROR(INDEX(PP_Grid[#Data],$DE926,21),0)</f>
        <v/>
      </c>
      <c r="Y926">
        <f>IFERROR(INDEX(PP_Grid[#Data],$DE926,22),0)</f>
        <v/>
      </c>
      <c r="Z926">
        <f>IFERROR(INDEX(PP_Grid[#Data],$DE926,23),0)</f>
        <v/>
      </c>
      <c r="AA926">
        <f>IFERROR(INDEX(PP_Grid[#Data],$DE926,24),0)</f>
        <v/>
      </c>
      <c r="AB926">
        <f>IFERROR(INDEX(PP_Grid[#Data],$DE926,25),0)</f>
        <v/>
      </c>
      <c r="AC926">
        <f>IFERROR(INDEX(PP_Grid[#Data],$DE926,26),0)</f>
        <v/>
      </c>
      <c r="AD926">
        <f>IFERROR(INDEX(PP_Grid[#Data],$DE926,27),0)</f>
        <v/>
      </c>
      <c r="AE926">
        <f>IFERROR(INDEX(PP_Grid[#Data],$DE926,28),0)</f>
        <v/>
      </c>
      <c r="AF926">
        <f>IFERROR(INDEX(PP_Grid[#Data],$DE926,29),0)</f>
        <v/>
      </c>
      <c r="AG926">
        <f>IFERROR(INDEX(PP_Grid[#Data],$DE926,30),0)</f>
        <v/>
      </c>
      <c r="AH926">
        <f>IFERROR(INDEX(PP_Grid[#Data],$DE926,31),0)</f>
        <v/>
      </c>
      <c r="AI926">
        <f>IFERROR(INDEX(PP_Grid[#Data],$DE926,32),0)</f>
        <v/>
      </c>
      <c r="AJ926">
        <f>IFERROR(INDEX(PP_Grid[#Data],$DE926,33),0)</f>
        <v/>
      </c>
      <c r="AK926">
        <f>IFERROR(INDEX(PP_Grid[#Data],$DE926,34),0)</f>
        <v/>
      </c>
      <c r="AL926">
        <f>IFERROR(INDEX(PP_Grid[#Data],$DE926,35),0)</f>
        <v/>
      </c>
      <c r="AM926">
        <f>IFERROR(INDEX(PP_Grid[#Data],$DE926,36),0)</f>
        <v/>
      </c>
      <c r="AN926">
        <f>IFERROR(INDEX(PP_Grid[#Data],$DE926,37),0)</f>
        <v/>
      </c>
      <c r="AO926">
        <f>IFERROR(INDEX(PP_Grid[#Data],$DE926,38),0)</f>
        <v/>
      </c>
      <c r="AP926">
        <f>IFERROR(INDEX(PP_Grid[#Data],$DE926,39),0)</f>
        <v/>
      </c>
      <c r="AQ926">
        <f>IFERROR(INDEX(PP_Grid[#Data],$DE926,40),0)</f>
        <v/>
      </c>
      <c r="AR926">
        <f>IFERROR(INDEX(PP_Grid[#Data],$DE926,41),0)</f>
        <v/>
      </c>
      <c r="AS926">
        <f>IFERROR(INDEX(PP_Grid[#Data],$DE926,42),0)</f>
        <v/>
      </c>
      <c r="AT926">
        <f>IFERROR(INDEX(PP_Grid[#Data],$DE926,43),0)</f>
        <v/>
      </c>
      <c r="AU926">
        <f>IFERROR(INDEX(PP_Grid[#Data],$DE926,44),0)</f>
        <v/>
      </c>
      <c r="AV926">
        <f>IFERROR(INDEX(PP_Grid[#Data],$DE926,45),0)</f>
        <v/>
      </c>
      <c r="AW926">
        <f>IFERROR(INDEX(PP_Grid[#Data],$DE926,46),0)</f>
        <v/>
      </c>
      <c r="AX926">
        <f>IFERROR(INDEX(PP_Grid[#Data],$DE926,47),0)</f>
        <v/>
      </c>
      <c r="AY926">
        <f>IFERROR(INDEX(PP_Grid[#Data],$DE926,48),0)</f>
        <v/>
      </c>
      <c r="AZ926">
        <f>IFERROR(INDEX(PP_Grid[#Data],$DE926,49),0)</f>
        <v/>
      </c>
      <c r="BA926">
        <f>IFERROR(INDEX(PP_Grid[#Data],$DE926,50),0)</f>
        <v/>
      </c>
      <c r="BB926">
        <f>IFERROR(INDEX(PP_Grid[#Data],$DE926,51),0)</f>
        <v/>
      </c>
      <c r="BC926">
        <f>IFERROR(INDEX(PP_Grid[#Data],$DE926,52),0)</f>
        <v/>
      </c>
      <c r="BD926">
        <f>IFERROR(INDEX(PP_Grid[#Data],$DE926,53),0)</f>
        <v/>
      </c>
      <c r="BE926">
        <f>IFERROR(INDEX(PP_Grid[#Data],$DE926,54),0)</f>
        <v/>
      </c>
      <c r="BF926">
        <f>IFERROR(INDEX(PP_Grid[#Data],$DE926,55),0)</f>
        <v/>
      </c>
      <c r="BG926">
        <f>IFERROR(INDEX(PP_Grid[#Data],$DE926,56),0)</f>
        <v/>
      </c>
      <c r="BH926">
        <f>IFERROR(INDEX(PP_Grid[#Data],$DE926,57),0)</f>
        <v/>
      </c>
      <c r="BI926">
        <f>IFERROR(INDEX(PP_Grid[#Data],$DE926,58),0)</f>
        <v/>
      </c>
      <c r="BJ926">
        <f>IFERROR(INDEX(PP_Grid[#Data],$DE926,59),0)</f>
        <v/>
      </c>
      <c r="BK926">
        <f>IFERROR(INDEX(PP_Grid[#Data],$DE926,60),0)</f>
        <v/>
      </c>
      <c r="BL926">
        <f>IFERROR(INDEX(PP_Grid[#Data],$DE926,61),0)</f>
        <v/>
      </c>
      <c r="BM926">
        <f>IFERROR(INDEX(PP_Grid[#Data],$DE926,62),0)</f>
        <v/>
      </c>
      <c r="BN926">
        <f>IFERROR(INDEX(PP_Grid[#Data],$DE926,63),0)</f>
        <v/>
      </c>
      <c r="BO926">
        <f>IFERROR(INDEX(PP_Grid[#Data],$DE926,64),0)</f>
        <v/>
      </c>
      <c r="BP926">
        <f>IFERROR(INDEX(PP_Grid[#Data],$DE926,65),0)</f>
        <v/>
      </c>
      <c r="BQ926">
        <f>IFERROR(INDEX(PP_Grid[#Data],$DE926,66),0)</f>
        <v/>
      </c>
      <c r="BR926">
        <f>IFERROR(INDEX(PP_Grid[#Data],$DE926,67),0)</f>
        <v/>
      </c>
      <c r="BS926">
        <f>IFERROR(INDEX(PP_Grid[#Data],$DE926,68),0)</f>
        <v/>
      </c>
      <c r="BT926">
        <f>IFERROR(INDEX(PP_Grid[#Data],$DE926,69),0)</f>
        <v/>
      </c>
      <c r="BU926">
        <f>IFERROR(INDEX(PP_Grid[#Data],$DE926,70),0)</f>
        <v/>
      </c>
      <c r="BV926">
        <f>IFERROR(INDEX(PP_Grid[#Data],$DE926,71),0)</f>
        <v/>
      </c>
      <c r="BW926">
        <f>IFERROR(INDEX(PP_Grid[#Data],$DE926,72),0)</f>
        <v/>
      </c>
      <c r="BX926">
        <f>IFERROR(INDEX(PP_Grid[#Data],$DE926,73),0)</f>
        <v/>
      </c>
      <c r="BY926">
        <f>IFERROR(INDEX(PP_Grid[#Data],$DE926,74),0)</f>
        <v/>
      </c>
      <c r="BZ926">
        <f>IFERROR(INDEX(PP_Grid[#Data],$DE926,75),0)</f>
        <v/>
      </c>
      <c r="CA926">
        <f>IFERROR(INDEX(PP_Grid[#Data],$DE926,76),0)</f>
        <v/>
      </c>
      <c r="CB926">
        <f>IFERROR(INDEX(PP_Grid[#Data],$DE926,77),0)</f>
        <v/>
      </c>
      <c r="CC926">
        <f>IFERROR(INDEX(PP_Grid[#Data],$DE926,78),0)</f>
        <v/>
      </c>
      <c r="CD926">
        <f>IFERROR(INDEX(PP_Grid[#Data],$DE926,79),0)</f>
        <v/>
      </c>
      <c r="CE926">
        <f>IFERROR(INDEX(PP_Grid[#Data],$DE926,80),0)</f>
        <v/>
      </c>
      <c r="CF926">
        <f>IFERROR(INDEX(PP_Grid[#Data],$DE926,81),0)</f>
        <v/>
      </c>
      <c r="CG926">
        <f>IFERROR(INDEX(PP_Grid[#Data],$DE926,82),0)</f>
        <v/>
      </c>
      <c r="CH926">
        <f>IFERROR(INDEX(PP_Grid[#Data],$DE926,83),0)</f>
        <v/>
      </c>
      <c r="CI926">
        <f>IFERROR(INDEX(PP_Grid[#Data],$DE926,84),0)</f>
        <v/>
      </c>
      <c r="CJ926">
        <f>IFERROR(INDEX(PP_Grid[#Data],$DE926,85),0)</f>
        <v/>
      </c>
      <c r="CK926">
        <f>IFERROR(INDEX(PP_Grid[#Data],$DE926,86),0)</f>
        <v/>
      </c>
      <c r="CL926">
        <f>IFERROR(INDEX(PP_Grid[#Data],$DE926,87),0)</f>
        <v/>
      </c>
      <c r="CM926">
        <f>IFERROR(INDEX(PP_Grid[#Data],$DE926,88),0)</f>
        <v/>
      </c>
      <c r="CN926">
        <f>IFERROR(INDEX(PP_Grid[#Data],$DE926,89),0)</f>
        <v/>
      </c>
      <c r="CO926">
        <f>IFERROR(INDEX(PP_Grid[#Data],$DE926,90),0)</f>
        <v/>
      </c>
      <c r="CP926">
        <f>IFERROR(INDEX(PP_Grid[#Data],$DE926,91),0)</f>
        <v/>
      </c>
      <c r="CQ926">
        <f>IFERROR(INDEX(PP_Grid[#Data],$DE926,92),0)</f>
        <v/>
      </c>
      <c r="CR926">
        <f>IFERROR(INDEX(PP_Grid[#Data],$DE926,93),0)</f>
        <v/>
      </c>
      <c r="CS926">
        <f>IFERROR(INDEX(PP_Grid[#Data],$DE926,94),0)</f>
        <v/>
      </c>
      <c r="CT926">
        <f>IFERROR(INDEX(PP_Grid[#Data],$DE926,95),0)</f>
        <v/>
      </c>
      <c r="CU926">
        <f>IFERROR(INDEX(PP_Grid[#Data],$DE926,96),0)</f>
        <v/>
      </c>
      <c r="CV926">
        <f>IFERROR(INDEX(PP_Grid[#Data],$DE926,97),0)</f>
        <v/>
      </c>
      <c r="CW926">
        <f>IFERROR(INDEX(PP_Grid[#Data],$DE926,98),0)</f>
        <v/>
      </c>
      <c r="CX926">
        <f>IFERROR(INDEX(PP_Grid[#Data],$DE926,99),0)</f>
        <v/>
      </c>
      <c r="CY926">
        <f>IFERROR(INDEX(PP_Grid[#Data],$DE926,100),0)</f>
        <v/>
      </c>
      <c r="CZ926">
        <f>IFERROR(INDEX(PP_Grid[#Data],$DE926,101),0)</f>
        <v/>
      </c>
      <c r="DA926">
        <f>IFERROR(INDEX(PP_Grid[#Data],$DE926,102),0)</f>
        <v/>
      </c>
      <c r="DB926">
        <f>IFERROR(INDEX(PP_Grid[#Data],$DE926,103),0)</f>
        <v/>
      </c>
      <c r="DC926">
        <f>IFERROR(INDEX(PP_Grid[#Data],$DE926,104),0)</f>
        <v/>
      </c>
      <c r="DD926">
        <f>IFERROR(INDEX(PP_Grid[#Data],$DE926,105),0)</f>
        <v/>
      </c>
      <c r="DE926" s="7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SUMIFS(M_BOM[RM_Qty_Per_Batch],M_BOM[Intermediate],$B926,M_BOM[RM_Code],$A923)</f>
        <v/>
      </c>
      <c r="D927">
        <f>IFERROR(INDEX(E927:DD927,$F$1),"")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  <c r="DD927">
        <f>$C927*DD926</f>
        <v/>
      </c>
    </row>
    <row r="928">
      <c r="B928" t="inlineStr">
        <is>
          <t>TSP-1449</t>
        </is>
      </c>
      <c r="C928" t="inlineStr">
        <is>
          <t>No. of batches</t>
        </is>
      </c>
      <c r="D928">
        <f>IFERROR(INDEX(E928:DD928,$F$1),"")</f>
        <v/>
      </c>
      <c r="E928">
        <f>IFERROR(INDEX(PP_Grid[#Data],$DE928,2),0)</f>
        <v/>
      </c>
      <c r="F928">
        <f>IFERROR(INDEX(PP_Grid[#Data],$DE928,3),0)</f>
        <v/>
      </c>
      <c r="G928">
        <f>IFERROR(INDEX(PP_Grid[#Data],$DE928,4),0)</f>
        <v/>
      </c>
      <c r="H928">
        <f>IFERROR(INDEX(PP_Grid[#Data],$DE928,5),0)</f>
        <v/>
      </c>
      <c r="I928">
        <f>IFERROR(INDEX(PP_Grid[#Data],$DE928,6),0)</f>
        <v/>
      </c>
      <c r="J928">
        <f>IFERROR(INDEX(PP_Grid[#Data],$DE928,7),0)</f>
        <v/>
      </c>
      <c r="K928">
        <f>IFERROR(INDEX(PP_Grid[#Data],$DE928,8),0)</f>
        <v/>
      </c>
      <c r="L928">
        <f>IFERROR(INDEX(PP_Grid[#Data],$DE928,9),0)</f>
        <v/>
      </c>
      <c r="M928">
        <f>IFERROR(INDEX(PP_Grid[#Data],$DE928,10),0)</f>
        <v/>
      </c>
      <c r="N928">
        <f>IFERROR(INDEX(PP_Grid[#Data],$DE928,11),0)</f>
        <v/>
      </c>
      <c r="O928">
        <f>IFERROR(INDEX(PP_Grid[#Data],$DE928,12),0)</f>
        <v/>
      </c>
      <c r="P928">
        <f>IFERROR(INDEX(PP_Grid[#Data],$DE928,13),0)</f>
        <v/>
      </c>
      <c r="Q928">
        <f>IFERROR(INDEX(PP_Grid[#Data],$DE928,14),0)</f>
        <v/>
      </c>
      <c r="R928">
        <f>IFERROR(INDEX(PP_Grid[#Data],$DE928,15),0)</f>
        <v/>
      </c>
      <c r="S928">
        <f>IFERROR(INDEX(PP_Grid[#Data],$DE928,16),0)</f>
        <v/>
      </c>
      <c r="T928">
        <f>IFERROR(INDEX(PP_Grid[#Data],$DE928,17),0)</f>
        <v/>
      </c>
      <c r="U928">
        <f>IFERROR(INDEX(PP_Grid[#Data],$DE928,18),0)</f>
        <v/>
      </c>
      <c r="V928">
        <f>IFERROR(INDEX(PP_Grid[#Data],$DE928,19),0)</f>
        <v/>
      </c>
      <c r="W928">
        <f>IFERROR(INDEX(PP_Grid[#Data],$DE928,20),0)</f>
        <v/>
      </c>
      <c r="X928">
        <f>IFERROR(INDEX(PP_Grid[#Data],$DE928,21),0)</f>
        <v/>
      </c>
      <c r="Y928">
        <f>IFERROR(INDEX(PP_Grid[#Data],$DE928,22),0)</f>
        <v/>
      </c>
      <c r="Z928">
        <f>IFERROR(INDEX(PP_Grid[#Data],$DE928,23),0)</f>
        <v/>
      </c>
      <c r="AA928">
        <f>IFERROR(INDEX(PP_Grid[#Data],$DE928,24),0)</f>
        <v/>
      </c>
      <c r="AB928">
        <f>IFERROR(INDEX(PP_Grid[#Data],$DE928,25),0)</f>
        <v/>
      </c>
      <c r="AC928">
        <f>IFERROR(INDEX(PP_Grid[#Data],$DE928,26),0)</f>
        <v/>
      </c>
      <c r="AD928">
        <f>IFERROR(INDEX(PP_Grid[#Data],$DE928,27),0)</f>
        <v/>
      </c>
      <c r="AE928">
        <f>IFERROR(INDEX(PP_Grid[#Data],$DE928,28),0)</f>
        <v/>
      </c>
      <c r="AF928">
        <f>IFERROR(INDEX(PP_Grid[#Data],$DE928,29),0)</f>
        <v/>
      </c>
      <c r="AG928">
        <f>IFERROR(INDEX(PP_Grid[#Data],$DE928,30),0)</f>
        <v/>
      </c>
      <c r="AH928">
        <f>IFERROR(INDEX(PP_Grid[#Data],$DE928,31),0)</f>
        <v/>
      </c>
      <c r="AI928">
        <f>IFERROR(INDEX(PP_Grid[#Data],$DE928,32),0)</f>
        <v/>
      </c>
      <c r="AJ928">
        <f>IFERROR(INDEX(PP_Grid[#Data],$DE928,33),0)</f>
        <v/>
      </c>
      <c r="AK928">
        <f>IFERROR(INDEX(PP_Grid[#Data],$DE928,34),0)</f>
        <v/>
      </c>
      <c r="AL928">
        <f>IFERROR(INDEX(PP_Grid[#Data],$DE928,35),0)</f>
        <v/>
      </c>
      <c r="AM928">
        <f>IFERROR(INDEX(PP_Grid[#Data],$DE928,36),0)</f>
        <v/>
      </c>
      <c r="AN928">
        <f>IFERROR(INDEX(PP_Grid[#Data],$DE928,37),0)</f>
        <v/>
      </c>
      <c r="AO928">
        <f>IFERROR(INDEX(PP_Grid[#Data],$DE928,38),0)</f>
        <v/>
      </c>
      <c r="AP928">
        <f>IFERROR(INDEX(PP_Grid[#Data],$DE928,39),0)</f>
        <v/>
      </c>
      <c r="AQ928">
        <f>IFERROR(INDEX(PP_Grid[#Data],$DE928,40),0)</f>
        <v/>
      </c>
      <c r="AR928">
        <f>IFERROR(INDEX(PP_Grid[#Data],$DE928,41),0)</f>
        <v/>
      </c>
      <c r="AS928">
        <f>IFERROR(INDEX(PP_Grid[#Data],$DE928,42),0)</f>
        <v/>
      </c>
      <c r="AT928">
        <f>IFERROR(INDEX(PP_Grid[#Data],$DE928,43),0)</f>
        <v/>
      </c>
      <c r="AU928">
        <f>IFERROR(INDEX(PP_Grid[#Data],$DE928,44),0)</f>
        <v/>
      </c>
      <c r="AV928">
        <f>IFERROR(INDEX(PP_Grid[#Data],$DE928,45),0)</f>
        <v/>
      </c>
      <c r="AW928">
        <f>IFERROR(INDEX(PP_Grid[#Data],$DE928,46),0)</f>
        <v/>
      </c>
      <c r="AX928">
        <f>IFERROR(INDEX(PP_Grid[#Data],$DE928,47),0)</f>
        <v/>
      </c>
      <c r="AY928">
        <f>IFERROR(INDEX(PP_Grid[#Data],$DE928,48),0)</f>
        <v/>
      </c>
      <c r="AZ928">
        <f>IFERROR(INDEX(PP_Grid[#Data],$DE928,49),0)</f>
        <v/>
      </c>
      <c r="BA928">
        <f>IFERROR(INDEX(PP_Grid[#Data],$DE928,50),0)</f>
        <v/>
      </c>
      <c r="BB928">
        <f>IFERROR(INDEX(PP_Grid[#Data],$DE928,51),0)</f>
        <v/>
      </c>
      <c r="BC928">
        <f>IFERROR(INDEX(PP_Grid[#Data],$DE928,52),0)</f>
        <v/>
      </c>
      <c r="BD928">
        <f>IFERROR(INDEX(PP_Grid[#Data],$DE928,53),0)</f>
        <v/>
      </c>
      <c r="BE928">
        <f>IFERROR(INDEX(PP_Grid[#Data],$DE928,54),0)</f>
        <v/>
      </c>
      <c r="BF928">
        <f>IFERROR(INDEX(PP_Grid[#Data],$DE928,55),0)</f>
        <v/>
      </c>
      <c r="BG928">
        <f>IFERROR(INDEX(PP_Grid[#Data],$DE928,56),0)</f>
        <v/>
      </c>
      <c r="BH928">
        <f>IFERROR(INDEX(PP_Grid[#Data],$DE928,57),0)</f>
        <v/>
      </c>
      <c r="BI928">
        <f>IFERROR(INDEX(PP_Grid[#Data],$DE928,58),0)</f>
        <v/>
      </c>
      <c r="BJ928">
        <f>IFERROR(INDEX(PP_Grid[#Data],$DE928,59),0)</f>
        <v/>
      </c>
      <c r="BK928">
        <f>IFERROR(INDEX(PP_Grid[#Data],$DE928,60),0)</f>
        <v/>
      </c>
      <c r="BL928">
        <f>IFERROR(INDEX(PP_Grid[#Data],$DE928,61),0)</f>
        <v/>
      </c>
      <c r="BM928">
        <f>IFERROR(INDEX(PP_Grid[#Data],$DE928,62),0)</f>
        <v/>
      </c>
      <c r="BN928">
        <f>IFERROR(INDEX(PP_Grid[#Data],$DE928,63),0)</f>
        <v/>
      </c>
      <c r="BO928">
        <f>IFERROR(INDEX(PP_Grid[#Data],$DE928,64),0)</f>
        <v/>
      </c>
      <c r="BP928">
        <f>IFERROR(INDEX(PP_Grid[#Data],$DE928,65),0)</f>
        <v/>
      </c>
      <c r="BQ928">
        <f>IFERROR(INDEX(PP_Grid[#Data],$DE928,66),0)</f>
        <v/>
      </c>
      <c r="BR928">
        <f>IFERROR(INDEX(PP_Grid[#Data],$DE928,67),0)</f>
        <v/>
      </c>
      <c r="BS928">
        <f>IFERROR(INDEX(PP_Grid[#Data],$DE928,68),0)</f>
        <v/>
      </c>
      <c r="BT928">
        <f>IFERROR(INDEX(PP_Grid[#Data],$DE928,69),0)</f>
        <v/>
      </c>
      <c r="BU928">
        <f>IFERROR(INDEX(PP_Grid[#Data],$DE928,70),0)</f>
        <v/>
      </c>
      <c r="BV928">
        <f>IFERROR(INDEX(PP_Grid[#Data],$DE928,71),0)</f>
        <v/>
      </c>
      <c r="BW928">
        <f>IFERROR(INDEX(PP_Grid[#Data],$DE928,72),0)</f>
        <v/>
      </c>
      <c r="BX928">
        <f>IFERROR(INDEX(PP_Grid[#Data],$DE928,73),0)</f>
        <v/>
      </c>
      <c r="BY928">
        <f>IFERROR(INDEX(PP_Grid[#Data],$DE928,74),0)</f>
        <v/>
      </c>
      <c r="BZ928">
        <f>IFERROR(INDEX(PP_Grid[#Data],$DE928,75),0)</f>
        <v/>
      </c>
      <c r="CA928">
        <f>IFERROR(INDEX(PP_Grid[#Data],$DE928,76),0)</f>
        <v/>
      </c>
      <c r="CB928">
        <f>IFERROR(INDEX(PP_Grid[#Data],$DE928,77),0)</f>
        <v/>
      </c>
      <c r="CC928">
        <f>IFERROR(INDEX(PP_Grid[#Data],$DE928,78),0)</f>
        <v/>
      </c>
      <c r="CD928">
        <f>IFERROR(INDEX(PP_Grid[#Data],$DE928,79),0)</f>
        <v/>
      </c>
      <c r="CE928">
        <f>IFERROR(INDEX(PP_Grid[#Data],$DE928,80),0)</f>
        <v/>
      </c>
      <c r="CF928">
        <f>IFERROR(INDEX(PP_Grid[#Data],$DE928,81),0)</f>
        <v/>
      </c>
      <c r="CG928">
        <f>IFERROR(INDEX(PP_Grid[#Data],$DE928,82),0)</f>
        <v/>
      </c>
      <c r="CH928">
        <f>IFERROR(INDEX(PP_Grid[#Data],$DE928,83),0)</f>
        <v/>
      </c>
      <c r="CI928">
        <f>IFERROR(INDEX(PP_Grid[#Data],$DE928,84),0)</f>
        <v/>
      </c>
      <c r="CJ928">
        <f>IFERROR(INDEX(PP_Grid[#Data],$DE928,85),0)</f>
        <v/>
      </c>
      <c r="CK928">
        <f>IFERROR(INDEX(PP_Grid[#Data],$DE928,86),0)</f>
        <v/>
      </c>
      <c r="CL928">
        <f>IFERROR(INDEX(PP_Grid[#Data],$DE928,87),0)</f>
        <v/>
      </c>
      <c r="CM928">
        <f>IFERROR(INDEX(PP_Grid[#Data],$DE928,88),0)</f>
        <v/>
      </c>
      <c r="CN928">
        <f>IFERROR(INDEX(PP_Grid[#Data],$DE928,89),0)</f>
        <v/>
      </c>
      <c r="CO928">
        <f>IFERROR(INDEX(PP_Grid[#Data],$DE928,90),0)</f>
        <v/>
      </c>
      <c r="CP928">
        <f>IFERROR(INDEX(PP_Grid[#Data],$DE928,91),0)</f>
        <v/>
      </c>
      <c r="CQ928">
        <f>IFERROR(INDEX(PP_Grid[#Data],$DE928,92),0)</f>
        <v/>
      </c>
      <c r="CR928">
        <f>IFERROR(INDEX(PP_Grid[#Data],$DE928,93),0)</f>
        <v/>
      </c>
      <c r="CS928">
        <f>IFERROR(INDEX(PP_Grid[#Data],$DE928,94),0)</f>
        <v/>
      </c>
      <c r="CT928">
        <f>IFERROR(INDEX(PP_Grid[#Data],$DE928,95),0)</f>
        <v/>
      </c>
      <c r="CU928">
        <f>IFERROR(INDEX(PP_Grid[#Data],$DE928,96),0)</f>
        <v/>
      </c>
      <c r="CV928">
        <f>IFERROR(INDEX(PP_Grid[#Data],$DE928,97),0)</f>
        <v/>
      </c>
      <c r="CW928">
        <f>IFERROR(INDEX(PP_Grid[#Data],$DE928,98),0)</f>
        <v/>
      </c>
      <c r="CX928">
        <f>IFERROR(INDEX(PP_Grid[#Data],$DE928,99),0)</f>
        <v/>
      </c>
      <c r="CY928">
        <f>IFERROR(INDEX(PP_Grid[#Data],$DE928,100),0)</f>
        <v/>
      </c>
      <c r="CZ928">
        <f>IFERROR(INDEX(PP_Grid[#Data],$DE928,101),0)</f>
        <v/>
      </c>
      <c r="DA928">
        <f>IFERROR(INDEX(PP_Grid[#Data],$DE928,102),0)</f>
        <v/>
      </c>
      <c r="DB928">
        <f>IFERROR(INDEX(PP_Grid[#Data],$DE928,103),0)</f>
        <v/>
      </c>
      <c r="DC928">
        <f>IFERROR(INDEX(PP_Grid[#Data],$DE928,104),0)</f>
        <v/>
      </c>
      <c r="DD928">
        <f>IFERROR(INDEX(PP_Grid[#Data],$DE928,105),0)</f>
        <v/>
      </c>
      <c r="DE928" s="7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SUMIFS(M_BOM[RM_Qty_Per_Batch],M_BOM[Intermediate],$B928,M_BOM[RM_Code],$A923)</f>
        <v/>
      </c>
      <c r="D929">
        <f>IFERROR(INDEX(E929:DD929,$F$1),"")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  <c r="DD929">
        <f>$C929*DD928</f>
        <v/>
      </c>
    </row>
    <row r="930">
      <c r="B930" t="inlineStr">
        <is>
          <t>VSP-600</t>
        </is>
      </c>
      <c r="C930" t="inlineStr">
        <is>
          <t>No. of batches</t>
        </is>
      </c>
      <c r="D930">
        <f>IFERROR(INDEX(E930:DD930,$F$1),"")</f>
        <v/>
      </c>
      <c r="E930">
        <f>IFERROR(INDEX(PP_Grid[#Data],$DE930,2),0)</f>
        <v/>
      </c>
      <c r="F930">
        <f>IFERROR(INDEX(PP_Grid[#Data],$DE930,3),0)</f>
        <v/>
      </c>
      <c r="G930">
        <f>IFERROR(INDEX(PP_Grid[#Data],$DE930,4),0)</f>
        <v/>
      </c>
      <c r="H930">
        <f>IFERROR(INDEX(PP_Grid[#Data],$DE930,5),0)</f>
        <v/>
      </c>
      <c r="I930">
        <f>IFERROR(INDEX(PP_Grid[#Data],$DE930,6),0)</f>
        <v/>
      </c>
      <c r="J930">
        <f>IFERROR(INDEX(PP_Grid[#Data],$DE930,7),0)</f>
        <v/>
      </c>
      <c r="K930">
        <f>IFERROR(INDEX(PP_Grid[#Data],$DE930,8),0)</f>
        <v/>
      </c>
      <c r="L930">
        <f>IFERROR(INDEX(PP_Grid[#Data],$DE930,9),0)</f>
        <v/>
      </c>
      <c r="M930">
        <f>IFERROR(INDEX(PP_Grid[#Data],$DE930,10),0)</f>
        <v/>
      </c>
      <c r="N930">
        <f>IFERROR(INDEX(PP_Grid[#Data],$DE930,11),0)</f>
        <v/>
      </c>
      <c r="O930">
        <f>IFERROR(INDEX(PP_Grid[#Data],$DE930,12),0)</f>
        <v/>
      </c>
      <c r="P930">
        <f>IFERROR(INDEX(PP_Grid[#Data],$DE930,13),0)</f>
        <v/>
      </c>
      <c r="Q930">
        <f>IFERROR(INDEX(PP_Grid[#Data],$DE930,14),0)</f>
        <v/>
      </c>
      <c r="R930">
        <f>IFERROR(INDEX(PP_Grid[#Data],$DE930,15),0)</f>
        <v/>
      </c>
      <c r="S930">
        <f>IFERROR(INDEX(PP_Grid[#Data],$DE930,16),0)</f>
        <v/>
      </c>
      <c r="T930">
        <f>IFERROR(INDEX(PP_Grid[#Data],$DE930,17),0)</f>
        <v/>
      </c>
      <c r="U930">
        <f>IFERROR(INDEX(PP_Grid[#Data],$DE930,18),0)</f>
        <v/>
      </c>
      <c r="V930">
        <f>IFERROR(INDEX(PP_Grid[#Data],$DE930,19),0)</f>
        <v/>
      </c>
      <c r="W930">
        <f>IFERROR(INDEX(PP_Grid[#Data],$DE930,20),0)</f>
        <v/>
      </c>
      <c r="X930">
        <f>IFERROR(INDEX(PP_Grid[#Data],$DE930,21),0)</f>
        <v/>
      </c>
      <c r="Y930">
        <f>IFERROR(INDEX(PP_Grid[#Data],$DE930,22),0)</f>
        <v/>
      </c>
      <c r="Z930">
        <f>IFERROR(INDEX(PP_Grid[#Data],$DE930,23),0)</f>
        <v/>
      </c>
      <c r="AA930">
        <f>IFERROR(INDEX(PP_Grid[#Data],$DE930,24),0)</f>
        <v/>
      </c>
      <c r="AB930">
        <f>IFERROR(INDEX(PP_Grid[#Data],$DE930,25),0)</f>
        <v/>
      </c>
      <c r="AC930">
        <f>IFERROR(INDEX(PP_Grid[#Data],$DE930,26),0)</f>
        <v/>
      </c>
      <c r="AD930">
        <f>IFERROR(INDEX(PP_Grid[#Data],$DE930,27),0)</f>
        <v/>
      </c>
      <c r="AE930">
        <f>IFERROR(INDEX(PP_Grid[#Data],$DE930,28),0)</f>
        <v/>
      </c>
      <c r="AF930">
        <f>IFERROR(INDEX(PP_Grid[#Data],$DE930,29),0)</f>
        <v/>
      </c>
      <c r="AG930">
        <f>IFERROR(INDEX(PP_Grid[#Data],$DE930,30),0)</f>
        <v/>
      </c>
      <c r="AH930">
        <f>IFERROR(INDEX(PP_Grid[#Data],$DE930,31),0)</f>
        <v/>
      </c>
      <c r="AI930">
        <f>IFERROR(INDEX(PP_Grid[#Data],$DE930,32),0)</f>
        <v/>
      </c>
      <c r="AJ930">
        <f>IFERROR(INDEX(PP_Grid[#Data],$DE930,33),0)</f>
        <v/>
      </c>
      <c r="AK930">
        <f>IFERROR(INDEX(PP_Grid[#Data],$DE930,34),0)</f>
        <v/>
      </c>
      <c r="AL930">
        <f>IFERROR(INDEX(PP_Grid[#Data],$DE930,35),0)</f>
        <v/>
      </c>
      <c r="AM930">
        <f>IFERROR(INDEX(PP_Grid[#Data],$DE930,36),0)</f>
        <v/>
      </c>
      <c r="AN930">
        <f>IFERROR(INDEX(PP_Grid[#Data],$DE930,37),0)</f>
        <v/>
      </c>
      <c r="AO930">
        <f>IFERROR(INDEX(PP_Grid[#Data],$DE930,38),0)</f>
        <v/>
      </c>
      <c r="AP930">
        <f>IFERROR(INDEX(PP_Grid[#Data],$DE930,39),0)</f>
        <v/>
      </c>
      <c r="AQ930">
        <f>IFERROR(INDEX(PP_Grid[#Data],$DE930,40),0)</f>
        <v/>
      </c>
      <c r="AR930">
        <f>IFERROR(INDEX(PP_Grid[#Data],$DE930,41),0)</f>
        <v/>
      </c>
      <c r="AS930">
        <f>IFERROR(INDEX(PP_Grid[#Data],$DE930,42),0)</f>
        <v/>
      </c>
      <c r="AT930">
        <f>IFERROR(INDEX(PP_Grid[#Data],$DE930,43),0)</f>
        <v/>
      </c>
      <c r="AU930">
        <f>IFERROR(INDEX(PP_Grid[#Data],$DE930,44),0)</f>
        <v/>
      </c>
      <c r="AV930">
        <f>IFERROR(INDEX(PP_Grid[#Data],$DE930,45),0)</f>
        <v/>
      </c>
      <c r="AW930">
        <f>IFERROR(INDEX(PP_Grid[#Data],$DE930,46),0)</f>
        <v/>
      </c>
      <c r="AX930">
        <f>IFERROR(INDEX(PP_Grid[#Data],$DE930,47),0)</f>
        <v/>
      </c>
      <c r="AY930">
        <f>IFERROR(INDEX(PP_Grid[#Data],$DE930,48),0)</f>
        <v/>
      </c>
      <c r="AZ930">
        <f>IFERROR(INDEX(PP_Grid[#Data],$DE930,49),0)</f>
        <v/>
      </c>
      <c r="BA930">
        <f>IFERROR(INDEX(PP_Grid[#Data],$DE930,50),0)</f>
        <v/>
      </c>
      <c r="BB930">
        <f>IFERROR(INDEX(PP_Grid[#Data],$DE930,51),0)</f>
        <v/>
      </c>
      <c r="BC930">
        <f>IFERROR(INDEX(PP_Grid[#Data],$DE930,52),0)</f>
        <v/>
      </c>
      <c r="BD930">
        <f>IFERROR(INDEX(PP_Grid[#Data],$DE930,53),0)</f>
        <v/>
      </c>
      <c r="BE930">
        <f>IFERROR(INDEX(PP_Grid[#Data],$DE930,54),0)</f>
        <v/>
      </c>
      <c r="BF930">
        <f>IFERROR(INDEX(PP_Grid[#Data],$DE930,55),0)</f>
        <v/>
      </c>
      <c r="BG930">
        <f>IFERROR(INDEX(PP_Grid[#Data],$DE930,56),0)</f>
        <v/>
      </c>
      <c r="BH930">
        <f>IFERROR(INDEX(PP_Grid[#Data],$DE930,57),0)</f>
        <v/>
      </c>
      <c r="BI930">
        <f>IFERROR(INDEX(PP_Grid[#Data],$DE930,58),0)</f>
        <v/>
      </c>
      <c r="BJ930">
        <f>IFERROR(INDEX(PP_Grid[#Data],$DE930,59),0)</f>
        <v/>
      </c>
      <c r="BK930">
        <f>IFERROR(INDEX(PP_Grid[#Data],$DE930,60),0)</f>
        <v/>
      </c>
      <c r="BL930">
        <f>IFERROR(INDEX(PP_Grid[#Data],$DE930,61),0)</f>
        <v/>
      </c>
      <c r="BM930">
        <f>IFERROR(INDEX(PP_Grid[#Data],$DE930,62),0)</f>
        <v/>
      </c>
      <c r="BN930">
        <f>IFERROR(INDEX(PP_Grid[#Data],$DE930,63),0)</f>
        <v/>
      </c>
      <c r="BO930">
        <f>IFERROR(INDEX(PP_Grid[#Data],$DE930,64),0)</f>
        <v/>
      </c>
      <c r="BP930">
        <f>IFERROR(INDEX(PP_Grid[#Data],$DE930,65),0)</f>
        <v/>
      </c>
      <c r="BQ930">
        <f>IFERROR(INDEX(PP_Grid[#Data],$DE930,66),0)</f>
        <v/>
      </c>
      <c r="BR930">
        <f>IFERROR(INDEX(PP_Grid[#Data],$DE930,67),0)</f>
        <v/>
      </c>
      <c r="BS930">
        <f>IFERROR(INDEX(PP_Grid[#Data],$DE930,68),0)</f>
        <v/>
      </c>
      <c r="BT930">
        <f>IFERROR(INDEX(PP_Grid[#Data],$DE930,69),0)</f>
        <v/>
      </c>
      <c r="BU930">
        <f>IFERROR(INDEX(PP_Grid[#Data],$DE930,70),0)</f>
        <v/>
      </c>
      <c r="BV930">
        <f>IFERROR(INDEX(PP_Grid[#Data],$DE930,71),0)</f>
        <v/>
      </c>
      <c r="BW930">
        <f>IFERROR(INDEX(PP_Grid[#Data],$DE930,72),0)</f>
        <v/>
      </c>
      <c r="BX930">
        <f>IFERROR(INDEX(PP_Grid[#Data],$DE930,73),0)</f>
        <v/>
      </c>
      <c r="BY930">
        <f>IFERROR(INDEX(PP_Grid[#Data],$DE930,74),0)</f>
        <v/>
      </c>
      <c r="BZ930">
        <f>IFERROR(INDEX(PP_Grid[#Data],$DE930,75),0)</f>
        <v/>
      </c>
      <c r="CA930">
        <f>IFERROR(INDEX(PP_Grid[#Data],$DE930,76),0)</f>
        <v/>
      </c>
      <c r="CB930">
        <f>IFERROR(INDEX(PP_Grid[#Data],$DE930,77),0)</f>
        <v/>
      </c>
      <c r="CC930">
        <f>IFERROR(INDEX(PP_Grid[#Data],$DE930,78),0)</f>
        <v/>
      </c>
      <c r="CD930">
        <f>IFERROR(INDEX(PP_Grid[#Data],$DE930,79),0)</f>
        <v/>
      </c>
      <c r="CE930">
        <f>IFERROR(INDEX(PP_Grid[#Data],$DE930,80),0)</f>
        <v/>
      </c>
      <c r="CF930">
        <f>IFERROR(INDEX(PP_Grid[#Data],$DE930,81),0)</f>
        <v/>
      </c>
      <c r="CG930">
        <f>IFERROR(INDEX(PP_Grid[#Data],$DE930,82),0)</f>
        <v/>
      </c>
      <c r="CH930">
        <f>IFERROR(INDEX(PP_Grid[#Data],$DE930,83),0)</f>
        <v/>
      </c>
      <c r="CI930">
        <f>IFERROR(INDEX(PP_Grid[#Data],$DE930,84),0)</f>
        <v/>
      </c>
      <c r="CJ930">
        <f>IFERROR(INDEX(PP_Grid[#Data],$DE930,85),0)</f>
        <v/>
      </c>
      <c r="CK930">
        <f>IFERROR(INDEX(PP_Grid[#Data],$DE930,86),0)</f>
        <v/>
      </c>
      <c r="CL930">
        <f>IFERROR(INDEX(PP_Grid[#Data],$DE930,87),0)</f>
        <v/>
      </c>
      <c r="CM930">
        <f>IFERROR(INDEX(PP_Grid[#Data],$DE930,88),0)</f>
        <v/>
      </c>
      <c r="CN930">
        <f>IFERROR(INDEX(PP_Grid[#Data],$DE930,89),0)</f>
        <v/>
      </c>
      <c r="CO930">
        <f>IFERROR(INDEX(PP_Grid[#Data],$DE930,90),0)</f>
        <v/>
      </c>
      <c r="CP930">
        <f>IFERROR(INDEX(PP_Grid[#Data],$DE930,91),0)</f>
        <v/>
      </c>
      <c r="CQ930">
        <f>IFERROR(INDEX(PP_Grid[#Data],$DE930,92),0)</f>
        <v/>
      </c>
      <c r="CR930">
        <f>IFERROR(INDEX(PP_Grid[#Data],$DE930,93),0)</f>
        <v/>
      </c>
      <c r="CS930">
        <f>IFERROR(INDEX(PP_Grid[#Data],$DE930,94),0)</f>
        <v/>
      </c>
      <c r="CT930">
        <f>IFERROR(INDEX(PP_Grid[#Data],$DE930,95),0)</f>
        <v/>
      </c>
      <c r="CU930">
        <f>IFERROR(INDEX(PP_Grid[#Data],$DE930,96),0)</f>
        <v/>
      </c>
      <c r="CV930">
        <f>IFERROR(INDEX(PP_Grid[#Data],$DE930,97),0)</f>
        <v/>
      </c>
      <c r="CW930">
        <f>IFERROR(INDEX(PP_Grid[#Data],$DE930,98),0)</f>
        <v/>
      </c>
      <c r="CX930">
        <f>IFERROR(INDEX(PP_Grid[#Data],$DE930,99),0)</f>
        <v/>
      </c>
      <c r="CY930">
        <f>IFERROR(INDEX(PP_Grid[#Data],$DE930,100),0)</f>
        <v/>
      </c>
      <c r="CZ930">
        <f>IFERROR(INDEX(PP_Grid[#Data],$DE930,101),0)</f>
        <v/>
      </c>
      <c r="DA930">
        <f>IFERROR(INDEX(PP_Grid[#Data],$DE930,102),0)</f>
        <v/>
      </c>
      <c r="DB930">
        <f>IFERROR(INDEX(PP_Grid[#Data],$DE930,103),0)</f>
        <v/>
      </c>
      <c r="DC930">
        <f>IFERROR(INDEX(PP_Grid[#Data],$DE930,104),0)</f>
        <v/>
      </c>
      <c r="DD930">
        <f>IFERROR(INDEX(PP_Grid[#Data],$DE930,105),0)</f>
        <v/>
      </c>
      <c r="DE930" s="7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SUMIFS(M_BOM[RM_Qty_Per_Batch],M_BOM[Intermediate],$B930,M_BOM[RM_Code],$A923)</f>
        <v/>
      </c>
      <c r="D931">
        <f>IFERROR(INDEX(E931:DD931,$F$1),"")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  <c r="DD931">
        <f>$C931*DD930</f>
        <v/>
      </c>
    </row>
    <row r="932">
      <c r="B932" t="inlineStr">
        <is>
          <t>VSP-601</t>
        </is>
      </c>
      <c r="C932" t="inlineStr">
        <is>
          <t>No. of batches</t>
        </is>
      </c>
      <c r="D932">
        <f>IFERROR(INDEX(E932:DD932,$F$1),"")</f>
        <v/>
      </c>
      <c r="E932">
        <f>IFERROR(INDEX(PP_Grid[#Data],$DE932,2),0)</f>
        <v/>
      </c>
      <c r="F932">
        <f>IFERROR(INDEX(PP_Grid[#Data],$DE932,3),0)</f>
        <v/>
      </c>
      <c r="G932">
        <f>IFERROR(INDEX(PP_Grid[#Data],$DE932,4),0)</f>
        <v/>
      </c>
      <c r="H932">
        <f>IFERROR(INDEX(PP_Grid[#Data],$DE932,5),0)</f>
        <v/>
      </c>
      <c r="I932">
        <f>IFERROR(INDEX(PP_Grid[#Data],$DE932,6),0)</f>
        <v/>
      </c>
      <c r="J932">
        <f>IFERROR(INDEX(PP_Grid[#Data],$DE932,7),0)</f>
        <v/>
      </c>
      <c r="K932">
        <f>IFERROR(INDEX(PP_Grid[#Data],$DE932,8),0)</f>
        <v/>
      </c>
      <c r="L932">
        <f>IFERROR(INDEX(PP_Grid[#Data],$DE932,9),0)</f>
        <v/>
      </c>
      <c r="M932">
        <f>IFERROR(INDEX(PP_Grid[#Data],$DE932,10),0)</f>
        <v/>
      </c>
      <c r="N932">
        <f>IFERROR(INDEX(PP_Grid[#Data],$DE932,11),0)</f>
        <v/>
      </c>
      <c r="O932">
        <f>IFERROR(INDEX(PP_Grid[#Data],$DE932,12),0)</f>
        <v/>
      </c>
      <c r="P932">
        <f>IFERROR(INDEX(PP_Grid[#Data],$DE932,13),0)</f>
        <v/>
      </c>
      <c r="Q932">
        <f>IFERROR(INDEX(PP_Grid[#Data],$DE932,14),0)</f>
        <v/>
      </c>
      <c r="R932">
        <f>IFERROR(INDEX(PP_Grid[#Data],$DE932,15),0)</f>
        <v/>
      </c>
      <c r="S932">
        <f>IFERROR(INDEX(PP_Grid[#Data],$DE932,16),0)</f>
        <v/>
      </c>
      <c r="T932">
        <f>IFERROR(INDEX(PP_Grid[#Data],$DE932,17),0)</f>
        <v/>
      </c>
      <c r="U932">
        <f>IFERROR(INDEX(PP_Grid[#Data],$DE932,18),0)</f>
        <v/>
      </c>
      <c r="V932">
        <f>IFERROR(INDEX(PP_Grid[#Data],$DE932,19),0)</f>
        <v/>
      </c>
      <c r="W932">
        <f>IFERROR(INDEX(PP_Grid[#Data],$DE932,20),0)</f>
        <v/>
      </c>
      <c r="X932">
        <f>IFERROR(INDEX(PP_Grid[#Data],$DE932,21),0)</f>
        <v/>
      </c>
      <c r="Y932">
        <f>IFERROR(INDEX(PP_Grid[#Data],$DE932,22),0)</f>
        <v/>
      </c>
      <c r="Z932">
        <f>IFERROR(INDEX(PP_Grid[#Data],$DE932,23),0)</f>
        <v/>
      </c>
      <c r="AA932">
        <f>IFERROR(INDEX(PP_Grid[#Data],$DE932,24),0)</f>
        <v/>
      </c>
      <c r="AB932">
        <f>IFERROR(INDEX(PP_Grid[#Data],$DE932,25),0)</f>
        <v/>
      </c>
      <c r="AC932">
        <f>IFERROR(INDEX(PP_Grid[#Data],$DE932,26),0)</f>
        <v/>
      </c>
      <c r="AD932">
        <f>IFERROR(INDEX(PP_Grid[#Data],$DE932,27),0)</f>
        <v/>
      </c>
      <c r="AE932">
        <f>IFERROR(INDEX(PP_Grid[#Data],$DE932,28),0)</f>
        <v/>
      </c>
      <c r="AF932">
        <f>IFERROR(INDEX(PP_Grid[#Data],$DE932,29),0)</f>
        <v/>
      </c>
      <c r="AG932">
        <f>IFERROR(INDEX(PP_Grid[#Data],$DE932,30),0)</f>
        <v/>
      </c>
      <c r="AH932">
        <f>IFERROR(INDEX(PP_Grid[#Data],$DE932,31),0)</f>
        <v/>
      </c>
      <c r="AI932">
        <f>IFERROR(INDEX(PP_Grid[#Data],$DE932,32),0)</f>
        <v/>
      </c>
      <c r="AJ932">
        <f>IFERROR(INDEX(PP_Grid[#Data],$DE932,33),0)</f>
        <v/>
      </c>
      <c r="AK932">
        <f>IFERROR(INDEX(PP_Grid[#Data],$DE932,34),0)</f>
        <v/>
      </c>
      <c r="AL932">
        <f>IFERROR(INDEX(PP_Grid[#Data],$DE932,35),0)</f>
        <v/>
      </c>
      <c r="AM932">
        <f>IFERROR(INDEX(PP_Grid[#Data],$DE932,36),0)</f>
        <v/>
      </c>
      <c r="AN932">
        <f>IFERROR(INDEX(PP_Grid[#Data],$DE932,37),0)</f>
        <v/>
      </c>
      <c r="AO932">
        <f>IFERROR(INDEX(PP_Grid[#Data],$DE932,38),0)</f>
        <v/>
      </c>
      <c r="AP932">
        <f>IFERROR(INDEX(PP_Grid[#Data],$DE932,39),0)</f>
        <v/>
      </c>
      <c r="AQ932">
        <f>IFERROR(INDEX(PP_Grid[#Data],$DE932,40),0)</f>
        <v/>
      </c>
      <c r="AR932">
        <f>IFERROR(INDEX(PP_Grid[#Data],$DE932,41),0)</f>
        <v/>
      </c>
      <c r="AS932">
        <f>IFERROR(INDEX(PP_Grid[#Data],$DE932,42),0)</f>
        <v/>
      </c>
      <c r="AT932">
        <f>IFERROR(INDEX(PP_Grid[#Data],$DE932,43),0)</f>
        <v/>
      </c>
      <c r="AU932">
        <f>IFERROR(INDEX(PP_Grid[#Data],$DE932,44),0)</f>
        <v/>
      </c>
      <c r="AV932">
        <f>IFERROR(INDEX(PP_Grid[#Data],$DE932,45),0)</f>
        <v/>
      </c>
      <c r="AW932">
        <f>IFERROR(INDEX(PP_Grid[#Data],$DE932,46),0)</f>
        <v/>
      </c>
      <c r="AX932">
        <f>IFERROR(INDEX(PP_Grid[#Data],$DE932,47),0)</f>
        <v/>
      </c>
      <c r="AY932">
        <f>IFERROR(INDEX(PP_Grid[#Data],$DE932,48),0)</f>
        <v/>
      </c>
      <c r="AZ932">
        <f>IFERROR(INDEX(PP_Grid[#Data],$DE932,49),0)</f>
        <v/>
      </c>
      <c r="BA932">
        <f>IFERROR(INDEX(PP_Grid[#Data],$DE932,50),0)</f>
        <v/>
      </c>
      <c r="BB932">
        <f>IFERROR(INDEX(PP_Grid[#Data],$DE932,51),0)</f>
        <v/>
      </c>
      <c r="BC932">
        <f>IFERROR(INDEX(PP_Grid[#Data],$DE932,52),0)</f>
        <v/>
      </c>
      <c r="BD932">
        <f>IFERROR(INDEX(PP_Grid[#Data],$DE932,53),0)</f>
        <v/>
      </c>
      <c r="BE932">
        <f>IFERROR(INDEX(PP_Grid[#Data],$DE932,54),0)</f>
        <v/>
      </c>
      <c r="BF932">
        <f>IFERROR(INDEX(PP_Grid[#Data],$DE932,55),0)</f>
        <v/>
      </c>
      <c r="BG932">
        <f>IFERROR(INDEX(PP_Grid[#Data],$DE932,56),0)</f>
        <v/>
      </c>
      <c r="BH932">
        <f>IFERROR(INDEX(PP_Grid[#Data],$DE932,57),0)</f>
        <v/>
      </c>
      <c r="BI932">
        <f>IFERROR(INDEX(PP_Grid[#Data],$DE932,58),0)</f>
        <v/>
      </c>
      <c r="BJ932">
        <f>IFERROR(INDEX(PP_Grid[#Data],$DE932,59),0)</f>
        <v/>
      </c>
      <c r="BK932">
        <f>IFERROR(INDEX(PP_Grid[#Data],$DE932,60),0)</f>
        <v/>
      </c>
      <c r="BL932">
        <f>IFERROR(INDEX(PP_Grid[#Data],$DE932,61),0)</f>
        <v/>
      </c>
      <c r="BM932">
        <f>IFERROR(INDEX(PP_Grid[#Data],$DE932,62),0)</f>
        <v/>
      </c>
      <c r="BN932">
        <f>IFERROR(INDEX(PP_Grid[#Data],$DE932,63),0)</f>
        <v/>
      </c>
      <c r="BO932">
        <f>IFERROR(INDEX(PP_Grid[#Data],$DE932,64),0)</f>
        <v/>
      </c>
      <c r="BP932">
        <f>IFERROR(INDEX(PP_Grid[#Data],$DE932,65),0)</f>
        <v/>
      </c>
      <c r="BQ932">
        <f>IFERROR(INDEX(PP_Grid[#Data],$DE932,66),0)</f>
        <v/>
      </c>
      <c r="BR932">
        <f>IFERROR(INDEX(PP_Grid[#Data],$DE932,67),0)</f>
        <v/>
      </c>
      <c r="BS932">
        <f>IFERROR(INDEX(PP_Grid[#Data],$DE932,68),0)</f>
        <v/>
      </c>
      <c r="BT932">
        <f>IFERROR(INDEX(PP_Grid[#Data],$DE932,69),0)</f>
        <v/>
      </c>
      <c r="BU932">
        <f>IFERROR(INDEX(PP_Grid[#Data],$DE932,70),0)</f>
        <v/>
      </c>
      <c r="BV932">
        <f>IFERROR(INDEX(PP_Grid[#Data],$DE932,71),0)</f>
        <v/>
      </c>
      <c r="BW932">
        <f>IFERROR(INDEX(PP_Grid[#Data],$DE932,72),0)</f>
        <v/>
      </c>
      <c r="BX932">
        <f>IFERROR(INDEX(PP_Grid[#Data],$DE932,73),0)</f>
        <v/>
      </c>
      <c r="BY932">
        <f>IFERROR(INDEX(PP_Grid[#Data],$DE932,74),0)</f>
        <v/>
      </c>
      <c r="BZ932">
        <f>IFERROR(INDEX(PP_Grid[#Data],$DE932,75),0)</f>
        <v/>
      </c>
      <c r="CA932">
        <f>IFERROR(INDEX(PP_Grid[#Data],$DE932,76),0)</f>
        <v/>
      </c>
      <c r="CB932">
        <f>IFERROR(INDEX(PP_Grid[#Data],$DE932,77),0)</f>
        <v/>
      </c>
      <c r="CC932">
        <f>IFERROR(INDEX(PP_Grid[#Data],$DE932,78),0)</f>
        <v/>
      </c>
      <c r="CD932">
        <f>IFERROR(INDEX(PP_Grid[#Data],$DE932,79),0)</f>
        <v/>
      </c>
      <c r="CE932">
        <f>IFERROR(INDEX(PP_Grid[#Data],$DE932,80),0)</f>
        <v/>
      </c>
      <c r="CF932">
        <f>IFERROR(INDEX(PP_Grid[#Data],$DE932,81),0)</f>
        <v/>
      </c>
      <c r="CG932">
        <f>IFERROR(INDEX(PP_Grid[#Data],$DE932,82),0)</f>
        <v/>
      </c>
      <c r="CH932">
        <f>IFERROR(INDEX(PP_Grid[#Data],$DE932,83),0)</f>
        <v/>
      </c>
      <c r="CI932">
        <f>IFERROR(INDEX(PP_Grid[#Data],$DE932,84),0)</f>
        <v/>
      </c>
      <c r="CJ932">
        <f>IFERROR(INDEX(PP_Grid[#Data],$DE932,85),0)</f>
        <v/>
      </c>
      <c r="CK932">
        <f>IFERROR(INDEX(PP_Grid[#Data],$DE932,86),0)</f>
        <v/>
      </c>
      <c r="CL932">
        <f>IFERROR(INDEX(PP_Grid[#Data],$DE932,87),0)</f>
        <v/>
      </c>
      <c r="CM932">
        <f>IFERROR(INDEX(PP_Grid[#Data],$DE932,88),0)</f>
        <v/>
      </c>
      <c r="CN932">
        <f>IFERROR(INDEX(PP_Grid[#Data],$DE932,89),0)</f>
        <v/>
      </c>
      <c r="CO932">
        <f>IFERROR(INDEX(PP_Grid[#Data],$DE932,90),0)</f>
        <v/>
      </c>
      <c r="CP932">
        <f>IFERROR(INDEX(PP_Grid[#Data],$DE932,91),0)</f>
        <v/>
      </c>
      <c r="CQ932">
        <f>IFERROR(INDEX(PP_Grid[#Data],$DE932,92),0)</f>
        <v/>
      </c>
      <c r="CR932">
        <f>IFERROR(INDEX(PP_Grid[#Data],$DE932,93),0)</f>
        <v/>
      </c>
      <c r="CS932">
        <f>IFERROR(INDEX(PP_Grid[#Data],$DE932,94),0)</f>
        <v/>
      </c>
      <c r="CT932">
        <f>IFERROR(INDEX(PP_Grid[#Data],$DE932,95),0)</f>
        <v/>
      </c>
      <c r="CU932">
        <f>IFERROR(INDEX(PP_Grid[#Data],$DE932,96),0)</f>
        <v/>
      </c>
      <c r="CV932">
        <f>IFERROR(INDEX(PP_Grid[#Data],$DE932,97),0)</f>
        <v/>
      </c>
      <c r="CW932">
        <f>IFERROR(INDEX(PP_Grid[#Data],$DE932,98),0)</f>
        <v/>
      </c>
      <c r="CX932">
        <f>IFERROR(INDEX(PP_Grid[#Data],$DE932,99),0)</f>
        <v/>
      </c>
      <c r="CY932">
        <f>IFERROR(INDEX(PP_Grid[#Data],$DE932,100),0)</f>
        <v/>
      </c>
      <c r="CZ932">
        <f>IFERROR(INDEX(PP_Grid[#Data],$DE932,101),0)</f>
        <v/>
      </c>
      <c r="DA932">
        <f>IFERROR(INDEX(PP_Grid[#Data],$DE932,102),0)</f>
        <v/>
      </c>
      <c r="DB932">
        <f>IFERROR(INDEX(PP_Grid[#Data],$DE932,103),0)</f>
        <v/>
      </c>
      <c r="DC932">
        <f>IFERROR(INDEX(PP_Grid[#Data],$DE932,104),0)</f>
        <v/>
      </c>
      <c r="DD932">
        <f>IFERROR(INDEX(PP_Grid[#Data],$DE932,105),0)</f>
        <v/>
      </c>
      <c r="DE932" s="7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SUMIFS(M_BOM[RM_Qty_Per_Batch],M_BOM[Intermediate],$B932,M_BOM[RM_Code],$A923)</f>
        <v/>
      </c>
      <c r="D933">
        <f>IFERROR(INDEX(E933:DD933,$F$1),"")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  <c r="DD933">
        <f>$C933*DD932</f>
        <v/>
      </c>
    </row>
    <row r="934">
      <c r="B934" t="inlineStr">
        <is>
          <t>VSP-603</t>
        </is>
      </c>
      <c r="C934" t="inlineStr">
        <is>
          <t>No. of batches</t>
        </is>
      </c>
      <c r="D934">
        <f>IFERROR(INDEX(E934:DD934,$F$1),"")</f>
        <v/>
      </c>
      <c r="E934">
        <f>IFERROR(INDEX(PP_Grid[#Data],$DE934,2),0)</f>
        <v/>
      </c>
      <c r="F934">
        <f>IFERROR(INDEX(PP_Grid[#Data],$DE934,3),0)</f>
        <v/>
      </c>
      <c r="G934">
        <f>IFERROR(INDEX(PP_Grid[#Data],$DE934,4),0)</f>
        <v/>
      </c>
      <c r="H934">
        <f>IFERROR(INDEX(PP_Grid[#Data],$DE934,5),0)</f>
        <v/>
      </c>
      <c r="I934">
        <f>IFERROR(INDEX(PP_Grid[#Data],$DE934,6),0)</f>
        <v/>
      </c>
      <c r="J934">
        <f>IFERROR(INDEX(PP_Grid[#Data],$DE934,7),0)</f>
        <v/>
      </c>
      <c r="K934">
        <f>IFERROR(INDEX(PP_Grid[#Data],$DE934,8),0)</f>
        <v/>
      </c>
      <c r="L934">
        <f>IFERROR(INDEX(PP_Grid[#Data],$DE934,9),0)</f>
        <v/>
      </c>
      <c r="M934">
        <f>IFERROR(INDEX(PP_Grid[#Data],$DE934,10),0)</f>
        <v/>
      </c>
      <c r="N934">
        <f>IFERROR(INDEX(PP_Grid[#Data],$DE934,11),0)</f>
        <v/>
      </c>
      <c r="O934">
        <f>IFERROR(INDEX(PP_Grid[#Data],$DE934,12),0)</f>
        <v/>
      </c>
      <c r="P934">
        <f>IFERROR(INDEX(PP_Grid[#Data],$DE934,13),0)</f>
        <v/>
      </c>
      <c r="Q934">
        <f>IFERROR(INDEX(PP_Grid[#Data],$DE934,14),0)</f>
        <v/>
      </c>
      <c r="R934">
        <f>IFERROR(INDEX(PP_Grid[#Data],$DE934,15),0)</f>
        <v/>
      </c>
      <c r="S934">
        <f>IFERROR(INDEX(PP_Grid[#Data],$DE934,16),0)</f>
        <v/>
      </c>
      <c r="T934">
        <f>IFERROR(INDEX(PP_Grid[#Data],$DE934,17),0)</f>
        <v/>
      </c>
      <c r="U934">
        <f>IFERROR(INDEX(PP_Grid[#Data],$DE934,18),0)</f>
        <v/>
      </c>
      <c r="V934">
        <f>IFERROR(INDEX(PP_Grid[#Data],$DE934,19),0)</f>
        <v/>
      </c>
      <c r="W934">
        <f>IFERROR(INDEX(PP_Grid[#Data],$DE934,20),0)</f>
        <v/>
      </c>
      <c r="X934">
        <f>IFERROR(INDEX(PP_Grid[#Data],$DE934,21),0)</f>
        <v/>
      </c>
      <c r="Y934">
        <f>IFERROR(INDEX(PP_Grid[#Data],$DE934,22),0)</f>
        <v/>
      </c>
      <c r="Z934">
        <f>IFERROR(INDEX(PP_Grid[#Data],$DE934,23),0)</f>
        <v/>
      </c>
      <c r="AA934">
        <f>IFERROR(INDEX(PP_Grid[#Data],$DE934,24),0)</f>
        <v/>
      </c>
      <c r="AB934">
        <f>IFERROR(INDEX(PP_Grid[#Data],$DE934,25),0)</f>
        <v/>
      </c>
      <c r="AC934">
        <f>IFERROR(INDEX(PP_Grid[#Data],$DE934,26),0)</f>
        <v/>
      </c>
      <c r="AD934">
        <f>IFERROR(INDEX(PP_Grid[#Data],$DE934,27),0)</f>
        <v/>
      </c>
      <c r="AE934">
        <f>IFERROR(INDEX(PP_Grid[#Data],$DE934,28),0)</f>
        <v/>
      </c>
      <c r="AF934">
        <f>IFERROR(INDEX(PP_Grid[#Data],$DE934,29),0)</f>
        <v/>
      </c>
      <c r="AG934">
        <f>IFERROR(INDEX(PP_Grid[#Data],$DE934,30),0)</f>
        <v/>
      </c>
      <c r="AH934">
        <f>IFERROR(INDEX(PP_Grid[#Data],$DE934,31),0)</f>
        <v/>
      </c>
      <c r="AI934">
        <f>IFERROR(INDEX(PP_Grid[#Data],$DE934,32),0)</f>
        <v/>
      </c>
      <c r="AJ934">
        <f>IFERROR(INDEX(PP_Grid[#Data],$DE934,33),0)</f>
        <v/>
      </c>
      <c r="AK934">
        <f>IFERROR(INDEX(PP_Grid[#Data],$DE934,34),0)</f>
        <v/>
      </c>
      <c r="AL934">
        <f>IFERROR(INDEX(PP_Grid[#Data],$DE934,35),0)</f>
        <v/>
      </c>
      <c r="AM934">
        <f>IFERROR(INDEX(PP_Grid[#Data],$DE934,36),0)</f>
        <v/>
      </c>
      <c r="AN934">
        <f>IFERROR(INDEX(PP_Grid[#Data],$DE934,37),0)</f>
        <v/>
      </c>
      <c r="AO934">
        <f>IFERROR(INDEX(PP_Grid[#Data],$DE934,38),0)</f>
        <v/>
      </c>
      <c r="AP934">
        <f>IFERROR(INDEX(PP_Grid[#Data],$DE934,39),0)</f>
        <v/>
      </c>
      <c r="AQ934">
        <f>IFERROR(INDEX(PP_Grid[#Data],$DE934,40),0)</f>
        <v/>
      </c>
      <c r="AR934">
        <f>IFERROR(INDEX(PP_Grid[#Data],$DE934,41),0)</f>
        <v/>
      </c>
      <c r="AS934">
        <f>IFERROR(INDEX(PP_Grid[#Data],$DE934,42),0)</f>
        <v/>
      </c>
      <c r="AT934">
        <f>IFERROR(INDEX(PP_Grid[#Data],$DE934,43),0)</f>
        <v/>
      </c>
      <c r="AU934">
        <f>IFERROR(INDEX(PP_Grid[#Data],$DE934,44),0)</f>
        <v/>
      </c>
      <c r="AV934">
        <f>IFERROR(INDEX(PP_Grid[#Data],$DE934,45),0)</f>
        <v/>
      </c>
      <c r="AW934">
        <f>IFERROR(INDEX(PP_Grid[#Data],$DE934,46),0)</f>
        <v/>
      </c>
      <c r="AX934">
        <f>IFERROR(INDEX(PP_Grid[#Data],$DE934,47),0)</f>
        <v/>
      </c>
      <c r="AY934">
        <f>IFERROR(INDEX(PP_Grid[#Data],$DE934,48),0)</f>
        <v/>
      </c>
      <c r="AZ934">
        <f>IFERROR(INDEX(PP_Grid[#Data],$DE934,49),0)</f>
        <v/>
      </c>
      <c r="BA934">
        <f>IFERROR(INDEX(PP_Grid[#Data],$DE934,50),0)</f>
        <v/>
      </c>
      <c r="BB934">
        <f>IFERROR(INDEX(PP_Grid[#Data],$DE934,51),0)</f>
        <v/>
      </c>
      <c r="BC934">
        <f>IFERROR(INDEX(PP_Grid[#Data],$DE934,52),0)</f>
        <v/>
      </c>
      <c r="BD934">
        <f>IFERROR(INDEX(PP_Grid[#Data],$DE934,53),0)</f>
        <v/>
      </c>
      <c r="BE934">
        <f>IFERROR(INDEX(PP_Grid[#Data],$DE934,54),0)</f>
        <v/>
      </c>
      <c r="BF934">
        <f>IFERROR(INDEX(PP_Grid[#Data],$DE934,55),0)</f>
        <v/>
      </c>
      <c r="BG934">
        <f>IFERROR(INDEX(PP_Grid[#Data],$DE934,56),0)</f>
        <v/>
      </c>
      <c r="BH934">
        <f>IFERROR(INDEX(PP_Grid[#Data],$DE934,57),0)</f>
        <v/>
      </c>
      <c r="BI934">
        <f>IFERROR(INDEX(PP_Grid[#Data],$DE934,58),0)</f>
        <v/>
      </c>
      <c r="BJ934">
        <f>IFERROR(INDEX(PP_Grid[#Data],$DE934,59),0)</f>
        <v/>
      </c>
      <c r="BK934">
        <f>IFERROR(INDEX(PP_Grid[#Data],$DE934,60),0)</f>
        <v/>
      </c>
      <c r="BL934">
        <f>IFERROR(INDEX(PP_Grid[#Data],$DE934,61),0)</f>
        <v/>
      </c>
      <c r="BM934">
        <f>IFERROR(INDEX(PP_Grid[#Data],$DE934,62),0)</f>
        <v/>
      </c>
      <c r="BN934">
        <f>IFERROR(INDEX(PP_Grid[#Data],$DE934,63),0)</f>
        <v/>
      </c>
      <c r="BO934">
        <f>IFERROR(INDEX(PP_Grid[#Data],$DE934,64),0)</f>
        <v/>
      </c>
      <c r="BP934">
        <f>IFERROR(INDEX(PP_Grid[#Data],$DE934,65),0)</f>
        <v/>
      </c>
      <c r="BQ934">
        <f>IFERROR(INDEX(PP_Grid[#Data],$DE934,66),0)</f>
        <v/>
      </c>
      <c r="BR934">
        <f>IFERROR(INDEX(PP_Grid[#Data],$DE934,67),0)</f>
        <v/>
      </c>
      <c r="BS934">
        <f>IFERROR(INDEX(PP_Grid[#Data],$DE934,68),0)</f>
        <v/>
      </c>
      <c r="BT934">
        <f>IFERROR(INDEX(PP_Grid[#Data],$DE934,69),0)</f>
        <v/>
      </c>
      <c r="BU934">
        <f>IFERROR(INDEX(PP_Grid[#Data],$DE934,70),0)</f>
        <v/>
      </c>
      <c r="BV934">
        <f>IFERROR(INDEX(PP_Grid[#Data],$DE934,71),0)</f>
        <v/>
      </c>
      <c r="BW934">
        <f>IFERROR(INDEX(PP_Grid[#Data],$DE934,72),0)</f>
        <v/>
      </c>
      <c r="BX934">
        <f>IFERROR(INDEX(PP_Grid[#Data],$DE934,73),0)</f>
        <v/>
      </c>
      <c r="BY934">
        <f>IFERROR(INDEX(PP_Grid[#Data],$DE934,74),0)</f>
        <v/>
      </c>
      <c r="BZ934">
        <f>IFERROR(INDEX(PP_Grid[#Data],$DE934,75),0)</f>
        <v/>
      </c>
      <c r="CA934">
        <f>IFERROR(INDEX(PP_Grid[#Data],$DE934,76),0)</f>
        <v/>
      </c>
      <c r="CB934">
        <f>IFERROR(INDEX(PP_Grid[#Data],$DE934,77),0)</f>
        <v/>
      </c>
      <c r="CC934">
        <f>IFERROR(INDEX(PP_Grid[#Data],$DE934,78),0)</f>
        <v/>
      </c>
      <c r="CD934">
        <f>IFERROR(INDEX(PP_Grid[#Data],$DE934,79),0)</f>
        <v/>
      </c>
      <c r="CE934">
        <f>IFERROR(INDEX(PP_Grid[#Data],$DE934,80),0)</f>
        <v/>
      </c>
      <c r="CF934">
        <f>IFERROR(INDEX(PP_Grid[#Data],$DE934,81),0)</f>
        <v/>
      </c>
      <c r="CG934">
        <f>IFERROR(INDEX(PP_Grid[#Data],$DE934,82),0)</f>
        <v/>
      </c>
      <c r="CH934">
        <f>IFERROR(INDEX(PP_Grid[#Data],$DE934,83),0)</f>
        <v/>
      </c>
      <c r="CI934">
        <f>IFERROR(INDEX(PP_Grid[#Data],$DE934,84),0)</f>
        <v/>
      </c>
      <c r="CJ934">
        <f>IFERROR(INDEX(PP_Grid[#Data],$DE934,85),0)</f>
        <v/>
      </c>
      <c r="CK934">
        <f>IFERROR(INDEX(PP_Grid[#Data],$DE934,86),0)</f>
        <v/>
      </c>
      <c r="CL934">
        <f>IFERROR(INDEX(PP_Grid[#Data],$DE934,87),0)</f>
        <v/>
      </c>
      <c r="CM934">
        <f>IFERROR(INDEX(PP_Grid[#Data],$DE934,88),0)</f>
        <v/>
      </c>
      <c r="CN934">
        <f>IFERROR(INDEX(PP_Grid[#Data],$DE934,89),0)</f>
        <v/>
      </c>
      <c r="CO934">
        <f>IFERROR(INDEX(PP_Grid[#Data],$DE934,90),0)</f>
        <v/>
      </c>
      <c r="CP934">
        <f>IFERROR(INDEX(PP_Grid[#Data],$DE934,91),0)</f>
        <v/>
      </c>
      <c r="CQ934">
        <f>IFERROR(INDEX(PP_Grid[#Data],$DE934,92),0)</f>
        <v/>
      </c>
      <c r="CR934">
        <f>IFERROR(INDEX(PP_Grid[#Data],$DE934,93),0)</f>
        <v/>
      </c>
      <c r="CS934">
        <f>IFERROR(INDEX(PP_Grid[#Data],$DE934,94),0)</f>
        <v/>
      </c>
      <c r="CT934">
        <f>IFERROR(INDEX(PP_Grid[#Data],$DE934,95),0)</f>
        <v/>
      </c>
      <c r="CU934">
        <f>IFERROR(INDEX(PP_Grid[#Data],$DE934,96),0)</f>
        <v/>
      </c>
      <c r="CV934">
        <f>IFERROR(INDEX(PP_Grid[#Data],$DE934,97),0)</f>
        <v/>
      </c>
      <c r="CW934">
        <f>IFERROR(INDEX(PP_Grid[#Data],$DE934,98),0)</f>
        <v/>
      </c>
      <c r="CX934">
        <f>IFERROR(INDEX(PP_Grid[#Data],$DE934,99),0)</f>
        <v/>
      </c>
      <c r="CY934">
        <f>IFERROR(INDEX(PP_Grid[#Data],$DE934,100),0)</f>
        <v/>
      </c>
      <c r="CZ934">
        <f>IFERROR(INDEX(PP_Grid[#Data],$DE934,101),0)</f>
        <v/>
      </c>
      <c r="DA934">
        <f>IFERROR(INDEX(PP_Grid[#Data],$DE934,102),0)</f>
        <v/>
      </c>
      <c r="DB934">
        <f>IFERROR(INDEX(PP_Grid[#Data],$DE934,103),0)</f>
        <v/>
      </c>
      <c r="DC934">
        <f>IFERROR(INDEX(PP_Grid[#Data],$DE934,104),0)</f>
        <v/>
      </c>
      <c r="DD934">
        <f>IFERROR(INDEX(PP_Grid[#Data],$DE934,105),0)</f>
        <v/>
      </c>
      <c r="DE934" s="7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SUMIFS(M_BOM[RM_Qty_Per_Batch],M_BOM[Intermediate],$B934,M_BOM[RM_Code],$A923)</f>
        <v/>
      </c>
      <c r="D935">
        <f>IFERROR(INDEX(E935:DD935,$F$1),"")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  <c r="DD935">
        <f>$C935*DD934</f>
        <v/>
      </c>
    </row>
    <row r="936">
      <c r="B936" t="inlineStr">
        <is>
          <t>VSP-604</t>
        </is>
      </c>
      <c r="C936" t="inlineStr">
        <is>
          <t>No. of batches</t>
        </is>
      </c>
      <c r="D936">
        <f>IFERROR(INDEX(E936:DD936,$F$1),"")</f>
        <v/>
      </c>
      <c r="E936">
        <f>IFERROR(INDEX(PP_Grid[#Data],$DE936,2),0)</f>
        <v/>
      </c>
      <c r="F936">
        <f>IFERROR(INDEX(PP_Grid[#Data],$DE936,3),0)</f>
        <v/>
      </c>
      <c r="G936">
        <f>IFERROR(INDEX(PP_Grid[#Data],$DE936,4),0)</f>
        <v/>
      </c>
      <c r="H936">
        <f>IFERROR(INDEX(PP_Grid[#Data],$DE936,5),0)</f>
        <v/>
      </c>
      <c r="I936">
        <f>IFERROR(INDEX(PP_Grid[#Data],$DE936,6),0)</f>
        <v/>
      </c>
      <c r="J936">
        <f>IFERROR(INDEX(PP_Grid[#Data],$DE936,7),0)</f>
        <v/>
      </c>
      <c r="K936">
        <f>IFERROR(INDEX(PP_Grid[#Data],$DE936,8),0)</f>
        <v/>
      </c>
      <c r="L936">
        <f>IFERROR(INDEX(PP_Grid[#Data],$DE936,9),0)</f>
        <v/>
      </c>
      <c r="M936">
        <f>IFERROR(INDEX(PP_Grid[#Data],$DE936,10),0)</f>
        <v/>
      </c>
      <c r="N936">
        <f>IFERROR(INDEX(PP_Grid[#Data],$DE936,11),0)</f>
        <v/>
      </c>
      <c r="O936">
        <f>IFERROR(INDEX(PP_Grid[#Data],$DE936,12),0)</f>
        <v/>
      </c>
      <c r="P936">
        <f>IFERROR(INDEX(PP_Grid[#Data],$DE936,13),0)</f>
        <v/>
      </c>
      <c r="Q936">
        <f>IFERROR(INDEX(PP_Grid[#Data],$DE936,14),0)</f>
        <v/>
      </c>
      <c r="R936">
        <f>IFERROR(INDEX(PP_Grid[#Data],$DE936,15),0)</f>
        <v/>
      </c>
      <c r="S936">
        <f>IFERROR(INDEX(PP_Grid[#Data],$DE936,16),0)</f>
        <v/>
      </c>
      <c r="T936">
        <f>IFERROR(INDEX(PP_Grid[#Data],$DE936,17),0)</f>
        <v/>
      </c>
      <c r="U936">
        <f>IFERROR(INDEX(PP_Grid[#Data],$DE936,18),0)</f>
        <v/>
      </c>
      <c r="V936">
        <f>IFERROR(INDEX(PP_Grid[#Data],$DE936,19),0)</f>
        <v/>
      </c>
      <c r="W936">
        <f>IFERROR(INDEX(PP_Grid[#Data],$DE936,20),0)</f>
        <v/>
      </c>
      <c r="X936">
        <f>IFERROR(INDEX(PP_Grid[#Data],$DE936,21),0)</f>
        <v/>
      </c>
      <c r="Y936">
        <f>IFERROR(INDEX(PP_Grid[#Data],$DE936,22),0)</f>
        <v/>
      </c>
      <c r="Z936">
        <f>IFERROR(INDEX(PP_Grid[#Data],$DE936,23),0)</f>
        <v/>
      </c>
      <c r="AA936">
        <f>IFERROR(INDEX(PP_Grid[#Data],$DE936,24),0)</f>
        <v/>
      </c>
      <c r="AB936">
        <f>IFERROR(INDEX(PP_Grid[#Data],$DE936,25),0)</f>
        <v/>
      </c>
      <c r="AC936">
        <f>IFERROR(INDEX(PP_Grid[#Data],$DE936,26),0)</f>
        <v/>
      </c>
      <c r="AD936">
        <f>IFERROR(INDEX(PP_Grid[#Data],$DE936,27),0)</f>
        <v/>
      </c>
      <c r="AE936">
        <f>IFERROR(INDEX(PP_Grid[#Data],$DE936,28),0)</f>
        <v/>
      </c>
      <c r="AF936">
        <f>IFERROR(INDEX(PP_Grid[#Data],$DE936,29),0)</f>
        <v/>
      </c>
      <c r="AG936">
        <f>IFERROR(INDEX(PP_Grid[#Data],$DE936,30),0)</f>
        <v/>
      </c>
      <c r="AH936">
        <f>IFERROR(INDEX(PP_Grid[#Data],$DE936,31),0)</f>
        <v/>
      </c>
      <c r="AI936">
        <f>IFERROR(INDEX(PP_Grid[#Data],$DE936,32),0)</f>
        <v/>
      </c>
      <c r="AJ936">
        <f>IFERROR(INDEX(PP_Grid[#Data],$DE936,33),0)</f>
        <v/>
      </c>
      <c r="AK936">
        <f>IFERROR(INDEX(PP_Grid[#Data],$DE936,34),0)</f>
        <v/>
      </c>
      <c r="AL936">
        <f>IFERROR(INDEX(PP_Grid[#Data],$DE936,35),0)</f>
        <v/>
      </c>
      <c r="AM936">
        <f>IFERROR(INDEX(PP_Grid[#Data],$DE936,36),0)</f>
        <v/>
      </c>
      <c r="AN936">
        <f>IFERROR(INDEX(PP_Grid[#Data],$DE936,37),0)</f>
        <v/>
      </c>
      <c r="AO936">
        <f>IFERROR(INDEX(PP_Grid[#Data],$DE936,38),0)</f>
        <v/>
      </c>
      <c r="AP936">
        <f>IFERROR(INDEX(PP_Grid[#Data],$DE936,39),0)</f>
        <v/>
      </c>
      <c r="AQ936">
        <f>IFERROR(INDEX(PP_Grid[#Data],$DE936,40),0)</f>
        <v/>
      </c>
      <c r="AR936">
        <f>IFERROR(INDEX(PP_Grid[#Data],$DE936,41),0)</f>
        <v/>
      </c>
      <c r="AS936">
        <f>IFERROR(INDEX(PP_Grid[#Data],$DE936,42),0)</f>
        <v/>
      </c>
      <c r="AT936">
        <f>IFERROR(INDEX(PP_Grid[#Data],$DE936,43),0)</f>
        <v/>
      </c>
      <c r="AU936">
        <f>IFERROR(INDEX(PP_Grid[#Data],$DE936,44),0)</f>
        <v/>
      </c>
      <c r="AV936">
        <f>IFERROR(INDEX(PP_Grid[#Data],$DE936,45),0)</f>
        <v/>
      </c>
      <c r="AW936">
        <f>IFERROR(INDEX(PP_Grid[#Data],$DE936,46),0)</f>
        <v/>
      </c>
      <c r="AX936">
        <f>IFERROR(INDEX(PP_Grid[#Data],$DE936,47),0)</f>
        <v/>
      </c>
      <c r="AY936">
        <f>IFERROR(INDEX(PP_Grid[#Data],$DE936,48),0)</f>
        <v/>
      </c>
      <c r="AZ936">
        <f>IFERROR(INDEX(PP_Grid[#Data],$DE936,49),0)</f>
        <v/>
      </c>
      <c r="BA936">
        <f>IFERROR(INDEX(PP_Grid[#Data],$DE936,50),0)</f>
        <v/>
      </c>
      <c r="BB936">
        <f>IFERROR(INDEX(PP_Grid[#Data],$DE936,51),0)</f>
        <v/>
      </c>
      <c r="BC936">
        <f>IFERROR(INDEX(PP_Grid[#Data],$DE936,52),0)</f>
        <v/>
      </c>
      <c r="BD936">
        <f>IFERROR(INDEX(PP_Grid[#Data],$DE936,53),0)</f>
        <v/>
      </c>
      <c r="BE936">
        <f>IFERROR(INDEX(PP_Grid[#Data],$DE936,54),0)</f>
        <v/>
      </c>
      <c r="BF936">
        <f>IFERROR(INDEX(PP_Grid[#Data],$DE936,55),0)</f>
        <v/>
      </c>
      <c r="BG936">
        <f>IFERROR(INDEX(PP_Grid[#Data],$DE936,56),0)</f>
        <v/>
      </c>
      <c r="BH936">
        <f>IFERROR(INDEX(PP_Grid[#Data],$DE936,57),0)</f>
        <v/>
      </c>
      <c r="BI936">
        <f>IFERROR(INDEX(PP_Grid[#Data],$DE936,58),0)</f>
        <v/>
      </c>
      <c r="BJ936">
        <f>IFERROR(INDEX(PP_Grid[#Data],$DE936,59),0)</f>
        <v/>
      </c>
      <c r="BK936">
        <f>IFERROR(INDEX(PP_Grid[#Data],$DE936,60),0)</f>
        <v/>
      </c>
      <c r="BL936">
        <f>IFERROR(INDEX(PP_Grid[#Data],$DE936,61),0)</f>
        <v/>
      </c>
      <c r="BM936">
        <f>IFERROR(INDEX(PP_Grid[#Data],$DE936,62),0)</f>
        <v/>
      </c>
      <c r="BN936">
        <f>IFERROR(INDEX(PP_Grid[#Data],$DE936,63),0)</f>
        <v/>
      </c>
      <c r="BO936">
        <f>IFERROR(INDEX(PP_Grid[#Data],$DE936,64),0)</f>
        <v/>
      </c>
      <c r="BP936">
        <f>IFERROR(INDEX(PP_Grid[#Data],$DE936,65),0)</f>
        <v/>
      </c>
      <c r="BQ936">
        <f>IFERROR(INDEX(PP_Grid[#Data],$DE936,66),0)</f>
        <v/>
      </c>
      <c r="BR936">
        <f>IFERROR(INDEX(PP_Grid[#Data],$DE936,67),0)</f>
        <v/>
      </c>
      <c r="BS936">
        <f>IFERROR(INDEX(PP_Grid[#Data],$DE936,68),0)</f>
        <v/>
      </c>
      <c r="BT936">
        <f>IFERROR(INDEX(PP_Grid[#Data],$DE936,69),0)</f>
        <v/>
      </c>
      <c r="BU936">
        <f>IFERROR(INDEX(PP_Grid[#Data],$DE936,70),0)</f>
        <v/>
      </c>
      <c r="BV936">
        <f>IFERROR(INDEX(PP_Grid[#Data],$DE936,71),0)</f>
        <v/>
      </c>
      <c r="BW936">
        <f>IFERROR(INDEX(PP_Grid[#Data],$DE936,72),0)</f>
        <v/>
      </c>
      <c r="BX936">
        <f>IFERROR(INDEX(PP_Grid[#Data],$DE936,73),0)</f>
        <v/>
      </c>
      <c r="BY936">
        <f>IFERROR(INDEX(PP_Grid[#Data],$DE936,74),0)</f>
        <v/>
      </c>
      <c r="BZ936">
        <f>IFERROR(INDEX(PP_Grid[#Data],$DE936,75),0)</f>
        <v/>
      </c>
      <c r="CA936">
        <f>IFERROR(INDEX(PP_Grid[#Data],$DE936,76),0)</f>
        <v/>
      </c>
      <c r="CB936">
        <f>IFERROR(INDEX(PP_Grid[#Data],$DE936,77),0)</f>
        <v/>
      </c>
      <c r="CC936">
        <f>IFERROR(INDEX(PP_Grid[#Data],$DE936,78),0)</f>
        <v/>
      </c>
      <c r="CD936">
        <f>IFERROR(INDEX(PP_Grid[#Data],$DE936,79),0)</f>
        <v/>
      </c>
      <c r="CE936">
        <f>IFERROR(INDEX(PP_Grid[#Data],$DE936,80),0)</f>
        <v/>
      </c>
      <c r="CF936">
        <f>IFERROR(INDEX(PP_Grid[#Data],$DE936,81),0)</f>
        <v/>
      </c>
      <c r="CG936">
        <f>IFERROR(INDEX(PP_Grid[#Data],$DE936,82),0)</f>
        <v/>
      </c>
      <c r="CH936">
        <f>IFERROR(INDEX(PP_Grid[#Data],$DE936,83),0)</f>
        <v/>
      </c>
      <c r="CI936">
        <f>IFERROR(INDEX(PP_Grid[#Data],$DE936,84),0)</f>
        <v/>
      </c>
      <c r="CJ936">
        <f>IFERROR(INDEX(PP_Grid[#Data],$DE936,85),0)</f>
        <v/>
      </c>
      <c r="CK936">
        <f>IFERROR(INDEX(PP_Grid[#Data],$DE936,86),0)</f>
        <v/>
      </c>
      <c r="CL936">
        <f>IFERROR(INDEX(PP_Grid[#Data],$DE936,87),0)</f>
        <v/>
      </c>
      <c r="CM936">
        <f>IFERROR(INDEX(PP_Grid[#Data],$DE936,88),0)</f>
        <v/>
      </c>
      <c r="CN936">
        <f>IFERROR(INDEX(PP_Grid[#Data],$DE936,89),0)</f>
        <v/>
      </c>
      <c r="CO936">
        <f>IFERROR(INDEX(PP_Grid[#Data],$DE936,90),0)</f>
        <v/>
      </c>
      <c r="CP936">
        <f>IFERROR(INDEX(PP_Grid[#Data],$DE936,91),0)</f>
        <v/>
      </c>
      <c r="CQ936">
        <f>IFERROR(INDEX(PP_Grid[#Data],$DE936,92),0)</f>
        <v/>
      </c>
      <c r="CR936">
        <f>IFERROR(INDEX(PP_Grid[#Data],$DE936,93),0)</f>
        <v/>
      </c>
      <c r="CS936">
        <f>IFERROR(INDEX(PP_Grid[#Data],$DE936,94),0)</f>
        <v/>
      </c>
      <c r="CT936">
        <f>IFERROR(INDEX(PP_Grid[#Data],$DE936,95),0)</f>
        <v/>
      </c>
      <c r="CU936">
        <f>IFERROR(INDEX(PP_Grid[#Data],$DE936,96),0)</f>
        <v/>
      </c>
      <c r="CV936">
        <f>IFERROR(INDEX(PP_Grid[#Data],$DE936,97),0)</f>
        <v/>
      </c>
      <c r="CW936">
        <f>IFERROR(INDEX(PP_Grid[#Data],$DE936,98),0)</f>
        <v/>
      </c>
      <c r="CX936">
        <f>IFERROR(INDEX(PP_Grid[#Data],$DE936,99),0)</f>
        <v/>
      </c>
      <c r="CY936">
        <f>IFERROR(INDEX(PP_Grid[#Data],$DE936,100),0)</f>
        <v/>
      </c>
      <c r="CZ936">
        <f>IFERROR(INDEX(PP_Grid[#Data],$DE936,101),0)</f>
        <v/>
      </c>
      <c r="DA936">
        <f>IFERROR(INDEX(PP_Grid[#Data],$DE936,102),0)</f>
        <v/>
      </c>
      <c r="DB936">
        <f>IFERROR(INDEX(PP_Grid[#Data],$DE936,103),0)</f>
        <v/>
      </c>
      <c r="DC936">
        <f>IFERROR(INDEX(PP_Grid[#Data],$DE936,104),0)</f>
        <v/>
      </c>
      <c r="DD936">
        <f>IFERROR(INDEX(PP_Grid[#Data],$DE936,105),0)</f>
        <v/>
      </c>
      <c r="DE936" s="7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SUMIFS(M_BOM[RM_Qty_Per_Batch],M_BOM[Intermediate],$B936,M_BOM[RM_Code],$A923)</f>
        <v/>
      </c>
      <c r="D937">
        <f>IFERROR(INDEX(E937:DD937,$F$1),"")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  <c r="DD937">
        <f>$C937*DD936</f>
        <v/>
      </c>
    </row>
    <row r="938">
      <c r="B938" t="inlineStr">
        <is>
          <t>VSP-606</t>
        </is>
      </c>
      <c r="C938" t="inlineStr">
        <is>
          <t>No. of batches</t>
        </is>
      </c>
      <c r="D938">
        <f>IFERROR(INDEX(E938:DD938,$F$1),"")</f>
        <v/>
      </c>
      <c r="E938">
        <f>IFERROR(INDEX(PP_Grid[#Data],$DE938,2),0)</f>
        <v/>
      </c>
      <c r="F938">
        <f>IFERROR(INDEX(PP_Grid[#Data],$DE938,3),0)</f>
        <v/>
      </c>
      <c r="G938">
        <f>IFERROR(INDEX(PP_Grid[#Data],$DE938,4),0)</f>
        <v/>
      </c>
      <c r="H938">
        <f>IFERROR(INDEX(PP_Grid[#Data],$DE938,5),0)</f>
        <v/>
      </c>
      <c r="I938">
        <f>IFERROR(INDEX(PP_Grid[#Data],$DE938,6),0)</f>
        <v/>
      </c>
      <c r="J938">
        <f>IFERROR(INDEX(PP_Grid[#Data],$DE938,7),0)</f>
        <v/>
      </c>
      <c r="K938">
        <f>IFERROR(INDEX(PP_Grid[#Data],$DE938,8),0)</f>
        <v/>
      </c>
      <c r="L938">
        <f>IFERROR(INDEX(PP_Grid[#Data],$DE938,9),0)</f>
        <v/>
      </c>
      <c r="M938">
        <f>IFERROR(INDEX(PP_Grid[#Data],$DE938,10),0)</f>
        <v/>
      </c>
      <c r="N938">
        <f>IFERROR(INDEX(PP_Grid[#Data],$DE938,11),0)</f>
        <v/>
      </c>
      <c r="O938">
        <f>IFERROR(INDEX(PP_Grid[#Data],$DE938,12),0)</f>
        <v/>
      </c>
      <c r="P938">
        <f>IFERROR(INDEX(PP_Grid[#Data],$DE938,13),0)</f>
        <v/>
      </c>
      <c r="Q938">
        <f>IFERROR(INDEX(PP_Grid[#Data],$DE938,14),0)</f>
        <v/>
      </c>
      <c r="R938">
        <f>IFERROR(INDEX(PP_Grid[#Data],$DE938,15),0)</f>
        <v/>
      </c>
      <c r="S938">
        <f>IFERROR(INDEX(PP_Grid[#Data],$DE938,16),0)</f>
        <v/>
      </c>
      <c r="T938">
        <f>IFERROR(INDEX(PP_Grid[#Data],$DE938,17),0)</f>
        <v/>
      </c>
      <c r="U938">
        <f>IFERROR(INDEX(PP_Grid[#Data],$DE938,18),0)</f>
        <v/>
      </c>
      <c r="V938">
        <f>IFERROR(INDEX(PP_Grid[#Data],$DE938,19),0)</f>
        <v/>
      </c>
      <c r="W938">
        <f>IFERROR(INDEX(PP_Grid[#Data],$DE938,20),0)</f>
        <v/>
      </c>
      <c r="X938">
        <f>IFERROR(INDEX(PP_Grid[#Data],$DE938,21),0)</f>
        <v/>
      </c>
      <c r="Y938">
        <f>IFERROR(INDEX(PP_Grid[#Data],$DE938,22),0)</f>
        <v/>
      </c>
      <c r="Z938">
        <f>IFERROR(INDEX(PP_Grid[#Data],$DE938,23),0)</f>
        <v/>
      </c>
      <c r="AA938">
        <f>IFERROR(INDEX(PP_Grid[#Data],$DE938,24),0)</f>
        <v/>
      </c>
      <c r="AB938">
        <f>IFERROR(INDEX(PP_Grid[#Data],$DE938,25),0)</f>
        <v/>
      </c>
      <c r="AC938">
        <f>IFERROR(INDEX(PP_Grid[#Data],$DE938,26),0)</f>
        <v/>
      </c>
      <c r="AD938">
        <f>IFERROR(INDEX(PP_Grid[#Data],$DE938,27),0)</f>
        <v/>
      </c>
      <c r="AE938">
        <f>IFERROR(INDEX(PP_Grid[#Data],$DE938,28),0)</f>
        <v/>
      </c>
      <c r="AF938">
        <f>IFERROR(INDEX(PP_Grid[#Data],$DE938,29),0)</f>
        <v/>
      </c>
      <c r="AG938">
        <f>IFERROR(INDEX(PP_Grid[#Data],$DE938,30),0)</f>
        <v/>
      </c>
      <c r="AH938">
        <f>IFERROR(INDEX(PP_Grid[#Data],$DE938,31),0)</f>
        <v/>
      </c>
      <c r="AI938">
        <f>IFERROR(INDEX(PP_Grid[#Data],$DE938,32),0)</f>
        <v/>
      </c>
      <c r="AJ938">
        <f>IFERROR(INDEX(PP_Grid[#Data],$DE938,33),0)</f>
        <v/>
      </c>
      <c r="AK938">
        <f>IFERROR(INDEX(PP_Grid[#Data],$DE938,34),0)</f>
        <v/>
      </c>
      <c r="AL938">
        <f>IFERROR(INDEX(PP_Grid[#Data],$DE938,35),0)</f>
        <v/>
      </c>
      <c r="AM938">
        <f>IFERROR(INDEX(PP_Grid[#Data],$DE938,36),0)</f>
        <v/>
      </c>
      <c r="AN938">
        <f>IFERROR(INDEX(PP_Grid[#Data],$DE938,37),0)</f>
        <v/>
      </c>
      <c r="AO938">
        <f>IFERROR(INDEX(PP_Grid[#Data],$DE938,38),0)</f>
        <v/>
      </c>
      <c r="AP938">
        <f>IFERROR(INDEX(PP_Grid[#Data],$DE938,39),0)</f>
        <v/>
      </c>
      <c r="AQ938">
        <f>IFERROR(INDEX(PP_Grid[#Data],$DE938,40),0)</f>
        <v/>
      </c>
      <c r="AR938">
        <f>IFERROR(INDEX(PP_Grid[#Data],$DE938,41),0)</f>
        <v/>
      </c>
      <c r="AS938">
        <f>IFERROR(INDEX(PP_Grid[#Data],$DE938,42),0)</f>
        <v/>
      </c>
      <c r="AT938">
        <f>IFERROR(INDEX(PP_Grid[#Data],$DE938,43),0)</f>
        <v/>
      </c>
      <c r="AU938">
        <f>IFERROR(INDEX(PP_Grid[#Data],$DE938,44),0)</f>
        <v/>
      </c>
      <c r="AV938">
        <f>IFERROR(INDEX(PP_Grid[#Data],$DE938,45),0)</f>
        <v/>
      </c>
      <c r="AW938">
        <f>IFERROR(INDEX(PP_Grid[#Data],$DE938,46),0)</f>
        <v/>
      </c>
      <c r="AX938">
        <f>IFERROR(INDEX(PP_Grid[#Data],$DE938,47),0)</f>
        <v/>
      </c>
      <c r="AY938">
        <f>IFERROR(INDEX(PP_Grid[#Data],$DE938,48),0)</f>
        <v/>
      </c>
      <c r="AZ938">
        <f>IFERROR(INDEX(PP_Grid[#Data],$DE938,49),0)</f>
        <v/>
      </c>
      <c r="BA938">
        <f>IFERROR(INDEX(PP_Grid[#Data],$DE938,50),0)</f>
        <v/>
      </c>
      <c r="BB938">
        <f>IFERROR(INDEX(PP_Grid[#Data],$DE938,51),0)</f>
        <v/>
      </c>
      <c r="BC938">
        <f>IFERROR(INDEX(PP_Grid[#Data],$DE938,52),0)</f>
        <v/>
      </c>
      <c r="BD938">
        <f>IFERROR(INDEX(PP_Grid[#Data],$DE938,53),0)</f>
        <v/>
      </c>
      <c r="BE938">
        <f>IFERROR(INDEX(PP_Grid[#Data],$DE938,54),0)</f>
        <v/>
      </c>
      <c r="BF938">
        <f>IFERROR(INDEX(PP_Grid[#Data],$DE938,55),0)</f>
        <v/>
      </c>
      <c r="BG938">
        <f>IFERROR(INDEX(PP_Grid[#Data],$DE938,56),0)</f>
        <v/>
      </c>
      <c r="BH938">
        <f>IFERROR(INDEX(PP_Grid[#Data],$DE938,57),0)</f>
        <v/>
      </c>
      <c r="BI938">
        <f>IFERROR(INDEX(PP_Grid[#Data],$DE938,58),0)</f>
        <v/>
      </c>
      <c r="BJ938">
        <f>IFERROR(INDEX(PP_Grid[#Data],$DE938,59),0)</f>
        <v/>
      </c>
      <c r="BK938">
        <f>IFERROR(INDEX(PP_Grid[#Data],$DE938,60),0)</f>
        <v/>
      </c>
      <c r="BL938">
        <f>IFERROR(INDEX(PP_Grid[#Data],$DE938,61),0)</f>
        <v/>
      </c>
      <c r="BM938">
        <f>IFERROR(INDEX(PP_Grid[#Data],$DE938,62),0)</f>
        <v/>
      </c>
      <c r="BN938">
        <f>IFERROR(INDEX(PP_Grid[#Data],$DE938,63),0)</f>
        <v/>
      </c>
      <c r="BO938">
        <f>IFERROR(INDEX(PP_Grid[#Data],$DE938,64),0)</f>
        <v/>
      </c>
      <c r="BP938">
        <f>IFERROR(INDEX(PP_Grid[#Data],$DE938,65),0)</f>
        <v/>
      </c>
      <c r="BQ938">
        <f>IFERROR(INDEX(PP_Grid[#Data],$DE938,66),0)</f>
        <v/>
      </c>
      <c r="BR938">
        <f>IFERROR(INDEX(PP_Grid[#Data],$DE938,67),0)</f>
        <v/>
      </c>
      <c r="BS938">
        <f>IFERROR(INDEX(PP_Grid[#Data],$DE938,68),0)</f>
        <v/>
      </c>
      <c r="BT938">
        <f>IFERROR(INDEX(PP_Grid[#Data],$DE938,69),0)</f>
        <v/>
      </c>
      <c r="BU938">
        <f>IFERROR(INDEX(PP_Grid[#Data],$DE938,70),0)</f>
        <v/>
      </c>
      <c r="BV938">
        <f>IFERROR(INDEX(PP_Grid[#Data],$DE938,71),0)</f>
        <v/>
      </c>
      <c r="BW938">
        <f>IFERROR(INDEX(PP_Grid[#Data],$DE938,72),0)</f>
        <v/>
      </c>
      <c r="BX938">
        <f>IFERROR(INDEX(PP_Grid[#Data],$DE938,73),0)</f>
        <v/>
      </c>
      <c r="BY938">
        <f>IFERROR(INDEX(PP_Grid[#Data],$DE938,74),0)</f>
        <v/>
      </c>
      <c r="BZ938">
        <f>IFERROR(INDEX(PP_Grid[#Data],$DE938,75),0)</f>
        <v/>
      </c>
      <c r="CA938">
        <f>IFERROR(INDEX(PP_Grid[#Data],$DE938,76),0)</f>
        <v/>
      </c>
      <c r="CB938">
        <f>IFERROR(INDEX(PP_Grid[#Data],$DE938,77),0)</f>
        <v/>
      </c>
      <c r="CC938">
        <f>IFERROR(INDEX(PP_Grid[#Data],$DE938,78),0)</f>
        <v/>
      </c>
      <c r="CD938">
        <f>IFERROR(INDEX(PP_Grid[#Data],$DE938,79),0)</f>
        <v/>
      </c>
      <c r="CE938">
        <f>IFERROR(INDEX(PP_Grid[#Data],$DE938,80),0)</f>
        <v/>
      </c>
      <c r="CF938">
        <f>IFERROR(INDEX(PP_Grid[#Data],$DE938,81),0)</f>
        <v/>
      </c>
      <c r="CG938">
        <f>IFERROR(INDEX(PP_Grid[#Data],$DE938,82),0)</f>
        <v/>
      </c>
      <c r="CH938">
        <f>IFERROR(INDEX(PP_Grid[#Data],$DE938,83),0)</f>
        <v/>
      </c>
      <c r="CI938">
        <f>IFERROR(INDEX(PP_Grid[#Data],$DE938,84),0)</f>
        <v/>
      </c>
      <c r="CJ938">
        <f>IFERROR(INDEX(PP_Grid[#Data],$DE938,85),0)</f>
        <v/>
      </c>
      <c r="CK938">
        <f>IFERROR(INDEX(PP_Grid[#Data],$DE938,86),0)</f>
        <v/>
      </c>
      <c r="CL938">
        <f>IFERROR(INDEX(PP_Grid[#Data],$DE938,87),0)</f>
        <v/>
      </c>
      <c r="CM938">
        <f>IFERROR(INDEX(PP_Grid[#Data],$DE938,88),0)</f>
        <v/>
      </c>
      <c r="CN938">
        <f>IFERROR(INDEX(PP_Grid[#Data],$DE938,89),0)</f>
        <v/>
      </c>
      <c r="CO938">
        <f>IFERROR(INDEX(PP_Grid[#Data],$DE938,90),0)</f>
        <v/>
      </c>
      <c r="CP938">
        <f>IFERROR(INDEX(PP_Grid[#Data],$DE938,91),0)</f>
        <v/>
      </c>
      <c r="CQ938">
        <f>IFERROR(INDEX(PP_Grid[#Data],$DE938,92),0)</f>
        <v/>
      </c>
      <c r="CR938">
        <f>IFERROR(INDEX(PP_Grid[#Data],$DE938,93),0)</f>
        <v/>
      </c>
      <c r="CS938">
        <f>IFERROR(INDEX(PP_Grid[#Data],$DE938,94),0)</f>
        <v/>
      </c>
      <c r="CT938">
        <f>IFERROR(INDEX(PP_Grid[#Data],$DE938,95),0)</f>
        <v/>
      </c>
      <c r="CU938">
        <f>IFERROR(INDEX(PP_Grid[#Data],$DE938,96),0)</f>
        <v/>
      </c>
      <c r="CV938">
        <f>IFERROR(INDEX(PP_Grid[#Data],$DE938,97),0)</f>
        <v/>
      </c>
      <c r="CW938">
        <f>IFERROR(INDEX(PP_Grid[#Data],$DE938,98),0)</f>
        <v/>
      </c>
      <c r="CX938">
        <f>IFERROR(INDEX(PP_Grid[#Data],$DE938,99),0)</f>
        <v/>
      </c>
      <c r="CY938">
        <f>IFERROR(INDEX(PP_Grid[#Data],$DE938,100),0)</f>
        <v/>
      </c>
      <c r="CZ938">
        <f>IFERROR(INDEX(PP_Grid[#Data],$DE938,101),0)</f>
        <v/>
      </c>
      <c r="DA938">
        <f>IFERROR(INDEX(PP_Grid[#Data],$DE938,102),0)</f>
        <v/>
      </c>
      <c r="DB938">
        <f>IFERROR(INDEX(PP_Grid[#Data],$DE938,103),0)</f>
        <v/>
      </c>
      <c r="DC938">
        <f>IFERROR(INDEX(PP_Grid[#Data],$DE938,104),0)</f>
        <v/>
      </c>
      <c r="DD938">
        <f>IFERROR(INDEX(PP_Grid[#Data],$DE938,105),0)</f>
        <v/>
      </c>
      <c r="DE938" s="7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SUMIFS(M_BOM[RM_Qty_Per_Batch],M_BOM[Intermediate],$B938,M_BOM[RM_Code],$A923)</f>
        <v/>
      </c>
      <c r="D939">
        <f>IFERROR(INDEX(E939:DD939,$F$1),"")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  <c r="DD939">
        <f>$C939*DD938</f>
        <v/>
      </c>
    </row>
    <row r="940">
      <c r="B940" t="inlineStr">
        <is>
          <t>VSP-607</t>
        </is>
      </c>
      <c r="C940" t="inlineStr">
        <is>
          <t>No. of batches</t>
        </is>
      </c>
      <c r="D940">
        <f>IFERROR(INDEX(E940:DD940,$F$1),"")</f>
        <v/>
      </c>
      <c r="E940">
        <f>IFERROR(INDEX(PP_Grid[#Data],$DE940,2),0)</f>
        <v/>
      </c>
      <c r="F940">
        <f>IFERROR(INDEX(PP_Grid[#Data],$DE940,3),0)</f>
        <v/>
      </c>
      <c r="G940">
        <f>IFERROR(INDEX(PP_Grid[#Data],$DE940,4),0)</f>
        <v/>
      </c>
      <c r="H940">
        <f>IFERROR(INDEX(PP_Grid[#Data],$DE940,5),0)</f>
        <v/>
      </c>
      <c r="I940">
        <f>IFERROR(INDEX(PP_Grid[#Data],$DE940,6),0)</f>
        <v/>
      </c>
      <c r="J940">
        <f>IFERROR(INDEX(PP_Grid[#Data],$DE940,7),0)</f>
        <v/>
      </c>
      <c r="K940">
        <f>IFERROR(INDEX(PP_Grid[#Data],$DE940,8),0)</f>
        <v/>
      </c>
      <c r="L940">
        <f>IFERROR(INDEX(PP_Grid[#Data],$DE940,9),0)</f>
        <v/>
      </c>
      <c r="M940">
        <f>IFERROR(INDEX(PP_Grid[#Data],$DE940,10),0)</f>
        <v/>
      </c>
      <c r="N940">
        <f>IFERROR(INDEX(PP_Grid[#Data],$DE940,11),0)</f>
        <v/>
      </c>
      <c r="O940">
        <f>IFERROR(INDEX(PP_Grid[#Data],$DE940,12),0)</f>
        <v/>
      </c>
      <c r="P940">
        <f>IFERROR(INDEX(PP_Grid[#Data],$DE940,13),0)</f>
        <v/>
      </c>
      <c r="Q940">
        <f>IFERROR(INDEX(PP_Grid[#Data],$DE940,14),0)</f>
        <v/>
      </c>
      <c r="R940">
        <f>IFERROR(INDEX(PP_Grid[#Data],$DE940,15),0)</f>
        <v/>
      </c>
      <c r="S940">
        <f>IFERROR(INDEX(PP_Grid[#Data],$DE940,16),0)</f>
        <v/>
      </c>
      <c r="T940">
        <f>IFERROR(INDEX(PP_Grid[#Data],$DE940,17),0)</f>
        <v/>
      </c>
      <c r="U940">
        <f>IFERROR(INDEX(PP_Grid[#Data],$DE940,18),0)</f>
        <v/>
      </c>
      <c r="V940">
        <f>IFERROR(INDEX(PP_Grid[#Data],$DE940,19),0)</f>
        <v/>
      </c>
      <c r="W940">
        <f>IFERROR(INDEX(PP_Grid[#Data],$DE940,20),0)</f>
        <v/>
      </c>
      <c r="X940">
        <f>IFERROR(INDEX(PP_Grid[#Data],$DE940,21),0)</f>
        <v/>
      </c>
      <c r="Y940">
        <f>IFERROR(INDEX(PP_Grid[#Data],$DE940,22),0)</f>
        <v/>
      </c>
      <c r="Z940">
        <f>IFERROR(INDEX(PP_Grid[#Data],$DE940,23),0)</f>
        <v/>
      </c>
      <c r="AA940">
        <f>IFERROR(INDEX(PP_Grid[#Data],$DE940,24),0)</f>
        <v/>
      </c>
      <c r="AB940">
        <f>IFERROR(INDEX(PP_Grid[#Data],$DE940,25),0)</f>
        <v/>
      </c>
      <c r="AC940">
        <f>IFERROR(INDEX(PP_Grid[#Data],$DE940,26),0)</f>
        <v/>
      </c>
      <c r="AD940">
        <f>IFERROR(INDEX(PP_Grid[#Data],$DE940,27),0)</f>
        <v/>
      </c>
      <c r="AE940">
        <f>IFERROR(INDEX(PP_Grid[#Data],$DE940,28),0)</f>
        <v/>
      </c>
      <c r="AF940">
        <f>IFERROR(INDEX(PP_Grid[#Data],$DE940,29),0)</f>
        <v/>
      </c>
      <c r="AG940">
        <f>IFERROR(INDEX(PP_Grid[#Data],$DE940,30),0)</f>
        <v/>
      </c>
      <c r="AH940">
        <f>IFERROR(INDEX(PP_Grid[#Data],$DE940,31),0)</f>
        <v/>
      </c>
      <c r="AI940">
        <f>IFERROR(INDEX(PP_Grid[#Data],$DE940,32),0)</f>
        <v/>
      </c>
      <c r="AJ940">
        <f>IFERROR(INDEX(PP_Grid[#Data],$DE940,33),0)</f>
        <v/>
      </c>
      <c r="AK940">
        <f>IFERROR(INDEX(PP_Grid[#Data],$DE940,34),0)</f>
        <v/>
      </c>
      <c r="AL940">
        <f>IFERROR(INDEX(PP_Grid[#Data],$DE940,35),0)</f>
        <v/>
      </c>
      <c r="AM940">
        <f>IFERROR(INDEX(PP_Grid[#Data],$DE940,36),0)</f>
        <v/>
      </c>
      <c r="AN940">
        <f>IFERROR(INDEX(PP_Grid[#Data],$DE940,37),0)</f>
        <v/>
      </c>
      <c r="AO940">
        <f>IFERROR(INDEX(PP_Grid[#Data],$DE940,38),0)</f>
        <v/>
      </c>
      <c r="AP940">
        <f>IFERROR(INDEX(PP_Grid[#Data],$DE940,39),0)</f>
        <v/>
      </c>
      <c r="AQ940">
        <f>IFERROR(INDEX(PP_Grid[#Data],$DE940,40),0)</f>
        <v/>
      </c>
      <c r="AR940">
        <f>IFERROR(INDEX(PP_Grid[#Data],$DE940,41),0)</f>
        <v/>
      </c>
      <c r="AS940">
        <f>IFERROR(INDEX(PP_Grid[#Data],$DE940,42),0)</f>
        <v/>
      </c>
      <c r="AT940">
        <f>IFERROR(INDEX(PP_Grid[#Data],$DE940,43),0)</f>
        <v/>
      </c>
      <c r="AU940">
        <f>IFERROR(INDEX(PP_Grid[#Data],$DE940,44),0)</f>
        <v/>
      </c>
      <c r="AV940">
        <f>IFERROR(INDEX(PP_Grid[#Data],$DE940,45),0)</f>
        <v/>
      </c>
      <c r="AW940">
        <f>IFERROR(INDEX(PP_Grid[#Data],$DE940,46),0)</f>
        <v/>
      </c>
      <c r="AX940">
        <f>IFERROR(INDEX(PP_Grid[#Data],$DE940,47),0)</f>
        <v/>
      </c>
      <c r="AY940">
        <f>IFERROR(INDEX(PP_Grid[#Data],$DE940,48),0)</f>
        <v/>
      </c>
      <c r="AZ940">
        <f>IFERROR(INDEX(PP_Grid[#Data],$DE940,49),0)</f>
        <v/>
      </c>
      <c r="BA940">
        <f>IFERROR(INDEX(PP_Grid[#Data],$DE940,50),0)</f>
        <v/>
      </c>
      <c r="BB940">
        <f>IFERROR(INDEX(PP_Grid[#Data],$DE940,51),0)</f>
        <v/>
      </c>
      <c r="BC940">
        <f>IFERROR(INDEX(PP_Grid[#Data],$DE940,52),0)</f>
        <v/>
      </c>
      <c r="BD940">
        <f>IFERROR(INDEX(PP_Grid[#Data],$DE940,53),0)</f>
        <v/>
      </c>
      <c r="BE940">
        <f>IFERROR(INDEX(PP_Grid[#Data],$DE940,54),0)</f>
        <v/>
      </c>
      <c r="BF940">
        <f>IFERROR(INDEX(PP_Grid[#Data],$DE940,55),0)</f>
        <v/>
      </c>
      <c r="BG940">
        <f>IFERROR(INDEX(PP_Grid[#Data],$DE940,56),0)</f>
        <v/>
      </c>
      <c r="BH940">
        <f>IFERROR(INDEX(PP_Grid[#Data],$DE940,57),0)</f>
        <v/>
      </c>
      <c r="BI940">
        <f>IFERROR(INDEX(PP_Grid[#Data],$DE940,58),0)</f>
        <v/>
      </c>
      <c r="BJ940">
        <f>IFERROR(INDEX(PP_Grid[#Data],$DE940,59),0)</f>
        <v/>
      </c>
      <c r="BK940">
        <f>IFERROR(INDEX(PP_Grid[#Data],$DE940,60),0)</f>
        <v/>
      </c>
      <c r="BL940">
        <f>IFERROR(INDEX(PP_Grid[#Data],$DE940,61),0)</f>
        <v/>
      </c>
      <c r="BM940">
        <f>IFERROR(INDEX(PP_Grid[#Data],$DE940,62),0)</f>
        <v/>
      </c>
      <c r="BN940">
        <f>IFERROR(INDEX(PP_Grid[#Data],$DE940,63),0)</f>
        <v/>
      </c>
      <c r="BO940">
        <f>IFERROR(INDEX(PP_Grid[#Data],$DE940,64),0)</f>
        <v/>
      </c>
      <c r="BP940">
        <f>IFERROR(INDEX(PP_Grid[#Data],$DE940,65),0)</f>
        <v/>
      </c>
      <c r="BQ940">
        <f>IFERROR(INDEX(PP_Grid[#Data],$DE940,66),0)</f>
        <v/>
      </c>
      <c r="BR940">
        <f>IFERROR(INDEX(PP_Grid[#Data],$DE940,67),0)</f>
        <v/>
      </c>
      <c r="BS940">
        <f>IFERROR(INDEX(PP_Grid[#Data],$DE940,68),0)</f>
        <v/>
      </c>
      <c r="BT940">
        <f>IFERROR(INDEX(PP_Grid[#Data],$DE940,69),0)</f>
        <v/>
      </c>
      <c r="BU940">
        <f>IFERROR(INDEX(PP_Grid[#Data],$DE940,70),0)</f>
        <v/>
      </c>
      <c r="BV940">
        <f>IFERROR(INDEX(PP_Grid[#Data],$DE940,71),0)</f>
        <v/>
      </c>
      <c r="BW940">
        <f>IFERROR(INDEX(PP_Grid[#Data],$DE940,72),0)</f>
        <v/>
      </c>
      <c r="BX940">
        <f>IFERROR(INDEX(PP_Grid[#Data],$DE940,73),0)</f>
        <v/>
      </c>
      <c r="BY940">
        <f>IFERROR(INDEX(PP_Grid[#Data],$DE940,74),0)</f>
        <v/>
      </c>
      <c r="BZ940">
        <f>IFERROR(INDEX(PP_Grid[#Data],$DE940,75),0)</f>
        <v/>
      </c>
      <c r="CA940">
        <f>IFERROR(INDEX(PP_Grid[#Data],$DE940,76),0)</f>
        <v/>
      </c>
      <c r="CB940">
        <f>IFERROR(INDEX(PP_Grid[#Data],$DE940,77),0)</f>
        <v/>
      </c>
      <c r="CC940">
        <f>IFERROR(INDEX(PP_Grid[#Data],$DE940,78),0)</f>
        <v/>
      </c>
      <c r="CD940">
        <f>IFERROR(INDEX(PP_Grid[#Data],$DE940,79),0)</f>
        <v/>
      </c>
      <c r="CE940">
        <f>IFERROR(INDEX(PP_Grid[#Data],$DE940,80),0)</f>
        <v/>
      </c>
      <c r="CF940">
        <f>IFERROR(INDEX(PP_Grid[#Data],$DE940,81),0)</f>
        <v/>
      </c>
      <c r="CG940">
        <f>IFERROR(INDEX(PP_Grid[#Data],$DE940,82),0)</f>
        <v/>
      </c>
      <c r="CH940">
        <f>IFERROR(INDEX(PP_Grid[#Data],$DE940,83),0)</f>
        <v/>
      </c>
      <c r="CI940">
        <f>IFERROR(INDEX(PP_Grid[#Data],$DE940,84),0)</f>
        <v/>
      </c>
      <c r="CJ940">
        <f>IFERROR(INDEX(PP_Grid[#Data],$DE940,85),0)</f>
        <v/>
      </c>
      <c r="CK940">
        <f>IFERROR(INDEX(PP_Grid[#Data],$DE940,86),0)</f>
        <v/>
      </c>
      <c r="CL940">
        <f>IFERROR(INDEX(PP_Grid[#Data],$DE940,87),0)</f>
        <v/>
      </c>
      <c r="CM940">
        <f>IFERROR(INDEX(PP_Grid[#Data],$DE940,88),0)</f>
        <v/>
      </c>
      <c r="CN940">
        <f>IFERROR(INDEX(PP_Grid[#Data],$DE940,89),0)</f>
        <v/>
      </c>
      <c r="CO940">
        <f>IFERROR(INDEX(PP_Grid[#Data],$DE940,90),0)</f>
        <v/>
      </c>
      <c r="CP940">
        <f>IFERROR(INDEX(PP_Grid[#Data],$DE940,91),0)</f>
        <v/>
      </c>
      <c r="CQ940">
        <f>IFERROR(INDEX(PP_Grid[#Data],$DE940,92),0)</f>
        <v/>
      </c>
      <c r="CR940">
        <f>IFERROR(INDEX(PP_Grid[#Data],$DE940,93),0)</f>
        <v/>
      </c>
      <c r="CS940">
        <f>IFERROR(INDEX(PP_Grid[#Data],$DE940,94),0)</f>
        <v/>
      </c>
      <c r="CT940">
        <f>IFERROR(INDEX(PP_Grid[#Data],$DE940,95),0)</f>
        <v/>
      </c>
      <c r="CU940">
        <f>IFERROR(INDEX(PP_Grid[#Data],$DE940,96),0)</f>
        <v/>
      </c>
      <c r="CV940">
        <f>IFERROR(INDEX(PP_Grid[#Data],$DE940,97),0)</f>
        <v/>
      </c>
      <c r="CW940">
        <f>IFERROR(INDEX(PP_Grid[#Data],$DE940,98),0)</f>
        <v/>
      </c>
      <c r="CX940">
        <f>IFERROR(INDEX(PP_Grid[#Data],$DE940,99),0)</f>
        <v/>
      </c>
      <c r="CY940">
        <f>IFERROR(INDEX(PP_Grid[#Data],$DE940,100),0)</f>
        <v/>
      </c>
      <c r="CZ940">
        <f>IFERROR(INDEX(PP_Grid[#Data],$DE940,101),0)</f>
        <v/>
      </c>
      <c r="DA940">
        <f>IFERROR(INDEX(PP_Grid[#Data],$DE940,102),0)</f>
        <v/>
      </c>
      <c r="DB940">
        <f>IFERROR(INDEX(PP_Grid[#Data],$DE940,103),0)</f>
        <v/>
      </c>
      <c r="DC940">
        <f>IFERROR(INDEX(PP_Grid[#Data],$DE940,104),0)</f>
        <v/>
      </c>
      <c r="DD940">
        <f>IFERROR(INDEX(PP_Grid[#Data],$DE940,105),0)</f>
        <v/>
      </c>
      <c r="DE940" s="7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SUMIFS(M_BOM[RM_Qty_Per_Batch],M_BOM[Intermediate],$B940,M_BOM[RM_Code],$A923)</f>
        <v/>
      </c>
      <c r="D941">
        <f>IFERROR(INDEX(E941:DD941,$F$1),"")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  <c r="DD941">
        <f>$C941*DD940</f>
        <v/>
      </c>
    </row>
    <row r="942">
      <c r="B942" t="inlineStr">
        <is>
          <t>VSP-738</t>
        </is>
      </c>
      <c r="C942" t="inlineStr">
        <is>
          <t>No. of batches</t>
        </is>
      </c>
      <c r="D942">
        <f>IFERROR(INDEX(E942:DD942,$F$1),"")</f>
        <v/>
      </c>
      <c r="E942">
        <f>IFERROR(INDEX(PP_Grid[#Data],$DE942,2),0)</f>
        <v/>
      </c>
      <c r="F942">
        <f>IFERROR(INDEX(PP_Grid[#Data],$DE942,3),0)</f>
        <v/>
      </c>
      <c r="G942">
        <f>IFERROR(INDEX(PP_Grid[#Data],$DE942,4),0)</f>
        <v/>
      </c>
      <c r="H942">
        <f>IFERROR(INDEX(PP_Grid[#Data],$DE942,5),0)</f>
        <v/>
      </c>
      <c r="I942">
        <f>IFERROR(INDEX(PP_Grid[#Data],$DE942,6),0)</f>
        <v/>
      </c>
      <c r="J942">
        <f>IFERROR(INDEX(PP_Grid[#Data],$DE942,7),0)</f>
        <v/>
      </c>
      <c r="K942">
        <f>IFERROR(INDEX(PP_Grid[#Data],$DE942,8),0)</f>
        <v/>
      </c>
      <c r="L942">
        <f>IFERROR(INDEX(PP_Grid[#Data],$DE942,9),0)</f>
        <v/>
      </c>
      <c r="M942">
        <f>IFERROR(INDEX(PP_Grid[#Data],$DE942,10),0)</f>
        <v/>
      </c>
      <c r="N942">
        <f>IFERROR(INDEX(PP_Grid[#Data],$DE942,11),0)</f>
        <v/>
      </c>
      <c r="O942">
        <f>IFERROR(INDEX(PP_Grid[#Data],$DE942,12),0)</f>
        <v/>
      </c>
      <c r="P942">
        <f>IFERROR(INDEX(PP_Grid[#Data],$DE942,13),0)</f>
        <v/>
      </c>
      <c r="Q942">
        <f>IFERROR(INDEX(PP_Grid[#Data],$DE942,14),0)</f>
        <v/>
      </c>
      <c r="R942">
        <f>IFERROR(INDEX(PP_Grid[#Data],$DE942,15),0)</f>
        <v/>
      </c>
      <c r="S942">
        <f>IFERROR(INDEX(PP_Grid[#Data],$DE942,16),0)</f>
        <v/>
      </c>
      <c r="T942">
        <f>IFERROR(INDEX(PP_Grid[#Data],$DE942,17),0)</f>
        <v/>
      </c>
      <c r="U942">
        <f>IFERROR(INDEX(PP_Grid[#Data],$DE942,18),0)</f>
        <v/>
      </c>
      <c r="V942">
        <f>IFERROR(INDEX(PP_Grid[#Data],$DE942,19),0)</f>
        <v/>
      </c>
      <c r="W942">
        <f>IFERROR(INDEX(PP_Grid[#Data],$DE942,20),0)</f>
        <v/>
      </c>
      <c r="X942">
        <f>IFERROR(INDEX(PP_Grid[#Data],$DE942,21),0)</f>
        <v/>
      </c>
      <c r="Y942">
        <f>IFERROR(INDEX(PP_Grid[#Data],$DE942,22),0)</f>
        <v/>
      </c>
      <c r="Z942">
        <f>IFERROR(INDEX(PP_Grid[#Data],$DE942,23),0)</f>
        <v/>
      </c>
      <c r="AA942">
        <f>IFERROR(INDEX(PP_Grid[#Data],$DE942,24),0)</f>
        <v/>
      </c>
      <c r="AB942">
        <f>IFERROR(INDEX(PP_Grid[#Data],$DE942,25),0)</f>
        <v/>
      </c>
      <c r="AC942">
        <f>IFERROR(INDEX(PP_Grid[#Data],$DE942,26),0)</f>
        <v/>
      </c>
      <c r="AD942">
        <f>IFERROR(INDEX(PP_Grid[#Data],$DE942,27),0)</f>
        <v/>
      </c>
      <c r="AE942">
        <f>IFERROR(INDEX(PP_Grid[#Data],$DE942,28),0)</f>
        <v/>
      </c>
      <c r="AF942">
        <f>IFERROR(INDEX(PP_Grid[#Data],$DE942,29),0)</f>
        <v/>
      </c>
      <c r="AG942">
        <f>IFERROR(INDEX(PP_Grid[#Data],$DE942,30),0)</f>
        <v/>
      </c>
      <c r="AH942">
        <f>IFERROR(INDEX(PP_Grid[#Data],$DE942,31),0)</f>
        <v/>
      </c>
      <c r="AI942">
        <f>IFERROR(INDEX(PP_Grid[#Data],$DE942,32),0)</f>
        <v/>
      </c>
      <c r="AJ942">
        <f>IFERROR(INDEX(PP_Grid[#Data],$DE942,33),0)</f>
        <v/>
      </c>
      <c r="AK942">
        <f>IFERROR(INDEX(PP_Grid[#Data],$DE942,34),0)</f>
        <v/>
      </c>
      <c r="AL942">
        <f>IFERROR(INDEX(PP_Grid[#Data],$DE942,35),0)</f>
        <v/>
      </c>
      <c r="AM942">
        <f>IFERROR(INDEX(PP_Grid[#Data],$DE942,36),0)</f>
        <v/>
      </c>
      <c r="AN942">
        <f>IFERROR(INDEX(PP_Grid[#Data],$DE942,37),0)</f>
        <v/>
      </c>
      <c r="AO942">
        <f>IFERROR(INDEX(PP_Grid[#Data],$DE942,38),0)</f>
        <v/>
      </c>
      <c r="AP942">
        <f>IFERROR(INDEX(PP_Grid[#Data],$DE942,39),0)</f>
        <v/>
      </c>
      <c r="AQ942">
        <f>IFERROR(INDEX(PP_Grid[#Data],$DE942,40),0)</f>
        <v/>
      </c>
      <c r="AR942">
        <f>IFERROR(INDEX(PP_Grid[#Data],$DE942,41),0)</f>
        <v/>
      </c>
      <c r="AS942">
        <f>IFERROR(INDEX(PP_Grid[#Data],$DE942,42),0)</f>
        <v/>
      </c>
      <c r="AT942">
        <f>IFERROR(INDEX(PP_Grid[#Data],$DE942,43),0)</f>
        <v/>
      </c>
      <c r="AU942">
        <f>IFERROR(INDEX(PP_Grid[#Data],$DE942,44),0)</f>
        <v/>
      </c>
      <c r="AV942">
        <f>IFERROR(INDEX(PP_Grid[#Data],$DE942,45),0)</f>
        <v/>
      </c>
      <c r="AW942">
        <f>IFERROR(INDEX(PP_Grid[#Data],$DE942,46),0)</f>
        <v/>
      </c>
      <c r="AX942">
        <f>IFERROR(INDEX(PP_Grid[#Data],$DE942,47),0)</f>
        <v/>
      </c>
      <c r="AY942">
        <f>IFERROR(INDEX(PP_Grid[#Data],$DE942,48),0)</f>
        <v/>
      </c>
      <c r="AZ942">
        <f>IFERROR(INDEX(PP_Grid[#Data],$DE942,49),0)</f>
        <v/>
      </c>
      <c r="BA942">
        <f>IFERROR(INDEX(PP_Grid[#Data],$DE942,50),0)</f>
        <v/>
      </c>
      <c r="BB942">
        <f>IFERROR(INDEX(PP_Grid[#Data],$DE942,51),0)</f>
        <v/>
      </c>
      <c r="BC942">
        <f>IFERROR(INDEX(PP_Grid[#Data],$DE942,52),0)</f>
        <v/>
      </c>
      <c r="BD942">
        <f>IFERROR(INDEX(PP_Grid[#Data],$DE942,53),0)</f>
        <v/>
      </c>
      <c r="BE942">
        <f>IFERROR(INDEX(PP_Grid[#Data],$DE942,54),0)</f>
        <v/>
      </c>
      <c r="BF942">
        <f>IFERROR(INDEX(PP_Grid[#Data],$DE942,55),0)</f>
        <v/>
      </c>
      <c r="BG942">
        <f>IFERROR(INDEX(PP_Grid[#Data],$DE942,56),0)</f>
        <v/>
      </c>
      <c r="BH942">
        <f>IFERROR(INDEX(PP_Grid[#Data],$DE942,57),0)</f>
        <v/>
      </c>
      <c r="BI942">
        <f>IFERROR(INDEX(PP_Grid[#Data],$DE942,58),0)</f>
        <v/>
      </c>
      <c r="BJ942">
        <f>IFERROR(INDEX(PP_Grid[#Data],$DE942,59),0)</f>
        <v/>
      </c>
      <c r="BK942">
        <f>IFERROR(INDEX(PP_Grid[#Data],$DE942,60),0)</f>
        <v/>
      </c>
      <c r="BL942">
        <f>IFERROR(INDEX(PP_Grid[#Data],$DE942,61),0)</f>
        <v/>
      </c>
      <c r="BM942">
        <f>IFERROR(INDEX(PP_Grid[#Data],$DE942,62),0)</f>
        <v/>
      </c>
      <c r="BN942">
        <f>IFERROR(INDEX(PP_Grid[#Data],$DE942,63),0)</f>
        <v/>
      </c>
      <c r="BO942">
        <f>IFERROR(INDEX(PP_Grid[#Data],$DE942,64),0)</f>
        <v/>
      </c>
      <c r="BP942">
        <f>IFERROR(INDEX(PP_Grid[#Data],$DE942,65),0)</f>
        <v/>
      </c>
      <c r="BQ942">
        <f>IFERROR(INDEX(PP_Grid[#Data],$DE942,66),0)</f>
        <v/>
      </c>
      <c r="BR942">
        <f>IFERROR(INDEX(PP_Grid[#Data],$DE942,67),0)</f>
        <v/>
      </c>
      <c r="BS942">
        <f>IFERROR(INDEX(PP_Grid[#Data],$DE942,68),0)</f>
        <v/>
      </c>
      <c r="BT942">
        <f>IFERROR(INDEX(PP_Grid[#Data],$DE942,69),0)</f>
        <v/>
      </c>
      <c r="BU942">
        <f>IFERROR(INDEX(PP_Grid[#Data],$DE942,70),0)</f>
        <v/>
      </c>
      <c r="BV942">
        <f>IFERROR(INDEX(PP_Grid[#Data],$DE942,71),0)</f>
        <v/>
      </c>
      <c r="BW942">
        <f>IFERROR(INDEX(PP_Grid[#Data],$DE942,72),0)</f>
        <v/>
      </c>
      <c r="BX942">
        <f>IFERROR(INDEX(PP_Grid[#Data],$DE942,73),0)</f>
        <v/>
      </c>
      <c r="BY942">
        <f>IFERROR(INDEX(PP_Grid[#Data],$DE942,74),0)</f>
        <v/>
      </c>
      <c r="BZ942">
        <f>IFERROR(INDEX(PP_Grid[#Data],$DE942,75),0)</f>
        <v/>
      </c>
      <c r="CA942">
        <f>IFERROR(INDEX(PP_Grid[#Data],$DE942,76),0)</f>
        <v/>
      </c>
      <c r="CB942">
        <f>IFERROR(INDEX(PP_Grid[#Data],$DE942,77),0)</f>
        <v/>
      </c>
      <c r="CC942">
        <f>IFERROR(INDEX(PP_Grid[#Data],$DE942,78),0)</f>
        <v/>
      </c>
      <c r="CD942">
        <f>IFERROR(INDEX(PP_Grid[#Data],$DE942,79),0)</f>
        <v/>
      </c>
      <c r="CE942">
        <f>IFERROR(INDEX(PP_Grid[#Data],$DE942,80),0)</f>
        <v/>
      </c>
      <c r="CF942">
        <f>IFERROR(INDEX(PP_Grid[#Data],$DE942,81),0)</f>
        <v/>
      </c>
      <c r="CG942">
        <f>IFERROR(INDEX(PP_Grid[#Data],$DE942,82),0)</f>
        <v/>
      </c>
      <c r="CH942">
        <f>IFERROR(INDEX(PP_Grid[#Data],$DE942,83),0)</f>
        <v/>
      </c>
      <c r="CI942">
        <f>IFERROR(INDEX(PP_Grid[#Data],$DE942,84),0)</f>
        <v/>
      </c>
      <c r="CJ942">
        <f>IFERROR(INDEX(PP_Grid[#Data],$DE942,85),0)</f>
        <v/>
      </c>
      <c r="CK942">
        <f>IFERROR(INDEX(PP_Grid[#Data],$DE942,86),0)</f>
        <v/>
      </c>
      <c r="CL942">
        <f>IFERROR(INDEX(PP_Grid[#Data],$DE942,87),0)</f>
        <v/>
      </c>
      <c r="CM942">
        <f>IFERROR(INDEX(PP_Grid[#Data],$DE942,88),0)</f>
        <v/>
      </c>
      <c r="CN942">
        <f>IFERROR(INDEX(PP_Grid[#Data],$DE942,89),0)</f>
        <v/>
      </c>
      <c r="CO942">
        <f>IFERROR(INDEX(PP_Grid[#Data],$DE942,90),0)</f>
        <v/>
      </c>
      <c r="CP942">
        <f>IFERROR(INDEX(PP_Grid[#Data],$DE942,91),0)</f>
        <v/>
      </c>
      <c r="CQ942">
        <f>IFERROR(INDEX(PP_Grid[#Data],$DE942,92),0)</f>
        <v/>
      </c>
      <c r="CR942">
        <f>IFERROR(INDEX(PP_Grid[#Data],$DE942,93),0)</f>
        <v/>
      </c>
      <c r="CS942">
        <f>IFERROR(INDEX(PP_Grid[#Data],$DE942,94),0)</f>
        <v/>
      </c>
      <c r="CT942">
        <f>IFERROR(INDEX(PP_Grid[#Data],$DE942,95),0)</f>
        <v/>
      </c>
      <c r="CU942">
        <f>IFERROR(INDEX(PP_Grid[#Data],$DE942,96),0)</f>
        <v/>
      </c>
      <c r="CV942">
        <f>IFERROR(INDEX(PP_Grid[#Data],$DE942,97),0)</f>
        <v/>
      </c>
      <c r="CW942">
        <f>IFERROR(INDEX(PP_Grid[#Data],$DE942,98),0)</f>
        <v/>
      </c>
      <c r="CX942">
        <f>IFERROR(INDEX(PP_Grid[#Data],$DE942,99),0)</f>
        <v/>
      </c>
      <c r="CY942">
        <f>IFERROR(INDEX(PP_Grid[#Data],$DE942,100),0)</f>
        <v/>
      </c>
      <c r="CZ942">
        <f>IFERROR(INDEX(PP_Grid[#Data],$DE942,101),0)</f>
        <v/>
      </c>
      <c r="DA942">
        <f>IFERROR(INDEX(PP_Grid[#Data],$DE942,102),0)</f>
        <v/>
      </c>
      <c r="DB942">
        <f>IFERROR(INDEX(PP_Grid[#Data],$DE942,103),0)</f>
        <v/>
      </c>
      <c r="DC942">
        <f>IFERROR(INDEX(PP_Grid[#Data],$DE942,104),0)</f>
        <v/>
      </c>
      <c r="DD942">
        <f>IFERROR(INDEX(PP_Grid[#Data],$DE942,105),0)</f>
        <v/>
      </c>
      <c r="DE942" s="7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SUMIFS(M_BOM[RM_Qty_Per_Batch],M_BOM[Intermediate],$B942,M_BOM[RM_Code],$A923)</f>
        <v/>
      </c>
      <c r="D943">
        <f>IFERROR(INDEX(E943:DD943,$F$1),"")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  <c r="DD943">
        <f>$C943*DD942</f>
        <v/>
      </c>
    </row>
    <row r="944">
      <c r="B944" t="inlineStr">
        <is>
          <t>VSP-739</t>
        </is>
      </c>
      <c r="C944" t="inlineStr">
        <is>
          <t>No. of batches</t>
        </is>
      </c>
      <c r="D944">
        <f>IFERROR(INDEX(E944:DD944,$F$1),"")</f>
        <v/>
      </c>
      <c r="E944">
        <f>IFERROR(INDEX(PP_Grid[#Data],$DE944,2),0)</f>
        <v/>
      </c>
      <c r="F944">
        <f>IFERROR(INDEX(PP_Grid[#Data],$DE944,3),0)</f>
        <v/>
      </c>
      <c r="G944">
        <f>IFERROR(INDEX(PP_Grid[#Data],$DE944,4),0)</f>
        <v/>
      </c>
      <c r="H944">
        <f>IFERROR(INDEX(PP_Grid[#Data],$DE944,5),0)</f>
        <v/>
      </c>
      <c r="I944">
        <f>IFERROR(INDEX(PP_Grid[#Data],$DE944,6),0)</f>
        <v/>
      </c>
      <c r="J944">
        <f>IFERROR(INDEX(PP_Grid[#Data],$DE944,7),0)</f>
        <v/>
      </c>
      <c r="K944">
        <f>IFERROR(INDEX(PP_Grid[#Data],$DE944,8),0)</f>
        <v/>
      </c>
      <c r="L944">
        <f>IFERROR(INDEX(PP_Grid[#Data],$DE944,9),0)</f>
        <v/>
      </c>
      <c r="M944">
        <f>IFERROR(INDEX(PP_Grid[#Data],$DE944,10),0)</f>
        <v/>
      </c>
      <c r="N944">
        <f>IFERROR(INDEX(PP_Grid[#Data],$DE944,11),0)</f>
        <v/>
      </c>
      <c r="O944">
        <f>IFERROR(INDEX(PP_Grid[#Data],$DE944,12),0)</f>
        <v/>
      </c>
      <c r="P944">
        <f>IFERROR(INDEX(PP_Grid[#Data],$DE944,13),0)</f>
        <v/>
      </c>
      <c r="Q944">
        <f>IFERROR(INDEX(PP_Grid[#Data],$DE944,14),0)</f>
        <v/>
      </c>
      <c r="R944">
        <f>IFERROR(INDEX(PP_Grid[#Data],$DE944,15),0)</f>
        <v/>
      </c>
      <c r="S944">
        <f>IFERROR(INDEX(PP_Grid[#Data],$DE944,16),0)</f>
        <v/>
      </c>
      <c r="T944">
        <f>IFERROR(INDEX(PP_Grid[#Data],$DE944,17),0)</f>
        <v/>
      </c>
      <c r="U944">
        <f>IFERROR(INDEX(PP_Grid[#Data],$DE944,18),0)</f>
        <v/>
      </c>
      <c r="V944">
        <f>IFERROR(INDEX(PP_Grid[#Data],$DE944,19),0)</f>
        <v/>
      </c>
      <c r="W944">
        <f>IFERROR(INDEX(PP_Grid[#Data],$DE944,20),0)</f>
        <v/>
      </c>
      <c r="X944">
        <f>IFERROR(INDEX(PP_Grid[#Data],$DE944,21),0)</f>
        <v/>
      </c>
      <c r="Y944">
        <f>IFERROR(INDEX(PP_Grid[#Data],$DE944,22),0)</f>
        <v/>
      </c>
      <c r="Z944">
        <f>IFERROR(INDEX(PP_Grid[#Data],$DE944,23),0)</f>
        <v/>
      </c>
      <c r="AA944">
        <f>IFERROR(INDEX(PP_Grid[#Data],$DE944,24),0)</f>
        <v/>
      </c>
      <c r="AB944">
        <f>IFERROR(INDEX(PP_Grid[#Data],$DE944,25),0)</f>
        <v/>
      </c>
      <c r="AC944">
        <f>IFERROR(INDEX(PP_Grid[#Data],$DE944,26),0)</f>
        <v/>
      </c>
      <c r="AD944">
        <f>IFERROR(INDEX(PP_Grid[#Data],$DE944,27),0)</f>
        <v/>
      </c>
      <c r="AE944">
        <f>IFERROR(INDEX(PP_Grid[#Data],$DE944,28),0)</f>
        <v/>
      </c>
      <c r="AF944">
        <f>IFERROR(INDEX(PP_Grid[#Data],$DE944,29),0)</f>
        <v/>
      </c>
      <c r="AG944">
        <f>IFERROR(INDEX(PP_Grid[#Data],$DE944,30),0)</f>
        <v/>
      </c>
      <c r="AH944">
        <f>IFERROR(INDEX(PP_Grid[#Data],$DE944,31),0)</f>
        <v/>
      </c>
      <c r="AI944">
        <f>IFERROR(INDEX(PP_Grid[#Data],$DE944,32),0)</f>
        <v/>
      </c>
      <c r="AJ944">
        <f>IFERROR(INDEX(PP_Grid[#Data],$DE944,33),0)</f>
        <v/>
      </c>
      <c r="AK944">
        <f>IFERROR(INDEX(PP_Grid[#Data],$DE944,34),0)</f>
        <v/>
      </c>
      <c r="AL944">
        <f>IFERROR(INDEX(PP_Grid[#Data],$DE944,35),0)</f>
        <v/>
      </c>
      <c r="AM944">
        <f>IFERROR(INDEX(PP_Grid[#Data],$DE944,36),0)</f>
        <v/>
      </c>
      <c r="AN944">
        <f>IFERROR(INDEX(PP_Grid[#Data],$DE944,37),0)</f>
        <v/>
      </c>
      <c r="AO944">
        <f>IFERROR(INDEX(PP_Grid[#Data],$DE944,38),0)</f>
        <v/>
      </c>
      <c r="AP944">
        <f>IFERROR(INDEX(PP_Grid[#Data],$DE944,39),0)</f>
        <v/>
      </c>
      <c r="AQ944">
        <f>IFERROR(INDEX(PP_Grid[#Data],$DE944,40),0)</f>
        <v/>
      </c>
      <c r="AR944">
        <f>IFERROR(INDEX(PP_Grid[#Data],$DE944,41),0)</f>
        <v/>
      </c>
      <c r="AS944">
        <f>IFERROR(INDEX(PP_Grid[#Data],$DE944,42),0)</f>
        <v/>
      </c>
      <c r="AT944">
        <f>IFERROR(INDEX(PP_Grid[#Data],$DE944,43),0)</f>
        <v/>
      </c>
      <c r="AU944">
        <f>IFERROR(INDEX(PP_Grid[#Data],$DE944,44),0)</f>
        <v/>
      </c>
      <c r="AV944">
        <f>IFERROR(INDEX(PP_Grid[#Data],$DE944,45),0)</f>
        <v/>
      </c>
      <c r="AW944">
        <f>IFERROR(INDEX(PP_Grid[#Data],$DE944,46),0)</f>
        <v/>
      </c>
      <c r="AX944">
        <f>IFERROR(INDEX(PP_Grid[#Data],$DE944,47),0)</f>
        <v/>
      </c>
      <c r="AY944">
        <f>IFERROR(INDEX(PP_Grid[#Data],$DE944,48),0)</f>
        <v/>
      </c>
      <c r="AZ944">
        <f>IFERROR(INDEX(PP_Grid[#Data],$DE944,49),0)</f>
        <v/>
      </c>
      <c r="BA944">
        <f>IFERROR(INDEX(PP_Grid[#Data],$DE944,50),0)</f>
        <v/>
      </c>
      <c r="BB944">
        <f>IFERROR(INDEX(PP_Grid[#Data],$DE944,51),0)</f>
        <v/>
      </c>
      <c r="BC944">
        <f>IFERROR(INDEX(PP_Grid[#Data],$DE944,52),0)</f>
        <v/>
      </c>
      <c r="BD944">
        <f>IFERROR(INDEX(PP_Grid[#Data],$DE944,53),0)</f>
        <v/>
      </c>
      <c r="BE944">
        <f>IFERROR(INDEX(PP_Grid[#Data],$DE944,54),0)</f>
        <v/>
      </c>
      <c r="BF944">
        <f>IFERROR(INDEX(PP_Grid[#Data],$DE944,55),0)</f>
        <v/>
      </c>
      <c r="BG944">
        <f>IFERROR(INDEX(PP_Grid[#Data],$DE944,56),0)</f>
        <v/>
      </c>
      <c r="BH944">
        <f>IFERROR(INDEX(PP_Grid[#Data],$DE944,57),0)</f>
        <v/>
      </c>
      <c r="BI944">
        <f>IFERROR(INDEX(PP_Grid[#Data],$DE944,58),0)</f>
        <v/>
      </c>
      <c r="BJ944">
        <f>IFERROR(INDEX(PP_Grid[#Data],$DE944,59),0)</f>
        <v/>
      </c>
      <c r="BK944">
        <f>IFERROR(INDEX(PP_Grid[#Data],$DE944,60),0)</f>
        <v/>
      </c>
      <c r="BL944">
        <f>IFERROR(INDEX(PP_Grid[#Data],$DE944,61),0)</f>
        <v/>
      </c>
      <c r="BM944">
        <f>IFERROR(INDEX(PP_Grid[#Data],$DE944,62),0)</f>
        <v/>
      </c>
      <c r="BN944">
        <f>IFERROR(INDEX(PP_Grid[#Data],$DE944,63),0)</f>
        <v/>
      </c>
      <c r="BO944">
        <f>IFERROR(INDEX(PP_Grid[#Data],$DE944,64),0)</f>
        <v/>
      </c>
      <c r="BP944">
        <f>IFERROR(INDEX(PP_Grid[#Data],$DE944,65),0)</f>
        <v/>
      </c>
      <c r="BQ944">
        <f>IFERROR(INDEX(PP_Grid[#Data],$DE944,66),0)</f>
        <v/>
      </c>
      <c r="BR944">
        <f>IFERROR(INDEX(PP_Grid[#Data],$DE944,67),0)</f>
        <v/>
      </c>
      <c r="BS944">
        <f>IFERROR(INDEX(PP_Grid[#Data],$DE944,68),0)</f>
        <v/>
      </c>
      <c r="BT944">
        <f>IFERROR(INDEX(PP_Grid[#Data],$DE944,69),0)</f>
        <v/>
      </c>
      <c r="BU944">
        <f>IFERROR(INDEX(PP_Grid[#Data],$DE944,70),0)</f>
        <v/>
      </c>
      <c r="BV944">
        <f>IFERROR(INDEX(PP_Grid[#Data],$DE944,71),0)</f>
        <v/>
      </c>
      <c r="BW944">
        <f>IFERROR(INDEX(PP_Grid[#Data],$DE944,72),0)</f>
        <v/>
      </c>
      <c r="BX944">
        <f>IFERROR(INDEX(PP_Grid[#Data],$DE944,73),0)</f>
        <v/>
      </c>
      <c r="BY944">
        <f>IFERROR(INDEX(PP_Grid[#Data],$DE944,74),0)</f>
        <v/>
      </c>
      <c r="BZ944">
        <f>IFERROR(INDEX(PP_Grid[#Data],$DE944,75),0)</f>
        <v/>
      </c>
      <c r="CA944">
        <f>IFERROR(INDEX(PP_Grid[#Data],$DE944,76),0)</f>
        <v/>
      </c>
      <c r="CB944">
        <f>IFERROR(INDEX(PP_Grid[#Data],$DE944,77),0)</f>
        <v/>
      </c>
      <c r="CC944">
        <f>IFERROR(INDEX(PP_Grid[#Data],$DE944,78),0)</f>
        <v/>
      </c>
      <c r="CD944">
        <f>IFERROR(INDEX(PP_Grid[#Data],$DE944,79),0)</f>
        <v/>
      </c>
      <c r="CE944">
        <f>IFERROR(INDEX(PP_Grid[#Data],$DE944,80),0)</f>
        <v/>
      </c>
      <c r="CF944">
        <f>IFERROR(INDEX(PP_Grid[#Data],$DE944,81),0)</f>
        <v/>
      </c>
      <c r="CG944">
        <f>IFERROR(INDEX(PP_Grid[#Data],$DE944,82),0)</f>
        <v/>
      </c>
      <c r="CH944">
        <f>IFERROR(INDEX(PP_Grid[#Data],$DE944,83),0)</f>
        <v/>
      </c>
      <c r="CI944">
        <f>IFERROR(INDEX(PP_Grid[#Data],$DE944,84),0)</f>
        <v/>
      </c>
      <c r="CJ944">
        <f>IFERROR(INDEX(PP_Grid[#Data],$DE944,85),0)</f>
        <v/>
      </c>
      <c r="CK944">
        <f>IFERROR(INDEX(PP_Grid[#Data],$DE944,86),0)</f>
        <v/>
      </c>
      <c r="CL944">
        <f>IFERROR(INDEX(PP_Grid[#Data],$DE944,87),0)</f>
        <v/>
      </c>
      <c r="CM944">
        <f>IFERROR(INDEX(PP_Grid[#Data],$DE944,88),0)</f>
        <v/>
      </c>
      <c r="CN944">
        <f>IFERROR(INDEX(PP_Grid[#Data],$DE944,89),0)</f>
        <v/>
      </c>
      <c r="CO944">
        <f>IFERROR(INDEX(PP_Grid[#Data],$DE944,90),0)</f>
        <v/>
      </c>
      <c r="CP944">
        <f>IFERROR(INDEX(PP_Grid[#Data],$DE944,91),0)</f>
        <v/>
      </c>
      <c r="CQ944">
        <f>IFERROR(INDEX(PP_Grid[#Data],$DE944,92),0)</f>
        <v/>
      </c>
      <c r="CR944">
        <f>IFERROR(INDEX(PP_Grid[#Data],$DE944,93),0)</f>
        <v/>
      </c>
      <c r="CS944">
        <f>IFERROR(INDEX(PP_Grid[#Data],$DE944,94),0)</f>
        <v/>
      </c>
      <c r="CT944">
        <f>IFERROR(INDEX(PP_Grid[#Data],$DE944,95),0)</f>
        <v/>
      </c>
      <c r="CU944">
        <f>IFERROR(INDEX(PP_Grid[#Data],$DE944,96),0)</f>
        <v/>
      </c>
      <c r="CV944">
        <f>IFERROR(INDEX(PP_Grid[#Data],$DE944,97),0)</f>
        <v/>
      </c>
      <c r="CW944">
        <f>IFERROR(INDEX(PP_Grid[#Data],$DE944,98),0)</f>
        <v/>
      </c>
      <c r="CX944">
        <f>IFERROR(INDEX(PP_Grid[#Data],$DE944,99),0)</f>
        <v/>
      </c>
      <c r="CY944">
        <f>IFERROR(INDEX(PP_Grid[#Data],$DE944,100),0)</f>
        <v/>
      </c>
      <c r="CZ944">
        <f>IFERROR(INDEX(PP_Grid[#Data],$DE944,101),0)</f>
        <v/>
      </c>
      <c r="DA944">
        <f>IFERROR(INDEX(PP_Grid[#Data],$DE944,102),0)</f>
        <v/>
      </c>
      <c r="DB944">
        <f>IFERROR(INDEX(PP_Grid[#Data],$DE944,103),0)</f>
        <v/>
      </c>
      <c r="DC944">
        <f>IFERROR(INDEX(PP_Grid[#Data],$DE944,104),0)</f>
        <v/>
      </c>
      <c r="DD944">
        <f>IFERROR(INDEX(PP_Grid[#Data],$DE944,105),0)</f>
        <v/>
      </c>
      <c r="DE944" s="7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SUMIFS(M_BOM[RM_Qty_Per_Batch],M_BOM[Intermediate],$B944,M_BOM[RM_Code],$A923)</f>
        <v/>
      </c>
      <c r="D945">
        <f>IFERROR(INDEX(E945:DD945,$F$1),"")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  <c r="DD945">
        <f>$C945*DD944</f>
        <v/>
      </c>
    </row>
    <row r="946">
      <c r="B946" t="inlineStr">
        <is>
          <t>VSP-820</t>
        </is>
      </c>
      <c r="C946" t="inlineStr">
        <is>
          <t>No. of batches</t>
        </is>
      </c>
      <c r="D946">
        <f>IFERROR(INDEX(E946:DD946,$F$1),"")</f>
        <v/>
      </c>
      <c r="E946">
        <f>IFERROR(INDEX(PP_Grid[#Data],$DE946,2),0)</f>
        <v/>
      </c>
      <c r="F946">
        <f>IFERROR(INDEX(PP_Grid[#Data],$DE946,3),0)</f>
        <v/>
      </c>
      <c r="G946">
        <f>IFERROR(INDEX(PP_Grid[#Data],$DE946,4),0)</f>
        <v/>
      </c>
      <c r="H946">
        <f>IFERROR(INDEX(PP_Grid[#Data],$DE946,5),0)</f>
        <v/>
      </c>
      <c r="I946">
        <f>IFERROR(INDEX(PP_Grid[#Data],$DE946,6),0)</f>
        <v/>
      </c>
      <c r="J946">
        <f>IFERROR(INDEX(PP_Grid[#Data],$DE946,7),0)</f>
        <v/>
      </c>
      <c r="K946">
        <f>IFERROR(INDEX(PP_Grid[#Data],$DE946,8),0)</f>
        <v/>
      </c>
      <c r="L946">
        <f>IFERROR(INDEX(PP_Grid[#Data],$DE946,9),0)</f>
        <v/>
      </c>
      <c r="M946">
        <f>IFERROR(INDEX(PP_Grid[#Data],$DE946,10),0)</f>
        <v/>
      </c>
      <c r="N946">
        <f>IFERROR(INDEX(PP_Grid[#Data],$DE946,11),0)</f>
        <v/>
      </c>
      <c r="O946">
        <f>IFERROR(INDEX(PP_Grid[#Data],$DE946,12),0)</f>
        <v/>
      </c>
      <c r="P946">
        <f>IFERROR(INDEX(PP_Grid[#Data],$DE946,13),0)</f>
        <v/>
      </c>
      <c r="Q946">
        <f>IFERROR(INDEX(PP_Grid[#Data],$DE946,14),0)</f>
        <v/>
      </c>
      <c r="R946">
        <f>IFERROR(INDEX(PP_Grid[#Data],$DE946,15),0)</f>
        <v/>
      </c>
      <c r="S946">
        <f>IFERROR(INDEX(PP_Grid[#Data],$DE946,16),0)</f>
        <v/>
      </c>
      <c r="T946">
        <f>IFERROR(INDEX(PP_Grid[#Data],$DE946,17),0)</f>
        <v/>
      </c>
      <c r="U946">
        <f>IFERROR(INDEX(PP_Grid[#Data],$DE946,18),0)</f>
        <v/>
      </c>
      <c r="V946">
        <f>IFERROR(INDEX(PP_Grid[#Data],$DE946,19),0)</f>
        <v/>
      </c>
      <c r="W946">
        <f>IFERROR(INDEX(PP_Grid[#Data],$DE946,20),0)</f>
        <v/>
      </c>
      <c r="X946">
        <f>IFERROR(INDEX(PP_Grid[#Data],$DE946,21),0)</f>
        <v/>
      </c>
      <c r="Y946">
        <f>IFERROR(INDEX(PP_Grid[#Data],$DE946,22),0)</f>
        <v/>
      </c>
      <c r="Z946">
        <f>IFERROR(INDEX(PP_Grid[#Data],$DE946,23),0)</f>
        <v/>
      </c>
      <c r="AA946">
        <f>IFERROR(INDEX(PP_Grid[#Data],$DE946,24),0)</f>
        <v/>
      </c>
      <c r="AB946">
        <f>IFERROR(INDEX(PP_Grid[#Data],$DE946,25),0)</f>
        <v/>
      </c>
      <c r="AC946">
        <f>IFERROR(INDEX(PP_Grid[#Data],$DE946,26),0)</f>
        <v/>
      </c>
      <c r="AD946">
        <f>IFERROR(INDEX(PP_Grid[#Data],$DE946,27),0)</f>
        <v/>
      </c>
      <c r="AE946">
        <f>IFERROR(INDEX(PP_Grid[#Data],$DE946,28),0)</f>
        <v/>
      </c>
      <c r="AF946">
        <f>IFERROR(INDEX(PP_Grid[#Data],$DE946,29),0)</f>
        <v/>
      </c>
      <c r="AG946">
        <f>IFERROR(INDEX(PP_Grid[#Data],$DE946,30),0)</f>
        <v/>
      </c>
      <c r="AH946">
        <f>IFERROR(INDEX(PP_Grid[#Data],$DE946,31),0)</f>
        <v/>
      </c>
      <c r="AI946">
        <f>IFERROR(INDEX(PP_Grid[#Data],$DE946,32),0)</f>
        <v/>
      </c>
      <c r="AJ946">
        <f>IFERROR(INDEX(PP_Grid[#Data],$DE946,33),0)</f>
        <v/>
      </c>
      <c r="AK946">
        <f>IFERROR(INDEX(PP_Grid[#Data],$DE946,34),0)</f>
        <v/>
      </c>
      <c r="AL946">
        <f>IFERROR(INDEX(PP_Grid[#Data],$DE946,35),0)</f>
        <v/>
      </c>
      <c r="AM946">
        <f>IFERROR(INDEX(PP_Grid[#Data],$DE946,36),0)</f>
        <v/>
      </c>
      <c r="AN946">
        <f>IFERROR(INDEX(PP_Grid[#Data],$DE946,37),0)</f>
        <v/>
      </c>
      <c r="AO946">
        <f>IFERROR(INDEX(PP_Grid[#Data],$DE946,38),0)</f>
        <v/>
      </c>
      <c r="AP946">
        <f>IFERROR(INDEX(PP_Grid[#Data],$DE946,39),0)</f>
        <v/>
      </c>
      <c r="AQ946">
        <f>IFERROR(INDEX(PP_Grid[#Data],$DE946,40),0)</f>
        <v/>
      </c>
      <c r="AR946">
        <f>IFERROR(INDEX(PP_Grid[#Data],$DE946,41),0)</f>
        <v/>
      </c>
      <c r="AS946">
        <f>IFERROR(INDEX(PP_Grid[#Data],$DE946,42),0)</f>
        <v/>
      </c>
      <c r="AT946">
        <f>IFERROR(INDEX(PP_Grid[#Data],$DE946,43),0)</f>
        <v/>
      </c>
      <c r="AU946">
        <f>IFERROR(INDEX(PP_Grid[#Data],$DE946,44),0)</f>
        <v/>
      </c>
      <c r="AV946">
        <f>IFERROR(INDEX(PP_Grid[#Data],$DE946,45),0)</f>
        <v/>
      </c>
      <c r="AW946">
        <f>IFERROR(INDEX(PP_Grid[#Data],$DE946,46),0)</f>
        <v/>
      </c>
      <c r="AX946">
        <f>IFERROR(INDEX(PP_Grid[#Data],$DE946,47),0)</f>
        <v/>
      </c>
      <c r="AY946">
        <f>IFERROR(INDEX(PP_Grid[#Data],$DE946,48),0)</f>
        <v/>
      </c>
      <c r="AZ946">
        <f>IFERROR(INDEX(PP_Grid[#Data],$DE946,49),0)</f>
        <v/>
      </c>
      <c r="BA946">
        <f>IFERROR(INDEX(PP_Grid[#Data],$DE946,50),0)</f>
        <v/>
      </c>
      <c r="BB946">
        <f>IFERROR(INDEX(PP_Grid[#Data],$DE946,51),0)</f>
        <v/>
      </c>
      <c r="BC946">
        <f>IFERROR(INDEX(PP_Grid[#Data],$DE946,52),0)</f>
        <v/>
      </c>
      <c r="BD946">
        <f>IFERROR(INDEX(PP_Grid[#Data],$DE946,53),0)</f>
        <v/>
      </c>
      <c r="BE946">
        <f>IFERROR(INDEX(PP_Grid[#Data],$DE946,54),0)</f>
        <v/>
      </c>
      <c r="BF946">
        <f>IFERROR(INDEX(PP_Grid[#Data],$DE946,55),0)</f>
        <v/>
      </c>
      <c r="BG946">
        <f>IFERROR(INDEX(PP_Grid[#Data],$DE946,56),0)</f>
        <v/>
      </c>
      <c r="BH946">
        <f>IFERROR(INDEX(PP_Grid[#Data],$DE946,57),0)</f>
        <v/>
      </c>
      <c r="BI946">
        <f>IFERROR(INDEX(PP_Grid[#Data],$DE946,58),0)</f>
        <v/>
      </c>
      <c r="BJ946">
        <f>IFERROR(INDEX(PP_Grid[#Data],$DE946,59),0)</f>
        <v/>
      </c>
      <c r="BK946">
        <f>IFERROR(INDEX(PP_Grid[#Data],$DE946,60),0)</f>
        <v/>
      </c>
      <c r="BL946">
        <f>IFERROR(INDEX(PP_Grid[#Data],$DE946,61),0)</f>
        <v/>
      </c>
      <c r="BM946">
        <f>IFERROR(INDEX(PP_Grid[#Data],$DE946,62),0)</f>
        <v/>
      </c>
      <c r="BN946">
        <f>IFERROR(INDEX(PP_Grid[#Data],$DE946,63),0)</f>
        <v/>
      </c>
      <c r="BO946">
        <f>IFERROR(INDEX(PP_Grid[#Data],$DE946,64),0)</f>
        <v/>
      </c>
      <c r="BP946">
        <f>IFERROR(INDEX(PP_Grid[#Data],$DE946,65),0)</f>
        <v/>
      </c>
      <c r="BQ946">
        <f>IFERROR(INDEX(PP_Grid[#Data],$DE946,66),0)</f>
        <v/>
      </c>
      <c r="BR946">
        <f>IFERROR(INDEX(PP_Grid[#Data],$DE946,67),0)</f>
        <v/>
      </c>
      <c r="BS946">
        <f>IFERROR(INDEX(PP_Grid[#Data],$DE946,68),0)</f>
        <v/>
      </c>
      <c r="BT946">
        <f>IFERROR(INDEX(PP_Grid[#Data],$DE946,69),0)</f>
        <v/>
      </c>
      <c r="BU946">
        <f>IFERROR(INDEX(PP_Grid[#Data],$DE946,70),0)</f>
        <v/>
      </c>
      <c r="BV946">
        <f>IFERROR(INDEX(PP_Grid[#Data],$DE946,71),0)</f>
        <v/>
      </c>
      <c r="BW946">
        <f>IFERROR(INDEX(PP_Grid[#Data],$DE946,72),0)</f>
        <v/>
      </c>
      <c r="BX946">
        <f>IFERROR(INDEX(PP_Grid[#Data],$DE946,73),0)</f>
        <v/>
      </c>
      <c r="BY946">
        <f>IFERROR(INDEX(PP_Grid[#Data],$DE946,74),0)</f>
        <v/>
      </c>
      <c r="BZ946">
        <f>IFERROR(INDEX(PP_Grid[#Data],$DE946,75),0)</f>
        <v/>
      </c>
      <c r="CA946">
        <f>IFERROR(INDEX(PP_Grid[#Data],$DE946,76),0)</f>
        <v/>
      </c>
      <c r="CB946">
        <f>IFERROR(INDEX(PP_Grid[#Data],$DE946,77),0)</f>
        <v/>
      </c>
      <c r="CC946">
        <f>IFERROR(INDEX(PP_Grid[#Data],$DE946,78),0)</f>
        <v/>
      </c>
      <c r="CD946">
        <f>IFERROR(INDEX(PP_Grid[#Data],$DE946,79),0)</f>
        <v/>
      </c>
      <c r="CE946">
        <f>IFERROR(INDEX(PP_Grid[#Data],$DE946,80),0)</f>
        <v/>
      </c>
      <c r="CF946">
        <f>IFERROR(INDEX(PP_Grid[#Data],$DE946,81),0)</f>
        <v/>
      </c>
      <c r="CG946">
        <f>IFERROR(INDEX(PP_Grid[#Data],$DE946,82),0)</f>
        <v/>
      </c>
      <c r="CH946">
        <f>IFERROR(INDEX(PP_Grid[#Data],$DE946,83),0)</f>
        <v/>
      </c>
      <c r="CI946">
        <f>IFERROR(INDEX(PP_Grid[#Data],$DE946,84),0)</f>
        <v/>
      </c>
      <c r="CJ946">
        <f>IFERROR(INDEX(PP_Grid[#Data],$DE946,85),0)</f>
        <v/>
      </c>
      <c r="CK946">
        <f>IFERROR(INDEX(PP_Grid[#Data],$DE946,86),0)</f>
        <v/>
      </c>
      <c r="CL946">
        <f>IFERROR(INDEX(PP_Grid[#Data],$DE946,87),0)</f>
        <v/>
      </c>
      <c r="CM946">
        <f>IFERROR(INDEX(PP_Grid[#Data],$DE946,88),0)</f>
        <v/>
      </c>
      <c r="CN946">
        <f>IFERROR(INDEX(PP_Grid[#Data],$DE946,89),0)</f>
        <v/>
      </c>
      <c r="CO946">
        <f>IFERROR(INDEX(PP_Grid[#Data],$DE946,90),0)</f>
        <v/>
      </c>
      <c r="CP946">
        <f>IFERROR(INDEX(PP_Grid[#Data],$DE946,91),0)</f>
        <v/>
      </c>
      <c r="CQ946">
        <f>IFERROR(INDEX(PP_Grid[#Data],$DE946,92),0)</f>
        <v/>
      </c>
      <c r="CR946">
        <f>IFERROR(INDEX(PP_Grid[#Data],$DE946,93),0)</f>
        <v/>
      </c>
      <c r="CS946">
        <f>IFERROR(INDEX(PP_Grid[#Data],$DE946,94),0)</f>
        <v/>
      </c>
      <c r="CT946">
        <f>IFERROR(INDEX(PP_Grid[#Data],$DE946,95),0)</f>
        <v/>
      </c>
      <c r="CU946">
        <f>IFERROR(INDEX(PP_Grid[#Data],$DE946,96),0)</f>
        <v/>
      </c>
      <c r="CV946">
        <f>IFERROR(INDEX(PP_Grid[#Data],$DE946,97),0)</f>
        <v/>
      </c>
      <c r="CW946">
        <f>IFERROR(INDEX(PP_Grid[#Data],$DE946,98),0)</f>
        <v/>
      </c>
      <c r="CX946">
        <f>IFERROR(INDEX(PP_Grid[#Data],$DE946,99),0)</f>
        <v/>
      </c>
      <c r="CY946">
        <f>IFERROR(INDEX(PP_Grid[#Data],$DE946,100),0)</f>
        <v/>
      </c>
      <c r="CZ946">
        <f>IFERROR(INDEX(PP_Grid[#Data],$DE946,101),0)</f>
        <v/>
      </c>
      <c r="DA946">
        <f>IFERROR(INDEX(PP_Grid[#Data],$DE946,102),0)</f>
        <v/>
      </c>
      <c r="DB946">
        <f>IFERROR(INDEX(PP_Grid[#Data],$DE946,103),0)</f>
        <v/>
      </c>
      <c r="DC946">
        <f>IFERROR(INDEX(PP_Grid[#Data],$DE946,104),0)</f>
        <v/>
      </c>
      <c r="DD946">
        <f>IFERROR(INDEX(PP_Grid[#Data],$DE946,105),0)</f>
        <v/>
      </c>
      <c r="DE946" s="7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SUMIFS(M_BOM[RM_Qty_Per_Batch],M_BOM[Intermediate],$B946,M_BOM[RM_Code],$A923)</f>
        <v/>
      </c>
      <c r="D947">
        <f>IFERROR(INDEX(E947:DD947,$F$1),"")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  <c r="DD947">
        <f>$C947*DD946</f>
        <v/>
      </c>
    </row>
    <row r="948">
      <c r="B948" t="inlineStr">
        <is>
          <t>VSP-869</t>
        </is>
      </c>
      <c r="C948" t="inlineStr">
        <is>
          <t>No. of batches</t>
        </is>
      </c>
      <c r="D948">
        <f>IFERROR(INDEX(E948:DD948,$F$1),"")</f>
        <v/>
      </c>
      <c r="E948">
        <f>IFERROR(INDEX(PP_Grid[#Data],$DE948,2),0)</f>
        <v/>
      </c>
      <c r="F948">
        <f>IFERROR(INDEX(PP_Grid[#Data],$DE948,3),0)</f>
        <v/>
      </c>
      <c r="G948">
        <f>IFERROR(INDEX(PP_Grid[#Data],$DE948,4),0)</f>
        <v/>
      </c>
      <c r="H948">
        <f>IFERROR(INDEX(PP_Grid[#Data],$DE948,5),0)</f>
        <v/>
      </c>
      <c r="I948">
        <f>IFERROR(INDEX(PP_Grid[#Data],$DE948,6),0)</f>
        <v/>
      </c>
      <c r="J948">
        <f>IFERROR(INDEX(PP_Grid[#Data],$DE948,7),0)</f>
        <v/>
      </c>
      <c r="K948">
        <f>IFERROR(INDEX(PP_Grid[#Data],$DE948,8),0)</f>
        <v/>
      </c>
      <c r="L948">
        <f>IFERROR(INDEX(PP_Grid[#Data],$DE948,9),0)</f>
        <v/>
      </c>
      <c r="M948">
        <f>IFERROR(INDEX(PP_Grid[#Data],$DE948,10),0)</f>
        <v/>
      </c>
      <c r="N948">
        <f>IFERROR(INDEX(PP_Grid[#Data],$DE948,11),0)</f>
        <v/>
      </c>
      <c r="O948">
        <f>IFERROR(INDEX(PP_Grid[#Data],$DE948,12),0)</f>
        <v/>
      </c>
      <c r="P948">
        <f>IFERROR(INDEX(PP_Grid[#Data],$DE948,13),0)</f>
        <v/>
      </c>
      <c r="Q948">
        <f>IFERROR(INDEX(PP_Grid[#Data],$DE948,14),0)</f>
        <v/>
      </c>
      <c r="R948">
        <f>IFERROR(INDEX(PP_Grid[#Data],$DE948,15),0)</f>
        <v/>
      </c>
      <c r="S948">
        <f>IFERROR(INDEX(PP_Grid[#Data],$DE948,16),0)</f>
        <v/>
      </c>
      <c r="T948">
        <f>IFERROR(INDEX(PP_Grid[#Data],$DE948,17),0)</f>
        <v/>
      </c>
      <c r="U948">
        <f>IFERROR(INDEX(PP_Grid[#Data],$DE948,18),0)</f>
        <v/>
      </c>
      <c r="V948">
        <f>IFERROR(INDEX(PP_Grid[#Data],$DE948,19),0)</f>
        <v/>
      </c>
      <c r="W948">
        <f>IFERROR(INDEX(PP_Grid[#Data],$DE948,20),0)</f>
        <v/>
      </c>
      <c r="X948">
        <f>IFERROR(INDEX(PP_Grid[#Data],$DE948,21),0)</f>
        <v/>
      </c>
      <c r="Y948">
        <f>IFERROR(INDEX(PP_Grid[#Data],$DE948,22),0)</f>
        <v/>
      </c>
      <c r="Z948">
        <f>IFERROR(INDEX(PP_Grid[#Data],$DE948,23),0)</f>
        <v/>
      </c>
      <c r="AA948">
        <f>IFERROR(INDEX(PP_Grid[#Data],$DE948,24),0)</f>
        <v/>
      </c>
      <c r="AB948">
        <f>IFERROR(INDEX(PP_Grid[#Data],$DE948,25),0)</f>
        <v/>
      </c>
      <c r="AC948">
        <f>IFERROR(INDEX(PP_Grid[#Data],$DE948,26),0)</f>
        <v/>
      </c>
      <c r="AD948">
        <f>IFERROR(INDEX(PP_Grid[#Data],$DE948,27),0)</f>
        <v/>
      </c>
      <c r="AE948">
        <f>IFERROR(INDEX(PP_Grid[#Data],$DE948,28),0)</f>
        <v/>
      </c>
      <c r="AF948">
        <f>IFERROR(INDEX(PP_Grid[#Data],$DE948,29),0)</f>
        <v/>
      </c>
      <c r="AG948">
        <f>IFERROR(INDEX(PP_Grid[#Data],$DE948,30),0)</f>
        <v/>
      </c>
      <c r="AH948">
        <f>IFERROR(INDEX(PP_Grid[#Data],$DE948,31),0)</f>
        <v/>
      </c>
      <c r="AI948">
        <f>IFERROR(INDEX(PP_Grid[#Data],$DE948,32),0)</f>
        <v/>
      </c>
      <c r="AJ948">
        <f>IFERROR(INDEX(PP_Grid[#Data],$DE948,33),0)</f>
        <v/>
      </c>
      <c r="AK948">
        <f>IFERROR(INDEX(PP_Grid[#Data],$DE948,34),0)</f>
        <v/>
      </c>
      <c r="AL948">
        <f>IFERROR(INDEX(PP_Grid[#Data],$DE948,35),0)</f>
        <v/>
      </c>
      <c r="AM948">
        <f>IFERROR(INDEX(PP_Grid[#Data],$DE948,36),0)</f>
        <v/>
      </c>
      <c r="AN948">
        <f>IFERROR(INDEX(PP_Grid[#Data],$DE948,37),0)</f>
        <v/>
      </c>
      <c r="AO948">
        <f>IFERROR(INDEX(PP_Grid[#Data],$DE948,38),0)</f>
        <v/>
      </c>
      <c r="AP948">
        <f>IFERROR(INDEX(PP_Grid[#Data],$DE948,39),0)</f>
        <v/>
      </c>
      <c r="AQ948">
        <f>IFERROR(INDEX(PP_Grid[#Data],$DE948,40),0)</f>
        <v/>
      </c>
      <c r="AR948">
        <f>IFERROR(INDEX(PP_Grid[#Data],$DE948,41),0)</f>
        <v/>
      </c>
      <c r="AS948">
        <f>IFERROR(INDEX(PP_Grid[#Data],$DE948,42),0)</f>
        <v/>
      </c>
      <c r="AT948">
        <f>IFERROR(INDEX(PP_Grid[#Data],$DE948,43),0)</f>
        <v/>
      </c>
      <c r="AU948">
        <f>IFERROR(INDEX(PP_Grid[#Data],$DE948,44),0)</f>
        <v/>
      </c>
      <c r="AV948">
        <f>IFERROR(INDEX(PP_Grid[#Data],$DE948,45),0)</f>
        <v/>
      </c>
      <c r="AW948">
        <f>IFERROR(INDEX(PP_Grid[#Data],$DE948,46),0)</f>
        <v/>
      </c>
      <c r="AX948">
        <f>IFERROR(INDEX(PP_Grid[#Data],$DE948,47),0)</f>
        <v/>
      </c>
      <c r="AY948">
        <f>IFERROR(INDEX(PP_Grid[#Data],$DE948,48),0)</f>
        <v/>
      </c>
      <c r="AZ948">
        <f>IFERROR(INDEX(PP_Grid[#Data],$DE948,49),0)</f>
        <v/>
      </c>
      <c r="BA948">
        <f>IFERROR(INDEX(PP_Grid[#Data],$DE948,50),0)</f>
        <v/>
      </c>
      <c r="BB948">
        <f>IFERROR(INDEX(PP_Grid[#Data],$DE948,51),0)</f>
        <v/>
      </c>
      <c r="BC948">
        <f>IFERROR(INDEX(PP_Grid[#Data],$DE948,52),0)</f>
        <v/>
      </c>
      <c r="BD948">
        <f>IFERROR(INDEX(PP_Grid[#Data],$DE948,53),0)</f>
        <v/>
      </c>
      <c r="BE948">
        <f>IFERROR(INDEX(PP_Grid[#Data],$DE948,54),0)</f>
        <v/>
      </c>
      <c r="BF948">
        <f>IFERROR(INDEX(PP_Grid[#Data],$DE948,55),0)</f>
        <v/>
      </c>
      <c r="BG948">
        <f>IFERROR(INDEX(PP_Grid[#Data],$DE948,56),0)</f>
        <v/>
      </c>
      <c r="BH948">
        <f>IFERROR(INDEX(PP_Grid[#Data],$DE948,57),0)</f>
        <v/>
      </c>
      <c r="BI948">
        <f>IFERROR(INDEX(PP_Grid[#Data],$DE948,58),0)</f>
        <v/>
      </c>
      <c r="BJ948">
        <f>IFERROR(INDEX(PP_Grid[#Data],$DE948,59),0)</f>
        <v/>
      </c>
      <c r="BK948">
        <f>IFERROR(INDEX(PP_Grid[#Data],$DE948,60),0)</f>
        <v/>
      </c>
      <c r="BL948">
        <f>IFERROR(INDEX(PP_Grid[#Data],$DE948,61),0)</f>
        <v/>
      </c>
      <c r="BM948">
        <f>IFERROR(INDEX(PP_Grid[#Data],$DE948,62),0)</f>
        <v/>
      </c>
      <c r="BN948">
        <f>IFERROR(INDEX(PP_Grid[#Data],$DE948,63),0)</f>
        <v/>
      </c>
      <c r="BO948">
        <f>IFERROR(INDEX(PP_Grid[#Data],$DE948,64),0)</f>
        <v/>
      </c>
      <c r="BP948">
        <f>IFERROR(INDEX(PP_Grid[#Data],$DE948,65),0)</f>
        <v/>
      </c>
      <c r="BQ948">
        <f>IFERROR(INDEX(PP_Grid[#Data],$DE948,66),0)</f>
        <v/>
      </c>
      <c r="BR948">
        <f>IFERROR(INDEX(PP_Grid[#Data],$DE948,67),0)</f>
        <v/>
      </c>
      <c r="BS948">
        <f>IFERROR(INDEX(PP_Grid[#Data],$DE948,68),0)</f>
        <v/>
      </c>
      <c r="BT948">
        <f>IFERROR(INDEX(PP_Grid[#Data],$DE948,69),0)</f>
        <v/>
      </c>
      <c r="BU948">
        <f>IFERROR(INDEX(PP_Grid[#Data],$DE948,70),0)</f>
        <v/>
      </c>
      <c r="BV948">
        <f>IFERROR(INDEX(PP_Grid[#Data],$DE948,71),0)</f>
        <v/>
      </c>
      <c r="BW948">
        <f>IFERROR(INDEX(PP_Grid[#Data],$DE948,72),0)</f>
        <v/>
      </c>
      <c r="BX948">
        <f>IFERROR(INDEX(PP_Grid[#Data],$DE948,73),0)</f>
        <v/>
      </c>
      <c r="BY948">
        <f>IFERROR(INDEX(PP_Grid[#Data],$DE948,74),0)</f>
        <v/>
      </c>
      <c r="BZ948">
        <f>IFERROR(INDEX(PP_Grid[#Data],$DE948,75),0)</f>
        <v/>
      </c>
      <c r="CA948">
        <f>IFERROR(INDEX(PP_Grid[#Data],$DE948,76),0)</f>
        <v/>
      </c>
      <c r="CB948">
        <f>IFERROR(INDEX(PP_Grid[#Data],$DE948,77),0)</f>
        <v/>
      </c>
      <c r="CC948">
        <f>IFERROR(INDEX(PP_Grid[#Data],$DE948,78),0)</f>
        <v/>
      </c>
      <c r="CD948">
        <f>IFERROR(INDEX(PP_Grid[#Data],$DE948,79),0)</f>
        <v/>
      </c>
      <c r="CE948">
        <f>IFERROR(INDEX(PP_Grid[#Data],$DE948,80),0)</f>
        <v/>
      </c>
      <c r="CF948">
        <f>IFERROR(INDEX(PP_Grid[#Data],$DE948,81),0)</f>
        <v/>
      </c>
      <c r="CG948">
        <f>IFERROR(INDEX(PP_Grid[#Data],$DE948,82),0)</f>
        <v/>
      </c>
      <c r="CH948">
        <f>IFERROR(INDEX(PP_Grid[#Data],$DE948,83),0)</f>
        <v/>
      </c>
      <c r="CI948">
        <f>IFERROR(INDEX(PP_Grid[#Data],$DE948,84),0)</f>
        <v/>
      </c>
      <c r="CJ948">
        <f>IFERROR(INDEX(PP_Grid[#Data],$DE948,85),0)</f>
        <v/>
      </c>
      <c r="CK948">
        <f>IFERROR(INDEX(PP_Grid[#Data],$DE948,86),0)</f>
        <v/>
      </c>
      <c r="CL948">
        <f>IFERROR(INDEX(PP_Grid[#Data],$DE948,87),0)</f>
        <v/>
      </c>
      <c r="CM948">
        <f>IFERROR(INDEX(PP_Grid[#Data],$DE948,88),0)</f>
        <v/>
      </c>
      <c r="CN948">
        <f>IFERROR(INDEX(PP_Grid[#Data],$DE948,89),0)</f>
        <v/>
      </c>
      <c r="CO948">
        <f>IFERROR(INDEX(PP_Grid[#Data],$DE948,90),0)</f>
        <v/>
      </c>
      <c r="CP948">
        <f>IFERROR(INDEX(PP_Grid[#Data],$DE948,91),0)</f>
        <v/>
      </c>
      <c r="CQ948">
        <f>IFERROR(INDEX(PP_Grid[#Data],$DE948,92),0)</f>
        <v/>
      </c>
      <c r="CR948">
        <f>IFERROR(INDEX(PP_Grid[#Data],$DE948,93),0)</f>
        <v/>
      </c>
      <c r="CS948">
        <f>IFERROR(INDEX(PP_Grid[#Data],$DE948,94),0)</f>
        <v/>
      </c>
      <c r="CT948">
        <f>IFERROR(INDEX(PP_Grid[#Data],$DE948,95),0)</f>
        <v/>
      </c>
      <c r="CU948">
        <f>IFERROR(INDEX(PP_Grid[#Data],$DE948,96),0)</f>
        <v/>
      </c>
      <c r="CV948">
        <f>IFERROR(INDEX(PP_Grid[#Data],$DE948,97),0)</f>
        <v/>
      </c>
      <c r="CW948">
        <f>IFERROR(INDEX(PP_Grid[#Data],$DE948,98),0)</f>
        <v/>
      </c>
      <c r="CX948">
        <f>IFERROR(INDEX(PP_Grid[#Data],$DE948,99),0)</f>
        <v/>
      </c>
      <c r="CY948">
        <f>IFERROR(INDEX(PP_Grid[#Data],$DE948,100),0)</f>
        <v/>
      </c>
      <c r="CZ948">
        <f>IFERROR(INDEX(PP_Grid[#Data],$DE948,101),0)</f>
        <v/>
      </c>
      <c r="DA948">
        <f>IFERROR(INDEX(PP_Grid[#Data],$DE948,102),0)</f>
        <v/>
      </c>
      <c r="DB948">
        <f>IFERROR(INDEX(PP_Grid[#Data],$DE948,103),0)</f>
        <v/>
      </c>
      <c r="DC948">
        <f>IFERROR(INDEX(PP_Grid[#Data],$DE948,104),0)</f>
        <v/>
      </c>
      <c r="DD948">
        <f>IFERROR(INDEX(PP_Grid[#Data],$DE948,105),0)</f>
        <v/>
      </c>
      <c r="DE948" s="7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SUMIFS(M_BOM[RM_Qty_Per_Batch],M_BOM[Intermediate],$B948,M_BOM[RM_Code],$A923)</f>
        <v/>
      </c>
      <c r="D949">
        <f>IFERROR(INDEX(E949:DD949,$F$1),"")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  <c r="DD949">
        <f>$C949*DD948</f>
        <v/>
      </c>
    </row>
    <row r="950">
      <c r="B950" t="inlineStr">
        <is>
          <t>VSP-989</t>
        </is>
      </c>
      <c r="C950" t="inlineStr">
        <is>
          <t>No. of batches</t>
        </is>
      </c>
      <c r="D950">
        <f>IFERROR(INDEX(E950:DD950,$F$1),"")</f>
        <v/>
      </c>
      <c r="E950">
        <f>IFERROR(INDEX(PP_Grid[#Data],$DE950,2),0)</f>
        <v/>
      </c>
      <c r="F950">
        <f>IFERROR(INDEX(PP_Grid[#Data],$DE950,3),0)</f>
        <v/>
      </c>
      <c r="G950">
        <f>IFERROR(INDEX(PP_Grid[#Data],$DE950,4),0)</f>
        <v/>
      </c>
      <c r="H950">
        <f>IFERROR(INDEX(PP_Grid[#Data],$DE950,5),0)</f>
        <v/>
      </c>
      <c r="I950">
        <f>IFERROR(INDEX(PP_Grid[#Data],$DE950,6),0)</f>
        <v/>
      </c>
      <c r="J950">
        <f>IFERROR(INDEX(PP_Grid[#Data],$DE950,7),0)</f>
        <v/>
      </c>
      <c r="K950">
        <f>IFERROR(INDEX(PP_Grid[#Data],$DE950,8),0)</f>
        <v/>
      </c>
      <c r="L950">
        <f>IFERROR(INDEX(PP_Grid[#Data],$DE950,9),0)</f>
        <v/>
      </c>
      <c r="M950">
        <f>IFERROR(INDEX(PP_Grid[#Data],$DE950,10),0)</f>
        <v/>
      </c>
      <c r="N950">
        <f>IFERROR(INDEX(PP_Grid[#Data],$DE950,11),0)</f>
        <v/>
      </c>
      <c r="O950">
        <f>IFERROR(INDEX(PP_Grid[#Data],$DE950,12),0)</f>
        <v/>
      </c>
      <c r="P950">
        <f>IFERROR(INDEX(PP_Grid[#Data],$DE950,13),0)</f>
        <v/>
      </c>
      <c r="Q950">
        <f>IFERROR(INDEX(PP_Grid[#Data],$DE950,14),0)</f>
        <v/>
      </c>
      <c r="R950">
        <f>IFERROR(INDEX(PP_Grid[#Data],$DE950,15),0)</f>
        <v/>
      </c>
      <c r="S950">
        <f>IFERROR(INDEX(PP_Grid[#Data],$DE950,16),0)</f>
        <v/>
      </c>
      <c r="T950">
        <f>IFERROR(INDEX(PP_Grid[#Data],$DE950,17),0)</f>
        <v/>
      </c>
      <c r="U950">
        <f>IFERROR(INDEX(PP_Grid[#Data],$DE950,18),0)</f>
        <v/>
      </c>
      <c r="V950">
        <f>IFERROR(INDEX(PP_Grid[#Data],$DE950,19),0)</f>
        <v/>
      </c>
      <c r="W950">
        <f>IFERROR(INDEX(PP_Grid[#Data],$DE950,20),0)</f>
        <v/>
      </c>
      <c r="X950">
        <f>IFERROR(INDEX(PP_Grid[#Data],$DE950,21),0)</f>
        <v/>
      </c>
      <c r="Y950">
        <f>IFERROR(INDEX(PP_Grid[#Data],$DE950,22),0)</f>
        <v/>
      </c>
      <c r="Z950">
        <f>IFERROR(INDEX(PP_Grid[#Data],$DE950,23),0)</f>
        <v/>
      </c>
      <c r="AA950">
        <f>IFERROR(INDEX(PP_Grid[#Data],$DE950,24),0)</f>
        <v/>
      </c>
      <c r="AB950">
        <f>IFERROR(INDEX(PP_Grid[#Data],$DE950,25),0)</f>
        <v/>
      </c>
      <c r="AC950">
        <f>IFERROR(INDEX(PP_Grid[#Data],$DE950,26),0)</f>
        <v/>
      </c>
      <c r="AD950">
        <f>IFERROR(INDEX(PP_Grid[#Data],$DE950,27),0)</f>
        <v/>
      </c>
      <c r="AE950">
        <f>IFERROR(INDEX(PP_Grid[#Data],$DE950,28),0)</f>
        <v/>
      </c>
      <c r="AF950">
        <f>IFERROR(INDEX(PP_Grid[#Data],$DE950,29),0)</f>
        <v/>
      </c>
      <c r="AG950">
        <f>IFERROR(INDEX(PP_Grid[#Data],$DE950,30),0)</f>
        <v/>
      </c>
      <c r="AH950">
        <f>IFERROR(INDEX(PP_Grid[#Data],$DE950,31),0)</f>
        <v/>
      </c>
      <c r="AI950">
        <f>IFERROR(INDEX(PP_Grid[#Data],$DE950,32),0)</f>
        <v/>
      </c>
      <c r="AJ950">
        <f>IFERROR(INDEX(PP_Grid[#Data],$DE950,33),0)</f>
        <v/>
      </c>
      <c r="AK950">
        <f>IFERROR(INDEX(PP_Grid[#Data],$DE950,34),0)</f>
        <v/>
      </c>
      <c r="AL950">
        <f>IFERROR(INDEX(PP_Grid[#Data],$DE950,35),0)</f>
        <v/>
      </c>
      <c r="AM950">
        <f>IFERROR(INDEX(PP_Grid[#Data],$DE950,36),0)</f>
        <v/>
      </c>
      <c r="AN950">
        <f>IFERROR(INDEX(PP_Grid[#Data],$DE950,37),0)</f>
        <v/>
      </c>
      <c r="AO950">
        <f>IFERROR(INDEX(PP_Grid[#Data],$DE950,38),0)</f>
        <v/>
      </c>
      <c r="AP950">
        <f>IFERROR(INDEX(PP_Grid[#Data],$DE950,39),0)</f>
        <v/>
      </c>
      <c r="AQ950">
        <f>IFERROR(INDEX(PP_Grid[#Data],$DE950,40),0)</f>
        <v/>
      </c>
      <c r="AR950">
        <f>IFERROR(INDEX(PP_Grid[#Data],$DE950,41),0)</f>
        <v/>
      </c>
      <c r="AS950">
        <f>IFERROR(INDEX(PP_Grid[#Data],$DE950,42),0)</f>
        <v/>
      </c>
      <c r="AT950">
        <f>IFERROR(INDEX(PP_Grid[#Data],$DE950,43),0)</f>
        <v/>
      </c>
      <c r="AU950">
        <f>IFERROR(INDEX(PP_Grid[#Data],$DE950,44),0)</f>
        <v/>
      </c>
      <c r="AV950">
        <f>IFERROR(INDEX(PP_Grid[#Data],$DE950,45),0)</f>
        <v/>
      </c>
      <c r="AW950">
        <f>IFERROR(INDEX(PP_Grid[#Data],$DE950,46),0)</f>
        <v/>
      </c>
      <c r="AX950">
        <f>IFERROR(INDEX(PP_Grid[#Data],$DE950,47),0)</f>
        <v/>
      </c>
      <c r="AY950">
        <f>IFERROR(INDEX(PP_Grid[#Data],$DE950,48),0)</f>
        <v/>
      </c>
      <c r="AZ950">
        <f>IFERROR(INDEX(PP_Grid[#Data],$DE950,49),0)</f>
        <v/>
      </c>
      <c r="BA950">
        <f>IFERROR(INDEX(PP_Grid[#Data],$DE950,50),0)</f>
        <v/>
      </c>
      <c r="BB950">
        <f>IFERROR(INDEX(PP_Grid[#Data],$DE950,51),0)</f>
        <v/>
      </c>
      <c r="BC950">
        <f>IFERROR(INDEX(PP_Grid[#Data],$DE950,52),0)</f>
        <v/>
      </c>
      <c r="BD950">
        <f>IFERROR(INDEX(PP_Grid[#Data],$DE950,53),0)</f>
        <v/>
      </c>
      <c r="BE950">
        <f>IFERROR(INDEX(PP_Grid[#Data],$DE950,54),0)</f>
        <v/>
      </c>
      <c r="BF950">
        <f>IFERROR(INDEX(PP_Grid[#Data],$DE950,55),0)</f>
        <v/>
      </c>
      <c r="BG950">
        <f>IFERROR(INDEX(PP_Grid[#Data],$DE950,56),0)</f>
        <v/>
      </c>
      <c r="BH950">
        <f>IFERROR(INDEX(PP_Grid[#Data],$DE950,57),0)</f>
        <v/>
      </c>
      <c r="BI950">
        <f>IFERROR(INDEX(PP_Grid[#Data],$DE950,58),0)</f>
        <v/>
      </c>
      <c r="BJ950">
        <f>IFERROR(INDEX(PP_Grid[#Data],$DE950,59),0)</f>
        <v/>
      </c>
      <c r="BK950">
        <f>IFERROR(INDEX(PP_Grid[#Data],$DE950,60),0)</f>
        <v/>
      </c>
      <c r="BL950">
        <f>IFERROR(INDEX(PP_Grid[#Data],$DE950,61),0)</f>
        <v/>
      </c>
      <c r="BM950">
        <f>IFERROR(INDEX(PP_Grid[#Data],$DE950,62),0)</f>
        <v/>
      </c>
      <c r="BN950">
        <f>IFERROR(INDEX(PP_Grid[#Data],$DE950,63),0)</f>
        <v/>
      </c>
      <c r="BO950">
        <f>IFERROR(INDEX(PP_Grid[#Data],$DE950,64),0)</f>
        <v/>
      </c>
      <c r="BP950">
        <f>IFERROR(INDEX(PP_Grid[#Data],$DE950,65),0)</f>
        <v/>
      </c>
      <c r="BQ950">
        <f>IFERROR(INDEX(PP_Grid[#Data],$DE950,66),0)</f>
        <v/>
      </c>
      <c r="BR950">
        <f>IFERROR(INDEX(PP_Grid[#Data],$DE950,67),0)</f>
        <v/>
      </c>
      <c r="BS950">
        <f>IFERROR(INDEX(PP_Grid[#Data],$DE950,68),0)</f>
        <v/>
      </c>
      <c r="BT950">
        <f>IFERROR(INDEX(PP_Grid[#Data],$DE950,69),0)</f>
        <v/>
      </c>
      <c r="BU950">
        <f>IFERROR(INDEX(PP_Grid[#Data],$DE950,70),0)</f>
        <v/>
      </c>
      <c r="BV950">
        <f>IFERROR(INDEX(PP_Grid[#Data],$DE950,71),0)</f>
        <v/>
      </c>
      <c r="BW950">
        <f>IFERROR(INDEX(PP_Grid[#Data],$DE950,72),0)</f>
        <v/>
      </c>
      <c r="BX950">
        <f>IFERROR(INDEX(PP_Grid[#Data],$DE950,73),0)</f>
        <v/>
      </c>
      <c r="BY950">
        <f>IFERROR(INDEX(PP_Grid[#Data],$DE950,74),0)</f>
        <v/>
      </c>
      <c r="BZ950">
        <f>IFERROR(INDEX(PP_Grid[#Data],$DE950,75),0)</f>
        <v/>
      </c>
      <c r="CA950">
        <f>IFERROR(INDEX(PP_Grid[#Data],$DE950,76),0)</f>
        <v/>
      </c>
      <c r="CB950">
        <f>IFERROR(INDEX(PP_Grid[#Data],$DE950,77),0)</f>
        <v/>
      </c>
      <c r="CC950">
        <f>IFERROR(INDEX(PP_Grid[#Data],$DE950,78),0)</f>
        <v/>
      </c>
      <c r="CD950">
        <f>IFERROR(INDEX(PP_Grid[#Data],$DE950,79),0)</f>
        <v/>
      </c>
      <c r="CE950">
        <f>IFERROR(INDEX(PP_Grid[#Data],$DE950,80),0)</f>
        <v/>
      </c>
      <c r="CF950">
        <f>IFERROR(INDEX(PP_Grid[#Data],$DE950,81),0)</f>
        <v/>
      </c>
      <c r="CG950">
        <f>IFERROR(INDEX(PP_Grid[#Data],$DE950,82),0)</f>
        <v/>
      </c>
      <c r="CH950">
        <f>IFERROR(INDEX(PP_Grid[#Data],$DE950,83),0)</f>
        <v/>
      </c>
      <c r="CI950">
        <f>IFERROR(INDEX(PP_Grid[#Data],$DE950,84),0)</f>
        <v/>
      </c>
      <c r="CJ950">
        <f>IFERROR(INDEX(PP_Grid[#Data],$DE950,85),0)</f>
        <v/>
      </c>
      <c r="CK950">
        <f>IFERROR(INDEX(PP_Grid[#Data],$DE950,86),0)</f>
        <v/>
      </c>
      <c r="CL950">
        <f>IFERROR(INDEX(PP_Grid[#Data],$DE950,87),0)</f>
        <v/>
      </c>
      <c r="CM950">
        <f>IFERROR(INDEX(PP_Grid[#Data],$DE950,88),0)</f>
        <v/>
      </c>
      <c r="CN950">
        <f>IFERROR(INDEX(PP_Grid[#Data],$DE950,89),0)</f>
        <v/>
      </c>
      <c r="CO950">
        <f>IFERROR(INDEX(PP_Grid[#Data],$DE950,90),0)</f>
        <v/>
      </c>
      <c r="CP950">
        <f>IFERROR(INDEX(PP_Grid[#Data],$DE950,91),0)</f>
        <v/>
      </c>
      <c r="CQ950">
        <f>IFERROR(INDEX(PP_Grid[#Data],$DE950,92),0)</f>
        <v/>
      </c>
      <c r="CR950">
        <f>IFERROR(INDEX(PP_Grid[#Data],$DE950,93),0)</f>
        <v/>
      </c>
      <c r="CS950">
        <f>IFERROR(INDEX(PP_Grid[#Data],$DE950,94),0)</f>
        <v/>
      </c>
      <c r="CT950">
        <f>IFERROR(INDEX(PP_Grid[#Data],$DE950,95),0)</f>
        <v/>
      </c>
      <c r="CU950">
        <f>IFERROR(INDEX(PP_Grid[#Data],$DE950,96),0)</f>
        <v/>
      </c>
      <c r="CV950">
        <f>IFERROR(INDEX(PP_Grid[#Data],$DE950,97),0)</f>
        <v/>
      </c>
      <c r="CW950">
        <f>IFERROR(INDEX(PP_Grid[#Data],$DE950,98),0)</f>
        <v/>
      </c>
      <c r="CX950">
        <f>IFERROR(INDEX(PP_Grid[#Data],$DE950,99),0)</f>
        <v/>
      </c>
      <c r="CY950">
        <f>IFERROR(INDEX(PP_Grid[#Data],$DE950,100),0)</f>
        <v/>
      </c>
      <c r="CZ950">
        <f>IFERROR(INDEX(PP_Grid[#Data],$DE950,101),0)</f>
        <v/>
      </c>
      <c r="DA950">
        <f>IFERROR(INDEX(PP_Grid[#Data],$DE950,102),0)</f>
        <v/>
      </c>
      <c r="DB950">
        <f>IFERROR(INDEX(PP_Grid[#Data],$DE950,103),0)</f>
        <v/>
      </c>
      <c r="DC950">
        <f>IFERROR(INDEX(PP_Grid[#Data],$DE950,104),0)</f>
        <v/>
      </c>
      <c r="DD950">
        <f>IFERROR(INDEX(PP_Grid[#Data],$DE950,105),0)</f>
        <v/>
      </c>
      <c r="DE950" s="7">
        <f>IFERROR(MATCH($B950,PP_Grid[Intermediate],0),99999)</f>
        <v/>
      </c>
    </row>
    <row r="951">
      <c r="B951" t="inlineStr">
        <is>
          <t>使用量(kg)</t>
        </is>
      </c>
      <c r="C951">
        <f>SUMIFS(M_BOM[RM_Qty_Per_Batch],M_BOM[Intermediate],$B950,M_BOM[RM_Code],$A923)</f>
        <v/>
      </c>
      <c r="D951">
        <f>IFERROR(INDEX(E951:DD951,$F$1),"")</f>
        <v/>
      </c>
      <c r="E951">
        <f>$C951*E950</f>
        <v/>
      </c>
      <c r="F951">
        <f>$C951*F950</f>
        <v/>
      </c>
      <c r="G951">
        <f>$C951*G950</f>
        <v/>
      </c>
      <c r="H951">
        <f>$C951*H950</f>
        <v/>
      </c>
      <c r="I951">
        <f>$C951*I950</f>
        <v/>
      </c>
      <c r="J951">
        <f>$C951*J950</f>
        <v/>
      </c>
      <c r="K951">
        <f>$C951*K950</f>
        <v/>
      </c>
      <c r="L951">
        <f>$C951*L950</f>
        <v/>
      </c>
      <c r="M951">
        <f>$C951*M950</f>
        <v/>
      </c>
      <c r="N951">
        <f>$C951*N950</f>
        <v/>
      </c>
      <c r="O951">
        <f>$C951*O950</f>
        <v/>
      </c>
      <c r="P951">
        <f>$C951*P950</f>
        <v/>
      </c>
      <c r="Q951">
        <f>$C951*Q950</f>
        <v/>
      </c>
      <c r="R951">
        <f>$C951*R950</f>
        <v/>
      </c>
      <c r="S951">
        <f>$C951*S950</f>
        <v/>
      </c>
      <c r="T951">
        <f>$C951*T950</f>
        <v/>
      </c>
      <c r="U951">
        <f>$C951*U950</f>
        <v/>
      </c>
      <c r="V951">
        <f>$C951*V950</f>
        <v/>
      </c>
      <c r="W951">
        <f>$C951*W950</f>
        <v/>
      </c>
      <c r="X951">
        <f>$C951*X950</f>
        <v/>
      </c>
      <c r="Y951">
        <f>$C951*Y950</f>
        <v/>
      </c>
      <c r="Z951">
        <f>$C951*Z950</f>
        <v/>
      </c>
      <c r="AA951">
        <f>$C951*AA950</f>
        <v/>
      </c>
      <c r="AB951">
        <f>$C951*AB950</f>
        <v/>
      </c>
      <c r="AC951">
        <f>$C951*AC950</f>
        <v/>
      </c>
      <c r="AD951">
        <f>$C951*AD950</f>
        <v/>
      </c>
      <c r="AE951">
        <f>$C951*AE950</f>
        <v/>
      </c>
      <c r="AF951">
        <f>$C951*AF950</f>
        <v/>
      </c>
      <c r="AG951">
        <f>$C951*AG950</f>
        <v/>
      </c>
      <c r="AH951">
        <f>$C951*AH950</f>
        <v/>
      </c>
      <c r="AI951">
        <f>$C951*AI950</f>
        <v/>
      </c>
      <c r="AJ951">
        <f>$C951*AJ950</f>
        <v/>
      </c>
      <c r="AK951">
        <f>$C951*AK950</f>
        <v/>
      </c>
      <c r="AL951">
        <f>$C951*AL950</f>
        <v/>
      </c>
      <c r="AM951">
        <f>$C951*AM950</f>
        <v/>
      </c>
      <c r="AN951">
        <f>$C951*AN950</f>
        <v/>
      </c>
      <c r="AO951">
        <f>$C951*AO950</f>
        <v/>
      </c>
      <c r="AP951">
        <f>$C951*AP950</f>
        <v/>
      </c>
      <c r="AQ951">
        <f>$C951*AQ950</f>
        <v/>
      </c>
      <c r="AR951">
        <f>$C951*AR950</f>
        <v/>
      </c>
      <c r="AS951">
        <f>$C951*AS950</f>
        <v/>
      </c>
      <c r="AT951">
        <f>$C951*AT950</f>
        <v/>
      </c>
      <c r="AU951">
        <f>$C951*AU950</f>
        <v/>
      </c>
      <c r="AV951">
        <f>$C951*AV950</f>
        <v/>
      </c>
      <c r="AW951">
        <f>$C951*AW950</f>
        <v/>
      </c>
      <c r="AX951">
        <f>$C951*AX950</f>
        <v/>
      </c>
      <c r="AY951">
        <f>$C951*AY950</f>
        <v/>
      </c>
      <c r="AZ951">
        <f>$C951*AZ950</f>
        <v/>
      </c>
      <c r="BA951">
        <f>$C951*BA950</f>
        <v/>
      </c>
      <c r="BB951">
        <f>$C951*BB950</f>
        <v/>
      </c>
      <c r="BC951">
        <f>$C951*BC950</f>
        <v/>
      </c>
      <c r="BD951">
        <f>$C951*BD950</f>
        <v/>
      </c>
      <c r="BE951">
        <f>$C951*BE950</f>
        <v/>
      </c>
      <c r="BF951">
        <f>$C951*BF950</f>
        <v/>
      </c>
      <c r="BG951">
        <f>$C951*BG950</f>
        <v/>
      </c>
      <c r="BH951">
        <f>$C951*BH950</f>
        <v/>
      </c>
      <c r="BI951">
        <f>$C951*BI950</f>
        <v/>
      </c>
      <c r="BJ951">
        <f>$C951*BJ950</f>
        <v/>
      </c>
      <c r="BK951">
        <f>$C951*BK950</f>
        <v/>
      </c>
      <c r="BL951">
        <f>$C951*BL950</f>
        <v/>
      </c>
      <c r="BM951">
        <f>$C951*BM950</f>
        <v/>
      </c>
      <c r="BN951">
        <f>$C951*BN950</f>
        <v/>
      </c>
      <c r="BO951">
        <f>$C951*BO950</f>
        <v/>
      </c>
      <c r="BP951">
        <f>$C951*BP950</f>
        <v/>
      </c>
      <c r="BQ951">
        <f>$C951*BQ950</f>
        <v/>
      </c>
      <c r="BR951">
        <f>$C951*BR950</f>
        <v/>
      </c>
      <c r="BS951">
        <f>$C951*BS950</f>
        <v/>
      </c>
      <c r="BT951">
        <f>$C951*BT950</f>
        <v/>
      </c>
      <c r="BU951">
        <f>$C951*BU950</f>
        <v/>
      </c>
      <c r="BV951">
        <f>$C951*BV950</f>
        <v/>
      </c>
      <c r="BW951">
        <f>$C951*BW950</f>
        <v/>
      </c>
      <c r="BX951">
        <f>$C951*BX950</f>
        <v/>
      </c>
      <c r="BY951">
        <f>$C951*BY950</f>
        <v/>
      </c>
      <c r="BZ951">
        <f>$C951*BZ950</f>
        <v/>
      </c>
      <c r="CA951">
        <f>$C951*CA950</f>
        <v/>
      </c>
      <c r="CB951">
        <f>$C951*CB950</f>
        <v/>
      </c>
      <c r="CC951">
        <f>$C951*CC950</f>
        <v/>
      </c>
      <c r="CD951">
        <f>$C951*CD950</f>
        <v/>
      </c>
      <c r="CE951">
        <f>$C951*CE950</f>
        <v/>
      </c>
      <c r="CF951">
        <f>$C951*CF950</f>
        <v/>
      </c>
      <c r="CG951">
        <f>$C951*CG950</f>
        <v/>
      </c>
      <c r="CH951">
        <f>$C951*CH950</f>
        <v/>
      </c>
      <c r="CI951">
        <f>$C951*CI950</f>
        <v/>
      </c>
      <c r="CJ951">
        <f>$C951*CJ950</f>
        <v/>
      </c>
      <c r="CK951">
        <f>$C951*CK950</f>
        <v/>
      </c>
      <c r="CL951">
        <f>$C951*CL950</f>
        <v/>
      </c>
      <c r="CM951">
        <f>$C951*CM950</f>
        <v/>
      </c>
      <c r="CN951">
        <f>$C951*CN950</f>
        <v/>
      </c>
      <c r="CO951">
        <f>$C951*CO950</f>
        <v/>
      </c>
      <c r="CP951">
        <f>$C951*CP950</f>
        <v/>
      </c>
      <c r="CQ951">
        <f>$C951*CQ950</f>
        <v/>
      </c>
      <c r="CR951">
        <f>$C951*CR950</f>
        <v/>
      </c>
      <c r="CS951">
        <f>$C951*CS950</f>
        <v/>
      </c>
      <c r="CT951">
        <f>$C951*CT950</f>
        <v/>
      </c>
      <c r="CU951">
        <f>$C951*CU950</f>
        <v/>
      </c>
      <c r="CV951">
        <f>$C951*CV950</f>
        <v/>
      </c>
      <c r="CW951">
        <f>$C951*CW950</f>
        <v/>
      </c>
      <c r="CX951">
        <f>$C951*CX950</f>
        <v/>
      </c>
      <c r="CY951">
        <f>$C951*CY950</f>
        <v/>
      </c>
      <c r="CZ951">
        <f>$C951*CZ950</f>
        <v/>
      </c>
      <c r="DA951">
        <f>$C951*DA950</f>
        <v/>
      </c>
      <c r="DB951">
        <f>$C951*DB950</f>
        <v/>
      </c>
      <c r="DC951">
        <f>$C951*DC950</f>
        <v/>
      </c>
      <c r="DD951">
        <f>$C951*DD950</f>
        <v/>
      </c>
    </row>
    <row r="952">
      <c r="B952" t="inlineStr">
        <is>
          <t>TPP-190</t>
        </is>
      </c>
      <c r="C952" t="inlineStr">
        <is>
          <t>No. of batches</t>
        </is>
      </c>
      <c r="D952">
        <f>IFERROR(INDEX(E952:DD952,$F$1),"")</f>
        <v/>
      </c>
      <c r="E952">
        <f>IFERROR(INDEX(PP_Grid[#Data],$DE952,2),0)</f>
        <v/>
      </c>
      <c r="F952">
        <f>IFERROR(INDEX(PP_Grid[#Data],$DE952,3),0)</f>
        <v/>
      </c>
      <c r="G952">
        <f>IFERROR(INDEX(PP_Grid[#Data],$DE952,4),0)</f>
        <v/>
      </c>
      <c r="H952">
        <f>IFERROR(INDEX(PP_Grid[#Data],$DE952,5),0)</f>
        <v/>
      </c>
      <c r="I952">
        <f>IFERROR(INDEX(PP_Grid[#Data],$DE952,6),0)</f>
        <v/>
      </c>
      <c r="J952">
        <f>IFERROR(INDEX(PP_Grid[#Data],$DE952,7),0)</f>
        <v/>
      </c>
      <c r="K952">
        <f>IFERROR(INDEX(PP_Grid[#Data],$DE952,8),0)</f>
        <v/>
      </c>
      <c r="L952">
        <f>IFERROR(INDEX(PP_Grid[#Data],$DE952,9),0)</f>
        <v/>
      </c>
      <c r="M952">
        <f>IFERROR(INDEX(PP_Grid[#Data],$DE952,10),0)</f>
        <v/>
      </c>
      <c r="N952">
        <f>IFERROR(INDEX(PP_Grid[#Data],$DE952,11),0)</f>
        <v/>
      </c>
      <c r="O952">
        <f>IFERROR(INDEX(PP_Grid[#Data],$DE952,12),0)</f>
        <v/>
      </c>
      <c r="P952">
        <f>IFERROR(INDEX(PP_Grid[#Data],$DE952,13),0)</f>
        <v/>
      </c>
      <c r="Q952">
        <f>IFERROR(INDEX(PP_Grid[#Data],$DE952,14),0)</f>
        <v/>
      </c>
      <c r="R952">
        <f>IFERROR(INDEX(PP_Grid[#Data],$DE952,15),0)</f>
        <v/>
      </c>
      <c r="S952">
        <f>IFERROR(INDEX(PP_Grid[#Data],$DE952,16),0)</f>
        <v/>
      </c>
      <c r="T952">
        <f>IFERROR(INDEX(PP_Grid[#Data],$DE952,17),0)</f>
        <v/>
      </c>
      <c r="U952">
        <f>IFERROR(INDEX(PP_Grid[#Data],$DE952,18),0)</f>
        <v/>
      </c>
      <c r="V952">
        <f>IFERROR(INDEX(PP_Grid[#Data],$DE952,19),0)</f>
        <v/>
      </c>
      <c r="W952">
        <f>IFERROR(INDEX(PP_Grid[#Data],$DE952,20),0)</f>
        <v/>
      </c>
      <c r="X952">
        <f>IFERROR(INDEX(PP_Grid[#Data],$DE952,21),0)</f>
        <v/>
      </c>
      <c r="Y952">
        <f>IFERROR(INDEX(PP_Grid[#Data],$DE952,22),0)</f>
        <v/>
      </c>
      <c r="Z952">
        <f>IFERROR(INDEX(PP_Grid[#Data],$DE952,23),0)</f>
        <v/>
      </c>
      <c r="AA952">
        <f>IFERROR(INDEX(PP_Grid[#Data],$DE952,24),0)</f>
        <v/>
      </c>
      <c r="AB952">
        <f>IFERROR(INDEX(PP_Grid[#Data],$DE952,25),0)</f>
        <v/>
      </c>
      <c r="AC952">
        <f>IFERROR(INDEX(PP_Grid[#Data],$DE952,26),0)</f>
        <v/>
      </c>
      <c r="AD952">
        <f>IFERROR(INDEX(PP_Grid[#Data],$DE952,27),0)</f>
        <v/>
      </c>
      <c r="AE952">
        <f>IFERROR(INDEX(PP_Grid[#Data],$DE952,28),0)</f>
        <v/>
      </c>
      <c r="AF952">
        <f>IFERROR(INDEX(PP_Grid[#Data],$DE952,29),0)</f>
        <v/>
      </c>
      <c r="AG952">
        <f>IFERROR(INDEX(PP_Grid[#Data],$DE952,30),0)</f>
        <v/>
      </c>
      <c r="AH952">
        <f>IFERROR(INDEX(PP_Grid[#Data],$DE952,31),0)</f>
        <v/>
      </c>
      <c r="AI952">
        <f>IFERROR(INDEX(PP_Grid[#Data],$DE952,32),0)</f>
        <v/>
      </c>
      <c r="AJ952">
        <f>IFERROR(INDEX(PP_Grid[#Data],$DE952,33),0)</f>
        <v/>
      </c>
      <c r="AK952">
        <f>IFERROR(INDEX(PP_Grid[#Data],$DE952,34),0)</f>
        <v/>
      </c>
      <c r="AL952">
        <f>IFERROR(INDEX(PP_Grid[#Data],$DE952,35),0)</f>
        <v/>
      </c>
      <c r="AM952">
        <f>IFERROR(INDEX(PP_Grid[#Data],$DE952,36),0)</f>
        <v/>
      </c>
      <c r="AN952">
        <f>IFERROR(INDEX(PP_Grid[#Data],$DE952,37),0)</f>
        <v/>
      </c>
      <c r="AO952">
        <f>IFERROR(INDEX(PP_Grid[#Data],$DE952,38),0)</f>
        <v/>
      </c>
      <c r="AP952">
        <f>IFERROR(INDEX(PP_Grid[#Data],$DE952,39),0)</f>
        <v/>
      </c>
      <c r="AQ952">
        <f>IFERROR(INDEX(PP_Grid[#Data],$DE952,40),0)</f>
        <v/>
      </c>
      <c r="AR952">
        <f>IFERROR(INDEX(PP_Grid[#Data],$DE952,41),0)</f>
        <v/>
      </c>
      <c r="AS952">
        <f>IFERROR(INDEX(PP_Grid[#Data],$DE952,42),0)</f>
        <v/>
      </c>
      <c r="AT952">
        <f>IFERROR(INDEX(PP_Grid[#Data],$DE952,43),0)</f>
        <v/>
      </c>
      <c r="AU952">
        <f>IFERROR(INDEX(PP_Grid[#Data],$DE952,44),0)</f>
        <v/>
      </c>
      <c r="AV952">
        <f>IFERROR(INDEX(PP_Grid[#Data],$DE952,45),0)</f>
        <v/>
      </c>
      <c r="AW952">
        <f>IFERROR(INDEX(PP_Grid[#Data],$DE952,46),0)</f>
        <v/>
      </c>
      <c r="AX952">
        <f>IFERROR(INDEX(PP_Grid[#Data],$DE952,47),0)</f>
        <v/>
      </c>
      <c r="AY952">
        <f>IFERROR(INDEX(PP_Grid[#Data],$DE952,48),0)</f>
        <v/>
      </c>
      <c r="AZ952">
        <f>IFERROR(INDEX(PP_Grid[#Data],$DE952,49),0)</f>
        <v/>
      </c>
      <c r="BA952">
        <f>IFERROR(INDEX(PP_Grid[#Data],$DE952,50),0)</f>
        <v/>
      </c>
      <c r="BB952">
        <f>IFERROR(INDEX(PP_Grid[#Data],$DE952,51),0)</f>
        <v/>
      </c>
      <c r="BC952">
        <f>IFERROR(INDEX(PP_Grid[#Data],$DE952,52),0)</f>
        <v/>
      </c>
      <c r="BD952">
        <f>IFERROR(INDEX(PP_Grid[#Data],$DE952,53),0)</f>
        <v/>
      </c>
      <c r="BE952">
        <f>IFERROR(INDEX(PP_Grid[#Data],$DE952,54),0)</f>
        <v/>
      </c>
      <c r="BF952">
        <f>IFERROR(INDEX(PP_Grid[#Data],$DE952,55),0)</f>
        <v/>
      </c>
      <c r="BG952">
        <f>IFERROR(INDEX(PP_Grid[#Data],$DE952,56),0)</f>
        <v/>
      </c>
      <c r="BH952">
        <f>IFERROR(INDEX(PP_Grid[#Data],$DE952,57),0)</f>
        <v/>
      </c>
      <c r="BI952">
        <f>IFERROR(INDEX(PP_Grid[#Data],$DE952,58),0)</f>
        <v/>
      </c>
      <c r="BJ952">
        <f>IFERROR(INDEX(PP_Grid[#Data],$DE952,59),0)</f>
        <v/>
      </c>
      <c r="BK952">
        <f>IFERROR(INDEX(PP_Grid[#Data],$DE952,60),0)</f>
        <v/>
      </c>
      <c r="BL952">
        <f>IFERROR(INDEX(PP_Grid[#Data],$DE952,61),0)</f>
        <v/>
      </c>
      <c r="BM952">
        <f>IFERROR(INDEX(PP_Grid[#Data],$DE952,62),0)</f>
        <v/>
      </c>
      <c r="BN952">
        <f>IFERROR(INDEX(PP_Grid[#Data],$DE952,63),0)</f>
        <v/>
      </c>
      <c r="BO952">
        <f>IFERROR(INDEX(PP_Grid[#Data],$DE952,64),0)</f>
        <v/>
      </c>
      <c r="BP952">
        <f>IFERROR(INDEX(PP_Grid[#Data],$DE952,65),0)</f>
        <v/>
      </c>
      <c r="BQ952">
        <f>IFERROR(INDEX(PP_Grid[#Data],$DE952,66),0)</f>
        <v/>
      </c>
      <c r="BR952">
        <f>IFERROR(INDEX(PP_Grid[#Data],$DE952,67),0)</f>
        <v/>
      </c>
      <c r="BS952">
        <f>IFERROR(INDEX(PP_Grid[#Data],$DE952,68),0)</f>
        <v/>
      </c>
      <c r="BT952">
        <f>IFERROR(INDEX(PP_Grid[#Data],$DE952,69),0)</f>
        <v/>
      </c>
      <c r="BU952">
        <f>IFERROR(INDEX(PP_Grid[#Data],$DE952,70),0)</f>
        <v/>
      </c>
      <c r="BV952">
        <f>IFERROR(INDEX(PP_Grid[#Data],$DE952,71),0)</f>
        <v/>
      </c>
      <c r="BW952">
        <f>IFERROR(INDEX(PP_Grid[#Data],$DE952,72),0)</f>
        <v/>
      </c>
      <c r="BX952">
        <f>IFERROR(INDEX(PP_Grid[#Data],$DE952,73),0)</f>
        <v/>
      </c>
      <c r="BY952">
        <f>IFERROR(INDEX(PP_Grid[#Data],$DE952,74),0)</f>
        <v/>
      </c>
      <c r="BZ952">
        <f>IFERROR(INDEX(PP_Grid[#Data],$DE952,75),0)</f>
        <v/>
      </c>
      <c r="CA952">
        <f>IFERROR(INDEX(PP_Grid[#Data],$DE952,76),0)</f>
        <v/>
      </c>
      <c r="CB952">
        <f>IFERROR(INDEX(PP_Grid[#Data],$DE952,77),0)</f>
        <v/>
      </c>
      <c r="CC952">
        <f>IFERROR(INDEX(PP_Grid[#Data],$DE952,78),0)</f>
        <v/>
      </c>
      <c r="CD952">
        <f>IFERROR(INDEX(PP_Grid[#Data],$DE952,79),0)</f>
        <v/>
      </c>
      <c r="CE952">
        <f>IFERROR(INDEX(PP_Grid[#Data],$DE952,80),0)</f>
        <v/>
      </c>
      <c r="CF952">
        <f>IFERROR(INDEX(PP_Grid[#Data],$DE952,81),0)</f>
        <v/>
      </c>
      <c r="CG952">
        <f>IFERROR(INDEX(PP_Grid[#Data],$DE952,82),0)</f>
        <v/>
      </c>
      <c r="CH952">
        <f>IFERROR(INDEX(PP_Grid[#Data],$DE952,83),0)</f>
        <v/>
      </c>
      <c r="CI952">
        <f>IFERROR(INDEX(PP_Grid[#Data],$DE952,84),0)</f>
        <v/>
      </c>
      <c r="CJ952">
        <f>IFERROR(INDEX(PP_Grid[#Data],$DE952,85),0)</f>
        <v/>
      </c>
      <c r="CK952">
        <f>IFERROR(INDEX(PP_Grid[#Data],$DE952,86),0)</f>
        <v/>
      </c>
      <c r="CL952">
        <f>IFERROR(INDEX(PP_Grid[#Data],$DE952,87),0)</f>
        <v/>
      </c>
      <c r="CM952">
        <f>IFERROR(INDEX(PP_Grid[#Data],$DE952,88),0)</f>
        <v/>
      </c>
      <c r="CN952">
        <f>IFERROR(INDEX(PP_Grid[#Data],$DE952,89),0)</f>
        <v/>
      </c>
      <c r="CO952">
        <f>IFERROR(INDEX(PP_Grid[#Data],$DE952,90),0)</f>
        <v/>
      </c>
      <c r="CP952">
        <f>IFERROR(INDEX(PP_Grid[#Data],$DE952,91),0)</f>
        <v/>
      </c>
      <c r="CQ952">
        <f>IFERROR(INDEX(PP_Grid[#Data],$DE952,92),0)</f>
        <v/>
      </c>
      <c r="CR952">
        <f>IFERROR(INDEX(PP_Grid[#Data],$DE952,93),0)</f>
        <v/>
      </c>
      <c r="CS952">
        <f>IFERROR(INDEX(PP_Grid[#Data],$DE952,94),0)</f>
        <v/>
      </c>
      <c r="CT952">
        <f>IFERROR(INDEX(PP_Grid[#Data],$DE952,95),0)</f>
        <v/>
      </c>
      <c r="CU952">
        <f>IFERROR(INDEX(PP_Grid[#Data],$DE952,96),0)</f>
        <v/>
      </c>
      <c r="CV952">
        <f>IFERROR(INDEX(PP_Grid[#Data],$DE952,97),0)</f>
        <v/>
      </c>
      <c r="CW952">
        <f>IFERROR(INDEX(PP_Grid[#Data],$DE952,98),0)</f>
        <v/>
      </c>
      <c r="CX952">
        <f>IFERROR(INDEX(PP_Grid[#Data],$DE952,99),0)</f>
        <v/>
      </c>
      <c r="CY952">
        <f>IFERROR(INDEX(PP_Grid[#Data],$DE952,100),0)</f>
        <v/>
      </c>
      <c r="CZ952">
        <f>IFERROR(INDEX(PP_Grid[#Data],$DE952,101),0)</f>
        <v/>
      </c>
      <c r="DA952">
        <f>IFERROR(INDEX(PP_Grid[#Data],$DE952,102),0)</f>
        <v/>
      </c>
      <c r="DB952">
        <f>IFERROR(INDEX(PP_Grid[#Data],$DE952,103),0)</f>
        <v/>
      </c>
      <c r="DC952">
        <f>IFERROR(INDEX(PP_Grid[#Data],$DE952,104),0)</f>
        <v/>
      </c>
      <c r="DD952">
        <f>IFERROR(INDEX(PP_Grid[#Data],$DE952,105),0)</f>
        <v/>
      </c>
      <c r="DE952" s="7">
        <f>IFERROR(MATCH($B952,PP_Grid[Intermediate],0),99999)</f>
        <v/>
      </c>
    </row>
    <row r="953">
      <c r="B953" t="inlineStr">
        <is>
          <t>使用量(kg)</t>
        </is>
      </c>
      <c r="C953">
        <f>SUMIFS(M_BOM[RM_Qty_Per_Batch],M_BOM[Intermediate],$B952,M_BOM[RM_Code],$A923)</f>
        <v/>
      </c>
      <c r="D953">
        <f>IFERROR(INDEX(E953:DD953,$F$1),"")</f>
        <v/>
      </c>
      <c r="E953">
        <f>$C953*E952</f>
        <v/>
      </c>
      <c r="F953">
        <f>$C953*F952</f>
        <v/>
      </c>
      <c r="G953">
        <f>$C953*G952</f>
        <v/>
      </c>
      <c r="H953">
        <f>$C953*H952</f>
        <v/>
      </c>
      <c r="I953">
        <f>$C953*I952</f>
        <v/>
      </c>
      <c r="J953">
        <f>$C953*J952</f>
        <v/>
      </c>
      <c r="K953">
        <f>$C953*K952</f>
        <v/>
      </c>
      <c r="L953">
        <f>$C953*L952</f>
        <v/>
      </c>
      <c r="M953">
        <f>$C953*M952</f>
        <v/>
      </c>
      <c r="N953">
        <f>$C953*N952</f>
        <v/>
      </c>
      <c r="O953">
        <f>$C953*O952</f>
        <v/>
      </c>
      <c r="P953">
        <f>$C953*P952</f>
        <v/>
      </c>
      <c r="Q953">
        <f>$C953*Q952</f>
        <v/>
      </c>
      <c r="R953">
        <f>$C953*R952</f>
        <v/>
      </c>
      <c r="S953">
        <f>$C953*S952</f>
        <v/>
      </c>
      <c r="T953">
        <f>$C953*T952</f>
        <v/>
      </c>
      <c r="U953">
        <f>$C953*U952</f>
        <v/>
      </c>
      <c r="V953">
        <f>$C953*V952</f>
        <v/>
      </c>
      <c r="W953">
        <f>$C953*W952</f>
        <v/>
      </c>
      <c r="X953">
        <f>$C953*X952</f>
        <v/>
      </c>
      <c r="Y953">
        <f>$C953*Y952</f>
        <v/>
      </c>
      <c r="Z953">
        <f>$C953*Z952</f>
        <v/>
      </c>
      <c r="AA953">
        <f>$C953*AA952</f>
        <v/>
      </c>
      <c r="AB953">
        <f>$C953*AB952</f>
        <v/>
      </c>
      <c r="AC953">
        <f>$C953*AC952</f>
        <v/>
      </c>
      <c r="AD953">
        <f>$C953*AD952</f>
        <v/>
      </c>
      <c r="AE953">
        <f>$C953*AE952</f>
        <v/>
      </c>
      <c r="AF953">
        <f>$C953*AF952</f>
        <v/>
      </c>
      <c r="AG953">
        <f>$C953*AG952</f>
        <v/>
      </c>
      <c r="AH953">
        <f>$C953*AH952</f>
        <v/>
      </c>
      <c r="AI953">
        <f>$C953*AI952</f>
        <v/>
      </c>
      <c r="AJ953">
        <f>$C953*AJ952</f>
        <v/>
      </c>
      <c r="AK953">
        <f>$C953*AK952</f>
        <v/>
      </c>
      <c r="AL953">
        <f>$C953*AL952</f>
        <v/>
      </c>
      <c r="AM953">
        <f>$C953*AM952</f>
        <v/>
      </c>
      <c r="AN953">
        <f>$C953*AN952</f>
        <v/>
      </c>
      <c r="AO953">
        <f>$C953*AO952</f>
        <v/>
      </c>
      <c r="AP953">
        <f>$C953*AP952</f>
        <v/>
      </c>
      <c r="AQ953">
        <f>$C953*AQ952</f>
        <v/>
      </c>
      <c r="AR953">
        <f>$C953*AR952</f>
        <v/>
      </c>
      <c r="AS953">
        <f>$C953*AS952</f>
        <v/>
      </c>
      <c r="AT953">
        <f>$C953*AT952</f>
        <v/>
      </c>
      <c r="AU953">
        <f>$C953*AU952</f>
        <v/>
      </c>
      <c r="AV953">
        <f>$C953*AV952</f>
        <v/>
      </c>
      <c r="AW953">
        <f>$C953*AW952</f>
        <v/>
      </c>
      <c r="AX953">
        <f>$C953*AX952</f>
        <v/>
      </c>
      <c r="AY953">
        <f>$C953*AY952</f>
        <v/>
      </c>
      <c r="AZ953">
        <f>$C953*AZ952</f>
        <v/>
      </c>
      <c r="BA953">
        <f>$C953*BA952</f>
        <v/>
      </c>
      <c r="BB953">
        <f>$C953*BB952</f>
        <v/>
      </c>
      <c r="BC953">
        <f>$C953*BC952</f>
        <v/>
      </c>
      <c r="BD953">
        <f>$C953*BD952</f>
        <v/>
      </c>
      <c r="BE953">
        <f>$C953*BE952</f>
        <v/>
      </c>
      <c r="BF953">
        <f>$C953*BF952</f>
        <v/>
      </c>
      <c r="BG953">
        <f>$C953*BG952</f>
        <v/>
      </c>
      <c r="BH953">
        <f>$C953*BH952</f>
        <v/>
      </c>
      <c r="BI953">
        <f>$C953*BI952</f>
        <v/>
      </c>
      <c r="BJ953">
        <f>$C953*BJ952</f>
        <v/>
      </c>
      <c r="BK953">
        <f>$C953*BK952</f>
        <v/>
      </c>
      <c r="BL953">
        <f>$C953*BL952</f>
        <v/>
      </c>
      <c r="BM953">
        <f>$C953*BM952</f>
        <v/>
      </c>
      <c r="BN953">
        <f>$C953*BN952</f>
        <v/>
      </c>
      <c r="BO953">
        <f>$C953*BO952</f>
        <v/>
      </c>
      <c r="BP953">
        <f>$C953*BP952</f>
        <v/>
      </c>
      <c r="BQ953">
        <f>$C953*BQ952</f>
        <v/>
      </c>
      <c r="BR953">
        <f>$C953*BR952</f>
        <v/>
      </c>
      <c r="BS953">
        <f>$C953*BS952</f>
        <v/>
      </c>
      <c r="BT953">
        <f>$C953*BT952</f>
        <v/>
      </c>
      <c r="BU953">
        <f>$C953*BU952</f>
        <v/>
      </c>
      <c r="BV953">
        <f>$C953*BV952</f>
        <v/>
      </c>
      <c r="BW953">
        <f>$C953*BW952</f>
        <v/>
      </c>
      <c r="BX953">
        <f>$C953*BX952</f>
        <v/>
      </c>
      <c r="BY953">
        <f>$C953*BY952</f>
        <v/>
      </c>
      <c r="BZ953">
        <f>$C953*BZ952</f>
        <v/>
      </c>
      <c r="CA953">
        <f>$C953*CA952</f>
        <v/>
      </c>
      <c r="CB953">
        <f>$C953*CB952</f>
        <v/>
      </c>
      <c r="CC953">
        <f>$C953*CC952</f>
        <v/>
      </c>
      <c r="CD953">
        <f>$C953*CD952</f>
        <v/>
      </c>
      <c r="CE953">
        <f>$C953*CE952</f>
        <v/>
      </c>
      <c r="CF953">
        <f>$C953*CF952</f>
        <v/>
      </c>
      <c r="CG953">
        <f>$C953*CG952</f>
        <v/>
      </c>
      <c r="CH953">
        <f>$C953*CH952</f>
        <v/>
      </c>
      <c r="CI953">
        <f>$C953*CI952</f>
        <v/>
      </c>
      <c r="CJ953">
        <f>$C953*CJ952</f>
        <v/>
      </c>
      <c r="CK953">
        <f>$C953*CK952</f>
        <v/>
      </c>
      <c r="CL953">
        <f>$C953*CL952</f>
        <v/>
      </c>
      <c r="CM953">
        <f>$C953*CM952</f>
        <v/>
      </c>
      <c r="CN953">
        <f>$C953*CN952</f>
        <v/>
      </c>
      <c r="CO953">
        <f>$C953*CO952</f>
        <v/>
      </c>
      <c r="CP953">
        <f>$C953*CP952</f>
        <v/>
      </c>
      <c r="CQ953">
        <f>$C953*CQ952</f>
        <v/>
      </c>
      <c r="CR953">
        <f>$C953*CR952</f>
        <v/>
      </c>
      <c r="CS953">
        <f>$C953*CS952</f>
        <v/>
      </c>
      <c r="CT953">
        <f>$C953*CT952</f>
        <v/>
      </c>
      <c r="CU953">
        <f>$C953*CU952</f>
        <v/>
      </c>
      <c r="CV953">
        <f>$C953*CV952</f>
        <v/>
      </c>
      <c r="CW953">
        <f>$C953*CW952</f>
        <v/>
      </c>
      <c r="CX953">
        <f>$C953*CX952</f>
        <v/>
      </c>
      <c r="CY953">
        <f>$C953*CY952</f>
        <v/>
      </c>
      <c r="CZ953">
        <f>$C953*CZ952</f>
        <v/>
      </c>
      <c r="DA953">
        <f>$C953*DA952</f>
        <v/>
      </c>
      <c r="DB953">
        <f>$C953*DB952</f>
        <v/>
      </c>
      <c r="DC953">
        <f>$C953*DC952</f>
        <v/>
      </c>
      <c r="DD953">
        <f>$C953*DD952</f>
        <v/>
      </c>
    </row>
    <row r="954">
      <c r="B954" t="inlineStr">
        <is>
          <t>TPP-204</t>
        </is>
      </c>
      <c r="C954" t="inlineStr">
        <is>
          <t>No. of batches</t>
        </is>
      </c>
      <c r="D954">
        <f>IFERROR(INDEX(E954:DD954,$F$1),"")</f>
        <v/>
      </c>
      <c r="E954">
        <f>IFERROR(INDEX(PP_Grid[#Data],$DE954,2),0)</f>
        <v/>
      </c>
      <c r="F954">
        <f>IFERROR(INDEX(PP_Grid[#Data],$DE954,3),0)</f>
        <v/>
      </c>
      <c r="G954">
        <f>IFERROR(INDEX(PP_Grid[#Data],$DE954,4),0)</f>
        <v/>
      </c>
      <c r="H954">
        <f>IFERROR(INDEX(PP_Grid[#Data],$DE954,5),0)</f>
        <v/>
      </c>
      <c r="I954">
        <f>IFERROR(INDEX(PP_Grid[#Data],$DE954,6),0)</f>
        <v/>
      </c>
      <c r="J954">
        <f>IFERROR(INDEX(PP_Grid[#Data],$DE954,7),0)</f>
        <v/>
      </c>
      <c r="K954">
        <f>IFERROR(INDEX(PP_Grid[#Data],$DE954,8),0)</f>
        <v/>
      </c>
      <c r="L954">
        <f>IFERROR(INDEX(PP_Grid[#Data],$DE954,9),0)</f>
        <v/>
      </c>
      <c r="M954">
        <f>IFERROR(INDEX(PP_Grid[#Data],$DE954,10),0)</f>
        <v/>
      </c>
      <c r="N954">
        <f>IFERROR(INDEX(PP_Grid[#Data],$DE954,11),0)</f>
        <v/>
      </c>
      <c r="O954">
        <f>IFERROR(INDEX(PP_Grid[#Data],$DE954,12),0)</f>
        <v/>
      </c>
      <c r="P954">
        <f>IFERROR(INDEX(PP_Grid[#Data],$DE954,13),0)</f>
        <v/>
      </c>
      <c r="Q954">
        <f>IFERROR(INDEX(PP_Grid[#Data],$DE954,14),0)</f>
        <v/>
      </c>
      <c r="R954">
        <f>IFERROR(INDEX(PP_Grid[#Data],$DE954,15),0)</f>
        <v/>
      </c>
      <c r="S954">
        <f>IFERROR(INDEX(PP_Grid[#Data],$DE954,16),0)</f>
        <v/>
      </c>
      <c r="T954">
        <f>IFERROR(INDEX(PP_Grid[#Data],$DE954,17),0)</f>
        <v/>
      </c>
      <c r="U954">
        <f>IFERROR(INDEX(PP_Grid[#Data],$DE954,18),0)</f>
        <v/>
      </c>
      <c r="V954">
        <f>IFERROR(INDEX(PP_Grid[#Data],$DE954,19),0)</f>
        <v/>
      </c>
      <c r="W954">
        <f>IFERROR(INDEX(PP_Grid[#Data],$DE954,20),0)</f>
        <v/>
      </c>
      <c r="X954">
        <f>IFERROR(INDEX(PP_Grid[#Data],$DE954,21),0)</f>
        <v/>
      </c>
      <c r="Y954">
        <f>IFERROR(INDEX(PP_Grid[#Data],$DE954,22),0)</f>
        <v/>
      </c>
      <c r="Z954">
        <f>IFERROR(INDEX(PP_Grid[#Data],$DE954,23),0)</f>
        <v/>
      </c>
      <c r="AA954">
        <f>IFERROR(INDEX(PP_Grid[#Data],$DE954,24),0)</f>
        <v/>
      </c>
      <c r="AB954">
        <f>IFERROR(INDEX(PP_Grid[#Data],$DE954,25),0)</f>
        <v/>
      </c>
      <c r="AC954">
        <f>IFERROR(INDEX(PP_Grid[#Data],$DE954,26),0)</f>
        <v/>
      </c>
      <c r="AD954">
        <f>IFERROR(INDEX(PP_Grid[#Data],$DE954,27),0)</f>
        <v/>
      </c>
      <c r="AE954">
        <f>IFERROR(INDEX(PP_Grid[#Data],$DE954,28),0)</f>
        <v/>
      </c>
      <c r="AF954">
        <f>IFERROR(INDEX(PP_Grid[#Data],$DE954,29),0)</f>
        <v/>
      </c>
      <c r="AG954">
        <f>IFERROR(INDEX(PP_Grid[#Data],$DE954,30),0)</f>
        <v/>
      </c>
      <c r="AH954">
        <f>IFERROR(INDEX(PP_Grid[#Data],$DE954,31),0)</f>
        <v/>
      </c>
      <c r="AI954">
        <f>IFERROR(INDEX(PP_Grid[#Data],$DE954,32),0)</f>
        <v/>
      </c>
      <c r="AJ954">
        <f>IFERROR(INDEX(PP_Grid[#Data],$DE954,33),0)</f>
        <v/>
      </c>
      <c r="AK954">
        <f>IFERROR(INDEX(PP_Grid[#Data],$DE954,34),0)</f>
        <v/>
      </c>
      <c r="AL954">
        <f>IFERROR(INDEX(PP_Grid[#Data],$DE954,35),0)</f>
        <v/>
      </c>
      <c r="AM954">
        <f>IFERROR(INDEX(PP_Grid[#Data],$DE954,36),0)</f>
        <v/>
      </c>
      <c r="AN954">
        <f>IFERROR(INDEX(PP_Grid[#Data],$DE954,37),0)</f>
        <v/>
      </c>
      <c r="AO954">
        <f>IFERROR(INDEX(PP_Grid[#Data],$DE954,38),0)</f>
        <v/>
      </c>
      <c r="AP954">
        <f>IFERROR(INDEX(PP_Grid[#Data],$DE954,39),0)</f>
        <v/>
      </c>
      <c r="AQ954">
        <f>IFERROR(INDEX(PP_Grid[#Data],$DE954,40),0)</f>
        <v/>
      </c>
      <c r="AR954">
        <f>IFERROR(INDEX(PP_Grid[#Data],$DE954,41),0)</f>
        <v/>
      </c>
      <c r="AS954">
        <f>IFERROR(INDEX(PP_Grid[#Data],$DE954,42),0)</f>
        <v/>
      </c>
      <c r="AT954">
        <f>IFERROR(INDEX(PP_Grid[#Data],$DE954,43),0)</f>
        <v/>
      </c>
      <c r="AU954">
        <f>IFERROR(INDEX(PP_Grid[#Data],$DE954,44),0)</f>
        <v/>
      </c>
      <c r="AV954">
        <f>IFERROR(INDEX(PP_Grid[#Data],$DE954,45),0)</f>
        <v/>
      </c>
      <c r="AW954">
        <f>IFERROR(INDEX(PP_Grid[#Data],$DE954,46),0)</f>
        <v/>
      </c>
      <c r="AX954">
        <f>IFERROR(INDEX(PP_Grid[#Data],$DE954,47),0)</f>
        <v/>
      </c>
      <c r="AY954">
        <f>IFERROR(INDEX(PP_Grid[#Data],$DE954,48),0)</f>
        <v/>
      </c>
      <c r="AZ954">
        <f>IFERROR(INDEX(PP_Grid[#Data],$DE954,49),0)</f>
        <v/>
      </c>
      <c r="BA954">
        <f>IFERROR(INDEX(PP_Grid[#Data],$DE954,50),0)</f>
        <v/>
      </c>
      <c r="BB954">
        <f>IFERROR(INDEX(PP_Grid[#Data],$DE954,51),0)</f>
        <v/>
      </c>
      <c r="BC954">
        <f>IFERROR(INDEX(PP_Grid[#Data],$DE954,52),0)</f>
        <v/>
      </c>
      <c r="BD954">
        <f>IFERROR(INDEX(PP_Grid[#Data],$DE954,53),0)</f>
        <v/>
      </c>
      <c r="BE954">
        <f>IFERROR(INDEX(PP_Grid[#Data],$DE954,54),0)</f>
        <v/>
      </c>
      <c r="BF954">
        <f>IFERROR(INDEX(PP_Grid[#Data],$DE954,55),0)</f>
        <v/>
      </c>
      <c r="BG954">
        <f>IFERROR(INDEX(PP_Grid[#Data],$DE954,56),0)</f>
        <v/>
      </c>
      <c r="BH954">
        <f>IFERROR(INDEX(PP_Grid[#Data],$DE954,57),0)</f>
        <v/>
      </c>
      <c r="BI954">
        <f>IFERROR(INDEX(PP_Grid[#Data],$DE954,58),0)</f>
        <v/>
      </c>
      <c r="BJ954">
        <f>IFERROR(INDEX(PP_Grid[#Data],$DE954,59),0)</f>
        <v/>
      </c>
      <c r="BK954">
        <f>IFERROR(INDEX(PP_Grid[#Data],$DE954,60),0)</f>
        <v/>
      </c>
      <c r="BL954">
        <f>IFERROR(INDEX(PP_Grid[#Data],$DE954,61),0)</f>
        <v/>
      </c>
      <c r="BM954">
        <f>IFERROR(INDEX(PP_Grid[#Data],$DE954,62),0)</f>
        <v/>
      </c>
      <c r="BN954">
        <f>IFERROR(INDEX(PP_Grid[#Data],$DE954,63),0)</f>
        <v/>
      </c>
      <c r="BO954">
        <f>IFERROR(INDEX(PP_Grid[#Data],$DE954,64),0)</f>
        <v/>
      </c>
      <c r="BP954">
        <f>IFERROR(INDEX(PP_Grid[#Data],$DE954,65),0)</f>
        <v/>
      </c>
      <c r="BQ954">
        <f>IFERROR(INDEX(PP_Grid[#Data],$DE954,66),0)</f>
        <v/>
      </c>
      <c r="BR954">
        <f>IFERROR(INDEX(PP_Grid[#Data],$DE954,67),0)</f>
        <v/>
      </c>
      <c r="BS954">
        <f>IFERROR(INDEX(PP_Grid[#Data],$DE954,68),0)</f>
        <v/>
      </c>
      <c r="BT954">
        <f>IFERROR(INDEX(PP_Grid[#Data],$DE954,69),0)</f>
        <v/>
      </c>
      <c r="BU954">
        <f>IFERROR(INDEX(PP_Grid[#Data],$DE954,70),0)</f>
        <v/>
      </c>
      <c r="BV954">
        <f>IFERROR(INDEX(PP_Grid[#Data],$DE954,71),0)</f>
        <v/>
      </c>
      <c r="BW954">
        <f>IFERROR(INDEX(PP_Grid[#Data],$DE954,72),0)</f>
        <v/>
      </c>
      <c r="BX954">
        <f>IFERROR(INDEX(PP_Grid[#Data],$DE954,73),0)</f>
        <v/>
      </c>
      <c r="BY954">
        <f>IFERROR(INDEX(PP_Grid[#Data],$DE954,74),0)</f>
        <v/>
      </c>
      <c r="BZ954">
        <f>IFERROR(INDEX(PP_Grid[#Data],$DE954,75),0)</f>
        <v/>
      </c>
      <c r="CA954">
        <f>IFERROR(INDEX(PP_Grid[#Data],$DE954,76),0)</f>
        <v/>
      </c>
      <c r="CB954">
        <f>IFERROR(INDEX(PP_Grid[#Data],$DE954,77),0)</f>
        <v/>
      </c>
      <c r="CC954">
        <f>IFERROR(INDEX(PP_Grid[#Data],$DE954,78),0)</f>
        <v/>
      </c>
      <c r="CD954">
        <f>IFERROR(INDEX(PP_Grid[#Data],$DE954,79),0)</f>
        <v/>
      </c>
      <c r="CE954">
        <f>IFERROR(INDEX(PP_Grid[#Data],$DE954,80),0)</f>
        <v/>
      </c>
      <c r="CF954">
        <f>IFERROR(INDEX(PP_Grid[#Data],$DE954,81),0)</f>
        <v/>
      </c>
      <c r="CG954">
        <f>IFERROR(INDEX(PP_Grid[#Data],$DE954,82),0)</f>
        <v/>
      </c>
      <c r="CH954">
        <f>IFERROR(INDEX(PP_Grid[#Data],$DE954,83),0)</f>
        <v/>
      </c>
      <c r="CI954">
        <f>IFERROR(INDEX(PP_Grid[#Data],$DE954,84),0)</f>
        <v/>
      </c>
      <c r="CJ954">
        <f>IFERROR(INDEX(PP_Grid[#Data],$DE954,85),0)</f>
        <v/>
      </c>
      <c r="CK954">
        <f>IFERROR(INDEX(PP_Grid[#Data],$DE954,86),0)</f>
        <v/>
      </c>
      <c r="CL954">
        <f>IFERROR(INDEX(PP_Grid[#Data],$DE954,87),0)</f>
        <v/>
      </c>
      <c r="CM954">
        <f>IFERROR(INDEX(PP_Grid[#Data],$DE954,88),0)</f>
        <v/>
      </c>
      <c r="CN954">
        <f>IFERROR(INDEX(PP_Grid[#Data],$DE954,89),0)</f>
        <v/>
      </c>
      <c r="CO954">
        <f>IFERROR(INDEX(PP_Grid[#Data],$DE954,90),0)</f>
        <v/>
      </c>
      <c r="CP954">
        <f>IFERROR(INDEX(PP_Grid[#Data],$DE954,91),0)</f>
        <v/>
      </c>
      <c r="CQ954">
        <f>IFERROR(INDEX(PP_Grid[#Data],$DE954,92),0)</f>
        <v/>
      </c>
      <c r="CR954">
        <f>IFERROR(INDEX(PP_Grid[#Data],$DE954,93),0)</f>
        <v/>
      </c>
      <c r="CS954">
        <f>IFERROR(INDEX(PP_Grid[#Data],$DE954,94),0)</f>
        <v/>
      </c>
      <c r="CT954">
        <f>IFERROR(INDEX(PP_Grid[#Data],$DE954,95),0)</f>
        <v/>
      </c>
      <c r="CU954">
        <f>IFERROR(INDEX(PP_Grid[#Data],$DE954,96),0)</f>
        <v/>
      </c>
      <c r="CV954">
        <f>IFERROR(INDEX(PP_Grid[#Data],$DE954,97),0)</f>
        <v/>
      </c>
      <c r="CW954">
        <f>IFERROR(INDEX(PP_Grid[#Data],$DE954,98),0)</f>
        <v/>
      </c>
      <c r="CX954">
        <f>IFERROR(INDEX(PP_Grid[#Data],$DE954,99),0)</f>
        <v/>
      </c>
      <c r="CY954">
        <f>IFERROR(INDEX(PP_Grid[#Data],$DE954,100),0)</f>
        <v/>
      </c>
      <c r="CZ954">
        <f>IFERROR(INDEX(PP_Grid[#Data],$DE954,101),0)</f>
        <v/>
      </c>
      <c r="DA954">
        <f>IFERROR(INDEX(PP_Grid[#Data],$DE954,102),0)</f>
        <v/>
      </c>
      <c r="DB954">
        <f>IFERROR(INDEX(PP_Grid[#Data],$DE954,103),0)</f>
        <v/>
      </c>
      <c r="DC954">
        <f>IFERROR(INDEX(PP_Grid[#Data],$DE954,104),0)</f>
        <v/>
      </c>
      <c r="DD954">
        <f>IFERROR(INDEX(PP_Grid[#Data],$DE954,105),0)</f>
        <v/>
      </c>
      <c r="DE954" s="7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SUMIFS(M_BOM[RM_Qty_Per_Batch],M_BOM[Intermediate],$B954,M_BOM[RM_Code],$A923)</f>
        <v/>
      </c>
      <c r="D955">
        <f>IFERROR(INDEX(E955:DD955,$F$1),"")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  <c r="DD955">
        <f>$C955*DD954</f>
        <v/>
      </c>
    </row>
    <row r="956">
      <c r="B956" t="inlineStr">
        <is>
          <t>TPP-350</t>
        </is>
      </c>
      <c r="C956" t="inlineStr">
        <is>
          <t>No. of batches</t>
        </is>
      </c>
      <c r="D956">
        <f>IFERROR(INDEX(E956:DD956,$F$1),"")</f>
        <v/>
      </c>
      <c r="E956">
        <f>IFERROR(INDEX(PP_Grid[#Data],$DE956,2),0)</f>
        <v/>
      </c>
      <c r="F956">
        <f>IFERROR(INDEX(PP_Grid[#Data],$DE956,3),0)</f>
        <v/>
      </c>
      <c r="G956">
        <f>IFERROR(INDEX(PP_Grid[#Data],$DE956,4),0)</f>
        <v/>
      </c>
      <c r="H956">
        <f>IFERROR(INDEX(PP_Grid[#Data],$DE956,5),0)</f>
        <v/>
      </c>
      <c r="I956">
        <f>IFERROR(INDEX(PP_Grid[#Data],$DE956,6),0)</f>
        <v/>
      </c>
      <c r="J956">
        <f>IFERROR(INDEX(PP_Grid[#Data],$DE956,7),0)</f>
        <v/>
      </c>
      <c r="K956">
        <f>IFERROR(INDEX(PP_Grid[#Data],$DE956,8),0)</f>
        <v/>
      </c>
      <c r="L956">
        <f>IFERROR(INDEX(PP_Grid[#Data],$DE956,9),0)</f>
        <v/>
      </c>
      <c r="M956">
        <f>IFERROR(INDEX(PP_Grid[#Data],$DE956,10),0)</f>
        <v/>
      </c>
      <c r="N956">
        <f>IFERROR(INDEX(PP_Grid[#Data],$DE956,11),0)</f>
        <v/>
      </c>
      <c r="O956">
        <f>IFERROR(INDEX(PP_Grid[#Data],$DE956,12),0)</f>
        <v/>
      </c>
      <c r="P956">
        <f>IFERROR(INDEX(PP_Grid[#Data],$DE956,13),0)</f>
        <v/>
      </c>
      <c r="Q956">
        <f>IFERROR(INDEX(PP_Grid[#Data],$DE956,14),0)</f>
        <v/>
      </c>
      <c r="R956">
        <f>IFERROR(INDEX(PP_Grid[#Data],$DE956,15),0)</f>
        <v/>
      </c>
      <c r="S956">
        <f>IFERROR(INDEX(PP_Grid[#Data],$DE956,16),0)</f>
        <v/>
      </c>
      <c r="T956">
        <f>IFERROR(INDEX(PP_Grid[#Data],$DE956,17),0)</f>
        <v/>
      </c>
      <c r="U956">
        <f>IFERROR(INDEX(PP_Grid[#Data],$DE956,18),0)</f>
        <v/>
      </c>
      <c r="V956">
        <f>IFERROR(INDEX(PP_Grid[#Data],$DE956,19),0)</f>
        <v/>
      </c>
      <c r="W956">
        <f>IFERROR(INDEX(PP_Grid[#Data],$DE956,20),0)</f>
        <v/>
      </c>
      <c r="X956">
        <f>IFERROR(INDEX(PP_Grid[#Data],$DE956,21),0)</f>
        <v/>
      </c>
      <c r="Y956">
        <f>IFERROR(INDEX(PP_Grid[#Data],$DE956,22),0)</f>
        <v/>
      </c>
      <c r="Z956">
        <f>IFERROR(INDEX(PP_Grid[#Data],$DE956,23),0)</f>
        <v/>
      </c>
      <c r="AA956">
        <f>IFERROR(INDEX(PP_Grid[#Data],$DE956,24),0)</f>
        <v/>
      </c>
      <c r="AB956">
        <f>IFERROR(INDEX(PP_Grid[#Data],$DE956,25),0)</f>
        <v/>
      </c>
      <c r="AC956">
        <f>IFERROR(INDEX(PP_Grid[#Data],$DE956,26),0)</f>
        <v/>
      </c>
      <c r="AD956">
        <f>IFERROR(INDEX(PP_Grid[#Data],$DE956,27),0)</f>
        <v/>
      </c>
      <c r="AE956">
        <f>IFERROR(INDEX(PP_Grid[#Data],$DE956,28),0)</f>
        <v/>
      </c>
      <c r="AF956">
        <f>IFERROR(INDEX(PP_Grid[#Data],$DE956,29),0)</f>
        <v/>
      </c>
      <c r="AG956">
        <f>IFERROR(INDEX(PP_Grid[#Data],$DE956,30),0)</f>
        <v/>
      </c>
      <c r="AH956">
        <f>IFERROR(INDEX(PP_Grid[#Data],$DE956,31),0)</f>
        <v/>
      </c>
      <c r="AI956">
        <f>IFERROR(INDEX(PP_Grid[#Data],$DE956,32),0)</f>
        <v/>
      </c>
      <c r="AJ956">
        <f>IFERROR(INDEX(PP_Grid[#Data],$DE956,33),0)</f>
        <v/>
      </c>
      <c r="AK956">
        <f>IFERROR(INDEX(PP_Grid[#Data],$DE956,34),0)</f>
        <v/>
      </c>
      <c r="AL956">
        <f>IFERROR(INDEX(PP_Grid[#Data],$DE956,35),0)</f>
        <v/>
      </c>
      <c r="AM956">
        <f>IFERROR(INDEX(PP_Grid[#Data],$DE956,36),0)</f>
        <v/>
      </c>
      <c r="AN956">
        <f>IFERROR(INDEX(PP_Grid[#Data],$DE956,37),0)</f>
        <v/>
      </c>
      <c r="AO956">
        <f>IFERROR(INDEX(PP_Grid[#Data],$DE956,38),0)</f>
        <v/>
      </c>
      <c r="AP956">
        <f>IFERROR(INDEX(PP_Grid[#Data],$DE956,39),0)</f>
        <v/>
      </c>
      <c r="AQ956">
        <f>IFERROR(INDEX(PP_Grid[#Data],$DE956,40),0)</f>
        <v/>
      </c>
      <c r="AR956">
        <f>IFERROR(INDEX(PP_Grid[#Data],$DE956,41),0)</f>
        <v/>
      </c>
      <c r="AS956">
        <f>IFERROR(INDEX(PP_Grid[#Data],$DE956,42),0)</f>
        <v/>
      </c>
      <c r="AT956">
        <f>IFERROR(INDEX(PP_Grid[#Data],$DE956,43),0)</f>
        <v/>
      </c>
      <c r="AU956">
        <f>IFERROR(INDEX(PP_Grid[#Data],$DE956,44),0)</f>
        <v/>
      </c>
      <c r="AV956">
        <f>IFERROR(INDEX(PP_Grid[#Data],$DE956,45),0)</f>
        <v/>
      </c>
      <c r="AW956">
        <f>IFERROR(INDEX(PP_Grid[#Data],$DE956,46),0)</f>
        <v/>
      </c>
      <c r="AX956">
        <f>IFERROR(INDEX(PP_Grid[#Data],$DE956,47),0)</f>
        <v/>
      </c>
      <c r="AY956">
        <f>IFERROR(INDEX(PP_Grid[#Data],$DE956,48),0)</f>
        <v/>
      </c>
      <c r="AZ956">
        <f>IFERROR(INDEX(PP_Grid[#Data],$DE956,49),0)</f>
        <v/>
      </c>
      <c r="BA956">
        <f>IFERROR(INDEX(PP_Grid[#Data],$DE956,50),0)</f>
        <v/>
      </c>
      <c r="BB956">
        <f>IFERROR(INDEX(PP_Grid[#Data],$DE956,51),0)</f>
        <v/>
      </c>
      <c r="BC956">
        <f>IFERROR(INDEX(PP_Grid[#Data],$DE956,52),0)</f>
        <v/>
      </c>
      <c r="BD956">
        <f>IFERROR(INDEX(PP_Grid[#Data],$DE956,53),0)</f>
        <v/>
      </c>
      <c r="BE956">
        <f>IFERROR(INDEX(PP_Grid[#Data],$DE956,54),0)</f>
        <v/>
      </c>
      <c r="BF956">
        <f>IFERROR(INDEX(PP_Grid[#Data],$DE956,55),0)</f>
        <v/>
      </c>
      <c r="BG956">
        <f>IFERROR(INDEX(PP_Grid[#Data],$DE956,56),0)</f>
        <v/>
      </c>
      <c r="BH956">
        <f>IFERROR(INDEX(PP_Grid[#Data],$DE956,57),0)</f>
        <v/>
      </c>
      <c r="BI956">
        <f>IFERROR(INDEX(PP_Grid[#Data],$DE956,58),0)</f>
        <v/>
      </c>
      <c r="BJ956">
        <f>IFERROR(INDEX(PP_Grid[#Data],$DE956,59),0)</f>
        <v/>
      </c>
      <c r="BK956">
        <f>IFERROR(INDEX(PP_Grid[#Data],$DE956,60),0)</f>
        <v/>
      </c>
      <c r="BL956">
        <f>IFERROR(INDEX(PP_Grid[#Data],$DE956,61),0)</f>
        <v/>
      </c>
      <c r="BM956">
        <f>IFERROR(INDEX(PP_Grid[#Data],$DE956,62),0)</f>
        <v/>
      </c>
      <c r="BN956">
        <f>IFERROR(INDEX(PP_Grid[#Data],$DE956,63),0)</f>
        <v/>
      </c>
      <c r="BO956">
        <f>IFERROR(INDEX(PP_Grid[#Data],$DE956,64),0)</f>
        <v/>
      </c>
      <c r="BP956">
        <f>IFERROR(INDEX(PP_Grid[#Data],$DE956,65),0)</f>
        <v/>
      </c>
      <c r="BQ956">
        <f>IFERROR(INDEX(PP_Grid[#Data],$DE956,66),0)</f>
        <v/>
      </c>
      <c r="BR956">
        <f>IFERROR(INDEX(PP_Grid[#Data],$DE956,67),0)</f>
        <v/>
      </c>
      <c r="BS956">
        <f>IFERROR(INDEX(PP_Grid[#Data],$DE956,68),0)</f>
        <v/>
      </c>
      <c r="BT956">
        <f>IFERROR(INDEX(PP_Grid[#Data],$DE956,69),0)</f>
        <v/>
      </c>
      <c r="BU956">
        <f>IFERROR(INDEX(PP_Grid[#Data],$DE956,70),0)</f>
        <v/>
      </c>
      <c r="BV956">
        <f>IFERROR(INDEX(PP_Grid[#Data],$DE956,71),0)</f>
        <v/>
      </c>
      <c r="BW956">
        <f>IFERROR(INDEX(PP_Grid[#Data],$DE956,72),0)</f>
        <v/>
      </c>
      <c r="BX956">
        <f>IFERROR(INDEX(PP_Grid[#Data],$DE956,73),0)</f>
        <v/>
      </c>
      <c r="BY956">
        <f>IFERROR(INDEX(PP_Grid[#Data],$DE956,74),0)</f>
        <v/>
      </c>
      <c r="BZ956">
        <f>IFERROR(INDEX(PP_Grid[#Data],$DE956,75),0)</f>
        <v/>
      </c>
      <c r="CA956">
        <f>IFERROR(INDEX(PP_Grid[#Data],$DE956,76),0)</f>
        <v/>
      </c>
      <c r="CB956">
        <f>IFERROR(INDEX(PP_Grid[#Data],$DE956,77),0)</f>
        <v/>
      </c>
      <c r="CC956">
        <f>IFERROR(INDEX(PP_Grid[#Data],$DE956,78),0)</f>
        <v/>
      </c>
      <c r="CD956">
        <f>IFERROR(INDEX(PP_Grid[#Data],$DE956,79),0)</f>
        <v/>
      </c>
      <c r="CE956">
        <f>IFERROR(INDEX(PP_Grid[#Data],$DE956,80),0)</f>
        <v/>
      </c>
      <c r="CF956">
        <f>IFERROR(INDEX(PP_Grid[#Data],$DE956,81),0)</f>
        <v/>
      </c>
      <c r="CG956">
        <f>IFERROR(INDEX(PP_Grid[#Data],$DE956,82),0)</f>
        <v/>
      </c>
      <c r="CH956">
        <f>IFERROR(INDEX(PP_Grid[#Data],$DE956,83),0)</f>
        <v/>
      </c>
      <c r="CI956">
        <f>IFERROR(INDEX(PP_Grid[#Data],$DE956,84),0)</f>
        <v/>
      </c>
      <c r="CJ956">
        <f>IFERROR(INDEX(PP_Grid[#Data],$DE956,85),0)</f>
        <v/>
      </c>
      <c r="CK956">
        <f>IFERROR(INDEX(PP_Grid[#Data],$DE956,86),0)</f>
        <v/>
      </c>
      <c r="CL956">
        <f>IFERROR(INDEX(PP_Grid[#Data],$DE956,87),0)</f>
        <v/>
      </c>
      <c r="CM956">
        <f>IFERROR(INDEX(PP_Grid[#Data],$DE956,88),0)</f>
        <v/>
      </c>
      <c r="CN956">
        <f>IFERROR(INDEX(PP_Grid[#Data],$DE956,89),0)</f>
        <v/>
      </c>
      <c r="CO956">
        <f>IFERROR(INDEX(PP_Grid[#Data],$DE956,90),0)</f>
        <v/>
      </c>
      <c r="CP956">
        <f>IFERROR(INDEX(PP_Grid[#Data],$DE956,91),0)</f>
        <v/>
      </c>
      <c r="CQ956">
        <f>IFERROR(INDEX(PP_Grid[#Data],$DE956,92),0)</f>
        <v/>
      </c>
      <c r="CR956">
        <f>IFERROR(INDEX(PP_Grid[#Data],$DE956,93),0)</f>
        <v/>
      </c>
      <c r="CS956">
        <f>IFERROR(INDEX(PP_Grid[#Data],$DE956,94),0)</f>
        <v/>
      </c>
      <c r="CT956">
        <f>IFERROR(INDEX(PP_Grid[#Data],$DE956,95),0)</f>
        <v/>
      </c>
      <c r="CU956">
        <f>IFERROR(INDEX(PP_Grid[#Data],$DE956,96),0)</f>
        <v/>
      </c>
      <c r="CV956">
        <f>IFERROR(INDEX(PP_Grid[#Data],$DE956,97),0)</f>
        <v/>
      </c>
      <c r="CW956">
        <f>IFERROR(INDEX(PP_Grid[#Data],$DE956,98),0)</f>
        <v/>
      </c>
      <c r="CX956">
        <f>IFERROR(INDEX(PP_Grid[#Data],$DE956,99),0)</f>
        <v/>
      </c>
      <c r="CY956">
        <f>IFERROR(INDEX(PP_Grid[#Data],$DE956,100),0)</f>
        <v/>
      </c>
      <c r="CZ956">
        <f>IFERROR(INDEX(PP_Grid[#Data],$DE956,101),0)</f>
        <v/>
      </c>
      <c r="DA956">
        <f>IFERROR(INDEX(PP_Grid[#Data],$DE956,102),0)</f>
        <v/>
      </c>
      <c r="DB956">
        <f>IFERROR(INDEX(PP_Grid[#Data],$DE956,103),0)</f>
        <v/>
      </c>
      <c r="DC956">
        <f>IFERROR(INDEX(PP_Grid[#Data],$DE956,104),0)</f>
        <v/>
      </c>
      <c r="DD956">
        <f>IFERROR(INDEX(PP_Grid[#Data],$DE956,105),0)</f>
        <v/>
      </c>
      <c r="DE956" s="7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SUMIFS(M_BOM[RM_Qty_Per_Batch],M_BOM[Intermediate],$B956,M_BOM[RM_Code],$A923)</f>
        <v/>
      </c>
      <c r="D957">
        <f>IFERROR(INDEX(E957:DD957,$F$1),"")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  <c r="DD957">
        <f>$C957*DD956</f>
        <v/>
      </c>
    </row>
    <row r="958">
      <c r="B958" t="inlineStr">
        <is>
          <t>TPP-356</t>
        </is>
      </c>
      <c r="C958" t="inlineStr">
        <is>
          <t>No. of batches</t>
        </is>
      </c>
      <c r="D958">
        <f>IFERROR(INDEX(E958:DD958,$F$1),"")</f>
        <v/>
      </c>
      <c r="E958">
        <f>IFERROR(INDEX(PP_Grid[#Data],$DE958,2),0)</f>
        <v/>
      </c>
      <c r="F958">
        <f>IFERROR(INDEX(PP_Grid[#Data],$DE958,3),0)</f>
        <v/>
      </c>
      <c r="G958">
        <f>IFERROR(INDEX(PP_Grid[#Data],$DE958,4),0)</f>
        <v/>
      </c>
      <c r="H958">
        <f>IFERROR(INDEX(PP_Grid[#Data],$DE958,5),0)</f>
        <v/>
      </c>
      <c r="I958">
        <f>IFERROR(INDEX(PP_Grid[#Data],$DE958,6),0)</f>
        <v/>
      </c>
      <c r="J958">
        <f>IFERROR(INDEX(PP_Grid[#Data],$DE958,7),0)</f>
        <v/>
      </c>
      <c r="K958">
        <f>IFERROR(INDEX(PP_Grid[#Data],$DE958,8),0)</f>
        <v/>
      </c>
      <c r="L958">
        <f>IFERROR(INDEX(PP_Grid[#Data],$DE958,9),0)</f>
        <v/>
      </c>
      <c r="M958">
        <f>IFERROR(INDEX(PP_Grid[#Data],$DE958,10),0)</f>
        <v/>
      </c>
      <c r="N958">
        <f>IFERROR(INDEX(PP_Grid[#Data],$DE958,11),0)</f>
        <v/>
      </c>
      <c r="O958">
        <f>IFERROR(INDEX(PP_Grid[#Data],$DE958,12),0)</f>
        <v/>
      </c>
      <c r="P958">
        <f>IFERROR(INDEX(PP_Grid[#Data],$DE958,13),0)</f>
        <v/>
      </c>
      <c r="Q958">
        <f>IFERROR(INDEX(PP_Grid[#Data],$DE958,14),0)</f>
        <v/>
      </c>
      <c r="R958">
        <f>IFERROR(INDEX(PP_Grid[#Data],$DE958,15),0)</f>
        <v/>
      </c>
      <c r="S958">
        <f>IFERROR(INDEX(PP_Grid[#Data],$DE958,16),0)</f>
        <v/>
      </c>
      <c r="T958">
        <f>IFERROR(INDEX(PP_Grid[#Data],$DE958,17),0)</f>
        <v/>
      </c>
      <c r="U958">
        <f>IFERROR(INDEX(PP_Grid[#Data],$DE958,18),0)</f>
        <v/>
      </c>
      <c r="V958">
        <f>IFERROR(INDEX(PP_Grid[#Data],$DE958,19),0)</f>
        <v/>
      </c>
      <c r="W958">
        <f>IFERROR(INDEX(PP_Grid[#Data],$DE958,20),0)</f>
        <v/>
      </c>
      <c r="X958">
        <f>IFERROR(INDEX(PP_Grid[#Data],$DE958,21),0)</f>
        <v/>
      </c>
      <c r="Y958">
        <f>IFERROR(INDEX(PP_Grid[#Data],$DE958,22),0)</f>
        <v/>
      </c>
      <c r="Z958">
        <f>IFERROR(INDEX(PP_Grid[#Data],$DE958,23),0)</f>
        <v/>
      </c>
      <c r="AA958">
        <f>IFERROR(INDEX(PP_Grid[#Data],$DE958,24),0)</f>
        <v/>
      </c>
      <c r="AB958">
        <f>IFERROR(INDEX(PP_Grid[#Data],$DE958,25),0)</f>
        <v/>
      </c>
      <c r="AC958">
        <f>IFERROR(INDEX(PP_Grid[#Data],$DE958,26),0)</f>
        <v/>
      </c>
      <c r="AD958">
        <f>IFERROR(INDEX(PP_Grid[#Data],$DE958,27),0)</f>
        <v/>
      </c>
      <c r="AE958">
        <f>IFERROR(INDEX(PP_Grid[#Data],$DE958,28),0)</f>
        <v/>
      </c>
      <c r="AF958">
        <f>IFERROR(INDEX(PP_Grid[#Data],$DE958,29),0)</f>
        <v/>
      </c>
      <c r="AG958">
        <f>IFERROR(INDEX(PP_Grid[#Data],$DE958,30),0)</f>
        <v/>
      </c>
      <c r="AH958">
        <f>IFERROR(INDEX(PP_Grid[#Data],$DE958,31),0)</f>
        <v/>
      </c>
      <c r="AI958">
        <f>IFERROR(INDEX(PP_Grid[#Data],$DE958,32),0)</f>
        <v/>
      </c>
      <c r="AJ958">
        <f>IFERROR(INDEX(PP_Grid[#Data],$DE958,33),0)</f>
        <v/>
      </c>
      <c r="AK958">
        <f>IFERROR(INDEX(PP_Grid[#Data],$DE958,34),0)</f>
        <v/>
      </c>
      <c r="AL958">
        <f>IFERROR(INDEX(PP_Grid[#Data],$DE958,35),0)</f>
        <v/>
      </c>
      <c r="AM958">
        <f>IFERROR(INDEX(PP_Grid[#Data],$DE958,36),0)</f>
        <v/>
      </c>
      <c r="AN958">
        <f>IFERROR(INDEX(PP_Grid[#Data],$DE958,37),0)</f>
        <v/>
      </c>
      <c r="AO958">
        <f>IFERROR(INDEX(PP_Grid[#Data],$DE958,38),0)</f>
        <v/>
      </c>
      <c r="AP958">
        <f>IFERROR(INDEX(PP_Grid[#Data],$DE958,39),0)</f>
        <v/>
      </c>
      <c r="AQ958">
        <f>IFERROR(INDEX(PP_Grid[#Data],$DE958,40),0)</f>
        <v/>
      </c>
      <c r="AR958">
        <f>IFERROR(INDEX(PP_Grid[#Data],$DE958,41),0)</f>
        <v/>
      </c>
      <c r="AS958">
        <f>IFERROR(INDEX(PP_Grid[#Data],$DE958,42),0)</f>
        <v/>
      </c>
      <c r="AT958">
        <f>IFERROR(INDEX(PP_Grid[#Data],$DE958,43),0)</f>
        <v/>
      </c>
      <c r="AU958">
        <f>IFERROR(INDEX(PP_Grid[#Data],$DE958,44),0)</f>
        <v/>
      </c>
      <c r="AV958">
        <f>IFERROR(INDEX(PP_Grid[#Data],$DE958,45),0)</f>
        <v/>
      </c>
      <c r="AW958">
        <f>IFERROR(INDEX(PP_Grid[#Data],$DE958,46),0)</f>
        <v/>
      </c>
      <c r="AX958">
        <f>IFERROR(INDEX(PP_Grid[#Data],$DE958,47),0)</f>
        <v/>
      </c>
      <c r="AY958">
        <f>IFERROR(INDEX(PP_Grid[#Data],$DE958,48),0)</f>
        <v/>
      </c>
      <c r="AZ958">
        <f>IFERROR(INDEX(PP_Grid[#Data],$DE958,49),0)</f>
        <v/>
      </c>
      <c r="BA958">
        <f>IFERROR(INDEX(PP_Grid[#Data],$DE958,50),0)</f>
        <v/>
      </c>
      <c r="BB958">
        <f>IFERROR(INDEX(PP_Grid[#Data],$DE958,51),0)</f>
        <v/>
      </c>
      <c r="BC958">
        <f>IFERROR(INDEX(PP_Grid[#Data],$DE958,52),0)</f>
        <v/>
      </c>
      <c r="BD958">
        <f>IFERROR(INDEX(PP_Grid[#Data],$DE958,53),0)</f>
        <v/>
      </c>
      <c r="BE958">
        <f>IFERROR(INDEX(PP_Grid[#Data],$DE958,54),0)</f>
        <v/>
      </c>
      <c r="BF958">
        <f>IFERROR(INDEX(PP_Grid[#Data],$DE958,55),0)</f>
        <v/>
      </c>
      <c r="BG958">
        <f>IFERROR(INDEX(PP_Grid[#Data],$DE958,56),0)</f>
        <v/>
      </c>
      <c r="BH958">
        <f>IFERROR(INDEX(PP_Grid[#Data],$DE958,57),0)</f>
        <v/>
      </c>
      <c r="BI958">
        <f>IFERROR(INDEX(PP_Grid[#Data],$DE958,58),0)</f>
        <v/>
      </c>
      <c r="BJ958">
        <f>IFERROR(INDEX(PP_Grid[#Data],$DE958,59),0)</f>
        <v/>
      </c>
      <c r="BK958">
        <f>IFERROR(INDEX(PP_Grid[#Data],$DE958,60),0)</f>
        <v/>
      </c>
      <c r="BL958">
        <f>IFERROR(INDEX(PP_Grid[#Data],$DE958,61),0)</f>
        <v/>
      </c>
      <c r="BM958">
        <f>IFERROR(INDEX(PP_Grid[#Data],$DE958,62),0)</f>
        <v/>
      </c>
      <c r="BN958">
        <f>IFERROR(INDEX(PP_Grid[#Data],$DE958,63),0)</f>
        <v/>
      </c>
      <c r="BO958">
        <f>IFERROR(INDEX(PP_Grid[#Data],$DE958,64),0)</f>
        <v/>
      </c>
      <c r="BP958">
        <f>IFERROR(INDEX(PP_Grid[#Data],$DE958,65),0)</f>
        <v/>
      </c>
      <c r="BQ958">
        <f>IFERROR(INDEX(PP_Grid[#Data],$DE958,66),0)</f>
        <v/>
      </c>
      <c r="BR958">
        <f>IFERROR(INDEX(PP_Grid[#Data],$DE958,67),0)</f>
        <v/>
      </c>
      <c r="BS958">
        <f>IFERROR(INDEX(PP_Grid[#Data],$DE958,68),0)</f>
        <v/>
      </c>
      <c r="BT958">
        <f>IFERROR(INDEX(PP_Grid[#Data],$DE958,69),0)</f>
        <v/>
      </c>
      <c r="BU958">
        <f>IFERROR(INDEX(PP_Grid[#Data],$DE958,70),0)</f>
        <v/>
      </c>
      <c r="BV958">
        <f>IFERROR(INDEX(PP_Grid[#Data],$DE958,71),0)</f>
        <v/>
      </c>
      <c r="BW958">
        <f>IFERROR(INDEX(PP_Grid[#Data],$DE958,72),0)</f>
        <v/>
      </c>
      <c r="BX958">
        <f>IFERROR(INDEX(PP_Grid[#Data],$DE958,73),0)</f>
        <v/>
      </c>
      <c r="BY958">
        <f>IFERROR(INDEX(PP_Grid[#Data],$DE958,74),0)</f>
        <v/>
      </c>
      <c r="BZ958">
        <f>IFERROR(INDEX(PP_Grid[#Data],$DE958,75),0)</f>
        <v/>
      </c>
      <c r="CA958">
        <f>IFERROR(INDEX(PP_Grid[#Data],$DE958,76),0)</f>
        <v/>
      </c>
      <c r="CB958">
        <f>IFERROR(INDEX(PP_Grid[#Data],$DE958,77),0)</f>
        <v/>
      </c>
      <c r="CC958">
        <f>IFERROR(INDEX(PP_Grid[#Data],$DE958,78),0)</f>
        <v/>
      </c>
      <c r="CD958">
        <f>IFERROR(INDEX(PP_Grid[#Data],$DE958,79),0)</f>
        <v/>
      </c>
      <c r="CE958">
        <f>IFERROR(INDEX(PP_Grid[#Data],$DE958,80),0)</f>
        <v/>
      </c>
      <c r="CF958">
        <f>IFERROR(INDEX(PP_Grid[#Data],$DE958,81),0)</f>
        <v/>
      </c>
      <c r="CG958">
        <f>IFERROR(INDEX(PP_Grid[#Data],$DE958,82),0)</f>
        <v/>
      </c>
      <c r="CH958">
        <f>IFERROR(INDEX(PP_Grid[#Data],$DE958,83),0)</f>
        <v/>
      </c>
      <c r="CI958">
        <f>IFERROR(INDEX(PP_Grid[#Data],$DE958,84),0)</f>
        <v/>
      </c>
      <c r="CJ958">
        <f>IFERROR(INDEX(PP_Grid[#Data],$DE958,85),0)</f>
        <v/>
      </c>
      <c r="CK958">
        <f>IFERROR(INDEX(PP_Grid[#Data],$DE958,86),0)</f>
        <v/>
      </c>
      <c r="CL958">
        <f>IFERROR(INDEX(PP_Grid[#Data],$DE958,87),0)</f>
        <v/>
      </c>
      <c r="CM958">
        <f>IFERROR(INDEX(PP_Grid[#Data],$DE958,88),0)</f>
        <v/>
      </c>
      <c r="CN958">
        <f>IFERROR(INDEX(PP_Grid[#Data],$DE958,89),0)</f>
        <v/>
      </c>
      <c r="CO958">
        <f>IFERROR(INDEX(PP_Grid[#Data],$DE958,90),0)</f>
        <v/>
      </c>
      <c r="CP958">
        <f>IFERROR(INDEX(PP_Grid[#Data],$DE958,91),0)</f>
        <v/>
      </c>
      <c r="CQ958">
        <f>IFERROR(INDEX(PP_Grid[#Data],$DE958,92),0)</f>
        <v/>
      </c>
      <c r="CR958">
        <f>IFERROR(INDEX(PP_Grid[#Data],$DE958,93),0)</f>
        <v/>
      </c>
      <c r="CS958">
        <f>IFERROR(INDEX(PP_Grid[#Data],$DE958,94),0)</f>
        <v/>
      </c>
      <c r="CT958">
        <f>IFERROR(INDEX(PP_Grid[#Data],$DE958,95),0)</f>
        <v/>
      </c>
      <c r="CU958">
        <f>IFERROR(INDEX(PP_Grid[#Data],$DE958,96),0)</f>
        <v/>
      </c>
      <c r="CV958">
        <f>IFERROR(INDEX(PP_Grid[#Data],$DE958,97),0)</f>
        <v/>
      </c>
      <c r="CW958">
        <f>IFERROR(INDEX(PP_Grid[#Data],$DE958,98),0)</f>
        <v/>
      </c>
      <c r="CX958">
        <f>IFERROR(INDEX(PP_Grid[#Data],$DE958,99),0)</f>
        <v/>
      </c>
      <c r="CY958">
        <f>IFERROR(INDEX(PP_Grid[#Data],$DE958,100),0)</f>
        <v/>
      </c>
      <c r="CZ958">
        <f>IFERROR(INDEX(PP_Grid[#Data],$DE958,101),0)</f>
        <v/>
      </c>
      <c r="DA958">
        <f>IFERROR(INDEX(PP_Grid[#Data],$DE958,102),0)</f>
        <v/>
      </c>
      <c r="DB958">
        <f>IFERROR(INDEX(PP_Grid[#Data],$DE958,103),0)</f>
        <v/>
      </c>
      <c r="DC958">
        <f>IFERROR(INDEX(PP_Grid[#Data],$DE958,104),0)</f>
        <v/>
      </c>
      <c r="DD958">
        <f>IFERROR(INDEX(PP_Grid[#Data],$DE958,105),0)</f>
        <v/>
      </c>
      <c r="DE958" s="7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SUMIFS(M_BOM[RM_Qty_Per_Batch],M_BOM[Intermediate],$B958,M_BOM[RM_Code],$A923)</f>
        <v/>
      </c>
      <c r="D959">
        <f>IFERROR(INDEX(E959:DD959,$F$1),"")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  <c r="DD959">
        <f>$C959*DD958</f>
        <v/>
      </c>
    </row>
    <row r="960">
      <c r="B960" t="inlineStr">
        <is>
          <t>TPP-704</t>
        </is>
      </c>
      <c r="C960" t="inlineStr">
        <is>
          <t>No. of batches</t>
        </is>
      </c>
      <c r="D960">
        <f>IFERROR(INDEX(E960:DD960,$F$1),"")</f>
        <v/>
      </c>
      <c r="E960">
        <f>IFERROR(INDEX(PP_Grid[#Data],$DE960,2),0)</f>
        <v/>
      </c>
      <c r="F960">
        <f>IFERROR(INDEX(PP_Grid[#Data],$DE960,3),0)</f>
        <v/>
      </c>
      <c r="G960">
        <f>IFERROR(INDEX(PP_Grid[#Data],$DE960,4),0)</f>
        <v/>
      </c>
      <c r="H960">
        <f>IFERROR(INDEX(PP_Grid[#Data],$DE960,5),0)</f>
        <v/>
      </c>
      <c r="I960">
        <f>IFERROR(INDEX(PP_Grid[#Data],$DE960,6),0)</f>
        <v/>
      </c>
      <c r="J960">
        <f>IFERROR(INDEX(PP_Grid[#Data],$DE960,7),0)</f>
        <v/>
      </c>
      <c r="K960">
        <f>IFERROR(INDEX(PP_Grid[#Data],$DE960,8),0)</f>
        <v/>
      </c>
      <c r="L960">
        <f>IFERROR(INDEX(PP_Grid[#Data],$DE960,9),0)</f>
        <v/>
      </c>
      <c r="M960">
        <f>IFERROR(INDEX(PP_Grid[#Data],$DE960,10),0)</f>
        <v/>
      </c>
      <c r="N960">
        <f>IFERROR(INDEX(PP_Grid[#Data],$DE960,11),0)</f>
        <v/>
      </c>
      <c r="O960">
        <f>IFERROR(INDEX(PP_Grid[#Data],$DE960,12),0)</f>
        <v/>
      </c>
      <c r="P960">
        <f>IFERROR(INDEX(PP_Grid[#Data],$DE960,13),0)</f>
        <v/>
      </c>
      <c r="Q960">
        <f>IFERROR(INDEX(PP_Grid[#Data],$DE960,14),0)</f>
        <v/>
      </c>
      <c r="R960">
        <f>IFERROR(INDEX(PP_Grid[#Data],$DE960,15),0)</f>
        <v/>
      </c>
      <c r="S960">
        <f>IFERROR(INDEX(PP_Grid[#Data],$DE960,16),0)</f>
        <v/>
      </c>
      <c r="T960">
        <f>IFERROR(INDEX(PP_Grid[#Data],$DE960,17),0)</f>
        <v/>
      </c>
      <c r="U960">
        <f>IFERROR(INDEX(PP_Grid[#Data],$DE960,18),0)</f>
        <v/>
      </c>
      <c r="V960">
        <f>IFERROR(INDEX(PP_Grid[#Data],$DE960,19),0)</f>
        <v/>
      </c>
      <c r="W960">
        <f>IFERROR(INDEX(PP_Grid[#Data],$DE960,20),0)</f>
        <v/>
      </c>
      <c r="X960">
        <f>IFERROR(INDEX(PP_Grid[#Data],$DE960,21),0)</f>
        <v/>
      </c>
      <c r="Y960">
        <f>IFERROR(INDEX(PP_Grid[#Data],$DE960,22),0)</f>
        <v/>
      </c>
      <c r="Z960">
        <f>IFERROR(INDEX(PP_Grid[#Data],$DE960,23),0)</f>
        <v/>
      </c>
      <c r="AA960">
        <f>IFERROR(INDEX(PP_Grid[#Data],$DE960,24),0)</f>
        <v/>
      </c>
      <c r="AB960">
        <f>IFERROR(INDEX(PP_Grid[#Data],$DE960,25),0)</f>
        <v/>
      </c>
      <c r="AC960">
        <f>IFERROR(INDEX(PP_Grid[#Data],$DE960,26),0)</f>
        <v/>
      </c>
      <c r="AD960">
        <f>IFERROR(INDEX(PP_Grid[#Data],$DE960,27),0)</f>
        <v/>
      </c>
      <c r="AE960">
        <f>IFERROR(INDEX(PP_Grid[#Data],$DE960,28),0)</f>
        <v/>
      </c>
      <c r="AF960">
        <f>IFERROR(INDEX(PP_Grid[#Data],$DE960,29),0)</f>
        <v/>
      </c>
      <c r="AG960">
        <f>IFERROR(INDEX(PP_Grid[#Data],$DE960,30),0)</f>
        <v/>
      </c>
      <c r="AH960">
        <f>IFERROR(INDEX(PP_Grid[#Data],$DE960,31),0)</f>
        <v/>
      </c>
      <c r="AI960">
        <f>IFERROR(INDEX(PP_Grid[#Data],$DE960,32),0)</f>
        <v/>
      </c>
      <c r="AJ960">
        <f>IFERROR(INDEX(PP_Grid[#Data],$DE960,33),0)</f>
        <v/>
      </c>
      <c r="AK960">
        <f>IFERROR(INDEX(PP_Grid[#Data],$DE960,34),0)</f>
        <v/>
      </c>
      <c r="AL960">
        <f>IFERROR(INDEX(PP_Grid[#Data],$DE960,35),0)</f>
        <v/>
      </c>
      <c r="AM960">
        <f>IFERROR(INDEX(PP_Grid[#Data],$DE960,36),0)</f>
        <v/>
      </c>
      <c r="AN960">
        <f>IFERROR(INDEX(PP_Grid[#Data],$DE960,37),0)</f>
        <v/>
      </c>
      <c r="AO960">
        <f>IFERROR(INDEX(PP_Grid[#Data],$DE960,38),0)</f>
        <v/>
      </c>
      <c r="AP960">
        <f>IFERROR(INDEX(PP_Grid[#Data],$DE960,39),0)</f>
        <v/>
      </c>
      <c r="AQ960">
        <f>IFERROR(INDEX(PP_Grid[#Data],$DE960,40),0)</f>
        <v/>
      </c>
      <c r="AR960">
        <f>IFERROR(INDEX(PP_Grid[#Data],$DE960,41),0)</f>
        <v/>
      </c>
      <c r="AS960">
        <f>IFERROR(INDEX(PP_Grid[#Data],$DE960,42),0)</f>
        <v/>
      </c>
      <c r="AT960">
        <f>IFERROR(INDEX(PP_Grid[#Data],$DE960,43),0)</f>
        <v/>
      </c>
      <c r="AU960">
        <f>IFERROR(INDEX(PP_Grid[#Data],$DE960,44),0)</f>
        <v/>
      </c>
      <c r="AV960">
        <f>IFERROR(INDEX(PP_Grid[#Data],$DE960,45),0)</f>
        <v/>
      </c>
      <c r="AW960">
        <f>IFERROR(INDEX(PP_Grid[#Data],$DE960,46),0)</f>
        <v/>
      </c>
      <c r="AX960">
        <f>IFERROR(INDEX(PP_Grid[#Data],$DE960,47),0)</f>
        <v/>
      </c>
      <c r="AY960">
        <f>IFERROR(INDEX(PP_Grid[#Data],$DE960,48),0)</f>
        <v/>
      </c>
      <c r="AZ960">
        <f>IFERROR(INDEX(PP_Grid[#Data],$DE960,49),0)</f>
        <v/>
      </c>
      <c r="BA960">
        <f>IFERROR(INDEX(PP_Grid[#Data],$DE960,50),0)</f>
        <v/>
      </c>
      <c r="BB960">
        <f>IFERROR(INDEX(PP_Grid[#Data],$DE960,51),0)</f>
        <v/>
      </c>
      <c r="BC960">
        <f>IFERROR(INDEX(PP_Grid[#Data],$DE960,52),0)</f>
        <v/>
      </c>
      <c r="BD960">
        <f>IFERROR(INDEX(PP_Grid[#Data],$DE960,53),0)</f>
        <v/>
      </c>
      <c r="BE960">
        <f>IFERROR(INDEX(PP_Grid[#Data],$DE960,54),0)</f>
        <v/>
      </c>
      <c r="BF960">
        <f>IFERROR(INDEX(PP_Grid[#Data],$DE960,55),0)</f>
        <v/>
      </c>
      <c r="BG960">
        <f>IFERROR(INDEX(PP_Grid[#Data],$DE960,56),0)</f>
        <v/>
      </c>
      <c r="BH960">
        <f>IFERROR(INDEX(PP_Grid[#Data],$DE960,57),0)</f>
        <v/>
      </c>
      <c r="BI960">
        <f>IFERROR(INDEX(PP_Grid[#Data],$DE960,58),0)</f>
        <v/>
      </c>
      <c r="BJ960">
        <f>IFERROR(INDEX(PP_Grid[#Data],$DE960,59),0)</f>
        <v/>
      </c>
      <c r="BK960">
        <f>IFERROR(INDEX(PP_Grid[#Data],$DE960,60),0)</f>
        <v/>
      </c>
      <c r="BL960">
        <f>IFERROR(INDEX(PP_Grid[#Data],$DE960,61),0)</f>
        <v/>
      </c>
      <c r="BM960">
        <f>IFERROR(INDEX(PP_Grid[#Data],$DE960,62),0)</f>
        <v/>
      </c>
      <c r="BN960">
        <f>IFERROR(INDEX(PP_Grid[#Data],$DE960,63),0)</f>
        <v/>
      </c>
      <c r="BO960">
        <f>IFERROR(INDEX(PP_Grid[#Data],$DE960,64),0)</f>
        <v/>
      </c>
      <c r="BP960">
        <f>IFERROR(INDEX(PP_Grid[#Data],$DE960,65),0)</f>
        <v/>
      </c>
      <c r="BQ960">
        <f>IFERROR(INDEX(PP_Grid[#Data],$DE960,66),0)</f>
        <v/>
      </c>
      <c r="BR960">
        <f>IFERROR(INDEX(PP_Grid[#Data],$DE960,67),0)</f>
        <v/>
      </c>
      <c r="BS960">
        <f>IFERROR(INDEX(PP_Grid[#Data],$DE960,68),0)</f>
        <v/>
      </c>
      <c r="BT960">
        <f>IFERROR(INDEX(PP_Grid[#Data],$DE960,69),0)</f>
        <v/>
      </c>
      <c r="BU960">
        <f>IFERROR(INDEX(PP_Grid[#Data],$DE960,70),0)</f>
        <v/>
      </c>
      <c r="BV960">
        <f>IFERROR(INDEX(PP_Grid[#Data],$DE960,71),0)</f>
        <v/>
      </c>
      <c r="BW960">
        <f>IFERROR(INDEX(PP_Grid[#Data],$DE960,72),0)</f>
        <v/>
      </c>
      <c r="BX960">
        <f>IFERROR(INDEX(PP_Grid[#Data],$DE960,73),0)</f>
        <v/>
      </c>
      <c r="BY960">
        <f>IFERROR(INDEX(PP_Grid[#Data],$DE960,74),0)</f>
        <v/>
      </c>
      <c r="BZ960">
        <f>IFERROR(INDEX(PP_Grid[#Data],$DE960,75),0)</f>
        <v/>
      </c>
      <c r="CA960">
        <f>IFERROR(INDEX(PP_Grid[#Data],$DE960,76),0)</f>
        <v/>
      </c>
      <c r="CB960">
        <f>IFERROR(INDEX(PP_Grid[#Data],$DE960,77),0)</f>
        <v/>
      </c>
      <c r="CC960">
        <f>IFERROR(INDEX(PP_Grid[#Data],$DE960,78),0)</f>
        <v/>
      </c>
      <c r="CD960">
        <f>IFERROR(INDEX(PP_Grid[#Data],$DE960,79),0)</f>
        <v/>
      </c>
      <c r="CE960">
        <f>IFERROR(INDEX(PP_Grid[#Data],$DE960,80),0)</f>
        <v/>
      </c>
      <c r="CF960">
        <f>IFERROR(INDEX(PP_Grid[#Data],$DE960,81),0)</f>
        <v/>
      </c>
      <c r="CG960">
        <f>IFERROR(INDEX(PP_Grid[#Data],$DE960,82),0)</f>
        <v/>
      </c>
      <c r="CH960">
        <f>IFERROR(INDEX(PP_Grid[#Data],$DE960,83),0)</f>
        <v/>
      </c>
      <c r="CI960">
        <f>IFERROR(INDEX(PP_Grid[#Data],$DE960,84),0)</f>
        <v/>
      </c>
      <c r="CJ960">
        <f>IFERROR(INDEX(PP_Grid[#Data],$DE960,85),0)</f>
        <v/>
      </c>
      <c r="CK960">
        <f>IFERROR(INDEX(PP_Grid[#Data],$DE960,86),0)</f>
        <v/>
      </c>
      <c r="CL960">
        <f>IFERROR(INDEX(PP_Grid[#Data],$DE960,87),0)</f>
        <v/>
      </c>
      <c r="CM960">
        <f>IFERROR(INDEX(PP_Grid[#Data],$DE960,88),0)</f>
        <v/>
      </c>
      <c r="CN960">
        <f>IFERROR(INDEX(PP_Grid[#Data],$DE960,89),0)</f>
        <v/>
      </c>
      <c r="CO960">
        <f>IFERROR(INDEX(PP_Grid[#Data],$DE960,90),0)</f>
        <v/>
      </c>
      <c r="CP960">
        <f>IFERROR(INDEX(PP_Grid[#Data],$DE960,91),0)</f>
        <v/>
      </c>
      <c r="CQ960">
        <f>IFERROR(INDEX(PP_Grid[#Data],$DE960,92),0)</f>
        <v/>
      </c>
      <c r="CR960">
        <f>IFERROR(INDEX(PP_Grid[#Data],$DE960,93),0)</f>
        <v/>
      </c>
      <c r="CS960">
        <f>IFERROR(INDEX(PP_Grid[#Data],$DE960,94),0)</f>
        <v/>
      </c>
      <c r="CT960">
        <f>IFERROR(INDEX(PP_Grid[#Data],$DE960,95),0)</f>
        <v/>
      </c>
      <c r="CU960">
        <f>IFERROR(INDEX(PP_Grid[#Data],$DE960,96),0)</f>
        <v/>
      </c>
      <c r="CV960">
        <f>IFERROR(INDEX(PP_Grid[#Data],$DE960,97),0)</f>
        <v/>
      </c>
      <c r="CW960">
        <f>IFERROR(INDEX(PP_Grid[#Data],$DE960,98),0)</f>
        <v/>
      </c>
      <c r="CX960">
        <f>IFERROR(INDEX(PP_Grid[#Data],$DE960,99),0)</f>
        <v/>
      </c>
      <c r="CY960">
        <f>IFERROR(INDEX(PP_Grid[#Data],$DE960,100),0)</f>
        <v/>
      </c>
      <c r="CZ960">
        <f>IFERROR(INDEX(PP_Grid[#Data],$DE960,101),0)</f>
        <v/>
      </c>
      <c r="DA960">
        <f>IFERROR(INDEX(PP_Grid[#Data],$DE960,102),0)</f>
        <v/>
      </c>
      <c r="DB960">
        <f>IFERROR(INDEX(PP_Grid[#Data],$DE960,103),0)</f>
        <v/>
      </c>
      <c r="DC960">
        <f>IFERROR(INDEX(PP_Grid[#Data],$DE960,104),0)</f>
        <v/>
      </c>
      <c r="DD960">
        <f>IFERROR(INDEX(PP_Grid[#Data],$DE960,105),0)</f>
        <v/>
      </c>
      <c r="DE960" s="7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SUMIFS(M_BOM[RM_Qty_Per_Batch],M_BOM[Intermediate],$B960,M_BOM[RM_Code],$A923)</f>
        <v/>
      </c>
      <c r="D961">
        <f>IFERROR(INDEX(E961:DD961,$F$1),"")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  <c r="DD961">
        <f>$C961*DD960</f>
        <v/>
      </c>
    </row>
    <row r="962">
      <c r="B962" t="inlineStr">
        <is>
          <t>TPP-650</t>
        </is>
      </c>
      <c r="C962" t="inlineStr">
        <is>
          <t>No. of batches</t>
        </is>
      </c>
      <c r="D962">
        <f>IFERROR(INDEX(E962:DD962,$F$1),"")</f>
        <v/>
      </c>
      <c r="E962">
        <f>IFERROR(INDEX(PP_Grid[#Data],$DE962,2),0)</f>
        <v/>
      </c>
      <c r="F962">
        <f>IFERROR(INDEX(PP_Grid[#Data],$DE962,3),0)</f>
        <v/>
      </c>
      <c r="G962">
        <f>IFERROR(INDEX(PP_Grid[#Data],$DE962,4),0)</f>
        <v/>
      </c>
      <c r="H962">
        <f>IFERROR(INDEX(PP_Grid[#Data],$DE962,5),0)</f>
        <v/>
      </c>
      <c r="I962">
        <f>IFERROR(INDEX(PP_Grid[#Data],$DE962,6),0)</f>
        <v/>
      </c>
      <c r="J962">
        <f>IFERROR(INDEX(PP_Grid[#Data],$DE962,7),0)</f>
        <v/>
      </c>
      <c r="K962">
        <f>IFERROR(INDEX(PP_Grid[#Data],$DE962,8),0)</f>
        <v/>
      </c>
      <c r="L962">
        <f>IFERROR(INDEX(PP_Grid[#Data],$DE962,9),0)</f>
        <v/>
      </c>
      <c r="M962">
        <f>IFERROR(INDEX(PP_Grid[#Data],$DE962,10),0)</f>
        <v/>
      </c>
      <c r="N962">
        <f>IFERROR(INDEX(PP_Grid[#Data],$DE962,11),0)</f>
        <v/>
      </c>
      <c r="O962">
        <f>IFERROR(INDEX(PP_Grid[#Data],$DE962,12),0)</f>
        <v/>
      </c>
      <c r="P962">
        <f>IFERROR(INDEX(PP_Grid[#Data],$DE962,13),0)</f>
        <v/>
      </c>
      <c r="Q962">
        <f>IFERROR(INDEX(PP_Grid[#Data],$DE962,14),0)</f>
        <v/>
      </c>
      <c r="R962">
        <f>IFERROR(INDEX(PP_Grid[#Data],$DE962,15),0)</f>
        <v/>
      </c>
      <c r="S962">
        <f>IFERROR(INDEX(PP_Grid[#Data],$DE962,16),0)</f>
        <v/>
      </c>
      <c r="T962">
        <f>IFERROR(INDEX(PP_Grid[#Data],$DE962,17),0)</f>
        <v/>
      </c>
      <c r="U962">
        <f>IFERROR(INDEX(PP_Grid[#Data],$DE962,18),0)</f>
        <v/>
      </c>
      <c r="V962">
        <f>IFERROR(INDEX(PP_Grid[#Data],$DE962,19),0)</f>
        <v/>
      </c>
      <c r="W962">
        <f>IFERROR(INDEX(PP_Grid[#Data],$DE962,20),0)</f>
        <v/>
      </c>
      <c r="X962">
        <f>IFERROR(INDEX(PP_Grid[#Data],$DE962,21),0)</f>
        <v/>
      </c>
      <c r="Y962">
        <f>IFERROR(INDEX(PP_Grid[#Data],$DE962,22),0)</f>
        <v/>
      </c>
      <c r="Z962">
        <f>IFERROR(INDEX(PP_Grid[#Data],$DE962,23),0)</f>
        <v/>
      </c>
      <c r="AA962">
        <f>IFERROR(INDEX(PP_Grid[#Data],$DE962,24),0)</f>
        <v/>
      </c>
      <c r="AB962">
        <f>IFERROR(INDEX(PP_Grid[#Data],$DE962,25),0)</f>
        <v/>
      </c>
      <c r="AC962">
        <f>IFERROR(INDEX(PP_Grid[#Data],$DE962,26),0)</f>
        <v/>
      </c>
      <c r="AD962">
        <f>IFERROR(INDEX(PP_Grid[#Data],$DE962,27),0)</f>
        <v/>
      </c>
      <c r="AE962">
        <f>IFERROR(INDEX(PP_Grid[#Data],$DE962,28),0)</f>
        <v/>
      </c>
      <c r="AF962">
        <f>IFERROR(INDEX(PP_Grid[#Data],$DE962,29),0)</f>
        <v/>
      </c>
      <c r="AG962">
        <f>IFERROR(INDEX(PP_Grid[#Data],$DE962,30),0)</f>
        <v/>
      </c>
      <c r="AH962">
        <f>IFERROR(INDEX(PP_Grid[#Data],$DE962,31),0)</f>
        <v/>
      </c>
      <c r="AI962">
        <f>IFERROR(INDEX(PP_Grid[#Data],$DE962,32),0)</f>
        <v/>
      </c>
      <c r="AJ962">
        <f>IFERROR(INDEX(PP_Grid[#Data],$DE962,33),0)</f>
        <v/>
      </c>
      <c r="AK962">
        <f>IFERROR(INDEX(PP_Grid[#Data],$DE962,34),0)</f>
        <v/>
      </c>
      <c r="AL962">
        <f>IFERROR(INDEX(PP_Grid[#Data],$DE962,35),0)</f>
        <v/>
      </c>
      <c r="AM962">
        <f>IFERROR(INDEX(PP_Grid[#Data],$DE962,36),0)</f>
        <v/>
      </c>
      <c r="AN962">
        <f>IFERROR(INDEX(PP_Grid[#Data],$DE962,37),0)</f>
        <v/>
      </c>
      <c r="AO962">
        <f>IFERROR(INDEX(PP_Grid[#Data],$DE962,38),0)</f>
        <v/>
      </c>
      <c r="AP962">
        <f>IFERROR(INDEX(PP_Grid[#Data],$DE962,39),0)</f>
        <v/>
      </c>
      <c r="AQ962">
        <f>IFERROR(INDEX(PP_Grid[#Data],$DE962,40),0)</f>
        <v/>
      </c>
      <c r="AR962">
        <f>IFERROR(INDEX(PP_Grid[#Data],$DE962,41),0)</f>
        <v/>
      </c>
      <c r="AS962">
        <f>IFERROR(INDEX(PP_Grid[#Data],$DE962,42),0)</f>
        <v/>
      </c>
      <c r="AT962">
        <f>IFERROR(INDEX(PP_Grid[#Data],$DE962,43),0)</f>
        <v/>
      </c>
      <c r="AU962">
        <f>IFERROR(INDEX(PP_Grid[#Data],$DE962,44),0)</f>
        <v/>
      </c>
      <c r="AV962">
        <f>IFERROR(INDEX(PP_Grid[#Data],$DE962,45),0)</f>
        <v/>
      </c>
      <c r="AW962">
        <f>IFERROR(INDEX(PP_Grid[#Data],$DE962,46),0)</f>
        <v/>
      </c>
      <c r="AX962">
        <f>IFERROR(INDEX(PP_Grid[#Data],$DE962,47),0)</f>
        <v/>
      </c>
      <c r="AY962">
        <f>IFERROR(INDEX(PP_Grid[#Data],$DE962,48),0)</f>
        <v/>
      </c>
      <c r="AZ962">
        <f>IFERROR(INDEX(PP_Grid[#Data],$DE962,49),0)</f>
        <v/>
      </c>
      <c r="BA962">
        <f>IFERROR(INDEX(PP_Grid[#Data],$DE962,50),0)</f>
        <v/>
      </c>
      <c r="BB962">
        <f>IFERROR(INDEX(PP_Grid[#Data],$DE962,51),0)</f>
        <v/>
      </c>
      <c r="BC962">
        <f>IFERROR(INDEX(PP_Grid[#Data],$DE962,52),0)</f>
        <v/>
      </c>
      <c r="BD962">
        <f>IFERROR(INDEX(PP_Grid[#Data],$DE962,53),0)</f>
        <v/>
      </c>
      <c r="BE962">
        <f>IFERROR(INDEX(PP_Grid[#Data],$DE962,54),0)</f>
        <v/>
      </c>
      <c r="BF962">
        <f>IFERROR(INDEX(PP_Grid[#Data],$DE962,55),0)</f>
        <v/>
      </c>
      <c r="BG962">
        <f>IFERROR(INDEX(PP_Grid[#Data],$DE962,56),0)</f>
        <v/>
      </c>
      <c r="BH962">
        <f>IFERROR(INDEX(PP_Grid[#Data],$DE962,57),0)</f>
        <v/>
      </c>
      <c r="BI962">
        <f>IFERROR(INDEX(PP_Grid[#Data],$DE962,58),0)</f>
        <v/>
      </c>
      <c r="BJ962">
        <f>IFERROR(INDEX(PP_Grid[#Data],$DE962,59),0)</f>
        <v/>
      </c>
      <c r="BK962">
        <f>IFERROR(INDEX(PP_Grid[#Data],$DE962,60),0)</f>
        <v/>
      </c>
      <c r="BL962">
        <f>IFERROR(INDEX(PP_Grid[#Data],$DE962,61),0)</f>
        <v/>
      </c>
      <c r="BM962">
        <f>IFERROR(INDEX(PP_Grid[#Data],$DE962,62),0)</f>
        <v/>
      </c>
      <c r="BN962">
        <f>IFERROR(INDEX(PP_Grid[#Data],$DE962,63),0)</f>
        <v/>
      </c>
      <c r="BO962">
        <f>IFERROR(INDEX(PP_Grid[#Data],$DE962,64),0)</f>
        <v/>
      </c>
      <c r="BP962">
        <f>IFERROR(INDEX(PP_Grid[#Data],$DE962,65),0)</f>
        <v/>
      </c>
      <c r="BQ962">
        <f>IFERROR(INDEX(PP_Grid[#Data],$DE962,66),0)</f>
        <v/>
      </c>
      <c r="BR962">
        <f>IFERROR(INDEX(PP_Grid[#Data],$DE962,67),0)</f>
        <v/>
      </c>
      <c r="BS962">
        <f>IFERROR(INDEX(PP_Grid[#Data],$DE962,68),0)</f>
        <v/>
      </c>
      <c r="BT962">
        <f>IFERROR(INDEX(PP_Grid[#Data],$DE962,69),0)</f>
        <v/>
      </c>
      <c r="BU962">
        <f>IFERROR(INDEX(PP_Grid[#Data],$DE962,70),0)</f>
        <v/>
      </c>
      <c r="BV962">
        <f>IFERROR(INDEX(PP_Grid[#Data],$DE962,71),0)</f>
        <v/>
      </c>
      <c r="BW962">
        <f>IFERROR(INDEX(PP_Grid[#Data],$DE962,72),0)</f>
        <v/>
      </c>
      <c r="BX962">
        <f>IFERROR(INDEX(PP_Grid[#Data],$DE962,73),0)</f>
        <v/>
      </c>
      <c r="BY962">
        <f>IFERROR(INDEX(PP_Grid[#Data],$DE962,74),0)</f>
        <v/>
      </c>
      <c r="BZ962">
        <f>IFERROR(INDEX(PP_Grid[#Data],$DE962,75),0)</f>
        <v/>
      </c>
      <c r="CA962">
        <f>IFERROR(INDEX(PP_Grid[#Data],$DE962,76),0)</f>
        <v/>
      </c>
      <c r="CB962">
        <f>IFERROR(INDEX(PP_Grid[#Data],$DE962,77),0)</f>
        <v/>
      </c>
      <c r="CC962">
        <f>IFERROR(INDEX(PP_Grid[#Data],$DE962,78),0)</f>
        <v/>
      </c>
      <c r="CD962">
        <f>IFERROR(INDEX(PP_Grid[#Data],$DE962,79),0)</f>
        <v/>
      </c>
      <c r="CE962">
        <f>IFERROR(INDEX(PP_Grid[#Data],$DE962,80),0)</f>
        <v/>
      </c>
      <c r="CF962">
        <f>IFERROR(INDEX(PP_Grid[#Data],$DE962,81),0)</f>
        <v/>
      </c>
      <c r="CG962">
        <f>IFERROR(INDEX(PP_Grid[#Data],$DE962,82),0)</f>
        <v/>
      </c>
      <c r="CH962">
        <f>IFERROR(INDEX(PP_Grid[#Data],$DE962,83),0)</f>
        <v/>
      </c>
      <c r="CI962">
        <f>IFERROR(INDEX(PP_Grid[#Data],$DE962,84),0)</f>
        <v/>
      </c>
      <c r="CJ962">
        <f>IFERROR(INDEX(PP_Grid[#Data],$DE962,85),0)</f>
        <v/>
      </c>
      <c r="CK962">
        <f>IFERROR(INDEX(PP_Grid[#Data],$DE962,86),0)</f>
        <v/>
      </c>
      <c r="CL962">
        <f>IFERROR(INDEX(PP_Grid[#Data],$DE962,87),0)</f>
        <v/>
      </c>
      <c r="CM962">
        <f>IFERROR(INDEX(PP_Grid[#Data],$DE962,88),0)</f>
        <v/>
      </c>
      <c r="CN962">
        <f>IFERROR(INDEX(PP_Grid[#Data],$DE962,89),0)</f>
        <v/>
      </c>
      <c r="CO962">
        <f>IFERROR(INDEX(PP_Grid[#Data],$DE962,90),0)</f>
        <v/>
      </c>
      <c r="CP962">
        <f>IFERROR(INDEX(PP_Grid[#Data],$DE962,91),0)</f>
        <v/>
      </c>
      <c r="CQ962">
        <f>IFERROR(INDEX(PP_Grid[#Data],$DE962,92),0)</f>
        <v/>
      </c>
      <c r="CR962">
        <f>IFERROR(INDEX(PP_Grid[#Data],$DE962,93),0)</f>
        <v/>
      </c>
      <c r="CS962">
        <f>IFERROR(INDEX(PP_Grid[#Data],$DE962,94),0)</f>
        <v/>
      </c>
      <c r="CT962">
        <f>IFERROR(INDEX(PP_Grid[#Data],$DE962,95),0)</f>
        <v/>
      </c>
      <c r="CU962">
        <f>IFERROR(INDEX(PP_Grid[#Data],$DE962,96),0)</f>
        <v/>
      </c>
      <c r="CV962">
        <f>IFERROR(INDEX(PP_Grid[#Data],$DE962,97),0)</f>
        <v/>
      </c>
      <c r="CW962">
        <f>IFERROR(INDEX(PP_Grid[#Data],$DE962,98),0)</f>
        <v/>
      </c>
      <c r="CX962">
        <f>IFERROR(INDEX(PP_Grid[#Data],$DE962,99),0)</f>
        <v/>
      </c>
      <c r="CY962">
        <f>IFERROR(INDEX(PP_Grid[#Data],$DE962,100),0)</f>
        <v/>
      </c>
      <c r="CZ962">
        <f>IFERROR(INDEX(PP_Grid[#Data],$DE962,101),0)</f>
        <v/>
      </c>
      <c r="DA962">
        <f>IFERROR(INDEX(PP_Grid[#Data],$DE962,102),0)</f>
        <v/>
      </c>
      <c r="DB962">
        <f>IFERROR(INDEX(PP_Grid[#Data],$DE962,103),0)</f>
        <v/>
      </c>
      <c r="DC962">
        <f>IFERROR(INDEX(PP_Grid[#Data],$DE962,104),0)</f>
        <v/>
      </c>
      <c r="DD962">
        <f>IFERROR(INDEX(PP_Grid[#Data],$DE962,105),0)</f>
        <v/>
      </c>
      <c r="DE962" s="7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SUMIFS(M_BOM[RM_Qty_Per_Batch],M_BOM[Intermediate],$B962,M_BOM[RM_Code],$A923)</f>
        <v/>
      </c>
      <c r="D963">
        <f>IFERROR(INDEX(E963:DD963,$F$1),"")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  <c r="DD963">
        <f>$C963*DD962</f>
        <v/>
      </c>
    </row>
    <row r="964">
      <c r="B964" t="inlineStr">
        <is>
          <t>TPP-527</t>
        </is>
      </c>
      <c r="C964" t="inlineStr">
        <is>
          <t>No. of batches</t>
        </is>
      </c>
      <c r="D964">
        <f>IFERROR(INDEX(E964:DD964,$F$1),"")</f>
        <v/>
      </c>
      <c r="E964">
        <f>IFERROR(INDEX(PP_Grid[#Data],$DE964,2),0)</f>
        <v/>
      </c>
      <c r="F964">
        <f>IFERROR(INDEX(PP_Grid[#Data],$DE964,3),0)</f>
        <v/>
      </c>
      <c r="G964">
        <f>IFERROR(INDEX(PP_Grid[#Data],$DE964,4),0)</f>
        <v/>
      </c>
      <c r="H964">
        <f>IFERROR(INDEX(PP_Grid[#Data],$DE964,5),0)</f>
        <v/>
      </c>
      <c r="I964">
        <f>IFERROR(INDEX(PP_Grid[#Data],$DE964,6),0)</f>
        <v/>
      </c>
      <c r="J964">
        <f>IFERROR(INDEX(PP_Grid[#Data],$DE964,7),0)</f>
        <v/>
      </c>
      <c r="K964">
        <f>IFERROR(INDEX(PP_Grid[#Data],$DE964,8),0)</f>
        <v/>
      </c>
      <c r="L964">
        <f>IFERROR(INDEX(PP_Grid[#Data],$DE964,9),0)</f>
        <v/>
      </c>
      <c r="M964">
        <f>IFERROR(INDEX(PP_Grid[#Data],$DE964,10),0)</f>
        <v/>
      </c>
      <c r="N964">
        <f>IFERROR(INDEX(PP_Grid[#Data],$DE964,11),0)</f>
        <v/>
      </c>
      <c r="O964">
        <f>IFERROR(INDEX(PP_Grid[#Data],$DE964,12),0)</f>
        <v/>
      </c>
      <c r="P964">
        <f>IFERROR(INDEX(PP_Grid[#Data],$DE964,13),0)</f>
        <v/>
      </c>
      <c r="Q964">
        <f>IFERROR(INDEX(PP_Grid[#Data],$DE964,14),0)</f>
        <v/>
      </c>
      <c r="R964">
        <f>IFERROR(INDEX(PP_Grid[#Data],$DE964,15),0)</f>
        <v/>
      </c>
      <c r="S964">
        <f>IFERROR(INDEX(PP_Grid[#Data],$DE964,16),0)</f>
        <v/>
      </c>
      <c r="T964">
        <f>IFERROR(INDEX(PP_Grid[#Data],$DE964,17),0)</f>
        <v/>
      </c>
      <c r="U964">
        <f>IFERROR(INDEX(PP_Grid[#Data],$DE964,18),0)</f>
        <v/>
      </c>
      <c r="V964">
        <f>IFERROR(INDEX(PP_Grid[#Data],$DE964,19),0)</f>
        <v/>
      </c>
      <c r="W964">
        <f>IFERROR(INDEX(PP_Grid[#Data],$DE964,20),0)</f>
        <v/>
      </c>
      <c r="X964">
        <f>IFERROR(INDEX(PP_Grid[#Data],$DE964,21),0)</f>
        <v/>
      </c>
      <c r="Y964">
        <f>IFERROR(INDEX(PP_Grid[#Data],$DE964,22),0)</f>
        <v/>
      </c>
      <c r="Z964">
        <f>IFERROR(INDEX(PP_Grid[#Data],$DE964,23),0)</f>
        <v/>
      </c>
      <c r="AA964">
        <f>IFERROR(INDEX(PP_Grid[#Data],$DE964,24),0)</f>
        <v/>
      </c>
      <c r="AB964">
        <f>IFERROR(INDEX(PP_Grid[#Data],$DE964,25),0)</f>
        <v/>
      </c>
      <c r="AC964">
        <f>IFERROR(INDEX(PP_Grid[#Data],$DE964,26),0)</f>
        <v/>
      </c>
      <c r="AD964">
        <f>IFERROR(INDEX(PP_Grid[#Data],$DE964,27),0)</f>
        <v/>
      </c>
      <c r="AE964">
        <f>IFERROR(INDEX(PP_Grid[#Data],$DE964,28),0)</f>
        <v/>
      </c>
      <c r="AF964">
        <f>IFERROR(INDEX(PP_Grid[#Data],$DE964,29),0)</f>
        <v/>
      </c>
      <c r="AG964">
        <f>IFERROR(INDEX(PP_Grid[#Data],$DE964,30),0)</f>
        <v/>
      </c>
      <c r="AH964">
        <f>IFERROR(INDEX(PP_Grid[#Data],$DE964,31),0)</f>
        <v/>
      </c>
      <c r="AI964">
        <f>IFERROR(INDEX(PP_Grid[#Data],$DE964,32),0)</f>
        <v/>
      </c>
      <c r="AJ964">
        <f>IFERROR(INDEX(PP_Grid[#Data],$DE964,33),0)</f>
        <v/>
      </c>
      <c r="AK964">
        <f>IFERROR(INDEX(PP_Grid[#Data],$DE964,34),0)</f>
        <v/>
      </c>
      <c r="AL964">
        <f>IFERROR(INDEX(PP_Grid[#Data],$DE964,35),0)</f>
        <v/>
      </c>
      <c r="AM964">
        <f>IFERROR(INDEX(PP_Grid[#Data],$DE964,36),0)</f>
        <v/>
      </c>
      <c r="AN964">
        <f>IFERROR(INDEX(PP_Grid[#Data],$DE964,37),0)</f>
        <v/>
      </c>
      <c r="AO964">
        <f>IFERROR(INDEX(PP_Grid[#Data],$DE964,38),0)</f>
        <v/>
      </c>
      <c r="AP964">
        <f>IFERROR(INDEX(PP_Grid[#Data],$DE964,39),0)</f>
        <v/>
      </c>
      <c r="AQ964">
        <f>IFERROR(INDEX(PP_Grid[#Data],$DE964,40),0)</f>
        <v/>
      </c>
      <c r="AR964">
        <f>IFERROR(INDEX(PP_Grid[#Data],$DE964,41),0)</f>
        <v/>
      </c>
      <c r="AS964">
        <f>IFERROR(INDEX(PP_Grid[#Data],$DE964,42),0)</f>
        <v/>
      </c>
      <c r="AT964">
        <f>IFERROR(INDEX(PP_Grid[#Data],$DE964,43),0)</f>
        <v/>
      </c>
      <c r="AU964">
        <f>IFERROR(INDEX(PP_Grid[#Data],$DE964,44),0)</f>
        <v/>
      </c>
      <c r="AV964">
        <f>IFERROR(INDEX(PP_Grid[#Data],$DE964,45),0)</f>
        <v/>
      </c>
      <c r="AW964">
        <f>IFERROR(INDEX(PP_Grid[#Data],$DE964,46),0)</f>
        <v/>
      </c>
      <c r="AX964">
        <f>IFERROR(INDEX(PP_Grid[#Data],$DE964,47),0)</f>
        <v/>
      </c>
      <c r="AY964">
        <f>IFERROR(INDEX(PP_Grid[#Data],$DE964,48),0)</f>
        <v/>
      </c>
      <c r="AZ964">
        <f>IFERROR(INDEX(PP_Grid[#Data],$DE964,49),0)</f>
        <v/>
      </c>
      <c r="BA964">
        <f>IFERROR(INDEX(PP_Grid[#Data],$DE964,50),0)</f>
        <v/>
      </c>
      <c r="BB964">
        <f>IFERROR(INDEX(PP_Grid[#Data],$DE964,51),0)</f>
        <v/>
      </c>
      <c r="BC964">
        <f>IFERROR(INDEX(PP_Grid[#Data],$DE964,52),0)</f>
        <v/>
      </c>
      <c r="BD964">
        <f>IFERROR(INDEX(PP_Grid[#Data],$DE964,53),0)</f>
        <v/>
      </c>
      <c r="BE964">
        <f>IFERROR(INDEX(PP_Grid[#Data],$DE964,54),0)</f>
        <v/>
      </c>
      <c r="BF964">
        <f>IFERROR(INDEX(PP_Grid[#Data],$DE964,55),0)</f>
        <v/>
      </c>
      <c r="BG964">
        <f>IFERROR(INDEX(PP_Grid[#Data],$DE964,56),0)</f>
        <v/>
      </c>
      <c r="BH964">
        <f>IFERROR(INDEX(PP_Grid[#Data],$DE964,57),0)</f>
        <v/>
      </c>
      <c r="BI964">
        <f>IFERROR(INDEX(PP_Grid[#Data],$DE964,58),0)</f>
        <v/>
      </c>
      <c r="BJ964">
        <f>IFERROR(INDEX(PP_Grid[#Data],$DE964,59),0)</f>
        <v/>
      </c>
      <c r="BK964">
        <f>IFERROR(INDEX(PP_Grid[#Data],$DE964,60),0)</f>
        <v/>
      </c>
      <c r="BL964">
        <f>IFERROR(INDEX(PP_Grid[#Data],$DE964,61),0)</f>
        <v/>
      </c>
      <c r="BM964">
        <f>IFERROR(INDEX(PP_Grid[#Data],$DE964,62),0)</f>
        <v/>
      </c>
      <c r="BN964">
        <f>IFERROR(INDEX(PP_Grid[#Data],$DE964,63),0)</f>
        <v/>
      </c>
      <c r="BO964">
        <f>IFERROR(INDEX(PP_Grid[#Data],$DE964,64),0)</f>
        <v/>
      </c>
      <c r="BP964">
        <f>IFERROR(INDEX(PP_Grid[#Data],$DE964,65),0)</f>
        <v/>
      </c>
      <c r="BQ964">
        <f>IFERROR(INDEX(PP_Grid[#Data],$DE964,66),0)</f>
        <v/>
      </c>
      <c r="BR964">
        <f>IFERROR(INDEX(PP_Grid[#Data],$DE964,67),0)</f>
        <v/>
      </c>
      <c r="BS964">
        <f>IFERROR(INDEX(PP_Grid[#Data],$DE964,68),0)</f>
        <v/>
      </c>
      <c r="BT964">
        <f>IFERROR(INDEX(PP_Grid[#Data],$DE964,69),0)</f>
        <v/>
      </c>
      <c r="BU964">
        <f>IFERROR(INDEX(PP_Grid[#Data],$DE964,70),0)</f>
        <v/>
      </c>
      <c r="BV964">
        <f>IFERROR(INDEX(PP_Grid[#Data],$DE964,71),0)</f>
        <v/>
      </c>
      <c r="BW964">
        <f>IFERROR(INDEX(PP_Grid[#Data],$DE964,72),0)</f>
        <v/>
      </c>
      <c r="BX964">
        <f>IFERROR(INDEX(PP_Grid[#Data],$DE964,73),0)</f>
        <v/>
      </c>
      <c r="BY964">
        <f>IFERROR(INDEX(PP_Grid[#Data],$DE964,74),0)</f>
        <v/>
      </c>
      <c r="BZ964">
        <f>IFERROR(INDEX(PP_Grid[#Data],$DE964,75),0)</f>
        <v/>
      </c>
      <c r="CA964">
        <f>IFERROR(INDEX(PP_Grid[#Data],$DE964,76),0)</f>
        <v/>
      </c>
      <c r="CB964">
        <f>IFERROR(INDEX(PP_Grid[#Data],$DE964,77),0)</f>
        <v/>
      </c>
      <c r="CC964">
        <f>IFERROR(INDEX(PP_Grid[#Data],$DE964,78),0)</f>
        <v/>
      </c>
      <c r="CD964">
        <f>IFERROR(INDEX(PP_Grid[#Data],$DE964,79),0)</f>
        <v/>
      </c>
      <c r="CE964">
        <f>IFERROR(INDEX(PP_Grid[#Data],$DE964,80),0)</f>
        <v/>
      </c>
      <c r="CF964">
        <f>IFERROR(INDEX(PP_Grid[#Data],$DE964,81),0)</f>
        <v/>
      </c>
      <c r="CG964">
        <f>IFERROR(INDEX(PP_Grid[#Data],$DE964,82),0)</f>
        <v/>
      </c>
      <c r="CH964">
        <f>IFERROR(INDEX(PP_Grid[#Data],$DE964,83),0)</f>
        <v/>
      </c>
      <c r="CI964">
        <f>IFERROR(INDEX(PP_Grid[#Data],$DE964,84),0)</f>
        <v/>
      </c>
      <c r="CJ964">
        <f>IFERROR(INDEX(PP_Grid[#Data],$DE964,85),0)</f>
        <v/>
      </c>
      <c r="CK964">
        <f>IFERROR(INDEX(PP_Grid[#Data],$DE964,86),0)</f>
        <v/>
      </c>
      <c r="CL964">
        <f>IFERROR(INDEX(PP_Grid[#Data],$DE964,87),0)</f>
        <v/>
      </c>
      <c r="CM964">
        <f>IFERROR(INDEX(PP_Grid[#Data],$DE964,88),0)</f>
        <v/>
      </c>
      <c r="CN964">
        <f>IFERROR(INDEX(PP_Grid[#Data],$DE964,89),0)</f>
        <v/>
      </c>
      <c r="CO964">
        <f>IFERROR(INDEX(PP_Grid[#Data],$DE964,90),0)</f>
        <v/>
      </c>
      <c r="CP964">
        <f>IFERROR(INDEX(PP_Grid[#Data],$DE964,91),0)</f>
        <v/>
      </c>
      <c r="CQ964">
        <f>IFERROR(INDEX(PP_Grid[#Data],$DE964,92),0)</f>
        <v/>
      </c>
      <c r="CR964">
        <f>IFERROR(INDEX(PP_Grid[#Data],$DE964,93),0)</f>
        <v/>
      </c>
      <c r="CS964">
        <f>IFERROR(INDEX(PP_Grid[#Data],$DE964,94),0)</f>
        <v/>
      </c>
      <c r="CT964">
        <f>IFERROR(INDEX(PP_Grid[#Data],$DE964,95),0)</f>
        <v/>
      </c>
      <c r="CU964">
        <f>IFERROR(INDEX(PP_Grid[#Data],$DE964,96),0)</f>
        <v/>
      </c>
      <c r="CV964">
        <f>IFERROR(INDEX(PP_Grid[#Data],$DE964,97),0)</f>
        <v/>
      </c>
      <c r="CW964">
        <f>IFERROR(INDEX(PP_Grid[#Data],$DE964,98),0)</f>
        <v/>
      </c>
      <c r="CX964">
        <f>IFERROR(INDEX(PP_Grid[#Data],$DE964,99),0)</f>
        <v/>
      </c>
      <c r="CY964">
        <f>IFERROR(INDEX(PP_Grid[#Data],$DE964,100),0)</f>
        <v/>
      </c>
      <c r="CZ964">
        <f>IFERROR(INDEX(PP_Grid[#Data],$DE964,101),0)</f>
        <v/>
      </c>
      <c r="DA964">
        <f>IFERROR(INDEX(PP_Grid[#Data],$DE964,102),0)</f>
        <v/>
      </c>
      <c r="DB964">
        <f>IFERROR(INDEX(PP_Grid[#Data],$DE964,103),0)</f>
        <v/>
      </c>
      <c r="DC964">
        <f>IFERROR(INDEX(PP_Grid[#Data],$DE964,104),0)</f>
        <v/>
      </c>
      <c r="DD964">
        <f>IFERROR(INDEX(PP_Grid[#Data],$DE964,105),0)</f>
        <v/>
      </c>
      <c r="DE964" s="7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SUMIFS(M_BOM[RM_Qty_Per_Batch],M_BOM[Intermediate],$B964,M_BOM[RM_Code],$A923)</f>
        <v/>
      </c>
      <c r="D965">
        <f>IFERROR(INDEX(E965:DD965,$F$1),"")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  <c r="DD965">
        <f>$C965*DD964</f>
        <v/>
      </c>
    </row>
    <row r="966">
      <c r="B966" t="inlineStr">
        <is>
          <t>TPP-537</t>
        </is>
      </c>
      <c r="C966" t="inlineStr">
        <is>
          <t>No. of batches</t>
        </is>
      </c>
      <c r="D966">
        <f>IFERROR(INDEX(E966:DD966,$F$1),"")</f>
        <v/>
      </c>
      <c r="E966">
        <f>IFERROR(INDEX(PP_Grid[#Data],$DE966,2),0)</f>
        <v/>
      </c>
      <c r="F966">
        <f>IFERROR(INDEX(PP_Grid[#Data],$DE966,3),0)</f>
        <v/>
      </c>
      <c r="G966">
        <f>IFERROR(INDEX(PP_Grid[#Data],$DE966,4),0)</f>
        <v/>
      </c>
      <c r="H966">
        <f>IFERROR(INDEX(PP_Grid[#Data],$DE966,5),0)</f>
        <v/>
      </c>
      <c r="I966">
        <f>IFERROR(INDEX(PP_Grid[#Data],$DE966,6),0)</f>
        <v/>
      </c>
      <c r="J966">
        <f>IFERROR(INDEX(PP_Grid[#Data],$DE966,7),0)</f>
        <v/>
      </c>
      <c r="K966">
        <f>IFERROR(INDEX(PP_Grid[#Data],$DE966,8),0)</f>
        <v/>
      </c>
      <c r="L966">
        <f>IFERROR(INDEX(PP_Grid[#Data],$DE966,9),0)</f>
        <v/>
      </c>
      <c r="M966">
        <f>IFERROR(INDEX(PP_Grid[#Data],$DE966,10),0)</f>
        <v/>
      </c>
      <c r="N966">
        <f>IFERROR(INDEX(PP_Grid[#Data],$DE966,11),0)</f>
        <v/>
      </c>
      <c r="O966">
        <f>IFERROR(INDEX(PP_Grid[#Data],$DE966,12),0)</f>
        <v/>
      </c>
      <c r="P966">
        <f>IFERROR(INDEX(PP_Grid[#Data],$DE966,13),0)</f>
        <v/>
      </c>
      <c r="Q966">
        <f>IFERROR(INDEX(PP_Grid[#Data],$DE966,14),0)</f>
        <v/>
      </c>
      <c r="R966">
        <f>IFERROR(INDEX(PP_Grid[#Data],$DE966,15),0)</f>
        <v/>
      </c>
      <c r="S966">
        <f>IFERROR(INDEX(PP_Grid[#Data],$DE966,16),0)</f>
        <v/>
      </c>
      <c r="T966">
        <f>IFERROR(INDEX(PP_Grid[#Data],$DE966,17),0)</f>
        <v/>
      </c>
      <c r="U966">
        <f>IFERROR(INDEX(PP_Grid[#Data],$DE966,18),0)</f>
        <v/>
      </c>
      <c r="V966">
        <f>IFERROR(INDEX(PP_Grid[#Data],$DE966,19),0)</f>
        <v/>
      </c>
      <c r="W966">
        <f>IFERROR(INDEX(PP_Grid[#Data],$DE966,20),0)</f>
        <v/>
      </c>
      <c r="X966">
        <f>IFERROR(INDEX(PP_Grid[#Data],$DE966,21),0)</f>
        <v/>
      </c>
      <c r="Y966">
        <f>IFERROR(INDEX(PP_Grid[#Data],$DE966,22),0)</f>
        <v/>
      </c>
      <c r="Z966">
        <f>IFERROR(INDEX(PP_Grid[#Data],$DE966,23),0)</f>
        <v/>
      </c>
      <c r="AA966">
        <f>IFERROR(INDEX(PP_Grid[#Data],$DE966,24),0)</f>
        <v/>
      </c>
      <c r="AB966">
        <f>IFERROR(INDEX(PP_Grid[#Data],$DE966,25),0)</f>
        <v/>
      </c>
      <c r="AC966">
        <f>IFERROR(INDEX(PP_Grid[#Data],$DE966,26),0)</f>
        <v/>
      </c>
      <c r="AD966">
        <f>IFERROR(INDEX(PP_Grid[#Data],$DE966,27),0)</f>
        <v/>
      </c>
      <c r="AE966">
        <f>IFERROR(INDEX(PP_Grid[#Data],$DE966,28),0)</f>
        <v/>
      </c>
      <c r="AF966">
        <f>IFERROR(INDEX(PP_Grid[#Data],$DE966,29),0)</f>
        <v/>
      </c>
      <c r="AG966">
        <f>IFERROR(INDEX(PP_Grid[#Data],$DE966,30),0)</f>
        <v/>
      </c>
      <c r="AH966">
        <f>IFERROR(INDEX(PP_Grid[#Data],$DE966,31),0)</f>
        <v/>
      </c>
      <c r="AI966">
        <f>IFERROR(INDEX(PP_Grid[#Data],$DE966,32),0)</f>
        <v/>
      </c>
      <c r="AJ966">
        <f>IFERROR(INDEX(PP_Grid[#Data],$DE966,33),0)</f>
        <v/>
      </c>
      <c r="AK966">
        <f>IFERROR(INDEX(PP_Grid[#Data],$DE966,34),0)</f>
        <v/>
      </c>
      <c r="AL966">
        <f>IFERROR(INDEX(PP_Grid[#Data],$DE966,35),0)</f>
        <v/>
      </c>
      <c r="AM966">
        <f>IFERROR(INDEX(PP_Grid[#Data],$DE966,36),0)</f>
        <v/>
      </c>
      <c r="AN966">
        <f>IFERROR(INDEX(PP_Grid[#Data],$DE966,37),0)</f>
        <v/>
      </c>
      <c r="AO966">
        <f>IFERROR(INDEX(PP_Grid[#Data],$DE966,38),0)</f>
        <v/>
      </c>
      <c r="AP966">
        <f>IFERROR(INDEX(PP_Grid[#Data],$DE966,39),0)</f>
        <v/>
      </c>
      <c r="AQ966">
        <f>IFERROR(INDEX(PP_Grid[#Data],$DE966,40),0)</f>
        <v/>
      </c>
      <c r="AR966">
        <f>IFERROR(INDEX(PP_Grid[#Data],$DE966,41),0)</f>
        <v/>
      </c>
      <c r="AS966">
        <f>IFERROR(INDEX(PP_Grid[#Data],$DE966,42),0)</f>
        <v/>
      </c>
      <c r="AT966">
        <f>IFERROR(INDEX(PP_Grid[#Data],$DE966,43),0)</f>
        <v/>
      </c>
      <c r="AU966">
        <f>IFERROR(INDEX(PP_Grid[#Data],$DE966,44),0)</f>
        <v/>
      </c>
      <c r="AV966">
        <f>IFERROR(INDEX(PP_Grid[#Data],$DE966,45),0)</f>
        <v/>
      </c>
      <c r="AW966">
        <f>IFERROR(INDEX(PP_Grid[#Data],$DE966,46),0)</f>
        <v/>
      </c>
      <c r="AX966">
        <f>IFERROR(INDEX(PP_Grid[#Data],$DE966,47),0)</f>
        <v/>
      </c>
      <c r="AY966">
        <f>IFERROR(INDEX(PP_Grid[#Data],$DE966,48),0)</f>
        <v/>
      </c>
      <c r="AZ966">
        <f>IFERROR(INDEX(PP_Grid[#Data],$DE966,49),0)</f>
        <v/>
      </c>
      <c r="BA966">
        <f>IFERROR(INDEX(PP_Grid[#Data],$DE966,50),0)</f>
        <v/>
      </c>
      <c r="BB966">
        <f>IFERROR(INDEX(PP_Grid[#Data],$DE966,51),0)</f>
        <v/>
      </c>
      <c r="BC966">
        <f>IFERROR(INDEX(PP_Grid[#Data],$DE966,52),0)</f>
        <v/>
      </c>
      <c r="BD966">
        <f>IFERROR(INDEX(PP_Grid[#Data],$DE966,53),0)</f>
        <v/>
      </c>
      <c r="BE966">
        <f>IFERROR(INDEX(PP_Grid[#Data],$DE966,54),0)</f>
        <v/>
      </c>
      <c r="BF966">
        <f>IFERROR(INDEX(PP_Grid[#Data],$DE966,55),0)</f>
        <v/>
      </c>
      <c r="BG966">
        <f>IFERROR(INDEX(PP_Grid[#Data],$DE966,56),0)</f>
        <v/>
      </c>
      <c r="BH966">
        <f>IFERROR(INDEX(PP_Grid[#Data],$DE966,57),0)</f>
        <v/>
      </c>
      <c r="BI966">
        <f>IFERROR(INDEX(PP_Grid[#Data],$DE966,58),0)</f>
        <v/>
      </c>
      <c r="BJ966">
        <f>IFERROR(INDEX(PP_Grid[#Data],$DE966,59),0)</f>
        <v/>
      </c>
      <c r="BK966">
        <f>IFERROR(INDEX(PP_Grid[#Data],$DE966,60),0)</f>
        <v/>
      </c>
      <c r="BL966">
        <f>IFERROR(INDEX(PP_Grid[#Data],$DE966,61),0)</f>
        <v/>
      </c>
      <c r="BM966">
        <f>IFERROR(INDEX(PP_Grid[#Data],$DE966,62),0)</f>
        <v/>
      </c>
      <c r="BN966">
        <f>IFERROR(INDEX(PP_Grid[#Data],$DE966,63),0)</f>
        <v/>
      </c>
      <c r="BO966">
        <f>IFERROR(INDEX(PP_Grid[#Data],$DE966,64),0)</f>
        <v/>
      </c>
      <c r="BP966">
        <f>IFERROR(INDEX(PP_Grid[#Data],$DE966,65),0)</f>
        <v/>
      </c>
      <c r="BQ966">
        <f>IFERROR(INDEX(PP_Grid[#Data],$DE966,66),0)</f>
        <v/>
      </c>
      <c r="BR966">
        <f>IFERROR(INDEX(PP_Grid[#Data],$DE966,67),0)</f>
        <v/>
      </c>
      <c r="BS966">
        <f>IFERROR(INDEX(PP_Grid[#Data],$DE966,68),0)</f>
        <v/>
      </c>
      <c r="BT966">
        <f>IFERROR(INDEX(PP_Grid[#Data],$DE966,69),0)</f>
        <v/>
      </c>
      <c r="BU966">
        <f>IFERROR(INDEX(PP_Grid[#Data],$DE966,70),0)</f>
        <v/>
      </c>
      <c r="BV966">
        <f>IFERROR(INDEX(PP_Grid[#Data],$DE966,71),0)</f>
        <v/>
      </c>
      <c r="BW966">
        <f>IFERROR(INDEX(PP_Grid[#Data],$DE966,72),0)</f>
        <v/>
      </c>
      <c r="BX966">
        <f>IFERROR(INDEX(PP_Grid[#Data],$DE966,73),0)</f>
        <v/>
      </c>
      <c r="BY966">
        <f>IFERROR(INDEX(PP_Grid[#Data],$DE966,74),0)</f>
        <v/>
      </c>
      <c r="BZ966">
        <f>IFERROR(INDEX(PP_Grid[#Data],$DE966,75),0)</f>
        <v/>
      </c>
      <c r="CA966">
        <f>IFERROR(INDEX(PP_Grid[#Data],$DE966,76),0)</f>
        <v/>
      </c>
      <c r="CB966">
        <f>IFERROR(INDEX(PP_Grid[#Data],$DE966,77),0)</f>
        <v/>
      </c>
      <c r="CC966">
        <f>IFERROR(INDEX(PP_Grid[#Data],$DE966,78),0)</f>
        <v/>
      </c>
      <c r="CD966">
        <f>IFERROR(INDEX(PP_Grid[#Data],$DE966,79),0)</f>
        <v/>
      </c>
      <c r="CE966">
        <f>IFERROR(INDEX(PP_Grid[#Data],$DE966,80),0)</f>
        <v/>
      </c>
      <c r="CF966">
        <f>IFERROR(INDEX(PP_Grid[#Data],$DE966,81),0)</f>
        <v/>
      </c>
      <c r="CG966">
        <f>IFERROR(INDEX(PP_Grid[#Data],$DE966,82),0)</f>
        <v/>
      </c>
      <c r="CH966">
        <f>IFERROR(INDEX(PP_Grid[#Data],$DE966,83),0)</f>
        <v/>
      </c>
      <c r="CI966">
        <f>IFERROR(INDEX(PP_Grid[#Data],$DE966,84),0)</f>
        <v/>
      </c>
      <c r="CJ966">
        <f>IFERROR(INDEX(PP_Grid[#Data],$DE966,85),0)</f>
        <v/>
      </c>
      <c r="CK966">
        <f>IFERROR(INDEX(PP_Grid[#Data],$DE966,86),0)</f>
        <v/>
      </c>
      <c r="CL966">
        <f>IFERROR(INDEX(PP_Grid[#Data],$DE966,87),0)</f>
        <v/>
      </c>
      <c r="CM966">
        <f>IFERROR(INDEX(PP_Grid[#Data],$DE966,88),0)</f>
        <v/>
      </c>
      <c r="CN966">
        <f>IFERROR(INDEX(PP_Grid[#Data],$DE966,89),0)</f>
        <v/>
      </c>
      <c r="CO966">
        <f>IFERROR(INDEX(PP_Grid[#Data],$DE966,90),0)</f>
        <v/>
      </c>
      <c r="CP966">
        <f>IFERROR(INDEX(PP_Grid[#Data],$DE966,91),0)</f>
        <v/>
      </c>
      <c r="CQ966">
        <f>IFERROR(INDEX(PP_Grid[#Data],$DE966,92),0)</f>
        <v/>
      </c>
      <c r="CR966">
        <f>IFERROR(INDEX(PP_Grid[#Data],$DE966,93),0)</f>
        <v/>
      </c>
      <c r="CS966">
        <f>IFERROR(INDEX(PP_Grid[#Data],$DE966,94),0)</f>
        <v/>
      </c>
      <c r="CT966">
        <f>IFERROR(INDEX(PP_Grid[#Data],$DE966,95),0)</f>
        <v/>
      </c>
      <c r="CU966">
        <f>IFERROR(INDEX(PP_Grid[#Data],$DE966,96),0)</f>
        <v/>
      </c>
      <c r="CV966">
        <f>IFERROR(INDEX(PP_Grid[#Data],$DE966,97),0)</f>
        <v/>
      </c>
      <c r="CW966">
        <f>IFERROR(INDEX(PP_Grid[#Data],$DE966,98),0)</f>
        <v/>
      </c>
      <c r="CX966">
        <f>IFERROR(INDEX(PP_Grid[#Data],$DE966,99),0)</f>
        <v/>
      </c>
      <c r="CY966">
        <f>IFERROR(INDEX(PP_Grid[#Data],$DE966,100),0)</f>
        <v/>
      </c>
      <c r="CZ966">
        <f>IFERROR(INDEX(PP_Grid[#Data],$DE966,101),0)</f>
        <v/>
      </c>
      <c r="DA966">
        <f>IFERROR(INDEX(PP_Grid[#Data],$DE966,102),0)</f>
        <v/>
      </c>
      <c r="DB966">
        <f>IFERROR(INDEX(PP_Grid[#Data],$DE966,103),0)</f>
        <v/>
      </c>
      <c r="DC966">
        <f>IFERROR(INDEX(PP_Grid[#Data],$DE966,104),0)</f>
        <v/>
      </c>
      <c r="DD966">
        <f>IFERROR(INDEX(PP_Grid[#Data],$DE966,105),0)</f>
        <v/>
      </c>
      <c r="DE966" s="7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SUMIFS(M_BOM[RM_Qty_Per_Batch],M_BOM[Intermediate],$B966,M_BOM[RM_Code],$A923)</f>
        <v/>
      </c>
      <c r="D967">
        <f>IFERROR(INDEX(E967:DD967,$F$1),"")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  <c r="DD967">
        <f>$C967*DD966</f>
        <v/>
      </c>
    </row>
    <row r="968">
      <c r="B968" t="inlineStr">
        <is>
          <t>TPP-609</t>
        </is>
      </c>
      <c r="C968" t="inlineStr">
        <is>
          <t>No. of batches</t>
        </is>
      </c>
      <c r="D968">
        <f>IFERROR(INDEX(E968:DD968,$F$1),"")</f>
        <v/>
      </c>
      <c r="E968">
        <f>IFERROR(INDEX(PP_Grid[#Data],$DE968,2),0)</f>
        <v/>
      </c>
      <c r="F968">
        <f>IFERROR(INDEX(PP_Grid[#Data],$DE968,3),0)</f>
        <v/>
      </c>
      <c r="G968">
        <f>IFERROR(INDEX(PP_Grid[#Data],$DE968,4),0)</f>
        <v/>
      </c>
      <c r="H968">
        <f>IFERROR(INDEX(PP_Grid[#Data],$DE968,5),0)</f>
        <v/>
      </c>
      <c r="I968">
        <f>IFERROR(INDEX(PP_Grid[#Data],$DE968,6),0)</f>
        <v/>
      </c>
      <c r="J968">
        <f>IFERROR(INDEX(PP_Grid[#Data],$DE968,7),0)</f>
        <v/>
      </c>
      <c r="K968">
        <f>IFERROR(INDEX(PP_Grid[#Data],$DE968,8),0)</f>
        <v/>
      </c>
      <c r="L968">
        <f>IFERROR(INDEX(PP_Grid[#Data],$DE968,9),0)</f>
        <v/>
      </c>
      <c r="M968">
        <f>IFERROR(INDEX(PP_Grid[#Data],$DE968,10),0)</f>
        <v/>
      </c>
      <c r="N968">
        <f>IFERROR(INDEX(PP_Grid[#Data],$DE968,11),0)</f>
        <v/>
      </c>
      <c r="O968">
        <f>IFERROR(INDEX(PP_Grid[#Data],$DE968,12),0)</f>
        <v/>
      </c>
      <c r="P968">
        <f>IFERROR(INDEX(PP_Grid[#Data],$DE968,13),0)</f>
        <v/>
      </c>
      <c r="Q968">
        <f>IFERROR(INDEX(PP_Grid[#Data],$DE968,14),0)</f>
        <v/>
      </c>
      <c r="R968">
        <f>IFERROR(INDEX(PP_Grid[#Data],$DE968,15),0)</f>
        <v/>
      </c>
      <c r="S968">
        <f>IFERROR(INDEX(PP_Grid[#Data],$DE968,16),0)</f>
        <v/>
      </c>
      <c r="T968">
        <f>IFERROR(INDEX(PP_Grid[#Data],$DE968,17),0)</f>
        <v/>
      </c>
      <c r="U968">
        <f>IFERROR(INDEX(PP_Grid[#Data],$DE968,18),0)</f>
        <v/>
      </c>
      <c r="V968">
        <f>IFERROR(INDEX(PP_Grid[#Data],$DE968,19),0)</f>
        <v/>
      </c>
      <c r="W968">
        <f>IFERROR(INDEX(PP_Grid[#Data],$DE968,20),0)</f>
        <v/>
      </c>
      <c r="X968">
        <f>IFERROR(INDEX(PP_Grid[#Data],$DE968,21),0)</f>
        <v/>
      </c>
      <c r="Y968">
        <f>IFERROR(INDEX(PP_Grid[#Data],$DE968,22),0)</f>
        <v/>
      </c>
      <c r="Z968">
        <f>IFERROR(INDEX(PP_Grid[#Data],$DE968,23),0)</f>
        <v/>
      </c>
      <c r="AA968">
        <f>IFERROR(INDEX(PP_Grid[#Data],$DE968,24),0)</f>
        <v/>
      </c>
      <c r="AB968">
        <f>IFERROR(INDEX(PP_Grid[#Data],$DE968,25),0)</f>
        <v/>
      </c>
      <c r="AC968">
        <f>IFERROR(INDEX(PP_Grid[#Data],$DE968,26),0)</f>
        <v/>
      </c>
      <c r="AD968">
        <f>IFERROR(INDEX(PP_Grid[#Data],$DE968,27),0)</f>
        <v/>
      </c>
      <c r="AE968">
        <f>IFERROR(INDEX(PP_Grid[#Data],$DE968,28),0)</f>
        <v/>
      </c>
      <c r="AF968">
        <f>IFERROR(INDEX(PP_Grid[#Data],$DE968,29),0)</f>
        <v/>
      </c>
      <c r="AG968">
        <f>IFERROR(INDEX(PP_Grid[#Data],$DE968,30),0)</f>
        <v/>
      </c>
      <c r="AH968">
        <f>IFERROR(INDEX(PP_Grid[#Data],$DE968,31),0)</f>
        <v/>
      </c>
      <c r="AI968">
        <f>IFERROR(INDEX(PP_Grid[#Data],$DE968,32),0)</f>
        <v/>
      </c>
      <c r="AJ968">
        <f>IFERROR(INDEX(PP_Grid[#Data],$DE968,33),0)</f>
        <v/>
      </c>
      <c r="AK968">
        <f>IFERROR(INDEX(PP_Grid[#Data],$DE968,34),0)</f>
        <v/>
      </c>
      <c r="AL968">
        <f>IFERROR(INDEX(PP_Grid[#Data],$DE968,35),0)</f>
        <v/>
      </c>
      <c r="AM968">
        <f>IFERROR(INDEX(PP_Grid[#Data],$DE968,36),0)</f>
        <v/>
      </c>
      <c r="AN968">
        <f>IFERROR(INDEX(PP_Grid[#Data],$DE968,37),0)</f>
        <v/>
      </c>
      <c r="AO968">
        <f>IFERROR(INDEX(PP_Grid[#Data],$DE968,38),0)</f>
        <v/>
      </c>
      <c r="AP968">
        <f>IFERROR(INDEX(PP_Grid[#Data],$DE968,39),0)</f>
        <v/>
      </c>
      <c r="AQ968">
        <f>IFERROR(INDEX(PP_Grid[#Data],$DE968,40),0)</f>
        <v/>
      </c>
      <c r="AR968">
        <f>IFERROR(INDEX(PP_Grid[#Data],$DE968,41),0)</f>
        <v/>
      </c>
      <c r="AS968">
        <f>IFERROR(INDEX(PP_Grid[#Data],$DE968,42),0)</f>
        <v/>
      </c>
      <c r="AT968">
        <f>IFERROR(INDEX(PP_Grid[#Data],$DE968,43),0)</f>
        <v/>
      </c>
      <c r="AU968">
        <f>IFERROR(INDEX(PP_Grid[#Data],$DE968,44),0)</f>
        <v/>
      </c>
      <c r="AV968">
        <f>IFERROR(INDEX(PP_Grid[#Data],$DE968,45),0)</f>
        <v/>
      </c>
      <c r="AW968">
        <f>IFERROR(INDEX(PP_Grid[#Data],$DE968,46),0)</f>
        <v/>
      </c>
      <c r="AX968">
        <f>IFERROR(INDEX(PP_Grid[#Data],$DE968,47),0)</f>
        <v/>
      </c>
      <c r="AY968">
        <f>IFERROR(INDEX(PP_Grid[#Data],$DE968,48),0)</f>
        <v/>
      </c>
      <c r="AZ968">
        <f>IFERROR(INDEX(PP_Grid[#Data],$DE968,49),0)</f>
        <v/>
      </c>
      <c r="BA968">
        <f>IFERROR(INDEX(PP_Grid[#Data],$DE968,50),0)</f>
        <v/>
      </c>
      <c r="BB968">
        <f>IFERROR(INDEX(PP_Grid[#Data],$DE968,51),0)</f>
        <v/>
      </c>
      <c r="BC968">
        <f>IFERROR(INDEX(PP_Grid[#Data],$DE968,52),0)</f>
        <v/>
      </c>
      <c r="BD968">
        <f>IFERROR(INDEX(PP_Grid[#Data],$DE968,53),0)</f>
        <v/>
      </c>
      <c r="BE968">
        <f>IFERROR(INDEX(PP_Grid[#Data],$DE968,54),0)</f>
        <v/>
      </c>
      <c r="BF968">
        <f>IFERROR(INDEX(PP_Grid[#Data],$DE968,55),0)</f>
        <v/>
      </c>
      <c r="BG968">
        <f>IFERROR(INDEX(PP_Grid[#Data],$DE968,56),0)</f>
        <v/>
      </c>
      <c r="BH968">
        <f>IFERROR(INDEX(PP_Grid[#Data],$DE968,57),0)</f>
        <v/>
      </c>
      <c r="BI968">
        <f>IFERROR(INDEX(PP_Grid[#Data],$DE968,58),0)</f>
        <v/>
      </c>
      <c r="BJ968">
        <f>IFERROR(INDEX(PP_Grid[#Data],$DE968,59),0)</f>
        <v/>
      </c>
      <c r="BK968">
        <f>IFERROR(INDEX(PP_Grid[#Data],$DE968,60),0)</f>
        <v/>
      </c>
      <c r="BL968">
        <f>IFERROR(INDEX(PP_Grid[#Data],$DE968,61),0)</f>
        <v/>
      </c>
      <c r="BM968">
        <f>IFERROR(INDEX(PP_Grid[#Data],$DE968,62),0)</f>
        <v/>
      </c>
      <c r="BN968">
        <f>IFERROR(INDEX(PP_Grid[#Data],$DE968,63),0)</f>
        <v/>
      </c>
      <c r="BO968">
        <f>IFERROR(INDEX(PP_Grid[#Data],$DE968,64),0)</f>
        <v/>
      </c>
      <c r="BP968">
        <f>IFERROR(INDEX(PP_Grid[#Data],$DE968,65),0)</f>
        <v/>
      </c>
      <c r="BQ968">
        <f>IFERROR(INDEX(PP_Grid[#Data],$DE968,66),0)</f>
        <v/>
      </c>
      <c r="BR968">
        <f>IFERROR(INDEX(PP_Grid[#Data],$DE968,67),0)</f>
        <v/>
      </c>
      <c r="BS968">
        <f>IFERROR(INDEX(PP_Grid[#Data],$DE968,68),0)</f>
        <v/>
      </c>
      <c r="BT968">
        <f>IFERROR(INDEX(PP_Grid[#Data],$DE968,69),0)</f>
        <v/>
      </c>
      <c r="BU968">
        <f>IFERROR(INDEX(PP_Grid[#Data],$DE968,70),0)</f>
        <v/>
      </c>
      <c r="BV968">
        <f>IFERROR(INDEX(PP_Grid[#Data],$DE968,71),0)</f>
        <v/>
      </c>
      <c r="BW968">
        <f>IFERROR(INDEX(PP_Grid[#Data],$DE968,72),0)</f>
        <v/>
      </c>
      <c r="BX968">
        <f>IFERROR(INDEX(PP_Grid[#Data],$DE968,73),0)</f>
        <v/>
      </c>
      <c r="BY968">
        <f>IFERROR(INDEX(PP_Grid[#Data],$DE968,74),0)</f>
        <v/>
      </c>
      <c r="BZ968">
        <f>IFERROR(INDEX(PP_Grid[#Data],$DE968,75),0)</f>
        <v/>
      </c>
      <c r="CA968">
        <f>IFERROR(INDEX(PP_Grid[#Data],$DE968,76),0)</f>
        <v/>
      </c>
      <c r="CB968">
        <f>IFERROR(INDEX(PP_Grid[#Data],$DE968,77),0)</f>
        <v/>
      </c>
      <c r="CC968">
        <f>IFERROR(INDEX(PP_Grid[#Data],$DE968,78),0)</f>
        <v/>
      </c>
      <c r="CD968">
        <f>IFERROR(INDEX(PP_Grid[#Data],$DE968,79),0)</f>
        <v/>
      </c>
      <c r="CE968">
        <f>IFERROR(INDEX(PP_Grid[#Data],$DE968,80),0)</f>
        <v/>
      </c>
      <c r="CF968">
        <f>IFERROR(INDEX(PP_Grid[#Data],$DE968,81),0)</f>
        <v/>
      </c>
      <c r="CG968">
        <f>IFERROR(INDEX(PP_Grid[#Data],$DE968,82),0)</f>
        <v/>
      </c>
      <c r="CH968">
        <f>IFERROR(INDEX(PP_Grid[#Data],$DE968,83),0)</f>
        <v/>
      </c>
      <c r="CI968">
        <f>IFERROR(INDEX(PP_Grid[#Data],$DE968,84),0)</f>
        <v/>
      </c>
      <c r="CJ968">
        <f>IFERROR(INDEX(PP_Grid[#Data],$DE968,85),0)</f>
        <v/>
      </c>
      <c r="CK968">
        <f>IFERROR(INDEX(PP_Grid[#Data],$DE968,86),0)</f>
        <v/>
      </c>
      <c r="CL968">
        <f>IFERROR(INDEX(PP_Grid[#Data],$DE968,87),0)</f>
        <v/>
      </c>
      <c r="CM968">
        <f>IFERROR(INDEX(PP_Grid[#Data],$DE968,88),0)</f>
        <v/>
      </c>
      <c r="CN968">
        <f>IFERROR(INDEX(PP_Grid[#Data],$DE968,89),0)</f>
        <v/>
      </c>
      <c r="CO968">
        <f>IFERROR(INDEX(PP_Grid[#Data],$DE968,90),0)</f>
        <v/>
      </c>
      <c r="CP968">
        <f>IFERROR(INDEX(PP_Grid[#Data],$DE968,91),0)</f>
        <v/>
      </c>
      <c r="CQ968">
        <f>IFERROR(INDEX(PP_Grid[#Data],$DE968,92),0)</f>
        <v/>
      </c>
      <c r="CR968">
        <f>IFERROR(INDEX(PP_Grid[#Data],$DE968,93),0)</f>
        <v/>
      </c>
      <c r="CS968">
        <f>IFERROR(INDEX(PP_Grid[#Data],$DE968,94),0)</f>
        <v/>
      </c>
      <c r="CT968">
        <f>IFERROR(INDEX(PP_Grid[#Data],$DE968,95),0)</f>
        <v/>
      </c>
      <c r="CU968">
        <f>IFERROR(INDEX(PP_Grid[#Data],$DE968,96),0)</f>
        <v/>
      </c>
      <c r="CV968">
        <f>IFERROR(INDEX(PP_Grid[#Data],$DE968,97),0)</f>
        <v/>
      </c>
      <c r="CW968">
        <f>IFERROR(INDEX(PP_Grid[#Data],$DE968,98),0)</f>
        <v/>
      </c>
      <c r="CX968">
        <f>IFERROR(INDEX(PP_Grid[#Data],$DE968,99),0)</f>
        <v/>
      </c>
      <c r="CY968">
        <f>IFERROR(INDEX(PP_Grid[#Data],$DE968,100),0)</f>
        <v/>
      </c>
      <c r="CZ968">
        <f>IFERROR(INDEX(PP_Grid[#Data],$DE968,101),0)</f>
        <v/>
      </c>
      <c r="DA968">
        <f>IFERROR(INDEX(PP_Grid[#Data],$DE968,102),0)</f>
        <v/>
      </c>
      <c r="DB968">
        <f>IFERROR(INDEX(PP_Grid[#Data],$DE968,103),0)</f>
        <v/>
      </c>
      <c r="DC968">
        <f>IFERROR(INDEX(PP_Grid[#Data],$DE968,104),0)</f>
        <v/>
      </c>
      <c r="DD968">
        <f>IFERROR(INDEX(PP_Grid[#Data],$DE968,105),0)</f>
        <v/>
      </c>
      <c r="DE968" s="7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SUMIFS(M_BOM[RM_Qty_Per_Batch],M_BOM[Intermediate],$B968,M_BOM[RM_Code],$A923)</f>
        <v/>
      </c>
      <c r="D969">
        <f>IFERROR(INDEX(E969:DD969,$F$1),"")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  <c r="DD969">
        <f>$C969*DD968</f>
        <v/>
      </c>
    </row>
    <row r="970">
      <c r="B970" t="inlineStr">
        <is>
          <t>TPP-911</t>
        </is>
      </c>
      <c r="C970" t="inlineStr">
        <is>
          <t>No. of batches</t>
        </is>
      </c>
      <c r="D970">
        <f>IFERROR(INDEX(E970:DD970,$F$1),"")</f>
        <v/>
      </c>
      <c r="E970">
        <f>IFERROR(INDEX(PP_Grid[#Data],$DE970,2),0)</f>
        <v/>
      </c>
      <c r="F970">
        <f>IFERROR(INDEX(PP_Grid[#Data],$DE970,3),0)</f>
        <v/>
      </c>
      <c r="G970">
        <f>IFERROR(INDEX(PP_Grid[#Data],$DE970,4),0)</f>
        <v/>
      </c>
      <c r="H970">
        <f>IFERROR(INDEX(PP_Grid[#Data],$DE970,5),0)</f>
        <v/>
      </c>
      <c r="I970">
        <f>IFERROR(INDEX(PP_Grid[#Data],$DE970,6),0)</f>
        <v/>
      </c>
      <c r="J970">
        <f>IFERROR(INDEX(PP_Grid[#Data],$DE970,7),0)</f>
        <v/>
      </c>
      <c r="K970">
        <f>IFERROR(INDEX(PP_Grid[#Data],$DE970,8),0)</f>
        <v/>
      </c>
      <c r="L970">
        <f>IFERROR(INDEX(PP_Grid[#Data],$DE970,9),0)</f>
        <v/>
      </c>
      <c r="M970">
        <f>IFERROR(INDEX(PP_Grid[#Data],$DE970,10),0)</f>
        <v/>
      </c>
      <c r="N970">
        <f>IFERROR(INDEX(PP_Grid[#Data],$DE970,11),0)</f>
        <v/>
      </c>
      <c r="O970">
        <f>IFERROR(INDEX(PP_Grid[#Data],$DE970,12),0)</f>
        <v/>
      </c>
      <c r="P970">
        <f>IFERROR(INDEX(PP_Grid[#Data],$DE970,13),0)</f>
        <v/>
      </c>
      <c r="Q970">
        <f>IFERROR(INDEX(PP_Grid[#Data],$DE970,14),0)</f>
        <v/>
      </c>
      <c r="R970">
        <f>IFERROR(INDEX(PP_Grid[#Data],$DE970,15),0)</f>
        <v/>
      </c>
      <c r="S970">
        <f>IFERROR(INDEX(PP_Grid[#Data],$DE970,16),0)</f>
        <v/>
      </c>
      <c r="T970">
        <f>IFERROR(INDEX(PP_Grid[#Data],$DE970,17),0)</f>
        <v/>
      </c>
      <c r="U970">
        <f>IFERROR(INDEX(PP_Grid[#Data],$DE970,18),0)</f>
        <v/>
      </c>
      <c r="V970">
        <f>IFERROR(INDEX(PP_Grid[#Data],$DE970,19),0)</f>
        <v/>
      </c>
      <c r="W970">
        <f>IFERROR(INDEX(PP_Grid[#Data],$DE970,20),0)</f>
        <v/>
      </c>
      <c r="X970">
        <f>IFERROR(INDEX(PP_Grid[#Data],$DE970,21),0)</f>
        <v/>
      </c>
      <c r="Y970">
        <f>IFERROR(INDEX(PP_Grid[#Data],$DE970,22),0)</f>
        <v/>
      </c>
      <c r="Z970">
        <f>IFERROR(INDEX(PP_Grid[#Data],$DE970,23),0)</f>
        <v/>
      </c>
      <c r="AA970">
        <f>IFERROR(INDEX(PP_Grid[#Data],$DE970,24),0)</f>
        <v/>
      </c>
      <c r="AB970">
        <f>IFERROR(INDEX(PP_Grid[#Data],$DE970,25),0)</f>
        <v/>
      </c>
      <c r="AC970">
        <f>IFERROR(INDEX(PP_Grid[#Data],$DE970,26),0)</f>
        <v/>
      </c>
      <c r="AD970">
        <f>IFERROR(INDEX(PP_Grid[#Data],$DE970,27),0)</f>
        <v/>
      </c>
      <c r="AE970">
        <f>IFERROR(INDEX(PP_Grid[#Data],$DE970,28),0)</f>
        <v/>
      </c>
      <c r="AF970">
        <f>IFERROR(INDEX(PP_Grid[#Data],$DE970,29),0)</f>
        <v/>
      </c>
      <c r="AG970">
        <f>IFERROR(INDEX(PP_Grid[#Data],$DE970,30),0)</f>
        <v/>
      </c>
      <c r="AH970">
        <f>IFERROR(INDEX(PP_Grid[#Data],$DE970,31),0)</f>
        <v/>
      </c>
      <c r="AI970">
        <f>IFERROR(INDEX(PP_Grid[#Data],$DE970,32),0)</f>
        <v/>
      </c>
      <c r="AJ970">
        <f>IFERROR(INDEX(PP_Grid[#Data],$DE970,33),0)</f>
        <v/>
      </c>
      <c r="AK970">
        <f>IFERROR(INDEX(PP_Grid[#Data],$DE970,34),0)</f>
        <v/>
      </c>
      <c r="AL970">
        <f>IFERROR(INDEX(PP_Grid[#Data],$DE970,35),0)</f>
        <v/>
      </c>
      <c r="AM970">
        <f>IFERROR(INDEX(PP_Grid[#Data],$DE970,36),0)</f>
        <v/>
      </c>
      <c r="AN970">
        <f>IFERROR(INDEX(PP_Grid[#Data],$DE970,37),0)</f>
        <v/>
      </c>
      <c r="AO970">
        <f>IFERROR(INDEX(PP_Grid[#Data],$DE970,38),0)</f>
        <v/>
      </c>
      <c r="AP970">
        <f>IFERROR(INDEX(PP_Grid[#Data],$DE970,39),0)</f>
        <v/>
      </c>
      <c r="AQ970">
        <f>IFERROR(INDEX(PP_Grid[#Data],$DE970,40),0)</f>
        <v/>
      </c>
      <c r="AR970">
        <f>IFERROR(INDEX(PP_Grid[#Data],$DE970,41),0)</f>
        <v/>
      </c>
      <c r="AS970">
        <f>IFERROR(INDEX(PP_Grid[#Data],$DE970,42),0)</f>
        <v/>
      </c>
      <c r="AT970">
        <f>IFERROR(INDEX(PP_Grid[#Data],$DE970,43),0)</f>
        <v/>
      </c>
      <c r="AU970">
        <f>IFERROR(INDEX(PP_Grid[#Data],$DE970,44),0)</f>
        <v/>
      </c>
      <c r="AV970">
        <f>IFERROR(INDEX(PP_Grid[#Data],$DE970,45),0)</f>
        <v/>
      </c>
      <c r="AW970">
        <f>IFERROR(INDEX(PP_Grid[#Data],$DE970,46),0)</f>
        <v/>
      </c>
      <c r="AX970">
        <f>IFERROR(INDEX(PP_Grid[#Data],$DE970,47),0)</f>
        <v/>
      </c>
      <c r="AY970">
        <f>IFERROR(INDEX(PP_Grid[#Data],$DE970,48),0)</f>
        <v/>
      </c>
      <c r="AZ970">
        <f>IFERROR(INDEX(PP_Grid[#Data],$DE970,49),0)</f>
        <v/>
      </c>
      <c r="BA970">
        <f>IFERROR(INDEX(PP_Grid[#Data],$DE970,50),0)</f>
        <v/>
      </c>
      <c r="BB970">
        <f>IFERROR(INDEX(PP_Grid[#Data],$DE970,51),0)</f>
        <v/>
      </c>
      <c r="BC970">
        <f>IFERROR(INDEX(PP_Grid[#Data],$DE970,52),0)</f>
        <v/>
      </c>
      <c r="BD970">
        <f>IFERROR(INDEX(PP_Grid[#Data],$DE970,53),0)</f>
        <v/>
      </c>
      <c r="BE970">
        <f>IFERROR(INDEX(PP_Grid[#Data],$DE970,54),0)</f>
        <v/>
      </c>
      <c r="BF970">
        <f>IFERROR(INDEX(PP_Grid[#Data],$DE970,55),0)</f>
        <v/>
      </c>
      <c r="BG970">
        <f>IFERROR(INDEX(PP_Grid[#Data],$DE970,56),0)</f>
        <v/>
      </c>
      <c r="BH970">
        <f>IFERROR(INDEX(PP_Grid[#Data],$DE970,57),0)</f>
        <v/>
      </c>
      <c r="BI970">
        <f>IFERROR(INDEX(PP_Grid[#Data],$DE970,58),0)</f>
        <v/>
      </c>
      <c r="BJ970">
        <f>IFERROR(INDEX(PP_Grid[#Data],$DE970,59),0)</f>
        <v/>
      </c>
      <c r="BK970">
        <f>IFERROR(INDEX(PP_Grid[#Data],$DE970,60),0)</f>
        <v/>
      </c>
      <c r="BL970">
        <f>IFERROR(INDEX(PP_Grid[#Data],$DE970,61),0)</f>
        <v/>
      </c>
      <c r="BM970">
        <f>IFERROR(INDEX(PP_Grid[#Data],$DE970,62),0)</f>
        <v/>
      </c>
      <c r="BN970">
        <f>IFERROR(INDEX(PP_Grid[#Data],$DE970,63),0)</f>
        <v/>
      </c>
      <c r="BO970">
        <f>IFERROR(INDEX(PP_Grid[#Data],$DE970,64),0)</f>
        <v/>
      </c>
      <c r="BP970">
        <f>IFERROR(INDEX(PP_Grid[#Data],$DE970,65),0)</f>
        <v/>
      </c>
      <c r="BQ970">
        <f>IFERROR(INDEX(PP_Grid[#Data],$DE970,66),0)</f>
        <v/>
      </c>
      <c r="BR970">
        <f>IFERROR(INDEX(PP_Grid[#Data],$DE970,67),0)</f>
        <v/>
      </c>
      <c r="BS970">
        <f>IFERROR(INDEX(PP_Grid[#Data],$DE970,68),0)</f>
        <v/>
      </c>
      <c r="BT970">
        <f>IFERROR(INDEX(PP_Grid[#Data],$DE970,69),0)</f>
        <v/>
      </c>
      <c r="BU970">
        <f>IFERROR(INDEX(PP_Grid[#Data],$DE970,70),0)</f>
        <v/>
      </c>
      <c r="BV970">
        <f>IFERROR(INDEX(PP_Grid[#Data],$DE970,71),0)</f>
        <v/>
      </c>
      <c r="BW970">
        <f>IFERROR(INDEX(PP_Grid[#Data],$DE970,72),0)</f>
        <v/>
      </c>
      <c r="BX970">
        <f>IFERROR(INDEX(PP_Grid[#Data],$DE970,73),0)</f>
        <v/>
      </c>
      <c r="BY970">
        <f>IFERROR(INDEX(PP_Grid[#Data],$DE970,74),0)</f>
        <v/>
      </c>
      <c r="BZ970">
        <f>IFERROR(INDEX(PP_Grid[#Data],$DE970,75),0)</f>
        <v/>
      </c>
      <c r="CA970">
        <f>IFERROR(INDEX(PP_Grid[#Data],$DE970,76),0)</f>
        <v/>
      </c>
      <c r="CB970">
        <f>IFERROR(INDEX(PP_Grid[#Data],$DE970,77),0)</f>
        <v/>
      </c>
      <c r="CC970">
        <f>IFERROR(INDEX(PP_Grid[#Data],$DE970,78),0)</f>
        <v/>
      </c>
      <c r="CD970">
        <f>IFERROR(INDEX(PP_Grid[#Data],$DE970,79),0)</f>
        <v/>
      </c>
      <c r="CE970">
        <f>IFERROR(INDEX(PP_Grid[#Data],$DE970,80),0)</f>
        <v/>
      </c>
      <c r="CF970">
        <f>IFERROR(INDEX(PP_Grid[#Data],$DE970,81),0)</f>
        <v/>
      </c>
      <c r="CG970">
        <f>IFERROR(INDEX(PP_Grid[#Data],$DE970,82),0)</f>
        <v/>
      </c>
      <c r="CH970">
        <f>IFERROR(INDEX(PP_Grid[#Data],$DE970,83),0)</f>
        <v/>
      </c>
      <c r="CI970">
        <f>IFERROR(INDEX(PP_Grid[#Data],$DE970,84),0)</f>
        <v/>
      </c>
      <c r="CJ970">
        <f>IFERROR(INDEX(PP_Grid[#Data],$DE970,85),0)</f>
        <v/>
      </c>
      <c r="CK970">
        <f>IFERROR(INDEX(PP_Grid[#Data],$DE970,86),0)</f>
        <v/>
      </c>
      <c r="CL970">
        <f>IFERROR(INDEX(PP_Grid[#Data],$DE970,87),0)</f>
        <v/>
      </c>
      <c r="CM970">
        <f>IFERROR(INDEX(PP_Grid[#Data],$DE970,88),0)</f>
        <v/>
      </c>
      <c r="CN970">
        <f>IFERROR(INDEX(PP_Grid[#Data],$DE970,89),0)</f>
        <v/>
      </c>
      <c r="CO970">
        <f>IFERROR(INDEX(PP_Grid[#Data],$DE970,90),0)</f>
        <v/>
      </c>
      <c r="CP970">
        <f>IFERROR(INDEX(PP_Grid[#Data],$DE970,91),0)</f>
        <v/>
      </c>
      <c r="CQ970">
        <f>IFERROR(INDEX(PP_Grid[#Data],$DE970,92),0)</f>
        <v/>
      </c>
      <c r="CR970">
        <f>IFERROR(INDEX(PP_Grid[#Data],$DE970,93),0)</f>
        <v/>
      </c>
      <c r="CS970">
        <f>IFERROR(INDEX(PP_Grid[#Data],$DE970,94),0)</f>
        <v/>
      </c>
      <c r="CT970">
        <f>IFERROR(INDEX(PP_Grid[#Data],$DE970,95),0)</f>
        <v/>
      </c>
      <c r="CU970">
        <f>IFERROR(INDEX(PP_Grid[#Data],$DE970,96),0)</f>
        <v/>
      </c>
      <c r="CV970">
        <f>IFERROR(INDEX(PP_Grid[#Data],$DE970,97),0)</f>
        <v/>
      </c>
      <c r="CW970">
        <f>IFERROR(INDEX(PP_Grid[#Data],$DE970,98),0)</f>
        <v/>
      </c>
      <c r="CX970">
        <f>IFERROR(INDEX(PP_Grid[#Data],$DE970,99),0)</f>
        <v/>
      </c>
      <c r="CY970">
        <f>IFERROR(INDEX(PP_Grid[#Data],$DE970,100),0)</f>
        <v/>
      </c>
      <c r="CZ970">
        <f>IFERROR(INDEX(PP_Grid[#Data],$DE970,101),0)</f>
        <v/>
      </c>
      <c r="DA970">
        <f>IFERROR(INDEX(PP_Grid[#Data],$DE970,102),0)</f>
        <v/>
      </c>
      <c r="DB970">
        <f>IFERROR(INDEX(PP_Grid[#Data],$DE970,103),0)</f>
        <v/>
      </c>
      <c r="DC970">
        <f>IFERROR(INDEX(PP_Grid[#Data],$DE970,104),0)</f>
        <v/>
      </c>
      <c r="DD970">
        <f>IFERROR(INDEX(PP_Grid[#Data],$DE970,105),0)</f>
        <v/>
      </c>
      <c r="DE970" s="7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SUMIFS(M_BOM[RM_Qty_Per_Batch],M_BOM[Intermediate],$B970,M_BOM[RM_Code],$A923)</f>
        <v/>
      </c>
      <c r="D971">
        <f>IFERROR(INDEX(E971:DD971,$F$1),"")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  <c r="DD971">
        <f>$C971*DD970</f>
        <v/>
      </c>
    </row>
    <row r="972">
      <c r="B972" t="inlineStr">
        <is>
          <t>TPP-970</t>
        </is>
      </c>
      <c r="C972" t="inlineStr">
        <is>
          <t>No. of batches</t>
        </is>
      </c>
      <c r="D972">
        <f>IFERROR(INDEX(E972:DD972,$F$1),"")</f>
        <v/>
      </c>
      <c r="E972">
        <f>IFERROR(INDEX(PP_Grid[#Data],$DE972,2),0)</f>
        <v/>
      </c>
      <c r="F972">
        <f>IFERROR(INDEX(PP_Grid[#Data],$DE972,3),0)</f>
        <v/>
      </c>
      <c r="G972">
        <f>IFERROR(INDEX(PP_Grid[#Data],$DE972,4),0)</f>
        <v/>
      </c>
      <c r="H972">
        <f>IFERROR(INDEX(PP_Grid[#Data],$DE972,5),0)</f>
        <v/>
      </c>
      <c r="I972">
        <f>IFERROR(INDEX(PP_Grid[#Data],$DE972,6),0)</f>
        <v/>
      </c>
      <c r="J972">
        <f>IFERROR(INDEX(PP_Grid[#Data],$DE972,7),0)</f>
        <v/>
      </c>
      <c r="K972">
        <f>IFERROR(INDEX(PP_Grid[#Data],$DE972,8),0)</f>
        <v/>
      </c>
      <c r="L972">
        <f>IFERROR(INDEX(PP_Grid[#Data],$DE972,9),0)</f>
        <v/>
      </c>
      <c r="M972">
        <f>IFERROR(INDEX(PP_Grid[#Data],$DE972,10),0)</f>
        <v/>
      </c>
      <c r="N972">
        <f>IFERROR(INDEX(PP_Grid[#Data],$DE972,11),0)</f>
        <v/>
      </c>
      <c r="O972">
        <f>IFERROR(INDEX(PP_Grid[#Data],$DE972,12),0)</f>
        <v/>
      </c>
      <c r="P972">
        <f>IFERROR(INDEX(PP_Grid[#Data],$DE972,13),0)</f>
        <v/>
      </c>
      <c r="Q972">
        <f>IFERROR(INDEX(PP_Grid[#Data],$DE972,14),0)</f>
        <v/>
      </c>
      <c r="R972">
        <f>IFERROR(INDEX(PP_Grid[#Data],$DE972,15),0)</f>
        <v/>
      </c>
      <c r="S972">
        <f>IFERROR(INDEX(PP_Grid[#Data],$DE972,16),0)</f>
        <v/>
      </c>
      <c r="T972">
        <f>IFERROR(INDEX(PP_Grid[#Data],$DE972,17),0)</f>
        <v/>
      </c>
      <c r="U972">
        <f>IFERROR(INDEX(PP_Grid[#Data],$DE972,18),0)</f>
        <v/>
      </c>
      <c r="V972">
        <f>IFERROR(INDEX(PP_Grid[#Data],$DE972,19),0)</f>
        <v/>
      </c>
      <c r="W972">
        <f>IFERROR(INDEX(PP_Grid[#Data],$DE972,20),0)</f>
        <v/>
      </c>
      <c r="X972">
        <f>IFERROR(INDEX(PP_Grid[#Data],$DE972,21),0)</f>
        <v/>
      </c>
      <c r="Y972">
        <f>IFERROR(INDEX(PP_Grid[#Data],$DE972,22),0)</f>
        <v/>
      </c>
      <c r="Z972">
        <f>IFERROR(INDEX(PP_Grid[#Data],$DE972,23),0)</f>
        <v/>
      </c>
      <c r="AA972">
        <f>IFERROR(INDEX(PP_Grid[#Data],$DE972,24),0)</f>
        <v/>
      </c>
      <c r="AB972">
        <f>IFERROR(INDEX(PP_Grid[#Data],$DE972,25),0)</f>
        <v/>
      </c>
      <c r="AC972">
        <f>IFERROR(INDEX(PP_Grid[#Data],$DE972,26),0)</f>
        <v/>
      </c>
      <c r="AD972">
        <f>IFERROR(INDEX(PP_Grid[#Data],$DE972,27),0)</f>
        <v/>
      </c>
      <c r="AE972">
        <f>IFERROR(INDEX(PP_Grid[#Data],$DE972,28),0)</f>
        <v/>
      </c>
      <c r="AF972">
        <f>IFERROR(INDEX(PP_Grid[#Data],$DE972,29),0)</f>
        <v/>
      </c>
      <c r="AG972">
        <f>IFERROR(INDEX(PP_Grid[#Data],$DE972,30),0)</f>
        <v/>
      </c>
      <c r="AH972">
        <f>IFERROR(INDEX(PP_Grid[#Data],$DE972,31),0)</f>
        <v/>
      </c>
      <c r="AI972">
        <f>IFERROR(INDEX(PP_Grid[#Data],$DE972,32),0)</f>
        <v/>
      </c>
      <c r="AJ972">
        <f>IFERROR(INDEX(PP_Grid[#Data],$DE972,33),0)</f>
        <v/>
      </c>
      <c r="AK972">
        <f>IFERROR(INDEX(PP_Grid[#Data],$DE972,34),0)</f>
        <v/>
      </c>
      <c r="AL972">
        <f>IFERROR(INDEX(PP_Grid[#Data],$DE972,35),0)</f>
        <v/>
      </c>
      <c r="AM972">
        <f>IFERROR(INDEX(PP_Grid[#Data],$DE972,36),0)</f>
        <v/>
      </c>
      <c r="AN972">
        <f>IFERROR(INDEX(PP_Grid[#Data],$DE972,37),0)</f>
        <v/>
      </c>
      <c r="AO972">
        <f>IFERROR(INDEX(PP_Grid[#Data],$DE972,38),0)</f>
        <v/>
      </c>
      <c r="AP972">
        <f>IFERROR(INDEX(PP_Grid[#Data],$DE972,39),0)</f>
        <v/>
      </c>
      <c r="AQ972">
        <f>IFERROR(INDEX(PP_Grid[#Data],$DE972,40),0)</f>
        <v/>
      </c>
      <c r="AR972">
        <f>IFERROR(INDEX(PP_Grid[#Data],$DE972,41),0)</f>
        <v/>
      </c>
      <c r="AS972">
        <f>IFERROR(INDEX(PP_Grid[#Data],$DE972,42),0)</f>
        <v/>
      </c>
      <c r="AT972">
        <f>IFERROR(INDEX(PP_Grid[#Data],$DE972,43),0)</f>
        <v/>
      </c>
      <c r="AU972">
        <f>IFERROR(INDEX(PP_Grid[#Data],$DE972,44),0)</f>
        <v/>
      </c>
      <c r="AV972">
        <f>IFERROR(INDEX(PP_Grid[#Data],$DE972,45),0)</f>
        <v/>
      </c>
      <c r="AW972">
        <f>IFERROR(INDEX(PP_Grid[#Data],$DE972,46),0)</f>
        <v/>
      </c>
      <c r="AX972">
        <f>IFERROR(INDEX(PP_Grid[#Data],$DE972,47),0)</f>
        <v/>
      </c>
      <c r="AY972">
        <f>IFERROR(INDEX(PP_Grid[#Data],$DE972,48),0)</f>
        <v/>
      </c>
      <c r="AZ972">
        <f>IFERROR(INDEX(PP_Grid[#Data],$DE972,49),0)</f>
        <v/>
      </c>
      <c r="BA972">
        <f>IFERROR(INDEX(PP_Grid[#Data],$DE972,50),0)</f>
        <v/>
      </c>
      <c r="BB972">
        <f>IFERROR(INDEX(PP_Grid[#Data],$DE972,51),0)</f>
        <v/>
      </c>
      <c r="BC972">
        <f>IFERROR(INDEX(PP_Grid[#Data],$DE972,52),0)</f>
        <v/>
      </c>
      <c r="BD972">
        <f>IFERROR(INDEX(PP_Grid[#Data],$DE972,53),0)</f>
        <v/>
      </c>
      <c r="BE972">
        <f>IFERROR(INDEX(PP_Grid[#Data],$DE972,54),0)</f>
        <v/>
      </c>
      <c r="BF972">
        <f>IFERROR(INDEX(PP_Grid[#Data],$DE972,55),0)</f>
        <v/>
      </c>
      <c r="BG972">
        <f>IFERROR(INDEX(PP_Grid[#Data],$DE972,56),0)</f>
        <v/>
      </c>
      <c r="BH972">
        <f>IFERROR(INDEX(PP_Grid[#Data],$DE972,57),0)</f>
        <v/>
      </c>
      <c r="BI972">
        <f>IFERROR(INDEX(PP_Grid[#Data],$DE972,58),0)</f>
        <v/>
      </c>
      <c r="BJ972">
        <f>IFERROR(INDEX(PP_Grid[#Data],$DE972,59),0)</f>
        <v/>
      </c>
      <c r="BK972">
        <f>IFERROR(INDEX(PP_Grid[#Data],$DE972,60),0)</f>
        <v/>
      </c>
      <c r="BL972">
        <f>IFERROR(INDEX(PP_Grid[#Data],$DE972,61),0)</f>
        <v/>
      </c>
      <c r="BM972">
        <f>IFERROR(INDEX(PP_Grid[#Data],$DE972,62),0)</f>
        <v/>
      </c>
      <c r="BN972">
        <f>IFERROR(INDEX(PP_Grid[#Data],$DE972,63),0)</f>
        <v/>
      </c>
      <c r="BO972">
        <f>IFERROR(INDEX(PP_Grid[#Data],$DE972,64),0)</f>
        <v/>
      </c>
      <c r="BP972">
        <f>IFERROR(INDEX(PP_Grid[#Data],$DE972,65),0)</f>
        <v/>
      </c>
      <c r="BQ972">
        <f>IFERROR(INDEX(PP_Grid[#Data],$DE972,66),0)</f>
        <v/>
      </c>
      <c r="BR972">
        <f>IFERROR(INDEX(PP_Grid[#Data],$DE972,67),0)</f>
        <v/>
      </c>
      <c r="BS972">
        <f>IFERROR(INDEX(PP_Grid[#Data],$DE972,68),0)</f>
        <v/>
      </c>
      <c r="BT972">
        <f>IFERROR(INDEX(PP_Grid[#Data],$DE972,69),0)</f>
        <v/>
      </c>
      <c r="BU972">
        <f>IFERROR(INDEX(PP_Grid[#Data],$DE972,70),0)</f>
        <v/>
      </c>
      <c r="BV972">
        <f>IFERROR(INDEX(PP_Grid[#Data],$DE972,71),0)</f>
        <v/>
      </c>
      <c r="BW972">
        <f>IFERROR(INDEX(PP_Grid[#Data],$DE972,72),0)</f>
        <v/>
      </c>
      <c r="BX972">
        <f>IFERROR(INDEX(PP_Grid[#Data],$DE972,73),0)</f>
        <v/>
      </c>
      <c r="BY972">
        <f>IFERROR(INDEX(PP_Grid[#Data],$DE972,74),0)</f>
        <v/>
      </c>
      <c r="BZ972">
        <f>IFERROR(INDEX(PP_Grid[#Data],$DE972,75),0)</f>
        <v/>
      </c>
      <c r="CA972">
        <f>IFERROR(INDEX(PP_Grid[#Data],$DE972,76),0)</f>
        <v/>
      </c>
      <c r="CB972">
        <f>IFERROR(INDEX(PP_Grid[#Data],$DE972,77),0)</f>
        <v/>
      </c>
      <c r="CC972">
        <f>IFERROR(INDEX(PP_Grid[#Data],$DE972,78),0)</f>
        <v/>
      </c>
      <c r="CD972">
        <f>IFERROR(INDEX(PP_Grid[#Data],$DE972,79),0)</f>
        <v/>
      </c>
      <c r="CE972">
        <f>IFERROR(INDEX(PP_Grid[#Data],$DE972,80),0)</f>
        <v/>
      </c>
      <c r="CF972">
        <f>IFERROR(INDEX(PP_Grid[#Data],$DE972,81),0)</f>
        <v/>
      </c>
      <c r="CG972">
        <f>IFERROR(INDEX(PP_Grid[#Data],$DE972,82),0)</f>
        <v/>
      </c>
      <c r="CH972">
        <f>IFERROR(INDEX(PP_Grid[#Data],$DE972,83),0)</f>
        <v/>
      </c>
      <c r="CI972">
        <f>IFERROR(INDEX(PP_Grid[#Data],$DE972,84),0)</f>
        <v/>
      </c>
      <c r="CJ972">
        <f>IFERROR(INDEX(PP_Grid[#Data],$DE972,85),0)</f>
        <v/>
      </c>
      <c r="CK972">
        <f>IFERROR(INDEX(PP_Grid[#Data],$DE972,86),0)</f>
        <v/>
      </c>
      <c r="CL972">
        <f>IFERROR(INDEX(PP_Grid[#Data],$DE972,87),0)</f>
        <v/>
      </c>
      <c r="CM972">
        <f>IFERROR(INDEX(PP_Grid[#Data],$DE972,88),0)</f>
        <v/>
      </c>
      <c r="CN972">
        <f>IFERROR(INDEX(PP_Grid[#Data],$DE972,89),0)</f>
        <v/>
      </c>
      <c r="CO972">
        <f>IFERROR(INDEX(PP_Grid[#Data],$DE972,90),0)</f>
        <v/>
      </c>
      <c r="CP972">
        <f>IFERROR(INDEX(PP_Grid[#Data],$DE972,91),0)</f>
        <v/>
      </c>
      <c r="CQ972">
        <f>IFERROR(INDEX(PP_Grid[#Data],$DE972,92),0)</f>
        <v/>
      </c>
      <c r="CR972">
        <f>IFERROR(INDEX(PP_Grid[#Data],$DE972,93),0)</f>
        <v/>
      </c>
      <c r="CS972">
        <f>IFERROR(INDEX(PP_Grid[#Data],$DE972,94),0)</f>
        <v/>
      </c>
      <c r="CT972">
        <f>IFERROR(INDEX(PP_Grid[#Data],$DE972,95),0)</f>
        <v/>
      </c>
      <c r="CU972">
        <f>IFERROR(INDEX(PP_Grid[#Data],$DE972,96),0)</f>
        <v/>
      </c>
      <c r="CV972">
        <f>IFERROR(INDEX(PP_Grid[#Data],$DE972,97),0)</f>
        <v/>
      </c>
      <c r="CW972">
        <f>IFERROR(INDEX(PP_Grid[#Data],$DE972,98),0)</f>
        <v/>
      </c>
      <c r="CX972">
        <f>IFERROR(INDEX(PP_Grid[#Data],$DE972,99),0)</f>
        <v/>
      </c>
      <c r="CY972">
        <f>IFERROR(INDEX(PP_Grid[#Data],$DE972,100),0)</f>
        <v/>
      </c>
      <c r="CZ972">
        <f>IFERROR(INDEX(PP_Grid[#Data],$DE972,101),0)</f>
        <v/>
      </c>
      <c r="DA972">
        <f>IFERROR(INDEX(PP_Grid[#Data],$DE972,102),0)</f>
        <v/>
      </c>
      <c r="DB972">
        <f>IFERROR(INDEX(PP_Grid[#Data],$DE972,103),0)</f>
        <v/>
      </c>
      <c r="DC972">
        <f>IFERROR(INDEX(PP_Grid[#Data],$DE972,104),0)</f>
        <v/>
      </c>
      <c r="DD972">
        <f>IFERROR(INDEX(PP_Grid[#Data],$DE972,105),0)</f>
        <v/>
      </c>
      <c r="DE972" s="7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SUMIFS(M_BOM[RM_Qty_Per_Batch],M_BOM[Intermediate],$B972,M_BOM[RM_Code],$A923)</f>
        <v/>
      </c>
      <c r="D973">
        <f>IFERROR(INDEX(E973:DD973,$F$1),"")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  <c r="DD973">
        <f>$C973*DD972</f>
        <v/>
      </c>
    </row>
    <row r="974">
      <c r="B974" t="inlineStr">
        <is>
          <t>TPP-912</t>
        </is>
      </c>
      <c r="C974" t="inlineStr">
        <is>
          <t>No. of batches</t>
        </is>
      </c>
      <c r="D974">
        <f>IFERROR(INDEX(E974:DD974,$F$1),"")</f>
        <v/>
      </c>
      <c r="E974">
        <f>IFERROR(INDEX(PP_Grid[#Data],$DE974,2),0)</f>
        <v/>
      </c>
      <c r="F974">
        <f>IFERROR(INDEX(PP_Grid[#Data],$DE974,3),0)</f>
        <v/>
      </c>
      <c r="G974">
        <f>IFERROR(INDEX(PP_Grid[#Data],$DE974,4),0)</f>
        <v/>
      </c>
      <c r="H974">
        <f>IFERROR(INDEX(PP_Grid[#Data],$DE974,5),0)</f>
        <v/>
      </c>
      <c r="I974">
        <f>IFERROR(INDEX(PP_Grid[#Data],$DE974,6),0)</f>
        <v/>
      </c>
      <c r="J974">
        <f>IFERROR(INDEX(PP_Grid[#Data],$DE974,7),0)</f>
        <v/>
      </c>
      <c r="K974">
        <f>IFERROR(INDEX(PP_Grid[#Data],$DE974,8),0)</f>
        <v/>
      </c>
      <c r="L974">
        <f>IFERROR(INDEX(PP_Grid[#Data],$DE974,9),0)</f>
        <v/>
      </c>
      <c r="M974">
        <f>IFERROR(INDEX(PP_Grid[#Data],$DE974,10),0)</f>
        <v/>
      </c>
      <c r="N974">
        <f>IFERROR(INDEX(PP_Grid[#Data],$DE974,11),0)</f>
        <v/>
      </c>
      <c r="O974">
        <f>IFERROR(INDEX(PP_Grid[#Data],$DE974,12),0)</f>
        <v/>
      </c>
      <c r="P974">
        <f>IFERROR(INDEX(PP_Grid[#Data],$DE974,13),0)</f>
        <v/>
      </c>
      <c r="Q974">
        <f>IFERROR(INDEX(PP_Grid[#Data],$DE974,14),0)</f>
        <v/>
      </c>
      <c r="R974">
        <f>IFERROR(INDEX(PP_Grid[#Data],$DE974,15),0)</f>
        <v/>
      </c>
      <c r="S974">
        <f>IFERROR(INDEX(PP_Grid[#Data],$DE974,16),0)</f>
        <v/>
      </c>
      <c r="T974">
        <f>IFERROR(INDEX(PP_Grid[#Data],$DE974,17),0)</f>
        <v/>
      </c>
      <c r="U974">
        <f>IFERROR(INDEX(PP_Grid[#Data],$DE974,18),0)</f>
        <v/>
      </c>
      <c r="V974">
        <f>IFERROR(INDEX(PP_Grid[#Data],$DE974,19),0)</f>
        <v/>
      </c>
      <c r="W974">
        <f>IFERROR(INDEX(PP_Grid[#Data],$DE974,20),0)</f>
        <v/>
      </c>
      <c r="X974">
        <f>IFERROR(INDEX(PP_Grid[#Data],$DE974,21),0)</f>
        <v/>
      </c>
      <c r="Y974">
        <f>IFERROR(INDEX(PP_Grid[#Data],$DE974,22),0)</f>
        <v/>
      </c>
      <c r="Z974">
        <f>IFERROR(INDEX(PP_Grid[#Data],$DE974,23),0)</f>
        <v/>
      </c>
      <c r="AA974">
        <f>IFERROR(INDEX(PP_Grid[#Data],$DE974,24),0)</f>
        <v/>
      </c>
      <c r="AB974">
        <f>IFERROR(INDEX(PP_Grid[#Data],$DE974,25),0)</f>
        <v/>
      </c>
      <c r="AC974">
        <f>IFERROR(INDEX(PP_Grid[#Data],$DE974,26),0)</f>
        <v/>
      </c>
      <c r="AD974">
        <f>IFERROR(INDEX(PP_Grid[#Data],$DE974,27),0)</f>
        <v/>
      </c>
      <c r="AE974">
        <f>IFERROR(INDEX(PP_Grid[#Data],$DE974,28),0)</f>
        <v/>
      </c>
      <c r="AF974">
        <f>IFERROR(INDEX(PP_Grid[#Data],$DE974,29),0)</f>
        <v/>
      </c>
      <c r="AG974">
        <f>IFERROR(INDEX(PP_Grid[#Data],$DE974,30),0)</f>
        <v/>
      </c>
      <c r="AH974">
        <f>IFERROR(INDEX(PP_Grid[#Data],$DE974,31),0)</f>
        <v/>
      </c>
      <c r="AI974">
        <f>IFERROR(INDEX(PP_Grid[#Data],$DE974,32),0)</f>
        <v/>
      </c>
      <c r="AJ974">
        <f>IFERROR(INDEX(PP_Grid[#Data],$DE974,33),0)</f>
        <v/>
      </c>
      <c r="AK974">
        <f>IFERROR(INDEX(PP_Grid[#Data],$DE974,34),0)</f>
        <v/>
      </c>
      <c r="AL974">
        <f>IFERROR(INDEX(PP_Grid[#Data],$DE974,35),0)</f>
        <v/>
      </c>
      <c r="AM974">
        <f>IFERROR(INDEX(PP_Grid[#Data],$DE974,36),0)</f>
        <v/>
      </c>
      <c r="AN974">
        <f>IFERROR(INDEX(PP_Grid[#Data],$DE974,37),0)</f>
        <v/>
      </c>
      <c r="AO974">
        <f>IFERROR(INDEX(PP_Grid[#Data],$DE974,38),0)</f>
        <v/>
      </c>
      <c r="AP974">
        <f>IFERROR(INDEX(PP_Grid[#Data],$DE974,39),0)</f>
        <v/>
      </c>
      <c r="AQ974">
        <f>IFERROR(INDEX(PP_Grid[#Data],$DE974,40),0)</f>
        <v/>
      </c>
      <c r="AR974">
        <f>IFERROR(INDEX(PP_Grid[#Data],$DE974,41),0)</f>
        <v/>
      </c>
      <c r="AS974">
        <f>IFERROR(INDEX(PP_Grid[#Data],$DE974,42),0)</f>
        <v/>
      </c>
      <c r="AT974">
        <f>IFERROR(INDEX(PP_Grid[#Data],$DE974,43),0)</f>
        <v/>
      </c>
      <c r="AU974">
        <f>IFERROR(INDEX(PP_Grid[#Data],$DE974,44),0)</f>
        <v/>
      </c>
      <c r="AV974">
        <f>IFERROR(INDEX(PP_Grid[#Data],$DE974,45),0)</f>
        <v/>
      </c>
      <c r="AW974">
        <f>IFERROR(INDEX(PP_Grid[#Data],$DE974,46),0)</f>
        <v/>
      </c>
      <c r="AX974">
        <f>IFERROR(INDEX(PP_Grid[#Data],$DE974,47),0)</f>
        <v/>
      </c>
      <c r="AY974">
        <f>IFERROR(INDEX(PP_Grid[#Data],$DE974,48),0)</f>
        <v/>
      </c>
      <c r="AZ974">
        <f>IFERROR(INDEX(PP_Grid[#Data],$DE974,49),0)</f>
        <v/>
      </c>
      <c r="BA974">
        <f>IFERROR(INDEX(PP_Grid[#Data],$DE974,50),0)</f>
        <v/>
      </c>
      <c r="BB974">
        <f>IFERROR(INDEX(PP_Grid[#Data],$DE974,51),0)</f>
        <v/>
      </c>
      <c r="BC974">
        <f>IFERROR(INDEX(PP_Grid[#Data],$DE974,52),0)</f>
        <v/>
      </c>
      <c r="BD974">
        <f>IFERROR(INDEX(PP_Grid[#Data],$DE974,53),0)</f>
        <v/>
      </c>
      <c r="BE974">
        <f>IFERROR(INDEX(PP_Grid[#Data],$DE974,54),0)</f>
        <v/>
      </c>
      <c r="BF974">
        <f>IFERROR(INDEX(PP_Grid[#Data],$DE974,55),0)</f>
        <v/>
      </c>
      <c r="BG974">
        <f>IFERROR(INDEX(PP_Grid[#Data],$DE974,56),0)</f>
        <v/>
      </c>
      <c r="BH974">
        <f>IFERROR(INDEX(PP_Grid[#Data],$DE974,57),0)</f>
        <v/>
      </c>
      <c r="BI974">
        <f>IFERROR(INDEX(PP_Grid[#Data],$DE974,58),0)</f>
        <v/>
      </c>
      <c r="BJ974">
        <f>IFERROR(INDEX(PP_Grid[#Data],$DE974,59),0)</f>
        <v/>
      </c>
      <c r="BK974">
        <f>IFERROR(INDEX(PP_Grid[#Data],$DE974,60),0)</f>
        <v/>
      </c>
      <c r="BL974">
        <f>IFERROR(INDEX(PP_Grid[#Data],$DE974,61),0)</f>
        <v/>
      </c>
      <c r="BM974">
        <f>IFERROR(INDEX(PP_Grid[#Data],$DE974,62),0)</f>
        <v/>
      </c>
      <c r="BN974">
        <f>IFERROR(INDEX(PP_Grid[#Data],$DE974,63),0)</f>
        <v/>
      </c>
      <c r="BO974">
        <f>IFERROR(INDEX(PP_Grid[#Data],$DE974,64),0)</f>
        <v/>
      </c>
      <c r="BP974">
        <f>IFERROR(INDEX(PP_Grid[#Data],$DE974,65),0)</f>
        <v/>
      </c>
      <c r="BQ974">
        <f>IFERROR(INDEX(PP_Grid[#Data],$DE974,66),0)</f>
        <v/>
      </c>
      <c r="BR974">
        <f>IFERROR(INDEX(PP_Grid[#Data],$DE974,67),0)</f>
        <v/>
      </c>
      <c r="BS974">
        <f>IFERROR(INDEX(PP_Grid[#Data],$DE974,68),0)</f>
        <v/>
      </c>
      <c r="BT974">
        <f>IFERROR(INDEX(PP_Grid[#Data],$DE974,69),0)</f>
        <v/>
      </c>
      <c r="BU974">
        <f>IFERROR(INDEX(PP_Grid[#Data],$DE974,70),0)</f>
        <v/>
      </c>
      <c r="BV974">
        <f>IFERROR(INDEX(PP_Grid[#Data],$DE974,71),0)</f>
        <v/>
      </c>
      <c r="BW974">
        <f>IFERROR(INDEX(PP_Grid[#Data],$DE974,72),0)</f>
        <v/>
      </c>
      <c r="BX974">
        <f>IFERROR(INDEX(PP_Grid[#Data],$DE974,73),0)</f>
        <v/>
      </c>
      <c r="BY974">
        <f>IFERROR(INDEX(PP_Grid[#Data],$DE974,74),0)</f>
        <v/>
      </c>
      <c r="BZ974">
        <f>IFERROR(INDEX(PP_Grid[#Data],$DE974,75),0)</f>
        <v/>
      </c>
      <c r="CA974">
        <f>IFERROR(INDEX(PP_Grid[#Data],$DE974,76),0)</f>
        <v/>
      </c>
      <c r="CB974">
        <f>IFERROR(INDEX(PP_Grid[#Data],$DE974,77),0)</f>
        <v/>
      </c>
      <c r="CC974">
        <f>IFERROR(INDEX(PP_Grid[#Data],$DE974,78),0)</f>
        <v/>
      </c>
      <c r="CD974">
        <f>IFERROR(INDEX(PP_Grid[#Data],$DE974,79),0)</f>
        <v/>
      </c>
      <c r="CE974">
        <f>IFERROR(INDEX(PP_Grid[#Data],$DE974,80),0)</f>
        <v/>
      </c>
      <c r="CF974">
        <f>IFERROR(INDEX(PP_Grid[#Data],$DE974,81),0)</f>
        <v/>
      </c>
      <c r="CG974">
        <f>IFERROR(INDEX(PP_Grid[#Data],$DE974,82),0)</f>
        <v/>
      </c>
      <c r="CH974">
        <f>IFERROR(INDEX(PP_Grid[#Data],$DE974,83),0)</f>
        <v/>
      </c>
      <c r="CI974">
        <f>IFERROR(INDEX(PP_Grid[#Data],$DE974,84),0)</f>
        <v/>
      </c>
      <c r="CJ974">
        <f>IFERROR(INDEX(PP_Grid[#Data],$DE974,85),0)</f>
        <v/>
      </c>
      <c r="CK974">
        <f>IFERROR(INDEX(PP_Grid[#Data],$DE974,86),0)</f>
        <v/>
      </c>
      <c r="CL974">
        <f>IFERROR(INDEX(PP_Grid[#Data],$DE974,87),0)</f>
        <v/>
      </c>
      <c r="CM974">
        <f>IFERROR(INDEX(PP_Grid[#Data],$DE974,88),0)</f>
        <v/>
      </c>
      <c r="CN974">
        <f>IFERROR(INDEX(PP_Grid[#Data],$DE974,89),0)</f>
        <v/>
      </c>
      <c r="CO974">
        <f>IFERROR(INDEX(PP_Grid[#Data],$DE974,90),0)</f>
        <v/>
      </c>
      <c r="CP974">
        <f>IFERROR(INDEX(PP_Grid[#Data],$DE974,91),0)</f>
        <v/>
      </c>
      <c r="CQ974">
        <f>IFERROR(INDEX(PP_Grid[#Data],$DE974,92),0)</f>
        <v/>
      </c>
      <c r="CR974">
        <f>IFERROR(INDEX(PP_Grid[#Data],$DE974,93),0)</f>
        <v/>
      </c>
      <c r="CS974">
        <f>IFERROR(INDEX(PP_Grid[#Data],$DE974,94),0)</f>
        <v/>
      </c>
      <c r="CT974">
        <f>IFERROR(INDEX(PP_Grid[#Data],$DE974,95),0)</f>
        <v/>
      </c>
      <c r="CU974">
        <f>IFERROR(INDEX(PP_Grid[#Data],$DE974,96),0)</f>
        <v/>
      </c>
      <c r="CV974">
        <f>IFERROR(INDEX(PP_Grid[#Data],$DE974,97),0)</f>
        <v/>
      </c>
      <c r="CW974">
        <f>IFERROR(INDEX(PP_Grid[#Data],$DE974,98),0)</f>
        <v/>
      </c>
      <c r="CX974">
        <f>IFERROR(INDEX(PP_Grid[#Data],$DE974,99),0)</f>
        <v/>
      </c>
      <c r="CY974">
        <f>IFERROR(INDEX(PP_Grid[#Data],$DE974,100),0)</f>
        <v/>
      </c>
      <c r="CZ974">
        <f>IFERROR(INDEX(PP_Grid[#Data],$DE974,101),0)</f>
        <v/>
      </c>
      <c r="DA974">
        <f>IFERROR(INDEX(PP_Grid[#Data],$DE974,102),0)</f>
        <v/>
      </c>
      <c r="DB974">
        <f>IFERROR(INDEX(PP_Grid[#Data],$DE974,103),0)</f>
        <v/>
      </c>
      <c r="DC974">
        <f>IFERROR(INDEX(PP_Grid[#Data],$DE974,104),0)</f>
        <v/>
      </c>
      <c r="DD974">
        <f>IFERROR(INDEX(PP_Grid[#Data],$DE974,105),0)</f>
        <v/>
      </c>
      <c r="DE974" s="7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SUMIFS(M_BOM[RM_Qty_Per_Batch],M_BOM[Intermediate],$B974,M_BOM[RM_Code],$A923)</f>
        <v/>
      </c>
      <c r="D975">
        <f>IFERROR(INDEX(E975:DD975,$F$1),"")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  <c r="DD975">
        <f>$C975*DD974</f>
        <v/>
      </c>
    </row>
    <row r="976">
      <c r="B976" t="inlineStr">
        <is>
          <t>No of times used</t>
        </is>
      </c>
      <c r="C976" t="inlineStr">
        <is>
          <t>No. of batches</t>
        </is>
      </c>
      <c r="D976">
        <f>IFERROR(INDEX(E976:DD976,$F$1),"")</f>
        <v/>
      </c>
      <c r="E976">
        <f>IFERROR(INDEX(PP_Grid[#Data],$DE976,2),0)</f>
        <v/>
      </c>
      <c r="F976">
        <f>IFERROR(INDEX(PP_Grid[#Data],$DE976,3),0)</f>
        <v/>
      </c>
      <c r="G976">
        <f>IFERROR(INDEX(PP_Grid[#Data],$DE976,4),0)</f>
        <v/>
      </c>
      <c r="H976">
        <f>IFERROR(INDEX(PP_Grid[#Data],$DE976,5),0)</f>
        <v/>
      </c>
      <c r="I976">
        <f>IFERROR(INDEX(PP_Grid[#Data],$DE976,6),0)</f>
        <v/>
      </c>
      <c r="J976">
        <f>IFERROR(INDEX(PP_Grid[#Data],$DE976,7),0)</f>
        <v/>
      </c>
      <c r="K976">
        <f>IFERROR(INDEX(PP_Grid[#Data],$DE976,8),0)</f>
        <v/>
      </c>
      <c r="L976">
        <f>IFERROR(INDEX(PP_Grid[#Data],$DE976,9),0)</f>
        <v/>
      </c>
      <c r="M976">
        <f>IFERROR(INDEX(PP_Grid[#Data],$DE976,10),0)</f>
        <v/>
      </c>
      <c r="N976">
        <f>IFERROR(INDEX(PP_Grid[#Data],$DE976,11),0)</f>
        <v/>
      </c>
      <c r="O976">
        <f>IFERROR(INDEX(PP_Grid[#Data],$DE976,12),0)</f>
        <v/>
      </c>
      <c r="P976">
        <f>IFERROR(INDEX(PP_Grid[#Data],$DE976,13),0)</f>
        <v/>
      </c>
      <c r="Q976">
        <f>IFERROR(INDEX(PP_Grid[#Data],$DE976,14),0)</f>
        <v/>
      </c>
      <c r="R976">
        <f>IFERROR(INDEX(PP_Grid[#Data],$DE976,15),0)</f>
        <v/>
      </c>
      <c r="S976">
        <f>IFERROR(INDEX(PP_Grid[#Data],$DE976,16),0)</f>
        <v/>
      </c>
      <c r="T976">
        <f>IFERROR(INDEX(PP_Grid[#Data],$DE976,17),0)</f>
        <v/>
      </c>
      <c r="U976">
        <f>IFERROR(INDEX(PP_Grid[#Data],$DE976,18),0)</f>
        <v/>
      </c>
      <c r="V976">
        <f>IFERROR(INDEX(PP_Grid[#Data],$DE976,19),0)</f>
        <v/>
      </c>
      <c r="W976">
        <f>IFERROR(INDEX(PP_Grid[#Data],$DE976,20),0)</f>
        <v/>
      </c>
      <c r="X976">
        <f>IFERROR(INDEX(PP_Grid[#Data],$DE976,21),0)</f>
        <v/>
      </c>
      <c r="Y976">
        <f>IFERROR(INDEX(PP_Grid[#Data],$DE976,22),0)</f>
        <v/>
      </c>
      <c r="Z976">
        <f>IFERROR(INDEX(PP_Grid[#Data],$DE976,23),0)</f>
        <v/>
      </c>
      <c r="AA976">
        <f>IFERROR(INDEX(PP_Grid[#Data],$DE976,24),0)</f>
        <v/>
      </c>
      <c r="AB976">
        <f>IFERROR(INDEX(PP_Grid[#Data],$DE976,25),0)</f>
        <v/>
      </c>
      <c r="AC976">
        <f>IFERROR(INDEX(PP_Grid[#Data],$DE976,26),0)</f>
        <v/>
      </c>
      <c r="AD976">
        <f>IFERROR(INDEX(PP_Grid[#Data],$DE976,27),0)</f>
        <v/>
      </c>
      <c r="AE976">
        <f>IFERROR(INDEX(PP_Grid[#Data],$DE976,28),0)</f>
        <v/>
      </c>
      <c r="AF976">
        <f>IFERROR(INDEX(PP_Grid[#Data],$DE976,29),0)</f>
        <v/>
      </c>
      <c r="AG976">
        <f>IFERROR(INDEX(PP_Grid[#Data],$DE976,30),0)</f>
        <v/>
      </c>
      <c r="AH976">
        <f>IFERROR(INDEX(PP_Grid[#Data],$DE976,31),0)</f>
        <v/>
      </c>
      <c r="AI976">
        <f>IFERROR(INDEX(PP_Grid[#Data],$DE976,32),0)</f>
        <v/>
      </c>
      <c r="AJ976">
        <f>IFERROR(INDEX(PP_Grid[#Data],$DE976,33),0)</f>
        <v/>
      </c>
      <c r="AK976">
        <f>IFERROR(INDEX(PP_Grid[#Data],$DE976,34),0)</f>
        <v/>
      </c>
      <c r="AL976">
        <f>IFERROR(INDEX(PP_Grid[#Data],$DE976,35),0)</f>
        <v/>
      </c>
      <c r="AM976">
        <f>IFERROR(INDEX(PP_Grid[#Data],$DE976,36),0)</f>
        <v/>
      </c>
      <c r="AN976">
        <f>IFERROR(INDEX(PP_Grid[#Data],$DE976,37),0)</f>
        <v/>
      </c>
      <c r="AO976">
        <f>IFERROR(INDEX(PP_Grid[#Data],$DE976,38),0)</f>
        <v/>
      </c>
      <c r="AP976">
        <f>IFERROR(INDEX(PP_Grid[#Data],$DE976,39),0)</f>
        <v/>
      </c>
      <c r="AQ976">
        <f>IFERROR(INDEX(PP_Grid[#Data],$DE976,40),0)</f>
        <v/>
      </c>
      <c r="AR976">
        <f>IFERROR(INDEX(PP_Grid[#Data],$DE976,41),0)</f>
        <v/>
      </c>
      <c r="AS976">
        <f>IFERROR(INDEX(PP_Grid[#Data],$DE976,42),0)</f>
        <v/>
      </c>
      <c r="AT976">
        <f>IFERROR(INDEX(PP_Grid[#Data],$DE976,43),0)</f>
        <v/>
      </c>
      <c r="AU976">
        <f>IFERROR(INDEX(PP_Grid[#Data],$DE976,44),0)</f>
        <v/>
      </c>
      <c r="AV976">
        <f>IFERROR(INDEX(PP_Grid[#Data],$DE976,45),0)</f>
        <v/>
      </c>
      <c r="AW976">
        <f>IFERROR(INDEX(PP_Grid[#Data],$DE976,46),0)</f>
        <v/>
      </c>
      <c r="AX976">
        <f>IFERROR(INDEX(PP_Grid[#Data],$DE976,47),0)</f>
        <v/>
      </c>
      <c r="AY976">
        <f>IFERROR(INDEX(PP_Grid[#Data],$DE976,48),0)</f>
        <v/>
      </c>
      <c r="AZ976">
        <f>IFERROR(INDEX(PP_Grid[#Data],$DE976,49),0)</f>
        <v/>
      </c>
      <c r="BA976">
        <f>IFERROR(INDEX(PP_Grid[#Data],$DE976,50),0)</f>
        <v/>
      </c>
      <c r="BB976">
        <f>IFERROR(INDEX(PP_Grid[#Data],$DE976,51),0)</f>
        <v/>
      </c>
      <c r="BC976">
        <f>IFERROR(INDEX(PP_Grid[#Data],$DE976,52),0)</f>
        <v/>
      </c>
      <c r="BD976">
        <f>IFERROR(INDEX(PP_Grid[#Data],$DE976,53),0)</f>
        <v/>
      </c>
      <c r="BE976">
        <f>IFERROR(INDEX(PP_Grid[#Data],$DE976,54),0)</f>
        <v/>
      </c>
      <c r="BF976">
        <f>IFERROR(INDEX(PP_Grid[#Data],$DE976,55),0)</f>
        <v/>
      </c>
      <c r="BG976">
        <f>IFERROR(INDEX(PP_Grid[#Data],$DE976,56),0)</f>
        <v/>
      </c>
      <c r="BH976">
        <f>IFERROR(INDEX(PP_Grid[#Data],$DE976,57),0)</f>
        <v/>
      </c>
      <c r="BI976">
        <f>IFERROR(INDEX(PP_Grid[#Data],$DE976,58),0)</f>
        <v/>
      </c>
      <c r="BJ976">
        <f>IFERROR(INDEX(PP_Grid[#Data],$DE976,59),0)</f>
        <v/>
      </c>
      <c r="BK976">
        <f>IFERROR(INDEX(PP_Grid[#Data],$DE976,60),0)</f>
        <v/>
      </c>
      <c r="BL976">
        <f>IFERROR(INDEX(PP_Grid[#Data],$DE976,61),0)</f>
        <v/>
      </c>
      <c r="BM976">
        <f>IFERROR(INDEX(PP_Grid[#Data],$DE976,62),0)</f>
        <v/>
      </c>
      <c r="BN976">
        <f>IFERROR(INDEX(PP_Grid[#Data],$DE976,63),0)</f>
        <v/>
      </c>
      <c r="BO976">
        <f>IFERROR(INDEX(PP_Grid[#Data],$DE976,64),0)</f>
        <v/>
      </c>
      <c r="BP976">
        <f>IFERROR(INDEX(PP_Grid[#Data],$DE976,65),0)</f>
        <v/>
      </c>
      <c r="BQ976">
        <f>IFERROR(INDEX(PP_Grid[#Data],$DE976,66),0)</f>
        <v/>
      </c>
      <c r="BR976">
        <f>IFERROR(INDEX(PP_Grid[#Data],$DE976,67),0)</f>
        <v/>
      </c>
      <c r="BS976">
        <f>IFERROR(INDEX(PP_Grid[#Data],$DE976,68),0)</f>
        <v/>
      </c>
      <c r="BT976">
        <f>IFERROR(INDEX(PP_Grid[#Data],$DE976,69),0)</f>
        <v/>
      </c>
      <c r="BU976">
        <f>IFERROR(INDEX(PP_Grid[#Data],$DE976,70),0)</f>
        <v/>
      </c>
      <c r="BV976">
        <f>IFERROR(INDEX(PP_Grid[#Data],$DE976,71),0)</f>
        <v/>
      </c>
      <c r="BW976">
        <f>IFERROR(INDEX(PP_Grid[#Data],$DE976,72),0)</f>
        <v/>
      </c>
      <c r="BX976">
        <f>IFERROR(INDEX(PP_Grid[#Data],$DE976,73),0)</f>
        <v/>
      </c>
      <c r="BY976">
        <f>IFERROR(INDEX(PP_Grid[#Data],$DE976,74),0)</f>
        <v/>
      </c>
      <c r="BZ976">
        <f>IFERROR(INDEX(PP_Grid[#Data],$DE976,75),0)</f>
        <v/>
      </c>
      <c r="CA976">
        <f>IFERROR(INDEX(PP_Grid[#Data],$DE976,76),0)</f>
        <v/>
      </c>
      <c r="CB976">
        <f>IFERROR(INDEX(PP_Grid[#Data],$DE976,77),0)</f>
        <v/>
      </c>
      <c r="CC976">
        <f>IFERROR(INDEX(PP_Grid[#Data],$DE976,78),0)</f>
        <v/>
      </c>
      <c r="CD976">
        <f>IFERROR(INDEX(PP_Grid[#Data],$DE976,79),0)</f>
        <v/>
      </c>
      <c r="CE976">
        <f>IFERROR(INDEX(PP_Grid[#Data],$DE976,80),0)</f>
        <v/>
      </c>
      <c r="CF976">
        <f>IFERROR(INDEX(PP_Grid[#Data],$DE976,81),0)</f>
        <v/>
      </c>
      <c r="CG976">
        <f>IFERROR(INDEX(PP_Grid[#Data],$DE976,82),0)</f>
        <v/>
      </c>
      <c r="CH976">
        <f>IFERROR(INDEX(PP_Grid[#Data],$DE976,83),0)</f>
        <v/>
      </c>
      <c r="CI976">
        <f>IFERROR(INDEX(PP_Grid[#Data],$DE976,84),0)</f>
        <v/>
      </c>
      <c r="CJ976">
        <f>IFERROR(INDEX(PP_Grid[#Data],$DE976,85),0)</f>
        <v/>
      </c>
      <c r="CK976">
        <f>IFERROR(INDEX(PP_Grid[#Data],$DE976,86),0)</f>
        <v/>
      </c>
      <c r="CL976">
        <f>IFERROR(INDEX(PP_Grid[#Data],$DE976,87),0)</f>
        <v/>
      </c>
      <c r="CM976">
        <f>IFERROR(INDEX(PP_Grid[#Data],$DE976,88),0)</f>
        <v/>
      </c>
      <c r="CN976">
        <f>IFERROR(INDEX(PP_Grid[#Data],$DE976,89),0)</f>
        <v/>
      </c>
      <c r="CO976">
        <f>IFERROR(INDEX(PP_Grid[#Data],$DE976,90),0)</f>
        <v/>
      </c>
      <c r="CP976">
        <f>IFERROR(INDEX(PP_Grid[#Data],$DE976,91),0)</f>
        <v/>
      </c>
      <c r="CQ976">
        <f>IFERROR(INDEX(PP_Grid[#Data],$DE976,92),0)</f>
        <v/>
      </c>
      <c r="CR976">
        <f>IFERROR(INDEX(PP_Grid[#Data],$DE976,93),0)</f>
        <v/>
      </c>
      <c r="CS976">
        <f>IFERROR(INDEX(PP_Grid[#Data],$DE976,94),0)</f>
        <v/>
      </c>
      <c r="CT976">
        <f>IFERROR(INDEX(PP_Grid[#Data],$DE976,95),0)</f>
        <v/>
      </c>
      <c r="CU976">
        <f>IFERROR(INDEX(PP_Grid[#Data],$DE976,96),0)</f>
        <v/>
      </c>
      <c r="CV976">
        <f>IFERROR(INDEX(PP_Grid[#Data],$DE976,97),0)</f>
        <v/>
      </c>
      <c r="CW976">
        <f>IFERROR(INDEX(PP_Grid[#Data],$DE976,98),0)</f>
        <v/>
      </c>
      <c r="CX976">
        <f>IFERROR(INDEX(PP_Grid[#Data],$DE976,99),0)</f>
        <v/>
      </c>
      <c r="CY976">
        <f>IFERROR(INDEX(PP_Grid[#Data],$DE976,100),0)</f>
        <v/>
      </c>
      <c r="CZ976">
        <f>IFERROR(INDEX(PP_Grid[#Data],$DE976,101),0)</f>
        <v/>
      </c>
      <c r="DA976">
        <f>IFERROR(INDEX(PP_Grid[#Data],$DE976,102),0)</f>
        <v/>
      </c>
      <c r="DB976">
        <f>IFERROR(INDEX(PP_Grid[#Data],$DE976,103),0)</f>
        <v/>
      </c>
      <c r="DC976">
        <f>IFERROR(INDEX(PP_Grid[#Data],$DE976,104),0)</f>
        <v/>
      </c>
      <c r="DD976">
        <f>IFERROR(INDEX(PP_Grid[#Data],$DE976,105),0)</f>
        <v/>
      </c>
      <c r="DE976" s="7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SUMIFS(M_BOM[RM_Qty_Per_Batch],M_BOM[Intermediate],$B976,M_BOM[RM_Code],$A923)</f>
        <v/>
      </c>
      <c r="D977">
        <f>IFERROR(INDEX(E977:DD977,$F$1),"")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  <c r="DD977">
        <f>$C977*DD976</f>
        <v/>
      </c>
    </row>
    <row r="978">
      <c r="B978" t="inlineStr">
        <is>
          <t>F2090</t>
        </is>
      </c>
      <c r="C978" t="inlineStr">
        <is>
          <t>No. of batches</t>
        </is>
      </c>
      <c r="D978">
        <f>IFERROR(INDEX(E978:DD978,$F$1),"")</f>
        <v/>
      </c>
      <c r="E978">
        <f>IFERROR(INDEX(PP_Grid[#Data],$DE978,2),0)</f>
        <v/>
      </c>
      <c r="F978">
        <f>IFERROR(INDEX(PP_Grid[#Data],$DE978,3),0)</f>
        <v/>
      </c>
      <c r="G978">
        <f>IFERROR(INDEX(PP_Grid[#Data],$DE978,4),0)</f>
        <v/>
      </c>
      <c r="H978">
        <f>IFERROR(INDEX(PP_Grid[#Data],$DE978,5),0)</f>
        <v/>
      </c>
      <c r="I978">
        <f>IFERROR(INDEX(PP_Grid[#Data],$DE978,6),0)</f>
        <v/>
      </c>
      <c r="J978">
        <f>IFERROR(INDEX(PP_Grid[#Data],$DE978,7),0)</f>
        <v/>
      </c>
      <c r="K978">
        <f>IFERROR(INDEX(PP_Grid[#Data],$DE978,8),0)</f>
        <v/>
      </c>
      <c r="L978">
        <f>IFERROR(INDEX(PP_Grid[#Data],$DE978,9),0)</f>
        <v/>
      </c>
      <c r="M978">
        <f>IFERROR(INDEX(PP_Grid[#Data],$DE978,10),0)</f>
        <v/>
      </c>
      <c r="N978">
        <f>IFERROR(INDEX(PP_Grid[#Data],$DE978,11),0)</f>
        <v/>
      </c>
      <c r="O978">
        <f>IFERROR(INDEX(PP_Grid[#Data],$DE978,12),0)</f>
        <v/>
      </c>
      <c r="P978">
        <f>IFERROR(INDEX(PP_Grid[#Data],$DE978,13),0)</f>
        <v/>
      </c>
      <c r="Q978">
        <f>IFERROR(INDEX(PP_Grid[#Data],$DE978,14),0)</f>
        <v/>
      </c>
      <c r="R978">
        <f>IFERROR(INDEX(PP_Grid[#Data],$DE978,15),0)</f>
        <v/>
      </c>
      <c r="S978">
        <f>IFERROR(INDEX(PP_Grid[#Data],$DE978,16),0)</f>
        <v/>
      </c>
      <c r="T978">
        <f>IFERROR(INDEX(PP_Grid[#Data],$DE978,17),0)</f>
        <v/>
      </c>
      <c r="U978">
        <f>IFERROR(INDEX(PP_Grid[#Data],$DE978,18),0)</f>
        <v/>
      </c>
      <c r="V978">
        <f>IFERROR(INDEX(PP_Grid[#Data],$DE978,19),0)</f>
        <v/>
      </c>
      <c r="W978">
        <f>IFERROR(INDEX(PP_Grid[#Data],$DE978,20),0)</f>
        <v/>
      </c>
      <c r="X978">
        <f>IFERROR(INDEX(PP_Grid[#Data],$DE978,21),0)</f>
        <v/>
      </c>
      <c r="Y978">
        <f>IFERROR(INDEX(PP_Grid[#Data],$DE978,22),0)</f>
        <v/>
      </c>
      <c r="Z978">
        <f>IFERROR(INDEX(PP_Grid[#Data],$DE978,23),0)</f>
        <v/>
      </c>
      <c r="AA978">
        <f>IFERROR(INDEX(PP_Grid[#Data],$DE978,24),0)</f>
        <v/>
      </c>
      <c r="AB978">
        <f>IFERROR(INDEX(PP_Grid[#Data],$DE978,25),0)</f>
        <v/>
      </c>
      <c r="AC978">
        <f>IFERROR(INDEX(PP_Grid[#Data],$DE978,26),0)</f>
        <v/>
      </c>
      <c r="AD978">
        <f>IFERROR(INDEX(PP_Grid[#Data],$DE978,27),0)</f>
        <v/>
      </c>
      <c r="AE978">
        <f>IFERROR(INDEX(PP_Grid[#Data],$DE978,28),0)</f>
        <v/>
      </c>
      <c r="AF978">
        <f>IFERROR(INDEX(PP_Grid[#Data],$DE978,29),0)</f>
        <v/>
      </c>
      <c r="AG978">
        <f>IFERROR(INDEX(PP_Grid[#Data],$DE978,30),0)</f>
        <v/>
      </c>
      <c r="AH978">
        <f>IFERROR(INDEX(PP_Grid[#Data],$DE978,31),0)</f>
        <v/>
      </c>
      <c r="AI978">
        <f>IFERROR(INDEX(PP_Grid[#Data],$DE978,32),0)</f>
        <v/>
      </c>
      <c r="AJ978">
        <f>IFERROR(INDEX(PP_Grid[#Data],$DE978,33),0)</f>
        <v/>
      </c>
      <c r="AK978">
        <f>IFERROR(INDEX(PP_Grid[#Data],$DE978,34),0)</f>
        <v/>
      </c>
      <c r="AL978">
        <f>IFERROR(INDEX(PP_Grid[#Data],$DE978,35),0)</f>
        <v/>
      </c>
      <c r="AM978">
        <f>IFERROR(INDEX(PP_Grid[#Data],$DE978,36),0)</f>
        <v/>
      </c>
      <c r="AN978">
        <f>IFERROR(INDEX(PP_Grid[#Data],$DE978,37),0)</f>
        <v/>
      </c>
      <c r="AO978">
        <f>IFERROR(INDEX(PP_Grid[#Data],$DE978,38),0)</f>
        <v/>
      </c>
      <c r="AP978">
        <f>IFERROR(INDEX(PP_Grid[#Data],$DE978,39),0)</f>
        <v/>
      </c>
      <c r="AQ978">
        <f>IFERROR(INDEX(PP_Grid[#Data],$DE978,40),0)</f>
        <v/>
      </c>
      <c r="AR978">
        <f>IFERROR(INDEX(PP_Grid[#Data],$DE978,41),0)</f>
        <v/>
      </c>
      <c r="AS978">
        <f>IFERROR(INDEX(PP_Grid[#Data],$DE978,42),0)</f>
        <v/>
      </c>
      <c r="AT978">
        <f>IFERROR(INDEX(PP_Grid[#Data],$DE978,43),0)</f>
        <v/>
      </c>
      <c r="AU978">
        <f>IFERROR(INDEX(PP_Grid[#Data],$DE978,44),0)</f>
        <v/>
      </c>
      <c r="AV978">
        <f>IFERROR(INDEX(PP_Grid[#Data],$DE978,45),0)</f>
        <v/>
      </c>
      <c r="AW978">
        <f>IFERROR(INDEX(PP_Grid[#Data],$DE978,46),0)</f>
        <v/>
      </c>
      <c r="AX978">
        <f>IFERROR(INDEX(PP_Grid[#Data],$DE978,47),0)</f>
        <v/>
      </c>
      <c r="AY978">
        <f>IFERROR(INDEX(PP_Grid[#Data],$DE978,48),0)</f>
        <v/>
      </c>
      <c r="AZ978">
        <f>IFERROR(INDEX(PP_Grid[#Data],$DE978,49),0)</f>
        <v/>
      </c>
      <c r="BA978">
        <f>IFERROR(INDEX(PP_Grid[#Data],$DE978,50),0)</f>
        <v/>
      </c>
      <c r="BB978">
        <f>IFERROR(INDEX(PP_Grid[#Data],$DE978,51),0)</f>
        <v/>
      </c>
      <c r="BC978">
        <f>IFERROR(INDEX(PP_Grid[#Data],$DE978,52),0)</f>
        <v/>
      </c>
      <c r="BD978">
        <f>IFERROR(INDEX(PP_Grid[#Data],$DE978,53),0)</f>
        <v/>
      </c>
      <c r="BE978">
        <f>IFERROR(INDEX(PP_Grid[#Data],$DE978,54),0)</f>
        <v/>
      </c>
      <c r="BF978">
        <f>IFERROR(INDEX(PP_Grid[#Data],$DE978,55),0)</f>
        <v/>
      </c>
      <c r="BG978">
        <f>IFERROR(INDEX(PP_Grid[#Data],$DE978,56),0)</f>
        <v/>
      </c>
      <c r="BH978">
        <f>IFERROR(INDEX(PP_Grid[#Data],$DE978,57),0)</f>
        <v/>
      </c>
      <c r="BI978">
        <f>IFERROR(INDEX(PP_Grid[#Data],$DE978,58),0)</f>
        <v/>
      </c>
      <c r="BJ978">
        <f>IFERROR(INDEX(PP_Grid[#Data],$DE978,59),0)</f>
        <v/>
      </c>
      <c r="BK978">
        <f>IFERROR(INDEX(PP_Grid[#Data],$DE978,60),0)</f>
        <v/>
      </c>
      <c r="BL978">
        <f>IFERROR(INDEX(PP_Grid[#Data],$DE978,61),0)</f>
        <v/>
      </c>
      <c r="BM978">
        <f>IFERROR(INDEX(PP_Grid[#Data],$DE978,62),0)</f>
        <v/>
      </c>
      <c r="BN978">
        <f>IFERROR(INDEX(PP_Grid[#Data],$DE978,63),0)</f>
        <v/>
      </c>
      <c r="BO978">
        <f>IFERROR(INDEX(PP_Grid[#Data],$DE978,64),0)</f>
        <v/>
      </c>
      <c r="BP978">
        <f>IFERROR(INDEX(PP_Grid[#Data],$DE978,65),0)</f>
        <v/>
      </c>
      <c r="BQ978">
        <f>IFERROR(INDEX(PP_Grid[#Data],$DE978,66),0)</f>
        <v/>
      </c>
      <c r="BR978">
        <f>IFERROR(INDEX(PP_Grid[#Data],$DE978,67),0)</f>
        <v/>
      </c>
      <c r="BS978">
        <f>IFERROR(INDEX(PP_Grid[#Data],$DE978,68),0)</f>
        <v/>
      </c>
      <c r="BT978">
        <f>IFERROR(INDEX(PP_Grid[#Data],$DE978,69),0)</f>
        <v/>
      </c>
      <c r="BU978">
        <f>IFERROR(INDEX(PP_Grid[#Data],$DE978,70),0)</f>
        <v/>
      </c>
      <c r="BV978">
        <f>IFERROR(INDEX(PP_Grid[#Data],$DE978,71),0)</f>
        <v/>
      </c>
      <c r="BW978">
        <f>IFERROR(INDEX(PP_Grid[#Data],$DE978,72),0)</f>
        <v/>
      </c>
      <c r="BX978">
        <f>IFERROR(INDEX(PP_Grid[#Data],$DE978,73),0)</f>
        <v/>
      </c>
      <c r="BY978">
        <f>IFERROR(INDEX(PP_Grid[#Data],$DE978,74),0)</f>
        <v/>
      </c>
      <c r="BZ978">
        <f>IFERROR(INDEX(PP_Grid[#Data],$DE978,75),0)</f>
        <v/>
      </c>
      <c r="CA978">
        <f>IFERROR(INDEX(PP_Grid[#Data],$DE978,76),0)</f>
        <v/>
      </c>
      <c r="CB978">
        <f>IFERROR(INDEX(PP_Grid[#Data],$DE978,77),0)</f>
        <v/>
      </c>
      <c r="CC978">
        <f>IFERROR(INDEX(PP_Grid[#Data],$DE978,78),0)</f>
        <v/>
      </c>
      <c r="CD978">
        <f>IFERROR(INDEX(PP_Grid[#Data],$DE978,79),0)</f>
        <v/>
      </c>
      <c r="CE978">
        <f>IFERROR(INDEX(PP_Grid[#Data],$DE978,80),0)</f>
        <v/>
      </c>
      <c r="CF978">
        <f>IFERROR(INDEX(PP_Grid[#Data],$DE978,81),0)</f>
        <v/>
      </c>
      <c r="CG978">
        <f>IFERROR(INDEX(PP_Grid[#Data],$DE978,82),0)</f>
        <v/>
      </c>
      <c r="CH978">
        <f>IFERROR(INDEX(PP_Grid[#Data],$DE978,83),0)</f>
        <v/>
      </c>
      <c r="CI978">
        <f>IFERROR(INDEX(PP_Grid[#Data],$DE978,84),0)</f>
        <v/>
      </c>
      <c r="CJ978">
        <f>IFERROR(INDEX(PP_Grid[#Data],$DE978,85),0)</f>
        <v/>
      </c>
      <c r="CK978">
        <f>IFERROR(INDEX(PP_Grid[#Data],$DE978,86),0)</f>
        <v/>
      </c>
      <c r="CL978">
        <f>IFERROR(INDEX(PP_Grid[#Data],$DE978,87),0)</f>
        <v/>
      </c>
      <c r="CM978">
        <f>IFERROR(INDEX(PP_Grid[#Data],$DE978,88),0)</f>
        <v/>
      </c>
      <c r="CN978">
        <f>IFERROR(INDEX(PP_Grid[#Data],$DE978,89),0)</f>
        <v/>
      </c>
      <c r="CO978">
        <f>IFERROR(INDEX(PP_Grid[#Data],$DE978,90),0)</f>
        <v/>
      </c>
      <c r="CP978">
        <f>IFERROR(INDEX(PP_Grid[#Data],$DE978,91),0)</f>
        <v/>
      </c>
      <c r="CQ978">
        <f>IFERROR(INDEX(PP_Grid[#Data],$DE978,92),0)</f>
        <v/>
      </c>
      <c r="CR978">
        <f>IFERROR(INDEX(PP_Grid[#Data],$DE978,93),0)</f>
        <v/>
      </c>
      <c r="CS978">
        <f>IFERROR(INDEX(PP_Grid[#Data],$DE978,94),0)</f>
        <v/>
      </c>
      <c r="CT978">
        <f>IFERROR(INDEX(PP_Grid[#Data],$DE978,95),0)</f>
        <v/>
      </c>
      <c r="CU978">
        <f>IFERROR(INDEX(PP_Grid[#Data],$DE978,96),0)</f>
        <v/>
      </c>
      <c r="CV978">
        <f>IFERROR(INDEX(PP_Grid[#Data],$DE978,97),0)</f>
        <v/>
      </c>
      <c r="CW978">
        <f>IFERROR(INDEX(PP_Grid[#Data],$DE978,98),0)</f>
        <v/>
      </c>
      <c r="CX978">
        <f>IFERROR(INDEX(PP_Grid[#Data],$DE978,99),0)</f>
        <v/>
      </c>
      <c r="CY978">
        <f>IFERROR(INDEX(PP_Grid[#Data],$DE978,100),0)</f>
        <v/>
      </c>
      <c r="CZ978">
        <f>IFERROR(INDEX(PP_Grid[#Data],$DE978,101),0)</f>
        <v/>
      </c>
      <c r="DA978">
        <f>IFERROR(INDEX(PP_Grid[#Data],$DE978,102),0)</f>
        <v/>
      </c>
      <c r="DB978">
        <f>IFERROR(INDEX(PP_Grid[#Data],$DE978,103),0)</f>
        <v/>
      </c>
      <c r="DC978">
        <f>IFERROR(INDEX(PP_Grid[#Data],$DE978,104),0)</f>
        <v/>
      </c>
      <c r="DD978">
        <f>IFERROR(INDEX(PP_Grid[#Data],$DE978,105),0)</f>
        <v/>
      </c>
      <c r="DE978" s="7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SUMIFS(M_BOM[RM_Qty_Per_Batch],M_BOM[Intermediate],$B978,M_BOM[RM_Code],$A923)</f>
        <v/>
      </c>
      <c r="D979">
        <f>IFERROR(INDEX(E979:DD979,$F$1),"")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  <c r="DD979">
        <f>$C979*DD978</f>
        <v/>
      </c>
    </row>
    <row r="980">
      <c r="B980" s="4" t="inlineStr">
        <is>
          <t>合計使用量(kg)/週</t>
        </is>
      </c>
      <c r="D980" s="22">
        <f>IFERROR(INDEX(E980:DD980,$F$1),"")</f>
        <v/>
      </c>
      <c r="E980">
        <f>'Grid_Requirement'!B25</f>
        <v/>
      </c>
      <c r="F980">
        <f>'Grid_Requirement'!C25</f>
        <v/>
      </c>
      <c r="G980">
        <f>'Grid_Requirement'!D25</f>
        <v/>
      </c>
      <c r="H980">
        <f>'Grid_Requirement'!E25</f>
        <v/>
      </c>
      <c r="I980">
        <f>'Grid_Requirement'!F25</f>
        <v/>
      </c>
      <c r="J980">
        <f>'Grid_Requirement'!G25</f>
        <v/>
      </c>
      <c r="K980">
        <f>'Grid_Requirement'!H25</f>
        <v/>
      </c>
      <c r="L980">
        <f>'Grid_Requirement'!I25</f>
        <v/>
      </c>
      <c r="M980">
        <f>'Grid_Requirement'!J25</f>
        <v/>
      </c>
      <c r="N980">
        <f>'Grid_Requirement'!K25</f>
        <v/>
      </c>
      <c r="O980">
        <f>'Grid_Requirement'!L25</f>
        <v/>
      </c>
      <c r="P980">
        <f>'Grid_Requirement'!M25</f>
        <v/>
      </c>
      <c r="Q980">
        <f>'Grid_Requirement'!N25</f>
        <v/>
      </c>
      <c r="R980">
        <f>'Grid_Requirement'!O25</f>
        <v/>
      </c>
      <c r="S980">
        <f>'Grid_Requirement'!P25</f>
        <v/>
      </c>
      <c r="T980">
        <f>'Grid_Requirement'!Q25</f>
        <v/>
      </c>
      <c r="U980">
        <f>'Grid_Requirement'!R25</f>
        <v/>
      </c>
      <c r="V980">
        <f>'Grid_Requirement'!S25</f>
        <v/>
      </c>
      <c r="W980">
        <f>'Grid_Requirement'!T25</f>
        <v/>
      </c>
      <c r="X980">
        <f>'Grid_Requirement'!U25</f>
        <v/>
      </c>
      <c r="Y980">
        <f>'Grid_Requirement'!V25</f>
        <v/>
      </c>
      <c r="Z980">
        <f>'Grid_Requirement'!W25</f>
        <v/>
      </c>
      <c r="AA980">
        <f>'Grid_Requirement'!X25</f>
        <v/>
      </c>
      <c r="AB980">
        <f>'Grid_Requirement'!Y25</f>
        <v/>
      </c>
      <c r="AC980">
        <f>'Grid_Requirement'!Z25</f>
        <v/>
      </c>
      <c r="AD980">
        <f>'Grid_Requirement'!AA25</f>
        <v/>
      </c>
      <c r="AE980">
        <f>'Grid_Requirement'!AB25</f>
        <v/>
      </c>
      <c r="AF980">
        <f>'Grid_Requirement'!AC25</f>
        <v/>
      </c>
      <c r="AG980">
        <f>'Grid_Requirement'!AD25</f>
        <v/>
      </c>
      <c r="AH980">
        <f>'Grid_Requirement'!AE25</f>
        <v/>
      </c>
      <c r="AI980">
        <f>'Grid_Requirement'!AF25</f>
        <v/>
      </c>
      <c r="AJ980">
        <f>'Grid_Requirement'!AG25</f>
        <v/>
      </c>
      <c r="AK980">
        <f>'Grid_Requirement'!AH25</f>
        <v/>
      </c>
      <c r="AL980">
        <f>'Grid_Requirement'!AI25</f>
        <v/>
      </c>
      <c r="AM980">
        <f>'Grid_Requirement'!AJ25</f>
        <v/>
      </c>
      <c r="AN980">
        <f>'Grid_Requirement'!AK25</f>
        <v/>
      </c>
      <c r="AO980">
        <f>'Grid_Requirement'!AL25</f>
        <v/>
      </c>
      <c r="AP980">
        <f>'Grid_Requirement'!AM25</f>
        <v/>
      </c>
      <c r="AQ980">
        <f>'Grid_Requirement'!AN25</f>
        <v/>
      </c>
      <c r="AR980">
        <f>'Grid_Requirement'!AO25</f>
        <v/>
      </c>
      <c r="AS980">
        <f>'Grid_Requirement'!AP25</f>
        <v/>
      </c>
      <c r="AT980">
        <f>'Grid_Requirement'!AQ25</f>
        <v/>
      </c>
      <c r="AU980">
        <f>'Grid_Requirement'!AR25</f>
        <v/>
      </c>
      <c r="AV980">
        <f>'Grid_Requirement'!AS25</f>
        <v/>
      </c>
      <c r="AW980">
        <f>'Grid_Requirement'!AT25</f>
        <v/>
      </c>
      <c r="AX980">
        <f>'Grid_Requirement'!AU25</f>
        <v/>
      </c>
      <c r="AY980">
        <f>'Grid_Requirement'!AV25</f>
        <v/>
      </c>
      <c r="AZ980">
        <f>'Grid_Requirement'!AW25</f>
        <v/>
      </c>
      <c r="BA980">
        <f>'Grid_Requirement'!AX25</f>
        <v/>
      </c>
      <c r="BB980">
        <f>'Grid_Requirement'!AY25</f>
        <v/>
      </c>
      <c r="BC980">
        <f>'Grid_Requirement'!AZ25</f>
        <v/>
      </c>
      <c r="BD980">
        <f>'Grid_Requirement'!BA25</f>
        <v/>
      </c>
      <c r="BE980">
        <f>'Grid_Requirement'!BB25</f>
        <v/>
      </c>
      <c r="BF980">
        <f>'Grid_Requirement'!BC25</f>
        <v/>
      </c>
      <c r="BG980">
        <f>'Grid_Requirement'!BD25</f>
        <v/>
      </c>
      <c r="BH980">
        <f>'Grid_Requirement'!BE25</f>
        <v/>
      </c>
      <c r="BI980">
        <f>'Grid_Requirement'!BF25</f>
        <v/>
      </c>
      <c r="BJ980">
        <f>'Grid_Requirement'!BG25</f>
        <v/>
      </c>
      <c r="BK980">
        <f>'Grid_Requirement'!BH25</f>
        <v/>
      </c>
      <c r="BL980">
        <f>'Grid_Requirement'!BI25</f>
        <v/>
      </c>
      <c r="BM980">
        <f>'Grid_Requirement'!BJ25</f>
        <v/>
      </c>
      <c r="BN980">
        <f>'Grid_Requirement'!BK25</f>
        <v/>
      </c>
      <c r="BO980">
        <f>'Grid_Requirement'!BL25</f>
        <v/>
      </c>
      <c r="BP980">
        <f>'Grid_Requirement'!BM25</f>
        <v/>
      </c>
      <c r="BQ980">
        <f>'Grid_Requirement'!BN25</f>
        <v/>
      </c>
      <c r="BR980">
        <f>'Grid_Requirement'!BO25</f>
        <v/>
      </c>
      <c r="BS980">
        <f>'Grid_Requirement'!BP25</f>
        <v/>
      </c>
      <c r="BT980">
        <f>'Grid_Requirement'!BQ25</f>
        <v/>
      </c>
      <c r="BU980">
        <f>'Grid_Requirement'!BR25</f>
        <v/>
      </c>
      <c r="BV980">
        <f>'Grid_Requirement'!BS25</f>
        <v/>
      </c>
      <c r="BW980">
        <f>'Grid_Requirement'!BT25</f>
        <v/>
      </c>
      <c r="BX980">
        <f>'Grid_Requirement'!BU25</f>
        <v/>
      </c>
      <c r="BY980">
        <f>'Grid_Requirement'!BV25</f>
        <v/>
      </c>
      <c r="BZ980">
        <f>'Grid_Requirement'!BW25</f>
        <v/>
      </c>
      <c r="CA980">
        <f>'Grid_Requirement'!BX25</f>
        <v/>
      </c>
      <c r="CB980">
        <f>'Grid_Requirement'!BY25</f>
        <v/>
      </c>
      <c r="CC980">
        <f>'Grid_Requirement'!BZ25</f>
        <v/>
      </c>
      <c r="CD980">
        <f>'Grid_Requirement'!CA25</f>
        <v/>
      </c>
      <c r="CE980">
        <f>'Grid_Requirement'!CB25</f>
        <v/>
      </c>
      <c r="CF980">
        <f>'Grid_Requirement'!CC25</f>
        <v/>
      </c>
      <c r="CG980">
        <f>'Grid_Requirement'!CD25</f>
        <v/>
      </c>
      <c r="CH980">
        <f>'Grid_Requirement'!CE25</f>
        <v/>
      </c>
      <c r="CI980">
        <f>'Grid_Requirement'!CF25</f>
        <v/>
      </c>
      <c r="CJ980">
        <f>'Grid_Requirement'!CG25</f>
        <v/>
      </c>
      <c r="CK980">
        <f>'Grid_Requirement'!CH25</f>
        <v/>
      </c>
      <c r="CL980">
        <f>'Grid_Requirement'!CI25</f>
        <v/>
      </c>
      <c r="CM980">
        <f>'Grid_Requirement'!CJ25</f>
        <v/>
      </c>
      <c r="CN980">
        <f>'Grid_Requirement'!CK25</f>
        <v/>
      </c>
      <c r="CO980">
        <f>'Grid_Requirement'!CL25</f>
        <v/>
      </c>
      <c r="CP980">
        <f>'Grid_Requirement'!CM25</f>
        <v/>
      </c>
      <c r="CQ980">
        <f>'Grid_Requirement'!CN25</f>
        <v/>
      </c>
      <c r="CR980">
        <f>'Grid_Requirement'!CO25</f>
        <v/>
      </c>
      <c r="CS980">
        <f>'Grid_Requirement'!CP25</f>
        <v/>
      </c>
      <c r="CT980">
        <f>'Grid_Requirement'!CQ25</f>
        <v/>
      </c>
      <c r="CU980">
        <f>'Grid_Requirement'!CR25</f>
        <v/>
      </c>
      <c r="CV980">
        <f>'Grid_Requirement'!CS25</f>
        <v/>
      </c>
      <c r="CW980">
        <f>'Grid_Requirement'!CT25</f>
        <v/>
      </c>
      <c r="CX980">
        <f>'Grid_Requirement'!CU25</f>
        <v/>
      </c>
      <c r="CY980">
        <f>'Grid_Requirement'!CV25</f>
        <v/>
      </c>
      <c r="CZ980">
        <f>'Grid_Requirement'!CW25</f>
        <v/>
      </c>
      <c r="DA980">
        <f>'Grid_Requirement'!CX25</f>
        <v/>
      </c>
      <c r="DB980">
        <f>'Grid_Requirement'!CY25</f>
        <v/>
      </c>
      <c r="DC980">
        <f>'Grid_Requirement'!CZ25</f>
        <v/>
      </c>
      <c r="DD980">
        <f>'Grid_Requirement'!DA25</f>
        <v/>
      </c>
    </row>
    <row r="981">
      <c r="B981" s="23" t="inlineStr">
        <is>
          <t>（在庫・入荷予定はDashboard参照）</t>
        </is>
      </c>
    </row>
    <row r="983">
      <c r="A983" s="21" t="inlineStr">
        <is>
          <t>CHEM-1660</t>
        </is>
      </c>
      <c r="B983" s="21" t="inlineStr">
        <is>
          <t>GW-3394</t>
        </is>
      </c>
      <c r="C983" s="21" t="n"/>
      <c r="D983" s="21" t="n"/>
      <c r="E983" s="21" t="n"/>
      <c r="F983" s="21" t="n"/>
      <c r="G983" s="21" t="n"/>
      <c r="H983" s="21" t="n"/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  <c r="Z983" s="21" t="n"/>
      <c r="AA983" s="21" t="n"/>
      <c r="AB983" s="21" t="n"/>
      <c r="AC983" s="21" t="n"/>
      <c r="AD983" s="21" t="n"/>
      <c r="AE983" s="21" t="n"/>
      <c r="AF983" s="21" t="n"/>
      <c r="AG983" s="21" t="n"/>
      <c r="AH983" s="21" t="n"/>
      <c r="AI983" s="21" t="n"/>
      <c r="AJ983" s="21" t="n"/>
      <c r="AK983" s="21" t="n"/>
      <c r="AL983" s="21" t="n"/>
      <c r="AM983" s="21" t="n"/>
      <c r="AN983" s="21" t="n"/>
      <c r="AO983" s="21" t="n"/>
      <c r="AP983" s="21" t="n"/>
      <c r="AQ983" s="21" t="n"/>
      <c r="AR983" s="21" t="n"/>
      <c r="AS983" s="21" t="n"/>
      <c r="AT983" s="21" t="n"/>
      <c r="AU983" s="21" t="n"/>
      <c r="AV983" s="21" t="n"/>
      <c r="AW983" s="21" t="n"/>
      <c r="AX983" s="21" t="n"/>
      <c r="AY983" s="21" t="n"/>
      <c r="AZ983" s="21" t="n"/>
      <c r="BA983" s="21" t="n"/>
      <c r="BB983" s="21" t="n"/>
      <c r="BC983" s="21" t="n"/>
      <c r="BD983" s="21" t="n"/>
      <c r="BE983" s="21" t="n"/>
      <c r="BF983" s="21" t="n"/>
      <c r="BG983" s="21" t="n"/>
      <c r="BH983" s="21" t="n"/>
      <c r="BI983" s="21" t="n"/>
      <c r="BJ983" s="21" t="n"/>
      <c r="BK983" s="21" t="n"/>
      <c r="BL983" s="21" t="n"/>
      <c r="BM983" s="21" t="n"/>
      <c r="BN983" s="21" t="n"/>
      <c r="BO983" s="21" t="n"/>
      <c r="BP983" s="21" t="n"/>
      <c r="BQ983" s="21" t="n"/>
      <c r="BR983" s="21" t="n"/>
      <c r="BS983" s="21" t="n"/>
      <c r="BT983" s="21" t="n"/>
      <c r="BU983" s="21" t="n"/>
      <c r="BV983" s="21" t="n"/>
      <c r="BW983" s="21" t="n"/>
      <c r="BX983" s="21" t="n"/>
      <c r="BY983" s="21" t="n"/>
      <c r="BZ983" s="21" t="n"/>
      <c r="CA983" s="21" t="n"/>
      <c r="CB983" s="21" t="n"/>
      <c r="CC983" s="21" t="n"/>
      <c r="CD983" s="21" t="n"/>
      <c r="CE983" s="21" t="n"/>
      <c r="CF983" s="21" t="n"/>
      <c r="CG983" s="21" t="n"/>
      <c r="CH983" s="21" t="n"/>
      <c r="CI983" s="21" t="n"/>
      <c r="CJ983" s="21" t="n"/>
      <c r="CK983" s="21" t="n"/>
      <c r="CL983" s="21" t="n"/>
      <c r="CM983" s="21" t="n"/>
      <c r="CN983" s="21" t="n"/>
      <c r="CO983" s="21" t="n"/>
      <c r="CP983" s="21" t="n"/>
      <c r="CQ983" s="21" t="n"/>
      <c r="CR983" s="21" t="n"/>
      <c r="CS983" s="21" t="n"/>
      <c r="CT983" s="21" t="n"/>
      <c r="CU983" s="21" t="n"/>
      <c r="CV983" s="21" t="n"/>
      <c r="CW983" s="21" t="n"/>
      <c r="CX983" s="21" t="n"/>
      <c r="CY983" s="21" t="n"/>
      <c r="CZ983" s="21" t="n"/>
      <c r="DA983" s="21" t="n"/>
      <c r="DB983" s="21" t="n"/>
      <c r="DC983" s="21" t="n"/>
      <c r="DD983" s="21" t="n"/>
    </row>
    <row r="984">
      <c r="B984" t="inlineStr">
        <is>
          <t>TSP-219</t>
        </is>
      </c>
      <c r="C984" t="inlineStr">
        <is>
          <t>No. of batches</t>
        </is>
      </c>
      <c r="D984">
        <f>IFERROR(INDEX(E984:DD984,$F$1),"")</f>
        <v/>
      </c>
      <c r="E984">
        <f>IFERROR(INDEX(PP_Grid[#Data],$DE984,2),0)</f>
        <v/>
      </c>
      <c r="F984">
        <f>IFERROR(INDEX(PP_Grid[#Data],$DE984,3),0)</f>
        <v/>
      </c>
      <c r="G984">
        <f>IFERROR(INDEX(PP_Grid[#Data],$DE984,4),0)</f>
        <v/>
      </c>
      <c r="H984">
        <f>IFERROR(INDEX(PP_Grid[#Data],$DE984,5),0)</f>
        <v/>
      </c>
      <c r="I984">
        <f>IFERROR(INDEX(PP_Grid[#Data],$DE984,6),0)</f>
        <v/>
      </c>
      <c r="J984">
        <f>IFERROR(INDEX(PP_Grid[#Data],$DE984,7),0)</f>
        <v/>
      </c>
      <c r="K984">
        <f>IFERROR(INDEX(PP_Grid[#Data],$DE984,8),0)</f>
        <v/>
      </c>
      <c r="L984">
        <f>IFERROR(INDEX(PP_Grid[#Data],$DE984,9),0)</f>
        <v/>
      </c>
      <c r="M984">
        <f>IFERROR(INDEX(PP_Grid[#Data],$DE984,10),0)</f>
        <v/>
      </c>
      <c r="N984">
        <f>IFERROR(INDEX(PP_Grid[#Data],$DE984,11),0)</f>
        <v/>
      </c>
      <c r="O984">
        <f>IFERROR(INDEX(PP_Grid[#Data],$DE984,12),0)</f>
        <v/>
      </c>
      <c r="P984">
        <f>IFERROR(INDEX(PP_Grid[#Data],$DE984,13),0)</f>
        <v/>
      </c>
      <c r="Q984">
        <f>IFERROR(INDEX(PP_Grid[#Data],$DE984,14),0)</f>
        <v/>
      </c>
      <c r="R984">
        <f>IFERROR(INDEX(PP_Grid[#Data],$DE984,15),0)</f>
        <v/>
      </c>
      <c r="S984">
        <f>IFERROR(INDEX(PP_Grid[#Data],$DE984,16),0)</f>
        <v/>
      </c>
      <c r="T984">
        <f>IFERROR(INDEX(PP_Grid[#Data],$DE984,17),0)</f>
        <v/>
      </c>
      <c r="U984">
        <f>IFERROR(INDEX(PP_Grid[#Data],$DE984,18),0)</f>
        <v/>
      </c>
      <c r="V984">
        <f>IFERROR(INDEX(PP_Grid[#Data],$DE984,19),0)</f>
        <v/>
      </c>
      <c r="W984">
        <f>IFERROR(INDEX(PP_Grid[#Data],$DE984,20),0)</f>
        <v/>
      </c>
      <c r="X984">
        <f>IFERROR(INDEX(PP_Grid[#Data],$DE984,21),0)</f>
        <v/>
      </c>
      <c r="Y984">
        <f>IFERROR(INDEX(PP_Grid[#Data],$DE984,22),0)</f>
        <v/>
      </c>
      <c r="Z984">
        <f>IFERROR(INDEX(PP_Grid[#Data],$DE984,23),0)</f>
        <v/>
      </c>
      <c r="AA984">
        <f>IFERROR(INDEX(PP_Grid[#Data],$DE984,24),0)</f>
        <v/>
      </c>
      <c r="AB984">
        <f>IFERROR(INDEX(PP_Grid[#Data],$DE984,25),0)</f>
        <v/>
      </c>
      <c r="AC984">
        <f>IFERROR(INDEX(PP_Grid[#Data],$DE984,26),0)</f>
        <v/>
      </c>
      <c r="AD984">
        <f>IFERROR(INDEX(PP_Grid[#Data],$DE984,27),0)</f>
        <v/>
      </c>
      <c r="AE984">
        <f>IFERROR(INDEX(PP_Grid[#Data],$DE984,28),0)</f>
        <v/>
      </c>
      <c r="AF984">
        <f>IFERROR(INDEX(PP_Grid[#Data],$DE984,29),0)</f>
        <v/>
      </c>
      <c r="AG984">
        <f>IFERROR(INDEX(PP_Grid[#Data],$DE984,30),0)</f>
        <v/>
      </c>
      <c r="AH984">
        <f>IFERROR(INDEX(PP_Grid[#Data],$DE984,31),0)</f>
        <v/>
      </c>
      <c r="AI984">
        <f>IFERROR(INDEX(PP_Grid[#Data],$DE984,32),0)</f>
        <v/>
      </c>
      <c r="AJ984">
        <f>IFERROR(INDEX(PP_Grid[#Data],$DE984,33),0)</f>
        <v/>
      </c>
      <c r="AK984">
        <f>IFERROR(INDEX(PP_Grid[#Data],$DE984,34),0)</f>
        <v/>
      </c>
      <c r="AL984">
        <f>IFERROR(INDEX(PP_Grid[#Data],$DE984,35),0)</f>
        <v/>
      </c>
      <c r="AM984">
        <f>IFERROR(INDEX(PP_Grid[#Data],$DE984,36),0)</f>
        <v/>
      </c>
      <c r="AN984">
        <f>IFERROR(INDEX(PP_Grid[#Data],$DE984,37),0)</f>
        <v/>
      </c>
      <c r="AO984">
        <f>IFERROR(INDEX(PP_Grid[#Data],$DE984,38),0)</f>
        <v/>
      </c>
      <c r="AP984">
        <f>IFERROR(INDEX(PP_Grid[#Data],$DE984,39),0)</f>
        <v/>
      </c>
      <c r="AQ984">
        <f>IFERROR(INDEX(PP_Grid[#Data],$DE984,40),0)</f>
        <v/>
      </c>
      <c r="AR984">
        <f>IFERROR(INDEX(PP_Grid[#Data],$DE984,41),0)</f>
        <v/>
      </c>
      <c r="AS984">
        <f>IFERROR(INDEX(PP_Grid[#Data],$DE984,42),0)</f>
        <v/>
      </c>
      <c r="AT984">
        <f>IFERROR(INDEX(PP_Grid[#Data],$DE984,43),0)</f>
        <v/>
      </c>
      <c r="AU984">
        <f>IFERROR(INDEX(PP_Grid[#Data],$DE984,44),0)</f>
        <v/>
      </c>
      <c r="AV984">
        <f>IFERROR(INDEX(PP_Grid[#Data],$DE984,45),0)</f>
        <v/>
      </c>
      <c r="AW984">
        <f>IFERROR(INDEX(PP_Grid[#Data],$DE984,46),0)</f>
        <v/>
      </c>
      <c r="AX984">
        <f>IFERROR(INDEX(PP_Grid[#Data],$DE984,47),0)</f>
        <v/>
      </c>
      <c r="AY984">
        <f>IFERROR(INDEX(PP_Grid[#Data],$DE984,48),0)</f>
        <v/>
      </c>
      <c r="AZ984">
        <f>IFERROR(INDEX(PP_Grid[#Data],$DE984,49),0)</f>
        <v/>
      </c>
      <c r="BA984">
        <f>IFERROR(INDEX(PP_Grid[#Data],$DE984,50),0)</f>
        <v/>
      </c>
      <c r="BB984">
        <f>IFERROR(INDEX(PP_Grid[#Data],$DE984,51),0)</f>
        <v/>
      </c>
      <c r="BC984">
        <f>IFERROR(INDEX(PP_Grid[#Data],$DE984,52),0)</f>
        <v/>
      </c>
      <c r="BD984">
        <f>IFERROR(INDEX(PP_Grid[#Data],$DE984,53),0)</f>
        <v/>
      </c>
      <c r="BE984">
        <f>IFERROR(INDEX(PP_Grid[#Data],$DE984,54),0)</f>
        <v/>
      </c>
      <c r="BF984">
        <f>IFERROR(INDEX(PP_Grid[#Data],$DE984,55),0)</f>
        <v/>
      </c>
      <c r="BG984">
        <f>IFERROR(INDEX(PP_Grid[#Data],$DE984,56),0)</f>
        <v/>
      </c>
      <c r="BH984">
        <f>IFERROR(INDEX(PP_Grid[#Data],$DE984,57),0)</f>
        <v/>
      </c>
      <c r="BI984">
        <f>IFERROR(INDEX(PP_Grid[#Data],$DE984,58),0)</f>
        <v/>
      </c>
      <c r="BJ984">
        <f>IFERROR(INDEX(PP_Grid[#Data],$DE984,59),0)</f>
        <v/>
      </c>
      <c r="BK984">
        <f>IFERROR(INDEX(PP_Grid[#Data],$DE984,60),0)</f>
        <v/>
      </c>
      <c r="BL984">
        <f>IFERROR(INDEX(PP_Grid[#Data],$DE984,61),0)</f>
        <v/>
      </c>
      <c r="BM984">
        <f>IFERROR(INDEX(PP_Grid[#Data],$DE984,62),0)</f>
        <v/>
      </c>
      <c r="BN984">
        <f>IFERROR(INDEX(PP_Grid[#Data],$DE984,63),0)</f>
        <v/>
      </c>
      <c r="BO984">
        <f>IFERROR(INDEX(PP_Grid[#Data],$DE984,64),0)</f>
        <v/>
      </c>
      <c r="BP984">
        <f>IFERROR(INDEX(PP_Grid[#Data],$DE984,65),0)</f>
        <v/>
      </c>
      <c r="BQ984">
        <f>IFERROR(INDEX(PP_Grid[#Data],$DE984,66),0)</f>
        <v/>
      </c>
      <c r="BR984">
        <f>IFERROR(INDEX(PP_Grid[#Data],$DE984,67),0)</f>
        <v/>
      </c>
      <c r="BS984">
        <f>IFERROR(INDEX(PP_Grid[#Data],$DE984,68),0)</f>
        <v/>
      </c>
      <c r="BT984">
        <f>IFERROR(INDEX(PP_Grid[#Data],$DE984,69),0)</f>
        <v/>
      </c>
      <c r="BU984">
        <f>IFERROR(INDEX(PP_Grid[#Data],$DE984,70),0)</f>
        <v/>
      </c>
      <c r="BV984">
        <f>IFERROR(INDEX(PP_Grid[#Data],$DE984,71),0)</f>
        <v/>
      </c>
      <c r="BW984">
        <f>IFERROR(INDEX(PP_Grid[#Data],$DE984,72),0)</f>
        <v/>
      </c>
      <c r="BX984">
        <f>IFERROR(INDEX(PP_Grid[#Data],$DE984,73),0)</f>
        <v/>
      </c>
      <c r="BY984">
        <f>IFERROR(INDEX(PP_Grid[#Data],$DE984,74),0)</f>
        <v/>
      </c>
      <c r="BZ984">
        <f>IFERROR(INDEX(PP_Grid[#Data],$DE984,75),0)</f>
        <v/>
      </c>
      <c r="CA984">
        <f>IFERROR(INDEX(PP_Grid[#Data],$DE984,76),0)</f>
        <v/>
      </c>
      <c r="CB984">
        <f>IFERROR(INDEX(PP_Grid[#Data],$DE984,77),0)</f>
        <v/>
      </c>
      <c r="CC984">
        <f>IFERROR(INDEX(PP_Grid[#Data],$DE984,78),0)</f>
        <v/>
      </c>
      <c r="CD984">
        <f>IFERROR(INDEX(PP_Grid[#Data],$DE984,79),0)</f>
        <v/>
      </c>
      <c r="CE984">
        <f>IFERROR(INDEX(PP_Grid[#Data],$DE984,80),0)</f>
        <v/>
      </c>
      <c r="CF984">
        <f>IFERROR(INDEX(PP_Grid[#Data],$DE984,81),0)</f>
        <v/>
      </c>
      <c r="CG984">
        <f>IFERROR(INDEX(PP_Grid[#Data],$DE984,82),0)</f>
        <v/>
      </c>
      <c r="CH984">
        <f>IFERROR(INDEX(PP_Grid[#Data],$DE984,83),0)</f>
        <v/>
      </c>
      <c r="CI984">
        <f>IFERROR(INDEX(PP_Grid[#Data],$DE984,84),0)</f>
        <v/>
      </c>
      <c r="CJ984">
        <f>IFERROR(INDEX(PP_Grid[#Data],$DE984,85),0)</f>
        <v/>
      </c>
      <c r="CK984">
        <f>IFERROR(INDEX(PP_Grid[#Data],$DE984,86),0)</f>
        <v/>
      </c>
      <c r="CL984">
        <f>IFERROR(INDEX(PP_Grid[#Data],$DE984,87),0)</f>
        <v/>
      </c>
      <c r="CM984">
        <f>IFERROR(INDEX(PP_Grid[#Data],$DE984,88),0)</f>
        <v/>
      </c>
      <c r="CN984">
        <f>IFERROR(INDEX(PP_Grid[#Data],$DE984,89),0)</f>
        <v/>
      </c>
      <c r="CO984">
        <f>IFERROR(INDEX(PP_Grid[#Data],$DE984,90),0)</f>
        <v/>
      </c>
      <c r="CP984">
        <f>IFERROR(INDEX(PP_Grid[#Data],$DE984,91),0)</f>
        <v/>
      </c>
      <c r="CQ984">
        <f>IFERROR(INDEX(PP_Grid[#Data],$DE984,92),0)</f>
        <v/>
      </c>
      <c r="CR984">
        <f>IFERROR(INDEX(PP_Grid[#Data],$DE984,93),0)</f>
        <v/>
      </c>
      <c r="CS984">
        <f>IFERROR(INDEX(PP_Grid[#Data],$DE984,94),0)</f>
        <v/>
      </c>
      <c r="CT984">
        <f>IFERROR(INDEX(PP_Grid[#Data],$DE984,95),0)</f>
        <v/>
      </c>
      <c r="CU984">
        <f>IFERROR(INDEX(PP_Grid[#Data],$DE984,96),0)</f>
        <v/>
      </c>
      <c r="CV984">
        <f>IFERROR(INDEX(PP_Grid[#Data],$DE984,97),0)</f>
        <v/>
      </c>
      <c r="CW984">
        <f>IFERROR(INDEX(PP_Grid[#Data],$DE984,98),0)</f>
        <v/>
      </c>
      <c r="CX984">
        <f>IFERROR(INDEX(PP_Grid[#Data],$DE984,99),0)</f>
        <v/>
      </c>
      <c r="CY984">
        <f>IFERROR(INDEX(PP_Grid[#Data],$DE984,100),0)</f>
        <v/>
      </c>
      <c r="CZ984">
        <f>IFERROR(INDEX(PP_Grid[#Data],$DE984,101),0)</f>
        <v/>
      </c>
      <c r="DA984">
        <f>IFERROR(INDEX(PP_Grid[#Data],$DE984,102),0)</f>
        <v/>
      </c>
      <c r="DB984">
        <f>IFERROR(INDEX(PP_Grid[#Data],$DE984,103),0)</f>
        <v/>
      </c>
      <c r="DC984">
        <f>IFERROR(INDEX(PP_Grid[#Data],$DE984,104),0)</f>
        <v/>
      </c>
      <c r="DD984">
        <f>IFERROR(INDEX(PP_Grid[#Data],$DE984,105),0)</f>
        <v/>
      </c>
      <c r="DE984" s="7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SUMIFS(M_BOM[RM_Qty_Per_Batch],M_BOM[Intermediate],$B984,M_BOM[RM_Code],$A983)</f>
        <v/>
      </c>
      <c r="D985">
        <f>IFERROR(INDEX(E985:DD985,$F$1),"")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  <c r="DD985">
        <f>$C985*DD984</f>
        <v/>
      </c>
    </row>
    <row r="986">
      <c r="B986" t="inlineStr">
        <is>
          <t>TSP-655</t>
        </is>
      </c>
      <c r="C986" t="inlineStr">
        <is>
          <t>No. of batches</t>
        </is>
      </c>
      <c r="D986">
        <f>IFERROR(INDEX(E986:DD986,$F$1),"")</f>
        <v/>
      </c>
      <c r="E986">
        <f>IFERROR(INDEX(PP_Grid[#Data],$DE986,2),0)</f>
        <v/>
      </c>
      <c r="F986">
        <f>IFERROR(INDEX(PP_Grid[#Data],$DE986,3),0)</f>
        <v/>
      </c>
      <c r="G986">
        <f>IFERROR(INDEX(PP_Grid[#Data],$DE986,4),0)</f>
        <v/>
      </c>
      <c r="H986">
        <f>IFERROR(INDEX(PP_Grid[#Data],$DE986,5),0)</f>
        <v/>
      </c>
      <c r="I986">
        <f>IFERROR(INDEX(PP_Grid[#Data],$DE986,6),0)</f>
        <v/>
      </c>
      <c r="J986">
        <f>IFERROR(INDEX(PP_Grid[#Data],$DE986,7),0)</f>
        <v/>
      </c>
      <c r="K986">
        <f>IFERROR(INDEX(PP_Grid[#Data],$DE986,8),0)</f>
        <v/>
      </c>
      <c r="L986">
        <f>IFERROR(INDEX(PP_Grid[#Data],$DE986,9),0)</f>
        <v/>
      </c>
      <c r="M986">
        <f>IFERROR(INDEX(PP_Grid[#Data],$DE986,10),0)</f>
        <v/>
      </c>
      <c r="N986">
        <f>IFERROR(INDEX(PP_Grid[#Data],$DE986,11),0)</f>
        <v/>
      </c>
      <c r="O986">
        <f>IFERROR(INDEX(PP_Grid[#Data],$DE986,12),0)</f>
        <v/>
      </c>
      <c r="P986">
        <f>IFERROR(INDEX(PP_Grid[#Data],$DE986,13),0)</f>
        <v/>
      </c>
      <c r="Q986">
        <f>IFERROR(INDEX(PP_Grid[#Data],$DE986,14),0)</f>
        <v/>
      </c>
      <c r="R986">
        <f>IFERROR(INDEX(PP_Grid[#Data],$DE986,15),0)</f>
        <v/>
      </c>
      <c r="S986">
        <f>IFERROR(INDEX(PP_Grid[#Data],$DE986,16),0)</f>
        <v/>
      </c>
      <c r="T986">
        <f>IFERROR(INDEX(PP_Grid[#Data],$DE986,17),0)</f>
        <v/>
      </c>
      <c r="U986">
        <f>IFERROR(INDEX(PP_Grid[#Data],$DE986,18),0)</f>
        <v/>
      </c>
      <c r="V986">
        <f>IFERROR(INDEX(PP_Grid[#Data],$DE986,19),0)</f>
        <v/>
      </c>
      <c r="W986">
        <f>IFERROR(INDEX(PP_Grid[#Data],$DE986,20),0)</f>
        <v/>
      </c>
      <c r="X986">
        <f>IFERROR(INDEX(PP_Grid[#Data],$DE986,21),0)</f>
        <v/>
      </c>
      <c r="Y986">
        <f>IFERROR(INDEX(PP_Grid[#Data],$DE986,22),0)</f>
        <v/>
      </c>
      <c r="Z986">
        <f>IFERROR(INDEX(PP_Grid[#Data],$DE986,23),0)</f>
        <v/>
      </c>
      <c r="AA986">
        <f>IFERROR(INDEX(PP_Grid[#Data],$DE986,24),0)</f>
        <v/>
      </c>
      <c r="AB986">
        <f>IFERROR(INDEX(PP_Grid[#Data],$DE986,25),0)</f>
        <v/>
      </c>
      <c r="AC986">
        <f>IFERROR(INDEX(PP_Grid[#Data],$DE986,26),0)</f>
        <v/>
      </c>
      <c r="AD986">
        <f>IFERROR(INDEX(PP_Grid[#Data],$DE986,27),0)</f>
        <v/>
      </c>
      <c r="AE986">
        <f>IFERROR(INDEX(PP_Grid[#Data],$DE986,28),0)</f>
        <v/>
      </c>
      <c r="AF986">
        <f>IFERROR(INDEX(PP_Grid[#Data],$DE986,29),0)</f>
        <v/>
      </c>
      <c r="AG986">
        <f>IFERROR(INDEX(PP_Grid[#Data],$DE986,30),0)</f>
        <v/>
      </c>
      <c r="AH986">
        <f>IFERROR(INDEX(PP_Grid[#Data],$DE986,31),0)</f>
        <v/>
      </c>
      <c r="AI986">
        <f>IFERROR(INDEX(PP_Grid[#Data],$DE986,32),0)</f>
        <v/>
      </c>
      <c r="AJ986">
        <f>IFERROR(INDEX(PP_Grid[#Data],$DE986,33),0)</f>
        <v/>
      </c>
      <c r="AK986">
        <f>IFERROR(INDEX(PP_Grid[#Data],$DE986,34),0)</f>
        <v/>
      </c>
      <c r="AL986">
        <f>IFERROR(INDEX(PP_Grid[#Data],$DE986,35),0)</f>
        <v/>
      </c>
      <c r="AM986">
        <f>IFERROR(INDEX(PP_Grid[#Data],$DE986,36),0)</f>
        <v/>
      </c>
      <c r="AN986">
        <f>IFERROR(INDEX(PP_Grid[#Data],$DE986,37),0)</f>
        <v/>
      </c>
      <c r="AO986">
        <f>IFERROR(INDEX(PP_Grid[#Data],$DE986,38),0)</f>
        <v/>
      </c>
      <c r="AP986">
        <f>IFERROR(INDEX(PP_Grid[#Data],$DE986,39),0)</f>
        <v/>
      </c>
      <c r="AQ986">
        <f>IFERROR(INDEX(PP_Grid[#Data],$DE986,40),0)</f>
        <v/>
      </c>
      <c r="AR986">
        <f>IFERROR(INDEX(PP_Grid[#Data],$DE986,41),0)</f>
        <v/>
      </c>
      <c r="AS986">
        <f>IFERROR(INDEX(PP_Grid[#Data],$DE986,42),0)</f>
        <v/>
      </c>
      <c r="AT986">
        <f>IFERROR(INDEX(PP_Grid[#Data],$DE986,43),0)</f>
        <v/>
      </c>
      <c r="AU986">
        <f>IFERROR(INDEX(PP_Grid[#Data],$DE986,44),0)</f>
        <v/>
      </c>
      <c r="AV986">
        <f>IFERROR(INDEX(PP_Grid[#Data],$DE986,45),0)</f>
        <v/>
      </c>
      <c r="AW986">
        <f>IFERROR(INDEX(PP_Grid[#Data],$DE986,46),0)</f>
        <v/>
      </c>
      <c r="AX986">
        <f>IFERROR(INDEX(PP_Grid[#Data],$DE986,47),0)</f>
        <v/>
      </c>
      <c r="AY986">
        <f>IFERROR(INDEX(PP_Grid[#Data],$DE986,48),0)</f>
        <v/>
      </c>
      <c r="AZ986">
        <f>IFERROR(INDEX(PP_Grid[#Data],$DE986,49),0)</f>
        <v/>
      </c>
      <c r="BA986">
        <f>IFERROR(INDEX(PP_Grid[#Data],$DE986,50),0)</f>
        <v/>
      </c>
      <c r="BB986">
        <f>IFERROR(INDEX(PP_Grid[#Data],$DE986,51),0)</f>
        <v/>
      </c>
      <c r="BC986">
        <f>IFERROR(INDEX(PP_Grid[#Data],$DE986,52),0)</f>
        <v/>
      </c>
      <c r="BD986">
        <f>IFERROR(INDEX(PP_Grid[#Data],$DE986,53),0)</f>
        <v/>
      </c>
      <c r="BE986">
        <f>IFERROR(INDEX(PP_Grid[#Data],$DE986,54),0)</f>
        <v/>
      </c>
      <c r="BF986">
        <f>IFERROR(INDEX(PP_Grid[#Data],$DE986,55),0)</f>
        <v/>
      </c>
      <c r="BG986">
        <f>IFERROR(INDEX(PP_Grid[#Data],$DE986,56),0)</f>
        <v/>
      </c>
      <c r="BH986">
        <f>IFERROR(INDEX(PP_Grid[#Data],$DE986,57),0)</f>
        <v/>
      </c>
      <c r="BI986">
        <f>IFERROR(INDEX(PP_Grid[#Data],$DE986,58),0)</f>
        <v/>
      </c>
      <c r="BJ986">
        <f>IFERROR(INDEX(PP_Grid[#Data],$DE986,59),0)</f>
        <v/>
      </c>
      <c r="BK986">
        <f>IFERROR(INDEX(PP_Grid[#Data],$DE986,60),0)</f>
        <v/>
      </c>
      <c r="BL986">
        <f>IFERROR(INDEX(PP_Grid[#Data],$DE986,61),0)</f>
        <v/>
      </c>
      <c r="BM986">
        <f>IFERROR(INDEX(PP_Grid[#Data],$DE986,62),0)</f>
        <v/>
      </c>
      <c r="BN986">
        <f>IFERROR(INDEX(PP_Grid[#Data],$DE986,63),0)</f>
        <v/>
      </c>
      <c r="BO986">
        <f>IFERROR(INDEX(PP_Grid[#Data],$DE986,64),0)</f>
        <v/>
      </c>
      <c r="BP986">
        <f>IFERROR(INDEX(PP_Grid[#Data],$DE986,65),0)</f>
        <v/>
      </c>
      <c r="BQ986">
        <f>IFERROR(INDEX(PP_Grid[#Data],$DE986,66),0)</f>
        <v/>
      </c>
      <c r="BR986">
        <f>IFERROR(INDEX(PP_Grid[#Data],$DE986,67),0)</f>
        <v/>
      </c>
      <c r="BS986">
        <f>IFERROR(INDEX(PP_Grid[#Data],$DE986,68),0)</f>
        <v/>
      </c>
      <c r="BT986">
        <f>IFERROR(INDEX(PP_Grid[#Data],$DE986,69),0)</f>
        <v/>
      </c>
      <c r="BU986">
        <f>IFERROR(INDEX(PP_Grid[#Data],$DE986,70),0)</f>
        <v/>
      </c>
      <c r="BV986">
        <f>IFERROR(INDEX(PP_Grid[#Data],$DE986,71),0)</f>
        <v/>
      </c>
      <c r="BW986">
        <f>IFERROR(INDEX(PP_Grid[#Data],$DE986,72),0)</f>
        <v/>
      </c>
      <c r="BX986">
        <f>IFERROR(INDEX(PP_Grid[#Data],$DE986,73),0)</f>
        <v/>
      </c>
      <c r="BY986">
        <f>IFERROR(INDEX(PP_Grid[#Data],$DE986,74),0)</f>
        <v/>
      </c>
      <c r="BZ986">
        <f>IFERROR(INDEX(PP_Grid[#Data],$DE986,75),0)</f>
        <v/>
      </c>
      <c r="CA986">
        <f>IFERROR(INDEX(PP_Grid[#Data],$DE986,76),0)</f>
        <v/>
      </c>
      <c r="CB986">
        <f>IFERROR(INDEX(PP_Grid[#Data],$DE986,77),0)</f>
        <v/>
      </c>
      <c r="CC986">
        <f>IFERROR(INDEX(PP_Grid[#Data],$DE986,78),0)</f>
        <v/>
      </c>
      <c r="CD986">
        <f>IFERROR(INDEX(PP_Grid[#Data],$DE986,79),0)</f>
        <v/>
      </c>
      <c r="CE986">
        <f>IFERROR(INDEX(PP_Grid[#Data],$DE986,80),0)</f>
        <v/>
      </c>
      <c r="CF986">
        <f>IFERROR(INDEX(PP_Grid[#Data],$DE986,81),0)</f>
        <v/>
      </c>
      <c r="CG986">
        <f>IFERROR(INDEX(PP_Grid[#Data],$DE986,82),0)</f>
        <v/>
      </c>
      <c r="CH986">
        <f>IFERROR(INDEX(PP_Grid[#Data],$DE986,83),0)</f>
        <v/>
      </c>
      <c r="CI986">
        <f>IFERROR(INDEX(PP_Grid[#Data],$DE986,84),0)</f>
        <v/>
      </c>
      <c r="CJ986">
        <f>IFERROR(INDEX(PP_Grid[#Data],$DE986,85),0)</f>
        <v/>
      </c>
      <c r="CK986">
        <f>IFERROR(INDEX(PP_Grid[#Data],$DE986,86),0)</f>
        <v/>
      </c>
      <c r="CL986">
        <f>IFERROR(INDEX(PP_Grid[#Data],$DE986,87),0)</f>
        <v/>
      </c>
      <c r="CM986">
        <f>IFERROR(INDEX(PP_Grid[#Data],$DE986,88),0)</f>
        <v/>
      </c>
      <c r="CN986">
        <f>IFERROR(INDEX(PP_Grid[#Data],$DE986,89),0)</f>
        <v/>
      </c>
      <c r="CO986">
        <f>IFERROR(INDEX(PP_Grid[#Data],$DE986,90),0)</f>
        <v/>
      </c>
      <c r="CP986">
        <f>IFERROR(INDEX(PP_Grid[#Data],$DE986,91),0)</f>
        <v/>
      </c>
      <c r="CQ986">
        <f>IFERROR(INDEX(PP_Grid[#Data],$DE986,92),0)</f>
        <v/>
      </c>
      <c r="CR986">
        <f>IFERROR(INDEX(PP_Grid[#Data],$DE986,93),0)</f>
        <v/>
      </c>
      <c r="CS986">
        <f>IFERROR(INDEX(PP_Grid[#Data],$DE986,94),0)</f>
        <v/>
      </c>
      <c r="CT986">
        <f>IFERROR(INDEX(PP_Grid[#Data],$DE986,95),0)</f>
        <v/>
      </c>
      <c r="CU986">
        <f>IFERROR(INDEX(PP_Grid[#Data],$DE986,96),0)</f>
        <v/>
      </c>
      <c r="CV986">
        <f>IFERROR(INDEX(PP_Grid[#Data],$DE986,97),0)</f>
        <v/>
      </c>
      <c r="CW986">
        <f>IFERROR(INDEX(PP_Grid[#Data],$DE986,98),0)</f>
        <v/>
      </c>
      <c r="CX986">
        <f>IFERROR(INDEX(PP_Grid[#Data],$DE986,99),0)</f>
        <v/>
      </c>
      <c r="CY986">
        <f>IFERROR(INDEX(PP_Grid[#Data],$DE986,100),0)</f>
        <v/>
      </c>
      <c r="CZ986">
        <f>IFERROR(INDEX(PP_Grid[#Data],$DE986,101),0)</f>
        <v/>
      </c>
      <c r="DA986">
        <f>IFERROR(INDEX(PP_Grid[#Data],$DE986,102),0)</f>
        <v/>
      </c>
      <c r="DB986">
        <f>IFERROR(INDEX(PP_Grid[#Data],$DE986,103),0)</f>
        <v/>
      </c>
      <c r="DC986">
        <f>IFERROR(INDEX(PP_Grid[#Data],$DE986,104),0)</f>
        <v/>
      </c>
      <c r="DD986">
        <f>IFERROR(INDEX(PP_Grid[#Data],$DE986,105),0)</f>
        <v/>
      </c>
      <c r="DE986" s="7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SUMIFS(M_BOM[RM_Qty_Per_Batch],M_BOM[Intermediate],$B986,M_BOM[RM_Code],$A983)</f>
        <v/>
      </c>
      <c r="D987">
        <f>IFERROR(INDEX(E987:DD987,$F$1),"")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  <c r="DD987">
        <f>$C987*DD986</f>
        <v/>
      </c>
    </row>
    <row r="988">
      <c r="B988" t="inlineStr">
        <is>
          <t>TSP-656</t>
        </is>
      </c>
      <c r="C988" t="inlineStr">
        <is>
          <t>No. of batches</t>
        </is>
      </c>
      <c r="D988">
        <f>IFERROR(INDEX(E988:DD988,$F$1),"")</f>
        <v/>
      </c>
      <c r="E988">
        <f>IFERROR(INDEX(PP_Grid[#Data],$DE988,2),0)</f>
        <v/>
      </c>
      <c r="F988">
        <f>IFERROR(INDEX(PP_Grid[#Data],$DE988,3),0)</f>
        <v/>
      </c>
      <c r="G988">
        <f>IFERROR(INDEX(PP_Grid[#Data],$DE988,4),0)</f>
        <v/>
      </c>
      <c r="H988">
        <f>IFERROR(INDEX(PP_Grid[#Data],$DE988,5),0)</f>
        <v/>
      </c>
      <c r="I988">
        <f>IFERROR(INDEX(PP_Grid[#Data],$DE988,6),0)</f>
        <v/>
      </c>
      <c r="J988">
        <f>IFERROR(INDEX(PP_Grid[#Data],$DE988,7),0)</f>
        <v/>
      </c>
      <c r="K988">
        <f>IFERROR(INDEX(PP_Grid[#Data],$DE988,8),0)</f>
        <v/>
      </c>
      <c r="L988">
        <f>IFERROR(INDEX(PP_Grid[#Data],$DE988,9),0)</f>
        <v/>
      </c>
      <c r="M988">
        <f>IFERROR(INDEX(PP_Grid[#Data],$DE988,10),0)</f>
        <v/>
      </c>
      <c r="N988">
        <f>IFERROR(INDEX(PP_Grid[#Data],$DE988,11),0)</f>
        <v/>
      </c>
      <c r="O988">
        <f>IFERROR(INDEX(PP_Grid[#Data],$DE988,12),0)</f>
        <v/>
      </c>
      <c r="P988">
        <f>IFERROR(INDEX(PP_Grid[#Data],$DE988,13),0)</f>
        <v/>
      </c>
      <c r="Q988">
        <f>IFERROR(INDEX(PP_Grid[#Data],$DE988,14),0)</f>
        <v/>
      </c>
      <c r="R988">
        <f>IFERROR(INDEX(PP_Grid[#Data],$DE988,15),0)</f>
        <v/>
      </c>
      <c r="S988">
        <f>IFERROR(INDEX(PP_Grid[#Data],$DE988,16),0)</f>
        <v/>
      </c>
      <c r="T988">
        <f>IFERROR(INDEX(PP_Grid[#Data],$DE988,17),0)</f>
        <v/>
      </c>
      <c r="U988">
        <f>IFERROR(INDEX(PP_Grid[#Data],$DE988,18),0)</f>
        <v/>
      </c>
      <c r="V988">
        <f>IFERROR(INDEX(PP_Grid[#Data],$DE988,19),0)</f>
        <v/>
      </c>
      <c r="W988">
        <f>IFERROR(INDEX(PP_Grid[#Data],$DE988,20),0)</f>
        <v/>
      </c>
      <c r="X988">
        <f>IFERROR(INDEX(PP_Grid[#Data],$DE988,21),0)</f>
        <v/>
      </c>
      <c r="Y988">
        <f>IFERROR(INDEX(PP_Grid[#Data],$DE988,22),0)</f>
        <v/>
      </c>
      <c r="Z988">
        <f>IFERROR(INDEX(PP_Grid[#Data],$DE988,23),0)</f>
        <v/>
      </c>
      <c r="AA988">
        <f>IFERROR(INDEX(PP_Grid[#Data],$DE988,24),0)</f>
        <v/>
      </c>
      <c r="AB988">
        <f>IFERROR(INDEX(PP_Grid[#Data],$DE988,25),0)</f>
        <v/>
      </c>
      <c r="AC988">
        <f>IFERROR(INDEX(PP_Grid[#Data],$DE988,26),0)</f>
        <v/>
      </c>
      <c r="AD988">
        <f>IFERROR(INDEX(PP_Grid[#Data],$DE988,27),0)</f>
        <v/>
      </c>
      <c r="AE988">
        <f>IFERROR(INDEX(PP_Grid[#Data],$DE988,28),0)</f>
        <v/>
      </c>
      <c r="AF988">
        <f>IFERROR(INDEX(PP_Grid[#Data],$DE988,29),0)</f>
        <v/>
      </c>
      <c r="AG988">
        <f>IFERROR(INDEX(PP_Grid[#Data],$DE988,30),0)</f>
        <v/>
      </c>
      <c r="AH988">
        <f>IFERROR(INDEX(PP_Grid[#Data],$DE988,31),0)</f>
        <v/>
      </c>
      <c r="AI988">
        <f>IFERROR(INDEX(PP_Grid[#Data],$DE988,32),0)</f>
        <v/>
      </c>
      <c r="AJ988">
        <f>IFERROR(INDEX(PP_Grid[#Data],$DE988,33),0)</f>
        <v/>
      </c>
      <c r="AK988">
        <f>IFERROR(INDEX(PP_Grid[#Data],$DE988,34),0)</f>
        <v/>
      </c>
      <c r="AL988">
        <f>IFERROR(INDEX(PP_Grid[#Data],$DE988,35),0)</f>
        <v/>
      </c>
      <c r="AM988">
        <f>IFERROR(INDEX(PP_Grid[#Data],$DE988,36),0)</f>
        <v/>
      </c>
      <c r="AN988">
        <f>IFERROR(INDEX(PP_Grid[#Data],$DE988,37),0)</f>
        <v/>
      </c>
      <c r="AO988">
        <f>IFERROR(INDEX(PP_Grid[#Data],$DE988,38),0)</f>
        <v/>
      </c>
      <c r="AP988">
        <f>IFERROR(INDEX(PP_Grid[#Data],$DE988,39),0)</f>
        <v/>
      </c>
      <c r="AQ988">
        <f>IFERROR(INDEX(PP_Grid[#Data],$DE988,40),0)</f>
        <v/>
      </c>
      <c r="AR988">
        <f>IFERROR(INDEX(PP_Grid[#Data],$DE988,41),0)</f>
        <v/>
      </c>
      <c r="AS988">
        <f>IFERROR(INDEX(PP_Grid[#Data],$DE988,42),0)</f>
        <v/>
      </c>
      <c r="AT988">
        <f>IFERROR(INDEX(PP_Grid[#Data],$DE988,43),0)</f>
        <v/>
      </c>
      <c r="AU988">
        <f>IFERROR(INDEX(PP_Grid[#Data],$DE988,44),0)</f>
        <v/>
      </c>
      <c r="AV988">
        <f>IFERROR(INDEX(PP_Grid[#Data],$DE988,45),0)</f>
        <v/>
      </c>
      <c r="AW988">
        <f>IFERROR(INDEX(PP_Grid[#Data],$DE988,46),0)</f>
        <v/>
      </c>
      <c r="AX988">
        <f>IFERROR(INDEX(PP_Grid[#Data],$DE988,47),0)</f>
        <v/>
      </c>
      <c r="AY988">
        <f>IFERROR(INDEX(PP_Grid[#Data],$DE988,48),0)</f>
        <v/>
      </c>
      <c r="AZ988">
        <f>IFERROR(INDEX(PP_Grid[#Data],$DE988,49),0)</f>
        <v/>
      </c>
      <c r="BA988">
        <f>IFERROR(INDEX(PP_Grid[#Data],$DE988,50),0)</f>
        <v/>
      </c>
      <c r="BB988">
        <f>IFERROR(INDEX(PP_Grid[#Data],$DE988,51),0)</f>
        <v/>
      </c>
      <c r="BC988">
        <f>IFERROR(INDEX(PP_Grid[#Data],$DE988,52),0)</f>
        <v/>
      </c>
      <c r="BD988">
        <f>IFERROR(INDEX(PP_Grid[#Data],$DE988,53),0)</f>
        <v/>
      </c>
      <c r="BE988">
        <f>IFERROR(INDEX(PP_Grid[#Data],$DE988,54),0)</f>
        <v/>
      </c>
      <c r="BF988">
        <f>IFERROR(INDEX(PP_Grid[#Data],$DE988,55),0)</f>
        <v/>
      </c>
      <c r="BG988">
        <f>IFERROR(INDEX(PP_Grid[#Data],$DE988,56),0)</f>
        <v/>
      </c>
      <c r="BH988">
        <f>IFERROR(INDEX(PP_Grid[#Data],$DE988,57),0)</f>
        <v/>
      </c>
      <c r="BI988">
        <f>IFERROR(INDEX(PP_Grid[#Data],$DE988,58),0)</f>
        <v/>
      </c>
      <c r="BJ988">
        <f>IFERROR(INDEX(PP_Grid[#Data],$DE988,59),0)</f>
        <v/>
      </c>
      <c r="BK988">
        <f>IFERROR(INDEX(PP_Grid[#Data],$DE988,60),0)</f>
        <v/>
      </c>
      <c r="BL988">
        <f>IFERROR(INDEX(PP_Grid[#Data],$DE988,61),0)</f>
        <v/>
      </c>
      <c r="BM988">
        <f>IFERROR(INDEX(PP_Grid[#Data],$DE988,62),0)</f>
        <v/>
      </c>
      <c r="BN988">
        <f>IFERROR(INDEX(PP_Grid[#Data],$DE988,63),0)</f>
        <v/>
      </c>
      <c r="BO988">
        <f>IFERROR(INDEX(PP_Grid[#Data],$DE988,64),0)</f>
        <v/>
      </c>
      <c r="BP988">
        <f>IFERROR(INDEX(PP_Grid[#Data],$DE988,65),0)</f>
        <v/>
      </c>
      <c r="BQ988">
        <f>IFERROR(INDEX(PP_Grid[#Data],$DE988,66),0)</f>
        <v/>
      </c>
      <c r="BR988">
        <f>IFERROR(INDEX(PP_Grid[#Data],$DE988,67),0)</f>
        <v/>
      </c>
      <c r="BS988">
        <f>IFERROR(INDEX(PP_Grid[#Data],$DE988,68),0)</f>
        <v/>
      </c>
      <c r="BT988">
        <f>IFERROR(INDEX(PP_Grid[#Data],$DE988,69),0)</f>
        <v/>
      </c>
      <c r="BU988">
        <f>IFERROR(INDEX(PP_Grid[#Data],$DE988,70),0)</f>
        <v/>
      </c>
      <c r="BV988">
        <f>IFERROR(INDEX(PP_Grid[#Data],$DE988,71),0)</f>
        <v/>
      </c>
      <c r="BW988">
        <f>IFERROR(INDEX(PP_Grid[#Data],$DE988,72),0)</f>
        <v/>
      </c>
      <c r="BX988">
        <f>IFERROR(INDEX(PP_Grid[#Data],$DE988,73),0)</f>
        <v/>
      </c>
      <c r="BY988">
        <f>IFERROR(INDEX(PP_Grid[#Data],$DE988,74),0)</f>
        <v/>
      </c>
      <c r="BZ988">
        <f>IFERROR(INDEX(PP_Grid[#Data],$DE988,75),0)</f>
        <v/>
      </c>
      <c r="CA988">
        <f>IFERROR(INDEX(PP_Grid[#Data],$DE988,76),0)</f>
        <v/>
      </c>
      <c r="CB988">
        <f>IFERROR(INDEX(PP_Grid[#Data],$DE988,77),0)</f>
        <v/>
      </c>
      <c r="CC988">
        <f>IFERROR(INDEX(PP_Grid[#Data],$DE988,78),0)</f>
        <v/>
      </c>
      <c r="CD988">
        <f>IFERROR(INDEX(PP_Grid[#Data],$DE988,79),0)</f>
        <v/>
      </c>
      <c r="CE988">
        <f>IFERROR(INDEX(PP_Grid[#Data],$DE988,80),0)</f>
        <v/>
      </c>
      <c r="CF988">
        <f>IFERROR(INDEX(PP_Grid[#Data],$DE988,81),0)</f>
        <v/>
      </c>
      <c r="CG988">
        <f>IFERROR(INDEX(PP_Grid[#Data],$DE988,82),0)</f>
        <v/>
      </c>
      <c r="CH988">
        <f>IFERROR(INDEX(PP_Grid[#Data],$DE988,83),0)</f>
        <v/>
      </c>
      <c r="CI988">
        <f>IFERROR(INDEX(PP_Grid[#Data],$DE988,84),0)</f>
        <v/>
      </c>
      <c r="CJ988">
        <f>IFERROR(INDEX(PP_Grid[#Data],$DE988,85),0)</f>
        <v/>
      </c>
      <c r="CK988">
        <f>IFERROR(INDEX(PP_Grid[#Data],$DE988,86),0)</f>
        <v/>
      </c>
      <c r="CL988">
        <f>IFERROR(INDEX(PP_Grid[#Data],$DE988,87),0)</f>
        <v/>
      </c>
      <c r="CM988">
        <f>IFERROR(INDEX(PP_Grid[#Data],$DE988,88),0)</f>
        <v/>
      </c>
      <c r="CN988">
        <f>IFERROR(INDEX(PP_Grid[#Data],$DE988,89),0)</f>
        <v/>
      </c>
      <c r="CO988">
        <f>IFERROR(INDEX(PP_Grid[#Data],$DE988,90),0)</f>
        <v/>
      </c>
      <c r="CP988">
        <f>IFERROR(INDEX(PP_Grid[#Data],$DE988,91),0)</f>
        <v/>
      </c>
      <c r="CQ988">
        <f>IFERROR(INDEX(PP_Grid[#Data],$DE988,92),0)</f>
        <v/>
      </c>
      <c r="CR988">
        <f>IFERROR(INDEX(PP_Grid[#Data],$DE988,93),0)</f>
        <v/>
      </c>
      <c r="CS988">
        <f>IFERROR(INDEX(PP_Grid[#Data],$DE988,94),0)</f>
        <v/>
      </c>
      <c r="CT988">
        <f>IFERROR(INDEX(PP_Grid[#Data],$DE988,95),0)</f>
        <v/>
      </c>
      <c r="CU988">
        <f>IFERROR(INDEX(PP_Grid[#Data],$DE988,96),0)</f>
        <v/>
      </c>
      <c r="CV988">
        <f>IFERROR(INDEX(PP_Grid[#Data],$DE988,97),0)</f>
        <v/>
      </c>
      <c r="CW988">
        <f>IFERROR(INDEX(PP_Grid[#Data],$DE988,98),0)</f>
        <v/>
      </c>
      <c r="CX988">
        <f>IFERROR(INDEX(PP_Grid[#Data],$DE988,99),0)</f>
        <v/>
      </c>
      <c r="CY988">
        <f>IFERROR(INDEX(PP_Grid[#Data],$DE988,100),0)</f>
        <v/>
      </c>
      <c r="CZ988">
        <f>IFERROR(INDEX(PP_Grid[#Data],$DE988,101),0)</f>
        <v/>
      </c>
      <c r="DA988">
        <f>IFERROR(INDEX(PP_Grid[#Data],$DE988,102),0)</f>
        <v/>
      </c>
      <c r="DB988">
        <f>IFERROR(INDEX(PP_Grid[#Data],$DE988,103),0)</f>
        <v/>
      </c>
      <c r="DC988">
        <f>IFERROR(INDEX(PP_Grid[#Data],$DE988,104),0)</f>
        <v/>
      </c>
      <c r="DD988">
        <f>IFERROR(INDEX(PP_Grid[#Data],$DE988,105),0)</f>
        <v/>
      </c>
      <c r="DE988" s="7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SUMIFS(M_BOM[RM_Qty_Per_Batch],M_BOM[Intermediate],$B988,M_BOM[RM_Code],$A983)</f>
        <v/>
      </c>
      <c r="D989">
        <f>IFERROR(INDEX(E989:DD989,$F$1),"")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  <c r="DD989">
        <f>$C989*DD988</f>
        <v/>
      </c>
    </row>
    <row r="990">
      <c r="B990" t="inlineStr">
        <is>
          <t>VSP-820</t>
        </is>
      </c>
      <c r="C990" t="inlineStr">
        <is>
          <t>No. of batches</t>
        </is>
      </c>
      <c r="D990">
        <f>IFERROR(INDEX(E990:DD990,$F$1),"")</f>
        <v/>
      </c>
      <c r="E990">
        <f>IFERROR(INDEX(PP_Grid[#Data],$DE990,2),0)</f>
        <v/>
      </c>
      <c r="F990">
        <f>IFERROR(INDEX(PP_Grid[#Data],$DE990,3),0)</f>
        <v/>
      </c>
      <c r="G990">
        <f>IFERROR(INDEX(PP_Grid[#Data],$DE990,4),0)</f>
        <v/>
      </c>
      <c r="H990">
        <f>IFERROR(INDEX(PP_Grid[#Data],$DE990,5),0)</f>
        <v/>
      </c>
      <c r="I990">
        <f>IFERROR(INDEX(PP_Grid[#Data],$DE990,6),0)</f>
        <v/>
      </c>
      <c r="J990">
        <f>IFERROR(INDEX(PP_Grid[#Data],$DE990,7),0)</f>
        <v/>
      </c>
      <c r="K990">
        <f>IFERROR(INDEX(PP_Grid[#Data],$DE990,8),0)</f>
        <v/>
      </c>
      <c r="L990">
        <f>IFERROR(INDEX(PP_Grid[#Data],$DE990,9),0)</f>
        <v/>
      </c>
      <c r="M990">
        <f>IFERROR(INDEX(PP_Grid[#Data],$DE990,10),0)</f>
        <v/>
      </c>
      <c r="N990">
        <f>IFERROR(INDEX(PP_Grid[#Data],$DE990,11),0)</f>
        <v/>
      </c>
      <c r="O990">
        <f>IFERROR(INDEX(PP_Grid[#Data],$DE990,12),0)</f>
        <v/>
      </c>
      <c r="P990">
        <f>IFERROR(INDEX(PP_Grid[#Data],$DE990,13),0)</f>
        <v/>
      </c>
      <c r="Q990">
        <f>IFERROR(INDEX(PP_Grid[#Data],$DE990,14),0)</f>
        <v/>
      </c>
      <c r="R990">
        <f>IFERROR(INDEX(PP_Grid[#Data],$DE990,15),0)</f>
        <v/>
      </c>
      <c r="S990">
        <f>IFERROR(INDEX(PP_Grid[#Data],$DE990,16),0)</f>
        <v/>
      </c>
      <c r="T990">
        <f>IFERROR(INDEX(PP_Grid[#Data],$DE990,17),0)</f>
        <v/>
      </c>
      <c r="U990">
        <f>IFERROR(INDEX(PP_Grid[#Data],$DE990,18),0)</f>
        <v/>
      </c>
      <c r="V990">
        <f>IFERROR(INDEX(PP_Grid[#Data],$DE990,19),0)</f>
        <v/>
      </c>
      <c r="W990">
        <f>IFERROR(INDEX(PP_Grid[#Data],$DE990,20),0)</f>
        <v/>
      </c>
      <c r="X990">
        <f>IFERROR(INDEX(PP_Grid[#Data],$DE990,21),0)</f>
        <v/>
      </c>
      <c r="Y990">
        <f>IFERROR(INDEX(PP_Grid[#Data],$DE990,22),0)</f>
        <v/>
      </c>
      <c r="Z990">
        <f>IFERROR(INDEX(PP_Grid[#Data],$DE990,23),0)</f>
        <v/>
      </c>
      <c r="AA990">
        <f>IFERROR(INDEX(PP_Grid[#Data],$DE990,24),0)</f>
        <v/>
      </c>
      <c r="AB990">
        <f>IFERROR(INDEX(PP_Grid[#Data],$DE990,25),0)</f>
        <v/>
      </c>
      <c r="AC990">
        <f>IFERROR(INDEX(PP_Grid[#Data],$DE990,26),0)</f>
        <v/>
      </c>
      <c r="AD990">
        <f>IFERROR(INDEX(PP_Grid[#Data],$DE990,27),0)</f>
        <v/>
      </c>
      <c r="AE990">
        <f>IFERROR(INDEX(PP_Grid[#Data],$DE990,28),0)</f>
        <v/>
      </c>
      <c r="AF990">
        <f>IFERROR(INDEX(PP_Grid[#Data],$DE990,29),0)</f>
        <v/>
      </c>
      <c r="AG990">
        <f>IFERROR(INDEX(PP_Grid[#Data],$DE990,30),0)</f>
        <v/>
      </c>
      <c r="AH990">
        <f>IFERROR(INDEX(PP_Grid[#Data],$DE990,31),0)</f>
        <v/>
      </c>
      <c r="AI990">
        <f>IFERROR(INDEX(PP_Grid[#Data],$DE990,32),0)</f>
        <v/>
      </c>
      <c r="AJ990">
        <f>IFERROR(INDEX(PP_Grid[#Data],$DE990,33),0)</f>
        <v/>
      </c>
      <c r="AK990">
        <f>IFERROR(INDEX(PP_Grid[#Data],$DE990,34),0)</f>
        <v/>
      </c>
      <c r="AL990">
        <f>IFERROR(INDEX(PP_Grid[#Data],$DE990,35),0)</f>
        <v/>
      </c>
      <c r="AM990">
        <f>IFERROR(INDEX(PP_Grid[#Data],$DE990,36),0)</f>
        <v/>
      </c>
      <c r="AN990">
        <f>IFERROR(INDEX(PP_Grid[#Data],$DE990,37),0)</f>
        <v/>
      </c>
      <c r="AO990">
        <f>IFERROR(INDEX(PP_Grid[#Data],$DE990,38),0)</f>
        <v/>
      </c>
      <c r="AP990">
        <f>IFERROR(INDEX(PP_Grid[#Data],$DE990,39),0)</f>
        <v/>
      </c>
      <c r="AQ990">
        <f>IFERROR(INDEX(PP_Grid[#Data],$DE990,40),0)</f>
        <v/>
      </c>
      <c r="AR990">
        <f>IFERROR(INDEX(PP_Grid[#Data],$DE990,41),0)</f>
        <v/>
      </c>
      <c r="AS990">
        <f>IFERROR(INDEX(PP_Grid[#Data],$DE990,42),0)</f>
        <v/>
      </c>
      <c r="AT990">
        <f>IFERROR(INDEX(PP_Grid[#Data],$DE990,43),0)</f>
        <v/>
      </c>
      <c r="AU990">
        <f>IFERROR(INDEX(PP_Grid[#Data],$DE990,44),0)</f>
        <v/>
      </c>
      <c r="AV990">
        <f>IFERROR(INDEX(PP_Grid[#Data],$DE990,45),0)</f>
        <v/>
      </c>
      <c r="AW990">
        <f>IFERROR(INDEX(PP_Grid[#Data],$DE990,46),0)</f>
        <v/>
      </c>
      <c r="AX990">
        <f>IFERROR(INDEX(PP_Grid[#Data],$DE990,47),0)</f>
        <v/>
      </c>
      <c r="AY990">
        <f>IFERROR(INDEX(PP_Grid[#Data],$DE990,48),0)</f>
        <v/>
      </c>
      <c r="AZ990">
        <f>IFERROR(INDEX(PP_Grid[#Data],$DE990,49),0)</f>
        <v/>
      </c>
      <c r="BA990">
        <f>IFERROR(INDEX(PP_Grid[#Data],$DE990,50),0)</f>
        <v/>
      </c>
      <c r="BB990">
        <f>IFERROR(INDEX(PP_Grid[#Data],$DE990,51),0)</f>
        <v/>
      </c>
      <c r="BC990">
        <f>IFERROR(INDEX(PP_Grid[#Data],$DE990,52),0)</f>
        <v/>
      </c>
      <c r="BD990">
        <f>IFERROR(INDEX(PP_Grid[#Data],$DE990,53),0)</f>
        <v/>
      </c>
      <c r="BE990">
        <f>IFERROR(INDEX(PP_Grid[#Data],$DE990,54),0)</f>
        <v/>
      </c>
      <c r="BF990">
        <f>IFERROR(INDEX(PP_Grid[#Data],$DE990,55),0)</f>
        <v/>
      </c>
      <c r="BG990">
        <f>IFERROR(INDEX(PP_Grid[#Data],$DE990,56),0)</f>
        <v/>
      </c>
      <c r="BH990">
        <f>IFERROR(INDEX(PP_Grid[#Data],$DE990,57),0)</f>
        <v/>
      </c>
      <c r="BI990">
        <f>IFERROR(INDEX(PP_Grid[#Data],$DE990,58),0)</f>
        <v/>
      </c>
      <c r="BJ990">
        <f>IFERROR(INDEX(PP_Grid[#Data],$DE990,59),0)</f>
        <v/>
      </c>
      <c r="BK990">
        <f>IFERROR(INDEX(PP_Grid[#Data],$DE990,60),0)</f>
        <v/>
      </c>
      <c r="BL990">
        <f>IFERROR(INDEX(PP_Grid[#Data],$DE990,61),0)</f>
        <v/>
      </c>
      <c r="BM990">
        <f>IFERROR(INDEX(PP_Grid[#Data],$DE990,62),0)</f>
        <v/>
      </c>
      <c r="BN990">
        <f>IFERROR(INDEX(PP_Grid[#Data],$DE990,63),0)</f>
        <v/>
      </c>
      <c r="BO990">
        <f>IFERROR(INDEX(PP_Grid[#Data],$DE990,64),0)</f>
        <v/>
      </c>
      <c r="BP990">
        <f>IFERROR(INDEX(PP_Grid[#Data],$DE990,65),0)</f>
        <v/>
      </c>
      <c r="BQ990">
        <f>IFERROR(INDEX(PP_Grid[#Data],$DE990,66),0)</f>
        <v/>
      </c>
      <c r="BR990">
        <f>IFERROR(INDEX(PP_Grid[#Data],$DE990,67),0)</f>
        <v/>
      </c>
      <c r="BS990">
        <f>IFERROR(INDEX(PP_Grid[#Data],$DE990,68),0)</f>
        <v/>
      </c>
      <c r="BT990">
        <f>IFERROR(INDEX(PP_Grid[#Data],$DE990,69),0)</f>
        <v/>
      </c>
      <c r="BU990">
        <f>IFERROR(INDEX(PP_Grid[#Data],$DE990,70),0)</f>
        <v/>
      </c>
      <c r="BV990">
        <f>IFERROR(INDEX(PP_Grid[#Data],$DE990,71),0)</f>
        <v/>
      </c>
      <c r="BW990">
        <f>IFERROR(INDEX(PP_Grid[#Data],$DE990,72),0)</f>
        <v/>
      </c>
      <c r="BX990">
        <f>IFERROR(INDEX(PP_Grid[#Data],$DE990,73),0)</f>
        <v/>
      </c>
      <c r="BY990">
        <f>IFERROR(INDEX(PP_Grid[#Data],$DE990,74),0)</f>
        <v/>
      </c>
      <c r="BZ990">
        <f>IFERROR(INDEX(PP_Grid[#Data],$DE990,75),0)</f>
        <v/>
      </c>
      <c r="CA990">
        <f>IFERROR(INDEX(PP_Grid[#Data],$DE990,76),0)</f>
        <v/>
      </c>
      <c r="CB990">
        <f>IFERROR(INDEX(PP_Grid[#Data],$DE990,77),0)</f>
        <v/>
      </c>
      <c r="CC990">
        <f>IFERROR(INDEX(PP_Grid[#Data],$DE990,78),0)</f>
        <v/>
      </c>
      <c r="CD990">
        <f>IFERROR(INDEX(PP_Grid[#Data],$DE990,79),0)</f>
        <v/>
      </c>
      <c r="CE990">
        <f>IFERROR(INDEX(PP_Grid[#Data],$DE990,80),0)</f>
        <v/>
      </c>
      <c r="CF990">
        <f>IFERROR(INDEX(PP_Grid[#Data],$DE990,81),0)</f>
        <v/>
      </c>
      <c r="CG990">
        <f>IFERROR(INDEX(PP_Grid[#Data],$DE990,82),0)</f>
        <v/>
      </c>
      <c r="CH990">
        <f>IFERROR(INDEX(PP_Grid[#Data],$DE990,83),0)</f>
        <v/>
      </c>
      <c r="CI990">
        <f>IFERROR(INDEX(PP_Grid[#Data],$DE990,84),0)</f>
        <v/>
      </c>
      <c r="CJ990">
        <f>IFERROR(INDEX(PP_Grid[#Data],$DE990,85),0)</f>
        <v/>
      </c>
      <c r="CK990">
        <f>IFERROR(INDEX(PP_Grid[#Data],$DE990,86),0)</f>
        <v/>
      </c>
      <c r="CL990">
        <f>IFERROR(INDEX(PP_Grid[#Data],$DE990,87),0)</f>
        <v/>
      </c>
      <c r="CM990">
        <f>IFERROR(INDEX(PP_Grid[#Data],$DE990,88),0)</f>
        <v/>
      </c>
      <c r="CN990">
        <f>IFERROR(INDEX(PP_Grid[#Data],$DE990,89),0)</f>
        <v/>
      </c>
      <c r="CO990">
        <f>IFERROR(INDEX(PP_Grid[#Data],$DE990,90),0)</f>
        <v/>
      </c>
      <c r="CP990">
        <f>IFERROR(INDEX(PP_Grid[#Data],$DE990,91),0)</f>
        <v/>
      </c>
      <c r="CQ990">
        <f>IFERROR(INDEX(PP_Grid[#Data],$DE990,92),0)</f>
        <v/>
      </c>
      <c r="CR990">
        <f>IFERROR(INDEX(PP_Grid[#Data],$DE990,93),0)</f>
        <v/>
      </c>
      <c r="CS990">
        <f>IFERROR(INDEX(PP_Grid[#Data],$DE990,94),0)</f>
        <v/>
      </c>
      <c r="CT990">
        <f>IFERROR(INDEX(PP_Grid[#Data],$DE990,95),0)</f>
        <v/>
      </c>
      <c r="CU990">
        <f>IFERROR(INDEX(PP_Grid[#Data],$DE990,96),0)</f>
        <v/>
      </c>
      <c r="CV990">
        <f>IFERROR(INDEX(PP_Grid[#Data],$DE990,97),0)</f>
        <v/>
      </c>
      <c r="CW990">
        <f>IFERROR(INDEX(PP_Grid[#Data],$DE990,98),0)</f>
        <v/>
      </c>
      <c r="CX990">
        <f>IFERROR(INDEX(PP_Grid[#Data],$DE990,99),0)</f>
        <v/>
      </c>
      <c r="CY990">
        <f>IFERROR(INDEX(PP_Grid[#Data],$DE990,100),0)</f>
        <v/>
      </c>
      <c r="CZ990">
        <f>IFERROR(INDEX(PP_Grid[#Data],$DE990,101),0)</f>
        <v/>
      </c>
      <c r="DA990">
        <f>IFERROR(INDEX(PP_Grid[#Data],$DE990,102),0)</f>
        <v/>
      </c>
      <c r="DB990">
        <f>IFERROR(INDEX(PP_Grid[#Data],$DE990,103),0)</f>
        <v/>
      </c>
      <c r="DC990">
        <f>IFERROR(INDEX(PP_Grid[#Data],$DE990,104),0)</f>
        <v/>
      </c>
      <c r="DD990">
        <f>IFERROR(INDEX(PP_Grid[#Data],$DE990,105),0)</f>
        <v/>
      </c>
      <c r="DE990" s="7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SUMIFS(M_BOM[RM_Qty_Per_Batch],M_BOM[Intermediate],$B990,M_BOM[RM_Code],$A983)</f>
        <v/>
      </c>
      <c r="D991">
        <f>IFERROR(INDEX(E991:DD991,$F$1),"")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  <c r="DD991">
        <f>$C991*DD990</f>
        <v/>
      </c>
    </row>
    <row r="992">
      <c r="B992" t="inlineStr">
        <is>
          <t>VSP-822</t>
        </is>
      </c>
      <c r="C992" t="inlineStr">
        <is>
          <t>No. of batches</t>
        </is>
      </c>
      <c r="D992">
        <f>IFERROR(INDEX(E992:DD992,$F$1),"")</f>
        <v/>
      </c>
      <c r="E992">
        <f>IFERROR(INDEX(PP_Grid[#Data],$DE992,2),0)</f>
        <v/>
      </c>
      <c r="F992">
        <f>IFERROR(INDEX(PP_Grid[#Data],$DE992,3),0)</f>
        <v/>
      </c>
      <c r="G992">
        <f>IFERROR(INDEX(PP_Grid[#Data],$DE992,4),0)</f>
        <v/>
      </c>
      <c r="H992">
        <f>IFERROR(INDEX(PP_Grid[#Data],$DE992,5),0)</f>
        <v/>
      </c>
      <c r="I992">
        <f>IFERROR(INDEX(PP_Grid[#Data],$DE992,6),0)</f>
        <v/>
      </c>
      <c r="J992">
        <f>IFERROR(INDEX(PP_Grid[#Data],$DE992,7),0)</f>
        <v/>
      </c>
      <c r="K992">
        <f>IFERROR(INDEX(PP_Grid[#Data],$DE992,8),0)</f>
        <v/>
      </c>
      <c r="L992">
        <f>IFERROR(INDEX(PP_Grid[#Data],$DE992,9),0)</f>
        <v/>
      </c>
      <c r="M992">
        <f>IFERROR(INDEX(PP_Grid[#Data],$DE992,10),0)</f>
        <v/>
      </c>
      <c r="N992">
        <f>IFERROR(INDEX(PP_Grid[#Data],$DE992,11),0)</f>
        <v/>
      </c>
      <c r="O992">
        <f>IFERROR(INDEX(PP_Grid[#Data],$DE992,12),0)</f>
        <v/>
      </c>
      <c r="P992">
        <f>IFERROR(INDEX(PP_Grid[#Data],$DE992,13),0)</f>
        <v/>
      </c>
      <c r="Q992">
        <f>IFERROR(INDEX(PP_Grid[#Data],$DE992,14),0)</f>
        <v/>
      </c>
      <c r="R992">
        <f>IFERROR(INDEX(PP_Grid[#Data],$DE992,15),0)</f>
        <v/>
      </c>
      <c r="S992">
        <f>IFERROR(INDEX(PP_Grid[#Data],$DE992,16),0)</f>
        <v/>
      </c>
      <c r="T992">
        <f>IFERROR(INDEX(PP_Grid[#Data],$DE992,17),0)</f>
        <v/>
      </c>
      <c r="U992">
        <f>IFERROR(INDEX(PP_Grid[#Data],$DE992,18),0)</f>
        <v/>
      </c>
      <c r="V992">
        <f>IFERROR(INDEX(PP_Grid[#Data],$DE992,19),0)</f>
        <v/>
      </c>
      <c r="W992">
        <f>IFERROR(INDEX(PP_Grid[#Data],$DE992,20),0)</f>
        <v/>
      </c>
      <c r="X992">
        <f>IFERROR(INDEX(PP_Grid[#Data],$DE992,21),0)</f>
        <v/>
      </c>
      <c r="Y992">
        <f>IFERROR(INDEX(PP_Grid[#Data],$DE992,22),0)</f>
        <v/>
      </c>
      <c r="Z992">
        <f>IFERROR(INDEX(PP_Grid[#Data],$DE992,23),0)</f>
        <v/>
      </c>
      <c r="AA992">
        <f>IFERROR(INDEX(PP_Grid[#Data],$DE992,24),0)</f>
        <v/>
      </c>
      <c r="AB992">
        <f>IFERROR(INDEX(PP_Grid[#Data],$DE992,25),0)</f>
        <v/>
      </c>
      <c r="AC992">
        <f>IFERROR(INDEX(PP_Grid[#Data],$DE992,26),0)</f>
        <v/>
      </c>
      <c r="AD992">
        <f>IFERROR(INDEX(PP_Grid[#Data],$DE992,27),0)</f>
        <v/>
      </c>
      <c r="AE992">
        <f>IFERROR(INDEX(PP_Grid[#Data],$DE992,28),0)</f>
        <v/>
      </c>
      <c r="AF992">
        <f>IFERROR(INDEX(PP_Grid[#Data],$DE992,29),0)</f>
        <v/>
      </c>
      <c r="AG992">
        <f>IFERROR(INDEX(PP_Grid[#Data],$DE992,30),0)</f>
        <v/>
      </c>
      <c r="AH992">
        <f>IFERROR(INDEX(PP_Grid[#Data],$DE992,31),0)</f>
        <v/>
      </c>
      <c r="AI992">
        <f>IFERROR(INDEX(PP_Grid[#Data],$DE992,32),0)</f>
        <v/>
      </c>
      <c r="AJ992">
        <f>IFERROR(INDEX(PP_Grid[#Data],$DE992,33),0)</f>
        <v/>
      </c>
      <c r="AK992">
        <f>IFERROR(INDEX(PP_Grid[#Data],$DE992,34),0)</f>
        <v/>
      </c>
      <c r="AL992">
        <f>IFERROR(INDEX(PP_Grid[#Data],$DE992,35),0)</f>
        <v/>
      </c>
      <c r="AM992">
        <f>IFERROR(INDEX(PP_Grid[#Data],$DE992,36),0)</f>
        <v/>
      </c>
      <c r="AN992">
        <f>IFERROR(INDEX(PP_Grid[#Data],$DE992,37),0)</f>
        <v/>
      </c>
      <c r="AO992">
        <f>IFERROR(INDEX(PP_Grid[#Data],$DE992,38),0)</f>
        <v/>
      </c>
      <c r="AP992">
        <f>IFERROR(INDEX(PP_Grid[#Data],$DE992,39),0)</f>
        <v/>
      </c>
      <c r="AQ992">
        <f>IFERROR(INDEX(PP_Grid[#Data],$DE992,40),0)</f>
        <v/>
      </c>
      <c r="AR992">
        <f>IFERROR(INDEX(PP_Grid[#Data],$DE992,41),0)</f>
        <v/>
      </c>
      <c r="AS992">
        <f>IFERROR(INDEX(PP_Grid[#Data],$DE992,42),0)</f>
        <v/>
      </c>
      <c r="AT992">
        <f>IFERROR(INDEX(PP_Grid[#Data],$DE992,43),0)</f>
        <v/>
      </c>
      <c r="AU992">
        <f>IFERROR(INDEX(PP_Grid[#Data],$DE992,44),0)</f>
        <v/>
      </c>
      <c r="AV992">
        <f>IFERROR(INDEX(PP_Grid[#Data],$DE992,45),0)</f>
        <v/>
      </c>
      <c r="AW992">
        <f>IFERROR(INDEX(PP_Grid[#Data],$DE992,46),0)</f>
        <v/>
      </c>
      <c r="AX992">
        <f>IFERROR(INDEX(PP_Grid[#Data],$DE992,47),0)</f>
        <v/>
      </c>
      <c r="AY992">
        <f>IFERROR(INDEX(PP_Grid[#Data],$DE992,48),0)</f>
        <v/>
      </c>
      <c r="AZ992">
        <f>IFERROR(INDEX(PP_Grid[#Data],$DE992,49),0)</f>
        <v/>
      </c>
      <c r="BA992">
        <f>IFERROR(INDEX(PP_Grid[#Data],$DE992,50),0)</f>
        <v/>
      </c>
      <c r="BB992">
        <f>IFERROR(INDEX(PP_Grid[#Data],$DE992,51),0)</f>
        <v/>
      </c>
      <c r="BC992">
        <f>IFERROR(INDEX(PP_Grid[#Data],$DE992,52),0)</f>
        <v/>
      </c>
      <c r="BD992">
        <f>IFERROR(INDEX(PP_Grid[#Data],$DE992,53),0)</f>
        <v/>
      </c>
      <c r="BE992">
        <f>IFERROR(INDEX(PP_Grid[#Data],$DE992,54),0)</f>
        <v/>
      </c>
      <c r="BF992">
        <f>IFERROR(INDEX(PP_Grid[#Data],$DE992,55),0)</f>
        <v/>
      </c>
      <c r="BG992">
        <f>IFERROR(INDEX(PP_Grid[#Data],$DE992,56),0)</f>
        <v/>
      </c>
      <c r="BH992">
        <f>IFERROR(INDEX(PP_Grid[#Data],$DE992,57),0)</f>
        <v/>
      </c>
      <c r="BI992">
        <f>IFERROR(INDEX(PP_Grid[#Data],$DE992,58),0)</f>
        <v/>
      </c>
      <c r="BJ992">
        <f>IFERROR(INDEX(PP_Grid[#Data],$DE992,59),0)</f>
        <v/>
      </c>
      <c r="BK992">
        <f>IFERROR(INDEX(PP_Grid[#Data],$DE992,60),0)</f>
        <v/>
      </c>
      <c r="BL992">
        <f>IFERROR(INDEX(PP_Grid[#Data],$DE992,61),0)</f>
        <v/>
      </c>
      <c r="BM992">
        <f>IFERROR(INDEX(PP_Grid[#Data],$DE992,62),0)</f>
        <v/>
      </c>
      <c r="BN992">
        <f>IFERROR(INDEX(PP_Grid[#Data],$DE992,63),0)</f>
        <v/>
      </c>
      <c r="BO992">
        <f>IFERROR(INDEX(PP_Grid[#Data],$DE992,64),0)</f>
        <v/>
      </c>
      <c r="BP992">
        <f>IFERROR(INDEX(PP_Grid[#Data],$DE992,65),0)</f>
        <v/>
      </c>
      <c r="BQ992">
        <f>IFERROR(INDEX(PP_Grid[#Data],$DE992,66),0)</f>
        <v/>
      </c>
      <c r="BR992">
        <f>IFERROR(INDEX(PP_Grid[#Data],$DE992,67),0)</f>
        <v/>
      </c>
      <c r="BS992">
        <f>IFERROR(INDEX(PP_Grid[#Data],$DE992,68),0)</f>
        <v/>
      </c>
      <c r="BT992">
        <f>IFERROR(INDEX(PP_Grid[#Data],$DE992,69),0)</f>
        <v/>
      </c>
      <c r="BU992">
        <f>IFERROR(INDEX(PP_Grid[#Data],$DE992,70),0)</f>
        <v/>
      </c>
      <c r="BV992">
        <f>IFERROR(INDEX(PP_Grid[#Data],$DE992,71),0)</f>
        <v/>
      </c>
      <c r="BW992">
        <f>IFERROR(INDEX(PP_Grid[#Data],$DE992,72),0)</f>
        <v/>
      </c>
      <c r="BX992">
        <f>IFERROR(INDEX(PP_Grid[#Data],$DE992,73),0)</f>
        <v/>
      </c>
      <c r="BY992">
        <f>IFERROR(INDEX(PP_Grid[#Data],$DE992,74),0)</f>
        <v/>
      </c>
      <c r="BZ992">
        <f>IFERROR(INDEX(PP_Grid[#Data],$DE992,75),0)</f>
        <v/>
      </c>
      <c r="CA992">
        <f>IFERROR(INDEX(PP_Grid[#Data],$DE992,76),0)</f>
        <v/>
      </c>
      <c r="CB992">
        <f>IFERROR(INDEX(PP_Grid[#Data],$DE992,77),0)</f>
        <v/>
      </c>
      <c r="CC992">
        <f>IFERROR(INDEX(PP_Grid[#Data],$DE992,78),0)</f>
        <v/>
      </c>
      <c r="CD992">
        <f>IFERROR(INDEX(PP_Grid[#Data],$DE992,79),0)</f>
        <v/>
      </c>
      <c r="CE992">
        <f>IFERROR(INDEX(PP_Grid[#Data],$DE992,80),0)</f>
        <v/>
      </c>
      <c r="CF992">
        <f>IFERROR(INDEX(PP_Grid[#Data],$DE992,81),0)</f>
        <v/>
      </c>
      <c r="CG992">
        <f>IFERROR(INDEX(PP_Grid[#Data],$DE992,82),0)</f>
        <v/>
      </c>
      <c r="CH992">
        <f>IFERROR(INDEX(PP_Grid[#Data],$DE992,83),0)</f>
        <v/>
      </c>
      <c r="CI992">
        <f>IFERROR(INDEX(PP_Grid[#Data],$DE992,84),0)</f>
        <v/>
      </c>
      <c r="CJ992">
        <f>IFERROR(INDEX(PP_Grid[#Data],$DE992,85),0)</f>
        <v/>
      </c>
      <c r="CK992">
        <f>IFERROR(INDEX(PP_Grid[#Data],$DE992,86),0)</f>
        <v/>
      </c>
      <c r="CL992">
        <f>IFERROR(INDEX(PP_Grid[#Data],$DE992,87),0)</f>
        <v/>
      </c>
      <c r="CM992">
        <f>IFERROR(INDEX(PP_Grid[#Data],$DE992,88),0)</f>
        <v/>
      </c>
      <c r="CN992">
        <f>IFERROR(INDEX(PP_Grid[#Data],$DE992,89),0)</f>
        <v/>
      </c>
      <c r="CO992">
        <f>IFERROR(INDEX(PP_Grid[#Data],$DE992,90),0)</f>
        <v/>
      </c>
      <c r="CP992">
        <f>IFERROR(INDEX(PP_Grid[#Data],$DE992,91),0)</f>
        <v/>
      </c>
      <c r="CQ992">
        <f>IFERROR(INDEX(PP_Grid[#Data],$DE992,92),0)</f>
        <v/>
      </c>
      <c r="CR992">
        <f>IFERROR(INDEX(PP_Grid[#Data],$DE992,93),0)</f>
        <v/>
      </c>
      <c r="CS992">
        <f>IFERROR(INDEX(PP_Grid[#Data],$DE992,94),0)</f>
        <v/>
      </c>
      <c r="CT992">
        <f>IFERROR(INDEX(PP_Grid[#Data],$DE992,95),0)</f>
        <v/>
      </c>
      <c r="CU992">
        <f>IFERROR(INDEX(PP_Grid[#Data],$DE992,96),0)</f>
        <v/>
      </c>
      <c r="CV992">
        <f>IFERROR(INDEX(PP_Grid[#Data],$DE992,97),0)</f>
        <v/>
      </c>
      <c r="CW992">
        <f>IFERROR(INDEX(PP_Grid[#Data],$DE992,98),0)</f>
        <v/>
      </c>
      <c r="CX992">
        <f>IFERROR(INDEX(PP_Grid[#Data],$DE992,99),0)</f>
        <v/>
      </c>
      <c r="CY992">
        <f>IFERROR(INDEX(PP_Grid[#Data],$DE992,100),0)</f>
        <v/>
      </c>
      <c r="CZ992">
        <f>IFERROR(INDEX(PP_Grid[#Data],$DE992,101),0)</f>
        <v/>
      </c>
      <c r="DA992">
        <f>IFERROR(INDEX(PP_Grid[#Data],$DE992,102),0)</f>
        <v/>
      </c>
      <c r="DB992">
        <f>IFERROR(INDEX(PP_Grid[#Data],$DE992,103),0)</f>
        <v/>
      </c>
      <c r="DC992">
        <f>IFERROR(INDEX(PP_Grid[#Data],$DE992,104),0)</f>
        <v/>
      </c>
      <c r="DD992">
        <f>IFERROR(INDEX(PP_Grid[#Data],$DE992,105),0)</f>
        <v/>
      </c>
      <c r="DE992" s="7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SUMIFS(M_BOM[RM_Qty_Per_Batch],M_BOM[Intermediate],$B992,M_BOM[RM_Code],$A983)</f>
        <v/>
      </c>
      <c r="D993">
        <f>IFERROR(INDEX(E993:DD993,$F$1),"")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  <c r="DD993">
        <f>$C993*DD992</f>
        <v/>
      </c>
    </row>
    <row r="994">
      <c r="B994" t="inlineStr">
        <is>
          <t>VSP-869</t>
        </is>
      </c>
      <c r="C994" t="inlineStr">
        <is>
          <t>No. of batches</t>
        </is>
      </c>
      <c r="D994">
        <f>IFERROR(INDEX(E994:DD994,$F$1),"")</f>
        <v/>
      </c>
      <c r="E994">
        <f>IFERROR(INDEX(PP_Grid[#Data],$DE994,2),0)</f>
        <v/>
      </c>
      <c r="F994">
        <f>IFERROR(INDEX(PP_Grid[#Data],$DE994,3),0)</f>
        <v/>
      </c>
      <c r="G994">
        <f>IFERROR(INDEX(PP_Grid[#Data],$DE994,4),0)</f>
        <v/>
      </c>
      <c r="H994">
        <f>IFERROR(INDEX(PP_Grid[#Data],$DE994,5),0)</f>
        <v/>
      </c>
      <c r="I994">
        <f>IFERROR(INDEX(PP_Grid[#Data],$DE994,6),0)</f>
        <v/>
      </c>
      <c r="J994">
        <f>IFERROR(INDEX(PP_Grid[#Data],$DE994,7),0)</f>
        <v/>
      </c>
      <c r="K994">
        <f>IFERROR(INDEX(PP_Grid[#Data],$DE994,8),0)</f>
        <v/>
      </c>
      <c r="L994">
        <f>IFERROR(INDEX(PP_Grid[#Data],$DE994,9),0)</f>
        <v/>
      </c>
      <c r="M994">
        <f>IFERROR(INDEX(PP_Grid[#Data],$DE994,10),0)</f>
        <v/>
      </c>
      <c r="N994">
        <f>IFERROR(INDEX(PP_Grid[#Data],$DE994,11),0)</f>
        <v/>
      </c>
      <c r="O994">
        <f>IFERROR(INDEX(PP_Grid[#Data],$DE994,12),0)</f>
        <v/>
      </c>
      <c r="P994">
        <f>IFERROR(INDEX(PP_Grid[#Data],$DE994,13),0)</f>
        <v/>
      </c>
      <c r="Q994">
        <f>IFERROR(INDEX(PP_Grid[#Data],$DE994,14),0)</f>
        <v/>
      </c>
      <c r="R994">
        <f>IFERROR(INDEX(PP_Grid[#Data],$DE994,15),0)</f>
        <v/>
      </c>
      <c r="S994">
        <f>IFERROR(INDEX(PP_Grid[#Data],$DE994,16),0)</f>
        <v/>
      </c>
      <c r="T994">
        <f>IFERROR(INDEX(PP_Grid[#Data],$DE994,17),0)</f>
        <v/>
      </c>
      <c r="U994">
        <f>IFERROR(INDEX(PP_Grid[#Data],$DE994,18),0)</f>
        <v/>
      </c>
      <c r="V994">
        <f>IFERROR(INDEX(PP_Grid[#Data],$DE994,19),0)</f>
        <v/>
      </c>
      <c r="W994">
        <f>IFERROR(INDEX(PP_Grid[#Data],$DE994,20),0)</f>
        <v/>
      </c>
      <c r="X994">
        <f>IFERROR(INDEX(PP_Grid[#Data],$DE994,21),0)</f>
        <v/>
      </c>
      <c r="Y994">
        <f>IFERROR(INDEX(PP_Grid[#Data],$DE994,22),0)</f>
        <v/>
      </c>
      <c r="Z994">
        <f>IFERROR(INDEX(PP_Grid[#Data],$DE994,23),0)</f>
        <v/>
      </c>
      <c r="AA994">
        <f>IFERROR(INDEX(PP_Grid[#Data],$DE994,24),0)</f>
        <v/>
      </c>
      <c r="AB994">
        <f>IFERROR(INDEX(PP_Grid[#Data],$DE994,25),0)</f>
        <v/>
      </c>
      <c r="AC994">
        <f>IFERROR(INDEX(PP_Grid[#Data],$DE994,26),0)</f>
        <v/>
      </c>
      <c r="AD994">
        <f>IFERROR(INDEX(PP_Grid[#Data],$DE994,27),0)</f>
        <v/>
      </c>
      <c r="AE994">
        <f>IFERROR(INDEX(PP_Grid[#Data],$DE994,28),0)</f>
        <v/>
      </c>
      <c r="AF994">
        <f>IFERROR(INDEX(PP_Grid[#Data],$DE994,29),0)</f>
        <v/>
      </c>
      <c r="AG994">
        <f>IFERROR(INDEX(PP_Grid[#Data],$DE994,30),0)</f>
        <v/>
      </c>
      <c r="AH994">
        <f>IFERROR(INDEX(PP_Grid[#Data],$DE994,31),0)</f>
        <v/>
      </c>
      <c r="AI994">
        <f>IFERROR(INDEX(PP_Grid[#Data],$DE994,32),0)</f>
        <v/>
      </c>
      <c r="AJ994">
        <f>IFERROR(INDEX(PP_Grid[#Data],$DE994,33),0)</f>
        <v/>
      </c>
      <c r="AK994">
        <f>IFERROR(INDEX(PP_Grid[#Data],$DE994,34),0)</f>
        <v/>
      </c>
      <c r="AL994">
        <f>IFERROR(INDEX(PP_Grid[#Data],$DE994,35),0)</f>
        <v/>
      </c>
      <c r="AM994">
        <f>IFERROR(INDEX(PP_Grid[#Data],$DE994,36),0)</f>
        <v/>
      </c>
      <c r="AN994">
        <f>IFERROR(INDEX(PP_Grid[#Data],$DE994,37),0)</f>
        <v/>
      </c>
      <c r="AO994">
        <f>IFERROR(INDEX(PP_Grid[#Data],$DE994,38),0)</f>
        <v/>
      </c>
      <c r="AP994">
        <f>IFERROR(INDEX(PP_Grid[#Data],$DE994,39),0)</f>
        <v/>
      </c>
      <c r="AQ994">
        <f>IFERROR(INDEX(PP_Grid[#Data],$DE994,40),0)</f>
        <v/>
      </c>
      <c r="AR994">
        <f>IFERROR(INDEX(PP_Grid[#Data],$DE994,41),0)</f>
        <v/>
      </c>
      <c r="AS994">
        <f>IFERROR(INDEX(PP_Grid[#Data],$DE994,42),0)</f>
        <v/>
      </c>
      <c r="AT994">
        <f>IFERROR(INDEX(PP_Grid[#Data],$DE994,43),0)</f>
        <v/>
      </c>
      <c r="AU994">
        <f>IFERROR(INDEX(PP_Grid[#Data],$DE994,44),0)</f>
        <v/>
      </c>
      <c r="AV994">
        <f>IFERROR(INDEX(PP_Grid[#Data],$DE994,45),0)</f>
        <v/>
      </c>
      <c r="AW994">
        <f>IFERROR(INDEX(PP_Grid[#Data],$DE994,46),0)</f>
        <v/>
      </c>
      <c r="AX994">
        <f>IFERROR(INDEX(PP_Grid[#Data],$DE994,47),0)</f>
        <v/>
      </c>
      <c r="AY994">
        <f>IFERROR(INDEX(PP_Grid[#Data],$DE994,48),0)</f>
        <v/>
      </c>
      <c r="AZ994">
        <f>IFERROR(INDEX(PP_Grid[#Data],$DE994,49),0)</f>
        <v/>
      </c>
      <c r="BA994">
        <f>IFERROR(INDEX(PP_Grid[#Data],$DE994,50),0)</f>
        <v/>
      </c>
      <c r="BB994">
        <f>IFERROR(INDEX(PP_Grid[#Data],$DE994,51),0)</f>
        <v/>
      </c>
      <c r="BC994">
        <f>IFERROR(INDEX(PP_Grid[#Data],$DE994,52),0)</f>
        <v/>
      </c>
      <c r="BD994">
        <f>IFERROR(INDEX(PP_Grid[#Data],$DE994,53),0)</f>
        <v/>
      </c>
      <c r="BE994">
        <f>IFERROR(INDEX(PP_Grid[#Data],$DE994,54),0)</f>
        <v/>
      </c>
      <c r="BF994">
        <f>IFERROR(INDEX(PP_Grid[#Data],$DE994,55),0)</f>
        <v/>
      </c>
      <c r="BG994">
        <f>IFERROR(INDEX(PP_Grid[#Data],$DE994,56),0)</f>
        <v/>
      </c>
      <c r="BH994">
        <f>IFERROR(INDEX(PP_Grid[#Data],$DE994,57),0)</f>
        <v/>
      </c>
      <c r="BI994">
        <f>IFERROR(INDEX(PP_Grid[#Data],$DE994,58),0)</f>
        <v/>
      </c>
      <c r="BJ994">
        <f>IFERROR(INDEX(PP_Grid[#Data],$DE994,59),0)</f>
        <v/>
      </c>
      <c r="BK994">
        <f>IFERROR(INDEX(PP_Grid[#Data],$DE994,60),0)</f>
        <v/>
      </c>
      <c r="BL994">
        <f>IFERROR(INDEX(PP_Grid[#Data],$DE994,61),0)</f>
        <v/>
      </c>
      <c r="BM994">
        <f>IFERROR(INDEX(PP_Grid[#Data],$DE994,62),0)</f>
        <v/>
      </c>
      <c r="BN994">
        <f>IFERROR(INDEX(PP_Grid[#Data],$DE994,63),0)</f>
        <v/>
      </c>
      <c r="BO994">
        <f>IFERROR(INDEX(PP_Grid[#Data],$DE994,64),0)</f>
        <v/>
      </c>
      <c r="BP994">
        <f>IFERROR(INDEX(PP_Grid[#Data],$DE994,65),0)</f>
        <v/>
      </c>
      <c r="BQ994">
        <f>IFERROR(INDEX(PP_Grid[#Data],$DE994,66),0)</f>
        <v/>
      </c>
      <c r="BR994">
        <f>IFERROR(INDEX(PP_Grid[#Data],$DE994,67),0)</f>
        <v/>
      </c>
      <c r="BS994">
        <f>IFERROR(INDEX(PP_Grid[#Data],$DE994,68),0)</f>
        <v/>
      </c>
      <c r="BT994">
        <f>IFERROR(INDEX(PP_Grid[#Data],$DE994,69),0)</f>
        <v/>
      </c>
      <c r="BU994">
        <f>IFERROR(INDEX(PP_Grid[#Data],$DE994,70),0)</f>
        <v/>
      </c>
      <c r="BV994">
        <f>IFERROR(INDEX(PP_Grid[#Data],$DE994,71),0)</f>
        <v/>
      </c>
      <c r="BW994">
        <f>IFERROR(INDEX(PP_Grid[#Data],$DE994,72),0)</f>
        <v/>
      </c>
      <c r="BX994">
        <f>IFERROR(INDEX(PP_Grid[#Data],$DE994,73),0)</f>
        <v/>
      </c>
      <c r="BY994">
        <f>IFERROR(INDEX(PP_Grid[#Data],$DE994,74),0)</f>
        <v/>
      </c>
      <c r="BZ994">
        <f>IFERROR(INDEX(PP_Grid[#Data],$DE994,75),0)</f>
        <v/>
      </c>
      <c r="CA994">
        <f>IFERROR(INDEX(PP_Grid[#Data],$DE994,76),0)</f>
        <v/>
      </c>
      <c r="CB994">
        <f>IFERROR(INDEX(PP_Grid[#Data],$DE994,77),0)</f>
        <v/>
      </c>
      <c r="CC994">
        <f>IFERROR(INDEX(PP_Grid[#Data],$DE994,78),0)</f>
        <v/>
      </c>
      <c r="CD994">
        <f>IFERROR(INDEX(PP_Grid[#Data],$DE994,79),0)</f>
        <v/>
      </c>
      <c r="CE994">
        <f>IFERROR(INDEX(PP_Grid[#Data],$DE994,80),0)</f>
        <v/>
      </c>
      <c r="CF994">
        <f>IFERROR(INDEX(PP_Grid[#Data],$DE994,81),0)</f>
        <v/>
      </c>
      <c r="CG994">
        <f>IFERROR(INDEX(PP_Grid[#Data],$DE994,82),0)</f>
        <v/>
      </c>
      <c r="CH994">
        <f>IFERROR(INDEX(PP_Grid[#Data],$DE994,83),0)</f>
        <v/>
      </c>
      <c r="CI994">
        <f>IFERROR(INDEX(PP_Grid[#Data],$DE994,84),0)</f>
        <v/>
      </c>
      <c r="CJ994">
        <f>IFERROR(INDEX(PP_Grid[#Data],$DE994,85),0)</f>
        <v/>
      </c>
      <c r="CK994">
        <f>IFERROR(INDEX(PP_Grid[#Data],$DE994,86),0)</f>
        <v/>
      </c>
      <c r="CL994">
        <f>IFERROR(INDEX(PP_Grid[#Data],$DE994,87),0)</f>
        <v/>
      </c>
      <c r="CM994">
        <f>IFERROR(INDEX(PP_Grid[#Data],$DE994,88),0)</f>
        <v/>
      </c>
      <c r="CN994">
        <f>IFERROR(INDEX(PP_Grid[#Data],$DE994,89),0)</f>
        <v/>
      </c>
      <c r="CO994">
        <f>IFERROR(INDEX(PP_Grid[#Data],$DE994,90),0)</f>
        <v/>
      </c>
      <c r="CP994">
        <f>IFERROR(INDEX(PP_Grid[#Data],$DE994,91),0)</f>
        <v/>
      </c>
      <c r="CQ994">
        <f>IFERROR(INDEX(PP_Grid[#Data],$DE994,92),0)</f>
        <v/>
      </c>
      <c r="CR994">
        <f>IFERROR(INDEX(PP_Grid[#Data],$DE994,93),0)</f>
        <v/>
      </c>
      <c r="CS994">
        <f>IFERROR(INDEX(PP_Grid[#Data],$DE994,94),0)</f>
        <v/>
      </c>
      <c r="CT994">
        <f>IFERROR(INDEX(PP_Grid[#Data],$DE994,95),0)</f>
        <v/>
      </c>
      <c r="CU994">
        <f>IFERROR(INDEX(PP_Grid[#Data],$DE994,96),0)</f>
        <v/>
      </c>
      <c r="CV994">
        <f>IFERROR(INDEX(PP_Grid[#Data],$DE994,97),0)</f>
        <v/>
      </c>
      <c r="CW994">
        <f>IFERROR(INDEX(PP_Grid[#Data],$DE994,98),0)</f>
        <v/>
      </c>
      <c r="CX994">
        <f>IFERROR(INDEX(PP_Grid[#Data],$DE994,99),0)</f>
        <v/>
      </c>
      <c r="CY994">
        <f>IFERROR(INDEX(PP_Grid[#Data],$DE994,100),0)</f>
        <v/>
      </c>
      <c r="CZ994">
        <f>IFERROR(INDEX(PP_Grid[#Data],$DE994,101),0)</f>
        <v/>
      </c>
      <c r="DA994">
        <f>IFERROR(INDEX(PP_Grid[#Data],$DE994,102),0)</f>
        <v/>
      </c>
      <c r="DB994">
        <f>IFERROR(INDEX(PP_Grid[#Data],$DE994,103),0)</f>
        <v/>
      </c>
      <c r="DC994">
        <f>IFERROR(INDEX(PP_Grid[#Data],$DE994,104),0)</f>
        <v/>
      </c>
      <c r="DD994">
        <f>IFERROR(INDEX(PP_Grid[#Data],$DE994,105),0)</f>
        <v/>
      </c>
      <c r="DE994" s="7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SUMIFS(M_BOM[RM_Qty_Per_Batch],M_BOM[Intermediate],$B994,M_BOM[RM_Code],$A983)</f>
        <v/>
      </c>
      <c r="D995">
        <f>IFERROR(INDEX(E995:DD995,$F$1),"")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  <c r="DD995">
        <f>$C995*DD994</f>
        <v/>
      </c>
    </row>
    <row r="996">
      <c r="B996" t="inlineStr">
        <is>
          <t>VSP-870</t>
        </is>
      </c>
      <c r="C996" t="inlineStr">
        <is>
          <t>No. of batches</t>
        </is>
      </c>
      <c r="D996">
        <f>IFERROR(INDEX(E996:DD996,$F$1),"")</f>
        <v/>
      </c>
      <c r="E996">
        <f>IFERROR(INDEX(PP_Grid[#Data],$DE996,2),0)</f>
        <v/>
      </c>
      <c r="F996">
        <f>IFERROR(INDEX(PP_Grid[#Data],$DE996,3),0)</f>
        <v/>
      </c>
      <c r="G996">
        <f>IFERROR(INDEX(PP_Grid[#Data],$DE996,4),0)</f>
        <v/>
      </c>
      <c r="H996">
        <f>IFERROR(INDEX(PP_Grid[#Data],$DE996,5),0)</f>
        <v/>
      </c>
      <c r="I996">
        <f>IFERROR(INDEX(PP_Grid[#Data],$DE996,6),0)</f>
        <v/>
      </c>
      <c r="J996">
        <f>IFERROR(INDEX(PP_Grid[#Data],$DE996,7),0)</f>
        <v/>
      </c>
      <c r="K996">
        <f>IFERROR(INDEX(PP_Grid[#Data],$DE996,8),0)</f>
        <v/>
      </c>
      <c r="L996">
        <f>IFERROR(INDEX(PP_Grid[#Data],$DE996,9),0)</f>
        <v/>
      </c>
      <c r="M996">
        <f>IFERROR(INDEX(PP_Grid[#Data],$DE996,10),0)</f>
        <v/>
      </c>
      <c r="N996">
        <f>IFERROR(INDEX(PP_Grid[#Data],$DE996,11),0)</f>
        <v/>
      </c>
      <c r="O996">
        <f>IFERROR(INDEX(PP_Grid[#Data],$DE996,12),0)</f>
        <v/>
      </c>
      <c r="P996">
        <f>IFERROR(INDEX(PP_Grid[#Data],$DE996,13),0)</f>
        <v/>
      </c>
      <c r="Q996">
        <f>IFERROR(INDEX(PP_Grid[#Data],$DE996,14),0)</f>
        <v/>
      </c>
      <c r="R996">
        <f>IFERROR(INDEX(PP_Grid[#Data],$DE996,15),0)</f>
        <v/>
      </c>
      <c r="S996">
        <f>IFERROR(INDEX(PP_Grid[#Data],$DE996,16),0)</f>
        <v/>
      </c>
      <c r="T996">
        <f>IFERROR(INDEX(PP_Grid[#Data],$DE996,17),0)</f>
        <v/>
      </c>
      <c r="U996">
        <f>IFERROR(INDEX(PP_Grid[#Data],$DE996,18),0)</f>
        <v/>
      </c>
      <c r="V996">
        <f>IFERROR(INDEX(PP_Grid[#Data],$DE996,19),0)</f>
        <v/>
      </c>
      <c r="W996">
        <f>IFERROR(INDEX(PP_Grid[#Data],$DE996,20),0)</f>
        <v/>
      </c>
      <c r="X996">
        <f>IFERROR(INDEX(PP_Grid[#Data],$DE996,21),0)</f>
        <v/>
      </c>
      <c r="Y996">
        <f>IFERROR(INDEX(PP_Grid[#Data],$DE996,22),0)</f>
        <v/>
      </c>
      <c r="Z996">
        <f>IFERROR(INDEX(PP_Grid[#Data],$DE996,23),0)</f>
        <v/>
      </c>
      <c r="AA996">
        <f>IFERROR(INDEX(PP_Grid[#Data],$DE996,24),0)</f>
        <v/>
      </c>
      <c r="AB996">
        <f>IFERROR(INDEX(PP_Grid[#Data],$DE996,25),0)</f>
        <v/>
      </c>
      <c r="AC996">
        <f>IFERROR(INDEX(PP_Grid[#Data],$DE996,26),0)</f>
        <v/>
      </c>
      <c r="AD996">
        <f>IFERROR(INDEX(PP_Grid[#Data],$DE996,27),0)</f>
        <v/>
      </c>
      <c r="AE996">
        <f>IFERROR(INDEX(PP_Grid[#Data],$DE996,28),0)</f>
        <v/>
      </c>
      <c r="AF996">
        <f>IFERROR(INDEX(PP_Grid[#Data],$DE996,29),0)</f>
        <v/>
      </c>
      <c r="AG996">
        <f>IFERROR(INDEX(PP_Grid[#Data],$DE996,30),0)</f>
        <v/>
      </c>
      <c r="AH996">
        <f>IFERROR(INDEX(PP_Grid[#Data],$DE996,31),0)</f>
        <v/>
      </c>
      <c r="AI996">
        <f>IFERROR(INDEX(PP_Grid[#Data],$DE996,32),0)</f>
        <v/>
      </c>
      <c r="AJ996">
        <f>IFERROR(INDEX(PP_Grid[#Data],$DE996,33),0)</f>
        <v/>
      </c>
      <c r="AK996">
        <f>IFERROR(INDEX(PP_Grid[#Data],$DE996,34),0)</f>
        <v/>
      </c>
      <c r="AL996">
        <f>IFERROR(INDEX(PP_Grid[#Data],$DE996,35),0)</f>
        <v/>
      </c>
      <c r="AM996">
        <f>IFERROR(INDEX(PP_Grid[#Data],$DE996,36),0)</f>
        <v/>
      </c>
      <c r="AN996">
        <f>IFERROR(INDEX(PP_Grid[#Data],$DE996,37),0)</f>
        <v/>
      </c>
      <c r="AO996">
        <f>IFERROR(INDEX(PP_Grid[#Data],$DE996,38),0)</f>
        <v/>
      </c>
      <c r="AP996">
        <f>IFERROR(INDEX(PP_Grid[#Data],$DE996,39),0)</f>
        <v/>
      </c>
      <c r="AQ996">
        <f>IFERROR(INDEX(PP_Grid[#Data],$DE996,40),0)</f>
        <v/>
      </c>
      <c r="AR996">
        <f>IFERROR(INDEX(PP_Grid[#Data],$DE996,41),0)</f>
        <v/>
      </c>
      <c r="AS996">
        <f>IFERROR(INDEX(PP_Grid[#Data],$DE996,42),0)</f>
        <v/>
      </c>
      <c r="AT996">
        <f>IFERROR(INDEX(PP_Grid[#Data],$DE996,43),0)</f>
        <v/>
      </c>
      <c r="AU996">
        <f>IFERROR(INDEX(PP_Grid[#Data],$DE996,44),0)</f>
        <v/>
      </c>
      <c r="AV996">
        <f>IFERROR(INDEX(PP_Grid[#Data],$DE996,45),0)</f>
        <v/>
      </c>
      <c r="AW996">
        <f>IFERROR(INDEX(PP_Grid[#Data],$DE996,46),0)</f>
        <v/>
      </c>
      <c r="AX996">
        <f>IFERROR(INDEX(PP_Grid[#Data],$DE996,47),0)</f>
        <v/>
      </c>
      <c r="AY996">
        <f>IFERROR(INDEX(PP_Grid[#Data],$DE996,48),0)</f>
        <v/>
      </c>
      <c r="AZ996">
        <f>IFERROR(INDEX(PP_Grid[#Data],$DE996,49),0)</f>
        <v/>
      </c>
      <c r="BA996">
        <f>IFERROR(INDEX(PP_Grid[#Data],$DE996,50),0)</f>
        <v/>
      </c>
      <c r="BB996">
        <f>IFERROR(INDEX(PP_Grid[#Data],$DE996,51),0)</f>
        <v/>
      </c>
      <c r="BC996">
        <f>IFERROR(INDEX(PP_Grid[#Data],$DE996,52),0)</f>
        <v/>
      </c>
      <c r="BD996">
        <f>IFERROR(INDEX(PP_Grid[#Data],$DE996,53),0)</f>
        <v/>
      </c>
      <c r="BE996">
        <f>IFERROR(INDEX(PP_Grid[#Data],$DE996,54),0)</f>
        <v/>
      </c>
      <c r="BF996">
        <f>IFERROR(INDEX(PP_Grid[#Data],$DE996,55),0)</f>
        <v/>
      </c>
      <c r="BG996">
        <f>IFERROR(INDEX(PP_Grid[#Data],$DE996,56),0)</f>
        <v/>
      </c>
      <c r="BH996">
        <f>IFERROR(INDEX(PP_Grid[#Data],$DE996,57),0)</f>
        <v/>
      </c>
      <c r="BI996">
        <f>IFERROR(INDEX(PP_Grid[#Data],$DE996,58),0)</f>
        <v/>
      </c>
      <c r="BJ996">
        <f>IFERROR(INDEX(PP_Grid[#Data],$DE996,59),0)</f>
        <v/>
      </c>
      <c r="BK996">
        <f>IFERROR(INDEX(PP_Grid[#Data],$DE996,60),0)</f>
        <v/>
      </c>
      <c r="BL996">
        <f>IFERROR(INDEX(PP_Grid[#Data],$DE996,61),0)</f>
        <v/>
      </c>
      <c r="BM996">
        <f>IFERROR(INDEX(PP_Grid[#Data],$DE996,62),0)</f>
        <v/>
      </c>
      <c r="BN996">
        <f>IFERROR(INDEX(PP_Grid[#Data],$DE996,63),0)</f>
        <v/>
      </c>
      <c r="BO996">
        <f>IFERROR(INDEX(PP_Grid[#Data],$DE996,64),0)</f>
        <v/>
      </c>
      <c r="BP996">
        <f>IFERROR(INDEX(PP_Grid[#Data],$DE996,65),0)</f>
        <v/>
      </c>
      <c r="BQ996">
        <f>IFERROR(INDEX(PP_Grid[#Data],$DE996,66),0)</f>
        <v/>
      </c>
      <c r="BR996">
        <f>IFERROR(INDEX(PP_Grid[#Data],$DE996,67),0)</f>
        <v/>
      </c>
      <c r="BS996">
        <f>IFERROR(INDEX(PP_Grid[#Data],$DE996,68),0)</f>
        <v/>
      </c>
      <c r="BT996">
        <f>IFERROR(INDEX(PP_Grid[#Data],$DE996,69),0)</f>
        <v/>
      </c>
      <c r="BU996">
        <f>IFERROR(INDEX(PP_Grid[#Data],$DE996,70),0)</f>
        <v/>
      </c>
      <c r="BV996">
        <f>IFERROR(INDEX(PP_Grid[#Data],$DE996,71),0)</f>
        <v/>
      </c>
      <c r="BW996">
        <f>IFERROR(INDEX(PP_Grid[#Data],$DE996,72),0)</f>
        <v/>
      </c>
      <c r="BX996">
        <f>IFERROR(INDEX(PP_Grid[#Data],$DE996,73),0)</f>
        <v/>
      </c>
      <c r="BY996">
        <f>IFERROR(INDEX(PP_Grid[#Data],$DE996,74),0)</f>
        <v/>
      </c>
      <c r="BZ996">
        <f>IFERROR(INDEX(PP_Grid[#Data],$DE996,75),0)</f>
        <v/>
      </c>
      <c r="CA996">
        <f>IFERROR(INDEX(PP_Grid[#Data],$DE996,76),0)</f>
        <v/>
      </c>
      <c r="CB996">
        <f>IFERROR(INDEX(PP_Grid[#Data],$DE996,77),0)</f>
        <v/>
      </c>
      <c r="CC996">
        <f>IFERROR(INDEX(PP_Grid[#Data],$DE996,78),0)</f>
        <v/>
      </c>
      <c r="CD996">
        <f>IFERROR(INDEX(PP_Grid[#Data],$DE996,79),0)</f>
        <v/>
      </c>
      <c r="CE996">
        <f>IFERROR(INDEX(PP_Grid[#Data],$DE996,80),0)</f>
        <v/>
      </c>
      <c r="CF996">
        <f>IFERROR(INDEX(PP_Grid[#Data],$DE996,81),0)</f>
        <v/>
      </c>
      <c r="CG996">
        <f>IFERROR(INDEX(PP_Grid[#Data],$DE996,82),0)</f>
        <v/>
      </c>
      <c r="CH996">
        <f>IFERROR(INDEX(PP_Grid[#Data],$DE996,83),0)</f>
        <v/>
      </c>
      <c r="CI996">
        <f>IFERROR(INDEX(PP_Grid[#Data],$DE996,84),0)</f>
        <v/>
      </c>
      <c r="CJ996">
        <f>IFERROR(INDEX(PP_Grid[#Data],$DE996,85),0)</f>
        <v/>
      </c>
      <c r="CK996">
        <f>IFERROR(INDEX(PP_Grid[#Data],$DE996,86),0)</f>
        <v/>
      </c>
      <c r="CL996">
        <f>IFERROR(INDEX(PP_Grid[#Data],$DE996,87),0)</f>
        <v/>
      </c>
      <c r="CM996">
        <f>IFERROR(INDEX(PP_Grid[#Data],$DE996,88),0)</f>
        <v/>
      </c>
      <c r="CN996">
        <f>IFERROR(INDEX(PP_Grid[#Data],$DE996,89),0)</f>
        <v/>
      </c>
      <c r="CO996">
        <f>IFERROR(INDEX(PP_Grid[#Data],$DE996,90),0)</f>
        <v/>
      </c>
      <c r="CP996">
        <f>IFERROR(INDEX(PP_Grid[#Data],$DE996,91),0)</f>
        <v/>
      </c>
      <c r="CQ996">
        <f>IFERROR(INDEX(PP_Grid[#Data],$DE996,92),0)</f>
        <v/>
      </c>
      <c r="CR996">
        <f>IFERROR(INDEX(PP_Grid[#Data],$DE996,93),0)</f>
        <v/>
      </c>
      <c r="CS996">
        <f>IFERROR(INDEX(PP_Grid[#Data],$DE996,94),0)</f>
        <v/>
      </c>
      <c r="CT996">
        <f>IFERROR(INDEX(PP_Grid[#Data],$DE996,95),0)</f>
        <v/>
      </c>
      <c r="CU996">
        <f>IFERROR(INDEX(PP_Grid[#Data],$DE996,96),0)</f>
        <v/>
      </c>
      <c r="CV996">
        <f>IFERROR(INDEX(PP_Grid[#Data],$DE996,97),0)</f>
        <v/>
      </c>
      <c r="CW996">
        <f>IFERROR(INDEX(PP_Grid[#Data],$DE996,98),0)</f>
        <v/>
      </c>
      <c r="CX996">
        <f>IFERROR(INDEX(PP_Grid[#Data],$DE996,99),0)</f>
        <v/>
      </c>
      <c r="CY996">
        <f>IFERROR(INDEX(PP_Grid[#Data],$DE996,100),0)</f>
        <v/>
      </c>
      <c r="CZ996">
        <f>IFERROR(INDEX(PP_Grid[#Data],$DE996,101),0)</f>
        <v/>
      </c>
      <c r="DA996">
        <f>IFERROR(INDEX(PP_Grid[#Data],$DE996,102),0)</f>
        <v/>
      </c>
      <c r="DB996">
        <f>IFERROR(INDEX(PP_Grid[#Data],$DE996,103),0)</f>
        <v/>
      </c>
      <c r="DC996">
        <f>IFERROR(INDEX(PP_Grid[#Data],$DE996,104),0)</f>
        <v/>
      </c>
      <c r="DD996">
        <f>IFERROR(INDEX(PP_Grid[#Data],$DE996,105),0)</f>
        <v/>
      </c>
      <c r="DE996" s="7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SUMIFS(M_BOM[RM_Qty_Per_Batch],M_BOM[Intermediate],$B996,M_BOM[RM_Code],$A983)</f>
        <v/>
      </c>
      <c r="D997">
        <f>IFERROR(INDEX(E997:DD997,$F$1),"")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  <c r="DD997">
        <f>$C997*DD996</f>
        <v/>
      </c>
    </row>
    <row r="998">
      <c r="B998" t="inlineStr">
        <is>
          <t>VSP-910</t>
        </is>
      </c>
      <c r="C998" t="inlineStr">
        <is>
          <t>No. of batches</t>
        </is>
      </c>
      <c r="D998">
        <f>IFERROR(INDEX(E998:DD998,$F$1),"")</f>
        <v/>
      </c>
      <c r="E998">
        <f>IFERROR(INDEX(PP_Grid[#Data],$DE998,2),0)</f>
        <v/>
      </c>
      <c r="F998">
        <f>IFERROR(INDEX(PP_Grid[#Data],$DE998,3),0)</f>
        <v/>
      </c>
      <c r="G998">
        <f>IFERROR(INDEX(PP_Grid[#Data],$DE998,4),0)</f>
        <v/>
      </c>
      <c r="H998">
        <f>IFERROR(INDEX(PP_Grid[#Data],$DE998,5),0)</f>
        <v/>
      </c>
      <c r="I998">
        <f>IFERROR(INDEX(PP_Grid[#Data],$DE998,6),0)</f>
        <v/>
      </c>
      <c r="J998">
        <f>IFERROR(INDEX(PP_Grid[#Data],$DE998,7),0)</f>
        <v/>
      </c>
      <c r="K998">
        <f>IFERROR(INDEX(PP_Grid[#Data],$DE998,8),0)</f>
        <v/>
      </c>
      <c r="L998">
        <f>IFERROR(INDEX(PP_Grid[#Data],$DE998,9),0)</f>
        <v/>
      </c>
      <c r="M998">
        <f>IFERROR(INDEX(PP_Grid[#Data],$DE998,10),0)</f>
        <v/>
      </c>
      <c r="N998">
        <f>IFERROR(INDEX(PP_Grid[#Data],$DE998,11),0)</f>
        <v/>
      </c>
      <c r="O998">
        <f>IFERROR(INDEX(PP_Grid[#Data],$DE998,12),0)</f>
        <v/>
      </c>
      <c r="P998">
        <f>IFERROR(INDEX(PP_Grid[#Data],$DE998,13),0)</f>
        <v/>
      </c>
      <c r="Q998">
        <f>IFERROR(INDEX(PP_Grid[#Data],$DE998,14),0)</f>
        <v/>
      </c>
      <c r="R998">
        <f>IFERROR(INDEX(PP_Grid[#Data],$DE998,15),0)</f>
        <v/>
      </c>
      <c r="S998">
        <f>IFERROR(INDEX(PP_Grid[#Data],$DE998,16),0)</f>
        <v/>
      </c>
      <c r="T998">
        <f>IFERROR(INDEX(PP_Grid[#Data],$DE998,17),0)</f>
        <v/>
      </c>
      <c r="U998">
        <f>IFERROR(INDEX(PP_Grid[#Data],$DE998,18),0)</f>
        <v/>
      </c>
      <c r="V998">
        <f>IFERROR(INDEX(PP_Grid[#Data],$DE998,19),0)</f>
        <v/>
      </c>
      <c r="W998">
        <f>IFERROR(INDEX(PP_Grid[#Data],$DE998,20),0)</f>
        <v/>
      </c>
      <c r="X998">
        <f>IFERROR(INDEX(PP_Grid[#Data],$DE998,21),0)</f>
        <v/>
      </c>
      <c r="Y998">
        <f>IFERROR(INDEX(PP_Grid[#Data],$DE998,22),0)</f>
        <v/>
      </c>
      <c r="Z998">
        <f>IFERROR(INDEX(PP_Grid[#Data],$DE998,23),0)</f>
        <v/>
      </c>
      <c r="AA998">
        <f>IFERROR(INDEX(PP_Grid[#Data],$DE998,24),0)</f>
        <v/>
      </c>
      <c r="AB998">
        <f>IFERROR(INDEX(PP_Grid[#Data],$DE998,25),0)</f>
        <v/>
      </c>
      <c r="AC998">
        <f>IFERROR(INDEX(PP_Grid[#Data],$DE998,26),0)</f>
        <v/>
      </c>
      <c r="AD998">
        <f>IFERROR(INDEX(PP_Grid[#Data],$DE998,27),0)</f>
        <v/>
      </c>
      <c r="AE998">
        <f>IFERROR(INDEX(PP_Grid[#Data],$DE998,28),0)</f>
        <v/>
      </c>
      <c r="AF998">
        <f>IFERROR(INDEX(PP_Grid[#Data],$DE998,29),0)</f>
        <v/>
      </c>
      <c r="AG998">
        <f>IFERROR(INDEX(PP_Grid[#Data],$DE998,30),0)</f>
        <v/>
      </c>
      <c r="AH998">
        <f>IFERROR(INDEX(PP_Grid[#Data],$DE998,31),0)</f>
        <v/>
      </c>
      <c r="AI998">
        <f>IFERROR(INDEX(PP_Grid[#Data],$DE998,32),0)</f>
        <v/>
      </c>
      <c r="AJ998">
        <f>IFERROR(INDEX(PP_Grid[#Data],$DE998,33),0)</f>
        <v/>
      </c>
      <c r="AK998">
        <f>IFERROR(INDEX(PP_Grid[#Data],$DE998,34),0)</f>
        <v/>
      </c>
      <c r="AL998">
        <f>IFERROR(INDEX(PP_Grid[#Data],$DE998,35),0)</f>
        <v/>
      </c>
      <c r="AM998">
        <f>IFERROR(INDEX(PP_Grid[#Data],$DE998,36),0)</f>
        <v/>
      </c>
      <c r="AN998">
        <f>IFERROR(INDEX(PP_Grid[#Data],$DE998,37),0)</f>
        <v/>
      </c>
      <c r="AO998">
        <f>IFERROR(INDEX(PP_Grid[#Data],$DE998,38),0)</f>
        <v/>
      </c>
      <c r="AP998">
        <f>IFERROR(INDEX(PP_Grid[#Data],$DE998,39),0)</f>
        <v/>
      </c>
      <c r="AQ998">
        <f>IFERROR(INDEX(PP_Grid[#Data],$DE998,40),0)</f>
        <v/>
      </c>
      <c r="AR998">
        <f>IFERROR(INDEX(PP_Grid[#Data],$DE998,41),0)</f>
        <v/>
      </c>
      <c r="AS998">
        <f>IFERROR(INDEX(PP_Grid[#Data],$DE998,42),0)</f>
        <v/>
      </c>
      <c r="AT998">
        <f>IFERROR(INDEX(PP_Grid[#Data],$DE998,43),0)</f>
        <v/>
      </c>
      <c r="AU998">
        <f>IFERROR(INDEX(PP_Grid[#Data],$DE998,44),0)</f>
        <v/>
      </c>
      <c r="AV998">
        <f>IFERROR(INDEX(PP_Grid[#Data],$DE998,45),0)</f>
        <v/>
      </c>
      <c r="AW998">
        <f>IFERROR(INDEX(PP_Grid[#Data],$DE998,46),0)</f>
        <v/>
      </c>
      <c r="AX998">
        <f>IFERROR(INDEX(PP_Grid[#Data],$DE998,47),0)</f>
        <v/>
      </c>
      <c r="AY998">
        <f>IFERROR(INDEX(PP_Grid[#Data],$DE998,48),0)</f>
        <v/>
      </c>
      <c r="AZ998">
        <f>IFERROR(INDEX(PP_Grid[#Data],$DE998,49),0)</f>
        <v/>
      </c>
      <c r="BA998">
        <f>IFERROR(INDEX(PP_Grid[#Data],$DE998,50),0)</f>
        <v/>
      </c>
      <c r="BB998">
        <f>IFERROR(INDEX(PP_Grid[#Data],$DE998,51),0)</f>
        <v/>
      </c>
      <c r="BC998">
        <f>IFERROR(INDEX(PP_Grid[#Data],$DE998,52),0)</f>
        <v/>
      </c>
      <c r="BD998">
        <f>IFERROR(INDEX(PP_Grid[#Data],$DE998,53),0)</f>
        <v/>
      </c>
      <c r="BE998">
        <f>IFERROR(INDEX(PP_Grid[#Data],$DE998,54),0)</f>
        <v/>
      </c>
      <c r="BF998">
        <f>IFERROR(INDEX(PP_Grid[#Data],$DE998,55),0)</f>
        <v/>
      </c>
      <c r="BG998">
        <f>IFERROR(INDEX(PP_Grid[#Data],$DE998,56),0)</f>
        <v/>
      </c>
      <c r="BH998">
        <f>IFERROR(INDEX(PP_Grid[#Data],$DE998,57),0)</f>
        <v/>
      </c>
      <c r="BI998">
        <f>IFERROR(INDEX(PP_Grid[#Data],$DE998,58),0)</f>
        <v/>
      </c>
      <c r="BJ998">
        <f>IFERROR(INDEX(PP_Grid[#Data],$DE998,59),0)</f>
        <v/>
      </c>
      <c r="BK998">
        <f>IFERROR(INDEX(PP_Grid[#Data],$DE998,60),0)</f>
        <v/>
      </c>
      <c r="BL998">
        <f>IFERROR(INDEX(PP_Grid[#Data],$DE998,61),0)</f>
        <v/>
      </c>
      <c r="BM998">
        <f>IFERROR(INDEX(PP_Grid[#Data],$DE998,62),0)</f>
        <v/>
      </c>
      <c r="BN998">
        <f>IFERROR(INDEX(PP_Grid[#Data],$DE998,63),0)</f>
        <v/>
      </c>
      <c r="BO998">
        <f>IFERROR(INDEX(PP_Grid[#Data],$DE998,64),0)</f>
        <v/>
      </c>
      <c r="BP998">
        <f>IFERROR(INDEX(PP_Grid[#Data],$DE998,65),0)</f>
        <v/>
      </c>
      <c r="BQ998">
        <f>IFERROR(INDEX(PP_Grid[#Data],$DE998,66),0)</f>
        <v/>
      </c>
      <c r="BR998">
        <f>IFERROR(INDEX(PP_Grid[#Data],$DE998,67),0)</f>
        <v/>
      </c>
      <c r="BS998">
        <f>IFERROR(INDEX(PP_Grid[#Data],$DE998,68),0)</f>
        <v/>
      </c>
      <c r="BT998">
        <f>IFERROR(INDEX(PP_Grid[#Data],$DE998,69),0)</f>
        <v/>
      </c>
      <c r="BU998">
        <f>IFERROR(INDEX(PP_Grid[#Data],$DE998,70),0)</f>
        <v/>
      </c>
      <c r="BV998">
        <f>IFERROR(INDEX(PP_Grid[#Data],$DE998,71),0)</f>
        <v/>
      </c>
      <c r="BW998">
        <f>IFERROR(INDEX(PP_Grid[#Data],$DE998,72),0)</f>
        <v/>
      </c>
      <c r="BX998">
        <f>IFERROR(INDEX(PP_Grid[#Data],$DE998,73),0)</f>
        <v/>
      </c>
      <c r="BY998">
        <f>IFERROR(INDEX(PP_Grid[#Data],$DE998,74),0)</f>
        <v/>
      </c>
      <c r="BZ998">
        <f>IFERROR(INDEX(PP_Grid[#Data],$DE998,75),0)</f>
        <v/>
      </c>
      <c r="CA998">
        <f>IFERROR(INDEX(PP_Grid[#Data],$DE998,76),0)</f>
        <v/>
      </c>
      <c r="CB998">
        <f>IFERROR(INDEX(PP_Grid[#Data],$DE998,77),0)</f>
        <v/>
      </c>
      <c r="CC998">
        <f>IFERROR(INDEX(PP_Grid[#Data],$DE998,78),0)</f>
        <v/>
      </c>
      <c r="CD998">
        <f>IFERROR(INDEX(PP_Grid[#Data],$DE998,79),0)</f>
        <v/>
      </c>
      <c r="CE998">
        <f>IFERROR(INDEX(PP_Grid[#Data],$DE998,80),0)</f>
        <v/>
      </c>
      <c r="CF998">
        <f>IFERROR(INDEX(PP_Grid[#Data],$DE998,81),0)</f>
        <v/>
      </c>
      <c r="CG998">
        <f>IFERROR(INDEX(PP_Grid[#Data],$DE998,82),0)</f>
        <v/>
      </c>
      <c r="CH998">
        <f>IFERROR(INDEX(PP_Grid[#Data],$DE998,83),0)</f>
        <v/>
      </c>
      <c r="CI998">
        <f>IFERROR(INDEX(PP_Grid[#Data],$DE998,84),0)</f>
        <v/>
      </c>
      <c r="CJ998">
        <f>IFERROR(INDEX(PP_Grid[#Data],$DE998,85),0)</f>
        <v/>
      </c>
      <c r="CK998">
        <f>IFERROR(INDEX(PP_Grid[#Data],$DE998,86),0)</f>
        <v/>
      </c>
      <c r="CL998">
        <f>IFERROR(INDEX(PP_Grid[#Data],$DE998,87),0)</f>
        <v/>
      </c>
      <c r="CM998">
        <f>IFERROR(INDEX(PP_Grid[#Data],$DE998,88),0)</f>
        <v/>
      </c>
      <c r="CN998">
        <f>IFERROR(INDEX(PP_Grid[#Data],$DE998,89),0)</f>
        <v/>
      </c>
      <c r="CO998">
        <f>IFERROR(INDEX(PP_Grid[#Data],$DE998,90),0)</f>
        <v/>
      </c>
      <c r="CP998">
        <f>IFERROR(INDEX(PP_Grid[#Data],$DE998,91),0)</f>
        <v/>
      </c>
      <c r="CQ998">
        <f>IFERROR(INDEX(PP_Grid[#Data],$DE998,92),0)</f>
        <v/>
      </c>
      <c r="CR998">
        <f>IFERROR(INDEX(PP_Grid[#Data],$DE998,93),0)</f>
        <v/>
      </c>
      <c r="CS998">
        <f>IFERROR(INDEX(PP_Grid[#Data],$DE998,94),0)</f>
        <v/>
      </c>
      <c r="CT998">
        <f>IFERROR(INDEX(PP_Grid[#Data],$DE998,95),0)</f>
        <v/>
      </c>
      <c r="CU998">
        <f>IFERROR(INDEX(PP_Grid[#Data],$DE998,96),0)</f>
        <v/>
      </c>
      <c r="CV998">
        <f>IFERROR(INDEX(PP_Grid[#Data],$DE998,97),0)</f>
        <v/>
      </c>
      <c r="CW998">
        <f>IFERROR(INDEX(PP_Grid[#Data],$DE998,98),0)</f>
        <v/>
      </c>
      <c r="CX998">
        <f>IFERROR(INDEX(PP_Grid[#Data],$DE998,99),0)</f>
        <v/>
      </c>
      <c r="CY998">
        <f>IFERROR(INDEX(PP_Grid[#Data],$DE998,100),0)</f>
        <v/>
      </c>
      <c r="CZ998">
        <f>IFERROR(INDEX(PP_Grid[#Data],$DE998,101),0)</f>
        <v/>
      </c>
      <c r="DA998">
        <f>IFERROR(INDEX(PP_Grid[#Data],$DE998,102),0)</f>
        <v/>
      </c>
      <c r="DB998">
        <f>IFERROR(INDEX(PP_Grid[#Data],$DE998,103),0)</f>
        <v/>
      </c>
      <c r="DC998">
        <f>IFERROR(INDEX(PP_Grid[#Data],$DE998,104),0)</f>
        <v/>
      </c>
      <c r="DD998">
        <f>IFERROR(INDEX(PP_Grid[#Data],$DE998,105),0)</f>
        <v/>
      </c>
      <c r="DE998" s="7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SUMIFS(M_BOM[RM_Qty_Per_Batch],M_BOM[Intermediate],$B998,M_BOM[RM_Code],$A983)</f>
        <v/>
      </c>
      <c r="D999">
        <f>IFERROR(INDEX(E999:DD999,$F$1),"")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  <c r="DD999">
        <f>$C999*DD998</f>
        <v/>
      </c>
    </row>
    <row r="1000">
      <c r="B1000" t="inlineStr">
        <is>
          <t>VSP-989</t>
        </is>
      </c>
      <c r="C1000" t="inlineStr">
        <is>
          <t>No. of batches</t>
        </is>
      </c>
      <c r="D1000">
        <f>IFERROR(INDEX(E1000:DD1000,$F$1),"")</f>
        <v/>
      </c>
      <c r="E1000">
        <f>IFERROR(INDEX(PP_Grid[#Data],$DE1000,2),0)</f>
        <v/>
      </c>
      <c r="F1000">
        <f>IFERROR(INDEX(PP_Grid[#Data],$DE1000,3),0)</f>
        <v/>
      </c>
      <c r="G1000">
        <f>IFERROR(INDEX(PP_Grid[#Data],$DE1000,4),0)</f>
        <v/>
      </c>
      <c r="H1000">
        <f>IFERROR(INDEX(PP_Grid[#Data],$DE1000,5),0)</f>
        <v/>
      </c>
      <c r="I1000">
        <f>IFERROR(INDEX(PP_Grid[#Data],$DE1000,6),0)</f>
        <v/>
      </c>
      <c r="J1000">
        <f>IFERROR(INDEX(PP_Grid[#Data],$DE1000,7),0)</f>
        <v/>
      </c>
      <c r="K1000">
        <f>IFERROR(INDEX(PP_Grid[#Data],$DE1000,8),0)</f>
        <v/>
      </c>
      <c r="L1000">
        <f>IFERROR(INDEX(PP_Grid[#Data],$DE1000,9),0)</f>
        <v/>
      </c>
      <c r="M1000">
        <f>IFERROR(INDEX(PP_Grid[#Data],$DE1000,10),0)</f>
        <v/>
      </c>
      <c r="N1000">
        <f>IFERROR(INDEX(PP_Grid[#Data],$DE1000,11),0)</f>
        <v/>
      </c>
      <c r="O1000">
        <f>IFERROR(INDEX(PP_Grid[#Data],$DE1000,12),0)</f>
        <v/>
      </c>
      <c r="P1000">
        <f>IFERROR(INDEX(PP_Grid[#Data],$DE1000,13),0)</f>
        <v/>
      </c>
      <c r="Q1000">
        <f>IFERROR(INDEX(PP_Grid[#Data],$DE1000,14),0)</f>
        <v/>
      </c>
      <c r="R1000">
        <f>IFERROR(INDEX(PP_Grid[#Data],$DE1000,15),0)</f>
        <v/>
      </c>
      <c r="S1000">
        <f>IFERROR(INDEX(PP_Grid[#Data],$DE1000,16),0)</f>
        <v/>
      </c>
      <c r="T1000">
        <f>IFERROR(INDEX(PP_Grid[#Data],$DE1000,17),0)</f>
        <v/>
      </c>
      <c r="U1000">
        <f>IFERROR(INDEX(PP_Grid[#Data],$DE1000,18),0)</f>
        <v/>
      </c>
      <c r="V1000">
        <f>IFERROR(INDEX(PP_Grid[#Data],$DE1000,19),0)</f>
        <v/>
      </c>
      <c r="W1000">
        <f>IFERROR(INDEX(PP_Grid[#Data],$DE1000,20),0)</f>
        <v/>
      </c>
      <c r="X1000">
        <f>IFERROR(INDEX(PP_Grid[#Data],$DE1000,21),0)</f>
        <v/>
      </c>
      <c r="Y1000">
        <f>IFERROR(INDEX(PP_Grid[#Data],$DE1000,22),0)</f>
        <v/>
      </c>
      <c r="Z1000">
        <f>IFERROR(INDEX(PP_Grid[#Data],$DE1000,23),0)</f>
        <v/>
      </c>
      <c r="AA1000">
        <f>IFERROR(INDEX(PP_Grid[#Data],$DE1000,24),0)</f>
        <v/>
      </c>
      <c r="AB1000">
        <f>IFERROR(INDEX(PP_Grid[#Data],$DE1000,25),0)</f>
        <v/>
      </c>
      <c r="AC1000">
        <f>IFERROR(INDEX(PP_Grid[#Data],$DE1000,26),0)</f>
        <v/>
      </c>
      <c r="AD1000">
        <f>IFERROR(INDEX(PP_Grid[#Data],$DE1000,27),0)</f>
        <v/>
      </c>
      <c r="AE1000">
        <f>IFERROR(INDEX(PP_Grid[#Data],$DE1000,28),0)</f>
        <v/>
      </c>
      <c r="AF1000">
        <f>IFERROR(INDEX(PP_Grid[#Data],$DE1000,29),0)</f>
        <v/>
      </c>
      <c r="AG1000">
        <f>IFERROR(INDEX(PP_Grid[#Data],$DE1000,30),0)</f>
        <v/>
      </c>
      <c r="AH1000">
        <f>IFERROR(INDEX(PP_Grid[#Data],$DE1000,31),0)</f>
        <v/>
      </c>
      <c r="AI1000">
        <f>IFERROR(INDEX(PP_Grid[#Data],$DE1000,32),0)</f>
        <v/>
      </c>
      <c r="AJ1000">
        <f>IFERROR(INDEX(PP_Grid[#Data],$DE1000,33),0)</f>
        <v/>
      </c>
      <c r="AK1000">
        <f>IFERROR(INDEX(PP_Grid[#Data],$DE1000,34),0)</f>
        <v/>
      </c>
      <c r="AL1000">
        <f>IFERROR(INDEX(PP_Grid[#Data],$DE1000,35),0)</f>
        <v/>
      </c>
      <c r="AM1000">
        <f>IFERROR(INDEX(PP_Grid[#Data],$DE1000,36),0)</f>
        <v/>
      </c>
      <c r="AN1000">
        <f>IFERROR(INDEX(PP_Grid[#Data],$DE1000,37),0)</f>
        <v/>
      </c>
      <c r="AO1000">
        <f>IFERROR(INDEX(PP_Grid[#Data],$DE1000,38),0)</f>
        <v/>
      </c>
      <c r="AP1000">
        <f>IFERROR(INDEX(PP_Grid[#Data],$DE1000,39),0)</f>
        <v/>
      </c>
      <c r="AQ1000">
        <f>IFERROR(INDEX(PP_Grid[#Data],$DE1000,40),0)</f>
        <v/>
      </c>
      <c r="AR1000">
        <f>IFERROR(INDEX(PP_Grid[#Data],$DE1000,41),0)</f>
        <v/>
      </c>
      <c r="AS1000">
        <f>IFERROR(INDEX(PP_Grid[#Data],$DE1000,42),0)</f>
        <v/>
      </c>
      <c r="AT1000">
        <f>IFERROR(INDEX(PP_Grid[#Data],$DE1000,43),0)</f>
        <v/>
      </c>
      <c r="AU1000">
        <f>IFERROR(INDEX(PP_Grid[#Data],$DE1000,44),0)</f>
        <v/>
      </c>
      <c r="AV1000">
        <f>IFERROR(INDEX(PP_Grid[#Data],$DE1000,45),0)</f>
        <v/>
      </c>
      <c r="AW1000">
        <f>IFERROR(INDEX(PP_Grid[#Data],$DE1000,46),0)</f>
        <v/>
      </c>
      <c r="AX1000">
        <f>IFERROR(INDEX(PP_Grid[#Data],$DE1000,47),0)</f>
        <v/>
      </c>
      <c r="AY1000">
        <f>IFERROR(INDEX(PP_Grid[#Data],$DE1000,48),0)</f>
        <v/>
      </c>
      <c r="AZ1000">
        <f>IFERROR(INDEX(PP_Grid[#Data],$DE1000,49),0)</f>
        <v/>
      </c>
      <c r="BA1000">
        <f>IFERROR(INDEX(PP_Grid[#Data],$DE1000,50),0)</f>
        <v/>
      </c>
      <c r="BB1000">
        <f>IFERROR(INDEX(PP_Grid[#Data],$DE1000,51),0)</f>
        <v/>
      </c>
      <c r="BC1000">
        <f>IFERROR(INDEX(PP_Grid[#Data],$DE1000,52),0)</f>
        <v/>
      </c>
      <c r="BD1000">
        <f>IFERROR(INDEX(PP_Grid[#Data],$DE1000,53),0)</f>
        <v/>
      </c>
      <c r="BE1000">
        <f>IFERROR(INDEX(PP_Grid[#Data],$DE1000,54),0)</f>
        <v/>
      </c>
      <c r="BF1000">
        <f>IFERROR(INDEX(PP_Grid[#Data],$DE1000,55),0)</f>
        <v/>
      </c>
      <c r="BG1000">
        <f>IFERROR(INDEX(PP_Grid[#Data],$DE1000,56),0)</f>
        <v/>
      </c>
      <c r="BH1000">
        <f>IFERROR(INDEX(PP_Grid[#Data],$DE1000,57),0)</f>
        <v/>
      </c>
      <c r="BI1000">
        <f>IFERROR(INDEX(PP_Grid[#Data],$DE1000,58),0)</f>
        <v/>
      </c>
      <c r="BJ1000">
        <f>IFERROR(INDEX(PP_Grid[#Data],$DE1000,59),0)</f>
        <v/>
      </c>
      <c r="BK1000">
        <f>IFERROR(INDEX(PP_Grid[#Data],$DE1000,60),0)</f>
        <v/>
      </c>
      <c r="BL1000">
        <f>IFERROR(INDEX(PP_Grid[#Data],$DE1000,61),0)</f>
        <v/>
      </c>
      <c r="BM1000">
        <f>IFERROR(INDEX(PP_Grid[#Data],$DE1000,62),0)</f>
        <v/>
      </c>
      <c r="BN1000">
        <f>IFERROR(INDEX(PP_Grid[#Data],$DE1000,63),0)</f>
        <v/>
      </c>
      <c r="BO1000">
        <f>IFERROR(INDEX(PP_Grid[#Data],$DE1000,64),0)</f>
        <v/>
      </c>
      <c r="BP1000">
        <f>IFERROR(INDEX(PP_Grid[#Data],$DE1000,65),0)</f>
        <v/>
      </c>
      <c r="BQ1000">
        <f>IFERROR(INDEX(PP_Grid[#Data],$DE1000,66),0)</f>
        <v/>
      </c>
      <c r="BR1000">
        <f>IFERROR(INDEX(PP_Grid[#Data],$DE1000,67),0)</f>
        <v/>
      </c>
      <c r="BS1000">
        <f>IFERROR(INDEX(PP_Grid[#Data],$DE1000,68),0)</f>
        <v/>
      </c>
      <c r="BT1000">
        <f>IFERROR(INDEX(PP_Grid[#Data],$DE1000,69),0)</f>
        <v/>
      </c>
      <c r="BU1000">
        <f>IFERROR(INDEX(PP_Grid[#Data],$DE1000,70),0)</f>
        <v/>
      </c>
      <c r="BV1000">
        <f>IFERROR(INDEX(PP_Grid[#Data],$DE1000,71),0)</f>
        <v/>
      </c>
      <c r="BW1000">
        <f>IFERROR(INDEX(PP_Grid[#Data],$DE1000,72),0)</f>
        <v/>
      </c>
      <c r="BX1000">
        <f>IFERROR(INDEX(PP_Grid[#Data],$DE1000,73),0)</f>
        <v/>
      </c>
      <c r="BY1000">
        <f>IFERROR(INDEX(PP_Grid[#Data],$DE1000,74),0)</f>
        <v/>
      </c>
      <c r="BZ1000">
        <f>IFERROR(INDEX(PP_Grid[#Data],$DE1000,75),0)</f>
        <v/>
      </c>
      <c r="CA1000">
        <f>IFERROR(INDEX(PP_Grid[#Data],$DE1000,76),0)</f>
        <v/>
      </c>
      <c r="CB1000">
        <f>IFERROR(INDEX(PP_Grid[#Data],$DE1000,77),0)</f>
        <v/>
      </c>
      <c r="CC1000">
        <f>IFERROR(INDEX(PP_Grid[#Data],$DE1000,78),0)</f>
        <v/>
      </c>
      <c r="CD1000">
        <f>IFERROR(INDEX(PP_Grid[#Data],$DE1000,79),0)</f>
        <v/>
      </c>
      <c r="CE1000">
        <f>IFERROR(INDEX(PP_Grid[#Data],$DE1000,80),0)</f>
        <v/>
      </c>
      <c r="CF1000">
        <f>IFERROR(INDEX(PP_Grid[#Data],$DE1000,81),0)</f>
        <v/>
      </c>
      <c r="CG1000">
        <f>IFERROR(INDEX(PP_Grid[#Data],$DE1000,82),0)</f>
        <v/>
      </c>
      <c r="CH1000">
        <f>IFERROR(INDEX(PP_Grid[#Data],$DE1000,83),0)</f>
        <v/>
      </c>
      <c r="CI1000">
        <f>IFERROR(INDEX(PP_Grid[#Data],$DE1000,84),0)</f>
        <v/>
      </c>
      <c r="CJ1000">
        <f>IFERROR(INDEX(PP_Grid[#Data],$DE1000,85),0)</f>
        <v/>
      </c>
      <c r="CK1000">
        <f>IFERROR(INDEX(PP_Grid[#Data],$DE1000,86),0)</f>
        <v/>
      </c>
      <c r="CL1000">
        <f>IFERROR(INDEX(PP_Grid[#Data],$DE1000,87),0)</f>
        <v/>
      </c>
      <c r="CM1000">
        <f>IFERROR(INDEX(PP_Grid[#Data],$DE1000,88),0)</f>
        <v/>
      </c>
      <c r="CN1000">
        <f>IFERROR(INDEX(PP_Grid[#Data],$DE1000,89),0)</f>
        <v/>
      </c>
      <c r="CO1000">
        <f>IFERROR(INDEX(PP_Grid[#Data],$DE1000,90),0)</f>
        <v/>
      </c>
      <c r="CP1000">
        <f>IFERROR(INDEX(PP_Grid[#Data],$DE1000,91),0)</f>
        <v/>
      </c>
      <c r="CQ1000">
        <f>IFERROR(INDEX(PP_Grid[#Data],$DE1000,92),0)</f>
        <v/>
      </c>
      <c r="CR1000">
        <f>IFERROR(INDEX(PP_Grid[#Data],$DE1000,93),0)</f>
        <v/>
      </c>
      <c r="CS1000">
        <f>IFERROR(INDEX(PP_Grid[#Data],$DE1000,94),0)</f>
        <v/>
      </c>
      <c r="CT1000">
        <f>IFERROR(INDEX(PP_Grid[#Data],$DE1000,95),0)</f>
        <v/>
      </c>
      <c r="CU1000">
        <f>IFERROR(INDEX(PP_Grid[#Data],$DE1000,96),0)</f>
        <v/>
      </c>
      <c r="CV1000">
        <f>IFERROR(INDEX(PP_Grid[#Data],$DE1000,97),0)</f>
        <v/>
      </c>
      <c r="CW1000">
        <f>IFERROR(INDEX(PP_Grid[#Data],$DE1000,98),0)</f>
        <v/>
      </c>
      <c r="CX1000">
        <f>IFERROR(INDEX(PP_Grid[#Data],$DE1000,99),0)</f>
        <v/>
      </c>
      <c r="CY1000">
        <f>IFERROR(INDEX(PP_Grid[#Data],$DE1000,100),0)</f>
        <v/>
      </c>
      <c r="CZ1000">
        <f>IFERROR(INDEX(PP_Grid[#Data],$DE1000,101),0)</f>
        <v/>
      </c>
      <c r="DA1000">
        <f>IFERROR(INDEX(PP_Grid[#Data],$DE1000,102),0)</f>
        <v/>
      </c>
      <c r="DB1000">
        <f>IFERROR(INDEX(PP_Grid[#Data],$DE1000,103),0)</f>
        <v/>
      </c>
      <c r="DC1000">
        <f>IFERROR(INDEX(PP_Grid[#Data],$DE1000,104),0)</f>
        <v/>
      </c>
      <c r="DD1000">
        <f>IFERROR(INDEX(PP_Grid[#Data],$DE1000,105),0)</f>
        <v/>
      </c>
      <c r="DE1000" s="7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SUMIFS(M_BOM[RM_Qty_Per_Batch],M_BOM[Intermediate],$B1000,M_BOM[RM_Code],$A983)</f>
        <v/>
      </c>
      <c r="D1001">
        <f>IFERROR(INDEX(E1001:DD1001,$F$1),"")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  <c r="DD1001">
        <f>$C1001*DD1000</f>
        <v/>
      </c>
    </row>
    <row r="1002">
      <c r="B1002" t="inlineStr">
        <is>
          <t>VSP-990</t>
        </is>
      </c>
      <c r="C1002" t="inlineStr">
        <is>
          <t>No. of batches</t>
        </is>
      </c>
      <c r="D1002">
        <f>IFERROR(INDEX(E1002:DD1002,$F$1),"")</f>
        <v/>
      </c>
      <c r="E1002">
        <f>IFERROR(INDEX(PP_Grid[#Data],$DE1002,2),0)</f>
        <v/>
      </c>
      <c r="F1002">
        <f>IFERROR(INDEX(PP_Grid[#Data],$DE1002,3),0)</f>
        <v/>
      </c>
      <c r="G1002">
        <f>IFERROR(INDEX(PP_Grid[#Data],$DE1002,4),0)</f>
        <v/>
      </c>
      <c r="H1002">
        <f>IFERROR(INDEX(PP_Grid[#Data],$DE1002,5),0)</f>
        <v/>
      </c>
      <c r="I1002">
        <f>IFERROR(INDEX(PP_Grid[#Data],$DE1002,6),0)</f>
        <v/>
      </c>
      <c r="J1002">
        <f>IFERROR(INDEX(PP_Grid[#Data],$DE1002,7),0)</f>
        <v/>
      </c>
      <c r="K1002">
        <f>IFERROR(INDEX(PP_Grid[#Data],$DE1002,8),0)</f>
        <v/>
      </c>
      <c r="L1002">
        <f>IFERROR(INDEX(PP_Grid[#Data],$DE1002,9),0)</f>
        <v/>
      </c>
      <c r="M1002">
        <f>IFERROR(INDEX(PP_Grid[#Data],$DE1002,10),0)</f>
        <v/>
      </c>
      <c r="N1002">
        <f>IFERROR(INDEX(PP_Grid[#Data],$DE1002,11),0)</f>
        <v/>
      </c>
      <c r="O1002">
        <f>IFERROR(INDEX(PP_Grid[#Data],$DE1002,12),0)</f>
        <v/>
      </c>
      <c r="P1002">
        <f>IFERROR(INDEX(PP_Grid[#Data],$DE1002,13),0)</f>
        <v/>
      </c>
      <c r="Q1002">
        <f>IFERROR(INDEX(PP_Grid[#Data],$DE1002,14),0)</f>
        <v/>
      </c>
      <c r="R1002">
        <f>IFERROR(INDEX(PP_Grid[#Data],$DE1002,15),0)</f>
        <v/>
      </c>
      <c r="S1002">
        <f>IFERROR(INDEX(PP_Grid[#Data],$DE1002,16),0)</f>
        <v/>
      </c>
      <c r="T1002">
        <f>IFERROR(INDEX(PP_Grid[#Data],$DE1002,17),0)</f>
        <v/>
      </c>
      <c r="U1002">
        <f>IFERROR(INDEX(PP_Grid[#Data],$DE1002,18),0)</f>
        <v/>
      </c>
      <c r="V1002">
        <f>IFERROR(INDEX(PP_Grid[#Data],$DE1002,19),0)</f>
        <v/>
      </c>
      <c r="W1002">
        <f>IFERROR(INDEX(PP_Grid[#Data],$DE1002,20),0)</f>
        <v/>
      </c>
      <c r="X1002">
        <f>IFERROR(INDEX(PP_Grid[#Data],$DE1002,21),0)</f>
        <v/>
      </c>
      <c r="Y1002">
        <f>IFERROR(INDEX(PP_Grid[#Data],$DE1002,22),0)</f>
        <v/>
      </c>
      <c r="Z1002">
        <f>IFERROR(INDEX(PP_Grid[#Data],$DE1002,23),0)</f>
        <v/>
      </c>
      <c r="AA1002">
        <f>IFERROR(INDEX(PP_Grid[#Data],$DE1002,24),0)</f>
        <v/>
      </c>
      <c r="AB1002">
        <f>IFERROR(INDEX(PP_Grid[#Data],$DE1002,25),0)</f>
        <v/>
      </c>
      <c r="AC1002">
        <f>IFERROR(INDEX(PP_Grid[#Data],$DE1002,26),0)</f>
        <v/>
      </c>
      <c r="AD1002">
        <f>IFERROR(INDEX(PP_Grid[#Data],$DE1002,27),0)</f>
        <v/>
      </c>
      <c r="AE1002">
        <f>IFERROR(INDEX(PP_Grid[#Data],$DE1002,28),0)</f>
        <v/>
      </c>
      <c r="AF1002">
        <f>IFERROR(INDEX(PP_Grid[#Data],$DE1002,29),0)</f>
        <v/>
      </c>
      <c r="AG1002">
        <f>IFERROR(INDEX(PP_Grid[#Data],$DE1002,30),0)</f>
        <v/>
      </c>
      <c r="AH1002">
        <f>IFERROR(INDEX(PP_Grid[#Data],$DE1002,31),0)</f>
        <v/>
      </c>
      <c r="AI1002">
        <f>IFERROR(INDEX(PP_Grid[#Data],$DE1002,32),0)</f>
        <v/>
      </c>
      <c r="AJ1002">
        <f>IFERROR(INDEX(PP_Grid[#Data],$DE1002,33),0)</f>
        <v/>
      </c>
      <c r="AK1002">
        <f>IFERROR(INDEX(PP_Grid[#Data],$DE1002,34),0)</f>
        <v/>
      </c>
      <c r="AL1002">
        <f>IFERROR(INDEX(PP_Grid[#Data],$DE1002,35),0)</f>
        <v/>
      </c>
      <c r="AM1002">
        <f>IFERROR(INDEX(PP_Grid[#Data],$DE1002,36),0)</f>
        <v/>
      </c>
      <c r="AN1002">
        <f>IFERROR(INDEX(PP_Grid[#Data],$DE1002,37),0)</f>
        <v/>
      </c>
      <c r="AO1002">
        <f>IFERROR(INDEX(PP_Grid[#Data],$DE1002,38),0)</f>
        <v/>
      </c>
      <c r="AP1002">
        <f>IFERROR(INDEX(PP_Grid[#Data],$DE1002,39),0)</f>
        <v/>
      </c>
      <c r="AQ1002">
        <f>IFERROR(INDEX(PP_Grid[#Data],$DE1002,40),0)</f>
        <v/>
      </c>
      <c r="AR1002">
        <f>IFERROR(INDEX(PP_Grid[#Data],$DE1002,41),0)</f>
        <v/>
      </c>
      <c r="AS1002">
        <f>IFERROR(INDEX(PP_Grid[#Data],$DE1002,42),0)</f>
        <v/>
      </c>
      <c r="AT1002">
        <f>IFERROR(INDEX(PP_Grid[#Data],$DE1002,43),0)</f>
        <v/>
      </c>
      <c r="AU1002">
        <f>IFERROR(INDEX(PP_Grid[#Data],$DE1002,44),0)</f>
        <v/>
      </c>
      <c r="AV1002">
        <f>IFERROR(INDEX(PP_Grid[#Data],$DE1002,45),0)</f>
        <v/>
      </c>
      <c r="AW1002">
        <f>IFERROR(INDEX(PP_Grid[#Data],$DE1002,46),0)</f>
        <v/>
      </c>
      <c r="AX1002">
        <f>IFERROR(INDEX(PP_Grid[#Data],$DE1002,47),0)</f>
        <v/>
      </c>
      <c r="AY1002">
        <f>IFERROR(INDEX(PP_Grid[#Data],$DE1002,48),0)</f>
        <v/>
      </c>
      <c r="AZ1002">
        <f>IFERROR(INDEX(PP_Grid[#Data],$DE1002,49),0)</f>
        <v/>
      </c>
      <c r="BA1002">
        <f>IFERROR(INDEX(PP_Grid[#Data],$DE1002,50),0)</f>
        <v/>
      </c>
      <c r="BB1002">
        <f>IFERROR(INDEX(PP_Grid[#Data],$DE1002,51),0)</f>
        <v/>
      </c>
      <c r="BC1002">
        <f>IFERROR(INDEX(PP_Grid[#Data],$DE1002,52),0)</f>
        <v/>
      </c>
      <c r="BD1002">
        <f>IFERROR(INDEX(PP_Grid[#Data],$DE1002,53),0)</f>
        <v/>
      </c>
      <c r="BE1002">
        <f>IFERROR(INDEX(PP_Grid[#Data],$DE1002,54),0)</f>
        <v/>
      </c>
      <c r="BF1002">
        <f>IFERROR(INDEX(PP_Grid[#Data],$DE1002,55),0)</f>
        <v/>
      </c>
      <c r="BG1002">
        <f>IFERROR(INDEX(PP_Grid[#Data],$DE1002,56),0)</f>
        <v/>
      </c>
      <c r="BH1002">
        <f>IFERROR(INDEX(PP_Grid[#Data],$DE1002,57),0)</f>
        <v/>
      </c>
      <c r="BI1002">
        <f>IFERROR(INDEX(PP_Grid[#Data],$DE1002,58),0)</f>
        <v/>
      </c>
      <c r="BJ1002">
        <f>IFERROR(INDEX(PP_Grid[#Data],$DE1002,59),0)</f>
        <v/>
      </c>
      <c r="BK1002">
        <f>IFERROR(INDEX(PP_Grid[#Data],$DE1002,60),0)</f>
        <v/>
      </c>
      <c r="BL1002">
        <f>IFERROR(INDEX(PP_Grid[#Data],$DE1002,61),0)</f>
        <v/>
      </c>
      <c r="BM1002">
        <f>IFERROR(INDEX(PP_Grid[#Data],$DE1002,62),0)</f>
        <v/>
      </c>
      <c r="BN1002">
        <f>IFERROR(INDEX(PP_Grid[#Data],$DE1002,63),0)</f>
        <v/>
      </c>
      <c r="BO1002">
        <f>IFERROR(INDEX(PP_Grid[#Data],$DE1002,64),0)</f>
        <v/>
      </c>
      <c r="BP1002">
        <f>IFERROR(INDEX(PP_Grid[#Data],$DE1002,65),0)</f>
        <v/>
      </c>
      <c r="BQ1002">
        <f>IFERROR(INDEX(PP_Grid[#Data],$DE1002,66),0)</f>
        <v/>
      </c>
      <c r="BR1002">
        <f>IFERROR(INDEX(PP_Grid[#Data],$DE1002,67),0)</f>
        <v/>
      </c>
      <c r="BS1002">
        <f>IFERROR(INDEX(PP_Grid[#Data],$DE1002,68),0)</f>
        <v/>
      </c>
      <c r="BT1002">
        <f>IFERROR(INDEX(PP_Grid[#Data],$DE1002,69),0)</f>
        <v/>
      </c>
      <c r="BU1002">
        <f>IFERROR(INDEX(PP_Grid[#Data],$DE1002,70),0)</f>
        <v/>
      </c>
      <c r="BV1002">
        <f>IFERROR(INDEX(PP_Grid[#Data],$DE1002,71),0)</f>
        <v/>
      </c>
      <c r="BW1002">
        <f>IFERROR(INDEX(PP_Grid[#Data],$DE1002,72),0)</f>
        <v/>
      </c>
      <c r="BX1002">
        <f>IFERROR(INDEX(PP_Grid[#Data],$DE1002,73),0)</f>
        <v/>
      </c>
      <c r="BY1002">
        <f>IFERROR(INDEX(PP_Grid[#Data],$DE1002,74),0)</f>
        <v/>
      </c>
      <c r="BZ1002">
        <f>IFERROR(INDEX(PP_Grid[#Data],$DE1002,75),0)</f>
        <v/>
      </c>
      <c r="CA1002">
        <f>IFERROR(INDEX(PP_Grid[#Data],$DE1002,76),0)</f>
        <v/>
      </c>
      <c r="CB1002">
        <f>IFERROR(INDEX(PP_Grid[#Data],$DE1002,77),0)</f>
        <v/>
      </c>
      <c r="CC1002">
        <f>IFERROR(INDEX(PP_Grid[#Data],$DE1002,78),0)</f>
        <v/>
      </c>
      <c r="CD1002">
        <f>IFERROR(INDEX(PP_Grid[#Data],$DE1002,79),0)</f>
        <v/>
      </c>
      <c r="CE1002">
        <f>IFERROR(INDEX(PP_Grid[#Data],$DE1002,80),0)</f>
        <v/>
      </c>
      <c r="CF1002">
        <f>IFERROR(INDEX(PP_Grid[#Data],$DE1002,81),0)</f>
        <v/>
      </c>
      <c r="CG1002">
        <f>IFERROR(INDEX(PP_Grid[#Data],$DE1002,82),0)</f>
        <v/>
      </c>
      <c r="CH1002">
        <f>IFERROR(INDEX(PP_Grid[#Data],$DE1002,83),0)</f>
        <v/>
      </c>
      <c r="CI1002">
        <f>IFERROR(INDEX(PP_Grid[#Data],$DE1002,84),0)</f>
        <v/>
      </c>
      <c r="CJ1002">
        <f>IFERROR(INDEX(PP_Grid[#Data],$DE1002,85),0)</f>
        <v/>
      </c>
      <c r="CK1002">
        <f>IFERROR(INDEX(PP_Grid[#Data],$DE1002,86),0)</f>
        <v/>
      </c>
      <c r="CL1002">
        <f>IFERROR(INDEX(PP_Grid[#Data],$DE1002,87),0)</f>
        <v/>
      </c>
      <c r="CM1002">
        <f>IFERROR(INDEX(PP_Grid[#Data],$DE1002,88),0)</f>
        <v/>
      </c>
      <c r="CN1002">
        <f>IFERROR(INDEX(PP_Grid[#Data],$DE1002,89),0)</f>
        <v/>
      </c>
      <c r="CO1002">
        <f>IFERROR(INDEX(PP_Grid[#Data],$DE1002,90),0)</f>
        <v/>
      </c>
      <c r="CP1002">
        <f>IFERROR(INDEX(PP_Grid[#Data],$DE1002,91),0)</f>
        <v/>
      </c>
      <c r="CQ1002">
        <f>IFERROR(INDEX(PP_Grid[#Data],$DE1002,92),0)</f>
        <v/>
      </c>
      <c r="CR1002">
        <f>IFERROR(INDEX(PP_Grid[#Data],$DE1002,93),0)</f>
        <v/>
      </c>
      <c r="CS1002">
        <f>IFERROR(INDEX(PP_Grid[#Data],$DE1002,94),0)</f>
        <v/>
      </c>
      <c r="CT1002">
        <f>IFERROR(INDEX(PP_Grid[#Data],$DE1002,95),0)</f>
        <v/>
      </c>
      <c r="CU1002">
        <f>IFERROR(INDEX(PP_Grid[#Data],$DE1002,96),0)</f>
        <v/>
      </c>
      <c r="CV1002">
        <f>IFERROR(INDEX(PP_Grid[#Data],$DE1002,97),0)</f>
        <v/>
      </c>
      <c r="CW1002">
        <f>IFERROR(INDEX(PP_Grid[#Data],$DE1002,98),0)</f>
        <v/>
      </c>
      <c r="CX1002">
        <f>IFERROR(INDEX(PP_Grid[#Data],$DE1002,99),0)</f>
        <v/>
      </c>
      <c r="CY1002">
        <f>IFERROR(INDEX(PP_Grid[#Data],$DE1002,100),0)</f>
        <v/>
      </c>
      <c r="CZ1002">
        <f>IFERROR(INDEX(PP_Grid[#Data],$DE1002,101),0)</f>
        <v/>
      </c>
      <c r="DA1002">
        <f>IFERROR(INDEX(PP_Grid[#Data],$DE1002,102),0)</f>
        <v/>
      </c>
      <c r="DB1002">
        <f>IFERROR(INDEX(PP_Grid[#Data],$DE1002,103),0)</f>
        <v/>
      </c>
      <c r="DC1002">
        <f>IFERROR(INDEX(PP_Grid[#Data],$DE1002,104),0)</f>
        <v/>
      </c>
      <c r="DD1002">
        <f>IFERROR(INDEX(PP_Grid[#Data],$DE1002,105),0)</f>
        <v/>
      </c>
      <c r="DE1002" s="7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SUMIFS(M_BOM[RM_Qty_Per_Batch],M_BOM[Intermediate],$B1002,M_BOM[RM_Code],$A983)</f>
        <v/>
      </c>
      <c r="D1003">
        <f>IFERROR(INDEX(E1003:DD1003,$F$1),"")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  <c r="DD1003">
        <f>$C1003*DD1002</f>
        <v/>
      </c>
    </row>
    <row r="1004">
      <c r="B1004" s="4" t="inlineStr">
        <is>
          <t>合計使用量(kg)/週</t>
        </is>
      </c>
      <c r="D1004" s="22">
        <f>IFERROR(INDEX(E1004:DD1004,$F$1),"")</f>
        <v/>
      </c>
      <c r="E1004">
        <f>'Grid_Requirement'!B21</f>
        <v/>
      </c>
      <c r="F1004">
        <f>'Grid_Requirement'!C21</f>
        <v/>
      </c>
      <c r="G1004">
        <f>'Grid_Requirement'!D21</f>
        <v/>
      </c>
      <c r="H1004">
        <f>'Grid_Requirement'!E21</f>
        <v/>
      </c>
      <c r="I1004">
        <f>'Grid_Requirement'!F21</f>
        <v/>
      </c>
      <c r="J1004">
        <f>'Grid_Requirement'!G21</f>
        <v/>
      </c>
      <c r="K1004">
        <f>'Grid_Requirement'!H21</f>
        <v/>
      </c>
      <c r="L1004">
        <f>'Grid_Requirement'!I21</f>
        <v/>
      </c>
      <c r="M1004">
        <f>'Grid_Requirement'!J21</f>
        <v/>
      </c>
      <c r="N1004">
        <f>'Grid_Requirement'!K21</f>
        <v/>
      </c>
      <c r="O1004">
        <f>'Grid_Requirement'!L21</f>
        <v/>
      </c>
      <c r="P1004">
        <f>'Grid_Requirement'!M21</f>
        <v/>
      </c>
      <c r="Q1004">
        <f>'Grid_Requirement'!N21</f>
        <v/>
      </c>
      <c r="R1004">
        <f>'Grid_Requirement'!O21</f>
        <v/>
      </c>
      <c r="S1004">
        <f>'Grid_Requirement'!P21</f>
        <v/>
      </c>
      <c r="T1004">
        <f>'Grid_Requirement'!Q21</f>
        <v/>
      </c>
      <c r="U1004">
        <f>'Grid_Requirement'!R21</f>
        <v/>
      </c>
      <c r="V1004">
        <f>'Grid_Requirement'!S21</f>
        <v/>
      </c>
      <c r="W1004">
        <f>'Grid_Requirement'!T21</f>
        <v/>
      </c>
      <c r="X1004">
        <f>'Grid_Requirement'!U21</f>
        <v/>
      </c>
      <c r="Y1004">
        <f>'Grid_Requirement'!V21</f>
        <v/>
      </c>
      <c r="Z1004">
        <f>'Grid_Requirement'!W21</f>
        <v/>
      </c>
      <c r="AA1004">
        <f>'Grid_Requirement'!X21</f>
        <v/>
      </c>
      <c r="AB1004">
        <f>'Grid_Requirement'!Y21</f>
        <v/>
      </c>
      <c r="AC1004">
        <f>'Grid_Requirement'!Z21</f>
        <v/>
      </c>
      <c r="AD1004">
        <f>'Grid_Requirement'!AA21</f>
        <v/>
      </c>
      <c r="AE1004">
        <f>'Grid_Requirement'!AB21</f>
        <v/>
      </c>
      <c r="AF1004">
        <f>'Grid_Requirement'!AC21</f>
        <v/>
      </c>
      <c r="AG1004">
        <f>'Grid_Requirement'!AD21</f>
        <v/>
      </c>
      <c r="AH1004">
        <f>'Grid_Requirement'!AE21</f>
        <v/>
      </c>
      <c r="AI1004">
        <f>'Grid_Requirement'!AF21</f>
        <v/>
      </c>
      <c r="AJ1004">
        <f>'Grid_Requirement'!AG21</f>
        <v/>
      </c>
      <c r="AK1004">
        <f>'Grid_Requirement'!AH21</f>
        <v/>
      </c>
      <c r="AL1004">
        <f>'Grid_Requirement'!AI21</f>
        <v/>
      </c>
      <c r="AM1004">
        <f>'Grid_Requirement'!AJ21</f>
        <v/>
      </c>
      <c r="AN1004">
        <f>'Grid_Requirement'!AK21</f>
        <v/>
      </c>
      <c r="AO1004">
        <f>'Grid_Requirement'!AL21</f>
        <v/>
      </c>
      <c r="AP1004">
        <f>'Grid_Requirement'!AM21</f>
        <v/>
      </c>
      <c r="AQ1004">
        <f>'Grid_Requirement'!AN21</f>
        <v/>
      </c>
      <c r="AR1004">
        <f>'Grid_Requirement'!AO21</f>
        <v/>
      </c>
      <c r="AS1004">
        <f>'Grid_Requirement'!AP21</f>
        <v/>
      </c>
      <c r="AT1004">
        <f>'Grid_Requirement'!AQ21</f>
        <v/>
      </c>
      <c r="AU1004">
        <f>'Grid_Requirement'!AR21</f>
        <v/>
      </c>
      <c r="AV1004">
        <f>'Grid_Requirement'!AS21</f>
        <v/>
      </c>
      <c r="AW1004">
        <f>'Grid_Requirement'!AT21</f>
        <v/>
      </c>
      <c r="AX1004">
        <f>'Grid_Requirement'!AU21</f>
        <v/>
      </c>
      <c r="AY1004">
        <f>'Grid_Requirement'!AV21</f>
        <v/>
      </c>
      <c r="AZ1004">
        <f>'Grid_Requirement'!AW21</f>
        <v/>
      </c>
      <c r="BA1004">
        <f>'Grid_Requirement'!AX21</f>
        <v/>
      </c>
      <c r="BB1004">
        <f>'Grid_Requirement'!AY21</f>
        <v/>
      </c>
      <c r="BC1004">
        <f>'Grid_Requirement'!AZ21</f>
        <v/>
      </c>
      <c r="BD1004">
        <f>'Grid_Requirement'!BA21</f>
        <v/>
      </c>
      <c r="BE1004">
        <f>'Grid_Requirement'!BB21</f>
        <v/>
      </c>
      <c r="BF1004">
        <f>'Grid_Requirement'!BC21</f>
        <v/>
      </c>
      <c r="BG1004">
        <f>'Grid_Requirement'!BD21</f>
        <v/>
      </c>
      <c r="BH1004">
        <f>'Grid_Requirement'!BE21</f>
        <v/>
      </c>
      <c r="BI1004">
        <f>'Grid_Requirement'!BF21</f>
        <v/>
      </c>
      <c r="BJ1004">
        <f>'Grid_Requirement'!BG21</f>
        <v/>
      </c>
      <c r="BK1004">
        <f>'Grid_Requirement'!BH21</f>
        <v/>
      </c>
      <c r="BL1004">
        <f>'Grid_Requirement'!BI21</f>
        <v/>
      </c>
      <c r="BM1004">
        <f>'Grid_Requirement'!BJ21</f>
        <v/>
      </c>
      <c r="BN1004">
        <f>'Grid_Requirement'!BK21</f>
        <v/>
      </c>
      <c r="BO1004">
        <f>'Grid_Requirement'!BL21</f>
        <v/>
      </c>
      <c r="BP1004">
        <f>'Grid_Requirement'!BM21</f>
        <v/>
      </c>
      <c r="BQ1004">
        <f>'Grid_Requirement'!BN21</f>
        <v/>
      </c>
      <c r="BR1004">
        <f>'Grid_Requirement'!BO21</f>
        <v/>
      </c>
      <c r="BS1004">
        <f>'Grid_Requirement'!BP21</f>
        <v/>
      </c>
      <c r="BT1004">
        <f>'Grid_Requirement'!BQ21</f>
        <v/>
      </c>
      <c r="BU1004">
        <f>'Grid_Requirement'!BR21</f>
        <v/>
      </c>
      <c r="BV1004">
        <f>'Grid_Requirement'!BS21</f>
        <v/>
      </c>
      <c r="BW1004">
        <f>'Grid_Requirement'!BT21</f>
        <v/>
      </c>
      <c r="BX1004">
        <f>'Grid_Requirement'!BU21</f>
        <v/>
      </c>
      <c r="BY1004">
        <f>'Grid_Requirement'!BV21</f>
        <v/>
      </c>
      <c r="BZ1004">
        <f>'Grid_Requirement'!BW21</f>
        <v/>
      </c>
      <c r="CA1004">
        <f>'Grid_Requirement'!BX21</f>
        <v/>
      </c>
      <c r="CB1004">
        <f>'Grid_Requirement'!BY21</f>
        <v/>
      </c>
      <c r="CC1004">
        <f>'Grid_Requirement'!BZ21</f>
        <v/>
      </c>
      <c r="CD1004">
        <f>'Grid_Requirement'!CA21</f>
        <v/>
      </c>
      <c r="CE1004">
        <f>'Grid_Requirement'!CB21</f>
        <v/>
      </c>
      <c r="CF1004">
        <f>'Grid_Requirement'!CC21</f>
        <v/>
      </c>
      <c r="CG1004">
        <f>'Grid_Requirement'!CD21</f>
        <v/>
      </c>
      <c r="CH1004">
        <f>'Grid_Requirement'!CE21</f>
        <v/>
      </c>
      <c r="CI1004">
        <f>'Grid_Requirement'!CF21</f>
        <v/>
      </c>
      <c r="CJ1004">
        <f>'Grid_Requirement'!CG21</f>
        <v/>
      </c>
      <c r="CK1004">
        <f>'Grid_Requirement'!CH21</f>
        <v/>
      </c>
      <c r="CL1004">
        <f>'Grid_Requirement'!CI21</f>
        <v/>
      </c>
      <c r="CM1004">
        <f>'Grid_Requirement'!CJ21</f>
        <v/>
      </c>
      <c r="CN1004">
        <f>'Grid_Requirement'!CK21</f>
        <v/>
      </c>
      <c r="CO1004">
        <f>'Grid_Requirement'!CL21</f>
        <v/>
      </c>
      <c r="CP1004">
        <f>'Grid_Requirement'!CM21</f>
        <v/>
      </c>
      <c r="CQ1004">
        <f>'Grid_Requirement'!CN21</f>
        <v/>
      </c>
      <c r="CR1004">
        <f>'Grid_Requirement'!CO21</f>
        <v/>
      </c>
      <c r="CS1004">
        <f>'Grid_Requirement'!CP21</f>
        <v/>
      </c>
      <c r="CT1004">
        <f>'Grid_Requirement'!CQ21</f>
        <v/>
      </c>
      <c r="CU1004">
        <f>'Grid_Requirement'!CR21</f>
        <v/>
      </c>
      <c r="CV1004">
        <f>'Grid_Requirement'!CS21</f>
        <v/>
      </c>
      <c r="CW1004">
        <f>'Grid_Requirement'!CT21</f>
        <v/>
      </c>
      <c r="CX1004">
        <f>'Grid_Requirement'!CU21</f>
        <v/>
      </c>
      <c r="CY1004">
        <f>'Grid_Requirement'!CV21</f>
        <v/>
      </c>
      <c r="CZ1004">
        <f>'Grid_Requirement'!CW21</f>
        <v/>
      </c>
      <c r="DA1004">
        <f>'Grid_Requirement'!CX21</f>
        <v/>
      </c>
      <c r="DB1004">
        <f>'Grid_Requirement'!CY21</f>
        <v/>
      </c>
      <c r="DC1004">
        <f>'Grid_Requirement'!CZ21</f>
        <v/>
      </c>
      <c r="DD1004">
        <f>'Grid_Requirement'!DA21</f>
        <v/>
      </c>
    </row>
    <row r="1005">
      <c r="B1005" s="23" t="inlineStr">
        <is>
          <t>（在庫・入荷予定はDashboard参照）</t>
        </is>
      </c>
    </row>
    <row r="1007">
      <c r="A1007" s="21" t="inlineStr">
        <is>
          <t>CHEM-1470</t>
        </is>
      </c>
      <c r="B1007" s="21" t="inlineStr">
        <is>
          <t>SCFa-100</t>
        </is>
      </c>
      <c r="C1007" s="21" t="n"/>
      <c r="D1007" s="21" t="n"/>
      <c r="E1007" s="21" t="n"/>
      <c r="F1007" s="21" t="n"/>
      <c r="G1007" s="21" t="n"/>
      <c r="H1007" s="21" t="n"/>
      <c r="I1007" s="21" t="n"/>
      <c r="J1007" s="21" t="n"/>
      <c r="K1007" s="21" t="n"/>
      <c r="L1007" s="21" t="n"/>
      <c r="M1007" s="21" t="n"/>
      <c r="N1007" s="21" t="n"/>
      <c r="O1007" s="21" t="n"/>
      <c r="P1007" s="21" t="n"/>
      <c r="Q1007" s="21" t="n"/>
      <c r="R1007" s="21" t="n"/>
      <c r="S1007" s="21" t="n"/>
      <c r="T1007" s="21" t="n"/>
      <c r="U1007" s="21" t="n"/>
      <c r="V1007" s="21" t="n"/>
      <c r="W1007" s="21" t="n"/>
      <c r="X1007" s="21" t="n"/>
      <c r="Y1007" s="21" t="n"/>
      <c r="Z1007" s="21" t="n"/>
      <c r="AA1007" s="21" t="n"/>
      <c r="AB1007" s="21" t="n"/>
      <c r="AC1007" s="21" t="n"/>
      <c r="AD1007" s="21" t="n"/>
      <c r="AE1007" s="21" t="n"/>
      <c r="AF1007" s="21" t="n"/>
      <c r="AG1007" s="21" t="n"/>
      <c r="AH1007" s="21" t="n"/>
      <c r="AI1007" s="21" t="n"/>
      <c r="AJ1007" s="21" t="n"/>
      <c r="AK1007" s="21" t="n"/>
      <c r="AL1007" s="21" t="n"/>
      <c r="AM1007" s="21" t="n"/>
      <c r="AN1007" s="21" t="n"/>
      <c r="AO1007" s="21" t="n"/>
      <c r="AP1007" s="21" t="n"/>
      <c r="AQ1007" s="21" t="n"/>
      <c r="AR1007" s="21" t="n"/>
      <c r="AS1007" s="21" t="n"/>
      <c r="AT1007" s="21" t="n"/>
      <c r="AU1007" s="21" t="n"/>
      <c r="AV1007" s="21" t="n"/>
      <c r="AW1007" s="21" t="n"/>
      <c r="AX1007" s="21" t="n"/>
      <c r="AY1007" s="21" t="n"/>
      <c r="AZ1007" s="21" t="n"/>
      <c r="BA1007" s="21" t="n"/>
      <c r="BB1007" s="21" t="n"/>
      <c r="BC1007" s="21" t="n"/>
      <c r="BD1007" s="21" t="n"/>
      <c r="BE1007" s="21" t="n"/>
      <c r="BF1007" s="21" t="n"/>
      <c r="BG1007" s="21" t="n"/>
      <c r="BH1007" s="21" t="n"/>
      <c r="BI1007" s="21" t="n"/>
      <c r="BJ1007" s="21" t="n"/>
      <c r="BK1007" s="21" t="n"/>
      <c r="BL1007" s="21" t="n"/>
      <c r="BM1007" s="21" t="n"/>
      <c r="BN1007" s="21" t="n"/>
      <c r="BO1007" s="21" t="n"/>
      <c r="BP1007" s="21" t="n"/>
      <c r="BQ1007" s="21" t="n"/>
      <c r="BR1007" s="21" t="n"/>
      <c r="BS1007" s="21" t="n"/>
      <c r="BT1007" s="21" t="n"/>
      <c r="BU1007" s="21" t="n"/>
      <c r="BV1007" s="21" t="n"/>
      <c r="BW1007" s="21" t="n"/>
      <c r="BX1007" s="21" t="n"/>
      <c r="BY1007" s="21" t="n"/>
      <c r="BZ1007" s="21" t="n"/>
      <c r="CA1007" s="21" t="n"/>
      <c r="CB1007" s="21" t="n"/>
      <c r="CC1007" s="21" t="n"/>
      <c r="CD1007" s="21" t="n"/>
      <c r="CE1007" s="21" t="n"/>
      <c r="CF1007" s="21" t="n"/>
      <c r="CG1007" s="21" t="n"/>
      <c r="CH1007" s="21" t="n"/>
      <c r="CI1007" s="21" t="n"/>
      <c r="CJ1007" s="21" t="n"/>
      <c r="CK1007" s="21" t="n"/>
      <c r="CL1007" s="21" t="n"/>
      <c r="CM1007" s="21" t="n"/>
      <c r="CN1007" s="21" t="n"/>
      <c r="CO1007" s="21" t="n"/>
      <c r="CP1007" s="21" t="n"/>
      <c r="CQ1007" s="21" t="n"/>
      <c r="CR1007" s="21" t="n"/>
      <c r="CS1007" s="21" t="n"/>
      <c r="CT1007" s="21" t="n"/>
      <c r="CU1007" s="21" t="n"/>
      <c r="CV1007" s="21" t="n"/>
      <c r="CW1007" s="21" t="n"/>
      <c r="CX1007" s="21" t="n"/>
      <c r="CY1007" s="21" t="n"/>
      <c r="CZ1007" s="21" t="n"/>
      <c r="DA1007" s="21" t="n"/>
      <c r="DB1007" s="21" t="n"/>
      <c r="DC1007" s="21" t="n"/>
      <c r="DD1007" s="21" t="n"/>
    </row>
    <row r="1008">
      <c r="B1008" t="inlineStr">
        <is>
          <t>TSP-224</t>
        </is>
      </c>
      <c r="C1008" t="inlineStr">
        <is>
          <t>No. of batches</t>
        </is>
      </c>
      <c r="D1008">
        <f>IFERROR(INDEX(E1008:DD1008,$F$1),"")</f>
        <v/>
      </c>
      <c r="E1008">
        <f>IFERROR(INDEX(PP_Grid[#Data],$DE1008,2),0)</f>
        <v/>
      </c>
      <c r="F1008">
        <f>IFERROR(INDEX(PP_Grid[#Data],$DE1008,3),0)</f>
        <v/>
      </c>
      <c r="G1008">
        <f>IFERROR(INDEX(PP_Grid[#Data],$DE1008,4),0)</f>
        <v/>
      </c>
      <c r="H1008">
        <f>IFERROR(INDEX(PP_Grid[#Data],$DE1008,5),0)</f>
        <v/>
      </c>
      <c r="I1008">
        <f>IFERROR(INDEX(PP_Grid[#Data],$DE1008,6),0)</f>
        <v/>
      </c>
      <c r="J1008">
        <f>IFERROR(INDEX(PP_Grid[#Data],$DE1008,7),0)</f>
        <v/>
      </c>
      <c r="K1008">
        <f>IFERROR(INDEX(PP_Grid[#Data],$DE1008,8),0)</f>
        <v/>
      </c>
      <c r="L1008">
        <f>IFERROR(INDEX(PP_Grid[#Data],$DE1008,9),0)</f>
        <v/>
      </c>
      <c r="M1008">
        <f>IFERROR(INDEX(PP_Grid[#Data],$DE1008,10),0)</f>
        <v/>
      </c>
      <c r="N1008">
        <f>IFERROR(INDEX(PP_Grid[#Data],$DE1008,11),0)</f>
        <v/>
      </c>
      <c r="O1008">
        <f>IFERROR(INDEX(PP_Grid[#Data],$DE1008,12),0)</f>
        <v/>
      </c>
      <c r="P1008">
        <f>IFERROR(INDEX(PP_Grid[#Data],$DE1008,13),0)</f>
        <v/>
      </c>
      <c r="Q1008">
        <f>IFERROR(INDEX(PP_Grid[#Data],$DE1008,14),0)</f>
        <v/>
      </c>
      <c r="R1008">
        <f>IFERROR(INDEX(PP_Grid[#Data],$DE1008,15),0)</f>
        <v/>
      </c>
      <c r="S1008">
        <f>IFERROR(INDEX(PP_Grid[#Data],$DE1008,16),0)</f>
        <v/>
      </c>
      <c r="T1008">
        <f>IFERROR(INDEX(PP_Grid[#Data],$DE1008,17),0)</f>
        <v/>
      </c>
      <c r="U1008">
        <f>IFERROR(INDEX(PP_Grid[#Data],$DE1008,18),0)</f>
        <v/>
      </c>
      <c r="V1008">
        <f>IFERROR(INDEX(PP_Grid[#Data],$DE1008,19),0)</f>
        <v/>
      </c>
      <c r="W1008">
        <f>IFERROR(INDEX(PP_Grid[#Data],$DE1008,20),0)</f>
        <v/>
      </c>
      <c r="X1008">
        <f>IFERROR(INDEX(PP_Grid[#Data],$DE1008,21),0)</f>
        <v/>
      </c>
      <c r="Y1008">
        <f>IFERROR(INDEX(PP_Grid[#Data],$DE1008,22),0)</f>
        <v/>
      </c>
      <c r="Z1008">
        <f>IFERROR(INDEX(PP_Grid[#Data],$DE1008,23),0)</f>
        <v/>
      </c>
      <c r="AA1008">
        <f>IFERROR(INDEX(PP_Grid[#Data],$DE1008,24),0)</f>
        <v/>
      </c>
      <c r="AB1008">
        <f>IFERROR(INDEX(PP_Grid[#Data],$DE1008,25),0)</f>
        <v/>
      </c>
      <c r="AC1008">
        <f>IFERROR(INDEX(PP_Grid[#Data],$DE1008,26),0)</f>
        <v/>
      </c>
      <c r="AD1008">
        <f>IFERROR(INDEX(PP_Grid[#Data],$DE1008,27),0)</f>
        <v/>
      </c>
      <c r="AE1008">
        <f>IFERROR(INDEX(PP_Grid[#Data],$DE1008,28),0)</f>
        <v/>
      </c>
      <c r="AF1008">
        <f>IFERROR(INDEX(PP_Grid[#Data],$DE1008,29),0)</f>
        <v/>
      </c>
      <c r="AG1008">
        <f>IFERROR(INDEX(PP_Grid[#Data],$DE1008,30),0)</f>
        <v/>
      </c>
      <c r="AH1008">
        <f>IFERROR(INDEX(PP_Grid[#Data],$DE1008,31),0)</f>
        <v/>
      </c>
      <c r="AI1008">
        <f>IFERROR(INDEX(PP_Grid[#Data],$DE1008,32),0)</f>
        <v/>
      </c>
      <c r="AJ1008">
        <f>IFERROR(INDEX(PP_Grid[#Data],$DE1008,33),0)</f>
        <v/>
      </c>
      <c r="AK1008">
        <f>IFERROR(INDEX(PP_Grid[#Data],$DE1008,34),0)</f>
        <v/>
      </c>
      <c r="AL1008">
        <f>IFERROR(INDEX(PP_Grid[#Data],$DE1008,35),0)</f>
        <v/>
      </c>
      <c r="AM1008">
        <f>IFERROR(INDEX(PP_Grid[#Data],$DE1008,36),0)</f>
        <v/>
      </c>
      <c r="AN1008">
        <f>IFERROR(INDEX(PP_Grid[#Data],$DE1008,37),0)</f>
        <v/>
      </c>
      <c r="AO1008">
        <f>IFERROR(INDEX(PP_Grid[#Data],$DE1008,38),0)</f>
        <v/>
      </c>
      <c r="AP1008">
        <f>IFERROR(INDEX(PP_Grid[#Data],$DE1008,39),0)</f>
        <v/>
      </c>
      <c r="AQ1008">
        <f>IFERROR(INDEX(PP_Grid[#Data],$DE1008,40),0)</f>
        <v/>
      </c>
      <c r="AR1008">
        <f>IFERROR(INDEX(PP_Grid[#Data],$DE1008,41),0)</f>
        <v/>
      </c>
      <c r="AS1008">
        <f>IFERROR(INDEX(PP_Grid[#Data],$DE1008,42),0)</f>
        <v/>
      </c>
      <c r="AT1008">
        <f>IFERROR(INDEX(PP_Grid[#Data],$DE1008,43),0)</f>
        <v/>
      </c>
      <c r="AU1008">
        <f>IFERROR(INDEX(PP_Grid[#Data],$DE1008,44),0)</f>
        <v/>
      </c>
      <c r="AV1008">
        <f>IFERROR(INDEX(PP_Grid[#Data],$DE1008,45),0)</f>
        <v/>
      </c>
      <c r="AW1008">
        <f>IFERROR(INDEX(PP_Grid[#Data],$DE1008,46),0)</f>
        <v/>
      </c>
      <c r="AX1008">
        <f>IFERROR(INDEX(PP_Grid[#Data],$DE1008,47),0)</f>
        <v/>
      </c>
      <c r="AY1008">
        <f>IFERROR(INDEX(PP_Grid[#Data],$DE1008,48),0)</f>
        <v/>
      </c>
      <c r="AZ1008">
        <f>IFERROR(INDEX(PP_Grid[#Data],$DE1008,49),0)</f>
        <v/>
      </c>
      <c r="BA1008">
        <f>IFERROR(INDEX(PP_Grid[#Data],$DE1008,50),0)</f>
        <v/>
      </c>
      <c r="BB1008">
        <f>IFERROR(INDEX(PP_Grid[#Data],$DE1008,51),0)</f>
        <v/>
      </c>
      <c r="BC1008">
        <f>IFERROR(INDEX(PP_Grid[#Data],$DE1008,52),0)</f>
        <v/>
      </c>
      <c r="BD1008">
        <f>IFERROR(INDEX(PP_Grid[#Data],$DE1008,53),0)</f>
        <v/>
      </c>
      <c r="BE1008">
        <f>IFERROR(INDEX(PP_Grid[#Data],$DE1008,54),0)</f>
        <v/>
      </c>
      <c r="BF1008">
        <f>IFERROR(INDEX(PP_Grid[#Data],$DE1008,55),0)</f>
        <v/>
      </c>
      <c r="BG1008">
        <f>IFERROR(INDEX(PP_Grid[#Data],$DE1008,56),0)</f>
        <v/>
      </c>
      <c r="BH1008">
        <f>IFERROR(INDEX(PP_Grid[#Data],$DE1008,57),0)</f>
        <v/>
      </c>
      <c r="BI1008">
        <f>IFERROR(INDEX(PP_Grid[#Data],$DE1008,58),0)</f>
        <v/>
      </c>
      <c r="BJ1008">
        <f>IFERROR(INDEX(PP_Grid[#Data],$DE1008,59),0)</f>
        <v/>
      </c>
      <c r="BK1008">
        <f>IFERROR(INDEX(PP_Grid[#Data],$DE1008,60),0)</f>
        <v/>
      </c>
      <c r="BL1008">
        <f>IFERROR(INDEX(PP_Grid[#Data],$DE1008,61),0)</f>
        <v/>
      </c>
      <c r="BM1008">
        <f>IFERROR(INDEX(PP_Grid[#Data],$DE1008,62),0)</f>
        <v/>
      </c>
      <c r="BN1008">
        <f>IFERROR(INDEX(PP_Grid[#Data],$DE1008,63),0)</f>
        <v/>
      </c>
      <c r="BO1008">
        <f>IFERROR(INDEX(PP_Grid[#Data],$DE1008,64),0)</f>
        <v/>
      </c>
      <c r="BP1008">
        <f>IFERROR(INDEX(PP_Grid[#Data],$DE1008,65),0)</f>
        <v/>
      </c>
      <c r="BQ1008">
        <f>IFERROR(INDEX(PP_Grid[#Data],$DE1008,66),0)</f>
        <v/>
      </c>
      <c r="BR1008">
        <f>IFERROR(INDEX(PP_Grid[#Data],$DE1008,67),0)</f>
        <v/>
      </c>
      <c r="BS1008">
        <f>IFERROR(INDEX(PP_Grid[#Data],$DE1008,68),0)</f>
        <v/>
      </c>
      <c r="BT1008">
        <f>IFERROR(INDEX(PP_Grid[#Data],$DE1008,69),0)</f>
        <v/>
      </c>
      <c r="BU1008">
        <f>IFERROR(INDEX(PP_Grid[#Data],$DE1008,70),0)</f>
        <v/>
      </c>
      <c r="BV1008">
        <f>IFERROR(INDEX(PP_Grid[#Data],$DE1008,71),0)</f>
        <v/>
      </c>
      <c r="BW1008">
        <f>IFERROR(INDEX(PP_Grid[#Data],$DE1008,72),0)</f>
        <v/>
      </c>
      <c r="BX1008">
        <f>IFERROR(INDEX(PP_Grid[#Data],$DE1008,73),0)</f>
        <v/>
      </c>
      <c r="BY1008">
        <f>IFERROR(INDEX(PP_Grid[#Data],$DE1008,74),0)</f>
        <v/>
      </c>
      <c r="BZ1008">
        <f>IFERROR(INDEX(PP_Grid[#Data],$DE1008,75),0)</f>
        <v/>
      </c>
      <c r="CA1008">
        <f>IFERROR(INDEX(PP_Grid[#Data],$DE1008,76),0)</f>
        <v/>
      </c>
      <c r="CB1008">
        <f>IFERROR(INDEX(PP_Grid[#Data],$DE1008,77),0)</f>
        <v/>
      </c>
      <c r="CC1008">
        <f>IFERROR(INDEX(PP_Grid[#Data],$DE1008,78),0)</f>
        <v/>
      </c>
      <c r="CD1008">
        <f>IFERROR(INDEX(PP_Grid[#Data],$DE1008,79),0)</f>
        <v/>
      </c>
      <c r="CE1008">
        <f>IFERROR(INDEX(PP_Grid[#Data],$DE1008,80),0)</f>
        <v/>
      </c>
      <c r="CF1008">
        <f>IFERROR(INDEX(PP_Grid[#Data],$DE1008,81),0)</f>
        <v/>
      </c>
      <c r="CG1008">
        <f>IFERROR(INDEX(PP_Grid[#Data],$DE1008,82),0)</f>
        <v/>
      </c>
      <c r="CH1008">
        <f>IFERROR(INDEX(PP_Grid[#Data],$DE1008,83),0)</f>
        <v/>
      </c>
      <c r="CI1008">
        <f>IFERROR(INDEX(PP_Grid[#Data],$DE1008,84),0)</f>
        <v/>
      </c>
      <c r="CJ1008">
        <f>IFERROR(INDEX(PP_Grid[#Data],$DE1008,85),0)</f>
        <v/>
      </c>
      <c r="CK1008">
        <f>IFERROR(INDEX(PP_Grid[#Data],$DE1008,86),0)</f>
        <v/>
      </c>
      <c r="CL1008">
        <f>IFERROR(INDEX(PP_Grid[#Data],$DE1008,87),0)</f>
        <v/>
      </c>
      <c r="CM1008">
        <f>IFERROR(INDEX(PP_Grid[#Data],$DE1008,88),0)</f>
        <v/>
      </c>
      <c r="CN1008">
        <f>IFERROR(INDEX(PP_Grid[#Data],$DE1008,89),0)</f>
        <v/>
      </c>
      <c r="CO1008">
        <f>IFERROR(INDEX(PP_Grid[#Data],$DE1008,90),0)</f>
        <v/>
      </c>
      <c r="CP1008">
        <f>IFERROR(INDEX(PP_Grid[#Data],$DE1008,91),0)</f>
        <v/>
      </c>
      <c r="CQ1008">
        <f>IFERROR(INDEX(PP_Grid[#Data],$DE1008,92),0)</f>
        <v/>
      </c>
      <c r="CR1008">
        <f>IFERROR(INDEX(PP_Grid[#Data],$DE1008,93),0)</f>
        <v/>
      </c>
      <c r="CS1008">
        <f>IFERROR(INDEX(PP_Grid[#Data],$DE1008,94),0)</f>
        <v/>
      </c>
      <c r="CT1008">
        <f>IFERROR(INDEX(PP_Grid[#Data],$DE1008,95),0)</f>
        <v/>
      </c>
      <c r="CU1008">
        <f>IFERROR(INDEX(PP_Grid[#Data],$DE1008,96),0)</f>
        <v/>
      </c>
      <c r="CV1008">
        <f>IFERROR(INDEX(PP_Grid[#Data],$DE1008,97),0)</f>
        <v/>
      </c>
      <c r="CW1008">
        <f>IFERROR(INDEX(PP_Grid[#Data],$DE1008,98),0)</f>
        <v/>
      </c>
      <c r="CX1008">
        <f>IFERROR(INDEX(PP_Grid[#Data],$DE1008,99),0)</f>
        <v/>
      </c>
      <c r="CY1008">
        <f>IFERROR(INDEX(PP_Grid[#Data],$DE1008,100),0)</f>
        <v/>
      </c>
      <c r="CZ1008">
        <f>IFERROR(INDEX(PP_Grid[#Data],$DE1008,101),0)</f>
        <v/>
      </c>
      <c r="DA1008">
        <f>IFERROR(INDEX(PP_Grid[#Data],$DE1008,102),0)</f>
        <v/>
      </c>
      <c r="DB1008">
        <f>IFERROR(INDEX(PP_Grid[#Data],$DE1008,103),0)</f>
        <v/>
      </c>
      <c r="DC1008">
        <f>IFERROR(INDEX(PP_Grid[#Data],$DE1008,104),0)</f>
        <v/>
      </c>
      <c r="DD1008">
        <f>IFERROR(INDEX(PP_Grid[#Data],$DE1008,105),0)</f>
        <v/>
      </c>
      <c r="DE1008" s="7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SUMIFS(M_BOM[RM_Qty_Per_Batch],M_BOM[Intermediate],$B1008,M_BOM[RM_Code],$A1007)</f>
        <v/>
      </c>
      <c r="D1009">
        <f>IFERROR(INDEX(E1009:DD1009,$F$1),"")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  <c r="DD1009">
        <f>$C1009*DD1008</f>
        <v/>
      </c>
    </row>
    <row r="1010">
      <c r="B1010" t="inlineStr">
        <is>
          <t>TSP-225</t>
        </is>
      </c>
      <c r="C1010" t="inlineStr">
        <is>
          <t>No. of batches</t>
        </is>
      </c>
      <c r="D1010">
        <f>IFERROR(INDEX(E1010:DD1010,$F$1),"")</f>
        <v/>
      </c>
      <c r="E1010">
        <f>IFERROR(INDEX(PP_Grid[#Data],$DE1010,2),0)</f>
        <v/>
      </c>
      <c r="F1010">
        <f>IFERROR(INDEX(PP_Grid[#Data],$DE1010,3),0)</f>
        <v/>
      </c>
      <c r="G1010">
        <f>IFERROR(INDEX(PP_Grid[#Data],$DE1010,4),0)</f>
        <v/>
      </c>
      <c r="H1010">
        <f>IFERROR(INDEX(PP_Grid[#Data],$DE1010,5),0)</f>
        <v/>
      </c>
      <c r="I1010">
        <f>IFERROR(INDEX(PP_Grid[#Data],$DE1010,6),0)</f>
        <v/>
      </c>
      <c r="J1010">
        <f>IFERROR(INDEX(PP_Grid[#Data],$DE1010,7),0)</f>
        <v/>
      </c>
      <c r="K1010">
        <f>IFERROR(INDEX(PP_Grid[#Data],$DE1010,8),0)</f>
        <v/>
      </c>
      <c r="L1010">
        <f>IFERROR(INDEX(PP_Grid[#Data],$DE1010,9),0)</f>
        <v/>
      </c>
      <c r="M1010">
        <f>IFERROR(INDEX(PP_Grid[#Data],$DE1010,10),0)</f>
        <v/>
      </c>
      <c r="N1010">
        <f>IFERROR(INDEX(PP_Grid[#Data],$DE1010,11),0)</f>
        <v/>
      </c>
      <c r="O1010">
        <f>IFERROR(INDEX(PP_Grid[#Data],$DE1010,12),0)</f>
        <v/>
      </c>
      <c r="P1010">
        <f>IFERROR(INDEX(PP_Grid[#Data],$DE1010,13),0)</f>
        <v/>
      </c>
      <c r="Q1010">
        <f>IFERROR(INDEX(PP_Grid[#Data],$DE1010,14),0)</f>
        <v/>
      </c>
      <c r="R1010">
        <f>IFERROR(INDEX(PP_Grid[#Data],$DE1010,15),0)</f>
        <v/>
      </c>
      <c r="S1010">
        <f>IFERROR(INDEX(PP_Grid[#Data],$DE1010,16),0)</f>
        <v/>
      </c>
      <c r="T1010">
        <f>IFERROR(INDEX(PP_Grid[#Data],$DE1010,17),0)</f>
        <v/>
      </c>
      <c r="U1010">
        <f>IFERROR(INDEX(PP_Grid[#Data],$DE1010,18),0)</f>
        <v/>
      </c>
      <c r="V1010">
        <f>IFERROR(INDEX(PP_Grid[#Data],$DE1010,19),0)</f>
        <v/>
      </c>
      <c r="W1010">
        <f>IFERROR(INDEX(PP_Grid[#Data],$DE1010,20),0)</f>
        <v/>
      </c>
      <c r="X1010">
        <f>IFERROR(INDEX(PP_Grid[#Data],$DE1010,21),0)</f>
        <v/>
      </c>
      <c r="Y1010">
        <f>IFERROR(INDEX(PP_Grid[#Data],$DE1010,22),0)</f>
        <v/>
      </c>
      <c r="Z1010">
        <f>IFERROR(INDEX(PP_Grid[#Data],$DE1010,23),0)</f>
        <v/>
      </c>
      <c r="AA1010">
        <f>IFERROR(INDEX(PP_Grid[#Data],$DE1010,24),0)</f>
        <v/>
      </c>
      <c r="AB1010">
        <f>IFERROR(INDEX(PP_Grid[#Data],$DE1010,25),0)</f>
        <v/>
      </c>
      <c r="AC1010">
        <f>IFERROR(INDEX(PP_Grid[#Data],$DE1010,26),0)</f>
        <v/>
      </c>
      <c r="AD1010">
        <f>IFERROR(INDEX(PP_Grid[#Data],$DE1010,27),0)</f>
        <v/>
      </c>
      <c r="AE1010">
        <f>IFERROR(INDEX(PP_Grid[#Data],$DE1010,28),0)</f>
        <v/>
      </c>
      <c r="AF1010">
        <f>IFERROR(INDEX(PP_Grid[#Data],$DE1010,29),0)</f>
        <v/>
      </c>
      <c r="AG1010">
        <f>IFERROR(INDEX(PP_Grid[#Data],$DE1010,30),0)</f>
        <v/>
      </c>
      <c r="AH1010">
        <f>IFERROR(INDEX(PP_Grid[#Data],$DE1010,31),0)</f>
        <v/>
      </c>
      <c r="AI1010">
        <f>IFERROR(INDEX(PP_Grid[#Data],$DE1010,32),0)</f>
        <v/>
      </c>
      <c r="AJ1010">
        <f>IFERROR(INDEX(PP_Grid[#Data],$DE1010,33),0)</f>
        <v/>
      </c>
      <c r="AK1010">
        <f>IFERROR(INDEX(PP_Grid[#Data],$DE1010,34),0)</f>
        <v/>
      </c>
      <c r="AL1010">
        <f>IFERROR(INDEX(PP_Grid[#Data],$DE1010,35),0)</f>
        <v/>
      </c>
      <c r="AM1010">
        <f>IFERROR(INDEX(PP_Grid[#Data],$DE1010,36),0)</f>
        <v/>
      </c>
      <c r="AN1010">
        <f>IFERROR(INDEX(PP_Grid[#Data],$DE1010,37),0)</f>
        <v/>
      </c>
      <c r="AO1010">
        <f>IFERROR(INDEX(PP_Grid[#Data],$DE1010,38),0)</f>
        <v/>
      </c>
      <c r="AP1010">
        <f>IFERROR(INDEX(PP_Grid[#Data],$DE1010,39),0)</f>
        <v/>
      </c>
      <c r="AQ1010">
        <f>IFERROR(INDEX(PP_Grid[#Data],$DE1010,40),0)</f>
        <v/>
      </c>
      <c r="AR1010">
        <f>IFERROR(INDEX(PP_Grid[#Data],$DE1010,41),0)</f>
        <v/>
      </c>
      <c r="AS1010">
        <f>IFERROR(INDEX(PP_Grid[#Data],$DE1010,42),0)</f>
        <v/>
      </c>
      <c r="AT1010">
        <f>IFERROR(INDEX(PP_Grid[#Data],$DE1010,43),0)</f>
        <v/>
      </c>
      <c r="AU1010">
        <f>IFERROR(INDEX(PP_Grid[#Data],$DE1010,44),0)</f>
        <v/>
      </c>
      <c r="AV1010">
        <f>IFERROR(INDEX(PP_Grid[#Data],$DE1010,45),0)</f>
        <v/>
      </c>
      <c r="AW1010">
        <f>IFERROR(INDEX(PP_Grid[#Data],$DE1010,46),0)</f>
        <v/>
      </c>
      <c r="AX1010">
        <f>IFERROR(INDEX(PP_Grid[#Data],$DE1010,47),0)</f>
        <v/>
      </c>
      <c r="AY1010">
        <f>IFERROR(INDEX(PP_Grid[#Data],$DE1010,48),0)</f>
        <v/>
      </c>
      <c r="AZ1010">
        <f>IFERROR(INDEX(PP_Grid[#Data],$DE1010,49),0)</f>
        <v/>
      </c>
      <c r="BA1010">
        <f>IFERROR(INDEX(PP_Grid[#Data],$DE1010,50),0)</f>
        <v/>
      </c>
      <c r="BB1010">
        <f>IFERROR(INDEX(PP_Grid[#Data],$DE1010,51),0)</f>
        <v/>
      </c>
      <c r="BC1010">
        <f>IFERROR(INDEX(PP_Grid[#Data],$DE1010,52),0)</f>
        <v/>
      </c>
      <c r="BD1010">
        <f>IFERROR(INDEX(PP_Grid[#Data],$DE1010,53),0)</f>
        <v/>
      </c>
      <c r="BE1010">
        <f>IFERROR(INDEX(PP_Grid[#Data],$DE1010,54),0)</f>
        <v/>
      </c>
      <c r="BF1010">
        <f>IFERROR(INDEX(PP_Grid[#Data],$DE1010,55),0)</f>
        <v/>
      </c>
      <c r="BG1010">
        <f>IFERROR(INDEX(PP_Grid[#Data],$DE1010,56),0)</f>
        <v/>
      </c>
      <c r="BH1010">
        <f>IFERROR(INDEX(PP_Grid[#Data],$DE1010,57),0)</f>
        <v/>
      </c>
      <c r="BI1010">
        <f>IFERROR(INDEX(PP_Grid[#Data],$DE1010,58),0)</f>
        <v/>
      </c>
      <c r="BJ1010">
        <f>IFERROR(INDEX(PP_Grid[#Data],$DE1010,59),0)</f>
        <v/>
      </c>
      <c r="BK1010">
        <f>IFERROR(INDEX(PP_Grid[#Data],$DE1010,60),0)</f>
        <v/>
      </c>
      <c r="BL1010">
        <f>IFERROR(INDEX(PP_Grid[#Data],$DE1010,61),0)</f>
        <v/>
      </c>
      <c r="BM1010">
        <f>IFERROR(INDEX(PP_Grid[#Data],$DE1010,62),0)</f>
        <v/>
      </c>
      <c r="BN1010">
        <f>IFERROR(INDEX(PP_Grid[#Data],$DE1010,63),0)</f>
        <v/>
      </c>
      <c r="BO1010">
        <f>IFERROR(INDEX(PP_Grid[#Data],$DE1010,64),0)</f>
        <v/>
      </c>
      <c r="BP1010">
        <f>IFERROR(INDEX(PP_Grid[#Data],$DE1010,65),0)</f>
        <v/>
      </c>
      <c r="BQ1010">
        <f>IFERROR(INDEX(PP_Grid[#Data],$DE1010,66),0)</f>
        <v/>
      </c>
      <c r="BR1010">
        <f>IFERROR(INDEX(PP_Grid[#Data],$DE1010,67),0)</f>
        <v/>
      </c>
      <c r="BS1010">
        <f>IFERROR(INDEX(PP_Grid[#Data],$DE1010,68),0)</f>
        <v/>
      </c>
      <c r="BT1010">
        <f>IFERROR(INDEX(PP_Grid[#Data],$DE1010,69),0)</f>
        <v/>
      </c>
      <c r="BU1010">
        <f>IFERROR(INDEX(PP_Grid[#Data],$DE1010,70),0)</f>
        <v/>
      </c>
      <c r="BV1010">
        <f>IFERROR(INDEX(PP_Grid[#Data],$DE1010,71),0)</f>
        <v/>
      </c>
      <c r="BW1010">
        <f>IFERROR(INDEX(PP_Grid[#Data],$DE1010,72),0)</f>
        <v/>
      </c>
      <c r="BX1010">
        <f>IFERROR(INDEX(PP_Grid[#Data],$DE1010,73),0)</f>
        <v/>
      </c>
      <c r="BY1010">
        <f>IFERROR(INDEX(PP_Grid[#Data],$DE1010,74),0)</f>
        <v/>
      </c>
      <c r="BZ1010">
        <f>IFERROR(INDEX(PP_Grid[#Data],$DE1010,75),0)</f>
        <v/>
      </c>
      <c r="CA1010">
        <f>IFERROR(INDEX(PP_Grid[#Data],$DE1010,76),0)</f>
        <v/>
      </c>
      <c r="CB1010">
        <f>IFERROR(INDEX(PP_Grid[#Data],$DE1010,77),0)</f>
        <v/>
      </c>
      <c r="CC1010">
        <f>IFERROR(INDEX(PP_Grid[#Data],$DE1010,78),0)</f>
        <v/>
      </c>
      <c r="CD1010">
        <f>IFERROR(INDEX(PP_Grid[#Data],$DE1010,79),0)</f>
        <v/>
      </c>
      <c r="CE1010">
        <f>IFERROR(INDEX(PP_Grid[#Data],$DE1010,80),0)</f>
        <v/>
      </c>
      <c r="CF1010">
        <f>IFERROR(INDEX(PP_Grid[#Data],$DE1010,81),0)</f>
        <v/>
      </c>
      <c r="CG1010">
        <f>IFERROR(INDEX(PP_Grid[#Data],$DE1010,82),0)</f>
        <v/>
      </c>
      <c r="CH1010">
        <f>IFERROR(INDEX(PP_Grid[#Data],$DE1010,83),0)</f>
        <v/>
      </c>
      <c r="CI1010">
        <f>IFERROR(INDEX(PP_Grid[#Data],$DE1010,84),0)</f>
        <v/>
      </c>
      <c r="CJ1010">
        <f>IFERROR(INDEX(PP_Grid[#Data],$DE1010,85),0)</f>
        <v/>
      </c>
      <c r="CK1010">
        <f>IFERROR(INDEX(PP_Grid[#Data],$DE1010,86),0)</f>
        <v/>
      </c>
      <c r="CL1010">
        <f>IFERROR(INDEX(PP_Grid[#Data],$DE1010,87),0)</f>
        <v/>
      </c>
      <c r="CM1010">
        <f>IFERROR(INDEX(PP_Grid[#Data],$DE1010,88),0)</f>
        <v/>
      </c>
      <c r="CN1010">
        <f>IFERROR(INDEX(PP_Grid[#Data],$DE1010,89),0)</f>
        <v/>
      </c>
      <c r="CO1010">
        <f>IFERROR(INDEX(PP_Grid[#Data],$DE1010,90),0)</f>
        <v/>
      </c>
      <c r="CP1010">
        <f>IFERROR(INDEX(PP_Grid[#Data],$DE1010,91),0)</f>
        <v/>
      </c>
      <c r="CQ1010">
        <f>IFERROR(INDEX(PP_Grid[#Data],$DE1010,92),0)</f>
        <v/>
      </c>
      <c r="CR1010">
        <f>IFERROR(INDEX(PP_Grid[#Data],$DE1010,93),0)</f>
        <v/>
      </c>
      <c r="CS1010">
        <f>IFERROR(INDEX(PP_Grid[#Data],$DE1010,94),0)</f>
        <v/>
      </c>
      <c r="CT1010">
        <f>IFERROR(INDEX(PP_Grid[#Data],$DE1010,95),0)</f>
        <v/>
      </c>
      <c r="CU1010">
        <f>IFERROR(INDEX(PP_Grid[#Data],$DE1010,96),0)</f>
        <v/>
      </c>
      <c r="CV1010">
        <f>IFERROR(INDEX(PP_Grid[#Data],$DE1010,97),0)</f>
        <v/>
      </c>
      <c r="CW1010">
        <f>IFERROR(INDEX(PP_Grid[#Data],$DE1010,98),0)</f>
        <v/>
      </c>
      <c r="CX1010">
        <f>IFERROR(INDEX(PP_Grid[#Data],$DE1010,99),0)</f>
        <v/>
      </c>
      <c r="CY1010">
        <f>IFERROR(INDEX(PP_Grid[#Data],$DE1010,100),0)</f>
        <v/>
      </c>
      <c r="CZ1010">
        <f>IFERROR(INDEX(PP_Grid[#Data],$DE1010,101),0)</f>
        <v/>
      </c>
      <c r="DA1010">
        <f>IFERROR(INDEX(PP_Grid[#Data],$DE1010,102),0)</f>
        <v/>
      </c>
      <c r="DB1010">
        <f>IFERROR(INDEX(PP_Grid[#Data],$DE1010,103),0)</f>
        <v/>
      </c>
      <c r="DC1010">
        <f>IFERROR(INDEX(PP_Grid[#Data],$DE1010,104),0)</f>
        <v/>
      </c>
      <c r="DD1010">
        <f>IFERROR(INDEX(PP_Grid[#Data],$DE1010,105),0)</f>
        <v/>
      </c>
      <c r="DE1010" s="7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SUMIFS(M_BOM[RM_Qty_Per_Batch],M_BOM[Intermediate],$B1010,M_BOM[RM_Code],$A1007)</f>
        <v/>
      </c>
      <c r="D1011">
        <f>IFERROR(INDEX(E1011:DD1011,$F$1),"")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  <c r="DD1011">
        <f>$C1011*DD1010</f>
        <v/>
      </c>
    </row>
    <row r="1012">
      <c r="B1012" s="4" t="inlineStr">
        <is>
          <t>合計使用量(kg)/週</t>
        </is>
      </c>
      <c r="D1012" s="22">
        <f>IFERROR(INDEX(E1012:DD1012,$F$1),"")</f>
        <v/>
      </c>
      <c r="E1012">
        <f>'Grid_Requirement'!B49</f>
        <v/>
      </c>
      <c r="F1012">
        <f>'Grid_Requirement'!C49</f>
        <v/>
      </c>
      <c r="G1012">
        <f>'Grid_Requirement'!D49</f>
        <v/>
      </c>
      <c r="H1012">
        <f>'Grid_Requirement'!E49</f>
        <v/>
      </c>
      <c r="I1012">
        <f>'Grid_Requirement'!F49</f>
        <v/>
      </c>
      <c r="J1012">
        <f>'Grid_Requirement'!G49</f>
        <v/>
      </c>
      <c r="K1012">
        <f>'Grid_Requirement'!H49</f>
        <v/>
      </c>
      <c r="L1012">
        <f>'Grid_Requirement'!I49</f>
        <v/>
      </c>
      <c r="M1012">
        <f>'Grid_Requirement'!J49</f>
        <v/>
      </c>
      <c r="N1012">
        <f>'Grid_Requirement'!K49</f>
        <v/>
      </c>
      <c r="O1012">
        <f>'Grid_Requirement'!L49</f>
        <v/>
      </c>
      <c r="P1012">
        <f>'Grid_Requirement'!M49</f>
        <v/>
      </c>
      <c r="Q1012">
        <f>'Grid_Requirement'!N49</f>
        <v/>
      </c>
      <c r="R1012">
        <f>'Grid_Requirement'!O49</f>
        <v/>
      </c>
      <c r="S1012">
        <f>'Grid_Requirement'!P49</f>
        <v/>
      </c>
      <c r="T1012">
        <f>'Grid_Requirement'!Q49</f>
        <v/>
      </c>
      <c r="U1012">
        <f>'Grid_Requirement'!R49</f>
        <v/>
      </c>
      <c r="V1012">
        <f>'Grid_Requirement'!S49</f>
        <v/>
      </c>
      <c r="W1012">
        <f>'Grid_Requirement'!T49</f>
        <v/>
      </c>
      <c r="X1012">
        <f>'Grid_Requirement'!U49</f>
        <v/>
      </c>
      <c r="Y1012">
        <f>'Grid_Requirement'!V49</f>
        <v/>
      </c>
      <c r="Z1012">
        <f>'Grid_Requirement'!W49</f>
        <v/>
      </c>
      <c r="AA1012">
        <f>'Grid_Requirement'!X49</f>
        <v/>
      </c>
      <c r="AB1012">
        <f>'Grid_Requirement'!Y49</f>
        <v/>
      </c>
      <c r="AC1012">
        <f>'Grid_Requirement'!Z49</f>
        <v/>
      </c>
      <c r="AD1012">
        <f>'Grid_Requirement'!AA49</f>
        <v/>
      </c>
      <c r="AE1012">
        <f>'Grid_Requirement'!AB49</f>
        <v/>
      </c>
      <c r="AF1012">
        <f>'Grid_Requirement'!AC49</f>
        <v/>
      </c>
      <c r="AG1012">
        <f>'Grid_Requirement'!AD49</f>
        <v/>
      </c>
      <c r="AH1012">
        <f>'Grid_Requirement'!AE49</f>
        <v/>
      </c>
      <c r="AI1012">
        <f>'Grid_Requirement'!AF49</f>
        <v/>
      </c>
      <c r="AJ1012">
        <f>'Grid_Requirement'!AG49</f>
        <v/>
      </c>
      <c r="AK1012">
        <f>'Grid_Requirement'!AH49</f>
        <v/>
      </c>
      <c r="AL1012">
        <f>'Grid_Requirement'!AI49</f>
        <v/>
      </c>
      <c r="AM1012">
        <f>'Grid_Requirement'!AJ49</f>
        <v/>
      </c>
      <c r="AN1012">
        <f>'Grid_Requirement'!AK49</f>
        <v/>
      </c>
      <c r="AO1012">
        <f>'Grid_Requirement'!AL49</f>
        <v/>
      </c>
      <c r="AP1012">
        <f>'Grid_Requirement'!AM49</f>
        <v/>
      </c>
      <c r="AQ1012">
        <f>'Grid_Requirement'!AN49</f>
        <v/>
      </c>
      <c r="AR1012">
        <f>'Grid_Requirement'!AO49</f>
        <v/>
      </c>
      <c r="AS1012">
        <f>'Grid_Requirement'!AP49</f>
        <v/>
      </c>
      <c r="AT1012">
        <f>'Grid_Requirement'!AQ49</f>
        <v/>
      </c>
      <c r="AU1012">
        <f>'Grid_Requirement'!AR49</f>
        <v/>
      </c>
      <c r="AV1012">
        <f>'Grid_Requirement'!AS49</f>
        <v/>
      </c>
      <c r="AW1012">
        <f>'Grid_Requirement'!AT49</f>
        <v/>
      </c>
      <c r="AX1012">
        <f>'Grid_Requirement'!AU49</f>
        <v/>
      </c>
      <c r="AY1012">
        <f>'Grid_Requirement'!AV49</f>
        <v/>
      </c>
      <c r="AZ1012">
        <f>'Grid_Requirement'!AW49</f>
        <v/>
      </c>
      <c r="BA1012">
        <f>'Grid_Requirement'!AX49</f>
        <v/>
      </c>
      <c r="BB1012">
        <f>'Grid_Requirement'!AY49</f>
        <v/>
      </c>
      <c r="BC1012">
        <f>'Grid_Requirement'!AZ49</f>
        <v/>
      </c>
      <c r="BD1012">
        <f>'Grid_Requirement'!BA49</f>
        <v/>
      </c>
      <c r="BE1012">
        <f>'Grid_Requirement'!BB49</f>
        <v/>
      </c>
      <c r="BF1012">
        <f>'Grid_Requirement'!BC49</f>
        <v/>
      </c>
      <c r="BG1012">
        <f>'Grid_Requirement'!BD49</f>
        <v/>
      </c>
      <c r="BH1012">
        <f>'Grid_Requirement'!BE49</f>
        <v/>
      </c>
      <c r="BI1012">
        <f>'Grid_Requirement'!BF49</f>
        <v/>
      </c>
      <c r="BJ1012">
        <f>'Grid_Requirement'!BG49</f>
        <v/>
      </c>
      <c r="BK1012">
        <f>'Grid_Requirement'!BH49</f>
        <v/>
      </c>
      <c r="BL1012">
        <f>'Grid_Requirement'!BI49</f>
        <v/>
      </c>
      <c r="BM1012">
        <f>'Grid_Requirement'!BJ49</f>
        <v/>
      </c>
      <c r="BN1012">
        <f>'Grid_Requirement'!BK49</f>
        <v/>
      </c>
      <c r="BO1012">
        <f>'Grid_Requirement'!BL49</f>
        <v/>
      </c>
      <c r="BP1012">
        <f>'Grid_Requirement'!BM49</f>
        <v/>
      </c>
      <c r="BQ1012">
        <f>'Grid_Requirement'!BN49</f>
        <v/>
      </c>
      <c r="BR1012">
        <f>'Grid_Requirement'!BO49</f>
        <v/>
      </c>
      <c r="BS1012">
        <f>'Grid_Requirement'!BP49</f>
        <v/>
      </c>
      <c r="BT1012">
        <f>'Grid_Requirement'!BQ49</f>
        <v/>
      </c>
      <c r="BU1012">
        <f>'Grid_Requirement'!BR49</f>
        <v/>
      </c>
      <c r="BV1012">
        <f>'Grid_Requirement'!BS49</f>
        <v/>
      </c>
      <c r="BW1012">
        <f>'Grid_Requirement'!BT49</f>
        <v/>
      </c>
      <c r="BX1012">
        <f>'Grid_Requirement'!BU49</f>
        <v/>
      </c>
      <c r="BY1012">
        <f>'Grid_Requirement'!BV49</f>
        <v/>
      </c>
      <c r="BZ1012">
        <f>'Grid_Requirement'!BW49</f>
        <v/>
      </c>
      <c r="CA1012">
        <f>'Grid_Requirement'!BX49</f>
        <v/>
      </c>
      <c r="CB1012">
        <f>'Grid_Requirement'!BY49</f>
        <v/>
      </c>
      <c r="CC1012">
        <f>'Grid_Requirement'!BZ49</f>
        <v/>
      </c>
      <c r="CD1012">
        <f>'Grid_Requirement'!CA49</f>
        <v/>
      </c>
      <c r="CE1012">
        <f>'Grid_Requirement'!CB49</f>
        <v/>
      </c>
      <c r="CF1012">
        <f>'Grid_Requirement'!CC49</f>
        <v/>
      </c>
      <c r="CG1012">
        <f>'Grid_Requirement'!CD49</f>
        <v/>
      </c>
      <c r="CH1012">
        <f>'Grid_Requirement'!CE49</f>
        <v/>
      </c>
      <c r="CI1012">
        <f>'Grid_Requirement'!CF49</f>
        <v/>
      </c>
      <c r="CJ1012">
        <f>'Grid_Requirement'!CG49</f>
        <v/>
      </c>
      <c r="CK1012">
        <f>'Grid_Requirement'!CH49</f>
        <v/>
      </c>
      <c r="CL1012">
        <f>'Grid_Requirement'!CI49</f>
        <v/>
      </c>
      <c r="CM1012">
        <f>'Grid_Requirement'!CJ49</f>
        <v/>
      </c>
      <c r="CN1012">
        <f>'Grid_Requirement'!CK49</f>
        <v/>
      </c>
      <c r="CO1012">
        <f>'Grid_Requirement'!CL49</f>
        <v/>
      </c>
      <c r="CP1012">
        <f>'Grid_Requirement'!CM49</f>
        <v/>
      </c>
      <c r="CQ1012">
        <f>'Grid_Requirement'!CN49</f>
        <v/>
      </c>
      <c r="CR1012">
        <f>'Grid_Requirement'!CO49</f>
        <v/>
      </c>
      <c r="CS1012">
        <f>'Grid_Requirement'!CP49</f>
        <v/>
      </c>
      <c r="CT1012">
        <f>'Grid_Requirement'!CQ49</f>
        <v/>
      </c>
      <c r="CU1012">
        <f>'Grid_Requirement'!CR49</f>
        <v/>
      </c>
      <c r="CV1012">
        <f>'Grid_Requirement'!CS49</f>
        <v/>
      </c>
      <c r="CW1012">
        <f>'Grid_Requirement'!CT49</f>
        <v/>
      </c>
      <c r="CX1012">
        <f>'Grid_Requirement'!CU49</f>
        <v/>
      </c>
      <c r="CY1012">
        <f>'Grid_Requirement'!CV49</f>
        <v/>
      </c>
      <c r="CZ1012">
        <f>'Grid_Requirement'!CW49</f>
        <v/>
      </c>
      <c r="DA1012">
        <f>'Grid_Requirement'!CX49</f>
        <v/>
      </c>
      <c r="DB1012">
        <f>'Grid_Requirement'!CY49</f>
        <v/>
      </c>
      <c r="DC1012">
        <f>'Grid_Requirement'!CZ49</f>
        <v/>
      </c>
      <c r="DD1012">
        <f>'Grid_Requirement'!DA49</f>
        <v/>
      </c>
    </row>
    <row r="1013">
      <c r="B1013" s="23" t="inlineStr">
        <is>
          <t>（在庫・入荷予定はDashboard参照）</t>
        </is>
      </c>
    </row>
    <row r="1015">
      <c r="A1015" s="21" t="inlineStr">
        <is>
          <t>CHEM-1460</t>
        </is>
      </c>
      <c r="B1015" s="21" t="inlineStr">
        <is>
          <t>Optalys 114</t>
        </is>
      </c>
      <c r="C1015" s="21" t="n"/>
      <c r="D1015" s="21" t="n"/>
      <c r="E1015" s="21" t="n"/>
      <c r="F1015" s="21" t="n"/>
      <c r="G1015" s="21" t="n"/>
      <c r="H1015" s="21" t="n"/>
      <c r="I1015" s="21" t="n"/>
      <c r="J1015" s="21" t="n"/>
      <c r="K1015" s="21" t="n"/>
      <c r="L1015" s="21" t="n"/>
      <c r="M1015" s="21" t="n"/>
      <c r="N1015" s="21" t="n"/>
      <c r="O1015" s="21" t="n"/>
      <c r="P1015" s="21" t="n"/>
      <c r="Q1015" s="21" t="n"/>
      <c r="R1015" s="21" t="n"/>
      <c r="S1015" s="21" t="n"/>
      <c r="T1015" s="21" t="n"/>
      <c r="U1015" s="21" t="n"/>
      <c r="V1015" s="21" t="n"/>
      <c r="W1015" s="21" t="n"/>
      <c r="X1015" s="21" t="n"/>
      <c r="Y1015" s="21" t="n"/>
      <c r="Z1015" s="21" t="n"/>
      <c r="AA1015" s="21" t="n"/>
      <c r="AB1015" s="21" t="n"/>
      <c r="AC1015" s="21" t="n"/>
      <c r="AD1015" s="21" t="n"/>
      <c r="AE1015" s="21" t="n"/>
      <c r="AF1015" s="21" t="n"/>
      <c r="AG1015" s="21" t="n"/>
      <c r="AH1015" s="21" t="n"/>
      <c r="AI1015" s="21" t="n"/>
      <c r="AJ1015" s="21" t="n"/>
      <c r="AK1015" s="21" t="n"/>
      <c r="AL1015" s="21" t="n"/>
      <c r="AM1015" s="21" t="n"/>
      <c r="AN1015" s="21" t="n"/>
      <c r="AO1015" s="21" t="n"/>
      <c r="AP1015" s="21" t="n"/>
      <c r="AQ1015" s="21" t="n"/>
      <c r="AR1015" s="21" t="n"/>
      <c r="AS1015" s="21" t="n"/>
      <c r="AT1015" s="21" t="n"/>
      <c r="AU1015" s="21" t="n"/>
      <c r="AV1015" s="21" t="n"/>
      <c r="AW1015" s="21" t="n"/>
      <c r="AX1015" s="21" t="n"/>
      <c r="AY1015" s="21" t="n"/>
      <c r="AZ1015" s="21" t="n"/>
      <c r="BA1015" s="21" t="n"/>
      <c r="BB1015" s="21" t="n"/>
      <c r="BC1015" s="21" t="n"/>
      <c r="BD1015" s="21" t="n"/>
      <c r="BE1015" s="21" t="n"/>
      <c r="BF1015" s="21" t="n"/>
      <c r="BG1015" s="21" t="n"/>
      <c r="BH1015" s="21" t="n"/>
      <c r="BI1015" s="21" t="n"/>
      <c r="BJ1015" s="21" t="n"/>
      <c r="BK1015" s="21" t="n"/>
      <c r="BL1015" s="21" t="n"/>
      <c r="BM1015" s="21" t="n"/>
      <c r="BN1015" s="21" t="n"/>
      <c r="BO1015" s="21" t="n"/>
      <c r="BP1015" s="21" t="n"/>
      <c r="BQ1015" s="21" t="n"/>
      <c r="BR1015" s="21" t="n"/>
      <c r="BS1015" s="21" t="n"/>
      <c r="BT1015" s="21" t="n"/>
      <c r="BU1015" s="21" t="n"/>
      <c r="BV1015" s="21" t="n"/>
      <c r="BW1015" s="21" t="n"/>
      <c r="BX1015" s="21" t="n"/>
      <c r="BY1015" s="21" t="n"/>
      <c r="BZ1015" s="21" t="n"/>
      <c r="CA1015" s="21" t="n"/>
      <c r="CB1015" s="21" t="n"/>
      <c r="CC1015" s="21" t="n"/>
      <c r="CD1015" s="21" t="n"/>
      <c r="CE1015" s="21" t="n"/>
      <c r="CF1015" s="21" t="n"/>
      <c r="CG1015" s="21" t="n"/>
      <c r="CH1015" s="21" t="n"/>
      <c r="CI1015" s="21" t="n"/>
      <c r="CJ1015" s="21" t="n"/>
      <c r="CK1015" s="21" t="n"/>
      <c r="CL1015" s="21" t="n"/>
      <c r="CM1015" s="21" t="n"/>
      <c r="CN1015" s="21" t="n"/>
      <c r="CO1015" s="21" t="n"/>
      <c r="CP1015" s="21" t="n"/>
      <c r="CQ1015" s="21" t="n"/>
      <c r="CR1015" s="21" t="n"/>
      <c r="CS1015" s="21" t="n"/>
      <c r="CT1015" s="21" t="n"/>
      <c r="CU1015" s="21" t="n"/>
      <c r="CV1015" s="21" t="n"/>
      <c r="CW1015" s="21" t="n"/>
      <c r="CX1015" s="21" t="n"/>
      <c r="CY1015" s="21" t="n"/>
      <c r="CZ1015" s="21" t="n"/>
      <c r="DA1015" s="21" t="n"/>
      <c r="DB1015" s="21" t="n"/>
      <c r="DC1015" s="21" t="n"/>
      <c r="DD1015" s="21" t="n"/>
    </row>
    <row r="1016">
      <c r="B1016" t="inlineStr">
        <is>
          <t>TSP-224</t>
        </is>
      </c>
      <c r="C1016" t="inlineStr">
        <is>
          <t>No. of batches</t>
        </is>
      </c>
      <c r="D1016">
        <f>IFERROR(INDEX(E1016:DD1016,$F$1),"")</f>
        <v/>
      </c>
      <c r="E1016">
        <f>IFERROR(INDEX(PP_Grid[#Data],$DE1016,2),0)</f>
        <v/>
      </c>
      <c r="F1016">
        <f>IFERROR(INDEX(PP_Grid[#Data],$DE1016,3),0)</f>
        <v/>
      </c>
      <c r="G1016">
        <f>IFERROR(INDEX(PP_Grid[#Data],$DE1016,4),0)</f>
        <v/>
      </c>
      <c r="H1016">
        <f>IFERROR(INDEX(PP_Grid[#Data],$DE1016,5),0)</f>
        <v/>
      </c>
      <c r="I1016">
        <f>IFERROR(INDEX(PP_Grid[#Data],$DE1016,6),0)</f>
        <v/>
      </c>
      <c r="J1016">
        <f>IFERROR(INDEX(PP_Grid[#Data],$DE1016,7),0)</f>
        <v/>
      </c>
      <c r="K1016">
        <f>IFERROR(INDEX(PP_Grid[#Data],$DE1016,8),0)</f>
        <v/>
      </c>
      <c r="L1016">
        <f>IFERROR(INDEX(PP_Grid[#Data],$DE1016,9),0)</f>
        <v/>
      </c>
      <c r="M1016">
        <f>IFERROR(INDEX(PP_Grid[#Data],$DE1016,10),0)</f>
        <v/>
      </c>
      <c r="N1016">
        <f>IFERROR(INDEX(PP_Grid[#Data],$DE1016,11),0)</f>
        <v/>
      </c>
      <c r="O1016">
        <f>IFERROR(INDEX(PP_Grid[#Data],$DE1016,12),0)</f>
        <v/>
      </c>
      <c r="P1016">
        <f>IFERROR(INDEX(PP_Grid[#Data],$DE1016,13),0)</f>
        <v/>
      </c>
      <c r="Q1016">
        <f>IFERROR(INDEX(PP_Grid[#Data],$DE1016,14),0)</f>
        <v/>
      </c>
      <c r="R1016">
        <f>IFERROR(INDEX(PP_Grid[#Data],$DE1016,15),0)</f>
        <v/>
      </c>
      <c r="S1016">
        <f>IFERROR(INDEX(PP_Grid[#Data],$DE1016,16),0)</f>
        <v/>
      </c>
      <c r="T1016">
        <f>IFERROR(INDEX(PP_Grid[#Data],$DE1016,17),0)</f>
        <v/>
      </c>
      <c r="U1016">
        <f>IFERROR(INDEX(PP_Grid[#Data],$DE1016,18),0)</f>
        <v/>
      </c>
      <c r="V1016">
        <f>IFERROR(INDEX(PP_Grid[#Data],$DE1016,19),0)</f>
        <v/>
      </c>
      <c r="W1016">
        <f>IFERROR(INDEX(PP_Grid[#Data],$DE1016,20),0)</f>
        <v/>
      </c>
      <c r="X1016">
        <f>IFERROR(INDEX(PP_Grid[#Data],$DE1016,21),0)</f>
        <v/>
      </c>
      <c r="Y1016">
        <f>IFERROR(INDEX(PP_Grid[#Data],$DE1016,22),0)</f>
        <v/>
      </c>
      <c r="Z1016">
        <f>IFERROR(INDEX(PP_Grid[#Data],$DE1016,23),0)</f>
        <v/>
      </c>
      <c r="AA1016">
        <f>IFERROR(INDEX(PP_Grid[#Data],$DE1016,24),0)</f>
        <v/>
      </c>
      <c r="AB1016">
        <f>IFERROR(INDEX(PP_Grid[#Data],$DE1016,25),0)</f>
        <v/>
      </c>
      <c r="AC1016">
        <f>IFERROR(INDEX(PP_Grid[#Data],$DE1016,26),0)</f>
        <v/>
      </c>
      <c r="AD1016">
        <f>IFERROR(INDEX(PP_Grid[#Data],$DE1016,27),0)</f>
        <v/>
      </c>
      <c r="AE1016">
        <f>IFERROR(INDEX(PP_Grid[#Data],$DE1016,28),0)</f>
        <v/>
      </c>
      <c r="AF1016">
        <f>IFERROR(INDEX(PP_Grid[#Data],$DE1016,29),0)</f>
        <v/>
      </c>
      <c r="AG1016">
        <f>IFERROR(INDEX(PP_Grid[#Data],$DE1016,30),0)</f>
        <v/>
      </c>
      <c r="AH1016">
        <f>IFERROR(INDEX(PP_Grid[#Data],$DE1016,31),0)</f>
        <v/>
      </c>
      <c r="AI1016">
        <f>IFERROR(INDEX(PP_Grid[#Data],$DE1016,32),0)</f>
        <v/>
      </c>
      <c r="AJ1016">
        <f>IFERROR(INDEX(PP_Grid[#Data],$DE1016,33),0)</f>
        <v/>
      </c>
      <c r="AK1016">
        <f>IFERROR(INDEX(PP_Grid[#Data],$DE1016,34),0)</f>
        <v/>
      </c>
      <c r="AL1016">
        <f>IFERROR(INDEX(PP_Grid[#Data],$DE1016,35),0)</f>
        <v/>
      </c>
      <c r="AM1016">
        <f>IFERROR(INDEX(PP_Grid[#Data],$DE1016,36),0)</f>
        <v/>
      </c>
      <c r="AN1016">
        <f>IFERROR(INDEX(PP_Grid[#Data],$DE1016,37),0)</f>
        <v/>
      </c>
      <c r="AO1016">
        <f>IFERROR(INDEX(PP_Grid[#Data],$DE1016,38),0)</f>
        <v/>
      </c>
      <c r="AP1016">
        <f>IFERROR(INDEX(PP_Grid[#Data],$DE1016,39),0)</f>
        <v/>
      </c>
      <c r="AQ1016">
        <f>IFERROR(INDEX(PP_Grid[#Data],$DE1016,40),0)</f>
        <v/>
      </c>
      <c r="AR1016">
        <f>IFERROR(INDEX(PP_Grid[#Data],$DE1016,41),0)</f>
        <v/>
      </c>
      <c r="AS1016">
        <f>IFERROR(INDEX(PP_Grid[#Data],$DE1016,42),0)</f>
        <v/>
      </c>
      <c r="AT1016">
        <f>IFERROR(INDEX(PP_Grid[#Data],$DE1016,43),0)</f>
        <v/>
      </c>
      <c r="AU1016">
        <f>IFERROR(INDEX(PP_Grid[#Data],$DE1016,44),0)</f>
        <v/>
      </c>
      <c r="AV1016">
        <f>IFERROR(INDEX(PP_Grid[#Data],$DE1016,45),0)</f>
        <v/>
      </c>
      <c r="AW1016">
        <f>IFERROR(INDEX(PP_Grid[#Data],$DE1016,46),0)</f>
        <v/>
      </c>
      <c r="AX1016">
        <f>IFERROR(INDEX(PP_Grid[#Data],$DE1016,47),0)</f>
        <v/>
      </c>
      <c r="AY1016">
        <f>IFERROR(INDEX(PP_Grid[#Data],$DE1016,48),0)</f>
        <v/>
      </c>
      <c r="AZ1016">
        <f>IFERROR(INDEX(PP_Grid[#Data],$DE1016,49),0)</f>
        <v/>
      </c>
      <c r="BA1016">
        <f>IFERROR(INDEX(PP_Grid[#Data],$DE1016,50),0)</f>
        <v/>
      </c>
      <c r="BB1016">
        <f>IFERROR(INDEX(PP_Grid[#Data],$DE1016,51),0)</f>
        <v/>
      </c>
      <c r="BC1016">
        <f>IFERROR(INDEX(PP_Grid[#Data],$DE1016,52),0)</f>
        <v/>
      </c>
      <c r="BD1016">
        <f>IFERROR(INDEX(PP_Grid[#Data],$DE1016,53),0)</f>
        <v/>
      </c>
      <c r="BE1016">
        <f>IFERROR(INDEX(PP_Grid[#Data],$DE1016,54),0)</f>
        <v/>
      </c>
      <c r="BF1016">
        <f>IFERROR(INDEX(PP_Grid[#Data],$DE1016,55),0)</f>
        <v/>
      </c>
      <c r="BG1016">
        <f>IFERROR(INDEX(PP_Grid[#Data],$DE1016,56),0)</f>
        <v/>
      </c>
      <c r="BH1016">
        <f>IFERROR(INDEX(PP_Grid[#Data],$DE1016,57),0)</f>
        <v/>
      </c>
      <c r="BI1016">
        <f>IFERROR(INDEX(PP_Grid[#Data],$DE1016,58),0)</f>
        <v/>
      </c>
      <c r="BJ1016">
        <f>IFERROR(INDEX(PP_Grid[#Data],$DE1016,59),0)</f>
        <v/>
      </c>
      <c r="BK1016">
        <f>IFERROR(INDEX(PP_Grid[#Data],$DE1016,60),0)</f>
        <v/>
      </c>
      <c r="BL1016">
        <f>IFERROR(INDEX(PP_Grid[#Data],$DE1016,61),0)</f>
        <v/>
      </c>
      <c r="BM1016">
        <f>IFERROR(INDEX(PP_Grid[#Data],$DE1016,62),0)</f>
        <v/>
      </c>
      <c r="BN1016">
        <f>IFERROR(INDEX(PP_Grid[#Data],$DE1016,63),0)</f>
        <v/>
      </c>
      <c r="BO1016">
        <f>IFERROR(INDEX(PP_Grid[#Data],$DE1016,64),0)</f>
        <v/>
      </c>
      <c r="BP1016">
        <f>IFERROR(INDEX(PP_Grid[#Data],$DE1016,65),0)</f>
        <v/>
      </c>
      <c r="BQ1016">
        <f>IFERROR(INDEX(PP_Grid[#Data],$DE1016,66),0)</f>
        <v/>
      </c>
      <c r="BR1016">
        <f>IFERROR(INDEX(PP_Grid[#Data],$DE1016,67),0)</f>
        <v/>
      </c>
      <c r="BS1016">
        <f>IFERROR(INDEX(PP_Grid[#Data],$DE1016,68),0)</f>
        <v/>
      </c>
      <c r="BT1016">
        <f>IFERROR(INDEX(PP_Grid[#Data],$DE1016,69),0)</f>
        <v/>
      </c>
      <c r="BU1016">
        <f>IFERROR(INDEX(PP_Grid[#Data],$DE1016,70),0)</f>
        <v/>
      </c>
      <c r="BV1016">
        <f>IFERROR(INDEX(PP_Grid[#Data],$DE1016,71),0)</f>
        <v/>
      </c>
      <c r="BW1016">
        <f>IFERROR(INDEX(PP_Grid[#Data],$DE1016,72),0)</f>
        <v/>
      </c>
      <c r="BX1016">
        <f>IFERROR(INDEX(PP_Grid[#Data],$DE1016,73),0)</f>
        <v/>
      </c>
      <c r="BY1016">
        <f>IFERROR(INDEX(PP_Grid[#Data],$DE1016,74),0)</f>
        <v/>
      </c>
      <c r="BZ1016">
        <f>IFERROR(INDEX(PP_Grid[#Data],$DE1016,75),0)</f>
        <v/>
      </c>
      <c r="CA1016">
        <f>IFERROR(INDEX(PP_Grid[#Data],$DE1016,76),0)</f>
        <v/>
      </c>
      <c r="CB1016">
        <f>IFERROR(INDEX(PP_Grid[#Data],$DE1016,77),0)</f>
        <v/>
      </c>
      <c r="CC1016">
        <f>IFERROR(INDEX(PP_Grid[#Data],$DE1016,78),0)</f>
        <v/>
      </c>
      <c r="CD1016">
        <f>IFERROR(INDEX(PP_Grid[#Data],$DE1016,79),0)</f>
        <v/>
      </c>
      <c r="CE1016">
        <f>IFERROR(INDEX(PP_Grid[#Data],$DE1016,80),0)</f>
        <v/>
      </c>
      <c r="CF1016">
        <f>IFERROR(INDEX(PP_Grid[#Data],$DE1016,81),0)</f>
        <v/>
      </c>
      <c r="CG1016">
        <f>IFERROR(INDEX(PP_Grid[#Data],$DE1016,82),0)</f>
        <v/>
      </c>
      <c r="CH1016">
        <f>IFERROR(INDEX(PP_Grid[#Data],$DE1016,83),0)</f>
        <v/>
      </c>
      <c r="CI1016">
        <f>IFERROR(INDEX(PP_Grid[#Data],$DE1016,84),0)</f>
        <v/>
      </c>
      <c r="CJ1016">
        <f>IFERROR(INDEX(PP_Grid[#Data],$DE1016,85),0)</f>
        <v/>
      </c>
      <c r="CK1016">
        <f>IFERROR(INDEX(PP_Grid[#Data],$DE1016,86),0)</f>
        <v/>
      </c>
      <c r="CL1016">
        <f>IFERROR(INDEX(PP_Grid[#Data],$DE1016,87),0)</f>
        <v/>
      </c>
      <c r="CM1016">
        <f>IFERROR(INDEX(PP_Grid[#Data],$DE1016,88),0)</f>
        <v/>
      </c>
      <c r="CN1016">
        <f>IFERROR(INDEX(PP_Grid[#Data],$DE1016,89),0)</f>
        <v/>
      </c>
      <c r="CO1016">
        <f>IFERROR(INDEX(PP_Grid[#Data],$DE1016,90),0)</f>
        <v/>
      </c>
      <c r="CP1016">
        <f>IFERROR(INDEX(PP_Grid[#Data],$DE1016,91),0)</f>
        <v/>
      </c>
      <c r="CQ1016">
        <f>IFERROR(INDEX(PP_Grid[#Data],$DE1016,92),0)</f>
        <v/>
      </c>
      <c r="CR1016">
        <f>IFERROR(INDEX(PP_Grid[#Data],$DE1016,93),0)</f>
        <v/>
      </c>
      <c r="CS1016">
        <f>IFERROR(INDEX(PP_Grid[#Data],$DE1016,94),0)</f>
        <v/>
      </c>
      <c r="CT1016">
        <f>IFERROR(INDEX(PP_Grid[#Data],$DE1016,95),0)</f>
        <v/>
      </c>
      <c r="CU1016">
        <f>IFERROR(INDEX(PP_Grid[#Data],$DE1016,96),0)</f>
        <v/>
      </c>
      <c r="CV1016">
        <f>IFERROR(INDEX(PP_Grid[#Data],$DE1016,97),0)</f>
        <v/>
      </c>
      <c r="CW1016">
        <f>IFERROR(INDEX(PP_Grid[#Data],$DE1016,98),0)</f>
        <v/>
      </c>
      <c r="CX1016">
        <f>IFERROR(INDEX(PP_Grid[#Data],$DE1016,99),0)</f>
        <v/>
      </c>
      <c r="CY1016">
        <f>IFERROR(INDEX(PP_Grid[#Data],$DE1016,100),0)</f>
        <v/>
      </c>
      <c r="CZ1016">
        <f>IFERROR(INDEX(PP_Grid[#Data],$DE1016,101),0)</f>
        <v/>
      </c>
      <c r="DA1016">
        <f>IFERROR(INDEX(PP_Grid[#Data],$DE1016,102),0)</f>
        <v/>
      </c>
      <c r="DB1016">
        <f>IFERROR(INDEX(PP_Grid[#Data],$DE1016,103),0)</f>
        <v/>
      </c>
      <c r="DC1016">
        <f>IFERROR(INDEX(PP_Grid[#Data],$DE1016,104),0)</f>
        <v/>
      </c>
      <c r="DD1016">
        <f>IFERROR(INDEX(PP_Grid[#Data],$DE1016,105),0)</f>
        <v/>
      </c>
      <c r="DE1016" s="7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SUMIFS(M_BOM[RM_Qty_Per_Batch],M_BOM[Intermediate],$B1016,M_BOM[RM_Code],$A1015)</f>
        <v/>
      </c>
      <c r="D1017">
        <f>IFERROR(INDEX(E1017:DD1017,$F$1),"")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  <c r="DD1017">
        <f>$C1017*DD1016</f>
        <v/>
      </c>
    </row>
    <row r="1018">
      <c r="B1018" t="inlineStr">
        <is>
          <t>TPP-190</t>
        </is>
      </c>
      <c r="C1018" t="inlineStr">
        <is>
          <t>No. of batches</t>
        </is>
      </c>
      <c r="D1018">
        <f>IFERROR(INDEX(E1018:DD1018,$F$1),"")</f>
        <v/>
      </c>
      <c r="E1018">
        <f>IFERROR(INDEX(PP_Grid[#Data],$DE1018,2),0)</f>
        <v/>
      </c>
      <c r="F1018">
        <f>IFERROR(INDEX(PP_Grid[#Data],$DE1018,3),0)</f>
        <v/>
      </c>
      <c r="G1018">
        <f>IFERROR(INDEX(PP_Grid[#Data],$DE1018,4),0)</f>
        <v/>
      </c>
      <c r="H1018">
        <f>IFERROR(INDEX(PP_Grid[#Data],$DE1018,5),0)</f>
        <v/>
      </c>
      <c r="I1018">
        <f>IFERROR(INDEX(PP_Grid[#Data],$DE1018,6),0)</f>
        <v/>
      </c>
      <c r="J1018">
        <f>IFERROR(INDEX(PP_Grid[#Data],$DE1018,7),0)</f>
        <v/>
      </c>
      <c r="K1018">
        <f>IFERROR(INDEX(PP_Grid[#Data],$DE1018,8),0)</f>
        <v/>
      </c>
      <c r="L1018">
        <f>IFERROR(INDEX(PP_Grid[#Data],$DE1018,9),0)</f>
        <v/>
      </c>
      <c r="M1018">
        <f>IFERROR(INDEX(PP_Grid[#Data],$DE1018,10),0)</f>
        <v/>
      </c>
      <c r="N1018">
        <f>IFERROR(INDEX(PP_Grid[#Data],$DE1018,11),0)</f>
        <v/>
      </c>
      <c r="O1018">
        <f>IFERROR(INDEX(PP_Grid[#Data],$DE1018,12),0)</f>
        <v/>
      </c>
      <c r="P1018">
        <f>IFERROR(INDEX(PP_Grid[#Data],$DE1018,13),0)</f>
        <v/>
      </c>
      <c r="Q1018">
        <f>IFERROR(INDEX(PP_Grid[#Data],$DE1018,14),0)</f>
        <v/>
      </c>
      <c r="R1018">
        <f>IFERROR(INDEX(PP_Grid[#Data],$DE1018,15),0)</f>
        <v/>
      </c>
      <c r="S1018">
        <f>IFERROR(INDEX(PP_Grid[#Data],$DE1018,16),0)</f>
        <v/>
      </c>
      <c r="T1018">
        <f>IFERROR(INDEX(PP_Grid[#Data],$DE1018,17),0)</f>
        <v/>
      </c>
      <c r="U1018">
        <f>IFERROR(INDEX(PP_Grid[#Data],$DE1018,18),0)</f>
        <v/>
      </c>
      <c r="V1018">
        <f>IFERROR(INDEX(PP_Grid[#Data],$DE1018,19),0)</f>
        <v/>
      </c>
      <c r="W1018">
        <f>IFERROR(INDEX(PP_Grid[#Data],$DE1018,20),0)</f>
        <v/>
      </c>
      <c r="X1018">
        <f>IFERROR(INDEX(PP_Grid[#Data],$DE1018,21),0)</f>
        <v/>
      </c>
      <c r="Y1018">
        <f>IFERROR(INDEX(PP_Grid[#Data],$DE1018,22),0)</f>
        <v/>
      </c>
      <c r="Z1018">
        <f>IFERROR(INDEX(PP_Grid[#Data],$DE1018,23),0)</f>
        <v/>
      </c>
      <c r="AA1018">
        <f>IFERROR(INDEX(PP_Grid[#Data],$DE1018,24),0)</f>
        <v/>
      </c>
      <c r="AB1018">
        <f>IFERROR(INDEX(PP_Grid[#Data],$DE1018,25),0)</f>
        <v/>
      </c>
      <c r="AC1018">
        <f>IFERROR(INDEX(PP_Grid[#Data],$DE1018,26),0)</f>
        <v/>
      </c>
      <c r="AD1018">
        <f>IFERROR(INDEX(PP_Grid[#Data],$DE1018,27),0)</f>
        <v/>
      </c>
      <c r="AE1018">
        <f>IFERROR(INDEX(PP_Grid[#Data],$DE1018,28),0)</f>
        <v/>
      </c>
      <c r="AF1018">
        <f>IFERROR(INDEX(PP_Grid[#Data],$DE1018,29),0)</f>
        <v/>
      </c>
      <c r="AG1018">
        <f>IFERROR(INDEX(PP_Grid[#Data],$DE1018,30),0)</f>
        <v/>
      </c>
      <c r="AH1018">
        <f>IFERROR(INDEX(PP_Grid[#Data],$DE1018,31),0)</f>
        <v/>
      </c>
      <c r="AI1018">
        <f>IFERROR(INDEX(PP_Grid[#Data],$DE1018,32),0)</f>
        <v/>
      </c>
      <c r="AJ1018">
        <f>IFERROR(INDEX(PP_Grid[#Data],$DE1018,33),0)</f>
        <v/>
      </c>
      <c r="AK1018">
        <f>IFERROR(INDEX(PP_Grid[#Data],$DE1018,34),0)</f>
        <v/>
      </c>
      <c r="AL1018">
        <f>IFERROR(INDEX(PP_Grid[#Data],$DE1018,35),0)</f>
        <v/>
      </c>
      <c r="AM1018">
        <f>IFERROR(INDEX(PP_Grid[#Data],$DE1018,36),0)</f>
        <v/>
      </c>
      <c r="AN1018">
        <f>IFERROR(INDEX(PP_Grid[#Data],$DE1018,37),0)</f>
        <v/>
      </c>
      <c r="AO1018">
        <f>IFERROR(INDEX(PP_Grid[#Data],$DE1018,38),0)</f>
        <v/>
      </c>
      <c r="AP1018">
        <f>IFERROR(INDEX(PP_Grid[#Data],$DE1018,39),0)</f>
        <v/>
      </c>
      <c r="AQ1018">
        <f>IFERROR(INDEX(PP_Grid[#Data],$DE1018,40),0)</f>
        <v/>
      </c>
      <c r="AR1018">
        <f>IFERROR(INDEX(PP_Grid[#Data],$DE1018,41),0)</f>
        <v/>
      </c>
      <c r="AS1018">
        <f>IFERROR(INDEX(PP_Grid[#Data],$DE1018,42),0)</f>
        <v/>
      </c>
      <c r="AT1018">
        <f>IFERROR(INDEX(PP_Grid[#Data],$DE1018,43),0)</f>
        <v/>
      </c>
      <c r="AU1018">
        <f>IFERROR(INDEX(PP_Grid[#Data],$DE1018,44),0)</f>
        <v/>
      </c>
      <c r="AV1018">
        <f>IFERROR(INDEX(PP_Grid[#Data],$DE1018,45),0)</f>
        <v/>
      </c>
      <c r="AW1018">
        <f>IFERROR(INDEX(PP_Grid[#Data],$DE1018,46),0)</f>
        <v/>
      </c>
      <c r="AX1018">
        <f>IFERROR(INDEX(PP_Grid[#Data],$DE1018,47),0)</f>
        <v/>
      </c>
      <c r="AY1018">
        <f>IFERROR(INDEX(PP_Grid[#Data],$DE1018,48),0)</f>
        <v/>
      </c>
      <c r="AZ1018">
        <f>IFERROR(INDEX(PP_Grid[#Data],$DE1018,49),0)</f>
        <v/>
      </c>
      <c r="BA1018">
        <f>IFERROR(INDEX(PP_Grid[#Data],$DE1018,50),0)</f>
        <v/>
      </c>
      <c r="BB1018">
        <f>IFERROR(INDEX(PP_Grid[#Data],$DE1018,51),0)</f>
        <v/>
      </c>
      <c r="BC1018">
        <f>IFERROR(INDEX(PP_Grid[#Data],$DE1018,52),0)</f>
        <v/>
      </c>
      <c r="BD1018">
        <f>IFERROR(INDEX(PP_Grid[#Data],$DE1018,53),0)</f>
        <v/>
      </c>
      <c r="BE1018">
        <f>IFERROR(INDEX(PP_Grid[#Data],$DE1018,54),0)</f>
        <v/>
      </c>
      <c r="BF1018">
        <f>IFERROR(INDEX(PP_Grid[#Data],$DE1018,55),0)</f>
        <v/>
      </c>
      <c r="BG1018">
        <f>IFERROR(INDEX(PP_Grid[#Data],$DE1018,56),0)</f>
        <v/>
      </c>
      <c r="BH1018">
        <f>IFERROR(INDEX(PP_Grid[#Data],$DE1018,57),0)</f>
        <v/>
      </c>
      <c r="BI1018">
        <f>IFERROR(INDEX(PP_Grid[#Data],$DE1018,58),0)</f>
        <v/>
      </c>
      <c r="BJ1018">
        <f>IFERROR(INDEX(PP_Grid[#Data],$DE1018,59),0)</f>
        <v/>
      </c>
      <c r="BK1018">
        <f>IFERROR(INDEX(PP_Grid[#Data],$DE1018,60),0)</f>
        <v/>
      </c>
      <c r="BL1018">
        <f>IFERROR(INDEX(PP_Grid[#Data],$DE1018,61),0)</f>
        <v/>
      </c>
      <c r="BM1018">
        <f>IFERROR(INDEX(PP_Grid[#Data],$DE1018,62),0)</f>
        <v/>
      </c>
      <c r="BN1018">
        <f>IFERROR(INDEX(PP_Grid[#Data],$DE1018,63),0)</f>
        <v/>
      </c>
      <c r="BO1018">
        <f>IFERROR(INDEX(PP_Grid[#Data],$DE1018,64),0)</f>
        <v/>
      </c>
      <c r="BP1018">
        <f>IFERROR(INDEX(PP_Grid[#Data],$DE1018,65),0)</f>
        <v/>
      </c>
      <c r="BQ1018">
        <f>IFERROR(INDEX(PP_Grid[#Data],$DE1018,66),0)</f>
        <v/>
      </c>
      <c r="BR1018">
        <f>IFERROR(INDEX(PP_Grid[#Data],$DE1018,67),0)</f>
        <v/>
      </c>
      <c r="BS1018">
        <f>IFERROR(INDEX(PP_Grid[#Data],$DE1018,68),0)</f>
        <v/>
      </c>
      <c r="BT1018">
        <f>IFERROR(INDEX(PP_Grid[#Data],$DE1018,69),0)</f>
        <v/>
      </c>
      <c r="BU1018">
        <f>IFERROR(INDEX(PP_Grid[#Data],$DE1018,70),0)</f>
        <v/>
      </c>
      <c r="BV1018">
        <f>IFERROR(INDEX(PP_Grid[#Data],$DE1018,71),0)</f>
        <v/>
      </c>
      <c r="BW1018">
        <f>IFERROR(INDEX(PP_Grid[#Data],$DE1018,72),0)</f>
        <v/>
      </c>
      <c r="BX1018">
        <f>IFERROR(INDEX(PP_Grid[#Data],$DE1018,73),0)</f>
        <v/>
      </c>
      <c r="BY1018">
        <f>IFERROR(INDEX(PP_Grid[#Data],$DE1018,74),0)</f>
        <v/>
      </c>
      <c r="BZ1018">
        <f>IFERROR(INDEX(PP_Grid[#Data],$DE1018,75),0)</f>
        <v/>
      </c>
      <c r="CA1018">
        <f>IFERROR(INDEX(PP_Grid[#Data],$DE1018,76),0)</f>
        <v/>
      </c>
      <c r="CB1018">
        <f>IFERROR(INDEX(PP_Grid[#Data],$DE1018,77),0)</f>
        <v/>
      </c>
      <c r="CC1018">
        <f>IFERROR(INDEX(PP_Grid[#Data],$DE1018,78),0)</f>
        <v/>
      </c>
      <c r="CD1018">
        <f>IFERROR(INDEX(PP_Grid[#Data],$DE1018,79),0)</f>
        <v/>
      </c>
      <c r="CE1018">
        <f>IFERROR(INDEX(PP_Grid[#Data],$DE1018,80),0)</f>
        <v/>
      </c>
      <c r="CF1018">
        <f>IFERROR(INDEX(PP_Grid[#Data],$DE1018,81),0)</f>
        <v/>
      </c>
      <c r="CG1018">
        <f>IFERROR(INDEX(PP_Grid[#Data],$DE1018,82),0)</f>
        <v/>
      </c>
      <c r="CH1018">
        <f>IFERROR(INDEX(PP_Grid[#Data],$DE1018,83),0)</f>
        <v/>
      </c>
      <c r="CI1018">
        <f>IFERROR(INDEX(PP_Grid[#Data],$DE1018,84),0)</f>
        <v/>
      </c>
      <c r="CJ1018">
        <f>IFERROR(INDEX(PP_Grid[#Data],$DE1018,85),0)</f>
        <v/>
      </c>
      <c r="CK1018">
        <f>IFERROR(INDEX(PP_Grid[#Data],$DE1018,86),0)</f>
        <v/>
      </c>
      <c r="CL1018">
        <f>IFERROR(INDEX(PP_Grid[#Data],$DE1018,87),0)</f>
        <v/>
      </c>
      <c r="CM1018">
        <f>IFERROR(INDEX(PP_Grid[#Data],$DE1018,88),0)</f>
        <v/>
      </c>
      <c r="CN1018">
        <f>IFERROR(INDEX(PP_Grid[#Data],$DE1018,89),0)</f>
        <v/>
      </c>
      <c r="CO1018">
        <f>IFERROR(INDEX(PP_Grid[#Data],$DE1018,90),0)</f>
        <v/>
      </c>
      <c r="CP1018">
        <f>IFERROR(INDEX(PP_Grid[#Data],$DE1018,91),0)</f>
        <v/>
      </c>
      <c r="CQ1018">
        <f>IFERROR(INDEX(PP_Grid[#Data],$DE1018,92),0)</f>
        <v/>
      </c>
      <c r="CR1018">
        <f>IFERROR(INDEX(PP_Grid[#Data],$DE1018,93),0)</f>
        <v/>
      </c>
      <c r="CS1018">
        <f>IFERROR(INDEX(PP_Grid[#Data],$DE1018,94),0)</f>
        <v/>
      </c>
      <c r="CT1018">
        <f>IFERROR(INDEX(PP_Grid[#Data],$DE1018,95),0)</f>
        <v/>
      </c>
      <c r="CU1018">
        <f>IFERROR(INDEX(PP_Grid[#Data],$DE1018,96),0)</f>
        <v/>
      </c>
      <c r="CV1018">
        <f>IFERROR(INDEX(PP_Grid[#Data],$DE1018,97),0)</f>
        <v/>
      </c>
      <c r="CW1018">
        <f>IFERROR(INDEX(PP_Grid[#Data],$DE1018,98),0)</f>
        <v/>
      </c>
      <c r="CX1018">
        <f>IFERROR(INDEX(PP_Grid[#Data],$DE1018,99),0)</f>
        <v/>
      </c>
      <c r="CY1018">
        <f>IFERROR(INDEX(PP_Grid[#Data],$DE1018,100),0)</f>
        <v/>
      </c>
      <c r="CZ1018">
        <f>IFERROR(INDEX(PP_Grid[#Data],$DE1018,101),0)</f>
        <v/>
      </c>
      <c r="DA1018">
        <f>IFERROR(INDEX(PP_Grid[#Data],$DE1018,102),0)</f>
        <v/>
      </c>
      <c r="DB1018">
        <f>IFERROR(INDEX(PP_Grid[#Data],$DE1018,103),0)</f>
        <v/>
      </c>
      <c r="DC1018">
        <f>IFERROR(INDEX(PP_Grid[#Data],$DE1018,104),0)</f>
        <v/>
      </c>
      <c r="DD1018">
        <f>IFERROR(INDEX(PP_Grid[#Data],$DE1018,105),0)</f>
        <v/>
      </c>
      <c r="DE1018" s="7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SUMIFS(M_BOM[RM_Qty_Per_Batch],M_BOM[Intermediate],$B1018,M_BOM[RM_Code],$A1015)</f>
        <v/>
      </c>
      <c r="D1019">
        <f>IFERROR(INDEX(E1019:DD1019,$F$1),"")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  <c r="DD1019">
        <f>$C1019*DD1018</f>
        <v/>
      </c>
    </row>
    <row r="1020">
      <c r="B1020" t="inlineStr">
        <is>
          <t>No of times used</t>
        </is>
      </c>
      <c r="C1020" t="inlineStr">
        <is>
          <t>No. of batches</t>
        </is>
      </c>
      <c r="D1020">
        <f>IFERROR(INDEX(E1020:DD1020,$F$1),"")</f>
        <v/>
      </c>
      <c r="E1020">
        <f>IFERROR(INDEX(PP_Grid[#Data],$DE1020,2),0)</f>
        <v/>
      </c>
      <c r="F1020">
        <f>IFERROR(INDEX(PP_Grid[#Data],$DE1020,3),0)</f>
        <v/>
      </c>
      <c r="G1020">
        <f>IFERROR(INDEX(PP_Grid[#Data],$DE1020,4),0)</f>
        <v/>
      </c>
      <c r="H1020">
        <f>IFERROR(INDEX(PP_Grid[#Data],$DE1020,5),0)</f>
        <v/>
      </c>
      <c r="I1020">
        <f>IFERROR(INDEX(PP_Grid[#Data],$DE1020,6),0)</f>
        <v/>
      </c>
      <c r="J1020">
        <f>IFERROR(INDEX(PP_Grid[#Data],$DE1020,7),0)</f>
        <v/>
      </c>
      <c r="K1020">
        <f>IFERROR(INDEX(PP_Grid[#Data],$DE1020,8),0)</f>
        <v/>
      </c>
      <c r="L1020">
        <f>IFERROR(INDEX(PP_Grid[#Data],$DE1020,9),0)</f>
        <v/>
      </c>
      <c r="M1020">
        <f>IFERROR(INDEX(PP_Grid[#Data],$DE1020,10),0)</f>
        <v/>
      </c>
      <c r="N1020">
        <f>IFERROR(INDEX(PP_Grid[#Data],$DE1020,11),0)</f>
        <v/>
      </c>
      <c r="O1020">
        <f>IFERROR(INDEX(PP_Grid[#Data],$DE1020,12),0)</f>
        <v/>
      </c>
      <c r="P1020">
        <f>IFERROR(INDEX(PP_Grid[#Data],$DE1020,13),0)</f>
        <v/>
      </c>
      <c r="Q1020">
        <f>IFERROR(INDEX(PP_Grid[#Data],$DE1020,14),0)</f>
        <v/>
      </c>
      <c r="R1020">
        <f>IFERROR(INDEX(PP_Grid[#Data],$DE1020,15),0)</f>
        <v/>
      </c>
      <c r="S1020">
        <f>IFERROR(INDEX(PP_Grid[#Data],$DE1020,16),0)</f>
        <v/>
      </c>
      <c r="T1020">
        <f>IFERROR(INDEX(PP_Grid[#Data],$DE1020,17),0)</f>
        <v/>
      </c>
      <c r="U1020">
        <f>IFERROR(INDEX(PP_Grid[#Data],$DE1020,18),0)</f>
        <v/>
      </c>
      <c r="V1020">
        <f>IFERROR(INDEX(PP_Grid[#Data],$DE1020,19),0)</f>
        <v/>
      </c>
      <c r="W1020">
        <f>IFERROR(INDEX(PP_Grid[#Data],$DE1020,20),0)</f>
        <v/>
      </c>
      <c r="X1020">
        <f>IFERROR(INDEX(PP_Grid[#Data],$DE1020,21),0)</f>
        <v/>
      </c>
      <c r="Y1020">
        <f>IFERROR(INDEX(PP_Grid[#Data],$DE1020,22),0)</f>
        <v/>
      </c>
      <c r="Z1020">
        <f>IFERROR(INDEX(PP_Grid[#Data],$DE1020,23),0)</f>
        <v/>
      </c>
      <c r="AA1020">
        <f>IFERROR(INDEX(PP_Grid[#Data],$DE1020,24),0)</f>
        <v/>
      </c>
      <c r="AB1020">
        <f>IFERROR(INDEX(PP_Grid[#Data],$DE1020,25),0)</f>
        <v/>
      </c>
      <c r="AC1020">
        <f>IFERROR(INDEX(PP_Grid[#Data],$DE1020,26),0)</f>
        <v/>
      </c>
      <c r="AD1020">
        <f>IFERROR(INDEX(PP_Grid[#Data],$DE1020,27),0)</f>
        <v/>
      </c>
      <c r="AE1020">
        <f>IFERROR(INDEX(PP_Grid[#Data],$DE1020,28),0)</f>
        <v/>
      </c>
      <c r="AF1020">
        <f>IFERROR(INDEX(PP_Grid[#Data],$DE1020,29),0)</f>
        <v/>
      </c>
      <c r="AG1020">
        <f>IFERROR(INDEX(PP_Grid[#Data],$DE1020,30),0)</f>
        <v/>
      </c>
      <c r="AH1020">
        <f>IFERROR(INDEX(PP_Grid[#Data],$DE1020,31),0)</f>
        <v/>
      </c>
      <c r="AI1020">
        <f>IFERROR(INDEX(PP_Grid[#Data],$DE1020,32),0)</f>
        <v/>
      </c>
      <c r="AJ1020">
        <f>IFERROR(INDEX(PP_Grid[#Data],$DE1020,33),0)</f>
        <v/>
      </c>
      <c r="AK1020">
        <f>IFERROR(INDEX(PP_Grid[#Data],$DE1020,34),0)</f>
        <v/>
      </c>
      <c r="AL1020">
        <f>IFERROR(INDEX(PP_Grid[#Data],$DE1020,35),0)</f>
        <v/>
      </c>
      <c r="AM1020">
        <f>IFERROR(INDEX(PP_Grid[#Data],$DE1020,36),0)</f>
        <v/>
      </c>
      <c r="AN1020">
        <f>IFERROR(INDEX(PP_Grid[#Data],$DE1020,37),0)</f>
        <v/>
      </c>
      <c r="AO1020">
        <f>IFERROR(INDEX(PP_Grid[#Data],$DE1020,38),0)</f>
        <v/>
      </c>
      <c r="AP1020">
        <f>IFERROR(INDEX(PP_Grid[#Data],$DE1020,39),0)</f>
        <v/>
      </c>
      <c r="AQ1020">
        <f>IFERROR(INDEX(PP_Grid[#Data],$DE1020,40),0)</f>
        <v/>
      </c>
      <c r="AR1020">
        <f>IFERROR(INDEX(PP_Grid[#Data],$DE1020,41),0)</f>
        <v/>
      </c>
      <c r="AS1020">
        <f>IFERROR(INDEX(PP_Grid[#Data],$DE1020,42),0)</f>
        <v/>
      </c>
      <c r="AT1020">
        <f>IFERROR(INDEX(PP_Grid[#Data],$DE1020,43),0)</f>
        <v/>
      </c>
      <c r="AU1020">
        <f>IFERROR(INDEX(PP_Grid[#Data],$DE1020,44),0)</f>
        <v/>
      </c>
      <c r="AV1020">
        <f>IFERROR(INDEX(PP_Grid[#Data],$DE1020,45),0)</f>
        <v/>
      </c>
      <c r="AW1020">
        <f>IFERROR(INDEX(PP_Grid[#Data],$DE1020,46),0)</f>
        <v/>
      </c>
      <c r="AX1020">
        <f>IFERROR(INDEX(PP_Grid[#Data],$DE1020,47),0)</f>
        <v/>
      </c>
      <c r="AY1020">
        <f>IFERROR(INDEX(PP_Grid[#Data],$DE1020,48),0)</f>
        <v/>
      </c>
      <c r="AZ1020">
        <f>IFERROR(INDEX(PP_Grid[#Data],$DE1020,49),0)</f>
        <v/>
      </c>
      <c r="BA1020">
        <f>IFERROR(INDEX(PP_Grid[#Data],$DE1020,50),0)</f>
        <v/>
      </c>
      <c r="BB1020">
        <f>IFERROR(INDEX(PP_Grid[#Data],$DE1020,51),0)</f>
        <v/>
      </c>
      <c r="BC1020">
        <f>IFERROR(INDEX(PP_Grid[#Data],$DE1020,52),0)</f>
        <v/>
      </c>
      <c r="BD1020">
        <f>IFERROR(INDEX(PP_Grid[#Data],$DE1020,53),0)</f>
        <v/>
      </c>
      <c r="BE1020">
        <f>IFERROR(INDEX(PP_Grid[#Data],$DE1020,54),0)</f>
        <v/>
      </c>
      <c r="BF1020">
        <f>IFERROR(INDEX(PP_Grid[#Data],$DE1020,55),0)</f>
        <v/>
      </c>
      <c r="BG1020">
        <f>IFERROR(INDEX(PP_Grid[#Data],$DE1020,56),0)</f>
        <v/>
      </c>
      <c r="BH1020">
        <f>IFERROR(INDEX(PP_Grid[#Data],$DE1020,57),0)</f>
        <v/>
      </c>
      <c r="BI1020">
        <f>IFERROR(INDEX(PP_Grid[#Data],$DE1020,58),0)</f>
        <v/>
      </c>
      <c r="BJ1020">
        <f>IFERROR(INDEX(PP_Grid[#Data],$DE1020,59),0)</f>
        <v/>
      </c>
      <c r="BK1020">
        <f>IFERROR(INDEX(PP_Grid[#Data],$DE1020,60),0)</f>
        <v/>
      </c>
      <c r="BL1020">
        <f>IFERROR(INDEX(PP_Grid[#Data],$DE1020,61),0)</f>
        <v/>
      </c>
      <c r="BM1020">
        <f>IFERROR(INDEX(PP_Grid[#Data],$DE1020,62),0)</f>
        <v/>
      </c>
      <c r="BN1020">
        <f>IFERROR(INDEX(PP_Grid[#Data],$DE1020,63),0)</f>
        <v/>
      </c>
      <c r="BO1020">
        <f>IFERROR(INDEX(PP_Grid[#Data],$DE1020,64),0)</f>
        <v/>
      </c>
      <c r="BP1020">
        <f>IFERROR(INDEX(PP_Grid[#Data],$DE1020,65),0)</f>
        <v/>
      </c>
      <c r="BQ1020">
        <f>IFERROR(INDEX(PP_Grid[#Data],$DE1020,66),0)</f>
        <v/>
      </c>
      <c r="BR1020">
        <f>IFERROR(INDEX(PP_Grid[#Data],$DE1020,67),0)</f>
        <v/>
      </c>
      <c r="BS1020">
        <f>IFERROR(INDEX(PP_Grid[#Data],$DE1020,68),0)</f>
        <v/>
      </c>
      <c r="BT1020">
        <f>IFERROR(INDEX(PP_Grid[#Data],$DE1020,69),0)</f>
        <v/>
      </c>
      <c r="BU1020">
        <f>IFERROR(INDEX(PP_Grid[#Data],$DE1020,70),0)</f>
        <v/>
      </c>
      <c r="BV1020">
        <f>IFERROR(INDEX(PP_Grid[#Data],$DE1020,71),0)</f>
        <v/>
      </c>
      <c r="BW1020">
        <f>IFERROR(INDEX(PP_Grid[#Data],$DE1020,72),0)</f>
        <v/>
      </c>
      <c r="BX1020">
        <f>IFERROR(INDEX(PP_Grid[#Data],$DE1020,73),0)</f>
        <v/>
      </c>
      <c r="BY1020">
        <f>IFERROR(INDEX(PP_Grid[#Data],$DE1020,74),0)</f>
        <v/>
      </c>
      <c r="BZ1020">
        <f>IFERROR(INDEX(PP_Grid[#Data],$DE1020,75),0)</f>
        <v/>
      </c>
      <c r="CA1020">
        <f>IFERROR(INDEX(PP_Grid[#Data],$DE1020,76),0)</f>
        <v/>
      </c>
      <c r="CB1020">
        <f>IFERROR(INDEX(PP_Grid[#Data],$DE1020,77),0)</f>
        <v/>
      </c>
      <c r="CC1020">
        <f>IFERROR(INDEX(PP_Grid[#Data],$DE1020,78),0)</f>
        <v/>
      </c>
      <c r="CD1020">
        <f>IFERROR(INDEX(PP_Grid[#Data],$DE1020,79),0)</f>
        <v/>
      </c>
      <c r="CE1020">
        <f>IFERROR(INDEX(PP_Grid[#Data],$DE1020,80),0)</f>
        <v/>
      </c>
      <c r="CF1020">
        <f>IFERROR(INDEX(PP_Grid[#Data],$DE1020,81),0)</f>
        <v/>
      </c>
      <c r="CG1020">
        <f>IFERROR(INDEX(PP_Grid[#Data],$DE1020,82),0)</f>
        <v/>
      </c>
      <c r="CH1020">
        <f>IFERROR(INDEX(PP_Grid[#Data],$DE1020,83),0)</f>
        <v/>
      </c>
      <c r="CI1020">
        <f>IFERROR(INDEX(PP_Grid[#Data],$DE1020,84),0)</f>
        <v/>
      </c>
      <c r="CJ1020">
        <f>IFERROR(INDEX(PP_Grid[#Data],$DE1020,85),0)</f>
        <v/>
      </c>
      <c r="CK1020">
        <f>IFERROR(INDEX(PP_Grid[#Data],$DE1020,86),0)</f>
        <v/>
      </c>
      <c r="CL1020">
        <f>IFERROR(INDEX(PP_Grid[#Data],$DE1020,87),0)</f>
        <v/>
      </c>
      <c r="CM1020">
        <f>IFERROR(INDEX(PP_Grid[#Data],$DE1020,88),0)</f>
        <v/>
      </c>
      <c r="CN1020">
        <f>IFERROR(INDEX(PP_Grid[#Data],$DE1020,89),0)</f>
        <v/>
      </c>
      <c r="CO1020">
        <f>IFERROR(INDEX(PP_Grid[#Data],$DE1020,90),0)</f>
        <v/>
      </c>
      <c r="CP1020">
        <f>IFERROR(INDEX(PP_Grid[#Data],$DE1020,91),0)</f>
        <v/>
      </c>
      <c r="CQ1020">
        <f>IFERROR(INDEX(PP_Grid[#Data],$DE1020,92),0)</f>
        <v/>
      </c>
      <c r="CR1020">
        <f>IFERROR(INDEX(PP_Grid[#Data],$DE1020,93),0)</f>
        <v/>
      </c>
      <c r="CS1020">
        <f>IFERROR(INDEX(PP_Grid[#Data],$DE1020,94),0)</f>
        <v/>
      </c>
      <c r="CT1020">
        <f>IFERROR(INDEX(PP_Grid[#Data],$DE1020,95),0)</f>
        <v/>
      </c>
      <c r="CU1020">
        <f>IFERROR(INDEX(PP_Grid[#Data],$DE1020,96),0)</f>
        <v/>
      </c>
      <c r="CV1020">
        <f>IFERROR(INDEX(PP_Grid[#Data],$DE1020,97),0)</f>
        <v/>
      </c>
      <c r="CW1020">
        <f>IFERROR(INDEX(PP_Grid[#Data],$DE1020,98),0)</f>
        <v/>
      </c>
      <c r="CX1020">
        <f>IFERROR(INDEX(PP_Grid[#Data],$DE1020,99),0)</f>
        <v/>
      </c>
      <c r="CY1020">
        <f>IFERROR(INDEX(PP_Grid[#Data],$DE1020,100),0)</f>
        <v/>
      </c>
      <c r="CZ1020">
        <f>IFERROR(INDEX(PP_Grid[#Data],$DE1020,101),0)</f>
        <v/>
      </c>
      <c r="DA1020">
        <f>IFERROR(INDEX(PP_Grid[#Data],$DE1020,102),0)</f>
        <v/>
      </c>
      <c r="DB1020">
        <f>IFERROR(INDEX(PP_Grid[#Data],$DE1020,103),0)</f>
        <v/>
      </c>
      <c r="DC1020">
        <f>IFERROR(INDEX(PP_Grid[#Data],$DE1020,104),0)</f>
        <v/>
      </c>
      <c r="DD1020">
        <f>IFERROR(INDEX(PP_Grid[#Data],$DE1020,105),0)</f>
        <v/>
      </c>
      <c r="DE1020" s="7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SUMIFS(M_BOM[RM_Qty_Per_Batch],M_BOM[Intermediate],$B1020,M_BOM[RM_Code],$A1015)</f>
        <v/>
      </c>
      <c r="D1021">
        <f>IFERROR(INDEX(E1021:DD1021,$F$1),"")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  <c r="DD1021">
        <f>$C1021*DD1020</f>
        <v/>
      </c>
    </row>
    <row r="1022">
      <c r="B1022" s="4" t="inlineStr">
        <is>
          <t>合計使用量(kg)/週</t>
        </is>
      </c>
      <c r="D1022" s="22">
        <f>IFERROR(INDEX(E1022:DD1022,$F$1),"")</f>
        <v/>
      </c>
      <c r="E1022">
        <f>'Grid_Requirement'!B89</f>
        <v/>
      </c>
      <c r="F1022">
        <f>'Grid_Requirement'!C89</f>
        <v/>
      </c>
      <c r="G1022">
        <f>'Grid_Requirement'!D89</f>
        <v/>
      </c>
      <c r="H1022">
        <f>'Grid_Requirement'!E89</f>
        <v/>
      </c>
      <c r="I1022">
        <f>'Grid_Requirement'!F89</f>
        <v/>
      </c>
      <c r="J1022">
        <f>'Grid_Requirement'!G89</f>
        <v/>
      </c>
      <c r="K1022">
        <f>'Grid_Requirement'!H89</f>
        <v/>
      </c>
      <c r="L1022">
        <f>'Grid_Requirement'!I89</f>
        <v/>
      </c>
      <c r="M1022">
        <f>'Grid_Requirement'!J89</f>
        <v/>
      </c>
      <c r="N1022">
        <f>'Grid_Requirement'!K89</f>
        <v/>
      </c>
      <c r="O1022">
        <f>'Grid_Requirement'!L89</f>
        <v/>
      </c>
      <c r="P1022">
        <f>'Grid_Requirement'!M89</f>
        <v/>
      </c>
      <c r="Q1022">
        <f>'Grid_Requirement'!N89</f>
        <v/>
      </c>
      <c r="R1022">
        <f>'Grid_Requirement'!O89</f>
        <v/>
      </c>
      <c r="S1022">
        <f>'Grid_Requirement'!P89</f>
        <v/>
      </c>
      <c r="T1022">
        <f>'Grid_Requirement'!Q89</f>
        <v/>
      </c>
      <c r="U1022">
        <f>'Grid_Requirement'!R89</f>
        <v/>
      </c>
      <c r="V1022">
        <f>'Grid_Requirement'!S89</f>
        <v/>
      </c>
      <c r="W1022">
        <f>'Grid_Requirement'!T89</f>
        <v/>
      </c>
      <c r="X1022">
        <f>'Grid_Requirement'!U89</f>
        <v/>
      </c>
      <c r="Y1022">
        <f>'Grid_Requirement'!V89</f>
        <v/>
      </c>
      <c r="Z1022">
        <f>'Grid_Requirement'!W89</f>
        <v/>
      </c>
      <c r="AA1022">
        <f>'Grid_Requirement'!X89</f>
        <v/>
      </c>
      <c r="AB1022">
        <f>'Grid_Requirement'!Y89</f>
        <v/>
      </c>
      <c r="AC1022">
        <f>'Grid_Requirement'!Z89</f>
        <v/>
      </c>
      <c r="AD1022">
        <f>'Grid_Requirement'!AA89</f>
        <v/>
      </c>
      <c r="AE1022">
        <f>'Grid_Requirement'!AB89</f>
        <v/>
      </c>
      <c r="AF1022">
        <f>'Grid_Requirement'!AC89</f>
        <v/>
      </c>
      <c r="AG1022">
        <f>'Grid_Requirement'!AD89</f>
        <v/>
      </c>
      <c r="AH1022">
        <f>'Grid_Requirement'!AE89</f>
        <v/>
      </c>
      <c r="AI1022">
        <f>'Grid_Requirement'!AF89</f>
        <v/>
      </c>
      <c r="AJ1022">
        <f>'Grid_Requirement'!AG89</f>
        <v/>
      </c>
      <c r="AK1022">
        <f>'Grid_Requirement'!AH89</f>
        <v/>
      </c>
      <c r="AL1022">
        <f>'Grid_Requirement'!AI89</f>
        <v/>
      </c>
      <c r="AM1022">
        <f>'Grid_Requirement'!AJ89</f>
        <v/>
      </c>
      <c r="AN1022">
        <f>'Grid_Requirement'!AK89</f>
        <v/>
      </c>
      <c r="AO1022">
        <f>'Grid_Requirement'!AL89</f>
        <v/>
      </c>
      <c r="AP1022">
        <f>'Grid_Requirement'!AM89</f>
        <v/>
      </c>
      <c r="AQ1022">
        <f>'Grid_Requirement'!AN89</f>
        <v/>
      </c>
      <c r="AR1022">
        <f>'Grid_Requirement'!AO89</f>
        <v/>
      </c>
      <c r="AS1022">
        <f>'Grid_Requirement'!AP89</f>
        <v/>
      </c>
      <c r="AT1022">
        <f>'Grid_Requirement'!AQ89</f>
        <v/>
      </c>
      <c r="AU1022">
        <f>'Grid_Requirement'!AR89</f>
        <v/>
      </c>
      <c r="AV1022">
        <f>'Grid_Requirement'!AS89</f>
        <v/>
      </c>
      <c r="AW1022">
        <f>'Grid_Requirement'!AT89</f>
        <v/>
      </c>
      <c r="AX1022">
        <f>'Grid_Requirement'!AU89</f>
        <v/>
      </c>
      <c r="AY1022">
        <f>'Grid_Requirement'!AV89</f>
        <v/>
      </c>
      <c r="AZ1022">
        <f>'Grid_Requirement'!AW89</f>
        <v/>
      </c>
      <c r="BA1022">
        <f>'Grid_Requirement'!AX89</f>
        <v/>
      </c>
      <c r="BB1022">
        <f>'Grid_Requirement'!AY89</f>
        <v/>
      </c>
      <c r="BC1022">
        <f>'Grid_Requirement'!AZ89</f>
        <v/>
      </c>
      <c r="BD1022">
        <f>'Grid_Requirement'!BA89</f>
        <v/>
      </c>
      <c r="BE1022">
        <f>'Grid_Requirement'!BB89</f>
        <v/>
      </c>
      <c r="BF1022">
        <f>'Grid_Requirement'!BC89</f>
        <v/>
      </c>
      <c r="BG1022">
        <f>'Grid_Requirement'!BD89</f>
        <v/>
      </c>
      <c r="BH1022">
        <f>'Grid_Requirement'!BE89</f>
        <v/>
      </c>
      <c r="BI1022">
        <f>'Grid_Requirement'!BF89</f>
        <v/>
      </c>
      <c r="BJ1022">
        <f>'Grid_Requirement'!BG89</f>
        <v/>
      </c>
      <c r="BK1022">
        <f>'Grid_Requirement'!BH89</f>
        <v/>
      </c>
      <c r="BL1022">
        <f>'Grid_Requirement'!BI89</f>
        <v/>
      </c>
      <c r="BM1022">
        <f>'Grid_Requirement'!BJ89</f>
        <v/>
      </c>
      <c r="BN1022">
        <f>'Grid_Requirement'!BK89</f>
        <v/>
      </c>
      <c r="BO1022">
        <f>'Grid_Requirement'!BL89</f>
        <v/>
      </c>
      <c r="BP1022">
        <f>'Grid_Requirement'!BM89</f>
        <v/>
      </c>
      <c r="BQ1022">
        <f>'Grid_Requirement'!BN89</f>
        <v/>
      </c>
      <c r="BR1022">
        <f>'Grid_Requirement'!BO89</f>
        <v/>
      </c>
      <c r="BS1022">
        <f>'Grid_Requirement'!BP89</f>
        <v/>
      </c>
      <c r="BT1022">
        <f>'Grid_Requirement'!BQ89</f>
        <v/>
      </c>
      <c r="BU1022">
        <f>'Grid_Requirement'!BR89</f>
        <v/>
      </c>
      <c r="BV1022">
        <f>'Grid_Requirement'!BS89</f>
        <v/>
      </c>
      <c r="BW1022">
        <f>'Grid_Requirement'!BT89</f>
        <v/>
      </c>
      <c r="BX1022">
        <f>'Grid_Requirement'!BU89</f>
        <v/>
      </c>
      <c r="BY1022">
        <f>'Grid_Requirement'!BV89</f>
        <v/>
      </c>
      <c r="BZ1022">
        <f>'Grid_Requirement'!BW89</f>
        <v/>
      </c>
      <c r="CA1022">
        <f>'Grid_Requirement'!BX89</f>
        <v/>
      </c>
      <c r="CB1022">
        <f>'Grid_Requirement'!BY89</f>
        <v/>
      </c>
      <c r="CC1022">
        <f>'Grid_Requirement'!BZ89</f>
        <v/>
      </c>
      <c r="CD1022">
        <f>'Grid_Requirement'!CA89</f>
        <v/>
      </c>
      <c r="CE1022">
        <f>'Grid_Requirement'!CB89</f>
        <v/>
      </c>
      <c r="CF1022">
        <f>'Grid_Requirement'!CC89</f>
        <v/>
      </c>
      <c r="CG1022">
        <f>'Grid_Requirement'!CD89</f>
        <v/>
      </c>
      <c r="CH1022">
        <f>'Grid_Requirement'!CE89</f>
        <v/>
      </c>
      <c r="CI1022">
        <f>'Grid_Requirement'!CF89</f>
        <v/>
      </c>
      <c r="CJ1022">
        <f>'Grid_Requirement'!CG89</f>
        <v/>
      </c>
      <c r="CK1022">
        <f>'Grid_Requirement'!CH89</f>
        <v/>
      </c>
      <c r="CL1022">
        <f>'Grid_Requirement'!CI89</f>
        <v/>
      </c>
      <c r="CM1022">
        <f>'Grid_Requirement'!CJ89</f>
        <v/>
      </c>
      <c r="CN1022">
        <f>'Grid_Requirement'!CK89</f>
        <v/>
      </c>
      <c r="CO1022">
        <f>'Grid_Requirement'!CL89</f>
        <v/>
      </c>
      <c r="CP1022">
        <f>'Grid_Requirement'!CM89</f>
        <v/>
      </c>
      <c r="CQ1022">
        <f>'Grid_Requirement'!CN89</f>
        <v/>
      </c>
      <c r="CR1022">
        <f>'Grid_Requirement'!CO89</f>
        <v/>
      </c>
      <c r="CS1022">
        <f>'Grid_Requirement'!CP89</f>
        <v/>
      </c>
      <c r="CT1022">
        <f>'Grid_Requirement'!CQ89</f>
        <v/>
      </c>
      <c r="CU1022">
        <f>'Grid_Requirement'!CR89</f>
        <v/>
      </c>
      <c r="CV1022">
        <f>'Grid_Requirement'!CS89</f>
        <v/>
      </c>
      <c r="CW1022">
        <f>'Grid_Requirement'!CT89</f>
        <v/>
      </c>
      <c r="CX1022">
        <f>'Grid_Requirement'!CU89</f>
        <v/>
      </c>
      <c r="CY1022">
        <f>'Grid_Requirement'!CV89</f>
        <v/>
      </c>
      <c r="CZ1022">
        <f>'Grid_Requirement'!CW89</f>
        <v/>
      </c>
      <c r="DA1022">
        <f>'Grid_Requirement'!CX89</f>
        <v/>
      </c>
      <c r="DB1022">
        <f>'Grid_Requirement'!CY89</f>
        <v/>
      </c>
      <c r="DC1022">
        <f>'Grid_Requirement'!CZ89</f>
        <v/>
      </c>
      <c r="DD1022">
        <f>'Grid_Requirement'!DA89</f>
        <v/>
      </c>
    </row>
    <row r="1023">
      <c r="B1023" s="23" t="inlineStr">
        <is>
          <t>（在庫・入荷予定はDashboard参照）</t>
        </is>
      </c>
    </row>
    <row r="1025">
      <c r="A1025" s="21" t="inlineStr">
        <is>
          <t>CHEM-1240</t>
        </is>
      </c>
      <c r="B1025" s="21" t="inlineStr">
        <is>
          <t>Alumina SOL(AS200)</t>
        </is>
      </c>
      <c r="C1025" s="21" t="n"/>
      <c r="D1025" s="21" t="n"/>
      <c r="E1025" s="21" t="n"/>
      <c r="F1025" s="21" t="n"/>
      <c r="G1025" s="21" t="n"/>
      <c r="H1025" s="21" t="n"/>
      <c r="I1025" s="21" t="n"/>
      <c r="J1025" s="21" t="n"/>
      <c r="K1025" s="21" t="n"/>
      <c r="L1025" s="21" t="n"/>
      <c r="M1025" s="21" t="n"/>
      <c r="N1025" s="21" t="n"/>
      <c r="O1025" s="21" t="n"/>
      <c r="P1025" s="21" t="n"/>
      <c r="Q1025" s="21" t="n"/>
      <c r="R1025" s="21" t="n"/>
      <c r="S1025" s="21" t="n"/>
      <c r="T1025" s="21" t="n"/>
      <c r="U1025" s="21" t="n"/>
      <c r="V1025" s="21" t="n"/>
      <c r="W1025" s="21" t="n"/>
      <c r="X1025" s="21" t="n"/>
      <c r="Y1025" s="21" t="n"/>
      <c r="Z1025" s="21" t="n"/>
      <c r="AA1025" s="21" t="n"/>
      <c r="AB1025" s="21" t="n"/>
      <c r="AC1025" s="21" t="n"/>
      <c r="AD1025" s="21" t="n"/>
      <c r="AE1025" s="21" t="n"/>
      <c r="AF1025" s="21" t="n"/>
      <c r="AG1025" s="21" t="n"/>
      <c r="AH1025" s="21" t="n"/>
      <c r="AI1025" s="21" t="n"/>
      <c r="AJ1025" s="21" t="n"/>
      <c r="AK1025" s="21" t="n"/>
      <c r="AL1025" s="21" t="n"/>
      <c r="AM1025" s="21" t="n"/>
      <c r="AN1025" s="21" t="n"/>
      <c r="AO1025" s="21" t="n"/>
      <c r="AP1025" s="21" t="n"/>
      <c r="AQ1025" s="21" t="n"/>
      <c r="AR1025" s="21" t="n"/>
      <c r="AS1025" s="21" t="n"/>
      <c r="AT1025" s="21" t="n"/>
      <c r="AU1025" s="21" t="n"/>
      <c r="AV1025" s="21" t="n"/>
      <c r="AW1025" s="21" t="n"/>
      <c r="AX1025" s="21" t="n"/>
      <c r="AY1025" s="21" t="n"/>
      <c r="AZ1025" s="21" t="n"/>
      <c r="BA1025" s="21" t="n"/>
      <c r="BB1025" s="21" t="n"/>
      <c r="BC1025" s="21" t="n"/>
      <c r="BD1025" s="21" t="n"/>
      <c r="BE1025" s="21" t="n"/>
      <c r="BF1025" s="21" t="n"/>
      <c r="BG1025" s="21" t="n"/>
      <c r="BH1025" s="21" t="n"/>
      <c r="BI1025" s="21" t="n"/>
      <c r="BJ1025" s="21" t="n"/>
      <c r="BK1025" s="21" t="n"/>
      <c r="BL1025" s="21" t="n"/>
      <c r="BM1025" s="21" t="n"/>
      <c r="BN1025" s="21" t="n"/>
      <c r="BO1025" s="21" t="n"/>
      <c r="BP1025" s="21" t="n"/>
      <c r="BQ1025" s="21" t="n"/>
      <c r="BR1025" s="21" t="n"/>
      <c r="BS1025" s="21" t="n"/>
      <c r="BT1025" s="21" t="n"/>
      <c r="BU1025" s="21" t="n"/>
      <c r="BV1025" s="21" t="n"/>
      <c r="BW1025" s="21" t="n"/>
      <c r="BX1025" s="21" t="n"/>
      <c r="BY1025" s="21" t="n"/>
      <c r="BZ1025" s="21" t="n"/>
      <c r="CA1025" s="21" t="n"/>
      <c r="CB1025" s="21" t="n"/>
      <c r="CC1025" s="21" t="n"/>
      <c r="CD1025" s="21" t="n"/>
      <c r="CE1025" s="21" t="n"/>
      <c r="CF1025" s="21" t="n"/>
      <c r="CG1025" s="21" t="n"/>
      <c r="CH1025" s="21" t="n"/>
      <c r="CI1025" s="21" t="n"/>
      <c r="CJ1025" s="21" t="n"/>
      <c r="CK1025" s="21" t="n"/>
      <c r="CL1025" s="21" t="n"/>
      <c r="CM1025" s="21" t="n"/>
      <c r="CN1025" s="21" t="n"/>
      <c r="CO1025" s="21" t="n"/>
      <c r="CP1025" s="21" t="n"/>
      <c r="CQ1025" s="21" t="n"/>
      <c r="CR1025" s="21" t="n"/>
      <c r="CS1025" s="21" t="n"/>
      <c r="CT1025" s="21" t="n"/>
      <c r="CU1025" s="21" t="n"/>
      <c r="CV1025" s="21" t="n"/>
      <c r="CW1025" s="21" t="n"/>
      <c r="CX1025" s="21" t="n"/>
      <c r="CY1025" s="21" t="n"/>
      <c r="CZ1025" s="21" t="n"/>
      <c r="DA1025" s="21" t="n"/>
      <c r="DB1025" s="21" t="n"/>
      <c r="DC1025" s="21" t="n"/>
      <c r="DD1025" s="21" t="n"/>
    </row>
    <row r="1026">
      <c r="B1026" t="inlineStr">
        <is>
          <t>TSP-224</t>
        </is>
      </c>
      <c r="C1026" t="inlineStr">
        <is>
          <t>No. of batches</t>
        </is>
      </c>
      <c r="D1026">
        <f>IFERROR(INDEX(E1026:DD1026,$F$1),"")</f>
        <v/>
      </c>
      <c r="E1026">
        <f>IFERROR(INDEX(PP_Grid[#Data],$DE1026,2),0)</f>
        <v/>
      </c>
      <c r="F1026">
        <f>IFERROR(INDEX(PP_Grid[#Data],$DE1026,3),0)</f>
        <v/>
      </c>
      <c r="G1026">
        <f>IFERROR(INDEX(PP_Grid[#Data],$DE1026,4),0)</f>
        <v/>
      </c>
      <c r="H1026">
        <f>IFERROR(INDEX(PP_Grid[#Data],$DE1026,5),0)</f>
        <v/>
      </c>
      <c r="I1026">
        <f>IFERROR(INDEX(PP_Grid[#Data],$DE1026,6),0)</f>
        <v/>
      </c>
      <c r="J1026">
        <f>IFERROR(INDEX(PP_Grid[#Data],$DE1026,7),0)</f>
        <v/>
      </c>
      <c r="K1026">
        <f>IFERROR(INDEX(PP_Grid[#Data],$DE1026,8),0)</f>
        <v/>
      </c>
      <c r="L1026">
        <f>IFERROR(INDEX(PP_Grid[#Data],$DE1026,9),0)</f>
        <v/>
      </c>
      <c r="M1026">
        <f>IFERROR(INDEX(PP_Grid[#Data],$DE1026,10),0)</f>
        <v/>
      </c>
      <c r="N1026">
        <f>IFERROR(INDEX(PP_Grid[#Data],$DE1026,11),0)</f>
        <v/>
      </c>
      <c r="O1026">
        <f>IFERROR(INDEX(PP_Grid[#Data],$DE1026,12),0)</f>
        <v/>
      </c>
      <c r="P1026">
        <f>IFERROR(INDEX(PP_Grid[#Data],$DE1026,13),0)</f>
        <v/>
      </c>
      <c r="Q1026">
        <f>IFERROR(INDEX(PP_Grid[#Data],$DE1026,14),0)</f>
        <v/>
      </c>
      <c r="R1026">
        <f>IFERROR(INDEX(PP_Grid[#Data],$DE1026,15),0)</f>
        <v/>
      </c>
      <c r="S1026">
        <f>IFERROR(INDEX(PP_Grid[#Data],$DE1026,16),0)</f>
        <v/>
      </c>
      <c r="T1026">
        <f>IFERROR(INDEX(PP_Grid[#Data],$DE1026,17),0)</f>
        <v/>
      </c>
      <c r="U1026">
        <f>IFERROR(INDEX(PP_Grid[#Data],$DE1026,18),0)</f>
        <v/>
      </c>
      <c r="V1026">
        <f>IFERROR(INDEX(PP_Grid[#Data],$DE1026,19),0)</f>
        <v/>
      </c>
      <c r="W1026">
        <f>IFERROR(INDEX(PP_Grid[#Data],$DE1026,20),0)</f>
        <v/>
      </c>
      <c r="X1026">
        <f>IFERROR(INDEX(PP_Grid[#Data],$DE1026,21),0)</f>
        <v/>
      </c>
      <c r="Y1026">
        <f>IFERROR(INDEX(PP_Grid[#Data],$DE1026,22),0)</f>
        <v/>
      </c>
      <c r="Z1026">
        <f>IFERROR(INDEX(PP_Grid[#Data],$DE1026,23),0)</f>
        <v/>
      </c>
      <c r="AA1026">
        <f>IFERROR(INDEX(PP_Grid[#Data],$DE1026,24),0)</f>
        <v/>
      </c>
      <c r="AB1026">
        <f>IFERROR(INDEX(PP_Grid[#Data],$DE1026,25),0)</f>
        <v/>
      </c>
      <c r="AC1026">
        <f>IFERROR(INDEX(PP_Grid[#Data],$DE1026,26),0)</f>
        <v/>
      </c>
      <c r="AD1026">
        <f>IFERROR(INDEX(PP_Grid[#Data],$DE1026,27),0)</f>
        <v/>
      </c>
      <c r="AE1026">
        <f>IFERROR(INDEX(PP_Grid[#Data],$DE1026,28),0)</f>
        <v/>
      </c>
      <c r="AF1026">
        <f>IFERROR(INDEX(PP_Grid[#Data],$DE1026,29),0)</f>
        <v/>
      </c>
      <c r="AG1026">
        <f>IFERROR(INDEX(PP_Grid[#Data],$DE1026,30),0)</f>
        <v/>
      </c>
      <c r="AH1026">
        <f>IFERROR(INDEX(PP_Grid[#Data],$DE1026,31),0)</f>
        <v/>
      </c>
      <c r="AI1026">
        <f>IFERROR(INDEX(PP_Grid[#Data],$DE1026,32),0)</f>
        <v/>
      </c>
      <c r="AJ1026">
        <f>IFERROR(INDEX(PP_Grid[#Data],$DE1026,33),0)</f>
        <v/>
      </c>
      <c r="AK1026">
        <f>IFERROR(INDEX(PP_Grid[#Data],$DE1026,34),0)</f>
        <v/>
      </c>
      <c r="AL1026">
        <f>IFERROR(INDEX(PP_Grid[#Data],$DE1026,35),0)</f>
        <v/>
      </c>
      <c r="AM1026">
        <f>IFERROR(INDEX(PP_Grid[#Data],$DE1026,36),0)</f>
        <v/>
      </c>
      <c r="AN1026">
        <f>IFERROR(INDEX(PP_Grid[#Data],$DE1026,37),0)</f>
        <v/>
      </c>
      <c r="AO1026">
        <f>IFERROR(INDEX(PP_Grid[#Data],$DE1026,38),0)</f>
        <v/>
      </c>
      <c r="AP1026">
        <f>IFERROR(INDEX(PP_Grid[#Data],$DE1026,39),0)</f>
        <v/>
      </c>
      <c r="AQ1026">
        <f>IFERROR(INDEX(PP_Grid[#Data],$DE1026,40),0)</f>
        <v/>
      </c>
      <c r="AR1026">
        <f>IFERROR(INDEX(PP_Grid[#Data],$DE1026,41),0)</f>
        <v/>
      </c>
      <c r="AS1026">
        <f>IFERROR(INDEX(PP_Grid[#Data],$DE1026,42),0)</f>
        <v/>
      </c>
      <c r="AT1026">
        <f>IFERROR(INDEX(PP_Grid[#Data],$DE1026,43),0)</f>
        <v/>
      </c>
      <c r="AU1026">
        <f>IFERROR(INDEX(PP_Grid[#Data],$DE1026,44),0)</f>
        <v/>
      </c>
      <c r="AV1026">
        <f>IFERROR(INDEX(PP_Grid[#Data],$DE1026,45),0)</f>
        <v/>
      </c>
      <c r="AW1026">
        <f>IFERROR(INDEX(PP_Grid[#Data],$DE1026,46),0)</f>
        <v/>
      </c>
      <c r="AX1026">
        <f>IFERROR(INDEX(PP_Grid[#Data],$DE1026,47),0)</f>
        <v/>
      </c>
      <c r="AY1026">
        <f>IFERROR(INDEX(PP_Grid[#Data],$DE1026,48),0)</f>
        <v/>
      </c>
      <c r="AZ1026">
        <f>IFERROR(INDEX(PP_Grid[#Data],$DE1026,49),0)</f>
        <v/>
      </c>
      <c r="BA1026">
        <f>IFERROR(INDEX(PP_Grid[#Data],$DE1026,50),0)</f>
        <v/>
      </c>
      <c r="BB1026">
        <f>IFERROR(INDEX(PP_Grid[#Data],$DE1026,51),0)</f>
        <v/>
      </c>
      <c r="BC1026">
        <f>IFERROR(INDEX(PP_Grid[#Data],$DE1026,52),0)</f>
        <v/>
      </c>
      <c r="BD1026">
        <f>IFERROR(INDEX(PP_Grid[#Data],$DE1026,53),0)</f>
        <v/>
      </c>
      <c r="BE1026">
        <f>IFERROR(INDEX(PP_Grid[#Data],$DE1026,54),0)</f>
        <v/>
      </c>
      <c r="BF1026">
        <f>IFERROR(INDEX(PP_Grid[#Data],$DE1026,55),0)</f>
        <v/>
      </c>
      <c r="BG1026">
        <f>IFERROR(INDEX(PP_Grid[#Data],$DE1026,56),0)</f>
        <v/>
      </c>
      <c r="BH1026">
        <f>IFERROR(INDEX(PP_Grid[#Data],$DE1026,57),0)</f>
        <v/>
      </c>
      <c r="BI1026">
        <f>IFERROR(INDEX(PP_Grid[#Data],$DE1026,58),0)</f>
        <v/>
      </c>
      <c r="BJ1026">
        <f>IFERROR(INDEX(PP_Grid[#Data],$DE1026,59),0)</f>
        <v/>
      </c>
      <c r="BK1026">
        <f>IFERROR(INDEX(PP_Grid[#Data],$DE1026,60),0)</f>
        <v/>
      </c>
      <c r="BL1026">
        <f>IFERROR(INDEX(PP_Grid[#Data],$DE1026,61),0)</f>
        <v/>
      </c>
      <c r="BM1026">
        <f>IFERROR(INDEX(PP_Grid[#Data],$DE1026,62),0)</f>
        <v/>
      </c>
      <c r="BN1026">
        <f>IFERROR(INDEX(PP_Grid[#Data],$DE1026,63),0)</f>
        <v/>
      </c>
      <c r="BO1026">
        <f>IFERROR(INDEX(PP_Grid[#Data],$DE1026,64),0)</f>
        <v/>
      </c>
      <c r="BP1026">
        <f>IFERROR(INDEX(PP_Grid[#Data],$DE1026,65),0)</f>
        <v/>
      </c>
      <c r="BQ1026">
        <f>IFERROR(INDEX(PP_Grid[#Data],$DE1026,66),0)</f>
        <v/>
      </c>
      <c r="BR1026">
        <f>IFERROR(INDEX(PP_Grid[#Data],$DE1026,67),0)</f>
        <v/>
      </c>
      <c r="BS1026">
        <f>IFERROR(INDEX(PP_Grid[#Data],$DE1026,68),0)</f>
        <v/>
      </c>
      <c r="BT1026">
        <f>IFERROR(INDEX(PP_Grid[#Data],$DE1026,69),0)</f>
        <v/>
      </c>
      <c r="BU1026">
        <f>IFERROR(INDEX(PP_Grid[#Data],$DE1026,70),0)</f>
        <v/>
      </c>
      <c r="BV1026">
        <f>IFERROR(INDEX(PP_Grid[#Data],$DE1026,71),0)</f>
        <v/>
      </c>
      <c r="BW1026">
        <f>IFERROR(INDEX(PP_Grid[#Data],$DE1026,72),0)</f>
        <v/>
      </c>
      <c r="BX1026">
        <f>IFERROR(INDEX(PP_Grid[#Data],$DE1026,73),0)</f>
        <v/>
      </c>
      <c r="BY1026">
        <f>IFERROR(INDEX(PP_Grid[#Data],$DE1026,74),0)</f>
        <v/>
      </c>
      <c r="BZ1026">
        <f>IFERROR(INDEX(PP_Grid[#Data],$DE1026,75),0)</f>
        <v/>
      </c>
      <c r="CA1026">
        <f>IFERROR(INDEX(PP_Grid[#Data],$DE1026,76),0)</f>
        <v/>
      </c>
      <c r="CB1026">
        <f>IFERROR(INDEX(PP_Grid[#Data],$DE1026,77),0)</f>
        <v/>
      </c>
      <c r="CC1026">
        <f>IFERROR(INDEX(PP_Grid[#Data],$DE1026,78),0)</f>
        <v/>
      </c>
      <c r="CD1026">
        <f>IFERROR(INDEX(PP_Grid[#Data],$DE1026,79),0)</f>
        <v/>
      </c>
      <c r="CE1026">
        <f>IFERROR(INDEX(PP_Grid[#Data],$DE1026,80),0)</f>
        <v/>
      </c>
      <c r="CF1026">
        <f>IFERROR(INDEX(PP_Grid[#Data],$DE1026,81),0)</f>
        <v/>
      </c>
      <c r="CG1026">
        <f>IFERROR(INDEX(PP_Grid[#Data],$DE1026,82),0)</f>
        <v/>
      </c>
      <c r="CH1026">
        <f>IFERROR(INDEX(PP_Grid[#Data],$DE1026,83),0)</f>
        <v/>
      </c>
      <c r="CI1026">
        <f>IFERROR(INDEX(PP_Grid[#Data],$DE1026,84),0)</f>
        <v/>
      </c>
      <c r="CJ1026">
        <f>IFERROR(INDEX(PP_Grid[#Data],$DE1026,85),0)</f>
        <v/>
      </c>
      <c r="CK1026">
        <f>IFERROR(INDEX(PP_Grid[#Data],$DE1026,86),0)</f>
        <v/>
      </c>
      <c r="CL1026">
        <f>IFERROR(INDEX(PP_Grid[#Data],$DE1026,87),0)</f>
        <v/>
      </c>
      <c r="CM1026">
        <f>IFERROR(INDEX(PP_Grid[#Data],$DE1026,88),0)</f>
        <v/>
      </c>
      <c r="CN1026">
        <f>IFERROR(INDEX(PP_Grid[#Data],$DE1026,89),0)</f>
        <v/>
      </c>
      <c r="CO1026">
        <f>IFERROR(INDEX(PP_Grid[#Data],$DE1026,90),0)</f>
        <v/>
      </c>
      <c r="CP1026">
        <f>IFERROR(INDEX(PP_Grid[#Data],$DE1026,91),0)</f>
        <v/>
      </c>
      <c r="CQ1026">
        <f>IFERROR(INDEX(PP_Grid[#Data],$DE1026,92),0)</f>
        <v/>
      </c>
      <c r="CR1026">
        <f>IFERROR(INDEX(PP_Grid[#Data],$DE1026,93),0)</f>
        <v/>
      </c>
      <c r="CS1026">
        <f>IFERROR(INDEX(PP_Grid[#Data],$DE1026,94),0)</f>
        <v/>
      </c>
      <c r="CT1026">
        <f>IFERROR(INDEX(PP_Grid[#Data],$DE1026,95),0)</f>
        <v/>
      </c>
      <c r="CU1026">
        <f>IFERROR(INDEX(PP_Grid[#Data],$DE1026,96),0)</f>
        <v/>
      </c>
      <c r="CV1026">
        <f>IFERROR(INDEX(PP_Grid[#Data],$DE1026,97),0)</f>
        <v/>
      </c>
      <c r="CW1026">
        <f>IFERROR(INDEX(PP_Grid[#Data],$DE1026,98),0)</f>
        <v/>
      </c>
      <c r="CX1026">
        <f>IFERROR(INDEX(PP_Grid[#Data],$DE1026,99),0)</f>
        <v/>
      </c>
      <c r="CY1026">
        <f>IFERROR(INDEX(PP_Grid[#Data],$DE1026,100),0)</f>
        <v/>
      </c>
      <c r="CZ1026">
        <f>IFERROR(INDEX(PP_Grid[#Data],$DE1026,101),0)</f>
        <v/>
      </c>
      <c r="DA1026">
        <f>IFERROR(INDEX(PP_Grid[#Data],$DE1026,102),0)</f>
        <v/>
      </c>
      <c r="DB1026">
        <f>IFERROR(INDEX(PP_Grid[#Data],$DE1026,103),0)</f>
        <v/>
      </c>
      <c r="DC1026">
        <f>IFERROR(INDEX(PP_Grid[#Data],$DE1026,104),0)</f>
        <v/>
      </c>
      <c r="DD1026">
        <f>IFERROR(INDEX(PP_Grid[#Data],$DE1026,105),0)</f>
        <v/>
      </c>
      <c r="DE1026" s="7">
        <f>IFERROR(MATCH($B1026,PP_Grid[Intermediate],0),99999)</f>
        <v/>
      </c>
    </row>
    <row r="1027">
      <c r="B1027" t="inlineStr">
        <is>
          <t>使用量(kg)</t>
        </is>
      </c>
      <c r="C1027">
        <f>SUMIFS(M_BOM[RM_Qty_Per_Batch],M_BOM[Intermediate],$B1026,M_BOM[RM_Code],$A1025)</f>
        <v/>
      </c>
      <c r="D1027">
        <f>IFERROR(INDEX(E1027:DD1027,$F$1),"")</f>
        <v/>
      </c>
      <c r="E1027">
        <f>$C1027*E1026</f>
        <v/>
      </c>
      <c r="F1027">
        <f>$C1027*F1026</f>
        <v/>
      </c>
      <c r="G1027">
        <f>$C1027*G1026</f>
        <v/>
      </c>
      <c r="H1027">
        <f>$C1027*H1026</f>
        <v/>
      </c>
      <c r="I1027">
        <f>$C1027*I1026</f>
        <v/>
      </c>
      <c r="J1027">
        <f>$C1027*J1026</f>
        <v/>
      </c>
      <c r="K1027">
        <f>$C1027*K1026</f>
        <v/>
      </c>
      <c r="L1027">
        <f>$C1027*L1026</f>
        <v/>
      </c>
      <c r="M1027">
        <f>$C1027*M1026</f>
        <v/>
      </c>
      <c r="N1027">
        <f>$C1027*N1026</f>
        <v/>
      </c>
      <c r="O1027">
        <f>$C1027*O1026</f>
        <v/>
      </c>
      <c r="P1027">
        <f>$C1027*P1026</f>
        <v/>
      </c>
      <c r="Q1027">
        <f>$C1027*Q1026</f>
        <v/>
      </c>
      <c r="R1027">
        <f>$C1027*R1026</f>
        <v/>
      </c>
      <c r="S1027">
        <f>$C1027*S1026</f>
        <v/>
      </c>
      <c r="T1027">
        <f>$C1027*T1026</f>
        <v/>
      </c>
      <c r="U1027">
        <f>$C1027*U1026</f>
        <v/>
      </c>
      <c r="V1027">
        <f>$C1027*V1026</f>
        <v/>
      </c>
      <c r="W1027">
        <f>$C1027*W1026</f>
        <v/>
      </c>
      <c r="X1027">
        <f>$C1027*X1026</f>
        <v/>
      </c>
      <c r="Y1027">
        <f>$C1027*Y1026</f>
        <v/>
      </c>
      <c r="Z1027">
        <f>$C1027*Z1026</f>
        <v/>
      </c>
      <c r="AA1027">
        <f>$C1027*AA1026</f>
        <v/>
      </c>
      <c r="AB1027">
        <f>$C1027*AB1026</f>
        <v/>
      </c>
      <c r="AC1027">
        <f>$C1027*AC1026</f>
        <v/>
      </c>
      <c r="AD1027">
        <f>$C1027*AD1026</f>
        <v/>
      </c>
      <c r="AE1027">
        <f>$C1027*AE1026</f>
        <v/>
      </c>
      <c r="AF1027">
        <f>$C1027*AF1026</f>
        <v/>
      </c>
      <c r="AG1027">
        <f>$C1027*AG1026</f>
        <v/>
      </c>
      <c r="AH1027">
        <f>$C1027*AH1026</f>
        <v/>
      </c>
      <c r="AI1027">
        <f>$C1027*AI1026</f>
        <v/>
      </c>
      <c r="AJ1027">
        <f>$C1027*AJ1026</f>
        <v/>
      </c>
      <c r="AK1027">
        <f>$C1027*AK1026</f>
        <v/>
      </c>
      <c r="AL1027">
        <f>$C1027*AL1026</f>
        <v/>
      </c>
      <c r="AM1027">
        <f>$C1027*AM1026</f>
        <v/>
      </c>
      <c r="AN1027">
        <f>$C1027*AN1026</f>
        <v/>
      </c>
      <c r="AO1027">
        <f>$C1027*AO1026</f>
        <v/>
      </c>
      <c r="AP1027">
        <f>$C1027*AP1026</f>
        <v/>
      </c>
      <c r="AQ1027">
        <f>$C1027*AQ1026</f>
        <v/>
      </c>
      <c r="AR1027">
        <f>$C1027*AR1026</f>
        <v/>
      </c>
      <c r="AS1027">
        <f>$C1027*AS1026</f>
        <v/>
      </c>
      <c r="AT1027">
        <f>$C1027*AT1026</f>
        <v/>
      </c>
      <c r="AU1027">
        <f>$C1027*AU1026</f>
        <v/>
      </c>
      <c r="AV1027">
        <f>$C1027*AV1026</f>
        <v/>
      </c>
      <c r="AW1027">
        <f>$C1027*AW1026</f>
        <v/>
      </c>
      <c r="AX1027">
        <f>$C1027*AX1026</f>
        <v/>
      </c>
      <c r="AY1027">
        <f>$C1027*AY1026</f>
        <v/>
      </c>
      <c r="AZ1027">
        <f>$C1027*AZ1026</f>
        <v/>
      </c>
      <c r="BA1027">
        <f>$C1027*BA1026</f>
        <v/>
      </c>
      <c r="BB1027">
        <f>$C1027*BB1026</f>
        <v/>
      </c>
      <c r="BC1027">
        <f>$C1027*BC1026</f>
        <v/>
      </c>
      <c r="BD1027">
        <f>$C1027*BD1026</f>
        <v/>
      </c>
      <c r="BE1027">
        <f>$C1027*BE1026</f>
        <v/>
      </c>
      <c r="BF1027">
        <f>$C1027*BF1026</f>
        <v/>
      </c>
      <c r="BG1027">
        <f>$C1027*BG1026</f>
        <v/>
      </c>
      <c r="BH1027">
        <f>$C1027*BH1026</f>
        <v/>
      </c>
      <c r="BI1027">
        <f>$C1027*BI1026</f>
        <v/>
      </c>
      <c r="BJ1027">
        <f>$C1027*BJ1026</f>
        <v/>
      </c>
      <c r="BK1027">
        <f>$C1027*BK1026</f>
        <v/>
      </c>
      <c r="BL1027">
        <f>$C1027*BL1026</f>
        <v/>
      </c>
      <c r="BM1027">
        <f>$C1027*BM1026</f>
        <v/>
      </c>
      <c r="BN1027">
        <f>$C1027*BN1026</f>
        <v/>
      </c>
      <c r="BO1027">
        <f>$C1027*BO1026</f>
        <v/>
      </c>
      <c r="BP1027">
        <f>$C1027*BP1026</f>
        <v/>
      </c>
      <c r="BQ1027">
        <f>$C1027*BQ1026</f>
        <v/>
      </c>
      <c r="BR1027">
        <f>$C1027*BR1026</f>
        <v/>
      </c>
      <c r="BS1027">
        <f>$C1027*BS1026</f>
        <v/>
      </c>
      <c r="BT1027">
        <f>$C1027*BT1026</f>
        <v/>
      </c>
      <c r="BU1027">
        <f>$C1027*BU1026</f>
        <v/>
      </c>
      <c r="BV1027">
        <f>$C1027*BV1026</f>
        <v/>
      </c>
      <c r="BW1027">
        <f>$C1027*BW1026</f>
        <v/>
      </c>
      <c r="BX1027">
        <f>$C1027*BX1026</f>
        <v/>
      </c>
      <c r="BY1027">
        <f>$C1027*BY1026</f>
        <v/>
      </c>
      <c r="BZ1027">
        <f>$C1027*BZ1026</f>
        <v/>
      </c>
      <c r="CA1027">
        <f>$C1027*CA1026</f>
        <v/>
      </c>
      <c r="CB1027">
        <f>$C1027*CB1026</f>
        <v/>
      </c>
      <c r="CC1027">
        <f>$C1027*CC1026</f>
        <v/>
      </c>
      <c r="CD1027">
        <f>$C1027*CD1026</f>
        <v/>
      </c>
      <c r="CE1027">
        <f>$C1027*CE1026</f>
        <v/>
      </c>
      <c r="CF1027">
        <f>$C1027*CF1026</f>
        <v/>
      </c>
      <c r="CG1027">
        <f>$C1027*CG1026</f>
        <v/>
      </c>
      <c r="CH1027">
        <f>$C1027*CH1026</f>
        <v/>
      </c>
      <c r="CI1027">
        <f>$C1027*CI1026</f>
        <v/>
      </c>
      <c r="CJ1027">
        <f>$C1027*CJ1026</f>
        <v/>
      </c>
      <c r="CK1027">
        <f>$C1027*CK1026</f>
        <v/>
      </c>
      <c r="CL1027">
        <f>$C1027*CL1026</f>
        <v/>
      </c>
      <c r="CM1027">
        <f>$C1027*CM1026</f>
        <v/>
      </c>
      <c r="CN1027">
        <f>$C1027*CN1026</f>
        <v/>
      </c>
      <c r="CO1027">
        <f>$C1027*CO1026</f>
        <v/>
      </c>
      <c r="CP1027">
        <f>$C1027*CP1026</f>
        <v/>
      </c>
      <c r="CQ1027">
        <f>$C1027*CQ1026</f>
        <v/>
      </c>
      <c r="CR1027">
        <f>$C1027*CR1026</f>
        <v/>
      </c>
      <c r="CS1027">
        <f>$C1027*CS1026</f>
        <v/>
      </c>
      <c r="CT1027">
        <f>$C1027*CT1026</f>
        <v/>
      </c>
      <c r="CU1027">
        <f>$C1027*CU1026</f>
        <v/>
      </c>
      <c r="CV1027">
        <f>$C1027*CV1026</f>
        <v/>
      </c>
      <c r="CW1027">
        <f>$C1027*CW1026</f>
        <v/>
      </c>
      <c r="CX1027">
        <f>$C1027*CX1026</f>
        <v/>
      </c>
      <c r="CY1027">
        <f>$C1027*CY1026</f>
        <v/>
      </c>
      <c r="CZ1027">
        <f>$C1027*CZ1026</f>
        <v/>
      </c>
      <c r="DA1027">
        <f>$C1027*DA1026</f>
        <v/>
      </c>
      <c r="DB1027">
        <f>$C1027*DB1026</f>
        <v/>
      </c>
      <c r="DC1027">
        <f>$C1027*DC1026</f>
        <v/>
      </c>
      <c r="DD1027">
        <f>$C1027*DD1026</f>
        <v/>
      </c>
    </row>
    <row r="1028">
      <c r="B1028" t="inlineStr">
        <is>
          <t>TSP-390</t>
        </is>
      </c>
      <c r="C1028" t="inlineStr">
        <is>
          <t>No. of batches</t>
        </is>
      </c>
      <c r="D1028">
        <f>IFERROR(INDEX(E1028:DD1028,$F$1),"")</f>
        <v/>
      </c>
      <c r="E1028">
        <f>IFERROR(INDEX(PP_Grid[#Data],$DE1028,2),0)</f>
        <v/>
      </c>
      <c r="F1028">
        <f>IFERROR(INDEX(PP_Grid[#Data],$DE1028,3),0)</f>
        <v/>
      </c>
      <c r="G1028">
        <f>IFERROR(INDEX(PP_Grid[#Data],$DE1028,4),0)</f>
        <v/>
      </c>
      <c r="H1028">
        <f>IFERROR(INDEX(PP_Grid[#Data],$DE1028,5),0)</f>
        <v/>
      </c>
      <c r="I1028">
        <f>IFERROR(INDEX(PP_Grid[#Data],$DE1028,6),0)</f>
        <v/>
      </c>
      <c r="J1028">
        <f>IFERROR(INDEX(PP_Grid[#Data],$DE1028,7),0)</f>
        <v/>
      </c>
      <c r="K1028">
        <f>IFERROR(INDEX(PP_Grid[#Data],$DE1028,8),0)</f>
        <v/>
      </c>
      <c r="L1028">
        <f>IFERROR(INDEX(PP_Grid[#Data],$DE1028,9),0)</f>
        <v/>
      </c>
      <c r="M1028">
        <f>IFERROR(INDEX(PP_Grid[#Data],$DE1028,10),0)</f>
        <v/>
      </c>
      <c r="N1028">
        <f>IFERROR(INDEX(PP_Grid[#Data],$DE1028,11),0)</f>
        <v/>
      </c>
      <c r="O1028">
        <f>IFERROR(INDEX(PP_Grid[#Data],$DE1028,12),0)</f>
        <v/>
      </c>
      <c r="P1028">
        <f>IFERROR(INDEX(PP_Grid[#Data],$DE1028,13),0)</f>
        <v/>
      </c>
      <c r="Q1028">
        <f>IFERROR(INDEX(PP_Grid[#Data],$DE1028,14),0)</f>
        <v/>
      </c>
      <c r="R1028">
        <f>IFERROR(INDEX(PP_Grid[#Data],$DE1028,15),0)</f>
        <v/>
      </c>
      <c r="S1028">
        <f>IFERROR(INDEX(PP_Grid[#Data],$DE1028,16),0)</f>
        <v/>
      </c>
      <c r="T1028">
        <f>IFERROR(INDEX(PP_Grid[#Data],$DE1028,17),0)</f>
        <v/>
      </c>
      <c r="U1028">
        <f>IFERROR(INDEX(PP_Grid[#Data],$DE1028,18),0)</f>
        <v/>
      </c>
      <c r="V1028">
        <f>IFERROR(INDEX(PP_Grid[#Data],$DE1028,19),0)</f>
        <v/>
      </c>
      <c r="W1028">
        <f>IFERROR(INDEX(PP_Grid[#Data],$DE1028,20),0)</f>
        <v/>
      </c>
      <c r="X1028">
        <f>IFERROR(INDEX(PP_Grid[#Data],$DE1028,21),0)</f>
        <v/>
      </c>
      <c r="Y1028">
        <f>IFERROR(INDEX(PP_Grid[#Data],$DE1028,22),0)</f>
        <v/>
      </c>
      <c r="Z1028">
        <f>IFERROR(INDEX(PP_Grid[#Data],$DE1028,23),0)</f>
        <v/>
      </c>
      <c r="AA1028">
        <f>IFERROR(INDEX(PP_Grid[#Data],$DE1028,24),0)</f>
        <v/>
      </c>
      <c r="AB1028">
        <f>IFERROR(INDEX(PP_Grid[#Data],$DE1028,25),0)</f>
        <v/>
      </c>
      <c r="AC1028">
        <f>IFERROR(INDEX(PP_Grid[#Data],$DE1028,26),0)</f>
        <v/>
      </c>
      <c r="AD1028">
        <f>IFERROR(INDEX(PP_Grid[#Data],$DE1028,27),0)</f>
        <v/>
      </c>
      <c r="AE1028">
        <f>IFERROR(INDEX(PP_Grid[#Data],$DE1028,28),0)</f>
        <v/>
      </c>
      <c r="AF1028">
        <f>IFERROR(INDEX(PP_Grid[#Data],$DE1028,29),0)</f>
        <v/>
      </c>
      <c r="AG1028">
        <f>IFERROR(INDEX(PP_Grid[#Data],$DE1028,30),0)</f>
        <v/>
      </c>
      <c r="AH1028">
        <f>IFERROR(INDEX(PP_Grid[#Data],$DE1028,31),0)</f>
        <v/>
      </c>
      <c r="AI1028">
        <f>IFERROR(INDEX(PP_Grid[#Data],$DE1028,32),0)</f>
        <v/>
      </c>
      <c r="AJ1028">
        <f>IFERROR(INDEX(PP_Grid[#Data],$DE1028,33),0)</f>
        <v/>
      </c>
      <c r="AK1028">
        <f>IFERROR(INDEX(PP_Grid[#Data],$DE1028,34),0)</f>
        <v/>
      </c>
      <c r="AL1028">
        <f>IFERROR(INDEX(PP_Grid[#Data],$DE1028,35),0)</f>
        <v/>
      </c>
      <c r="AM1028">
        <f>IFERROR(INDEX(PP_Grid[#Data],$DE1028,36),0)</f>
        <v/>
      </c>
      <c r="AN1028">
        <f>IFERROR(INDEX(PP_Grid[#Data],$DE1028,37),0)</f>
        <v/>
      </c>
      <c r="AO1028">
        <f>IFERROR(INDEX(PP_Grid[#Data],$DE1028,38),0)</f>
        <v/>
      </c>
      <c r="AP1028">
        <f>IFERROR(INDEX(PP_Grid[#Data],$DE1028,39),0)</f>
        <v/>
      </c>
      <c r="AQ1028">
        <f>IFERROR(INDEX(PP_Grid[#Data],$DE1028,40),0)</f>
        <v/>
      </c>
      <c r="AR1028">
        <f>IFERROR(INDEX(PP_Grid[#Data],$DE1028,41),0)</f>
        <v/>
      </c>
      <c r="AS1028">
        <f>IFERROR(INDEX(PP_Grid[#Data],$DE1028,42),0)</f>
        <v/>
      </c>
      <c r="AT1028">
        <f>IFERROR(INDEX(PP_Grid[#Data],$DE1028,43),0)</f>
        <v/>
      </c>
      <c r="AU1028">
        <f>IFERROR(INDEX(PP_Grid[#Data],$DE1028,44),0)</f>
        <v/>
      </c>
      <c r="AV1028">
        <f>IFERROR(INDEX(PP_Grid[#Data],$DE1028,45),0)</f>
        <v/>
      </c>
      <c r="AW1028">
        <f>IFERROR(INDEX(PP_Grid[#Data],$DE1028,46),0)</f>
        <v/>
      </c>
      <c r="AX1028">
        <f>IFERROR(INDEX(PP_Grid[#Data],$DE1028,47),0)</f>
        <v/>
      </c>
      <c r="AY1028">
        <f>IFERROR(INDEX(PP_Grid[#Data],$DE1028,48),0)</f>
        <v/>
      </c>
      <c r="AZ1028">
        <f>IFERROR(INDEX(PP_Grid[#Data],$DE1028,49),0)</f>
        <v/>
      </c>
      <c r="BA1028">
        <f>IFERROR(INDEX(PP_Grid[#Data],$DE1028,50),0)</f>
        <v/>
      </c>
      <c r="BB1028">
        <f>IFERROR(INDEX(PP_Grid[#Data],$DE1028,51),0)</f>
        <v/>
      </c>
      <c r="BC1028">
        <f>IFERROR(INDEX(PP_Grid[#Data],$DE1028,52),0)</f>
        <v/>
      </c>
      <c r="BD1028">
        <f>IFERROR(INDEX(PP_Grid[#Data],$DE1028,53),0)</f>
        <v/>
      </c>
      <c r="BE1028">
        <f>IFERROR(INDEX(PP_Grid[#Data],$DE1028,54),0)</f>
        <v/>
      </c>
      <c r="BF1028">
        <f>IFERROR(INDEX(PP_Grid[#Data],$DE1028,55),0)</f>
        <v/>
      </c>
      <c r="BG1028">
        <f>IFERROR(INDEX(PP_Grid[#Data],$DE1028,56),0)</f>
        <v/>
      </c>
      <c r="BH1028">
        <f>IFERROR(INDEX(PP_Grid[#Data],$DE1028,57),0)</f>
        <v/>
      </c>
      <c r="BI1028">
        <f>IFERROR(INDEX(PP_Grid[#Data],$DE1028,58),0)</f>
        <v/>
      </c>
      <c r="BJ1028">
        <f>IFERROR(INDEX(PP_Grid[#Data],$DE1028,59),0)</f>
        <v/>
      </c>
      <c r="BK1028">
        <f>IFERROR(INDEX(PP_Grid[#Data],$DE1028,60),0)</f>
        <v/>
      </c>
      <c r="BL1028">
        <f>IFERROR(INDEX(PP_Grid[#Data],$DE1028,61),0)</f>
        <v/>
      </c>
      <c r="BM1028">
        <f>IFERROR(INDEX(PP_Grid[#Data],$DE1028,62),0)</f>
        <v/>
      </c>
      <c r="BN1028">
        <f>IFERROR(INDEX(PP_Grid[#Data],$DE1028,63),0)</f>
        <v/>
      </c>
      <c r="BO1028">
        <f>IFERROR(INDEX(PP_Grid[#Data],$DE1028,64),0)</f>
        <v/>
      </c>
      <c r="BP1028">
        <f>IFERROR(INDEX(PP_Grid[#Data],$DE1028,65),0)</f>
        <v/>
      </c>
      <c r="BQ1028">
        <f>IFERROR(INDEX(PP_Grid[#Data],$DE1028,66),0)</f>
        <v/>
      </c>
      <c r="BR1028">
        <f>IFERROR(INDEX(PP_Grid[#Data],$DE1028,67),0)</f>
        <v/>
      </c>
      <c r="BS1028">
        <f>IFERROR(INDEX(PP_Grid[#Data],$DE1028,68),0)</f>
        <v/>
      </c>
      <c r="BT1028">
        <f>IFERROR(INDEX(PP_Grid[#Data],$DE1028,69),0)</f>
        <v/>
      </c>
      <c r="BU1028">
        <f>IFERROR(INDEX(PP_Grid[#Data],$DE1028,70),0)</f>
        <v/>
      </c>
      <c r="BV1028">
        <f>IFERROR(INDEX(PP_Grid[#Data],$DE1028,71),0)</f>
        <v/>
      </c>
      <c r="BW1028">
        <f>IFERROR(INDEX(PP_Grid[#Data],$DE1028,72),0)</f>
        <v/>
      </c>
      <c r="BX1028">
        <f>IFERROR(INDEX(PP_Grid[#Data],$DE1028,73),0)</f>
        <v/>
      </c>
      <c r="BY1028">
        <f>IFERROR(INDEX(PP_Grid[#Data],$DE1028,74),0)</f>
        <v/>
      </c>
      <c r="BZ1028">
        <f>IFERROR(INDEX(PP_Grid[#Data],$DE1028,75),0)</f>
        <v/>
      </c>
      <c r="CA1028">
        <f>IFERROR(INDEX(PP_Grid[#Data],$DE1028,76),0)</f>
        <v/>
      </c>
      <c r="CB1028">
        <f>IFERROR(INDEX(PP_Grid[#Data],$DE1028,77),0)</f>
        <v/>
      </c>
      <c r="CC1028">
        <f>IFERROR(INDEX(PP_Grid[#Data],$DE1028,78),0)</f>
        <v/>
      </c>
      <c r="CD1028">
        <f>IFERROR(INDEX(PP_Grid[#Data],$DE1028,79),0)</f>
        <v/>
      </c>
      <c r="CE1028">
        <f>IFERROR(INDEX(PP_Grid[#Data],$DE1028,80),0)</f>
        <v/>
      </c>
      <c r="CF1028">
        <f>IFERROR(INDEX(PP_Grid[#Data],$DE1028,81),0)</f>
        <v/>
      </c>
      <c r="CG1028">
        <f>IFERROR(INDEX(PP_Grid[#Data],$DE1028,82),0)</f>
        <v/>
      </c>
      <c r="CH1028">
        <f>IFERROR(INDEX(PP_Grid[#Data],$DE1028,83),0)</f>
        <v/>
      </c>
      <c r="CI1028">
        <f>IFERROR(INDEX(PP_Grid[#Data],$DE1028,84),0)</f>
        <v/>
      </c>
      <c r="CJ1028">
        <f>IFERROR(INDEX(PP_Grid[#Data],$DE1028,85),0)</f>
        <v/>
      </c>
      <c r="CK1028">
        <f>IFERROR(INDEX(PP_Grid[#Data],$DE1028,86),0)</f>
        <v/>
      </c>
      <c r="CL1028">
        <f>IFERROR(INDEX(PP_Grid[#Data],$DE1028,87),0)</f>
        <v/>
      </c>
      <c r="CM1028">
        <f>IFERROR(INDEX(PP_Grid[#Data],$DE1028,88),0)</f>
        <v/>
      </c>
      <c r="CN1028">
        <f>IFERROR(INDEX(PP_Grid[#Data],$DE1028,89),0)</f>
        <v/>
      </c>
      <c r="CO1028">
        <f>IFERROR(INDEX(PP_Grid[#Data],$DE1028,90),0)</f>
        <v/>
      </c>
      <c r="CP1028">
        <f>IFERROR(INDEX(PP_Grid[#Data],$DE1028,91),0)</f>
        <v/>
      </c>
      <c r="CQ1028">
        <f>IFERROR(INDEX(PP_Grid[#Data],$DE1028,92),0)</f>
        <v/>
      </c>
      <c r="CR1028">
        <f>IFERROR(INDEX(PP_Grid[#Data],$DE1028,93),0)</f>
        <v/>
      </c>
      <c r="CS1028">
        <f>IFERROR(INDEX(PP_Grid[#Data],$DE1028,94),0)</f>
        <v/>
      </c>
      <c r="CT1028">
        <f>IFERROR(INDEX(PP_Grid[#Data],$DE1028,95),0)</f>
        <v/>
      </c>
      <c r="CU1028">
        <f>IFERROR(INDEX(PP_Grid[#Data],$DE1028,96),0)</f>
        <v/>
      </c>
      <c r="CV1028">
        <f>IFERROR(INDEX(PP_Grid[#Data],$DE1028,97),0)</f>
        <v/>
      </c>
      <c r="CW1028">
        <f>IFERROR(INDEX(PP_Grid[#Data],$DE1028,98),0)</f>
        <v/>
      </c>
      <c r="CX1028">
        <f>IFERROR(INDEX(PP_Grid[#Data],$DE1028,99),0)</f>
        <v/>
      </c>
      <c r="CY1028">
        <f>IFERROR(INDEX(PP_Grid[#Data],$DE1028,100),0)</f>
        <v/>
      </c>
      <c r="CZ1028">
        <f>IFERROR(INDEX(PP_Grid[#Data],$DE1028,101),0)</f>
        <v/>
      </c>
      <c r="DA1028">
        <f>IFERROR(INDEX(PP_Grid[#Data],$DE1028,102),0)</f>
        <v/>
      </c>
      <c r="DB1028">
        <f>IFERROR(INDEX(PP_Grid[#Data],$DE1028,103),0)</f>
        <v/>
      </c>
      <c r="DC1028">
        <f>IFERROR(INDEX(PP_Grid[#Data],$DE1028,104),0)</f>
        <v/>
      </c>
      <c r="DD1028">
        <f>IFERROR(INDEX(PP_Grid[#Data],$DE1028,105),0)</f>
        <v/>
      </c>
      <c r="DE1028" s="7">
        <f>IFERROR(MATCH($B1028,PP_Grid[Intermediate],0),99999)</f>
        <v/>
      </c>
    </row>
    <row r="1029">
      <c r="B1029" t="inlineStr">
        <is>
          <t>使用量(kg)</t>
        </is>
      </c>
      <c r="C1029">
        <f>SUMIFS(M_BOM[RM_Qty_Per_Batch],M_BOM[Intermediate],$B1028,M_BOM[RM_Code],$A1025)</f>
        <v/>
      </c>
      <c r="D1029">
        <f>IFERROR(INDEX(E1029:DD1029,$F$1),"")</f>
        <v/>
      </c>
      <c r="E1029">
        <f>$C1029*E1028</f>
        <v/>
      </c>
      <c r="F1029">
        <f>$C1029*F1028</f>
        <v/>
      </c>
      <c r="G1029">
        <f>$C1029*G1028</f>
        <v/>
      </c>
      <c r="H1029">
        <f>$C1029*H1028</f>
        <v/>
      </c>
      <c r="I1029">
        <f>$C1029*I1028</f>
        <v/>
      </c>
      <c r="J1029">
        <f>$C1029*J1028</f>
        <v/>
      </c>
      <c r="K1029">
        <f>$C1029*K1028</f>
        <v/>
      </c>
      <c r="L1029">
        <f>$C1029*L1028</f>
        <v/>
      </c>
      <c r="M1029">
        <f>$C1029*M1028</f>
        <v/>
      </c>
      <c r="N1029">
        <f>$C1029*N1028</f>
        <v/>
      </c>
      <c r="O1029">
        <f>$C1029*O1028</f>
        <v/>
      </c>
      <c r="P1029">
        <f>$C1029*P1028</f>
        <v/>
      </c>
      <c r="Q1029">
        <f>$C1029*Q1028</f>
        <v/>
      </c>
      <c r="R1029">
        <f>$C1029*R1028</f>
        <v/>
      </c>
      <c r="S1029">
        <f>$C1029*S1028</f>
        <v/>
      </c>
      <c r="T1029">
        <f>$C1029*T1028</f>
        <v/>
      </c>
      <c r="U1029">
        <f>$C1029*U1028</f>
        <v/>
      </c>
      <c r="V1029">
        <f>$C1029*V1028</f>
        <v/>
      </c>
      <c r="W1029">
        <f>$C1029*W1028</f>
        <v/>
      </c>
      <c r="X1029">
        <f>$C1029*X1028</f>
        <v/>
      </c>
      <c r="Y1029">
        <f>$C1029*Y1028</f>
        <v/>
      </c>
      <c r="Z1029">
        <f>$C1029*Z1028</f>
        <v/>
      </c>
      <c r="AA1029">
        <f>$C1029*AA1028</f>
        <v/>
      </c>
      <c r="AB1029">
        <f>$C1029*AB1028</f>
        <v/>
      </c>
      <c r="AC1029">
        <f>$C1029*AC1028</f>
        <v/>
      </c>
      <c r="AD1029">
        <f>$C1029*AD1028</f>
        <v/>
      </c>
      <c r="AE1029">
        <f>$C1029*AE1028</f>
        <v/>
      </c>
      <c r="AF1029">
        <f>$C1029*AF1028</f>
        <v/>
      </c>
      <c r="AG1029">
        <f>$C1029*AG1028</f>
        <v/>
      </c>
      <c r="AH1029">
        <f>$C1029*AH1028</f>
        <v/>
      </c>
      <c r="AI1029">
        <f>$C1029*AI1028</f>
        <v/>
      </c>
      <c r="AJ1029">
        <f>$C1029*AJ1028</f>
        <v/>
      </c>
      <c r="AK1029">
        <f>$C1029*AK1028</f>
        <v/>
      </c>
      <c r="AL1029">
        <f>$C1029*AL1028</f>
        <v/>
      </c>
      <c r="AM1029">
        <f>$C1029*AM1028</f>
        <v/>
      </c>
      <c r="AN1029">
        <f>$C1029*AN1028</f>
        <v/>
      </c>
      <c r="AO1029">
        <f>$C1029*AO1028</f>
        <v/>
      </c>
      <c r="AP1029">
        <f>$C1029*AP1028</f>
        <v/>
      </c>
      <c r="AQ1029">
        <f>$C1029*AQ1028</f>
        <v/>
      </c>
      <c r="AR1029">
        <f>$C1029*AR1028</f>
        <v/>
      </c>
      <c r="AS1029">
        <f>$C1029*AS1028</f>
        <v/>
      </c>
      <c r="AT1029">
        <f>$C1029*AT1028</f>
        <v/>
      </c>
      <c r="AU1029">
        <f>$C1029*AU1028</f>
        <v/>
      </c>
      <c r="AV1029">
        <f>$C1029*AV1028</f>
        <v/>
      </c>
      <c r="AW1029">
        <f>$C1029*AW1028</f>
        <v/>
      </c>
      <c r="AX1029">
        <f>$C1029*AX1028</f>
        <v/>
      </c>
      <c r="AY1029">
        <f>$C1029*AY1028</f>
        <v/>
      </c>
      <c r="AZ1029">
        <f>$C1029*AZ1028</f>
        <v/>
      </c>
      <c r="BA1029">
        <f>$C1029*BA1028</f>
        <v/>
      </c>
      <c r="BB1029">
        <f>$C1029*BB1028</f>
        <v/>
      </c>
      <c r="BC1029">
        <f>$C1029*BC1028</f>
        <v/>
      </c>
      <c r="BD1029">
        <f>$C1029*BD1028</f>
        <v/>
      </c>
      <c r="BE1029">
        <f>$C1029*BE1028</f>
        <v/>
      </c>
      <c r="BF1029">
        <f>$C1029*BF1028</f>
        <v/>
      </c>
      <c r="BG1029">
        <f>$C1029*BG1028</f>
        <v/>
      </c>
      <c r="BH1029">
        <f>$C1029*BH1028</f>
        <v/>
      </c>
      <c r="BI1029">
        <f>$C1029*BI1028</f>
        <v/>
      </c>
      <c r="BJ1029">
        <f>$C1029*BJ1028</f>
        <v/>
      </c>
      <c r="BK1029">
        <f>$C1029*BK1028</f>
        <v/>
      </c>
      <c r="BL1029">
        <f>$C1029*BL1028</f>
        <v/>
      </c>
      <c r="BM1029">
        <f>$C1029*BM1028</f>
        <v/>
      </c>
      <c r="BN1029">
        <f>$C1029*BN1028</f>
        <v/>
      </c>
      <c r="BO1029">
        <f>$C1029*BO1028</f>
        <v/>
      </c>
      <c r="BP1029">
        <f>$C1029*BP1028</f>
        <v/>
      </c>
      <c r="BQ1029">
        <f>$C1029*BQ1028</f>
        <v/>
      </c>
      <c r="BR1029">
        <f>$C1029*BR1028</f>
        <v/>
      </c>
      <c r="BS1029">
        <f>$C1029*BS1028</f>
        <v/>
      </c>
      <c r="BT1029">
        <f>$C1029*BT1028</f>
        <v/>
      </c>
      <c r="BU1029">
        <f>$C1029*BU1028</f>
        <v/>
      </c>
      <c r="BV1029">
        <f>$C1029*BV1028</f>
        <v/>
      </c>
      <c r="BW1029">
        <f>$C1029*BW1028</f>
        <v/>
      </c>
      <c r="BX1029">
        <f>$C1029*BX1028</f>
        <v/>
      </c>
      <c r="BY1029">
        <f>$C1029*BY1028</f>
        <v/>
      </c>
      <c r="BZ1029">
        <f>$C1029*BZ1028</f>
        <v/>
      </c>
      <c r="CA1029">
        <f>$C1029*CA1028</f>
        <v/>
      </c>
      <c r="CB1029">
        <f>$C1029*CB1028</f>
        <v/>
      </c>
      <c r="CC1029">
        <f>$C1029*CC1028</f>
        <v/>
      </c>
      <c r="CD1029">
        <f>$C1029*CD1028</f>
        <v/>
      </c>
      <c r="CE1029">
        <f>$C1029*CE1028</f>
        <v/>
      </c>
      <c r="CF1029">
        <f>$C1029*CF1028</f>
        <v/>
      </c>
      <c r="CG1029">
        <f>$C1029*CG1028</f>
        <v/>
      </c>
      <c r="CH1029">
        <f>$C1029*CH1028</f>
        <v/>
      </c>
      <c r="CI1029">
        <f>$C1029*CI1028</f>
        <v/>
      </c>
      <c r="CJ1029">
        <f>$C1029*CJ1028</f>
        <v/>
      </c>
      <c r="CK1029">
        <f>$C1029*CK1028</f>
        <v/>
      </c>
      <c r="CL1029">
        <f>$C1029*CL1028</f>
        <v/>
      </c>
      <c r="CM1029">
        <f>$C1029*CM1028</f>
        <v/>
      </c>
      <c r="CN1029">
        <f>$C1029*CN1028</f>
        <v/>
      </c>
      <c r="CO1029">
        <f>$C1029*CO1028</f>
        <v/>
      </c>
      <c r="CP1029">
        <f>$C1029*CP1028</f>
        <v/>
      </c>
      <c r="CQ1029">
        <f>$C1029*CQ1028</f>
        <v/>
      </c>
      <c r="CR1029">
        <f>$C1029*CR1028</f>
        <v/>
      </c>
      <c r="CS1029">
        <f>$C1029*CS1028</f>
        <v/>
      </c>
      <c r="CT1029">
        <f>$C1029*CT1028</f>
        <v/>
      </c>
      <c r="CU1029">
        <f>$C1029*CU1028</f>
        <v/>
      </c>
      <c r="CV1029">
        <f>$C1029*CV1028</f>
        <v/>
      </c>
      <c r="CW1029">
        <f>$C1029*CW1028</f>
        <v/>
      </c>
      <c r="CX1029">
        <f>$C1029*CX1028</f>
        <v/>
      </c>
      <c r="CY1029">
        <f>$C1029*CY1028</f>
        <v/>
      </c>
      <c r="CZ1029">
        <f>$C1029*CZ1028</f>
        <v/>
      </c>
      <c r="DA1029">
        <f>$C1029*DA1028</f>
        <v/>
      </c>
      <c r="DB1029">
        <f>$C1029*DB1028</f>
        <v/>
      </c>
      <c r="DC1029">
        <f>$C1029*DC1028</f>
        <v/>
      </c>
      <c r="DD1029">
        <f>$C1029*DD1028</f>
        <v/>
      </c>
    </row>
    <row r="1030">
      <c r="B1030" t="inlineStr">
        <is>
          <t>TSP-399</t>
        </is>
      </c>
      <c r="C1030" t="inlineStr">
        <is>
          <t>No. of batches</t>
        </is>
      </c>
      <c r="D1030">
        <f>IFERROR(INDEX(E1030:DD1030,$F$1),"")</f>
        <v/>
      </c>
      <c r="E1030">
        <f>IFERROR(INDEX(PP_Grid[#Data],$DE1030,2),0)</f>
        <v/>
      </c>
      <c r="F1030">
        <f>IFERROR(INDEX(PP_Grid[#Data],$DE1030,3),0)</f>
        <v/>
      </c>
      <c r="G1030">
        <f>IFERROR(INDEX(PP_Grid[#Data],$DE1030,4),0)</f>
        <v/>
      </c>
      <c r="H1030">
        <f>IFERROR(INDEX(PP_Grid[#Data],$DE1030,5),0)</f>
        <v/>
      </c>
      <c r="I1030">
        <f>IFERROR(INDEX(PP_Grid[#Data],$DE1030,6),0)</f>
        <v/>
      </c>
      <c r="J1030">
        <f>IFERROR(INDEX(PP_Grid[#Data],$DE1030,7),0)</f>
        <v/>
      </c>
      <c r="K1030">
        <f>IFERROR(INDEX(PP_Grid[#Data],$DE1030,8),0)</f>
        <v/>
      </c>
      <c r="L1030">
        <f>IFERROR(INDEX(PP_Grid[#Data],$DE1030,9),0)</f>
        <v/>
      </c>
      <c r="M1030">
        <f>IFERROR(INDEX(PP_Grid[#Data],$DE1030,10),0)</f>
        <v/>
      </c>
      <c r="N1030">
        <f>IFERROR(INDEX(PP_Grid[#Data],$DE1030,11),0)</f>
        <v/>
      </c>
      <c r="O1030">
        <f>IFERROR(INDEX(PP_Grid[#Data],$DE1030,12),0)</f>
        <v/>
      </c>
      <c r="P1030">
        <f>IFERROR(INDEX(PP_Grid[#Data],$DE1030,13),0)</f>
        <v/>
      </c>
      <c r="Q1030">
        <f>IFERROR(INDEX(PP_Grid[#Data],$DE1030,14),0)</f>
        <v/>
      </c>
      <c r="R1030">
        <f>IFERROR(INDEX(PP_Grid[#Data],$DE1030,15),0)</f>
        <v/>
      </c>
      <c r="S1030">
        <f>IFERROR(INDEX(PP_Grid[#Data],$DE1030,16),0)</f>
        <v/>
      </c>
      <c r="T1030">
        <f>IFERROR(INDEX(PP_Grid[#Data],$DE1030,17),0)</f>
        <v/>
      </c>
      <c r="U1030">
        <f>IFERROR(INDEX(PP_Grid[#Data],$DE1030,18),0)</f>
        <v/>
      </c>
      <c r="V1030">
        <f>IFERROR(INDEX(PP_Grid[#Data],$DE1030,19),0)</f>
        <v/>
      </c>
      <c r="W1030">
        <f>IFERROR(INDEX(PP_Grid[#Data],$DE1030,20),0)</f>
        <v/>
      </c>
      <c r="X1030">
        <f>IFERROR(INDEX(PP_Grid[#Data],$DE1030,21),0)</f>
        <v/>
      </c>
      <c r="Y1030">
        <f>IFERROR(INDEX(PP_Grid[#Data],$DE1030,22),0)</f>
        <v/>
      </c>
      <c r="Z1030">
        <f>IFERROR(INDEX(PP_Grid[#Data],$DE1030,23),0)</f>
        <v/>
      </c>
      <c r="AA1030">
        <f>IFERROR(INDEX(PP_Grid[#Data],$DE1030,24),0)</f>
        <v/>
      </c>
      <c r="AB1030">
        <f>IFERROR(INDEX(PP_Grid[#Data],$DE1030,25),0)</f>
        <v/>
      </c>
      <c r="AC1030">
        <f>IFERROR(INDEX(PP_Grid[#Data],$DE1030,26),0)</f>
        <v/>
      </c>
      <c r="AD1030">
        <f>IFERROR(INDEX(PP_Grid[#Data],$DE1030,27),0)</f>
        <v/>
      </c>
      <c r="AE1030">
        <f>IFERROR(INDEX(PP_Grid[#Data],$DE1030,28),0)</f>
        <v/>
      </c>
      <c r="AF1030">
        <f>IFERROR(INDEX(PP_Grid[#Data],$DE1030,29),0)</f>
        <v/>
      </c>
      <c r="AG1030">
        <f>IFERROR(INDEX(PP_Grid[#Data],$DE1030,30),0)</f>
        <v/>
      </c>
      <c r="AH1030">
        <f>IFERROR(INDEX(PP_Grid[#Data],$DE1030,31),0)</f>
        <v/>
      </c>
      <c r="AI1030">
        <f>IFERROR(INDEX(PP_Grid[#Data],$DE1030,32),0)</f>
        <v/>
      </c>
      <c r="AJ1030">
        <f>IFERROR(INDEX(PP_Grid[#Data],$DE1030,33),0)</f>
        <v/>
      </c>
      <c r="AK1030">
        <f>IFERROR(INDEX(PP_Grid[#Data],$DE1030,34),0)</f>
        <v/>
      </c>
      <c r="AL1030">
        <f>IFERROR(INDEX(PP_Grid[#Data],$DE1030,35),0)</f>
        <v/>
      </c>
      <c r="AM1030">
        <f>IFERROR(INDEX(PP_Grid[#Data],$DE1030,36),0)</f>
        <v/>
      </c>
      <c r="AN1030">
        <f>IFERROR(INDEX(PP_Grid[#Data],$DE1030,37),0)</f>
        <v/>
      </c>
      <c r="AO1030">
        <f>IFERROR(INDEX(PP_Grid[#Data],$DE1030,38),0)</f>
        <v/>
      </c>
      <c r="AP1030">
        <f>IFERROR(INDEX(PP_Grid[#Data],$DE1030,39),0)</f>
        <v/>
      </c>
      <c r="AQ1030">
        <f>IFERROR(INDEX(PP_Grid[#Data],$DE1030,40),0)</f>
        <v/>
      </c>
      <c r="AR1030">
        <f>IFERROR(INDEX(PP_Grid[#Data],$DE1030,41),0)</f>
        <v/>
      </c>
      <c r="AS1030">
        <f>IFERROR(INDEX(PP_Grid[#Data],$DE1030,42),0)</f>
        <v/>
      </c>
      <c r="AT1030">
        <f>IFERROR(INDEX(PP_Grid[#Data],$DE1030,43),0)</f>
        <v/>
      </c>
      <c r="AU1030">
        <f>IFERROR(INDEX(PP_Grid[#Data],$DE1030,44),0)</f>
        <v/>
      </c>
      <c r="AV1030">
        <f>IFERROR(INDEX(PP_Grid[#Data],$DE1030,45),0)</f>
        <v/>
      </c>
      <c r="AW1030">
        <f>IFERROR(INDEX(PP_Grid[#Data],$DE1030,46),0)</f>
        <v/>
      </c>
      <c r="AX1030">
        <f>IFERROR(INDEX(PP_Grid[#Data],$DE1030,47),0)</f>
        <v/>
      </c>
      <c r="AY1030">
        <f>IFERROR(INDEX(PP_Grid[#Data],$DE1030,48),0)</f>
        <v/>
      </c>
      <c r="AZ1030">
        <f>IFERROR(INDEX(PP_Grid[#Data],$DE1030,49),0)</f>
        <v/>
      </c>
      <c r="BA1030">
        <f>IFERROR(INDEX(PP_Grid[#Data],$DE1030,50),0)</f>
        <v/>
      </c>
      <c r="BB1030">
        <f>IFERROR(INDEX(PP_Grid[#Data],$DE1030,51),0)</f>
        <v/>
      </c>
      <c r="BC1030">
        <f>IFERROR(INDEX(PP_Grid[#Data],$DE1030,52),0)</f>
        <v/>
      </c>
      <c r="BD1030">
        <f>IFERROR(INDEX(PP_Grid[#Data],$DE1030,53),0)</f>
        <v/>
      </c>
      <c r="BE1030">
        <f>IFERROR(INDEX(PP_Grid[#Data],$DE1030,54),0)</f>
        <v/>
      </c>
      <c r="BF1030">
        <f>IFERROR(INDEX(PP_Grid[#Data],$DE1030,55),0)</f>
        <v/>
      </c>
      <c r="BG1030">
        <f>IFERROR(INDEX(PP_Grid[#Data],$DE1030,56),0)</f>
        <v/>
      </c>
      <c r="BH1030">
        <f>IFERROR(INDEX(PP_Grid[#Data],$DE1030,57),0)</f>
        <v/>
      </c>
      <c r="BI1030">
        <f>IFERROR(INDEX(PP_Grid[#Data],$DE1030,58),0)</f>
        <v/>
      </c>
      <c r="BJ1030">
        <f>IFERROR(INDEX(PP_Grid[#Data],$DE1030,59),0)</f>
        <v/>
      </c>
      <c r="BK1030">
        <f>IFERROR(INDEX(PP_Grid[#Data],$DE1030,60),0)</f>
        <v/>
      </c>
      <c r="BL1030">
        <f>IFERROR(INDEX(PP_Grid[#Data],$DE1030,61),0)</f>
        <v/>
      </c>
      <c r="BM1030">
        <f>IFERROR(INDEX(PP_Grid[#Data],$DE1030,62),0)</f>
        <v/>
      </c>
      <c r="BN1030">
        <f>IFERROR(INDEX(PP_Grid[#Data],$DE1030,63),0)</f>
        <v/>
      </c>
      <c r="BO1030">
        <f>IFERROR(INDEX(PP_Grid[#Data],$DE1030,64),0)</f>
        <v/>
      </c>
      <c r="BP1030">
        <f>IFERROR(INDEX(PP_Grid[#Data],$DE1030,65),0)</f>
        <v/>
      </c>
      <c r="BQ1030">
        <f>IFERROR(INDEX(PP_Grid[#Data],$DE1030,66),0)</f>
        <v/>
      </c>
      <c r="BR1030">
        <f>IFERROR(INDEX(PP_Grid[#Data],$DE1030,67),0)</f>
        <v/>
      </c>
      <c r="BS1030">
        <f>IFERROR(INDEX(PP_Grid[#Data],$DE1030,68),0)</f>
        <v/>
      </c>
      <c r="BT1030">
        <f>IFERROR(INDEX(PP_Grid[#Data],$DE1030,69),0)</f>
        <v/>
      </c>
      <c r="BU1030">
        <f>IFERROR(INDEX(PP_Grid[#Data],$DE1030,70),0)</f>
        <v/>
      </c>
      <c r="BV1030">
        <f>IFERROR(INDEX(PP_Grid[#Data],$DE1030,71),0)</f>
        <v/>
      </c>
      <c r="BW1030">
        <f>IFERROR(INDEX(PP_Grid[#Data],$DE1030,72),0)</f>
        <v/>
      </c>
      <c r="BX1030">
        <f>IFERROR(INDEX(PP_Grid[#Data],$DE1030,73),0)</f>
        <v/>
      </c>
      <c r="BY1030">
        <f>IFERROR(INDEX(PP_Grid[#Data],$DE1030,74),0)</f>
        <v/>
      </c>
      <c r="BZ1030">
        <f>IFERROR(INDEX(PP_Grid[#Data],$DE1030,75),0)</f>
        <v/>
      </c>
      <c r="CA1030">
        <f>IFERROR(INDEX(PP_Grid[#Data],$DE1030,76),0)</f>
        <v/>
      </c>
      <c r="CB1030">
        <f>IFERROR(INDEX(PP_Grid[#Data],$DE1030,77),0)</f>
        <v/>
      </c>
      <c r="CC1030">
        <f>IFERROR(INDEX(PP_Grid[#Data],$DE1030,78),0)</f>
        <v/>
      </c>
      <c r="CD1030">
        <f>IFERROR(INDEX(PP_Grid[#Data],$DE1030,79),0)</f>
        <v/>
      </c>
      <c r="CE1030">
        <f>IFERROR(INDEX(PP_Grid[#Data],$DE1030,80),0)</f>
        <v/>
      </c>
      <c r="CF1030">
        <f>IFERROR(INDEX(PP_Grid[#Data],$DE1030,81),0)</f>
        <v/>
      </c>
      <c r="CG1030">
        <f>IFERROR(INDEX(PP_Grid[#Data],$DE1030,82),0)</f>
        <v/>
      </c>
      <c r="CH1030">
        <f>IFERROR(INDEX(PP_Grid[#Data],$DE1030,83),0)</f>
        <v/>
      </c>
      <c r="CI1030">
        <f>IFERROR(INDEX(PP_Grid[#Data],$DE1030,84),0)</f>
        <v/>
      </c>
      <c r="CJ1030">
        <f>IFERROR(INDEX(PP_Grid[#Data],$DE1030,85),0)</f>
        <v/>
      </c>
      <c r="CK1030">
        <f>IFERROR(INDEX(PP_Grid[#Data],$DE1030,86),0)</f>
        <v/>
      </c>
      <c r="CL1030">
        <f>IFERROR(INDEX(PP_Grid[#Data],$DE1030,87),0)</f>
        <v/>
      </c>
      <c r="CM1030">
        <f>IFERROR(INDEX(PP_Grid[#Data],$DE1030,88),0)</f>
        <v/>
      </c>
      <c r="CN1030">
        <f>IFERROR(INDEX(PP_Grid[#Data],$DE1030,89),0)</f>
        <v/>
      </c>
      <c r="CO1030">
        <f>IFERROR(INDEX(PP_Grid[#Data],$DE1030,90),0)</f>
        <v/>
      </c>
      <c r="CP1030">
        <f>IFERROR(INDEX(PP_Grid[#Data],$DE1030,91),0)</f>
        <v/>
      </c>
      <c r="CQ1030">
        <f>IFERROR(INDEX(PP_Grid[#Data],$DE1030,92),0)</f>
        <v/>
      </c>
      <c r="CR1030">
        <f>IFERROR(INDEX(PP_Grid[#Data],$DE1030,93),0)</f>
        <v/>
      </c>
      <c r="CS1030">
        <f>IFERROR(INDEX(PP_Grid[#Data],$DE1030,94),0)</f>
        <v/>
      </c>
      <c r="CT1030">
        <f>IFERROR(INDEX(PP_Grid[#Data],$DE1030,95),0)</f>
        <v/>
      </c>
      <c r="CU1030">
        <f>IFERROR(INDEX(PP_Grid[#Data],$DE1030,96),0)</f>
        <v/>
      </c>
      <c r="CV1030">
        <f>IFERROR(INDEX(PP_Grid[#Data],$DE1030,97),0)</f>
        <v/>
      </c>
      <c r="CW1030">
        <f>IFERROR(INDEX(PP_Grid[#Data],$DE1030,98),0)</f>
        <v/>
      </c>
      <c r="CX1030">
        <f>IFERROR(INDEX(PP_Grid[#Data],$DE1030,99),0)</f>
        <v/>
      </c>
      <c r="CY1030">
        <f>IFERROR(INDEX(PP_Grid[#Data],$DE1030,100),0)</f>
        <v/>
      </c>
      <c r="CZ1030">
        <f>IFERROR(INDEX(PP_Grid[#Data],$DE1030,101),0)</f>
        <v/>
      </c>
      <c r="DA1030">
        <f>IFERROR(INDEX(PP_Grid[#Data],$DE1030,102),0)</f>
        <v/>
      </c>
      <c r="DB1030">
        <f>IFERROR(INDEX(PP_Grid[#Data],$DE1030,103),0)</f>
        <v/>
      </c>
      <c r="DC1030">
        <f>IFERROR(INDEX(PP_Grid[#Data],$DE1030,104),0)</f>
        <v/>
      </c>
      <c r="DD1030">
        <f>IFERROR(INDEX(PP_Grid[#Data],$DE1030,105),0)</f>
        <v/>
      </c>
      <c r="DE1030" s="7">
        <f>IFERROR(MATCH($B1030,PP_Grid[Intermediate],0),99999)</f>
        <v/>
      </c>
    </row>
    <row r="1031">
      <c r="B1031" t="inlineStr">
        <is>
          <t>使用量(kg)</t>
        </is>
      </c>
      <c r="C1031">
        <f>SUMIFS(M_BOM[RM_Qty_Per_Batch],M_BOM[Intermediate],$B1030,M_BOM[RM_Code],$A1025)</f>
        <v/>
      </c>
      <c r="D1031">
        <f>IFERROR(INDEX(E1031:DD1031,$F$1),"")</f>
        <v/>
      </c>
      <c r="E1031">
        <f>$C1031*E1030</f>
        <v/>
      </c>
      <c r="F1031">
        <f>$C1031*F1030</f>
        <v/>
      </c>
      <c r="G1031">
        <f>$C1031*G1030</f>
        <v/>
      </c>
      <c r="H1031">
        <f>$C1031*H1030</f>
        <v/>
      </c>
      <c r="I1031">
        <f>$C1031*I1030</f>
        <v/>
      </c>
      <c r="J1031">
        <f>$C1031*J1030</f>
        <v/>
      </c>
      <c r="K1031">
        <f>$C1031*K1030</f>
        <v/>
      </c>
      <c r="L1031">
        <f>$C1031*L1030</f>
        <v/>
      </c>
      <c r="M1031">
        <f>$C1031*M1030</f>
        <v/>
      </c>
      <c r="N1031">
        <f>$C1031*N1030</f>
        <v/>
      </c>
      <c r="O1031">
        <f>$C1031*O1030</f>
        <v/>
      </c>
      <c r="P1031">
        <f>$C1031*P1030</f>
        <v/>
      </c>
      <c r="Q1031">
        <f>$C1031*Q1030</f>
        <v/>
      </c>
      <c r="R1031">
        <f>$C1031*R1030</f>
        <v/>
      </c>
      <c r="S1031">
        <f>$C1031*S1030</f>
        <v/>
      </c>
      <c r="T1031">
        <f>$C1031*T1030</f>
        <v/>
      </c>
      <c r="U1031">
        <f>$C1031*U1030</f>
        <v/>
      </c>
      <c r="V1031">
        <f>$C1031*V1030</f>
        <v/>
      </c>
      <c r="W1031">
        <f>$C1031*W1030</f>
        <v/>
      </c>
      <c r="X1031">
        <f>$C1031*X1030</f>
        <v/>
      </c>
      <c r="Y1031">
        <f>$C1031*Y1030</f>
        <v/>
      </c>
      <c r="Z1031">
        <f>$C1031*Z1030</f>
        <v/>
      </c>
      <c r="AA1031">
        <f>$C1031*AA1030</f>
        <v/>
      </c>
      <c r="AB1031">
        <f>$C1031*AB1030</f>
        <v/>
      </c>
      <c r="AC1031">
        <f>$C1031*AC1030</f>
        <v/>
      </c>
      <c r="AD1031">
        <f>$C1031*AD1030</f>
        <v/>
      </c>
      <c r="AE1031">
        <f>$C1031*AE1030</f>
        <v/>
      </c>
      <c r="AF1031">
        <f>$C1031*AF1030</f>
        <v/>
      </c>
      <c r="AG1031">
        <f>$C1031*AG1030</f>
        <v/>
      </c>
      <c r="AH1031">
        <f>$C1031*AH1030</f>
        <v/>
      </c>
      <c r="AI1031">
        <f>$C1031*AI1030</f>
        <v/>
      </c>
      <c r="AJ1031">
        <f>$C1031*AJ1030</f>
        <v/>
      </c>
      <c r="AK1031">
        <f>$C1031*AK1030</f>
        <v/>
      </c>
      <c r="AL1031">
        <f>$C1031*AL1030</f>
        <v/>
      </c>
      <c r="AM1031">
        <f>$C1031*AM1030</f>
        <v/>
      </c>
      <c r="AN1031">
        <f>$C1031*AN1030</f>
        <v/>
      </c>
      <c r="AO1031">
        <f>$C1031*AO1030</f>
        <v/>
      </c>
      <c r="AP1031">
        <f>$C1031*AP1030</f>
        <v/>
      </c>
      <c r="AQ1031">
        <f>$C1031*AQ1030</f>
        <v/>
      </c>
      <c r="AR1031">
        <f>$C1031*AR1030</f>
        <v/>
      </c>
      <c r="AS1031">
        <f>$C1031*AS1030</f>
        <v/>
      </c>
      <c r="AT1031">
        <f>$C1031*AT1030</f>
        <v/>
      </c>
      <c r="AU1031">
        <f>$C1031*AU1030</f>
        <v/>
      </c>
      <c r="AV1031">
        <f>$C1031*AV1030</f>
        <v/>
      </c>
      <c r="AW1031">
        <f>$C1031*AW1030</f>
        <v/>
      </c>
      <c r="AX1031">
        <f>$C1031*AX1030</f>
        <v/>
      </c>
      <c r="AY1031">
        <f>$C1031*AY1030</f>
        <v/>
      </c>
      <c r="AZ1031">
        <f>$C1031*AZ1030</f>
        <v/>
      </c>
      <c r="BA1031">
        <f>$C1031*BA1030</f>
        <v/>
      </c>
      <c r="BB1031">
        <f>$C1031*BB1030</f>
        <v/>
      </c>
      <c r="BC1031">
        <f>$C1031*BC1030</f>
        <v/>
      </c>
      <c r="BD1031">
        <f>$C1031*BD1030</f>
        <v/>
      </c>
      <c r="BE1031">
        <f>$C1031*BE1030</f>
        <v/>
      </c>
      <c r="BF1031">
        <f>$C1031*BF1030</f>
        <v/>
      </c>
      <c r="BG1031">
        <f>$C1031*BG1030</f>
        <v/>
      </c>
      <c r="BH1031">
        <f>$C1031*BH1030</f>
        <v/>
      </c>
      <c r="BI1031">
        <f>$C1031*BI1030</f>
        <v/>
      </c>
      <c r="BJ1031">
        <f>$C1031*BJ1030</f>
        <v/>
      </c>
      <c r="BK1031">
        <f>$C1031*BK1030</f>
        <v/>
      </c>
      <c r="BL1031">
        <f>$C1031*BL1030</f>
        <v/>
      </c>
      <c r="BM1031">
        <f>$C1031*BM1030</f>
        <v/>
      </c>
      <c r="BN1031">
        <f>$C1031*BN1030</f>
        <v/>
      </c>
      <c r="BO1031">
        <f>$C1031*BO1030</f>
        <v/>
      </c>
      <c r="BP1031">
        <f>$C1031*BP1030</f>
        <v/>
      </c>
      <c r="BQ1031">
        <f>$C1031*BQ1030</f>
        <v/>
      </c>
      <c r="BR1031">
        <f>$C1031*BR1030</f>
        <v/>
      </c>
      <c r="BS1031">
        <f>$C1031*BS1030</f>
        <v/>
      </c>
      <c r="BT1031">
        <f>$C1031*BT1030</f>
        <v/>
      </c>
      <c r="BU1031">
        <f>$C1031*BU1030</f>
        <v/>
      </c>
      <c r="BV1031">
        <f>$C1031*BV1030</f>
        <v/>
      </c>
      <c r="BW1031">
        <f>$C1031*BW1030</f>
        <v/>
      </c>
      <c r="BX1031">
        <f>$C1031*BX1030</f>
        <v/>
      </c>
      <c r="BY1031">
        <f>$C1031*BY1030</f>
        <v/>
      </c>
      <c r="BZ1031">
        <f>$C1031*BZ1030</f>
        <v/>
      </c>
      <c r="CA1031">
        <f>$C1031*CA1030</f>
        <v/>
      </c>
      <c r="CB1031">
        <f>$C1031*CB1030</f>
        <v/>
      </c>
      <c r="CC1031">
        <f>$C1031*CC1030</f>
        <v/>
      </c>
      <c r="CD1031">
        <f>$C1031*CD1030</f>
        <v/>
      </c>
      <c r="CE1031">
        <f>$C1031*CE1030</f>
        <v/>
      </c>
      <c r="CF1031">
        <f>$C1031*CF1030</f>
        <v/>
      </c>
      <c r="CG1031">
        <f>$C1031*CG1030</f>
        <v/>
      </c>
      <c r="CH1031">
        <f>$C1031*CH1030</f>
        <v/>
      </c>
      <c r="CI1031">
        <f>$C1031*CI1030</f>
        <v/>
      </c>
      <c r="CJ1031">
        <f>$C1031*CJ1030</f>
        <v/>
      </c>
      <c r="CK1031">
        <f>$C1031*CK1030</f>
        <v/>
      </c>
      <c r="CL1031">
        <f>$C1031*CL1030</f>
        <v/>
      </c>
      <c r="CM1031">
        <f>$C1031*CM1030</f>
        <v/>
      </c>
      <c r="CN1031">
        <f>$C1031*CN1030</f>
        <v/>
      </c>
      <c r="CO1031">
        <f>$C1031*CO1030</f>
        <v/>
      </c>
      <c r="CP1031">
        <f>$C1031*CP1030</f>
        <v/>
      </c>
      <c r="CQ1031">
        <f>$C1031*CQ1030</f>
        <v/>
      </c>
      <c r="CR1031">
        <f>$C1031*CR1030</f>
        <v/>
      </c>
      <c r="CS1031">
        <f>$C1031*CS1030</f>
        <v/>
      </c>
      <c r="CT1031">
        <f>$C1031*CT1030</f>
        <v/>
      </c>
      <c r="CU1031">
        <f>$C1031*CU1030</f>
        <v/>
      </c>
      <c r="CV1031">
        <f>$C1031*CV1030</f>
        <v/>
      </c>
      <c r="CW1031">
        <f>$C1031*CW1030</f>
        <v/>
      </c>
      <c r="CX1031">
        <f>$C1031*CX1030</f>
        <v/>
      </c>
      <c r="CY1031">
        <f>$C1031*CY1030</f>
        <v/>
      </c>
      <c r="CZ1031">
        <f>$C1031*CZ1030</f>
        <v/>
      </c>
      <c r="DA1031">
        <f>$C1031*DA1030</f>
        <v/>
      </c>
      <c r="DB1031">
        <f>$C1031*DB1030</f>
        <v/>
      </c>
      <c r="DC1031">
        <f>$C1031*DC1030</f>
        <v/>
      </c>
      <c r="DD1031">
        <f>$C1031*DD1030</f>
        <v/>
      </c>
    </row>
    <row r="1032">
      <c r="B1032" t="inlineStr">
        <is>
          <t>TSP-668</t>
        </is>
      </c>
      <c r="C1032" t="inlineStr">
        <is>
          <t>No. of batches</t>
        </is>
      </c>
      <c r="D1032">
        <f>IFERROR(INDEX(E1032:DD1032,$F$1),"")</f>
        <v/>
      </c>
      <c r="E1032">
        <f>IFERROR(INDEX(PP_Grid[#Data],$DE1032,2),0)</f>
        <v/>
      </c>
      <c r="F1032">
        <f>IFERROR(INDEX(PP_Grid[#Data],$DE1032,3),0)</f>
        <v/>
      </c>
      <c r="G1032">
        <f>IFERROR(INDEX(PP_Grid[#Data],$DE1032,4),0)</f>
        <v/>
      </c>
      <c r="H1032">
        <f>IFERROR(INDEX(PP_Grid[#Data],$DE1032,5),0)</f>
        <v/>
      </c>
      <c r="I1032">
        <f>IFERROR(INDEX(PP_Grid[#Data],$DE1032,6),0)</f>
        <v/>
      </c>
      <c r="J1032">
        <f>IFERROR(INDEX(PP_Grid[#Data],$DE1032,7),0)</f>
        <v/>
      </c>
      <c r="K1032">
        <f>IFERROR(INDEX(PP_Grid[#Data],$DE1032,8),0)</f>
        <v/>
      </c>
      <c r="L1032">
        <f>IFERROR(INDEX(PP_Grid[#Data],$DE1032,9),0)</f>
        <v/>
      </c>
      <c r="M1032">
        <f>IFERROR(INDEX(PP_Grid[#Data],$DE1032,10),0)</f>
        <v/>
      </c>
      <c r="N1032">
        <f>IFERROR(INDEX(PP_Grid[#Data],$DE1032,11),0)</f>
        <v/>
      </c>
      <c r="O1032">
        <f>IFERROR(INDEX(PP_Grid[#Data],$DE1032,12),0)</f>
        <v/>
      </c>
      <c r="P1032">
        <f>IFERROR(INDEX(PP_Grid[#Data],$DE1032,13),0)</f>
        <v/>
      </c>
      <c r="Q1032">
        <f>IFERROR(INDEX(PP_Grid[#Data],$DE1032,14),0)</f>
        <v/>
      </c>
      <c r="R1032">
        <f>IFERROR(INDEX(PP_Grid[#Data],$DE1032,15),0)</f>
        <v/>
      </c>
      <c r="S1032">
        <f>IFERROR(INDEX(PP_Grid[#Data],$DE1032,16),0)</f>
        <v/>
      </c>
      <c r="T1032">
        <f>IFERROR(INDEX(PP_Grid[#Data],$DE1032,17),0)</f>
        <v/>
      </c>
      <c r="U1032">
        <f>IFERROR(INDEX(PP_Grid[#Data],$DE1032,18),0)</f>
        <v/>
      </c>
      <c r="V1032">
        <f>IFERROR(INDEX(PP_Grid[#Data],$DE1032,19),0)</f>
        <v/>
      </c>
      <c r="W1032">
        <f>IFERROR(INDEX(PP_Grid[#Data],$DE1032,20),0)</f>
        <v/>
      </c>
      <c r="X1032">
        <f>IFERROR(INDEX(PP_Grid[#Data],$DE1032,21),0)</f>
        <v/>
      </c>
      <c r="Y1032">
        <f>IFERROR(INDEX(PP_Grid[#Data],$DE1032,22),0)</f>
        <v/>
      </c>
      <c r="Z1032">
        <f>IFERROR(INDEX(PP_Grid[#Data],$DE1032,23),0)</f>
        <v/>
      </c>
      <c r="AA1032">
        <f>IFERROR(INDEX(PP_Grid[#Data],$DE1032,24),0)</f>
        <v/>
      </c>
      <c r="AB1032">
        <f>IFERROR(INDEX(PP_Grid[#Data],$DE1032,25),0)</f>
        <v/>
      </c>
      <c r="AC1032">
        <f>IFERROR(INDEX(PP_Grid[#Data],$DE1032,26),0)</f>
        <v/>
      </c>
      <c r="AD1032">
        <f>IFERROR(INDEX(PP_Grid[#Data],$DE1032,27),0)</f>
        <v/>
      </c>
      <c r="AE1032">
        <f>IFERROR(INDEX(PP_Grid[#Data],$DE1032,28),0)</f>
        <v/>
      </c>
      <c r="AF1032">
        <f>IFERROR(INDEX(PP_Grid[#Data],$DE1032,29),0)</f>
        <v/>
      </c>
      <c r="AG1032">
        <f>IFERROR(INDEX(PP_Grid[#Data],$DE1032,30),0)</f>
        <v/>
      </c>
      <c r="AH1032">
        <f>IFERROR(INDEX(PP_Grid[#Data],$DE1032,31),0)</f>
        <v/>
      </c>
      <c r="AI1032">
        <f>IFERROR(INDEX(PP_Grid[#Data],$DE1032,32),0)</f>
        <v/>
      </c>
      <c r="AJ1032">
        <f>IFERROR(INDEX(PP_Grid[#Data],$DE1032,33),0)</f>
        <v/>
      </c>
      <c r="AK1032">
        <f>IFERROR(INDEX(PP_Grid[#Data],$DE1032,34),0)</f>
        <v/>
      </c>
      <c r="AL1032">
        <f>IFERROR(INDEX(PP_Grid[#Data],$DE1032,35),0)</f>
        <v/>
      </c>
      <c r="AM1032">
        <f>IFERROR(INDEX(PP_Grid[#Data],$DE1032,36),0)</f>
        <v/>
      </c>
      <c r="AN1032">
        <f>IFERROR(INDEX(PP_Grid[#Data],$DE1032,37),0)</f>
        <v/>
      </c>
      <c r="AO1032">
        <f>IFERROR(INDEX(PP_Grid[#Data],$DE1032,38),0)</f>
        <v/>
      </c>
      <c r="AP1032">
        <f>IFERROR(INDEX(PP_Grid[#Data],$DE1032,39),0)</f>
        <v/>
      </c>
      <c r="AQ1032">
        <f>IFERROR(INDEX(PP_Grid[#Data],$DE1032,40),0)</f>
        <v/>
      </c>
      <c r="AR1032">
        <f>IFERROR(INDEX(PP_Grid[#Data],$DE1032,41),0)</f>
        <v/>
      </c>
      <c r="AS1032">
        <f>IFERROR(INDEX(PP_Grid[#Data],$DE1032,42),0)</f>
        <v/>
      </c>
      <c r="AT1032">
        <f>IFERROR(INDEX(PP_Grid[#Data],$DE1032,43),0)</f>
        <v/>
      </c>
      <c r="AU1032">
        <f>IFERROR(INDEX(PP_Grid[#Data],$DE1032,44),0)</f>
        <v/>
      </c>
      <c r="AV1032">
        <f>IFERROR(INDEX(PP_Grid[#Data],$DE1032,45),0)</f>
        <v/>
      </c>
      <c r="AW1032">
        <f>IFERROR(INDEX(PP_Grid[#Data],$DE1032,46),0)</f>
        <v/>
      </c>
      <c r="AX1032">
        <f>IFERROR(INDEX(PP_Grid[#Data],$DE1032,47),0)</f>
        <v/>
      </c>
      <c r="AY1032">
        <f>IFERROR(INDEX(PP_Grid[#Data],$DE1032,48),0)</f>
        <v/>
      </c>
      <c r="AZ1032">
        <f>IFERROR(INDEX(PP_Grid[#Data],$DE1032,49),0)</f>
        <v/>
      </c>
      <c r="BA1032">
        <f>IFERROR(INDEX(PP_Grid[#Data],$DE1032,50),0)</f>
        <v/>
      </c>
      <c r="BB1032">
        <f>IFERROR(INDEX(PP_Grid[#Data],$DE1032,51),0)</f>
        <v/>
      </c>
      <c r="BC1032">
        <f>IFERROR(INDEX(PP_Grid[#Data],$DE1032,52),0)</f>
        <v/>
      </c>
      <c r="BD1032">
        <f>IFERROR(INDEX(PP_Grid[#Data],$DE1032,53),0)</f>
        <v/>
      </c>
      <c r="BE1032">
        <f>IFERROR(INDEX(PP_Grid[#Data],$DE1032,54),0)</f>
        <v/>
      </c>
      <c r="BF1032">
        <f>IFERROR(INDEX(PP_Grid[#Data],$DE1032,55),0)</f>
        <v/>
      </c>
      <c r="BG1032">
        <f>IFERROR(INDEX(PP_Grid[#Data],$DE1032,56),0)</f>
        <v/>
      </c>
      <c r="BH1032">
        <f>IFERROR(INDEX(PP_Grid[#Data],$DE1032,57),0)</f>
        <v/>
      </c>
      <c r="BI1032">
        <f>IFERROR(INDEX(PP_Grid[#Data],$DE1032,58),0)</f>
        <v/>
      </c>
      <c r="BJ1032">
        <f>IFERROR(INDEX(PP_Grid[#Data],$DE1032,59),0)</f>
        <v/>
      </c>
      <c r="BK1032">
        <f>IFERROR(INDEX(PP_Grid[#Data],$DE1032,60),0)</f>
        <v/>
      </c>
      <c r="BL1032">
        <f>IFERROR(INDEX(PP_Grid[#Data],$DE1032,61),0)</f>
        <v/>
      </c>
      <c r="BM1032">
        <f>IFERROR(INDEX(PP_Grid[#Data],$DE1032,62),0)</f>
        <v/>
      </c>
      <c r="BN1032">
        <f>IFERROR(INDEX(PP_Grid[#Data],$DE1032,63),0)</f>
        <v/>
      </c>
      <c r="BO1032">
        <f>IFERROR(INDEX(PP_Grid[#Data],$DE1032,64),0)</f>
        <v/>
      </c>
      <c r="BP1032">
        <f>IFERROR(INDEX(PP_Grid[#Data],$DE1032,65),0)</f>
        <v/>
      </c>
      <c r="BQ1032">
        <f>IFERROR(INDEX(PP_Grid[#Data],$DE1032,66),0)</f>
        <v/>
      </c>
      <c r="BR1032">
        <f>IFERROR(INDEX(PP_Grid[#Data],$DE1032,67),0)</f>
        <v/>
      </c>
      <c r="BS1032">
        <f>IFERROR(INDEX(PP_Grid[#Data],$DE1032,68),0)</f>
        <v/>
      </c>
      <c r="BT1032">
        <f>IFERROR(INDEX(PP_Grid[#Data],$DE1032,69),0)</f>
        <v/>
      </c>
      <c r="BU1032">
        <f>IFERROR(INDEX(PP_Grid[#Data],$DE1032,70),0)</f>
        <v/>
      </c>
      <c r="BV1032">
        <f>IFERROR(INDEX(PP_Grid[#Data],$DE1032,71),0)</f>
        <v/>
      </c>
      <c r="BW1032">
        <f>IFERROR(INDEX(PP_Grid[#Data],$DE1032,72),0)</f>
        <v/>
      </c>
      <c r="BX1032">
        <f>IFERROR(INDEX(PP_Grid[#Data],$DE1032,73),0)</f>
        <v/>
      </c>
      <c r="BY1032">
        <f>IFERROR(INDEX(PP_Grid[#Data],$DE1032,74),0)</f>
        <v/>
      </c>
      <c r="BZ1032">
        <f>IFERROR(INDEX(PP_Grid[#Data],$DE1032,75),0)</f>
        <v/>
      </c>
      <c r="CA1032">
        <f>IFERROR(INDEX(PP_Grid[#Data],$DE1032,76),0)</f>
        <v/>
      </c>
      <c r="CB1032">
        <f>IFERROR(INDEX(PP_Grid[#Data],$DE1032,77),0)</f>
        <v/>
      </c>
      <c r="CC1032">
        <f>IFERROR(INDEX(PP_Grid[#Data],$DE1032,78),0)</f>
        <v/>
      </c>
      <c r="CD1032">
        <f>IFERROR(INDEX(PP_Grid[#Data],$DE1032,79),0)</f>
        <v/>
      </c>
      <c r="CE1032">
        <f>IFERROR(INDEX(PP_Grid[#Data],$DE1032,80),0)</f>
        <v/>
      </c>
      <c r="CF1032">
        <f>IFERROR(INDEX(PP_Grid[#Data],$DE1032,81),0)</f>
        <v/>
      </c>
      <c r="CG1032">
        <f>IFERROR(INDEX(PP_Grid[#Data],$DE1032,82),0)</f>
        <v/>
      </c>
      <c r="CH1032">
        <f>IFERROR(INDEX(PP_Grid[#Data],$DE1032,83),0)</f>
        <v/>
      </c>
      <c r="CI1032">
        <f>IFERROR(INDEX(PP_Grid[#Data],$DE1032,84),0)</f>
        <v/>
      </c>
      <c r="CJ1032">
        <f>IFERROR(INDEX(PP_Grid[#Data],$DE1032,85),0)</f>
        <v/>
      </c>
      <c r="CK1032">
        <f>IFERROR(INDEX(PP_Grid[#Data],$DE1032,86),0)</f>
        <v/>
      </c>
      <c r="CL1032">
        <f>IFERROR(INDEX(PP_Grid[#Data],$DE1032,87),0)</f>
        <v/>
      </c>
      <c r="CM1032">
        <f>IFERROR(INDEX(PP_Grid[#Data],$DE1032,88),0)</f>
        <v/>
      </c>
      <c r="CN1032">
        <f>IFERROR(INDEX(PP_Grid[#Data],$DE1032,89),0)</f>
        <v/>
      </c>
      <c r="CO1032">
        <f>IFERROR(INDEX(PP_Grid[#Data],$DE1032,90),0)</f>
        <v/>
      </c>
      <c r="CP1032">
        <f>IFERROR(INDEX(PP_Grid[#Data],$DE1032,91),0)</f>
        <v/>
      </c>
      <c r="CQ1032">
        <f>IFERROR(INDEX(PP_Grid[#Data],$DE1032,92),0)</f>
        <v/>
      </c>
      <c r="CR1032">
        <f>IFERROR(INDEX(PP_Grid[#Data],$DE1032,93),0)</f>
        <v/>
      </c>
      <c r="CS1032">
        <f>IFERROR(INDEX(PP_Grid[#Data],$DE1032,94),0)</f>
        <v/>
      </c>
      <c r="CT1032">
        <f>IFERROR(INDEX(PP_Grid[#Data],$DE1032,95),0)</f>
        <v/>
      </c>
      <c r="CU1032">
        <f>IFERROR(INDEX(PP_Grid[#Data],$DE1032,96),0)</f>
        <v/>
      </c>
      <c r="CV1032">
        <f>IFERROR(INDEX(PP_Grid[#Data],$DE1032,97),0)</f>
        <v/>
      </c>
      <c r="CW1032">
        <f>IFERROR(INDEX(PP_Grid[#Data],$DE1032,98),0)</f>
        <v/>
      </c>
      <c r="CX1032">
        <f>IFERROR(INDEX(PP_Grid[#Data],$DE1032,99),0)</f>
        <v/>
      </c>
      <c r="CY1032">
        <f>IFERROR(INDEX(PP_Grid[#Data],$DE1032,100),0)</f>
        <v/>
      </c>
      <c r="CZ1032">
        <f>IFERROR(INDEX(PP_Grid[#Data],$DE1032,101),0)</f>
        <v/>
      </c>
      <c r="DA1032">
        <f>IFERROR(INDEX(PP_Grid[#Data],$DE1032,102),0)</f>
        <v/>
      </c>
      <c r="DB1032">
        <f>IFERROR(INDEX(PP_Grid[#Data],$DE1032,103),0)</f>
        <v/>
      </c>
      <c r="DC1032">
        <f>IFERROR(INDEX(PP_Grid[#Data],$DE1032,104),0)</f>
        <v/>
      </c>
      <c r="DD1032">
        <f>IFERROR(INDEX(PP_Grid[#Data],$DE1032,105),0)</f>
        <v/>
      </c>
      <c r="DE1032" s="7">
        <f>IFERROR(MATCH($B1032,PP_Grid[Intermediate],0),99999)</f>
        <v/>
      </c>
    </row>
    <row r="1033">
      <c r="B1033" t="inlineStr">
        <is>
          <t>使用量(kg)</t>
        </is>
      </c>
      <c r="C1033">
        <f>SUMIFS(M_BOM[RM_Qty_Per_Batch],M_BOM[Intermediate],$B1032,M_BOM[RM_Code],$A1025)</f>
        <v/>
      </c>
      <c r="D1033">
        <f>IFERROR(INDEX(E1033:DD1033,$F$1),"")</f>
        <v/>
      </c>
      <c r="E1033">
        <f>$C1033*E1032</f>
        <v/>
      </c>
      <c r="F1033">
        <f>$C1033*F1032</f>
        <v/>
      </c>
      <c r="G1033">
        <f>$C1033*G1032</f>
        <v/>
      </c>
      <c r="H1033">
        <f>$C1033*H1032</f>
        <v/>
      </c>
      <c r="I1033">
        <f>$C1033*I1032</f>
        <v/>
      </c>
      <c r="J1033">
        <f>$C1033*J1032</f>
        <v/>
      </c>
      <c r="K1033">
        <f>$C1033*K1032</f>
        <v/>
      </c>
      <c r="L1033">
        <f>$C1033*L1032</f>
        <v/>
      </c>
      <c r="M1033">
        <f>$C1033*M1032</f>
        <v/>
      </c>
      <c r="N1033">
        <f>$C1033*N1032</f>
        <v/>
      </c>
      <c r="O1033">
        <f>$C1033*O1032</f>
        <v/>
      </c>
      <c r="P1033">
        <f>$C1033*P1032</f>
        <v/>
      </c>
      <c r="Q1033">
        <f>$C1033*Q1032</f>
        <v/>
      </c>
      <c r="R1033">
        <f>$C1033*R1032</f>
        <v/>
      </c>
      <c r="S1033">
        <f>$C1033*S1032</f>
        <v/>
      </c>
      <c r="T1033">
        <f>$C1033*T1032</f>
        <v/>
      </c>
      <c r="U1033">
        <f>$C1033*U1032</f>
        <v/>
      </c>
      <c r="V1033">
        <f>$C1033*V1032</f>
        <v/>
      </c>
      <c r="W1033">
        <f>$C1033*W1032</f>
        <v/>
      </c>
      <c r="X1033">
        <f>$C1033*X1032</f>
        <v/>
      </c>
      <c r="Y1033">
        <f>$C1033*Y1032</f>
        <v/>
      </c>
      <c r="Z1033">
        <f>$C1033*Z1032</f>
        <v/>
      </c>
      <c r="AA1033">
        <f>$C1033*AA1032</f>
        <v/>
      </c>
      <c r="AB1033">
        <f>$C1033*AB1032</f>
        <v/>
      </c>
      <c r="AC1033">
        <f>$C1033*AC1032</f>
        <v/>
      </c>
      <c r="AD1033">
        <f>$C1033*AD1032</f>
        <v/>
      </c>
      <c r="AE1033">
        <f>$C1033*AE1032</f>
        <v/>
      </c>
      <c r="AF1033">
        <f>$C1033*AF1032</f>
        <v/>
      </c>
      <c r="AG1033">
        <f>$C1033*AG1032</f>
        <v/>
      </c>
      <c r="AH1033">
        <f>$C1033*AH1032</f>
        <v/>
      </c>
      <c r="AI1033">
        <f>$C1033*AI1032</f>
        <v/>
      </c>
      <c r="AJ1033">
        <f>$C1033*AJ1032</f>
        <v/>
      </c>
      <c r="AK1033">
        <f>$C1033*AK1032</f>
        <v/>
      </c>
      <c r="AL1033">
        <f>$C1033*AL1032</f>
        <v/>
      </c>
      <c r="AM1033">
        <f>$C1033*AM1032</f>
        <v/>
      </c>
      <c r="AN1033">
        <f>$C1033*AN1032</f>
        <v/>
      </c>
      <c r="AO1033">
        <f>$C1033*AO1032</f>
        <v/>
      </c>
      <c r="AP1033">
        <f>$C1033*AP1032</f>
        <v/>
      </c>
      <c r="AQ1033">
        <f>$C1033*AQ1032</f>
        <v/>
      </c>
      <c r="AR1033">
        <f>$C1033*AR1032</f>
        <v/>
      </c>
      <c r="AS1033">
        <f>$C1033*AS1032</f>
        <v/>
      </c>
      <c r="AT1033">
        <f>$C1033*AT1032</f>
        <v/>
      </c>
      <c r="AU1033">
        <f>$C1033*AU1032</f>
        <v/>
      </c>
      <c r="AV1033">
        <f>$C1033*AV1032</f>
        <v/>
      </c>
      <c r="AW1033">
        <f>$C1033*AW1032</f>
        <v/>
      </c>
      <c r="AX1033">
        <f>$C1033*AX1032</f>
        <v/>
      </c>
      <c r="AY1033">
        <f>$C1033*AY1032</f>
        <v/>
      </c>
      <c r="AZ1033">
        <f>$C1033*AZ1032</f>
        <v/>
      </c>
      <c r="BA1033">
        <f>$C1033*BA1032</f>
        <v/>
      </c>
      <c r="BB1033">
        <f>$C1033*BB1032</f>
        <v/>
      </c>
      <c r="BC1033">
        <f>$C1033*BC1032</f>
        <v/>
      </c>
      <c r="BD1033">
        <f>$C1033*BD1032</f>
        <v/>
      </c>
      <c r="BE1033">
        <f>$C1033*BE1032</f>
        <v/>
      </c>
      <c r="BF1033">
        <f>$C1033*BF1032</f>
        <v/>
      </c>
      <c r="BG1033">
        <f>$C1033*BG1032</f>
        <v/>
      </c>
      <c r="BH1033">
        <f>$C1033*BH1032</f>
        <v/>
      </c>
      <c r="BI1033">
        <f>$C1033*BI1032</f>
        <v/>
      </c>
      <c r="BJ1033">
        <f>$C1033*BJ1032</f>
        <v/>
      </c>
      <c r="BK1033">
        <f>$C1033*BK1032</f>
        <v/>
      </c>
      <c r="BL1033">
        <f>$C1033*BL1032</f>
        <v/>
      </c>
      <c r="BM1033">
        <f>$C1033*BM1032</f>
        <v/>
      </c>
      <c r="BN1033">
        <f>$C1033*BN1032</f>
        <v/>
      </c>
      <c r="BO1033">
        <f>$C1033*BO1032</f>
        <v/>
      </c>
      <c r="BP1033">
        <f>$C1033*BP1032</f>
        <v/>
      </c>
      <c r="BQ1033">
        <f>$C1033*BQ1032</f>
        <v/>
      </c>
      <c r="BR1033">
        <f>$C1033*BR1032</f>
        <v/>
      </c>
      <c r="BS1033">
        <f>$C1033*BS1032</f>
        <v/>
      </c>
      <c r="BT1033">
        <f>$C1033*BT1032</f>
        <v/>
      </c>
      <c r="BU1033">
        <f>$C1033*BU1032</f>
        <v/>
      </c>
      <c r="BV1033">
        <f>$C1033*BV1032</f>
        <v/>
      </c>
      <c r="BW1033">
        <f>$C1033*BW1032</f>
        <v/>
      </c>
      <c r="BX1033">
        <f>$C1033*BX1032</f>
        <v/>
      </c>
      <c r="BY1033">
        <f>$C1033*BY1032</f>
        <v/>
      </c>
      <c r="BZ1033">
        <f>$C1033*BZ1032</f>
        <v/>
      </c>
      <c r="CA1033">
        <f>$C1033*CA1032</f>
        <v/>
      </c>
      <c r="CB1033">
        <f>$C1033*CB1032</f>
        <v/>
      </c>
      <c r="CC1033">
        <f>$C1033*CC1032</f>
        <v/>
      </c>
      <c r="CD1033">
        <f>$C1033*CD1032</f>
        <v/>
      </c>
      <c r="CE1033">
        <f>$C1033*CE1032</f>
        <v/>
      </c>
      <c r="CF1033">
        <f>$C1033*CF1032</f>
        <v/>
      </c>
      <c r="CG1033">
        <f>$C1033*CG1032</f>
        <v/>
      </c>
      <c r="CH1033">
        <f>$C1033*CH1032</f>
        <v/>
      </c>
      <c r="CI1033">
        <f>$C1033*CI1032</f>
        <v/>
      </c>
      <c r="CJ1033">
        <f>$C1033*CJ1032</f>
        <v/>
      </c>
      <c r="CK1033">
        <f>$C1033*CK1032</f>
        <v/>
      </c>
      <c r="CL1033">
        <f>$C1033*CL1032</f>
        <v/>
      </c>
      <c r="CM1033">
        <f>$C1033*CM1032</f>
        <v/>
      </c>
      <c r="CN1033">
        <f>$C1033*CN1032</f>
        <v/>
      </c>
      <c r="CO1033">
        <f>$C1033*CO1032</f>
        <v/>
      </c>
      <c r="CP1033">
        <f>$C1033*CP1032</f>
        <v/>
      </c>
      <c r="CQ1033">
        <f>$C1033*CQ1032</f>
        <v/>
      </c>
      <c r="CR1033">
        <f>$C1033*CR1032</f>
        <v/>
      </c>
      <c r="CS1033">
        <f>$C1033*CS1032</f>
        <v/>
      </c>
      <c r="CT1033">
        <f>$C1033*CT1032</f>
        <v/>
      </c>
      <c r="CU1033">
        <f>$C1033*CU1032</f>
        <v/>
      </c>
      <c r="CV1033">
        <f>$C1033*CV1032</f>
        <v/>
      </c>
      <c r="CW1033">
        <f>$C1033*CW1032</f>
        <v/>
      </c>
      <c r="CX1033">
        <f>$C1033*CX1032</f>
        <v/>
      </c>
      <c r="CY1033">
        <f>$C1033*CY1032</f>
        <v/>
      </c>
      <c r="CZ1033">
        <f>$C1033*CZ1032</f>
        <v/>
      </c>
      <c r="DA1033">
        <f>$C1033*DA1032</f>
        <v/>
      </c>
      <c r="DB1033">
        <f>$C1033*DB1032</f>
        <v/>
      </c>
      <c r="DC1033">
        <f>$C1033*DC1032</f>
        <v/>
      </c>
      <c r="DD1033">
        <f>$C1033*DD1032</f>
        <v/>
      </c>
    </row>
    <row r="1034">
      <c r="B1034" t="inlineStr">
        <is>
          <t>TSP-669</t>
        </is>
      </c>
      <c r="C1034" t="inlineStr">
        <is>
          <t>No. of batches</t>
        </is>
      </c>
      <c r="D1034">
        <f>IFERROR(INDEX(E1034:DD1034,$F$1),"")</f>
        <v/>
      </c>
      <c r="E1034">
        <f>IFERROR(INDEX(PP_Grid[#Data],$DE1034,2),0)</f>
        <v/>
      </c>
      <c r="F1034">
        <f>IFERROR(INDEX(PP_Grid[#Data],$DE1034,3),0)</f>
        <v/>
      </c>
      <c r="G1034">
        <f>IFERROR(INDEX(PP_Grid[#Data],$DE1034,4),0)</f>
        <v/>
      </c>
      <c r="H1034">
        <f>IFERROR(INDEX(PP_Grid[#Data],$DE1034,5),0)</f>
        <v/>
      </c>
      <c r="I1034">
        <f>IFERROR(INDEX(PP_Grid[#Data],$DE1034,6),0)</f>
        <v/>
      </c>
      <c r="J1034">
        <f>IFERROR(INDEX(PP_Grid[#Data],$DE1034,7),0)</f>
        <v/>
      </c>
      <c r="K1034">
        <f>IFERROR(INDEX(PP_Grid[#Data],$DE1034,8),0)</f>
        <v/>
      </c>
      <c r="L1034">
        <f>IFERROR(INDEX(PP_Grid[#Data],$DE1034,9),0)</f>
        <v/>
      </c>
      <c r="M1034">
        <f>IFERROR(INDEX(PP_Grid[#Data],$DE1034,10),0)</f>
        <v/>
      </c>
      <c r="N1034">
        <f>IFERROR(INDEX(PP_Grid[#Data],$DE1034,11),0)</f>
        <v/>
      </c>
      <c r="O1034">
        <f>IFERROR(INDEX(PP_Grid[#Data],$DE1034,12),0)</f>
        <v/>
      </c>
      <c r="P1034">
        <f>IFERROR(INDEX(PP_Grid[#Data],$DE1034,13),0)</f>
        <v/>
      </c>
      <c r="Q1034">
        <f>IFERROR(INDEX(PP_Grid[#Data],$DE1034,14),0)</f>
        <v/>
      </c>
      <c r="R1034">
        <f>IFERROR(INDEX(PP_Grid[#Data],$DE1034,15),0)</f>
        <v/>
      </c>
      <c r="S1034">
        <f>IFERROR(INDEX(PP_Grid[#Data],$DE1034,16),0)</f>
        <v/>
      </c>
      <c r="T1034">
        <f>IFERROR(INDEX(PP_Grid[#Data],$DE1034,17),0)</f>
        <v/>
      </c>
      <c r="U1034">
        <f>IFERROR(INDEX(PP_Grid[#Data],$DE1034,18),0)</f>
        <v/>
      </c>
      <c r="V1034">
        <f>IFERROR(INDEX(PP_Grid[#Data],$DE1034,19),0)</f>
        <v/>
      </c>
      <c r="W1034">
        <f>IFERROR(INDEX(PP_Grid[#Data],$DE1034,20),0)</f>
        <v/>
      </c>
      <c r="X1034">
        <f>IFERROR(INDEX(PP_Grid[#Data],$DE1034,21),0)</f>
        <v/>
      </c>
      <c r="Y1034">
        <f>IFERROR(INDEX(PP_Grid[#Data],$DE1034,22),0)</f>
        <v/>
      </c>
      <c r="Z1034">
        <f>IFERROR(INDEX(PP_Grid[#Data],$DE1034,23),0)</f>
        <v/>
      </c>
      <c r="AA1034">
        <f>IFERROR(INDEX(PP_Grid[#Data],$DE1034,24),0)</f>
        <v/>
      </c>
      <c r="AB1034">
        <f>IFERROR(INDEX(PP_Grid[#Data],$DE1034,25),0)</f>
        <v/>
      </c>
      <c r="AC1034">
        <f>IFERROR(INDEX(PP_Grid[#Data],$DE1034,26),0)</f>
        <v/>
      </c>
      <c r="AD1034">
        <f>IFERROR(INDEX(PP_Grid[#Data],$DE1034,27),0)</f>
        <v/>
      </c>
      <c r="AE1034">
        <f>IFERROR(INDEX(PP_Grid[#Data],$DE1034,28),0)</f>
        <v/>
      </c>
      <c r="AF1034">
        <f>IFERROR(INDEX(PP_Grid[#Data],$DE1034,29),0)</f>
        <v/>
      </c>
      <c r="AG1034">
        <f>IFERROR(INDEX(PP_Grid[#Data],$DE1034,30),0)</f>
        <v/>
      </c>
      <c r="AH1034">
        <f>IFERROR(INDEX(PP_Grid[#Data],$DE1034,31),0)</f>
        <v/>
      </c>
      <c r="AI1034">
        <f>IFERROR(INDEX(PP_Grid[#Data],$DE1034,32),0)</f>
        <v/>
      </c>
      <c r="AJ1034">
        <f>IFERROR(INDEX(PP_Grid[#Data],$DE1034,33),0)</f>
        <v/>
      </c>
      <c r="AK1034">
        <f>IFERROR(INDEX(PP_Grid[#Data],$DE1034,34),0)</f>
        <v/>
      </c>
      <c r="AL1034">
        <f>IFERROR(INDEX(PP_Grid[#Data],$DE1034,35),0)</f>
        <v/>
      </c>
      <c r="AM1034">
        <f>IFERROR(INDEX(PP_Grid[#Data],$DE1034,36),0)</f>
        <v/>
      </c>
      <c r="AN1034">
        <f>IFERROR(INDEX(PP_Grid[#Data],$DE1034,37),0)</f>
        <v/>
      </c>
      <c r="AO1034">
        <f>IFERROR(INDEX(PP_Grid[#Data],$DE1034,38),0)</f>
        <v/>
      </c>
      <c r="AP1034">
        <f>IFERROR(INDEX(PP_Grid[#Data],$DE1034,39),0)</f>
        <v/>
      </c>
      <c r="AQ1034">
        <f>IFERROR(INDEX(PP_Grid[#Data],$DE1034,40),0)</f>
        <v/>
      </c>
      <c r="AR1034">
        <f>IFERROR(INDEX(PP_Grid[#Data],$DE1034,41),0)</f>
        <v/>
      </c>
      <c r="AS1034">
        <f>IFERROR(INDEX(PP_Grid[#Data],$DE1034,42),0)</f>
        <v/>
      </c>
      <c r="AT1034">
        <f>IFERROR(INDEX(PP_Grid[#Data],$DE1034,43),0)</f>
        <v/>
      </c>
      <c r="AU1034">
        <f>IFERROR(INDEX(PP_Grid[#Data],$DE1034,44),0)</f>
        <v/>
      </c>
      <c r="AV1034">
        <f>IFERROR(INDEX(PP_Grid[#Data],$DE1034,45),0)</f>
        <v/>
      </c>
      <c r="AW1034">
        <f>IFERROR(INDEX(PP_Grid[#Data],$DE1034,46),0)</f>
        <v/>
      </c>
      <c r="AX1034">
        <f>IFERROR(INDEX(PP_Grid[#Data],$DE1034,47),0)</f>
        <v/>
      </c>
      <c r="AY1034">
        <f>IFERROR(INDEX(PP_Grid[#Data],$DE1034,48),0)</f>
        <v/>
      </c>
      <c r="AZ1034">
        <f>IFERROR(INDEX(PP_Grid[#Data],$DE1034,49),0)</f>
        <v/>
      </c>
      <c r="BA1034">
        <f>IFERROR(INDEX(PP_Grid[#Data],$DE1034,50),0)</f>
        <v/>
      </c>
      <c r="BB1034">
        <f>IFERROR(INDEX(PP_Grid[#Data],$DE1034,51),0)</f>
        <v/>
      </c>
      <c r="BC1034">
        <f>IFERROR(INDEX(PP_Grid[#Data],$DE1034,52),0)</f>
        <v/>
      </c>
      <c r="BD1034">
        <f>IFERROR(INDEX(PP_Grid[#Data],$DE1034,53),0)</f>
        <v/>
      </c>
      <c r="BE1034">
        <f>IFERROR(INDEX(PP_Grid[#Data],$DE1034,54),0)</f>
        <v/>
      </c>
      <c r="BF1034">
        <f>IFERROR(INDEX(PP_Grid[#Data],$DE1034,55),0)</f>
        <v/>
      </c>
      <c r="BG1034">
        <f>IFERROR(INDEX(PP_Grid[#Data],$DE1034,56),0)</f>
        <v/>
      </c>
      <c r="BH1034">
        <f>IFERROR(INDEX(PP_Grid[#Data],$DE1034,57),0)</f>
        <v/>
      </c>
      <c r="BI1034">
        <f>IFERROR(INDEX(PP_Grid[#Data],$DE1034,58),0)</f>
        <v/>
      </c>
      <c r="BJ1034">
        <f>IFERROR(INDEX(PP_Grid[#Data],$DE1034,59),0)</f>
        <v/>
      </c>
      <c r="BK1034">
        <f>IFERROR(INDEX(PP_Grid[#Data],$DE1034,60),0)</f>
        <v/>
      </c>
      <c r="BL1034">
        <f>IFERROR(INDEX(PP_Grid[#Data],$DE1034,61),0)</f>
        <v/>
      </c>
      <c r="BM1034">
        <f>IFERROR(INDEX(PP_Grid[#Data],$DE1034,62),0)</f>
        <v/>
      </c>
      <c r="BN1034">
        <f>IFERROR(INDEX(PP_Grid[#Data],$DE1034,63),0)</f>
        <v/>
      </c>
      <c r="BO1034">
        <f>IFERROR(INDEX(PP_Grid[#Data],$DE1034,64),0)</f>
        <v/>
      </c>
      <c r="BP1034">
        <f>IFERROR(INDEX(PP_Grid[#Data],$DE1034,65),0)</f>
        <v/>
      </c>
      <c r="BQ1034">
        <f>IFERROR(INDEX(PP_Grid[#Data],$DE1034,66),0)</f>
        <v/>
      </c>
      <c r="BR1034">
        <f>IFERROR(INDEX(PP_Grid[#Data],$DE1034,67),0)</f>
        <v/>
      </c>
      <c r="BS1034">
        <f>IFERROR(INDEX(PP_Grid[#Data],$DE1034,68),0)</f>
        <v/>
      </c>
      <c r="BT1034">
        <f>IFERROR(INDEX(PP_Grid[#Data],$DE1034,69),0)</f>
        <v/>
      </c>
      <c r="BU1034">
        <f>IFERROR(INDEX(PP_Grid[#Data],$DE1034,70),0)</f>
        <v/>
      </c>
      <c r="BV1034">
        <f>IFERROR(INDEX(PP_Grid[#Data],$DE1034,71),0)</f>
        <v/>
      </c>
      <c r="BW1034">
        <f>IFERROR(INDEX(PP_Grid[#Data],$DE1034,72),0)</f>
        <v/>
      </c>
      <c r="BX1034">
        <f>IFERROR(INDEX(PP_Grid[#Data],$DE1034,73),0)</f>
        <v/>
      </c>
      <c r="BY1034">
        <f>IFERROR(INDEX(PP_Grid[#Data],$DE1034,74),0)</f>
        <v/>
      </c>
      <c r="BZ1034">
        <f>IFERROR(INDEX(PP_Grid[#Data],$DE1034,75),0)</f>
        <v/>
      </c>
      <c r="CA1034">
        <f>IFERROR(INDEX(PP_Grid[#Data],$DE1034,76),0)</f>
        <v/>
      </c>
      <c r="CB1034">
        <f>IFERROR(INDEX(PP_Grid[#Data],$DE1034,77),0)</f>
        <v/>
      </c>
      <c r="CC1034">
        <f>IFERROR(INDEX(PP_Grid[#Data],$DE1034,78),0)</f>
        <v/>
      </c>
      <c r="CD1034">
        <f>IFERROR(INDEX(PP_Grid[#Data],$DE1034,79),0)</f>
        <v/>
      </c>
      <c r="CE1034">
        <f>IFERROR(INDEX(PP_Grid[#Data],$DE1034,80),0)</f>
        <v/>
      </c>
      <c r="CF1034">
        <f>IFERROR(INDEX(PP_Grid[#Data],$DE1034,81),0)</f>
        <v/>
      </c>
      <c r="CG1034">
        <f>IFERROR(INDEX(PP_Grid[#Data],$DE1034,82),0)</f>
        <v/>
      </c>
      <c r="CH1034">
        <f>IFERROR(INDEX(PP_Grid[#Data],$DE1034,83),0)</f>
        <v/>
      </c>
      <c r="CI1034">
        <f>IFERROR(INDEX(PP_Grid[#Data],$DE1034,84),0)</f>
        <v/>
      </c>
      <c r="CJ1034">
        <f>IFERROR(INDEX(PP_Grid[#Data],$DE1034,85),0)</f>
        <v/>
      </c>
      <c r="CK1034">
        <f>IFERROR(INDEX(PP_Grid[#Data],$DE1034,86),0)</f>
        <v/>
      </c>
      <c r="CL1034">
        <f>IFERROR(INDEX(PP_Grid[#Data],$DE1034,87),0)</f>
        <v/>
      </c>
      <c r="CM1034">
        <f>IFERROR(INDEX(PP_Grid[#Data],$DE1034,88),0)</f>
        <v/>
      </c>
      <c r="CN1034">
        <f>IFERROR(INDEX(PP_Grid[#Data],$DE1034,89),0)</f>
        <v/>
      </c>
      <c r="CO1034">
        <f>IFERROR(INDEX(PP_Grid[#Data],$DE1034,90),0)</f>
        <v/>
      </c>
      <c r="CP1034">
        <f>IFERROR(INDEX(PP_Grid[#Data],$DE1034,91),0)</f>
        <v/>
      </c>
      <c r="CQ1034">
        <f>IFERROR(INDEX(PP_Grid[#Data],$DE1034,92),0)</f>
        <v/>
      </c>
      <c r="CR1034">
        <f>IFERROR(INDEX(PP_Grid[#Data],$DE1034,93),0)</f>
        <v/>
      </c>
      <c r="CS1034">
        <f>IFERROR(INDEX(PP_Grid[#Data],$DE1034,94),0)</f>
        <v/>
      </c>
      <c r="CT1034">
        <f>IFERROR(INDEX(PP_Grid[#Data],$DE1034,95),0)</f>
        <v/>
      </c>
      <c r="CU1034">
        <f>IFERROR(INDEX(PP_Grid[#Data],$DE1034,96),0)</f>
        <v/>
      </c>
      <c r="CV1034">
        <f>IFERROR(INDEX(PP_Grid[#Data],$DE1034,97),0)</f>
        <v/>
      </c>
      <c r="CW1034">
        <f>IFERROR(INDEX(PP_Grid[#Data],$DE1034,98),0)</f>
        <v/>
      </c>
      <c r="CX1034">
        <f>IFERROR(INDEX(PP_Grid[#Data],$DE1034,99),0)</f>
        <v/>
      </c>
      <c r="CY1034">
        <f>IFERROR(INDEX(PP_Grid[#Data],$DE1034,100),0)</f>
        <v/>
      </c>
      <c r="CZ1034">
        <f>IFERROR(INDEX(PP_Grid[#Data],$DE1034,101),0)</f>
        <v/>
      </c>
      <c r="DA1034">
        <f>IFERROR(INDEX(PP_Grid[#Data],$DE1034,102),0)</f>
        <v/>
      </c>
      <c r="DB1034">
        <f>IFERROR(INDEX(PP_Grid[#Data],$DE1034,103),0)</f>
        <v/>
      </c>
      <c r="DC1034">
        <f>IFERROR(INDEX(PP_Grid[#Data],$DE1034,104),0)</f>
        <v/>
      </c>
      <c r="DD1034">
        <f>IFERROR(INDEX(PP_Grid[#Data],$DE1034,105),0)</f>
        <v/>
      </c>
      <c r="DE1034" s="7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SUMIFS(M_BOM[RM_Qty_Per_Batch],M_BOM[Intermediate],$B1034,M_BOM[RM_Code],$A1025)</f>
        <v/>
      </c>
      <c r="D1035">
        <f>IFERROR(INDEX(E1035:DD1035,$F$1),"")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  <c r="DD1035">
        <f>$C1035*DD1034</f>
        <v/>
      </c>
    </row>
    <row r="1036">
      <c r="B1036" t="inlineStr">
        <is>
          <t>TSP-670</t>
        </is>
      </c>
      <c r="C1036" t="inlineStr">
        <is>
          <t>No. of batches</t>
        </is>
      </c>
      <c r="D1036">
        <f>IFERROR(INDEX(E1036:DD1036,$F$1),"")</f>
        <v/>
      </c>
      <c r="E1036">
        <f>IFERROR(INDEX(PP_Grid[#Data],$DE1036,2),0)</f>
        <v/>
      </c>
      <c r="F1036">
        <f>IFERROR(INDEX(PP_Grid[#Data],$DE1036,3),0)</f>
        <v/>
      </c>
      <c r="G1036">
        <f>IFERROR(INDEX(PP_Grid[#Data],$DE1036,4),0)</f>
        <v/>
      </c>
      <c r="H1036">
        <f>IFERROR(INDEX(PP_Grid[#Data],$DE1036,5),0)</f>
        <v/>
      </c>
      <c r="I1036">
        <f>IFERROR(INDEX(PP_Grid[#Data],$DE1036,6),0)</f>
        <v/>
      </c>
      <c r="J1036">
        <f>IFERROR(INDEX(PP_Grid[#Data],$DE1036,7),0)</f>
        <v/>
      </c>
      <c r="K1036">
        <f>IFERROR(INDEX(PP_Grid[#Data],$DE1036,8),0)</f>
        <v/>
      </c>
      <c r="L1036">
        <f>IFERROR(INDEX(PP_Grid[#Data],$DE1036,9),0)</f>
        <v/>
      </c>
      <c r="M1036">
        <f>IFERROR(INDEX(PP_Grid[#Data],$DE1036,10),0)</f>
        <v/>
      </c>
      <c r="N1036">
        <f>IFERROR(INDEX(PP_Grid[#Data],$DE1036,11),0)</f>
        <v/>
      </c>
      <c r="O1036">
        <f>IFERROR(INDEX(PP_Grid[#Data],$DE1036,12),0)</f>
        <v/>
      </c>
      <c r="P1036">
        <f>IFERROR(INDEX(PP_Grid[#Data],$DE1036,13),0)</f>
        <v/>
      </c>
      <c r="Q1036">
        <f>IFERROR(INDEX(PP_Grid[#Data],$DE1036,14),0)</f>
        <v/>
      </c>
      <c r="R1036">
        <f>IFERROR(INDEX(PP_Grid[#Data],$DE1036,15),0)</f>
        <v/>
      </c>
      <c r="S1036">
        <f>IFERROR(INDEX(PP_Grid[#Data],$DE1036,16),0)</f>
        <v/>
      </c>
      <c r="T1036">
        <f>IFERROR(INDEX(PP_Grid[#Data],$DE1036,17),0)</f>
        <v/>
      </c>
      <c r="U1036">
        <f>IFERROR(INDEX(PP_Grid[#Data],$DE1036,18),0)</f>
        <v/>
      </c>
      <c r="V1036">
        <f>IFERROR(INDEX(PP_Grid[#Data],$DE1036,19),0)</f>
        <v/>
      </c>
      <c r="W1036">
        <f>IFERROR(INDEX(PP_Grid[#Data],$DE1036,20),0)</f>
        <v/>
      </c>
      <c r="X1036">
        <f>IFERROR(INDEX(PP_Grid[#Data],$DE1036,21),0)</f>
        <v/>
      </c>
      <c r="Y1036">
        <f>IFERROR(INDEX(PP_Grid[#Data],$DE1036,22),0)</f>
        <v/>
      </c>
      <c r="Z1036">
        <f>IFERROR(INDEX(PP_Grid[#Data],$DE1036,23),0)</f>
        <v/>
      </c>
      <c r="AA1036">
        <f>IFERROR(INDEX(PP_Grid[#Data],$DE1036,24),0)</f>
        <v/>
      </c>
      <c r="AB1036">
        <f>IFERROR(INDEX(PP_Grid[#Data],$DE1036,25),0)</f>
        <v/>
      </c>
      <c r="AC1036">
        <f>IFERROR(INDEX(PP_Grid[#Data],$DE1036,26),0)</f>
        <v/>
      </c>
      <c r="AD1036">
        <f>IFERROR(INDEX(PP_Grid[#Data],$DE1036,27),0)</f>
        <v/>
      </c>
      <c r="AE1036">
        <f>IFERROR(INDEX(PP_Grid[#Data],$DE1036,28),0)</f>
        <v/>
      </c>
      <c r="AF1036">
        <f>IFERROR(INDEX(PP_Grid[#Data],$DE1036,29),0)</f>
        <v/>
      </c>
      <c r="AG1036">
        <f>IFERROR(INDEX(PP_Grid[#Data],$DE1036,30),0)</f>
        <v/>
      </c>
      <c r="AH1036">
        <f>IFERROR(INDEX(PP_Grid[#Data],$DE1036,31),0)</f>
        <v/>
      </c>
      <c r="AI1036">
        <f>IFERROR(INDEX(PP_Grid[#Data],$DE1036,32),0)</f>
        <v/>
      </c>
      <c r="AJ1036">
        <f>IFERROR(INDEX(PP_Grid[#Data],$DE1036,33),0)</f>
        <v/>
      </c>
      <c r="AK1036">
        <f>IFERROR(INDEX(PP_Grid[#Data],$DE1036,34),0)</f>
        <v/>
      </c>
      <c r="AL1036">
        <f>IFERROR(INDEX(PP_Grid[#Data],$DE1036,35),0)</f>
        <v/>
      </c>
      <c r="AM1036">
        <f>IFERROR(INDEX(PP_Grid[#Data],$DE1036,36),0)</f>
        <v/>
      </c>
      <c r="AN1036">
        <f>IFERROR(INDEX(PP_Grid[#Data],$DE1036,37),0)</f>
        <v/>
      </c>
      <c r="AO1036">
        <f>IFERROR(INDEX(PP_Grid[#Data],$DE1036,38),0)</f>
        <v/>
      </c>
      <c r="AP1036">
        <f>IFERROR(INDEX(PP_Grid[#Data],$DE1036,39),0)</f>
        <v/>
      </c>
      <c r="AQ1036">
        <f>IFERROR(INDEX(PP_Grid[#Data],$DE1036,40),0)</f>
        <v/>
      </c>
      <c r="AR1036">
        <f>IFERROR(INDEX(PP_Grid[#Data],$DE1036,41),0)</f>
        <v/>
      </c>
      <c r="AS1036">
        <f>IFERROR(INDEX(PP_Grid[#Data],$DE1036,42),0)</f>
        <v/>
      </c>
      <c r="AT1036">
        <f>IFERROR(INDEX(PP_Grid[#Data],$DE1036,43),0)</f>
        <v/>
      </c>
      <c r="AU1036">
        <f>IFERROR(INDEX(PP_Grid[#Data],$DE1036,44),0)</f>
        <v/>
      </c>
      <c r="AV1036">
        <f>IFERROR(INDEX(PP_Grid[#Data],$DE1036,45),0)</f>
        <v/>
      </c>
      <c r="AW1036">
        <f>IFERROR(INDEX(PP_Grid[#Data],$DE1036,46),0)</f>
        <v/>
      </c>
      <c r="AX1036">
        <f>IFERROR(INDEX(PP_Grid[#Data],$DE1036,47),0)</f>
        <v/>
      </c>
      <c r="AY1036">
        <f>IFERROR(INDEX(PP_Grid[#Data],$DE1036,48),0)</f>
        <v/>
      </c>
      <c r="AZ1036">
        <f>IFERROR(INDEX(PP_Grid[#Data],$DE1036,49),0)</f>
        <v/>
      </c>
      <c r="BA1036">
        <f>IFERROR(INDEX(PP_Grid[#Data],$DE1036,50),0)</f>
        <v/>
      </c>
      <c r="BB1036">
        <f>IFERROR(INDEX(PP_Grid[#Data],$DE1036,51),0)</f>
        <v/>
      </c>
      <c r="BC1036">
        <f>IFERROR(INDEX(PP_Grid[#Data],$DE1036,52),0)</f>
        <v/>
      </c>
      <c r="BD1036">
        <f>IFERROR(INDEX(PP_Grid[#Data],$DE1036,53),0)</f>
        <v/>
      </c>
      <c r="BE1036">
        <f>IFERROR(INDEX(PP_Grid[#Data],$DE1036,54),0)</f>
        <v/>
      </c>
      <c r="BF1036">
        <f>IFERROR(INDEX(PP_Grid[#Data],$DE1036,55),0)</f>
        <v/>
      </c>
      <c r="BG1036">
        <f>IFERROR(INDEX(PP_Grid[#Data],$DE1036,56),0)</f>
        <v/>
      </c>
      <c r="BH1036">
        <f>IFERROR(INDEX(PP_Grid[#Data],$DE1036,57),0)</f>
        <v/>
      </c>
      <c r="BI1036">
        <f>IFERROR(INDEX(PP_Grid[#Data],$DE1036,58),0)</f>
        <v/>
      </c>
      <c r="BJ1036">
        <f>IFERROR(INDEX(PP_Grid[#Data],$DE1036,59),0)</f>
        <v/>
      </c>
      <c r="BK1036">
        <f>IFERROR(INDEX(PP_Grid[#Data],$DE1036,60),0)</f>
        <v/>
      </c>
      <c r="BL1036">
        <f>IFERROR(INDEX(PP_Grid[#Data],$DE1036,61),0)</f>
        <v/>
      </c>
      <c r="BM1036">
        <f>IFERROR(INDEX(PP_Grid[#Data],$DE1036,62),0)</f>
        <v/>
      </c>
      <c r="BN1036">
        <f>IFERROR(INDEX(PP_Grid[#Data],$DE1036,63),0)</f>
        <v/>
      </c>
      <c r="BO1036">
        <f>IFERROR(INDEX(PP_Grid[#Data],$DE1036,64),0)</f>
        <v/>
      </c>
      <c r="BP1036">
        <f>IFERROR(INDEX(PP_Grid[#Data],$DE1036,65),0)</f>
        <v/>
      </c>
      <c r="BQ1036">
        <f>IFERROR(INDEX(PP_Grid[#Data],$DE1036,66),0)</f>
        <v/>
      </c>
      <c r="BR1036">
        <f>IFERROR(INDEX(PP_Grid[#Data],$DE1036,67),0)</f>
        <v/>
      </c>
      <c r="BS1036">
        <f>IFERROR(INDEX(PP_Grid[#Data],$DE1036,68),0)</f>
        <v/>
      </c>
      <c r="BT1036">
        <f>IFERROR(INDEX(PP_Grid[#Data],$DE1036,69),0)</f>
        <v/>
      </c>
      <c r="BU1036">
        <f>IFERROR(INDEX(PP_Grid[#Data],$DE1036,70),0)</f>
        <v/>
      </c>
      <c r="BV1036">
        <f>IFERROR(INDEX(PP_Grid[#Data],$DE1036,71),0)</f>
        <v/>
      </c>
      <c r="BW1036">
        <f>IFERROR(INDEX(PP_Grid[#Data],$DE1036,72),0)</f>
        <v/>
      </c>
      <c r="BX1036">
        <f>IFERROR(INDEX(PP_Grid[#Data],$DE1036,73),0)</f>
        <v/>
      </c>
      <c r="BY1036">
        <f>IFERROR(INDEX(PP_Grid[#Data],$DE1036,74),0)</f>
        <v/>
      </c>
      <c r="BZ1036">
        <f>IFERROR(INDEX(PP_Grid[#Data],$DE1036,75),0)</f>
        <v/>
      </c>
      <c r="CA1036">
        <f>IFERROR(INDEX(PP_Grid[#Data],$DE1036,76),0)</f>
        <v/>
      </c>
      <c r="CB1036">
        <f>IFERROR(INDEX(PP_Grid[#Data],$DE1036,77),0)</f>
        <v/>
      </c>
      <c r="CC1036">
        <f>IFERROR(INDEX(PP_Grid[#Data],$DE1036,78),0)</f>
        <v/>
      </c>
      <c r="CD1036">
        <f>IFERROR(INDEX(PP_Grid[#Data],$DE1036,79),0)</f>
        <v/>
      </c>
      <c r="CE1036">
        <f>IFERROR(INDEX(PP_Grid[#Data],$DE1036,80),0)</f>
        <v/>
      </c>
      <c r="CF1036">
        <f>IFERROR(INDEX(PP_Grid[#Data],$DE1036,81),0)</f>
        <v/>
      </c>
      <c r="CG1036">
        <f>IFERROR(INDEX(PP_Grid[#Data],$DE1036,82),0)</f>
        <v/>
      </c>
      <c r="CH1036">
        <f>IFERROR(INDEX(PP_Grid[#Data],$DE1036,83),0)</f>
        <v/>
      </c>
      <c r="CI1036">
        <f>IFERROR(INDEX(PP_Grid[#Data],$DE1036,84),0)</f>
        <v/>
      </c>
      <c r="CJ1036">
        <f>IFERROR(INDEX(PP_Grid[#Data],$DE1036,85),0)</f>
        <v/>
      </c>
      <c r="CK1036">
        <f>IFERROR(INDEX(PP_Grid[#Data],$DE1036,86),0)</f>
        <v/>
      </c>
      <c r="CL1036">
        <f>IFERROR(INDEX(PP_Grid[#Data],$DE1036,87),0)</f>
        <v/>
      </c>
      <c r="CM1036">
        <f>IFERROR(INDEX(PP_Grid[#Data],$DE1036,88),0)</f>
        <v/>
      </c>
      <c r="CN1036">
        <f>IFERROR(INDEX(PP_Grid[#Data],$DE1036,89),0)</f>
        <v/>
      </c>
      <c r="CO1036">
        <f>IFERROR(INDEX(PP_Grid[#Data],$DE1036,90),0)</f>
        <v/>
      </c>
      <c r="CP1036">
        <f>IFERROR(INDEX(PP_Grid[#Data],$DE1036,91),0)</f>
        <v/>
      </c>
      <c r="CQ1036">
        <f>IFERROR(INDEX(PP_Grid[#Data],$DE1036,92),0)</f>
        <v/>
      </c>
      <c r="CR1036">
        <f>IFERROR(INDEX(PP_Grid[#Data],$DE1036,93),0)</f>
        <v/>
      </c>
      <c r="CS1036">
        <f>IFERROR(INDEX(PP_Grid[#Data],$DE1036,94),0)</f>
        <v/>
      </c>
      <c r="CT1036">
        <f>IFERROR(INDEX(PP_Grid[#Data],$DE1036,95),0)</f>
        <v/>
      </c>
      <c r="CU1036">
        <f>IFERROR(INDEX(PP_Grid[#Data],$DE1036,96),0)</f>
        <v/>
      </c>
      <c r="CV1036">
        <f>IFERROR(INDEX(PP_Grid[#Data],$DE1036,97),0)</f>
        <v/>
      </c>
      <c r="CW1036">
        <f>IFERROR(INDEX(PP_Grid[#Data],$DE1036,98),0)</f>
        <v/>
      </c>
      <c r="CX1036">
        <f>IFERROR(INDEX(PP_Grid[#Data],$DE1036,99),0)</f>
        <v/>
      </c>
      <c r="CY1036">
        <f>IFERROR(INDEX(PP_Grid[#Data],$DE1036,100),0)</f>
        <v/>
      </c>
      <c r="CZ1036">
        <f>IFERROR(INDEX(PP_Grid[#Data],$DE1036,101),0)</f>
        <v/>
      </c>
      <c r="DA1036">
        <f>IFERROR(INDEX(PP_Grid[#Data],$DE1036,102),0)</f>
        <v/>
      </c>
      <c r="DB1036">
        <f>IFERROR(INDEX(PP_Grid[#Data],$DE1036,103),0)</f>
        <v/>
      </c>
      <c r="DC1036">
        <f>IFERROR(INDEX(PP_Grid[#Data],$DE1036,104),0)</f>
        <v/>
      </c>
      <c r="DD1036">
        <f>IFERROR(INDEX(PP_Grid[#Data],$DE1036,105),0)</f>
        <v/>
      </c>
      <c r="DE1036" s="7">
        <f>IFERROR(MATCH($B1036,PP_Grid[Intermediate],0),99999)</f>
        <v/>
      </c>
    </row>
    <row r="1037">
      <c r="B1037" t="inlineStr">
        <is>
          <t>使用量(kg)</t>
        </is>
      </c>
      <c r="C1037">
        <f>SUMIFS(M_BOM[RM_Qty_Per_Batch],M_BOM[Intermediate],$B1036,M_BOM[RM_Code],$A1025)</f>
        <v/>
      </c>
      <c r="D1037">
        <f>IFERROR(INDEX(E1037:DD1037,$F$1),"")</f>
        <v/>
      </c>
      <c r="E1037">
        <f>$C1037*E1036</f>
        <v/>
      </c>
      <c r="F1037">
        <f>$C1037*F1036</f>
        <v/>
      </c>
      <c r="G1037">
        <f>$C1037*G1036</f>
        <v/>
      </c>
      <c r="H1037">
        <f>$C1037*H1036</f>
        <v/>
      </c>
      <c r="I1037">
        <f>$C1037*I1036</f>
        <v/>
      </c>
      <c r="J1037">
        <f>$C1037*J1036</f>
        <v/>
      </c>
      <c r="K1037">
        <f>$C1037*K1036</f>
        <v/>
      </c>
      <c r="L1037">
        <f>$C1037*L1036</f>
        <v/>
      </c>
      <c r="M1037">
        <f>$C1037*M1036</f>
        <v/>
      </c>
      <c r="N1037">
        <f>$C1037*N1036</f>
        <v/>
      </c>
      <c r="O1037">
        <f>$C1037*O1036</f>
        <v/>
      </c>
      <c r="P1037">
        <f>$C1037*P1036</f>
        <v/>
      </c>
      <c r="Q1037">
        <f>$C1037*Q1036</f>
        <v/>
      </c>
      <c r="R1037">
        <f>$C1037*R1036</f>
        <v/>
      </c>
      <c r="S1037">
        <f>$C1037*S1036</f>
        <v/>
      </c>
      <c r="T1037">
        <f>$C1037*T1036</f>
        <v/>
      </c>
      <c r="U1037">
        <f>$C1037*U1036</f>
        <v/>
      </c>
      <c r="V1037">
        <f>$C1037*V1036</f>
        <v/>
      </c>
      <c r="W1037">
        <f>$C1037*W1036</f>
        <v/>
      </c>
      <c r="X1037">
        <f>$C1037*X1036</f>
        <v/>
      </c>
      <c r="Y1037">
        <f>$C1037*Y1036</f>
        <v/>
      </c>
      <c r="Z1037">
        <f>$C1037*Z1036</f>
        <v/>
      </c>
      <c r="AA1037">
        <f>$C1037*AA1036</f>
        <v/>
      </c>
      <c r="AB1037">
        <f>$C1037*AB1036</f>
        <v/>
      </c>
      <c r="AC1037">
        <f>$C1037*AC1036</f>
        <v/>
      </c>
      <c r="AD1037">
        <f>$C1037*AD1036</f>
        <v/>
      </c>
      <c r="AE1037">
        <f>$C1037*AE1036</f>
        <v/>
      </c>
      <c r="AF1037">
        <f>$C1037*AF1036</f>
        <v/>
      </c>
      <c r="AG1037">
        <f>$C1037*AG1036</f>
        <v/>
      </c>
      <c r="AH1037">
        <f>$C1037*AH1036</f>
        <v/>
      </c>
      <c r="AI1037">
        <f>$C1037*AI1036</f>
        <v/>
      </c>
      <c r="AJ1037">
        <f>$C1037*AJ1036</f>
        <v/>
      </c>
      <c r="AK1037">
        <f>$C1037*AK1036</f>
        <v/>
      </c>
      <c r="AL1037">
        <f>$C1037*AL1036</f>
        <v/>
      </c>
      <c r="AM1037">
        <f>$C1037*AM1036</f>
        <v/>
      </c>
      <c r="AN1037">
        <f>$C1037*AN1036</f>
        <v/>
      </c>
      <c r="AO1037">
        <f>$C1037*AO1036</f>
        <v/>
      </c>
      <c r="AP1037">
        <f>$C1037*AP1036</f>
        <v/>
      </c>
      <c r="AQ1037">
        <f>$C1037*AQ1036</f>
        <v/>
      </c>
      <c r="AR1037">
        <f>$C1037*AR1036</f>
        <v/>
      </c>
      <c r="AS1037">
        <f>$C1037*AS1036</f>
        <v/>
      </c>
      <c r="AT1037">
        <f>$C1037*AT1036</f>
        <v/>
      </c>
      <c r="AU1037">
        <f>$C1037*AU1036</f>
        <v/>
      </c>
      <c r="AV1037">
        <f>$C1037*AV1036</f>
        <v/>
      </c>
      <c r="AW1037">
        <f>$C1037*AW1036</f>
        <v/>
      </c>
      <c r="AX1037">
        <f>$C1037*AX1036</f>
        <v/>
      </c>
      <c r="AY1037">
        <f>$C1037*AY1036</f>
        <v/>
      </c>
      <c r="AZ1037">
        <f>$C1037*AZ1036</f>
        <v/>
      </c>
      <c r="BA1037">
        <f>$C1037*BA1036</f>
        <v/>
      </c>
      <c r="BB1037">
        <f>$C1037*BB1036</f>
        <v/>
      </c>
      <c r="BC1037">
        <f>$C1037*BC1036</f>
        <v/>
      </c>
      <c r="BD1037">
        <f>$C1037*BD1036</f>
        <v/>
      </c>
      <c r="BE1037">
        <f>$C1037*BE1036</f>
        <v/>
      </c>
      <c r="BF1037">
        <f>$C1037*BF1036</f>
        <v/>
      </c>
      <c r="BG1037">
        <f>$C1037*BG1036</f>
        <v/>
      </c>
      <c r="BH1037">
        <f>$C1037*BH1036</f>
        <v/>
      </c>
      <c r="BI1037">
        <f>$C1037*BI1036</f>
        <v/>
      </c>
      <c r="BJ1037">
        <f>$C1037*BJ1036</f>
        <v/>
      </c>
      <c r="BK1037">
        <f>$C1037*BK1036</f>
        <v/>
      </c>
      <c r="BL1037">
        <f>$C1037*BL1036</f>
        <v/>
      </c>
      <c r="BM1037">
        <f>$C1037*BM1036</f>
        <v/>
      </c>
      <c r="BN1037">
        <f>$C1037*BN1036</f>
        <v/>
      </c>
      <c r="BO1037">
        <f>$C1037*BO1036</f>
        <v/>
      </c>
      <c r="BP1037">
        <f>$C1037*BP1036</f>
        <v/>
      </c>
      <c r="BQ1037">
        <f>$C1037*BQ1036</f>
        <v/>
      </c>
      <c r="BR1037">
        <f>$C1037*BR1036</f>
        <v/>
      </c>
      <c r="BS1037">
        <f>$C1037*BS1036</f>
        <v/>
      </c>
      <c r="BT1037">
        <f>$C1037*BT1036</f>
        <v/>
      </c>
      <c r="BU1037">
        <f>$C1037*BU1036</f>
        <v/>
      </c>
      <c r="BV1037">
        <f>$C1037*BV1036</f>
        <v/>
      </c>
      <c r="BW1037">
        <f>$C1037*BW1036</f>
        <v/>
      </c>
      <c r="BX1037">
        <f>$C1037*BX1036</f>
        <v/>
      </c>
      <c r="BY1037">
        <f>$C1037*BY1036</f>
        <v/>
      </c>
      <c r="BZ1037">
        <f>$C1037*BZ1036</f>
        <v/>
      </c>
      <c r="CA1037">
        <f>$C1037*CA1036</f>
        <v/>
      </c>
      <c r="CB1037">
        <f>$C1037*CB1036</f>
        <v/>
      </c>
      <c r="CC1037">
        <f>$C1037*CC1036</f>
        <v/>
      </c>
      <c r="CD1037">
        <f>$C1037*CD1036</f>
        <v/>
      </c>
      <c r="CE1037">
        <f>$C1037*CE1036</f>
        <v/>
      </c>
      <c r="CF1037">
        <f>$C1037*CF1036</f>
        <v/>
      </c>
      <c r="CG1037">
        <f>$C1037*CG1036</f>
        <v/>
      </c>
      <c r="CH1037">
        <f>$C1037*CH1036</f>
        <v/>
      </c>
      <c r="CI1037">
        <f>$C1037*CI1036</f>
        <v/>
      </c>
      <c r="CJ1037">
        <f>$C1037*CJ1036</f>
        <v/>
      </c>
      <c r="CK1037">
        <f>$C1037*CK1036</f>
        <v/>
      </c>
      <c r="CL1037">
        <f>$C1037*CL1036</f>
        <v/>
      </c>
      <c r="CM1037">
        <f>$C1037*CM1036</f>
        <v/>
      </c>
      <c r="CN1037">
        <f>$C1037*CN1036</f>
        <v/>
      </c>
      <c r="CO1037">
        <f>$C1037*CO1036</f>
        <v/>
      </c>
      <c r="CP1037">
        <f>$C1037*CP1036</f>
        <v/>
      </c>
      <c r="CQ1037">
        <f>$C1037*CQ1036</f>
        <v/>
      </c>
      <c r="CR1037">
        <f>$C1037*CR1036</f>
        <v/>
      </c>
      <c r="CS1037">
        <f>$C1037*CS1036</f>
        <v/>
      </c>
      <c r="CT1037">
        <f>$C1037*CT1036</f>
        <v/>
      </c>
      <c r="CU1037">
        <f>$C1037*CU1036</f>
        <v/>
      </c>
      <c r="CV1037">
        <f>$C1037*CV1036</f>
        <v/>
      </c>
      <c r="CW1037">
        <f>$C1037*CW1036</f>
        <v/>
      </c>
      <c r="CX1037">
        <f>$C1037*CX1036</f>
        <v/>
      </c>
      <c r="CY1037">
        <f>$C1037*CY1036</f>
        <v/>
      </c>
      <c r="CZ1037">
        <f>$C1037*CZ1036</f>
        <v/>
      </c>
      <c r="DA1037">
        <f>$C1037*DA1036</f>
        <v/>
      </c>
      <c r="DB1037">
        <f>$C1037*DB1036</f>
        <v/>
      </c>
      <c r="DC1037">
        <f>$C1037*DC1036</f>
        <v/>
      </c>
      <c r="DD1037">
        <f>$C1037*DD1036</f>
        <v/>
      </c>
    </row>
    <row r="1038">
      <c r="B1038" t="inlineStr">
        <is>
          <t>TSP-699</t>
        </is>
      </c>
      <c r="C1038" t="inlineStr">
        <is>
          <t>No. of batches</t>
        </is>
      </c>
      <c r="D1038">
        <f>IFERROR(INDEX(E1038:DD1038,$F$1),"")</f>
        <v/>
      </c>
      <c r="E1038">
        <f>IFERROR(INDEX(PP_Grid[#Data],$DE1038,2),0)</f>
        <v/>
      </c>
      <c r="F1038">
        <f>IFERROR(INDEX(PP_Grid[#Data],$DE1038,3),0)</f>
        <v/>
      </c>
      <c r="G1038">
        <f>IFERROR(INDEX(PP_Grid[#Data],$DE1038,4),0)</f>
        <v/>
      </c>
      <c r="H1038">
        <f>IFERROR(INDEX(PP_Grid[#Data],$DE1038,5),0)</f>
        <v/>
      </c>
      <c r="I1038">
        <f>IFERROR(INDEX(PP_Grid[#Data],$DE1038,6),0)</f>
        <v/>
      </c>
      <c r="J1038">
        <f>IFERROR(INDEX(PP_Grid[#Data],$DE1038,7),0)</f>
        <v/>
      </c>
      <c r="K1038">
        <f>IFERROR(INDEX(PP_Grid[#Data],$DE1038,8),0)</f>
        <v/>
      </c>
      <c r="L1038">
        <f>IFERROR(INDEX(PP_Grid[#Data],$DE1038,9),0)</f>
        <v/>
      </c>
      <c r="M1038">
        <f>IFERROR(INDEX(PP_Grid[#Data],$DE1038,10),0)</f>
        <v/>
      </c>
      <c r="N1038">
        <f>IFERROR(INDEX(PP_Grid[#Data],$DE1038,11),0)</f>
        <v/>
      </c>
      <c r="O1038">
        <f>IFERROR(INDEX(PP_Grid[#Data],$DE1038,12),0)</f>
        <v/>
      </c>
      <c r="P1038">
        <f>IFERROR(INDEX(PP_Grid[#Data],$DE1038,13),0)</f>
        <v/>
      </c>
      <c r="Q1038">
        <f>IFERROR(INDEX(PP_Grid[#Data],$DE1038,14),0)</f>
        <v/>
      </c>
      <c r="R1038">
        <f>IFERROR(INDEX(PP_Grid[#Data],$DE1038,15),0)</f>
        <v/>
      </c>
      <c r="S1038">
        <f>IFERROR(INDEX(PP_Grid[#Data],$DE1038,16),0)</f>
        <v/>
      </c>
      <c r="T1038">
        <f>IFERROR(INDEX(PP_Grid[#Data],$DE1038,17),0)</f>
        <v/>
      </c>
      <c r="U1038">
        <f>IFERROR(INDEX(PP_Grid[#Data],$DE1038,18),0)</f>
        <v/>
      </c>
      <c r="V1038">
        <f>IFERROR(INDEX(PP_Grid[#Data],$DE1038,19),0)</f>
        <v/>
      </c>
      <c r="W1038">
        <f>IFERROR(INDEX(PP_Grid[#Data],$DE1038,20),0)</f>
        <v/>
      </c>
      <c r="X1038">
        <f>IFERROR(INDEX(PP_Grid[#Data],$DE1038,21),0)</f>
        <v/>
      </c>
      <c r="Y1038">
        <f>IFERROR(INDEX(PP_Grid[#Data],$DE1038,22),0)</f>
        <v/>
      </c>
      <c r="Z1038">
        <f>IFERROR(INDEX(PP_Grid[#Data],$DE1038,23),0)</f>
        <v/>
      </c>
      <c r="AA1038">
        <f>IFERROR(INDEX(PP_Grid[#Data],$DE1038,24),0)</f>
        <v/>
      </c>
      <c r="AB1038">
        <f>IFERROR(INDEX(PP_Grid[#Data],$DE1038,25),0)</f>
        <v/>
      </c>
      <c r="AC1038">
        <f>IFERROR(INDEX(PP_Grid[#Data],$DE1038,26),0)</f>
        <v/>
      </c>
      <c r="AD1038">
        <f>IFERROR(INDEX(PP_Grid[#Data],$DE1038,27),0)</f>
        <v/>
      </c>
      <c r="AE1038">
        <f>IFERROR(INDEX(PP_Grid[#Data],$DE1038,28),0)</f>
        <v/>
      </c>
      <c r="AF1038">
        <f>IFERROR(INDEX(PP_Grid[#Data],$DE1038,29),0)</f>
        <v/>
      </c>
      <c r="AG1038">
        <f>IFERROR(INDEX(PP_Grid[#Data],$DE1038,30),0)</f>
        <v/>
      </c>
      <c r="AH1038">
        <f>IFERROR(INDEX(PP_Grid[#Data],$DE1038,31),0)</f>
        <v/>
      </c>
      <c r="AI1038">
        <f>IFERROR(INDEX(PP_Grid[#Data],$DE1038,32),0)</f>
        <v/>
      </c>
      <c r="AJ1038">
        <f>IFERROR(INDEX(PP_Grid[#Data],$DE1038,33),0)</f>
        <v/>
      </c>
      <c r="AK1038">
        <f>IFERROR(INDEX(PP_Grid[#Data],$DE1038,34),0)</f>
        <v/>
      </c>
      <c r="AL1038">
        <f>IFERROR(INDEX(PP_Grid[#Data],$DE1038,35),0)</f>
        <v/>
      </c>
      <c r="AM1038">
        <f>IFERROR(INDEX(PP_Grid[#Data],$DE1038,36),0)</f>
        <v/>
      </c>
      <c r="AN1038">
        <f>IFERROR(INDEX(PP_Grid[#Data],$DE1038,37),0)</f>
        <v/>
      </c>
      <c r="AO1038">
        <f>IFERROR(INDEX(PP_Grid[#Data],$DE1038,38),0)</f>
        <v/>
      </c>
      <c r="AP1038">
        <f>IFERROR(INDEX(PP_Grid[#Data],$DE1038,39),0)</f>
        <v/>
      </c>
      <c r="AQ1038">
        <f>IFERROR(INDEX(PP_Grid[#Data],$DE1038,40),0)</f>
        <v/>
      </c>
      <c r="AR1038">
        <f>IFERROR(INDEX(PP_Grid[#Data],$DE1038,41),0)</f>
        <v/>
      </c>
      <c r="AS1038">
        <f>IFERROR(INDEX(PP_Grid[#Data],$DE1038,42),0)</f>
        <v/>
      </c>
      <c r="AT1038">
        <f>IFERROR(INDEX(PP_Grid[#Data],$DE1038,43),0)</f>
        <v/>
      </c>
      <c r="AU1038">
        <f>IFERROR(INDEX(PP_Grid[#Data],$DE1038,44),0)</f>
        <v/>
      </c>
      <c r="AV1038">
        <f>IFERROR(INDEX(PP_Grid[#Data],$DE1038,45),0)</f>
        <v/>
      </c>
      <c r="AW1038">
        <f>IFERROR(INDEX(PP_Grid[#Data],$DE1038,46),0)</f>
        <v/>
      </c>
      <c r="AX1038">
        <f>IFERROR(INDEX(PP_Grid[#Data],$DE1038,47),0)</f>
        <v/>
      </c>
      <c r="AY1038">
        <f>IFERROR(INDEX(PP_Grid[#Data],$DE1038,48),0)</f>
        <v/>
      </c>
      <c r="AZ1038">
        <f>IFERROR(INDEX(PP_Grid[#Data],$DE1038,49),0)</f>
        <v/>
      </c>
      <c r="BA1038">
        <f>IFERROR(INDEX(PP_Grid[#Data],$DE1038,50),0)</f>
        <v/>
      </c>
      <c r="BB1038">
        <f>IFERROR(INDEX(PP_Grid[#Data],$DE1038,51),0)</f>
        <v/>
      </c>
      <c r="BC1038">
        <f>IFERROR(INDEX(PP_Grid[#Data],$DE1038,52),0)</f>
        <v/>
      </c>
      <c r="BD1038">
        <f>IFERROR(INDEX(PP_Grid[#Data],$DE1038,53),0)</f>
        <v/>
      </c>
      <c r="BE1038">
        <f>IFERROR(INDEX(PP_Grid[#Data],$DE1038,54),0)</f>
        <v/>
      </c>
      <c r="BF1038">
        <f>IFERROR(INDEX(PP_Grid[#Data],$DE1038,55),0)</f>
        <v/>
      </c>
      <c r="BG1038">
        <f>IFERROR(INDEX(PP_Grid[#Data],$DE1038,56),0)</f>
        <v/>
      </c>
      <c r="BH1038">
        <f>IFERROR(INDEX(PP_Grid[#Data],$DE1038,57),0)</f>
        <v/>
      </c>
      <c r="BI1038">
        <f>IFERROR(INDEX(PP_Grid[#Data],$DE1038,58),0)</f>
        <v/>
      </c>
      <c r="BJ1038">
        <f>IFERROR(INDEX(PP_Grid[#Data],$DE1038,59),0)</f>
        <v/>
      </c>
      <c r="BK1038">
        <f>IFERROR(INDEX(PP_Grid[#Data],$DE1038,60),0)</f>
        <v/>
      </c>
      <c r="BL1038">
        <f>IFERROR(INDEX(PP_Grid[#Data],$DE1038,61),0)</f>
        <v/>
      </c>
      <c r="BM1038">
        <f>IFERROR(INDEX(PP_Grid[#Data],$DE1038,62),0)</f>
        <v/>
      </c>
      <c r="BN1038">
        <f>IFERROR(INDEX(PP_Grid[#Data],$DE1038,63),0)</f>
        <v/>
      </c>
      <c r="BO1038">
        <f>IFERROR(INDEX(PP_Grid[#Data],$DE1038,64),0)</f>
        <v/>
      </c>
      <c r="BP1038">
        <f>IFERROR(INDEX(PP_Grid[#Data],$DE1038,65),0)</f>
        <v/>
      </c>
      <c r="BQ1038">
        <f>IFERROR(INDEX(PP_Grid[#Data],$DE1038,66),0)</f>
        <v/>
      </c>
      <c r="BR1038">
        <f>IFERROR(INDEX(PP_Grid[#Data],$DE1038,67),0)</f>
        <v/>
      </c>
      <c r="BS1038">
        <f>IFERROR(INDEX(PP_Grid[#Data],$DE1038,68),0)</f>
        <v/>
      </c>
      <c r="BT1038">
        <f>IFERROR(INDEX(PP_Grid[#Data],$DE1038,69),0)</f>
        <v/>
      </c>
      <c r="BU1038">
        <f>IFERROR(INDEX(PP_Grid[#Data],$DE1038,70),0)</f>
        <v/>
      </c>
      <c r="BV1038">
        <f>IFERROR(INDEX(PP_Grid[#Data],$DE1038,71),0)</f>
        <v/>
      </c>
      <c r="BW1038">
        <f>IFERROR(INDEX(PP_Grid[#Data],$DE1038,72),0)</f>
        <v/>
      </c>
      <c r="BX1038">
        <f>IFERROR(INDEX(PP_Grid[#Data],$DE1038,73),0)</f>
        <v/>
      </c>
      <c r="BY1038">
        <f>IFERROR(INDEX(PP_Grid[#Data],$DE1038,74),0)</f>
        <v/>
      </c>
      <c r="BZ1038">
        <f>IFERROR(INDEX(PP_Grid[#Data],$DE1038,75),0)</f>
        <v/>
      </c>
      <c r="CA1038">
        <f>IFERROR(INDEX(PP_Grid[#Data],$DE1038,76),0)</f>
        <v/>
      </c>
      <c r="CB1038">
        <f>IFERROR(INDEX(PP_Grid[#Data],$DE1038,77),0)</f>
        <v/>
      </c>
      <c r="CC1038">
        <f>IFERROR(INDEX(PP_Grid[#Data],$DE1038,78),0)</f>
        <v/>
      </c>
      <c r="CD1038">
        <f>IFERROR(INDEX(PP_Grid[#Data],$DE1038,79),0)</f>
        <v/>
      </c>
      <c r="CE1038">
        <f>IFERROR(INDEX(PP_Grid[#Data],$DE1038,80),0)</f>
        <v/>
      </c>
      <c r="CF1038">
        <f>IFERROR(INDEX(PP_Grid[#Data],$DE1038,81),0)</f>
        <v/>
      </c>
      <c r="CG1038">
        <f>IFERROR(INDEX(PP_Grid[#Data],$DE1038,82),0)</f>
        <v/>
      </c>
      <c r="CH1038">
        <f>IFERROR(INDEX(PP_Grid[#Data],$DE1038,83),0)</f>
        <v/>
      </c>
      <c r="CI1038">
        <f>IFERROR(INDEX(PP_Grid[#Data],$DE1038,84),0)</f>
        <v/>
      </c>
      <c r="CJ1038">
        <f>IFERROR(INDEX(PP_Grid[#Data],$DE1038,85),0)</f>
        <v/>
      </c>
      <c r="CK1038">
        <f>IFERROR(INDEX(PP_Grid[#Data],$DE1038,86),0)</f>
        <v/>
      </c>
      <c r="CL1038">
        <f>IFERROR(INDEX(PP_Grid[#Data],$DE1038,87),0)</f>
        <v/>
      </c>
      <c r="CM1038">
        <f>IFERROR(INDEX(PP_Grid[#Data],$DE1038,88),0)</f>
        <v/>
      </c>
      <c r="CN1038">
        <f>IFERROR(INDEX(PP_Grid[#Data],$DE1038,89),0)</f>
        <v/>
      </c>
      <c r="CO1038">
        <f>IFERROR(INDEX(PP_Grid[#Data],$DE1038,90),0)</f>
        <v/>
      </c>
      <c r="CP1038">
        <f>IFERROR(INDEX(PP_Grid[#Data],$DE1038,91),0)</f>
        <v/>
      </c>
      <c r="CQ1038">
        <f>IFERROR(INDEX(PP_Grid[#Data],$DE1038,92),0)</f>
        <v/>
      </c>
      <c r="CR1038">
        <f>IFERROR(INDEX(PP_Grid[#Data],$DE1038,93),0)</f>
        <v/>
      </c>
      <c r="CS1038">
        <f>IFERROR(INDEX(PP_Grid[#Data],$DE1038,94),0)</f>
        <v/>
      </c>
      <c r="CT1038">
        <f>IFERROR(INDEX(PP_Grid[#Data],$DE1038,95),0)</f>
        <v/>
      </c>
      <c r="CU1038">
        <f>IFERROR(INDEX(PP_Grid[#Data],$DE1038,96),0)</f>
        <v/>
      </c>
      <c r="CV1038">
        <f>IFERROR(INDEX(PP_Grid[#Data],$DE1038,97),0)</f>
        <v/>
      </c>
      <c r="CW1038">
        <f>IFERROR(INDEX(PP_Grid[#Data],$DE1038,98),0)</f>
        <v/>
      </c>
      <c r="CX1038">
        <f>IFERROR(INDEX(PP_Grid[#Data],$DE1038,99),0)</f>
        <v/>
      </c>
      <c r="CY1038">
        <f>IFERROR(INDEX(PP_Grid[#Data],$DE1038,100),0)</f>
        <v/>
      </c>
      <c r="CZ1038">
        <f>IFERROR(INDEX(PP_Grid[#Data],$DE1038,101),0)</f>
        <v/>
      </c>
      <c r="DA1038">
        <f>IFERROR(INDEX(PP_Grid[#Data],$DE1038,102),0)</f>
        <v/>
      </c>
      <c r="DB1038">
        <f>IFERROR(INDEX(PP_Grid[#Data],$DE1038,103),0)</f>
        <v/>
      </c>
      <c r="DC1038">
        <f>IFERROR(INDEX(PP_Grid[#Data],$DE1038,104),0)</f>
        <v/>
      </c>
      <c r="DD1038">
        <f>IFERROR(INDEX(PP_Grid[#Data],$DE1038,105),0)</f>
        <v/>
      </c>
      <c r="DE1038" s="7">
        <f>IFERROR(MATCH($B1038,PP_Grid[Intermediate],0),99999)</f>
        <v/>
      </c>
    </row>
    <row r="1039">
      <c r="B1039" t="inlineStr">
        <is>
          <t>使用量(kg)</t>
        </is>
      </c>
      <c r="C1039">
        <f>SUMIFS(M_BOM[RM_Qty_Per_Batch],M_BOM[Intermediate],$B1038,M_BOM[RM_Code],$A1025)</f>
        <v/>
      </c>
      <c r="D1039">
        <f>IFERROR(INDEX(E1039:DD1039,$F$1),"")</f>
        <v/>
      </c>
      <c r="E1039">
        <f>$C1039*E1038</f>
        <v/>
      </c>
      <c r="F1039">
        <f>$C1039*F1038</f>
        <v/>
      </c>
      <c r="G1039">
        <f>$C1039*G1038</f>
        <v/>
      </c>
      <c r="H1039">
        <f>$C1039*H1038</f>
        <v/>
      </c>
      <c r="I1039">
        <f>$C1039*I1038</f>
        <v/>
      </c>
      <c r="J1039">
        <f>$C1039*J1038</f>
        <v/>
      </c>
      <c r="K1039">
        <f>$C1039*K1038</f>
        <v/>
      </c>
      <c r="L1039">
        <f>$C1039*L1038</f>
        <v/>
      </c>
      <c r="M1039">
        <f>$C1039*M1038</f>
        <v/>
      </c>
      <c r="N1039">
        <f>$C1039*N1038</f>
        <v/>
      </c>
      <c r="O1039">
        <f>$C1039*O1038</f>
        <v/>
      </c>
      <c r="P1039">
        <f>$C1039*P1038</f>
        <v/>
      </c>
      <c r="Q1039">
        <f>$C1039*Q1038</f>
        <v/>
      </c>
      <c r="R1039">
        <f>$C1039*R1038</f>
        <v/>
      </c>
      <c r="S1039">
        <f>$C1039*S1038</f>
        <v/>
      </c>
      <c r="T1039">
        <f>$C1039*T1038</f>
        <v/>
      </c>
      <c r="U1039">
        <f>$C1039*U1038</f>
        <v/>
      </c>
      <c r="V1039">
        <f>$C1039*V1038</f>
        <v/>
      </c>
      <c r="W1039">
        <f>$C1039*W1038</f>
        <v/>
      </c>
      <c r="X1039">
        <f>$C1039*X1038</f>
        <v/>
      </c>
      <c r="Y1039">
        <f>$C1039*Y1038</f>
        <v/>
      </c>
      <c r="Z1039">
        <f>$C1039*Z1038</f>
        <v/>
      </c>
      <c r="AA1039">
        <f>$C1039*AA1038</f>
        <v/>
      </c>
      <c r="AB1039">
        <f>$C1039*AB1038</f>
        <v/>
      </c>
      <c r="AC1039">
        <f>$C1039*AC1038</f>
        <v/>
      </c>
      <c r="AD1039">
        <f>$C1039*AD1038</f>
        <v/>
      </c>
      <c r="AE1039">
        <f>$C1039*AE1038</f>
        <v/>
      </c>
      <c r="AF1039">
        <f>$C1039*AF1038</f>
        <v/>
      </c>
      <c r="AG1039">
        <f>$C1039*AG1038</f>
        <v/>
      </c>
      <c r="AH1039">
        <f>$C1039*AH1038</f>
        <v/>
      </c>
      <c r="AI1039">
        <f>$C1039*AI1038</f>
        <v/>
      </c>
      <c r="AJ1039">
        <f>$C1039*AJ1038</f>
        <v/>
      </c>
      <c r="AK1039">
        <f>$C1039*AK1038</f>
        <v/>
      </c>
      <c r="AL1039">
        <f>$C1039*AL1038</f>
        <v/>
      </c>
      <c r="AM1039">
        <f>$C1039*AM1038</f>
        <v/>
      </c>
      <c r="AN1039">
        <f>$C1039*AN1038</f>
        <v/>
      </c>
      <c r="AO1039">
        <f>$C1039*AO1038</f>
        <v/>
      </c>
      <c r="AP1039">
        <f>$C1039*AP1038</f>
        <v/>
      </c>
      <c r="AQ1039">
        <f>$C1039*AQ1038</f>
        <v/>
      </c>
      <c r="AR1039">
        <f>$C1039*AR1038</f>
        <v/>
      </c>
      <c r="AS1039">
        <f>$C1039*AS1038</f>
        <v/>
      </c>
      <c r="AT1039">
        <f>$C1039*AT1038</f>
        <v/>
      </c>
      <c r="AU1039">
        <f>$C1039*AU1038</f>
        <v/>
      </c>
      <c r="AV1039">
        <f>$C1039*AV1038</f>
        <v/>
      </c>
      <c r="AW1039">
        <f>$C1039*AW1038</f>
        <v/>
      </c>
      <c r="AX1039">
        <f>$C1039*AX1038</f>
        <v/>
      </c>
      <c r="AY1039">
        <f>$C1039*AY1038</f>
        <v/>
      </c>
      <c r="AZ1039">
        <f>$C1039*AZ1038</f>
        <v/>
      </c>
      <c r="BA1039">
        <f>$C1039*BA1038</f>
        <v/>
      </c>
      <c r="BB1039">
        <f>$C1039*BB1038</f>
        <v/>
      </c>
      <c r="BC1039">
        <f>$C1039*BC1038</f>
        <v/>
      </c>
      <c r="BD1039">
        <f>$C1039*BD1038</f>
        <v/>
      </c>
      <c r="BE1039">
        <f>$C1039*BE1038</f>
        <v/>
      </c>
      <c r="BF1039">
        <f>$C1039*BF1038</f>
        <v/>
      </c>
      <c r="BG1039">
        <f>$C1039*BG1038</f>
        <v/>
      </c>
      <c r="BH1039">
        <f>$C1039*BH1038</f>
        <v/>
      </c>
      <c r="BI1039">
        <f>$C1039*BI1038</f>
        <v/>
      </c>
      <c r="BJ1039">
        <f>$C1039*BJ1038</f>
        <v/>
      </c>
      <c r="BK1039">
        <f>$C1039*BK1038</f>
        <v/>
      </c>
      <c r="BL1039">
        <f>$C1039*BL1038</f>
        <v/>
      </c>
      <c r="BM1039">
        <f>$C1039*BM1038</f>
        <v/>
      </c>
      <c r="BN1039">
        <f>$C1039*BN1038</f>
        <v/>
      </c>
      <c r="BO1039">
        <f>$C1039*BO1038</f>
        <v/>
      </c>
      <c r="BP1039">
        <f>$C1039*BP1038</f>
        <v/>
      </c>
      <c r="BQ1039">
        <f>$C1039*BQ1038</f>
        <v/>
      </c>
      <c r="BR1039">
        <f>$C1039*BR1038</f>
        <v/>
      </c>
      <c r="BS1039">
        <f>$C1039*BS1038</f>
        <v/>
      </c>
      <c r="BT1039">
        <f>$C1039*BT1038</f>
        <v/>
      </c>
      <c r="BU1039">
        <f>$C1039*BU1038</f>
        <v/>
      </c>
      <c r="BV1039">
        <f>$C1039*BV1038</f>
        <v/>
      </c>
      <c r="BW1039">
        <f>$C1039*BW1038</f>
        <v/>
      </c>
      <c r="BX1039">
        <f>$C1039*BX1038</f>
        <v/>
      </c>
      <c r="BY1039">
        <f>$C1039*BY1038</f>
        <v/>
      </c>
      <c r="BZ1039">
        <f>$C1039*BZ1038</f>
        <v/>
      </c>
      <c r="CA1039">
        <f>$C1039*CA1038</f>
        <v/>
      </c>
      <c r="CB1039">
        <f>$C1039*CB1038</f>
        <v/>
      </c>
      <c r="CC1039">
        <f>$C1039*CC1038</f>
        <v/>
      </c>
      <c r="CD1039">
        <f>$C1039*CD1038</f>
        <v/>
      </c>
      <c r="CE1039">
        <f>$C1039*CE1038</f>
        <v/>
      </c>
      <c r="CF1039">
        <f>$C1039*CF1038</f>
        <v/>
      </c>
      <c r="CG1039">
        <f>$C1039*CG1038</f>
        <v/>
      </c>
      <c r="CH1039">
        <f>$C1039*CH1038</f>
        <v/>
      </c>
      <c r="CI1039">
        <f>$C1039*CI1038</f>
        <v/>
      </c>
      <c r="CJ1039">
        <f>$C1039*CJ1038</f>
        <v/>
      </c>
      <c r="CK1039">
        <f>$C1039*CK1038</f>
        <v/>
      </c>
      <c r="CL1039">
        <f>$C1039*CL1038</f>
        <v/>
      </c>
      <c r="CM1039">
        <f>$C1039*CM1038</f>
        <v/>
      </c>
      <c r="CN1039">
        <f>$C1039*CN1038</f>
        <v/>
      </c>
      <c r="CO1039">
        <f>$C1039*CO1038</f>
        <v/>
      </c>
      <c r="CP1039">
        <f>$C1039*CP1038</f>
        <v/>
      </c>
      <c r="CQ1039">
        <f>$C1039*CQ1038</f>
        <v/>
      </c>
      <c r="CR1039">
        <f>$C1039*CR1038</f>
        <v/>
      </c>
      <c r="CS1039">
        <f>$C1039*CS1038</f>
        <v/>
      </c>
      <c r="CT1039">
        <f>$C1039*CT1038</f>
        <v/>
      </c>
      <c r="CU1039">
        <f>$C1039*CU1038</f>
        <v/>
      </c>
      <c r="CV1039">
        <f>$C1039*CV1038</f>
        <v/>
      </c>
      <c r="CW1039">
        <f>$C1039*CW1038</f>
        <v/>
      </c>
      <c r="CX1039">
        <f>$C1039*CX1038</f>
        <v/>
      </c>
      <c r="CY1039">
        <f>$C1039*CY1038</f>
        <v/>
      </c>
      <c r="CZ1039">
        <f>$C1039*CZ1038</f>
        <v/>
      </c>
      <c r="DA1039">
        <f>$C1039*DA1038</f>
        <v/>
      </c>
      <c r="DB1039">
        <f>$C1039*DB1038</f>
        <v/>
      </c>
      <c r="DC1039">
        <f>$C1039*DC1038</f>
        <v/>
      </c>
      <c r="DD1039">
        <f>$C1039*DD1038</f>
        <v/>
      </c>
    </row>
    <row r="1040">
      <c r="B1040" t="inlineStr">
        <is>
          <t>TSP-1448</t>
        </is>
      </c>
      <c r="C1040" t="inlineStr">
        <is>
          <t>No. of batches</t>
        </is>
      </c>
      <c r="D1040">
        <f>IFERROR(INDEX(E1040:DD1040,$F$1),"")</f>
        <v/>
      </c>
      <c r="E1040">
        <f>IFERROR(INDEX(PP_Grid[#Data],$DE1040,2),0)</f>
        <v/>
      </c>
      <c r="F1040">
        <f>IFERROR(INDEX(PP_Grid[#Data],$DE1040,3),0)</f>
        <v/>
      </c>
      <c r="G1040">
        <f>IFERROR(INDEX(PP_Grid[#Data],$DE1040,4),0)</f>
        <v/>
      </c>
      <c r="H1040">
        <f>IFERROR(INDEX(PP_Grid[#Data],$DE1040,5),0)</f>
        <v/>
      </c>
      <c r="I1040">
        <f>IFERROR(INDEX(PP_Grid[#Data],$DE1040,6),0)</f>
        <v/>
      </c>
      <c r="J1040">
        <f>IFERROR(INDEX(PP_Grid[#Data],$DE1040,7),0)</f>
        <v/>
      </c>
      <c r="K1040">
        <f>IFERROR(INDEX(PP_Grid[#Data],$DE1040,8),0)</f>
        <v/>
      </c>
      <c r="L1040">
        <f>IFERROR(INDEX(PP_Grid[#Data],$DE1040,9),0)</f>
        <v/>
      </c>
      <c r="M1040">
        <f>IFERROR(INDEX(PP_Grid[#Data],$DE1040,10),0)</f>
        <v/>
      </c>
      <c r="N1040">
        <f>IFERROR(INDEX(PP_Grid[#Data],$DE1040,11),0)</f>
        <v/>
      </c>
      <c r="O1040">
        <f>IFERROR(INDEX(PP_Grid[#Data],$DE1040,12),0)</f>
        <v/>
      </c>
      <c r="P1040">
        <f>IFERROR(INDEX(PP_Grid[#Data],$DE1040,13),0)</f>
        <v/>
      </c>
      <c r="Q1040">
        <f>IFERROR(INDEX(PP_Grid[#Data],$DE1040,14),0)</f>
        <v/>
      </c>
      <c r="R1040">
        <f>IFERROR(INDEX(PP_Grid[#Data],$DE1040,15),0)</f>
        <v/>
      </c>
      <c r="S1040">
        <f>IFERROR(INDEX(PP_Grid[#Data],$DE1040,16),0)</f>
        <v/>
      </c>
      <c r="T1040">
        <f>IFERROR(INDEX(PP_Grid[#Data],$DE1040,17),0)</f>
        <v/>
      </c>
      <c r="U1040">
        <f>IFERROR(INDEX(PP_Grid[#Data],$DE1040,18),0)</f>
        <v/>
      </c>
      <c r="V1040">
        <f>IFERROR(INDEX(PP_Grid[#Data],$DE1040,19),0)</f>
        <v/>
      </c>
      <c r="W1040">
        <f>IFERROR(INDEX(PP_Grid[#Data],$DE1040,20),0)</f>
        <v/>
      </c>
      <c r="X1040">
        <f>IFERROR(INDEX(PP_Grid[#Data],$DE1040,21),0)</f>
        <v/>
      </c>
      <c r="Y1040">
        <f>IFERROR(INDEX(PP_Grid[#Data],$DE1040,22),0)</f>
        <v/>
      </c>
      <c r="Z1040">
        <f>IFERROR(INDEX(PP_Grid[#Data],$DE1040,23),0)</f>
        <v/>
      </c>
      <c r="AA1040">
        <f>IFERROR(INDEX(PP_Grid[#Data],$DE1040,24),0)</f>
        <v/>
      </c>
      <c r="AB1040">
        <f>IFERROR(INDEX(PP_Grid[#Data],$DE1040,25),0)</f>
        <v/>
      </c>
      <c r="AC1040">
        <f>IFERROR(INDEX(PP_Grid[#Data],$DE1040,26),0)</f>
        <v/>
      </c>
      <c r="AD1040">
        <f>IFERROR(INDEX(PP_Grid[#Data],$DE1040,27),0)</f>
        <v/>
      </c>
      <c r="AE1040">
        <f>IFERROR(INDEX(PP_Grid[#Data],$DE1040,28),0)</f>
        <v/>
      </c>
      <c r="AF1040">
        <f>IFERROR(INDEX(PP_Grid[#Data],$DE1040,29),0)</f>
        <v/>
      </c>
      <c r="AG1040">
        <f>IFERROR(INDEX(PP_Grid[#Data],$DE1040,30),0)</f>
        <v/>
      </c>
      <c r="AH1040">
        <f>IFERROR(INDEX(PP_Grid[#Data],$DE1040,31),0)</f>
        <v/>
      </c>
      <c r="AI1040">
        <f>IFERROR(INDEX(PP_Grid[#Data],$DE1040,32),0)</f>
        <v/>
      </c>
      <c r="AJ1040">
        <f>IFERROR(INDEX(PP_Grid[#Data],$DE1040,33),0)</f>
        <v/>
      </c>
      <c r="AK1040">
        <f>IFERROR(INDEX(PP_Grid[#Data],$DE1040,34),0)</f>
        <v/>
      </c>
      <c r="AL1040">
        <f>IFERROR(INDEX(PP_Grid[#Data],$DE1040,35),0)</f>
        <v/>
      </c>
      <c r="AM1040">
        <f>IFERROR(INDEX(PP_Grid[#Data],$DE1040,36),0)</f>
        <v/>
      </c>
      <c r="AN1040">
        <f>IFERROR(INDEX(PP_Grid[#Data],$DE1040,37),0)</f>
        <v/>
      </c>
      <c r="AO1040">
        <f>IFERROR(INDEX(PP_Grid[#Data],$DE1040,38),0)</f>
        <v/>
      </c>
      <c r="AP1040">
        <f>IFERROR(INDEX(PP_Grid[#Data],$DE1040,39),0)</f>
        <v/>
      </c>
      <c r="AQ1040">
        <f>IFERROR(INDEX(PP_Grid[#Data],$DE1040,40),0)</f>
        <v/>
      </c>
      <c r="AR1040">
        <f>IFERROR(INDEX(PP_Grid[#Data],$DE1040,41),0)</f>
        <v/>
      </c>
      <c r="AS1040">
        <f>IFERROR(INDEX(PP_Grid[#Data],$DE1040,42),0)</f>
        <v/>
      </c>
      <c r="AT1040">
        <f>IFERROR(INDEX(PP_Grid[#Data],$DE1040,43),0)</f>
        <v/>
      </c>
      <c r="AU1040">
        <f>IFERROR(INDEX(PP_Grid[#Data],$DE1040,44),0)</f>
        <v/>
      </c>
      <c r="AV1040">
        <f>IFERROR(INDEX(PP_Grid[#Data],$DE1040,45),0)</f>
        <v/>
      </c>
      <c r="AW1040">
        <f>IFERROR(INDEX(PP_Grid[#Data],$DE1040,46),0)</f>
        <v/>
      </c>
      <c r="AX1040">
        <f>IFERROR(INDEX(PP_Grid[#Data],$DE1040,47),0)</f>
        <v/>
      </c>
      <c r="AY1040">
        <f>IFERROR(INDEX(PP_Grid[#Data],$DE1040,48),0)</f>
        <v/>
      </c>
      <c r="AZ1040">
        <f>IFERROR(INDEX(PP_Grid[#Data],$DE1040,49),0)</f>
        <v/>
      </c>
      <c r="BA1040">
        <f>IFERROR(INDEX(PP_Grid[#Data],$DE1040,50),0)</f>
        <v/>
      </c>
      <c r="BB1040">
        <f>IFERROR(INDEX(PP_Grid[#Data],$DE1040,51),0)</f>
        <v/>
      </c>
      <c r="BC1040">
        <f>IFERROR(INDEX(PP_Grid[#Data],$DE1040,52),0)</f>
        <v/>
      </c>
      <c r="BD1040">
        <f>IFERROR(INDEX(PP_Grid[#Data],$DE1040,53),0)</f>
        <v/>
      </c>
      <c r="BE1040">
        <f>IFERROR(INDEX(PP_Grid[#Data],$DE1040,54),0)</f>
        <v/>
      </c>
      <c r="BF1040">
        <f>IFERROR(INDEX(PP_Grid[#Data],$DE1040,55),0)</f>
        <v/>
      </c>
      <c r="BG1040">
        <f>IFERROR(INDEX(PP_Grid[#Data],$DE1040,56),0)</f>
        <v/>
      </c>
      <c r="BH1040">
        <f>IFERROR(INDEX(PP_Grid[#Data],$DE1040,57),0)</f>
        <v/>
      </c>
      <c r="BI1040">
        <f>IFERROR(INDEX(PP_Grid[#Data],$DE1040,58),0)</f>
        <v/>
      </c>
      <c r="BJ1040">
        <f>IFERROR(INDEX(PP_Grid[#Data],$DE1040,59),0)</f>
        <v/>
      </c>
      <c r="BK1040">
        <f>IFERROR(INDEX(PP_Grid[#Data],$DE1040,60),0)</f>
        <v/>
      </c>
      <c r="BL1040">
        <f>IFERROR(INDEX(PP_Grid[#Data],$DE1040,61),0)</f>
        <v/>
      </c>
      <c r="BM1040">
        <f>IFERROR(INDEX(PP_Grid[#Data],$DE1040,62),0)</f>
        <v/>
      </c>
      <c r="BN1040">
        <f>IFERROR(INDEX(PP_Grid[#Data],$DE1040,63),0)</f>
        <v/>
      </c>
      <c r="BO1040">
        <f>IFERROR(INDEX(PP_Grid[#Data],$DE1040,64),0)</f>
        <v/>
      </c>
      <c r="BP1040">
        <f>IFERROR(INDEX(PP_Grid[#Data],$DE1040,65),0)</f>
        <v/>
      </c>
      <c r="BQ1040">
        <f>IFERROR(INDEX(PP_Grid[#Data],$DE1040,66),0)</f>
        <v/>
      </c>
      <c r="BR1040">
        <f>IFERROR(INDEX(PP_Grid[#Data],$DE1040,67),0)</f>
        <v/>
      </c>
      <c r="BS1040">
        <f>IFERROR(INDEX(PP_Grid[#Data],$DE1040,68),0)</f>
        <v/>
      </c>
      <c r="BT1040">
        <f>IFERROR(INDEX(PP_Grid[#Data],$DE1040,69),0)</f>
        <v/>
      </c>
      <c r="BU1040">
        <f>IFERROR(INDEX(PP_Grid[#Data],$DE1040,70),0)</f>
        <v/>
      </c>
      <c r="BV1040">
        <f>IFERROR(INDEX(PP_Grid[#Data],$DE1040,71),0)</f>
        <v/>
      </c>
      <c r="BW1040">
        <f>IFERROR(INDEX(PP_Grid[#Data],$DE1040,72),0)</f>
        <v/>
      </c>
      <c r="BX1040">
        <f>IFERROR(INDEX(PP_Grid[#Data],$DE1040,73),0)</f>
        <v/>
      </c>
      <c r="BY1040">
        <f>IFERROR(INDEX(PP_Grid[#Data],$DE1040,74),0)</f>
        <v/>
      </c>
      <c r="BZ1040">
        <f>IFERROR(INDEX(PP_Grid[#Data],$DE1040,75),0)</f>
        <v/>
      </c>
      <c r="CA1040">
        <f>IFERROR(INDEX(PP_Grid[#Data],$DE1040,76),0)</f>
        <v/>
      </c>
      <c r="CB1040">
        <f>IFERROR(INDEX(PP_Grid[#Data],$DE1040,77),0)</f>
        <v/>
      </c>
      <c r="CC1040">
        <f>IFERROR(INDEX(PP_Grid[#Data],$DE1040,78),0)</f>
        <v/>
      </c>
      <c r="CD1040">
        <f>IFERROR(INDEX(PP_Grid[#Data],$DE1040,79),0)</f>
        <v/>
      </c>
      <c r="CE1040">
        <f>IFERROR(INDEX(PP_Grid[#Data],$DE1040,80),0)</f>
        <v/>
      </c>
      <c r="CF1040">
        <f>IFERROR(INDEX(PP_Grid[#Data],$DE1040,81),0)</f>
        <v/>
      </c>
      <c r="CG1040">
        <f>IFERROR(INDEX(PP_Grid[#Data],$DE1040,82),0)</f>
        <v/>
      </c>
      <c r="CH1040">
        <f>IFERROR(INDEX(PP_Grid[#Data],$DE1040,83),0)</f>
        <v/>
      </c>
      <c r="CI1040">
        <f>IFERROR(INDEX(PP_Grid[#Data],$DE1040,84),0)</f>
        <v/>
      </c>
      <c r="CJ1040">
        <f>IFERROR(INDEX(PP_Grid[#Data],$DE1040,85),0)</f>
        <v/>
      </c>
      <c r="CK1040">
        <f>IFERROR(INDEX(PP_Grid[#Data],$DE1040,86),0)</f>
        <v/>
      </c>
      <c r="CL1040">
        <f>IFERROR(INDEX(PP_Grid[#Data],$DE1040,87),0)</f>
        <v/>
      </c>
      <c r="CM1040">
        <f>IFERROR(INDEX(PP_Grid[#Data],$DE1040,88),0)</f>
        <v/>
      </c>
      <c r="CN1040">
        <f>IFERROR(INDEX(PP_Grid[#Data],$DE1040,89),0)</f>
        <v/>
      </c>
      <c r="CO1040">
        <f>IFERROR(INDEX(PP_Grid[#Data],$DE1040,90),0)</f>
        <v/>
      </c>
      <c r="CP1040">
        <f>IFERROR(INDEX(PP_Grid[#Data],$DE1040,91),0)</f>
        <v/>
      </c>
      <c r="CQ1040">
        <f>IFERROR(INDEX(PP_Grid[#Data],$DE1040,92),0)</f>
        <v/>
      </c>
      <c r="CR1040">
        <f>IFERROR(INDEX(PP_Grid[#Data],$DE1040,93),0)</f>
        <v/>
      </c>
      <c r="CS1040">
        <f>IFERROR(INDEX(PP_Grid[#Data],$DE1040,94),0)</f>
        <v/>
      </c>
      <c r="CT1040">
        <f>IFERROR(INDEX(PP_Grid[#Data],$DE1040,95),0)</f>
        <v/>
      </c>
      <c r="CU1040">
        <f>IFERROR(INDEX(PP_Grid[#Data],$DE1040,96),0)</f>
        <v/>
      </c>
      <c r="CV1040">
        <f>IFERROR(INDEX(PP_Grid[#Data],$DE1040,97),0)</f>
        <v/>
      </c>
      <c r="CW1040">
        <f>IFERROR(INDEX(PP_Grid[#Data],$DE1040,98),0)</f>
        <v/>
      </c>
      <c r="CX1040">
        <f>IFERROR(INDEX(PP_Grid[#Data],$DE1040,99),0)</f>
        <v/>
      </c>
      <c r="CY1040">
        <f>IFERROR(INDEX(PP_Grid[#Data],$DE1040,100),0)</f>
        <v/>
      </c>
      <c r="CZ1040">
        <f>IFERROR(INDEX(PP_Grid[#Data],$DE1040,101),0)</f>
        <v/>
      </c>
      <c r="DA1040">
        <f>IFERROR(INDEX(PP_Grid[#Data],$DE1040,102),0)</f>
        <v/>
      </c>
      <c r="DB1040">
        <f>IFERROR(INDEX(PP_Grid[#Data],$DE1040,103),0)</f>
        <v/>
      </c>
      <c r="DC1040">
        <f>IFERROR(INDEX(PP_Grid[#Data],$DE1040,104),0)</f>
        <v/>
      </c>
      <c r="DD1040">
        <f>IFERROR(INDEX(PP_Grid[#Data],$DE1040,105),0)</f>
        <v/>
      </c>
      <c r="DE1040" s="7">
        <f>IFERROR(MATCH($B1040,PP_Grid[Intermediate],0),99999)</f>
        <v/>
      </c>
    </row>
    <row r="1041">
      <c r="B1041" t="inlineStr">
        <is>
          <t>使用量(kg)</t>
        </is>
      </c>
      <c r="C1041">
        <f>SUMIFS(M_BOM[RM_Qty_Per_Batch],M_BOM[Intermediate],$B1040,M_BOM[RM_Code],$A1025)</f>
        <v/>
      </c>
      <c r="D1041">
        <f>IFERROR(INDEX(E1041:DD1041,$F$1),"")</f>
        <v/>
      </c>
      <c r="E1041">
        <f>$C1041*E1040</f>
        <v/>
      </c>
      <c r="F1041">
        <f>$C1041*F1040</f>
        <v/>
      </c>
      <c r="G1041">
        <f>$C1041*G1040</f>
        <v/>
      </c>
      <c r="H1041">
        <f>$C1041*H1040</f>
        <v/>
      </c>
      <c r="I1041">
        <f>$C1041*I1040</f>
        <v/>
      </c>
      <c r="J1041">
        <f>$C1041*J1040</f>
        <v/>
      </c>
      <c r="K1041">
        <f>$C1041*K1040</f>
        <v/>
      </c>
      <c r="L1041">
        <f>$C1041*L1040</f>
        <v/>
      </c>
      <c r="M1041">
        <f>$C1041*M1040</f>
        <v/>
      </c>
      <c r="N1041">
        <f>$C1041*N1040</f>
        <v/>
      </c>
      <c r="O1041">
        <f>$C1041*O1040</f>
        <v/>
      </c>
      <c r="P1041">
        <f>$C1041*P1040</f>
        <v/>
      </c>
      <c r="Q1041">
        <f>$C1041*Q1040</f>
        <v/>
      </c>
      <c r="R1041">
        <f>$C1041*R1040</f>
        <v/>
      </c>
      <c r="S1041">
        <f>$C1041*S1040</f>
        <v/>
      </c>
      <c r="T1041">
        <f>$C1041*T1040</f>
        <v/>
      </c>
      <c r="U1041">
        <f>$C1041*U1040</f>
        <v/>
      </c>
      <c r="V1041">
        <f>$C1041*V1040</f>
        <v/>
      </c>
      <c r="W1041">
        <f>$C1041*W1040</f>
        <v/>
      </c>
      <c r="X1041">
        <f>$C1041*X1040</f>
        <v/>
      </c>
      <c r="Y1041">
        <f>$C1041*Y1040</f>
        <v/>
      </c>
      <c r="Z1041">
        <f>$C1041*Z1040</f>
        <v/>
      </c>
      <c r="AA1041">
        <f>$C1041*AA1040</f>
        <v/>
      </c>
      <c r="AB1041">
        <f>$C1041*AB1040</f>
        <v/>
      </c>
      <c r="AC1041">
        <f>$C1041*AC1040</f>
        <v/>
      </c>
      <c r="AD1041">
        <f>$C1041*AD1040</f>
        <v/>
      </c>
      <c r="AE1041">
        <f>$C1041*AE1040</f>
        <v/>
      </c>
      <c r="AF1041">
        <f>$C1041*AF1040</f>
        <v/>
      </c>
      <c r="AG1041">
        <f>$C1041*AG1040</f>
        <v/>
      </c>
      <c r="AH1041">
        <f>$C1041*AH1040</f>
        <v/>
      </c>
      <c r="AI1041">
        <f>$C1041*AI1040</f>
        <v/>
      </c>
      <c r="AJ1041">
        <f>$C1041*AJ1040</f>
        <v/>
      </c>
      <c r="AK1041">
        <f>$C1041*AK1040</f>
        <v/>
      </c>
      <c r="AL1041">
        <f>$C1041*AL1040</f>
        <v/>
      </c>
      <c r="AM1041">
        <f>$C1041*AM1040</f>
        <v/>
      </c>
      <c r="AN1041">
        <f>$C1041*AN1040</f>
        <v/>
      </c>
      <c r="AO1041">
        <f>$C1041*AO1040</f>
        <v/>
      </c>
      <c r="AP1041">
        <f>$C1041*AP1040</f>
        <v/>
      </c>
      <c r="AQ1041">
        <f>$C1041*AQ1040</f>
        <v/>
      </c>
      <c r="AR1041">
        <f>$C1041*AR1040</f>
        <v/>
      </c>
      <c r="AS1041">
        <f>$C1041*AS1040</f>
        <v/>
      </c>
      <c r="AT1041">
        <f>$C1041*AT1040</f>
        <v/>
      </c>
      <c r="AU1041">
        <f>$C1041*AU1040</f>
        <v/>
      </c>
      <c r="AV1041">
        <f>$C1041*AV1040</f>
        <v/>
      </c>
      <c r="AW1041">
        <f>$C1041*AW1040</f>
        <v/>
      </c>
      <c r="AX1041">
        <f>$C1041*AX1040</f>
        <v/>
      </c>
      <c r="AY1041">
        <f>$C1041*AY1040</f>
        <v/>
      </c>
      <c r="AZ1041">
        <f>$C1041*AZ1040</f>
        <v/>
      </c>
      <c r="BA1041">
        <f>$C1041*BA1040</f>
        <v/>
      </c>
      <c r="BB1041">
        <f>$C1041*BB1040</f>
        <v/>
      </c>
      <c r="BC1041">
        <f>$C1041*BC1040</f>
        <v/>
      </c>
      <c r="BD1041">
        <f>$C1041*BD1040</f>
        <v/>
      </c>
      <c r="BE1041">
        <f>$C1041*BE1040</f>
        <v/>
      </c>
      <c r="BF1041">
        <f>$C1041*BF1040</f>
        <v/>
      </c>
      <c r="BG1041">
        <f>$C1041*BG1040</f>
        <v/>
      </c>
      <c r="BH1041">
        <f>$C1041*BH1040</f>
        <v/>
      </c>
      <c r="BI1041">
        <f>$C1041*BI1040</f>
        <v/>
      </c>
      <c r="BJ1041">
        <f>$C1041*BJ1040</f>
        <v/>
      </c>
      <c r="BK1041">
        <f>$C1041*BK1040</f>
        <v/>
      </c>
      <c r="BL1041">
        <f>$C1041*BL1040</f>
        <v/>
      </c>
      <c r="BM1041">
        <f>$C1041*BM1040</f>
        <v/>
      </c>
      <c r="BN1041">
        <f>$C1041*BN1040</f>
        <v/>
      </c>
      <c r="BO1041">
        <f>$C1041*BO1040</f>
        <v/>
      </c>
      <c r="BP1041">
        <f>$C1041*BP1040</f>
        <v/>
      </c>
      <c r="BQ1041">
        <f>$C1041*BQ1040</f>
        <v/>
      </c>
      <c r="BR1041">
        <f>$C1041*BR1040</f>
        <v/>
      </c>
      <c r="BS1041">
        <f>$C1041*BS1040</f>
        <v/>
      </c>
      <c r="BT1041">
        <f>$C1041*BT1040</f>
        <v/>
      </c>
      <c r="BU1041">
        <f>$C1041*BU1040</f>
        <v/>
      </c>
      <c r="BV1041">
        <f>$C1041*BV1040</f>
        <v/>
      </c>
      <c r="BW1041">
        <f>$C1041*BW1040</f>
        <v/>
      </c>
      <c r="BX1041">
        <f>$C1041*BX1040</f>
        <v/>
      </c>
      <c r="BY1041">
        <f>$C1041*BY1040</f>
        <v/>
      </c>
      <c r="BZ1041">
        <f>$C1041*BZ1040</f>
        <v/>
      </c>
      <c r="CA1041">
        <f>$C1041*CA1040</f>
        <v/>
      </c>
      <c r="CB1041">
        <f>$C1041*CB1040</f>
        <v/>
      </c>
      <c r="CC1041">
        <f>$C1041*CC1040</f>
        <v/>
      </c>
      <c r="CD1041">
        <f>$C1041*CD1040</f>
        <v/>
      </c>
      <c r="CE1041">
        <f>$C1041*CE1040</f>
        <v/>
      </c>
      <c r="CF1041">
        <f>$C1041*CF1040</f>
        <v/>
      </c>
      <c r="CG1041">
        <f>$C1041*CG1040</f>
        <v/>
      </c>
      <c r="CH1041">
        <f>$C1041*CH1040</f>
        <v/>
      </c>
      <c r="CI1041">
        <f>$C1041*CI1040</f>
        <v/>
      </c>
      <c r="CJ1041">
        <f>$C1041*CJ1040</f>
        <v/>
      </c>
      <c r="CK1041">
        <f>$C1041*CK1040</f>
        <v/>
      </c>
      <c r="CL1041">
        <f>$C1041*CL1040</f>
        <v/>
      </c>
      <c r="CM1041">
        <f>$C1041*CM1040</f>
        <v/>
      </c>
      <c r="CN1041">
        <f>$C1041*CN1040</f>
        <v/>
      </c>
      <c r="CO1041">
        <f>$C1041*CO1040</f>
        <v/>
      </c>
      <c r="CP1041">
        <f>$C1041*CP1040</f>
        <v/>
      </c>
      <c r="CQ1041">
        <f>$C1041*CQ1040</f>
        <v/>
      </c>
      <c r="CR1041">
        <f>$C1041*CR1040</f>
        <v/>
      </c>
      <c r="CS1041">
        <f>$C1041*CS1040</f>
        <v/>
      </c>
      <c r="CT1041">
        <f>$C1041*CT1040</f>
        <v/>
      </c>
      <c r="CU1041">
        <f>$C1041*CU1040</f>
        <v/>
      </c>
      <c r="CV1041">
        <f>$C1041*CV1040</f>
        <v/>
      </c>
      <c r="CW1041">
        <f>$C1041*CW1040</f>
        <v/>
      </c>
      <c r="CX1041">
        <f>$C1041*CX1040</f>
        <v/>
      </c>
      <c r="CY1041">
        <f>$C1041*CY1040</f>
        <v/>
      </c>
      <c r="CZ1041">
        <f>$C1041*CZ1040</f>
        <v/>
      </c>
      <c r="DA1041">
        <f>$C1041*DA1040</f>
        <v/>
      </c>
      <c r="DB1041">
        <f>$C1041*DB1040</f>
        <v/>
      </c>
      <c r="DC1041">
        <f>$C1041*DC1040</f>
        <v/>
      </c>
      <c r="DD1041">
        <f>$C1041*DD1040</f>
        <v/>
      </c>
    </row>
    <row r="1042">
      <c r="B1042" t="inlineStr">
        <is>
          <t>TSP-1449</t>
        </is>
      </c>
      <c r="C1042" t="inlineStr">
        <is>
          <t>No. of batches</t>
        </is>
      </c>
      <c r="D1042">
        <f>IFERROR(INDEX(E1042:DD1042,$F$1),"")</f>
        <v/>
      </c>
      <c r="E1042">
        <f>IFERROR(INDEX(PP_Grid[#Data],$DE1042,2),0)</f>
        <v/>
      </c>
      <c r="F1042">
        <f>IFERROR(INDEX(PP_Grid[#Data],$DE1042,3),0)</f>
        <v/>
      </c>
      <c r="G1042">
        <f>IFERROR(INDEX(PP_Grid[#Data],$DE1042,4),0)</f>
        <v/>
      </c>
      <c r="H1042">
        <f>IFERROR(INDEX(PP_Grid[#Data],$DE1042,5),0)</f>
        <v/>
      </c>
      <c r="I1042">
        <f>IFERROR(INDEX(PP_Grid[#Data],$DE1042,6),0)</f>
        <v/>
      </c>
      <c r="J1042">
        <f>IFERROR(INDEX(PP_Grid[#Data],$DE1042,7),0)</f>
        <v/>
      </c>
      <c r="K1042">
        <f>IFERROR(INDEX(PP_Grid[#Data],$DE1042,8),0)</f>
        <v/>
      </c>
      <c r="L1042">
        <f>IFERROR(INDEX(PP_Grid[#Data],$DE1042,9),0)</f>
        <v/>
      </c>
      <c r="M1042">
        <f>IFERROR(INDEX(PP_Grid[#Data],$DE1042,10),0)</f>
        <v/>
      </c>
      <c r="N1042">
        <f>IFERROR(INDEX(PP_Grid[#Data],$DE1042,11),0)</f>
        <v/>
      </c>
      <c r="O1042">
        <f>IFERROR(INDEX(PP_Grid[#Data],$DE1042,12),0)</f>
        <v/>
      </c>
      <c r="P1042">
        <f>IFERROR(INDEX(PP_Grid[#Data],$DE1042,13),0)</f>
        <v/>
      </c>
      <c r="Q1042">
        <f>IFERROR(INDEX(PP_Grid[#Data],$DE1042,14),0)</f>
        <v/>
      </c>
      <c r="R1042">
        <f>IFERROR(INDEX(PP_Grid[#Data],$DE1042,15),0)</f>
        <v/>
      </c>
      <c r="S1042">
        <f>IFERROR(INDEX(PP_Grid[#Data],$DE1042,16),0)</f>
        <v/>
      </c>
      <c r="T1042">
        <f>IFERROR(INDEX(PP_Grid[#Data],$DE1042,17),0)</f>
        <v/>
      </c>
      <c r="U1042">
        <f>IFERROR(INDEX(PP_Grid[#Data],$DE1042,18),0)</f>
        <v/>
      </c>
      <c r="V1042">
        <f>IFERROR(INDEX(PP_Grid[#Data],$DE1042,19),0)</f>
        <v/>
      </c>
      <c r="W1042">
        <f>IFERROR(INDEX(PP_Grid[#Data],$DE1042,20),0)</f>
        <v/>
      </c>
      <c r="X1042">
        <f>IFERROR(INDEX(PP_Grid[#Data],$DE1042,21),0)</f>
        <v/>
      </c>
      <c r="Y1042">
        <f>IFERROR(INDEX(PP_Grid[#Data],$DE1042,22),0)</f>
        <v/>
      </c>
      <c r="Z1042">
        <f>IFERROR(INDEX(PP_Grid[#Data],$DE1042,23),0)</f>
        <v/>
      </c>
      <c r="AA1042">
        <f>IFERROR(INDEX(PP_Grid[#Data],$DE1042,24),0)</f>
        <v/>
      </c>
      <c r="AB1042">
        <f>IFERROR(INDEX(PP_Grid[#Data],$DE1042,25),0)</f>
        <v/>
      </c>
      <c r="AC1042">
        <f>IFERROR(INDEX(PP_Grid[#Data],$DE1042,26),0)</f>
        <v/>
      </c>
      <c r="AD1042">
        <f>IFERROR(INDEX(PP_Grid[#Data],$DE1042,27),0)</f>
        <v/>
      </c>
      <c r="AE1042">
        <f>IFERROR(INDEX(PP_Grid[#Data],$DE1042,28),0)</f>
        <v/>
      </c>
      <c r="AF1042">
        <f>IFERROR(INDEX(PP_Grid[#Data],$DE1042,29),0)</f>
        <v/>
      </c>
      <c r="AG1042">
        <f>IFERROR(INDEX(PP_Grid[#Data],$DE1042,30),0)</f>
        <v/>
      </c>
      <c r="AH1042">
        <f>IFERROR(INDEX(PP_Grid[#Data],$DE1042,31),0)</f>
        <v/>
      </c>
      <c r="AI1042">
        <f>IFERROR(INDEX(PP_Grid[#Data],$DE1042,32),0)</f>
        <v/>
      </c>
      <c r="AJ1042">
        <f>IFERROR(INDEX(PP_Grid[#Data],$DE1042,33),0)</f>
        <v/>
      </c>
      <c r="AK1042">
        <f>IFERROR(INDEX(PP_Grid[#Data],$DE1042,34),0)</f>
        <v/>
      </c>
      <c r="AL1042">
        <f>IFERROR(INDEX(PP_Grid[#Data],$DE1042,35),0)</f>
        <v/>
      </c>
      <c r="AM1042">
        <f>IFERROR(INDEX(PP_Grid[#Data],$DE1042,36),0)</f>
        <v/>
      </c>
      <c r="AN1042">
        <f>IFERROR(INDEX(PP_Grid[#Data],$DE1042,37),0)</f>
        <v/>
      </c>
      <c r="AO1042">
        <f>IFERROR(INDEX(PP_Grid[#Data],$DE1042,38),0)</f>
        <v/>
      </c>
      <c r="AP1042">
        <f>IFERROR(INDEX(PP_Grid[#Data],$DE1042,39),0)</f>
        <v/>
      </c>
      <c r="AQ1042">
        <f>IFERROR(INDEX(PP_Grid[#Data],$DE1042,40),0)</f>
        <v/>
      </c>
      <c r="AR1042">
        <f>IFERROR(INDEX(PP_Grid[#Data],$DE1042,41),0)</f>
        <v/>
      </c>
      <c r="AS1042">
        <f>IFERROR(INDEX(PP_Grid[#Data],$DE1042,42),0)</f>
        <v/>
      </c>
      <c r="AT1042">
        <f>IFERROR(INDEX(PP_Grid[#Data],$DE1042,43),0)</f>
        <v/>
      </c>
      <c r="AU1042">
        <f>IFERROR(INDEX(PP_Grid[#Data],$DE1042,44),0)</f>
        <v/>
      </c>
      <c r="AV1042">
        <f>IFERROR(INDEX(PP_Grid[#Data],$DE1042,45),0)</f>
        <v/>
      </c>
      <c r="AW1042">
        <f>IFERROR(INDEX(PP_Grid[#Data],$DE1042,46),0)</f>
        <v/>
      </c>
      <c r="AX1042">
        <f>IFERROR(INDEX(PP_Grid[#Data],$DE1042,47),0)</f>
        <v/>
      </c>
      <c r="AY1042">
        <f>IFERROR(INDEX(PP_Grid[#Data],$DE1042,48),0)</f>
        <v/>
      </c>
      <c r="AZ1042">
        <f>IFERROR(INDEX(PP_Grid[#Data],$DE1042,49),0)</f>
        <v/>
      </c>
      <c r="BA1042">
        <f>IFERROR(INDEX(PP_Grid[#Data],$DE1042,50),0)</f>
        <v/>
      </c>
      <c r="BB1042">
        <f>IFERROR(INDEX(PP_Grid[#Data],$DE1042,51),0)</f>
        <v/>
      </c>
      <c r="BC1042">
        <f>IFERROR(INDEX(PP_Grid[#Data],$DE1042,52),0)</f>
        <v/>
      </c>
      <c r="BD1042">
        <f>IFERROR(INDEX(PP_Grid[#Data],$DE1042,53),0)</f>
        <v/>
      </c>
      <c r="BE1042">
        <f>IFERROR(INDEX(PP_Grid[#Data],$DE1042,54),0)</f>
        <v/>
      </c>
      <c r="BF1042">
        <f>IFERROR(INDEX(PP_Grid[#Data],$DE1042,55),0)</f>
        <v/>
      </c>
      <c r="BG1042">
        <f>IFERROR(INDEX(PP_Grid[#Data],$DE1042,56),0)</f>
        <v/>
      </c>
      <c r="BH1042">
        <f>IFERROR(INDEX(PP_Grid[#Data],$DE1042,57),0)</f>
        <v/>
      </c>
      <c r="BI1042">
        <f>IFERROR(INDEX(PP_Grid[#Data],$DE1042,58),0)</f>
        <v/>
      </c>
      <c r="BJ1042">
        <f>IFERROR(INDEX(PP_Grid[#Data],$DE1042,59),0)</f>
        <v/>
      </c>
      <c r="BK1042">
        <f>IFERROR(INDEX(PP_Grid[#Data],$DE1042,60),0)</f>
        <v/>
      </c>
      <c r="BL1042">
        <f>IFERROR(INDEX(PP_Grid[#Data],$DE1042,61),0)</f>
        <v/>
      </c>
      <c r="BM1042">
        <f>IFERROR(INDEX(PP_Grid[#Data],$DE1042,62),0)</f>
        <v/>
      </c>
      <c r="BN1042">
        <f>IFERROR(INDEX(PP_Grid[#Data],$DE1042,63),0)</f>
        <v/>
      </c>
      <c r="BO1042">
        <f>IFERROR(INDEX(PP_Grid[#Data],$DE1042,64),0)</f>
        <v/>
      </c>
      <c r="BP1042">
        <f>IFERROR(INDEX(PP_Grid[#Data],$DE1042,65),0)</f>
        <v/>
      </c>
      <c r="BQ1042">
        <f>IFERROR(INDEX(PP_Grid[#Data],$DE1042,66),0)</f>
        <v/>
      </c>
      <c r="BR1042">
        <f>IFERROR(INDEX(PP_Grid[#Data],$DE1042,67),0)</f>
        <v/>
      </c>
      <c r="BS1042">
        <f>IFERROR(INDEX(PP_Grid[#Data],$DE1042,68),0)</f>
        <v/>
      </c>
      <c r="BT1042">
        <f>IFERROR(INDEX(PP_Grid[#Data],$DE1042,69),0)</f>
        <v/>
      </c>
      <c r="BU1042">
        <f>IFERROR(INDEX(PP_Grid[#Data],$DE1042,70),0)</f>
        <v/>
      </c>
      <c r="BV1042">
        <f>IFERROR(INDEX(PP_Grid[#Data],$DE1042,71),0)</f>
        <v/>
      </c>
      <c r="BW1042">
        <f>IFERROR(INDEX(PP_Grid[#Data],$DE1042,72),0)</f>
        <v/>
      </c>
      <c r="BX1042">
        <f>IFERROR(INDEX(PP_Grid[#Data],$DE1042,73),0)</f>
        <v/>
      </c>
      <c r="BY1042">
        <f>IFERROR(INDEX(PP_Grid[#Data],$DE1042,74),0)</f>
        <v/>
      </c>
      <c r="BZ1042">
        <f>IFERROR(INDEX(PP_Grid[#Data],$DE1042,75),0)</f>
        <v/>
      </c>
      <c r="CA1042">
        <f>IFERROR(INDEX(PP_Grid[#Data],$DE1042,76),0)</f>
        <v/>
      </c>
      <c r="CB1042">
        <f>IFERROR(INDEX(PP_Grid[#Data],$DE1042,77),0)</f>
        <v/>
      </c>
      <c r="CC1042">
        <f>IFERROR(INDEX(PP_Grid[#Data],$DE1042,78),0)</f>
        <v/>
      </c>
      <c r="CD1042">
        <f>IFERROR(INDEX(PP_Grid[#Data],$DE1042,79),0)</f>
        <v/>
      </c>
      <c r="CE1042">
        <f>IFERROR(INDEX(PP_Grid[#Data],$DE1042,80),0)</f>
        <v/>
      </c>
      <c r="CF1042">
        <f>IFERROR(INDEX(PP_Grid[#Data],$DE1042,81),0)</f>
        <v/>
      </c>
      <c r="CG1042">
        <f>IFERROR(INDEX(PP_Grid[#Data],$DE1042,82),0)</f>
        <v/>
      </c>
      <c r="CH1042">
        <f>IFERROR(INDEX(PP_Grid[#Data],$DE1042,83),0)</f>
        <v/>
      </c>
      <c r="CI1042">
        <f>IFERROR(INDEX(PP_Grid[#Data],$DE1042,84),0)</f>
        <v/>
      </c>
      <c r="CJ1042">
        <f>IFERROR(INDEX(PP_Grid[#Data],$DE1042,85),0)</f>
        <v/>
      </c>
      <c r="CK1042">
        <f>IFERROR(INDEX(PP_Grid[#Data],$DE1042,86),0)</f>
        <v/>
      </c>
      <c r="CL1042">
        <f>IFERROR(INDEX(PP_Grid[#Data],$DE1042,87),0)</f>
        <v/>
      </c>
      <c r="CM1042">
        <f>IFERROR(INDEX(PP_Grid[#Data],$DE1042,88),0)</f>
        <v/>
      </c>
      <c r="CN1042">
        <f>IFERROR(INDEX(PP_Grid[#Data],$DE1042,89),0)</f>
        <v/>
      </c>
      <c r="CO1042">
        <f>IFERROR(INDEX(PP_Grid[#Data],$DE1042,90),0)</f>
        <v/>
      </c>
      <c r="CP1042">
        <f>IFERROR(INDEX(PP_Grid[#Data],$DE1042,91),0)</f>
        <v/>
      </c>
      <c r="CQ1042">
        <f>IFERROR(INDEX(PP_Grid[#Data],$DE1042,92),0)</f>
        <v/>
      </c>
      <c r="CR1042">
        <f>IFERROR(INDEX(PP_Grid[#Data],$DE1042,93),0)</f>
        <v/>
      </c>
      <c r="CS1042">
        <f>IFERROR(INDEX(PP_Grid[#Data],$DE1042,94),0)</f>
        <v/>
      </c>
      <c r="CT1042">
        <f>IFERROR(INDEX(PP_Grid[#Data],$DE1042,95),0)</f>
        <v/>
      </c>
      <c r="CU1042">
        <f>IFERROR(INDEX(PP_Grid[#Data],$DE1042,96),0)</f>
        <v/>
      </c>
      <c r="CV1042">
        <f>IFERROR(INDEX(PP_Grid[#Data],$DE1042,97),0)</f>
        <v/>
      </c>
      <c r="CW1042">
        <f>IFERROR(INDEX(PP_Grid[#Data],$DE1042,98),0)</f>
        <v/>
      </c>
      <c r="CX1042">
        <f>IFERROR(INDEX(PP_Grid[#Data],$DE1042,99),0)</f>
        <v/>
      </c>
      <c r="CY1042">
        <f>IFERROR(INDEX(PP_Grid[#Data],$DE1042,100),0)</f>
        <v/>
      </c>
      <c r="CZ1042">
        <f>IFERROR(INDEX(PP_Grid[#Data],$DE1042,101),0)</f>
        <v/>
      </c>
      <c r="DA1042">
        <f>IFERROR(INDEX(PP_Grid[#Data],$DE1042,102),0)</f>
        <v/>
      </c>
      <c r="DB1042">
        <f>IFERROR(INDEX(PP_Grid[#Data],$DE1042,103),0)</f>
        <v/>
      </c>
      <c r="DC1042">
        <f>IFERROR(INDEX(PP_Grid[#Data],$DE1042,104),0)</f>
        <v/>
      </c>
      <c r="DD1042">
        <f>IFERROR(INDEX(PP_Grid[#Data],$DE1042,105),0)</f>
        <v/>
      </c>
      <c r="DE1042" s="7">
        <f>IFERROR(MATCH($B1042,PP_Grid[Intermediate],0),99999)</f>
        <v/>
      </c>
    </row>
    <row r="1043">
      <c r="B1043" t="inlineStr">
        <is>
          <t>使用量(kg)</t>
        </is>
      </c>
      <c r="C1043">
        <f>SUMIFS(M_BOM[RM_Qty_Per_Batch],M_BOM[Intermediate],$B1042,M_BOM[RM_Code],$A1025)</f>
        <v/>
      </c>
      <c r="D1043">
        <f>IFERROR(INDEX(E1043:DD1043,$F$1),"")</f>
        <v/>
      </c>
      <c r="E1043">
        <f>$C1043*E1042</f>
        <v/>
      </c>
      <c r="F1043">
        <f>$C1043*F1042</f>
        <v/>
      </c>
      <c r="G1043">
        <f>$C1043*G1042</f>
        <v/>
      </c>
      <c r="H1043">
        <f>$C1043*H1042</f>
        <v/>
      </c>
      <c r="I1043">
        <f>$C1043*I1042</f>
        <v/>
      </c>
      <c r="J1043">
        <f>$C1043*J1042</f>
        <v/>
      </c>
      <c r="K1043">
        <f>$C1043*K1042</f>
        <v/>
      </c>
      <c r="L1043">
        <f>$C1043*L1042</f>
        <v/>
      </c>
      <c r="M1043">
        <f>$C1043*M1042</f>
        <v/>
      </c>
      <c r="N1043">
        <f>$C1043*N1042</f>
        <v/>
      </c>
      <c r="O1043">
        <f>$C1043*O1042</f>
        <v/>
      </c>
      <c r="P1043">
        <f>$C1043*P1042</f>
        <v/>
      </c>
      <c r="Q1043">
        <f>$C1043*Q1042</f>
        <v/>
      </c>
      <c r="R1043">
        <f>$C1043*R1042</f>
        <v/>
      </c>
      <c r="S1043">
        <f>$C1043*S1042</f>
        <v/>
      </c>
      <c r="T1043">
        <f>$C1043*T1042</f>
        <v/>
      </c>
      <c r="U1043">
        <f>$C1043*U1042</f>
        <v/>
      </c>
      <c r="V1043">
        <f>$C1043*V1042</f>
        <v/>
      </c>
      <c r="W1043">
        <f>$C1043*W1042</f>
        <v/>
      </c>
      <c r="X1043">
        <f>$C1043*X1042</f>
        <v/>
      </c>
      <c r="Y1043">
        <f>$C1043*Y1042</f>
        <v/>
      </c>
      <c r="Z1043">
        <f>$C1043*Z1042</f>
        <v/>
      </c>
      <c r="AA1043">
        <f>$C1043*AA1042</f>
        <v/>
      </c>
      <c r="AB1043">
        <f>$C1043*AB1042</f>
        <v/>
      </c>
      <c r="AC1043">
        <f>$C1043*AC1042</f>
        <v/>
      </c>
      <c r="AD1043">
        <f>$C1043*AD1042</f>
        <v/>
      </c>
      <c r="AE1043">
        <f>$C1043*AE1042</f>
        <v/>
      </c>
      <c r="AF1043">
        <f>$C1043*AF1042</f>
        <v/>
      </c>
      <c r="AG1043">
        <f>$C1043*AG1042</f>
        <v/>
      </c>
      <c r="AH1043">
        <f>$C1043*AH1042</f>
        <v/>
      </c>
      <c r="AI1043">
        <f>$C1043*AI1042</f>
        <v/>
      </c>
      <c r="AJ1043">
        <f>$C1043*AJ1042</f>
        <v/>
      </c>
      <c r="AK1043">
        <f>$C1043*AK1042</f>
        <v/>
      </c>
      <c r="AL1043">
        <f>$C1043*AL1042</f>
        <v/>
      </c>
      <c r="AM1043">
        <f>$C1043*AM1042</f>
        <v/>
      </c>
      <c r="AN1043">
        <f>$C1043*AN1042</f>
        <v/>
      </c>
      <c r="AO1043">
        <f>$C1043*AO1042</f>
        <v/>
      </c>
      <c r="AP1043">
        <f>$C1043*AP1042</f>
        <v/>
      </c>
      <c r="AQ1043">
        <f>$C1043*AQ1042</f>
        <v/>
      </c>
      <c r="AR1043">
        <f>$C1043*AR1042</f>
        <v/>
      </c>
      <c r="AS1043">
        <f>$C1043*AS1042</f>
        <v/>
      </c>
      <c r="AT1043">
        <f>$C1043*AT1042</f>
        <v/>
      </c>
      <c r="AU1043">
        <f>$C1043*AU1042</f>
        <v/>
      </c>
      <c r="AV1043">
        <f>$C1043*AV1042</f>
        <v/>
      </c>
      <c r="AW1043">
        <f>$C1043*AW1042</f>
        <v/>
      </c>
      <c r="AX1043">
        <f>$C1043*AX1042</f>
        <v/>
      </c>
      <c r="AY1043">
        <f>$C1043*AY1042</f>
        <v/>
      </c>
      <c r="AZ1043">
        <f>$C1043*AZ1042</f>
        <v/>
      </c>
      <c r="BA1043">
        <f>$C1043*BA1042</f>
        <v/>
      </c>
      <c r="BB1043">
        <f>$C1043*BB1042</f>
        <v/>
      </c>
      <c r="BC1043">
        <f>$C1043*BC1042</f>
        <v/>
      </c>
      <c r="BD1043">
        <f>$C1043*BD1042</f>
        <v/>
      </c>
      <c r="BE1043">
        <f>$C1043*BE1042</f>
        <v/>
      </c>
      <c r="BF1043">
        <f>$C1043*BF1042</f>
        <v/>
      </c>
      <c r="BG1043">
        <f>$C1043*BG1042</f>
        <v/>
      </c>
      <c r="BH1043">
        <f>$C1043*BH1042</f>
        <v/>
      </c>
      <c r="BI1043">
        <f>$C1043*BI1042</f>
        <v/>
      </c>
      <c r="BJ1043">
        <f>$C1043*BJ1042</f>
        <v/>
      </c>
      <c r="BK1043">
        <f>$C1043*BK1042</f>
        <v/>
      </c>
      <c r="BL1043">
        <f>$C1043*BL1042</f>
        <v/>
      </c>
      <c r="BM1043">
        <f>$C1043*BM1042</f>
        <v/>
      </c>
      <c r="BN1043">
        <f>$C1043*BN1042</f>
        <v/>
      </c>
      <c r="BO1043">
        <f>$C1043*BO1042</f>
        <v/>
      </c>
      <c r="BP1043">
        <f>$C1043*BP1042</f>
        <v/>
      </c>
      <c r="BQ1043">
        <f>$C1043*BQ1042</f>
        <v/>
      </c>
      <c r="BR1043">
        <f>$C1043*BR1042</f>
        <v/>
      </c>
      <c r="BS1043">
        <f>$C1043*BS1042</f>
        <v/>
      </c>
      <c r="BT1043">
        <f>$C1043*BT1042</f>
        <v/>
      </c>
      <c r="BU1043">
        <f>$C1043*BU1042</f>
        <v/>
      </c>
      <c r="BV1043">
        <f>$C1043*BV1042</f>
        <v/>
      </c>
      <c r="BW1043">
        <f>$C1043*BW1042</f>
        <v/>
      </c>
      <c r="BX1043">
        <f>$C1043*BX1042</f>
        <v/>
      </c>
      <c r="BY1043">
        <f>$C1043*BY1042</f>
        <v/>
      </c>
      <c r="BZ1043">
        <f>$C1043*BZ1042</f>
        <v/>
      </c>
      <c r="CA1043">
        <f>$C1043*CA1042</f>
        <v/>
      </c>
      <c r="CB1043">
        <f>$C1043*CB1042</f>
        <v/>
      </c>
      <c r="CC1043">
        <f>$C1043*CC1042</f>
        <v/>
      </c>
      <c r="CD1043">
        <f>$C1043*CD1042</f>
        <v/>
      </c>
      <c r="CE1043">
        <f>$C1043*CE1042</f>
        <v/>
      </c>
      <c r="CF1043">
        <f>$C1043*CF1042</f>
        <v/>
      </c>
      <c r="CG1043">
        <f>$C1043*CG1042</f>
        <v/>
      </c>
      <c r="CH1043">
        <f>$C1043*CH1042</f>
        <v/>
      </c>
      <c r="CI1043">
        <f>$C1043*CI1042</f>
        <v/>
      </c>
      <c r="CJ1043">
        <f>$C1043*CJ1042</f>
        <v/>
      </c>
      <c r="CK1043">
        <f>$C1043*CK1042</f>
        <v/>
      </c>
      <c r="CL1043">
        <f>$C1043*CL1042</f>
        <v/>
      </c>
      <c r="CM1043">
        <f>$C1043*CM1042</f>
        <v/>
      </c>
      <c r="CN1043">
        <f>$C1043*CN1042</f>
        <v/>
      </c>
      <c r="CO1043">
        <f>$C1043*CO1042</f>
        <v/>
      </c>
      <c r="CP1043">
        <f>$C1043*CP1042</f>
        <v/>
      </c>
      <c r="CQ1043">
        <f>$C1043*CQ1042</f>
        <v/>
      </c>
      <c r="CR1043">
        <f>$C1043*CR1042</f>
        <v/>
      </c>
      <c r="CS1043">
        <f>$C1043*CS1042</f>
        <v/>
      </c>
      <c r="CT1043">
        <f>$C1043*CT1042</f>
        <v/>
      </c>
      <c r="CU1043">
        <f>$C1043*CU1042</f>
        <v/>
      </c>
      <c r="CV1043">
        <f>$C1043*CV1042</f>
        <v/>
      </c>
      <c r="CW1043">
        <f>$C1043*CW1042</f>
        <v/>
      </c>
      <c r="CX1043">
        <f>$C1043*CX1042</f>
        <v/>
      </c>
      <c r="CY1043">
        <f>$C1043*CY1042</f>
        <v/>
      </c>
      <c r="CZ1043">
        <f>$C1043*CZ1042</f>
        <v/>
      </c>
      <c r="DA1043">
        <f>$C1043*DA1042</f>
        <v/>
      </c>
      <c r="DB1043">
        <f>$C1043*DB1042</f>
        <v/>
      </c>
      <c r="DC1043">
        <f>$C1043*DC1042</f>
        <v/>
      </c>
      <c r="DD1043">
        <f>$C1043*DD1042</f>
        <v/>
      </c>
    </row>
    <row r="1044">
      <c r="B1044" t="inlineStr">
        <is>
          <t>TSP-1558</t>
        </is>
      </c>
      <c r="C1044" t="inlineStr">
        <is>
          <t>No. of batches</t>
        </is>
      </c>
      <c r="D1044">
        <f>IFERROR(INDEX(E1044:DD1044,$F$1),"")</f>
        <v/>
      </c>
      <c r="E1044">
        <f>IFERROR(INDEX(PP_Grid[#Data],$DE1044,2),0)</f>
        <v/>
      </c>
      <c r="F1044">
        <f>IFERROR(INDEX(PP_Grid[#Data],$DE1044,3),0)</f>
        <v/>
      </c>
      <c r="G1044">
        <f>IFERROR(INDEX(PP_Grid[#Data],$DE1044,4),0)</f>
        <v/>
      </c>
      <c r="H1044">
        <f>IFERROR(INDEX(PP_Grid[#Data],$DE1044,5),0)</f>
        <v/>
      </c>
      <c r="I1044">
        <f>IFERROR(INDEX(PP_Grid[#Data],$DE1044,6),0)</f>
        <v/>
      </c>
      <c r="J1044">
        <f>IFERROR(INDEX(PP_Grid[#Data],$DE1044,7),0)</f>
        <v/>
      </c>
      <c r="K1044">
        <f>IFERROR(INDEX(PP_Grid[#Data],$DE1044,8),0)</f>
        <v/>
      </c>
      <c r="L1044">
        <f>IFERROR(INDEX(PP_Grid[#Data],$DE1044,9),0)</f>
        <v/>
      </c>
      <c r="M1044">
        <f>IFERROR(INDEX(PP_Grid[#Data],$DE1044,10),0)</f>
        <v/>
      </c>
      <c r="N1044">
        <f>IFERROR(INDEX(PP_Grid[#Data],$DE1044,11),0)</f>
        <v/>
      </c>
      <c r="O1044">
        <f>IFERROR(INDEX(PP_Grid[#Data],$DE1044,12),0)</f>
        <v/>
      </c>
      <c r="P1044">
        <f>IFERROR(INDEX(PP_Grid[#Data],$DE1044,13),0)</f>
        <v/>
      </c>
      <c r="Q1044">
        <f>IFERROR(INDEX(PP_Grid[#Data],$DE1044,14),0)</f>
        <v/>
      </c>
      <c r="R1044">
        <f>IFERROR(INDEX(PP_Grid[#Data],$DE1044,15),0)</f>
        <v/>
      </c>
      <c r="S1044">
        <f>IFERROR(INDEX(PP_Grid[#Data],$DE1044,16),0)</f>
        <v/>
      </c>
      <c r="T1044">
        <f>IFERROR(INDEX(PP_Grid[#Data],$DE1044,17),0)</f>
        <v/>
      </c>
      <c r="U1044">
        <f>IFERROR(INDEX(PP_Grid[#Data],$DE1044,18),0)</f>
        <v/>
      </c>
      <c r="V1044">
        <f>IFERROR(INDEX(PP_Grid[#Data],$DE1044,19),0)</f>
        <v/>
      </c>
      <c r="W1044">
        <f>IFERROR(INDEX(PP_Grid[#Data],$DE1044,20),0)</f>
        <v/>
      </c>
      <c r="X1044">
        <f>IFERROR(INDEX(PP_Grid[#Data],$DE1044,21),0)</f>
        <v/>
      </c>
      <c r="Y1044">
        <f>IFERROR(INDEX(PP_Grid[#Data],$DE1044,22),0)</f>
        <v/>
      </c>
      <c r="Z1044">
        <f>IFERROR(INDEX(PP_Grid[#Data],$DE1044,23),0)</f>
        <v/>
      </c>
      <c r="AA1044">
        <f>IFERROR(INDEX(PP_Grid[#Data],$DE1044,24),0)</f>
        <v/>
      </c>
      <c r="AB1044">
        <f>IFERROR(INDEX(PP_Grid[#Data],$DE1044,25),0)</f>
        <v/>
      </c>
      <c r="AC1044">
        <f>IFERROR(INDEX(PP_Grid[#Data],$DE1044,26),0)</f>
        <v/>
      </c>
      <c r="AD1044">
        <f>IFERROR(INDEX(PP_Grid[#Data],$DE1044,27),0)</f>
        <v/>
      </c>
      <c r="AE1044">
        <f>IFERROR(INDEX(PP_Grid[#Data],$DE1044,28),0)</f>
        <v/>
      </c>
      <c r="AF1044">
        <f>IFERROR(INDEX(PP_Grid[#Data],$DE1044,29),0)</f>
        <v/>
      </c>
      <c r="AG1044">
        <f>IFERROR(INDEX(PP_Grid[#Data],$DE1044,30),0)</f>
        <v/>
      </c>
      <c r="AH1044">
        <f>IFERROR(INDEX(PP_Grid[#Data],$DE1044,31),0)</f>
        <v/>
      </c>
      <c r="AI1044">
        <f>IFERROR(INDEX(PP_Grid[#Data],$DE1044,32),0)</f>
        <v/>
      </c>
      <c r="AJ1044">
        <f>IFERROR(INDEX(PP_Grid[#Data],$DE1044,33),0)</f>
        <v/>
      </c>
      <c r="AK1044">
        <f>IFERROR(INDEX(PP_Grid[#Data],$DE1044,34),0)</f>
        <v/>
      </c>
      <c r="AL1044">
        <f>IFERROR(INDEX(PP_Grid[#Data],$DE1044,35),0)</f>
        <v/>
      </c>
      <c r="AM1044">
        <f>IFERROR(INDEX(PP_Grid[#Data],$DE1044,36),0)</f>
        <v/>
      </c>
      <c r="AN1044">
        <f>IFERROR(INDEX(PP_Grid[#Data],$DE1044,37),0)</f>
        <v/>
      </c>
      <c r="AO1044">
        <f>IFERROR(INDEX(PP_Grid[#Data],$DE1044,38),0)</f>
        <v/>
      </c>
      <c r="AP1044">
        <f>IFERROR(INDEX(PP_Grid[#Data],$DE1044,39),0)</f>
        <v/>
      </c>
      <c r="AQ1044">
        <f>IFERROR(INDEX(PP_Grid[#Data],$DE1044,40),0)</f>
        <v/>
      </c>
      <c r="AR1044">
        <f>IFERROR(INDEX(PP_Grid[#Data],$DE1044,41),0)</f>
        <v/>
      </c>
      <c r="AS1044">
        <f>IFERROR(INDEX(PP_Grid[#Data],$DE1044,42),0)</f>
        <v/>
      </c>
      <c r="AT1044">
        <f>IFERROR(INDEX(PP_Grid[#Data],$DE1044,43),0)</f>
        <v/>
      </c>
      <c r="AU1044">
        <f>IFERROR(INDEX(PP_Grid[#Data],$DE1044,44),0)</f>
        <v/>
      </c>
      <c r="AV1044">
        <f>IFERROR(INDEX(PP_Grid[#Data],$DE1044,45),0)</f>
        <v/>
      </c>
      <c r="AW1044">
        <f>IFERROR(INDEX(PP_Grid[#Data],$DE1044,46),0)</f>
        <v/>
      </c>
      <c r="AX1044">
        <f>IFERROR(INDEX(PP_Grid[#Data],$DE1044,47),0)</f>
        <v/>
      </c>
      <c r="AY1044">
        <f>IFERROR(INDEX(PP_Grid[#Data],$DE1044,48),0)</f>
        <v/>
      </c>
      <c r="AZ1044">
        <f>IFERROR(INDEX(PP_Grid[#Data],$DE1044,49),0)</f>
        <v/>
      </c>
      <c r="BA1044">
        <f>IFERROR(INDEX(PP_Grid[#Data],$DE1044,50),0)</f>
        <v/>
      </c>
      <c r="BB1044">
        <f>IFERROR(INDEX(PP_Grid[#Data],$DE1044,51),0)</f>
        <v/>
      </c>
      <c r="BC1044">
        <f>IFERROR(INDEX(PP_Grid[#Data],$DE1044,52),0)</f>
        <v/>
      </c>
      <c r="BD1044">
        <f>IFERROR(INDEX(PP_Grid[#Data],$DE1044,53),0)</f>
        <v/>
      </c>
      <c r="BE1044">
        <f>IFERROR(INDEX(PP_Grid[#Data],$DE1044,54),0)</f>
        <v/>
      </c>
      <c r="BF1044">
        <f>IFERROR(INDEX(PP_Grid[#Data],$DE1044,55),0)</f>
        <v/>
      </c>
      <c r="BG1044">
        <f>IFERROR(INDEX(PP_Grid[#Data],$DE1044,56),0)</f>
        <v/>
      </c>
      <c r="BH1044">
        <f>IFERROR(INDEX(PP_Grid[#Data],$DE1044,57),0)</f>
        <v/>
      </c>
      <c r="BI1044">
        <f>IFERROR(INDEX(PP_Grid[#Data],$DE1044,58),0)</f>
        <v/>
      </c>
      <c r="BJ1044">
        <f>IFERROR(INDEX(PP_Grid[#Data],$DE1044,59),0)</f>
        <v/>
      </c>
      <c r="BK1044">
        <f>IFERROR(INDEX(PP_Grid[#Data],$DE1044,60),0)</f>
        <v/>
      </c>
      <c r="BL1044">
        <f>IFERROR(INDEX(PP_Grid[#Data],$DE1044,61),0)</f>
        <v/>
      </c>
      <c r="BM1044">
        <f>IFERROR(INDEX(PP_Grid[#Data],$DE1044,62),0)</f>
        <v/>
      </c>
      <c r="BN1044">
        <f>IFERROR(INDEX(PP_Grid[#Data],$DE1044,63),0)</f>
        <v/>
      </c>
      <c r="BO1044">
        <f>IFERROR(INDEX(PP_Grid[#Data],$DE1044,64),0)</f>
        <v/>
      </c>
      <c r="BP1044">
        <f>IFERROR(INDEX(PP_Grid[#Data],$DE1044,65),0)</f>
        <v/>
      </c>
      <c r="BQ1044">
        <f>IFERROR(INDEX(PP_Grid[#Data],$DE1044,66),0)</f>
        <v/>
      </c>
      <c r="BR1044">
        <f>IFERROR(INDEX(PP_Grid[#Data],$DE1044,67),0)</f>
        <v/>
      </c>
      <c r="BS1044">
        <f>IFERROR(INDEX(PP_Grid[#Data],$DE1044,68),0)</f>
        <v/>
      </c>
      <c r="BT1044">
        <f>IFERROR(INDEX(PP_Grid[#Data],$DE1044,69),0)</f>
        <v/>
      </c>
      <c r="BU1044">
        <f>IFERROR(INDEX(PP_Grid[#Data],$DE1044,70),0)</f>
        <v/>
      </c>
      <c r="BV1044">
        <f>IFERROR(INDEX(PP_Grid[#Data],$DE1044,71),0)</f>
        <v/>
      </c>
      <c r="BW1044">
        <f>IFERROR(INDEX(PP_Grid[#Data],$DE1044,72),0)</f>
        <v/>
      </c>
      <c r="BX1044">
        <f>IFERROR(INDEX(PP_Grid[#Data],$DE1044,73),0)</f>
        <v/>
      </c>
      <c r="BY1044">
        <f>IFERROR(INDEX(PP_Grid[#Data],$DE1044,74),0)</f>
        <v/>
      </c>
      <c r="BZ1044">
        <f>IFERROR(INDEX(PP_Grid[#Data],$DE1044,75),0)</f>
        <v/>
      </c>
      <c r="CA1044">
        <f>IFERROR(INDEX(PP_Grid[#Data],$DE1044,76),0)</f>
        <v/>
      </c>
      <c r="CB1044">
        <f>IFERROR(INDEX(PP_Grid[#Data],$DE1044,77),0)</f>
        <v/>
      </c>
      <c r="CC1044">
        <f>IFERROR(INDEX(PP_Grid[#Data],$DE1044,78),0)</f>
        <v/>
      </c>
      <c r="CD1044">
        <f>IFERROR(INDEX(PP_Grid[#Data],$DE1044,79),0)</f>
        <v/>
      </c>
      <c r="CE1044">
        <f>IFERROR(INDEX(PP_Grid[#Data],$DE1044,80),0)</f>
        <v/>
      </c>
      <c r="CF1044">
        <f>IFERROR(INDEX(PP_Grid[#Data],$DE1044,81),0)</f>
        <v/>
      </c>
      <c r="CG1044">
        <f>IFERROR(INDEX(PP_Grid[#Data],$DE1044,82),0)</f>
        <v/>
      </c>
      <c r="CH1044">
        <f>IFERROR(INDEX(PP_Grid[#Data],$DE1044,83),0)</f>
        <v/>
      </c>
      <c r="CI1044">
        <f>IFERROR(INDEX(PP_Grid[#Data],$DE1044,84),0)</f>
        <v/>
      </c>
      <c r="CJ1044">
        <f>IFERROR(INDEX(PP_Grid[#Data],$DE1044,85),0)</f>
        <v/>
      </c>
      <c r="CK1044">
        <f>IFERROR(INDEX(PP_Grid[#Data],$DE1044,86),0)</f>
        <v/>
      </c>
      <c r="CL1044">
        <f>IFERROR(INDEX(PP_Grid[#Data],$DE1044,87),0)</f>
        <v/>
      </c>
      <c r="CM1044">
        <f>IFERROR(INDEX(PP_Grid[#Data],$DE1044,88),0)</f>
        <v/>
      </c>
      <c r="CN1044">
        <f>IFERROR(INDEX(PP_Grid[#Data],$DE1044,89),0)</f>
        <v/>
      </c>
      <c r="CO1044">
        <f>IFERROR(INDEX(PP_Grid[#Data],$DE1044,90),0)</f>
        <v/>
      </c>
      <c r="CP1044">
        <f>IFERROR(INDEX(PP_Grid[#Data],$DE1044,91),0)</f>
        <v/>
      </c>
      <c r="CQ1044">
        <f>IFERROR(INDEX(PP_Grid[#Data],$DE1044,92),0)</f>
        <v/>
      </c>
      <c r="CR1044">
        <f>IFERROR(INDEX(PP_Grid[#Data],$DE1044,93),0)</f>
        <v/>
      </c>
      <c r="CS1044">
        <f>IFERROR(INDEX(PP_Grid[#Data],$DE1044,94),0)</f>
        <v/>
      </c>
      <c r="CT1044">
        <f>IFERROR(INDEX(PP_Grid[#Data],$DE1044,95),0)</f>
        <v/>
      </c>
      <c r="CU1044">
        <f>IFERROR(INDEX(PP_Grid[#Data],$DE1044,96),0)</f>
        <v/>
      </c>
      <c r="CV1044">
        <f>IFERROR(INDEX(PP_Grid[#Data],$DE1044,97),0)</f>
        <v/>
      </c>
      <c r="CW1044">
        <f>IFERROR(INDEX(PP_Grid[#Data],$DE1044,98),0)</f>
        <v/>
      </c>
      <c r="CX1044">
        <f>IFERROR(INDEX(PP_Grid[#Data],$DE1044,99),0)</f>
        <v/>
      </c>
      <c r="CY1044">
        <f>IFERROR(INDEX(PP_Grid[#Data],$DE1044,100),0)</f>
        <v/>
      </c>
      <c r="CZ1044">
        <f>IFERROR(INDEX(PP_Grid[#Data],$DE1044,101),0)</f>
        <v/>
      </c>
      <c r="DA1044">
        <f>IFERROR(INDEX(PP_Grid[#Data],$DE1044,102),0)</f>
        <v/>
      </c>
      <c r="DB1044">
        <f>IFERROR(INDEX(PP_Grid[#Data],$DE1044,103),0)</f>
        <v/>
      </c>
      <c r="DC1044">
        <f>IFERROR(INDEX(PP_Grid[#Data],$DE1044,104),0)</f>
        <v/>
      </c>
      <c r="DD1044">
        <f>IFERROR(INDEX(PP_Grid[#Data],$DE1044,105),0)</f>
        <v/>
      </c>
      <c r="DE1044" s="7">
        <f>IFERROR(MATCH($B1044,PP_Grid[Intermediate],0),99999)</f>
        <v/>
      </c>
    </row>
    <row r="1045">
      <c r="B1045" t="inlineStr">
        <is>
          <t>使用量(kg)</t>
        </is>
      </c>
      <c r="C1045">
        <f>SUMIFS(M_BOM[RM_Qty_Per_Batch],M_BOM[Intermediate],$B1044,M_BOM[RM_Code],$A1025)</f>
        <v/>
      </c>
      <c r="D1045">
        <f>IFERROR(INDEX(E1045:DD1045,$F$1),"")</f>
        <v/>
      </c>
      <c r="E1045">
        <f>$C1045*E1044</f>
        <v/>
      </c>
      <c r="F1045">
        <f>$C1045*F1044</f>
        <v/>
      </c>
      <c r="G1045">
        <f>$C1045*G1044</f>
        <v/>
      </c>
      <c r="H1045">
        <f>$C1045*H1044</f>
        <v/>
      </c>
      <c r="I1045">
        <f>$C1045*I1044</f>
        <v/>
      </c>
      <c r="J1045">
        <f>$C1045*J1044</f>
        <v/>
      </c>
      <c r="K1045">
        <f>$C1045*K1044</f>
        <v/>
      </c>
      <c r="L1045">
        <f>$C1045*L1044</f>
        <v/>
      </c>
      <c r="M1045">
        <f>$C1045*M1044</f>
        <v/>
      </c>
      <c r="N1045">
        <f>$C1045*N1044</f>
        <v/>
      </c>
      <c r="O1045">
        <f>$C1045*O1044</f>
        <v/>
      </c>
      <c r="P1045">
        <f>$C1045*P1044</f>
        <v/>
      </c>
      <c r="Q1045">
        <f>$C1045*Q1044</f>
        <v/>
      </c>
      <c r="R1045">
        <f>$C1045*R1044</f>
        <v/>
      </c>
      <c r="S1045">
        <f>$C1045*S1044</f>
        <v/>
      </c>
      <c r="T1045">
        <f>$C1045*T1044</f>
        <v/>
      </c>
      <c r="U1045">
        <f>$C1045*U1044</f>
        <v/>
      </c>
      <c r="V1045">
        <f>$C1045*V1044</f>
        <v/>
      </c>
      <c r="W1045">
        <f>$C1045*W1044</f>
        <v/>
      </c>
      <c r="X1045">
        <f>$C1045*X1044</f>
        <v/>
      </c>
      <c r="Y1045">
        <f>$C1045*Y1044</f>
        <v/>
      </c>
      <c r="Z1045">
        <f>$C1045*Z1044</f>
        <v/>
      </c>
      <c r="AA1045">
        <f>$C1045*AA1044</f>
        <v/>
      </c>
      <c r="AB1045">
        <f>$C1045*AB1044</f>
        <v/>
      </c>
      <c r="AC1045">
        <f>$C1045*AC1044</f>
        <v/>
      </c>
      <c r="AD1045">
        <f>$C1045*AD1044</f>
        <v/>
      </c>
      <c r="AE1045">
        <f>$C1045*AE1044</f>
        <v/>
      </c>
      <c r="AF1045">
        <f>$C1045*AF1044</f>
        <v/>
      </c>
      <c r="AG1045">
        <f>$C1045*AG1044</f>
        <v/>
      </c>
      <c r="AH1045">
        <f>$C1045*AH1044</f>
        <v/>
      </c>
      <c r="AI1045">
        <f>$C1045*AI1044</f>
        <v/>
      </c>
      <c r="AJ1045">
        <f>$C1045*AJ1044</f>
        <v/>
      </c>
      <c r="AK1045">
        <f>$C1045*AK1044</f>
        <v/>
      </c>
      <c r="AL1045">
        <f>$C1045*AL1044</f>
        <v/>
      </c>
      <c r="AM1045">
        <f>$C1045*AM1044</f>
        <v/>
      </c>
      <c r="AN1045">
        <f>$C1045*AN1044</f>
        <v/>
      </c>
      <c r="AO1045">
        <f>$C1045*AO1044</f>
        <v/>
      </c>
      <c r="AP1045">
        <f>$C1045*AP1044</f>
        <v/>
      </c>
      <c r="AQ1045">
        <f>$C1045*AQ1044</f>
        <v/>
      </c>
      <c r="AR1045">
        <f>$C1045*AR1044</f>
        <v/>
      </c>
      <c r="AS1045">
        <f>$C1045*AS1044</f>
        <v/>
      </c>
      <c r="AT1045">
        <f>$C1045*AT1044</f>
        <v/>
      </c>
      <c r="AU1045">
        <f>$C1045*AU1044</f>
        <v/>
      </c>
      <c r="AV1045">
        <f>$C1045*AV1044</f>
        <v/>
      </c>
      <c r="AW1045">
        <f>$C1045*AW1044</f>
        <v/>
      </c>
      <c r="AX1045">
        <f>$C1045*AX1044</f>
        <v/>
      </c>
      <c r="AY1045">
        <f>$C1045*AY1044</f>
        <v/>
      </c>
      <c r="AZ1045">
        <f>$C1045*AZ1044</f>
        <v/>
      </c>
      <c r="BA1045">
        <f>$C1045*BA1044</f>
        <v/>
      </c>
      <c r="BB1045">
        <f>$C1045*BB1044</f>
        <v/>
      </c>
      <c r="BC1045">
        <f>$C1045*BC1044</f>
        <v/>
      </c>
      <c r="BD1045">
        <f>$C1045*BD1044</f>
        <v/>
      </c>
      <c r="BE1045">
        <f>$C1045*BE1044</f>
        <v/>
      </c>
      <c r="BF1045">
        <f>$C1045*BF1044</f>
        <v/>
      </c>
      <c r="BG1045">
        <f>$C1045*BG1044</f>
        <v/>
      </c>
      <c r="BH1045">
        <f>$C1045*BH1044</f>
        <v/>
      </c>
      <c r="BI1045">
        <f>$C1045*BI1044</f>
        <v/>
      </c>
      <c r="BJ1045">
        <f>$C1045*BJ1044</f>
        <v/>
      </c>
      <c r="BK1045">
        <f>$C1045*BK1044</f>
        <v/>
      </c>
      <c r="BL1045">
        <f>$C1045*BL1044</f>
        <v/>
      </c>
      <c r="BM1045">
        <f>$C1045*BM1044</f>
        <v/>
      </c>
      <c r="BN1045">
        <f>$C1045*BN1044</f>
        <v/>
      </c>
      <c r="BO1045">
        <f>$C1045*BO1044</f>
        <v/>
      </c>
      <c r="BP1045">
        <f>$C1045*BP1044</f>
        <v/>
      </c>
      <c r="BQ1045">
        <f>$C1045*BQ1044</f>
        <v/>
      </c>
      <c r="BR1045">
        <f>$C1045*BR1044</f>
        <v/>
      </c>
      <c r="BS1045">
        <f>$C1045*BS1044</f>
        <v/>
      </c>
      <c r="BT1045">
        <f>$C1045*BT1044</f>
        <v/>
      </c>
      <c r="BU1045">
        <f>$C1045*BU1044</f>
        <v/>
      </c>
      <c r="BV1045">
        <f>$C1045*BV1044</f>
        <v/>
      </c>
      <c r="BW1045">
        <f>$C1045*BW1044</f>
        <v/>
      </c>
      <c r="BX1045">
        <f>$C1045*BX1044</f>
        <v/>
      </c>
      <c r="BY1045">
        <f>$C1045*BY1044</f>
        <v/>
      </c>
      <c r="BZ1045">
        <f>$C1045*BZ1044</f>
        <v/>
      </c>
      <c r="CA1045">
        <f>$C1045*CA1044</f>
        <v/>
      </c>
      <c r="CB1045">
        <f>$C1045*CB1044</f>
        <v/>
      </c>
      <c r="CC1045">
        <f>$C1045*CC1044</f>
        <v/>
      </c>
      <c r="CD1045">
        <f>$C1045*CD1044</f>
        <v/>
      </c>
      <c r="CE1045">
        <f>$C1045*CE1044</f>
        <v/>
      </c>
      <c r="CF1045">
        <f>$C1045*CF1044</f>
        <v/>
      </c>
      <c r="CG1045">
        <f>$C1045*CG1044</f>
        <v/>
      </c>
      <c r="CH1045">
        <f>$C1045*CH1044</f>
        <v/>
      </c>
      <c r="CI1045">
        <f>$C1045*CI1044</f>
        <v/>
      </c>
      <c r="CJ1045">
        <f>$C1045*CJ1044</f>
        <v/>
      </c>
      <c r="CK1045">
        <f>$C1045*CK1044</f>
        <v/>
      </c>
      <c r="CL1045">
        <f>$C1045*CL1044</f>
        <v/>
      </c>
      <c r="CM1045">
        <f>$C1045*CM1044</f>
        <v/>
      </c>
      <c r="CN1045">
        <f>$C1045*CN1044</f>
        <v/>
      </c>
      <c r="CO1045">
        <f>$C1045*CO1044</f>
        <v/>
      </c>
      <c r="CP1045">
        <f>$C1045*CP1044</f>
        <v/>
      </c>
      <c r="CQ1045">
        <f>$C1045*CQ1044</f>
        <v/>
      </c>
      <c r="CR1045">
        <f>$C1045*CR1044</f>
        <v/>
      </c>
      <c r="CS1045">
        <f>$C1045*CS1044</f>
        <v/>
      </c>
      <c r="CT1045">
        <f>$C1045*CT1044</f>
        <v/>
      </c>
      <c r="CU1045">
        <f>$C1045*CU1044</f>
        <v/>
      </c>
      <c r="CV1045">
        <f>$C1045*CV1044</f>
        <v/>
      </c>
      <c r="CW1045">
        <f>$C1045*CW1044</f>
        <v/>
      </c>
      <c r="CX1045">
        <f>$C1045*CX1044</f>
        <v/>
      </c>
      <c r="CY1045">
        <f>$C1045*CY1044</f>
        <v/>
      </c>
      <c r="CZ1045">
        <f>$C1045*CZ1044</f>
        <v/>
      </c>
      <c r="DA1045">
        <f>$C1045*DA1044</f>
        <v/>
      </c>
      <c r="DB1045">
        <f>$C1045*DB1044</f>
        <v/>
      </c>
      <c r="DC1045">
        <f>$C1045*DC1044</f>
        <v/>
      </c>
      <c r="DD1045">
        <f>$C1045*DD1044</f>
        <v/>
      </c>
    </row>
    <row r="1046">
      <c r="B1046" s="4" t="inlineStr">
        <is>
          <t>合計使用量(kg)/週</t>
        </is>
      </c>
      <c r="D1046" s="22">
        <f>IFERROR(INDEX(E1046:DD1046,$F$1),"")</f>
        <v/>
      </c>
      <c r="E1046">
        <f>'Grid_Requirement'!B24</f>
        <v/>
      </c>
      <c r="F1046">
        <f>'Grid_Requirement'!C24</f>
        <v/>
      </c>
      <c r="G1046">
        <f>'Grid_Requirement'!D24</f>
        <v/>
      </c>
      <c r="H1046">
        <f>'Grid_Requirement'!E24</f>
        <v/>
      </c>
      <c r="I1046">
        <f>'Grid_Requirement'!F24</f>
        <v/>
      </c>
      <c r="J1046">
        <f>'Grid_Requirement'!G24</f>
        <v/>
      </c>
      <c r="K1046">
        <f>'Grid_Requirement'!H24</f>
        <v/>
      </c>
      <c r="L1046">
        <f>'Grid_Requirement'!I24</f>
        <v/>
      </c>
      <c r="M1046">
        <f>'Grid_Requirement'!J24</f>
        <v/>
      </c>
      <c r="N1046">
        <f>'Grid_Requirement'!K24</f>
        <v/>
      </c>
      <c r="O1046">
        <f>'Grid_Requirement'!L24</f>
        <v/>
      </c>
      <c r="P1046">
        <f>'Grid_Requirement'!M24</f>
        <v/>
      </c>
      <c r="Q1046">
        <f>'Grid_Requirement'!N24</f>
        <v/>
      </c>
      <c r="R1046">
        <f>'Grid_Requirement'!O24</f>
        <v/>
      </c>
      <c r="S1046">
        <f>'Grid_Requirement'!P24</f>
        <v/>
      </c>
      <c r="T1046">
        <f>'Grid_Requirement'!Q24</f>
        <v/>
      </c>
      <c r="U1046">
        <f>'Grid_Requirement'!R24</f>
        <v/>
      </c>
      <c r="V1046">
        <f>'Grid_Requirement'!S24</f>
        <v/>
      </c>
      <c r="W1046">
        <f>'Grid_Requirement'!T24</f>
        <v/>
      </c>
      <c r="X1046">
        <f>'Grid_Requirement'!U24</f>
        <v/>
      </c>
      <c r="Y1046">
        <f>'Grid_Requirement'!V24</f>
        <v/>
      </c>
      <c r="Z1046">
        <f>'Grid_Requirement'!W24</f>
        <v/>
      </c>
      <c r="AA1046">
        <f>'Grid_Requirement'!X24</f>
        <v/>
      </c>
      <c r="AB1046">
        <f>'Grid_Requirement'!Y24</f>
        <v/>
      </c>
      <c r="AC1046">
        <f>'Grid_Requirement'!Z24</f>
        <v/>
      </c>
      <c r="AD1046">
        <f>'Grid_Requirement'!AA24</f>
        <v/>
      </c>
      <c r="AE1046">
        <f>'Grid_Requirement'!AB24</f>
        <v/>
      </c>
      <c r="AF1046">
        <f>'Grid_Requirement'!AC24</f>
        <v/>
      </c>
      <c r="AG1046">
        <f>'Grid_Requirement'!AD24</f>
        <v/>
      </c>
      <c r="AH1046">
        <f>'Grid_Requirement'!AE24</f>
        <v/>
      </c>
      <c r="AI1046">
        <f>'Grid_Requirement'!AF24</f>
        <v/>
      </c>
      <c r="AJ1046">
        <f>'Grid_Requirement'!AG24</f>
        <v/>
      </c>
      <c r="AK1046">
        <f>'Grid_Requirement'!AH24</f>
        <v/>
      </c>
      <c r="AL1046">
        <f>'Grid_Requirement'!AI24</f>
        <v/>
      </c>
      <c r="AM1046">
        <f>'Grid_Requirement'!AJ24</f>
        <v/>
      </c>
      <c r="AN1046">
        <f>'Grid_Requirement'!AK24</f>
        <v/>
      </c>
      <c r="AO1046">
        <f>'Grid_Requirement'!AL24</f>
        <v/>
      </c>
      <c r="AP1046">
        <f>'Grid_Requirement'!AM24</f>
        <v/>
      </c>
      <c r="AQ1046">
        <f>'Grid_Requirement'!AN24</f>
        <v/>
      </c>
      <c r="AR1046">
        <f>'Grid_Requirement'!AO24</f>
        <v/>
      </c>
      <c r="AS1046">
        <f>'Grid_Requirement'!AP24</f>
        <v/>
      </c>
      <c r="AT1046">
        <f>'Grid_Requirement'!AQ24</f>
        <v/>
      </c>
      <c r="AU1046">
        <f>'Grid_Requirement'!AR24</f>
        <v/>
      </c>
      <c r="AV1046">
        <f>'Grid_Requirement'!AS24</f>
        <v/>
      </c>
      <c r="AW1046">
        <f>'Grid_Requirement'!AT24</f>
        <v/>
      </c>
      <c r="AX1046">
        <f>'Grid_Requirement'!AU24</f>
        <v/>
      </c>
      <c r="AY1046">
        <f>'Grid_Requirement'!AV24</f>
        <v/>
      </c>
      <c r="AZ1046">
        <f>'Grid_Requirement'!AW24</f>
        <v/>
      </c>
      <c r="BA1046">
        <f>'Grid_Requirement'!AX24</f>
        <v/>
      </c>
      <c r="BB1046">
        <f>'Grid_Requirement'!AY24</f>
        <v/>
      </c>
      <c r="BC1046">
        <f>'Grid_Requirement'!AZ24</f>
        <v/>
      </c>
      <c r="BD1046">
        <f>'Grid_Requirement'!BA24</f>
        <v/>
      </c>
      <c r="BE1046">
        <f>'Grid_Requirement'!BB24</f>
        <v/>
      </c>
      <c r="BF1046">
        <f>'Grid_Requirement'!BC24</f>
        <v/>
      </c>
      <c r="BG1046">
        <f>'Grid_Requirement'!BD24</f>
        <v/>
      </c>
      <c r="BH1046">
        <f>'Grid_Requirement'!BE24</f>
        <v/>
      </c>
      <c r="BI1046">
        <f>'Grid_Requirement'!BF24</f>
        <v/>
      </c>
      <c r="BJ1046">
        <f>'Grid_Requirement'!BG24</f>
        <v/>
      </c>
      <c r="BK1046">
        <f>'Grid_Requirement'!BH24</f>
        <v/>
      </c>
      <c r="BL1046">
        <f>'Grid_Requirement'!BI24</f>
        <v/>
      </c>
      <c r="BM1046">
        <f>'Grid_Requirement'!BJ24</f>
        <v/>
      </c>
      <c r="BN1046">
        <f>'Grid_Requirement'!BK24</f>
        <v/>
      </c>
      <c r="BO1046">
        <f>'Grid_Requirement'!BL24</f>
        <v/>
      </c>
      <c r="BP1046">
        <f>'Grid_Requirement'!BM24</f>
        <v/>
      </c>
      <c r="BQ1046">
        <f>'Grid_Requirement'!BN24</f>
        <v/>
      </c>
      <c r="BR1046">
        <f>'Grid_Requirement'!BO24</f>
        <v/>
      </c>
      <c r="BS1046">
        <f>'Grid_Requirement'!BP24</f>
        <v/>
      </c>
      <c r="BT1046">
        <f>'Grid_Requirement'!BQ24</f>
        <v/>
      </c>
      <c r="BU1046">
        <f>'Grid_Requirement'!BR24</f>
        <v/>
      </c>
      <c r="BV1046">
        <f>'Grid_Requirement'!BS24</f>
        <v/>
      </c>
      <c r="BW1046">
        <f>'Grid_Requirement'!BT24</f>
        <v/>
      </c>
      <c r="BX1046">
        <f>'Grid_Requirement'!BU24</f>
        <v/>
      </c>
      <c r="BY1046">
        <f>'Grid_Requirement'!BV24</f>
        <v/>
      </c>
      <c r="BZ1046">
        <f>'Grid_Requirement'!BW24</f>
        <v/>
      </c>
      <c r="CA1046">
        <f>'Grid_Requirement'!BX24</f>
        <v/>
      </c>
      <c r="CB1046">
        <f>'Grid_Requirement'!BY24</f>
        <v/>
      </c>
      <c r="CC1046">
        <f>'Grid_Requirement'!BZ24</f>
        <v/>
      </c>
      <c r="CD1046">
        <f>'Grid_Requirement'!CA24</f>
        <v/>
      </c>
      <c r="CE1046">
        <f>'Grid_Requirement'!CB24</f>
        <v/>
      </c>
      <c r="CF1046">
        <f>'Grid_Requirement'!CC24</f>
        <v/>
      </c>
      <c r="CG1046">
        <f>'Grid_Requirement'!CD24</f>
        <v/>
      </c>
      <c r="CH1046">
        <f>'Grid_Requirement'!CE24</f>
        <v/>
      </c>
      <c r="CI1046">
        <f>'Grid_Requirement'!CF24</f>
        <v/>
      </c>
      <c r="CJ1046">
        <f>'Grid_Requirement'!CG24</f>
        <v/>
      </c>
      <c r="CK1046">
        <f>'Grid_Requirement'!CH24</f>
        <v/>
      </c>
      <c r="CL1046">
        <f>'Grid_Requirement'!CI24</f>
        <v/>
      </c>
      <c r="CM1046">
        <f>'Grid_Requirement'!CJ24</f>
        <v/>
      </c>
      <c r="CN1046">
        <f>'Grid_Requirement'!CK24</f>
        <v/>
      </c>
      <c r="CO1046">
        <f>'Grid_Requirement'!CL24</f>
        <v/>
      </c>
      <c r="CP1046">
        <f>'Grid_Requirement'!CM24</f>
        <v/>
      </c>
      <c r="CQ1046">
        <f>'Grid_Requirement'!CN24</f>
        <v/>
      </c>
      <c r="CR1046">
        <f>'Grid_Requirement'!CO24</f>
        <v/>
      </c>
      <c r="CS1046">
        <f>'Grid_Requirement'!CP24</f>
        <v/>
      </c>
      <c r="CT1046">
        <f>'Grid_Requirement'!CQ24</f>
        <v/>
      </c>
      <c r="CU1046">
        <f>'Grid_Requirement'!CR24</f>
        <v/>
      </c>
      <c r="CV1046">
        <f>'Grid_Requirement'!CS24</f>
        <v/>
      </c>
      <c r="CW1046">
        <f>'Grid_Requirement'!CT24</f>
        <v/>
      </c>
      <c r="CX1046">
        <f>'Grid_Requirement'!CU24</f>
        <v/>
      </c>
      <c r="CY1046">
        <f>'Grid_Requirement'!CV24</f>
        <v/>
      </c>
      <c r="CZ1046">
        <f>'Grid_Requirement'!CW24</f>
        <v/>
      </c>
      <c r="DA1046">
        <f>'Grid_Requirement'!CX24</f>
        <v/>
      </c>
      <c r="DB1046">
        <f>'Grid_Requirement'!CY24</f>
        <v/>
      </c>
      <c r="DC1046">
        <f>'Grid_Requirement'!CZ24</f>
        <v/>
      </c>
      <c r="DD1046">
        <f>'Grid_Requirement'!DA24</f>
        <v/>
      </c>
    </row>
    <row r="1047">
      <c r="B1047" s="23" t="inlineStr">
        <is>
          <t>（在庫・入荷予定はDashboard参照）</t>
        </is>
      </c>
    </row>
    <row r="1049">
      <c r="A1049" s="21" t="inlineStr">
        <is>
          <t>CHEM-1560</t>
        </is>
      </c>
      <c r="B1049" s="21" t="inlineStr">
        <is>
          <t>TPZ-511</t>
        </is>
      </c>
      <c r="C1049" s="21" t="n"/>
      <c r="D1049" s="21" t="n"/>
      <c r="E1049" s="21" t="n"/>
      <c r="F1049" s="21" t="n"/>
      <c r="G1049" s="21" t="n"/>
      <c r="H1049" s="21" t="n"/>
      <c r="I1049" s="21" t="n"/>
      <c r="J1049" s="21" t="n"/>
      <c r="K1049" s="21" t="n"/>
      <c r="L1049" s="21" t="n"/>
      <c r="M1049" s="21" t="n"/>
      <c r="N1049" s="21" t="n"/>
      <c r="O1049" s="21" t="n"/>
      <c r="P1049" s="21" t="n"/>
      <c r="Q1049" s="21" t="n"/>
      <c r="R1049" s="21" t="n"/>
      <c r="S1049" s="21" t="n"/>
      <c r="T1049" s="21" t="n"/>
      <c r="U1049" s="21" t="n"/>
      <c r="V1049" s="21" t="n"/>
      <c r="W1049" s="21" t="n"/>
      <c r="X1049" s="21" t="n"/>
      <c r="Y1049" s="21" t="n"/>
      <c r="Z1049" s="21" t="n"/>
      <c r="AA1049" s="21" t="n"/>
      <c r="AB1049" s="21" t="n"/>
      <c r="AC1049" s="21" t="n"/>
      <c r="AD1049" s="21" t="n"/>
      <c r="AE1049" s="21" t="n"/>
      <c r="AF1049" s="21" t="n"/>
      <c r="AG1049" s="21" t="n"/>
      <c r="AH1049" s="21" t="n"/>
      <c r="AI1049" s="21" t="n"/>
      <c r="AJ1049" s="21" t="n"/>
      <c r="AK1049" s="21" t="n"/>
      <c r="AL1049" s="21" t="n"/>
      <c r="AM1049" s="21" t="n"/>
      <c r="AN1049" s="21" t="n"/>
      <c r="AO1049" s="21" t="n"/>
      <c r="AP1049" s="21" t="n"/>
      <c r="AQ1049" s="21" t="n"/>
      <c r="AR1049" s="21" t="n"/>
      <c r="AS1049" s="21" t="n"/>
      <c r="AT1049" s="21" t="n"/>
      <c r="AU1049" s="21" t="n"/>
      <c r="AV1049" s="21" t="n"/>
      <c r="AW1049" s="21" t="n"/>
      <c r="AX1049" s="21" t="n"/>
      <c r="AY1049" s="21" t="n"/>
      <c r="AZ1049" s="21" t="n"/>
      <c r="BA1049" s="21" t="n"/>
      <c r="BB1049" s="21" t="n"/>
      <c r="BC1049" s="21" t="n"/>
      <c r="BD1049" s="21" t="n"/>
      <c r="BE1049" s="21" t="n"/>
      <c r="BF1049" s="21" t="n"/>
      <c r="BG1049" s="21" t="n"/>
      <c r="BH1049" s="21" t="n"/>
      <c r="BI1049" s="21" t="n"/>
      <c r="BJ1049" s="21" t="n"/>
      <c r="BK1049" s="21" t="n"/>
      <c r="BL1049" s="21" t="n"/>
      <c r="BM1049" s="21" t="n"/>
      <c r="BN1049" s="21" t="n"/>
      <c r="BO1049" s="21" t="n"/>
      <c r="BP1049" s="21" t="n"/>
      <c r="BQ1049" s="21" t="n"/>
      <c r="BR1049" s="21" t="n"/>
      <c r="BS1049" s="21" t="n"/>
      <c r="BT1049" s="21" t="n"/>
      <c r="BU1049" s="21" t="n"/>
      <c r="BV1049" s="21" t="n"/>
      <c r="BW1049" s="21" t="n"/>
      <c r="BX1049" s="21" t="n"/>
      <c r="BY1049" s="21" t="n"/>
      <c r="BZ1049" s="21" t="n"/>
      <c r="CA1049" s="21" t="n"/>
      <c r="CB1049" s="21" t="n"/>
      <c r="CC1049" s="21" t="n"/>
      <c r="CD1049" s="21" t="n"/>
      <c r="CE1049" s="21" t="n"/>
      <c r="CF1049" s="21" t="n"/>
      <c r="CG1049" s="21" t="n"/>
      <c r="CH1049" s="21" t="n"/>
      <c r="CI1049" s="21" t="n"/>
      <c r="CJ1049" s="21" t="n"/>
      <c r="CK1049" s="21" t="n"/>
      <c r="CL1049" s="21" t="n"/>
      <c r="CM1049" s="21" t="n"/>
      <c r="CN1049" s="21" t="n"/>
      <c r="CO1049" s="21" t="n"/>
      <c r="CP1049" s="21" t="n"/>
      <c r="CQ1049" s="21" t="n"/>
      <c r="CR1049" s="21" t="n"/>
      <c r="CS1049" s="21" t="n"/>
      <c r="CT1049" s="21" t="n"/>
      <c r="CU1049" s="21" t="n"/>
      <c r="CV1049" s="21" t="n"/>
      <c r="CW1049" s="21" t="n"/>
      <c r="CX1049" s="21" t="n"/>
      <c r="CY1049" s="21" t="n"/>
      <c r="CZ1049" s="21" t="n"/>
      <c r="DA1049" s="21" t="n"/>
      <c r="DB1049" s="21" t="n"/>
      <c r="DC1049" s="21" t="n"/>
      <c r="DD1049" s="21" t="n"/>
    </row>
    <row r="1050">
      <c r="B1050" t="inlineStr">
        <is>
          <t>TSP-360</t>
        </is>
      </c>
      <c r="C1050" t="inlineStr">
        <is>
          <t>No. of batches</t>
        </is>
      </c>
      <c r="D1050">
        <f>IFERROR(INDEX(E1050:DD1050,$F$1),"")</f>
        <v/>
      </c>
      <c r="E1050">
        <f>IFERROR(INDEX(PP_Grid[#Data],$DE1050,2),0)</f>
        <v/>
      </c>
      <c r="F1050">
        <f>IFERROR(INDEX(PP_Grid[#Data],$DE1050,3),0)</f>
        <v/>
      </c>
      <c r="G1050">
        <f>IFERROR(INDEX(PP_Grid[#Data],$DE1050,4),0)</f>
        <v/>
      </c>
      <c r="H1050">
        <f>IFERROR(INDEX(PP_Grid[#Data],$DE1050,5),0)</f>
        <v/>
      </c>
      <c r="I1050">
        <f>IFERROR(INDEX(PP_Grid[#Data],$DE1050,6),0)</f>
        <v/>
      </c>
      <c r="J1050">
        <f>IFERROR(INDEX(PP_Grid[#Data],$DE1050,7),0)</f>
        <v/>
      </c>
      <c r="K1050">
        <f>IFERROR(INDEX(PP_Grid[#Data],$DE1050,8),0)</f>
        <v/>
      </c>
      <c r="L1050">
        <f>IFERROR(INDEX(PP_Grid[#Data],$DE1050,9),0)</f>
        <v/>
      </c>
      <c r="M1050">
        <f>IFERROR(INDEX(PP_Grid[#Data],$DE1050,10),0)</f>
        <v/>
      </c>
      <c r="N1050">
        <f>IFERROR(INDEX(PP_Grid[#Data],$DE1050,11),0)</f>
        <v/>
      </c>
      <c r="O1050">
        <f>IFERROR(INDEX(PP_Grid[#Data],$DE1050,12),0)</f>
        <v/>
      </c>
      <c r="P1050">
        <f>IFERROR(INDEX(PP_Grid[#Data],$DE1050,13),0)</f>
        <v/>
      </c>
      <c r="Q1050">
        <f>IFERROR(INDEX(PP_Grid[#Data],$DE1050,14),0)</f>
        <v/>
      </c>
      <c r="R1050">
        <f>IFERROR(INDEX(PP_Grid[#Data],$DE1050,15),0)</f>
        <v/>
      </c>
      <c r="S1050">
        <f>IFERROR(INDEX(PP_Grid[#Data],$DE1050,16),0)</f>
        <v/>
      </c>
      <c r="T1050">
        <f>IFERROR(INDEX(PP_Grid[#Data],$DE1050,17),0)</f>
        <v/>
      </c>
      <c r="U1050">
        <f>IFERROR(INDEX(PP_Grid[#Data],$DE1050,18),0)</f>
        <v/>
      </c>
      <c r="V1050">
        <f>IFERROR(INDEX(PP_Grid[#Data],$DE1050,19),0)</f>
        <v/>
      </c>
      <c r="W1050">
        <f>IFERROR(INDEX(PP_Grid[#Data],$DE1050,20),0)</f>
        <v/>
      </c>
      <c r="X1050">
        <f>IFERROR(INDEX(PP_Grid[#Data],$DE1050,21),0)</f>
        <v/>
      </c>
      <c r="Y1050">
        <f>IFERROR(INDEX(PP_Grid[#Data],$DE1050,22),0)</f>
        <v/>
      </c>
      <c r="Z1050">
        <f>IFERROR(INDEX(PP_Grid[#Data],$DE1050,23),0)</f>
        <v/>
      </c>
      <c r="AA1050">
        <f>IFERROR(INDEX(PP_Grid[#Data],$DE1050,24),0)</f>
        <v/>
      </c>
      <c r="AB1050">
        <f>IFERROR(INDEX(PP_Grid[#Data],$DE1050,25),0)</f>
        <v/>
      </c>
      <c r="AC1050">
        <f>IFERROR(INDEX(PP_Grid[#Data],$DE1050,26),0)</f>
        <v/>
      </c>
      <c r="AD1050">
        <f>IFERROR(INDEX(PP_Grid[#Data],$DE1050,27),0)</f>
        <v/>
      </c>
      <c r="AE1050">
        <f>IFERROR(INDEX(PP_Grid[#Data],$DE1050,28),0)</f>
        <v/>
      </c>
      <c r="AF1050">
        <f>IFERROR(INDEX(PP_Grid[#Data],$DE1050,29),0)</f>
        <v/>
      </c>
      <c r="AG1050">
        <f>IFERROR(INDEX(PP_Grid[#Data],$DE1050,30),0)</f>
        <v/>
      </c>
      <c r="AH1050">
        <f>IFERROR(INDEX(PP_Grid[#Data],$DE1050,31),0)</f>
        <v/>
      </c>
      <c r="AI1050">
        <f>IFERROR(INDEX(PP_Grid[#Data],$DE1050,32),0)</f>
        <v/>
      </c>
      <c r="AJ1050">
        <f>IFERROR(INDEX(PP_Grid[#Data],$DE1050,33),0)</f>
        <v/>
      </c>
      <c r="AK1050">
        <f>IFERROR(INDEX(PP_Grid[#Data],$DE1050,34),0)</f>
        <v/>
      </c>
      <c r="AL1050">
        <f>IFERROR(INDEX(PP_Grid[#Data],$DE1050,35),0)</f>
        <v/>
      </c>
      <c r="AM1050">
        <f>IFERROR(INDEX(PP_Grid[#Data],$DE1050,36),0)</f>
        <v/>
      </c>
      <c r="AN1050">
        <f>IFERROR(INDEX(PP_Grid[#Data],$DE1050,37),0)</f>
        <v/>
      </c>
      <c r="AO1050">
        <f>IFERROR(INDEX(PP_Grid[#Data],$DE1050,38),0)</f>
        <v/>
      </c>
      <c r="AP1050">
        <f>IFERROR(INDEX(PP_Grid[#Data],$DE1050,39),0)</f>
        <v/>
      </c>
      <c r="AQ1050">
        <f>IFERROR(INDEX(PP_Grid[#Data],$DE1050,40),0)</f>
        <v/>
      </c>
      <c r="AR1050">
        <f>IFERROR(INDEX(PP_Grid[#Data],$DE1050,41),0)</f>
        <v/>
      </c>
      <c r="AS1050">
        <f>IFERROR(INDEX(PP_Grid[#Data],$DE1050,42),0)</f>
        <v/>
      </c>
      <c r="AT1050">
        <f>IFERROR(INDEX(PP_Grid[#Data],$DE1050,43),0)</f>
        <v/>
      </c>
      <c r="AU1050">
        <f>IFERROR(INDEX(PP_Grid[#Data],$DE1050,44),0)</f>
        <v/>
      </c>
      <c r="AV1050">
        <f>IFERROR(INDEX(PP_Grid[#Data],$DE1050,45),0)</f>
        <v/>
      </c>
      <c r="AW1050">
        <f>IFERROR(INDEX(PP_Grid[#Data],$DE1050,46),0)</f>
        <v/>
      </c>
      <c r="AX1050">
        <f>IFERROR(INDEX(PP_Grid[#Data],$DE1050,47),0)</f>
        <v/>
      </c>
      <c r="AY1050">
        <f>IFERROR(INDEX(PP_Grid[#Data],$DE1050,48),0)</f>
        <v/>
      </c>
      <c r="AZ1050">
        <f>IFERROR(INDEX(PP_Grid[#Data],$DE1050,49),0)</f>
        <v/>
      </c>
      <c r="BA1050">
        <f>IFERROR(INDEX(PP_Grid[#Data],$DE1050,50),0)</f>
        <v/>
      </c>
      <c r="BB1050">
        <f>IFERROR(INDEX(PP_Grid[#Data],$DE1050,51),0)</f>
        <v/>
      </c>
      <c r="BC1050">
        <f>IFERROR(INDEX(PP_Grid[#Data],$DE1050,52),0)</f>
        <v/>
      </c>
      <c r="BD1050">
        <f>IFERROR(INDEX(PP_Grid[#Data],$DE1050,53),0)</f>
        <v/>
      </c>
      <c r="BE1050">
        <f>IFERROR(INDEX(PP_Grid[#Data],$DE1050,54),0)</f>
        <v/>
      </c>
      <c r="BF1050">
        <f>IFERROR(INDEX(PP_Grid[#Data],$DE1050,55),0)</f>
        <v/>
      </c>
      <c r="BG1050">
        <f>IFERROR(INDEX(PP_Grid[#Data],$DE1050,56),0)</f>
        <v/>
      </c>
      <c r="BH1050">
        <f>IFERROR(INDEX(PP_Grid[#Data],$DE1050,57),0)</f>
        <v/>
      </c>
      <c r="BI1050">
        <f>IFERROR(INDEX(PP_Grid[#Data],$DE1050,58),0)</f>
        <v/>
      </c>
      <c r="BJ1050">
        <f>IFERROR(INDEX(PP_Grid[#Data],$DE1050,59),0)</f>
        <v/>
      </c>
      <c r="BK1050">
        <f>IFERROR(INDEX(PP_Grid[#Data],$DE1050,60),0)</f>
        <v/>
      </c>
      <c r="BL1050">
        <f>IFERROR(INDEX(PP_Grid[#Data],$DE1050,61),0)</f>
        <v/>
      </c>
      <c r="BM1050">
        <f>IFERROR(INDEX(PP_Grid[#Data],$DE1050,62),0)</f>
        <v/>
      </c>
      <c r="BN1050">
        <f>IFERROR(INDEX(PP_Grid[#Data],$DE1050,63),0)</f>
        <v/>
      </c>
      <c r="BO1050">
        <f>IFERROR(INDEX(PP_Grid[#Data],$DE1050,64),0)</f>
        <v/>
      </c>
      <c r="BP1050">
        <f>IFERROR(INDEX(PP_Grid[#Data],$DE1050,65),0)</f>
        <v/>
      </c>
      <c r="BQ1050">
        <f>IFERROR(INDEX(PP_Grid[#Data],$DE1050,66),0)</f>
        <v/>
      </c>
      <c r="BR1050">
        <f>IFERROR(INDEX(PP_Grid[#Data],$DE1050,67),0)</f>
        <v/>
      </c>
      <c r="BS1050">
        <f>IFERROR(INDEX(PP_Grid[#Data],$DE1050,68),0)</f>
        <v/>
      </c>
      <c r="BT1050">
        <f>IFERROR(INDEX(PP_Grid[#Data],$DE1050,69),0)</f>
        <v/>
      </c>
      <c r="BU1050">
        <f>IFERROR(INDEX(PP_Grid[#Data],$DE1050,70),0)</f>
        <v/>
      </c>
      <c r="BV1050">
        <f>IFERROR(INDEX(PP_Grid[#Data],$DE1050,71),0)</f>
        <v/>
      </c>
      <c r="BW1050">
        <f>IFERROR(INDEX(PP_Grid[#Data],$DE1050,72),0)</f>
        <v/>
      </c>
      <c r="BX1050">
        <f>IFERROR(INDEX(PP_Grid[#Data],$DE1050,73),0)</f>
        <v/>
      </c>
      <c r="BY1050">
        <f>IFERROR(INDEX(PP_Grid[#Data],$DE1050,74),0)</f>
        <v/>
      </c>
      <c r="BZ1050">
        <f>IFERROR(INDEX(PP_Grid[#Data],$DE1050,75),0)</f>
        <v/>
      </c>
      <c r="CA1050">
        <f>IFERROR(INDEX(PP_Grid[#Data],$DE1050,76),0)</f>
        <v/>
      </c>
      <c r="CB1050">
        <f>IFERROR(INDEX(PP_Grid[#Data],$DE1050,77),0)</f>
        <v/>
      </c>
      <c r="CC1050">
        <f>IFERROR(INDEX(PP_Grid[#Data],$DE1050,78),0)</f>
        <v/>
      </c>
      <c r="CD1050">
        <f>IFERROR(INDEX(PP_Grid[#Data],$DE1050,79),0)</f>
        <v/>
      </c>
      <c r="CE1050">
        <f>IFERROR(INDEX(PP_Grid[#Data],$DE1050,80),0)</f>
        <v/>
      </c>
      <c r="CF1050">
        <f>IFERROR(INDEX(PP_Grid[#Data],$DE1050,81),0)</f>
        <v/>
      </c>
      <c r="CG1050">
        <f>IFERROR(INDEX(PP_Grid[#Data],$DE1050,82),0)</f>
        <v/>
      </c>
      <c r="CH1050">
        <f>IFERROR(INDEX(PP_Grid[#Data],$DE1050,83),0)</f>
        <v/>
      </c>
      <c r="CI1050">
        <f>IFERROR(INDEX(PP_Grid[#Data],$DE1050,84),0)</f>
        <v/>
      </c>
      <c r="CJ1050">
        <f>IFERROR(INDEX(PP_Grid[#Data],$DE1050,85),0)</f>
        <v/>
      </c>
      <c r="CK1050">
        <f>IFERROR(INDEX(PP_Grid[#Data],$DE1050,86),0)</f>
        <v/>
      </c>
      <c r="CL1050">
        <f>IFERROR(INDEX(PP_Grid[#Data],$DE1050,87),0)</f>
        <v/>
      </c>
      <c r="CM1050">
        <f>IFERROR(INDEX(PP_Grid[#Data],$DE1050,88),0)</f>
        <v/>
      </c>
      <c r="CN1050">
        <f>IFERROR(INDEX(PP_Grid[#Data],$DE1050,89),0)</f>
        <v/>
      </c>
      <c r="CO1050">
        <f>IFERROR(INDEX(PP_Grid[#Data],$DE1050,90),0)</f>
        <v/>
      </c>
      <c r="CP1050">
        <f>IFERROR(INDEX(PP_Grid[#Data],$DE1050,91),0)</f>
        <v/>
      </c>
      <c r="CQ1050">
        <f>IFERROR(INDEX(PP_Grid[#Data],$DE1050,92),0)</f>
        <v/>
      </c>
      <c r="CR1050">
        <f>IFERROR(INDEX(PP_Grid[#Data],$DE1050,93),0)</f>
        <v/>
      </c>
      <c r="CS1050">
        <f>IFERROR(INDEX(PP_Grid[#Data],$DE1050,94),0)</f>
        <v/>
      </c>
      <c r="CT1050">
        <f>IFERROR(INDEX(PP_Grid[#Data],$DE1050,95),0)</f>
        <v/>
      </c>
      <c r="CU1050">
        <f>IFERROR(INDEX(PP_Grid[#Data],$DE1050,96),0)</f>
        <v/>
      </c>
      <c r="CV1050">
        <f>IFERROR(INDEX(PP_Grid[#Data],$DE1050,97),0)</f>
        <v/>
      </c>
      <c r="CW1050">
        <f>IFERROR(INDEX(PP_Grid[#Data],$DE1050,98),0)</f>
        <v/>
      </c>
      <c r="CX1050">
        <f>IFERROR(INDEX(PP_Grid[#Data],$DE1050,99),0)</f>
        <v/>
      </c>
      <c r="CY1050">
        <f>IFERROR(INDEX(PP_Grid[#Data],$DE1050,100),0)</f>
        <v/>
      </c>
      <c r="CZ1050">
        <f>IFERROR(INDEX(PP_Grid[#Data],$DE1050,101),0)</f>
        <v/>
      </c>
      <c r="DA1050">
        <f>IFERROR(INDEX(PP_Grid[#Data],$DE1050,102),0)</f>
        <v/>
      </c>
      <c r="DB1050">
        <f>IFERROR(INDEX(PP_Grid[#Data],$DE1050,103),0)</f>
        <v/>
      </c>
      <c r="DC1050">
        <f>IFERROR(INDEX(PP_Grid[#Data],$DE1050,104),0)</f>
        <v/>
      </c>
      <c r="DD1050">
        <f>IFERROR(INDEX(PP_Grid[#Data],$DE1050,105),0)</f>
        <v/>
      </c>
      <c r="DE1050" s="7">
        <f>IFERROR(MATCH($B1050,PP_Grid[Intermediate],0),99999)</f>
        <v/>
      </c>
    </row>
    <row r="1051">
      <c r="B1051" t="inlineStr">
        <is>
          <t>使用量(kg)</t>
        </is>
      </c>
      <c r="C1051">
        <f>SUMIFS(M_BOM[RM_Qty_Per_Batch],M_BOM[Intermediate],$B1050,M_BOM[RM_Code],$A1049)</f>
        <v/>
      </c>
      <c r="D1051">
        <f>IFERROR(INDEX(E1051:DD1051,$F$1),"")</f>
        <v/>
      </c>
      <c r="E1051">
        <f>$C1051*E1050</f>
        <v/>
      </c>
      <c r="F1051">
        <f>$C1051*F1050</f>
        <v/>
      </c>
      <c r="G1051">
        <f>$C1051*G1050</f>
        <v/>
      </c>
      <c r="H1051">
        <f>$C1051*H1050</f>
        <v/>
      </c>
      <c r="I1051">
        <f>$C1051*I1050</f>
        <v/>
      </c>
      <c r="J1051">
        <f>$C1051*J1050</f>
        <v/>
      </c>
      <c r="K1051">
        <f>$C1051*K1050</f>
        <v/>
      </c>
      <c r="L1051">
        <f>$C1051*L1050</f>
        <v/>
      </c>
      <c r="M1051">
        <f>$C1051*M1050</f>
        <v/>
      </c>
      <c r="N1051">
        <f>$C1051*N1050</f>
        <v/>
      </c>
      <c r="O1051">
        <f>$C1051*O1050</f>
        <v/>
      </c>
      <c r="P1051">
        <f>$C1051*P1050</f>
        <v/>
      </c>
      <c r="Q1051">
        <f>$C1051*Q1050</f>
        <v/>
      </c>
      <c r="R1051">
        <f>$C1051*R1050</f>
        <v/>
      </c>
      <c r="S1051">
        <f>$C1051*S1050</f>
        <v/>
      </c>
      <c r="T1051">
        <f>$C1051*T1050</f>
        <v/>
      </c>
      <c r="U1051">
        <f>$C1051*U1050</f>
        <v/>
      </c>
      <c r="V1051">
        <f>$C1051*V1050</f>
        <v/>
      </c>
      <c r="W1051">
        <f>$C1051*W1050</f>
        <v/>
      </c>
      <c r="X1051">
        <f>$C1051*X1050</f>
        <v/>
      </c>
      <c r="Y1051">
        <f>$C1051*Y1050</f>
        <v/>
      </c>
      <c r="Z1051">
        <f>$C1051*Z1050</f>
        <v/>
      </c>
      <c r="AA1051">
        <f>$C1051*AA1050</f>
        <v/>
      </c>
      <c r="AB1051">
        <f>$C1051*AB1050</f>
        <v/>
      </c>
      <c r="AC1051">
        <f>$C1051*AC1050</f>
        <v/>
      </c>
      <c r="AD1051">
        <f>$C1051*AD1050</f>
        <v/>
      </c>
      <c r="AE1051">
        <f>$C1051*AE1050</f>
        <v/>
      </c>
      <c r="AF1051">
        <f>$C1051*AF1050</f>
        <v/>
      </c>
      <c r="AG1051">
        <f>$C1051*AG1050</f>
        <v/>
      </c>
      <c r="AH1051">
        <f>$C1051*AH1050</f>
        <v/>
      </c>
      <c r="AI1051">
        <f>$C1051*AI1050</f>
        <v/>
      </c>
      <c r="AJ1051">
        <f>$C1051*AJ1050</f>
        <v/>
      </c>
      <c r="AK1051">
        <f>$C1051*AK1050</f>
        <v/>
      </c>
      <c r="AL1051">
        <f>$C1051*AL1050</f>
        <v/>
      </c>
      <c r="AM1051">
        <f>$C1051*AM1050</f>
        <v/>
      </c>
      <c r="AN1051">
        <f>$C1051*AN1050</f>
        <v/>
      </c>
      <c r="AO1051">
        <f>$C1051*AO1050</f>
        <v/>
      </c>
      <c r="AP1051">
        <f>$C1051*AP1050</f>
        <v/>
      </c>
      <c r="AQ1051">
        <f>$C1051*AQ1050</f>
        <v/>
      </c>
      <c r="AR1051">
        <f>$C1051*AR1050</f>
        <v/>
      </c>
      <c r="AS1051">
        <f>$C1051*AS1050</f>
        <v/>
      </c>
      <c r="AT1051">
        <f>$C1051*AT1050</f>
        <v/>
      </c>
      <c r="AU1051">
        <f>$C1051*AU1050</f>
        <v/>
      </c>
      <c r="AV1051">
        <f>$C1051*AV1050</f>
        <v/>
      </c>
      <c r="AW1051">
        <f>$C1051*AW1050</f>
        <v/>
      </c>
      <c r="AX1051">
        <f>$C1051*AX1050</f>
        <v/>
      </c>
      <c r="AY1051">
        <f>$C1051*AY1050</f>
        <v/>
      </c>
      <c r="AZ1051">
        <f>$C1051*AZ1050</f>
        <v/>
      </c>
      <c r="BA1051">
        <f>$C1051*BA1050</f>
        <v/>
      </c>
      <c r="BB1051">
        <f>$C1051*BB1050</f>
        <v/>
      </c>
      <c r="BC1051">
        <f>$C1051*BC1050</f>
        <v/>
      </c>
      <c r="BD1051">
        <f>$C1051*BD1050</f>
        <v/>
      </c>
      <c r="BE1051">
        <f>$C1051*BE1050</f>
        <v/>
      </c>
      <c r="BF1051">
        <f>$C1051*BF1050</f>
        <v/>
      </c>
      <c r="BG1051">
        <f>$C1051*BG1050</f>
        <v/>
      </c>
      <c r="BH1051">
        <f>$C1051*BH1050</f>
        <v/>
      </c>
      <c r="BI1051">
        <f>$C1051*BI1050</f>
        <v/>
      </c>
      <c r="BJ1051">
        <f>$C1051*BJ1050</f>
        <v/>
      </c>
      <c r="BK1051">
        <f>$C1051*BK1050</f>
        <v/>
      </c>
      <c r="BL1051">
        <f>$C1051*BL1050</f>
        <v/>
      </c>
      <c r="BM1051">
        <f>$C1051*BM1050</f>
        <v/>
      </c>
      <c r="BN1051">
        <f>$C1051*BN1050</f>
        <v/>
      </c>
      <c r="BO1051">
        <f>$C1051*BO1050</f>
        <v/>
      </c>
      <c r="BP1051">
        <f>$C1051*BP1050</f>
        <v/>
      </c>
      <c r="BQ1051">
        <f>$C1051*BQ1050</f>
        <v/>
      </c>
      <c r="BR1051">
        <f>$C1051*BR1050</f>
        <v/>
      </c>
      <c r="BS1051">
        <f>$C1051*BS1050</f>
        <v/>
      </c>
      <c r="BT1051">
        <f>$C1051*BT1050</f>
        <v/>
      </c>
      <c r="BU1051">
        <f>$C1051*BU1050</f>
        <v/>
      </c>
      <c r="BV1051">
        <f>$C1051*BV1050</f>
        <v/>
      </c>
      <c r="BW1051">
        <f>$C1051*BW1050</f>
        <v/>
      </c>
      <c r="BX1051">
        <f>$C1051*BX1050</f>
        <v/>
      </c>
      <c r="BY1051">
        <f>$C1051*BY1050</f>
        <v/>
      </c>
      <c r="BZ1051">
        <f>$C1051*BZ1050</f>
        <v/>
      </c>
      <c r="CA1051">
        <f>$C1051*CA1050</f>
        <v/>
      </c>
      <c r="CB1051">
        <f>$C1051*CB1050</f>
        <v/>
      </c>
      <c r="CC1051">
        <f>$C1051*CC1050</f>
        <v/>
      </c>
      <c r="CD1051">
        <f>$C1051*CD1050</f>
        <v/>
      </c>
      <c r="CE1051">
        <f>$C1051*CE1050</f>
        <v/>
      </c>
      <c r="CF1051">
        <f>$C1051*CF1050</f>
        <v/>
      </c>
      <c r="CG1051">
        <f>$C1051*CG1050</f>
        <v/>
      </c>
      <c r="CH1051">
        <f>$C1051*CH1050</f>
        <v/>
      </c>
      <c r="CI1051">
        <f>$C1051*CI1050</f>
        <v/>
      </c>
      <c r="CJ1051">
        <f>$C1051*CJ1050</f>
        <v/>
      </c>
      <c r="CK1051">
        <f>$C1051*CK1050</f>
        <v/>
      </c>
      <c r="CL1051">
        <f>$C1051*CL1050</f>
        <v/>
      </c>
      <c r="CM1051">
        <f>$C1051*CM1050</f>
        <v/>
      </c>
      <c r="CN1051">
        <f>$C1051*CN1050</f>
        <v/>
      </c>
      <c r="CO1051">
        <f>$C1051*CO1050</f>
        <v/>
      </c>
      <c r="CP1051">
        <f>$C1051*CP1050</f>
        <v/>
      </c>
      <c r="CQ1051">
        <f>$C1051*CQ1050</f>
        <v/>
      </c>
      <c r="CR1051">
        <f>$C1051*CR1050</f>
        <v/>
      </c>
      <c r="CS1051">
        <f>$C1051*CS1050</f>
        <v/>
      </c>
      <c r="CT1051">
        <f>$C1051*CT1050</f>
        <v/>
      </c>
      <c r="CU1051">
        <f>$C1051*CU1050</f>
        <v/>
      </c>
      <c r="CV1051">
        <f>$C1051*CV1050</f>
        <v/>
      </c>
      <c r="CW1051">
        <f>$C1051*CW1050</f>
        <v/>
      </c>
      <c r="CX1051">
        <f>$C1051*CX1050</f>
        <v/>
      </c>
      <c r="CY1051">
        <f>$C1051*CY1050</f>
        <v/>
      </c>
      <c r="CZ1051">
        <f>$C1051*CZ1050</f>
        <v/>
      </c>
      <c r="DA1051">
        <f>$C1051*DA1050</f>
        <v/>
      </c>
      <c r="DB1051">
        <f>$C1051*DB1050</f>
        <v/>
      </c>
      <c r="DC1051">
        <f>$C1051*DC1050</f>
        <v/>
      </c>
      <c r="DD1051">
        <f>$C1051*DD1050</f>
        <v/>
      </c>
    </row>
    <row r="1052">
      <c r="B1052" t="inlineStr">
        <is>
          <t>TSP-544</t>
        </is>
      </c>
      <c r="C1052" t="inlineStr">
        <is>
          <t>No. of batches</t>
        </is>
      </c>
      <c r="D1052">
        <f>IFERROR(INDEX(E1052:DD1052,$F$1),"")</f>
        <v/>
      </c>
      <c r="E1052">
        <f>IFERROR(INDEX(PP_Grid[#Data],$DE1052,2),0)</f>
        <v/>
      </c>
      <c r="F1052">
        <f>IFERROR(INDEX(PP_Grid[#Data],$DE1052,3),0)</f>
        <v/>
      </c>
      <c r="G1052">
        <f>IFERROR(INDEX(PP_Grid[#Data],$DE1052,4),0)</f>
        <v/>
      </c>
      <c r="H1052">
        <f>IFERROR(INDEX(PP_Grid[#Data],$DE1052,5),0)</f>
        <v/>
      </c>
      <c r="I1052">
        <f>IFERROR(INDEX(PP_Grid[#Data],$DE1052,6),0)</f>
        <v/>
      </c>
      <c r="J1052">
        <f>IFERROR(INDEX(PP_Grid[#Data],$DE1052,7),0)</f>
        <v/>
      </c>
      <c r="K1052">
        <f>IFERROR(INDEX(PP_Grid[#Data],$DE1052,8),0)</f>
        <v/>
      </c>
      <c r="L1052">
        <f>IFERROR(INDEX(PP_Grid[#Data],$DE1052,9),0)</f>
        <v/>
      </c>
      <c r="M1052">
        <f>IFERROR(INDEX(PP_Grid[#Data],$DE1052,10),0)</f>
        <v/>
      </c>
      <c r="N1052">
        <f>IFERROR(INDEX(PP_Grid[#Data],$DE1052,11),0)</f>
        <v/>
      </c>
      <c r="O1052">
        <f>IFERROR(INDEX(PP_Grid[#Data],$DE1052,12),0)</f>
        <v/>
      </c>
      <c r="P1052">
        <f>IFERROR(INDEX(PP_Grid[#Data],$DE1052,13),0)</f>
        <v/>
      </c>
      <c r="Q1052">
        <f>IFERROR(INDEX(PP_Grid[#Data],$DE1052,14),0)</f>
        <v/>
      </c>
      <c r="R1052">
        <f>IFERROR(INDEX(PP_Grid[#Data],$DE1052,15),0)</f>
        <v/>
      </c>
      <c r="S1052">
        <f>IFERROR(INDEX(PP_Grid[#Data],$DE1052,16),0)</f>
        <v/>
      </c>
      <c r="T1052">
        <f>IFERROR(INDEX(PP_Grid[#Data],$DE1052,17),0)</f>
        <v/>
      </c>
      <c r="U1052">
        <f>IFERROR(INDEX(PP_Grid[#Data],$DE1052,18),0)</f>
        <v/>
      </c>
      <c r="V1052">
        <f>IFERROR(INDEX(PP_Grid[#Data],$DE1052,19),0)</f>
        <v/>
      </c>
      <c r="W1052">
        <f>IFERROR(INDEX(PP_Grid[#Data],$DE1052,20),0)</f>
        <v/>
      </c>
      <c r="X1052">
        <f>IFERROR(INDEX(PP_Grid[#Data],$DE1052,21),0)</f>
        <v/>
      </c>
      <c r="Y1052">
        <f>IFERROR(INDEX(PP_Grid[#Data],$DE1052,22),0)</f>
        <v/>
      </c>
      <c r="Z1052">
        <f>IFERROR(INDEX(PP_Grid[#Data],$DE1052,23),0)</f>
        <v/>
      </c>
      <c r="AA1052">
        <f>IFERROR(INDEX(PP_Grid[#Data],$DE1052,24),0)</f>
        <v/>
      </c>
      <c r="AB1052">
        <f>IFERROR(INDEX(PP_Grid[#Data],$DE1052,25),0)</f>
        <v/>
      </c>
      <c r="AC1052">
        <f>IFERROR(INDEX(PP_Grid[#Data],$DE1052,26),0)</f>
        <v/>
      </c>
      <c r="AD1052">
        <f>IFERROR(INDEX(PP_Grid[#Data],$DE1052,27),0)</f>
        <v/>
      </c>
      <c r="AE1052">
        <f>IFERROR(INDEX(PP_Grid[#Data],$DE1052,28),0)</f>
        <v/>
      </c>
      <c r="AF1052">
        <f>IFERROR(INDEX(PP_Grid[#Data],$DE1052,29),0)</f>
        <v/>
      </c>
      <c r="AG1052">
        <f>IFERROR(INDEX(PP_Grid[#Data],$DE1052,30),0)</f>
        <v/>
      </c>
      <c r="AH1052">
        <f>IFERROR(INDEX(PP_Grid[#Data],$DE1052,31),0)</f>
        <v/>
      </c>
      <c r="AI1052">
        <f>IFERROR(INDEX(PP_Grid[#Data],$DE1052,32),0)</f>
        <v/>
      </c>
      <c r="AJ1052">
        <f>IFERROR(INDEX(PP_Grid[#Data],$DE1052,33),0)</f>
        <v/>
      </c>
      <c r="AK1052">
        <f>IFERROR(INDEX(PP_Grid[#Data],$DE1052,34),0)</f>
        <v/>
      </c>
      <c r="AL1052">
        <f>IFERROR(INDEX(PP_Grid[#Data],$DE1052,35),0)</f>
        <v/>
      </c>
      <c r="AM1052">
        <f>IFERROR(INDEX(PP_Grid[#Data],$DE1052,36),0)</f>
        <v/>
      </c>
      <c r="AN1052">
        <f>IFERROR(INDEX(PP_Grid[#Data],$DE1052,37),0)</f>
        <v/>
      </c>
      <c r="AO1052">
        <f>IFERROR(INDEX(PP_Grid[#Data],$DE1052,38),0)</f>
        <v/>
      </c>
      <c r="AP1052">
        <f>IFERROR(INDEX(PP_Grid[#Data],$DE1052,39),0)</f>
        <v/>
      </c>
      <c r="AQ1052">
        <f>IFERROR(INDEX(PP_Grid[#Data],$DE1052,40),0)</f>
        <v/>
      </c>
      <c r="AR1052">
        <f>IFERROR(INDEX(PP_Grid[#Data],$DE1052,41),0)</f>
        <v/>
      </c>
      <c r="AS1052">
        <f>IFERROR(INDEX(PP_Grid[#Data],$DE1052,42),0)</f>
        <v/>
      </c>
      <c r="AT1052">
        <f>IFERROR(INDEX(PP_Grid[#Data],$DE1052,43),0)</f>
        <v/>
      </c>
      <c r="AU1052">
        <f>IFERROR(INDEX(PP_Grid[#Data],$DE1052,44),0)</f>
        <v/>
      </c>
      <c r="AV1052">
        <f>IFERROR(INDEX(PP_Grid[#Data],$DE1052,45),0)</f>
        <v/>
      </c>
      <c r="AW1052">
        <f>IFERROR(INDEX(PP_Grid[#Data],$DE1052,46),0)</f>
        <v/>
      </c>
      <c r="AX1052">
        <f>IFERROR(INDEX(PP_Grid[#Data],$DE1052,47),0)</f>
        <v/>
      </c>
      <c r="AY1052">
        <f>IFERROR(INDEX(PP_Grid[#Data],$DE1052,48),0)</f>
        <v/>
      </c>
      <c r="AZ1052">
        <f>IFERROR(INDEX(PP_Grid[#Data],$DE1052,49),0)</f>
        <v/>
      </c>
      <c r="BA1052">
        <f>IFERROR(INDEX(PP_Grid[#Data],$DE1052,50),0)</f>
        <v/>
      </c>
      <c r="BB1052">
        <f>IFERROR(INDEX(PP_Grid[#Data],$DE1052,51),0)</f>
        <v/>
      </c>
      <c r="BC1052">
        <f>IFERROR(INDEX(PP_Grid[#Data],$DE1052,52),0)</f>
        <v/>
      </c>
      <c r="BD1052">
        <f>IFERROR(INDEX(PP_Grid[#Data],$DE1052,53),0)</f>
        <v/>
      </c>
      <c r="BE1052">
        <f>IFERROR(INDEX(PP_Grid[#Data],$DE1052,54),0)</f>
        <v/>
      </c>
      <c r="BF1052">
        <f>IFERROR(INDEX(PP_Grid[#Data],$DE1052,55),0)</f>
        <v/>
      </c>
      <c r="BG1052">
        <f>IFERROR(INDEX(PP_Grid[#Data],$DE1052,56),0)</f>
        <v/>
      </c>
      <c r="BH1052">
        <f>IFERROR(INDEX(PP_Grid[#Data],$DE1052,57),0)</f>
        <v/>
      </c>
      <c r="BI1052">
        <f>IFERROR(INDEX(PP_Grid[#Data],$DE1052,58),0)</f>
        <v/>
      </c>
      <c r="BJ1052">
        <f>IFERROR(INDEX(PP_Grid[#Data],$DE1052,59),0)</f>
        <v/>
      </c>
      <c r="BK1052">
        <f>IFERROR(INDEX(PP_Grid[#Data],$DE1052,60),0)</f>
        <v/>
      </c>
      <c r="BL1052">
        <f>IFERROR(INDEX(PP_Grid[#Data],$DE1052,61),0)</f>
        <v/>
      </c>
      <c r="BM1052">
        <f>IFERROR(INDEX(PP_Grid[#Data],$DE1052,62),0)</f>
        <v/>
      </c>
      <c r="BN1052">
        <f>IFERROR(INDEX(PP_Grid[#Data],$DE1052,63),0)</f>
        <v/>
      </c>
      <c r="BO1052">
        <f>IFERROR(INDEX(PP_Grid[#Data],$DE1052,64),0)</f>
        <v/>
      </c>
      <c r="BP1052">
        <f>IFERROR(INDEX(PP_Grid[#Data],$DE1052,65),0)</f>
        <v/>
      </c>
      <c r="BQ1052">
        <f>IFERROR(INDEX(PP_Grid[#Data],$DE1052,66),0)</f>
        <v/>
      </c>
      <c r="BR1052">
        <f>IFERROR(INDEX(PP_Grid[#Data],$DE1052,67),0)</f>
        <v/>
      </c>
      <c r="BS1052">
        <f>IFERROR(INDEX(PP_Grid[#Data],$DE1052,68),0)</f>
        <v/>
      </c>
      <c r="BT1052">
        <f>IFERROR(INDEX(PP_Grid[#Data],$DE1052,69),0)</f>
        <v/>
      </c>
      <c r="BU1052">
        <f>IFERROR(INDEX(PP_Grid[#Data],$DE1052,70),0)</f>
        <v/>
      </c>
      <c r="BV1052">
        <f>IFERROR(INDEX(PP_Grid[#Data],$DE1052,71),0)</f>
        <v/>
      </c>
      <c r="BW1052">
        <f>IFERROR(INDEX(PP_Grid[#Data],$DE1052,72),0)</f>
        <v/>
      </c>
      <c r="BX1052">
        <f>IFERROR(INDEX(PP_Grid[#Data],$DE1052,73),0)</f>
        <v/>
      </c>
      <c r="BY1052">
        <f>IFERROR(INDEX(PP_Grid[#Data],$DE1052,74),0)</f>
        <v/>
      </c>
      <c r="BZ1052">
        <f>IFERROR(INDEX(PP_Grid[#Data],$DE1052,75),0)</f>
        <v/>
      </c>
      <c r="CA1052">
        <f>IFERROR(INDEX(PP_Grid[#Data],$DE1052,76),0)</f>
        <v/>
      </c>
      <c r="CB1052">
        <f>IFERROR(INDEX(PP_Grid[#Data],$DE1052,77),0)</f>
        <v/>
      </c>
      <c r="CC1052">
        <f>IFERROR(INDEX(PP_Grid[#Data],$DE1052,78),0)</f>
        <v/>
      </c>
      <c r="CD1052">
        <f>IFERROR(INDEX(PP_Grid[#Data],$DE1052,79),0)</f>
        <v/>
      </c>
      <c r="CE1052">
        <f>IFERROR(INDEX(PP_Grid[#Data],$DE1052,80),0)</f>
        <v/>
      </c>
      <c r="CF1052">
        <f>IFERROR(INDEX(PP_Grid[#Data],$DE1052,81),0)</f>
        <v/>
      </c>
      <c r="CG1052">
        <f>IFERROR(INDEX(PP_Grid[#Data],$DE1052,82),0)</f>
        <v/>
      </c>
      <c r="CH1052">
        <f>IFERROR(INDEX(PP_Grid[#Data],$DE1052,83),0)</f>
        <v/>
      </c>
      <c r="CI1052">
        <f>IFERROR(INDEX(PP_Grid[#Data],$DE1052,84),0)</f>
        <v/>
      </c>
      <c r="CJ1052">
        <f>IFERROR(INDEX(PP_Grid[#Data],$DE1052,85),0)</f>
        <v/>
      </c>
      <c r="CK1052">
        <f>IFERROR(INDEX(PP_Grid[#Data],$DE1052,86),0)</f>
        <v/>
      </c>
      <c r="CL1052">
        <f>IFERROR(INDEX(PP_Grid[#Data],$DE1052,87),0)</f>
        <v/>
      </c>
      <c r="CM1052">
        <f>IFERROR(INDEX(PP_Grid[#Data],$DE1052,88),0)</f>
        <v/>
      </c>
      <c r="CN1052">
        <f>IFERROR(INDEX(PP_Grid[#Data],$DE1052,89),0)</f>
        <v/>
      </c>
      <c r="CO1052">
        <f>IFERROR(INDEX(PP_Grid[#Data],$DE1052,90),0)</f>
        <v/>
      </c>
      <c r="CP1052">
        <f>IFERROR(INDEX(PP_Grid[#Data],$DE1052,91),0)</f>
        <v/>
      </c>
      <c r="CQ1052">
        <f>IFERROR(INDEX(PP_Grid[#Data],$DE1052,92),0)</f>
        <v/>
      </c>
      <c r="CR1052">
        <f>IFERROR(INDEX(PP_Grid[#Data],$DE1052,93),0)</f>
        <v/>
      </c>
      <c r="CS1052">
        <f>IFERROR(INDEX(PP_Grid[#Data],$DE1052,94),0)</f>
        <v/>
      </c>
      <c r="CT1052">
        <f>IFERROR(INDEX(PP_Grid[#Data],$DE1052,95),0)</f>
        <v/>
      </c>
      <c r="CU1052">
        <f>IFERROR(INDEX(PP_Grid[#Data],$DE1052,96),0)</f>
        <v/>
      </c>
      <c r="CV1052">
        <f>IFERROR(INDEX(PP_Grid[#Data],$DE1052,97),0)</f>
        <v/>
      </c>
      <c r="CW1052">
        <f>IFERROR(INDEX(PP_Grid[#Data],$DE1052,98),0)</f>
        <v/>
      </c>
      <c r="CX1052">
        <f>IFERROR(INDEX(PP_Grid[#Data],$DE1052,99),0)</f>
        <v/>
      </c>
      <c r="CY1052">
        <f>IFERROR(INDEX(PP_Grid[#Data],$DE1052,100),0)</f>
        <v/>
      </c>
      <c r="CZ1052">
        <f>IFERROR(INDEX(PP_Grid[#Data],$DE1052,101),0)</f>
        <v/>
      </c>
      <c r="DA1052">
        <f>IFERROR(INDEX(PP_Grid[#Data],$DE1052,102),0)</f>
        <v/>
      </c>
      <c r="DB1052">
        <f>IFERROR(INDEX(PP_Grid[#Data],$DE1052,103),0)</f>
        <v/>
      </c>
      <c r="DC1052">
        <f>IFERROR(INDEX(PP_Grid[#Data],$DE1052,104),0)</f>
        <v/>
      </c>
      <c r="DD1052">
        <f>IFERROR(INDEX(PP_Grid[#Data],$DE1052,105),0)</f>
        <v/>
      </c>
      <c r="DE1052" s="7">
        <f>IFERROR(MATCH($B1052,PP_Grid[Intermediate],0),99999)</f>
        <v/>
      </c>
    </row>
    <row r="1053">
      <c r="B1053" t="inlineStr">
        <is>
          <t>使用量(kg)</t>
        </is>
      </c>
      <c r="C1053">
        <f>SUMIFS(M_BOM[RM_Qty_Per_Batch],M_BOM[Intermediate],$B1052,M_BOM[RM_Code],$A1049)</f>
        <v/>
      </c>
      <c r="D1053">
        <f>IFERROR(INDEX(E1053:DD1053,$F$1),"")</f>
        <v/>
      </c>
      <c r="E1053">
        <f>$C1053*E1052</f>
        <v/>
      </c>
      <c r="F1053">
        <f>$C1053*F1052</f>
        <v/>
      </c>
      <c r="G1053">
        <f>$C1053*G1052</f>
        <v/>
      </c>
      <c r="H1053">
        <f>$C1053*H1052</f>
        <v/>
      </c>
      <c r="I1053">
        <f>$C1053*I1052</f>
        <v/>
      </c>
      <c r="J1053">
        <f>$C1053*J1052</f>
        <v/>
      </c>
      <c r="K1053">
        <f>$C1053*K1052</f>
        <v/>
      </c>
      <c r="L1053">
        <f>$C1053*L1052</f>
        <v/>
      </c>
      <c r="M1053">
        <f>$C1053*M1052</f>
        <v/>
      </c>
      <c r="N1053">
        <f>$C1053*N1052</f>
        <v/>
      </c>
      <c r="O1053">
        <f>$C1053*O1052</f>
        <v/>
      </c>
      <c r="P1053">
        <f>$C1053*P1052</f>
        <v/>
      </c>
      <c r="Q1053">
        <f>$C1053*Q1052</f>
        <v/>
      </c>
      <c r="R1053">
        <f>$C1053*R1052</f>
        <v/>
      </c>
      <c r="S1053">
        <f>$C1053*S1052</f>
        <v/>
      </c>
      <c r="T1053">
        <f>$C1053*T1052</f>
        <v/>
      </c>
      <c r="U1053">
        <f>$C1053*U1052</f>
        <v/>
      </c>
      <c r="V1053">
        <f>$C1053*V1052</f>
        <v/>
      </c>
      <c r="W1053">
        <f>$C1053*W1052</f>
        <v/>
      </c>
      <c r="X1053">
        <f>$C1053*X1052</f>
        <v/>
      </c>
      <c r="Y1053">
        <f>$C1053*Y1052</f>
        <v/>
      </c>
      <c r="Z1053">
        <f>$C1053*Z1052</f>
        <v/>
      </c>
      <c r="AA1053">
        <f>$C1053*AA1052</f>
        <v/>
      </c>
      <c r="AB1053">
        <f>$C1053*AB1052</f>
        <v/>
      </c>
      <c r="AC1053">
        <f>$C1053*AC1052</f>
        <v/>
      </c>
      <c r="AD1053">
        <f>$C1053*AD1052</f>
        <v/>
      </c>
      <c r="AE1053">
        <f>$C1053*AE1052</f>
        <v/>
      </c>
      <c r="AF1053">
        <f>$C1053*AF1052</f>
        <v/>
      </c>
      <c r="AG1053">
        <f>$C1053*AG1052</f>
        <v/>
      </c>
      <c r="AH1053">
        <f>$C1053*AH1052</f>
        <v/>
      </c>
      <c r="AI1053">
        <f>$C1053*AI1052</f>
        <v/>
      </c>
      <c r="AJ1053">
        <f>$C1053*AJ1052</f>
        <v/>
      </c>
      <c r="AK1053">
        <f>$C1053*AK1052</f>
        <v/>
      </c>
      <c r="AL1053">
        <f>$C1053*AL1052</f>
        <v/>
      </c>
      <c r="AM1053">
        <f>$C1053*AM1052</f>
        <v/>
      </c>
      <c r="AN1053">
        <f>$C1053*AN1052</f>
        <v/>
      </c>
      <c r="AO1053">
        <f>$C1053*AO1052</f>
        <v/>
      </c>
      <c r="AP1053">
        <f>$C1053*AP1052</f>
        <v/>
      </c>
      <c r="AQ1053">
        <f>$C1053*AQ1052</f>
        <v/>
      </c>
      <c r="AR1053">
        <f>$C1053*AR1052</f>
        <v/>
      </c>
      <c r="AS1053">
        <f>$C1053*AS1052</f>
        <v/>
      </c>
      <c r="AT1053">
        <f>$C1053*AT1052</f>
        <v/>
      </c>
      <c r="AU1053">
        <f>$C1053*AU1052</f>
        <v/>
      </c>
      <c r="AV1053">
        <f>$C1053*AV1052</f>
        <v/>
      </c>
      <c r="AW1053">
        <f>$C1053*AW1052</f>
        <v/>
      </c>
      <c r="AX1053">
        <f>$C1053*AX1052</f>
        <v/>
      </c>
      <c r="AY1053">
        <f>$C1053*AY1052</f>
        <v/>
      </c>
      <c r="AZ1053">
        <f>$C1053*AZ1052</f>
        <v/>
      </c>
      <c r="BA1053">
        <f>$C1053*BA1052</f>
        <v/>
      </c>
      <c r="BB1053">
        <f>$C1053*BB1052</f>
        <v/>
      </c>
      <c r="BC1053">
        <f>$C1053*BC1052</f>
        <v/>
      </c>
      <c r="BD1053">
        <f>$C1053*BD1052</f>
        <v/>
      </c>
      <c r="BE1053">
        <f>$C1053*BE1052</f>
        <v/>
      </c>
      <c r="BF1053">
        <f>$C1053*BF1052</f>
        <v/>
      </c>
      <c r="BG1053">
        <f>$C1053*BG1052</f>
        <v/>
      </c>
      <c r="BH1053">
        <f>$C1053*BH1052</f>
        <v/>
      </c>
      <c r="BI1053">
        <f>$C1053*BI1052</f>
        <v/>
      </c>
      <c r="BJ1053">
        <f>$C1053*BJ1052</f>
        <v/>
      </c>
      <c r="BK1053">
        <f>$C1053*BK1052</f>
        <v/>
      </c>
      <c r="BL1053">
        <f>$C1053*BL1052</f>
        <v/>
      </c>
      <c r="BM1053">
        <f>$C1053*BM1052</f>
        <v/>
      </c>
      <c r="BN1053">
        <f>$C1053*BN1052</f>
        <v/>
      </c>
      <c r="BO1053">
        <f>$C1053*BO1052</f>
        <v/>
      </c>
      <c r="BP1053">
        <f>$C1053*BP1052</f>
        <v/>
      </c>
      <c r="BQ1053">
        <f>$C1053*BQ1052</f>
        <v/>
      </c>
      <c r="BR1053">
        <f>$C1053*BR1052</f>
        <v/>
      </c>
      <c r="BS1053">
        <f>$C1053*BS1052</f>
        <v/>
      </c>
      <c r="BT1053">
        <f>$C1053*BT1052</f>
        <v/>
      </c>
      <c r="BU1053">
        <f>$C1053*BU1052</f>
        <v/>
      </c>
      <c r="BV1053">
        <f>$C1053*BV1052</f>
        <v/>
      </c>
      <c r="BW1053">
        <f>$C1053*BW1052</f>
        <v/>
      </c>
      <c r="BX1053">
        <f>$C1053*BX1052</f>
        <v/>
      </c>
      <c r="BY1053">
        <f>$C1053*BY1052</f>
        <v/>
      </c>
      <c r="BZ1053">
        <f>$C1053*BZ1052</f>
        <v/>
      </c>
      <c r="CA1053">
        <f>$C1053*CA1052</f>
        <v/>
      </c>
      <c r="CB1053">
        <f>$C1053*CB1052</f>
        <v/>
      </c>
      <c r="CC1053">
        <f>$C1053*CC1052</f>
        <v/>
      </c>
      <c r="CD1053">
        <f>$C1053*CD1052</f>
        <v/>
      </c>
      <c r="CE1053">
        <f>$C1053*CE1052</f>
        <v/>
      </c>
      <c r="CF1053">
        <f>$C1053*CF1052</f>
        <v/>
      </c>
      <c r="CG1053">
        <f>$C1053*CG1052</f>
        <v/>
      </c>
      <c r="CH1053">
        <f>$C1053*CH1052</f>
        <v/>
      </c>
      <c r="CI1053">
        <f>$C1053*CI1052</f>
        <v/>
      </c>
      <c r="CJ1053">
        <f>$C1053*CJ1052</f>
        <v/>
      </c>
      <c r="CK1053">
        <f>$C1053*CK1052</f>
        <v/>
      </c>
      <c r="CL1053">
        <f>$C1053*CL1052</f>
        <v/>
      </c>
      <c r="CM1053">
        <f>$C1053*CM1052</f>
        <v/>
      </c>
      <c r="CN1053">
        <f>$C1053*CN1052</f>
        <v/>
      </c>
      <c r="CO1053">
        <f>$C1053*CO1052</f>
        <v/>
      </c>
      <c r="CP1053">
        <f>$C1053*CP1052</f>
        <v/>
      </c>
      <c r="CQ1053">
        <f>$C1053*CQ1052</f>
        <v/>
      </c>
      <c r="CR1053">
        <f>$C1053*CR1052</f>
        <v/>
      </c>
      <c r="CS1053">
        <f>$C1053*CS1052</f>
        <v/>
      </c>
      <c r="CT1053">
        <f>$C1053*CT1052</f>
        <v/>
      </c>
      <c r="CU1053">
        <f>$C1053*CU1052</f>
        <v/>
      </c>
      <c r="CV1053">
        <f>$C1053*CV1052</f>
        <v/>
      </c>
      <c r="CW1053">
        <f>$C1053*CW1052</f>
        <v/>
      </c>
      <c r="CX1053">
        <f>$C1053*CX1052</f>
        <v/>
      </c>
      <c r="CY1053">
        <f>$C1053*CY1052</f>
        <v/>
      </c>
      <c r="CZ1053">
        <f>$C1053*CZ1052</f>
        <v/>
      </c>
      <c r="DA1053">
        <f>$C1053*DA1052</f>
        <v/>
      </c>
      <c r="DB1053">
        <f>$C1053*DB1052</f>
        <v/>
      </c>
      <c r="DC1053">
        <f>$C1053*DC1052</f>
        <v/>
      </c>
      <c r="DD1053">
        <f>$C1053*DD1052</f>
        <v/>
      </c>
    </row>
    <row r="1054">
      <c r="B1054" t="inlineStr">
        <is>
          <t>TSP-710</t>
        </is>
      </c>
      <c r="C1054" t="inlineStr">
        <is>
          <t>No. of batches</t>
        </is>
      </c>
      <c r="D1054">
        <f>IFERROR(INDEX(E1054:DD1054,$F$1),"")</f>
        <v/>
      </c>
      <c r="E1054">
        <f>IFERROR(INDEX(PP_Grid[#Data],$DE1054,2),0)</f>
        <v/>
      </c>
      <c r="F1054">
        <f>IFERROR(INDEX(PP_Grid[#Data],$DE1054,3),0)</f>
        <v/>
      </c>
      <c r="G1054">
        <f>IFERROR(INDEX(PP_Grid[#Data],$DE1054,4),0)</f>
        <v/>
      </c>
      <c r="H1054">
        <f>IFERROR(INDEX(PP_Grid[#Data],$DE1054,5),0)</f>
        <v/>
      </c>
      <c r="I1054">
        <f>IFERROR(INDEX(PP_Grid[#Data],$DE1054,6),0)</f>
        <v/>
      </c>
      <c r="J1054">
        <f>IFERROR(INDEX(PP_Grid[#Data],$DE1054,7),0)</f>
        <v/>
      </c>
      <c r="K1054">
        <f>IFERROR(INDEX(PP_Grid[#Data],$DE1054,8),0)</f>
        <v/>
      </c>
      <c r="L1054">
        <f>IFERROR(INDEX(PP_Grid[#Data],$DE1054,9),0)</f>
        <v/>
      </c>
      <c r="M1054">
        <f>IFERROR(INDEX(PP_Grid[#Data],$DE1054,10),0)</f>
        <v/>
      </c>
      <c r="N1054">
        <f>IFERROR(INDEX(PP_Grid[#Data],$DE1054,11),0)</f>
        <v/>
      </c>
      <c r="O1054">
        <f>IFERROR(INDEX(PP_Grid[#Data],$DE1054,12),0)</f>
        <v/>
      </c>
      <c r="P1054">
        <f>IFERROR(INDEX(PP_Grid[#Data],$DE1054,13),0)</f>
        <v/>
      </c>
      <c r="Q1054">
        <f>IFERROR(INDEX(PP_Grid[#Data],$DE1054,14),0)</f>
        <v/>
      </c>
      <c r="R1054">
        <f>IFERROR(INDEX(PP_Grid[#Data],$DE1054,15),0)</f>
        <v/>
      </c>
      <c r="S1054">
        <f>IFERROR(INDEX(PP_Grid[#Data],$DE1054,16),0)</f>
        <v/>
      </c>
      <c r="T1054">
        <f>IFERROR(INDEX(PP_Grid[#Data],$DE1054,17),0)</f>
        <v/>
      </c>
      <c r="U1054">
        <f>IFERROR(INDEX(PP_Grid[#Data],$DE1054,18),0)</f>
        <v/>
      </c>
      <c r="V1054">
        <f>IFERROR(INDEX(PP_Grid[#Data],$DE1054,19),0)</f>
        <v/>
      </c>
      <c r="W1054">
        <f>IFERROR(INDEX(PP_Grid[#Data],$DE1054,20),0)</f>
        <v/>
      </c>
      <c r="X1054">
        <f>IFERROR(INDEX(PP_Grid[#Data],$DE1054,21),0)</f>
        <v/>
      </c>
      <c r="Y1054">
        <f>IFERROR(INDEX(PP_Grid[#Data],$DE1054,22),0)</f>
        <v/>
      </c>
      <c r="Z1054">
        <f>IFERROR(INDEX(PP_Grid[#Data],$DE1054,23),0)</f>
        <v/>
      </c>
      <c r="AA1054">
        <f>IFERROR(INDEX(PP_Grid[#Data],$DE1054,24),0)</f>
        <v/>
      </c>
      <c r="AB1054">
        <f>IFERROR(INDEX(PP_Grid[#Data],$DE1054,25),0)</f>
        <v/>
      </c>
      <c r="AC1054">
        <f>IFERROR(INDEX(PP_Grid[#Data],$DE1054,26),0)</f>
        <v/>
      </c>
      <c r="AD1054">
        <f>IFERROR(INDEX(PP_Grid[#Data],$DE1054,27),0)</f>
        <v/>
      </c>
      <c r="AE1054">
        <f>IFERROR(INDEX(PP_Grid[#Data],$DE1054,28),0)</f>
        <v/>
      </c>
      <c r="AF1054">
        <f>IFERROR(INDEX(PP_Grid[#Data],$DE1054,29),0)</f>
        <v/>
      </c>
      <c r="AG1054">
        <f>IFERROR(INDEX(PP_Grid[#Data],$DE1054,30),0)</f>
        <v/>
      </c>
      <c r="AH1054">
        <f>IFERROR(INDEX(PP_Grid[#Data],$DE1054,31),0)</f>
        <v/>
      </c>
      <c r="AI1054">
        <f>IFERROR(INDEX(PP_Grid[#Data],$DE1054,32),0)</f>
        <v/>
      </c>
      <c r="AJ1054">
        <f>IFERROR(INDEX(PP_Grid[#Data],$DE1054,33),0)</f>
        <v/>
      </c>
      <c r="AK1054">
        <f>IFERROR(INDEX(PP_Grid[#Data],$DE1054,34),0)</f>
        <v/>
      </c>
      <c r="AL1054">
        <f>IFERROR(INDEX(PP_Grid[#Data],$DE1054,35),0)</f>
        <v/>
      </c>
      <c r="AM1054">
        <f>IFERROR(INDEX(PP_Grid[#Data],$DE1054,36),0)</f>
        <v/>
      </c>
      <c r="AN1054">
        <f>IFERROR(INDEX(PP_Grid[#Data],$DE1054,37),0)</f>
        <v/>
      </c>
      <c r="AO1054">
        <f>IFERROR(INDEX(PP_Grid[#Data],$DE1054,38),0)</f>
        <v/>
      </c>
      <c r="AP1054">
        <f>IFERROR(INDEX(PP_Grid[#Data],$DE1054,39),0)</f>
        <v/>
      </c>
      <c r="AQ1054">
        <f>IFERROR(INDEX(PP_Grid[#Data],$DE1054,40),0)</f>
        <v/>
      </c>
      <c r="AR1054">
        <f>IFERROR(INDEX(PP_Grid[#Data],$DE1054,41),0)</f>
        <v/>
      </c>
      <c r="AS1054">
        <f>IFERROR(INDEX(PP_Grid[#Data],$DE1054,42),0)</f>
        <v/>
      </c>
      <c r="AT1054">
        <f>IFERROR(INDEX(PP_Grid[#Data],$DE1054,43),0)</f>
        <v/>
      </c>
      <c r="AU1054">
        <f>IFERROR(INDEX(PP_Grid[#Data],$DE1054,44),0)</f>
        <v/>
      </c>
      <c r="AV1054">
        <f>IFERROR(INDEX(PP_Grid[#Data],$DE1054,45),0)</f>
        <v/>
      </c>
      <c r="AW1054">
        <f>IFERROR(INDEX(PP_Grid[#Data],$DE1054,46),0)</f>
        <v/>
      </c>
      <c r="AX1054">
        <f>IFERROR(INDEX(PP_Grid[#Data],$DE1054,47),0)</f>
        <v/>
      </c>
      <c r="AY1054">
        <f>IFERROR(INDEX(PP_Grid[#Data],$DE1054,48),0)</f>
        <v/>
      </c>
      <c r="AZ1054">
        <f>IFERROR(INDEX(PP_Grid[#Data],$DE1054,49),0)</f>
        <v/>
      </c>
      <c r="BA1054">
        <f>IFERROR(INDEX(PP_Grid[#Data],$DE1054,50),0)</f>
        <v/>
      </c>
      <c r="BB1054">
        <f>IFERROR(INDEX(PP_Grid[#Data],$DE1054,51),0)</f>
        <v/>
      </c>
      <c r="BC1054">
        <f>IFERROR(INDEX(PP_Grid[#Data],$DE1054,52),0)</f>
        <v/>
      </c>
      <c r="BD1054">
        <f>IFERROR(INDEX(PP_Grid[#Data],$DE1054,53),0)</f>
        <v/>
      </c>
      <c r="BE1054">
        <f>IFERROR(INDEX(PP_Grid[#Data],$DE1054,54),0)</f>
        <v/>
      </c>
      <c r="BF1054">
        <f>IFERROR(INDEX(PP_Grid[#Data],$DE1054,55),0)</f>
        <v/>
      </c>
      <c r="BG1054">
        <f>IFERROR(INDEX(PP_Grid[#Data],$DE1054,56),0)</f>
        <v/>
      </c>
      <c r="BH1054">
        <f>IFERROR(INDEX(PP_Grid[#Data],$DE1054,57),0)</f>
        <v/>
      </c>
      <c r="BI1054">
        <f>IFERROR(INDEX(PP_Grid[#Data],$DE1054,58),0)</f>
        <v/>
      </c>
      <c r="BJ1054">
        <f>IFERROR(INDEX(PP_Grid[#Data],$DE1054,59),0)</f>
        <v/>
      </c>
      <c r="BK1054">
        <f>IFERROR(INDEX(PP_Grid[#Data],$DE1054,60),0)</f>
        <v/>
      </c>
      <c r="BL1054">
        <f>IFERROR(INDEX(PP_Grid[#Data],$DE1054,61),0)</f>
        <v/>
      </c>
      <c r="BM1054">
        <f>IFERROR(INDEX(PP_Grid[#Data],$DE1054,62),0)</f>
        <v/>
      </c>
      <c r="BN1054">
        <f>IFERROR(INDEX(PP_Grid[#Data],$DE1054,63),0)</f>
        <v/>
      </c>
      <c r="BO1054">
        <f>IFERROR(INDEX(PP_Grid[#Data],$DE1054,64),0)</f>
        <v/>
      </c>
      <c r="BP1054">
        <f>IFERROR(INDEX(PP_Grid[#Data],$DE1054,65),0)</f>
        <v/>
      </c>
      <c r="BQ1054">
        <f>IFERROR(INDEX(PP_Grid[#Data],$DE1054,66),0)</f>
        <v/>
      </c>
      <c r="BR1054">
        <f>IFERROR(INDEX(PP_Grid[#Data],$DE1054,67),0)</f>
        <v/>
      </c>
      <c r="BS1054">
        <f>IFERROR(INDEX(PP_Grid[#Data],$DE1054,68),0)</f>
        <v/>
      </c>
      <c r="BT1054">
        <f>IFERROR(INDEX(PP_Grid[#Data],$DE1054,69),0)</f>
        <v/>
      </c>
      <c r="BU1054">
        <f>IFERROR(INDEX(PP_Grid[#Data],$DE1054,70),0)</f>
        <v/>
      </c>
      <c r="BV1054">
        <f>IFERROR(INDEX(PP_Grid[#Data],$DE1054,71),0)</f>
        <v/>
      </c>
      <c r="BW1054">
        <f>IFERROR(INDEX(PP_Grid[#Data],$DE1054,72),0)</f>
        <v/>
      </c>
      <c r="BX1054">
        <f>IFERROR(INDEX(PP_Grid[#Data],$DE1054,73),0)</f>
        <v/>
      </c>
      <c r="BY1054">
        <f>IFERROR(INDEX(PP_Grid[#Data],$DE1054,74),0)</f>
        <v/>
      </c>
      <c r="BZ1054">
        <f>IFERROR(INDEX(PP_Grid[#Data],$DE1054,75),0)</f>
        <v/>
      </c>
      <c r="CA1054">
        <f>IFERROR(INDEX(PP_Grid[#Data],$DE1054,76),0)</f>
        <v/>
      </c>
      <c r="CB1054">
        <f>IFERROR(INDEX(PP_Grid[#Data],$DE1054,77),0)</f>
        <v/>
      </c>
      <c r="CC1054">
        <f>IFERROR(INDEX(PP_Grid[#Data],$DE1054,78),0)</f>
        <v/>
      </c>
      <c r="CD1054">
        <f>IFERROR(INDEX(PP_Grid[#Data],$DE1054,79),0)</f>
        <v/>
      </c>
      <c r="CE1054">
        <f>IFERROR(INDEX(PP_Grid[#Data],$DE1054,80),0)</f>
        <v/>
      </c>
      <c r="CF1054">
        <f>IFERROR(INDEX(PP_Grid[#Data],$DE1054,81),0)</f>
        <v/>
      </c>
      <c r="CG1054">
        <f>IFERROR(INDEX(PP_Grid[#Data],$DE1054,82),0)</f>
        <v/>
      </c>
      <c r="CH1054">
        <f>IFERROR(INDEX(PP_Grid[#Data],$DE1054,83),0)</f>
        <v/>
      </c>
      <c r="CI1054">
        <f>IFERROR(INDEX(PP_Grid[#Data],$DE1054,84),0)</f>
        <v/>
      </c>
      <c r="CJ1054">
        <f>IFERROR(INDEX(PP_Grid[#Data],$DE1054,85),0)</f>
        <v/>
      </c>
      <c r="CK1054">
        <f>IFERROR(INDEX(PP_Grid[#Data],$DE1054,86),0)</f>
        <v/>
      </c>
      <c r="CL1054">
        <f>IFERROR(INDEX(PP_Grid[#Data],$DE1054,87),0)</f>
        <v/>
      </c>
      <c r="CM1054">
        <f>IFERROR(INDEX(PP_Grid[#Data],$DE1054,88),0)</f>
        <v/>
      </c>
      <c r="CN1054">
        <f>IFERROR(INDEX(PP_Grid[#Data],$DE1054,89),0)</f>
        <v/>
      </c>
      <c r="CO1054">
        <f>IFERROR(INDEX(PP_Grid[#Data],$DE1054,90),0)</f>
        <v/>
      </c>
      <c r="CP1054">
        <f>IFERROR(INDEX(PP_Grid[#Data],$DE1054,91),0)</f>
        <v/>
      </c>
      <c r="CQ1054">
        <f>IFERROR(INDEX(PP_Grid[#Data],$DE1054,92),0)</f>
        <v/>
      </c>
      <c r="CR1054">
        <f>IFERROR(INDEX(PP_Grid[#Data],$DE1054,93),0)</f>
        <v/>
      </c>
      <c r="CS1054">
        <f>IFERROR(INDEX(PP_Grid[#Data],$DE1054,94),0)</f>
        <v/>
      </c>
      <c r="CT1054">
        <f>IFERROR(INDEX(PP_Grid[#Data],$DE1054,95),0)</f>
        <v/>
      </c>
      <c r="CU1054">
        <f>IFERROR(INDEX(PP_Grid[#Data],$DE1054,96),0)</f>
        <v/>
      </c>
      <c r="CV1054">
        <f>IFERROR(INDEX(PP_Grid[#Data],$DE1054,97),0)</f>
        <v/>
      </c>
      <c r="CW1054">
        <f>IFERROR(INDEX(PP_Grid[#Data],$DE1054,98),0)</f>
        <v/>
      </c>
      <c r="CX1054">
        <f>IFERROR(INDEX(PP_Grid[#Data],$DE1054,99),0)</f>
        <v/>
      </c>
      <c r="CY1054">
        <f>IFERROR(INDEX(PP_Grid[#Data],$DE1054,100),0)</f>
        <v/>
      </c>
      <c r="CZ1054">
        <f>IFERROR(INDEX(PP_Grid[#Data],$DE1054,101),0)</f>
        <v/>
      </c>
      <c r="DA1054">
        <f>IFERROR(INDEX(PP_Grid[#Data],$DE1054,102),0)</f>
        <v/>
      </c>
      <c r="DB1054">
        <f>IFERROR(INDEX(PP_Grid[#Data],$DE1054,103),0)</f>
        <v/>
      </c>
      <c r="DC1054">
        <f>IFERROR(INDEX(PP_Grid[#Data],$DE1054,104),0)</f>
        <v/>
      </c>
      <c r="DD1054">
        <f>IFERROR(INDEX(PP_Grid[#Data],$DE1054,105),0)</f>
        <v/>
      </c>
      <c r="DE1054" s="7">
        <f>IFERROR(MATCH($B1054,PP_Grid[Intermediate],0),99999)</f>
        <v/>
      </c>
    </row>
    <row r="1055">
      <c r="B1055" t="inlineStr">
        <is>
          <t>使用量(kg)</t>
        </is>
      </c>
      <c r="C1055">
        <f>SUMIFS(M_BOM[RM_Qty_Per_Batch],M_BOM[Intermediate],$B1054,M_BOM[RM_Code],$A1049)</f>
        <v/>
      </c>
      <c r="D1055">
        <f>IFERROR(INDEX(E1055:DD1055,$F$1),"")</f>
        <v/>
      </c>
      <c r="E1055">
        <f>$C1055*E1054</f>
        <v/>
      </c>
      <c r="F1055">
        <f>$C1055*F1054</f>
        <v/>
      </c>
      <c r="G1055">
        <f>$C1055*G1054</f>
        <v/>
      </c>
      <c r="H1055">
        <f>$C1055*H1054</f>
        <v/>
      </c>
      <c r="I1055">
        <f>$C1055*I1054</f>
        <v/>
      </c>
      <c r="J1055">
        <f>$C1055*J1054</f>
        <v/>
      </c>
      <c r="K1055">
        <f>$C1055*K1054</f>
        <v/>
      </c>
      <c r="L1055">
        <f>$C1055*L1054</f>
        <v/>
      </c>
      <c r="M1055">
        <f>$C1055*M1054</f>
        <v/>
      </c>
      <c r="N1055">
        <f>$C1055*N1054</f>
        <v/>
      </c>
      <c r="O1055">
        <f>$C1055*O1054</f>
        <v/>
      </c>
      <c r="P1055">
        <f>$C1055*P1054</f>
        <v/>
      </c>
      <c r="Q1055">
        <f>$C1055*Q1054</f>
        <v/>
      </c>
      <c r="R1055">
        <f>$C1055*R1054</f>
        <v/>
      </c>
      <c r="S1055">
        <f>$C1055*S1054</f>
        <v/>
      </c>
      <c r="T1055">
        <f>$C1055*T1054</f>
        <v/>
      </c>
      <c r="U1055">
        <f>$C1055*U1054</f>
        <v/>
      </c>
      <c r="V1055">
        <f>$C1055*V1054</f>
        <v/>
      </c>
      <c r="W1055">
        <f>$C1055*W1054</f>
        <v/>
      </c>
      <c r="X1055">
        <f>$C1055*X1054</f>
        <v/>
      </c>
      <c r="Y1055">
        <f>$C1055*Y1054</f>
        <v/>
      </c>
      <c r="Z1055">
        <f>$C1055*Z1054</f>
        <v/>
      </c>
      <c r="AA1055">
        <f>$C1055*AA1054</f>
        <v/>
      </c>
      <c r="AB1055">
        <f>$C1055*AB1054</f>
        <v/>
      </c>
      <c r="AC1055">
        <f>$C1055*AC1054</f>
        <v/>
      </c>
      <c r="AD1055">
        <f>$C1055*AD1054</f>
        <v/>
      </c>
      <c r="AE1055">
        <f>$C1055*AE1054</f>
        <v/>
      </c>
      <c r="AF1055">
        <f>$C1055*AF1054</f>
        <v/>
      </c>
      <c r="AG1055">
        <f>$C1055*AG1054</f>
        <v/>
      </c>
      <c r="AH1055">
        <f>$C1055*AH1054</f>
        <v/>
      </c>
      <c r="AI1055">
        <f>$C1055*AI1054</f>
        <v/>
      </c>
      <c r="AJ1055">
        <f>$C1055*AJ1054</f>
        <v/>
      </c>
      <c r="AK1055">
        <f>$C1055*AK1054</f>
        <v/>
      </c>
      <c r="AL1055">
        <f>$C1055*AL1054</f>
        <v/>
      </c>
      <c r="AM1055">
        <f>$C1055*AM1054</f>
        <v/>
      </c>
      <c r="AN1055">
        <f>$C1055*AN1054</f>
        <v/>
      </c>
      <c r="AO1055">
        <f>$C1055*AO1054</f>
        <v/>
      </c>
      <c r="AP1055">
        <f>$C1055*AP1054</f>
        <v/>
      </c>
      <c r="AQ1055">
        <f>$C1055*AQ1054</f>
        <v/>
      </c>
      <c r="AR1055">
        <f>$C1055*AR1054</f>
        <v/>
      </c>
      <c r="AS1055">
        <f>$C1055*AS1054</f>
        <v/>
      </c>
      <c r="AT1055">
        <f>$C1055*AT1054</f>
        <v/>
      </c>
      <c r="AU1055">
        <f>$C1055*AU1054</f>
        <v/>
      </c>
      <c r="AV1055">
        <f>$C1055*AV1054</f>
        <v/>
      </c>
      <c r="AW1055">
        <f>$C1055*AW1054</f>
        <v/>
      </c>
      <c r="AX1055">
        <f>$C1055*AX1054</f>
        <v/>
      </c>
      <c r="AY1055">
        <f>$C1055*AY1054</f>
        <v/>
      </c>
      <c r="AZ1055">
        <f>$C1055*AZ1054</f>
        <v/>
      </c>
      <c r="BA1055">
        <f>$C1055*BA1054</f>
        <v/>
      </c>
      <c r="BB1055">
        <f>$C1055*BB1054</f>
        <v/>
      </c>
      <c r="BC1055">
        <f>$C1055*BC1054</f>
        <v/>
      </c>
      <c r="BD1055">
        <f>$C1055*BD1054</f>
        <v/>
      </c>
      <c r="BE1055">
        <f>$C1055*BE1054</f>
        <v/>
      </c>
      <c r="BF1055">
        <f>$C1055*BF1054</f>
        <v/>
      </c>
      <c r="BG1055">
        <f>$C1055*BG1054</f>
        <v/>
      </c>
      <c r="BH1055">
        <f>$C1055*BH1054</f>
        <v/>
      </c>
      <c r="BI1055">
        <f>$C1055*BI1054</f>
        <v/>
      </c>
      <c r="BJ1055">
        <f>$C1055*BJ1054</f>
        <v/>
      </c>
      <c r="BK1055">
        <f>$C1055*BK1054</f>
        <v/>
      </c>
      <c r="BL1055">
        <f>$C1055*BL1054</f>
        <v/>
      </c>
      <c r="BM1055">
        <f>$C1055*BM1054</f>
        <v/>
      </c>
      <c r="BN1055">
        <f>$C1055*BN1054</f>
        <v/>
      </c>
      <c r="BO1055">
        <f>$C1055*BO1054</f>
        <v/>
      </c>
      <c r="BP1055">
        <f>$C1055*BP1054</f>
        <v/>
      </c>
      <c r="BQ1055">
        <f>$C1055*BQ1054</f>
        <v/>
      </c>
      <c r="BR1055">
        <f>$C1055*BR1054</f>
        <v/>
      </c>
      <c r="BS1055">
        <f>$C1055*BS1054</f>
        <v/>
      </c>
      <c r="BT1055">
        <f>$C1055*BT1054</f>
        <v/>
      </c>
      <c r="BU1055">
        <f>$C1055*BU1054</f>
        <v/>
      </c>
      <c r="BV1055">
        <f>$C1055*BV1054</f>
        <v/>
      </c>
      <c r="BW1055">
        <f>$C1055*BW1054</f>
        <v/>
      </c>
      <c r="BX1055">
        <f>$C1055*BX1054</f>
        <v/>
      </c>
      <c r="BY1055">
        <f>$C1055*BY1054</f>
        <v/>
      </c>
      <c r="BZ1055">
        <f>$C1055*BZ1054</f>
        <v/>
      </c>
      <c r="CA1055">
        <f>$C1055*CA1054</f>
        <v/>
      </c>
      <c r="CB1055">
        <f>$C1055*CB1054</f>
        <v/>
      </c>
      <c r="CC1055">
        <f>$C1055*CC1054</f>
        <v/>
      </c>
      <c r="CD1055">
        <f>$C1055*CD1054</f>
        <v/>
      </c>
      <c r="CE1055">
        <f>$C1055*CE1054</f>
        <v/>
      </c>
      <c r="CF1055">
        <f>$C1055*CF1054</f>
        <v/>
      </c>
      <c r="CG1055">
        <f>$C1055*CG1054</f>
        <v/>
      </c>
      <c r="CH1055">
        <f>$C1055*CH1054</f>
        <v/>
      </c>
      <c r="CI1055">
        <f>$C1055*CI1054</f>
        <v/>
      </c>
      <c r="CJ1055">
        <f>$C1055*CJ1054</f>
        <v/>
      </c>
      <c r="CK1055">
        <f>$C1055*CK1054</f>
        <v/>
      </c>
      <c r="CL1055">
        <f>$C1055*CL1054</f>
        <v/>
      </c>
      <c r="CM1055">
        <f>$C1055*CM1054</f>
        <v/>
      </c>
      <c r="CN1055">
        <f>$C1055*CN1054</f>
        <v/>
      </c>
      <c r="CO1055">
        <f>$C1055*CO1054</f>
        <v/>
      </c>
      <c r="CP1055">
        <f>$C1055*CP1054</f>
        <v/>
      </c>
      <c r="CQ1055">
        <f>$C1055*CQ1054</f>
        <v/>
      </c>
      <c r="CR1055">
        <f>$C1055*CR1054</f>
        <v/>
      </c>
      <c r="CS1055">
        <f>$C1055*CS1054</f>
        <v/>
      </c>
      <c r="CT1055">
        <f>$C1055*CT1054</f>
        <v/>
      </c>
      <c r="CU1055">
        <f>$C1055*CU1054</f>
        <v/>
      </c>
      <c r="CV1055">
        <f>$C1055*CV1054</f>
        <v/>
      </c>
      <c r="CW1055">
        <f>$C1055*CW1054</f>
        <v/>
      </c>
      <c r="CX1055">
        <f>$C1055*CX1054</f>
        <v/>
      </c>
      <c r="CY1055">
        <f>$C1055*CY1054</f>
        <v/>
      </c>
      <c r="CZ1055">
        <f>$C1055*CZ1054</f>
        <v/>
      </c>
      <c r="DA1055">
        <f>$C1055*DA1054</f>
        <v/>
      </c>
      <c r="DB1055">
        <f>$C1055*DB1054</f>
        <v/>
      </c>
      <c r="DC1055">
        <f>$C1055*DC1054</f>
        <v/>
      </c>
      <c r="DD1055">
        <f>$C1055*DD1054</f>
        <v/>
      </c>
    </row>
    <row r="1056">
      <c r="B1056" s="4" t="inlineStr">
        <is>
          <t>合計使用量(kg)/週</t>
        </is>
      </c>
      <c r="D1056" s="22">
        <f>IFERROR(INDEX(E1056:DD1056,$F$1),"")</f>
        <v/>
      </c>
      <c r="E1056">
        <f>'Grid_Requirement'!B51</f>
        <v/>
      </c>
      <c r="F1056">
        <f>'Grid_Requirement'!C51</f>
        <v/>
      </c>
      <c r="G1056">
        <f>'Grid_Requirement'!D51</f>
        <v/>
      </c>
      <c r="H1056">
        <f>'Grid_Requirement'!E51</f>
        <v/>
      </c>
      <c r="I1056">
        <f>'Grid_Requirement'!F51</f>
        <v/>
      </c>
      <c r="J1056">
        <f>'Grid_Requirement'!G51</f>
        <v/>
      </c>
      <c r="K1056">
        <f>'Grid_Requirement'!H51</f>
        <v/>
      </c>
      <c r="L1056">
        <f>'Grid_Requirement'!I51</f>
        <v/>
      </c>
      <c r="M1056">
        <f>'Grid_Requirement'!J51</f>
        <v/>
      </c>
      <c r="N1056">
        <f>'Grid_Requirement'!K51</f>
        <v/>
      </c>
      <c r="O1056">
        <f>'Grid_Requirement'!L51</f>
        <v/>
      </c>
      <c r="P1056">
        <f>'Grid_Requirement'!M51</f>
        <v/>
      </c>
      <c r="Q1056">
        <f>'Grid_Requirement'!N51</f>
        <v/>
      </c>
      <c r="R1056">
        <f>'Grid_Requirement'!O51</f>
        <v/>
      </c>
      <c r="S1056">
        <f>'Grid_Requirement'!P51</f>
        <v/>
      </c>
      <c r="T1056">
        <f>'Grid_Requirement'!Q51</f>
        <v/>
      </c>
      <c r="U1056">
        <f>'Grid_Requirement'!R51</f>
        <v/>
      </c>
      <c r="V1056">
        <f>'Grid_Requirement'!S51</f>
        <v/>
      </c>
      <c r="W1056">
        <f>'Grid_Requirement'!T51</f>
        <v/>
      </c>
      <c r="X1056">
        <f>'Grid_Requirement'!U51</f>
        <v/>
      </c>
      <c r="Y1056">
        <f>'Grid_Requirement'!V51</f>
        <v/>
      </c>
      <c r="Z1056">
        <f>'Grid_Requirement'!W51</f>
        <v/>
      </c>
      <c r="AA1056">
        <f>'Grid_Requirement'!X51</f>
        <v/>
      </c>
      <c r="AB1056">
        <f>'Grid_Requirement'!Y51</f>
        <v/>
      </c>
      <c r="AC1056">
        <f>'Grid_Requirement'!Z51</f>
        <v/>
      </c>
      <c r="AD1056">
        <f>'Grid_Requirement'!AA51</f>
        <v/>
      </c>
      <c r="AE1056">
        <f>'Grid_Requirement'!AB51</f>
        <v/>
      </c>
      <c r="AF1056">
        <f>'Grid_Requirement'!AC51</f>
        <v/>
      </c>
      <c r="AG1056">
        <f>'Grid_Requirement'!AD51</f>
        <v/>
      </c>
      <c r="AH1056">
        <f>'Grid_Requirement'!AE51</f>
        <v/>
      </c>
      <c r="AI1056">
        <f>'Grid_Requirement'!AF51</f>
        <v/>
      </c>
      <c r="AJ1056">
        <f>'Grid_Requirement'!AG51</f>
        <v/>
      </c>
      <c r="AK1056">
        <f>'Grid_Requirement'!AH51</f>
        <v/>
      </c>
      <c r="AL1056">
        <f>'Grid_Requirement'!AI51</f>
        <v/>
      </c>
      <c r="AM1056">
        <f>'Grid_Requirement'!AJ51</f>
        <v/>
      </c>
      <c r="AN1056">
        <f>'Grid_Requirement'!AK51</f>
        <v/>
      </c>
      <c r="AO1056">
        <f>'Grid_Requirement'!AL51</f>
        <v/>
      </c>
      <c r="AP1056">
        <f>'Grid_Requirement'!AM51</f>
        <v/>
      </c>
      <c r="AQ1056">
        <f>'Grid_Requirement'!AN51</f>
        <v/>
      </c>
      <c r="AR1056">
        <f>'Grid_Requirement'!AO51</f>
        <v/>
      </c>
      <c r="AS1056">
        <f>'Grid_Requirement'!AP51</f>
        <v/>
      </c>
      <c r="AT1056">
        <f>'Grid_Requirement'!AQ51</f>
        <v/>
      </c>
      <c r="AU1056">
        <f>'Grid_Requirement'!AR51</f>
        <v/>
      </c>
      <c r="AV1056">
        <f>'Grid_Requirement'!AS51</f>
        <v/>
      </c>
      <c r="AW1056">
        <f>'Grid_Requirement'!AT51</f>
        <v/>
      </c>
      <c r="AX1056">
        <f>'Grid_Requirement'!AU51</f>
        <v/>
      </c>
      <c r="AY1056">
        <f>'Grid_Requirement'!AV51</f>
        <v/>
      </c>
      <c r="AZ1056">
        <f>'Grid_Requirement'!AW51</f>
        <v/>
      </c>
      <c r="BA1056">
        <f>'Grid_Requirement'!AX51</f>
        <v/>
      </c>
      <c r="BB1056">
        <f>'Grid_Requirement'!AY51</f>
        <v/>
      </c>
      <c r="BC1056">
        <f>'Grid_Requirement'!AZ51</f>
        <v/>
      </c>
      <c r="BD1056">
        <f>'Grid_Requirement'!BA51</f>
        <v/>
      </c>
      <c r="BE1056">
        <f>'Grid_Requirement'!BB51</f>
        <v/>
      </c>
      <c r="BF1056">
        <f>'Grid_Requirement'!BC51</f>
        <v/>
      </c>
      <c r="BG1056">
        <f>'Grid_Requirement'!BD51</f>
        <v/>
      </c>
      <c r="BH1056">
        <f>'Grid_Requirement'!BE51</f>
        <v/>
      </c>
      <c r="BI1056">
        <f>'Grid_Requirement'!BF51</f>
        <v/>
      </c>
      <c r="BJ1056">
        <f>'Grid_Requirement'!BG51</f>
        <v/>
      </c>
      <c r="BK1056">
        <f>'Grid_Requirement'!BH51</f>
        <v/>
      </c>
      <c r="BL1056">
        <f>'Grid_Requirement'!BI51</f>
        <v/>
      </c>
      <c r="BM1056">
        <f>'Grid_Requirement'!BJ51</f>
        <v/>
      </c>
      <c r="BN1056">
        <f>'Grid_Requirement'!BK51</f>
        <v/>
      </c>
      <c r="BO1056">
        <f>'Grid_Requirement'!BL51</f>
        <v/>
      </c>
      <c r="BP1056">
        <f>'Grid_Requirement'!BM51</f>
        <v/>
      </c>
      <c r="BQ1056">
        <f>'Grid_Requirement'!BN51</f>
        <v/>
      </c>
      <c r="BR1056">
        <f>'Grid_Requirement'!BO51</f>
        <v/>
      </c>
      <c r="BS1056">
        <f>'Grid_Requirement'!BP51</f>
        <v/>
      </c>
      <c r="BT1056">
        <f>'Grid_Requirement'!BQ51</f>
        <v/>
      </c>
      <c r="BU1056">
        <f>'Grid_Requirement'!BR51</f>
        <v/>
      </c>
      <c r="BV1056">
        <f>'Grid_Requirement'!BS51</f>
        <v/>
      </c>
      <c r="BW1056">
        <f>'Grid_Requirement'!BT51</f>
        <v/>
      </c>
      <c r="BX1056">
        <f>'Grid_Requirement'!BU51</f>
        <v/>
      </c>
      <c r="BY1056">
        <f>'Grid_Requirement'!BV51</f>
        <v/>
      </c>
      <c r="BZ1056">
        <f>'Grid_Requirement'!BW51</f>
        <v/>
      </c>
      <c r="CA1056">
        <f>'Grid_Requirement'!BX51</f>
        <v/>
      </c>
      <c r="CB1056">
        <f>'Grid_Requirement'!BY51</f>
        <v/>
      </c>
      <c r="CC1056">
        <f>'Grid_Requirement'!BZ51</f>
        <v/>
      </c>
      <c r="CD1056">
        <f>'Grid_Requirement'!CA51</f>
        <v/>
      </c>
      <c r="CE1056">
        <f>'Grid_Requirement'!CB51</f>
        <v/>
      </c>
      <c r="CF1056">
        <f>'Grid_Requirement'!CC51</f>
        <v/>
      </c>
      <c r="CG1056">
        <f>'Grid_Requirement'!CD51</f>
        <v/>
      </c>
      <c r="CH1056">
        <f>'Grid_Requirement'!CE51</f>
        <v/>
      </c>
      <c r="CI1056">
        <f>'Grid_Requirement'!CF51</f>
        <v/>
      </c>
      <c r="CJ1056">
        <f>'Grid_Requirement'!CG51</f>
        <v/>
      </c>
      <c r="CK1056">
        <f>'Grid_Requirement'!CH51</f>
        <v/>
      </c>
      <c r="CL1056">
        <f>'Grid_Requirement'!CI51</f>
        <v/>
      </c>
      <c r="CM1056">
        <f>'Grid_Requirement'!CJ51</f>
        <v/>
      </c>
      <c r="CN1056">
        <f>'Grid_Requirement'!CK51</f>
        <v/>
      </c>
      <c r="CO1056">
        <f>'Grid_Requirement'!CL51</f>
        <v/>
      </c>
      <c r="CP1056">
        <f>'Grid_Requirement'!CM51</f>
        <v/>
      </c>
      <c r="CQ1056">
        <f>'Grid_Requirement'!CN51</f>
        <v/>
      </c>
      <c r="CR1056">
        <f>'Grid_Requirement'!CO51</f>
        <v/>
      </c>
      <c r="CS1056">
        <f>'Grid_Requirement'!CP51</f>
        <v/>
      </c>
      <c r="CT1056">
        <f>'Grid_Requirement'!CQ51</f>
        <v/>
      </c>
      <c r="CU1056">
        <f>'Grid_Requirement'!CR51</f>
        <v/>
      </c>
      <c r="CV1056">
        <f>'Grid_Requirement'!CS51</f>
        <v/>
      </c>
      <c r="CW1056">
        <f>'Grid_Requirement'!CT51</f>
        <v/>
      </c>
      <c r="CX1056">
        <f>'Grid_Requirement'!CU51</f>
        <v/>
      </c>
      <c r="CY1056">
        <f>'Grid_Requirement'!CV51</f>
        <v/>
      </c>
      <c r="CZ1056">
        <f>'Grid_Requirement'!CW51</f>
        <v/>
      </c>
      <c r="DA1056">
        <f>'Grid_Requirement'!CX51</f>
        <v/>
      </c>
      <c r="DB1056">
        <f>'Grid_Requirement'!CY51</f>
        <v/>
      </c>
      <c r="DC1056">
        <f>'Grid_Requirement'!CZ51</f>
        <v/>
      </c>
      <c r="DD1056">
        <f>'Grid_Requirement'!DA51</f>
        <v/>
      </c>
    </row>
    <row r="1057">
      <c r="B1057" s="23" t="inlineStr">
        <is>
          <t>（在庫・入荷予定はDashboard参照）</t>
        </is>
      </c>
    </row>
    <row r="1059">
      <c r="A1059" s="21" t="inlineStr">
        <is>
          <t>CHEM-1580</t>
        </is>
      </c>
      <c r="B1059" s="21" t="inlineStr">
        <is>
          <t>Barium Acetate</t>
        </is>
      </c>
      <c r="C1059" s="21" t="n"/>
      <c r="D1059" s="21" t="n"/>
      <c r="E1059" s="21" t="n"/>
      <c r="F1059" s="21" t="n"/>
      <c r="G1059" s="21" t="n"/>
      <c r="H1059" s="21" t="n"/>
      <c r="I1059" s="21" t="n"/>
      <c r="J1059" s="21" t="n"/>
      <c r="K1059" s="21" t="n"/>
      <c r="L1059" s="21" t="n"/>
      <c r="M1059" s="21" t="n"/>
      <c r="N1059" s="21" t="n"/>
      <c r="O1059" s="21" t="n"/>
      <c r="P1059" s="21" t="n"/>
      <c r="Q1059" s="21" t="n"/>
      <c r="R1059" s="21" t="n"/>
      <c r="S1059" s="21" t="n"/>
      <c r="T1059" s="21" t="n"/>
      <c r="U1059" s="21" t="n"/>
      <c r="V1059" s="21" t="n"/>
      <c r="W1059" s="21" t="n"/>
      <c r="X1059" s="21" t="n"/>
      <c r="Y1059" s="21" t="n"/>
      <c r="Z1059" s="21" t="n"/>
      <c r="AA1059" s="21" t="n"/>
      <c r="AB1059" s="21" t="n"/>
      <c r="AC1059" s="21" t="n"/>
      <c r="AD1059" s="21" t="n"/>
      <c r="AE1059" s="21" t="n"/>
      <c r="AF1059" s="21" t="n"/>
      <c r="AG1059" s="21" t="n"/>
      <c r="AH1059" s="21" t="n"/>
      <c r="AI1059" s="21" t="n"/>
      <c r="AJ1059" s="21" t="n"/>
      <c r="AK1059" s="21" t="n"/>
      <c r="AL1059" s="21" t="n"/>
      <c r="AM1059" s="21" t="n"/>
      <c r="AN1059" s="21" t="n"/>
      <c r="AO1059" s="21" t="n"/>
      <c r="AP1059" s="21" t="n"/>
      <c r="AQ1059" s="21" t="n"/>
      <c r="AR1059" s="21" t="n"/>
      <c r="AS1059" s="21" t="n"/>
      <c r="AT1059" s="21" t="n"/>
      <c r="AU1059" s="21" t="n"/>
      <c r="AV1059" s="21" t="n"/>
      <c r="AW1059" s="21" t="n"/>
      <c r="AX1059" s="21" t="n"/>
      <c r="AY1059" s="21" t="n"/>
      <c r="AZ1059" s="21" t="n"/>
      <c r="BA1059" s="21" t="n"/>
      <c r="BB1059" s="21" t="n"/>
      <c r="BC1059" s="21" t="n"/>
      <c r="BD1059" s="21" t="n"/>
      <c r="BE1059" s="21" t="n"/>
      <c r="BF1059" s="21" t="n"/>
      <c r="BG1059" s="21" t="n"/>
      <c r="BH1059" s="21" t="n"/>
      <c r="BI1059" s="21" t="n"/>
      <c r="BJ1059" s="21" t="n"/>
      <c r="BK1059" s="21" t="n"/>
      <c r="BL1059" s="21" t="n"/>
      <c r="BM1059" s="21" t="n"/>
      <c r="BN1059" s="21" t="n"/>
      <c r="BO1059" s="21" t="n"/>
      <c r="BP1059" s="21" t="n"/>
      <c r="BQ1059" s="21" t="n"/>
      <c r="BR1059" s="21" t="n"/>
      <c r="BS1059" s="21" t="n"/>
      <c r="BT1059" s="21" t="n"/>
      <c r="BU1059" s="21" t="n"/>
      <c r="BV1059" s="21" t="n"/>
      <c r="BW1059" s="21" t="n"/>
      <c r="BX1059" s="21" t="n"/>
      <c r="BY1059" s="21" t="n"/>
      <c r="BZ1059" s="21" t="n"/>
      <c r="CA1059" s="21" t="n"/>
      <c r="CB1059" s="21" t="n"/>
      <c r="CC1059" s="21" t="n"/>
      <c r="CD1059" s="21" t="n"/>
      <c r="CE1059" s="21" t="n"/>
      <c r="CF1059" s="21" t="n"/>
      <c r="CG1059" s="21" t="n"/>
      <c r="CH1059" s="21" t="n"/>
      <c r="CI1059" s="21" t="n"/>
      <c r="CJ1059" s="21" t="n"/>
      <c r="CK1059" s="21" t="n"/>
      <c r="CL1059" s="21" t="n"/>
      <c r="CM1059" s="21" t="n"/>
      <c r="CN1059" s="21" t="n"/>
      <c r="CO1059" s="21" t="n"/>
      <c r="CP1059" s="21" t="n"/>
      <c r="CQ1059" s="21" t="n"/>
      <c r="CR1059" s="21" t="n"/>
      <c r="CS1059" s="21" t="n"/>
      <c r="CT1059" s="21" t="n"/>
      <c r="CU1059" s="21" t="n"/>
      <c r="CV1059" s="21" t="n"/>
      <c r="CW1059" s="21" t="n"/>
      <c r="CX1059" s="21" t="n"/>
      <c r="CY1059" s="21" t="n"/>
      <c r="CZ1059" s="21" t="n"/>
      <c r="DA1059" s="21" t="n"/>
      <c r="DB1059" s="21" t="n"/>
      <c r="DC1059" s="21" t="n"/>
      <c r="DD1059" s="21" t="n"/>
    </row>
    <row r="1060">
      <c r="B1060" t="inlineStr">
        <is>
          <t>TSP-360</t>
        </is>
      </c>
      <c r="C1060" t="inlineStr">
        <is>
          <t>No. of batches</t>
        </is>
      </c>
      <c r="D1060">
        <f>IFERROR(INDEX(E1060:DD1060,$F$1),"")</f>
        <v/>
      </c>
      <c r="E1060">
        <f>IFERROR(INDEX(PP_Grid[#Data],$DE1060,2),0)</f>
        <v/>
      </c>
      <c r="F1060">
        <f>IFERROR(INDEX(PP_Grid[#Data],$DE1060,3),0)</f>
        <v/>
      </c>
      <c r="G1060">
        <f>IFERROR(INDEX(PP_Grid[#Data],$DE1060,4),0)</f>
        <v/>
      </c>
      <c r="H1060">
        <f>IFERROR(INDEX(PP_Grid[#Data],$DE1060,5),0)</f>
        <v/>
      </c>
      <c r="I1060">
        <f>IFERROR(INDEX(PP_Grid[#Data],$DE1060,6),0)</f>
        <v/>
      </c>
      <c r="J1060">
        <f>IFERROR(INDEX(PP_Grid[#Data],$DE1060,7),0)</f>
        <v/>
      </c>
      <c r="K1060">
        <f>IFERROR(INDEX(PP_Grid[#Data],$DE1060,8),0)</f>
        <v/>
      </c>
      <c r="L1060">
        <f>IFERROR(INDEX(PP_Grid[#Data],$DE1060,9),0)</f>
        <v/>
      </c>
      <c r="M1060">
        <f>IFERROR(INDEX(PP_Grid[#Data],$DE1060,10),0)</f>
        <v/>
      </c>
      <c r="N1060">
        <f>IFERROR(INDEX(PP_Grid[#Data],$DE1060,11),0)</f>
        <v/>
      </c>
      <c r="O1060">
        <f>IFERROR(INDEX(PP_Grid[#Data],$DE1060,12),0)</f>
        <v/>
      </c>
      <c r="P1060">
        <f>IFERROR(INDEX(PP_Grid[#Data],$DE1060,13),0)</f>
        <v/>
      </c>
      <c r="Q1060">
        <f>IFERROR(INDEX(PP_Grid[#Data],$DE1060,14),0)</f>
        <v/>
      </c>
      <c r="R1060">
        <f>IFERROR(INDEX(PP_Grid[#Data],$DE1060,15),0)</f>
        <v/>
      </c>
      <c r="S1060">
        <f>IFERROR(INDEX(PP_Grid[#Data],$DE1060,16),0)</f>
        <v/>
      </c>
      <c r="T1060">
        <f>IFERROR(INDEX(PP_Grid[#Data],$DE1060,17),0)</f>
        <v/>
      </c>
      <c r="U1060">
        <f>IFERROR(INDEX(PP_Grid[#Data],$DE1060,18),0)</f>
        <v/>
      </c>
      <c r="V1060">
        <f>IFERROR(INDEX(PP_Grid[#Data],$DE1060,19),0)</f>
        <v/>
      </c>
      <c r="W1060">
        <f>IFERROR(INDEX(PP_Grid[#Data],$DE1060,20),0)</f>
        <v/>
      </c>
      <c r="X1060">
        <f>IFERROR(INDEX(PP_Grid[#Data],$DE1060,21),0)</f>
        <v/>
      </c>
      <c r="Y1060">
        <f>IFERROR(INDEX(PP_Grid[#Data],$DE1060,22),0)</f>
        <v/>
      </c>
      <c r="Z1060">
        <f>IFERROR(INDEX(PP_Grid[#Data],$DE1060,23),0)</f>
        <v/>
      </c>
      <c r="AA1060">
        <f>IFERROR(INDEX(PP_Grid[#Data],$DE1060,24),0)</f>
        <v/>
      </c>
      <c r="AB1060">
        <f>IFERROR(INDEX(PP_Grid[#Data],$DE1060,25),0)</f>
        <v/>
      </c>
      <c r="AC1060">
        <f>IFERROR(INDEX(PP_Grid[#Data],$DE1060,26),0)</f>
        <v/>
      </c>
      <c r="AD1060">
        <f>IFERROR(INDEX(PP_Grid[#Data],$DE1060,27),0)</f>
        <v/>
      </c>
      <c r="AE1060">
        <f>IFERROR(INDEX(PP_Grid[#Data],$DE1060,28),0)</f>
        <v/>
      </c>
      <c r="AF1060">
        <f>IFERROR(INDEX(PP_Grid[#Data],$DE1060,29),0)</f>
        <v/>
      </c>
      <c r="AG1060">
        <f>IFERROR(INDEX(PP_Grid[#Data],$DE1060,30),0)</f>
        <v/>
      </c>
      <c r="AH1060">
        <f>IFERROR(INDEX(PP_Grid[#Data],$DE1060,31),0)</f>
        <v/>
      </c>
      <c r="AI1060">
        <f>IFERROR(INDEX(PP_Grid[#Data],$DE1060,32),0)</f>
        <v/>
      </c>
      <c r="AJ1060">
        <f>IFERROR(INDEX(PP_Grid[#Data],$DE1060,33),0)</f>
        <v/>
      </c>
      <c r="AK1060">
        <f>IFERROR(INDEX(PP_Grid[#Data],$DE1060,34),0)</f>
        <v/>
      </c>
      <c r="AL1060">
        <f>IFERROR(INDEX(PP_Grid[#Data],$DE1060,35),0)</f>
        <v/>
      </c>
      <c r="AM1060">
        <f>IFERROR(INDEX(PP_Grid[#Data],$DE1060,36),0)</f>
        <v/>
      </c>
      <c r="AN1060">
        <f>IFERROR(INDEX(PP_Grid[#Data],$DE1060,37),0)</f>
        <v/>
      </c>
      <c r="AO1060">
        <f>IFERROR(INDEX(PP_Grid[#Data],$DE1060,38),0)</f>
        <v/>
      </c>
      <c r="AP1060">
        <f>IFERROR(INDEX(PP_Grid[#Data],$DE1060,39),0)</f>
        <v/>
      </c>
      <c r="AQ1060">
        <f>IFERROR(INDEX(PP_Grid[#Data],$DE1060,40),0)</f>
        <v/>
      </c>
      <c r="AR1060">
        <f>IFERROR(INDEX(PP_Grid[#Data],$DE1060,41),0)</f>
        <v/>
      </c>
      <c r="AS1060">
        <f>IFERROR(INDEX(PP_Grid[#Data],$DE1060,42),0)</f>
        <v/>
      </c>
      <c r="AT1060">
        <f>IFERROR(INDEX(PP_Grid[#Data],$DE1060,43),0)</f>
        <v/>
      </c>
      <c r="AU1060">
        <f>IFERROR(INDEX(PP_Grid[#Data],$DE1060,44),0)</f>
        <v/>
      </c>
      <c r="AV1060">
        <f>IFERROR(INDEX(PP_Grid[#Data],$DE1060,45),0)</f>
        <v/>
      </c>
      <c r="AW1060">
        <f>IFERROR(INDEX(PP_Grid[#Data],$DE1060,46),0)</f>
        <v/>
      </c>
      <c r="AX1060">
        <f>IFERROR(INDEX(PP_Grid[#Data],$DE1060,47),0)</f>
        <v/>
      </c>
      <c r="AY1060">
        <f>IFERROR(INDEX(PP_Grid[#Data],$DE1060,48),0)</f>
        <v/>
      </c>
      <c r="AZ1060">
        <f>IFERROR(INDEX(PP_Grid[#Data],$DE1060,49),0)</f>
        <v/>
      </c>
      <c r="BA1060">
        <f>IFERROR(INDEX(PP_Grid[#Data],$DE1060,50),0)</f>
        <v/>
      </c>
      <c r="BB1060">
        <f>IFERROR(INDEX(PP_Grid[#Data],$DE1060,51),0)</f>
        <v/>
      </c>
      <c r="BC1060">
        <f>IFERROR(INDEX(PP_Grid[#Data],$DE1060,52),0)</f>
        <v/>
      </c>
      <c r="BD1060">
        <f>IFERROR(INDEX(PP_Grid[#Data],$DE1060,53),0)</f>
        <v/>
      </c>
      <c r="BE1060">
        <f>IFERROR(INDEX(PP_Grid[#Data],$DE1060,54),0)</f>
        <v/>
      </c>
      <c r="BF1060">
        <f>IFERROR(INDEX(PP_Grid[#Data],$DE1060,55),0)</f>
        <v/>
      </c>
      <c r="BG1060">
        <f>IFERROR(INDEX(PP_Grid[#Data],$DE1060,56),0)</f>
        <v/>
      </c>
      <c r="BH1060">
        <f>IFERROR(INDEX(PP_Grid[#Data],$DE1060,57),0)</f>
        <v/>
      </c>
      <c r="BI1060">
        <f>IFERROR(INDEX(PP_Grid[#Data],$DE1060,58),0)</f>
        <v/>
      </c>
      <c r="BJ1060">
        <f>IFERROR(INDEX(PP_Grid[#Data],$DE1060,59),0)</f>
        <v/>
      </c>
      <c r="BK1060">
        <f>IFERROR(INDEX(PP_Grid[#Data],$DE1060,60),0)</f>
        <v/>
      </c>
      <c r="BL1060">
        <f>IFERROR(INDEX(PP_Grid[#Data],$DE1060,61),0)</f>
        <v/>
      </c>
      <c r="BM1060">
        <f>IFERROR(INDEX(PP_Grid[#Data],$DE1060,62),0)</f>
        <v/>
      </c>
      <c r="BN1060">
        <f>IFERROR(INDEX(PP_Grid[#Data],$DE1060,63),0)</f>
        <v/>
      </c>
      <c r="BO1060">
        <f>IFERROR(INDEX(PP_Grid[#Data],$DE1060,64),0)</f>
        <v/>
      </c>
      <c r="BP1060">
        <f>IFERROR(INDEX(PP_Grid[#Data],$DE1060,65),0)</f>
        <v/>
      </c>
      <c r="BQ1060">
        <f>IFERROR(INDEX(PP_Grid[#Data],$DE1060,66),0)</f>
        <v/>
      </c>
      <c r="BR1060">
        <f>IFERROR(INDEX(PP_Grid[#Data],$DE1060,67),0)</f>
        <v/>
      </c>
      <c r="BS1060">
        <f>IFERROR(INDEX(PP_Grid[#Data],$DE1060,68),0)</f>
        <v/>
      </c>
      <c r="BT1060">
        <f>IFERROR(INDEX(PP_Grid[#Data],$DE1060,69),0)</f>
        <v/>
      </c>
      <c r="BU1060">
        <f>IFERROR(INDEX(PP_Grid[#Data],$DE1060,70),0)</f>
        <v/>
      </c>
      <c r="BV1060">
        <f>IFERROR(INDEX(PP_Grid[#Data],$DE1060,71),0)</f>
        <v/>
      </c>
      <c r="BW1060">
        <f>IFERROR(INDEX(PP_Grid[#Data],$DE1060,72),0)</f>
        <v/>
      </c>
      <c r="BX1060">
        <f>IFERROR(INDEX(PP_Grid[#Data],$DE1060,73),0)</f>
        <v/>
      </c>
      <c r="BY1060">
        <f>IFERROR(INDEX(PP_Grid[#Data],$DE1060,74),0)</f>
        <v/>
      </c>
      <c r="BZ1060">
        <f>IFERROR(INDEX(PP_Grid[#Data],$DE1060,75),0)</f>
        <v/>
      </c>
      <c r="CA1060">
        <f>IFERROR(INDEX(PP_Grid[#Data],$DE1060,76),0)</f>
        <v/>
      </c>
      <c r="CB1060">
        <f>IFERROR(INDEX(PP_Grid[#Data],$DE1060,77),0)</f>
        <v/>
      </c>
      <c r="CC1060">
        <f>IFERROR(INDEX(PP_Grid[#Data],$DE1060,78),0)</f>
        <v/>
      </c>
      <c r="CD1060">
        <f>IFERROR(INDEX(PP_Grid[#Data],$DE1060,79),0)</f>
        <v/>
      </c>
      <c r="CE1060">
        <f>IFERROR(INDEX(PP_Grid[#Data],$DE1060,80),0)</f>
        <v/>
      </c>
      <c r="CF1060">
        <f>IFERROR(INDEX(PP_Grid[#Data],$DE1060,81),0)</f>
        <v/>
      </c>
      <c r="CG1060">
        <f>IFERROR(INDEX(PP_Grid[#Data],$DE1060,82),0)</f>
        <v/>
      </c>
      <c r="CH1060">
        <f>IFERROR(INDEX(PP_Grid[#Data],$DE1060,83),0)</f>
        <v/>
      </c>
      <c r="CI1060">
        <f>IFERROR(INDEX(PP_Grid[#Data],$DE1060,84),0)</f>
        <v/>
      </c>
      <c r="CJ1060">
        <f>IFERROR(INDEX(PP_Grid[#Data],$DE1060,85),0)</f>
        <v/>
      </c>
      <c r="CK1060">
        <f>IFERROR(INDEX(PP_Grid[#Data],$DE1060,86),0)</f>
        <v/>
      </c>
      <c r="CL1060">
        <f>IFERROR(INDEX(PP_Grid[#Data],$DE1060,87),0)</f>
        <v/>
      </c>
      <c r="CM1060">
        <f>IFERROR(INDEX(PP_Grid[#Data],$DE1060,88),0)</f>
        <v/>
      </c>
      <c r="CN1060">
        <f>IFERROR(INDEX(PP_Grid[#Data],$DE1060,89),0)</f>
        <v/>
      </c>
      <c r="CO1060">
        <f>IFERROR(INDEX(PP_Grid[#Data],$DE1060,90),0)</f>
        <v/>
      </c>
      <c r="CP1060">
        <f>IFERROR(INDEX(PP_Grid[#Data],$DE1060,91),0)</f>
        <v/>
      </c>
      <c r="CQ1060">
        <f>IFERROR(INDEX(PP_Grid[#Data],$DE1060,92),0)</f>
        <v/>
      </c>
      <c r="CR1060">
        <f>IFERROR(INDEX(PP_Grid[#Data],$DE1060,93),0)</f>
        <v/>
      </c>
      <c r="CS1060">
        <f>IFERROR(INDEX(PP_Grid[#Data],$DE1060,94),0)</f>
        <v/>
      </c>
      <c r="CT1060">
        <f>IFERROR(INDEX(PP_Grid[#Data],$DE1060,95),0)</f>
        <v/>
      </c>
      <c r="CU1060">
        <f>IFERROR(INDEX(PP_Grid[#Data],$DE1060,96),0)</f>
        <v/>
      </c>
      <c r="CV1060">
        <f>IFERROR(INDEX(PP_Grid[#Data],$DE1060,97),0)</f>
        <v/>
      </c>
      <c r="CW1060">
        <f>IFERROR(INDEX(PP_Grid[#Data],$DE1060,98),0)</f>
        <v/>
      </c>
      <c r="CX1060">
        <f>IFERROR(INDEX(PP_Grid[#Data],$DE1060,99),0)</f>
        <v/>
      </c>
      <c r="CY1060">
        <f>IFERROR(INDEX(PP_Grid[#Data],$DE1060,100),0)</f>
        <v/>
      </c>
      <c r="CZ1060">
        <f>IFERROR(INDEX(PP_Grid[#Data],$DE1060,101),0)</f>
        <v/>
      </c>
      <c r="DA1060">
        <f>IFERROR(INDEX(PP_Grid[#Data],$DE1060,102),0)</f>
        <v/>
      </c>
      <c r="DB1060">
        <f>IFERROR(INDEX(PP_Grid[#Data],$DE1060,103),0)</f>
        <v/>
      </c>
      <c r="DC1060">
        <f>IFERROR(INDEX(PP_Grid[#Data],$DE1060,104),0)</f>
        <v/>
      </c>
      <c r="DD1060">
        <f>IFERROR(INDEX(PP_Grid[#Data],$DE1060,105),0)</f>
        <v/>
      </c>
      <c r="DE1060" s="7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SUMIFS(M_BOM[RM_Qty_Per_Batch],M_BOM[Intermediate],$B1060,M_BOM[RM_Code],$A1059)</f>
        <v/>
      </c>
      <c r="D1061">
        <f>IFERROR(INDEX(E1061:DD1061,$F$1),"")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  <c r="DD1061">
        <f>$C1061*DD1060</f>
        <v/>
      </c>
    </row>
    <row r="1062">
      <c r="B1062" t="inlineStr">
        <is>
          <t>TSP-367</t>
        </is>
      </c>
      <c r="C1062" t="inlineStr">
        <is>
          <t>No. of batches</t>
        </is>
      </c>
      <c r="D1062">
        <f>IFERROR(INDEX(E1062:DD1062,$F$1),"")</f>
        <v/>
      </c>
      <c r="E1062">
        <f>IFERROR(INDEX(PP_Grid[#Data],$DE1062,2),0)</f>
        <v/>
      </c>
      <c r="F1062">
        <f>IFERROR(INDEX(PP_Grid[#Data],$DE1062,3),0)</f>
        <v/>
      </c>
      <c r="G1062">
        <f>IFERROR(INDEX(PP_Grid[#Data],$DE1062,4),0)</f>
        <v/>
      </c>
      <c r="H1062">
        <f>IFERROR(INDEX(PP_Grid[#Data],$DE1062,5),0)</f>
        <v/>
      </c>
      <c r="I1062">
        <f>IFERROR(INDEX(PP_Grid[#Data],$DE1062,6),0)</f>
        <v/>
      </c>
      <c r="J1062">
        <f>IFERROR(INDEX(PP_Grid[#Data],$DE1062,7),0)</f>
        <v/>
      </c>
      <c r="K1062">
        <f>IFERROR(INDEX(PP_Grid[#Data],$DE1062,8),0)</f>
        <v/>
      </c>
      <c r="L1062">
        <f>IFERROR(INDEX(PP_Grid[#Data],$DE1062,9),0)</f>
        <v/>
      </c>
      <c r="M1062">
        <f>IFERROR(INDEX(PP_Grid[#Data],$DE1062,10),0)</f>
        <v/>
      </c>
      <c r="N1062">
        <f>IFERROR(INDEX(PP_Grid[#Data],$DE1062,11),0)</f>
        <v/>
      </c>
      <c r="O1062">
        <f>IFERROR(INDEX(PP_Grid[#Data],$DE1062,12),0)</f>
        <v/>
      </c>
      <c r="P1062">
        <f>IFERROR(INDEX(PP_Grid[#Data],$DE1062,13),0)</f>
        <v/>
      </c>
      <c r="Q1062">
        <f>IFERROR(INDEX(PP_Grid[#Data],$DE1062,14),0)</f>
        <v/>
      </c>
      <c r="R1062">
        <f>IFERROR(INDEX(PP_Grid[#Data],$DE1062,15),0)</f>
        <v/>
      </c>
      <c r="S1062">
        <f>IFERROR(INDEX(PP_Grid[#Data],$DE1062,16),0)</f>
        <v/>
      </c>
      <c r="T1062">
        <f>IFERROR(INDEX(PP_Grid[#Data],$DE1062,17),0)</f>
        <v/>
      </c>
      <c r="U1062">
        <f>IFERROR(INDEX(PP_Grid[#Data],$DE1062,18),0)</f>
        <v/>
      </c>
      <c r="V1062">
        <f>IFERROR(INDEX(PP_Grid[#Data],$DE1062,19),0)</f>
        <v/>
      </c>
      <c r="W1062">
        <f>IFERROR(INDEX(PP_Grid[#Data],$DE1062,20),0)</f>
        <v/>
      </c>
      <c r="X1062">
        <f>IFERROR(INDEX(PP_Grid[#Data],$DE1062,21),0)</f>
        <v/>
      </c>
      <c r="Y1062">
        <f>IFERROR(INDEX(PP_Grid[#Data],$DE1062,22),0)</f>
        <v/>
      </c>
      <c r="Z1062">
        <f>IFERROR(INDEX(PP_Grid[#Data],$DE1062,23),0)</f>
        <v/>
      </c>
      <c r="AA1062">
        <f>IFERROR(INDEX(PP_Grid[#Data],$DE1062,24),0)</f>
        <v/>
      </c>
      <c r="AB1062">
        <f>IFERROR(INDEX(PP_Grid[#Data],$DE1062,25),0)</f>
        <v/>
      </c>
      <c r="AC1062">
        <f>IFERROR(INDEX(PP_Grid[#Data],$DE1062,26),0)</f>
        <v/>
      </c>
      <c r="AD1062">
        <f>IFERROR(INDEX(PP_Grid[#Data],$DE1062,27),0)</f>
        <v/>
      </c>
      <c r="AE1062">
        <f>IFERROR(INDEX(PP_Grid[#Data],$DE1062,28),0)</f>
        <v/>
      </c>
      <c r="AF1062">
        <f>IFERROR(INDEX(PP_Grid[#Data],$DE1062,29),0)</f>
        <v/>
      </c>
      <c r="AG1062">
        <f>IFERROR(INDEX(PP_Grid[#Data],$DE1062,30),0)</f>
        <v/>
      </c>
      <c r="AH1062">
        <f>IFERROR(INDEX(PP_Grid[#Data],$DE1062,31),0)</f>
        <v/>
      </c>
      <c r="AI1062">
        <f>IFERROR(INDEX(PP_Grid[#Data],$DE1062,32),0)</f>
        <v/>
      </c>
      <c r="AJ1062">
        <f>IFERROR(INDEX(PP_Grid[#Data],$DE1062,33),0)</f>
        <v/>
      </c>
      <c r="AK1062">
        <f>IFERROR(INDEX(PP_Grid[#Data],$DE1062,34),0)</f>
        <v/>
      </c>
      <c r="AL1062">
        <f>IFERROR(INDEX(PP_Grid[#Data],$DE1062,35),0)</f>
        <v/>
      </c>
      <c r="AM1062">
        <f>IFERROR(INDEX(PP_Grid[#Data],$DE1062,36),0)</f>
        <v/>
      </c>
      <c r="AN1062">
        <f>IFERROR(INDEX(PP_Grid[#Data],$DE1062,37),0)</f>
        <v/>
      </c>
      <c r="AO1062">
        <f>IFERROR(INDEX(PP_Grid[#Data],$DE1062,38),0)</f>
        <v/>
      </c>
      <c r="AP1062">
        <f>IFERROR(INDEX(PP_Grid[#Data],$DE1062,39),0)</f>
        <v/>
      </c>
      <c r="AQ1062">
        <f>IFERROR(INDEX(PP_Grid[#Data],$DE1062,40),0)</f>
        <v/>
      </c>
      <c r="AR1062">
        <f>IFERROR(INDEX(PP_Grid[#Data],$DE1062,41),0)</f>
        <v/>
      </c>
      <c r="AS1062">
        <f>IFERROR(INDEX(PP_Grid[#Data],$DE1062,42),0)</f>
        <v/>
      </c>
      <c r="AT1062">
        <f>IFERROR(INDEX(PP_Grid[#Data],$DE1062,43),0)</f>
        <v/>
      </c>
      <c r="AU1062">
        <f>IFERROR(INDEX(PP_Grid[#Data],$DE1062,44),0)</f>
        <v/>
      </c>
      <c r="AV1062">
        <f>IFERROR(INDEX(PP_Grid[#Data],$DE1062,45),0)</f>
        <v/>
      </c>
      <c r="AW1062">
        <f>IFERROR(INDEX(PP_Grid[#Data],$DE1062,46),0)</f>
        <v/>
      </c>
      <c r="AX1062">
        <f>IFERROR(INDEX(PP_Grid[#Data],$DE1062,47),0)</f>
        <v/>
      </c>
      <c r="AY1062">
        <f>IFERROR(INDEX(PP_Grid[#Data],$DE1062,48),0)</f>
        <v/>
      </c>
      <c r="AZ1062">
        <f>IFERROR(INDEX(PP_Grid[#Data],$DE1062,49),0)</f>
        <v/>
      </c>
      <c r="BA1062">
        <f>IFERROR(INDEX(PP_Grid[#Data],$DE1062,50),0)</f>
        <v/>
      </c>
      <c r="BB1062">
        <f>IFERROR(INDEX(PP_Grid[#Data],$DE1062,51),0)</f>
        <v/>
      </c>
      <c r="BC1062">
        <f>IFERROR(INDEX(PP_Grid[#Data],$DE1062,52),0)</f>
        <v/>
      </c>
      <c r="BD1062">
        <f>IFERROR(INDEX(PP_Grid[#Data],$DE1062,53),0)</f>
        <v/>
      </c>
      <c r="BE1062">
        <f>IFERROR(INDEX(PP_Grid[#Data],$DE1062,54),0)</f>
        <v/>
      </c>
      <c r="BF1062">
        <f>IFERROR(INDEX(PP_Grid[#Data],$DE1062,55),0)</f>
        <v/>
      </c>
      <c r="BG1062">
        <f>IFERROR(INDEX(PP_Grid[#Data],$DE1062,56),0)</f>
        <v/>
      </c>
      <c r="BH1062">
        <f>IFERROR(INDEX(PP_Grid[#Data],$DE1062,57),0)</f>
        <v/>
      </c>
      <c r="BI1062">
        <f>IFERROR(INDEX(PP_Grid[#Data],$DE1062,58),0)</f>
        <v/>
      </c>
      <c r="BJ1062">
        <f>IFERROR(INDEX(PP_Grid[#Data],$DE1062,59),0)</f>
        <v/>
      </c>
      <c r="BK1062">
        <f>IFERROR(INDEX(PP_Grid[#Data],$DE1062,60),0)</f>
        <v/>
      </c>
      <c r="BL1062">
        <f>IFERROR(INDEX(PP_Grid[#Data],$DE1062,61),0)</f>
        <v/>
      </c>
      <c r="BM1062">
        <f>IFERROR(INDEX(PP_Grid[#Data],$DE1062,62),0)</f>
        <v/>
      </c>
      <c r="BN1062">
        <f>IFERROR(INDEX(PP_Grid[#Data],$DE1062,63),0)</f>
        <v/>
      </c>
      <c r="BO1062">
        <f>IFERROR(INDEX(PP_Grid[#Data],$DE1062,64),0)</f>
        <v/>
      </c>
      <c r="BP1062">
        <f>IFERROR(INDEX(PP_Grid[#Data],$DE1062,65),0)</f>
        <v/>
      </c>
      <c r="BQ1062">
        <f>IFERROR(INDEX(PP_Grid[#Data],$DE1062,66),0)</f>
        <v/>
      </c>
      <c r="BR1062">
        <f>IFERROR(INDEX(PP_Grid[#Data],$DE1062,67),0)</f>
        <v/>
      </c>
      <c r="BS1062">
        <f>IFERROR(INDEX(PP_Grid[#Data],$DE1062,68),0)</f>
        <v/>
      </c>
      <c r="BT1062">
        <f>IFERROR(INDEX(PP_Grid[#Data],$DE1062,69),0)</f>
        <v/>
      </c>
      <c r="BU1062">
        <f>IFERROR(INDEX(PP_Grid[#Data],$DE1062,70),0)</f>
        <v/>
      </c>
      <c r="BV1062">
        <f>IFERROR(INDEX(PP_Grid[#Data],$DE1062,71),0)</f>
        <v/>
      </c>
      <c r="BW1062">
        <f>IFERROR(INDEX(PP_Grid[#Data],$DE1062,72),0)</f>
        <v/>
      </c>
      <c r="BX1062">
        <f>IFERROR(INDEX(PP_Grid[#Data],$DE1062,73),0)</f>
        <v/>
      </c>
      <c r="BY1062">
        <f>IFERROR(INDEX(PP_Grid[#Data],$DE1062,74),0)</f>
        <v/>
      </c>
      <c r="BZ1062">
        <f>IFERROR(INDEX(PP_Grid[#Data],$DE1062,75),0)</f>
        <v/>
      </c>
      <c r="CA1062">
        <f>IFERROR(INDEX(PP_Grid[#Data],$DE1062,76),0)</f>
        <v/>
      </c>
      <c r="CB1062">
        <f>IFERROR(INDEX(PP_Grid[#Data],$DE1062,77),0)</f>
        <v/>
      </c>
      <c r="CC1062">
        <f>IFERROR(INDEX(PP_Grid[#Data],$DE1062,78),0)</f>
        <v/>
      </c>
      <c r="CD1062">
        <f>IFERROR(INDEX(PP_Grid[#Data],$DE1062,79),0)</f>
        <v/>
      </c>
      <c r="CE1062">
        <f>IFERROR(INDEX(PP_Grid[#Data],$DE1062,80),0)</f>
        <v/>
      </c>
      <c r="CF1062">
        <f>IFERROR(INDEX(PP_Grid[#Data],$DE1062,81),0)</f>
        <v/>
      </c>
      <c r="CG1062">
        <f>IFERROR(INDEX(PP_Grid[#Data],$DE1062,82),0)</f>
        <v/>
      </c>
      <c r="CH1062">
        <f>IFERROR(INDEX(PP_Grid[#Data],$DE1062,83),0)</f>
        <v/>
      </c>
      <c r="CI1062">
        <f>IFERROR(INDEX(PP_Grid[#Data],$DE1062,84),0)</f>
        <v/>
      </c>
      <c r="CJ1062">
        <f>IFERROR(INDEX(PP_Grid[#Data],$DE1062,85),0)</f>
        <v/>
      </c>
      <c r="CK1062">
        <f>IFERROR(INDEX(PP_Grid[#Data],$DE1062,86),0)</f>
        <v/>
      </c>
      <c r="CL1062">
        <f>IFERROR(INDEX(PP_Grid[#Data],$DE1062,87),0)</f>
        <v/>
      </c>
      <c r="CM1062">
        <f>IFERROR(INDEX(PP_Grid[#Data],$DE1062,88),0)</f>
        <v/>
      </c>
      <c r="CN1062">
        <f>IFERROR(INDEX(PP_Grid[#Data],$DE1062,89),0)</f>
        <v/>
      </c>
      <c r="CO1062">
        <f>IFERROR(INDEX(PP_Grid[#Data],$DE1062,90),0)</f>
        <v/>
      </c>
      <c r="CP1062">
        <f>IFERROR(INDEX(PP_Grid[#Data],$DE1062,91),0)</f>
        <v/>
      </c>
      <c r="CQ1062">
        <f>IFERROR(INDEX(PP_Grid[#Data],$DE1062,92),0)</f>
        <v/>
      </c>
      <c r="CR1062">
        <f>IFERROR(INDEX(PP_Grid[#Data],$DE1062,93),0)</f>
        <v/>
      </c>
      <c r="CS1062">
        <f>IFERROR(INDEX(PP_Grid[#Data],$DE1062,94),0)</f>
        <v/>
      </c>
      <c r="CT1062">
        <f>IFERROR(INDEX(PP_Grid[#Data],$DE1062,95),0)</f>
        <v/>
      </c>
      <c r="CU1062">
        <f>IFERROR(INDEX(PP_Grid[#Data],$DE1062,96),0)</f>
        <v/>
      </c>
      <c r="CV1062">
        <f>IFERROR(INDEX(PP_Grid[#Data],$DE1062,97),0)</f>
        <v/>
      </c>
      <c r="CW1062">
        <f>IFERROR(INDEX(PP_Grid[#Data],$DE1062,98),0)</f>
        <v/>
      </c>
      <c r="CX1062">
        <f>IFERROR(INDEX(PP_Grid[#Data],$DE1062,99),0)</f>
        <v/>
      </c>
      <c r="CY1062">
        <f>IFERROR(INDEX(PP_Grid[#Data],$DE1062,100),0)</f>
        <v/>
      </c>
      <c r="CZ1062">
        <f>IFERROR(INDEX(PP_Grid[#Data],$DE1062,101),0)</f>
        <v/>
      </c>
      <c r="DA1062">
        <f>IFERROR(INDEX(PP_Grid[#Data],$DE1062,102),0)</f>
        <v/>
      </c>
      <c r="DB1062">
        <f>IFERROR(INDEX(PP_Grid[#Data],$DE1062,103),0)</f>
        <v/>
      </c>
      <c r="DC1062">
        <f>IFERROR(INDEX(PP_Grid[#Data],$DE1062,104),0)</f>
        <v/>
      </c>
      <c r="DD1062">
        <f>IFERROR(INDEX(PP_Grid[#Data],$DE1062,105),0)</f>
        <v/>
      </c>
      <c r="DE1062" s="7">
        <f>IFERROR(MATCH($B1062,PP_Grid[Intermediate],0),99999)</f>
        <v/>
      </c>
    </row>
    <row r="1063">
      <c r="B1063" t="inlineStr">
        <is>
          <t>使用量(kg)</t>
        </is>
      </c>
      <c r="C1063">
        <f>SUMIFS(M_BOM[RM_Qty_Per_Batch],M_BOM[Intermediate],$B1062,M_BOM[RM_Code],$A1059)</f>
        <v/>
      </c>
      <c r="D1063">
        <f>IFERROR(INDEX(E1063:DD1063,$F$1),"")</f>
        <v/>
      </c>
      <c r="E1063">
        <f>$C1063*E1062</f>
        <v/>
      </c>
      <c r="F1063">
        <f>$C1063*F1062</f>
        <v/>
      </c>
      <c r="G1063">
        <f>$C1063*G1062</f>
        <v/>
      </c>
      <c r="H1063">
        <f>$C1063*H1062</f>
        <v/>
      </c>
      <c r="I1063">
        <f>$C1063*I1062</f>
        <v/>
      </c>
      <c r="J1063">
        <f>$C1063*J1062</f>
        <v/>
      </c>
      <c r="K1063">
        <f>$C1063*K1062</f>
        <v/>
      </c>
      <c r="L1063">
        <f>$C1063*L1062</f>
        <v/>
      </c>
      <c r="M1063">
        <f>$C1063*M1062</f>
        <v/>
      </c>
      <c r="N1063">
        <f>$C1063*N1062</f>
        <v/>
      </c>
      <c r="O1063">
        <f>$C1063*O1062</f>
        <v/>
      </c>
      <c r="P1063">
        <f>$C1063*P1062</f>
        <v/>
      </c>
      <c r="Q1063">
        <f>$C1063*Q1062</f>
        <v/>
      </c>
      <c r="R1063">
        <f>$C1063*R1062</f>
        <v/>
      </c>
      <c r="S1063">
        <f>$C1063*S1062</f>
        <v/>
      </c>
      <c r="T1063">
        <f>$C1063*T1062</f>
        <v/>
      </c>
      <c r="U1063">
        <f>$C1063*U1062</f>
        <v/>
      </c>
      <c r="V1063">
        <f>$C1063*V1062</f>
        <v/>
      </c>
      <c r="W1063">
        <f>$C1063*W1062</f>
        <v/>
      </c>
      <c r="X1063">
        <f>$C1063*X1062</f>
        <v/>
      </c>
      <c r="Y1063">
        <f>$C1063*Y1062</f>
        <v/>
      </c>
      <c r="Z1063">
        <f>$C1063*Z1062</f>
        <v/>
      </c>
      <c r="AA1063">
        <f>$C1063*AA1062</f>
        <v/>
      </c>
      <c r="AB1063">
        <f>$C1063*AB1062</f>
        <v/>
      </c>
      <c r="AC1063">
        <f>$C1063*AC1062</f>
        <v/>
      </c>
      <c r="AD1063">
        <f>$C1063*AD1062</f>
        <v/>
      </c>
      <c r="AE1063">
        <f>$C1063*AE1062</f>
        <v/>
      </c>
      <c r="AF1063">
        <f>$C1063*AF1062</f>
        <v/>
      </c>
      <c r="AG1063">
        <f>$C1063*AG1062</f>
        <v/>
      </c>
      <c r="AH1063">
        <f>$C1063*AH1062</f>
        <v/>
      </c>
      <c r="AI1063">
        <f>$C1063*AI1062</f>
        <v/>
      </c>
      <c r="AJ1063">
        <f>$C1063*AJ1062</f>
        <v/>
      </c>
      <c r="AK1063">
        <f>$C1063*AK1062</f>
        <v/>
      </c>
      <c r="AL1063">
        <f>$C1063*AL1062</f>
        <v/>
      </c>
      <c r="AM1063">
        <f>$C1063*AM1062</f>
        <v/>
      </c>
      <c r="AN1063">
        <f>$C1063*AN1062</f>
        <v/>
      </c>
      <c r="AO1063">
        <f>$C1063*AO1062</f>
        <v/>
      </c>
      <c r="AP1063">
        <f>$C1063*AP1062</f>
        <v/>
      </c>
      <c r="AQ1063">
        <f>$C1063*AQ1062</f>
        <v/>
      </c>
      <c r="AR1063">
        <f>$C1063*AR1062</f>
        <v/>
      </c>
      <c r="AS1063">
        <f>$C1063*AS1062</f>
        <v/>
      </c>
      <c r="AT1063">
        <f>$C1063*AT1062</f>
        <v/>
      </c>
      <c r="AU1063">
        <f>$C1063*AU1062</f>
        <v/>
      </c>
      <c r="AV1063">
        <f>$C1063*AV1062</f>
        <v/>
      </c>
      <c r="AW1063">
        <f>$C1063*AW1062</f>
        <v/>
      </c>
      <c r="AX1063">
        <f>$C1063*AX1062</f>
        <v/>
      </c>
      <c r="AY1063">
        <f>$C1063*AY1062</f>
        <v/>
      </c>
      <c r="AZ1063">
        <f>$C1063*AZ1062</f>
        <v/>
      </c>
      <c r="BA1063">
        <f>$C1063*BA1062</f>
        <v/>
      </c>
      <c r="BB1063">
        <f>$C1063*BB1062</f>
        <v/>
      </c>
      <c r="BC1063">
        <f>$C1063*BC1062</f>
        <v/>
      </c>
      <c r="BD1063">
        <f>$C1063*BD1062</f>
        <v/>
      </c>
      <c r="BE1063">
        <f>$C1063*BE1062</f>
        <v/>
      </c>
      <c r="BF1063">
        <f>$C1063*BF1062</f>
        <v/>
      </c>
      <c r="BG1063">
        <f>$C1063*BG1062</f>
        <v/>
      </c>
      <c r="BH1063">
        <f>$C1063*BH1062</f>
        <v/>
      </c>
      <c r="BI1063">
        <f>$C1063*BI1062</f>
        <v/>
      </c>
      <c r="BJ1063">
        <f>$C1063*BJ1062</f>
        <v/>
      </c>
      <c r="BK1063">
        <f>$C1063*BK1062</f>
        <v/>
      </c>
      <c r="BL1063">
        <f>$C1063*BL1062</f>
        <v/>
      </c>
      <c r="BM1063">
        <f>$C1063*BM1062</f>
        <v/>
      </c>
      <c r="BN1063">
        <f>$C1063*BN1062</f>
        <v/>
      </c>
      <c r="BO1063">
        <f>$C1063*BO1062</f>
        <v/>
      </c>
      <c r="BP1063">
        <f>$C1063*BP1062</f>
        <v/>
      </c>
      <c r="BQ1063">
        <f>$C1063*BQ1062</f>
        <v/>
      </c>
      <c r="BR1063">
        <f>$C1063*BR1062</f>
        <v/>
      </c>
      <c r="BS1063">
        <f>$C1063*BS1062</f>
        <v/>
      </c>
      <c r="BT1063">
        <f>$C1063*BT1062</f>
        <v/>
      </c>
      <c r="BU1063">
        <f>$C1063*BU1062</f>
        <v/>
      </c>
      <c r="BV1063">
        <f>$C1063*BV1062</f>
        <v/>
      </c>
      <c r="BW1063">
        <f>$C1063*BW1062</f>
        <v/>
      </c>
      <c r="BX1063">
        <f>$C1063*BX1062</f>
        <v/>
      </c>
      <c r="BY1063">
        <f>$C1063*BY1062</f>
        <v/>
      </c>
      <c r="BZ1063">
        <f>$C1063*BZ1062</f>
        <v/>
      </c>
      <c r="CA1063">
        <f>$C1063*CA1062</f>
        <v/>
      </c>
      <c r="CB1063">
        <f>$C1063*CB1062</f>
        <v/>
      </c>
      <c r="CC1063">
        <f>$C1063*CC1062</f>
        <v/>
      </c>
      <c r="CD1063">
        <f>$C1063*CD1062</f>
        <v/>
      </c>
      <c r="CE1063">
        <f>$C1063*CE1062</f>
        <v/>
      </c>
      <c r="CF1063">
        <f>$C1063*CF1062</f>
        <v/>
      </c>
      <c r="CG1063">
        <f>$C1063*CG1062</f>
        <v/>
      </c>
      <c r="CH1063">
        <f>$C1063*CH1062</f>
        <v/>
      </c>
      <c r="CI1063">
        <f>$C1063*CI1062</f>
        <v/>
      </c>
      <c r="CJ1063">
        <f>$C1063*CJ1062</f>
        <v/>
      </c>
      <c r="CK1063">
        <f>$C1063*CK1062</f>
        <v/>
      </c>
      <c r="CL1063">
        <f>$C1063*CL1062</f>
        <v/>
      </c>
      <c r="CM1063">
        <f>$C1063*CM1062</f>
        <v/>
      </c>
      <c r="CN1063">
        <f>$C1063*CN1062</f>
        <v/>
      </c>
      <c r="CO1063">
        <f>$C1063*CO1062</f>
        <v/>
      </c>
      <c r="CP1063">
        <f>$C1063*CP1062</f>
        <v/>
      </c>
      <c r="CQ1063">
        <f>$C1063*CQ1062</f>
        <v/>
      </c>
      <c r="CR1063">
        <f>$C1063*CR1062</f>
        <v/>
      </c>
      <c r="CS1063">
        <f>$C1063*CS1062</f>
        <v/>
      </c>
      <c r="CT1063">
        <f>$C1063*CT1062</f>
        <v/>
      </c>
      <c r="CU1063">
        <f>$C1063*CU1062</f>
        <v/>
      </c>
      <c r="CV1063">
        <f>$C1063*CV1062</f>
        <v/>
      </c>
      <c r="CW1063">
        <f>$C1063*CW1062</f>
        <v/>
      </c>
      <c r="CX1063">
        <f>$C1063*CX1062</f>
        <v/>
      </c>
      <c r="CY1063">
        <f>$C1063*CY1062</f>
        <v/>
      </c>
      <c r="CZ1063">
        <f>$C1063*CZ1062</f>
        <v/>
      </c>
      <c r="DA1063">
        <f>$C1063*DA1062</f>
        <v/>
      </c>
      <c r="DB1063">
        <f>$C1063*DB1062</f>
        <v/>
      </c>
      <c r="DC1063">
        <f>$C1063*DC1062</f>
        <v/>
      </c>
      <c r="DD1063">
        <f>$C1063*DD1062</f>
        <v/>
      </c>
    </row>
    <row r="1064">
      <c r="B1064" t="inlineStr">
        <is>
          <t>TSP-544</t>
        </is>
      </c>
      <c r="C1064" t="inlineStr">
        <is>
          <t>No. of batches</t>
        </is>
      </c>
      <c r="D1064">
        <f>IFERROR(INDEX(E1064:DD1064,$F$1),"")</f>
        <v/>
      </c>
      <c r="E1064">
        <f>IFERROR(INDEX(PP_Grid[#Data],$DE1064,2),0)</f>
        <v/>
      </c>
      <c r="F1064">
        <f>IFERROR(INDEX(PP_Grid[#Data],$DE1064,3),0)</f>
        <v/>
      </c>
      <c r="G1064">
        <f>IFERROR(INDEX(PP_Grid[#Data],$DE1064,4),0)</f>
        <v/>
      </c>
      <c r="H1064">
        <f>IFERROR(INDEX(PP_Grid[#Data],$DE1064,5),0)</f>
        <v/>
      </c>
      <c r="I1064">
        <f>IFERROR(INDEX(PP_Grid[#Data],$DE1064,6),0)</f>
        <v/>
      </c>
      <c r="J1064">
        <f>IFERROR(INDEX(PP_Grid[#Data],$DE1064,7),0)</f>
        <v/>
      </c>
      <c r="K1064">
        <f>IFERROR(INDEX(PP_Grid[#Data],$DE1064,8),0)</f>
        <v/>
      </c>
      <c r="L1064">
        <f>IFERROR(INDEX(PP_Grid[#Data],$DE1064,9),0)</f>
        <v/>
      </c>
      <c r="M1064">
        <f>IFERROR(INDEX(PP_Grid[#Data],$DE1064,10),0)</f>
        <v/>
      </c>
      <c r="N1064">
        <f>IFERROR(INDEX(PP_Grid[#Data],$DE1064,11),0)</f>
        <v/>
      </c>
      <c r="O1064">
        <f>IFERROR(INDEX(PP_Grid[#Data],$DE1064,12),0)</f>
        <v/>
      </c>
      <c r="P1064">
        <f>IFERROR(INDEX(PP_Grid[#Data],$DE1064,13),0)</f>
        <v/>
      </c>
      <c r="Q1064">
        <f>IFERROR(INDEX(PP_Grid[#Data],$DE1064,14),0)</f>
        <v/>
      </c>
      <c r="R1064">
        <f>IFERROR(INDEX(PP_Grid[#Data],$DE1064,15),0)</f>
        <v/>
      </c>
      <c r="S1064">
        <f>IFERROR(INDEX(PP_Grid[#Data],$DE1064,16),0)</f>
        <v/>
      </c>
      <c r="T1064">
        <f>IFERROR(INDEX(PP_Grid[#Data],$DE1064,17),0)</f>
        <v/>
      </c>
      <c r="U1064">
        <f>IFERROR(INDEX(PP_Grid[#Data],$DE1064,18),0)</f>
        <v/>
      </c>
      <c r="V1064">
        <f>IFERROR(INDEX(PP_Grid[#Data],$DE1064,19),0)</f>
        <v/>
      </c>
      <c r="W1064">
        <f>IFERROR(INDEX(PP_Grid[#Data],$DE1064,20),0)</f>
        <v/>
      </c>
      <c r="X1064">
        <f>IFERROR(INDEX(PP_Grid[#Data],$DE1064,21),0)</f>
        <v/>
      </c>
      <c r="Y1064">
        <f>IFERROR(INDEX(PP_Grid[#Data],$DE1064,22),0)</f>
        <v/>
      </c>
      <c r="Z1064">
        <f>IFERROR(INDEX(PP_Grid[#Data],$DE1064,23),0)</f>
        <v/>
      </c>
      <c r="AA1064">
        <f>IFERROR(INDEX(PP_Grid[#Data],$DE1064,24),0)</f>
        <v/>
      </c>
      <c r="AB1064">
        <f>IFERROR(INDEX(PP_Grid[#Data],$DE1064,25),0)</f>
        <v/>
      </c>
      <c r="AC1064">
        <f>IFERROR(INDEX(PP_Grid[#Data],$DE1064,26),0)</f>
        <v/>
      </c>
      <c r="AD1064">
        <f>IFERROR(INDEX(PP_Grid[#Data],$DE1064,27),0)</f>
        <v/>
      </c>
      <c r="AE1064">
        <f>IFERROR(INDEX(PP_Grid[#Data],$DE1064,28),0)</f>
        <v/>
      </c>
      <c r="AF1064">
        <f>IFERROR(INDEX(PP_Grid[#Data],$DE1064,29),0)</f>
        <v/>
      </c>
      <c r="AG1064">
        <f>IFERROR(INDEX(PP_Grid[#Data],$DE1064,30),0)</f>
        <v/>
      </c>
      <c r="AH1064">
        <f>IFERROR(INDEX(PP_Grid[#Data],$DE1064,31),0)</f>
        <v/>
      </c>
      <c r="AI1064">
        <f>IFERROR(INDEX(PP_Grid[#Data],$DE1064,32),0)</f>
        <v/>
      </c>
      <c r="AJ1064">
        <f>IFERROR(INDEX(PP_Grid[#Data],$DE1064,33),0)</f>
        <v/>
      </c>
      <c r="AK1064">
        <f>IFERROR(INDEX(PP_Grid[#Data],$DE1064,34),0)</f>
        <v/>
      </c>
      <c r="AL1064">
        <f>IFERROR(INDEX(PP_Grid[#Data],$DE1064,35),0)</f>
        <v/>
      </c>
      <c r="AM1064">
        <f>IFERROR(INDEX(PP_Grid[#Data],$DE1064,36),0)</f>
        <v/>
      </c>
      <c r="AN1064">
        <f>IFERROR(INDEX(PP_Grid[#Data],$DE1064,37),0)</f>
        <v/>
      </c>
      <c r="AO1064">
        <f>IFERROR(INDEX(PP_Grid[#Data],$DE1064,38),0)</f>
        <v/>
      </c>
      <c r="AP1064">
        <f>IFERROR(INDEX(PP_Grid[#Data],$DE1064,39),0)</f>
        <v/>
      </c>
      <c r="AQ1064">
        <f>IFERROR(INDEX(PP_Grid[#Data],$DE1064,40),0)</f>
        <v/>
      </c>
      <c r="AR1064">
        <f>IFERROR(INDEX(PP_Grid[#Data],$DE1064,41),0)</f>
        <v/>
      </c>
      <c r="AS1064">
        <f>IFERROR(INDEX(PP_Grid[#Data],$DE1064,42),0)</f>
        <v/>
      </c>
      <c r="AT1064">
        <f>IFERROR(INDEX(PP_Grid[#Data],$DE1064,43),0)</f>
        <v/>
      </c>
      <c r="AU1064">
        <f>IFERROR(INDEX(PP_Grid[#Data],$DE1064,44),0)</f>
        <v/>
      </c>
      <c r="AV1064">
        <f>IFERROR(INDEX(PP_Grid[#Data],$DE1064,45),0)</f>
        <v/>
      </c>
      <c r="AW1064">
        <f>IFERROR(INDEX(PP_Grid[#Data],$DE1064,46),0)</f>
        <v/>
      </c>
      <c r="AX1064">
        <f>IFERROR(INDEX(PP_Grid[#Data],$DE1064,47),0)</f>
        <v/>
      </c>
      <c r="AY1064">
        <f>IFERROR(INDEX(PP_Grid[#Data],$DE1064,48),0)</f>
        <v/>
      </c>
      <c r="AZ1064">
        <f>IFERROR(INDEX(PP_Grid[#Data],$DE1064,49),0)</f>
        <v/>
      </c>
      <c r="BA1064">
        <f>IFERROR(INDEX(PP_Grid[#Data],$DE1064,50),0)</f>
        <v/>
      </c>
      <c r="BB1064">
        <f>IFERROR(INDEX(PP_Grid[#Data],$DE1064,51),0)</f>
        <v/>
      </c>
      <c r="BC1064">
        <f>IFERROR(INDEX(PP_Grid[#Data],$DE1064,52),0)</f>
        <v/>
      </c>
      <c r="BD1064">
        <f>IFERROR(INDEX(PP_Grid[#Data],$DE1064,53),0)</f>
        <v/>
      </c>
      <c r="BE1064">
        <f>IFERROR(INDEX(PP_Grid[#Data],$DE1064,54),0)</f>
        <v/>
      </c>
      <c r="BF1064">
        <f>IFERROR(INDEX(PP_Grid[#Data],$DE1064,55),0)</f>
        <v/>
      </c>
      <c r="BG1064">
        <f>IFERROR(INDEX(PP_Grid[#Data],$DE1064,56),0)</f>
        <v/>
      </c>
      <c r="BH1064">
        <f>IFERROR(INDEX(PP_Grid[#Data],$DE1064,57),0)</f>
        <v/>
      </c>
      <c r="BI1064">
        <f>IFERROR(INDEX(PP_Grid[#Data],$DE1064,58),0)</f>
        <v/>
      </c>
      <c r="BJ1064">
        <f>IFERROR(INDEX(PP_Grid[#Data],$DE1064,59),0)</f>
        <v/>
      </c>
      <c r="BK1064">
        <f>IFERROR(INDEX(PP_Grid[#Data],$DE1064,60),0)</f>
        <v/>
      </c>
      <c r="BL1064">
        <f>IFERROR(INDEX(PP_Grid[#Data],$DE1064,61),0)</f>
        <v/>
      </c>
      <c r="BM1064">
        <f>IFERROR(INDEX(PP_Grid[#Data],$DE1064,62),0)</f>
        <v/>
      </c>
      <c r="BN1064">
        <f>IFERROR(INDEX(PP_Grid[#Data],$DE1064,63),0)</f>
        <v/>
      </c>
      <c r="BO1064">
        <f>IFERROR(INDEX(PP_Grid[#Data],$DE1064,64),0)</f>
        <v/>
      </c>
      <c r="BP1064">
        <f>IFERROR(INDEX(PP_Grid[#Data],$DE1064,65),0)</f>
        <v/>
      </c>
      <c r="BQ1064">
        <f>IFERROR(INDEX(PP_Grid[#Data],$DE1064,66),0)</f>
        <v/>
      </c>
      <c r="BR1064">
        <f>IFERROR(INDEX(PP_Grid[#Data],$DE1064,67),0)</f>
        <v/>
      </c>
      <c r="BS1064">
        <f>IFERROR(INDEX(PP_Grid[#Data],$DE1064,68),0)</f>
        <v/>
      </c>
      <c r="BT1064">
        <f>IFERROR(INDEX(PP_Grid[#Data],$DE1064,69),0)</f>
        <v/>
      </c>
      <c r="BU1064">
        <f>IFERROR(INDEX(PP_Grid[#Data],$DE1064,70),0)</f>
        <v/>
      </c>
      <c r="BV1064">
        <f>IFERROR(INDEX(PP_Grid[#Data],$DE1064,71),0)</f>
        <v/>
      </c>
      <c r="BW1064">
        <f>IFERROR(INDEX(PP_Grid[#Data],$DE1064,72),0)</f>
        <v/>
      </c>
      <c r="BX1064">
        <f>IFERROR(INDEX(PP_Grid[#Data],$DE1064,73),0)</f>
        <v/>
      </c>
      <c r="BY1064">
        <f>IFERROR(INDEX(PP_Grid[#Data],$DE1064,74),0)</f>
        <v/>
      </c>
      <c r="BZ1064">
        <f>IFERROR(INDEX(PP_Grid[#Data],$DE1064,75),0)</f>
        <v/>
      </c>
      <c r="CA1064">
        <f>IFERROR(INDEX(PP_Grid[#Data],$DE1064,76),0)</f>
        <v/>
      </c>
      <c r="CB1064">
        <f>IFERROR(INDEX(PP_Grid[#Data],$DE1064,77),0)</f>
        <v/>
      </c>
      <c r="CC1064">
        <f>IFERROR(INDEX(PP_Grid[#Data],$DE1064,78),0)</f>
        <v/>
      </c>
      <c r="CD1064">
        <f>IFERROR(INDEX(PP_Grid[#Data],$DE1064,79),0)</f>
        <v/>
      </c>
      <c r="CE1064">
        <f>IFERROR(INDEX(PP_Grid[#Data],$DE1064,80),0)</f>
        <v/>
      </c>
      <c r="CF1064">
        <f>IFERROR(INDEX(PP_Grid[#Data],$DE1064,81),0)</f>
        <v/>
      </c>
      <c r="CG1064">
        <f>IFERROR(INDEX(PP_Grid[#Data],$DE1064,82),0)</f>
        <v/>
      </c>
      <c r="CH1064">
        <f>IFERROR(INDEX(PP_Grid[#Data],$DE1064,83),0)</f>
        <v/>
      </c>
      <c r="CI1064">
        <f>IFERROR(INDEX(PP_Grid[#Data],$DE1064,84),0)</f>
        <v/>
      </c>
      <c r="CJ1064">
        <f>IFERROR(INDEX(PP_Grid[#Data],$DE1064,85),0)</f>
        <v/>
      </c>
      <c r="CK1064">
        <f>IFERROR(INDEX(PP_Grid[#Data],$DE1064,86),0)</f>
        <v/>
      </c>
      <c r="CL1064">
        <f>IFERROR(INDEX(PP_Grid[#Data],$DE1064,87),0)</f>
        <v/>
      </c>
      <c r="CM1064">
        <f>IFERROR(INDEX(PP_Grid[#Data],$DE1064,88),0)</f>
        <v/>
      </c>
      <c r="CN1064">
        <f>IFERROR(INDEX(PP_Grid[#Data],$DE1064,89),0)</f>
        <v/>
      </c>
      <c r="CO1064">
        <f>IFERROR(INDEX(PP_Grid[#Data],$DE1064,90),0)</f>
        <v/>
      </c>
      <c r="CP1064">
        <f>IFERROR(INDEX(PP_Grid[#Data],$DE1064,91),0)</f>
        <v/>
      </c>
      <c r="CQ1064">
        <f>IFERROR(INDEX(PP_Grid[#Data],$DE1064,92),0)</f>
        <v/>
      </c>
      <c r="CR1064">
        <f>IFERROR(INDEX(PP_Grid[#Data],$DE1064,93),0)</f>
        <v/>
      </c>
      <c r="CS1064">
        <f>IFERROR(INDEX(PP_Grid[#Data],$DE1064,94),0)</f>
        <v/>
      </c>
      <c r="CT1064">
        <f>IFERROR(INDEX(PP_Grid[#Data],$DE1064,95),0)</f>
        <v/>
      </c>
      <c r="CU1064">
        <f>IFERROR(INDEX(PP_Grid[#Data],$DE1064,96),0)</f>
        <v/>
      </c>
      <c r="CV1064">
        <f>IFERROR(INDEX(PP_Grid[#Data],$DE1064,97),0)</f>
        <v/>
      </c>
      <c r="CW1064">
        <f>IFERROR(INDEX(PP_Grid[#Data],$DE1064,98),0)</f>
        <v/>
      </c>
      <c r="CX1064">
        <f>IFERROR(INDEX(PP_Grid[#Data],$DE1064,99),0)</f>
        <v/>
      </c>
      <c r="CY1064">
        <f>IFERROR(INDEX(PP_Grid[#Data],$DE1064,100),0)</f>
        <v/>
      </c>
      <c r="CZ1064">
        <f>IFERROR(INDEX(PP_Grid[#Data],$DE1064,101),0)</f>
        <v/>
      </c>
      <c r="DA1064">
        <f>IFERROR(INDEX(PP_Grid[#Data],$DE1064,102),0)</f>
        <v/>
      </c>
      <c r="DB1064">
        <f>IFERROR(INDEX(PP_Grid[#Data],$DE1064,103),0)</f>
        <v/>
      </c>
      <c r="DC1064">
        <f>IFERROR(INDEX(PP_Grid[#Data],$DE1064,104),0)</f>
        <v/>
      </c>
      <c r="DD1064">
        <f>IFERROR(INDEX(PP_Grid[#Data],$DE1064,105),0)</f>
        <v/>
      </c>
      <c r="DE1064" s="7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SUMIFS(M_BOM[RM_Qty_Per_Batch],M_BOM[Intermediate],$B1064,M_BOM[RM_Code],$A1059)</f>
        <v/>
      </c>
      <c r="D1065">
        <f>IFERROR(INDEX(E1065:DD1065,$F$1),"")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  <c r="DD1065">
        <f>$C1065*DD1064</f>
        <v/>
      </c>
    </row>
    <row r="1066">
      <c r="B1066" t="inlineStr">
        <is>
          <t>TSP-710</t>
        </is>
      </c>
      <c r="C1066" t="inlineStr">
        <is>
          <t>No. of batches</t>
        </is>
      </c>
      <c r="D1066">
        <f>IFERROR(INDEX(E1066:DD1066,$F$1),"")</f>
        <v/>
      </c>
      <c r="E1066">
        <f>IFERROR(INDEX(PP_Grid[#Data],$DE1066,2),0)</f>
        <v/>
      </c>
      <c r="F1066">
        <f>IFERROR(INDEX(PP_Grid[#Data],$DE1066,3),0)</f>
        <v/>
      </c>
      <c r="G1066">
        <f>IFERROR(INDEX(PP_Grid[#Data],$DE1066,4),0)</f>
        <v/>
      </c>
      <c r="H1066">
        <f>IFERROR(INDEX(PP_Grid[#Data],$DE1066,5),0)</f>
        <v/>
      </c>
      <c r="I1066">
        <f>IFERROR(INDEX(PP_Grid[#Data],$DE1066,6),0)</f>
        <v/>
      </c>
      <c r="J1066">
        <f>IFERROR(INDEX(PP_Grid[#Data],$DE1066,7),0)</f>
        <v/>
      </c>
      <c r="K1066">
        <f>IFERROR(INDEX(PP_Grid[#Data],$DE1066,8),0)</f>
        <v/>
      </c>
      <c r="L1066">
        <f>IFERROR(INDEX(PP_Grid[#Data],$DE1066,9),0)</f>
        <v/>
      </c>
      <c r="M1066">
        <f>IFERROR(INDEX(PP_Grid[#Data],$DE1066,10),0)</f>
        <v/>
      </c>
      <c r="N1066">
        <f>IFERROR(INDEX(PP_Grid[#Data],$DE1066,11),0)</f>
        <v/>
      </c>
      <c r="O1066">
        <f>IFERROR(INDEX(PP_Grid[#Data],$DE1066,12),0)</f>
        <v/>
      </c>
      <c r="P1066">
        <f>IFERROR(INDEX(PP_Grid[#Data],$DE1066,13),0)</f>
        <v/>
      </c>
      <c r="Q1066">
        <f>IFERROR(INDEX(PP_Grid[#Data],$DE1066,14),0)</f>
        <v/>
      </c>
      <c r="R1066">
        <f>IFERROR(INDEX(PP_Grid[#Data],$DE1066,15),0)</f>
        <v/>
      </c>
      <c r="S1066">
        <f>IFERROR(INDEX(PP_Grid[#Data],$DE1066,16),0)</f>
        <v/>
      </c>
      <c r="T1066">
        <f>IFERROR(INDEX(PP_Grid[#Data],$DE1066,17),0)</f>
        <v/>
      </c>
      <c r="U1066">
        <f>IFERROR(INDEX(PP_Grid[#Data],$DE1066,18),0)</f>
        <v/>
      </c>
      <c r="V1066">
        <f>IFERROR(INDEX(PP_Grid[#Data],$DE1066,19),0)</f>
        <v/>
      </c>
      <c r="W1066">
        <f>IFERROR(INDEX(PP_Grid[#Data],$DE1066,20),0)</f>
        <v/>
      </c>
      <c r="X1066">
        <f>IFERROR(INDEX(PP_Grid[#Data],$DE1066,21),0)</f>
        <v/>
      </c>
      <c r="Y1066">
        <f>IFERROR(INDEX(PP_Grid[#Data],$DE1066,22),0)</f>
        <v/>
      </c>
      <c r="Z1066">
        <f>IFERROR(INDEX(PP_Grid[#Data],$DE1066,23),0)</f>
        <v/>
      </c>
      <c r="AA1066">
        <f>IFERROR(INDEX(PP_Grid[#Data],$DE1066,24),0)</f>
        <v/>
      </c>
      <c r="AB1066">
        <f>IFERROR(INDEX(PP_Grid[#Data],$DE1066,25),0)</f>
        <v/>
      </c>
      <c r="AC1066">
        <f>IFERROR(INDEX(PP_Grid[#Data],$DE1066,26),0)</f>
        <v/>
      </c>
      <c r="AD1066">
        <f>IFERROR(INDEX(PP_Grid[#Data],$DE1066,27),0)</f>
        <v/>
      </c>
      <c r="AE1066">
        <f>IFERROR(INDEX(PP_Grid[#Data],$DE1066,28),0)</f>
        <v/>
      </c>
      <c r="AF1066">
        <f>IFERROR(INDEX(PP_Grid[#Data],$DE1066,29),0)</f>
        <v/>
      </c>
      <c r="AG1066">
        <f>IFERROR(INDEX(PP_Grid[#Data],$DE1066,30),0)</f>
        <v/>
      </c>
      <c r="AH1066">
        <f>IFERROR(INDEX(PP_Grid[#Data],$DE1066,31),0)</f>
        <v/>
      </c>
      <c r="AI1066">
        <f>IFERROR(INDEX(PP_Grid[#Data],$DE1066,32),0)</f>
        <v/>
      </c>
      <c r="AJ1066">
        <f>IFERROR(INDEX(PP_Grid[#Data],$DE1066,33),0)</f>
        <v/>
      </c>
      <c r="AK1066">
        <f>IFERROR(INDEX(PP_Grid[#Data],$DE1066,34),0)</f>
        <v/>
      </c>
      <c r="AL1066">
        <f>IFERROR(INDEX(PP_Grid[#Data],$DE1066,35),0)</f>
        <v/>
      </c>
      <c r="AM1066">
        <f>IFERROR(INDEX(PP_Grid[#Data],$DE1066,36),0)</f>
        <v/>
      </c>
      <c r="AN1066">
        <f>IFERROR(INDEX(PP_Grid[#Data],$DE1066,37),0)</f>
        <v/>
      </c>
      <c r="AO1066">
        <f>IFERROR(INDEX(PP_Grid[#Data],$DE1066,38),0)</f>
        <v/>
      </c>
      <c r="AP1066">
        <f>IFERROR(INDEX(PP_Grid[#Data],$DE1066,39),0)</f>
        <v/>
      </c>
      <c r="AQ1066">
        <f>IFERROR(INDEX(PP_Grid[#Data],$DE1066,40),0)</f>
        <v/>
      </c>
      <c r="AR1066">
        <f>IFERROR(INDEX(PP_Grid[#Data],$DE1066,41),0)</f>
        <v/>
      </c>
      <c r="AS1066">
        <f>IFERROR(INDEX(PP_Grid[#Data],$DE1066,42),0)</f>
        <v/>
      </c>
      <c r="AT1066">
        <f>IFERROR(INDEX(PP_Grid[#Data],$DE1066,43),0)</f>
        <v/>
      </c>
      <c r="AU1066">
        <f>IFERROR(INDEX(PP_Grid[#Data],$DE1066,44),0)</f>
        <v/>
      </c>
      <c r="AV1066">
        <f>IFERROR(INDEX(PP_Grid[#Data],$DE1066,45),0)</f>
        <v/>
      </c>
      <c r="AW1066">
        <f>IFERROR(INDEX(PP_Grid[#Data],$DE1066,46),0)</f>
        <v/>
      </c>
      <c r="AX1066">
        <f>IFERROR(INDEX(PP_Grid[#Data],$DE1066,47),0)</f>
        <v/>
      </c>
      <c r="AY1066">
        <f>IFERROR(INDEX(PP_Grid[#Data],$DE1066,48),0)</f>
        <v/>
      </c>
      <c r="AZ1066">
        <f>IFERROR(INDEX(PP_Grid[#Data],$DE1066,49),0)</f>
        <v/>
      </c>
      <c r="BA1066">
        <f>IFERROR(INDEX(PP_Grid[#Data],$DE1066,50),0)</f>
        <v/>
      </c>
      <c r="BB1066">
        <f>IFERROR(INDEX(PP_Grid[#Data],$DE1066,51),0)</f>
        <v/>
      </c>
      <c r="BC1066">
        <f>IFERROR(INDEX(PP_Grid[#Data],$DE1066,52),0)</f>
        <v/>
      </c>
      <c r="BD1066">
        <f>IFERROR(INDEX(PP_Grid[#Data],$DE1066,53),0)</f>
        <v/>
      </c>
      <c r="BE1066">
        <f>IFERROR(INDEX(PP_Grid[#Data],$DE1066,54),0)</f>
        <v/>
      </c>
      <c r="BF1066">
        <f>IFERROR(INDEX(PP_Grid[#Data],$DE1066,55),0)</f>
        <v/>
      </c>
      <c r="BG1066">
        <f>IFERROR(INDEX(PP_Grid[#Data],$DE1066,56),0)</f>
        <v/>
      </c>
      <c r="BH1066">
        <f>IFERROR(INDEX(PP_Grid[#Data],$DE1066,57),0)</f>
        <v/>
      </c>
      <c r="BI1066">
        <f>IFERROR(INDEX(PP_Grid[#Data],$DE1066,58),0)</f>
        <v/>
      </c>
      <c r="BJ1066">
        <f>IFERROR(INDEX(PP_Grid[#Data],$DE1066,59),0)</f>
        <v/>
      </c>
      <c r="BK1066">
        <f>IFERROR(INDEX(PP_Grid[#Data],$DE1066,60),0)</f>
        <v/>
      </c>
      <c r="BL1066">
        <f>IFERROR(INDEX(PP_Grid[#Data],$DE1066,61),0)</f>
        <v/>
      </c>
      <c r="BM1066">
        <f>IFERROR(INDEX(PP_Grid[#Data],$DE1066,62),0)</f>
        <v/>
      </c>
      <c r="BN1066">
        <f>IFERROR(INDEX(PP_Grid[#Data],$DE1066,63),0)</f>
        <v/>
      </c>
      <c r="BO1066">
        <f>IFERROR(INDEX(PP_Grid[#Data],$DE1066,64),0)</f>
        <v/>
      </c>
      <c r="BP1066">
        <f>IFERROR(INDEX(PP_Grid[#Data],$DE1066,65),0)</f>
        <v/>
      </c>
      <c r="BQ1066">
        <f>IFERROR(INDEX(PP_Grid[#Data],$DE1066,66),0)</f>
        <v/>
      </c>
      <c r="BR1066">
        <f>IFERROR(INDEX(PP_Grid[#Data],$DE1066,67),0)</f>
        <v/>
      </c>
      <c r="BS1066">
        <f>IFERROR(INDEX(PP_Grid[#Data],$DE1066,68),0)</f>
        <v/>
      </c>
      <c r="BT1066">
        <f>IFERROR(INDEX(PP_Grid[#Data],$DE1066,69),0)</f>
        <v/>
      </c>
      <c r="BU1066">
        <f>IFERROR(INDEX(PP_Grid[#Data],$DE1066,70),0)</f>
        <v/>
      </c>
      <c r="BV1066">
        <f>IFERROR(INDEX(PP_Grid[#Data],$DE1066,71),0)</f>
        <v/>
      </c>
      <c r="BW1066">
        <f>IFERROR(INDEX(PP_Grid[#Data],$DE1066,72),0)</f>
        <v/>
      </c>
      <c r="BX1066">
        <f>IFERROR(INDEX(PP_Grid[#Data],$DE1066,73),0)</f>
        <v/>
      </c>
      <c r="BY1066">
        <f>IFERROR(INDEX(PP_Grid[#Data],$DE1066,74),0)</f>
        <v/>
      </c>
      <c r="BZ1066">
        <f>IFERROR(INDEX(PP_Grid[#Data],$DE1066,75),0)</f>
        <v/>
      </c>
      <c r="CA1066">
        <f>IFERROR(INDEX(PP_Grid[#Data],$DE1066,76),0)</f>
        <v/>
      </c>
      <c r="CB1066">
        <f>IFERROR(INDEX(PP_Grid[#Data],$DE1066,77),0)</f>
        <v/>
      </c>
      <c r="CC1066">
        <f>IFERROR(INDEX(PP_Grid[#Data],$DE1066,78),0)</f>
        <v/>
      </c>
      <c r="CD1066">
        <f>IFERROR(INDEX(PP_Grid[#Data],$DE1066,79),0)</f>
        <v/>
      </c>
      <c r="CE1066">
        <f>IFERROR(INDEX(PP_Grid[#Data],$DE1066,80),0)</f>
        <v/>
      </c>
      <c r="CF1066">
        <f>IFERROR(INDEX(PP_Grid[#Data],$DE1066,81),0)</f>
        <v/>
      </c>
      <c r="CG1066">
        <f>IFERROR(INDEX(PP_Grid[#Data],$DE1066,82),0)</f>
        <v/>
      </c>
      <c r="CH1066">
        <f>IFERROR(INDEX(PP_Grid[#Data],$DE1066,83),0)</f>
        <v/>
      </c>
      <c r="CI1066">
        <f>IFERROR(INDEX(PP_Grid[#Data],$DE1066,84),0)</f>
        <v/>
      </c>
      <c r="CJ1066">
        <f>IFERROR(INDEX(PP_Grid[#Data],$DE1066,85),0)</f>
        <v/>
      </c>
      <c r="CK1066">
        <f>IFERROR(INDEX(PP_Grid[#Data],$DE1066,86),0)</f>
        <v/>
      </c>
      <c r="CL1066">
        <f>IFERROR(INDEX(PP_Grid[#Data],$DE1066,87),0)</f>
        <v/>
      </c>
      <c r="CM1066">
        <f>IFERROR(INDEX(PP_Grid[#Data],$DE1066,88),0)</f>
        <v/>
      </c>
      <c r="CN1066">
        <f>IFERROR(INDEX(PP_Grid[#Data],$DE1066,89),0)</f>
        <v/>
      </c>
      <c r="CO1066">
        <f>IFERROR(INDEX(PP_Grid[#Data],$DE1066,90),0)</f>
        <v/>
      </c>
      <c r="CP1066">
        <f>IFERROR(INDEX(PP_Grid[#Data],$DE1066,91),0)</f>
        <v/>
      </c>
      <c r="CQ1066">
        <f>IFERROR(INDEX(PP_Grid[#Data],$DE1066,92),0)</f>
        <v/>
      </c>
      <c r="CR1066">
        <f>IFERROR(INDEX(PP_Grid[#Data],$DE1066,93),0)</f>
        <v/>
      </c>
      <c r="CS1066">
        <f>IFERROR(INDEX(PP_Grid[#Data],$DE1066,94),0)</f>
        <v/>
      </c>
      <c r="CT1066">
        <f>IFERROR(INDEX(PP_Grid[#Data],$DE1066,95),0)</f>
        <v/>
      </c>
      <c r="CU1066">
        <f>IFERROR(INDEX(PP_Grid[#Data],$DE1066,96),0)</f>
        <v/>
      </c>
      <c r="CV1066">
        <f>IFERROR(INDEX(PP_Grid[#Data],$DE1066,97),0)</f>
        <v/>
      </c>
      <c r="CW1066">
        <f>IFERROR(INDEX(PP_Grid[#Data],$DE1066,98),0)</f>
        <v/>
      </c>
      <c r="CX1066">
        <f>IFERROR(INDEX(PP_Grid[#Data],$DE1066,99),0)</f>
        <v/>
      </c>
      <c r="CY1066">
        <f>IFERROR(INDEX(PP_Grid[#Data],$DE1066,100),0)</f>
        <v/>
      </c>
      <c r="CZ1066">
        <f>IFERROR(INDEX(PP_Grid[#Data],$DE1066,101),0)</f>
        <v/>
      </c>
      <c r="DA1066">
        <f>IFERROR(INDEX(PP_Grid[#Data],$DE1066,102),0)</f>
        <v/>
      </c>
      <c r="DB1066">
        <f>IFERROR(INDEX(PP_Grid[#Data],$DE1066,103),0)</f>
        <v/>
      </c>
      <c r="DC1066">
        <f>IFERROR(INDEX(PP_Grid[#Data],$DE1066,104),0)</f>
        <v/>
      </c>
      <c r="DD1066">
        <f>IFERROR(INDEX(PP_Grid[#Data],$DE1066,105),0)</f>
        <v/>
      </c>
      <c r="DE1066" s="7">
        <f>IFERROR(MATCH($B1066,PP_Grid[Intermediate],0),99999)</f>
        <v/>
      </c>
    </row>
    <row r="1067">
      <c r="B1067" t="inlineStr">
        <is>
          <t>使用量(kg)</t>
        </is>
      </c>
      <c r="C1067">
        <f>SUMIFS(M_BOM[RM_Qty_Per_Batch],M_BOM[Intermediate],$B1066,M_BOM[RM_Code],$A1059)</f>
        <v/>
      </c>
      <c r="D1067">
        <f>IFERROR(INDEX(E1067:DD1067,$F$1),"")</f>
        <v/>
      </c>
      <c r="E1067">
        <f>$C1067*E1066</f>
        <v/>
      </c>
      <c r="F1067">
        <f>$C1067*F1066</f>
        <v/>
      </c>
      <c r="G1067">
        <f>$C1067*G1066</f>
        <v/>
      </c>
      <c r="H1067">
        <f>$C1067*H1066</f>
        <v/>
      </c>
      <c r="I1067">
        <f>$C1067*I1066</f>
        <v/>
      </c>
      <c r="J1067">
        <f>$C1067*J1066</f>
        <v/>
      </c>
      <c r="K1067">
        <f>$C1067*K1066</f>
        <v/>
      </c>
      <c r="L1067">
        <f>$C1067*L1066</f>
        <v/>
      </c>
      <c r="M1067">
        <f>$C1067*M1066</f>
        <v/>
      </c>
      <c r="N1067">
        <f>$C1067*N1066</f>
        <v/>
      </c>
      <c r="O1067">
        <f>$C1067*O1066</f>
        <v/>
      </c>
      <c r="P1067">
        <f>$C1067*P1066</f>
        <v/>
      </c>
      <c r="Q1067">
        <f>$C1067*Q1066</f>
        <v/>
      </c>
      <c r="R1067">
        <f>$C1067*R1066</f>
        <v/>
      </c>
      <c r="S1067">
        <f>$C1067*S1066</f>
        <v/>
      </c>
      <c r="T1067">
        <f>$C1067*T1066</f>
        <v/>
      </c>
      <c r="U1067">
        <f>$C1067*U1066</f>
        <v/>
      </c>
      <c r="V1067">
        <f>$C1067*V1066</f>
        <v/>
      </c>
      <c r="W1067">
        <f>$C1067*W1066</f>
        <v/>
      </c>
      <c r="X1067">
        <f>$C1067*X1066</f>
        <v/>
      </c>
      <c r="Y1067">
        <f>$C1067*Y1066</f>
        <v/>
      </c>
      <c r="Z1067">
        <f>$C1067*Z1066</f>
        <v/>
      </c>
      <c r="AA1067">
        <f>$C1067*AA1066</f>
        <v/>
      </c>
      <c r="AB1067">
        <f>$C1067*AB1066</f>
        <v/>
      </c>
      <c r="AC1067">
        <f>$C1067*AC1066</f>
        <v/>
      </c>
      <c r="AD1067">
        <f>$C1067*AD1066</f>
        <v/>
      </c>
      <c r="AE1067">
        <f>$C1067*AE1066</f>
        <v/>
      </c>
      <c r="AF1067">
        <f>$C1067*AF1066</f>
        <v/>
      </c>
      <c r="AG1067">
        <f>$C1067*AG1066</f>
        <v/>
      </c>
      <c r="AH1067">
        <f>$C1067*AH1066</f>
        <v/>
      </c>
      <c r="AI1067">
        <f>$C1067*AI1066</f>
        <v/>
      </c>
      <c r="AJ1067">
        <f>$C1067*AJ1066</f>
        <v/>
      </c>
      <c r="AK1067">
        <f>$C1067*AK1066</f>
        <v/>
      </c>
      <c r="AL1067">
        <f>$C1067*AL1066</f>
        <v/>
      </c>
      <c r="AM1067">
        <f>$C1067*AM1066</f>
        <v/>
      </c>
      <c r="AN1067">
        <f>$C1067*AN1066</f>
        <v/>
      </c>
      <c r="AO1067">
        <f>$C1067*AO1066</f>
        <v/>
      </c>
      <c r="AP1067">
        <f>$C1067*AP1066</f>
        <v/>
      </c>
      <c r="AQ1067">
        <f>$C1067*AQ1066</f>
        <v/>
      </c>
      <c r="AR1067">
        <f>$C1067*AR1066</f>
        <v/>
      </c>
      <c r="AS1067">
        <f>$C1067*AS1066</f>
        <v/>
      </c>
      <c r="AT1067">
        <f>$C1067*AT1066</f>
        <v/>
      </c>
      <c r="AU1067">
        <f>$C1067*AU1066</f>
        <v/>
      </c>
      <c r="AV1067">
        <f>$C1067*AV1066</f>
        <v/>
      </c>
      <c r="AW1067">
        <f>$C1067*AW1066</f>
        <v/>
      </c>
      <c r="AX1067">
        <f>$C1067*AX1066</f>
        <v/>
      </c>
      <c r="AY1067">
        <f>$C1067*AY1066</f>
        <v/>
      </c>
      <c r="AZ1067">
        <f>$C1067*AZ1066</f>
        <v/>
      </c>
      <c r="BA1067">
        <f>$C1067*BA1066</f>
        <v/>
      </c>
      <c r="BB1067">
        <f>$C1067*BB1066</f>
        <v/>
      </c>
      <c r="BC1067">
        <f>$C1067*BC1066</f>
        <v/>
      </c>
      <c r="BD1067">
        <f>$C1067*BD1066</f>
        <v/>
      </c>
      <c r="BE1067">
        <f>$C1067*BE1066</f>
        <v/>
      </c>
      <c r="BF1067">
        <f>$C1067*BF1066</f>
        <v/>
      </c>
      <c r="BG1067">
        <f>$C1067*BG1066</f>
        <v/>
      </c>
      <c r="BH1067">
        <f>$C1067*BH1066</f>
        <v/>
      </c>
      <c r="BI1067">
        <f>$C1067*BI1066</f>
        <v/>
      </c>
      <c r="BJ1067">
        <f>$C1067*BJ1066</f>
        <v/>
      </c>
      <c r="BK1067">
        <f>$C1067*BK1066</f>
        <v/>
      </c>
      <c r="BL1067">
        <f>$C1067*BL1066</f>
        <v/>
      </c>
      <c r="BM1067">
        <f>$C1067*BM1066</f>
        <v/>
      </c>
      <c r="BN1067">
        <f>$C1067*BN1066</f>
        <v/>
      </c>
      <c r="BO1067">
        <f>$C1067*BO1066</f>
        <v/>
      </c>
      <c r="BP1067">
        <f>$C1067*BP1066</f>
        <v/>
      </c>
      <c r="BQ1067">
        <f>$C1067*BQ1066</f>
        <v/>
      </c>
      <c r="BR1067">
        <f>$C1067*BR1066</f>
        <v/>
      </c>
      <c r="BS1067">
        <f>$C1067*BS1066</f>
        <v/>
      </c>
      <c r="BT1067">
        <f>$C1067*BT1066</f>
        <v/>
      </c>
      <c r="BU1067">
        <f>$C1067*BU1066</f>
        <v/>
      </c>
      <c r="BV1067">
        <f>$C1067*BV1066</f>
        <v/>
      </c>
      <c r="BW1067">
        <f>$C1067*BW1066</f>
        <v/>
      </c>
      <c r="BX1067">
        <f>$C1067*BX1066</f>
        <v/>
      </c>
      <c r="BY1067">
        <f>$C1067*BY1066</f>
        <v/>
      </c>
      <c r="BZ1067">
        <f>$C1067*BZ1066</f>
        <v/>
      </c>
      <c r="CA1067">
        <f>$C1067*CA1066</f>
        <v/>
      </c>
      <c r="CB1067">
        <f>$C1067*CB1066</f>
        <v/>
      </c>
      <c r="CC1067">
        <f>$C1067*CC1066</f>
        <v/>
      </c>
      <c r="CD1067">
        <f>$C1067*CD1066</f>
        <v/>
      </c>
      <c r="CE1067">
        <f>$C1067*CE1066</f>
        <v/>
      </c>
      <c r="CF1067">
        <f>$C1067*CF1066</f>
        <v/>
      </c>
      <c r="CG1067">
        <f>$C1067*CG1066</f>
        <v/>
      </c>
      <c r="CH1067">
        <f>$C1067*CH1066</f>
        <v/>
      </c>
      <c r="CI1067">
        <f>$C1067*CI1066</f>
        <v/>
      </c>
      <c r="CJ1067">
        <f>$C1067*CJ1066</f>
        <v/>
      </c>
      <c r="CK1067">
        <f>$C1067*CK1066</f>
        <v/>
      </c>
      <c r="CL1067">
        <f>$C1067*CL1066</f>
        <v/>
      </c>
      <c r="CM1067">
        <f>$C1067*CM1066</f>
        <v/>
      </c>
      <c r="CN1067">
        <f>$C1067*CN1066</f>
        <v/>
      </c>
      <c r="CO1067">
        <f>$C1067*CO1066</f>
        <v/>
      </c>
      <c r="CP1067">
        <f>$C1067*CP1066</f>
        <v/>
      </c>
      <c r="CQ1067">
        <f>$C1067*CQ1066</f>
        <v/>
      </c>
      <c r="CR1067">
        <f>$C1067*CR1066</f>
        <v/>
      </c>
      <c r="CS1067">
        <f>$C1067*CS1066</f>
        <v/>
      </c>
      <c r="CT1067">
        <f>$C1067*CT1066</f>
        <v/>
      </c>
      <c r="CU1067">
        <f>$C1067*CU1066</f>
        <v/>
      </c>
      <c r="CV1067">
        <f>$C1067*CV1066</f>
        <v/>
      </c>
      <c r="CW1067">
        <f>$C1067*CW1066</f>
        <v/>
      </c>
      <c r="CX1067">
        <f>$C1067*CX1066</f>
        <v/>
      </c>
      <c r="CY1067">
        <f>$C1067*CY1066</f>
        <v/>
      </c>
      <c r="CZ1067">
        <f>$C1067*CZ1066</f>
        <v/>
      </c>
      <c r="DA1067">
        <f>$C1067*DA1066</f>
        <v/>
      </c>
      <c r="DB1067">
        <f>$C1067*DB1066</f>
        <v/>
      </c>
      <c r="DC1067">
        <f>$C1067*DC1066</f>
        <v/>
      </c>
      <c r="DD1067">
        <f>$C1067*DD1066</f>
        <v/>
      </c>
    </row>
    <row r="1068">
      <c r="B1068" s="4" t="inlineStr">
        <is>
          <t>合計使用量(kg)/週</t>
        </is>
      </c>
      <c r="D1068" s="22">
        <f>IFERROR(INDEX(E1068:DD1068,$F$1),"")</f>
        <v/>
      </c>
      <c r="E1068">
        <f>'Grid_Requirement'!B53</f>
        <v/>
      </c>
      <c r="F1068">
        <f>'Grid_Requirement'!C53</f>
        <v/>
      </c>
      <c r="G1068">
        <f>'Grid_Requirement'!D53</f>
        <v/>
      </c>
      <c r="H1068">
        <f>'Grid_Requirement'!E53</f>
        <v/>
      </c>
      <c r="I1068">
        <f>'Grid_Requirement'!F53</f>
        <v/>
      </c>
      <c r="J1068">
        <f>'Grid_Requirement'!G53</f>
        <v/>
      </c>
      <c r="K1068">
        <f>'Grid_Requirement'!H53</f>
        <v/>
      </c>
      <c r="L1068">
        <f>'Grid_Requirement'!I53</f>
        <v/>
      </c>
      <c r="M1068">
        <f>'Grid_Requirement'!J53</f>
        <v/>
      </c>
      <c r="N1068">
        <f>'Grid_Requirement'!K53</f>
        <v/>
      </c>
      <c r="O1068">
        <f>'Grid_Requirement'!L53</f>
        <v/>
      </c>
      <c r="P1068">
        <f>'Grid_Requirement'!M53</f>
        <v/>
      </c>
      <c r="Q1068">
        <f>'Grid_Requirement'!N53</f>
        <v/>
      </c>
      <c r="R1068">
        <f>'Grid_Requirement'!O53</f>
        <v/>
      </c>
      <c r="S1068">
        <f>'Grid_Requirement'!P53</f>
        <v/>
      </c>
      <c r="T1068">
        <f>'Grid_Requirement'!Q53</f>
        <v/>
      </c>
      <c r="U1068">
        <f>'Grid_Requirement'!R53</f>
        <v/>
      </c>
      <c r="V1068">
        <f>'Grid_Requirement'!S53</f>
        <v/>
      </c>
      <c r="W1068">
        <f>'Grid_Requirement'!T53</f>
        <v/>
      </c>
      <c r="X1068">
        <f>'Grid_Requirement'!U53</f>
        <v/>
      </c>
      <c r="Y1068">
        <f>'Grid_Requirement'!V53</f>
        <v/>
      </c>
      <c r="Z1068">
        <f>'Grid_Requirement'!W53</f>
        <v/>
      </c>
      <c r="AA1068">
        <f>'Grid_Requirement'!X53</f>
        <v/>
      </c>
      <c r="AB1068">
        <f>'Grid_Requirement'!Y53</f>
        <v/>
      </c>
      <c r="AC1068">
        <f>'Grid_Requirement'!Z53</f>
        <v/>
      </c>
      <c r="AD1068">
        <f>'Grid_Requirement'!AA53</f>
        <v/>
      </c>
      <c r="AE1068">
        <f>'Grid_Requirement'!AB53</f>
        <v/>
      </c>
      <c r="AF1068">
        <f>'Grid_Requirement'!AC53</f>
        <v/>
      </c>
      <c r="AG1068">
        <f>'Grid_Requirement'!AD53</f>
        <v/>
      </c>
      <c r="AH1068">
        <f>'Grid_Requirement'!AE53</f>
        <v/>
      </c>
      <c r="AI1068">
        <f>'Grid_Requirement'!AF53</f>
        <v/>
      </c>
      <c r="AJ1068">
        <f>'Grid_Requirement'!AG53</f>
        <v/>
      </c>
      <c r="AK1068">
        <f>'Grid_Requirement'!AH53</f>
        <v/>
      </c>
      <c r="AL1068">
        <f>'Grid_Requirement'!AI53</f>
        <v/>
      </c>
      <c r="AM1068">
        <f>'Grid_Requirement'!AJ53</f>
        <v/>
      </c>
      <c r="AN1068">
        <f>'Grid_Requirement'!AK53</f>
        <v/>
      </c>
      <c r="AO1068">
        <f>'Grid_Requirement'!AL53</f>
        <v/>
      </c>
      <c r="AP1068">
        <f>'Grid_Requirement'!AM53</f>
        <v/>
      </c>
      <c r="AQ1068">
        <f>'Grid_Requirement'!AN53</f>
        <v/>
      </c>
      <c r="AR1068">
        <f>'Grid_Requirement'!AO53</f>
        <v/>
      </c>
      <c r="AS1068">
        <f>'Grid_Requirement'!AP53</f>
        <v/>
      </c>
      <c r="AT1068">
        <f>'Grid_Requirement'!AQ53</f>
        <v/>
      </c>
      <c r="AU1068">
        <f>'Grid_Requirement'!AR53</f>
        <v/>
      </c>
      <c r="AV1068">
        <f>'Grid_Requirement'!AS53</f>
        <v/>
      </c>
      <c r="AW1068">
        <f>'Grid_Requirement'!AT53</f>
        <v/>
      </c>
      <c r="AX1068">
        <f>'Grid_Requirement'!AU53</f>
        <v/>
      </c>
      <c r="AY1068">
        <f>'Grid_Requirement'!AV53</f>
        <v/>
      </c>
      <c r="AZ1068">
        <f>'Grid_Requirement'!AW53</f>
        <v/>
      </c>
      <c r="BA1068">
        <f>'Grid_Requirement'!AX53</f>
        <v/>
      </c>
      <c r="BB1068">
        <f>'Grid_Requirement'!AY53</f>
        <v/>
      </c>
      <c r="BC1068">
        <f>'Grid_Requirement'!AZ53</f>
        <v/>
      </c>
      <c r="BD1068">
        <f>'Grid_Requirement'!BA53</f>
        <v/>
      </c>
      <c r="BE1068">
        <f>'Grid_Requirement'!BB53</f>
        <v/>
      </c>
      <c r="BF1068">
        <f>'Grid_Requirement'!BC53</f>
        <v/>
      </c>
      <c r="BG1068">
        <f>'Grid_Requirement'!BD53</f>
        <v/>
      </c>
      <c r="BH1068">
        <f>'Grid_Requirement'!BE53</f>
        <v/>
      </c>
      <c r="BI1068">
        <f>'Grid_Requirement'!BF53</f>
        <v/>
      </c>
      <c r="BJ1068">
        <f>'Grid_Requirement'!BG53</f>
        <v/>
      </c>
      <c r="BK1068">
        <f>'Grid_Requirement'!BH53</f>
        <v/>
      </c>
      <c r="BL1068">
        <f>'Grid_Requirement'!BI53</f>
        <v/>
      </c>
      <c r="BM1068">
        <f>'Grid_Requirement'!BJ53</f>
        <v/>
      </c>
      <c r="BN1068">
        <f>'Grid_Requirement'!BK53</f>
        <v/>
      </c>
      <c r="BO1068">
        <f>'Grid_Requirement'!BL53</f>
        <v/>
      </c>
      <c r="BP1068">
        <f>'Grid_Requirement'!BM53</f>
        <v/>
      </c>
      <c r="BQ1068">
        <f>'Grid_Requirement'!BN53</f>
        <v/>
      </c>
      <c r="BR1068">
        <f>'Grid_Requirement'!BO53</f>
        <v/>
      </c>
      <c r="BS1068">
        <f>'Grid_Requirement'!BP53</f>
        <v/>
      </c>
      <c r="BT1068">
        <f>'Grid_Requirement'!BQ53</f>
        <v/>
      </c>
      <c r="BU1068">
        <f>'Grid_Requirement'!BR53</f>
        <v/>
      </c>
      <c r="BV1068">
        <f>'Grid_Requirement'!BS53</f>
        <v/>
      </c>
      <c r="BW1068">
        <f>'Grid_Requirement'!BT53</f>
        <v/>
      </c>
      <c r="BX1068">
        <f>'Grid_Requirement'!BU53</f>
        <v/>
      </c>
      <c r="BY1068">
        <f>'Grid_Requirement'!BV53</f>
        <v/>
      </c>
      <c r="BZ1068">
        <f>'Grid_Requirement'!BW53</f>
        <v/>
      </c>
      <c r="CA1068">
        <f>'Grid_Requirement'!BX53</f>
        <v/>
      </c>
      <c r="CB1068">
        <f>'Grid_Requirement'!BY53</f>
        <v/>
      </c>
      <c r="CC1068">
        <f>'Grid_Requirement'!BZ53</f>
        <v/>
      </c>
      <c r="CD1068">
        <f>'Grid_Requirement'!CA53</f>
        <v/>
      </c>
      <c r="CE1068">
        <f>'Grid_Requirement'!CB53</f>
        <v/>
      </c>
      <c r="CF1068">
        <f>'Grid_Requirement'!CC53</f>
        <v/>
      </c>
      <c r="CG1068">
        <f>'Grid_Requirement'!CD53</f>
        <v/>
      </c>
      <c r="CH1068">
        <f>'Grid_Requirement'!CE53</f>
        <v/>
      </c>
      <c r="CI1068">
        <f>'Grid_Requirement'!CF53</f>
        <v/>
      </c>
      <c r="CJ1068">
        <f>'Grid_Requirement'!CG53</f>
        <v/>
      </c>
      <c r="CK1068">
        <f>'Grid_Requirement'!CH53</f>
        <v/>
      </c>
      <c r="CL1068">
        <f>'Grid_Requirement'!CI53</f>
        <v/>
      </c>
      <c r="CM1068">
        <f>'Grid_Requirement'!CJ53</f>
        <v/>
      </c>
      <c r="CN1068">
        <f>'Grid_Requirement'!CK53</f>
        <v/>
      </c>
      <c r="CO1068">
        <f>'Grid_Requirement'!CL53</f>
        <v/>
      </c>
      <c r="CP1068">
        <f>'Grid_Requirement'!CM53</f>
        <v/>
      </c>
      <c r="CQ1068">
        <f>'Grid_Requirement'!CN53</f>
        <v/>
      </c>
      <c r="CR1068">
        <f>'Grid_Requirement'!CO53</f>
        <v/>
      </c>
      <c r="CS1068">
        <f>'Grid_Requirement'!CP53</f>
        <v/>
      </c>
      <c r="CT1068">
        <f>'Grid_Requirement'!CQ53</f>
        <v/>
      </c>
      <c r="CU1068">
        <f>'Grid_Requirement'!CR53</f>
        <v/>
      </c>
      <c r="CV1068">
        <f>'Grid_Requirement'!CS53</f>
        <v/>
      </c>
      <c r="CW1068">
        <f>'Grid_Requirement'!CT53</f>
        <v/>
      </c>
      <c r="CX1068">
        <f>'Grid_Requirement'!CU53</f>
        <v/>
      </c>
      <c r="CY1068">
        <f>'Grid_Requirement'!CV53</f>
        <v/>
      </c>
      <c r="CZ1068">
        <f>'Grid_Requirement'!CW53</f>
        <v/>
      </c>
      <c r="DA1068">
        <f>'Grid_Requirement'!CX53</f>
        <v/>
      </c>
      <c r="DB1068">
        <f>'Grid_Requirement'!CY53</f>
        <v/>
      </c>
      <c r="DC1068">
        <f>'Grid_Requirement'!CZ53</f>
        <v/>
      </c>
      <c r="DD1068">
        <f>'Grid_Requirement'!DA53</f>
        <v/>
      </c>
    </row>
    <row r="1069">
      <c r="B1069" s="23" t="inlineStr">
        <is>
          <t>（在庫・入荷予定はDashboard参照）</t>
        </is>
      </c>
    </row>
    <row r="1071">
      <c r="A1071" s="21" t="inlineStr">
        <is>
          <t>CHEM-1490</t>
        </is>
      </c>
      <c r="B1071" s="21" t="inlineStr">
        <is>
          <t>Optalys 227</t>
        </is>
      </c>
      <c r="C1071" s="21" t="n"/>
      <c r="D1071" s="21" t="n"/>
      <c r="E1071" s="21" t="n"/>
      <c r="F1071" s="21" t="n"/>
      <c r="G1071" s="21" t="n"/>
      <c r="H1071" s="21" t="n"/>
      <c r="I1071" s="21" t="n"/>
      <c r="J1071" s="21" t="n"/>
      <c r="K1071" s="21" t="n"/>
      <c r="L1071" s="21" t="n"/>
      <c r="M1071" s="21" t="n"/>
      <c r="N1071" s="21" t="n"/>
      <c r="O1071" s="21" t="n"/>
      <c r="P1071" s="21" t="n"/>
      <c r="Q1071" s="21" t="n"/>
      <c r="R1071" s="21" t="n"/>
      <c r="S1071" s="21" t="n"/>
      <c r="T1071" s="21" t="n"/>
      <c r="U1071" s="21" t="n"/>
      <c r="V1071" s="21" t="n"/>
      <c r="W1071" s="21" t="n"/>
      <c r="X1071" s="21" t="n"/>
      <c r="Y1071" s="21" t="n"/>
      <c r="Z1071" s="21" t="n"/>
      <c r="AA1071" s="21" t="n"/>
      <c r="AB1071" s="21" t="n"/>
      <c r="AC1071" s="21" t="n"/>
      <c r="AD1071" s="21" t="n"/>
      <c r="AE1071" s="21" t="n"/>
      <c r="AF1071" s="21" t="n"/>
      <c r="AG1071" s="21" t="n"/>
      <c r="AH1071" s="21" t="n"/>
      <c r="AI1071" s="21" t="n"/>
      <c r="AJ1071" s="21" t="n"/>
      <c r="AK1071" s="21" t="n"/>
      <c r="AL1071" s="21" t="n"/>
      <c r="AM1071" s="21" t="n"/>
      <c r="AN1071" s="21" t="n"/>
      <c r="AO1071" s="21" t="n"/>
      <c r="AP1071" s="21" t="n"/>
      <c r="AQ1071" s="21" t="n"/>
      <c r="AR1071" s="21" t="n"/>
      <c r="AS1071" s="21" t="n"/>
      <c r="AT1071" s="21" t="n"/>
      <c r="AU1071" s="21" t="n"/>
      <c r="AV1071" s="21" t="n"/>
      <c r="AW1071" s="21" t="n"/>
      <c r="AX1071" s="21" t="n"/>
      <c r="AY1071" s="21" t="n"/>
      <c r="AZ1071" s="21" t="n"/>
      <c r="BA1071" s="21" t="n"/>
      <c r="BB1071" s="21" t="n"/>
      <c r="BC1071" s="21" t="n"/>
      <c r="BD1071" s="21" t="n"/>
      <c r="BE1071" s="21" t="n"/>
      <c r="BF1071" s="21" t="n"/>
      <c r="BG1071" s="21" t="n"/>
      <c r="BH1071" s="21" t="n"/>
      <c r="BI1071" s="21" t="n"/>
      <c r="BJ1071" s="21" t="n"/>
      <c r="BK1071" s="21" t="n"/>
      <c r="BL1071" s="21" t="n"/>
      <c r="BM1071" s="21" t="n"/>
      <c r="BN1071" s="21" t="n"/>
      <c r="BO1071" s="21" t="n"/>
      <c r="BP1071" s="21" t="n"/>
      <c r="BQ1071" s="21" t="n"/>
      <c r="BR1071" s="21" t="n"/>
      <c r="BS1071" s="21" t="n"/>
      <c r="BT1071" s="21" t="n"/>
      <c r="BU1071" s="21" t="n"/>
      <c r="BV1071" s="21" t="n"/>
      <c r="BW1071" s="21" t="n"/>
      <c r="BX1071" s="21" t="n"/>
      <c r="BY1071" s="21" t="n"/>
      <c r="BZ1071" s="21" t="n"/>
      <c r="CA1071" s="21" t="n"/>
      <c r="CB1071" s="21" t="n"/>
      <c r="CC1071" s="21" t="n"/>
      <c r="CD1071" s="21" t="n"/>
      <c r="CE1071" s="21" t="n"/>
      <c r="CF1071" s="21" t="n"/>
      <c r="CG1071" s="21" t="n"/>
      <c r="CH1071" s="21" t="n"/>
      <c r="CI1071" s="21" t="n"/>
      <c r="CJ1071" s="21" t="n"/>
      <c r="CK1071" s="21" t="n"/>
      <c r="CL1071" s="21" t="n"/>
      <c r="CM1071" s="21" t="n"/>
      <c r="CN1071" s="21" t="n"/>
      <c r="CO1071" s="21" t="n"/>
      <c r="CP1071" s="21" t="n"/>
      <c r="CQ1071" s="21" t="n"/>
      <c r="CR1071" s="21" t="n"/>
      <c r="CS1071" s="21" t="n"/>
      <c r="CT1071" s="21" t="n"/>
      <c r="CU1071" s="21" t="n"/>
      <c r="CV1071" s="21" t="n"/>
      <c r="CW1071" s="21" t="n"/>
      <c r="CX1071" s="21" t="n"/>
      <c r="CY1071" s="21" t="n"/>
      <c r="CZ1071" s="21" t="n"/>
      <c r="DA1071" s="21" t="n"/>
      <c r="DB1071" s="21" t="n"/>
      <c r="DC1071" s="21" t="n"/>
      <c r="DD1071" s="21" t="n"/>
    </row>
    <row r="1072">
      <c r="B1072" t="inlineStr">
        <is>
          <t>TSP-390</t>
        </is>
      </c>
      <c r="C1072" t="inlineStr">
        <is>
          <t>No. of batches</t>
        </is>
      </c>
      <c r="D1072">
        <f>IFERROR(INDEX(E1072:DD1072,$F$1),"")</f>
        <v/>
      </c>
      <c r="E1072">
        <f>IFERROR(INDEX(PP_Grid[#Data],$DE1072,2),0)</f>
        <v/>
      </c>
      <c r="F1072">
        <f>IFERROR(INDEX(PP_Grid[#Data],$DE1072,3),0)</f>
        <v/>
      </c>
      <c r="G1072">
        <f>IFERROR(INDEX(PP_Grid[#Data],$DE1072,4),0)</f>
        <v/>
      </c>
      <c r="H1072">
        <f>IFERROR(INDEX(PP_Grid[#Data],$DE1072,5),0)</f>
        <v/>
      </c>
      <c r="I1072">
        <f>IFERROR(INDEX(PP_Grid[#Data],$DE1072,6),0)</f>
        <v/>
      </c>
      <c r="J1072">
        <f>IFERROR(INDEX(PP_Grid[#Data],$DE1072,7),0)</f>
        <v/>
      </c>
      <c r="K1072">
        <f>IFERROR(INDEX(PP_Grid[#Data],$DE1072,8),0)</f>
        <v/>
      </c>
      <c r="L1072">
        <f>IFERROR(INDEX(PP_Grid[#Data],$DE1072,9),0)</f>
        <v/>
      </c>
      <c r="M1072">
        <f>IFERROR(INDEX(PP_Grid[#Data],$DE1072,10),0)</f>
        <v/>
      </c>
      <c r="N1072">
        <f>IFERROR(INDEX(PP_Grid[#Data],$DE1072,11),0)</f>
        <v/>
      </c>
      <c r="O1072">
        <f>IFERROR(INDEX(PP_Grid[#Data],$DE1072,12),0)</f>
        <v/>
      </c>
      <c r="P1072">
        <f>IFERROR(INDEX(PP_Grid[#Data],$DE1072,13),0)</f>
        <v/>
      </c>
      <c r="Q1072">
        <f>IFERROR(INDEX(PP_Grid[#Data],$DE1072,14),0)</f>
        <v/>
      </c>
      <c r="R1072">
        <f>IFERROR(INDEX(PP_Grid[#Data],$DE1072,15),0)</f>
        <v/>
      </c>
      <c r="S1072">
        <f>IFERROR(INDEX(PP_Grid[#Data],$DE1072,16),0)</f>
        <v/>
      </c>
      <c r="T1072">
        <f>IFERROR(INDEX(PP_Grid[#Data],$DE1072,17),0)</f>
        <v/>
      </c>
      <c r="U1072">
        <f>IFERROR(INDEX(PP_Grid[#Data],$DE1072,18),0)</f>
        <v/>
      </c>
      <c r="V1072">
        <f>IFERROR(INDEX(PP_Grid[#Data],$DE1072,19),0)</f>
        <v/>
      </c>
      <c r="W1072">
        <f>IFERROR(INDEX(PP_Grid[#Data],$DE1072,20),0)</f>
        <v/>
      </c>
      <c r="X1072">
        <f>IFERROR(INDEX(PP_Grid[#Data],$DE1072,21),0)</f>
        <v/>
      </c>
      <c r="Y1072">
        <f>IFERROR(INDEX(PP_Grid[#Data],$DE1072,22),0)</f>
        <v/>
      </c>
      <c r="Z1072">
        <f>IFERROR(INDEX(PP_Grid[#Data],$DE1072,23),0)</f>
        <v/>
      </c>
      <c r="AA1072">
        <f>IFERROR(INDEX(PP_Grid[#Data],$DE1072,24),0)</f>
        <v/>
      </c>
      <c r="AB1072">
        <f>IFERROR(INDEX(PP_Grid[#Data],$DE1072,25),0)</f>
        <v/>
      </c>
      <c r="AC1072">
        <f>IFERROR(INDEX(PP_Grid[#Data],$DE1072,26),0)</f>
        <v/>
      </c>
      <c r="AD1072">
        <f>IFERROR(INDEX(PP_Grid[#Data],$DE1072,27),0)</f>
        <v/>
      </c>
      <c r="AE1072">
        <f>IFERROR(INDEX(PP_Grid[#Data],$DE1072,28),0)</f>
        <v/>
      </c>
      <c r="AF1072">
        <f>IFERROR(INDEX(PP_Grid[#Data],$DE1072,29),0)</f>
        <v/>
      </c>
      <c r="AG1072">
        <f>IFERROR(INDEX(PP_Grid[#Data],$DE1072,30),0)</f>
        <v/>
      </c>
      <c r="AH1072">
        <f>IFERROR(INDEX(PP_Grid[#Data],$DE1072,31),0)</f>
        <v/>
      </c>
      <c r="AI1072">
        <f>IFERROR(INDEX(PP_Grid[#Data],$DE1072,32),0)</f>
        <v/>
      </c>
      <c r="AJ1072">
        <f>IFERROR(INDEX(PP_Grid[#Data],$DE1072,33),0)</f>
        <v/>
      </c>
      <c r="AK1072">
        <f>IFERROR(INDEX(PP_Grid[#Data],$DE1072,34),0)</f>
        <v/>
      </c>
      <c r="AL1072">
        <f>IFERROR(INDEX(PP_Grid[#Data],$DE1072,35),0)</f>
        <v/>
      </c>
      <c r="AM1072">
        <f>IFERROR(INDEX(PP_Grid[#Data],$DE1072,36),0)</f>
        <v/>
      </c>
      <c r="AN1072">
        <f>IFERROR(INDEX(PP_Grid[#Data],$DE1072,37),0)</f>
        <v/>
      </c>
      <c r="AO1072">
        <f>IFERROR(INDEX(PP_Grid[#Data],$DE1072,38),0)</f>
        <v/>
      </c>
      <c r="AP1072">
        <f>IFERROR(INDEX(PP_Grid[#Data],$DE1072,39),0)</f>
        <v/>
      </c>
      <c r="AQ1072">
        <f>IFERROR(INDEX(PP_Grid[#Data],$DE1072,40),0)</f>
        <v/>
      </c>
      <c r="AR1072">
        <f>IFERROR(INDEX(PP_Grid[#Data],$DE1072,41),0)</f>
        <v/>
      </c>
      <c r="AS1072">
        <f>IFERROR(INDEX(PP_Grid[#Data],$DE1072,42),0)</f>
        <v/>
      </c>
      <c r="AT1072">
        <f>IFERROR(INDEX(PP_Grid[#Data],$DE1072,43),0)</f>
        <v/>
      </c>
      <c r="AU1072">
        <f>IFERROR(INDEX(PP_Grid[#Data],$DE1072,44),0)</f>
        <v/>
      </c>
      <c r="AV1072">
        <f>IFERROR(INDEX(PP_Grid[#Data],$DE1072,45),0)</f>
        <v/>
      </c>
      <c r="AW1072">
        <f>IFERROR(INDEX(PP_Grid[#Data],$DE1072,46),0)</f>
        <v/>
      </c>
      <c r="AX1072">
        <f>IFERROR(INDEX(PP_Grid[#Data],$DE1072,47),0)</f>
        <v/>
      </c>
      <c r="AY1072">
        <f>IFERROR(INDEX(PP_Grid[#Data],$DE1072,48),0)</f>
        <v/>
      </c>
      <c r="AZ1072">
        <f>IFERROR(INDEX(PP_Grid[#Data],$DE1072,49),0)</f>
        <v/>
      </c>
      <c r="BA1072">
        <f>IFERROR(INDEX(PP_Grid[#Data],$DE1072,50),0)</f>
        <v/>
      </c>
      <c r="BB1072">
        <f>IFERROR(INDEX(PP_Grid[#Data],$DE1072,51),0)</f>
        <v/>
      </c>
      <c r="BC1072">
        <f>IFERROR(INDEX(PP_Grid[#Data],$DE1072,52),0)</f>
        <v/>
      </c>
      <c r="BD1072">
        <f>IFERROR(INDEX(PP_Grid[#Data],$DE1072,53),0)</f>
        <v/>
      </c>
      <c r="BE1072">
        <f>IFERROR(INDEX(PP_Grid[#Data],$DE1072,54),0)</f>
        <v/>
      </c>
      <c r="BF1072">
        <f>IFERROR(INDEX(PP_Grid[#Data],$DE1072,55),0)</f>
        <v/>
      </c>
      <c r="BG1072">
        <f>IFERROR(INDEX(PP_Grid[#Data],$DE1072,56),0)</f>
        <v/>
      </c>
      <c r="BH1072">
        <f>IFERROR(INDEX(PP_Grid[#Data],$DE1072,57),0)</f>
        <v/>
      </c>
      <c r="BI1072">
        <f>IFERROR(INDEX(PP_Grid[#Data],$DE1072,58),0)</f>
        <v/>
      </c>
      <c r="BJ1072">
        <f>IFERROR(INDEX(PP_Grid[#Data],$DE1072,59),0)</f>
        <v/>
      </c>
      <c r="BK1072">
        <f>IFERROR(INDEX(PP_Grid[#Data],$DE1072,60),0)</f>
        <v/>
      </c>
      <c r="BL1072">
        <f>IFERROR(INDEX(PP_Grid[#Data],$DE1072,61),0)</f>
        <v/>
      </c>
      <c r="BM1072">
        <f>IFERROR(INDEX(PP_Grid[#Data],$DE1072,62),0)</f>
        <v/>
      </c>
      <c r="BN1072">
        <f>IFERROR(INDEX(PP_Grid[#Data],$DE1072,63),0)</f>
        <v/>
      </c>
      <c r="BO1072">
        <f>IFERROR(INDEX(PP_Grid[#Data],$DE1072,64),0)</f>
        <v/>
      </c>
      <c r="BP1072">
        <f>IFERROR(INDEX(PP_Grid[#Data],$DE1072,65),0)</f>
        <v/>
      </c>
      <c r="BQ1072">
        <f>IFERROR(INDEX(PP_Grid[#Data],$DE1072,66),0)</f>
        <v/>
      </c>
      <c r="BR1072">
        <f>IFERROR(INDEX(PP_Grid[#Data],$DE1072,67),0)</f>
        <v/>
      </c>
      <c r="BS1072">
        <f>IFERROR(INDEX(PP_Grid[#Data],$DE1072,68),0)</f>
        <v/>
      </c>
      <c r="BT1072">
        <f>IFERROR(INDEX(PP_Grid[#Data],$DE1072,69),0)</f>
        <v/>
      </c>
      <c r="BU1072">
        <f>IFERROR(INDEX(PP_Grid[#Data],$DE1072,70),0)</f>
        <v/>
      </c>
      <c r="BV1072">
        <f>IFERROR(INDEX(PP_Grid[#Data],$DE1072,71),0)</f>
        <v/>
      </c>
      <c r="BW1072">
        <f>IFERROR(INDEX(PP_Grid[#Data],$DE1072,72),0)</f>
        <v/>
      </c>
      <c r="BX1072">
        <f>IFERROR(INDEX(PP_Grid[#Data],$DE1072,73),0)</f>
        <v/>
      </c>
      <c r="BY1072">
        <f>IFERROR(INDEX(PP_Grid[#Data],$DE1072,74),0)</f>
        <v/>
      </c>
      <c r="BZ1072">
        <f>IFERROR(INDEX(PP_Grid[#Data],$DE1072,75),0)</f>
        <v/>
      </c>
      <c r="CA1072">
        <f>IFERROR(INDEX(PP_Grid[#Data],$DE1072,76),0)</f>
        <v/>
      </c>
      <c r="CB1072">
        <f>IFERROR(INDEX(PP_Grid[#Data],$DE1072,77),0)</f>
        <v/>
      </c>
      <c r="CC1072">
        <f>IFERROR(INDEX(PP_Grid[#Data],$DE1072,78),0)</f>
        <v/>
      </c>
      <c r="CD1072">
        <f>IFERROR(INDEX(PP_Grid[#Data],$DE1072,79),0)</f>
        <v/>
      </c>
      <c r="CE1072">
        <f>IFERROR(INDEX(PP_Grid[#Data],$DE1072,80),0)</f>
        <v/>
      </c>
      <c r="CF1072">
        <f>IFERROR(INDEX(PP_Grid[#Data],$DE1072,81),0)</f>
        <v/>
      </c>
      <c r="CG1072">
        <f>IFERROR(INDEX(PP_Grid[#Data],$DE1072,82),0)</f>
        <v/>
      </c>
      <c r="CH1072">
        <f>IFERROR(INDEX(PP_Grid[#Data],$DE1072,83),0)</f>
        <v/>
      </c>
      <c r="CI1072">
        <f>IFERROR(INDEX(PP_Grid[#Data],$DE1072,84),0)</f>
        <v/>
      </c>
      <c r="CJ1072">
        <f>IFERROR(INDEX(PP_Grid[#Data],$DE1072,85),0)</f>
        <v/>
      </c>
      <c r="CK1072">
        <f>IFERROR(INDEX(PP_Grid[#Data],$DE1072,86),0)</f>
        <v/>
      </c>
      <c r="CL1072">
        <f>IFERROR(INDEX(PP_Grid[#Data],$DE1072,87),0)</f>
        <v/>
      </c>
      <c r="CM1072">
        <f>IFERROR(INDEX(PP_Grid[#Data],$DE1072,88),0)</f>
        <v/>
      </c>
      <c r="CN1072">
        <f>IFERROR(INDEX(PP_Grid[#Data],$DE1072,89),0)</f>
        <v/>
      </c>
      <c r="CO1072">
        <f>IFERROR(INDEX(PP_Grid[#Data],$DE1072,90),0)</f>
        <v/>
      </c>
      <c r="CP1072">
        <f>IFERROR(INDEX(PP_Grid[#Data],$DE1072,91),0)</f>
        <v/>
      </c>
      <c r="CQ1072">
        <f>IFERROR(INDEX(PP_Grid[#Data],$DE1072,92),0)</f>
        <v/>
      </c>
      <c r="CR1072">
        <f>IFERROR(INDEX(PP_Grid[#Data],$DE1072,93),0)</f>
        <v/>
      </c>
      <c r="CS1072">
        <f>IFERROR(INDEX(PP_Grid[#Data],$DE1072,94),0)</f>
        <v/>
      </c>
      <c r="CT1072">
        <f>IFERROR(INDEX(PP_Grid[#Data],$DE1072,95),0)</f>
        <v/>
      </c>
      <c r="CU1072">
        <f>IFERROR(INDEX(PP_Grid[#Data],$DE1072,96),0)</f>
        <v/>
      </c>
      <c r="CV1072">
        <f>IFERROR(INDEX(PP_Grid[#Data],$DE1072,97),0)</f>
        <v/>
      </c>
      <c r="CW1072">
        <f>IFERROR(INDEX(PP_Grid[#Data],$DE1072,98),0)</f>
        <v/>
      </c>
      <c r="CX1072">
        <f>IFERROR(INDEX(PP_Grid[#Data],$DE1072,99),0)</f>
        <v/>
      </c>
      <c r="CY1072">
        <f>IFERROR(INDEX(PP_Grid[#Data],$DE1072,100),0)</f>
        <v/>
      </c>
      <c r="CZ1072">
        <f>IFERROR(INDEX(PP_Grid[#Data],$DE1072,101),0)</f>
        <v/>
      </c>
      <c r="DA1072">
        <f>IFERROR(INDEX(PP_Grid[#Data],$DE1072,102),0)</f>
        <v/>
      </c>
      <c r="DB1072">
        <f>IFERROR(INDEX(PP_Grid[#Data],$DE1072,103),0)</f>
        <v/>
      </c>
      <c r="DC1072">
        <f>IFERROR(INDEX(PP_Grid[#Data],$DE1072,104),0)</f>
        <v/>
      </c>
      <c r="DD1072">
        <f>IFERROR(INDEX(PP_Grid[#Data],$DE1072,105),0)</f>
        <v/>
      </c>
      <c r="DE1072" s="7">
        <f>IFERROR(MATCH($B1072,PP_Grid[Intermediate],0),99999)</f>
        <v/>
      </c>
    </row>
    <row r="1073">
      <c r="B1073" t="inlineStr">
        <is>
          <t>使用量(kg)</t>
        </is>
      </c>
      <c r="C1073">
        <f>SUMIFS(M_BOM[RM_Qty_Per_Batch],M_BOM[Intermediate],$B1072,M_BOM[RM_Code],$A1071)</f>
        <v/>
      </c>
      <c r="D1073">
        <f>IFERROR(INDEX(E1073:DD1073,$F$1),"")</f>
        <v/>
      </c>
      <c r="E1073">
        <f>$C1073*E1072</f>
        <v/>
      </c>
      <c r="F1073">
        <f>$C1073*F1072</f>
        <v/>
      </c>
      <c r="G1073">
        <f>$C1073*G1072</f>
        <v/>
      </c>
      <c r="H1073">
        <f>$C1073*H1072</f>
        <v/>
      </c>
      <c r="I1073">
        <f>$C1073*I1072</f>
        <v/>
      </c>
      <c r="J1073">
        <f>$C1073*J1072</f>
        <v/>
      </c>
      <c r="K1073">
        <f>$C1073*K1072</f>
        <v/>
      </c>
      <c r="L1073">
        <f>$C1073*L1072</f>
        <v/>
      </c>
      <c r="M1073">
        <f>$C1073*M1072</f>
        <v/>
      </c>
      <c r="N1073">
        <f>$C1073*N1072</f>
        <v/>
      </c>
      <c r="O1073">
        <f>$C1073*O1072</f>
        <v/>
      </c>
      <c r="P1073">
        <f>$C1073*P1072</f>
        <v/>
      </c>
      <c r="Q1073">
        <f>$C1073*Q1072</f>
        <v/>
      </c>
      <c r="R1073">
        <f>$C1073*R1072</f>
        <v/>
      </c>
      <c r="S1073">
        <f>$C1073*S1072</f>
        <v/>
      </c>
      <c r="T1073">
        <f>$C1073*T1072</f>
        <v/>
      </c>
      <c r="U1073">
        <f>$C1073*U1072</f>
        <v/>
      </c>
      <c r="V1073">
        <f>$C1073*V1072</f>
        <v/>
      </c>
      <c r="W1073">
        <f>$C1073*W1072</f>
        <v/>
      </c>
      <c r="X1073">
        <f>$C1073*X1072</f>
        <v/>
      </c>
      <c r="Y1073">
        <f>$C1073*Y1072</f>
        <v/>
      </c>
      <c r="Z1073">
        <f>$C1073*Z1072</f>
        <v/>
      </c>
      <c r="AA1073">
        <f>$C1073*AA1072</f>
        <v/>
      </c>
      <c r="AB1073">
        <f>$C1073*AB1072</f>
        <v/>
      </c>
      <c r="AC1073">
        <f>$C1073*AC1072</f>
        <v/>
      </c>
      <c r="AD1073">
        <f>$C1073*AD1072</f>
        <v/>
      </c>
      <c r="AE1073">
        <f>$C1073*AE1072</f>
        <v/>
      </c>
      <c r="AF1073">
        <f>$C1073*AF1072</f>
        <v/>
      </c>
      <c r="AG1073">
        <f>$C1073*AG1072</f>
        <v/>
      </c>
      <c r="AH1073">
        <f>$C1073*AH1072</f>
        <v/>
      </c>
      <c r="AI1073">
        <f>$C1073*AI1072</f>
        <v/>
      </c>
      <c r="AJ1073">
        <f>$C1073*AJ1072</f>
        <v/>
      </c>
      <c r="AK1073">
        <f>$C1073*AK1072</f>
        <v/>
      </c>
      <c r="AL1073">
        <f>$C1073*AL1072</f>
        <v/>
      </c>
      <c r="AM1073">
        <f>$C1073*AM1072</f>
        <v/>
      </c>
      <c r="AN1073">
        <f>$C1073*AN1072</f>
        <v/>
      </c>
      <c r="AO1073">
        <f>$C1073*AO1072</f>
        <v/>
      </c>
      <c r="AP1073">
        <f>$C1073*AP1072</f>
        <v/>
      </c>
      <c r="AQ1073">
        <f>$C1073*AQ1072</f>
        <v/>
      </c>
      <c r="AR1073">
        <f>$C1073*AR1072</f>
        <v/>
      </c>
      <c r="AS1073">
        <f>$C1073*AS1072</f>
        <v/>
      </c>
      <c r="AT1073">
        <f>$C1073*AT1072</f>
        <v/>
      </c>
      <c r="AU1073">
        <f>$C1073*AU1072</f>
        <v/>
      </c>
      <c r="AV1073">
        <f>$C1073*AV1072</f>
        <v/>
      </c>
      <c r="AW1073">
        <f>$C1073*AW1072</f>
        <v/>
      </c>
      <c r="AX1073">
        <f>$C1073*AX1072</f>
        <v/>
      </c>
      <c r="AY1073">
        <f>$C1073*AY1072</f>
        <v/>
      </c>
      <c r="AZ1073">
        <f>$C1073*AZ1072</f>
        <v/>
      </c>
      <c r="BA1073">
        <f>$C1073*BA1072</f>
        <v/>
      </c>
      <c r="BB1073">
        <f>$C1073*BB1072</f>
        <v/>
      </c>
      <c r="BC1073">
        <f>$C1073*BC1072</f>
        <v/>
      </c>
      <c r="BD1073">
        <f>$C1073*BD1072</f>
        <v/>
      </c>
      <c r="BE1073">
        <f>$C1073*BE1072</f>
        <v/>
      </c>
      <c r="BF1073">
        <f>$C1073*BF1072</f>
        <v/>
      </c>
      <c r="BG1073">
        <f>$C1073*BG1072</f>
        <v/>
      </c>
      <c r="BH1073">
        <f>$C1073*BH1072</f>
        <v/>
      </c>
      <c r="BI1073">
        <f>$C1073*BI1072</f>
        <v/>
      </c>
      <c r="BJ1073">
        <f>$C1073*BJ1072</f>
        <v/>
      </c>
      <c r="BK1073">
        <f>$C1073*BK1072</f>
        <v/>
      </c>
      <c r="BL1073">
        <f>$C1073*BL1072</f>
        <v/>
      </c>
      <c r="BM1073">
        <f>$C1073*BM1072</f>
        <v/>
      </c>
      <c r="BN1073">
        <f>$C1073*BN1072</f>
        <v/>
      </c>
      <c r="BO1073">
        <f>$C1073*BO1072</f>
        <v/>
      </c>
      <c r="BP1073">
        <f>$C1073*BP1072</f>
        <v/>
      </c>
      <c r="BQ1073">
        <f>$C1073*BQ1072</f>
        <v/>
      </c>
      <c r="BR1073">
        <f>$C1073*BR1072</f>
        <v/>
      </c>
      <c r="BS1073">
        <f>$C1073*BS1072</f>
        <v/>
      </c>
      <c r="BT1073">
        <f>$C1073*BT1072</f>
        <v/>
      </c>
      <c r="BU1073">
        <f>$C1073*BU1072</f>
        <v/>
      </c>
      <c r="BV1073">
        <f>$C1073*BV1072</f>
        <v/>
      </c>
      <c r="BW1073">
        <f>$C1073*BW1072</f>
        <v/>
      </c>
      <c r="BX1073">
        <f>$C1073*BX1072</f>
        <v/>
      </c>
      <c r="BY1073">
        <f>$C1073*BY1072</f>
        <v/>
      </c>
      <c r="BZ1073">
        <f>$C1073*BZ1072</f>
        <v/>
      </c>
      <c r="CA1073">
        <f>$C1073*CA1072</f>
        <v/>
      </c>
      <c r="CB1073">
        <f>$C1073*CB1072</f>
        <v/>
      </c>
      <c r="CC1073">
        <f>$C1073*CC1072</f>
        <v/>
      </c>
      <c r="CD1073">
        <f>$C1073*CD1072</f>
        <v/>
      </c>
      <c r="CE1073">
        <f>$C1073*CE1072</f>
        <v/>
      </c>
      <c r="CF1073">
        <f>$C1073*CF1072</f>
        <v/>
      </c>
      <c r="CG1073">
        <f>$C1073*CG1072</f>
        <v/>
      </c>
      <c r="CH1073">
        <f>$C1073*CH1072</f>
        <v/>
      </c>
      <c r="CI1073">
        <f>$C1073*CI1072</f>
        <v/>
      </c>
      <c r="CJ1073">
        <f>$C1073*CJ1072</f>
        <v/>
      </c>
      <c r="CK1073">
        <f>$C1073*CK1072</f>
        <v/>
      </c>
      <c r="CL1073">
        <f>$C1073*CL1072</f>
        <v/>
      </c>
      <c r="CM1073">
        <f>$C1073*CM1072</f>
        <v/>
      </c>
      <c r="CN1073">
        <f>$C1073*CN1072</f>
        <v/>
      </c>
      <c r="CO1073">
        <f>$C1073*CO1072</f>
        <v/>
      </c>
      <c r="CP1073">
        <f>$C1073*CP1072</f>
        <v/>
      </c>
      <c r="CQ1073">
        <f>$C1073*CQ1072</f>
        <v/>
      </c>
      <c r="CR1073">
        <f>$C1073*CR1072</f>
        <v/>
      </c>
      <c r="CS1073">
        <f>$C1073*CS1072</f>
        <v/>
      </c>
      <c r="CT1073">
        <f>$C1073*CT1072</f>
        <v/>
      </c>
      <c r="CU1073">
        <f>$C1073*CU1072</f>
        <v/>
      </c>
      <c r="CV1073">
        <f>$C1073*CV1072</f>
        <v/>
      </c>
      <c r="CW1073">
        <f>$C1073*CW1072</f>
        <v/>
      </c>
      <c r="CX1073">
        <f>$C1073*CX1072</f>
        <v/>
      </c>
      <c r="CY1073">
        <f>$C1073*CY1072</f>
        <v/>
      </c>
      <c r="CZ1073">
        <f>$C1073*CZ1072</f>
        <v/>
      </c>
      <c r="DA1073">
        <f>$C1073*DA1072</f>
        <v/>
      </c>
      <c r="DB1073">
        <f>$C1073*DB1072</f>
        <v/>
      </c>
      <c r="DC1073">
        <f>$C1073*DC1072</f>
        <v/>
      </c>
      <c r="DD1073">
        <f>$C1073*DD1072</f>
        <v/>
      </c>
    </row>
    <row r="1074">
      <c r="B1074" t="inlineStr">
        <is>
          <t>TSP-399</t>
        </is>
      </c>
      <c r="C1074" t="inlineStr">
        <is>
          <t>No. of batches</t>
        </is>
      </c>
      <c r="D1074">
        <f>IFERROR(INDEX(E1074:DD1074,$F$1),"")</f>
        <v/>
      </c>
      <c r="E1074">
        <f>IFERROR(INDEX(PP_Grid[#Data],$DE1074,2),0)</f>
        <v/>
      </c>
      <c r="F1074">
        <f>IFERROR(INDEX(PP_Grid[#Data],$DE1074,3),0)</f>
        <v/>
      </c>
      <c r="G1074">
        <f>IFERROR(INDEX(PP_Grid[#Data],$DE1074,4),0)</f>
        <v/>
      </c>
      <c r="H1074">
        <f>IFERROR(INDEX(PP_Grid[#Data],$DE1074,5),0)</f>
        <v/>
      </c>
      <c r="I1074">
        <f>IFERROR(INDEX(PP_Grid[#Data],$DE1074,6),0)</f>
        <v/>
      </c>
      <c r="J1074">
        <f>IFERROR(INDEX(PP_Grid[#Data],$DE1074,7),0)</f>
        <v/>
      </c>
      <c r="K1074">
        <f>IFERROR(INDEX(PP_Grid[#Data],$DE1074,8),0)</f>
        <v/>
      </c>
      <c r="L1074">
        <f>IFERROR(INDEX(PP_Grid[#Data],$DE1074,9),0)</f>
        <v/>
      </c>
      <c r="M1074">
        <f>IFERROR(INDEX(PP_Grid[#Data],$DE1074,10),0)</f>
        <v/>
      </c>
      <c r="N1074">
        <f>IFERROR(INDEX(PP_Grid[#Data],$DE1074,11),0)</f>
        <v/>
      </c>
      <c r="O1074">
        <f>IFERROR(INDEX(PP_Grid[#Data],$DE1074,12),0)</f>
        <v/>
      </c>
      <c r="P1074">
        <f>IFERROR(INDEX(PP_Grid[#Data],$DE1074,13),0)</f>
        <v/>
      </c>
      <c r="Q1074">
        <f>IFERROR(INDEX(PP_Grid[#Data],$DE1074,14),0)</f>
        <v/>
      </c>
      <c r="R1074">
        <f>IFERROR(INDEX(PP_Grid[#Data],$DE1074,15),0)</f>
        <v/>
      </c>
      <c r="S1074">
        <f>IFERROR(INDEX(PP_Grid[#Data],$DE1074,16),0)</f>
        <v/>
      </c>
      <c r="T1074">
        <f>IFERROR(INDEX(PP_Grid[#Data],$DE1074,17),0)</f>
        <v/>
      </c>
      <c r="U1074">
        <f>IFERROR(INDEX(PP_Grid[#Data],$DE1074,18),0)</f>
        <v/>
      </c>
      <c r="V1074">
        <f>IFERROR(INDEX(PP_Grid[#Data],$DE1074,19),0)</f>
        <v/>
      </c>
      <c r="W1074">
        <f>IFERROR(INDEX(PP_Grid[#Data],$DE1074,20),0)</f>
        <v/>
      </c>
      <c r="X1074">
        <f>IFERROR(INDEX(PP_Grid[#Data],$DE1074,21),0)</f>
        <v/>
      </c>
      <c r="Y1074">
        <f>IFERROR(INDEX(PP_Grid[#Data],$DE1074,22),0)</f>
        <v/>
      </c>
      <c r="Z1074">
        <f>IFERROR(INDEX(PP_Grid[#Data],$DE1074,23),0)</f>
        <v/>
      </c>
      <c r="AA1074">
        <f>IFERROR(INDEX(PP_Grid[#Data],$DE1074,24),0)</f>
        <v/>
      </c>
      <c r="AB1074">
        <f>IFERROR(INDEX(PP_Grid[#Data],$DE1074,25),0)</f>
        <v/>
      </c>
      <c r="AC1074">
        <f>IFERROR(INDEX(PP_Grid[#Data],$DE1074,26),0)</f>
        <v/>
      </c>
      <c r="AD1074">
        <f>IFERROR(INDEX(PP_Grid[#Data],$DE1074,27),0)</f>
        <v/>
      </c>
      <c r="AE1074">
        <f>IFERROR(INDEX(PP_Grid[#Data],$DE1074,28),0)</f>
        <v/>
      </c>
      <c r="AF1074">
        <f>IFERROR(INDEX(PP_Grid[#Data],$DE1074,29),0)</f>
        <v/>
      </c>
      <c r="AG1074">
        <f>IFERROR(INDEX(PP_Grid[#Data],$DE1074,30),0)</f>
        <v/>
      </c>
      <c r="AH1074">
        <f>IFERROR(INDEX(PP_Grid[#Data],$DE1074,31),0)</f>
        <v/>
      </c>
      <c r="AI1074">
        <f>IFERROR(INDEX(PP_Grid[#Data],$DE1074,32),0)</f>
        <v/>
      </c>
      <c r="AJ1074">
        <f>IFERROR(INDEX(PP_Grid[#Data],$DE1074,33),0)</f>
        <v/>
      </c>
      <c r="AK1074">
        <f>IFERROR(INDEX(PP_Grid[#Data],$DE1074,34),0)</f>
        <v/>
      </c>
      <c r="AL1074">
        <f>IFERROR(INDEX(PP_Grid[#Data],$DE1074,35),0)</f>
        <v/>
      </c>
      <c r="AM1074">
        <f>IFERROR(INDEX(PP_Grid[#Data],$DE1074,36),0)</f>
        <v/>
      </c>
      <c r="AN1074">
        <f>IFERROR(INDEX(PP_Grid[#Data],$DE1074,37),0)</f>
        <v/>
      </c>
      <c r="AO1074">
        <f>IFERROR(INDEX(PP_Grid[#Data],$DE1074,38),0)</f>
        <v/>
      </c>
      <c r="AP1074">
        <f>IFERROR(INDEX(PP_Grid[#Data],$DE1074,39),0)</f>
        <v/>
      </c>
      <c r="AQ1074">
        <f>IFERROR(INDEX(PP_Grid[#Data],$DE1074,40),0)</f>
        <v/>
      </c>
      <c r="AR1074">
        <f>IFERROR(INDEX(PP_Grid[#Data],$DE1074,41),0)</f>
        <v/>
      </c>
      <c r="AS1074">
        <f>IFERROR(INDEX(PP_Grid[#Data],$DE1074,42),0)</f>
        <v/>
      </c>
      <c r="AT1074">
        <f>IFERROR(INDEX(PP_Grid[#Data],$DE1074,43),0)</f>
        <v/>
      </c>
      <c r="AU1074">
        <f>IFERROR(INDEX(PP_Grid[#Data],$DE1074,44),0)</f>
        <v/>
      </c>
      <c r="AV1074">
        <f>IFERROR(INDEX(PP_Grid[#Data],$DE1074,45),0)</f>
        <v/>
      </c>
      <c r="AW1074">
        <f>IFERROR(INDEX(PP_Grid[#Data],$DE1074,46),0)</f>
        <v/>
      </c>
      <c r="AX1074">
        <f>IFERROR(INDEX(PP_Grid[#Data],$DE1074,47),0)</f>
        <v/>
      </c>
      <c r="AY1074">
        <f>IFERROR(INDEX(PP_Grid[#Data],$DE1074,48),0)</f>
        <v/>
      </c>
      <c r="AZ1074">
        <f>IFERROR(INDEX(PP_Grid[#Data],$DE1074,49),0)</f>
        <v/>
      </c>
      <c r="BA1074">
        <f>IFERROR(INDEX(PP_Grid[#Data],$DE1074,50),0)</f>
        <v/>
      </c>
      <c r="BB1074">
        <f>IFERROR(INDEX(PP_Grid[#Data],$DE1074,51),0)</f>
        <v/>
      </c>
      <c r="BC1074">
        <f>IFERROR(INDEX(PP_Grid[#Data],$DE1074,52),0)</f>
        <v/>
      </c>
      <c r="BD1074">
        <f>IFERROR(INDEX(PP_Grid[#Data],$DE1074,53),0)</f>
        <v/>
      </c>
      <c r="BE1074">
        <f>IFERROR(INDEX(PP_Grid[#Data],$DE1074,54),0)</f>
        <v/>
      </c>
      <c r="BF1074">
        <f>IFERROR(INDEX(PP_Grid[#Data],$DE1074,55),0)</f>
        <v/>
      </c>
      <c r="BG1074">
        <f>IFERROR(INDEX(PP_Grid[#Data],$DE1074,56),0)</f>
        <v/>
      </c>
      <c r="BH1074">
        <f>IFERROR(INDEX(PP_Grid[#Data],$DE1074,57),0)</f>
        <v/>
      </c>
      <c r="BI1074">
        <f>IFERROR(INDEX(PP_Grid[#Data],$DE1074,58),0)</f>
        <v/>
      </c>
      <c r="BJ1074">
        <f>IFERROR(INDEX(PP_Grid[#Data],$DE1074,59),0)</f>
        <v/>
      </c>
      <c r="BK1074">
        <f>IFERROR(INDEX(PP_Grid[#Data],$DE1074,60),0)</f>
        <v/>
      </c>
      <c r="BL1074">
        <f>IFERROR(INDEX(PP_Grid[#Data],$DE1074,61),0)</f>
        <v/>
      </c>
      <c r="BM1074">
        <f>IFERROR(INDEX(PP_Grid[#Data],$DE1074,62),0)</f>
        <v/>
      </c>
      <c r="BN1074">
        <f>IFERROR(INDEX(PP_Grid[#Data],$DE1074,63),0)</f>
        <v/>
      </c>
      <c r="BO1074">
        <f>IFERROR(INDEX(PP_Grid[#Data],$DE1074,64),0)</f>
        <v/>
      </c>
      <c r="BP1074">
        <f>IFERROR(INDEX(PP_Grid[#Data],$DE1074,65),0)</f>
        <v/>
      </c>
      <c r="BQ1074">
        <f>IFERROR(INDEX(PP_Grid[#Data],$DE1074,66),0)</f>
        <v/>
      </c>
      <c r="BR1074">
        <f>IFERROR(INDEX(PP_Grid[#Data],$DE1074,67),0)</f>
        <v/>
      </c>
      <c r="BS1074">
        <f>IFERROR(INDEX(PP_Grid[#Data],$DE1074,68),0)</f>
        <v/>
      </c>
      <c r="BT1074">
        <f>IFERROR(INDEX(PP_Grid[#Data],$DE1074,69),0)</f>
        <v/>
      </c>
      <c r="BU1074">
        <f>IFERROR(INDEX(PP_Grid[#Data],$DE1074,70),0)</f>
        <v/>
      </c>
      <c r="BV1074">
        <f>IFERROR(INDEX(PP_Grid[#Data],$DE1074,71),0)</f>
        <v/>
      </c>
      <c r="BW1074">
        <f>IFERROR(INDEX(PP_Grid[#Data],$DE1074,72),0)</f>
        <v/>
      </c>
      <c r="BX1074">
        <f>IFERROR(INDEX(PP_Grid[#Data],$DE1074,73),0)</f>
        <v/>
      </c>
      <c r="BY1074">
        <f>IFERROR(INDEX(PP_Grid[#Data],$DE1074,74),0)</f>
        <v/>
      </c>
      <c r="BZ1074">
        <f>IFERROR(INDEX(PP_Grid[#Data],$DE1074,75),0)</f>
        <v/>
      </c>
      <c r="CA1074">
        <f>IFERROR(INDEX(PP_Grid[#Data],$DE1074,76),0)</f>
        <v/>
      </c>
      <c r="CB1074">
        <f>IFERROR(INDEX(PP_Grid[#Data],$DE1074,77),0)</f>
        <v/>
      </c>
      <c r="CC1074">
        <f>IFERROR(INDEX(PP_Grid[#Data],$DE1074,78),0)</f>
        <v/>
      </c>
      <c r="CD1074">
        <f>IFERROR(INDEX(PP_Grid[#Data],$DE1074,79),0)</f>
        <v/>
      </c>
      <c r="CE1074">
        <f>IFERROR(INDEX(PP_Grid[#Data],$DE1074,80),0)</f>
        <v/>
      </c>
      <c r="CF1074">
        <f>IFERROR(INDEX(PP_Grid[#Data],$DE1074,81),0)</f>
        <v/>
      </c>
      <c r="CG1074">
        <f>IFERROR(INDEX(PP_Grid[#Data],$DE1074,82),0)</f>
        <v/>
      </c>
      <c r="CH1074">
        <f>IFERROR(INDEX(PP_Grid[#Data],$DE1074,83),0)</f>
        <v/>
      </c>
      <c r="CI1074">
        <f>IFERROR(INDEX(PP_Grid[#Data],$DE1074,84),0)</f>
        <v/>
      </c>
      <c r="CJ1074">
        <f>IFERROR(INDEX(PP_Grid[#Data],$DE1074,85),0)</f>
        <v/>
      </c>
      <c r="CK1074">
        <f>IFERROR(INDEX(PP_Grid[#Data],$DE1074,86),0)</f>
        <v/>
      </c>
      <c r="CL1074">
        <f>IFERROR(INDEX(PP_Grid[#Data],$DE1074,87),0)</f>
        <v/>
      </c>
      <c r="CM1074">
        <f>IFERROR(INDEX(PP_Grid[#Data],$DE1074,88),0)</f>
        <v/>
      </c>
      <c r="CN1074">
        <f>IFERROR(INDEX(PP_Grid[#Data],$DE1074,89),0)</f>
        <v/>
      </c>
      <c r="CO1074">
        <f>IFERROR(INDEX(PP_Grid[#Data],$DE1074,90),0)</f>
        <v/>
      </c>
      <c r="CP1074">
        <f>IFERROR(INDEX(PP_Grid[#Data],$DE1074,91),0)</f>
        <v/>
      </c>
      <c r="CQ1074">
        <f>IFERROR(INDEX(PP_Grid[#Data],$DE1074,92),0)</f>
        <v/>
      </c>
      <c r="CR1074">
        <f>IFERROR(INDEX(PP_Grid[#Data],$DE1074,93),0)</f>
        <v/>
      </c>
      <c r="CS1074">
        <f>IFERROR(INDEX(PP_Grid[#Data],$DE1074,94),0)</f>
        <v/>
      </c>
      <c r="CT1074">
        <f>IFERROR(INDEX(PP_Grid[#Data],$DE1074,95),0)</f>
        <v/>
      </c>
      <c r="CU1074">
        <f>IFERROR(INDEX(PP_Grid[#Data],$DE1074,96),0)</f>
        <v/>
      </c>
      <c r="CV1074">
        <f>IFERROR(INDEX(PP_Grid[#Data],$DE1074,97),0)</f>
        <v/>
      </c>
      <c r="CW1074">
        <f>IFERROR(INDEX(PP_Grid[#Data],$DE1074,98),0)</f>
        <v/>
      </c>
      <c r="CX1074">
        <f>IFERROR(INDEX(PP_Grid[#Data],$DE1074,99),0)</f>
        <v/>
      </c>
      <c r="CY1074">
        <f>IFERROR(INDEX(PP_Grid[#Data],$DE1074,100),0)</f>
        <v/>
      </c>
      <c r="CZ1074">
        <f>IFERROR(INDEX(PP_Grid[#Data],$DE1074,101),0)</f>
        <v/>
      </c>
      <c r="DA1074">
        <f>IFERROR(INDEX(PP_Grid[#Data],$DE1074,102),0)</f>
        <v/>
      </c>
      <c r="DB1074">
        <f>IFERROR(INDEX(PP_Grid[#Data],$DE1074,103),0)</f>
        <v/>
      </c>
      <c r="DC1074">
        <f>IFERROR(INDEX(PP_Grid[#Data],$DE1074,104),0)</f>
        <v/>
      </c>
      <c r="DD1074">
        <f>IFERROR(INDEX(PP_Grid[#Data],$DE1074,105),0)</f>
        <v/>
      </c>
      <c r="DE1074" s="7">
        <f>IFERROR(MATCH($B1074,PP_Grid[Intermediate],0),99999)</f>
        <v/>
      </c>
    </row>
    <row r="1075">
      <c r="B1075" t="inlineStr">
        <is>
          <t>使用量(kg)</t>
        </is>
      </c>
      <c r="C1075">
        <f>SUMIFS(M_BOM[RM_Qty_Per_Batch],M_BOM[Intermediate],$B1074,M_BOM[RM_Code],$A1071)</f>
        <v/>
      </c>
      <c r="D1075">
        <f>IFERROR(INDEX(E1075:DD1075,$F$1),"")</f>
        <v/>
      </c>
      <c r="E1075">
        <f>$C1075*E1074</f>
        <v/>
      </c>
      <c r="F1075">
        <f>$C1075*F1074</f>
        <v/>
      </c>
      <c r="G1075">
        <f>$C1075*G1074</f>
        <v/>
      </c>
      <c r="H1075">
        <f>$C1075*H1074</f>
        <v/>
      </c>
      <c r="I1075">
        <f>$C1075*I1074</f>
        <v/>
      </c>
      <c r="J1075">
        <f>$C1075*J1074</f>
        <v/>
      </c>
      <c r="K1075">
        <f>$C1075*K1074</f>
        <v/>
      </c>
      <c r="L1075">
        <f>$C1075*L1074</f>
        <v/>
      </c>
      <c r="M1075">
        <f>$C1075*M1074</f>
        <v/>
      </c>
      <c r="N1075">
        <f>$C1075*N1074</f>
        <v/>
      </c>
      <c r="O1075">
        <f>$C1075*O1074</f>
        <v/>
      </c>
      <c r="P1075">
        <f>$C1075*P1074</f>
        <v/>
      </c>
      <c r="Q1075">
        <f>$C1075*Q1074</f>
        <v/>
      </c>
      <c r="R1075">
        <f>$C1075*R1074</f>
        <v/>
      </c>
      <c r="S1075">
        <f>$C1075*S1074</f>
        <v/>
      </c>
      <c r="T1075">
        <f>$C1075*T1074</f>
        <v/>
      </c>
      <c r="U1075">
        <f>$C1075*U1074</f>
        <v/>
      </c>
      <c r="V1075">
        <f>$C1075*V1074</f>
        <v/>
      </c>
      <c r="W1075">
        <f>$C1075*W1074</f>
        <v/>
      </c>
      <c r="X1075">
        <f>$C1075*X1074</f>
        <v/>
      </c>
      <c r="Y1075">
        <f>$C1075*Y1074</f>
        <v/>
      </c>
      <c r="Z1075">
        <f>$C1075*Z1074</f>
        <v/>
      </c>
      <c r="AA1075">
        <f>$C1075*AA1074</f>
        <v/>
      </c>
      <c r="AB1075">
        <f>$C1075*AB1074</f>
        <v/>
      </c>
      <c r="AC1075">
        <f>$C1075*AC1074</f>
        <v/>
      </c>
      <c r="AD1075">
        <f>$C1075*AD1074</f>
        <v/>
      </c>
      <c r="AE1075">
        <f>$C1075*AE1074</f>
        <v/>
      </c>
      <c r="AF1075">
        <f>$C1075*AF1074</f>
        <v/>
      </c>
      <c r="AG1075">
        <f>$C1075*AG1074</f>
        <v/>
      </c>
      <c r="AH1075">
        <f>$C1075*AH1074</f>
        <v/>
      </c>
      <c r="AI1075">
        <f>$C1075*AI1074</f>
        <v/>
      </c>
      <c r="AJ1075">
        <f>$C1075*AJ1074</f>
        <v/>
      </c>
      <c r="AK1075">
        <f>$C1075*AK1074</f>
        <v/>
      </c>
      <c r="AL1075">
        <f>$C1075*AL1074</f>
        <v/>
      </c>
      <c r="AM1075">
        <f>$C1075*AM1074</f>
        <v/>
      </c>
      <c r="AN1075">
        <f>$C1075*AN1074</f>
        <v/>
      </c>
      <c r="AO1075">
        <f>$C1075*AO1074</f>
        <v/>
      </c>
      <c r="AP1075">
        <f>$C1075*AP1074</f>
        <v/>
      </c>
      <c r="AQ1075">
        <f>$C1075*AQ1074</f>
        <v/>
      </c>
      <c r="AR1075">
        <f>$C1075*AR1074</f>
        <v/>
      </c>
      <c r="AS1075">
        <f>$C1075*AS1074</f>
        <v/>
      </c>
      <c r="AT1075">
        <f>$C1075*AT1074</f>
        <v/>
      </c>
      <c r="AU1075">
        <f>$C1075*AU1074</f>
        <v/>
      </c>
      <c r="AV1075">
        <f>$C1075*AV1074</f>
        <v/>
      </c>
      <c r="AW1075">
        <f>$C1075*AW1074</f>
        <v/>
      </c>
      <c r="AX1075">
        <f>$C1075*AX1074</f>
        <v/>
      </c>
      <c r="AY1075">
        <f>$C1075*AY1074</f>
        <v/>
      </c>
      <c r="AZ1075">
        <f>$C1075*AZ1074</f>
        <v/>
      </c>
      <c r="BA1075">
        <f>$C1075*BA1074</f>
        <v/>
      </c>
      <c r="BB1075">
        <f>$C1075*BB1074</f>
        <v/>
      </c>
      <c r="BC1075">
        <f>$C1075*BC1074</f>
        <v/>
      </c>
      <c r="BD1075">
        <f>$C1075*BD1074</f>
        <v/>
      </c>
      <c r="BE1075">
        <f>$C1075*BE1074</f>
        <v/>
      </c>
      <c r="BF1075">
        <f>$C1075*BF1074</f>
        <v/>
      </c>
      <c r="BG1075">
        <f>$C1075*BG1074</f>
        <v/>
      </c>
      <c r="BH1075">
        <f>$C1075*BH1074</f>
        <v/>
      </c>
      <c r="BI1075">
        <f>$C1075*BI1074</f>
        <v/>
      </c>
      <c r="BJ1075">
        <f>$C1075*BJ1074</f>
        <v/>
      </c>
      <c r="BK1075">
        <f>$C1075*BK1074</f>
        <v/>
      </c>
      <c r="BL1075">
        <f>$C1075*BL1074</f>
        <v/>
      </c>
      <c r="BM1075">
        <f>$C1075*BM1074</f>
        <v/>
      </c>
      <c r="BN1075">
        <f>$C1075*BN1074</f>
        <v/>
      </c>
      <c r="BO1075">
        <f>$C1075*BO1074</f>
        <v/>
      </c>
      <c r="BP1075">
        <f>$C1075*BP1074</f>
        <v/>
      </c>
      <c r="BQ1075">
        <f>$C1075*BQ1074</f>
        <v/>
      </c>
      <c r="BR1075">
        <f>$C1075*BR1074</f>
        <v/>
      </c>
      <c r="BS1075">
        <f>$C1075*BS1074</f>
        <v/>
      </c>
      <c r="BT1075">
        <f>$C1075*BT1074</f>
        <v/>
      </c>
      <c r="BU1075">
        <f>$C1075*BU1074</f>
        <v/>
      </c>
      <c r="BV1075">
        <f>$C1075*BV1074</f>
        <v/>
      </c>
      <c r="BW1075">
        <f>$C1075*BW1074</f>
        <v/>
      </c>
      <c r="BX1075">
        <f>$C1075*BX1074</f>
        <v/>
      </c>
      <c r="BY1075">
        <f>$C1075*BY1074</f>
        <v/>
      </c>
      <c r="BZ1075">
        <f>$C1075*BZ1074</f>
        <v/>
      </c>
      <c r="CA1075">
        <f>$C1075*CA1074</f>
        <v/>
      </c>
      <c r="CB1075">
        <f>$C1075*CB1074</f>
        <v/>
      </c>
      <c r="CC1075">
        <f>$C1075*CC1074</f>
        <v/>
      </c>
      <c r="CD1075">
        <f>$C1075*CD1074</f>
        <v/>
      </c>
      <c r="CE1075">
        <f>$C1075*CE1074</f>
        <v/>
      </c>
      <c r="CF1075">
        <f>$C1075*CF1074</f>
        <v/>
      </c>
      <c r="CG1075">
        <f>$C1075*CG1074</f>
        <v/>
      </c>
      <c r="CH1075">
        <f>$C1075*CH1074</f>
        <v/>
      </c>
      <c r="CI1075">
        <f>$C1075*CI1074</f>
        <v/>
      </c>
      <c r="CJ1075">
        <f>$C1075*CJ1074</f>
        <v/>
      </c>
      <c r="CK1075">
        <f>$C1075*CK1074</f>
        <v/>
      </c>
      <c r="CL1075">
        <f>$C1075*CL1074</f>
        <v/>
      </c>
      <c r="CM1075">
        <f>$C1075*CM1074</f>
        <v/>
      </c>
      <c r="CN1075">
        <f>$C1075*CN1074</f>
        <v/>
      </c>
      <c r="CO1075">
        <f>$C1075*CO1074</f>
        <v/>
      </c>
      <c r="CP1075">
        <f>$C1075*CP1074</f>
        <v/>
      </c>
      <c r="CQ1075">
        <f>$C1075*CQ1074</f>
        <v/>
      </c>
      <c r="CR1075">
        <f>$C1075*CR1074</f>
        <v/>
      </c>
      <c r="CS1075">
        <f>$C1075*CS1074</f>
        <v/>
      </c>
      <c r="CT1075">
        <f>$C1075*CT1074</f>
        <v/>
      </c>
      <c r="CU1075">
        <f>$C1075*CU1074</f>
        <v/>
      </c>
      <c r="CV1075">
        <f>$C1075*CV1074</f>
        <v/>
      </c>
      <c r="CW1075">
        <f>$C1075*CW1074</f>
        <v/>
      </c>
      <c r="CX1075">
        <f>$C1075*CX1074</f>
        <v/>
      </c>
      <c r="CY1075">
        <f>$C1075*CY1074</f>
        <v/>
      </c>
      <c r="CZ1075">
        <f>$C1075*CZ1074</f>
        <v/>
      </c>
      <c r="DA1075">
        <f>$C1075*DA1074</f>
        <v/>
      </c>
      <c r="DB1075">
        <f>$C1075*DB1074</f>
        <v/>
      </c>
      <c r="DC1075">
        <f>$C1075*DC1074</f>
        <v/>
      </c>
      <c r="DD1075">
        <f>$C1075*DD1074</f>
        <v/>
      </c>
    </row>
    <row r="1076">
      <c r="B1076" t="inlineStr">
        <is>
          <t>TSP-668</t>
        </is>
      </c>
      <c r="C1076" t="inlineStr">
        <is>
          <t>No. of batches</t>
        </is>
      </c>
      <c r="D1076">
        <f>IFERROR(INDEX(E1076:DD1076,$F$1),"")</f>
        <v/>
      </c>
      <c r="E1076">
        <f>IFERROR(INDEX(PP_Grid[#Data],$DE1076,2),0)</f>
        <v/>
      </c>
      <c r="F1076">
        <f>IFERROR(INDEX(PP_Grid[#Data],$DE1076,3),0)</f>
        <v/>
      </c>
      <c r="G1076">
        <f>IFERROR(INDEX(PP_Grid[#Data],$DE1076,4),0)</f>
        <v/>
      </c>
      <c r="H1076">
        <f>IFERROR(INDEX(PP_Grid[#Data],$DE1076,5),0)</f>
        <v/>
      </c>
      <c r="I1076">
        <f>IFERROR(INDEX(PP_Grid[#Data],$DE1076,6),0)</f>
        <v/>
      </c>
      <c r="J1076">
        <f>IFERROR(INDEX(PP_Grid[#Data],$DE1076,7),0)</f>
        <v/>
      </c>
      <c r="K1076">
        <f>IFERROR(INDEX(PP_Grid[#Data],$DE1076,8),0)</f>
        <v/>
      </c>
      <c r="L1076">
        <f>IFERROR(INDEX(PP_Grid[#Data],$DE1076,9),0)</f>
        <v/>
      </c>
      <c r="M1076">
        <f>IFERROR(INDEX(PP_Grid[#Data],$DE1076,10),0)</f>
        <v/>
      </c>
      <c r="N1076">
        <f>IFERROR(INDEX(PP_Grid[#Data],$DE1076,11),0)</f>
        <v/>
      </c>
      <c r="O1076">
        <f>IFERROR(INDEX(PP_Grid[#Data],$DE1076,12),0)</f>
        <v/>
      </c>
      <c r="P1076">
        <f>IFERROR(INDEX(PP_Grid[#Data],$DE1076,13),0)</f>
        <v/>
      </c>
      <c r="Q1076">
        <f>IFERROR(INDEX(PP_Grid[#Data],$DE1076,14),0)</f>
        <v/>
      </c>
      <c r="R1076">
        <f>IFERROR(INDEX(PP_Grid[#Data],$DE1076,15),0)</f>
        <v/>
      </c>
      <c r="S1076">
        <f>IFERROR(INDEX(PP_Grid[#Data],$DE1076,16),0)</f>
        <v/>
      </c>
      <c r="T1076">
        <f>IFERROR(INDEX(PP_Grid[#Data],$DE1076,17),0)</f>
        <v/>
      </c>
      <c r="U1076">
        <f>IFERROR(INDEX(PP_Grid[#Data],$DE1076,18),0)</f>
        <v/>
      </c>
      <c r="V1076">
        <f>IFERROR(INDEX(PP_Grid[#Data],$DE1076,19),0)</f>
        <v/>
      </c>
      <c r="W1076">
        <f>IFERROR(INDEX(PP_Grid[#Data],$DE1076,20),0)</f>
        <v/>
      </c>
      <c r="X1076">
        <f>IFERROR(INDEX(PP_Grid[#Data],$DE1076,21),0)</f>
        <v/>
      </c>
      <c r="Y1076">
        <f>IFERROR(INDEX(PP_Grid[#Data],$DE1076,22),0)</f>
        <v/>
      </c>
      <c r="Z1076">
        <f>IFERROR(INDEX(PP_Grid[#Data],$DE1076,23),0)</f>
        <v/>
      </c>
      <c r="AA1076">
        <f>IFERROR(INDEX(PP_Grid[#Data],$DE1076,24),0)</f>
        <v/>
      </c>
      <c r="AB1076">
        <f>IFERROR(INDEX(PP_Grid[#Data],$DE1076,25),0)</f>
        <v/>
      </c>
      <c r="AC1076">
        <f>IFERROR(INDEX(PP_Grid[#Data],$DE1076,26),0)</f>
        <v/>
      </c>
      <c r="AD1076">
        <f>IFERROR(INDEX(PP_Grid[#Data],$DE1076,27),0)</f>
        <v/>
      </c>
      <c r="AE1076">
        <f>IFERROR(INDEX(PP_Grid[#Data],$DE1076,28),0)</f>
        <v/>
      </c>
      <c r="AF1076">
        <f>IFERROR(INDEX(PP_Grid[#Data],$DE1076,29),0)</f>
        <v/>
      </c>
      <c r="AG1076">
        <f>IFERROR(INDEX(PP_Grid[#Data],$DE1076,30),0)</f>
        <v/>
      </c>
      <c r="AH1076">
        <f>IFERROR(INDEX(PP_Grid[#Data],$DE1076,31),0)</f>
        <v/>
      </c>
      <c r="AI1076">
        <f>IFERROR(INDEX(PP_Grid[#Data],$DE1076,32),0)</f>
        <v/>
      </c>
      <c r="AJ1076">
        <f>IFERROR(INDEX(PP_Grid[#Data],$DE1076,33),0)</f>
        <v/>
      </c>
      <c r="AK1076">
        <f>IFERROR(INDEX(PP_Grid[#Data],$DE1076,34),0)</f>
        <v/>
      </c>
      <c r="AL1076">
        <f>IFERROR(INDEX(PP_Grid[#Data],$DE1076,35),0)</f>
        <v/>
      </c>
      <c r="AM1076">
        <f>IFERROR(INDEX(PP_Grid[#Data],$DE1076,36),0)</f>
        <v/>
      </c>
      <c r="AN1076">
        <f>IFERROR(INDEX(PP_Grid[#Data],$DE1076,37),0)</f>
        <v/>
      </c>
      <c r="AO1076">
        <f>IFERROR(INDEX(PP_Grid[#Data],$DE1076,38),0)</f>
        <v/>
      </c>
      <c r="AP1076">
        <f>IFERROR(INDEX(PP_Grid[#Data],$DE1076,39),0)</f>
        <v/>
      </c>
      <c r="AQ1076">
        <f>IFERROR(INDEX(PP_Grid[#Data],$DE1076,40),0)</f>
        <v/>
      </c>
      <c r="AR1076">
        <f>IFERROR(INDEX(PP_Grid[#Data],$DE1076,41),0)</f>
        <v/>
      </c>
      <c r="AS1076">
        <f>IFERROR(INDEX(PP_Grid[#Data],$DE1076,42),0)</f>
        <v/>
      </c>
      <c r="AT1076">
        <f>IFERROR(INDEX(PP_Grid[#Data],$DE1076,43),0)</f>
        <v/>
      </c>
      <c r="AU1076">
        <f>IFERROR(INDEX(PP_Grid[#Data],$DE1076,44),0)</f>
        <v/>
      </c>
      <c r="AV1076">
        <f>IFERROR(INDEX(PP_Grid[#Data],$DE1076,45),0)</f>
        <v/>
      </c>
      <c r="AW1076">
        <f>IFERROR(INDEX(PP_Grid[#Data],$DE1076,46),0)</f>
        <v/>
      </c>
      <c r="AX1076">
        <f>IFERROR(INDEX(PP_Grid[#Data],$DE1076,47),0)</f>
        <v/>
      </c>
      <c r="AY1076">
        <f>IFERROR(INDEX(PP_Grid[#Data],$DE1076,48),0)</f>
        <v/>
      </c>
      <c r="AZ1076">
        <f>IFERROR(INDEX(PP_Grid[#Data],$DE1076,49),0)</f>
        <v/>
      </c>
      <c r="BA1076">
        <f>IFERROR(INDEX(PP_Grid[#Data],$DE1076,50),0)</f>
        <v/>
      </c>
      <c r="BB1076">
        <f>IFERROR(INDEX(PP_Grid[#Data],$DE1076,51),0)</f>
        <v/>
      </c>
      <c r="BC1076">
        <f>IFERROR(INDEX(PP_Grid[#Data],$DE1076,52),0)</f>
        <v/>
      </c>
      <c r="BD1076">
        <f>IFERROR(INDEX(PP_Grid[#Data],$DE1076,53),0)</f>
        <v/>
      </c>
      <c r="BE1076">
        <f>IFERROR(INDEX(PP_Grid[#Data],$DE1076,54),0)</f>
        <v/>
      </c>
      <c r="BF1076">
        <f>IFERROR(INDEX(PP_Grid[#Data],$DE1076,55),0)</f>
        <v/>
      </c>
      <c r="BG1076">
        <f>IFERROR(INDEX(PP_Grid[#Data],$DE1076,56),0)</f>
        <v/>
      </c>
      <c r="BH1076">
        <f>IFERROR(INDEX(PP_Grid[#Data],$DE1076,57),0)</f>
        <v/>
      </c>
      <c r="BI1076">
        <f>IFERROR(INDEX(PP_Grid[#Data],$DE1076,58),0)</f>
        <v/>
      </c>
      <c r="BJ1076">
        <f>IFERROR(INDEX(PP_Grid[#Data],$DE1076,59),0)</f>
        <v/>
      </c>
      <c r="BK1076">
        <f>IFERROR(INDEX(PP_Grid[#Data],$DE1076,60),0)</f>
        <v/>
      </c>
      <c r="BL1076">
        <f>IFERROR(INDEX(PP_Grid[#Data],$DE1076,61),0)</f>
        <v/>
      </c>
      <c r="BM1076">
        <f>IFERROR(INDEX(PP_Grid[#Data],$DE1076,62),0)</f>
        <v/>
      </c>
      <c r="BN1076">
        <f>IFERROR(INDEX(PP_Grid[#Data],$DE1076,63),0)</f>
        <v/>
      </c>
      <c r="BO1076">
        <f>IFERROR(INDEX(PP_Grid[#Data],$DE1076,64),0)</f>
        <v/>
      </c>
      <c r="BP1076">
        <f>IFERROR(INDEX(PP_Grid[#Data],$DE1076,65),0)</f>
        <v/>
      </c>
      <c r="BQ1076">
        <f>IFERROR(INDEX(PP_Grid[#Data],$DE1076,66),0)</f>
        <v/>
      </c>
      <c r="BR1076">
        <f>IFERROR(INDEX(PP_Grid[#Data],$DE1076,67),0)</f>
        <v/>
      </c>
      <c r="BS1076">
        <f>IFERROR(INDEX(PP_Grid[#Data],$DE1076,68),0)</f>
        <v/>
      </c>
      <c r="BT1076">
        <f>IFERROR(INDEX(PP_Grid[#Data],$DE1076,69),0)</f>
        <v/>
      </c>
      <c r="BU1076">
        <f>IFERROR(INDEX(PP_Grid[#Data],$DE1076,70),0)</f>
        <v/>
      </c>
      <c r="BV1076">
        <f>IFERROR(INDEX(PP_Grid[#Data],$DE1076,71),0)</f>
        <v/>
      </c>
      <c r="BW1076">
        <f>IFERROR(INDEX(PP_Grid[#Data],$DE1076,72),0)</f>
        <v/>
      </c>
      <c r="BX1076">
        <f>IFERROR(INDEX(PP_Grid[#Data],$DE1076,73),0)</f>
        <v/>
      </c>
      <c r="BY1076">
        <f>IFERROR(INDEX(PP_Grid[#Data],$DE1076,74),0)</f>
        <v/>
      </c>
      <c r="BZ1076">
        <f>IFERROR(INDEX(PP_Grid[#Data],$DE1076,75),0)</f>
        <v/>
      </c>
      <c r="CA1076">
        <f>IFERROR(INDEX(PP_Grid[#Data],$DE1076,76),0)</f>
        <v/>
      </c>
      <c r="CB1076">
        <f>IFERROR(INDEX(PP_Grid[#Data],$DE1076,77),0)</f>
        <v/>
      </c>
      <c r="CC1076">
        <f>IFERROR(INDEX(PP_Grid[#Data],$DE1076,78),0)</f>
        <v/>
      </c>
      <c r="CD1076">
        <f>IFERROR(INDEX(PP_Grid[#Data],$DE1076,79),0)</f>
        <v/>
      </c>
      <c r="CE1076">
        <f>IFERROR(INDEX(PP_Grid[#Data],$DE1076,80),0)</f>
        <v/>
      </c>
      <c r="CF1076">
        <f>IFERROR(INDEX(PP_Grid[#Data],$DE1076,81),0)</f>
        <v/>
      </c>
      <c r="CG1076">
        <f>IFERROR(INDEX(PP_Grid[#Data],$DE1076,82),0)</f>
        <v/>
      </c>
      <c r="CH1076">
        <f>IFERROR(INDEX(PP_Grid[#Data],$DE1076,83),0)</f>
        <v/>
      </c>
      <c r="CI1076">
        <f>IFERROR(INDEX(PP_Grid[#Data],$DE1076,84),0)</f>
        <v/>
      </c>
      <c r="CJ1076">
        <f>IFERROR(INDEX(PP_Grid[#Data],$DE1076,85),0)</f>
        <v/>
      </c>
      <c r="CK1076">
        <f>IFERROR(INDEX(PP_Grid[#Data],$DE1076,86),0)</f>
        <v/>
      </c>
      <c r="CL1076">
        <f>IFERROR(INDEX(PP_Grid[#Data],$DE1076,87),0)</f>
        <v/>
      </c>
      <c r="CM1076">
        <f>IFERROR(INDEX(PP_Grid[#Data],$DE1076,88),0)</f>
        <v/>
      </c>
      <c r="CN1076">
        <f>IFERROR(INDEX(PP_Grid[#Data],$DE1076,89),0)</f>
        <v/>
      </c>
      <c r="CO1076">
        <f>IFERROR(INDEX(PP_Grid[#Data],$DE1076,90),0)</f>
        <v/>
      </c>
      <c r="CP1076">
        <f>IFERROR(INDEX(PP_Grid[#Data],$DE1076,91),0)</f>
        <v/>
      </c>
      <c r="CQ1076">
        <f>IFERROR(INDEX(PP_Grid[#Data],$DE1076,92),0)</f>
        <v/>
      </c>
      <c r="CR1076">
        <f>IFERROR(INDEX(PP_Grid[#Data],$DE1076,93),0)</f>
        <v/>
      </c>
      <c r="CS1076">
        <f>IFERROR(INDEX(PP_Grid[#Data],$DE1076,94),0)</f>
        <v/>
      </c>
      <c r="CT1076">
        <f>IFERROR(INDEX(PP_Grid[#Data],$DE1076,95),0)</f>
        <v/>
      </c>
      <c r="CU1076">
        <f>IFERROR(INDEX(PP_Grid[#Data],$DE1076,96),0)</f>
        <v/>
      </c>
      <c r="CV1076">
        <f>IFERROR(INDEX(PP_Grid[#Data],$DE1076,97),0)</f>
        <v/>
      </c>
      <c r="CW1076">
        <f>IFERROR(INDEX(PP_Grid[#Data],$DE1076,98),0)</f>
        <v/>
      </c>
      <c r="CX1076">
        <f>IFERROR(INDEX(PP_Grid[#Data],$DE1076,99),0)</f>
        <v/>
      </c>
      <c r="CY1076">
        <f>IFERROR(INDEX(PP_Grid[#Data],$DE1076,100),0)</f>
        <v/>
      </c>
      <c r="CZ1076">
        <f>IFERROR(INDEX(PP_Grid[#Data],$DE1076,101),0)</f>
        <v/>
      </c>
      <c r="DA1076">
        <f>IFERROR(INDEX(PP_Grid[#Data],$DE1076,102),0)</f>
        <v/>
      </c>
      <c r="DB1076">
        <f>IFERROR(INDEX(PP_Grid[#Data],$DE1076,103),0)</f>
        <v/>
      </c>
      <c r="DC1076">
        <f>IFERROR(INDEX(PP_Grid[#Data],$DE1076,104),0)</f>
        <v/>
      </c>
      <c r="DD1076">
        <f>IFERROR(INDEX(PP_Grid[#Data],$DE1076,105),0)</f>
        <v/>
      </c>
      <c r="DE1076" s="7">
        <f>IFERROR(MATCH($B1076,PP_Grid[Intermediate],0),99999)</f>
        <v/>
      </c>
    </row>
    <row r="1077">
      <c r="B1077" t="inlineStr">
        <is>
          <t>使用量(kg)</t>
        </is>
      </c>
      <c r="C1077">
        <f>SUMIFS(M_BOM[RM_Qty_Per_Batch],M_BOM[Intermediate],$B1076,M_BOM[RM_Code],$A1071)</f>
        <v/>
      </c>
      <c r="D1077">
        <f>IFERROR(INDEX(E1077:DD1077,$F$1),"")</f>
        <v/>
      </c>
      <c r="E1077">
        <f>$C1077*E1076</f>
        <v/>
      </c>
      <c r="F1077">
        <f>$C1077*F1076</f>
        <v/>
      </c>
      <c r="G1077">
        <f>$C1077*G1076</f>
        <v/>
      </c>
      <c r="H1077">
        <f>$C1077*H1076</f>
        <v/>
      </c>
      <c r="I1077">
        <f>$C1077*I1076</f>
        <v/>
      </c>
      <c r="J1077">
        <f>$C1077*J1076</f>
        <v/>
      </c>
      <c r="K1077">
        <f>$C1077*K1076</f>
        <v/>
      </c>
      <c r="L1077">
        <f>$C1077*L1076</f>
        <v/>
      </c>
      <c r="M1077">
        <f>$C1077*M1076</f>
        <v/>
      </c>
      <c r="N1077">
        <f>$C1077*N1076</f>
        <v/>
      </c>
      <c r="O1077">
        <f>$C1077*O1076</f>
        <v/>
      </c>
      <c r="P1077">
        <f>$C1077*P1076</f>
        <v/>
      </c>
      <c r="Q1077">
        <f>$C1077*Q1076</f>
        <v/>
      </c>
      <c r="R1077">
        <f>$C1077*R1076</f>
        <v/>
      </c>
      <c r="S1077">
        <f>$C1077*S1076</f>
        <v/>
      </c>
      <c r="T1077">
        <f>$C1077*T1076</f>
        <v/>
      </c>
      <c r="U1077">
        <f>$C1077*U1076</f>
        <v/>
      </c>
      <c r="V1077">
        <f>$C1077*V1076</f>
        <v/>
      </c>
      <c r="W1077">
        <f>$C1077*W1076</f>
        <v/>
      </c>
      <c r="X1077">
        <f>$C1077*X1076</f>
        <v/>
      </c>
      <c r="Y1077">
        <f>$C1077*Y1076</f>
        <v/>
      </c>
      <c r="Z1077">
        <f>$C1077*Z1076</f>
        <v/>
      </c>
      <c r="AA1077">
        <f>$C1077*AA1076</f>
        <v/>
      </c>
      <c r="AB1077">
        <f>$C1077*AB1076</f>
        <v/>
      </c>
      <c r="AC1077">
        <f>$C1077*AC1076</f>
        <v/>
      </c>
      <c r="AD1077">
        <f>$C1077*AD1076</f>
        <v/>
      </c>
      <c r="AE1077">
        <f>$C1077*AE1076</f>
        <v/>
      </c>
      <c r="AF1077">
        <f>$C1077*AF1076</f>
        <v/>
      </c>
      <c r="AG1077">
        <f>$C1077*AG1076</f>
        <v/>
      </c>
      <c r="AH1077">
        <f>$C1077*AH1076</f>
        <v/>
      </c>
      <c r="AI1077">
        <f>$C1077*AI1076</f>
        <v/>
      </c>
      <c r="AJ1077">
        <f>$C1077*AJ1076</f>
        <v/>
      </c>
      <c r="AK1077">
        <f>$C1077*AK1076</f>
        <v/>
      </c>
      <c r="AL1077">
        <f>$C1077*AL1076</f>
        <v/>
      </c>
      <c r="AM1077">
        <f>$C1077*AM1076</f>
        <v/>
      </c>
      <c r="AN1077">
        <f>$C1077*AN1076</f>
        <v/>
      </c>
      <c r="AO1077">
        <f>$C1077*AO1076</f>
        <v/>
      </c>
      <c r="AP1077">
        <f>$C1077*AP1076</f>
        <v/>
      </c>
      <c r="AQ1077">
        <f>$C1077*AQ1076</f>
        <v/>
      </c>
      <c r="AR1077">
        <f>$C1077*AR1076</f>
        <v/>
      </c>
      <c r="AS1077">
        <f>$C1077*AS1076</f>
        <v/>
      </c>
      <c r="AT1077">
        <f>$C1077*AT1076</f>
        <v/>
      </c>
      <c r="AU1077">
        <f>$C1077*AU1076</f>
        <v/>
      </c>
      <c r="AV1077">
        <f>$C1077*AV1076</f>
        <v/>
      </c>
      <c r="AW1077">
        <f>$C1077*AW1076</f>
        <v/>
      </c>
      <c r="AX1077">
        <f>$C1077*AX1076</f>
        <v/>
      </c>
      <c r="AY1077">
        <f>$C1077*AY1076</f>
        <v/>
      </c>
      <c r="AZ1077">
        <f>$C1077*AZ1076</f>
        <v/>
      </c>
      <c r="BA1077">
        <f>$C1077*BA1076</f>
        <v/>
      </c>
      <c r="BB1077">
        <f>$C1077*BB1076</f>
        <v/>
      </c>
      <c r="BC1077">
        <f>$C1077*BC1076</f>
        <v/>
      </c>
      <c r="BD1077">
        <f>$C1077*BD1076</f>
        <v/>
      </c>
      <c r="BE1077">
        <f>$C1077*BE1076</f>
        <v/>
      </c>
      <c r="BF1077">
        <f>$C1077*BF1076</f>
        <v/>
      </c>
      <c r="BG1077">
        <f>$C1077*BG1076</f>
        <v/>
      </c>
      <c r="BH1077">
        <f>$C1077*BH1076</f>
        <v/>
      </c>
      <c r="BI1077">
        <f>$C1077*BI1076</f>
        <v/>
      </c>
      <c r="BJ1077">
        <f>$C1077*BJ1076</f>
        <v/>
      </c>
      <c r="BK1077">
        <f>$C1077*BK1076</f>
        <v/>
      </c>
      <c r="BL1077">
        <f>$C1077*BL1076</f>
        <v/>
      </c>
      <c r="BM1077">
        <f>$C1077*BM1076</f>
        <v/>
      </c>
      <c r="BN1077">
        <f>$C1077*BN1076</f>
        <v/>
      </c>
      <c r="BO1077">
        <f>$C1077*BO1076</f>
        <v/>
      </c>
      <c r="BP1077">
        <f>$C1077*BP1076</f>
        <v/>
      </c>
      <c r="BQ1077">
        <f>$C1077*BQ1076</f>
        <v/>
      </c>
      <c r="BR1077">
        <f>$C1077*BR1076</f>
        <v/>
      </c>
      <c r="BS1077">
        <f>$C1077*BS1076</f>
        <v/>
      </c>
      <c r="BT1077">
        <f>$C1077*BT1076</f>
        <v/>
      </c>
      <c r="BU1077">
        <f>$C1077*BU1076</f>
        <v/>
      </c>
      <c r="BV1077">
        <f>$C1077*BV1076</f>
        <v/>
      </c>
      <c r="BW1077">
        <f>$C1077*BW1076</f>
        <v/>
      </c>
      <c r="BX1077">
        <f>$C1077*BX1076</f>
        <v/>
      </c>
      <c r="BY1077">
        <f>$C1077*BY1076</f>
        <v/>
      </c>
      <c r="BZ1077">
        <f>$C1077*BZ1076</f>
        <v/>
      </c>
      <c r="CA1077">
        <f>$C1077*CA1076</f>
        <v/>
      </c>
      <c r="CB1077">
        <f>$C1077*CB1076</f>
        <v/>
      </c>
      <c r="CC1077">
        <f>$C1077*CC1076</f>
        <v/>
      </c>
      <c r="CD1077">
        <f>$C1077*CD1076</f>
        <v/>
      </c>
      <c r="CE1077">
        <f>$C1077*CE1076</f>
        <v/>
      </c>
      <c r="CF1077">
        <f>$C1077*CF1076</f>
        <v/>
      </c>
      <c r="CG1077">
        <f>$C1077*CG1076</f>
        <v/>
      </c>
      <c r="CH1077">
        <f>$C1077*CH1076</f>
        <v/>
      </c>
      <c r="CI1077">
        <f>$C1077*CI1076</f>
        <v/>
      </c>
      <c r="CJ1077">
        <f>$C1077*CJ1076</f>
        <v/>
      </c>
      <c r="CK1077">
        <f>$C1077*CK1076</f>
        <v/>
      </c>
      <c r="CL1077">
        <f>$C1077*CL1076</f>
        <v/>
      </c>
      <c r="CM1077">
        <f>$C1077*CM1076</f>
        <v/>
      </c>
      <c r="CN1077">
        <f>$C1077*CN1076</f>
        <v/>
      </c>
      <c r="CO1077">
        <f>$C1077*CO1076</f>
        <v/>
      </c>
      <c r="CP1077">
        <f>$C1077*CP1076</f>
        <v/>
      </c>
      <c r="CQ1077">
        <f>$C1077*CQ1076</f>
        <v/>
      </c>
      <c r="CR1077">
        <f>$C1077*CR1076</f>
        <v/>
      </c>
      <c r="CS1077">
        <f>$C1077*CS1076</f>
        <v/>
      </c>
      <c r="CT1077">
        <f>$C1077*CT1076</f>
        <v/>
      </c>
      <c r="CU1077">
        <f>$C1077*CU1076</f>
        <v/>
      </c>
      <c r="CV1077">
        <f>$C1077*CV1076</f>
        <v/>
      </c>
      <c r="CW1077">
        <f>$C1077*CW1076</f>
        <v/>
      </c>
      <c r="CX1077">
        <f>$C1077*CX1076</f>
        <v/>
      </c>
      <c r="CY1077">
        <f>$C1077*CY1076</f>
        <v/>
      </c>
      <c r="CZ1077">
        <f>$C1077*CZ1076</f>
        <v/>
      </c>
      <c r="DA1077">
        <f>$C1077*DA1076</f>
        <v/>
      </c>
      <c r="DB1077">
        <f>$C1077*DB1076</f>
        <v/>
      </c>
      <c r="DC1077">
        <f>$C1077*DC1076</f>
        <v/>
      </c>
      <c r="DD1077">
        <f>$C1077*DD1076</f>
        <v/>
      </c>
    </row>
    <row r="1078">
      <c r="B1078" t="inlineStr">
        <is>
          <t>TSP-669</t>
        </is>
      </c>
      <c r="C1078" t="inlineStr">
        <is>
          <t>No. of batches</t>
        </is>
      </c>
      <c r="D1078">
        <f>IFERROR(INDEX(E1078:DD1078,$F$1),"")</f>
        <v/>
      </c>
      <c r="E1078">
        <f>IFERROR(INDEX(PP_Grid[#Data],$DE1078,2),0)</f>
        <v/>
      </c>
      <c r="F1078">
        <f>IFERROR(INDEX(PP_Grid[#Data],$DE1078,3),0)</f>
        <v/>
      </c>
      <c r="G1078">
        <f>IFERROR(INDEX(PP_Grid[#Data],$DE1078,4),0)</f>
        <v/>
      </c>
      <c r="H1078">
        <f>IFERROR(INDEX(PP_Grid[#Data],$DE1078,5),0)</f>
        <v/>
      </c>
      <c r="I1078">
        <f>IFERROR(INDEX(PP_Grid[#Data],$DE1078,6),0)</f>
        <v/>
      </c>
      <c r="J1078">
        <f>IFERROR(INDEX(PP_Grid[#Data],$DE1078,7),0)</f>
        <v/>
      </c>
      <c r="K1078">
        <f>IFERROR(INDEX(PP_Grid[#Data],$DE1078,8),0)</f>
        <v/>
      </c>
      <c r="L1078">
        <f>IFERROR(INDEX(PP_Grid[#Data],$DE1078,9),0)</f>
        <v/>
      </c>
      <c r="M1078">
        <f>IFERROR(INDEX(PP_Grid[#Data],$DE1078,10),0)</f>
        <v/>
      </c>
      <c r="N1078">
        <f>IFERROR(INDEX(PP_Grid[#Data],$DE1078,11),0)</f>
        <v/>
      </c>
      <c r="O1078">
        <f>IFERROR(INDEX(PP_Grid[#Data],$DE1078,12),0)</f>
        <v/>
      </c>
      <c r="P1078">
        <f>IFERROR(INDEX(PP_Grid[#Data],$DE1078,13),0)</f>
        <v/>
      </c>
      <c r="Q1078">
        <f>IFERROR(INDEX(PP_Grid[#Data],$DE1078,14),0)</f>
        <v/>
      </c>
      <c r="R1078">
        <f>IFERROR(INDEX(PP_Grid[#Data],$DE1078,15),0)</f>
        <v/>
      </c>
      <c r="S1078">
        <f>IFERROR(INDEX(PP_Grid[#Data],$DE1078,16),0)</f>
        <v/>
      </c>
      <c r="T1078">
        <f>IFERROR(INDEX(PP_Grid[#Data],$DE1078,17),0)</f>
        <v/>
      </c>
      <c r="U1078">
        <f>IFERROR(INDEX(PP_Grid[#Data],$DE1078,18),0)</f>
        <v/>
      </c>
      <c r="V1078">
        <f>IFERROR(INDEX(PP_Grid[#Data],$DE1078,19),0)</f>
        <v/>
      </c>
      <c r="W1078">
        <f>IFERROR(INDEX(PP_Grid[#Data],$DE1078,20),0)</f>
        <v/>
      </c>
      <c r="X1078">
        <f>IFERROR(INDEX(PP_Grid[#Data],$DE1078,21),0)</f>
        <v/>
      </c>
      <c r="Y1078">
        <f>IFERROR(INDEX(PP_Grid[#Data],$DE1078,22),0)</f>
        <v/>
      </c>
      <c r="Z1078">
        <f>IFERROR(INDEX(PP_Grid[#Data],$DE1078,23),0)</f>
        <v/>
      </c>
      <c r="AA1078">
        <f>IFERROR(INDEX(PP_Grid[#Data],$DE1078,24),0)</f>
        <v/>
      </c>
      <c r="AB1078">
        <f>IFERROR(INDEX(PP_Grid[#Data],$DE1078,25),0)</f>
        <v/>
      </c>
      <c r="AC1078">
        <f>IFERROR(INDEX(PP_Grid[#Data],$DE1078,26),0)</f>
        <v/>
      </c>
      <c r="AD1078">
        <f>IFERROR(INDEX(PP_Grid[#Data],$DE1078,27),0)</f>
        <v/>
      </c>
      <c r="AE1078">
        <f>IFERROR(INDEX(PP_Grid[#Data],$DE1078,28),0)</f>
        <v/>
      </c>
      <c r="AF1078">
        <f>IFERROR(INDEX(PP_Grid[#Data],$DE1078,29),0)</f>
        <v/>
      </c>
      <c r="AG1078">
        <f>IFERROR(INDEX(PP_Grid[#Data],$DE1078,30),0)</f>
        <v/>
      </c>
      <c r="AH1078">
        <f>IFERROR(INDEX(PP_Grid[#Data],$DE1078,31),0)</f>
        <v/>
      </c>
      <c r="AI1078">
        <f>IFERROR(INDEX(PP_Grid[#Data],$DE1078,32),0)</f>
        <v/>
      </c>
      <c r="AJ1078">
        <f>IFERROR(INDEX(PP_Grid[#Data],$DE1078,33),0)</f>
        <v/>
      </c>
      <c r="AK1078">
        <f>IFERROR(INDEX(PP_Grid[#Data],$DE1078,34),0)</f>
        <v/>
      </c>
      <c r="AL1078">
        <f>IFERROR(INDEX(PP_Grid[#Data],$DE1078,35),0)</f>
        <v/>
      </c>
      <c r="AM1078">
        <f>IFERROR(INDEX(PP_Grid[#Data],$DE1078,36),0)</f>
        <v/>
      </c>
      <c r="AN1078">
        <f>IFERROR(INDEX(PP_Grid[#Data],$DE1078,37),0)</f>
        <v/>
      </c>
      <c r="AO1078">
        <f>IFERROR(INDEX(PP_Grid[#Data],$DE1078,38),0)</f>
        <v/>
      </c>
      <c r="AP1078">
        <f>IFERROR(INDEX(PP_Grid[#Data],$DE1078,39),0)</f>
        <v/>
      </c>
      <c r="AQ1078">
        <f>IFERROR(INDEX(PP_Grid[#Data],$DE1078,40),0)</f>
        <v/>
      </c>
      <c r="AR1078">
        <f>IFERROR(INDEX(PP_Grid[#Data],$DE1078,41),0)</f>
        <v/>
      </c>
      <c r="AS1078">
        <f>IFERROR(INDEX(PP_Grid[#Data],$DE1078,42),0)</f>
        <v/>
      </c>
      <c r="AT1078">
        <f>IFERROR(INDEX(PP_Grid[#Data],$DE1078,43),0)</f>
        <v/>
      </c>
      <c r="AU1078">
        <f>IFERROR(INDEX(PP_Grid[#Data],$DE1078,44),0)</f>
        <v/>
      </c>
      <c r="AV1078">
        <f>IFERROR(INDEX(PP_Grid[#Data],$DE1078,45),0)</f>
        <v/>
      </c>
      <c r="AW1078">
        <f>IFERROR(INDEX(PP_Grid[#Data],$DE1078,46),0)</f>
        <v/>
      </c>
      <c r="AX1078">
        <f>IFERROR(INDEX(PP_Grid[#Data],$DE1078,47),0)</f>
        <v/>
      </c>
      <c r="AY1078">
        <f>IFERROR(INDEX(PP_Grid[#Data],$DE1078,48),0)</f>
        <v/>
      </c>
      <c r="AZ1078">
        <f>IFERROR(INDEX(PP_Grid[#Data],$DE1078,49),0)</f>
        <v/>
      </c>
      <c r="BA1078">
        <f>IFERROR(INDEX(PP_Grid[#Data],$DE1078,50),0)</f>
        <v/>
      </c>
      <c r="BB1078">
        <f>IFERROR(INDEX(PP_Grid[#Data],$DE1078,51),0)</f>
        <v/>
      </c>
      <c r="BC1078">
        <f>IFERROR(INDEX(PP_Grid[#Data],$DE1078,52),0)</f>
        <v/>
      </c>
      <c r="BD1078">
        <f>IFERROR(INDEX(PP_Grid[#Data],$DE1078,53),0)</f>
        <v/>
      </c>
      <c r="BE1078">
        <f>IFERROR(INDEX(PP_Grid[#Data],$DE1078,54),0)</f>
        <v/>
      </c>
      <c r="BF1078">
        <f>IFERROR(INDEX(PP_Grid[#Data],$DE1078,55),0)</f>
        <v/>
      </c>
      <c r="BG1078">
        <f>IFERROR(INDEX(PP_Grid[#Data],$DE1078,56),0)</f>
        <v/>
      </c>
      <c r="BH1078">
        <f>IFERROR(INDEX(PP_Grid[#Data],$DE1078,57),0)</f>
        <v/>
      </c>
      <c r="BI1078">
        <f>IFERROR(INDEX(PP_Grid[#Data],$DE1078,58),0)</f>
        <v/>
      </c>
      <c r="BJ1078">
        <f>IFERROR(INDEX(PP_Grid[#Data],$DE1078,59),0)</f>
        <v/>
      </c>
      <c r="BK1078">
        <f>IFERROR(INDEX(PP_Grid[#Data],$DE1078,60),0)</f>
        <v/>
      </c>
      <c r="BL1078">
        <f>IFERROR(INDEX(PP_Grid[#Data],$DE1078,61),0)</f>
        <v/>
      </c>
      <c r="BM1078">
        <f>IFERROR(INDEX(PP_Grid[#Data],$DE1078,62),0)</f>
        <v/>
      </c>
      <c r="BN1078">
        <f>IFERROR(INDEX(PP_Grid[#Data],$DE1078,63),0)</f>
        <v/>
      </c>
      <c r="BO1078">
        <f>IFERROR(INDEX(PP_Grid[#Data],$DE1078,64),0)</f>
        <v/>
      </c>
      <c r="BP1078">
        <f>IFERROR(INDEX(PP_Grid[#Data],$DE1078,65),0)</f>
        <v/>
      </c>
      <c r="BQ1078">
        <f>IFERROR(INDEX(PP_Grid[#Data],$DE1078,66),0)</f>
        <v/>
      </c>
      <c r="BR1078">
        <f>IFERROR(INDEX(PP_Grid[#Data],$DE1078,67),0)</f>
        <v/>
      </c>
      <c r="BS1078">
        <f>IFERROR(INDEX(PP_Grid[#Data],$DE1078,68),0)</f>
        <v/>
      </c>
      <c r="BT1078">
        <f>IFERROR(INDEX(PP_Grid[#Data],$DE1078,69),0)</f>
        <v/>
      </c>
      <c r="BU1078">
        <f>IFERROR(INDEX(PP_Grid[#Data],$DE1078,70),0)</f>
        <v/>
      </c>
      <c r="BV1078">
        <f>IFERROR(INDEX(PP_Grid[#Data],$DE1078,71),0)</f>
        <v/>
      </c>
      <c r="BW1078">
        <f>IFERROR(INDEX(PP_Grid[#Data],$DE1078,72),0)</f>
        <v/>
      </c>
      <c r="BX1078">
        <f>IFERROR(INDEX(PP_Grid[#Data],$DE1078,73),0)</f>
        <v/>
      </c>
      <c r="BY1078">
        <f>IFERROR(INDEX(PP_Grid[#Data],$DE1078,74),0)</f>
        <v/>
      </c>
      <c r="BZ1078">
        <f>IFERROR(INDEX(PP_Grid[#Data],$DE1078,75),0)</f>
        <v/>
      </c>
      <c r="CA1078">
        <f>IFERROR(INDEX(PP_Grid[#Data],$DE1078,76),0)</f>
        <v/>
      </c>
      <c r="CB1078">
        <f>IFERROR(INDEX(PP_Grid[#Data],$DE1078,77),0)</f>
        <v/>
      </c>
      <c r="CC1078">
        <f>IFERROR(INDEX(PP_Grid[#Data],$DE1078,78),0)</f>
        <v/>
      </c>
      <c r="CD1078">
        <f>IFERROR(INDEX(PP_Grid[#Data],$DE1078,79),0)</f>
        <v/>
      </c>
      <c r="CE1078">
        <f>IFERROR(INDEX(PP_Grid[#Data],$DE1078,80),0)</f>
        <v/>
      </c>
      <c r="CF1078">
        <f>IFERROR(INDEX(PP_Grid[#Data],$DE1078,81),0)</f>
        <v/>
      </c>
      <c r="CG1078">
        <f>IFERROR(INDEX(PP_Grid[#Data],$DE1078,82),0)</f>
        <v/>
      </c>
      <c r="CH1078">
        <f>IFERROR(INDEX(PP_Grid[#Data],$DE1078,83),0)</f>
        <v/>
      </c>
      <c r="CI1078">
        <f>IFERROR(INDEX(PP_Grid[#Data],$DE1078,84),0)</f>
        <v/>
      </c>
      <c r="CJ1078">
        <f>IFERROR(INDEX(PP_Grid[#Data],$DE1078,85),0)</f>
        <v/>
      </c>
      <c r="CK1078">
        <f>IFERROR(INDEX(PP_Grid[#Data],$DE1078,86),0)</f>
        <v/>
      </c>
      <c r="CL1078">
        <f>IFERROR(INDEX(PP_Grid[#Data],$DE1078,87),0)</f>
        <v/>
      </c>
      <c r="CM1078">
        <f>IFERROR(INDEX(PP_Grid[#Data],$DE1078,88),0)</f>
        <v/>
      </c>
      <c r="CN1078">
        <f>IFERROR(INDEX(PP_Grid[#Data],$DE1078,89),0)</f>
        <v/>
      </c>
      <c r="CO1078">
        <f>IFERROR(INDEX(PP_Grid[#Data],$DE1078,90),0)</f>
        <v/>
      </c>
      <c r="CP1078">
        <f>IFERROR(INDEX(PP_Grid[#Data],$DE1078,91),0)</f>
        <v/>
      </c>
      <c r="CQ1078">
        <f>IFERROR(INDEX(PP_Grid[#Data],$DE1078,92),0)</f>
        <v/>
      </c>
      <c r="CR1078">
        <f>IFERROR(INDEX(PP_Grid[#Data],$DE1078,93),0)</f>
        <v/>
      </c>
      <c r="CS1078">
        <f>IFERROR(INDEX(PP_Grid[#Data],$DE1078,94),0)</f>
        <v/>
      </c>
      <c r="CT1078">
        <f>IFERROR(INDEX(PP_Grid[#Data],$DE1078,95),0)</f>
        <v/>
      </c>
      <c r="CU1078">
        <f>IFERROR(INDEX(PP_Grid[#Data],$DE1078,96),0)</f>
        <v/>
      </c>
      <c r="CV1078">
        <f>IFERROR(INDEX(PP_Grid[#Data],$DE1078,97),0)</f>
        <v/>
      </c>
      <c r="CW1078">
        <f>IFERROR(INDEX(PP_Grid[#Data],$DE1078,98),0)</f>
        <v/>
      </c>
      <c r="CX1078">
        <f>IFERROR(INDEX(PP_Grid[#Data],$DE1078,99),0)</f>
        <v/>
      </c>
      <c r="CY1078">
        <f>IFERROR(INDEX(PP_Grid[#Data],$DE1078,100),0)</f>
        <v/>
      </c>
      <c r="CZ1078">
        <f>IFERROR(INDEX(PP_Grid[#Data],$DE1078,101),0)</f>
        <v/>
      </c>
      <c r="DA1078">
        <f>IFERROR(INDEX(PP_Grid[#Data],$DE1078,102),0)</f>
        <v/>
      </c>
      <c r="DB1078">
        <f>IFERROR(INDEX(PP_Grid[#Data],$DE1078,103),0)</f>
        <v/>
      </c>
      <c r="DC1078">
        <f>IFERROR(INDEX(PP_Grid[#Data],$DE1078,104),0)</f>
        <v/>
      </c>
      <c r="DD1078">
        <f>IFERROR(INDEX(PP_Grid[#Data],$DE1078,105),0)</f>
        <v/>
      </c>
      <c r="DE1078" s="7">
        <f>IFERROR(MATCH($B1078,PP_Grid[Intermediate],0),99999)</f>
        <v/>
      </c>
    </row>
    <row r="1079">
      <c r="B1079" t="inlineStr">
        <is>
          <t>使用量(kg)</t>
        </is>
      </c>
      <c r="C1079">
        <f>SUMIFS(M_BOM[RM_Qty_Per_Batch],M_BOM[Intermediate],$B1078,M_BOM[RM_Code],$A1071)</f>
        <v/>
      </c>
      <c r="D1079">
        <f>IFERROR(INDEX(E1079:DD1079,$F$1),"")</f>
        <v/>
      </c>
      <c r="E1079">
        <f>$C1079*E1078</f>
        <v/>
      </c>
      <c r="F1079">
        <f>$C1079*F1078</f>
        <v/>
      </c>
      <c r="G1079">
        <f>$C1079*G1078</f>
        <v/>
      </c>
      <c r="H1079">
        <f>$C1079*H1078</f>
        <v/>
      </c>
      <c r="I1079">
        <f>$C1079*I1078</f>
        <v/>
      </c>
      <c r="J1079">
        <f>$C1079*J1078</f>
        <v/>
      </c>
      <c r="K1079">
        <f>$C1079*K1078</f>
        <v/>
      </c>
      <c r="L1079">
        <f>$C1079*L1078</f>
        <v/>
      </c>
      <c r="M1079">
        <f>$C1079*M1078</f>
        <v/>
      </c>
      <c r="N1079">
        <f>$C1079*N1078</f>
        <v/>
      </c>
      <c r="O1079">
        <f>$C1079*O1078</f>
        <v/>
      </c>
      <c r="P1079">
        <f>$C1079*P1078</f>
        <v/>
      </c>
      <c r="Q1079">
        <f>$C1079*Q1078</f>
        <v/>
      </c>
      <c r="R1079">
        <f>$C1079*R1078</f>
        <v/>
      </c>
      <c r="S1079">
        <f>$C1079*S1078</f>
        <v/>
      </c>
      <c r="T1079">
        <f>$C1079*T1078</f>
        <v/>
      </c>
      <c r="U1079">
        <f>$C1079*U1078</f>
        <v/>
      </c>
      <c r="V1079">
        <f>$C1079*V1078</f>
        <v/>
      </c>
      <c r="W1079">
        <f>$C1079*W1078</f>
        <v/>
      </c>
      <c r="X1079">
        <f>$C1079*X1078</f>
        <v/>
      </c>
      <c r="Y1079">
        <f>$C1079*Y1078</f>
        <v/>
      </c>
      <c r="Z1079">
        <f>$C1079*Z1078</f>
        <v/>
      </c>
      <c r="AA1079">
        <f>$C1079*AA1078</f>
        <v/>
      </c>
      <c r="AB1079">
        <f>$C1079*AB1078</f>
        <v/>
      </c>
      <c r="AC1079">
        <f>$C1079*AC1078</f>
        <v/>
      </c>
      <c r="AD1079">
        <f>$C1079*AD1078</f>
        <v/>
      </c>
      <c r="AE1079">
        <f>$C1079*AE1078</f>
        <v/>
      </c>
      <c r="AF1079">
        <f>$C1079*AF1078</f>
        <v/>
      </c>
      <c r="AG1079">
        <f>$C1079*AG1078</f>
        <v/>
      </c>
      <c r="AH1079">
        <f>$C1079*AH1078</f>
        <v/>
      </c>
      <c r="AI1079">
        <f>$C1079*AI1078</f>
        <v/>
      </c>
      <c r="AJ1079">
        <f>$C1079*AJ1078</f>
        <v/>
      </c>
      <c r="AK1079">
        <f>$C1079*AK1078</f>
        <v/>
      </c>
      <c r="AL1079">
        <f>$C1079*AL1078</f>
        <v/>
      </c>
      <c r="AM1079">
        <f>$C1079*AM1078</f>
        <v/>
      </c>
      <c r="AN1079">
        <f>$C1079*AN1078</f>
        <v/>
      </c>
      <c r="AO1079">
        <f>$C1079*AO1078</f>
        <v/>
      </c>
      <c r="AP1079">
        <f>$C1079*AP1078</f>
        <v/>
      </c>
      <c r="AQ1079">
        <f>$C1079*AQ1078</f>
        <v/>
      </c>
      <c r="AR1079">
        <f>$C1079*AR1078</f>
        <v/>
      </c>
      <c r="AS1079">
        <f>$C1079*AS1078</f>
        <v/>
      </c>
      <c r="AT1079">
        <f>$C1079*AT1078</f>
        <v/>
      </c>
      <c r="AU1079">
        <f>$C1079*AU1078</f>
        <v/>
      </c>
      <c r="AV1079">
        <f>$C1079*AV1078</f>
        <v/>
      </c>
      <c r="AW1079">
        <f>$C1079*AW1078</f>
        <v/>
      </c>
      <c r="AX1079">
        <f>$C1079*AX1078</f>
        <v/>
      </c>
      <c r="AY1079">
        <f>$C1079*AY1078</f>
        <v/>
      </c>
      <c r="AZ1079">
        <f>$C1079*AZ1078</f>
        <v/>
      </c>
      <c r="BA1079">
        <f>$C1079*BA1078</f>
        <v/>
      </c>
      <c r="BB1079">
        <f>$C1079*BB1078</f>
        <v/>
      </c>
      <c r="BC1079">
        <f>$C1079*BC1078</f>
        <v/>
      </c>
      <c r="BD1079">
        <f>$C1079*BD1078</f>
        <v/>
      </c>
      <c r="BE1079">
        <f>$C1079*BE1078</f>
        <v/>
      </c>
      <c r="BF1079">
        <f>$C1079*BF1078</f>
        <v/>
      </c>
      <c r="BG1079">
        <f>$C1079*BG1078</f>
        <v/>
      </c>
      <c r="BH1079">
        <f>$C1079*BH1078</f>
        <v/>
      </c>
      <c r="BI1079">
        <f>$C1079*BI1078</f>
        <v/>
      </c>
      <c r="BJ1079">
        <f>$C1079*BJ1078</f>
        <v/>
      </c>
      <c r="BK1079">
        <f>$C1079*BK1078</f>
        <v/>
      </c>
      <c r="BL1079">
        <f>$C1079*BL1078</f>
        <v/>
      </c>
      <c r="BM1079">
        <f>$C1079*BM1078</f>
        <v/>
      </c>
      <c r="BN1079">
        <f>$C1079*BN1078</f>
        <v/>
      </c>
      <c r="BO1079">
        <f>$C1079*BO1078</f>
        <v/>
      </c>
      <c r="BP1079">
        <f>$C1079*BP1078</f>
        <v/>
      </c>
      <c r="BQ1079">
        <f>$C1079*BQ1078</f>
        <v/>
      </c>
      <c r="BR1079">
        <f>$C1079*BR1078</f>
        <v/>
      </c>
      <c r="BS1079">
        <f>$C1079*BS1078</f>
        <v/>
      </c>
      <c r="BT1079">
        <f>$C1079*BT1078</f>
        <v/>
      </c>
      <c r="BU1079">
        <f>$C1079*BU1078</f>
        <v/>
      </c>
      <c r="BV1079">
        <f>$C1079*BV1078</f>
        <v/>
      </c>
      <c r="BW1079">
        <f>$C1079*BW1078</f>
        <v/>
      </c>
      <c r="BX1079">
        <f>$C1079*BX1078</f>
        <v/>
      </c>
      <c r="BY1079">
        <f>$C1079*BY1078</f>
        <v/>
      </c>
      <c r="BZ1079">
        <f>$C1079*BZ1078</f>
        <v/>
      </c>
      <c r="CA1079">
        <f>$C1079*CA1078</f>
        <v/>
      </c>
      <c r="CB1079">
        <f>$C1079*CB1078</f>
        <v/>
      </c>
      <c r="CC1079">
        <f>$C1079*CC1078</f>
        <v/>
      </c>
      <c r="CD1079">
        <f>$C1079*CD1078</f>
        <v/>
      </c>
      <c r="CE1079">
        <f>$C1079*CE1078</f>
        <v/>
      </c>
      <c r="CF1079">
        <f>$C1079*CF1078</f>
        <v/>
      </c>
      <c r="CG1079">
        <f>$C1079*CG1078</f>
        <v/>
      </c>
      <c r="CH1079">
        <f>$C1079*CH1078</f>
        <v/>
      </c>
      <c r="CI1079">
        <f>$C1079*CI1078</f>
        <v/>
      </c>
      <c r="CJ1079">
        <f>$C1079*CJ1078</f>
        <v/>
      </c>
      <c r="CK1079">
        <f>$C1079*CK1078</f>
        <v/>
      </c>
      <c r="CL1079">
        <f>$C1079*CL1078</f>
        <v/>
      </c>
      <c r="CM1079">
        <f>$C1079*CM1078</f>
        <v/>
      </c>
      <c r="CN1079">
        <f>$C1079*CN1078</f>
        <v/>
      </c>
      <c r="CO1079">
        <f>$C1079*CO1078</f>
        <v/>
      </c>
      <c r="CP1079">
        <f>$C1079*CP1078</f>
        <v/>
      </c>
      <c r="CQ1079">
        <f>$C1079*CQ1078</f>
        <v/>
      </c>
      <c r="CR1079">
        <f>$C1079*CR1078</f>
        <v/>
      </c>
      <c r="CS1079">
        <f>$C1079*CS1078</f>
        <v/>
      </c>
      <c r="CT1079">
        <f>$C1079*CT1078</f>
        <v/>
      </c>
      <c r="CU1079">
        <f>$C1079*CU1078</f>
        <v/>
      </c>
      <c r="CV1079">
        <f>$C1079*CV1078</f>
        <v/>
      </c>
      <c r="CW1079">
        <f>$C1079*CW1078</f>
        <v/>
      </c>
      <c r="CX1079">
        <f>$C1079*CX1078</f>
        <v/>
      </c>
      <c r="CY1079">
        <f>$C1079*CY1078</f>
        <v/>
      </c>
      <c r="CZ1079">
        <f>$C1079*CZ1078</f>
        <v/>
      </c>
      <c r="DA1079">
        <f>$C1079*DA1078</f>
        <v/>
      </c>
      <c r="DB1079">
        <f>$C1079*DB1078</f>
        <v/>
      </c>
      <c r="DC1079">
        <f>$C1079*DC1078</f>
        <v/>
      </c>
      <c r="DD1079">
        <f>$C1079*DD1078</f>
        <v/>
      </c>
    </row>
    <row r="1080">
      <c r="B1080" t="inlineStr">
        <is>
          <t>TSP-670</t>
        </is>
      </c>
      <c r="C1080" t="inlineStr">
        <is>
          <t>No. of batches</t>
        </is>
      </c>
      <c r="D1080">
        <f>IFERROR(INDEX(E1080:DD1080,$F$1),"")</f>
        <v/>
      </c>
      <c r="E1080">
        <f>IFERROR(INDEX(PP_Grid[#Data],$DE1080,2),0)</f>
        <v/>
      </c>
      <c r="F1080">
        <f>IFERROR(INDEX(PP_Grid[#Data],$DE1080,3),0)</f>
        <v/>
      </c>
      <c r="G1080">
        <f>IFERROR(INDEX(PP_Grid[#Data],$DE1080,4),0)</f>
        <v/>
      </c>
      <c r="H1080">
        <f>IFERROR(INDEX(PP_Grid[#Data],$DE1080,5),0)</f>
        <v/>
      </c>
      <c r="I1080">
        <f>IFERROR(INDEX(PP_Grid[#Data],$DE1080,6),0)</f>
        <v/>
      </c>
      <c r="J1080">
        <f>IFERROR(INDEX(PP_Grid[#Data],$DE1080,7),0)</f>
        <v/>
      </c>
      <c r="K1080">
        <f>IFERROR(INDEX(PP_Grid[#Data],$DE1080,8),0)</f>
        <v/>
      </c>
      <c r="L1080">
        <f>IFERROR(INDEX(PP_Grid[#Data],$DE1080,9),0)</f>
        <v/>
      </c>
      <c r="M1080">
        <f>IFERROR(INDEX(PP_Grid[#Data],$DE1080,10),0)</f>
        <v/>
      </c>
      <c r="N1080">
        <f>IFERROR(INDEX(PP_Grid[#Data],$DE1080,11),0)</f>
        <v/>
      </c>
      <c r="O1080">
        <f>IFERROR(INDEX(PP_Grid[#Data],$DE1080,12),0)</f>
        <v/>
      </c>
      <c r="P1080">
        <f>IFERROR(INDEX(PP_Grid[#Data],$DE1080,13),0)</f>
        <v/>
      </c>
      <c r="Q1080">
        <f>IFERROR(INDEX(PP_Grid[#Data],$DE1080,14),0)</f>
        <v/>
      </c>
      <c r="R1080">
        <f>IFERROR(INDEX(PP_Grid[#Data],$DE1080,15),0)</f>
        <v/>
      </c>
      <c r="S1080">
        <f>IFERROR(INDEX(PP_Grid[#Data],$DE1080,16),0)</f>
        <v/>
      </c>
      <c r="T1080">
        <f>IFERROR(INDEX(PP_Grid[#Data],$DE1080,17),0)</f>
        <v/>
      </c>
      <c r="U1080">
        <f>IFERROR(INDEX(PP_Grid[#Data],$DE1080,18),0)</f>
        <v/>
      </c>
      <c r="V1080">
        <f>IFERROR(INDEX(PP_Grid[#Data],$DE1080,19),0)</f>
        <v/>
      </c>
      <c r="W1080">
        <f>IFERROR(INDEX(PP_Grid[#Data],$DE1080,20),0)</f>
        <v/>
      </c>
      <c r="X1080">
        <f>IFERROR(INDEX(PP_Grid[#Data],$DE1080,21),0)</f>
        <v/>
      </c>
      <c r="Y1080">
        <f>IFERROR(INDEX(PP_Grid[#Data],$DE1080,22),0)</f>
        <v/>
      </c>
      <c r="Z1080">
        <f>IFERROR(INDEX(PP_Grid[#Data],$DE1080,23),0)</f>
        <v/>
      </c>
      <c r="AA1080">
        <f>IFERROR(INDEX(PP_Grid[#Data],$DE1080,24),0)</f>
        <v/>
      </c>
      <c r="AB1080">
        <f>IFERROR(INDEX(PP_Grid[#Data],$DE1080,25),0)</f>
        <v/>
      </c>
      <c r="AC1080">
        <f>IFERROR(INDEX(PP_Grid[#Data],$DE1080,26),0)</f>
        <v/>
      </c>
      <c r="AD1080">
        <f>IFERROR(INDEX(PP_Grid[#Data],$DE1080,27),0)</f>
        <v/>
      </c>
      <c r="AE1080">
        <f>IFERROR(INDEX(PP_Grid[#Data],$DE1080,28),0)</f>
        <v/>
      </c>
      <c r="AF1080">
        <f>IFERROR(INDEX(PP_Grid[#Data],$DE1080,29),0)</f>
        <v/>
      </c>
      <c r="AG1080">
        <f>IFERROR(INDEX(PP_Grid[#Data],$DE1080,30),0)</f>
        <v/>
      </c>
      <c r="AH1080">
        <f>IFERROR(INDEX(PP_Grid[#Data],$DE1080,31),0)</f>
        <v/>
      </c>
      <c r="AI1080">
        <f>IFERROR(INDEX(PP_Grid[#Data],$DE1080,32),0)</f>
        <v/>
      </c>
      <c r="AJ1080">
        <f>IFERROR(INDEX(PP_Grid[#Data],$DE1080,33),0)</f>
        <v/>
      </c>
      <c r="AK1080">
        <f>IFERROR(INDEX(PP_Grid[#Data],$DE1080,34),0)</f>
        <v/>
      </c>
      <c r="AL1080">
        <f>IFERROR(INDEX(PP_Grid[#Data],$DE1080,35),0)</f>
        <v/>
      </c>
      <c r="AM1080">
        <f>IFERROR(INDEX(PP_Grid[#Data],$DE1080,36),0)</f>
        <v/>
      </c>
      <c r="AN1080">
        <f>IFERROR(INDEX(PP_Grid[#Data],$DE1080,37),0)</f>
        <v/>
      </c>
      <c r="AO1080">
        <f>IFERROR(INDEX(PP_Grid[#Data],$DE1080,38),0)</f>
        <v/>
      </c>
      <c r="AP1080">
        <f>IFERROR(INDEX(PP_Grid[#Data],$DE1080,39),0)</f>
        <v/>
      </c>
      <c r="AQ1080">
        <f>IFERROR(INDEX(PP_Grid[#Data],$DE1080,40),0)</f>
        <v/>
      </c>
      <c r="AR1080">
        <f>IFERROR(INDEX(PP_Grid[#Data],$DE1080,41),0)</f>
        <v/>
      </c>
      <c r="AS1080">
        <f>IFERROR(INDEX(PP_Grid[#Data],$DE1080,42),0)</f>
        <v/>
      </c>
      <c r="AT1080">
        <f>IFERROR(INDEX(PP_Grid[#Data],$DE1080,43),0)</f>
        <v/>
      </c>
      <c r="AU1080">
        <f>IFERROR(INDEX(PP_Grid[#Data],$DE1080,44),0)</f>
        <v/>
      </c>
      <c r="AV1080">
        <f>IFERROR(INDEX(PP_Grid[#Data],$DE1080,45),0)</f>
        <v/>
      </c>
      <c r="AW1080">
        <f>IFERROR(INDEX(PP_Grid[#Data],$DE1080,46),0)</f>
        <v/>
      </c>
      <c r="AX1080">
        <f>IFERROR(INDEX(PP_Grid[#Data],$DE1080,47),0)</f>
        <v/>
      </c>
      <c r="AY1080">
        <f>IFERROR(INDEX(PP_Grid[#Data],$DE1080,48),0)</f>
        <v/>
      </c>
      <c r="AZ1080">
        <f>IFERROR(INDEX(PP_Grid[#Data],$DE1080,49),0)</f>
        <v/>
      </c>
      <c r="BA1080">
        <f>IFERROR(INDEX(PP_Grid[#Data],$DE1080,50),0)</f>
        <v/>
      </c>
      <c r="BB1080">
        <f>IFERROR(INDEX(PP_Grid[#Data],$DE1080,51),0)</f>
        <v/>
      </c>
      <c r="BC1080">
        <f>IFERROR(INDEX(PP_Grid[#Data],$DE1080,52),0)</f>
        <v/>
      </c>
      <c r="BD1080">
        <f>IFERROR(INDEX(PP_Grid[#Data],$DE1080,53),0)</f>
        <v/>
      </c>
      <c r="BE1080">
        <f>IFERROR(INDEX(PP_Grid[#Data],$DE1080,54),0)</f>
        <v/>
      </c>
      <c r="BF1080">
        <f>IFERROR(INDEX(PP_Grid[#Data],$DE1080,55),0)</f>
        <v/>
      </c>
      <c r="BG1080">
        <f>IFERROR(INDEX(PP_Grid[#Data],$DE1080,56),0)</f>
        <v/>
      </c>
      <c r="BH1080">
        <f>IFERROR(INDEX(PP_Grid[#Data],$DE1080,57),0)</f>
        <v/>
      </c>
      <c r="BI1080">
        <f>IFERROR(INDEX(PP_Grid[#Data],$DE1080,58),0)</f>
        <v/>
      </c>
      <c r="BJ1080">
        <f>IFERROR(INDEX(PP_Grid[#Data],$DE1080,59),0)</f>
        <v/>
      </c>
      <c r="BK1080">
        <f>IFERROR(INDEX(PP_Grid[#Data],$DE1080,60),0)</f>
        <v/>
      </c>
      <c r="BL1080">
        <f>IFERROR(INDEX(PP_Grid[#Data],$DE1080,61),0)</f>
        <v/>
      </c>
      <c r="BM1080">
        <f>IFERROR(INDEX(PP_Grid[#Data],$DE1080,62),0)</f>
        <v/>
      </c>
      <c r="BN1080">
        <f>IFERROR(INDEX(PP_Grid[#Data],$DE1080,63),0)</f>
        <v/>
      </c>
      <c r="BO1080">
        <f>IFERROR(INDEX(PP_Grid[#Data],$DE1080,64),0)</f>
        <v/>
      </c>
      <c r="BP1080">
        <f>IFERROR(INDEX(PP_Grid[#Data],$DE1080,65),0)</f>
        <v/>
      </c>
      <c r="BQ1080">
        <f>IFERROR(INDEX(PP_Grid[#Data],$DE1080,66),0)</f>
        <v/>
      </c>
      <c r="BR1080">
        <f>IFERROR(INDEX(PP_Grid[#Data],$DE1080,67),0)</f>
        <v/>
      </c>
      <c r="BS1080">
        <f>IFERROR(INDEX(PP_Grid[#Data],$DE1080,68),0)</f>
        <v/>
      </c>
      <c r="BT1080">
        <f>IFERROR(INDEX(PP_Grid[#Data],$DE1080,69),0)</f>
        <v/>
      </c>
      <c r="BU1080">
        <f>IFERROR(INDEX(PP_Grid[#Data],$DE1080,70),0)</f>
        <v/>
      </c>
      <c r="BV1080">
        <f>IFERROR(INDEX(PP_Grid[#Data],$DE1080,71),0)</f>
        <v/>
      </c>
      <c r="BW1080">
        <f>IFERROR(INDEX(PP_Grid[#Data],$DE1080,72),0)</f>
        <v/>
      </c>
      <c r="BX1080">
        <f>IFERROR(INDEX(PP_Grid[#Data],$DE1080,73),0)</f>
        <v/>
      </c>
      <c r="BY1080">
        <f>IFERROR(INDEX(PP_Grid[#Data],$DE1080,74),0)</f>
        <v/>
      </c>
      <c r="BZ1080">
        <f>IFERROR(INDEX(PP_Grid[#Data],$DE1080,75),0)</f>
        <v/>
      </c>
      <c r="CA1080">
        <f>IFERROR(INDEX(PP_Grid[#Data],$DE1080,76),0)</f>
        <v/>
      </c>
      <c r="CB1080">
        <f>IFERROR(INDEX(PP_Grid[#Data],$DE1080,77),0)</f>
        <v/>
      </c>
      <c r="CC1080">
        <f>IFERROR(INDEX(PP_Grid[#Data],$DE1080,78),0)</f>
        <v/>
      </c>
      <c r="CD1080">
        <f>IFERROR(INDEX(PP_Grid[#Data],$DE1080,79),0)</f>
        <v/>
      </c>
      <c r="CE1080">
        <f>IFERROR(INDEX(PP_Grid[#Data],$DE1080,80),0)</f>
        <v/>
      </c>
      <c r="CF1080">
        <f>IFERROR(INDEX(PP_Grid[#Data],$DE1080,81),0)</f>
        <v/>
      </c>
      <c r="CG1080">
        <f>IFERROR(INDEX(PP_Grid[#Data],$DE1080,82),0)</f>
        <v/>
      </c>
      <c r="CH1080">
        <f>IFERROR(INDEX(PP_Grid[#Data],$DE1080,83),0)</f>
        <v/>
      </c>
      <c r="CI1080">
        <f>IFERROR(INDEX(PP_Grid[#Data],$DE1080,84),0)</f>
        <v/>
      </c>
      <c r="CJ1080">
        <f>IFERROR(INDEX(PP_Grid[#Data],$DE1080,85),0)</f>
        <v/>
      </c>
      <c r="CK1080">
        <f>IFERROR(INDEX(PP_Grid[#Data],$DE1080,86),0)</f>
        <v/>
      </c>
      <c r="CL1080">
        <f>IFERROR(INDEX(PP_Grid[#Data],$DE1080,87),0)</f>
        <v/>
      </c>
      <c r="CM1080">
        <f>IFERROR(INDEX(PP_Grid[#Data],$DE1080,88),0)</f>
        <v/>
      </c>
      <c r="CN1080">
        <f>IFERROR(INDEX(PP_Grid[#Data],$DE1080,89),0)</f>
        <v/>
      </c>
      <c r="CO1080">
        <f>IFERROR(INDEX(PP_Grid[#Data],$DE1080,90),0)</f>
        <v/>
      </c>
      <c r="CP1080">
        <f>IFERROR(INDEX(PP_Grid[#Data],$DE1080,91),0)</f>
        <v/>
      </c>
      <c r="CQ1080">
        <f>IFERROR(INDEX(PP_Grid[#Data],$DE1080,92),0)</f>
        <v/>
      </c>
      <c r="CR1080">
        <f>IFERROR(INDEX(PP_Grid[#Data],$DE1080,93),0)</f>
        <v/>
      </c>
      <c r="CS1080">
        <f>IFERROR(INDEX(PP_Grid[#Data],$DE1080,94),0)</f>
        <v/>
      </c>
      <c r="CT1080">
        <f>IFERROR(INDEX(PP_Grid[#Data],$DE1080,95),0)</f>
        <v/>
      </c>
      <c r="CU1080">
        <f>IFERROR(INDEX(PP_Grid[#Data],$DE1080,96),0)</f>
        <v/>
      </c>
      <c r="CV1080">
        <f>IFERROR(INDEX(PP_Grid[#Data],$DE1080,97),0)</f>
        <v/>
      </c>
      <c r="CW1080">
        <f>IFERROR(INDEX(PP_Grid[#Data],$DE1080,98),0)</f>
        <v/>
      </c>
      <c r="CX1080">
        <f>IFERROR(INDEX(PP_Grid[#Data],$DE1080,99),0)</f>
        <v/>
      </c>
      <c r="CY1080">
        <f>IFERROR(INDEX(PP_Grid[#Data],$DE1080,100),0)</f>
        <v/>
      </c>
      <c r="CZ1080">
        <f>IFERROR(INDEX(PP_Grid[#Data],$DE1080,101),0)</f>
        <v/>
      </c>
      <c r="DA1080">
        <f>IFERROR(INDEX(PP_Grid[#Data],$DE1080,102),0)</f>
        <v/>
      </c>
      <c r="DB1080">
        <f>IFERROR(INDEX(PP_Grid[#Data],$DE1080,103),0)</f>
        <v/>
      </c>
      <c r="DC1080">
        <f>IFERROR(INDEX(PP_Grid[#Data],$DE1080,104),0)</f>
        <v/>
      </c>
      <c r="DD1080">
        <f>IFERROR(INDEX(PP_Grid[#Data],$DE1080,105),0)</f>
        <v/>
      </c>
      <c r="DE1080" s="7">
        <f>IFERROR(MATCH($B1080,PP_Grid[Intermediate],0),99999)</f>
        <v/>
      </c>
    </row>
    <row r="1081">
      <c r="B1081" t="inlineStr">
        <is>
          <t>使用量(kg)</t>
        </is>
      </c>
      <c r="C1081">
        <f>SUMIFS(M_BOM[RM_Qty_Per_Batch],M_BOM[Intermediate],$B1080,M_BOM[RM_Code],$A1071)</f>
        <v/>
      </c>
      <c r="D1081">
        <f>IFERROR(INDEX(E1081:DD1081,$F$1),"")</f>
        <v/>
      </c>
      <c r="E1081">
        <f>$C1081*E1080</f>
        <v/>
      </c>
      <c r="F1081">
        <f>$C1081*F1080</f>
        <v/>
      </c>
      <c r="G1081">
        <f>$C1081*G1080</f>
        <v/>
      </c>
      <c r="H1081">
        <f>$C1081*H1080</f>
        <v/>
      </c>
      <c r="I1081">
        <f>$C1081*I1080</f>
        <v/>
      </c>
      <c r="J1081">
        <f>$C1081*J1080</f>
        <v/>
      </c>
      <c r="K1081">
        <f>$C1081*K1080</f>
        <v/>
      </c>
      <c r="L1081">
        <f>$C1081*L1080</f>
        <v/>
      </c>
      <c r="M1081">
        <f>$C1081*M1080</f>
        <v/>
      </c>
      <c r="N1081">
        <f>$C1081*N1080</f>
        <v/>
      </c>
      <c r="O1081">
        <f>$C1081*O1080</f>
        <v/>
      </c>
      <c r="P1081">
        <f>$C1081*P1080</f>
        <v/>
      </c>
      <c r="Q1081">
        <f>$C1081*Q1080</f>
        <v/>
      </c>
      <c r="R1081">
        <f>$C1081*R1080</f>
        <v/>
      </c>
      <c r="S1081">
        <f>$C1081*S1080</f>
        <v/>
      </c>
      <c r="T1081">
        <f>$C1081*T1080</f>
        <v/>
      </c>
      <c r="U1081">
        <f>$C1081*U1080</f>
        <v/>
      </c>
      <c r="V1081">
        <f>$C1081*V1080</f>
        <v/>
      </c>
      <c r="W1081">
        <f>$C1081*W1080</f>
        <v/>
      </c>
      <c r="X1081">
        <f>$C1081*X1080</f>
        <v/>
      </c>
      <c r="Y1081">
        <f>$C1081*Y1080</f>
        <v/>
      </c>
      <c r="Z1081">
        <f>$C1081*Z1080</f>
        <v/>
      </c>
      <c r="AA1081">
        <f>$C1081*AA1080</f>
        <v/>
      </c>
      <c r="AB1081">
        <f>$C1081*AB1080</f>
        <v/>
      </c>
      <c r="AC1081">
        <f>$C1081*AC1080</f>
        <v/>
      </c>
      <c r="AD1081">
        <f>$C1081*AD1080</f>
        <v/>
      </c>
      <c r="AE1081">
        <f>$C1081*AE1080</f>
        <v/>
      </c>
      <c r="AF1081">
        <f>$C1081*AF1080</f>
        <v/>
      </c>
      <c r="AG1081">
        <f>$C1081*AG1080</f>
        <v/>
      </c>
      <c r="AH1081">
        <f>$C1081*AH1080</f>
        <v/>
      </c>
      <c r="AI1081">
        <f>$C1081*AI1080</f>
        <v/>
      </c>
      <c r="AJ1081">
        <f>$C1081*AJ1080</f>
        <v/>
      </c>
      <c r="AK1081">
        <f>$C1081*AK1080</f>
        <v/>
      </c>
      <c r="AL1081">
        <f>$C1081*AL1080</f>
        <v/>
      </c>
      <c r="AM1081">
        <f>$C1081*AM1080</f>
        <v/>
      </c>
      <c r="AN1081">
        <f>$C1081*AN1080</f>
        <v/>
      </c>
      <c r="AO1081">
        <f>$C1081*AO1080</f>
        <v/>
      </c>
      <c r="AP1081">
        <f>$C1081*AP1080</f>
        <v/>
      </c>
      <c r="AQ1081">
        <f>$C1081*AQ1080</f>
        <v/>
      </c>
      <c r="AR1081">
        <f>$C1081*AR1080</f>
        <v/>
      </c>
      <c r="AS1081">
        <f>$C1081*AS1080</f>
        <v/>
      </c>
      <c r="AT1081">
        <f>$C1081*AT1080</f>
        <v/>
      </c>
      <c r="AU1081">
        <f>$C1081*AU1080</f>
        <v/>
      </c>
      <c r="AV1081">
        <f>$C1081*AV1080</f>
        <v/>
      </c>
      <c r="AW1081">
        <f>$C1081*AW1080</f>
        <v/>
      </c>
      <c r="AX1081">
        <f>$C1081*AX1080</f>
        <v/>
      </c>
      <c r="AY1081">
        <f>$C1081*AY1080</f>
        <v/>
      </c>
      <c r="AZ1081">
        <f>$C1081*AZ1080</f>
        <v/>
      </c>
      <c r="BA1081">
        <f>$C1081*BA1080</f>
        <v/>
      </c>
      <c r="BB1081">
        <f>$C1081*BB1080</f>
        <v/>
      </c>
      <c r="BC1081">
        <f>$C1081*BC1080</f>
        <v/>
      </c>
      <c r="BD1081">
        <f>$C1081*BD1080</f>
        <v/>
      </c>
      <c r="BE1081">
        <f>$C1081*BE1080</f>
        <v/>
      </c>
      <c r="BF1081">
        <f>$C1081*BF1080</f>
        <v/>
      </c>
      <c r="BG1081">
        <f>$C1081*BG1080</f>
        <v/>
      </c>
      <c r="BH1081">
        <f>$C1081*BH1080</f>
        <v/>
      </c>
      <c r="BI1081">
        <f>$C1081*BI1080</f>
        <v/>
      </c>
      <c r="BJ1081">
        <f>$C1081*BJ1080</f>
        <v/>
      </c>
      <c r="BK1081">
        <f>$C1081*BK1080</f>
        <v/>
      </c>
      <c r="BL1081">
        <f>$C1081*BL1080</f>
        <v/>
      </c>
      <c r="BM1081">
        <f>$C1081*BM1080</f>
        <v/>
      </c>
      <c r="BN1081">
        <f>$C1081*BN1080</f>
        <v/>
      </c>
      <c r="BO1081">
        <f>$C1081*BO1080</f>
        <v/>
      </c>
      <c r="BP1081">
        <f>$C1081*BP1080</f>
        <v/>
      </c>
      <c r="BQ1081">
        <f>$C1081*BQ1080</f>
        <v/>
      </c>
      <c r="BR1081">
        <f>$C1081*BR1080</f>
        <v/>
      </c>
      <c r="BS1081">
        <f>$C1081*BS1080</f>
        <v/>
      </c>
      <c r="BT1081">
        <f>$C1081*BT1080</f>
        <v/>
      </c>
      <c r="BU1081">
        <f>$C1081*BU1080</f>
        <v/>
      </c>
      <c r="BV1081">
        <f>$C1081*BV1080</f>
        <v/>
      </c>
      <c r="BW1081">
        <f>$C1081*BW1080</f>
        <v/>
      </c>
      <c r="BX1081">
        <f>$C1081*BX1080</f>
        <v/>
      </c>
      <c r="BY1081">
        <f>$C1081*BY1080</f>
        <v/>
      </c>
      <c r="BZ1081">
        <f>$C1081*BZ1080</f>
        <v/>
      </c>
      <c r="CA1081">
        <f>$C1081*CA1080</f>
        <v/>
      </c>
      <c r="CB1081">
        <f>$C1081*CB1080</f>
        <v/>
      </c>
      <c r="CC1081">
        <f>$C1081*CC1080</f>
        <v/>
      </c>
      <c r="CD1081">
        <f>$C1081*CD1080</f>
        <v/>
      </c>
      <c r="CE1081">
        <f>$C1081*CE1080</f>
        <v/>
      </c>
      <c r="CF1081">
        <f>$C1081*CF1080</f>
        <v/>
      </c>
      <c r="CG1081">
        <f>$C1081*CG1080</f>
        <v/>
      </c>
      <c r="CH1081">
        <f>$C1081*CH1080</f>
        <v/>
      </c>
      <c r="CI1081">
        <f>$C1081*CI1080</f>
        <v/>
      </c>
      <c r="CJ1081">
        <f>$C1081*CJ1080</f>
        <v/>
      </c>
      <c r="CK1081">
        <f>$C1081*CK1080</f>
        <v/>
      </c>
      <c r="CL1081">
        <f>$C1081*CL1080</f>
        <v/>
      </c>
      <c r="CM1081">
        <f>$C1081*CM1080</f>
        <v/>
      </c>
      <c r="CN1081">
        <f>$C1081*CN1080</f>
        <v/>
      </c>
      <c r="CO1081">
        <f>$C1081*CO1080</f>
        <v/>
      </c>
      <c r="CP1081">
        <f>$C1081*CP1080</f>
        <v/>
      </c>
      <c r="CQ1081">
        <f>$C1081*CQ1080</f>
        <v/>
      </c>
      <c r="CR1081">
        <f>$C1081*CR1080</f>
        <v/>
      </c>
      <c r="CS1081">
        <f>$C1081*CS1080</f>
        <v/>
      </c>
      <c r="CT1081">
        <f>$C1081*CT1080</f>
        <v/>
      </c>
      <c r="CU1081">
        <f>$C1081*CU1080</f>
        <v/>
      </c>
      <c r="CV1081">
        <f>$C1081*CV1080</f>
        <v/>
      </c>
      <c r="CW1081">
        <f>$C1081*CW1080</f>
        <v/>
      </c>
      <c r="CX1081">
        <f>$C1081*CX1080</f>
        <v/>
      </c>
      <c r="CY1081">
        <f>$C1081*CY1080</f>
        <v/>
      </c>
      <c r="CZ1081">
        <f>$C1081*CZ1080</f>
        <v/>
      </c>
      <c r="DA1081">
        <f>$C1081*DA1080</f>
        <v/>
      </c>
      <c r="DB1081">
        <f>$C1081*DB1080</f>
        <v/>
      </c>
      <c r="DC1081">
        <f>$C1081*DC1080</f>
        <v/>
      </c>
      <c r="DD1081">
        <f>$C1081*DD1080</f>
        <v/>
      </c>
    </row>
    <row r="1082">
      <c r="B1082" t="inlineStr">
        <is>
          <t>TSP-699</t>
        </is>
      </c>
      <c r="C1082" t="inlineStr">
        <is>
          <t>No. of batches</t>
        </is>
      </c>
      <c r="D1082">
        <f>IFERROR(INDEX(E1082:DD1082,$F$1),"")</f>
        <v/>
      </c>
      <c r="E1082">
        <f>IFERROR(INDEX(PP_Grid[#Data],$DE1082,2),0)</f>
        <v/>
      </c>
      <c r="F1082">
        <f>IFERROR(INDEX(PP_Grid[#Data],$DE1082,3),0)</f>
        <v/>
      </c>
      <c r="G1082">
        <f>IFERROR(INDEX(PP_Grid[#Data],$DE1082,4),0)</f>
        <v/>
      </c>
      <c r="H1082">
        <f>IFERROR(INDEX(PP_Grid[#Data],$DE1082,5),0)</f>
        <v/>
      </c>
      <c r="I1082">
        <f>IFERROR(INDEX(PP_Grid[#Data],$DE1082,6),0)</f>
        <v/>
      </c>
      <c r="J1082">
        <f>IFERROR(INDEX(PP_Grid[#Data],$DE1082,7),0)</f>
        <v/>
      </c>
      <c r="K1082">
        <f>IFERROR(INDEX(PP_Grid[#Data],$DE1082,8),0)</f>
        <v/>
      </c>
      <c r="L1082">
        <f>IFERROR(INDEX(PP_Grid[#Data],$DE1082,9),0)</f>
        <v/>
      </c>
      <c r="M1082">
        <f>IFERROR(INDEX(PP_Grid[#Data],$DE1082,10),0)</f>
        <v/>
      </c>
      <c r="N1082">
        <f>IFERROR(INDEX(PP_Grid[#Data],$DE1082,11),0)</f>
        <v/>
      </c>
      <c r="O1082">
        <f>IFERROR(INDEX(PP_Grid[#Data],$DE1082,12),0)</f>
        <v/>
      </c>
      <c r="P1082">
        <f>IFERROR(INDEX(PP_Grid[#Data],$DE1082,13),0)</f>
        <v/>
      </c>
      <c r="Q1082">
        <f>IFERROR(INDEX(PP_Grid[#Data],$DE1082,14),0)</f>
        <v/>
      </c>
      <c r="R1082">
        <f>IFERROR(INDEX(PP_Grid[#Data],$DE1082,15),0)</f>
        <v/>
      </c>
      <c r="S1082">
        <f>IFERROR(INDEX(PP_Grid[#Data],$DE1082,16),0)</f>
        <v/>
      </c>
      <c r="T1082">
        <f>IFERROR(INDEX(PP_Grid[#Data],$DE1082,17),0)</f>
        <v/>
      </c>
      <c r="U1082">
        <f>IFERROR(INDEX(PP_Grid[#Data],$DE1082,18),0)</f>
        <v/>
      </c>
      <c r="V1082">
        <f>IFERROR(INDEX(PP_Grid[#Data],$DE1082,19),0)</f>
        <v/>
      </c>
      <c r="W1082">
        <f>IFERROR(INDEX(PP_Grid[#Data],$DE1082,20),0)</f>
        <v/>
      </c>
      <c r="X1082">
        <f>IFERROR(INDEX(PP_Grid[#Data],$DE1082,21),0)</f>
        <v/>
      </c>
      <c r="Y1082">
        <f>IFERROR(INDEX(PP_Grid[#Data],$DE1082,22),0)</f>
        <v/>
      </c>
      <c r="Z1082">
        <f>IFERROR(INDEX(PP_Grid[#Data],$DE1082,23),0)</f>
        <v/>
      </c>
      <c r="AA1082">
        <f>IFERROR(INDEX(PP_Grid[#Data],$DE1082,24),0)</f>
        <v/>
      </c>
      <c r="AB1082">
        <f>IFERROR(INDEX(PP_Grid[#Data],$DE1082,25),0)</f>
        <v/>
      </c>
      <c r="AC1082">
        <f>IFERROR(INDEX(PP_Grid[#Data],$DE1082,26),0)</f>
        <v/>
      </c>
      <c r="AD1082">
        <f>IFERROR(INDEX(PP_Grid[#Data],$DE1082,27),0)</f>
        <v/>
      </c>
      <c r="AE1082">
        <f>IFERROR(INDEX(PP_Grid[#Data],$DE1082,28),0)</f>
        <v/>
      </c>
      <c r="AF1082">
        <f>IFERROR(INDEX(PP_Grid[#Data],$DE1082,29),0)</f>
        <v/>
      </c>
      <c r="AG1082">
        <f>IFERROR(INDEX(PP_Grid[#Data],$DE1082,30),0)</f>
        <v/>
      </c>
      <c r="AH1082">
        <f>IFERROR(INDEX(PP_Grid[#Data],$DE1082,31),0)</f>
        <v/>
      </c>
      <c r="AI1082">
        <f>IFERROR(INDEX(PP_Grid[#Data],$DE1082,32),0)</f>
        <v/>
      </c>
      <c r="AJ1082">
        <f>IFERROR(INDEX(PP_Grid[#Data],$DE1082,33),0)</f>
        <v/>
      </c>
      <c r="AK1082">
        <f>IFERROR(INDEX(PP_Grid[#Data],$DE1082,34),0)</f>
        <v/>
      </c>
      <c r="AL1082">
        <f>IFERROR(INDEX(PP_Grid[#Data],$DE1082,35),0)</f>
        <v/>
      </c>
      <c r="AM1082">
        <f>IFERROR(INDEX(PP_Grid[#Data],$DE1082,36),0)</f>
        <v/>
      </c>
      <c r="AN1082">
        <f>IFERROR(INDEX(PP_Grid[#Data],$DE1082,37),0)</f>
        <v/>
      </c>
      <c r="AO1082">
        <f>IFERROR(INDEX(PP_Grid[#Data],$DE1082,38),0)</f>
        <v/>
      </c>
      <c r="AP1082">
        <f>IFERROR(INDEX(PP_Grid[#Data],$DE1082,39),0)</f>
        <v/>
      </c>
      <c r="AQ1082">
        <f>IFERROR(INDEX(PP_Grid[#Data],$DE1082,40),0)</f>
        <v/>
      </c>
      <c r="AR1082">
        <f>IFERROR(INDEX(PP_Grid[#Data],$DE1082,41),0)</f>
        <v/>
      </c>
      <c r="AS1082">
        <f>IFERROR(INDEX(PP_Grid[#Data],$DE1082,42),0)</f>
        <v/>
      </c>
      <c r="AT1082">
        <f>IFERROR(INDEX(PP_Grid[#Data],$DE1082,43),0)</f>
        <v/>
      </c>
      <c r="AU1082">
        <f>IFERROR(INDEX(PP_Grid[#Data],$DE1082,44),0)</f>
        <v/>
      </c>
      <c r="AV1082">
        <f>IFERROR(INDEX(PP_Grid[#Data],$DE1082,45),0)</f>
        <v/>
      </c>
      <c r="AW1082">
        <f>IFERROR(INDEX(PP_Grid[#Data],$DE1082,46),0)</f>
        <v/>
      </c>
      <c r="AX1082">
        <f>IFERROR(INDEX(PP_Grid[#Data],$DE1082,47),0)</f>
        <v/>
      </c>
      <c r="AY1082">
        <f>IFERROR(INDEX(PP_Grid[#Data],$DE1082,48),0)</f>
        <v/>
      </c>
      <c r="AZ1082">
        <f>IFERROR(INDEX(PP_Grid[#Data],$DE1082,49),0)</f>
        <v/>
      </c>
      <c r="BA1082">
        <f>IFERROR(INDEX(PP_Grid[#Data],$DE1082,50),0)</f>
        <v/>
      </c>
      <c r="BB1082">
        <f>IFERROR(INDEX(PP_Grid[#Data],$DE1082,51),0)</f>
        <v/>
      </c>
      <c r="BC1082">
        <f>IFERROR(INDEX(PP_Grid[#Data],$DE1082,52),0)</f>
        <v/>
      </c>
      <c r="BD1082">
        <f>IFERROR(INDEX(PP_Grid[#Data],$DE1082,53),0)</f>
        <v/>
      </c>
      <c r="BE1082">
        <f>IFERROR(INDEX(PP_Grid[#Data],$DE1082,54),0)</f>
        <v/>
      </c>
      <c r="BF1082">
        <f>IFERROR(INDEX(PP_Grid[#Data],$DE1082,55),0)</f>
        <v/>
      </c>
      <c r="BG1082">
        <f>IFERROR(INDEX(PP_Grid[#Data],$DE1082,56),0)</f>
        <v/>
      </c>
      <c r="BH1082">
        <f>IFERROR(INDEX(PP_Grid[#Data],$DE1082,57),0)</f>
        <v/>
      </c>
      <c r="BI1082">
        <f>IFERROR(INDEX(PP_Grid[#Data],$DE1082,58),0)</f>
        <v/>
      </c>
      <c r="BJ1082">
        <f>IFERROR(INDEX(PP_Grid[#Data],$DE1082,59),0)</f>
        <v/>
      </c>
      <c r="BK1082">
        <f>IFERROR(INDEX(PP_Grid[#Data],$DE1082,60),0)</f>
        <v/>
      </c>
      <c r="BL1082">
        <f>IFERROR(INDEX(PP_Grid[#Data],$DE1082,61),0)</f>
        <v/>
      </c>
      <c r="BM1082">
        <f>IFERROR(INDEX(PP_Grid[#Data],$DE1082,62),0)</f>
        <v/>
      </c>
      <c r="BN1082">
        <f>IFERROR(INDEX(PP_Grid[#Data],$DE1082,63),0)</f>
        <v/>
      </c>
      <c r="BO1082">
        <f>IFERROR(INDEX(PP_Grid[#Data],$DE1082,64),0)</f>
        <v/>
      </c>
      <c r="BP1082">
        <f>IFERROR(INDEX(PP_Grid[#Data],$DE1082,65),0)</f>
        <v/>
      </c>
      <c r="BQ1082">
        <f>IFERROR(INDEX(PP_Grid[#Data],$DE1082,66),0)</f>
        <v/>
      </c>
      <c r="BR1082">
        <f>IFERROR(INDEX(PP_Grid[#Data],$DE1082,67),0)</f>
        <v/>
      </c>
      <c r="BS1082">
        <f>IFERROR(INDEX(PP_Grid[#Data],$DE1082,68),0)</f>
        <v/>
      </c>
      <c r="BT1082">
        <f>IFERROR(INDEX(PP_Grid[#Data],$DE1082,69),0)</f>
        <v/>
      </c>
      <c r="BU1082">
        <f>IFERROR(INDEX(PP_Grid[#Data],$DE1082,70),0)</f>
        <v/>
      </c>
      <c r="BV1082">
        <f>IFERROR(INDEX(PP_Grid[#Data],$DE1082,71),0)</f>
        <v/>
      </c>
      <c r="BW1082">
        <f>IFERROR(INDEX(PP_Grid[#Data],$DE1082,72),0)</f>
        <v/>
      </c>
      <c r="BX1082">
        <f>IFERROR(INDEX(PP_Grid[#Data],$DE1082,73),0)</f>
        <v/>
      </c>
      <c r="BY1082">
        <f>IFERROR(INDEX(PP_Grid[#Data],$DE1082,74),0)</f>
        <v/>
      </c>
      <c r="BZ1082">
        <f>IFERROR(INDEX(PP_Grid[#Data],$DE1082,75),0)</f>
        <v/>
      </c>
      <c r="CA1082">
        <f>IFERROR(INDEX(PP_Grid[#Data],$DE1082,76),0)</f>
        <v/>
      </c>
      <c r="CB1082">
        <f>IFERROR(INDEX(PP_Grid[#Data],$DE1082,77),0)</f>
        <v/>
      </c>
      <c r="CC1082">
        <f>IFERROR(INDEX(PP_Grid[#Data],$DE1082,78),0)</f>
        <v/>
      </c>
      <c r="CD1082">
        <f>IFERROR(INDEX(PP_Grid[#Data],$DE1082,79),0)</f>
        <v/>
      </c>
      <c r="CE1082">
        <f>IFERROR(INDEX(PP_Grid[#Data],$DE1082,80),0)</f>
        <v/>
      </c>
      <c r="CF1082">
        <f>IFERROR(INDEX(PP_Grid[#Data],$DE1082,81),0)</f>
        <v/>
      </c>
      <c r="CG1082">
        <f>IFERROR(INDEX(PP_Grid[#Data],$DE1082,82),0)</f>
        <v/>
      </c>
      <c r="CH1082">
        <f>IFERROR(INDEX(PP_Grid[#Data],$DE1082,83),0)</f>
        <v/>
      </c>
      <c r="CI1082">
        <f>IFERROR(INDEX(PP_Grid[#Data],$DE1082,84),0)</f>
        <v/>
      </c>
      <c r="CJ1082">
        <f>IFERROR(INDEX(PP_Grid[#Data],$DE1082,85),0)</f>
        <v/>
      </c>
      <c r="CK1082">
        <f>IFERROR(INDEX(PP_Grid[#Data],$DE1082,86),0)</f>
        <v/>
      </c>
      <c r="CL1082">
        <f>IFERROR(INDEX(PP_Grid[#Data],$DE1082,87),0)</f>
        <v/>
      </c>
      <c r="CM1082">
        <f>IFERROR(INDEX(PP_Grid[#Data],$DE1082,88),0)</f>
        <v/>
      </c>
      <c r="CN1082">
        <f>IFERROR(INDEX(PP_Grid[#Data],$DE1082,89),0)</f>
        <v/>
      </c>
      <c r="CO1082">
        <f>IFERROR(INDEX(PP_Grid[#Data],$DE1082,90),0)</f>
        <v/>
      </c>
      <c r="CP1082">
        <f>IFERROR(INDEX(PP_Grid[#Data],$DE1082,91),0)</f>
        <v/>
      </c>
      <c r="CQ1082">
        <f>IFERROR(INDEX(PP_Grid[#Data],$DE1082,92),0)</f>
        <v/>
      </c>
      <c r="CR1082">
        <f>IFERROR(INDEX(PP_Grid[#Data],$DE1082,93),0)</f>
        <v/>
      </c>
      <c r="CS1082">
        <f>IFERROR(INDEX(PP_Grid[#Data],$DE1082,94),0)</f>
        <v/>
      </c>
      <c r="CT1082">
        <f>IFERROR(INDEX(PP_Grid[#Data],$DE1082,95),0)</f>
        <v/>
      </c>
      <c r="CU1082">
        <f>IFERROR(INDEX(PP_Grid[#Data],$DE1082,96),0)</f>
        <v/>
      </c>
      <c r="CV1082">
        <f>IFERROR(INDEX(PP_Grid[#Data],$DE1082,97),0)</f>
        <v/>
      </c>
      <c r="CW1082">
        <f>IFERROR(INDEX(PP_Grid[#Data],$DE1082,98),0)</f>
        <v/>
      </c>
      <c r="CX1082">
        <f>IFERROR(INDEX(PP_Grid[#Data],$DE1082,99),0)</f>
        <v/>
      </c>
      <c r="CY1082">
        <f>IFERROR(INDEX(PP_Grid[#Data],$DE1082,100),0)</f>
        <v/>
      </c>
      <c r="CZ1082">
        <f>IFERROR(INDEX(PP_Grid[#Data],$DE1082,101),0)</f>
        <v/>
      </c>
      <c r="DA1082">
        <f>IFERROR(INDEX(PP_Grid[#Data],$DE1082,102),0)</f>
        <v/>
      </c>
      <c r="DB1082">
        <f>IFERROR(INDEX(PP_Grid[#Data],$DE1082,103),0)</f>
        <v/>
      </c>
      <c r="DC1082">
        <f>IFERROR(INDEX(PP_Grid[#Data],$DE1082,104),0)</f>
        <v/>
      </c>
      <c r="DD1082">
        <f>IFERROR(INDEX(PP_Grid[#Data],$DE1082,105),0)</f>
        <v/>
      </c>
      <c r="DE1082" s="7">
        <f>IFERROR(MATCH($B1082,PP_Grid[Intermediate],0),99999)</f>
        <v/>
      </c>
    </row>
    <row r="1083">
      <c r="B1083" t="inlineStr">
        <is>
          <t>使用量(kg)</t>
        </is>
      </c>
      <c r="C1083">
        <f>SUMIFS(M_BOM[RM_Qty_Per_Batch],M_BOM[Intermediate],$B1082,M_BOM[RM_Code],$A1071)</f>
        <v/>
      </c>
      <c r="D1083">
        <f>IFERROR(INDEX(E1083:DD1083,$F$1),"")</f>
        <v/>
      </c>
      <c r="E1083">
        <f>$C1083*E1082</f>
        <v/>
      </c>
      <c r="F1083">
        <f>$C1083*F1082</f>
        <v/>
      </c>
      <c r="G1083">
        <f>$C1083*G1082</f>
        <v/>
      </c>
      <c r="H1083">
        <f>$C1083*H1082</f>
        <v/>
      </c>
      <c r="I1083">
        <f>$C1083*I1082</f>
        <v/>
      </c>
      <c r="J1083">
        <f>$C1083*J1082</f>
        <v/>
      </c>
      <c r="K1083">
        <f>$C1083*K1082</f>
        <v/>
      </c>
      <c r="L1083">
        <f>$C1083*L1082</f>
        <v/>
      </c>
      <c r="M1083">
        <f>$C1083*M1082</f>
        <v/>
      </c>
      <c r="N1083">
        <f>$C1083*N1082</f>
        <v/>
      </c>
      <c r="O1083">
        <f>$C1083*O1082</f>
        <v/>
      </c>
      <c r="P1083">
        <f>$C1083*P1082</f>
        <v/>
      </c>
      <c r="Q1083">
        <f>$C1083*Q1082</f>
        <v/>
      </c>
      <c r="R1083">
        <f>$C1083*R1082</f>
        <v/>
      </c>
      <c r="S1083">
        <f>$C1083*S1082</f>
        <v/>
      </c>
      <c r="T1083">
        <f>$C1083*T1082</f>
        <v/>
      </c>
      <c r="U1083">
        <f>$C1083*U1082</f>
        <v/>
      </c>
      <c r="V1083">
        <f>$C1083*V1082</f>
        <v/>
      </c>
      <c r="W1083">
        <f>$C1083*W1082</f>
        <v/>
      </c>
      <c r="X1083">
        <f>$C1083*X1082</f>
        <v/>
      </c>
      <c r="Y1083">
        <f>$C1083*Y1082</f>
        <v/>
      </c>
      <c r="Z1083">
        <f>$C1083*Z1082</f>
        <v/>
      </c>
      <c r="AA1083">
        <f>$C1083*AA1082</f>
        <v/>
      </c>
      <c r="AB1083">
        <f>$C1083*AB1082</f>
        <v/>
      </c>
      <c r="AC1083">
        <f>$C1083*AC1082</f>
        <v/>
      </c>
      <c r="AD1083">
        <f>$C1083*AD1082</f>
        <v/>
      </c>
      <c r="AE1083">
        <f>$C1083*AE1082</f>
        <v/>
      </c>
      <c r="AF1083">
        <f>$C1083*AF1082</f>
        <v/>
      </c>
      <c r="AG1083">
        <f>$C1083*AG1082</f>
        <v/>
      </c>
      <c r="AH1083">
        <f>$C1083*AH1082</f>
        <v/>
      </c>
      <c r="AI1083">
        <f>$C1083*AI1082</f>
        <v/>
      </c>
      <c r="AJ1083">
        <f>$C1083*AJ1082</f>
        <v/>
      </c>
      <c r="AK1083">
        <f>$C1083*AK1082</f>
        <v/>
      </c>
      <c r="AL1083">
        <f>$C1083*AL1082</f>
        <v/>
      </c>
      <c r="AM1083">
        <f>$C1083*AM1082</f>
        <v/>
      </c>
      <c r="AN1083">
        <f>$C1083*AN1082</f>
        <v/>
      </c>
      <c r="AO1083">
        <f>$C1083*AO1082</f>
        <v/>
      </c>
      <c r="AP1083">
        <f>$C1083*AP1082</f>
        <v/>
      </c>
      <c r="AQ1083">
        <f>$C1083*AQ1082</f>
        <v/>
      </c>
      <c r="AR1083">
        <f>$C1083*AR1082</f>
        <v/>
      </c>
      <c r="AS1083">
        <f>$C1083*AS1082</f>
        <v/>
      </c>
      <c r="AT1083">
        <f>$C1083*AT1082</f>
        <v/>
      </c>
      <c r="AU1083">
        <f>$C1083*AU1082</f>
        <v/>
      </c>
      <c r="AV1083">
        <f>$C1083*AV1082</f>
        <v/>
      </c>
      <c r="AW1083">
        <f>$C1083*AW1082</f>
        <v/>
      </c>
      <c r="AX1083">
        <f>$C1083*AX1082</f>
        <v/>
      </c>
      <c r="AY1083">
        <f>$C1083*AY1082</f>
        <v/>
      </c>
      <c r="AZ1083">
        <f>$C1083*AZ1082</f>
        <v/>
      </c>
      <c r="BA1083">
        <f>$C1083*BA1082</f>
        <v/>
      </c>
      <c r="BB1083">
        <f>$C1083*BB1082</f>
        <v/>
      </c>
      <c r="BC1083">
        <f>$C1083*BC1082</f>
        <v/>
      </c>
      <c r="BD1083">
        <f>$C1083*BD1082</f>
        <v/>
      </c>
      <c r="BE1083">
        <f>$C1083*BE1082</f>
        <v/>
      </c>
      <c r="BF1083">
        <f>$C1083*BF1082</f>
        <v/>
      </c>
      <c r="BG1083">
        <f>$C1083*BG1082</f>
        <v/>
      </c>
      <c r="BH1083">
        <f>$C1083*BH1082</f>
        <v/>
      </c>
      <c r="BI1083">
        <f>$C1083*BI1082</f>
        <v/>
      </c>
      <c r="BJ1083">
        <f>$C1083*BJ1082</f>
        <v/>
      </c>
      <c r="BK1083">
        <f>$C1083*BK1082</f>
        <v/>
      </c>
      <c r="BL1083">
        <f>$C1083*BL1082</f>
        <v/>
      </c>
      <c r="BM1083">
        <f>$C1083*BM1082</f>
        <v/>
      </c>
      <c r="BN1083">
        <f>$C1083*BN1082</f>
        <v/>
      </c>
      <c r="BO1083">
        <f>$C1083*BO1082</f>
        <v/>
      </c>
      <c r="BP1083">
        <f>$C1083*BP1082</f>
        <v/>
      </c>
      <c r="BQ1083">
        <f>$C1083*BQ1082</f>
        <v/>
      </c>
      <c r="BR1083">
        <f>$C1083*BR1082</f>
        <v/>
      </c>
      <c r="BS1083">
        <f>$C1083*BS1082</f>
        <v/>
      </c>
      <c r="BT1083">
        <f>$C1083*BT1082</f>
        <v/>
      </c>
      <c r="BU1083">
        <f>$C1083*BU1082</f>
        <v/>
      </c>
      <c r="BV1083">
        <f>$C1083*BV1082</f>
        <v/>
      </c>
      <c r="BW1083">
        <f>$C1083*BW1082</f>
        <v/>
      </c>
      <c r="BX1083">
        <f>$C1083*BX1082</f>
        <v/>
      </c>
      <c r="BY1083">
        <f>$C1083*BY1082</f>
        <v/>
      </c>
      <c r="BZ1083">
        <f>$C1083*BZ1082</f>
        <v/>
      </c>
      <c r="CA1083">
        <f>$C1083*CA1082</f>
        <v/>
      </c>
      <c r="CB1083">
        <f>$C1083*CB1082</f>
        <v/>
      </c>
      <c r="CC1083">
        <f>$C1083*CC1082</f>
        <v/>
      </c>
      <c r="CD1083">
        <f>$C1083*CD1082</f>
        <v/>
      </c>
      <c r="CE1083">
        <f>$C1083*CE1082</f>
        <v/>
      </c>
      <c r="CF1083">
        <f>$C1083*CF1082</f>
        <v/>
      </c>
      <c r="CG1083">
        <f>$C1083*CG1082</f>
        <v/>
      </c>
      <c r="CH1083">
        <f>$C1083*CH1082</f>
        <v/>
      </c>
      <c r="CI1083">
        <f>$C1083*CI1082</f>
        <v/>
      </c>
      <c r="CJ1083">
        <f>$C1083*CJ1082</f>
        <v/>
      </c>
      <c r="CK1083">
        <f>$C1083*CK1082</f>
        <v/>
      </c>
      <c r="CL1083">
        <f>$C1083*CL1082</f>
        <v/>
      </c>
      <c r="CM1083">
        <f>$C1083*CM1082</f>
        <v/>
      </c>
      <c r="CN1083">
        <f>$C1083*CN1082</f>
        <v/>
      </c>
      <c r="CO1083">
        <f>$C1083*CO1082</f>
        <v/>
      </c>
      <c r="CP1083">
        <f>$C1083*CP1082</f>
        <v/>
      </c>
      <c r="CQ1083">
        <f>$C1083*CQ1082</f>
        <v/>
      </c>
      <c r="CR1083">
        <f>$C1083*CR1082</f>
        <v/>
      </c>
      <c r="CS1083">
        <f>$C1083*CS1082</f>
        <v/>
      </c>
      <c r="CT1083">
        <f>$C1083*CT1082</f>
        <v/>
      </c>
      <c r="CU1083">
        <f>$C1083*CU1082</f>
        <v/>
      </c>
      <c r="CV1083">
        <f>$C1083*CV1082</f>
        <v/>
      </c>
      <c r="CW1083">
        <f>$C1083*CW1082</f>
        <v/>
      </c>
      <c r="CX1083">
        <f>$C1083*CX1082</f>
        <v/>
      </c>
      <c r="CY1083">
        <f>$C1083*CY1082</f>
        <v/>
      </c>
      <c r="CZ1083">
        <f>$C1083*CZ1082</f>
        <v/>
      </c>
      <c r="DA1083">
        <f>$C1083*DA1082</f>
        <v/>
      </c>
      <c r="DB1083">
        <f>$C1083*DB1082</f>
        <v/>
      </c>
      <c r="DC1083">
        <f>$C1083*DC1082</f>
        <v/>
      </c>
      <c r="DD1083">
        <f>$C1083*DD1082</f>
        <v/>
      </c>
    </row>
    <row r="1084">
      <c r="B1084" t="inlineStr">
        <is>
          <t>TSP-828</t>
        </is>
      </c>
      <c r="C1084" t="inlineStr">
        <is>
          <t>No. of batches</t>
        </is>
      </c>
      <c r="D1084">
        <f>IFERROR(INDEX(E1084:DD1084,$F$1),"")</f>
        <v/>
      </c>
      <c r="E1084">
        <f>IFERROR(INDEX(PP_Grid[#Data],$DE1084,2),0)</f>
        <v/>
      </c>
      <c r="F1084">
        <f>IFERROR(INDEX(PP_Grid[#Data],$DE1084,3),0)</f>
        <v/>
      </c>
      <c r="G1084">
        <f>IFERROR(INDEX(PP_Grid[#Data],$DE1084,4),0)</f>
        <v/>
      </c>
      <c r="H1084">
        <f>IFERROR(INDEX(PP_Grid[#Data],$DE1084,5),0)</f>
        <v/>
      </c>
      <c r="I1084">
        <f>IFERROR(INDEX(PP_Grid[#Data],$DE1084,6),0)</f>
        <v/>
      </c>
      <c r="J1084">
        <f>IFERROR(INDEX(PP_Grid[#Data],$DE1084,7),0)</f>
        <v/>
      </c>
      <c r="K1084">
        <f>IFERROR(INDEX(PP_Grid[#Data],$DE1084,8),0)</f>
        <v/>
      </c>
      <c r="L1084">
        <f>IFERROR(INDEX(PP_Grid[#Data],$DE1084,9),0)</f>
        <v/>
      </c>
      <c r="M1084">
        <f>IFERROR(INDEX(PP_Grid[#Data],$DE1084,10),0)</f>
        <v/>
      </c>
      <c r="N1084">
        <f>IFERROR(INDEX(PP_Grid[#Data],$DE1084,11),0)</f>
        <v/>
      </c>
      <c r="O1084">
        <f>IFERROR(INDEX(PP_Grid[#Data],$DE1084,12),0)</f>
        <v/>
      </c>
      <c r="P1084">
        <f>IFERROR(INDEX(PP_Grid[#Data],$DE1084,13),0)</f>
        <v/>
      </c>
      <c r="Q1084">
        <f>IFERROR(INDEX(PP_Grid[#Data],$DE1084,14),0)</f>
        <v/>
      </c>
      <c r="R1084">
        <f>IFERROR(INDEX(PP_Grid[#Data],$DE1084,15),0)</f>
        <v/>
      </c>
      <c r="S1084">
        <f>IFERROR(INDEX(PP_Grid[#Data],$DE1084,16),0)</f>
        <v/>
      </c>
      <c r="T1084">
        <f>IFERROR(INDEX(PP_Grid[#Data],$DE1084,17),0)</f>
        <v/>
      </c>
      <c r="U1084">
        <f>IFERROR(INDEX(PP_Grid[#Data],$DE1084,18),0)</f>
        <v/>
      </c>
      <c r="V1084">
        <f>IFERROR(INDEX(PP_Grid[#Data],$DE1084,19),0)</f>
        <v/>
      </c>
      <c r="W1084">
        <f>IFERROR(INDEX(PP_Grid[#Data],$DE1084,20),0)</f>
        <v/>
      </c>
      <c r="X1084">
        <f>IFERROR(INDEX(PP_Grid[#Data],$DE1084,21),0)</f>
        <v/>
      </c>
      <c r="Y1084">
        <f>IFERROR(INDEX(PP_Grid[#Data],$DE1084,22),0)</f>
        <v/>
      </c>
      <c r="Z1084">
        <f>IFERROR(INDEX(PP_Grid[#Data],$DE1084,23),0)</f>
        <v/>
      </c>
      <c r="AA1084">
        <f>IFERROR(INDEX(PP_Grid[#Data],$DE1084,24),0)</f>
        <v/>
      </c>
      <c r="AB1084">
        <f>IFERROR(INDEX(PP_Grid[#Data],$DE1084,25),0)</f>
        <v/>
      </c>
      <c r="AC1084">
        <f>IFERROR(INDEX(PP_Grid[#Data],$DE1084,26),0)</f>
        <v/>
      </c>
      <c r="AD1084">
        <f>IFERROR(INDEX(PP_Grid[#Data],$DE1084,27),0)</f>
        <v/>
      </c>
      <c r="AE1084">
        <f>IFERROR(INDEX(PP_Grid[#Data],$DE1084,28),0)</f>
        <v/>
      </c>
      <c r="AF1084">
        <f>IFERROR(INDEX(PP_Grid[#Data],$DE1084,29),0)</f>
        <v/>
      </c>
      <c r="AG1084">
        <f>IFERROR(INDEX(PP_Grid[#Data],$DE1084,30),0)</f>
        <v/>
      </c>
      <c r="AH1084">
        <f>IFERROR(INDEX(PP_Grid[#Data],$DE1084,31),0)</f>
        <v/>
      </c>
      <c r="AI1084">
        <f>IFERROR(INDEX(PP_Grid[#Data],$DE1084,32),0)</f>
        <v/>
      </c>
      <c r="AJ1084">
        <f>IFERROR(INDEX(PP_Grid[#Data],$DE1084,33),0)</f>
        <v/>
      </c>
      <c r="AK1084">
        <f>IFERROR(INDEX(PP_Grid[#Data],$DE1084,34),0)</f>
        <v/>
      </c>
      <c r="AL1084">
        <f>IFERROR(INDEX(PP_Grid[#Data],$DE1084,35),0)</f>
        <v/>
      </c>
      <c r="AM1084">
        <f>IFERROR(INDEX(PP_Grid[#Data],$DE1084,36),0)</f>
        <v/>
      </c>
      <c r="AN1084">
        <f>IFERROR(INDEX(PP_Grid[#Data],$DE1084,37),0)</f>
        <v/>
      </c>
      <c r="AO1084">
        <f>IFERROR(INDEX(PP_Grid[#Data],$DE1084,38),0)</f>
        <v/>
      </c>
      <c r="AP1084">
        <f>IFERROR(INDEX(PP_Grid[#Data],$DE1084,39),0)</f>
        <v/>
      </c>
      <c r="AQ1084">
        <f>IFERROR(INDEX(PP_Grid[#Data],$DE1084,40),0)</f>
        <v/>
      </c>
      <c r="AR1084">
        <f>IFERROR(INDEX(PP_Grid[#Data],$DE1084,41),0)</f>
        <v/>
      </c>
      <c r="AS1084">
        <f>IFERROR(INDEX(PP_Grid[#Data],$DE1084,42),0)</f>
        <v/>
      </c>
      <c r="AT1084">
        <f>IFERROR(INDEX(PP_Grid[#Data],$DE1084,43),0)</f>
        <v/>
      </c>
      <c r="AU1084">
        <f>IFERROR(INDEX(PP_Grid[#Data],$DE1084,44),0)</f>
        <v/>
      </c>
      <c r="AV1084">
        <f>IFERROR(INDEX(PP_Grid[#Data],$DE1084,45),0)</f>
        <v/>
      </c>
      <c r="AW1084">
        <f>IFERROR(INDEX(PP_Grid[#Data],$DE1084,46),0)</f>
        <v/>
      </c>
      <c r="AX1084">
        <f>IFERROR(INDEX(PP_Grid[#Data],$DE1084,47),0)</f>
        <v/>
      </c>
      <c r="AY1084">
        <f>IFERROR(INDEX(PP_Grid[#Data],$DE1084,48),0)</f>
        <v/>
      </c>
      <c r="AZ1084">
        <f>IFERROR(INDEX(PP_Grid[#Data],$DE1084,49),0)</f>
        <v/>
      </c>
      <c r="BA1084">
        <f>IFERROR(INDEX(PP_Grid[#Data],$DE1084,50),0)</f>
        <v/>
      </c>
      <c r="BB1084">
        <f>IFERROR(INDEX(PP_Grid[#Data],$DE1084,51),0)</f>
        <v/>
      </c>
      <c r="BC1084">
        <f>IFERROR(INDEX(PP_Grid[#Data],$DE1084,52),0)</f>
        <v/>
      </c>
      <c r="BD1084">
        <f>IFERROR(INDEX(PP_Grid[#Data],$DE1084,53),0)</f>
        <v/>
      </c>
      <c r="BE1084">
        <f>IFERROR(INDEX(PP_Grid[#Data],$DE1084,54),0)</f>
        <v/>
      </c>
      <c r="BF1084">
        <f>IFERROR(INDEX(PP_Grid[#Data],$DE1084,55),0)</f>
        <v/>
      </c>
      <c r="BG1084">
        <f>IFERROR(INDEX(PP_Grid[#Data],$DE1084,56),0)</f>
        <v/>
      </c>
      <c r="BH1084">
        <f>IFERROR(INDEX(PP_Grid[#Data],$DE1084,57),0)</f>
        <v/>
      </c>
      <c r="BI1084">
        <f>IFERROR(INDEX(PP_Grid[#Data],$DE1084,58),0)</f>
        <v/>
      </c>
      <c r="BJ1084">
        <f>IFERROR(INDEX(PP_Grid[#Data],$DE1084,59),0)</f>
        <v/>
      </c>
      <c r="BK1084">
        <f>IFERROR(INDEX(PP_Grid[#Data],$DE1084,60),0)</f>
        <v/>
      </c>
      <c r="BL1084">
        <f>IFERROR(INDEX(PP_Grid[#Data],$DE1084,61),0)</f>
        <v/>
      </c>
      <c r="BM1084">
        <f>IFERROR(INDEX(PP_Grid[#Data],$DE1084,62),0)</f>
        <v/>
      </c>
      <c r="BN1084">
        <f>IFERROR(INDEX(PP_Grid[#Data],$DE1084,63),0)</f>
        <v/>
      </c>
      <c r="BO1084">
        <f>IFERROR(INDEX(PP_Grid[#Data],$DE1084,64),0)</f>
        <v/>
      </c>
      <c r="BP1084">
        <f>IFERROR(INDEX(PP_Grid[#Data],$DE1084,65),0)</f>
        <v/>
      </c>
      <c r="BQ1084">
        <f>IFERROR(INDEX(PP_Grid[#Data],$DE1084,66),0)</f>
        <v/>
      </c>
      <c r="BR1084">
        <f>IFERROR(INDEX(PP_Grid[#Data],$DE1084,67),0)</f>
        <v/>
      </c>
      <c r="BS1084">
        <f>IFERROR(INDEX(PP_Grid[#Data],$DE1084,68),0)</f>
        <v/>
      </c>
      <c r="BT1084">
        <f>IFERROR(INDEX(PP_Grid[#Data],$DE1084,69),0)</f>
        <v/>
      </c>
      <c r="BU1084">
        <f>IFERROR(INDEX(PP_Grid[#Data],$DE1084,70),0)</f>
        <v/>
      </c>
      <c r="BV1084">
        <f>IFERROR(INDEX(PP_Grid[#Data],$DE1084,71),0)</f>
        <v/>
      </c>
      <c r="BW1084">
        <f>IFERROR(INDEX(PP_Grid[#Data],$DE1084,72),0)</f>
        <v/>
      </c>
      <c r="BX1084">
        <f>IFERROR(INDEX(PP_Grid[#Data],$DE1084,73),0)</f>
        <v/>
      </c>
      <c r="BY1084">
        <f>IFERROR(INDEX(PP_Grid[#Data],$DE1084,74),0)</f>
        <v/>
      </c>
      <c r="BZ1084">
        <f>IFERROR(INDEX(PP_Grid[#Data],$DE1084,75),0)</f>
        <v/>
      </c>
      <c r="CA1084">
        <f>IFERROR(INDEX(PP_Grid[#Data],$DE1084,76),0)</f>
        <v/>
      </c>
      <c r="CB1084">
        <f>IFERROR(INDEX(PP_Grid[#Data],$DE1084,77),0)</f>
        <v/>
      </c>
      <c r="CC1084">
        <f>IFERROR(INDEX(PP_Grid[#Data],$DE1084,78),0)</f>
        <v/>
      </c>
      <c r="CD1084">
        <f>IFERROR(INDEX(PP_Grid[#Data],$DE1084,79),0)</f>
        <v/>
      </c>
      <c r="CE1084">
        <f>IFERROR(INDEX(PP_Grid[#Data],$DE1084,80),0)</f>
        <v/>
      </c>
      <c r="CF1084">
        <f>IFERROR(INDEX(PP_Grid[#Data],$DE1084,81),0)</f>
        <v/>
      </c>
      <c r="CG1084">
        <f>IFERROR(INDEX(PP_Grid[#Data],$DE1084,82),0)</f>
        <v/>
      </c>
      <c r="CH1084">
        <f>IFERROR(INDEX(PP_Grid[#Data],$DE1084,83),0)</f>
        <v/>
      </c>
      <c r="CI1084">
        <f>IFERROR(INDEX(PP_Grid[#Data],$DE1084,84),0)</f>
        <v/>
      </c>
      <c r="CJ1084">
        <f>IFERROR(INDEX(PP_Grid[#Data],$DE1084,85),0)</f>
        <v/>
      </c>
      <c r="CK1084">
        <f>IFERROR(INDEX(PP_Grid[#Data],$DE1084,86),0)</f>
        <v/>
      </c>
      <c r="CL1084">
        <f>IFERROR(INDEX(PP_Grid[#Data],$DE1084,87),0)</f>
        <v/>
      </c>
      <c r="CM1084">
        <f>IFERROR(INDEX(PP_Grid[#Data],$DE1084,88),0)</f>
        <v/>
      </c>
      <c r="CN1084">
        <f>IFERROR(INDEX(PP_Grid[#Data],$DE1084,89),0)</f>
        <v/>
      </c>
      <c r="CO1084">
        <f>IFERROR(INDEX(PP_Grid[#Data],$DE1084,90),0)</f>
        <v/>
      </c>
      <c r="CP1084">
        <f>IFERROR(INDEX(PP_Grid[#Data],$DE1084,91),0)</f>
        <v/>
      </c>
      <c r="CQ1084">
        <f>IFERROR(INDEX(PP_Grid[#Data],$DE1084,92),0)</f>
        <v/>
      </c>
      <c r="CR1084">
        <f>IFERROR(INDEX(PP_Grid[#Data],$DE1084,93),0)</f>
        <v/>
      </c>
      <c r="CS1084">
        <f>IFERROR(INDEX(PP_Grid[#Data],$DE1084,94),0)</f>
        <v/>
      </c>
      <c r="CT1084">
        <f>IFERROR(INDEX(PP_Grid[#Data],$DE1084,95),0)</f>
        <v/>
      </c>
      <c r="CU1084">
        <f>IFERROR(INDEX(PP_Grid[#Data],$DE1084,96),0)</f>
        <v/>
      </c>
      <c r="CV1084">
        <f>IFERROR(INDEX(PP_Grid[#Data],$DE1084,97),0)</f>
        <v/>
      </c>
      <c r="CW1084">
        <f>IFERROR(INDEX(PP_Grid[#Data],$DE1084,98),0)</f>
        <v/>
      </c>
      <c r="CX1084">
        <f>IFERROR(INDEX(PP_Grid[#Data],$DE1084,99),0)</f>
        <v/>
      </c>
      <c r="CY1084">
        <f>IFERROR(INDEX(PP_Grid[#Data],$DE1084,100),0)</f>
        <v/>
      </c>
      <c r="CZ1084">
        <f>IFERROR(INDEX(PP_Grid[#Data],$DE1084,101),0)</f>
        <v/>
      </c>
      <c r="DA1084">
        <f>IFERROR(INDEX(PP_Grid[#Data],$DE1084,102),0)</f>
        <v/>
      </c>
      <c r="DB1084">
        <f>IFERROR(INDEX(PP_Grid[#Data],$DE1084,103),0)</f>
        <v/>
      </c>
      <c r="DC1084">
        <f>IFERROR(INDEX(PP_Grid[#Data],$DE1084,104),0)</f>
        <v/>
      </c>
      <c r="DD1084">
        <f>IFERROR(INDEX(PP_Grid[#Data],$DE1084,105),0)</f>
        <v/>
      </c>
      <c r="DE1084" s="7">
        <f>IFERROR(MATCH($B1084,PP_Grid[Intermediate],0),99999)</f>
        <v/>
      </c>
    </row>
    <row r="1085">
      <c r="B1085" t="inlineStr">
        <is>
          <t>使用量(kg)</t>
        </is>
      </c>
      <c r="C1085">
        <f>SUMIFS(M_BOM[RM_Qty_Per_Batch],M_BOM[Intermediate],$B1084,M_BOM[RM_Code],$A1071)</f>
        <v/>
      </c>
      <c r="D1085">
        <f>IFERROR(INDEX(E1085:DD1085,$F$1),"")</f>
        <v/>
      </c>
      <c r="E1085">
        <f>$C1085*E1084</f>
        <v/>
      </c>
      <c r="F1085">
        <f>$C1085*F1084</f>
        <v/>
      </c>
      <c r="G1085">
        <f>$C1085*G1084</f>
        <v/>
      </c>
      <c r="H1085">
        <f>$C1085*H1084</f>
        <v/>
      </c>
      <c r="I1085">
        <f>$C1085*I1084</f>
        <v/>
      </c>
      <c r="J1085">
        <f>$C1085*J1084</f>
        <v/>
      </c>
      <c r="K1085">
        <f>$C1085*K1084</f>
        <v/>
      </c>
      <c r="L1085">
        <f>$C1085*L1084</f>
        <v/>
      </c>
      <c r="M1085">
        <f>$C1085*M1084</f>
        <v/>
      </c>
      <c r="N1085">
        <f>$C1085*N1084</f>
        <v/>
      </c>
      <c r="O1085">
        <f>$C1085*O1084</f>
        <v/>
      </c>
      <c r="P1085">
        <f>$C1085*P1084</f>
        <v/>
      </c>
      <c r="Q1085">
        <f>$C1085*Q1084</f>
        <v/>
      </c>
      <c r="R1085">
        <f>$C1085*R1084</f>
        <v/>
      </c>
      <c r="S1085">
        <f>$C1085*S1084</f>
        <v/>
      </c>
      <c r="T1085">
        <f>$C1085*T1084</f>
        <v/>
      </c>
      <c r="U1085">
        <f>$C1085*U1084</f>
        <v/>
      </c>
      <c r="V1085">
        <f>$C1085*V1084</f>
        <v/>
      </c>
      <c r="W1085">
        <f>$C1085*W1084</f>
        <v/>
      </c>
      <c r="X1085">
        <f>$C1085*X1084</f>
        <v/>
      </c>
      <c r="Y1085">
        <f>$C1085*Y1084</f>
        <v/>
      </c>
      <c r="Z1085">
        <f>$C1085*Z1084</f>
        <v/>
      </c>
      <c r="AA1085">
        <f>$C1085*AA1084</f>
        <v/>
      </c>
      <c r="AB1085">
        <f>$C1085*AB1084</f>
        <v/>
      </c>
      <c r="AC1085">
        <f>$C1085*AC1084</f>
        <v/>
      </c>
      <c r="AD1085">
        <f>$C1085*AD1084</f>
        <v/>
      </c>
      <c r="AE1085">
        <f>$C1085*AE1084</f>
        <v/>
      </c>
      <c r="AF1085">
        <f>$C1085*AF1084</f>
        <v/>
      </c>
      <c r="AG1085">
        <f>$C1085*AG1084</f>
        <v/>
      </c>
      <c r="AH1085">
        <f>$C1085*AH1084</f>
        <v/>
      </c>
      <c r="AI1085">
        <f>$C1085*AI1084</f>
        <v/>
      </c>
      <c r="AJ1085">
        <f>$C1085*AJ1084</f>
        <v/>
      </c>
      <c r="AK1085">
        <f>$C1085*AK1084</f>
        <v/>
      </c>
      <c r="AL1085">
        <f>$C1085*AL1084</f>
        <v/>
      </c>
      <c r="AM1085">
        <f>$C1085*AM1084</f>
        <v/>
      </c>
      <c r="AN1085">
        <f>$C1085*AN1084</f>
        <v/>
      </c>
      <c r="AO1085">
        <f>$C1085*AO1084</f>
        <v/>
      </c>
      <c r="AP1085">
        <f>$C1085*AP1084</f>
        <v/>
      </c>
      <c r="AQ1085">
        <f>$C1085*AQ1084</f>
        <v/>
      </c>
      <c r="AR1085">
        <f>$C1085*AR1084</f>
        <v/>
      </c>
      <c r="AS1085">
        <f>$C1085*AS1084</f>
        <v/>
      </c>
      <c r="AT1085">
        <f>$C1085*AT1084</f>
        <v/>
      </c>
      <c r="AU1085">
        <f>$C1085*AU1084</f>
        <v/>
      </c>
      <c r="AV1085">
        <f>$C1085*AV1084</f>
        <v/>
      </c>
      <c r="AW1085">
        <f>$C1085*AW1084</f>
        <v/>
      </c>
      <c r="AX1085">
        <f>$C1085*AX1084</f>
        <v/>
      </c>
      <c r="AY1085">
        <f>$C1085*AY1084</f>
        <v/>
      </c>
      <c r="AZ1085">
        <f>$C1085*AZ1084</f>
        <v/>
      </c>
      <c r="BA1085">
        <f>$C1085*BA1084</f>
        <v/>
      </c>
      <c r="BB1085">
        <f>$C1085*BB1084</f>
        <v/>
      </c>
      <c r="BC1085">
        <f>$C1085*BC1084</f>
        <v/>
      </c>
      <c r="BD1085">
        <f>$C1085*BD1084</f>
        <v/>
      </c>
      <c r="BE1085">
        <f>$C1085*BE1084</f>
        <v/>
      </c>
      <c r="BF1085">
        <f>$C1085*BF1084</f>
        <v/>
      </c>
      <c r="BG1085">
        <f>$C1085*BG1084</f>
        <v/>
      </c>
      <c r="BH1085">
        <f>$C1085*BH1084</f>
        <v/>
      </c>
      <c r="BI1085">
        <f>$C1085*BI1084</f>
        <v/>
      </c>
      <c r="BJ1085">
        <f>$C1085*BJ1084</f>
        <v/>
      </c>
      <c r="BK1085">
        <f>$C1085*BK1084</f>
        <v/>
      </c>
      <c r="BL1085">
        <f>$C1085*BL1084</f>
        <v/>
      </c>
      <c r="BM1085">
        <f>$C1085*BM1084</f>
        <v/>
      </c>
      <c r="BN1085">
        <f>$C1085*BN1084</f>
        <v/>
      </c>
      <c r="BO1085">
        <f>$C1085*BO1084</f>
        <v/>
      </c>
      <c r="BP1085">
        <f>$C1085*BP1084</f>
        <v/>
      </c>
      <c r="BQ1085">
        <f>$C1085*BQ1084</f>
        <v/>
      </c>
      <c r="BR1085">
        <f>$C1085*BR1084</f>
        <v/>
      </c>
      <c r="BS1085">
        <f>$C1085*BS1084</f>
        <v/>
      </c>
      <c r="BT1085">
        <f>$C1085*BT1084</f>
        <v/>
      </c>
      <c r="BU1085">
        <f>$C1085*BU1084</f>
        <v/>
      </c>
      <c r="BV1085">
        <f>$C1085*BV1084</f>
        <v/>
      </c>
      <c r="BW1085">
        <f>$C1085*BW1084</f>
        <v/>
      </c>
      <c r="BX1085">
        <f>$C1085*BX1084</f>
        <v/>
      </c>
      <c r="BY1085">
        <f>$C1085*BY1084</f>
        <v/>
      </c>
      <c r="BZ1085">
        <f>$C1085*BZ1084</f>
        <v/>
      </c>
      <c r="CA1085">
        <f>$C1085*CA1084</f>
        <v/>
      </c>
      <c r="CB1085">
        <f>$C1085*CB1084</f>
        <v/>
      </c>
      <c r="CC1085">
        <f>$C1085*CC1084</f>
        <v/>
      </c>
      <c r="CD1085">
        <f>$C1085*CD1084</f>
        <v/>
      </c>
      <c r="CE1085">
        <f>$C1085*CE1084</f>
        <v/>
      </c>
      <c r="CF1085">
        <f>$C1085*CF1084</f>
        <v/>
      </c>
      <c r="CG1085">
        <f>$C1085*CG1084</f>
        <v/>
      </c>
      <c r="CH1085">
        <f>$C1085*CH1084</f>
        <v/>
      </c>
      <c r="CI1085">
        <f>$C1085*CI1084</f>
        <v/>
      </c>
      <c r="CJ1085">
        <f>$C1085*CJ1084</f>
        <v/>
      </c>
      <c r="CK1085">
        <f>$C1085*CK1084</f>
        <v/>
      </c>
      <c r="CL1085">
        <f>$C1085*CL1084</f>
        <v/>
      </c>
      <c r="CM1085">
        <f>$C1085*CM1084</f>
        <v/>
      </c>
      <c r="CN1085">
        <f>$C1085*CN1084</f>
        <v/>
      </c>
      <c r="CO1085">
        <f>$C1085*CO1084</f>
        <v/>
      </c>
      <c r="CP1085">
        <f>$C1085*CP1084</f>
        <v/>
      </c>
      <c r="CQ1085">
        <f>$C1085*CQ1084</f>
        <v/>
      </c>
      <c r="CR1085">
        <f>$C1085*CR1084</f>
        <v/>
      </c>
      <c r="CS1085">
        <f>$C1085*CS1084</f>
        <v/>
      </c>
      <c r="CT1085">
        <f>$C1085*CT1084</f>
        <v/>
      </c>
      <c r="CU1085">
        <f>$C1085*CU1084</f>
        <v/>
      </c>
      <c r="CV1085">
        <f>$C1085*CV1084</f>
        <v/>
      </c>
      <c r="CW1085">
        <f>$C1085*CW1084</f>
        <v/>
      </c>
      <c r="CX1085">
        <f>$C1085*CX1084</f>
        <v/>
      </c>
      <c r="CY1085">
        <f>$C1085*CY1084</f>
        <v/>
      </c>
      <c r="CZ1085">
        <f>$C1085*CZ1084</f>
        <v/>
      </c>
      <c r="DA1085">
        <f>$C1085*DA1084</f>
        <v/>
      </c>
      <c r="DB1085">
        <f>$C1085*DB1084</f>
        <v/>
      </c>
      <c r="DC1085">
        <f>$C1085*DC1084</f>
        <v/>
      </c>
      <c r="DD1085">
        <f>$C1085*DD1084</f>
        <v/>
      </c>
    </row>
    <row r="1086">
      <c r="B1086" t="inlineStr">
        <is>
          <t>TPP-350</t>
        </is>
      </c>
      <c r="C1086" t="inlineStr">
        <is>
          <t>No. of batches</t>
        </is>
      </c>
      <c r="D1086">
        <f>IFERROR(INDEX(E1086:DD1086,$F$1),"")</f>
        <v/>
      </c>
      <c r="E1086">
        <f>IFERROR(INDEX(PP_Grid[#Data],$DE1086,2),0)</f>
        <v/>
      </c>
      <c r="F1086">
        <f>IFERROR(INDEX(PP_Grid[#Data],$DE1086,3),0)</f>
        <v/>
      </c>
      <c r="G1086">
        <f>IFERROR(INDEX(PP_Grid[#Data],$DE1086,4),0)</f>
        <v/>
      </c>
      <c r="H1086">
        <f>IFERROR(INDEX(PP_Grid[#Data],$DE1086,5),0)</f>
        <v/>
      </c>
      <c r="I1086">
        <f>IFERROR(INDEX(PP_Grid[#Data],$DE1086,6),0)</f>
        <v/>
      </c>
      <c r="J1086">
        <f>IFERROR(INDEX(PP_Grid[#Data],$DE1086,7),0)</f>
        <v/>
      </c>
      <c r="K1086">
        <f>IFERROR(INDEX(PP_Grid[#Data],$DE1086,8),0)</f>
        <v/>
      </c>
      <c r="L1086">
        <f>IFERROR(INDEX(PP_Grid[#Data],$DE1086,9),0)</f>
        <v/>
      </c>
      <c r="M1086">
        <f>IFERROR(INDEX(PP_Grid[#Data],$DE1086,10),0)</f>
        <v/>
      </c>
      <c r="N1086">
        <f>IFERROR(INDEX(PP_Grid[#Data],$DE1086,11),0)</f>
        <v/>
      </c>
      <c r="O1086">
        <f>IFERROR(INDEX(PP_Grid[#Data],$DE1086,12),0)</f>
        <v/>
      </c>
      <c r="P1086">
        <f>IFERROR(INDEX(PP_Grid[#Data],$DE1086,13),0)</f>
        <v/>
      </c>
      <c r="Q1086">
        <f>IFERROR(INDEX(PP_Grid[#Data],$DE1086,14),0)</f>
        <v/>
      </c>
      <c r="R1086">
        <f>IFERROR(INDEX(PP_Grid[#Data],$DE1086,15),0)</f>
        <v/>
      </c>
      <c r="S1086">
        <f>IFERROR(INDEX(PP_Grid[#Data],$DE1086,16),0)</f>
        <v/>
      </c>
      <c r="T1086">
        <f>IFERROR(INDEX(PP_Grid[#Data],$DE1086,17),0)</f>
        <v/>
      </c>
      <c r="U1086">
        <f>IFERROR(INDEX(PP_Grid[#Data],$DE1086,18),0)</f>
        <v/>
      </c>
      <c r="V1086">
        <f>IFERROR(INDEX(PP_Grid[#Data],$DE1086,19),0)</f>
        <v/>
      </c>
      <c r="W1086">
        <f>IFERROR(INDEX(PP_Grid[#Data],$DE1086,20),0)</f>
        <v/>
      </c>
      <c r="X1086">
        <f>IFERROR(INDEX(PP_Grid[#Data],$DE1086,21),0)</f>
        <v/>
      </c>
      <c r="Y1086">
        <f>IFERROR(INDEX(PP_Grid[#Data],$DE1086,22),0)</f>
        <v/>
      </c>
      <c r="Z1086">
        <f>IFERROR(INDEX(PP_Grid[#Data],$DE1086,23),0)</f>
        <v/>
      </c>
      <c r="AA1086">
        <f>IFERROR(INDEX(PP_Grid[#Data],$DE1086,24),0)</f>
        <v/>
      </c>
      <c r="AB1086">
        <f>IFERROR(INDEX(PP_Grid[#Data],$DE1086,25),0)</f>
        <v/>
      </c>
      <c r="AC1086">
        <f>IFERROR(INDEX(PP_Grid[#Data],$DE1086,26),0)</f>
        <v/>
      </c>
      <c r="AD1086">
        <f>IFERROR(INDEX(PP_Grid[#Data],$DE1086,27),0)</f>
        <v/>
      </c>
      <c r="AE1086">
        <f>IFERROR(INDEX(PP_Grid[#Data],$DE1086,28),0)</f>
        <v/>
      </c>
      <c r="AF1086">
        <f>IFERROR(INDEX(PP_Grid[#Data],$DE1086,29),0)</f>
        <v/>
      </c>
      <c r="AG1086">
        <f>IFERROR(INDEX(PP_Grid[#Data],$DE1086,30),0)</f>
        <v/>
      </c>
      <c r="AH1086">
        <f>IFERROR(INDEX(PP_Grid[#Data],$DE1086,31),0)</f>
        <v/>
      </c>
      <c r="AI1086">
        <f>IFERROR(INDEX(PP_Grid[#Data],$DE1086,32),0)</f>
        <v/>
      </c>
      <c r="AJ1086">
        <f>IFERROR(INDEX(PP_Grid[#Data],$DE1086,33),0)</f>
        <v/>
      </c>
      <c r="AK1086">
        <f>IFERROR(INDEX(PP_Grid[#Data],$DE1086,34),0)</f>
        <v/>
      </c>
      <c r="AL1086">
        <f>IFERROR(INDEX(PP_Grid[#Data],$DE1086,35),0)</f>
        <v/>
      </c>
      <c r="AM1086">
        <f>IFERROR(INDEX(PP_Grid[#Data],$DE1086,36),0)</f>
        <v/>
      </c>
      <c r="AN1086">
        <f>IFERROR(INDEX(PP_Grid[#Data],$DE1086,37),0)</f>
        <v/>
      </c>
      <c r="AO1086">
        <f>IFERROR(INDEX(PP_Grid[#Data],$DE1086,38),0)</f>
        <v/>
      </c>
      <c r="AP1086">
        <f>IFERROR(INDEX(PP_Grid[#Data],$DE1086,39),0)</f>
        <v/>
      </c>
      <c r="AQ1086">
        <f>IFERROR(INDEX(PP_Grid[#Data],$DE1086,40),0)</f>
        <v/>
      </c>
      <c r="AR1086">
        <f>IFERROR(INDEX(PP_Grid[#Data],$DE1086,41),0)</f>
        <v/>
      </c>
      <c r="AS1086">
        <f>IFERROR(INDEX(PP_Grid[#Data],$DE1086,42),0)</f>
        <v/>
      </c>
      <c r="AT1086">
        <f>IFERROR(INDEX(PP_Grid[#Data],$DE1086,43),0)</f>
        <v/>
      </c>
      <c r="AU1086">
        <f>IFERROR(INDEX(PP_Grid[#Data],$DE1086,44),0)</f>
        <v/>
      </c>
      <c r="AV1086">
        <f>IFERROR(INDEX(PP_Grid[#Data],$DE1086,45),0)</f>
        <v/>
      </c>
      <c r="AW1086">
        <f>IFERROR(INDEX(PP_Grid[#Data],$DE1086,46),0)</f>
        <v/>
      </c>
      <c r="AX1086">
        <f>IFERROR(INDEX(PP_Grid[#Data],$DE1086,47),0)</f>
        <v/>
      </c>
      <c r="AY1086">
        <f>IFERROR(INDEX(PP_Grid[#Data],$DE1086,48),0)</f>
        <v/>
      </c>
      <c r="AZ1086">
        <f>IFERROR(INDEX(PP_Grid[#Data],$DE1086,49),0)</f>
        <v/>
      </c>
      <c r="BA1086">
        <f>IFERROR(INDEX(PP_Grid[#Data],$DE1086,50),0)</f>
        <v/>
      </c>
      <c r="BB1086">
        <f>IFERROR(INDEX(PP_Grid[#Data],$DE1086,51),0)</f>
        <v/>
      </c>
      <c r="BC1086">
        <f>IFERROR(INDEX(PP_Grid[#Data],$DE1086,52),0)</f>
        <v/>
      </c>
      <c r="BD1086">
        <f>IFERROR(INDEX(PP_Grid[#Data],$DE1086,53),0)</f>
        <v/>
      </c>
      <c r="BE1086">
        <f>IFERROR(INDEX(PP_Grid[#Data],$DE1086,54),0)</f>
        <v/>
      </c>
      <c r="BF1086">
        <f>IFERROR(INDEX(PP_Grid[#Data],$DE1086,55),0)</f>
        <v/>
      </c>
      <c r="BG1086">
        <f>IFERROR(INDEX(PP_Grid[#Data],$DE1086,56),0)</f>
        <v/>
      </c>
      <c r="BH1086">
        <f>IFERROR(INDEX(PP_Grid[#Data],$DE1086,57),0)</f>
        <v/>
      </c>
      <c r="BI1086">
        <f>IFERROR(INDEX(PP_Grid[#Data],$DE1086,58),0)</f>
        <v/>
      </c>
      <c r="BJ1086">
        <f>IFERROR(INDEX(PP_Grid[#Data],$DE1086,59),0)</f>
        <v/>
      </c>
      <c r="BK1086">
        <f>IFERROR(INDEX(PP_Grid[#Data],$DE1086,60),0)</f>
        <v/>
      </c>
      <c r="BL1086">
        <f>IFERROR(INDEX(PP_Grid[#Data],$DE1086,61),0)</f>
        <v/>
      </c>
      <c r="BM1086">
        <f>IFERROR(INDEX(PP_Grid[#Data],$DE1086,62),0)</f>
        <v/>
      </c>
      <c r="BN1086">
        <f>IFERROR(INDEX(PP_Grid[#Data],$DE1086,63),0)</f>
        <v/>
      </c>
      <c r="BO1086">
        <f>IFERROR(INDEX(PP_Grid[#Data],$DE1086,64),0)</f>
        <v/>
      </c>
      <c r="BP1086">
        <f>IFERROR(INDEX(PP_Grid[#Data],$DE1086,65),0)</f>
        <v/>
      </c>
      <c r="BQ1086">
        <f>IFERROR(INDEX(PP_Grid[#Data],$DE1086,66),0)</f>
        <v/>
      </c>
      <c r="BR1086">
        <f>IFERROR(INDEX(PP_Grid[#Data],$DE1086,67),0)</f>
        <v/>
      </c>
      <c r="BS1086">
        <f>IFERROR(INDEX(PP_Grid[#Data],$DE1086,68),0)</f>
        <v/>
      </c>
      <c r="BT1086">
        <f>IFERROR(INDEX(PP_Grid[#Data],$DE1086,69),0)</f>
        <v/>
      </c>
      <c r="BU1086">
        <f>IFERROR(INDEX(PP_Grid[#Data],$DE1086,70),0)</f>
        <v/>
      </c>
      <c r="BV1086">
        <f>IFERROR(INDEX(PP_Grid[#Data],$DE1086,71),0)</f>
        <v/>
      </c>
      <c r="BW1086">
        <f>IFERROR(INDEX(PP_Grid[#Data],$DE1086,72),0)</f>
        <v/>
      </c>
      <c r="BX1086">
        <f>IFERROR(INDEX(PP_Grid[#Data],$DE1086,73),0)</f>
        <v/>
      </c>
      <c r="BY1086">
        <f>IFERROR(INDEX(PP_Grid[#Data],$DE1086,74),0)</f>
        <v/>
      </c>
      <c r="BZ1086">
        <f>IFERROR(INDEX(PP_Grid[#Data],$DE1086,75),0)</f>
        <v/>
      </c>
      <c r="CA1086">
        <f>IFERROR(INDEX(PP_Grid[#Data],$DE1086,76),0)</f>
        <v/>
      </c>
      <c r="CB1086">
        <f>IFERROR(INDEX(PP_Grid[#Data],$DE1086,77),0)</f>
        <v/>
      </c>
      <c r="CC1086">
        <f>IFERROR(INDEX(PP_Grid[#Data],$DE1086,78),0)</f>
        <v/>
      </c>
      <c r="CD1086">
        <f>IFERROR(INDEX(PP_Grid[#Data],$DE1086,79),0)</f>
        <v/>
      </c>
      <c r="CE1086">
        <f>IFERROR(INDEX(PP_Grid[#Data],$DE1086,80),0)</f>
        <v/>
      </c>
      <c r="CF1086">
        <f>IFERROR(INDEX(PP_Grid[#Data],$DE1086,81),0)</f>
        <v/>
      </c>
      <c r="CG1086">
        <f>IFERROR(INDEX(PP_Grid[#Data],$DE1086,82),0)</f>
        <v/>
      </c>
      <c r="CH1086">
        <f>IFERROR(INDEX(PP_Grid[#Data],$DE1086,83),0)</f>
        <v/>
      </c>
      <c r="CI1086">
        <f>IFERROR(INDEX(PP_Grid[#Data],$DE1086,84),0)</f>
        <v/>
      </c>
      <c r="CJ1086">
        <f>IFERROR(INDEX(PP_Grid[#Data],$DE1086,85),0)</f>
        <v/>
      </c>
      <c r="CK1086">
        <f>IFERROR(INDEX(PP_Grid[#Data],$DE1086,86),0)</f>
        <v/>
      </c>
      <c r="CL1086">
        <f>IFERROR(INDEX(PP_Grid[#Data],$DE1086,87),0)</f>
        <v/>
      </c>
      <c r="CM1086">
        <f>IFERROR(INDEX(PP_Grid[#Data],$DE1086,88),0)</f>
        <v/>
      </c>
      <c r="CN1086">
        <f>IFERROR(INDEX(PP_Grid[#Data],$DE1086,89),0)</f>
        <v/>
      </c>
      <c r="CO1086">
        <f>IFERROR(INDEX(PP_Grid[#Data],$DE1086,90),0)</f>
        <v/>
      </c>
      <c r="CP1086">
        <f>IFERROR(INDEX(PP_Grid[#Data],$DE1086,91),0)</f>
        <v/>
      </c>
      <c r="CQ1086">
        <f>IFERROR(INDEX(PP_Grid[#Data],$DE1086,92),0)</f>
        <v/>
      </c>
      <c r="CR1086">
        <f>IFERROR(INDEX(PP_Grid[#Data],$DE1086,93),0)</f>
        <v/>
      </c>
      <c r="CS1086">
        <f>IFERROR(INDEX(PP_Grid[#Data],$DE1086,94),0)</f>
        <v/>
      </c>
      <c r="CT1086">
        <f>IFERROR(INDEX(PP_Grid[#Data],$DE1086,95),0)</f>
        <v/>
      </c>
      <c r="CU1086">
        <f>IFERROR(INDEX(PP_Grid[#Data],$DE1086,96),0)</f>
        <v/>
      </c>
      <c r="CV1086">
        <f>IFERROR(INDEX(PP_Grid[#Data],$DE1086,97),0)</f>
        <v/>
      </c>
      <c r="CW1086">
        <f>IFERROR(INDEX(PP_Grid[#Data],$DE1086,98),0)</f>
        <v/>
      </c>
      <c r="CX1086">
        <f>IFERROR(INDEX(PP_Grid[#Data],$DE1086,99),0)</f>
        <v/>
      </c>
      <c r="CY1086">
        <f>IFERROR(INDEX(PP_Grid[#Data],$DE1086,100),0)</f>
        <v/>
      </c>
      <c r="CZ1086">
        <f>IFERROR(INDEX(PP_Grid[#Data],$DE1086,101),0)</f>
        <v/>
      </c>
      <c r="DA1086">
        <f>IFERROR(INDEX(PP_Grid[#Data],$DE1086,102),0)</f>
        <v/>
      </c>
      <c r="DB1086">
        <f>IFERROR(INDEX(PP_Grid[#Data],$DE1086,103),0)</f>
        <v/>
      </c>
      <c r="DC1086">
        <f>IFERROR(INDEX(PP_Grid[#Data],$DE1086,104),0)</f>
        <v/>
      </c>
      <c r="DD1086">
        <f>IFERROR(INDEX(PP_Grid[#Data],$DE1086,105),0)</f>
        <v/>
      </c>
      <c r="DE1086" s="7">
        <f>IFERROR(MATCH($B1086,PP_Grid[Intermediate],0),99999)</f>
        <v/>
      </c>
    </row>
    <row r="1087">
      <c r="B1087" t="inlineStr">
        <is>
          <t>使用量(kg)</t>
        </is>
      </c>
      <c r="C1087">
        <f>SUMIFS(M_BOM[RM_Qty_Per_Batch],M_BOM[Intermediate],$B1086,M_BOM[RM_Code],$A1071)</f>
        <v/>
      </c>
      <c r="D1087">
        <f>IFERROR(INDEX(E1087:DD1087,$F$1),"")</f>
        <v/>
      </c>
      <c r="E1087">
        <f>$C1087*E1086</f>
        <v/>
      </c>
      <c r="F1087">
        <f>$C1087*F1086</f>
        <v/>
      </c>
      <c r="G1087">
        <f>$C1087*G1086</f>
        <v/>
      </c>
      <c r="H1087">
        <f>$C1087*H1086</f>
        <v/>
      </c>
      <c r="I1087">
        <f>$C1087*I1086</f>
        <v/>
      </c>
      <c r="J1087">
        <f>$C1087*J1086</f>
        <v/>
      </c>
      <c r="K1087">
        <f>$C1087*K1086</f>
        <v/>
      </c>
      <c r="L1087">
        <f>$C1087*L1086</f>
        <v/>
      </c>
      <c r="M1087">
        <f>$C1087*M1086</f>
        <v/>
      </c>
      <c r="N1087">
        <f>$C1087*N1086</f>
        <v/>
      </c>
      <c r="O1087">
        <f>$C1087*O1086</f>
        <v/>
      </c>
      <c r="P1087">
        <f>$C1087*P1086</f>
        <v/>
      </c>
      <c r="Q1087">
        <f>$C1087*Q1086</f>
        <v/>
      </c>
      <c r="R1087">
        <f>$C1087*R1086</f>
        <v/>
      </c>
      <c r="S1087">
        <f>$C1087*S1086</f>
        <v/>
      </c>
      <c r="T1087">
        <f>$C1087*T1086</f>
        <v/>
      </c>
      <c r="U1087">
        <f>$C1087*U1086</f>
        <v/>
      </c>
      <c r="V1087">
        <f>$C1087*V1086</f>
        <v/>
      </c>
      <c r="W1087">
        <f>$C1087*W1086</f>
        <v/>
      </c>
      <c r="X1087">
        <f>$C1087*X1086</f>
        <v/>
      </c>
      <c r="Y1087">
        <f>$C1087*Y1086</f>
        <v/>
      </c>
      <c r="Z1087">
        <f>$C1087*Z1086</f>
        <v/>
      </c>
      <c r="AA1087">
        <f>$C1087*AA1086</f>
        <v/>
      </c>
      <c r="AB1087">
        <f>$C1087*AB1086</f>
        <v/>
      </c>
      <c r="AC1087">
        <f>$C1087*AC1086</f>
        <v/>
      </c>
      <c r="AD1087">
        <f>$C1087*AD1086</f>
        <v/>
      </c>
      <c r="AE1087">
        <f>$C1087*AE1086</f>
        <v/>
      </c>
      <c r="AF1087">
        <f>$C1087*AF1086</f>
        <v/>
      </c>
      <c r="AG1087">
        <f>$C1087*AG1086</f>
        <v/>
      </c>
      <c r="AH1087">
        <f>$C1087*AH1086</f>
        <v/>
      </c>
      <c r="AI1087">
        <f>$C1087*AI1086</f>
        <v/>
      </c>
      <c r="AJ1087">
        <f>$C1087*AJ1086</f>
        <v/>
      </c>
      <c r="AK1087">
        <f>$C1087*AK1086</f>
        <v/>
      </c>
      <c r="AL1087">
        <f>$C1087*AL1086</f>
        <v/>
      </c>
      <c r="AM1087">
        <f>$C1087*AM1086</f>
        <v/>
      </c>
      <c r="AN1087">
        <f>$C1087*AN1086</f>
        <v/>
      </c>
      <c r="AO1087">
        <f>$C1087*AO1086</f>
        <v/>
      </c>
      <c r="AP1087">
        <f>$C1087*AP1086</f>
        <v/>
      </c>
      <c r="AQ1087">
        <f>$C1087*AQ1086</f>
        <v/>
      </c>
      <c r="AR1087">
        <f>$C1087*AR1086</f>
        <v/>
      </c>
      <c r="AS1087">
        <f>$C1087*AS1086</f>
        <v/>
      </c>
      <c r="AT1087">
        <f>$C1087*AT1086</f>
        <v/>
      </c>
      <c r="AU1087">
        <f>$C1087*AU1086</f>
        <v/>
      </c>
      <c r="AV1087">
        <f>$C1087*AV1086</f>
        <v/>
      </c>
      <c r="AW1087">
        <f>$C1087*AW1086</f>
        <v/>
      </c>
      <c r="AX1087">
        <f>$C1087*AX1086</f>
        <v/>
      </c>
      <c r="AY1087">
        <f>$C1087*AY1086</f>
        <v/>
      </c>
      <c r="AZ1087">
        <f>$C1087*AZ1086</f>
        <v/>
      </c>
      <c r="BA1087">
        <f>$C1087*BA1086</f>
        <v/>
      </c>
      <c r="BB1087">
        <f>$C1087*BB1086</f>
        <v/>
      </c>
      <c r="BC1087">
        <f>$C1087*BC1086</f>
        <v/>
      </c>
      <c r="BD1087">
        <f>$C1087*BD1086</f>
        <v/>
      </c>
      <c r="BE1087">
        <f>$C1087*BE1086</f>
        <v/>
      </c>
      <c r="BF1087">
        <f>$C1087*BF1086</f>
        <v/>
      </c>
      <c r="BG1087">
        <f>$C1087*BG1086</f>
        <v/>
      </c>
      <c r="BH1087">
        <f>$C1087*BH1086</f>
        <v/>
      </c>
      <c r="BI1087">
        <f>$C1087*BI1086</f>
        <v/>
      </c>
      <c r="BJ1087">
        <f>$C1087*BJ1086</f>
        <v/>
      </c>
      <c r="BK1087">
        <f>$C1087*BK1086</f>
        <v/>
      </c>
      <c r="BL1087">
        <f>$C1087*BL1086</f>
        <v/>
      </c>
      <c r="BM1087">
        <f>$C1087*BM1086</f>
        <v/>
      </c>
      <c r="BN1087">
        <f>$C1087*BN1086</f>
        <v/>
      </c>
      <c r="BO1087">
        <f>$C1087*BO1086</f>
        <v/>
      </c>
      <c r="BP1087">
        <f>$C1087*BP1086</f>
        <v/>
      </c>
      <c r="BQ1087">
        <f>$C1087*BQ1086</f>
        <v/>
      </c>
      <c r="BR1087">
        <f>$C1087*BR1086</f>
        <v/>
      </c>
      <c r="BS1087">
        <f>$C1087*BS1086</f>
        <v/>
      </c>
      <c r="BT1087">
        <f>$C1087*BT1086</f>
        <v/>
      </c>
      <c r="BU1087">
        <f>$C1087*BU1086</f>
        <v/>
      </c>
      <c r="BV1087">
        <f>$C1087*BV1086</f>
        <v/>
      </c>
      <c r="BW1087">
        <f>$C1087*BW1086</f>
        <v/>
      </c>
      <c r="BX1087">
        <f>$C1087*BX1086</f>
        <v/>
      </c>
      <c r="BY1087">
        <f>$C1087*BY1086</f>
        <v/>
      </c>
      <c r="BZ1087">
        <f>$C1087*BZ1086</f>
        <v/>
      </c>
      <c r="CA1087">
        <f>$C1087*CA1086</f>
        <v/>
      </c>
      <c r="CB1087">
        <f>$C1087*CB1086</f>
        <v/>
      </c>
      <c r="CC1087">
        <f>$C1087*CC1086</f>
        <v/>
      </c>
      <c r="CD1087">
        <f>$C1087*CD1086</f>
        <v/>
      </c>
      <c r="CE1087">
        <f>$C1087*CE1086</f>
        <v/>
      </c>
      <c r="CF1087">
        <f>$C1087*CF1086</f>
        <v/>
      </c>
      <c r="CG1087">
        <f>$C1087*CG1086</f>
        <v/>
      </c>
      <c r="CH1087">
        <f>$C1087*CH1086</f>
        <v/>
      </c>
      <c r="CI1087">
        <f>$C1087*CI1086</f>
        <v/>
      </c>
      <c r="CJ1087">
        <f>$C1087*CJ1086</f>
        <v/>
      </c>
      <c r="CK1087">
        <f>$C1087*CK1086</f>
        <v/>
      </c>
      <c r="CL1087">
        <f>$C1087*CL1086</f>
        <v/>
      </c>
      <c r="CM1087">
        <f>$C1087*CM1086</f>
        <v/>
      </c>
      <c r="CN1087">
        <f>$C1087*CN1086</f>
        <v/>
      </c>
      <c r="CO1087">
        <f>$C1087*CO1086</f>
        <v/>
      </c>
      <c r="CP1087">
        <f>$C1087*CP1086</f>
        <v/>
      </c>
      <c r="CQ1087">
        <f>$C1087*CQ1086</f>
        <v/>
      </c>
      <c r="CR1087">
        <f>$C1087*CR1086</f>
        <v/>
      </c>
      <c r="CS1087">
        <f>$C1087*CS1086</f>
        <v/>
      </c>
      <c r="CT1087">
        <f>$C1087*CT1086</f>
        <v/>
      </c>
      <c r="CU1087">
        <f>$C1087*CU1086</f>
        <v/>
      </c>
      <c r="CV1087">
        <f>$C1087*CV1086</f>
        <v/>
      </c>
      <c r="CW1087">
        <f>$C1087*CW1086</f>
        <v/>
      </c>
      <c r="CX1087">
        <f>$C1087*CX1086</f>
        <v/>
      </c>
      <c r="CY1087">
        <f>$C1087*CY1086</f>
        <v/>
      </c>
      <c r="CZ1087">
        <f>$C1087*CZ1086</f>
        <v/>
      </c>
      <c r="DA1087">
        <f>$C1087*DA1086</f>
        <v/>
      </c>
      <c r="DB1087">
        <f>$C1087*DB1086</f>
        <v/>
      </c>
      <c r="DC1087">
        <f>$C1087*DC1086</f>
        <v/>
      </c>
      <c r="DD1087">
        <f>$C1087*DD1086</f>
        <v/>
      </c>
    </row>
    <row r="1088">
      <c r="B1088" t="inlineStr">
        <is>
          <t>TPP-704</t>
        </is>
      </c>
      <c r="C1088" t="inlineStr">
        <is>
          <t>No. of batches</t>
        </is>
      </c>
      <c r="D1088">
        <f>IFERROR(INDEX(E1088:DD1088,$F$1),"")</f>
        <v/>
      </c>
      <c r="E1088">
        <f>IFERROR(INDEX(PP_Grid[#Data],$DE1088,2),0)</f>
        <v/>
      </c>
      <c r="F1088">
        <f>IFERROR(INDEX(PP_Grid[#Data],$DE1088,3),0)</f>
        <v/>
      </c>
      <c r="G1088">
        <f>IFERROR(INDEX(PP_Grid[#Data],$DE1088,4),0)</f>
        <v/>
      </c>
      <c r="H1088">
        <f>IFERROR(INDEX(PP_Grid[#Data],$DE1088,5),0)</f>
        <v/>
      </c>
      <c r="I1088">
        <f>IFERROR(INDEX(PP_Grid[#Data],$DE1088,6),0)</f>
        <v/>
      </c>
      <c r="J1088">
        <f>IFERROR(INDEX(PP_Grid[#Data],$DE1088,7),0)</f>
        <v/>
      </c>
      <c r="K1088">
        <f>IFERROR(INDEX(PP_Grid[#Data],$DE1088,8),0)</f>
        <v/>
      </c>
      <c r="L1088">
        <f>IFERROR(INDEX(PP_Grid[#Data],$DE1088,9),0)</f>
        <v/>
      </c>
      <c r="M1088">
        <f>IFERROR(INDEX(PP_Grid[#Data],$DE1088,10),0)</f>
        <v/>
      </c>
      <c r="N1088">
        <f>IFERROR(INDEX(PP_Grid[#Data],$DE1088,11),0)</f>
        <v/>
      </c>
      <c r="O1088">
        <f>IFERROR(INDEX(PP_Grid[#Data],$DE1088,12),0)</f>
        <v/>
      </c>
      <c r="P1088">
        <f>IFERROR(INDEX(PP_Grid[#Data],$DE1088,13),0)</f>
        <v/>
      </c>
      <c r="Q1088">
        <f>IFERROR(INDEX(PP_Grid[#Data],$DE1088,14),0)</f>
        <v/>
      </c>
      <c r="R1088">
        <f>IFERROR(INDEX(PP_Grid[#Data],$DE1088,15),0)</f>
        <v/>
      </c>
      <c r="S1088">
        <f>IFERROR(INDEX(PP_Grid[#Data],$DE1088,16),0)</f>
        <v/>
      </c>
      <c r="T1088">
        <f>IFERROR(INDEX(PP_Grid[#Data],$DE1088,17),0)</f>
        <v/>
      </c>
      <c r="U1088">
        <f>IFERROR(INDEX(PP_Grid[#Data],$DE1088,18),0)</f>
        <v/>
      </c>
      <c r="V1088">
        <f>IFERROR(INDEX(PP_Grid[#Data],$DE1088,19),0)</f>
        <v/>
      </c>
      <c r="W1088">
        <f>IFERROR(INDEX(PP_Grid[#Data],$DE1088,20),0)</f>
        <v/>
      </c>
      <c r="X1088">
        <f>IFERROR(INDEX(PP_Grid[#Data],$DE1088,21),0)</f>
        <v/>
      </c>
      <c r="Y1088">
        <f>IFERROR(INDEX(PP_Grid[#Data],$DE1088,22),0)</f>
        <v/>
      </c>
      <c r="Z1088">
        <f>IFERROR(INDEX(PP_Grid[#Data],$DE1088,23),0)</f>
        <v/>
      </c>
      <c r="AA1088">
        <f>IFERROR(INDEX(PP_Grid[#Data],$DE1088,24),0)</f>
        <v/>
      </c>
      <c r="AB1088">
        <f>IFERROR(INDEX(PP_Grid[#Data],$DE1088,25),0)</f>
        <v/>
      </c>
      <c r="AC1088">
        <f>IFERROR(INDEX(PP_Grid[#Data],$DE1088,26),0)</f>
        <v/>
      </c>
      <c r="AD1088">
        <f>IFERROR(INDEX(PP_Grid[#Data],$DE1088,27),0)</f>
        <v/>
      </c>
      <c r="AE1088">
        <f>IFERROR(INDEX(PP_Grid[#Data],$DE1088,28),0)</f>
        <v/>
      </c>
      <c r="AF1088">
        <f>IFERROR(INDEX(PP_Grid[#Data],$DE1088,29),0)</f>
        <v/>
      </c>
      <c r="AG1088">
        <f>IFERROR(INDEX(PP_Grid[#Data],$DE1088,30),0)</f>
        <v/>
      </c>
      <c r="AH1088">
        <f>IFERROR(INDEX(PP_Grid[#Data],$DE1088,31),0)</f>
        <v/>
      </c>
      <c r="AI1088">
        <f>IFERROR(INDEX(PP_Grid[#Data],$DE1088,32),0)</f>
        <v/>
      </c>
      <c r="AJ1088">
        <f>IFERROR(INDEX(PP_Grid[#Data],$DE1088,33),0)</f>
        <v/>
      </c>
      <c r="AK1088">
        <f>IFERROR(INDEX(PP_Grid[#Data],$DE1088,34),0)</f>
        <v/>
      </c>
      <c r="AL1088">
        <f>IFERROR(INDEX(PP_Grid[#Data],$DE1088,35),0)</f>
        <v/>
      </c>
      <c r="AM1088">
        <f>IFERROR(INDEX(PP_Grid[#Data],$DE1088,36),0)</f>
        <v/>
      </c>
      <c r="AN1088">
        <f>IFERROR(INDEX(PP_Grid[#Data],$DE1088,37),0)</f>
        <v/>
      </c>
      <c r="AO1088">
        <f>IFERROR(INDEX(PP_Grid[#Data],$DE1088,38),0)</f>
        <v/>
      </c>
      <c r="AP1088">
        <f>IFERROR(INDEX(PP_Grid[#Data],$DE1088,39),0)</f>
        <v/>
      </c>
      <c r="AQ1088">
        <f>IFERROR(INDEX(PP_Grid[#Data],$DE1088,40),0)</f>
        <v/>
      </c>
      <c r="AR1088">
        <f>IFERROR(INDEX(PP_Grid[#Data],$DE1088,41),0)</f>
        <v/>
      </c>
      <c r="AS1088">
        <f>IFERROR(INDEX(PP_Grid[#Data],$DE1088,42),0)</f>
        <v/>
      </c>
      <c r="AT1088">
        <f>IFERROR(INDEX(PP_Grid[#Data],$DE1088,43),0)</f>
        <v/>
      </c>
      <c r="AU1088">
        <f>IFERROR(INDEX(PP_Grid[#Data],$DE1088,44),0)</f>
        <v/>
      </c>
      <c r="AV1088">
        <f>IFERROR(INDEX(PP_Grid[#Data],$DE1088,45),0)</f>
        <v/>
      </c>
      <c r="AW1088">
        <f>IFERROR(INDEX(PP_Grid[#Data],$DE1088,46),0)</f>
        <v/>
      </c>
      <c r="AX1088">
        <f>IFERROR(INDEX(PP_Grid[#Data],$DE1088,47),0)</f>
        <v/>
      </c>
      <c r="AY1088">
        <f>IFERROR(INDEX(PP_Grid[#Data],$DE1088,48),0)</f>
        <v/>
      </c>
      <c r="AZ1088">
        <f>IFERROR(INDEX(PP_Grid[#Data],$DE1088,49),0)</f>
        <v/>
      </c>
      <c r="BA1088">
        <f>IFERROR(INDEX(PP_Grid[#Data],$DE1088,50),0)</f>
        <v/>
      </c>
      <c r="BB1088">
        <f>IFERROR(INDEX(PP_Grid[#Data],$DE1088,51),0)</f>
        <v/>
      </c>
      <c r="BC1088">
        <f>IFERROR(INDEX(PP_Grid[#Data],$DE1088,52),0)</f>
        <v/>
      </c>
      <c r="BD1088">
        <f>IFERROR(INDEX(PP_Grid[#Data],$DE1088,53),0)</f>
        <v/>
      </c>
      <c r="BE1088">
        <f>IFERROR(INDEX(PP_Grid[#Data],$DE1088,54),0)</f>
        <v/>
      </c>
      <c r="BF1088">
        <f>IFERROR(INDEX(PP_Grid[#Data],$DE1088,55),0)</f>
        <v/>
      </c>
      <c r="BG1088">
        <f>IFERROR(INDEX(PP_Grid[#Data],$DE1088,56),0)</f>
        <v/>
      </c>
      <c r="BH1088">
        <f>IFERROR(INDEX(PP_Grid[#Data],$DE1088,57),0)</f>
        <v/>
      </c>
      <c r="BI1088">
        <f>IFERROR(INDEX(PP_Grid[#Data],$DE1088,58),0)</f>
        <v/>
      </c>
      <c r="BJ1088">
        <f>IFERROR(INDEX(PP_Grid[#Data],$DE1088,59),0)</f>
        <v/>
      </c>
      <c r="BK1088">
        <f>IFERROR(INDEX(PP_Grid[#Data],$DE1088,60),0)</f>
        <v/>
      </c>
      <c r="BL1088">
        <f>IFERROR(INDEX(PP_Grid[#Data],$DE1088,61),0)</f>
        <v/>
      </c>
      <c r="BM1088">
        <f>IFERROR(INDEX(PP_Grid[#Data],$DE1088,62),0)</f>
        <v/>
      </c>
      <c r="BN1088">
        <f>IFERROR(INDEX(PP_Grid[#Data],$DE1088,63),0)</f>
        <v/>
      </c>
      <c r="BO1088">
        <f>IFERROR(INDEX(PP_Grid[#Data],$DE1088,64),0)</f>
        <v/>
      </c>
      <c r="BP1088">
        <f>IFERROR(INDEX(PP_Grid[#Data],$DE1088,65),0)</f>
        <v/>
      </c>
      <c r="BQ1088">
        <f>IFERROR(INDEX(PP_Grid[#Data],$DE1088,66),0)</f>
        <v/>
      </c>
      <c r="BR1088">
        <f>IFERROR(INDEX(PP_Grid[#Data],$DE1088,67),0)</f>
        <v/>
      </c>
      <c r="BS1088">
        <f>IFERROR(INDEX(PP_Grid[#Data],$DE1088,68),0)</f>
        <v/>
      </c>
      <c r="BT1088">
        <f>IFERROR(INDEX(PP_Grid[#Data],$DE1088,69),0)</f>
        <v/>
      </c>
      <c r="BU1088">
        <f>IFERROR(INDEX(PP_Grid[#Data],$DE1088,70),0)</f>
        <v/>
      </c>
      <c r="BV1088">
        <f>IFERROR(INDEX(PP_Grid[#Data],$DE1088,71),0)</f>
        <v/>
      </c>
      <c r="BW1088">
        <f>IFERROR(INDEX(PP_Grid[#Data],$DE1088,72),0)</f>
        <v/>
      </c>
      <c r="BX1088">
        <f>IFERROR(INDEX(PP_Grid[#Data],$DE1088,73),0)</f>
        <v/>
      </c>
      <c r="BY1088">
        <f>IFERROR(INDEX(PP_Grid[#Data],$DE1088,74),0)</f>
        <v/>
      </c>
      <c r="BZ1088">
        <f>IFERROR(INDEX(PP_Grid[#Data],$DE1088,75),0)</f>
        <v/>
      </c>
      <c r="CA1088">
        <f>IFERROR(INDEX(PP_Grid[#Data],$DE1088,76),0)</f>
        <v/>
      </c>
      <c r="CB1088">
        <f>IFERROR(INDEX(PP_Grid[#Data],$DE1088,77),0)</f>
        <v/>
      </c>
      <c r="CC1088">
        <f>IFERROR(INDEX(PP_Grid[#Data],$DE1088,78),0)</f>
        <v/>
      </c>
      <c r="CD1088">
        <f>IFERROR(INDEX(PP_Grid[#Data],$DE1088,79),0)</f>
        <v/>
      </c>
      <c r="CE1088">
        <f>IFERROR(INDEX(PP_Grid[#Data],$DE1088,80),0)</f>
        <v/>
      </c>
      <c r="CF1088">
        <f>IFERROR(INDEX(PP_Grid[#Data],$DE1088,81),0)</f>
        <v/>
      </c>
      <c r="CG1088">
        <f>IFERROR(INDEX(PP_Grid[#Data],$DE1088,82),0)</f>
        <v/>
      </c>
      <c r="CH1088">
        <f>IFERROR(INDEX(PP_Grid[#Data],$DE1088,83),0)</f>
        <v/>
      </c>
      <c r="CI1088">
        <f>IFERROR(INDEX(PP_Grid[#Data],$DE1088,84),0)</f>
        <v/>
      </c>
      <c r="CJ1088">
        <f>IFERROR(INDEX(PP_Grid[#Data],$DE1088,85),0)</f>
        <v/>
      </c>
      <c r="CK1088">
        <f>IFERROR(INDEX(PP_Grid[#Data],$DE1088,86),0)</f>
        <v/>
      </c>
      <c r="CL1088">
        <f>IFERROR(INDEX(PP_Grid[#Data],$DE1088,87),0)</f>
        <v/>
      </c>
      <c r="CM1088">
        <f>IFERROR(INDEX(PP_Grid[#Data],$DE1088,88),0)</f>
        <v/>
      </c>
      <c r="CN1088">
        <f>IFERROR(INDEX(PP_Grid[#Data],$DE1088,89),0)</f>
        <v/>
      </c>
      <c r="CO1088">
        <f>IFERROR(INDEX(PP_Grid[#Data],$DE1088,90),0)</f>
        <v/>
      </c>
      <c r="CP1088">
        <f>IFERROR(INDEX(PP_Grid[#Data],$DE1088,91),0)</f>
        <v/>
      </c>
      <c r="CQ1088">
        <f>IFERROR(INDEX(PP_Grid[#Data],$DE1088,92),0)</f>
        <v/>
      </c>
      <c r="CR1088">
        <f>IFERROR(INDEX(PP_Grid[#Data],$DE1088,93),0)</f>
        <v/>
      </c>
      <c r="CS1088">
        <f>IFERROR(INDEX(PP_Grid[#Data],$DE1088,94),0)</f>
        <v/>
      </c>
      <c r="CT1088">
        <f>IFERROR(INDEX(PP_Grid[#Data],$DE1088,95),0)</f>
        <v/>
      </c>
      <c r="CU1088">
        <f>IFERROR(INDEX(PP_Grid[#Data],$DE1088,96),0)</f>
        <v/>
      </c>
      <c r="CV1088">
        <f>IFERROR(INDEX(PP_Grid[#Data],$DE1088,97),0)</f>
        <v/>
      </c>
      <c r="CW1088">
        <f>IFERROR(INDEX(PP_Grid[#Data],$DE1088,98),0)</f>
        <v/>
      </c>
      <c r="CX1088">
        <f>IFERROR(INDEX(PP_Grid[#Data],$DE1088,99),0)</f>
        <v/>
      </c>
      <c r="CY1088">
        <f>IFERROR(INDEX(PP_Grid[#Data],$DE1088,100),0)</f>
        <v/>
      </c>
      <c r="CZ1088">
        <f>IFERROR(INDEX(PP_Grid[#Data],$DE1088,101),0)</f>
        <v/>
      </c>
      <c r="DA1088">
        <f>IFERROR(INDEX(PP_Grid[#Data],$DE1088,102),0)</f>
        <v/>
      </c>
      <c r="DB1088">
        <f>IFERROR(INDEX(PP_Grid[#Data],$DE1088,103),0)</f>
        <v/>
      </c>
      <c r="DC1088">
        <f>IFERROR(INDEX(PP_Grid[#Data],$DE1088,104),0)</f>
        <v/>
      </c>
      <c r="DD1088">
        <f>IFERROR(INDEX(PP_Grid[#Data],$DE1088,105),0)</f>
        <v/>
      </c>
      <c r="DE1088" s="7">
        <f>IFERROR(MATCH($B1088,PP_Grid[Intermediate],0),99999)</f>
        <v/>
      </c>
    </row>
    <row r="1089">
      <c r="B1089" t="inlineStr">
        <is>
          <t>使用量(kg)</t>
        </is>
      </c>
      <c r="C1089">
        <f>SUMIFS(M_BOM[RM_Qty_Per_Batch],M_BOM[Intermediate],$B1088,M_BOM[RM_Code],$A1071)</f>
        <v/>
      </c>
      <c r="D1089">
        <f>IFERROR(INDEX(E1089:DD1089,$F$1),"")</f>
        <v/>
      </c>
      <c r="E1089">
        <f>$C1089*E1088</f>
        <v/>
      </c>
      <c r="F1089">
        <f>$C1089*F1088</f>
        <v/>
      </c>
      <c r="G1089">
        <f>$C1089*G1088</f>
        <v/>
      </c>
      <c r="H1089">
        <f>$C1089*H1088</f>
        <v/>
      </c>
      <c r="I1089">
        <f>$C1089*I1088</f>
        <v/>
      </c>
      <c r="J1089">
        <f>$C1089*J1088</f>
        <v/>
      </c>
      <c r="K1089">
        <f>$C1089*K1088</f>
        <v/>
      </c>
      <c r="L1089">
        <f>$C1089*L1088</f>
        <v/>
      </c>
      <c r="M1089">
        <f>$C1089*M1088</f>
        <v/>
      </c>
      <c r="N1089">
        <f>$C1089*N1088</f>
        <v/>
      </c>
      <c r="O1089">
        <f>$C1089*O1088</f>
        <v/>
      </c>
      <c r="P1089">
        <f>$C1089*P1088</f>
        <v/>
      </c>
      <c r="Q1089">
        <f>$C1089*Q1088</f>
        <v/>
      </c>
      <c r="R1089">
        <f>$C1089*R1088</f>
        <v/>
      </c>
      <c r="S1089">
        <f>$C1089*S1088</f>
        <v/>
      </c>
      <c r="T1089">
        <f>$C1089*T1088</f>
        <v/>
      </c>
      <c r="U1089">
        <f>$C1089*U1088</f>
        <v/>
      </c>
      <c r="V1089">
        <f>$C1089*V1088</f>
        <v/>
      </c>
      <c r="W1089">
        <f>$C1089*W1088</f>
        <v/>
      </c>
      <c r="X1089">
        <f>$C1089*X1088</f>
        <v/>
      </c>
      <c r="Y1089">
        <f>$C1089*Y1088</f>
        <v/>
      </c>
      <c r="Z1089">
        <f>$C1089*Z1088</f>
        <v/>
      </c>
      <c r="AA1089">
        <f>$C1089*AA1088</f>
        <v/>
      </c>
      <c r="AB1089">
        <f>$C1089*AB1088</f>
        <v/>
      </c>
      <c r="AC1089">
        <f>$C1089*AC1088</f>
        <v/>
      </c>
      <c r="AD1089">
        <f>$C1089*AD1088</f>
        <v/>
      </c>
      <c r="AE1089">
        <f>$C1089*AE1088</f>
        <v/>
      </c>
      <c r="AF1089">
        <f>$C1089*AF1088</f>
        <v/>
      </c>
      <c r="AG1089">
        <f>$C1089*AG1088</f>
        <v/>
      </c>
      <c r="AH1089">
        <f>$C1089*AH1088</f>
        <v/>
      </c>
      <c r="AI1089">
        <f>$C1089*AI1088</f>
        <v/>
      </c>
      <c r="AJ1089">
        <f>$C1089*AJ1088</f>
        <v/>
      </c>
      <c r="AK1089">
        <f>$C1089*AK1088</f>
        <v/>
      </c>
      <c r="AL1089">
        <f>$C1089*AL1088</f>
        <v/>
      </c>
      <c r="AM1089">
        <f>$C1089*AM1088</f>
        <v/>
      </c>
      <c r="AN1089">
        <f>$C1089*AN1088</f>
        <v/>
      </c>
      <c r="AO1089">
        <f>$C1089*AO1088</f>
        <v/>
      </c>
      <c r="AP1089">
        <f>$C1089*AP1088</f>
        <v/>
      </c>
      <c r="AQ1089">
        <f>$C1089*AQ1088</f>
        <v/>
      </c>
      <c r="AR1089">
        <f>$C1089*AR1088</f>
        <v/>
      </c>
      <c r="AS1089">
        <f>$C1089*AS1088</f>
        <v/>
      </c>
      <c r="AT1089">
        <f>$C1089*AT1088</f>
        <v/>
      </c>
      <c r="AU1089">
        <f>$C1089*AU1088</f>
        <v/>
      </c>
      <c r="AV1089">
        <f>$C1089*AV1088</f>
        <v/>
      </c>
      <c r="AW1089">
        <f>$C1089*AW1088</f>
        <v/>
      </c>
      <c r="AX1089">
        <f>$C1089*AX1088</f>
        <v/>
      </c>
      <c r="AY1089">
        <f>$C1089*AY1088</f>
        <v/>
      </c>
      <c r="AZ1089">
        <f>$C1089*AZ1088</f>
        <v/>
      </c>
      <c r="BA1089">
        <f>$C1089*BA1088</f>
        <v/>
      </c>
      <c r="BB1089">
        <f>$C1089*BB1088</f>
        <v/>
      </c>
      <c r="BC1089">
        <f>$C1089*BC1088</f>
        <v/>
      </c>
      <c r="BD1089">
        <f>$C1089*BD1088</f>
        <v/>
      </c>
      <c r="BE1089">
        <f>$C1089*BE1088</f>
        <v/>
      </c>
      <c r="BF1089">
        <f>$C1089*BF1088</f>
        <v/>
      </c>
      <c r="BG1089">
        <f>$C1089*BG1088</f>
        <v/>
      </c>
      <c r="BH1089">
        <f>$C1089*BH1088</f>
        <v/>
      </c>
      <c r="BI1089">
        <f>$C1089*BI1088</f>
        <v/>
      </c>
      <c r="BJ1089">
        <f>$C1089*BJ1088</f>
        <v/>
      </c>
      <c r="BK1089">
        <f>$C1089*BK1088</f>
        <v/>
      </c>
      <c r="BL1089">
        <f>$C1089*BL1088</f>
        <v/>
      </c>
      <c r="BM1089">
        <f>$C1089*BM1088</f>
        <v/>
      </c>
      <c r="BN1089">
        <f>$C1089*BN1088</f>
        <v/>
      </c>
      <c r="BO1089">
        <f>$C1089*BO1088</f>
        <v/>
      </c>
      <c r="BP1089">
        <f>$C1089*BP1088</f>
        <v/>
      </c>
      <c r="BQ1089">
        <f>$C1089*BQ1088</f>
        <v/>
      </c>
      <c r="BR1089">
        <f>$C1089*BR1088</f>
        <v/>
      </c>
      <c r="BS1089">
        <f>$C1089*BS1088</f>
        <v/>
      </c>
      <c r="BT1089">
        <f>$C1089*BT1088</f>
        <v/>
      </c>
      <c r="BU1089">
        <f>$C1089*BU1088</f>
        <v/>
      </c>
      <c r="BV1089">
        <f>$C1089*BV1088</f>
        <v/>
      </c>
      <c r="BW1089">
        <f>$C1089*BW1088</f>
        <v/>
      </c>
      <c r="BX1089">
        <f>$C1089*BX1088</f>
        <v/>
      </c>
      <c r="BY1089">
        <f>$C1089*BY1088</f>
        <v/>
      </c>
      <c r="BZ1089">
        <f>$C1089*BZ1088</f>
        <v/>
      </c>
      <c r="CA1089">
        <f>$C1089*CA1088</f>
        <v/>
      </c>
      <c r="CB1089">
        <f>$C1089*CB1088</f>
        <v/>
      </c>
      <c r="CC1089">
        <f>$C1089*CC1088</f>
        <v/>
      </c>
      <c r="CD1089">
        <f>$C1089*CD1088</f>
        <v/>
      </c>
      <c r="CE1089">
        <f>$C1089*CE1088</f>
        <v/>
      </c>
      <c r="CF1089">
        <f>$C1089*CF1088</f>
        <v/>
      </c>
      <c r="CG1089">
        <f>$C1089*CG1088</f>
        <v/>
      </c>
      <c r="CH1089">
        <f>$C1089*CH1088</f>
        <v/>
      </c>
      <c r="CI1089">
        <f>$C1089*CI1088</f>
        <v/>
      </c>
      <c r="CJ1089">
        <f>$C1089*CJ1088</f>
        <v/>
      </c>
      <c r="CK1089">
        <f>$C1089*CK1088</f>
        <v/>
      </c>
      <c r="CL1089">
        <f>$C1089*CL1088</f>
        <v/>
      </c>
      <c r="CM1089">
        <f>$C1089*CM1088</f>
        <v/>
      </c>
      <c r="CN1089">
        <f>$C1089*CN1088</f>
        <v/>
      </c>
      <c r="CO1089">
        <f>$C1089*CO1088</f>
        <v/>
      </c>
      <c r="CP1089">
        <f>$C1089*CP1088</f>
        <v/>
      </c>
      <c r="CQ1089">
        <f>$C1089*CQ1088</f>
        <v/>
      </c>
      <c r="CR1089">
        <f>$C1089*CR1088</f>
        <v/>
      </c>
      <c r="CS1089">
        <f>$C1089*CS1088</f>
        <v/>
      </c>
      <c r="CT1089">
        <f>$C1089*CT1088</f>
        <v/>
      </c>
      <c r="CU1089">
        <f>$C1089*CU1088</f>
        <v/>
      </c>
      <c r="CV1089">
        <f>$C1089*CV1088</f>
        <v/>
      </c>
      <c r="CW1089">
        <f>$C1089*CW1088</f>
        <v/>
      </c>
      <c r="CX1089">
        <f>$C1089*CX1088</f>
        <v/>
      </c>
      <c r="CY1089">
        <f>$C1089*CY1088</f>
        <v/>
      </c>
      <c r="CZ1089">
        <f>$C1089*CZ1088</f>
        <v/>
      </c>
      <c r="DA1089">
        <f>$C1089*DA1088</f>
        <v/>
      </c>
      <c r="DB1089">
        <f>$C1089*DB1088</f>
        <v/>
      </c>
      <c r="DC1089">
        <f>$C1089*DC1088</f>
        <v/>
      </c>
      <c r="DD1089">
        <f>$C1089*DD1088</f>
        <v/>
      </c>
    </row>
    <row r="1090">
      <c r="B1090" t="inlineStr">
        <is>
          <t>TPP-527</t>
        </is>
      </c>
      <c r="C1090" t="inlineStr">
        <is>
          <t>No. of batches</t>
        </is>
      </c>
      <c r="D1090">
        <f>IFERROR(INDEX(E1090:DD1090,$F$1),"")</f>
        <v/>
      </c>
      <c r="E1090">
        <f>IFERROR(INDEX(PP_Grid[#Data],$DE1090,2),0)</f>
        <v/>
      </c>
      <c r="F1090">
        <f>IFERROR(INDEX(PP_Grid[#Data],$DE1090,3),0)</f>
        <v/>
      </c>
      <c r="G1090">
        <f>IFERROR(INDEX(PP_Grid[#Data],$DE1090,4),0)</f>
        <v/>
      </c>
      <c r="H1090">
        <f>IFERROR(INDEX(PP_Grid[#Data],$DE1090,5),0)</f>
        <v/>
      </c>
      <c r="I1090">
        <f>IFERROR(INDEX(PP_Grid[#Data],$DE1090,6),0)</f>
        <v/>
      </c>
      <c r="J1090">
        <f>IFERROR(INDEX(PP_Grid[#Data],$DE1090,7),0)</f>
        <v/>
      </c>
      <c r="K1090">
        <f>IFERROR(INDEX(PP_Grid[#Data],$DE1090,8),0)</f>
        <v/>
      </c>
      <c r="L1090">
        <f>IFERROR(INDEX(PP_Grid[#Data],$DE1090,9),0)</f>
        <v/>
      </c>
      <c r="M1090">
        <f>IFERROR(INDEX(PP_Grid[#Data],$DE1090,10),0)</f>
        <v/>
      </c>
      <c r="N1090">
        <f>IFERROR(INDEX(PP_Grid[#Data],$DE1090,11),0)</f>
        <v/>
      </c>
      <c r="O1090">
        <f>IFERROR(INDEX(PP_Grid[#Data],$DE1090,12),0)</f>
        <v/>
      </c>
      <c r="P1090">
        <f>IFERROR(INDEX(PP_Grid[#Data],$DE1090,13),0)</f>
        <v/>
      </c>
      <c r="Q1090">
        <f>IFERROR(INDEX(PP_Grid[#Data],$DE1090,14),0)</f>
        <v/>
      </c>
      <c r="R1090">
        <f>IFERROR(INDEX(PP_Grid[#Data],$DE1090,15),0)</f>
        <v/>
      </c>
      <c r="S1090">
        <f>IFERROR(INDEX(PP_Grid[#Data],$DE1090,16),0)</f>
        <v/>
      </c>
      <c r="T1090">
        <f>IFERROR(INDEX(PP_Grid[#Data],$DE1090,17),0)</f>
        <v/>
      </c>
      <c r="U1090">
        <f>IFERROR(INDEX(PP_Grid[#Data],$DE1090,18),0)</f>
        <v/>
      </c>
      <c r="V1090">
        <f>IFERROR(INDEX(PP_Grid[#Data],$DE1090,19),0)</f>
        <v/>
      </c>
      <c r="W1090">
        <f>IFERROR(INDEX(PP_Grid[#Data],$DE1090,20),0)</f>
        <v/>
      </c>
      <c r="X1090">
        <f>IFERROR(INDEX(PP_Grid[#Data],$DE1090,21),0)</f>
        <v/>
      </c>
      <c r="Y1090">
        <f>IFERROR(INDEX(PP_Grid[#Data],$DE1090,22),0)</f>
        <v/>
      </c>
      <c r="Z1090">
        <f>IFERROR(INDEX(PP_Grid[#Data],$DE1090,23),0)</f>
        <v/>
      </c>
      <c r="AA1090">
        <f>IFERROR(INDEX(PP_Grid[#Data],$DE1090,24),0)</f>
        <v/>
      </c>
      <c r="AB1090">
        <f>IFERROR(INDEX(PP_Grid[#Data],$DE1090,25),0)</f>
        <v/>
      </c>
      <c r="AC1090">
        <f>IFERROR(INDEX(PP_Grid[#Data],$DE1090,26),0)</f>
        <v/>
      </c>
      <c r="AD1090">
        <f>IFERROR(INDEX(PP_Grid[#Data],$DE1090,27),0)</f>
        <v/>
      </c>
      <c r="AE1090">
        <f>IFERROR(INDEX(PP_Grid[#Data],$DE1090,28),0)</f>
        <v/>
      </c>
      <c r="AF1090">
        <f>IFERROR(INDEX(PP_Grid[#Data],$DE1090,29),0)</f>
        <v/>
      </c>
      <c r="AG1090">
        <f>IFERROR(INDEX(PP_Grid[#Data],$DE1090,30),0)</f>
        <v/>
      </c>
      <c r="AH1090">
        <f>IFERROR(INDEX(PP_Grid[#Data],$DE1090,31),0)</f>
        <v/>
      </c>
      <c r="AI1090">
        <f>IFERROR(INDEX(PP_Grid[#Data],$DE1090,32),0)</f>
        <v/>
      </c>
      <c r="AJ1090">
        <f>IFERROR(INDEX(PP_Grid[#Data],$DE1090,33),0)</f>
        <v/>
      </c>
      <c r="AK1090">
        <f>IFERROR(INDEX(PP_Grid[#Data],$DE1090,34),0)</f>
        <v/>
      </c>
      <c r="AL1090">
        <f>IFERROR(INDEX(PP_Grid[#Data],$DE1090,35),0)</f>
        <v/>
      </c>
      <c r="AM1090">
        <f>IFERROR(INDEX(PP_Grid[#Data],$DE1090,36),0)</f>
        <v/>
      </c>
      <c r="AN1090">
        <f>IFERROR(INDEX(PP_Grid[#Data],$DE1090,37),0)</f>
        <v/>
      </c>
      <c r="AO1090">
        <f>IFERROR(INDEX(PP_Grid[#Data],$DE1090,38),0)</f>
        <v/>
      </c>
      <c r="AP1090">
        <f>IFERROR(INDEX(PP_Grid[#Data],$DE1090,39),0)</f>
        <v/>
      </c>
      <c r="AQ1090">
        <f>IFERROR(INDEX(PP_Grid[#Data],$DE1090,40),0)</f>
        <v/>
      </c>
      <c r="AR1090">
        <f>IFERROR(INDEX(PP_Grid[#Data],$DE1090,41),0)</f>
        <v/>
      </c>
      <c r="AS1090">
        <f>IFERROR(INDEX(PP_Grid[#Data],$DE1090,42),0)</f>
        <v/>
      </c>
      <c r="AT1090">
        <f>IFERROR(INDEX(PP_Grid[#Data],$DE1090,43),0)</f>
        <v/>
      </c>
      <c r="AU1090">
        <f>IFERROR(INDEX(PP_Grid[#Data],$DE1090,44),0)</f>
        <v/>
      </c>
      <c r="AV1090">
        <f>IFERROR(INDEX(PP_Grid[#Data],$DE1090,45),0)</f>
        <v/>
      </c>
      <c r="AW1090">
        <f>IFERROR(INDEX(PP_Grid[#Data],$DE1090,46),0)</f>
        <v/>
      </c>
      <c r="AX1090">
        <f>IFERROR(INDEX(PP_Grid[#Data],$DE1090,47),0)</f>
        <v/>
      </c>
      <c r="AY1090">
        <f>IFERROR(INDEX(PP_Grid[#Data],$DE1090,48),0)</f>
        <v/>
      </c>
      <c r="AZ1090">
        <f>IFERROR(INDEX(PP_Grid[#Data],$DE1090,49),0)</f>
        <v/>
      </c>
      <c r="BA1090">
        <f>IFERROR(INDEX(PP_Grid[#Data],$DE1090,50),0)</f>
        <v/>
      </c>
      <c r="BB1090">
        <f>IFERROR(INDEX(PP_Grid[#Data],$DE1090,51),0)</f>
        <v/>
      </c>
      <c r="BC1090">
        <f>IFERROR(INDEX(PP_Grid[#Data],$DE1090,52),0)</f>
        <v/>
      </c>
      <c r="BD1090">
        <f>IFERROR(INDEX(PP_Grid[#Data],$DE1090,53),0)</f>
        <v/>
      </c>
      <c r="BE1090">
        <f>IFERROR(INDEX(PP_Grid[#Data],$DE1090,54),0)</f>
        <v/>
      </c>
      <c r="BF1090">
        <f>IFERROR(INDEX(PP_Grid[#Data],$DE1090,55),0)</f>
        <v/>
      </c>
      <c r="BG1090">
        <f>IFERROR(INDEX(PP_Grid[#Data],$DE1090,56),0)</f>
        <v/>
      </c>
      <c r="BH1090">
        <f>IFERROR(INDEX(PP_Grid[#Data],$DE1090,57),0)</f>
        <v/>
      </c>
      <c r="BI1090">
        <f>IFERROR(INDEX(PP_Grid[#Data],$DE1090,58),0)</f>
        <v/>
      </c>
      <c r="BJ1090">
        <f>IFERROR(INDEX(PP_Grid[#Data],$DE1090,59),0)</f>
        <v/>
      </c>
      <c r="BK1090">
        <f>IFERROR(INDEX(PP_Grid[#Data],$DE1090,60),0)</f>
        <v/>
      </c>
      <c r="BL1090">
        <f>IFERROR(INDEX(PP_Grid[#Data],$DE1090,61),0)</f>
        <v/>
      </c>
      <c r="BM1090">
        <f>IFERROR(INDEX(PP_Grid[#Data],$DE1090,62),0)</f>
        <v/>
      </c>
      <c r="BN1090">
        <f>IFERROR(INDEX(PP_Grid[#Data],$DE1090,63),0)</f>
        <v/>
      </c>
      <c r="BO1090">
        <f>IFERROR(INDEX(PP_Grid[#Data],$DE1090,64),0)</f>
        <v/>
      </c>
      <c r="BP1090">
        <f>IFERROR(INDEX(PP_Grid[#Data],$DE1090,65),0)</f>
        <v/>
      </c>
      <c r="BQ1090">
        <f>IFERROR(INDEX(PP_Grid[#Data],$DE1090,66),0)</f>
        <v/>
      </c>
      <c r="BR1090">
        <f>IFERROR(INDEX(PP_Grid[#Data],$DE1090,67),0)</f>
        <v/>
      </c>
      <c r="BS1090">
        <f>IFERROR(INDEX(PP_Grid[#Data],$DE1090,68),0)</f>
        <v/>
      </c>
      <c r="BT1090">
        <f>IFERROR(INDEX(PP_Grid[#Data],$DE1090,69),0)</f>
        <v/>
      </c>
      <c r="BU1090">
        <f>IFERROR(INDEX(PP_Grid[#Data],$DE1090,70),0)</f>
        <v/>
      </c>
      <c r="BV1090">
        <f>IFERROR(INDEX(PP_Grid[#Data],$DE1090,71),0)</f>
        <v/>
      </c>
      <c r="BW1090">
        <f>IFERROR(INDEX(PP_Grid[#Data],$DE1090,72),0)</f>
        <v/>
      </c>
      <c r="BX1090">
        <f>IFERROR(INDEX(PP_Grid[#Data],$DE1090,73),0)</f>
        <v/>
      </c>
      <c r="BY1090">
        <f>IFERROR(INDEX(PP_Grid[#Data],$DE1090,74),0)</f>
        <v/>
      </c>
      <c r="BZ1090">
        <f>IFERROR(INDEX(PP_Grid[#Data],$DE1090,75),0)</f>
        <v/>
      </c>
      <c r="CA1090">
        <f>IFERROR(INDEX(PP_Grid[#Data],$DE1090,76),0)</f>
        <v/>
      </c>
      <c r="CB1090">
        <f>IFERROR(INDEX(PP_Grid[#Data],$DE1090,77),0)</f>
        <v/>
      </c>
      <c r="CC1090">
        <f>IFERROR(INDEX(PP_Grid[#Data],$DE1090,78),0)</f>
        <v/>
      </c>
      <c r="CD1090">
        <f>IFERROR(INDEX(PP_Grid[#Data],$DE1090,79),0)</f>
        <v/>
      </c>
      <c r="CE1090">
        <f>IFERROR(INDEX(PP_Grid[#Data],$DE1090,80),0)</f>
        <v/>
      </c>
      <c r="CF1090">
        <f>IFERROR(INDEX(PP_Grid[#Data],$DE1090,81),0)</f>
        <v/>
      </c>
      <c r="CG1090">
        <f>IFERROR(INDEX(PP_Grid[#Data],$DE1090,82),0)</f>
        <v/>
      </c>
      <c r="CH1090">
        <f>IFERROR(INDEX(PP_Grid[#Data],$DE1090,83),0)</f>
        <v/>
      </c>
      <c r="CI1090">
        <f>IFERROR(INDEX(PP_Grid[#Data],$DE1090,84),0)</f>
        <v/>
      </c>
      <c r="CJ1090">
        <f>IFERROR(INDEX(PP_Grid[#Data],$DE1090,85),0)</f>
        <v/>
      </c>
      <c r="CK1090">
        <f>IFERROR(INDEX(PP_Grid[#Data],$DE1090,86),0)</f>
        <v/>
      </c>
      <c r="CL1090">
        <f>IFERROR(INDEX(PP_Grid[#Data],$DE1090,87),0)</f>
        <v/>
      </c>
      <c r="CM1090">
        <f>IFERROR(INDEX(PP_Grid[#Data],$DE1090,88),0)</f>
        <v/>
      </c>
      <c r="CN1090">
        <f>IFERROR(INDEX(PP_Grid[#Data],$DE1090,89),0)</f>
        <v/>
      </c>
      <c r="CO1090">
        <f>IFERROR(INDEX(PP_Grid[#Data],$DE1090,90),0)</f>
        <v/>
      </c>
      <c r="CP1090">
        <f>IFERROR(INDEX(PP_Grid[#Data],$DE1090,91),0)</f>
        <v/>
      </c>
      <c r="CQ1090">
        <f>IFERROR(INDEX(PP_Grid[#Data],$DE1090,92),0)</f>
        <v/>
      </c>
      <c r="CR1090">
        <f>IFERROR(INDEX(PP_Grid[#Data],$DE1090,93),0)</f>
        <v/>
      </c>
      <c r="CS1090">
        <f>IFERROR(INDEX(PP_Grid[#Data],$DE1090,94),0)</f>
        <v/>
      </c>
      <c r="CT1090">
        <f>IFERROR(INDEX(PP_Grid[#Data],$DE1090,95),0)</f>
        <v/>
      </c>
      <c r="CU1090">
        <f>IFERROR(INDEX(PP_Grid[#Data],$DE1090,96),0)</f>
        <v/>
      </c>
      <c r="CV1090">
        <f>IFERROR(INDEX(PP_Grid[#Data],$DE1090,97),0)</f>
        <v/>
      </c>
      <c r="CW1090">
        <f>IFERROR(INDEX(PP_Grid[#Data],$DE1090,98),0)</f>
        <v/>
      </c>
      <c r="CX1090">
        <f>IFERROR(INDEX(PP_Grid[#Data],$DE1090,99),0)</f>
        <v/>
      </c>
      <c r="CY1090">
        <f>IFERROR(INDEX(PP_Grid[#Data],$DE1090,100),0)</f>
        <v/>
      </c>
      <c r="CZ1090">
        <f>IFERROR(INDEX(PP_Grid[#Data],$DE1090,101),0)</f>
        <v/>
      </c>
      <c r="DA1090">
        <f>IFERROR(INDEX(PP_Grid[#Data],$DE1090,102),0)</f>
        <v/>
      </c>
      <c r="DB1090">
        <f>IFERROR(INDEX(PP_Grid[#Data],$DE1090,103),0)</f>
        <v/>
      </c>
      <c r="DC1090">
        <f>IFERROR(INDEX(PP_Grid[#Data],$DE1090,104),0)</f>
        <v/>
      </c>
      <c r="DD1090">
        <f>IFERROR(INDEX(PP_Grid[#Data],$DE1090,105),0)</f>
        <v/>
      </c>
      <c r="DE1090" s="7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SUMIFS(M_BOM[RM_Qty_Per_Batch],M_BOM[Intermediate],$B1090,M_BOM[RM_Code],$A1071)</f>
        <v/>
      </c>
      <c r="D1091">
        <f>IFERROR(INDEX(E1091:DD1091,$F$1),"")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  <c r="DD1091">
        <f>$C1091*DD1090</f>
        <v/>
      </c>
    </row>
    <row r="1092">
      <c r="B1092" t="inlineStr">
        <is>
          <t>TPP-537</t>
        </is>
      </c>
      <c r="C1092" t="inlineStr">
        <is>
          <t>No. of batches</t>
        </is>
      </c>
      <c r="D1092">
        <f>IFERROR(INDEX(E1092:DD1092,$F$1),"")</f>
        <v/>
      </c>
      <c r="E1092">
        <f>IFERROR(INDEX(PP_Grid[#Data],$DE1092,2),0)</f>
        <v/>
      </c>
      <c r="F1092">
        <f>IFERROR(INDEX(PP_Grid[#Data],$DE1092,3),0)</f>
        <v/>
      </c>
      <c r="G1092">
        <f>IFERROR(INDEX(PP_Grid[#Data],$DE1092,4),0)</f>
        <v/>
      </c>
      <c r="H1092">
        <f>IFERROR(INDEX(PP_Grid[#Data],$DE1092,5),0)</f>
        <v/>
      </c>
      <c r="I1092">
        <f>IFERROR(INDEX(PP_Grid[#Data],$DE1092,6),0)</f>
        <v/>
      </c>
      <c r="J1092">
        <f>IFERROR(INDEX(PP_Grid[#Data],$DE1092,7),0)</f>
        <v/>
      </c>
      <c r="K1092">
        <f>IFERROR(INDEX(PP_Grid[#Data],$DE1092,8),0)</f>
        <v/>
      </c>
      <c r="L1092">
        <f>IFERROR(INDEX(PP_Grid[#Data],$DE1092,9),0)</f>
        <v/>
      </c>
      <c r="M1092">
        <f>IFERROR(INDEX(PP_Grid[#Data],$DE1092,10),0)</f>
        <v/>
      </c>
      <c r="N1092">
        <f>IFERROR(INDEX(PP_Grid[#Data],$DE1092,11),0)</f>
        <v/>
      </c>
      <c r="O1092">
        <f>IFERROR(INDEX(PP_Grid[#Data],$DE1092,12),0)</f>
        <v/>
      </c>
      <c r="P1092">
        <f>IFERROR(INDEX(PP_Grid[#Data],$DE1092,13),0)</f>
        <v/>
      </c>
      <c r="Q1092">
        <f>IFERROR(INDEX(PP_Grid[#Data],$DE1092,14),0)</f>
        <v/>
      </c>
      <c r="R1092">
        <f>IFERROR(INDEX(PP_Grid[#Data],$DE1092,15),0)</f>
        <v/>
      </c>
      <c r="S1092">
        <f>IFERROR(INDEX(PP_Grid[#Data],$DE1092,16),0)</f>
        <v/>
      </c>
      <c r="T1092">
        <f>IFERROR(INDEX(PP_Grid[#Data],$DE1092,17),0)</f>
        <v/>
      </c>
      <c r="U1092">
        <f>IFERROR(INDEX(PP_Grid[#Data],$DE1092,18),0)</f>
        <v/>
      </c>
      <c r="V1092">
        <f>IFERROR(INDEX(PP_Grid[#Data],$DE1092,19),0)</f>
        <v/>
      </c>
      <c r="W1092">
        <f>IFERROR(INDEX(PP_Grid[#Data],$DE1092,20),0)</f>
        <v/>
      </c>
      <c r="X1092">
        <f>IFERROR(INDEX(PP_Grid[#Data],$DE1092,21),0)</f>
        <v/>
      </c>
      <c r="Y1092">
        <f>IFERROR(INDEX(PP_Grid[#Data],$DE1092,22),0)</f>
        <v/>
      </c>
      <c r="Z1092">
        <f>IFERROR(INDEX(PP_Grid[#Data],$DE1092,23),0)</f>
        <v/>
      </c>
      <c r="AA1092">
        <f>IFERROR(INDEX(PP_Grid[#Data],$DE1092,24),0)</f>
        <v/>
      </c>
      <c r="AB1092">
        <f>IFERROR(INDEX(PP_Grid[#Data],$DE1092,25),0)</f>
        <v/>
      </c>
      <c r="AC1092">
        <f>IFERROR(INDEX(PP_Grid[#Data],$DE1092,26),0)</f>
        <v/>
      </c>
      <c r="AD1092">
        <f>IFERROR(INDEX(PP_Grid[#Data],$DE1092,27),0)</f>
        <v/>
      </c>
      <c r="AE1092">
        <f>IFERROR(INDEX(PP_Grid[#Data],$DE1092,28),0)</f>
        <v/>
      </c>
      <c r="AF1092">
        <f>IFERROR(INDEX(PP_Grid[#Data],$DE1092,29),0)</f>
        <v/>
      </c>
      <c r="AG1092">
        <f>IFERROR(INDEX(PP_Grid[#Data],$DE1092,30),0)</f>
        <v/>
      </c>
      <c r="AH1092">
        <f>IFERROR(INDEX(PP_Grid[#Data],$DE1092,31),0)</f>
        <v/>
      </c>
      <c r="AI1092">
        <f>IFERROR(INDEX(PP_Grid[#Data],$DE1092,32),0)</f>
        <v/>
      </c>
      <c r="AJ1092">
        <f>IFERROR(INDEX(PP_Grid[#Data],$DE1092,33),0)</f>
        <v/>
      </c>
      <c r="AK1092">
        <f>IFERROR(INDEX(PP_Grid[#Data],$DE1092,34),0)</f>
        <v/>
      </c>
      <c r="AL1092">
        <f>IFERROR(INDEX(PP_Grid[#Data],$DE1092,35),0)</f>
        <v/>
      </c>
      <c r="AM1092">
        <f>IFERROR(INDEX(PP_Grid[#Data],$DE1092,36),0)</f>
        <v/>
      </c>
      <c r="AN1092">
        <f>IFERROR(INDEX(PP_Grid[#Data],$DE1092,37),0)</f>
        <v/>
      </c>
      <c r="AO1092">
        <f>IFERROR(INDEX(PP_Grid[#Data],$DE1092,38),0)</f>
        <v/>
      </c>
      <c r="AP1092">
        <f>IFERROR(INDEX(PP_Grid[#Data],$DE1092,39),0)</f>
        <v/>
      </c>
      <c r="AQ1092">
        <f>IFERROR(INDEX(PP_Grid[#Data],$DE1092,40),0)</f>
        <v/>
      </c>
      <c r="AR1092">
        <f>IFERROR(INDEX(PP_Grid[#Data],$DE1092,41),0)</f>
        <v/>
      </c>
      <c r="AS1092">
        <f>IFERROR(INDEX(PP_Grid[#Data],$DE1092,42),0)</f>
        <v/>
      </c>
      <c r="AT1092">
        <f>IFERROR(INDEX(PP_Grid[#Data],$DE1092,43),0)</f>
        <v/>
      </c>
      <c r="AU1092">
        <f>IFERROR(INDEX(PP_Grid[#Data],$DE1092,44),0)</f>
        <v/>
      </c>
      <c r="AV1092">
        <f>IFERROR(INDEX(PP_Grid[#Data],$DE1092,45),0)</f>
        <v/>
      </c>
      <c r="AW1092">
        <f>IFERROR(INDEX(PP_Grid[#Data],$DE1092,46),0)</f>
        <v/>
      </c>
      <c r="AX1092">
        <f>IFERROR(INDEX(PP_Grid[#Data],$DE1092,47),0)</f>
        <v/>
      </c>
      <c r="AY1092">
        <f>IFERROR(INDEX(PP_Grid[#Data],$DE1092,48),0)</f>
        <v/>
      </c>
      <c r="AZ1092">
        <f>IFERROR(INDEX(PP_Grid[#Data],$DE1092,49),0)</f>
        <v/>
      </c>
      <c r="BA1092">
        <f>IFERROR(INDEX(PP_Grid[#Data],$DE1092,50),0)</f>
        <v/>
      </c>
      <c r="BB1092">
        <f>IFERROR(INDEX(PP_Grid[#Data],$DE1092,51),0)</f>
        <v/>
      </c>
      <c r="BC1092">
        <f>IFERROR(INDEX(PP_Grid[#Data],$DE1092,52),0)</f>
        <v/>
      </c>
      <c r="BD1092">
        <f>IFERROR(INDEX(PP_Grid[#Data],$DE1092,53),0)</f>
        <v/>
      </c>
      <c r="BE1092">
        <f>IFERROR(INDEX(PP_Grid[#Data],$DE1092,54),0)</f>
        <v/>
      </c>
      <c r="BF1092">
        <f>IFERROR(INDEX(PP_Grid[#Data],$DE1092,55),0)</f>
        <v/>
      </c>
      <c r="BG1092">
        <f>IFERROR(INDEX(PP_Grid[#Data],$DE1092,56),0)</f>
        <v/>
      </c>
      <c r="BH1092">
        <f>IFERROR(INDEX(PP_Grid[#Data],$DE1092,57),0)</f>
        <v/>
      </c>
      <c r="BI1092">
        <f>IFERROR(INDEX(PP_Grid[#Data],$DE1092,58),0)</f>
        <v/>
      </c>
      <c r="BJ1092">
        <f>IFERROR(INDEX(PP_Grid[#Data],$DE1092,59),0)</f>
        <v/>
      </c>
      <c r="BK1092">
        <f>IFERROR(INDEX(PP_Grid[#Data],$DE1092,60),0)</f>
        <v/>
      </c>
      <c r="BL1092">
        <f>IFERROR(INDEX(PP_Grid[#Data],$DE1092,61),0)</f>
        <v/>
      </c>
      <c r="BM1092">
        <f>IFERROR(INDEX(PP_Grid[#Data],$DE1092,62),0)</f>
        <v/>
      </c>
      <c r="BN1092">
        <f>IFERROR(INDEX(PP_Grid[#Data],$DE1092,63),0)</f>
        <v/>
      </c>
      <c r="BO1092">
        <f>IFERROR(INDEX(PP_Grid[#Data],$DE1092,64),0)</f>
        <v/>
      </c>
      <c r="BP1092">
        <f>IFERROR(INDEX(PP_Grid[#Data],$DE1092,65),0)</f>
        <v/>
      </c>
      <c r="BQ1092">
        <f>IFERROR(INDEX(PP_Grid[#Data],$DE1092,66),0)</f>
        <v/>
      </c>
      <c r="BR1092">
        <f>IFERROR(INDEX(PP_Grid[#Data],$DE1092,67),0)</f>
        <v/>
      </c>
      <c r="BS1092">
        <f>IFERROR(INDEX(PP_Grid[#Data],$DE1092,68),0)</f>
        <v/>
      </c>
      <c r="BT1092">
        <f>IFERROR(INDEX(PP_Grid[#Data],$DE1092,69),0)</f>
        <v/>
      </c>
      <c r="BU1092">
        <f>IFERROR(INDEX(PP_Grid[#Data],$DE1092,70),0)</f>
        <v/>
      </c>
      <c r="BV1092">
        <f>IFERROR(INDEX(PP_Grid[#Data],$DE1092,71),0)</f>
        <v/>
      </c>
      <c r="BW1092">
        <f>IFERROR(INDEX(PP_Grid[#Data],$DE1092,72),0)</f>
        <v/>
      </c>
      <c r="BX1092">
        <f>IFERROR(INDEX(PP_Grid[#Data],$DE1092,73),0)</f>
        <v/>
      </c>
      <c r="BY1092">
        <f>IFERROR(INDEX(PP_Grid[#Data],$DE1092,74),0)</f>
        <v/>
      </c>
      <c r="BZ1092">
        <f>IFERROR(INDEX(PP_Grid[#Data],$DE1092,75),0)</f>
        <v/>
      </c>
      <c r="CA1092">
        <f>IFERROR(INDEX(PP_Grid[#Data],$DE1092,76),0)</f>
        <v/>
      </c>
      <c r="CB1092">
        <f>IFERROR(INDEX(PP_Grid[#Data],$DE1092,77),0)</f>
        <v/>
      </c>
      <c r="CC1092">
        <f>IFERROR(INDEX(PP_Grid[#Data],$DE1092,78),0)</f>
        <v/>
      </c>
      <c r="CD1092">
        <f>IFERROR(INDEX(PP_Grid[#Data],$DE1092,79),0)</f>
        <v/>
      </c>
      <c r="CE1092">
        <f>IFERROR(INDEX(PP_Grid[#Data],$DE1092,80),0)</f>
        <v/>
      </c>
      <c r="CF1092">
        <f>IFERROR(INDEX(PP_Grid[#Data],$DE1092,81),0)</f>
        <v/>
      </c>
      <c r="CG1092">
        <f>IFERROR(INDEX(PP_Grid[#Data],$DE1092,82),0)</f>
        <v/>
      </c>
      <c r="CH1092">
        <f>IFERROR(INDEX(PP_Grid[#Data],$DE1092,83),0)</f>
        <v/>
      </c>
      <c r="CI1092">
        <f>IFERROR(INDEX(PP_Grid[#Data],$DE1092,84),0)</f>
        <v/>
      </c>
      <c r="CJ1092">
        <f>IFERROR(INDEX(PP_Grid[#Data],$DE1092,85),0)</f>
        <v/>
      </c>
      <c r="CK1092">
        <f>IFERROR(INDEX(PP_Grid[#Data],$DE1092,86),0)</f>
        <v/>
      </c>
      <c r="CL1092">
        <f>IFERROR(INDEX(PP_Grid[#Data],$DE1092,87),0)</f>
        <v/>
      </c>
      <c r="CM1092">
        <f>IFERROR(INDEX(PP_Grid[#Data],$DE1092,88),0)</f>
        <v/>
      </c>
      <c r="CN1092">
        <f>IFERROR(INDEX(PP_Grid[#Data],$DE1092,89),0)</f>
        <v/>
      </c>
      <c r="CO1092">
        <f>IFERROR(INDEX(PP_Grid[#Data],$DE1092,90),0)</f>
        <v/>
      </c>
      <c r="CP1092">
        <f>IFERROR(INDEX(PP_Grid[#Data],$DE1092,91),0)</f>
        <v/>
      </c>
      <c r="CQ1092">
        <f>IFERROR(INDEX(PP_Grid[#Data],$DE1092,92),0)</f>
        <v/>
      </c>
      <c r="CR1092">
        <f>IFERROR(INDEX(PP_Grid[#Data],$DE1092,93),0)</f>
        <v/>
      </c>
      <c r="CS1092">
        <f>IFERROR(INDEX(PP_Grid[#Data],$DE1092,94),0)</f>
        <v/>
      </c>
      <c r="CT1092">
        <f>IFERROR(INDEX(PP_Grid[#Data],$DE1092,95),0)</f>
        <v/>
      </c>
      <c r="CU1092">
        <f>IFERROR(INDEX(PP_Grid[#Data],$DE1092,96),0)</f>
        <v/>
      </c>
      <c r="CV1092">
        <f>IFERROR(INDEX(PP_Grid[#Data],$DE1092,97),0)</f>
        <v/>
      </c>
      <c r="CW1092">
        <f>IFERROR(INDEX(PP_Grid[#Data],$DE1092,98),0)</f>
        <v/>
      </c>
      <c r="CX1092">
        <f>IFERROR(INDEX(PP_Grid[#Data],$DE1092,99),0)</f>
        <v/>
      </c>
      <c r="CY1092">
        <f>IFERROR(INDEX(PP_Grid[#Data],$DE1092,100),0)</f>
        <v/>
      </c>
      <c r="CZ1092">
        <f>IFERROR(INDEX(PP_Grid[#Data],$DE1092,101),0)</f>
        <v/>
      </c>
      <c r="DA1092">
        <f>IFERROR(INDEX(PP_Grid[#Data],$DE1092,102),0)</f>
        <v/>
      </c>
      <c r="DB1092">
        <f>IFERROR(INDEX(PP_Grid[#Data],$DE1092,103),0)</f>
        <v/>
      </c>
      <c r="DC1092">
        <f>IFERROR(INDEX(PP_Grid[#Data],$DE1092,104),0)</f>
        <v/>
      </c>
      <c r="DD1092">
        <f>IFERROR(INDEX(PP_Grid[#Data],$DE1092,105),0)</f>
        <v/>
      </c>
      <c r="DE1092" s="7">
        <f>IFERROR(MATCH($B1092,PP_Grid[Intermediate],0),99999)</f>
        <v/>
      </c>
    </row>
    <row r="1093">
      <c r="B1093" t="inlineStr">
        <is>
          <t>使用量(kg)</t>
        </is>
      </c>
      <c r="C1093">
        <f>SUMIFS(M_BOM[RM_Qty_Per_Batch],M_BOM[Intermediate],$B1092,M_BOM[RM_Code],$A1071)</f>
        <v/>
      </c>
      <c r="D1093">
        <f>IFERROR(INDEX(E1093:DD1093,$F$1),"")</f>
        <v/>
      </c>
      <c r="E1093">
        <f>$C1093*E1092</f>
        <v/>
      </c>
      <c r="F1093">
        <f>$C1093*F1092</f>
        <v/>
      </c>
      <c r="G1093">
        <f>$C1093*G1092</f>
        <v/>
      </c>
      <c r="H1093">
        <f>$C1093*H1092</f>
        <v/>
      </c>
      <c r="I1093">
        <f>$C1093*I1092</f>
        <v/>
      </c>
      <c r="J1093">
        <f>$C1093*J1092</f>
        <v/>
      </c>
      <c r="K1093">
        <f>$C1093*K1092</f>
        <v/>
      </c>
      <c r="L1093">
        <f>$C1093*L1092</f>
        <v/>
      </c>
      <c r="M1093">
        <f>$C1093*M1092</f>
        <v/>
      </c>
      <c r="N1093">
        <f>$C1093*N1092</f>
        <v/>
      </c>
      <c r="O1093">
        <f>$C1093*O1092</f>
        <v/>
      </c>
      <c r="P1093">
        <f>$C1093*P1092</f>
        <v/>
      </c>
      <c r="Q1093">
        <f>$C1093*Q1092</f>
        <v/>
      </c>
      <c r="R1093">
        <f>$C1093*R1092</f>
        <v/>
      </c>
      <c r="S1093">
        <f>$C1093*S1092</f>
        <v/>
      </c>
      <c r="T1093">
        <f>$C1093*T1092</f>
        <v/>
      </c>
      <c r="U1093">
        <f>$C1093*U1092</f>
        <v/>
      </c>
      <c r="V1093">
        <f>$C1093*V1092</f>
        <v/>
      </c>
      <c r="W1093">
        <f>$C1093*W1092</f>
        <v/>
      </c>
      <c r="X1093">
        <f>$C1093*X1092</f>
        <v/>
      </c>
      <c r="Y1093">
        <f>$C1093*Y1092</f>
        <v/>
      </c>
      <c r="Z1093">
        <f>$C1093*Z1092</f>
        <v/>
      </c>
      <c r="AA1093">
        <f>$C1093*AA1092</f>
        <v/>
      </c>
      <c r="AB1093">
        <f>$C1093*AB1092</f>
        <v/>
      </c>
      <c r="AC1093">
        <f>$C1093*AC1092</f>
        <v/>
      </c>
      <c r="AD1093">
        <f>$C1093*AD1092</f>
        <v/>
      </c>
      <c r="AE1093">
        <f>$C1093*AE1092</f>
        <v/>
      </c>
      <c r="AF1093">
        <f>$C1093*AF1092</f>
        <v/>
      </c>
      <c r="AG1093">
        <f>$C1093*AG1092</f>
        <v/>
      </c>
      <c r="AH1093">
        <f>$C1093*AH1092</f>
        <v/>
      </c>
      <c r="AI1093">
        <f>$C1093*AI1092</f>
        <v/>
      </c>
      <c r="AJ1093">
        <f>$C1093*AJ1092</f>
        <v/>
      </c>
      <c r="AK1093">
        <f>$C1093*AK1092</f>
        <v/>
      </c>
      <c r="AL1093">
        <f>$C1093*AL1092</f>
        <v/>
      </c>
      <c r="AM1093">
        <f>$C1093*AM1092</f>
        <v/>
      </c>
      <c r="AN1093">
        <f>$C1093*AN1092</f>
        <v/>
      </c>
      <c r="AO1093">
        <f>$C1093*AO1092</f>
        <v/>
      </c>
      <c r="AP1093">
        <f>$C1093*AP1092</f>
        <v/>
      </c>
      <c r="AQ1093">
        <f>$C1093*AQ1092</f>
        <v/>
      </c>
      <c r="AR1093">
        <f>$C1093*AR1092</f>
        <v/>
      </c>
      <c r="AS1093">
        <f>$C1093*AS1092</f>
        <v/>
      </c>
      <c r="AT1093">
        <f>$C1093*AT1092</f>
        <v/>
      </c>
      <c r="AU1093">
        <f>$C1093*AU1092</f>
        <v/>
      </c>
      <c r="AV1093">
        <f>$C1093*AV1092</f>
        <v/>
      </c>
      <c r="AW1093">
        <f>$C1093*AW1092</f>
        <v/>
      </c>
      <c r="AX1093">
        <f>$C1093*AX1092</f>
        <v/>
      </c>
      <c r="AY1093">
        <f>$C1093*AY1092</f>
        <v/>
      </c>
      <c r="AZ1093">
        <f>$C1093*AZ1092</f>
        <v/>
      </c>
      <c r="BA1093">
        <f>$C1093*BA1092</f>
        <v/>
      </c>
      <c r="BB1093">
        <f>$C1093*BB1092</f>
        <v/>
      </c>
      <c r="BC1093">
        <f>$C1093*BC1092</f>
        <v/>
      </c>
      <c r="BD1093">
        <f>$C1093*BD1092</f>
        <v/>
      </c>
      <c r="BE1093">
        <f>$C1093*BE1092</f>
        <v/>
      </c>
      <c r="BF1093">
        <f>$C1093*BF1092</f>
        <v/>
      </c>
      <c r="BG1093">
        <f>$C1093*BG1092</f>
        <v/>
      </c>
      <c r="BH1093">
        <f>$C1093*BH1092</f>
        <v/>
      </c>
      <c r="BI1093">
        <f>$C1093*BI1092</f>
        <v/>
      </c>
      <c r="BJ1093">
        <f>$C1093*BJ1092</f>
        <v/>
      </c>
      <c r="BK1093">
        <f>$C1093*BK1092</f>
        <v/>
      </c>
      <c r="BL1093">
        <f>$C1093*BL1092</f>
        <v/>
      </c>
      <c r="BM1093">
        <f>$C1093*BM1092</f>
        <v/>
      </c>
      <c r="BN1093">
        <f>$C1093*BN1092</f>
        <v/>
      </c>
      <c r="BO1093">
        <f>$C1093*BO1092</f>
        <v/>
      </c>
      <c r="BP1093">
        <f>$C1093*BP1092</f>
        <v/>
      </c>
      <c r="BQ1093">
        <f>$C1093*BQ1092</f>
        <v/>
      </c>
      <c r="BR1093">
        <f>$C1093*BR1092</f>
        <v/>
      </c>
      <c r="BS1093">
        <f>$C1093*BS1092</f>
        <v/>
      </c>
      <c r="BT1093">
        <f>$C1093*BT1092</f>
        <v/>
      </c>
      <c r="BU1093">
        <f>$C1093*BU1092</f>
        <v/>
      </c>
      <c r="BV1093">
        <f>$C1093*BV1092</f>
        <v/>
      </c>
      <c r="BW1093">
        <f>$C1093*BW1092</f>
        <v/>
      </c>
      <c r="BX1093">
        <f>$C1093*BX1092</f>
        <v/>
      </c>
      <c r="BY1093">
        <f>$C1093*BY1092</f>
        <v/>
      </c>
      <c r="BZ1093">
        <f>$C1093*BZ1092</f>
        <v/>
      </c>
      <c r="CA1093">
        <f>$C1093*CA1092</f>
        <v/>
      </c>
      <c r="CB1093">
        <f>$C1093*CB1092</f>
        <v/>
      </c>
      <c r="CC1093">
        <f>$C1093*CC1092</f>
        <v/>
      </c>
      <c r="CD1093">
        <f>$C1093*CD1092</f>
        <v/>
      </c>
      <c r="CE1093">
        <f>$C1093*CE1092</f>
        <v/>
      </c>
      <c r="CF1093">
        <f>$C1093*CF1092</f>
        <v/>
      </c>
      <c r="CG1093">
        <f>$C1093*CG1092</f>
        <v/>
      </c>
      <c r="CH1093">
        <f>$C1093*CH1092</f>
        <v/>
      </c>
      <c r="CI1093">
        <f>$C1093*CI1092</f>
        <v/>
      </c>
      <c r="CJ1093">
        <f>$C1093*CJ1092</f>
        <v/>
      </c>
      <c r="CK1093">
        <f>$C1093*CK1092</f>
        <v/>
      </c>
      <c r="CL1093">
        <f>$C1093*CL1092</f>
        <v/>
      </c>
      <c r="CM1093">
        <f>$C1093*CM1092</f>
        <v/>
      </c>
      <c r="CN1093">
        <f>$C1093*CN1092</f>
        <v/>
      </c>
      <c r="CO1093">
        <f>$C1093*CO1092</f>
        <v/>
      </c>
      <c r="CP1093">
        <f>$C1093*CP1092</f>
        <v/>
      </c>
      <c r="CQ1093">
        <f>$C1093*CQ1092</f>
        <v/>
      </c>
      <c r="CR1093">
        <f>$C1093*CR1092</f>
        <v/>
      </c>
      <c r="CS1093">
        <f>$C1093*CS1092</f>
        <v/>
      </c>
      <c r="CT1093">
        <f>$C1093*CT1092</f>
        <v/>
      </c>
      <c r="CU1093">
        <f>$C1093*CU1092</f>
        <v/>
      </c>
      <c r="CV1093">
        <f>$C1093*CV1092</f>
        <v/>
      </c>
      <c r="CW1093">
        <f>$C1093*CW1092</f>
        <v/>
      </c>
      <c r="CX1093">
        <f>$C1093*CX1092</f>
        <v/>
      </c>
      <c r="CY1093">
        <f>$C1093*CY1092</f>
        <v/>
      </c>
      <c r="CZ1093">
        <f>$C1093*CZ1092</f>
        <v/>
      </c>
      <c r="DA1093">
        <f>$C1093*DA1092</f>
        <v/>
      </c>
      <c r="DB1093">
        <f>$C1093*DB1092</f>
        <v/>
      </c>
      <c r="DC1093">
        <f>$C1093*DC1092</f>
        <v/>
      </c>
      <c r="DD1093">
        <f>$C1093*DD1092</f>
        <v/>
      </c>
    </row>
    <row r="1094">
      <c r="B1094" t="inlineStr">
        <is>
          <t>TPP-970</t>
        </is>
      </c>
      <c r="C1094" t="inlineStr">
        <is>
          <t>No. of batches</t>
        </is>
      </c>
      <c r="D1094">
        <f>IFERROR(INDEX(E1094:DD1094,$F$1),"")</f>
        <v/>
      </c>
      <c r="E1094">
        <f>IFERROR(INDEX(PP_Grid[#Data],$DE1094,2),0)</f>
        <v/>
      </c>
      <c r="F1094">
        <f>IFERROR(INDEX(PP_Grid[#Data],$DE1094,3),0)</f>
        <v/>
      </c>
      <c r="G1094">
        <f>IFERROR(INDEX(PP_Grid[#Data],$DE1094,4),0)</f>
        <v/>
      </c>
      <c r="H1094">
        <f>IFERROR(INDEX(PP_Grid[#Data],$DE1094,5),0)</f>
        <v/>
      </c>
      <c r="I1094">
        <f>IFERROR(INDEX(PP_Grid[#Data],$DE1094,6),0)</f>
        <v/>
      </c>
      <c r="J1094">
        <f>IFERROR(INDEX(PP_Grid[#Data],$DE1094,7),0)</f>
        <v/>
      </c>
      <c r="K1094">
        <f>IFERROR(INDEX(PP_Grid[#Data],$DE1094,8),0)</f>
        <v/>
      </c>
      <c r="L1094">
        <f>IFERROR(INDEX(PP_Grid[#Data],$DE1094,9),0)</f>
        <v/>
      </c>
      <c r="M1094">
        <f>IFERROR(INDEX(PP_Grid[#Data],$DE1094,10),0)</f>
        <v/>
      </c>
      <c r="N1094">
        <f>IFERROR(INDEX(PP_Grid[#Data],$DE1094,11),0)</f>
        <v/>
      </c>
      <c r="O1094">
        <f>IFERROR(INDEX(PP_Grid[#Data],$DE1094,12),0)</f>
        <v/>
      </c>
      <c r="P1094">
        <f>IFERROR(INDEX(PP_Grid[#Data],$DE1094,13),0)</f>
        <v/>
      </c>
      <c r="Q1094">
        <f>IFERROR(INDEX(PP_Grid[#Data],$DE1094,14),0)</f>
        <v/>
      </c>
      <c r="R1094">
        <f>IFERROR(INDEX(PP_Grid[#Data],$DE1094,15),0)</f>
        <v/>
      </c>
      <c r="S1094">
        <f>IFERROR(INDEX(PP_Grid[#Data],$DE1094,16),0)</f>
        <v/>
      </c>
      <c r="T1094">
        <f>IFERROR(INDEX(PP_Grid[#Data],$DE1094,17),0)</f>
        <v/>
      </c>
      <c r="U1094">
        <f>IFERROR(INDEX(PP_Grid[#Data],$DE1094,18),0)</f>
        <v/>
      </c>
      <c r="V1094">
        <f>IFERROR(INDEX(PP_Grid[#Data],$DE1094,19),0)</f>
        <v/>
      </c>
      <c r="W1094">
        <f>IFERROR(INDEX(PP_Grid[#Data],$DE1094,20),0)</f>
        <v/>
      </c>
      <c r="X1094">
        <f>IFERROR(INDEX(PP_Grid[#Data],$DE1094,21),0)</f>
        <v/>
      </c>
      <c r="Y1094">
        <f>IFERROR(INDEX(PP_Grid[#Data],$DE1094,22),0)</f>
        <v/>
      </c>
      <c r="Z1094">
        <f>IFERROR(INDEX(PP_Grid[#Data],$DE1094,23),0)</f>
        <v/>
      </c>
      <c r="AA1094">
        <f>IFERROR(INDEX(PP_Grid[#Data],$DE1094,24),0)</f>
        <v/>
      </c>
      <c r="AB1094">
        <f>IFERROR(INDEX(PP_Grid[#Data],$DE1094,25),0)</f>
        <v/>
      </c>
      <c r="AC1094">
        <f>IFERROR(INDEX(PP_Grid[#Data],$DE1094,26),0)</f>
        <v/>
      </c>
      <c r="AD1094">
        <f>IFERROR(INDEX(PP_Grid[#Data],$DE1094,27),0)</f>
        <v/>
      </c>
      <c r="AE1094">
        <f>IFERROR(INDEX(PP_Grid[#Data],$DE1094,28),0)</f>
        <v/>
      </c>
      <c r="AF1094">
        <f>IFERROR(INDEX(PP_Grid[#Data],$DE1094,29),0)</f>
        <v/>
      </c>
      <c r="AG1094">
        <f>IFERROR(INDEX(PP_Grid[#Data],$DE1094,30),0)</f>
        <v/>
      </c>
      <c r="AH1094">
        <f>IFERROR(INDEX(PP_Grid[#Data],$DE1094,31),0)</f>
        <v/>
      </c>
      <c r="AI1094">
        <f>IFERROR(INDEX(PP_Grid[#Data],$DE1094,32),0)</f>
        <v/>
      </c>
      <c r="AJ1094">
        <f>IFERROR(INDEX(PP_Grid[#Data],$DE1094,33),0)</f>
        <v/>
      </c>
      <c r="AK1094">
        <f>IFERROR(INDEX(PP_Grid[#Data],$DE1094,34),0)</f>
        <v/>
      </c>
      <c r="AL1094">
        <f>IFERROR(INDEX(PP_Grid[#Data],$DE1094,35),0)</f>
        <v/>
      </c>
      <c r="AM1094">
        <f>IFERROR(INDEX(PP_Grid[#Data],$DE1094,36),0)</f>
        <v/>
      </c>
      <c r="AN1094">
        <f>IFERROR(INDEX(PP_Grid[#Data],$DE1094,37),0)</f>
        <v/>
      </c>
      <c r="AO1094">
        <f>IFERROR(INDEX(PP_Grid[#Data],$DE1094,38),0)</f>
        <v/>
      </c>
      <c r="AP1094">
        <f>IFERROR(INDEX(PP_Grid[#Data],$DE1094,39),0)</f>
        <v/>
      </c>
      <c r="AQ1094">
        <f>IFERROR(INDEX(PP_Grid[#Data],$DE1094,40),0)</f>
        <v/>
      </c>
      <c r="AR1094">
        <f>IFERROR(INDEX(PP_Grid[#Data],$DE1094,41),0)</f>
        <v/>
      </c>
      <c r="AS1094">
        <f>IFERROR(INDEX(PP_Grid[#Data],$DE1094,42),0)</f>
        <v/>
      </c>
      <c r="AT1094">
        <f>IFERROR(INDEX(PP_Grid[#Data],$DE1094,43),0)</f>
        <v/>
      </c>
      <c r="AU1094">
        <f>IFERROR(INDEX(PP_Grid[#Data],$DE1094,44),0)</f>
        <v/>
      </c>
      <c r="AV1094">
        <f>IFERROR(INDEX(PP_Grid[#Data],$DE1094,45),0)</f>
        <v/>
      </c>
      <c r="AW1094">
        <f>IFERROR(INDEX(PP_Grid[#Data],$DE1094,46),0)</f>
        <v/>
      </c>
      <c r="AX1094">
        <f>IFERROR(INDEX(PP_Grid[#Data],$DE1094,47),0)</f>
        <v/>
      </c>
      <c r="AY1094">
        <f>IFERROR(INDEX(PP_Grid[#Data],$DE1094,48),0)</f>
        <v/>
      </c>
      <c r="AZ1094">
        <f>IFERROR(INDEX(PP_Grid[#Data],$DE1094,49),0)</f>
        <v/>
      </c>
      <c r="BA1094">
        <f>IFERROR(INDEX(PP_Grid[#Data],$DE1094,50),0)</f>
        <v/>
      </c>
      <c r="BB1094">
        <f>IFERROR(INDEX(PP_Grid[#Data],$DE1094,51),0)</f>
        <v/>
      </c>
      <c r="BC1094">
        <f>IFERROR(INDEX(PP_Grid[#Data],$DE1094,52),0)</f>
        <v/>
      </c>
      <c r="BD1094">
        <f>IFERROR(INDEX(PP_Grid[#Data],$DE1094,53),0)</f>
        <v/>
      </c>
      <c r="BE1094">
        <f>IFERROR(INDEX(PP_Grid[#Data],$DE1094,54),0)</f>
        <v/>
      </c>
      <c r="BF1094">
        <f>IFERROR(INDEX(PP_Grid[#Data],$DE1094,55),0)</f>
        <v/>
      </c>
      <c r="BG1094">
        <f>IFERROR(INDEX(PP_Grid[#Data],$DE1094,56),0)</f>
        <v/>
      </c>
      <c r="BH1094">
        <f>IFERROR(INDEX(PP_Grid[#Data],$DE1094,57),0)</f>
        <v/>
      </c>
      <c r="BI1094">
        <f>IFERROR(INDEX(PP_Grid[#Data],$DE1094,58),0)</f>
        <v/>
      </c>
      <c r="BJ1094">
        <f>IFERROR(INDEX(PP_Grid[#Data],$DE1094,59),0)</f>
        <v/>
      </c>
      <c r="BK1094">
        <f>IFERROR(INDEX(PP_Grid[#Data],$DE1094,60),0)</f>
        <v/>
      </c>
      <c r="BL1094">
        <f>IFERROR(INDEX(PP_Grid[#Data],$DE1094,61),0)</f>
        <v/>
      </c>
      <c r="BM1094">
        <f>IFERROR(INDEX(PP_Grid[#Data],$DE1094,62),0)</f>
        <v/>
      </c>
      <c r="BN1094">
        <f>IFERROR(INDEX(PP_Grid[#Data],$DE1094,63),0)</f>
        <v/>
      </c>
      <c r="BO1094">
        <f>IFERROR(INDEX(PP_Grid[#Data],$DE1094,64),0)</f>
        <v/>
      </c>
      <c r="BP1094">
        <f>IFERROR(INDEX(PP_Grid[#Data],$DE1094,65),0)</f>
        <v/>
      </c>
      <c r="BQ1094">
        <f>IFERROR(INDEX(PP_Grid[#Data],$DE1094,66),0)</f>
        <v/>
      </c>
      <c r="BR1094">
        <f>IFERROR(INDEX(PP_Grid[#Data],$DE1094,67),0)</f>
        <v/>
      </c>
      <c r="BS1094">
        <f>IFERROR(INDEX(PP_Grid[#Data],$DE1094,68),0)</f>
        <v/>
      </c>
      <c r="BT1094">
        <f>IFERROR(INDEX(PP_Grid[#Data],$DE1094,69),0)</f>
        <v/>
      </c>
      <c r="BU1094">
        <f>IFERROR(INDEX(PP_Grid[#Data],$DE1094,70),0)</f>
        <v/>
      </c>
      <c r="BV1094">
        <f>IFERROR(INDEX(PP_Grid[#Data],$DE1094,71),0)</f>
        <v/>
      </c>
      <c r="BW1094">
        <f>IFERROR(INDEX(PP_Grid[#Data],$DE1094,72),0)</f>
        <v/>
      </c>
      <c r="BX1094">
        <f>IFERROR(INDEX(PP_Grid[#Data],$DE1094,73),0)</f>
        <v/>
      </c>
      <c r="BY1094">
        <f>IFERROR(INDEX(PP_Grid[#Data],$DE1094,74),0)</f>
        <v/>
      </c>
      <c r="BZ1094">
        <f>IFERROR(INDEX(PP_Grid[#Data],$DE1094,75),0)</f>
        <v/>
      </c>
      <c r="CA1094">
        <f>IFERROR(INDEX(PP_Grid[#Data],$DE1094,76),0)</f>
        <v/>
      </c>
      <c r="CB1094">
        <f>IFERROR(INDEX(PP_Grid[#Data],$DE1094,77),0)</f>
        <v/>
      </c>
      <c r="CC1094">
        <f>IFERROR(INDEX(PP_Grid[#Data],$DE1094,78),0)</f>
        <v/>
      </c>
      <c r="CD1094">
        <f>IFERROR(INDEX(PP_Grid[#Data],$DE1094,79),0)</f>
        <v/>
      </c>
      <c r="CE1094">
        <f>IFERROR(INDEX(PP_Grid[#Data],$DE1094,80),0)</f>
        <v/>
      </c>
      <c r="CF1094">
        <f>IFERROR(INDEX(PP_Grid[#Data],$DE1094,81),0)</f>
        <v/>
      </c>
      <c r="CG1094">
        <f>IFERROR(INDEX(PP_Grid[#Data],$DE1094,82),0)</f>
        <v/>
      </c>
      <c r="CH1094">
        <f>IFERROR(INDEX(PP_Grid[#Data],$DE1094,83),0)</f>
        <v/>
      </c>
      <c r="CI1094">
        <f>IFERROR(INDEX(PP_Grid[#Data],$DE1094,84),0)</f>
        <v/>
      </c>
      <c r="CJ1094">
        <f>IFERROR(INDEX(PP_Grid[#Data],$DE1094,85),0)</f>
        <v/>
      </c>
      <c r="CK1094">
        <f>IFERROR(INDEX(PP_Grid[#Data],$DE1094,86),0)</f>
        <v/>
      </c>
      <c r="CL1094">
        <f>IFERROR(INDEX(PP_Grid[#Data],$DE1094,87),0)</f>
        <v/>
      </c>
      <c r="CM1094">
        <f>IFERROR(INDEX(PP_Grid[#Data],$DE1094,88),0)</f>
        <v/>
      </c>
      <c r="CN1094">
        <f>IFERROR(INDEX(PP_Grid[#Data],$DE1094,89),0)</f>
        <v/>
      </c>
      <c r="CO1094">
        <f>IFERROR(INDEX(PP_Grid[#Data],$DE1094,90),0)</f>
        <v/>
      </c>
      <c r="CP1094">
        <f>IFERROR(INDEX(PP_Grid[#Data],$DE1094,91),0)</f>
        <v/>
      </c>
      <c r="CQ1094">
        <f>IFERROR(INDEX(PP_Grid[#Data],$DE1094,92),0)</f>
        <v/>
      </c>
      <c r="CR1094">
        <f>IFERROR(INDEX(PP_Grid[#Data],$DE1094,93),0)</f>
        <v/>
      </c>
      <c r="CS1094">
        <f>IFERROR(INDEX(PP_Grid[#Data],$DE1094,94),0)</f>
        <v/>
      </c>
      <c r="CT1094">
        <f>IFERROR(INDEX(PP_Grid[#Data],$DE1094,95),0)</f>
        <v/>
      </c>
      <c r="CU1094">
        <f>IFERROR(INDEX(PP_Grid[#Data],$DE1094,96),0)</f>
        <v/>
      </c>
      <c r="CV1094">
        <f>IFERROR(INDEX(PP_Grid[#Data],$DE1094,97),0)</f>
        <v/>
      </c>
      <c r="CW1094">
        <f>IFERROR(INDEX(PP_Grid[#Data],$DE1094,98),0)</f>
        <v/>
      </c>
      <c r="CX1094">
        <f>IFERROR(INDEX(PP_Grid[#Data],$DE1094,99),0)</f>
        <v/>
      </c>
      <c r="CY1094">
        <f>IFERROR(INDEX(PP_Grid[#Data],$DE1094,100),0)</f>
        <v/>
      </c>
      <c r="CZ1094">
        <f>IFERROR(INDEX(PP_Grid[#Data],$DE1094,101),0)</f>
        <v/>
      </c>
      <c r="DA1094">
        <f>IFERROR(INDEX(PP_Grid[#Data],$DE1094,102),0)</f>
        <v/>
      </c>
      <c r="DB1094">
        <f>IFERROR(INDEX(PP_Grid[#Data],$DE1094,103),0)</f>
        <v/>
      </c>
      <c r="DC1094">
        <f>IFERROR(INDEX(PP_Grid[#Data],$DE1094,104),0)</f>
        <v/>
      </c>
      <c r="DD1094">
        <f>IFERROR(INDEX(PP_Grid[#Data],$DE1094,105),0)</f>
        <v/>
      </c>
      <c r="DE1094" s="7">
        <f>IFERROR(MATCH($B1094,PP_Grid[Intermediate],0),99999)</f>
        <v/>
      </c>
    </row>
    <row r="1095">
      <c r="B1095" t="inlineStr">
        <is>
          <t>使用量(kg)</t>
        </is>
      </c>
      <c r="C1095">
        <f>SUMIFS(M_BOM[RM_Qty_Per_Batch],M_BOM[Intermediate],$B1094,M_BOM[RM_Code],$A1071)</f>
        <v/>
      </c>
      <c r="D1095">
        <f>IFERROR(INDEX(E1095:DD1095,$F$1),"")</f>
        <v/>
      </c>
      <c r="E1095">
        <f>$C1095*E1094</f>
        <v/>
      </c>
      <c r="F1095">
        <f>$C1095*F1094</f>
        <v/>
      </c>
      <c r="G1095">
        <f>$C1095*G1094</f>
        <v/>
      </c>
      <c r="H1095">
        <f>$C1095*H1094</f>
        <v/>
      </c>
      <c r="I1095">
        <f>$C1095*I1094</f>
        <v/>
      </c>
      <c r="J1095">
        <f>$C1095*J1094</f>
        <v/>
      </c>
      <c r="K1095">
        <f>$C1095*K1094</f>
        <v/>
      </c>
      <c r="L1095">
        <f>$C1095*L1094</f>
        <v/>
      </c>
      <c r="M1095">
        <f>$C1095*M1094</f>
        <v/>
      </c>
      <c r="N1095">
        <f>$C1095*N1094</f>
        <v/>
      </c>
      <c r="O1095">
        <f>$C1095*O1094</f>
        <v/>
      </c>
      <c r="P1095">
        <f>$C1095*P1094</f>
        <v/>
      </c>
      <c r="Q1095">
        <f>$C1095*Q1094</f>
        <v/>
      </c>
      <c r="R1095">
        <f>$C1095*R1094</f>
        <v/>
      </c>
      <c r="S1095">
        <f>$C1095*S1094</f>
        <v/>
      </c>
      <c r="T1095">
        <f>$C1095*T1094</f>
        <v/>
      </c>
      <c r="U1095">
        <f>$C1095*U1094</f>
        <v/>
      </c>
      <c r="V1095">
        <f>$C1095*V1094</f>
        <v/>
      </c>
      <c r="W1095">
        <f>$C1095*W1094</f>
        <v/>
      </c>
      <c r="X1095">
        <f>$C1095*X1094</f>
        <v/>
      </c>
      <c r="Y1095">
        <f>$C1095*Y1094</f>
        <v/>
      </c>
      <c r="Z1095">
        <f>$C1095*Z1094</f>
        <v/>
      </c>
      <c r="AA1095">
        <f>$C1095*AA1094</f>
        <v/>
      </c>
      <c r="AB1095">
        <f>$C1095*AB1094</f>
        <v/>
      </c>
      <c r="AC1095">
        <f>$C1095*AC1094</f>
        <v/>
      </c>
      <c r="AD1095">
        <f>$C1095*AD1094</f>
        <v/>
      </c>
      <c r="AE1095">
        <f>$C1095*AE1094</f>
        <v/>
      </c>
      <c r="AF1095">
        <f>$C1095*AF1094</f>
        <v/>
      </c>
      <c r="AG1095">
        <f>$C1095*AG1094</f>
        <v/>
      </c>
      <c r="AH1095">
        <f>$C1095*AH1094</f>
        <v/>
      </c>
      <c r="AI1095">
        <f>$C1095*AI1094</f>
        <v/>
      </c>
      <c r="AJ1095">
        <f>$C1095*AJ1094</f>
        <v/>
      </c>
      <c r="AK1095">
        <f>$C1095*AK1094</f>
        <v/>
      </c>
      <c r="AL1095">
        <f>$C1095*AL1094</f>
        <v/>
      </c>
      <c r="AM1095">
        <f>$C1095*AM1094</f>
        <v/>
      </c>
      <c r="AN1095">
        <f>$C1095*AN1094</f>
        <v/>
      </c>
      <c r="AO1095">
        <f>$C1095*AO1094</f>
        <v/>
      </c>
      <c r="AP1095">
        <f>$C1095*AP1094</f>
        <v/>
      </c>
      <c r="AQ1095">
        <f>$C1095*AQ1094</f>
        <v/>
      </c>
      <c r="AR1095">
        <f>$C1095*AR1094</f>
        <v/>
      </c>
      <c r="AS1095">
        <f>$C1095*AS1094</f>
        <v/>
      </c>
      <c r="AT1095">
        <f>$C1095*AT1094</f>
        <v/>
      </c>
      <c r="AU1095">
        <f>$C1095*AU1094</f>
        <v/>
      </c>
      <c r="AV1095">
        <f>$C1095*AV1094</f>
        <v/>
      </c>
      <c r="AW1095">
        <f>$C1095*AW1094</f>
        <v/>
      </c>
      <c r="AX1095">
        <f>$C1095*AX1094</f>
        <v/>
      </c>
      <c r="AY1095">
        <f>$C1095*AY1094</f>
        <v/>
      </c>
      <c r="AZ1095">
        <f>$C1095*AZ1094</f>
        <v/>
      </c>
      <c r="BA1095">
        <f>$C1095*BA1094</f>
        <v/>
      </c>
      <c r="BB1095">
        <f>$C1095*BB1094</f>
        <v/>
      </c>
      <c r="BC1095">
        <f>$C1095*BC1094</f>
        <v/>
      </c>
      <c r="BD1095">
        <f>$C1095*BD1094</f>
        <v/>
      </c>
      <c r="BE1095">
        <f>$C1095*BE1094</f>
        <v/>
      </c>
      <c r="BF1095">
        <f>$C1095*BF1094</f>
        <v/>
      </c>
      <c r="BG1095">
        <f>$C1095*BG1094</f>
        <v/>
      </c>
      <c r="BH1095">
        <f>$C1095*BH1094</f>
        <v/>
      </c>
      <c r="BI1095">
        <f>$C1095*BI1094</f>
        <v/>
      </c>
      <c r="BJ1095">
        <f>$C1095*BJ1094</f>
        <v/>
      </c>
      <c r="BK1095">
        <f>$C1095*BK1094</f>
        <v/>
      </c>
      <c r="BL1095">
        <f>$C1095*BL1094</f>
        <v/>
      </c>
      <c r="BM1095">
        <f>$C1095*BM1094</f>
        <v/>
      </c>
      <c r="BN1095">
        <f>$C1095*BN1094</f>
        <v/>
      </c>
      <c r="BO1095">
        <f>$C1095*BO1094</f>
        <v/>
      </c>
      <c r="BP1095">
        <f>$C1095*BP1094</f>
        <v/>
      </c>
      <c r="BQ1095">
        <f>$C1095*BQ1094</f>
        <v/>
      </c>
      <c r="BR1095">
        <f>$C1095*BR1094</f>
        <v/>
      </c>
      <c r="BS1095">
        <f>$C1095*BS1094</f>
        <v/>
      </c>
      <c r="BT1095">
        <f>$C1095*BT1094</f>
        <v/>
      </c>
      <c r="BU1095">
        <f>$C1095*BU1094</f>
        <v/>
      </c>
      <c r="BV1095">
        <f>$C1095*BV1094</f>
        <v/>
      </c>
      <c r="BW1095">
        <f>$C1095*BW1094</f>
        <v/>
      </c>
      <c r="BX1095">
        <f>$C1095*BX1094</f>
        <v/>
      </c>
      <c r="BY1095">
        <f>$C1095*BY1094</f>
        <v/>
      </c>
      <c r="BZ1095">
        <f>$C1095*BZ1094</f>
        <v/>
      </c>
      <c r="CA1095">
        <f>$C1095*CA1094</f>
        <v/>
      </c>
      <c r="CB1095">
        <f>$C1095*CB1094</f>
        <v/>
      </c>
      <c r="CC1095">
        <f>$C1095*CC1094</f>
        <v/>
      </c>
      <c r="CD1095">
        <f>$C1095*CD1094</f>
        <v/>
      </c>
      <c r="CE1095">
        <f>$C1095*CE1094</f>
        <v/>
      </c>
      <c r="CF1095">
        <f>$C1095*CF1094</f>
        <v/>
      </c>
      <c r="CG1095">
        <f>$C1095*CG1094</f>
        <v/>
      </c>
      <c r="CH1095">
        <f>$C1095*CH1094</f>
        <v/>
      </c>
      <c r="CI1095">
        <f>$C1095*CI1094</f>
        <v/>
      </c>
      <c r="CJ1095">
        <f>$C1095*CJ1094</f>
        <v/>
      </c>
      <c r="CK1095">
        <f>$C1095*CK1094</f>
        <v/>
      </c>
      <c r="CL1095">
        <f>$C1095*CL1094</f>
        <v/>
      </c>
      <c r="CM1095">
        <f>$C1095*CM1094</f>
        <v/>
      </c>
      <c r="CN1095">
        <f>$C1095*CN1094</f>
        <v/>
      </c>
      <c r="CO1095">
        <f>$C1095*CO1094</f>
        <v/>
      </c>
      <c r="CP1095">
        <f>$C1095*CP1094</f>
        <v/>
      </c>
      <c r="CQ1095">
        <f>$C1095*CQ1094</f>
        <v/>
      </c>
      <c r="CR1095">
        <f>$C1095*CR1094</f>
        <v/>
      </c>
      <c r="CS1095">
        <f>$C1095*CS1094</f>
        <v/>
      </c>
      <c r="CT1095">
        <f>$C1095*CT1094</f>
        <v/>
      </c>
      <c r="CU1095">
        <f>$C1095*CU1094</f>
        <v/>
      </c>
      <c r="CV1095">
        <f>$C1095*CV1094</f>
        <v/>
      </c>
      <c r="CW1095">
        <f>$C1095*CW1094</f>
        <v/>
      </c>
      <c r="CX1095">
        <f>$C1095*CX1094</f>
        <v/>
      </c>
      <c r="CY1095">
        <f>$C1095*CY1094</f>
        <v/>
      </c>
      <c r="CZ1095">
        <f>$C1095*CZ1094</f>
        <v/>
      </c>
      <c r="DA1095">
        <f>$C1095*DA1094</f>
        <v/>
      </c>
      <c r="DB1095">
        <f>$C1095*DB1094</f>
        <v/>
      </c>
      <c r="DC1095">
        <f>$C1095*DC1094</f>
        <v/>
      </c>
      <c r="DD1095">
        <f>$C1095*DD1094</f>
        <v/>
      </c>
    </row>
    <row r="1096">
      <c r="B1096" t="inlineStr">
        <is>
          <t>No of times used</t>
        </is>
      </c>
      <c r="C1096" t="inlineStr">
        <is>
          <t>No. of batches</t>
        </is>
      </c>
      <c r="D1096">
        <f>IFERROR(INDEX(E1096:DD1096,$F$1),"")</f>
        <v/>
      </c>
      <c r="E1096">
        <f>IFERROR(INDEX(PP_Grid[#Data],$DE1096,2),0)</f>
        <v/>
      </c>
      <c r="F1096">
        <f>IFERROR(INDEX(PP_Grid[#Data],$DE1096,3),0)</f>
        <v/>
      </c>
      <c r="G1096">
        <f>IFERROR(INDEX(PP_Grid[#Data],$DE1096,4),0)</f>
        <v/>
      </c>
      <c r="H1096">
        <f>IFERROR(INDEX(PP_Grid[#Data],$DE1096,5),0)</f>
        <v/>
      </c>
      <c r="I1096">
        <f>IFERROR(INDEX(PP_Grid[#Data],$DE1096,6),0)</f>
        <v/>
      </c>
      <c r="J1096">
        <f>IFERROR(INDEX(PP_Grid[#Data],$DE1096,7),0)</f>
        <v/>
      </c>
      <c r="K1096">
        <f>IFERROR(INDEX(PP_Grid[#Data],$DE1096,8),0)</f>
        <v/>
      </c>
      <c r="L1096">
        <f>IFERROR(INDEX(PP_Grid[#Data],$DE1096,9),0)</f>
        <v/>
      </c>
      <c r="M1096">
        <f>IFERROR(INDEX(PP_Grid[#Data],$DE1096,10),0)</f>
        <v/>
      </c>
      <c r="N1096">
        <f>IFERROR(INDEX(PP_Grid[#Data],$DE1096,11),0)</f>
        <v/>
      </c>
      <c r="O1096">
        <f>IFERROR(INDEX(PP_Grid[#Data],$DE1096,12),0)</f>
        <v/>
      </c>
      <c r="P1096">
        <f>IFERROR(INDEX(PP_Grid[#Data],$DE1096,13),0)</f>
        <v/>
      </c>
      <c r="Q1096">
        <f>IFERROR(INDEX(PP_Grid[#Data],$DE1096,14),0)</f>
        <v/>
      </c>
      <c r="R1096">
        <f>IFERROR(INDEX(PP_Grid[#Data],$DE1096,15),0)</f>
        <v/>
      </c>
      <c r="S1096">
        <f>IFERROR(INDEX(PP_Grid[#Data],$DE1096,16),0)</f>
        <v/>
      </c>
      <c r="T1096">
        <f>IFERROR(INDEX(PP_Grid[#Data],$DE1096,17),0)</f>
        <v/>
      </c>
      <c r="U1096">
        <f>IFERROR(INDEX(PP_Grid[#Data],$DE1096,18),0)</f>
        <v/>
      </c>
      <c r="V1096">
        <f>IFERROR(INDEX(PP_Grid[#Data],$DE1096,19),0)</f>
        <v/>
      </c>
      <c r="W1096">
        <f>IFERROR(INDEX(PP_Grid[#Data],$DE1096,20),0)</f>
        <v/>
      </c>
      <c r="X1096">
        <f>IFERROR(INDEX(PP_Grid[#Data],$DE1096,21),0)</f>
        <v/>
      </c>
      <c r="Y1096">
        <f>IFERROR(INDEX(PP_Grid[#Data],$DE1096,22),0)</f>
        <v/>
      </c>
      <c r="Z1096">
        <f>IFERROR(INDEX(PP_Grid[#Data],$DE1096,23),0)</f>
        <v/>
      </c>
      <c r="AA1096">
        <f>IFERROR(INDEX(PP_Grid[#Data],$DE1096,24),0)</f>
        <v/>
      </c>
      <c r="AB1096">
        <f>IFERROR(INDEX(PP_Grid[#Data],$DE1096,25),0)</f>
        <v/>
      </c>
      <c r="AC1096">
        <f>IFERROR(INDEX(PP_Grid[#Data],$DE1096,26),0)</f>
        <v/>
      </c>
      <c r="AD1096">
        <f>IFERROR(INDEX(PP_Grid[#Data],$DE1096,27),0)</f>
        <v/>
      </c>
      <c r="AE1096">
        <f>IFERROR(INDEX(PP_Grid[#Data],$DE1096,28),0)</f>
        <v/>
      </c>
      <c r="AF1096">
        <f>IFERROR(INDEX(PP_Grid[#Data],$DE1096,29),0)</f>
        <v/>
      </c>
      <c r="AG1096">
        <f>IFERROR(INDEX(PP_Grid[#Data],$DE1096,30),0)</f>
        <v/>
      </c>
      <c r="AH1096">
        <f>IFERROR(INDEX(PP_Grid[#Data],$DE1096,31),0)</f>
        <v/>
      </c>
      <c r="AI1096">
        <f>IFERROR(INDEX(PP_Grid[#Data],$DE1096,32),0)</f>
        <v/>
      </c>
      <c r="AJ1096">
        <f>IFERROR(INDEX(PP_Grid[#Data],$DE1096,33),0)</f>
        <v/>
      </c>
      <c r="AK1096">
        <f>IFERROR(INDEX(PP_Grid[#Data],$DE1096,34),0)</f>
        <v/>
      </c>
      <c r="AL1096">
        <f>IFERROR(INDEX(PP_Grid[#Data],$DE1096,35),0)</f>
        <v/>
      </c>
      <c r="AM1096">
        <f>IFERROR(INDEX(PP_Grid[#Data],$DE1096,36),0)</f>
        <v/>
      </c>
      <c r="AN1096">
        <f>IFERROR(INDEX(PP_Grid[#Data],$DE1096,37),0)</f>
        <v/>
      </c>
      <c r="AO1096">
        <f>IFERROR(INDEX(PP_Grid[#Data],$DE1096,38),0)</f>
        <v/>
      </c>
      <c r="AP1096">
        <f>IFERROR(INDEX(PP_Grid[#Data],$DE1096,39),0)</f>
        <v/>
      </c>
      <c r="AQ1096">
        <f>IFERROR(INDEX(PP_Grid[#Data],$DE1096,40),0)</f>
        <v/>
      </c>
      <c r="AR1096">
        <f>IFERROR(INDEX(PP_Grid[#Data],$DE1096,41),0)</f>
        <v/>
      </c>
      <c r="AS1096">
        <f>IFERROR(INDEX(PP_Grid[#Data],$DE1096,42),0)</f>
        <v/>
      </c>
      <c r="AT1096">
        <f>IFERROR(INDEX(PP_Grid[#Data],$DE1096,43),0)</f>
        <v/>
      </c>
      <c r="AU1096">
        <f>IFERROR(INDEX(PP_Grid[#Data],$DE1096,44),0)</f>
        <v/>
      </c>
      <c r="AV1096">
        <f>IFERROR(INDEX(PP_Grid[#Data],$DE1096,45),0)</f>
        <v/>
      </c>
      <c r="AW1096">
        <f>IFERROR(INDEX(PP_Grid[#Data],$DE1096,46),0)</f>
        <v/>
      </c>
      <c r="AX1096">
        <f>IFERROR(INDEX(PP_Grid[#Data],$DE1096,47),0)</f>
        <v/>
      </c>
      <c r="AY1096">
        <f>IFERROR(INDEX(PP_Grid[#Data],$DE1096,48),0)</f>
        <v/>
      </c>
      <c r="AZ1096">
        <f>IFERROR(INDEX(PP_Grid[#Data],$DE1096,49),0)</f>
        <v/>
      </c>
      <c r="BA1096">
        <f>IFERROR(INDEX(PP_Grid[#Data],$DE1096,50),0)</f>
        <v/>
      </c>
      <c r="BB1096">
        <f>IFERROR(INDEX(PP_Grid[#Data],$DE1096,51),0)</f>
        <v/>
      </c>
      <c r="BC1096">
        <f>IFERROR(INDEX(PP_Grid[#Data],$DE1096,52),0)</f>
        <v/>
      </c>
      <c r="BD1096">
        <f>IFERROR(INDEX(PP_Grid[#Data],$DE1096,53),0)</f>
        <v/>
      </c>
      <c r="BE1096">
        <f>IFERROR(INDEX(PP_Grid[#Data],$DE1096,54),0)</f>
        <v/>
      </c>
      <c r="BF1096">
        <f>IFERROR(INDEX(PP_Grid[#Data],$DE1096,55),0)</f>
        <v/>
      </c>
      <c r="BG1096">
        <f>IFERROR(INDEX(PP_Grid[#Data],$DE1096,56),0)</f>
        <v/>
      </c>
      <c r="BH1096">
        <f>IFERROR(INDEX(PP_Grid[#Data],$DE1096,57),0)</f>
        <v/>
      </c>
      <c r="BI1096">
        <f>IFERROR(INDEX(PP_Grid[#Data],$DE1096,58),0)</f>
        <v/>
      </c>
      <c r="BJ1096">
        <f>IFERROR(INDEX(PP_Grid[#Data],$DE1096,59),0)</f>
        <v/>
      </c>
      <c r="BK1096">
        <f>IFERROR(INDEX(PP_Grid[#Data],$DE1096,60),0)</f>
        <v/>
      </c>
      <c r="BL1096">
        <f>IFERROR(INDEX(PP_Grid[#Data],$DE1096,61),0)</f>
        <v/>
      </c>
      <c r="BM1096">
        <f>IFERROR(INDEX(PP_Grid[#Data],$DE1096,62),0)</f>
        <v/>
      </c>
      <c r="BN1096">
        <f>IFERROR(INDEX(PP_Grid[#Data],$DE1096,63),0)</f>
        <v/>
      </c>
      <c r="BO1096">
        <f>IFERROR(INDEX(PP_Grid[#Data],$DE1096,64),0)</f>
        <v/>
      </c>
      <c r="BP1096">
        <f>IFERROR(INDEX(PP_Grid[#Data],$DE1096,65),0)</f>
        <v/>
      </c>
      <c r="BQ1096">
        <f>IFERROR(INDEX(PP_Grid[#Data],$DE1096,66),0)</f>
        <v/>
      </c>
      <c r="BR1096">
        <f>IFERROR(INDEX(PP_Grid[#Data],$DE1096,67),0)</f>
        <v/>
      </c>
      <c r="BS1096">
        <f>IFERROR(INDEX(PP_Grid[#Data],$DE1096,68),0)</f>
        <v/>
      </c>
      <c r="BT1096">
        <f>IFERROR(INDEX(PP_Grid[#Data],$DE1096,69),0)</f>
        <v/>
      </c>
      <c r="BU1096">
        <f>IFERROR(INDEX(PP_Grid[#Data],$DE1096,70),0)</f>
        <v/>
      </c>
      <c r="BV1096">
        <f>IFERROR(INDEX(PP_Grid[#Data],$DE1096,71),0)</f>
        <v/>
      </c>
      <c r="BW1096">
        <f>IFERROR(INDEX(PP_Grid[#Data],$DE1096,72),0)</f>
        <v/>
      </c>
      <c r="BX1096">
        <f>IFERROR(INDEX(PP_Grid[#Data],$DE1096,73),0)</f>
        <v/>
      </c>
      <c r="BY1096">
        <f>IFERROR(INDEX(PP_Grid[#Data],$DE1096,74),0)</f>
        <v/>
      </c>
      <c r="BZ1096">
        <f>IFERROR(INDEX(PP_Grid[#Data],$DE1096,75),0)</f>
        <v/>
      </c>
      <c r="CA1096">
        <f>IFERROR(INDEX(PP_Grid[#Data],$DE1096,76),0)</f>
        <v/>
      </c>
      <c r="CB1096">
        <f>IFERROR(INDEX(PP_Grid[#Data],$DE1096,77),0)</f>
        <v/>
      </c>
      <c r="CC1096">
        <f>IFERROR(INDEX(PP_Grid[#Data],$DE1096,78),0)</f>
        <v/>
      </c>
      <c r="CD1096">
        <f>IFERROR(INDEX(PP_Grid[#Data],$DE1096,79),0)</f>
        <v/>
      </c>
      <c r="CE1096">
        <f>IFERROR(INDEX(PP_Grid[#Data],$DE1096,80),0)</f>
        <v/>
      </c>
      <c r="CF1096">
        <f>IFERROR(INDEX(PP_Grid[#Data],$DE1096,81),0)</f>
        <v/>
      </c>
      <c r="CG1096">
        <f>IFERROR(INDEX(PP_Grid[#Data],$DE1096,82),0)</f>
        <v/>
      </c>
      <c r="CH1096">
        <f>IFERROR(INDEX(PP_Grid[#Data],$DE1096,83),0)</f>
        <v/>
      </c>
      <c r="CI1096">
        <f>IFERROR(INDEX(PP_Grid[#Data],$DE1096,84),0)</f>
        <v/>
      </c>
      <c r="CJ1096">
        <f>IFERROR(INDEX(PP_Grid[#Data],$DE1096,85),0)</f>
        <v/>
      </c>
      <c r="CK1096">
        <f>IFERROR(INDEX(PP_Grid[#Data],$DE1096,86),0)</f>
        <v/>
      </c>
      <c r="CL1096">
        <f>IFERROR(INDEX(PP_Grid[#Data],$DE1096,87),0)</f>
        <v/>
      </c>
      <c r="CM1096">
        <f>IFERROR(INDEX(PP_Grid[#Data],$DE1096,88),0)</f>
        <v/>
      </c>
      <c r="CN1096">
        <f>IFERROR(INDEX(PP_Grid[#Data],$DE1096,89),0)</f>
        <v/>
      </c>
      <c r="CO1096">
        <f>IFERROR(INDEX(PP_Grid[#Data],$DE1096,90),0)</f>
        <v/>
      </c>
      <c r="CP1096">
        <f>IFERROR(INDEX(PP_Grid[#Data],$DE1096,91),0)</f>
        <v/>
      </c>
      <c r="CQ1096">
        <f>IFERROR(INDEX(PP_Grid[#Data],$DE1096,92),0)</f>
        <v/>
      </c>
      <c r="CR1096">
        <f>IFERROR(INDEX(PP_Grid[#Data],$DE1096,93),0)</f>
        <v/>
      </c>
      <c r="CS1096">
        <f>IFERROR(INDEX(PP_Grid[#Data],$DE1096,94),0)</f>
        <v/>
      </c>
      <c r="CT1096">
        <f>IFERROR(INDEX(PP_Grid[#Data],$DE1096,95),0)</f>
        <v/>
      </c>
      <c r="CU1096">
        <f>IFERROR(INDEX(PP_Grid[#Data],$DE1096,96),0)</f>
        <v/>
      </c>
      <c r="CV1096">
        <f>IFERROR(INDEX(PP_Grid[#Data],$DE1096,97),0)</f>
        <v/>
      </c>
      <c r="CW1096">
        <f>IFERROR(INDEX(PP_Grid[#Data],$DE1096,98),0)</f>
        <v/>
      </c>
      <c r="CX1096">
        <f>IFERROR(INDEX(PP_Grid[#Data],$DE1096,99),0)</f>
        <v/>
      </c>
      <c r="CY1096">
        <f>IFERROR(INDEX(PP_Grid[#Data],$DE1096,100),0)</f>
        <v/>
      </c>
      <c r="CZ1096">
        <f>IFERROR(INDEX(PP_Grid[#Data],$DE1096,101),0)</f>
        <v/>
      </c>
      <c r="DA1096">
        <f>IFERROR(INDEX(PP_Grid[#Data],$DE1096,102),0)</f>
        <v/>
      </c>
      <c r="DB1096">
        <f>IFERROR(INDEX(PP_Grid[#Data],$DE1096,103),0)</f>
        <v/>
      </c>
      <c r="DC1096">
        <f>IFERROR(INDEX(PP_Grid[#Data],$DE1096,104),0)</f>
        <v/>
      </c>
      <c r="DD1096">
        <f>IFERROR(INDEX(PP_Grid[#Data],$DE1096,105),0)</f>
        <v/>
      </c>
      <c r="DE1096" s="7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SUMIFS(M_BOM[RM_Qty_Per_Batch],M_BOM[Intermediate],$B1096,M_BOM[RM_Code],$A1071)</f>
        <v/>
      </c>
      <c r="D1097">
        <f>IFERROR(INDEX(E1097:DD1097,$F$1),"")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  <c r="DD1097">
        <f>$C1097*DD1096</f>
        <v/>
      </c>
    </row>
    <row r="1098">
      <c r="B1098" s="4" t="inlineStr">
        <is>
          <t>合計使用量(kg)/週</t>
        </is>
      </c>
      <c r="D1098" s="22">
        <f>IFERROR(INDEX(E1098:DD1098,$F$1),"")</f>
        <v/>
      </c>
      <c r="E1098">
        <f>'Grid_Requirement'!B90</f>
        <v/>
      </c>
      <c r="F1098">
        <f>'Grid_Requirement'!C90</f>
        <v/>
      </c>
      <c r="G1098">
        <f>'Grid_Requirement'!D90</f>
        <v/>
      </c>
      <c r="H1098">
        <f>'Grid_Requirement'!E90</f>
        <v/>
      </c>
      <c r="I1098">
        <f>'Grid_Requirement'!F90</f>
        <v/>
      </c>
      <c r="J1098">
        <f>'Grid_Requirement'!G90</f>
        <v/>
      </c>
      <c r="K1098">
        <f>'Grid_Requirement'!H90</f>
        <v/>
      </c>
      <c r="L1098">
        <f>'Grid_Requirement'!I90</f>
        <v/>
      </c>
      <c r="M1098">
        <f>'Grid_Requirement'!J90</f>
        <v/>
      </c>
      <c r="N1098">
        <f>'Grid_Requirement'!K90</f>
        <v/>
      </c>
      <c r="O1098">
        <f>'Grid_Requirement'!L90</f>
        <v/>
      </c>
      <c r="P1098">
        <f>'Grid_Requirement'!M90</f>
        <v/>
      </c>
      <c r="Q1098">
        <f>'Grid_Requirement'!N90</f>
        <v/>
      </c>
      <c r="R1098">
        <f>'Grid_Requirement'!O90</f>
        <v/>
      </c>
      <c r="S1098">
        <f>'Grid_Requirement'!P90</f>
        <v/>
      </c>
      <c r="T1098">
        <f>'Grid_Requirement'!Q90</f>
        <v/>
      </c>
      <c r="U1098">
        <f>'Grid_Requirement'!R90</f>
        <v/>
      </c>
      <c r="V1098">
        <f>'Grid_Requirement'!S90</f>
        <v/>
      </c>
      <c r="W1098">
        <f>'Grid_Requirement'!T90</f>
        <v/>
      </c>
      <c r="X1098">
        <f>'Grid_Requirement'!U90</f>
        <v/>
      </c>
      <c r="Y1098">
        <f>'Grid_Requirement'!V90</f>
        <v/>
      </c>
      <c r="Z1098">
        <f>'Grid_Requirement'!W90</f>
        <v/>
      </c>
      <c r="AA1098">
        <f>'Grid_Requirement'!X90</f>
        <v/>
      </c>
      <c r="AB1098">
        <f>'Grid_Requirement'!Y90</f>
        <v/>
      </c>
      <c r="AC1098">
        <f>'Grid_Requirement'!Z90</f>
        <v/>
      </c>
      <c r="AD1098">
        <f>'Grid_Requirement'!AA90</f>
        <v/>
      </c>
      <c r="AE1098">
        <f>'Grid_Requirement'!AB90</f>
        <v/>
      </c>
      <c r="AF1098">
        <f>'Grid_Requirement'!AC90</f>
        <v/>
      </c>
      <c r="AG1098">
        <f>'Grid_Requirement'!AD90</f>
        <v/>
      </c>
      <c r="AH1098">
        <f>'Grid_Requirement'!AE90</f>
        <v/>
      </c>
      <c r="AI1098">
        <f>'Grid_Requirement'!AF90</f>
        <v/>
      </c>
      <c r="AJ1098">
        <f>'Grid_Requirement'!AG90</f>
        <v/>
      </c>
      <c r="AK1098">
        <f>'Grid_Requirement'!AH90</f>
        <v/>
      </c>
      <c r="AL1098">
        <f>'Grid_Requirement'!AI90</f>
        <v/>
      </c>
      <c r="AM1098">
        <f>'Grid_Requirement'!AJ90</f>
        <v/>
      </c>
      <c r="AN1098">
        <f>'Grid_Requirement'!AK90</f>
        <v/>
      </c>
      <c r="AO1098">
        <f>'Grid_Requirement'!AL90</f>
        <v/>
      </c>
      <c r="AP1098">
        <f>'Grid_Requirement'!AM90</f>
        <v/>
      </c>
      <c r="AQ1098">
        <f>'Grid_Requirement'!AN90</f>
        <v/>
      </c>
      <c r="AR1098">
        <f>'Grid_Requirement'!AO90</f>
        <v/>
      </c>
      <c r="AS1098">
        <f>'Grid_Requirement'!AP90</f>
        <v/>
      </c>
      <c r="AT1098">
        <f>'Grid_Requirement'!AQ90</f>
        <v/>
      </c>
      <c r="AU1098">
        <f>'Grid_Requirement'!AR90</f>
        <v/>
      </c>
      <c r="AV1098">
        <f>'Grid_Requirement'!AS90</f>
        <v/>
      </c>
      <c r="AW1098">
        <f>'Grid_Requirement'!AT90</f>
        <v/>
      </c>
      <c r="AX1098">
        <f>'Grid_Requirement'!AU90</f>
        <v/>
      </c>
      <c r="AY1098">
        <f>'Grid_Requirement'!AV90</f>
        <v/>
      </c>
      <c r="AZ1098">
        <f>'Grid_Requirement'!AW90</f>
        <v/>
      </c>
      <c r="BA1098">
        <f>'Grid_Requirement'!AX90</f>
        <v/>
      </c>
      <c r="BB1098">
        <f>'Grid_Requirement'!AY90</f>
        <v/>
      </c>
      <c r="BC1098">
        <f>'Grid_Requirement'!AZ90</f>
        <v/>
      </c>
      <c r="BD1098">
        <f>'Grid_Requirement'!BA90</f>
        <v/>
      </c>
      <c r="BE1098">
        <f>'Grid_Requirement'!BB90</f>
        <v/>
      </c>
      <c r="BF1098">
        <f>'Grid_Requirement'!BC90</f>
        <v/>
      </c>
      <c r="BG1098">
        <f>'Grid_Requirement'!BD90</f>
        <v/>
      </c>
      <c r="BH1098">
        <f>'Grid_Requirement'!BE90</f>
        <v/>
      </c>
      <c r="BI1098">
        <f>'Grid_Requirement'!BF90</f>
        <v/>
      </c>
      <c r="BJ1098">
        <f>'Grid_Requirement'!BG90</f>
        <v/>
      </c>
      <c r="BK1098">
        <f>'Grid_Requirement'!BH90</f>
        <v/>
      </c>
      <c r="BL1098">
        <f>'Grid_Requirement'!BI90</f>
        <v/>
      </c>
      <c r="BM1098">
        <f>'Grid_Requirement'!BJ90</f>
        <v/>
      </c>
      <c r="BN1098">
        <f>'Grid_Requirement'!BK90</f>
        <v/>
      </c>
      <c r="BO1098">
        <f>'Grid_Requirement'!BL90</f>
        <v/>
      </c>
      <c r="BP1098">
        <f>'Grid_Requirement'!BM90</f>
        <v/>
      </c>
      <c r="BQ1098">
        <f>'Grid_Requirement'!BN90</f>
        <v/>
      </c>
      <c r="BR1098">
        <f>'Grid_Requirement'!BO90</f>
        <v/>
      </c>
      <c r="BS1098">
        <f>'Grid_Requirement'!BP90</f>
        <v/>
      </c>
      <c r="BT1098">
        <f>'Grid_Requirement'!BQ90</f>
        <v/>
      </c>
      <c r="BU1098">
        <f>'Grid_Requirement'!BR90</f>
        <v/>
      </c>
      <c r="BV1098">
        <f>'Grid_Requirement'!BS90</f>
        <v/>
      </c>
      <c r="BW1098">
        <f>'Grid_Requirement'!BT90</f>
        <v/>
      </c>
      <c r="BX1098">
        <f>'Grid_Requirement'!BU90</f>
        <v/>
      </c>
      <c r="BY1098">
        <f>'Grid_Requirement'!BV90</f>
        <v/>
      </c>
      <c r="BZ1098">
        <f>'Grid_Requirement'!BW90</f>
        <v/>
      </c>
      <c r="CA1098">
        <f>'Grid_Requirement'!BX90</f>
        <v/>
      </c>
      <c r="CB1098">
        <f>'Grid_Requirement'!BY90</f>
        <v/>
      </c>
      <c r="CC1098">
        <f>'Grid_Requirement'!BZ90</f>
        <v/>
      </c>
      <c r="CD1098">
        <f>'Grid_Requirement'!CA90</f>
        <v/>
      </c>
      <c r="CE1098">
        <f>'Grid_Requirement'!CB90</f>
        <v/>
      </c>
      <c r="CF1098">
        <f>'Grid_Requirement'!CC90</f>
        <v/>
      </c>
      <c r="CG1098">
        <f>'Grid_Requirement'!CD90</f>
        <v/>
      </c>
      <c r="CH1098">
        <f>'Grid_Requirement'!CE90</f>
        <v/>
      </c>
      <c r="CI1098">
        <f>'Grid_Requirement'!CF90</f>
        <v/>
      </c>
      <c r="CJ1098">
        <f>'Grid_Requirement'!CG90</f>
        <v/>
      </c>
      <c r="CK1098">
        <f>'Grid_Requirement'!CH90</f>
        <v/>
      </c>
      <c r="CL1098">
        <f>'Grid_Requirement'!CI90</f>
        <v/>
      </c>
      <c r="CM1098">
        <f>'Grid_Requirement'!CJ90</f>
        <v/>
      </c>
      <c r="CN1098">
        <f>'Grid_Requirement'!CK90</f>
        <v/>
      </c>
      <c r="CO1098">
        <f>'Grid_Requirement'!CL90</f>
        <v/>
      </c>
      <c r="CP1098">
        <f>'Grid_Requirement'!CM90</f>
        <v/>
      </c>
      <c r="CQ1098">
        <f>'Grid_Requirement'!CN90</f>
        <v/>
      </c>
      <c r="CR1098">
        <f>'Grid_Requirement'!CO90</f>
        <v/>
      </c>
      <c r="CS1098">
        <f>'Grid_Requirement'!CP90</f>
        <v/>
      </c>
      <c r="CT1098">
        <f>'Grid_Requirement'!CQ90</f>
        <v/>
      </c>
      <c r="CU1098">
        <f>'Grid_Requirement'!CR90</f>
        <v/>
      </c>
      <c r="CV1098">
        <f>'Grid_Requirement'!CS90</f>
        <v/>
      </c>
      <c r="CW1098">
        <f>'Grid_Requirement'!CT90</f>
        <v/>
      </c>
      <c r="CX1098">
        <f>'Grid_Requirement'!CU90</f>
        <v/>
      </c>
      <c r="CY1098">
        <f>'Grid_Requirement'!CV90</f>
        <v/>
      </c>
      <c r="CZ1098">
        <f>'Grid_Requirement'!CW90</f>
        <v/>
      </c>
      <c r="DA1098">
        <f>'Grid_Requirement'!CX90</f>
        <v/>
      </c>
      <c r="DB1098">
        <f>'Grid_Requirement'!CY90</f>
        <v/>
      </c>
      <c r="DC1098">
        <f>'Grid_Requirement'!CZ90</f>
        <v/>
      </c>
      <c r="DD1098">
        <f>'Grid_Requirement'!DA90</f>
        <v/>
      </c>
    </row>
    <row r="1099">
      <c r="B1099" s="23" t="inlineStr">
        <is>
          <t>（在庫・入荷予定はDashboard参照）</t>
        </is>
      </c>
    </row>
    <row r="1101">
      <c r="A1101" s="21" t="inlineStr">
        <is>
          <t>CHEM-1530</t>
        </is>
      </c>
      <c r="B1101" s="21" t="inlineStr">
        <is>
          <t>JCK-97</t>
        </is>
      </c>
      <c r="C1101" s="21" t="n"/>
      <c r="D1101" s="21" t="n"/>
      <c r="E1101" s="21" t="n"/>
      <c r="F1101" s="21" t="n"/>
      <c r="G1101" s="21" t="n"/>
      <c r="H1101" s="21" t="n"/>
      <c r="I1101" s="21" t="n"/>
      <c r="J1101" s="21" t="n"/>
      <c r="K1101" s="21" t="n"/>
      <c r="L1101" s="21" t="n"/>
      <c r="M1101" s="21" t="n"/>
      <c r="N1101" s="21" t="n"/>
      <c r="O1101" s="21" t="n"/>
      <c r="P1101" s="21" t="n"/>
      <c r="Q1101" s="21" t="n"/>
      <c r="R1101" s="21" t="n"/>
      <c r="S1101" s="21" t="n"/>
      <c r="T1101" s="21" t="n"/>
      <c r="U1101" s="21" t="n"/>
      <c r="V1101" s="21" t="n"/>
      <c r="W1101" s="21" t="n"/>
      <c r="X1101" s="21" t="n"/>
      <c r="Y1101" s="21" t="n"/>
      <c r="Z1101" s="21" t="n"/>
      <c r="AA1101" s="21" t="n"/>
      <c r="AB1101" s="21" t="n"/>
      <c r="AC1101" s="21" t="n"/>
      <c r="AD1101" s="21" t="n"/>
      <c r="AE1101" s="21" t="n"/>
      <c r="AF1101" s="21" t="n"/>
      <c r="AG1101" s="21" t="n"/>
      <c r="AH1101" s="21" t="n"/>
      <c r="AI1101" s="21" t="n"/>
      <c r="AJ1101" s="21" t="n"/>
      <c r="AK1101" s="21" t="n"/>
      <c r="AL1101" s="21" t="n"/>
      <c r="AM1101" s="21" t="n"/>
      <c r="AN1101" s="21" t="n"/>
      <c r="AO1101" s="21" t="n"/>
      <c r="AP1101" s="21" t="n"/>
      <c r="AQ1101" s="21" t="n"/>
      <c r="AR1101" s="21" t="n"/>
      <c r="AS1101" s="21" t="n"/>
      <c r="AT1101" s="21" t="n"/>
      <c r="AU1101" s="21" t="n"/>
      <c r="AV1101" s="21" t="n"/>
      <c r="AW1101" s="21" t="n"/>
      <c r="AX1101" s="21" t="n"/>
      <c r="AY1101" s="21" t="n"/>
      <c r="AZ1101" s="21" t="n"/>
      <c r="BA1101" s="21" t="n"/>
      <c r="BB1101" s="21" t="n"/>
      <c r="BC1101" s="21" t="n"/>
      <c r="BD1101" s="21" t="n"/>
      <c r="BE1101" s="21" t="n"/>
      <c r="BF1101" s="21" t="n"/>
      <c r="BG1101" s="21" t="n"/>
      <c r="BH1101" s="21" t="n"/>
      <c r="BI1101" s="21" t="n"/>
      <c r="BJ1101" s="21" t="n"/>
      <c r="BK1101" s="21" t="n"/>
      <c r="BL1101" s="21" t="n"/>
      <c r="BM1101" s="21" t="n"/>
      <c r="BN1101" s="21" t="n"/>
      <c r="BO1101" s="21" t="n"/>
      <c r="BP1101" s="21" t="n"/>
      <c r="BQ1101" s="21" t="n"/>
      <c r="BR1101" s="21" t="n"/>
      <c r="BS1101" s="21" t="n"/>
      <c r="BT1101" s="21" t="n"/>
      <c r="BU1101" s="21" t="n"/>
      <c r="BV1101" s="21" t="n"/>
      <c r="BW1101" s="21" t="n"/>
      <c r="BX1101" s="21" t="n"/>
      <c r="BY1101" s="21" t="n"/>
      <c r="BZ1101" s="21" t="n"/>
      <c r="CA1101" s="21" t="n"/>
      <c r="CB1101" s="21" t="n"/>
      <c r="CC1101" s="21" t="n"/>
      <c r="CD1101" s="21" t="n"/>
      <c r="CE1101" s="21" t="n"/>
      <c r="CF1101" s="21" t="n"/>
      <c r="CG1101" s="21" t="n"/>
      <c r="CH1101" s="21" t="n"/>
      <c r="CI1101" s="21" t="n"/>
      <c r="CJ1101" s="21" t="n"/>
      <c r="CK1101" s="21" t="n"/>
      <c r="CL1101" s="21" t="n"/>
      <c r="CM1101" s="21" t="n"/>
      <c r="CN1101" s="21" t="n"/>
      <c r="CO1101" s="21" t="n"/>
      <c r="CP1101" s="21" t="n"/>
      <c r="CQ1101" s="21" t="n"/>
      <c r="CR1101" s="21" t="n"/>
      <c r="CS1101" s="21" t="n"/>
      <c r="CT1101" s="21" t="n"/>
      <c r="CU1101" s="21" t="n"/>
      <c r="CV1101" s="21" t="n"/>
      <c r="CW1101" s="21" t="n"/>
      <c r="CX1101" s="21" t="n"/>
      <c r="CY1101" s="21" t="n"/>
      <c r="CZ1101" s="21" t="n"/>
      <c r="DA1101" s="21" t="n"/>
      <c r="DB1101" s="21" t="n"/>
      <c r="DC1101" s="21" t="n"/>
      <c r="DD1101" s="21" t="n"/>
    </row>
    <row r="1102">
      <c r="B1102" t="inlineStr">
        <is>
          <t>TSP-402</t>
        </is>
      </c>
      <c r="C1102" t="inlineStr">
        <is>
          <t>No. of batches</t>
        </is>
      </c>
      <c r="D1102">
        <f>IFERROR(INDEX(E1102:DD1102,$F$1),"")</f>
        <v/>
      </c>
      <c r="E1102">
        <f>IFERROR(INDEX(PP_Grid[#Data],$DE1102,2),0)</f>
        <v/>
      </c>
      <c r="F1102">
        <f>IFERROR(INDEX(PP_Grid[#Data],$DE1102,3),0)</f>
        <v/>
      </c>
      <c r="G1102">
        <f>IFERROR(INDEX(PP_Grid[#Data],$DE1102,4),0)</f>
        <v/>
      </c>
      <c r="H1102">
        <f>IFERROR(INDEX(PP_Grid[#Data],$DE1102,5),0)</f>
        <v/>
      </c>
      <c r="I1102">
        <f>IFERROR(INDEX(PP_Grid[#Data],$DE1102,6),0)</f>
        <v/>
      </c>
      <c r="J1102">
        <f>IFERROR(INDEX(PP_Grid[#Data],$DE1102,7),0)</f>
        <v/>
      </c>
      <c r="K1102">
        <f>IFERROR(INDEX(PP_Grid[#Data],$DE1102,8),0)</f>
        <v/>
      </c>
      <c r="L1102">
        <f>IFERROR(INDEX(PP_Grid[#Data],$DE1102,9),0)</f>
        <v/>
      </c>
      <c r="M1102">
        <f>IFERROR(INDEX(PP_Grid[#Data],$DE1102,10),0)</f>
        <v/>
      </c>
      <c r="N1102">
        <f>IFERROR(INDEX(PP_Grid[#Data],$DE1102,11),0)</f>
        <v/>
      </c>
      <c r="O1102">
        <f>IFERROR(INDEX(PP_Grid[#Data],$DE1102,12),0)</f>
        <v/>
      </c>
      <c r="P1102">
        <f>IFERROR(INDEX(PP_Grid[#Data],$DE1102,13),0)</f>
        <v/>
      </c>
      <c r="Q1102">
        <f>IFERROR(INDEX(PP_Grid[#Data],$DE1102,14),0)</f>
        <v/>
      </c>
      <c r="R1102">
        <f>IFERROR(INDEX(PP_Grid[#Data],$DE1102,15),0)</f>
        <v/>
      </c>
      <c r="S1102">
        <f>IFERROR(INDEX(PP_Grid[#Data],$DE1102,16),0)</f>
        <v/>
      </c>
      <c r="T1102">
        <f>IFERROR(INDEX(PP_Grid[#Data],$DE1102,17),0)</f>
        <v/>
      </c>
      <c r="U1102">
        <f>IFERROR(INDEX(PP_Grid[#Data],$DE1102,18),0)</f>
        <v/>
      </c>
      <c r="V1102">
        <f>IFERROR(INDEX(PP_Grid[#Data],$DE1102,19),0)</f>
        <v/>
      </c>
      <c r="W1102">
        <f>IFERROR(INDEX(PP_Grid[#Data],$DE1102,20),0)</f>
        <v/>
      </c>
      <c r="X1102">
        <f>IFERROR(INDEX(PP_Grid[#Data],$DE1102,21),0)</f>
        <v/>
      </c>
      <c r="Y1102">
        <f>IFERROR(INDEX(PP_Grid[#Data],$DE1102,22),0)</f>
        <v/>
      </c>
      <c r="Z1102">
        <f>IFERROR(INDEX(PP_Grid[#Data],$DE1102,23),0)</f>
        <v/>
      </c>
      <c r="AA1102">
        <f>IFERROR(INDEX(PP_Grid[#Data],$DE1102,24),0)</f>
        <v/>
      </c>
      <c r="AB1102">
        <f>IFERROR(INDEX(PP_Grid[#Data],$DE1102,25),0)</f>
        <v/>
      </c>
      <c r="AC1102">
        <f>IFERROR(INDEX(PP_Grid[#Data],$DE1102,26),0)</f>
        <v/>
      </c>
      <c r="AD1102">
        <f>IFERROR(INDEX(PP_Grid[#Data],$DE1102,27),0)</f>
        <v/>
      </c>
      <c r="AE1102">
        <f>IFERROR(INDEX(PP_Grid[#Data],$DE1102,28),0)</f>
        <v/>
      </c>
      <c r="AF1102">
        <f>IFERROR(INDEX(PP_Grid[#Data],$DE1102,29),0)</f>
        <v/>
      </c>
      <c r="AG1102">
        <f>IFERROR(INDEX(PP_Grid[#Data],$DE1102,30),0)</f>
        <v/>
      </c>
      <c r="AH1102">
        <f>IFERROR(INDEX(PP_Grid[#Data],$DE1102,31),0)</f>
        <v/>
      </c>
      <c r="AI1102">
        <f>IFERROR(INDEX(PP_Grid[#Data],$DE1102,32),0)</f>
        <v/>
      </c>
      <c r="AJ1102">
        <f>IFERROR(INDEX(PP_Grid[#Data],$DE1102,33),0)</f>
        <v/>
      </c>
      <c r="AK1102">
        <f>IFERROR(INDEX(PP_Grid[#Data],$DE1102,34),0)</f>
        <v/>
      </c>
      <c r="AL1102">
        <f>IFERROR(INDEX(PP_Grid[#Data],$DE1102,35),0)</f>
        <v/>
      </c>
      <c r="AM1102">
        <f>IFERROR(INDEX(PP_Grid[#Data],$DE1102,36),0)</f>
        <v/>
      </c>
      <c r="AN1102">
        <f>IFERROR(INDEX(PP_Grid[#Data],$DE1102,37),0)</f>
        <v/>
      </c>
      <c r="AO1102">
        <f>IFERROR(INDEX(PP_Grid[#Data],$DE1102,38),0)</f>
        <v/>
      </c>
      <c r="AP1102">
        <f>IFERROR(INDEX(PP_Grid[#Data],$DE1102,39),0)</f>
        <v/>
      </c>
      <c r="AQ1102">
        <f>IFERROR(INDEX(PP_Grid[#Data],$DE1102,40),0)</f>
        <v/>
      </c>
      <c r="AR1102">
        <f>IFERROR(INDEX(PP_Grid[#Data],$DE1102,41),0)</f>
        <v/>
      </c>
      <c r="AS1102">
        <f>IFERROR(INDEX(PP_Grid[#Data],$DE1102,42),0)</f>
        <v/>
      </c>
      <c r="AT1102">
        <f>IFERROR(INDEX(PP_Grid[#Data],$DE1102,43),0)</f>
        <v/>
      </c>
      <c r="AU1102">
        <f>IFERROR(INDEX(PP_Grid[#Data],$DE1102,44),0)</f>
        <v/>
      </c>
      <c r="AV1102">
        <f>IFERROR(INDEX(PP_Grid[#Data],$DE1102,45),0)</f>
        <v/>
      </c>
      <c r="AW1102">
        <f>IFERROR(INDEX(PP_Grid[#Data],$DE1102,46),0)</f>
        <v/>
      </c>
      <c r="AX1102">
        <f>IFERROR(INDEX(PP_Grid[#Data],$DE1102,47),0)</f>
        <v/>
      </c>
      <c r="AY1102">
        <f>IFERROR(INDEX(PP_Grid[#Data],$DE1102,48),0)</f>
        <v/>
      </c>
      <c r="AZ1102">
        <f>IFERROR(INDEX(PP_Grid[#Data],$DE1102,49),0)</f>
        <v/>
      </c>
      <c r="BA1102">
        <f>IFERROR(INDEX(PP_Grid[#Data],$DE1102,50),0)</f>
        <v/>
      </c>
      <c r="BB1102">
        <f>IFERROR(INDEX(PP_Grid[#Data],$DE1102,51),0)</f>
        <v/>
      </c>
      <c r="BC1102">
        <f>IFERROR(INDEX(PP_Grid[#Data],$DE1102,52),0)</f>
        <v/>
      </c>
      <c r="BD1102">
        <f>IFERROR(INDEX(PP_Grid[#Data],$DE1102,53),0)</f>
        <v/>
      </c>
      <c r="BE1102">
        <f>IFERROR(INDEX(PP_Grid[#Data],$DE1102,54),0)</f>
        <v/>
      </c>
      <c r="BF1102">
        <f>IFERROR(INDEX(PP_Grid[#Data],$DE1102,55),0)</f>
        <v/>
      </c>
      <c r="BG1102">
        <f>IFERROR(INDEX(PP_Grid[#Data],$DE1102,56),0)</f>
        <v/>
      </c>
      <c r="BH1102">
        <f>IFERROR(INDEX(PP_Grid[#Data],$DE1102,57),0)</f>
        <v/>
      </c>
      <c r="BI1102">
        <f>IFERROR(INDEX(PP_Grid[#Data],$DE1102,58),0)</f>
        <v/>
      </c>
      <c r="BJ1102">
        <f>IFERROR(INDEX(PP_Grid[#Data],$DE1102,59),0)</f>
        <v/>
      </c>
      <c r="BK1102">
        <f>IFERROR(INDEX(PP_Grid[#Data],$DE1102,60),0)</f>
        <v/>
      </c>
      <c r="BL1102">
        <f>IFERROR(INDEX(PP_Grid[#Data],$DE1102,61),0)</f>
        <v/>
      </c>
      <c r="BM1102">
        <f>IFERROR(INDEX(PP_Grid[#Data],$DE1102,62),0)</f>
        <v/>
      </c>
      <c r="BN1102">
        <f>IFERROR(INDEX(PP_Grid[#Data],$DE1102,63),0)</f>
        <v/>
      </c>
      <c r="BO1102">
        <f>IFERROR(INDEX(PP_Grid[#Data],$DE1102,64),0)</f>
        <v/>
      </c>
      <c r="BP1102">
        <f>IFERROR(INDEX(PP_Grid[#Data],$DE1102,65),0)</f>
        <v/>
      </c>
      <c r="BQ1102">
        <f>IFERROR(INDEX(PP_Grid[#Data],$DE1102,66),0)</f>
        <v/>
      </c>
      <c r="BR1102">
        <f>IFERROR(INDEX(PP_Grid[#Data],$DE1102,67),0)</f>
        <v/>
      </c>
      <c r="BS1102">
        <f>IFERROR(INDEX(PP_Grid[#Data],$DE1102,68),0)</f>
        <v/>
      </c>
      <c r="BT1102">
        <f>IFERROR(INDEX(PP_Grid[#Data],$DE1102,69),0)</f>
        <v/>
      </c>
      <c r="BU1102">
        <f>IFERROR(INDEX(PP_Grid[#Data],$DE1102,70),0)</f>
        <v/>
      </c>
      <c r="BV1102">
        <f>IFERROR(INDEX(PP_Grid[#Data],$DE1102,71),0)</f>
        <v/>
      </c>
      <c r="BW1102">
        <f>IFERROR(INDEX(PP_Grid[#Data],$DE1102,72),0)</f>
        <v/>
      </c>
      <c r="BX1102">
        <f>IFERROR(INDEX(PP_Grid[#Data],$DE1102,73),0)</f>
        <v/>
      </c>
      <c r="BY1102">
        <f>IFERROR(INDEX(PP_Grid[#Data],$DE1102,74),0)</f>
        <v/>
      </c>
      <c r="BZ1102">
        <f>IFERROR(INDEX(PP_Grid[#Data],$DE1102,75),0)</f>
        <v/>
      </c>
      <c r="CA1102">
        <f>IFERROR(INDEX(PP_Grid[#Data],$DE1102,76),0)</f>
        <v/>
      </c>
      <c r="CB1102">
        <f>IFERROR(INDEX(PP_Grid[#Data],$DE1102,77),0)</f>
        <v/>
      </c>
      <c r="CC1102">
        <f>IFERROR(INDEX(PP_Grid[#Data],$DE1102,78),0)</f>
        <v/>
      </c>
      <c r="CD1102">
        <f>IFERROR(INDEX(PP_Grid[#Data],$DE1102,79),0)</f>
        <v/>
      </c>
      <c r="CE1102">
        <f>IFERROR(INDEX(PP_Grid[#Data],$DE1102,80),0)</f>
        <v/>
      </c>
      <c r="CF1102">
        <f>IFERROR(INDEX(PP_Grid[#Data],$DE1102,81),0)</f>
        <v/>
      </c>
      <c r="CG1102">
        <f>IFERROR(INDEX(PP_Grid[#Data],$DE1102,82),0)</f>
        <v/>
      </c>
      <c r="CH1102">
        <f>IFERROR(INDEX(PP_Grid[#Data],$DE1102,83),0)</f>
        <v/>
      </c>
      <c r="CI1102">
        <f>IFERROR(INDEX(PP_Grid[#Data],$DE1102,84),0)</f>
        <v/>
      </c>
      <c r="CJ1102">
        <f>IFERROR(INDEX(PP_Grid[#Data],$DE1102,85),0)</f>
        <v/>
      </c>
      <c r="CK1102">
        <f>IFERROR(INDEX(PP_Grid[#Data],$DE1102,86),0)</f>
        <v/>
      </c>
      <c r="CL1102">
        <f>IFERROR(INDEX(PP_Grid[#Data],$DE1102,87),0)</f>
        <v/>
      </c>
      <c r="CM1102">
        <f>IFERROR(INDEX(PP_Grid[#Data],$DE1102,88),0)</f>
        <v/>
      </c>
      <c r="CN1102">
        <f>IFERROR(INDEX(PP_Grid[#Data],$DE1102,89),0)</f>
        <v/>
      </c>
      <c r="CO1102">
        <f>IFERROR(INDEX(PP_Grid[#Data],$DE1102,90),0)</f>
        <v/>
      </c>
      <c r="CP1102">
        <f>IFERROR(INDEX(PP_Grid[#Data],$DE1102,91),0)</f>
        <v/>
      </c>
      <c r="CQ1102">
        <f>IFERROR(INDEX(PP_Grid[#Data],$DE1102,92),0)</f>
        <v/>
      </c>
      <c r="CR1102">
        <f>IFERROR(INDEX(PP_Grid[#Data],$DE1102,93),0)</f>
        <v/>
      </c>
      <c r="CS1102">
        <f>IFERROR(INDEX(PP_Grid[#Data],$DE1102,94),0)</f>
        <v/>
      </c>
      <c r="CT1102">
        <f>IFERROR(INDEX(PP_Grid[#Data],$DE1102,95),0)</f>
        <v/>
      </c>
      <c r="CU1102">
        <f>IFERROR(INDEX(PP_Grid[#Data],$DE1102,96),0)</f>
        <v/>
      </c>
      <c r="CV1102">
        <f>IFERROR(INDEX(PP_Grid[#Data],$DE1102,97),0)</f>
        <v/>
      </c>
      <c r="CW1102">
        <f>IFERROR(INDEX(PP_Grid[#Data],$DE1102,98),0)</f>
        <v/>
      </c>
      <c r="CX1102">
        <f>IFERROR(INDEX(PP_Grid[#Data],$DE1102,99),0)</f>
        <v/>
      </c>
      <c r="CY1102">
        <f>IFERROR(INDEX(PP_Grid[#Data],$DE1102,100),0)</f>
        <v/>
      </c>
      <c r="CZ1102">
        <f>IFERROR(INDEX(PP_Grid[#Data],$DE1102,101),0)</f>
        <v/>
      </c>
      <c r="DA1102">
        <f>IFERROR(INDEX(PP_Grid[#Data],$DE1102,102),0)</f>
        <v/>
      </c>
      <c r="DB1102">
        <f>IFERROR(INDEX(PP_Grid[#Data],$DE1102,103),0)</f>
        <v/>
      </c>
      <c r="DC1102">
        <f>IFERROR(INDEX(PP_Grid[#Data],$DE1102,104),0)</f>
        <v/>
      </c>
      <c r="DD1102">
        <f>IFERROR(INDEX(PP_Grid[#Data],$DE1102,105),0)</f>
        <v/>
      </c>
      <c r="DE1102" s="7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SUMIFS(M_BOM[RM_Qty_Per_Batch],M_BOM[Intermediate],$B1102,M_BOM[RM_Code],$A1101)</f>
        <v/>
      </c>
      <c r="D1103">
        <f>IFERROR(INDEX(E1103:DD1103,$F$1),"")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  <c r="DD1103">
        <f>$C1103*DD1102</f>
        <v/>
      </c>
    </row>
    <row r="1104">
      <c r="B1104" t="inlineStr">
        <is>
          <t>TSP-403</t>
        </is>
      </c>
      <c r="C1104" t="inlineStr">
        <is>
          <t>No. of batches</t>
        </is>
      </c>
      <c r="D1104">
        <f>IFERROR(INDEX(E1104:DD1104,$F$1),"")</f>
        <v/>
      </c>
      <c r="E1104">
        <f>IFERROR(INDEX(PP_Grid[#Data],$DE1104,2),0)</f>
        <v/>
      </c>
      <c r="F1104">
        <f>IFERROR(INDEX(PP_Grid[#Data],$DE1104,3),0)</f>
        <v/>
      </c>
      <c r="G1104">
        <f>IFERROR(INDEX(PP_Grid[#Data],$DE1104,4),0)</f>
        <v/>
      </c>
      <c r="H1104">
        <f>IFERROR(INDEX(PP_Grid[#Data],$DE1104,5),0)</f>
        <v/>
      </c>
      <c r="I1104">
        <f>IFERROR(INDEX(PP_Grid[#Data],$DE1104,6),0)</f>
        <v/>
      </c>
      <c r="J1104">
        <f>IFERROR(INDEX(PP_Grid[#Data],$DE1104,7),0)</f>
        <v/>
      </c>
      <c r="K1104">
        <f>IFERROR(INDEX(PP_Grid[#Data],$DE1104,8),0)</f>
        <v/>
      </c>
      <c r="L1104">
        <f>IFERROR(INDEX(PP_Grid[#Data],$DE1104,9),0)</f>
        <v/>
      </c>
      <c r="M1104">
        <f>IFERROR(INDEX(PP_Grid[#Data],$DE1104,10),0)</f>
        <v/>
      </c>
      <c r="N1104">
        <f>IFERROR(INDEX(PP_Grid[#Data],$DE1104,11),0)</f>
        <v/>
      </c>
      <c r="O1104">
        <f>IFERROR(INDEX(PP_Grid[#Data],$DE1104,12),0)</f>
        <v/>
      </c>
      <c r="P1104">
        <f>IFERROR(INDEX(PP_Grid[#Data],$DE1104,13),0)</f>
        <v/>
      </c>
      <c r="Q1104">
        <f>IFERROR(INDEX(PP_Grid[#Data],$DE1104,14),0)</f>
        <v/>
      </c>
      <c r="R1104">
        <f>IFERROR(INDEX(PP_Grid[#Data],$DE1104,15),0)</f>
        <v/>
      </c>
      <c r="S1104">
        <f>IFERROR(INDEX(PP_Grid[#Data],$DE1104,16),0)</f>
        <v/>
      </c>
      <c r="T1104">
        <f>IFERROR(INDEX(PP_Grid[#Data],$DE1104,17),0)</f>
        <v/>
      </c>
      <c r="U1104">
        <f>IFERROR(INDEX(PP_Grid[#Data],$DE1104,18),0)</f>
        <v/>
      </c>
      <c r="V1104">
        <f>IFERROR(INDEX(PP_Grid[#Data],$DE1104,19),0)</f>
        <v/>
      </c>
      <c r="W1104">
        <f>IFERROR(INDEX(PP_Grid[#Data],$DE1104,20),0)</f>
        <v/>
      </c>
      <c r="X1104">
        <f>IFERROR(INDEX(PP_Grid[#Data],$DE1104,21),0)</f>
        <v/>
      </c>
      <c r="Y1104">
        <f>IFERROR(INDEX(PP_Grid[#Data],$DE1104,22),0)</f>
        <v/>
      </c>
      <c r="Z1104">
        <f>IFERROR(INDEX(PP_Grid[#Data],$DE1104,23),0)</f>
        <v/>
      </c>
      <c r="AA1104">
        <f>IFERROR(INDEX(PP_Grid[#Data],$DE1104,24),0)</f>
        <v/>
      </c>
      <c r="AB1104">
        <f>IFERROR(INDEX(PP_Grid[#Data],$DE1104,25),0)</f>
        <v/>
      </c>
      <c r="AC1104">
        <f>IFERROR(INDEX(PP_Grid[#Data],$DE1104,26),0)</f>
        <v/>
      </c>
      <c r="AD1104">
        <f>IFERROR(INDEX(PP_Grid[#Data],$DE1104,27),0)</f>
        <v/>
      </c>
      <c r="AE1104">
        <f>IFERROR(INDEX(PP_Grid[#Data],$DE1104,28),0)</f>
        <v/>
      </c>
      <c r="AF1104">
        <f>IFERROR(INDEX(PP_Grid[#Data],$DE1104,29),0)</f>
        <v/>
      </c>
      <c r="AG1104">
        <f>IFERROR(INDEX(PP_Grid[#Data],$DE1104,30),0)</f>
        <v/>
      </c>
      <c r="AH1104">
        <f>IFERROR(INDEX(PP_Grid[#Data],$DE1104,31),0)</f>
        <v/>
      </c>
      <c r="AI1104">
        <f>IFERROR(INDEX(PP_Grid[#Data],$DE1104,32),0)</f>
        <v/>
      </c>
      <c r="AJ1104">
        <f>IFERROR(INDEX(PP_Grid[#Data],$DE1104,33),0)</f>
        <v/>
      </c>
      <c r="AK1104">
        <f>IFERROR(INDEX(PP_Grid[#Data],$DE1104,34),0)</f>
        <v/>
      </c>
      <c r="AL1104">
        <f>IFERROR(INDEX(PP_Grid[#Data],$DE1104,35),0)</f>
        <v/>
      </c>
      <c r="AM1104">
        <f>IFERROR(INDEX(PP_Grid[#Data],$DE1104,36),0)</f>
        <v/>
      </c>
      <c r="AN1104">
        <f>IFERROR(INDEX(PP_Grid[#Data],$DE1104,37),0)</f>
        <v/>
      </c>
      <c r="AO1104">
        <f>IFERROR(INDEX(PP_Grid[#Data],$DE1104,38),0)</f>
        <v/>
      </c>
      <c r="AP1104">
        <f>IFERROR(INDEX(PP_Grid[#Data],$DE1104,39),0)</f>
        <v/>
      </c>
      <c r="AQ1104">
        <f>IFERROR(INDEX(PP_Grid[#Data],$DE1104,40),0)</f>
        <v/>
      </c>
      <c r="AR1104">
        <f>IFERROR(INDEX(PP_Grid[#Data],$DE1104,41),0)</f>
        <v/>
      </c>
      <c r="AS1104">
        <f>IFERROR(INDEX(PP_Grid[#Data],$DE1104,42),0)</f>
        <v/>
      </c>
      <c r="AT1104">
        <f>IFERROR(INDEX(PP_Grid[#Data],$DE1104,43),0)</f>
        <v/>
      </c>
      <c r="AU1104">
        <f>IFERROR(INDEX(PP_Grid[#Data],$DE1104,44),0)</f>
        <v/>
      </c>
      <c r="AV1104">
        <f>IFERROR(INDEX(PP_Grid[#Data],$DE1104,45),0)</f>
        <v/>
      </c>
      <c r="AW1104">
        <f>IFERROR(INDEX(PP_Grid[#Data],$DE1104,46),0)</f>
        <v/>
      </c>
      <c r="AX1104">
        <f>IFERROR(INDEX(PP_Grid[#Data],$DE1104,47),0)</f>
        <v/>
      </c>
      <c r="AY1104">
        <f>IFERROR(INDEX(PP_Grid[#Data],$DE1104,48),0)</f>
        <v/>
      </c>
      <c r="AZ1104">
        <f>IFERROR(INDEX(PP_Grid[#Data],$DE1104,49),0)</f>
        <v/>
      </c>
      <c r="BA1104">
        <f>IFERROR(INDEX(PP_Grid[#Data],$DE1104,50),0)</f>
        <v/>
      </c>
      <c r="BB1104">
        <f>IFERROR(INDEX(PP_Grid[#Data],$DE1104,51),0)</f>
        <v/>
      </c>
      <c r="BC1104">
        <f>IFERROR(INDEX(PP_Grid[#Data],$DE1104,52),0)</f>
        <v/>
      </c>
      <c r="BD1104">
        <f>IFERROR(INDEX(PP_Grid[#Data],$DE1104,53),0)</f>
        <v/>
      </c>
      <c r="BE1104">
        <f>IFERROR(INDEX(PP_Grid[#Data],$DE1104,54),0)</f>
        <v/>
      </c>
      <c r="BF1104">
        <f>IFERROR(INDEX(PP_Grid[#Data],$DE1104,55),0)</f>
        <v/>
      </c>
      <c r="BG1104">
        <f>IFERROR(INDEX(PP_Grid[#Data],$DE1104,56),0)</f>
        <v/>
      </c>
      <c r="BH1104">
        <f>IFERROR(INDEX(PP_Grid[#Data],$DE1104,57),0)</f>
        <v/>
      </c>
      <c r="BI1104">
        <f>IFERROR(INDEX(PP_Grid[#Data],$DE1104,58),0)</f>
        <v/>
      </c>
      <c r="BJ1104">
        <f>IFERROR(INDEX(PP_Grid[#Data],$DE1104,59),0)</f>
        <v/>
      </c>
      <c r="BK1104">
        <f>IFERROR(INDEX(PP_Grid[#Data],$DE1104,60),0)</f>
        <v/>
      </c>
      <c r="BL1104">
        <f>IFERROR(INDEX(PP_Grid[#Data],$DE1104,61),0)</f>
        <v/>
      </c>
      <c r="BM1104">
        <f>IFERROR(INDEX(PP_Grid[#Data],$DE1104,62),0)</f>
        <v/>
      </c>
      <c r="BN1104">
        <f>IFERROR(INDEX(PP_Grid[#Data],$DE1104,63),0)</f>
        <v/>
      </c>
      <c r="BO1104">
        <f>IFERROR(INDEX(PP_Grid[#Data],$DE1104,64),0)</f>
        <v/>
      </c>
      <c r="BP1104">
        <f>IFERROR(INDEX(PP_Grid[#Data],$DE1104,65),0)</f>
        <v/>
      </c>
      <c r="BQ1104">
        <f>IFERROR(INDEX(PP_Grid[#Data],$DE1104,66),0)</f>
        <v/>
      </c>
      <c r="BR1104">
        <f>IFERROR(INDEX(PP_Grid[#Data],$DE1104,67),0)</f>
        <v/>
      </c>
      <c r="BS1104">
        <f>IFERROR(INDEX(PP_Grid[#Data],$DE1104,68),0)</f>
        <v/>
      </c>
      <c r="BT1104">
        <f>IFERROR(INDEX(PP_Grid[#Data],$DE1104,69),0)</f>
        <v/>
      </c>
      <c r="BU1104">
        <f>IFERROR(INDEX(PP_Grid[#Data],$DE1104,70),0)</f>
        <v/>
      </c>
      <c r="BV1104">
        <f>IFERROR(INDEX(PP_Grid[#Data],$DE1104,71),0)</f>
        <v/>
      </c>
      <c r="BW1104">
        <f>IFERROR(INDEX(PP_Grid[#Data],$DE1104,72),0)</f>
        <v/>
      </c>
      <c r="BX1104">
        <f>IFERROR(INDEX(PP_Grid[#Data],$DE1104,73),0)</f>
        <v/>
      </c>
      <c r="BY1104">
        <f>IFERROR(INDEX(PP_Grid[#Data],$DE1104,74),0)</f>
        <v/>
      </c>
      <c r="BZ1104">
        <f>IFERROR(INDEX(PP_Grid[#Data],$DE1104,75),0)</f>
        <v/>
      </c>
      <c r="CA1104">
        <f>IFERROR(INDEX(PP_Grid[#Data],$DE1104,76),0)</f>
        <v/>
      </c>
      <c r="CB1104">
        <f>IFERROR(INDEX(PP_Grid[#Data],$DE1104,77),0)</f>
        <v/>
      </c>
      <c r="CC1104">
        <f>IFERROR(INDEX(PP_Grid[#Data],$DE1104,78),0)</f>
        <v/>
      </c>
      <c r="CD1104">
        <f>IFERROR(INDEX(PP_Grid[#Data],$DE1104,79),0)</f>
        <v/>
      </c>
      <c r="CE1104">
        <f>IFERROR(INDEX(PP_Grid[#Data],$DE1104,80),0)</f>
        <v/>
      </c>
      <c r="CF1104">
        <f>IFERROR(INDEX(PP_Grid[#Data],$DE1104,81),0)</f>
        <v/>
      </c>
      <c r="CG1104">
        <f>IFERROR(INDEX(PP_Grid[#Data],$DE1104,82),0)</f>
        <v/>
      </c>
      <c r="CH1104">
        <f>IFERROR(INDEX(PP_Grid[#Data],$DE1104,83),0)</f>
        <v/>
      </c>
      <c r="CI1104">
        <f>IFERROR(INDEX(PP_Grid[#Data],$DE1104,84),0)</f>
        <v/>
      </c>
      <c r="CJ1104">
        <f>IFERROR(INDEX(PP_Grid[#Data],$DE1104,85),0)</f>
        <v/>
      </c>
      <c r="CK1104">
        <f>IFERROR(INDEX(PP_Grid[#Data],$DE1104,86),0)</f>
        <v/>
      </c>
      <c r="CL1104">
        <f>IFERROR(INDEX(PP_Grid[#Data],$DE1104,87),0)</f>
        <v/>
      </c>
      <c r="CM1104">
        <f>IFERROR(INDEX(PP_Grid[#Data],$DE1104,88),0)</f>
        <v/>
      </c>
      <c r="CN1104">
        <f>IFERROR(INDEX(PP_Grid[#Data],$DE1104,89),0)</f>
        <v/>
      </c>
      <c r="CO1104">
        <f>IFERROR(INDEX(PP_Grid[#Data],$DE1104,90),0)</f>
        <v/>
      </c>
      <c r="CP1104">
        <f>IFERROR(INDEX(PP_Grid[#Data],$DE1104,91),0)</f>
        <v/>
      </c>
      <c r="CQ1104">
        <f>IFERROR(INDEX(PP_Grid[#Data],$DE1104,92),0)</f>
        <v/>
      </c>
      <c r="CR1104">
        <f>IFERROR(INDEX(PP_Grid[#Data],$DE1104,93),0)</f>
        <v/>
      </c>
      <c r="CS1104">
        <f>IFERROR(INDEX(PP_Grid[#Data],$DE1104,94),0)</f>
        <v/>
      </c>
      <c r="CT1104">
        <f>IFERROR(INDEX(PP_Grid[#Data],$DE1104,95),0)</f>
        <v/>
      </c>
      <c r="CU1104">
        <f>IFERROR(INDEX(PP_Grid[#Data],$DE1104,96),0)</f>
        <v/>
      </c>
      <c r="CV1104">
        <f>IFERROR(INDEX(PP_Grid[#Data],$DE1104,97),0)</f>
        <v/>
      </c>
      <c r="CW1104">
        <f>IFERROR(INDEX(PP_Grid[#Data],$DE1104,98),0)</f>
        <v/>
      </c>
      <c r="CX1104">
        <f>IFERROR(INDEX(PP_Grid[#Data],$DE1104,99),0)</f>
        <v/>
      </c>
      <c r="CY1104">
        <f>IFERROR(INDEX(PP_Grid[#Data],$DE1104,100),0)</f>
        <v/>
      </c>
      <c r="CZ1104">
        <f>IFERROR(INDEX(PP_Grid[#Data],$DE1104,101),0)</f>
        <v/>
      </c>
      <c r="DA1104">
        <f>IFERROR(INDEX(PP_Grid[#Data],$DE1104,102),0)</f>
        <v/>
      </c>
      <c r="DB1104">
        <f>IFERROR(INDEX(PP_Grid[#Data],$DE1104,103),0)</f>
        <v/>
      </c>
      <c r="DC1104">
        <f>IFERROR(INDEX(PP_Grid[#Data],$DE1104,104),0)</f>
        <v/>
      </c>
      <c r="DD1104">
        <f>IFERROR(INDEX(PP_Grid[#Data],$DE1104,105),0)</f>
        <v/>
      </c>
      <c r="DE1104" s="7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SUMIFS(M_BOM[RM_Qty_Per_Batch],M_BOM[Intermediate],$B1104,M_BOM[RM_Code],$A1101)</f>
        <v/>
      </c>
      <c r="D1105">
        <f>IFERROR(INDEX(E1105:DD1105,$F$1),"")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  <c r="DD1105">
        <f>$C1105*DD1104</f>
        <v/>
      </c>
    </row>
    <row r="1106">
      <c r="B1106" t="inlineStr">
        <is>
          <t>TSP-404</t>
        </is>
      </c>
      <c r="C1106" t="inlineStr">
        <is>
          <t>No. of batches</t>
        </is>
      </c>
      <c r="D1106">
        <f>IFERROR(INDEX(E1106:DD1106,$F$1),"")</f>
        <v/>
      </c>
      <c r="E1106">
        <f>IFERROR(INDEX(PP_Grid[#Data],$DE1106,2),0)</f>
        <v/>
      </c>
      <c r="F1106">
        <f>IFERROR(INDEX(PP_Grid[#Data],$DE1106,3),0)</f>
        <v/>
      </c>
      <c r="G1106">
        <f>IFERROR(INDEX(PP_Grid[#Data],$DE1106,4),0)</f>
        <v/>
      </c>
      <c r="H1106">
        <f>IFERROR(INDEX(PP_Grid[#Data],$DE1106,5),0)</f>
        <v/>
      </c>
      <c r="I1106">
        <f>IFERROR(INDEX(PP_Grid[#Data],$DE1106,6),0)</f>
        <v/>
      </c>
      <c r="J1106">
        <f>IFERROR(INDEX(PP_Grid[#Data],$DE1106,7),0)</f>
        <v/>
      </c>
      <c r="K1106">
        <f>IFERROR(INDEX(PP_Grid[#Data],$DE1106,8),0)</f>
        <v/>
      </c>
      <c r="L1106">
        <f>IFERROR(INDEX(PP_Grid[#Data],$DE1106,9),0)</f>
        <v/>
      </c>
      <c r="M1106">
        <f>IFERROR(INDEX(PP_Grid[#Data],$DE1106,10),0)</f>
        <v/>
      </c>
      <c r="N1106">
        <f>IFERROR(INDEX(PP_Grid[#Data],$DE1106,11),0)</f>
        <v/>
      </c>
      <c r="O1106">
        <f>IFERROR(INDEX(PP_Grid[#Data],$DE1106,12),0)</f>
        <v/>
      </c>
      <c r="P1106">
        <f>IFERROR(INDEX(PP_Grid[#Data],$DE1106,13),0)</f>
        <v/>
      </c>
      <c r="Q1106">
        <f>IFERROR(INDEX(PP_Grid[#Data],$DE1106,14),0)</f>
        <v/>
      </c>
      <c r="R1106">
        <f>IFERROR(INDEX(PP_Grid[#Data],$DE1106,15),0)</f>
        <v/>
      </c>
      <c r="S1106">
        <f>IFERROR(INDEX(PP_Grid[#Data],$DE1106,16),0)</f>
        <v/>
      </c>
      <c r="T1106">
        <f>IFERROR(INDEX(PP_Grid[#Data],$DE1106,17),0)</f>
        <v/>
      </c>
      <c r="U1106">
        <f>IFERROR(INDEX(PP_Grid[#Data],$DE1106,18),0)</f>
        <v/>
      </c>
      <c r="V1106">
        <f>IFERROR(INDEX(PP_Grid[#Data],$DE1106,19),0)</f>
        <v/>
      </c>
      <c r="W1106">
        <f>IFERROR(INDEX(PP_Grid[#Data],$DE1106,20),0)</f>
        <v/>
      </c>
      <c r="X1106">
        <f>IFERROR(INDEX(PP_Grid[#Data],$DE1106,21),0)</f>
        <v/>
      </c>
      <c r="Y1106">
        <f>IFERROR(INDEX(PP_Grid[#Data],$DE1106,22),0)</f>
        <v/>
      </c>
      <c r="Z1106">
        <f>IFERROR(INDEX(PP_Grid[#Data],$DE1106,23),0)</f>
        <v/>
      </c>
      <c r="AA1106">
        <f>IFERROR(INDEX(PP_Grid[#Data],$DE1106,24),0)</f>
        <v/>
      </c>
      <c r="AB1106">
        <f>IFERROR(INDEX(PP_Grid[#Data],$DE1106,25),0)</f>
        <v/>
      </c>
      <c r="AC1106">
        <f>IFERROR(INDEX(PP_Grid[#Data],$DE1106,26),0)</f>
        <v/>
      </c>
      <c r="AD1106">
        <f>IFERROR(INDEX(PP_Grid[#Data],$DE1106,27),0)</f>
        <v/>
      </c>
      <c r="AE1106">
        <f>IFERROR(INDEX(PP_Grid[#Data],$DE1106,28),0)</f>
        <v/>
      </c>
      <c r="AF1106">
        <f>IFERROR(INDEX(PP_Grid[#Data],$DE1106,29),0)</f>
        <v/>
      </c>
      <c r="AG1106">
        <f>IFERROR(INDEX(PP_Grid[#Data],$DE1106,30),0)</f>
        <v/>
      </c>
      <c r="AH1106">
        <f>IFERROR(INDEX(PP_Grid[#Data],$DE1106,31),0)</f>
        <v/>
      </c>
      <c r="AI1106">
        <f>IFERROR(INDEX(PP_Grid[#Data],$DE1106,32),0)</f>
        <v/>
      </c>
      <c r="AJ1106">
        <f>IFERROR(INDEX(PP_Grid[#Data],$DE1106,33),0)</f>
        <v/>
      </c>
      <c r="AK1106">
        <f>IFERROR(INDEX(PP_Grid[#Data],$DE1106,34),0)</f>
        <v/>
      </c>
      <c r="AL1106">
        <f>IFERROR(INDEX(PP_Grid[#Data],$DE1106,35),0)</f>
        <v/>
      </c>
      <c r="AM1106">
        <f>IFERROR(INDEX(PP_Grid[#Data],$DE1106,36),0)</f>
        <v/>
      </c>
      <c r="AN1106">
        <f>IFERROR(INDEX(PP_Grid[#Data],$DE1106,37),0)</f>
        <v/>
      </c>
      <c r="AO1106">
        <f>IFERROR(INDEX(PP_Grid[#Data],$DE1106,38),0)</f>
        <v/>
      </c>
      <c r="AP1106">
        <f>IFERROR(INDEX(PP_Grid[#Data],$DE1106,39),0)</f>
        <v/>
      </c>
      <c r="AQ1106">
        <f>IFERROR(INDEX(PP_Grid[#Data],$DE1106,40),0)</f>
        <v/>
      </c>
      <c r="AR1106">
        <f>IFERROR(INDEX(PP_Grid[#Data],$DE1106,41),0)</f>
        <v/>
      </c>
      <c r="AS1106">
        <f>IFERROR(INDEX(PP_Grid[#Data],$DE1106,42),0)</f>
        <v/>
      </c>
      <c r="AT1106">
        <f>IFERROR(INDEX(PP_Grid[#Data],$DE1106,43),0)</f>
        <v/>
      </c>
      <c r="AU1106">
        <f>IFERROR(INDEX(PP_Grid[#Data],$DE1106,44),0)</f>
        <v/>
      </c>
      <c r="AV1106">
        <f>IFERROR(INDEX(PP_Grid[#Data],$DE1106,45),0)</f>
        <v/>
      </c>
      <c r="AW1106">
        <f>IFERROR(INDEX(PP_Grid[#Data],$DE1106,46),0)</f>
        <v/>
      </c>
      <c r="AX1106">
        <f>IFERROR(INDEX(PP_Grid[#Data],$DE1106,47),0)</f>
        <v/>
      </c>
      <c r="AY1106">
        <f>IFERROR(INDEX(PP_Grid[#Data],$DE1106,48),0)</f>
        <v/>
      </c>
      <c r="AZ1106">
        <f>IFERROR(INDEX(PP_Grid[#Data],$DE1106,49),0)</f>
        <v/>
      </c>
      <c r="BA1106">
        <f>IFERROR(INDEX(PP_Grid[#Data],$DE1106,50),0)</f>
        <v/>
      </c>
      <c r="BB1106">
        <f>IFERROR(INDEX(PP_Grid[#Data],$DE1106,51),0)</f>
        <v/>
      </c>
      <c r="BC1106">
        <f>IFERROR(INDEX(PP_Grid[#Data],$DE1106,52),0)</f>
        <v/>
      </c>
      <c r="BD1106">
        <f>IFERROR(INDEX(PP_Grid[#Data],$DE1106,53),0)</f>
        <v/>
      </c>
      <c r="BE1106">
        <f>IFERROR(INDEX(PP_Grid[#Data],$DE1106,54),0)</f>
        <v/>
      </c>
      <c r="BF1106">
        <f>IFERROR(INDEX(PP_Grid[#Data],$DE1106,55),0)</f>
        <v/>
      </c>
      <c r="BG1106">
        <f>IFERROR(INDEX(PP_Grid[#Data],$DE1106,56),0)</f>
        <v/>
      </c>
      <c r="BH1106">
        <f>IFERROR(INDEX(PP_Grid[#Data],$DE1106,57),0)</f>
        <v/>
      </c>
      <c r="BI1106">
        <f>IFERROR(INDEX(PP_Grid[#Data],$DE1106,58),0)</f>
        <v/>
      </c>
      <c r="BJ1106">
        <f>IFERROR(INDEX(PP_Grid[#Data],$DE1106,59),0)</f>
        <v/>
      </c>
      <c r="BK1106">
        <f>IFERROR(INDEX(PP_Grid[#Data],$DE1106,60),0)</f>
        <v/>
      </c>
      <c r="BL1106">
        <f>IFERROR(INDEX(PP_Grid[#Data],$DE1106,61),0)</f>
        <v/>
      </c>
      <c r="BM1106">
        <f>IFERROR(INDEX(PP_Grid[#Data],$DE1106,62),0)</f>
        <v/>
      </c>
      <c r="BN1106">
        <f>IFERROR(INDEX(PP_Grid[#Data],$DE1106,63),0)</f>
        <v/>
      </c>
      <c r="BO1106">
        <f>IFERROR(INDEX(PP_Grid[#Data],$DE1106,64),0)</f>
        <v/>
      </c>
      <c r="BP1106">
        <f>IFERROR(INDEX(PP_Grid[#Data],$DE1106,65),0)</f>
        <v/>
      </c>
      <c r="BQ1106">
        <f>IFERROR(INDEX(PP_Grid[#Data],$DE1106,66),0)</f>
        <v/>
      </c>
      <c r="BR1106">
        <f>IFERROR(INDEX(PP_Grid[#Data],$DE1106,67),0)</f>
        <v/>
      </c>
      <c r="BS1106">
        <f>IFERROR(INDEX(PP_Grid[#Data],$DE1106,68),0)</f>
        <v/>
      </c>
      <c r="BT1106">
        <f>IFERROR(INDEX(PP_Grid[#Data],$DE1106,69),0)</f>
        <v/>
      </c>
      <c r="BU1106">
        <f>IFERROR(INDEX(PP_Grid[#Data],$DE1106,70),0)</f>
        <v/>
      </c>
      <c r="BV1106">
        <f>IFERROR(INDEX(PP_Grid[#Data],$DE1106,71),0)</f>
        <v/>
      </c>
      <c r="BW1106">
        <f>IFERROR(INDEX(PP_Grid[#Data],$DE1106,72),0)</f>
        <v/>
      </c>
      <c r="BX1106">
        <f>IFERROR(INDEX(PP_Grid[#Data],$DE1106,73),0)</f>
        <v/>
      </c>
      <c r="BY1106">
        <f>IFERROR(INDEX(PP_Grid[#Data],$DE1106,74),0)</f>
        <v/>
      </c>
      <c r="BZ1106">
        <f>IFERROR(INDEX(PP_Grid[#Data],$DE1106,75),0)</f>
        <v/>
      </c>
      <c r="CA1106">
        <f>IFERROR(INDEX(PP_Grid[#Data],$DE1106,76),0)</f>
        <v/>
      </c>
      <c r="CB1106">
        <f>IFERROR(INDEX(PP_Grid[#Data],$DE1106,77),0)</f>
        <v/>
      </c>
      <c r="CC1106">
        <f>IFERROR(INDEX(PP_Grid[#Data],$DE1106,78),0)</f>
        <v/>
      </c>
      <c r="CD1106">
        <f>IFERROR(INDEX(PP_Grid[#Data],$DE1106,79),0)</f>
        <v/>
      </c>
      <c r="CE1106">
        <f>IFERROR(INDEX(PP_Grid[#Data],$DE1106,80),0)</f>
        <v/>
      </c>
      <c r="CF1106">
        <f>IFERROR(INDEX(PP_Grid[#Data],$DE1106,81),0)</f>
        <v/>
      </c>
      <c r="CG1106">
        <f>IFERROR(INDEX(PP_Grid[#Data],$DE1106,82),0)</f>
        <v/>
      </c>
      <c r="CH1106">
        <f>IFERROR(INDEX(PP_Grid[#Data],$DE1106,83),0)</f>
        <v/>
      </c>
      <c r="CI1106">
        <f>IFERROR(INDEX(PP_Grid[#Data],$DE1106,84),0)</f>
        <v/>
      </c>
      <c r="CJ1106">
        <f>IFERROR(INDEX(PP_Grid[#Data],$DE1106,85),0)</f>
        <v/>
      </c>
      <c r="CK1106">
        <f>IFERROR(INDEX(PP_Grid[#Data],$DE1106,86),0)</f>
        <v/>
      </c>
      <c r="CL1106">
        <f>IFERROR(INDEX(PP_Grid[#Data],$DE1106,87),0)</f>
        <v/>
      </c>
      <c r="CM1106">
        <f>IFERROR(INDEX(PP_Grid[#Data],$DE1106,88),0)</f>
        <v/>
      </c>
      <c r="CN1106">
        <f>IFERROR(INDEX(PP_Grid[#Data],$DE1106,89),0)</f>
        <v/>
      </c>
      <c r="CO1106">
        <f>IFERROR(INDEX(PP_Grid[#Data],$DE1106,90),0)</f>
        <v/>
      </c>
      <c r="CP1106">
        <f>IFERROR(INDEX(PP_Grid[#Data],$DE1106,91),0)</f>
        <v/>
      </c>
      <c r="CQ1106">
        <f>IFERROR(INDEX(PP_Grid[#Data],$DE1106,92),0)</f>
        <v/>
      </c>
      <c r="CR1106">
        <f>IFERROR(INDEX(PP_Grid[#Data],$DE1106,93),0)</f>
        <v/>
      </c>
      <c r="CS1106">
        <f>IFERROR(INDEX(PP_Grid[#Data],$DE1106,94),0)</f>
        <v/>
      </c>
      <c r="CT1106">
        <f>IFERROR(INDEX(PP_Grid[#Data],$DE1106,95),0)</f>
        <v/>
      </c>
      <c r="CU1106">
        <f>IFERROR(INDEX(PP_Grid[#Data],$DE1106,96),0)</f>
        <v/>
      </c>
      <c r="CV1106">
        <f>IFERROR(INDEX(PP_Grid[#Data],$DE1106,97),0)</f>
        <v/>
      </c>
      <c r="CW1106">
        <f>IFERROR(INDEX(PP_Grid[#Data],$DE1106,98),0)</f>
        <v/>
      </c>
      <c r="CX1106">
        <f>IFERROR(INDEX(PP_Grid[#Data],$DE1106,99),0)</f>
        <v/>
      </c>
      <c r="CY1106">
        <f>IFERROR(INDEX(PP_Grid[#Data],$DE1106,100),0)</f>
        <v/>
      </c>
      <c r="CZ1106">
        <f>IFERROR(INDEX(PP_Grid[#Data],$DE1106,101),0)</f>
        <v/>
      </c>
      <c r="DA1106">
        <f>IFERROR(INDEX(PP_Grid[#Data],$DE1106,102),0)</f>
        <v/>
      </c>
      <c r="DB1106">
        <f>IFERROR(INDEX(PP_Grid[#Data],$DE1106,103),0)</f>
        <v/>
      </c>
      <c r="DC1106">
        <f>IFERROR(INDEX(PP_Grid[#Data],$DE1106,104),0)</f>
        <v/>
      </c>
      <c r="DD1106">
        <f>IFERROR(INDEX(PP_Grid[#Data],$DE1106,105),0)</f>
        <v/>
      </c>
      <c r="DE1106" s="7">
        <f>IFERROR(MATCH($B1106,PP_Grid[Intermediate],0),99999)</f>
        <v/>
      </c>
    </row>
    <row r="1107">
      <c r="B1107" t="inlineStr">
        <is>
          <t>使用量(kg)</t>
        </is>
      </c>
      <c r="C1107">
        <f>SUMIFS(M_BOM[RM_Qty_Per_Batch],M_BOM[Intermediate],$B1106,M_BOM[RM_Code],$A1101)</f>
        <v/>
      </c>
      <c r="D1107">
        <f>IFERROR(INDEX(E1107:DD1107,$F$1),"")</f>
        <v/>
      </c>
      <c r="E1107">
        <f>$C1107*E1106</f>
        <v/>
      </c>
      <c r="F1107">
        <f>$C1107*F1106</f>
        <v/>
      </c>
      <c r="G1107">
        <f>$C1107*G1106</f>
        <v/>
      </c>
      <c r="H1107">
        <f>$C1107*H1106</f>
        <v/>
      </c>
      <c r="I1107">
        <f>$C1107*I1106</f>
        <v/>
      </c>
      <c r="J1107">
        <f>$C1107*J1106</f>
        <v/>
      </c>
      <c r="K1107">
        <f>$C1107*K1106</f>
        <v/>
      </c>
      <c r="L1107">
        <f>$C1107*L1106</f>
        <v/>
      </c>
      <c r="M1107">
        <f>$C1107*M1106</f>
        <v/>
      </c>
      <c r="N1107">
        <f>$C1107*N1106</f>
        <v/>
      </c>
      <c r="O1107">
        <f>$C1107*O1106</f>
        <v/>
      </c>
      <c r="P1107">
        <f>$C1107*P1106</f>
        <v/>
      </c>
      <c r="Q1107">
        <f>$C1107*Q1106</f>
        <v/>
      </c>
      <c r="R1107">
        <f>$C1107*R1106</f>
        <v/>
      </c>
      <c r="S1107">
        <f>$C1107*S1106</f>
        <v/>
      </c>
      <c r="T1107">
        <f>$C1107*T1106</f>
        <v/>
      </c>
      <c r="U1107">
        <f>$C1107*U1106</f>
        <v/>
      </c>
      <c r="V1107">
        <f>$C1107*V1106</f>
        <v/>
      </c>
      <c r="W1107">
        <f>$C1107*W1106</f>
        <v/>
      </c>
      <c r="X1107">
        <f>$C1107*X1106</f>
        <v/>
      </c>
      <c r="Y1107">
        <f>$C1107*Y1106</f>
        <v/>
      </c>
      <c r="Z1107">
        <f>$C1107*Z1106</f>
        <v/>
      </c>
      <c r="AA1107">
        <f>$C1107*AA1106</f>
        <v/>
      </c>
      <c r="AB1107">
        <f>$C1107*AB1106</f>
        <v/>
      </c>
      <c r="AC1107">
        <f>$C1107*AC1106</f>
        <v/>
      </c>
      <c r="AD1107">
        <f>$C1107*AD1106</f>
        <v/>
      </c>
      <c r="AE1107">
        <f>$C1107*AE1106</f>
        <v/>
      </c>
      <c r="AF1107">
        <f>$C1107*AF1106</f>
        <v/>
      </c>
      <c r="AG1107">
        <f>$C1107*AG1106</f>
        <v/>
      </c>
      <c r="AH1107">
        <f>$C1107*AH1106</f>
        <v/>
      </c>
      <c r="AI1107">
        <f>$C1107*AI1106</f>
        <v/>
      </c>
      <c r="AJ1107">
        <f>$C1107*AJ1106</f>
        <v/>
      </c>
      <c r="AK1107">
        <f>$C1107*AK1106</f>
        <v/>
      </c>
      <c r="AL1107">
        <f>$C1107*AL1106</f>
        <v/>
      </c>
      <c r="AM1107">
        <f>$C1107*AM1106</f>
        <v/>
      </c>
      <c r="AN1107">
        <f>$C1107*AN1106</f>
        <v/>
      </c>
      <c r="AO1107">
        <f>$C1107*AO1106</f>
        <v/>
      </c>
      <c r="AP1107">
        <f>$C1107*AP1106</f>
        <v/>
      </c>
      <c r="AQ1107">
        <f>$C1107*AQ1106</f>
        <v/>
      </c>
      <c r="AR1107">
        <f>$C1107*AR1106</f>
        <v/>
      </c>
      <c r="AS1107">
        <f>$C1107*AS1106</f>
        <v/>
      </c>
      <c r="AT1107">
        <f>$C1107*AT1106</f>
        <v/>
      </c>
      <c r="AU1107">
        <f>$C1107*AU1106</f>
        <v/>
      </c>
      <c r="AV1107">
        <f>$C1107*AV1106</f>
        <v/>
      </c>
      <c r="AW1107">
        <f>$C1107*AW1106</f>
        <v/>
      </c>
      <c r="AX1107">
        <f>$C1107*AX1106</f>
        <v/>
      </c>
      <c r="AY1107">
        <f>$C1107*AY1106</f>
        <v/>
      </c>
      <c r="AZ1107">
        <f>$C1107*AZ1106</f>
        <v/>
      </c>
      <c r="BA1107">
        <f>$C1107*BA1106</f>
        <v/>
      </c>
      <c r="BB1107">
        <f>$C1107*BB1106</f>
        <v/>
      </c>
      <c r="BC1107">
        <f>$C1107*BC1106</f>
        <v/>
      </c>
      <c r="BD1107">
        <f>$C1107*BD1106</f>
        <v/>
      </c>
      <c r="BE1107">
        <f>$C1107*BE1106</f>
        <v/>
      </c>
      <c r="BF1107">
        <f>$C1107*BF1106</f>
        <v/>
      </c>
      <c r="BG1107">
        <f>$C1107*BG1106</f>
        <v/>
      </c>
      <c r="BH1107">
        <f>$C1107*BH1106</f>
        <v/>
      </c>
      <c r="BI1107">
        <f>$C1107*BI1106</f>
        <v/>
      </c>
      <c r="BJ1107">
        <f>$C1107*BJ1106</f>
        <v/>
      </c>
      <c r="BK1107">
        <f>$C1107*BK1106</f>
        <v/>
      </c>
      <c r="BL1107">
        <f>$C1107*BL1106</f>
        <v/>
      </c>
      <c r="BM1107">
        <f>$C1107*BM1106</f>
        <v/>
      </c>
      <c r="BN1107">
        <f>$C1107*BN1106</f>
        <v/>
      </c>
      <c r="BO1107">
        <f>$C1107*BO1106</f>
        <v/>
      </c>
      <c r="BP1107">
        <f>$C1107*BP1106</f>
        <v/>
      </c>
      <c r="BQ1107">
        <f>$C1107*BQ1106</f>
        <v/>
      </c>
      <c r="BR1107">
        <f>$C1107*BR1106</f>
        <v/>
      </c>
      <c r="BS1107">
        <f>$C1107*BS1106</f>
        <v/>
      </c>
      <c r="BT1107">
        <f>$C1107*BT1106</f>
        <v/>
      </c>
      <c r="BU1107">
        <f>$C1107*BU1106</f>
        <v/>
      </c>
      <c r="BV1107">
        <f>$C1107*BV1106</f>
        <v/>
      </c>
      <c r="BW1107">
        <f>$C1107*BW1106</f>
        <v/>
      </c>
      <c r="BX1107">
        <f>$C1107*BX1106</f>
        <v/>
      </c>
      <c r="BY1107">
        <f>$C1107*BY1106</f>
        <v/>
      </c>
      <c r="BZ1107">
        <f>$C1107*BZ1106</f>
        <v/>
      </c>
      <c r="CA1107">
        <f>$C1107*CA1106</f>
        <v/>
      </c>
      <c r="CB1107">
        <f>$C1107*CB1106</f>
        <v/>
      </c>
      <c r="CC1107">
        <f>$C1107*CC1106</f>
        <v/>
      </c>
      <c r="CD1107">
        <f>$C1107*CD1106</f>
        <v/>
      </c>
      <c r="CE1107">
        <f>$C1107*CE1106</f>
        <v/>
      </c>
      <c r="CF1107">
        <f>$C1107*CF1106</f>
        <v/>
      </c>
      <c r="CG1107">
        <f>$C1107*CG1106</f>
        <v/>
      </c>
      <c r="CH1107">
        <f>$C1107*CH1106</f>
        <v/>
      </c>
      <c r="CI1107">
        <f>$C1107*CI1106</f>
        <v/>
      </c>
      <c r="CJ1107">
        <f>$C1107*CJ1106</f>
        <v/>
      </c>
      <c r="CK1107">
        <f>$C1107*CK1106</f>
        <v/>
      </c>
      <c r="CL1107">
        <f>$C1107*CL1106</f>
        <v/>
      </c>
      <c r="CM1107">
        <f>$C1107*CM1106</f>
        <v/>
      </c>
      <c r="CN1107">
        <f>$C1107*CN1106</f>
        <v/>
      </c>
      <c r="CO1107">
        <f>$C1107*CO1106</f>
        <v/>
      </c>
      <c r="CP1107">
        <f>$C1107*CP1106</f>
        <v/>
      </c>
      <c r="CQ1107">
        <f>$C1107*CQ1106</f>
        <v/>
      </c>
      <c r="CR1107">
        <f>$C1107*CR1106</f>
        <v/>
      </c>
      <c r="CS1107">
        <f>$C1107*CS1106</f>
        <v/>
      </c>
      <c r="CT1107">
        <f>$C1107*CT1106</f>
        <v/>
      </c>
      <c r="CU1107">
        <f>$C1107*CU1106</f>
        <v/>
      </c>
      <c r="CV1107">
        <f>$C1107*CV1106</f>
        <v/>
      </c>
      <c r="CW1107">
        <f>$C1107*CW1106</f>
        <v/>
      </c>
      <c r="CX1107">
        <f>$C1107*CX1106</f>
        <v/>
      </c>
      <c r="CY1107">
        <f>$C1107*CY1106</f>
        <v/>
      </c>
      <c r="CZ1107">
        <f>$C1107*CZ1106</f>
        <v/>
      </c>
      <c r="DA1107">
        <f>$C1107*DA1106</f>
        <v/>
      </c>
      <c r="DB1107">
        <f>$C1107*DB1106</f>
        <v/>
      </c>
      <c r="DC1107">
        <f>$C1107*DC1106</f>
        <v/>
      </c>
      <c r="DD1107">
        <f>$C1107*DD1106</f>
        <v/>
      </c>
    </row>
    <row r="1108">
      <c r="B1108" t="inlineStr">
        <is>
          <t>TSP-405</t>
        </is>
      </c>
      <c r="C1108" t="inlineStr">
        <is>
          <t>No. of batches</t>
        </is>
      </c>
      <c r="D1108">
        <f>IFERROR(INDEX(E1108:DD1108,$F$1),"")</f>
        <v/>
      </c>
      <c r="E1108">
        <f>IFERROR(INDEX(PP_Grid[#Data],$DE1108,2),0)</f>
        <v/>
      </c>
      <c r="F1108">
        <f>IFERROR(INDEX(PP_Grid[#Data],$DE1108,3),0)</f>
        <v/>
      </c>
      <c r="G1108">
        <f>IFERROR(INDEX(PP_Grid[#Data],$DE1108,4),0)</f>
        <v/>
      </c>
      <c r="H1108">
        <f>IFERROR(INDEX(PP_Grid[#Data],$DE1108,5),0)</f>
        <v/>
      </c>
      <c r="I1108">
        <f>IFERROR(INDEX(PP_Grid[#Data],$DE1108,6),0)</f>
        <v/>
      </c>
      <c r="J1108">
        <f>IFERROR(INDEX(PP_Grid[#Data],$DE1108,7),0)</f>
        <v/>
      </c>
      <c r="K1108">
        <f>IFERROR(INDEX(PP_Grid[#Data],$DE1108,8),0)</f>
        <v/>
      </c>
      <c r="L1108">
        <f>IFERROR(INDEX(PP_Grid[#Data],$DE1108,9),0)</f>
        <v/>
      </c>
      <c r="M1108">
        <f>IFERROR(INDEX(PP_Grid[#Data],$DE1108,10),0)</f>
        <v/>
      </c>
      <c r="N1108">
        <f>IFERROR(INDEX(PP_Grid[#Data],$DE1108,11),0)</f>
        <v/>
      </c>
      <c r="O1108">
        <f>IFERROR(INDEX(PP_Grid[#Data],$DE1108,12),0)</f>
        <v/>
      </c>
      <c r="P1108">
        <f>IFERROR(INDEX(PP_Grid[#Data],$DE1108,13),0)</f>
        <v/>
      </c>
      <c r="Q1108">
        <f>IFERROR(INDEX(PP_Grid[#Data],$DE1108,14),0)</f>
        <v/>
      </c>
      <c r="R1108">
        <f>IFERROR(INDEX(PP_Grid[#Data],$DE1108,15),0)</f>
        <v/>
      </c>
      <c r="S1108">
        <f>IFERROR(INDEX(PP_Grid[#Data],$DE1108,16),0)</f>
        <v/>
      </c>
      <c r="T1108">
        <f>IFERROR(INDEX(PP_Grid[#Data],$DE1108,17),0)</f>
        <v/>
      </c>
      <c r="U1108">
        <f>IFERROR(INDEX(PP_Grid[#Data],$DE1108,18),0)</f>
        <v/>
      </c>
      <c r="V1108">
        <f>IFERROR(INDEX(PP_Grid[#Data],$DE1108,19),0)</f>
        <v/>
      </c>
      <c r="W1108">
        <f>IFERROR(INDEX(PP_Grid[#Data],$DE1108,20),0)</f>
        <v/>
      </c>
      <c r="X1108">
        <f>IFERROR(INDEX(PP_Grid[#Data],$DE1108,21),0)</f>
        <v/>
      </c>
      <c r="Y1108">
        <f>IFERROR(INDEX(PP_Grid[#Data],$DE1108,22),0)</f>
        <v/>
      </c>
      <c r="Z1108">
        <f>IFERROR(INDEX(PP_Grid[#Data],$DE1108,23),0)</f>
        <v/>
      </c>
      <c r="AA1108">
        <f>IFERROR(INDEX(PP_Grid[#Data],$DE1108,24),0)</f>
        <v/>
      </c>
      <c r="AB1108">
        <f>IFERROR(INDEX(PP_Grid[#Data],$DE1108,25),0)</f>
        <v/>
      </c>
      <c r="AC1108">
        <f>IFERROR(INDEX(PP_Grid[#Data],$DE1108,26),0)</f>
        <v/>
      </c>
      <c r="AD1108">
        <f>IFERROR(INDEX(PP_Grid[#Data],$DE1108,27),0)</f>
        <v/>
      </c>
      <c r="AE1108">
        <f>IFERROR(INDEX(PP_Grid[#Data],$DE1108,28),0)</f>
        <v/>
      </c>
      <c r="AF1108">
        <f>IFERROR(INDEX(PP_Grid[#Data],$DE1108,29),0)</f>
        <v/>
      </c>
      <c r="AG1108">
        <f>IFERROR(INDEX(PP_Grid[#Data],$DE1108,30),0)</f>
        <v/>
      </c>
      <c r="AH1108">
        <f>IFERROR(INDEX(PP_Grid[#Data],$DE1108,31),0)</f>
        <v/>
      </c>
      <c r="AI1108">
        <f>IFERROR(INDEX(PP_Grid[#Data],$DE1108,32),0)</f>
        <v/>
      </c>
      <c r="AJ1108">
        <f>IFERROR(INDEX(PP_Grid[#Data],$DE1108,33),0)</f>
        <v/>
      </c>
      <c r="AK1108">
        <f>IFERROR(INDEX(PP_Grid[#Data],$DE1108,34),0)</f>
        <v/>
      </c>
      <c r="AL1108">
        <f>IFERROR(INDEX(PP_Grid[#Data],$DE1108,35),0)</f>
        <v/>
      </c>
      <c r="AM1108">
        <f>IFERROR(INDEX(PP_Grid[#Data],$DE1108,36),0)</f>
        <v/>
      </c>
      <c r="AN1108">
        <f>IFERROR(INDEX(PP_Grid[#Data],$DE1108,37),0)</f>
        <v/>
      </c>
      <c r="AO1108">
        <f>IFERROR(INDEX(PP_Grid[#Data],$DE1108,38),0)</f>
        <v/>
      </c>
      <c r="AP1108">
        <f>IFERROR(INDEX(PP_Grid[#Data],$DE1108,39),0)</f>
        <v/>
      </c>
      <c r="AQ1108">
        <f>IFERROR(INDEX(PP_Grid[#Data],$DE1108,40),0)</f>
        <v/>
      </c>
      <c r="AR1108">
        <f>IFERROR(INDEX(PP_Grid[#Data],$DE1108,41),0)</f>
        <v/>
      </c>
      <c r="AS1108">
        <f>IFERROR(INDEX(PP_Grid[#Data],$DE1108,42),0)</f>
        <v/>
      </c>
      <c r="AT1108">
        <f>IFERROR(INDEX(PP_Grid[#Data],$DE1108,43),0)</f>
        <v/>
      </c>
      <c r="AU1108">
        <f>IFERROR(INDEX(PP_Grid[#Data],$DE1108,44),0)</f>
        <v/>
      </c>
      <c r="AV1108">
        <f>IFERROR(INDEX(PP_Grid[#Data],$DE1108,45),0)</f>
        <v/>
      </c>
      <c r="AW1108">
        <f>IFERROR(INDEX(PP_Grid[#Data],$DE1108,46),0)</f>
        <v/>
      </c>
      <c r="AX1108">
        <f>IFERROR(INDEX(PP_Grid[#Data],$DE1108,47),0)</f>
        <v/>
      </c>
      <c r="AY1108">
        <f>IFERROR(INDEX(PP_Grid[#Data],$DE1108,48),0)</f>
        <v/>
      </c>
      <c r="AZ1108">
        <f>IFERROR(INDEX(PP_Grid[#Data],$DE1108,49),0)</f>
        <v/>
      </c>
      <c r="BA1108">
        <f>IFERROR(INDEX(PP_Grid[#Data],$DE1108,50),0)</f>
        <v/>
      </c>
      <c r="BB1108">
        <f>IFERROR(INDEX(PP_Grid[#Data],$DE1108,51),0)</f>
        <v/>
      </c>
      <c r="BC1108">
        <f>IFERROR(INDEX(PP_Grid[#Data],$DE1108,52),0)</f>
        <v/>
      </c>
      <c r="BD1108">
        <f>IFERROR(INDEX(PP_Grid[#Data],$DE1108,53),0)</f>
        <v/>
      </c>
      <c r="BE1108">
        <f>IFERROR(INDEX(PP_Grid[#Data],$DE1108,54),0)</f>
        <v/>
      </c>
      <c r="BF1108">
        <f>IFERROR(INDEX(PP_Grid[#Data],$DE1108,55),0)</f>
        <v/>
      </c>
      <c r="BG1108">
        <f>IFERROR(INDEX(PP_Grid[#Data],$DE1108,56),0)</f>
        <v/>
      </c>
      <c r="BH1108">
        <f>IFERROR(INDEX(PP_Grid[#Data],$DE1108,57),0)</f>
        <v/>
      </c>
      <c r="BI1108">
        <f>IFERROR(INDEX(PP_Grid[#Data],$DE1108,58),0)</f>
        <v/>
      </c>
      <c r="BJ1108">
        <f>IFERROR(INDEX(PP_Grid[#Data],$DE1108,59),0)</f>
        <v/>
      </c>
      <c r="BK1108">
        <f>IFERROR(INDEX(PP_Grid[#Data],$DE1108,60),0)</f>
        <v/>
      </c>
      <c r="BL1108">
        <f>IFERROR(INDEX(PP_Grid[#Data],$DE1108,61),0)</f>
        <v/>
      </c>
      <c r="BM1108">
        <f>IFERROR(INDEX(PP_Grid[#Data],$DE1108,62),0)</f>
        <v/>
      </c>
      <c r="BN1108">
        <f>IFERROR(INDEX(PP_Grid[#Data],$DE1108,63),0)</f>
        <v/>
      </c>
      <c r="BO1108">
        <f>IFERROR(INDEX(PP_Grid[#Data],$DE1108,64),0)</f>
        <v/>
      </c>
      <c r="BP1108">
        <f>IFERROR(INDEX(PP_Grid[#Data],$DE1108,65),0)</f>
        <v/>
      </c>
      <c r="BQ1108">
        <f>IFERROR(INDEX(PP_Grid[#Data],$DE1108,66),0)</f>
        <v/>
      </c>
      <c r="BR1108">
        <f>IFERROR(INDEX(PP_Grid[#Data],$DE1108,67),0)</f>
        <v/>
      </c>
      <c r="BS1108">
        <f>IFERROR(INDEX(PP_Grid[#Data],$DE1108,68),0)</f>
        <v/>
      </c>
      <c r="BT1108">
        <f>IFERROR(INDEX(PP_Grid[#Data],$DE1108,69),0)</f>
        <v/>
      </c>
      <c r="BU1108">
        <f>IFERROR(INDEX(PP_Grid[#Data],$DE1108,70),0)</f>
        <v/>
      </c>
      <c r="BV1108">
        <f>IFERROR(INDEX(PP_Grid[#Data],$DE1108,71),0)</f>
        <v/>
      </c>
      <c r="BW1108">
        <f>IFERROR(INDEX(PP_Grid[#Data],$DE1108,72),0)</f>
        <v/>
      </c>
      <c r="BX1108">
        <f>IFERROR(INDEX(PP_Grid[#Data],$DE1108,73),0)</f>
        <v/>
      </c>
      <c r="BY1108">
        <f>IFERROR(INDEX(PP_Grid[#Data],$DE1108,74),0)</f>
        <v/>
      </c>
      <c r="BZ1108">
        <f>IFERROR(INDEX(PP_Grid[#Data],$DE1108,75),0)</f>
        <v/>
      </c>
      <c r="CA1108">
        <f>IFERROR(INDEX(PP_Grid[#Data],$DE1108,76),0)</f>
        <v/>
      </c>
      <c r="CB1108">
        <f>IFERROR(INDEX(PP_Grid[#Data],$DE1108,77),0)</f>
        <v/>
      </c>
      <c r="CC1108">
        <f>IFERROR(INDEX(PP_Grid[#Data],$DE1108,78),0)</f>
        <v/>
      </c>
      <c r="CD1108">
        <f>IFERROR(INDEX(PP_Grid[#Data],$DE1108,79),0)</f>
        <v/>
      </c>
      <c r="CE1108">
        <f>IFERROR(INDEX(PP_Grid[#Data],$DE1108,80),0)</f>
        <v/>
      </c>
      <c r="CF1108">
        <f>IFERROR(INDEX(PP_Grid[#Data],$DE1108,81),0)</f>
        <v/>
      </c>
      <c r="CG1108">
        <f>IFERROR(INDEX(PP_Grid[#Data],$DE1108,82),0)</f>
        <v/>
      </c>
      <c r="CH1108">
        <f>IFERROR(INDEX(PP_Grid[#Data],$DE1108,83),0)</f>
        <v/>
      </c>
      <c r="CI1108">
        <f>IFERROR(INDEX(PP_Grid[#Data],$DE1108,84),0)</f>
        <v/>
      </c>
      <c r="CJ1108">
        <f>IFERROR(INDEX(PP_Grid[#Data],$DE1108,85),0)</f>
        <v/>
      </c>
      <c r="CK1108">
        <f>IFERROR(INDEX(PP_Grid[#Data],$DE1108,86),0)</f>
        <v/>
      </c>
      <c r="CL1108">
        <f>IFERROR(INDEX(PP_Grid[#Data],$DE1108,87),0)</f>
        <v/>
      </c>
      <c r="CM1108">
        <f>IFERROR(INDEX(PP_Grid[#Data],$DE1108,88),0)</f>
        <v/>
      </c>
      <c r="CN1108">
        <f>IFERROR(INDEX(PP_Grid[#Data],$DE1108,89),0)</f>
        <v/>
      </c>
      <c r="CO1108">
        <f>IFERROR(INDEX(PP_Grid[#Data],$DE1108,90),0)</f>
        <v/>
      </c>
      <c r="CP1108">
        <f>IFERROR(INDEX(PP_Grid[#Data],$DE1108,91),0)</f>
        <v/>
      </c>
      <c r="CQ1108">
        <f>IFERROR(INDEX(PP_Grid[#Data],$DE1108,92),0)</f>
        <v/>
      </c>
      <c r="CR1108">
        <f>IFERROR(INDEX(PP_Grid[#Data],$DE1108,93),0)</f>
        <v/>
      </c>
      <c r="CS1108">
        <f>IFERROR(INDEX(PP_Grid[#Data],$DE1108,94),0)</f>
        <v/>
      </c>
      <c r="CT1108">
        <f>IFERROR(INDEX(PP_Grid[#Data],$DE1108,95),0)</f>
        <v/>
      </c>
      <c r="CU1108">
        <f>IFERROR(INDEX(PP_Grid[#Data],$DE1108,96),0)</f>
        <v/>
      </c>
      <c r="CV1108">
        <f>IFERROR(INDEX(PP_Grid[#Data],$DE1108,97),0)</f>
        <v/>
      </c>
      <c r="CW1108">
        <f>IFERROR(INDEX(PP_Grid[#Data],$DE1108,98),0)</f>
        <v/>
      </c>
      <c r="CX1108">
        <f>IFERROR(INDEX(PP_Grid[#Data],$DE1108,99),0)</f>
        <v/>
      </c>
      <c r="CY1108">
        <f>IFERROR(INDEX(PP_Grid[#Data],$DE1108,100),0)</f>
        <v/>
      </c>
      <c r="CZ1108">
        <f>IFERROR(INDEX(PP_Grid[#Data],$DE1108,101),0)</f>
        <v/>
      </c>
      <c r="DA1108">
        <f>IFERROR(INDEX(PP_Grid[#Data],$DE1108,102),0)</f>
        <v/>
      </c>
      <c r="DB1108">
        <f>IFERROR(INDEX(PP_Grid[#Data],$DE1108,103),0)</f>
        <v/>
      </c>
      <c r="DC1108">
        <f>IFERROR(INDEX(PP_Grid[#Data],$DE1108,104),0)</f>
        <v/>
      </c>
      <c r="DD1108">
        <f>IFERROR(INDEX(PP_Grid[#Data],$DE1108,105),0)</f>
        <v/>
      </c>
      <c r="DE1108" s="7">
        <f>IFERROR(MATCH($B1108,PP_Grid[Intermediate],0),99999)</f>
        <v/>
      </c>
    </row>
    <row r="1109">
      <c r="B1109" t="inlineStr">
        <is>
          <t>使用量(kg)</t>
        </is>
      </c>
      <c r="C1109">
        <f>SUMIFS(M_BOM[RM_Qty_Per_Batch],M_BOM[Intermediate],$B1108,M_BOM[RM_Code],$A1101)</f>
        <v/>
      </c>
      <c r="D1109">
        <f>IFERROR(INDEX(E1109:DD1109,$F$1),"")</f>
        <v/>
      </c>
      <c r="E1109">
        <f>$C1109*E1108</f>
        <v/>
      </c>
      <c r="F1109">
        <f>$C1109*F1108</f>
        <v/>
      </c>
      <c r="G1109">
        <f>$C1109*G1108</f>
        <v/>
      </c>
      <c r="H1109">
        <f>$C1109*H1108</f>
        <v/>
      </c>
      <c r="I1109">
        <f>$C1109*I1108</f>
        <v/>
      </c>
      <c r="J1109">
        <f>$C1109*J1108</f>
        <v/>
      </c>
      <c r="K1109">
        <f>$C1109*K1108</f>
        <v/>
      </c>
      <c r="L1109">
        <f>$C1109*L1108</f>
        <v/>
      </c>
      <c r="M1109">
        <f>$C1109*M1108</f>
        <v/>
      </c>
      <c r="N1109">
        <f>$C1109*N1108</f>
        <v/>
      </c>
      <c r="O1109">
        <f>$C1109*O1108</f>
        <v/>
      </c>
      <c r="P1109">
        <f>$C1109*P1108</f>
        <v/>
      </c>
      <c r="Q1109">
        <f>$C1109*Q1108</f>
        <v/>
      </c>
      <c r="R1109">
        <f>$C1109*R1108</f>
        <v/>
      </c>
      <c r="S1109">
        <f>$C1109*S1108</f>
        <v/>
      </c>
      <c r="T1109">
        <f>$C1109*T1108</f>
        <v/>
      </c>
      <c r="U1109">
        <f>$C1109*U1108</f>
        <v/>
      </c>
      <c r="V1109">
        <f>$C1109*V1108</f>
        <v/>
      </c>
      <c r="W1109">
        <f>$C1109*W1108</f>
        <v/>
      </c>
      <c r="X1109">
        <f>$C1109*X1108</f>
        <v/>
      </c>
      <c r="Y1109">
        <f>$C1109*Y1108</f>
        <v/>
      </c>
      <c r="Z1109">
        <f>$C1109*Z1108</f>
        <v/>
      </c>
      <c r="AA1109">
        <f>$C1109*AA1108</f>
        <v/>
      </c>
      <c r="AB1109">
        <f>$C1109*AB1108</f>
        <v/>
      </c>
      <c r="AC1109">
        <f>$C1109*AC1108</f>
        <v/>
      </c>
      <c r="AD1109">
        <f>$C1109*AD1108</f>
        <v/>
      </c>
      <c r="AE1109">
        <f>$C1109*AE1108</f>
        <v/>
      </c>
      <c r="AF1109">
        <f>$C1109*AF1108</f>
        <v/>
      </c>
      <c r="AG1109">
        <f>$C1109*AG1108</f>
        <v/>
      </c>
      <c r="AH1109">
        <f>$C1109*AH1108</f>
        <v/>
      </c>
      <c r="AI1109">
        <f>$C1109*AI1108</f>
        <v/>
      </c>
      <c r="AJ1109">
        <f>$C1109*AJ1108</f>
        <v/>
      </c>
      <c r="AK1109">
        <f>$C1109*AK1108</f>
        <v/>
      </c>
      <c r="AL1109">
        <f>$C1109*AL1108</f>
        <v/>
      </c>
      <c r="AM1109">
        <f>$C1109*AM1108</f>
        <v/>
      </c>
      <c r="AN1109">
        <f>$C1109*AN1108</f>
        <v/>
      </c>
      <c r="AO1109">
        <f>$C1109*AO1108</f>
        <v/>
      </c>
      <c r="AP1109">
        <f>$C1109*AP1108</f>
        <v/>
      </c>
      <c r="AQ1109">
        <f>$C1109*AQ1108</f>
        <v/>
      </c>
      <c r="AR1109">
        <f>$C1109*AR1108</f>
        <v/>
      </c>
      <c r="AS1109">
        <f>$C1109*AS1108</f>
        <v/>
      </c>
      <c r="AT1109">
        <f>$C1109*AT1108</f>
        <v/>
      </c>
      <c r="AU1109">
        <f>$C1109*AU1108</f>
        <v/>
      </c>
      <c r="AV1109">
        <f>$C1109*AV1108</f>
        <v/>
      </c>
      <c r="AW1109">
        <f>$C1109*AW1108</f>
        <v/>
      </c>
      <c r="AX1109">
        <f>$C1109*AX1108</f>
        <v/>
      </c>
      <c r="AY1109">
        <f>$C1109*AY1108</f>
        <v/>
      </c>
      <c r="AZ1109">
        <f>$C1109*AZ1108</f>
        <v/>
      </c>
      <c r="BA1109">
        <f>$C1109*BA1108</f>
        <v/>
      </c>
      <c r="BB1109">
        <f>$C1109*BB1108</f>
        <v/>
      </c>
      <c r="BC1109">
        <f>$C1109*BC1108</f>
        <v/>
      </c>
      <c r="BD1109">
        <f>$C1109*BD1108</f>
        <v/>
      </c>
      <c r="BE1109">
        <f>$C1109*BE1108</f>
        <v/>
      </c>
      <c r="BF1109">
        <f>$C1109*BF1108</f>
        <v/>
      </c>
      <c r="BG1109">
        <f>$C1109*BG1108</f>
        <v/>
      </c>
      <c r="BH1109">
        <f>$C1109*BH1108</f>
        <v/>
      </c>
      <c r="BI1109">
        <f>$C1109*BI1108</f>
        <v/>
      </c>
      <c r="BJ1109">
        <f>$C1109*BJ1108</f>
        <v/>
      </c>
      <c r="BK1109">
        <f>$C1109*BK1108</f>
        <v/>
      </c>
      <c r="BL1109">
        <f>$C1109*BL1108</f>
        <v/>
      </c>
      <c r="BM1109">
        <f>$C1109*BM1108</f>
        <v/>
      </c>
      <c r="BN1109">
        <f>$C1109*BN1108</f>
        <v/>
      </c>
      <c r="BO1109">
        <f>$C1109*BO1108</f>
        <v/>
      </c>
      <c r="BP1109">
        <f>$C1109*BP1108</f>
        <v/>
      </c>
      <c r="BQ1109">
        <f>$C1109*BQ1108</f>
        <v/>
      </c>
      <c r="BR1109">
        <f>$C1109*BR1108</f>
        <v/>
      </c>
      <c r="BS1109">
        <f>$C1109*BS1108</f>
        <v/>
      </c>
      <c r="BT1109">
        <f>$C1109*BT1108</f>
        <v/>
      </c>
      <c r="BU1109">
        <f>$C1109*BU1108</f>
        <v/>
      </c>
      <c r="BV1109">
        <f>$C1109*BV1108</f>
        <v/>
      </c>
      <c r="BW1109">
        <f>$C1109*BW1108</f>
        <v/>
      </c>
      <c r="BX1109">
        <f>$C1109*BX1108</f>
        <v/>
      </c>
      <c r="BY1109">
        <f>$C1109*BY1108</f>
        <v/>
      </c>
      <c r="BZ1109">
        <f>$C1109*BZ1108</f>
        <v/>
      </c>
      <c r="CA1109">
        <f>$C1109*CA1108</f>
        <v/>
      </c>
      <c r="CB1109">
        <f>$C1109*CB1108</f>
        <v/>
      </c>
      <c r="CC1109">
        <f>$C1109*CC1108</f>
        <v/>
      </c>
      <c r="CD1109">
        <f>$C1109*CD1108</f>
        <v/>
      </c>
      <c r="CE1109">
        <f>$C1109*CE1108</f>
        <v/>
      </c>
      <c r="CF1109">
        <f>$C1109*CF1108</f>
        <v/>
      </c>
      <c r="CG1109">
        <f>$C1109*CG1108</f>
        <v/>
      </c>
      <c r="CH1109">
        <f>$C1109*CH1108</f>
        <v/>
      </c>
      <c r="CI1109">
        <f>$C1109*CI1108</f>
        <v/>
      </c>
      <c r="CJ1109">
        <f>$C1109*CJ1108</f>
        <v/>
      </c>
      <c r="CK1109">
        <f>$C1109*CK1108</f>
        <v/>
      </c>
      <c r="CL1109">
        <f>$C1109*CL1108</f>
        <v/>
      </c>
      <c r="CM1109">
        <f>$C1109*CM1108</f>
        <v/>
      </c>
      <c r="CN1109">
        <f>$C1109*CN1108</f>
        <v/>
      </c>
      <c r="CO1109">
        <f>$C1109*CO1108</f>
        <v/>
      </c>
      <c r="CP1109">
        <f>$C1109*CP1108</f>
        <v/>
      </c>
      <c r="CQ1109">
        <f>$C1109*CQ1108</f>
        <v/>
      </c>
      <c r="CR1109">
        <f>$C1109*CR1108</f>
        <v/>
      </c>
      <c r="CS1109">
        <f>$C1109*CS1108</f>
        <v/>
      </c>
      <c r="CT1109">
        <f>$C1109*CT1108</f>
        <v/>
      </c>
      <c r="CU1109">
        <f>$C1109*CU1108</f>
        <v/>
      </c>
      <c r="CV1109">
        <f>$C1109*CV1108</f>
        <v/>
      </c>
      <c r="CW1109">
        <f>$C1109*CW1108</f>
        <v/>
      </c>
      <c r="CX1109">
        <f>$C1109*CX1108</f>
        <v/>
      </c>
      <c r="CY1109">
        <f>$C1109*CY1108</f>
        <v/>
      </c>
      <c r="CZ1109">
        <f>$C1109*CZ1108</f>
        <v/>
      </c>
      <c r="DA1109">
        <f>$C1109*DA1108</f>
        <v/>
      </c>
      <c r="DB1109">
        <f>$C1109*DB1108</f>
        <v/>
      </c>
      <c r="DC1109">
        <f>$C1109*DC1108</f>
        <v/>
      </c>
      <c r="DD1109">
        <f>$C1109*DD1108</f>
        <v/>
      </c>
    </row>
    <row r="1110">
      <c r="B1110" t="inlineStr">
        <is>
          <t>TSP-655</t>
        </is>
      </c>
      <c r="C1110" t="inlineStr">
        <is>
          <t>No. of batches</t>
        </is>
      </c>
      <c r="D1110">
        <f>IFERROR(INDEX(E1110:DD1110,$F$1),"")</f>
        <v/>
      </c>
      <c r="E1110">
        <f>IFERROR(INDEX(PP_Grid[#Data],$DE1110,2),0)</f>
        <v/>
      </c>
      <c r="F1110">
        <f>IFERROR(INDEX(PP_Grid[#Data],$DE1110,3),0)</f>
        <v/>
      </c>
      <c r="G1110">
        <f>IFERROR(INDEX(PP_Grid[#Data],$DE1110,4),0)</f>
        <v/>
      </c>
      <c r="H1110">
        <f>IFERROR(INDEX(PP_Grid[#Data],$DE1110,5),0)</f>
        <v/>
      </c>
      <c r="I1110">
        <f>IFERROR(INDEX(PP_Grid[#Data],$DE1110,6),0)</f>
        <v/>
      </c>
      <c r="J1110">
        <f>IFERROR(INDEX(PP_Grid[#Data],$DE1110,7),0)</f>
        <v/>
      </c>
      <c r="K1110">
        <f>IFERROR(INDEX(PP_Grid[#Data],$DE1110,8),0)</f>
        <v/>
      </c>
      <c r="L1110">
        <f>IFERROR(INDEX(PP_Grid[#Data],$DE1110,9),0)</f>
        <v/>
      </c>
      <c r="M1110">
        <f>IFERROR(INDEX(PP_Grid[#Data],$DE1110,10),0)</f>
        <v/>
      </c>
      <c r="N1110">
        <f>IFERROR(INDEX(PP_Grid[#Data],$DE1110,11),0)</f>
        <v/>
      </c>
      <c r="O1110">
        <f>IFERROR(INDEX(PP_Grid[#Data],$DE1110,12),0)</f>
        <v/>
      </c>
      <c r="P1110">
        <f>IFERROR(INDEX(PP_Grid[#Data],$DE1110,13),0)</f>
        <v/>
      </c>
      <c r="Q1110">
        <f>IFERROR(INDEX(PP_Grid[#Data],$DE1110,14),0)</f>
        <v/>
      </c>
      <c r="R1110">
        <f>IFERROR(INDEX(PP_Grid[#Data],$DE1110,15),0)</f>
        <v/>
      </c>
      <c r="S1110">
        <f>IFERROR(INDEX(PP_Grid[#Data],$DE1110,16),0)</f>
        <v/>
      </c>
      <c r="T1110">
        <f>IFERROR(INDEX(PP_Grid[#Data],$DE1110,17),0)</f>
        <v/>
      </c>
      <c r="U1110">
        <f>IFERROR(INDEX(PP_Grid[#Data],$DE1110,18),0)</f>
        <v/>
      </c>
      <c r="V1110">
        <f>IFERROR(INDEX(PP_Grid[#Data],$DE1110,19),0)</f>
        <v/>
      </c>
      <c r="W1110">
        <f>IFERROR(INDEX(PP_Grid[#Data],$DE1110,20),0)</f>
        <v/>
      </c>
      <c r="X1110">
        <f>IFERROR(INDEX(PP_Grid[#Data],$DE1110,21),0)</f>
        <v/>
      </c>
      <c r="Y1110">
        <f>IFERROR(INDEX(PP_Grid[#Data],$DE1110,22),0)</f>
        <v/>
      </c>
      <c r="Z1110">
        <f>IFERROR(INDEX(PP_Grid[#Data],$DE1110,23),0)</f>
        <v/>
      </c>
      <c r="AA1110">
        <f>IFERROR(INDEX(PP_Grid[#Data],$DE1110,24),0)</f>
        <v/>
      </c>
      <c r="AB1110">
        <f>IFERROR(INDEX(PP_Grid[#Data],$DE1110,25),0)</f>
        <v/>
      </c>
      <c r="AC1110">
        <f>IFERROR(INDEX(PP_Grid[#Data],$DE1110,26),0)</f>
        <v/>
      </c>
      <c r="AD1110">
        <f>IFERROR(INDEX(PP_Grid[#Data],$DE1110,27),0)</f>
        <v/>
      </c>
      <c r="AE1110">
        <f>IFERROR(INDEX(PP_Grid[#Data],$DE1110,28),0)</f>
        <v/>
      </c>
      <c r="AF1110">
        <f>IFERROR(INDEX(PP_Grid[#Data],$DE1110,29),0)</f>
        <v/>
      </c>
      <c r="AG1110">
        <f>IFERROR(INDEX(PP_Grid[#Data],$DE1110,30),0)</f>
        <v/>
      </c>
      <c r="AH1110">
        <f>IFERROR(INDEX(PP_Grid[#Data],$DE1110,31),0)</f>
        <v/>
      </c>
      <c r="AI1110">
        <f>IFERROR(INDEX(PP_Grid[#Data],$DE1110,32),0)</f>
        <v/>
      </c>
      <c r="AJ1110">
        <f>IFERROR(INDEX(PP_Grid[#Data],$DE1110,33),0)</f>
        <v/>
      </c>
      <c r="AK1110">
        <f>IFERROR(INDEX(PP_Grid[#Data],$DE1110,34),0)</f>
        <v/>
      </c>
      <c r="AL1110">
        <f>IFERROR(INDEX(PP_Grid[#Data],$DE1110,35),0)</f>
        <v/>
      </c>
      <c r="AM1110">
        <f>IFERROR(INDEX(PP_Grid[#Data],$DE1110,36),0)</f>
        <v/>
      </c>
      <c r="AN1110">
        <f>IFERROR(INDEX(PP_Grid[#Data],$DE1110,37),0)</f>
        <v/>
      </c>
      <c r="AO1110">
        <f>IFERROR(INDEX(PP_Grid[#Data],$DE1110,38),0)</f>
        <v/>
      </c>
      <c r="AP1110">
        <f>IFERROR(INDEX(PP_Grid[#Data],$DE1110,39),0)</f>
        <v/>
      </c>
      <c r="AQ1110">
        <f>IFERROR(INDEX(PP_Grid[#Data],$DE1110,40),0)</f>
        <v/>
      </c>
      <c r="AR1110">
        <f>IFERROR(INDEX(PP_Grid[#Data],$DE1110,41),0)</f>
        <v/>
      </c>
      <c r="AS1110">
        <f>IFERROR(INDEX(PP_Grid[#Data],$DE1110,42),0)</f>
        <v/>
      </c>
      <c r="AT1110">
        <f>IFERROR(INDEX(PP_Grid[#Data],$DE1110,43),0)</f>
        <v/>
      </c>
      <c r="AU1110">
        <f>IFERROR(INDEX(PP_Grid[#Data],$DE1110,44),0)</f>
        <v/>
      </c>
      <c r="AV1110">
        <f>IFERROR(INDEX(PP_Grid[#Data],$DE1110,45),0)</f>
        <v/>
      </c>
      <c r="AW1110">
        <f>IFERROR(INDEX(PP_Grid[#Data],$DE1110,46),0)</f>
        <v/>
      </c>
      <c r="AX1110">
        <f>IFERROR(INDEX(PP_Grid[#Data],$DE1110,47),0)</f>
        <v/>
      </c>
      <c r="AY1110">
        <f>IFERROR(INDEX(PP_Grid[#Data],$DE1110,48),0)</f>
        <v/>
      </c>
      <c r="AZ1110">
        <f>IFERROR(INDEX(PP_Grid[#Data],$DE1110,49),0)</f>
        <v/>
      </c>
      <c r="BA1110">
        <f>IFERROR(INDEX(PP_Grid[#Data],$DE1110,50),0)</f>
        <v/>
      </c>
      <c r="BB1110">
        <f>IFERROR(INDEX(PP_Grid[#Data],$DE1110,51),0)</f>
        <v/>
      </c>
      <c r="BC1110">
        <f>IFERROR(INDEX(PP_Grid[#Data],$DE1110,52),0)</f>
        <v/>
      </c>
      <c r="BD1110">
        <f>IFERROR(INDEX(PP_Grid[#Data],$DE1110,53),0)</f>
        <v/>
      </c>
      <c r="BE1110">
        <f>IFERROR(INDEX(PP_Grid[#Data],$DE1110,54),0)</f>
        <v/>
      </c>
      <c r="BF1110">
        <f>IFERROR(INDEX(PP_Grid[#Data],$DE1110,55),0)</f>
        <v/>
      </c>
      <c r="BG1110">
        <f>IFERROR(INDEX(PP_Grid[#Data],$DE1110,56),0)</f>
        <v/>
      </c>
      <c r="BH1110">
        <f>IFERROR(INDEX(PP_Grid[#Data],$DE1110,57),0)</f>
        <v/>
      </c>
      <c r="BI1110">
        <f>IFERROR(INDEX(PP_Grid[#Data],$DE1110,58),0)</f>
        <v/>
      </c>
      <c r="BJ1110">
        <f>IFERROR(INDEX(PP_Grid[#Data],$DE1110,59),0)</f>
        <v/>
      </c>
      <c r="BK1110">
        <f>IFERROR(INDEX(PP_Grid[#Data],$DE1110,60),0)</f>
        <v/>
      </c>
      <c r="BL1110">
        <f>IFERROR(INDEX(PP_Grid[#Data],$DE1110,61),0)</f>
        <v/>
      </c>
      <c r="BM1110">
        <f>IFERROR(INDEX(PP_Grid[#Data],$DE1110,62),0)</f>
        <v/>
      </c>
      <c r="BN1110">
        <f>IFERROR(INDEX(PP_Grid[#Data],$DE1110,63),0)</f>
        <v/>
      </c>
      <c r="BO1110">
        <f>IFERROR(INDEX(PP_Grid[#Data],$DE1110,64),0)</f>
        <v/>
      </c>
      <c r="BP1110">
        <f>IFERROR(INDEX(PP_Grid[#Data],$DE1110,65),0)</f>
        <v/>
      </c>
      <c r="BQ1110">
        <f>IFERROR(INDEX(PP_Grid[#Data],$DE1110,66),0)</f>
        <v/>
      </c>
      <c r="BR1110">
        <f>IFERROR(INDEX(PP_Grid[#Data],$DE1110,67),0)</f>
        <v/>
      </c>
      <c r="BS1110">
        <f>IFERROR(INDEX(PP_Grid[#Data],$DE1110,68),0)</f>
        <v/>
      </c>
      <c r="BT1110">
        <f>IFERROR(INDEX(PP_Grid[#Data],$DE1110,69),0)</f>
        <v/>
      </c>
      <c r="BU1110">
        <f>IFERROR(INDEX(PP_Grid[#Data],$DE1110,70),0)</f>
        <v/>
      </c>
      <c r="BV1110">
        <f>IFERROR(INDEX(PP_Grid[#Data],$DE1110,71),0)</f>
        <v/>
      </c>
      <c r="BW1110">
        <f>IFERROR(INDEX(PP_Grid[#Data],$DE1110,72),0)</f>
        <v/>
      </c>
      <c r="BX1110">
        <f>IFERROR(INDEX(PP_Grid[#Data],$DE1110,73),0)</f>
        <v/>
      </c>
      <c r="BY1110">
        <f>IFERROR(INDEX(PP_Grid[#Data],$DE1110,74),0)</f>
        <v/>
      </c>
      <c r="BZ1110">
        <f>IFERROR(INDEX(PP_Grid[#Data],$DE1110,75),0)</f>
        <v/>
      </c>
      <c r="CA1110">
        <f>IFERROR(INDEX(PP_Grid[#Data],$DE1110,76),0)</f>
        <v/>
      </c>
      <c r="CB1110">
        <f>IFERROR(INDEX(PP_Grid[#Data],$DE1110,77),0)</f>
        <v/>
      </c>
      <c r="CC1110">
        <f>IFERROR(INDEX(PP_Grid[#Data],$DE1110,78),0)</f>
        <v/>
      </c>
      <c r="CD1110">
        <f>IFERROR(INDEX(PP_Grid[#Data],$DE1110,79),0)</f>
        <v/>
      </c>
      <c r="CE1110">
        <f>IFERROR(INDEX(PP_Grid[#Data],$DE1110,80),0)</f>
        <v/>
      </c>
      <c r="CF1110">
        <f>IFERROR(INDEX(PP_Grid[#Data],$DE1110,81),0)</f>
        <v/>
      </c>
      <c r="CG1110">
        <f>IFERROR(INDEX(PP_Grid[#Data],$DE1110,82),0)</f>
        <v/>
      </c>
      <c r="CH1110">
        <f>IFERROR(INDEX(PP_Grid[#Data],$DE1110,83),0)</f>
        <v/>
      </c>
      <c r="CI1110">
        <f>IFERROR(INDEX(PP_Grid[#Data],$DE1110,84),0)</f>
        <v/>
      </c>
      <c r="CJ1110">
        <f>IFERROR(INDEX(PP_Grid[#Data],$DE1110,85),0)</f>
        <v/>
      </c>
      <c r="CK1110">
        <f>IFERROR(INDEX(PP_Grid[#Data],$DE1110,86),0)</f>
        <v/>
      </c>
      <c r="CL1110">
        <f>IFERROR(INDEX(PP_Grid[#Data],$DE1110,87),0)</f>
        <v/>
      </c>
      <c r="CM1110">
        <f>IFERROR(INDEX(PP_Grid[#Data],$DE1110,88),0)</f>
        <v/>
      </c>
      <c r="CN1110">
        <f>IFERROR(INDEX(PP_Grid[#Data],$DE1110,89),0)</f>
        <v/>
      </c>
      <c r="CO1110">
        <f>IFERROR(INDEX(PP_Grid[#Data],$DE1110,90),0)</f>
        <v/>
      </c>
      <c r="CP1110">
        <f>IFERROR(INDEX(PP_Grid[#Data],$DE1110,91),0)</f>
        <v/>
      </c>
      <c r="CQ1110">
        <f>IFERROR(INDEX(PP_Grid[#Data],$DE1110,92),0)</f>
        <v/>
      </c>
      <c r="CR1110">
        <f>IFERROR(INDEX(PP_Grid[#Data],$DE1110,93),0)</f>
        <v/>
      </c>
      <c r="CS1110">
        <f>IFERROR(INDEX(PP_Grid[#Data],$DE1110,94),0)</f>
        <v/>
      </c>
      <c r="CT1110">
        <f>IFERROR(INDEX(PP_Grid[#Data],$DE1110,95),0)</f>
        <v/>
      </c>
      <c r="CU1110">
        <f>IFERROR(INDEX(PP_Grid[#Data],$DE1110,96),0)</f>
        <v/>
      </c>
      <c r="CV1110">
        <f>IFERROR(INDEX(PP_Grid[#Data],$DE1110,97),0)</f>
        <v/>
      </c>
      <c r="CW1110">
        <f>IFERROR(INDEX(PP_Grid[#Data],$DE1110,98),0)</f>
        <v/>
      </c>
      <c r="CX1110">
        <f>IFERROR(INDEX(PP_Grid[#Data],$DE1110,99),0)</f>
        <v/>
      </c>
      <c r="CY1110">
        <f>IFERROR(INDEX(PP_Grid[#Data],$DE1110,100),0)</f>
        <v/>
      </c>
      <c r="CZ1110">
        <f>IFERROR(INDEX(PP_Grid[#Data],$DE1110,101),0)</f>
        <v/>
      </c>
      <c r="DA1110">
        <f>IFERROR(INDEX(PP_Grid[#Data],$DE1110,102),0)</f>
        <v/>
      </c>
      <c r="DB1110">
        <f>IFERROR(INDEX(PP_Grid[#Data],$DE1110,103),0)</f>
        <v/>
      </c>
      <c r="DC1110">
        <f>IFERROR(INDEX(PP_Grid[#Data],$DE1110,104),0)</f>
        <v/>
      </c>
      <c r="DD1110">
        <f>IFERROR(INDEX(PP_Grid[#Data],$DE1110,105),0)</f>
        <v/>
      </c>
      <c r="DE1110" s="7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SUMIFS(M_BOM[RM_Qty_Per_Batch],M_BOM[Intermediate],$B1110,M_BOM[RM_Code],$A1101)</f>
        <v/>
      </c>
      <c r="D1111">
        <f>IFERROR(INDEX(E1111:DD1111,$F$1),"")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  <c r="DD1111">
        <f>$C1111*DD1110</f>
        <v/>
      </c>
    </row>
    <row r="1112">
      <c r="B1112" t="inlineStr">
        <is>
          <t>TSP-903</t>
        </is>
      </c>
      <c r="C1112" t="inlineStr">
        <is>
          <t>No. of batches</t>
        </is>
      </c>
      <c r="D1112">
        <f>IFERROR(INDEX(E1112:DD1112,$F$1),"")</f>
        <v/>
      </c>
      <c r="E1112">
        <f>IFERROR(INDEX(PP_Grid[#Data],$DE1112,2),0)</f>
        <v/>
      </c>
      <c r="F1112">
        <f>IFERROR(INDEX(PP_Grid[#Data],$DE1112,3),0)</f>
        <v/>
      </c>
      <c r="G1112">
        <f>IFERROR(INDEX(PP_Grid[#Data],$DE1112,4),0)</f>
        <v/>
      </c>
      <c r="H1112">
        <f>IFERROR(INDEX(PP_Grid[#Data],$DE1112,5),0)</f>
        <v/>
      </c>
      <c r="I1112">
        <f>IFERROR(INDEX(PP_Grid[#Data],$DE1112,6),0)</f>
        <v/>
      </c>
      <c r="J1112">
        <f>IFERROR(INDEX(PP_Grid[#Data],$DE1112,7),0)</f>
        <v/>
      </c>
      <c r="K1112">
        <f>IFERROR(INDEX(PP_Grid[#Data],$DE1112,8),0)</f>
        <v/>
      </c>
      <c r="L1112">
        <f>IFERROR(INDEX(PP_Grid[#Data],$DE1112,9),0)</f>
        <v/>
      </c>
      <c r="M1112">
        <f>IFERROR(INDEX(PP_Grid[#Data],$DE1112,10),0)</f>
        <v/>
      </c>
      <c r="N1112">
        <f>IFERROR(INDEX(PP_Grid[#Data],$DE1112,11),0)</f>
        <v/>
      </c>
      <c r="O1112">
        <f>IFERROR(INDEX(PP_Grid[#Data],$DE1112,12),0)</f>
        <v/>
      </c>
      <c r="P1112">
        <f>IFERROR(INDEX(PP_Grid[#Data],$DE1112,13),0)</f>
        <v/>
      </c>
      <c r="Q1112">
        <f>IFERROR(INDEX(PP_Grid[#Data],$DE1112,14),0)</f>
        <v/>
      </c>
      <c r="R1112">
        <f>IFERROR(INDEX(PP_Grid[#Data],$DE1112,15),0)</f>
        <v/>
      </c>
      <c r="S1112">
        <f>IFERROR(INDEX(PP_Grid[#Data],$DE1112,16),0)</f>
        <v/>
      </c>
      <c r="T1112">
        <f>IFERROR(INDEX(PP_Grid[#Data],$DE1112,17),0)</f>
        <v/>
      </c>
      <c r="U1112">
        <f>IFERROR(INDEX(PP_Grid[#Data],$DE1112,18),0)</f>
        <v/>
      </c>
      <c r="V1112">
        <f>IFERROR(INDEX(PP_Grid[#Data],$DE1112,19),0)</f>
        <v/>
      </c>
      <c r="W1112">
        <f>IFERROR(INDEX(PP_Grid[#Data],$DE1112,20),0)</f>
        <v/>
      </c>
      <c r="X1112">
        <f>IFERROR(INDEX(PP_Grid[#Data],$DE1112,21),0)</f>
        <v/>
      </c>
      <c r="Y1112">
        <f>IFERROR(INDEX(PP_Grid[#Data],$DE1112,22),0)</f>
        <v/>
      </c>
      <c r="Z1112">
        <f>IFERROR(INDEX(PP_Grid[#Data],$DE1112,23),0)</f>
        <v/>
      </c>
      <c r="AA1112">
        <f>IFERROR(INDEX(PP_Grid[#Data],$DE1112,24),0)</f>
        <v/>
      </c>
      <c r="AB1112">
        <f>IFERROR(INDEX(PP_Grid[#Data],$DE1112,25),0)</f>
        <v/>
      </c>
      <c r="AC1112">
        <f>IFERROR(INDEX(PP_Grid[#Data],$DE1112,26),0)</f>
        <v/>
      </c>
      <c r="AD1112">
        <f>IFERROR(INDEX(PP_Grid[#Data],$DE1112,27),0)</f>
        <v/>
      </c>
      <c r="AE1112">
        <f>IFERROR(INDEX(PP_Grid[#Data],$DE1112,28),0)</f>
        <v/>
      </c>
      <c r="AF1112">
        <f>IFERROR(INDEX(PP_Grid[#Data],$DE1112,29),0)</f>
        <v/>
      </c>
      <c r="AG1112">
        <f>IFERROR(INDEX(PP_Grid[#Data],$DE1112,30),0)</f>
        <v/>
      </c>
      <c r="AH1112">
        <f>IFERROR(INDEX(PP_Grid[#Data],$DE1112,31),0)</f>
        <v/>
      </c>
      <c r="AI1112">
        <f>IFERROR(INDEX(PP_Grid[#Data],$DE1112,32),0)</f>
        <v/>
      </c>
      <c r="AJ1112">
        <f>IFERROR(INDEX(PP_Grid[#Data],$DE1112,33),0)</f>
        <v/>
      </c>
      <c r="AK1112">
        <f>IFERROR(INDEX(PP_Grid[#Data],$DE1112,34),0)</f>
        <v/>
      </c>
      <c r="AL1112">
        <f>IFERROR(INDEX(PP_Grid[#Data],$DE1112,35),0)</f>
        <v/>
      </c>
      <c r="AM1112">
        <f>IFERROR(INDEX(PP_Grid[#Data],$DE1112,36),0)</f>
        <v/>
      </c>
      <c r="AN1112">
        <f>IFERROR(INDEX(PP_Grid[#Data],$DE1112,37),0)</f>
        <v/>
      </c>
      <c r="AO1112">
        <f>IFERROR(INDEX(PP_Grid[#Data],$DE1112,38),0)</f>
        <v/>
      </c>
      <c r="AP1112">
        <f>IFERROR(INDEX(PP_Grid[#Data],$DE1112,39),0)</f>
        <v/>
      </c>
      <c r="AQ1112">
        <f>IFERROR(INDEX(PP_Grid[#Data],$DE1112,40),0)</f>
        <v/>
      </c>
      <c r="AR1112">
        <f>IFERROR(INDEX(PP_Grid[#Data],$DE1112,41),0)</f>
        <v/>
      </c>
      <c r="AS1112">
        <f>IFERROR(INDEX(PP_Grid[#Data],$DE1112,42),0)</f>
        <v/>
      </c>
      <c r="AT1112">
        <f>IFERROR(INDEX(PP_Grid[#Data],$DE1112,43),0)</f>
        <v/>
      </c>
      <c r="AU1112">
        <f>IFERROR(INDEX(PP_Grid[#Data],$DE1112,44),0)</f>
        <v/>
      </c>
      <c r="AV1112">
        <f>IFERROR(INDEX(PP_Grid[#Data],$DE1112,45),0)</f>
        <v/>
      </c>
      <c r="AW1112">
        <f>IFERROR(INDEX(PP_Grid[#Data],$DE1112,46),0)</f>
        <v/>
      </c>
      <c r="AX1112">
        <f>IFERROR(INDEX(PP_Grid[#Data],$DE1112,47),0)</f>
        <v/>
      </c>
      <c r="AY1112">
        <f>IFERROR(INDEX(PP_Grid[#Data],$DE1112,48),0)</f>
        <v/>
      </c>
      <c r="AZ1112">
        <f>IFERROR(INDEX(PP_Grid[#Data],$DE1112,49),0)</f>
        <v/>
      </c>
      <c r="BA1112">
        <f>IFERROR(INDEX(PP_Grid[#Data],$DE1112,50),0)</f>
        <v/>
      </c>
      <c r="BB1112">
        <f>IFERROR(INDEX(PP_Grid[#Data],$DE1112,51),0)</f>
        <v/>
      </c>
      <c r="BC1112">
        <f>IFERROR(INDEX(PP_Grid[#Data],$DE1112,52),0)</f>
        <v/>
      </c>
      <c r="BD1112">
        <f>IFERROR(INDEX(PP_Grid[#Data],$DE1112,53),0)</f>
        <v/>
      </c>
      <c r="BE1112">
        <f>IFERROR(INDEX(PP_Grid[#Data],$DE1112,54),0)</f>
        <v/>
      </c>
      <c r="BF1112">
        <f>IFERROR(INDEX(PP_Grid[#Data],$DE1112,55),0)</f>
        <v/>
      </c>
      <c r="BG1112">
        <f>IFERROR(INDEX(PP_Grid[#Data],$DE1112,56),0)</f>
        <v/>
      </c>
      <c r="BH1112">
        <f>IFERROR(INDEX(PP_Grid[#Data],$DE1112,57),0)</f>
        <v/>
      </c>
      <c r="BI1112">
        <f>IFERROR(INDEX(PP_Grid[#Data],$DE1112,58),0)</f>
        <v/>
      </c>
      <c r="BJ1112">
        <f>IFERROR(INDEX(PP_Grid[#Data],$DE1112,59),0)</f>
        <v/>
      </c>
      <c r="BK1112">
        <f>IFERROR(INDEX(PP_Grid[#Data],$DE1112,60),0)</f>
        <v/>
      </c>
      <c r="BL1112">
        <f>IFERROR(INDEX(PP_Grid[#Data],$DE1112,61),0)</f>
        <v/>
      </c>
      <c r="BM1112">
        <f>IFERROR(INDEX(PP_Grid[#Data],$DE1112,62),0)</f>
        <v/>
      </c>
      <c r="BN1112">
        <f>IFERROR(INDEX(PP_Grid[#Data],$DE1112,63),0)</f>
        <v/>
      </c>
      <c r="BO1112">
        <f>IFERROR(INDEX(PP_Grid[#Data],$DE1112,64),0)</f>
        <v/>
      </c>
      <c r="BP1112">
        <f>IFERROR(INDEX(PP_Grid[#Data],$DE1112,65),0)</f>
        <v/>
      </c>
      <c r="BQ1112">
        <f>IFERROR(INDEX(PP_Grid[#Data],$DE1112,66),0)</f>
        <v/>
      </c>
      <c r="BR1112">
        <f>IFERROR(INDEX(PP_Grid[#Data],$DE1112,67),0)</f>
        <v/>
      </c>
      <c r="BS1112">
        <f>IFERROR(INDEX(PP_Grid[#Data],$DE1112,68),0)</f>
        <v/>
      </c>
      <c r="BT1112">
        <f>IFERROR(INDEX(PP_Grid[#Data],$DE1112,69),0)</f>
        <v/>
      </c>
      <c r="BU1112">
        <f>IFERROR(INDEX(PP_Grid[#Data],$DE1112,70),0)</f>
        <v/>
      </c>
      <c r="BV1112">
        <f>IFERROR(INDEX(PP_Grid[#Data],$DE1112,71),0)</f>
        <v/>
      </c>
      <c r="BW1112">
        <f>IFERROR(INDEX(PP_Grid[#Data],$DE1112,72),0)</f>
        <v/>
      </c>
      <c r="BX1112">
        <f>IFERROR(INDEX(PP_Grid[#Data],$DE1112,73),0)</f>
        <v/>
      </c>
      <c r="BY1112">
        <f>IFERROR(INDEX(PP_Grid[#Data],$DE1112,74),0)</f>
        <v/>
      </c>
      <c r="BZ1112">
        <f>IFERROR(INDEX(PP_Grid[#Data],$DE1112,75),0)</f>
        <v/>
      </c>
      <c r="CA1112">
        <f>IFERROR(INDEX(PP_Grid[#Data],$DE1112,76),0)</f>
        <v/>
      </c>
      <c r="CB1112">
        <f>IFERROR(INDEX(PP_Grid[#Data],$DE1112,77),0)</f>
        <v/>
      </c>
      <c r="CC1112">
        <f>IFERROR(INDEX(PP_Grid[#Data],$DE1112,78),0)</f>
        <v/>
      </c>
      <c r="CD1112">
        <f>IFERROR(INDEX(PP_Grid[#Data],$DE1112,79),0)</f>
        <v/>
      </c>
      <c r="CE1112">
        <f>IFERROR(INDEX(PP_Grid[#Data],$DE1112,80),0)</f>
        <v/>
      </c>
      <c r="CF1112">
        <f>IFERROR(INDEX(PP_Grid[#Data],$DE1112,81),0)</f>
        <v/>
      </c>
      <c r="CG1112">
        <f>IFERROR(INDEX(PP_Grid[#Data],$DE1112,82),0)</f>
        <v/>
      </c>
      <c r="CH1112">
        <f>IFERROR(INDEX(PP_Grid[#Data],$DE1112,83),0)</f>
        <v/>
      </c>
      <c r="CI1112">
        <f>IFERROR(INDEX(PP_Grid[#Data],$DE1112,84),0)</f>
        <v/>
      </c>
      <c r="CJ1112">
        <f>IFERROR(INDEX(PP_Grid[#Data],$DE1112,85),0)</f>
        <v/>
      </c>
      <c r="CK1112">
        <f>IFERROR(INDEX(PP_Grid[#Data],$DE1112,86),0)</f>
        <v/>
      </c>
      <c r="CL1112">
        <f>IFERROR(INDEX(PP_Grid[#Data],$DE1112,87),0)</f>
        <v/>
      </c>
      <c r="CM1112">
        <f>IFERROR(INDEX(PP_Grid[#Data],$DE1112,88),0)</f>
        <v/>
      </c>
      <c r="CN1112">
        <f>IFERROR(INDEX(PP_Grid[#Data],$DE1112,89),0)</f>
        <v/>
      </c>
      <c r="CO1112">
        <f>IFERROR(INDEX(PP_Grid[#Data],$DE1112,90),0)</f>
        <v/>
      </c>
      <c r="CP1112">
        <f>IFERROR(INDEX(PP_Grid[#Data],$DE1112,91),0)</f>
        <v/>
      </c>
      <c r="CQ1112">
        <f>IFERROR(INDEX(PP_Grid[#Data],$DE1112,92),0)</f>
        <v/>
      </c>
      <c r="CR1112">
        <f>IFERROR(INDEX(PP_Grid[#Data],$DE1112,93),0)</f>
        <v/>
      </c>
      <c r="CS1112">
        <f>IFERROR(INDEX(PP_Grid[#Data],$DE1112,94),0)</f>
        <v/>
      </c>
      <c r="CT1112">
        <f>IFERROR(INDEX(PP_Grid[#Data],$DE1112,95),0)</f>
        <v/>
      </c>
      <c r="CU1112">
        <f>IFERROR(INDEX(PP_Grid[#Data],$DE1112,96),0)</f>
        <v/>
      </c>
      <c r="CV1112">
        <f>IFERROR(INDEX(PP_Grid[#Data],$DE1112,97),0)</f>
        <v/>
      </c>
      <c r="CW1112">
        <f>IFERROR(INDEX(PP_Grid[#Data],$DE1112,98),0)</f>
        <v/>
      </c>
      <c r="CX1112">
        <f>IFERROR(INDEX(PP_Grid[#Data],$DE1112,99),0)</f>
        <v/>
      </c>
      <c r="CY1112">
        <f>IFERROR(INDEX(PP_Grid[#Data],$DE1112,100),0)</f>
        <v/>
      </c>
      <c r="CZ1112">
        <f>IFERROR(INDEX(PP_Grid[#Data],$DE1112,101),0)</f>
        <v/>
      </c>
      <c r="DA1112">
        <f>IFERROR(INDEX(PP_Grid[#Data],$DE1112,102),0)</f>
        <v/>
      </c>
      <c r="DB1112">
        <f>IFERROR(INDEX(PP_Grid[#Data],$DE1112,103),0)</f>
        <v/>
      </c>
      <c r="DC1112">
        <f>IFERROR(INDEX(PP_Grid[#Data],$DE1112,104),0)</f>
        <v/>
      </c>
      <c r="DD1112">
        <f>IFERROR(INDEX(PP_Grid[#Data],$DE1112,105),0)</f>
        <v/>
      </c>
      <c r="DE1112" s="7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SUMIFS(M_BOM[RM_Qty_Per_Batch],M_BOM[Intermediate],$B1112,M_BOM[RM_Code],$A1101)</f>
        <v/>
      </c>
      <c r="D1113">
        <f>IFERROR(INDEX(E1113:DD1113,$F$1),"")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  <c r="DD1113">
        <f>$C1113*DD1112</f>
        <v/>
      </c>
    </row>
    <row r="1114">
      <c r="B1114" t="inlineStr">
        <is>
          <t>TSP-959</t>
        </is>
      </c>
      <c r="C1114" t="inlineStr">
        <is>
          <t>No. of batches</t>
        </is>
      </c>
      <c r="D1114">
        <f>IFERROR(INDEX(E1114:DD1114,$F$1),"")</f>
        <v/>
      </c>
      <c r="E1114">
        <f>IFERROR(INDEX(PP_Grid[#Data],$DE1114,2),0)</f>
        <v/>
      </c>
      <c r="F1114">
        <f>IFERROR(INDEX(PP_Grid[#Data],$DE1114,3),0)</f>
        <v/>
      </c>
      <c r="G1114">
        <f>IFERROR(INDEX(PP_Grid[#Data],$DE1114,4),0)</f>
        <v/>
      </c>
      <c r="H1114">
        <f>IFERROR(INDEX(PP_Grid[#Data],$DE1114,5),0)</f>
        <v/>
      </c>
      <c r="I1114">
        <f>IFERROR(INDEX(PP_Grid[#Data],$DE1114,6),0)</f>
        <v/>
      </c>
      <c r="J1114">
        <f>IFERROR(INDEX(PP_Grid[#Data],$DE1114,7),0)</f>
        <v/>
      </c>
      <c r="K1114">
        <f>IFERROR(INDEX(PP_Grid[#Data],$DE1114,8),0)</f>
        <v/>
      </c>
      <c r="L1114">
        <f>IFERROR(INDEX(PP_Grid[#Data],$DE1114,9),0)</f>
        <v/>
      </c>
      <c r="M1114">
        <f>IFERROR(INDEX(PP_Grid[#Data],$DE1114,10),0)</f>
        <v/>
      </c>
      <c r="N1114">
        <f>IFERROR(INDEX(PP_Grid[#Data],$DE1114,11),0)</f>
        <v/>
      </c>
      <c r="O1114">
        <f>IFERROR(INDEX(PP_Grid[#Data],$DE1114,12),0)</f>
        <v/>
      </c>
      <c r="P1114">
        <f>IFERROR(INDEX(PP_Grid[#Data],$DE1114,13),0)</f>
        <v/>
      </c>
      <c r="Q1114">
        <f>IFERROR(INDEX(PP_Grid[#Data],$DE1114,14),0)</f>
        <v/>
      </c>
      <c r="R1114">
        <f>IFERROR(INDEX(PP_Grid[#Data],$DE1114,15),0)</f>
        <v/>
      </c>
      <c r="S1114">
        <f>IFERROR(INDEX(PP_Grid[#Data],$DE1114,16),0)</f>
        <v/>
      </c>
      <c r="T1114">
        <f>IFERROR(INDEX(PP_Grid[#Data],$DE1114,17),0)</f>
        <v/>
      </c>
      <c r="U1114">
        <f>IFERROR(INDEX(PP_Grid[#Data],$DE1114,18),0)</f>
        <v/>
      </c>
      <c r="V1114">
        <f>IFERROR(INDEX(PP_Grid[#Data],$DE1114,19),0)</f>
        <v/>
      </c>
      <c r="W1114">
        <f>IFERROR(INDEX(PP_Grid[#Data],$DE1114,20),0)</f>
        <v/>
      </c>
      <c r="X1114">
        <f>IFERROR(INDEX(PP_Grid[#Data],$DE1114,21),0)</f>
        <v/>
      </c>
      <c r="Y1114">
        <f>IFERROR(INDEX(PP_Grid[#Data],$DE1114,22),0)</f>
        <v/>
      </c>
      <c r="Z1114">
        <f>IFERROR(INDEX(PP_Grid[#Data],$DE1114,23),0)</f>
        <v/>
      </c>
      <c r="AA1114">
        <f>IFERROR(INDEX(PP_Grid[#Data],$DE1114,24),0)</f>
        <v/>
      </c>
      <c r="AB1114">
        <f>IFERROR(INDEX(PP_Grid[#Data],$DE1114,25),0)</f>
        <v/>
      </c>
      <c r="AC1114">
        <f>IFERROR(INDEX(PP_Grid[#Data],$DE1114,26),0)</f>
        <v/>
      </c>
      <c r="AD1114">
        <f>IFERROR(INDEX(PP_Grid[#Data],$DE1114,27),0)</f>
        <v/>
      </c>
      <c r="AE1114">
        <f>IFERROR(INDEX(PP_Grid[#Data],$DE1114,28),0)</f>
        <v/>
      </c>
      <c r="AF1114">
        <f>IFERROR(INDEX(PP_Grid[#Data],$DE1114,29),0)</f>
        <v/>
      </c>
      <c r="AG1114">
        <f>IFERROR(INDEX(PP_Grid[#Data],$DE1114,30),0)</f>
        <v/>
      </c>
      <c r="AH1114">
        <f>IFERROR(INDEX(PP_Grid[#Data],$DE1114,31),0)</f>
        <v/>
      </c>
      <c r="AI1114">
        <f>IFERROR(INDEX(PP_Grid[#Data],$DE1114,32),0)</f>
        <v/>
      </c>
      <c r="AJ1114">
        <f>IFERROR(INDEX(PP_Grid[#Data],$DE1114,33),0)</f>
        <v/>
      </c>
      <c r="AK1114">
        <f>IFERROR(INDEX(PP_Grid[#Data],$DE1114,34),0)</f>
        <v/>
      </c>
      <c r="AL1114">
        <f>IFERROR(INDEX(PP_Grid[#Data],$DE1114,35),0)</f>
        <v/>
      </c>
      <c r="AM1114">
        <f>IFERROR(INDEX(PP_Grid[#Data],$DE1114,36),0)</f>
        <v/>
      </c>
      <c r="AN1114">
        <f>IFERROR(INDEX(PP_Grid[#Data],$DE1114,37),0)</f>
        <v/>
      </c>
      <c r="AO1114">
        <f>IFERROR(INDEX(PP_Grid[#Data],$DE1114,38),0)</f>
        <v/>
      </c>
      <c r="AP1114">
        <f>IFERROR(INDEX(PP_Grid[#Data],$DE1114,39),0)</f>
        <v/>
      </c>
      <c r="AQ1114">
        <f>IFERROR(INDEX(PP_Grid[#Data],$DE1114,40),0)</f>
        <v/>
      </c>
      <c r="AR1114">
        <f>IFERROR(INDEX(PP_Grid[#Data],$DE1114,41),0)</f>
        <v/>
      </c>
      <c r="AS1114">
        <f>IFERROR(INDEX(PP_Grid[#Data],$DE1114,42),0)</f>
        <v/>
      </c>
      <c r="AT1114">
        <f>IFERROR(INDEX(PP_Grid[#Data],$DE1114,43),0)</f>
        <v/>
      </c>
      <c r="AU1114">
        <f>IFERROR(INDEX(PP_Grid[#Data],$DE1114,44),0)</f>
        <v/>
      </c>
      <c r="AV1114">
        <f>IFERROR(INDEX(PP_Grid[#Data],$DE1114,45),0)</f>
        <v/>
      </c>
      <c r="AW1114">
        <f>IFERROR(INDEX(PP_Grid[#Data],$DE1114,46),0)</f>
        <v/>
      </c>
      <c r="AX1114">
        <f>IFERROR(INDEX(PP_Grid[#Data],$DE1114,47),0)</f>
        <v/>
      </c>
      <c r="AY1114">
        <f>IFERROR(INDEX(PP_Grid[#Data],$DE1114,48),0)</f>
        <v/>
      </c>
      <c r="AZ1114">
        <f>IFERROR(INDEX(PP_Grid[#Data],$DE1114,49),0)</f>
        <v/>
      </c>
      <c r="BA1114">
        <f>IFERROR(INDEX(PP_Grid[#Data],$DE1114,50),0)</f>
        <v/>
      </c>
      <c r="BB1114">
        <f>IFERROR(INDEX(PP_Grid[#Data],$DE1114,51),0)</f>
        <v/>
      </c>
      <c r="BC1114">
        <f>IFERROR(INDEX(PP_Grid[#Data],$DE1114,52),0)</f>
        <v/>
      </c>
      <c r="BD1114">
        <f>IFERROR(INDEX(PP_Grid[#Data],$DE1114,53),0)</f>
        <v/>
      </c>
      <c r="BE1114">
        <f>IFERROR(INDEX(PP_Grid[#Data],$DE1114,54),0)</f>
        <v/>
      </c>
      <c r="BF1114">
        <f>IFERROR(INDEX(PP_Grid[#Data],$DE1114,55),0)</f>
        <v/>
      </c>
      <c r="BG1114">
        <f>IFERROR(INDEX(PP_Grid[#Data],$DE1114,56),0)</f>
        <v/>
      </c>
      <c r="BH1114">
        <f>IFERROR(INDEX(PP_Grid[#Data],$DE1114,57),0)</f>
        <v/>
      </c>
      <c r="BI1114">
        <f>IFERROR(INDEX(PP_Grid[#Data],$DE1114,58),0)</f>
        <v/>
      </c>
      <c r="BJ1114">
        <f>IFERROR(INDEX(PP_Grid[#Data],$DE1114,59),0)</f>
        <v/>
      </c>
      <c r="BK1114">
        <f>IFERROR(INDEX(PP_Grid[#Data],$DE1114,60),0)</f>
        <v/>
      </c>
      <c r="BL1114">
        <f>IFERROR(INDEX(PP_Grid[#Data],$DE1114,61),0)</f>
        <v/>
      </c>
      <c r="BM1114">
        <f>IFERROR(INDEX(PP_Grid[#Data],$DE1114,62),0)</f>
        <v/>
      </c>
      <c r="BN1114">
        <f>IFERROR(INDEX(PP_Grid[#Data],$DE1114,63),0)</f>
        <v/>
      </c>
      <c r="BO1114">
        <f>IFERROR(INDEX(PP_Grid[#Data],$DE1114,64),0)</f>
        <v/>
      </c>
      <c r="BP1114">
        <f>IFERROR(INDEX(PP_Grid[#Data],$DE1114,65),0)</f>
        <v/>
      </c>
      <c r="BQ1114">
        <f>IFERROR(INDEX(PP_Grid[#Data],$DE1114,66),0)</f>
        <v/>
      </c>
      <c r="BR1114">
        <f>IFERROR(INDEX(PP_Grid[#Data],$DE1114,67),0)</f>
        <v/>
      </c>
      <c r="BS1114">
        <f>IFERROR(INDEX(PP_Grid[#Data],$DE1114,68),0)</f>
        <v/>
      </c>
      <c r="BT1114">
        <f>IFERROR(INDEX(PP_Grid[#Data],$DE1114,69),0)</f>
        <v/>
      </c>
      <c r="BU1114">
        <f>IFERROR(INDEX(PP_Grid[#Data],$DE1114,70),0)</f>
        <v/>
      </c>
      <c r="BV1114">
        <f>IFERROR(INDEX(PP_Grid[#Data],$DE1114,71),0)</f>
        <v/>
      </c>
      <c r="BW1114">
        <f>IFERROR(INDEX(PP_Grid[#Data],$DE1114,72),0)</f>
        <v/>
      </c>
      <c r="BX1114">
        <f>IFERROR(INDEX(PP_Grid[#Data],$DE1114,73),0)</f>
        <v/>
      </c>
      <c r="BY1114">
        <f>IFERROR(INDEX(PP_Grid[#Data],$DE1114,74),0)</f>
        <v/>
      </c>
      <c r="BZ1114">
        <f>IFERROR(INDEX(PP_Grid[#Data],$DE1114,75),0)</f>
        <v/>
      </c>
      <c r="CA1114">
        <f>IFERROR(INDEX(PP_Grid[#Data],$DE1114,76),0)</f>
        <v/>
      </c>
      <c r="CB1114">
        <f>IFERROR(INDEX(PP_Grid[#Data],$DE1114,77),0)</f>
        <v/>
      </c>
      <c r="CC1114">
        <f>IFERROR(INDEX(PP_Grid[#Data],$DE1114,78),0)</f>
        <v/>
      </c>
      <c r="CD1114">
        <f>IFERROR(INDEX(PP_Grid[#Data],$DE1114,79),0)</f>
        <v/>
      </c>
      <c r="CE1114">
        <f>IFERROR(INDEX(PP_Grid[#Data],$DE1114,80),0)</f>
        <v/>
      </c>
      <c r="CF1114">
        <f>IFERROR(INDEX(PP_Grid[#Data],$DE1114,81),0)</f>
        <v/>
      </c>
      <c r="CG1114">
        <f>IFERROR(INDEX(PP_Grid[#Data],$DE1114,82),0)</f>
        <v/>
      </c>
      <c r="CH1114">
        <f>IFERROR(INDEX(PP_Grid[#Data],$DE1114,83),0)</f>
        <v/>
      </c>
      <c r="CI1114">
        <f>IFERROR(INDEX(PP_Grid[#Data],$DE1114,84),0)</f>
        <v/>
      </c>
      <c r="CJ1114">
        <f>IFERROR(INDEX(PP_Grid[#Data],$DE1114,85),0)</f>
        <v/>
      </c>
      <c r="CK1114">
        <f>IFERROR(INDEX(PP_Grid[#Data],$DE1114,86),0)</f>
        <v/>
      </c>
      <c r="CL1114">
        <f>IFERROR(INDEX(PP_Grid[#Data],$DE1114,87),0)</f>
        <v/>
      </c>
      <c r="CM1114">
        <f>IFERROR(INDEX(PP_Grid[#Data],$DE1114,88),0)</f>
        <v/>
      </c>
      <c r="CN1114">
        <f>IFERROR(INDEX(PP_Grid[#Data],$DE1114,89),0)</f>
        <v/>
      </c>
      <c r="CO1114">
        <f>IFERROR(INDEX(PP_Grid[#Data],$DE1114,90),0)</f>
        <v/>
      </c>
      <c r="CP1114">
        <f>IFERROR(INDEX(PP_Grid[#Data],$DE1114,91),0)</f>
        <v/>
      </c>
      <c r="CQ1114">
        <f>IFERROR(INDEX(PP_Grid[#Data],$DE1114,92),0)</f>
        <v/>
      </c>
      <c r="CR1114">
        <f>IFERROR(INDEX(PP_Grid[#Data],$DE1114,93),0)</f>
        <v/>
      </c>
      <c r="CS1114">
        <f>IFERROR(INDEX(PP_Grid[#Data],$DE1114,94),0)</f>
        <v/>
      </c>
      <c r="CT1114">
        <f>IFERROR(INDEX(PP_Grid[#Data],$DE1114,95),0)</f>
        <v/>
      </c>
      <c r="CU1114">
        <f>IFERROR(INDEX(PP_Grid[#Data],$DE1114,96),0)</f>
        <v/>
      </c>
      <c r="CV1114">
        <f>IFERROR(INDEX(PP_Grid[#Data],$DE1114,97),0)</f>
        <v/>
      </c>
      <c r="CW1114">
        <f>IFERROR(INDEX(PP_Grid[#Data],$DE1114,98),0)</f>
        <v/>
      </c>
      <c r="CX1114">
        <f>IFERROR(INDEX(PP_Grid[#Data],$DE1114,99),0)</f>
        <v/>
      </c>
      <c r="CY1114">
        <f>IFERROR(INDEX(PP_Grid[#Data],$DE1114,100),0)</f>
        <v/>
      </c>
      <c r="CZ1114">
        <f>IFERROR(INDEX(PP_Grid[#Data],$DE1114,101),0)</f>
        <v/>
      </c>
      <c r="DA1114">
        <f>IFERROR(INDEX(PP_Grid[#Data],$DE1114,102),0)</f>
        <v/>
      </c>
      <c r="DB1114">
        <f>IFERROR(INDEX(PP_Grid[#Data],$DE1114,103),0)</f>
        <v/>
      </c>
      <c r="DC1114">
        <f>IFERROR(INDEX(PP_Grid[#Data],$DE1114,104),0)</f>
        <v/>
      </c>
      <c r="DD1114">
        <f>IFERROR(INDEX(PP_Grid[#Data],$DE1114,105),0)</f>
        <v/>
      </c>
      <c r="DE1114" s="7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SUMIFS(M_BOM[RM_Qty_Per_Batch],M_BOM[Intermediate],$B1114,M_BOM[RM_Code],$A1101)</f>
        <v/>
      </c>
      <c r="D1115">
        <f>IFERROR(INDEX(E1115:DD1115,$F$1),"")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  <c r="DD1115">
        <f>$C1115*DD1114</f>
        <v/>
      </c>
    </row>
    <row r="1116">
      <c r="B1116" t="inlineStr">
        <is>
          <t>VSP-567</t>
        </is>
      </c>
      <c r="C1116" t="inlineStr">
        <is>
          <t>No. of batches</t>
        </is>
      </c>
      <c r="D1116">
        <f>IFERROR(INDEX(E1116:DD1116,$F$1),"")</f>
        <v/>
      </c>
      <c r="E1116">
        <f>IFERROR(INDEX(PP_Grid[#Data],$DE1116,2),0)</f>
        <v/>
      </c>
      <c r="F1116">
        <f>IFERROR(INDEX(PP_Grid[#Data],$DE1116,3),0)</f>
        <v/>
      </c>
      <c r="G1116">
        <f>IFERROR(INDEX(PP_Grid[#Data],$DE1116,4),0)</f>
        <v/>
      </c>
      <c r="H1116">
        <f>IFERROR(INDEX(PP_Grid[#Data],$DE1116,5),0)</f>
        <v/>
      </c>
      <c r="I1116">
        <f>IFERROR(INDEX(PP_Grid[#Data],$DE1116,6),0)</f>
        <v/>
      </c>
      <c r="J1116">
        <f>IFERROR(INDEX(PP_Grid[#Data],$DE1116,7),0)</f>
        <v/>
      </c>
      <c r="K1116">
        <f>IFERROR(INDEX(PP_Grid[#Data],$DE1116,8),0)</f>
        <v/>
      </c>
      <c r="L1116">
        <f>IFERROR(INDEX(PP_Grid[#Data],$DE1116,9),0)</f>
        <v/>
      </c>
      <c r="M1116">
        <f>IFERROR(INDEX(PP_Grid[#Data],$DE1116,10),0)</f>
        <v/>
      </c>
      <c r="N1116">
        <f>IFERROR(INDEX(PP_Grid[#Data],$DE1116,11),0)</f>
        <v/>
      </c>
      <c r="O1116">
        <f>IFERROR(INDEX(PP_Grid[#Data],$DE1116,12),0)</f>
        <v/>
      </c>
      <c r="P1116">
        <f>IFERROR(INDEX(PP_Grid[#Data],$DE1116,13),0)</f>
        <v/>
      </c>
      <c r="Q1116">
        <f>IFERROR(INDEX(PP_Grid[#Data],$DE1116,14),0)</f>
        <v/>
      </c>
      <c r="R1116">
        <f>IFERROR(INDEX(PP_Grid[#Data],$DE1116,15),0)</f>
        <v/>
      </c>
      <c r="S1116">
        <f>IFERROR(INDEX(PP_Grid[#Data],$DE1116,16),0)</f>
        <v/>
      </c>
      <c r="T1116">
        <f>IFERROR(INDEX(PP_Grid[#Data],$DE1116,17),0)</f>
        <v/>
      </c>
      <c r="U1116">
        <f>IFERROR(INDEX(PP_Grid[#Data],$DE1116,18),0)</f>
        <v/>
      </c>
      <c r="V1116">
        <f>IFERROR(INDEX(PP_Grid[#Data],$DE1116,19),0)</f>
        <v/>
      </c>
      <c r="W1116">
        <f>IFERROR(INDEX(PP_Grid[#Data],$DE1116,20),0)</f>
        <v/>
      </c>
      <c r="X1116">
        <f>IFERROR(INDEX(PP_Grid[#Data],$DE1116,21),0)</f>
        <v/>
      </c>
      <c r="Y1116">
        <f>IFERROR(INDEX(PP_Grid[#Data],$DE1116,22),0)</f>
        <v/>
      </c>
      <c r="Z1116">
        <f>IFERROR(INDEX(PP_Grid[#Data],$DE1116,23),0)</f>
        <v/>
      </c>
      <c r="AA1116">
        <f>IFERROR(INDEX(PP_Grid[#Data],$DE1116,24),0)</f>
        <v/>
      </c>
      <c r="AB1116">
        <f>IFERROR(INDEX(PP_Grid[#Data],$DE1116,25),0)</f>
        <v/>
      </c>
      <c r="AC1116">
        <f>IFERROR(INDEX(PP_Grid[#Data],$DE1116,26),0)</f>
        <v/>
      </c>
      <c r="AD1116">
        <f>IFERROR(INDEX(PP_Grid[#Data],$DE1116,27),0)</f>
        <v/>
      </c>
      <c r="AE1116">
        <f>IFERROR(INDEX(PP_Grid[#Data],$DE1116,28),0)</f>
        <v/>
      </c>
      <c r="AF1116">
        <f>IFERROR(INDEX(PP_Grid[#Data],$DE1116,29),0)</f>
        <v/>
      </c>
      <c r="AG1116">
        <f>IFERROR(INDEX(PP_Grid[#Data],$DE1116,30),0)</f>
        <v/>
      </c>
      <c r="AH1116">
        <f>IFERROR(INDEX(PP_Grid[#Data],$DE1116,31),0)</f>
        <v/>
      </c>
      <c r="AI1116">
        <f>IFERROR(INDEX(PP_Grid[#Data],$DE1116,32),0)</f>
        <v/>
      </c>
      <c r="AJ1116">
        <f>IFERROR(INDEX(PP_Grid[#Data],$DE1116,33),0)</f>
        <v/>
      </c>
      <c r="AK1116">
        <f>IFERROR(INDEX(PP_Grid[#Data],$DE1116,34),0)</f>
        <v/>
      </c>
      <c r="AL1116">
        <f>IFERROR(INDEX(PP_Grid[#Data],$DE1116,35),0)</f>
        <v/>
      </c>
      <c r="AM1116">
        <f>IFERROR(INDEX(PP_Grid[#Data],$DE1116,36),0)</f>
        <v/>
      </c>
      <c r="AN1116">
        <f>IFERROR(INDEX(PP_Grid[#Data],$DE1116,37),0)</f>
        <v/>
      </c>
      <c r="AO1116">
        <f>IFERROR(INDEX(PP_Grid[#Data],$DE1116,38),0)</f>
        <v/>
      </c>
      <c r="AP1116">
        <f>IFERROR(INDEX(PP_Grid[#Data],$DE1116,39),0)</f>
        <v/>
      </c>
      <c r="AQ1116">
        <f>IFERROR(INDEX(PP_Grid[#Data],$DE1116,40),0)</f>
        <v/>
      </c>
      <c r="AR1116">
        <f>IFERROR(INDEX(PP_Grid[#Data],$DE1116,41),0)</f>
        <v/>
      </c>
      <c r="AS1116">
        <f>IFERROR(INDEX(PP_Grid[#Data],$DE1116,42),0)</f>
        <v/>
      </c>
      <c r="AT1116">
        <f>IFERROR(INDEX(PP_Grid[#Data],$DE1116,43),0)</f>
        <v/>
      </c>
      <c r="AU1116">
        <f>IFERROR(INDEX(PP_Grid[#Data],$DE1116,44),0)</f>
        <v/>
      </c>
      <c r="AV1116">
        <f>IFERROR(INDEX(PP_Grid[#Data],$DE1116,45),0)</f>
        <v/>
      </c>
      <c r="AW1116">
        <f>IFERROR(INDEX(PP_Grid[#Data],$DE1116,46),0)</f>
        <v/>
      </c>
      <c r="AX1116">
        <f>IFERROR(INDEX(PP_Grid[#Data],$DE1116,47),0)</f>
        <v/>
      </c>
      <c r="AY1116">
        <f>IFERROR(INDEX(PP_Grid[#Data],$DE1116,48),0)</f>
        <v/>
      </c>
      <c r="AZ1116">
        <f>IFERROR(INDEX(PP_Grid[#Data],$DE1116,49),0)</f>
        <v/>
      </c>
      <c r="BA1116">
        <f>IFERROR(INDEX(PP_Grid[#Data],$DE1116,50),0)</f>
        <v/>
      </c>
      <c r="BB1116">
        <f>IFERROR(INDEX(PP_Grid[#Data],$DE1116,51),0)</f>
        <v/>
      </c>
      <c r="BC1116">
        <f>IFERROR(INDEX(PP_Grid[#Data],$DE1116,52),0)</f>
        <v/>
      </c>
      <c r="BD1116">
        <f>IFERROR(INDEX(PP_Grid[#Data],$DE1116,53),0)</f>
        <v/>
      </c>
      <c r="BE1116">
        <f>IFERROR(INDEX(PP_Grid[#Data],$DE1116,54),0)</f>
        <v/>
      </c>
      <c r="BF1116">
        <f>IFERROR(INDEX(PP_Grid[#Data],$DE1116,55),0)</f>
        <v/>
      </c>
      <c r="BG1116">
        <f>IFERROR(INDEX(PP_Grid[#Data],$DE1116,56),0)</f>
        <v/>
      </c>
      <c r="BH1116">
        <f>IFERROR(INDEX(PP_Grid[#Data],$DE1116,57),0)</f>
        <v/>
      </c>
      <c r="BI1116">
        <f>IFERROR(INDEX(PP_Grid[#Data],$DE1116,58),0)</f>
        <v/>
      </c>
      <c r="BJ1116">
        <f>IFERROR(INDEX(PP_Grid[#Data],$DE1116,59),0)</f>
        <v/>
      </c>
      <c r="BK1116">
        <f>IFERROR(INDEX(PP_Grid[#Data],$DE1116,60),0)</f>
        <v/>
      </c>
      <c r="BL1116">
        <f>IFERROR(INDEX(PP_Grid[#Data],$DE1116,61),0)</f>
        <v/>
      </c>
      <c r="BM1116">
        <f>IFERROR(INDEX(PP_Grid[#Data],$DE1116,62),0)</f>
        <v/>
      </c>
      <c r="BN1116">
        <f>IFERROR(INDEX(PP_Grid[#Data],$DE1116,63),0)</f>
        <v/>
      </c>
      <c r="BO1116">
        <f>IFERROR(INDEX(PP_Grid[#Data],$DE1116,64),0)</f>
        <v/>
      </c>
      <c r="BP1116">
        <f>IFERROR(INDEX(PP_Grid[#Data],$DE1116,65),0)</f>
        <v/>
      </c>
      <c r="BQ1116">
        <f>IFERROR(INDEX(PP_Grid[#Data],$DE1116,66),0)</f>
        <v/>
      </c>
      <c r="BR1116">
        <f>IFERROR(INDEX(PP_Grid[#Data],$DE1116,67),0)</f>
        <v/>
      </c>
      <c r="BS1116">
        <f>IFERROR(INDEX(PP_Grid[#Data],$DE1116,68),0)</f>
        <v/>
      </c>
      <c r="BT1116">
        <f>IFERROR(INDEX(PP_Grid[#Data],$DE1116,69),0)</f>
        <v/>
      </c>
      <c r="BU1116">
        <f>IFERROR(INDEX(PP_Grid[#Data],$DE1116,70),0)</f>
        <v/>
      </c>
      <c r="BV1116">
        <f>IFERROR(INDEX(PP_Grid[#Data],$DE1116,71),0)</f>
        <v/>
      </c>
      <c r="BW1116">
        <f>IFERROR(INDEX(PP_Grid[#Data],$DE1116,72),0)</f>
        <v/>
      </c>
      <c r="BX1116">
        <f>IFERROR(INDEX(PP_Grid[#Data],$DE1116,73),0)</f>
        <v/>
      </c>
      <c r="BY1116">
        <f>IFERROR(INDEX(PP_Grid[#Data],$DE1116,74),0)</f>
        <v/>
      </c>
      <c r="BZ1116">
        <f>IFERROR(INDEX(PP_Grid[#Data],$DE1116,75),0)</f>
        <v/>
      </c>
      <c r="CA1116">
        <f>IFERROR(INDEX(PP_Grid[#Data],$DE1116,76),0)</f>
        <v/>
      </c>
      <c r="CB1116">
        <f>IFERROR(INDEX(PP_Grid[#Data],$DE1116,77),0)</f>
        <v/>
      </c>
      <c r="CC1116">
        <f>IFERROR(INDEX(PP_Grid[#Data],$DE1116,78),0)</f>
        <v/>
      </c>
      <c r="CD1116">
        <f>IFERROR(INDEX(PP_Grid[#Data],$DE1116,79),0)</f>
        <v/>
      </c>
      <c r="CE1116">
        <f>IFERROR(INDEX(PP_Grid[#Data],$DE1116,80),0)</f>
        <v/>
      </c>
      <c r="CF1116">
        <f>IFERROR(INDEX(PP_Grid[#Data],$DE1116,81),0)</f>
        <v/>
      </c>
      <c r="CG1116">
        <f>IFERROR(INDEX(PP_Grid[#Data],$DE1116,82),0)</f>
        <v/>
      </c>
      <c r="CH1116">
        <f>IFERROR(INDEX(PP_Grid[#Data],$DE1116,83),0)</f>
        <v/>
      </c>
      <c r="CI1116">
        <f>IFERROR(INDEX(PP_Grid[#Data],$DE1116,84),0)</f>
        <v/>
      </c>
      <c r="CJ1116">
        <f>IFERROR(INDEX(PP_Grid[#Data],$DE1116,85),0)</f>
        <v/>
      </c>
      <c r="CK1116">
        <f>IFERROR(INDEX(PP_Grid[#Data],$DE1116,86),0)</f>
        <v/>
      </c>
      <c r="CL1116">
        <f>IFERROR(INDEX(PP_Grid[#Data],$DE1116,87),0)</f>
        <v/>
      </c>
      <c r="CM1116">
        <f>IFERROR(INDEX(PP_Grid[#Data],$DE1116,88),0)</f>
        <v/>
      </c>
      <c r="CN1116">
        <f>IFERROR(INDEX(PP_Grid[#Data],$DE1116,89),0)</f>
        <v/>
      </c>
      <c r="CO1116">
        <f>IFERROR(INDEX(PP_Grid[#Data],$DE1116,90),0)</f>
        <v/>
      </c>
      <c r="CP1116">
        <f>IFERROR(INDEX(PP_Grid[#Data],$DE1116,91),0)</f>
        <v/>
      </c>
      <c r="CQ1116">
        <f>IFERROR(INDEX(PP_Grid[#Data],$DE1116,92),0)</f>
        <v/>
      </c>
      <c r="CR1116">
        <f>IFERROR(INDEX(PP_Grid[#Data],$DE1116,93),0)</f>
        <v/>
      </c>
      <c r="CS1116">
        <f>IFERROR(INDEX(PP_Grid[#Data],$DE1116,94),0)</f>
        <v/>
      </c>
      <c r="CT1116">
        <f>IFERROR(INDEX(PP_Grid[#Data],$DE1116,95),0)</f>
        <v/>
      </c>
      <c r="CU1116">
        <f>IFERROR(INDEX(PP_Grid[#Data],$DE1116,96),0)</f>
        <v/>
      </c>
      <c r="CV1116">
        <f>IFERROR(INDEX(PP_Grid[#Data],$DE1116,97),0)</f>
        <v/>
      </c>
      <c r="CW1116">
        <f>IFERROR(INDEX(PP_Grid[#Data],$DE1116,98),0)</f>
        <v/>
      </c>
      <c r="CX1116">
        <f>IFERROR(INDEX(PP_Grid[#Data],$DE1116,99),0)</f>
        <v/>
      </c>
      <c r="CY1116">
        <f>IFERROR(INDEX(PP_Grid[#Data],$DE1116,100),0)</f>
        <v/>
      </c>
      <c r="CZ1116">
        <f>IFERROR(INDEX(PP_Grid[#Data],$DE1116,101),0)</f>
        <v/>
      </c>
      <c r="DA1116">
        <f>IFERROR(INDEX(PP_Grid[#Data],$DE1116,102),0)</f>
        <v/>
      </c>
      <c r="DB1116">
        <f>IFERROR(INDEX(PP_Grid[#Data],$DE1116,103),0)</f>
        <v/>
      </c>
      <c r="DC1116">
        <f>IFERROR(INDEX(PP_Grid[#Data],$DE1116,104),0)</f>
        <v/>
      </c>
      <c r="DD1116">
        <f>IFERROR(INDEX(PP_Grid[#Data],$DE1116,105),0)</f>
        <v/>
      </c>
      <c r="DE1116" s="7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SUMIFS(M_BOM[RM_Qty_Per_Batch],M_BOM[Intermediate],$B1116,M_BOM[RM_Code],$A1101)</f>
        <v/>
      </c>
      <c r="D1117">
        <f>IFERROR(INDEX(E1117:DD1117,$F$1),"")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  <c r="DD1117">
        <f>$C1117*DD1116</f>
        <v/>
      </c>
    </row>
    <row r="1118">
      <c r="B1118" t="inlineStr">
        <is>
          <t>VSP-602</t>
        </is>
      </c>
      <c r="C1118" t="inlineStr">
        <is>
          <t>No. of batches</t>
        </is>
      </c>
      <c r="D1118">
        <f>IFERROR(INDEX(E1118:DD1118,$F$1),"")</f>
        <v/>
      </c>
      <c r="E1118">
        <f>IFERROR(INDEX(PP_Grid[#Data],$DE1118,2),0)</f>
        <v/>
      </c>
      <c r="F1118">
        <f>IFERROR(INDEX(PP_Grid[#Data],$DE1118,3),0)</f>
        <v/>
      </c>
      <c r="G1118">
        <f>IFERROR(INDEX(PP_Grid[#Data],$DE1118,4),0)</f>
        <v/>
      </c>
      <c r="H1118">
        <f>IFERROR(INDEX(PP_Grid[#Data],$DE1118,5),0)</f>
        <v/>
      </c>
      <c r="I1118">
        <f>IFERROR(INDEX(PP_Grid[#Data],$DE1118,6),0)</f>
        <v/>
      </c>
      <c r="J1118">
        <f>IFERROR(INDEX(PP_Grid[#Data],$DE1118,7),0)</f>
        <v/>
      </c>
      <c r="K1118">
        <f>IFERROR(INDEX(PP_Grid[#Data],$DE1118,8),0)</f>
        <v/>
      </c>
      <c r="L1118">
        <f>IFERROR(INDEX(PP_Grid[#Data],$DE1118,9),0)</f>
        <v/>
      </c>
      <c r="M1118">
        <f>IFERROR(INDEX(PP_Grid[#Data],$DE1118,10),0)</f>
        <v/>
      </c>
      <c r="N1118">
        <f>IFERROR(INDEX(PP_Grid[#Data],$DE1118,11),0)</f>
        <v/>
      </c>
      <c r="O1118">
        <f>IFERROR(INDEX(PP_Grid[#Data],$DE1118,12),0)</f>
        <v/>
      </c>
      <c r="P1118">
        <f>IFERROR(INDEX(PP_Grid[#Data],$DE1118,13),0)</f>
        <v/>
      </c>
      <c r="Q1118">
        <f>IFERROR(INDEX(PP_Grid[#Data],$DE1118,14),0)</f>
        <v/>
      </c>
      <c r="R1118">
        <f>IFERROR(INDEX(PP_Grid[#Data],$DE1118,15),0)</f>
        <v/>
      </c>
      <c r="S1118">
        <f>IFERROR(INDEX(PP_Grid[#Data],$DE1118,16),0)</f>
        <v/>
      </c>
      <c r="T1118">
        <f>IFERROR(INDEX(PP_Grid[#Data],$DE1118,17),0)</f>
        <v/>
      </c>
      <c r="U1118">
        <f>IFERROR(INDEX(PP_Grid[#Data],$DE1118,18),0)</f>
        <v/>
      </c>
      <c r="V1118">
        <f>IFERROR(INDEX(PP_Grid[#Data],$DE1118,19),0)</f>
        <v/>
      </c>
      <c r="W1118">
        <f>IFERROR(INDEX(PP_Grid[#Data],$DE1118,20),0)</f>
        <v/>
      </c>
      <c r="X1118">
        <f>IFERROR(INDEX(PP_Grid[#Data],$DE1118,21),0)</f>
        <v/>
      </c>
      <c r="Y1118">
        <f>IFERROR(INDEX(PP_Grid[#Data],$DE1118,22),0)</f>
        <v/>
      </c>
      <c r="Z1118">
        <f>IFERROR(INDEX(PP_Grid[#Data],$DE1118,23),0)</f>
        <v/>
      </c>
      <c r="AA1118">
        <f>IFERROR(INDEX(PP_Grid[#Data],$DE1118,24),0)</f>
        <v/>
      </c>
      <c r="AB1118">
        <f>IFERROR(INDEX(PP_Grid[#Data],$DE1118,25),0)</f>
        <v/>
      </c>
      <c r="AC1118">
        <f>IFERROR(INDEX(PP_Grid[#Data],$DE1118,26),0)</f>
        <v/>
      </c>
      <c r="AD1118">
        <f>IFERROR(INDEX(PP_Grid[#Data],$DE1118,27),0)</f>
        <v/>
      </c>
      <c r="AE1118">
        <f>IFERROR(INDEX(PP_Grid[#Data],$DE1118,28),0)</f>
        <v/>
      </c>
      <c r="AF1118">
        <f>IFERROR(INDEX(PP_Grid[#Data],$DE1118,29),0)</f>
        <v/>
      </c>
      <c r="AG1118">
        <f>IFERROR(INDEX(PP_Grid[#Data],$DE1118,30),0)</f>
        <v/>
      </c>
      <c r="AH1118">
        <f>IFERROR(INDEX(PP_Grid[#Data],$DE1118,31),0)</f>
        <v/>
      </c>
      <c r="AI1118">
        <f>IFERROR(INDEX(PP_Grid[#Data],$DE1118,32),0)</f>
        <v/>
      </c>
      <c r="AJ1118">
        <f>IFERROR(INDEX(PP_Grid[#Data],$DE1118,33),0)</f>
        <v/>
      </c>
      <c r="AK1118">
        <f>IFERROR(INDEX(PP_Grid[#Data],$DE1118,34),0)</f>
        <v/>
      </c>
      <c r="AL1118">
        <f>IFERROR(INDEX(PP_Grid[#Data],$DE1118,35),0)</f>
        <v/>
      </c>
      <c r="AM1118">
        <f>IFERROR(INDEX(PP_Grid[#Data],$DE1118,36),0)</f>
        <v/>
      </c>
      <c r="AN1118">
        <f>IFERROR(INDEX(PP_Grid[#Data],$DE1118,37),0)</f>
        <v/>
      </c>
      <c r="AO1118">
        <f>IFERROR(INDEX(PP_Grid[#Data],$DE1118,38),0)</f>
        <v/>
      </c>
      <c r="AP1118">
        <f>IFERROR(INDEX(PP_Grid[#Data],$DE1118,39),0)</f>
        <v/>
      </c>
      <c r="AQ1118">
        <f>IFERROR(INDEX(PP_Grid[#Data],$DE1118,40),0)</f>
        <v/>
      </c>
      <c r="AR1118">
        <f>IFERROR(INDEX(PP_Grid[#Data],$DE1118,41),0)</f>
        <v/>
      </c>
      <c r="AS1118">
        <f>IFERROR(INDEX(PP_Grid[#Data],$DE1118,42),0)</f>
        <v/>
      </c>
      <c r="AT1118">
        <f>IFERROR(INDEX(PP_Grid[#Data],$DE1118,43),0)</f>
        <v/>
      </c>
      <c r="AU1118">
        <f>IFERROR(INDEX(PP_Grid[#Data],$DE1118,44),0)</f>
        <v/>
      </c>
      <c r="AV1118">
        <f>IFERROR(INDEX(PP_Grid[#Data],$DE1118,45),0)</f>
        <v/>
      </c>
      <c r="AW1118">
        <f>IFERROR(INDEX(PP_Grid[#Data],$DE1118,46),0)</f>
        <v/>
      </c>
      <c r="AX1118">
        <f>IFERROR(INDEX(PP_Grid[#Data],$DE1118,47),0)</f>
        <v/>
      </c>
      <c r="AY1118">
        <f>IFERROR(INDEX(PP_Grid[#Data],$DE1118,48),0)</f>
        <v/>
      </c>
      <c r="AZ1118">
        <f>IFERROR(INDEX(PP_Grid[#Data],$DE1118,49),0)</f>
        <v/>
      </c>
      <c r="BA1118">
        <f>IFERROR(INDEX(PP_Grid[#Data],$DE1118,50),0)</f>
        <v/>
      </c>
      <c r="BB1118">
        <f>IFERROR(INDEX(PP_Grid[#Data],$DE1118,51),0)</f>
        <v/>
      </c>
      <c r="BC1118">
        <f>IFERROR(INDEX(PP_Grid[#Data],$DE1118,52),0)</f>
        <v/>
      </c>
      <c r="BD1118">
        <f>IFERROR(INDEX(PP_Grid[#Data],$DE1118,53),0)</f>
        <v/>
      </c>
      <c r="BE1118">
        <f>IFERROR(INDEX(PP_Grid[#Data],$DE1118,54),0)</f>
        <v/>
      </c>
      <c r="BF1118">
        <f>IFERROR(INDEX(PP_Grid[#Data],$DE1118,55),0)</f>
        <v/>
      </c>
      <c r="BG1118">
        <f>IFERROR(INDEX(PP_Grid[#Data],$DE1118,56),0)</f>
        <v/>
      </c>
      <c r="BH1118">
        <f>IFERROR(INDEX(PP_Grid[#Data],$DE1118,57),0)</f>
        <v/>
      </c>
      <c r="BI1118">
        <f>IFERROR(INDEX(PP_Grid[#Data],$DE1118,58),0)</f>
        <v/>
      </c>
      <c r="BJ1118">
        <f>IFERROR(INDEX(PP_Grid[#Data],$DE1118,59),0)</f>
        <v/>
      </c>
      <c r="BK1118">
        <f>IFERROR(INDEX(PP_Grid[#Data],$DE1118,60),0)</f>
        <v/>
      </c>
      <c r="BL1118">
        <f>IFERROR(INDEX(PP_Grid[#Data],$DE1118,61),0)</f>
        <v/>
      </c>
      <c r="BM1118">
        <f>IFERROR(INDEX(PP_Grid[#Data],$DE1118,62),0)</f>
        <v/>
      </c>
      <c r="BN1118">
        <f>IFERROR(INDEX(PP_Grid[#Data],$DE1118,63),0)</f>
        <v/>
      </c>
      <c r="BO1118">
        <f>IFERROR(INDEX(PP_Grid[#Data],$DE1118,64),0)</f>
        <v/>
      </c>
      <c r="BP1118">
        <f>IFERROR(INDEX(PP_Grid[#Data],$DE1118,65),0)</f>
        <v/>
      </c>
      <c r="BQ1118">
        <f>IFERROR(INDEX(PP_Grid[#Data],$DE1118,66),0)</f>
        <v/>
      </c>
      <c r="BR1118">
        <f>IFERROR(INDEX(PP_Grid[#Data],$DE1118,67),0)</f>
        <v/>
      </c>
      <c r="BS1118">
        <f>IFERROR(INDEX(PP_Grid[#Data],$DE1118,68),0)</f>
        <v/>
      </c>
      <c r="BT1118">
        <f>IFERROR(INDEX(PP_Grid[#Data],$DE1118,69),0)</f>
        <v/>
      </c>
      <c r="BU1118">
        <f>IFERROR(INDEX(PP_Grid[#Data],$DE1118,70),0)</f>
        <v/>
      </c>
      <c r="BV1118">
        <f>IFERROR(INDEX(PP_Grid[#Data],$DE1118,71),0)</f>
        <v/>
      </c>
      <c r="BW1118">
        <f>IFERROR(INDEX(PP_Grid[#Data],$DE1118,72),0)</f>
        <v/>
      </c>
      <c r="BX1118">
        <f>IFERROR(INDEX(PP_Grid[#Data],$DE1118,73),0)</f>
        <v/>
      </c>
      <c r="BY1118">
        <f>IFERROR(INDEX(PP_Grid[#Data],$DE1118,74),0)</f>
        <v/>
      </c>
      <c r="BZ1118">
        <f>IFERROR(INDEX(PP_Grid[#Data],$DE1118,75),0)</f>
        <v/>
      </c>
      <c r="CA1118">
        <f>IFERROR(INDEX(PP_Grid[#Data],$DE1118,76),0)</f>
        <v/>
      </c>
      <c r="CB1118">
        <f>IFERROR(INDEX(PP_Grid[#Data],$DE1118,77),0)</f>
        <v/>
      </c>
      <c r="CC1118">
        <f>IFERROR(INDEX(PP_Grid[#Data],$DE1118,78),0)</f>
        <v/>
      </c>
      <c r="CD1118">
        <f>IFERROR(INDEX(PP_Grid[#Data],$DE1118,79),0)</f>
        <v/>
      </c>
      <c r="CE1118">
        <f>IFERROR(INDEX(PP_Grid[#Data],$DE1118,80),0)</f>
        <v/>
      </c>
      <c r="CF1118">
        <f>IFERROR(INDEX(PP_Grid[#Data],$DE1118,81),0)</f>
        <v/>
      </c>
      <c r="CG1118">
        <f>IFERROR(INDEX(PP_Grid[#Data],$DE1118,82),0)</f>
        <v/>
      </c>
      <c r="CH1118">
        <f>IFERROR(INDEX(PP_Grid[#Data],$DE1118,83),0)</f>
        <v/>
      </c>
      <c r="CI1118">
        <f>IFERROR(INDEX(PP_Grid[#Data],$DE1118,84),0)</f>
        <v/>
      </c>
      <c r="CJ1118">
        <f>IFERROR(INDEX(PP_Grid[#Data],$DE1118,85),0)</f>
        <v/>
      </c>
      <c r="CK1118">
        <f>IFERROR(INDEX(PP_Grid[#Data],$DE1118,86),0)</f>
        <v/>
      </c>
      <c r="CL1118">
        <f>IFERROR(INDEX(PP_Grid[#Data],$DE1118,87),0)</f>
        <v/>
      </c>
      <c r="CM1118">
        <f>IFERROR(INDEX(PP_Grid[#Data],$DE1118,88),0)</f>
        <v/>
      </c>
      <c r="CN1118">
        <f>IFERROR(INDEX(PP_Grid[#Data],$DE1118,89),0)</f>
        <v/>
      </c>
      <c r="CO1118">
        <f>IFERROR(INDEX(PP_Grid[#Data],$DE1118,90),0)</f>
        <v/>
      </c>
      <c r="CP1118">
        <f>IFERROR(INDEX(PP_Grid[#Data],$DE1118,91),0)</f>
        <v/>
      </c>
      <c r="CQ1118">
        <f>IFERROR(INDEX(PP_Grid[#Data],$DE1118,92),0)</f>
        <v/>
      </c>
      <c r="CR1118">
        <f>IFERROR(INDEX(PP_Grid[#Data],$DE1118,93),0)</f>
        <v/>
      </c>
      <c r="CS1118">
        <f>IFERROR(INDEX(PP_Grid[#Data],$DE1118,94),0)</f>
        <v/>
      </c>
      <c r="CT1118">
        <f>IFERROR(INDEX(PP_Grid[#Data],$DE1118,95),0)</f>
        <v/>
      </c>
      <c r="CU1118">
        <f>IFERROR(INDEX(PP_Grid[#Data],$DE1118,96),0)</f>
        <v/>
      </c>
      <c r="CV1118">
        <f>IFERROR(INDEX(PP_Grid[#Data],$DE1118,97),0)</f>
        <v/>
      </c>
      <c r="CW1118">
        <f>IFERROR(INDEX(PP_Grid[#Data],$DE1118,98),0)</f>
        <v/>
      </c>
      <c r="CX1118">
        <f>IFERROR(INDEX(PP_Grid[#Data],$DE1118,99),0)</f>
        <v/>
      </c>
      <c r="CY1118">
        <f>IFERROR(INDEX(PP_Grid[#Data],$DE1118,100),0)</f>
        <v/>
      </c>
      <c r="CZ1118">
        <f>IFERROR(INDEX(PP_Grid[#Data],$DE1118,101),0)</f>
        <v/>
      </c>
      <c r="DA1118">
        <f>IFERROR(INDEX(PP_Grid[#Data],$DE1118,102),0)</f>
        <v/>
      </c>
      <c r="DB1118">
        <f>IFERROR(INDEX(PP_Grid[#Data],$DE1118,103),0)</f>
        <v/>
      </c>
      <c r="DC1118">
        <f>IFERROR(INDEX(PP_Grid[#Data],$DE1118,104),0)</f>
        <v/>
      </c>
      <c r="DD1118">
        <f>IFERROR(INDEX(PP_Grid[#Data],$DE1118,105),0)</f>
        <v/>
      </c>
      <c r="DE1118" s="7">
        <f>IFERROR(MATCH($B1118,PP_Grid[Intermediate],0),99999)</f>
        <v/>
      </c>
    </row>
    <row r="1119">
      <c r="B1119" t="inlineStr">
        <is>
          <t>使用量(kg)</t>
        </is>
      </c>
      <c r="C1119">
        <f>SUMIFS(M_BOM[RM_Qty_Per_Batch],M_BOM[Intermediate],$B1118,M_BOM[RM_Code],$A1101)</f>
        <v/>
      </c>
      <c r="D1119">
        <f>IFERROR(INDEX(E1119:DD1119,$F$1),"")</f>
        <v/>
      </c>
      <c r="E1119">
        <f>$C1119*E1118</f>
        <v/>
      </c>
      <c r="F1119">
        <f>$C1119*F1118</f>
        <v/>
      </c>
      <c r="G1119">
        <f>$C1119*G1118</f>
        <v/>
      </c>
      <c r="H1119">
        <f>$C1119*H1118</f>
        <v/>
      </c>
      <c r="I1119">
        <f>$C1119*I1118</f>
        <v/>
      </c>
      <c r="J1119">
        <f>$C1119*J1118</f>
        <v/>
      </c>
      <c r="K1119">
        <f>$C1119*K1118</f>
        <v/>
      </c>
      <c r="L1119">
        <f>$C1119*L1118</f>
        <v/>
      </c>
      <c r="M1119">
        <f>$C1119*M1118</f>
        <v/>
      </c>
      <c r="N1119">
        <f>$C1119*N1118</f>
        <v/>
      </c>
      <c r="O1119">
        <f>$C1119*O1118</f>
        <v/>
      </c>
      <c r="P1119">
        <f>$C1119*P1118</f>
        <v/>
      </c>
      <c r="Q1119">
        <f>$C1119*Q1118</f>
        <v/>
      </c>
      <c r="R1119">
        <f>$C1119*R1118</f>
        <v/>
      </c>
      <c r="S1119">
        <f>$C1119*S1118</f>
        <v/>
      </c>
      <c r="T1119">
        <f>$C1119*T1118</f>
        <v/>
      </c>
      <c r="U1119">
        <f>$C1119*U1118</f>
        <v/>
      </c>
      <c r="V1119">
        <f>$C1119*V1118</f>
        <v/>
      </c>
      <c r="W1119">
        <f>$C1119*W1118</f>
        <v/>
      </c>
      <c r="X1119">
        <f>$C1119*X1118</f>
        <v/>
      </c>
      <c r="Y1119">
        <f>$C1119*Y1118</f>
        <v/>
      </c>
      <c r="Z1119">
        <f>$C1119*Z1118</f>
        <v/>
      </c>
      <c r="AA1119">
        <f>$C1119*AA1118</f>
        <v/>
      </c>
      <c r="AB1119">
        <f>$C1119*AB1118</f>
        <v/>
      </c>
      <c r="AC1119">
        <f>$C1119*AC1118</f>
        <v/>
      </c>
      <c r="AD1119">
        <f>$C1119*AD1118</f>
        <v/>
      </c>
      <c r="AE1119">
        <f>$C1119*AE1118</f>
        <v/>
      </c>
      <c r="AF1119">
        <f>$C1119*AF1118</f>
        <v/>
      </c>
      <c r="AG1119">
        <f>$C1119*AG1118</f>
        <v/>
      </c>
      <c r="AH1119">
        <f>$C1119*AH1118</f>
        <v/>
      </c>
      <c r="AI1119">
        <f>$C1119*AI1118</f>
        <v/>
      </c>
      <c r="AJ1119">
        <f>$C1119*AJ1118</f>
        <v/>
      </c>
      <c r="AK1119">
        <f>$C1119*AK1118</f>
        <v/>
      </c>
      <c r="AL1119">
        <f>$C1119*AL1118</f>
        <v/>
      </c>
      <c r="AM1119">
        <f>$C1119*AM1118</f>
        <v/>
      </c>
      <c r="AN1119">
        <f>$C1119*AN1118</f>
        <v/>
      </c>
      <c r="AO1119">
        <f>$C1119*AO1118</f>
        <v/>
      </c>
      <c r="AP1119">
        <f>$C1119*AP1118</f>
        <v/>
      </c>
      <c r="AQ1119">
        <f>$C1119*AQ1118</f>
        <v/>
      </c>
      <c r="AR1119">
        <f>$C1119*AR1118</f>
        <v/>
      </c>
      <c r="AS1119">
        <f>$C1119*AS1118</f>
        <v/>
      </c>
      <c r="AT1119">
        <f>$C1119*AT1118</f>
        <v/>
      </c>
      <c r="AU1119">
        <f>$C1119*AU1118</f>
        <v/>
      </c>
      <c r="AV1119">
        <f>$C1119*AV1118</f>
        <v/>
      </c>
      <c r="AW1119">
        <f>$C1119*AW1118</f>
        <v/>
      </c>
      <c r="AX1119">
        <f>$C1119*AX1118</f>
        <v/>
      </c>
      <c r="AY1119">
        <f>$C1119*AY1118</f>
        <v/>
      </c>
      <c r="AZ1119">
        <f>$C1119*AZ1118</f>
        <v/>
      </c>
      <c r="BA1119">
        <f>$C1119*BA1118</f>
        <v/>
      </c>
      <c r="BB1119">
        <f>$C1119*BB1118</f>
        <v/>
      </c>
      <c r="BC1119">
        <f>$C1119*BC1118</f>
        <v/>
      </c>
      <c r="BD1119">
        <f>$C1119*BD1118</f>
        <v/>
      </c>
      <c r="BE1119">
        <f>$C1119*BE1118</f>
        <v/>
      </c>
      <c r="BF1119">
        <f>$C1119*BF1118</f>
        <v/>
      </c>
      <c r="BG1119">
        <f>$C1119*BG1118</f>
        <v/>
      </c>
      <c r="BH1119">
        <f>$C1119*BH1118</f>
        <v/>
      </c>
      <c r="BI1119">
        <f>$C1119*BI1118</f>
        <v/>
      </c>
      <c r="BJ1119">
        <f>$C1119*BJ1118</f>
        <v/>
      </c>
      <c r="BK1119">
        <f>$C1119*BK1118</f>
        <v/>
      </c>
      <c r="BL1119">
        <f>$C1119*BL1118</f>
        <v/>
      </c>
      <c r="BM1119">
        <f>$C1119*BM1118</f>
        <v/>
      </c>
      <c r="BN1119">
        <f>$C1119*BN1118</f>
        <v/>
      </c>
      <c r="BO1119">
        <f>$C1119*BO1118</f>
        <v/>
      </c>
      <c r="BP1119">
        <f>$C1119*BP1118</f>
        <v/>
      </c>
      <c r="BQ1119">
        <f>$C1119*BQ1118</f>
        <v/>
      </c>
      <c r="BR1119">
        <f>$C1119*BR1118</f>
        <v/>
      </c>
      <c r="BS1119">
        <f>$C1119*BS1118</f>
        <v/>
      </c>
      <c r="BT1119">
        <f>$C1119*BT1118</f>
        <v/>
      </c>
      <c r="BU1119">
        <f>$C1119*BU1118</f>
        <v/>
      </c>
      <c r="BV1119">
        <f>$C1119*BV1118</f>
        <v/>
      </c>
      <c r="BW1119">
        <f>$C1119*BW1118</f>
        <v/>
      </c>
      <c r="BX1119">
        <f>$C1119*BX1118</f>
        <v/>
      </c>
      <c r="BY1119">
        <f>$C1119*BY1118</f>
        <v/>
      </c>
      <c r="BZ1119">
        <f>$C1119*BZ1118</f>
        <v/>
      </c>
      <c r="CA1119">
        <f>$C1119*CA1118</f>
        <v/>
      </c>
      <c r="CB1119">
        <f>$C1119*CB1118</f>
        <v/>
      </c>
      <c r="CC1119">
        <f>$C1119*CC1118</f>
        <v/>
      </c>
      <c r="CD1119">
        <f>$C1119*CD1118</f>
        <v/>
      </c>
      <c r="CE1119">
        <f>$C1119*CE1118</f>
        <v/>
      </c>
      <c r="CF1119">
        <f>$C1119*CF1118</f>
        <v/>
      </c>
      <c r="CG1119">
        <f>$C1119*CG1118</f>
        <v/>
      </c>
      <c r="CH1119">
        <f>$C1119*CH1118</f>
        <v/>
      </c>
      <c r="CI1119">
        <f>$C1119*CI1118</f>
        <v/>
      </c>
      <c r="CJ1119">
        <f>$C1119*CJ1118</f>
        <v/>
      </c>
      <c r="CK1119">
        <f>$C1119*CK1118</f>
        <v/>
      </c>
      <c r="CL1119">
        <f>$C1119*CL1118</f>
        <v/>
      </c>
      <c r="CM1119">
        <f>$C1119*CM1118</f>
        <v/>
      </c>
      <c r="CN1119">
        <f>$C1119*CN1118</f>
        <v/>
      </c>
      <c r="CO1119">
        <f>$C1119*CO1118</f>
        <v/>
      </c>
      <c r="CP1119">
        <f>$C1119*CP1118</f>
        <v/>
      </c>
      <c r="CQ1119">
        <f>$C1119*CQ1118</f>
        <v/>
      </c>
      <c r="CR1119">
        <f>$C1119*CR1118</f>
        <v/>
      </c>
      <c r="CS1119">
        <f>$C1119*CS1118</f>
        <v/>
      </c>
      <c r="CT1119">
        <f>$C1119*CT1118</f>
        <v/>
      </c>
      <c r="CU1119">
        <f>$C1119*CU1118</f>
        <v/>
      </c>
      <c r="CV1119">
        <f>$C1119*CV1118</f>
        <v/>
      </c>
      <c r="CW1119">
        <f>$C1119*CW1118</f>
        <v/>
      </c>
      <c r="CX1119">
        <f>$C1119*CX1118</f>
        <v/>
      </c>
      <c r="CY1119">
        <f>$C1119*CY1118</f>
        <v/>
      </c>
      <c r="CZ1119">
        <f>$C1119*CZ1118</f>
        <v/>
      </c>
      <c r="DA1119">
        <f>$C1119*DA1118</f>
        <v/>
      </c>
      <c r="DB1119">
        <f>$C1119*DB1118</f>
        <v/>
      </c>
      <c r="DC1119">
        <f>$C1119*DC1118</f>
        <v/>
      </c>
      <c r="DD1119">
        <f>$C1119*DD1118</f>
        <v/>
      </c>
    </row>
    <row r="1120">
      <c r="B1120" t="inlineStr">
        <is>
          <t>VSP-605</t>
        </is>
      </c>
      <c r="C1120" t="inlineStr">
        <is>
          <t>No. of batches</t>
        </is>
      </c>
      <c r="D1120">
        <f>IFERROR(INDEX(E1120:DD1120,$F$1),"")</f>
        <v/>
      </c>
      <c r="E1120">
        <f>IFERROR(INDEX(PP_Grid[#Data],$DE1120,2),0)</f>
        <v/>
      </c>
      <c r="F1120">
        <f>IFERROR(INDEX(PP_Grid[#Data],$DE1120,3),0)</f>
        <v/>
      </c>
      <c r="G1120">
        <f>IFERROR(INDEX(PP_Grid[#Data],$DE1120,4),0)</f>
        <v/>
      </c>
      <c r="H1120">
        <f>IFERROR(INDEX(PP_Grid[#Data],$DE1120,5),0)</f>
        <v/>
      </c>
      <c r="I1120">
        <f>IFERROR(INDEX(PP_Grid[#Data],$DE1120,6),0)</f>
        <v/>
      </c>
      <c r="J1120">
        <f>IFERROR(INDEX(PP_Grid[#Data],$DE1120,7),0)</f>
        <v/>
      </c>
      <c r="K1120">
        <f>IFERROR(INDEX(PP_Grid[#Data],$DE1120,8),0)</f>
        <v/>
      </c>
      <c r="L1120">
        <f>IFERROR(INDEX(PP_Grid[#Data],$DE1120,9),0)</f>
        <v/>
      </c>
      <c r="M1120">
        <f>IFERROR(INDEX(PP_Grid[#Data],$DE1120,10),0)</f>
        <v/>
      </c>
      <c r="N1120">
        <f>IFERROR(INDEX(PP_Grid[#Data],$DE1120,11),0)</f>
        <v/>
      </c>
      <c r="O1120">
        <f>IFERROR(INDEX(PP_Grid[#Data],$DE1120,12),0)</f>
        <v/>
      </c>
      <c r="P1120">
        <f>IFERROR(INDEX(PP_Grid[#Data],$DE1120,13),0)</f>
        <v/>
      </c>
      <c r="Q1120">
        <f>IFERROR(INDEX(PP_Grid[#Data],$DE1120,14),0)</f>
        <v/>
      </c>
      <c r="R1120">
        <f>IFERROR(INDEX(PP_Grid[#Data],$DE1120,15),0)</f>
        <v/>
      </c>
      <c r="S1120">
        <f>IFERROR(INDEX(PP_Grid[#Data],$DE1120,16),0)</f>
        <v/>
      </c>
      <c r="T1120">
        <f>IFERROR(INDEX(PP_Grid[#Data],$DE1120,17),0)</f>
        <v/>
      </c>
      <c r="U1120">
        <f>IFERROR(INDEX(PP_Grid[#Data],$DE1120,18),0)</f>
        <v/>
      </c>
      <c r="V1120">
        <f>IFERROR(INDEX(PP_Grid[#Data],$DE1120,19),0)</f>
        <v/>
      </c>
      <c r="W1120">
        <f>IFERROR(INDEX(PP_Grid[#Data],$DE1120,20),0)</f>
        <v/>
      </c>
      <c r="X1120">
        <f>IFERROR(INDEX(PP_Grid[#Data],$DE1120,21),0)</f>
        <v/>
      </c>
      <c r="Y1120">
        <f>IFERROR(INDEX(PP_Grid[#Data],$DE1120,22),0)</f>
        <v/>
      </c>
      <c r="Z1120">
        <f>IFERROR(INDEX(PP_Grid[#Data],$DE1120,23),0)</f>
        <v/>
      </c>
      <c r="AA1120">
        <f>IFERROR(INDEX(PP_Grid[#Data],$DE1120,24),0)</f>
        <v/>
      </c>
      <c r="AB1120">
        <f>IFERROR(INDEX(PP_Grid[#Data],$DE1120,25),0)</f>
        <v/>
      </c>
      <c r="AC1120">
        <f>IFERROR(INDEX(PP_Grid[#Data],$DE1120,26),0)</f>
        <v/>
      </c>
      <c r="AD1120">
        <f>IFERROR(INDEX(PP_Grid[#Data],$DE1120,27),0)</f>
        <v/>
      </c>
      <c r="AE1120">
        <f>IFERROR(INDEX(PP_Grid[#Data],$DE1120,28),0)</f>
        <v/>
      </c>
      <c r="AF1120">
        <f>IFERROR(INDEX(PP_Grid[#Data],$DE1120,29),0)</f>
        <v/>
      </c>
      <c r="AG1120">
        <f>IFERROR(INDEX(PP_Grid[#Data],$DE1120,30),0)</f>
        <v/>
      </c>
      <c r="AH1120">
        <f>IFERROR(INDEX(PP_Grid[#Data],$DE1120,31),0)</f>
        <v/>
      </c>
      <c r="AI1120">
        <f>IFERROR(INDEX(PP_Grid[#Data],$DE1120,32),0)</f>
        <v/>
      </c>
      <c r="AJ1120">
        <f>IFERROR(INDEX(PP_Grid[#Data],$DE1120,33),0)</f>
        <v/>
      </c>
      <c r="AK1120">
        <f>IFERROR(INDEX(PP_Grid[#Data],$DE1120,34),0)</f>
        <v/>
      </c>
      <c r="AL1120">
        <f>IFERROR(INDEX(PP_Grid[#Data],$DE1120,35),0)</f>
        <v/>
      </c>
      <c r="AM1120">
        <f>IFERROR(INDEX(PP_Grid[#Data],$DE1120,36),0)</f>
        <v/>
      </c>
      <c r="AN1120">
        <f>IFERROR(INDEX(PP_Grid[#Data],$DE1120,37),0)</f>
        <v/>
      </c>
      <c r="AO1120">
        <f>IFERROR(INDEX(PP_Grid[#Data],$DE1120,38),0)</f>
        <v/>
      </c>
      <c r="AP1120">
        <f>IFERROR(INDEX(PP_Grid[#Data],$DE1120,39),0)</f>
        <v/>
      </c>
      <c r="AQ1120">
        <f>IFERROR(INDEX(PP_Grid[#Data],$DE1120,40),0)</f>
        <v/>
      </c>
      <c r="AR1120">
        <f>IFERROR(INDEX(PP_Grid[#Data],$DE1120,41),0)</f>
        <v/>
      </c>
      <c r="AS1120">
        <f>IFERROR(INDEX(PP_Grid[#Data],$DE1120,42),0)</f>
        <v/>
      </c>
      <c r="AT1120">
        <f>IFERROR(INDEX(PP_Grid[#Data],$DE1120,43),0)</f>
        <v/>
      </c>
      <c r="AU1120">
        <f>IFERROR(INDEX(PP_Grid[#Data],$DE1120,44),0)</f>
        <v/>
      </c>
      <c r="AV1120">
        <f>IFERROR(INDEX(PP_Grid[#Data],$DE1120,45),0)</f>
        <v/>
      </c>
      <c r="AW1120">
        <f>IFERROR(INDEX(PP_Grid[#Data],$DE1120,46),0)</f>
        <v/>
      </c>
      <c r="AX1120">
        <f>IFERROR(INDEX(PP_Grid[#Data],$DE1120,47),0)</f>
        <v/>
      </c>
      <c r="AY1120">
        <f>IFERROR(INDEX(PP_Grid[#Data],$DE1120,48),0)</f>
        <v/>
      </c>
      <c r="AZ1120">
        <f>IFERROR(INDEX(PP_Grid[#Data],$DE1120,49),0)</f>
        <v/>
      </c>
      <c r="BA1120">
        <f>IFERROR(INDEX(PP_Grid[#Data],$DE1120,50),0)</f>
        <v/>
      </c>
      <c r="BB1120">
        <f>IFERROR(INDEX(PP_Grid[#Data],$DE1120,51),0)</f>
        <v/>
      </c>
      <c r="BC1120">
        <f>IFERROR(INDEX(PP_Grid[#Data],$DE1120,52),0)</f>
        <v/>
      </c>
      <c r="BD1120">
        <f>IFERROR(INDEX(PP_Grid[#Data],$DE1120,53),0)</f>
        <v/>
      </c>
      <c r="BE1120">
        <f>IFERROR(INDEX(PP_Grid[#Data],$DE1120,54),0)</f>
        <v/>
      </c>
      <c r="BF1120">
        <f>IFERROR(INDEX(PP_Grid[#Data],$DE1120,55),0)</f>
        <v/>
      </c>
      <c r="BG1120">
        <f>IFERROR(INDEX(PP_Grid[#Data],$DE1120,56),0)</f>
        <v/>
      </c>
      <c r="BH1120">
        <f>IFERROR(INDEX(PP_Grid[#Data],$DE1120,57),0)</f>
        <v/>
      </c>
      <c r="BI1120">
        <f>IFERROR(INDEX(PP_Grid[#Data],$DE1120,58),0)</f>
        <v/>
      </c>
      <c r="BJ1120">
        <f>IFERROR(INDEX(PP_Grid[#Data],$DE1120,59),0)</f>
        <v/>
      </c>
      <c r="BK1120">
        <f>IFERROR(INDEX(PP_Grid[#Data],$DE1120,60),0)</f>
        <v/>
      </c>
      <c r="BL1120">
        <f>IFERROR(INDEX(PP_Grid[#Data],$DE1120,61),0)</f>
        <v/>
      </c>
      <c r="BM1120">
        <f>IFERROR(INDEX(PP_Grid[#Data],$DE1120,62),0)</f>
        <v/>
      </c>
      <c r="BN1120">
        <f>IFERROR(INDEX(PP_Grid[#Data],$DE1120,63),0)</f>
        <v/>
      </c>
      <c r="BO1120">
        <f>IFERROR(INDEX(PP_Grid[#Data],$DE1120,64),0)</f>
        <v/>
      </c>
      <c r="BP1120">
        <f>IFERROR(INDEX(PP_Grid[#Data],$DE1120,65),0)</f>
        <v/>
      </c>
      <c r="BQ1120">
        <f>IFERROR(INDEX(PP_Grid[#Data],$DE1120,66),0)</f>
        <v/>
      </c>
      <c r="BR1120">
        <f>IFERROR(INDEX(PP_Grid[#Data],$DE1120,67),0)</f>
        <v/>
      </c>
      <c r="BS1120">
        <f>IFERROR(INDEX(PP_Grid[#Data],$DE1120,68),0)</f>
        <v/>
      </c>
      <c r="BT1120">
        <f>IFERROR(INDEX(PP_Grid[#Data],$DE1120,69),0)</f>
        <v/>
      </c>
      <c r="BU1120">
        <f>IFERROR(INDEX(PP_Grid[#Data],$DE1120,70),0)</f>
        <v/>
      </c>
      <c r="BV1120">
        <f>IFERROR(INDEX(PP_Grid[#Data],$DE1120,71),0)</f>
        <v/>
      </c>
      <c r="BW1120">
        <f>IFERROR(INDEX(PP_Grid[#Data],$DE1120,72),0)</f>
        <v/>
      </c>
      <c r="BX1120">
        <f>IFERROR(INDEX(PP_Grid[#Data],$DE1120,73),0)</f>
        <v/>
      </c>
      <c r="BY1120">
        <f>IFERROR(INDEX(PP_Grid[#Data],$DE1120,74),0)</f>
        <v/>
      </c>
      <c r="BZ1120">
        <f>IFERROR(INDEX(PP_Grid[#Data],$DE1120,75),0)</f>
        <v/>
      </c>
      <c r="CA1120">
        <f>IFERROR(INDEX(PP_Grid[#Data],$DE1120,76),0)</f>
        <v/>
      </c>
      <c r="CB1120">
        <f>IFERROR(INDEX(PP_Grid[#Data],$DE1120,77),0)</f>
        <v/>
      </c>
      <c r="CC1120">
        <f>IFERROR(INDEX(PP_Grid[#Data],$DE1120,78),0)</f>
        <v/>
      </c>
      <c r="CD1120">
        <f>IFERROR(INDEX(PP_Grid[#Data],$DE1120,79),0)</f>
        <v/>
      </c>
      <c r="CE1120">
        <f>IFERROR(INDEX(PP_Grid[#Data],$DE1120,80),0)</f>
        <v/>
      </c>
      <c r="CF1120">
        <f>IFERROR(INDEX(PP_Grid[#Data],$DE1120,81),0)</f>
        <v/>
      </c>
      <c r="CG1120">
        <f>IFERROR(INDEX(PP_Grid[#Data],$DE1120,82),0)</f>
        <v/>
      </c>
      <c r="CH1120">
        <f>IFERROR(INDEX(PP_Grid[#Data],$DE1120,83),0)</f>
        <v/>
      </c>
      <c r="CI1120">
        <f>IFERROR(INDEX(PP_Grid[#Data],$DE1120,84),0)</f>
        <v/>
      </c>
      <c r="CJ1120">
        <f>IFERROR(INDEX(PP_Grid[#Data],$DE1120,85),0)</f>
        <v/>
      </c>
      <c r="CK1120">
        <f>IFERROR(INDEX(PP_Grid[#Data],$DE1120,86),0)</f>
        <v/>
      </c>
      <c r="CL1120">
        <f>IFERROR(INDEX(PP_Grid[#Data],$DE1120,87),0)</f>
        <v/>
      </c>
      <c r="CM1120">
        <f>IFERROR(INDEX(PP_Grid[#Data],$DE1120,88),0)</f>
        <v/>
      </c>
      <c r="CN1120">
        <f>IFERROR(INDEX(PP_Grid[#Data],$DE1120,89),0)</f>
        <v/>
      </c>
      <c r="CO1120">
        <f>IFERROR(INDEX(PP_Grid[#Data],$DE1120,90),0)</f>
        <v/>
      </c>
      <c r="CP1120">
        <f>IFERROR(INDEX(PP_Grid[#Data],$DE1120,91),0)</f>
        <v/>
      </c>
      <c r="CQ1120">
        <f>IFERROR(INDEX(PP_Grid[#Data],$DE1120,92),0)</f>
        <v/>
      </c>
      <c r="CR1120">
        <f>IFERROR(INDEX(PP_Grid[#Data],$DE1120,93),0)</f>
        <v/>
      </c>
      <c r="CS1120">
        <f>IFERROR(INDEX(PP_Grid[#Data],$DE1120,94),0)</f>
        <v/>
      </c>
      <c r="CT1120">
        <f>IFERROR(INDEX(PP_Grid[#Data],$DE1120,95),0)</f>
        <v/>
      </c>
      <c r="CU1120">
        <f>IFERROR(INDEX(PP_Grid[#Data],$DE1120,96),0)</f>
        <v/>
      </c>
      <c r="CV1120">
        <f>IFERROR(INDEX(PP_Grid[#Data],$DE1120,97),0)</f>
        <v/>
      </c>
      <c r="CW1120">
        <f>IFERROR(INDEX(PP_Grid[#Data],$DE1120,98),0)</f>
        <v/>
      </c>
      <c r="CX1120">
        <f>IFERROR(INDEX(PP_Grid[#Data],$DE1120,99),0)</f>
        <v/>
      </c>
      <c r="CY1120">
        <f>IFERROR(INDEX(PP_Grid[#Data],$DE1120,100),0)</f>
        <v/>
      </c>
      <c r="CZ1120">
        <f>IFERROR(INDEX(PP_Grid[#Data],$DE1120,101),0)</f>
        <v/>
      </c>
      <c r="DA1120">
        <f>IFERROR(INDEX(PP_Grid[#Data],$DE1120,102),0)</f>
        <v/>
      </c>
      <c r="DB1120">
        <f>IFERROR(INDEX(PP_Grid[#Data],$DE1120,103),0)</f>
        <v/>
      </c>
      <c r="DC1120">
        <f>IFERROR(INDEX(PP_Grid[#Data],$DE1120,104),0)</f>
        <v/>
      </c>
      <c r="DD1120">
        <f>IFERROR(INDEX(PP_Grid[#Data],$DE1120,105),0)</f>
        <v/>
      </c>
      <c r="DE1120" s="7">
        <f>IFERROR(MATCH($B1120,PP_Grid[Intermediate],0),99999)</f>
        <v/>
      </c>
    </row>
    <row r="1121">
      <c r="B1121" t="inlineStr">
        <is>
          <t>使用量(kg)</t>
        </is>
      </c>
      <c r="C1121">
        <f>SUMIFS(M_BOM[RM_Qty_Per_Batch],M_BOM[Intermediate],$B1120,M_BOM[RM_Code],$A1101)</f>
        <v/>
      </c>
      <c r="D1121">
        <f>IFERROR(INDEX(E1121:DD1121,$F$1),"")</f>
        <v/>
      </c>
      <c r="E1121">
        <f>$C1121*E1120</f>
        <v/>
      </c>
      <c r="F1121">
        <f>$C1121*F1120</f>
        <v/>
      </c>
      <c r="G1121">
        <f>$C1121*G1120</f>
        <v/>
      </c>
      <c r="H1121">
        <f>$C1121*H1120</f>
        <v/>
      </c>
      <c r="I1121">
        <f>$C1121*I1120</f>
        <v/>
      </c>
      <c r="J1121">
        <f>$C1121*J1120</f>
        <v/>
      </c>
      <c r="K1121">
        <f>$C1121*K1120</f>
        <v/>
      </c>
      <c r="L1121">
        <f>$C1121*L1120</f>
        <v/>
      </c>
      <c r="M1121">
        <f>$C1121*M1120</f>
        <v/>
      </c>
      <c r="N1121">
        <f>$C1121*N1120</f>
        <v/>
      </c>
      <c r="O1121">
        <f>$C1121*O1120</f>
        <v/>
      </c>
      <c r="P1121">
        <f>$C1121*P1120</f>
        <v/>
      </c>
      <c r="Q1121">
        <f>$C1121*Q1120</f>
        <v/>
      </c>
      <c r="R1121">
        <f>$C1121*R1120</f>
        <v/>
      </c>
      <c r="S1121">
        <f>$C1121*S1120</f>
        <v/>
      </c>
      <c r="T1121">
        <f>$C1121*T1120</f>
        <v/>
      </c>
      <c r="U1121">
        <f>$C1121*U1120</f>
        <v/>
      </c>
      <c r="V1121">
        <f>$C1121*V1120</f>
        <v/>
      </c>
      <c r="W1121">
        <f>$C1121*W1120</f>
        <v/>
      </c>
      <c r="X1121">
        <f>$C1121*X1120</f>
        <v/>
      </c>
      <c r="Y1121">
        <f>$C1121*Y1120</f>
        <v/>
      </c>
      <c r="Z1121">
        <f>$C1121*Z1120</f>
        <v/>
      </c>
      <c r="AA1121">
        <f>$C1121*AA1120</f>
        <v/>
      </c>
      <c r="AB1121">
        <f>$C1121*AB1120</f>
        <v/>
      </c>
      <c r="AC1121">
        <f>$C1121*AC1120</f>
        <v/>
      </c>
      <c r="AD1121">
        <f>$C1121*AD1120</f>
        <v/>
      </c>
      <c r="AE1121">
        <f>$C1121*AE1120</f>
        <v/>
      </c>
      <c r="AF1121">
        <f>$C1121*AF1120</f>
        <v/>
      </c>
      <c r="AG1121">
        <f>$C1121*AG1120</f>
        <v/>
      </c>
      <c r="AH1121">
        <f>$C1121*AH1120</f>
        <v/>
      </c>
      <c r="AI1121">
        <f>$C1121*AI1120</f>
        <v/>
      </c>
      <c r="AJ1121">
        <f>$C1121*AJ1120</f>
        <v/>
      </c>
      <c r="AK1121">
        <f>$C1121*AK1120</f>
        <v/>
      </c>
      <c r="AL1121">
        <f>$C1121*AL1120</f>
        <v/>
      </c>
      <c r="AM1121">
        <f>$C1121*AM1120</f>
        <v/>
      </c>
      <c r="AN1121">
        <f>$C1121*AN1120</f>
        <v/>
      </c>
      <c r="AO1121">
        <f>$C1121*AO1120</f>
        <v/>
      </c>
      <c r="AP1121">
        <f>$C1121*AP1120</f>
        <v/>
      </c>
      <c r="AQ1121">
        <f>$C1121*AQ1120</f>
        <v/>
      </c>
      <c r="AR1121">
        <f>$C1121*AR1120</f>
        <v/>
      </c>
      <c r="AS1121">
        <f>$C1121*AS1120</f>
        <v/>
      </c>
      <c r="AT1121">
        <f>$C1121*AT1120</f>
        <v/>
      </c>
      <c r="AU1121">
        <f>$C1121*AU1120</f>
        <v/>
      </c>
      <c r="AV1121">
        <f>$C1121*AV1120</f>
        <v/>
      </c>
      <c r="AW1121">
        <f>$C1121*AW1120</f>
        <v/>
      </c>
      <c r="AX1121">
        <f>$C1121*AX1120</f>
        <v/>
      </c>
      <c r="AY1121">
        <f>$C1121*AY1120</f>
        <v/>
      </c>
      <c r="AZ1121">
        <f>$C1121*AZ1120</f>
        <v/>
      </c>
      <c r="BA1121">
        <f>$C1121*BA1120</f>
        <v/>
      </c>
      <c r="BB1121">
        <f>$C1121*BB1120</f>
        <v/>
      </c>
      <c r="BC1121">
        <f>$C1121*BC1120</f>
        <v/>
      </c>
      <c r="BD1121">
        <f>$C1121*BD1120</f>
        <v/>
      </c>
      <c r="BE1121">
        <f>$C1121*BE1120</f>
        <v/>
      </c>
      <c r="BF1121">
        <f>$C1121*BF1120</f>
        <v/>
      </c>
      <c r="BG1121">
        <f>$C1121*BG1120</f>
        <v/>
      </c>
      <c r="BH1121">
        <f>$C1121*BH1120</f>
        <v/>
      </c>
      <c r="BI1121">
        <f>$C1121*BI1120</f>
        <v/>
      </c>
      <c r="BJ1121">
        <f>$C1121*BJ1120</f>
        <v/>
      </c>
      <c r="BK1121">
        <f>$C1121*BK1120</f>
        <v/>
      </c>
      <c r="BL1121">
        <f>$C1121*BL1120</f>
        <v/>
      </c>
      <c r="BM1121">
        <f>$C1121*BM1120</f>
        <v/>
      </c>
      <c r="BN1121">
        <f>$C1121*BN1120</f>
        <v/>
      </c>
      <c r="BO1121">
        <f>$C1121*BO1120</f>
        <v/>
      </c>
      <c r="BP1121">
        <f>$C1121*BP1120</f>
        <v/>
      </c>
      <c r="BQ1121">
        <f>$C1121*BQ1120</f>
        <v/>
      </c>
      <c r="BR1121">
        <f>$C1121*BR1120</f>
        <v/>
      </c>
      <c r="BS1121">
        <f>$C1121*BS1120</f>
        <v/>
      </c>
      <c r="BT1121">
        <f>$C1121*BT1120</f>
        <v/>
      </c>
      <c r="BU1121">
        <f>$C1121*BU1120</f>
        <v/>
      </c>
      <c r="BV1121">
        <f>$C1121*BV1120</f>
        <v/>
      </c>
      <c r="BW1121">
        <f>$C1121*BW1120</f>
        <v/>
      </c>
      <c r="BX1121">
        <f>$C1121*BX1120</f>
        <v/>
      </c>
      <c r="BY1121">
        <f>$C1121*BY1120</f>
        <v/>
      </c>
      <c r="BZ1121">
        <f>$C1121*BZ1120</f>
        <v/>
      </c>
      <c r="CA1121">
        <f>$C1121*CA1120</f>
        <v/>
      </c>
      <c r="CB1121">
        <f>$C1121*CB1120</f>
        <v/>
      </c>
      <c r="CC1121">
        <f>$C1121*CC1120</f>
        <v/>
      </c>
      <c r="CD1121">
        <f>$C1121*CD1120</f>
        <v/>
      </c>
      <c r="CE1121">
        <f>$C1121*CE1120</f>
        <v/>
      </c>
      <c r="CF1121">
        <f>$C1121*CF1120</f>
        <v/>
      </c>
      <c r="CG1121">
        <f>$C1121*CG1120</f>
        <v/>
      </c>
      <c r="CH1121">
        <f>$C1121*CH1120</f>
        <v/>
      </c>
      <c r="CI1121">
        <f>$C1121*CI1120</f>
        <v/>
      </c>
      <c r="CJ1121">
        <f>$C1121*CJ1120</f>
        <v/>
      </c>
      <c r="CK1121">
        <f>$C1121*CK1120</f>
        <v/>
      </c>
      <c r="CL1121">
        <f>$C1121*CL1120</f>
        <v/>
      </c>
      <c r="CM1121">
        <f>$C1121*CM1120</f>
        <v/>
      </c>
      <c r="CN1121">
        <f>$C1121*CN1120</f>
        <v/>
      </c>
      <c r="CO1121">
        <f>$C1121*CO1120</f>
        <v/>
      </c>
      <c r="CP1121">
        <f>$C1121*CP1120</f>
        <v/>
      </c>
      <c r="CQ1121">
        <f>$C1121*CQ1120</f>
        <v/>
      </c>
      <c r="CR1121">
        <f>$C1121*CR1120</f>
        <v/>
      </c>
      <c r="CS1121">
        <f>$C1121*CS1120</f>
        <v/>
      </c>
      <c r="CT1121">
        <f>$C1121*CT1120</f>
        <v/>
      </c>
      <c r="CU1121">
        <f>$C1121*CU1120</f>
        <v/>
      </c>
      <c r="CV1121">
        <f>$C1121*CV1120</f>
        <v/>
      </c>
      <c r="CW1121">
        <f>$C1121*CW1120</f>
        <v/>
      </c>
      <c r="CX1121">
        <f>$C1121*CX1120</f>
        <v/>
      </c>
      <c r="CY1121">
        <f>$C1121*CY1120</f>
        <v/>
      </c>
      <c r="CZ1121">
        <f>$C1121*CZ1120</f>
        <v/>
      </c>
      <c r="DA1121">
        <f>$C1121*DA1120</f>
        <v/>
      </c>
      <c r="DB1121">
        <f>$C1121*DB1120</f>
        <v/>
      </c>
      <c r="DC1121">
        <f>$C1121*DC1120</f>
        <v/>
      </c>
      <c r="DD1121">
        <f>$C1121*DD1120</f>
        <v/>
      </c>
    </row>
    <row r="1122">
      <c r="B1122" t="inlineStr">
        <is>
          <t>VSP-607</t>
        </is>
      </c>
      <c r="C1122" t="inlineStr">
        <is>
          <t>No. of batches</t>
        </is>
      </c>
      <c r="D1122">
        <f>IFERROR(INDEX(E1122:DD1122,$F$1),"")</f>
        <v/>
      </c>
      <c r="E1122">
        <f>IFERROR(INDEX(PP_Grid[#Data],$DE1122,2),0)</f>
        <v/>
      </c>
      <c r="F1122">
        <f>IFERROR(INDEX(PP_Grid[#Data],$DE1122,3),0)</f>
        <v/>
      </c>
      <c r="G1122">
        <f>IFERROR(INDEX(PP_Grid[#Data],$DE1122,4),0)</f>
        <v/>
      </c>
      <c r="H1122">
        <f>IFERROR(INDEX(PP_Grid[#Data],$DE1122,5),0)</f>
        <v/>
      </c>
      <c r="I1122">
        <f>IFERROR(INDEX(PP_Grid[#Data],$DE1122,6),0)</f>
        <v/>
      </c>
      <c r="J1122">
        <f>IFERROR(INDEX(PP_Grid[#Data],$DE1122,7),0)</f>
        <v/>
      </c>
      <c r="K1122">
        <f>IFERROR(INDEX(PP_Grid[#Data],$DE1122,8),0)</f>
        <v/>
      </c>
      <c r="L1122">
        <f>IFERROR(INDEX(PP_Grid[#Data],$DE1122,9),0)</f>
        <v/>
      </c>
      <c r="M1122">
        <f>IFERROR(INDEX(PP_Grid[#Data],$DE1122,10),0)</f>
        <v/>
      </c>
      <c r="N1122">
        <f>IFERROR(INDEX(PP_Grid[#Data],$DE1122,11),0)</f>
        <v/>
      </c>
      <c r="O1122">
        <f>IFERROR(INDEX(PP_Grid[#Data],$DE1122,12),0)</f>
        <v/>
      </c>
      <c r="P1122">
        <f>IFERROR(INDEX(PP_Grid[#Data],$DE1122,13),0)</f>
        <v/>
      </c>
      <c r="Q1122">
        <f>IFERROR(INDEX(PP_Grid[#Data],$DE1122,14),0)</f>
        <v/>
      </c>
      <c r="R1122">
        <f>IFERROR(INDEX(PP_Grid[#Data],$DE1122,15),0)</f>
        <v/>
      </c>
      <c r="S1122">
        <f>IFERROR(INDEX(PP_Grid[#Data],$DE1122,16),0)</f>
        <v/>
      </c>
      <c r="T1122">
        <f>IFERROR(INDEX(PP_Grid[#Data],$DE1122,17),0)</f>
        <v/>
      </c>
      <c r="U1122">
        <f>IFERROR(INDEX(PP_Grid[#Data],$DE1122,18),0)</f>
        <v/>
      </c>
      <c r="V1122">
        <f>IFERROR(INDEX(PP_Grid[#Data],$DE1122,19),0)</f>
        <v/>
      </c>
      <c r="W1122">
        <f>IFERROR(INDEX(PP_Grid[#Data],$DE1122,20),0)</f>
        <v/>
      </c>
      <c r="X1122">
        <f>IFERROR(INDEX(PP_Grid[#Data],$DE1122,21),0)</f>
        <v/>
      </c>
      <c r="Y1122">
        <f>IFERROR(INDEX(PP_Grid[#Data],$DE1122,22),0)</f>
        <v/>
      </c>
      <c r="Z1122">
        <f>IFERROR(INDEX(PP_Grid[#Data],$DE1122,23),0)</f>
        <v/>
      </c>
      <c r="AA1122">
        <f>IFERROR(INDEX(PP_Grid[#Data],$DE1122,24),0)</f>
        <v/>
      </c>
      <c r="AB1122">
        <f>IFERROR(INDEX(PP_Grid[#Data],$DE1122,25),0)</f>
        <v/>
      </c>
      <c r="AC1122">
        <f>IFERROR(INDEX(PP_Grid[#Data],$DE1122,26),0)</f>
        <v/>
      </c>
      <c r="AD1122">
        <f>IFERROR(INDEX(PP_Grid[#Data],$DE1122,27),0)</f>
        <v/>
      </c>
      <c r="AE1122">
        <f>IFERROR(INDEX(PP_Grid[#Data],$DE1122,28),0)</f>
        <v/>
      </c>
      <c r="AF1122">
        <f>IFERROR(INDEX(PP_Grid[#Data],$DE1122,29),0)</f>
        <v/>
      </c>
      <c r="AG1122">
        <f>IFERROR(INDEX(PP_Grid[#Data],$DE1122,30),0)</f>
        <v/>
      </c>
      <c r="AH1122">
        <f>IFERROR(INDEX(PP_Grid[#Data],$DE1122,31),0)</f>
        <v/>
      </c>
      <c r="AI1122">
        <f>IFERROR(INDEX(PP_Grid[#Data],$DE1122,32),0)</f>
        <v/>
      </c>
      <c r="AJ1122">
        <f>IFERROR(INDEX(PP_Grid[#Data],$DE1122,33),0)</f>
        <v/>
      </c>
      <c r="AK1122">
        <f>IFERROR(INDEX(PP_Grid[#Data],$DE1122,34),0)</f>
        <v/>
      </c>
      <c r="AL1122">
        <f>IFERROR(INDEX(PP_Grid[#Data],$DE1122,35),0)</f>
        <v/>
      </c>
      <c r="AM1122">
        <f>IFERROR(INDEX(PP_Grid[#Data],$DE1122,36),0)</f>
        <v/>
      </c>
      <c r="AN1122">
        <f>IFERROR(INDEX(PP_Grid[#Data],$DE1122,37),0)</f>
        <v/>
      </c>
      <c r="AO1122">
        <f>IFERROR(INDEX(PP_Grid[#Data],$DE1122,38),0)</f>
        <v/>
      </c>
      <c r="AP1122">
        <f>IFERROR(INDEX(PP_Grid[#Data],$DE1122,39),0)</f>
        <v/>
      </c>
      <c r="AQ1122">
        <f>IFERROR(INDEX(PP_Grid[#Data],$DE1122,40),0)</f>
        <v/>
      </c>
      <c r="AR1122">
        <f>IFERROR(INDEX(PP_Grid[#Data],$DE1122,41),0)</f>
        <v/>
      </c>
      <c r="AS1122">
        <f>IFERROR(INDEX(PP_Grid[#Data],$DE1122,42),0)</f>
        <v/>
      </c>
      <c r="AT1122">
        <f>IFERROR(INDEX(PP_Grid[#Data],$DE1122,43),0)</f>
        <v/>
      </c>
      <c r="AU1122">
        <f>IFERROR(INDEX(PP_Grid[#Data],$DE1122,44),0)</f>
        <v/>
      </c>
      <c r="AV1122">
        <f>IFERROR(INDEX(PP_Grid[#Data],$DE1122,45),0)</f>
        <v/>
      </c>
      <c r="AW1122">
        <f>IFERROR(INDEX(PP_Grid[#Data],$DE1122,46),0)</f>
        <v/>
      </c>
      <c r="AX1122">
        <f>IFERROR(INDEX(PP_Grid[#Data],$DE1122,47),0)</f>
        <v/>
      </c>
      <c r="AY1122">
        <f>IFERROR(INDEX(PP_Grid[#Data],$DE1122,48),0)</f>
        <v/>
      </c>
      <c r="AZ1122">
        <f>IFERROR(INDEX(PP_Grid[#Data],$DE1122,49),0)</f>
        <v/>
      </c>
      <c r="BA1122">
        <f>IFERROR(INDEX(PP_Grid[#Data],$DE1122,50),0)</f>
        <v/>
      </c>
      <c r="BB1122">
        <f>IFERROR(INDEX(PP_Grid[#Data],$DE1122,51),0)</f>
        <v/>
      </c>
      <c r="BC1122">
        <f>IFERROR(INDEX(PP_Grid[#Data],$DE1122,52),0)</f>
        <v/>
      </c>
      <c r="BD1122">
        <f>IFERROR(INDEX(PP_Grid[#Data],$DE1122,53),0)</f>
        <v/>
      </c>
      <c r="BE1122">
        <f>IFERROR(INDEX(PP_Grid[#Data],$DE1122,54),0)</f>
        <v/>
      </c>
      <c r="BF1122">
        <f>IFERROR(INDEX(PP_Grid[#Data],$DE1122,55),0)</f>
        <v/>
      </c>
      <c r="BG1122">
        <f>IFERROR(INDEX(PP_Grid[#Data],$DE1122,56),0)</f>
        <v/>
      </c>
      <c r="BH1122">
        <f>IFERROR(INDEX(PP_Grid[#Data],$DE1122,57),0)</f>
        <v/>
      </c>
      <c r="BI1122">
        <f>IFERROR(INDEX(PP_Grid[#Data],$DE1122,58),0)</f>
        <v/>
      </c>
      <c r="BJ1122">
        <f>IFERROR(INDEX(PP_Grid[#Data],$DE1122,59),0)</f>
        <v/>
      </c>
      <c r="BK1122">
        <f>IFERROR(INDEX(PP_Grid[#Data],$DE1122,60),0)</f>
        <v/>
      </c>
      <c r="BL1122">
        <f>IFERROR(INDEX(PP_Grid[#Data],$DE1122,61),0)</f>
        <v/>
      </c>
      <c r="BM1122">
        <f>IFERROR(INDEX(PP_Grid[#Data],$DE1122,62),0)</f>
        <v/>
      </c>
      <c r="BN1122">
        <f>IFERROR(INDEX(PP_Grid[#Data],$DE1122,63),0)</f>
        <v/>
      </c>
      <c r="BO1122">
        <f>IFERROR(INDEX(PP_Grid[#Data],$DE1122,64),0)</f>
        <v/>
      </c>
      <c r="BP1122">
        <f>IFERROR(INDEX(PP_Grid[#Data],$DE1122,65),0)</f>
        <v/>
      </c>
      <c r="BQ1122">
        <f>IFERROR(INDEX(PP_Grid[#Data],$DE1122,66),0)</f>
        <v/>
      </c>
      <c r="BR1122">
        <f>IFERROR(INDEX(PP_Grid[#Data],$DE1122,67),0)</f>
        <v/>
      </c>
      <c r="BS1122">
        <f>IFERROR(INDEX(PP_Grid[#Data],$DE1122,68),0)</f>
        <v/>
      </c>
      <c r="BT1122">
        <f>IFERROR(INDEX(PP_Grid[#Data],$DE1122,69),0)</f>
        <v/>
      </c>
      <c r="BU1122">
        <f>IFERROR(INDEX(PP_Grid[#Data],$DE1122,70),0)</f>
        <v/>
      </c>
      <c r="BV1122">
        <f>IFERROR(INDEX(PP_Grid[#Data],$DE1122,71),0)</f>
        <v/>
      </c>
      <c r="BW1122">
        <f>IFERROR(INDEX(PP_Grid[#Data],$DE1122,72),0)</f>
        <v/>
      </c>
      <c r="BX1122">
        <f>IFERROR(INDEX(PP_Grid[#Data],$DE1122,73),0)</f>
        <v/>
      </c>
      <c r="BY1122">
        <f>IFERROR(INDEX(PP_Grid[#Data],$DE1122,74),0)</f>
        <v/>
      </c>
      <c r="BZ1122">
        <f>IFERROR(INDEX(PP_Grid[#Data],$DE1122,75),0)</f>
        <v/>
      </c>
      <c r="CA1122">
        <f>IFERROR(INDEX(PP_Grid[#Data],$DE1122,76),0)</f>
        <v/>
      </c>
      <c r="CB1122">
        <f>IFERROR(INDEX(PP_Grid[#Data],$DE1122,77),0)</f>
        <v/>
      </c>
      <c r="CC1122">
        <f>IFERROR(INDEX(PP_Grid[#Data],$DE1122,78),0)</f>
        <v/>
      </c>
      <c r="CD1122">
        <f>IFERROR(INDEX(PP_Grid[#Data],$DE1122,79),0)</f>
        <v/>
      </c>
      <c r="CE1122">
        <f>IFERROR(INDEX(PP_Grid[#Data],$DE1122,80),0)</f>
        <v/>
      </c>
      <c r="CF1122">
        <f>IFERROR(INDEX(PP_Grid[#Data],$DE1122,81),0)</f>
        <v/>
      </c>
      <c r="CG1122">
        <f>IFERROR(INDEX(PP_Grid[#Data],$DE1122,82),0)</f>
        <v/>
      </c>
      <c r="CH1122">
        <f>IFERROR(INDEX(PP_Grid[#Data],$DE1122,83),0)</f>
        <v/>
      </c>
      <c r="CI1122">
        <f>IFERROR(INDEX(PP_Grid[#Data],$DE1122,84),0)</f>
        <v/>
      </c>
      <c r="CJ1122">
        <f>IFERROR(INDEX(PP_Grid[#Data],$DE1122,85),0)</f>
        <v/>
      </c>
      <c r="CK1122">
        <f>IFERROR(INDEX(PP_Grid[#Data],$DE1122,86),0)</f>
        <v/>
      </c>
      <c r="CL1122">
        <f>IFERROR(INDEX(PP_Grid[#Data],$DE1122,87),0)</f>
        <v/>
      </c>
      <c r="CM1122">
        <f>IFERROR(INDEX(PP_Grid[#Data],$DE1122,88),0)</f>
        <v/>
      </c>
      <c r="CN1122">
        <f>IFERROR(INDEX(PP_Grid[#Data],$DE1122,89),0)</f>
        <v/>
      </c>
      <c r="CO1122">
        <f>IFERROR(INDEX(PP_Grid[#Data],$DE1122,90),0)</f>
        <v/>
      </c>
      <c r="CP1122">
        <f>IFERROR(INDEX(PP_Grid[#Data],$DE1122,91),0)</f>
        <v/>
      </c>
      <c r="CQ1122">
        <f>IFERROR(INDEX(PP_Grid[#Data],$DE1122,92),0)</f>
        <v/>
      </c>
      <c r="CR1122">
        <f>IFERROR(INDEX(PP_Grid[#Data],$DE1122,93),0)</f>
        <v/>
      </c>
      <c r="CS1122">
        <f>IFERROR(INDEX(PP_Grid[#Data],$DE1122,94),0)</f>
        <v/>
      </c>
      <c r="CT1122">
        <f>IFERROR(INDEX(PP_Grid[#Data],$DE1122,95),0)</f>
        <v/>
      </c>
      <c r="CU1122">
        <f>IFERROR(INDEX(PP_Grid[#Data],$DE1122,96),0)</f>
        <v/>
      </c>
      <c r="CV1122">
        <f>IFERROR(INDEX(PP_Grid[#Data],$DE1122,97),0)</f>
        <v/>
      </c>
      <c r="CW1122">
        <f>IFERROR(INDEX(PP_Grid[#Data],$DE1122,98),0)</f>
        <v/>
      </c>
      <c r="CX1122">
        <f>IFERROR(INDEX(PP_Grid[#Data],$DE1122,99),0)</f>
        <v/>
      </c>
      <c r="CY1122">
        <f>IFERROR(INDEX(PP_Grid[#Data],$DE1122,100),0)</f>
        <v/>
      </c>
      <c r="CZ1122">
        <f>IFERROR(INDEX(PP_Grid[#Data],$DE1122,101),0)</f>
        <v/>
      </c>
      <c r="DA1122">
        <f>IFERROR(INDEX(PP_Grid[#Data],$DE1122,102),0)</f>
        <v/>
      </c>
      <c r="DB1122">
        <f>IFERROR(INDEX(PP_Grid[#Data],$DE1122,103),0)</f>
        <v/>
      </c>
      <c r="DC1122">
        <f>IFERROR(INDEX(PP_Grid[#Data],$DE1122,104),0)</f>
        <v/>
      </c>
      <c r="DD1122">
        <f>IFERROR(INDEX(PP_Grid[#Data],$DE1122,105),0)</f>
        <v/>
      </c>
      <c r="DE1122" s="7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SUMIFS(M_BOM[RM_Qty_Per_Batch],M_BOM[Intermediate],$B1122,M_BOM[RM_Code],$A1101)</f>
        <v/>
      </c>
      <c r="D1123">
        <f>IFERROR(INDEX(E1123:DD1123,$F$1),"")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  <c r="DD1123">
        <f>$C1123*DD1122</f>
        <v/>
      </c>
    </row>
    <row r="1124">
      <c r="B1124" t="inlineStr">
        <is>
          <t>VSP-740</t>
        </is>
      </c>
      <c r="C1124" t="inlineStr">
        <is>
          <t>No. of batches</t>
        </is>
      </c>
      <c r="D1124">
        <f>IFERROR(INDEX(E1124:DD1124,$F$1),"")</f>
        <v/>
      </c>
      <c r="E1124">
        <f>IFERROR(INDEX(PP_Grid[#Data],$DE1124,2),0)</f>
        <v/>
      </c>
      <c r="F1124">
        <f>IFERROR(INDEX(PP_Grid[#Data],$DE1124,3),0)</f>
        <v/>
      </c>
      <c r="G1124">
        <f>IFERROR(INDEX(PP_Grid[#Data],$DE1124,4),0)</f>
        <v/>
      </c>
      <c r="H1124">
        <f>IFERROR(INDEX(PP_Grid[#Data],$DE1124,5),0)</f>
        <v/>
      </c>
      <c r="I1124">
        <f>IFERROR(INDEX(PP_Grid[#Data],$DE1124,6),0)</f>
        <v/>
      </c>
      <c r="J1124">
        <f>IFERROR(INDEX(PP_Grid[#Data],$DE1124,7),0)</f>
        <v/>
      </c>
      <c r="K1124">
        <f>IFERROR(INDEX(PP_Grid[#Data],$DE1124,8),0)</f>
        <v/>
      </c>
      <c r="L1124">
        <f>IFERROR(INDEX(PP_Grid[#Data],$DE1124,9),0)</f>
        <v/>
      </c>
      <c r="M1124">
        <f>IFERROR(INDEX(PP_Grid[#Data],$DE1124,10),0)</f>
        <v/>
      </c>
      <c r="N1124">
        <f>IFERROR(INDEX(PP_Grid[#Data],$DE1124,11),0)</f>
        <v/>
      </c>
      <c r="O1124">
        <f>IFERROR(INDEX(PP_Grid[#Data],$DE1124,12),0)</f>
        <v/>
      </c>
      <c r="P1124">
        <f>IFERROR(INDEX(PP_Grid[#Data],$DE1124,13),0)</f>
        <v/>
      </c>
      <c r="Q1124">
        <f>IFERROR(INDEX(PP_Grid[#Data],$DE1124,14),0)</f>
        <v/>
      </c>
      <c r="R1124">
        <f>IFERROR(INDEX(PP_Grid[#Data],$DE1124,15),0)</f>
        <v/>
      </c>
      <c r="S1124">
        <f>IFERROR(INDEX(PP_Grid[#Data],$DE1124,16),0)</f>
        <v/>
      </c>
      <c r="T1124">
        <f>IFERROR(INDEX(PP_Grid[#Data],$DE1124,17),0)</f>
        <v/>
      </c>
      <c r="U1124">
        <f>IFERROR(INDEX(PP_Grid[#Data],$DE1124,18),0)</f>
        <v/>
      </c>
      <c r="V1124">
        <f>IFERROR(INDEX(PP_Grid[#Data],$DE1124,19),0)</f>
        <v/>
      </c>
      <c r="W1124">
        <f>IFERROR(INDEX(PP_Grid[#Data],$DE1124,20),0)</f>
        <v/>
      </c>
      <c r="X1124">
        <f>IFERROR(INDEX(PP_Grid[#Data],$DE1124,21),0)</f>
        <v/>
      </c>
      <c r="Y1124">
        <f>IFERROR(INDEX(PP_Grid[#Data],$DE1124,22),0)</f>
        <v/>
      </c>
      <c r="Z1124">
        <f>IFERROR(INDEX(PP_Grid[#Data],$DE1124,23),0)</f>
        <v/>
      </c>
      <c r="AA1124">
        <f>IFERROR(INDEX(PP_Grid[#Data],$DE1124,24),0)</f>
        <v/>
      </c>
      <c r="AB1124">
        <f>IFERROR(INDEX(PP_Grid[#Data],$DE1124,25),0)</f>
        <v/>
      </c>
      <c r="AC1124">
        <f>IFERROR(INDEX(PP_Grid[#Data],$DE1124,26),0)</f>
        <v/>
      </c>
      <c r="AD1124">
        <f>IFERROR(INDEX(PP_Grid[#Data],$DE1124,27),0)</f>
        <v/>
      </c>
      <c r="AE1124">
        <f>IFERROR(INDEX(PP_Grid[#Data],$DE1124,28),0)</f>
        <v/>
      </c>
      <c r="AF1124">
        <f>IFERROR(INDEX(PP_Grid[#Data],$DE1124,29),0)</f>
        <v/>
      </c>
      <c r="AG1124">
        <f>IFERROR(INDEX(PP_Grid[#Data],$DE1124,30),0)</f>
        <v/>
      </c>
      <c r="AH1124">
        <f>IFERROR(INDEX(PP_Grid[#Data],$DE1124,31),0)</f>
        <v/>
      </c>
      <c r="AI1124">
        <f>IFERROR(INDEX(PP_Grid[#Data],$DE1124,32),0)</f>
        <v/>
      </c>
      <c r="AJ1124">
        <f>IFERROR(INDEX(PP_Grid[#Data],$DE1124,33),0)</f>
        <v/>
      </c>
      <c r="AK1124">
        <f>IFERROR(INDEX(PP_Grid[#Data],$DE1124,34),0)</f>
        <v/>
      </c>
      <c r="AL1124">
        <f>IFERROR(INDEX(PP_Grid[#Data],$DE1124,35),0)</f>
        <v/>
      </c>
      <c r="AM1124">
        <f>IFERROR(INDEX(PP_Grid[#Data],$DE1124,36),0)</f>
        <v/>
      </c>
      <c r="AN1124">
        <f>IFERROR(INDEX(PP_Grid[#Data],$DE1124,37),0)</f>
        <v/>
      </c>
      <c r="AO1124">
        <f>IFERROR(INDEX(PP_Grid[#Data],$DE1124,38),0)</f>
        <v/>
      </c>
      <c r="AP1124">
        <f>IFERROR(INDEX(PP_Grid[#Data],$DE1124,39),0)</f>
        <v/>
      </c>
      <c r="AQ1124">
        <f>IFERROR(INDEX(PP_Grid[#Data],$DE1124,40),0)</f>
        <v/>
      </c>
      <c r="AR1124">
        <f>IFERROR(INDEX(PP_Grid[#Data],$DE1124,41),0)</f>
        <v/>
      </c>
      <c r="AS1124">
        <f>IFERROR(INDEX(PP_Grid[#Data],$DE1124,42),0)</f>
        <v/>
      </c>
      <c r="AT1124">
        <f>IFERROR(INDEX(PP_Grid[#Data],$DE1124,43),0)</f>
        <v/>
      </c>
      <c r="AU1124">
        <f>IFERROR(INDEX(PP_Grid[#Data],$DE1124,44),0)</f>
        <v/>
      </c>
      <c r="AV1124">
        <f>IFERROR(INDEX(PP_Grid[#Data],$DE1124,45),0)</f>
        <v/>
      </c>
      <c r="AW1124">
        <f>IFERROR(INDEX(PP_Grid[#Data],$DE1124,46),0)</f>
        <v/>
      </c>
      <c r="AX1124">
        <f>IFERROR(INDEX(PP_Grid[#Data],$DE1124,47),0)</f>
        <v/>
      </c>
      <c r="AY1124">
        <f>IFERROR(INDEX(PP_Grid[#Data],$DE1124,48),0)</f>
        <v/>
      </c>
      <c r="AZ1124">
        <f>IFERROR(INDEX(PP_Grid[#Data],$DE1124,49),0)</f>
        <v/>
      </c>
      <c r="BA1124">
        <f>IFERROR(INDEX(PP_Grid[#Data],$DE1124,50),0)</f>
        <v/>
      </c>
      <c r="BB1124">
        <f>IFERROR(INDEX(PP_Grid[#Data],$DE1124,51),0)</f>
        <v/>
      </c>
      <c r="BC1124">
        <f>IFERROR(INDEX(PP_Grid[#Data],$DE1124,52),0)</f>
        <v/>
      </c>
      <c r="BD1124">
        <f>IFERROR(INDEX(PP_Grid[#Data],$DE1124,53),0)</f>
        <v/>
      </c>
      <c r="BE1124">
        <f>IFERROR(INDEX(PP_Grid[#Data],$DE1124,54),0)</f>
        <v/>
      </c>
      <c r="BF1124">
        <f>IFERROR(INDEX(PP_Grid[#Data],$DE1124,55),0)</f>
        <v/>
      </c>
      <c r="BG1124">
        <f>IFERROR(INDEX(PP_Grid[#Data],$DE1124,56),0)</f>
        <v/>
      </c>
      <c r="BH1124">
        <f>IFERROR(INDEX(PP_Grid[#Data],$DE1124,57),0)</f>
        <v/>
      </c>
      <c r="BI1124">
        <f>IFERROR(INDEX(PP_Grid[#Data],$DE1124,58),0)</f>
        <v/>
      </c>
      <c r="BJ1124">
        <f>IFERROR(INDEX(PP_Grid[#Data],$DE1124,59),0)</f>
        <v/>
      </c>
      <c r="BK1124">
        <f>IFERROR(INDEX(PP_Grid[#Data],$DE1124,60),0)</f>
        <v/>
      </c>
      <c r="BL1124">
        <f>IFERROR(INDEX(PP_Grid[#Data],$DE1124,61),0)</f>
        <v/>
      </c>
      <c r="BM1124">
        <f>IFERROR(INDEX(PP_Grid[#Data],$DE1124,62),0)</f>
        <v/>
      </c>
      <c r="BN1124">
        <f>IFERROR(INDEX(PP_Grid[#Data],$DE1124,63),0)</f>
        <v/>
      </c>
      <c r="BO1124">
        <f>IFERROR(INDEX(PP_Grid[#Data],$DE1124,64),0)</f>
        <v/>
      </c>
      <c r="BP1124">
        <f>IFERROR(INDEX(PP_Grid[#Data],$DE1124,65),0)</f>
        <v/>
      </c>
      <c r="BQ1124">
        <f>IFERROR(INDEX(PP_Grid[#Data],$DE1124,66),0)</f>
        <v/>
      </c>
      <c r="BR1124">
        <f>IFERROR(INDEX(PP_Grid[#Data],$DE1124,67),0)</f>
        <v/>
      </c>
      <c r="BS1124">
        <f>IFERROR(INDEX(PP_Grid[#Data],$DE1124,68),0)</f>
        <v/>
      </c>
      <c r="BT1124">
        <f>IFERROR(INDEX(PP_Grid[#Data],$DE1124,69),0)</f>
        <v/>
      </c>
      <c r="BU1124">
        <f>IFERROR(INDEX(PP_Grid[#Data],$DE1124,70),0)</f>
        <v/>
      </c>
      <c r="BV1124">
        <f>IFERROR(INDEX(PP_Grid[#Data],$DE1124,71),0)</f>
        <v/>
      </c>
      <c r="BW1124">
        <f>IFERROR(INDEX(PP_Grid[#Data],$DE1124,72),0)</f>
        <v/>
      </c>
      <c r="BX1124">
        <f>IFERROR(INDEX(PP_Grid[#Data],$DE1124,73),0)</f>
        <v/>
      </c>
      <c r="BY1124">
        <f>IFERROR(INDEX(PP_Grid[#Data],$DE1124,74),0)</f>
        <v/>
      </c>
      <c r="BZ1124">
        <f>IFERROR(INDEX(PP_Grid[#Data],$DE1124,75),0)</f>
        <v/>
      </c>
      <c r="CA1124">
        <f>IFERROR(INDEX(PP_Grid[#Data],$DE1124,76),0)</f>
        <v/>
      </c>
      <c r="CB1124">
        <f>IFERROR(INDEX(PP_Grid[#Data],$DE1124,77),0)</f>
        <v/>
      </c>
      <c r="CC1124">
        <f>IFERROR(INDEX(PP_Grid[#Data],$DE1124,78),0)</f>
        <v/>
      </c>
      <c r="CD1124">
        <f>IFERROR(INDEX(PP_Grid[#Data],$DE1124,79),0)</f>
        <v/>
      </c>
      <c r="CE1124">
        <f>IFERROR(INDEX(PP_Grid[#Data],$DE1124,80),0)</f>
        <v/>
      </c>
      <c r="CF1124">
        <f>IFERROR(INDEX(PP_Grid[#Data],$DE1124,81),0)</f>
        <v/>
      </c>
      <c r="CG1124">
        <f>IFERROR(INDEX(PP_Grid[#Data],$DE1124,82),0)</f>
        <v/>
      </c>
      <c r="CH1124">
        <f>IFERROR(INDEX(PP_Grid[#Data],$DE1124,83),0)</f>
        <v/>
      </c>
      <c r="CI1124">
        <f>IFERROR(INDEX(PP_Grid[#Data],$DE1124,84),0)</f>
        <v/>
      </c>
      <c r="CJ1124">
        <f>IFERROR(INDEX(PP_Grid[#Data],$DE1124,85),0)</f>
        <v/>
      </c>
      <c r="CK1124">
        <f>IFERROR(INDEX(PP_Grid[#Data],$DE1124,86),0)</f>
        <v/>
      </c>
      <c r="CL1124">
        <f>IFERROR(INDEX(PP_Grid[#Data],$DE1124,87),0)</f>
        <v/>
      </c>
      <c r="CM1124">
        <f>IFERROR(INDEX(PP_Grid[#Data],$DE1124,88),0)</f>
        <v/>
      </c>
      <c r="CN1124">
        <f>IFERROR(INDEX(PP_Grid[#Data],$DE1124,89),0)</f>
        <v/>
      </c>
      <c r="CO1124">
        <f>IFERROR(INDEX(PP_Grid[#Data],$DE1124,90),0)</f>
        <v/>
      </c>
      <c r="CP1124">
        <f>IFERROR(INDEX(PP_Grid[#Data],$DE1124,91),0)</f>
        <v/>
      </c>
      <c r="CQ1124">
        <f>IFERROR(INDEX(PP_Grid[#Data],$DE1124,92),0)</f>
        <v/>
      </c>
      <c r="CR1124">
        <f>IFERROR(INDEX(PP_Grid[#Data],$DE1124,93),0)</f>
        <v/>
      </c>
      <c r="CS1124">
        <f>IFERROR(INDEX(PP_Grid[#Data],$DE1124,94),0)</f>
        <v/>
      </c>
      <c r="CT1124">
        <f>IFERROR(INDEX(PP_Grid[#Data],$DE1124,95),0)</f>
        <v/>
      </c>
      <c r="CU1124">
        <f>IFERROR(INDEX(PP_Grid[#Data],$DE1124,96),0)</f>
        <v/>
      </c>
      <c r="CV1124">
        <f>IFERROR(INDEX(PP_Grid[#Data],$DE1124,97),0)</f>
        <v/>
      </c>
      <c r="CW1124">
        <f>IFERROR(INDEX(PP_Grid[#Data],$DE1124,98),0)</f>
        <v/>
      </c>
      <c r="CX1124">
        <f>IFERROR(INDEX(PP_Grid[#Data],$DE1124,99),0)</f>
        <v/>
      </c>
      <c r="CY1124">
        <f>IFERROR(INDEX(PP_Grid[#Data],$DE1124,100),0)</f>
        <v/>
      </c>
      <c r="CZ1124">
        <f>IFERROR(INDEX(PP_Grid[#Data],$DE1124,101),0)</f>
        <v/>
      </c>
      <c r="DA1124">
        <f>IFERROR(INDEX(PP_Grid[#Data],$DE1124,102),0)</f>
        <v/>
      </c>
      <c r="DB1124">
        <f>IFERROR(INDEX(PP_Grid[#Data],$DE1124,103),0)</f>
        <v/>
      </c>
      <c r="DC1124">
        <f>IFERROR(INDEX(PP_Grid[#Data],$DE1124,104),0)</f>
        <v/>
      </c>
      <c r="DD1124">
        <f>IFERROR(INDEX(PP_Grid[#Data],$DE1124,105),0)</f>
        <v/>
      </c>
      <c r="DE1124" s="7">
        <f>IFERROR(MATCH($B1124,PP_Grid[Intermediate],0),99999)</f>
        <v/>
      </c>
    </row>
    <row r="1125">
      <c r="B1125" t="inlineStr">
        <is>
          <t>使用量(kg)</t>
        </is>
      </c>
      <c r="C1125">
        <f>SUMIFS(M_BOM[RM_Qty_Per_Batch],M_BOM[Intermediate],$B1124,M_BOM[RM_Code],$A1101)</f>
        <v/>
      </c>
      <c r="D1125">
        <f>IFERROR(INDEX(E1125:DD1125,$F$1),"")</f>
        <v/>
      </c>
      <c r="E1125">
        <f>$C1125*E1124</f>
        <v/>
      </c>
      <c r="F1125">
        <f>$C1125*F1124</f>
        <v/>
      </c>
      <c r="G1125">
        <f>$C1125*G1124</f>
        <v/>
      </c>
      <c r="H1125">
        <f>$C1125*H1124</f>
        <v/>
      </c>
      <c r="I1125">
        <f>$C1125*I1124</f>
        <v/>
      </c>
      <c r="J1125">
        <f>$C1125*J1124</f>
        <v/>
      </c>
      <c r="K1125">
        <f>$C1125*K1124</f>
        <v/>
      </c>
      <c r="L1125">
        <f>$C1125*L1124</f>
        <v/>
      </c>
      <c r="M1125">
        <f>$C1125*M1124</f>
        <v/>
      </c>
      <c r="N1125">
        <f>$C1125*N1124</f>
        <v/>
      </c>
      <c r="O1125">
        <f>$C1125*O1124</f>
        <v/>
      </c>
      <c r="P1125">
        <f>$C1125*P1124</f>
        <v/>
      </c>
      <c r="Q1125">
        <f>$C1125*Q1124</f>
        <v/>
      </c>
      <c r="R1125">
        <f>$C1125*R1124</f>
        <v/>
      </c>
      <c r="S1125">
        <f>$C1125*S1124</f>
        <v/>
      </c>
      <c r="T1125">
        <f>$C1125*T1124</f>
        <v/>
      </c>
      <c r="U1125">
        <f>$C1125*U1124</f>
        <v/>
      </c>
      <c r="V1125">
        <f>$C1125*V1124</f>
        <v/>
      </c>
      <c r="W1125">
        <f>$C1125*W1124</f>
        <v/>
      </c>
      <c r="X1125">
        <f>$C1125*X1124</f>
        <v/>
      </c>
      <c r="Y1125">
        <f>$C1125*Y1124</f>
        <v/>
      </c>
      <c r="Z1125">
        <f>$C1125*Z1124</f>
        <v/>
      </c>
      <c r="AA1125">
        <f>$C1125*AA1124</f>
        <v/>
      </c>
      <c r="AB1125">
        <f>$C1125*AB1124</f>
        <v/>
      </c>
      <c r="AC1125">
        <f>$C1125*AC1124</f>
        <v/>
      </c>
      <c r="AD1125">
        <f>$C1125*AD1124</f>
        <v/>
      </c>
      <c r="AE1125">
        <f>$C1125*AE1124</f>
        <v/>
      </c>
      <c r="AF1125">
        <f>$C1125*AF1124</f>
        <v/>
      </c>
      <c r="AG1125">
        <f>$C1125*AG1124</f>
        <v/>
      </c>
      <c r="AH1125">
        <f>$C1125*AH1124</f>
        <v/>
      </c>
      <c r="AI1125">
        <f>$C1125*AI1124</f>
        <v/>
      </c>
      <c r="AJ1125">
        <f>$C1125*AJ1124</f>
        <v/>
      </c>
      <c r="AK1125">
        <f>$C1125*AK1124</f>
        <v/>
      </c>
      <c r="AL1125">
        <f>$C1125*AL1124</f>
        <v/>
      </c>
      <c r="AM1125">
        <f>$C1125*AM1124</f>
        <v/>
      </c>
      <c r="AN1125">
        <f>$C1125*AN1124</f>
        <v/>
      </c>
      <c r="AO1125">
        <f>$C1125*AO1124</f>
        <v/>
      </c>
      <c r="AP1125">
        <f>$C1125*AP1124</f>
        <v/>
      </c>
      <c r="AQ1125">
        <f>$C1125*AQ1124</f>
        <v/>
      </c>
      <c r="AR1125">
        <f>$C1125*AR1124</f>
        <v/>
      </c>
      <c r="AS1125">
        <f>$C1125*AS1124</f>
        <v/>
      </c>
      <c r="AT1125">
        <f>$C1125*AT1124</f>
        <v/>
      </c>
      <c r="AU1125">
        <f>$C1125*AU1124</f>
        <v/>
      </c>
      <c r="AV1125">
        <f>$C1125*AV1124</f>
        <v/>
      </c>
      <c r="AW1125">
        <f>$C1125*AW1124</f>
        <v/>
      </c>
      <c r="AX1125">
        <f>$C1125*AX1124</f>
        <v/>
      </c>
      <c r="AY1125">
        <f>$C1125*AY1124</f>
        <v/>
      </c>
      <c r="AZ1125">
        <f>$C1125*AZ1124</f>
        <v/>
      </c>
      <c r="BA1125">
        <f>$C1125*BA1124</f>
        <v/>
      </c>
      <c r="BB1125">
        <f>$C1125*BB1124</f>
        <v/>
      </c>
      <c r="BC1125">
        <f>$C1125*BC1124</f>
        <v/>
      </c>
      <c r="BD1125">
        <f>$C1125*BD1124</f>
        <v/>
      </c>
      <c r="BE1125">
        <f>$C1125*BE1124</f>
        <v/>
      </c>
      <c r="BF1125">
        <f>$C1125*BF1124</f>
        <v/>
      </c>
      <c r="BG1125">
        <f>$C1125*BG1124</f>
        <v/>
      </c>
      <c r="BH1125">
        <f>$C1125*BH1124</f>
        <v/>
      </c>
      <c r="BI1125">
        <f>$C1125*BI1124</f>
        <v/>
      </c>
      <c r="BJ1125">
        <f>$C1125*BJ1124</f>
        <v/>
      </c>
      <c r="BK1125">
        <f>$C1125*BK1124</f>
        <v/>
      </c>
      <c r="BL1125">
        <f>$C1125*BL1124</f>
        <v/>
      </c>
      <c r="BM1125">
        <f>$C1125*BM1124</f>
        <v/>
      </c>
      <c r="BN1125">
        <f>$C1125*BN1124</f>
        <v/>
      </c>
      <c r="BO1125">
        <f>$C1125*BO1124</f>
        <v/>
      </c>
      <c r="BP1125">
        <f>$C1125*BP1124</f>
        <v/>
      </c>
      <c r="BQ1125">
        <f>$C1125*BQ1124</f>
        <v/>
      </c>
      <c r="BR1125">
        <f>$C1125*BR1124</f>
        <v/>
      </c>
      <c r="BS1125">
        <f>$C1125*BS1124</f>
        <v/>
      </c>
      <c r="BT1125">
        <f>$C1125*BT1124</f>
        <v/>
      </c>
      <c r="BU1125">
        <f>$C1125*BU1124</f>
        <v/>
      </c>
      <c r="BV1125">
        <f>$C1125*BV1124</f>
        <v/>
      </c>
      <c r="BW1125">
        <f>$C1125*BW1124</f>
        <v/>
      </c>
      <c r="BX1125">
        <f>$C1125*BX1124</f>
        <v/>
      </c>
      <c r="BY1125">
        <f>$C1125*BY1124</f>
        <v/>
      </c>
      <c r="BZ1125">
        <f>$C1125*BZ1124</f>
        <v/>
      </c>
      <c r="CA1125">
        <f>$C1125*CA1124</f>
        <v/>
      </c>
      <c r="CB1125">
        <f>$C1125*CB1124</f>
        <v/>
      </c>
      <c r="CC1125">
        <f>$C1125*CC1124</f>
        <v/>
      </c>
      <c r="CD1125">
        <f>$C1125*CD1124</f>
        <v/>
      </c>
      <c r="CE1125">
        <f>$C1125*CE1124</f>
        <v/>
      </c>
      <c r="CF1125">
        <f>$C1125*CF1124</f>
        <v/>
      </c>
      <c r="CG1125">
        <f>$C1125*CG1124</f>
        <v/>
      </c>
      <c r="CH1125">
        <f>$C1125*CH1124</f>
        <v/>
      </c>
      <c r="CI1125">
        <f>$C1125*CI1124</f>
        <v/>
      </c>
      <c r="CJ1125">
        <f>$C1125*CJ1124</f>
        <v/>
      </c>
      <c r="CK1125">
        <f>$C1125*CK1124</f>
        <v/>
      </c>
      <c r="CL1125">
        <f>$C1125*CL1124</f>
        <v/>
      </c>
      <c r="CM1125">
        <f>$C1125*CM1124</f>
        <v/>
      </c>
      <c r="CN1125">
        <f>$C1125*CN1124</f>
        <v/>
      </c>
      <c r="CO1125">
        <f>$C1125*CO1124</f>
        <v/>
      </c>
      <c r="CP1125">
        <f>$C1125*CP1124</f>
        <v/>
      </c>
      <c r="CQ1125">
        <f>$C1125*CQ1124</f>
        <v/>
      </c>
      <c r="CR1125">
        <f>$C1125*CR1124</f>
        <v/>
      </c>
      <c r="CS1125">
        <f>$C1125*CS1124</f>
        <v/>
      </c>
      <c r="CT1125">
        <f>$C1125*CT1124</f>
        <v/>
      </c>
      <c r="CU1125">
        <f>$C1125*CU1124</f>
        <v/>
      </c>
      <c r="CV1125">
        <f>$C1125*CV1124</f>
        <v/>
      </c>
      <c r="CW1125">
        <f>$C1125*CW1124</f>
        <v/>
      </c>
      <c r="CX1125">
        <f>$C1125*CX1124</f>
        <v/>
      </c>
      <c r="CY1125">
        <f>$C1125*CY1124</f>
        <v/>
      </c>
      <c r="CZ1125">
        <f>$C1125*CZ1124</f>
        <v/>
      </c>
      <c r="DA1125">
        <f>$C1125*DA1124</f>
        <v/>
      </c>
      <c r="DB1125">
        <f>$C1125*DB1124</f>
        <v/>
      </c>
      <c r="DC1125">
        <f>$C1125*DC1124</f>
        <v/>
      </c>
      <c r="DD1125">
        <f>$C1125*DD1124</f>
        <v/>
      </c>
    </row>
    <row r="1126">
      <c r="B1126" t="inlineStr">
        <is>
          <t>VSP-746</t>
        </is>
      </c>
      <c r="C1126" t="inlineStr">
        <is>
          <t>No. of batches</t>
        </is>
      </c>
      <c r="D1126">
        <f>IFERROR(INDEX(E1126:DD1126,$F$1),"")</f>
        <v/>
      </c>
      <c r="E1126">
        <f>IFERROR(INDEX(PP_Grid[#Data],$DE1126,2),0)</f>
        <v/>
      </c>
      <c r="F1126">
        <f>IFERROR(INDEX(PP_Grid[#Data],$DE1126,3),0)</f>
        <v/>
      </c>
      <c r="G1126">
        <f>IFERROR(INDEX(PP_Grid[#Data],$DE1126,4),0)</f>
        <v/>
      </c>
      <c r="H1126">
        <f>IFERROR(INDEX(PP_Grid[#Data],$DE1126,5),0)</f>
        <v/>
      </c>
      <c r="I1126">
        <f>IFERROR(INDEX(PP_Grid[#Data],$DE1126,6),0)</f>
        <v/>
      </c>
      <c r="J1126">
        <f>IFERROR(INDEX(PP_Grid[#Data],$DE1126,7),0)</f>
        <v/>
      </c>
      <c r="K1126">
        <f>IFERROR(INDEX(PP_Grid[#Data],$DE1126,8),0)</f>
        <v/>
      </c>
      <c r="L1126">
        <f>IFERROR(INDEX(PP_Grid[#Data],$DE1126,9),0)</f>
        <v/>
      </c>
      <c r="M1126">
        <f>IFERROR(INDEX(PP_Grid[#Data],$DE1126,10),0)</f>
        <v/>
      </c>
      <c r="N1126">
        <f>IFERROR(INDEX(PP_Grid[#Data],$DE1126,11),0)</f>
        <v/>
      </c>
      <c r="O1126">
        <f>IFERROR(INDEX(PP_Grid[#Data],$DE1126,12),0)</f>
        <v/>
      </c>
      <c r="P1126">
        <f>IFERROR(INDEX(PP_Grid[#Data],$DE1126,13),0)</f>
        <v/>
      </c>
      <c r="Q1126">
        <f>IFERROR(INDEX(PP_Grid[#Data],$DE1126,14),0)</f>
        <v/>
      </c>
      <c r="R1126">
        <f>IFERROR(INDEX(PP_Grid[#Data],$DE1126,15),0)</f>
        <v/>
      </c>
      <c r="S1126">
        <f>IFERROR(INDEX(PP_Grid[#Data],$DE1126,16),0)</f>
        <v/>
      </c>
      <c r="T1126">
        <f>IFERROR(INDEX(PP_Grid[#Data],$DE1126,17),0)</f>
        <v/>
      </c>
      <c r="U1126">
        <f>IFERROR(INDEX(PP_Grid[#Data],$DE1126,18),0)</f>
        <v/>
      </c>
      <c r="V1126">
        <f>IFERROR(INDEX(PP_Grid[#Data],$DE1126,19),0)</f>
        <v/>
      </c>
      <c r="W1126">
        <f>IFERROR(INDEX(PP_Grid[#Data],$DE1126,20),0)</f>
        <v/>
      </c>
      <c r="X1126">
        <f>IFERROR(INDEX(PP_Grid[#Data],$DE1126,21),0)</f>
        <v/>
      </c>
      <c r="Y1126">
        <f>IFERROR(INDEX(PP_Grid[#Data],$DE1126,22),0)</f>
        <v/>
      </c>
      <c r="Z1126">
        <f>IFERROR(INDEX(PP_Grid[#Data],$DE1126,23),0)</f>
        <v/>
      </c>
      <c r="AA1126">
        <f>IFERROR(INDEX(PP_Grid[#Data],$DE1126,24),0)</f>
        <v/>
      </c>
      <c r="AB1126">
        <f>IFERROR(INDEX(PP_Grid[#Data],$DE1126,25),0)</f>
        <v/>
      </c>
      <c r="AC1126">
        <f>IFERROR(INDEX(PP_Grid[#Data],$DE1126,26),0)</f>
        <v/>
      </c>
      <c r="AD1126">
        <f>IFERROR(INDEX(PP_Grid[#Data],$DE1126,27),0)</f>
        <v/>
      </c>
      <c r="AE1126">
        <f>IFERROR(INDEX(PP_Grid[#Data],$DE1126,28),0)</f>
        <v/>
      </c>
      <c r="AF1126">
        <f>IFERROR(INDEX(PP_Grid[#Data],$DE1126,29),0)</f>
        <v/>
      </c>
      <c r="AG1126">
        <f>IFERROR(INDEX(PP_Grid[#Data],$DE1126,30),0)</f>
        <v/>
      </c>
      <c r="AH1126">
        <f>IFERROR(INDEX(PP_Grid[#Data],$DE1126,31),0)</f>
        <v/>
      </c>
      <c r="AI1126">
        <f>IFERROR(INDEX(PP_Grid[#Data],$DE1126,32),0)</f>
        <v/>
      </c>
      <c r="AJ1126">
        <f>IFERROR(INDEX(PP_Grid[#Data],$DE1126,33),0)</f>
        <v/>
      </c>
      <c r="AK1126">
        <f>IFERROR(INDEX(PP_Grid[#Data],$DE1126,34),0)</f>
        <v/>
      </c>
      <c r="AL1126">
        <f>IFERROR(INDEX(PP_Grid[#Data],$DE1126,35),0)</f>
        <v/>
      </c>
      <c r="AM1126">
        <f>IFERROR(INDEX(PP_Grid[#Data],$DE1126,36),0)</f>
        <v/>
      </c>
      <c r="AN1126">
        <f>IFERROR(INDEX(PP_Grid[#Data],$DE1126,37),0)</f>
        <v/>
      </c>
      <c r="AO1126">
        <f>IFERROR(INDEX(PP_Grid[#Data],$DE1126,38),0)</f>
        <v/>
      </c>
      <c r="AP1126">
        <f>IFERROR(INDEX(PP_Grid[#Data],$DE1126,39),0)</f>
        <v/>
      </c>
      <c r="AQ1126">
        <f>IFERROR(INDEX(PP_Grid[#Data],$DE1126,40),0)</f>
        <v/>
      </c>
      <c r="AR1126">
        <f>IFERROR(INDEX(PP_Grid[#Data],$DE1126,41),0)</f>
        <v/>
      </c>
      <c r="AS1126">
        <f>IFERROR(INDEX(PP_Grid[#Data],$DE1126,42),0)</f>
        <v/>
      </c>
      <c r="AT1126">
        <f>IFERROR(INDEX(PP_Grid[#Data],$DE1126,43),0)</f>
        <v/>
      </c>
      <c r="AU1126">
        <f>IFERROR(INDEX(PP_Grid[#Data],$DE1126,44),0)</f>
        <v/>
      </c>
      <c r="AV1126">
        <f>IFERROR(INDEX(PP_Grid[#Data],$DE1126,45),0)</f>
        <v/>
      </c>
      <c r="AW1126">
        <f>IFERROR(INDEX(PP_Grid[#Data],$DE1126,46),0)</f>
        <v/>
      </c>
      <c r="AX1126">
        <f>IFERROR(INDEX(PP_Grid[#Data],$DE1126,47),0)</f>
        <v/>
      </c>
      <c r="AY1126">
        <f>IFERROR(INDEX(PP_Grid[#Data],$DE1126,48),0)</f>
        <v/>
      </c>
      <c r="AZ1126">
        <f>IFERROR(INDEX(PP_Grid[#Data],$DE1126,49),0)</f>
        <v/>
      </c>
      <c r="BA1126">
        <f>IFERROR(INDEX(PP_Grid[#Data],$DE1126,50),0)</f>
        <v/>
      </c>
      <c r="BB1126">
        <f>IFERROR(INDEX(PP_Grid[#Data],$DE1126,51),0)</f>
        <v/>
      </c>
      <c r="BC1126">
        <f>IFERROR(INDEX(PP_Grid[#Data],$DE1126,52),0)</f>
        <v/>
      </c>
      <c r="BD1126">
        <f>IFERROR(INDEX(PP_Grid[#Data],$DE1126,53),0)</f>
        <v/>
      </c>
      <c r="BE1126">
        <f>IFERROR(INDEX(PP_Grid[#Data],$DE1126,54),0)</f>
        <v/>
      </c>
      <c r="BF1126">
        <f>IFERROR(INDEX(PP_Grid[#Data],$DE1126,55),0)</f>
        <v/>
      </c>
      <c r="BG1126">
        <f>IFERROR(INDEX(PP_Grid[#Data],$DE1126,56),0)</f>
        <v/>
      </c>
      <c r="BH1126">
        <f>IFERROR(INDEX(PP_Grid[#Data],$DE1126,57),0)</f>
        <v/>
      </c>
      <c r="BI1126">
        <f>IFERROR(INDEX(PP_Grid[#Data],$DE1126,58),0)</f>
        <v/>
      </c>
      <c r="BJ1126">
        <f>IFERROR(INDEX(PP_Grid[#Data],$DE1126,59),0)</f>
        <v/>
      </c>
      <c r="BK1126">
        <f>IFERROR(INDEX(PP_Grid[#Data],$DE1126,60),0)</f>
        <v/>
      </c>
      <c r="BL1126">
        <f>IFERROR(INDEX(PP_Grid[#Data],$DE1126,61),0)</f>
        <v/>
      </c>
      <c r="BM1126">
        <f>IFERROR(INDEX(PP_Grid[#Data],$DE1126,62),0)</f>
        <v/>
      </c>
      <c r="BN1126">
        <f>IFERROR(INDEX(PP_Grid[#Data],$DE1126,63),0)</f>
        <v/>
      </c>
      <c r="BO1126">
        <f>IFERROR(INDEX(PP_Grid[#Data],$DE1126,64),0)</f>
        <v/>
      </c>
      <c r="BP1126">
        <f>IFERROR(INDEX(PP_Grid[#Data],$DE1126,65),0)</f>
        <v/>
      </c>
      <c r="BQ1126">
        <f>IFERROR(INDEX(PP_Grid[#Data],$DE1126,66),0)</f>
        <v/>
      </c>
      <c r="BR1126">
        <f>IFERROR(INDEX(PP_Grid[#Data],$DE1126,67),0)</f>
        <v/>
      </c>
      <c r="BS1126">
        <f>IFERROR(INDEX(PP_Grid[#Data],$DE1126,68),0)</f>
        <v/>
      </c>
      <c r="BT1126">
        <f>IFERROR(INDEX(PP_Grid[#Data],$DE1126,69),0)</f>
        <v/>
      </c>
      <c r="BU1126">
        <f>IFERROR(INDEX(PP_Grid[#Data],$DE1126,70),0)</f>
        <v/>
      </c>
      <c r="BV1126">
        <f>IFERROR(INDEX(PP_Grid[#Data],$DE1126,71),0)</f>
        <v/>
      </c>
      <c r="BW1126">
        <f>IFERROR(INDEX(PP_Grid[#Data],$DE1126,72),0)</f>
        <v/>
      </c>
      <c r="BX1126">
        <f>IFERROR(INDEX(PP_Grid[#Data],$DE1126,73),0)</f>
        <v/>
      </c>
      <c r="BY1126">
        <f>IFERROR(INDEX(PP_Grid[#Data],$DE1126,74),0)</f>
        <v/>
      </c>
      <c r="BZ1126">
        <f>IFERROR(INDEX(PP_Grid[#Data],$DE1126,75),0)</f>
        <v/>
      </c>
      <c r="CA1126">
        <f>IFERROR(INDEX(PP_Grid[#Data],$DE1126,76),0)</f>
        <v/>
      </c>
      <c r="CB1126">
        <f>IFERROR(INDEX(PP_Grid[#Data],$DE1126,77),0)</f>
        <v/>
      </c>
      <c r="CC1126">
        <f>IFERROR(INDEX(PP_Grid[#Data],$DE1126,78),0)</f>
        <v/>
      </c>
      <c r="CD1126">
        <f>IFERROR(INDEX(PP_Grid[#Data],$DE1126,79),0)</f>
        <v/>
      </c>
      <c r="CE1126">
        <f>IFERROR(INDEX(PP_Grid[#Data],$DE1126,80),0)</f>
        <v/>
      </c>
      <c r="CF1126">
        <f>IFERROR(INDEX(PP_Grid[#Data],$DE1126,81),0)</f>
        <v/>
      </c>
      <c r="CG1126">
        <f>IFERROR(INDEX(PP_Grid[#Data],$DE1126,82),0)</f>
        <v/>
      </c>
      <c r="CH1126">
        <f>IFERROR(INDEX(PP_Grid[#Data],$DE1126,83),0)</f>
        <v/>
      </c>
      <c r="CI1126">
        <f>IFERROR(INDEX(PP_Grid[#Data],$DE1126,84),0)</f>
        <v/>
      </c>
      <c r="CJ1126">
        <f>IFERROR(INDEX(PP_Grid[#Data],$DE1126,85),0)</f>
        <v/>
      </c>
      <c r="CK1126">
        <f>IFERROR(INDEX(PP_Grid[#Data],$DE1126,86),0)</f>
        <v/>
      </c>
      <c r="CL1126">
        <f>IFERROR(INDEX(PP_Grid[#Data],$DE1126,87),0)</f>
        <v/>
      </c>
      <c r="CM1126">
        <f>IFERROR(INDEX(PP_Grid[#Data],$DE1126,88),0)</f>
        <v/>
      </c>
      <c r="CN1126">
        <f>IFERROR(INDEX(PP_Grid[#Data],$DE1126,89),0)</f>
        <v/>
      </c>
      <c r="CO1126">
        <f>IFERROR(INDEX(PP_Grid[#Data],$DE1126,90),0)</f>
        <v/>
      </c>
      <c r="CP1126">
        <f>IFERROR(INDEX(PP_Grid[#Data],$DE1126,91),0)</f>
        <v/>
      </c>
      <c r="CQ1126">
        <f>IFERROR(INDEX(PP_Grid[#Data],$DE1126,92),0)</f>
        <v/>
      </c>
      <c r="CR1126">
        <f>IFERROR(INDEX(PP_Grid[#Data],$DE1126,93),0)</f>
        <v/>
      </c>
      <c r="CS1126">
        <f>IFERROR(INDEX(PP_Grid[#Data],$DE1126,94),0)</f>
        <v/>
      </c>
      <c r="CT1126">
        <f>IFERROR(INDEX(PP_Grid[#Data],$DE1126,95),0)</f>
        <v/>
      </c>
      <c r="CU1126">
        <f>IFERROR(INDEX(PP_Grid[#Data],$DE1126,96),0)</f>
        <v/>
      </c>
      <c r="CV1126">
        <f>IFERROR(INDEX(PP_Grid[#Data],$DE1126,97),0)</f>
        <v/>
      </c>
      <c r="CW1126">
        <f>IFERROR(INDEX(PP_Grid[#Data],$DE1126,98),0)</f>
        <v/>
      </c>
      <c r="CX1126">
        <f>IFERROR(INDEX(PP_Grid[#Data],$DE1126,99),0)</f>
        <v/>
      </c>
      <c r="CY1126">
        <f>IFERROR(INDEX(PP_Grid[#Data],$DE1126,100),0)</f>
        <v/>
      </c>
      <c r="CZ1126">
        <f>IFERROR(INDEX(PP_Grid[#Data],$DE1126,101),0)</f>
        <v/>
      </c>
      <c r="DA1126">
        <f>IFERROR(INDEX(PP_Grid[#Data],$DE1126,102),0)</f>
        <v/>
      </c>
      <c r="DB1126">
        <f>IFERROR(INDEX(PP_Grid[#Data],$DE1126,103),0)</f>
        <v/>
      </c>
      <c r="DC1126">
        <f>IFERROR(INDEX(PP_Grid[#Data],$DE1126,104),0)</f>
        <v/>
      </c>
      <c r="DD1126">
        <f>IFERROR(INDEX(PP_Grid[#Data],$DE1126,105),0)</f>
        <v/>
      </c>
      <c r="DE1126" s="7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SUMIFS(M_BOM[RM_Qty_Per_Batch],M_BOM[Intermediate],$B1126,M_BOM[RM_Code],$A1101)</f>
        <v/>
      </c>
      <c r="D1127">
        <f>IFERROR(INDEX(E1127:DD1127,$F$1),"")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  <c r="DD1127">
        <f>$C1127*DD1126</f>
        <v/>
      </c>
    </row>
    <row r="1128">
      <c r="B1128" t="inlineStr">
        <is>
          <t>VSP-822</t>
        </is>
      </c>
      <c r="C1128" t="inlineStr">
        <is>
          <t>No. of batches</t>
        </is>
      </c>
      <c r="D1128">
        <f>IFERROR(INDEX(E1128:DD1128,$F$1),"")</f>
        <v/>
      </c>
      <c r="E1128">
        <f>IFERROR(INDEX(PP_Grid[#Data],$DE1128,2),0)</f>
        <v/>
      </c>
      <c r="F1128">
        <f>IFERROR(INDEX(PP_Grid[#Data],$DE1128,3),0)</f>
        <v/>
      </c>
      <c r="G1128">
        <f>IFERROR(INDEX(PP_Grid[#Data],$DE1128,4),0)</f>
        <v/>
      </c>
      <c r="H1128">
        <f>IFERROR(INDEX(PP_Grid[#Data],$DE1128,5),0)</f>
        <v/>
      </c>
      <c r="I1128">
        <f>IFERROR(INDEX(PP_Grid[#Data],$DE1128,6),0)</f>
        <v/>
      </c>
      <c r="J1128">
        <f>IFERROR(INDEX(PP_Grid[#Data],$DE1128,7),0)</f>
        <v/>
      </c>
      <c r="K1128">
        <f>IFERROR(INDEX(PP_Grid[#Data],$DE1128,8),0)</f>
        <v/>
      </c>
      <c r="L1128">
        <f>IFERROR(INDEX(PP_Grid[#Data],$DE1128,9),0)</f>
        <v/>
      </c>
      <c r="M1128">
        <f>IFERROR(INDEX(PP_Grid[#Data],$DE1128,10),0)</f>
        <v/>
      </c>
      <c r="N1128">
        <f>IFERROR(INDEX(PP_Grid[#Data],$DE1128,11),0)</f>
        <v/>
      </c>
      <c r="O1128">
        <f>IFERROR(INDEX(PP_Grid[#Data],$DE1128,12),0)</f>
        <v/>
      </c>
      <c r="P1128">
        <f>IFERROR(INDEX(PP_Grid[#Data],$DE1128,13),0)</f>
        <v/>
      </c>
      <c r="Q1128">
        <f>IFERROR(INDEX(PP_Grid[#Data],$DE1128,14),0)</f>
        <v/>
      </c>
      <c r="R1128">
        <f>IFERROR(INDEX(PP_Grid[#Data],$DE1128,15),0)</f>
        <v/>
      </c>
      <c r="S1128">
        <f>IFERROR(INDEX(PP_Grid[#Data],$DE1128,16),0)</f>
        <v/>
      </c>
      <c r="T1128">
        <f>IFERROR(INDEX(PP_Grid[#Data],$DE1128,17),0)</f>
        <v/>
      </c>
      <c r="U1128">
        <f>IFERROR(INDEX(PP_Grid[#Data],$DE1128,18),0)</f>
        <v/>
      </c>
      <c r="V1128">
        <f>IFERROR(INDEX(PP_Grid[#Data],$DE1128,19),0)</f>
        <v/>
      </c>
      <c r="W1128">
        <f>IFERROR(INDEX(PP_Grid[#Data],$DE1128,20),0)</f>
        <v/>
      </c>
      <c r="X1128">
        <f>IFERROR(INDEX(PP_Grid[#Data],$DE1128,21),0)</f>
        <v/>
      </c>
      <c r="Y1128">
        <f>IFERROR(INDEX(PP_Grid[#Data],$DE1128,22),0)</f>
        <v/>
      </c>
      <c r="Z1128">
        <f>IFERROR(INDEX(PP_Grid[#Data],$DE1128,23),0)</f>
        <v/>
      </c>
      <c r="AA1128">
        <f>IFERROR(INDEX(PP_Grid[#Data],$DE1128,24),0)</f>
        <v/>
      </c>
      <c r="AB1128">
        <f>IFERROR(INDEX(PP_Grid[#Data],$DE1128,25),0)</f>
        <v/>
      </c>
      <c r="AC1128">
        <f>IFERROR(INDEX(PP_Grid[#Data],$DE1128,26),0)</f>
        <v/>
      </c>
      <c r="AD1128">
        <f>IFERROR(INDEX(PP_Grid[#Data],$DE1128,27),0)</f>
        <v/>
      </c>
      <c r="AE1128">
        <f>IFERROR(INDEX(PP_Grid[#Data],$DE1128,28),0)</f>
        <v/>
      </c>
      <c r="AF1128">
        <f>IFERROR(INDEX(PP_Grid[#Data],$DE1128,29),0)</f>
        <v/>
      </c>
      <c r="AG1128">
        <f>IFERROR(INDEX(PP_Grid[#Data],$DE1128,30),0)</f>
        <v/>
      </c>
      <c r="AH1128">
        <f>IFERROR(INDEX(PP_Grid[#Data],$DE1128,31),0)</f>
        <v/>
      </c>
      <c r="AI1128">
        <f>IFERROR(INDEX(PP_Grid[#Data],$DE1128,32),0)</f>
        <v/>
      </c>
      <c r="AJ1128">
        <f>IFERROR(INDEX(PP_Grid[#Data],$DE1128,33),0)</f>
        <v/>
      </c>
      <c r="AK1128">
        <f>IFERROR(INDEX(PP_Grid[#Data],$DE1128,34),0)</f>
        <v/>
      </c>
      <c r="AL1128">
        <f>IFERROR(INDEX(PP_Grid[#Data],$DE1128,35),0)</f>
        <v/>
      </c>
      <c r="AM1128">
        <f>IFERROR(INDEX(PP_Grid[#Data],$DE1128,36),0)</f>
        <v/>
      </c>
      <c r="AN1128">
        <f>IFERROR(INDEX(PP_Grid[#Data],$DE1128,37),0)</f>
        <v/>
      </c>
      <c r="AO1128">
        <f>IFERROR(INDEX(PP_Grid[#Data],$DE1128,38),0)</f>
        <v/>
      </c>
      <c r="AP1128">
        <f>IFERROR(INDEX(PP_Grid[#Data],$DE1128,39),0)</f>
        <v/>
      </c>
      <c r="AQ1128">
        <f>IFERROR(INDEX(PP_Grid[#Data],$DE1128,40),0)</f>
        <v/>
      </c>
      <c r="AR1128">
        <f>IFERROR(INDEX(PP_Grid[#Data],$DE1128,41),0)</f>
        <v/>
      </c>
      <c r="AS1128">
        <f>IFERROR(INDEX(PP_Grid[#Data],$DE1128,42),0)</f>
        <v/>
      </c>
      <c r="AT1128">
        <f>IFERROR(INDEX(PP_Grid[#Data],$DE1128,43),0)</f>
        <v/>
      </c>
      <c r="AU1128">
        <f>IFERROR(INDEX(PP_Grid[#Data],$DE1128,44),0)</f>
        <v/>
      </c>
      <c r="AV1128">
        <f>IFERROR(INDEX(PP_Grid[#Data],$DE1128,45),0)</f>
        <v/>
      </c>
      <c r="AW1128">
        <f>IFERROR(INDEX(PP_Grid[#Data],$DE1128,46),0)</f>
        <v/>
      </c>
      <c r="AX1128">
        <f>IFERROR(INDEX(PP_Grid[#Data],$DE1128,47),0)</f>
        <v/>
      </c>
      <c r="AY1128">
        <f>IFERROR(INDEX(PP_Grid[#Data],$DE1128,48),0)</f>
        <v/>
      </c>
      <c r="AZ1128">
        <f>IFERROR(INDEX(PP_Grid[#Data],$DE1128,49),0)</f>
        <v/>
      </c>
      <c r="BA1128">
        <f>IFERROR(INDEX(PP_Grid[#Data],$DE1128,50),0)</f>
        <v/>
      </c>
      <c r="BB1128">
        <f>IFERROR(INDEX(PP_Grid[#Data],$DE1128,51),0)</f>
        <v/>
      </c>
      <c r="BC1128">
        <f>IFERROR(INDEX(PP_Grid[#Data],$DE1128,52),0)</f>
        <v/>
      </c>
      <c r="BD1128">
        <f>IFERROR(INDEX(PP_Grid[#Data],$DE1128,53),0)</f>
        <v/>
      </c>
      <c r="BE1128">
        <f>IFERROR(INDEX(PP_Grid[#Data],$DE1128,54),0)</f>
        <v/>
      </c>
      <c r="BF1128">
        <f>IFERROR(INDEX(PP_Grid[#Data],$DE1128,55),0)</f>
        <v/>
      </c>
      <c r="BG1128">
        <f>IFERROR(INDEX(PP_Grid[#Data],$DE1128,56),0)</f>
        <v/>
      </c>
      <c r="BH1128">
        <f>IFERROR(INDEX(PP_Grid[#Data],$DE1128,57),0)</f>
        <v/>
      </c>
      <c r="BI1128">
        <f>IFERROR(INDEX(PP_Grid[#Data],$DE1128,58),0)</f>
        <v/>
      </c>
      <c r="BJ1128">
        <f>IFERROR(INDEX(PP_Grid[#Data],$DE1128,59),0)</f>
        <v/>
      </c>
      <c r="BK1128">
        <f>IFERROR(INDEX(PP_Grid[#Data],$DE1128,60),0)</f>
        <v/>
      </c>
      <c r="BL1128">
        <f>IFERROR(INDEX(PP_Grid[#Data],$DE1128,61),0)</f>
        <v/>
      </c>
      <c r="BM1128">
        <f>IFERROR(INDEX(PP_Grid[#Data],$DE1128,62),0)</f>
        <v/>
      </c>
      <c r="BN1128">
        <f>IFERROR(INDEX(PP_Grid[#Data],$DE1128,63),0)</f>
        <v/>
      </c>
      <c r="BO1128">
        <f>IFERROR(INDEX(PP_Grid[#Data],$DE1128,64),0)</f>
        <v/>
      </c>
      <c r="BP1128">
        <f>IFERROR(INDEX(PP_Grid[#Data],$DE1128,65),0)</f>
        <v/>
      </c>
      <c r="BQ1128">
        <f>IFERROR(INDEX(PP_Grid[#Data],$DE1128,66),0)</f>
        <v/>
      </c>
      <c r="BR1128">
        <f>IFERROR(INDEX(PP_Grid[#Data],$DE1128,67),0)</f>
        <v/>
      </c>
      <c r="BS1128">
        <f>IFERROR(INDEX(PP_Grid[#Data],$DE1128,68),0)</f>
        <v/>
      </c>
      <c r="BT1128">
        <f>IFERROR(INDEX(PP_Grid[#Data],$DE1128,69),0)</f>
        <v/>
      </c>
      <c r="BU1128">
        <f>IFERROR(INDEX(PP_Grid[#Data],$DE1128,70),0)</f>
        <v/>
      </c>
      <c r="BV1128">
        <f>IFERROR(INDEX(PP_Grid[#Data],$DE1128,71),0)</f>
        <v/>
      </c>
      <c r="BW1128">
        <f>IFERROR(INDEX(PP_Grid[#Data],$DE1128,72),0)</f>
        <v/>
      </c>
      <c r="BX1128">
        <f>IFERROR(INDEX(PP_Grid[#Data],$DE1128,73),0)</f>
        <v/>
      </c>
      <c r="BY1128">
        <f>IFERROR(INDEX(PP_Grid[#Data],$DE1128,74),0)</f>
        <v/>
      </c>
      <c r="BZ1128">
        <f>IFERROR(INDEX(PP_Grid[#Data],$DE1128,75),0)</f>
        <v/>
      </c>
      <c r="CA1128">
        <f>IFERROR(INDEX(PP_Grid[#Data],$DE1128,76),0)</f>
        <v/>
      </c>
      <c r="CB1128">
        <f>IFERROR(INDEX(PP_Grid[#Data],$DE1128,77),0)</f>
        <v/>
      </c>
      <c r="CC1128">
        <f>IFERROR(INDEX(PP_Grid[#Data],$DE1128,78),0)</f>
        <v/>
      </c>
      <c r="CD1128">
        <f>IFERROR(INDEX(PP_Grid[#Data],$DE1128,79),0)</f>
        <v/>
      </c>
      <c r="CE1128">
        <f>IFERROR(INDEX(PP_Grid[#Data],$DE1128,80),0)</f>
        <v/>
      </c>
      <c r="CF1128">
        <f>IFERROR(INDEX(PP_Grid[#Data],$DE1128,81),0)</f>
        <v/>
      </c>
      <c r="CG1128">
        <f>IFERROR(INDEX(PP_Grid[#Data],$DE1128,82),0)</f>
        <v/>
      </c>
      <c r="CH1128">
        <f>IFERROR(INDEX(PP_Grid[#Data],$DE1128,83),0)</f>
        <v/>
      </c>
      <c r="CI1128">
        <f>IFERROR(INDEX(PP_Grid[#Data],$DE1128,84),0)</f>
        <v/>
      </c>
      <c r="CJ1128">
        <f>IFERROR(INDEX(PP_Grid[#Data],$DE1128,85),0)</f>
        <v/>
      </c>
      <c r="CK1128">
        <f>IFERROR(INDEX(PP_Grid[#Data],$DE1128,86),0)</f>
        <v/>
      </c>
      <c r="CL1128">
        <f>IFERROR(INDEX(PP_Grid[#Data],$DE1128,87),0)</f>
        <v/>
      </c>
      <c r="CM1128">
        <f>IFERROR(INDEX(PP_Grid[#Data],$DE1128,88),0)</f>
        <v/>
      </c>
      <c r="CN1128">
        <f>IFERROR(INDEX(PP_Grid[#Data],$DE1128,89),0)</f>
        <v/>
      </c>
      <c r="CO1128">
        <f>IFERROR(INDEX(PP_Grid[#Data],$DE1128,90),0)</f>
        <v/>
      </c>
      <c r="CP1128">
        <f>IFERROR(INDEX(PP_Grid[#Data],$DE1128,91),0)</f>
        <v/>
      </c>
      <c r="CQ1128">
        <f>IFERROR(INDEX(PP_Grid[#Data],$DE1128,92),0)</f>
        <v/>
      </c>
      <c r="CR1128">
        <f>IFERROR(INDEX(PP_Grid[#Data],$DE1128,93),0)</f>
        <v/>
      </c>
      <c r="CS1128">
        <f>IFERROR(INDEX(PP_Grid[#Data],$DE1128,94),0)</f>
        <v/>
      </c>
      <c r="CT1128">
        <f>IFERROR(INDEX(PP_Grid[#Data],$DE1128,95),0)</f>
        <v/>
      </c>
      <c r="CU1128">
        <f>IFERROR(INDEX(PP_Grid[#Data],$DE1128,96),0)</f>
        <v/>
      </c>
      <c r="CV1128">
        <f>IFERROR(INDEX(PP_Grid[#Data],$DE1128,97),0)</f>
        <v/>
      </c>
      <c r="CW1128">
        <f>IFERROR(INDEX(PP_Grid[#Data],$DE1128,98),0)</f>
        <v/>
      </c>
      <c r="CX1128">
        <f>IFERROR(INDEX(PP_Grid[#Data],$DE1128,99),0)</f>
        <v/>
      </c>
      <c r="CY1128">
        <f>IFERROR(INDEX(PP_Grid[#Data],$DE1128,100),0)</f>
        <v/>
      </c>
      <c r="CZ1128">
        <f>IFERROR(INDEX(PP_Grid[#Data],$DE1128,101),0)</f>
        <v/>
      </c>
      <c r="DA1128">
        <f>IFERROR(INDEX(PP_Grid[#Data],$DE1128,102),0)</f>
        <v/>
      </c>
      <c r="DB1128">
        <f>IFERROR(INDEX(PP_Grid[#Data],$DE1128,103),0)</f>
        <v/>
      </c>
      <c r="DC1128">
        <f>IFERROR(INDEX(PP_Grid[#Data],$DE1128,104),0)</f>
        <v/>
      </c>
      <c r="DD1128">
        <f>IFERROR(INDEX(PP_Grid[#Data],$DE1128,105),0)</f>
        <v/>
      </c>
      <c r="DE1128" s="7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SUMIFS(M_BOM[RM_Qty_Per_Batch],M_BOM[Intermediate],$B1128,M_BOM[RM_Code],$A1101)</f>
        <v/>
      </c>
      <c r="D1129">
        <f>IFERROR(INDEX(E1129:DD1129,$F$1),"")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  <c r="DD1129">
        <f>$C1129*DD1128</f>
        <v/>
      </c>
    </row>
    <row r="1130">
      <c r="B1130" t="inlineStr">
        <is>
          <t>VSP-870</t>
        </is>
      </c>
      <c r="C1130" t="inlineStr">
        <is>
          <t>No. of batches</t>
        </is>
      </c>
      <c r="D1130">
        <f>IFERROR(INDEX(E1130:DD1130,$F$1),"")</f>
        <v/>
      </c>
      <c r="E1130">
        <f>IFERROR(INDEX(PP_Grid[#Data],$DE1130,2),0)</f>
        <v/>
      </c>
      <c r="F1130">
        <f>IFERROR(INDEX(PP_Grid[#Data],$DE1130,3),0)</f>
        <v/>
      </c>
      <c r="G1130">
        <f>IFERROR(INDEX(PP_Grid[#Data],$DE1130,4),0)</f>
        <v/>
      </c>
      <c r="H1130">
        <f>IFERROR(INDEX(PP_Grid[#Data],$DE1130,5),0)</f>
        <v/>
      </c>
      <c r="I1130">
        <f>IFERROR(INDEX(PP_Grid[#Data],$DE1130,6),0)</f>
        <v/>
      </c>
      <c r="J1130">
        <f>IFERROR(INDEX(PP_Grid[#Data],$DE1130,7),0)</f>
        <v/>
      </c>
      <c r="K1130">
        <f>IFERROR(INDEX(PP_Grid[#Data],$DE1130,8),0)</f>
        <v/>
      </c>
      <c r="L1130">
        <f>IFERROR(INDEX(PP_Grid[#Data],$DE1130,9),0)</f>
        <v/>
      </c>
      <c r="M1130">
        <f>IFERROR(INDEX(PP_Grid[#Data],$DE1130,10),0)</f>
        <v/>
      </c>
      <c r="N1130">
        <f>IFERROR(INDEX(PP_Grid[#Data],$DE1130,11),0)</f>
        <v/>
      </c>
      <c r="O1130">
        <f>IFERROR(INDEX(PP_Grid[#Data],$DE1130,12),0)</f>
        <v/>
      </c>
      <c r="P1130">
        <f>IFERROR(INDEX(PP_Grid[#Data],$DE1130,13),0)</f>
        <v/>
      </c>
      <c r="Q1130">
        <f>IFERROR(INDEX(PP_Grid[#Data],$DE1130,14),0)</f>
        <v/>
      </c>
      <c r="R1130">
        <f>IFERROR(INDEX(PP_Grid[#Data],$DE1130,15),0)</f>
        <v/>
      </c>
      <c r="S1130">
        <f>IFERROR(INDEX(PP_Grid[#Data],$DE1130,16),0)</f>
        <v/>
      </c>
      <c r="T1130">
        <f>IFERROR(INDEX(PP_Grid[#Data],$DE1130,17),0)</f>
        <v/>
      </c>
      <c r="U1130">
        <f>IFERROR(INDEX(PP_Grid[#Data],$DE1130,18),0)</f>
        <v/>
      </c>
      <c r="V1130">
        <f>IFERROR(INDEX(PP_Grid[#Data],$DE1130,19),0)</f>
        <v/>
      </c>
      <c r="W1130">
        <f>IFERROR(INDEX(PP_Grid[#Data],$DE1130,20),0)</f>
        <v/>
      </c>
      <c r="X1130">
        <f>IFERROR(INDEX(PP_Grid[#Data],$DE1130,21),0)</f>
        <v/>
      </c>
      <c r="Y1130">
        <f>IFERROR(INDEX(PP_Grid[#Data],$DE1130,22),0)</f>
        <v/>
      </c>
      <c r="Z1130">
        <f>IFERROR(INDEX(PP_Grid[#Data],$DE1130,23),0)</f>
        <v/>
      </c>
      <c r="AA1130">
        <f>IFERROR(INDEX(PP_Grid[#Data],$DE1130,24),0)</f>
        <v/>
      </c>
      <c r="AB1130">
        <f>IFERROR(INDEX(PP_Grid[#Data],$DE1130,25),0)</f>
        <v/>
      </c>
      <c r="AC1130">
        <f>IFERROR(INDEX(PP_Grid[#Data],$DE1130,26),0)</f>
        <v/>
      </c>
      <c r="AD1130">
        <f>IFERROR(INDEX(PP_Grid[#Data],$DE1130,27),0)</f>
        <v/>
      </c>
      <c r="AE1130">
        <f>IFERROR(INDEX(PP_Grid[#Data],$DE1130,28),0)</f>
        <v/>
      </c>
      <c r="AF1130">
        <f>IFERROR(INDEX(PP_Grid[#Data],$DE1130,29),0)</f>
        <v/>
      </c>
      <c r="AG1130">
        <f>IFERROR(INDEX(PP_Grid[#Data],$DE1130,30),0)</f>
        <v/>
      </c>
      <c r="AH1130">
        <f>IFERROR(INDEX(PP_Grid[#Data],$DE1130,31),0)</f>
        <v/>
      </c>
      <c r="AI1130">
        <f>IFERROR(INDEX(PP_Grid[#Data],$DE1130,32),0)</f>
        <v/>
      </c>
      <c r="AJ1130">
        <f>IFERROR(INDEX(PP_Grid[#Data],$DE1130,33),0)</f>
        <v/>
      </c>
      <c r="AK1130">
        <f>IFERROR(INDEX(PP_Grid[#Data],$DE1130,34),0)</f>
        <v/>
      </c>
      <c r="AL1130">
        <f>IFERROR(INDEX(PP_Grid[#Data],$DE1130,35),0)</f>
        <v/>
      </c>
      <c r="AM1130">
        <f>IFERROR(INDEX(PP_Grid[#Data],$DE1130,36),0)</f>
        <v/>
      </c>
      <c r="AN1130">
        <f>IFERROR(INDEX(PP_Grid[#Data],$DE1130,37),0)</f>
        <v/>
      </c>
      <c r="AO1130">
        <f>IFERROR(INDEX(PP_Grid[#Data],$DE1130,38),0)</f>
        <v/>
      </c>
      <c r="AP1130">
        <f>IFERROR(INDEX(PP_Grid[#Data],$DE1130,39),0)</f>
        <v/>
      </c>
      <c r="AQ1130">
        <f>IFERROR(INDEX(PP_Grid[#Data],$DE1130,40),0)</f>
        <v/>
      </c>
      <c r="AR1130">
        <f>IFERROR(INDEX(PP_Grid[#Data],$DE1130,41),0)</f>
        <v/>
      </c>
      <c r="AS1130">
        <f>IFERROR(INDEX(PP_Grid[#Data],$DE1130,42),0)</f>
        <v/>
      </c>
      <c r="AT1130">
        <f>IFERROR(INDEX(PP_Grid[#Data],$DE1130,43),0)</f>
        <v/>
      </c>
      <c r="AU1130">
        <f>IFERROR(INDEX(PP_Grid[#Data],$DE1130,44),0)</f>
        <v/>
      </c>
      <c r="AV1130">
        <f>IFERROR(INDEX(PP_Grid[#Data],$DE1130,45),0)</f>
        <v/>
      </c>
      <c r="AW1130">
        <f>IFERROR(INDEX(PP_Grid[#Data],$DE1130,46),0)</f>
        <v/>
      </c>
      <c r="AX1130">
        <f>IFERROR(INDEX(PP_Grid[#Data],$DE1130,47),0)</f>
        <v/>
      </c>
      <c r="AY1130">
        <f>IFERROR(INDEX(PP_Grid[#Data],$DE1130,48),0)</f>
        <v/>
      </c>
      <c r="AZ1130">
        <f>IFERROR(INDEX(PP_Grid[#Data],$DE1130,49),0)</f>
        <v/>
      </c>
      <c r="BA1130">
        <f>IFERROR(INDEX(PP_Grid[#Data],$DE1130,50),0)</f>
        <v/>
      </c>
      <c r="BB1130">
        <f>IFERROR(INDEX(PP_Grid[#Data],$DE1130,51),0)</f>
        <v/>
      </c>
      <c r="BC1130">
        <f>IFERROR(INDEX(PP_Grid[#Data],$DE1130,52),0)</f>
        <v/>
      </c>
      <c r="BD1130">
        <f>IFERROR(INDEX(PP_Grid[#Data],$DE1130,53),0)</f>
        <v/>
      </c>
      <c r="BE1130">
        <f>IFERROR(INDEX(PP_Grid[#Data],$DE1130,54),0)</f>
        <v/>
      </c>
      <c r="BF1130">
        <f>IFERROR(INDEX(PP_Grid[#Data],$DE1130,55),0)</f>
        <v/>
      </c>
      <c r="BG1130">
        <f>IFERROR(INDEX(PP_Grid[#Data],$DE1130,56),0)</f>
        <v/>
      </c>
      <c r="BH1130">
        <f>IFERROR(INDEX(PP_Grid[#Data],$DE1130,57),0)</f>
        <v/>
      </c>
      <c r="BI1130">
        <f>IFERROR(INDEX(PP_Grid[#Data],$DE1130,58),0)</f>
        <v/>
      </c>
      <c r="BJ1130">
        <f>IFERROR(INDEX(PP_Grid[#Data],$DE1130,59),0)</f>
        <v/>
      </c>
      <c r="BK1130">
        <f>IFERROR(INDEX(PP_Grid[#Data],$DE1130,60),0)</f>
        <v/>
      </c>
      <c r="BL1130">
        <f>IFERROR(INDEX(PP_Grid[#Data],$DE1130,61),0)</f>
        <v/>
      </c>
      <c r="BM1130">
        <f>IFERROR(INDEX(PP_Grid[#Data],$DE1130,62),0)</f>
        <v/>
      </c>
      <c r="BN1130">
        <f>IFERROR(INDEX(PP_Grid[#Data],$DE1130,63),0)</f>
        <v/>
      </c>
      <c r="BO1130">
        <f>IFERROR(INDEX(PP_Grid[#Data],$DE1130,64),0)</f>
        <v/>
      </c>
      <c r="BP1130">
        <f>IFERROR(INDEX(PP_Grid[#Data],$DE1130,65),0)</f>
        <v/>
      </c>
      <c r="BQ1130">
        <f>IFERROR(INDEX(PP_Grid[#Data],$DE1130,66),0)</f>
        <v/>
      </c>
      <c r="BR1130">
        <f>IFERROR(INDEX(PP_Grid[#Data],$DE1130,67),0)</f>
        <v/>
      </c>
      <c r="BS1130">
        <f>IFERROR(INDEX(PP_Grid[#Data],$DE1130,68),0)</f>
        <v/>
      </c>
      <c r="BT1130">
        <f>IFERROR(INDEX(PP_Grid[#Data],$DE1130,69),0)</f>
        <v/>
      </c>
      <c r="BU1130">
        <f>IFERROR(INDEX(PP_Grid[#Data],$DE1130,70),0)</f>
        <v/>
      </c>
      <c r="BV1130">
        <f>IFERROR(INDEX(PP_Grid[#Data],$DE1130,71),0)</f>
        <v/>
      </c>
      <c r="BW1130">
        <f>IFERROR(INDEX(PP_Grid[#Data],$DE1130,72),0)</f>
        <v/>
      </c>
      <c r="BX1130">
        <f>IFERROR(INDEX(PP_Grid[#Data],$DE1130,73),0)</f>
        <v/>
      </c>
      <c r="BY1130">
        <f>IFERROR(INDEX(PP_Grid[#Data],$DE1130,74),0)</f>
        <v/>
      </c>
      <c r="BZ1130">
        <f>IFERROR(INDEX(PP_Grid[#Data],$DE1130,75),0)</f>
        <v/>
      </c>
      <c r="CA1130">
        <f>IFERROR(INDEX(PP_Grid[#Data],$DE1130,76),0)</f>
        <v/>
      </c>
      <c r="CB1130">
        <f>IFERROR(INDEX(PP_Grid[#Data],$DE1130,77),0)</f>
        <v/>
      </c>
      <c r="CC1130">
        <f>IFERROR(INDEX(PP_Grid[#Data],$DE1130,78),0)</f>
        <v/>
      </c>
      <c r="CD1130">
        <f>IFERROR(INDEX(PP_Grid[#Data],$DE1130,79),0)</f>
        <v/>
      </c>
      <c r="CE1130">
        <f>IFERROR(INDEX(PP_Grid[#Data],$DE1130,80),0)</f>
        <v/>
      </c>
      <c r="CF1130">
        <f>IFERROR(INDEX(PP_Grid[#Data],$DE1130,81),0)</f>
        <v/>
      </c>
      <c r="CG1130">
        <f>IFERROR(INDEX(PP_Grid[#Data],$DE1130,82),0)</f>
        <v/>
      </c>
      <c r="CH1130">
        <f>IFERROR(INDEX(PP_Grid[#Data],$DE1130,83),0)</f>
        <v/>
      </c>
      <c r="CI1130">
        <f>IFERROR(INDEX(PP_Grid[#Data],$DE1130,84),0)</f>
        <v/>
      </c>
      <c r="CJ1130">
        <f>IFERROR(INDEX(PP_Grid[#Data],$DE1130,85),0)</f>
        <v/>
      </c>
      <c r="CK1130">
        <f>IFERROR(INDEX(PP_Grid[#Data],$DE1130,86),0)</f>
        <v/>
      </c>
      <c r="CL1130">
        <f>IFERROR(INDEX(PP_Grid[#Data],$DE1130,87),0)</f>
        <v/>
      </c>
      <c r="CM1130">
        <f>IFERROR(INDEX(PP_Grid[#Data],$DE1130,88),0)</f>
        <v/>
      </c>
      <c r="CN1130">
        <f>IFERROR(INDEX(PP_Grid[#Data],$DE1130,89),0)</f>
        <v/>
      </c>
      <c r="CO1130">
        <f>IFERROR(INDEX(PP_Grid[#Data],$DE1130,90),0)</f>
        <v/>
      </c>
      <c r="CP1130">
        <f>IFERROR(INDEX(PP_Grid[#Data],$DE1130,91),0)</f>
        <v/>
      </c>
      <c r="CQ1130">
        <f>IFERROR(INDEX(PP_Grid[#Data],$DE1130,92),0)</f>
        <v/>
      </c>
      <c r="CR1130">
        <f>IFERROR(INDEX(PP_Grid[#Data],$DE1130,93),0)</f>
        <v/>
      </c>
      <c r="CS1130">
        <f>IFERROR(INDEX(PP_Grid[#Data],$DE1130,94),0)</f>
        <v/>
      </c>
      <c r="CT1130">
        <f>IFERROR(INDEX(PP_Grid[#Data],$DE1130,95),0)</f>
        <v/>
      </c>
      <c r="CU1130">
        <f>IFERROR(INDEX(PP_Grid[#Data],$DE1130,96),0)</f>
        <v/>
      </c>
      <c r="CV1130">
        <f>IFERROR(INDEX(PP_Grid[#Data],$DE1130,97),0)</f>
        <v/>
      </c>
      <c r="CW1130">
        <f>IFERROR(INDEX(PP_Grid[#Data],$DE1130,98),0)</f>
        <v/>
      </c>
      <c r="CX1130">
        <f>IFERROR(INDEX(PP_Grid[#Data],$DE1130,99),0)</f>
        <v/>
      </c>
      <c r="CY1130">
        <f>IFERROR(INDEX(PP_Grid[#Data],$DE1130,100),0)</f>
        <v/>
      </c>
      <c r="CZ1130">
        <f>IFERROR(INDEX(PP_Grid[#Data],$DE1130,101),0)</f>
        <v/>
      </c>
      <c r="DA1130">
        <f>IFERROR(INDEX(PP_Grid[#Data],$DE1130,102),0)</f>
        <v/>
      </c>
      <c r="DB1130">
        <f>IFERROR(INDEX(PP_Grid[#Data],$DE1130,103),0)</f>
        <v/>
      </c>
      <c r="DC1130">
        <f>IFERROR(INDEX(PP_Grid[#Data],$DE1130,104),0)</f>
        <v/>
      </c>
      <c r="DD1130">
        <f>IFERROR(INDEX(PP_Grid[#Data],$DE1130,105),0)</f>
        <v/>
      </c>
      <c r="DE1130" s="7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SUMIFS(M_BOM[RM_Qty_Per_Batch],M_BOM[Intermediate],$B1130,M_BOM[RM_Code],$A1101)</f>
        <v/>
      </c>
      <c r="D1131">
        <f>IFERROR(INDEX(E1131:DD1131,$F$1),"")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  <c r="DD1131">
        <f>$C1131*DD1130</f>
        <v/>
      </c>
    </row>
    <row r="1132">
      <c r="B1132" t="inlineStr">
        <is>
          <t>VSP-910</t>
        </is>
      </c>
      <c r="C1132" t="inlineStr">
        <is>
          <t>No. of batches</t>
        </is>
      </c>
      <c r="D1132">
        <f>IFERROR(INDEX(E1132:DD1132,$F$1),"")</f>
        <v/>
      </c>
      <c r="E1132">
        <f>IFERROR(INDEX(PP_Grid[#Data],$DE1132,2),0)</f>
        <v/>
      </c>
      <c r="F1132">
        <f>IFERROR(INDEX(PP_Grid[#Data],$DE1132,3),0)</f>
        <v/>
      </c>
      <c r="G1132">
        <f>IFERROR(INDEX(PP_Grid[#Data],$DE1132,4),0)</f>
        <v/>
      </c>
      <c r="H1132">
        <f>IFERROR(INDEX(PP_Grid[#Data],$DE1132,5),0)</f>
        <v/>
      </c>
      <c r="I1132">
        <f>IFERROR(INDEX(PP_Grid[#Data],$DE1132,6),0)</f>
        <v/>
      </c>
      <c r="J1132">
        <f>IFERROR(INDEX(PP_Grid[#Data],$DE1132,7),0)</f>
        <v/>
      </c>
      <c r="K1132">
        <f>IFERROR(INDEX(PP_Grid[#Data],$DE1132,8),0)</f>
        <v/>
      </c>
      <c r="L1132">
        <f>IFERROR(INDEX(PP_Grid[#Data],$DE1132,9),0)</f>
        <v/>
      </c>
      <c r="M1132">
        <f>IFERROR(INDEX(PP_Grid[#Data],$DE1132,10),0)</f>
        <v/>
      </c>
      <c r="N1132">
        <f>IFERROR(INDEX(PP_Grid[#Data],$DE1132,11),0)</f>
        <v/>
      </c>
      <c r="O1132">
        <f>IFERROR(INDEX(PP_Grid[#Data],$DE1132,12),0)</f>
        <v/>
      </c>
      <c r="P1132">
        <f>IFERROR(INDEX(PP_Grid[#Data],$DE1132,13),0)</f>
        <v/>
      </c>
      <c r="Q1132">
        <f>IFERROR(INDEX(PP_Grid[#Data],$DE1132,14),0)</f>
        <v/>
      </c>
      <c r="R1132">
        <f>IFERROR(INDEX(PP_Grid[#Data],$DE1132,15),0)</f>
        <v/>
      </c>
      <c r="S1132">
        <f>IFERROR(INDEX(PP_Grid[#Data],$DE1132,16),0)</f>
        <v/>
      </c>
      <c r="T1132">
        <f>IFERROR(INDEX(PP_Grid[#Data],$DE1132,17),0)</f>
        <v/>
      </c>
      <c r="U1132">
        <f>IFERROR(INDEX(PP_Grid[#Data],$DE1132,18),0)</f>
        <v/>
      </c>
      <c r="V1132">
        <f>IFERROR(INDEX(PP_Grid[#Data],$DE1132,19),0)</f>
        <v/>
      </c>
      <c r="W1132">
        <f>IFERROR(INDEX(PP_Grid[#Data],$DE1132,20),0)</f>
        <v/>
      </c>
      <c r="X1132">
        <f>IFERROR(INDEX(PP_Grid[#Data],$DE1132,21),0)</f>
        <v/>
      </c>
      <c r="Y1132">
        <f>IFERROR(INDEX(PP_Grid[#Data],$DE1132,22),0)</f>
        <v/>
      </c>
      <c r="Z1132">
        <f>IFERROR(INDEX(PP_Grid[#Data],$DE1132,23),0)</f>
        <v/>
      </c>
      <c r="AA1132">
        <f>IFERROR(INDEX(PP_Grid[#Data],$DE1132,24),0)</f>
        <v/>
      </c>
      <c r="AB1132">
        <f>IFERROR(INDEX(PP_Grid[#Data],$DE1132,25),0)</f>
        <v/>
      </c>
      <c r="AC1132">
        <f>IFERROR(INDEX(PP_Grid[#Data],$DE1132,26),0)</f>
        <v/>
      </c>
      <c r="AD1132">
        <f>IFERROR(INDEX(PP_Grid[#Data],$DE1132,27),0)</f>
        <v/>
      </c>
      <c r="AE1132">
        <f>IFERROR(INDEX(PP_Grid[#Data],$DE1132,28),0)</f>
        <v/>
      </c>
      <c r="AF1132">
        <f>IFERROR(INDEX(PP_Grid[#Data],$DE1132,29),0)</f>
        <v/>
      </c>
      <c r="AG1132">
        <f>IFERROR(INDEX(PP_Grid[#Data],$DE1132,30),0)</f>
        <v/>
      </c>
      <c r="AH1132">
        <f>IFERROR(INDEX(PP_Grid[#Data],$DE1132,31),0)</f>
        <v/>
      </c>
      <c r="AI1132">
        <f>IFERROR(INDEX(PP_Grid[#Data],$DE1132,32),0)</f>
        <v/>
      </c>
      <c r="AJ1132">
        <f>IFERROR(INDEX(PP_Grid[#Data],$DE1132,33),0)</f>
        <v/>
      </c>
      <c r="AK1132">
        <f>IFERROR(INDEX(PP_Grid[#Data],$DE1132,34),0)</f>
        <v/>
      </c>
      <c r="AL1132">
        <f>IFERROR(INDEX(PP_Grid[#Data],$DE1132,35),0)</f>
        <v/>
      </c>
      <c r="AM1132">
        <f>IFERROR(INDEX(PP_Grid[#Data],$DE1132,36),0)</f>
        <v/>
      </c>
      <c r="AN1132">
        <f>IFERROR(INDEX(PP_Grid[#Data],$DE1132,37),0)</f>
        <v/>
      </c>
      <c r="AO1132">
        <f>IFERROR(INDEX(PP_Grid[#Data],$DE1132,38),0)</f>
        <v/>
      </c>
      <c r="AP1132">
        <f>IFERROR(INDEX(PP_Grid[#Data],$DE1132,39),0)</f>
        <v/>
      </c>
      <c r="AQ1132">
        <f>IFERROR(INDEX(PP_Grid[#Data],$DE1132,40),0)</f>
        <v/>
      </c>
      <c r="AR1132">
        <f>IFERROR(INDEX(PP_Grid[#Data],$DE1132,41),0)</f>
        <v/>
      </c>
      <c r="AS1132">
        <f>IFERROR(INDEX(PP_Grid[#Data],$DE1132,42),0)</f>
        <v/>
      </c>
      <c r="AT1132">
        <f>IFERROR(INDEX(PP_Grid[#Data],$DE1132,43),0)</f>
        <v/>
      </c>
      <c r="AU1132">
        <f>IFERROR(INDEX(PP_Grid[#Data],$DE1132,44),0)</f>
        <v/>
      </c>
      <c r="AV1132">
        <f>IFERROR(INDEX(PP_Grid[#Data],$DE1132,45),0)</f>
        <v/>
      </c>
      <c r="AW1132">
        <f>IFERROR(INDEX(PP_Grid[#Data],$DE1132,46),0)</f>
        <v/>
      </c>
      <c r="AX1132">
        <f>IFERROR(INDEX(PP_Grid[#Data],$DE1132,47),0)</f>
        <v/>
      </c>
      <c r="AY1132">
        <f>IFERROR(INDEX(PP_Grid[#Data],$DE1132,48),0)</f>
        <v/>
      </c>
      <c r="AZ1132">
        <f>IFERROR(INDEX(PP_Grid[#Data],$DE1132,49),0)</f>
        <v/>
      </c>
      <c r="BA1132">
        <f>IFERROR(INDEX(PP_Grid[#Data],$DE1132,50),0)</f>
        <v/>
      </c>
      <c r="BB1132">
        <f>IFERROR(INDEX(PP_Grid[#Data],$DE1132,51),0)</f>
        <v/>
      </c>
      <c r="BC1132">
        <f>IFERROR(INDEX(PP_Grid[#Data],$DE1132,52),0)</f>
        <v/>
      </c>
      <c r="BD1132">
        <f>IFERROR(INDEX(PP_Grid[#Data],$DE1132,53),0)</f>
        <v/>
      </c>
      <c r="BE1132">
        <f>IFERROR(INDEX(PP_Grid[#Data],$DE1132,54),0)</f>
        <v/>
      </c>
      <c r="BF1132">
        <f>IFERROR(INDEX(PP_Grid[#Data],$DE1132,55),0)</f>
        <v/>
      </c>
      <c r="BG1132">
        <f>IFERROR(INDEX(PP_Grid[#Data],$DE1132,56),0)</f>
        <v/>
      </c>
      <c r="BH1132">
        <f>IFERROR(INDEX(PP_Grid[#Data],$DE1132,57),0)</f>
        <v/>
      </c>
      <c r="BI1132">
        <f>IFERROR(INDEX(PP_Grid[#Data],$DE1132,58),0)</f>
        <v/>
      </c>
      <c r="BJ1132">
        <f>IFERROR(INDEX(PP_Grid[#Data],$DE1132,59),0)</f>
        <v/>
      </c>
      <c r="BK1132">
        <f>IFERROR(INDEX(PP_Grid[#Data],$DE1132,60),0)</f>
        <v/>
      </c>
      <c r="BL1132">
        <f>IFERROR(INDEX(PP_Grid[#Data],$DE1132,61),0)</f>
        <v/>
      </c>
      <c r="BM1132">
        <f>IFERROR(INDEX(PP_Grid[#Data],$DE1132,62),0)</f>
        <v/>
      </c>
      <c r="BN1132">
        <f>IFERROR(INDEX(PP_Grid[#Data],$DE1132,63),0)</f>
        <v/>
      </c>
      <c r="BO1132">
        <f>IFERROR(INDEX(PP_Grid[#Data],$DE1132,64),0)</f>
        <v/>
      </c>
      <c r="BP1132">
        <f>IFERROR(INDEX(PP_Grid[#Data],$DE1132,65),0)</f>
        <v/>
      </c>
      <c r="BQ1132">
        <f>IFERROR(INDEX(PP_Grid[#Data],$DE1132,66),0)</f>
        <v/>
      </c>
      <c r="BR1132">
        <f>IFERROR(INDEX(PP_Grid[#Data],$DE1132,67),0)</f>
        <v/>
      </c>
      <c r="BS1132">
        <f>IFERROR(INDEX(PP_Grid[#Data],$DE1132,68),0)</f>
        <v/>
      </c>
      <c r="BT1132">
        <f>IFERROR(INDEX(PP_Grid[#Data],$DE1132,69),0)</f>
        <v/>
      </c>
      <c r="BU1132">
        <f>IFERROR(INDEX(PP_Grid[#Data],$DE1132,70),0)</f>
        <v/>
      </c>
      <c r="BV1132">
        <f>IFERROR(INDEX(PP_Grid[#Data],$DE1132,71),0)</f>
        <v/>
      </c>
      <c r="BW1132">
        <f>IFERROR(INDEX(PP_Grid[#Data],$DE1132,72),0)</f>
        <v/>
      </c>
      <c r="BX1132">
        <f>IFERROR(INDEX(PP_Grid[#Data],$DE1132,73),0)</f>
        <v/>
      </c>
      <c r="BY1132">
        <f>IFERROR(INDEX(PP_Grid[#Data],$DE1132,74),0)</f>
        <v/>
      </c>
      <c r="BZ1132">
        <f>IFERROR(INDEX(PP_Grid[#Data],$DE1132,75),0)</f>
        <v/>
      </c>
      <c r="CA1132">
        <f>IFERROR(INDEX(PP_Grid[#Data],$DE1132,76),0)</f>
        <v/>
      </c>
      <c r="CB1132">
        <f>IFERROR(INDEX(PP_Grid[#Data],$DE1132,77),0)</f>
        <v/>
      </c>
      <c r="CC1132">
        <f>IFERROR(INDEX(PP_Grid[#Data],$DE1132,78),0)</f>
        <v/>
      </c>
      <c r="CD1132">
        <f>IFERROR(INDEX(PP_Grid[#Data],$DE1132,79),0)</f>
        <v/>
      </c>
      <c r="CE1132">
        <f>IFERROR(INDEX(PP_Grid[#Data],$DE1132,80),0)</f>
        <v/>
      </c>
      <c r="CF1132">
        <f>IFERROR(INDEX(PP_Grid[#Data],$DE1132,81),0)</f>
        <v/>
      </c>
      <c r="CG1132">
        <f>IFERROR(INDEX(PP_Grid[#Data],$DE1132,82),0)</f>
        <v/>
      </c>
      <c r="CH1132">
        <f>IFERROR(INDEX(PP_Grid[#Data],$DE1132,83),0)</f>
        <v/>
      </c>
      <c r="CI1132">
        <f>IFERROR(INDEX(PP_Grid[#Data],$DE1132,84),0)</f>
        <v/>
      </c>
      <c r="CJ1132">
        <f>IFERROR(INDEX(PP_Grid[#Data],$DE1132,85),0)</f>
        <v/>
      </c>
      <c r="CK1132">
        <f>IFERROR(INDEX(PP_Grid[#Data],$DE1132,86),0)</f>
        <v/>
      </c>
      <c r="CL1132">
        <f>IFERROR(INDEX(PP_Grid[#Data],$DE1132,87),0)</f>
        <v/>
      </c>
      <c r="CM1132">
        <f>IFERROR(INDEX(PP_Grid[#Data],$DE1132,88),0)</f>
        <v/>
      </c>
      <c r="CN1132">
        <f>IFERROR(INDEX(PP_Grid[#Data],$DE1132,89),0)</f>
        <v/>
      </c>
      <c r="CO1132">
        <f>IFERROR(INDEX(PP_Grid[#Data],$DE1132,90),0)</f>
        <v/>
      </c>
      <c r="CP1132">
        <f>IFERROR(INDEX(PP_Grid[#Data],$DE1132,91),0)</f>
        <v/>
      </c>
      <c r="CQ1132">
        <f>IFERROR(INDEX(PP_Grid[#Data],$DE1132,92),0)</f>
        <v/>
      </c>
      <c r="CR1132">
        <f>IFERROR(INDEX(PP_Grid[#Data],$DE1132,93),0)</f>
        <v/>
      </c>
      <c r="CS1132">
        <f>IFERROR(INDEX(PP_Grid[#Data],$DE1132,94),0)</f>
        <v/>
      </c>
      <c r="CT1132">
        <f>IFERROR(INDEX(PP_Grid[#Data],$DE1132,95),0)</f>
        <v/>
      </c>
      <c r="CU1132">
        <f>IFERROR(INDEX(PP_Grid[#Data],$DE1132,96),0)</f>
        <v/>
      </c>
      <c r="CV1132">
        <f>IFERROR(INDEX(PP_Grid[#Data],$DE1132,97),0)</f>
        <v/>
      </c>
      <c r="CW1132">
        <f>IFERROR(INDEX(PP_Grid[#Data],$DE1132,98),0)</f>
        <v/>
      </c>
      <c r="CX1132">
        <f>IFERROR(INDEX(PP_Grid[#Data],$DE1132,99),0)</f>
        <v/>
      </c>
      <c r="CY1132">
        <f>IFERROR(INDEX(PP_Grid[#Data],$DE1132,100),0)</f>
        <v/>
      </c>
      <c r="CZ1132">
        <f>IFERROR(INDEX(PP_Grid[#Data],$DE1132,101),0)</f>
        <v/>
      </c>
      <c r="DA1132">
        <f>IFERROR(INDEX(PP_Grid[#Data],$DE1132,102),0)</f>
        <v/>
      </c>
      <c r="DB1132">
        <f>IFERROR(INDEX(PP_Grid[#Data],$DE1132,103),0)</f>
        <v/>
      </c>
      <c r="DC1132">
        <f>IFERROR(INDEX(PP_Grid[#Data],$DE1132,104),0)</f>
        <v/>
      </c>
      <c r="DD1132">
        <f>IFERROR(INDEX(PP_Grid[#Data],$DE1132,105),0)</f>
        <v/>
      </c>
      <c r="DE1132" s="7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SUMIFS(M_BOM[RM_Qty_Per_Batch],M_BOM[Intermediate],$B1132,M_BOM[RM_Code],$A1101)</f>
        <v/>
      </c>
      <c r="D1133">
        <f>IFERROR(INDEX(E1133:DD1133,$F$1),"")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  <c r="DD1133">
        <f>$C1133*DD1132</f>
        <v/>
      </c>
    </row>
    <row r="1134">
      <c r="B1134" t="inlineStr">
        <is>
          <t>VSP-990</t>
        </is>
      </c>
      <c r="C1134" t="inlineStr">
        <is>
          <t>No. of batches</t>
        </is>
      </c>
      <c r="D1134">
        <f>IFERROR(INDEX(E1134:DD1134,$F$1),"")</f>
        <v/>
      </c>
      <c r="E1134">
        <f>IFERROR(INDEX(PP_Grid[#Data],$DE1134,2),0)</f>
        <v/>
      </c>
      <c r="F1134">
        <f>IFERROR(INDEX(PP_Grid[#Data],$DE1134,3),0)</f>
        <v/>
      </c>
      <c r="G1134">
        <f>IFERROR(INDEX(PP_Grid[#Data],$DE1134,4),0)</f>
        <v/>
      </c>
      <c r="H1134">
        <f>IFERROR(INDEX(PP_Grid[#Data],$DE1134,5),0)</f>
        <v/>
      </c>
      <c r="I1134">
        <f>IFERROR(INDEX(PP_Grid[#Data],$DE1134,6),0)</f>
        <v/>
      </c>
      <c r="J1134">
        <f>IFERROR(INDEX(PP_Grid[#Data],$DE1134,7),0)</f>
        <v/>
      </c>
      <c r="K1134">
        <f>IFERROR(INDEX(PP_Grid[#Data],$DE1134,8),0)</f>
        <v/>
      </c>
      <c r="L1134">
        <f>IFERROR(INDEX(PP_Grid[#Data],$DE1134,9),0)</f>
        <v/>
      </c>
      <c r="M1134">
        <f>IFERROR(INDEX(PP_Grid[#Data],$DE1134,10),0)</f>
        <v/>
      </c>
      <c r="N1134">
        <f>IFERROR(INDEX(PP_Grid[#Data],$DE1134,11),0)</f>
        <v/>
      </c>
      <c r="O1134">
        <f>IFERROR(INDEX(PP_Grid[#Data],$DE1134,12),0)</f>
        <v/>
      </c>
      <c r="P1134">
        <f>IFERROR(INDEX(PP_Grid[#Data],$DE1134,13),0)</f>
        <v/>
      </c>
      <c r="Q1134">
        <f>IFERROR(INDEX(PP_Grid[#Data],$DE1134,14),0)</f>
        <v/>
      </c>
      <c r="R1134">
        <f>IFERROR(INDEX(PP_Grid[#Data],$DE1134,15),0)</f>
        <v/>
      </c>
      <c r="S1134">
        <f>IFERROR(INDEX(PP_Grid[#Data],$DE1134,16),0)</f>
        <v/>
      </c>
      <c r="T1134">
        <f>IFERROR(INDEX(PP_Grid[#Data],$DE1134,17),0)</f>
        <v/>
      </c>
      <c r="U1134">
        <f>IFERROR(INDEX(PP_Grid[#Data],$DE1134,18),0)</f>
        <v/>
      </c>
      <c r="V1134">
        <f>IFERROR(INDEX(PP_Grid[#Data],$DE1134,19),0)</f>
        <v/>
      </c>
      <c r="W1134">
        <f>IFERROR(INDEX(PP_Grid[#Data],$DE1134,20),0)</f>
        <v/>
      </c>
      <c r="X1134">
        <f>IFERROR(INDEX(PP_Grid[#Data],$DE1134,21),0)</f>
        <v/>
      </c>
      <c r="Y1134">
        <f>IFERROR(INDEX(PP_Grid[#Data],$DE1134,22),0)</f>
        <v/>
      </c>
      <c r="Z1134">
        <f>IFERROR(INDEX(PP_Grid[#Data],$DE1134,23),0)</f>
        <v/>
      </c>
      <c r="AA1134">
        <f>IFERROR(INDEX(PP_Grid[#Data],$DE1134,24),0)</f>
        <v/>
      </c>
      <c r="AB1134">
        <f>IFERROR(INDEX(PP_Grid[#Data],$DE1134,25),0)</f>
        <v/>
      </c>
      <c r="AC1134">
        <f>IFERROR(INDEX(PP_Grid[#Data],$DE1134,26),0)</f>
        <v/>
      </c>
      <c r="AD1134">
        <f>IFERROR(INDEX(PP_Grid[#Data],$DE1134,27),0)</f>
        <v/>
      </c>
      <c r="AE1134">
        <f>IFERROR(INDEX(PP_Grid[#Data],$DE1134,28),0)</f>
        <v/>
      </c>
      <c r="AF1134">
        <f>IFERROR(INDEX(PP_Grid[#Data],$DE1134,29),0)</f>
        <v/>
      </c>
      <c r="AG1134">
        <f>IFERROR(INDEX(PP_Grid[#Data],$DE1134,30),0)</f>
        <v/>
      </c>
      <c r="AH1134">
        <f>IFERROR(INDEX(PP_Grid[#Data],$DE1134,31),0)</f>
        <v/>
      </c>
      <c r="AI1134">
        <f>IFERROR(INDEX(PP_Grid[#Data],$DE1134,32),0)</f>
        <v/>
      </c>
      <c r="AJ1134">
        <f>IFERROR(INDEX(PP_Grid[#Data],$DE1134,33),0)</f>
        <v/>
      </c>
      <c r="AK1134">
        <f>IFERROR(INDEX(PP_Grid[#Data],$DE1134,34),0)</f>
        <v/>
      </c>
      <c r="AL1134">
        <f>IFERROR(INDEX(PP_Grid[#Data],$DE1134,35),0)</f>
        <v/>
      </c>
      <c r="AM1134">
        <f>IFERROR(INDEX(PP_Grid[#Data],$DE1134,36),0)</f>
        <v/>
      </c>
      <c r="AN1134">
        <f>IFERROR(INDEX(PP_Grid[#Data],$DE1134,37),0)</f>
        <v/>
      </c>
      <c r="AO1134">
        <f>IFERROR(INDEX(PP_Grid[#Data],$DE1134,38),0)</f>
        <v/>
      </c>
      <c r="AP1134">
        <f>IFERROR(INDEX(PP_Grid[#Data],$DE1134,39),0)</f>
        <v/>
      </c>
      <c r="AQ1134">
        <f>IFERROR(INDEX(PP_Grid[#Data],$DE1134,40),0)</f>
        <v/>
      </c>
      <c r="AR1134">
        <f>IFERROR(INDEX(PP_Grid[#Data],$DE1134,41),0)</f>
        <v/>
      </c>
      <c r="AS1134">
        <f>IFERROR(INDEX(PP_Grid[#Data],$DE1134,42),0)</f>
        <v/>
      </c>
      <c r="AT1134">
        <f>IFERROR(INDEX(PP_Grid[#Data],$DE1134,43),0)</f>
        <v/>
      </c>
      <c r="AU1134">
        <f>IFERROR(INDEX(PP_Grid[#Data],$DE1134,44),0)</f>
        <v/>
      </c>
      <c r="AV1134">
        <f>IFERROR(INDEX(PP_Grid[#Data],$DE1134,45),0)</f>
        <v/>
      </c>
      <c r="AW1134">
        <f>IFERROR(INDEX(PP_Grid[#Data],$DE1134,46),0)</f>
        <v/>
      </c>
      <c r="AX1134">
        <f>IFERROR(INDEX(PP_Grid[#Data],$DE1134,47),0)</f>
        <v/>
      </c>
      <c r="AY1134">
        <f>IFERROR(INDEX(PP_Grid[#Data],$DE1134,48),0)</f>
        <v/>
      </c>
      <c r="AZ1134">
        <f>IFERROR(INDEX(PP_Grid[#Data],$DE1134,49),0)</f>
        <v/>
      </c>
      <c r="BA1134">
        <f>IFERROR(INDEX(PP_Grid[#Data],$DE1134,50),0)</f>
        <v/>
      </c>
      <c r="BB1134">
        <f>IFERROR(INDEX(PP_Grid[#Data],$DE1134,51),0)</f>
        <v/>
      </c>
      <c r="BC1134">
        <f>IFERROR(INDEX(PP_Grid[#Data],$DE1134,52),0)</f>
        <v/>
      </c>
      <c r="BD1134">
        <f>IFERROR(INDEX(PP_Grid[#Data],$DE1134,53),0)</f>
        <v/>
      </c>
      <c r="BE1134">
        <f>IFERROR(INDEX(PP_Grid[#Data],$DE1134,54),0)</f>
        <v/>
      </c>
      <c r="BF1134">
        <f>IFERROR(INDEX(PP_Grid[#Data],$DE1134,55),0)</f>
        <v/>
      </c>
      <c r="BG1134">
        <f>IFERROR(INDEX(PP_Grid[#Data],$DE1134,56),0)</f>
        <v/>
      </c>
      <c r="BH1134">
        <f>IFERROR(INDEX(PP_Grid[#Data],$DE1134,57),0)</f>
        <v/>
      </c>
      <c r="BI1134">
        <f>IFERROR(INDEX(PP_Grid[#Data],$DE1134,58),0)</f>
        <v/>
      </c>
      <c r="BJ1134">
        <f>IFERROR(INDEX(PP_Grid[#Data],$DE1134,59),0)</f>
        <v/>
      </c>
      <c r="BK1134">
        <f>IFERROR(INDEX(PP_Grid[#Data],$DE1134,60),0)</f>
        <v/>
      </c>
      <c r="BL1134">
        <f>IFERROR(INDEX(PP_Grid[#Data],$DE1134,61),0)</f>
        <v/>
      </c>
      <c r="BM1134">
        <f>IFERROR(INDEX(PP_Grid[#Data],$DE1134,62),0)</f>
        <v/>
      </c>
      <c r="BN1134">
        <f>IFERROR(INDEX(PP_Grid[#Data],$DE1134,63),0)</f>
        <v/>
      </c>
      <c r="BO1134">
        <f>IFERROR(INDEX(PP_Grid[#Data],$DE1134,64),0)</f>
        <v/>
      </c>
      <c r="BP1134">
        <f>IFERROR(INDEX(PP_Grid[#Data],$DE1134,65),0)</f>
        <v/>
      </c>
      <c r="BQ1134">
        <f>IFERROR(INDEX(PP_Grid[#Data],$DE1134,66),0)</f>
        <v/>
      </c>
      <c r="BR1134">
        <f>IFERROR(INDEX(PP_Grid[#Data],$DE1134,67),0)</f>
        <v/>
      </c>
      <c r="BS1134">
        <f>IFERROR(INDEX(PP_Grid[#Data],$DE1134,68),0)</f>
        <v/>
      </c>
      <c r="BT1134">
        <f>IFERROR(INDEX(PP_Grid[#Data],$DE1134,69),0)</f>
        <v/>
      </c>
      <c r="BU1134">
        <f>IFERROR(INDEX(PP_Grid[#Data],$DE1134,70),0)</f>
        <v/>
      </c>
      <c r="BV1134">
        <f>IFERROR(INDEX(PP_Grid[#Data],$DE1134,71),0)</f>
        <v/>
      </c>
      <c r="BW1134">
        <f>IFERROR(INDEX(PP_Grid[#Data],$DE1134,72),0)</f>
        <v/>
      </c>
      <c r="BX1134">
        <f>IFERROR(INDEX(PP_Grid[#Data],$DE1134,73),0)</f>
        <v/>
      </c>
      <c r="BY1134">
        <f>IFERROR(INDEX(PP_Grid[#Data],$DE1134,74),0)</f>
        <v/>
      </c>
      <c r="BZ1134">
        <f>IFERROR(INDEX(PP_Grid[#Data],$DE1134,75),0)</f>
        <v/>
      </c>
      <c r="CA1134">
        <f>IFERROR(INDEX(PP_Grid[#Data],$DE1134,76),0)</f>
        <v/>
      </c>
      <c r="CB1134">
        <f>IFERROR(INDEX(PP_Grid[#Data],$DE1134,77),0)</f>
        <v/>
      </c>
      <c r="CC1134">
        <f>IFERROR(INDEX(PP_Grid[#Data],$DE1134,78),0)</f>
        <v/>
      </c>
      <c r="CD1134">
        <f>IFERROR(INDEX(PP_Grid[#Data],$DE1134,79),0)</f>
        <v/>
      </c>
      <c r="CE1134">
        <f>IFERROR(INDEX(PP_Grid[#Data],$DE1134,80),0)</f>
        <v/>
      </c>
      <c r="CF1134">
        <f>IFERROR(INDEX(PP_Grid[#Data],$DE1134,81),0)</f>
        <v/>
      </c>
      <c r="CG1134">
        <f>IFERROR(INDEX(PP_Grid[#Data],$DE1134,82),0)</f>
        <v/>
      </c>
      <c r="CH1134">
        <f>IFERROR(INDEX(PP_Grid[#Data],$DE1134,83),0)</f>
        <v/>
      </c>
      <c r="CI1134">
        <f>IFERROR(INDEX(PP_Grid[#Data],$DE1134,84),0)</f>
        <v/>
      </c>
      <c r="CJ1134">
        <f>IFERROR(INDEX(PP_Grid[#Data],$DE1134,85),0)</f>
        <v/>
      </c>
      <c r="CK1134">
        <f>IFERROR(INDEX(PP_Grid[#Data],$DE1134,86),0)</f>
        <v/>
      </c>
      <c r="CL1134">
        <f>IFERROR(INDEX(PP_Grid[#Data],$DE1134,87),0)</f>
        <v/>
      </c>
      <c r="CM1134">
        <f>IFERROR(INDEX(PP_Grid[#Data],$DE1134,88),0)</f>
        <v/>
      </c>
      <c r="CN1134">
        <f>IFERROR(INDEX(PP_Grid[#Data],$DE1134,89),0)</f>
        <v/>
      </c>
      <c r="CO1134">
        <f>IFERROR(INDEX(PP_Grid[#Data],$DE1134,90),0)</f>
        <v/>
      </c>
      <c r="CP1134">
        <f>IFERROR(INDEX(PP_Grid[#Data],$DE1134,91),0)</f>
        <v/>
      </c>
      <c r="CQ1134">
        <f>IFERROR(INDEX(PP_Grid[#Data],$DE1134,92),0)</f>
        <v/>
      </c>
      <c r="CR1134">
        <f>IFERROR(INDEX(PP_Grid[#Data],$DE1134,93),0)</f>
        <v/>
      </c>
      <c r="CS1134">
        <f>IFERROR(INDEX(PP_Grid[#Data],$DE1134,94),0)</f>
        <v/>
      </c>
      <c r="CT1134">
        <f>IFERROR(INDEX(PP_Grid[#Data],$DE1134,95),0)</f>
        <v/>
      </c>
      <c r="CU1134">
        <f>IFERROR(INDEX(PP_Grid[#Data],$DE1134,96),0)</f>
        <v/>
      </c>
      <c r="CV1134">
        <f>IFERROR(INDEX(PP_Grid[#Data],$DE1134,97),0)</f>
        <v/>
      </c>
      <c r="CW1134">
        <f>IFERROR(INDEX(PP_Grid[#Data],$DE1134,98),0)</f>
        <v/>
      </c>
      <c r="CX1134">
        <f>IFERROR(INDEX(PP_Grid[#Data],$DE1134,99),0)</f>
        <v/>
      </c>
      <c r="CY1134">
        <f>IFERROR(INDEX(PP_Grid[#Data],$DE1134,100),0)</f>
        <v/>
      </c>
      <c r="CZ1134">
        <f>IFERROR(INDEX(PP_Grid[#Data],$DE1134,101),0)</f>
        <v/>
      </c>
      <c r="DA1134">
        <f>IFERROR(INDEX(PP_Grid[#Data],$DE1134,102),0)</f>
        <v/>
      </c>
      <c r="DB1134">
        <f>IFERROR(INDEX(PP_Grid[#Data],$DE1134,103),0)</f>
        <v/>
      </c>
      <c r="DC1134">
        <f>IFERROR(INDEX(PP_Grid[#Data],$DE1134,104),0)</f>
        <v/>
      </c>
      <c r="DD1134">
        <f>IFERROR(INDEX(PP_Grid[#Data],$DE1134,105),0)</f>
        <v/>
      </c>
      <c r="DE1134" s="7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SUMIFS(M_BOM[RM_Qty_Per_Batch],M_BOM[Intermediate],$B1134,M_BOM[RM_Code],$A1101)</f>
        <v/>
      </c>
      <c r="D1135">
        <f>IFERROR(INDEX(E1135:DD1135,$F$1),"")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  <c r="DD1135">
        <f>$C1135*DD1134</f>
        <v/>
      </c>
    </row>
    <row r="1136">
      <c r="B1136" t="inlineStr">
        <is>
          <t>VSZ-745</t>
        </is>
      </c>
      <c r="C1136" t="inlineStr">
        <is>
          <t>No. of batches</t>
        </is>
      </c>
      <c r="D1136">
        <f>IFERROR(INDEX(E1136:DD1136,$F$1),"")</f>
        <v/>
      </c>
      <c r="E1136">
        <f>IFERROR(INDEX(PP_Grid[#Data],$DE1136,2),0)</f>
        <v/>
      </c>
      <c r="F1136">
        <f>IFERROR(INDEX(PP_Grid[#Data],$DE1136,3),0)</f>
        <v/>
      </c>
      <c r="G1136">
        <f>IFERROR(INDEX(PP_Grid[#Data],$DE1136,4),0)</f>
        <v/>
      </c>
      <c r="H1136">
        <f>IFERROR(INDEX(PP_Grid[#Data],$DE1136,5),0)</f>
        <v/>
      </c>
      <c r="I1136">
        <f>IFERROR(INDEX(PP_Grid[#Data],$DE1136,6),0)</f>
        <v/>
      </c>
      <c r="J1136">
        <f>IFERROR(INDEX(PP_Grid[#Data],$DE1136,7),0)</f>
        <v/>
      </c>
      <c r="K1136">
        <f>IFERROR(INDEX(PP_Grid[#Data],$DE1136,8),0)</f>
        <v/>
      </c>
      <c r="L1136">
        <f>IFERROR(INDEX(PP_Grid[#Data],$DE1136,9),0)</f>
        <v/>
      </c>
      <c r="M1136">
        <f>IFERROR(INDEX(PP_Grid[#Data],$DE1136,10),0)</f>
        <v/>
      </c>
      <c r="N1136">
        <f>IFERROR(INDEX(PP_Grid[#Data],$DE1136,11),0)</f>
        <v/>
      </c>
      <c r="O1136">
        <f>IFERROR(INDEX(PP_Grid[#Data],$DE1136,12),0)</f>
        <v/>
      </c>
      <c r="P1136">
        <f>IFERROR(INDEX(PP_Grid[#Data],$DE1136,13),0)</f>
        <v/>
      </c>
      <c r="Q1136">
        <f>IFERROR(INDEX(PP_Grid[#Data],$DE1136,14),0)</f>
        <v/>
      </c>
      <c r="R1136">
        <f>IFERROR(INDEX(PP_Grid[#Data],$DE1136,15),0)</f>
        <v/>
      </c>
      <c r="S1136">
        <f>IFERROR(INDEX(PP_Grid[#Data],$DE1136,16),0)</f>
        <v/>
      </c>
      <c r="T1136">
        <f>IFERROR(INDEX(PP_Grid[#Data],$DE1136,17),0)</f>
        <v/>
      </c>
      <c r="U1136">
        <f>IFERROR(INDEX(PP_Grid[#Data],$DE1136,18),0)</f>
        <v/>
      </c>
      <c r="V1136">
        <f>IFERROR(INDEX(PP_Grid[#Data],$DE1136,19),0)</f>
        <v/>
      </c>
      <c r="W1136">
        <f>IFERROR(INDEX(PP_Grid[#Data],$DE1136,20),0)</f>
        <v/>
      </c>
      <c r="X1136">
        <f>IFERROR(INDEX(PP_Grid[#Data],$DE1136,21),0)</f>
        <v/>
      </c>
      <c r="Y1136">
        <f>IFERROR(INDEX(PP_Grid[#Data],$DE1136,22),0)</f>
        <v/>
      </c>
      <c r="Z1136">
        <f>IFERROR(INDEX(PP_Grid[#Data],$DE1136,23),0)</f>
        <v/>
      </c>
      <c r="AA1136">
        <f>IFERROR(INDEX(PP_Grid[#Data],$DE1136,24),0)</f>
        <v/>
      </c>
      <c r="AB1136">
        <f>IFERROR(INDEX(PP_Grid[#Data],$DE1136,25),0)</f>
        <v/>
      </c>
      <c r="AC1136">
        <f>IFERROR(INDEX(PP_Grid[#Data],$DE1136,26),0)</f>
        <v/>
      </c>
      <c r="AD1136">
        <f>IFERROR(INDEX(PP_Grid[#Data],$DE1136,27),0)</f>
        <v/>
      </c>
      <c r="AE1136">
        <f>IFERROR(INDEX(PP_Grid[#Data],$DE1136,28),0)</f>
        <v/>
      </c>
      <c r="AF1136">
        <f>IFERROR(INDEX(PP_Grid[#Data],$DE1136,29),0)</f>
        <v/>
      </c>
      <c r="AG1136">
        <f>IFERROR(INDEX(PP_Grid[#Data],$DE1136,30),0)</f>
        <v/>
      </c>
      <c r="AH1136">
        <f>IFERROR(INDEX(PP_Grid[#Data],$DE1136,31),0)</f>
        <v/>
      </c>
      <c r="AI1136">
        <f>IFERROR(INDEX(PP_Grid[#Data],$DE1136,32),0)</f>
        <v/>
      </c>
      <c r="AJ1136">
        <f>IFERROR(INDEX(PP_Grid[#Data],$DE1136,33),0)</f>
        <v/>
      </c>
      <c r="AK1136">
        <f>IFERROR(INDEX(PP_Grid[#Data],$DE1136,34),0)</f>
        <v/>
      </c>
      <c r="AL1136">
        <f>IFERROR(INDEX(PP_Grid[#Data],$DE1136,35),0)</f>
        <v/>
      </c>
      <c r="AM1136">
        <f>IFERROR(INDEX(PP_Grid[#Data],$DE1136,36),0)</f>
        <v/>
      </c>
      <c r="AN1136">
        <f>IFERROR(INDEX(PP_Grid[#Data],$DE1136,37),0)</f>
        <v/>
      </c>
      <c r="AO1136">
        <f>IFERROR(INDEX(PP_Grid[#Data],$DE1136,38),0)</f>
        <v/>
      </c>
      <c r="AP1136">
        <f>IFERROR(INDEX(PP_Grid[#Data],$DE1136,39),0)</f>
        <v/>
      </c>
      <c r="AQ1136">
        <f>IFERROR(INDEX(PP_Grid[#Data],$DE1136,40),0)</f>
        <v/>
      </c>
      <c r="AR1136">
        <f>IFERROR(INDEX(PP_Grid[#Data],$DE1136,41),0)</f>
        <v/>
      </c>
      <c r="AS1136">
        <f>IFERROR(INDEX(PP_Grid[#Data],$DE1136,42),0)</f>
        <v/>
      </c>
      <c r="AT1136">
        <f>IFERROR(INDEX(PP_Grid[#Data],$DE1136,43),0)</f>
        <v/>
      </c>
      <c r="AU1136">
        <f>IFERROR(INDEX(PP_Grid[#Data],$DE1136,44),0)</f>
        <v/>
      </c>
      <c r="AV1136">
        <f>IFERROR(INDEX(PP_Grid[#Data],$DE1136,45),0)</f>
        <v/>
      </c>
      <c r="AW1136">
        <f>IFERROR(INDEX(PP_Grid[#Data],$DE1136,46),0)</f>
        <v/>
      </c>
      <c r="AX1136">
        <f>IFERROR(INDEX(PP_Grid[#Data],$DE1136,47),0)</f>
        <v/>
      </c>
      <c r="AY1136">
        <f>IFERROR(INDEX(PP_Grid[#Data],$DE1136,48),0)</f>
        <v/>
      </c>
      <c r="AZ1136">
        <f>IFERROR(INDEX(PP_Grid[#Data],$DE1136,49),0)</f>
        <v/>
      </c>
      <c r="BA1136">
        <f>IFERROR(INDEX(PP_Grid[#Data],$DE1136,50),0)</f>
        <v/>
      </c>
      <c r="BB1136">
        <f>IFERROR(INDEX(PP_Grid[#Data],$DE1136,51),0)</f>
        <v/>
      </c>
      <c r="BC1136">
        <f>IFERROR(INDEX(PP_Grid[#Data],$DE1136,52),0)</f>
        <v/>
      </c>
      <c r="BD1136">
        <f>IFERROR(INDEX(PP_Grid[#Data],$DE1136,53),0)</f>
        <v/>
      </c>
      <c r="BE1136">
        <f>IFERROR(INDEX(PP_Grid[#Data],$DE1136,54),0)</f>
        <v/>
      </c>
      <c r="BF1136">
        <f>IFERROR(INDEX(PP_Grid[#Data],$DE1136,55),0)</f>
        <v/>
      </c>
      <c r="BG1136">
        <f>IFERROR(INDEX(PP_Grid[#Data],$DE1136,56),0)</f>
        <v/>
      </c>
      <c r="BH1136">
        <f>IFERROR(INDEX(PP_Grid[#Data],$DE1136,57),0)</f>
        <v/>
      </c>
      <c r="BI1136">
        <f>IFERROR(INDEX(PP_Grid[#Data],$DE1136,58),0)</f>
        <v/>
      </c>
      <c r="BJ1136">
        <f>IFERROR(INDEX(PP_Grid[#Data],$DE1136,59),0)</f>
        <v/>
      </c>
      <c r="BK1136">
        <f>IFERROR(INDEX(PP_Grid[#Data],$DE1136,60),0)</f>
        <v/>
      </c>
      <c r="BL1136">
        <f>IFERROR(INDEX(PP_Grid[#Data],$DE1136,61),0)</f>
        <v/>
      </c>
      <c r="BM1136">
        <f>IFERROR(INDEX(PP_Grid[#Data],$DE1136,62),0)</f>
        <v/>
      </c>
      <c r="BN1136">
        <f>IFERROR(INDEX(PP_Grid[#Data],$DE1136,63),0)</f>
        <v/>
      </c>
      <c r="BO1136">
        <f>IFERROR(INDEX(PP_Grid[#Data],$DE1136,64),0)</f>
        <v/>
      </c>
      <c r="BP1136">
        <f>IFERROR(INDEX(PP_Grid[#Data],$DE1136,65),0)</f>
        <v/>
      </c>
      <c r="BQ1136">
        <f>IFERROR(INDEX(PP_Grid[#Data],$DE1136,66),0)</f>
        <v/>
      </c>
      <c r="BR1136">
        <f>IFERROR(INDEX(PP_Grid[#Data],$DE1136,67),0)</f>
        <v/>
      </c>
      <c r="BS1136">
        <f>IFERROR(INDEX(PP_Grid[#Data],$DE1136,68),0)</f>
        <v/>
      </c>
      <c r="BT1136">
        <f>IFERROR(INDEX(PP_Grid[#Data],$DE1136,69),0)</f>
        <v/>
      </c>
      <c r="BU1136">
        <f>IFERROR(INDEX(PP_Grid[#Data],$DE1136,70),0)</f>
        <v/>
      </c>
      <c r="BV1136">
        <f>IFERROR(INDEX(PP_Grid[#Data],$DE1136,71),0)</f>
        <v/>
      </c>
      <c r="BW1136">
        <f>IFERROR(INDEX(PP_Grid[#Data],$DE1136,72),0)</f>
        <v/>
      </c>
      <c r="BX1136">
        <f>IFERROR(INDEX(PP_Grid[#Data],$DE1136,73),0)</f>
        <v/>
      </c>
      <c r="BY1136">
        <f>IFERROR(INDEX(PP_Grid[#Data],$DE1136,74),0)</f>
        <v/>
      </c>
      <c r="BZ1136">
        <f>IFERROR(INDEX(PP_Grid[#Data],$DE1136,75),0)</f>
        <v/>
      </c>
      <c r="CA1136">
        <f>IFERROR(INDEX(PP_Grid[#Data],$DE1136,76),0)</f>
        <v/>
      </c>
      <c r="CB1136">
        <f>IFERROR(INDEX(PP_Grid[#Data],$DE1136,77),0)</f>
        <v/>
      </c>
      <c r="CC1136">
        <f>IFERROR(INDEX(PP_Grid[#Data],$DE1136,78),0)</f>
        <v/>
      </c>
      <c r="CD1136">
        <f>IFERROR(INDEX(PP_Grid[#Data],$DE1136,79),0)</f>
        <v/>
      </c>
      <c r="CE1136">
        <f>IFERROR(INDEX(PP_Grid[#Data],$DE1136,80),0)</f>
        <v/>
      </c>
      <c r="CF1136">
        <f>IFERROR(INDEX(PP_Grid[#Data],$DE1136,81),0)</f>
        <v/>
      </c>
      <c r="CG1136">
        <f>IFERROR(INDEX(PP_Grid[#Data],$DE1136,82),0)</f>
        <v/>
      </c>
      <c r="CH1136">
        <f>IFERROR(INDEX(PP_Grid[#Data],$DE1136,83),0)</f>
        <v/>
      </c>
      <c r="CI1136">
        <f>IFERROR(INDEX(PP_Grid[#Data],$DE1136,84),0)</f>
        <v/>
      </c>
      <c r="CJ1136">
        <f>IFERROR(INDEX(PP_Grid[#Data],$DE1136,85),0)</f>
        <v/>
      </c>
      <c r="CK1136">
        <f>IFERROR(INDEX(PP_Grid[#Data],$DE1136,86),0)</f>
        <v/>
      </c>
      <c r="CL1136">
        <f>IFERROR(INDEX(PP_Grid[#Data],$DE1136,87),0)</f>
        <v/>
      </c>
      <c r="CM1136">
        <f>IFERROR(INDEX(PP_Grid[#Data],$DE1136,88),0)</f>
        <v/>
      </c>
      <c r="CN1136">
        <f>IFERROR(INDEX(PP_Grid[#Data],$DE1136,89),0)</f>
        <v/>
      </c>
      <c r="CO1136">
        <f>IFERROR(INDEX(PP_Grid[#Data],$DE1136,90),0)</f>
        <v/>
      </c>
      <c r="CP1136">
        <f>IFERROR(INDEX(PP_Grid[#Data],$DE1136,91),0)</f>
        <v/>
      </c>
      <c r="CQ1136">
        <f>IFERROR(INDEX(PP_Grid[#Data],$DE1136,92),0)</f>
        <v/>
      </c>
      <c r="CR1136">
        <f>IFERROR(INDEX(PP_Grid[#Data],$DE1136,93),0)</f>
        <v/>
      </c>
      <c r="CS1136">
        <f>IFERROR(INDEX(PP_Grid[#Data],$DE1136,94),0)</f>
        <v/>
      </c>
      <c r="CT1136">
        <f>IFERROR(INDEX(PP_Grid[#Data],$DE1136,95),0)</f>
        <v/>
      </c>
      <c r="CU1136">
        <f>IFERROR(INDEX(PP_Grid[#Data],$DE1136,96),0)</f>
        <v/>
      </c>
      <c r="CV1136">
        <f>IFERROR(INDEX(PP_Grid[#Data],$DE1136,97),0)</f>
        <v/>
      </c>
      <c r="CW1136">
        <f>IFERROR(INDEX(PP_Grid[#Data],$DE1136,98),0)</f>
        <v/>
      </c>
      <c r="CX1136">
        <f>IFERROR(INDEX(PP_Grid[#Data],$DE1136,99),0)</f>
        <v/>
      </c>
      <c r="CY1136">
        <f>IFERROR(INDEX(PP_Grid[#Data],$DE1136,100),0)</f>
        <v/>
      </c>
      <c r="CZ1136">
        <f>IFERROR(INDEX(PP_Grid[#Data],$DE1136,101),0)</f>
        <v/>
      </c>
      <c r="DA1136">
        <f>IFERROR(INDEX(PP_Grid[#Data],$DE1136,102),0)</f>
        <v/>
      </c>
      <c r="DB1136">
        <f>IFERROR(INDEX(PP_Grid[#Data],$DE1136,103),0)</f>
        <v/>
      </c>
      <c r="DC1136">
        <f>IFERROR(INDEX(PP_Grid[#Data],$DE1136,104),0)</f>
        <v/>
      </c>
      <c r="DD1136">
        <f>IFERROR(INDEX(PP_Grid[#Data],$DE1136,105),0)</f>
        <v/>
      </c>
      <c r="DE1136" s="7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SUMIFS(M_BOM[RM_Qty_Per_Batch],M_BOM[Intermediate],$B1136,M_BOM[RM_Code],$A1101)</f>
        <v/>
      </c>
      <c r="D1137">
        <f>IFERROR(INDEX(E1137:DD1137,$F$1),"")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  <c r="DD1137">
        <f>$C1137*DD1136</f>
        <v/>
      </c>
    </row>
    <row r="1138">
      <c r="B1138" t="inlineStr">
        <is>
          <t>TPP-650</t>
        </is>
      </c>
      <c r="C1138" t="inlineStr">
        <is>
          <t>No. of batches</t>
        </is>
      </c>
      <c r="D1138">
        <f>IFERROR(INDEX(E1138:DD1138,$F$1),"")</f>
        <v/>
      </c>
      <c r="E1138">
        <f>IFERROR(INDEX(PP_Grid[#Data],$DE1138,2),0)</f>
        <v/>
      </c>
      <c r="F1138">
        <f>IFERROR(INDEX(PP_Grid[#Data],$DE1138,3),0)</f>
        <v/>
      </c>
      <c r="G1138">
        <f>IFERROR(INDEX(PP_Grid[#Data],$DE1138,4),0)</f>
        <v/>
      </c>
      <c r="H1138">
        <f>IFERROR(INDEX(PP_Grid[#Data],$DE1138,5),0)</f>
        <v/>
      </c>
      <c r="I1138">
        <f>IFERROR(INDEX(PP_Grid[#Data],$DE1138,6),0)</f>
        <v/>
      </c>
      <c r="J1138">
        <f>IFERROR(INDEX(PP_Grid[#Data],$DE1138,7),0)</f>
        <v/>
      </c>
      <c r="K1138">
        <f>IFERROR(INDEX(PP_Grid[#Data],$DE1138,8),0)</f>
        <v/>
      </c>
      <c r="L1138">
        <f>IFERROR(INDEX(PP_Grid[#Data],$DE1138,9),0)</f>
        <v/>
      </c>
      <c r="M1138">
        <f>IFERROR(INDEX(PP_Grid[#Data],$DE1138,10),0)</f>
        <v/>
      </c>
      <c r="N1138">
        <f>IFERROR(INDEX(PP_Grid[#Data],$DE1138,11),0)</f>
        <v/>
      </c>
      <c r="O1138">
        <f>IFERROR(INDEX(PP_Grid[#Data],$DE1138,12),0)</f>
        <v/>
      </c>
      <c r="P1138">
        <f>IFERROR(INDEX(PP_Grid[#Data],$DE1138,13),0)</f>
        <v/>
      </c>
      <c r="Q1138">
        <f>IFERROR(INDEX(PP_Grid[#Data],$DE1138,14),0)</f>
        <v/>
      </c>
      <c r="R1138">
        <f>IFERROR(INDEX(PP_Grid[#Data],$DE1138,15),0)</f>
        <v/>
      </c>
      <c r="S1138">
        <f>IFERROR(INDEX(PP_Grid[#Data],$DE1138,16),0)</f>
        <v/>
      </c>
      <c r="T1138">
        <f>IFERROR(INDEX(PP_Grid[#Data],$DE1138,17),0)</f>
        <v/>
      </c>
      <c r="U1138">
        <f>IFERROR(INDEX(PP_Grid[#Data],$DE1138,18),0)</f>
        <v/>
      </c>
      <c r="V1138">
        <f>IFERROR(INDEX(PP_Grid[#Data],$DE1138,19),0)</f>
        <v/>
      </c>
      <c r="W1138">
        <f>IFERROR(INDEX(PP_Grid[#Data],$DE1138,20),0)</f>
        <v/>
      </c>
      <c r="X1138">
        <f>IFERROR(INDEX(PP_Grid[#Data],$DE1138,21),0)</f>
        <v/>
      </c>
      <c r="Y1138">
        <f>IFERROR(INDEX(PP_Grid[#Data],$DE1138,22),0)</f>
        <v/>
      </c>
      <c r="Z1138">
        <f>IFERROR(INDEX(PP_Grid[#Data],$DE1138,23),0)</f>
        <v/>
      </c>
      <c r="AA1138">
        <f>IFERROR(INDEX(PP_Grid[#Data],$DE1138,24),0)</f>
        <v/>
      </c>
      <c r="AB1138">
        <f>IFERROR(INDEX(PP_Grid[#Data],$DE1138,25),0)</f>
        <v/>
      </c>
      <c r="AC1138">
        <f>IFERROR(INDEX(PP_Grid[#Data],$DE1138,26),0)</f>
        <v/>
      </c>
      <c r="AD1138">
        <f>IFERROR(INDEX(PP_Grid[#Data],$DE1138,27),0)</f>
        <v/>
      </c>
      <c r="AE1138">
        <f>IFERROR(INDEX(PP_Grid[#Data],$DE1138,28),0)</f>
        <v/>
      </c>
      <c r="AF1138">
        <f>IFERROR(INDEX(PP_Grid[#Data],$DE1138,29),0)</f>
        <v/>
      </c>
      <c r="AG1138">
        <f>IFERROR(INDEX(PP_Grid[#Data],$DE1138,30),0)</f>
        <v/>
      </c>
      <c r="AH1138">
        <f>IFERROR(INDEX(PP_Grid[#Data],$DE1138,31),0)</f>
        <v/>
      </c>
      <c r="AI1138">
        <f>IFERROR(INDEX(PP_Grid[#Data],$DE1138,32),0)</f>
        <v/>
      </c>
      <c r="AJ1138">
        <f>IFERROR(INDEX(PP_Grid[#Data],$DE1138,33),0)</f>
        <v/>
      </c>
      <c r="AK1138">
        <f>IFERROR(INDEX(PP_Grid[#Data],$DE1138,34),0)</f>
        <v/>
      </c>
      <c r="AL1138">
        <f>IFERROR(INDEX(PP_Grid[#Data],$DE1138,35),0)</f>
        <v/>
      </c>
      <c r="AM1138">
        <f>IFERROR(INDEX(PP_Grid[#Data],$DE1138,36),0)</f>
        <v/>
      </c>
      <c r="AN1138">
        <f>IFERROR(INDEX(PP_Grid[#Data],$DE1138,37),0)</f>
        <v/>
      </c>
      <c r="AO1138">
        <f>IFERROR(INDEX(PP_Grid[#Data],$DE1138,38),0)</f>
        <v/>
      </c>
      <c r="AP1138">
        <f>IFERROR(INDEX(PP_Grid[#Data],$DE1138,39),0)</f>
        <v/>
      </c>
      <c r="AQ1138">
        <f>IFERROR(INDEX(PP_Grid[#Data],$DE1138,40),0)</f>
        <v/>
      </c>
      <c r="AR1138">
        <f>IFERROR(INDEX(PP_Grid[#Data],$DE1138,41),0)</f>
        <v/>
      </c>
      <c r="AS1138">
        <f>IFERROR(INDEX(PP_Grid[#Data],$DE1138,42),0)</f>
        <v/>
      </c>
      <c r="AT1138">
        <f>IFERROR(INDEX(PP_Grid[#Data],$DE1138,43),0)</f>
        <v/>
      </c>
      <c r="AU1138">
        <f>IFERROR(INDEX(PP_Grid[#Data],$DE1138,44),0)</f>
        <v/>
      </c>
      <c r="AV1138">
        <f>IFERROR(INDEX(PP_Grid[#Data],$DE1138,45),0)</f>
        <v/>
      </c>
      <c r="AW1138">
        <f>IFERROR(INDEX(PP_Grid[#Data],$DE1138,46),0)</f>
        <v/>
      </c>
      <c r="AX1138">
        <f>IFERROR(INDEX(PP_Grid[#Data],$DE1138,47),0)</f>
        <v/>
      </c>
      <c r="AY1138">
        <f>IFERROR(INDEX(PP_Grid[#Data],$DE1138,48),0)</f>
        <v/>
      </c>
      <c r="AZ1138">
        <f>IFERROR(INDEX(PP_Grid[#Data],$DE1138,49),0)</f>
        <v/>
      </c>
      <c r="BA1138">
        <f>IFERROR(INDEX(PP_Grid[#Data],$DE1138,50),0)</f>
        <v/>
      </c>
      <c r="BB1138">
        <f>IFERROR(INDEX(PP_Grid[#Data],$DE1138,51),0)</f>
        <v/>
      </c>
      <c r="BC1138">
        <f>IFERROR(INDEX(PP_Grid[#Data],$DE1138,52),0)</f>
        <v/>
      </c>
      <c r="BD1138">
        <f>IFERROR(INDEX(PP_Grid[#Data],$DE1138,53),0)</f>
        <v/>
      </c>
      <c r="BE1138">
        <f>IFERROR(INDEX(PP_Grid[#Data],$DE1138,54),0)</f>
        <v/>
      </c>
      <c r="BF1138">
        <f>IFERROR(INDEX(PP_Grid[#Data],$DE1138,55),0)</f>
        <v/>
      </c>
      <c r="BG1138">
        <f>IFERROR(INDEX(PP_Grid[#Data],$DE1138,56),0)</f>
        <v/>
      </c>
      <c r="BH1138">
        <f>IFERROR(INDEX(PP_Grid[#Data],$DE1138,57),0)</f>
        <v/>
      </c>
      <c r="BI1138">
        <f>IFERROR(INDEX(PP_Grid[#Data],$DE1138,58),0)</f>
        <v/>
      </c>
      <c r="BJ1138">
        <f>IFERROR(INDEX(PP_Grid[#Data],$DE1138,59),0)</f>
        <v/>
      </c>
      <c r="BK1138">
        <f>IFERROR(INDEX(PP_Grid[#Data],$DE1138,60),0)</f>
        <v/>
      </c>
      <c r="BL1138">
        <f>IFERROR(INDEX(PP_Grid[#Data],$DE1138,61),0)</f>
        <v/>
      </c>
      <c r="BM1138">
        <f>IFERROR(INDEX(PP_Grid[#Data],$DE1138,62),0)</f>
        <v/>
      </c>
      <c r="BN1138">
        <f>IFERROR(INDEX(PP_Grid[#Data],$DE1138,63),0)</f>
        <v/>
      </c>
      <c r="BO1138">
        <f>IFERROR(INDEX(PP_Grid[#Data],$DE1138,64),0)</f>
        <v/>
      </c>
      <c r="BP1138">
        <f>IFERROR(INDEX(PP_Grid[#Data],$DE1138,65),0)</f>
        <v/>
      </c>
      <c r="BQ1138">
        <f>IFERROR(INDEX(PP_Grid[#Data],$DE1138,66),0)</f>
        <v/>
      </c>
      <c r="BR1138">
        <f>IFERROR(INDEX(PP_Grid[#Data],$DE1138,67),0)</f>
        <v/>
      </c>
      <c r="BS1138">
        <f>IFERROR(INDEX(PP_Grid[#Data],$DE1138,68),0)</f>
        <v/>
      </c>
      <c r="BT1138">
        <f>IFERROR(INDEX(PP_Grid[#Data],$DE1138,69),0)</f>
        <v/>
      </c>
      <c r="BU1138">
        <f>IFERROR(INDEX(PP_Grid[#Data],$DE1138,70),0)</f>
        <v/>
      </c>
      <c r="BV1138">
        <f>IFERROR(INDEX(PP_Grid[#Data],$DE1138,71),0)</f>
        <v/>
      </c>
      <c r="BW1138">
        <f>IFERROR(INDEX(PP_Grid[#Data],$DE1138,72),0)</f>
        <v/>
      </c>
      <c r="BX1138">
        <f>IFERROR(INDEX(PP_Grid[#Data],$DE1138,73),0)</f>
        <v/>
      </c>
      <c r="BY1138">
        <f>IFERROR(INDEX(PP_Grid[#Data],$DE1138,74),0)</f>
        <v/>
      </c>
      <c r="BZ1138">
        <f>IFERROR(INDEX(PP_Grid[#Data],$DE1138,75),0)</f>
        <v/>
      </c>
      <c r="CA1138">
        <f>IFERROR(INDEX(PP_Grid[#Data],$DE1138,76),0)</f>
        <v/>
      </c>
      <c r="CB1138">
        <f>IFERROR(INDEX(PP_Grid[#Data],$DE1138,77),0)</f>
        <v/>
      </c>
      <c r="CC1138">
        <f>IFERROR(INDEX(PP_Grid[#Data],$DE1138,78),0)</f>
        <v/>
      </c>
      <c r="CD1138">
        <f>IFERROR(INDEX(PP_Grid[#Data],$DE1138,79),0)</f>
        <v/>
      </c>
      <c r="CE1138">
        <f>IFERROR(INDEX(PP_Grid[#Data],$DE1138,80),0)</f>
        <v/>
      </c>
      <c r="CF1138">
        <f>IFERROR(INDEX(PP_Grid[#Data],$DE1138,81),0)</f>
        <v/>
      </c>
      <c r="CG1138">
        <f>IFERROR(INDEX(PP_Grid[#Data],$DE1138,82),0)</f>
        <v/>
      </c>
      <c r="CH1138">
        <f>IFERROR(INDEX(PP_Grid[#Data],$DE1138,83),0)</f>
        <v/>
      </c>
      <c r="CI1138">
        <f>IFERROR(INDEX(PP_Grid[#Data],$DE1138,84),0)</f>
        <v/>
      </c>
      <c r="CJ1138">
        <f>IFERROR(INDEX(PP_Grid[#Data],$DE1138,85),0)</f>
        <v/>
      </c>
      <c r="CK1138">
        <f>IFERROR(INDEX(PP_Grid[#Data],$DE1138,86),0)</f>
        <v/>
      </c>
      <c r="CL1138">
        <f>IFERROR(INDEX(PP_Grid[#Data],$DE1138,87),0)</f>
        <v/>
      </c>
      <c r="CM1138">
        <f>IFERROR(INDEX(PP_Grid[#Data],$DE1138,88),0)</f>
        <v/>
      </c>
      <c r="CN1138">
        <f>IFERROR(INDEX(PP_Grid[#Data],$DE1138,89),0)</f>
        <v/>
      </c>
      <c r="CO1138">
        <f>IFERROR(INDEX(PP_Grid[#Data],$DE1138,90),0)</f>
        <v/>
      </c>
      <c r="CP1138">
        <f>IFERROR(INDEX(PP_Grid[#Data],$DE1138,91),0)</f>
        <v/>
      </c>
      <c r="CQ1138">
        <f>IFERROR(INDEX(PP_Grid[#Data],$DE1138,92),0)</f>
        <v/>
      </c>
      <c r="CR1138">
        <f>IFERROR(INDEX(PP_Grid[#Data],$DE1138,93),0)</f>
        <v/>
      </c>
      <c r="CS1138">
        <f>IFERROR(INDEX(PP_Grid[#Data],$DE1138,94),0)</f>
        <v/>
      </c>
      <c r="CT1138">
        <f>IFERROR(INDEX(PP_Grid[#Data],$DE1138,95),0)</f>
        <v/>
      </c>
      <c r="CU1138">
        <f>IFERROR(INDEX(PP_Grid[#Data],$DE1138,96),0)</f>
        <v/>
      </c>
      <c r="CV1138">
        <f>IFERROR(INDEX(PP_Grid[#Data],$DE1138,97),0)</f>
        <v/>
      </c>
      <c r="CW1138">
        <f>IFERROR(INDEX(PP_Grid[#Data],$DE1138,98),0)</f>
        <v/>
      </c>
      <c r="CX1138">
        <f>IFERROR(INDEX(PP_Grid[#Data],$DE1138,99),0)</f>
        <v/>
      </c>
      <c r="CY1138">
        <f>IFERROR(INDEX(PP_Grid[#Data],$DE1138,100),0)</f>
        <v/>
      </c>
      <c r="CZ1138">
        <f>IFERROR(INDEX(PP_Grid[#Data],$DE1138,101),0)</f>
        <v/>
      </c>
      <c r="DA1138">
        <f>IFERROR(INDEX(PP_Grid[#Data],$DE1138,102),0)</f>
        <v/>
      </c>
      <c r="DB1138">
        <f>IFERROR(INDEX(PP_Grid[#Data],$DE1138,103),0)</f>
        <v/>
      </c>
      <c r="DC1138">
        <f>IFERROR(INDEX(PP_Grid[#Data],$DE1138,104),0)</f>
        <v/>
      </c>
      <c r="DD1138">
        <f>IFERROR(INDEX(PP_Grid[#Data],$DE1138,105),0)</f>
        <v/>
      </c>
      <c r="DE1138" s="7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SUMIFS(M_BOM[RM_Qty_Per_Batch],M_BOM[Intermediate],$B1138,M_BOM[RM_Code],$A1101)</f>
        <v/>
      </c>
      <c r="D1139">
        <f>IFERROR(INDEX(E1139:DD1139,$F$1),"")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  <c r="DD1139">
        <f>$C1139*DD1138</f>
        <v/>
      </c>
    </row>
    <row r="1140">
      <c r="B1140" t="inlineStr">
        <is>
          <t>No of times used</t>
        </is>
      </c>
      <c r="C1140" t="inlineStr">
        <is>
          <t>No. of batches</t>
        </is>
      </c>
      <c r="D1140">
        <f>IFERROR(INDEX(E1140:DD1140,$F$1),"")</f>
        <v/>
      </c>
      <c r="E1140">
        <f>IFERROR(INDEX(PP_Grid[#Data],$DE1140,2),0)</f>
        <v/>
      </c>
      <c r="F1140">
        <f>IFERROR(INDEX(PP_Grid[#Data],$DE1140,3),0)</f>
        <v/>
      </c>
      <c r="G1140">
        <f>IFERROR(INDEX(PP_Grid[#Data],$DE1140,4),0)</f>
        <v/>
      </c>
      <c r="H1140">
        <f>IFERROR(INDEX(PP_Grid[#Data],$DE1140,5),0)</f>
        <v/>
      </c>
      <c r="I1140">
        <f>IFERROR(INDEX(PP_Grid[#Data],$DE1140,6),0)</f>
        <v/>
      </c>
      <c r="J1140">
        <f>IFERROR(INDEX(PP_Grid[#Data],$DE1140,7),0)</f>
        <v/>
      </c>
      <c r="K1140">
        <f>IFERROR(INDEX(PP_Grid[#Data],$DE1140,8),0)</f>
        <v/>
      </c>
      <c r="L1140">
        <f>IFERROR(INDEX(PP_Grid[#Data],$DE1140,9),0)</f>
        <v/>
      </c>
      <c r="M1140">
        <f>IFERROR(INDEX(PP_Grid[#Data],$DE1140,10),0)</f>
        <v/>
      </c>
      <c r="N1140">
        <f>IFERROR(INDEX(PP_Grid[#Data],$DE1140,11),0)</f>
        <v/>
      </c>
      <c r="O1140">
        <f>IFERROR(INDEX(PP_Grid[#Data],$DE1140,12),0)</f>
        <v/>
      </c>
      <c r="P1140">
        <f>IFERROR(INDEX(PP_Grid[#Data],$DE1140,13),0)</f>
        <v/>
      </c>
      <c r="Q1140">
        <f>IFERROR(INDEX(PP_Grid[#Data],$DE1140,14),0)</f>
        <v/>
      </c>
      <c r="R1140">
        <f>IFERROR(INDEX(PP_Grid[#Data],$DE1140,15),0)</f>
        <v/>
      </c>
      <c r="S1140">
        <f>IFERROR(INDEX(PP_Grid[#Data],$DE1140,16),0)</f>
        <v/>
      </c>
      <c r="T1140">
        <f>IFERROR(INDEX(PP_Grid[#Data],$DE1140,17),0)</f>
        <v/>
      </c>
      <c r="U1140">
        <f>IFERROR(INDEX(PP_Grid[#Data],$DE1140,18),0)</f>
        <v/>
      </c>
      <c r="V1140">
        <f>IFERROR(INDEX(PP_Grid[#Data],$DE1140,19),0)</f>
        <v/>
      </c>
      <c r="W1140">
        <f>IFERROR(INDEX(PP_Grid[#Data],$DE1140,20),0)</f>
        <v/>
      </c>
      <c r="X1140">
        <f>IFERROR(INDEX(PP_Grid[#Data],$DE1140,21),0)</f>
        <v/>
      </c>
      <c r="Y1140">
        <f>IFERROR(INDEX(PP_Grid[#Data],$DE1140,22),0)</f>
        <v/>
      </c>
      <c r="Z1140">
        <f>IFERROR(INDEX(PP_Grid[#Data],$DE1140,23),0)</f>
        <v/>
      </c>
      <c r="AA1140">
        <f>IFERROR(INDEX(PP_Grid[#Data],$DE1140,24),0)</f>
        <v/>
      </c>
      <c r="AB1140">
        <f>IFERROR(INDEX(PP_Grid[#Data],$DE1140,25),0)</f>
        <v/>
      </c>
      <c r="AC1140">
        <f>IFERROR(INDEX(PP_Grid[#Data],$DE1140,26),0)</f>
        <v/>
      </c>
      <c r="AD1140">
        <f>IFERROR(INDEX(PP_Grid[#Data],$DE1140,27),0)</f>
        <v/>
      </c>
      <c r="AE1140">
        <f>IFERROR(INDEX(PP_Grid[#Data],$DE1140,28),0)</f>
        <v/>
      </c>
      <c r="AF1140">
        <f>IFERROR(INDEX(PP_Grid[#Data],$DE1140,29),0)</f>
        <v/>
      </c>
      <c r="AG1140">
        <f>IFERROR(INDEX(PP_Grid[#Data],$DE1140,30),0)</f>
        <v/>
      </c>
      <c r="AH1140">
        <f>IFERROR(INDEX(PP_Grid[#Data],$DE1140,31),0)</f>
        <v/>
      </c>
      <c r="AI1140">
        <f>IFERROR(INDEX(PP_Grid[#Data],$DE1140,32),0)</f>
        <v/>
      </c>
      <c r="AJ1140">
        <f>IFERROR(INDEX(PP_Grid[#Data],$DE1140,33),0)</f>
        <v/>
      </c>
      <c r="AK1140">
        <f>IFERROR(INDEX(PP_Grid[#Data],$DE1140,34),0)</f>
        <v/>
      </c>
      <c r="AL1140">
        <f>IFERROR(INDEX(PP_Grid[#Data],$DE1140,35),0)</f>
        <v/>
      </c>
      <c r="AM1140">
        <f>IFERROR(INDEX(PP_Grid[#Data],$DE1140,36),0)</f>
        <v/>
      </c>
      <c r="AN1140">
        <f>IFERROR(INDEX(PP_Grid[#Data],$DE1140,37),0)</f>
        <v/>
      </c>
      <c r="AO1140">
        <f>IFERROR(INDEX(PP_Grid[#Data],$DE1140,38),0)</f>
        <v/>
      </c>
      <c r="AP1140">
        <f>IFERROR(INDEX(PP_Grid[#Data],$DE1140,39),0)</f>
        <v/>
      </c>
      <c r="AQ1140">
        <f>IFERROR(INDEX(PP_Grid[#Data],$DE1140,40),0)</f>
        <v/>
      </c>
      <c r="AR1140">
        <f>IFERROR(INDEX(PP_Grid[#Data],$DE1140,41),0)</f>
        <v/>
      </c>
      <c r="AS1140">
        <f>IFERROR(INDEX(PP_Grid[#Data],$DE1140,42),0)</f>
        <v/>
      </c>
      <c r="AT1140">
        <f>IFERROR(INDEX(PP_Grid[#Data],$DE1140,43),0)</f>
        <v/>
      </c>
      <c r="AU1140">
        <f>IFERROR(INDEX(PP_Grid[#Data],$DE1140,44),0)</f>
        <v/>
      </c>
      <c r="AV1140">
        <f>IFERROR(INDEX(PP_Grid[#Data],$DE1140,45),0)</f>
        <v/>
      </c>
      <c r="AW1140">
        <f>IFERROR(INDEX(PP_Grid[#Data],$DE1140,46),0)</f>
        <v/>
      </c>
      <c r="AX1140">
        <f>IFERROR(INDEX(PP_Grid[#Data],$DE1140,47),0)</f>
        <v/>
      </c>
      <c r="AY1140">
        <f>IFERROR(INDEX(PP_Grid[#Data],$DE1140,48),0)</f>
        <v/>
      </c>
      <c r="AZ1140">
        <f>IFERROR(INDEX(PP_Grid[#Data],$DE1140,49),0)</f>
        <v/>
      </c>
      <c r="BA1140">
        <f>IFERROR(INDEX(PP_Grid[#Data],$DE1140,50),0)</f>
        <v/>
      </c>
      <c r="BB1140">
        <f>IFERROR(INDEX(PP_Grid[#Data],$DE1140,51),0)</f>
        <v/>
      </c>
      <c r="BC1140">
        <f>IFERROR(INDEX(PP_Grid[#Data],$DE1140,52),0)</f>
        <v/>
      </c>
      <c r="BD1140">
        <f>IFERROR(INDEX(PP_Grid[#Data],$DE1140,53),0)</f>
        <v/>
      </c>
      <c r="BE1140">
        <f>IFERROR(INDEX(PP_Grid[#Data],$DE1140,54),0)</f>
        <v/>
      </c>
      <c r="BF1140">
        <f>IFERROR(INDEX(PP_Grid[#Data],$DE1140,55),0)</f>
        <v/>
      </c>
      <c r="BG1140">
        <f>IFERROR(INDEX(PP_Grid[#Data],$DE1140,56),0)</f>
        <v/>
      </c>
      <c r="BH1140">
        <f>IFERROR(INDEX(PP_Grid[#Data],$DE1140,57),0)</f>
        <v/>
      </c>
      <c r="BI1140">
        <f>IFERROR(INDEX(PP_Grid[#Data],$DE1140,58),0)</f>
        <v/>
      </c>
      <c r="BJ1140">
        <f>IFERROR(INDEX(PP_Grid[#Data],$DE1140,59),0)</f>
        <v/>
      </c>
      <c r="BK1140">
        <f>IFERROR(INDEX(PP_Grid[#Data],$DE1140,60),0)</f>
        <v/>
      </c>
      <c r="BL1140">
        <f>IFERROR(INDEX(PP_Grid[#Data],$DE1140,61),0)</f>
        <v/>
      </c>
      <c r="BM1140">
        <f>IFERROR(INDEX(PP_Grid[#Data],$DE1140,62),0)</f>
        <v/>
      </c>
      <c r="BN1140">
        <f>IFERROR(INDEX(PP_Grid[#Data],$DE1140,63),0)</f>
        <v/>
      </c>
      <c r="BO1140">
        <f>IFERROR(INDEX(PP_Grid[#Data],$DE1140,64),0)</f>
        <v/>
      </c>
      <c r="BP1140">
        <f>IFERROR(INDEX(PP_Grid[#Data],$DE1140,65),0)</f>
        <v/>
      </c>
      <c r="BQ1140">
        <f>IFERROR(INDEX(PP_Grid[#Data],$DE1140,66),0)</f>
        <v/>
      </c>
      <c r="BR1140">
        <f>IFERROR(INDEX(PP_Grid[#Data],$DE1140,67),0)</f>
        <v/>
      </c>
      <c r="BS1140">
        <f>IFERROR(INDEX(PP_Grid[#Data],$DE1140,68),0)</f>
        <v/>
      </c>
      <c r="BT1140">
        <f>IFERROR(INDEX(PP_Grid[#Data],$DE1140,69),0)</f>
        <v/>
      </c>
      <c r="BU1140">
        <f>IFERROR(INDEX(PP_Grid[#Data],$DE1140,70),0)</f>
        <v/>
      </c>
      <c r="BV1140">
        <f>IFERROR(INDEX(PP_Grid[#Data],$DE1140,71),0)</f>
        <v/>
      </c>
      <c r="BW1140">
        <f>IFERROR(INDEX(PP_Grid[#Data],$DE1140,72),0)</f>
        <v/>
      </c>
      <c r="BX1140">
        <f>IFERROR(INDEX(PP_Grid[#Data],$DE1140,73),0)</f>
        <v/>
      </c>
      <c r="BY1140">
        <f>IFERROR(INDEX(PP_Grid[#Data],$DE1140,74),0)</f>
        <v/>
      </c>
      <c r="BZ1140">
        <f>IFERROR(INDEX(PP_Grid[#Data],$DE1140,75),0)</f>
        <v/>
      </c>
      <c r="CA1140">
        <f>IFERROR(INDEX(PP_Grid[#Data],$DE1140,76),0)</f>
        <v/>
      </c>
      <c r="CB1140">
        <f>IFERROR(INDEX(PP_Grid[#Data],$DE1140,77),0)</f>
        <v/>
      </c>
      <c r="CC1140">
        <f>IFERROR(INDEX(PP_Grid[#Data],$DE1140,78),0)</f>
        <v/>
      </c>
      <c r="CD1140">
        <f>IFERROR(INDEX(PP_Grid[#Data],$DE1140,79),0)</f>
        <v/>
      </c>
      <c r="CE1140">
        <f>IFERROR(INDEX(PP_Grid[#Data],$DE1140,80),0)</f>
        <v/>
      </c>
      <c r="CF1140">
        <f>IFERROR(INDEX(PP_Grid[#Data],$DE1140,81),0)</f>
        <v/>
      </c>
      <c r="CG1140">
        <f>IFERROR(INDEX(PP_Grid[#Data],$DE1140,82),0)</f>
        <v/>
      </c>
      <c r="CH1140">
        <f>IFERROR(INDEX(PP_Grid[#Data],$DE1140,83),0)</f>
        <v/>
      </c>
      <c r="CI1140">
        <f>IFERROR(INDEX(PP_Grid[#Data],$DE1140,84),0)</f>
        <v/>
      </c>
      <c r="CJ1140">
        <f>IFERROR(INDEX(PP_Grid[#Data],$DE1140,85),0)</f>
        <v/>
      </c>
      <c r="CK1140">
        <f>IFERROR(INDEX(PP_Grid[#Data],$DE1140,86),0)</f>
        <v/>
      </c>
      <c r="CL1140">
        <f>IFERROR(INDEX(PP_Grid[#Data],$DE1140,87),0)</f>
        <v/>
      </c>
      <c r="CM1140">
        <f>IFERROR(INDEX(PP_Grid[#Data],$DE1140,88),0)</f>
        <v/>
      </c>
      <c r="CN1140">
        <f>IFERROR(INDEX(PP_Grid[#Data],$DE1140,89),0)</f>
        <v/>
      </c>
      <c r="CO1140">
        <f>IFERROR(INDEX(PP_Grid[#Data],$DE1140,90),0)</f>
        <v/>
      </c>
      <c r="CP1140">
        <f>IFERROR(INDEX(PP_Grid[#Data],$DE1140,91),0)</f>
        <v/>
      </c>
      <c r="CQ1140">
        <f>IFERROR(INDEX(PP_Grid[#Data],$DE1140,92),0)</f>
        <v/>
      </c>
      <c r="CR1140">
        <f>IFERROR(INDEX(PP_Grid[#Data],$DE1140,93),0)</f>
        <v/>
      </c>
      <c r="CS1140">
        <f>IFERROR(INDEX(PP_Grid[#Data],$DE1140,94),0)</f>
        <v/>
      </c>
      <c r="CT1140">
        <f>IFERROR(INDEX(PP_Grid[#Data],$DE1140,95),0)</f>
        <v/>
      </c>
      <c r="CU1140">
        <f>IFERROR(INDEX(PP_Grid[#Data],$DE1140,96),0)</f>
        <v/>
      </c>
      <c r="CV1140">
        <f>IFERROR(INDEX(PP_Grid[#Data],$DE1140,97),0)</f>
        <v/>
      </c>
      <c r="CW1140">
        <f>IFERROR(INDEX(PP_Grid[#Data],$DE1140,98),0)</f>
        <v/>
      </c>
      <c r="CX1140">
        <f>IFERROR(INDEX(PP_Grid[#Data],$DE1140,99),0)</f>
        <v/>
      </c>
      <c r="CY1140">
        <f>IFERROR(INDEX(PP_Grid[#Data],$DE1140,100),0)</f>
        <v/>
      </c>
      <c r="CZ1140">
        <f>IFERROR(INDEX(PP_Grid[#Data],$DE1140,101),0)</f>
        <v/>
      </c>
      <c r="DA1140">
        <f>IFERROR(INDEX(PP_Grid[#Data],$DE1140,102),0)</f>
        <v/>
      </c>
      <c r="DB1140">
        <f>IFERROR(INDEX(PP_Grid[#Data],$DE1140,103),0)</f>
        <v/>
      </c>
      <c r="DC1140">
        <f>IFERROR(INDEX(PP_Grid[#Data],$DE1140,104),0)</f>
        <v/>
      </c>
      <c r="DD1140">
        <f>IFERROR(INDEX(PP_Grid[#Data],$DE1140,105),0)</f>
        <v/>
      </c>
      <c r="DE1140" s="7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SUMIFS(M_BOM[RM_Qty_Per_Batch],M_BOM[Intermediate],$B1140,M_BOM[RM_Code],$A1101)</f>
        <v/>
      </c>
      <c r="D1141">
        <f>IFERROR(INDEX(E1141:DD1141,$F$1),"")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  <c r="DD1141">
        <f>$C1141*DD1140</f>
        <v/>
      </c>
    </row>
    <row r="1142">
      <c r="B1142" t="inlineStr">
        <is>
          <t>TSP-1499</t>
        </is>
      </c>
      <c r="C1142" t="inlineStr">
        <is>
          <t>No. of batches</t>
        </is>
      </c>
      <c r="D1142">
        <f>IFERROR(INDEX(E1142:DD1142,$F$1),"")</f>
        <v/>
      </c>
      <c r="E1142">
        <f>IFERROR(INDEX(PP_Grid[#Data],$DE1142,2),0)</f>
        <v/>
      </c>
      <c r="F1142">
        <f>IFERROR(INDEX(PP_Grid[#Data],$DE1142,3),0)</f>
        <v/>
      </c>
      <c r="G1142">
        <f>IFERROR(INDEX(PP_Grid[#Data],$DE1142,4),0)</f>
        <v/>
      </c>
      <c r="H1142">
        <f>IFERROR(INDEX(PP_Grid[#Data],$DE1142,5),0)</f>
        <v/>
      </c>
      <c r="I1142">
        <f>IFERROR(INDEX(PP_Grid[#Data],$DE1142,6),0)</f>
        <v/>
      </c>
      <c r="J1142">
        <f>IFERROR(INDEX(PP_Grid[#Data],$DE1142,7),0)</f>
        <v/>
      </c>
      <c r="K1142">
        <f>IFERROR(INDEX(PP_Grid[#Data],$DE1142,8),0)</f>
        <v/>
      </c>
      <c r="L1142">
        <f>IFERROR(INDEX(PP_Grid[#Data],$DE1142,9),0)</f>
        <v/>
      </c>
      <c r="M1142">
        <f>IFERROR(INDEX(PP_Grid[#Data],$DE1142,10),0)</f>
        <v/>
      </c>
      <c r="N1142">
        <f>IFERROR(INDEX(PP_Grid[#Data],$DE1142,11),0)</f>
        <v/>
      </c>
      <c r="O1142">
        <f>IFERROR(INDEX(PP_Grid[#Data],$DE1142,12),0)</f>
        <v/>
      </c>
      <c r="P1142">
        <f>IFERROR(INDEX(PP_Grid[#Data],$DE1142,13),0)</f>
        <v/>
      </c>
      <c r="Q1142">
        <f>IFERROR(INDEX(PP_Grid[#Data],$DE1142,14),0)</f>
        <v/>
      </c>
      <c r="R1142">
        <f>IFERROR(INDEX(PP_Grid[#Data],$DE1142,15),0)</f>
        <v/>
      </c>
      <c r="S1142">
        <f>IFERROR(INDEX(PP_Grid[#Data],$DE1142,16),0)</f>
        <v/>
      </c>
      <c r="T1142">
        <f>IFERROR(INDEX(PP_Grid[#Data],$DE1142,17),0)</f>
        <v/>
      </c>
      <c r="U1142">
        <f>IFERROR(INDEX(PP_Grid[#Data],$DE1142,18),0)</f>
        <v/>
      </c>
      <c r="V1142">
        <f>IFERROR(INDEX(PP_Grid[#Data],$DE1142,19),0)</f>
        <v/>
      </c>
      <c r="W1142">
        <f>IFERROR(INDEX(PP_Grid[#Data],$DE1142,20),0)</f>
        <v/>
      </c>
      <c r="X1142">
        <f>IFERROR(INDEX(PP_Grid[#Data],$DE1142,21),0)</f>
        <v/>
      </c>
      <c r="Y1142">
        <f>IFERROR(INDEX(PP_Grid[#Data],$DE1142,22),0)</f>
        <v/>
      </c>
      <c r="Z1142">
        <f>IFERROR(INDEX(PP_Grid[#Data],$DE1142,23),0)</f>
        <v/>
      </c>
      <c r="AA1142">
        <f>IFERROR(INDEX(PP_Grid[#Data],$DE1142,24),0)</f>
        <v/>
      </c>
      <c r="AB1142">
        <f>IFERROR(INDEX(PP_Grid[#Data],$DE1142,25),0)</f>
        <v/>
      </c>
      <c r="AC1142">
        <f>IFERROR(INDEX(PP_Grid[#Data],$DE1142,26),0)</f>
        <v/>
      </c>
      <c r="AD1142">
        <f>IFERROR(INDEX(PP_Grid[#Data],$DE1142,27),0)</f>
        <v/>
      </c>
      <c r="AE1142">
        <f>IFERROR(INDEX(PP_Grid[#Data],$DE1142,28),0)</f>
        <v/>
      </c>
      <c r="AF1142">
        <f>IFERROR(INDEX(PP_Grid[#Data],$DE1142,29),0)</f>
        <v/>
      </c>
      <c r="AG1142">
        <f>IFERROR(INDEX(PP_Grid[#Data],$DE1142,30),0)</f>
        <v/>
      </c>
      <c r="AH1142">
        <f>IFERROR(INDEX(PP_Grid[#Data],$DE1142,31),0)</f>
        <v/>
      </c>
      <c r="AI1142">
        <f>IFERROR(INDEX(PP_Grid[#Data],$DE1142,32),0)</f>
        <v/>
      </c>
      <c r="AJ1142">
        <f>IFERROR(INDEX(PP_Grid[#Data],$DE1142,33),0)</f>
        <v/>
      </c>
      <c r="AK1142">
        <f>IFERROR(INDEX(PP_Grid[#Data],$DE1142,34),0)</f>
        <v/>
      </c>
      <c r="AL1142">
        <f>IFERROR(INDEX(PP_Grid[#Data],$DE1142,35),0)</f>
        <v/>
      </c>
      <c r="AM1142">
        <f>IFERROR(INDEX(PP_Grid[#Data],$DE1142,36),0)</f>
        <v/>
      </c>
      <c r="AN1142">
        <f>IFERROR(INDEX(PP_Grid[#Data],$DE1142,37),0)</f>
        <v/>
      </c>
      <c r="AO1142">
        <f>IFERROR(INDEX(PP_Grid[#Data],$DE1142,38),0)</f>
        <v/>
      </c>
      <c r="AP1142">
        <f>IFERROR(INDEX(PP_Grid[#Data],$DE1142,39),0)</f>
        <v/>
      </c>
      <c r="AQ1142">
        <f>IFERROR(INDEX(PP_Grid[#Data],$DE1142,40),0)</f>
        <v/>
      </c>
      <c r="AR1142">
        <f>IFERROR(INDEX(PP_Grid[#Data],$DE1142,41),0)</f>
        <v/>
      </c>
      <c r="AS1142">
        <f>IFERROR(INDEX(PP_Grid[#Data],$DE1142,42),0)</f>
        <v/>
      </c>
      <c r="AT1142">
        <f>IFERROR(INDEX(PP_Grid[#Data],$DE1142,43),0)</f>
        <v/>
      </c>
      <c r="AU1142">
        <f>IFERROR(INDEX(PP_Grid[#Data],$DE1142,44),0)</f>
        <v/>
      </c>
      <c r="AV1142">
        <f>IFERROR(INDEX(PP_Grid[#Data],$DE1142,45),0)</f>
        <v/>
      </c>
      <c r="AW1142">
        <f>IFERROR(INDEX(PP_Grid[#Data],$DE1142,46),0)</f>
        <v/>
      </c>
      <c r="AX1142">
        <f>IFERROR(INDEX(PP_Grid[#Data],$DE1142,47),0)</f>
        <v/>
      </c>
      <c r="AY1142">
        <f>IFERROR(INDEX(PP_Grid[#Data],$DE1142,48),0)</f>
        <v/>
      </c>
      <c r="AZ1142">
        <f>IFERROR(INDEX(PP_Grid[#Data],$DE1142,49),0)</f>
        <v/>
      </c>
      <c r="BA1142">
        <f>IFERROR(INDEX(PP_Grid[#Data],$DE1142,50),0)</f>
        <v/>
      </c>
      <c r="BB1142">
        <f>IFERROR(INDEX(PP_Grid[#Data],$DE1142,51),0)</f>
        <v/>
      </c>
      <c r="BC1142">
        <f>IFERROR(INDEX(PP_Grid[#Data],$DE1142,52),0)</f>
        <v/>
      </c>
      <c r="BD1142">
        <f>IFERROR(INDEX(PP_Grid[#Data],$DE1142,53),0)</f>
        <v/>
      </c>
      <c r="BE1142">
        <f>IFERROR(INDEX(PP_Grid[#Data],$DE1142,54),0)</f>
        <v/>
      </c>
      <c r="BF1142">
        <f>IFERROR(INDEX(PP_Grid[#Data],$DE1142,55),0)</f>
        <v/>
      </c>
      <c r="BG1142">
        <f>IFERROR(INDEX(PP_Grid[#Data],$DE1142,56),0)</f>
        <v/>
      </c>
      <c r="BH1142">
        <f>IFERROR(INDEX(PP_Grid[#Data],$DE1142,57),0)</f>
        <v/>
      </c>
      <c r="BI1142">
        <f>IFERROR(INDEX(PP_Grid[#Data],$DE1142,58),0)</f>
        <v/>
      </c>
      <c r="BJ1142">
        <f>IFERROR(INDEX(PP_Grid[#Data],$DE1142,59),0)</f>
        <v/>
      </c>
      <c r="BK1142">
        <f>IFERROR(INDEX(PP_Grid[#Data],$DE1142,60),0)</f>
        <v/>
      </c>
      <c r="BL1142">
        <f>IFERROR(INDEX(PP_Grid[#Data],$DE1142,61),0)</f>
        <v/>
      </c>
      <c r="BM1142">
        <f>IFERROR(INDEX(PP_Grid[#Data],$DE1142,62),0)</f>
        <v/>
      </c>
      <c r="BN1142">
        <f>IFERROR(INDEX(PP_Grid[#Data],$DE1142,63),0)</f>
        <v/>
      </c>
      <c r="BO1142">
        <f>IFERROR(INDEX(PP_Grid[#Data],$DE1142,64),0)</f>
        <v/>
      </c>
      <c r="BP1142">
        <f>IFERROR(INDEX(PP_Grid[#Data],$DE1142,65),0)</f>
        <v/>
      </c>
      <c r="BQ1142">
        <f>IFERROR(INDEX(PP_Grid[#Data],$DE1142,66),0)</f>
        <v/>
      </c>
      <c r="BR1142">
        <f>IFERROR(INDEX(PP_Grid[#Data],$DE1142,67),0)</f>
        <v/>
      </c>
      <c r="BS1142">
        <f>IFERROR(INDEX(PP_Grid[#Data],$DE1142,68),0)</f>
        <v/>
      </c>
      <c r="BT1142">
        <f>IFERROR(INDEX(PP_Grid[#Data],$DE1142,69),0)</f>
        <v/>
      </c>
      <c r="BU1142">
        <f>IFERROR(INDEX(PP_Grid[#Data],$DE1142,70),0)</f>
        <v/>
      </c>
      <c r="BV1142">
        <f>IFERROR(INDEX(PP_Grid[#Data],$DE1142,71),0)</f>
        <v/>
      </c>
      <c r="BW1142">
        <f>IFERROR(INDEX(PP_Grid[#Data],$DE1142,72),0)</f>
        <v/>
      </c>
      <c r="BX1142">
        <f>IFERROR(INDEX(PP_Grid[#Data],$DE1142,73),0)</f>
        <v/>
      </c>
      <c r="BY1142">
        <f>IFERROR(INDEX(PP_Grid[#Data],$DE1142,74),0)</f>
        <v/>
      </c>
      <c r="BZ1142">
        <f>IFERROR(INDEX(PP_Grid[#Data],$DE1142,75),0)</f>
        <v/>
      </c>
      <c r="CA1142">
        <f>IFERROR(INDEX(PP_Grid[#Data],$DE1142,76),0)</f>
        <v/>
      </c>
      <c r="CB1142">
        <f>IFERROR(INDEX(PP_Grid[#Data],$DE1142,77),0)</f>
        <v/>
      </c>
      <c r="CC1142">
        <f>IFERROR(INDEX(PP_Grid[#Data],$DE1142,78),0)</f>
        <v/>
      </c>
      <c r="CD1142">
        <f>IFERROR(INDEX(PP_Grid[#Data],$DE1142,79),0)</f>
        <v/>
      </c>
      <c r="CE1142">
        <f>IFERROR(INDEX(PP_Grid[#Data],$DE1142,80),0)</f>
        <v/>
      </c>
      <c r="CF1142">
        <f>IFERROR(INDEX(PP_Grid[#Data],$DE1142,81),0)</f>
        <v/>
      </c>
      <c r="CG1142">
        <f>IFERROR(INDEX(PP_Grid[#Data],$DE1142,82),0)</f>
        <v/>
      </c>
      <c r="CH1142">
        <f>IFERROR(INDEX(PP_Grid[#Data],$DE1142,83),0)</f>
        <v/>
      </c>
      <c r="CI1142">
        <f>IFERROR(INDEX(PP_Grid[#Data],$DE1142,84),0)</f>
        <v/>
      </c>
      <c r="CJ1142">
        <f>IFERROR(INDEX(PP_Grid[#Data],$DE1142,85),0)</f>
        <v/>
      </c>
      <c r="CK1142">
        <f>IFERROR(INDEX(PP_Grid[#Data],$DE1142,86),0)</f>
        <v/>
      </c>
      <c r="CL1142">
        <f>IFERROR(INDEX(PP_Grid[#Data],$DE1142,87),0)</f>
        <v/>
      </c>
      <c r="CM1142">
        <f>IFERROR(INDEX(PP_Grid[#Data],$DE1142,88),0)</f>
        <v/>
      </c>
      <c r="CN1142">
        <f>IFERROR(INDEX(PP_Grid[#Data],$DE1142,89),0)</f>
        <v/>
      </c>
      <c r="CO1142">
        <f>IFERROR(INDEX(PP_Grid[#Data],$DE1142,90),0)</f>
        <v/>
      </c>
      <c r="CP1142">
        <f>IFERROR(INDEX(PP_Grid[#Data],$DE1142,91),0)</f>
        <v/>
      </c>
      <c r="CQ1142">
        <f>IFERROR(INDEX(PP_Grid[#Data],$DE1142,92),0)</f>
        <v/>
      </c>
      <c r="CR1142">
        <f>IFERROR(INDEX(PP_Grid[#Data],$DE1142,93),0)</f>
        <v/>
      </c>
      <c r="CS1142">
        <f>IFERROR(INDEX(PP_Grid[#Data],$DE1142,94),0)</f>
        <v/>
      </c>
      <c r="CT1142">
        <f>IFERROR(INDEX(PP_Grid[#Data],$DE1142,95),0)</f>
        <v/>
      </c>
      <c r="CU1142">
        <f>IFERROR(INDEX(PP_Grid[#Data],$DE1142,96),0)</f>
        <v/>
      </c>
      <c r="CV1142">
        <f>IFERROR(INDEX(PP_Grid[#Data],$DE1142,97),0)</f>
        <v/>
      </c>
      <c r="CW1142">
        <f>IFERROR(INDEX(PP_Grid[#Data],$DE1142,98),0)</f>
        <v/>
      </c>
      <c r="CX1142">
        <f>IFERROR(INDEX(PP_Grid[#Data],$DE1142,99),0)</f>
        <v/>
      </c>
      <c r="CY1142">
        <f>IFERROR(INDEX(PP_Grid[#Data],$DE1142,100),0)</f>
        <v/>
      </c>
      <c r="CZ1142">
        <f>IFERROR(INDEX(PP_Grid[#Data],$DE1142,101),0)</f>
        <v/>
      </c>
      <c r="DA1142">
        <f>IFERROR(INDEX(PP_Grid[#Data],$DE1142,102),0)</f>
        <v/>
      </c>
      <c r="DB1142">
        <f>IFERROR(INDEX(PP_Grid[#Data],$DE1142,103),0)</f>
        <v/>
      </c>
      <c r="DC1142">
        <f>IFERROR(INDEX(PP_Grid[#Data],$DE1142,104),0)</f>
        <v/>
      </c>
      <c r="DD1142">
        <f>IFERROR(INDEX(PP_Grid[#Data],$DE1142,105),0)</f>
        <v/>
      </c>
      <c r="DE1142" s="7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SUMIFS(M_BOM[RM_Qty_Per_Batch],M_BOM[Intermediate],$B1142,M_BOM[RM_Code],$A1101)</f>
        <v/>
      </c>
      <c r="D1143">
        <f>IFERROR(INDEX(E1143:DD1143,$F$1),"")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  <c r="DD1143">
        <f>$C1143*DD1142</f>
        <v/>
      </c>
    </row>
    <row r="1144">
      <c r="B1144" s="4" t="inlineStr">
        <is>
          <t>合計使用量(kg)/週</t>
        </is>
      </c>
      <c r="D1144" s="22">
        <f>IFERROR(INDEX(E1144:DD1144,$F$1),"")</f>
        <v/>
      </c>
      <c r="E1144">
        <f>'Grid_Requirement'!B6</f>
        <v/>
      </c>
      <c r="F1144">
        <f>'Grid_Requirement'!C6</f>
        <v/>
      </c>
      <c r="G1144">
        <f>'Grid_Requirement'!D6</f>
        <v/>
      </c>
      <c r="H1144">
        <f>'Grid_Requirement'!E6</f>
        <v/>
      </c>
      <c r="I1144">
        <f>'Grid_Requirement'!F6</f>
        <v/>
      </c>
      <c r="J1144">
        <f>'Grid_Requirement'!G6</f>
        <v/>
      </c>
      <c r="K1144">
        <f>'Grid_Requirement'!H6</f>
        <v/>
      </c>
      <c r="L1144">
        <f>'Grid_Requirement'!I6</f>
        <v/>
      </c>
      <c r="M1144">
        <f>'Grid_Requirement'!J6</f>
        <v/>
      </c>
      <c r="N1144">
        <f>'Grid_Requirement'!K6</f>
        <v/>
      </c>
      <c r="O1144">
        <f>'Grid_Requirement'!L6</f>
        <v/>
      </c>
      <c r="P1144">
        <f>'Grid_Requirement'!M6</f>
        <v/>
      </c>
      <c r="Q1144">
        <f>'Grid_Requirement'!N6</f>
        <v/>
      </c>
      <c r="R1144">
        <f>'Grid_Requirement'!O6</f>
        <v/>
      </c>
      <c r="S1144">
        <f>'Grid_Requirement'!P6</f>
        <v/>
      </c>
      <c r="T1144">
        <f>'Grid_Requirement'!Q6</f>
        <v/>
      </c>
      <c r="U1144">
        <f>'Grid_Requirement'!R6</f>
        <v/>
      </c>
      <c r="V1144">
        <f>'Grid_Requirement'!S6</f>
        <v/>
      </c>
      <c r="W1144">
        <f>'Grid_Requirement'!T6</f>
        <v/>
      </c>
      <c r="X1144">
        <f>'Grid_Requirement'!U6</f>
        <v/>
      </c>
      <c r="Y1144">
        <f>'Grid_Requirement'!V6</f>
        <v/>
      </c>
      <c r="Z1144">
        <f>'Grid_Requirement'!W6</f>
        <v/>
      </c>
      <c r="AA1144">
        <f>'Grid_Requirement'!X6</f>
        <v/>
      </c>
      <c r="AB1144">
        <f>'Grid_Requirement'!Y6</f>
        <v/>
      </c>
      <c r="AC1144">
        <f>'Grid_Requirement'!Z6</f>
        <v/>
      </c>
      <c r="AD1144">
        <f>'Grid_Requirement'!AA6</f>
        <v/>
      </c>
      <c r="AE1144">
        <f>'Grid_Requirement'!AB6</f>
        <v/>
      </c>
      <c r="AF1144">
        <f>'Grid_Requirement'!AC6</f>
        <v/>
      </c>
      <c r="AG1144">
        <f>'Grid_Requirement'!AD6</f>
        <v/>
      </c>
      <c r="AH1144">
        <f>'Grid_Requirement'!AE6</f>
        <v/>
      </c>
      <c r="AI1144">
        <f>'Grid_Requirement'!AF6</f>
        <v/>
      </c>
      <c r="AJ1144">
        <f>'Grid_Requirement'!AG6</f>
        <v/>
      </c>
      <c r="AK1144">
        <f>'Grid_Requirement'!AH6</f>
        <v/>
      </c>
      <c r="AL1144">
        <f>'Grid_Requirement'!AI6</f>
        <v/>
      </c>
      <c r="AM1144">
        <f>'Grid_Requirement'!AJ6</f>
        <v/>
      </c>
      <c r="AN1144">
        <f>'Grid_Requirement'!AK6</f>
        <v/>
      </c>
      <c r="AO1144">
        <f>'Grid_Requirement'!AL6</f>
        <v/>
      </c>
      <c r="AP1144">
        <f>'Grid_Requirement'!AM6</f>
        <v/>
      </c>
      <c r="AQ1144">
        <f>'Grid_Requirement'!AN6</f>
        <v/>
      </c>
      <c r="AR1144">
        <f>'Grid_Requirement'!AO6</f>
        <v/>
      </c>
      <c r="AS1144">
        <f>'Grid_Requirement'!AP6</f>
        <v/>
      </c>
      <c r="AT1144">
        <f>'Grid_Requirement'!AQ6</f>
        <v/>
      </c>
      <c r="AU1144">
        <f>'Grid_Requirement'!AR6</f>
        <v/>
      </c>
      <c r="AV1144">
        <f>'Grid_Requirement'!AS6</f>
        <v/>
      </c>
      <c r="AW1144">
        <f>'Grid_Requirement'!AT6</f>
        <v/>
      </c>
      <c r="AX1144">
        <f>'Grid_Requirement'!AU6</f>
        <v/>
      </c>
      <c r="AY1144">
        <f>'Grid_Requirement'!AV6</f>
        <v/>
      </c>
      <c r="AZ1144">
        <f>'Grid_Requirement'!AW6</f>
        <v/>
      </c>
      <c r="BA1144">
        <f>'Grid_Requirement'!AX6</f>
        <v/>
      </c>
      <c r="BB1144">
        <f>'Grid_Requirement'!AY6</f>
        <v/>
      </c>
      <c r="BC1144">
        <f>'Grid_Requirement'!AZ6</f>
        <v/>
      </c>
      <c r="BD1144">
        <f>'Grid_Requirement'!BA6</f>
        <v/>
      </c>
      <c r="BE1144">
        <f>'Grid_Requirement'!BB6</f>
        <v/>
      </c>
      <c r="BF1144">
        <f>'Grid_Requirement'!BC6</f>
        <v/>
      </c>
      <c r="BG1144">
        <f>'Grid_Requirement'!BD6</f>
        <v/>
      </c>
      <c r="BH1144">
        <f>'Grid_Requirement'!BE6</f>
        <v/>
      </c>
      <c r="BI1144">
        <f>'Grid_Requirement'!BF6</f>
        <v/>
      </c>
      <c r="BJ1144">
        <f>'Grid_Requirement'!BG6</f>
        <v/>
      </c>
      <c r="BK1144">
        <f>'Grid_Requirement'!BH6</f>
        <v/>
      </c>
      <c r="BL1144">
        <f>'Grid_Requirement'!BI6</f>
        <v/>
      </c>
      <c r="BM1144">
        <f>'Grid_Requirement'!BJ6</f>
        <v/>
      </c>
      <c r="BN1144">
        <f>'Grid_Requirement'!BK6</f>
        <v/>
      </c>
      <c r="BO1144">
        <f>'Grid_Requirement'!BL6</f>
        <v/>
      </c>
      <c r="BP1144">
        <f>'Grid_Requirement'!BM6</f>
        <v/>
      </c>
      <c r="BQ1144">
        <f>'Grid_Requirement'!BN6</f>
        <v/>
      </c>
      <c r="BR1144">
        <f>'Grid_Requirement'!BO6</f>
        <v/>
      </c>
      <c r="BS1144">
        <f>'Grid_Requirement'!BP6</f>
        <v/>
      </c>
      <c r="BT1144">
        <f>'Grid_Requirement'!BQ6</f>
        <v/>
      </c>
      <c r="BU1144">
        <f>'Grid_Requirement'!BR6</f>
        <v/>
      </c>
      <c r="BV1144">
        <f>'Grid_Requirement'!BS6</f>
        <v/>
      </c>
      <c r="BW1144">
        <f>'Grid_Requirement'!BT6</f>
        <v/>
      </c>
      <c r="BX1144">
        <f>'Grid_Requirement'!BU6</f>
        <v/>
      </c>
      <c r="BY1144">
        <f>'Grid_Requirement'!BV6</f>
        <v/>
      </c>
      <c r="BZ1144">
        <f>'Grid_Requirement'!BW6</f>
        <v/>
      </c>
      <c r="CA1144">
        <f>'Grid_Requirement'!BX6</f>
        <v/>
      </c>
      <c r="CB1144">
        <f>'Grid_Requirement'!BY6</f>
        <v/>
      </c>
      <c r="CC1144">
        <f>'Grid_Requirement'!BZ6</f>
        <v/>
      </c>
      <c r="CD1144">
        <f>'Grid_Requirement'!CA6</f>
        <v/>
      </c>
      <c r="CE1144">
        <f>'Grid_Requirement'!CB6</f>
        <v/>
      </c>
      <c r="CF1144">
        <f>'Grid_Requirement'!CC6</f>
        <v/>
      </c>
      <c r="CG1144">
        <f>'Grid_Requirement'!CD6</f>
        <v/>
      </c>
      <c r="CH1144">
        <f>'Grid_Requirement'!CE6</f>
        <v/>
      </c>
      <c r="CI1144">
        <f>'Grid_Requirement'!CF6</f>
        <v/>
      </c>
      <c r="CJ1144">
        <f>'Grid_Requirement'!CG6</f>
        <v/>
      </c>
      <c r="CK1144">
        <f>'Grid_Requirement'!CH6</f>
        <v/>
      </c>
      <c r="CL1144">
        <f>'Grid_Requirement'!CI6</f>
        <v/>
      </c>
      <c r="CM1144">
        <f>'Grid_Requirement'!CJ6</f>
        <v/>
      </c>
      <c r="CN1144">
        <f>'Grid_Requirement'!CK6</f>
        <v/>
      </c>
      <c r="CO1144">
        <f>'Grid_Requirement'!CL6</f>
        <v/>
      </c>
      <c r="CP1144">
        <f>'Grid_Requirement'!CM6</f>
        <v/>
      </c>
      <c r="CQ1144">
        <f>'Grid_Requirement'!CN6</f>
        <v/>
      </c>
      <c r="CR1144">
        <f>'Grid_Requirement'!CO6</f>
        <v/>
      </c>
      <c r="CS1144">
        <f>'Grid_Requirement'!CP6</f>
        <v/>
      </c>
      <c r="CT1144">
        <f>'Grid_Requirement'!CQ6</f>
        <v/>
      </c>
      <c r="CU1144">
        <f>'Grid_Requirement'!CR6</f>
        <v/>
      </c>
      <c r="CV1144">
        <f>'Grid_Requirement'!CS6</f>
        <v/>
      </c>
      <c r="CW1144">
        <f>'Grid_Requirement'!CT6</f>
        <v/>
      </c>
      <c r="CX1144">
        <f>'Grid_Requirement'!CU6</f>
        <v/>
      </c>
      <c r="CY1144">
        <f>'Grid_Requirement'!CV6</f>
        <v/>
      </c>
      <c r="CZ1144">
        <f>'Grid_Requirement'!CW6</f>
        <v/>
      </c>
      <c r="DA1144">
        <f>'Grid_Requirement'!CX6</f>
        <v/>
      </c>
      <c r="DB1144">
        <f>'Grid_Requirement'!CY6</f>
        <v/>
      </c>
      <c r="DC1144">
        <f>'Grid_Requirement'!CZ6</f>
        <v/>
      </c>
      <c r="DD1144">
        <f>'Grid_Requirement'!DA6</f>
        <v/>
      </c>
    </row>
    <row r="1145">
      <c r="B1145" s="23" t="inlineStr">
        <is>
          <t>（在庫・入荷予定はDashboard参照）</t>
        </is>
      </c>
    </row>
    <row r="1147">
      <c r="A1147" s="21" t="inlineStr">
        <is>
          <t>CHEM-1650</t>
        </is>
      </c>
      <c r="B1147" s="21" t="inlineStr">
        <is>
          <t>DUASYN ACID BLUE AE-SF 30 LIQUID-SN</t>
        </is>
      </c>
      <c r="C1147" s="21" t="n"/>
      <c r="D1147" s="21" t="n"/>
      <c r="E1147" s="21" t="n"/>
      <c r="F1147" s="21" t="n"/>
      <c r="G1147" s="21" t="n"/>
      <c r="H1147" s="21" t="n"/>
      <c r="I1147" s="21" t="n"/>
      <c r="J1147" s="21" t="n"/>
      <c r="K1147" s="21" t="n"/>
      <c r="L1147" s="21" t="n"/>
      <c r="M1147" s="21" t="n"/>
      <c r="N1147" s="21" t="n"/>
      <c r="O1147" s="21" t="n"/>
      <c r="P1147" s="21" t="n"/>
      <c r="Q1147" s="21" t="n"/>
      <c r="R1147" s="21" t="n"/>
      <c r="S1147" s="21" t="n"/>
      <c r="T1147" s="21" t="n"/>
      <c r="U1147" s="21" t="n"/>
      <c r="V1147" s="21" t="n"/>
      <c r="W1147" s="21" t="n"/>
      <c r="X1147" s="21" t="n"/>
      <c r="Y1147" s="21" t="n"/>
      <c r="Z1147" s="21" t="n"/>
      <c r="AA1147" s="21" t="n"/>
      <c r="AB1147" s="21" t="n"/>
      <c r="AC1147" s="21" t="n"/>
      <c r="AD1147" s="21" t="n"/>
      <c r="AE1147" s="21" t="n"/>
      <c r="AF1147" s="21" t="n"/>
      <c r="AG1147" s="21" t="n"/>
      <c r="AH1147" s="21" t="n"/>
      <c r="AI1147" s="21" t="n"/>
      <c r="AJ1147" s="21" t="n"/>
      <c r="AK1147" s="21" t="n"/>
      <c r="AL1147" s="21" t="n"/>
      <c r="AM1147" s="21" t="n"/>
      <c r="AN1147" s="21" t="n"/>
      <c r="AO1147" s="21" t="n"/>
      <c r="AP1147" s="21" t="n"/>
      <c r="AQ1147" s="21" t="n"/>
      <c r="AR1147" s="21" t="n"/>
      <c r="AS1147" s="21" t="n"/>
      <c r="AT1147" s="21" t="n"/>
      <c r="AU1147" s="21" t="n"/>
      <c r="AV1147" s="21" t="n"/>
      <c r="AW1147" s="21" t="n"/>
      <c r="AX1147" s="21" t="n"/>
      <c r="AY1147" s="21" t="n"/>
      <c r="AZ1147" s="21" t="n"/>
      <c r="BA1147" s="21" t="n"/>
      <c r="BB1147" s="21" t="n"/>
      <c r="BC1147" s="21" t="n"/>
      <c r="BD1147" s="21" t="n"/>
      <c r="BE1147" s="21" t="n"/>
      <c r="BF1147" s="21" t="n"/>
      <c r="BG1147" s="21" t="n"/>
      <c r="BH1147" s="21" t="n"/>
      <c r="BI1147" s="21" t="n"/>
      <c r="BJ1147" s="21" t="n"/>
      <c r="BK1147" s="21" t="n"/>
      <c r="BL1147" s="21" t="n"/>
      <c r="BM1147" s="21" t="n"/>
      <c r="BN1147" s="21" t="n"/>
      <c r="BO1147" s="21" t="n"/>
      <c r="BP1147" s="21" t="n"/>
      <c r="BQ1147" s="21" t="n"/>
      <c r="BR1147" s="21" t="n"/>
      <c r="BS1147" s="21" t="n"/>
      <c r="BT1147" s="21" t="n"/>
      <c r="BU1147" s="21" t="n"/>
      <c r="BV1147" s="21" t="n"/>
      <c r="BW1147" s="21" t="n"/>
      <c r="BX1147" s="21" t="n"/>
      <c r="BY1147" s="21" t="n"/>
      <c r="BZ1147" s="21" t="n"/>
      <c r="CA1147" s="21" t="n"/>
      <c r="CB1147" s="21" t="n"/>
      <c r="CC1147" s="21" t="n"/>
      <c r="CD1147" s="21" t="n"/>
      <c r="CE1147" s="21" t="n"/>
      <c r="CF1147" s="21" t="n"/>
      <c r="CG1147" s="21" t="n"/>
      <c r="CH1147" s="21" t="n"/>
      <c r="CI1147" s="21" t="n"/>
      <c r="CJ1147" s="21" t="n"/>
      <c r="CK1147" s="21" t="n"/>
      <c r="CL1147" s="21" t="n"/>
      <c r="CM1147" s="21" t="n"/>
      <c r="CN1147" s="21" t="n"/>
      <c r="CO1147" s="21" t="n"/>
      <c r="CP1147" s="21" t="n"/>
      <c r="CQ1147" s="21" t="n"/>
      <c r="CR1147" s="21" t="n"/>
      <c r="CS1147" s="21" t="n"/>
      <c r="CT1147" s="21" t="n"/>
      <c r="CU1147" s="21" t="n"/>
      <c r="CV1147" s="21" t="n"/>
      <c r="CW1147" s="21" t="n"/>
      <c r="CX1147" s="21" t="n"/>
      <c r="CY1147" s="21" t="n"/>
      <c r="CZ1147" s="21" t="n"/>
      <c r="DA1147" s="21" t="n"/>
      <c r="DB1147" s="21" t="n"/>
      <c r="DC1147" s="21" t="n"/>
      <c r="DD1147" s="21" t="n"/>
    </row>
    <row r="1148">
      <c r="B1148" t="inlineStr">
        <is>
          <t>TSP-402</t>
        </is>
      </c>
      <c r="C1148" t="inlineStr">
        <is>
          <t>No. of batches</t>
        </is>
      </c>
      <c r="D1148">
        <f>IFERROR(INDEX(E1148:DD1148,$F$1),"")</f>
        <v/>
      </c>
      <c r="E1148">
        <f>IFERROR(INDEX(PP_Grid[#Data],$DE1148,2),0)</f>
        <v/>
      </c>
      <c r="F1148">
        <f>IFERROR(INDEX(PP_Grid[#Data],$DE1148,3),0)</f>
        <v/>
      </c>
      <c r="G1148">
        <f>IFERROR(INDEX(PP_Grid[#Data],$DE1148,4),0)</f>
        <v/>
      </c>
      <c r="H1148">
        <f>IFERROR(INDEX(PP_Grid[#Data],$DE1148,5),0)</f>
        <v/>
      </c>
      <c r="I1148">
        <f>IFERROR(INDEX(PP_Grid[#Data],$DE1148,6),0)</f>
        <v/>
      </c>
      <c r="J1148">
        <f>IFERROR(INDEX(PP_Grid[#Data],$DE1148,7),0)</f>
        <v/>
      </c>
      <c r="K1148">
        <f>IFERROR(INDEX(PP_Grid[#Data],$DE1148,8),0)</f>
        <v/>
      </c>
      <c r="L1148">
        <f>IFERROR(INDEX(PP_Grid[#Data],$DE1148,9),0)</f>
        <v/>
      </c>
      <c r="M1148">
        <f>IFERROR(INDEX(PP_Grid[#Data],$DE1148,10),0)</f>
        <v/>
      </c>
      <c r="N1148">
        <f>IFERROR(INDEX(PP_Grid[#Data],$DE1148,11),0)</f>
        <v/>
      </c>
      <c r="O1148">
        <f>IFERROR(INDEX(PP_Grid[#Data],$DE1148,12),0)</f>
        <v/>
      </c>
      <c r="P1148">
        <f>IFERROR(INDEX(PP_Grid[#Data],$DE1148,13),0)</f>
        <v/>
      </c>
      <c r="Q1148">
        <f>IFERROR(INDEX(PP_Grid[#Data],$DE1148,14),0)</f>
        <v/>
      </c>
      <c r="R1148">
        <f>IFERROR(INDEX(PP_Grid[#Data],$DE1148,15),0)</f>
        <v/>
      </c>
      <c r="S1148">
        <f>IFERROR(INDEX(PP_Grid[#Data],$DE1148,16),0)</f>
        <v/>
      </c>
      <c r="T1148">
        <f>IFERROR(INDEX(PP_Grid[#Data],$DE1148,17),0)</f>
        <v/>
      </c>
      <c r="U1148">
        <f>IFERROR(INDEX(PP_Grid[#Data],$DE1148,18),0)</f>
        <v/>
      </c>
      <c r="V1148">
        <f>IFERROR(INDEX(PP_Grid[#Data],$DE1148,19),0)</f>
        <v/>
      </c>
      <c r="W1148">
        <f>IFERROR(INDEX(PP_Grid[#Data],$DE1148,20),0)</f>
        <v/>
      </c>
      <c r="X1148">
        <f>IFERROR(INDEX(PP_Grid[#Data],$DE1148,21),0)</f>
        <v/>
      </c>
      <c r="Y1148">
        <f>IFERROR(INDEX(PP_Grid[#Data],$DE1148,22),0)</f>
        <v/>
      </c>
      <c r="Z1148">
        <f>IFERROR(INDEX(PP_Grid[#Data],$DE1148,23),0)</f>
        <v/>
      </c>
      <c r="AA1148">
        <f>IFERROR(INDEX(PP_Grid[#Data],$DE1148,24),0)</f>
        <v/>
      </c>
      <c r="AB1148">
        <f>IFERROR(INDEX(PP_Grid[#Data],$DE1148,25),0)</f>
        <v/>
      </c>
      <c r="AC1148">
        <f>IFERROR(INDEX(PP_Grid[#Data],$DE1148,26),0)</f>
        <v/>
      </c>
      <c r="AD1148">
        <f>IFERROR(INDEX(PP_Grid[#Data],$DE1148,27),0)</f>
        <v/>
      </c>
      <c r="AE1148">
        <f>IFERROR(INDEX(PP_Grid[#Data],$DE1148,28),0)</f>
        <v/>
      </c>
      <c r="AF1148">
        <f>IFERROR(INDEX(PP_Grid[#Data],$DE1148,29),0)</f>
        <v/>
      </c>
      <c r="AG1148">
        <f>IFERROR(INDEX(PP_Grid[#Data],$DE1148,30),0)</f>
        <v/>
      </c>
      <c r="AH1148">
        <f>IFERROR(INDEX(PP_Grid[#Data],$DE1148,31),0)</f>
        <v/>
      </c>
      <c r="AI1148">
        <f>IFERROR(INDEX(PP_Grid[#Data],$DE1148,32),0)</f>
        <v/>
      </c>
      <c r="AJ1148">
        <f>IFERROR(INDEX(PP_Grid[#Data],$DE1148,33),0)</f>
        <v/>
      </c>
      <c r="AK1148">
        <f>IFERROR(INDEX(PP_Grid[#Data],$DE1148,34),0)</f>
        <v/>
      </c>
      <c r="AL1148">
        <f>IFERROR(INDEX(PP_Grid[#Data],$DE1148,35),0)</f>
        <v/>
      </c>
      <c r="AM1148">
        <f>IFERROR(INDEX(PP_Grid[#Data],$DE1148,36),0)</f>
        <v/>
      </c>
      <c r="AN1148">
        <f>IFERROR(INDEX(PP_Grid[#Data],$DE1148,37),0)</f>
        <v/>
      </c>
      <c r="AO1148">
        <f>IFERROR(INDEX(PP_Grid[#Data],$DE1148,38),0)</f>
        <v/>
      </c>
      <c r="AP1148">
        <f>IFERROR(INDEX(PP_Grid[#Data],$DE1148,39),0)</f>
        <v/>
      </c>
      <c r="AQ1148">
        <f>IFERROR(INDEX(PP_Grid[#Data],$DE1148,40),0)</f>
        <v/>
      </c>
      <c r="AR1148">
        <f>IFERROR(INDEX(PP_Grid[#Data],$DE1148,41),0)</f>
        <v/>
      </c>
      <c r="AS1148">
        <f>IFERROR(INDEX(PP_Grid[#Data],$DE1148,42),0)</f>
        <v/>
      </c>
      <c r="AT1148">
        <f>IFERROR(INDEX(PP_Grid[#Data],$DE1148,43),0)</f>
        <v/>
      </c>
      <c r="AU1148">
        <f>IFERROR(INDEX(PP_Grid[#Data],$DE1148,44),0)</f>
        <v/>
      </c>
      <c r="AV1148">
        <f>IFERROR(INDEX(PP_Grid[#Data],$DE1148,45),0)</f>
        <v/>
      </c>
      <c r="AW1148">
        <f>IFERROR(INDEX(PP_Grid[#Data],$DE1148,46),0)</f>
        <v/>
      </c>
      <c r="AX1148">
        <f>IFERROR(INDEX(PP_Grid[#Data],$DE1148,47),0)</f>
        <v/>
      </c>
      <c r="AY1148">
        <f>IFERROR(INDEX(PP_Grid[#Data],$DE1148,48),0)</f>
        <v/>
      </c>
      <c r="AZ1148">
        <f>IFERROR(INDEX(PP_Grid[#Data],$DE1148,49),0)</f>
        <v/>
      </c>
      <c r="BA1148">
        <f>IFERROR(INDEX(PP_Grid[#Data],$DE1148,50),0)</f>
        <v/>
      </c>
      <c r="BB1148">
        <f>IFERROR(INDEX(PP_Grid[#Data],$DE1148,51),0)</f>
        <v/>
      </c>
      <c r="BC1148">
        <f>IFERROR(INDEX(PP_Grid[#Data],$DE1148,52),0)</f>
        <v/>
      </c>
      <c r="BD1148">
        <f>IFERROR(INDEX(PP_Grid[#Data],$DE1148,53),0)</f>
        <v/>
      </c>
      <c r="BE1148">
        <f>IFERROR(INDEX(PP_Grid[#Data],$DE1148,54),0)</f>
        <v/>
      </c>
      <c r="BF1148">
        <f>IFERROR(INDEX(PP_Grid[#Data],$DE1148,55),0)</f>
        <v/>
      </c>
      <c r="BG1148">
        <f>IFERROR(INDEX(PP_Grid[#Data],$DE1148,56),0)</f>
        <v/>
      </c>
      <c r="BH1148">
        <f>IFERROR(INDEX(PP_Grid[#Data],$DE1148,57),0)</f>
        <v/>
      </c>
      <c r="BI1148">
        <f>IFERROR(INDEX(PP_Grid[#Data],$DE1148,58),0)</f>
        <v/>
      </c>
      <c r="BJ1148">
        <f>IFERROR(INDEX(PP_Grid[#Data],$DE1148,59),0)</f>
        <v/>
      </c>
      <c r="BK1148">
        <f>IFERROR(INDEX(PP_Grid[#Data],$DE1148,60),0)</f>
        <v/>
      </c>
      <c r="BL1148">
        <f>IFERROR(INDEX(PP_Grid[#Data],$DE1148,61),0)</f>
        <v/>
      </c>
      <c r="BM1148">
        <f>IFERROR(INDEX(PP_Grid[#Data],$DE1148,62),0)</f>
        <v/>
      </c>
      <c r="BN1148">
        <f>IFERROR(INDEX(PP_Grid[#Data],$DE1148,63),0)</f>
        <v/>
      </c>
      <c r="BO1148">
        <f>IFERROR(INDEX(PP_Grid[#Data],$DE1148,64),0)</f>
        <v/>
      </c>
      <c r="BP1148">
        <f>IFERROR(INDEX(PP_Grid[#Data],$DE1148,65),0)</f>
        <v/>
      </c>
      <c r="BQ1148">
        <f>IFERROR(INDEX(PP_Grid[#Data],$DE1148,66),0)</f>
        <v/>
      </c>
      <c r="BR1148">
        <f>IFERROR(INDEX(PP_Grid[#Data],$DE1148,67),0)</f>
        <v/>
      </c>
      <c r="BS1148">
        <f>IFERROR(INDEX(PP_Grid[#Data],$DE1148,68),0)</f>
        <v/>
      </c>
      <c r="BT1148">
        <f>IFERROR(INDEX(PP_Grid[#Data],$DE1148,69),0)</f>
        <v/>
      </c>
      <c r="BU1148">
        <f>IFERROR(INDEX(PP_Grid[#Data],$DE1148,70),0)</f>
        <v/>
      </c>
      <c r="BV1148">
        <f>IFERROR(INDEX(PP_Grid[#Data],$DE1148,71),0)</f>
        <v/>
      </c>
      <c r="BW1148">
        <f>IFERROR(INDEX(PP_Grid[#Data],$DE1148,72),0)</f>
        <v/>
      </c>
      <c r="BX1148">
        <f>IFERROR(INDEX(PP_Grid[#Data],$DE1148,73),0)</f>
        <v/>
      </c>
      <c r="BY1148">
        <f>IFERROR(INDEX(PP_Grid[#Data],$DE1148,74),0)</f>
        <v/>
      </c>
      <c r="BZ1148">
        <f>IFERROR(INDEX(PP_Grid[#Data],$DE1148,75),0)</f>
        <v/>
      </c>
      <c r="CA1148">
        <f>IFERROR(INDEX(PP_Grid[#Data],$DE1148,76),0)</f>
        <v/>
      </c>
      <c r="CB1148">
        <f>IFERROR(INDEX(PP_Grid[#Data],$DE1148,77),0)</f>
        <v/>
      </c>
      <c r="CC1148">
        <f>IFERROR(INDEX(PP_Grid[#Data],$DE1148,78),0)</f>
        <v/>
      </c>
      <c r="CD1148">
        <f>IFERROR(INDEX(PP_Grid[#Data],$DE1148,79),0)</f>
        <v/>
      </c>
      <c r="CE1148">
        <f>IFERROR(INDEX(PP_Grid[#Data],$DE1148,80),0)</f>
        <v/>
      </c>
      <c r="CF1148">
        <f>IFERROR(INDEX(PP_Grid[#Data],$DE1148,81),0)</f>
        <v/>
      </c>
      <c r="CG1148">
        <f>IFERROR(INDEX(PP_Grid[#Data],$DE1148,82),0)</f>
        <v/>
      </c>
      <c r="CH1148">
        <f>IFERROR(INDEX(PP_Grid[#Data],$DE1148,83),0)</f>
        <v/>
      </c>
      <c r="CI1148">
        <f>IFERROR(INDEX(PP_Grid[#Data],$DE1148,84),0)</f>
        <v/>
      </c>
      <c r="CJ1148">
        <f>IFERROR(INDEX(PP_Grid[#Data],$DE1148,85),0)</f>
        <v/>
      </c>
      <c r="CK1148">
        <f>IFERROR(INDEX(PP_Grid[#Data],$DE1148,86),0)</f>
        <v/>
      </c>
      <c r="CL1148">
        <f>IFERROR(INDEX(PP_Grid[#Data],$DE1148,87),0)</f>
        <v/>
      </c>
      <c r="CM1148">
        <f>IFERROR(INDEX(PP_Grid[#Data],$DE1148,88),0)</f>
        <v/>
      </c>
      <c r="CN1148">
        <f>IFERROR(INDEX(PP_Grid[#Data],$DE1148,89),0)</f>
        <v/>
      </c>
      <c r="CO1148">
        <f>IFERROR(INDEX(PP_Grid[#Data],$DE1148,90),0)</f>
        <v/>
      </c>
      <c r="CP1148">
        <f>IFERROR(INDEX(PP_Grid[#Data],$DE1148,91),0)</f>
        <v/>
      </c>
      <c r="CQ1148">
        <f>IFERROR(INDEX(PP_Grid[#Data],$DE1148,92),0)</f>
        <v/>
      </c>
      <c r="CR1148">
        <f>IFERROR(INDEX(PP_Grid[#Data],$DE1148,93),0)</f>
        <v/>
      </c>
      <c r="CS1148">
        <f>IFERROR(INDEX(PP_Grid[#Data],$DE1148,94),0)</f>
        <v/>
      </c>
      <c r="CT1148">
        <f>IFERROR(INDEX(PP_Grid[#Data],$DE1148,95),0)</f>
        <v/>
      </c>
      <c r="CU1148">
        <f>IFERROR(INDEX(PP_Grid[#Data],$DE1148,96),0)</f>
        <v/>
      </c>
      <c r="CV1148">
        <f>IFERROR(INDEX(PP_Grid[#Data],$DE1148,97),0)</f>
        <v/>
      </c>
      <c r="CW1148">
        <f>IFERROR(INDEX(PP_Grid[#Data],$DE1148,98),0)</f>
        <v/>
      </c>
      <c r="CX1148">
        <f>IFERROR(INDEX(PP_Grid[#Data],$DE1148,99),0)</f>
        <v/>
      </c>
      <c r="CY1148">
        <f>IFERROR(INDEX(PP_Grid[#Data],$DE1148,100),0)</f>
        <v/>
      </c>
      <c r="CZ1148">
        <f>IFERROR(INDEX(PP_Grid[#Data],$DE1148,101),0)</f>
        <v/>
      </c>
      <c r="DA1148">
        <f>IFERROR(INDEX(PP_Grid[#Data],$DE1148,102),0)</f>
        <v/>
      </c>
      <c r="DB1148">
        <f>IFERROR(INDEX(PP_Grid[#Data],$DE1148,103),0)</f>
        <v/>
      </c>
      <c r="DC1148">
        <f>IFERROR(INDEX(PP_Grid[#Data],$DE1148,104),0)</f>
        <v/>
      </c>
      <c r="DD1148">
        <f>IFERROR(INDEX(PP_Grid[#Data],$DE1148,105),0)</f>
        <v/>
      </c>
      <c r="DE1148" s="7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SUMIFS(M_BOM[RM_Qty_Per_Batch],M_BOM[Intermediate],$B1148,M_BOM[RM_Code],$A1147)</f>
        <v/>
      </c>
      <c r="D1149">
        <f>IFERROR(INDEX(E1149:DD1149,$F$1),"")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  <c r="DD1149">
        <f>$C1149*DD1148</f>
        <v/>
      </c>
    </row>
    <row r="1150">
      <c r="B1150" t="inlineStr">
        <is>
          <t>TSP-403</t>
        </is>
      </c>
      <c r="C1150" t="inlineStr">
        <is>
          <t>No. of batches</t>
        </is>
      </c>
      <c r="D1150">
        <f>IFERROR(INDEX(E1150:DD1150,$F$1),"")</f>
        <v/>
      </c>
      <c r="E1150">
        <f>IFERROR(INDEX(PP_Grid[#Data],$DE1150,2),0)</f>
        <v/>
      </c>
      <c r="F1150">
        <f>IFERROR(INDEX(PP_Grid[#Data],$DE1150,3),0)</f>
        <v/>
      </c>
      <c r="G1150">
        <f>IFERROR(INDEX(PP_Grid[#Data],$DE1150,4),0)</f>
        <v/>
      </c>
      <c r="H1150">
        <f>IFERROR(INDEX(PP_Grid[#Data],$DE1150,5),0)</f>
        <v/>
      </c>
      <c r="I1150">
        <f>IFERROR(INDEX(PP_Grid[#Data],$DE1150,6),0)</f>
        <v/>
      </c>
      <c r="J1150">
        <f>IFERROR(INDEX(PP_Grid[#Data],$DE1150,7),0)</f>
        <v/>
      </c>
      <c r="K1150">
        <f>IFERROR(INDEX(PP_Grid[#Data],$DE1150,8),0)</f>
        <v/>
      </c>
      <c r="L1150">
        <f>IFERROR(INDEX(PP_Grid[#Data],$DE1150,9),0)</f>
        <v/>
      </c>
      <c r="M1150">
        <f>IFERROR(INDEX(PP_Grid[#Data],$DE1150,10),0)</f>
        <v/>
      </c>
      <c r="N1150">
        <f>IFERROR(INDEX(PP_Grid[#Data],$DE1150,11),0)</f>
        <v/>
      </c>
      <c r="O1150">
        <f>IFERROR(INDEX(PP_Grid[#Data],$DE1150,12),0)</f>
        <v/>
      </c>
      <c r="P1150">
        <f>IFERROR(INDEX(PP_Grid[#Data],$DE1150,13),0)</f>
        <v/>
      </c>
      <c r="Q1150">
        <f>IFERROR(INDEX(PP_Grid[#Data],$DE1150,14),0)</f>
        <v/>
      </c>
      <c r="R1150">
        <f>IFERROR(INDEX(PP_Grid[#Data],$DE1150,15),0)</f>
        <v/>
      </c>
      <c r="S1150">
        <f>IFERROR(INDEX(PP_Grid[#Data],$DE1150,16),0)</f>
        <v/>
      </c>
      <c r="T1150">
        <f>IFERROR(INDEX(PP_Grid[#Data],$DE1150,17),0)</f>
        <v/>
      </c>
      <c r="U1150">
        <f>IFERROR(INDEX(PP_Grid[#Data],$DE1150,18),0)</f>
        <v/>
      </c>
      <c r="V1150">
        <f>IFERROR(INDEX(PP_Grid[#Data],$DE1150,19),0)</f>
        <v/>
      </c>
      <c r="W1150">
        <f>IFERROR(INDEX(PP_Grid[#Data],$DE1150,20),0)</f>
        <v/>
      </c>
      <c r="X1150">
        <f>IFERROR(INDEX(PP_Grid[#Data],$DE1150,21),0)</f>
        <v/>
      </c>
      <c r="Y1150">
        <f>IFERROR(INDEX(PP_Grid[#Data],$DE1150,22),0)</f>
        <v/>
      </c>
      <c r="Z1150">
        <f>IFERROR(INDEX(PP_Grid[#Data],$DE1150,23),0)</f>
        <v/>
      </c>
      <c r="AA1150">
        <f>IFERROR(INDEX(PP_Grid[#Data],$DE1150,24),0)</f>
        <v/>
      </c>
      <c r="AB1150">
        <f>IFERROR(INDEX(PP_Grid[#Data],$DE1150,25),0)</f>
        <v/>
      </c>
      <c r="AC1150">
        <f>IFERROR(INDEX(PP_Grid[#Data],$DE1150,26),0)</f>
        <v/>
      </c>
      <c r="AD1150">
        <f>IFERROR(INDEX(PP_Grid[#Data],$DE1150,27),0)</f>
        <v/>
      </c>
      <c r="AE1150">
        <f>IFERROR(INDEX(PP_Grid[#Data],$DE1150,28),0)</f>
        <v/>
      </c>
      <c r="AF1150">
        <f>IFERROR(INDEX(PP_Grid[#Data],$DE1150,29),0)</f>
        <v/>
      </c>
      <c r="AG1150">
        <f>IFERROR(INDEX(PP_Grid[#Data],$DE1150,30),0)</f>
        <v/>
      </c>
      <c r="AH1150">
        <f>IFERROR(INDEX(PP_Grid[#Data],$DE1150,31),0)</f>
        <v/>
      </c>
      <c r="AI1150">
        <f>IFERROR(INDEX(PP_Grid[#Data],$DE1150,32),0)</f>
        <v/>
      </c>
      <c r="AJ1150">
        <f>IFERROR(INDEX(PP_Grid[#Data],$DE1150,33),0)</f>
        <v/>
      </c>
      <c r="AK1150">
        <f>IFERROR(INDEX(PP_Grid[#Data],$DE1150,34),0)</f>
        <v/>
      </c>
      <c r="AL1150">
        <f>IFERROR(INDEX(PP_Grid[#Data],$DE1150,35),0)</f>
        <v/>
      </c>
      <c r="AM1150">
        <f>IFERROR(INDEX(PP_Grid[#Data],$DE1150,36),0)</f>
        <v/>
      </c>
      <c r="AN1150">
        <f>IFERROR(INDEX(PP_Grid[#Data],$DE1150,37),0)</f>
        <v/>
      </c>
      <c r="AO1150">
        <f>IFERROR(INDEX(PP_Grid[#Data],$DE1150,38),0)</f>
        <v/>
      </c>
      <c r="AP1150">
        <f>IFERROR(INDEX(PP_Grid[#Data],$DE1150,39),0)</f>
        <v/>
      </c>
      <c r="AQ1150">
        <f>IFERROR(INDEX(PP_Grid[#Data],$DE1150,40),0)</f>
        <v/>
      </c>
      <c r="AR1150">
        <f>IFERROR(INDEX(PP_Grid[#Data],$DE1150,41),0)</f>
        <v/>
      </c>
      <c r="AS1150">
        <f>IFERROR(INDEX(PP_Grid[#Data],$DE1150,42),0)</f>
        <v/>
      </c>
      <c r="AT1150">
        <f>IFERROR(INDEX(PP_Grid[#Data],$DE1150,43),0)</f>
        <v/>
      </c>
      <c r="AU1150">
        <f>IFERROR(INDEX(PP_Grid[#Data],$DE1150,44),0)</f>
        <v/>
      </c>
      <c r="AV1150">
        <f>IFERROR(INDEX(PP_Grid[#Data],$DE1150,45),0)</f>
        <v/>
      </c>
      <c r="AW1150">
        <f>IFERROR(INDEX(PP_Grid[#Data],$DE1150,46),0)</f>
        <v/>
      </c>
      <c r="AX1150">
        <f>IFERROR(INDEX(PP_Grid[#Data],$DE1150,47),0)</f>
        <v/>
      </c>
      <c r="AY1150">
        <f>IFERROR(INDEX(PP_Grid[#Data],$DE1150,48),0)</f>
        <v/>
      </c>
      <c r="AZ1150">
        <f>IFERROR(INDEX(PP_Grid[#Data],$DE1150,49),0)</f>
        <v/>
      </c>
      <c r="BA1150">
        <f>IFERROR(INDEX(PP_Grid[#Data],$DE1150,50),0)</f>
        <v/>
      </c>
      <c r="BB1150">
        <f>IFERROR(INDEX(PP_Grid[#Data],$DE1150,51),0)</f>
        <v/>
      </c>
      <c r="BC1150">
        <f>IFERROR(INDEX(PP_Grid[#Data],$DE1150,52),0)</f>
        <v/>
      </c>
      <c r="BD1150">
        <f>IFERROR(INDEX(PP_Grid[#Data],$DE1150,53),0)</f>
        <v/>
      </c>
      <c r="BE1150">
        <f>IFERROR(INDEX(PP_Grid[#Data],$DE1150,54),0)</f>
        <v/>
      </c>
      <c r="BF1150">
        <f>IFERROR(INDEX(PP_Grid[#Data],$DE1150,55),0)</f>
        <v/>
      </c>
      <c r="BG1150">
        <f>IFERROR(INDEX(PP_Grid[#Data],$DE1150,56),0)</f>
        <v/>
      </c>
      <c r="BH1150">
        <f>IFERROR(INDEX(PP_Grid[#Data],$DE1150,57),0)</f>
        <v/>
      </c>
      <c r="BI1150">
        <f>IFERROR(INDEX(PP_Grid[#Data],$DE1150,58),0)</f>
        <v/>
      </c>
      <c r="BJ1150">
        <f>IFERROR(INDEX(PP_Grid[#Data],$DE1150,59),0)</f>
        <v/>
      </c>
      <c r="BK1150">
        <f>IFERROR(INDEX(PP_Grid[#Data],$DE1150,60),0)</f>
        <v/>
      </c>
      <c r="BL1150">
        <f>IFERROR(INDEX(PP_Grid[#Data],$DE1150,61),0)</f>
        <v/>
      </c>
      <c r="BM1150">
        <f>IFERROR(INDEX(PP_Grid[#Data],$DE1150,62),0)</f>
        <v/>
      </c>
      <c r="BN1150">
        <f>IFERROR(INDEX(PP_Grid[#Data],$DE1150,63),0)</f>
        <v/>
      </c>
      <c r="BO1150">
        <f>IFERROR(INDEX(PP_Grid[#Data],$DE1150,64),0)</f>
        <v/>
      </c>
      <c r="BP1150">
        <f>IFERROR(INDEX(PP_Grid[#Data],$DE1150,65),0)</f>
        <v/>
      </c>
      <c r="BQ1150">
        <f>IFERROR(INDEX(PP_Grid[#Data],$DE1150,66),0)</f>
        <v/>
      </c>
      <c r="BR1150">
        <f>IFERROR(INDEX(PP_Grid[#Data],$DE1150,67),0)</f>
        <v/>
      </c>
      <c r="BS1150">
        <f>IFERROR(INDEX(PP_Grid[#Data],$DE1150,68),0)</f>
        <v/>
      </c>
      <c r="BT1150">
        <f>IFERROR(INDEX(PP_Grid[#Data],$DE1150,69),0)</f>
        <v/>
      </c>
      <c r="BU1150">
        <f>IFERROR(INDEX(PP_Grid[#Data],$DE1150,70),0)</f>
        <v/>
      </c>
      <c r="BV1150">
        <f>IFERROR(INDEX(PP_Grid[#Data],$DE1150,71),0)</f>
        <v/>
      </c>
      <c r="BW1150">
        <f>IFERROR(INDEX(PP_Grid[#Data],$DE1150,72),0)</f>
        <v/>
      </c>
      <c r="BX1150">
        <f>IFERROR(INDEX(PP_Grid[#Data],$DE1150,73),0)</f>
        <v/>
      </c>
      <c r="BY1150">
        <f>IFERROR(INDEX(PP_Grid[#Data],$DE1150,74),0)</f>
        <v/>
      </c>
      <c r="BZ1150">
        <f>IFERROR(INDEX(PP_Grid[#Data],$DE1150,75),0)</f>
        <v/>
      </c>
      <c r="CA1150">
        <f>IFERROR(INDEX(PP_Grid[#Data],$DE1150,76),0)</f>
        <v/>
      </c>
      <c r="CB1150">
        <f>IFERROR(INDEX(PP_Grid[#Data],$DE1150,77),0)</f>
        <v/>
      </c>
      <c r="CC1150">
        <f>IFERROR(INDEX(PP_Grid[#Data],$DE1150,78),0)</f>
        <v/>
      </c>
      <c r="CD1150">
        <f>IFERROR(INDEX(PP_Grid[#Data],$DE1150,79),0)</f>
        <v/>
      </c>
      <c r="CE1150">
        <f>IFERROR(INDEX(PP_Grid[#Data],$DE1150,80),0)</f>
        <v/>
      </c>
      <c r="CF1150">
        <f>IFERROR(INDEX(PP_Grid[#Data],$DE1150,81),0)</f>
        <v/>
      </c>
      <c r="CG1150">
        <f>IFERROR(INDEX(PP_Grid[#Data],$DE1150,82),0)</f>
        <v/>
      </c>
      <c r="CH1150">
        <f>IFERROR(INDEX(PP_Grid[#Data],$DE1150,83),0)</f>
        <v/>
      </c>
      <c r="CI1150">
        <f>IFERROR(INDEX(PP_Grid[#Data],$DE1150,84),0)</f>
        <v/>
      </c>
      <c r="CJ1150">
        <f>IFERROR(INDEX(PP_Grid[#Data],$DE1150,85),0)</f>
        <v/>
      </c>
      <c r="CK1150">
        <f>IFERROR(INDEX(PP_Grid[#Data],$DE1150,86),0)</f>
        <v/>
      </c>
      <c r="CL1150">
        <f>IFERROR(INDEX(PP_Grid[#Data],$DE1150,87),0)</f>
        <v/>
      </c>
      <c r="CM1150">
        <f>IFERROR(INDEX(PP_Grid[#Data],$DE1150,88),0)</f>
        <v/>
      </c>
      <c r="CN1150">
        <f>IFERROR(INDEX(PP_Grid[#Data],$DE1150,89),0)</f>
        <v/>
      </c>
      <c r="CO1150">
        <f>IFERROR(INDEX(PP_Grid[#Data],$DE1150,90),0)</f>
        <v/>
      </c>
      <c r="CP1150">
        <f>IFERROR(INDEX(PP_Grid[#Data],$DE1150,91),0)</f>
        <v/>
      </c>
      <c r="CQ1150">
        <f>IFERROR(INDEX(PP_Grid[#Data],$DE1150,92),0)</f>
        <v/>
      </c>
      <c r="CR1150">
        <f>IFERROR(INDEX(PP_Grid[#Data],$DE1150,93),0)</f>
        <v/>
      </c>
      <c r="CS1150">
        <f>IFERROR(INDEX(PP_Grid[#Data],$DE1150,94),0)</f>
        <v/>
      </c>
      <c r="CT1150">
        <f>IFERROR(INDEX(PP_Grid[#Data],$DE1150,95),0)</f>
        <v/>
      </c>
      <c r="CU1150">
        <f>IFERROR(INDEX(PP_Grid[#Data],$DE1150,96),0)</f>
        <v/>
      </c>
      <c r="CV1150">
        <f>IFERROR(INDEX(PP_Grid[#Data],$DE1150,97),0)</f>
        <v/>
      </c>
      <c r="CW1150">
        <f>IFERROR(INDEX(PP_Grid[#Data],$DE1150,98),0)</f>
        <v/>
      </c>
      <c r="CX1150">
        <f>IFERROR(INDEX(PP_Grid[#Data],$DE1150,99),0)</f>
        <v/>
      </c>
      <c r="CY1150">
        <f>IFERROR(INDEX(PP_Grid[#Data],$DE1150,100),0)</f>
        <v/>
      </c>
      <c r="CZ1150">
        <f>IFERROR(INDEX(PP_Grid[#Data],$DE1150,101),0)</f>
        <v/>
      </c>
      <c r="DA1150">
        <f>IFERROR(INDEX(PP_Grid[#Data],$DE1150,102),0)</f>
        <v/>
      </c>
      <c r="DB1150">
        <f>IFERROR(INDEX(PP_Grid[#Data],$DE1150,103),0)</f>
        <v/>
      </c>
      <c r="DC1150">
        <f>IFERROR(INDEX(PP_Grid[#Data],$DE1150,104),0)</f>
        <v/>
      </c>
      <c r="DD1150">
        <f>IFERROR(INDEX(PP_Grid[#Data],$DE1150,105),0)</f>
        <v/>
      </c>
      <c r="DE1150" s="7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SUMIFS(M_BOM[RM_Qty_Per_Batch],M_BOM[Intermediate],$B1150,M_BOM[RM_Code],$A1147)</f>
        <v/>
      </c>
      <c r="D1151">
        <f>IFERROR(INDEX(E1151:DD1151,$F$1),"")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  <c r="DD1151">
        <f>$C1151*DD1150</f>
        <v/>
      </c>
    </row>
    <row r="1152">
      <c r="B1152" t="inlineStr">
        <is>
          <t>TSP-404</t>
        </is>
      </c>
      <c r="C1152" t="inlineStr">
        <is>
          <t>No. of batches</t>
        </is>
      </c>
      <c r="D1152">
        <f>IFERROR(INDEX(E1152:DD1152,$F$1),"")</f>
        <v/>
      </c>
      <c r="E1152">
        <f>IFERROR(INDEX(PP_Grid[#Data],$DE1152,2),0)</f>
        <v/>
      </c>
      <c r="F1152">
        <f>IFERROR(INDEX(PP_Grid[#Data],$DE1152,3),0)</f>
        <v/>
      </c>
      <c r="G1152">
        <f>IFERROR(INDEX(PP_Grid[#Data],$DE1152,4),0)</f>
        <v/>
      </c>
      <c r="H1152">
        <f>IFERROR(INDEX(PP_Grid[#Data],$DE1152,5),0)</f>
        <v/>
      </c>
      <c r="I1152">
        <f>IFERROR(INDEX(PP_Grid[#Data],$DE1152,6),0)</f>
        <v/>
      </c>
      <c r="J1152">
        <f>IFERROR(INDEX(PP_Grid[#Data],$DE1152,7),0)</f>
        <v/>
      </c>
      <c r="K1152">
        <f>IFERROR(INDEX(PP_Grid[#Data],$DE1152,8),0)</f>
        <v/>
      </c>
      <c r="L1152">
        <f>IFERROR(INDEX(PP_Grid[#Data],$DE1152,9),0)</f>
        <v/>
      </c>
      <c r="M1152">
        <f>IFERROR(INDEX(PP_Grid[#Data],$DE1152,10),0)</f>
        <v/>
      </c>
      <c r="N1152">
        <f>IFERROR(INDEX(PP_Grid[#Data],$DE1152,11),0)</f>
        <v/>
      </c>
      <c r="O1152">
        <f>IFERROR(INDEX(PP_Grid[#Data],$DE1152,12),0)</f>
        <v/>
      </c>
      <c r="P1152">
        <f>IFERROR(INDEX(PP_Grid[#Data],$DE1152,13),0)</f>
        <v/>
      </c>
      <c r="Q1152">
        <f>IFERROR(INDEX(PP_Grid[#Data],$DE1152,14),0)</f>
        <v/>
      </c>
      <c r="R1152">
        <f>IFERROR(INDEX(PP_Grid[#Data],$DE1152,15),0)</f>
        <v/>
      </c>
      <c r="S1152">
        <f>IFERROR(INDEX(PP_Grid[#Data],$DE1152,16),0)</f>
        <v/>
      </c>
      <c r="T1152">
        <f>IFERROR(INDEX(PP_Grid[#Data],$DE1152,17),0)</f>
        <v/>
      </c>
      <c r="U1152">
        <f>IFERROR(INDEX(PP_Grid[#Data],$DE1152,18),0)</f>
        <v/>
      </c>
      <c r="V1152">
        <f>IFERROR(INDEX(PP_Grid[#Data],$DE1152,19),0)</f>
        <v/>
      </c>
      <c r="W1152">
        <f>IFERROR(INDEX(PP_Grid[#Data],$DE1152,20),0)</f>
        <v/>
      </c>
      <c r="X1152">
        <f>IFERROR(INDEX(PP_Grid[#Data],$DE1152,21),0)</f>
        <v/>
      </c>
      <c r="Y1152">
        <f>IFERROR(INDEX(PP_Grid[#Data],$DE1152,22),0)</f>
        <v/>
      </c>
      <c r="Z1152">
        <f>IFERROR(INDEX(PP_Grid[#Data],$DE1152,23),0)</f>
        <v/>
      </c>
      <c r="AA1152">
        <f>IFERROR(INDEX(PP_Grid[#Data],$DE1152,24),0)</f>
        <v/>
      </c>
      <c r="AB1152">
        <f>IFERROR(INDEX(PP_Grid[#Data],$DE1152,25),0)</f>
        <v/>
      </c>
      <c r="AC1152">
        <f>IFERROR(INDEX(PP_Grid[#Data],$DE1152,26),0)</f>
        <v/>
      </c>
      <c r="AD1152">
        <f>IFERROR(INDEX(PP_Grid[#Data],$DE1152,27),0)</f>
        <v/>
      </c>
      <c r="AE1152">
        <f>IFERROR(INDEX(PP_Grid[#Data],$DE1152,28),0)</f>
        <v/>
      </c>
      <c r="AF1152">
        <f>IFERROR(INDEX(PP_Grid[#Data],$DE1152,29),0)</f>
        <v/>
      </c>
      <c r="AG1152">
        <f>IFERROR(INDEX(PP_Grid[#Data],$DE1152,30),0)</f>
        <v/>
      </c>
      <c r="AH1152">
        <f>IFERROR(INDEX(PP_Grid[#Data],$DE1152,31),0)</f>
        <v/>
      </c>
      <c r="AI1152">
        <f>IFERROR(INDEX(PP_Grid[#Data],$DE1152,32),0)</f>
        <v/>
      </c>
      <c r="AJ1152">
        <f>IFERROR(INDEX(PP_Grid[#Data],$DE1152,33),0)</f>
        <v/>
      </c>
      <c r="AK1152">
        <f>IFERROR(INDEX(PP_Grid[#Data],$DE1152,34),0)</f>
        <v/>
      </c>
      <c r="AL1152">
        <f>IFERROR(INDEX(PP_Grid[#Data],$DE1152,35),0)</f>
        <v/>
      </c>
      <c r="AM1152">
        <f>IFERROR(INDEX(PP_Grid[#Data],$DE1152,36),0)</f>
        <v/>
      </c>
      <c r="AN1152">
        <f>IFERROR(INDEX(PP_Grid[#Data],$DE1152,37),0)</f>
        <v/>
      </c>
      <c r="AO1152">
        <f>IFERROR(INDEX(PP_Grid[#Data],$DE1152,38),0)</f>
        <v/>
      </c>
      <c r="AP1152">
        <f>IFERROR(INDEX(PP_Grid[#Data],$DE1152,39),0)</f>
        <v/>
      </c>
      <c r="AQ1152">
        <f>IFERROR(INDEX(PP_Grid[#Data],$DE1152,40),0)</f>
        <v/>
      </c>
      <c r="AR1152">
        <f>IFERROR(INDEX(PP_Grid[#Data],$DE1152,41),0)</f>
        <v/>
      </c>
      <c r="AS1152">
        <f>IFERROR(INDEX(PP_Grid[#Data],$DE1152,42),0)</f>
        <v/>
      </c>
      <c r="AT1152">
        <f>IFERROR(INDEX(PP_Grid[#Data],$DE1152,43),0)</f>
        <v/>
      </c>
      <c r="AU1152">
        <f>IFERROR(INDEX(PP_Grid[#Data],$DE1152,44),0)</f>
        <v/>
      </c>
      <c r="AV1152">
        <f>IFERROR(INDEX(PP_Grid[#Data],$DE1152,45),0)</f>
        <v/>
      </c>
      <c r="AW1152">
        <f>IFERROR(INDEX(PP_Grid[#Data],$DE1152,46),0)</f>
        <v/>
      </c>
      <c r="AX1152">
        <f>IFERROR(INDEX(PP_Grid[#Data],$DE1152,47),0)</f>
        <v/>
      </c>
      <c r="AY1152">
        <f>IFERROR(INDEX(PP_Grid[#Data],$DE1152,48),0)</f>
        <v/>
      </c>
      <c r="AZ1152">
        <f>IFERROR(INDEX(PP_Grid[#Data],$DE1152,49),0)</f>
        <v/>
      </c>
      <c r="BA1152">
        <f>IFERROR(INDEX(PP_Grid[#Data],$DE1152,50),0)</f>
        <v/>
      </c>
      <c r="BB1152">
        <f>IFERROR(INDEX(PP_Grid[#Data],$DE1152,51),0)</f>
        <v/>
      </c>
      <c r="BC1152">
        <f>IFERROR(INDEX(PP_Grid[#Data],$DE1152,52),0)</f>
        <v/>
      </c>
      <c r="BD1152">
        <f>IFERROR(INDEX(PP_Grid[#Data],$DE1152,53),0)</f>
        <v/>
      </c>
      <c r="BE1152">
        <f>IFERROR(INDEX(PP_Grid[#Data],$DE1152,54),0)</f>
        <v/>
      </c>
      <c r="BF1152">
        <f>IFERROR(INDEX(PP_Grid[#Data],$DE1152,55),0)</f>
        <v/>
      </c>
      <c r="BG1152">
        <f>IFERROR(INDEX(PP_Grid[#Data],$DE1152,56),0)</f>
        <v/>
      </c>
      <c r="BH1152">
        <f>IFERROR(INDEX(PP_Grid[#Data],$DE1152,57),0)</f>
        <v/>
      </c>
      <c r="BI1152">
        <f>IFERROR(INDEX(PP_Grid[#Data],$DE1152,58),0)</f>
        <v/>
      </c>
      <c r="BJ1152">
        <f>IFERROR(INDEX(PP_Grid[#Data],$DE1152,59),0)</f>
        <v/>
      </c>
      <c r="BK1152">
        <f>IFERROR(INDEX(PP_Grid[#Data],$DE1152,60),0)</f>
        <v/>
      </c>
      <c r="BL1152">
        <f>IFERROR(INDEX(PP_Grid[#Data],$DE1152,61),0)</f>
        <v/>
      </c>
      <c r="BM1152">
        <f>IFERROR(INDEX(PP_Grid[#Data],$DE1152,62),0)</f>
        <v/>
      </c>
      <c r="BN1152">
        <f>IFERROR(INDEX(PP_Grid[#Data],$DE1152,63),0)</f>
        <v/>
      </c>
      <c r="BO1152">
        <f>IFERROR(INDEX(PP_Grid[#Data],$DE1152,64),0)</f>
        <v/>
      </c>
      <c r="BP1152">
        <f>IFERROR(INDEX(PP_Grid[#Data],$DE1152,65),0)</f>
        <v/>
      </c>
      <c r="BQ1152">
        <f>IFERROR(INDEX(PP_Grid[#Data],$DE1152,66),0)</f>
        <v/>
      </c>
      <c r="BR1152">
        <f>IFERROR(INDEX(PP_Grid[#Data],$DE1152,67),0)</f>
        <v/>
      </c>
      <c r="BS1152">
        <f>IFERROR(INDEX(PP_Grid[#Data],$DE1152,68),0)</f>
        <v/>
      </c>
      <c r="BT1152">
        <f>IFERROR(INDEX(PP_Grid[#Data],$DE1152,69),0)</f>
        <v/>
      </c>
      <c r="BU1152">
        <f>IFERROR(INDEX(PP_Grid[#Data],$DE1152,70),0)</f>
        <v/>
      </c>
      <c r="BV1152">
        <f>IFERROR(INDEX(PP_Grid[#Data],$DE1152,71),0)</f>
        <v/>
      </c>
      <c r="BW1152">
        <f>IFERROR(INDEX(PP_Grid[#Data],$DE1152,72),0)</f>
        <v/>
      </c>
      <c r="BX1152">
        <f>IFERROR(INDEX(PP_Grid[#Data],$DE1152,73),0)</f>
        <v/>
      </c>
      <c r="BY1152">
        <f>IFERROR(INDEX(PP_Grid[#Data],$DE1152,74),0)</f>
        <v/>
      </c>
      <c r="BZ1152">
        <f>IFERROR(INDEX(PP_Grid[#Data],$DE1152,75),0)</f>
        <v/>
      </c>
      <c r="CA1152">
        <f>IFERROR(INDEX(PP_Grid[#Data],$DE1152,76),0)</f>
        <v/>
      </c>
      <c r="CB1152">
        <f>IFERROR(INDEX(PP_Grid[#Data],$DE1152,77),0)</f>
        <v/>
      </c>
      <c r="CC1152">
        <f>IFERROR(INDEX(PP_Grid[#Data],$DE1152,78),0)</f>
        <v/>
      </c>
      <c r="CD1152">
        <f>IFERROR(INDEX(PP_Grid[#Data],$DE1152,79),0)</f>
        <v/>
      </c>
      <c r="CE1152">
        <f>IFERROR(INDEX(PP_Grid[#Data],$DE1152,80),0)</f>
        <v/>
      </c>
      <c r="CF1152">
        <f>IFERROR(INDEX(PP_Grid[#Data],$DE1152,81),0)</f>
        <v/>
      </c>
      <c r="CG1152">
        <f>IFERROR(INDEX(PP_Grid[#Data],$DE1152,82),0)</f>
        <v/>
      </c>
      <c r="CH1152">
        <f>IFERROR(INDEX(PP_Grid[#Data],$DE1152,83),0)</f>
        <v/>
      </c>
      <c r="CI1152">
        <f>IFERROR(INDEX(PP_Grid[#Data],$DE1152,84),0)</f>
        <v/>
      </c>
      <c r="CJ1152">
        <f>IFERROR(INDEX(PP_Grid[#Data],$DE1152,85),0)</f>
        <v/>
      </c>
      <c r="CK1152">
        <f>IFERROR(INDEX(PP_Grid[#Data],$DE1152,86),0)</f>
        <v/>
      </c>
      <c r="CL1152">
        <f>IFERROR(INDEX(PP_Grid[#Data],$DE1152,87),0)</f>
        <v/>
      </c>
      <c r="CM1152">
        <f>IFERROR(INDEX(PP_Grid[#Data],$DE1152,88),0)</f>
        <v/>
      </c>
      <c r="CN1152">
        <f>IFERROR(INDEX(PP_Grid[#Data],$DE1152,89),0)</f>
        <v/>
      </c>
      <c r="CO1152">
        <f>IFERROR(INDEX(PP_Grid[#Data],$DE1152,90),0)</f>
        <v/>
      </c>
      <c r="CP1152">
        <f>IFERROR(INDEX(PP_Grid[#Data],$DE1152,91),0)</f>
        <v/>
      </c>
      <c r="CQ1152">
        <f>IFERROR(INDEX(PP_Grid[#Data],$DE1152,92),0)</f>
        <v/>
      </c>
      <c r="CR1152">
        <f>IFERROR(INDEX(PP_Grid[#Data],$DE1152,93),0)</f>
        <v/>
      </c>
      <c r="CS1152">
        <f>IFERROR(INDEX(PP_Grid[#Data],$DE1152,94),0)</f>
        <v/>
      </c>
      <c r="CT1152">
        <f>IFERROR(INDEX(PP_Grid[#Data],$DE1152,95),0)</f>
        <v/>
      </c>
      <c r="CU1152">
        <f>IFERROR(INDEX(PP_Grid[#Data],$DE1152,96),0)</f>
        <v/>
      </c>
      <c r="CV1152">
        <f>IFERROR(INDEX(PP_Grid[#Data],$DE1152,97),0)</f>
        <v/>
      </c>
      <c r="CW1152">
        <f>IFERROR(INDEX(PP_Grid[#Data],$DE1152,98),0)</f>
        <v/>
      </c>
      <c r="CX1152">
        <f>IFERROR(INDEX(PP_Grid[#Data],$DE1152,99),0)</f>
        <v/>
      </c>
      <c r="CY1152">
        <f>IFERROR(INDEX(PP_Grid[#Data],$DE1152,100),0)</f>
        <v/>
      </c>
      <c r="CZ1152">
        <f>IFERROR(INDEX(PP_Grid[#Data],$DE1152,101),0)</f>
        <v/>
      </c>
      <c r="DA1152">
        <f>IFERROR(INDEX(PP_Grid[#Data],$DE1152,102),0)</f>
        <v/>
      </c>
      <c r="DB1152">
        <f>IFERROR(INDEX(PP_Grid[#Data],$DE1152,103),0)</f>
        <v/>
      </c>
      <c r="DC1152">
        <f>IFERROR(INDEX(PP_Grid[#Data],$DE1152,104),0)</f>
        <v/>
      </c>
      <c r="DD1152">
        <f>IFERROR(INDEX(PP_Grid[#Data],$DE1152,105),0)</f>
        <v/>
      </c>
      <c r="DE1152" s="7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SUMIFS(M_BOM[RM_Qty_Per_Batch],M_BOM[Intermediate],$B1152,M_BOM[RM_Code],$A1147)</f>
        <v/>
      </c>
      <c r="D1153">
        <f>IFERROR(INDEX(E1153:DD1153,$F$1),"")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  <c r="DD1153">
        <f>$C1153*DD1152</f>
        <v/>
      </c>
    </row>
    <row r="1154">
      <c r="B1154" t="inlineStr">
        <is>
          <t>TSP-405</t>
        </is>
      </c>
      <c r="C1154" t="inlineStr">
        <is>
          <t>No. of batches</t>
        </is>
      </c>
      <c r="D1154">
        <f>IFERROR(INDEX(E1154:DD1154,$F$1),"")</f>
        <v/>
      </c>
      <c r="E1154">
        <f>IFERROR(INDEX(PP_Grid[#Data],$DE1154,2),0)</f>
        <v/>
      </c>
      <c r="F1154">
        <f>IFERROR(INDEX(PP_Grid[#Data],$DE1154,3),0)</f>
        <v/>
      </c>
      <c r="G1154">
        <f>IFERROR(INDEX(PP_Grid[#Data],$DE1154,4),0)</f>
        <v/>
      </c>
      <c r="H1154">
        <f>IFERROR(INDEX(PP_Grid[#Data],$DE1154,5),0)</f>
        <v/>
      </c>
      <c r="I1154">
        <f>IFERROR(INDEX(PP_Grid[#Data],$DE1154,6),0)</f>
        <v/>
      </c>
      <c r="J1154">
        <f>IFERROR(INDEX(PP_Grid[#Data],$DE1154,7),0)</f>
        <v/>
      </c>
      <c r="K1154">
        <f>IFERROR(INDEX(PP_Grid[#Data],$DE1154,8),0)</f>
        <v/>
      </c>
      <c r="L1154">
        <f>IFERROR(INDEX(PP_Grid[#Data],$DE1154,9),0)</f>
        <v/>
      </c>
      <c r="M1154">
        <f>IFERROR(INDEX(PP_Grid[#Data],$DE1154,10),0)</f>
        <v/>
      </c>
      <c r="N1154">
        <f>IFERROR(INDEX(PP_Grid[#Data],$DE1154,11),0)</f>
        <v/>
      </c>
      <c r="O1154">
        <f>IFERROR(INDEX(PP_Grid[#Data],$DE1154,12),0)</f>
        <v/>
      </c>
      <c r="P1154">
        <f>IFERROR(INDEX(PP_Grid[#Data],$DE1154,13),0)</f>
        <v/>
      </c>
      <c r="Q1154">
        <f>IFERROR(INDEX(PP_Grid[#Data],$DE1154,14),0)</f>
        <v/>
      </c>
      <c r="R1154">
        <f>IFERROR(INDEX(PP_Grid[#Data],$DE1154,15),0)</f>
        <v/>
      </c>
      <c r="S1154">
        <f>IFERROR(INDEX(PP_Grid[#Data],$DE1154,16),0)</f>
        <v/>
      </c>
      <c r="T1154">
        <f>IFERROR(INDEX(PP_Grid[#Data],$DE1154,17),0)</f>
        <v/>
      </c>
      <c r="U1154">
        <f>IFERROR(INDEX(PP_Grid[#Data],$DE1154,18),0)</f>
        <v/>
      </c>
      <c r="V1154">
        <f>IFERROR(INDEX(PP_Grid[#Data],$DE1154,19),0)</f>
        <v/>
      </c>
      <c r="W1154">
        <f>IFERROR(INDEX(PP_Grid[#Data],$DE1154,20),0)</f>
        <v/>
      </c>
      <c r="X1154">
        <f>IFERROR(INDEX(PP_Grid[#Data],$DE1154,21),0)</f>
        <v/>
      </c>
      <c r="Y1154">
        <f>IFERROR(INDEX(PP_Grid[#Data],$DE1154,22),0)</f>
        <v/>
      </c>
      <c r="Z1154">
        <f>IFERROR(INDEX(PP_Grid[#Data],$DE1154,23),0)</f>
        <v/>
      </c>
      <c r="AA1154">
        <f>IFERROR(INDEX(PP_Grid[#Data],$DE1154,24),0)</f>
        <v/>
      </c>
      <c r="AB1154">
        <f>IFERROR(INDEX(PP_Grid[#Data],$DE1154,25),0)</f>
        <v/>
      </c>
      <c r="AC1154">
        <f>IFERROR(INDEX(PP_Grid[#Data],$DE1154,26),0)</f>
        <v/>
      </c>
      <c r="AD1154">
        <f>IFERROR(INDEX(PP_Grid[#Data],$DE1154,27),0)</f>
        <v/>
      </c>
      <c r="AE1154">
        <f>IFERROR(INDEX(PP_Grid[#Data],$DE1154,28),0)</f>
        <v/>
      </c>
      <c r="AF1154">
        <f>IFERROR(INDEX(PP_Grid[#Data],$DE1154,29),0)</f>
        <v/>
      </c>
      <c r="AG1154">
        <f>IFERROR(INDEX(PP_Grid[#Data],$DE1154,30),0)</f>
        <v/>
      </c>
      <c r="AH1154">
        <f>IFERROR(INDEX(PP_Grid[#Data],$DE1154,31),0)</f>
        <v/>
      </c>
      <c r="AI1154">
        <f>IFERROR(INDEX(PP_Grid[#Data],$DE1154,32),0)</f>
        <v/>
      </c>
      <c r="AJ1154">
        <f>IFERROR(INDEX(PP_Grid[#Data],$DE1154,33),0)</f>
        <v/>
      </c>
      <c r="AK1154">
        <f>IFERROR(INDEX(PP_Grid[#Data],$DE1154,34),0)</f>
        <v/>
      </c>
      <c r="AL1154">
        <f>IFERROR(INDEX(PP_Grid[#Data],$DE1154,35),0)</f>
        <v/>
      </c>
      <c r="AM1154">
        <f>IFERROR(INDEX(PP_Grid[#Data],$DE1154,36),0)</f>
        <v/>
      </c>
      <c r="AN1154">
        <f>IFERROR(INDEX(PP_Grid[#Data],$DE1154,37),0)</f>
        <v/>
      </c>
      <c r="AO1154">
        <f>IFERROR(INDEX(PP_Grid[#Data],$DE1154,38),0)</f>
        <v/>
      </c>
      <c r="AP1154">
        <f>IFERROR(INDEX(PP_Grid[#Data],$DE1154,39),0)</f>
        <v/>
      </c>
      <c r="AQ1154">
        <f>IFERROR(INDEX(PP_Grid[#Data],$DE1154,40),0)</f>
        <v/>
      </c>
      <c r="AR1154">
        <f>IFERROR(INDEX(PP_Grid[#Data],$DE1154,41),0)</f>
        <v/>
      </c>
      <c r="AS1154">
        <f>IFERROR(INDEX(PP_Grid[#Data],$DE1154,42),0)</f>
        <v/>
      </c>
      <c r="AT1154">
        <f>IFERROR(INDEX(PP_Grid[#Data],$DE1154,43),0)</f>
        <v/>
      </c>
      <c r="AU1154">
        <f>IFERROR(INDEX(PP_Grid[#Data],$DE1154,44),0)</f>
        <v/>
      </c>
      <c r="AV1154">
        <f>IFERROR(INDEX(PP_Grid[#Data],$DE1154,45),0)</f>
        <v/>
      </c>
      <c r="AW1154">
        <f>IFERROR(INDEX(PP_Grid[#Data],$DE1154,46),0)</f>
        <v/>
      </c>
      <c r="AX1154">
        <f>IFERROR(INDEX(PP_Grid[#Data],$DE1154,47),0)</f>
        <v/>
      </c>
      <c r="AY1154">
        <f>IFERROR(INDEX(PP_Grid[#Data],$DE1154,48),0)</f>
        <v/>
      </c>
      <c r="AZ1154">
        <f>IFERROR(INDEX(PP_Grid[#Data],$DE1154,49),0)</f>
        <v/>
      </c>
      <c r="BA1154">
        <f>IFERROR(INDEX(PP_Grid[#Data],$DE1154,50),0)</f>
        <v/>
      </c>
      <c r="BB1154">
        <f>IFERROR(INDEX(PP_Grid[#Data],$DE1154,51),0)</f>
        <v/>
      </c>
      <c r="BC1154">
        <f>IFERROR(INDEX(PP_Grid[#Data],$DE1154,52),0)</f>
        <v/>
      </c>
      <c r="BD1154">
        <f>IFERROR(INDEX(PP_Grid[#Data],$DE1154,53),0)</f>
        <v/>
      </c>
      <c r="BE1154">
        <f>IFERROR(INDEX(PP_Grid[#Data],$DE1154,54),0)</f>
        <v/>
      </c>
      <c r="BF1154">
        <f>IFERROR(INDEX(PP_Grid[#Data],$DE1154,55),0)</f>
        <v/>
      </c>
      <c r="BG1154">
        <f>IFERROR(INDEX(PP_Grid[#Data],$DE1154,56),0)</f>
        <v/>
      </c>
      <c r="BH1154">
        <f>IFERROR(INDEX(PP_Grid[#Data],$DE1154,57),0)</f>
        <v/>
      </c>
      <c r="BI1154">
        <f>IFERROR(INDEX(PP_Grid[#Data],$DE1154,58),0)</f>
        <v/>
      </c>
      <c r="BJ1154">
        <f>IFERROR(INDEX(PP_Grid[#Data],$DE1154,59),0)</f>
        <v/>
      </c>
      <c r="BK1154">
        <f>IFERROR(INDEX(PP_Grid[#Data],$DE1154,60),0)</f>
        <v/>
      </c>
      <c r="BL1154">
        <f>IFERROR(INDEX(PP_Grid[#Data],$DE1154,61),0)</f>
        <v/>
      </c>
      <c r="BM1154">
        <f>IFERROR(INDEX(PP_Grid[#Data],$DE1154,62),0)</f>
        <v/>
      </c>
      <c r="BN1154">
        <f>IFERROR(INDEX(PP_Grid[#Data],$DE1154,63),0)</f>
        <v/>
      </c>
      <c r="BO1154">
        <f>IFERROR(INDEX(PP_Grid[#Data],$DE1154,64),0)</f>
        <v/>
      </c>
      <c r="BP1154">
        <f>IFERROR(INDEX(PP_Grid[#Data],$DE1154,65),0)</f>
        <v/>
      </c>
      <c r="BQ1154">
        <f>IFERROR(INDEX(PP_Grid[#Data],$DE1154,66),0)</f>
        <v/>
      </c>
      <c r="BR1154">
        <f>IFERROR(INDEX(PP_Grid[#Data],$DE1154,67),0)</f>
        <v/>
      </c>
      <c r="BS1154">
        <f>IFERROR(INDEX(PP_Grid[#Data],$DE1154,68),0)</f>
        <v/>
      </c>
      <c r="BT1154">
        <f>IFERROR(INDEX(PP_Grid[#Data],$DE1154,69),0)</f>
        <v/>
      </c>
      <c r="BU1154">
        <f>IFERROR(INDEX(PP_Grid[#Data],$DE1154,70),0)</f>
        <v/>
      </c>
      <c r="BV1154">
        <f>IFERROR(INDEX(PP_Grid[#Data],$DE1154,71),0)</f>
        <v/>
      </c>
      <c r="BW1154">
        <f>IFERROR(INDEX(PP_Grid[#Data],$DE1154,72),0)</f>
        <v/>
      </c>
      <c r="BX1154">
        <f>IFERROR(INDEX(PP_Grid[#Data],$DE1154,73),0)</f>
        <v/>
      </c>
      <c r="BY1154">
        <f>IFERROR(INDEX(PP_Grid[#Data],$DE1154,74),0)</f>
        <v/>
      </c>
      <c r="BZ1154">
        <f>IFERROR(INDEX(PP_Grid[#Data],$DE1154,75),0)</f>
        <v/>
      </c>
      <c r="CA1154">
        <f>IFERROR(INDEX(PP_Grid[#Data],$DE1154,76),0)</f>
        <v/>
      </c>
      <c r="CB1154">
        <f>IFERROR(INDEX(PP_Grid[#Data],$DE1154,77),0)</f>
        <v/>
      </c>
      <c r="CC1154">
        <f>IFERROR(INDEX(PP_Grid[#Data],$DE1154,78),0)</f>
        <v/>
      </c>
      <c r="CD1154">
        <f>IFERROR(INDEX(PP_Grid[#Data],$DE1154,79),0)</f>
        <v/>
      </c>
      <c r="CE1154">
        <f>IFERROR(INDEX(PP_Grid[#Data],$DE1154,80),0)</f>
        <v/>
      </c>
      <c r="CF1154">
        <f>IFERROR(INDEX(PP_Grid[#Data],$DE1154,81),0)</f>
        <v/>
      </c>
      <c r="CG1154">
        <f>IFERROR(INDEX(PP_Grid[#Data],$DE1154,82),0)</f>
        <v/>
      </c>
      <c r="CH1154">
        <f>IFERROR(INDEX(PP_Grid[#Data],$DE1154,83),0)</f>
        <v/>
      </c>
      <c r="CI1154">
        <f>IFERROR(INDEX(PP_Grid[#Data],$DE1154,84),0)</f>
        <v/>
      </c>
      <c r="CJ1154">
        <f>IFERROR(INDEX(PP_Grid[#Data],$DE1154,85),0)</f>
        <v/>
      </c>
      <c r="CK1154">
        <f>IFERROR(INDEX(PP_Grid[#Data],$DE1154,86),0)</f>
        <v/>
      </c>
      <c r="CL1154">
        <f>IFERROR(INDEX(PP_Grid[#Data],$DE1154,87),0)</f>
        <v/>
      </c>
      <c r="CM1154">
        <f>IFERROR(INDEX(PP_Grid[#Data],$DE1154,88),0)</f>
        <v/>
      </c>
      <c r="CN1154">
        <f>IFERROR(INDEX(PP_Grid[#Data],$DE1154,89),0)</f>
        <v/>
      </c>
      <c r="CO1154">
        <f>IFERROR(INDEX(PP_Grid[#Data],$DE1154,90),0)</f>
        <v/>
      </c>
      <c r="CP1154">
        <f>IFERROR(INDEX(PP_Grid[#Data],$DE1154,91),0)</f>
        <v/>
      </c>
      <c r="CQ1154">
        <f>IFERROR(INDEX(PP_Grid[#Data],$DE1154,92),0)</f>
        <v/>
      </c>
      <c r="CR1154">
        <f>IFERROR(INDEX(PP_Grid[#Data],$DE1154,93),0)</f>
        <v/>
      </c>
      <c r="CS1154">
        <f>IFERROR(INDEX(PP_Grid[#Data],$DE1154,94),0)</f>
        <v/>
      </c>
      <c r="CT1154">
        <f>IFERROR(INDEX(PP_Grid[#Data],$DE1154,95),0)</f>
        <v/>
      </c>
      <c r="CU1154">
        <f>IFERROR(INDEX(PP_Grid[#Data],$DE1154,96),0)</f>
        <v/>
      </c>
      <c r="CV1154">
        <f>IFERROR(INDEX(PP_Grid[#Data],$DE1154,97),0)</f>
        <v/>
      </c>
      <c r="CW1154">
        <f>IFERROR(INDEX(PP_Grid[#Data],$DE1154,98),0)</f>
        <v/>
      </c>
      <c r="CX1154">
        <f>IFERROR(INDEX(PP_Grid[#Data],$DE1154,99),0)</f>
        <v/>
      </c>
      <c r="CY1154">
        <f>IFERROR(INDEX(PP_Grid[#Data],$DE1154,100),0)</f>
        <v/>
      </c>
      <c r="CZ1154">
        <f>IFERROR(INDEX(PP_Grid[#Data],$DE1154,101),0)</f>
        <v/>
      </c>
      <c r="DA1154">
        <f>IFERROR(INDEX(PP_Grid[#Data],$DE1154,102),0)</f>
        <v/>
      </c>
      <c r="DB1154">
        <f>IFERROR(INDEX(PP_Grid[#Data],$DE1154,103),0)</f>
        <v/>
      </c>
      <c r="DC1154">
        <f>IFERROR(INDEX(PP_Grid[#Data],$DE1154,104),0)</f>
        <v/>
      </c>
      <c r="DD1154">
        <f>IFERROR(INDEX(PP_Grid[#Data],$DE1154,105),0)</f>
        <v/>
      </c>
      <c r="DE1154" s="7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SUMIFS(M_BOM[RM_Qty_Per_Batch],M_BOM[Intermediate],$B1154,M_BOM[RM_Code],$A1147)</f>
        <v/>
      </c>
      <c r="D1155">
        <f>IFERROR(INDEX(E1155:DD1155,$F$1),"")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  <c r="DD1155">
        <f>$C1155*DD1154</f>
        <v/>
      </c>
    </row>
    <row r="1156">
      <c r="B1156" t="inlineStr">
        <is>
          <t>TSP-620</t>
        </is>
      </c>
      <c r="C1156" t="inlineStr">
        <is>
          <t>No. of batches</t>
        </is>
      </c>
      <c r="D1156">
        <f>IFERROR(INDEX(E1156:DD1156,$F$1),"")</f>
        <v/>
      </c>
      <c r="E1156">
        <f>IFERROR(INDEX(PP_Grid[#Data],$DE1156,2),0)</f>
        <v/>
      </c>
      <c r="F1156">
        <f>IFERROR(INDEX(PP_Grid[#Data],$DE1156,3),0)</f>
        <v/>
      </c>
      <c r="G1156">
        <f>IFERROR(INDEX(PP_Grid[#Data],$DE1156,4),0)</f>
        <v/>
      </c>
      <c r="H1156">
        <f>IFERROR(INDEX(PP_Grid[#Data],$DE1156,5),0)</f>
        <v/>
      </c>
      <c r="I1156">
        <f>IFERROR(INDEX(PP_Grid[#Data],$DE1156,6),0)</f>
        <v/>
      </c>
      <c r="J1156">
        <f>IFERROR(INDEX(PP_Grid[#Data],$DE1156,7),0)</f>
        <v/>
      </c>
      <c r="K1156">
        <f>IFERROR(INDEX(PP_Grid[#Data],$DE1156,8),0)</f>
        <v/>
      </c>
      <c r="L1156">
        <f>IFERROR(INDEX(PP_Grid[#Data],$DE1156,9),0)</f>
        <v/>
      </c>
      <c r="M1156">
        <f>IFERROR(INDEX(PP_Grid[#Data],$DE1156,10),0)</f>
        <v/>
      </c>
      <c r="N1156">
        <f>IFERROR(INDEX(PP_Grid[#Data],$DE1156,11),0)</f>
        <v/>
      </c>
      <c r="O1156">
        <f>IFERROR(INDEX(PP_Grid[#Data],$DE1156,12),0)</f>
        <v/>
      </c>
      <c r="P1156">
        <f>IFERROR(INDEX(PP_Grid[#Data],$DE1156,13),0)</f>
        <v/>
      </c>
      <c r="Q1156">
        <f>IFERROR(INDEX(PP_Grid[#Data],$DE1156,14),0)</f>
        <v/>
      </c>
      <c r="R1156">
        <f>IFERROR(INDEX(PP_Grid[#Data],$DE1156,15),0)</f>
        <v/>
      </c>
      <c r="S1156">
        <f>IFERROR(INDEX(PP_Grid[#Data],$DE1156,16),0)</f>
        <v/>
      </c>
      <c r="T1156">
        <f>IFERROR(INDEX(PP_Grid[#Data],$DE1156,17),0)</f>
        <v/>
      </c>
      <c r="U1156">
        <f>IFERROR(INDEX(PP_Grid[#Data],$DE1156,18),0)</f>
        <v/>
      </c>
      <c r="V1156">
        <f>IFERROR(INDEX(PP_Grid[#Data],$DE1156,19),0)</f>
        <v/>
      </c>
      <c r="W1156">
        <f>IFERROR(INDEX(PP_Grid[#Data],$DE1156,20),0)</f>
        <v/>
      </c>
      <c r="X1156">
        <f>IFERROR(INDEX(PP_Grid[#Data],$DE1156,21),0)</f>
        <v/>
      </c>
      <c r="Y1156">
        <f>IFERROR(INDEX(PP_Grid[#Data],$DE1156,22),0)</f>
        <v/>
      </c>
      <c r="Z1156">
        <f>IFERROR(INDEX(PP_Grid[#Data],$DE1156,23),0)</f>
        <v/>
      </c>
      <c r="AA1156">
        <f>IFERROR(INDEX(PP_Grid[#Data],$DE1156,24),0)</f>
        <v/>
      </c>
      <c r="AB1156">
        <f>IFERROR(INDEX(PP_Grid[#Data],$DE1156,25),0)</f>
        <v/>
      </c>
      <c r="AC1156">
        <f>IFERROR(INDEX(PP_Grid[#Data],$DE1156,26),0)</f>
        <v/>
      </c>
      <c r="AD1156">
        <f>IFERROR(INDEX(PP_Grid[#Data],$DE1156,27),0)</f>
        <v/>
      </c>
      <c r="AE1156">
        <f>IFERROR(INDEX(PP_Grid[#Data],$DE1156,28),0)</f>
        <v/>
      </c>
      <c r="AF1156">
        <f>IFERROR(INDEX(PP_Grid[#Data],$DE1156,29),0)</f>
        <v/>
      </c>
      <c r="AG1156">
        <f>IFERROR(INDEX(PP_Grid[#Data],$DE1156,30),0)</f>
        <v/>
      </c>
      <c r="AH1156">
        <f>IFERROR(INDEX(PP_Grid[#Data],$DE1156,31),0)</f>
        <v/>
      </c>
      <c r="AI1156">
        <f>IFERROR(INDEX(PP_Grid[#Data],$DE1156,32),0)</f>
        <v/>
      </c>
      <c r="AJ1156">
        <f>IFERROR(INDEX(PP_Grid[#Data],$DE1156,33),0)</f>
        <v/>
      </c>
      <c r="AK1156">
        <f>IFERROR(INDEX(PP_Grid[#Data],$DE1156,34),0)</f>
        <v/>
      </c>
      <c r="AL1156">
        <f>IFERROR(INDEX(PP_Grid[#Data],$DE1156,35),0)</f>
        <v/>
      </c>
      <c r="AM1156">
        <f>IFERROR(INDEX(PP_Grid[#Data],$DE1156,36),0)</f>
        <v/>
      </c>
      <c r="AN1156">
        <f>IFERROR(INDEX(PP_Grid[#Data],$DE1156,37),0)</f>
        <v/>
      </c>
      <c r="AO1156">
        <f>IFERROR(INDEX(PP_Grid[#Data],$DE1156,38),0)</f>
        <v/>
      </c>
      <c r="AP1156">
        <f>IFERROR(INDEX(PP_Grid[#Data],$DE1156,39),0)</f>
        <v/>
      </c>
      <c r="AQ1156">
        <f>IFERROR(INDEX(PP_Grid[#Data],$DE1156,40),0)</f>
        <v/>
      </c>
      <c r="AR1156">
        <f>IFERROR(INDEX(PP_Grid[#Data],$DE1156,41),0)</f>
        <v/>
      </c>
      <c r="AS1156">
        <f>IFERROR(INDEX(PP_Grid[#Data],$DE1156,42),0)</f>
        <v/>
      </c>
      <c r="AT1156">
        <f>IFERROR(INDEX(PP_Grid[#Data],$DE1156,43),0)</f>
        <v/>
      </c>
      <c r="AU1156">
        <f>IFERROR(INDEX(PP_Grid[#Data],$DE1156,44),0)</f>
        <v/>
      </c>
      <c r="AV1156">
        <f>IFERROR(INDEX(PP_Grid[#Data],$DE1156,45),0)</f>
        <v/>
      </c>
      <c r="AW1156">
        <f>IFERROR(INDEX(PP_Grid[#Data],$DE1156,46),0)</f>
        <v/>
      </c>
      <c r="AX1156">
        <f>IFERROR(INDEX(PP_Grid[#Data],$DE1156,47),0)</f>
        <v/>
      </c>
      <c r="AY1156">
        <f>IFERROR(INDEX(PP_Grid[#Data],$DE1156,48),0)</f>
        <v/>
      </c>
      <c r="AZ1156">
        <f>IFERROR(INDEX(PP_Grid[#Data],$DE1156,49),0)</f>
        <v/>
      </c>
      <c r="BA1156">
        <f>IFERROR(INDEX(PP_Grid[#Data],$DE1156,50),0)</f>
        <v/>
      </c>
      <c r="BB1156">
        <f>IFERROR(INDEX(PP_Grid[#Data],$DE1156,51),0)</f>
        <v/>
      </c>
      <c r="BC1156">
        <f>IFERROR(INDEX(PP_Grid[#Data],$DE1156,52),0)</f>
        <v/>
      </c>
      <c r="BD1156">
        <f>IFERROR(INDEX(PP_Grid[#Data],$DE1156,53),0)</f>
        <v/>
      </c>
      <c r="BE1156">
        <f>IFERROR(INDEX(PP_Grid[#Data],$DE1156,54),0)</f>
        <v/>
      </c>
      <c r="BF1156">
        <f>IFERROR(INDEX(PP_Grid[#Data],$DE1156,55),0)</f>
        <v/>
      </c>
      <c r="BG1156">
        <f>IFERROR(INDEX(PP_Grid[#Data],$DE1156,56),0)</f>
        <v/>
      </c>
      <c r="BH1156">
        <f>IFERROR(INDEX(PP_Grid[#Data],$DE1156,57),0)</f>
        <v/>
      </c>
      <c r="BI1156">
        <f>IFERROR(INDEX(PP_Grid[#Data],$DE1156,58),0)</f>
        <v/>
      </c>
      <c r="BJ1156">
        <f>IFERROR(INDEX(PP_Grid[#Data],$DE1156,59),0)</f>
        <v/>
      </c>
      <c r="BK1156">
        <f>IFERROR(INDEX(PP_Grid[#Data],$DE1156,60),0)</f>
        <v/>
      </c>
      <c r="BL1156">
        <f>IFERROR(INDEX(PP_Grid[#Data],$DE1156,61),0)</f>
        <v/>
      </c>
      <c r="BM1156">
        <f>IFERROR(INDEX(PP_Grid[#Data],$DE1156,62),0)</f>
        <v/>
      </c>
      <c r="BN1156">
        <f>IFERROR(INDEX(PP_Grid[#Data],$DE1156,63),0)</f>
        <v/>
      </c>
      <c r="BO1156">
        <f>IFERROR(INDEX(PP_Grid[#Data],$DE1156,64),0)</f>
        <v/>
      </c>
      <c r="BP1156">
        <f>IFERROR(INDEX(PP_Grid[#Data],$DE1156,65),0)</f>
        <v/>
      </c>
      <c r="BQ1156">
        <f>IFERROR(INDEX(PP_Grid[#Data],$DE1156,66),0)</f>
        <v/>
      </c>
      <c r="BR1156">
        <f>IFERROR(INDEX(PP_Grid[#Data],$DE1156,67),0)</f>
        <v/>
      </c>
      <c r="BS1156">
        <f>IFERROR(INDEX(PP_Grid[#Data],$DE1156,68),0)</f>
        <v/>
      </c>
      <c r="BT1156">
        <f>IFERROR(INDEX(PP_Grid[#Data],$DE1156,69),0)</f>
        <v/>
      </c>
      <c r="BU1156">
        <f>IFERROR(INDEX(PP_Grid[#Data],$DE1156,70),0)</f>
        <v/>
      </c>
      <c r="BV1156">
        <f>IFERROR(INDEX(PP_Grid[#Data],$DE1156,71),0)</f>
        <v/>
      </c>
      <c r="BW1156">
        <f>IFERROR(INDEX(PP_Grid[#Data],$DE1156,72),0)</f>
        <v/>
      </c>
      <c r="BX1156">
        <f>IFERROR(INDEX(PP_Grid[#Data],$DE1156,73),0)</f>
        <v/>
      </c>
      <c r="BY1156">
        <f>IFERROR(INDEX(PP_Grid[#Data],$DE1156,74),0)</f>
        <v/>
      </c>
      <c r="BZ1156">
        <f>IFERROR(INDEX(PP_Grid[#Data],$DE1156,75),0)</f>
        <v/>
      </c>
      <c r="CA1156">
        <f>IFERROR(INDEX(PP_Grid[#Data],$DE1156,76),0)</f>
        <v/>
      </c>
      <c r="CB1156">
        <f>IFERROR(INDEX(PP_Grid[#Data],$DE1156,77),0)</f>
        <v/>
      </c>
      <c r="CC1156">
        <f>IFERROR(INDEX(PP_Grid[#Data],$DE1156,78),0)</f>
        <v/>
      </c>
      <c r="CD1156">
        <f>IFERROR(INDEX(PP_Grid[#Data],$DE1156,79),0)</f>
        <v/>
      </c>
      <c r="CE1156">
        <f>IFERROR(INDEX(PP_Grid[#Data],$DE1156,80),0)</f>
        <v/>
      </c>
      <c r="CF1156">
        <f>IFERROR(INDEX(PP_Grid[#Data],$DE1156,81),0)</f>
        <v/>
      </c>
      <c r="CG1156">
        <f>IFERROR(INDEX(PP_Grid[#Data],$DE1156,82),0)</f>
        <v/>
      </c>
      <c r="CH1156">
        <f>IFERROR(INDEX(PP_Grid[#Data],$DE1156,83),0)</f>
        <v/>
      </c>
      <c r="CI1156">
        <f>IFERROR(INDEX(PP_Grid[#Data],$DE1156,84),0)</f>
        <v/>
      </c>
      <c r="CJ1156">
        <f>IFERROR(INDEX(PP_Grid[#Data],$DE1156,85),0)</f>
        <v/>
      </c>
      <c r="CK1156">
        <f>IFERROR(INDEX(PP_Grid[#Data],$DE1156,86),0)</f>
        <v/>
      </c>
      <c r="CL1156">
        <f>IFERROR(INDEX(PP_Grid[#Data],$DE1156,87),0)</f>
        <v/>
      </c>
      <c r="CM1156">
        <f>IFERROR(INDEX(PP_Grid[#Data],$DE1156,88),0)</f>
        <v/>
      </c>
      <c r="CN1156">
        <f>IFERROR(INDEX(PP_Grid[#Data],$DE1156,89),0)</f>
        <v/>
      </c>
      <c r="CO1156">
        <f>IFERROR(INDEX(PP_Grid[#Data],$DE1156,90),0)</f>
        <v/>
      </c>
      <c r="CP1156">
        <f>IFERROR(INDEX(PP_Grid[#Data],$DE1156,91),0)</f>
        <v/>
      </c>
      <c r="CQ1156">
        <f>IFERROR(INDEX(PP_Grid[#Data],$DE1156,92),0)</f>
        <v/>
      </c>
      <c r="CR1156">
        <f>IFERROR(INDEX(PP_Grid[#Data],$DE1156,93),0)</f>
        <v/>
      </c>
      <c r="CS1156">
        <f>IFERROR(INDEX(PP_Grid[#Data],$DE1156,94),0)</f>
        <v/>
      </c>
      <c r="CT1156">
        <f>IFERROR(INDEX(PP_Grid[#Data],$DE1156,95),0)</f>
        <v/>
      </c>
      <c r="CU1156">
        <f>IFERROR(INDEX(PP_Grid[#Data],$DE1156,96),0)</f>
        <v/>
      </c>
      <c r="CV1156">
        <f>IFERROR(INDEX(PP_Grid[#Data],$DE1156,97),0)</f>
        <v/>
      </c>
      <c r="CW1156">
        <f>IFERROR(INDEX(PP_Grid[#Data],$DE1156,98),0)</f>
        <v/>
      </c>
      <c r="CX1156">
        <f>IFERROR(INDEX(PP_Grid[#Data],$DE1156,99),0)</f>
        <v/>
      </c>
      <c r="CY1156">
        <f>IFERROR(INDEX(PP_Grid[#Data],$DE1156,100),0)</f>
        <v/>
      </c>
      <c r="CZ1156">
        <f>IFERROR(INDEX(PP_Grid[#Data],$DE1156,101),0)</f>
        <v/>
      </c>
      <c r="DA1156">
        <f>IFERROR(INDEX(PP_Grid[#Data],$DE1156,102),0)</f>
        <v/>
      </c>
      <c r="DB1156">
        <f>IFERROR(INDEX(PP_Grid[#Data],$DE1156,103),0)</f>
        <v/>
      </c>
      <c r="DC1156">
        <f>IFERROR(INDEX(PP_Grid[#Data],$DE1156,104),0)</f>
        <v/>
      </c>
      <c r="DD1156">
        <f>IFERROR(INDEX(PP_Grid[#Data],$DE1156,105),0)</f>
        <v/>
      </c>
      <c r="DE1156" s="7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SUMIFS(M_BOM[RM_Qty_Per_Batch],M_BOM[Intermediate],$B1156,M_BOM[RM_Code],$A1147)</f>
        <v/>
      </c>
      <c r="D1157">
        <f>IFERROR(INDEX(E1157:DD1157,$F$1),"")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  <c r="DD1157">
        <f>$C1157*DD1156</f>
        <v/>
      </c>
    </row>
    <row r="1158">
      <c r="B1158" t="inlineStr">
        <is>
          <t>TSP-623</t>
        </is>
      </c>
      <c r="C1158" t="inlineStr">
        <is>
          <t>No. of batches</t>
        </is>
      </c>
      <c r="D1158">
        <f>IFERROR(INDEX(E1158:DD1158,$F$1),"")</f>
        <v/>
      </c>
      <c r="E1158">
        <f>IFERROR(INDEX(PP_Grid[#Data],$DE1158,2),0)</f>
        <v/>
      </c>
      <c r="F1158">
        <f>IFERROR(INDEX(PP_Grid[#Data],$DE1158,3),0)</f>
        <v/>
      </c>
      <c r="G1158">
        <f>IFERROR(INDEX(PP_Grid[#Data],$DE1158,4),0)</f>
        <v/>
      </c>
      <c r="H1158">
        <f>IFERROR(INDEX(PP_Grid[#Data],$DE1158,5),0)</f>
        <v/>
      </c>
      <c r="I1158">
        <f>IFERROR(INDEX(PP_Grid[#Data],$DE1158,6),0)</f>
        <v/>
      </c>
      <c r="J1158">
        <f>IFERROR(INDEX(PP_Grid[#Data],$DE1158,7),0)</f>
        <v/>
      </c>
      <c r="K1158">
        <f>IFERROR(INDEX(PP_Grid[#Data],$DE1158,8),0)</f>
        <v/>
      </c>
      <c r="L1158">
        <f>IFERROR(INDEX(PP_Grid[#Data],$DE1158,9),0)</f>
        <v/>
      </c>
      <c r="M1158">
        <f>IFERROR(INDEX(PP_Grid[#Data],$DE1158,10),0)</f>
        <v/>
      </c>
      <c r="N1158">
        <f>IFERROR(INDEX(PP_Grid[#Data],$DE1158,11),0)</f>
        <v/>
      </c>
      <c r="O1158">
        <f>IFERROR(INDEX(PP_Grid[#Data],$DE1158,12),0)</f>
        <v/>
      </c>
      <c r="P1158">
        <f>IFERROR(INDEX(PP_Grid[#Data],$DE1158,13),0)</f>
        <v/>
      </c>
      <c r="Q1158">
        <f>IFERROR(INDEX(PP_Grid[#Data],$DE1158,14),0)</f>
        <v/>
      </c>
      <c r="R1158">
        <f>IFERROR(INDEX(PP_Grid[#Data],$DE1158,15),0)</f>
        <v/>
      </c>
      <c r="S1158">
        <f>IFERROR(INDEX(PP_Grid[#Data],$DE1158,16),0)</f>
        <v/>
      </c>
      <c r="T1158">
        <f>IFERROR(INDEX(PP_Grid[#Data],$DE1158,17),0)</f>
        <v/>
      </c>
      <c r="U1158">
        <f>IFERROR(INDEX(PP_Grid[#Data],$DE1158,18),0)</f>
        <v/>
      </c>
      <c r="V1158">
        <f>IFERROR(INDEX(PP_Grid[#Data],$DE1158,19),0)</f>
        <v/>
      </c>
      <c r="W1158">
        <f>IFERROR(INDEX(PP_Grid[#Data],$DE1158,20),0)</f>
        <v/>
      </c>
      <c r="X1158">
        <f>IFERROR(INDEX(PP_Grid[#Data],$DE1158,21),0)</f>
        <v/>
      </c>
      <c r="Y1158">
        <f>IFERROR(INDEX(PP_Grid[#Data],$DE1158,22),0)</f>
        <v/>
      </c>
      <c r="Z1158">
        <f>IFERROR(INDEX(PP_Grid[#Data],$DE1158,23),0)</f>
        <v/>
      </c>
      <c r="AA1158">
        <f>IFERROR(INDEX(PP_Grid[#Data],$DE1158,24),0)</f>
        <v/>
      </c>
      <c r="AB1158">
        <f>IFERROR(INDEX(PP_Grid[#Data],$DE1158,25),0)</f>
        <v/>
      </c>
      <c r="AC1158">
        <f>IFERROR(INDEX(PP_Grid[#Data],$DE1158,26),0)</f>
        <v/>
      </c>
      <c r="AD1158">
        <f>IFERROR(INDEX(PP_Grid[#Data],$DE1158,27),0)</f>
        <v/>
      </c>
      <c r="AE1158">
        <f>IFERROR(INDEX(PP_Grid[#Data],$DE1158,28),0)</f>
        <v/>
      </c>
      <c r="AF1158">
        <f>IFERROR(INDEX(PP_Grid[#Data],$DE1158,29),0)</f>
        <v/>
      </c>
      <c r="AG1158">
        <f>IFERROR(INDEX(PP_Grid[#Data],$DE1158,30),0)</f>
        <v/>
      </c>
      <c r="AH1158">
        <f>IFERROR(INDEX(PP_Grid[#Data],$DE1158,31),0)</f>
        <v/>
      </c>
      <c r="AI1158">
        <f>IFERROR(INDEX(PP_Grid[#Data],$DE1158,32),0)</f>
        <v/>
      </c>
      <c r="AJ1158">
        <f>IFERROR(INDEX(PP_Grid[#Data],$DE1158,33),0)</f>
        <v/>
      </c>
      <c r="AK1158">
        <f>IFERROR(INDEX(PP_Grid[#Data],$DE1158,34),0)</f>
        <v/>
      </c>
      <c r="AL1158">
        <f>IFERROR(INDEX(PP_Grid[#Data],$DE1158,35),0)</f>
        <v/>
      </c>
      <c r="AM1158">
        <f>IFERROR(INDEX(PP_Grid[#Data],$DE1158,36),0)</f>
        <v/>
      </c>
      <c r="AN1158">
        <f>IFERROR(INDEX(PP_Grid[#Data],$DE1158,37),0)</f>
        <v/>
      </c>
      <c r="AO1158">
        <f>IFERROR(INDEX(PP_Grid[#Data],$DE1158,38),0)</f>
        <v/>
      </c>
      <c r="AP1158">
        <f>IFERROR(INDEX(PP_Grid[#Data],$DE1158,39),0)</f>
        <v/>
      </c>
      <c r="AQ1158">
        <f>IFERROR(INDEX(PP_Grid[#Data],$DE1158,40),0)</f>
        <v/>
      </c>
      <c r="AR1158">
        <f>IFERROR(INDEX(PP_Grid[#Data],$DE1158,41),0)</f>
        <v/>
      </c>
      <c r="AS1158">
        <f>IFERROR(INDEX(PP_Grid[#Data],$DE1158,42),0)</f>
        <v/>
      </c>
      <c r="AT1158">
        <f>IFERROR(INDEX(PP_Grid[#Data],$DE1158,43),0)</f>
        <v/>
      </c>
      <c r="AU1158">
        <f>IFERROR(INDEX(PP_Grid[#Data],$DE1158,44),0)</f>
        <v/>
      </c>
      <c r="AV1158">
        <f>IFERROR(INDEX(PP_Grid[#Data],$DE1158,45),0)</f>
        <v/>
      </c>
      <c r="AW1158">
        <f>IFERROR(INDEX(PP_Grid[#Data],$DE1158,46),0)</f>
        <v/>
      </c>
      <c r="AX1158">
        <f>IFERROR(INDEX(PP_Grid[#Data],$DE1158,47),0)</f>
        <v/>
      </c>
      <c r="AY1158">
        <f>IFERROR(INDEX(PP_Grid[#Data],$DE1158,48),0)</f>
        <v/>
      </c>
      <c r="AZ1158">
        <f>IFERROR(INDEX(PP_Grid[#Data],$DE1158,49),0)</f>
        <v/>
      </c>
      <c r="BA1158">
        <f>IFERROR(INDEX(PP_Grid[#Data],$DE1158,50),0)</f>
        <v/>
      </c>
      <c r="BB1158">
        <f>IFERROR(INDEX(PP_Grid[#Data],$DE1158,51),0)</f>
        <v/>
      </c>
      <c r="BC1158">
        <f>IFERROR(INDEX(PP_Grid[#Data],$DE1158,52),0)</f>
        <v/>
      </c>
      <c r="BD1158">
        <f>IFERROR(INDEX(PP_Grid[#Data],$DE1158,53),0)</f>
        <v/>
      </c>
      <c r="BE1158">
        <f>IFERROR(INDEX(PP_Grid[#Data],$DE1158,54),0)</f>
        <v/>
      </c>
      <c r="BF1158">
        <f>IFERROR(INDEX(PP_Grid[#Data],$DE1158,55),0)</f>
        <v/>
      </c>
      <c r="BG1158">
        <f>IFERROR(INDEX(PP_Grid[#Data],$DE1158,56),0)</f>
        <v/>
      </c>
      <c r="BH1158">
        <f>IFERROR(INDEX(PP_Grid[#Data],$DE1158,57),0)</f>
        <v/>
      </c>
      <c r="BI1158">
        <f>IFERROR(INDEX(PP_Grid[#Data],$DE1158,58),0)</f>
        <v/>
      </c>
      <c r="BJ1158">
        <f>IFERROR(INDEX(PP_Grid[#Data],$DE1158,59),0)</f>
        <v/>
      </c>
      <c r="BK1158">
        <f>IFERROR(INDEX(PP_Grid[#Data],$DE1158,60),0)</f>
        <v/>
      </c>
      <c r="BL1158">
        <f>IFERROR(INDEX(PP_Grid[#Data],$DE1158,61),0)</f>
        <v/>
      </c>
      <c r="BM1158">
        <f>IFERROR(INDEX(PP_Grid[#Data],$DE1158,62),0)</f>
        <v/>
      </c>
      <c r="BN1158">
        <f>IFERROR(INDEX(PP_Grid[#Data],$DE1158,63),0)</f>
        <v/>
      </c>
      <c r="BO1158">
        <f>IFERROR(INDEX(PP_Grid[#Data],$DE1158,64),0)</f>
        <v/>
      </c>
      <c r="BP1158">
        <f>IFERROR(INDEX(PP_Grid[#Data],$DE1158,65),0)</f>
        <v/>
      </c>
      <c r="BQ1158">
        <f>IFERROR(INDEX(PP_Grid[#Data],$DE1158,66),0)</f>
        <v/>
      </c>
      <c r="BR1158">
        <f>IFERROR(INDEX(PP_Grid[#Data],$DE1158,67),0)</f>
        <v/>
      </c>
      <c r="BS1158">
        <f>IFERROR(INDEX(PP_Grid[#Data],$DE1158,68),0)</f>
        <v/>
      </c>
      <c r="BT1158">
        <f>IFERROR(INDEX(PP_Grid[#Data],$DE1158,69),0)</f>
        <v/>
      </c>
      <c r="BU1158">
        <f>IFERROR(INDEX(PP_Grid[#Data],$DE1158,70),0)</f>
        <v/>
      </c>
      <c r="BV1158">
        <f>IFERROR(INDEX(PP_Grid[#Data],$DE1158,71),0)</f>
        <v/>
      </c>
      <c r="BW1158">
        <f>IFERROR(INDEX(PP_Grid[#Data],$DE1158,72),0)</f>
        <v/>
      </c>
      <c r="BX1158">
        <f>IFERROR(INDEX(PP_Grid[#Data],$DE1158,73),0)</f>
        <v/>
      </c>
      <c r="BY1158">
        <f>IFERROR(INDEX(PP_Grid[#Data],$DE1158,74),0)</f>
        <v/>
      </c>
      <c r="BZ1158">
        <f>IFERROR(INDEX(PP_Grid[#Data],$DE1158,75),0)</f>
        <v/>
      </c>
      <c r="CA1158">
        <f>IFERROR(INDEX(PP_Grid[#Data],$DE1158,76),0)</f>
        <v/>
      </c>
      <c r="CB1158">
        <f>IFERROR(INDEX(PP_Grid[#Data],$DE1158,77),0)</f>
        <v/>
      </c>
      <c r="CC1158">
        <f>IFERROR(INDEX(PP_Grid[#Data],$DE1158,78),0)</f>
        <v/>
      </c>
      <c r="CD1158">
        <f>IFERROR(INDEX(PP_Grid[#Data],$DE1158,79),0)</f>
        <v/>
      </c>
      <c r="CE1158">
        <f>IFERROR(INDEX(PP_Grid[#Data],$DE1158,80),0)</f>
        <v/>
      </c>
      <c r="CF1158">
        <f>IFERROR(INDEX(PP_Grid[#Data],$DE1158,81),0)</f>
        <v/>
      </c>
      <c r="CG1158">
        <f>IFERROR(INDEX(PP_Grid[#Data],$DE1158,82),0)</f>
        <v/>
      </c>
      <c r="CH1158">
        <f>IFERROR(INDEX(PP_Grid[#Data],$DE1158,83),0)</f>
        <v/>
      </c>
      <c r="CI1158">
        <f>IFERROR(INDEX(PP_Grid[#Data],$DE1158,84),0)</f>
        <v/>
      </c>
      <c r="CJ1158">
        <f>IFERROR(INDEX(PP_Grid[#Data],$DE1158,85),0)</f>
        <v/>
      </c>
      <c r="CK1158">
        <f>IFERROR(INDEX(PP_Grid[#Data],$DE1158,86),0)</f>
        <v/>
      </c>
      <c r="CL1158">
        <f>IFERROR(INDEX(PP_Grid[#Data],$DE1158,87),0)</f>
        <v/>
      </c>
      <c r="CM1158">
        <f>IFERROR(INDEX(PP_Grid[#Data],$DE1158,88),0)</f>
        <v/>
      </c>
      <c r="CN1158">
        <f>IFERROR(INDEX(PP_Grid[#Data],$DE1158,89),0)</f>
        <v/>
      </c>
      <c r="CO1158">
        <f>IFERROR(INDEX(PP_Grid[#Data],$DE1158,90),0)</f>
        <v/>
      </c>
      <c r="CP1158">
        <f>IFERROR(INDEX(PP_Grid[#Data],$DE1158,91),0)</f>
        <v/>
      </c>
      <c r="CQ1158">
        <f>IFERROR(INDEX(PP_Grid[#Data],$DE1158,92),0)</f>
        <v/>
      </c>
      <c r="CR1158">
        <f>IFERROR(INDEX(PP_Grid[#Data],$DE1158,93),0)</f>
        <v/>
      </c>
      <c r="CS1158">
        <f>IFERROR(INDEX(PP_Grid[#Data],$DE1158,94),0)</f>
        <v/>
      </c>
      <c r="CT1158">
        <f>IFERROR(INDEX(PP_Grid[#Data],$DE1158,95),0)</f>
        <v/>
      </c>
      <c r="CU1158">
        <f>IFERROR(INDEX(PP_Grid[#Data],$DE1158,96),0)</f>
        <v/>
      </c>
      <c r="CV1158">
        <f>IFERROR(INDEX(PP_Grid[#Data],$DE1158,97),0)</f>
        <v/>
      </c>
      <c r="CW1158">
        <f>IFERROR(INDEX(PP_Grid[#Data],$DE1158,98),0)</f>
        <v/>
      </c>
      <c r="CX1158">
        <f>IFERROR(INDEX(PP_Grid[#Data],$DE1158,99),0)</f>
        <v/>
      </c>
      <c r="CY1158">
        <f>IFERROR(INDEX(PP_Grid[#Data],$DE1158,100),0)</f>
        <v/>
      </c>
      <c r="CZ1158">
        <f>IFERROR(INDEX(PP_Grid[#Data],$DE1158,101),0)</f>
        <v/>
      </c>
      <c r="DA1158">
        <f>IFERROR(INDEX(PP_Grid[#Data],$DE1158,102),0)</f>
        <v/>
      </c>
      <c r="DB1158">
        <f>IFERROR(INDEX(PP_Grid[#Data],$DE1158,103),0)</f>
        <v/>
      </c>
      <c r="DC1158">
        <f>IFERROR(INDEX(PP_Grid[#Data],$DE1158,104),0)</f>
        <v/>
      </c>
      <c r="DD1158">
        <f>IFERROR(INDEX(PP_Grid[#Data],$DE1158,105),0)</f>
        <v/>
      </c>
      <c r="DE1158" s="7">
        <f>IFERROR(MATCH($B1158,PP_Grid[Intermediate],0),99999)</f>
        <v/>
      </c>
    </row>
    <row r="1159">
      <c r="B1159" t="inlineStr">
        <is>
          <t>使用量(kg)</t>
        </is>
      </c>
      <c r="C1159">
        <f>SUMIFS(M_BOM[RM_Qty_Per_Batch],M_BOM[Intermediate],$B1158,M_BOM[RM_Code],$A1147)</f>
        <v/>
      </c>
      <c r="D1159">
        <f>IFERROR(INDEX(E1159:DD1159,$F$1),"")</f>
        <v/>
      </c>
      <c r="E1159">
        <f>$C1159*E1158</f>
        <v/>
      </c>
      <c r="F1159">
        <f>$C1159*F1158</f>
        <v/>
      </c>
      <c r="G1159">
        <f>$C1159*G1158</f>
        <v/>
      </c>
      <c r="H1159">
        <f>$C1159*H1158</f>
        <v/>
      </c>
      <c r="I1159">
        <f>$C1159*I1158</f>
        <v/>
      </c>
      <c r="J1159">
        <f>$C1159*J1158</f>
        <v/>
      </c>
      <c r="K1159">
        <f>$C1159*K1158</f>
        <v/>
      </c>
      <c r="L1159">
        <f>$C1159*L1158</f>
        <v/>
      </c>
      <c r="M1159">
        <f>$C1159*M1158</f>
        <v/>
      </c>
      <c r="N1159">
        <f>$C1159*N1158</f>
        <v/>
      </c>
      <c r="O1159">
        <f>$C1159*O1158</f>
        <v/>
      </c>
      <c r="P1159">
        <f>$C1159*P1158</f>
        <v/>
      </c>
      <c r="Q1159">
        <f>$C1159*Q1158</f>
        <v/>
      </c>
      <c r="R1159">
        <f>$C1159*R1158</f>
        <v/>
      </c>
      <c r="S1159">
        <f>$C1159*S1158</f>
        <v/>
      </c>
      <c r="T1159">
        <f>$C1159*T1158</f>
        <v/>
      </c>
      <c r="U1159">
        <f>$C1159*U1158</f>
        <v/>
      </c>
      <c r="V1159">
        <f>$C1159*V1158</f>
        <v/>
      </c>
      <c r="W1159">
        <f>$C1159*W1158</f>
        <v/>
      </c>
      <c r="X1159">
        <f>$C1159*X1158</f>
        <v/>
      </c>
      <c r="Y1159">
        <f>$C1159*Y1158</f>
        <v/>
      </c>
      <c r="Z1159">
        <f>$C1159*Z1158</f>
        <v/>
      </c>
      <c r="AA1159">
        <f>$C1159*AA1158</f>
        <v/>
      </c>
      <c r="AB1159">
        <f>$C1159*AB1158</f>
        <v/>
      </c>
      <c r="AC1159">
        <f>$C1159*AC1158</f>
        <v/>
      </c>
      <c r="AD1159">
        <f>$C1159*AD1158</f>
        <v/>
      </c>
      <c r="AE1159">
        <f>$C1159*AE1158</f>
        <v/>
      </c>
      <c r="AF1159">
        <f>$C1159*AF1158</f>
        <v/>
      </c>
      <c r="AG1159">
        <f>$C1159*AG1158</f>
        <v/>
      </c>
      <c r="AH1159">
        <f>$C1159*AH1158</f>
        <v/>
      </c>
      <c r="AI1159">
        <f>$C1159*AI1158</f>
        <v/>
      </c>
      <c r="AJ1159">
        <f>$C1159*AJ1158</f>
        <v/>
      </c>
      <c r="AK1159">
        <f>$C1159*AK1158</f>
        <v/>
      </c>
      <c r="AL1159">
        <f>$C1159*AL1158</f>
        <v/>
      </c>
      <c r="AM1159">
        <f>$C1159*AM1158</f>
        <v/>
      </c>
      <c r="AN1159">
        <f>$C1159*AN1158</f>
        <v/>
      </c>
      <c r="AO1159">
        <f>$C1159*AO1158</f>
        <v/>
      </c>
      <c r="AP1159">
        <f>$C1159*AP1158</f>
        <v/>
      </c>
      <c r="AQ1159">
        <f>$C1159*AQ1158</f>
        <v/>
      </c>
      <c r="AR1159">
        <f>$C1159*AR1158</f>
        <v/>
      </c>
      <c r="AS1159">
        <f>$C1159*AS1158</f>
        <v/>
      </c>
      <c r="AT1159">
        <f>$C1159*AT1158</f>
        <v/>
      </c>
      <c r="AU1159">
        <f>$C1159*AU1158</f>
        <v/>
      </c>
      <c r="AV1159">
        <f>$C1159*AV1158</f>
        <v/>
      </c>
      <c r="AW1159">
        <f>$C1159*AW1158</f>
        <v/>
      </c>
      <c r="AX1159">
        <f>$C1159*AX1158</f>
        <v/>
      </c>
      <c r="AY1159">
        <f>$C1159*AY1158</f>
        <v/>
      </c>
      <c r="AZ1159">
        <f>$C1159*AZ1158</f>
        <v/>
      </c>
      <c r="BA1159">
        <f>$C1159*BA1158</f>
        <v/>
      </c>
      <c r="BB1159">
        <f>$C1159*BB1158</f>
        <v/>
      </c>
      <c r="BC1159">
        <f>$C1159*BC1158</f>
        <v/>
      </c>
      <c r="BD1159">
        <f>$C1159*BD1158</f>
        <v/>
      </c>
      <c r="BE1159">
        <f>$C1159*BE1158</f>
        <v/>
      </c>
      <c r="BF1159">
        <f>$C1159*BF1158</f>
        <v/>
      </c>
      <c r="BG1159">
        <f>$C1159*BG1158</f>
        <v/>
      </c>
      <c r="BH1159">
        <f>$C1159*BH1158</f>
        <v/>
      </c>
      <c r="BI1159">
        <f>$C1159*BI1158</f>
        <v/>
      </c>
      <c r="BJ1159">
        <f>$C1159*BJ1158</f>
        <v/>
      </c>
      <c r="BK1159">
        <f>$C1159*BK1158</f>
        <v/>
      </c>
      <c r="BL1159">
        <f>$C1159*BL1158</f>
        <v/>
      </c>
      <c r="BM1159">
        <f>$C1159*BM1158</f>
        <v/>
      </c>
      <c r="BN1159">
        <f>$C1159*BN1158</f>
        <v/>
      </c>
      <c r="BO1159">
        <f>$C1159*BO1158</f>
        <v/>
      </c>
      <c r="BP1159">
        <f>$C1159*BP1158</f>
        <v/>
      </c>
      <c r="BQ1159">
        <f>$C1159*BQ1158</f>
        <v/>
      </c>
      <c r="BR1159">
        <f>$C1159*BR1158</f>
        <v/>
      </c>
      <c r="BS1159">
        <f>$C1159*BS1158</f>
        <v/>
      </c>
      <c r="BT1159">
        <f>$C1159*BT1158</f>
        <v/>
      </c>
      <c r="BU1159">
        <f>$C1159*BU1158</f>
        <v/>
      </c>
      <c r="BV1159">
        <f>$C1159*BV1158</f>
        <v/>
      </c>
      <c r="BW1159">
        <f>$C1159*BW1158</f>
        <v/>
      </c>
      <c r="BX1159">
        <f>$C1159*BX1158</f>
        <v/>
      </c>
      <c r="BY1159">
        <f>$C1159*BY1158</f>
        <v/>
      </c>
      <c r="BZ1159">
        <f>$C1159*BZ1158</f>
        <v/>
      </c>
      <c r="CA1159">
        <f>$C1159*CA1158</f>
        <v/>
      </c>
      <c r="CB1159">
        <f>$C1159*CB1158</f>
        <v/>
      </c>
      <c r="CC1159">
        <f>$C1159*CC1158</f>
        <v/>
      </c>
      <c r="CD1159">
        <f>$C1159*CD1158</f>
        <v/>
      </c>
      <c r="CE1159">
        <f>$C1159*CE1158</f>
        <v/>
      </c>
      <c r="CF1159">
        <f>$C1159*CF1158</f>
        <v/>
      </c>
      <c r="CG1159">
        <f>$C1159*CG1158</f>
        <v/>
      </c>
      <c r="CH1159">
        <f>$C1159*CH1158</f>
        <v/>
      </c>
      <c r="CI1159">
        <f>$C1159*CI1158</f>
        <v/>
      </c>
      <c r="CJ1159">
        <f>$C1159*CJ1158</f>
        <v/>
      </c>
      <c r="CK1159">
        <f>$C1159*CK1158</f>
        <v/>
      </c>
      <c r="CL1159">
        <f>$C1159*CL1158</f>
        <v/>
      </c>
      <c r="CM1159">
        <f>$C1159*CM1158</f>
        <v/>
      </c>
      <c r="CN1159">
        <f>$C1159*CN1158</f>
        <v/>
      </c>
      <c r="CO1159">
        <f>$C1159*CO1158</f>
        <v/>
      </c>
      <c r="CP1159">
        <f>$C1159*CP1158</f>
        <v/>
      </c>
      <c r="CQ1159">
        <f>$C1159*CQ1158</f>
        <v/>
      </c>
      <c r="CR1159">
        <f>$C1159*CR1158</f>
        <v/>
      </c>
      <c r="CS1159">
        <f>$C1159*CS1158</f>
        <v/>
      </c>
      <c r="CT1159">
        <f>$C1159*CT1158</f>
        <v/>
      </c>
      <c r="CU1159">
        <f>$C1159*CU1158</f>
        <v/>
      </c>
      <c r="CV1159">
        <f>$C1159*CV1158</f>
        <v/>
      </c>
      <c r="CW1159">
        <f>$C1159*CW1158</f>
        <v/>
      </c>
      <c r="CX1159">
        <f>$C1159*CX1158</f>
        <v/>
      </c>
      <c r="CY1159">
        <f>$C1159*CY1158</f>
        <v/>
      </c>
      <c r="CZ1159">
        <f>$C1159*CZ1158</f>
        <v/>
      </c>
      <c r="DA1159">
        <f>$C1159*DA1158</f>
        <v/>
      </c>
      <c r="DB1159">
        <f>$C1159*DB1158</f>
        <v/>
      </c>
      <c r="DC1159">
        <f>$C1159*DC1158</f>
        <v/>
      </c>
      <c r="DD1159">
        <f>$C1159*DD1158</f>
        <v/>
      </c>
    </row>
    <row r="1160">
      <c r="B1160" t="inlineStr">
        <is>
          <t>TSP-655</t>
        </is>
      </c>
      <c r="C1160" t="inlineStr">
        <is>
          <t>No. of batches</t>
        </is>
      </c>
      <c r="D1160">
        <f>IFERROR(INDEX(E1160:DD1160,$F$1),"")</f>
        <v/>
      </c>
      <c r="E1160">
        <f>IFERROR(INDEX(PP_Grid[#Data],$DE1160,2),0)</f>
        <v/>
      </c>
      <c r="F1160">
        <f>IFERROR(INDEX(PP_Grid[#Data],$DE1160,3),0)</f>
        <v/>
      </c>
      <c r="G1160">
        <f>IFERROR(INDEX(PP_Grid[#Data],$DE1160,4),0)</f>
        <v/>
      </c>
      <c r="H1160">
        <f>IFERROR(INDEX(PP_Grid[#Data],$DE1160,5),0)</f>
        <v/>
      </c>
      <c r="I1160">
        <f>IFERROR(INDEX(PP_Grid[#Data],$DE1160,6),0)</f>
        <v/>
      </c>
      <c r="J1160">
        <f>IFERROR(INDEX(PP_Grid[#Data],$DE1160,7),0)</f>
        <v/>
      </c>
      <c r="K1160">
        <f>IFERROR(INDEX(PP_Grid[#Data],$DE1160,8),0)</f>
        <v/>
      </c>
      <c r="L1160">
        <f>IFERROR(INDEX(PP_Grid[#Data],$DE1160,9),0)</f>
        <v/>
      </c>
      <c r="M1160">
        <f>IFERROR(INDEX(PP_Grid[#Data],$DE1160,10),0)</f>
        <v/>
      </c>
      <c r="N1160">
        <f>IFERROR(INDEX(PP_Grid[#Data],$DE1160,11),0)</f>
        <v/>
      </c>
      <c r="O1160">
        <f>IFERROR(INDEX(PP_Grid[#Data],$DE1160,12),0)</f>
        <v/>
      </c>
      <c r="P1160">
        <f>IFERROR(INDEX(PP_Grid[#Data],$DE1160,13),0)</f>
        <v/>
      </c>
      <c r="Q1160">
        <f>IFERROR(INDEX(PP_Grid[#Data],$DE1160,14),0)</f>
        <v/>
      </c>
      <c r="R1160">
        <f>IFERROR(INDEX(PP_Grid[#Data],$DE1160,15),0)</f>
        <v/>
      </c>
      <c r="S1160">
        <f>IFERROR(INDEX(PP_Grid[#Data],$DE1160,16),0)</f>
        <v/>
      </c>
      <c r="T1160">
        <f>IFERROR(INDEX(PP_Grid[#Data],$DE1160,17),0)</f>
        <v/>
      </c>
      <c r="U1160">
        <f>IFERROR(INDEX(PP_Grid[#Data],$DE1160,18),0)</f>
        <v/>
      </c>
      <c r="V1160">
        <f>IFERROR(INDEX(PP_Grid[#Data],$DE1160,19),0)</f>
        <v/>
      </c>
      <c r="W1160">
        <f>IFERROR(INDEX(PP_Grid[#Data],$DE1160,20),0)</f>
        <v/>
      </c>
      <c r="X1160">
        <f>IFERROR(INDEX(PP_Grid[#Data],$DE1160,21),0)</f>
        <v/>
      </c>
      <c r="Y1160">
        <f>IFERROR(INDEX(PP_Grid[#Data],$DE1160,22),0)</f>
        <v/>
      </c>
      <c r="Z1160">
        <f>IFERROR(INDEX(PP_Grid[#Data],$DE1160,23),0)</f>
        <v/>
      </c>
      <c r="AA1160">
        <f>IFERROR(INDEX(PP_Grid[#Data],$DE1160,24),0)</f>
        <v/>
      </c>
      <c r="AB1160">
        <f>IFERROR(INDEX(PP_Grid[#Data],$DE1160,25),0)</f>
        <v/>
      </c>
      <c r="AC1160">
        <f>IFERROR(INDEX(PP_Grid[#Data],$DE1160,26),0)</f>
        <v/>
      </c>
      <c r="AD1160">
        <f>IFERROR(INDEX(PP_Grid[#Data],$DE1160,27),0)</f>
        <v/>
      </c>
      <c r="AE1160">
        <f>IFERROR(INDEX(PP_Grid[#Data],$DE1160,28),0)</f>
        <v/>
      </c>
      <c r="AF1160">
        <f>IFERROR(INDEX(PP_Grid[#Data],$DE1160,29),0)</f>
        <v/>
      </c>
      <c r="AG1160">
        <f>IFERROR(INDEX(PP_Grid[#Data],$DE1160,30),0)</f>
        <v/>
      </c>
      <c r="AH1160">
        <f>IFERROR(INDEX(PP_Grid[#Data],$DE1160,31),0)</f>
        <v/>
      </c>
      <c r="AI1160">
        <f>IFERROR(INDEX(PP_Grid[#Data],$DE1160,32),0)</f>
        <v/>
      </c>
      <c r="AJ1160">
        <f>IFERROR(INDEX(PP_Grid[#Data],$DE1160,33),0)</f>
        <v/>
      </c>
      <c r="AK1160">
        <f>IFERROR(INDEX(PP_Grid[#Data],$DE1160,34),0)</f>
        <v/>
      </c>
      <c r="AL1160">
        <f>IFERROR(INDEX(PP_Grid[#Data],$DE1160,35),0)</f>
        <v/>
      </c>
      <c r="AM1160">
        <f>IFERROR(INDEX(PP_Grid[#Data],$DE1160,36),0)</f>
        <v/>
      </c>
      <c r="AN1160">
        <f>IFERROR(INDEX(PP_Grid[#Data],$DE1160,37),0)</f>
        <v/>
      </c>
      <c r="AO1160">
        <f>IFERROR(INDEX(PP_Grid[#Data],$DE1160,38),0)</f>
        <v/>
      </c>
      <c r="AP1160">
        <f>IFERROR(INDEX(PP_Grid[#Data],$DE1160,39),0)</f>
        <v/>
      </c>
      <c r="AQ1160">
        <f>IFERROR(INDEX(PP_Grid[#Data],$DE1160,40),0)</f>
        <v/>
      </c>
      <c r="AR1160">
        <f>IFERROR(INDEX(PP_Grid[#Data],$DE1160,41),0)</f>
        <v/>
      </c>
      <c r="AS1160">
        <f>IFERROR(INDEX(PP_Grid[#Data],$DE1160,42),0)</f>
        <v/>
      </c>
      <c r="AT1160">
        <f>IFERROR(INDEX(PP_Grid[#Data],$DE1160,43),0)</f>
        <v/>
      </c>
      <c r="AU1160">
        <f>IFERROR(INDEX(PP_Grid[#Data],$DE1160,44),0)</f>
        <v/>
      </c>
      <c r="AV1160">
        <f>IFERROR(INDEX(PP_Grid[#Data],$DE1160,45),0)</f>
        <v/>
      </c>
      <c r="AW1160">
        <f>IFERROR(INDEX(PP_Grid[#Data],$DE1160,46),0)</f>
        <v/>
      </c>
      <c r="AX1160">
        <f>IFERROR(INDEX(PP_Grid[#Data],$DE1160,47),0)</f>
        <v/>
      </c>
      <c r="AY1160">
        <f>IFERROR(INDEX(PP_Grid[#Data],$DE1160,48),0)</f>
        <v/>
      </c>
      <c r="AZ1160">
        <f>IFERROR(INDEX(PP_Grid[#Data],$DE1160,49),0)</f>
        <v/>
      </c>
      <c r="BA1160">
        <f>IFERROR(INDEX(PP_Grid[#Data],$DE1160,50),0)</f>
        <v/>
      </c>
      <c r="BB1160">
        <f>IFERROR(INDEX(PP_Grid[#Data],$DE1160,51),0)</f>
        <v/>
      </c>
      <c r="BC1160">
        <f>IFERROR(INDEX(PP_Grid[#Data],$DE1160,52),0)</f>
        <v/>
      </c>
      <c r="BD1160">
        <f>IFERROR(INDEX(PP_Grid[#Data],$DE1160,53),0)</f>
        <v/>
      </c>
      <c r="BE1160">
        <f>IFERROR(INDEX(PP_Grid[#Data],$DE1160,54),0)</f>
        <v/>
      </c>
      <c r="BF1160">
        <f>IFERROR(INDEX(PP_Grid[#Data],$DE1160,55),0)</f>
        <v/>
      </c>
      <c r="BG1160">
        <f>IFERROR(INDEX(PP_Grid[#Data],$DE1160,56),0)</f>
        <v/>
      </c>
      <c r="BH1160">
        <f>IFERROR(INDEX(PP_Grid[#Data],$DE1160,57),0)</f>
        <v/>
      </c>
      <c r="BI1160">
        <f>IFERROR(INDEX(PP_Grid[#Data],$DE1160,58),0)</f>
        <v/>
      </c>
      <c r="BJ1160">
        <f>IFERROR(INDEX(PP_Grid[#Data],$DE1160,59),0)</f>
        <v/>
      </c>
      <c r="BK1160">
        <f>IFERROR(INDEX(PP_Grid[#Data],$DE1160,60),0)</f>
        <v/>
      </c>
      <c r="BL1160">
        <f>IFERROR(INDEX(PP_Grid[#Data],$DE1160,61),0)</f>
        <v/>
      </c>
      <c r="BM1160">
        <f>IFERROR(INDEX(PP_Grid[#Data],$DE1160,62),0)</f>
        <v/>
      </c>
      <c r="BN1160">
        <f>IFERROR(INDEX(PP_Grid[#Data],$DE1160,63),0)</f>
        <v/>
      </c>
      <c r="BO1160">
        <f>IFERROR(INDEX(PP_Grid[#Data],$DE1160,64),0)</f>
        <v/>
      </c>
      <c r="BP1160">
        <f>IFERROR(INDEX(PP_Grid[#Data],$DE1160,65),0)</f>
        <v/>
      </c>
      <c r="BQ1160">
        <f>IFERROR(INDEX(PP_Grid[#Data],$DE1160,66),0)</f>
        <v/>
      </c>
      <c r="BR1160">
        <f>IFERROR(INDEX(PP_Grid[#Data],$DE1160,67),0)</f>
        <v/>
      </c>
      <c r="BS1160">
        <f>IFERROR(INDEX(PP_Grid[#Data],$DE1160,68),0)</f>
        <v/>
      </c>
      <c r="BT1160">
        <f>IFERROR(INDEX(PP_Grid[#Data],$DE1160,69),0)</f>
        <v/>
      </c>
      <c r="BU1160">
        <f>IFERROR(INDEX(PP_Grid[#Data],$DE1160,70),0)</f>
        <v/>
      </c>
      <c r="BV1160">
        <f>IFERROR(INDEX(PP_Grid[#Data],$DE1160,71),0)</f>
        <v/>
      </c>
      <c r="BW1160">
        <f>IFERROR(INDEX(PP_Grid[#Data],$DE1160,72),0)</f>
        <v/>
      </c>
      <c r="BX1160">
        <f>IFERROR(INDEX(PP_Grid[#Data],$DE1160,73),0)</f>
        <v/>
      </c>
      <c r="BY1160">
        <f>IFERROR(INDEX(PP_Grid[#Data],$DE1160,74),0)</f>
        <v/>
      </c>
      <c r="BZ1160">
        <f>IFERROR(INDEX(PP_Grid[#Data],$DE1160,75),0)</f>
        <v/>
      </c>
      <c r="CA1160">
        <f>IFERROR(INDEX(PP_Grid[#Data],$DE1160,76),0)</f>
        <v/>
      </c>
      <c r="CB1160">
        <f>IFERROR(INDEX(PP_Grid[#Data],$DE1160,77),0)</f>
        <v/>
      </c>
      <c r="CC1160">
        <f>IFERROR(INDEX(PP_Grid[#Data],$DE1160,78),0)</f>
        <v/>
      </c>
      <c r="CD1160">
        <f>IFERROR(INDEX(PP_Grid[#Data],$DE1160,79),0)</f>
        <v/>
      </c>
      <c r="CE1160">
        <f>IFERROR(INDEX(PP_Grid[#Data],$DE1160,80),0)</f>
        <v/>
      </c>
      <c r="CF1160">
        <f>IFERROR(INDEX(PP_Grid[#Data],$DE1160,81),0)</f>
        <v/>
      </c>
      <c r="CG1160">
        <f>IFERROR(INDEX(PP_Grid[#Data],$DE1160,82),0)</f>
        <v/>
      </c>
      <c r="CH1160">
        <f>IFERROR(INDEX(PP_Grid[#Data],$DE1160,83),0)</f>
        <v/>
      </c>
      <c r="CI1160">
        <f>IFERROR(INDEX(PP_Grid[#Data],$DE1160,84),0)</f>
        <v/>
      </c>
      <c r="CJ1160">
        <f>IFERROR(INDEX(PP_Grid[#Data],$DE1160,85),0)</f>
        <v/>
      </c>
      <c r="CK1160">
        <f>IFERROR(INDEX(PP_Grid[#Data],$DE1160,86),0)</f>
        <v/>
      </c>
      <c r="CL1160">
        <f>IFERROR(INDEX(PP_Grid[#Data],$DE1160,87),0)</f>
        <v/>
      </c>
      <c r="CM1160">
        <f>IFERROR(INDEX(PP_Grid[#Data],$DE1160,88),0)</f>
        <v/>
      </c>
      <c r="CN1160">
        <f>IFERROR(INDEX(PP_Grid[#Data],$DE1160,89),0)</f>
        <v/>
      </c>
      <c r="CO1160">
        <f>IFERROR(INDEX(PP_Grid[#Data],$DE1160,90),0)</f>
        <v/>
      </c>
      <c r="CP1160">
        <f>IFERROR(INDEX(PP_Grid[#Data],$DE1160,91),0)</f>
        <v/>
      </c>
      <c r="CQ1160">
        <f>IFERROR(INDEX(PP_Grid[#Data],$DE1160,92),0)</f>
        <v/>
      </c>
      <c r="CR1160">
        <f>IFERROR(INDEX(PP_Grid[#Data],$DE1160,93),0)</f>
        <v/>
      </c>
      <c r="CS1160">
        <f>IFERROR(INDEX(PP_Grid[#Data],$DE1160,94),0)</f>
        <v/>
      </c>
      <c r="CT1160">
        <f>IFERROR(INDEX(PP_Grid[#Data],$DE1160,95),0)</f>
        <v/>
      </c>
      <c r="CU1160">
        <f>IFERROR(INDEX(PP_Grid[#Data],$DE1160,96),0)</f>
        <v/>
      </c>
      <c r="CV1160">
        <f>IFERROR(INDEX(PP_Grid[#Data],$DE1160,97),0)</f>
        <v/>
      </c>
      <c r="CW1160">
        <f>IFERROR(INDEX(PP_Grid[#Data],$DE1160,98),0)</f>
        <v/>
      </c>
      <c r="CX1160">
        <f>IFERROR(INDEX(PP_Grid[#Data],$DE1160,99),0)</f>
        <v/>
      </c>
      <c r="CY1160">
        <f>IFERROR(INDEX(PP_Grid[#Data],$DE1160,100),0)</f>
        <v/>
      </c>
      <c r="CZ1160">
        <f>IFERROR(INDEX(PP_Grid[#Data],$DE1160,101),0)</f>
        <v/>
      </c>
      <c r="DA1160">
        <f>IFERROR(INDEX(PP_Grid[#Data],$DE1160,102),0)</f>
        <v/>
      </c>
      <c r="DB1160">
        <f>IFERROR(INDEX(PP_Grid[#Data],$DE1160,103),0)</f>
        <v/>
      </c>
      <c r="DC1160">
        <f>IFERROR(INDEX(PP_Grid[#Data],$DE1160,104),0)</f>
        <v/>
      </c>
      <c r="DD1160">
        <f>IFERROR(INDEX(PP_Grid[#Data],$DE1160,105),0)</f>
        <v/>
      </c>
      <c r="DE1160" s="7">
        <f>IFERROR(MATCH($B1160,PP_Grid[Intermediate],0),99999)</f>
        <v/>
      </c>
    </row>
    <row r="1161">
      <c r="B1161" t="inlineStr">
        <is>
          <t>使用量(kg)</t>
        </is>
      </c>
      <c r="C1161">
        <f>SUMIFS(M_BOM[RM_Qty_Per_Batch],M_BOM[Intermediate],$B1160,M_BOM[RM_Code],$A1147)</f>
        <v/>
      </c>
      <c r="D1161">
        <f>IFERROR(INDEX(E1161:DD1161,$F$1),"")</f>
        <v/>
      </c>
      <c r="E1161">
        <f>$C1161*E1160</f>
        <v/>
      </c>
      <c r="F1161">
        <f>$C1161*F1160</f>
        <v/>
      </c>
      <c r="G1161">
        <f>$C1161*G1160</f>
        <v/>
      </c>
      <c r="H1161">
        <f>$C1161*H1160</f>
        <v/>
      </c>
      <c r="I1161">
        <f>$C1161*I1160</f>
        <v/>
      </c>
      <c r="J1161">
        <f>$C1161*J1160</f>
        <v/>
      </c>
      <c r="K1161">
        <f>$C1161*K1160</f>
        <v/>
      </c>
      <c r="L1161">
        <f>$C1161*L1160</f>
        <v/>
      </c>
      <c r="M1161">
        <f>$C1161*M1160</f>
        <v/>
      </c>
      <c r="N1161">
        <f>$C1161*N1160</f>
        <v/>
      </c>
      <c r="O1161">
        <f>$C1161*O1160</f>
        <v/>
      </c>
      <c r="P1161">
        <f>$C1161*P1160</f>
        <v/>
      </c>
      <c r="Q1161">
        <f>$C1161*Q1160</f>
        <v/>
      </c>
      <c r="R1161">
        <f>$C1161*R1160</f>
        <v/>
      </c>
      <c r="S1161">
        <f>$C1161*S1160</f>
        <v/>
      </c>
      <c r="T1161">
        <f>$C1161*T1160</f>
        <v/>
      </c>
      <c r="U1161">
        <f>$C1161*U1160</f>
        <v/>
      </c>
      <c r="V1161">
        <f>$C1161*V1160</f>
        <v/>
      </c>
      <c r="W1161">
        <f>$C1161*W1160</f>
        <v/>
      </c>
      <c r="X1161">
        <f>$C1161*X1160</f>
        <v/>
      </c>
      <c r="Y1161">
        <f>$C1161*Y1160</f>
        <v/>
      </c>
      <c r="Z1161">
        <f>$C1161*Z1160</f>
        <v/>
      </c>
      <c r="AA1161">
        <f>$C1161*AA1160</f>
        <v/>
      </c>
      <c r="AB1161">
        <f>$C1161*AB1160</f>
        <v/>
      </c>
      <c r="AC1161">
        <f>$C1161*AC1160</f>
        <v/>
      </c>
      <c r="AD1161">
        <f>$C1161*AD1160</f>
        <v/>
      </c>
      <c r="AE1161">
        <f>$C1161*AE1160</f>
        <v/>
      </c>
      <c r="AF1161">
        <f>$C1161*AF1160</f>
        <v/>
      </c>
      <c r="AG1161">
        <f>$C1161*AG1160</f>
        <v/>
      </c>
      <c r="AH1161">
        <f>$C1161*AH1160</f>
        <v/>
      </c>
      <c r="AI1161">
        <f>$C1161*AI1160</f>
        <v/>
      </c>
      <c r="AJ1161">
        <f>$C1161*AJ1160</f>
        <v/>
      </c>
      <c r="AK1161">
        <f>$C1161*AK1160</f>
        <v/>
      </c>
      <c r="AL1161">
        <f>$C1161*AL1160</f>
        <v/>
      </c>
      <c r="AM1161">
        <f>$C1161*AM1160</f>
        <v/>
      </c>
      <c r="AN1161">
        <f>$C1161*AN1160</f>
        <v/>
      </c>
      <c r="AO1161">
        <f>$C1161*AO1160</f>
        <v/>
      </c>
      <c r="AP1161">
        <f>$C1161*AP1160</f>
        <v/>
      </c>
      <c r="AQ1161">
        <f>$C1161*AQ1160</f>
        <v/>
      </c>
      <c r="AR1161">
        <f>$C1161*AR1160</f>
        <v/>
      </c>
      <c r="AS1161">
        <f>$C1161*AS1160</f>
        <v/>
      </c>
      <c r="AT1161">
        <f>$C1161*AT1160</f>
        <v/>
      </c>
      <c r="AU1161">
        <f>$C1161*AU1160</f>
        <v/>
      </c>
      <c r="AV1161">
        <f>$C1161*AV1160</f>
        <v/>
      </c>
      <c r="AW1161">
        <f>$C1161*AW1160</f>
        <v/>
      </c>
      <c r="AX1161">
        <f>$C1161*AX1160</f>
        <v/>
      </c>
      <c r="AY1161">
        <f>$C1161*AY1160</f>
        <v/>
      </c>
      <c r="AZ1161">
        <f>$C1161*AZ1160</f>
        <v/>
      </c>
      <c r="BA1161">
        <f>$C1161*BA1160</f>
        <v/>
      </c>
      <c r="BB1161">
        <f>$C1161*BB1160</f>
        <v/>
      </c>
      <c r="BC1161">
        <f>$C1161*BC1160</f>
        <v/>
      </c>
      <c r="BD1161">
        <f>$C1161*BD1160</f>
        <v/>
      </c>
      <c r="BE1161">
        <f>$C1161*BE1160</f>
        <v/>
      </c>
      <c r="BF1161">
        <f>$C1161*BF1160</f>
        <v/>
      </c>
      <c r="BG1161">
        <f>$C1161*BG1160</f>
        <v/>
      </c>
      <c r="BH1161">
        <f>$C1161*BH1160</f>
        <v/>
      </c>
      <c r="BI1161">
        <f>$C1161*BI1160</f>
        <v/>
      </c>
      <c r="BJ1161">
        <f>$C1161*BJ1160</f>
        <v/>
      </c>
      <c r="BK1161">
        <f>$C1161*BK1160</f>
        <v/>
      </c>
      <c r="BL1161">
        <f>$C1161*BL1160</f>
        <v/>
      </c>
      <c r="BM1161">
        <f>$C1161*BM1160</f>
        <v/>
      </c>
      <c r="BN1161">
        <f>$C1161*BN1160</f>
        <v/>
      </c>
      <c r="BO1161">
        <f>$C1161*BO1160</f>
        <v/>
      </c>
      <c r="BP1161">
        <f>$C1161*BP1160</f>
        <v/>
      </c>
      <c r="BQ1161">
        <f>$C1161*BQ1160</f>
        <v/>
      </c>
      <c r="BR1161">
        <f>$C1161*BR1160</f>
        <v/>
      </c>
      <c r="BS1161">
        <f>$C1161*BS1160</f>
        <v/>
      </c>
      <c r="BT1161">
        <f>$C1161*BT1160</f>
        <v/>
      </c>
      <c r="BU1161">
        <f>$C1161*BU1160</f>
        <v/>
      </c>
      <c r="BV1161">
        <f>$C1161*BV1160</f>
        <v/>
      </c>
      <c r="BW1161">
        <f>$C1161*BW1160</f>
        <v/>
      </c>
      <c r="BX1161">
        <f>$C1161*BX1160</f>
        <v/>
      </c>
      <c r="BY1161">
        <f>$C1161*BY1160</f>
        <v/>
      </c>
      <c r="BZ1161">
        <f>$C1161*BZ1160</f>
        <v/>
      </c>
      <c r="CA1161">
        <f>$C1161*CA1160</f>
        <v/>
      </c>
      <c r="CB1161">
        <f>$C1161*CB1160</f>
        <v/>
      </c>
      <c r="CC1161">
        <f>$C1161*CC1160</f>
        <v/>
      </c>
      <c r="CD1161">
        <f>$C1161*CD1160</f>
        <v/>
      </c>
      <c r="CE1161">
        <f>$C1161*CE1160</f>
        <v/>
      </c>
      <c r="CF1161">
        <f>$C1161*CF1160</f>
        <v/>
      </c>
      <c r="CG1161">
        <f>$C1161*CG1160</f>
        <v/>
      </c>
      <c r="CH1161">
        <f>$C1161*CH1160</f>
        <v/>
      </c>
      <c r="CI1161">
        <f>$C1161*CI1160</f>
        <v/>
      </c>
      <c r="CJ1161">
        <f>$C1161*CJ1160</f>
        <v/>
      </c>
      <c r="CK1161">
        <f>$C1161*CK1160</f>
        <v/>
      </c>
      <c r="CL1161">
        <f>$C1161*CL1160</f>
        <v/>
      </c>
      <c r="CM1161">
        <f>$C1161*CM1160</f>
        <v/>
      </c>
      <c r="CN1161">
        <f>$C1161*CN1160</f>
        <v/>
      </c>
      <c r="CO1161">
        <f>$C1161*CO1160</f>
        <v/>
      </c>
      <c r="CP1161">
        <f>$C1161*CP1160</f>
        <v/>
      </c>
      <c r="CQ1161">
        <f>$C1161*CQ1160</f>
        <v/>
      </c>
      <c r="CR1161">
        <f>$C1161*CR1160</f>
        <v/>
      </c>
      <c r="CS1161">
        <f>$C1161*CS1160</f>
        <v/>
      </c>
      <c r="CT1161">
        <f>$C1161*CT1160</f>
        <v/>
      </c>
      <c r="CU1161">
        <f>$C1161*CU1160</f>
        <v/>
      </c>
      <c r="CV1161">
        <f>$C1161*CV1160</f>
        <v/>
      </c>
      <c r="CW1161">
        <f>$C1161*CW1160</f>
        <v/>
      </c>
      <c r="CX1161">
        <f>$C1161*CX1160</f>
        <v/>
      </c>
      <c r="CY1161">
        <f>$C1161*CY1160</f>
        <v/>
      </c>
      <c r="CZ1161">
        <f>$C1161*CZ1160</f>
        <v/>
      </c>
      <c r="DA1161">
        <f>$C1161*DA1160</f>
        <v/>
      </c>
      <c r="DB1161">
        <f>$C1161*DB1160</f>
        <v/>
      </c>
      <c r="DC1161">
        <f>$C1161*DC1160</f>
        <v/>
      </c>
      <c r="DD1161">
        <f>$C1161*DD1160</f>
        <v/>
      </c>
    </row>
    <row r="1162">
      <c r="B1162" t="inlineStr">
        <is>
          <t>TSP-903</t>
        </is>
      </c>
      <c r="C1162" t="inlineStr">
        <is>
          <t>No. of batches</t>
        </is>
      </c>
      <c r="D1162">
        <f>IFERROR(INDEX(E1162:DD1162,$F$1),"")</f>
        <v/>
      </c>
      <c r="E1162">
        <f>IFERROR(INDEX(PP_Grid[#Data],$DE1162,2),0)</f>
        <v/>
      </c>
      <c r="F1162">
        <f>IFERROR(INDEX(PP_Grid[#Data],$DE1162,3),0)</f>
        <v/>
      </c>
      <c r="G1162">
        <f>IFERROR(INDEX(PP_Grid[#Data],$DE1162,4),0)</f>
        <v/>
      </c>
      <c r="H1162">
        <f>IFERROR(INDEX(PP_Grid[#Data],$DE1162,5),0)</f>
        <v/>
      </c>
      <c r="I1162">
        <f>IFERROR(INDEX(PP_Grid[#Data],$DE1162,6),0)</f>
        <v/>
      </c>
      <c r="J1162">
        <f>IFERROR(INDEX(PP_Grid[#Data],$DE1162,7),0)</f>
        <v/>
      </c>
      <c r="K1162">
        <f>IFERROR(INDEX(PP_Grid[#Data],$DE1162,8),0)</f>
        <v/>
      </c>
      <c r="L1162">
        <f>IFERROR(INDEX(PP_Grid[#Data],$DE1162,9),0)</f>
        <v/>
      </c>
      <c r="M1162">
        <f>IFERROR(INDEX(PP_Grid[#Data],$DE1162,10),0)</f>
        <v/>
      </c>
      <c r="N1162">
        <f>IFERROR(INDEX(PP_Grid[#Data],$DE1162,11),0)</f>
        <v/>
      </c>
      <c r="O1162">
        <f>IFERROR(INDEX(PP_Grid[#Data],$DE1162,12),0)</f>
        <v/>
      </c>
      <c r="P1162">
        <f>IFERROR(INDEX(PP_Grid[#Data],$DE1162,13),0)</f>
        <v/>
      </c>
      <c r="Q1162">
        <f>IFERROR(INDEX(PP_Grid[#Data],$DE1162,14),0)</f>
        <v/>
      </c>
      <c r="R1162">
        <f>IFERROR(INDEX(PP_Grid[#Data],$DE1162,15),0)</f>
        <v/>
      </c>
      <c r="S1162">
        <f>IFERROR(INDEX(PP_Grid[#Data],$DE1162,16),0)</f>
        <v/>
      </c>
      <c r="T1162">
        <f>IFERROR(INDEX(PP_Grid[#Data],$DE1162,17),0)</f>
        <v/>
      </c>
      <c r="U1162">
        <f>IFERROR(INDEX(PP_Grid[#Data],$DE1162,18),0)</f>
        <v/>
      </c>
      <c r="V1162">
        <f>IFERROR(INDEX(PP_Grid[#Data],$DE1162,19),0)</f>
        <v/>
      </c>
      <c r="W1162">
        <f>IFERROR(INDEX(PP_Grid[#Data],$DE1162,20),0)</f>
        <v/>
      </c>
      <c r="X1162">
        <f>IFERROR(INDEX(PP_Grid[#Data],$DE1162,21),0)</f>
        <v/>
      </c>
      <c r="Y1162">
        <f>IFERROR(INDEX(PP_Grid[#Data],$DE1162,22),0)</f>
        <v/>
      </c>
      <c r="Z1162">
        <f>IFERROR(INDEX(PP_Grid[#Data],$DE1162,23),0)</f>
        <v/>
      </c>
      <c r="AA1162">
        <f>IFERROR(INDEX(PP_Grid[#Data],$DE1162,24),0)</f>
        <v/>
      </c>
      <c r="AB1162">
        <f>IFERROR(INDEX(PP_Grid[#Data],$DE1162,25),0)</f>
        <v/>
      </c>
      <c r="AC1162">
        <f>IFERROR(INDEX(PP_Grid[#Data],$DE1162,26),0)</f>
        <v/>
      </c>
      <c r="AD1162">
        <f>IFERROR(INDEX(PP_Grid[#Data],$DE1162,27),0)</f>
        <v/>
      </c>
      <c r="AE1162">
        <f>IFERROR(INDEX(PP_Grid[#Data],$DE1162,28),0)</f>
        <v/>
      </c>
      <c r="AF1162">
        <f>IFERROR(INDEX(PP_Grid[#Data],$DE1162,29),0)</f>
        <v/>
      </c>
      <c r="AG1162">
        <f>IFERROR(INDEX(PP_Grid[#Data],$DE1162,30),0)</f>
        <v/>
      </c>
      <c r="AH1162">
        <f>IFERROR(INDEX(PP_Grid[#Data],$DE1162,31),0)</f>
        <v/>
      </c>
      <c r="AI1162">
        <f>IFERROR(INDEX(PP_Grid[#Data],$DE1162,32),0)</f>
        <v/>
      </c>
      <c r="AJ1162">
        <f>IFERROR(INDEX(PP_Grid[#Data],$DE1162,33),0)</f>
        <v/>
      </c>
      <c r="AK1162">
        <f>IFERROR(INDEX(PP_Grid[#Data],$DE1162,34),0)</f>
        <v/>
      </c>
      <c r="AL1162">
        <f>IFERROR(INDEX(PP_Grid[#Data],$DE1162,35),0)</f>
        <v/>
      </c>
      <c r="AM1162">
        <f>IFERROR(INDEX(PP_Grid[#Data],$DE1162,36),0)</f>
        <v/>
      </c>
      <c r="AN1162">
        <f>IFERROR(INDEX(PP_Grid[#Data],$DE1162,37),0)</f>
        <v/>
      </c>
      <c r="AO1162">
        <f>IFERROR(INDEX(PP_Grid[#Data],$DE1162,38),0)</f>
        <v/>
      </c>
      <c r="AP1162">
        <f>IFERROR(INDEX(PP_Grid[#Data],$DE1162,39),0)</f>
        <v/>
      </c>
      <c r="AQ1162">
        <f>IFERROR(INDEX(PP_Grid[#Data],$DE1162,40),0)</f>
        <v/>
      </c>
      <c r="AR1162">
        <f>IFERROR(INDEX(PP_Grid[#Data],$DE1162,41),0)</f>
        <v/>
      </c>
      <c r="AS1162">
        <f>IFERROR(INDEX(PP_Grid[#Data],$DE1162,42),0)</f>
        <v/>
      </c>
      <c r="AT1162">
        <f>IFERROR(INDEX(PP_Grid[#Data],$DE1162,43),0)</f>
        <v/>
      </c>
      <c r="AU1162">
        <f>IFERROR(INDEX(PP_Grid[#Data],$DE1162,44),0)</f>
        <v/>
      </c>
      <c r="AV1162">
        <f>IFERROR(INDEX(PP_Grid[#Data],$DE1162,45),0)</f>
        <v/>
      </c>
      <c r="AW1162">
        <f>IFERROR(INDEX(PP_Grid[#Data],$DE1162,46),0)</f>
        <v/>
      </c>
      <c r="AX1162">
        <f>IFERROR(INDEX(PP_Grid[#Data],$DE1162,47),0)</f>
        <v/>
      </c>
      <c r="AY1162">
        <f>IFERROR(INDEX(PP_Grid[#Data],$DE1162,48),0)</f>
        <v/>
      </c>
      <c r="AZ1162">
        <f>IFERROR(INDEX(PP_Grid[#Data],$DE1162,49),0)</f>
        <v/>
      </c>
      <c r="BA1162">
        <f>IFERROR(INDEX(PP_Grid[#Data],$DE1162,50),0)</f>
        <v/>
      </c>
      <c r="BB1162">
        <f>IFERROR(INDEX(PP_Grid[#Data],$DE1162,51),0)</f>
        <v/>
      </c>
      <c r="BC1162">
        <f>IFERROR(INDEX(PP_Grid[#Data],$DE1162,52),0)</f>
        <v/>
      </c>
      <c r="BD1162">
        <f>IFERROR(INDEX(PP_Grid[#Data],$DE1162,53),0)</f>
        <v/>
      </c>
      <c r="BE1162">
        <f>IFERROR(INDEX(PP_Grid[#Data],$DE1162,54),0)</f>
        <v/>
      </c>
      <c r="BF1162">
        <f>IFERROR(INDEX(PP_Grid[#Data],$DE1162,55),0)</f>
        <v/>
      </c>
      <c r="BG1162">
        <f>IFERROR(INDEX(PP_Grid[#Data],$DE1162,56),0)</f>
        <v/>
      </c>
      <c r="BH1162">
        <f>IFERROR(INDEX(PP_Grid[#Data],$DE1162,57),0)</f>
        <v/>
      </c>
      <c r="BI1162">
        <f>IFERROR(INDEX(PP_Grid[#Data],$DE1162,58),0)</f>
        <v/>
      </c>
      <c r="BJ1162">
        <f>IFERROR(INDEX(PP_Grid[#Data],$DE1162,59),0)</f>
        <v/>
      </c>
      <c r="BK1162">
        <f>IFERROR(INDEX(PP_Grid[#Data],$DE1162,60),0)</f>
        <v/>
      </c>
      <c r="BL1162">
        <f>IFERROR(INDEX(PP_Grid[#Data],$DE1162,61),0)</f>
        <v/>
      </c>
      <c r="BM1162">
        <f>IFERROR(INDEX(PP_Grid[#Data],$DE1162,62),0)</f>
        <v/>
      </c>
      <c r="BN1162">
        <f>IFERROR(INDEX(PP_Grid[#Data],$DE1162,63),0)</f>
        <v/>
      </c>
      <c r="BO1162">
        <f>IFERROR(INDEX(PP_Grid[#Data],$DE1162,64),0)</f>
        <v/>
      </c>
      <c r="BP1162">
        <f>IFERROR(INDEX(PP_Grid[#Data],$DE1162,65),0)</f>
        <v/>
      </c>
      <c r="BQ1162">
        <f>IFERROR(INDEX(PP_Grid[#Data],$DE1162,66),0)</f>
        <v/>
      </c>
      <c r="BR1162">
        <f>IFERROR(INDEX(PP_Grid[#Data],$DE1162,67),0)</f>
        <v/>
      </c>
      <c r="BS1162">
        <f>IFERROR(INDEX(PP_Grid[#Data],$DE1162,68),0)</f>
        <v/>
      </c>
      <c r="BT1162">
        <f>IFERROR(INDEX(PP_Grid[#Data],$DE1162,69),0)</f>
        <v/>
      </c>
      <c r="BU1162">
        <f>IFERROR(INDEX(PP_Grid[#Data],$DE1162,70),0)</f>
        <v/>
      </c>
      <c r="BV1162">
        <f>IFERROR(INDEX(PP_Grid[#Data],$DE1162,71),0)</f>
        <v/>
      </c>
      <c r="BW1162">
        <f>IFERROR(INDEX(PP_Grid[#Data],$DE1162,72),0)</f>
        <v/>
      </c>
      <c r="BX1162">
        <f>IFERROR(INDEX(PP_Grid[#Data],$DE1162,73),0)</f>
        <v/>
      </c>
      <c r="BY1162">
        <f>IFERROR(INDEX(PP_Grid[#Data],$DE1162,74),0)</f>
        <v/>
      </c>
      <c r="BZ1162">
        <f>IFERROR(INDEX(PP_Grid[#Data],$DE1162,75),0)</f>
        <v/>
      </c>
      <c r="CA1162">
        <f>IFERROR(INDEX(PP_Grid[#Data],$DE1162,76),0)</f>
        <v/>
      </c>
      <c r="CB1162">
        <f>IFERROR(INDEX(PP_Grid[#Data],$DE1162,77),0)</f>
        <v/>
      </c>
      <c r="CC1162">
        <f>IFERROR(INDEX(PP_Grid[#Data],$DE1162,78),0)</f>
        <v/>
      </c>
      <c r="CD1162">
        <f>IFERROR(INDEX(PP_Grid[#Data],$DE1162,79),0)</f>
        <v/>
      </c>
      <c r="CE1162">
        <f>IFERROR(INDEX(PP_Grid[#Data],$DE1162,80),0)</f>
        <v/>
      </c>
      <c r="CF1162">
        <f>IFERROR(INDEX(PP_Grid[#Data],$DE1162,81),0)</f>
        <v/>
      </c>
      <c r="CG1162">
        <f>IFERROR(INDEX(PP_Grid[#Data],$DE1162,82),0)</f>
        <v/>
      </c>
      <c r="CH1162">
        <f>IFERROR(INDEX(PP_Grid[#Data],$DE1162,83),0)</f>
        <v/>
      </c>
      <c r="CI1162">
        <f>IFERROR(INDEX(PP_Grid[#Data],$DE1162,84),0)</f>
        <v/>
      </c>
      <c r="CJ1162">
        <f>IFERROR(INDEX(PP_Grid[#Data],$DE1162,85),0)</f>
        <v/>
      </c>
      <c r="CK1162">
        <f>IFERROR(INDEX(PP_Grid[#Data],$DE1162,86),0)</f>
        <v/>
      </c>
      <c r="CL1162">
        <f>IFERROR(INDEX(PP_Grid[#Data],$DE1162,87),0)</f>
        <v/>
      </c>
      <c r="CM1162">
        <f>IFERROR(INDEX(PP_Grid[#Data],$DE1162,88),0)</f>
        <v/>
      </c>
      <c r="CN1162">
        <f>IFERROR(INDEX(PP_Grid[#Data],$DE1162,89),0)</f>
        <v/>
      </c>
      <c r="CO1162">
        <f>IFERROR(INDEX(PP_Grid[#Data],$DE1162,90),0)</f>
        <v/>
      </c>
      <c r="CP1162">
        <f>IFERROR(INDEX(PP_Grid[#Data],$DE1162,91),0)</f>
        <v/>
      </c>
      <c r="CQ1162">
        <f>IFERROR(INDEX(PP_Grid[#Data],$DE1162,92),0)</f>
        <v/>
      </c>
      <c r="CR1162">
        <f>IFERROR(INDEX(PP_Grid[#Data],$DE1162,93),0)</f>
        <v/>
      </c>
      <c r="CS1162">
        <f>IFERROR(INDEX(PP_Grid[#Data],$DE1162,94),0)</f>
        <v/>
      </c>
      <c r="CT1162">
        <f>IFERROR(INDEX(PP_Grid[#Data],$DE1162,95),0)</f>
        <v/>
      </c>
      <c r="CU1162">
        <f>IFERROR(INDEX(PP_Grid[#Data],$DE1162,96),0)</f>
        <v/>
      </c>
      <c r="CV1162">
        <f>IFERROR(INDEX(PP_Grid[#Data],$DE1162,97),0)</f>
        <v/>
      </c>
      <c r="CW1162">
        <f>IFERROR(INDEX(PP_Grid[#Data],$DE1162,98),0)</f>
        <v/>
      </c>
      <c r="CX1162">
        <f>IFERROR(INDEX(PP_Grid[#Data],$DE1162,99),0)</f>
        <v/>
      </c>
      <c r="CY1162">
        <f>IFERROR(INDEX(PP_Grid[#Data],$DE1162,100),0)</f>
        <v/>
      </c>
      <c r="CZ1162">
        <f>IFERROR(INDEX(PP_Grid[#Data],$DE1162,101),0)</f>
        <v/>
      </c>
      <c r="DA1162">
        <f>IFERROR(INDEX(PP_Grid[#Data],$DE1162,102),0)</f>
        <v/>
      </c>
      <c r="DB1162">
        <f>IFERROR(INDEX(PP_Grid[#Data],$DE1162,103),0)</f>
        <v/>
      </c>
      <c r="DC1162">
        <f>IFERROR(INDEX(PP_Grid[#Data],$DE1162,104),0)</f>
        <v/>
      </c>
      <c r="DD1162">
        <f>IFERROR(INDEX(PP_Grid[#Data],$DE1162,105),0)</f>
        <v/>
      </c>
      <c r="DE1162" s="7">
        <f>IFERROR(MATCH($B1162,PP_Grid[Intermediate],0),99999)</f>
        <v/>
      </c>
    </row>
    <row r="1163">
      <c r="B1163" t="inlineStr">
        <is>
          <t>使用量(kg)</t>
        </is>
      </c>
      <c r="C1163">
        <f>SUMIFS(M_BOM[RM_Qty_Per_Batch],M_BOM[Intermediate],$B1162,M_BOM[RM_Code],$A1147)</f>
        <v/>
      </c>
      <c r="D1163">
        <f>IFERROR(INDEX(E1163:DD1163,$F$1),"")</f>
        <v/>
      </c>
      <c r="E1163">
        <f>$C1163*E1162</f>
        <v/>
      </c>
      <c r="F1163">
        <f>$C1163*F1162</f>
        <v/>
      </c>
      <c r="G1163">
        <f>$C1163*G1162</f>
        <v/>
      </c>
      <c r="H1163">
        <f>$C1163*H1162</f>
        <v/>
      </c>
      <c r="I1163">
        <f>$C1163*I1162</f>
        <v/>
      </c>
      <c r="J1163">
        <f>$C1163*J1162</f>
        <v/>
      </c>
      <c r="K1163">
        <f>$C1163*K1162</f>
        <v/>
      </c>
      <c r="L1163">
        <f>$C1163*L1162</f>
        <v/>
      </c>
      <c r="M1163">
        <f>$C1163*M1162</f>
        <v/>
      </c>
      <c r="N1163">
        <f>$C1163*N1162</f>
        <v/>
      </c>
      <c r="O1163">
        <f>$C1163*O1162</f>
        <v/>
      </c>
      <c r="P1163">
        <f>$C1163*P1162</f>
        <v/>
      </c>
      <c r="Q1163">
        <f>$C1163*Q1162</f>
        <v/>
      </c>
      <c r="R1163">
        <f>$C1163*R1162</f>
        <v/>
      </c>
      <c r="S1163">
        <f>$C1163*S1162</f>
        <v/>
      </c>
      <c r="T1163">
        <f>$C1163*T1162</f>
        <v/>
      </c>
      <c r="U1163">
        <f>$C1163*U1162</f>
        <v/>
      </c>
      <c r="V1163">
        <f>$C1163*V1162</f>
        <v/>
      </c>
      <c r="W1163">
        <f>$C1163*W1162</f>
        <v/>
      </c>
      <c r="X1163">
        <f>$C1163*X1162</f>
        <v/>
      </c>
      <c r="Y1163">
        <f>$C1163*Y1162</f>
        <v/>
      </c>
      <c r="Z1163">
        <f>$C1163*Z1162</f>
        <v/>
      </c>
      <c r="AA1163">
        <f>$C1163*AA1162</f>
        <v/>
      </c>
      <c r="AB1163">
        <f>$C1163*AB1162</f>
        <v/>
      </c>
      <c r="AC1163">
        <f>$C1163*AC1162</f>
        <v/>
      </c>
      <c r="AD1163">
        <f>$C1163*AD1162</f>
        <v/>
      </c>
      <c r="AE1163">
        <f>$C1163*AE1162</f>
        <v/>
      </c>
      <c r="AF1163">
        <f>$C1163*AF1162</f>
        <v/>
      </c>
      <c r="AG1163">
        <f>$C1163*AG1162</f>
        <v/>
      </c>
      <c r="AH1163">
        <f>$C1163*AH1162</f>
        <v/>
      </c>
      <c r="AI1163">
        <f>$C1163*AI1162</f>
        <v/>
      </c>
      <c r="AJ1163">
        <f>$C1163*AJ1162</f>
        <v/>
      </c>
      <c r="AK1163">
        <f>$C1163*AK1162</f>
        <v/>
      </c>
      <c r="AL1163">
        <f>$C1163*AL1162</f>
        <v/>
      </c>
      <c r="AM1163">
        <f>$C1163*AM1162</f>
        <v/>
      </c>
      <c r="AN1163">
        <f>$C1163*AN1162</f>
        <v/>
      </c>
      <c r="AO1163">
        <f>$C1163*AO1162</f>
        <v/>
      </c>
      <c r="AP1163">
        <f>$C1163*AP1162</f>
        <v/>
      </c>
      <c r="AQ1163">
        <f>$C1163*AQ1162</f>
        <v/>
      </c>
      <c r="AR1163">
        <f>$C1163*AR1162</f>
        <v/>
      </c>
      <c r="AS1163">
        <f>$C1163*AS1162</f>
        <v/>
      </c>
      <c r="AT1163">
        <f>$C1163*AT1162</f>
        <v/>
      </c>
      <c r="AU1163">
        <f>$C1163*AU1162</f>
        <v/>
      </c>
      <c r="AV1163">
        <f>$C1163*AV1162</f>
        <v/>
      </c>
      <c r="AW1163">
        <f>$C1163*AW1162</f>
        <v/>
      </c>
      <c r="AX1163">
        <f>$C1163*AX1162</f>
        <v/>
      </c>
      <c r="AY1163">
        <f>$C1163*AY1162</f>
        <v/>
      </c>
      <c r="AZ1163">
        <f>$C1163*AZ1162</f>
        <v/>
      </c>
      <c r="BA1163">
        <f>$C1163*BA1162</f>
        <v/>
      </c>
      <c r="BB1163">
        <f>$C1163*BB1162</f>
        <v/>
      </c>
      <c r="BC1163">
        <f>$C1163*BC1162</f>
        <v/>
      </c>
      <c r="BD1163">
        <f>$C1163*BD1162</f>
        <v/>
      </c>
      <c r="BE1163">
        <f>$C1163*BE1162</f>
        <v/>
      </c>
      <c r="BF1163">
        <f>$C1163*BF1162</f>
        <v/>
      </c>
      <c r="BG1163">
        <f>$C1163*BG1162</f>
        <v/>
      </c>
      <c r="BH1163">
        <f>$C1163*BH1162</f>
        <v/>
      </c>
      <c r="BI1163">
        <f>$C1163*BI1162</f>
        <v/>
      </c>
      <c r="BJ1163">
        <f>$C1163*BJ1162</f>
        <v/>
      </c>
      <c r="BK1163">
        <f>$C1163*BK1162</f>
        <v/>
      </c>
      <c r="BL1163">
        <f>$C1163*BL1162</f>
        <v/>
      </c>
      <c r="BM1163">
        <f>$C1163*BM1162</f>
        <v/>
      </c>
      <c r="BN1163">
        <f>$C1163*BN1162</f>
        <v/>
      </c>
      <c r="BO1163">
        <f>$C1163*BO1162</f>
        <v/>
      </c>
      <c r="BP1163">
        <f>$C1163*BP1162</f>
        <v/>
      </c>
      <c r="BQ1163">
        <f>$C1163*BQ1162</f>
        <v/>
      </c>
      <c r="BR1163">
        <f>$C1163*BR1162</f>
        <v/>
      </c>
      <c r="BS1163">
        <f>$C1163*BS1162</f>
        <v/>
      </c>
      <c r="BT1163">
        <f>$C1163*BT1162</f>
        <v/>
      </c>
      <c r="BU1163">
        <f>$C1163*BU1162</f>
        <v/>
      </c>
      <c r="BV1163">
        <f>$C1163*BV1162</f>
        <v/>
      </c>
      <c r="BW1163">
        <f>$C1163*BW1162</f>
        <v/>
      </c>
      <c r="BX1163">
        <f>$C1163*BX1162</f>
        <v/>
      </c>
      <c r="BY1163">
        <f>$C1163*BY1162</f>
        <v/>
      </c>
      <c r="BZ1163">
        <f>$C1163*BZ1162</f>
        <v/>
      </c>
      <c r="CA1163">
        <f>$C1163*CA1162</f>
        <v/>
      </c>
      <c r="CB1163">
        <f>$C1163*CB1162</f>
        <v/>
      </c>
      <c r="CC1163">
        <f>$C1163*CC1162</f>
        <v/>
      </c>
      <c r="CD1163">
        <f>$C1163*CD1162</f>
        <v/>
      </c>
      <c r="CE1163">
        <f>$C1163*CE1162</f>
        <v/>
      </c>
      <c r="CF1163">
        <f>$C1163*CF1162</f>
        <v/>
      </c>
      <c r="CG1163">
        <f>$C1163*CG1162</f>
        <v/>
      </c>
      <c r="CH1163">
        <f>$C1163*CH1162</f>
        <v/>
      </c>
      <c r="CI1163">
        <f>$C1163*CI1162</f>
        <v/>
      </c>
      <c r="CJ1163">
        <f>$C1163*CJ1162</f>
        <v/>
      </c>
      <c r="CK1163">
        <f>$C1163*CK1162</f>
        <v/>
      </c>
      <c r="CL1163">
        <f>$C1163*CL1162</f>
        <v/>
      </c>
      <c r="CM1163">
        <f>$C1163*CM1162</f>
        <v/>
      </c>
      <c r="CN1163">
        <f>$C1163*CN1162</f>
        <v/>
      </c>
      <c r="CO1163">
        <f>$C1163*CO1162</f>
        <v/>
      </c>
      <c r="CP1163">
        <f>$C1163*CP1162</f>
        <v/>
      </c>
      <c r="CQ1163">
        <f>$C1163*CQ1162</f>
        <v/>
      </c>
      <c r="CR1163">
        <f>$C1163*CR1162</f>
        <v/>
      </c>
      <c r="CS1163">
        <f>$C1163*CS1162</f>
        <v/>
      </c>
      <c r="CT1163">
        <f>$C1163*CT1162</f>
        <v/>
      </c>
      <c r="CU1163">
        <f>$C1163*CU1162</f>
        <v/>
      </c>
      <c r="CV1163">
        <f>$C1163*CV1162</f>
        <v/>
      </c>
      <c r="CW1163">
        <f>$C1163*CW1162</f>
        <v/>
      </c>
      <c r="CX1163">
        <f>$C1163*CX1162</f>
        <v/>
      </c>
      <c r="CY1163">
        <f>$C1163*CY1162</f>
        <v/>
      </c>
      <c r="CZ1163">
        <f>$C1163*CZ1162</f>
        <v/>
      </c>
      <c r="DA1163">
        <f>$C1163*DA1162</f>
        <v/>
      </c>
      <c r="DB1163">
        <f>$C1163*DB1162</f>
        <v/>
      </c>
      <c r="DC1163">
        <f>$C1163*DC1162</f>
        <v/>
      </c>
      <c r="DD1163">
        <f>$C1163*DD1162</f>
        <v/>
      </c>
    </row>
    <row r="1164">
      <c r="B1164" t="inlineStr">
        <is>
          <t>TSP-934</t>
        </is>
      </c>
      <c r="C1164" t="inlineStr">
        <is>
          <t>No. of batches</t>
        </is>
      </c>
      <c r="D1164">
        <f>IFERROR(INDEX(E1164:DD1164,$F$1),"")</f>
        <v/>
      </c>
      <c r="E1164">
        <f>IFERROR(INDEX(PP_Grid[#Data],$DE1164,2),0)</f>
        <v/>
      </c>
      <c r="F1164">
        <f>IFERROR(INDEX(PP_Grid[#Data],$DE1164,3),0)</f>
        <v/>
      </c>
      <c r="G1164">
        <f>IFERROR(INDEX(PP_Grid[#Data],$DE1164,4),0)</f>
        <v/>
      </c>
      <c r="H1164">
        <f>IFERROR(INDEX(PP_Grid[#Data],$DE1164,5),0)</f>
        <v/>
      </c>
      <c r="I1164">
        <f>IFERROR(INDEX(PP_Grid[#Data],$DE1164,6),0)</f>
        <v/>
      </c>
      <c r="J1164">
        <f>IFERROR(INDEX(PP_Grid[#Data],$DE1164,7),0)</f>
        <v/>
      </c>
      <c r="K1164">
        <f>IFERROR(INDEX(PP_Grid[#Data],$DE1164,8),0)</f>
        <v/>
      </c>
      <c r="L1164">
        <f>IFERROR(INDEX(PP_Grid[#Data],$DE1164,9),0)</f>
        <v/>
      </c>
      <c r="M1164">
        <f>IFERROR(INDEX(PP_Grid[#Data],$DE1164,10),0)</f>
        <v/>
      </c>
      <c r="N1164">
        <f>IFERROR(INDEX(PP_Grid[#Data],$DE1164,11),0)</f>
        <v/>
      </c>
      <c r="O1164">
        <f>IFERROR(INDEX(PP_Grid[#Data],$DE1164,12),0)</f>
        <v/>
      </c>
      <c r="P1164">
        <f>IFERROR(INDEX(PP_Grid[#Data],$DE1164,13),0)</f>
        <v/>
      </c>
      <c r="Q1164">
        <f>IFERROR(INDEX(PP_Grid[#Data],$DE1164,14),0)</f>
        <v/>
      </c>
      <c r="R1164">
        <f>IFERROR(INDEX(PP_Grid[#Data],$DE1164,15),0)</f>
        <v/>
      </c>
      <c r="S1164">
        <f>IFERROR(INDEX(PP_Grid[#Data],$DE1164,16),0)</f>
        <v/>
      </c>
      <c r="T1164">
        <f>IFERROR(INDEX(PP_Grid[#Data],$DE1164,17),0)</f>
        <v/>
      </c>
      <c r="U1164">
        <f>IFERROR(INDEX(PP_Grid[#Data],$DE1164,18),0)</f>
        <v/>
      </c>
      <c r="V1164">
        <f>IFERROR(INDEX(PP_Grid[#Data],$DE1164,19),0)</f>
        <v/>
      </c>
      <c r="W1164">
        <f>IFERROR(INDEX(PP_Grid[#Data],$DE1164,20),0)</f>
        <v/>
      </c>
      <c r="X1164">
        <f>IFERROR(INDEX(PP_Grid[#Data],$DE1164,21),0)</f>
        <v/>
      </c>
      <c r="Y1164">
        <f>IFERROR(INDEX(PP_Grid[#Data],$DE1164,22),0)</f>
        <v/>
      </c>
      <c r="Z1164">
        <f>IFERROR(INDEX(PP_Grid[#Data],$DE1164,23),0)</f>
        <v/>
      </c>
      <c r="AA1164">
        <f>IFERROR(INDEX(PP_Grid[#Data],$DE1164,24),0)</f>
        <v/>
      </c>
      <c r="AB1164">
        <f>IFERROR(INDEX(PP_Grid[#Data],$DE1164,25),0)</f>
        <v/>
      </c>
      <c r="AC1164">
        <f>IFERROR(INDEX(PP_Grid[#Data],$DE1164,26),0)</f>
        <v/>
      </c>
      <c r="AD1164">
        <f>IFERROR(INDEX(PP_Grid[#Data],$DE1164,27),0)</f>
        <v/>
      </c>
      <c r="AE1164">
        <f>IFERROR(INDEX(PP_Grid[#Data],$DE1164,28),0)</f>
        <v/>
      </c>
      <c r="AF1164">
        <f>IFERROR(INDEX(PP_Grid[#Data],$DE1164,29),0)</f>
        <v/>
      </c>
      <c r="AG1164">
        <f>IFERROR(INDEX(PP_Grid[#Data],$DE1164,30),0)</f>
        <v/>
      </c>
      <c r="AH1164">
        <f>IFERROR(INDEX(PP_Grid[#Data],$DE1164,31),0)</f>
        <v/>
      </c>
      <c r="AI1164">
        <f>IFERROR(INDEX(PP_Grid[#Data],$DE1164,32),0)</f>
        <v/>
      </c>
      <c r="AJ1164">
        <f>IFERROR(INDEX(PP_Grid[#Data],$DE1164,33),0)</f>
        <v/>
      </c>
      <c r="AK1164">
        <f>IFERROR(INDEX(PP_Grid[#Data],$DE1164,34),0)</f>
        <v/>
      </c>
      <c r="AL1164">
        <f>IFERROR(INDEX(PP_Grid[#Data],$DE1164,35),0)</f>
        <v/>
      </c>
      <c r="AM1164">
        <f>IFERROR(INDEX(PP_Grid[#Data],$DE1164,36),0)</f>
        <v/>
      </c>
      <c r="AN1164">
        <f>IFERROR(INDEX(PP_Grid[#Data],$DE1164,37),0)</f>
        <v/>
      </c>
      <c r="AO1164">
        <f>IFERROR(INDEX(PP_Grid[#Data],$DE1164,38),0)</f>
        <v/>
      </c>
      <c r="AP1164">
        <f>IFERROR(INDEX(PP_Grid[#Data],$DE1164,39),0)</f>
        <v/>
      </c>
      <c r="AQ1164">
        <f>IFERROR(INDEX(PP_Grid[#Data],$DE1164,40),0)</f>
        <v/>
      </c>
      <c r="AR1164">
        <f>IFERROR(INDEX(PP_Grid[#Data],$DE1164,41),0)</f>
        <v/>
      </c>
      <c r="AS1164">
        <f>IFERROR(INDEX(PP_Grid[#Data],$DE1164,42),0)</f>
        <v/>
      </c>
      <c r="AT1164">
        <f>IFERROR(INDEX(PP_Grid[#Data],$DE1164,43),0)</f>
        <v/>
      </c>
      <c r="AU1164">
        <f>IFERROR(INDEX(PP_Grid[#Data],$DE1164,44),0)</f>
        <v/>
      </c>
      <c r="AV1164">
        <f>IFERROR(INDEX(PP_Grid[#Data],$DE1164,45),0)</f>
        <v/>
      </c>
      <c r="AW1164">
        <f>IFERROR(INDEX(PP_Grid[#Data],$DE1164,46),0)</f>
        <v/>
      </c>
      <c r="AX1164">
        <f>IFERROR(INDEX(PP_Grid[#Data],$DE1164,47),0)</f>
        <v/>
      </c>
      <c r="AY1164">
        <f>IFERROR(INDEX(PP_Grid[#Data],$DE1164,48),0)</f>
        <v/>
      </c>
      <c r="AZ1164">
        <f>IFERROR(INDEX(PP_Grid[#Data],$DE1164,49),0)</f>
        <v/>
      </c>
      <c r="BA1164">
        <f>IFERROR(INDEX(PP_Grid[#Data],$DE1164,50),0)</f>
        <v/>
      </c>
      <c r="BB1164">
        <f>IFERROR(INDEX(PP_Grid[#Data],$DE1164,51),0)</f>
        <v/>
      </c>
      <c r="BC1164">
        <f>IFERROR(INDEX(PP_Grid[#Data],$DE1164,52),0)</f>
        <v/>
      </c>
      <c r="BD1164">
        <f>IFERROR(INDEX(PP_Grid[#Data],$DE1164,53),0)</f>
        <v/>
      </c>
      <c r="BE1164">
        <f>IFERROR(INDEX(PP_Grid[#Data],$DE1164,54),0)</f>
        <v/>
      </c>
      <c r="BF1164">
        <f>IFERROR(INDEX(PP_Grid[#Data],$DE1164,55),0)</f>
        <v/>
      </c>
      <c r="BG1164">
        <f>IFERROR(INDEX(PP_Grid[#Data],$DE1164,56),0)</f>
        <v/>
      </c>
      <c r="BH1164">
        <f>IFERROR(INDEX(PP_Grid[#Data],$DE1164,57),0)</f>
        <v/>
      </c>
      <c r="BI1164">
        <f>IFERROR(INDEX(PP_Grid[#Data],$DE1164,58),0)</f>
        <v/>
      </c>
      <c r="BJ1164">
        <f>IFERROR(INDEX(PP_Grid[#Data],$DE1164,59),0)</f>
        <v/>
      </c>
      <c r="BK1164">
        <f>IFERROR(INDEX(PP_Grid[#Data],$DE1164,60),0)</f>
        <v/>
      </c>
      <c r="BL1164">
        <f>IFERROR(INDEX(PP_Grid[#Data],$DE1164,61),0)</f>
        <v/>
      </c>
      <c r="BM1164">
        <f>IFERROR(INDEX(PP_Grid[#Data],$DE1164,62),0)</f>
        <v/>
      </c>
      <c r="BN1164">
        <f>IFERROR(INDEX(PP_Grid[#Data],$DE1164,63),0)</f>
        <v/>
      </c>
      <c r="BO1164">
        <f>IFERROR(INDEX(PP_Grid[#Data],$DE1164,64),0)</f>
        <v/>
      </c>
      <c r="BP1164">
        <f>IFERROR(INDEX(PP_Grid[#Data],$DE1164,65),0)</f>
        <v/>
      </c>
      <c r="BQ1164">
        <f>IFERROR(INDEX(PP_Grid[#Data],$DE1164,66),0)</f>
        <v/>
      </c>
      <c r="BR1164">
        <f>IFERROR(INDEX(PP_Grid[#Data],$DE1164,67),0)</f>
        <v/>
      </c>
      <c r="BS1164">
        <f>IFERROR(INDEX(PP_Grid[#Data],$DE1164,68),0)</f>
        <v/>
      </c>
      <c r="BT1164">
        <f>IFERROR(INDEX(PP_Grid[#Data],$DE1164,69),0)</f>
        <v/>
      </c>
      <c r="BU1164">
        <f>IFERROR(INDEX(PP_Grid[#Data],$DE1164,70),0)</f>
        <v/>
      </c>
      <c r="BV1164">
        <f>IFERROR(INDEX(PP_Grid[#Data],$DE1164,71),0)</f>
        <v/>
      </c>
      <c r="BW1164">
        <f>IFERROR(INDEX(PP_Grid[#Data],$DE1164,72),0)</f>
        <v/>
      </c>
      <c r="BX1164">
        <f>IFERROR(INDEX(PP_Grid[#Data],$DE1164,73),0)</f>
        <v/>
      </c>
      <c r="BY1164">
        <f>IFERROR(INDEX(PP_Grid[#Data],$DE1164,74),0)</f>
        <v/>
      </c>
      <c r="BZ1164">
        <f>IFERROR(INDEX(PP_Grid[#Data],$DE1164,75),0)</f>
        <v/>
      </c>
      <c r="CA1164">
        <f>IFERROR(INDEX(PP_Grid[#Data],$DE1164,76),0)</f>
        <v/>
      </c>
      <c r="CB1164">
        <f>IFERROR(INDEX(PP_Grid[#Data],$DE1164,77),0)</f>
        <v/>
      </c>
      <c r="CC1164">
        <f>IFERROR(INDEX(PP_Grid[#Data],$DE1164,78),0)</f>
        <v/>
      </c>
      <c r="CD1164">
        <f>IFERROR(INDEX(PP_Grid[#Data],$DE1164,79),0)</f>
        <v/>
      </c>
      <c r="CE1164">
        <f>IFERROR(INDEX(PP_Grid[#Data],$DE1164,80),0)</f>
        <v/>
      </c>
      <c r="CF1164">
        <f>IFERROR(INDEX(PP_Grid[#Data],$DE1164,81),0)</f>
        <v/>
      </c>
      <c r="CG1164">
        <f>IFERROR(INDEX(PP_Grid[#Data],$DE1164,82),0)</f>
        <v/>
      </c>
      <c r="CH1164">
        <f>IFERROR(INDEX(PP_Grid[#Data],$DE1164,83),0)</f>
        <v/>
      </c>
      <c r="CI1164">
        <f>IFERROR(INDEX(PP_Grid[#Data],$DE1164,84),0)</f>
        <v/>
      </c>
      <c r="CJ1164">
        <f>IFERROR(INDEX(PP_Grid[#Data],$DE1164,85),0)</f>
        <v/>
      </c>
      <c r="CK1164">
        <f>IFERROR(INDEX(PP_Grid[#Data],$DE1164,86),0)</f>
        <v/>
      </c>
      <c r="CL1164">
        <f>IFERROR(INDEX(PP_Grid[#Data],$DE1164,87),0)</f>
        <v/>
      </c>
      <c r="CM1164">
        <f>IFERROR(INDEX(PP_Grid[#Data],$DE1164,88),0)</f>
        <v/>
      </c>
      <c r="CN1164">
        <f>IFERROR(INDEX(PP_Grid[#Data],$DE1164,89),0)</f>
        <v/>
      </c>
      <c r="CO1164">
        <f>IFERROR(INDEX(PP_Grid[#Data],$DE1164,90),0)</f>
        <v/>
      </c>
      <c r="CP1164">
        <f>IFERROR(INDEX(PP_Grid[#Data],$DE1164,91),0)</f>
        <v/>
      </c>
      <c r="CQ1164">
        <f>IFERROR(INDEX(PP_Grid[#Data],$DE1164,92),0)</f>
        <v/>
      </c>
      <c r="CR1164">
        <f>IFERROR(INDEX(PP_Grid[#Data],$DE1164,93),0)</f>
        <v/>
      </c>
      <c r="CS1164">
        <f>IFERROR(INDEX(PP_Grid[#Data],$DE1164,94),0)</f>
        <v/>
      </c>
      <c r="CT1164">
        <f>IFERROR(INDEX(PP_Grid[#Data],$DE1164,95),0)</f>
        <v/>
      </c>
      <c r="CU1164">
        <f>IFERROR(INDEX(PP_Grid[#Data],$DE1164,96),0)</f>
        <v/>
      </c>
      <c r="CV1164">
        <f>IFERROR(INDEX(PP_Grid[#Data],$DE1164,97),0)</f>
        <v/>
      </c>
      <c r="CW1164">
        <f>IFERROR(INDEX(PP_Grid[#Data],$DE1164,98),0)</f>
        <v/>
      </c>
      <c r="CX1164">
        <f>IFERROR(INDEX(PP_Grid[#Data],$DE1164,99),0)</f>
        <v/>
      </c>
      <c r="CY1164">
        <f>IFERROR(INDEX(PP_Grid[#Data],$DE1164,100),0)</f>
        <v/>
      </c>
      <c r="CZ1164">
        <f>IFERROR(INDEX(PP_Grid[#Data],$DE1164,101),0)</f>
        <v/>
      </c>
      <c r="DA1164">
        <f>IFERROR(INDEX(PP_Grid[#Data],$DE1164,102),0)</f>
        <v/>
      </c>
      <c r="DB1164">
        <f>IFERROR(INDEX(PP_Grid[#Data],$DE1164,103),0)</f>
        <v/>
      </c>
      <c r="DC1164">
        <f>IFERROR(INDEX(PP_Grid[#Data],$DE1164,104),0)</f>
        <v/>
      </c>
      <c r="DD1164">
        <f>IFERROR(INDEX(PP_Grid[#Data],$DE1164,105),0)</f>
        <v/>
      </c>
      <c r="DE1164" s="7">
        <f>IFERROR(MATCH($B1164,PP_Grid[Intermediate],0),99999)</f>
        <v/>
      </c>
    </row>
    <row r="1165">
      <c r="B1165" t="inlineStr">
        <is>
          <t>使用量(kg)</t>
        </is>
      </c>
      <c r="C1165">
        <f>SUMIFS(M_BOM[RM_Qty_Per_Batch],M_BOM[Intermediate],$B1164,M_BOM[RM_Code],$A1147)</f>
        <v/>
      </c>
      <c r="D1165">
        <f>IFERROR(INDEX(E1165:DD1165,$F$1),"")</f>
        <v/>
      </c>
      <c r="E1165">
        <f>$C1165*E1164</f>
        <v/>
      </c>
      <c r="F1165">
        <f>$C1165*F1164</f>
        <v/>
      </c>
      <c r="G1165">
        <f>$C1165*G1164</f>
        <v/>
      </c>
      <c r="H1165">
        <f>$C1165*H1164</f>
        <v/>
      </c>
      <c r="I1165">
        <f>$C1165*I1164</f>
        <v/>
      </c>
      <c r="J1165">
        <f>$C1165*J1164</f>
        <v/>
      </c>
      <c r="K1165">
        <f>$C1165*K1164</f>
        <v/>
      </c>
      <c r="L1165">
        <f>$C1165*L1164</f>
        <v/>
      </c>
      <c r="M1165">
        <f>$C1165*M1164</f>
        <v/>
      </c>
      <c r="N1165">
        <f>$C1165*N1164</f>
        <v/>
      </c>
      <c r="O1165">
        <f>$C1165*O1164</f>
        <v/>
      </c>
      <c r="P1165">
        <f>$C1165*P1164</f>
        <v/>
      </c>
      <c r="Q1165">
        <f>$C1165*Q1164</f>
        <v/>
      </c>
      <c r="R1165">
        <f>$C1165*R1164</f>
        <v/>
      </c>
      <c r="S1165">
        <f>$C1165*S1164</f>
        <v/>
      </c>
      <c r="T1165">
        <f>$C1165*T1164</f>
        <v/>
      </c>
      <c r="U1165">
        <f>$C1165*U1164</f>
        <v/>
      </c>
      <c r="V1165">
        <f>$C1165*V1164</f>
        <v/>
      </c>
      <c r="W1165">
        <f>$C1165*W1164</f>
        <v/>
      </c>
      <c r="X1165">
        <f>$C1165*X1164</f>
        <v/>
      </c>
      <c r="Y1165">
        <f>$C1165*Y1164</f>
        <v/>
      </c>
      <c r="Z1165">
        <f>$C1165*Z1164</f>
        <v/>
      </c>
      <c r="AA1165">
        <f>$C1165*AA1164</f>
        <v/>
      </c>
      <c r="AB1165">
        <f>$C1165*AB1164</f>
        <v/>
      </c>
      <c r="AC1165">
        <f>$C1165*AC1164</f>
        <v/>
      </c>
      <c r="AD1165">
        <f>$C1165*AD1164</f>
        <v/>
      </c>
      <c r="AE1165">
        <f>$C1165*AE1164</f>
        <v/>
      </c>
      <c r="AF1165">
        <f>$C1165*AF1164</f>
        <v/>
      </c>
      <c r="AG1165">
        <f>$C1165*AG1164</f>
        <v/>
      </c>
      <c r="AH1165">
        <f>$C1165*AH1164</f>
        <v/>
      </c>
      <c r="AI1165">
        <f>$C1165*AI1164</f>
        <v/>
      </c>
      <c r="AJ1165">
        <f>$C1165*AJ1164</f>
        <v/>
      </c>
      <c r="AK1165">
        <f>$C1165*AK1164</f>
        <v/>
      </c>
      <c r="AL1165">
        <f>$C1165*AL1164</f>
        <v/>
      </c>
      <c r="AM1165">
        <f>$C1165*AM1164</f>
        <v/>
      </c>
      <c r="AN1165">
        <f>$C1165*AN1164</f>
        <v/>
      </c>
      <c r="AO1165">
        <f>$C1165*AO1164</f>
        <v/>
      </c>
      <c r="AP1165">
        <f>$C1165*AP1164</f>
        <v/>
      </c>
      <c r="AQ1165">
        <f>$C1165*AQ1164</f>
        <v/>
      </c>
      <c r="AR1165">
        <f>$C1165*AR1164</f>
        <v/>
      </c>
      <c r="AS1165">
        <f>$C1165*AS1164</f>
        <v/>
      </c>
      <c r="AT1165">
        <f>$C1165*AT1164</f>
        <v/>
      </c>
      <c r="AU1165">
        <f>$C1165*AU1164</f>
        <v/>
      </c>
      <c r="AV1165">
        <f>$C1165*AV1164</f>
        <v/>
      </c>
      <c r="AW1165">
        <f>$C1165*AW1164</f>
        <v/>
      </c>
      <c r="AX1165">
        <f>$C1165*AX1164</f>
        <v/>
      </c>
      <c r="AY1165">
        <f>$C1165*AY1164</f>
        <v/>
      </c>
      <c r="AZ1165">
        <f>$C1165*AZ1164</f>
        <v/>
      </c>
      <c r="BA1165">
        <f>$C1165*BA1164</f>
        <v/>
      </c>
      <c r="BB1165">
        <f>$C1165*BB1164</f>
        <v/>
      </c>
      <c r="BC1165">
        <f>$C1165*BC1164</f>
        <v/>
      </c>
      <c r="BD1165">
        <f>$C1165*BD1164</f>
        <v/>
      </c>
      <c r="BE1165">
        <f>$C1165*BE1164</f>
        <v/>
      </c>
      <c r="BF1165">
        <f>$C1165*BF1164</f>
        <v/>
      </c>
      <c r="BG1165">
        <f>$C1165*BG1164</f>
        <v/>
      </c>
      <c r="BH1165">
        <f>$C1165*BH1164</f>
        <v/>
      </c>
      <c r="BI1165">
        <f>$C1165*BI1164</f>
        <v/>
      </c>
      <c r="BJ1165">
        <f>$C1165*BJ1164</f>
        <v/>
      </c>
      <c r="BK1165">
        <f>$C1165*BK1164</f>
        <v/>
      </c>
      <c r="BL1165">
        <f>$C1165*BL1164</f>
        <v/>
      </c>
      <c r="BM1165">
        <f>$C1165*BM1164</f>
        <v/>
      </c>
      <c r="BN1165">
        <f>$C1165*BN1164</f>
        <v/>
      </c>
      <c r="BO1165">
        <f>$C1165*BO1164</f>
        <v/>
      </c>
      <c r="BP1165">
        <f>$C1165*BP1164</f>
        <v/>
      </c>
      <c r="BQ1165">
        <f>$C1165*BQ1164</f>
        <v/>
      </c>
      <c r="BR1165">
        <f>$C1165*BR1164</f>
        <v/>
      </c>
      <c r="BS1165">
        <f>$C1165*BS1164</f>
        <v/>
      </c>
      <c r="BT1165">
        <f>$C1165*BT1164</f>
        <v/>
      </c>
      <c r="BU1165">
        <f>$C1165*BU1164</f>
        <v/>
      </c>
      <c r="BV1165">
        <f>$C1165*BV1164</f>
        <v/>
      </c>
      <c r="BW1165">
        <f>$C1165*BW1164</f>
        <v/>
      </c>
      <c r="BX1165">
        <f>$C1165*BX1164</f>
        <v/>
      </c>
      <c r="BY1165">
        <f>$C1165*BY1164</f>
        <v/>
      </c>
      <c r="BZ1165">
        <f>$C1165*BZ1164</f>
        <v/>
      </c>
      <c r="CA1165">
        <f>$C1165*CA1164</f>
        <v/>
      </c>
      <c r="CB1165">
        <f>$C1165*CB1164</f>
        <v/>
      </c>
      <c r="CC1165">
        <f>$C1165*CC1164</f>
        <v/>
      </c>
      <c r="CD1165">
        <f>$C1165*CD1164</f>
        <v/>
      </c>
      <c r="CE1165">
        <f>$C1165*CE1164</f>
        <v/>
      </c>
      <c r="CF1165">
        <f>$C1165*CF1164</f>
        <v/>
      </c>
      <c r="CG1165">
        <f>$C1165*CG1164</f>
        <v/>
      </c>
      <c r="CH1165">
        <f>$C1165*CH1164</f>
        <v/>
      </c>
      <c r="CI1165">
        <f>$C1165*CI1164</f>
        <v/>
      </c>
      <c r="CJ1165">
        <f>$C1165*CJ1164</f>
        <v/>
      </c>
      <c r="CK1165">
        <f>$C1165*CK1164</f>
        <v/>
      </c>
      <c r="CL1165">
        <f>$C1165*CL1164</f>
        <v/>
      </c>
      <c r="CM1165">
        <f>$C1165*CM1164</f>
        <v/>
      </c>
      <c r="CN1165">
        <f>$C1165*CN1164</f>
        <v/>
      </c>
      <c r="CO1165">
        <f>$C1165*CO1164</f>
        <v/>
      </c>
      <c r="CP1165">
        <f>$C1165*CP1164</f>
        <v/>
      </c>
      <c r="CQ1165">
        <f>$C1165*CQ1164</f>
        <v/>
      </c>
      <c r="CR1165">
        <f>$C1165*CR1164</f>
        <v/>
      </c>
      <c r="CS1165">
        <f>$C1165*CS1164</f>
        <v/>
      </c>
      <c r="CT1165">
        <f>$C1165*CT1164</f>
        <v/>
      </c>
      <c r="CU1165">
        <f>$C1165*CU1164</f>
        <v/>
      </c>
      <c r="CV1165">
        <f>$C1165*CV1164</f>
        <v/>
      </c>
      <c r="CW1165">
        <f>$C1165*CW1164</f>
        <v/>
      </c>
      <c r="CX1165">
        <f>$C1165*CX1164</f>
        <v/>
      </c>
      <c r="CY1165">
        <f>$C1165*CY1164</f>
        <v/>
      </c>
      <c r="CZ1165">
        <f>$C1165*CZ1164</f>
        <v/>
      </c>
      <c r="DA1165">
        <f>$C1165*DA1164</f>
        <v/>
      </c>
      <c r="DB1165">
        <f>$C1165*DB1164</f>
        <v/>
      </c>
      <c r="DC1165">
        <f>$C1165*DC1164</f>
        <v/>
      </c>
      <c r="DD1165">
        <f>$C1165*DD1164</f>
        <v/>
      </c>
    </row>
    <row r="1166">
      <c r="B1166" t="inlineStr">
        <is>
          <t>TSP-935</t>
        </is>
      </c>
      <c r="C1166" t="inlineStr">
        <is>
          <t>No. of batches</t>
        </is>
      </c>
      <c r="D1166">
        <f>IFERROR(INDEX(E1166:DD1166,$F$1),"")</f>
        <v/>
      </c>
      <c r="E1166">
        <f>IFERROR(INDEX(PP_Grid[#Data],$DE1166,2),0)</f>
        <v/>
      </c>
      <c r="F1166">
        <f>IFERROR(INDEX(PP_Grid[#Data],$DE1166,3),0)</f>
        <v/>
      </c>
      <c r="G1166">
        <f>IFERROR(INDEX(PP_Grid[#Data],$DE1166,4),0)</f>
        <v/>
      </c>
      <c r="H1166">
        <f>IFERROR(INDEX(PP_Grid[#Data],$DE1166,5),0)</f>
        <v/>
      </c>
      <c r="I1166">
        <f>IFERROR(INDEX(PP_Grid[#Data],$DE1166,6),0)</f>
        <v/>
      </c>
      <c r="J1166">
        <f>IFERROR(INDEX(PP_Grid[#Data],$DE1166,7),0)</f>
        <v/>
      </c>
      <c r="K1166">
        <f>IFERROR(INDEX(PP_Grid[#Data],$DE1166,8),0)</f>
        <v/>
      </c>
      <c r="L1166">
        <f>IFERROR(INDEX(PP_Grid[#Data],$DE1166,9),0)</f>
        <v/>
      </c>
      <c r="M1166">
        <f>IFERROR(INDEX(PP_Grid[#Data],$DE1166,10),0)</f>
        <v/>
      </c>
      <c r="N1166">
        <f>IFERROR(INDEX(PP_Grid[#Data],$DE1166,11),0)</f>
        <v/>
      </c>
      <c r="O1166">
        <f>IFERROR(INDEX(PP_Grid[#Data],$DE1166,12),0)</f>
        <v/>
      </c>
      <c r="P1166">
        <f>IFERROR(INDEX(PP_Grid[#Data],$DE1166,13),0)</f>
        <v/>
      </c>
      <c r="Q1166">
        <f>IFERROR(INDEX(PP_Grid[#Data],$DE1166,14),0)</f>
        <v/>
      </c>
      <c r="R1166">
        <f>IFERROR(INDEX(PP_Grid[#Data],$DE1166,15),0)</f>
        <v/>
      </c>
      <c r="S1166">
        <f>IFERROR(INDEX(PP_Grid[#Data],$DE1166,16),0)</f>
        <v/>
      </c>
      <c r="T1166">
        <f>IFERROR(INDEX(PP_Grid[#Data],$DE1166,17),0)</f>
        <v/>
      </c>
      <c r="U1166">
        <f>IFERROR(INDEX(PP_Grid[#Data],$DE1166,18),0)</f>
        <v/>
      </c>
      <c r="V1166">
        <f>IFERROR(INDEX(PP_Grid[#Data],$DE1166,19),0)</f>
        <v/>
      </c>
      <c r="W1166">
        <f>IFERROR(INDEX(PP_Grid[#Data],$DE1166,20),0)</f>
        <v/>
      </c>
      <c r="X1166">
        <f>IFERROR(INDEX(PP_Grid[#Data],$DE1166,21),0)</f>
        <v/>
      </c>
      <c r="Y1166">
        <f>IFERROR(INDEX(PP_Grid[#Data],$DE1166,22),0)</f>
        <v/>
      </c>
      <c r="Z1166">
        <f>IFERROR(INDEX(PP_Grid[#Data],$DE1166,23),0)</f>
        <v/>
      </c>
      <c r="AA1166">
        <f>IFERROR(INDEX(PP_Grid[#Data],$DE1166,24),0)</f>
        <v/>
      </c>
      <c r="AB1166">
        <f>IFERROR(INDEX(PP_Grid[#Data],$DE1166,25),0)</f>
        <v/>
      </c>
      <c r="AC1166">
        <f>IFERROR(INDEX(PP_Grid[#Data],$DE1166,26),0)</f>
        <v/>
      </c>
      <c r="AD1166">
        <f>IFERROR(INDEX(PP_Grid[#Data],$DE1166,27),0)</f>
        <v/>
      </c>
      <c r="AE1166">
        <f>IFERROR(INDEX(PP_Grid[#Data],$DE1166,28),0)</f>
        <v/>
      </c>
      <c r="AF1166">
        <f>IFERROR(INDEX(PP_Grid[#Data],$DE1166,29),0)</f>
        <v/>
      </c>
      <c r="AG1166">
        <f>IFERROR(INDEX(PP_Grid[#Data],$DE1166,30),0)</f>
        <v/>
      </c>
      <c r="AH1166">
        <f>IFERROR(INDEX(PP_Grid[#Data],$DE1166,31),0)</f>
        <v/>
      </c>
      <c r="AI1166">
        <f>IFERROR(INDEX(PP_Grid[#Data],$DE1166,32),0)</f>
        <v/>
      </c>
      <c r="AJ1166">
        <f>IFERROR(INDEX(PP_Grid[#Data],$DE1166,33),0)</f>
        <v/>
      </c>
      <c r="AK1166">
        <f>IFERROR(INDEX(PP_Grid[#Data],$DE1166,34),0)</f>
        <v/>
      </c>
      <c r="AL1166">
        <f>IFERROR(INDEX(PP_Grid[#Data],$DE1166,35),0)</f>
        <v/>
      </c>
      <c r="AM1166">
        <f>IFERROR(INDEX(PP_Grid[#Data],$DE1166,36),0)</f>
        <v/>
      </c>
      <c r="AN1166">
        <f>IFERROR(INDEX(PP_Grid[#Data],$DE1166,37),0)</f>
        <v/>
      </c>
      <c r="AO1166">
        <f>IFERROR(INDEX(PP_Grid[#Data],$DE1166,38),0)</f>
        <v/>
      </c>
      <c r="AP1166">
        <f>IFERROR(INDEX(PP_Grid[#Data],$DE1166,39),0)</f>
        <v/>
      </c>
      <c r="AQ1166">
        <f>IFERROR(INDEX(PP_Grid[#Data],$DE1166,40),0)</f>
        <v/>
      </c>
      <c r="AR1166">
        <f>IFERROR(INDEX(PP_Grid[#Data],$DE1166,41),0)</f>
        <v/>
      </c>
      <c r="AS1166">
        <f>IFERROR(INDEX(PP_Grid[#Data],$DE1166,42),0)</f>
        <v/>
      </c>
      <c r="AT1166">
        <f>IFERROR(INDEX(PP_Grid[#Data],$DE1166,43),0)</f>
        <v/>
      </c>
      <c r="AU1166">
        <f>IFERROR(INDEX(PP_Grid[#Data],$DE1166,44),0)</f>
        <v/>
      </c>
      <c r="AV1166">
        <f>IFERROR(INDEX(PP_Grid[#Data],$DE1166,45),0)</f>
        <v/>
      </c>
      <c r="AW1166">
        <f>IFERROR(INDEX(PP_Grid[#Data],$DE1166,46),0)</f>
        <v/>
      </c>
      <c r="AX1166">
        <f>IFERROR(INDEX(PP_Grid[#Data],$DE1166,47),0)</f>
        <v/>
      </c>
      <c r="AY1166">
        <f>IFERROR(INDEX(PP_Grid[#Data],$DE1166,48),0)</f>
        <v/>
      </c>
      <c r="AZ1166">
        <f>IFERROR(INDEX(PP_Grid[#Data],$DE1166,49),0)</f>
        <v/>
      </c>
      <c r="BA1166">
        <f>IFERROR(INDEX(PP_Grid[#Data],$DE1166,50),0)</f>
        <v/>
      </c>
      <c r="BB1166">
        <f>IFERROR(INDEX(PP_Grid[#Data],$DE1166,51),0)</f>
        <v/>
      </c>
      <c r="BC1166">
        <f>IFERROR(INDEX(PP_Grid[#Data],$DE1166,52),0)</f>
        <v/>
      </c>
      <c r="BD1166">
        <f>IFERROR(INDEX(PP_Grid[#Data],$DE1166,53),0)</f>
        <v/>
      </c>
      <c r="BE1166">
        <f>IFERROR(INDEX(PP_Grid[#Data],$DE1166,54),0)</f>
        <v/>
      </c>
      <c r="BF1166">
        <f>IFERROR(INDEX(PP_Grid[#Data],$DE1166,55),0)</f>
        <v/>
      </c>
      <c r="BG1166">
        <f>IFERROR(INDEX(PP_Grid[#Data],$DE1166,56),0)</f>
        <v/>
      </c>
      <c r="BH1166">
        <f>IFERROR(INDEX(PP_Grid[#Data],$DE1166,57),0)</f>
        <v/>
      </c>
      <c r="BI1166">
        <f>IFERROR(INDEX(PP_Grid[#Data],$DE1166,58),0)</f>
        <v/>
      </c>
      <c r="BJ1166">
        <f>IFERROR(INDEX(PP_Grid[#Data],$DE1166,59),0)</f>
        <v/>
      </c>
      <c r="BK1166">
        <f>IFERROR(INDEX(PP_Grid[#Data],$DE1166,60),0)</f>
        <v/>
      </c>
      <c r="BL1166">
        <f>IFERROR(INDEX(PP_Grid[#Data],$DE1166,61),0)</f>
        <v/>
      </c>
      <c r="BM1166">
        <f>IFERROR(INDEX(PP_Grid[#Data],$DE1166,62),0)</f>
        <v/>
      </c>
      <c r="BN1166">
        <f>IFERROR(INDEX(PP_Grid[#Data],$DE1166,63),0)</f>
        <v/>
      </c>
      <c r="BO1166">
        <f>IFERROR(INDEX(PP_Grid[#Data],$DE1166,64),0)</f>
        <v/>
      </c>
      <c r="BP1166">
        <f>IFERROR(INDEX(PP_Grid[#Data],$DE1166,65),0)</f>
        <v/>
      </c>
      <c r="BQ1166">
        <f>IFERROR(INDEX(PP_Grid[#Data],$DE1166,66),0)</f>
        <v/>
      </c>
      <c r="BR1166">
        <f>IFERROR(INDEX(PP_Grid[#Data],$DE1166,67),0)</f>
        <v/>
      </c>
      <c r="BS1166">
        <f>IFERROR(INDEX(PP_Grid[#Data],$DE1166,68),0)</f>
        <v/>
      </c>
      <c r="BT1166">
        <f>IFERROR(INDEX(PP_Grid[#Data],$DE1166,69),0)</f>
        <v/>
      </c>
      <c r="BU1166">
        <f>IFERROR(INDEX(PP_Grid[#Data],$DE1166,70),0)</f>
        <v/>
      </c>
      <c r="BV1166">
        <f>IFERROR(INDEX(PP_Grid[#Data],$DE1166,71),0)</f>
        <v/>
      </c>
      <c r="BW1166">
        <f>IFERROR(INDEX(PP_Grid[#Data],$DE1166,72),0)</f>
        <v/>
      </c>
      <c r="BX1166">
        <f>IFERROR(INDEX(PP_Grid[#Data],$DE1166,73),0)</f>
        <v/>
      </c>
      <c r="BY1166">
        <f>IFERROR(INDEX(PP_Grid[#Data],$DE1166,74),0)</f>
        <v/>
      </c>
      <c r="BZ1166">
        <f>IFERROR(INDEX(PP_Grid[#Data],$DE1166,75),0)</f>
        <v/>
      </c>
      <c r="CA1166">
        <f>IFERROR(INDEX(PP_Grid[#Data],$DE1166,76),0)</f>
        <v/>
      </c>
      <c r="CB1166">
        <f>IFERROR(INDEX(PP_Grid[#Data],$DE1166,77),0)</f>
        <v/>
      </c>
      <c r="CC1166">
        <f>IFERROR(INDEX(PP_Grid[#Data],$DE1166,78),0)</f>
        <v/>
      </c>
      <c r="CD1166">
        <f>IFERROR(INDEX(PP_Grid[#Data],$DE1166,79),0)</f>
        <v/>
      </c>
      <c r="CE1166">
        <f>IFERROR(INDEX(PP_Grid[#Data],$DE1166,80),0)</f>
        <v/>
      </c>
      <c r="CF1166">
        <f>IFERROR(INDEX(PP_Grid[#Data],$DE1166,81),0)</f>
        <v/>
      </c>
      <c r="CG1166">
        <f>IFERROR(INDEX(PP_Grid[#Data],$DE1166,82),0)</f>
        <v/>
      </c>
      <c r="CH1166">
        <f>IFERROR(INDEX(PP_Grid[#Data],$DE1166,83),0)</f>
        <v/>
      </c>
      <c r="CI1166">
        <f>IFERROR(INDEX(PP_Grid[#Data],$DE1166,84),0)</f>
        <v/>
      </c>
      <c r="CJ1166">
        <f>IFERROR(INDEX(PP_Grid[#Data],$DE1166,85),0)</f>
        <v/>
      </c>
      <c r="CK1166">
        <f>IFERROR(INDEX(PP_Grid[#Data],$DE1166,86),0)</f>
        <v/>
      </c>
      <c r="CL1166">
        <f>IFERROR(INDEX(PP_Grid[#Data],$DE1166,87),0)</f>
        <v/>
      </c>
      <c r="CM1166">
        <f>IFERROR(INDEX(PP_Grid[#Data],$DE1166,88),0)</f>
        <v/>
      </c>
      <c r="CN1166">
        <f>IFERROR(INDEX(PP_Grid[#Data],$DE1166,89),0)</f>
        <v/>
      </c>
      <c r="CO1166">
        <f>IFERROR(INDEX(PP_Grid[#Data],$DE1166,90),0)</f>
        <v/>
      </c>
      <c r="CP1166">
        <f>IFERROR(INDEX(PP_Grid[#Data],$DE1166,91),0)</f>
        <v/>
      </c>
      <c r="CQ1166">
        <f>IFERROR(INDEX(PP_Grid[#Data],$DE1166,92),0)</f>
        <v/>
      </c>
      <c r="CR1166">
        <f>IFERROR(INDEX(PP_Grid[#Data],$DE1166,93),0)</f>
        <v/>
      </c>
      <c r="CS1166">
        <f>IFERROR(INDEX(PP_Grid[#Data],$DE1166,94),0)</f>
        <v/>
      </c>
      <c r="CT1166">
        <f>IFERROR(INDEX(PP_Grid[#Data],$DE1166,95),0)</f>
        <v/>
      </c>
      <c r="CU1166">
        <f>IFERROR(INDEX(PP_Grid[#Data],$DE1166,96),0)</f>
        <v/>
      </c>
      <c r="CV1166">
        <f>IFERROR(INDEX(PP_Grid[#Data],$DE1166,97),0)</f>
        <v/>
      </c>
      <c r="CW1166">
        <f>IFERROR(INDEX(PP_Grid[#Data],$DE1166,98),0)</f>
        <v/>
      </c>
      <c r="CX1166">
        <f>IFERROR(INDEX(PP_Grid[#Data],$DE1166,99),0)</f>
        <v/>
      </c>
      <c r="CY1166">
        <f>IFERROR(INDEX(PP_Grid[#Data],$DE1166,100),0)</f>
        <v/>
      </c>
      <c r="CZ1166">
        <f>IFERROR(INDEX(PP_Grid[#Data],$DE1166,101),0)</f>
        <v/>
      </c>
      <c r="DA1166">
        <f>IFERROR(INDEX(PP_Grid[#Data],$DE1166,102),0)</f>
        <v/>
      </c>
      <c r="DB1166">
        <f>IFERROR(INDEX(PP_Grid[#Data],$DE1166,103),0)</f>
        <v/>
      </c>
      <c r="DC1166">
        <f>IFERROR(INDEX(PP_Grid[#Data],$DE1166,104),0)</f>
        <v/>
      </c>
      <c r="DD1166">
        <f>IFERROR(INDEX(PP_Grid[#Data],$DE1166,105),0)</f>
        <v/>
      </c>
      <c r="DE1166" s="7">
        <f>IFERROR(MATCH($B1166,PP_Grid[Intermediate],0),99999)</f>
        <v/>
      </c>
    </row>
    <row r="1167">
      <c r="B1167" t="inlineStr">
        <is>
          <t>使用量(kg)</t>
        </is>
      </c>
      <c r="C1167">
        <f>SUMIFS(M_BOM[RM_Qty_Per_Batch],M_BOM[Intermediate],$B1166,M_BOM[RM_Code],$A1147)</f>
        <v/>
      </c>
      <c r="D1167">
        <f>IFERROR(INDEX(E1167:DD1167,$F$1),"")</f>
        <v/>
      </c>
      <c r="E1167">
        <f>$C1167*E1166</f>
        <v/>
      </c>
      <c r="F1167">
        <f>$C1167*F1166</f>
        <v/>
      </c>
      <c r="G1167">
        <f>$C1167*G1166</f>
        <v/>
      </c>
      <c r="H1167">
        <f>$C1167*H1166</f>
        <v/>
      </c>
      <c r="I1167">
        <f>$C1167*I1166</f>
        <v/>
      </c>
      <c r="J1167">
        <f>$C1167*J1166</f>
        <v/>
      </c>
      <c r="K1167">
        <f>$C1167*K1166</f>
        <v/>
      </c>
      <c r="L1167">
        <f>$C1167*L1166</f>
        <v/>
      </c>
      <c r="M1167">
        <f>$C1167*M1166</f>
        <v/>
      </c>
      <c r="N1167">
        <f>$C1167*N1166</f>
        <v/>
      </c>
      <c r="O1167">
        <f>$C1167*O1166</f>
        <v/>
      </c>
      <c r="P1167">
        <f>$C1167*P1166</f>
        <v/>
      </c>
      <c r="Q1167">
        <f>$C1167*Q1166</f>
        <v/>
      </c>
      <c r="R1167">
        <f>$C1167*R1166</f>
        <v/>
      </c>
      <c r="S1167">
        <f>$C1167*S1166</f>
        <v/>
      </c>
      <c r="T1167">
        <f>$C1167*T1166</f>
        <v/>
      </c>
      <c r="U1167">
        <f>$C1167*U1166</f>
        <v/>
      </c>
      <c r="V1167">
        <f>$C1167*V1166</f>
        <v/>
      </c>
      <c r="W1167">
        <f>$C1167*W1166</f>
        <v/>
      </c>
      <c r="X1167">
        <f>$C1167*X1166</f>
        <v/>
      </c>
      <c r="Y1167">
        <f>$C1167*Y1166</f>
        <v/>
      </c>
      <c r="Z1167">
        <f>$C1167*Z1166</f>
        <v/>
      </c>
      <c r="AA1167">
        <f>$C1167*AA1166</f>
        <v/>
      </c>
      <c r="AB1167">
        <f>$C1167*AB1166</f>
        <v/>
      </c>
      <c r="AC1167">
        <f>$C1167*AC1166</f>
        <v/>
      </c>
      <c r="AD1167">
        <f>$C1167*AD1166</f>
        <v/>
      </c>
      <c r="AE1167">
        <f>$C1167*AE1166</f>
        <v/>
      </c>
      <c r="AF1167">
        <f>$C1167*AF1166</f>
        <v/>
      </c>
      <c r="AG1167">
        <f>$C1167*AG1166</f>
        <v/>
      </c>
      <c r="AH1167">
        <f>$C1167*AH1166</f>
        <v/>
      </c>
      <c r="AI1167">
        <f>$C1167*AI1166</f>
        <v/>
      </c>
      <c r="AJ1167">
        <f>$C1167*AJ1166</f>
        <v/>
      </c>
      <c r="AK1167">
        <f>$C1167*AK1166</f>
        <v/>
      </c>
      <c r="AL1167">
        <f>$C1167*AL1166</f>
        <v/>
      </c>
      <c r="AM1167">
        <f>$C1167*AM1166</f>
        <v/>
      </c>
      <c r="AN1167">
        <f>$C1167*AN1166</f>
        <v/>
      </c>
      <c r="AO1167">
        <f>$C1167*AO1166</f>
        <v/>
      </c>
      <c r="AP1167">
        <f>$C1167*AP1166</f>
        <v/>
      </c>
      <c r="AQ1167">
        <f>$C1167*AQ1166</f>
        <v/>
      </c>
      <c r="AR1167">
        <f>$C1167*AR1166</f>
        <v/>
      </c>
      <c r="AS1167">
        <f>$C1167*AS1166</f>
        <v/>
      </c>
      <c r="AT1167">
        <f>$C1167*AT1166</f>
        <v/>
      </c>
      <c r="AU1167">
        <f>$C1167*AU1166</f>
        <v/>
      </c>
      <c r="AV1167">
        <f>$C1167*AV1166</f>
        <v/>
      </c>
      <c r="AW1167">
        <f>$C1167*AW1166</f>
        <v/>
      </c>
      <c r="AX1167">
        <f>$C1167*AX1166</f>
        <v/>
      </c>
      <c r="AY1167">
        <f>$C1167*AY1166</f>
        <v/>
      </c>
      <c r="AZ1167">
        <f>$C1167*AZ1166</f>
        <v/>
      </c>
      <c r="BA1167">
        <f>$C1167*BA1166</f>
        <v/>
      </c>
      <c r="BB1167">
        <f>$C1167*BB1166</f>
        <v/>
      </c>
      <c r="BC1167">
        <f>$C1167*BC1166</f>
        <v/>
      </c>
      <c r="BD1167">
        <f>$C1167*BD1166</f>
        <v/>
      </c>
      <c r="BE1167">
        <f>$C1167*BE1166</f>
        <v/>
      </c>
      <c r="BF1167">
        <f>$C1167*BF1166</f>
        <v/>
      </c>
      <c r="BG1167">
        <f>$C1167*BG1166</f>
        <v/>
      </c>
      <c r="BH1167">
        <f>$C1167*BH1166</f>
        <v/>
      </c>
      <c r="BI1167">
        <f>$C1167*BI1166</f>
        <v/>
      </c>
      <c r="BJ1167">
        <f>$C1167*BJ1166</f>
        <v/>
      </c>
      <c r="BK1167">
        <f>$C1167*BK1166</f>
        <v/>
      </c>
      <c r="BL1167">
        <f>$C1167*BL1166</f>
        <v/>
      </c>
      <c r="BM1167">
        <f>$C1167*BM1166</f>
        <v/>
      </c>
      <c r="BN1167">
        <f>$C1167*BN1166</f>
        <v/>
      </c>
      <c r="BO1167">
        <f>$C1167*BO1166</f>
        <v/>
      </c>
      <c r="BP1167">
        <f>$C1167*BP1166</f>
        <v/>
      </c>
      <c r="BQ1167">
        <f>$C1167*BQ1166</f>
        <v/>
      </c>
      <c r="BR1167">
        <f>$C1167*BR1166</f>
        <v/>
      </c>
      <c r="BS1167">
        <f>$C1167*BS1166</f>
        <v/>
      </c>
      <c r="BT1167">
        <f>$C1167*BT1166</f>
        <v/>
      </c>
      <c r="BU1167">
        <f>$C1167*BU1166</f>
        <v/>
      </c>
      <c r="BV1167">
        <f>$C1167*BV1166</f>
        <v/>
      </c>
      <c r="BW1167">
        <f>$C1167*BW1166</f>
        <v/>
      </c>
      <c r="BX1167">
        <f>$C1167*BX1166</f>
        <v/>
      </c>
      <c r="BY1167">
        <f>$C1167*BY1166</f>
        <v/>
      </c>
      <c r="BZ1167">
        <f>$C1167*BZ1166</f>
        <v/>
      </c>
      <c r="CA1167">
        <f>$C1167*CA1166</f>
        <v/>
      </c>
      <c r="CB1167">
        <f>$C1167*CB1166</f>
        <v/>
      </c>
      <c r="CC1167">
        <f>$C1167*CC1166</f>
        <v/>
      </c>
      <c r="CD1167">
        <f>$C1167*CD1166</f>
        <v/>
      </c>
      <c r="CE1167">
        <f>$C1167*CE1166</f>
        <v/>
      </c>
      <c r="CF1167">
        <f>$C1167*CF1166</f>
        <v/>
      </c>
      <c r="CG1167">
        <f>$C1167*CG1166</f>
        <v/>
      </c>
      <c r="CH1167">
        <f>$C1167*CH1166</f>
        <v/>
      </c>
      <c r="CI1167">
        <f>$C1167*CI1166</f>
        <v/>
      </c>
      <c r="CJ1167">
        <f>$C1167*CJ1166</f>
        <v/>
      </c>
      <c r="CK1167">
        <f>$C1167*CK1166</f>
        <v/>
      </c>
      <c r="CL1167">
        <f>$C1167*CL1166</f>
        <v/>
      </c>
      <c r="CM1167">
        <f>$C1167*CM1166</f>
        <v/>
      </c>
      <c r="CN1167">
        <f>$C1167*CN1166</f>
        <v/>
      </c>
      <c r="CO1167">
        <f>$C1167*CO1166</f>
        <v/>
      </c>
      <c r="CP1167">
        <f>$C1167*CP1166</f>
        <v/>
      </c>
      <c r="CQ1167">
        <f>$C1167*CQ1166</f>
        <v/>
      </c>
      <c r="CR1167">
        <f>$C1167*CR1166</f>
        <v/>
      </c>
      <c r="CS1167">
        <f>$C1167*CS1166</f>
        <v/>
      </c>
      <c r="CT1167">
        <f>$C1167*CT1166</f>
        <v/>
      </c>
      <c r="CU1167">
        <f>$C1167*CU1166</f>
        <v/>
      </c>
      <c r="CV1167">
        <f>$C1167*CV1166</f>
        <v/>
      </c>
      <c r="CW1167">
        <f>$C1167*CW1166</f>
        <v/>
      </c>
      <c r="CX1167">
        <f>$C1167*CX1166</f>
        <v/>
      </c>
      <c r="CY1167">
        <f>$C1167*CY1166</f>
        <v/>
      </c>
      <c r="CZ1167">
        <f>$C1167*CZ1166</f>
        <v/>
      </c>
      <c r="DA1167">
        <f>$C1167*DA1166</f>
        <v/>
      </c>
      <c r="DB1167">
        <f>$C1167*DB1166</f>
        <v/>
      </c>
      <c r="DC1167">
        <f>$C1167*DC1166</f>
        <v/>
      </c>
      <c r="DD1167">
        <f>$C1167*DD1166</f>
        <v/>
      </c>
    </row>
    <row r="1168">
      <c r="B1168" t="inlineStr">
        <is>
          <t>TSP-936</t>
        </is>
      </c>
      <c r="C1168" t="inlineStr">
        <is>
          <t>No. of batches</t>
        </is>
      </c>
      <c r="D1168">
        <f>IFERROR(INDEX(E1168:DD1168,$F$1),"")</f>
        <v/>
      </c>
      <c r="E1168">
        <f>IFERROR(INDEX(PP_Grid[#Data],$DE1168,2),0)</f>
        <v/>
      </c>
      <c r="F1168">
        <f>IFERROR(INDEX(PP_Grid[#Data],$DE1168,3),0)</f>
        <v/>
      </c>
      <c r="G1168">
        <f>IFERROR(INDEX(PP_Grid[#Data],$DE1168,4),0)</f>
        <v/>
      </c>
      <c r="H1168">
        <f>IFERROR(INDEX(PP_Grid[#Data],$DE1168,5),0)</f>
        <v/>
      </c>
      <c r="I1168">
        <f>IFERROR(INDEX(PP_Grid[#Data],$DE1168,6),0)</f>
        <v/>
      </c>
      <c r="J1168">
        <f>IFERROR(INDEX(PP_Grid[#Data],$DE1168,7),0)</f>
        <v/>
      </c>
      <c r="K1168">
        <f>IFERROR(INDEX(PP_Grid[#Data],$DE1168,8),0)</f>
        <v/>
      </c>
      <c r="L1168">
        <f>IFERROR(INDEX(PP_Grid[#Data],$DE1168,9),0)</f>
        <v/>
      </c>
      <c r="M1168">
        <f>IFERROR(INDEX(PP_Grid[#Data],$DE1168,10),0)</f>
        <v/>
      </c>
      <c r="N1168">
        <f>IFERROR(INDEX(PP_Grid[#Data],$DE1168,11),0)</f>
        <v/>
      </c>
      <c r="O1168">
        <f>IFERROR(INDEX(PP_Grid[#Data],$DE1168,12),0)</f>
        <v/>
      </c>
      <c r="P1168">
        <f>IFERROR(INDEX(PP_Grid[#Data],$DE1168,13),0)</f>
        <v/>
      </c>
      <c r="Q1168">
        <f>IFERROR(INDEX(PP_Grid[#Data],$DE1168,14),0)</f>
        <v/>
      </c>
      <c r="R1168">
        <f>IFERROR(INDEX(PP_Grid[#Data],$DE1168,15),0)</f>
        <v/>
      </c>
      <c r="S1168">
        <f>IFERROR(INDEX(PP_Grid[#Data],$DE1168,16),0)</f>
        <v/>
      </c>
      <c r="T1168">
        <f>IFERROR(INDEX(PP_Grid[#Data],$DE1168,17),0)</f>
        <v/>
      </c>
      <c r="U1168">
        <f>IFERROR(INDEX(PP_Grid[#Data],$DE1168,18),0)</f>
        <v/>
      </c>
      <c r="V1168">
        <f>IFERROR(INDEX(PP_Grid[#Data],$DE1168,19),0)</f>
        <v/>
      </c>
      <c r="W1168">
        <f>IFERROR(INDEX(PP_Grid[#Data],$DE1168,20),0)</f>
        <v/>
      </c>
      <c r="X1168">
        <f>IFERROR(INDEX(PP_Grid[#Data],$DE1168,21),0)</f>
        <v/>
      </c>
      <c r="Y1168">
        <f>IFERROR(INDEX(PP_Grid[#Data],$DE1168,22),0)</f>
        <v/>
      </c>
      <c r="Z1168">
        <f>IFERROR(INDEX(PP_Grid[#Data],$DE1168,23),0)</f>
        <v/>
      </c>
      <c r="AA1168">
        <f>IFERROR(INDEX(PP_Grid[#Data],$DE1168,24),0)</f>
        <v/>
      </c>
      <c r="AB1168">
        <f>IFERROR(INDEX(PP_Grid[#Data],$DE1168,25),0)</f>
        <v/>
      </c>
      <c r="AC1168">
        <f>IFERROR(INDEX(PP_Grid[#Data],$DE1168,26),0)</f>
        <v/>
      </c>
      <c r="AD1168">
        <f>IFERROR(INDEX(PP_Grid[#Data],$DE1168,27),0)</f>
        <v/>
      </c>
      <c r="AE1168">
        <f>IFERROR(INDEX(PP_Grid[#Data],$DE1168,28),0)</f>
        <v/>
      </c>
      <c r="AF1168">
        <f>IFERROR(INDEX(PP_Grid[#Data],$DE1168,29),0)</f>
        <v/>
      </c>
      <c r="AG1168">
        <f>IFERROR(INDEX(PP_Grid[#Data],$DE1168,30),0)</f>
        <v/>
      </c>
      <c r="AH1168">
        <f>IFERROR(INDEX(PP_Grid[#Data],$DE1168,31),0)</f>
        <v/>
      </c>
      <c r="AI1168">
        <f>IFERROR(INDEX(PP_Grid[#Data],$DE1168,32),0)</f>
        <v/>
      </c>
      <c r="AJ1168">
        <f>IFERROR(INDEX(PP_Grid[#Data],$DE1168,33),0)</f>
        <v/>
      </c>
      <c r="AK1168">
        <f>IFERROR(INDEX(PP_Grid[#Data],$DE1168,34),0)</f>
        <v/>
      </c>
      <c r="AL1168">
        <f>IFERROR(INDEX(PP_Grid[#Data],$DE1168,35),0)</f>
        <v/>
      </c>
      <c r="AM1168">
        <f>IFERROR(INDEX(PP_Grid[#Data],$DE1168,36),0)</f>
        <v/>
      </c>
      <c r="AN1168">
        <f>IFERROR(INDEX(PP_Grid[#Data],$DE1168,37),0)</f>
        <v/>
      </c>
      <c r="AO1168">
        <f>IFERROR(INDEX(PP_Grid[#Data],$DE1168,38),0)</f>
        <v/>
      </c>
      <c r="AP1168">
        <f>IFERROR(INDEX(PP_Grid[#Data],$DE1168,39),0)</f>
        <v/>
      </c>
      <c r="AQ1168">
        <f>IFERROR(INDEX(PP_Grid[#Data],$DE1168,40),0)</f>
        <v/>
      </c>
      <c r="AR1168">
        <f>IFERROR(INDEX(PP_Grid[#Data],$DE1168,41),0)</f>
        <v/>
      </c>
      <c r="AS1168">
        <f>IFERROR(INDEX(PP_Grid[#Data],$DE1168,42),0)</f>
        <v/>
      </c>
      <c r="AT1168">
        <f>IFERROR(INDEX(PP_Grid[#Data],$DE1168,43),0)</f>
        <v/>
      </c>
      <c r="AU1168">
        <f>IFERROR(INDEX(PP_Grid[#Data],$DE1168,44),0)</f>
        <v/>
      </c>
      <c r="AV1168">
        <f>IFERROR(INDEX(PP_Grid[#Data],$DE1168,45),0)</f>
        <v/>
      </c>
      <c r="AW1168">
        <f>IFERROR(INDEX(PP_Grid[#Data],$DE1168,46),0)</f>
        <v/>
      </c>
      <c r="AX1168">
        <f>IFERROR(INDEX(PP_Grid[#Data],$DE1168,47),0)</f>
        <v/>
      </c>
      <c r="AY1168">
        <f>IFERROR(INDEX(PP_Grid[#Data],$DE1168,48),0)</f>
        <v/>
      </c>
      <c r="AZ1168">
        <f>IFERROR(INDEX(PP_Grid[#Data],$DE1168,49),0)</f>
        <v/>
      </c>
      <c r="BA1168">
        <f>IFERROR(INDEX(PP_Grid[#Data],$DE1168,50),0)</f>
        <v/>
      </c>
      <c r="BB1168">
        <f>IFERROR(INDEX(PP_Grid[#Data],$DE1168,51),0)</f>
        <v/>
      </c>
      <c r="BC1168">
        <f>IFERROR(INDEX(PP_Grid[#Data],$DE1168,52),0)</f>
        <v/>
      </c>
      <c r="BD1168">
        <f>IFERROR(INDEX(PP_Grid[#Data],$DE1168,53),0)</f>
        <v/>
      </c>
      <c r="BE1168">
        <f>IFERROR(INDEX(PP_Grid[#Data],$DE1168,54),0)</f>
        <v/>
      </c>
      <c r="BF1168">
        <f>IFERROR(INDEX(PP_Grid[#Data],$DE1168,55),0)</f>
        <v/>
      </c>
      <c r="BG1168">
        <f>IFERROR(INDEX(PP_Grid[#Data],$DE1168,56),0)</f>
        <v/>
      </c>
      <c r="BH1168">
        <f>IFERROR(INDEX(PP_Grid[#Data],$DE1168,57),0)</f>
        <v/>
      </c>
      <c r="BI1168">
        <f>IFERROR(INDEX(PP_Grid[#Data],$DE1168,58),0)</f>
        <v/>
      </c>
      <c r="BJ1168">
        <f>IFERROR(INDEX(PP_Grid[#Data],$DE1168,59),0)</f>
        <v/>
      </c>
      <c r="BK1168">
        <f>IFERROR(INDEX(PP_Grid[#Data],$DE1168,60),0)</f>
        <v/>
      </c>
      <c r="BL1168">
        <f>IFERROR(INDEX(PP_Grid[#Data],$DE1168,61),0)</f>
        <v/>
      </c>
      <c r="BM1168">
        <f>IFERROR(INDEX(PP_Grid[#Data],$DE1168,62),0)</f>
        <v/>
      </c>
      <c r="BN1168">
        <f>IFERROR(INDEX(PP_Grid[#Data],$DE1168,63),0)</f>
        <v/>
      </c>
      <c r="BO1168">
        <f>IFERROR(INDEX(PP_Grid[#Data],$DE1168,64),0)</f>
        <v/>
      </c>
      <c r="BP1168">
        <f>IFERROR(INDEX(PP_Grid[#Data],$DE1168,65),0)</f>
        <v/>
      </c>
      <c r="BQ1168">
        <f>IFERROR(INDEX(PP_Grid[#Data],$DE1168,66),0)</f>
        <v/>
      </c>
      <c r="BR1168">
        <f>IFERROR(INDEX(PP_Grid[#Data],$DE1168,67),0)</f>
        <v/>
      </c>
      <c r="BS1168">
        <f>IFERROR(INDEX(PP_Grid[#Data],$DE1168,68),0)</f>
        <v/>
      </c>
      <c r="BT1168">
        <f>IFERROR(INDEX(PP_Grid[#Data],$DE1168,69),0)</f>
        <v/>
      </c>
      <c r="BU1168">
        <f>IFERROR(INDEX(PP_Grid[#Data],$DE1168,70),0)</f>
        <v/>
      </c>
      <c r="BV1168">
        <f>IFERROR(INDEX(PP_Grid[#Data],$DE1168,71),0)</f>
        <v/>
      </c>
      <c r="BW1168">
        <f>IFERROR(INDEX(PP_Grid[#Data],$DE1168,72),0)</f>
        <v/>
      </c>
      <c r="BX1168">
        <f>IFERROR(INDEX(PP_Grid[#Data],$DE1168,73),0)</f>
        <v/>
      </c>
      <c r="BY1168">
        <f>IFERROR(INDEX(PP_Grid[#Data],$DE1168,74),0)</f>
        <v/>
      </c>
      <c r="BZ1168">
        <f>IFERROR(INDEX(PP_Grid[#Data],$DE1168,75),0)</f>
        <v/>
      </c>
      <c r="CA1168">
        <f>IFERROR(INDEX(PP_Grid[#Data],$DE1168,76),0)</f>
        <v/>
      </c>
      <c r="CB1168">
        <f>IFERROR(INDEX(PP_Grid[#Data],$DE1168,77),0)</f>
        <v/>
      </c>
      <c r="CC1168">
        <f>IFERROR(INDEX(PP_Grid[#Data],$DE1168,78),0)</f>
        <v/>
      </c>
      <c r="CD1168">
        <f>IFERROR(INDEX(PP_Grid[#Data],$DE1168,79),0)</f>
        <v/>
      </c>
      <c r="CE1168">
        <f>IFERROR(INDEX(PP_Grid[#Data],$DE1168,80),0)</f>
        <v/>
      </c>
      <c r="CF1168">
        <f>IFERROR(INDEX(PP_Grid[#Data],$DE1168,81),0)</f>
        <v/>
      </c>
      <c r="CG1168">
        <f>IFERROR(INDEX(PP_Grid[#Data],$DE1168,82),0)</f>
        <v/>
      </c>
      <c r="CH1168">
        <f>IFERROR(INDEX(PP_Grid[#Data],$DE1168,83),0)</f>
        <v/>
      </c>
      <c r="CI1168">
        <f>IFERROR(INDEX(PP_Grid[#Data],$DE1168,84),0)</f>
        <v/>
      </c>
      <c r="CJ1168">
        <f>IFERROR(INDEX(PP_Grid[#Data],$DE1168,85),0)</f>
        <v/>
      </c>
      <c r="CK1168">
        <f>IFERROR(INDEX(PP_Grid[#Data],$DE1168,86),0)</f>
        <v/>
      </c>
      <c r="CL1168">
        <f>IFERROR(INDEX(PP_Grid[#Data],$DE1168,87),0)</f>
        <v/>
      </c>
      <c r="CM1168">
        <f>IFERROR(INDEX(PP_Grid[#Data],$DE1168,88),0)</f>
        <v/>
      </c>
      <c r="CN1168">
        <f>IFERROR(INDEX(PP_Grid[#Data],$DE1168,89),0)</f>
        <v/>
      </c>
      <c r="CO1168">
        <f>IFERROR(INDEX(PP_Grid[#Data],$DE1168,90),0)</f>
        <v/>
      </c>
      <c r="CP1168">
        <f>IFERROR(INDEX(PP_Grid[#Data],$DE1168,91),0)</f>
        <v/>
      </c>
      <c r="CQ1168">
        <f>IFERROR(INDEX(PP_Grid[#Data],$DE1168,92),0)</f>
        <v/>
      </c>
      <c r="CR1168">
        <f>IFERROR(INDEX(PP_Grid[#Data],$DE1168,93),0)</f>
        <v/>
      </c>
      <c r="CS1168">
        <f>IFERROR(INDEX(PP_Grid[#Data],$DE1168,94),0)</f>
        <v/>
      </c>
      <c r="CT1168">
        <f>IFERROR(INDEX(PP_Grid[#Data],$DE1168,95),0)</f>
        <v/>
      </c>
      <c r="CU1168">
        <f>IFERROR(INDEX(PP_Grid[#Data],$DE1168,96),0)</f>
        <v/>
      </c>
      <c r="CV1168">
        <f>IFERROR(INDEX(PP_Grid[#Data],$DE1168,97),0)</f>
        <v/>
      </c>
      <c r="CW1168">
        <f>IFERROR(INDEX(PP_Grid[#Data],$DE1168,98),0)</f>
        <v/>
      </c>
      <c r="CX1168">
        <f>IFERROR(INDEX(PP_Grid[#Data],$DE1168,99),0)</f>
        <v/>
      </c>
      <c r="CY1168">
        <f>IFERROR(INDEX(PP_Grid[#Data],$DE1168,100),0)</f>
        <v/>
      </c>
      <c r="CZ1168">
        <f>IFERROR(INDEX(PP_Grid[#Data],$DE1168,101),0)</f>
        <v/>
      </c>
      <c r="DA1168">
        <f>IFERROR(INDEX(PP_Grid[#Data],$DE1168,102),0)</f>
        <v/>
      </c>
      <c r="DB1168">
        <f>IFERROR(INDEX(PP_Grid[#Data],$DE1168,103),0)</f>
        <v/>
      </c>
      <c r="DC1168">
        <f>IFERROR(INDEX(PP_Grid[#Data],$DE1168,104),0)</f>
        <v/>
      </c>
      <c r="DD1168">
        <f>IFERROR(INDEX(PP_Grid[#Data],$DE1168,105),0)</f>
        <v/>
      </c>
      <c r="DE1168" s="7">
        <f>IFERROR(MATCH($B1168,PP_Grid[Intermediate],0),99999)</f>
        <v/>
      </c>
    </row>
    <row r="1169">
      <c r="B1169" t="inlineStr">
        <is>
          <t>使用量(kg)</t>
        </is>
      </c>
      <c r="C1169">
        <f>SUMIFS(M_BOM[RM_Qty_Per_Batch],M_BOM[Intermediate],$B1168,M_BOM[RM_Code],$A1147)</f>
        <v/>
      </c>
      <c r="D1169">
        <f>IFERROR(INDEX(E1169:DD1169,$F$1),"")</f>
        <v/>
      </c>
      <c r="E1169">
        <f>$C1169*E1168</f>
        <v/>
      </c>
      <c r="F1169">
        <f>$C1169*F1168</f>
        <v/>
      </c>
      <c r="G1169">
        <f>$C1169*G1168</f>
        <v/>
      </c>
      <c r="H1169">
        <f>$C1169*H1168</f>
        <v/>
      </c>
      <c r="I1169">
        <f>$C1169*I1168</f>
        <v/>
      </c>
      <c r="J1169">
        <f>$C1169*J1168</f>
        <v/>
      </c>
      <c r="K1169">
        <f>$C1169*K1168</f>
        <v/>
      </c>
      <c r="L1169">
        <f>$C1169*L1168</f>
        <v/>
      </c>
      <c r="M1169">
        <f>$C1169*M1168</f>
        <v/>
      </c>
      <c r="N1169">
        <f>$C1169*N1168</f>
        <v/>
      </c>
      <c r="O1169">
        <f>$C1169*O1168</f>
        <v/>
      </c>
      <c r="P1169">
        <f>$C1169*P1168</f>
        <v/>
      </c>
      <c r="Q1169">
        <f>$C1169*Q1168</f>
        <v/>
      </c>
      <c r="R1169">
        <f>$C1169*R1168</f>
        <v/>
      </c>
      <c r="S1169">
        <f>$C1169*S1168</f>
        <v/>
      </c>
      <c r="T1169">
        <f>$C1169*T1168</f>
        <v/>
      </c>
      <c r="U1169">
        <f>$C1169*U1168</f>
        <v/>
      </c>
      <c r="V1169">
        <f>$C1169*V1168</f>
        <v/>
      </c>
      <c r="W1169">
        <f>$C1169*W1168</f>
        <v/>
      </c>
      <c r="X1169">
        <f>$C1169*X1168</f>
        <v/>
      </c>
      <c r="Y1169">
        <f>$C1169*Y1168</f>
        <v/>
      </c>
      <c r="Z1169">
        <f>$C1169*Z1168</f>
        <v/>
      </c>
      <c r="AA1169">
        <f>$C1169*AA1168</f>
        <v/>
      </c>
      <c r="AB1169">
        <f>$C1169*AB1168</f>
        <v/>
      </c>
      <c r="AC1169">
        <f>$C1169*AC1168</f>
        <v/>
      </c>
      <c r="AD1169">
        <f>$C1169*AD1168</f>
        <v/>
      </c>
      <c r="AE1169">
        <f>$C1169*AE1168</f>
        <v/>
      </c>
      <c r="AF1169">
        <f>$C1169*AF1168</f>
        <v/>
      </c>
      <c r="AG1169">
        <f>$C1169*AG1168</f>
        <v/>
      </c>
      <c r="AH1169">
        <f>$C1169*AH1168</f>
        <v/>
      </c>
      <c r="AI1169">
        <f>$C1169*AI1168</f>
        <v/>
      </c>
      <c r="AJ1169">
        <f>$C1169*AJ1168</f>
        <v/>
      </c>
      <c r="AK1169">
        <f>$C1169*AK1168</f>
        <v/>
      </c>
      <c r="AL1169">
        <f>$C1169*AL1168</f>
        <v/>
      </c>
      <c r="AM1169">
        <f>$C1169*AM1168</f>
        <v/>
      </c>
      <c r="AN1169">
        <f>$C1169*AN1168</f>
        <v/>
      </c>
      <c r="AO1169">
        <f>$C1169*AO1168</f>
        <v/>
      </c>
      <c r="AP1169">
        <f>$C1169*AP1168</f>
        <v/>
      </c>
      <c r="AQ1169">
        <f>$C1169*AQ1168</f>
        <v/>
      </c>
      <c r="AR1169">
        <f>$C1169*AR1168</f>
        <v/>
      </c>
      <c r="AS1169">
        <f>$C1169*AS1168</f>
        <v/>
      </c>
      <c r="AT1169">
        <f>$C1169*AT1168</f>
        <v/>
      </c>
      <c r="AU1169">
        <f>$C1169*AU1168</f>
        <v/>
      </c>
      <c r="AV1169">
        <f>$C1169*AV1168</f>
        <v/>
      </c>
      <c r="AW1169">
        <f>$C1169*AW1168</f>
        <v/>
      </c>
      <c r="AX1169">
        <f>$C1169*AX1168</f>
        <v/>
      </c>
      <c r="AY1169">
        <f>$C1169*AY1168</f>
        <v/>
      </c>
      <c r="AZ1169">
        <f>$C1169*AZ1168</f>
        <v/>
      </c>
      <c r="BA1169">
        <f>$C1169*BA1168</f>
        <v/>
      </c>
      <c r="BB1169">
        <f>$C1169*BB1168</f>
        <v/>
      </c>
      <c r="BC1169">
        <f>$C1169*BC1168</f>
        <v/>
      </c>
      <c r="BD1169">
        <f>$C1169*BD1168</f>
        <v/>
      </c>
      <c r="BE1169">
        <f>$C1169*BE1168</f>
        <v/>
      </c>
      <c r="BF1169">
        <f>$C1169*BF1168</f>
        <v/>
      </c>
      <c r="BG1169">
        <f>$C1169*BG1168</f>
        <v/>
      </c>
      <c r="BH1169">
        <f>$C1169*BH1168</f>
        <v/>
      </c>
      <c r="BI1169">
        <f>$C1169*BI1168</f>
        <v/>
      </c>
      <c r="BJ1169">
        <f>$C1169*BJ1168</f>
        <v/>
      </c>
      <c r="BK1169">
        <f>$C1169*BK1168</f>
        <v/>
      </c>
      <c r="BL1169">
        <f>$C1169*BL1168</f>
        <v/>
      </c>
      <c r="BM1169">
        <f>$C1169*BM1168</f>
        <v/>
      </c>
      <c r="BN1169">
        <f>$C1169*BN1168</f>
        <v/>
      </c>
      <c r="BO1169">
        <f>$C1169*BO1168</f>
        <v/>
      </c>
      <c r="BP1169">
        <f>$C1169*BP1168</f>
        <v/>
      </c>
      <c r="BQ1169">
        <f>$C1169*BQ1168</f>
        <v/>
      </c>
      <c r="BR1169">
        <f>$C1169*BR1168</f>
        <v/>
      </c>
      <c r="BS1169">
        <f>$C1169*BS1168</f>
        <v/>
      </c>
      <c r="BT1169">
        <f>$C1169*BT1168</f>
        <v/>
      </c>
      <c r="BU1169">
        <f>$C1169*BU1168</f>
        <v/>
      </c>
      <c r="BV1169">
        <f>$C1169*BV1168</f>
        <v/>
      </c>
      <c r="BW1169">
        <f>$C1169*BW1168</f>
        <v/>
      </c>
      <c r="BX1169">
        <f>$C1169*BX1168</f>
        <v/>
      </c>
      <c r="BY1169">
        <f>$C1169*BY1168</f>
        <v/>
      </c>
      <c r="BZ1169">
        <f>$C1169*BZ1168</f>
        <v/>
      </c>
      <c r="CA1169">
        <f>$C1169*CA1168</f>
        <v/>
      </c>
      <c r="CB1169">
        <f>$C1169*CB1168</f>
        <v/>
      </c>
      <c r="CC1169">
        <f>$C1169*CC1168</f>
        <v/>
      </c>
      <c r="CD1169">
        <f>$C1169*CD1168</f>
        <v/>
      </c>
      <c r="CE1169">
        <f>$C1169*CE1168</f>
        <v/>
      </c>
      <c r="CF1169">
        <f>$C1169*CF1168</f>
        <v/>
      </c>
      <c r="CG1169">
        <f>$C1169*CG1168</f>
        <v/>
      </c>
      <c r="CH1169">
        <f>$C1169*CH1168</f>
        <v/>
      </c>
      <c r="CI1169">
        <f>$C1169*CI1168</f>
        <v/>
      </c>
      <c r="CJ1169">
        <f>$C1169*CJ1168</f>
        <v/>
      </c>
      <c r="CK1169">
        <f>$C1169*CK1168</f>
        <v/>
      </c>
      <c r="CL1169">
        <f>$C1169*CL1168</f>
        <v/>
      </c>
      <c r="CM1169">
        <f>$C1169*CM1168</f>
        <v/>
      </c>
      <c r="CN1169">
        <f>$C1169*CN1168</f>
        <v/>
      </c>
      <c r="CO1169">
        <f>$C1169*CO1168</f>
        <v/>
      </c>
      <c r="CP1169">
        <f>$C1169*CP1168</f>
        <v/>
      </c>
      <c r="CQ1169">
        <f>$C1169*CQ1168</f>
        <v/>
      </c>
      <c r="CR1169">
        <f>$C1169*CR1168</f>
        <v/>
      </c>
      <c r="CS1169">
        <f>$C1169*CS1168</f>
        <v/>
      </c>
      <c r="CT1169">
        <f>$C1169*CT1168</f>
        <v/>
      </c>
      <c r="CU1169">
        <f>$C1169*CU1168</f>
        <v/>
      </c>
      <c r="CV1169">
        <f>$C1169*CV1168</f>
        <v/>
      </c>
      <c r="CW1169">
        <f>$C1169*CW1168</f>
        <v/>
      </c>
      <c r="CX1169">
        <f>$C1169*CX1168</f>
        <v/>
      </c>
      <c r="CY1169">
        <f>$C1169*CY1168</f>
        <v/>
      </c>
      <c r="CZ1169">
        <f>$C1169*CZ1168</f>
        <v/>
      </c>
      <c r="DA1169">
        <f>$C1169*DA1168</f>
        <v/>
      </c>
      <c r="DB1169">
        <f>$C1169*DB1168</f>
        <v/>
      </c>
      <c r="DC1169">
        <f>$C1169*DC1168</f>
        <v/>
      </c>
      <c r="DD1169">
        <f>$C1169*DD1168</f>
        <v/>
      </c>
    </row>
    <row r="1170">
      <c r="B1170" t="inlineStr">
        <is>
          <t>TSP-937</t>
        </is>
      </c>
      <c r="C1170" t="inlineStr">
        <is>
          <t>No. of batches</t>
        </is>
      </c>
      <c r="D1170">
        <f>IFERROR(INDEX(E1170:DD1170,$F$1),"")</f>
        <v/>
      </c>
      <c r="E1170">
        <f>IFERROR(INDEX(PP_Grid[#Data],$DE1170,2),0)</f>
        <v/>
      </c>
      <c r="F1170">
        <f>IFERROR(INDEX(PP_Grid[#Data],$DE1170,3),0)</f>
        <v/>
      </c>
      <c r="G1170">
        <f>IFERROR(INDEX(PP_Grid[#Data],$DE1170,4),0)</f>
        <v/>
      </c>
      <c r="H1170">
        <f>IFERROR(INDEX(PP_Grid[#Data],$DE1170,5),0)</f>
        <v/>
      </c>
      <c r="I1170">
        <f>IFERROR(INDEX(PP_Grid[#Data],$DE1170,6),0)</f>
        <v/>
      </c>
      <c r="J1170">
        <f>IFERROR(INDEX(PP_Grid[#Data],$DE1170,7),0)</f>
        <v/>
      </c>
      <c r="K1170">
        <f>IFERROR(INDEX(PP_Grid[#Data],$DE1170,8),0)</f>
        <v/>
      </c>
      <c r="L1170">
        <f>IFERROR(INDEX(PP_Grid[#Data],$DE1170,9),0)</f>
        <v/>
      </c>
      <c r="M1170">
        <f>IFERROR(INDEX(PP_Grid[#Data],$DE1170,10),0)</f>
        <v/>
      </c>
      <c r="N1170">
        <f>IFERROR(INDEX(PP_Grid[#Data],$DE1170,11),0)</f>
        <v/>
      </c>
      <c r="O1170">
        <f>IFERROR(INDEX(PP_Grid[#Data],$DE1170,12),0)</f>
        <v/>
      </c>
      <c r="P1170">
        <f>IFERROR(INDEX(PP_Grid[#Data],$DE1170,13),0)</f>
        <v/>
      </c>
      <c r="Q1170">
        <f>IFERROR(INDEX(PP_Grid[#Data],$DE1170,14),0)</f>
        <v/>
      </c>
      <c r="R1170">
        <f>IFERROR(INDEX(PP_Grid[#Data],$DE1170,15),0)</f>
        <v/>
      </c>
      <c r="S1170">
        <f>IFERROR(INDEX(PP_Grid[#Data],$DE1170,16),0)</f>
        <v/>
      </c>
      <c r="T1170">
        <f>IFERROR(INDEX(PP_Grid[#Data],$DE1170,17),0)</f>
        <v/>
      </c>
      <c r="U1170">
        <f>IFERROR(INDEX(PP_Grid[#Data],$DE1170,18),0)</f>
        <v/>
      </c>
      <c r="V1170">
        <f>IFERROR(INDEX(PP_Grid[#Data],$DE1170,19),0)</f>
        <v/>
      </c>
      <c r="W1170">
        <f>IFERROR(INDEX(PP_Grid[#Data],$DE1170,20),0)</f>
        <v/>
      </c>
      <c r="X1170">
        <f>IFERROR(INDEX(PP_Grid[#Data],$DE1170,21),0)</f>
        <v/>
      </c>
      <c r="Y1170">
        <f>IFERROR(INDEX(PP_Grid[#Data],$DE1170,22),0)</f>
        <v/>
      </c>
      <c r="Z1170">
        <f>IFERROR(INDEX(PP_Grid[#Data],$DE1170,23),0)</f>
        <v/>
      </c>
      <c r="AA1170">
        <f>IFERROR(INDEX(PP_Grid[#Data],$DE1170,24),0)</f>
        <v/>
      </c>
      <c r="AB1170">
        <f>IFERROR(INDEX(PP_Grid[#Data],$DE1170,25),0)</f>
        <v/>
      </c>
      <c r="AC1170">
        <f>IFERROR(INDEX(PP_Grid[#Data],$DE1170,26),0)</f>
        <v/>
      </c>
      <c r="AD1170">
        <f>IFERROR(INDEX(PP_Grid[#Data],$DE1170,27),0)</f>
        <v/>
      </c>
      <c r="AE1170">
        <f>IFERROR(INDEX(PP_Grid[#Data],$DE1170,28),0)</f>
        <v/>
      </c>
      <c r="AF1170">
        <f>IFERROR(INDEX(PP_Grid[#Data],$DE1170,29),0)</f>
        <v/>
      </c>
      <c r="AG1170">
        <f>IFERROR(INDEX(PP_Grid[#Data],$DE1170,30),0)</f>
        <v/>
      </c>
      <c r="AH1170">
        <f>IFERROR(INDEX(PP_Grid[#Data],$DE1170,31),0)</f>
        <v/>
      </c>
      <c r="AI1170">
        <f>IFERROR(INDEX(PP_Grid[#Data],$DE1170,32),0)</f>
        <v/>
      </c>
      <c r="AJ1170">
        <f>IFERROR(INDEX(PP_Grid[#Data],$DE1170,33),0)</f>
        <v/>
      </c>
      <c r="AK1170">
        <f>IFERROR(INDEX(PP_Grid[#Data],$DE1170,34),0)</f>
        <v/>
      </c>
      <c r="AL1170">
        <f>IFERROR(INDEX(PP_Grid[#Data],$DE1170,35),0)</f>
        <v/>
      </c>
      <c r="AM1170">
        <f>IFERROR(INDEX(PP_Grid[#Data],$DE1170,36),0)</f>
        <v/>
      </c>
      <c r="AN1170">
        <f>IFERROR(INDEX(PP_Grid[#Data],$DE1170,37),0)</f>
        <v/>
      </c>
      <c r="AO1170">
        <f>IFERROR(INDEX(PP_Grid[#Data],$DE1170,38),0)</f>
        <v/>
      </c>
      <c r="AP1170">
        <f>IFERROR(INDEX(PP_Grid[#Data],$DE1170,39),0)</f>
        <v/>
      </c>
      <c r="AQ1170">
        <f>IFERROR(INDEX(PP_Grid[#Data],$DE1170,40),0)</f>
        <v/>
      </c>
      <c r="AR1170">
        <f>IFERROR(INDEX(PP_Grid[#Data],$DE1170,41),0)</f>
        <v/>
      </c>
      <c r="AS1170">
        <f>IFERROR(INDEX(PP_Grid[#Data],$DE1170,42),0)</f>
        <v/>
      </c>
      <c r="AT1170">
        <f>IFERROR(INDEX(PP_Grid[#Data],$DE1170,43),0)</f>
        <v/>
      </c>
      <c r="AU1170">
        <f>IFERROR(INDEX(PP_Grid[#Data],$DE1170,44),0)</f>
        <v/>
      </c>
      <c r="AV1170">
        <f>IFERROR(INDEX(PP_Grid[#Data],$DE1170,45),0)</f>
        <v/>
      </c>
      <c r="AW1170">
        <f>IFERROR(INDEX(PP_Grid[#Data],$DE1170,46),0)</f>
        <v/>
      </c>
      <c r="AX1170">
        <f>IFERROR(INDEX(PP_Grid[#Data],$DE1170,47),0)</f>
        <v/>
      </c>
      <c r="AY1170">
        <f>IFERROR(INDEX(PP_Grid[#Data],$DE1170,48),0)</f>
        <v/>
      </c>
      <c r="AZ1170">
        <f>IFERROR(INDEX(PP_Grid[#Data],$DE1170,49),0)</f>
        <v/>
      </c>
      <c r="BA1170">
        <f>IFERROR(INDEX(PP_Grid[#Data],$DE1170,50),0)</f>
        <v/>
      </c>
      <c r="BB1170">
        <f>IFERROR(INDEX(PP_Grid[#Data],$DE1170,51),0)</f>
        <v/>
      </c>
      <c r="BC1170">
        <f>IFERROR(INDEX(PP_Grid[#Data],$DE1170,52),0)</f>
        <v/>
      </c>
      <c r="BD1170">
        <f>IFERROR(INDEX(PP_Grid[#Data],$DE1170,53),0)</f>
        <v/>
      </c>
      <c r="BE1170">
        <f>IFERROR(INDEX(PP_Grid[#Data],$DE1170,54),0)</f>
        <v/>
      </c>
      <c r="BF1170">
        <f>IFERROR(INDEX(PP_Grid[#Data],$DE1170,55),0)</f>
        <v/>
      </c>
      <c r="BG1170">
        <f>IFERROR(INDEX(PP_Grid[#Data],$DE1170,56),0)</f>
        <v/>
      </c>
      <c r="BH1170">
        <f>IFERROR(INDEX(PP_Grid[#Data],$DE1170,57),0)</f>
        <v/>
      </c>
      <c r="BI1170">
        <f>IFERROR(INDEX(PP_Grid[#Data],$DE1170,58),0)</f>
        <v/>
      </c>
      <c r="BJ1170">
        <f>IFERROR(INDEX(PP_Grid[#Data],$DE1170,59),0)</f>
        <v/>
      </c>
      <c r="BK1170">
        <f>IFERROR(INDEX(PP_Grid[#Data],$DE1170,60),0)</f>
        <v/>
      </c>
      <c r="BL1170">
        <f>IFERROR(INDEX(PP_Grid[#Data],$DE1170,61),0)</f>
        <v/>
      </c>
      <c r="BM1170">
        <f>IFERROR(INDEX(PP_Grid[#Data],$DE1170,62),0)</f>
        <v/>
      </c>
      <c r="BN1170">
        <f>IFERROR(INDEX(PP_Grid[#Data],$DE1170,63),0)</f>
        <v/>
      </c>
      <c r="BO1170">
        <f>IFERROR(INDEX(PP_Grid[#Data],$DE1170,64),0)</f>
        <v/>
      </c>
      <c r="BP1170">
        <f>IFERROR(INDEX(PP_Grid[#Data],$DE1170,65),0)</f>
        <v/>
      </c>
      <c r="BQ1170">
        <f>IFERROR(INDEX(PP_Grid[#Data],$DE1170,66),0)</f>
        <v/>
      </c>
      <c r="BR1170">
        <f>IFERROR(INDEX(PP_Grid[#Data],$DE1170,67),0)</f>
        <v/>
      </c>
      <c r="BS1170">
        <f>IFERROR(INDEX(PP_Grid[#Data],$DE1170,68),0)</f>
        <v/>
      </c>
      <c r="BT1170">
        <f>IFERROR(INDEX(PP_Grid[#Data],$DE1170,69),0)</f>
        <v/>
      </c>
      <c r="BU1170">
        <f>IFERROR(INDEX(PP_Grid[#Data],$DE1170,70),0)</f>
        <v/>
      </c>
      <c r="BV1170">
        <f>IFERROR(INDEX(PP_Grid[#Data],$DE1170,71),0)</f>
        <v/>
      </c>
      <c r="BW1170">
        <f>IFERROR(INDEX(PP_Grid[#Data],$DE1170,72),0)</f>
        <v/>
      </c>
      <c r="BX1170">
        <f>IFERROR(INDEX(PP_Grid[#Data],$DE1170,73),0)</f>
        <v/>
      </c>
      <c r="BY1170">
        <f>IFERROR(INDEX(PP_Grid[#Data],$DE1170,74),0)</f>
        <v/>
      </c>
      <c r="BZ1170">
        <f>IFERROR(INDEX(PP_Grid[#Data],$DE1170,75),0)</f>
        <v/>
      </c>
      <c r="CA1170">
        <f>IFERROR(INDEX(PP_Grid[#Data],$DE1170,76),0)</f>
        <v/>
      </c>
      <c r="CB1170">
        <f>IFERROR(INDEX(PP_Grid[#Data],$DE1170,77),0)</f>
        <v/>
      </c>
      <c r="CC1170">
        <f>IFERROR(INDEX(PP_Grid[#Data],$DE1170,78),0)</f>
        <v/>
      </c>
      <c r="CD1170">
        <f>IFERROR(INDEX(PP_Grid[#Data],$DE1170,79),0)</f>
        <v/>
      </c>
      <c r="CE1170">
        <f>IFERROR(INDEX(PP_Grid[#Data],$DE1170,80),0)</f>
        <v/>
      </c>
      <c r="CF1170">
        <f>IFERROR(INDEX(PP_Grid[#Data],$DE1170,81),0)</f>
        <v/>
      </c>
      <c r="CG1170">
        <f>IFERROR(INDEX(PP_Grid[#Data],$DE1170,82),0)</f>
        <v/>
      </c>
      <c r="CH1170">
        <f>IFERROR(INDEX(PP_Grid[#Data],$DE1170,83),0)</f>
        <v/>
      </c>
      <c r="CI1170">
        <f>IFERROR(INDEX(PP_Grid[#Data],$DE1170,84),0)</f>
        <v/>
      </c>
      <c r="CJ1170">
        <f>IFERROR(INDEX(PP_Grid[#Data],$DE1170,85),0)</f>
        <v/>
      </c>
      <c r="CK1170">
        <f>IFERROR(INDEX(PP_Grid[#Data],$DE1170,86),0)</f>
        <v/>
      </c>
      <c r="CL1170">
        <f>IFERROR(INDEX(PP_Grid[#Data],$DE1170,87),0)</f>
        <v/>
      </c>
      <c r="CM1170">
        <f>IFERROR(INDEX(PP_Grid[#Data],$DE1170,88),0)</f>
        <v/>
      </c>
      <c r="CN1170">
        <f>IFERROR(INDEX(PP_Grid[#Data],$DE1170,89),0)</f>
        <v/>
      </c>
      <c r="CO1170">
        <f>IFERROR(INDEX(PP_Grid[#Data],$DE1170,90),0)</f>
        <v/>
      </c>
      <c r="CP1170">
        <f>IFERROR(INDEX(PP_Grid[#Data],$DE1170,91),0)</f>
        <v/>
      </c>
      <c r="CQ1170">
        <f>IFERROR(INDEX(PP_Grid[#Data],$DE1170,92),0)</f>
        <v/>
      </c>
      <c r="CR1170">
        <f>IFERROR(INDEX(PP_Grid[#Data],$DE1170,93),0)</f>
        <v/>
      </c>
      <c r="CS1170">
        <f>IFERROR(INDEX(PP_Grid[#Data],$DE1170,94),0)</f>
        <v/>
      </c>
      <c r="CT1170">
        <f>IFERROR(INDEX(PP_Grid[#Data],$DE1170,95),0)</f>
        <v/>
      </c>
      <c r="CU1170">
        <f>IFERROR(INDEX(PP_Grid[#Data],$DE1170,96),0)</f>
        <v/>
      </c>
      <c r="CV1170">
        <f>IFERROR(INDEX(PP_Grid[#Data],$DE1170,97),0)</f>
        <v/>
      </c>
      <c r="CW1170">
        <f>IFERROR(INDEX(PP_Grid[#Data],$DE1170,98),0)</f>
        <v/>
      </c>
      <c r="CX1170">
        <f>IFERROR(INDEX(PP_Grid[#Data],$DE1170,99),0)</f>
        <v/>
      </c>
      <c r="CY1170">
        <f>IFERROR(INDEX(PP_Grid[#Data],$DE1170,100),0)</f>
        <v/>
      </c>
      <c r="CZ1170">
        <f>IFERROR(INDEX(PP_Grid[#Data],$DE1170,101),0)</f>
        <v/>
      </c>
      <c r="DA1170">
        <f>IFERROR(INDEX(PP_Grid[#Data],$DE1170,102),0)</f>
        <v/>
      </c>
      <c r="DB1170">
        <f>IFERROR(INDEX(PP_Grid[#Data],$DE1170,103),0)</f>
        <v/>
      </c>
      <c r="DC1170">
        <f>IFERROR(INDEX(PP_Grid[#Data],$DE1170,104),0)</f>
        <v/>
      </c>
      <c r="DD1170">
        <f>IFERROR(INDEX(PP_Grid[#Data],$DE1170,105),0)</f>
        <v/>
      </c>
      <c r="DE1170" s="7">
        <f>IFERROR(MATCH($B1170,PP_Grid[Intermediate],0),99999)</f>
        <v/>
      </c>
    </row>
    <row r="1171">
      <c r="B1171" t="inlineStr">
        <is>
          <t>使用量(kg)</t>
        </is>
      </c>
      <c r="C1171">
        <f>SUMIFS(M_BOM[RM_Qty_Per_Batch],M_BOM[Intermediate],$B1170,M_BOM[RM_Code],$A1147)</f>
        <v/>
      </c>
      <c r="D1171">
        <f>IFERROR(INDEX(E1171:DD1171,$F$1),"")</f>
        <v/>
      </c>
      <c r="E1171">
        <f>$C1171*E1170</f>
        <v/>
      </c>
      <c r="F1171">
        <f>$C1171*F1170</f>
        <v/>
      </c>
      <c r="G1171">
        <f>$C1171*G1170</f>
        <v/>
      </c>
      <c r="H1171">
        <f>$C1171*H1170</f>
        <v/>
      </c>
      <c r="I1171">
        <f>$C1171*I1170</f>
        <v/>
      </c>
      <c r="J1171">
        <f>$C1171*J1170</f>
        <v/>
      </c>
      <c r="K1171">
        <f>$C1171*K1170</f>
        <v/>
      </c>
      <c r="L1171">
        <f>$C1171*L1170</f>
        <v/>
      </c>
      <c r="M1171">
        <f>$C1171*M1170</f>
        <v/>
      </c>
      <c r="N1171">
        <f>$C1171*N1170</f>
        <v/>
      </c>
      <c r="O1171">
        <f>$C1171*O1170</f>
        <v/>
      </c>
      <c r="P1171">
        <f>$C1171*P1170</f>
        <v/>
      </c>
      <c r="Q1171">
        <f>$C1171*Q1170</f>
        <v/>
      </c>
      <c r="R1171">
        <f>$C1171*R1170</f>
        <v/>
      </c>
      <c r="S1171">
        <f>$C1171*S1170</f>
        <v/>
      </c>
      <c r="T1171">
        <f>$C1171*T1170</f>
        <v/>
      </c>
      <c r="U1171">
        <f>$C1171*U1170</f>
        <v/>
      </c>
      <c r="V1171">
        <f>$C1171*V1170</f>
        <v/>
      </c>
      <c r="W1171">
        <f>$C1171*W1170</f>
        <v/>
      </c>
      <c r="X1171">
        <f>$C1171*X1170</f>
        <v/>
      </c>
      <c r="Y1171">
        <f>$C1171*Y1170</f>
        <v/>
      </c>
      <c r="Z1171">
        <f>$C1171*Z1170</f>
        <v/>
      </c>
      <c r="AA1171">
        <f>$C1171*AA1170</f>
        <v/>
      </c>
      <c r="AB1171">
        <f>$C1171*AB1170</f>
        <v/>
      </c>
      <c r="AC1171">
        <f>$C1171*AC1170</f>
        <v/>
      </c>
      <c r="AD1171">
        <f>$C1171*AD1170</f>
        <v/>
      </c>
      <c r="AE1171">
        <f>$C1171*AE1170</f>
        <v/>
      </c>
      <c r="AF1171">
        <f>$C1171*AF1170</f>
        <v/>
      </c>
      <c r="AG1171">
        <f>$C1171*AG1170</f>
        <v/>
      </c>
      <c r="AH1171">
        <f>$C1171*AH1170</f>
        <v/>
      </c>
      <c r="AI1171">
        <f>$C1171*AI1170</f>
        <v/>
      </c>
      <c r="AJ1171">
        <f>$C1171*AJ1170</f>
        <v/>
      </c>
      <c r="AK1171">
        <f>$C1171*AK1170</f>
        <v/>
      </c>
      <c r="AL1171">
        <f>$C1171*AL1170</f>
        <v/>
      </c>
      <c r="AM1171">
        <f>$C1171*AM1170</f>
        <v/>
      </c>
      <c r="AN1171">
        <f>$C1171*AN1170</f>
        <v/>
      </c>
      <c r="AO1171">
        <f>$C1171*AO1170</f>
        <v/>
      </c>
      <c r="AP1171">
        <f>$C1171*AP1170</f>
        <v/>
      </c>
      <c r="AQ1171">
        <f>$C1171*AQ1170</f>
        <v/>
      </c>
      <c r="AR1171">
        <f>$C1171*AR1170</f>
        <v/>
      </c>
      <c r="AS1171">
        <f>$C1171*AS1170</f>
        <v/>
      </c>
      <c r="AT1171">
        <f>$C1171*AT1170</f>
        <v/>
      </c>
      <c r="AU1171">
        <f>$C1171*AU1170</f>
        <v/>
      </c>
      <c r="AV1171">
        <f>$C1171*AV1170</f>
        <v/>
      </c>
      <c r="AW1171">
        <f>$C1171*AW1170</f>
        <v/>
      </c>
      <c r="AX1171">
        <f>$C1171*AX1170</f>
        <v/>
      </c>
      <c r="AY1171">
        <f>$C1171*AY1170</f>
        <v/>
      </c>
      <c r="AZ1171">
        <f>$C1171*AZ1170</f>
        <v/>
      </c>
      <c r="BA1171">
        <f>$C1171*BA1170</f>
        <v/>
      </c>
      <c r="BB1171">
        <f>$C1171*BB1170</f>
        <v/>
      </c>
      <c r="BC1171">
        <f>$C1171*BC1170</f>
        <v/>
      </c>
      <c r="BD1171">
        <f>$C1171*BD1170</f>
        <v/>
      </c>
      <c r="BE1171">
        <f>$C1171*BE1170</f>
        <v/>
      </c>
      <c r="BF1171">
        <f>$C1171*BF1170</f>
        <v/>
      </c>
      <c r="BG1171">
        <f>$C1171*BG1170</f>
        <v/>
      </c>
      <c r="BH1171">
        <f>$C1171*BH1170</f>
        <v/>
      </c>
      <c r="BI1171">
        <f>$C1171*BI1170</f>
        <v/>
      </c>
      <c r="BJ1171">
        <f>$C1171*BJ1170</f>
        <v/>
      </c>
      <c r="BK1171">
        <f>$C1171*BK1170</f>
        <v/>
      </c>
      <c r="BL1171">
        <f>$C1171*BL1170</f>
        <v/>
      </c>
      <c r="BM1171">
        <f>$C1171*BM1170</f>
        <v/>
      </c>
      <c r="BN1171">
        <f>$C1171*BN1170</f>
        <v/>
      </c>
      <c r="BO1171">
        <f>$C1171*BO1170</f>
        <v/>
      </c>
      <c r="BP1171">
        <f>$C1171*BP1170</f>
        <v/>
      </c>
      <c r="BQ1171">
        <f>$C1171*BQ1170</f>
        <v/>
      </c>
      <c r="BR1171">
        <f>$C1171*BR1170</f>
        <v/>
      </c>
      <c r="BS1171">
        <f>$C1171*BS1170</f>
        <v/>
      </c>
      <c r="BT1171">
        <f>$C1171*BT1170</f>
        <v/>
      </c>
      <c r="BU1171">
        <f>$C1171*BU1170</f>
        <v/>
      </c>
      <c r="BV1171">
        <f>$C1171*BV1170</f>
        <v/>
      </c>
      <c r="BW1171">
        <f>$C1171*BW1170</f>
        <v/>
      </c>
      <c r="BX1171">
        <f>$C1171*BX1170</f>
        <v/>
      </c>
      <c r="BY1171">
        <f>$C1171*BY1170</f>
        <v/>
      </c>
      <c r="BZ1171">
        <f>$C1171*BZ1170</f>
        <v/>
      </c>
      <c r="CA1171">
        <f>$C1171*CA1170</f>
        <v/>
      </c>
      <c r="CB1171">
        <f>$C1171*CB1170</f>
        <v/>
      </c>
      <c r="CC1171">
        <f>$C1171*CC1170</f>
        <v/>
      </c>
      <c r="CD1171">
        <f>$C1171*CD1170</f>
        <v/>
      </c>
      <c r="CE1171">
        <f>$C1171*CE1170</f>
        <v/>
      </c>
      <c r="CF1171">
        <f>$C1171*CF1170</f>
        <v/>
      </c>
      <c r="CG1171">
        <f>$C1171*CG1170</f>
        <v/>
      </c>
      <c r="CH1171">
        <f>$C1171*CH1170</f>
        <v/>
      </c>
      <c r="CI1171">
        <f>$C1171*CI1170</f>
        <v/>
      </c>
      <c r="CJ1171">
        <f>$C1171*CJ1170</f>
        <v/>
      </c>
      <c r="CK1171">
        <f>$C1171*CK1170</f>
        <v/>
      </c>
      <c r="CL1171">
        <f>$C1171*CL1170</f>
        <v/>
      </c>
      <c r="CM1171">
        <f>$C1171*CM1170</f>
        <v/>
      </c>
      <c r="CN1171">
        <f>$C1171*CN1170</f>
        <v/>
      </c>
      <c r="CO1171">
        <f>$C1171*CO1170</f>
        <v/>
      </c>
      <c r="CP1171">
        <f>$C1171*CP1170</f>
        <v/>
      </c>
      <c r="CQ1171">
        <f>$C1171*CQ1170</f>
        <v/>
      </c>
      <c r="CR1171">
        <f>$C1171*CR1170</f>
        <v/>
      </c>
      <c r="CS1171">
        <f>$C1171*CS1170</f>
        <v/>
      </c>
      <c r="CT1171">
        <f>$C1171*CT1170</f>
        <v/>
      </c>
      <c r="CU1171">
        <f>$C1171*CU1170</f>
        <v/>
      </c>
      <c r="CV1171">
        <f>$C1171*CV1170</f>
        <v/>
      </c>
      <c r="CW1171">
        <f>$C1171*CW1170</f>
        <v/>
      </c>
      <c r="CX1171">
        <f>$C1171*CX1170</f>
        <v/>
      </c>
      <c r="CY1171">
        <f>$C1171*CY1170</f>
        <v/>
      </c>
      <c r="CZ1171">
        <f>$C1171*CZ1170</f>
        <v/>
      </c>
      <c r="DA1171">
        <f>$C1171*DA1170</f>
        <v/>
      </c>
      <c r="DB1171">
        <f>$C1171*DB1170</f>
        <v/>
      </c>
      <c r="DC1171">
        <f>$C1171*DC1170</f>
        <v/>
      </c>
      <c r="DD1171">
        <f>$C1171*DD1170</f>
        <v/>
      </c>
    </row>
    <row r="1172">
      <c r="B1172" t="inlineStr">
        <is>
          <t>TSP-959</t>
        </is>
      </c>
      <c r="C1172" t="inlineStr">
        <is>
          <t>No. of batches</t>
        </is>
      </c>
      <c r="D1172">
        <f>IFERROR(INDEX(E1172:DD1172,$F$1),"")</f>
        <v/>
      </c>
      <c r="E1172">
        <f>IFERROR(INDEX(PP_Grid[#Data],$DE1172,2),0)</f>
        <v/>
      </c>
      <c r="F1172">
        <f>IFERROR(INDEX(PP_Grid[#Data],$DE1172,3),0)</f>
        <v/>
      </c>
      <c r="G1172">
        <f>IFERROR(INDEX(PP_Grid[#Data],$DE1172,4),0)</f>
        <v/>
      </c>
      <c r="H1172">
        <f>IFERROR(INDEX(PP_Grid[#Data],$DE1172,5),0)</f>
        <v/>
      </c>
      <c r="I1172">
        <f>IFERROR(INDEX(PP_Grid[#Data],$DE1172,6),0)</f>
        <v/>
      </c>
      <c r="J1172">
        <f>IFERROR(INDEX(PP_Grid[#Data],$DE1172,7),0)</f>
        <v/>
      </c>
      <c r="K1172">
        <f>IFERROR(INDEX(PP_Grid[#Data],$DE1172,8),0)</f>
        <v/>
      </c>
      <c r="L1172">
        <f>IFERROR(INDEX(PP_Grid[#Data],$DE1172,9),0)</f>
        <v/>
      </c>
      <c r="M1172">
        <f>IFERROR(INDEX(PP_Grid[#Data],$DE1172,10),0)</f>
        <v/>
      </c>
      <c r="N1172">
        <f>IFERROR(INDEX(PP_Grid[#Data],$DE1172,11),0)</f>
        <v/>
      </c>
      <c r="O1172">
        <f>IFERROR(INDEX(PP_Grid[#Data],$DE1172,12),0)</f>
        <v/>
      </c>
      <c r="P1172">
        <f>IFERROR(INDEX(PP_Grid[#Data],$DE1172,13),0)</f>
        <v/>
      </c>
      <c r="Q1172">
        <f>IFERROR(INDEX(PP_Grid[#Data],$DE1172,14),0)</f>
        <v/>
      </c>
      <c r="R1172">
        <f>IFERROR(INDEX(PP_Grid[#Data],$DE1172,15),0)</f>
        <v/>
      </c>
      <c r="S1172">
        <f>IFERROR(INDEX(PP_Grid[#Data],$DE1172,16),0)</f>
        <v/>
      </c>
      <c r="T1172">
        <f>IFERROR(INDEX(PP_Grid[#Data],$DE1172,17),0)</f>
        <v/>
      </c>
      <c r="U1172">
        <f>IFERROR(INDEX(PP_Grid[#Data],$DE1172,18),0)</f>
        <v/>
      </c>
      <c r="V1172">
        <f>IFERROR(INDEX(PP_Grid[#Data],$DE1172,19),0)</f>
        <v/>
      </c>
      <c r="W1172">
        <f>IFERROR(INDEX(PP_Grid[#Data],$DE1172,20),0)</f>
        <v/>
      </c>
      <c r="X1172">
        <f>IFERROR(INDEX(PP_Grid[#Data],$DE1172,21),0)</f>
        <v/>
      </c>
      <c r="Y1172">
        <f>IFERROR(INDEX(PP_Grid[#Data],$DE1172,22),0)</f>
        <v/>
      </c>
      <c r="Z1172">
        <f>IFERROR(INDEX(PP_Grid[#Data],$DE1172,23),0)</f>
        <v/>
      </c>
      <c r="AA1172">
        <f>IFERROR(INDEX(PP_Grid[#Data],$DE1172,24),0)</f>
        <v/>
      </c>
      <c r="AB1172">
        <f>IFERROR(INDEX(PP_Grid[#Data],$DE1172,25),0)</f>
        <v/>
      </c>
      <c r="AC1172">
        <f>IFERROR(INDEX(PP_Grid[#Data],$DE1172,26),0)</f>
        <v/>
      </c>
      <c r="AD1172">
        <f>IFERROR(INDEX(PP_Grid[#Data],$DE1172,27),0)</f>
        <v/>
      </c>
      <c r="AE1172">
        <f>IFERROR(INDEX(PP_Grid[#Data],$DE1172,28),0)</f>
        <v/>
      </c>
      <c r="AF1172">
        <f>IFERROR(INDEX(PP_Grid[#Data],$DE1172,29),0)</f>
        <v/>
      </c>
      <c r="AG1172">
        <f>IFERROR(INDEX(PP_Grid[#Data],$DE1172,30),0)</f>
        <v/>
      </c>
      <c r="AH1172">
        <f>IFERROR(INDEX(PP_Grid[#Data],$DE1172,31),0)</f>
        <v/>
      </c>
      <c r="AI1172">
        <f>IFERROR(INDEX(PP_Grid[#Data],$DE1172,32),0)</f>
        <v/>
      </c>
      <c r="AJ1172">
        <f>IFERROR(INDEX(PP_Grid[#Data],$DE1172,33),0)</f>
        <v/>
      </c>
      <c r="AK1172">
        <f>IFERROR(INDEX(PP_Grid[#Data],$DE1172,34),0)</f>
        <v/>
      </c>
      <c r="AL1172">
        <f>IFERROR(INDEX(PP_Grid[#Data],$DE1172,35),0)</f>
        <v/>
      </c>
      <c r="AM1172">
        <f>IFERROR(INDEX(PP_Grid[#Data],$DE1172,36),0)</f>
        <v/>
      </c>
      <c r="AN1172">
        <f>IFERROR(INDEX(PP_Grid[#Data],$DE1172,37),0)</f>
        <v/>
      </c>
      <c r="AO1172">
        <f>IFERROR(INDEX(PP_Grid[#Data],$DE1172,38),0)</f>
        <v/>
      </c>
      <c r="AP1172">
        <f>IFERROR(INDEX(PP_Grid[#Data],$DE1172,39),0)</f>
        <v/>
      </c>
      <c r="AQ1172">
        <f>IFERROR(INDEX(PP_Grid[#Data],$DE1172,40),0)</f>
        <v/>
      </c>
      <c r="AR1172">
        <f>IFERROR(INDEX(PP_Grid[#Data],$DE1172,41),0)</f>
        <v/>
      </c>
      <c r="AS1172">
        <f>IFERROR(INDEX(PP_Grid[#Data],$DE1172,42),0)</f>
        <v/>
      </c>
      <c r="AT1172">
        <f>IFERROR(INDEX(PP_Grid[#Data],$DE1172,43),0)</f>
        <v/>
      </c>
      <c r="AU1172">
        <f>IFERROR(INDEX(PP_Grid[#Data],$DE1172,44),0)</f>
        <v/>
      </c>
      <c r="AV1172">
        <f>IFERROR(INDEX(PP_Grid[#Data],$DE1172,45),0)</f>
        <v/>
      </c>
      <c r="AW1172">
        <f>IFERROR(INDEX(PP_Grid[#Data],$DE1172,46),0)</f>
        <v/>
      </c>
      <c r="AX1172">
        <f>IFERROR(INDEX(PP_Grid[#Data],$DE1172,47),0)</f>
        <v/>
      </c>
      <c r="AY1172">
        <f>IFERROR(INDEX(PP_Grid[#Data],$DE1172,48),0)</f>
        <v/>
      </c>
      <c r="AZ1172">
        <f>IFERROR(INDEX(PP_Grid[#Data],$DE1172,49),0)</f>
        <v/>
      </c>
      <c r="BA1172">
        <f>IFERROR(INDEX(PP_Grid[#Data],$DE1172,50),0)</f>
        <v/>
      </c>
      <c r="BB1172">
        <f>IFERROR(INDEX(PP_Grid[#Data],$DE1172,51),0)</f>
        <v/>
      </c>
      <c r="BC1172">
        <f>IFERROR(INDEX(PP_Grid[#Data],$DE1172,52),0)</f>
        <v/>
      </c>
      <c r="BD1172">
        <f>IFERROR(INDEX(PP_Grid[#Data],$DE1172,53),0)</f>
        <v/>
      </c>
      <c r="BE1172">
        <f>IFERROR(INDEX(PP_Grid[#Data],$DE1172,54),0)</f>
        <v/>
      </c>
      <c r="BF1172">
        <f>IFERROR(INDEX(PP_Grid[#Data],$DE1172,55),0)</f>
        <v/>
      </c>
      <c r="BG1172">
        <f>IFERROR(INDEX(PP_Grid[#Data],$DE1172,56),0)</f>
        <v/>
      </c>
      <c r="BH1172">
        <f>IFERROR(INDEX(PP_Grid[#Data],$DE1172,57),0)</f>
        <v/>
      </c>
      <c r="BI1172">
        <f>IFERROR(INDEX(PP_Grid[#Data],$DE1172,58),0)</f>
        <v/>
      </c>
      <c r="BJ1172">
        <f>IFERROR(INDEX(PP_Grid[#Data],$DE1172,59),0)</f>
        <v/>
      </c>
      <c r="BK1172">
        <f>IFERROR(INDEX(PP_Grid[#Data],$DE1172,60),0)</f>
        <v/>
      </c>
      <c r="BL1172">
        <f>IFERROR(INDEX(PP_Grid[#Data],$DE1172,61),0)</f>
        <v/>
      </c>
      <c r="BM1172">
        <f>IFERROR(INDEX(PP_Grid[#Data],$DE1172,62),0)</f>
        <v/>
      </c>
      <c r="BN1172">
        <f>IFERROR(INDEX(PP_Grid[#Data],$DE1172,63),0)</f>
        <v/>
      </c>
      <c r="BO1172">
        <f>IFERROR(INDEX(PP_Grid[#Data],$DE1172,64),0)</f>
        <v/>
      </c>
      <c r="BP1172">
        <f>IFERROR(INDEX(PP_Grid[#Data],$DE1172,65),0)</f>
        <v/>
      </c>
      <c r="BQ1172">
        <f>IFERROR(INDEX(PP_Grid[#Data],$DE1172,66),0)</f>
        <v/>
      </c>
      <c r="BR1172">
        <f>IFERROR(INDEX(PP_Grid[#Data],$DE1172,67),0)</f>
        <v/>
      </c>
      <c r="BS1172">
        <f>IFERROR(INDEX(PP_Grid[#Data],$DE1172,68),0)</f>
        <v/>
      </c>
      <c r="BT1172">
        <f>IFERROR(INDEX(PP_Grid[#Data],$DE1172,69),0)</f>
        <v/>
      </c>
      <c r="BU1172">
        <f>IFERROR(INDEX(PP_Grid[#Data],$DE1172,70),0)</f>
        <v/>
      </c>
      <c r="BV1172">
        <f>IFERROR(INDEX(PP_Grid[#Data],$DE1172,71),0)</f>
        <v/>
      </c>
      <c r="BW1172">
        <f>IFERROR(INDEX(PP_Grid[#Data],$DE1172,72),0)</f>
        <v/>
      </c>
      <c r="BX1172">
        <f>IFERROR(INDEX(PP_Grid[#Data],$DE1172,73),0)</f>
        <v/>
      </c>
      <c r="BY1172">
        <f>IFERROR(INDEX(PP_Grid[#Data],$DE1172,74),0)</f>
        <v/>
      </c>
      <c r="BZ1172">
        <f>IFERROR(INDEX(PP_Grid[#Data],$DE1172,75),0)</f>
        <v/>
      </c>
      <c r="CA1172">
        <f>IFERROR(INDEX(PP_Grid[#Data],$DE1172,76),0)</f>
        <v/>
      </c>
      <c r="CB1172">
        <f>IFERROR(INDEX(PP_Grid[#Data],$DE1172,77),0)</f>
        <v/>
      </c>
      <c r="CC1172">
        <f>IFERROR(INDEX(PP_Grid[#Data],$DE1172,78),0)</f>
        <v/>
      </c>
      <c r="CD1172">
        <f>IFERROR(INDEX(PP_Grid[#Data],$DE1172,79),0)</f>
        <v/>
      </c>
      <c r="CE1172">
        <f>IFERROR(INDEX(PP_Grid[#Data],$DE1172,80),0)</f>
        <v/>
      </c>
      <c r="CF1172">
        <f>IFERROR(INDEX(PP_Grid[#Data],$DE1172,81),0)</f>
        <v/>
      </c>
      <c r="CG1172">
        <f>IFERROR(INDEX(PP_Grid[#Data],$DE1172,82),0)</f>
        <v/>
      </c>
      <c r="CH1172">
        <f>IFERROR(INDEX(PP_Grid[#Data],$DE1172,83),0)</f>
        <v/>
      </c>
      <c r="CI1172">
        <f>IFERROR(INDEX(PP_Grid[#Data],$DE1172,84),0)</f>
        <v/>
      </c>
      <c r="CJ1172">
        <f>IFERROR(INDEX(PP_Grid[#Data],$DE1172,85),0)</f>
        <v/>
      </c>
      <c r="CK1172">
        <f>IFERROR(INDEX(PP_Grid[#Data],$DE1172,86),0)</f>
        <v/>
      </c>
      <c r="CL1172">
        <f>IFERROR(INDEX(PP_Grid[#Data],$DE1172,87),0)</f>
        <v/>
      </c>
      <c r="CM1172">
        <f>IFERROR(INDEX(PP_Grid[#Data],$DE1172,88),0)</f>
        <v/>
      </c>
      <c r="CN1172">
        <f>IFERROR(INDEX(PP_Grid[#Data],$DE1172,89),0)</f>
        <v/>
      </c>
      <c r="CO1172">
        <f>IFERROR(INDEX(PP_Grid[#Data],$DE1172,90),0)</f>
        <v/>
      </c>
      <c r="CP1172">
        <f>IFERROR(INDEX(PP_Grid[#Data],$DE1172,91),0)</f>
        <v/>
      </c>
      <c r="CQ1172">
        <f>IFERROR(INDEX(PP_Grid[#Data],$DE1172,92),0)</f>
        <v/>
      </c>
      <c r="CR1172">
        <f>IFERROR(INDEX(PP_Grid[#Data],$DE1172,93),0)</f>
        <v/>
      </c>
      <c r="CS1172">
        <f>IFERROR(INDEX(PP_Grid[#Data],$DE1172,94),0)</f>
        <v/>
      </c>
      <c r="CT1172">
        <f>IFERROR(INDEX(PP_Grid[#Data],$DE1172,95),0)</f>
        <v/>
      </c>
      <c r="CU1172">
        <f>IFERROR(INDEX(PP_Grid[#Data],$DE1172,96),0)</f>
        <v/>
      </c>
      <c r="CV1172">
        <f>IFERROR(INDEX(PP_Grid[#Data],$DE1172,97),0)</f>
        <v/>
      </c>
      <c r="CW1172">
        <f>IFERROR(INDEX(PP_Grid[#Data],$DE1172,98),0)</f>
        <v/>
      </c>
      <c r="CX1172">
        <f>IFERROR(INDEX(PP_Grid[#Data],$DE1172,99),0)</f>
        <v/>
      </c>
      <c r="CY1172">
        <f>IFERROR(INDEX(PP_Grid[#Data],$DE1172,100),0)</f>
        <v/>
      </c>
      <c r="CZ1172">
        <f>IFERROR(INDEX(PP_Grid[#Data],$DE1172,101),0)</f>
        <v/>
      </c>
      <c r="DA1172">
        <f>IFERROR(INDEX(PP_Grid[#Data],$DE1172,102),0)</f>
        <v/>
      </c>
      <c r="DB1172">
        <f>IFERROR(INDEX(PP_Grid[#Data],$DE1172,103),0)</f>
        <v/>
      </c>
      <c r="DC1172">
        <f>IFERROR(INDEX(PP_Grid[#Data],$DE1172,104),0)</f>
        <v/>
      </c>
      <c r="DD1172">
        <f>IFERROR(INDEX(PP_Grid[#Data],$DE1172,105),0)</f>
        <v/>
      </c>
      <c r="DE1172" s="7">
        <f>IFERROR(MATCH($B1172,PP_Grid[Intermediate],0),99999)</f>
        <v/>
      </c>
    </row>
    <row r="1173">
      <c r="B1173" t="inlineStr">
        <is>
          <t>使用量(kg)</t>
        </is>
      </c>
      <c r="C1173">
        <f>SUMIFS(M_BOM[RM_Qty_Per_Batch],M_BOM[Intermediate],$B1172,M_BOM[RM_Code],$A1147)</f>
        <v/>
      </c>
      <c r="D1173">
        <f>IFERROR(INDEX(E1173:DD1173,$F$1),"")</f>
        <v/>
      </c>
      <c r="E1173">
        <f>$C1173*E1172</f>
        <v/>
      </c>
      <c r="F1173">
        <f>$C1173*F1172</f>
        <v/>
      </c>
      <c r="G1173">
        <f>$C1173*G1172</f>
        <v/>
      </c>
      <c r="H1173">
        <f>$C1173*H1172</f>
        <v/>
      </c>
      <c r="I1173">
        <f>$C1173*I1172</f>
        <v/>
      </c>
      <c r="J1173">
        <f>$C1173*J1172</f>
        <v/>
      </c>
      <c r="K1173">
        <f>$C1173*K1172</f>
        <v/>
      </c>
      <c r="L1173">
        <f>$C1173*L1172</f>
        <v/>
      </c>
      <c r="M1173">
        <f>$C1173*M1172</f>
        <v/>
      </c>
      <c r="N1173">
        <f>$C1173*N1172</f>
        <v/>
      </c>
      <c r="O1173">
        <f>$C1173*O1172</f>
        <v/>
      </c>
      <c r="P1173">
        <f>$C1173*P1172</f>
        <v/>
      </c>
      <c r="Q1173">
        <f>$C1173*Q1172</f>
        <v/>
      </c>
      <c r="R1173">
        <f>$C1173*R1172</f>
        <v/>
      </c>
      <c r="S1173">
        <f>$C1173*S1172</f>
        <v/>
      </c>
      <c r="T1173">
        <f>$C1173*T1172</f>
        <v/>
      </c>
      <c r="U1173">
        <f>$C1173*U1172</f>
        <v/>
      </c>
      <c r="V1173">
        <f>$C1173*V1172</f>
        <v/>
      </c>
      <c r="W1173">
        <f>$C1173*W1172</f>
        <v/>
      </c>
      <c r="X1173">
        <f>$C1173*X1172</f>
        <v/>
      </c>
      <c r="Y1173">
        <f>$C1173*Y1172</f>
        <v/>
      </c>
      <c r="Z1173">
        <f>$C1173*Z1172</f>
        <v/>
      </c>
      <c r="AA1173">
        <f>$C1173*AA1172</f>
        <v/>
      </c>
      <c r="AB1173">
        <f>$C1173*AB1172</f>
        <v/>
      </c>
      <c r="AC1173">
        <f>$C1173*AC1172</f>
        <v/>
      </c>
      <c r="AD1173">
        <f>$C1173*AD1172</f>
        <v/>
      </c>
      <c r="AE1173">
        <f>$C1173*AE1172</f>
        <v/>
      </c>
      <c r="AF1173">
        <f>$C1173*AF1172</f>
        <v/>
      </c>
      <c r="AG1173">
        <f>$C1173*AG1172</f>
        <v/>
      </c>
      <c r="AH1173">
        <f>$C1173*AH1172</f>
        <v/>
      </c>
      <c r="AI1173">
        <f>$C1173*AI1172</f>
        <v/>
      </c>
      <c r="AJ1173">
        <f>$C1173*AJ1172</f>
        <v/>
      </c>
      <c r="AK1173">
        <f>$C1173*AK1172</f>
        <v/>
      </c>
      <c r="AL1173">
        <f>$C1173*AL1172</f>
        <v/>
      </c>
      <c r="AM1173">
        <f>$C1173*AM1172</f>
        <v/>
      </c>
      <c r="AN1173">
        <f>$C1173*AN1172</f>
        <v/>
      </c>
      <c r="AO1173">
        <f>$C1173*AO1172</f>
        <v/>
      </c>
      <c r="AP1173">
        <f>$C1173*AP1172</f>
        <v/>
      </c>
      <c r="AQ1173">
        <f>$C1173*AQ1172</f>
        <v/>
      </c>
      <c r="AR1173">
        <f>$C1173*AR1172</f>
        <v/>
      </c>
      <c r="AS1173">
        <f>$C1173*AS1172</f>
        <v/>
      </c>
      <c r="AT1173">
        <f>$C1173*AT1172</f>
        <v/>
      </c>
      <c r="AU1173">
        <f>$C1173*AU1172</f>
        <v/>
      </c>
      <c r="AV1173">
        <f>$C1173*AV1172</f>
        <v/>
      </c>
      <c r="AW1173">
        <f>$C1173*AW1172</f>
        <v/>
      </c>
      <c r="AX1173">
        <f>$C1173*AX1172</f>
        <v/>
      </c>
      <c r="AY1173">
        <f>$C1173*AY1172</f>
        <v/>
      </c>
      <c r="AZ1173">
        <f>$C1173*AZ1172</f>
        <v/>
      </c>
      <c r="BA1173">
        <f>$C1173*BA1172</f>
        <v/>
      </c>
      <c r="BB1173">
        <f>$C1173*BB1172</f>
        <v/>
      </c>
      <c r="BC1173">
        <f>$C1173*BC1172</f>
        <v/>
      </c>
      <c r="BD1173">
        <f>$C1173*BD1172</f>
        <v/>
      </c>
      <c r="BE1173">
        <f>$C1173*BE1172</f>
        <v/>
      </c>
      <c r="BF1173">
        <f>$C1173*BF1172</f>
        <v/>
      </c>
      <c r="BG1173">
        <f>$C1173*BG1172</f>
        <v/>
      </c>
      <c r="BH1173">
        <f>$C1173*BH1172</f>
        <v/>
      </c>
      <c r="BI1173">
        <f>$C1173*BI1172</f>
        <v/>
      </c>
      <c r="BJ1173">
        <f>$C1173*BJ1172</f>
        <v/>
      </c>
      <c r="BK1173">
        <f>$C1173*BK1172</f>
        <v/>
      </c>
      <c r="BL1173">
        <f>$C1173*BL1172</f>
        <v/>
      </c>
      <c r="BM1173">
        <f>$C1173*BM1172</f>
        <v/>
      </c>
      <c r="BN1173">
        <f>$C1173*BN1172</f>
        <v/>
      </c>
      <c r="BO1173">
        <f>$C1173*BO1172</f>
        <v/>
      </c>
      <c r="BP1173">
        <f>$C1173*BP1172</f>
        <v/>
      </c>
      <c r="BQ1173">
        <f>$C1173*BQ1172</f>
        <v/>
      </c>
      <c r="BR1173">
        <f>$C1173*BR1172</f>
        <v/>
      </c>
      <c r="BS1173">
        <f>$C1173*BS1172</f>
        <v/>
      </c>
      <c r="BT1173">
        <f>$C1173*BT1172</f>
        <v/>
      </c>
      <c r="BU1173">
        <f>$C1173*BU1172</f>
        <v/>
      </c>
      <c r="BV1173">
        <f>$C1173*BV1172</f>
        <v/>
      </c>
      <c r="BW1173">
        <f>$C1173*BW1172</f>
        <v/>
      </c>
      <c r="BX1173">
        <f>$C1173*BX1172</f>
        <v/>
      </c>
      <c r="BY1173">
        <f>$C1173*BY1172</f>
        <v/>
      </c>
      <c r="BZ1173">
        <f>$C1173*BZ1172</f>
        <v/>
      </c>
      <c r="CA1173">
        <f>$C1173*CA1172</f>
        <v/>
      </c>
      <c r="CB1173">
        <f>$C1173*CB1172</f>
        <v/>
      </c>
      <c r="CC1173">
        <f>$C1173*CC1172</f>
        <v/>
      </c>
      <c r="CD1173">
        <f>$C1173*CD1172</f>
        <v/>
      </c>
      <c r="CE1173">
        <f>$C1173*CE1172</f>
        <v/>
      </c>
      <c r="CF1173">
        <f>$C1173*CF1172</f>
        <v/>
      </c>
      <c r="CG1173">
        <f>$C1173*CG1172</f>
        <v/>
      </c>
      <c r="CH1173">
        <f>$C1173*CH1172</f>
        <v/>
      </c>
      <c r="CI1173">
        <f>$C1173*CI1172</f>
        <v/>
      </c>
      <c r="CJ1173">
        <f>$C1173*CJ1172</f>
        <v/>
      </c>
      <c r="CK1173">
        <f>$C1173*CK1172</f>
        <v/>
      </c>
      <c r="CL1173">
        <f>$C1173*CL1172</f>
        <v/>
      </c>
      <c r="CM1173">
        <f>$C1173*CM1172</f>
        <v/>
      </c>
      <c r="CN1173">
        <f>$C1173*CN1172</f>
        <v/>
      </c>
      <c r="CO1173">
        <f>$C1173*CO1172</f>
        <v/>
      </c>
      <c r="CP1173">
        <f>$C1173*CP1172</f>
        <v/>
      </c>
      <c r="CQ1173">
        <f>$C1173*CQ1172</f>
        <v/>
      </c>
      <c r="CR1173">
        <f>$C1173*CR1172</f>
        <v/>
      </c>
      <c r="CS1173">
        <f>$C1173*CS1172</f>
        <v/>
      </c>
      <c r="CT1173">
        <f>$C1173*CT1172</f>
        <v/>
      </c>
      <c r="CU1173">
        <f>$C1173*CU1172</f>
        <v/>
      </c>
      <c r="CV1173">
        <f>$C1173*CV1172</f>
        <v/>
      </c>
      <c r="CW1173">
        <f>$C1173*CW1172</f>
        <v/>
      </c>
      <c r="CX1173">
        <f>$C1173*CX1172</f>
        <v/>
      </c>
      <c r="CY1173">
        <f>$C1173*CY1172</f>
        <v/>
      </c>
      <c r="CZ1173">
        <f>$C1173*CZ1172</f>
        <v/>
      </c>
      <c r="DA1173">
        <f>$C1173*DA1172</f>
        <v/>
      </c>
      <c r="DB1173">
        <f>$C1173*DB1172</f>
        <v/>
      </c>
      <c r="DC1173">
        <f>$C1173*DC1172</f>
        <v/>
      </c>
      <c r="DD1173">
        <f>$C1173*DD1172</f>
        <v/>
      </c>
    </row>
    <row r="1174">
      <c r="B1174" t="inlineStr">
        <is>
          <t>TSP-1388</t>
        </is>
      </c>
      <c r="C1174" t="inlineStr">
        <is>
          <t>No. of batches</t>
        </is>
      </c>
      <c r="D1174">
        <f>IFERROR(INDEX(E1174:DD1174,$F$1),"")</f>
        <v/>
      </c>
      <c r="E1174">
        <f>IFERROR(INDEX(PP_Grid[#Data],$DE1174,2),0)</f>
        <v/>
      </c>
      <c r="F1174">
        <f>IFERROR(INDEX(PP_Grid[#Data],$DE1174,3),0)</f>
        <v/>
      </c>
      <c r="G1174">
        <f>IFERROR(INDEX(PP_Grid[#Data],$DE1174,4),0)</f>
        <v/>
      </c>
      <c r="H1174">
        <f>IFERROR(INDEX(PP_Grid[#Data],$DE1174,5),0)</f>
        <v/>
      </c>
      <c r="I1174">
        <f>IFERROR(INDEX(PP_Grid[#Data],$DE1174,6),0)</f>
        <v/>
      </c>
      <c r="J1174">
        <f>IFERROR(INDEX(PP_Grid[#Data],$DE1174,7),0)</f>
        <v/>
      </c>
      <c r="K1174">
        <f>IFERROR(INDEX(PP_Grid[#Data],$DE1174,8),0)</f>
        <v/>
      </c>
      <c r="L1174">
        <f>IFERROR(INDEX(PP_Grid[#Data],$DE1174,9),0)</f>
        <v/>
      </c>
      <c r="M1174">
        <f>IFERROR(INDEX(PP_Grid[#Data],$DE1174,10),0)</f>
        <v/>
      </c>
      <c r="N1174">
        <f>IFERROR(INDEX(PP_Grid[#Data],$DE1174,11),0)</f>
        <v/>
      </c>
      <c r="O1174">
        <f>IFERROR(INDEX(PP_Grid[#Data],$DE1174,12),0)</f>
        <v/>
      </c>
      <c r="P1174">
        <f>IFERROR(INDEX(PP_Grid[#Data],$DE1174,13),0)</f>
        <v/>
      </c>
      <c r="Q1174">
        <f>IFERROR(INDEX(PP_Grid[#Data],$DE1174,14),0)</f>
        <v/>
      </c>
      <c r="R1174">
        <f>IFERROR(INDEX(PP_Grid[#Data],$DE1174,15),0)</f>
        <v/>
      </c>
      <c r="S1174">
        <f>IFERROR(INDEX(PP_Grid[#Data],$DE1174,16),0)</f>
        <v/>
      </c>
      <c r="T1174">
        <f>IFERROR(INDEX(PP_Grid[#Data],$DE1174,17),0)</f>
        <v/>
      </c>
      <c r="U1174">
        <f>IFERROR(INDEX(PP_Grid[#Data],$DE1174,18),0)</f>
        <v/>
      </c>
      <c r="V1174">
        <f>IFERROR(INDEX(PP_Grid[#Data],$DE1174,19),0)</f>
        <v/>
      </c>
      <c r="W1174">
        <f>IFERROR(INDEX(PP_Grid[#Data],$DE1174,20),0)</f>
        <v/>
      </c>
      <c r="X1174">
        <f>IFERROR(INDEX(PP_Grid[#Data],$DE1174,21),0)</f>
        <v/>
      </c>
      <c r="Y1174">
        <f>IFERROR(INDEX(PP_Grid[#Data],$DE1174,22),0)</f>
        <v/>
      </c>
      <c r="Z1174">
        <f>IFERROR(INDEX(PP_Grid[#Data],$DE1174,23),0)</f>
        <v/>
      </c>
      <c r="AA1174">
        <f>IFERROR(INDEX(PP_Grid[#Data],$DE1174,24),0)</f>
        <v/>
      </c>
      <c r="AB1174">
        <f>IFERROR(INDEX(PP_Grid[#Data],$DE1174,25),0)</f>
        <v/>
      </c>
      <c r="AC1174">
        <f>IFERROR(INDEX(PP_Grid[#Data],$DE1174,26),0)</f>
        <v/>
      </c>
      <c r="AD1174">
        <f>IFERROR(INDEX(PP_Grid[#Data],$DE1174,27),0)</f>
        <v/>
      </c>
      <c r="AE1174">
        <f>IFERROR(INDEX(PP_Grid[#Data],$DE1174,28),0)</f>
        <v/>
      </c>
      <c r="AF1174">
        <f>IFERROR(INDEX(PP_Grid[#Data],$DE1174,29),0)</f>
        <v/>
      </c>
      <c r="AG1174">
        <f>IFERROR(INDEX(PP_Grid[#Data],$DE1174,30),0)</f>
        <v/>
      </c>
      <c r="AH1174">
        <f>IFERROR(INDEX(PP_Grid[#Data],$DE1174,31),0)</f>
        <v/>
      </c>
      <c r="AI1174">
        <f>IFERROR(INDEX(PP_Grid[#Data],$DE1174,32),0)</f>
        <v/>
      </c>
      <c r="AJ1174">
        <f>IFERROR(INDEX(PP_Grid[#Data],$DE1174,33),0)</f>
        <v/>
      </c>
      <c r="AK1174">
        <f>IFERROR(INDEX(PP_Grid[#Data],$DE1174,34),0)</f>
        <v/>
      </c>
      <c r="AL1174">
        <f>IFERROR(INDEX(PP_Grid[#Data],$DE1174,35),0)</f>
        <v/>
      </c>
      <c r="AM1174">
        <f>IFERROR(INDEX(PP_Grid[#Data],$DE1174,36),0)</f>
        <v/>
      </c>
      <c r="AN1174">
        <f>IFERROR(INDEX(PP_Grid[#Data],$DE1174,37),0)</f>
        <v/>
      </c>
      <c r="AO1174">
        <f>IFERROR(INDEX(PP_Grid[#Data],$DE1174,38),0)</f>
        <v/>
      </c>
      <c r="AP1174">
        <f>IFERROR(INDEX(PP_Grid[#Data],$DE1174,39),0)</f>
        <v/>
      </c>
      <c r="AQ1174">
        <f>IFERROR(INDEX(PP_Grid[#Data],$DE1174,40),0)</f>
        <v/>
      </c>
      <c r="AR1174">
        <f>IFERROR(INDEX(PP_Grid[#Data],$DE1174,41),0)</f>
        <v/>
      </c>
      <c r="AS1174">
        <f>IFERROR(INDEX(PP_Grid[#Data],$DE1174,42),0)</f>
        <v/>
      </c>
      <c r="AT1174">
        <f>IFERROR(INDEX(PP_Grid[#Data],$DE1174,43),0)</f>
        <v/>
      </c>
      <c r="AU1174">
        <f>IFERROR(INDEX(PP_Grid[#Data],$DE1174,44),0)</f>
        <v/>
      </c>
      <c r="AV1174">
        <f>IFERROR(INDEX(PP_Grid[#Data],$DE1174,45),0)</f>
        <v/>
      </c>
      <c r="AW1174">
        <f>IFERROR(INDEX(PP_Grid[#Data],$DE1174,46),0)</f>
        <v/>
      </c>
      <c r="AX1174">
        <f>IFERROR(INDEX(PP_Grid[#Data],$DE1174,47),0)</f>
        <v/>
      </c>
      <c r="AY1174">
        <f>IFERROR(INDEX(PP_Grid[#Data],$DE1174,48),0)</f>
        <v/>
      </c>
      <c r="AZ1174">
        <f>IFERROR(INDEX(PP_Grid[#Data],$DE1174,49),0)</f>
        <v/>
      </c>
      <c r="BA1174">
        <f>IFERROR(INDEX(PP_Grid[#Data],$DE1174,50),0)</f>
        <v/>
      </c>
      <c r="BB1174">
        <f>IFERROR(INDEX(PP_Grid[#Data],$DE1174,51),0)</f>
        <v/>
      </c>
      <c r="BC1174">
        <f>IFERROR(INDEX(PP_Grid[#Data],$DE1174,52),0)</f>
        <v/>
      </c>
      <c r="BD1174">
        <f>IFERROR(INDEX(PP_Grid[#Data],$DE1174,53),0)</f>
        <v/>
      </c>
      <c r="BE1174">
        <f>IFERROR(INDEX(PP_Grid[#Data],$DE1174,54),0)</f>
        <v/>
      </c>
      <c r="BF1174">
        <f>IFERROR(INDEX(PP_Grid[#Data],$DE1174,55),0)</f>
        <v/>
      </c>
      <c r="BG1174">
        <f>IFERROR(INDEX(PP_Grid[#Data],$DE1174,56),0)</f>
        <v/>
      </c>
      <c r="BH1174">
        <f>IFERROR(INDEX(PP_Grid[#Data],$DE1174,57),0)</f>
        <v/>
      </c>
      <c r="BI1174">
        <f>IFERROR(INDEX(PP_Grid[#Data],$DE1174,58),0)</f>
        <v/>
      </c>
      <c r="BJ1174">
        <f>IFERROR(INDEX(PP_Grid[#Data],$DE1174,59),0)</f>
        <v/>
      </c>
      <c r="BK1174">
        <f>IFERROR(INDEX(PP_Grid[#Data],$DE1174,60),0)</f>
        <v/>
      </c>
      <c r="BL1174">
        <f>IFERROR(INDEX(PP_Grid[#Data],$DE1174,61),0)</f>
        <v/>
      </c>
      <c r="BM1174">
        <f>IFERROR(INDEX(PP_Grid[#Data],$DE1174,62),0)</f>
        <v/>
      </c>
      <c r="BN1174">
        <f>IFERROR(INDEX(PP_Grid[#Data],$DE1174,63),0)</f>
        <v/>
      </c>
      <c r="BO1174">
        <f>IFERROR(INDEX(PP_Grid[#Data],$DE1174,64),0)</f>
        <v/>
      </c>
      <c r="BP1174">
        <f>IFERROR(INDEX(PP_Grid[#Data],$DE1174,65),0)</f>
        <v/>
      </c>
      <c r="BQ1174">
        <f>IFERROR(INDEX(PP_Grid[#Data],$DE1174,66),0)</f>
        <v/>
      </c>
      <c r="BR1174">
        <f>IFERROR(INDEX(PP_Grid[#Data],$DE1174,67),0)</f>
        <v/>
      </c>
      <c r="BS1174">
        <f>IFERROR(INDEX(PP_Grid[#Data],$DE1174,68),0)</f>
        <v/>
      </c>
      <c r="BT1174">
        <f>IFERROR(INDEX(PP_Grid[#Data],$DE1174,69),0)</f>
        <v/>
      </c>
      <c r="BU1174">
        <f>IFERROR(INDEX(PP_Grid[#Data],$DE1174,70),0)</f>
        <v/>
      </c>
      <c r="BV1174">
        <f>IFERROR(INDEX(PP_Grid[#Data],$DE1174,71),0)</f>
        <v/>
      </c>
      <c r="BW1174">
        <f>IFERROR(INDEX(PP_Grid[#Data],$DE1174,72),0)</f>
        <v/>
      </c>
      <c r="BX1174">
        <f>IFERROR(INDEX(PP_Grid[#Data],$DE1174,73),0)</f>
        <v/>
      </c>
      <c r="BY1174">
        <f>IFERROR(INDEX(PP_Grid[#Data],$DE1174,74),0)</f>
        <v/>
      </c>
      <c r="BZ1174">
        <f>IFERROR(INDEX(PP_Grid[#Data],$DE1174,75),0)</f>
        <v/>
      </c>
      <c r="CA1174">
        <f>IFERROR(INDEX(PP_Grid[#Data],$DE1174,76),0)</f>
        <v/>
      </c>
      <c r="CB1174">
        <f>IFERROR(INDEX(PP_Grid[#Data],$DE1174,77),0)</f>
        <v/>
      </c>
      <c r="CC1174">
        <f>IFERROR(INDEX(PP_Grid[#Data],$DE1174,78),0)</f>
        <v/>
      </c>
      <c r="CD1174">
        <f>IFERROR(INDEX(PP_Grid[#Data],$DE1174,79),0)</f>
        <v/>
      </c>
      <c r="CE1174">
        <f>IFERROR(INDEX(PP_Grid[#Data],$DE1174,80),0)</f>
        <v/>
      </c>
      <c r="CF1174">
        <f>IFERROR(INDEX(PP_Grid[#Data],$DE1174,81),0)</f>
        <v/>
      </c>
      <c r="CG1174">
        <f>IFERROR(INDEX(PP_Grid[#Data],$DE1174,82),0)</f>
        <v/>
      </c>
      <c r="CH1174">
        <f>IFERROR(INDEX(PP_Grid[#Data],$DE1174,83),0)</f>
        <v/>
      </c>
      <c r="CI1174">
        <f>IFERROR(INDEX(PP_Grid[#Data],$DE1174,84),0)</f>
        <v/>
      </c>
      <c r="CJ1174">
        <f>IFERROR(INDEX(PP_Grid[#Data],$DE1174,85),0)</f>
        <v/>
      </c>
      <c r="CK1174">
        <f>IFERROR(INDEX(PP_Grid[#Data],$DE1174,86),0)</f>
        <v/>
      </c>
      <c r="CL1174">
        <f>IFERROR(INDEX(PP_Grid[#Data],$DE1174,87),0)</f>
        <v/>
      </c>
      <c r="CM1174">
        <f>IFERROR(INDEX(PP_Grid[#Data],$DE1174,88),0)</f>
        <v/>
      </c>
      <c r="CN1174">
        <f>IFERROR(INDEX(PP_Grid[#Data],$DE1174,89),0)</f>
        <v/>
      </c>
      <c r="CO1174">
        <f>IFERROR(INDEX(PP_Grid[#Data],$DE1174,90),0)</f>
        <v/>
      </c>
      <c r="CP1174">
        <f>IFERROR(INDEX(PP_Grid[#Data],$DE1174,91),0)</f>
        <v/>
      </c>
      <c r="CQ1174">
        <f>IFERROR(INDEX(PP_Grid[#Data],$DE1174,92),0)</f>
        <v/>
      </c>
      <c r="CR1174">
        <f>IFERROR(INDEX(PP_Grid[#Data],$DE1174,93),0)</f>
        <v/>
      </c>
      <c r="CS1174">
        <f>IFERROR(INDEX(PP_Grid[#Data],$DE1174,94),0)</f>
        <v/>
      </c>
      <c r="CT1174">
        <f>IFERROR(INDEX(PP_Grid[#Data],$DE1174,95),0)</f>
        <v/>
      </c>
      <c r="CU1174">
        <f>IFERROR(INDEX(PP_Grid[#Data],$DE1174,96),0)</f>
        <v/>
      </c>
      <c r="CV1174">
        <f>IFERROR(INDEX(PP_Grid[#Data],$DE1174,97),0)</f>
        <v/>
      </c>
      <c r="CW1174">
        <f>IFERROR(INDEX(PP_Grid[#Data],$DE1174,98),0)</f>
        <v/>
      </c>
      <c r="CX1174">
        <f>IFERROR(INDEX(PP_Grid[#Data],$DE1174,99),0)</f>
        <v/>
      </c>
      <c r="CY1174">
        <f>IFERROR(INDEX(PP_Grid[#Data],$DE1174,100),0)</f>
        <v/>
      </c>
      <c r="CZ1174">
        <f>IFERROR(INDEX(PP_Grid[#Data],$DE1174,101),0)</f>
        <v/>
      </c>
      <c r="DA1174">
        <f>IFERROR(INDEX(PP_Grid[#Data],$DE1174,102),0)</f>
        <v/>
      </c>
      <c r="DB1174">
        <f>IFERROR(INDEX(PP_Grid[#Data],$DE1174,103),0)</f>
        <v/>
      </c>
      <c r="DC1174">
        <f>IFERROR(INDEX(PP_Grid[#Data],$DE1174,104),0)</f>
        <v/>
      </c>
      <c r="DD1174">
        <f>IFERROR(INDEX(PP_Grid[#Data],$DE1174,105),0)</f>
        <v/>
      </c>
      <c r="DE1174" s="7">
        <f>IFERROR(MATCH($B1174,PP_Grid[Intermediate],0),99999)</f>
        <v/>
      </c>
    </row>
    <row r="1175">
      <c r="B1175" t="inlineStr">
        <is>
          <t>使用量(kg)</t>
        </is>
      </c>
      <c r="C1175">
        <f>SUMIFS(M_BOM[RM_Qty_Per_Batch],M_BOM[Intermediate],$B1174,M_BOM[RM_Code],$A1147)</f>
        <v/>
      </c>
      <c r="D1175">
        <f>IFERROR(INDEX(E1175:DD1175,$F$1),"")</f>
        <v/>
      </c>
      <c r="E1175">
        <f>$C1175*E1174</f>
        <v/>
      </c>
      <c r="F1175">
        <f>$C1175*F1174</f>
        <v/>
      </c>
      <c r="G1175">
        <f>$C1175*G1174</f>
        <v/>
      </c>
      <c r="H1175">
        <f>$C1175*H1174</f>
        <v/>
      </c>
      <c r="I1175">
        <f>$C1175*I1174</f>
        <v/>
      </c>
      <c r="J1175">
        <f>$C1175*J1174</f>
        <v/>
      </c>
      <c r="K1175">
        <f>$C1175*K1174</f>
        <v/>
      </c>
      <c r="L1175">
        <f>$C1175*L1174</f>
        <v/>
      </c>
      <c r="M1175">
        <f>$C1175*M1174</f>
        <v/>
      </c>
      <c r="N1175">
        <f>$C1175*N1174</f>
        <v/>
      </c>
      <c r="O1175">
        <f>$C1175*O1174</f>
        <v/>
      </c>
      <c r="P1175">
        <f>$C1175*P1174</f>
        <v/>
      </c>
      <c r="Q1175">
        <f>$C1175*Q1174</f>
        <v/>
      </c>
      <c r="R1175">
        <f>$C1175*R1174</f>
        <v/>
      </c>
      <c r="S1175">
        <f>$C1175*S1174</f>
        <v/>
      </c>
      <c r="T1175">
        <f>$C1175*T1174</f>
        <v/>
      </c>
      <c r="U1175">
        <f>$C1175*U1174</f>
        <v/>
      </c>
      <c r="V1175">
        <f>$C1175*V1174</f>
        <v/>
      </c>
      <c r="W1175">
        <f>$C1175*W1174</f>
        <v/>
      </c>
      <c r="X1175">
        <f>$C1175*X1174</f>
        <v/>
      </c>
      <c r="Y1175">
        <f>$C1175*Y1174</f>
        <v/>
      </c>
      <c r="Z1175">
        <f>$C1175*Z1174</f>
        <v/>
      </c>
      <c r="AA1175">
        <f>$C1175*AA1174</f>
        <v/>
      </c>
      <c r="AB1175">
        <f>$C1175*AB1174</f>
        <v/>
      </c>
      <c r="AC1175">
        <f>$C1175*AC1174</f>
        <v/>
      </c>
      <c r="AD1175">
        <f>$C1175*AD1174</f>
        <v/>
      </c>
      <c r="AE1175">
        <f>$C1175*AE1174</f>
        <v/>
      </c>
      <c r="AF1175">
        <f>$C1175*AF1174</f>
        <v/>
      </c>
      <c r="AG1175">
        <f>$C1175*AG1174</f>
        <v/>
      </c>
      <c r="AH1175">
        <f>$C1175*AH1174</f>
        <v/>
      </c>
      <c r="AI1175">
        <f>$C1175*AI1174</f>
        <v/>
      </c>
      <c r="AJ1175">
        <f>$C1175*AJ1174</f>
        <v/>
      </c>
      <c r="AK1175">
        <f>$C1175*AK1174</f>
        <v/>
      </c>
      <c r="AL1175">
        <f>$C1175*AL1174</f>
        <v/>
      </c>
      <c r="AM1175">
        <f>$C1175*AM1174</f>
        <v/>
      </c>
      <c r="AN1175">
        <f>$C1175*AN1174</f>
        <v/>
      </c>
      <c r="AO1175">
        <f>$C1175*AO1174</f>
        <v/>
      </c>
      <c r="AP1175">
        <f>$C1175*AP1174</f>
        <v/>
      </c>
      <c r="AQ1175">
        <f>$C1175*AQ1174</f>
        <v/>
      </c>
      <c r="AR1175">
        <f>$C1175*AR1174</f>
        <v/>
      </c>
      <c r="AS1175">
        <f>$C1175*AS1174</f>
        <v/>
      </c>
      <c r="AT1175">
        <f>$C1175*AT1174</f>
        <v/>
      </c>
      <c r="AU1175">
        <f>$C1175*AU1174</f>
        <v/>
      </c>
      <c r="AV1175">
        <f>$C1175*AV1174</f>
        <v/>
      </c>
      <c r="AW1175">
        <f>$C1175*AW1174</f>
        <v/>
      </c>
      <c r="AX1175">
        <f>$C1175*AX1174</f>
        <v/>
      </c>
      <c r="AY1175">
        <f>$C1175*AY1174</f>
        <v/>
      </c>
      <c r="AZ1175">
        <f>$C1175*AZ1174</f>
        <v/>
      </c>
      <c r="BA1175">
        <f>$C1175*BA1174</f>
        <v/>
      </c>
      <c r="BB1175">
        <f>$C1175*BB1174</f>
        <v/>
      </c>
      <c r="BC1175">
        <f>$C1175*BC1174</f>
        <v/>
      </c>
      <c r="BD1175">
        <f>$C1175*BD1174</f>
        <v/>
      </c>
      <c r="BE1175">
        <f>$C1175*BE1174</f>
        <v/>
      </c>
      <c r="BF1175">
        <f>$C1175*BF1174</f>
        <v/>
      </c>
      <c r="BG1175">
        <f>$C1175*BG1174</f>
        <v/>
      </c>
      <c r="BH1175">
        <f>$C1175*BH1174</f>
        <v/>
      </c>
      <c r="BI1175">
        <f>$C1175*BI1174</f>
        <v/>
      </c>
      <c r="BJ1175">
        <f>$C1175*BJ1174</f>
        <v/>
      </c>
      <c r="BK1175">
        <f>$C1175*BK1174</f>
        <v/>
      </c>
      <c r="BL1175">
        <f>$C1175*BL1174</f>
        <v/>
      </c>
      <c r="BM1175">
        <f>$C1175*BM1174</f>
        <v/>
      </c>
      <c r="BN1175">
        <f>$C1175*BN1174</f>
        <v/>
      </c>
      <c r="BO1175">
        <f>$C1175*BO1174</f>
        <v/>
      </c>
      <c r="BP1175">
        <f>$C1175*BP1174</f>
        <v/>
      </c>
      <c r="BQ1175">
        <f>$C1175*BQ1174</f>
        <v/>
      </c>
      <c r="BR1175">
        <f>$C1175*BR1174</f>
        <v/>
      </c>
      <c r="BS1175">
        <f>$C1175*BS1174</f>
        <v/>
      </c>
      <c r="BT1175">
        <f>$C1175*BT1174</f>
        <v/>
      </c>
      <c r="BU1175">
        <f>$C1175*BU1174</f>
        <v/>
      </c>
      <c r="BV1175">
        <f>$C1175*BV1174</f>
        <v/>
      </c>
      <c r="BW1175">
        <f>$C1175*BW1174</f>
        <v/>
      </c>
      <c r="BX1175">
        <f>$C1175*BX1174</f>
        <v/>
      </c>
      <c r="BY1175">
        <f>$C1175*BY1174</f>
        <v/>
      </c>
      <c r="BZ1175">
        <f>$C1175*BZ1174</f>
        <v/>
      </c>
      <c r="CA1175">
        <f>$C1175*CA1174</f>
        <v/>
      </c>
      <c r="CB1175">
        <f>$C1175*CB1174</f>
        <v/>
      </c>
      <c r="CC1175">
        <f>$C1175*CC1174</f>
        <v/>
      </c>
      <c r="CD1175">
        <f>$C1175*CD1174</f>
        <v/>
      </c>
      <c r="CE1175">
        <f>$C1175*CE1174</f>
        <v/>
      </c>
      <c r="CF1175">
        <f>$C1175*CF1174</f>
        <v/>
      </c>
      <c r="CG1175">
        <f>$C1175*CG1174</f>
        <v/>
      </c>
      <c r="CH1175">
        <f>$C1175*CH1174</f>
        <v/>
      </c>
      <c r="CI1175">
        <f>$C1175*CI1174</f>
        <v/>
      </c>
      <c r="CJ1175">
        <f>$C1175*CJ1174</f>
        <v/>
      </c>
      <c r="CK1175">
        <f>$C1175*CK1174</f>
        <v/>
      </c>
      <c r="CL1175">
        <f>$C1175*CL1174</f>
        <v/>
      </c>
      <c r="CM1175">
        <f>$C1175*CM1174</f>
        <v/>
      </c>
      <c r="CN1175">
        <f>$C1175*CN1174</f>
        <v/>
      </c>
      <c r="CO1175">
        <f>$C1175*CO1174</f>
        <v/>
      </c>
      <c r="CP1175">
        <f>$C1175*CP1174</f>
        <v/>
      </c>
      <c r="CQ1175">
        <f>$C1175*CQ1174</f>
        <v/>
      </c>
      <c r="CR1175">
        <f>$C1175*CR1174</f>
        <v/>
      </c>
      <c r="CS1175">
        <f>$C1175*CS1174</f>
        <v/>
      </c>
      <c r="CT1175">
        <f>$C1175*CT1174</f>
        <v/>
      </c>
      <c r="CU1175">
        <f>$C1175*CU1174</f>
        <v/>
      </c>
      <c r="CV1175">
        <f>$C1175*CV1174</f>
        <v/>
      </c>
      <c r="CW1175">
        <f>$C1175*CW1174</f>
        <v/>
      </c>
      <c r="CX1175">
        <f>$C1175*CX1174</f>
        <v/>
      </c>
      <c r="CY1175">
        <f>$C1175*CY1174</f>
        <v/>
      </c>
      <c r="CZ1175">
        <f>$C1175*CZ1174</f>
        <v/>
      </c>
      <c r="DA1175">
        <f>$C1175*DA1174</f>
        <v/>
      </c>
      <c r="DB1175">
        <f>$C1175*DB1174</f>
        <v/>
      </c>
      <c r="DC1175">
        <f>$C1175*DC1174</f>
        <v/>
      </c>
      <c r="DD1175">
        <f>$C1175*DD1174</f>
        <v/>
      </c>
    </row>
    <row r="1176">
      <c r="B1176" t="inlineStr">
        <is>
          <t>TSP-1448</t>
        </is>
      </c>
      <c r="C1176" t="inlineStr">
        <is>
          <t>No. of batches</t>
        </is>
      </c>
      <c r="D1176">
        <f>IFERROR(INDEX(E1176:DD1176,$F$1),"")</f>
        <v/>
      </c>
      <c r="E1176">
        <f>IFERROR(INDEX(PP_Grid[#Data],$DE1176,2),0)</f>
        <v/>
      </c>
      <c r="F1176">
        <f>IFERROR(INDEX(PP_Grid[#Data],$DE1176,3),0)</f>
        <v/>
      </c>
      <c r="G1176">
        <f>IFERROR(INDEX(PP_Grid[#Data],$DE1176,4),0)</f>
        <v/>
      </c>
      <c r="H1176">
        <f>IFERROR(INDEX(PP_Grid[#Data],$DE1176,5),0)</f>
        <v/>
      </c>
      <c r="I1176">
        <f>IFERROR(INDEX(PP_Grid[#Data],$DE1176,6),0)</f>
        <v/>
      </c>
      <c r="J1176">
        <f>IFERROR(INDEX(PP_Grid[#Data],$DE1176,7),0)</f>
        <v/>
      </c>
      <c r="K1176">
        <f>IFERROR(INDEX(PP_Grid[#Data],$DE1176,8),0)</f>
        <v/>
      </c>
      <c r="L1176">
        <f>IFERROR(INDEX(PP_Grid[#Data],$DE1176,9),0)</f>
        <v/>
      </c>
      <c r="M1176">
        <f>IFERROR(INDEX(PP_Grid[#Data],$DE1176,10),0)</f>
        <v/>
      </c>
      <c r="N1176">
        <f>IFERROR(INDEX(PP_Grid[#Data],$DE1176,11),0)</f>
        <v/>
      </c>
      <c r="O1176">
        <f>IFERROR(INDEX(PP_Grid[#Data],$DE1176,12),0)</f>
        <v/>
      </c>
      <c r="P1176">
        <f>IFERROR(INDEX(PP_Grid[#Data],$DE1176,13),0)</f>
        <v/>
      </c>
      <c r="Q1176">
        <f>IFERROR(INDEX(PP_Grid[#Data],$DE1176,14),0)</f>
        <v/>
      </c>
      <c r="R1176">
        <f>IFERROR(INDEX(PP_Grid[#Data],$DE1176,15),0)</f>
        <v/>
      </c>
      <c r="S1176">
        <f>IFERROR(INDEX(PP_Grid[#Data],$DE1176,16),0)</f>
        <v/>
      </c>
      <c r="T1176">
        <f>IFERROR(INDEX(PP_Grid[#Data],$DE1176,17),0)</f>
        <v/>
      </c>
      <c r="U1176">
        <f>IFERROR(INDEX(PP_Grid[#Data],$DE1176,18),0)</f>
        <v/>
      </c>
      <c r="V1176">
        <f>IFERROR(INDEX(PP_Grid[#Data],$DE1176,19),0)</f>
        <v/>
      </c>
      <c r="W1176">
        <f>IFERROR(INDEX(PP_Grid[#Data],$DE1176,20),0)</f>
        <v/>
      </c>
      <c r="X1176">
        <f>IFERROR(INDEX(PP_Grid[#Data],$DE1176,21),0)</f>
        <v/>
      </c>
      <c r="Y1176">
        <f>IFERROR(INDEX(PP_Grid[#Data],$DE1176,22),0)</f>
        <v/>
      </c>
      <c r="Z1176">
        <f>IFERROR(INDEX(PP_Grid[#Data],$DE1176,23),0)</f>
        <v/>
      </c>
      <c r="AA1176">
        <f>IFERROR(INDEX(PP_Grid[#Data],$DE1176,24),0)</f>
        <v/>
      </c>
      <c r="AB1176">
        <f>IFERROR(INDEX(PP_Grid[#Data],$DE1176,25),0)</f>
        <v/>
      </c>
      <c r="AC1176">
        <f>IFERROR(INDEX(PP_Grid[#Data],$DE1176,26),0)</f>
        <v/>
      </c>
      <c r="AD1176">
        <f>IFERROR(INDEX(PP_Grid[#Data],$DE1176,27),0)</f>
        <v/>
      </c>
      <c r="AE1176">
        <f>IFERROR(INDEX(PP_Grid[#Data],$DE1176,28),0)</f>
        <v/>
      </c>
      <c r="AF1176">
        <f>IFERROR(INDEX(PP_Grid[#Data],$DE1176,29),0)</f>
        <v/>
      </c>
      <c r="AG1176">
        <f>IFERROR(INDEX(PP_Grid[#Data],$DE1176,30),0)</f>
        <v/>
      </c>
      <c r="AH1176">
        <f>IFERROR(INDEX(PP_Grid[#Data],$DE1176,31),0)</f>
        <v/>
      </c>
      <c r="AI1176">
        <f>IFERROR(INDEX(PP_Grid[#Data],$DE1176,32),0)</f>
        <v/>
      </c>
      <c r="AJ1176">
        <f>IFERROR(INDEX(PP_Grid[#Data],$DE1176,33),0)</f>
        <v/>
      </c>
      <c r="AK1176">
        <f>IFERROR(INDEX(PP_Grid[#Data],$DE1176,34),0)</f>
        <v/>
      </c>
      <c r="AL1176">
        <f>IFERROR(INDEX(PP_Grid[#Data],$DE1176,35),0)</f>
        <v/>
      </c>
      <c r="AM1176">
        <f>IFERROR(INDEX(PP_Grid[#Data],$DE1176,36),0)</f>
        <v/>
      </c>
      <c r="AN1176">
        <f>IFERROR(INDEX(PP_Grid[#Data],$DE1176,37),0)</f>
        <v/>
      </c>
      <c r="AO1176">
        <f>IFERROR(INDEX(PP_Grid[#Data],$DE1176,38),0)</f>
        <v/>
      </c>
      <c r="AP1176">
        <f>IFERROR(INDEX(PP_Grid[#Data],$DE1176,39),0)</f>
        <v/>
      </c>
      <c r="AQ1176">
        <f>IFERROR(INDEX(PP_Grid[#Data],$DE1176,40),0)</f>
        <v/>
      </c>
      <c r="AR1176">
        <f>IFERROR(INDEX(PP_Grid[#Data],$DE1176,41),0)</f>
        <v/>
      </c>
      <c r="AS1176">
        <f>IFERROR(INDEX(PP_Grid[#Data],$DE1176,42),0)</f>
        <v/>
      </c>
      <c r="AT1176">
        <f>IFERROR(INDEX(PP_Grid[#Data],$DE1176,43),0)</f>
        <v/>
      </c>
      <c r="AU1176">
        <f>IFERROR(INDEX(PP_Grid[#Data],$DE1176,44),0)</f>
        <v/>
      </c>
      <c r="AV1176">
        <f>IFERROR(INDEX(PP_Grid[#Data],$DE1176,45),0)</f>
        <v/>
      </c>
      <c r="AW1176">
        <f>IFERROR(INDEX(PP_Grid[#Data],$DE1176,46),0)</f>
        <v/>
      </c>
      <c r="AX1176">
        <f>IFERROR(INDEX(PP_Grid[#Data],$DE1176,47),0)</f>
        <v/>
      </c>
      <c r="AY1176">
        <f>IFERROR(INDEX(PP_Grid[#Data],$DE1176,48),0)</f>
        <v/>
      </c>
      <c r="AZ1176">
        <f>IFERROR(INDEX(PP_Grid[#Data],$DE1176,49),0)</f>
        <v/>
      </c>
      <c r="BA1176">
        <f>IFERROR(INDEX(PP_Grid[#Data],$DE1176,50),0)</f>
        <v/>
      </c>
      <c r="BB1176">
        <f>IFERROR(INDEX(PP_Grid[#Data],$DE1176,51),0)</f>
        <v/>
      </c>
      <c r="BC1176">
        <f>IFERROR(INDEX(PP_Grid[#Data],$DE1176,52),0)</f>
        <v/>
      </c>
      <c r="BD1176">
        <f>IFERROR(INDEX(PP_Grid[#Data],$DE1176,53),0)</f>
        <v/>
      </c>
      <c r="BE1176">
        <f>IFERROR(INDEX(PP_Grid[#Data],$DE1176,54),0)</f>
        <v/>
      </c>
      <c r="BF1176">
        <f>IFERROR(INDEX(PP_Grid[#Data],$DE1176,55),0)</f>
        <v/>
      </c>
      <c r="BG1176">
        <f>IFERROR(INDEX(PP_Grid[#Data],$DE1176,56),0)</f>
        <v/>
      </c>
      <c r="BH1176">
        <f>IFERROR(INDEX(PP_Grid[#Data],$DE1176,57),0)</f>
        <v/>
      </c>
      <c r="BI1176">
        <f>IFERROR(INDEX(PP_Grid[#Data],$DE1176,58),0)</f>
        <v/>
      </c>
      <c r="BJ1176">
        <f>IFERROR(INDEX(PP_Grid[#Data],$DE1176,59),0)</f>
        <v/>
      </c>
      <c r="BK1176">
        <f>IFERROR(INDEX(PP_Grid[#Data],$DE1176,60),0)</f>
        <v/>
      </c>
      <c r="BL1176">
        <f>IFERROR(INDEX(PP_Grid[#Data],$DE1176,61),0)</f>
        <v/>
      </c>
      <c r="BM1176">
        <f>IFERROR(INDEX(PP_Grid[#Data],$DE1176,62),0)</f>
        <v/>
      </c>
      <c r="BN1176">
        <f>IFERROR(INDEX(PP_Grid[#Data],$DE1176,63),0)</f>
        <v/>
      </c>
      <c r="BO1176">
        <f>IFERROR(INDEX(PP_Grid[#Data],$DE1176,64),0)</f>
        <v/>
      </c>
      <c r="BP1176">
        <f>IFERROR(INDEX(PP_Grid[#Data],$DE1176,65),0)</f>
        <v/>
      </c>
      <c r="BQ1176">
        <f>IFERROR(INDEX(PP_Grid[#Data],$DE1176,66),0)</f>
        <v/>
      </c>
      <c r="BR1176">
        <f>IFERROR(INDEX(PP_Grid[#Data],$DE1176,67),0)</f>
        <v/>
      </c>
      <c r="BS1176">
        <f>IFERROR(INDEX(PP_Grid[#Data],$DE1176,68),0)</f>
        <v/>
      </c>
      <c r="BT1176">
        <f>IFERROR(INDEX(PP_Grid[#Data],$DE1176,69),0)</f>
        <v/>
      </c>
      <c r="BU1176">
        <f>IFERROR(INDEX(PP_Grid[#Data],$DE1176,70),0)</f>
        <v/>
      </c>
      <c r="BV1176">
        <f>IFERROR(INDEX(PP_Grid[#Data],$DE1176,71),0)</f>
        <v/>
      </c>
      <c r="BW1176">
        <f>IFERROR(INDEX(PP_Grid[#Data],$DE1176,72),0)</f>
        <v/>
      </c>
      <c r="BX1176">
        <f>IFERROR(INDEX(PP_Grid[#Data],$DE1176,73),0)</f>
        <v/>
      </c>
      <c r="BY1176">
        <f>IFERROR(INDEX(PP_Grid[#Data],$DE1176,74),0)</f>
        <v/>
      </c>
      <c r="BZ1176">
        <f>IFERROR(INDEX(PP_Grid[#Data],$DE1176,75),0)</f>
        <v/>
      </c>
      <c r="CA1176">
        <f>IFERROR(INDEX(PP_Grid[#Data],$DE1176,76),0)</f>
        <v/>
      </c>
      <c r="CB1176">
        <f>IFERROR(INDEX(PP_Grid[#Data],$DE1176,77),0)</f>
        <v/>
      </c>
      <c r="CC1176">
        <f>IFERROR(INDEX(PP_Grid[#Data],$DE1176,78),0)</f>
        <v/>
      </c>
      <c r="CD1176">
        <f>IFERROR(INDEX(PP_Grid[#Data],$DE1176,79),0)</f>
        <v/>
      </c>
      <c r="CE1176">
        <f>IFERROR(INDEX(PP_Grid[#Data],$DE1176,80),0)</f>
        <v/>
      </c>
      <c r="CF1176">
        <f>IFERROR(INDEX(PP_Grid[#Data],$DE1176,81),0)</f>
        <v/>
      </c>
      <c r="CG1176">
        <f>IFERROR(INDEX(PP_Grid[#Data],$DE1176,82),0)</f>
        <v/>
      </c>
      <c r="CH1176">
        <f>IFERROR(INDEX(PP_Grid[#Data],$DE1176,83),0)</f>
        <v/>
      </c>
      <c r="CI1176">
        <f>IFERROR(INDEX(PP_Grid[#Data],$DE1176,84),0)</f>
        <v/>
      </c>
      <c r="CJ1176">
        <f>IFERROR(INDEX(PP_Grid[#Data],$DE1176,85),0)</f>
        <v/>
      </c>
      <c r="CK1176">
        <f>IFERROR(INDEX(PP_Grid[#Data],$DE1176,86),0)</f>
        <v/>
      </c>
      <c r="CL1176">
        <f>IFERROR(INDEX(PP_Grid[#Data],$DE1176,87),0)</f>
        <v/>
      </c>
      <c r="CM1176">
        <f>IFERROR(INDEX(PP_Grid[#Data],$DE1176,88),0)</f>
        <v/>
      </c>
      <c r="CN1176">
        <f>IFERROR(INDEX(PP_Grid[#Data],$DE1176,89),0)</f>
        <v/>
      </c>
      <c r="CO1176">
        <f>IFERROR(INDEX(PP_Grid[#Data],$DE1176,90),0)</f>
        <v/>
      </c>
      <c r="CP1176">
        <f>IFERROR(INDEX(PP_Grid[#Data],$DE1176,91),0)</f>
        <v/>
      </c>
      <c r="CQ1176">
        <f>IFERROR(INDEX(PP_Grid[#Data],$DE1176,92),0)</f>
        <v/>
      </c>
      <c r="CR1176">
        <f>IFERROR(INDEX(PP_Grid[#Data],$DE1176,93),0)</f>
        <v/>
      </c>
      <c r="CS1176">
        <f>IFERROR(INDEX(PP_Grid[#Data],$DE1176,94),0)</f>
        <v/>
      </c>
      <c r="CT1176">
        <f>IFERROR(INDEX(PP_Grid[#Data],$DE1176,95),0)</f>
        <v/>
      </c>
      <c r="CU1176">
        <f>IFERROR(INDEX(PP_Grid[#Data],$DE1176,96),0)</f>
        <v/>
      </c>
      <c r="CV1176">
        <f>IFERROR(INDEX(PP_Grid[#Data],$DE1176,97),0)</f>
        <v/>
      </c>
      <c r="CW1176">
        <f>IFERROR(INDEX(PP_Grid[#Data],$DE1176,98),0)</f>
        <v/>
      </c>
      <c r="CX1176">
        <f>IFERROR(INDEX(PP_Grid[#Data],$DE1176,99),0)</f>
        <v/>
      </c>
      <c r="CY1176">
        <f>IFERROR(INDEX(PP_Grid[#Data],$DE1176,100),0)</f>
        <v/>
      </c>
      <c r="CZ1176">
        <f>IFERROR(INDEX(PP_Grid[#Data],$DE1176,101),0)</f>
        <v/>
      </c>
      <c r="DA1176">
        <f>IFERROR(INDEX(PP_Grid[#Data],$DE1176,102),0)</f>
        <v/>
      </c>
      <c r="DB1176">
        <f>IFERROR(INDEX(PP_Grid[#Data],$DE1176,103),0)</f>
        <v/>
      </c>
      <c r="DC1176">
        <f>IFERROR(INDEX(PP_Grid[#Data],$DE1176,104),0)</f>
        <v/>
      </c>
      <c r="DD1176">
        <f>IFERROR(INDEX(PP_Grid[#Data],$DE1176,105),0)</f>
        <v/>
      </c>
      <c r="DE1176" s="7">
        <f>IFERROR(MATCH($B1176,PP_Grid[Intermediate],0),99999)</f>
        <v/>
      </c>
    </row>
    <row r="1177">
      <c r="B1177" t="inlineStr">
        <is>
          <t>使用量(kg)</t>
        </is>
      </c>
      <c r="C1177">
        <f>SUMIFS(M_BOM[RM_Qty_Per_Batch],M_BOM[Intermediate],$B1176,M_BOM[RM_Code],$A1147)</f>
        <v/>
      </c>
      <c r="D1177">
        <f>IFERROR(INDEX(E1177:DD1177,$F$1),"")</f>
        <v/>
      </c>
      <c r="E1177">
        <f>$C1177*E1176</f>
        <v/>
      </c>
      <c r="F1177">
        <f>$C1177*F1176</f>
        <v/>
      </c>
      <c r="G1177">
        <f>$C1177*G1176</f>
        <v/>
      </c>
      <c r="H1177">
        <f>$C1177*H1176</f>
        <v/>
      </c>
      <c r="I1177">
        <f>$C1177*I1176</f>
        <v/>
      </c>
      <c r="J1177">
        <f>$C1177*J1176</f>
        <v/>
      </c>
      <c r="K1177">
        <f>$C1177*K1176</f>
        <v/>
      </c>
      <c r="L1177">
        <f>$C1177*L1176</f>
        <v/>
      </c>
      <c r="M1177">
        <f>$C1177*M1176</f>
        <v/>
      </c>
      <c r="N1177">
        <f>$C1177*N1176</f>
        <v/>
      </c>
      <c r="O1177">
        <f>$C1177*O1176</f>
        <v/>
      </c>
      <c r="P1177">
        <f>$C1177*P1176</f>
        <v/>
      </c>
      <c r="Q1177">
        <f>$C1177*Q1176</f>
        <v/>
      </c>
      <c r="R1177">
        <f>$C1177*R1176</f>
        <v/>
      </c>
      <c r="S1177">
        <f>$C1177*S1176</f>
        <v/>
      </c>
      <c r="T1177">
        <f>$C1177*T1176</f>
        <v/>
      </c>
      <c r="U1177">
        <f>$C1177*U1176</f>
        <v/>
      </c>
      <c r="V1177">
        <f>$C1177*V1176</f>
        <v/>
      </c>
      <c r="W1177">
        <f>$C1177*W1176</f>
        <v/>
      </c>
      <c r="X1177">
        <f>$C1177*X1176</f>
        <v/>
      </c>
      <c r="Y1177">
        <f>$C1177*Y1176</f>
        <v/>
      </c>
      <c r="Z1177">
        <f>$C1177*Z1176</f>
        <v/>
      </c>
      <c r="AA1177">
        <f>$C1177*AA1176</f>
        <v/>
      </c>
      <c r="AB1177">
        <f>$C1177*AB1176</f>
        <v/>
      </c>
      <c r="AC1177">
        <f>$C1177*AC1176</f>
        <v/>
      </c>
      <c r="AD1177">
        <f>$C1177*AD1176</f>
        <v/>
      </c>
      <c r="AE1177">
        <f>$C1177*AE1176</f>
        <v/>
      </c>
      <c r="AF1177">
        <f>$C1177*AF1176</f>
        <v/>
      </c>
      <c r="AG1177">
        <f>$C1177*AG1176</f>
        <v/>
      </c>
      <c r="AH1177">
        <f>$C1177*AH1176</f>
        <v/>
      </c>
      <c r="AI1177">
        <f>$C1177*AI1176</f>
        <v/>
      </c>
      <c r="AJ1177">
        <f>$C1177*AJ1176</f>
        <v/>
      </c>
      <c r="AK1177">
        <f>$C1177*AK1176</f>
        <v/>
      </c>
      <c r="AL1177">
        <f>$C1177*AL1176</f>
        <v/>
      </c>
      <c r="AM1177">
        <f>$C1177*AM1176</f>
        <v/>
      </c>
      <c r="AN1177">
        <f>$C1177*AN1176</f>
        <v/>
      </c>
      <c r="AO1177">
        <f>$C1177*AO1176</f>
        <v/>
      </c>
      <c r="AP1177">
        <f>$C1177*AP1176</f>
        <v/>
      </c>
      <c r="AQ1177">
        <f>$C1177*AQ1176</f>
        <v/>
      </c>
      <c r="AR1177">
        <f>$C1177*AR1176</f>
        <v/>
      </c>
      <c r="AS1177">
        <f>$C1177*AS1176</f>
        <v/>
      </c>
      <c r="AT1177">
        <f>$C1177*AT1176</f>
        <v/>
      </c>
      <c r="AU1177">
        <f>$C1177*AU1176</f>
        <v/>
      </c>
      <c r="AV1177">
        <f>$C1177*AV1176</f>
        <v/>
      </c>
      <c r="AW1177">
        <f>$C1177*AW1176</f>
        <v/>
      </c>
      <c r="AX1177">
        <f>$C1177*AX1176</f>
        <v/>
      </c>
      <c r="AY1177">
        <f>$C1177*AY1176</f>
        <v/>
      </c>
      <c r="AZ1177">
        <f>$C1177*AZ1176</f>
        <v/>
      </c>
      <c r="BA1177">
        <f>$C1177*BA1176</f>
        <v/>
      </c>
      <c r="BB1177">
        <f>$C1177*BB1176</f>
        <v/>
      </c>
      <c r="BC1177">
        <f>$C1177*BC1176</f>
        <v/>
      </c>
      <c r="BD1177">
        <f>$C1177*BD1176</f>
        <v/>
      </c>
      <c r="BE1177">
        <f>$C1177*BE1176</f>
        <v/>
      </c>
      <c r="BF1177">
        <f>$C1177*BF1176</f>
        <v/>
      </c>
      <c r="BG1177">
        <f>$C1177*BG1176</f>
        <v/>
      </c>
      <c r="BH1177">
        <f>$C1177*BH1176</f>
        <v/>
      </c>
      <c r="BI1177">
        <f>$C1177*BI1176</f>
        <v/>
      </c>
      <c r="BJ1177">
        <f>$C1177*BJ1176</f>
        <v/>
      </c>
      <c r="BK1177">
        <f>$C1177*BK1176</f>
        <v/>
      </c>
      <c r="BL1177">
        <f>$C1177*BL1176</f>
        <v/>
      </c>
      <c r="BM1177">
        <f>$C1177*BM1176</f>
        <v/>
      </c>
      <c r="BN1177">
        <f>$C1177*BN1176</f>
        <v/>
      </c>
      <c r="BO1177">
        <f>$C1177*BO1176</f>
        <v/>
      </c>
      <c r="BP1177">
        <f>$C1177*BP1176</f>
        <v/>
      </c>
      <c r="BQ1177">
        <f>$C1177*BQ1176</f>
        <v/>
      </c>
      <c r="BR1177">
        <f>$C1177*BR1176</f>
        <v/>
      </c>
      <c r="BS1177">
        <f>$C1177*BS1176</f>
        <v/>
      </c>
      <c r="BT1177">
        <f>$C1177*BT1176</f>
        <v/>
      </c>
      <c r="BU1177">
        <f>$C1177*BU1176</f>
        <v/>
      </c>
      <c r="BV1177">
        <f>$C1177*BV1176</f>
        <v/>
      </c>
      <c r="BW1177">
        <f>$C1177*BW1176</f>
        <v/>
      </c>
      <c r="BX1177">
        <f>$C1177*BX1176</f>
        <v/>
      </c>
      <c r="BY1177">
        <f>$C1177*BY1176</f>
        <v/>
      </c>
      <c r="BZ1177">
        <f>$C1177*BZ1176</f>
        <v/>
      </c>
      <c r="CA1177">
        <f>$C1177*CA1176</f>
        <v/>
      </c>
      <c r="CB1177">
        <f>$C1177*CB1176</f>
        <v/>
      </c>
      <c r="CC1177">
        <f>$C1177*CC1176</f>
        <v/>
      </c>
      <c r="CD1177">
        <f>$C1177*CD1176</f>
        <v/>
      </c>
      <c r="CE1177">
        <f>$C1177*CE1176</f>
        <v/>
      </c>
      <c r="CF1177">
        <f>$C1177*CF1176</f>
        <v/>
      </c>
      <c r="CG1177">
        <f>$C1177*CG1176</f>
        <v/>
      </c>
      <c r="CH1177">
        <f>$C1177*CH1176</f>
        <v/>
      </c>
      <c r="CI1177">
        <f>$C1177*CI1176</f>
        <v/>
      </c>
      <c r="CJ1177">
        <f>$C1177*CJ1176</f>
        <v/>
      </c>
      <c r="CK1177">
        <f>$C1177*CK1176</f>
        <v/>
      </c>
      <c r="CL1177">
        <f>$C1177*CL1176</f>
        <v/>
      </c>
      <c r="CM1177">
        <f>$C1177*CM1176</f>
        <v/>
      </c>
      <c r="CN1177">
        <f>$C1177*CN1176</f>
        <v/>
      </c>
      <c r="CO1177">
        <f>$C1177*CO1176</f>
        <v/>
      </c>
      <c r="CP1177">
        <f>$C1177*CP1176</f>
        <v/>
      </c>
      <c r="CQ1177">
        <f>$C1177*CQ1176</f>
        <v/>
      </c>
      <c r="CR1177">
        <f>$C1177*CR1176</f>
        <v/>
      </c>
      <c r="CS1177">
        <f>$C1177*CS1176</f>
        <v/>
      </c>
      <c r="CT1177">
        <f>$C1177*CT1176</f>
        <v/>
      </c>
      <c r="CU1177">
        <f>$C1177*CU1176</f>
        <v/>
      </c>
      <c r="CV1177">
        <f>$C1177*CV1176</f>
        <v/>
      </c>
      <c r="CW1177">
        <f>$C1177*CW1176</f>
        <v/>
      </c>
      <c r="CX1177">
        <f>$C1177*CX1176</f>
        <v/>
      </c>
      <c r="CY1177">
        <f>$C1177*CY1176</f>
        <v/>
      </c>
      <c r="CZ1177">
        <f>$C1177*CZ1176</f>
        <v/>
      </c>
      <c r="DA1177">
        <f>$C1177*DA1176</f>
        <v/>
      </c>
      <c r="DB1177">
        <f>$C1177*DB1176</f>
        <v/>
      </c>
      <c r="DC1177">
        <f>$C1177*DC1176</f>
        <v/>
      </c>
      <c r="DD1177">
        <f>$C1177*DD1176</f>
        <v/>
      </c>
    </row>
    <row r="1178">
      <c r="B1178" t="inlineStr">
        <is>
          <t>VSP-567</t>
        </is>
      </c>
      <c r="C1178" t="inlineStr">
        <is>
          <t>No. of batches</t>
        </is>
      </c>
      <c r="D1178">
        <f>IFERROR(INDEX(E1178:DD1178,$F$1),"")</f>
        <v/>
      </c>
      <c r="E1178">
        <f>IFERROR(INDEX(PP_Grid[#Data],$DE1178,2),0)</f>
        <v/>
      </c>
      <c r="F1178">
        <f>IFERROR(INDEX(PP_Grid[#Data],$DE1178,3),0)</f>
        <v/>
      </c>
      <c r="G1178">
        <f>IFERROR(INDEX(PP_Grid[#Data],$DE1178,4),0)</f>
        <v/>
      </c>
      <c r="H1178">
        <f>IFERROR(INDEX(PP_Grid[#Data],$DE1178,5),0)</f>
        <v/>
      </c>
      <c r="I1178">
        <f>IFERROR(INDEX(PP_Grid[#Data],$DE1178,6),0)</f>
        <v/>
      </c>
      <c r="J1178">
        <f>IFERROR(INDEX(PP_Grid[#Data],$DE1178,7),0)</f>
        <v/>
      </c>
      <c r="K1178">
        <f>IFERROR(INDEX(PP_Grid[#Data],$DE1178,8),0)</f>
        <v/>
      </c>
      <c r="L1178">
        <f>IFERROR(INDEX(PP_Grid[#Data],$DE1178,9),0)</f>
        <v/>
      </c>
      <c r="M1178">
        <f>IFERROR(INDEX(PP_Grid[#Data],$DE1178,10),0)</f>
        <v/>
      </c>
      <c r="N1178">
        <f>IFERROR(INDEX(PP_Grid[#Data],$DE1178,11),0)</f>
        <v/>
      </c>
      <c r="O1178">
        <f>IFERROR(INDEX(PP_Grid[#Data],$DE1178,12),0)</f>
        <v/>
      </c>
      <c r="P1178">
        <f>IFERROR(INDEX(PP_Grid[#Data],$DE1178,13),0)</f>
        <v/>
      </c>
      <c r="Q1178">
        <f>IFERROR(INDEX(PP_Grid[#Data],$DE1178,14),0)</f>
        <v/>
      </c>
      <c r="R1178">
        <f>IFERROR(INDEX(PP_Grid[#Data],$DE1178,15),0)</f>
        <v/>
      </c>
      <c r="S1178">
        <f>IFERROR(INDEX(PP_Grid[#Data],$DE1178,16),0)</f>
        <v/>
      </c>
      <c r="T1178">
        <f>IFERROR(INDEX(PP_Grid[#Data],$DE1178,17),0)</f>
        <v/>
      </c>
      <c r="U1178">
        <f>IFERROR(INDEX(PP_Grid[#Data],$DE1178,18),0)</f>
        <v/>
      </c>
      <c r="V1178">
        <f>IFERROR(INDEX(PP_Grid[#Data],$DE1178,19),0)</f>
        <v/>
      </c>
      <c r="W1178">
        <f>IFERROR(INDEX(PP_Grid[#Data],$DE1178,20),0)</f>
        <v/>
      </c>
      <c r="X1178">
        <f>IFERROR(INDEX(PP_Grid[#Data],$DE1178,21),0)</f>
        <v/>
      </c>
      <c r="Y1178">
        <f>IFERROR(INDEX(PP_Grid[#Data],$DE1178,22),0)</f>
        <v/>
      </c>
      <c r="Z1178">
        <f>IFERROR(INDEX(PP_Grid[#Data],$DE1178,23),0)</f>
        <v/>
      </c>
      <c r="AA1178">
        <f>IFERROR(INDEX(PP_Grid[#Data],$DE1178,24),0)</f>
        <v/>
      </c>
      <c r="AB1178">
        <f>IFERROR(INDEX(PP_Grid[#Data],$DE1178,25),0)</f>
        <v/>
      </c>
      <c r="AC1178">
        <f>IFERROR(INDEX(PP_Grid[#Data],$DE1178,26),0)</f>
        <v/>
      </c>
      <c r="AD1178">
        <f>IFERROR(INDEX(PP_Grid[#Data],$DE1178,27),0)</f>
        <v/>
      </c>
      <c r="AE1178">
        <f>IFERROR(INDEX(PP_Grid[#Data],$DE1178,28),0)</f>
        <v/>
      </c>
      <c r="AF1178">
        <f>IFERROR(INDEX(PP_Grid[#Data],$DE1178,29),0)</f>
        <v/>
      </c>
      <c r="AG1178">
        <f>IFERROR(INDEX(PP_Grid[#Data],$DE1178,30),0)</f>
        <v/>
      </c>
      <c r="AH1178">
        <f>IFERROR(INDEX(PP_Grid[#Data],$DE1178,31),0)</f>
        <v/>
      </c>
      <c r="AI1178">
        <f>IFERROR(INDEX(PP_Grid[#Data],$DE1178,32),0)</f>
        <v/>
      </c>
      <c r="AJ1178">
        <f>IFERROR(INDEX(PP_Grid[#Data],$DE1178,33),0)</f>
        <v/>
      </c>
      <c r="AK1178">
        <f>IFERROR(INDEX(PP_Grid[#Data],$DE1178,34),0)</f>
        <v/>
      </c>
      <c r="AL1178">
        <f>IFERROR(INDEX(PP_Grid[#Data],$DE1178,35),0)</f>
        <v/>
      </c>
      <c r="AM1178">
        <f>IFERROR(INDEX(PP_Grid[#Data],$DE1178,36),0)</f>
        <v/>
      </c>
      <c r="AN1178">
        <f>IFERROR(INDEX(PP_Grid[#Data],$DE1178,37),0)</f>
        <v/>
      </c>
      <c r="AO1178">
        <f>IFERROR(INDEX(PP_Grid[#Data],$DE1178,38),0)</f>
        <v/>
      </c>
      <c r="AP1178">
        <f>IFERROR(INDEX(PP_Grid[#Data],$DE1178,39),0)</f>
        <v/>
      </c>
      <c r="AQ1178">
        <f>IFERROR(INDEX(PP_Grid[#Data],$DE1178,40),0)</f>
        <v/>
      </c>
      <c r="AR1178">
        <f>IFERROR(INDEX(PP_Grid[#Data],$DE1178,41),0)</f>
        <v/>
      </c>
      <c r="AS1178">
        <f>IFERROR(INDEX(PP_Grid[#Data],$DE1178,42),0)</f>
        <v/>
      </c>
      <c r="AT1178">
        <f>IFERROR(INDEX(PP_Grid[#Data],$DE1178,43),0)</f>
        <v/>
      </c>
      <c r="AU1178">
        <f>IFERROR(INDEX(PP_Grid[#Data],$DE1178,44),0)</f>
        <v/>
      </c>
      <c r="AV1178">
        <f>IFERROR(INDEX(PP_Grid[#Data],$DE1178,45),0)</f>
        <v/>
      </c>
      <c r="AW1178">
        <f>IFERROR(INDEX(PP_Grid[#Data],$DE1178,46),0)</f>
        <v/>
      </c>
      <c r="AX1178">
        <f>IFERROR(INDEX(PP_Grid[#Data],$DE1178,47),0)</f>
        <v/>
      </c>
      <c r="AY1178">
        <f>IFERROR(INDEX(PP_Grid[#Data],$DE1178,48),0)</f>
        <v/>
      </c>
      <c r="AZ1178">
        <f>IFERROR(INDEX(PP_Grid[#Data],$DE1178,49),0)</f>
        <v/>
      </c>
      <c r="BA1178">
        <f>IFERROR(INDEX(PP_Grid[#Data],$DE1178,50),0)</f>
        <v/>
      </c>
      <c r="BB1178">
        <f>IFERROR(INDEX(PP_Grid[#Data],$DE1178,51),0)</f>
        <v/>
      </c>
      <c r="BC1178">
        <f>IFERROR(INDEX(PP_Grid[#Data],$DE1178,52),0)</f>
        <v/>
      </c>
      <c r="BD1178">
        <f>IFERROR(INDEX(PP_Grid[#Data],$DE1178,53),0)</f>
        <v/>
      </c>
      <c r="BE1178">
        <f>IFERROR(INDEX(PP_Grid[#Data],$DE1178,54),0)</f>
        <v/>
      </c>
      <c r="BF1178">
        <f>IFERROR(INDEX(PP_Grid[#Data],$DE1178,55),0)</f>
        <v/>
      </c>
      <c r="BG1178">
        <f>IFERROR(INDEX(PP_Grid[#Data],$DE1178,56),0)</f>
        <v/>
      </c>
      <c r="BH1178">
        <f>IFERROR(INDEX(PP_Grid[#Data],$DE1178,57),0)</f>
        <v/>
      </c>
      <c r="BI1178">
        <f>IFERROR(INDEX(PP_Grid[#Data],$DE1178,58),0)</f>
        <v/>
      </c>
      <c r="BJ1178">
        <f>IFERROR(INDEX(PP_Grid[#Data],$DE1178,59),0)</f>
        <v/>
      </c>
      <c r="BK1178">
        <f>IFERROR(INDEX(PP_Grid[#Data],$DE1178,60),0)</f>
        <v/>
      </c>
      <c r="BL1178">
        <f>IFERROR(INDEX(PP_Grid[#Data],$DE1178,61),0)</f>
        <v/>
      </c>
      <c r="BM1178">
        <f>IFERROR(INDEX(PP_Grid[#Data],$DE1178,62),0)</f>
        <v/>
      </c>
      <c r="BN1178">
        <f>IFERROR(INDEX(PP_Grid[#Data],$DE1178,63),0)</f>
        <v/>
      </c>
      <c r="BO1178">
        <f>IFERROR(INDEX(PP_Grid[#Data],$DE1178,64),0)</f>
        <v/>
      </c>
      <c r="BP1178">
        <f>IFERROR(INDEX(PP_Grid[#Data],$DE1178,65),0)</f>
        <v/>
      </c>
      <c r="BQ1178">
        <f>IFERROR(INDEX(PP_Grid[#Data],$DE1178,66),0)</f>
        <v/>
      </c>
      <c r="BR1178">
        <f>IFERROR(INDEX(PP_Grid[#Data],$DE1178,67),0)</f>
        <v/>
      </c>
      <c r="BS1178">
        <f>IFERROR(INDEX(PP_Grid[#Data],$DE1178,68),0)</f>
        <v/>
      </c>
      <c r="BT1178">
        <f>IFERROR(INDEX(PP_Grid[#Data],$DE1178,69),0)</f>
        <v/>
      </c>
      <c r="BU1178">
        <f>IFERROR(INDEX(PP_Grid[#Data],$DE1178,70),0)</f>
        <v/>
      </c>
      <c r="BV1178">
        <f>IFERROR(INDEX(PP_Grid[#Data],$DE1178,71),0)</f>
        <v/>
      </c>
      <c r="BW1178">
        <f>IFERROR(INDEX(PP_Grid[#Data],$DE1178,72),0)</f>
        <v/>
      </c>
      <c r="BX1178">
        <f>IFERROR(INDEX(PP_Grid[#Data],$DE1178,73),0)</f>
        <v/>
      </c>
      <c r="BY1178">
        <f>IFERROR(INDEX(PP_Grid[#Data],$DE1178,74),0)</f>
        <v/>
      </c>
      <c r="BZ1178">
        <f>IFERROR(INDEX(PP_Grid[#Data],$DE1178,75),0)</f>
        <v/>
      </c>
      <c r="CA1178">
        <f>IFERROR(INDEX(PP_Grid[#Data],$DE1178,76),0)</f>
        <v/>
      </c>
      <c r="CB1178">
        <f>IFERROR(INDEX(PP_Grid[#Data],$DE1178,77),0)</f>
        <v/>
      </c>
      <c r="CC1178">
        <f>IFERROR(INDEX(PP_Grid[#Data],$DE1178,78),0)</f>
        <v/>
      </c>
      <c r="CD1178">
        <f>IFERROR(INDEX(PP_Grid[#Data],$DE1178,79),0)</f>
        <v/>
      </c>
      <c r="CE1178">
        <f>IFERROR(INDEX(PP_Grid[#Data],$DE1178,80),0)</f>
        <v/>
      </c>
      <c r="CF1178">
        <f>IFERROR(INDEX(PP_Grid[#Data],$DE1178,81),0)</f>
        <v/>
      </c>
      <c r="CG1178">
        <f>IFERROR(INDEX(PP_Grid[#Data],$DE1178,82),0)</f>
        <v/>
      </c>
      <c r="CH1178">
        <f>IFERROR(INDEX(PP_Grid[#Data],$DE1178,83),0)</f>
        <v/>
      </c>
      <c r="CI1178">
        <f>IFERROR(INDEX(PP_Grid[#Data],$DE1178,84),0)</f>
        <v/>
      </c>
      <c r="CJ1178">
        <f>IFERROR(INDEX(PP_Grid[#Data],$DE1178,85),0)</f>
        <v/>
      </c>
      <c r="CK1178">
        <f>IFERROR(INDEX(PP_Grid[#Data],$DE1178,86),0)</f>
        <v/>
      </c>
      <c r="CL1178">
        <f>IFERROR(INDEX(PP_Grid[#Data],$DE1178,87),0)</f>
        <v/>
      </c>
      <c r="CM1178">
        <f>IFERROR(INDEX(PP_Grid[#Data],$DE1178,88),0)</f>
        <v/>
      </c>
      <c r="CN1178">
        <f>IFERROR(INDEX(PP_Grid[#Data],$DE1178,89),0)</f>
        <v/>
      </c>
      <c r="CO1178">
        <f>IFERROR(INDEX(PP_Grid[#Data],$DE1178,90),0)</f>
        <v/>
      </c>
      <c r="CP1178">
        <f>IFERROR(INDEX(PP_Grid[#Data],$DE1178,91),0)</f>
        <v/>
      </c>
      <c r="CQ1178">
        <f>IFERROR(INDEX(PP_Grid[#Data],$DE1178,92),0)</f>
        <v/>
      </c>
      <c r="CR1178">
        <f>IFERROR(INDEX(PP_Grid[#Data],$DE1178,93),0)</f>
        <v/>
      </c>
      <c r="CS1178">
        <f>IFERROR(INDEX(PP_Grid[#Data],$DE1178,94),0)</f>
        <v/>
      </c>
      <c r="CT1178">
        <f>IFERROR(INDEX(PP_Grid[#Data],$DE1178,95),0)</f>
        <v/>
      </c>
      <c r="CU1178">
        <f>IFERROR(INDEX(PP_Grid[#Data],$DE1178,96),0)</f>
        <v/>
      </c>
      <c r="CV1178">
        <f>IFERROR(INDEX(PP_Grid[#Data],$DE1178,97),0)</f>
        <v/>
      </c>
      <c r="CW1178">
        <f>IFERROR(INDEX(PP_Grid[#Data],$DE1178,98),0)</f>
        <v/>
      </c>
      <c r="CX1178">
        <f>IFERROR(INDEX(PP_Grid[#Data],$DE1178,99),0)</f>
        <v/>
      </c>
      <c r="CY1178">
        <f>IFERROR(INDEX(PP_Grid[#Data],$DE1178,100),0)</f>
        <v/>
      </c>
      <c r="CZ1178">
        <f>IFERROR(INDEX(PP_Grid[#Data],$DE1178,101),0)</f>
        <v/>
      </c>
      <c r="DA1178">
        <f>IFERROR(INDEX(PP_Grid[#Data],$DE1178,102),0)</f>
        <v/>
      </c>
      <c r="DB1178">
        <f>IFERROR(INDEX(PP_Grid[#Data],$DE1178,103),0)</f>
        <v/>
      </c>
      <c r="DC1178">
        <f>IFERROR(INDEX(PP_Grid[#Data],$DE1178,104),0)</f>
        <v/>
      </c>
      <c r="DD1178">
        <f>IFERROR(INDEX(PP_Grid[#Data],$DE1178,105),0)</f>
        <v/>
      </c>
      <c r="DE1178" s="7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SUMIFS(M_BOM[RM_Qty_Per_Batch],M_BOM[Intermediate],$B1178,M_BOM[RM_Code],$A1147)</f>
        <v/>
      </c>
      <c r="D1179">
        <f>IFERROR(INDEX(E1179:DD1179,$F$1),"")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  <c r="DD1179">
        <f>$C1179*DD1178</f>
        <v/>
      </c>
    </row>
    <row r="1180">
      <c r="B1180" t="inlineStr">
        <is>
          <t>VSP-602</t>
        </is>
      </c>
      <c r="C1180" t="inlineStr">
        <is>
          <t>No. of batches</t>
        </is>
      </c>
      <c r="D1180">
        <f>IFERROR(INDEX(E1180:DD1180,$F$1),"")</f>
        <v/>
      </c>
      <c r="E1180">
        <f>IFERROR(INDEX(PP_Grid[#Data],$DE1180,2),0)</f>
        <v/>
      </c>
      <c r="F1180">
        <f>IFERROR(INDEX(PP_Grid[#Data],$DE1180,3),0)</f>
        <v/>
      </c>
      <c r="G1180">
        <f>IFERROR(INDEX(PP_Grid[#Data],$DE1180,4),0)</f>
        <v/>
      </c>
      <c r="H1180">
        <f>IFERROR(INDEX(PP_Grid[#Data],$DE1180,5),0)</f>
        <v/>
      </c>
      <c r="I1180">
        <f>IFERROR(INDEX(PP_Grid[#Data],$DE1180,6),0)</f>
        <v/>
      </c>
      <c r="J1180">
        <f>IFERROR(INDEX(PP_Grid[#Data],$DE1180,7),0)</f>
        <v/>
      </c>
      <c r="K1180">
        <f>IFERROR(INDEX(PP_Grid[#Data],$DE1180,8),0)</f>
        <v/>
      </c>
      <c r="L1180">
        <f>IFERROR(INDEX(PP_Grid[#Data],$DE1180,9),0)</f>
        <v/>
      </c>
      <c r="M1180">
        <f>IFERROR(INDEX(PP_Grid[#Data],$DE1180,10),0)</f>
        <v/>
      </c>
      <c r="N1180">
        <f>IFERROR(INDEX(PP_Grid[#Data],$DE1180,11),0)</f>
        <v/>
      </c>
      <c r="O1180">
        <f>IFERROR(INDEX(PP_Grid[#Data],$DE1180,12),0)</f>
        <v/>
      </c>
      <c r="P1180">
        <f>IFERROR(INDEX(PP_Grid[#Data],$DE1180,13),0)</f>
        <v/>
      </c>
      <c r="Q1180">
        <f>IFERROR(INDEX(PP_Grid[#Data],$DE1180,14),0)</f>
        <v/>
      </c>
      <c r="R1180">
        <f>IFERROR(INDEX(PP_Grid[#Data],$DE1180,15),0)</f>
        <v/>
      </c>
      <c r="S1180">
        <f>IFERROR(INDEX(PP_Grid[#Data],$DE1180,16),0)</f>
        <v/>
      </c>
      <c r="T1180">
        <f>IFERROR(INDEX(PP_Grid[#Data],$DE1180,17),0)</f>
        <v/>
      </c>
      <c r="U1180">
        <f>IFERROR(INDEX(PP_Grid[#Data],$DE1180,18),0)</f>
        <v/>
      </c>
      <c r="V1180">
        <f>IFERROR(INDEX(PP_Grid[#Data],$DE1180,19),0)</f>
        <v/>
      </c>
      <c r="W1180">
        <f>IFERROR(INDEX(PP_Grid[#Data],$DE1180,20),0)</f>
        <v/>
      </c>
      <c r="X1180">
        <f>IFERROR(INDEX(PP_Grid[#Data],$DE1180,21),0)</f>
        <v/>
      </c>
      <c r="Y1180">
        <f>IFERROR(INDEX(PP_Grid[#Data],$DE1180,22),0)</f>
        <v/>
      </c>
      <c r="Z1180">
        <f>IFERROR(INDEX(PP_Grid[#Data],$DE1180,23),0)</f>
        <v/>
      </c>
      <c r="AA1180">
        <f>IFERROR(INDEX(PP_Grid[#Data],$DE1180,24),0)</f>
        <v/>
      </c>
      <c r="AB1180">
        <f>IFERROR(INDEX(PP_Grid[#Data],$DE1180,25),0)</f>
        <v/>
      </c>
      <c r="AC1180">
        <f>IFERROR(INDEX(PP_Grid[#Data],$DE1180,26),0)</f>
        <v/>
      </c>
      <c r="AD1180">
        <f>IFERROR(INDEX(PP_Grid[#Data],$DE1180,27),0)</f>
        <v/>
      </c>
      <c r="AE1180">
        <f>IFERROR(INDEX(PP_Grid[#Data],$DE1180,28),0)</f>
        <v/>
      </c>
      <c r="AF1180">
        <f>IFERROR(INDEX(PP_Grid[#Data],$DE1180,29),0)</f>
        <v/>
      </c>
      <c r="AG1180">
        <f>IFERROR(INDEX(PP_Grid[#Data],$DE1180,30),0)</f>
        <v/>
      </c>
      <c r="AH1180">
        <f>IFERROR(INDEX(PP_Grid[#Data],$DE1180,31),0)</f>
        <v/>
      </c>
      <c r="AI1180">
        <f>IFERROR(INDEX(PP_Grid[#Data],$DE1180,32),0)</f>
        <v/>
      </c>
      <c r="AJ1180">
        <f>IFERROR(INDEX(PP_Grid[#Data],$DE1180,33),0)</f>
        <v/>
      </c>
      <c r="AK1180">
        <f>IFERROR(INDEX(PP_Grid[#Data],$DE1180,34),0)</f>
        <v/>
      </c>
      <c r="AL1180">
        <f>IFERROR(INDEX(PP_Grid[#Data],$DE1180,35),0)</f>
        <v/>
      </c>
      <c r="AM1180">
        <f>IFERROR(INDEX(PP_Grid[#Data],$DE1180,36),0)</f>
        <v/>
      </c>
      <c r="AN1180">
        <f>IFERROR(INDEX(PP_Grid[#Data],$DE1180,37),0)</f>
        <v/>
      </c>
      <c r="AO1180">
        <f>IFERROR(INDEX(PP_Grid[#Data],$DE1180,38),0)</f>
        <v/>
      </c>
      <c r="AP1180">
        <f>IFERROR(INDEX(PP_Grid[#Data],$DE1180,39),0)</f>
        <v/>
      </c>
      <c r="AQ1180">
        <f>IFERROR(INDEX(PP_Grid[#Data],$DE1180,40),0)</f>
        <v/>
      </c>
      <c r="AR1180">
        <f>IFERROR(INDEX(PP_Grid[#Data],$DE1180,41),0)</f>
        <v/>
      </c>
      <c r="AS1180">
        <f>IFERROR(INDEX(PP_Grid[#Data],$DE1180,42),0)</f>
        <v/>
      </c>
      <c r="AT1180">
        <f>IFERROR(INDEX(PP_Grid[#Data],$DE1180,43),0)</f>
        <v/>
      </c>
      <c r="AU1180">
        <f>IFERROR(INDEX(PP_Grid[#Data],$DE1180,44),0)</f>
        <v/>
      </c>
      <c r="AV1180">
        <f>IFERROR(INDEX(PP_Grid[#Data],$DE1180,45),0)</f>
        <v/>
      </c>
      <c r="AW1180">
        <f>IFERROR(INDEX(PP_Grid[#Data],$DE1180,46),0)</f>
        <v/>
      </c>
      <c r="AX1180">
        <f>IFERROR(INDEX(PP_Grid[#Data],$DE1180,47),0)</f>
        <v/>
      </c>
      <c r="AY1180">
        <f>IFERROR(INDEX(PP_Grid[#Data],$DE1180,48),0)</f>
        <v/>
      </c>
      <c r="AZ1180">
        <f>IFERROR(INDEX(PP_Grid[#Data],$DE1180,49),0)</f>
        <v/>
      </c>
      <c r="BA1180">
        <f>IFERROR(INDEX(PP_Grid[#Data],$DE1180,50),0)</f>
        <v/>
      </c>
      <c r="BB1180">
        <f>IFERROR(INDEX(PP_Grid[#Data],$DE1180,51),0)</f>
        <v/>
      </c>
      <c r="BC1180">
        <f>IFERROR(INDEX(PP_Grid[#Data],$DE1180,52),0)</f>
        <v/>
      </c>
      <c r="BD1180">
        <f>IFERROR(INDEX(PP_Grid[#Data],$DE1180,53),0)</f>
        <v/>
      </c>
      <c r="BE1180">
        <f>IFERROR(INDEX(PP_Grid[#Data],$DE1180,54),0)</f>
        <v/>
      </c>
      <c r="BF1180">
        <f>IFERROR(INDEX(PP_Grid[#Data],$DE1180,55),0)</f>
        <v/>
      </c>
      <c r="BG1180">
        <f>IFERROR(INDEX(PP_Grid[#Data],$DE1180,56),0)</f>
        <v/>
      </c>
      <c r="BH1180">
        <f>IFERROR(INDEX(PP_Grid[#Data],$DE1180,57),0)</f>
        <v/>
      </c>
      <c r="BI1180">
        <f>IFERROR(INDEX(PP_Grid[#Data],$DE1180,58),0)</f>
        <v/>
      </c>
      <c r="BJ1180">
        <f>IFERROR(INDEX(PP_Grid[#Data],$DE1180,59),0)</f>
        <v/>
      </c>
      <c r="BK1180">
        <f>IFERROR(INDEX(PP_Grid[#Data],$DE1180,60),0)</f>
        <v/>
      </c>
      <c r="BL1180">
        <f>IFERROR(INDEX(PP_Grid[#Data],$DE1180,61),0)</f>
        <v/>
      </c>
      <c r="BM1180">
        <f>IFERROR(INDEX(PP_Grid[#Data],$DE1180,62),0)</f>
        <v/>
      </c>
      <c r="BN1180">
        <f>IFERROR(INDEX(PP_Grid[#Data],$DE1180,63),0)</f>
        <v/>
      </c>
      <c r="BO1180">
        <f>IFERROR(INDEX(PP_Grid[#Data],$DE1180,64),0)</f>
        <v/>
      </c>
      <c r="BP1180">
        <f>IFERROR(INDEX(PP_Grid[#Data],$DE1180,65),0)</f>
        <v/>
      </c>
      <c r="BQ1180">
        <f>IFERROR(INDEX(PP_Grid[#Data],$DE1180,66),0)</f>
        <v/>
      </c>
      <c r="BR1180">
        <f>IFERROR(INDEX(PP_Grid[#Data],$DE1180,67),0)</f>
        <v/>
      </c>
      <c r="BS1180">
        <f>IFERROR(INDEX(PP_Grid[#Data],$DE1180,68),0)</f>
        <v/>
      </c>
      <c r="BT1180">
        <f>IFERROR(INDEX(PP_Grid[#Data],$DE1180,69),0)</f>
        <v/>
      </c>
      <c r="BU1180">
        <f>IFERROR(INDEX(PP_Grid[#Data],$DE1180,70),0)</f>
        <v/>
      </c>
      <c r="BV1180">
        <f>IFERROR(INDEX(PP_Grid[#Data],$DE1180,71),0)</f>
        <v/>
      </c>
      <c r="BW1180">
        <f>IFERROR(INDEX(PP_Grid[#Data],$DE1180,72),0)</f>
        <v/>
      </c>
      <c r="BX1180">
        <f>IFERROR(INDEX(PP_Grid[#Data],$DE1180,73),0)</f>
        <v/>
      </c>
      <c r="BY1180">
        <f>IFERROR(INDEX(PP_Grid[#Data],$DE1180,74),0)</f>
        <v/>
      </c>
      <c r="BZ1180">
        <f>IFERROR(INDEX(PP_Grid[#Data],$DE1180,75),0)</f>
        <v/>
      </c>
      <c r="CA1180">
        <f>IFERROR(INDEX(PP_Grid[#Data],$DE1180,76),0)</f>
        <v/>
      </c>
      <c r="CB1180">
        <f>IFERROR(INDEX(PP_Grid[#Data],$DE1180,77),0)</f>
        <v/>
      </c>
      <c r="CC1180">
        <f>IFERROR(INDEX(PP_Grid[#Data],$DE1180,78),0)</f>
        <v/>
      </c>
      <c r="CD1180">
        <f>IFERROR(INDEX(PP_Grid[#Data],$DE1180,79),0)</f>
        <v/>
      </c>
      <c r="CE1180">
        <f>IFERROR(INDEX(PP_Grid[#Data],$DE1180,80),0)</f>
        <v/>
      </c>
      <c r="CF1180">
        <f>IFERROR(INDEX(PP_Grid[#Data],$DE1180,81),0)</f>
        <v/>
      </c>
      <c r="CG1180">
        <f>IFERROR(INDEX(PP_Grid[#Data],$DE1180,82),0)</f>
        <v/>
      </c>
      <c r="CH1180">
        <f>IFERROR(INDEX(PP_Grid[#Data],$DE1180,83),0)</f>
        <v/>
      </c>
      <c r="CI1180">
        <f>IFERROR(INDEX(PP_Grid[#Data],$DE1180,84),0)</f>
        <v/>
      </c>
      <c r="CJ1180">
        <f>IFERROR(INDEX(PP_Grid[#Data],$DE1180,85),0)</f>
        <v/>
      </c>
      <c r="CK1180">
        <f>IFERROR(INDEX(PP_Grid[#Data],$DE1180,86),0)</f>
        <v/>
      </c>
      <c r="CL1180">
        <f>IFERROR(INDEX(PP_Grid[#Data],$DE1180,87),0)</f>
        <v/>
      </c>
      <c r="CM1180">
        <f>IFERROR(INDEX(PP_Grid[#Data],$DE1180,88),0)</f>
        <v/>
      </c>
      <c r="CN1180">
        <f>IFERROR(INDEX(PP_Grid[#Data],$DE1180,89),0)</f>
        <v/>
      </c>
      <c r="CO1180">
        <f>IFERROR(INDEX(PP_Grid[#Data],$DE1180,90),0)</f>
        <v/>
      </c>
      <c r="CP1180">
        <f>IFERROR(INDEX(PP_Grid[#Data],$DE1180,91),0)</f>
        <v/>
      </c>
      <c r="CQ1180">
        <f>IFERROR(INDEX(PP_Grid[#Data],$DE1180,92),0)</f>
        <v/>
      </c>
      <c r="CR1180">
        <f>IFERROR(INDEX(PP_Grid[#Data],$DE1180,93),0)</f>
        <v/>
      </c>
      <c r="CS1180">
        <f>IFERROR(INDEX(PP_Grid[#Data],$DE1180,94),0)</f>
        <v/>
      </c>
      <c r="CT1180">
        <f>IFERROR(INDEX(PP_Grid[#Data],$DE1180,95),0)</f>
        <v/>
      </c>
      <c r="CU1180">
        <f>IFERROR(INDEX(PP_Grid[#Data],$DE1180,96),0)</f>
        <v/>
      </c>
      <c r="CV1180">
        <f>IFERROR(INDEX(PP_Grid[#Data],$DE1180,97),0)</f>
        <v/>
      </c>
      <c r="CW1180">
        <f>IFERROR(INDEX(PP_Grid[#Data],$DE1180,98),0)</f>
        <v/>
      </c>
      <c r="CX1180">
        <f>IFERROR(INDEX(PP_Grid[#Data],$DE1180,99),0)</f>
        <v/>
      </c>
      <c r="CY1180">
        <f>IFERROR(INDEX(PP_Grid[#Data],$DE1180,100),0)</f>
        <v/>
      </c>
      <c r="CZ1180">
        <f>IFERROR(INDEX(PP_Grid[#Data],$DE1180,101),0)</f>
        <v/>
      </c>
      <c r="DA1180">
        <f>IFERROR(INDEX(PP_Grid[#Data],$DE1180,102),0)</f>
        <v/>
      </c>
      <c r="DB1180">
        <f>IFERROR(INDEX(PP_Grid[#Data],$DE1180,103),0)</f>
        <v/>
      </c>
      <c r="DC1180">
        <f>IFERROR(INDEX(PP_Grid[#Data],$DE1180,104),0)</f>
        <v/>
      </c>
      <c r="DD1180">
        <f>IFERROR(INDEX(PP_Grid[#Data],$DE1180,105),0)</f>
        <v/>
      </c>
      <c r="DE1180" s="7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SUMIFS(M_BOM[RM_Qty_Per_Batch],M_BOM[Intermediate],$B1180,M_BOM[RM_Code],$A1147)</f>
        <v/>
      </c>
      <c r="D1181">
        <f>IFERROR(INDEX(E1181:DD1181,$F$1),"")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  <c r="DD1181">
        <f>$C1181*DD1180</f>
        <v/>
      </c>
    </row>
    <row r="1182">
      <c r="B1182" t="inlineStr">
        <is>
          <t>VSP-605</t>
        </is>
      </c>
      <c r="C1182" t="inlineStr">
        <is>
          <t>No. of batches</t>
        </is>
      </c>
      <c r="D1182">
        <f>IFERROR(INDEX(E1182:DD1182,$F$1),"")</f>
        <v/>
      </c>
      <c r="E1182">
        <f>IFERROR(INDEX(PP_Grid[#Data],$DE1182,2),0)</f>
        <v/>
      </c>
      <c r="F1182">
        <f>IFERROR(INDEX(PP_Grid[#Data],$DE1182,3),0)</f>
        <v/>
      </c>
      <c r="G1182">
        <f>IFERROR(INDEX(PP_Grid[#Data],$DE1182,4),0)</f>
        <v/>
      </c>
      <c r="H1182">
        <f>IFERROR(INDEX(PP_Grid[#Data],$DE1182,5),0)</f>
        <v/>
      </c>
      <c r="I1182">
        <f>IFERROR(INDEX(PP_Grid[#Data],$DE1182,6),0)</f>
        <v/>
      </c>
      <c r="J1182">
        <f>IFERROR(INDEX(PP_Grid[#Data],$DE1182,7),0)</f>
        <v/>
      </c>
      <c r="K1182">
        <f>IFERROR(INDEX(PP_Grid[#Data],$DE1182,8),0)</f>
        <v/>
      </c>
      <c r="L1182">
        <f>IFERROR(INDEX(PP_Grid[#Data],$DE1182,9),0)</f>
        <v/>
      </c>
      <c r="M1182">
        <f>IFERROR(INDEX(PP_Grid[#Data],$DE1182,10),0)</f>
        <v/>
      </c>
      <c r="N1182">
        <f>IFERROR(INDEX(PP_Grid[#Data],$DE1182,11),0)</f>
        <v/>
      </c>
      <c r="O1182">
        <f>IFERROR(INDEX(PP_Grid[#Data],$DE1182,12),0)</f>
        <v/>
      </c>
      <c r="P1182">
        <f>IFERROR(INDEX(PP_Grid[#Data],$DE1182,13),0)</f>
        <v/>
      </c>
      <c r="Q1182">
        <f>IFERROR(INDEX(PP_Grid[#Data],$DE1182,14),0)</f>
        <v/>
      </c>
      <c r="R1182">
        <f>IFERROR(INDEX(PP_Grid[#Data],$DE1182,15),0)</f>
        <v/>
      </c>
      <c r="S1182">
        <f>IFERROR(INDEX(PP_Grid[#Data],$DE1182,16),0)</f>
        <v/>
      </c>
      <c r="T1182">
        <f>IFERROR(INDEX(PP_Grid[#Data],$DE1182,17),0)</f>
        <v/>
      </c>
      <c r="U1182">
        <f>IFERROR(INDEX(PP_Grid[#Data],$DE1182,18),0)</f>
        <v/>
      </c>
      <c r="V1182">
        <f>IFERROR(INDEX(PP_Grid[#Data],$DE1182,19),0)</f>
        <v/>
      </c>
      <c r="W1182">
        <f>IFERROR(INDEX(PP_Grid[#Data],$DE1182,20),0)</f>
        <v/>
      </c>
      <c r="X1182">
        <f>IFERROR(INDEX(PP_Grid[#Data],$DE1182,21),0)</f>
        <v/>
      </c>
      <c r="Y1182">
        <f>IFERROR(INDEX(PP_Grid[#Data],$DE1182,22),0)</f>
        <v/>
      </c>
      <c r="Z1182">
        <f>IFERROR(INDEX(PP_Grid[#Data],$DE1182,23),0)</f>
        <v/>
      </c>
      <c r="AA1182">
        <f>IFERROR(INDEX(PP_Grid[#Data],$DE1182,24),0)</f>
        <v/>
      </c>
      <c r="AB1182">
        <f>IFERROR(INDEX(PP_Grid[#Data],$DE1182,25),0)</f>
        <v/>
      </c>
      <c r="AC1182">
        <f>IFERROR(INDEX(PP_Grid[#Data],$DE1182,26),0)</f>
        <v/>
      </c>
      <c r="AD1182">
        <f>IFERROR(INDEX(PP_Grid[#Data],$DE1182,27),0)</f>
        <v/>
      </c>
      <c r="AE1182">
        <f>IFERROR(INDEX(PP_Grid[#Data],$DE1182,28),0)</f>
        <v/>
      </c>
      <c r="AF1182">
        <f>IFERROR(INDEX(PP_Grid[#Data],$DE1182,29),0)</f>
        <v/>
      </c>
      <c r="AG1182">
        <f>IFERROR(INDEX(PP_Grid[#Data],$DE1182,30),0)</f>
        <v/>
      </c>
      <c r="AH1182">
        <f>IFERROR(INDEX(PP_Grid[#Data],$DE1182,31),0)</f>
        <v/>
      </c>
      <c r="AI1182">
        <f>IFERROR(INDEX(PP_Grid[#Data],$DE1182,32),0)</f>
        <v/>
      </c>
      <c r="AJ1182">
        <f>IFERROR(INDEX(PP_Grid[#Data],$DE1182,33),0)</f>
        <v/>
      </c>
      <c r="AK1182">
        <f>IFERROR(INDEX(PP_Grid[#Data],$DE1182,34),0)</f>
        <v/>
      </c>
      <c r="AL1182">
        <f>IFERROR(INDEX(PP_Grid[#Data],$DE1182,35),0)</f>
        <v/>
      </c>
      <c r="AM1182">
        <f>IFERROR(INDEX(PP_Grid[#Data],$DE1182,36),0)</f>
        <v/>
      </c>
      <c r="AN1182">
        <f>IFERROR(INDEX(PP_Grid[#Data],$DE1182,37),0)</f>
        <v/>
      </c>
      <c r="AO1182">
        <f>IFERROR(INDEX(PP_Grid[#Data],$DE1182,38),0)</f>
        <v/>
      </c>
      <c r="AP1182">
        <f>IFERROR(INDEX(PP_Grid[#Data],$DE1182,39),0)</f>
        <v/>
      </c>
      <c r="AQ1182">
        <f>IFERROR(INDEX(PP_Grid[#Data],$DE1182,40),0)</f>
        <v/>
      </c>
      <c r="AR1182">
        <f>IFERROR(INDEX(PP_Grid[#Data],$DE1182,41),0)</f>
        <v/>
      </c>
      <c r="AS1182">
        <f>IFERROR(INDEX(PP_Grid[#Data],$DE1182,42),0)</f>
        <v/>
      </c>
      <c r="AT1182">
        <f>IFERROR(INDEX(PP_Grid[#Data],$DE1182,43),0)</f>
        <v/>
      </c>
      <c r="AU1182">
        <f>IFERROR(INDEX(PP_Grid[#Data],$DE1182,44),0)</f>
        <v/>
      </c>
      <c r="AV1182">
        <f>IFERROR(INDEX(PP_Grid[#Data],$DE1182,45),0)</f>
        <v/>
      </c>
      <c r="AW1182">
        <f>IFERROR(INDEX(PP_Grid[#Data],$DE1182,46),0)</f>
        <v/>
      </c>
      <c r="AX1182">
        <f>IFERROR(INDEX(PP_Grid[#Data],$DE1182,47),0)</f>
        <v/>
      </c>
      <c r="AY1182">
        <f>IFERROR(INDEX(PP_Grid[#Data],$DE1182,48),0)</f>
        <v/>
      </c>
      <c r="AZ1182">
        <f>IFERROR(INDEX(PP_Grid[#Data],$DE1182,49),0)</f>
        <v/>
      </c>
      <c r="BA1182">
        <f>IFERROR(INDEX(PP_Grid[#Data],$DE1182,50),0)</f>
        <v/>
      </c>
      <c r="BB1182">
        <f>IFERROR(INDEX(PP_Grid[#Data],$DE1182,51),0)</f>
        <v/>
      </c>
      <c r="BC1182">
        <f>IFERROR(INDEX(PP_Grid[#Data],$DE1182,52),0)</f>
        <v/>
      </c>
      <c r="BD1182">
        <f>IFERROR(INDEX(PP_Grid[#Data],$DE1182,53),0)</f>
        <v/>
      </c>
      <c r="BE1182">
        <f>IFERROR(INDEX(PP_Grid[#Data],$DE1182,54),0)</f>
        <v/>
      </c>
      <c r="BF1182">
        <f>IFERROR(INDEX(PP_Grid[#Data],$DE1182,55),0)</f>
        <v/>
      </c>
      <c r="BG1182">
        <f>IFERROR(INDEX(PP_Grid[#Data],$DE1182,56),0)</f>
        <v/>
      </c>
      <c r="BH1182">
        <f>IFERROR(INDEX(PP_Grid[#Data],$DE1182,57),0)</f>
        <v/>
      </c>
      <c r="BI1182">
        <f>IFERROR(INDEX(PP_Grid[#Data],$DE1182,58),0)</f>
        <v/>
      </c>
      <c r="BJ1182">
        <f>IFERROR(INDEX(PP_Grid[#Data],$DE1182,59),0)</f>
        <v/>
      </c>
      <c r="BK1182">
        <f>IFERROR(INDEX(PP_Grid[#Data],$DE1182,60),0)</f>
        <v/>
      </c>
      <c r="BL1182">
        <f>IFERROR(INDEX(PP_Grid[#Data],$DE1182,61),0)</f>
        <v/>
      </c>
      <c r="BM1182">
        <f>IFERROR(INDEX(PP_Grid[#Data],$DE1182,62),0)</f>
        <v/>
      </c>
      <c r="BN1182">
        <f>IFERROR(INDEX(PP_Grid[#Data],$DE1182,63),0)</f>
        <v/>
      </c>
      <c r="BO1182">
        <f>IFERROR(INDEX(PP_Grid[#Data],$DE1182,64),0)</f>
        <v/>
      </c>
      <c r="BP1182">
        <f>IFERROR(INDEX(PP_Grid[#Data],$DE1182,65),0)</f>
        <v/>
      </c>
      <c r="BQ1182">
        <f>IFERROR(INDEX(PP_Grid[#Data],$DE1182,66),0)</f>
        <v/>
      </c>
      <c r="BR1182">
        <f>IFERROR(INDEX(PP_Grid[#Data],$DE1182,67),0)</f>
        <v/>
      </c>
      <c r="BS1182">
        <f>IFERROR(INDEX(PP_Grid[#Data],$DE1182,68),0)</f>
        <v/>
      </c>
      <c r="BT1182">
        <f>IFERROR(INDEX(PP_Grid[#Data],$DE1182,69),0)</f>
        <v/>
      </c>
      <c r="BU1182">
        <f>IFERROR(INDEX(PP_Grid[#Data],$DE1182,70),0)</f>
        <v/>
      </c>
      <c r="BV1182">
        <f>IFERROR(INDEX(PP_Grid[#Data],$DE1182,71),0)</f>
        <v/>
      </c>
      <c r="BW1182">
        <f>IFERROR(INDEX(PP_Grid[#Data],$DE1182,72),0)</f>
        <v/>
      </c>
      <c r="BX1182">
        <f>IFERROR(INDEX(PP_Grid[#Data],$DE1182,73),0)</f>
        <v/>
      </c>
      <c r="BY1182">
        <f>IFERROR(INDEX(PP_Grid[#Data],$DE1182,74),0)</f>
        <v/>
      </c>
      <c r="BZ1182">
        <f>IFERROR(INDEX(PP_Grid[#Data],$DE1182,75),0)</f>
        <v/>
      </c>
      <c r="CA1182">
        <f>IFERROR(INDEX(PP_Grid[#Data],$DE1182,76),0)</f>
        <v/>
      </c>
      <c r="CB1182">
        <f>IFERROR(INDEX(PP_Grid[#Data],$DE1182,77),0)</f>
        <v/>
      </c>
      <c r="CC1182">
        <f>IFERROR(INDEX(PP_Grid[#Data],$DE1182,78),0)</f>
        <v/>
      </c>
      <c r="CD1182">
        <f>IFERROR(INDEX(PP_Grid[#Data],$DE1182,79),0)</f>
        <v/>
      </c>
      <c r="CE1182">
        <f>IFERROR(INDEX(PP_Grid[#Data],$DE1182,80),0)</f>
        <v/>
      </c>
      <c r="CF1182">
        <f>IFERROR(INDEX(PP_Grid[#Data],$DE1182,81),0)</f>
        <v/>
      </c>
      <c r="CG1182">
        <f>IFERROR(INDEX(PP_Grid[#Data],$DE1182,82),0)</f>
        <v/>
      </c>
      <c r="CH1182">
        <f>IFERROR(INDEX(PP_Grid[#Data],$DE1182,83),0)</f>
        <v/>
      </c>
      <c r="CI1182">
        <f>IFERROR(INDEX(PP_Grid[#Data],$DE1182,84),0)</f>
        <v/>
      </c>
      <c r="CJ1182">
        <f>IFERROR(INDEX(PP_Grid[#Data],$DE1182,85),0)</f>
        <v/>
      </c>
      <c r="CK1182">
        <f>IFERROR(INDEX(PP_Grid[#Data],$DE1182,86),0)</f>
        <v/>
      </c>
      <c r="CL1182">
        <f>IFERROR(INDEX(PP_Grid[#Data],$DE1182,87),0)</f>
        <v/>
      </c>
      <c r="CM1182">
        <f>IFERROR(INDEX(PP_Grid[#Data],$DE1182,88),0)</f>
        <v/>
      </c>
      <c r="CN1182">
        <f>IFERROR(INDEX(PP_Grid[#Data],$DE1182,89),0)</f>
        <v/>
      </c>
      <c r="CO1182">
        <f>IFERROR(INDEX(PP_Grid[#Data],$DE1182,90),0)</f>
        <v/>
      </c>
      <c r="CP1182">
        <f>IFERROR(INDEX(PP_Grid[#Data],$DE1182,91),0)</f>
        <v/>
      </c>
      <c r="CQ1182">
        <f>IFERROR(INDEX(PP_Grid[#Data],$DE1182,92),0)</f>
        <v/>
      </c>
      <c r="CR1182">
        <f>IFERROR(INDEX(PP_Grid[#Data],$DE1182,93),0)</f>
        <v/>
      </c>
      <c r="CS1182">
        <f>IFERROR(INDEX(PP_Grid[#Data],$DE1182,94),0)</f>
        <v/>
      </c>
      <c r="CT1182">
        <f>IFERROR(INDEX(PP_Grid[#Data],$DE1182,95),0)</f>
        <v/>
      </c>
      <c r="CU1182">
        <f>IFERROR(INDEX(PP_Grid[#Data],$DE1182,96),0)</f>
        <v/>
      </c>
      <c r="CV1182">
        <f>IFERROR(INDEX(PP_Grid[#Data],$DE1182,97),0)</f>
        <v/>
      </c>
      <c r="CW1182">
        <f>IFERROR(INDEX(PP_Grid[#Data],$DE1182,98),0)</f>
        <v/>
      </c>
      <c r="CX1182">
        <f>IFERROR(INDEX(PP_Grid[#Data],$DE1182,99),0)</f>
        <v/>
      </c>
      <c r="CY1182">
        <f>IFERROR(INDEX(PP_Grid[#Data],$DE1182,100),0)</f>
        <v/>
      </c>
      <c r="CZ1182">
        <f>IFERROR(INDEX(PP_Grid[#Data],$DE1182,101),0)</f>
        <v/>
      </c>
      <c r="DA1182">
        <f>IFERROR(INDEX(PP_Grid[#Data],$DE1182,102),0)</f>
        <v/>
      </c>
      <c r="DB1182">
        <f>IFERROR(INDEX(PP_Grid[#Data],$DE1182,103),0)</f>
        <v/>
      </c>
      <c r="DC1182">
        <f>IFERROR(INDEX(PP_Grid[#Data],$DE1182,104),0)</f>
        <v/>
      </c>
      <c r="DD1182">
        <f>IFERROR(INDEX(PP_Grid[#Data],$DE1182,105),0)</f>
        <v/>
      </c>
      <c r="DE1182" s="7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SUMIFS(M_BOM[RM_Qty_Per_Batch],M_BOM[Intermediate],$B1182,M_BOM[RM_Code],$A1147)</f>
        <v/>
      </c>
      <c r="D1183">
        <f>IFERROR(INDEX(E1183:DD1183,$F$1),"")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  <c r="DD1183">
        <f>$C1183*DD1182</f>
        <v/>
      </c>
    </row>
    <row r="1184">
      <c r="B1184" t="inlineStr">
        <is>
          <t>VSP-607</t>
        </is>
      </c>
      <c r="C1184" t="inlineStr">
        <is>
          <t>No. of batches</t>
        </is>
      </c>
      <c r="D1184">
        <f>IFERROR(INDEX(E1184:DD1184,$F$1),"")</f>
        <v/>
      </c>
      <c r="E1184">
        <f>IFERROR(INDEX(PP_Grid[#Data],$DE1184,2),0)</f>
        <v/>
      </c>
      <c r="F1184">
        <f>IFERROR(INDEX(PP_Grid[#Data],$DE1184,3),0)</f>
        <v/>
      </c>
      <c r="G1184">
        <f>IFERROR(INDEX(PP_Grid[#Data],$DE1184,4),0)</f>
        <v/>
      </c>
      <c r="H1184">
        <f>IFERROR(INDEX(PP_Grid[#Data],$DE1184,5),0)</f>
        <v/>
      </c>
      <c r="I1184">
        <f>IFERROR(INDEX(PP_Grid[#Data],$DE1184,6),0)</f>
        <v/>
      </c>
      <c r="J1184">
        <f>IFERROR(INDEX(PP_Grid[#Data],$DE1184,7),0)</f>
        <v/>
      </c>
      <c r="K1184">
        <f>IFERROR(INDEX(PP_Grid[#Data],$DE1184,8),0)</f>
        <v/>
      </c>
      <c r="L1184">
        <f>IFERROR(INDEX(PP_Grid[#Data],$DE1184,9),0)</f>
        <v/>
      </c>
      <c r="M1184">
        <f>IFERROR(INDEX(PP_Grid[#Data],$DE1184,10),0)</f>
        <v/>
      </c>
      <c r="N1184">
        <f>IFERROR(INDEX(PP_Grid[#Data],$DE1184,11),0)</f>
        <v/>
      </c>
      <c r="O1184">
        <f>IFERROR(INDEX(PP_Grid[#Data],$DE1184,12),0)</f>
        <v/>
      </c>
      <c r="P1184">
        <f>IFERROR(INDEX(PP_Grid[#Data],$DE1184,13),0)</f>
        <v/>
      </c>
      <c r="Q1184">
        <f>IFERROR(INDEX(PP_Grid[#Data],$DE1184,14),0)</f>
        <v/>
      </c>
      <c r="R1184">
        <f>IFERROR(INDEX(PP_Grid[#Data],$DE1184,15),0)</f>
        <v/>
      </c>
      <c r="S1184">
        <f>IFERROR(INDEX(PP_Grid[#Data],$DE1184,16),0)</f>
        <v/>
      </c>
      <c r="T1184">
        <f>IFERROR(INDEX(PP_Grid[#Data],$DE1184,17),0)</f>
        <v/>
      </c>
      <c r="U1184">
        <f>IFERROR(INDEX(PP_Grid[#Data],$DE1184,18),0)</f>
        <v/>
      </c>
      <c r="V1184">
        <f>IFERROR(INDEX(PP_Grid[#Data],$DE1184,19),0)</f>
        <v/>
      </c>
      <c r="W1184">
        <f>IFERROR(INDEX(PP_Grid[#Data],$DE1184,20),0)</f>
        <v/>
      </c>
      <c r="X1184">
        <f>IFERROR(INDEX(PP_Grid[#Data],$DE1184,21),0)</f>
        <v/>
      </c>
      <c r="Y1184">
        <f>IFERROR(INDEX(PP_Grid[#Data],$DE1184,22),0)</f>
        <v/>
      </c>
      <c r="Z1184">
        <f>IFERROR(INDEX(PP_Grid[#Data],$DE1184,23),0)</f>
        <v/>
      </c>
      <c r="AA1184">
        <f>IFERROR(INDEX(PP_Grid[#Data],$DE1184,24),0)</f>
        <v/>
      </c>
      <c r="AB1184">
        <f>IFERROR(INDEX(PP_Grid[#Data],$DE1184,25),0)</f>
        <v/>
      </c>
      <c r="AC1184">
        <f>IFERROR(INDEX(PP_Grid[#Data],$DE1184,26),0)</f>
        <v/>
      </c>
      <c r="AD1184">
        <f>IFERROR(INDEX(PP_Grid[#Data],$DE1184,27),0)</f>
        <v/>
      </c>
      <c r="AE1184">
        <f>IFERROR(INDEX(PP_Grid[#Data],$DE1184,28),0)</f>
        <v/>
      </c>
      <c r="AF1184">
        <f>IFERROR(INDEX(PP_Grid[#Data],$DE1184,29),0)</f>
        <v/>
      </c>
      <c r="AG1184">
        <f>IFERROR(INDEX(PP_Grid[#Data],$DE1184,30),0)</f>
        <v/>
      </c>
      <c r="AH1184">
        <f>IFERROR(INDEX(PP_Grid[#Data],$DE1184,31),0)</f>
        <v/>
      </c>
      <c r="AI1184">
        <f>IFERROR(INDEX(PP_Grid[#Data],$DE1184,32),0)</f>
        <v/>
      </c>
      <c r="AJ1184">
        <f>IFERROR(INDEX(PP_Grid[#Data],$DE1184,33),0)</f>
        <v/>
      </c>
      <c r="AK1184">
        <f>IFERROR(INDEX(PP_Grid[#Data],$DE1184,34),0)</f>
        <v/>
      </c>
      <c r="AL1184">
        <f>IFERROR(INDEX(PP_Grid[#Data],$DE1184,35),0)</f>
        <v/>
      </c>
      <c r="AM1184">
        <f>IFERROR(INDEX(PP_Grid[#Data],$DE1184,36),0)</f>
        <v/>
      </c>
      <c r="AN1184">
        <f>IFERROR(INDEX(PP_Grid[#Data],$DE1184,37),0)</f>
        <v/>
      </c>
      <c r="AO1184">
        <f>IFERROR(INDEX(PP_Grid[#Data],$DE1184,38),0)</f>
        <v/>
      </c>
      <c r="AP1184">
        <f>IFERROR(INDEX(PP_Grid[#Data],$DE1184,39),0)</f>
        <v/>
      </c>
      <c r="AQ1184">
        <f>IFERROR(INDEX(PP_Grid[#Data],$DE1184,40),0)</f>
        <v/>
      </c>
      <c r="AR1184">
        <f>IFERROR(INDEX(PP_Grid[#Data],$DE1184,41),0)</f>
        <v/>
      </c>
      <c r="AS1184">
        <f>IFERROR(INDEX(PP_Grid[#Data],$DE1184,42),0)</f>
        <v/>
      </c>
      <c r="AT1184">
        <f>IFERROR(INDEX(PP_Grid[#Data],$DE1184,43),0)</f>
        <v/>
      </c>
      <c r="AU1184">
        <f>IFERROR(INDEX(PP_Grid[#Data],$DE1184,44),0)</f>
        <v/>
      </c>
      <c r="AV1184">
        <f>IFERROR(INDEX(PP_Grid[#Data],$DE1184,45),0)</f>
        <v/>
      </c>
      <c r="AW1184">
        <f>IFERROR(INDEX(PP_Grid[#Data],$DE1184,46),0)</f>
        <v/>
      </c>
      <c r="AX1184">
        <f>IFERROR(INDEX(PP_Grid[#Data],$DE1184,47),0)</f>
        <v/>
      </c>
      <c r="AY1184">
        <f>IFERROR(INDEX(PP_Grid[#Data],$DE1184,48),0)</f>
        <v/>
      </c>
      <c r="AZ1184">
        <f>IFERROR(INDEX(PP_Grid[#Data],$DE1184,49),0)</f>
        <v/>
      </c>
      <c r="BA1184">
        <f>IFERROR(INDEX(PP_Grid[#Data],$DE1184,50),0)</f>
        <v/>
      </c>
      <c r="BB1184">
        <f>IFERROR(INDEX(PP_Grid[#Data],$DE1184,51),0)</f>
        <v/>
      </c>
      <c r="BC1184">
        <f>IFERROR(INDEX(PP_Grid[#Data],$DE1184,52),0)</f>
        <v/>
      </c>
      <c r="BD1184">
        <f>IFERROR(INDEX(PP_Grid[#Data],$DE1184,53),0)</f>
        <v/>
      </c>
      <c r="BE1184">
        <f>IFERROR(INDEX(PP_Grid[#Data],$DE1184,54),0)</f>
        <v/>
      </c>
      <c r="BF1184">
        <f>IFERROR(INDEX(PP_Grid[#Data],$DE1184,55),0)</f>
        <v/>
      </c>
      <c r="BG1184">
        <f>IFERROR(INDEX(PP_Grid[#Data],$DE1184,56),0)</f>
        <v/>
      </c>
      <c r="BH1184">
        <f>IFERROR(INDEX(PP_Grid[#Data],$DE1184,57),0)</f>
        <v/>
      </c>
      <c r="BI1184">
        <f>IFERROR(INDEX(PP_Grid[#Data],$DE1184,58),0)</f>
        <v/>
      </c>
      <c r="BJ1184">
        <f>IFERROR(INDEX(PP_Grid[#Data],$DE1184,59),0)</f>
        <v/>
      </c>
      <c r="BK1184">
        <f>IFERROR(INDEX(PP_Grid[#Data],$DE1184,60),0)</f>
        <v/>
      </c>
      <c r="BL1184">
        <f>IFERROR(INDEX(PP_Grid[#Data],$DE1184,61),0)</f>
        <v/>
      </c>
      <c r="BM1184">
        <f>IFERROR(INDEX(PP_Grid[#Data],$DE1184,62),0)</f>
        <v/>
      </c>
      <c r="BN1184">
        <f>IFERROR(INDEX(PP_Grid[#Data],$DE1184,63),0)</f>
        <v/>
      </c>
      <c r="BO1184">
        <f>IFERROR(INDEX(PP_Grid[#Data],$DE1184,64),0)</f>
        <v/>
      </c>
      <c r="BP1184">
        <f>IFERROR(INDEX(PP_Grid[#Data],$DE1184,65),0)</f>
        <v/>
      </c>
      <c r="BQ1184">
        <f>IFERROR(INDEX(PP_Grid[#Data],$DE1184,66),0)</f>
        <v/>
      </c>
      <c r="BR1184">
        <f>IFERROR(INDEX(PP_Grid[#Data],$DE1184,67),0)</f>
        <v/>
      </c>
      <c r="BS1184">
        <f>IFERROR(INDEX(PP_Grid[#Data],$DE1184,68),0)</f>
        <v/>
      </c>
      <c r="BT1184">
        <f>IFERROR(INDEX(PP_Grid[#Data],$DE1184,69),0)</f>
        <v/>
      </c>
      <c r="BU1184">
        <f>IFERROR(INDEX(PP_Grid[#Data],$DE1184,70),0)</f>
        <v/>
      </c>
      <c r="BV1184">
        <f>IFERROR(INDEX(PP_Grid[#Data],$DE1184,71),0)</f>
        <v/>
      </c>
      <c r="BW1184">
        <f>IFERROR(INDEX(PP_Grid[#Data],$DE1184,72),0)</f>
        <v/>
      </c>
      <c r="BX1184">
        <f>IFERROR(INDEX(PP_Grid[#Data],$DE1184,73),0)</f>
        <v/>
      </c>
      <c r="BY1184">
        <f>IFERROR(INDEX(PP_Grid[#Data],$DE1184,74),0)</f>
        <v/>
      </c>
      <c r="BZ1184">
        <f>IFERROR(INDEX(PP_Grid[#Data],$DE1184,75),0)</f>
        <v/>
      </c>
      <c r="CA1184">
        <f>IFERROR(INDEX(PP_Grid[#Data],$DE1184,76),0)</f>
        <v/>
      </c>
      <c r="CB1184">
        <f>IFERROR(INDEX(PP_Grid[#Data],$DE1184,77),0)</f>
        <v/>
      </c>
      <c r="CC1184">
        <f>IFERROR(INDEX(PP_Grid[#Data],$DE1184,78),0)</f>
        <v/>
      </c>
      <c r="CD1184">
        <f>IFERROR(INDEX(PP_Grid[#Data],$DE1184,79),0)</f>
        <v/>
      </c>
      <c r="CE1184">
        <f>IFERROR(INDEX(PP_Grid[#Data],$DE1184,80),0)</f>
        <v/>
      </c>
      <c r="CF1184">
        <f>IFERROR(INDEX(PP_Grid[#Data],$DE1184,81),0)</f>
        <v/>
      </c>
      <c r="CG1184">
        <f>IFERROR(INDEX(PP_Grid[#Data],$DE1184,82),0)</f>
        <v/>
      </c>
      <c r="CH1184">
        <f>IFERROR(INDEX(PP_Grid[#Data],$DE1184,83),0)</f>
        <v/>
      </c>
      <c r="CI1184">
        <f>IFERROR(INDEX(PP_Grid[#Data],$DE1184,84),0)</f>
        <v/>
      </c>
      <c r="CJ1184">
        <f>IFERROR(INDEX(PP_Grid[#Data],$DE1184,85),0)</f>
        <v/>
      </c>
      <c r="CK1184">
        <f>IFERROR(INDEX(PP_Grid[#Data],$DE1184,86),0)</f>
        <v/>
      </c>
      <c r="CL1184">
        <f>IFERROR(INDEX(PP_Grid[#Data],$DE1184,87),0)</f>
        <v/>
      </c>
      <c r="CM1184">
        <f>IFERROR(INDEX(PP_Grid[#Data],$DE1184,88),0)</f>
        <v/>
      </c>
      <c r="CN1184">
        <f>IFERROR(INDEX(PP_Grid[#Data],$DE1184,89),0)</f>
        <v/>
      </c>
      <c r="CO1184">
        <f>IFERROR(INDEX(PP_Grid[#Data],$DE1184,90),0)</f>
        <v/>
      </c>
      <c r="CP1184">
        <f>IFERROR(INDEX(PP_Grid[#Data],$DE1184,91),0)</f>
        <v/>
      </c>
      <c r="CQ1184">
        <f>IFERROR(INDEX(PP_Grid[#Data],$DE1184,92),0)</f>
        <v/>
      </c>
      <c r="CR1184">
        <f>IFERROR(INDEX(PP_Grid[#Data],$DE1184,93),0)</f>
        <v/>
      </c>
      <c r="CS1184">
        <f>IFERROR(INDEX(PP_Grid[#Data],$DE1184,94),0)</f>
        <v/>
      </c>
      <c r="CT1184">
        <f>IFERROR(INDEX(PP_Grid[#Data],$DE1184,95),0)</f>
        <v/>
      </c>
      <c r="CU1184">
        <f>IFERROR(INDEX(PP_Grid[#Data],$DE1184,96),0)</f>
        <v/>
      </c>
      <c r="CV1184">
        <f>IFERROR(INDEX(PP_Grid[#Data],$DE1184,97),0)</f>
        <v/>
      </c>
      <c r="CW1184">
        <f>IFERROR(INDEX(PP_Grid[#Data],$DE1184,98),0)</f>
        <v/>
      </c>
      <c r="CX1184">
        <f>IFERROR(INDEX(PP_Grid[#Data],$DE1184,99),0)</f>
        <v/>
      </c>
      <c r="CY1184">
        <f>IFERROR(INDEX(PP_Grid[#Data],$DE1184,100),0)</f>
        <v/>
      </c>
      <c r="CZ1184">
        <f>IFERROR(INDEX(PP_Grid[#Data],$DE1184,101),0)</f>
        <v/>
      </c>
      <c r="DA1184">
        <f>IFERROR(INDEX(PP_Grid[#Data],$DE1184,102),0)</f>
        <v/>
      </c>
      <c r="DB1184">
        <f>IFERROR(INDEX(PP_Grid[#Data],$DE1184,103),0)</f>
        <v/>
      </c>
      <c r="DC1184">
        <f>IFERROR(INDEX(PP_Grid[#Data],$DE1184,104),0)</f>
        <v/>
      </c>
      <c r="DD1184">
        <f>IFERROR(INDEX(PP_Grid[#Data],$DE1184,105),0)</f>
        <v/>
      </c>
      <c r="DE1184" s="7">
        <f>IFERROR(MATCH($B1184,PP_Grid[Intermediate],0),99999)</f>
        <v/>
      </c>
    </row>
    <row r="1185">
      <c r="B1185" t="inlineStr">
        <is>
          <t>使用量(kg)</t>
        </is>
      </c>
      <c r="C1185">
        <f>SUMIFS(M_BOM[RM_Qty_Per_Batch],M_BOM[Intermediate],$B1184,M_BOM[RM_Code],$A1147)</f>
        <v/>
      </c>
      <c r="D1185">
        <f>IFERROR(INDEX(E1185:DD1185,$F$1),"")</f>
        <v/>
      </c>
      <c r="E1185">
        <f>$C1185*E1184</f>
        <v/>
      </c>
      <c r="F1185">
        <f>$C1185*F1184</f>
        <v/>
      </c>
      <c r="G1185">
        <f>$C1185*G1184</f>
        <v/>
      </c>
      <c r="H1185">
        <f>$C1185*H1184</f>
        <v/>
      </c>
      <c r="I1185">
        <f>$C1185*I1184</f>
        <v/>
      </c>
      <c r="J1185">
        <f>$C1185*J1184</f>
        <v/>
      </c>
      <c r="K1185">
        <f>$C1185*K1184</f>
        <v/>
      </c>
      <c r="L1185">
        <f>$C1185*L1184</f>
        <v/>
      </c>
      <c r="M1185">
        <f>$C1185*M1184</f>
        <v/>
      </c>
      <c r="N1185">
        <f>$C1185*N1184</f>
        <v/>
      </c>
      <c r="O1185">
        <f>$C1185*O1184</f>
        <v/>
      </c>
      <c r="P1185">
        <f>$C1185*P1184</f>
        <v/>
      </c>
      <c r="Q1185">
        <f>$C1185*Q1184</f>
        <v/>
      </c>
      <c r="R1185">
        <f>$C1185*R1184</f>
        <v/>
      </c>
      <c r="S1185">
        <f>$C1185*S1184</f>
        <v/>
      </c>
      <c r="T1185">
        <f>$C1185*T1184</f>
        <v/>
      </c>
      <c r="U1185">
        <f>$C1185*U1184</f>
        <v/>
      </c>
      <c r="V1185">
        <f>$C1185*V1184</f>
        <v/>
      </c>
      <c r="W1185">
        <f>$C1185*W1184</f>
        <v/>
      </c>
      <c r="X1185">
        <f>$C1185*X1184</f>
        <v/>
      </c>
      <c r="Y1185">
        <f>$C1185*Y1184</f>
        <v/>
      </c>
      <c r="Z1185">
        <f>$C1185*Z1184</f>
        <v/>
      </c>
      <c r="AA1185">
        <f>$C1185*AA1184</f>
        <v/>
      </c>
      <c r="AB1185">
        <f>$C1185*AB1184</f>
        <v/>
      </c>
      <c r="AC1185">
        <f>$C1185*AC1184</f>
        <v/>
      </c>
      <c r="AD1185">
        <f>$C1185*AD1184</f>
        <v/>
      </c>
      <c r="AE1185">
        <f>$C1185*AE1184</f>
        <v/>
      </c>
      <c r="AF1185">
        <f>$C1185*AF1184</f>
        <v/>
      </c>
      <c r="AG1185">
        <f>$C1185*AG1184</f>
        <v/>
      </c>
      <c r="AH1185">
        <f>$C1185*AH1184</f>
        <v/>
      </c>
      <c r="AI1185">
        <f>$C1185*AI1184</f>
        <v/>
      </c>
      <c r="AJ1185">
        <f>$C1185*AJ1184</f>
        <v/>
      </c>
      <c r="AK1185">
        <f>$C1185*AK1184</f>
        <v/>
      </c>
      <c r="AL1185">
        <f>$C1185*AL1184</f>
        <v/>
      </c>
      <c r="AM1185">
        <f>$C1185*AM1184</f>
        <v/>
      </c>
      <c r="AN1185">
        <f>$C1185*AN1184</f>
        <v/>
      </c>
      <c r="AO1185">
        <f>$C1185*AO1184</f>
        <v/>
      </c>
      <c r="AP1185">
        <f>$C1185*AP1184</f>
        <v/>
      </c>
      <c r="AQ1185">
        <f>$C1185*AQ1184</f>
        <v/>
      </c>
      <c r="AR1185">
        <f>$C1185*AR1184</f>
        <v/>
      </c>
      <c r="AS1185">
        <f>$C1185*AS1184</f>
        <v/>
      </c>
      <c r="AT1185">
        <f>$C1185*AT1184</f>
        <v/>
      </c>
      <c r="AU1185">
        <f>$C1185*AU1184</f>
        <v/>
      </c>
      <c r="AV1185">
        <f>$C1185*AV1184</f>
        <v/>
      </c>
      <c r="AW1185">
        <f>$C1185*AW1184</f>
        <v/>
      </c>
      <c r="AX1185">
        <f>$C1185*AX1184</f>
        <v/>
      </c>
      <c r="AY1185">
        <f>$C1185*AY1184</f>
        <v/>
      </c>
      <c r="AZ1185">
        <f>$C1185*AZ1184</f>
        <v/>
      </c>
      <c r="BA1185">
        <f>$C1185*BA1184</f>
        <v/>
      </c>
      <c r="BB1185">
        <f>$C1185*BB1184</f>
        <v/>
      </c>
      <c r="BC1185">
        <f>$C1185*BC1184</f>
        <v/>
      </c>
      <c r="BD1185">
        <f>$C1185*BD1184</f>
        <v/>
      </c>
      <c r="BE1185">
        <f>$C1185*BE1184</f>
        <v/>
      </c>
      <c r="BF1185">
        <f>$C1185*BF1184</f>
        <v/>
      </c>
      <c r="BG1185">
        <f>$C1185*BG1184</f>
        <v/>
      </c>
      <c r="BH1185">
        <f>$C1185*BH1184</f>
        <v/>
      </c>
      <c r="BI1185">
        <f>$C1185*BI1184</f>
        <v/>
      </c>
      <c r="BJ1185">
        <f>$C1185*BJ1184</f>
        <v/>
      </c>
      <c r="BK1185">
        <f>$C1185*BK1184</f>
        <v/>
      </c>
      <c r="BL1185">
        <f>$C1185*BL1184</f>
        <v/>
      </c>
      <c r="BM1185">
        <f>$C1185*BM1184</f>
        <v/>
      </c>
      <c r="BN1185">
        <f>$C1185*BN1184</f>
        <v/>
      </c>
      <c r="BO1185">
        <f>$C1185*BO1184</f>
        <v/>
      </c>
      <c r="BP1185">
        <f>$C1185*BP1184</f>
        <v/>
      </c>
      <c r="BQ1185">
        <f>$C1185*BQ1184</f>
        <v/>
      </c>
      <c r="BR1185">
        <f>$C1185*BR1184</f>
        <v/>
      </c>
      <c r="BS1185">
        <f>$C1185*BS1184</f>
        <v/>
      </c>
      <c r="BT1185">
        <f>$C1185*BT1184</f>
        <v/>
      </c>
      <c r="BU1185">
        <f>$C1185*BU1184</f>
        <v/>
      </c>
      <c r="BV1185">
        <f>$C1185*BV1184</f>
        <v/>
      </c>
      <c r="BW1185">
        <f>$C1185*BW1184</f>
        <v/>
      </c>
      <c r="BX1185">
        <f>$C1185*BX1184</f>
        <v/>
      </c>
      <c r="BY1185">
        <f>$C1185*BY1184</f>
        <v/>
      </c>
      <c r="BZ1185">
        <f>$C1185*BZ1184</f>
        <v/>
      </c>
      <c r="CA1185">
        <f>$C1185*CA1184</f>
        <v/>
      </c>
      <c r="CB1185">
        <f>$C1185*CB1184</f>
        <v/>
      </c>
      <c r="CC1185">
        <f>$C1185*CC1184</f>
        <v/>
      </c>
      <c r="CD1185">
        <f>$C1185*CD1184</f>
        <v/>
      </c>
      <c r="CE1185">
        <f>$C1185*CE1184</f>
        <v/>
      </c>
      <c r="CF1185">
        <f>$C1185*CF1184</f>
        <v/>
      </c>
      <c r="CG1185">
        <f>$C1185*CG1184</f>
        <v/>
      </c>
      <c r="CH1185">
        <f>$C1185*CH1184</f>
        <v/>
      </c>
      <c r="CI1185">
        <f>$C1185*CI1184</f>
        <v/>
      </c>
      <c r="CJ1185">
        <f>$C1185*CJ1184</f>
        <v/>
      </c>
      <c r="CK1185">
        <f>$C1185*CK1184</f>
        <v/>
      </c>
      <c r="CL1185">
        <f>$C1185*CL1184</f>
        <v/>
      </c>
      <c r="CM1185">
        <f>$C1185*CM1184</f>
        <v/>
      </c>
      <c r="CN1185">
        <f>$C1185*CN1184</f>
        <v/>
      </c>
      <c r="CO1185">
        <f>$C1185*CO1184</f>
        <v/>
      </c>
      <c r="CP1185">
        <f>$C1185*CP1184</f>
        <v/>
      </c>
      <c r="CQ1185">
        <f>$C1185*CQ1184</f>
        <v/>
      </c>
      <c r="CR1185">
        <f>$C1185*CR1184</f>
        <v/>
      </c>
      <c r="CS1185">
        <f>$C1185*CS1184</f>
        <v/>
      </c>
      <c r="CT1185">
        <f>$C1185*CT1184</f>
        <v/>
      </c>
      <c r="CU1185">
        <f>$C1185*CU1184</f>
        <v/>
      </c>
      <c r="CV1185">
        <f>$C1185*CV1184</f>
        <v/>
      </c>
      <c r="CW1185">
        <f>$C1185*CW1184</f>
        <v/>
      </c>
      <c r="CX1185">
        <f>$C1185*CX1184</f>
        <v/>
      </c>
      <c r="CY1185">
        <f>$C1185*CY1184</f>
        <v/>
      </c>
      <c r="CZ1185">
        <f>$C1185*CZ1184</f>
        <v/>
      </c>
      <c r="DA1185">
        <f>$C1185*DA1184</f>
        <v/>
      </c>
      <c r="DB1185">
        <f>$C1185*DB1184</f>
        <v/>
      </c>
      <c r="DC1185">
        <f>$C1185*DC1184</f>
        <v/>
      </c>
      <c r="DD1185">
        <f>$C1185*DD1184</f>
        <v/>
      </c>
    </row>
    <row r="1186">
      <c r="B1186" t="inlineStr">
        <is>
          <t>VSP-738</t>
        </is>
      </c>
      <c r="C1186" t="inlineStr">
        <is>
          <t>No. of batches</t>
        </is>
      </c>
      <c r="D1186">
        <f>IFERROR(INDEX(E1186:DD1186,$F$1),"")</f>
        <v/>
      </c>
      <c r="E1186">
        <f>IFERROR(INDEX(PP_Grid[#Data],$DE1186,2),0)</f>
        <v/>
      </c>
      <c r="F1186">
        <f>IFERROR(INDEX(PP_Grid[#Data],$DE1186,3),0)</f>
        <v/>
      </c>
      <c r="G1186">
        <f>IFERROR(INDEX(PP_Grid[#Data],$DE1186,4),0)</f>
        <v/>
      </c>
      <c r="H1186">
        <f>IFERROR(INDEX(PP_Grid[#Data],$DE1186,5),0)</f>
        <v/>
      </c>
      <c r="I1186">
        <f>IFERROR(INDEX(PP_Grid[#Data],$DE1186,6),0)</f>
        <v/>
      </c>
      <c r="J1186">
        <f>IFERROR(INDEX(PP_Grid[#Data],$DE1186,7),0)</f>
        <v/>
      </c>
      <c r="K1186">
        <f>IFERROR(INDEX(PP_Grid[#Data],$DE1186,8),0)</f>
        <v/>
      </c>
      <c r="L1186">
        <f>IFERROR(INDEX(PP_Grid[#Data],$DE1186,9),0)</f>
        <v/>
      </c>
      <c r="M1186">
        <f>IFERROR(INDEX(PP_Grid[#Data],$DE1186,10),0)</f>
        <v/>
      </c>
      <c r="N1186">
        <f>IFERROR(INDEX(PP_Grid[#Data],$DE1186,11),0)</f>
        <v/>
      </c>
      <c r="O1186">
        <f>IFERROR(INDEX(PP_Grid[#Data],$DE1186,12),0)</f>
        <v/>
      </c>
      <c r="P1186">
        <f>IFERROR(INDEX(PP_Grid[#Data],$DE1186,13),0)</f>
        <v/>
      </c>
      <c r="Q1186">
        <f>IFERROR(INDEX(PP_Grid[#Data],$DE1186,14),0)</f>
        <v/>
      </c>
      <c r="R1186">
        <f>IFERROR(INDEX(PP_Grid[#Data],$DE1186,15),0)</f>
        <v/>
      </c>
      <c r="S1186">
        <f>IFERROR(INDEX(PP_Grid[#Data],$DE1186,16),0)</f>
        <v/>
      </c>
      <c r="T1186">
        <f>IFERROR(INDEX(PP_Grid[#Data],$DE1186,17),0)</f>
        <v/>
      </c>
      <c r="U1186">
        <f>IFERROR(INDEX(PP_Grid[#Data],$DE1186,18),0)</f>
        <v/>
      </c>
      <c r="V1186">
        <f>IFERROR(INDEX(PP_Grid[#Data],$DE1186,19),0)</f>
        <v/>
      </c>
      <c r="W1186">
        <f>IFERROR(INDEX(PP_Grid[#Data],$DE1186,20),0)</f>
        <v/>
      </c>
      <c r="X1186">
        <f>IFERROR(INDEX(PP_Grid[#Data],$DE1186,21),0)</f>
        <v/>
      </c>
      <c r="Y1186">
        <f>IFERROR(INDEX(PP_Grid[#Data],$DE1186,22),0)</f>
        <v/>
      </c>
      <c r="Z1186">
        <f>IFERROR(INDEX(PP_Grid[#Data],$DE1186,23),0)</f>
        <v/>
      </c>
      <c r="AA1186">
        <f>IFERROR(INDEX(PP_Grid[#Data],$DE1186,24),0)</f>
        <v/>
      </c>
      <c r="AB1186">
        <f>IFERROR(INDEX(PP_Grid[#Data],$DE1186,25),0)</f>
        <v/>
      </c>
      <c r="AC1186">
        <f>IFERROR(INDEX(PP_Grid[#Data],$DE1186,26),0)</f>
        <v/>
      </c>
      <c r="AD1186">
        <f>IFERROR(INDEX(PP_Grid[#Data],$DE1186,27),0)</f>
        <v/>
      </c>
      <c r="AE1186">
        <f>IFERROR(INDEX(PP_Grid[#Data],$DE1186,28),0)</f>
        <v/>
      </c>
      <c r="AF1186">
        <f>IFERROR(INDEX(PP_Grid[#Data],$DE1186,29),0)</f>
        <v/>
      </c>
      <c r="AG1186">
        <f>IFERROR(INDEX(PP_Grid[#Data],$DE1186,30),0)</f>
        <v/>
      </c>
      <c r="AH1186">
        <f>IFERROR(INDEX(PP_Grid[#Data],$DE1186,31),0)</f>
        <v/>
      </c>
      <c r="AI1186">
        <f>IFERROR(INDEX(PP_Grid[#Data],$DE1186,32),0)</f>
        <v/>
      </c>
      <c r="AJ1186">
        <f>IFERROR(INDEX(PP_Grid[#Data],$DE1186,33),0)</f>
        <v/>
      </c>
      <c r="AK1186">
        <f>IFERROR(INDEX(PP_Grid[#Data],$DE1186,34),0)</f>
        <v/>
      </c>
      <c r="AL1186">
        <f>IFERROR(INDEX(PP_Grid[#Data],$DE1186,35),0)</f>
        <v/>
      </c>
      <c r="AM1186">
        <f>IFERROR(INDEX(PP_Grid[#Data],$DE1186,36),0)</f>
        <v/>
      </c>
      <c r="AN1186">
        <f>IFERROR(INDEX(PP_Grid[#Data],$DE1186,37),0)</f>
        <v/>
      </c>
      <c r="AO1186">
        <f>IFERROR(INDEX(PP_Grid[#Data],$DE1186,38),0)</f>
        <v/>
      </c>
      <c r="AP1186">
        <f>IFERROR(INDEX(PP_Grid[#Data],$DE1186,39),0)</f>
        <v/>
      </c>
      <c r="AQ1186">
        <f>IFERROR(INDEX(PP_Grid[#Data],$DE1186,40),0)</f>
        <v/>
      </c>
      <c r="AR1186">
        <f>IFERROR(INDEX(PP_Grid[#Data],$DE1186,41),0)</f>
        <v/>
      </c>
      <c r="AS1186">
        <f>IFERROR(INDEX(PP_Grid[#Data],$DE1186,42),0)</f>
        <v/>
      </c>
      <c r="AT1186">
        <f>IFERROR(INDEX(PP_Grid[#Data],$DE1186,43),0)</f>
        <v/>
      </c>
      <c r="AU1186">
        <f>IFERROR(INDEX(PP_Grid[#Data],$DE1186,44),0)</f>
        <v/>
      </c>
      <c r="AV1186">
        <f>IFERROR(INDEX(PP_Grid[#Data],$DE1186,45),0)</f>
        <v/>
      </c>
      <c r="AW1186">
        <f>IFERROR(INDEX(PP_Grid[#Data],$DE1186,46),0)</f>
        <v/>
      </c>
      <c r="AX1186">
        <f>IFERROR(INDEX(PP_Grid[#Data],$DE1186,47),0)</f>
        <v/>
      </c>
      <c r="AY1186">
        <f>IFERROR(INDEX(PP_Grid[#Data],$DE1186,48),0)</f>
        <v/>
      </c>
      <c r="AZ1186">
        <f>IFERROR(INDEX(PP_Grid[#Data],$DE1186,49),0)</f>
        <v/>
      </c>
      <c r="BA1186">
        <f>IFERROR(INDEX(PP_Grid[#Data],$DE1186,50),0)</f>
        <v/>
      </c>
      <c r="BB1186">
        <f>IFERROR(INDEX(PP_Grid[#Data],$DE1186,51),0)</f>
        <v/>
      </c>
      <c r="BC1186">
        <f>IFERROR(INDEX(PP_Grid[#Data],$DE1186,52),0)</f>
        <v/>
      </c>
      <c r="BD1186">
        <f>IFERROR(INDEX(PP_Grid[#Data],$DE1186,53),0)</f>
        <v/>
      </c>
      <c r="BE1186">
        <f>IFERROR(INDEX(PP_Grid[#Data],$DE1186,54),0)</f>
        <v/>
      </c>
      <c r="BF1186">
        <f>IFERROR(INDEX(PP_Grid[#Data],$DE1186,55),0)</f>
        <v/>
      </c>
      <c r="BG1186">
        <f>IFERROR(INDEX(PP_Grid[#Data],$DE1186,56),0)</f>
        <v/>
      </c>
      <c r="BH1186">
        <f>IFERROR(INDEX(PP_Grid[#Data],$DE1186,57),0)</f>
        <v/>
      </c>
      <c r="BI1186">
        <f>IFERROR(INDEX(PP_Grid[#Data],$DE1186,58),0)</f>
        <v/>
      </c>
      <c r="BJ1186">
        <f>IFERROR(INDEX(PP_Grid[#Data],$DE1186,59),0)</f>
        <v/>
      </c>
      <c r="BK1186">
        <f>IFERROR(INDEX(PP_Grid[#Data],$DE1186,60),0)</f>
        <v/>
      </c>
      <c r="BL1186">
        <f>IFERROR(INDEX(PP_Grid[#Data],$DE1186,61),0)</f>
        <v/>
      </c>
      <c r="BM1186">
        <f>IFERROR(INDEX(PP_Grid[#Data],$DE1186,62),0)</f>
        <v/>
      </c>
      <c r="BN1186">
        <f>IFERROR(INDEX(PP_Grid[#Data],$DE1186,63),0)</f>
        <v/>
      </c>
      <c r="BO1186">
        <f>IFERROR(INDEX(PP_Grid[#Data],$DE1186,64),0)</f>
        <v/>
      </c>
      <c r="BP1186">
        <f>IFERROR(INDEX(PP_Grid[#Data],$DE1186,65),0)</f>
        <v/>
      </c>
      <c r="BQ1186">
        <f>IFERROR(INDEX(PP_Grid[#Data],$DE1186,66),0)</f>
        <v/>
      </c>
      <c r="BR1186">
        <f>IFERROR(INDEX(PP_Grid[#Data],$DE1186,67),0)</f>
        <v/>
      </c>
      <c r="BS1186">
        <f>IFERROR(INDEX(PP_Grid[#Data],$DE1186,68),0)</f>
        <v/>
      </c>
      <c r="BT1186">
        <f>IFERROR(INDEX(PP_Grid[#Data],$DE1186,69),0)</f>
        <v/>
      </c>
      <c r="BU1186">
        <f>IFERROR(INDEX(PP_Grid[#Data],$DE1186,70),0)</f>
        <v/>
      </c>
      <c r="BV1186">
        <f>IFERROR(INDEX(PP_Grid[#Data],$DE1186,71),0)</f>
        <v/>
      </c>
      <c r="BW1186">
        <f>IFERROR(INDEX(PP_Grid[#Data],$DE1186,72),0)</f>
        <v/>
      </c>
      <c r="BX1186">
        <f>IFERROR(INDEX(PP_Grid[#Data],$DE1186,73),0)</f>
        <v/>
      </c>
      <c r="BY1186">
        <f>IFERROR(INDEX(PP_Grid[#Data],$DE1186,74),0)</f>
        <v/>
      </c>
      <c r="BZ1186">
        <f>IFERROR(INDEX(PP_Grid[#Data],$DE1186,75),0)</f>
        <v/>
      </c>
      <c r="CA1186">
        <f>IFERROR(INDEX(PP_Grid[#Data],$DE1186,76),0)</f>
        <v/>
      </c>
      <c r="CB1186">
        <f>IFERROR(INDEX(PP_Grid[#Data],$DE1186,77),0)</f>
        <v/>
      </c>
      <c r="CC1186">
        <f>IFERROR(INDEX(PP_Grid[#Data],$DE1186,78),0)</f>
        <v/>
      </c>
      <c r="CD1186">
        <f>IFERROR(INDEX(PP_Grid[#Data],$DE1186,79),0)</f>
        <v/>
      </c>
      <c r="CE1186">
        <f>IFERROR(INDEX(PP_Grid[#Data],$DE1186,80),0)</f>
        <v/>
      </c>
      <c r="CF1186">
        <f>IFERROR(INDEX(PP_Grid[#Data],$DE1186,81),0)</f>
        <v/>
      </c>
      <c r="CG1186">
        <f>IFERROR(INDEX(PP_Grid[#Data],$DE1186,82),0)</f>
        <v/>
      </c>
      <c r="CH1186">
        <f>IFERROR(INDEX(PP_Grid[#Data],$DE1186,83),0)</f>
        <v/>
      </c>
      <c r="CI1186">
        <f>IFERROR(INDEX(PP_Grid[#Data],$DE1186,84),0)</f>
        <v/>
      </c>
      <c r="CJ1186">
        <f>IFERROR(INDEX(PP_Grid[#Data],$DE1186,85),0)</f>
        <v/>
      </c>
      <c r="CK1186">
        <f>IFERROR(INDEX(PP_Grid[#Data],$DE1186,86),0)</f>
        <v/>
      </c>
      <c r="CL1186">
        <f>IFERROR(INDEX(PP_Grid[#Data],$DE1186,87),0)</f>
        <v/>
      </c>
      <c r="CM1186">
        <f>IFERROR(INDEX(PP_Grid[#Data],$DE1186,88),0)</f>
        <v/>
      </c>
      <c r="CN1186">
        <f>IFERROR(INDEX(PP_Grid[#Data],$DE1186,89),0)</f>
        <v/>
      </c>
      <c r="CO1186">
        <f>IFERROR(INDEX(PP_Grid[#Data],$DE1186,90),0)</f>
        <v/>
      </c>
      <c r="CP1186">
        <f>IFERROR(INDEX(PP_Grid[#Data],$DE1186,91),0)</f>
        <v/>
      </c>
      <c r="CQ1186">
        <f>IFERROR(INDEX(PP_Grid[#Data],$DE1186,92),0)</f>
        <v/>
      </c>
      <c r="CR1186">
        <f>IFERROR(INDEX(PP_Grid[#Data],$DE1186,93),0)</f>
        <v/>
      </c>
      <c r="CS1186">
        <f>IFERROR(INDEX(PP_Grid[#Data],$DE1186,94),0)</f>
        <v/>
      </c>
      <c r="CT1186">
        <f>IFERROR(INDEX(PP_Grid[#Data],$DE1186,95),0)</f>
        <v/>
      </c>
      <c r="CU1186">
        <f>IFERROR(INDEX(PP_Grid[#Data],$DE1186,96),0)</f>
        <v/>
      </c>
      <c r="CV1186">
        <f>IFERROR(INDEX(PP_Grid[#Data],$DE1186,97),0)</f>
        <v/>
      </c>
      <c r="CW1186">
        <f>IFERROR(INDEX(PP_Grid[#Data],$DE1186,98),0)</f>
        <v/>
      </c>
      <c r="CX1186">
        <f>IFERROR(INDEX(PP_Grid[#Data],$DE1186,99),0)</f>
        <v/>
      </c>
      <c r="CY1186">
        <f>IFERROR(INDEX(PP_Grid[#Data],$DE1186,100),0)</f>
        <v/>
      </c>
      <c r="CZ1186">
        <f>IFERROR(INDEX(PP_Grid[#Data],$DE1186,101),0)</f>
        <v/>
      </c>
      <c r="DA1186">
        <f>IFERROR(INDEX(PP_Grid[#Data],$DE1186,102),0)</f>
        <v/>
      </c>
      <c r="DB1186">
        <f>IFERROR(INDEX(PP_Grid[#Data],$DE1186,103),0)</f>
        <v/>
      </c>
      <c r="DC1186">
        <f>IFERROR(INDEX(PP_Grid[#Data],$DE1186,104),0)</f>
        <v/>
      </c>
      <c r="DD1186">
        <f>IFERROR(INDEX(PP_Grid[#Data],$DE1186,105),0)</f>
        <v/>
      </c>
      <c r="DE1186" s="7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SUMIFS(M_BOM[RM_Qty_Per_Batch],M_BOM[Intermediate],$B1186,M_BOM[RM_Code],$A1147)</f>
        <v/>
      </c>
      <c r="D1187">
        <f>IFERROR(INDEX(E1187:DD1187,$F$1),"")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  <c r="DD1187">
        <f>$C1187*DD1186</f>
        <v/>
      </c>
    </row>
    <row r="1188">
      <c r="B1188" t="inlineStr">
        <is>
          <t>VSP-740</t>
        </is>
      </c>
      <c r="C1188" t="inlineStr">
        <is>
          <t>No. of batches</t>
        </is>
      </c>
      <c r="D1188">
        <f>IFERROR(INDEX(E1188:DD1188,$F$1),"")</f>
        <v/>
      </c>
      <c r="E1188">
        <f>IFERROR(INDEX(PP_Grid[#Data],$DE1188,2),0)</f>
        <v/>
      </c>
      <c r="F1188">
        <f>IFERROR(INDEX(PP_Grid[#Data],$DE1188,3),0)</f>
        <v/>
      </c>
      <c r="G1188">
        <f>IFERROR(INDEX(PP_Grid[#Data],$DE1188,4),0)</f>
        <v/>
      </c>
      <c r="H1188">
        <f>IFERROR(INDEX(PP_Grid[#Data],$DE1188,5),0)</f>
        <v/>
      </c>
      <c r="I1188">
        <f>IFERROR(INDEX(PP_Grid[#Data],$DE1188,6),0)</f>
        <v/>
      </c>
      <c r="J1188">
        <f>IFERROR(INDEX(PP_Grid[#Data],$DE1188,7),0)</f>
        <v/>
      </c>
      <c r="K1188">
        <f>IFERROR(INDEX(PP_Grid[#Data],$DE1188,8),0)</f>
        <v/>
      </c>
      <c r="L1188">
        <f>IFERROR(INDEX(PP_Grid[#Data],$DE1188,9),0)</f>
        <v/>
      </c>
      <c r="M1188">
        <f>IFERROR(INDEX(PP_Grid[#Data],$DE1188,10),0)</f>
        <v/>
      </c>
      <c r="N1188">
        <f>IFERROR(INDEX(PP_Grid[#Data],$DE1188,11),0)</f>
        <v/>
      </c>
      <c r="O1188">
        <f>IFERROR(INDEX(PP_Grid[#Data],$DE1188,12),0)</f>
        <v/>
      </c>
      <c r="P1188">
        <f>IFERROR(INDEX(PP_Grid[#Data],$DE1188,13),0)</f>
        <v/>
      </c>
      <c r="Q1188">
        <f>IFERROR(INDEX(PP_Grid[#Data],$DE1188,14),0)</f>
        <v/>
      </c>
      <c r="R1188">
        <f>IFERROR(INDEX(PP_Grid[#Data],$DE1188,15),0)</f>
        <v/>
      </c>
      <c r="S1188">
        <f>IFERROR(INDEX(PP_Grid[#Data],$DE1188,16),0)</f>
        <v/>
      </c>
      <c r="T1188">
        <f>IFERROR(INDEX(PP_Grid[#Data],$DE1188,17),0)</f>
        <v/>
      </c>
      <c r="U1188">
        <f>IFERROR(INDEX(PP_Grid[#Data],$DE1188,18),0)</f>
        <v/>
      </c>
      <c r="V1188">
        <f>IFERROR(INDEX(PP_Grid[#Data],$DE1188,19),0)</f>
        <v/>
      </c>
      <c r="W1188">
        <f>IFERROR(INDEX(PP_Grid[#Data],$DE1188,20),0)</f>
        <v/>
      </c>
      <c r="X1188">
        <f>IFERROR(INDEX(PP_Grid[#Data],$DE1188,21),0)</f>
        <v/>
      </c>
      <c r="Y1188">
        <f>IFERROR(INDEX(PP_Grid[#Data],$DE1188,22),0)</f>
        <v/>
      </c>
      <c r="Z1188">
        <f>IFERROR(INDEX(PP_Grid[#Data],$DE1188,23),0)</f>
        <v/>
      </c>
      <c r="AA1188">
        <f>IFERROR(INDEX(PP_Grid[#Data],$DE1188,24),0)</f>
        <v/>
      </c>
      <c r="AB1188">
        <f>IFERROR(INDEX(PP_Grid[#Data],$DE1188,25),0)</f>
        <v/>
      </c>
      <c r="AC1188">
        <f>IFERROR(INDEX(PP_Grid[#Data],$DE1188,26),0)</f>
        <v/>
      </c>
      <c r="AD1188">
        <f>IFERROR(INDEX(PP_Grid[#Data],$DE1188,27),0)</f>
        <v/>
      </c>
      <c r="AE1188">
        <f>IFERROR(INDEX(PP_Grid[#Data],$DE1188,28),0)</f>
        <v/>
      </c>
      <c r="AF1188">
        <f>IFERROR(INDEX(PP_Grid[#Data],$DE1188,29),0)</f>
        <v/>
      </c>
      <c r="AG1188">
        <f>IFERROR(INDEX(PP_Grid[#Data],$DE1188,30),0)</f>
        <v/>
      </c>
      <c r="AH1188">
        <f>IFERROR(INDEX(PP_Grid[#Data],$DE1188,31),0)</f>
        <v/>
      </c>
      <c r="AI1188">
        <f>IFERROR(INDEX(PP_Grid[#Data],$DE1188,32),0)</f>
        <v/>
      </c>
      <c r="AJ1188">
        <f>IFERROR(INDEX(PP_Grid[#Data],$DE1188,33),0)</f>
        <v/>
      </c>
      <c r="AK1188">
        <f>IFERROR(INDEX(PP_Grid[#Data],$DE1188,34),0)</f>
        <v/>
      </c>
      <c r="AL1188">
        <f>IFERROR(INDEX(PP_Grid[#Data],$DE1188,35),0)</f>
        <v/>
      </c>
      <c r="AM1188">
        <f>IFERROR(INDEX(PP_Grid[#Data],$DE1188,36),0)</f>
        <v/>
      </c>
      <c r="AN1188">
        <f>IFERROR(INDEX(PP_Grid[#Data],$DE1188,37),0)</f>
        <v/>
      </c>
      <c r="AO1188">
        <f>IFERROR(INDEX(PP_Grid[#Data],$DE1188,38),0)</f>
        <v/>
      </c>
      <c r="AP1188">
        <f>IFERROR(INDEX(PP_Grid[#Data],$DE1188,39),0)</f>
        <v/>
      </c>
      <c r="AQ1188">
        <f>IFERROR(INDEX(PP_Grid[#Data],$DE1188,40),0)</f>
        <v/>
      </c>
      <c r="AR1188">
        <f>IFERROR(INDEX(PP_Grid[#Data],$DE1188,41),0)</f>
        <v/>
      </c>
      <c r="AS1188">
        <f>IFERROR(INDEX(PP_Grid[#Data],$DE1188,42),0)</f>
        <v/>
      </c>
      <c r="AT1188">
        <f>IFERROR(INDEX(PP_Grid[#Data],$DE1188,43),0)</f>
        <v/>
      </c>
      <c r="AU1188">
        <f>IFERROR(INDEX(PP_Grid[#Data],$DE1188,44),0)</f>
        <v/>
      </c>
      <c r="AV1188">
        <f>IFERROR(INDEX(PP_Grid[#Data],$DE1188,45),0)</f>
        <v/>
      </c>
      <c r="AW1188">
        <f>IFERROR(INDEX(PP_Grid[#Data],$DE1188,46),0)</f>
        <v/>
      </c>
      <c r="AX1188">
        <f>IFERROR(INDEX(PP_Grid[#Data],$DE1188,47),0)</f>
        <v/>
      </c>
      <c r="AY1188">
        <f>IFERROR(INDEX(PP_Grid[#Data],$DE1188,48),0)</f>
        <v/>
      </c>
      <c r="AZ1188">
        <f>IFERROR(INDEX(PP_Grid[#Data],$DE1188,49),0)</f>
        <v/>
      </c>
      <c r="BA1188">
        <f>IFERROR(INDEX(PP_Grid[#Data],$DE1188,50),0)</f>
        <v/>
      </c>
      <c r="BB1188">
        <f>IFERROR(INDEX(PP_Grid[#Data],$DE1188,51),0)</f>
        <v/>
      </c>
      <c r="BC1188">
        <f>IFERROR(INDEX(PP_Grid[#Data],$DE1188,52),0)</f>
        <v/>
      </c>
      <c r="BD1188">
        <f>IFERROR(INDEX(PP_Grid[#Data],$DE1188,53),0)</f>
        <v/>
      </c>
      <c r="BE1188">
        <f>IFERROR(INDEX(PP_Grid[#Data],$DE1188,54),0)</f>
        <v/>
      </c>
      <c r="BF1188">
        <f>IFERROR(INDEX(PP_Grid[#Data],$DE1188,55),0)</f>
        <v/>
      </c>
      <c r="BG1188">
        <f>IFERROR(INDEX(PP_Grid[#Data],$DE1188,56),0)</f>
        <v/>
      </c>
      <c r="BH1188">
        <f>IFERROR(INDEX(PP_Grid[#Data],$DE1188,57),0)</f>
        <v/>
      </c>
      <c r="BI1188">
        <f>IFERROR(INDEX(PP_Grid[#Data],$DE1188,58),0)</f>
        <v/>
      </c>
      <c r="BJ1188">
        <f>IFERROR(INDEX(PP_Grid[#Data],$DE1188,59),0)</f>
        <v/>
      </c>
      <c r="BK1188">
        <f>IFERROR(INDEX(PP_Grid[#Data],$DE1188,60),0)</f>
        <v/>
      </c>
      <c r="BL1188">
        <f>IFERROR(INDEX(PP_Grid[#Data],$DE1188,61),0)</f>
        <v/>
      </c>
      <c r="BM1188">
        <f>IFERROR(INDEX(PP_Grid[#Data],$DE1188,62),0)</f>
        <v/>
      </c>
      <c r="BN1188">
        <f>IFERROR(INDEX(PP_Grid[#Data],$DE1188,63),0)</f>
        <v/>
      </c>
      <c r="BO1188">
        <f>IFERROR(INDEX(PP_Grid[#Data],$DE1188,64),0)</f>
        <v/>
      </c>
      <c r="BP1188">
        <f>IFERROR(INDEX(PP_Grid[#Data],$DE1188,65),0)</f>
        <v/>
      </c>
      <c r="BQ1188">
        <f>IFERROR(INDEX(PP_Grid[#Data],$DE1188,66),0)</f>
        <v/>
      </c>
      <c r="BR1188">
        <f>IFERROR(INDEX(PP_Grid[#Data],$DE1188,67),0)</f>
        <v/>
      </c>
      <c r="BS1188">
        <f>IFERROR(INDEX(PP_Grid[#Data],$DE1188,68),0)</f>
        <v/>
      </c>
      <c r="BT1188">
        <f>IFERROR(INDEX(PP_Grid[#Data],$DE1188,69),0)</f>
        <v/>
      </c>
      <c r="BU1188">
        <f>IFERROR(INDEX(PP_Grid[#Data],$DE1188,70),0)</f>
        <v/>
      </c>
      <c r="BV1188">
        <f>IFERROR(INDEX(PP_Grid[#Data],$DE1188,71),0)</f>
        <v/>
      </c>
      <c r="BW1188">
        <f>IFERROR(INDEX(PP_Grid[#Data],$DE1188,72),0)</f>
        <v/>
      </c>
      <c r="BX1188">
        <f>IFERROR(INDEX(PP_Grid[#Data],$DE1188,73),0)</f>
        <v/>
      </c>
      <c r="BY1188">
        <f>IFERROR(INDEX(PP_Grid[#Data],$DE1188,74),0)</f>
        <v/>
      </c>
      <c r="BZ1188">
        <f>IFERROR(INDEX(PP_Grid[#Data],$DE1188,75),0)</f>
        <v/>
      </c>
      <c r="CA1188">
        <f>IFERROR(INDEX(PP_Grid[#Data],$DE1188,76),0)</f>
        <v/>
      </c>
      <c r="CB1188">
        <f>IFERROR(INDEX(PP_Grid[#Data],$DE1188,77),0)</f>
        <v/>
      </c>
      <c r="CC1188">
        <f>IFERROR(INDEX(PP_Grid[#Data],$DE1188,78),0)</f>
        <v/>
      </c>
      <c r="CD1188">
        <f>IFERROR(INDEX(PP_Grid[#Data],$DE1188,79),0)</f>
        <v/>
      </c>
      <c r="CE1188">
        <f>IFERROR(INDEX(PP_Grid[#Data],$DE1188,80),0)</f>
        <v/>
      </c>
      <c r="CF1188">
        <f>IFERROR(INDEX(PP_Grid[#Data],$DE1188,81),0)</f>
        <v/>
      </c>
      <c r="CG1188">
        <f>IFERROR(INDEX(PP_Grid[#Data],$DE1188,82),0)</f>
        <v/>
      </c>
      <c r="CH1188">
        <f>IFERROR(INDEX(PP_Grid[#Data],$DE1188,83),0)</f>
        <v/>
      </c>
      <c r="CI1188">
        <f>IFERROR(INDEX(PP_Grid[#Data],$DE1188,84),0)</f>
        <v/>
      </c>
      <c r="CJ1188">
        <f>IFERROR(INDEX(PP_Grid[#Data],$DE1188,85),0)</f>
        <v/>
      </c>
      <c r="CK1188">
        <f>IFERROR(INDEX(PP_Grid[#Data],$DE1188,86),0)</f>
        <v/>
      </c>
      <c r="CL1188">
        <f>IFERROR(INDEX(PP_Grid[#Data],$DE1188,87),0)</f>
        <v/>
      </c>
      <c r="CM1188">
        <f>IFERROR(INDEX(PP_Grid[#Data],$DE1188,88),0)</f>
        <v/>
      </c>
      <c r="CN1188">
        <f>IFERROR(INDEX(PP_Grid[#Data],$DE1188,89),0)</f>
        <v/>
      </c>
      <c r="CO1188">
        <f>IFERROR(INDEX(PP_Grid[#Data],$DE1188,90),0)</f>
        <v/>
      </c>
      <c r="CP1188">
        <f>IFERROR(INDEX(PP_Grid[#Data],$DE1188,91),0)</f>
        <v/>
      </c>
      <c r="CQ1188">
        <f>IFERROR(INDEX(PP_Grid[#Data],$DE1188,92),0)</f>
        <v/>
      </c>
      <c r="CR1188">
        <f>IFERROR(INDEX(PP_Grid[#Data],$DE1188,93),0)</f>
        <v/>
      </c>
      <c r="CS1188">
        <f>IFERROR(INDEX(PP_Grid[#Data],$DE1188,94),0)</f>
        <v/>
      </c>
      <c r="CT1188">
        <f>IFERROR(INDEX(PP_Grid[#Data],$DE1188,95),0)</f>
        <v/>
      </c>
      <c r="CU1188">
        <f>IFERROR(INDEX(PP_Grid[#Data],$DE1188,96),0)</f>
        <v/>
      </c>
      <c r="CV1188">
        <f>IFERROR(INDEX(PP_Grid[#Data],$DE1188,97),0)</f>
        <v/>
      </c>
      <c r="CW1188">
        <f>IFERROR(INDEX(PP_Grid[#Data],$DE1188,98),0)</f>
        <v/>
      </c>
      <c r="CX1188">
        <f>IFERROR(INDEX(PP_Grid[#Data],$DE1188,99),0)</f>
        <v/>
      </c>
      <c r="CY1188">
        <f>IFERROR(INDEX(PP_Grid[#Data],$DE1188,100),0)</f>
        <v/>
      </c>
      <c r="CZ1188">
        <f>IFERROR(INDEX(PP_Grid[#Data],$DE1188,101),0)</f>
        <v/>
      </c>
      <c r="DA1188">
        <f>IFERROR(INDEX(PP_Grid[#Data],$DE1188,102),0)</f>
        <v/>
      </c>
      <c r="DB1188">
        <f>IFERROR(INDEX(PP_Grid[#Data],$DE1188,103),0)</f>
        <v/>
      </c>
      <c r="DC1188">
        <f>IFERROR(INDEX(PP_Grid[#Data],$DE1188,104),0)</f>
        <v/>
      </c>
      <c r="DD1188">
        <f>IFERROR(INDEX(PP_Grid[#Data],$DE1188,105),0)</f>
        <v/>
      </c>
      <c r="DE1188" s="7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SUMIFS(M_BOM[RM_Qty_Per_Batch],M_BOM[Intermediate],$B1188,M_BOM[RM_Code],$A1147)</f>
        <v/>
      </c>
      <c r="D1189">
        <f>IFERROR(INDEX(E1189:DD1189,$F$1),"")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  <c r="DD1189">
        <f>$C1189*DD1188</f>
        <v/>
      </c>
    </row>
    <row r="1190">
      <c r="B1190" t="inlineStr">
        <is>
          <t>VSP-746</t>
        </is>
      </c>
      <c r="C1190" t="inlineStr">
        <is>
          <t>No. of batches</t>
        </is>
      </c>
      <c r="D1190">
        <f>IFERROR(INDEX(E1190:DD1190,$F$1),"")</f>
        <v/>
      </c>
      <c r="E1190">
        <f>IFERROR(INDEX(PP_Grid[#Data],$DE1190,2),0)</f>
        <v/>
      </c>
      <c r="F1190">
        <f>IFERROR(INDEX(PP_Grid[#Data],$DE1190,3),0)</f>
        <v/>
      </c>
      <c r="G1190">
        <f>IFERROR(INDEX(PP_Grid[#Data],$DE1190,4),0)</f>
        <v/>
      </c>
      <c r="H1190">
        <f>IFERROR(INDEX(PP_Grid[#Data],$DE1190,5),0)</f>
        <v/>
      </c>
      <c r="I1190">
        <f>IFERROR(INDEX(PP_Grid[#Data],$DE1190,6),0)</f>
        <v/>
      </c>
      <c r="J1190">
        <f>IFERROR(INDEX(PP_Grid[#Data],$DE1190,7),0)</f>
        <v/>
      </c>
      <c r="K1190">
        <f>IFERROR(INDEX(PP_Grid[#Data],$DE1190,8),0)</f>
        <v/>
      </c>
      <c r="L1190">
        <f>IFERROR(INDEX(PP_Grid[#Data],$DE1190,9),0)</f>
        <v/>
      </c>
      <c r="M1190">
        <f>IFERROR(INDEX(PP_Grid[#Data],$DE1190,10),0)</f>
        <v/>
      </c>
      <c r="N1190">
        <f>IFERROR(INDEX(PP_Grid[#Data],$DE1190,11),0)</f>
        <v/>
      </c>
      <c r="O1190">
        <f>IFERROR(INDEX(PP_Grid[#Data],$DE1190,12),0)</f>
        <v/>
      </c>
      <c r="P1190">
        <f>IFERROR(INDEX(PP_Grid[#Data],$DE1190,13),0)</f>
        <v/>
      </c>
      <c r="Q1190">
        <f>IFERROR(INDEX(PP_Grid[#Data],$DE1190,14),0)</f>
        <v/>
      </c>
      <c r="R1190">
        <f>IFERROR(INDEX(PP_Grid[#Data],$DE1190,15),0)</f>
        <v/>
      </c>
      <c r="S1190">
        <f>IFERROR(INDEX(PP_Grid[#Data],$DE1190,16),0)</f>
        <v/>
      </c>
      <c r="T1190">
        <f>IFERROR(INDEX(PP_Grid[#Data],$DE1190,17),0)</f>
        <v/>
      </c>
      <c r="U1190">
        <f>IFERROR(INDEX(PP_Grid[#Data],$DE1190,18),0)</f>
        <v/>
      </c>
      <c r="V1190">
        <f>IFERROR(INDEX(PP_Grid[#Data],$DE1190,19),0)</f>
        <v/>
      </c>
      <c r="W1190">
        <f>IFERROR(INDEX(PP_Grid[#Data],$DE1190,20),0)</f>
        <v/>
      </c>
      <c r="X1190">
        <f>IFERROR(INDEX(PP_Grid[#Data],$DE1190,21),0)</f>
        <v/>
      </c>
      <c r="Y1190">
        <f>IFERROR(INDEX(PP_Grid[#Data],$DE1190,22),0)</f>
        <v/>
      </c>
      <c r="Z1190">
        <f>IFERROR(INDEX(PP_Grid[#Data],$DE1190,23),0)</f>
        <v/>
      </c>
      <c r="AA1190">
        <f>IFERROR(INDEX(PP_Grid[#Data],$DE1190,24),0)</f>
        <v/>
      </c>
      <c r="AB1190">
        <f>IFERROR(INDEX(PP_Grid[#Data],$DE1190,25),0)</f>
        <v/>
      </c>
      <c r="AC1190">
        <f>IFERROR(INDEX(PP_Grid[#Data],$DE1190,26),0)</f>
        <v/>
      </c>
      <c r="AD1190">
        <f>IFERROR(INDEX(PP_Grid[#Data],$DE1190,27),0)</f>
        <v/>
      </c>
      <c r="AE1190">
        <f>IFERROR(INDEX(PP_Grid[#Data],$DE1190,28),0)</f>
        <v/>
      </c>
      <c r="AF1190">
        <f>IFERROR(INDEX(PP_Grid[#Data],$DE1190,29),0)</f>
        <v/>
      </c>
      <c r="AG1190">
        <f>IFERROR(INDEX(PP_Grid[#Data],$DE1190,30),0)</f>
        <v/>
      </c>
      <c r="AH1190">
        <f>IFERROR(INDEX(PP_Grid[#Data],$DE1190,31),0)</f>
        <v/>
      </c>
      <c r="AI1190">
        <f>IFERROR(INDEX(PP_Grid[#Data],$DE1190,32),0)</f>
        <v/>
      </c>
      <c r="AJ1190">
        <f>IFERROR(INDEX(PP_Grid[#Data],$DE1190,33),0)</f>
        <v/>
      </c>
      <c r="AK1190">
        <f>IFERROR(INDEX(PP_Grid[#Data],$DE1190,34),0)</f>
        <v/>
      </c>
      <c r="AL1190">
        <f>IFERROR(INDEX(PP_Grid[#Data],$DE1190,35),0)</f>
        <v/>
      </c>
      <c r="AM1190">
        <f>IFERROR(INDEX(PP_Grid[#Data],$DE1190,36),0)</f>
        <v/>
      </c>
      <c r="AN1190">
        <f>IFERROR(INDEX(PP_Grid[#Data],$DE1190,37),0)</f>
        <v/>
      </c>
      <c r="AO1190">
        <f>IFERROR(INDEX(PP_Grid[#Data],$DE1190,38),0)</f>
        <v/>
      </c>
      <c r="AP1190">
        <f>IFERROR(INDEX(PP_Grid[#Data],$DE1190,39),0)</f>
        <v/>
      </c>
      <c r="AQ1190">
        <f>IFERROR(INDEX(PP_Grid[#Data],$DE1190,40),0)</f>
        <v/>
      </c>
      <c r="AR1190">
        <f>IFERROR(INDEX(PP_Grid[#Data],$DE1190,41),0)</f>
        <v/>
      </c>
      <c r="AS1190">
        <f>IFERROR(INDEX(PP_Grid[#Data],$DE1190,42),0)</f>
        <v/>
      </c>
      <c r="AT1190">
        <f>IFERROR(INDEX(PP_Grid[#Data],$DE1190,43),0)</f>
        <v/>
      </c>
      <c r="AU1190">
        <f>IFERROR(INDEX(PP_Grid[#Data],$DE1190,44),0)</f>
        <v/>
      </c>
      <c r="AV1190">
        <f>IFERROR(INDEX(PP_Grid[#Data],$DE1190,45),0)</f>
        <v/>
      </c>
      <c r="AW1190">
        <f>IFERROR(INDEX(PP_Grid[#Data],$DE1190,46),0)</f>
        <v/>
      </c>
      <c r="AX1190">
        <f>IFERROR(INDEX(PP_Grid[#Data],$DE1190,47),0)</f>
        <v/>
      </c>
      <c r="AY1190">
        <f>IFERROR(INDEX(PP_Grid[#Data],$DE1190,48),0)</f>
        <v/>
      </c>
      <c r="AZ1190">
        <f>IFERROR(INDEX(PP_Grid[#Data],$DE1190,49),0)</f>
        <v/>
      </c>
      <c r="BA1190">
        <f>IFERROR(INDEX(PP_Grid[#Data],$DE1190,50),0)</f>
        <v/>
      </c>
      <c r="BB1190">
        <f>IFERROR(INDEX(PP_Grid[#Data],$DE1190,51),0)</f>
        <v/>
      </c>
      <c r="BC1190">
        <f>IFERROR(INDEX(PP_Grid[#Data],$DE1190,52),0)</f>
        <v/>
      </c>
      <c r="BD1190">
        <f>IFERROR(INDEX(PP_Grid[#Data],$DE1190,53),0)</f>
        <v/>
      </c>
      <c r="BE1190">
        <f>IFERROR(INDEX(PP_Grid[#Data],$DE1190,54),0)</f>
        <v/>
      </c>
      <c r="BF1190">
        <f>IFERROR(INDEX(PP_Grid[#Data],$DE1190,55),0)</f>
        <v/>
      </c>
      <c r="BG1190">
        <f>IFERROR(INDEX(PP_Grid[#Data],$DE1190,56),0)</f>
        <v/>
      </c>
      <c r="BH1190">
        <f>IFERROR(INDEX(PP_Grid[#Data],$DE1190,57),0)</f>
        <v/>
      </c>
      <c r="BI1190">
        <f>IFERROR(INDEX(PP_Grid[#Data],$DE1190,58),0)</f>
        <v/>
      </c>
      <c r="BJ1190">
        <f>IFERROR(INDEX(PP_Grid[#Data],$DE1190,59),0)</f>
        <v/>
      </c>
      <c r="BK1190">
        <f>IFERROR(INDEX(PP_Grid[#Data],$DE1190,60),0)</f>
        <v/>
      </c>
      <c r="BL1190">
        <f>IFERROR(INDEX(PP_Grid[#Data],$DE1190,61),0)</f>
        <v/>
      </c>
      <c r="BM1190">
        <f>IFERROR(INDEX(PP_Grid[#Data],$DE1190,62),0)</f>
        <v/>
      </c>
      <c r="BN1190">
        <f>IFERROR(INDEX(PP_Grid[#Data],$DE1190,63),0)</f>
        <v/>
      </c>
      <c r="BO1190">
        <f>IFERROR(INDEX(PP_Grid[#Data],$DE1190,64),0)</f>
        <v/>
      </c>
      <c r="BP1190">
        <f>IFERROR(INDEX(PP_Grid[#Data],$DE1190,65),0)</f>
        <v/>
      </c>
      <c r="BQ1190">
        <f>IFERROR(INDEX(PP_Grid[#Data],$DE1190,66),0)</f>
        <v/>
      </c>
      <c r="BR1190">
        <f>IFERROR(INDEX(PP_Grid[#Data],$DE1190,67),0)</f>
        <v/>
      </c>
      <c r="BS1190">
        <f>IFERROR(INDEX(PP_Grid[#Data],$DE1190,68),0)</f>
        <v/>
      </c>
      <c r="BT1190">
        <f>IFERROR(INDEX(PP_Grid[#Data],$DE1190,69),0)</f>
        <v/>
      </c>
      <c r="BU1190">
        <f>IFERROR(INDEX(PP_Grid[#Data],$DE1190,70),0)</f>
        <v/>
      </c>
      <c r="BV1190">
        <f>IFERROR(INDEX(PP_Grid[#Data],$DE1190,71),0)</f>
        <v/>
      </c>
      <c r="BW1190">
        <f>IFERROR(INDEX(PP_Grid[#Data],$DE1190,72),0)</f>
        <v/>
      </c>
      <c r="BX1190">
        <f>IFERROR(INDEX(PP_Grid[#Data],$DE1190,73),0)</f>
        <v/>
      </c>
      <c r="BY1190">
        <f>IFERROR(INDEX(PP_Grid[#Data],$DE1190,74),0)</f>
        <v/>
      </c>
      <c r="BZ1190">
        <f>IFERROR(INDEX(PP_Grid[#Data],$DE1190,75),0)</f>
        <v/>
      </c>
      <c r="CA1190">
        <f>IFERROR(INDEX(PP_Grid[#Data],$DE1190,76),0)</f>
        <v/>
      </c>
      <c r="CB1190">
        <f>IFERROR(INDEX(PP_Grid[#Data],$DE1190,77),0)</f>
        <v/>
      </c>
      <c r="CC1190">
        <f>IFERROR(INDEX(PP_Grid[#Data],$DE1190,78),0)</f>
        <v/>
      </c>
      <c r="CD1190">
        <f>IFERROR(INDEX(PP_Grid[#Data],$DE1190,79),0)</f>
        <v/>
      </c>
      <c r="CE1190">
        <f>IFERROR(INDEX(PP_Grid[#Data],$DE1190,80),0)</f>
        <v/>
      </c>
      <c r="CF1190">
        <f>IFERROR(INDEX(PP_Grid[#Data],$DE1190,81),0)</f>
        <v/>
      </c>
      <c r="CG1190">
        <f>IFERROR(INDEX(PP_Grid[#Data],$DE1190,82),0)</f>
        <v/>
      </c>
      <c r="CH1190">
        <f>IFERROR(INDEX(PP_Grid[#Data],$DE1190,83),0)</f>
        <v/>
      </c>
      <c r="CI1190">
        <f>IFERROR(INDEX(PP_Grid[#Data],$DE1190,84),0)</f>
        <v/>
      </c>
      <c r="CJ1190">
        <f>IFERROR(INDEX(PP_Grid[#Data],$DE1190,85),0)</f>
        <v/>
      </c>
      <c r="CK1190">
        <f>IFERROR(INDEX(PP_Grid[#Data],$DE1190,86),0)</f>
        <v/>
      </c>
      <c r="CL1190">
        <f>IFERROR(INDEX(PP_Grid[#Data],$DE1190,87),0)</f>
        <v/>
      </c>
      <c r="CM1190">
        <f>IFERROR(INDEX(PP_Grid[#Data],$DE1190,88),0)</f>
        <v/>
      </c>
      <c r="CN1190">
        <f>IFERROR(INDEX(PP_Grid[#Data],$DE1190,89),0)</f>
        <v/>
      </c>
      <c r="CO1190">
        <f>IFERROR(INDEX(PP_Grid[#Data],$DE1190,90),0)</f>
        <v/>
      </c>
      <c r="CP1190">
        <f>IFERROR(INDEX(PP_Grid[#Data],$DE1190,91),0)</f>
        <v/>
      </c>
      <c r="CQ1190">
        <f>IFERROR(INDEX(PP_Grid[#Data],$DE1190,92),0)</f>
        <v/>
      </c>
      <c r="CR1190">
        <f>IFERROR(INDEX(PP_Grid[#Data],$DE1190,93),0)</f>
        <v/>
      </c>
      <c r="CS1190">
        <f>IFERROR(INDEX(PP_Grid[#Data],$DE1190,94),0)</f>
        <v/>
      </c>
      <c r="CT1190">
        <f>IFERROR(INDEX(PP_Grid[#Data],$DE1190,95),0)</f>
        <v/>
      </c>
      <c r="CU1190">
        <f>IFERROR(INDEX(PP_Grid[#Data],$DE1190,96),0)</f>
        <v/>
      </c>
      <c r="CV1190">
        <f>IFERROR(INDEX(PP_Grid[#Data],$DE1190,97),0)</f>
        <v/>
      </c>
      <c r="CW1190">
        <f>IFERROR(INDEX(PP_Grid[#Data],$DE1190,98),0)</f>
        <v/>
      </c>
      <c r="CX1190">
        <f>IFERROR(INDEX(PP_Grid[#Data],$DE1190,99),0)</f>
        <v/>
      </c>
      <c r="CY1190">
        <f>IFERROR(INDEX(PP_Grid[#Data],$DE1190,100),0)</f>
        <v/>
      </c>
      <c r="CZ1190">
        <f>IFERROR(INDEX(PP_Grid[#Data],$DE1190,101),0)</f>
        <v/>
      </c>
      <c r="DA1190">
        <f>IFERROR(INDEX(PP_Grid[#Data],$DE1190,102),0)</f>
        <v/>
      </c>
      <c r="DB1190">
        <f>IFERROR(INDEX(PP_Grid[#Data],$DE1190,103),0)</f>
        <v/>
      </c>
      <c r="DC1190">
        <f>IFERROR(INDEX(PP_Grid[#Data],$DE1190,104),0)</f>
        <v/>
      </c>
      <c r="DD1190">
        <f>IFERROR(INDEX(PP_Grid[#Data],$DE1190,105),0)</f>
        <v/>
      </c>
      <c r="DE1190" s="7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SUMIFS(M_BOM[RM_Qty_Per_Batch],M_BOM[Intermediate],$B1190,M_BOM[RM_Code],$A1147)</f>
        <v/>
      </c>
      <c r="D1191">
        <f>IFERROR(INDEX(E1191:DD1191,$F$1),"")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  <c r="DD1191">
        <f>$C1191*DD1190</f>
        <v/>
      </c>
    </row>
    <row r="1192">
      <c r="B1192" t="inlineStr">
        <is>
          <t>VSP-822</t>
        </is>
      </c>
      <c r="C1192" t="inlineStr">
        <is>
          <t>No. of batches</t>
        </is>
      </c>
      <c r="D1192">
        <f>IFERROR(INDEX(E1192:DD1192,$F$1),"")</f>
        <v/>
      </c>
      <c r="E1192">
        <f>IFERROR(INDEX(PP_Grid[#Data],$DE1192,2),0)</f>
        <v/>
      </c>
      <c r="F1192">
        <f>IFERROR(INDEX(PP_Grid[#Data],$DE1192,3),0)</f>
        <v/>
      </c>
      <c r="G1192">
        <f>IFERROR(INDEX(PP_Grid[#Data],$DE1192,4),0)</f>
        <v/>
      </c>
      <c r="H1192">
        <f>IFERROR(INDEX(PP_Grid[#Data],$DE1192,5),0)</f>
        <v/>
      </c>
      <c r="I1192">
        <f>IFERROR(INDEX(PP_Grid[#Data],$DE1192,6),0)</f>
        <v/>
      </c>
      <c r="J1192">
        <f>IFERROR(INDEX(PP_Grid[#Data],$DE1192,7),0)</f>
        <v/>
      </c>
      <c r="K1192">
        <f>IFERROR(INDEX(PP_Grid[#Data],$DE1192,8),0)</f>
        <v/>
      </c>
      <c r="L1192">
        <f>IFERROR(INDEX(PP_Grid[#Data],$DE1192,9),0)</f>
        <v/>
      </c>
      <c r="M1192">
        <f>IFERROR(INDEX(PP_Grid[#Data],$DE1192,10),0)</f>
        <v/>
      </c>
      <c r="N1192">
        <f>IFERROR(INDEX(PP_Grid[#Data],$DE1192,11),0)</f>
        <v/>
      </c>
      <c r="O1192">
        <f>IFERROR(INDEX(PP_Grid[#Data],$DE1192,12),0)</f>
        <v/>
      </c>
      <c r="P1192">
        <f>IFERROR(INDEX(PP_Grid[#Data],$DE1192,13),0)</f>
        <v/>
      </c>
      <c r="Q1192">
        <f>IFERROR(INDEX(PP_Grid[#Data],$DE1192,14),0)</f>
        <v/>
      </c>
      <c r="R1192">
        <f>IFERROR(INDEX(PP_Grid[#Data],$DE1192,15),0)</f>
        <v/>
      </c>
      <c r="S1192">
        <f>IFERROR(INDEX(PP_Grid[#Data],$DE1192,16),0)</f>
        <v/>
      </c>
      <c r="T1192">
        <f>IFERROR(INDEX(PP_Grid[#Data],$DE1192,17),0)</f>
        <v/>
      </c>
      <c r="U1192">
        <f>IFERROR(INDEX(PP_Grid[#Data],$DE1192,18),0)</f>
        <v/>
      </c>
      <c r="V1192">
        <f>IFERROR(INDEX(PP_Grid[#Data],$DE1192,19),0)</f>
        <v/>
      </c>
      <c r="W1192">
        <f>IFERROR(INDEX(PP_Grid[#Data],$DE1192,20),0)</f>
        <v/>
      </c>
      <c r="X1192">
        <f>IFERROR(INDEX(PP_Grid[#Data],$DE1192,21),0)</f>
        <v/>
      </c>
      <c r="Y1192">
        <f>IFERROR(INDEX(PP_Grid[#Data],$DE1192,22),0)</f>
        <v/>
      </c>
      <c r="Z1192">
        <f>IFERROR(INDEX(PP_Grid[#Data],$DE1192,23),0)</f>
        <v/>
      </c>
      <c r="AA1192">
        <f>IFERROR(INDEX(PP_Grid[#Data],$DE1192,24),0)</f>
        <v/>
      </c>
      <c r="AB1192">
        <f>IFERROR(INDEX(PP_Grid[#Data],$DE1192,25),0)</f>
        <v/>
      </c>
      <c r="AC1192">
        <f>IFERROR(INDEX(PP_Grid[#Data],$DE1192,26),0)</f>
        <v/>
      </c>
      <c r="AD1192">
        <f>IFERROR(INDEX(PP_Grid[#Data],$DE1192,27),0)</f>
        <v/>
      </c>
      <c r="AE1192">
        <f>IFERROR(INDEX(PP_Grid[#Data],$DE1192,28),0)</f>
        <v/>
      </c>
      <c r="AF1192">
        <f>IFERROR(INDEX(PP_Grid[#Data],$DE1192,29),0)</f>
        <v/>
      </c>
      <c r="AG1192">
        <f>IFERROR(INDEX(PP_Grid[#Data],$DE1192,30),0)</f>
        <v/>
      </c>
      <c r="AH1192">
        <f>IFERROR(INDEX(PP_Grid[#Data],$DE1192,31),0)</f>
        <v/>
      </c>
      <c r="AI1192">
        <f>IFERROR(INDEX(PP_Grid[#Data],$DE1192,32),0)</f>
        <v/>
      </c>
      <c r="AJ1192">
        <f>IFERROR(INDEX(PP_Grid[#Data],$DE1192,33),0)</f>
        <v/>
      </c>
      <c r="AK1192">
        <f>IFERROR(INDEX(PP_Grid[#Data],$DE1192,34),0)</f>
        <v/>
      </c>
      <c r="AL1192">
        <f>IFERROR(INDEX(PP_Grid[#Data],$DE1192,35),0)</f>
        <v/>
      </c>
      <c r="AM1192">
        <f>IFERROR(INDEX(PP_Grid[#Data],$DE1192,36),0)</f>
        <v/>
      </c>
      <c r="AN1192">
        <f>IFERROR(INDEX(PP_Grid[#Data],$DE1192,37),0)</f>
        <v/>
      </c>
      <c r="AO1192">
        <f>IFERROR(INDEX(PP_Grid[#Data],$DE1192,38),0)</f>
        <v/>
      </c>
      <c r="AP1192">
        <f>IFERROR(INDEX(PP_Grid[#Data],$DE1192,39),0)</f>
        <v/>
      </c>
      <c r="AQ1192">
        <f>IFERROR(INDEX(PP_Grid[#Data],$DE1192,40),0)</f>
        <v/>
      </c>
      <c r="AR1192">
        <f>IFERROR(INDEX(PP_Grid[#Data],$DE1192,41),0)</f>
        <v/>
      </c>
      <c r="AS1192">
        <f>IFERROR(INDEX(PP_Grid[#Data],$DE1192,42),0)</f>
        <v/>
      </c>
      <c r="AT1192">
        <f>IFERROR(INDEX(PP_Grid[#Data],$DE1192,43),0)</f>
        <v/>
      </c>
      <c r="AU1192">
        <f>IFERROR(INDEX(PP_Grid[#Data],$DE1192,44),0)</f>
        <v/>
      </c>
      <c r="AV1192">
        <f>IFERROR(INDEX(PP_Grid[#Data],$DE1192,45),0)</f>
        <v/>
      </c>
      <c r="AW1192">
        <f>IFERROR(INDEX(PP_Grid[#Data],$DE1192,46),0)</f>
        <v/>
      </c>
      <c r="AX1192">
        <f>IFERROR(INDEX(PP_Grid[#Data],$DE1192,47),0)</f>
        <v/>
      </c>
      <c r="AY1192">
        <f>IFERROR(INDEX(PP_Grid[#Data],$DE1192,48),0)</f>
        <v/>
      </c>
      <c r="AZ1192">
        <f>IFERROR(INDEX(PP_Grid[#Data],$DE1192,49),0)</f>
        <v/>
      </c>
      <c r="BA1192">
        <f>IFERROR(INDEX(PP_Grid[#Data],$DE1192,50),0)</f>
        <v/>
      </c>
      <c r="BB1192">
        <f>IFERROR(INDEX(PP_Grid[#Data],$DE1192,51),0)</f>
        <v/>
      </c>
      <c r="BC1192">
        <f>IFERROR(INDEX(PP_Grid[#Data],$DE1192,52),0)</f>
        <v/>
      </c>
      <c r="BD1192">
        <f>IFERROR(INDEX(PP_Grid[#Data],$DE1192,53),0)</f>
        <v/>
      </c>
      <c r="BE1192">
        <f>IFERROR(INDEX(PP_Grid[#Data],$DE1192,54),0)</f>
        <v/>
      </c>
      <c r="BF1192">
        <f>IFERROR(INDEX(PP_Grid[#Data],$DE1192,55),0)</f>
        <v/>
      </c>
      <c r="BG1192">
        <f>IFERROR(INDEX(PP_Grid[#Data],$DE1192,56),0)</f>
        <v/>
      </c>
      <c r="BH1192">
        <f>IFERROR(INDEX(PP_Grid[#Data],$DE1192,57),0)</f>
        <v/>
      </c>
      <c r="BI1192">
        <f>IFERROR(INDEX(PP_Grid[#Data],$DE1192,58),0)</f>
        <v/>
      </c>
      <c r="BJ1192">
        <f>IFERROR(INDEX(PP_Grid[#Data],$DE1192,59),0)</f>
        <v/>
      </c>
      <c r="BK1192">
        <f>IFERROR(INDEX(PP_Grid[#Data],$DE1192,60),0)</f>
        <v/>
      </c>
      <c r="BL1192">
        <f>IFERROR(INDEX(PP_Grid[#Data],$DE1192,61),0)</f>
        <v/>
      </c>
      <c r="BM1192">
        <f>IFERROR(INDEX(PP_Grid[#Data],$DE1192,62),0)</f>
        <v/>
      </c>
      <c r="BN1192">
        <f>IFERROR(INDEX(PP_Grid[#Data],$DE1192,63),0)</f>
        <v/>
      </c>
      <c r="BO1192">
        <f>IFERROR(INDEX(PP_Grid[#Data],$DE1192,64),0)</f>
        <v/>
      </c>
      <c r="BP1192">
        <f>IFERROR(INDEX(PP_Grid[#Data],$DE1192,65),0)</f>
        <v/>
      </c>
      <c r="BQ1192">
        <f>IFERROR(INDEX(PP_Grid[#Data],$DE1192,66),0)</f>
        <v/>
      </c>
      <c r="BR1192">
        <f>IFERROR(INDEX(PP_Grid[#Data],$DE1192,67),0)</f>
        <v/>
      </c>
      <c r="BS1192">
        <f>IFERROR(INDEX(PP_Grid[#Data],$DE1192,68),0)</f>
        <v/>
      </c>
      <c r="BT1192">
        <f>IFERROR(INDEX(PP_Grid[#Data],$DE1192,69),0)</f>
        <v/>
      </c>
      <c r="BU1192">
        <f>IFERROR(INDEX(PP_Grid[#Data],$DE1192,70),0)</f>
        <v/>
      </c>
      <c r="BV1192">
        <f>IFERROR(INDEX(PP_Grid[#Data],$DE1192,71),0)</f>
        <v/>
      </c>
      <c r="BW1192">
        <f>IFERROR(INDEX(PP_Grid[#Data],$DE1192,72),0)</f>
        <v/>
      </c>
      <c r="BX1192">
        <f>IFERROR(INDEX(PP_Grid[#Data],$DE1192,73),0)</f>
        <v/>
      </c>
      <c r="BY1192">
        <f>IFERROR(INDEX(PP_Grid[#Data],$DE1192,74),0)</f>
        <v/>
      </c>
      <c r="BZ1192">
        <f>IFERROR(INDEX(PP_Grid[#Data],$DE1192,75),0)</f>
        <v/>
      </c>
      <c r="CA1192">
        <f>IFERROR(INDEX(PP_Grid[#Data],$DE1192,76),0)</f>
        <v/>
      </c>
      <c r="CB1192">
        <f>IFERROR(INDEX(PP_Grid[#Data],$DE1192,77),0)</f>
        <v/>
      </c>
      <c r="CC1192">
        <f>IFERROR(INDEX(PP_Grid[#Data],$DE1192,78),0)</f>
        <v/>
      </c>
      <c r="CD1192">
        <f>IFERROR(INDEX(PP_Grid[#Data],$DE1192,79),0)</f>
        <v/>
      </c>
      <c r="CE1192">
        <f>IFERROR(INDEX(PP_Grid[#Data],$DE1192,80),0)</f>
        <v/>
      </c>
      <c r="CF1192">
        <f>IFERROR(INDEX(PP_Grid[#Data],$DE1192,81),0)</f>
        <v/>
      </c>
      <c r="CG1192">
        <f>IFERROR(INDEX(PP_Grid[#Data],$DE1192,82),0)</f>
        <v/>
      </c>
      <c r="CH1192">
        <f>IFERROR(INDEX(PP_Grid[#Data],$DE1192,83),0)</f>
        <v/>
      </c>
      <c r="CI1192">
        <f>IFERROR(INDEX(PP_Grid[#Data],$DE1192,84),0)</f>
        <v/>
      </c>
      <c r="CJ1192">
        <f>IFERROR(INDEX(PP_Grid[#Data],$DE1192,85),0)</f>
        <v/>
      </c>
      <c r="CK1192">
        <f>IFERROR(INDEX(PP_Grid[#Data],$DE1192,86),0)</f>
        <v/>
      </c>
      <c r="CL1192">
        <f>IFERROR(INDEX(PP_Grid[#Data],$DE1192,87),0)</f>
        <v/>
      </c>
      <c r="CM1192">
        <f>IFERROR(INDEX(PP_Grid[#Data],$DE1192,88),0)</f>
        <v/>
      </c>
      <c r="CN1192">
        <f>IFERROR(INDEX(PP_Grid[#Data],$DE1192,89),0)</f>
        <v/>
      </c>
      <c r="CO1192">
        <f>IFERROR(INDEX(PP_Grid[#Data],$DE1192,90),0)</f>
        <v/>
      </c>
      <c r="CP1192">
        <f>IFERROR(INDEX(PP_Grid[#Data],$DE1192,91),0)</f>
        <v/>
      </c>
      <c r="CQ1192">
        <f>IFERROR(INDEX(PP_Grid[#Data],$DE1192,92),0)</f>
        <v/>
      </c>
      <c r="CR1192">
        <f>IFERROR(INDEX(PP_Grid[#Data],$DE1192,93),0)</f>
        <v/>
      </c>
      <c r="CS1192">
        <f>IFERROR(INDEX(PP_Grid[#Data],$DE1192,94),0)</f>
        <v/>
      </c>
      <c r="CT1192">
        <f>IFERROR(INDEX(PP_Grid[#Data],$DE1192,95),0)</f>
        <v/>
      </c>
      <c r="CU1192">
        <f>IFERROR(INDEX(PP_Grid[#Data],$DE1192,96),0)</f>
        <v/>
      </c>
      <c r="CV1192">
        <f>IFERROR(INDEX(PP_Grid[#Data],$DE1192,97),0)</f>
        <v/>
      </c>
      <c r="CW1192">
        <f>IFERROR(INDEX(PP_Grid[#Data],$DE1192,98),0)</f>
        <v/>
      </c>
      <c r="CX1192">
        <f>IFERROR(INDEX(PP_Grid[#Data],$DE1192,99),0)</f>
        <v/>
      </c>
      <c r="CY1192">
        <f>IFERROR(INDEX(PP_Grid[#Data],$DE1192,100),0)</f>
        <v/>
      </c>
      <c r="CZ1192">
        <f>IFERROR(INDEX(PP_Grid[#Data],$DE1192,101),0)</f>
        <v/>
      </c>
      <c r="DA1192">
        <f>IFERROR(INDEX(PP_Grid[#Data],$DE1192,102),0)</f>
        <v/>
      </c>
      <c r="DB1192">
        <f>IFERROR(INDEX(PP_Grid[#Data],$DE1192,103),0)</f>
        <v/>
      </c>
      <c r="DC1192">
        <f>IFERROR(INDEX(PP_Grid[#Data],$DE1192,104),0)</f>
        <v/>
      </c>
      <c r="DD1192">
        <f>IFERROR(INDEX(PP_Grid[#Data],$DE1192,105),0)</f>
        <v/>
      </c>
      <c r="DE1192" s="7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SUMIFS(M_BOM[RM_Qty_Per_Batch],M_BOM[Intermediate],$B1192,M_BOM[RM_Code],$A1147)</f>
        <v/>
      </c>
      <c r="D1193">
        <f>IFERROR(INDEX(E1193:DD1193,$F$1),"")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  <c r="DD1193">
        <f>$C1193*DD1192</f>
        <v/>
      </c>
    </row>
    <row r="1194">
      <c r="B1194" t="inlineStr">
        <is>
          <t>VSP-870</t>
        </is>
      </c>
      <c r="C1194" t="inlineStr">
        <is>
          <t>No. of batches</t>
        </is>
      </c>
      <c r="D1194">
        <f>IFERROR(INDEX(E1194:DD1194,$F$1),"")</f>
        <v/>
      </c>
      <c r="E1194">
        <f>IFERROR(INDEX(PP_Grid[#Data],$DE1194,2),0)</f>
        <v/>
      </c>
      <c r="F1194">
        <f>IFERROR(INDEX(PP_Grid[#Data],$DE1194,3),0)</f>
        <v/>
      </c>
      <c r="G1194">
        <f>IFERROR(INDEX(PP_Grid[#Data],$DE1194,4),0)</f>
        <v/>
      </c>
      <c r="H1194">
        <f>IFERROR(INDEX(PP_Grid[#Data],$DE1194,5),0)</f>
        <v/>
      </c>
      <c r="I1194">
        <f>IFERROR(INDEX(PP_Grid[#Data],$DE1194,6),0)</f>
        <v/>
      </c>
      <c r="J1194">
        <f>IFERROR(INDEX(PP_Grid[#Data],$DE1194,7),0)</f>
        <v/>
      </c>
      <c r="K1194">
        <f>IFERROR(INDEX(PP_Grid[#Data],$DE1194,8),0)</f>
        <v/>
      </c>
      <c r="L1194">
        <f>IFERROR(INDEX(PP_Grid[#Data],$DE1194,9),0)</f>
        <v/>
      </c>
      <c r="M1194">
        <f>IFERROR(INDEX(PP_Grid[#Data],$DE1194,10),0)</f>
        <v/>
      </c>
      <c r="N1194">
        <f>IFERROR(INDEX(PP_Grid[#Data],$DE1194,11),0)</f>
        <v/>
      </c>
      <c r="O1194">
        <f>IFERROR(INDEX(PP_Grid[#Data],$DE1194,12),0)</f>
        <v/>
      </c>
      <c r="P1194">
        <f>IFERROR(INDEX(PP_Grid[#Data],$DE1194,13),0)</f>
        <v/>
      </c>
      <c r="Q1194">
        <f>IFERROR(INDEX(PP_Grid[#Data],$DE1194,14),0)</f>
        <v/>
      </c>
      <c r="R1194">
        <f>IFERROR(INDEX(PP_Grid[#Data],$DE1194,15),0)</f>
        <v/>
      </c>
      <c r="S1194">
        <f>IFERROR(INDEX(PP_Grid[#Data],$DE1194,16),0)</f>
        <v/>
      </c>
      <c r="T1194">
        <f>IFERROR(INDEX(PP_Grid[#Data],$DE1194,17),0)</f>
        <v/>
      </c>
      <c r="U1194">
        <f>IFERROR(INDEX(PP_Grid[#Data],$DE1194,18),0)</f>
        <v/>
      </c>
      <c r="V1194">
        <f>IFERROR(INDEX(PP_Grid[#Data],$DE1194,19),0)</f>
        <v/>
      </c>
      <c r="W1194">
        <f>IFERROR(INDEX(PP_Grid[#Data],$DE1194,20),0)</f>
        <v/>
      </c>
      <c r="X1194">
        <f>IFERROR(INDEX(PP_Grid[#Data],$DE1194,21),0)</f>
        <v/>
      </c>
      <c r="Y1194">
        <f>IFERROR(INDEX(PP_Grid[#Data],$DE1194,22),0)</f>
        <v/>
      </c>
      <c r="Z1194">
        <f>IFERROR(INDEX(PP_Grid[#Data],$DE1194,23),0)</f>
        <v/>
      </c>
      <c r="AA1194">
        <f>IFERROR(INDEX(PP_Grid[#Data],$DE1194,24),0)</f>
        <v/>
      </c>
      <c r="AB1194">
        <f>IFERROR(INDEX(PP_Grid[#Data],$DE1194,25),0)</f>
        <v/>
      </c>
      <c r="AC1194">
        <f>IFERROR(INDEX(PP_Grid[#Data],$DE1194,26),0)</f>
        <v/>
      </c>
      <c r="AD1194">
        <f>IFERROR(INDEX(PP_Grid[#Data],$DE1194,27),0)</f>
        <v/>
      </c>
      <c r="AE1194">
        <f>IFERROR(INDEX(PP_Grid[#Data],$DE1194,28),0)</f>
        <v/>
      </c>
      <c r="AF1194">
        <f>IFERROR(INDEX(PP_Grid[#Data],$DE1194,29),0)</f>
        <v/>
      </c>
      <c r="AG1194">
        <f>IFERROR(INDEX(PP_Grid[#Data],$DE1194,30),0)</f>
        <v/>
      </c>
      <c r="AH1194">
        <f>IFERROR(INDEX(PP_Grid[#Data],$DE1194,31),0)</f>
        <v/>
      </c>
      <c r="AI1194">
        <f>IFERROR(INDEX(PP_Grid[#Data],$DE1194,32),0)</f>
        <v/>
      </c>
      <c r="AJ1194">
        <f>IFERROR(INDEX(PP_Grid[#Data],$DE1194,33),0)</f>
        <v/>
      </c>
      <c r="AK1194">
        <f>IFERROR(INDEX(PP_Grid[#Data],$DE1194,34),0)</f>
        <v/>
      </c>
      <c r="AL1194">
        <f>IFERROR(INDEX(PP_Grid[#Data],$DE1194,35),0)</f>
        <v/>
      </c>
      <c r="AM1194">
        <f>IFERROR(INDEX(PP_Grid[#Data],$DE1194,36),0)</f>
        <v/>
      </c>
      <c r="AN1194">
        <f>IFERROR(INDEX(PP_Grid[#Data],$DE1194,37),0)</f>
        <v/>
      </c>
      <c r="AO1194">
        <f>IFERROR(INDEX(PP_Grid[#Data],$DE1194,38),0)</f>
        <v/>
      </c>
      <c r="AP1194">
        <f>IFERROR(INDEX(PP_Grid[#Data],$DE1194,39),0)</f>
        <v/>
      </c>
      <c r="AQ1194">
        <f>IFERROR(INDEX(PP_Grid[#Data],$DE1194,40),0)</f>
        <v/>
      </c>
      <c r="AR1194">
        <f>IFERROR(INDEX(PP_Grid[#Data],$DE1194,41),0)</f>
        <v/>
      </c>
      <c r="AS1194">
        <f>IFERROR(INDEX(PP_Grid[#Data],$DE1194,42),0)</f>
        <v/>
      </c>
      <c r="AT1194">
        <f>IFERROR(INDEX(PP_Grid[#Data],$DE1194,43),0)</f>
        <v/>
      </c>
      <c r="AU1194">
        <f>IFERROR(INDEX(PP_Grid[#Data],$DE1194,44),0)</f>
        <v/>
      </c>
      <c r="AV1194">
        <f>IFERROR(INDEX(PP_Grid[#Data],$DE1194,45),0)</f>
        <v/>
      </c>
      <c r="AW1194">
        <f>IFERROR(INDEX(PP_Grid[#Data],$DE1194,46),0)</f>
        <v/>
      </c>
      <c r="AX1194">
        <f>IFERROR(INDEX(PP_Grid[#Data],$DE1194,47),0)</f>
        <v/>
      </c>
      <c r="AY1194">
        <f>IFERROR(INDEX(PP_Grid[#Data],$DE1194,48),0)</f>
        <v/>
      </c>
      <c r="AZ1194">
        <f>IFERROR(INDEX(PP_Grid[#Data],$DE1194,49),0)</f>
        <v/>
      </c>
      <c r="BA1194">
        <f>IFERROR(INDEX(PP_Grid[#Data],$DE1194,50),0)</f>
        <v/>
      </c>
      <c r="BB1194">
        <f>IFERROR(INDEX(PP_Grid[#Data],$DE1194,51),0)</f>
        <v/>
      </c>
      <c r="BC1194">
        <f>IFERROR(INDEX(PP_Grid[#Data],$DE1194,52),0)</f>
        <v/>
      </c>
      <c r="BD1194">
        <f>IFERROR(INDEX(PP_Grid[#Data],$DE1194,53),0)</f>
        <v/>
      </c>
      <c r="BE1194">
        <f>IFERROR(INDEX(PP_Grid[#Data],$DE1194,54),0)</f>
        <v/>
      </c>
      <c r="BF1194">
        <f>IFERROR(INDEX(PP_Grid[#Data],$DE1194,55),0)</f>
        <v/>
      </c>
      <c r="BG1194">
        <f>IFERROR(INDEX(PP_Grid[#Data],$DE1194,56),0)</f>
        <v/>
      </c>
      <c r="BH1194">
        <f>IFERROR(INDEX(PP_Grid[#Data],$DE1194,57),0)</f>
        <v/>
      </c>
      <c r="BI1194">
        <f>IFERROR(INDEX(PP_Grid[#Data],$DE1194,58),0)</f>
        <v/>
      </c>
      <c r="BJ1194">
        <f>IFERROR(INDEX(PP_Grid[#Data],$DE1194,59),0)</f>
        <v/>
      </c>
      <c r="BK1194">
        <f>IFERROR(INDEX(PP_Grid[#Data],$DE1194,60),0)</f>
        <v/>
      </c>
      <c r="BL1194">
        <f>IFERROR(INDEX(PP_Grid[#Data],$DE1194,61),0)</f>
        <v/>
      </c>
      <c r="BM1194">
        <f>IFERROR(INDEX(PP_Grid[#Data],$DE1194,62),0)</f>
        <v/>
      </c>
      <c r="BN1194">
        <f>IFERROR(INDEX(PP_Grid[#Data],$DE1194,63),0)</f>
        <v/>
      </c>
      <c r="BO1194">
        <f>IFERROR(INDEX(PP_Grid[#Data],$DE1194,64),0)</f>
        <v/>
      </c>
      <c r="BP1194">
        <f>IFERROR(INDEX(PP_Grid[#Data],$DE1194,65),0)</f>
        <v/>
      </c>
      <c r="BQ1194">
        <f>IFERROR(INDEX(PP_Grid[#Data],$DE1194,66),0)</f>
        <v/>
      </c>
      <c r="BR1194">
        <f>IFERROR(INDEX(PP_Grid[#Data],$DE1194,67),0)</f>
        <v/>
      </c>
      <c r="BS1194">
        <f>IFERROR(INDEX(PP_Grid[#Data],$DE1194,68),0)</f>
        <v/>
      </c>
      <c r="BT1194">
        <f>IFERROR(INDEX(PP_Grid[#Data],$DE1194,69),0)</f>
        <v/>
      </c>
      <c r="BU1194">
        <f>IFERROR(INDEX(PP_Grid[#Data],$DE1194,70),0)</f>
        <v/>
      </c>
      <c r="BV1194">
        <f>IFERROR(INDEX(PP_Grid[#Data],$DE1194,71),0)</f>
        <v/>
      </c>
      <c r="BW1194">
        <f>IFERROR(INDEX(PP_Grid[#Data],$DE1194,72),0)</f>
        <v/>
      </c>
      <c r="BX1194">
        <f>IFERROR(INDEX(PP_Grid[#Data],$DE1194,73),0)</f>
        <v/>
      </c>
      <c r="BY1194">
        <f>IFERROR(INDEX(PP_Grid[#Data],$DE1194,74),0)</f>
        <v/>
      </c>
      <c r="BZ1194">
        <f>IFERROR(INDEX(PP_Grid[#Data],$DE1194,75),0)</f>
        <v/>
      </c>
      <c r="CA1194">
        <f>IFERROR(INDEX(PP_Grid[#Data],$DE1194,76),0)</f>
        <v/>
      </c>
      <c r="CB1194">
        <f>IFERROR(INDEX(PP_Grid[#Data],$DE1194,77),0)</f>
        <v/>
      </c>
      <c r="CC1194">
        <f>IFERROR(INDEX(PP_Grid[#Data],$DE1194,78),0)</f>
        <v/>
      </c>
      <c r="CD1194">
        <f>IFERROR(INDEX(PP_Grid[#Data],$DE1194,79),0)</f>
        <v/>
      </c>
      <c r="CE1194">
        <f>IFERROR(INDEX(PP_Grid[#Data],$DE1194,80),0)</f>
        <v/>
      </c>
      <c r="CF1194">
        <f>IFERROR(INDEX(PP_Grid[#Data],$DE1194,81),0)</f>
        <v/>
      </c>
      <c r="CG1194">
        <f>IFERROR(INDEX(PP_Grid[#Data],$DE1194,82),0)</f>
        <v/>
      </c>
      <c r="CH1194">
        <f>IFERROR(INDEX(PP_Grid[#Data],$DE1194,83),0)</f>
        <v/>
      </c>
      <c r="CI1194">
        <f>IFERROR(INDEX(PP_Grid[#Data],$DE1194,84),0)</f>
        <v/>
      </c>
      <c r="CJ1194">
        <f>IFERROR(INDEX(PP_Grid[#Data],$DE1194,85),0)</f>
        <v/>
      </c>
      <c r="CK1194">
        <f>IFERROR(INDEX(PP_Grid[#Data],$DE1194,86),0)</f>
        <v/>
      </c>
      <c r="CL1194">
        <f>IFERROR(INDEX(PP_Grid[#Data],$DE1194,87),0)</f>
        <v/>
      </c>
      <c r="CM1194">
        <f>IFERROR(INDEX(PP_Grid[#Data],$DE1194,88),0)</f>
        <v/>
      </c>
      <c r="CN1194">
        <f>IFERROR(INDEX(PP_Grid[#Data],$DE1194,89),0)</f>
        <v/>
      </c>
      <c r="CO1194">
        <f>IFERROR(INDEX(PP_Grid[#Data],$DE1194,90),0)</f>
        <v/>
      </c>
      <c r="CP1194">
        <f>IFERROR(INDEX(PP_Grid[#Data],$DE1194,91),0)</f>
        <v/>
      </c>
      <c r="CQ1194">
        <f>IFERROR(INDEX(PP_Grid[#Data],$DE1194,92),0)</f>
        <v/>
      </c>
      <c r="CR1194">
        <f>IFERROR(INDEX(PP_Grid[#Data],$DE1194,93),0)</f>
        <v/>
      </c>
      <c r="CS1194">
        <f>IFERROR(INDEX(PP_Grid[#Data],$DE1194,94),0)</f>
        <v/>
      </c>
      <c r="CT1194">
        <f>IFERROR(INDEX(PP_Grid[#Data],$DE1194,95),0)</f>
        <v/>
      </c>
      <c r="CU1194">
        <f>IFERROR(INDEX(PP_Grid[#Data],$DE1194,96),0)</f>
        <v/>
      </c>
      <c r="CV1194">
        <f>IFERROR(INDEX(PP_Grid[#Data],$DE1194,97),0)</f>
        <v/>
      </c>
      <c r="CW1194">
        <f>IFERROR(INDEX(PP_Grid[#Data],$DE1194,98),0)</f>
        <v/>
      </c>
      <c r="CX1194">
        <f>IFERROR(INDEX(PP_Grid[#Data],$DE1194,99),0)</f>
        <v/>
      </c>
      <c r="CY1194">
        <f>IFERROR(INDEX(PP_Grid[#Data],$DE1194,100),0)</f>
        <v/>
      </c>
      <c r="CZ1194">
        <f>IFERROR(INDEX(PP_Grid[#Data],$DE1194,101),0)</f>
        <v/>
      </c>
      <c r="DA1194">
        <f>IFERROR(INDEX(PP_Grid[#Data],$DE1194,102),0)</f>
        <v/>
      </c>
      <c r="DB1194">
        <f>IFERROR(INDEX(PP_Grid[#Data],$DE1194,103),0)</f>
        <v/>
      </c>
      <c r="DC1194">
        <f>IFERROR(INDEX(PP_Grid[#Data],$DE1194,104),0)</f>
        <v/>
      </c>
      <c r="DD1194">
        <f>IFERROR(INDEX(PP_Grid[#Data],$DE1194,105),0)</f>
        <v/>
      </c>
      <c r="DE1194" s="7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SUMIFS(M_BOM[RM_Qty_Per_Batch],M_BOM[Intermediate],$B1194,M_BOM[RM_Code],$A1147)</f>
        <v/>
      </c>
      <c r="D1195">
        <f>IFERROR(INDEX(E1195:DD1195,$F$1),"")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  <c r="DD1195">
        <f>$C1195*DD1194</f>
        <v/>
      </c>
    </row>
    <row r="1196">
      <c r="B1196" t="inlineStr">
        <is>
          <t>VSP-990</t>
        </is>
      </c>
      <c r="C1196" t="inlineStr">
        <is>
          <t>No. of batches</t>
        </is>
      </c>
      <c r="D1196">
        <f>IFERROR(INDEX(E1196:DD1196,$F$1),"")</f>
        <v/>
      </c>
      <c r="E1196">
        <f>IFERROR(INDEX(PP_Grid[#Data],$DE1196,2),0)</f>
        <v/>
      </c>
      <c r="F1196">
        <f>IFERROR(INDEX(PP_Grid[#Data],$DE1196,3),0)</f>
        <v/>
      </c>
      <c r="G1196">
        <f>IFERROR(INDEX(PP_Grid[#Data],$DE1196,4),0)</f>
        <v/>
      </c>
      <c r="H1196">
        <f>IFERROR(INDEX(PP_Grid[#Data],$DE1196,5),0)</f>
        <v/>
      </c>
      <c r="I1196">
        <f>IFERROR(INDEX(PP_Grid[#Data],$DE1196,6),0)</f>
        <v/>
      </c>
      <c r="J1196">
        <f>IFERROR(INDEX(PP_Grid[#Data],$DE1196,7),0)</f>
        <v/>
      </c>
      <c r="K1196">
        <f>IFERROR(INDEX(PP_Grid[#Data],$DE1196,8),0)</f>
        <v/>
      </c>
      <c r="L1196">
        <f>IFERROR(INDEX(PP_Grid[#Data],$DE1196,9),0)</f>
        <v/>
      </c>
      <c r="M1196">
        <f>IFERROR(INDEX(PP_Grid[#Data],$DE1196,10),0)</f>
        <v/>
      </c>
      <c r="N1196">
        <f>IFERROR(INDEX(PP_Grid[#Data],$DE1196,11),0)</f>
        <v/>
      </c>
      <c r="O1196">
        <f>IFERROR(INDEX(PP_Grid[#Data],$DE1196,12),0)</f>
        <v/>
      </c>
      <c r="P1196">
        <f>IFERROR(INDEX(PP_Grid[#Data],$DE1196,13),0)</f>
        <v/>
      </c>
      <c r="Q1196">
        <f>IFERROR(INDEX(PP_Grid[#Data],$DE1196,14),0)</f>
        <v/>
      </c>
      <c r="R1196">
        <f>IFERROR(INDEX(PP_Grid[#Data],$DE1196,15),0)</f>
        <v/>
      </c>
      <c r="S1196">
        <f>IFERROR(INDEX(PP_Grid[#Data],$DE1196,16),0)</f>
        <v/>
      </c>
      <c r="T1196">
        <f>IFERROR(INDEX(PP_Grid[#Data],$DE1196,17),0)</f>
        <v/>
      </c>
      <c r="U1196">
        <f>IFERROR(INDEX(PP_Grid[#Data],$DE1196,18),0)</f>
        <v/>
      </c>
      <c r="V1196">
        <f>IFERROR(INDEX(PP_Grid[#Data],$DE1196,19),0)</f>
        <v/>
      </c>
      <c r="W1196">
        <f>IFERROR(INDEX(PP_Grid[#Data],$DE1196,20),0)</f>
        <v/>
      </c>
      <c r="X1196">
        <f>IFERROR(INDEX(PP_Grid[#Data],$DE1196,21),0)</f>
        <v/>
      </c>
      <c r="Y1196">
        <f>IFERROR(INDEX(PP_Grid[#Data],$DE1196,22),0)</f>
        <v/>
      </c>
      <c r="Z1196">
        <f>IFERROR(INDEX(PP_Grid[#Data],$DE1196,23),0)</f>
        <v/>
      </c>
      <c r="AA1196">
        <f>IFERROR(INDEX(PP_Grid[#Data],$DE1196,24),0)</f>
        <v/>
      </c>
      <c r="AB1196">
        <f>IFERROR(INDEX(PP_Grid[#Data],$DE1196,25),0)</f>
        <v/>
      </c>
      <c r="AC1196">
        <f>IFERROR(INDEX(PP_Grid[#Data],$DE1196,26),0)</f>
        <v/>
      </c>
      <c r="AD1196">
        <f>IFERROR(INDEX(PP_Grid[#Data],$DE1196,27),0)</f>
        <v/>
      </c>
      <c r="AE1196">
        <f>IFERROR(INDEX(PP_Grid[#Data],$DE1196,28),0)</f>
        <v/>
      </c>
      <c r="AF1196">
        <f>IFERROR(INDEX(PP_Grid[#Data],$DE1196,29),0)</f>
        <v/>
      </c>
      <c r="AG1196">
        <f>IFERROR(INDEX(PP_Grid[#Data],$DE1196,30),0)</f>
        <v/>
      </c>
      <c r="AH1196">
        <f>IFERROR(INDEX(PP_Grid[#Data],$DE1196,31),0)</f>
        <v/>
      </c>
      <c r="AI1196">
        <f>IFERROR(INDEX(PP_Grid[#Data],$DE1196,32),0)</f>
        <v/>
      </c>
      <c r="AJ1196">
        <f>IFERROR(INDEX(PP_Grid[#Data],$DE1196,33),0)</f>
        <v/>
      </c>
      <c r="AK1196">
        <f>IFERROR(INDEX(PP_Grid[#Data],$DE1196,34),0)</f>
        <v/>
      </c>
      <c r="AL1196">
        <f>IFERROR(INDEX(PP_Grid[#Data],$DE1196,35),0)</f>
        <v/>
      </c>
      <c r="AM1196">
        <f>IFERROR(INDEX(PP_Grid[#Data],$DE1196,36),0)</f>
        <v/>
      </c>
      <c r="AN1196">
        <f>IFERROR(INDEX(PP_Grid[#Data],$DE1196,37),0)</f>
        <v/>
      </c>
      <c r="AO1196">
        <f>IFERROR(INDEX(PP_Grid[#Data],$DE1196,38),0)</f>
        <v/>
      </c>
      <c r="AP1196">
        <f>IFERROR(INDEX(PP_Grid[#Data],$DE1196,39),0)</f>
        <v/>
      </c>
      <c r="AQ1196">
        <f>IFERROR(INDEX(PP_Grid[#Data],$DE1196,40),0)</f>
        <v/>
      </c>
      <c r="AR1196">
        <f>IFERROR(INDEX(PP_Grid[#Data],$DE1196,41),0)</f>
        <v/>
      </c>
      <c r="AS1196">
        <f>IFERROR(INDEX(PP_Grid[#Data],$DE1196,42),0)</f>
        <v/>
      </c>
      <c r="AT1196">
        <f>IFERROR(INDEX(PP_Grid[#Data],$DE1196,43),0)</f>
        <v/>
      </c>
      <c r="AU1196">
        <f>IFERROR(INDEX(PP_Grid[#Data],$DE1196,44),0)</f>
        <v/>
      </c>
      <c r="AV1196">
        <f>IFERROR(INDEX(PP_Grid[#Data],$DE1196,45),0)</f>
        <v/>
      </c>
      <c r="AW1196">
        <f>IFERROR(INDEX(PP_Grid[#Data],$DE1196,46),0)</f>
        <v/>
      </c>
      <c r="AX1196">
        <f>IFERROR(INDEX(PP_Grid[#Data],$DE1196,47),0)</f>
        <v/>
      </c>
      <c r="AY1196">
        <f>IFERROR(INDEX(PP_Grid[#Data],$DE1196,48),0)</f>
        <v/>
      </c>
      <c r="AZ1196">
        <f>IFERROR(INDEX(PP_Grid[#Data],$DE1196,49),0)</f>
        <v/>
      </c>
      <c r="BA1196">
        <f>IFERROR(INDEX(PP_Grid[#Data],$DE1196,50),0)</f>
        <v/>
      </c>
      <c r="BB1196">
        <f>IFERROR(INDEX(PP_Grid[#Data],$DE1196,51),0)</f>
        <v/>
      </c>
      <c r="BC1196">
        <f>IFERROR(INDEX(PP_Grid[#Data],$DE1196,52),0)</f>
        <v/>
      </c>
      <c r="BD1196">
        <f>IFERROR(INDEX(PP_Grid[#Data],$DE1196,53),0)</f>
        <v/>
      </c>
      <c r="BE1196">
        <f>IFERROR(INDEX(PP_Grid[#Data],$DE1196,54),0)</f>
        <v/>
      </c>
      <c r="BF1196">
        <f>IFERROR(INDEX(PP_Grid[#Data],$DE1196,55),0)</f>
        <v/>
      </c>
      <c r="BG1196">
        <f>IFERROR(INDEX(PP_Grid[#Data],$DE1196,56),0)</f>
        <v/>
      </c>
      <c r="BH1196">
        <f>IFERROR(INDEX(PP_Grid[#Data],$DE1196,57),0)</f>
        <v/>
      </c>
      <c r="BI1196">
        <f>IFERROR(INDEX(PP_Grid[#Data],$DE1196,58),0)</f>
        <v/>
      </c>
      <c r="BJ1196">
        <f>IFERROR(INDEX(PP_Grid[#Data],$DE1196,59),0)</f>
        <v/>
      </c>
      <c r="BK1196">
        <f>IFERROR(INDEX(PP_Grid[#Data],$DE1196,60),0)</f>
        <v/>
      </c>
      <c r="BL1196">
        <f>IFERROR(INDEX(PP_Grid[#Data],$DE1196,61),0)</f>
        <v/>
      </c>
      <c r="BM1196">
        <f>IFERROR(INDEX(PP_Grid[#Data],$DE1196,62),0)</f>
        <v/>
      </c>
      <c r="BN1196">
        <f>IFERROR(INDEX(PP_Grid[#Data],$DE1196,63),0)</f>
        <v/>
      </c>
      <c r="BO1196">
        <f>IFERROR(INDEX(PP_Grid[#Data],$DE1196,64),0)</f>
        <v/>
      </c>
      <c r="BP1196">
        <f>IFERROR(INDEX(PP_Grid[#Data],$DE1196,65),0)</f>
        <v/>
      </c>
      <c r="BQ1196">
        <f>IFERROR(INDEX(PP_Grid[#Data],$DE1196,66),0)</f>
        <v/>
      </c>
      <c r="BR1196">
        <f>IFERROR(INDEX(PP_Grid[#Data],$DE1196,67),0)</f>
        <v/>
      </c>
      <c r="BS1196">
        <f>IFERROR(INDEX(PP_Grid[#Data],$DE1196,68),0)</f>
        <v/>
      </c>
      <c r="BT1196">
        <f>IFERROR(INDEX(PP_Grid[#Data],$DE1196,69),0)</f>
        <v/>
      </c>
      <c r="BU1196">
        <f>IFERROR(INDEX(PP_Grid[#Data],$DE1196,70),0)</f>
        <v/>
      </c>
      <c r="BV1196">
        <f>IFERROR(INDEX(PP_Grid[#Data],$DE1196,71),0)</f>
        <v/>
      </c>
      <c r="BW1196">
        <f>IFERROR(INDEX(PP_Grid[#Data],$DE1196,72),0)</f>
        <v/>
      </c>
      <c r="BX1196">
        <f>IFERROR(INDEX(PP_Grid[#Data],$DE1196,73),0)</f>
        <v/>
      </c>
      <c r="BY1196">
        <f>IFERROR(INDEX(PP_Grid[#Data],$DE1196,74),0)</f>
        <v/>
      </c>
      <c r="BZ1196">
        <f>IFERROR(INDEX(PP_Grid[#Data],$DE1196,75),0)</f>
        <v/>
      </c>
      <c r="CA1196">
        <f>IFERROR(INDEX(PP_Grid[#Data],$DE1196,76),0)</f>
        <v/>
      </c>
      <c r="CB1196">
        <f>IFERROR(INDEX(PP_Grid[#Data],$DE1196,77),0)</f>
        <v/>
      </c>
      <c r="CC1196">
        <f>IFERROR(INDEX(PP_Grid[#Data],$DE1196,78),0)</f>
        <v/>
      </c>
      <c r="CD1196">
        <f>IFERROR(INDEX(PP_Grid[#Data],$DE1196,79),0)</f>
        <v/>
      </c>
      <c r="CE1196">
        <f>IFERROR(INDEX(PP_Grid[#Data],$DE1196,80),0)</f>
        <v/>
      </c>
      <c r="CF1196">
        <f>IFERROR(INDEX(PP_Grid[#Data],$DE1196,81),0)</f>
        <v/>
      </c>
      <c r="CG1196">
        <f>IFERROR(INDEX(PP_Grid[#Data],$DE1196,82),0)</f>
        <v/>
      </c>
      <c r="CH1196">
        <f>IFERROR(INDEX(PP_Grid[#Data],$DE1196,83),0)</f>
        <v/>
      </c>
      <c r="CI1196">
        <f>IFERROR(INDEX(PP_Grid[#Data],$DE1196,84),0)</f>
        <v/>
      </c>
      <c r="CJ1196">
        <f>IFERROR(INDEX(PP_Grid[#Data],$DE1196,85),0)</f>
        <v/>
      </c>
      <c r="CK1196">
        <f>IFERROR(INDEX(PP_Grid[#Data],$DE1196,86),0)</f>
        <v/>
      </c>
      <c r="CL1196">
        <f>IFERROR(INDEX(PP_Grid[#Data],$DE1196,87),0)</f>
        <v/>
      </c>
      <c r="CM1196">
        <f>IFERROR(INDEX(PP_Grid[#Data],$DE1196,88),0)</f>
        <v/>
      </c>
      <c r="CN1196">
        <f>IFERROR(INDEX(PP_Grid[#Data],$DE1196,89),0)</f>
        <v/>
      </c>
      <c r="CO1196">
        <f>IFERROR(INDEX(PP_Grid[#Data],$DE1196,90),0)</f>
        <v/>
      </c>
      <c r="CP1196">
        <f>IFERROR(INDEX(PP_Grid[#Data],$DE1196,91),0)</f>
        <v/>
      </c>
      <c r="CQ1196">
        <f>IFERROR(INDEX(PP_Grid[#Data],$DE1196,92),0)</f>
        <v/>
      </c>
      <c r="CR1196">
        <f>IFERROR(INDEX(PP_Grid[#Data],$DE1196,93),0)</f>
        <v/>
      </c>
      <c r="CS1196">
        <f>IFERROR(INDEX(PP_Grid[#Data],$DE1196,94),0)</f>
        <v/>
      </c>
      <c r="CT1196">
        <f>IFERROR(INDEX(PP_Grid[#Data],$DE1196,95),0)</f>
        <v/>
      </c>
      <c r="CU1196">
        <f>IFERROR(INDEX(PP_Grid[#Data],$DE1196,96),0)</f>
        <v/>
      </c>
      <c r="CV1196">
        <f>IFERROR(INDEX(PP_Grid[#Data],$DE1196,97),0)</f>
        <v/>
      </c>
      <c r="CW1196">
        <f>IFERROR(INDEX(PP_Grid[#Data],$DE1196,98),0)</f>
        <v/>
      </c>
      <c r="CX1196">
        <f>IFERROR(INDEX(PP_Grid[#Data],$DE1196,99),0)</f>
        <v/>
      </c>
      <c r="CY1196">
        <f>IFERROR(INDEX(PP_Grid[#Data],$DE1196,100),0)</f>
        <v/>
      </c>
      <c r="CZ1196">
        <f>IFERROR(INDEX(PP_Grid[#Data],$DE1196,101),0)</f>
        <v/>
      </c>
      <c r="DA1196">
        <f>IFERROR(INDEX(PP_Grid[#Data],$DE1196,102),0)</f>
        <v/>
      </c>
      <c r="DB1196">
        <f>IFERROR(INDEX(PP_Grid[#Data],$DE1196,103),0)</f>
        <v/>
      </c>
      <c r="DC1196">
        <f>IFERROR(INDEX(PP_Grid[#Data],$DE1196,104),0)</f>
        <v/>
      </c>
      <c r="DD1196">
        <f>IFERROR(INDEX(PP_Grid[#Data],$DE1196,105),0)</f>
        <v/>
      </c>
      <c r="DE1196" s="7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SUMIFS(M_BOM[RM_Qty_Per_Batch],M_BOM[Intermediate],$B1196,M_BOM[RM_Code],$A1147)</f>
        <v/>
      </c>
      <c r="D1197">
        <f>IFERROR(INDEX(E1197:DD1197,$F$1),"")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  <c r="DD1197">
        <f>$C1197*DD1196</f>
        <v/>
      </c>
    </row>
    <row r="1198">
      <c r="B1198" t="inlineStr">
        <is>
          <t>VSZ-745</t>
        </is>
      </c>
      <c r="C1198" t="inlineStr">
        <is>
          <t>No. of batches</t>
        </is>
      </c>
      <c r="D1198">
        <f>IFERROR(INDEX(E1198:DD1198,$F$1),"")</f>
        <v/>
      </c>
      <c r="E1198">
        <f>IFERROR(INDEX(PP_Grid[#Data],$DE1198,2),0)</f>
        <v/>
      </c>
      <c r="F1198">
        <f>IFERROR(INDEX(PP_Grid[#Data],$DE1198,3),0)</f>
        <v/>
      </c>
      <c r="G1198">
        <f>IFERROR(INDEX(PP_Grid[#Data],$DE1198,4),0)</f>
        <v/>
      </c>
      <c r="H1198">
        <f>IFERROR(INDEX(PP_Grid[#Data],$DE1198,5),0)</f>
        <v/>
      </c>
      <c r="I1198">
        <f>IFERROR(INDEX(PP_Grid[#Data],$DE1198,6),0)</f>
        <v/>
      </c>
      <c r="J1198">
        <f>IFERROR(INDEX(PP_Grid[#Data],$DE1198,7),0)</f>
        <v/>
      </c>
      <c r="K1198">
        <f>IFERROR(INDEX(PP_Grid[#Data],$DE1198,8),0)</f>
        <v/>
      </c>
      <c r="L1198">
        <f>IFERROR(INDEX(PP_Grid[#Data],$DE1198,9),0)</f>
        <v/>
      </c>
      <c r="M1198">
        <f>IFERROR(INDEX(PP_Grid[#Data],$DE1198,10),0)</f>
        <v/>
      </c>
      <c r="N1198">
        <f>IFERROR(INDEX(PP_Grid[#Data],$DE1198,11),0)</f>
        <v/>
      </c>
      <c r="O1198">
        <f>IFERROR(INDEX(PP_Grid[#Data],$DE1198,12),0)</f>
        <v/>
      </c>
      <c r="P1198">
        <f>IFERROR(INDEX(PP_Grid[#Data],$DE1198,13),0)</f>
        <v/>
      </c>
      <c r="Q1198">
        <f>IFERROR(INDEX(PP_Grid[#Data],$DE1198,14),0)</f>
        <v/>
      </c>
      <c r="R1198">
        <f>IFERROR(INDEX(PP_Grid[#Data],$DE1198,15),0)</f>
        <v/>
      </c>
      <c r="S1198">
        <f>IFERROR(INDEX(PP_Grid[#Data],$DE1198,16),0)</f>
        <v/>
      </c>
      <c r="T1198">
        <f>IFERROR(INDEX(PP_Grid[#Data],$DE1198,17),0)</f>
        <v/>
      </c>
      <c r="U1198">
        <f>IFERROR(INDEX(PP_Grid[#Data],$DE1198,18),0)</f>
        <v/>
      </c>
      <c r="V1198">
        <f>IFERROR(INDEX(PP_Grid[#Data],$DE1198,19),0)</f>
        <v/>
      </c>
      <c r="W1198">
        <f>IFERROR(INDEX(PP_Grid[#Data],$DE1198,20),0)</f>
        <v/>
      </c>
      <c r="X1198">
        <f>IFERROR(INDEX(PP_Grid[#Data],$DE1198,21),0)</f>
        <v/>
      </c>
      <c r="Y1198">
        <f>IFERROR(INDEX(PP_Grid[#Data],$DE1198,22),0)</f>
        <v/>
      </c>
      <c r="Z1198">
        <f>IFERROR(INDEX(PP_Grid[#Data],$DE1198,23),0)</f>
        <v/>
      </c>
      <c r="AA1198">
        <f>IFERROR(INDEX(PP_Grid[#Data],$DE1198,24),0)</f>
        <v/>
      </c>
      <c r="AB1198">
        <f>IFERROR(INDEX(PP_Grid[#Data],$DE1198,25),0)</f>
        <v/>
      </c>
      <c r="AC1198">
        <f>IFERROR(INDEX(PP_Grid[#Data],$DE1198,26),0)</f>
        <v/>
      </c>
      <c r="AD1198">
        <f>IFERROR(INDEX(PP_Grid[#Data],$DE1198,27),0)</f>
        <v/>
      </c>
      <c r="AE1198">
        <f>IFERROR(INDEX(PP_Grid[#Data],$DE1198,28),0)</f>
        <v/>
      </c>
      <c r="AF1198">
        <f>IFERROR(INDEX(PP_Grid[#Data],$DE1198,29),0)</f>
        <v/>
      </c>
      <c r="AG1198">
        <f>IFERROR(INDEX(PP_Grid[#Data],$DE1198,30),0)</f>
        <v/>
      </c>
      <c r="AH1198">
        <f>IFERROR(INDEX(PP_Grid[#Data],$DE1198,31),0)</f>
        <v/>
      </c>
      <c r="AI1198">
        <f>IFERROR(INDEX(PP_Grid[#Data],$DE1198,32),0)</f>
        <v/>
      </c>
      <c r="AJ1198">
        <f>IFERROR(INDEX(PP_Grid[#Data],$DE1198,33),0)</f>
        <v/>
      </c>
      <c r="AK1198">
        <f>IFERROR(INDEX(PP_Grid[#Data],$DE1198,34),0)</f>
        <v/>
      </c>
      <c r="AL1198">
        <f>IFERROR(INDEX(PP_Grid[#Data],$DE1198,35),0)</f>
        <v/>
      </c>
      <c r="AM1198">
        <f>IFERROR(INDEX(PP_Grid[#Data],$DE1198,36),0)</f>
        <v/>
      </c>
      <c r="AN1198">
        <f>IFERROR(INDEX(PP_Grid[#Data],$DE1198,37),0)</f>
        <v/>
      </c>
      <c r="AO1198">
        <f>IFERROR(INDEX(PP_Grid[#Data],$DE1198,38),0)</f>
        <v/>
      </c>
      <c r="AP1198">
        <f>IFERROR(INDEX(PP_Grid[#Data],$DE1198,39),0)</f>
        <v/>
      </c>
      <c r="AQ1198">
        <f>IFERROR(INDEX(PP_Grid[#Data],$DE1198,40),0)</f>
        <v/>
      </c>
      <c r="AR1198">
        <f>IFERROR(INDEX(PP_Grid[#Data],$DE1198,41),0)</f>
        <v/>
      </c>
      <c r="AS1198">
        <f>IFERROR(INDEX(PP_Grid[#Data],$DE1198,42),0)</f>
        <v/>
      </c>
      <c r="AT1198">
        <f>IFERROR(INDEX(PP_Grid[#Data],$DE1198,43),0)</f>
        <v/>
      </c>
      <c r="AU1198">
        <f>IFERROR(INDEX(PP_Grid[#Data],$DE1198,44),0)</f>
        <v/>
      </c>
      <c r="AV1198">
        <f>IFERROR(INDEX(PP_Grid[#Data],$DE1198,45),0)</f>
        <v/>
      </c>
      <c r="AW1198">
        <f>IFERROR(INDEX(PP_Grid[#Data],$DE1198,46),0)</f>
        <v/>
      </c>
      <c r="AX1198">
        <f>IFERROR(INDEX(PP_Grid[#Data],$DE1198,47),0)</f>
        <v/>
      </c>
      <c r="AY1198">
        <f>IFERROR(INDEX(PP_Grid[#Data],$DE1198,48),0)</f>
        <v/>
      </c>
      <c r="AZ1198">
        <f>IFERROR(INDEX(PP_Grid[#Data],$DE1198,49),0)</f>
        <v/>
      </c>
      <c r="BA1198">
        <f>IFERROR(INDEX(PP_Grid[#Data],$DE1198,50),0)</f>
        <v/>
      </c>
      <c r="BB1198">
        <f>IFERROR(INDEX(PP_Grid[#Data],$DE1198,51),0)</f>
        <v/>
      </c>
      <c r="BC1198">
        <f>IFERROR(INDEX(PP_Grid[#Data],$DE1198,52),0)</f>
        <v/>
      </c>
      <c r="BD1198">
        <f>IFERROR(INDEX(PP_Grid[#Data],$DE1198,53),0)</f>
        <v/>
      </c>
      <c r="BE1198">
        <f>IFERROR(INDEX(PP_Grid[#Data],$DE1198,54),0)</f>
        <v/>
      </c>
      <c r="BF1198">
        <f>IFERROR(INDEX(PP_Grid[#Data],$DE1198,55),0)</f>
        <v/>
      </c>
      <c r="BG1198">
        <f>IFERROR(INDEX(PP_Grid[#Data],$DE1198,56),0)</f>
        <v/>
      </c>
      <c r="BH1198">
        <f>IFERROR(INDEX(PP_Grid[#Data],$DE1198,57),0)</f>
        <v/>
      </c>
      <c r="BI1198">
        <f>IFERROR(INDEX(PP_Grid[#Data],$DE1198,58),0)</f>
        <v/>
      </c>
      <c r="BJ1198">
        <f>IFERROR(INDEX(PP_Grid[#Data],$DE1198,59),0)</f>
        <v/>
      </c>
      <c r="BK1198">
        <f>IFERROR(INDEX(PP_Grid[#Data],$DE1198,60),0)</f>
        <v/>
      </c>
      <c r="BL1198">
        <f>IFERROR(INDEX(PP_Grid[#Data],$DE1198,61),0)</f>
        <v/>
      </c>
      <c r="BM1198">
        <f>IFERROR(INDEX(PP_Grid[#Data],$DE1198,62),0)</f>
        <v/>
      </c>
      <c r="BN1198">
        <f>IFERROR(INDEX(PP_Grid[#Data],$DE1198,63),0)</f>
        <v/>
      </c>
      <c r="BO1198">
        <f>IFERROR(INDEX(PP_Grid[#Data],$DE1198,64),0)</f>
        <v/>
      </c>
      <c r="BP1198">
        <f>IFERROR(INDEX(PP_Grid[#Data],$DE1198,65),0)</f>
        <v/>
      </c>
      <c r="BQ1198">
        <f>IFERROR(INDEX(PP_Grid[#Data],$DE1198,66),0)</f>
        <v/>
      </c>
      <c r="BR1198">
        <f>IFERROR(INDEX(PP_Grid[#Data],$DE1198,67),0)</f>
        <v/>
      </c>
      <c r="BS1198">
        <f>IFERROR(INDEX(PP_Grid[#Data],$DE1198,68),0)</f>
        <v/>
      </c>
      <c r="BT1198">
        <f>IFERROR(INDEX(PP_Grid[#Data],$DE1198,69),0)</f>
        <v/>
      </c>
      <c r="BU1198">
        <f>IFERROR(INDEX(PP_Grid[#Data],$DE1198,70),0)</f>
        <v/>
      </c>
      <c r="BV1198">
        <f>IFERROR(INDEX(PP_Grid[#Data],$DE1198,71),0)</f>
        <v/>
      </c>
      <c r="BW1198">
        <f>IFERROR(INDEX(PP_Grid[#Data],$DE1198,72),0)</f>
        <v/>
      </c>
      <c r="BX1198">
        <f>IFERROR(INDEX(PP_Grid[#Data],$DE1198,73),0)</f>
        <v/>
      </c>
      <c r="BY1198">
        <f>IFERROR(INDEX(PP_Grid[#Data],$DE1198,74),0)</f>
        <v/>
      </c>
      <c r="BZ1198">
        <f>IFERROR(INDEX(PP_Grid[#Data],$DE1198,75),0)</f>
        <v/>
      </c>
      <c r="CA1198">
        <f>IFERROR(INDEX(PP_Grid[#Data],$DE1198,76),0)</f>
        <v/>
      </c>
      <c r="CB1198">
        <f>IFERROR(INDEX(PP_Grid[#Data],$DE1198,77),0)</f>
        <v/>
      </c>
      <c r="CC1198">
        <f>IFERROR(INDEX(PP_Grid[#Data],$DE1198,78),0)</f>
        <v/>
      </c>
      <c r="CD1198">
        <f>IFERROR(INDEX(PP_Grid[#Data],$DE1198,79),0)</f>
        <v/>
      </c>
      <c r="CE1198">
        <f>IFERROR(INDEX(PP_Grid[#Data],$DE1198,80),0)</f>
        <v/>
      </c>
      <c r="CF1198">
        <f>IFERROR(INDEX(PP_Grid[#Data],$DE1198,81),0)</f>
        <v/>
      </c>
      <c r="CG1198">
        <f>IFERROR(INDEX(PP_Grid[#Data],$DE1198,82),0)</f>
        <v/>
      </c>
      <c r="CH1198">
        <f>IFERROR(INDEX(PP_Grid[#Data],$DE1198,83),0)</f>
        <v/>
      </c>
      <c r="CI1198">
        <f>IFERROR(INDEX(PP_Grid[#Data],$DE1198,84),0)</f>
        <v/>
      </c>
      <c r="CJ1198">
        <f>IFERROR(INDEX(PP_Grid[#Data],$DE1198,85),0)</f>
        <v/>
      </c>
      <c r="CK1198">
        <f>IFERROR(INDEX(PP_Grid[#Data],$DE1198,86),0)</f>
        <v/>
      </c>
      <c r="CL1198">
        <f>IFERROR(INDEX(PP_Grid[#Data],$DE1198,87),0)</f>
        <v/>
      </c>
      <c r="CM1198">
        <f>IFERROR(INDEX(PP_Grid[#Data],$DE1198,88),0)</f>
        <v/>
      </c>
      <c r="CN1198">
        <f>IFERROR(INDEX(PP_Grid[#Data],$DE1198,89),0)</f>
        <v/>
      </c>
      <c r="CO1198">
        <f>IFERROR(INDEX(PP_Grid[#Data],$DE1198,90),0)</f>
        <v/>
      </c>
      <c r="CP1198">
        <f>IFERROR(INDEX(PP_Grid[#Data],$DE1198,91),0)</f>
        <v/>
      </c>
      <c r="CQ1198">
        <f>IFERROR(INDEX(PP_Grid[#Data],$DE1198,92),0)</f>
        <v/>
      </c>
      <c r="CR1198">
        <f>IFERROR(INDEX(PP_Grid[#Data],$DE1198,93),0)</f>
        <v/>
      </c>
      <c r="CS1198">
        <f>IFERROR(INDEX(PP_Grid[#Data],$DE1198,94),0)</f>
        <v/>
      </c>
      <c r="CT1198">
        <f>IFERROR(INDEX(PP_Grid[#Data],$DE1198,95),0)</f>
        <v/>
      </c>
      <c r="CU1198">
        <f>IFERROR(INDEX(PP_Grid[#Data],$DE1198,96),0)</f>
        <v/>
      </c>
      <c r="CV1198">
        <f>IFERROR(INDEX(PP_Grid[#Data],$DE1198,97),0)</f>
        <v/>
      </c>
      <c r="CW1198">
        <f>IFERROR(INDEX(PP_Grid[#Data],$DE1198,98),0)</f>
        <v/>
      </c>
      <c r="CX1198">
        <f>IFERROR(INDEX(PP_Grid[#Data],$DE1198,99),0)</f>
        <v/>
      </c>
      <c r="CY1198">
        <f>IFERROR(INDEX(PP_Grid[#Data],$DE1198,100),0)</f>
        <v/>
      </c>
      <c r="CZ1198">
        <f>IFERROR(INDEX(PP_Grid[#Data],$DE1198,101),0)</f>
        <v/>
      </c>
      <c r="DA1198">
        <f>IFERROR(INDEX(PP_Grid[#Data],$DE1198,102),0)</f>
        <v/>
      </c>
      <c r="DB1198">
        <f>IFERROR(INDEX(PP_Grid[#Data],$DE1198,103),0)</f>
        <v/>
      </c>
      <c r="DC1198">
        <f>IFERROR(INDEX(PP_Grid[#Data],$DE1198,104),0)</f>
        <v/>
      </c>
      <c r="DD1198">
        <f>IFERROR(INDEX(PP_Grid[#Data],$DE1198,105),0)</f>
        <v/>
      </c>
      <c r="DE1198" s="7">
        <f>IFERROR(MATCH($B1198,PP_Grid[Intermediate],0),99999)</f>
        <v/>
      </c>
    </row>
    <row r="1199">
      <c r="B1199" t="inlineStr">
        <is>
          <t>使用量(kg)</t>
        </is>
      </c>
      <c r="C1199">
        <f>SUMIFS(M_BOM[RM_Qty_Per_Batch],M_BOM[Intermediate],$B1198,M_BOM[RM_Code],$A1147)</f>
        <v/>
      </c>
      <c r="D1199">
        <f>IFERROR(INDEX(E1199:DD1199,$F$1),"")</f>
        <v/>
      </c>
      <c r="E1199">
        <f>$C1199*E1198</f>
        <v/>
      </c>
      <c r="F1199">
        <f>$C1199*F1198</f>
        <v/>
      </c>
      <c r="G1199">
        <f>$C1199*G1198</f>
        <v/>
      </c>
      <c r="H1199">
        <f>$C1199*H1198</f>
        <v/>
      </c>
      <c r="I1199">
        <f>$C1199*I1198</f>
        <v/>
      </c>
      <c r="J1199">
        <f>$C1199*J1198</f>
        <v/>
      </c>
      <c r="K1199">
        <f>$C1199*K1198</f>
        <v/>
      </c>
      <c r="L1199">
        <f>$C1199*L1198</f>
        <v/>
      </c>
      <c r="M1199">
        <f>$C1199*M1198</f>
        <v/>
      </c>
      <c r="N1199">
        <f>$C1199*N1198</f>
        <v/>
      </c>
      <c r="O1199">
        <f>$C1199*O1198</f>
        <v/>
      </c>
      <c r="P1199">
        <f>$C1199*P1198</f>
        <v/>
      </c>
      <c r="Q1199">
        <f>$C1199*Q1198</f>
        <v/>
      </c>
      <c r="R1199">
        <f>$C1199*R1198</f>
        <v/>
      </c>
      <c r="S1199">
        <f>$C1199*S1198</f>
        <v/>
      </c>
      <c r="T1199">
        <f>$C1199*T1198</f>
        <v/>
      </c>
      <c r="U1199">
        <f>$C1199*U1198</f>
        <v/>
      </c>
      <c r="V1199">
        <f>$C1199*V1198</f>
        <v/>
      </c>
      <c r="W1199">
        <f>$C1199*W1198</f>
        <v/>
      </c>
      <c r="X1199">
        <f>$C1199*X1198</f>
        <v/>
      </c>
      <c r="Y1199">
        <f>$C1199*Y1198</f>
        <v/>
      </c>
      <c r="Z1199">
        <f>$C1199*Z1198</f>
        <v/>
      </c>
      <c r="AA1199">
        <f>$C1199*AA1198</f>
        <v/>
      </c>
      <c r="AB1199">
        <f>$C1199*AB1198</f>
        <v/>
      </c>
      <c r="AC1199">
        <f>$C1199*AC1198</f>
        <v/>
      </c>
      <c r="AD1199">
        <f>$C1199*AD1198</f>
        <v/>
      </c>
      <c r="AE1199">
        <f>$C1199*AE1198</f>
        <v/>
      </c>
      <c r="AF1199">
        <f>$C1199*AF1198</f>
        <v/>
      </c>
      <c r="AG1199">
        <f>$C1199*AG1198</f>
        <v/>
      </c>
      <c r="AH1199">
        <f>$C1199*AH1198</f>
        <v/>
      </c>
      <c r="AI1199">
        <f>$C1199*AI1198</f>
        <v/>
      </c>
      <c r="AJ1199">
        <f>$C1199*AJ1198</f>
        <v/>
      </c>
      <c r="AK1199">
        <f>$C1199*AK1198</f>
        <v/>
      </c>
      <c r="AL1199">
        <f>$C1199*AL1198</f>
        <v/>
      </c>
      <c r="AM1199">
        <f>$C1199*AM1198</f>
        <v/>
      </c>
      <c r="AN1199">
        <f>$C1199*AN1198</f>
        <v/>
      </c>
      <c r="AO1199">
        <f>$C1199*AO1198</f>
        <v/>
      </c>
      <c r="AP1199">
        <f>$C1199*AP1198</f>
        <v/>
      </c>
      <c r="AQ1199">
        <f>$C1199*AQ1198</f>
        <v/>
      </c>
      <c r="AR1199">
        <f>$C1199*AR1198</f>
        <v/>
      </c>
      <c r="AS1199">
        <f>$C1199*AS1198</f>
        <v/>
      </c>
      <c r="AT1199">
        <f>$C1199*AT1198</f>
        <v/>
      </c>
      <c r="AU1199">
        <f>$C1199*AU1198</f>
        <v/>
      </c>
      <c r="AV1199">
        <f>$C1199*AV1198</f>
        <v/>
      </c>
      <c r="AW1199">
        <f>$C1199*AW1198</f>
        <v/>
      </c>
      <c r="AX1199">
        <f>$C1199*AX1198</f>
        <v/>
      </c>
      <c r="AY1199">
        <f>$C1199*AY1198</f>
        <v/>
      </c>
      <c r="AZ1199">
        <f>$C1199*AZ1198</f>
        <v/>
      </c>
      <c r="BA1199">
        <f>$C1199*BA1198</f>
        <v/>
      </c>
      <c r="BB1199">
        <f>$C1199*BB1198</f>
        <v/>
      </c>
      <c r="BC1199">
        <f>$C1199*BC1198</f>
        <v/>
      </c>
      <c r="BD1199">
        <f>$C1199*BD1198</f>
        <v/>
      </c>
      <c r="BE1199">
        <f>$C1199*BE1198</f>
        <v/>
      </c>
      <c r="BF1199">
        <f>$C1199*BF1198</f>
        <v/>
      </c>
      <c r="BG1199">
        <f>$C1199*BG1198</f>
        <v/>
      </c>
      <c r="BH1199">
        <f>$C1199*BH1198</f>
        <v/>
      </c>
      <c r="BI1199">
        <f>$C1199*BI1198</f>
        <v/>
      </c>
      <c r="BJ1199">
        <f>$C1199*BJ1198</f>
        <v/>
      </c>
      <c r="BK1199">
        <f>$C1199*BK1198</f>
        <v/>
      </c>
      <c r="BL1199">
        <f>$C1199*BL1198</f>
        <v/>
      </c>
      <c r="BM1199">
        <f>$C1199*BM1198</f>
        <v/>
      </c>
      <c r="BN1199">
        <f>$C1199*BN1198</f>
        <v/>
      </c>
      <c r="BO1199">
        <f>$C1199*BO1198</f>
        <v/>
      </c>
      <c r="BP1199">
        <f>$C1199*BP1198</f>
        <v/>
      </c>
      <c r="BQ1199">
        <f>$C1199*BQ1198</f>
        <v/>
      </c>
      <c r="BR1199">
        <f>$C1199*BR1198</f>
        <v/>
      </c>
      <c r="BS1199">
        <f>$C1199*BS1198</f>
        <v/>
      </c>
      <c r="BT1199">
        <f>$C1199*BT1198</f>
        <v/>
      </c>
      <c r="BU1199">
        <f>$C1199*BU1198</f>
        <v/>
      </c>
      <c r="BV1199">
        <f>$C1199*BV1198</f>
        <v/>
      </c>
      <c r="BW1199">
        <f>$C1199*BW1198</f>
        <v/>
      </c>
      <c r="BX1199">
        <f>$C1199*BX1198</f>
        <v/>
      </c>
      <c r="BY1199">
        <f>$C1199*BY1198</f>
        <v/>
      </c>
      <c r="BZ1199">
        <f>$C1199*BZ1198</f>
        <v/>
      </c>
      <c r="CA1199">
        <f>$C1199*CA1198</f>
        <v/>
      </c>
      <c r="CB1199">
        <f>$C1199*CB1198</f>
        <v/>
      </c>
      <c r="CC1199">
        <f>$C1199*CC1198</f>
        <v/>
      </c>
      <c r="CD1199">
        <f>$C1199*CD1198</f>
        <v/>
      </c>
      <c r="CE1199">
        <f>$C1199*CE1198</f>
        <v/>
      </c>
      <c r="CF1199">
        <f>$C1199*CF1198</f>
        <v/>
      </c>
      <c r="CG1199">
        <f>$C1199*CG1198</f>
        <v/>
      </c>
      <c r="CH1199">
        <f>$C1199*CH1198</f>
        <v/>
      </c>
      <c r="CI1199">
        <f>$C1199*CI1198</f>
        <v/>
      </c>
      <c r="CJ1199">
        <f>$C1199*CJ1198</f>
        <v/>
      </c>
      <c r="CK1199">
        <f>$C1199*CK1198</f>
        <v/>
      </c>
      <c r="CL1199">
        <f>$C1199*CL1198</f>
        <v/>
      </c>
      <c r="CM1199">
        <f>$C1199*CM1198</f>
        <v/>
      </c>
      <c r="CN1199">
        <f>$C1199*CN1198</f>
        <v/>
      </c>
      <c r="CO1199">
        <f>$C1199*CO1198</f>
        <v/>
      </c>
      <c r="CP1199">
        <f>$C1199*CP1198</f>
        <v/>
      </c>
      <c r="CQ1199">
        <f>$C1199*CQ1198</f>
        <v/>
      </c>
      <c r="CR1199">
        <f>$C1199*CR1198</f>
        <v/>
      </c>
      <c r="CS1199">
        <f>$C1199*CS1198</f>
        <v/>
      </c>
      <c r="CT1199">
        <f>$C1199*CT1198</f>
        <v/>
      </c>
      <c r="CU1199">
        <f>$C1199*CU1198</f>
        <v/>
      </c>
      <c r="CV1199">
        <f>$C1199*CV1198</f>
        <v/>
      </c>
      <c r="CW1199">
        <f>$C1199*CW1198</f>
        <v/>
      </c>
      <c r="CX1199">
        <f>$C1199*CX1198</f>
        <v/>
      </c>
      <c r="CY1199">
        <f>$C1199*CY1198</f>
        <v/>
      </c>
      <c r="CZ1199">
        <f>$C1199*CZ1198</f>
        <v/>
      </c>
      <c r="DA1199">
        <f>$C1199*DA1198</f>
        <v/>
      </c>
      <c r="DB1199">
        <f>$C1199*DB1198</f>
        <v/>
      </c>
      <c r="DC1199">
        <f>$C1199*DC1198</f>
        <v/>
      </c>
      <c r="DD1199">
        <f>$C1199*DD1198</f>
        <v/>
      </c>
    </row>
    <row r="1200">
      <c r="B1200" t="inlineStr">
        <is>
          <t>VSP-600</t>
        </is>
      </c>
      <c r="C1200" t="inlineStr">
        <is>
          <t>No. of batches</t>
        </is>
      </c>
      <c r="D1200">
        <f>IFERROR(INDEX(E1200:DD1200,$F$1),"")</f>
        <v/>
      </c>
      <c r="E1200">
        <f>IFERROR(INDEX(PP_Grid[#Data],$DE1200,2),0)</f>
        <v/>
      </c>
      <c r="F1200">
        <f>IFERROR(INDEX(PP_Grid[#Data],$DE1200,3),0)</f>
        <v/>
      </c>
      <c r="G1200">
        <f>IFERROR(INDEX(PP_Grid[#Data],$DE1200,4),0)</f>
        <v/>
      </c>
      <c r="H1200">
        <f>IFERROR(INDEX(PP_Grid[#Data],$DE1200,5),0)</f>
        <v/>
      </c>
      <c r="I1200">
        <f>IFERROR(INDEX(PP_Grid[#Data],$DE1200,6),0)</f>
        <v/>
      </c>
      <c r="J1200">
        <f>IFERROR(INDEX(PP_Grid[#Data],$DE1200,7),0)</f>
        <v/>
      </c>
      <c r="K1200">
        <f>IFERROR(INDEX(PP_Grid[#Data],$DE1200,8),0)</f>
        <v/>
      </c>
      <c r="L1200">
        <f>IFERROR(INDEX(PP_Grid[#Data],$DE1200,9),0)</f>
        <v/>
      </c>
      <c r="M1200">
        <f>IFERROR(INDEX(PP_Grid[#Data],$DE1200,10),0)</f>
        <v/>
      </c>
      <c r="N1200">
        <f>IFERROR(INDEX(PP_Grid[#Data],$DE1200,11),0)</f>
        <v/>
      </c>
      <c r="O1200">
        <f>IFERROR(INDEX(PP_Grid[#Data],$DE1200,12),0)</f>
        <v/>
      </c>
      <c r="P1200">
        <f>IFERROR(INDEX(PP_Grid[#Data],$DE1200,13),0)</f>
        <v/>
      </c>
      <c r="Q1200">
        <f>IFERROR(INDEX(PP_Grid[#Data],$DE1200,14),0)</f>
        <v/>
      </c>
      <c r="R1200">
        <f>IFERROR(INDEX(PP_Grid[#Data],$DE1200,15),0)</f>
        <v/>
      </c>
      <c r="S1200">
        <f>IFERROR(INDEX(PP_Grid[#Data],$DE1200,16),0)</f>
        <v/>
      </c>
      <c r="T1200">
        <f>IFERROR(INDEX(PP_Grid[#Data],$DE1200,17),0)</f>
        <v/>
      </c>
      <c r="U1200">
        <f>IFERROR(INDEX(PP_Grid[#Data],$DE1200,18),0)</f>
        <v/>
      </c>
      <c r="V1200">
        <f>IFERROR(INDEX(PP_Grid[#Data],$DE1200,19),0)</f>
        <v/>
      </c>
      <c r="W1200">
        <f>IFERROR(INDEX(PP_Grid[#Data],$DE1200,20),0)</f>
        <v/>
      </c>
      <c r="X1200">
        <f>IFERROR(INDEX(PP_Grid[#Data],$DE1200,21),0)</f>
        <v/>
      </c>
      <c r="Y1200">
        <f>IFERROR(INDEX(PP_Grid[#Data],$DE1200,22),0)</f>
        <v/>
      </c>
      <c r="Z1200">
        <f>IFERROR(INDEX(PP_Grid[#Data],$DE1200,23),0)</f>
        <v/>
      </c>
      <c r="AA1200">
        <f>IFERROR(INDEX(PP_Grid[#Data],$DE1200,24),0)</f>
        <v/>
      </c>
      <c r="AB1200">
        <f>IFERROR(INDEX(PP_Grid[#Data],$DE1200,25),0)</f>
        <v/>
      </c>
      <c r="AC1200">
        <f>IFERROR(INDEX(PP_Grid[#Data],$DE1200,26),0)</f>
        <v/>
      </c>
      <c r="AD1200">
        <f>IFERROR(INDEX(PP_Grid[#Data],$DE1200,27),0)</f>
        <v/>
      </c>
      <c r="AE1200">
        <f>IFERROR(INDEX(PP_Grid[#Data],$DE1200,28),0)</f>
        <v/>
      </c>
      <c r="AF1200">
        <f>IFERROR(INDEX(PP_Grid[#Data],$DE1200,29),0)</f>
        <v/>
      </c>
      <c r="AG1200">
        <f>IFERROR(INDEX(PP_Grid[#Data],$DE1200,30),0)</f>
        <v/>
      </c>
      <c r="AH1200">
        <f>IFERROR(INDEX(PP_Grid[#Data],$DE1200,31),0)</f>
        <v/>
      </c>
      <c r="AI1200">
        <f>IFERROR(INDEX(PP_Grid[#Data],$DE1200,32),0)</f>
        <v/>
      </c>
      <c r="AJ1200">
        <f>IFERROR(INDEX(PP_Grid[#Data],$DE1200,33),0)</f>
        <v/>
      </c>
      <c r="AK1200">
        <f>IFERROR(INDEX(PP_Grid[#Data],$DE1200,34),0)</f>
        <v/>
      </c>
      <c r="AL1200">
        <f>IFERROR(INDEX(PP_Grid[#Data],$DE1200,35),0)</f>
        <v/>
      </c>
      <c r="AM1200">
        <f>IFERROR(INDEX(PP_Grid[#Data],$DE1200,36),0)</f>
        <v/>
      </c>
      <c r="AN1200">
        <f>IFERROR(INDEX(PP_Grid[#Data],$DE1200,37),0)</f>
        <v/>
      </c>
      <c r="AO1200">
        <f>IFERROR(INDEX(PP_Grid[#Data],$DE1200,38),0)</f>
        <v/>
      </c>
      <c r="AP1200">
        <f>IFERROR(INDEX(PP_Grid[#Data],$DE1200,39),0)</f>
        <v/>
      </c>
      <c r="AQ1200">
        <f>IFERROR(INDEX(PP_Grid[#Data],$DE1200,40),0)</f>
        <v/>
      </c>
      <c r="AR1200">
        <f>IFERROR(INDEX(PP_Grid[#Data],$DE1200,41),0)</f>
        <v/>
      </c>
      <c r="AS1200">
        <f>IFERROR(INDEX(PP_Grid[#Data],$DE1200,42),0)</f>
        <v/>
      </c>
      <c r="AT1200">
        <f>IFERROR(INDEX(PP_Grid[#Data],$DE1200,43),0)</f>
        <v/>
      </c>
      <c r="AU1200">
        <f>IFERROR(INDEX(PP_Grid[#Data],$DE1200,44),0)</f>
        <v/>
      </c>
      <c r="AV1200">
        <f>IFERROR(INDEX(PP_Grid[#Data],$DE1200,45),0)</f>
        <v/>
      </c>
      <c r="AW1200">
        <f>IFERROR(INDEX(PP_Grid[#Data],$DE1200,46),0)</f>
        <v/>
      </c>
      <c r="AX1200">
        <f>IFERROR(INDEX(PP_Grid[#Data],$DE1200,47),0)</f>
        <v/>
      </c>
      <c r="AY1200">
        <f>IFERROR(INDEX(PP_Grid[#Data],$DE1200,48),0)</f>
        <v/>
      </c>
      <c r="AZ1200">
        <f>IFERROR(INDEX(PP_Grid[#Data],$DE1200,49),0)</f>
        <v/>
      </c>
      <c r="BA1200">
        <f>IFERROR(INDEX(PP_Grid[#Data],$DE1200,50),0)</f>
        <v/>
      </c>
      <c r="BB1200">
        <f>IFERROR(INDEX(PP_Grid[#Data],$DE1200,51),0)</f>
        <v/>
      </c>
      <c r="BC1200">
        <f>IFERROR(INDEX(PP_Grid[#Data],$DE1200,52),0)</f>
        <v/>
      </c>
      <c r="BD1200">
        <f>IFERROR(INDEX(PP_Grid[#Data],$DE1200,53),0)</f>
        <v/>
      </c>
      <c r="BE1200">
        <f>IFERROR(INDEX(PP_Grid[#Data],$DE1200,54),0)</f>
        <v/>
      </c>
      <c r="BF1200">
        <f>IFERROR(INDEX(PP_Grid[#Data],$DE1200,55),0)</f>
        <v/>
      </c>
      <c r="BG1200">
        <f>IFERROR(INDEX(PP_Grid[#Data],$DE1200,56),0)</f>
        <v/>
      </c>
      <c r="BH1200">
        <f>IFERROR(INDEX(PP_Grid[#Data],$DE1200,57),0)</f>
        <v/>
      </c>
      <c r="BI1200">
        <f>IFERROR(INDEX(PP_Grid[#Data],$DE1200,58),0)</f>
        <v/>
      </c>
      <c r="BJ1200">
        <f>IFERROR(INDEX(PP_Grid[#Data],$DE1200,59),0)</f>
        <v/>
      </c>
      <c r="BK1200">
        <f>IFERROR(INDEX(PP_Grid[#Data],$DE1200,60),0)</f>
        <v/>
      </c>
      <c r="BL1200">
        <f>IFERROR(INDEX(PP_Grid[#Data],$DE1200,61),0)</f>
        <v/>
      </c>
      <c r="BM1200">
        <f>IFERROR(INDEX(PP_Grid[#Data],$DE1200,62),0)</f>
        <v/>
      </c>
      <c r="BN1200">
        <f>IFERROR(INDEX(PP_Grid[#Data],$DE1200,63),0)</f>
        <v/>
      </c>
      <c r="BO1200">
        <f>IFERROR(INDEX(PP_Grid[#Data],$DE1200,64),0)</f>
        <v/>
      </c>
      <c r="BP1200">
        <f>IFERROR(INDEX(PP_Grid[#Data],$DE1200,65),0)</f>
        <v/>
      </c>
      <c r="BQ1200">
        <f>IFERROR(INDEX(PP_Grid[#Data],$DE1200,66),0)</f>
        <v/>
      </c>
      <c r="BR1200">
        <f>IFERROR(INDEX(PP_Grid[#Data],$DE1200,67),0)</f>
        <v/>
      </c>
      <c r="BS1200">
        <f>IFERROR(INDEX(PP_Grid[#Data],$DE1200,68),0)</f>
        <v/>
      </c>
      <c r="BT1200">
        <f>IFERROR(INDEX(PP_Grid[#Data],$DE1200,69),0)</f>
        <v/>
      </c>
      <c r="BU1200">
        <f>IFERROR(INDEX(PP_Grid[#Data],$DE1200,70),0)</f>
        <v/>
      </c>
      <c r="BV1200">
        <f>IFERROR(INDEX(PP_Grid[#Data],$DE1200,71),0)</f>
        <v/>
      </c>
      <c r="BW1200">
        <f>IFERROR(INDEX(PP_Grid[#Data],$DE1200,72),0)</f>
        <v/>
      </c>
      <c r="BX1200">
        <f>IFERROR(INDEX(PP_Grid[#Data],$DE1200,73),0)</f>
        <v/>
      </c>
      <c r="BY1200">
        <f>IFERROR(INDEX(PP_Grid[#Data],$DE1200,74),0)</f>
        <v/>
      </c>
      <c r="BZ1200">
        <f>IFERROR(INDEX(PP_Grid[#Data],$DE1200,75),0)</f>
        <v/>
      </c>
      <c r="CA1200">
        <f>IFERROR(INDEX(PP_Grid[#Data],$DE1200,76),0)</f>
        <v/>
      </c>
      <c r="CB1200">
        <f>IFERROR(INDEX(PP_Grid[#Data],$DE1200,77),0)</f>
        <v/>
      </c>
      <c r="CC1200">
        <f>IFERROR(INDEX(PP_Grid[#Data],$DE1200,78),0)</f>
        <v/>
      </c>
      <c r="CD1200">
        <f>IFERROR(INDEX(PP_Grid[#Data],$DE1200,79),0)</f>
        <v/>
      </c>
      <c r="CE1200">
        <f>IFERROR(INDEX(PP_Grid[#Data],$DE1200,80),0)</f>
        <v/>
      </c>
      <c r="CF1200">
        <f>IFERROR(INDEX(PP_Grid[#Data],$DE1200,81),0)</f>
        <v/>
      </c>
      <c r="CG1200">
        <f>IFERROR(INDEX(PP_Grid[#Data],$DE1200,82),0)</f>
        <v/>
      </c>
      <c r="CH1200">
        <f>IFERROR(INDEX(PP_Grid[#Data],$DE1200,83),0)</f>
        <v/>
      </c>
      <c r="CI1200">
        <f>IFERROR(INDEX(PP_Grid[#Data],$DE1200,84),0)</f>
        <v/>
      </c>
      <c r="CJ1200">
        <f>IFERROR(INDEX(PP_Grid[#Data],$DE1200,85),0)</f>
        <v/>
      </c>
      <c r="CK1200">
        <f>IFERROR(INDEX(PP_Grid[#Data],$DE1200,86),0)</f>
        <v/>
      </c>
      <c r="CL1200">
        <f>IFERROR(INDEX(PP_Grid[#Data],$DE1200,87),0)</f>
        <v/>
      </c>
      <c r="CM1200">
        <f>IFERROR(INDEX(PP_Grid[#Data],$DE1200,88),0)</f>
        <v/>
      </c>
      <c r="CN1200">
        <f>IFERROR(INDEX(PP_Grid[#Data],$DE1200,89),0)</f>
        <v/>
      </c>
      <c r="CO1200">
        <f>IFERROR(INDEX(PP_Grid[#Data],$DE1200,90),0)</f>
        <v/>
      </c>
      <c r="CP1200">
        <f>IFERROR(INDEX(PP_Grid[#Data],$DE1200,91),0)</f>
        <v/>
      </c>
      <c r="CQ1200">
        <f>IFERROR(INDEX(PP_Grid[#Data],$DE1200,92),0)</f>
        <v/>
      </c>
      <c r="CR1200">
        <f>IFERROR(INDEX(PP_Grid[#Data],$DE1200,93),0)</f>
        <v/>
      </c>
      <c r="CS1200">
        <f>IFERROR(INDEX(PP_Grid[#Data],$DE1200,94),0)</f>
        <v/>
      </c>
      <c r="CT1200">
        <f>IFERROR(INDEX(PP_Grid[#Data],$DE1200,95),0)</f>
        <v/>
      </c>
      <c r="CU1200">
        <f>IFERROR(INDEX(PP_Grid[#Data],$DE1200,96),0)</f>
        <v/>
      </c>
      <c r="CV1200">
        <f>IFERROR(INDEX(PP_Grid[#Data],$DE1200,97),0)</f>
        <v/>
      </c>
      <c r="CW1200">
        <f>IFERROR(INDEX(PP_Grid[#Data],$DE1200,98),0)</f>
        <v/>
      </c>
      <c r="CX1200">
        <f>IFERROR(INDEX(PP_Grid[#Data],$DE1200,99),0)</f>
        <v/>
      </c>
      <c r="CY1200">
        <f>IFERROR(INDEX(PP_Grid[#Data],$DE1200,100),0)</f>
        <v/>
      </c>
      <c r="CZ1200">
        <f>IFERROR(INDEX(PP_Grid[#Data],$DE1200,101),0)</f>
        <v/>
      </c>
      <c r="DA1200">
        <f>IFERROR(INDEX(PP_Grid[#Data],$DE1200,102),0)</f>
        <v/>
      </c>
      <c r="DB1200">
        <f>IFERROR(INDEX(PP_Grid[#Data],$DE1200,103),0)</f>
        <v/>
      </c>
      <c r="DC1200">
        <f>IFERROR(INDEX(PP_Grid[#Data],$DE1200,104),0)</f>
        <v/>
      </c>
      <c r="DD1200">
        <f>IFERROR(INDEX(PP_Grid[#Data],$DE1200,105),0)</f>
        <v/>
      </c>
      <c r="DE1200" s="7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SUMIFS(M_BOM[RM_Qty_Per_Batch],M_BOM[Intermediate],$B1200,M_BOM[RM_Code],$A1147)</f>
        <v/>
      </c>
      <c r="D1201">
        <f>IFERROR(INDEX(E1201:DD1201,$F$1),"")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  <c r="DD1201">
        <f>$C1201*DD1200</f>
        <v/>
      </c>
    </row>
    <row r="1202">
      <c r="B1202" s="4" t="inlineStr">
        <is>
          <t>合計使用量(kg)/週</t>
        </is>
      </c>
      <c r="D1202" s="22">
        <f>IFERROR(INDEX(E1202:DD1202,$F$1),"")</f>
        <v/>
      </c>
      <c r="E1202">
        <f>'Grid_Requirement'!B20</f>
        <v/>
      </c>
      <c r="F1202">
        <f>'Grid_Requirement'!C20</f>
        <v/>
      </c>
      <c r="G1202">
        <f>'Grid_Requirement'!D20</f>
        <v/>
      </c>
      <c r="H1202">
        <f>'Grid_Requirement'!E20</f>
        <v/>
      </c>
      <c r="I1202">
        <f>'Grid_Requirement'!F20</f>
        <v/>
      </c>
      <c r="J1202">
        <f>'Grid_Requirement'!G20</f>
        <v/>
      </c>
      <c r="K1202">
        <f>'Grid_Requirement'!H20</f>
        <v/>
      </c>
      <c r="L1202">
        <f>'Grid_Requirement'!I20</f>
        <v/>
      </c>
      <c r="M1202">
        <f>'Grid_Requirement'!J20</f>
        <v/>
      </c>
      <c r="N1202">
        <f>'Grid_Requirement'!K20</f>
        <v/>
      </c>
      <c r="O1202">
        <f>'Grid_Requirement'!L20</f>
        <v/>
      </c>
      <c r="P1202">
        <f>'Grid_Requirement'!M20</f>
        <v/>
      </c>
      <c r="Q1202">
        <f>'Grid_Requirement'!N20</f>
        <v/>
      </c>
      <c r="R1202">
        <f>'Grid_Requirement'!O20</f>
        <v/>
      </c>
      <c r="S1202">
        <f>'Grid_Requirement'!P20</f>
        <v/>
      </c>
      <c r="T1202">
        <f>'Grid_Requirement'!Q20</f>
        <v/>
      </c>
      <c r="U1202">
        <f>'Grid_Requirement'!R20</f>
        <v/>
      </c>
      <c r="V1202">
        <f>'Grid_Requirement'!S20</f>
        <v/>
      </c>
      <c r="W1202">
        <f>'Grid_Requirement'!T20</f>
        <v/>
      </c>
      <c r="X1202">
        <f>'Grid_Requirement'!U20</f>
        <v/>
      </c>
      <c r="Y1202">
        <f>'Grid_Requirement'!V20</f>
        <v/>
      </c>
      <c r="Z1202">
        <f>'Grid_Requirement'!W20</f>
        <v/>
      </c>
      <c r="AA1202">
        <f>'Grid_Requirement'!X20</f>
        <v/>
      </c>
      <c r="AB1202">
        <f>'Grid_Requirement'!Y20</f>
        <v/>
      </c>
      <c r="AC1202">
        <f>'Grid_Requirement'!Z20</f>
        <v/>
      </c>
      <c r="AD1202">
        <f>'Grid_Requirement'!AA20</f>
        <v/>
      </c>
      <c r="AE1202">
        <f>'Grid_Requirement'!AB20</f>
        <v/>
      </c>
      <c r="AF1202">
        <f>'Grid_Requirement'!AC20</f>
        <v/>
      </c>
      <c r="AG1202">
        <f>'Grid_Requirement'!AD20</f>
        <v/>
      </c>
      <c r="AH1202">
        <f>'Grid_Requirement'!AE20</f>
        <v/>
      </c>
      <c r="AI1202">
        <f>'Grid_Requirement'!AF20</f>
        <v/>
      </c>
      <c r="AJ1202">
        <f>'Grid_Requirement'!AG20</f>
        <v/>
      </c>
      <c r="AK1202">
        <f>'Grid_Requirement'!AH20</f>
        <v/>
      </c>
      <c r="AL1202">
        <f>'Grid_Requirement'!AI20</f>
        <v/>
      </c>
      <c r="AM1202">
        <f>'Grid_Requirement'!AJ20</f>
        <v/>
      </c>
      <c r="AN1202">
        <f>'Grid_Requirement'!AK20</f>
        <v/>
      </c>
      <c r="AO1202">
        <f>'Grid_Requirement'!AL20</f>
        <v/>
      </c>
      <c r="AP1202">
        <f>'Grid_Requirement'!AM20</f>
        <v/>
      </c>
      <c r="AQ1202">
        <f>'Grid_Requirement'!AN20</f>
        <v/>
      </c>
      <c r="AR1202">
        <f>'Grid_Requirement'!AO20</f>
        <v/>
      </c>
      <c r="AS1202">
        <f>'Grid_Requirement'!AP20</f>
        <v/>
      </c>
      <c r="AT1202">
        <f>'Grid_Requirement'!AQ20</f>
        <v/>
      </c>
      <c r="AU1202">
        <f>'Grid_Requirement'!AR20</f>
        <v/>
      </c>
      <c r="AV1202">
        <f>'Grid_Requirement'!AS20</f>
        <v/>
      </c>
      <c r="AW1202">
        <f>'Grid_Requirement'!AT20</f>
        <v/>
      </c>
      <c r="AX1202">
        <f>'Grid_Requirement'!AU20</f>
        <v/>
      </c>
      <c r="AY1202">
        <f>'Grid_Requirement'!AV20</f>
        <v/>
      </c>
      <c r="AZ1202">
        <f>'Grid_Requirement'!AW20</f>
        <v/>
      </c>
      <c r="BA1202">
        <f>'Grid_Requirement'!AX20</f>
        <v/>
      </c>
      <c r="BB1202">
        <f>'Grid_Requirement'!AY20</f>
        <v/>
      </c>
      <c r="BC1202">
        <f>'Grid_Requirement'!AZ20</f>
        <v/>
      </c>
      <c r="BD1202">
        <f>'Grid_Requirement'!BA20</f>
        <v/>
      </c>
      <c r="BE1202">
        <f>'Grid_Requirement'!BB20</f>
        <v/>
      </c>
      <c r="BF1202">
        <f>'Grid_Requirement'!BC20</f>
        <v/>
      </c>
      <c r="BG1202">
        <f>'Grid_Requirement'!BD20</f>
        <v/>
      </c>
      <c r="BH1202">
        <f>'Grid_Requirement'!BE20</f>
        <v/>
      </c>
      <c r="BI1202">
        <f>'Grid_Requirement'!BF20</f>
        <v/>
      </c>
      <c r="BJ1202">
        <f>'Grid_Requirement'!BG20</f>
        <v/>
      </c>
      <c r="BK1202">
        <f>'Grid_Requirement'!BH20</f>
        <v/>
      </c>
      <c r="BL1202">
        <f>'Grid_Requirement'!BI20</f>
        <v/>
      </c>
      <c r="BM1202">
        <f>'Grid_Requirement'!BJ20</f>
        <v/>
      </c>
      <c r="BN1202">
        <f>'Grid_Requirement'!BK20</f>
        <v/>
      </c>
      <c r="BO1202">
        <f>'Grid_Requirement'!BL20</f>
        <v/>
      </c>
      <c r="BP1202">
        <f>'Grid_Requirement'!BM20</f>
        <v/>
      </c>
      <c r="BQ1202">
        <f>'Grid_Requirement'!BN20</f>
        <v/>
      </c>
      <c r="BR1202">
        <f>'Grid_Requirement'!BO20</f>
        <v/>
      </c>
      <c r="BS1202">
        <f>'Grid_Requirement'!BP20</f>
        <v/>
      </c>
      <c r="BT1202">
        <f>'Grid_Requirement'!BQ20</f>
        <v/>
      </c>
      <c r="BU1202">
        <f>'Grid_Requirement'!BR20</f>
        <v/>
      </c>
      <c r="BV1202">
        <f>'Grid_Requirement'!BS20</f>
        <v/>
      </c>
      <c r="BW1202">
        <f>'Grid_Requirement'!BT20</f>
        <v/>
      </c>
      <c r="BX1202">
        <f>'Grid_Requirement'!BU20</f>
        <v/>
      </c>
      <c r="BY1202">
        <f>'Grid_Requirement'!BV20</f>
        <v/>
      </c>
      <c r="BZ1202">
        <f>'Grid_Requirement'!BW20</f>
        <v/>
      </c>
      <c r="CA1202">
        <f>'Grid_Requirement'!BX20</f>
        <v/>
      </c>
      <c r="CB1202">
        <f>'Grid_Requirement'!BY20</f>
        <v/>
      </c>
      <c r="CC1202">
        <f>'Grid_Requirement'!BZ20</f>
        <v/>
      </c>
      <c r="CD1202">
        <f>'Grid_Requirement'!CA20</f>
        <v/>
      </c>
      <c r="CE1202">
        <f>'Grid_Requirement'!CB20</f>
        <v/>
      </c>
      <c r="CF1202">
        <f>'Grid_Requirement'!CC20</f>
        <v/>
      </c>
      <c r="CG1202">
        <f>'Grid_Requirement'!CD20</f>
        <v/>
      </c>
      <c r="CH1202">
        <f>'Grid_Requirement'!CE20</f>
        <v/>
      </c>
      <c r="CI1202">
        <f>'Grid_Requirement'!CF20</f>
        <v/>
      </c>
      <c r="CJ1202">
        <f>'Grid_Requirement'!CG20</f>
        <v/>
      </c>
      <c r="CK1202">
        <f>'Grid_Requirement'!CH20</f>
        <v/>
      </c>
      <c r="CL1202">
        <f>'Grid_Requirement'!CI20</f>
        <v/>
      </c>
      <c r="CM1202">
        <f>'Grid_Requirement'!CJ20</f>
        <v/>
      </c>
      <c r="CN1202">
        <f>'Grid_Requirement'!CK20</f>
        <v/>
      </c>
      <c r="CO1202">
        <f>'Grid_Requirement'!CL20</f>
        <v/>
      </c>
      <c r="CP1202">
        <f>'Grid_Requirement'!CM20</f>
        <v/>
      </c>
      <c r="CQ1202">
        <f>'Grid_Requirement'!CN20</f>
        <v/>
      </c>
      <c r="CR1202">
        <f>'Grid_Requirement'!CO20</f>
        <v/>
      </c>
      <c r="CS1202">
        <f>'Grid_Requirement'!CP20</f>
        <v/>
      </c>
      <c r="CT1202">
        <f>'Grid_Requirement'!CQ20</f>
        <v/>
      </c>
      <c r="CU1202">
        <f>'Grid_Requirement'!CR20</f>
        <v/>
      </c>
      <c r="CV1202">
        <f>'Grid_Requirement'!CS20</f>
        <v/>
      </c>
      <c r="CW1202">
        <f>'Grid_Requirement'!CT20</f>
        <v/>
      </c>
      <c r="CX1202">
        <f>'Grid_Requirement'!CU20</f>
        <v/>
      </c>
      <c r="CY1202">
        <f>'Grid_Requirement'!CV20</f>
        <v/>
      </c>
      <c r="CZ1202">
        <f>'Grid_Requirement'!CW20</f>
        <v/>
      </c>
      <c r="DA1202">
        <f>'Grid_Requirement'!CX20</f>
        <v/>
      </c>
      <c r="DB1202">
        <f>'Grid_Requirement'!CY20</f>
        <v/>
      </c>
      <c r="DC1202">
        <f>'Grid_Requirement'!CZ20</f>
        <v/>
      </c>
      <c r="DD1202">
        <f>'Grid_Requirement'!DA20</f>
        <v/>
      </c>
    </row>
    <row r="1203">
      <c r="B1203" s="23" t="inlineStr">
        <is>
          <t>（在庫・入荷予定はDashboard参照）</t>
        </is>
      </c>
    </row>
    <row r="1205">
      <c r="A1205" s="21" t="inlineStr">
        <is>
          <t>CHEM-1550</t>
        </is>
      </c>
      <c r="B1205" s="21" t="inlineStr">
        <is>
          <t>Chupol CC-6</t>
        </is>
      </c>
      <c r="C1205" s="21" t="n"/>
      <c r="D1205" s="21" t="n"/>
      <c r="E1205" s="21" t="n"/>
      <c r="F1205" s="21" t="n"/>
      <c r="G1205" s="21" t="n"/>
      <c r="H1205" s="21" t="n"/>
      <c r="I1205" s="21" t="n"/>
      <c r="J1205" s="21" t="n"/>
      <c r="K1205" s="21" t="n"/>
      <c r="L1205" s="21" t="n"/>
      <c r="M1205" s="21" t="n"/>
      <c r="N1205" s="21" t="n"/>
      <c r="O1205" s="21" t="n"/>
      <c r="P1205" s="21" t="n"/>
      <c r="Q1205" s="21" t="n"/>
      <c r="R1205" s="21" t="n"/>
      <c r="S1205" s="21" t="n"/>
      <c r="T1205" s="21" t="n"/>
      <c r="U1205" s="21" t="n"/>
      <c r="V1205" s="21" t="n"/>
      <c r="W1205" s="21" t="n"/>
      <c r="X1205" s="21" t="n"/>
      <c r="Y1205" s="21" t="n"/>
      <c r="Z1205" s="21" t="n"/>
      <c r="AA1205" s="21" t="n"/>
      <c r="AB1205" s="21" t="n"/>
      <c r="AC1205" s="21" t="n"/>
      <c r="AD1205" s="21" t="n"/>
      <c r="AE1205" s="21" t="n"/>
      <c r="AF1205" s="21" t="n"/>
      <c r="AG1205" s="21" t="n"/>
      <c r="AH1205" s="21" t="n"/>
      <c r="AI1205" s="21" t="n"/>
      <c r="AJ1205" s="21" t="n"/>
      <c r="AK1205" s="21" t="n"/>
      <c r="AL1205" s="21" t="n"/>
      <c r="AM1205" s="21" t="n"/>
      <c r="AN1205" s="21" t="n"/>
      <c r="AO1205" s="21" t="n"/>
      <c r="AP1205" s="21" t="n"/>
      <c r="AQ1205" s="21" t="n"/>
      <c r="AR1205" s="21" t="n"/>
      <c r="AS1205" s="21" t="n"/>
      <c r="AT1205" s="21" t="n"/>
      <c r="AU1205" s="21" t="n"/>
      <c r="AV1205" s="21" t="n"/>
      <c r="AW1205" s="21" t="n"/>
      <c r="AX1205" s="21" t="n"/>
      <c r="AY1205" s="21" t="n"/>
      <c r="AZ1205" s="21" t="n"/>
      <c r="BA1205" s="21" t="n"/>
      <c r="BB1205" s="21" t="n"/>
      <c r="BC1205" s="21" t="n"/>
      <c r="BD1205" s="21" t="n"/>
      <c r="BE1205" s="21" t="n"/>
      <c r="BF1205" s="21" t="n"/>
      <c r="BG1205" s="21" t="n"/>
      <c r="BH1205" s="21" t="n"/>
      <c r="BI1205" s="21" t="n"/>
      <c r="BJ1205" s="21" t="n"/>
      <c r="BK1205" s="21" t="n"/>
      <c r="BL1205" s="21" t="n"/>
      <c r="BM1205" s="21" t="n"/>
      <c r="BN1205" s="21" t="n"/>
      <c r="BO1205" s="21" t="n"/>
      <c r="BP1205" s="21" t="n"/>
      <c r="BQ1205" s="21" t="n"/>
      <c r="BR1205" s="21" t="n"/>
      <c r="BS1205" s="21" t="n"/>
      <c r="BT1205" s="21" t="n"/>
      <c r="BU1205" s="21" t="n"/>
      <c r="BV1205" s="21" t="n"/>
      <c r="BW1205" s="21" t="n"/>
      <c r="BX1205" s="21" t="n"/>
      <c r="BY1205" s="21" t="n"/>
      <c r="BZ1205" s="21" t="n"/>
      <c r="CA1205" s="21" t="n"/>
      <c r="CB1205" s="21" t="n"/>
      <c r="CC1205" s="21" t="n"/>
      <c r="CD1205" s="21" t="n"/>
      <c r="CE1205" s="21" t="n"/>
      <c r="CF1205" s="21" t="n"/>
      <c r="CG1205" s="21" t="n"/>
      <c r="CH1205" s="21" t="n"/>
      <c r="CI1205" s="21" t="n"/>
      <c r="CJ1205" s="21" t="n"/>
      <c r="CK1205" s="21" t="n"/>
      <c r="CL1205" s="21" t="n"/>
      <c r="CM1205" s="21" t="n"/>
      <c r="CN1205" s="21" t="n"/>
      <c r="CO1205" s="21" t="n"/>
      <c r="CP1205" s="21" t="n"/>
      <c r="CQ1205" s="21" t="n"/>
      <c r="CR1205" s="21" t="n"/>
      <c r="CS1205" s="21" t="n"/>
      <c r="CT1205" s="21" t="n"/>
      <c r="CU1205" s="21" t="n"/>
      <c r="CV1205" s="21" t="n"/>
      <c r="CW1205" s="21" t="n"/>
      <c r="CX1205" s="21" t="n"/>
      <c r="CY1205" s="21" t="n"/>
      <c r="CZ1205" s="21" t="n"/>
      <c r="DA1205" s="21" t="n"/>
      <c r="DB1205" s="21" t="n"/>
      <c r="DC1205" s="21" t="n"/>
      <c r="DD1205" s="21" t="n"/>
    </row>
    <row r="1206">
      <c r="B1206" t="inlineStr">
        <is>
          <t>TSP-402</t>
        </is>
      </c>
      <c r="C1206" t="inlineStr">
        <is>
          <t>No. of batches</t>
        </is>
      </c>
      <c r="D1206">
        <f>IFERROR(INDEX(E1206:DD1206,$F$1),"")</f>
        <v/>
      </c>
      <c r="E1206">
        <f>IFERROR(INDEX(PP_Grid[#Data],$DE1206,2),0)</f>
        <v/>
      </c>
      <c r="F1206">
        <f>IFERROR(INDEX(PP_Grid[#Data],$DE1206,3),0)</f>
        <v/>
      </c>
      <c r="G1206">
        <f>IFERROR(INDEX(PP_Grid[#Data],$DE1206,4),0)</f>
        <v/>
      </c>
      <c r="H1206">
        <f>IFERROR(INDEX(PP_Grid[#Data],$DE1206,5),0)</f>
        <v/>
      </c>
      <c r="I1206">
        <f>IFERROR(INDEX(PP_Grid[#Data],$DE1206,6),0)</f>
        <v/>
      </c>
      <c r="J1206">
        <f>IFERROR(INDEX(PP_Grid[#Data],$DE1206,7),0)</f>
        <v/>
      </c>
      <c r="K1206">
        <f>IFERROR(INDEX(PP_Grid[#Data],$DE1206,8),0)</f>
        <v/>
      </c>
      <c r="L1206">
        <f>IFERROR(INDEX(PP_Grid[#Data],$DE1206,9),0)</f>
        <v/>
      </c>
      <c r="M1206">
        <f>IFERROR(INDEX(PP_Grid[#Data],$DE1206,10),0)</f>
        <v/>
      </c>
      <c r="N1206">
        <f>IFERROR(INDEX(PP_Grid[#Data],$DE1206,11),0)</f>
        <v/>
      </c>
      <c r="O1206">
        <f>IFERROR(INDEX(PP_Grid[#Data],$DE1206,12),0)</f>
        <v/>
      </c>
      <c r="P1206">
        <f>IFERROR(INDEX(PP_Grid[#Data],$DE1206,13),0)</f>
        <v/>
      </c>
      <c r="Q1206">
        <f>IFERROR(INDEX(PP_Grid[#Data],$DE1206,14),0)</f>
        <v/>
      </c>
      <c r="R1206">
        <f>IFERROR(INDEX(PP_Grid[#Data],$DE1206,15),0)</f>
        <v/>
      </c>
      <c r="S1206">
        <f>IFERROR(INDEX(PP_Grid[#Data],$DE1206,16),0)</f>
        <v/>
      </c>
      <c r="T1206">
        <f>IFERROR(INDEX(PP_Grid[#Data],$DE1206,17),0)</f>
        <v/>
      </c>
      <c r="U1206">
        <f>IFERROR(INDEX(PP_Grid[#Data],$DE1206,18),0)</f>
        <v/>
      </c>
      <c r="V1206">
        <f>IFERROR(INDEX(PP_Grid[#Data],$DE1206,19),0)</f>
        <v/>
      </c>
      <c r="W1206">
        <f>IFERROR(INDEX(PP_Grid[#Data],$DE1206,20),0)</f>
        <v/>
      </c>
      <c r="X1206">
        <f>IFERROR(INDEX(PP_Grid[#Data],$DE1206,21),0)</f>
        <v/>
      </c>
      <c r="Y1206">
        <f>IFERROR(INDEX(PP_Grid[#Data],$DE1206,22),0)</f>
        <v/>
      </c>
      <c r="Z1206">
        <f>IFERROR(INDEX(PP_Grid[#Data],$DE1206,23),0)</f>
        <v/>
      </c>
      <c r="AA1206">
        <f>IFERROR(INDEX(PP_Grid[#Data],$DE1206,24),0)</f>
        <v/>
      </c>
      <c r="AB1206">
        <f>IFERROR(INDEX(PP_Grid[#Data],$DE1206,25),0)</f>
        <v/>
      </c>
      <c r="AC1206">
        <f>IFERROR(INDEX(PP_Grid[#Data],$DE1206,26),0)</f>
        <v/>
      </c>
      <c r="AD1206">
        <f>IFERROR(INDEX(PP_Grid[#Data],$DE1206,27),0)</f>
        <v/>
      </c>
      <c r="AE1206">
        <f>IFERROR(INDEX(PP_Grid[#Data],$DE1206,28),0)</f>
        <v/>
      </c>
      <c r="AF1206">
        <f>IFERROR(INDEX(PP_Grid[#Data],$DE1206,29),0)</f>
        <v/>
      </c>
      <c r="AG1206">
        <f>IFERROR(INDEX(PP_Grid[#Data],$DE1206,30),0)</f>
        <v/>
      </c>
      <c r="AH1206">
        <f>IFERROR(INDEX(PP_Grid[#Data],$DE1206,31),0)</f>
        <v/>
      </c>
      <c r="AI1206">
        <f>IFERROR(INDEX(PP_Grid[#Data],$DE1206,32),0)</f>
        <v/>
      </c>
      <c r="AJ1206">
        <f>IFERROR(INDEX(PP_Grid[#Data],$DE1206,33),0)</f>
        <v/>
      </c>
      <c r="AK1206">
        <f>IFERROR(INDEX(PP_Grid[#Data],$DE1206,34),0)</f>
        <v/>
      </c>
      <c r="AL1206">
        <f>IFERROR(INDEX(PP_Grid[#Data],$DE1206,35),0)</f>
        <v/>
      </c>
      <c r="AM1206">
        <f>IFERROR(INDEX(PP_Grid[#Data],$DE1206,36),0)</f>
        <v/>
      </c>
      <c r="AN1206">
        <f>IFERROR(INDEX(PP_Grid[#Data],$DE1206,37),0)</f>
        <v/>
      </c>
      <c r="AO1206">
        <f>IFERROR(INDEX(PP_Grid[#Data],$DE1206,38),0)</f>
        <v/>
      </c>
      <c r="AP1206">
        <f>IFERROR(INDEX(PP_Grid[#Data],$DE1206,39),0)</f>
        <v/>
      </c>
      <c r="AQ1206">
        <f>IFERROR(INDEX(PP_Grid[#Data],$DE1206,40),0)</f>
        <v/>
      </c>
      <c r="AR1206">
        <f>IFERROR(INDEX(PP_Grid[#Data],$DE1206,41),0)</f>
        <v/>
      </c>
      <c r="AS1206">
        <f>IFERROR(INDEX(PP_Grid[#Data],$DE1206,42),0)</f>
        <v/>
      </c>
      <c r="AT1206">
        <f>IFERROR(INDEX(PP_Grid[#Data],$DE1206,43),0)</f>
        <v/>
      </c>
      <c r="AU1206">
        <f>IFERROR(INDEX(PP_Grid[#Data],$DE1206,44),0)</f>
        <v/>
      </c>
      <c r="AV1206">
        <f>IFERROR(INDEX(PP_Grid[#Data],$DE1206,45),0)</f>
        <v/>
      </c>
      <c r="AW1206">
        <f>IFERROR(INDEX(PP_Grid[#Data],$DE1206,46),0)</f>
        <v/>
      </c>
      <c r="AX1206">
        <f>IFERROR(INDEX(PP_Grid[#Data],$DE1206,47),0)</f>
        <v/>
      </c>
      <c r="AY1206">
        <f>IFERROR(INDEX(PP_Grid[#Data],$DE1206,48),0)</f>
        <v/>
      </c>
      <c r="AZ1206">
        <f>IFERROR(INDEX(PP_Grid[#Data],$DE1206,49),0)</f>
        <v/>
      </c>
      <c r="BA1206">
        <f>IFERROR(INDEX(PP_Grid[#Data],$DE1206,50),0)</f>
        <v/>
      </c>
      <c r="BB1206">
        <f>IFERROR(INDEX(PP_Grid[#Data],$DE1206,51),0)</f>
        <v/>
      </c>
      <c r="BC1206">
        <f>IFERROR(INDEX(PP_Grid[#Data],$DE1206,52),0)</f>
        <v/>
      </c>
      <c r="BD1206">
        <f>IFERROR(INDEX(PP_Grid[#Data],$DE1206,53),0)</f>
        <v/>
      </c>
      <c r="BE1206">
        <f>IFERROR(INDEX(PP_Grid[#Data],$DE1206,54),0)</f>
        <v/>
      </c>
      <c r="BF1206">
        <f>IFERROR(INDEX(PP_Grid[#Data],$DE1206,55),0)</f>
        <v/>
      </c>
      <c r="BG1206">
        <f>IFERROR(INDEX(PP_Grid[#Data],$DE1206,56),0)</f>
        <v/>
      </c>
      <c r="BH1206">
        <f>IFERROR(INDEX(PP_Grid[#Data],$DE1206,57),0)</f>
        <v/>
      </c>
      <c r="BI1206">
        <f>IFERROR(INDEX(PP_Grid[#Data],$DE1206,58),0)</f>
        <v/>
      </c>
      <c r="BJ1206">
        <f>IFERROR(INDEX(PP_Grid[#Data],$DE1206,59),0)</f>
        <v/>
      </c>
      <c r="BK1206">
        <f>IFERROR(INDEX(PP_Grid[#Data],$DE1206,60),0)</f>
        <v/>
      </c>
      <c r="BL1206">
        <f>IFERROR(INDEX(PP_Grid[#Data],$DE1206,61),0)</f>
        <v/>
      </c>
      <c r="BM1206">
        <f>IFERROR(INDEX(PP_Grid[#Data],$DE1206,62),0)</f>
        <v/>
      </c>
      <c r="BN1206">
        <f>IFERROR(INDEX(PP_Grid[#Data],$DE1206,63),0)</f>
        <v/>
      </c>
      <c r="BO1206">
        <f>IFERROR(INDEX(PP_Grid[#Data],$DE1206,64),0)</f>
        <v/>
      </c>
      <c r="BP1206">
        <f>IFERROR(INDEX(PP_Grid[#Data],$DE1206,65),0)</f>
        <v/>
      </c>
      <c r="BQ1206">
        <f>IFERROR(INDEX(PP_Grid[#Data],$DE1206,66),0)</f>
        <v/>
      </c>
      <c r="BR1206">
        <f>IFERROR(INDEX(PP_Grid[#Data],$DE1206,67),0)</f>
        <v/>
      </c>
      <c r="BS1206">
        <f>IFERROR(INDEX(PP_Grid[#Data],$DE1206,68),0)</f>
        <v/>
      </c>
      <c r="BT1206">
        <f>IFERROR(INDEX(PP_Grid[#Data],$DE1206,69),0)</f>
        <v/>
      </c>
      <c r="BU1206">
        <f>IFERROR(INDEX(PP_Grid[#Data],$DE1206,70),0)</f>
        <v/>
      </c>
      <c r="BV1206">
        <f>IFERROR(INDEX(PP_Grid[#Data],$DE1206,71),0)</f>
        <v/>
      </c>
      <c r="BW1206">
        <f>IFERROR(INDEX(PP_Grid[#Data],$DE1206,72),0)</f>
        <v/>
      </c>
      <c r="BX1206">
        <f>IFERROR(INDEX(PP_Grid[#Data],$DE1206,73),0)</f>
        <v/>
      </c>
      <c r="BY1206">
        <f>IFERROR(INDEX(PP_Grid[#Data],$DE1206,74),0)</f>
        <v/>
      </c>
      <c r="BZ1206">
        <f>IFERROR(INDEX(PP_Grid[#Data],$DE1206,75),0)</f>
        <v/>
      </c>
      <c r="CA1206">
        <f>IFERROR(INDEX(PP_Grid[#Data],$DE1206,76),0)</f>
        <v/>
      </c>
      <c r="CB1206">
        <f>IFERROR(INDEX(PP_Grid[#Data],$DE1206,77),0)</f>
        <v/>
      </c>
      <c r="CC1206">
        <f>IFERROR(INDEX(PP_Grid[#Data],$DE1206,78),0)</f>
        <v/>
      </c>
      <c r="CD1206">
        <f>IFERROR(INDEX(PP_Grid[#Data],$DE1206,79),0)</f>
        <v/>
      </c>
      <c r="CE1206">
        <f>IFERROR(INDEX(PP_Grid[#Data],$DE1206,80),0)</f>
        <v/>
      </c>
      <c r="CF1206">
        <f>IFERROR(INDEX(PP_Grid[#Data],$DE1206,81),0)</f>
        <v/>
      </c>
      <c r="CG1206">
        <f>IFERROR(INDEX(PP_Grid[#Data],$DE1206,82),0)</f>
        <v/>
      </c>
      <c r="CH1206">
        <f>IFERROR(INDEX(PP_Grid[#Data],$DE1206,83),0)</f>
        <v/>
      </c>
      <c r="CI1206">
        <f>IFERROR(INDEX(PP_Grid[#Data],$DE1206,84),0)</f>
        <v/>
      </c>
      <c r="CJ1206">
        <f>IFERROR(INDEX(PP_Grid[#Data],$DE1206,85),0)</f>
        <v/>
      </c>
      <c r="CK1206">
        <f>IFERROR(INDEX(PP_Grid[#Data],$DE1206,86),0)</f>
        <v/>
      </c>
      <c r="CL1206">
        <f>IFERROR(INDEX(PP_Grid[#Data],$DE1206,87),0)</f>
        <v/>
      </c>
      <c r="CM1206">
        <f>IFERROR(INDEX(PP_Grid[#Data],$DE1206,88),0)</f>
        <v/>
      </c>
      <c r="CN1206">
        <f>IFERROR(INDEX(PP_Grid[#Data],$DE1206,89),0)</f>
        <v/>
      </c>
      <c r="CO1206">
        <f>IFERROR(INDEX(PP_Grid[#Data],$DE1206,90),0)</f>
        <v/>
      </c>
      <c r="CP1206">
        <f>IFERROR(INDEX(PP_Grid[#Data],$DE1206,91),0)</f>
        <v/>
      </c>
      <c r="CQ1206">
        <f>IFERROR(INDEX(PP_Grid[#Data],$DE1206,92),0)</f>
        <v/>
      </c>
      <c r="CR1206">
        <f>IFERROR(INDEX(PP_Grid[#Data],$DE1206,93),0)</f>
        <v/>
      </c>
      <c r="CS1206">
        <f>IFERROR(INDEX(PP_Grid[#Data],$DE1206,94),0)</f>
        <v/>
      </c>
      <c r="CT1206">
        <f>IFERROR(INDEX(PP_Grid[#Data],$DE1206,95),0)</f>
        <v/>
      </c>
      <c r="CU1206">
        <f>IFERROR(INDEX(PP_Grid[#Data],$DE1206,96),0)</f>
        <v/>
      </c>
      <c r="CV1206">
        <f>IFERROR(INDEX(PP_Grid[#Data],$DE1206,97),0)</f>
        <v/>
      </c>
      <c r="CW1206">
        <f>IFERROR(INDEX(PP_Grid[#Data],$DE1206,98),0)</f>
        <v/>
      </c>
      <c r="CX1206">
        <f>IFERROR(INDEX(PP_Grid[#Data],$DE1206,99),0)</f>
        <v/>
      </c>
      <c r="CY1206">
        <f>IFERROR(INDEX(PP_Grid[#Data],$DE1206,100),0)</f>
        <v/>
      </c>
      <c r="CZ1206">
        <f>IFERROR(INDEX(PP_Grid[#Data],$DE1206,101),0)</f>
        <v/>
      </c>
      <c r="DA1206">
        <f>IFERROR(INDEX(PP_Grid[#Data],$DE1206,102),0)</f>
        <v/>
      </c>
      <c r="DB1206">
        <f>IFERROR(INDEX(PP_Grid[#Data],$DE1206,103),0)</f>
        <v/>
      </c>
      <c r="DC1206">
        <f>IFERROR(INDEX(PP_Grid[#Data],$DE1206,104),0)</f>
        <v/>
      </c>
      <c r="DD1206">
        <f>IFERROR(INDEX(PP_Grid[#Data],$DE1206,105),0)</f>
        <v/>
      </c>
      <c r="DE1206" s="7">
        <f>IFERROR(MATCH($B1206,PP_Grid[Intermediate],0),99999)</f>
        <v/>
      </c>
    </row>
    <row r="1207">
      <c r="B1207" t="inlineStr">
        <is>
          <t>使用量(kg)</t>
        </is>
      </c>
      <c r="C1207">
        <f>SUMIFS(M_BOM[RM_Qty_Per_Batch],M_BOM[Intermediate],$B1206,M_BOM[RM_Code],$A1205)</f>
        <v/>
      </c>
      <c r="D1207">
        <f>IFERROR(INDEX(E1207:DD1207,$F$1),"")</f>
        <v/>
      </c>
      <c r="E1207">
        <f>$C1207*E1206</f>
        <v/>
      </c>
      <c r="F1207">
        <f>$C1207*F1206</f>
        <v/>
      </c>
      <c r="G1207">
        <f>$C1207*G1206</f>
        <v/>
      </c>
      <c r="H1207">
        <f>$C1207*H1206</f>
        <v/>
      </c>
      <c r="I1207">
        <f>$C1207*I1206</f>
        <v/>
      </c>
      <c r="J1207">
        <f>$C1207*J1206</f>
        <v/>
      </c>
      <c r="K1207">
        <f>$C1207*K1206</f>
        <v/>
      </c>
      <c r="L1207">
        <f>$C1207*L1206</f>
        <v/>
      </c>
      <c r="M1207">
        <f>$C1207*M1206</f>
        <v/>
      </c>
      <c r="N1207">
        <f>$C1207*N1206</f>
        <v/>
      </c>
      <c r="O1207">
        <f>$C1207*O1206</f>
        <v/>
      </c>
      <c r="P1207">
        <f>$C1207*P1206</f>
        <v/>
      </c>
      <c r="Q1207">
        <f>$C1207*Q1206</f>
        <v/>
      </c>
      <c r="R1207">
        <f>$C1207*R1206</f>
        <v/>
      </c>
      <c r="S1207">
        <f>$C1207*S1206</f>
        <v/>
      </c>
      <c r="T1207">
        <f>$C1207*T1206</f>
        <v/>
      </c>
      <c r="U1207">
        <f>$C1207*U1206</f>
        <v/>
      </c>
      <c r="V1207">
        <f>$C1207*V1206</f>
        <v/>
      </c>
      <c r="W1207">
        <f>$C1207*W1206</f>
        <v/>
      </c>
      <c r="X1207">
        <f>$C1207*X1206</f>
        <v/>
      </c>
      <c r="Y1207">
        <f>$C1207*Y1206</f>
        <v/>
      </c>
      <c r="Z1207">
        <f>$C1207*Z1206</f>
        <v/>
      </c>
      <c r="AA1207">
        <f>$C1207*AA1206</f>
        <v/>
      </c>
      <c r="AB1207">
        <f>$C1207*AB1206</f>
        <v/>
      </c>
      <c r="AC1207">
        <f>$C1207*AC1206</f>
        <v/>
      </c>
      <c r="AD1207">
        <f>$C1207*AD1206</f>
        <v/>
      </c>
      <c r="AE1207">
        <f>$C1207*AE1206</f>
        <v/>
      </c>
      <c r="AF1207">
        <f>$C1207*AF1206</f>
        <v/>
      </c>
      <c r="AG1207">
        <f>$C1207*AG1206</f>
        <v/>
      </c>
      <c r="AH1207">
        <f>$C1207*AH1206</f>
        <v/>
      </c>
      <c r="AI1207">
        <f>$C1207*AI1206</f>
        <v/>
      </c>
      <c r="AJ1207">
        <f>$C1207*AJ1206</f>
        <v/>
      </c>
      <c r="AK1207">
        <f>$C1207*AK1206</f>
        <v/>
      </c>
      <c r="AL1207">
        <f>$C1207*AL1206</f>
        <v/>
      </c>
      <c r="AM1207">
        <f>$C1207*AM1206</f>
        <v/>
      </c>
      <c r="AN1207">
        <f>$C1207*AN1206</f>
        <v/>
      </c>
      <c r="AO1207">
        <f>$C1207*AO1206</f>
        <v/>
      </c>
      <c r="AP1207">
        <f>$C1207*AP1206</f>
        <v/>
      </c>
      <c r="AQ1207">
        <f>$C1207*AQ1206</f>
        <v/>
      </c>
      <c r="AR1207">
        <f>$C1207*AR1206</f>
        <v/>
      </c>
      <c r="AS1207">
        <f>$C1207*AS1206</f>
        <v/>
      </c>
      <c r="AT1207">
        <f>$C1207*AT1206</f>
        <v/>
      </c>
      <c r="AU1207">
        <f>$C1207*AU1206</f>
        <v/>
      </c>
      <c r="AV1207">
        <f>$C1207*AV1206</f>
        <v/>
      </c>
      <c r="AW1207">
        <f>$C1207*AW1206</f>
        <v/>
      </c>
      <c r="AX1207">
        <f>$C1207*AX1206</f>
        <v/>
      </c>
      <c r="AY1207">
        <f>$C1207*AY1206</f>
        <v/>
      </c>
      <c r="AZ1207">
        <f>$C1207*AZ1206</f>
        <v/>
      </c>
      <c r="BA1207">
        <f>$C1207*BA1206</f>
        <v/>
      </c>
      <c r="BB1207">
        <f>$C1207*BB1206</f>
        <v/>
      </c>
      <c r="BC1207">
        <f>$C1207*BC1206</f>
        <v/>
      </c>
      <c r="BD1207">
        <f>$C1207*BD1206</f>
        <v/>
      </c>
      <c r="BE1207">
        <f>$C1207*BE1206</f>
        <v/>
      </c>
      <c r="BF1207">
        <f>$C1207*BF1206</f>
        <v/>
      </c>
      <c r="BG1207">
        <f>$C1207*BG1206</f>
        <v/>
      </c>
      <c r="BH1207">
        <f>$C1207*BH1206</f>
        <v/>
      </c>
      <c r="BI1207">
        <f>$C1207*BI1206</f>
        <v/>
      </c>
      <c r="BJ1207">
        <f>$C1207*BJ1206</f>
        <v/>
      </c>
      <c r="BK1207">
        <f>$C1207*BK1206</f>
        <v/>
      </c>
      <c r="BL1207">
        <f>$C1207*BL1206</f>
        <v/>
      </c>
      <c r="BM1207">
        <f>$C1207*BM1206</f>
        <v/>
      </c>
      <c r="BN1207">
        <f>$C1207*BN1206</f>
        <v/>
      </c>
      <c r="BO1207">
        <f>$C1207*BO1206</f>
        <v/>
      </c>
      <c r="BP1207">
        <f>$C1207*BP1206</f>
        <v/>
      </c>
      <c r="BQ1207">
        <f>$C1207*BQ1206</f>
        <v/>
      </c>
      <c r="BR1207">
        <f>$C1207*BR1206</f>
        <v/>
      </c>
      <c r="BS1207">
        <f>$C1207*BS1206</f>
        <v/>
      </c>
      <c r="BT1207">
        <f>$C1207*BT1206</f>
        <v/>
      </c>
      <c r="BU1207">
        <f>$C1207*BU1206</f>
        <v/>
      </c>
      <c r="BV1207">
        <f>$C1207*BV1206</f>
        <v/>
      </c>
      <c r="BW1207">
        <f>$C1207*BW1206</f>
        <v/>
      </c>
      <c r="BX1207">
        <f>$C1207*BX1206</f>
        <v/>
      </c>
      <c r="BY1207">
        <f>$C1207*BY1206</f>
        <v/>
      </c>
      <c r="BZ1207">
        <f>$C1207*BZ1206</f>
        <v/>
      </c>
      <c r="CA1207">
        <f>$C1207*CA1206</f>
        <v/>
      </c>
      <c r="CB1207">
        <f>$C1207*CB1206</f>
        <v/>
      </c>
      <c r="CC1207">
        <f>$C1207*CC1206</f>
        <v/>
      </c>
      <c r="CD1207">
        <f>$C1207*CD1206</f>
        <v/>
      </c>
      <c r="CE1207">
        <f>$C1207*CE1206</f>
        <v/>
      </c>
      <c r="CF1207">
        <f>$C1207*CF1206</f>
        <v/>
      </c>
      <c r="CG1207">
        <f>$C1207*CG1206</f>
        <v/>
      </c>
      <c r="CH1207">
        <f>$C1207*CH1206</f>
        <v/>
      </c>
      <c r="CI1207">
        <f>$C1207*CI1206</f>
        <v/>
      </c>
      <c r="CJ1207">
        <f>$C1207*CJ1206</f>
        <v/>
      </c>
      <c r="CK1207">
        <f>$C1207*CK1206</f>
        <v/>
      </c>
      <c r="CL1207">
        <f>$C1207*CL1206</f>
        <v/>
      </c>
      <c r="CM1207">
        <f>$C1207*CM1206</f>
        <v/>
      </c>
      <c r="CN1207">
        <f>$C1207*CN1206</f>
        <v/>
      </c>
      <c r="CO1207">
        <f>$C1207*CO1206</f>
        <v/>
      </c>
      <c r="CP1207">
        <f>$C1207*CP1206</f>
        <v/>
      </c>
      <c r="CQ1207">
        <f>$C1207*CQ1206</f>
        <v/>
      </c>
      <c r="CR1207">
        <f>$C1207*CR1206</f>
        <v/>
      </c>
      <c r="CS1207">
        <f>$C1207*CS1206</f>
        <v/>
      </c>
      <c r="CT1207">
        <f>$C1207*CT1206</f>
        <v/>
      </c>
      <c r="CU1207">
        <f>$C1207*CU1206</f>
        <v/>
      </c>
      <c r="CV1207">
        <f>$C1207*CV1206</f>
        <v/>
      </c>
      <c r="CW1207">
        <f>$C1207*CW1206</f>
        <v/>
      </c>
      <c r="CX1207">
        <f>$C1207*CX1206</f>
        <v/>
      </c>
      <c r="CY1207">
        <f>$C1207*CY1206</f>
        <v/>
      </c>
      <c r="CZ1207">
        <f>$C1207*CZ1206</f>
        <v/>
      </c>
      <c r="DA1207">
        <f>$C1207*DA1206</f>
        <v/>
      </c>
      <c r="DB1207">
        <f>$C1207*DB1206</f>
        <v/>
      </c>
      <c r="DC1207">
        <f>$C1207*DC1206</f>
        <v/>
      </c>
      <c r="DD1207">
        <f>$C1207*DD1206</f>
        <v/>
      </c>
    </row>
    <row r="1208">
      <c r="B1208" t="inlineStr">
        <is>
          <t>TSP-403</t>
        </is>
      </c>
      <c r="C1208" t="inlineStr">
        <is>
          <t>No. of batches</t>
        </is>
      </c>
      <c r="D1208">
        <f>IFERROR(INDEX(E1208:DD1208,$F$1),"")</f>
        <v/>
      </c>
      <c r="E1208">
        <f>IFERROR(INDEX(PP_Grid[#Data],$DE1208,2),0)</f>
        <v/>
      </c>
      <c r="F1208">
        <f>IFERROR(INDEX(PP_Grid[#Data],$DE1208,3),0)</f>
        <v/>
      </c>
      <c r="G1208">
        <f>IFERROR(INDEX(PP_Grid[#Data],$DE1208,4),0)</f>
        <v/>
      </c>
      <c r="H1208">
        <f>IFERROR(INDEX(PP_Grid[#Data],$DE1208,5),0)</f>
        <v/>
      </c>
      <c r="I1208">
        <f>IFERROR(INDEX(PP_Grid[#Data],$DE1208,6),0)</f>
        <v/>
      </c>
      <c r="J1208">
        <f>IFERROR(INDEX(PP_Grid[#Data],$DE1208,7),0)</f>
        <v/>
      </c>
      <c r="K1208">
        <f>IFERROR(INDEX(PP_Grid[#Data],$DE1208,8),0)</f>
        <v/>
      </c>
      <c r="L1208">
        <f>IFERROR(INDEX(PP_Grid[#Data],$DE1208,9),0)</f>
        <v/>
      </c>
      <c r="M1208">
        <f>IFERROR(INDEX(PP_Grid[#Data],$DE1208,10),0)</f>
        <v/>
      </c>
      <c r="N1208">
        <f>IFERROR(INDEX(PP_Grid[#Data],$DE1208,11),0)</f>
        <v/>
      </c>
      <c r="O1208">
        <f>IFERROR(INDEX(PP_Grid[#Data],$DE1208,12),0)</f>
        <v/>
      </c>
      <c r="P1208">
        <f>IFERROR(INDEX(PP_Grid[#Data],$DE1208,13),0)</f>
        <v/>
      </c>
      <c r="Q1208">
        <f>IFERROR(INDEX(PP_Grid[#Data],$DE1208,14),0)</f>
        <v/>
      </c>
      <c r="R1208">
        <f>IFERROR(INDEX(PP_Grid[#Data],$DE1208,15),0)</f>
        <v/>
      </c>
      <c r="S1208">
        <f>IFERROR(INDEX(PP_Grid[#Data],$DE1208,16),0)</f>
        <v/>
      </c>
      <c r="T1208">
        <f>IFERROR(INDEX(PP_Grid[#Data],$DE1208,17),0)</f>
        <v/>
      </c>
      <c r="U1208">
        <f>IFERROR(INDEX(PP_Grid[#Data],$DE1208,18),0)</f>
        <v/>
      </c>
      <c r="V1208">
        <f>IFERROR(INDEX(PP_Grid[#Data],$DE1208,19),0)</f>
        <v/>
      </c>
      <c r="W1208">
        <f>IFERROR(INDEX(PP_Grid[#Data],$DE1208,20),0)</f>
        <v/>
      </c>
      <c r="X1208">
        <f>IFERROR(INDEX(PP_Grid[#Data],$DE1208,21),0)</f>
        <v/>
      </c>
      <c r="Y1208">
        <f>IFERROR(INDEX(PP_Grid[#Data],$DE1208,22),0)</f>
        <v/>
      </c>
      <c r="Z1208">
        <f>IFERROR(INDEX(PP_Grid[#Data],$DE1208,23),0)</f>
        <v/>
      </c>
      <c r="AA1208">
        <f>IFERROR(INDEX(PP_Grid[#Data],$DE1208,24),0)</f>
        <v/>
      </c>
      <c r="AB1208">
        <f>IFERROR(INDEX(PP_Grid[#Data],$DE1208,25),0)</f>
        <v/>
      </c>
      <c r="AC1208">
        <f>IFERROR(INDEX(PP_Grid[#Data],$DE1208,26),0)</f>
        <v/>
      </c>
      <c r="AD1208">
        <f>IFERROR(INDEX(PP_Grid[#Data],$DE1208,27),0)</f>
        <v/>
      </c>
      <c r="AE1208">
        <f>IFERROR(INDEX(PP_Grid[#Data],$DE1208,28),0)</f>
        <v/>
      </c>
      <c r="AF1208">
        <f>IFERROR(INDEX(PP_Grid[#Data],$DE1208,29),0)</f>
        <v/>
      </c>
      <c r="AG1208">
        <f>IFERROR(INDEX(PP_Grid[#Data],$DE1208,30),0)</f>
        <v/>
      </c>
      <c r="AH1208">
        <f>IFERROR(INDEX(PP_Grid[#Data],$DE1208,31),0)</f>
        <v/>
      </c>
      <c r="AI1208">
        <f>IFERROR(INDEX(PP_Grid[#Data],$DE1208,32),0)</f>
        <v/>
      </c>
      <c r="AJ1208">
        <f>IFERROR(INDEX(PP_Grid[#Data],$DE1208,33),0)</f>
        <v/>
      </c>
      <c r="AK1208">
        <f>IFERROR(INDEX(PP_Grid[#Data],$DE1208,34),0)</f>
        <v/>
      </c>
      <c r="AL1208">
        <f>IFERROR(INDEX(PP_Grid[#Data],$DE1208,35),0)</f>
        <v/>
      </c>
      <c r="AM1208">
        <f>IFERROR(INDEX(PP_Grid[#Data],$DE1208,36),0)</f>
        <v/>
      </c>
      <c r="AN1208">
        <f>IFERROR(INDEX(PP_Grid[#Data],$DE1208,37),0)</f>
        <v/>
      </c>
      <c r="AO1208">
        <f>IFERROR(INDEX(PP_Grid[#Data],$DE1208,38),0)</f>
        <v/>
      </c>
      <c r="AP1208">
        <f>IFERROR(INDEX(PP_Grid[#Data],$DE1208,39),0)</f>
        <v/>
      </c>
      <c r="AQ1208">
        <f>IFERROR(INDEX(PP_Grid[#Data],$DE1208,40),0)</f>
        <v/>
      </c>
      <c r="AR1208">
        <f>IFERROR(INDEX(PP_Grid[#Data],$DE1208,41),0)</f>
        <v/>
      </c>
      <c r="AS1208">
        <f>IFERROR(INDEX(PP_Grid[#Data],$DE1208,42),0)</f>
        <v/>
      </c>
      <c r="AT1208">
        <f>IFERROR(INDEX(PP_Grid[#Data],$DE1208,43),0)</f>
        <v/>
      </c>
      <c r="AU1208">
        <f>IFERROR(INDEX(PP_Grid[#Data],$DE1208,44),0)</f>
        <v/>
      </c>
      <c r="AV1208">
        <f>IFERROR(INDEX(PP_Grid[#Data],$DE1208,45),0)</f>
        <v/>
      </c>
      <c r="AW1208">
        <f>IFERROR(INDEX(PP_Grid[#Data],$DE1208,46),0)</f>
        <v/>
      </c>
      <c r="AX1208">
        <f>IFERROR(INDEX(PP_Grid[#Data],$DE1208,47),0)</f>
        <v/>
      </c>
      <c r="AY1208">
        <f>IFERROR(INDEX(PP_Grid[#Data],$DE1208,48),0)</f>
        <v/>
      </c>
      <c r="AZ1208">
        <f>IFERROR(INDEX(PP_Grid[#Data],$DE1208,49),0)</f>
        <v/>
      </c>
      <c r="BA1208">
        <f>IFERROR(INDEX(PP_Grid[#Data],$DE1208,50),0)</f>
        <v/>
      </c>
      <c r="BB1208">
        <f>IFERROR(INDEX(PP_Grid[#Data],$DE1208,51),0)</f>
        <v/>
      </c>
      <c r="BC1208">
        <f>IFERROR(INDEX(PP_Grid[#Data],$DE1208,52),0)</f>
        <v/>
      </c>
      <c r="BD1208">
        <f>IFERROR(INDEX(PP_Grid[#Data],$DE1208,53),0)</f>
        <v/>
      </c>
      <c r="BE1208">
        <f>IFERROR(INDEX(PP_Grid[#Data],$DE1208,54),0)</f>
        <v/>
      </c>
      <c r="BF1208">
        <f>IFERROR(INDEX(PP_Grid[#Data],$DE1208,55),0)</f>
        <v/>
      </c>
      <c r="BG1208">
        <f>IFERROR(INDEX(PP_Grid[#Data],$DE1208,56),0)</f>
        <v/>
      </c>
      <c r="BH1208">
        <f>IFERROR(INDEX(PP_Grid[#Data],$DE1208,57),0)</f>
        <v/>
      </c>
      <c r="BI1208">
        <f>IFERROR(INDEX(PP_Grid[#Data],$DE1208,58),0)</f>
        <v/>
      </c>
      <c r="BJ1208">
        <f>IFERROR(INDEX(PP_Grid[#Data],$DE1208,59),0)</f>
        <v/>
      </c>
      <c r="BK1208">
        <f>IFERROR(INDEX(PP_Grid[#Data],$DE1208,60),0)</f>
        <v/>
      </c>
      <c r="BL1208">
        <f>IFERROR(INDEX(PP_Grid[#Data],$DE1208,61),0)</f>
        <v/>
      </c>
      <c r="BM1208">
        <f>IFERROR(INDEX(PP_Grid[#Data],$DE1208,62),0)</f>
        <v/>
      </c>
      <c r="BN1208">
        <f>IFERROR(INDEX(PP_Grid[#Data],$DE1208,63),0)</f>
        <v/>
      </c>
      <c r="BO1208">
        <f>IFERROR(INDEX(PP_Grid[#Data],$DE1208,64),0)</f>
        <v/>
      </c>
      <c r="BP1208">
        <f>IFERROR(INDEX(PP_Grid[#Data],$DE1208,65),0)</f>
        <v/>
      </c>
      <c r="BQ1208">
        <f>IFERROR(INDEX(PP_Grid[#Data],$DE1208,66),0)</f>
        <v/>
      </c>
      <c r="BR1208">
        <f>IFERROR(INDEX(PP_Grid[#Data],$DE1208,67),0)</f>
        <v/>
      </c>
      <c r="BS1208">
        <f>IFERROR(INDEX(PP_Grid[#Data],$DE1208,68),0)</f>
        <v/>
      </c>
      <c r="BT1208">
        <f>IFERROR(INDEX(PP_Grid[#Data],$DE1208,69),0)</f>
        <v/>
      </c>
      <c r="BU1208">
        <f>IFERROR(INDEX(PP_Grid[#Data],$DE1208,70),0)</f>
        <v/>
      </c>
      <c r="BV1208">
        <f>IFERROR(INDEX(PP_Grid[#Data],$DE1208,71),0)</f>
        <v/>
      </c>
      <c r="BW1208">
        <f>IFERROR(INDEX(PP_Grid[#Data],$DE1208,72),0)</f>
        <v/>
      </c>
      <c r="BX1208">
        <f>IFERROR(INDEX(PP_Grid[#Data],$DE1208,73),0)</f>
        <v/>
      </c>
      <c r="BY1208">
        <f>IFERROR(INDEX(PP_Grid[#Data],$DE1208,74),0)</f>
        <v/>
      </c>
      <c r="BZ1208">
        <f>IFERROR(INDEX(PP_Grid[#Data],$DE1208,75),0)</f>
        <v/>
      </c>
      <c r="CA1208">
        <f>IFERROR(INDEX(PP_Grid[#Data],$DE1208,76),0)</f>
        <v/>
      </c>
      <c r="CB1208">
        <f>IFERROR(INDEX(PP_Grid[#Data],$DE1208,77),0)</f>
        <v/>
      </c>
      <c r="CC1208">
        <f>IFERROR(INDEX(PP_Grid[#Data],$DE1208,78),0)</f>
        <v/>
      </c>
      <c r="CD1208">
        <f>IFERROR(INDEX(PP_Grid[#Data],$DE1208,79),0)</f>
        <v/>
      </c>
      <c r="CE1208">
        <f>IFERROR(INDEX(PP_Grid[#Data],$DE1208,80),0)</f>
        <v/>
      </c>
      <c r="CF1208">
        <f>IFERROR(INDEX(PP_Grid[#Data],$DE1208,81),0)</f>
        <v/>
      </c>
      <c r="CG1208">
        <f>IFERROR(INDEX(PP_Grid[#Data],$DE1208,82),0)</f>
        <v/>
      </c>
      <c r="CH1208">
        <f>IFERROR(INDEX(PP_Grid[#Data],$DE1208,83),0)</f>
        <v/>
      </c>
      <c r="CI1208">
        <f>IFERROR(INDEX(PP_Grid[#Data],$DE1208,84),0)</f>
        <v/>
      </c>
      <c r="CJ1208">
        <f>IFERROR(INDEX(PP_Grid[#Data],$DE1208,85),0)</f>
        <v/>
      </c>
      <c r="CK1208">
        <f>IFERROR(INDEX(PP_Grid[#Data],$DE1208,86),0)</f>
        <v/>
      </c>
      <c r="CL1208">
        <f>IFERROR(INDEX(PP_Grid[#Data],$DE1208,87),0)</f>
        <v/>
      </c>
      <c r="CM1208">
        <f>IFERROR(INDEX(PP_Grid[#Data],$DE1208,88),0)</f>
        <v/>
      </c>
      <c r="CN1208">
        <f>IFERROR(INDEX(PP_Grid[#Data],$DE1208,89),0)</f>
        <v/>
      </c>
      <c r="CO1208">
        <f>IFERROR(INDEX(PP_Grid[#Data],$DE1208,90),0)</f>
        <v/>
      </c>
      <c r="CP1208">
        <f>IFERROR(INDEX(PP_Grid[#Data],$DE1208,91),0)</f>
        <v/>
      </c>
      <c r="CQ1208">
        <f>IFERROR(INDEX(PP_Grid[#Data],$DE1208,92),0)</f>
        <v/>
      </c>
      <c r="CR1208">
        <f>IFERROR(INDEX(PP_Grid[#Data],$DE1208,93),0)</f>
        <v/>
      </c>
      <c r="CS1208">
        <f>IFERROR(INDEX(PP_Grid[#Data],$DE1208,94),0)</f>
        <v/>
      </c>
      <c r="CT1208">
        <f>IFERROR(INDEX(PP_Grid[#Data],$DE1208,95),0)</f>
        <v/>
      </c>
      <c r="CU1208">
        <f>IFERROR(INDEX(PP_Grid[#Data],$DE1208,96),0)</f>
        <v/>
      </c>
      <c r="CV1208">
        <f>IFERROR(INDEX(PP_Grid[#Data],$DE1208,97),0)</f>
        <v/>
      </c>
      <c r="CW1208">
        <f>IFERROR(INDEX(PP_Grid[#Data],$DE1208,98),0)</f>
        <v/>
      </c>
      <c r="CX1208">
        <f>IFERROR(INDEX(PP_Grid[#Data],$DE1208,99),0)</f>
        <v/>
      </c>
      <c r="CY1208">
        <f>IFERROR(INDEX(PP_Grid[#Data],$DE1208,100),0)</f>
        <v/>
      </c>
      <c r="CZ1208">
        <f>IFERROR(INDEX(PP_Grid[#Data],$DE1208,101),0)</f>
        <v/>
      </c>
      <c r="DA1208">
        <f>IFERROR(INDEX(PP_Grid[#Data],$DE1208,102),0)</f>
        <v/>
      </c>
      <c r="DB1208">
        <f>IFERROR(INDEX(PP_Grid[#Data],$DE1208,103),0)</f>
        <v/>
      </c>
      <c r="DC1208">
        <f>IFERROR(INDEX(PP_Grid[#Data],$DE1208,104),0)</f>
        <v/>
      </c>
      <c r="DD1208">
        <f>IFERROR(INDEX(PP_Grid[#Data],$DE1208,105),0)</f>
        <v/>
      </c>
      <c r="DE1208" s="7">
        <f>IFERROR(MATCH($B1208,PP_Grid[Intermediate],0),99999)</f>
        <v/>
      </c>
    </row>
    <row r="1209">
      <c r="B1209" t="inlineStr">
        <is>
          <t>使用量(kg)</t>
        </is>
      </c>
      <c r="C1209">
        <f>SUMIFS(M_BOM[RM_Qty_Per_Batch],M_BOM[Intermediate],$B1208,M_BOM[RM_Code],$A1205)</f>
        <v/>
      </c>
      <c r="D1209">
        <f>IFERROR(INDEX(E1209:DD1209,$F$1),"")</f>
        <v/>
      </c>
      <c r="E1209">
        <f>$C1209*E1208</f>
        <v/>
      </c>
      <c r="F1209">
        <f>$C1209*F1208</f>
        <v/>
      </c>
      <c r="G1209">
        <f>$C1209*G1208</f>
        <v/>
      </c>
      <c r="H1209">
        <f>$C1209*H1208</f>
        <v/>
      </c>
      <c r="I1209">
        <f>$C1209*I1208</f>
        <v/>
      </c>
      <c r="J1209">
        <f>$C1209*J1208</f>
        <v/>
      </c>
      <c r="K1209">
        <f>$C1209*K1208</f>
        <v/>
      </c>
      <c r="L1209">
        <f>$C1209*L1208</f>
        <v/>
      </c>
      <c r="M1209">
        <f>$C1209*M1208</f>
        <v/>
      </c>
      <c r="N1209">
        <f>$C1209*N1208</f>
        <v/>
      </c>
      <c r="O1209">
        <f>$C1209*O1208</f>
        <v/>
      </c>
      <c r="P1209">
        <f>$C1209*P1208</f>
        <v/>
      </c>
      <c r="Q1209">
        <f>$C1209*Q1208</f>
        <v/>
      </c>
      <c r="R1209">
        <f>$C1209*R1208</f>
        <v/>
      </c>
      <c r="S1209">
        <f>$C1209*S1208</f>
        <v/>
      </c>
      <c r="T1209">
        <f>$C1209*T1208</f>
        <v/>
      </c>
      <c r="U1209">
        <f>$C1209*U1208</f>
        <v/>
      </c>
      <c r="V1209">
        <f>$C1209*V1208</f>
        <v/>
      </c>
      <c r="W1209">
        <f>$C1209*W1208</f>
        <v/>
      </c>
      <c r="X1209">
        <f>$C1209*X1208</f>
        <v/>
      </c>
      <c r="Y1209">
        <f>$C1209*Y1208</f>
        <v/>
      </c>
      <c r="Z1209">
        <f>$C1209*Z1208</f>
        <v/>
      </c>
      <c r="AA1209">
        <f>$C1209*AA1208</f>
        <v/>
      </c>
      <c r="AB1209">
        <f>$C1209*AB1208</f>
        <v/>
      </c>
      <c r="AC1209">
        <f>$C1209*AC1208</f>
        <v/>
      </c>
      <c r="AD1209">
        <f>$C1209*AD1208</f>
        <v/>
      </c>
      <c r="AE1209">
        <f>$C1209*AE1208</f>
        <v/>
      </c>
      <c r="AF1209">
        <f>$C1209*AF1208</f>
        <v/>
      </c>
      <c r="AG1209">
        <f>$C1209*AG1208</f>
        <v/>
      </c>
      <c r="AH1209">
        <f>$C1209*AH1208</f>
        <v/>
      </c>
      <c r="AI1209">
        <f>$C1209*AI1208</f>
        <v/>
      </c>
      <c r="AJ1209">
        <f>$C1209*AJ1208</f>
        <v/>
      </c>
      <c r="AK1209">
        <f>$C1209*AK1208</f>
        <v/>
      </c>
      <c r="AL1209">
        <f>$C1209*AL1208</f>
        <v/>
      </c>
      <c r="AM1209">
        <f>$C1209*AM1208</f>
        <v/>
      </c>
      <c r="AN1209">
        <f>$C1209*AN1208</f>
        <v/>
      </c>
      <c r="AO1209">
        <f>$C1209*AO1208</f>
        <v/>
      </c>
      <c r="AP1209">
        <f>$C1209*AP1208</f>
        <v/>
      </c>
      <c r="AQ1209">
        <f>$C1209*AQ1208</f>
        <v/>
      </c>
      <c r="AR1209">
        <f>$C1209*AR1208</f>
        <v/>
      </c>
      <c r="AS1209">
        <f>$C1209*AS1208</f>
        <v/>
      </c>
      <c r="AT1209">
        <f>$C1209*AT1208</f>
        <v/>
      </c>
      <c r="AU1209">
        <f>$C1209*AU1208</f>
        <v/>
      </c>
      <c r="AV1209">
        <f>$C1209*AV1208</f>
        <v/>
      </c>
      <c r="AW1209">
        <f>$C1209*AW1208</f>
        <v/>
      </c>
      <c r="AX1209">
        <f>$C1209*AX1208</f>
        <v/>
      </c>
      <c r="AY1209">
        <f>$C1209*AY1208</f>
        <v/>
      </c>
      <c r="AZ1209">
        <f>$C1209*AZ1208</f>
        <v/>
      </c>
      <c r="BA1209">
        <f>$C1209*BA1208</f>
        <v/>
      </c>
      <c r="BB1209">
        <f>$C1209*BB1208</f>
        <v/>
      </c>
      <c r="BC1209">
        <f>$C1209*BC1208</f>
        <v/>
      </c>
      <c r="BD1209">
        <f>$C1209*BD1208</f>
        <v/>
      </c>
      <c r="BE1209">
        <f>$C1209*BE1208</f>
        <v/>
      </c>
      <c r="BF1209">
        <f>$C1209*BF1208</f>
        <v/>
      </c>
      <c r="BG1209">
        <f>$C1209*BG1208</f>
        <v/>
      </c>
      <c r="BH1209">
        <f>$C1209*BH1208</f>
        <v/>
      </c>
      <c r="BI1209">
        <f>$C1209*BI1208</f>
        <v/>
      </c>
      <c r="BJ1209">
        <f>$C1209*BJ1208</f>
        <v/>
      </c>
      <c r="BK1209">
        <f>$C1209*BK1208</f>
        <v/>
      </c>
      <c r="BL1209">
        <f>$C1209*BL1208</f>
        <v/>
      </c>
      <c r="BM1209">
        <f>$C1209*BM1208</f>
        <v/>
      </c>
      <c r="BN1209">
        <f>$C1209*BN1208</f>
        <v/>
      </c>
      <c r="BO1209">
        <f>$C1209*BO1208</f>
        <v/>
      </c>
      <c r="BP1209">
        <f>$C1209*BP1208</f>
        <v/>
      </c>
      <c r="BQ1209">
        <f>$C1209*BQ1208</f>
        <v/>
      </c>
      <c r="BR1209">
        <f>$C1209*BR1208</f>
        <v/>
      </c>
      <c r="BS1209">
        <f>$C1209*BS1208</f>
        <v/>
      </c>
      <c r="BT1209">
        <f>$C1209*BT1208</f>
        <v/>
      </c>
      <c r="BU1209">
        <f>$C1209*BU1208</f>
        <v/>
      </c>
      <c r="BV1209">
        <f>$C1209*BV1208</f>
        <v/>
      </c>
      <c r="BW1209">
        <f>$C1209*BW1208</f>
        <v/>
      </c>
      <c r="BX1209">
        <f>$C1209*BX1208</f>
        <v/>
      </c>
      <c r="BY1209">
        <f>$C1209*BY1208</f>
        <v/>
      </c>
      <c r="BZ1209">
        <f>$C1209*BZ1208</f>
        <v/>
      </c>
      <c r="CA1209">
        <f>$C1209*CA1208</f>
        <v/>
      </c>
      <c r="CB1209">
        <f>$C1209*CB1208</f>
        <v/>
      </c>
      <c r="CC1209">
        <f>$C1209*CC1208</f>
        <v/>
      </c>
      <c r="CD1209">
        <f>$C1209*CD1208</f>
        <v/>
      </c>
      <c r="CE1209">
        <f>$C1209*CE1208</f>
        <v/>
      </c>
      <c r="CF1209">
        <f>$C1209*CF1208</f>
        <v/>
      </c>
      <c r="CG1209">
        <f>$C1209*CG1208</f>
        <v/>
      </c>
      <c r="CH1209">
        <f>$C1209*CH1208</f>
        <v/>
      </c>
      <c r="CI1209">
        <f>$C1209*CI1208</f>
        <v/>
      </c>
      <c r="CJ1209">
        <f>$C1209*CJ1208</f>
        <v/>
      </c>
      <c r="CK1209">
        <f>$C1209*CK1208</f>
        <v/>
      </c>
      <c r="CL1209">
        <f>$C1209*CL1208</f>
        <v/>
      </c>
      <c r="CM1209">
        <f>$C1209*CM1208</f>
        <v/>
      </c>
      <c r="CN1209">
        <f>$C1209*CN1208</f>
        <v/>
      </c>
      <c r="CO1209">
        <f>$C1209*CO1208</f>
        <v/>
      </c>
      <c r="CP1209">
        <f>$C1209*CP1208</f>
        <v/>
      </c>
      <c r="CQ1209">
        <f>$C1209*CQ1208</f>
        <v/>
      </c>
      <c r="CR1209">
        <f>$C1209*CR1208</f>
        <v/>
      </c>
      <c r="CS1209">
        <f>$C1209*CS1208</f>
        <v/>
      </c>
      <c r="CT1209">
        <f>$C1209*CT1208</f>
        <v/>
      </c>
      <c r="CU1209">
        <f>$C1209*CU1208</f>
        <v/>
      </c>
      <c r="CV1209">
        <f>$C1209*CV1208</f>
        <v/>
      </c>
      <c r="CW1209">
        <f>$C1209*CW1208</f>
        <v/>
      </c>
      <c r="CX1209">
        <f>$C1209*CX1208</f>
        <v/>
      </c>
      <c r="CY1209">
        <f>$C1209*CY1208</f>
        <v/>
      </c>
      <c r="CZ1209">
        <f>$C1209*CZ1208</f>
        <v/>
      </c>
      <c r="DA1209">
        <f>$C1209*DA1208</f>
        <v/>
      </c>
      <c r="DB1209">
        <f>$C1209*DB1208</f>
        <v/>
      </c>
      <c r="DC1209">
        <f>$C1209*DC1208</f>
        <v/>
      </c>
      <c r="DD1209">
        <f>$C1209*DD1208</f>
        <v/>
      </c>
    </row>
    <row r="1210">
      <c r="B1210" t="inlineStr">
        <is>
          <t>TSP-404</t>
        </is>
      </c>
      <c r="C1210" t="inlineStr">
        <is>
          <t>No. of batches</t>
        </is>
      </c>
      <c r="D1210">
        <f>IFERROR(INDEX(E1210:DD1210,$F$1),"")</f>
        <v/>
      </c>
      <c r="E1210">
        <f>IFERROR(INDEX(PP_Grid[#Data],$DE1210,2),0)</f>
        <v/>
      </c>
      <c r="F1210">
        <f>IFERROR(INDEX(PP_Grid[#Data],$DE1210,3),0)</f>
        <v/>
      </c>
      <c r="G1210">
        <f>IFERROR(INDEX(PP_Grid[#Data],$DE1210,4),0)</f>
        <v/>
      </c>
      <c r="H1210">
        <f>IFERROR(INDEX(PP_Grid[#Data],$DE1210,5),0)</f>
        <v/>
      </c>
      <c r="I1210">
        <f>IFERROR(INDEX(PP_Grid[#Data],$DE1210,6),0)</f>
        <v/>
      </c>
      <c r="J1210">
        <f>IFERROR(INDEX(PP_Grid[#Data],$DE1210,7),0)</f>
        <v/>
      </c>
      <c r="K1210">
        <f>IFERROR(INDEX(PP_Grid[#Data],$DE1210,8),0)</f>
        <v/>
      </c>
      <c r="L1210">
        <f>IFERROR(INDEX(PP_Grid[#Data],$DE1210,9),0)</f>
        <v/>
      </c>
      <c r="M1210">
        <f>IFERROR(INDEX(PP_Grid[#Data],$DE1210,10),0)</f>
        <v/>
      </c>
      <c r="N1210">
        <f>IFERROR(INDEX(PP_Grid[#Data],$DE1210,11),0)</f>
        <v/>
      </c>
      <c r="O1210">
        <f>IFERROR(INDEX(PP_Grid[#Data],$DE1210,12),0)</f>
        <v/>
      </c>
      <c r="P1210">
        <f>IFERROR(INDEX(PP_Grid[#Data],$DE1210,13),0)</f>
        <v/>
      </c>
      <c r="Q1210">
        <f>IFERROR(INDEX(PP_Grid[#Data],$DE1210,14),0)</f>
        <v/>
      </c>
      <c r="R1210">
        <f>IFERROR(INDEX(PP_Grid[#Data],$DE1210,15),0)</f>
        <v/>
      </c>
      <c r="S1210">
        <f>IFERROR(INDEX(PP_Grid[#Data],$DE1210,16),0)</f>
        <v/>
      </c>
      <c r="T1210">
        <f>IFERROR(INDEX(PP_Grid[#Data],$DE1210,17),0)</f>
        <v/>
      </c>
      <c r="U1210">
        <f>IFERROR(INDEX(PP_Grid[#Data],$DE1210,18),0)</f>
        <v/>
      </c>
      <c r="V1210">
        <f>IFERROR(INDEX(PP_Grid[#Data],$DE1210,19),0)</f>
        <v/>
      </c>
      <c r="W1210">
        <f>IFERROR(INDEX(PP_Grid[#Data],$DE1210,20),0)</f>
        <v/>
      </c>
      <c r="X1210">
        <f>IFERROR(INDEX(PP_Grid[#Data],$DE1210,21),0)</f>
        <v/>
      </c>
      <c r="Y1210">
        <f>IFERROR(INDEX(PP_Grid[#Data],$DE1210,22),0)</f>
        <v/>
      </c>
      <c r="Z1210">
        <f>IFERROR(INDEX(PP_Grid[#Data],$DE1210,23),0)</f>
        <v/>
      </c>
      <c r="AA1210">
        <f>IFERROR(INDEX(PP_Grid[#Data],$DE1210,24),0)</f>
        <v/>
      </c>
      <c r="AB1210">
        <f>IFERROR(INDEX(PP_Grid[#Data],$DE1210,25),0)</f>
        <v/>
      </c>
      <c r="AC1210">
        <f>IFERROR(INDEX(PP_Grid[#Data],$DE1210,26),0)</f>
        <v/>
      </c>
      <c r="AD1210">
        <f>IFERROR(INDEX(PP_Grid[#Data],$DE1210,27),0)</f>
        <v/>
      </c>
      <c r="AE1210">
        <f>IFERROR(INDEX(PP_Grid[#Data],$DE1210,28),0)</f>
        <v/>
      </c>
      <c r="AF1210">
        <f>IFERROR(INDEX(PP_Grid[#Data],$DE1210,29),0)</f>
        <v/>
      </c>
      <c r="AG1210">
        <f>IFERROR(INDEX(PP_Grid[#Data],$DE1210,30),0)</f>
        <v/>
      </c>
      <c r="AH1210">
        <f>IFERROR(INDEX(PP_Grid[#Data],$DE1210,31),0)</f>
        <v/>
      </c>
      <c r="AI1210">
        <f>IFERROR(INDEX(PP_Grid[#Data],$DE1210,32),0)</f>
        <v/>
      </c>
      <c r="AJ1210">
        <f>IFERROR(INDEX(PP_Grid[#Data],$DE1210,33),0)</f>
        <v/>
      </c>
      <c r="AK1210">
        <f>IFERROR(INDEX(PP_Grid[#Data],$DE1210,34),0)</f>
        <v/>
      </c>
      <c r="AL1210">
        <f>IFERROR(INDEX(PP_Grid[#Data],$DE1210,35),0)</f>
        <v/>
      </c>
      <c r="AM1210">
        <f>IFERROR(INDEX(PP_Grid[#Data],$DE1210,36),0)</f>
        <v/>
      </c>
      <c r="AN1210">
        <f>IFERROR(INDEX(PP_Grid[#Data],$DE1210,37),0)</f>
        <v/>
      </c>
      <c r="AO1210">
        <f>IFERROR(INDEX(PP_Grid[#Data],$DE1210,38),0)</f>
        <v/>
      </c>
      <c r="AP1210">
        <f>IFERROR(INDEX(PP_Grid[#Data],$DE1210,39),0)</f>
        <v/>
      </c>
      <c r="AQ1210">
        <f>IFERROR(INDEX(PP_Grid[#Data],$DE1210,40),0)</f>
        <v/>
      </c>
      <c r="AR1210">
        <f>IFERROR(INDEX(PP_Grid[#Data],$DE1210,41),0)</f>
        <v/>
      </c>
      <c r="AS1210">
        <f>IFERROR(INDEX(PP_Grid[#Data],$DE1210,42),0)</f>
        <v/>
      </c>
      <c r="AT1210">
        <f>IFERROR(INDEX(PP_Grid[#Data],$DE1210,43),0)</f>
        <v/>
      </c>
      <c r="AU1210">
        <f>IFERROR(INDEX(PP_Grid[#Data],$DE1210,44),0)</f>
        <v/>
      </c>
      <c r="AV1210">
        <f>IFERROR(INDEX(PP_Grid[#Data],$DE1210,45),0)</f>
        <v/>
      </c>
      <c r="AW1210">
        <f>IFERROR(INDEX(PP_Grid[#Data],$DE1210,46),0)</f>
        <v/>
      </c>
      <c r="AX1210">
        <f>IFERROR(INDEX(PP_Grid[#Data],$DE1210,47),0)</f>
        <v/>
      </c>
      <c r="AY1210">
        <f>IFERROR(INDEX(PP_Grid[#Data],$DE1210,48),0)</f>
        <v/>
      </c>
      <c r="AZ1210">
        <f>IFERROR(INDEX(PP_Grid[#Data],$DE1210,49),0)</f>
        <v/>
      </c>
      <c r="BA1210">
        <f>IFERROR(INDEX(PP_Grid[#Data],$DE1210,50),0)</f>
        <v/>
      </c>
      <c r="BB1210">
        <f>IFERROR(INDEX(PP_Grid[#Data],$DE1210,51),0)</f>
        <v/>
      </c>
      <c r="BC1210">
        <f>IFERROR(INDEX(PP_Grid[#Data],$DE1210,52),0)</f>
        <v/>
      </c>
      <c r="BD1210">
        <f>IFERROR(INDEX(PP_Grid[#Data],$DE1210,53),0)</f>
        <v/>
      </c>
      <c r="BE1210">
        <f>IFERROR(INDEX(PP_Grid[#Data],$DE1210,54),0)</f>
        <v/>
      </c>
      <c r="BF1210">
        <f>IFERROR(INDEX(PP_Grid[#Data],$DE1210,55),0)</f>
        <v/>
      </c>
      <c r="BG1210">
        <f>IFERROR(INDEX(PP_Grid[#Data],$DE1210,56),0)</f>
        <v/>
      </c>
      <c r="BH1210">
        <f>IFERROR(INDEX(PP_Grid[#Data],$DE1210,57),0)</f>
        <v/>
      </c>
      <c r="BI1210">
        <f>IFERROR(INDEX(PP_Grid[#Data],$DE1210,58),0)</f>
        <v/>
      </c>
      <c r="BJ1210">
        <f>IFERROR(INDEX(PP_Grid[#Data],$DE1210,59),0)</f>
        <v/>
      </c>
      <c r="BK1210">
        <f>IFERROR(INDEX(PP_Grid[#Data],$DE1210,60),0)</f>
        <v/>
      </c>
      <c r="BL1210">
        <f>IFERROR(INDEX(PP_Grid[#Data],$DE1210,61),0)</f>
        <v/>
      </c>
      <c r="BM1210">
        <f>IFERROR(INDEX(PP_Grid[#Data],$DE1210,62),0)</f>
        <v/>
      </c>
      <c r="BN1210">
        <f>IFERROR(INDEX(PP_Grid[#Data],$DE1210,63),0)</f>
        <v/>
      </c>
      <c r="BO1210">
        <f>IFERROR(INDEX(PP_Grid[#Data],$DE1210,64),0)</f>
        <v/>
      </c>
      <c r="BP1210">
        <f>IFERROR(INDEX(PP_Grid[#Data],$DE1210,65),0)</f>
        <v/>
      </c>
      <c r="BQ1210">
        <f>IFERROR(INDEX(PP_Grid[#Data],$DE1210,66),0)</f>
        <v/>
      </c>
      <c r="BR1210">
        <f>IFERROR(INDEX(PP_Grid[#Data],$DE1210,67),0)</f>
        <v/>
      </c>
      <c r="BS1210">
        <f>IFERROR(INDEX(PP_Grid[#Data],$DE1210,68),0)</f>
        <v/>
      </c>
      <c r="BT1210">
        <f>IFERROR(INDEX(PP_Grid[#Data],$DE1210,69),0)</f>
        <v/>
      </c>
      <c r="BU1210">
        <f>IFERROR(INDEX(PP_Grid[#Data],$DE1210,70),0)</f>
        <v/>
      </c>
      <c r="BV1210">
        <f>IFERROR(INDEX(PP_Grid[#Data],$DE1210,71),0)</f>
        <v/>
      </c>
      <c r="BW1210">
        <f>IFERROR(INDEX(PP_Grid[#Data],$DE1210,72),0)</f>
        <v/>
      </c>
      <c r="BX1210">
        <f>IFERROR(INDEX(PP_Grid[#Data],$DE1210,73),0)</f>
        <v/>
      </c>
      <c r="BY1210">
        <f>IFERROR(INDEX(PP_Grid[#Data],$DE1210,74),0)</f>
        <v/>
      </c>
      <c r="BZ1210">
        <f>IFERROR(INDEX(PP_Grid[#Data],$DE1210,75),0)</f>
        <v/>
      </c>
      <c r="CA1210">
        <f>IFERROR(INDEX(PP_Grid[#Data],$DE1210,76),0)</f>
        <v/>
      </c>
      <c r="CB1210">
        <f>IFERROR(INDEX(PP_Grid[#Data],$DE1210,77),0)</f>
        <v/>
      </c>
      <c r="CC1210">
        <f>IFERROR(INDEX(PP_Grid[#Data],$DE1210,78),0)</f>
        <v/>
      </c>
      <c r="CD1210">
        <f>IFERROR(INDEX(PP_Grid[#Data],$DE1210,79),0)</f>
        <v/>
      </c>
      <c r="CE1210">
        <f>IFERROR(INDEX(PP_Grid[#Data],$DE1210,80),0)</f>
        <v/>
      </c>
      <c r="CF1210">
        <f>IFERROR(INDEX(PP_Grid[#Data],$DE1210,81),0)</f>
        <v/>
      </c>
      <c r="CG1210">
        <f>IFERROR(INDEX(PP_Grid[#Data],$DE1210,82),0)</f>
        <v/>
      </c>
      <c r="CH1210">
        <f>IFERROR(INDEX(PP_Grid[#Data],$DE1210,83),0)</f>
        <v/>
      </c>
      <c r="CI1210">
        <f>IFERROR(INDEX(PP_Grid[#Data],$DE1210,84),0)</f>
        <v/>
      </c>
      <c r="CJ1210">
        <f>IFERROR(INDEX(PP_Grid[#Data],$DE1210,85),0)</f>
        <v/>
      </c>
      <c r="CK1210">
        <f>IFERROR(INDEX(PP_Grid[#Data],$DE1210,86),0)</f>
        <v/>
      </c>
      <c r="CL1210">
        <f>IFERROR(INDEX(PP_Grid[#Data],$DE1210,87),0)</f>
        <v/>
      </c>
      <c r="CM1210">
        <f>IFERROR(INDEX(PP_Grid[#Data],$DE1210,88),0)</f>
        <v/>
      </c>
      <c r="CN1210">
        <f>IFERROR(INDEX(PP_Grid[#Data],$DE1210,89),0)</f>
        <v/>
      </c>
      <c r="CO1210">
        <f>IFERROR(INDEX(PP_Grid[#Data],$DE1210,90),0)</f>
        <v/>
      </c>
      <c r="CP1210">
        <f>IFERROR(INDEX(PP_Grid[#Data],$DE1210,91),0)</f>
        <v/>
      </c>
      <c r="CQ1210">
        <f>IFERROR(INDEX(PP_Grid[#Data],$DE1210,92),0)</f>
        <v/>
      </c>
      <c r="CR1210">
        <f>IFERROR(INDEX(PP_Grid[#Data],$DE1210,93),0)</f>
        <v/>
      </c>
      <c r="CS1210">
        <f>IFERROR(INDEX(PP_Grid[#Data],$DE1210,94),0)</f>
        <v/>
      </c>
      <c r="CT1210">
        <f>IFERROR(INDEX(PP_Grid[#Data],$DE1210,95),0)</f>
        <v/>
      </c>
      <c r="CU1210">
        <f>IFERROR(INDEX(PP_Grid[#Data],$DE1210,96),0)</f>
        <v/>
      </c>
      <c r="CV1210">
        <f>IFERROR(INDEX(PP_Grid[#Data],$DE1210,97),0)</f>
        <v/>
      </c>
      <c r="CW1210">
        <f>IFERROR(INDEX(PP_Grid[#Data],$DE1210,98),0)</f>
        <v/>
      </c>
      <c r="CX1210">
        <f>IFERROR(INDEX(PP_Grid[#Data],$DE1210,99),0)</f>
        <v/>
      </c>
      <c r="CY1210">
        <f>IFERROR(INDEX(PP_Grid[#Data],$DE1210,100),0)</f>
        <v/>
      </c>
      <c r="CZ1210">
        <f>IFERROR(INDEX(PP_Grid[#Data],$DE1210,101),0)</f>
        <v/>
      </c>
      <c r="DA1210">
        <f>IFERROR(INDEX(PP_Grid[#Data],$DE1210,102),0)</f>
        <v/>
      </c>
      <c r="DB1210">
        <f>IFERROR(INDEX(PP_Grid[#Data],$DE1210,103),0)</f>
        <v/>
      </c>
      <c r="DC1210">
        <f>IFERROR(INDEX(PP_Grid[#Data],$DE1210,104),0)</f>
        <v/>
      </c>
      <c r="DD1210">
        <f>IFERROR(INDEX(PP_Grid[#Data],$DE1210,105),0)</f>
        <v/>
      </c>
      <c r="DE1210" s="7">
        <f>IFERROR(MATCH($B1210,PP_Grid[Intermediate],0),99999)</f>
        <v/>
      </c>
    </row>
    <row r="1211">
      <c r="B1211" t="inlineStr">
        <is>
          <t>使用量(kg)</t>
        </is>
      </c>
      <c r="C1211">
        <f>SUMIFS(M_BOM[RM_Qty_Per_Batch],M_BOM[Intermediate],$B1210,M_BOM[RM_Code],$A1205)</f>
        <v/>
      </c>
      <c r="D1211">
        <f>IFERROR(INDEX(E1211:DD1211,$F$1),"")</f>
        <v/>
      </c>
      <c r="E1211">
        <f>$C1211*E1210</f>
        <v/>
      </c>
      <c r="F1211">
        <f>$C1211*F1210</f>
        <v/>
      </c>
      <c r="G1211">
        <f>$C1211*G1210</f>
        <v/>
      </c>
      <c r="H1211">
        <f>$C1211*H1210</f>
        <v/>
      </c>
      <c r="I1211">
        <f>$C1211*I1210</f>
        <v/>
      </c>
      <c r="J1211">
        <f>$C1211*J1210</f>
        <v/>
      </c>
      <c r="K1211">
        <f>$C1211*K1210</f>
        <v/>
      </c>
      <c r="L1211">
        <f>$C1211*L1210</f>
        <v/>
      </c>
      <c r="M1211">
        <f>$C1211*M1210</f>
        <v/>
      </c>
      <c r="N1211">
        <f>$C1211*N1210</f>
        <v/>
      </c>
      <c r="O1211">
        <f>$C1211*O1210</f>
        <v/>
      </c>
      <c r="P1211">
        <f>$C1211*P1210</f>
        <v/>
      </c>
      <c r="Q1211">
        <f>$C1211*Q1210</f>
        <v/>
      </c>
      <c r="R1211">
        <f>$C1211*R1210</f>
        <v/>
      </c>
      <c r="S1211">
        <f>$C1211*S1210</f>
        <v/>
      </c>
      <c r="T1211">
        <f>$C1211*T1210</f>
        <v/>
      </c>
      <c r="U1211">
        <f>$C1211*U1210</f>
        <v/>
      </c>
      <c r="V1211">
        <f>$C1211*V1210</f>
        <v/>
      </c>
      <c r="W1211">
        <f>$C1211*W1210</f>
        <v/>
      </c>
      <c r="X1211">
        <f>$C1211*X1210</f>
        <v/>
      </c>
      <c r="Y1211">
        <f>$C1211*Y1210</f>
        <v/>
      </c>
      <c r="Z1211">
        <f>$C1211*Z1210</f>
        <v/>
      </c>
      <c r="AA1211">
        <f>$C1211*AA1210</f>
        <v/>
      </c>
      <c r="AB1211">
        <f>$C1211*AB1210</f>
        <v/>
      </c>
      <c r="AC1211">
        <f>$C1211*AC1210</f>
        <v/>
      </c>
      <c r="AD1211">
        <f>$C1211*AD1210</f>
        <v/>
      </c>
      <c r="AE1211">
        <f>$C1211*AE1210</f>
        <v/>
      </c>
      <c r="AF1211">
        <f>$C1211*AF1210</f>
        <v/>
      </c>
      <c r="AG1211">
        <f>$C1211*AG1210</f>
        <v/>
      </c>
      <c r="AH1211">
        <f>$C1211*AH1210</f>
        <v/>
      </c>
      <c r="AI1211">
        <f>$C1211*AI1210</f>
        <v/>
      </c>
      <c r="AJ1211">
        <f>$C1211*AJ1210</f>
        <v/>
      </c>
      <c r="AK1211">
        <f>$C1211*AK1210</f>
        <v/>
      </c>
      <c r="AL1211">
        <f>$C1211*AL1210</f>
        <v/>
      </c>
      <c r="AM1211">
        <f>$C1211*AM1210</f>
        <v/>
      </c>
      <c r="AN1211">
        <f>$C1211*AN1210</f>
        <v/>
      </c>
      <c r="AO1211">
        <f>$C1211*AO1210</f>
        <v/>
      </c>
      <c r="AP1211">
        <f>$C1211*AP1210</f>
        <v/>
      </c>
      <c r="AQ1211">
        <f>$C1211*AQ1210</f>
        <v/>
      </c>
      <c r="AR1211">
        <f>$C1211*AR1210</f>
        <v/>
      </c>
      <c r="AS1211">
        <f>$C1211*AS1210</f>
        <v/>
      </c>
      <c r="AT1211">
        <f>$C1211*AT1210</f>
        <v/>
      </c>
      <c r="AU1211">
        <f>$C1211*AU1210</f>
        <v/>
      </c>
      <c r="AV1211">
        <f>$C1211*AV1210</f>
        <v/>
      </c>
      <c r="AW1211">
        <f>$C1211*AW1210</f>
        <v/>
      </c>
      <c r="AX1211">
        <f>$C1211*AX1210</f>
        <v/>
      </c>
      <c r="AY1211">
        <f>$C1211*AY1210</f>
        <v/>
      </c>
      <c r="AZ1211">
        <f>$C1211*AZ1210</f>
        <v/>
      </c>
      <c r="BA1211">
        <f>$C1211*BA1210</f>
        <v/>
      </c>
      <c r="BB1211">
        <f>$C1211*BB1210</f>
        <v/>
      </c>
      <c r="BC1211">
        <f>$C1211*BC1210</f>
        <v/>
      </c>
      <c r="BD1211">
        <f>$C1211*BD1210</f>
        <v/>
      </c>
      <c r="BE1211">
        <f>$C1211*BE1210</f>
        <v/>
      </c>
      <c r="BF1211">
        <f>$C1211*BF1210</f>
        <v/>
      </c>
      <c r="BG1211">
        <f>$C1211*BG1210</f>
        <v/>
      </c>
      <c r="BH1211">
        <f>$C1211*BH1210</f>
        <v/>
      </c>
      <c r="BI1211">
        <f>$C1211*BI1210</f>
        <v/>
      </c>
      <c r="BJ1211">
        <f>$C1211*BJ1210</f>
        <v/>
      </c>
      <c r="BK1211">
        <f>$C1211*BK1210</f>
        <v/>
      </c>
      <c r="BL1211">
        <f>$C1211*BL1210</f>
        <v/>
      </c>
      <c r="BM1211">
        <f>$C1211*BM1210</f>
        <v/>
      </c>
      <c r="BN1211">
        <f>$C1211*BN1210</f>
        <v/>
      </c>
      <c r="BO1211">
        <f>$C1211*BO1210</f>
        <v/>
      </c>
      <c r="BP1211">
        <f>$C1211*BP1210</f>
        <v/>
      </c>
      <c r="BQ1211">
        <f>$C1211*BQ1210</f>
        <v/>
      </c>
      <c r="BR1211">
        <f>$C1211*BR1210</f>
        <v/>
      </c>
      <c r="BS1211">
        <f>$C1211*BS1210</f>
        <v/>
      </c>
      <c r="BT1211">
        <f>$C1211*BT1210</f>
        <v/>
      </c>
      <c r="BU1211">
        <f>$C1211*BU1210</f>
        <v/>
      </c>
      <c r="BV1211">
        <f>$C1211*BV1210</f>
        <v/>
      </c>
      <c r="BW1211">
        <f>$C1211*BW1210</f>
        <v/>
      </c>
      <c r="BX1211">
        <f>$C1211*BX1210</f>
        <v/>
      </c>
      <c r="BY1211">
        <f>$C1211*BY1210</f>
        <v/>
      </c>
      <c r="BZ1211">
        <f>$C1211*BZ1210</f>
        <v/>
      </c>
      <c r="CA1211">
        <f>$C1211*CA1210</f>
        <v/>
      </c>
      <c r="CB1211">
        <f>$C1211*CB1210</f>
        <v/>
      </c>
      <c r="CC1211">
        <f>$C1211*CC1210</f>
        <v/>
      </c>
      <c r="CD1211">
        <f>$C1211*CD1210</f>
        <v/>
      </c>
      <c r="CE1211">
        <f>$C1211*CE1210</f>
        <v/>
      </c>
      <c r="CF1211">
        <f>$C1211*CF1210</f>
        <v/>
      </c>
      <c r="CG1211">
        <f>$C1211*CG1210</f>
        <v/>
      </c>
      <c r="CH1211">
        <f>$C1211*CH1210</f>
        <v/>
      </c>
      <c r="CI1211">
        <f>$C1211*CI1210</f>
        <v/>
      </c>
      <c r="CJ1211">
        <f>$C1211*CJ1210</f>
        <v/>
      </c>
      <c r="CK1211">
        <f>$C1211*CK1210</f>
        <v/>
      </c>
      <c r="CL1211">
        <f>$C1211*CL1210</f>
        <v/>
      </c>
      <c r="CM1211">
        <f>$C1211*CM1210</f>
        <v/>
      </c>
      <c r="CN1211">
        <f>$C1211*CN1210</f>
        <v/>
      </c>
      <c r="CO1211">
        <f>$C1211*CO1210</f>
        <v/>
      </c>
      <c r="CP1211">
        <f>$C1211*CP1210</f>
        <v/>
      </c>
      <c r="CQ1211">
        <f>$C1211*CQ1210</f>
        <v/>
      </c>
      <c r="CR1211">
        <f>$C1211*CR1210</f>
        <v/>
      </c>
      <c r="CS1211">
        <f>$C1211*CS1210</f>
        <v/>
      </c>
      <c r="CT1211">
        <f>$C1211*CT1210</f>
        <v/>
      </c>
      <c r="CU1211">
        <f>$C1211*CU1210</f>
        <v/>
      </c>
      <c r="CV1211">
        <f>$C1211*CV1210</f>
        <v/>
      </c>
      <c r="CW1211">
        <f>$C1211*CW1210</f>
        <v/>
      </c>
      <c r="CX1211">
        <f>$C1211*CX1210</f>
        <v/>
      </c>
      <c r="CY1211">
        <f>$C1211*CY1210</f>
        <v/>
      </c>
      <c r="CZ1211">
        <f>$C1211*CZ1210</f>
        <v/>
      </c>
      <c r="DA1211">
        <f>$C1211*DA1210</f>
        <v/>
      </c>
      <c r="DB1211">
        <f>$C1211*DB1210</f>
        <v/>
      </c>
      <c r="DC1211">
        <f>$C1211*DC1210</f>
        <v/>
      </c>
      <c r="DD1211">
        <f>$C1211*DD1210</f>
        <v/>
      </c>
    </row>
    <row r="1212">
      <c r="B1212" t="inlineStr">
        <is>
          <t>TSP-405</t>
        </is>
      </c>
      <c r="C1212" t="inlineStr">
        <is>
          <t>No. of batches</t>
        </is>
      </c>
      <c r="D1212">
        <f>IFERROR(INDEX(E1212:DD1212,$F$1),"")</f>
        <v/>
      </c>
      <c r="E1212">
        <f>IFERROR(INDEX(PP_Grid[#Data],$DE1212,2),0)</f>
        <v/>
      </c>
      <c r="F1212">
        <f>IFERROR(INDEX(PP_Grid[#Data],$DE1212,3),0)</f>
        <v/>
      </c>
      <c r="G1212">
        <f>IFERROR(INDEX(PP_Grid[#Data],$DE1212,4),0)</f>
        <v/>
      </c>
      <c r="H1212">
        <f>IFERROR(INDEX(PP_Grid[#Data],$DE1212,5),0)</f>
        <v/>
      </c>
      <c r="I1212">
        <f>IFERROR(INDEX(PP_Grid[#Data],$DE1212,6),0)</f>
        <v/>
      </c>
      <c r="J1212">
        <f>IFERROR(INDEX(PP_Grid[#Data],$DE1212,7),0)</f>
        <v/>
      </c>
      <c r="K1212">
        <f>IFERROR(INDEX(PP_Grid[#Data],$DE1212,8),0)</f>
        <v/>
      </c>
      <c r="L1212">
        <f>IFERROR(INDEX(PP_Grid[#Data],$DE1212,9),0)</f>
        <v/>
      </c>
      <c r="M1212">
        <f>IFERROR(INDEX(PP_Grid[#Data],$DE1212,10),0)</f>
        <v/>
      </c>
      <c r="N1212">
        <f>IFERROR(INDEX(PP_Grid[#Data],$DE1212,11),0)</f>
        <v/>
      </c>
      <c r="O1212">
        <f>IFERROR(INDEX(PP_Grid[#Data],$DE1212,12),0)</f>
        <v/>
      </c>
      <c r="P1212">
        <f>IFERROR(INDEX(PP_Grid[#Data],$DE1212,13),0)</f>
        <v/>
      </c>
      <c r="Q1212">
        <f>IFERROR(INDEX(PP_Grid[#Data],$DE1212,14),0)</f>
        <v/>
      </c>
      <c r="R1212">
        <f>IFERROR(INDEX(PP_Grid[#Data],$DE1212,15),0)</f>
        <v/>
      </c>
      <c r="S1212">
        <f>IFERROR(INDEX(PP_Grid[#Data],$DE1212,16),0)</f>
        <v/>
      </c>
      <c r="T1212">
        <f>IFERROR(INDEX(PP_Grid[#Data],$DE1212,17),0)</f>
        <v/>
      </c>
      <c r="U1212">
        <f>IFERROR(INDEX(PP_Grid[#Data],$DE1212,18),0)</f>
        <v/>
      </c>
      <c r="V1212">
        <f>IFERROR(INDEX(PP_Grid[#Data],$DE1212,19),0)</f>
        <v/>
      </c>
      <c r="W1212">
        <f>IFERROR(INDEX(PP_Grid[#Data],$DE1212,20),0)</f>
        <v/>
      </c>
      <c r="X1212">
        <f>IFERROR(INDEX(PP_Grid[#Data],$DE1212,21),0)</f>
        <v/>
      </c>
      <c r="Y1212">
        <f>IFERROR(INDEX(PP_Grid[#Data],$DE1212,22),0)</f>
        <v/>
      </c>
      <c r="Z1212">
        <f>IFERROR(INDEX(PP_Grid[#Data],$DE1212,23),0)</f>
        <v/>
      </c>
      <c r="AA1212">
        <f>IFERROR(INDEX(PP_Grid[#Data],$DE1212,24),0)</f>
        <v/>
      </c>
      <c r="AB1212">
        <f>IFERROR(INDEX(PP_Grid[#Data],$DE1212,25),0)</f>
        <v/>
      </c>
      <c r="AC1212">
        <f>IFERROR(INDEX(PP_Grid[#Data],$DE1212,26),0)</f>
        <v/>
      </c>
      <c r="AD1212">
        <f>IFERROR(INDEX(PP_Grid[#Data],$DE1212,27),0)</f>
        <v/>
      </c>
      <c r="AE1212">
        <f>IFERROR(INDEX(PP_Grid[#Data],$DE1212,28),0)</f>
        <v/>
      </c>
      <c r="AF1212">
        <f>IFERROR(INDEX(PP_Grid[#Data],$DE1212,29),0)</f>
        <v/>
      </c>
      <c r="AG1212">
        <f>IFERROR(INDEX(PP_Grid[#Data],$DE1212,30),0)</f>
        <v/>
      </c>
      <c r="AH1212">
        <f>IFERROR(INDEX(PP_Grid[#Data],$DE1212,31),0)</f>
        <v/>
      </c>
      <c r="AI1212">
        <f>IFERROR(INDEX(PP_Grid[#Data],$DE1212,32),0)</f>
        <v/>
      </c>
      <c r="AJ1212">
        <f>IFERROR(INDEX(PP_Grid[#Data],$DE1212,33),0)</f>
        <v/>
      </c>
      <c r="AK1212">
        <f>IFERROR(INDEX(PP_Grid[#Data],$DE1212,34),0)</f>
        <v/>
      </c>
      <c r="AL1212">
        <f>IFERROR(INDEX(PP_Grid[#Data],$DE1212,35),0)</f>
        <v/>
      </c>
      <c r="AM1212">
        <f>IFERROR(INDEX(PP_Grid[#Data],$DE1212,36),0)</f>
        <v/>
      </c>
      <c r="AN1212">
        <f>IFERROR(INDEX(PP_Grid[#Data],$DE1212,37),0)</f>
        <v/>
      </c>
      <c r="AO1212">
        <f>IFERROR(INDEX(PP_Grid[#Data],$DE1212,38),0)</f>
        <v/>
      </c>
      <c r="AP1212">
        <f>IFERROR(INDEX(PP_Grid[#Data],$DE1212,39),0)</f>
        <v/>
      </c>
      <c r="AQ1212">
        <f>IFERROR(INDEX(PP_Grid[#Data],$DE1212,40),0)</f>
        <v/>
      </c>
      <c r="AR1212">
        <f>IFERROR(INDEX(PP_Grid[#Data],$DE1212,41),0)</f>
        <v/>
      </c>
      <c r="AS1212">
        <f>IFERROR(INDEX(PP_Grid[#Data],$DE1212,42),0)</f>
        <v/>
      </c>
      <c r="AT1212">
        <f>IFERROR(INDEX(PP_Grid[#Data],$DE1212,43),0)</f>
        <v/>
      </c>
      <c r="AU1212">
        <f>IFERROR(INDEX(PP_Grid[#Data],$DE1212,44),0)</f>
        <v/>
      </c>
      <c r="AV1212">
        <f>IFERROR(INDEX(PP_Grid[#Data],$DE1212,45),0)</f>
        <v/>
      </c>
      <c r="AW1212">
        <f>IFERROR(INDEX(PP_Grid[#Data],$DE1212,46),0)</f>
        <v/>
      </c>
      <c r="AX1212">
        <f>IFERROR(INDEX(PP_Grid[#Data],$DE1212,47),0)</f>
        <v/>
      </c>
      <c r="AY1212">
        <f>IFERROR(INDEX(PP_Grid[#Data],$DE1212,48),0)</f>
        <v/>
      </c>
      <c r="AZ1212">
        <f>IFERROR(INDEX(PP_Grid[#Data],$DE1212,49),0)</f>
        <v/>
      </c>
      <c r="BA1212">
        <f>IFERROR(INDEX(PP_Grid[#Data],$DE1212,50),0)</f>
        <v/>
      </c>
      <c r="BB1212">
        <f>IFERROR(INDEX(PP_Grid[#Data],$DE1212,51),0)</f>
        <v/>
      </c>
      <c r="BC1212">
        <f>IFERROR(INDEX(PP_Grid[#Data],$DE1212,52),0)</f>
        <v/>
      </c>
      <c r="BD1212">
        <f>IFERROR(INDEX(PP_Grid[#Data],$DE1212,53),0)</f>
        <v/>
      </c>
      <c r="BE1212">
        <f>IFERROR(INDEX(PP_Grid[#Data],$DE1212,54),0)</f>
        <v/>
      </c>
      <c r="BF1212">
        <f>IFERROR(INDEX(PP_Grid[#Data],$DE1212,55),0)</f>
        <v/>
      </c>
      <c r="BG1212">
        <f>IFERROR(INDEX(PP_Grid[#Data],$DE1212,56),0)</f>
        <v/>
      </c>
      <c r="BH1212">
        <f>IFERROR(INDEX(PP_Grid[#Data],$DE1212,57),0)</f>
        <v/>
      </c>
      <c r="BI1212">
        <f>IFERROR(INDEX(PP_Grid[#Data],$DE1212,58),0)</f>
        <v/>
      </c>
      <c r="BJ1212">
        <f>IFERROR(INDEX(PP_Grid[#Data],$DE1212,59),0)</f>
        <v/>
      </c>
      <c r="BK1212">
        <f>IFERROR(INDEX(PP_Grid[#Data],$DE1212,60),0)</f>
        <v/>
      </c>
      <c r="BL1212">
        <f>IFERROR(INDEX(PP_Grid[#Data],$DE1212,61),0)</f>
        <v/>
      </c>
      <c r="BM1212">
        <f>IFERROR(INDEX(PP_Grid[#Data],$DE1212,62),0)</f>
        <v/>
      </c>
      <c r="BN1212">
        <f>IFERROR(INDEX(PP_Grid[#Data],$DE1212,63),0)</f>
        <v/>
      </c>
      <c r="BO1212">
        <f>IFERROR(INDEX(PP_Grid[#Data],$DE1212,64),0)</f>
        <v/>
      </c>
      <c r="BP1212">
        <f>IFERROR(INDEX(PP_Grid[#Data],$DE1212,65),0)</f>
        <v/>
      </c>
      <c r="BQ1212">
        <f>IFERROR(INDEX(PP_Grid[#Data],$DE1212,66),0)</f>
        <v/>
      </c>
      <c r="BR1212">
        <f>IFERROR(INDEX(PP_Grid[#Data],$DE1212,67),0)</f>
        <v/>
      </c>
      <c r="BS1212">
        <f>IFERROR(INDEX(PP_Grid[#Data],$DE1212,68),0)</f>
        <v/>
      </c>
      <c r="BT1212">
        <f>IFERROR(INDEX(PP_Grid[#Data],$DE1212,69),0)</f>
        <v/>
      </c>
      <c r="BU1212">
        <f>IFERROR(INDEX(PP_Grid[#Data],$DE1212,70),0)</f>
        <v/>
      </c>
      <c r="BV1212">
        <f>IFERROR(INDEX(PP_Grid[#Data],$DE1212,71),0)</f>
        <v/>
      </c>
      <c r="BW1212">
        <f>IFERROR(INDEX(PP_Grid[#Data],$DE1212,72),0)</f>
        <v/>
      </c>
      <c r="BX1212">
        <f>IFERROR(INDEX(PP_Grid[#Data],$DE1212,73),0)</f>
        <v/>
      </c>
      <c r="BY1212">
        <f>IFERROR(INDEX(PP_Grid[#Data],$DE1212,74),0)</f>
        <v/>
      </c>
      <c r="BZ1212">
        <f>IFERROR(INDEX(PP_Grid[#Data],$DE1212,75),0)</f>
        <v/>
      </c>
      <c r="CA1212">
        <f>IFERROR(INDEX(PP_Grid[#Data],$DE1212,76),0)</f>
        <v/>
      </c>
      <c r="CB1212">
        <f>IFERROR(INDEX(PP_Grid[#Data],$DE1212,77),0)</f>
        <v/>
      </c>
      <c r="CC1212">
        <f>IFERROR(INDEX(PP_Grid[#Data],$DE1212,78),0)</f>
        <v/>
      </c>
      <c r="CD1212">
        <f>IFERROR(INDEX(PP_Grid[#Data],$DE1212,79),0)</f>
        <v/>
      </c>
      <c r="CE1212">
        <f>IFERROR(INDEX(PP_Grid[#Data],$DE1212,80),0)</f>
        <v/>
      </c>
      <c r="CF1212">
        <f>IFERROR(INDEX(PP_Grid[#Data],$DE1212,81),0)</f>
        <v/>
      </c>
      <c r="CG1212">
        <f>IFERROR(INDEX(PP_Grid[#Data],$DE1212,82),0)</f>
        <v/>
      </c>
      <c r="CH1212">
        <f>IFERROR(INDEX(PP_Grid[#Data],$DE1212,83),0)</f>
        <v/>
      </c>
      <c r="CI1212">
        <f>IFERROR(INDEX(PP_Grid[#Data],$DE1212,84),0)</f>
        <v/>
      </c>
      <c r="CJ1212">
        <f>IFERROR(INDEX(PP_Grid[#Data],$DE1212,85),0)</f>
        <v/>
      </c>
      <c r="CK1212">
        <f>IFERROR(INDEX(PP_Grid[#Data],$DE1212,86),0)</f>
        <v/>
      </c>
      <c r="CL1212">
        <f>IFERROR(INDEX(PP_Grid[#Data],$DE1212,87),0)</f>
        <v/>
      </c>
      <c r="CM1212">
        <f>IFERROR(INDEX(PP_Grid[#Data],$DE1212,88),0)</f>
        <v/>
      </c>
      <c r="CN1212">
        <f>IFERROR(INDEX(PP_Grid[#Data],$DE1212,89),0)</f>
        <v/>
      </c>
      <c r="CO1212">
        <f>IFERROR(INDEX(PP_Grid[#Data],$DE1212,90),0)</f>
        <v/>
      </c>
      <c r="CP1212">
        <f>IFERROR(INDEX(PP_Grid[#Data],$DE1212,91),0)</f>
        <v/>
      </c>
      <c r="CQ1212">
        <f>IFERROR(INDEX(PP_Grid[#Data],$DE1212,92),0)</f>
        <v/>
      </c>
      <c r="CR1212">
        <f>IFERROR(INDEX(PP_Grid[#Data],$DE1212,93),0)</f>
        <v/>
      </c>
      <c r="CS1212">
        <f>IFERROR(INDEX(PP_Grid[#Data],$DE1212,94),0)</f>
        <v/>
      </c>
      <c r="CT1212">
        <f>IFERROR(INDEX(PP_Grid[#Data],$DE1212,95),0)</f>
        <v/>
      </c>
      <c r="CU1212">
        <f>IFERROR(INDEX(PP_Grid[#Data],$DE1212,96),0)</f>
        <v/>
      </c>
      <c r="CV1212">
        <f>IFERROR(INDEX(PP_Grid[#Data],$DE1212,97),0)</f>
        <v/>
      </c>
      <c r="CW1212">
        <f>IFERROR(INDEX(PP_Grid[#Data],$DE1212,98),0)</f>
        <v/>
      </c>
      <c r="CX1212">
        <f>IFERROR(INDEX(PP_Grid[#Data],$DE1212,99),0)</f>
        <v/>
      </c>
      <c r="CY1212">
        <f>IFERROR(INDEX(PP_Grid[#Data],$DE1212,100),0)</f>
        <v/>
      </c>
      <c r="CZ1212">
        <f>IFERROR(INDEX(PP_Grid[#Data],$DE1212,101),0)</f>
        <v/>
      </c>
      <c r="DA1212">
        <f>IFERROR(INDEX(PP_Grid[#Data],$DE1212,102),0)</f>
        <v/>
      </c>
      <c r="DB1212">
        <f>IFERROR(INDEX(PP_Grid[#Data],$DE1212,103),0)</f>
        <v/>
      </c>
      <c r="DC1212">
        <f>IFERROR(INDEX(PP_Grid[#Data],$DE1212,104),0)</f>
        <v/>
      </c>
      <c r="DD1212">
        <f>IFERROR(INDEX(PP_Grid[#Data],$DE1212,105),0)</f>
        <v/>
      </c>
      <c r="DE1212" s="7">
        <f>IFERROR(MATCH($B1212,PP_Grid[Intermediate],0),99999)</f>
        <v/>
      </c>
    </row>
    <row r="1213">
      <c r="B1213" t="inlineStr">
        <is>
          <t>使用量(kg)</t>
        </is>
      </c>
      <c r="C1213">
        <f>SUMIFS(M_BOM[RM_Qty_Per_Batch],M_BOM[Intermediate],$B1212,M_BOM[RM_Code],$A1205)</f>
        <v/>
      </c>
      <c r="D1213">
        <f>IFERROR(INDEX(E1213:DD1213,$F$1),"")</f>
        <v/>
      </c>
      <c r="E1213">
        <f>$C1213*E1212</f>
        <v/>
      </c>
      <c r="F1213">
        <f>$C1213*F1212</f>
        <v/>
      </c>
      <c r="G1213">
        <f>$C1213*G1212</f>
        <v/>
      </c>
      <c r="H1213">
        <f>$C1213*H1212</f>
        <v/>
      </c>
      <c r="I1213">
        <f>$C1213*I1212</f>
        <v/>
      </c>
      <c r="J1213">
        <f>$C1213*J1212</f>
        <v/>
      </c>
      <c r="K1213">
        <f>$C1213*K1212</f>
        <v/>
      </c>
      <c r="L1213">
        <f>$C1213*L1212</f>
        <v/>
      </c>
      <c r="M1213">
        <f>$C1213*M1212</f>
        <v/>
      </c>
      <c r="N1213">
        <f>$C1213*N1212</f>
        <v/>
      </c>
      <c r="O1213">
        <f>$C1213*O1212</f>
        <v/>
      </c>
      <c r="P1213">
        <f>$C1213*P1212</f>
        <v/>
      </c>
      <c r="Q1213">
        <f>$C1213*Q1212</f>
        <v/>
      </c>
      <c r="R1213">
        <f>$C1213*R1212</f>
        <v/>
      </c>
      <c r="S1213">
        <f>$C1213*S1212</f>
        <v/>
      </c>
      <c r="T1213">
        <f>$C1213*T1212</f>
        <v/>
      </c>
      <c r="U1213">
        <f>$C1213*U1212</f>
        <v/>
      </c>
      <c r="V1213">
        <f>$C1213*V1212</f>
        <v/>
      </c>
      <c r="W1213">
        <f>$C1213*W1212</f>
        <v/>
      </c>
      <c r="X1213">
        <f>$C1213*X1212</f>
        <v/>
      </c>
      <c r="Y1213">
        <f>$C1213*Y1212</f>
        <v/>
      </c>
      <c r="Z1213">
        <f>$C1213*Z1212</f>
        <v/>
      </c>
      <c r="AA1213">
        <f>$C1213*AA1212</f>
        <v/>
      </c>
      <c r="AB1213">
        <f>$C1213*AB1212</f>
        <v/>
      </c>
      <c r="AC1213">
        <f>$C1213*AC1212</f>
        <v/>
      </c>
      <c r="AD1213">
        <f>$C1213*AD1212</f>
        <v/>
      </c>
      <c r="AE1213">
        <f>$C1213*AE1212</f>
        <v/>
      </c>
      <c r="AF1213">
        <f>$C1213*AF1212</f>
        <v/>
      </c>
      <c r="AG1213">
        <f>$C1213*AG1212</f>
        <v/>
      </c>
      <c r="AH1213">
        <f>$C1213*AH1212</f>
        <v/>
      </c>
      <c r="AI1213">
        <f>$C1213*AI1212</f>
        <v/>
      </c>
      <c r="AJ1213">
        <f>$C1213*AJ1212</f>
        <v/>
      </c>
      <c r="AK1213">
        <f>$C1213*AK1212</f>
        <v/>
      </c>
      <c r="AL1213">
        <f>$C1213*AL1212</f>
        <v/>
      </c>
      <c r="AM1213">
        <f>$C1213*AM1212</f>
        <v/>
      </c>
      <c r="AN1213">
        <f>$C1213*AN1212</f>
        <v/>
      </c>
      <c r="AO1213">
        <f>$C1213*AO1212</f>
        <v/>
      </c>
      <c r="AP1213">
        <f>$C1213*AP1212</f>
        <v/>
      </c>
      <c r="AQ1213">
        <f>$C1213*AQ1212</f>
        <v/>
      </c>
      <c r="AR1213">
        <f>$C1213*AR1212</f>
        <v/>
      </c>
      <c r="AS1213">
        <f>$C1213*AS1212</f>
        <v/>
      </c>
      <c r="AT1213">
        <f>$C1213*AT1212</f>
        <v/>
      </c>
      <c r="AU1213">
        <f>$C1213*AU1212</f>
        <v/>
      </c>
      <c r="AV1213">
        <f>$C1213*AV1212</f>
        <v/>
      </c>
      <c r="AW1213">
        <f>$C1213*AW1212</f>
        <v/>
      </c>
      <c r="AX1213">
        <f>$C1213*AX1212</f>
        <v/>
      </c>
      <c r="AY1213">
        <f>$C1213*AY1212</f>
        <v/>
      </c>
      <c r="AZ1213">
        <f>$C1213*AZ1212</f>
        <v/>
      </c>
      <c r="BA1213">
        <f>$C1213*BA1212</f>
        <v/>
      </c>
      <c r="BB1213">
        <f>$C1213*BB1212</f>
        <v/>
      </c>
      <c r="BC1213">
        <f>$C1213*BC1212</f>
        <v/>
      </c>
      <c r="BD1213">
        <f>$C1213*BD1212</f>
        <v/>
      </c>
      <c r="BE1213">
        <f>$C1213*BE1212</f>
        <v/>
      </c>
      <c r="BF1213">
        <f>$C1213*BF1212</f>
        <v/>
      </c>
      <c r="BG1213">
        <f>$C1213*BG1212</f>
        <v/>
      </c>
      <c r="BH1213">
        <f>$C1213*BH1212</f>
        <v/>
      </c>
      <c r="BI1213">
        <f>$C1213*BI1212</f>
        <v/>
      </c>
      <c r="BJ1213">
        <f>$C1213*BJ1212</f>
        <v/>
      </c>
      <c r="BK1213">
        <f>$C1213*BK1212</f>
        <v/>
      </c>
      <c r="BL1213">
        <f>$C1213*BL1212</f>
        <v/>
      </c>
      <c r="BM1213">
        <f>$C1213*BM1212</f>
        <v/>
      </c>
      <c r="BN1213">
        <f>$C1213*BN1212</f>
        <v/>
      </c>
      <c r="BO1213">
        <f>$C1213*BO1212</f>
        <v/>
      </c>
      <c r="BP1213">
        <f>$C1213*BP1212</f>
        <v/>
      </c>
      <c r="BQ1213">
        <f>$C1213*BQ1212</f>
        <v/>
      </c>
      <c r="BR1213">
        <f>$C1213*BR1212</f>
        <v/>
      </c>
      <c r="BS1213">
        <f>$C1213*BS1212</f>
        <v/>
      </c>
      <c r="BT1213">
        <f>$C1213*BT1212</f>
        <v/>
      </c>
      <c r="BU1213">
        <f>$C1213*BU1212</f>
        <v/>
      </c>
      <c r="BV1213">
        <f>$C1213*BV1212</f>
        <v/>
      </c>
      <c r="BW1213">
        <f>$C1213*BW1212</f>
        <v/>
      </c>
      <c r="BX1213">
        <f>$C1213*BX1212</f>
        <v/>
      </c>
      <c r="BY1213">
        <f>$C1213*BY1212</f>
        <v/>
      </c>
      <c r="BZ1213">
        <f>$C1213*BZ1212</f>
        <v/>
      </c>
      <c r="CA1213">
        <f>$C1213*CA1212</f>
        <v/>
      </c>
      <c r="CB1213">
        <f>$C1213*CB1212</f>
        <v/>
      </c>
      <c r="CC1213">
        <f>$C1213*CC1212</f>
        <v/>
      </c>
      <c r="CD1213">
        <f>$C1213*CD1212</f>
        <v/>
      </c>
      <c r="CE1213">
        <f>$C1213*CE1212</f>
        <v/>
      </c>
      <c r="CF1213">
        <f>$C1213*CF1212</f>
        <v/>
      </c>
      <c r="CG1213">
        <f>$C1213*CG1212</f>
        <v/>
      </c>
      <c r="CH1213">
        <f>$C1213*CH1212</f>
        <v/>
      </c>
      <c r="CI1213">
        <f>$C1213*CI1212</f>
        <v/>
      </c>
      <c r="CJ1213">
        <f>$C1213*CJ1212</f>
        <v/>
      </c>
      <c r="CK1213">
        <f>$C1213*CK1212</f>
        <v/>
      </c>
      <c r="CL1213">
        <f>$C1213*CL1212</f>
        <v/>
      </c>
      <c r="CM1213">
        <f>$C1213*CM1212</f>
        <v/>
      </c>
      <c r="CN1213">
        <f>$C1213*CN1212</f>
        <v/>
      </c>
      <c r="CO1213">
        <f>$C1213*CO1212</f>
        <v/>
      </c>
      <c r="CP1213">
        <f>$C1213*CP1212</f>
        <v/>
      </c>
      <c r="CQ1213">
        <f>$C1213*CQ1212</f>
        <v/>
      </c>
      <c r="CR1213">
        <f>$C1213*CR1212</f>
        <v/>
      </c>
      <c r="CS1213">
        <f>$C1213*CS1212</f>
        <v/>
      </c>
      <c r="CT1213">
        <f>$C1213*CT1212</f>
        <v/>
      </c>
      <c r="CU1213">
        <f>$C1213*CU1212</f>
        <v/>
      </c>
      <c r="CV1213">
        <f>$C1213*CV1212</f>
        <v/>
      </c>
      <c r="CW1213">
        <f>$C1213*CW1212</f>
        <v/>
      </c>
      <c r="CX1213">
        <f>$C1213*CX1212</f>
        <v/>
      </c>
      <c r="CY1213">
        <f>$C1213*CY1212</f>
        <v/>
      </c>
      <c r="CZ1213">
        <f>$C1213*CZ1212</f>
        <v/>
      </c>
      <c r="DA1213">
        <f>$C1213*DA1212</f>
        <v/>
      </c>
      <c r="DB1213">
        <f>$C1213*DB1212</f>
        <v/>
      </c>
      <c r="DC1213">
        <f>$C1213*DC1212</f>
        <v/>
      </c>
      <c r="DD1213">
        <f>$C1213*DD1212</f>
        <v/>
      </c>
    </row>
    <row r="1214">
      <c r="B1214" s="4" t="inlineStr">
        <is>
          <t>合計使用量(kg)/週</t>
        </is>
      </c>
      <c r="D1214" s="22">
        <f>IFERROR(INDEX(E1214:DD1214,$F$1),"")</f>
        <v/>
      </c>
      <c r="E1214">
        <f>'Grid_Requirement'!B54</f>
        <v/>
      </c>
      <c r="F1214">
        <f>'Grid_Requirement'!C54</f>
        <v/>
      </c>
      <c r="G1214">
        <f>'Grid_Requirement'!D54</f>
        <v/>
      </c>
      <c r="H1214">
        <f>'Grid_Requirement'!E54</f>
        <v/>
      </c>
      <c r="I1214">
        <f>'Grid_Requirement'!F54</f>
        <v/>
      </c>
      <c r="J1214">
        <f>'Grid_Requirement'!G54</f>
        <v/>
      </c>
      <c r="K1214">
        <f>'Grid_Requirement'!H54</f>
        <v/>
      </c>
      <c r="L1214">
        <f>'Grid_Requirement'!I54</f>
        <v/>
      </c>
      <c r="M1214">
        <f>'Grid_Requirement'!J54</f>
        <v/>
      </c>
      <c r="N1214">
        <f>'Grid_Requirement'!K54</f>
        <v/>
      </c>
      <c r="O1214">
        <f>'Grid_Requirement'!L54</f>
        <v/>
      </c>
      <c r="P1214">
        <f>'Grid_Requirement'!M54</f>
        <v/>
      </c>
      <c r="Q1214">
        <f>'Grid_Requirement'!N54</f>
        <v/>
      </c>
      <c r="R1214">
        <f>'Grid_Requirement'!O54</f>
        <v/>
      </c>
      <c r="S1214">
        <f>'Grid_Requirement'!P54</f>
        <v/>
      </c>
      <c r="T1214">
        <f>'Grid_Requirement'!Q54</f>
        <v/>
      </c>
      <c r="U1214">
        <f>'Grid_Requirement'!R54</f>
        <v/>
      </c>
      <c r="V1214">
        <f>'Grid_Requirement'!S54</f>
        <v/>
      </c>
      <c r="W1214">
        <f>'Grid_Requirement'!T54</f>
        <v/>
      </c>
      <c r="X1214">
        <f>'Grid_Requirement'!U54</f>
        <v/>
      </c>
      <c r="Y1214">
        <f>'Grid_Requirement'!V54</f>
        <v/>
      </c>
      <c r="Z1214">
        <f>'Grid_Requirement'!W54</f>
        <v/>
      </c>
      <c r="AA1214">
        <f>'Grid_Requirement'!X54</f>
        <v/>
      </c>
      <c r="AB1214">
        <f>'Grid_Requirement'!Y54</f>
        <v/>
      </c>
      <c r="AC1214">
        <f>'Grid_Requirement'!Z54</f>
        <v/>
      </c>
      <c r="AD1214">
        <f>'Grid_Requirement'!AA54</f>
        <v/>
      </c>
      <c r="AE1214">
        <f>'Grid_Requirement'!AB54</f>
        <v/>
      </c>
      <c r="AF1214">
        <f>'Grid_Requirement'!AC54</f>
        <v/>
      </c>
      <c r="AG1214">
        <f>'Grid_Requirement'!AD54</f>
        <v/>
      </c>
      <c r="AH1214">
        <f>'Grid_Requirement'!AE54</f>
        <v/>
      </c>
      <c r="AI1214">
        <f>'Grid_Requirement'!AF54</f>
        <v/>
      </c>
      <c r="AJ1214">
        <f>'Grid_Requirement'!AG54</f>
        <v/>
      </c>
      <c r="AK1214">
        <f>'Grid_Requirement'!AH54</f>
        <v/>
      </c>
      <c r="AL1214">
        <f>'Grid_Requirement'!AI54</f>
        <v/>
      </c>
      <c r="AM1214">
        <f>'Grid_Requirement'!AJ54</f>
        <v/>
      </c>
      <c r="AN1214">
        <f>'Grid_Requirement'!AK54</f>
        <v/>
      </c>
      <c r="AO1214">
        <f>'Grid_Requirement'!AL54</f>
        <v/>
      </c>
      <c r="AP1214">
        <f>'Grid_Requirement'!AM54</f>
        <v/>
      </c>
      <c r="AQ1214">
        <f>'Grid_Requirement'!AN54</f>
        <v/>
      </c>
      <c r="AR1214">
        <f>'Grid_Requirement'!AO54</f>
        <v/>
      </c>
      <c r="AS1214">
        <f>'Grid_Requirement'!AP54</f>
        <v/>
      </c>
      <c r="AT1214">
        <f>'Grid_Requirement'!AQ54</f>
        <v/>
      </c>
      <c r="AU1214">
        <f>'Grid_Requirement'!AR54</f>
        <v/>
      </c>
      <c r="AV1214">
        <f>'Grid_Requirement'!AS54</f>
        <v/>
      </c>
      <c r="AW1214">
        <f>'Grid_Requirement'!AT54</f>
        <v/>
      </c>
      <c r="AX1214">
        <f>'Grid_Requirement'!AU54</f>
        <v/>
      </c>
      <c r="AY1214">
        <f>'Grid_Requirement'!AV54</f>
        <v/>
      </c>
      <c r="AZ1214">
        <f>'Grid_Requirement'!AW54</f>
        <v/>
      </c>
      <c r="BA1214">
        <f>'Grid_Requirement'!AX54</f>
        <v/>
      </c>
      <c r="BB1214">
        <f>'Grid_Requirement'!AY54</f>
        <v/>
      </c>
      <c r="BC1214">
        <f>'Grid_Requirement'!AZ54</f>
        <v/>
      </c>
      <c r="BD1214">
        <f>'Grid_Requirement'!BA54</f>
        <v/>
      </c>
      <c r="BE1214">
        <f>'Grid_Requirement'!BB54</f>
        <v/>
      </c>
      <c r="BF1214">
        <f>'Grid_Requirement'!BC54</f>
        <v/>
      </c>
      <c r="BG1214">
        <f>'Grid_Requirement'!BD54</f>
        <v/>
      </c>
      <c r="BH1214">
        <f>'Grid_Requirement'!BE54</f>
        <v/>
      </c>
      <c r="BI1214">
        <f>'Grid_Requirement'!BF54</f>
        <v/>
      </c>
      <c r="BJ1214">
        <f>'Grid_Requirement'!BG54</f>
        <v/>
      </c>
      <c r="BK1214">
        <f>'Grid_Requirement'!BH54</f>
        <v/>
      </c>
      <c r="BL1214">
        <f>'Grid_Requirement'!BI54</f>
        <v/>
      </c>
      <c r="BM1214">
        <f>'Grid_Requirement'!BJ54</f>
        <v/>
      </c>
      <c r="BN1214">
        <f>'Grid_Requirement'!BK54</f>
        <v/>
      </c>
      <c r="BO1214">
        <f>'Grid_Requirement'!BL54</f>
        <v/>
      </c>
      <c r="BP1214">
        <f>'Grid_Requirement'!BM54</f>
        <v/>
      </c>
      <c r="BQ1214">
        <f>'Grid_Requirement'!BN54</f>
        <v/>
      </c>
      <c r="BR1214">
        <f>'Grid_Requirement'!BO54</f>
        <v/>
      </c>
      <c r="BS1214">
        <f>'Grid_Requirement'!BP54</f>
        <v/>
      </c>
      <c r="BT1214">
        <f>'Grid_Requirement'!BQ54</f>
        <v/>
      </c>
      <c r="BU1214">
        <f>'Grid_Requirement'!BR54</f>
        <v/>
      </c>
      <c r="BV1214">
        <f>'Grid_Requirement'!BS54</f>
        <v/>
      </c>
      <c r="BW1214">
        <f>'Grid_Requirement'!BT54</f>
        <v/>
      </c>
      <c r="BX1214">
        <f>'Grid_Requirement'!BU54</f>
        <v/>
      </c>
      <c r="BY1214">
        <f>'Grid_Requirement'!BV54</f>
        <v/>
      </c>
      <c r="BZ1214">
        <f>'Grid_Requirement'!BW54</f>
        <v/>
      </c>
      <c r="CA1214">
        <f>'Grid_Requirement'!BX54</f>
        <v/>
      </c>
      <c r="CB1214">
        <f>'Grid_Requirement'!BY54</f>
        <v/>
      </c>
      <c r="CC1214">
        <f>'Grid_Requirement'!BZ54</f>
        <v/>
      </c>
      <c r="CD1214">
        <f>'Grid_Requirement'!CA54</f>
        <v/>
      </c>
      <c r="CE1214">
        <f>'Grid_Requirement'!CB54</f>
        <v/>
      </c>
      <c r="CF1214">
        <f>'Grid_Requirement'!CC54</f>
        <v/>
      </c>
      <c r="CG1214">
        <f>'Grid_Requirement'!CD54</f>
        <v/>
      </c>
      <c r="CH1214">
        <f>'Grid_Requirement'!CE54</f>
        <v/>
      </c>
      <c r="CI1214">
        <f>'Grid_Requirement'!CF54</f>
        <v/>
      </c>
      <c r="CJ1214">
        <f>'Grid_Requirement'!CG54</f>
        <v/>
      </c>
      <c r="CK1214">
        <f>'Grid_Requirement'!CH54</f>
        <v/>
      </c>
      <c r="CL1214">
        <f>'Grid_Requirement'!CI54</f>
        <v/>
      </c>
      <c r="CM1214">
        <f>'Grid_Requirement'!CJ54</f>
        <v/>
      </c>
      <c r="CN1214">
        <f>'Grid_Requirement'!CK54</f>
        <v/>
      </c>
      <c r="CO1214">
        <f>'Grid_Requirement'!CL54</f>
        <v/>
      </c>
      <c r="CP1214">
        <f>'Grid_Requirement'!CM54</f>
        <v/>
      </c>
      <c r="CQ1214">
        <f>'Grid_Requirement'!CN54</f>
        <v/>
      </c>
      <c r="CR1214">
        <f>'Grid_Requirement'!CO54</f>
        <v/>
      </c>
      <c r="CS1214">
        <f>'Grid_Requirement'!CP54</f>
        <v/>
      </c>
      <c r="CT1214">
        <f>'Grid_Requirement'!CQ54</f>
        <v/>
      </c>
      <c r="CU1214">
        <f>'Grid_Requirement'!CR54</f>
        <v/>
      </c>
      <c r="CV1214">
        <f>'Grid_Requirement'!CS54</f>
        <v/>
      </c>
      <c r="CW1214">
        <f>'Grid_Requirement'!CT54</f>
        <v/>
      </c>
      <c r="CX1214">
        <f>'Grid_Requirement'!CU54</f>
        <v/>
      </c>
      <c r="CY1214">
        <f>'Grid_Requirement'!CV54</f>
        <v/>
      </c>
      <c r="CZ1214">
        <f>'Grid_Requirement'!CW54</f>
        <v/>
      </c>
      <c r="DA1214">
        <f>'Grid_Requirement'!CX54</f>
        <v/>
      </c>
      <c r="DB1214">
        <f>'Grid_Requirement'!CY54</f>
        <v/>
      </c>
      <c r="DC1214">
        <f>'Grid_Requirement'!CZ54</f>
        <v/>
      </c>
      <c r="DD1214">
        <f>'Grid_Requirement'!DA54</f>
        <v/>
      </c>
    </row>
    <row r="1215">
      <c r="B1215" s="23" t="inlineStr">
        <is>
          <t>（在庫・入荷予定はDashboard参照）</t>
        </is>
      </c>
    </row>
    <row r="1217">
      <c r="A1217" s="21" t="inlineStr">
        <is>
          <t>CHEM-1690</t>
        </is>
      </c>
      <c r="B1217" s="21" t="inlineStr">
        <is>
          <t>TPZ-560</t>
        </is>
      </c>
      <c r="C1217" s="21" t="n"/>
      <c r="D1217" s="21" t="n"/>
      <c r="E1217" s="21" t="n"/>
      <c r="F1217" s="21" t="n"/>
      <c r="G1217" s="21" t="n"/>
      <c r="H1217" s="21" t="n"/>
      <c r="I1217" s="21" t="n"/>
      <c r="J1217" s="21" t="n"/>
      <c r="K1217" s="21" t="n"/>
      <c r="L1217" s="21" t="n"/>
      <c r="M1217" s="21" t="n"/>
      <c r="N1217" s="21" t="n"/>
      <c r="O1217" s="21" t="n"/>
      <c r="P1217" s="21" t="n"/>
      <c r="Q1217" s="21" t="n"/>
      <c r="R1217" s="21" t="n"/>
      <c r="S1217" s="21" t="n"/>
      <c r="T1217" s="21" t="n"/>
      <c r="U1217" s="21" t="n"/>
      <c r="V1217" s="21" t="n"/>
      <c r="W1217" s="21" t="n"/>
      <c r="X1217" s="21" t="n"/>
      <c r="Y1217" s="21" t="n"/>
      <c r="Z1217" s="21" t="n"/>
      <c r="AA1217" s="21" t="n"/>
      <c r="AB1217" s="21" t="n"/>
      <c r="AC1217" s="21" t="n"/>
      <c r="AD1217" s="21" t="n"/>
      <c r="AE1217" s="21" t="n"/>
      <c r="AF1217" s="21" t="n"/>
      <c r="AG1217" s="21" t="n"/>
      <c r="AH1217" s="21" t="n"/>
      <c r="AI1217" s="21" t="n"/>
      <c r="AJ1217" s="21" t="n"/>
      <c r="AK1217" s="21" t="n"/>
      <c r="AL1217" s="21" t="n"/>
      <c r="AM1217" s="21" t="n"/>
      <c r="AN1217" s="21" t="n"/>
      <c r="AO1217" s="21" t="n"/>
      <c r="AP1217" s="21" t="n"/>
      <c r="AQ1217" s="21" t="n"/>
      <c r="AR1217" s="21" t="n"/>
      <c r="AS1217" s="21" t="n"/>
      <c r="AT1217" s="21" t="n"/>
      <c r="AU1217" s="21" t="n"/>
      <c r="AV1217" s="21" t="n"/>
      <c r="AW1217" s="21" t="n"/>
      <c r="AX1217" s="21" t="n"/>
      <c r="AY1217" s="21" t="n"/>
      <c r="AZ1217" s="21" t="n"/>
      <c r="BA1217" s="21" t="n"/>
      <c r="BB1217" s="21" t="n"/>
      <c r="BC1217" s="21" t="n"/>
      <c r="BD1217" s="21" t="n"/>
      <c r="BE1217" s="21" t="n"/>
      <c r="BF1217" s="21" t="n"/>
      <c r="BG1217" s="21" t="n"/>
      <c r="BH1217" s="21" t="n"/>
      <c r="BI1217" s="21" t="n"/>
      <c r="BJ1217" s="21" t="n"/>
      <c r="BK1217" s="21" t="n"/>
      <c r="BL1217" s="21" t="n"/>
      <c r="BM1217" s="21" t="n"/>
      <c r="BN1217" s="21" t="n"/>
      <c r="BO1217" s="21" t="n"/>
      <c r="BP1217" s="21" t="n"/>
      <c r="BQ1217" s="21" t="n"/>
      <c r="BR1217" s="21" t="n"/>
      <c r="BS1217" s="21" t="n"/>
      <c r="BT1217" s="21" t="n"/>
      <c r="BU1217" s="21" t="n"/>
      <c r="BV1217" s="21" t="n"/>
      <c r="BW1217" s="21" t="n"/>
      <c r="BX1217" s="21" t="n"/>
      <c r="BY1217" s="21" t="n"/>
      <c r="BZ1217" s="21" t="n"/>
      <c r="CA1217" s="21" t="n"/>
      <c r="CB1217" s="21" t="n"/>
      <c r="CC1217" s="21" t="n"/>
      <c r="CD1217" s="21" t="n"/>
      <c r="CE1217" s="21" t="n"/>
      <c r="CF1217" s="21" t="n"/>
      <c r="CG1217" s="21" t="n"/>
      <c r="CH1217" s="21" t="n"/>
      <c r="CI1217" s="21" t="n"/>
      <c r="CJ1217" s="21" t="n"/>
      <c r="CK1217" s="21" t="n"/>
      <c r="CL1217" s="21" t="n"/>
      <c r="CM1217" s="21" t="n"/>
      <c r="CN1217" s="21" t="n"/>
      <c r="CO1217" s="21" t="n"/>
      <c r="CP1217" s="21" t="n"/>
      <c r="CQ1217" s="21" t="n"/>
      <c r="CR1217" s="21" t="n"/>
      <c r="CS1217" s="21" t="n"/>
      <c r="CT1217" s="21" t="n"/>
      <c r="CU1217" s="21" t="n"/>
      <c r="CV1217" s="21" t="n"/>
      <c r="CW1217" s="21" t="n"/>
      <c r="CX1217" s="21" t="n"/>
      <c r="CY1217" s="21" t="n"/>
      <c r="CZ1217" s="21" t="n"/>
      <c r="DA1217" s="21" t="n"/>
      <c r="DB1217" s="21" t="n"/>
      <c r="DC1217" s="21" t="n"/>
      <c r="DD1217" s="21" t="n"/>
    </row>
    <row r="1218">
      <c r="B1218" t="inlineStr">
        <is>
          <t>TSP-618</t>
        </is>
      </c>
      <c r="C1218" t="inlineStr">
        <is>
          <t>No. of batches</t>
        </is>
      </c>
      <c r="D1218">
        <f>IFERROR(INDEX(E1218:DD1218,$F$1),"")</f>
        <v/>
      </c>
      <c r="E1218">
        <f>IFERROR(INDEX(PP_Grid[#Data],$DE1218,2),0)</f>
        <v/>
      </c>
      <c r="F1218">
        <f>IFERROR(INDEX(PP_Grid[#Data],$DE1218,3),0)</f>
        <v/>
      </c>
      <c r="G1218">
        <f>IFERROR(INDEX(PP_Grid[#Data],$DE1218,4),0)</f>
        <v/>
      </c>
      <c r="H1218">
        <f>IFERROR(INDEX(PP_Grid[#Data],$DE1218,5),0)</f>
        <v/>
      </c>
      <c r="I1218">
        <f>IFERROR(INDEX(PP_Grid[#Data],$DE1218,6),0)</f>
        <v/>
      </c>
      <c r="J1218">
        <f>IFERROR(INDEX(PP_Grid[#Data],$DE1218,7),0)</f>
        <v/>
      </c>
      <c r="K1218">
        <f>IFERROR(INDEX(PP_Grid[#Data],$DE1218,8),0)</f>
        <v/>
      </c>
      <c r="L1218">
        <f>IFERROR(INDEX(PP_Grid[#Data],$DE1218,9),0)</f>
        <v/>
      </c>
      <c r="M1218">
        <f>IFERROR(INDEX(PP_Grid[#Data],$DE1218,10),0)</f>
        <v/>
      </c>
      <c r="N1218">
        <f>IFERROR(INDEX(PP_Grid[#Data],$DE1218,11),0)</f>
        <v/>
      </c>
      <c r="O1218">
        <f>IFERROR(INDEX(PP_Grid[#Data],$DE1218,12),0)</f>
        <v/>
      </c>
      <c r="P1218">
        <f>IFERROR(INDEX(PP_Grid[#Data],$DE1218,13),0)</f>
        <v/>
      </c>
      <c r="Q1218">
        <f>IFERROR(INDEX(PP_Grid[#Data],$DE1218,14),0)</f>
        <v/>
      </c>
      <c r="R1218">
        <f>IFERROR(INDEX(PP_Grid[#Data],$DE1218,15),0)</f>
        <v/>
      </c>
      <c r="S1218">
        <f>IFERROR(INDEX(PP_Grid[#Data],$DE1218,16),0)</f>
        <v/>
      </c>
      <c r="T1218">
        <f>IFERROR(INDEX(PP_Grid[#Data],$DE1218,17),0)</f>
        <v/>
      </c>
      <c r="U1218">
        <f>IFERROR(INDEX(PP_Grid[#Data],$DE1218,18),0)</f>
        <v/>
      </c>
      <c r="V1218">
        <f>IFERROR(INDEX(PP_Grid[#Data],$DE1218,19),0)</f>
        <v/>
      </c>
      <c r="W1218">
        <f>IFERROR(INDEX(PP_Grid[#Data],$DE1218,20),0)</f>
        <v/>
      </c>
      <c r="X1218">
        <f>IFERROR(INDEX(PP_Grid[#Data],$DE1218,21),0)</f>
        <v/>
      </c>
      <c r="Y1218">
        <f>IFERROR(INDEX(PP_Grid[#Data],$DE1218,22),0)</f>
        <v/>
      </c>
      <c r="Z1218">
        <f>IFERROR(INDEX(PP_Grid[#Data],$DE1218,23),0)</f>
        <v/>
      </c>
      <c r="AA1218">
        <f>IFERROR(INDEX(PP_Grid[#Data],$DE1218,24),0)</f>
        <v/>
      </c>
      <c r="AB1218">
        <f>IFERROR(INDEX(PP_Grid[#Data],$DE1218,25),0)</f>
        <v/>
      </c>
      <c r="AC1218">
        <f>IFERROR(INDEX(PP_Grid[#Data],$DE1218,26),0)</f>
        <v/>
      </c>
      <c r="AD1218">
        <f>IFERROR(INDEX(PP_Grid[#Data],$DE1218,27),0)</f>
        <v/>
      </c>
      <c r="AE1218">
        <f>IFERROR(INDEX(PP_Grid[#Data],$DE1218,28),0)</f>
        <v/>
      </c>
      <c r="AF1218">
        <f>IFERROR(INDEX(PP_Grid[#Data],$DE1218,29),0)</f>
        <v/>
      </c>
      <c r="AG1218">
        <f>IFERROR(INDEX(PP_Grid[#Data],$DE1218,30),0)</f>
        <v/>
      </c>
      <c r="AH1218">
        <f>IFERROR(INDEX(PP_Grid[#Data],$DE1218,31),0)</f>
        <v/>
      </c>
      <c r="AI1218">
        <f>IFERROR(INDEX(PP_Grid[#Data],$DE1218,32),0)</f>
        <v/>
      </c>
      <c r="AJ1218">
        <f>IFERROR(INDEX(PP_Grid[#Data],$DE1218,33),0)</f>
        <v/>
      </c>
      <c r="AK1218">
        <f>IFERROR(INDEX(PP_Grid[#Data],$DE1218,34),0)</f>
        <v/>
      </c>
      <c r="AL1218">
        <f>IFERROR(INDEX(PP_Grid[#Data],$DE1218,35),0)</f>
        <v/>
      </c>
      <c r="AM1218">
        <f>IFERROR(INDEX(PP_Grid[#Data],$DE1218,36),0)</f>
        <v/>
      </c>
      <c r="AN1218">
        <f>IFERROR(INDEX(PP_Grid[#Data],$DE1218,37),0)</f>
        <v/>
      </c>
      <c r="AO1218">
        <f>IFERROR(INDEX(PP_Grid[#Data],$DE1218,38),0)</f>
        <v/>
      </c>
      <c r="AP1218">
        <f>IFERROR(INDEX(PP_Grid[#Data],$DE1218,39),0)</f>
        <v/>
      </c>
      <c r="AQ1218">
        <f>IFERROR(INDEX(PP_Grid[#Data],$DE1218,40),0)</f>
        <v/>
      </c>
      <c r="AR1218">
        <f>IFERROR(INDEX(PP_Grid[#Data],$DE1218,41),0)</f>
        <v/>
      </c>
      <c r="AS1218">
        <f>IFERROR(INDEX(PP_Grid[#Data],$DE1218,42),0)</f>
        <v/>
      </c>
      <c r="AT1218">
        <f>IFERROR(INDEX(PP_Grid[#Data],$DE1218,43),0)</f>
        <v/>
      </c>
      <c r="AU1218">
        <f>IFERROR(INDEX(PP_Grid[#Data],$DE1218,44),0)</f>
        <v/>
      </c>
      <c r="AV1218">
        <f>IFERROR(INDEX(PP_Grid[#Data],$DE1218,45),0)</f>
        <v/>
      </c>
      <c r="AW1218">
        <f>IFERROR(INDEX(PP_Grid[#Data],$DE1218,46),0)</f>
        <v/>
      </c>
      <c r="AX1218">
        <f>IFERROR(INDEX(PP_Grid[#Data],$DE1218,47),0)</f>
        <v/>
      </c>
      <c r="AY1218">
        <f>IFERROR(INDEX(PP_Grid[#Data],$DE1218,48),0)</f>
        <v/>
      </c>
      <c r="AZ1218">
        <f>IFERROR(INDEX(PP_Grid[#Data],$DE1218,49),0)</f>
        <v/>
      </c>
      <c r="BA1218">
        <f>IFERROR(INDEX(PP_Grid[#Data],$DE1218,50),0)</f>
        <v/>
      </c>
      <c r="BB1218">
        <f>IFERROR(INDEX(PP_Grid[#Data],$DE1218,51),0)</f>
        <v/>
      </c>
      <c r="BC1218">
        <f>IFERROR(INDEX(PP_Grid[#Data],$DE1218,52),0)</f>
        <v/>
      </c>
      <c r="BD1218">
        <f>IFERROR(INDEX(PP_Grid[#Data],$DE1218,53),0)</f>
        <v/>
      </c>
      <c r="BE1218">
        <f>IFERROR(INDEX(PP_Grid[#Data],$DE1218,54),0)</f>
        <v/>
      </c>
      <c r="BF1218">
        <f>IFERROR(INDEX(PP_Grid[#Data],$DE1218,55),0)</f>
        <v/>
      </c>
      <c r="BG1218">
        <f>IFERROR(INDEX(PP_Grid[#Data],$DE1218,56),0)</f>
        <v/>
      </c>
      <c r="BH1218">
        <f>IFERROR(INDEX(PP_Grid[#Data],$DE1218,57),0)</f>
        <v/>
      </c>
      <c r="BI1218">
        <f>IFERROR(INDEX(PP_Grid[#Data],$DE1218,58),0)</f>
        <v/>
      </c>
      <c r="BJ1218">
        <f>IFERROR(INDEX(PP_Grid[#Data],$DE1218,59),0)</f>
        <v/>
      </c>
      <c r="BK1218">
        <f>IFERROR(INDEX(PP_Grid[#Data],$DE1218,60),0)</f>
        <v/>
      </c>
      <c r="BL1218">
        <f>IFERROR(INDEX(PP_Grid[#Data],$DE1218,61),0)</f>
        <v/>
      </c>
      <c r="BM1218">
        <f>IFERROR(INDEX(PP_Grid[#Data],$DE1218,62),0)</f>
        <v/>
      </c>
      <c r="BN1218">
        <f>IFERROR(INDEX(PP_Grid[#Data],$DE1218,63),0)</f>
        <v/>
      </c>
      <c r="BO1218">
        <f>IFERROR(INDEX(PP_Grid[#Data],$DE1218,64),0)</f>
        <v/>
      </c>
      <c r="BP1218">
        <f>IFERROR(INDEX(PP_Grid[#Data],$DE1218,65),0)</f>
        <v/>
      </c>
      <c r="BQ1218">
        <f>IFERROR(INDEX(PP_Grid[#Data],$DE1218,66),0)</f>
        <v/>
      </c>
      <c r="BR1218">
        <f>IFERROR(INDEX(PP_Grid[#Data],$DE1218,67),0)</f>
        <v/>
      </c>
      <c r="BS1218">
        <f>IFERROR(INDEX(PP_Grid[#Data],$DE1218,68),0)</f>
        <v/>
      </c>
      <c r="BT1218">
        <f>IFERROR(INDEX(PP_Grid[#Data],$DE1218,69),0)</f>
        <v/>
      </c>
      <c r="BU1218">
        <f>IFERROR(INDEX(PP_Grid[#Data],$DE1218,70),0)</f>
        <v/>
      </c>
      <c r="BV1218">
        <f>IFERROR(INDEX(PP_Grid[#Data],$DE1218,71),0)</f>
        <v/>
      </c>
      <c r="BW1218">
        <f>IFERROR(INDEX(PP_Grid[#Data],$DE1218,72),0)</f>
        <v/>
      </c>
      <c r="BX1218">
        <f>IFERROR(INDEX(PP_Grid[#Data],$DE1218,73),0)</f>
        <v/>
      </c>
      <c r="BY1218">
        <f>IFERROR(INDEX(PP_Grid[#Data],$DE1218,74),0)</f>
        <v/>
      </c>
      <c r="BZ1218">
        <f>IFERROR(INDEX(PP_Grid[#Data],$DE1218,75),0)</f>
        <v/>
      </c>
      <c r="CA1218">
        <f>IFERROR(INDEX(PP_Grid[#Data],$DE1218,76),0)</f>
        <v/>
      </c>
      <c r="CB1218">
        <f>IFERROR(INDEX(PP_Grid[#Data],$DE1218,77),0)</f>
        <v/>
      </c>
      <c r="CC1218">
        <f>IFERROR(INDEX(PP_Grid[#Data],$DE1218,78),0)</f>
        <v/>
      </c>
      <c r="CD1218">
        <f>IFERROR(INDEX(PP_Grid[#Data],$DE1218,79),0)</f>
        <v/>
      </c>
      <c r="CE1218">
        <f>IFERROR(INDEX(PP_Grid[#Data],$DE1218,80),0)</f>
        <v/>
      </c>
      <c r="CF1218">
        <f>IFERROR(INDEX(PP_Grid[#Data],$DE1218,81),0)</f>
        <v/>
      </c>
      <c r="CG1218">
        <f>IFERROR(INDEX(PP_Grid[#Data],$DE1218,82),0)</f>
        <v/>
      </c>
      <c r="CH1218">
        <f>IFERROR(INDEX(PP_Grid[#Data],$DE1218,83),0)</f>
        <v/>
      </c>
      <c r="CI1218">
        <f>IFERROR(INDEX(PP_Grid[#Data],$DE1218,84),0)</f>
        <v/>
      </c>
      <c r="CJ1218">
        <f>IFERROR(INDEX(PP_Grid[#Data],$DE1218,85),0)</f>
        <v/>
      </c>
      <c r="CK1218">
        <f>IFERROR(INDEX(PP_Grid[#Data],$DE1218,86),0)</f>
        <v/>
      </c>
      <c r="CL1218">
        <f>IFERROR(INDEX(PP_Grid[#Data],$DE1218,87),0)</f>
        <v/>
      </c>
      <c r="CM1218">
        <f>IFERROR(INDEX(PP_Grid[#Data],$DE1218,88),0)</f>
        <v/>
      </c>
      <c r="CN1218">
        <f>IFERROR(INDEX(PP_Grid[#Data],$DE1218,89),0)</f>
        <v/>
      </c>
      <c r="CO1218">
        <f>IFERROR(INDEX(PP_Grid[#Data],$DE1218,90),0)</f>
        <v/>
      </c>
      <c r="CP1218">
        <f>IFERROR(INDEX(PP_Grid[#Data],$DE1218,91),0)</f>
        <v/>
      </c>
      <c r="CQ1218">
        <f>IFERROR(INDEX(PP_Grid[#Data],$DE1218,92),0)</f>
        <v/>
      </c>
      <c r="CR1218">
        <f>IFERROR(INDEX(PP_Grid[#Data],$DE1218,93),0)</f>
        <v/>
      </c>
      <c r="CS1218">
        <f>IFERROR(INDEX(PP_Grid[#Data],$DE1218,94),0)</f>
        <v/>
      </c>
      <c r="CT1218">
        <f>IFERROR(INDEX(PP_Grid[#Data],$DE1218,95),0)</f>
        <v/>
      </c>
      <c r="CU1218">
        <f>IFERROR(INDEX(PP_Grid[#Data],$DE1218,96),0)</f>
        <v/>
      </c>
      <c r="CV1218">
        <f>IFERROR(INDEX(PP_Grid[#Data],$DE1218,97),0)</f>
        <v/>
      </c>
      <c r="CW1218">
        <f>IFERROR(INDEX(PP_Grid[#Data],$DE1218,98),0)</f>
        <v/>
      </c>
      <c r="CX1218">
        <f>IFERROR(INDEX(PP_Grid[#Data],$DE1218,99),0)</f>
        <v/>
      </c>
      <c r="CY1218">
        <f>IFERROR(INDEX(PP_Grid[#Data],$DE1218,100),0)</f>
        <v/>
      </c>
      <c r="CZ1218">
        <f>IFERROR(INDEX(PP_Grid[#Data],$DE1218,101),0)</f>
        <v/>
      </c>
      <c r="DA1218">
        <f>IFERROR(INDEX(PP_Grid[#Data],$DE1218,102),0)</f>
        <v/>
      </c>
      <c r="DB1218">
        <f>IFERROR(INDEX(PP_Grid[#Data],$DE1218,103),0)</f>
        <v/>
      </c>
      <c r="DC1218">
        <f>IFERROR(INDEX(PP_Grid[#Data],$DE1218,104),0)</f>
        <v/>
      </c>
      <c r="DD1218">
        <f>IFERROR(INDEX(PP_Grid[#Data],$DE1218,105),0)</f>
        <v/>
      </c>
      <c r="DE1218" s="7">
        <f>IFERROR(MATCH($B1218,PP_Grid[Intermediate],0),99999)</f>
        <v/>
      </c>
    </row>
    <row r="1219">
      <c r="B1219" t="inlineStr">
        <is>
          <t>使用量(kg)</t>
        </is>
      </c>
      <c r="C1219">
        <f>SUMIFS(M_BOM[RM_Qty_Per_Batch],M_BOM[Intermediate],$B1218,M_BOM[RM_Code],$A1217)</f>
        <v/>
      </c>
      <c r="D1219">
        <f>IFERROR(INDEX(E1219:DD1219,$F$1),"")</f>
        <v/>
      </c>
      <c r="E1219">
        <f>$C1219*E1218</f>
        <v/>
      </c>
      <c r="F1219">
        <f>$C1219*F1218</f>
        <v/>
      </c>
      <c r="G1219">
        <f>$C1219*G1218</f>
        <v/>
      </c>
      <c r="H1219">
        <f>$C1219*H1218</f>
        <v/>
      </c>
      <c r="I1219">
        <f>$C1219*I1218</f>
        <v/>
      </c>
      <c r="J1219">
        <f>$C1219*J1218</f>
        <v/>
      </c>
      <c r="K1219">
        <f>$C1219*K1218</f>
        <v/>
      </c>
      <c r="L1219">
        <f>$C1219*L1218</f>
        <v/>
      </c>
      <c r="M1219">
        <f>$C1219*M1218</f>
        <v/>
      </c>
      <c r="N1219">
        <f>$C1219*N1218</f>
        <v/>
      </c>
      <c r="O1219">
        <f>$C1219*O1218</f>
        <v/>
      </c>
      <c r="P1219">
        <f>$C1219*P1218</f>
        <v/>
      </c>
      <c r="Q1219">
        <f>$C1219*Q1218</f>
        <v/>
      </c>
      <c r="R1219">
        <f>$C1219*R1218</f>
        <v/>
      </c>
      <c r="S1219">
        <f>$C1219*S1218</f>
        <v/>
      </c>
      <c r="T1219">
        <f>$C1219*T1218</f>
        <v/>
      </c>
      <c r="U1219">
        <f>$C1219*U1218</f>
        <v/>
      </c>
      <c r="V1219">
        <f>$C1219*V1218</f>
        <v/>
      </c>
      <c r="W1219">
        <f>$C1219*W1218</f>
        <v/>
      </c>
      <c r="X1219">
        <f>$C1219*X1218</f>
        <v/>
      </c>
      <c r="Y1219">
        <f>$C1219*Y1218</f>
        <v/>
      </c>
      <c r="Z1219">
        <f>$C1219*Z1218</f>
        <v/>
      </c>
      <c r="AA1219">
        <f>$C1219*AA1218</f>
        <v/>
      </c>
      <c r="AB1219">
        <f>$C1219*AB1218</f>
        <v/>
      </c>
      <c r="AC1219">
        <f>$C1219*AC1218</f>
        <v/>
      </c>
      <c r="AD1219">
        <f>$C1219*AD1218</f>
        <v/>
      </c>
      <c r="AE1219">
        <f>$C1219*AE1218</f>
        <v/>
      </c>
      <c r="AF1219">
        <f>$C1219*AF1218</f>
        <v/>
      </c>
      <c r="AG1219">
        <f>$C1219*AG1218</f>
        <v/>
      </c>
      <c r="AH1219">
        <f>$C1219*AH1218</f>
        <v/>
      </c>
      <c r="AI1219">
        <f>$C1219*AI1218</f>
        <v/>
      </c>
      <c r="AJ1219">
        <f>$C1219*AJ1218</f>
        <v/>
      </c>
      <c r="AK1219">
        <f>$C1219*AK1218</f>
        <v/>
      </c>
      <c r="AL1219">
        <f>$C1219*AL1218</f>
        <v/>
      </c>
      <c r="AM1219">
        <f>$C1219*AM1218</f>
        <v/>
      </c>
      <c r="AN1219">
        <f>$C1219*AN1218</f>
        <v/>
      </c>
      <c r="AO1219">
        <f>$C1219*AO1218</f>
        <v/>
      </c>
      <c r="AP1219">
        <f>$C1219*AP1218</f>
        <v/>
      </c>
      <c r="AQ1219">
        <f>$C1219*AQ1218</f>
        <v/>
      </c>
      <c r="AR1219">
        <f>$C1219*AR1218</f>
        <v/>
      </c>
      <c r="AS1219">
        <f>$C1219*AS1218</f>
        <v/>
      </c>
      <c r="AT1219">
        <f>$C1219*AT1218</f>
        <v/>
      </c>
      <c r="AU1219">
        <f>$C1219*AU1218</f>
        <v/>
      </c>
      <c r="AV1219">
        <f>$C1219*AV1218</f>
        <v/>
      </c>
      <c r="AW1219">
        <f>$C1219*AW1218</f>
        <v/>
      </c>
      <c r="AX1219">
        <f>$C1219*AX1218</f>
        <v/>
      </c>
      <c r="AY1219">
        <f>$C1219*AY1218</f>
        <v/>
      </c>
      <c r="AZ1219">
        <f>$C1219*AZ1218</f>
        <v/>
      </c>
      <c r="BA1219">
        <f>$C1219*BA1218</f>
        <v/>
      </c>
      <c r="BB1219">
        <f>$C1219*BB1218</f>
        <v/>
      </c>
      <c r="BC1219">
        <f>$C1219*BC1218</f>
        <v/>
      </c>
      <c r="BD1219">
        <f>$C1219*BD1218</f>
        <v/>
      </c>
      <c r="BE1219">
        <f>$C1219*BE1218</f>
        <v/>
      </c>
      <c r="BF1219">
        <f>$C1219*BF1218</f>
        <v/>
      </c>
      <c r="BG1219">
        <f>$C1219*BG1218</f>
        <v/>
      </c>
      <c r="BH1219">
        <f>$C1219*BH1218</f>
        <v/>
      </c>
      <c r="BI1219">
        <f>$C1219*BI1218</f>
        <v/>
      </c>
      <c r="BJ1219">
        <f>$C1219*BJ1218</f>
        <v/>
      </c>
      <c r="BK1219">
        <f>$C1219*BK1218</f>
        <v/>
      </c>
      <c r="BL1219">
        <f>$C1219*BL1218</f>
        <v/>
      </c>
      <c r="BM1219">
        <f>$C1219*BM1218</f>
        <v/>
      </c>
      <c r="BN1219">
        <f>$C1219*BN1218</f>
        <v/>
      </c>
      <c r="BO1219">
        <f>$C1219*BO1218</f>
        <v/>
      </c>
      <c r="BP1219">
        <f>$C1219*BP1218</f>
        <v/>
      </c>
      <c r="BQ1219">
        <f>$C1219*BQ1218</f>
        <v/>
      </c>
      <c r="BR1219">
        <f>$C1219*BR1218</f>
        <v/>
      </c>
      <c r="BS1219">
        <f>$C1219*BS1218</f>
        <v/>
      </c>
      <c r="BT1219">
        <f>$C1219*BT1218</f>
        <v/>
      </c>
      <c r="BU1219">
        <f>$C1219*BU1218</f>
        <v/>
      </c>
      <c r="BV1219">
        <f>$C1219*BV1218</f>
        <v/>
      </c>
      <c r="BW1219">
        <f>$C1219*BW1218</f>
        <v/>
      </c>
      <c r="BX1219">
        <f>$C1219*BX1218</f>
        <v/>
      </c>
      <c r="BY1219">
        <f>$C1219*BY1218</f>
        <v/>
      </c>
      <c r="BZ1219">
        <f>$C1219*BZ1218</f>
        <v/>
      </c>
      <c r="CA1219">
        <f>$C1219*CA1218</f>
        <v/>
      </c>
      <c r="CB1219">
        <f>$C1219*CB1218</f>
        <v/>
      </c>
      <c r="CC1219">
        <f>$C1219*CC1218</f>
        <v/>
      </c>
      <c r="CD1219">
        <f>$C1219*CD1218</f>
        <v/>
      </c>
      <c r="CE1219">
        <f>$C1219*CE1218</f>
        <v/>
      </c>
      <c r="CF1219">
        <f>$C1219*CF1218</f>
        <v/>
      </c>
      <c r="CG1219">
        <f>$C1219*CG1218</f>
        <v/>
      </c>
      <c r="CH1219">
        <f>$C1219*CH1218</f>
        <v/>
      </c>
      <c r="CI1219">
        <f>$C1219*CI1218</f>
        <v/>
      </c>
      <c r="CJ1219">
        <f>$C1219*CJ1218</f>
        <v/>
      </c>
      <c r="CK1219">
        <f>$C1219*CK1218</f>
        <v/>
      </c>
      <c r="CL1219">
        <f>$C1219*CL1218</f>
        <v/>
      </c>
      <c r="CM1219">
        <f>$C1219*CM1218</f>
        <v/>
      </c>
      <c r="CN1219">
        <f>$C1219*CN1218</f>
        <v/>
      </c>
      <c r="CO1219">
        <f>$C1219*CO1218</f>
        <v/>
      </c>
      <c r="CP1219">
        <f>$C1219*CP1218</f>
        <v/>
      </c>
      <c r="CQ1219">
        <f>$C1219*CQ1218</f>
        <v/>
      </c>
      <c r="CR1219">
        <f>$C1219*CR1218</f>
        <v/>
      </c>
      <c r="CS1219">
        <f>$C1219*CS1218</f>
        <v/>
      </c>
      <c r="CT1219">
        <f>$C1219*CT1218</f>
        <v/>
      </c>
      <c r="CU1219">
        <f>$C1219*CU1218</f>
        <v/>
      </c>
      <c r="CV1219">
        <f>$C1219*CV1218</f>
        <v/>
      </c>
      <c r="CW1219">
        <f>$C1219*CW1218</f>
        <v/>
      </c>
      <c r="CX1219">
        <f>$C1219*CX1218</f>
        <v/>
      </c>
      <c r="CY1219">
        <f>$C1219*CY1218</f>
        <v/>
      </c>
      <c r="CZ1219">
        <f>$C1219*CZ1218</f>
        <v/>
      </c>
      <c r="DA1219">
        <f>$C1219*DA1218</f>
        <v/>
      </c>
      <c r="DB1219">
        <f>$C1219*DB1218</f>
        <v/>
      </c>
      <c r="DC1219">
        <f>$C1219*DC1218</f>
        <v/>
      </c>
      <c r="DD1219">
        <f>$C1219*DD1218</f>
        <v/>
      </c>
    </row>
    <row r="1220">
      <c r="B1220" t="inlineStr">
        <is>
          <t>TSP-903</t>
        </is>
      </c>
      <c r="C1220" t="inlineStr">
        <is>
          <t>No. of batches</t>
        </is>
      </c>
      <c r="D1220">
        <f>IFERROR(INDEX(E1220:DD1220,$F$1),"")</f>
        <v/>
      </c>
      <c r="E1220">
        <f>IFERROR(INDEX(PP_Grid[#Data],$DE1220,2),0)</f>
        <v/>
      </c>
      <c r="F1220">
        <f>IFERROR(INDEX(PP_Grid[#Data],$DE1220,3),0)</f>
        <v/>
      </c>
      <c r="G1220">
        <f>IFERROR(INDEX(PP_Grid[#Data],$DE1220,4),0)</f>
        <v/>
      </c>
      <c r="H1220">
        <f>IFERROR(INDEX(PP_Grid[#Data],$DE1220,5),0)</f>
        <v/>
      </c>
      <c r="I1220">
        <f>IFERROR(INDEX(PP_Grid[#Data],$DE1220,6),0)</f>
        <v/>
      </c>
      <c r="J1220">
        <f>IFERROR(INDEX(PP_Grid[#Data],$DE1220,7),0)</f>
        <v/>
      </c>
      <c r="K1220">
        <f>IFERROR(INDEX(PP_Grid[#Data],$DE1220,8),0)</f>
        <v/>
      </c>
      <c r="L1220">
        <f>IFERROR(INDEX(PP_Grid[#Data],$DE1220,9),0)</f>
        <v/>
      </c>
      <c r="M1220">
        <f>IFERROR(INDEX(PP_Grid[#Data],$DE1220,10),0)</f>
        <v/>
      </c>
      <c r="N1220">
        <f>IFERROR(INDEX(PP_Grid[#Data],$DE1220,11),0)</f>
        <v/>
      </c>
      <c r="O1220">
        <f>IFERROR(INDEX(PP_Grid[#Data],$DE1220,12),0)</f>
        <v/>
      </c>
      <c r="P1220">
        <f>IFERROR(INDEX(PP_Grid[#Data],$DE1220,13),0)</f>
        <v/>
      </c>
      <c r="Q1220">
        <f>IFERROR(INDEX(PP_Grid[#Data],$DE1220,14),0)</f>
        <v/>
      </c>
      <c r="R1220">
        <f>IFERROR(INDEX(PP_Grid[#Data],$DE1220,15),0)</f>
        <v/>
      </c>
      <c r="S1220">
        <f>IFERROR(INDEX(PP_Grid[#Data],$DE1220,16),0)</f>
        <v/>
      </c>
      <c r="T1220">
        <f>IFERROR(INDEX(PP_Grid[#Data],$DE1220,17),0)</f>
        <v/>
      </c>
      <c r="U1220">
        <f>IFERROR(INDEX(PP_Grid[#Data],$DE1220,18),0)</f>
        <v/>
      </c>
      <c r="V1220">
        <f>IFERROR(INDEX(PP_Grid[#Data],$DE1220,19),0)</f>
        <v/>
      </c>
      <c r="W1220">
        <f>IFERROR(INDEX(PP_Grid[#Data],$DE1220,20),0)</f>
        <v/>
      </c>
      <c r="X1220">
        <f>IFERROR(INDEX(PP_Grid[#Data],$DE1220,21),0)</f>
        <v/>
      </c>
      <c r="Y1220">
        <f>IFERROR(INDEX(PP_Grid[#Data],$DE1220,22),0)</f>
        <v/>
      </c>
      <c r="Z1220">
        <f>IFERROR(INDEX(PP_Grid[#Data],$DE1220,23),0)</f>
        <v/>
      </c>
      <c r="AA1220">
        <f>IFERROR(INDEX(PP_Grid[#Data],$DE1220,24),0)</f>
        <v/>
      </c>
      <c r="AB1220">
        <f>IFERROR(INDEX(PP_Grid[#Data],$DE1220,25),0)</f>
        <v/>
      </c>
      <c r="AC1220">
        <f>IFERROR(INDEX(PP_Grid[#Data],$DE1220,26),0)</f>
        <v/>
      </c>
      <c r="AD1220">
        <f>IFERROR(INDEX(PP_Grid[#Data],$DE1220,27),0)</f>
        <v/>
      </c>
      <c r="AE1220">
        <f>IFERROR(INDEX(PP_Grid[#Data],$DE1220,28),0)</f>
        <v/>
      </c>
      <c r="AF1220">
        <f>IFERROR(INDEX(PP_Grid[#Data],$DE1220,29),0)</f>
        <v/>
      </c>
      <c r="AG1220">
        <f>IFERROR(INDEX(PP_Grid[#Data],$DE1220,30),0)</f>
        <v/>
      </c>
      <c r="AH1220">
        <f>IFERROR(INDEX(PP_Grid[#Data],$DE1220,31),0)</f>
        <v/>
      </c>
      <c r="AI1220">
        <f>IFERROR(INDEX(PP_Grid[#Data],$DE1220,32),0)</f>
        <v/>
      </c>
      <c r="AJ1220">
        <f>IFERROR(INDEX(PP_Grid[#Data],$DE1220,33),0)</f>
        <v/>
      </c>
      <c r="AK1220">
        <f>IFERROR(INDEX(PP_Grid[#Data],$DE1220,34),0)</f>
        <v/>
      </c>
      <c r="AL1220">
        <f>IFERROR(INDEX(PP_Grid[#Data],$DE1220,35),0)</f>
        <v/>
      </c>
      <c r="AM1220">
        <f>IFERROR(INDEX(PP_Grid[#Data],$DE1220,36),0)</f>
        <v/>
      </c>
      <c r="AN1220">
        <f>IFERROR(INDEX(PP_Grid[#Data],$DE1220,37),0)</f>
        <v/>
      </c>
      <c r="AO1220">
        <f>IFERROR(INDEX(PP_Grid[#Data],$DE1220,38),0)</f>
        <v/>
      </c>
      <c r="AP1220">
        <f>IFERROR(INDEX(PP_Grid[#Data],$DE1220,39),0)</f>
        <v/>
      </c>
      <c r="AQ1220">
        <f>IFERROR(INDEX(PP_Grid[#Data],$DE1220,40),0)</f>
        <v/>
      </c>
      <c r="AR1220">
        <f>IFERROR(INDEX(PP_Grid[#Data],$DE1220,41),0)</f>
        <v/>
      </c>
      <c r="AS1220">
        <f>IFERROR(INDEX(PP_Grid[#Data],$DE1220,42),0)</f>
        <v/>
      </c>
      <c r="AT1220">
        <f>IFERROR(INDEX(PP_Grid[#Data],$DE1220,43),0)</f>
        <v/>
      </c>
      <c r="AU1220">
        <f>IFERROR(INDEX(PP_Grid[#Data],$DE1220,44),0)</f>
        <v/>
      </c>
      <c r="AV1220">
        <f>IFERROR(INDEX(PP_Grid[#Data],$DE1220,45),0)</f>
        <v/>
      </c>
      <c r="AW1220">
        <f>IFERROR(INDEX(PP_Grid[#Data],$DE1220,46),0)</f>
        <v/>
      </c>
      <c r="AX1220">
        <f>IFERROR(INDEX(PP_Grid[#Data],$DE1220,47),0)</f>
        <v/>
      </c>
      <c r="AY1220">
        <f>IFERROR(INDEX(PP_Grid[#Data],$DE1220,48),0)</f>
        <v/>
      </c>
      <c r="AZ1220">
        <f>IFERROR(INDEX(PP_Grid[#Data],$DE1220,49),0)</f>
        <v/>
      </c>
      <c r="BA1220">
        <f>IFERROR(INDEX(PP_Grid[#Data],$DE1220,50),0)</f>
        <v/>
      </c>
      <c r="BB1220">
        <f>IFERROR(INDEX(PP_Grid[#Data],$DE1220,51),0)</f>
        <v/>
      </c>
      <c r="BC1220">
        <f>IFERROR(INDEX(PP_Grid[#Data],$DE1220,52),0)</f>
        <v/>
      </c>
      <c r="BD1220">
        <f>IFERROR(INDEX(PP_Grid[#Data],$DE1220,53),0)</f>
        <v/>
      </c>
      <c r="BE1220">
        <f>IFERROR(INDEX(PP_Grid[#Data],$DE1220,54),0)</f>
        <v/>
      </c>
      <c r="BF1220">
        <f>IFERROR(INDEX(PP_Grid[#Data],$DE1220,55),0)</f>
        <v/>
      </c>
      <c r="BG1220">
        <f>IFERROR(INDEX(PP_Grid[#Data],$DE1220,56),0)</f>
        <v/>
      </c>
      <c r="BH1220">
        <f>IFERROR(INDEX(PP_Grid[#Data],$DE1220,57),0)</f>
        <v/>
      </c>
      <c r="BI1220">
        <f>IFERROR(INDEX(PP_Grid[#Data],$DE1220,58),0)</f>
        <v/>
      </c>
      <c r="BJ1220">
        <f>IFERROR(INDEX(PP_Grid[#Data],$DE1220,59),0)</f>
        <v/>
      </c>
      <c r="BK1220">
        <f>IFERROR(INDEX(PP_Grid[#Data],$DE1220,60),0)</f>
        <v/>
      </c>
      <c r="BL1220">
        <f>IFERROR(INDEX(PP_Grid[#Data],$DE1220,61),0)</f>
        <v/>
      </c>
      <c r="BM1220">
        <f>IFERROR(INDEX(PP_Grid[#Data],$DE1220,62),0)</f>
        <v/>
      </c>
      <c r="BN1220">
        <f>IFERROR(INDEX(PP_Grid[#Data],$DE1220,63),0)</f>
        <v/>
      </c>
      <c r="BO1220">
        <f>IFERROR(INDEX(PP_Grid[#Data],$DE1220,64),0)</f>
        <v/>
      </c>
      <c r="BP1220">
        <f>IFERROR(INDEX(PP_Grid[#Data],$DE1220,65),0)</f>
        <v/>
      </c>
      <c r="BQ1220">
        <f>IFERROR(INDEX(PP_Grid[#Data],$DE1220,66),0)</f>
        <v/>
      </c>
      <c r="BR1220">
        <f>IFERROR(INDEX(PP_Grid[#Data],$DE1220,67),0)</f>
        <v/>
      </c>
      <c r="BS1220">
        <f>IFERROR(INDEX(PP_Grid[#Data],$DE1220,68),0)</f>
        <v/>
      </c>
      <c r="BT1220">
        <f>IFERROR(INDEX(PP_Grid[#Data],$DE1220,69),0)</f>
        <v/>
      </c>
      <c r="BU1220">
        <f>IFERROR(INDEX(PP_Grid[#Data],$DE1220,70),0)</f>
        <v/>
      </c>
      <c r="BV1220">
        <f>IFERROR(INDEX(PP_Grid[#Data],$DE1220,71),0)</f>
        <v/>
      </c>
      <c r="BW1220">
        <f>IFERROR(INDEX(PP_Grid[#Data],$DE1220,72),0)</f>
        <v/>
      </c>
      <c r="BX1220">
        <f>IFERROR(INDEX(PP_Grid[#Data],$DE1220,73),0)</f>
        <v/>
      </c>
      <c r="BY1220">
        <f>IFERROR(INDEX(PP_Grid[#Data],$DE1220,74),0)</f>
        <v/>
      </c>
      <c r="BZ1220">
        <f>IFERROR(INDEX(PP_Grid[#Data],$DE1220,75),0)</f>
        <v/>
      </c>
      <c r="CA1220">
        <f>IFERROR(INDEX(PP_Grid[#Data],$DE1220,76),0)</f>
        <v/>
      </c>
      <c r="CB1220">
        <f>IFERROR(INDEX(PP_Grid[#Data],$DE1220,77),0)</f>
        <v/>
      </c>
      <c r="CC1220">
        <f>IFERROR(INDEX(PP_Grid[#Data],$DE1220,78),0)</f>
        <v/>
      </c>
      <c r="CD1220">
        <f>IFERROR(INDEX(PP_Grid[#Data],$DE1220,79),0)</f>
        <v/>
      </c>
      <c r="CE1220">
        <f>IFERROR(INDEX(PP_Grid[#Data],$DE1220,80),0)</f>
        <v/>
      </c>
      <c r="CF1220">
        <f>IFERROR(INDEX(PP_Grid[#Data],$DE1220,81),0)</f>
        <v/>
      </c>
      <c r="CG1220">
        <f>IFERROR(INDEX(PP_Grid[#Data],$DE1220,82),0)</f>
        <v/>
      </c>
      <c r="CH1220">
        <f>IFERROR(INDEX(PP_Grid[#Data],$DE1220,83),0)</f>
        <v/>
      </c>
      <c r="CI1220">
        <f>IFERROR(INDEX(PP_Grid[#Data],$DE1220,84),0)</f>
        <v/>
      </c>
      <c r="CJ1220">
        <f>IFERROR(INDEX(PP_Grid[#Data],$DE1220,85),0)</f>
        <v/>
      </c>
      <c r="CK1220">
        <f>IFERROR(INDEX(PP_Grid[#Data],$DE1220,86),0)</f>
        <v/>
      </c>
      <c r="CL1220">
        <f>IFERROR(INDEX(PP_Grid[#Data],$DE1220,87),0)</f>
        <v/>
      </c>
      <c r="CM1220">
        <f>IFERROR(INDEX(PP_Grid[#Data],$DE1220,88),0)</f>
        <v/>
      </c>
      <c r="CN1220">
        <f>IFERROR(INDEX(PP_Grid[#Data],$DE1220,89),0)</f>
        <v/>
      </c>
      <c r="CO1220">
        <f>IFERROR(INDEX(PP_Grid[#Data],$DE1220,90),0)</f>
        <v/>
      </c>
      <c r="CP1220">
        <f>IFERROR(INDEX(PP_Grid[#Data],$DE1220,91),0)</f>
        <v/>
      </c>
      <c r="CQ1220">
        <f>IFERROR(INDEX(PP_Grid[#Data],$DE1220,92),0)</f>
        <v/>
      </c>
      <c r="CR1220">
        <f>IFERROR(INDEX(PP_Grid[#Data],$DE1220,93),0)</f>
        <v/>
      </c>
      <c r="CS1220">
        <f>IFERROR(INDEX(PP_Grid[#Data],$DE1220,94),0)</f>
        <v/>
      </c>
      <c r="CT1220">
        <f>IFERROR(INDEX(PP_Grid[#Data],$DE1220,95),0)</f>
        <v/>
      </c>
      <c r="CU1220">
        <f>IFERROR(INDEX(PP_Grid[#Data],$DE1220,96),0)</f>
        <v/>
      </c>
      <c r="CV1220">
        <f>IFERROR(INDEX(PP_Grid[#Data],$DE1220,97),0)</f>
        <v/>
      </c>
      <c r="CW1220">
        <f>IFERROR(INDEX(PP_Grid[#Data],$DE1220,98),0)</f>
        <v/>
      </c>
      <c r="CX1220">
        <f>IFERROR(INDEX(PP_Grid[#Data],$DE1220,99),0)</f>
        <v/>
      </c>
      <c r="CY1220">
        <f>IFERROR(INDEX(PP_Grid[#Data],$DE1220,100),0)</f>
        <v/>
      </c>
      <c r="CZ1220">
        <f>IFERROR(INDEX(PP_Grid[#Data],$DE1220,101),0)</f>
        <v/>
      </c>
      <c r="DA1220">
        <f>IFERROR(INDEX(PP_Grid[#Data],$DE1220,102),0)</f>
        <v/>
      </c>
      <c r="DB1220">
        <f>IFERROR(INDEX(PP_Grid[#Data],$DE1220,103),0)</f>
        <v/>
      </c>
      <c r="DC1220">
        <f>IFERROR(INDEX(PP_Grid[#Data],$DE1220,104),0)</f>
        <v/>
      </c>
      <c r="DD1220">
        <f>IFERROR(INDEX(PP_Grid[#Data],$DE1220,105),0)</f>
        <v/>
      </c>
      <c r="DE1220" s="7">
        <f>IFERROR(MATCH($B1220,PP_Grid[Intermediate],0),99999)</f>
        <v/>
      </c>
    </row>
    <row r="1221">
      <c r="B1221" t="inlineStr">
        <is>
          <t>使用量(kg)</t>
        </is>
      </c>
      <c r="C1221">
        <f>SUMIFS(M_BOM[RM_Qty_Per_Batch],M_BOM[Intermediate],$B1220,M_BOM[RM_Code],$A1217)</f>
        <v/>
      </c>
      <c r="D1221">
        <f>IFERROR(INDEX(E1221:DD1221,$F$1),"")</f>
        <v/>
      </c>
      <c r="E1221">
        <f>$C1221*E1220</f>
        <v/>
      </c>
      <c r="F1221">
        <f>$C1221*F1220</f>
        <v/>
      </c>
      <c r="G1221">
        <f>$C1221*G1220</f>
        <v/>
      </c>
      <c r="H1221">
        <f>$C1221*H1220</f>
        <v/>
      </c>
      <c r="I1221">
        <f>$C1221*I1220</f>
        <v/>
      </c>
      <c r="J1221">
        <f>$C1221*J1220</f>
        <v/>
      </c>
      <c r="K1221">
        <f>$C1221*K1220</f>
        <v/>
      </c>
      <c r="L1221">
        <f>$C1221*L1220</f>
        <v/>
      </c>
      <c r="M1221">
        <f>$C1221*M1220</f>
        <v/>
      </c>
      <c r="N1221">
        <f>$C1221*N1220</f>
        <v/>
      </c>
      <c r="O1221">
        <f>$C1221*O1220</f>
        <v/>
      </c>
      <c r="P1221">
        <f>$C1221*P1220</f>
        <v/>
      </c>
      <c r="Q1221">
        <f>$C1221*Q1220</f>
        <v/>
      </c>
      <c r="R1221">
        <f>$C1221*R1220</f>
        <v/>
      </c>
      <c r="S1221">
        <f>$C1221*S1220</f>
        <v/>
      </c>
      <c r="T1221">
        <f>$C1221*T1220</f>
        <v/>
      </c>
      <c r="U1221">
        <f>$C1221*U1220</f>
        <v/>
      </c>
      <c r="V1221">
        <f>$C1221*V1220</f>
        <v/>
      </c>
      <c r="W1221">
        <f>$C1221*W1220</f>
        <v/>
      </c>
      <c r="X1221">
        <f>$C1221*X1220</f>
        <v/>
      </c>
      <c r="Y1221">
        <f>$C1221*Y1220</f>
        <v/>
      </c>
      <c r="Z1221">
        <f>$C1221*Z1220</f>
        <v/>
      </c>
      <c r="AA1221">
        <f>$C1221*AA1220</f>
        <v/>
      </c>
      <c r="AB1221">
        <f>$C1221*AB1220</f>
        <v/>
      </c>
      <c r="AC1221">
        <f>$C1221*AC1220</f>
        <v/>
      </c>
      <c r="AD1221">
        <f>$C1221*AD1220</f>
        <v/>
      </c>
      <c r="AE1221">
        <f>$C1221*AE1220</f>
        <v/>
      </c>
      <c r="AF1221">
        <f>$C1221*AF1220</f>
        <v/>
      </c>
      <c r="AG1221">
        <f>$C1221*AG1220</f>
        <v/>
      </c>
      <c r="AH1221">
        <f>$C1221*AH1220</f>
        <v/>
      </c>
      <c r="AI1221">
        <f>$C1221*AI1220</f>
        <v/>
      </c>
      <c r="AJ1221">
        <f>$C1221*AJ1220</f>
        <v/>
      </c>
      <c r="AK1221">
        <f>$C1221*AK1220</f>
        <v/>
      </c>
      <c r="AL1221">
        <f>$C1221*AL1220</f>
        <v/>
      </c>
      <c r="AM1221">
        <f>$C1221*AM1220</f>
        <v/>
      </c>
      <c r="AN1221">
        <f>$C1221*AN1220</f>
        <v/>
      </c>
      <c r="AO1221">
        <f>$C1221*AO1220</f>
        <v/>
      </c>
      <c r="AP1221">
        <f>$C1221*AP1220</f>
        <v/>
      </c>
      <c r="AQ1221">
        <f>$C1221*AQ1220</f>
        <v/>
      </c>
      <c r="AR1221">
        <f>$C1221*AR1220</f>
        <v/>
      </c>
      <c r="AS1221">
        <f>$C1221*AS1220</f>
        <v/>
      </c>
      <c r="AT1221">
        <f>$C1221*AT1220</f>
        <v/>
      </c>
      <c r="AU1221">
        <f>$C1221*AU1220</f>
        <v/>
      </c>
      <c r="AV1221">
        <f>$C1221*AV1220</f>
        <v/>
      </c>
      <c r="AW1221">
        <f>$C1221*AW1220</f>
        <v/>
      </c>
      <c r="AX1221">
        <f>$C1221*AX1220</f>
        <v/>
      </c>
      <c r="AY1221">
        <f>$C1221*AY1220</f>
        <v/>
      </c>
      <c r="AZ1221">
        <f>$C1221*AZ1220</f>
        <v/>
      </c>
      <c r="BA1221">
        <f>$C1221*BA1220</f>
        <v/>
      </c>
      <c r="BB1221">
        <f>$C1221*BB1220</f>
        <v/>
      </c>
      <c r="BC1221">
        <f>$C1221*BC1220</f>
        <v/>
      </c>
      <c r="BD1221">
        <f>$C1221*BD1220</f>
        <v/>
      </c>
      <c r="BE1221">
        <f>$C1221*BE1220</f>
        <v/>
      </c>
      <c r="BF1221">
        <f>$C1221*BF1220</f>
        <v/>
      </c>
      <c r="BG1221">
        <f>$C1221*BG1220</f>
        <v/>
      </c>
      <c r="BH1221">
        <f>$C1221*BH1220</f>
        <v/>
      </c>
      <c r="BI1221">
        <f>$C1221*BI1220</f>
        <v/>
      </c>
      <c r="BJ1221">
        <f>$C1221*BJ1220</f>
        <v/>
      </c>
      <c r="BK1221">
        <f>$C1221*BK1220</f>
        <v/>
      </c>
      <c r="BL1221">
        <f>$C1221*BL1220</f>
        <v/>
      </c>
      <c r="BM1221">
        <f>$C1221*BM1220</f>
        <v/>
      </c>
      <c r="BN1221">
        <f>$C1221*BN1220</f>
        <v/>
      </c>
      <c r="BO1221">
        <f>$C1221*BO1220</f>
        <v/>
      </c>
      <c r="BP1221">
        <f>$C1221*BP1220</f>
        <v/>
      </c>
      <c r="BQ1221">
        <f>$C1221*BQ1220</f>
        <v/>
      </c>
      <c r="BR1221">
        <f>$C1221*BR1220</f>
        <v/>
      </c>
      <c r="BS1221">
        <f>$C1221*BS1220</f>
        <v/>
      </c>
      <c r="BT1221">
        <f>$C1221*BT1220</f>
        <v/>
      </c>
      <c r="BU1221">
        <f>$C1221*BU1220</f>
        <v/>
      </c>
      <c r="BV1221">
        <f>$C1221*BV1220</f>
        <v/>
      </c>
      <c r="BW1221">
        <f>$C1221*BW1220</f>
        <v/>
      </c>
      <c r="BX1221">
        <f>$C1221*BX1220</f>
        <v/>
      </c>
      <c r="BY1221">
        <f>$C1221*BY1220</f>
        <v/>
      </c>
      <c r="BZ1221">
        <f>$C1221*BZ1220</f>
        <v/>
      </c>
      <c r="CA1221">
        <f>$C1221*CA1220</f>
        <v/>
      </c>
      <c r="CB1221">
        <f>$C1221*CB1220</f>
        <v/>
      </c>
      <c r="CC1221">
        <f>$C1221*CC1220</f>
        <v/>
      </c>
      <c r="CD1221">
        <f>$C1221*CD1220</f>
        <v/>
      </c>
      <c r="CE1221">
        <f>$C1221*CE1220</f>
        <v/>
      </c>
      <c r="CF1221">
        <f>$C1221*CF1220</f>
        <v/>
      </c>
      <c r="CG1221">
        <f>$C1221*CG1220</f>
        <v/>
      </c>
      <c r="CH1221">
        <f>$C1221*CH1220</f>
        <v/>
      </c>
      <c r="CI1221">
        <f>$C1221*CI1220</f>
        <v/>
      </c>
      <c r="CJ1221">
        <f>$C1221*CJ1220</f>
        <v/>
      </c>
      <c r="CK1221">
        <f>$C1221*CK1220</f>
        <v/>
      </c>
      <c r="CL1221">
        <f>$C1221*CL1220</f>
        <v/>
      </c>
      <c r="CM1221">
        <f>$C1221*CM1220</f>
        <v/>
      </c>
      <c r="CN1221">
        <f>$C1221*CN1220</f>
        <v/>
      </c>
      <c r="CO1221">
        <f>$C1221*CO1220</f>
        <v/>
      </c>
      <c r="CP1221">
        <f>$C1221*CP1220</f>
        <v/>
      </c>
      <c r="CQ1221">
        <f>$C1221*CQ1220</f>
        <v/>
      </c>
      <c r="CR1221">
        <f>$C1221*CR1220</f>
        <v/>
      </c>
      <c r="CS1221">
        <f>$C1221*CS1220</f>
        <v/>
      </c>
      <c r="CT1221">
        <f>$C1221*CT1220</f>
        <v/>
      </c>
      <c r="CU1221">
        <f>$C1221*CU1220</f>
        <v/>
      </c>
      <c r="CV1221">
        <f>$C1221*CV1220</f>
        <v/>
      </c>
      <c r="CW1221">
        <f>$C1221*CW1220</f>
        <v/>
      </c>
      <c r="CX1221">
        <f>$C1221*CX1220</f>
        <v/>
      </c>
      <c r="CY1221">
        <f>$C1221*CY1220</f>
        <v/>
      </c>
      <c r="CZ1221">
        <f>$C1221*CZ1220</f>
        <v/>
      </c>
      <c r="DA1221">
        <f>$C1221*DA1220</f>
        <v/>
      </c>
      <c r="DB1221">
        <f>$C1221*DB1220</f>
        <v/>
      </c>
      <c r="DC1221">
        <f>$C1221*DC1220</f>
        <v/>
      </c>
      <c r="DD1221">
        <f>$C1221*DD1220</f>
        <v/>
      </c>
    </row>
    <row r="1222">
      <c r="B1222" t="inlineStr">
        <is>
          <t>TSP-966</t>
        </is>
      </c>
      <c r="C1222" t="inlineStr">
        <is>
          <t>No. of batches</t>
        </is>
      </c>
      <c r="D1222">
        <f>IFERROR(INDEX(E1222:DD1222,$F$1),"")</f>
        <v/>
      </c>
      <c r="E1222">
        <f>IFERROR(INDEX(PP_Grid[#Data],$DE1222,2),0)</f>
        <v/>
      </c>
      <c r="F1222">
        <f>IFERROR(INDEX(PP_Grid[#Data],$DE1222,3),0)</f>
        <v/>
      </c>
      <c r="G1222">
        <f>IFERROR(INDEX(PP_Grid[#Data],$DE1222,4),0)</f>
        <v/>
      </c>
      <c r="H1222">
        <f>IFERROR(INDEX(PP_Grid[#Data],$DE1222,5),0)</f>
        <v/>
      </c>
      <c r="I1222">
        <f>IFERROR(INDEX(PP_Grid[#Data],$DE1222,6),0)</f>
        <v/>
      </c>
      <c r="J1222">
        <f>IFERROR(INDEX(PP_Grid[#Data],$DE1222,7),0)</f>
        <v/>
      </c>
      <c r="K1222">
        <f>IFERROR(INDEX(PP_Grid[#Data],$DE1222,8),0)</f>
        <v/>
      </c>
      <c r="L1222">
        <f>IFERROR(INDEX(PP_Grid[#Data],$DE1222,9),0)</f>
        <v/>
      </c>
      <c r="M1222">
        <f>IFERROR(INDEX(PP_Grid[#Data],$DE1222,10),0)</f>
        <v/>
      </c>
      <c r="N1222">
        <f>IFERROR(INDEX(PP_Grid[#Data],$DE1222,11),0)</f>
        <v/>
      </c>
      <c r="O1222">
        <f>IFERROR(INDEX(PP_Grid[#Data],$DE1222,12),0)</f>
        <v/>
      </c>
      <c r="P1222">
        <f>IFERROR(INDEX(PP_Grid[#Data],$DE1222,13),0)</f>
        <v/>
      </c>
      <c r="Q1222">
        <f>IFERROR(INDEX(PP_Grid[#Data],$DE1222,14),0)</f>
        <v/>
      </c>
      <c r="R1222">
        <f>IFERROR(INDEX(PP_Grid[#Data],$DE1222,15),0)</f>
        <v/>
      </c>
      <c r="S1222">
        <f>IFERROR(INDEX(PP_Grid[#Data],$DE1222,16),0)</f>
        <v/>
      </c>
      <c r="T1222">
        <f>IFERROR(INDEX(PP_Grid[#Data],$DE1222,17),0)</f>
        <v/>
      </c>
      <c r="U1222">
        <f>IFERROR(INDEX(PP_Grid[#Data],$DE1222,18),0)</f>
        <v/>
      </c>
      <c r="V1222">
        <f>IFERROR(INDEX(PP_Grid[#Data],$DE1222,19),0)</f>
        <v/>
      </c>
      <c r="W1222">
        <f>IFERROR(INDEX(PP_Grid[#Data],$DE1222,20),0)</f>
        <v/>
      </c>
      <c r="X1222">
        <f>IFERROR(INDEX(PP_Grid[#Data],$DE1222,21),0)</f>
        <v/>
      </c>
      <c r="Y1222">
        <f>IFERROR(INDEX(PP_Grid[#Data],$DE1222,22),0)</f>
        <v/>
      </c>
      <c r="Z1222">
        <f>IFERROR(INDEX(PP_Grid[#Data],$DE1222,23),0)</f>
        <v/>
      </c>
      <c r="AA1222">
        <f>IFERROR(INDEX(PP_Grid[#Data],$DE1222,24),0)</f>
        <v/>
      </c>
      <c r="AB1222">
        <f>IFERROR(INDEX(PP_Grid[#Data],$DE1222,25),0)</f>
        <v/>
      </c>
      <c r="AC1222">
        <f>IFERROR(INDEX(PP_Grid[#Data],$DE1222,26),0)</f>
        <v/>
      </c>
      <c r="AD1222">
        <f>IFERROR(INDEX(PP_Grid[#Data],$DE1222,27),0)</f>
        <v/>
      </c>
      <c r="AE1222">
        <f>IFERROR(INDEX(PP_Grid[#Data],$DE1222,28),0)</f>
        <v/>
      </c>
      <c r="AF1222">
        <f>IFERROR(INDEX(PP_Grid[#Data],$DE1222,29),0)</f>
        <v/>
      </c>
      <c r="AG1222">
        <f>IFERROR(INDEX(PP_Grid[#Data],$DE1222,30),0)</f>
        <v/>
      </c>
      <c r="AH1222">
        <f>IFERROR(INDEX(PP_Grid[#Data],$DE1222,31),0)</f>
        <v/>
      </c>
      <c r="AI1222">
        <f>IFERROR(INDEX(PP_Grid[#Data],$DE1222,32),0)</f>
        <v/>
      </c>
      <c r="AJ1222">
        <f>IFERROR(INDEX(PP_Grid[#Data],$DE1222,33),0)</f>
        <v/>
      </c>
      <c r="AK1222">
        <f>IFERROR(INDEX(PP_Grid[#Data],$DE1222,34),0)</f>
        <v/>
      </c>
      <c r="AL1222">
        <f>IFERROR(INDEX(PP_Grid[#Data],$DE1222,35),0)</f>
        <v/>
      </c>
      <c r="AM1222">
        <f>IFERROR(INDEX(PP_Grid[#Data],$DE1222,36),0)</f>
        <v/>
      </c>
      <c r="AN1222">
        <f>IFERROR(INDEX(PP_Grid[#Data],$DE1222,37),0)</f>
        <v/>
      </c>
      <c r="AO1222">
        <f>IFERROR(INDEX(PP_Grid[#Data],$DE1222,38),0)</f>
        <v/>
      </c>
      <c r="AP1222">
        <f>IFERROR(INDEX(PP_Grid[#Data],$DE1222,39),0)</f>
        <v/>
      </c>
      <c r="AQ1222">
        <f>IFERROR(INDEX(PP_Grid[#Data],$DE1222,40),0)</f>
        <v/>
      </c>
      <c r="AR1222">
        <f>IFERROR(INDEX(PP_Grid[#Data],$DE1222,41),0)</f>
        <v/>
      </c>
      <c r="AS1222">
        <f>IFERROR(INDEX(PP_Grid[#Data],$DE1222,42),0)</f>
        <v/>
      </c>
      <c r="AT1222">
        <f>IFERROR(INDEX(PP_Grid[#Data],$DE1222,43),0)</f>
        <v/>
      </c>
      <c r="AU1222">
        <f>IFERROR(INDEX(PP_Grid[#Data],$DE1222,44),0)</f>
        <v/>
      </c>
      <c r="AV1222">
        <f>IFERROR(INDEX(PP_Grid[#Data],$DE1222,45),0)</f>
        <v/>
      </c>
      <c r="AW1222">
        <f>IFERROR(INDEX(PP_Grid[#Data],$DE1222,46),0)</f>
        <v/>
      </c>
      <c r="AX1222">
        <f>IFERROR(INDEX(PP_Grid[#Data],$DE1222,47),0)</f>
        <v/>
      </c>
      <c r="AY1222">
        <f>IFERROR(INDEX(PP_Grid[#Data],$DE1222,48),0)</f>
        <v/>
      </c>
      <c r="AZ1222">
        <f>IFERROR(INDEX(PP_Grid[#Data],$DE1222,49),0)</f>
        <v/>
      </c>
      <c r="BA1222">
        <f>IFERROR(INDEX(PP_Grid[#Data],$DE1222,50),0)</f>
        <v/>
      </c>
      <c r="BB1222">
        <f>IFERROR(INDEX(PP_Grid[#Data],$DE1222,51),0)</f>
        <v/>
      </c>
      <c r="BC1222">
        <f>IFERROR(INDEX(PP_Grid[#Data],$DE1222,52),0)</f>
        <v/>
      </c>
      <c r="BD1222">
        <f>IFERROR(INDEX(PP_Grid[#Data],$DE1222,53),0)</f>
        <v/>
      </c>
      <c r="BE1222">
        <f>IFERROR(INDEX(PP_Grid[#Data],$DE1222,54),0)</f>
        <v/>
      </c>
      <c r="BF1222">
        <f>IFERROR(INDEX(PP_Grid[#Data],$DE1222,55),0)</f>
        <v/>
      </c>
      <c r="BG1222">
        <f>IFERROR(INDEX(PP_Grid[#Data],$DE1222,56),0)</f>
        <v/>
      </c>
      <c r="BH1222">
        <f>IFERROR(INDEX(PP_Grid[#Data],$DE1222,57),0)</f>
        <v/>
      </c>
      <c r="BI1222">
        <f>IFERROR(INDEX(PP_Grid[#Data],$DE1222,58),0)</f>
        <v/>
      </c>
      <c r="BJ1222">
        <f>IFERROR(INDEX(PP_Grid[#Data],$DE1222,59),0)</f>
        <v/>
      </c>
      <c r="BK1222">
        <f>IFERROR(INDEX(PP_Grid[#Data],$DE1222,60),0)</f>
        <v/>
      </c>
      <c r="BL1222">
        <f>IFERROR(INDEX(PP_Grid[#Data],$DE1222,61),0)</f>
        <v/>
      </c>
      <c r="BM1222">
        <f>IFERROR(INDEX(PP_Grid[#Data],$DE1222,62),0)</f>
        <v/>
      </c>
      <c r="BN1222">
        <f>IFERROR(INDEX(PP_Grid[#Data],$DE1222,63),0)</f>
        <v/>
      </c>
      <c r="BO1222">
        <f>IFERROR(INDEX(PP_Grid[#Data],$DE1222,64),0)</f>
        <v/>
      </c>
      <c r="BP1222">
        <f>IFERROR(INDEX(PP_Grid[#Data],$DE1222,65),0)</f>
        <v/>
      </c>
      <c r="BQ1222">
        <f>IFERROR(INDEX(PP_Grid[#Data],$DE1222,66),0)</f>
        <v/>
      </c>
      <c r="BR1222">
        <f>IFERROR(INDEX(PP_Grid[#Data],$DE1222,67),0)</f>
        <v/>
      </c>
      <c r="BS1222">
        <f>IFERROR(INDEX(PP_Grid[#Data],$DE1222,68),0)</f>
        <v/>
      </c>
      <c r="BT1222">
        <f>IFERROR(INDEX(PP_Grid[#Data],$DE1222,69),0)</f>
        <v/>
      </c>
      <c r="BU1222">
        <f>IFERROR(INDEX(PP_Grid[#Data],$DE1222,70),0)</f>
        <v/>
      </c>
      <c r="BV1222">
        <f>IFERROR(INDEX(PP_Grid[#Data],$DE1222,71),0)</f>
        <v/>
      </c>
      <c r="BW1222">
        <f>IFERROR(INDEX(PP_Grid[#Data],$DE1222,72),0)</f>
        <v/>
      </c>
      <c r="BX1222">
        <f>IFERROR(INDEX(PP_Grid[#Data],$DE1222,73),0)</f>
        <v/>
      </c>
      <c r="BY1222">
        <f>IFERROR(INDEX(PP_Grid[#Data],$DE1222,74),0)</f>
        <v/>
      </c>
      <c r="BZ1222">
        <f>IFERROR(INDEX(PP_Grid[#Data],$DE1222,75),0)</f>
        <v/>
      </c>
      <c r="CA1222">
        <f>IFERROR(INDEX(PP_Grid[#Data],$DE1222,76),0)</f>
        <v/>
      </c>
      <c r="CB1222">
        <f>IFERROR(INDEX(PP_Grid[#Data],$DE1222,77),0)</f>
        <v/>
      </c>
      <c r="CC1222">
        <f>IFERROR(INDEX(PP_Grid[#Data],$DE1222,78),0)</f>
        <v/>
      </c>
      <c r="CD1222">
        <f>IFERROR(INDEX(PP_Grid[#Data],$DE1222,79),0)</f>
        <v/>
      </c>
      <c r="CE1222">
        <f>IFERROR(INDEX(PP_Grid[#Data],$DE1222,80),0)</f>
        <v/>
      </c>
      <c r="CF1222">
        <f>IFERROR(INDEX(PP_Grid[#Data],$DE1222,81),0)</f>
        <v/>
      </c>
      <c r="CG1222">
        <f>IFERROR(INDEX(PP_Grid[#Data],$DE1222,82),0)</f>
        <v/>
      </c>
      <c r="CH1222">
        <f>IFERROR(INDEX(PP_Grid[#Data],$DE1222,83),0)</f>
        <v/>
      </c>
      <c r="CI1222">
        <f>IFERROR(INDEX(PP_Grid[#Data],$DE1222,84),0)</f>
        <v/>
      </c>
      <c r="CJ1222">
        <f>IFERROR(INDEX(PP_Grid[#Data],$DE1222,85),0)</f>
        <v/>
      </c>
      <c r="CK1222">
        <f>IFERROR(INDEX(PP_Grid[#Data],$DE1222,86),0)</f>
        <v/>
      </c>
      <c r="CL1222">
        <f>IFERROR(INDEX(PP_Grid[#Data],$DE1222,87),0)</f>
        <v/>
      </c>
      <c r="CM1222">
        <f>IFERROR(INDEX(PP_Grid[#Data],$DE1222,88),0)</f>
        <v/>
      </c>
      <c r="CN1222">
        <f>IFERROR(INDEX(PP_Grid[#Data],$DE1222,89),0)</f>
        <v/>
      </c>
      <c r="CO1222">
        <f>IFERROR(INDEX(PP_Grid[#Data],$DE1222,90),0)</f>
        <v/>
      </c>
      <c r="CP1222">
        <f>IFERROR(INDEX(PP_Grid[#Data],$DE1222,91),0)</f>
        <v/>
      </c>
      <c r="CQ1222">
        <f>IFERROR(INDEX(PP_Grid[#Data],$DE1222,92),0)</f>
        <v/>
      </c>
      <c r="CR1222">
        <f>IFERROR(INDEX(PP_Grid[#Data],$DE1222,93),0)</f>
        <v/>
      </c>
      <c r="CS1222">
        <f>IFERROR(INDEX(PP_Grid[#Data],$DE1222,94),0)</f>
        <v/>
      </c>
      <c r="CT1222">
        <f>IFERROR(INDEX(PP_Grid[#Data],$DE1222,95),0)</f>
        <v/>
      </c>
      <c r="CU1222">
        <f>IFERROR(INDEX(PP_Grid[#Data],$DE1222,96),0)</f>
        <v/>
      </c>
      <c r="CV1222">
        <f>IFERROR(INDEX(PP_Grid[#Data],$DE1222,97),0)</f>
        <v/>
      </c>
      <c r="CW1222">
        <f>IFERROR(INDEX(PP_Grid[#Data],$DE1222,98),0)</f>
        <v/>
      </c>
      <c r="CX1222">
        <f>IFERROR(INDEX(PP_Grid[#Data],$DE1222,99),0)</f>
        <v/>
      </c>
      <c r="CY1222">
        <f>IFERROR(INDEX(PP_Grid[#Data],$DE1222,100),0)</f>
        <v/>
      </c>
      <c r="CZ1222">
        <f>IFERROR(INDEX(PP_Grid[#Data],$DE1222,101),0)</f>
        <v/>
      </c>
      <c r="DA1222">
        <f>IFERROR(INDEX(PP_Grid[#Data],$DE1222,102),0)</f>
        <v/>
      </c>
      <c r="DB1222">
        <f>IFERROR(INDEX(PP_Grid[#Data],$DE1222,103),0)</f>
        <v/>
      </c>
      <c r="DC1222">
        <f>IFERROR(INDEX(PP_Grid[#Data],$DE1222,104),0)</f>
        <v/>
      </c>
      <c r="DD1222">
        <f>IFERROR(INDEX(PP_Grid[#Data],$DE1222,105),0)</f>
        <v/>
      </c>
      <c r="DE1222" s="7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SUMIFS(M_BOM[RM_Qty_Per_Batch],M_BOM[Intermediate],$B1222,M_BOM[RM_Code],$A1217)</f>
        <v/>
      </c>
      <c r="D1223">
        <f>IFERROR(INDEX(E1223:DD1223,$F$1),"")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  <c r="DD1223">
        <f>$C1223*DD1222</f>
        <v/>
      </c>
    </row>
    <row r="1224">
      <c r="B1224" s="4" t="inlineStr">
        <is>
          <t>合計使用量(kg)/週</t>
        </is>
      </c>
      <c r="D1224" s="22">
        <f>IFERROR(INDEX(E1224:DD1224,$F$1),"")</f>
        <v/>
      </c>
      <c r="E1224">
        <f>'Grid_Requirement'!B8</f>
        <v/>
      </c>
      <c r="F1224">
        <f>'Grid_Requirement'!C8</f>
        <v/>
      </c>
      <c r="G1224">
        <f>'Grid_Requirement'!D8</f>
        <v/>
      </c>
      <c r="H1224">
        <f>'Grid_Requirement'!E8</f>
        <v/>
      </c>
      <c r="I1224">
        <f>'Grid_Requirement'!F8</f>
        <v/>
      </c>
      <c r="J1224">
        <f>'Grid_Requirement'!G8</f>
        <v/>
      </c>
      <c r="K1224">
        <f>'Grid_Requirement'!H8</f>
        <v/>
      </c>
      <c r="L1224">
        <f>'Grid_Requirement'!I8</f>
        <v/>
      </c>
      <c r="M1224">
        <f>'Grid_Requirement'!J8</f>
        <v/>
      </c>
      <c r="N1224">
        <f>'Grid_Requirement'!K8</f>
        <v/>
      </c>
      <c r="O1224">
        <f>'Grid_Requirement'!L8</f>
        <v/>
      </c>
      <c r="P1224">
        <f>'Grid_Requirement'!M8</f>
        <v/>
      </c>
      <c r="Q1224">
        <f>'Grid_Requirement'!N8</f>
        <v/>
      </c>
      <c r="R1224">
        <f>'Grid_Requirement'!O8</f>
        <v/>
      </c>
      <c r="S1224">
        <f>'Grid_Requirement'!P8</f>
        <v/>
      </c>
      <c r="T1224">
        <f>'Grid_Requirement'!Q8</f>
        <v/>
      </c>
      <c r="U1224">
        <f>'Grid_Requirement'!R8</f>
        <v/>
      </c>
      <c r="V1224">
        <f>'Grid_Requirement'!S8</f>
        <v/>
      </c>
      <c r="W1224">
        <f>'Grid_Requirement'!T8</f>
        <v/>
      </c>
      <c r="X1224">
        <f>'Grid_Requirement'!U8</f>
        <v/>
      </c>
      <c r="Y1224">
        <f>'Grid_Requirement'!V8</f>
        <v/>
      </c>
      <c r="Z1224">
        <f>'Grid_Requirement'!W8</f>
        <v/>
      </c>
      <c r="AA1224">
        <f>'Grid_Requirement'!X8</f>
        <v/>
      </c>
      <c r="AB1224">
        <f>'Grid_Requirement'!Y8</f>
        <v/>
      </c>
      <c r="AC1224">
        <f>'Grid_Requirement'!Z8</f>
        <v/>
      </c>
      <c r="AD1224">
        <f>'Grid_Requirement'!AA8</f>
        <v/>
      </c>
      <c r="AE1224">
        <f>'Grid_Requirement'!AB8</f>
        <v/>
      </c>
      <c r="AF1224">
        <f>'Grid_Requirement'!AC8</f>
        <v/>
      </c>
      <c r="AG1224">
        <f>'Grid_Requirement'!AD8</f>
        <v/>
      </c>
      <c r="AH1224">
        <f>'Grid_Requirement'!AE8</f>
        <v/>
      </c>
      <c r="AI1224">
        <f>'Grid_Requirement'!AF8</f>
        <v/>
      </c>
      <c r="AJ1224">
        <f>'Grid_Requirement'!AG8</f>
        <v/>
      </c>
      <c r="AK1224">
        <f>'Grid_Requirement'!AH8</f>
        <v/>
      </c>
      <c r="AL1224">
        <f>'Grid_Requirement'!AI8</f>
        <v/>
      </c>
      <c r="AM1224">
        <f>'Grid_Requirement'!AJ8</f>
        <v/>
      </c>
      <c r="AN1224">
        <f>'Grid_Requirement'!AK8</f>
        <v/>
      </c>
      <c r="AO1224">
        <f>'Grid_Requirement'!AL8</f>
        <v/>
      </c>
      <c r="AP1224">
        <f>'Grid_Requirement'!AM8</f>
        <v/>
      </c>
      <c r="AQ1224">
        <f>'Grid_Requirement'!AN8</f>
        <v/>
      </c>
      <c r="AR1224">
        <f>'Grid_Requirement'!AO8</f>
        <v/>
      </c>
      <c r="AS1224">
        <f>'Grid_Requirement'!AP8</f>
        <v/>
      </c>
      <c r="AT1224">
        <f>'Grid_Requirement'!AQ8</f>
        <v/>
      </c>
      <c r="AU1224">
        <f>'Grid_Requirement'!AR8</f>
        <v/>
      </c>
      <c r="AV1224">
        <f>'Grid_Requirement'!AS8</f>
        <v/>
      </c>
      <c r="AW1224">
        <f>'Grid_Requirement'!AT8</f>
        <v/>
      </c>
      <c r="AX1224">
        <f>'Grid_Requirement'!AU8</f>
        <v/>
      </c>
      <c r="AY1224">
        <f>'Grid_Requirement'!AV8</f>
        <v/>
      </c>
      <c r="AZ1224">
        <f>'Grid_Requirement'!AW8</f>
        <v/>
      </c>
      <c r="BA1224">
        <f>'Grid_Requirement'!AX8</f>
        <v/>
      </c>
      <c r="BB1224">
        <f>'Grid_Requirement'!AY8</f>
        <v/>
      </c>
      <c r="BC1224">
        <f>'Grid_Requirement'!AZ8</f>
        <v/>
      </c>
      <c r="BD1224">
        <f>'Grid_Requirement'!BA8</f>
        <v/>
      </c>
      <c r="BE1224">
        <f>'Grid_Requirement'!BB8</f>
        <v/>
      </c>
      <c r="BF1224">
        <f>'Grid_Requirement'!BC8</f>
        <v/>
      </c>
      <c r="BG1224">
        <f>'Grid_Requirement'!BD8</f>
        <v/>
      </c>
      <c r="BH1224">
        <f>'Grid_Requirement'!BE8</f>
        <v/>
      </c>
      <c r="BI1224">
        <f>'Grid_Requirement'!BF8</f>
        <v/>
      </c>
      <c r="BJ1224">
        <f>'Grid_Requirement'!BG8</f>
        <v/>
      </c>
      <c r="BK1224">
        <f>'Grid_Requirement'!BH8</f>
        <v/>
      </c>
      <c r="BL1224">
        <f>'Grid_Requirement'!BI8</f>
        <v/>
      </c>
      <c r="BM1224">
        <f>'Grid_Requirement'!BJ8</f>
        <v/>
      </c>
      <c r="BN1224">
        <f>'Grid_Requirement'!BK8</f>
        <v/>
      </c>
      <c r="BO1224">
        <f>'Grid_Requirement'!BL8</f>
        <v/>
      </c>
      <c r="BP1224">
        <f>'Grid_Requirement'!BM8</f>
        <v/>
      </c>
      <c r="BQ1224">
        <f>'Grid_Requirement'!BN8</f>
        <v/>
      </c>
      <c r="BR1224">
        <f>'Grid_Requirement'!BO8</f>
        <v/>
      </c>
      <c r="BS1224">
        <f>'Grid_Requirement'!BP8</f>
        <v/>
      </c>
      <c r="BT1224">
        <f>'Grid_Requirement'!BQ8</f>
        <v/>
      </c>
      <c r="BU1224">
        <f>'Grid_Requirement'!BR8</f>
        <v/>
      </c>
      <c r="BV1224">
        <f>'Grid_Requirement'!BS8</f>
        <v/>
      </c>
      <c r="BW1224">
        <f>'Grid_Requirement'!BT8</f>
        <v/>
      </c>
      <c r="BX1224">
        <f>'Grid_Requirement'!BU8</f>
        <v/>
      </c>
      <c r="BY1224">
        <f>'Grid_Requirement'!BV8</f>
        <v/>
      </c>
      <c r="BZ1224">
        <f>'Grid_Requirement'!BW8</f>
        <v/>
      </c>
      <c r="CA1224">
        <f>'Grid_Requirement'!BX8</f>
        <v/>
      </c>
      <c r="CB1224">
        <f>'Grid_Requirement'!BY8</f>
        <v/>
      </c>
      <c r="CC1224">
        <f>'Grid_Requirement'!BZ8</f>
        <v/>
      </c>
      <c r="CD1224">
        <f>'Grid_Requirement'!CA8</f>
        <v/>
      </c>
      <c r="CE1224">
        <f>'Grid_Requirement'!CB8</f>
        <v/>
      </c>
      <c r="CF1224">
        <f>'Grid_Requirement'!CC8</f>
        <v/>
      </c>
      <c r="CG1224">
        <f>'Grid_Requirement'!CD8</f>
        <v/>
      </c>
      <c r="CH1224">
        <f>'Grid_Requirement'!CE8</f>
        <v/>
      </c>
      <c r="CI1224">
        <f>'Grid_Requirement'!CF8</f>
        <v/>
      </c>
      <c r="CJ1224">
        <f>'Grid_Requirement'!CG8</f>
        <v/>
      </c>
      <c r="CK1224">
        <f>'Grid_Requirement'!CH8</f>
        <v/>
      </c>
      <c r="CL1224">
        <f>'Grid_Requirement'!CI8</f>
        <v/>
      </c>
      <c r="CM1224">
        <f>'Grid_Requirement'!CJ8</f>
        <v/>
      </c>
      <c r="CN1224">
        <f>'Grid_Requirement'!CK8</f>
        <v/>
      </c>
      <c r="CO1224">
        <f>'Grid_Requirement'!CL8</f>
        <v/>
      </c>
      <c r="CP1224">
        <f>'Grid_Requirement'!CM8</f>
        <v/>
      </c>
      <c r="CQ1224">
        <f>'Grid_Requirement'!CN8</f>
        <v/>
      </c>
      <c r="CR1224">
        <f>'Grid_Requirement'!CO8</f>
        <v/>
      </c>
      <c r="CS1224">
        <f>'Grid_Requirement'!CP8</f>
        <v/>
      </c>
      <c r="CT1224">
        <f>'Grid_Requirement'!CQ8</f>
        <v/>
      </c>
      <c r="CU1224">
        <f>'Grid_Requirement'!CR8</f>
        <v/>
      </c>
      <c r="CV1224">
        <f>'Grid_Requirement'!CS8</f>
        <v/>
      </c>
      <c r="CW1224">
        <f>'Grid_Requirement'!CT8</f>
        <v/>
      </c>
      <c r="CX1224">
        <f>'Grid_Requirement'!CU8</f>
        <v/>
      </c>
      <c r="CY1224">
        <f>'Grid_Requirement'!CV8</f>
        <v/>
      </c>
      <c r="CZ1224">
        <f>'Grid_Requirement'!CW8</f>
        <v/>
      </c>
      <c r="DA1224">
        <f>'Grid_Requirement'!CX8</f>
        <v/>
      </c>
      <c r="DB1224">
        <f>'Grid_Requirement'!CY8</f>
        <v/>
      </c>
      <c r="DC1224">
        <f>'Grid_Requirement'!CZ8</f>
        <v/>
      </c>
      <c r="DD1224">
        <f>'Grid_Requirement'!DA8</f>
        <v/>
      </c>
    </row>
    <row r="1225">
      <c r="B1225" s="23" t="inlineStr">
        <is>
          <t>（在庫・入荷予定はDashboard参照）</t>
        </is>
      </c>
    </row>
    <row r="1227">
      <c r="A1227" s="21" t="inlineStr">
        <is>
          <t>TSZ-616</t>
        </is>
      </c>
      <c r="B1227" s="21" t="inlineStr">
        <is>
          <t>TSZ-616 Slurry - NO PGM</t>
        </is>
      </c>
      <c r="C1227" s="21" t="n"/>
      <c r="D1227" s="21" t="n"/>
      <c r="E1227" s="21" t="n"/>
      <c r="F1227" s="21" t="n"/>
      <c r="G1227" s="21" t="n"/>
      <c r="H1227" s="21" t="n"/>
      <c r="I1227" s="21" t="n"/>
      <c r="J1227" s="21" t="n"/>
      <c r="K1227" s="21" t="n"/>
      <c r="L1227" s="21" t="n"/>
      <c r="M1227" s="21" t="n"/>
      <c r="N1227" s="21" t="n"/>
      <c r="O1227" s="21" t="n"/>
      <c r="P1227" s="21" t="n"/>
      <c r="Q1227" s="21" t="n"/>
      <c r="R1227" s="21" t="n"/>
      <c r="S1227" s="21" t="n"/>
      <c r="T1227" s="21" t="n"/>
      <c r="U1227" s="21" t="n"/>
      <c r="V1227" s="21" t="n"/>
      <c r="W1227" s="21" t="n"/>
      <c r="X1227" s="21" t="n"/>
      <c r="Y1227" s="21" t="n"/>
      <c r="Z1227" s="21" t="n"/>
      <c r="AA1227" s="21" t="n"/>
      <c r="AB1227" s="21" t="n"/>
      <c r="AC1227" s="21" t="n"/>
      <c r="AD1227" s="21" t="n"/>
      <c r="AE1227" s="21" t="n"/>
      <c r="AF1227" s="21" t="n"/>
      <c r="AG1227" s="21" t="n"/>
      <c r="AH1227" s="21" t="n"/>
      <c r="AI1227" s="21" t="n"/>
      <c r="AJ1227" s="21" t="n"/>
      <c r="AK1227" s="21" t="n"/>
      <c r="AL1227" s="21" t="n"/>
      <c r="AM1227" s="21" t="n"/>
      <c r="AN1227" s="21" t="n"/>
      <c r="AO1227" s="21" t="n"/>
      <c r="AP1227" s="21" t="n"/>
      <c r="AQ1227" s="21" t="n"/>
      <c r="AR1227" s="21" t="n"/>
      <c r="AS1227" s="21" t="n"/>
      <c r="AT1227" s="21" t="n"/>
      <c r="AU1227" s="21" t="n"/>
      <c r="AV1227" s="21" t="n"/>
      <c r="AW1227" s="21" t="n"/>
      <c r="AX1227" s="21" t="n"/>
      <c r="AY1227" s="21" t="n"/>
      <c r="AZ1227" s="21" t="n"/>
      <c r="BA1227" s="21" t="n"/>
      <c r="BB1227" s="21" t="n"/>
      <c r="BC1227" s="21" t="n"/>
      <c r="BD1227" s="21" t="n"/>
      <c r="BE1227" s="21" t="n"/>
      <c r="BF1227" s="21" t="n"/>
      <c r="BG1227" s="21" t="n"/>
      <c r="BH1227" s="21" t="n"/>
      <c r="BI1227" s="21" t="n"/>
      <c r="BJ1227" s="21" t="n"/>
      <c r="BK1227" s="21" t="n"/>
      <c r="BL1227" s="21" t="n"/>
      <c r="BM1227" s="21" t="n"/>
      <c r="BN1227" s="21" t="n"/>
      <c r="BO1227" s="21" t="n"/>
      <c r="BP1227" s="21" t="n"/>
      <c r="BQ1227" s="21" t="n"/>
      <c r="BR1227" s="21" t="n"/>
      <c r="BS1227" s="21" t="n"/>
      <c r="BT1227" s="21" t="n"/>
      <c r="BU1227" s="21" t="n"/>
      <c r="BV1227" s="21" t="n"/>
      <c r="BW1227" s="21" t="n"/>
      <c r="BX1227" s="21" t="n"/>
      <c r="BY1227" s="21" t="n"/>
      <c r="BZ1227" s="21" t="n"/>
      <c r="CA1227" s="21" t="n"/>
      <c r="CB1227" s="21" t="n"/>
      <c r="CC1227" s="21" t="n"/>
      <c r="CD1227" s="21" t="n"/>
      <c r="CE1227" s="21" t="n"/>
      <c r="CF1227" s="21" t="n"/>
      <c r="CG1227" s="21" t="n"/>
      <c r="CH1227" s="21" t="n"/>
      <c r="CI1227" s="21" t="n"/>
      <c r="CJ1227" s="21" t="n"/>
      <c r="CK1227" s="21" t="n"/>
      <c r="CL1227" s="21" t="n"/>
      <c r="CM1227" s="21" t="n"/>
      <c r="CN1227" s="21" t="n"/>
      <c r="CO1227" s="21" t="n"/>
      <c r="CP1227" s="21" t="n"/>
      <c r="CQ1227" s="21" t="n"/>
      <c r="CR1227" s="21" t="n"/>
      <c r="CS1227" s="21" t="n"/>
      <c r="CT1227" s="21" t="n"/>
      <c r="CU1227" s="21" t="n"/>
      <c r="CV1227" s="21" t="n"/>
      <c r="CW1227" s="21" t="n"/>
      <c r="CX1227" s="21" t="n"/>
      <c r="CY1227" s="21" t="n"/>
      <c r="CZ1227" s="21" t="n"/>
      <c r="DA1227" s="21" t="n"/>
      <c r="DB1227" s="21" t="n"/>
      <c r="DC1227" s="21" t="n"/>
      <c r="DD1227" s="21" t="n"/>
    </row>
    <row r="1228">
      <c r="B1228" t="inlineStr">
        <is>
          <t>TSP-618</t>
        </is>
      </c>
      <c r="C1228" t="inlineStr">
        <is>
          <t>No. of batches</t>
        </is>
      </c>
      <c r="D1228">
        <f>IFERROR(INDEX(E1228:DD1228,$F$1),"")</f>
        <v/>
      </c>
      <c r="E1228">
        <f>IFERROR(INDEX(PP_Grid[#Data],$DE1228,2),0)</f>
        <v/>
      </c>
      <c r="F1228">
        <f>IFERROR(INDEX(PP_Grid[#Data],$DE1228,3),0)</f>
        <v/>
      </c>
      <c r="G1228">
        <f>IFERROR(INDEX(PP_Grid[#Data],$DE1228,4),0)</f>
        <v/>
      </c>
      <c r="H1228">
        <f>IFERROR(INDEX(PP_Grid[#Data],$DE1228,5),0)</f>
        <v/>
      </c>
      <c r="I1228">
        <f>IFERROR(INDEX(PP_Grid[#Data],$DE1228,6),0)</f>
        <v/>
      </c>
      <c r="J1228">
        <f>IFERROR(INDEX(PP_Grid[#Data],$DE1228,7),0)</f>
        <v/>
      </c>
      <c r="K1228">
        <f>IFERROR(INDEX(PP_Grid[#Data],$DE1228,8),0)</f>
        <v/>
      </c>
      <c r="L1228">
        <f>IFERROR(INDEX(PP_Grid[#Data],$DE1228,9),0)</f>
        <v/>
      </c>
      <c r="M1228">
        <f>IFERROR(INDEX(PP_Grid[#Data],$DE1228,10),0)</f>
        <v/>
      </c>
      <c r="N1228">
        <f>IFERROR(INDEX(PP_Grid[#Data],$DE1228,11),0)</f>
        <v/>
      </c>
      <c r="O1228">
        <f>IFERROR(INDEX(PP_Grid[#Data],$DE1228,12),0)</f>
        <v/>
      </c>
      <c r="P1228">
        <f>IFERROR(INDEX(PP_Grid[#Data],$DE1228,13),0)</f>
        <v/>
      </c>
      <c r="Q1228">
        <f>IFERROR(INDEX(PP_Grid[#Data],$DE1228,14),0)</f>
        <v/>
      </c>
      <c r="R1228">
        <f>IFERROR(INDEX(PP_Grid[#Data],$DE1228,15),0)</f>
        <v/>
      </c>
      <c r="S1228">
        <f>IFERROR(INDEX(PP_Grid[#Data],$DE1228,16),0)</f>
        <v/>
      </c>
      <c r="T1228">
        <f>IFERROR(INDEX(PP_Grid[#Data],$DE1228,17),0)</f>
        <v/>
      </c>
      <c r="U1228">
        <f>IFERROR(INDEX(PP_Grid[#Data],$DE1228,18),0)</f>
        <v/>
      </c>
      <c r="V1228">
        <f>IFERROR(INDEX(PP_Grid[#Data],$DE1228,19),0)</f>
        <v/>
      </c>
      <c r="W1228">
        <f>IFERROR(INDEX(PP_Grid[#Data],$DE1228,20),0)</f>
        <v/>
      </c>
      <c r="X1228">
        <f>IFERROR(INDEX(PP_Grid[#Data],$DE1228,21),0)</f>
        <v/>
      </c>
      <c r="Y1228">
        <f>IFERROR(INDEX(PP_Grid[#Data],$DE1228,22),0)</f>
        <v/>
      </c>
      <c r="Z1228">
        <f>IFERROR(INDEX(PP_Grid[#Data],$DE1228,23),0)</f>
        <v/>
      </c>
      <c r="AA1228">
        <f>IFERROR(INDEX(PP_Grid[#Data],$DE1228,24),0)</f>
        <v/>
      </c>
      <c r="AB1228">
        <f>IFERROR(INDEX(PP_Grid[#Data],$DE1228,25),0)</f>
        <v/>
      </c>
      <c r="AC1228">
        <f>IFERROR(INDEX(PP_Grid[#Data],$DE1228,26),0)</f>
        <v/>
      </c>
      <c r="AD1228">
        <f>IFERROR(INDEX(PP_Grid[#Data],$DE1228,27),0)</f>
        <v/>
      </c>
      <c r="AE1228">
        <f>IFERROR(INDEX(PP_Grid[#Data],$DE1228,28),0)</f>
        <v/>
      </c>
      <c r="AF1228">
        <f>IFERROR(INDEX(PP_Grid[#Data],$DE1228,29),0)</f>
        <v/>
      </c>
      <c r="AG1228">
        <f>IFERROR(INDEX(PP_Grid[#Data],$DE1228,30),0)</f>
        <v/>
      </c>
      <c r="AH1228">
        <f>IFERROR(INDEX(PP_Grid[#Data],$DE1228,31),0)</f>
        <v/>
      </c>
      <c r="AI1228">
        <f>IFERROR(INDEX(PP_Grid[#Data],$DE1228,32),0)</f>
        <v/>
      </c>
      <c r="AJ1228">
        <f>IFERROR(INDEX(PP_Grid[#Data],$DE1228,33),0)</f>
        <v/>
      </c>
      <c r="AK1228">
        <f>IFERROR(INDEX(PP_Grid[#Data],$DE1228,34),0)</f>
        <v/>
      </c>
      <c r="AL1228">
        <f>IFERROR(INDEX(PP_Grid[#Data],$DE1228,35),0)</f>
        <v/>
      </c>
      <c r="AM1228">
        <f>IFERROR(INDEX(PP_Grid[#Data],$DE1228,36),0)</f>
        <v/>
      </c>
      <c r="AN1228">
        <f>IFERROR(INDEX(PP_Grid[#Data],$DE1228,37),0)</f>
        <v/>
      </c>
      <c r="AO1228">
        <f>IFERROR(INDEX(PP_Grid[#Data],$DE1228,38),0)</f>
        <v/>
      </c>
      <c r="AP1228">
        <f>IFERROR(INDEX(PP_Grid[#Data],$DE1228,39),0)</f>
        <v/>
      </c>
      <c r="AQ1228">
        <f>IFERROR(INDEX(PP_Grid[#Data],$DE1228,40),0)</f>
        <v/>
      </c>
      <c r="AR1228">
        <f>IFERROR(INDEX(PP_Grid[#Data],$DE1228,41),0)</f>
        <v/>
      </c>
      <c r="AS1228">
        <f>IFERROR(INDEX(PP_Grid[#Data],$DE1228,42),0)</f>
        <v/>
      </c>
      <c r="AT1228">
        <f>IFERROR(INDEX(PP_Grid[#Data],$DE1228,43),0)</f>
        <v/>
      </c>
      <c r="AU1228">
        <f>IFERROR(INDEX(PP_Grid[#Data],$DE1228,44),0)</f>
        <v/>
      </c>
      <c r="AV1228">
        <f>IFERROR(INDEX(PP_Grid[#Data],$DE1228,45),0)</f>
        <v/>
      </c>
      <c r="AW1228">
        <f>IFERROR(INDEX(PP_Grid[#Data],$DE1228,46),0)</f>
        <v/>
      </c>
      <c r="AX1228">
        <f>IFERROR(INDEX(PP_Grid[#Data],$DE1228,47),0)</f>
        <v/>
      </c>
      <c r="AY1228">
        <f>IFERROR(INDEX(PP_Grid[#Data],$DE1228,48),0)</f>
        <v/>
      </c>
      <c r="AZ1228">
        <f>IFERROR(INDEX(PP_Grid[#Data],$DE1228,49),0)</f>
        <v/>
      </c>
      <c r="BA1228">
        <f>IFERROR(INDEX(PP_Grid[#Data],$DE1228,50),0)</f>
        <v/>
      </c>
      <c r="BB1228">
        <f>IFERROR(INDEX(PP_Grid[#Data],$DE1228,51),0)</f>
        <v/>
      </c>
      <c r="BC1228">
        <f>IFERROR(INDEX(PP_Grid[#Data],$DE1228,52),0)</f>
        <v/>
      </c>
      <c r="BD1228">
        <f>IFERROR(INDEX(PP_Grid[#Data],$DE1228,53),0)</f>
        <v/>
      </c>
      <c r="BE1228">
        <f>IFERROR(INDEX(PP_Grid[#Data],$DE1228,54),0)</f>
        <v/>
      </c>
      <c r="BF1228">
        <f>IFERROR(INDEX(PP_Grid[#Data],$DE1228,55),0)</f>
        <v/>
      </c>
      <c r="BG1228">
        <f>IFERROR(INDEX(PP_Grid[#Data],$DE1228,56),0)</f>
        <v/>
      </c>
      <c r="BH1228">
        <f>IFERROR(INDEX(PP_Grid[#Data],$DE1228,57),0)</f>
        <v/>
      </c>
      <c r="BI1228">
        <f>IFERROR(INDEX(PP_Grid[#Data],$DE1228,58),0)</f>
        <v/>
      </c>
      <c r="BJ1228">
        <f>IFERROR(INDEX(PP_Grid[#Data],$DE1228,59),0)</f>
        <v/>
      </c>
      <c r="BK1228">
        <f>IFERROR(INDEX(PP_Grid[#Data],$DE1228,60),0)</f>
        <v/>
      </c>
      <c r="BL1228">
        <f>IFERROR(INDEX(PP_Grid[#Data],$DE1228,61),0)</f>
        <v/>
      </c>
      <c r="BM1228">
        <f>IFERROR(INDEX(PP_Grid[#Data],$DE1228,62),0)</f>
        <v/>
      </c>
      <c r="BN1228">
        <f>IFERROR(INDEX(PP_Grid[#Data],$DE1228,63),0)</f>
        <v/>
      </c>
      <c r="BO1228">
        <f>IFERROR(INDEX(PP_Grid[#Data],$DE1228,64),0)</f>
        <v/>
      </c>
      <c r="BP1228">
        <f>IFERROR(INDEX(PP_Grid[#Data],$DE1228,65),0)</f>
        <v/>
      </c>
      <c r="BQ1228">
        <f>IFERROR(INDEX(PP_Grid[#Data],$DE1228,66),0)</f>
        <v/>
      </c>
      <c r="BR1228">
        <f>IFERROR(INDEX(PP_Grid[#Data],$DE1228,67),0)</f>
        <v/>
      </c>
      <c r="BS1228">
        <f>IFERROR(INDEX(PP_Grid[#Data],$DE1228,68),0)</f>
        <v/>
      </c>
      <c r="BT1228">
        <f>IFERROR(INDEX(PP_Grid[#Data],$DE1228,69),0)</f>
        <v/>
      </c>
      <c r="BU1228">
        <f>IFERROR(INDEX(PP_Grid[#Data],$DE1228,70),0)</f>
        <v/>
      </c>
      <c r="BV1228">
        <f>IFERROR(INDEX(PP_Grid[#Data],$DE1228,71),0)</f>
        <v/>
      </c>
      <c r="BW1228">
        <f>IFERROR(INDEX(PP_Grid[#Data],$DE1228,72),0)</f>
        <v/>
      </c>
      <c r="BX1228">
        <f>IFERROR(INDEX(PP_Grid[#Data],$DE1228,73),0)</f>
        <v/>
      </c>
      <c r="BY1228">
        <f>IFERROR(INDEX(PP_Grid[#Data],$DE1228,74),0)</f>
        <v/>
      </c>
      <c r="BZ1228">
        <f>IFERROR(INDEX(PP_Grid[#Data],$DE1228,75),0)</f>
        <v/>
      </c>
      <c r="CA1228">
        <f>IFERROR(INDEX(PP_Grid[#Data],$DE1228,76),0)</f>
        <v/>
      </c>
      <c r="CB1228">
        <f>IFERROR(INDEX(PP_Grid[#Data],$DE1228,77),0)</f>
        <v/>
      </c>
      <c r="CC1228">
        <f>IFERROR(INDEX(PP_Grid[#Data],$DE1228,78),0)</f>
        <v/>
      </c>
      <c r="CD1228">
        <f>IFERROR(INDEX(PP_Grid[#Data],$DE1228,79),0)</f>
        <v/>
      </c>
      <c r="CE1228">
        <f>IFERROR(INDEX(PP_Grid[#Data],$DE1228,80),0)</f>
        <v/>
      </c>
      <c r="CF1228">
        <f>IFERROR(INDEX(PP_Grid[#Data],$DE1228,81),0)</f>
        <v/>
      </c>
      <c r="CG1228">
        <f>IFERROR(INDEX(PP_Grid[#Data],$DE1228,82),0)</f>
        <v/>
      </c>
      <c r="CH1228">
        <f>IFERROR(INDEX(PP_Grid[#Data],$DE1228,83),0)</f>
        <v/>
      </c>
      <c r="CI1228">
        <f>IFERROR(INDEX(PP_Grid[#Data],$DE1228,84),0)</f>
        <v/>
      </c>
      <c r="CJ1228">
        <f>IFERROR(INDEX(PP_Grid[#Data],$DE1228,85),0)</f>
        <v/>
      </c>
      <c r="CK1228">
        <f>IFERROR(INDEX(PP_Grid[#Data],$DE1228,86),0)</f>
        <v/>
      </c>
      <c r="CL1228">
        <f>IFERROR(INDEX(PP_Grid[#Data],$DE1228,87),0)</f>
        <v/>
      </c>
      <c r="CM1228">
        <f>IFERROR(INDEX(PP_Grid[#Data],$DE1228,88),0)</f>
        <v/>
      </c>
      <c r="CN1228">
        <f>IFERROR(INDEX(PP_Grid[#Data],$DE1228,89),0)</f>
        <v/>
      </c>
      <c r="CO1228">
        <f>IFERROR(INDEX(PP_Grid[#Data],$DE1228,90),0)</f>
        <v/>
      </c>
      <c r="CP1228">
        <f>IFERROR(INDEX(PP_Grid[#Data],$DE1228,91),0)</f>
        <v/>
      </c>
      <c r="CQ1228">
        <f>IFERROR(INDEX(PP_Grid[#Data],$DE1228,92),0)</f>
        <v/>
      </c>
      <c r="CR1228">
        <f>IFERROR(INDEX(PP_Grid[#Data],$DE1228,93),0)</f>
        <v/>
      </c>
      <c r="CS1228">
        <f>IFERROR(INDEX(PP_Grid[#Data],$DE1228,94),0)</f>
        <v/>
      </c>
      <c r="CT1228">
        <f>IFERROR(INDEX(PP_Grid[#Data],$DE1228,95),0)</f>
        <v/>
      </c>
      <c r="CU1228">
        <f>IFERROR(INDEX(PP_Grid[#Data],$DE1228,96),0)</f>
        <v/>
      </c>
      <c r="CV1228">
        <f>IFERROR(INDEX(PP_Grid[#Data],$DE1228,97),0)</f>
        <v/>
      </c>
      <c r="CW1228">
        <f>IFERROR(INDEX(PP_Grid[#Data],$DE1228,98),0)</f>
        <v/>
      </c>
      <c r="CX1228">
        <f>IFERROR(INDEX(PP_Grid[#Data],$DE1228,99),0)</f>
        <v/>
      </c>
      <c r="CY1228">
        <f>IFERROR(INDEX(PP_Grid[#Data],$DE1228,100),0)</f>
        <v/>
      </c>
      <c r="CZ1228">
        <f>IFERROR(INDEX(PP_Grid[#Data],$DE1228,101),0)</f>
        <v/>
      </c>
      <c r="DA1228">
        <f>IFERROR(INDEX(PP_Grid[#Data],$DE1228,102),0)</f>
        <v/>
      </c>
      <c r="DB1228">
        <f>IFERROR(INDEX(PP_Grid[#Data],$DE1228,103),0)</f>
        <v/>
      </c>
      <c r="DC1228">
        <f>IFERROR(INDEX(PP_Grid[#Data],$DE1228,104),0)</f>
        <v/>
      </c>
      <c r="DD1228">
        <f>IFERROR(INDEX(PP_Grid[#Data],$DE1228,105),0)</f>
        <v/>
      </c>
      <c r="DE1228" s="7">
        <f>IFERROR(MATCH($B1228,PP_Grid[Intermediate],0),99999)</f>
        <v/>
      </c>
    </row>
    <row r="1229">
      <c r="B1229" t="inlineStr">
        <is>
          <t>使用量(kg)</t>
        </is>
      </c>
      <c r="C1229">
        <f>SUMIFS(M_BOM[RM_Qty_Per_Batch],M_BOM[Intermediate],$B1228,M_BOM[RM_Code],$A1227)</f>
        <v/>
      </c>
      <c r="D1229">
        <f>IFERROR(INDEX(E1229:DD1229,$F$1),"")</f>
        <v/>
      </c>
      <c r="E1229">
        <f>$C1229*E1228</f>
        <v/>
      </c>
      <c r="F1229">
        <f>$C1229*F1228</f>
        <v/>
      </c>
      <c r="G1229">
        <f>$C1229*G1228</f>
        <v/>
      </c>
      <c r="H1229">
        <f>$C1229*H1228</f>
        <v/>
      </c>
      <c r="I1229">
        <f>$C1229*I1228</f>
        <v/>
      </c>
      <c r="J1229">
        <f>$C1229*J1228</f>
        <v/>
      </c>
      <c r="K1229">
        <f>$C1229*K1228</f>
        <v/>
      </c>
      <c r="L1229">
        <f>$C1229*L1228</f>
        <v/>
      </c>
      <c r="M1229">
        <f>$C1229*M1228</f>
        <v/>
      </c>
      <c r="N1229">
        <f>$C1229*N1228</f>
        <v/>
      </c>
      <c r="O1229">
        <f>$C1229*O1228</f>
        <v/>
      </c>
      <c r="P1229">
        <f>$C1229*P1228</f>
        <v/>
      </c>
      <c r="Q1229">
        <f>$C1229*Q1228</f>
        <v/>
      </c>
      <c r="R1229">
        <f>$C1229*R1228</f>
        <v/>
      </c>
      <c r="S1229">
        <f>$C1229*S1228</f>
        <v/>
      </c>
      <c r="T1229">
        <f>$C1229*T1228</f>
        <v/>
      </c>
      <c r="U1229">
        <f>$C1229*U1228</f>
        <v/>
      </c>
      <c r="V1229">
        <f>$C1229*V1228</f>
        <v/>
      </c>
      <c r="W1229">
        <f>$C1229*W1228</f>
        <v/>
      </c>
      <c r="X1229">
        <f>$C1229*X1228</f>
        <v/>
      </c>
      <c r="Y1229">
        <f>$C1229*Y1228</f>
        <v/>
      </c>
      <c r="Z1229">
        <f>$C1229*Z1228</f>
        <v/>
      </c>
      <c r="AA1229">
        <f>$C1229*AA1228</f>
        <v/>
      </c>
      <c r="AB1229">
        <f>$C1229*AB1228</f>
        <v/>
      </c>
      <c r="AC1229">
        <f>$C1229*AC1228</f>
        <v/>
      </c>
      <c r="AD1229">
        <f>$C1229*AD1228</f>
        <v/>
      </c>
      <c r="AE1229">
        <f>$C1229*AE1228</f>
        <v/>
      </c>
      <c r="AF1229">
        <f>$C1229*AF1228</f>
        <v/>
      </c>
      <c r="AG1229">
        <f>$C1229*AG1228</f>
        <v/>
      </c>
      <c r="AH1229">
        <f>$C1229*AH1228</f>
        <v/>
      </c>
      <c r="AI1229">
        <f>$C1229*AI1228</f>
        <v/>
      </c>
      <c r="AJ1229">
        <f>$C1229*AJ1228</f>
        <v/>
      </c>
      <c r="AK1229">
        <f>$C1229*AK1228</f>
        <v/>
      </c>
      <c r="AL1229">
        <f>$C1229*AL1228</f>
        <v/>
      </c>
      <c r="AM1229">
        <f>$C1229*AM1228</f>
        <v/>
      </c>
      <c r="AN1229">
        <f>$C1229*AN1228</f>
        <v/>
      </c>
      <c r="AO1229">
        <f>$C1229*AO1228</f>
        <v/>
      </c>
      <c r="AP1229">
        <f>$C1229*AP1228</f>
        <v/>
      </c>
      <c r="AQ1229">
        <f>$C1229*AQ1228</f>
        <v/>
      </c>
      <c r="AR1229">
        <f>$C1229*AR1228</f>
        <v/>
      </c>
      <c r="AS1229">
        <f>$C1229*AS1228</f>
        <v/>
      </c>
      <c r="AT1229">
        <f>$C1229*AT1228</f>
        <v/>
      </c>
      <c r="AU1229">
        <f>$C1229*AU1228</f>
        <v/>
      </c>
      <c r="AV1229">
        <f>$C1229*AV1228</f>
        <v/>
      </c>
      <c r="AW1229">
        <f>$C1229*AW1228</f>
        <v/>
      </c>
      <c r="AX1229">
        <f>$C1229*AX1228</f>
        <v/>
      </c>
      <c r="AY1229">
        <f>$C1229*AY1228</f>
        <v/>
      </c>
      <c r="AZ1229">
        <f>$C1229*AZ1228</f>
        <v/>
      </c>
      <c r="BA1229">
        <f>$C1229*BA1228</f>
        <v/>
      </c>
      <c r="BB1229">
        <f>$C1229*BB1228</f>
        <v/>
      </c>
      <c r="BC1229">
        <f>$C1229*BC1228</f>
        <v/>
      </c>
      <c r="BD1229">
        <f>$C1229*BD1228</f>
        <v/>
      </c>
      <c r="BE1229">
        <f>$C1229*BE1228</f>
        <v/>
      </c>
      <c r="BF1229">
        <f>$C1229*BF1228</f>
        <v/>
      </c>
      <c r="BG1229">
        <f>$C1229*BG1228</f>
        <v/>
      </c>
      <c r="BH1229">
        <f>$C1229*BH1228</f>
        <v/>
      </c>
      <c r="BI1229">
        <f>$C1229*BI1228</f>
        <v/>
      </c>
      <c r="BJ1229">
        <f>$C1229*BJ1228</f>
        <v/>
      </c>
      <c r="BK1229">
        <f>$C1229*BK1228</f>
        <v/>
      </c>
      <c r="BL1229">
        <f>$C1229*BL1228</f>
        <v/>
      </c>
      <c r="BM1229">
        <f>$C1229*BM1228</f>
        <v/>
      </c>
      <c r="BN1229">
        <f>$C1229*BN1228</f>
        <v/>
      </c>
      <c r="BO1229">
        <f>$C1229*BO1228</f>
        <v/>
      </c>
      <c r="BP1229">
        <f>$C1229*BP1228</f>
        <v/>
      </c>
      <c r="BQ1229">
        <f>$C1229*BQ1228</f>
        <v/>
      </c>
      <c r="BR1229">
        <f>$C1229*BR1228</f>
        <v/>
      </c>
      <c r="BS1229">
        <f>$C1229*BS1228</f>
        <v/>
      </c>
      <c r="BT1229">
        <f>$C1229*BT1228</f>
        <v/>
      </c>
      <c r="BU1229">
        <f>$C1229*BU1228</f>
        <v/>
      </c>
      <c r="BV1229">
        <f>$C1229*BV1228</f>
        <v/>
      </c>
      <c r="BW1229">
        <f>$C1229*BW1228</f>
        <v/>
      </c>
      <c r="BX1229">
        <f>$C1229*BX1228</f>
        <v/>
      </c>
      <c r="BY1229">
        <f>$C1229*BY1228</f>
        <v/>
      </c>
      <c r="BZ1229">
        <f>$C1229*BZ1228</f>
        <v/>
      </c>
      <c r="CA1229">
        <f>$C1229*CA1228</f>
        <v/>
      </c>
      <c r="CB1229">
        <f>$C1229*CB1228</f>
        <v/>
      </c>
      <c r="CC1229">
        <f>$C1229*CC1228</f>
        <v/>
      </c>
      <c r="CD1229">
        <f>$C1229*CD1228</f>
        <v/>
      </c>
      <c r="CE1229">
        <f>$C1229*CE1228</f>
        <v/>
      </c>
      <c r="CF1229">
        <f>$C1229*CF1228</f>
        <v/>
      </c>
      <c r="CG1229">
        <f>$C1229*CG1228</f>
        <v/>
      </c>
      <c r="CH1229">
        <f>$C1229*CH1228</f>
        <v/>
      </c>
      <c r="CI1229">
        <f>$C1229*CI1228</f>
        <v/>
      </c>
      <c r="CJ1229">
        <f>$C1229*CJ1228</f>
        <v/>
      </c>
      <c r="CK1229">
        <f>$C1229*CK1228</f>
        <v/>
      </c>
      <c r="CL1229">
        <f>$C1229*CL1228</f>
        <v/>
      </c>
      <c r="CM1229">
        <f>$C1229*CM1228</f>
        <v/>
      </c>
      <c r="CN1229">
        <f>$C1229*CN1228</f>
        <v/>
      </c>
      <c r="CO1229">
        <f>$C1229*CO1228</f>
        <v/>
      </c>
      <c r="CP1229">
        <f>$C1229*CP1228</f>
        <v/>
      </c>
      <c r="CQ1229">
        <f>$C1229*CQ1228</f>
        <v/>
      </c>
      <c r="CR1229">
        <f>$C1229*CR1228</f>
        <v/>
      </c>
      <c r="CS1229">
        <f>$C1229*CS1228</f>
        <v/>
      </c>
      <c r="CT1229">
        <f>$C1229*CT1228</f>
        <v/>
      </c>
      <c r="CU1229">
        <f>$C1229*CU1228</f>
        <v/>
      </c>
      <c r="CV1229">
        <f>$C1229*CV1228</f>
        <v/>
      </c>
      <c r="CW1229">
        <f>$C1229*CW1228</f>
        <v/>
      </c>
      <c r="CX1229">
        <f>$C1229*CX1228</f>
        <v/>
      </c>
      <c r="CY1229">
        <f>$C1229*CY1228</f>
        <v/>
      </c>
      <c r="CZ1229">
        <f>$C1229*CZ1228</f>
        <v/>
      </c>
      <c r="DA1229">
        <f>$C1229*DA1228</f>
        <v/>
      </c>
      <c r="DB1229">
        <f>$C1229*DB1228</f>
        <v/>
      </c>
      <c r="DC1229">
        <f>$C1229*DC1228</f>
        <v/>
      </c>
      <c r="DD1229">
        <f>$C1229*DD1228</f>
        <v/>
      </c>
    </row>
    <row r="1230">
      <c r="B1230" t="inlineStr">
        <is>
          <t>TSP-924</t>
        </is>
      </c>
      <c r="C1230" t="inlineStr">
        <is>
          <t>No. of batches</t>
        </is>
      </c>
      <c r="D1230">
        <f>IFERROR(INDEX(E1230:DD1230,$F$1),"")</f>
        <v/>
      </c>
      <c r="E1230">
        <f>IFERROR(INDEX(PP_Grid[#Data],$DE1230,2),0)</f>
        <v/>
      </c>
      <c r="F1230">
        <f>IFERROR(INDEX(PP_Grid[#Data],$DE1230,3),0)</f>
        <v/>
      </c>
      <c r="G1230">
        <f>IFERROR(INDEX(PP_Grid[#Data],$DE1230,4),0)</f>
        <v/>
      </c>
      <c r="H1230">
        <f>IFERROR(INDEX(PP_Grid[#Data],$DE1230,5),0)</f>
        <v/>
      </c>
      <c r="I1230">
        <f>IFERROR(INDEX(PP_Grid[#Data],$DE1230,6),0)</f>
        <v/>
      </c>
      <c r="J1230">
        <f>IFERROR(INDEX(PP_Grid[#Data],$DE1230,7),0)</f>
        <v/>
      </c>
      <c r="K1230">
        <f>IFERROR(INDEX(PP_Grid[#Data],$DE1230,8),0)</f>
        <v/>
      </c>
      <c r="L1230">
        <f>IFERROR(INDEX(PP_Grid[#Data],$DE1230,9),0)</f>
        <v/>
      </c>
      <c r="M1230">
        <f>IFERROR(INDEX(PP_Grid[#Data],$DE1230,10),0)</f>
        <v/>
      </c>
      <c r="N1230">
        <f>IFERROR(INDEX(PP_Grid[#Data],$DE1230,11),0)</f>
        <v/>
      </c>
      <c r="O1230">
        <f>IFERROR(INDEX(PP_Grid[#Data],$DE1230,12),0)</f>
        <v/>
      </c>
      <c r="P1230">
        <f>IFERROR(INDEX(PP_Grid[#Data],$DE1230,13),0)</f>
        <v/>
      </c>
      <c r="Q1230">
        <f>IFERROR(INDEX(PP_Grid[#Data],$DE1230,14),0)</f>
        <v/>
      </c>
      <c r="R1230">
        <f>IFERROR(INDEX(PP_Grid[#Data],$DE1230,15),0)</f>
        <v/>
      </c>
      <c r="S1230">
        <f>IFERROR(INDEX(PP_Grid[#Data],$DE1230,16),0)</f>
        <v/>
      </c>
      <c r="T1230">
        <f>IFERROR(INDEX(PP_Grid[#Data],$DE1230,17),0)</f>
        <v/>
      </c>
      <c r="U1230">
        <f>IFERROR(INDEX(PP_Grid[#Data],$DE1230,18),0)</f>
        <v/>
      </c>
      <c r="V1230">
        <f>IFERROR(INDEX(PP_Grid[#Data],$DE1230,19),0)</f>
        <v/>
      </c>
      <c r="W1230">
        <f>IFERROR(INDEX(PP_Grid[#Data],$DE1230,20),0)</f>
        <v/>
      </c>
      <c r="X1230">
        <f>IFERROR(INDEX(PP_Grid[#Data],$DE1230,21),0)</f>
        <v/>
      </c>
      <c r="Y1230">
        <f>IFERROR(INDEX(PP_Grid[#Data],$DE1230,22),0)</f>
        <v/>
      </c>
      <c r="Z1230">
        <f>IFERROR(INDEX(PP_Grid[#Data],$DE1230,23),0)</f>
        <v/>
      </c>
      <c r="AA1230">
        <f>IFERROR(INDEX(PP_Grid[#Data],$DE1230,24),0)</f>
        <v/>
      </c>
      <c r="AB1230">
        <f>IFERROR(INDEX(PP_Grid[#Data],$DE1230,25),0)</f>
        <v/>
      </c>
      <c r="AC1230">
        <f>IFERROR(INDEX(PP_Grid[#Data],$DE1230,26),0)</f>
        <v/>
      </c>
      <c r="AD1230">
        <f>IFERROR(INDEX(PP_Grid[#Data],$DE1230,27),0)</f>
        <v/>
      </c>
      <c r="AE1230">
        <f>IFERROR(INDEX(PP_Grid[#Data],$DE1230,28),0)</f>
        <v/>
      </c>
      <c r="AF1230">
        <f>IFERROR(INDEX(PP_Grid[#Data],$DE1230,29),0)</f>
        <v/>
      </c>
      <c r="AG1230">
        <f>IFERROR(INDEX(PP_Grid[#Data],$DE1230,30),0)</f>
        <v/>
      </c>
      <c r="AH1230">
        <f>IFERROR(INDEX(PP_Grid[#Data],$DE1230,31),0)</f>
        <v/>
      </c>
      <c r="AI1230">
        <f>IFERROR(INDEX(PP_Grid[#Data],$DE1230,32),0)</f>
        <v/>
      </c>
      <c r="AJ1230">
        <f>IFERROR(INDEX(PP_Grid[#Data],$DE1230,33),0)</f>
        <v/>
      </c>
      <c r="AK1230">
        <f>IFERROR(INDEX(PP_Grid[#Data],$DE1230,34),0)</f>
        <v/>
      </c>
      <c r="AL1230">
        <f>IFERROR(INDEX(PP_Grid[#Data],$DE1230,35),0)</f>
        <v/>
      </c>
      <c r="AM1230">
        <f>IFERROR(INDEX(PP_Grid[#Data],$DE1230,36),0)</f>
        <v/>
      </c>
      <c r="AN1230">
        <f>IFERROR(INDEX(PP_Grid[#Data],$DE1230,37),0)</f>
        <v/>
      </c>
      <c r="AO1230">
        <f>IFERROR(INDEX(PP_Grid[#Data],$DE1230,38),0)</f>
        <v/>
      </c>
      <c r="AP1230">
        <f>IFERROR(INDEX(PP_Grid[#Data],$DE1230,39),0)</f>
        <v/>
      </c>
      <c r="AQ1230">
        <f>IFERROR(INDEX(PP_Grid[#Data],$DE1230,40),0)</f>
        <v/>
      </c>
      <c r="AR1230">
        <f>IFERROR(INDEX(PP_Grid[#Data],$DE1230,41),0)</f>
        <v/>
      </c>
      <c r="AS1230">
        <f>IFERROR(INDEX(PP_Grid[#Data],$DE1230,42),0)</f>
        <v/>
      </c>
      <c r="AT1230">
        <f>IFERROR(INDEX(PP_Grid[#Data],$DE1230,43),0)</f>
        <v/>
      </c>
      <c r="AU1230">
        <f>IFERROR(INDEX(PP_Grid[#Data],$DE1230,44),0)</f>
        <v/>
      </c>
      <c r="AV1230">
        <f>IFERROR(INDEX(PP_Grid[#Data],$DE1230,45),0)</f>
        <v/>
      </c>
      <c r="AW1230">
        <f>IFERROR(INDEX(PP_Grid[#Data],$DE1230,46),0)</f>
        <v/>
      </c>
      <c r="AX1230">
        <f>IFERROR(INDEX(PP_Grid[#Data],$DE1230,47),0)</f>
        <v/>
      </c>
      <c r="AY1230">
        <f>IFERROR(INDEX(PP_Grid[#Data],$DE1230,48),0)</f>
        <v/>
      </c>
      <c r="AZ1230">
        <f>IFERROR(INDEX(PP_Grid[#Data],$DE1230,49),0)</f>
        <v/>
      </c>
      <c r="BA1230">
        <f>IFERROR(INDEX(PP_Grid[#Data],$DE1230,50),0)</f>
        <v/>
      </c>
      <c r="BB1230">
        <f>IFERROR(INDEX(PP_Grid[#Data],$DE1230,51),0)</f>
        <v/>
      </c>
      <c r="BC1230">
        <f>IFERROR(INDEX(PP_Grid[#Data],$DE1230,52),0)</f>
        <v/>
      </c>
      <c r="BD1230">
        <f>IFERROR(INDEX(PP_Grid[#Data],$DE1230,53),0)</f>
        <v/>
      </c>
      <c r="BE1230">
        <f>IFERROR(INDEX(PP_Grid[#Data],$DE1230,54),0)</f>
        <v/>
      </c>
      <c r="BF1230">
        <f>IFERROR(INDEX(PP_Grid[#Data],$DE1230,55),0)</f>
        <v/>
      </c>
      <c r="BG1230">
        <f>IFERROR(INDEX(PP_Grid[#Data],$DE1230,56),0)</f>
        <v/>
      </c>
      <c r="BH1230">
        <f>IFERROR(INDEX(PP_Grid[#Data],$DE1230,57),0)</f>
        <v/>
      </c>
      <c r="BI1230">
        <f>IFERROR(INDEX(PP_Grid[#Data],$DE1230,58),0)</f>
        <v/>
      </c>
      <c r="BJ1230">
        <f>IFERROR(INDEX(PP_Grid[#Data],$DE1230,59),0)</f>
        <v/>
      </c>
      <c r="BK1230">
        <f>IFERROR(INDEX(PP_Grid[#Data],$DE1230,60),0)</f>
        <v/>
      </c>
      <c r="BL1230">
        <f>IFERROR(INDEX(PP_Grid[#Data],$DE1230,61),0)</f>
        <v/>
      </c>
      <c r="BM1230">
        <f>IFERROR(INDEX(PP_Grid[#Data],$DE1230,62),0)</f>
        <v/>
      </c>
      <c r="BN1230">
        <f>IFERROR(INDEX(PP_Grid[#Data],$DE1230,63),0)</f>
        <v/>
      </c>
      <c r="BO1230">
        <f>IFERROR(INDEX(PP_Grid[#Data],$DE1230,64),0)</f>
        <v/>
      </c>
      <c r="BP1230">
        <f>IFERROR(INDEX(PP_Grid[#Data],$DE1230,65),0)</f>
        <v/>
      </c>
      <c r="BQ1230">
        <f>IFERROR(INDEX(PP_Grid[#Data],$DE1230,66),0)</f>
        <v/>
      </c>
      <c r="BR1230">
        <f>IFERROR(INDEX(PP_Grid[#Data],$DE1230,67),0)</f>
        <v/>
      </c>
      <c r="BS1230">
        <f>IFERROR(INDEX(PP_Grid[#Data],$DE1230,68),0)</f>
        <v/>
      </c>
      <c r="BT1230">
        <f>IFERROR(INDEX(PP_Grid[#Data],$DE1230,69),0)</f>
        <v/>
      </c>
      <c r="BU1230">
        <f>IFERROR(INDEX(PP_Grid[#Data],$DE1230,70),0)</f>
        <v/>
      </c>
      <c r="BV1230">
        <f>IFERROR(INDEX(PP_Grid[#Data],$DE1230,71),0)</f>
        <v/>
      </c>
      <c r="BW1230">
        <f>IFERROR(INDEX(PP_Grid[#Data],$DE1230,72),0)</f>
        <v/>
      </c>
      <c r="BX1230">
        <f>IFERROR(INDEX(PP_Grid[#Data],$DE1230,73),0)</f>
        <v/>
      </c>
      <c r="BY1230">
        <f>IFERROR(INDEX(PP_Grid[#Data],$DE1230,74),0)</f>
        <v/>
      </c>
      <c r="BZ1230">
        <f>IFERROR(INDEX(PP_Grid[#Data],$DE1230,75),0)</f>
        <v/>
      </c>
      <c r="CA1230">
        <f>IFERROR(INDEX(PP_Grid[#Data],$DE1230,76),0)</f>
        <v/>
      </c>
      <c r="CB1230">
        <f>IFERROR(INDEX(PP_Grid[#Data],$DE1230,77),0)</f>
        <v/>
      </c>
      <c r="CC1230">
        <f>IFERROR(INDEX(PP_Grid[#Data],$DE1230,78),0)</f>
        <v/>
      </c>
      <c r="CD1230">
        <f>IFERROR(INDEX(PP_Grid[#Data],$DE1230,79),0)</f>
        <v/>
      </c>
      <c r="CE1230">
        <f>IFERROR(INDEX(PP_Grid[#Data],$DE1230,80),0)</f>
        <v/>
      </c>
      <c r="CF1230">
        <f>IFERROR(INDEX(PP_Grid[#Data],$DE1230,81),0)</f>
        <v/>
      </c>
      <c r="CG1230">
        <f>IFERROR(INDEX(PP_Grid[#Data],$DE1230,82),0)</f>
        <v/>
      </c>
      <c r="CH1230">
        <f>IFERROR(INDEX(PP_Grid[#Data],$DE1230,83),0)</f>
        <v/>
      </c>
      <c r="CI1230">
        <f>IFERROR(INDEX(PP_Grid[#Data],$DE1230,84),0)</f>
        <v/>
      </c>
      <c r="CJ1230">
        <f>IFERROR(INDEX(PP_Grid[#Data],$DE1230,85),0)</f>
        <v/>
      </c>
      <c r="CK1230">
        <f>IFERROR(INDEX(PP_Grid[#Data],$DE1230,86),0)</f>
        <v/>
      </c>
      <c r="CL1230">
        <f>IFERROR(INDEX(PP_Grid[#Data],$DE1230,87),0)</f>
        <v/>
      </c>
      <c r="CM1230">
        <f>IFERROR(INDEX(PP_Grid[#Data],$DE1230,88),0)</f>
        <v/>
      </c>
      <c r="CN1230">
        <f>IFERROR(INDEX(PP_Grid[#Data],$DE1230,89),0)</f>
        <v/>
      </c>
      <c r="CO1230">
        <f>IFERROR(INDEX(PP_Grid[#Data],$DE1230,90),0)</f>
        <v/>
      </c>
      <c r="CP1230">
        <f>IFERROR(INDEX(PP_Grid[#Data],$DE1230,91),0)</f>
        <v/>
      </c>
      <c r="CQ1230">
        <f>IFERROR(INDEX(PP_Grid[#Data],$DE1230,92),0)</f>
        <v/>
      </c>
      <c r="CR1230">
        <f>IFERROR(INDEX(PP_Grid[#Data],$DE1230,93),0)</f>
        <v/>
      </c>
      <c r="CS1230">
        <f>IFERROR(INDEX(PP_Grid[#Data],$DE1230,94),0)</f>
        <v/>
      </c>
      <c r="CT1230">
        <f>IFERROR(INDEX(PP_Grid[#Data],$DE1230,95),0)</f>
        <v/>
      </c>
      <c r="CU1230">
        <f>IFERROR(INDEX(PP_Grid[#Data],$DE1230,96),0)</f>
        <v/>
      </c>
      <c r="CV1230">
        <f>IFERROR(INDEX(PP_Grid[#Data],$DE1230,97),0)</f>
        <v/>
      </c>
      <c r="CW1230">
        <f>IFERROR(INDEX(PP_Grid[#Data],$DE1230,98),0)</f>
        <v/>
      </c>
      <c r="CX1230">
        <f>IFERROR(INDEX(PP_Grid[#Data],$DE1230,99),0)</f>
        <v/>
      </c>
      <c r="CY1230">
        <f>IFERROR(INDEX(PP_Grid[#Data],$DE1230,100),0)</f>
        <v/>
      </c>
      <c r="CZ1230">
        <f>IFERROR(INDEX(PP_Grid[#Data],$DE1230,101),0)</f>
        <v/>
      </c>
      <c r="DA1230">
        <f>IFERROR(INDEX(PP_Grid[#Data],$DE1230,102),0)</f>
        <v/>
      </c>
      <c r="DB1230">
        <f>IFERROR(INDEX(PP_Grid[#Data],$DE1230,103),0)</f>
        <v/>
      </c>
      <c r="DC1230">
        <f>IFERROR(INDEX(PP_Grid[#Data],$DE1230,104),0)</f>
        <v/>
      </c>
      <c r="DD1230">
        <f>IFERROR(INDEX(PP_Grid[#Data],$DE1230,105),0)</f>
        <v/>
      </c>
      <c r="DE1230" s="7">
        <f>IFERROR(MATCH($B1230,PP_Grid[Intermediate],0),99999)</f>
        <v/>
      </c>
    </row>
    <row r="1231">
      <c r="B1231" t="inlineStr">
        <is>
          <t>使用量(kg)</t>
        </is>
      </c>
      <c r="C1231">
        <f>SUMIFS(M_BOM[RM_Qty_Per_Batch],M_BOM[Intermediate],$B1230,M_BOM[RM_Code],$A1227)</f>
        <v/>
      </c>
      <c r="D1231">
        <f>IFERROR(INDEX(E1231:DD1231,$F$1),"")</f>
        <v/>
      </c>
      <c r="E1231">
        <f>$C1231*E1230</f>
        <v/>
      </c>
      <c r="F1231">
        <f>$C1231*F1230</f>
        <v/>
      </c>
      <c r="G1231">
        <f>$C1231*G1230</f>
        <v/>
      </c>
      <c r="H1231">
        <f>$C1231*H1230</f>
        <v/>
      </c>
      <c r="I1231">
        <f>$C1231*I1230</f>
        <v/>
      </c>
      <c r="J1231">
        <f>$C1231*J1230</f>
        <v/>
      </c>
      <c r="K1231">
        <f>$C1231*K1230</f>
        <v/>
      </c>
      <c r="L1231">
        <f>$C1231*L1230</f>
        <v/>
      </c>
      <c r="M1231">
        <f>$C1231*M1230</f>
        <v/>
      </c>
      <c r="N1231">
        <f>$C1231*N1230</f>
        <v/>
      </c>
      <c r="O1231">
        <f>$C1231*O1230</f>
        <v/>
      </c>
      <c r="P1231">
        <f>$C1231*P1230</f>
        <v/>
      </c>
      <c r="Q1231">
        <f>$C1231*Q1230</f>
        <v/>
      </c>
      <c r="R1231">
        <f>$C1231*R1230</f>
        <v/>
      </c>
      <c r="S1231">
        <f>$C1231*S1230</f>
        <v/>
      </c>
      <c r="T1231">
        <f>$C1231*T1230</f>
        <v/>
      </c>
      <c r="U1231">
        <f>$C1231*U1230</f>
        <v/>
      </c>
      <c r="V1231">
        <f>$C1231*V1230</f>
        <v/>
      </c>
      <c r="W1231">
        <f>$C1231*W1230</f>
        <v/>
      </c>
      <c r="X1231">
        <f>$C1231*X1230</f>
        <v/>
      </c>
      <c r="Y1231">
        <f>$C1231*Y1230</f>
        <v/>
      </c>
      <c r="Z1231">
        <f>$C1231*Z1230</f>
        <v/>
      </c>
      <c r="AA1231">
        <f>$C1231*AA1230</f>
        <v/>
      </c>
      <c r="AB1231">
        <f>$C1231*AB1230</f>
        <v/>
      </c>
      <c r="AC1231">
        <f>$C1231*AC1230</f>
        <v/>
      </c>
      <c r="AD1231">
        <f>$C1231*AD1230</f>
        <v/>
      </c>
      <c r="AE1231">
        <f>$C1231*AE1230</f>
        <v/>
      </c>
      <c r="AF1231">
        <f>$C1231*AF1230</f>
        <v/>
      </c>
      <c r="AG1231">
        <f>$C1231*AG1230</f>
        <v/>
      </c>
      <c r="AH1231">
        <f>$C1231*AH1230</f>
        <v/>
      </c>
      <c r="AI1231">
        <f>$C1231*AI1230</f>
        <v/>
      </c>
      <c r="AJ1231">
        <f>$C1231*AJ1230</f>
        <v/>
      </c>
      <c r="AK1231">
        <f>$C1231*AK1230</f>
        <v/>
      </c>
      <c r="AL1231">
        <f>$C1231*AL1230</f>
        <v/>
      </c>
      <c r="AM1231">
        <f>$C1231*AM1230</f>
        <v/>
      </c>
      <c r="AN1231">
        <f>$C1231*AN1230</f>
        <v/>
      </c>
      <c r="AO1231">
        <f>$C1231*AO1230</f>
        <v/>
      </c>
      <c r="AP1231">
        <f>$C1231*AP1230</f>
        <v/>
      </c>
      <c r="AQ1231">
        <f>$C1231*AQ1230</f>
        <v/>
      </c>
      <c r="AR1231">
        <f>$C1231*AR1230</f>
        <v/>
      </c>
      <c r="AS1231">
        <f>$C1231*AS1230</f>
        <v/>
      </c>
      <c r="AT1231">
        <f>$C1231*AT1230</f>
        <v/>
      </c>
      <c r="AU1231">
        <f>$C1231*AU1230</f>
        <v/>
      </c>
      <c r="AV1231">
        <f>$C1231*AV1230</f>
        <v/>
      </c>
      <c r="AW1231">
        <f>$C1231*AW1230</f>
        <v/>
      </c>
      <c r="AX1231">
        <f>$C1231*AX1230</f>
        <v/>
      </c>
      <c r="AY1231">
        <f>$C1231*AY1230</f>
        <v/>
      </c>
      <c r="AZ1231">
        <f>$C1231*AZ1230</f>
        <v/>
      </c>
      <c r="BA1231">
        <f>$C1231*BA1230</f>
        <v/>
      </c>
      <c r="BB1231">
        <f>$C1231*BB1230</f>
        <v/>
      </c>
      <c r="BC1231">
        <f>$C1231*BC1230</f>
        <v/>
      </c>
      <c r="BD1231">
        <f>$C1231*BD1230</f>
        <v/>
      </c>
      <c r="BE1231">
        <f>$C1231*BE1230</f>
        <v/>
      </c>
      <c r="BF1231">
        <f>$C1231*BF1230</f>
        <v/>
      </c>
      <c r="BG1231">
        <f>$C1231*BG1230</f>
        <v/>
      </c>
      <c r="BH1231">
        <f>$C1231*BH1230</f>
        <v/>
      </c>
      <c r="BI1231">
        <f>$C1231*BI1230</f>
        <v/>
      </c>
      <c r="BJ1231">
        <f>$C1231*BJ1230</f>
        <v/>
      </c>
      <c r="BK1231">
        <f>$C1231*BK1230</f>
        <v/>
      </c>
      <c r="BL1231">
        <f>$C1231*BL1230</f>
        <v/>
      </c>
      <c r="BM1231">
        <f>$C1231*BM1230</f>
        <v/>
      </c>
      <c r="BN1231">
        <f>$C1231*BN1230</f>
        <v/>
      </c>
      <c r="BO1231">
        <f>$C1231*BO1230</f>
        <v/>
      </c>
      <c r="BP1231">
        <f>$C1231*BP1230</f>
        <v/>
      </c>
      <c r="BQ1231">
        <f>$C1231*BQ1230</f>
        <v/>
      </c>
      <c r="BR1231">
        <f>$C1231*BR1230</f>
        <v/>
      </c>
      <c r="BS1231">
        <f>$C1231*BS1230</f>
        <v/>
      </c>
      <c r="BT1231">
        <f>$C1231*BT1230</f>
        <v/>
      </c>
      <c r="BU1231">
        <f>$C1231*BU1230</f>
        <v/>
      </c>
      <c r="BV1231">
        <f>$C1231*BV1230</f>
        <v/>
      </c>
      <c r="BW1231">
        <f>$C1231*BW1230</f>
        <v/>
      </c>
      <c r="BX1231">
        <f>$C1231*BX1230</f>
        <v/>
      </c>
      <c r="BY1231">
        <f>$C1231*BY1230</f>
        <v/>
      </c>
      <c r="BZ1231">
        <f>$C1231*BZ1230</f>
        <v/>
      </c>
      <c r="CA1231">
        <f>$C1231*CA1230</f>
        <v/>
      </c>
      <c r="CB1231">
        <f>$C1231*CB1230</f>
        <v/>
      </c>
      <c r="CC1231">
        <f>$C1231*CC1230</f>
        <v/>
      </c>
      <c r="CD1231">
        <f>$C1231*CD1230</f>
        <v/>
      </c>
      <c r="CE1231">
        <f>$C1231*CE1230</f>
        <v/>
      </c>
      <c r="CF1231">
        <f>$C1231*CF1230</f>
        <v/>
      </c>
      <c r="CG1231">
        <f>$C1231*CG1230</f>
        <v/>
      </c>
      <c r="CH1231">
        <f>$C1231*CH1230</f>
        <v/>
      </c>
      <c r="CI1231">
        <f>$C1231*CI1230</f>
        <v/>
      </c>
      <c r="CJ1231">
        <f>$C1231*CJ1230</f>
        <v/>
      </c>
      <c r="CK1231">
        <f>$C1231*CK1230</f>
        <v/>
      </c>
      <c r="CL1231">
        <f>$C1231*CL1230</f>
        <v/>
      </c>
      <c r="CM1231">
        <f>$C1231*CM1230</f>
        <v/>
      </c>
      <c r="CN1231">
        <f>$C1231*CN1230</f>
        <v/>
      </c>
      <c r="CO1231">
        <f>$C1231*CO1230</f>
        <v/>
      </c>
      <c r="CP1231">
        <f>$C1231*CP1230</f>
        <v/>
      </c>
      <c r="CQ1231">
        <f>$C1231*CQ1230</f>
        <v/>
      </c>
      <c r="CR1231">
        <f>$C1231*CR1230</f>
        <v/>
      </c>
      <c r="CS1231">
        <f>$C1231*CS1230</f>
        <v/>
      </c>
      <c r="CT1231">
        <f>$C1231*CT1230</f>
        <v/>
      </c>
      <c r="CU1231">
        <f>$C1231*CU1230</f>
        <v/>
      </c>
      <c r="CV1231">
        <f>$C1231*CV1230</f>
        <v/>
      </c>
      <c r="CW1231">
        <f>$C1231*CW1230</f>
        <v/>
      </c>
      <c r="CX1231">
        <f>$C1231*CX1230</f>
        <v/>
      </c>
      <c r="CY1231">
        <f>$C1231*CY1230</f>
        <v/>
      </c>
      <c r="CZ1231">
        <f>$C1231*CZ1230</f>
        <v/>
      </c>
      <c r="DA1231">
        <f>$C1231*DA1230</f>
        <v/>
      </c>
      <c r="DB1231">
        <f>$C1231*DB1230</f>
        <v/>
      </c>
      <c r="DC1231">
        <f>$C1231*DC1230</f>
        <v/>
      </c>
      <c r="DD1231">
        <f>$C1231*DD1230</f>
        <v/>
      </c>
    </row>
    <row r="1232">
      <c r="B1232" t="inlineStr">
        <is>
          <t>TSP-925</t>
        </is>
      </c>
      <c r="C1232" t="inlineStr">
        <is>
          <t>No. of batches</t>
        </is>
      </c>
      <c r="D1232">
        <f>IFERROR(INDEX(E1232:DD1232,$F$1),"")</f>
        <v/>
      </c>
      <c r="E1232">
        <f>IFERROR(INDEX(PP_Grid[#Data],$DE1232,2),0)</f>
        <v/>
      </c>
      <c r="F1232">
        <f>IFERROR(INDEX(PP_Grid[#Data],$DE1232,3),0)</f>
        <v/>
      </c>
      <c r="G1232">
        <f>IFERROR(INDEX(PP_Grid[#Data],$DE1232,4),0)</f>
        <v/>
      </c>
      <c r="H1232">
        <f>IFERROR(INDEX(PP_Grid[#Data],$DE1232,5),0)</f>
        <v/>
      </c>
      <c r="I1232">
        <f>IFERROR(INDEX(PP_Grid[#Data],$DE1232,6),0)</f>
        <v/>
      </c>
      <c r="J1232">
        <f>IFERROR(INDEX(PP_Grid[#Data],$DE1232,7),0)</f>
        <v/>
      </c>
      <c r="K1232">
        <f>IFERROR(INDEX(PP_Grid[#Data],$DE1232,8),0)</f>
        <v/>
      </c>
      <c r="L1232">
        <f>IFERROR(INDEX(PP_Grid[#Data],$DE1232,9),0)</f>
        <v/>
      </c>
      <c r="M1232">
        <f>IFERROR(INDEX(PP_Grid[#Data],$DE1232,10),0)</f>
        <v/>
      </c>
      <c r="N1232">
        <f>IFERROR(INDEX(PP_Grid[#Data],$DE1232,11),0)</f>
        <v/>
      </c>
      <c r="O1232">
        <f>IFERROR(INDEX(PP_Grid[#Data],$DE1232,12),0)</f>
        <v/>
      </c>
      <c r="P1232">
        <f>IFERROR(INDEX(PP_Grid[#Data],$DE1232,13),0)</f>
        <v/>
      </c>
      <c r="Q1232">
        <f>IFERROR(INDEX(PP_Grid[#Data],$DE1232,14),0)</f>
        <v/>
      </c>
      <c r="R1232">
        <f>IFERROR(INDEX(PP_Grid[#Data],$DE1232,15),0)</f>
        <v/>
      </c>
      <c r="S1232">
        <f>IFERROR(INDEX(PP_Grid[#Data],$DE1232,16),0)</f>
        <v/>
      </c>
      <c r="T1232">
        <f>IFERROR(INDEX(PP_Grid[#Data],$DE1232,17),0)</f>
        <v/>
      </c>
      <c r="U1232">
        <f>IFERROR(INDEX(PP_Grid[#Data],$DE1232,18),0)</f>
        <v/>
      </c>
      <c r="V1232">
        <f>IFERROR(INDEX(PP_Grid[#Data],$DE1232,19),0)</f>
        <v/>
      </c>
      <c r="W1232">
        <f>IFERROR(INDEX(PP_Grid[#Data],$DE1232,20),0)</f>
        <v/>
      </c>
      <c r="X1232">
        <f>IFERROR(INDEX(PP_Grid[#Data],$DE1232,21),0)</f>
        <v/>
      </c>
      <c r="Y1232">
        <f>IFERROR(INDEX(PP_Grid[#Data],$DE1232,22),0)</f>
        <v/>
      </c>
      <c r="Z1232">
        <f>IFERROR(INDEX(PP_Grid[#Data],$DE1232,23),0)</f>
        <v/>
      </c>
      <c r="AA1232">
        <f>IFERROR(INDEX(PP_Grid[#Data],$DE1232,24),0)</f>
        <v/>
      </c>
      <c r="AB1232">
        <f>IFERROR(INDEX(PP_Grid[#Data],$DE1232,25),0)</f>
        <v/>
      </c>
      <c r="AC1232">
        <f>IFERROR(INDEX(PP_Grid[#Data],$DE1232,26),0)</f>
        <v/>
      </c>
      <c r="AD1232">
        <f>IFERROR(INDEX(PP_Grid[#Data],$DE1232,27),0)</f>
        <v/>
      </c>
      <c r="AE1232">
        <f>IFERROR(INDEX(PP_Grid[#Data],$DE1232,28),0)</f>
        <v/>
      </c>
      <c r="AF1232">
        <f>IFERROR(INDEX(PP_Grid[#Data],$DE1232,29),0)</f>
        <v/>
      </c>
      <c r="AG1232">
        <f>IFERROR(INDEX(PP_Grid[#Data],$DE1232,30),0)</f>
        <v/>
      </c>
      <c r="AH1232">
        <f>IFERROR(INDEX(PP_Grid[#Data],$DE1232,31),0)</f>
        <v/>
      </c>
      <c r="AI1232">
        <f>IFERROR(INDEX(PP_Grid[#Data],$DE1232,32),0)</f>
        <v/>
      </c>
      <c r="AJ1232">
        <f>IFERROR(INDEX(PP_Grid[#Data],$DE1232,33),0)</f>
        <v/>
      </c>
      <c r="AK1232">
        <f>IFERROR(INDEX(PP_Grid[#Data],$DE1232,34),0)</f>
        <v/>
      </c>
      <c r="AL1232">
        <f>IFERROR(INDEX(PP_Grid[#Data],$DE1232,35),0)</f>
        <v/>
      </c>
      <c r="AM1232">
        <f>IFERROR(INDEX(PP_Grid[#Data],$DE1232,36),0)</f>
        <v/>
      </c>
      <c r="AN1232">
        <f>IFERROR(INDEX(PP_Grid[#Data],$DE1232,37),0)</f>
        <v/>
      </c>
      <c r="AO1232">
        <f>IFERROR(INDEX(PP_Grid[#Data],$DE1232,38),0)</f>
        <v/>
      </c>
      <c r="AP1232">
        <f>IFERROR(INDEX(PP_Grid[#Data],$DE1232,39),0)</f>
        <v/>
      </c>
      <c r="AQ1232">
        <f>IFERROR(INDEX(PP_Grid[#Data],$DE1232,40),0)</f>
        <v/>
      </c>
      <c r="AR1232">
        <f>IFERROR(INDEX(PP_Grid[#Data],$DE1232,41),0)</f>
        <v/>
      </c>
      <c r="AS1232">
        <f>IFERROR(INDEX(PP_Grid[#Data],$DE1232,42),0)</f>
        <v/>
      </c>
      <c r="AT1232">
        <f>IFERROR(INDEX(PP_Grid[#Data],$DE1232,43),0)</f>
        <v/>
      </c>
      <c r="AU1232">
        <f>IFERROR(INDEX(PP_Grid[#Data],$DE1232,44),0)</f>
        <v/>
      </c>
      <c r="AV1232">
        <f>IFERROR(INDEX(PP_Grid[#Data],$DE1232,45),0)</f>
        <v/>
      </c>
      <c r="AW1232">
        <f>IFERROR(INDEX(PP_Grid[#Data],$DE1232,46),0)</f>
        <v/>
      </c>
      <c r="AX1232">
        <f>IFERROR(INDEX(PP_Grid[#Data],$DE1232,47),0)</f>
        <v/>
      </c>
      <c r="AY1232">
        <f>IFERROR(INDEX(PP_Grid[#Data],$DE1232,48),0)</f>
        <v/>
      </c>
      <c r="AZ1232">
        <f>IFERROR(INDEX(PP_Grid[#Data],$DE1232,49),0)</f>
        <v/>
      </c>
      <c r="BA1232">
        <f>IFERROR(INDEX(PP_Grid[#Data],$DE1232,50),0)</f>
        <v/>
      </c>
      <c r="BB1232">
        <f>IFERROR(INDEX(PP_Grid[#Data],$DE1232,51),0)</f>
        <v/>
      </c>
      <c r="BC1232">
        <f>IFERROR(INDEX(PP_Grid[#Data],$DE1232,52),0)</f>
        <v/>
      </c>
      <c r="BD1232">
        <f>IFERROR(INDEX(PP_Grid[#Data],$DE1232,53),0)</f>
        <v/>
      </c>
      <c r="BE1232">
        <f>IFERROR(INDEX(PP_Grid[#Data],$DE1232,54),0)</f>
        <v/>
      </c>
      <c r="BF1232">
        <f>IFERROR(INDEX(PP_Grid[#Data],$DE1232,55),0)</f>
        <v/>
      </c>
      <c r="BG1232">
        <f>IFERROR(INDEX(PP_Grid[#Data],$DE1232,56),0)</f>
        <v/>
      </c>
      <c r="BH1232">
        <f>IFERROR(INDEX(PP_Grid[#Data],$DE1232,57),0)</f>
        <v/>
      </c>
      <c r="BI1232">
        <f>IFERROR(INDEX(PP_Grid[#Data],$DE1232,58),0)</f>
        <v/>
      </c>
      <c r="BJ1232">
        <f>IFERROR(INDEX(PP_Grid[#Data],$DE1232,59),0)</f>
        <v/>
      </c>
      <c r="BK1232">
        <f>IFERROR(INDEX(PP_Grid[#Data],$DE1232,60),0)</f>
        <v/>
      </c>
      <c r="BL1232">
        <f>IFERROR(INDEX(PP_Grid[#Data],$DE1232,61),0)</f>
        <v/>
      </c>
      <c r="BM1232">
        <f>IFERROR(INDEX(PP_Grid[#Data],$DE1232,62),0)</f>
        <v/>
      </c>
      <c r="BN1232">
        <f>IFERROR(INDEX(PP_Grid[#Data],$DE1232,63),0)</f>
        <v/>
      </c>
      <c r="BO1232">
        <f>IFERROR(INDEX(PP_Grid[#Data],$DE1232,64),0)</f>
        <v/>
      </c>
      <c r="BP1232">
        <f>IFERROR(INDEX(PP_Grid[#Data],$DE1232,65),0)</f>
        <v/>
      </c>
      <c r="BQ1232">
        <f>IFERROR(INDEX(PP_Grid[#Data],$DE1232,66),0)</f>
        <v/>
      </c>
      <c r="BR1232">
        <f>IFERROR(INDEX(PP_Grid[#Data],$DE1232,67),0)</f>
        <v/>
      </c>
      <c r="BS1232">
        <f>IFERROR(INDEX(PP_Grid[#Data],$DE1232,68),0)</f>
        <v/>
      </c>
      <c r="BT1232">
        <f>IFERROR(INDEX(PP_Grid[#Data],$DE1232,69),0)</f>
        <v/>
      </c>
      <c r="BU1232">
        <f>IFERROR(INDEX(PP_Grid[#Data],$DE1232,70),0)</f>
        <v/>
      </c>
      <c r="BV1232">
        <f>IFERROR(INDEX(PP_Grid[#Data],$DE1232,71),0)</f>
        <v/>
      </c>
      <c r="BW1232">
        <f>IFERROR(INDEX(PP_Grid[#Data],$DE1232,72),0)</f>
        <v/>
      </c>
      <c r="BX1232">
        <f>IFERROR(INDEX(PP_Grid[#Data],$DE1232,73),0)</f>
        <v/>
      </c>
      <c r="BY1232">
        <f>IFERROR(INDEX(PP_Grid[#Data],$DE1232,74),0)</f>
        <v/>
      </c>
      <c r="BZ1232">
        <f>IFERROR(INDEX(PP_Grid[#Data],$DE1232,75),0)</f>
        <v/>
      </c>
      <c r="CA1232">
        <f>IFERROR(INDEX(PP_Grid[#Data],$DE1232,76),0)</f>
        <v/>
      </c>
      <c r="CB1232">
        <f>IFERROR(INDEX(PP_Grid[#Data],$DE1232,77),0)</f>
        <v/>
      </c>
      <c r="CC1232">
        <f>IFERROR(INDEX(PP_Grid[#Data],$DE1232,78),0)</f>
        <v/>
      </c>
      <c r="CD1232">
        <f>IFERROR(INDEX(PP_Grid[#Data],$DE1232,79),0)</f>
        <v/>
      </c>
      <c r="CE1232">
        <f>IFERROR(INDEX(PP_Grid[#Data],$DE1232,80),0)</f>
        <v/>
      </c>
      <c r="CF1232">
        <f>IFERROR(INDEX(PP_Grid[#Data],$DE1232,81),0)</f>
        <v/>
      </c>
      <c r="CG1232">
        <f>IFERROR(INDEX(PP_Grid[#Data],$DE1232,82),0)</f>
        <v/>
      </c>
      <c r="CH1232">
        <f>IFERROR(INDEX(PP_Grid[#Data],$DE1232,83),0)</f>
        <v/>
      </c>
      <c r="CI1232">
        <f>IFERROR(INDEX(PP_Grid[#Data],$DE1232,84),0)</f>
        <v/>
      </c>
      <c r="CJ1232">
        <f>IFERROR(INDEX(PP_Grid[#Data],$DE1232,85),0)</f>
        <v/>
      </c>
      <c r="CK1232">
        <f>IFERROR(INDEX(PP_Grid[#Data],$DE1232,86),0)</f>
        <v/>
      </c>
      <c r="CL1232">
        <f>IFERROR(INDEX(PP_Grid[#Data],$DE1232,87),0)</f>
        <v/>
      </c>
      <c r="CM1232">
        <f>IFERROR(INDEX(PP_Grid[#Data],$DE1232,88),0)</f>
        <v/>
      </c>
      <c r="CN1232">
        <f>IFERROR(INDEX(PP_Grid[#Data],$DE1232,89),0)</f>
        <v/>
      </c>
      <c r="CO1232">
        <f>IFERROR(INDEX(PP_Grid[#Data],$DE1232,90),0)</f>
        <v/>
      </c>
      <c r="CP1232">
        <f>IFERROR(INDEX(PP_Grid[#Data],$DE1232,91),0)</f>
        <v/>
      </c>
      <c r="CQ1232">
        <f>IFERROR(INDEX(PP_Grid[#Data],$DE1232,92),0)</f>
        <v/>
      </c>
      <c r="CR1232">
        <f>IFERROR(INDEX(PP_Grid[#Data],$DE1232,93),0)</f>
        <v/>
      </c>
      <c r="CS1232">
        <f>IFERROR(INDEX(PP_Grid[#Data],$DE1232,94),0)</f>
        <v/>
      </c>
      <c r="CT1232">
        <f>IFERROR(INDEX(PP_Grid[#Data],$DE1232,95),0)</f>
        <v/>
      </c>
      <c r="CU1232">
        <f>IFERROR(INDEX(PP_Grid[#Data],$DE1232,96),0)</f>
        <v/>
      </c>
      <c r="CV1232">
        <f>IFERROR(INDEX(PP_Grid[#Data],$DE1232,97),0)</f>
        <v/>
      </c>
      <c r="CW1232">
        <f>IFERROR(INDEX(PP_Grid[#Data],$DE1232,98),0)</f>
        <v/>
      </c>
      <c r="CX1232">
        <f>IFERROR(INDEX(PP_Grid[#Data],$DE1232,99),0)</f>
        <v/>
      </c>
      <c r="CY1232">
        <f>IFERROR(INDEX(PP_Grid[#Data],$DE1232,100),0)</f>
        <v/>
      </c>
      <c r="CZ1232">
        <f>IFERROR(INDEX(PP_Grid[#Data],$DE1232,101),0)</f>
        <v/>
      </c>
      <c r="DA1232">
        <f>IFERROR(INDEX(PP_Grid[#Data],$DE1232,102),0)</f>
        <v/>
      </c>
      <c r="DB1232">
        <f>IFERROR(INDEX(PP_Grid[#Data],$DE1232,103),0)</f>
        <v/>
      </c>
      <c r="DC1232">
        <f>IFERROR(INDEX(PP_Grid[#Data],$DE1232,104),0)</f>
        <v/>
      </c>
      <c r="DD1232">
        <f>IFERROR(INDEX(PP_Grid[#Data],$DE1232,105),0)</f>
        <v/>
      </c>
      <c r="DE1232" s="7">
        <f>IFERROR(MATCH($B1232,PP_Grid[Intermediate],0),99999)</f>
        <v/>
      </c>
    </row>
    <row r="1233">
      <c r="B1233" t="inlineStr">
        <is>
          <t>使用量(kg)</t>
        </is>
      </c>
      <c r="C1233">
        <f>SUMIFS(M_BOM[RM_Qty_Per_Batch],M_BOM[Intermediate],$B1232,M_BOM[RM_Code],$A1227)</f>
        <v/>
      </c>
      <c r="D1233">
        <f>IFERROR(INDEX(E1233:DD1233,$F$1),"")</f>
        <v/>
      </c>
      <c r="E1233">
        <f>$C1233*E1232</f>
        <v/>
      </c>
      <c r="F1233">
        <f>$C1233*F1232</f>
        <v/>
      </c>
      <c r="G1233">
        <f>$C1233*G1232</f>
        <v/>
      </c>
      <c r="H1233">
        <f>$C1233*H1232</f>
        <v/>
      </c>
      <c r="I1233">
        <f>$C1233*I1232</f>
        <v/>
      </c>
      <c r="J1233">
        <f>$C1233*J1232</f>
        <v/>
      </c>
      <c r="K1233">
        <f>$C1233*K1232</f>
        <v/>
      </c>
      <c r="L1233">
        <f>$C1233*L1232</f>
        <v/>
      </c>
      <c r="M1233">
        <f>$C1233*M1232</f>
        <v/>
      </c>
      <c r="N1233">
        <f>$C1233*N1232</f>
        <v/>
      </c>
      <c r="O1233">
        <f>$C1233*O1232</f>
        <v/>
      </c>
      <c r="P1233">
        <f>$C1233*P1232</f>
        <v/>
      </c>
      <c r="Q1233">
        <f>$C1233*Q1232</f>
        <v/>
      </c>
      <c r="R1233">
        <f>$C1233*R1232</f>
        <v/>
      </c>
      <c r="S1233">
        <f>$C1233*S1232</f>
        <v/>
      </c>
      <c r="T1233">
        <f>$C1233*T1232</f>
        <v/>
      </c>
      <c r="U1233">
        <f>$C1233*U1232</f>
        <v/>
      </c>
      <c r="V1233">
        <f>$C1233*V1232</f>
        <v/>
      </c>
      <c r="W1233">
        <f>$C1233*W1232</f>
        <v/>
      </c>
      <c r="X1233">
        <f>$C1233*X1232</f>
        <v/>
      </c>
      <c r="Y1233">
        <f>$C1233*Y1232</f>
        <v/>
      </c>
      <c r="Z1233">
        <f>$C1233*Z1232</f>
        <v/>
      </c>
      <c r="AA1233">
        <f>$C1233*AA1232</f>
        <v/>
      </c>
      <c r="AB1233">
        <f>$C1233*AB1232</f>
        <v/>
      </c>
      <c r="AC1233">
        <f>$C1233*AC1232</f>
        <v/>
      </c>
      <c r="AD1233">
        <f>$C1233*AD1232</f>
        <v/>
      </c>
      <c r="AE1233">
        <f>$C1233*AE1232</f>
        <v/>
      </c>
      <c r="AF1233">
        <f>$C1233*AF1232</f>
        <v/>
      </c>
      <c r="AG1233">
        <f>$C1233*AG1232</f>
        <v/>
      </c>
      <c r="AH1233">
        <f>$C1233*AH1232</f>
        <v/>
      </c>
      <c r="AI1233">
        <f>$C1233*AI1232</f>
        <v/>
      </c>
      <c r="AJ1233">
        <f>$C1233*AJ1232</f>
        <v/>
      </c>
      <c r="AK1233">
        <f>$C1233*AK1232</f>
        <v/>
      </c>
      <c r="AL1233">
        <f>$C1233*AL1232</f>
        <v/>
      </c>
      <c r="AM1233">
        <f>$C1233*AM1232</f>
        <v/>
      </c>
      <c r="AN1233">
        <f>$C1233*AN1232</f>
        <v/>
      </c>
      <c r="AO1233">
        <f>$C1233*AO1232</f>
        <v/>
      </c>
      <c r="AP1233">
        <f>$C1233*AP1232</f>
        <v/>
      </c>
      <c r="AQ1233">
        <f>$C1233*AQ1232</f>
        <v/>
      </c>
      <c r="AR1233">
        <f>$C1233*AR1232</f>
        <v/>
      </c>
      <c r="AS1233">
        <f>$C1233*AS1232</f>
        <v/>
      </c>
      <c r="AT1233">
        <f>$C1233*AT1232</f>
        <v/>
      </c>
      <c r="AU1233">
        <f>$C1233*AU1232</f>
        <v/>
      </c>
      <c r="AV1233">
        <f>$C1233*AV1232</f>
        <v/>
      </c>
      <c r="AW1233">
        <f>$C1233*AW1232</f>
        <v/>
      </c>
      <c r="AX1233">
        <f>$C1233*AX1232</f>
        <v/>
      </c>
      <c r="AY1233">
        <f>$C1233*AY1232</f>
        <v/>
      </c>
      <c r="AZ1233">
        <f>$C1233*AZ1232</f>
        <v/>
      </c>
      <c r="BA1233">
        <f>$C1233*BA1232</f>
        <v/>
      </c>
      <c r="BB1233">
        <f>$C1233*BB1232</f>
        <v/>
      </c>
      <c r="BC1233">
        <f>$C1233*BC1232</f>
        <v/>
      </c>
      <c r="BD1233">
        <f>$C1233*BD1232</f>
        <v/>
      </c>
      <c r="BE1233">
        <f>$C1233*BE1232</f>
        <v/>
      </c>
      <c r="BF1233">
        <f>$C1233*BF1232</f>
        <v/>
      </c>
      <c r="BG1233">
        <f>$C1233*BG1232</f>
        <v/>
      </c>
      <c r="BH1233">
        <f>$C1233*BH1232</f>
        <v/>
      </c>
      <c r="BI1233">
        <f>$C1233*BI1232</f>
        <v/>
      </c>
      <c r="BJ1233">
        <f>$C1233*BJ1232</f>
        <v/>
      </c>
      <c r="BK1233">
        <f>$C1233*BK1232</f>
        <v/>
      </c>
      <c r="BL1233">
        <f>$C1233*BL1232</f>
        <v/>
      </c>
      <c r="BM1233">
        <f>$C1233*BM1232</f>
        <v/>
      </c>
      <c r="BN1233">
        <f>$C1233*BN1232</f>
        <v/>
      </c>
      <c r="BO1233">
        <f>$C1233*BO1232</f>
        <v/>
      </c>
      <c r="BP1233">
        <f>$C1233*BP1232</f>
        <v/>
      </c>
      <c r="BQ1233">
        <f>$C1233*BQ1232</f>
        <v/>
      </c>
      <c r="BR1233">
        <f>$C1233*BR1232</f>
        <v/>
      </c>
      <c r="BS1233">
        <f>$C1233*BS1232</f>
        <v/>
      </c>
      <c r="BT1233">
        <f>$C1233*BT1232</f>
        <v/>
      </c>
      <c r="BU1233">
        <f>$C1233*BU1232</f>
        <v/>
      </c>
      <c r="BV1233">
        <f>$C1233*BV1232</f>
        <v/>
      </c>
      <c r="BW1233">
        <f>$C1233*BW1232</f>
        <v/>
      </c>
      <c r="BX1233">
        <f>$C1233*BX1232</f>
        <v/>
      </c>
      <c r="BY1233">
        <f>$C1233*BY1232</f>
        <v/>
      </c>
      <c r="BZ1233">
        <f>$C1233*BZ1232</f>
        <v/>
      </c>
      <c r="CA1233">
        <f>$C1233*CA1232</f>
        <v/>
      </c>
      <c r="CB1233">
        <f>$C1233*CB1232</f>
        <v/>
      </c>
      <c r="CC1233">
        <f>$C1233*CC1232</f>
        <v/>
      </c>
      <c r="CD1233">
        <f>$C1233*CD1232</f>
        <v/>
      </c>
      <c r="CE1233">
        <f>$C1233*CE1232</f>
        <v/>
      </c>
      <c r="CF1233">
        <f>$C1233*CF1232</f>
        <v/>
      </c>
      <c r="CG1233">
        <f>$C1233*CG1232</f>
        <v/>
      </c>
      <c r="CH1233">
        <f>$C1233*CH1232</f>
        <v/>
      </c>
      <c r="CI1233">
        <f>$C1233*CI1232</f>
        <v/>
      </c>
      <c r="CJ1233">
        <f>$C1233*CJ1232</f>
        <v/>
      </c>
      <c r="CK1233">
        <f>$C1233*CK1232</f>
        <v/>
      </c>
      <c r="CL1233">
        <f>$C1233*CL1232</f>
        <v/>
      </c>
      <c r="CM1233">
        <f>$C1233*CM1232</f>
        <v/>
      </c>
      <c r="CN1233">
        <f>$C1233*CN1232</f>
        <v/>
      </c>
      <c r="CO1233">
        <f>$C1233*CO1232</f>
        <v/>
      </c>
      <c r="CP1233">
        <f>$C1233*CP1232</f>
        <v/>
      </c>
      <c r="CQ1233">
        <f>$C1233*CQ1232</f>
        <v/>
      </c>
      <c r="CR1233">
        <f>$C1233*CR1232</f>
        <v/>
      </c>
      <c r="CS1233">
        <f>$C1233*CS1232</f>
        <v/>
      </c>
      <c r="CT1233">
        <f>$C1233*CT1232</f>
        <v/>
      </c>
      <c r="CU1233">
        <f>$C1233*CU1232</f>
        <v/>
      </c>
      <c r="CV1233">
        <f>$C1233*CV1232</f>
        <v/>
      </c>
      <c r="CW1233">
        <f>$C1233*CW1232</f>
        <v/>
      </c>
      <c r="CX1233">
        <f>$C1233*CX1232</f>
        <v/>
      </c>
      <c r="CY1233">
        <f>$C1233*CY1232</f>
        <v/>
      </c>
      <c r="CZ1233">
        <f>$C1233*CZ1232</f>
        <v/>
      </c>
      <c r="DA1233">
        <f>$C1233*DA1232</f>
        <v/>
      </c>
      <c r="DB1233">
        <f>$C1233*DB1232</f>
        <v/>
      </c>
      <c r="DC1233">
        <f>$C1233*DC1232</f>
        <v/>
      </c>
      <c r="DD1233">
        <f>$C1233*DD1232</f>
        <v/>
      </c>
    </row>
    <row r="1234">
      <c r="B1234" t="inlineStr">
        <is>
          <t>TSP-1388</t>
        </is>
      </c>
      <c r="C1234" t="inlineStr">
        <is>
          <t>No. of batches</t>
        </is>
      </c>
      <c r="D1234">
        <f>IFERROR(INDEX(E1234:DD1234,$F$1),"")</f>
        <v/>
      </c>
      <c r="E1234">
        <f>IFERROR(INDEX(PP_Grid[#Data],$DE1234,2),0)</f>
        <v/>
      </c>
      <c r="F1234">
        <f>IFERROR(INDEX(PP_Grid[#Data],$DE1234,3),0)</f>
        <v/>
      </c>
      <c r="G1234">
        <f>IFERROR(INDEX(PP_Grid[#Data],$DE1234,4),0)</f>
        <v/>
      </c>
      <c r="H1234">
        <f>IFERROR(INDEX(PP_Grid[#Data],$DE1234,5),0)</f>
        <v/>
      </c>
      <c r="I1234">
        <f>IFERROR(INDEX(PP_Grid[#Data],$DE1234,6),0)</f>
        <v/>
      </c>
      <c r="J1234">
        <f>IFERROR(INDEX(PP_Grid[#Data],$DE1234,7),0)</f>
        <v/>
      </c>
      <c r="K1234">
        <f>IFERROR(INDEX(PP_Grid[#Data],$DE1234,8),0)</f>
        <v/>
      </c>
      <c r="L1234">
        <f>IFERROR(INDEX(PP_Grid[#Data],$DE1234,9),0)</f>
        <v/>
      </c>
      <c r="M1234">
        <f>IFERROR(INDEX(PP_Grid[#Data],$DE1234,10),0)</f>
        <v/>
      </c>
      <c r="N1234">
        <f>IFERROR(INDEX(PP_Grid[#Data],$DE1234,11),0)</f>
        <v/>
      </c>
      <c r="O1234">
        <f>IFERROR(INDEX(PP_Grid[#Data],$DE1234,12),0)</f>
        <v/>
      </c>
      <c r="P1234">
        <f>IFERROR(INDEX(PP_Grid[#Data],$DE1234,13),0)</f>
        <v/>
      </c>
      <c r="Q1234">
        <f>IFERROR(INDEX(PP_Grid[#Data],$DE1234,14),0)</f>
        <v/>
      </c>
      <c r="R1234">
        <f>IFERROR(INDEX(PP_Grid[#Data],$DE1234,15),0)</f>
        <v/>
      </c>
      <c r="S1234">
        <f>IFERROR(INDEX(PP_Grid[#Data],$DE1234,16),0)</f>
        <v/>
      </c>
      <c r="T1234">
        <f>IFERROR(INDEX(PP_Grid[#Data],$DE1234,17),0)</f>
        <v/>
      </c>
      <c r="U1234">
        <f>IFERROR(INDEX(PP_Grid[#Data],$DE1234,18),0)</f>
        <v/>
      </c>
      <c r="V1234">
        <f>IFERROR(INDEX(PP_Grid[#Data],$DE1234,19),0)</f>
        <v/>
      </c>
      <c r="W1234">
        <f>IFERROR(INDEX(PP_Grid[#Data],$DE1234,20),0)</f>
        <v/>
      </c>
      <c r="X1234">
        <f>IFERROR(INDEX(PP_Grid[#Data],$DE1234,21),0)</f>
        <v/>
      </c>
      <c r="Y1234">
        <f>IFERROR(INDEX(PP_Grid[#Data],$DE1234,22),0)</f>
        <v/>
      </c>
      <c r="Z1234">
        <f>IFERROR(INDEX(PP_Grid[#Data],$DE1234,23),0)</f>
        <v/>
      </c>
      <c r="AA1234">
        <f>IFERROR(INDEX(PP_Grid[#Data],$DE1234,24),0)</f>
        <v/>
      </c>
      <c r="AB1234">
        <f>IFERROR(INDEX(PP_Grid[#Data],$DE1234,25),0)</f>
        <v/>
      </c>
      <c r="AC1234">
        <f>IFERROR(INDEX(PP_Grid[#Data],$DE1234,26),0)</f>
        <v/>
      </c>
      <c r="AD1234">
        <f>IFERROR(INDEX(PP_Grid[#Data],$DE1234,27),0)</f>
        <v/>
      </c>
      <c r="AE1234">
        <f>IFERROR(INDEX(PP_Grid[#Data],$DE1234,28),0)</f>
        <v/>
      </c>
      <c r="AF1234">
        <f>IFERROR(INDEX(PP_Grid[#Data],$DE1234,29),0)</f>
        <v/>
      </c>
      <c r="AG1234">
        <f>IFERROR(INDEX(PP_Grid[#Data],$DE1234,30),0)</f>
        <v/>
      </c>
      <c r="AH1234">
        <f>IFERROR(INDEX(PP_Grid[#Data],$DE1234,31),0)</f>
        <v/>
      </c>
      <c r="AI1234">
        <f>IFERROR(INDEX(PP_Grid[#Data],$DE1234,32),0)</f>
        <v/>
      </c>
      <c r="AJ1234">
        <f>IFERROR(INDEX(PP_Grid[#Data],$DE1234,33),0)</f>
        <v/>
      </c>
      <c r="AK1234">
        <f>IFERROR(INDEX(PP_Grid[#Data],$DE1234,34),0)</f>
        <v/>
      </c>
      <c r="AL1234">
        <f>IFERROR(INDEX(PP_Grid[#Data],$DE1234,35),0)</f>
        <v/>
      </c>
      <c r="AM1234">
        <f>IFERROR(INDEX(PP_Grid[#Data],$DE1234,36),0)</f>
        <v/>
      </c>
      <c r="AN1234">
        <f>IFERROR(INDEX(PP_Grid[#Data],$DE1234,37),0)</f>
        <v/>
      </c>
      <c r="AO1234">
        <f>IFERROR(INDEX(PP_Grid[#Data],$DE1234,38),0)</f>
        <v/>
      </c>
      <c r="AP1234">
        <f>IFERROR(INDEX(PP_Grid[#Data],$DE1234,39),0)</f>
        <v/>
      </c>
      <c r="AQ1234">
        <f>IFERROR(INDEX(PP_Grid[#Data],$DE1234,40),0)</f>
        <v/>
      </c>
      <c r="AR1234">
        <f>IFERROR(INDEX(PP_Grid[#Data],$DE1234,41),0)</f>
        <v/>
      </c>
      <c r="AS1234">
        <f>IFERROR(INDEX(PP_Grid[#Data],$DE1234,42),0)</f>
        <v/>
      </c>
      <c r="AT1234">
        <f>IFERROR(INDEX(PP_Grid[#Data],$DE1234,43),0)</f>
        <v/>
      </c>
      <c r="AU1234">
        <f>IFERROR(INDEX(PP_Grid[#Data],$DE1234,44),0)</f>
        <v/>
      </c>
      <c r="AV1234">
        <f>IFERROR(INDEX(PP_Grid[#Data],$DE1234,45),0)</f>
        <v/>
      </c>
      <c r="AW1234">
        <f>IFERROR(INDEX(PP_Grid[#Data],$DE1234,46),0)</f>
        <v/>
      </c>
      <c r="AX1234">
        <f>IFERROR(INDEX(PP_Grid[#Data],$DE1234,47),0)</f>
        <v/>
      </c>
      <c r="AY1234">
        <f>IFERROR(INDEX(PP_Grid[#Data],$DE1234,48),0)</f>
        <v/>
      </c>
      <c r="AZ1234">
        <f>IFERROR(INDEX(PP_Grid[#Data],$DE1234,49),0)</f>
        <v/>
      </c>
      <c r="BA1234">
        <f>IFERROR(INDEX(PP_Grid[#Data],$DE1234,50),0)</f>
        <v/>
      </c>
      <c r="BB1234">
        <f>IFERROR(INDEX(PP_Grid[#Data],$DE1234,51),0)</f>
        <v/>
      </c>
      <c r="BC1234">
        <f>IFERROR(INDEX(PP_Grid[#Data],$DE1234,52),0)</f>
        <v/>
      </c>
      <c r="BD1234">
        <f>IFERROR(INDEX(PP_Grid[#Data],$DE1234,53),0)</f>
        <v/>
      </c>
      <c r="BE1234">
        <f>IFERROR(INDEX(PP_Grid[#Data],$DE1234,54),0)</f>
        <v/>
      </c>
      <c r="BF1234">
        <f>IFERROR(INDEX(PP_Grid[#Data],$DE1234,55),0)</f>
        <v/>
      </c>
      <c r="BG1234">
        <f>IFERROR(INDEX(PP_Grid[#Data],$DE1234,56),0)</f>
        <v/>
      </c>
      <c r="BH1234">
        <f>IFERROR(INDEX(PP_Grid[#Data],$DE1234,57),0)</f>
        <v/>
      </c>
      <c r="BI1234">
        <f>IFERROR(INDEX(PP_Grid[#Data],$DE1234,58),0)</f>
        <v/>
      </c>
      <c r="BJ1234">
        <f>IFERROR(INDEX(PP_Grid[#Data],$DE1234,59),0)</f>
        <v/>
      </c>
      <c r="BK1234">
        <f>IFERROR(INDEX(PP_Grid[#Data],$DE1234,60),0)</f>
        <v/>
      </c>
      <c r="BL1234">
        <f>IFERROR(INDEX(PP_Grid[#Data],$DE1234,61),0)</f>
        <v/>
      </c>
      <c r="BM1234">
        <f>IFERROR(INDEX(PP_Grid[#Data],$DE1234,62),0)</f>
        <v/>
      </c>
      <c r="BN1234">
        <f>IFERROR(INDEX(PP_Grid[#Data],$DE1234,63),0)</f>
        <v/>
      </c>
      <c r="BO1234">
        <f>IFERROR(INDEX(PP_Grid[#Data],$DE1234,64),0)</f>
        <v/>
      </c>
      <c r="BP1234">
        <f>IFERROR(INDEX(PP_Grid[#Data],$DE1234,65),0)</f>
        <v/>
      </c>
      <c r="BQ1234">
        <f>IFERROR(INDEX(PP_Grid[#Data],$DE1234,66),0)</f>
        <v/>
      </c>
      <c r="BR1234">
        <f>IFERROR(INDEX(PP_Grid[#Data],$DE1234,67),0)</f>
        <v/>
      </c>
      <c r="BS1234">
        <f>IFERROR(INDEX(PP_Grid[#Data],$DE1234,68),0)</f>
        <v/>
      </c>
      <c r="BT1234">
        <f>IFERROR(INDEX(PP_Grid[#Data],$DE1234,69),0)</f>
        <v/>
      </c>
      <c r="BU1234">
        <f>IFERROR(INDEX(PP_Grid[#Data],$DE1234,70),0)</f>
        <v/>
      </c>
      <c r="BV1234">
        <f>IFERROR(INDEX(PP_Grid[#Data],$DE1234,71),0)</f>
        <v/>
      </c>
      <c r="BW1234">
        <f>IFERROR(INDEX(PP_Grid[#Data],$DE1234,72),0)</f>
        <v/>
      </c>
      <c r="BX1234">
        <f>IFERROR(INDEX(PP_Grid[#Data],$DE1234,73),0)</f>
        <v/>
      </c>
      <c r="BY1234">
        <f>IFERROR(INDEX(PP_Grid[#Data],$DE1234,74),0)</f>
        <v/>
      </c>
      <c r="BZ1234">
        <f>IFERROR(INDEX(PP_Grid[#Data],$DE1234,75),0)</f>
        <v/>
      </c>
      <c r="CA1234">
        <f>IFERROR(INDEX(PP_Grid[#Data],$DE1234,76),0)</f>
        <v/>
      </c>
      <c r="CB1234">
        <f>IFERROR(INDEX(PP_Grid[#Data],$DE1234,77),0)</f>
        <v/>
      </c>
      <c r="CC1234">
        <f>IFERROR(INDEX(PP_Grid[#Data],$DE1234,78),0)</f>
        <v/>
      </c>
      <c r="CD1234">
        <f>IFERROR(INDEX(PP_Grid[#Data],$DE1234,79),0)</f>
        <v/>
      </c>
      <c r="CE1234">
        <f>IFERROR(INDEX(PP_Grid[#Data],$DE1234,80),0)</f>
        <v/>
      </c>
      <c r="CF1234">
        <f>IFERROR(INDEX(PP_Grid[#Data],$DE1234,81),0)</f>
        <v/>
      </c>
      <c r="CG1234">
        <f>IFERROR(INDEX(PP_Grid[#Data],$DE1234,82),0)</f>
        <v/>
      </c>
      <c r="CH1234">
        <f>IFERROR(INDEX(PP_Grid[#Data],$DE1234,83),0)</f>
        <v/>
      </c>
      <c r="CI1234">
        <f>IFERROR(INDEX(PP_Grid[#Data],$DE1234,84),0)</f>
        <v/>
      </c>
      <c r="CJ1234">
        <f>IFERROR(INDEX(PP_Grid[#Data],$DE1234,85),0)</f>
        <v/>
      </c>
      <c r="CK1234">
        <f>IFERROR(INDEX(PP_Grid[#Data],$DE1234,86),0)</f>
        <v/>
      </c>
      <c r="CL1234">
        <f>IFERROR(INDEX(PP_Grid[#Data],$DE1234,87),0)</f>
        <v/>
      </c>
      <c r="CM1234">
        <f>IFERROR(INDEX(PP_Grid[#Data],$DE1234,88),0)</f>
        <v/>
      </c>
      <c r="CN1234">
        <f>IFERROR(INDEX(PP_Grid[#Data],$DE1234,89),0)</f>
        <v/>
      </c>
      <c r="CO1234">
        <f>IFERROR(INDEX(PP_Grid[#Data],$DE1234,90),0)</f>
        <v/>
      </c>
      <c r="CP1234">
        <f>IFERROR(INDEX(PP_Grid[#Data],$DE1234,91),0)</f>
        <v/>
      </c>
      <c r="CQ1234">
        <f>IFERROR(INDEX(PP_Grid[#Data],$DE1234,92),0)</f>
        <v/>
      </c>
      <c r="CR1234">
        <f>IFERROR(INDEX(PP_Grid[#Data],$DE1234,93),0)</f>
        <v/>
      </c>
      <c r="CS1234">
        <f>IFERROR(INDEX(PP_Grid[#Data],$DE1234,94),0)</f>
        <v/>
      </c>
      <c r="CT1234">
        <f>IFERROR(INDEX(PP_Grid[#Data],$DE1234,95),0)</f>
        <v/>
      </c>
      <c r="CU1234">
        <f>IFERROR(INDEX(PP_Grid[#Data],$DE1234,96),0)</f>
        <v/>
      </c>
      <c r="CV1234">
        <f>IFERROR(INDEX(PP_Grid[#Data],$DE1234,97),0)</f>
        <v/>
      </c>
      <c r="CW1234">
        <f>IFERROR(INDEX(PP_Grid[#Data],$DE1234,98),0)</f>
        <v/>
      </c>
      <c r="CX1234">
        <f>IFERROR(INDEX(PP_Grid[#Data],$DE1234,99),0)</f>
        <v/>
      </c>
      <c r="CY1234">
        <f>IFERROR(INDEX(PP_Grid[#Data],$DE1234,100),0)</f>
        <v/>
      </c>
      <c r="CZ1234">
        <f>IFERROR(INDEX(PP_Grid[#Data],$DE1234,101),0)</f>
        <v/>
      </c>
      <c r="DA1234">
        <f>IFERROR(INDEX(PP_Grid[#Data],$DE1234,102),0)</f>
        <v/>
      </c>
      <c r="DB1234">
        <f>IFERROR(INDEX(PP_Grid[#Data],$DE1234,103),0)</f>
        <v/>
      </c>
      <c r="DC1234">
        <f>IFERROR(INDEX(PP_Grid[#Data],$DE1234,104),0)</f>
        <v/>
      </c>
      <c r="DD1234">
        <f>IFERROR(INDEX(PP_Grid[#Data],$DE1234,105),0)</f>
        <v/>
      </c>
      <c r="DE1234" s="7">
        <f>IFERROR(MATCH($B1234,PP_Grid[Intermediate],0),99999)</f>
        <v/>
      </c>
    </row>
    <row r="1235">
      <c r="B1235" t="inlineStr">
        <is>
          <t>使用量(kg)</t>
        </is>
      </c>
      <c r="C1235">
        <f>SUMIFS(M_BOM[RM_Qty_Per_Batch],M_BOM[Intermediate],$B1234,M_BOM[RM_Code],$A1227)</f>
        <v/>
      </c>
      <c r="D1235">
        <f>IFERROR(INDEX(E1235:DD1235,$F$1),"")</f>
        <v/>
      </c>
      <c r="E1235">
        <f>$C1235*E1234</f>
        <v/>
      </c>
      <c r="F1235">
        <f>$C1235*F1234</f>
        <v/>
      </c>
      <c r="G1235">
        <f>$C1235*G1234</f>
        <v/>
      </c>
      <c r="H1235">
        <f>$C1235*H1234</f>
        <v/>
      </c>
      <c r="I1235">
        <f>$C1235*I1234</f>
        <v/>
      </c>
      <c r="J1235">
        <f>$C1235*J1234</f>
        <v/>
      </c>
      <c r="K1235">
        <f>$C1235*K1234</f>
        <v/>
      </c>
      <c r="L1235">
        <f>$C1235*L1234</f>
        <v/>
      </c>
      <c r="M1235">
        <f>$C1235*M1234</f>
        <v/>
      </c>
      <c r="N1235">
        <f>$C1235*N1234</f>
        <v/>
      </c>
      <c r="O1235">
        <f>$C1235*O1234</f>
        <v/>
      </c>
      <c r="P1235">
        <f>$C1235*P1234</f>
        <v/>
      </c>
      <c r="Q1235">
        <f>$C1235*Q1234</f>
        <v/>
      </c>
      <c r="R1235">
        <f>$C1235*R1234</f>
        <v/>
      </c>
      <c r="S1235">
        <f>$C1235*S1234</f>
        <v/>
      </c>
      <c r="T1235">
        <f>$C1235*T1234</f>
        <v/>
      </c>
      <c r="U1235">
        <f>$C1235*U1234</f>
        <v/>
      </c>
      <c r="V1235">
        <f>$C1235*V1234</f>
        <v/>
      </c>
      <c r="W1235">
        <f>$C1235*W1234</f>
        <v/>
      </c>
      <c r="X1235">
        <f>$C1235*X1234</f>
        <v/>
      </c>
      <c r="Y1235">
        <f>$C1235*Y1234</f>
        <v/>
      </c>
      <c r="Z1235">
        <f>$C1235*Z1234</f>
        <v/>
      </c>
      <c r="AA1235">
        <f>$C1235*AA1234</f>
        <v/>
      </c>
      <c r="AB1235">
        <f>$C1235*AB1234</f>
        <v/>
      </c>
      <c r="AC1235">
        <f>$C1235*AC1234</f>
        <v/>
      </c>
      <c r="AD1235">
        <f>$C1235*AD1234</f>
        <v/>
      </c>
      <c r="AE1235">
        <f>$C1235*AE1234</f>
        <v/>
      </c>
      <c r="AF1235">
        <f>$C1235*AF1234</f>
        <v/>
      </c>
      <c r="AG1235">
        <f>$C1235*AG1234</f>
        <v/>
      </c>
      <c r="AH1235">
        <f>$C1235*AH1234</f>
        <v/>
      </c>
      <c r="AI1235">
        <f>$C1235*AI1234</f>
        <v/>
      </c>
      <c r="AJ1235">
        <f>$C1235*AJ1234</f>
        <v/>
      </c>
      <c r="AK1235">
        <f>$C1235*AK1234</f>
        <v/>
      </c>
      <c r="AL1235">
        <f>$C1235*AL1234</f>
        <v/>
      </c>
      <c r="AM1235">
        <f>$C1235*AM1234</f>
        <v/>
      </c>
      <c r="AN1235">
        <f>$C1235*AN1234</f>
        <v/>
      </c>
      <c r="AO1235">
        <f>$C1235*AO1234</f>
        <v/>
      </c>
      <c r="AP1235">
        <f>$C1235*AP1234</f>
        <v/>
      </c>
      <c r="AQ1235">
        <f>$C1235*AQ1234</f>
        <v/>
      </c>
      <c r="AR1235">
        <f>$C1235*AR1234</f>
        <v/>
      </c>
      <c r="AS1235">
        <f>$C1235*AS1234</f>
        <v/>
      </c>
      <c r="AT1235">
        <f>$C1235*AT1234</f>
        <v/>
      </c>
      <c r="AU1235">
        <f>$C1235*AU1234</f>
        <v/>
      </c>
      <c r="AV1235">
        <f>$C1235*AV1234</f>
        <v/>
      </c>
      <c r="AW1235">
        <f>$C1235*AW1234</f>
        <v/>
      </c>
      <c r="AX1235">
        <f>$C1235*AX1234</f>
        <v/>
      </c>
      <c r="AY1235">
        <f>$C1235*AY1234</f>
        <v/>
      </c>
      <c r="AZ1235">
        <f>$C1235*AZ1234</f>
        <v/>
      </c>
      <c r="BA1235">
        <f>$C1235*BA1234</f>
        <v/>
      </c>
      <c r="BB1235">
        <f>$C1235*BB1234</f>
        <v/>
      </c>
      <c r="BC1235">
        <f>$C1235*BC1234</f>
        <v/>
      </c>
      <c r="BD1235">
        <f>$C1235*BD1234</f>
        <v/>
      </c>
      <c r="BE1235">
        <f>$C1235*BE1234</f>
        <v/>
      </c>
      <c r="BF1235">
        <f>$C1235*BF1234</f>
        <v/>
      </c>
      <c r="BG1235">
        <f>$C1235*BG1234</f>
        <v/>
      </c>
      <c r="BH1235">
        <f>$C1235*BH1234</f>
        <v/>
      </c>
      <c r="BI1235">
        <f>$C1235*BI1234</f>
        <v/>
      </c>
      <c r="BJ1235">
        <f>$C1235*BJ1234</f>
        <v/>
      </c>
      <c r="BK1235">
        <f>$C1235*BK1234</f>
        <v/>
      </c>
      <c r="BL1235">
        <f>$C1235*BL1234</f>
        <v/>
      </c>
      <c r="BM1235">
        <f>$C1235*BM1234</f>
        <v/>
      </c>
      <c r="BN1235">
        <f>$C1235*BN1234</f>
        <v/>
      </c>
      <c r="BO1235">
        <f>$C1235*BO1234</f>
        <v/>
      </c>
      <c r="BP1235">
        <f>$C1235*BP1234</f>
        <v/>
      </c>
      <c r="BQ1235">
        <f>$C1235*BQ1234</f>
        <v/>
      </c>
      <c r="BR1235">
        <f>$C1235*BR1234</f>
        <v/>
      </c>
      <c r="BS1235">
        <f>$C1235*BS1234</f>
        <v/>
      </c>
      <c r="BT1235">
        <f>$C1235*BT1234</f>
        <v/>
      </c>
      <c r="BU1235">
        <f>$C1235*BU1234</f>
        <v/>
      </c>
      <c r="BV1235">
        <f>$C1235*BV1234</f>
        <v/>
      </c>
      <c r="BW1235">
        <f>$C1235*BW1234</f>
        <v/>
      </c>
      <c r="BX1235">
        <f>$C1235*BX1234</f>
        <v/>
      </c>
      <c r="BY1235">
        <f>$C1235*BY1234</f>
        <v/>
      </c>
      <c r="BZ1235">
        <f>$C1235*BZ1234</f>
        <v/>
      </c>
      <c r="CA1235">
        <f>$C1235*CA1234</f>
        <v/>
      </c>
      <c r="CB1235">
        <f>$C1235*CB1234</f>
        <v/>
      </c>
      <c r="CC1235">
        <f>$C1235*CC1234</f>
        <v/>
      </c>
      <c r="CD1235">
        <f>$C1235*CD1234</f>
        <v/>
      </c>
      <c r="CE1235">
        <f>$C1235*CE1234</f>
        <v/>
      </c>
      <c r="CF1235">
        <f>$C1235*CF1234</f>
        <v/>
      </c>
      <c r="CG1235">
        <f>$C1235*CG1234</f>
        <v/>
      </c>
      <c r="CH1235">
        <f>$C1235*CH1234</f>
        <v/>
      </c>
      <c r="CI1235">
        <f>$C1235*CI1234</f>
        <v/>
      </c>
      <c r="CJ1235">
        <f>$C1235*CJ1234</f>
        <v/>
      </c>
      <c r="CK1235">
        <f>$C1235*CK1234</f>
        <v/>
      </c>
      <c r="CL1235">
        <f>$C1235*CL1234</f>
        <v/>
      </c>
      <c r="CM1235">
        <f>$C1235*CM1234</f>
        <v/>
      </c>
      <c r="CN1235">
        <f>$C1235*CN1234</f>
        <v/>
      </c>
      <c r="CO1235">
        <f>$C1235*CO1234</f>
        <v/>
      </c>
      <c r="CP1235">
        <f>$C1235*CP1234</f>
        <v/>
      </c>
      <c r="CQ1235">
        <f>$C1235*CQ1234</f>
        <v/>
      </c>
      <c r="CR1235">
        <f>$C1235*CR1234</f>
        <v/>
      </c>
      <c r="CS1235">
        <f>$C1235*CS1234</f>
        <v/>
      </c>
      <c r="CT1235">
        <f>$C1235*CT1234</f>
        <v/>
      </c>
      <c r="CU1235">
        <f>$C1235*CU1234</f>
        <v/>
      </c>
      <c r="CV1235">
        <f>$C1235*CV1234</f>
        <v/>
      </c>
      <c r="CW1235">
        <f>$C1235*CW1234</f>
        <v/>
      </c>
      <c r="CX1235">
        <f>$C1235*CX1234</f>
        <v/>
      </c>
      <c r="CY1235">
        <f>$C1235*CY1234</f>
        <v/>
      </c>
      <c r="CZ1235">
        <f>$C1235*CZ1234</f>
        <v/>
      </c>
      <c r="DA1235">
        <f>$C1235*DA1234</f>
        <v/>
      </c>
      <c r="DB1235">
        <f>$C1235*DB1234</f>
        <v/>
      </c>
      <c r="DC1235">
        <f>$C1235*DC1234</f>
        <v/>
      </c>
      <c r="DD1235">
        <f>$C1235*DD1234</f>
        <v/>
      </c>
    </row>
    <row r="1236">
      <c r="B1236" s="4" t="inlineStr">
        <is>
          <t>合計使用量(kg)/週</t>
        </is>
      </c>
      <c r="D1236" s="22">
        <f>IFERROR(INDEX(E1236:DD1236,$F$1),"")</f>
        <v/>
      </c>
      <c r="E1236">
        <f>'Grid_Requirement'!B86</f>
        <v/>
      </c>
      <c r="F1236">
        <f>'Grid_Requirement'!C86</f>
        <v/>
      </c>
      <c r="G1236">
        <f>'Grid_Requirement'!D86</f>
        <v/>
      </c>
      <c r="H1236">
        <f>'Grid_Requirement'!E86</f>
        <v/>
      </c>
      <c r="I1236">
        <f>'Grid_Requirement'!F86</f>
        <v/>
      </c>
      <c r="J1236">
        <f>'Grid_Requirement'!G86</f>
        <v/>
      </c>
      <c r="K1236">
        <f>'Grid_Requirement'!H86</f>
        <v/>
      </c>
      <c r="L1236">
        <f>'Grid_Requirement'!I86</f>
        <v/>
      </c>
      <c r="M1236">
        <f>'Grid_Requirement'!J86</f>
        <v/>
      </c>
      <c r="N1236">
        <f>'Grid_Requirement'!K86</f>
        <v/>
      </c>
      <c r="O1236">
        <f>'Grid_Requirement'!L86</f>
        <v/>
      </c>
      <c r="P1236">
        <f>'Grid_Requirement'!M86</f>
        <v/>
      </c>
      <c r="Q1236">
        <f>'Grid_Requirement'!N86</f>
        <v/>
      </c>
      <c r="R1236">
        <f>'Grid_Requirement'!O86</f>
        <v/>
      </c>
      <c r="S1236">
        <f>'Grid_Requirement'!P86</f>
        <v/>
      </c>
      <c r="T1236">
        <f>'Grid_Requirement'!Q86</f>
        <v/>
      </c>
      <c r="U1236">
        <f>'Grid_Requirement'!R86</f>
        <v/>
      </c>
      <c r="V1236">
        <f>'Grid_Requirement'!S86</f>
        <v/>
      </c>
      <c r="W1236">
        <f>'Grid_Requirement'!T86</f>
        <v/>
      </c>
      <c r="X1236">
        <f>'Grid_Requirement'!U86</f>
        <v/>
      </c>
      <c r="Y1236">
        <f>'Grid_Requirement'!V86</f>
        <v/>
      </c>
      <c r="Z1236">
        <f>'Grid_Requirement'!W86</f>
        <v/>
      </c>
      <c r="AA1236">
        <f>'Grid_Requirement'!X86</f>
        <v/>
      </c>
      <c r="AB1236">
        <f>'Grid_Requirement'!Y86</f>
        <v/>
      </c>
      <c r="AC1236">
        <f>'Grid_Requirement'!Z86</f>
        <v/>
      </c>
      <c r="AD1236">
        <f>'Grid_Requirement'!AA86</f>
        <v/>
      </c>
      <c r="AE1236">
        <f>'Grid_Requirement'!AB86</f>
        <v/>
      </c>
      <c r="AF1236">
        <f>'Grid_Requirement'!AC86</f>
        <v/>
      </c>
      <c r="AG1236">
        <f>'Grid_Requirement'!AD86</f>
        <v/>
      </c>
      <c r="AH1236">
        <f>'Grid_Requirement'!AE86</f>
        <v/>
      </c>
      <c r="AI1236">
        <f>'Grid_Requirement'!AF86</f>
        <v/>
      </c>
      <c r="AJ1236">
        <f>'Grid_Requirement'!AG86</f>
        <v/>
      </c>
      <c r="AK1236">
        <f>'Grid_Requirement'!AH86</f>
        <v/>
      </c>
      <c r="AL1236">
        <f>'Grid_Requirement'!AI86</f>
        <v/>
      </c>
      <c r="AM1236">
        <f>'Grid_Requirement'!AJ86</f>
        <v/>
      </c>
      <c r="AN1236">
        <f>'Grid_Requirement'!AK86</f>
        <v/>
      </c>
      <c r="AO1236">
        <f>'Grid_Requirement'!AL86</f>
        <v/>
      </c>
      <c r="AP1236">
        <f>'Grid_Requirement'!AM86</f>
        <v/>
      </c>
      <c r="AQ1236">
        <f>'Grid_Requirement'!AN86</f>
        <v/>
      </c>
      <c r="AR1236">
        <f>'Grid_Requirement'!AO86</f>
        <v/>
      </c>
      <c r="AS1236">
        <f>'Grid_Requirement'!AP86</f>
        <v/>
      </c>
      <c r="AT1236">
        <f>'Grid_Requirement'!AQ86</f>
        <v/>
      </c>
      <c r="AU1236">
        <f>'Grid_Requirement'!AR86</f>
        <v/>
      </c>
      <c r="AV1236">
        <f>'Grid_Requirement'!AS86</f>
        <v/>
      </c>
      <c r="AW1236">
        <f>'Grid_Requirement'!AT86</f>
        <v/>
      </c>
      <c r="AX1236">
        <f>'Grid_Requirement'!AU86</f>
        <v/>
      </c>
      <c r="AY1236">
        <f>'Grid_Requirement'!AV86</f>
        <v/>
      </c>
      <c r="AZ1236">
        <f>'Grid_Requirement'!AW86</f>
        <v/>
      </c>
      <c r="BA1236">
        <f>'Grid_Requirement'!AX86</f>
        <v/>
      </c>
      <c r="BB1236">
        <f>'Grid_Requirement'!AY86</f>
        <v/>
      </c>
      <c r="BC1236">
        <f>'Grid_Requirement'!AZ86</f>
        <v/>
      </c>
      <c r="BD1236">
        <f>'Grid_Requirement'!BA86</f>
        <v/>
      </c>
      <c r="BE1236">
        <f>'Grid_Requirement'!BB86</f>
        <v/>
      </c>
      <c r="BF1236">
        <f>'Grid_Requirement'!BC86</f>
        <v/>
      </c>
      <c r="BG1236">
        <f>'Grid_Requirement'!BD86</f>
        <v/>
      </c>
      <c r="BH1236">
        <f>'Grid_Requirement'!BE86</f>
        <v/>
      </c>
      <c r="BI1236">
        <f>'Grid_Requirement'!BF86</f>
        <v/>
      </c>
      <c r="BJ1236">
        <f>'Grid_Requirement'!BG86</f>
        <v/>
      </c>
      <c r="BK1236">
        <f>'Grid_Requirement'!BH86</f>
        <v/>
      </c>
      <c r="BL1236">
        <f>'Grid_Requirement'!BI86</f>
        <v/>
      </c>
      <c r="BM1236">
        <f>'Grid_Requirement'!BJ86</f>
        <v/>
      </c>
      <c r="BN1236">
        <f>'Grid_Requirement'!BK86</f>
        <v/>
      </c>
      <c r="BO1236">
        <f>'Grid_Requirement'!BL86</f>
        <v/>
      </c>
      <c r="BP1236">
        <f>'Grid_Requirement'!BM86</f>
        <v/>
      </c>
      <c r="BQ1236">
        <f>'Grid_Requirement'!BN86</f>
        <v/>
      </c>
      <c r="BR1236">
        <f>'Grid_Requirement'!BO86</f>
        <v/>
      </c>
      <c r="BS1236">
        <f>'Grid_Requirement'!BP86</f>
        <v/>
      </c>
      <c r="BT1236">
        <f>'Grid_Requirement'!BQ86</f>
        <v/>
      </c>
      <c r="BU1236">
        <f>'Grid_Requirement'!BR86</f>
        <v/>
      </c>
      <c r="BV1236">
        <f>'Grid_Requirement'!BS86</f>
        <v/>
      </c>
      <c r="BW1236">
        <f>'Grid_Requirement'!BT86</f>
        <v/>
      </c>
      <c r="BX1236">
        <f>'Grid_Requirement'!BU86</f>
        <v/>
      </c>
      <c r="BY1236">
        <f>'Grid_Requirement'!BV86</f>
        <v/>
      </c>
      <c r="BZ1236">
        <f>'Grid_Requirement'!BW86</f>
        <v/>
      </c>
      <c r="CA1236">
        <f>'Grid_Requirement'!BX86</f>
        <v/>
      </c>
      <c r="CB1236">
        <f>'Grid_Requirement'!BY86</f>
        <v/>
      </c>
      <c r="CC1236">
        <f>'Grid_Requirement'!BZ86</f>
        <v/>
      </c>
      <c r="CD1236">
        <f>'Grid_Requirement'!CA86</f>
        <v/>
      </c>
      <c r="CE1236">
        <f>'Grid_Requirement'!CB86</f>
        <v/>
      </c>
      <c r="CF1236">
        <f>'Grid_Requirement'!CC86</f>
        <v/>
      </c>
      <c r="CG1236">
        <f>'Grid_Requirement'!CD86</f>
        <v/>
      </c>
      <c r="CH1236">
        <f>'Grid_Requirement'!CE86</f>
        <v/>
      </c>
      <c r="CI1236">
        <f>'Grid_Requirement'!CF86</f>
        <v/>
      </c>
      <c r="CJ1236">
        <f>'Grid_Requirement'!CG86</f>
        <v/>
      </c>
      <c r="CK1236">
        <f>'Grid_Requirement'!CH86</f>
        <v/>
      </c>
      <c r="CL1236">
        <f>'Grid_Requirement'!CI86</f>
        <v/>
      </c>
      <c r="CM1236">
        <f>'Grid_Requirement'!CJ86</f>
        <v/>
      </c>
      <c r="CN1236">
        <f>'Grid_Requirement'!CK86</f>
        <v/>
      </c>
      <c r="CO1236">
        <f>'Grid_Requirement'!CL86</f>
        <v/>
      </c>
      <c r="CP1236">
        <f>'Grid_Requirement'!CM86</f>
        <v/>
      </c>
      <c r="CQ1236">
        <f>'Grid_Requirement'!CN86</f>
        <v/>
      </c>
      <c r="CR1236">
        <f>'Grid_Requirement'!CO86</f>
        <v/>
      </c>
      <c r="CS1236">
        <f>'Grid_Requirement'!CP86</f>
        <v/>
      </c>
      <c r="CT1236">
        <f>'Grid_Requirement'!CQ86</f>
        <v/>
      </c>
      <c r="CU1236">
        <f>'Grid_Requirement'!CR86</f>
        <v/>
      </c>
      <c r="CV1236">
        <f>'Grid_Requirement'!CS86</f>
        <v/>
      </c>
      <c r="CW1236">
        <f>'Grid_Requirement'!CT86</f>
        <v/>
      </c>
      <c r="CX1236">
        <f>'Grid_Requirement'!CU86</f>
        <v/>
      </c>
      <c r="CY1236">
        <f>'Grid_Requirement'!CV86</f>
        <v/>
      </c>
      <c r="CZ1236">
        <f>'Grid_Requirement'!CW86</f>
        <v/>
      </c>
      <c r="DA1236">
        <f>'Grid_Requirement'!CX86</f>
        <v/>
      </c>
      <c r="DB1236">
        <f>'Grid_Requirement'!CY86</f>
        <v/>
      </c>
      <c r="DC1236">
        <f>'Grid_Requirement'!CZ86</f>
        <v/>
      </c>
      <c r="DD1236">
        <f>'Grid_Requirement'!DA86</f>
        <v/>
      </c>
    </row>
    <row r="1237">
      <c r="B1237" s="23" t="inlineStr">
        <is>
          <t>（在庫・入荷予定はDashboard参照）</t>
        </is>
      </c>
    </row>
    <row r="1239">
      <c r="A1239" s="21" t="inlineStr">
        <is>
          <t>CHEM-1540</t>
        </is>
      </c>
      <c r="B1239" s="21" t="inlineStr">
        <is>
          <t>NAT35</t>
        </is>
      </c>
      <c r="C1239" s="21" t="n"/>
      <c r="D1239" s="21" t="n"/>
      <c r="E1239" s="21" t="n"/>
      <c r="F1239" s="21" t="n"/>
      <c r="G1239" s="21" t="n"/>
      <c r="H1239" s="21" t="n"/>
      <c r="I1239" s="21" t="n"/>
      <c r="J1239" s="21" t="n"/>
      <c r="K1239" s="21" t="n"/>
      <c r="L1239" s="21" t="n"/>
      <c r="M1239" s="21" t="n"/>
      <c r="N1239" s="21" t="n"/>
      <c r="O1239" s="21" t="n"/>
      <c r="P1239" s="21" t="n"/>
      <c r="Q1239" s="21" t="n"/>
      <c r="R1239" s="21" t="n"/>
      <c r="S1239" s="21" t="n"/>
      <c r="T1239" s="21" t="n"/>
      <c r="U1239" s="21" t="n"/>
      <c r="V1239" s="21" t="n"/>
      <c r="W1239" s="21" t="n"/>
      <c r="X1239" s="21" t="n"/>
      <c r="Y1239" s="21" t="n"/>
      <c r="Z1239" s="21" t="n"/>
      <c r="AA1239" s="21" t="n"/>
      <c r="AB1239" s="21" t="n"/>
      <c r="AC1239" s="21" t="n"/>
      <c r="AD1239" s="21" t="n"/>
      <c r="AE1239" s="21" t="n"/>
      <c r="AF1239" s="21" t="n"/>
      <c r="AG1239" s="21" t="n"/>
      <c r="AH1239" s="21" t="n"/>
      <c r="AI1239" s="21" t="n"/>
      <c r="AJ1239" s="21" t="n"/>
      <c r="AK1239" s="21" t="n"/>
      <c r="AL1239" s="21" t="n"/>
      <c r="AM1239" s="21" t="n"/>
      <c r="AN1239" s="21" t="n"/>
      <c r="AO1239" s="21" t="n"/>
      <c r="AP1239" s="21" t="n"/>
      <c r="AQ1239" s="21" t="n"/>
      <c r="AR1239" s="21" t="n"/>
      <c r="AS1239" s="21" t="n"/>
      <c r="AT1239" s="21" t="n"/>
      <c r="AU1239" s="21" t="n"/>
      <c r="AV1239" s="21" t="n"/>
      <c r="AW1239" s="21" t="n"/>
      <c r="AX1239" s="21" t="n"/>
      <c r="AY1239" s="21" t="n"/>
      <c r="AZ1239" s="21" t="n"/>
      <c r="BA1239" s="21" t="n"/>
      <c r="BB1239" s="21" t="n"/>
      <c r="BC1239" s="21" t="n"/>
      <c r="BD1239" s="21" t="n"/>
      <c r="BE1239" s="21" t="n"/>
      <c r="BF1239" s="21" t="n"/>
      <c r="BG1239" s="21" t="n"/>
      <c r="BH1239" s="21" t="n"/>
      <c r="BI1239" s="21" t="n"/>
      <c r="BJ1239" s="21" t="n"/>
      <c r="BK1239" s="21" t="n"/>
      <c r="BL1239" s="21" t="n"/>
      <c r="BM1239" s="21" t="n"/>
      <c r="BN1239" s="21" t="n"/>
      <c r="BO1239" s="21" t="n"/>
      <c r="BP1239" s="21" t="n"/>
      <c r="BQ1239" s="21" t="n"/>
      <c r="BR1239" s="21" t="n"/>
      <c r="BS1239" s="21" t="n"/>
      <c r="BT1239" s="21" t="n"/>
      <c r="BU1239" s="21" t="n"/>
      <c r="BV1239" s="21" t="n"/>
      <c r="BW1239" s="21" t="n"/>
      <c r="BX1239" s="21" t="n"/>
      <c r="BY1239" s="21" t="n"/>
      <c r="BZ1239" s="21" t="n"/>
      <c r="CA1239" s="21" t="n"/>
      <c r="CB1239" s="21" t="n"/>
      <c r="CC1239" s="21" t="n"/>
      <c r="CD1239" s="21" t="n"/>
      <c r="CE1239" s="21" t="n"/>
      <c r="CF1239" s="21" t="n"/>
      <c r="CG1239" s="21" t="n"/>
      <c r="CH1239" s="21" t="n"/>
      <c r="CI1239" s="21" t="n"/>
      <c r="CJ1239" s="21" t="n"/>
      <c r="CK1239" s="21" t="n"/>
      <c r="CL1239" s="21" t="n"/>
      <c r="CM1239" s="21" t="n"/>
      <c r="CN1239" s="21" t="n"/>
      <c r="CO1239" s="21" t="n"/>
      <c r="CP1239" s="21" t="n"/>
      <c r="CQ1239" s="21" t="n"/>
      <c r="CR1239" s="21" t="n"/>
      <c r="CS1239" s="21" t="n"/>
      <c r="CT1239" s="21" t="n"/>
      <c r="CU1239" s="21" t="n"/>
      <c r="CV1239" s="21" t="n"/>
      <c r="CW1239" s="21" t="n"/>
      <c r="CX1239" s="21" t="n"/>
      <c r="CY1239" s="21" t="n"/>
      <c r="CZ1239" s="21" t="n"/>
      <c r="DA1239" s="21" t="n"/>
      <c r="DB1239" s="21" t="n"/>
      <c r="DC1239" s="21" t="n"/>
      <c r="DD1239" s="21" t="n"/>
    </row>
    <row r="1240">
      <c r="B1240" t="inlineStr">
        <is>
          <t>TSP-620</t>
        </is>
      </c>
      <c r="C1240" t="inlineStr">
        <is>
          <t>No. of batches</t>
        </is>
      </c>
      <c r="D1240">
        <f>IFERROR(INDEX(E1240:DD1240,$F$1),"")</f>
        <v/>
      </c>
      <c r="E1240">
        <f>IFERROR(INDEX(PP_Grid[#Data],$DE1240,2),0)</f>
        <v/>
      </c>
      <c r="F1240">
        <f>IFERROR(INDEX(PP_Grid[#Data],$DE1240,3),0)</f>
        <v/>
      </c>
      <c r="G1240">
        <f>IFERROR(INDEX(PP_Grid[#Data],$DE1240,4),0)</f>
        <v/>
      </c>
      <c r="H1240">
        <f>IFERROR(INDEX(PP_Grid[#Data],$DE1240,5),0)</f>
        <v/>
      </c>
      <c r="I1240">
        <f>IFERROR(INDEX(PP_Grid[#Data],$DE1240,6),0)</f>
        <v/>
      </c>
      <c r="J1240">
        <f>IFERROR(INDEX(PP_Grid[#Data],$DE1240,7),0)</f>
        <v/>
      </c>
      <c r="K1240">
        <f>IFERROR(INDEX(PP_Grid[#Data],$DE1240,8),0)</f>
        <v/>
      </c>
      <c r="L1240">
        <f>IFERROR(INDEX(PP_Grid[#Data],$DE1240,9),0)</f>
        <v/>
      </c>
      <c r="M1240">
        <f>IFERROR(INDEX(PP_Grid[#Data],$DE1240,10),0)</f>
        <v/>
      </c>
      <c r="N1240">
        <f>IFERROR(INDEX(PP_Grid[#Data],$DE1240,11),0)</f>
        <v/>
      </c>
      <c r="O1240">
        <f>IFERROR(INDEX(PP_Grid[#Data],$DE1240,12),0)</f>
        <v/>
      </c>
      <c r="P1240">
        <f>IFERROR(INDEX(PP_Grid[#Data],$DE1240,13),0)</f>
        <v/>
      </c>
      <c r="Q1240">
        <f>IFERROR(INDEX(PP_Grid[#Data],$DE1240,14),0)</f>
        <v/>
      </c>
      <c r="R1240">
        <f>IFERROR(INDEX(PP_Grid[#Data],$DE1240,15),0)</f>
        <v/>
      </c>
      <c r="S1240">
        <f>IFERROR(INDEX(PP_Grid[#Data],$DE1240,16),0)</f>
        <v/>
      </c>
      <c r="T1240">
        <f>IFERROR(INDEX(PP_Grid[#Data],$DE1240,17),0)</f>
        <v/>
      </c>
      <c r="U1240">
        <f>IFERROR(INDEX(PP_Grid[#Data],$DE1240,18),0)</f>
        <v/>
      </c>
      <c r="V1240">
        <f>IFERROR(INDEX(PP_Grid[#Data],$DE1240,19),0)</f>
        <v/>
      </c>
      <c r="W1240">
        <f>IFERROR(INDEX(PP_Grid[#Data],$DE1240,20),0)</f>
        <v/>
      </c>
      <c r="X1240">
        <f>IFERROR(INDEX(PP_Grid[#Data],$DE1240,21),0)</f>
        <v/>
      </c>
      <c r="Y1240">
        <f>IFERROR(INDEX(PP_Grid[#Data],$DE1240,22),0)</f>
        <v/>
      </c>
      <c r="Z1240">
        <f>IFERROR(INDEX(PP_Grid[#Data],$DE1240,23),0)</f>
        <v/>
      </c>
      <c r="AA1240">
        <f>IFERROR(INDEX(PP_Grid[#Data],$DE1240,24),0)</f>
        <v/>
      </c>
      <c r="AB1240">
        <f>IFERROR(INDEX(PP_Grid[#Data],$DE1240,25),0)</f>
        <v/>
      </c>
      <c r="AC1240">
        <f>IFERROR(INDEX(PP_Grid[#Data],$DE1240,26),0)</f>
        <v/>
      </c>
      <c r="AD1240">
        <f>IFERROR(INDEX(PP_Grid[#Data],$DE1240,27),0)</f>
        <v/>
      </c>
      <c r="AE1240">
        <f>IFERROR(INDEX(PP_Grid[#Data],$DE1240,28),0)</f>
        <v/>
      </c>
      <c r="AF1240">
        <f>IFERROR(INDEX(PP_Grid[#Data],$DE1240,29),0)</f>
        <v/>
      </c>
      <c r="AG1240">
        <f>IFERROR(INDEX(PP_Grid[#Data],$DE1240,30),0)</f>
        <v/>
      </c>
      <c r="AH1240">
        <f>IFERROR(INDEX(PP_Grid[#Data],$DE1240,31),0)</f>
        <v/>
      </c>
      <c r="AI1240">
        <f>IFERROR(INDEX(PP_Grid[#Data],$DE1240,32),0)</f>
        <v/>
      </c>
      <c r="AJ1240">
        <f>IFERROR(INDEX(PP_Grid[#Data],$DE1240,33),0)</f>
        <v/>
      </c>
      <c r="AK1240">
        <f>IFERROR(INDEX(PP_Grid[#Data],$DE1240,34),0)</f>
        <v/>
      </c>
      <c r="AL1240">
        <f>IFERROR(INDEX(PP_Grid[#Data],$DE1240,35),0)</f>
        <v/>
      </c>
      <c r="AM1240">
        <f>IFERROR(INDEX(PP_Grid[#Data],$DE1240,36),0)</f>
        <v/>
      </c>
      <c r="AN1240">
        <f>IFERROR(INDEX(PP_Grid[#Data],$DE1240,37),0)</f>
        <v/>
      </c>
      <c r="AO1240">
        <f>IFERROR(INDEX(PP_Grid[#Data],$DE1240,38),0)</f>
        <v/>
      </c>
      <c r="AP1240">
        <f>IFERROR(INDEX(PP_Grid[#Data],$DE1240,39),0)</f>
        <v/>
      </c>
      <c r="AQ1240">
        <f>IFERROR(INDEX(PP_Grid[#Data],$DE1240,40),0)</f>
        <v/>
      </c>
      <c r="AR1240">
        <f>IFERROR(INDEX(PP_Grid[#Data],$DE1240,41),0)</f>
        <v/>
      </c>
      <c r="AS1240">
        <f>IFERROR(INDEX(PP_Grid[#Data],$DE1240,42),0)</f>
        <v/>
      </c>
      <c r="AT1240">
        <f>IFERROR(INDEX(PP_Grid[#Data],$DE1240,43),0)</f>
        <v/>
      </c>
      <c r="AU1240">
        <f>IFERROR(INDEX(PP_Grid[#Data],$DE1240,44),0)</f>
        <v/>
      </c>
      <c r="AV1240">
        <f>IFERROR(INDEX(PP_Grid[#Data],$DE1240,45),0)</f>
        <v/>
      </c>
      <c r="AW1240">
        <f>IFERROR(INDEX(PP_Grid[#Data],$DE1240,46),0)</f>
        <v/>
      </c>
      <c r="AX1240">
        <f>IFERROR(INDEX(PP_Grid[#Data],$DE1240,47),0)</f>
        <v/>
      </c>
      <c r="AY1240">
        <f>IFERROR(INDEX(PP_Grid[#Data],$DE1240,48),0)</f>
        <v/>
      </c>
      <c r="AZ1240">
        <f>IFERROR(INDEX(PP_Grid[#Data],$DE1240,49),0)</f>
        <v/>
      </c>
      <c r="BA1240">
        <f>IFERROR(INDEX(PP_Grid[#Data],$DE1240,50),0)</f>
        <v/>
      </c>
      <c r="BB1240">
        <f>IFERROR(INDEX(PP_Grid[#Data],$DE1240,51),0)</f>
        <v/>
      </c>
      <c r="BC1240">
        <f>IFERROR(INDEX(PP_Grid[#Data],$DE1240,52),0)</f>
        <v/>
      </c>
      <c r="BD1240">
        <f>IFERROR(INDEX(PP_Grid[#Data],$DE1240,53),0)</f>
        <v/>
      </c>
      <c r="BE1240">
        <f>IFERROR(INDEX(PP_Grid[#Data],$DE1240,54),0)</f>
        <v/>
      </c>
      <c r="BF1240">
        <f>IFERROR(INDEX(PP_Grid[#Data],$DE1240,55),0)</f>
        <v/>
      </c>
      <c r="BG1240">
        <f>IFERROR(INDEX(PP_Grid[#Data],$DE1240,56),0)</f>
        <v/>
      </c>
      <c r="BH1240">
        <f>IFERROR(INDEX(PP_Grid[#Data],$DE1240,57),0)</f>
        <v/>
      </c>
      <c r="BI1240">
        <f>IFERROR(INDEX(PP_Grid[#Data],$DE1240,58),0)</f>
        <v/>
      </c>
      <c r="BJ1240">
        <f>IFERROR(INDEX(PP_Grid[#Data],$DE1240,59),0)</f>
        <v/>
      </c>
      <c r="BK1240">
        <f>IFERROR(INDEX(PP_Grid[#Data],$DE1240,60),0)</f>
        <v/>
      </c>
      <c r="BL1240">
        <f>IFERROR(INDEX(PP_Grid[#Data],$DE1240,61),0)</f>
        <v/>
      </c>
      <c r="BM1240">
        <f>IFERROR(INDEX(PP_Grid[#Data],$DE1240,62),0)</f>
        <v/>
      </c>
      <c r="BN1240">
        <f>IFERROR(INDEX(PP_Grid[#Data],$DE1240,63),0)</f>
        <v/>
      </c>
      <c r="BO1240">
        <f>IFERROR(INDEX(PP_Grid[#Data],$DE1240,64),0)</f>
        <v/>
      </c>
      <c r="BP1240">
        <f>IFERROR(INDEX(PP_Grid[#Data],$DE1240,65),0)</f>
        <v/>
      </c>
      <c r="BQ1240">
        <f>IFERROR(INDEX(PP_Grid[#Data],$DE1240,66),0)</f>
        <v/>
      </c>
      <c r="BR1240">
        <f>IFERROR(INDEX(PP_Grid[#Data],$DE1240,67),0)</f>
        <v/>
      </c>
      <c r="BS1240">
        <f>IFERROR(INDEX(PP_Grid[#Data],$DE1240,68),0)</f>
        <v/>
      </c>
      <c r="BT1240">
        <f>IFERROR(INDEX(PP_Grid[#Data],$DE1240,69),0)</f>
        <v/>
      </c>
      <c r="BU1240">
        <f>IFERROR(INDEX(PP_Grid[#Data],$DE1240,70),0)</f>
        <v/>
      </c>
      <c r="BV1240">
        <f>IFERROR(INDEX(PP_Grid[#Data],$DE1240,71),0)</f>
        <v/>
      </c>
      <c r="BW1240">
        <f>IFERROR(INDEX(PP_Grid[#Data],$DE1240,72),0)</f>
        <v/>
      </c>
      <c r="BX1240">
        <f>IFERROR(INDEX(PP_Grid[#Data],$DE1240,73),0)</f>
        <v/>
      </c>
      <c r="BY1240">
        <f>IFERROR(INDEX(PP_Grid[#Data],$DE1240,74),0)</f>
        <v/>
      </c>
      <c r="BZ1240">
        <f>IFERROR(INDEX(PP_Grid[#Data],$DE1240,75),0)</f>
        <v/>
      </c>
      <c r="CA1240">
        <f>IFERROR(INDEX(PP_Grid[#Data],$DE1240,76),0)</f>
        <v/>
      </c>
      <c r="CB1240">
        <f>IFERROR(INDEX(PP_Grid[#Data],$DE1240,77),0)</f>
        <v/>
      </c>
      <c r="CC1240">
        <f>IFERROR(INDEX(PP_Grid[#Data],$DE1240,78),0)</f>
        <v/>
      </c>
      <c r="CD1240">
        <f>IFERROR(INDEX(PP_Grid[#Data],$DE1240,79),0)</f>
        <v/>
      </c>
      <c r="CE1240">
        <f>IFERROR(INDEX(PP_Grid[#Data],$DE1240,80),0)</f>
        <v/>
      </c>
      <c r="CF1240">
        <f>IFERROR(INDEX(PP_Grid[#Data],$DE1240,81),0)</f>
        <v/>
      </c>
      <c r="CG1240">
        <f>IFERROR(INDEX(PP_Grid[#Data],$DE1240,82),0)</f>
        <v/>
      </c>
      <c r="CH1240">
        <f>IFERROR(INDEX(PP_Grid[#Data],$DE1240,83),0)</f>
        <v/>
      </c>
      <c r="CI1240">
        <f>IFERROR(INDEX(PP_Grid[#Data],$DE1240,84),0)</f>
        <v/>
      </c>
      <c r="CJ1240">
        <f>IFERROR(INDEX(PP_Grid[#Data],$DE1240,85),0)</f>
        <v/>
      </c>
      <c r="CK1240">
        <f>IFERROR(INDEX(PP_Grid[#Data],$DE1240,86),0)</f>
        <v/>
      </c>
      <c r="CL1240">
        <f>IFERROR(INDEX(PP_Grid[#Data],$DE1240,87),0)</f>
        <v/>
      </c>
      <c r="CM1240">
        <f>IFERROR(INDEX(PP_Grid[#Data],$DE1240,88),0)</f>
        <v/>
      </c>
      <c r="CN1240">
        <f>IFERROR(INDEX(PP_Grid[#Data],$DE1240,89),0)</f>
        <v/>
      </c>
      <c r="CO1240">
        <f>IFERROR(INDEX(PP_Grid[#Data],$DE1240,90),0)</f>
        <v/>
      </c>
      <c r="CP1240">
        <f>IFERROR(INDEX(PP_Grid[#Data],$DE1240,91),0)</f>
        <v/>
      </c>
      <c r="CQ1240">
        <f>IFERROR(INDEX(PP_Grid[#Data],$DE1240,92),0)</f>
        <v/>
      </c>
      <c r="CR1240">
        <f>IFERROR(INDEX(PP_Grid[#Data],$DE1240,93),0)</f>
        <v/>
      </c>
      <c r="CS1240">
        <f>IFERROR(INDEX(PP_Grid[#Data],$DE1240,94),0)</f>
        <v/>
      </c>
      <c r="CT1240">
        <f>IFERROR(INDEX(PP_Grid[#Data],$DE1240,95),0)</f>
        <v/>
      </c>
      <c r="CU1240">
        <f>IFERROR(INDEX(PP_Grid[#Data],$DE1240,96),0)</f>
        <v/>
      </c>
      <c r="CV1240">
        <f>IFERROR(INDEX(PP_Grid[#Data],$DE1240,97),0)</f>
        <v/>
      </c>
      <c r="CW1240">
        <f>IFERROR(INDEX(PP_Grid[#Data],$DE1240,98),0)</f>
        <v/>
      </c>
      <c r="CX1240">
        <f>IFERROR(INDEX(PP_Grid[#Data],$DE1240,99),0)</f>
        <v/>
      </c>
      <c r="CY1240">
        <f>IFERROR(INDEX(PP_Grid[#Data],$DE1240,100),0)</f>
        <v/>
      </c>
      <c r="CZ1240">
        <f>IFERROR(INDEX(PP_Grid[#Data],$DE1240,101),0)</f>
        <v/>
      </c>
      <c r="DA1240">
        <f>IFERROR(INDEX(PP_Grid[#Data],$DE1240,102),0)</f>
        <v/>
      </c>
      <c r="DB1240">
        <f>IFERROR(INDEX(PP_Grid[#Data],$DE1240,103),0)</f>
        <v/>
      </c>
      <c r="DC1240">
        <f>IFERROR(INDEX(PP_Grid[#Data],$DE1240,104),0)</f>
        <v/>
      </c>
      <c r="DD1240">
        <f>IFERROR(INDEX(PP_Grid[#Data],$DE1240,105),0)</f>
        <v/>
      </c>
      <c r="DE1240" s="7">
        <f>IFERROR(MATCH($B1240,PP_Grid[Intermediate],0),99999)</f>
        <v/>
      </c>
    </row>
    <row r="1241">
      <c r="B1241" t="inlineStr">
        <is>
          <t>使用量(kg)</t>
        </is>
      </c>
      <c r="C1241">
        <f>SUMIFS(M_BOM[RM_Qty_Per_Batch],M_BOM[Intermediate],$B1240,M_BOM[RM_Code],$A1239)</f>
        <v/>
      </c>
      <c r="D1241">
        <f>IFERROR(INDEX(E1241:DD1241,$F$1),"")</f>
        <v/>
      </c>
      <c r="E1241">
        <f>$C1241*E1240</f>
        <v/>
      </c>
      <c r="F1241">
        <f>$C1241*F1240</f>
        <v/>
      </c>
      <c r="G1241">
        <f>$C1241*G1240</f>
        <v/>
      </c>
      <c r="H1241">
        <f>$C1241*H1240</f>
        <v/>
      </c>
      <c r="I1241">
        <f>$C1241*I1240</f>
        <v/>
      </c>
      <c r="J1241">
        <f>$C1241*J1240</f>
        <v/>
      </c>
      <c r="K1241">
        <f>$C1241*K1240</f>
        <v/>
      </c>
      <c r="L1241">
        <f>$C1241*L1240</f>
        <v/>
      </c>
      <c r="M1241">
        <f>$C1241*M1240</f>
        <v/>
      </c>
      <c r="N1241">
        <f>$C1241*N1240</f>
        <v/>
      </c>
      <c r="O1241">
        <f>$C1241*O1240</f>
        <v/>
      </c>
      <c r="P1241">
        <f>$C1241*P1240</f>
        <v/>
      </c>
      <c r="Q1241">
        <f>$C1241*Q1240</f>
        <v/>
      </c>
      <c r="R1241">
        <f>$C1241*R1240</f>
        <v/>
      </c>
      <c r="S1241">
        <f>$C1241*S1240</f>
        <v/>
      </c>
      <c r="T1241">
        <f>$C1241*T1240</f>
        <v/>
      </c>
      <c r="U1241">
        <f>$C1241*U1240</f>
        <v/>
      </c>
      <c r="V1241">
        <f>$C1241*V1240</f>
        <v/>
      </c>
      <c r="W1241">
        <f>$C1241*W1240</f>
        <v/>
      </c>
      <c r="X1241">
        <f>$C1241*X1240</f>
        <v/>
      </c>
      <c r="Y1241">
        <f>$C1241*Y1240</f>
        <v/>
      </c>
      <c r="Z1241">
        <f>$C1241*Z1240</f>
        <v/>
      </c>
      <c r="AA1241">
        <f>$C1241*AA1240</f>
        <v/>
      </c>
      <c r="AB1241">
        <f>$C1241*AB1240</f>
        <v/>
      </c>
      <c r="AC1241">
        <f>$C1241*AC1240</f>
        <v/>
      </c>
      <c r="AD1241">
        <f>$C1241*AD1240</f>
        <v/>
      </c>
      <c r="AE1241">
        <f>$C1241*AE1240</f>
        <v/>
      </c>
      <c r="AF1241">
        <f>$C1241*AF1240</f>
        <v/>
      </c>
      <c r="AG1241">
        <f>$C1241*AG1240</f>
        <v/>
      </c>
      <c r="AH1241">
        <f>$C1241*AH1240</f>
        <v/>
      </c>
      <c r="AI1241">
        <f>$C1241*AI1240</f>
        <v/>
      </c>
      <c r="AJ1241">
        <f>$C1241*AJ1240</f>
        <v/>
      </c>
      <c r="AK1241">
        <f>$C1241*AK1240</f>
        <v/>
      </c>
      <c r="AL1241">
        <f>$C1241*AL1240</f>
        <v/>
      </c>
      <c r="AM1241">
        <f>$C1241*AM1240</f>
        <v/>
      </c>
      <c r="AN1241">
        <f>$C1241*AN1240</f>
        <v/>
      </c>
      <c r="AO1241">
        <f>$C1241*AO1240</f>
        <v/>
      </c>
      <c r="AP1241">
        <f>$C1241*AP1240</f>
        <v/>
      </c>
      <c r="AQ1241">
        <f>$C1241*AQ1240</f>
        <v/>
      </c>
      <c r="AR1241">
        <f>$C1241*AR1240</f>
        <v/>
      </c>
      <c r="AS1241">
        <f>$C1241*AS1240</f>
        <v/>
      </c>
      <c r="AT1241">
        <f>$C1241*AT1240</f>
        <v/>
      </c>
      <c r="AU1241">
        <f>$C1241*AU1240</f>
        <v/>
      </c>
      <c r="AV1241">
        <f>$C1241*AV1240</f>
        <v/>
      </c>
      <c r="AW1241">
        <f>$C1241*AW1240</f>
        <v/>
      </c>
      <c r="AX1241">
        <f>$C1241*AX1240</f>
        <v/>
      </c>
      <c r="AY1241">
        <f>$C1241*AY1240</f>
        <v/>
      </c>
      <c r="AZ1241">
        <f>$C1241*AZ1240</f>
        <v/>
      </c>
      <c r="BA1241">
        <f>$C1241*BA1240</f>
        <v/>
      </c>
      <c r="BB1241">
        <f>$C1241*BB1240</f>
        <v/>
      </c>
      <c r="BC1241">
        <f>$C1241*BC1240</f>
        <v/>
      </c>
      <c r="BD1241">
        <f>$C1241*BD1240</f>
        <v/>
      </c>
      <c r="BE1241">
        <f>$C1241*BE1240</f>
        <v/>
      </c>
      <c r="BF1241">
        <f>$C1241*BF1240</f>
        <v/>
      </c>
      <c r="BG1241">
        <f>$C1241*BG1240</f>
        <v/>
      </c>
      <c r="BH1241">
        <f>$C1241*BH1240</f>
        <v/>
      </c>
      <c r="BI1241">
        <f>$C1241*BI1240</f>
        <v/>
      </c>
      <c r="BJ1241">
        <f>$C1241*BJ1240</f>
        <v/>
      </c>
      <c r="BK1241">
        <f>$C1241*BK1240</f>
        <v/>
      </c>
      <c r="BL1241">
        <f>$C1241*BL1240</f>
        <v/>
      </c>
      <c r="BM1241">
        <f>$C1241*BM1240</f>
        <v/>
      </c>
      <c r="BN1241">
        <f>$C1241*BN1240</f>
        <v/>
      </c>
      <c r="BO1241">
        <f>$C1241*BO1240</f>
        <v/>
      </c>
      <c r="BP1241">
        <f>$C1241*BP1240</f>
        <v/>
      </c>
      <c r="BQ1241">
        <f>$C1241*BQ1240</f>
        <v/>
      </c>
      <c r="BR1241">
        <f>$C1241*BR1240</f>
        <v/>
      </c>
      <c r="BS1241">
        <f>$C1241*BS1240</f>
        <v/>
      </c>
      <c r="BT1241">
        <f>$C1241*BT1240</f>
        <v/>
      </c>
      <c r="BU1241">
        <f>$C1241*BU1240</f>
        <v/>
      </c>
      <c r="BV1241">
        <f>$C1241*BV1240</f>
        <v/>
      </c>
      <c r="BW1241">
        <f>$C1241*BW1240</f>
        <v/>
      </c>
      <c r="BX1241">
        <f>$C1241*BX1240</f>
        <v/>
      </c>
      <c r="BY1241">
        <f>$C1241*BY1240</f>
        <v/>
      </c>
      <c r="BZ1241">
        <f>$C1241*BZ1240</f>
        <v/>
      </c>
      <c r="CA1241">
        <f>$C1241*CA1240</f>
        <v/>
      </c>
      <c r="CB1241">
        <f>$C1241*CB1240</f>
        <v/>
      </c>
      <c r="CC1241">
        <f>$C1241*CC1240</f>
        <v/>
      </c>
      <c r="CD1241">
        <f>$C1241*CD1240</f>
        <v/>
      </c>
      <c r="CE1241">
        <f>$C1241*CE1240</f>
        <v/>
      </c>
      <c r="CF1241">
        <f>$C1241*CF1240</f>
        <v/>
      </c>
      <c r="CG1241">
        <f>$C1241*CG1240</f>
        <v/>
      </c>
      <c r="CH1241">
        <f>$C1241*CH1240</f>
        <v/>
      </c>
      <c r="CI1241">
        <f>$C1241*CI1240</f>
        <v/>
      </c>
      <c r="CJ1241">
        <f>$C1241*CJ1240</f>
        <v/>
      </c>
      <c r="CK1241">
        <f>$C1241*CK1240</f>
        <v/>
      </c>
      <c r="CL1241">
        <f>$C1241*CL1240</f>
        <v/>
      </c>
      <c r="CM1241">
        <f>$C1241*CM1240</f>
        <v/>
      </c>
      <c r="CN1241">
        <f>$C1241*CN1240</f>
        <v/>
      </c>
      <c r="CO1241">
        <f>$C1241*CO1240</f>
        <v/>
      </c>
      <c r="CP1241">
        <f>$C1241*CP1240</f>
        <v/>
      </c>
      <c r="CQ1241">
        <f>$C1241*CQ1240</f>
        <v/>
      </c>
      <c r="CR1241">
        <f>$C1241*CR1240</f>
        <v/>
      </c>
      <c r="CS1241">
        <f>$C1241*CS1240</f>
        <v/>
      </c>
      <c r="CT1241">
        <f>$C1241*CT1240</f>
        <v/>
      </c>
      <c r="CU1241">
        <f>$C1241*CU1240</f>
        <v/>
      </c>
      <c r="CV1241">
        <f>$C1241*CV1240</f>
        <v/>
      </c>
      <c r="CW1241">
        <f>$C1241*CW1240</f>
        <v/>
      </c>
      <c r="CX1241">
        <f>$C1241*CX1240</f>
        <v/>
      </c>
      <c r="CY1241">
        <f>$C1241*CY1240</f>
        <v/>
      </c>
      <c r="CZ1241">
        <f>$C1241*CZ1240</f>
        <v/>
      </c>
      <c r="DA1241">
        <f>$C1241*DA1240</f>
        <v/>
      </c>
      <c r="DB1241">
        <f>$C1241*DB1240</f>
        <v/>
      </c>
      <c r="DC1241">
        <f>$C1241*DC1240</f>
        <v/>
      </c>
      <c r="DD1241">
        <f>$C1241*DD1240</f>
        <v/>
      </c>
    </row>
    <row r="1242">
      <c r="B1242" t="inlineStr">
        <is>
          <t>TSP-623</t>
        </is>
      </c>
      <c r="C1242" t="inlineStr">
        <is>
          <t>No. of batches</t>
        </is>
      </c>
      <c r="D1242">
        <f>IFERROR(INDEX(E1242:DD1242,$F$1),"")</f>
        <v/>
      </c>
      <c r="E1242">
        <f>IFERROR(INDEX(PP_Grid[#Data],$DE1242,2),0)</f>
        <v/>
      </c>
      <c r="F1242">
        <f>IFERROR(INDEX(PP_Grid[#Data],$DE1242,3),0)</f>
        <v/>
      </c>
      <c r="G1242">
        <f>IFERROR(INDEX(PP_Grid[#Data],$DE1242,4),0)</f>
        <v/>
      </c>
      <c r="H1242">
        <f>IFERROR(INDEX(PP_Grid[#Data],$DE1242,5),0)</f>
        <v/>
      </c>
      <c r="I1242">
        <f>IFERROR(INDEX(PP_Grid[#Data],$DE1242,6),0)</f>
        <v/>
      </c>
      <c r="J1242">
        <f>IFERROR(INDEX(PP_Grid[#Data],$DE1242,7),0)</f>
        <v/>
      </c>
      <c r="K1242">
        <f>IFERROR(INDEX(PP_Grid[#Data],$DE1242,8),0)</f>
        <v/>
      </c>
      <c r="L1242">
        <f>IFERROR(INDEX(PP_Grid[#Data],$DE1242,9),0)</f>
        <v/>
      </c>
      <c r="M1242">
        <f>IFERROR(INDEX(PP_Grid[#Data],$DE1242,10),0)</f>
        <v/>
      </c>
      <c r="N1242">
        <f>IFERROR(INDEX(PP_Grid[#Data],$DE1242,11),0)</f>
        <v/>
      </c>
      <c r="O1242">
        <f>IFERROR(INDEX(PP_Grid[#Data],$DE1242,12),0)</f>
        <v/>
      </c>
      <c r="P1242">
        <f>IFERROR(INDEX(PP_Grid[#Data],$DE1242,13),0)</f>
        <v/>
      </c>
      <c r="Q1242">
        <f>IFERROR(INDEX(PP_Grid[#Data],$DE1242,14),0)</f>
        <v/>
      </c>
      <c r="R1242">
        <f>IFERROR(INDEX(PP_Grid[#Data],$DE1242,15),0)</f>
        <v/>
      </c>
      <c r="S1242">
        <f>IFERROR(INDEX(PP_Grid[#Data],$DE1242,16),0)</f>
        <v/>
      </c>
      <c r="T1242">
        <f>IFERROR(INDEX(PP_Grid[#Data],$DE1242,17),0)</f>
        <v/>
      </c>
      <c r="U1242">
        <f>IFERROR(INDEX(PP_Grid[#Data],$DE1242,18),0)</f>
        <v/>
      </c>
      <c r="V1242">
        <f>IFERROR(INDEX(PP_Grid[#Data],$DE1242,19),0)</f>
        <v/>
      </c>
      <c r="W1242">
        <f>IFERROR(INDEX(PP_Grid[#Data],$DE1242,20),0)</f>
        <v/>
      </c>
      <c r="X1242">
        <f>IFERROR(INDEX(PP_Grid[#Data],$DE1242,21),0)</f>
        <v/>
      </c>
      <c r="Y1242">
        <f>IFERROR(INDEX(PP_Grid[#Data],$DE1242,22),0)</f>
        <v/>
      </c>
      <c r="Z1242">
        <f>IFERROR(INDEX(PP_Grid[#Data],$DE1242,23),0)</f>
        <v/>
      </c>
      <c r="AA1242">
        <f>IFERROR(INDEX(PP_Grid[#Data],$DE1242,24),0)</f>
        <v/>
      </c>
      <c r="AB1242">
        <f>IFERROR(INDEX(PP_Grid[#Data],$DE1242,25),0)</f>
        <v/>
      </c>
      <c r="AC1242">
        <f>IFERROR(INDEX(PP_Grid[#Data],$DE1242,26),0)</f>
        <v/>
      </c>
      <c r="AD1242">
        <f>IFERROR(INDEX(PP_Grid[#Data],$DE1242,27),0)</f>
        <v/>
      </c>
      <c r="AE1242">
        <f>IFERROR(INDEX(PP_Grid[#Data],$DE1242,28),0)</f>
        <v/>
      </c>
      <c r="AF1242">
        <f>IFERROR(INDEX(PP_Grid[#Data],$DE1242,29),0)</f>
        <v/>
      </c>
      <c r="AG1242">
        <f>IFERROR(INDEX(PP_Grid[#Data],$DE1242,30),0)</f>
        <v/>
      </c>
      <c r="AH1242">
        <f>IFERROR(INDEX(PP_Grid[#Data],$DE1242,31),0)</f>
        <v/>
      </c>
      <c r="AI1242">
        <f>IFERROR(INDEX(PP_Grid[#Data],$DE1242,32),0)</f>
        <v/>
      </c>
      <c r="AJ1242">
        <f>IFERROR(INDEX(PP_Grid[#Data],$DE1242,33),0)</f>
        <v/>
      </c>
      <c r="AK1242">
        <f>IFERROR(INDEX(PP_Grid[#Data],$DE1242,34),0)</f>
        <v/>
      </c>
      <c r="AL1242">
        <f>IFERROR(INDEX(PP_Grid[#Data],$DE1242,35),0)</f>
        <v/>
      </c>
      <c r="AM1242">
        <f>IFERROR(INDEX(PP_Grid[#Data],$DE1242,36),0)</f>
        <v/>
      </c>
      <c r="AN1242">
        <f>IFERROR(INDEX(PP_Grid[#Data],$DE1242,37),0)</f>
        <v/>
      </c>
      <c r="AO1242">
        <f>IFERROR(INDEX(PP_Grid[#Data],$DE1242,38),0)</f>
        <v/>
      </c>
      <c r="AP1242">
        <f>IFERROR(INDEX(PP_Grid[#Data],$DE1242,39),0)</f>
        <v/>
      </c>
      <c r="AQ1242">
        <f>IFERROR(INDEX(PP_Grid[#Data],$DE1242,40),0)</f>
        <v/>
      </c>
      <c r="AR1242">
        <f>IFERROR(INDEX(PP_Grid[#Data],$DE1242,41),0)</f>
        <v/>
      </c>
      <c r="AS1242">
        <f>IFERROR(INDEX(PP_Grid[#Data],$DE1242,42),0)</f>
        <v/>
      </c>
      <c r="AT1242">
        <f>IFERROR(INDEX(PP_Grid[#Data],$DE1242,43),0)</f>
        <v/>
      </c>
      <c r="AU1242">
        <f>IFERROR(INDEX(PP_Grid[#Data],$DE1242,44),0)</f>
        <v/>
      </c>
      <c r="AV1242">
        <f>IFERROR(INDEX(PP_Grid[#Data],$DE1242,45),0)</f>
        <v/>
      </c>
      <c r="AW1242">
        <f>IFERROR(INDEX(PP_Grid[#Data],$DE1242,46),0)</f>
        <v/>
      </c>
      <c r="AX1242">
        <f>IFERROR(INDEX(PP_Grid[#Data],$DE1242,47),0)</f>
        <v/>
      </c>
      <c r="AY1242">
        <f>IFERROR(INDEX(PP_Grid[#Data],$DE1242,48),0)</f>
        <v/>
      </c>
      <c r="AZ1242">
        <f>IFERROR(INDEX(PP_Grid[#Data],$DE1242,49),0)</f>
        <v/>
      </c>
      <c r="BA1242">
        <f>IFERROR(INDEX(PP_Grid[#Data],$DE1242,50),0)</f>
        <v/>
      </c>
      <c r="BB1242">
        <f>IFERROR(INDEX(PP_Grid[#Data],$DE1242,51),0)</f>
        <v/>
      </c>
      <c r="BC1242">
        <f>IFERROR(INDEX(PP_Grid[#Data],$DE1242,52),0)</f>
        <v/>
      </c>
      <c r="BD1242">
        <f>IFERROR(INDEX(PP_Grid[#Data],$DE1242,53),0)</f>
        <v/>
      </c>
      <c r="BE1242">
        <f>IFERROR(INDEX(PP_Grid[#Data],$DE1242,54),0)</f>
        <v/>
      </c>
      <c r="BF1242">
        <f>IFERROR(INDEX(PP_Grid[#Data],$DE1242,55),0)</f>
        <v/>
      </c>
      <c r="BG1242">
        <f>IFERROR(INDEX(PP_Grid[#Data],$DE1242,56),0)</f>
        <v/>
      </c>
      <c r="BH1242">
        <f>IFERROR(INDEX(PP_Grid[#Data],$DE1242,57),0)</f>
        <v/>
      </c>
      <c r="BI1242">
        <f>IFERROR(INDEX(PP_Grid[#Data],$DE1242,58),0)</f>
        <v/>
      </c>
      <c r="BJ1242">
        <f>IFERROR(INDEX(PP_Grid[#Data],$DE1242,59),0)</f>
        <v/>
      </c>
      <c r="BK1242">
        <f>IFERROR(INDEX(PP_Grid[#Data],$DE1242,60),0)</f>
        <v/>
      </c>
      <c r="BL1242">
        <f>IFERROR(INDEX(PP_Grid[#Data],$DE1242,61),0)</f>
        <v/>
      </c>
      <c r="BM1242">
        <f>IFERROR(INDEX(PP_Grid[#Data],$DE1242,62),0)</f>
        <v/>
      </c>
      <c r="BN1242">
        <f>IFERROR(INDEX(PP_Grid[#Data],$DE1242,63),0)</f>
        <v/>
      </c>
      <c r="BO1242">
        <f>IFERROR(INDEX(PP_Grid[#Data],$DE1242,64),0)</f>
        <v/>
      </c>
      <c r="BP1242">
        <f>IFERROR(INDEX(PP_Grid[#Data],$DE1242,65),0)</f>
        <v/>
      </c>
      <c r="BQ1242">
        <f>IFERROR(INDEX(PP_Grid[#Data],$DE1242,66),0)</f>
        <v/>
      </c>
      <c r="BR1242">
        <f>IFERROR(INDEX(PP_Grid[#Data],$DE1242,67),0)</f>
        <v/>
      </c>
      <c r="BS1242">
        <f>IFERROR(INDEX(PP_Grid[#Data],$DE1242,68),0)</f>
        <v/>
      </c>
      <c r="BT1242">
        <f>IFERROR(INDEX(PP_Grid[#Data],$DE1242,69),0)</f>
        <v/>
      </c>
      <c r="BU1242">
        <f>IFERROR(INDEX(PP_Grid[#Data],$DE1242,70),0)</f>
        <v/>
      </c>
      <c r="BV1242">
        <f>IFERROR(INDEX(PP_Grid[#Data],$DE1242,71),0)</f>
        <v/>
      </c>
      <c r="BW1242">
        <f>IFERROR(INDEX(PP_Grid[#Data],$DE1242,72),0)</f>
        <v/>
      </c>
      <c r="BX1242">
        <f>IFERROR(INDEX(PP_Grid[#Data],$DE1242,73),0)</f>
        <v/>
      </c>
      <c r="BY1242">
        <f>IFERROR(INDEX(PP_Grid[#Data],$DE1242,74),0)</f>
        <v/>
      </c>
      <c r="BZ1242">
        <f>IFERROR(INDEX(PP_Grid[#Data],$DE1242,75),0)</f>
        <v/>
      </c>
      <c r="CA1242">
        <f>IFERROR(INDEX(PP_Grid[#Data],$DE1242,76),0)</f>
        <v/>
      </c>
      <c r="CB1242">
        <f>IFERROR(INDEX(PP_Grid[#Data],$DE1242,77),0)</f>
        <v/>
      </c>
      <c r="CC1242">
        <f>IFERROR(INDEX(PP_Grid[#Data],$DE1242,78),0)</f>
        <v/>
      </c>
      <c r="CD1242">
        <f>IFERROR(INDEX(PP_Grid[#Data],$DE1242,79),0)</f>
        <v/>
      </c>
      <c r="CE1242">
        <f>IFERROR(INDEX(PP_Grid[#Data],$DE1242,80),0)</f>
        <v/>
      </c>
      <c r="CF1242">
        <f>IFERROR(INDEX(PP_Grid[#Data],$DE1242,81),0)</f>
        <v/>
      </c>
      <c r="CG1242">
        <f>IFERROR(INDEX(PP_Grid[#Data],$DE1242,82),0)</f>
        <v/>
      </c>
      <c r="CH1242">
        <f>IFERROR(INDEX(PP_Grid[#Data],$DE1242,83),0)</f>
        <v/>
      </c>
      <c r="CI1242">
        <f>IFERROR(INDEX(PP_Grid[#Data],$DE1242,84),0)</f>
        <v/>
      </c>
      <c r="CJ1242">
        <f>IFERROR(INDEX(PP_Grid[#Data],$DE1242,85),0)</f>
        <v/>
      </c>
      <c r="CK1242">
        <f>IFERROR(INDEX(PP_Grid[#Data],$DE1242,86),0)</f>
        <v/>
      </c>
      <c r="CL1242">
        <f>IFERROR(INDEX(PP_Grid[#Data],$DE1242,87),0)</f>
        <v/>
      </c>
      <c r="CM1242">
        <f>IFERROR(INDEX(PP_Grid[#Data],$DE1242,88),0)</f>
        <v/>
      </c>
      <c r="CN1242">
        <f>IFERROR(INDEX(PP_Grid[#Data],$DE1242,89),0)</f>
        <v/>
      </c>
      <c r="CO1242">
        <f>IFERROR(INDEX(PP_Grid[#Data],$DE1242,90),0)</f>
        <v/>
      </c>
      <c r="CP1242">
        <f>IFERROR(INDEX(PP_Grid[#Data],$DE1242,91),0)</f>
        <v/>
      </c>
      <c r="CQ1242">
        <f>IFERROR(INDEX(PP_Grid[#Data],$DE1242,92),0)</f>
        <v/>
      </c>
      <c r="CR1242">
        <f>IFERROR(INDEX(PP_Grid[#Data],$DE1242,93),0)</f>
        <v/>
      </c>
      <c r="CS1242">
        <f>IFERROR(INDEX(PP_Grid[#Data],$DE1242,94),0)</f>
        <v/>
      </c>
      <c r="CT1242">
        <f>IFERROR(INDEX(PP_Grid[#Data],$DE1242,95),0)</f>
        <v/>
      </c>
      <c r="CU1242">
        <f>IFERROR(INDEX(PP_Grid[#Data],$DE1242,96),0)</f>
        <v/>
      </c>
      <c r="CV1242">
        <f>IFERROR(INDEX(PP_Grid[#Data],$DE1242,97),0)</f>
        <v/>
      </c>
      <c r="CW1242">
        <f>IFERROR(INDEX(PP_Grid[#Data],$DE1242,98),0)</f>
        <v/>
      </c>
      <c r="CX1242">
        <f>IFERROR(INDEX(PP_Grid[#Data],$DE1242,99),0)</f>
        <v/>
      </c>
      <c r="CY1242">
        <f>IFERROR(INDEX(PP_Grid[#Data],$DE1242,100),0)</f>
        <v/>
      </c>
      <c r="CZ1242">
        <f>IFERROR(INDEX(PP_Grid[#Data],$DE1242,101),0)</f>
        <v/>
      </c>
      <c r="DA1242">
        <f>IFERROR(INDEX(PP_Grid[#Data],$DE1242,102),0)</f>
        <v/>
      </c>
      <c r="DB1242">
        <f>IFERROR(INDEX(PP_Grid[#Data],$DE1242,103),0)</f>
        <v/>
      </c>
      <c r="DC1242">
        <f>IFERROR(INDEX(PP_Grid[#Data],$DE1242,104),0)</f>
        <v/>
      </c>
      <c r="DD1242">
        <f>IFERROR(INDEX(PP_Grid[#Data],$DE1242,105),0)</f>
        <v/>
      </c>
      <c r="DE1242" s="7">
        <f>IFERROR(MATCH($B1242,PP_Grid[Intermediate],0),99999)</f>
        <v/>
      </c>
    </row>
    <row r="1243">
      <c r="B1243" t="inlineStr">
        <is>
          <t>使用量(kg)</t>
        </is>
      </c>
      <c r="C1243">
        <f>SUMIFS(M_BOM[RM_Qty_Per_Batch],M_BOM[Intermediate],$B1242,M_BOM[RM_Code],$A1239)</f>
        <v/>
      </c>
      <c r="D1243">
        <f>IFERROR(INDEX(E1243:DD1243,$F$1),"")</f>
        <v/>
      </c>
      <c r="E1243">
        <f>$C1243*E1242</f>
        <v/>
      </c>
      <c r="F1243">
        <f>$C1243*F1242</f>
        <v/>
      </c>
      <c r="G1243">
        <f>$C1243*G1242</f>
        <v/>
      </c>
      <c r="H1243">
        <f>$C1243*H1242</f>
        <v/>
      </c>
      <c r="I1243">
        <f>$C1243*I1242</f>
        <v/>
      </c>
      <c r="J1243">
        <f>$C1243*J1242</f>
        <v/>
      </c>
      <c r="K1243">
        <f>$C1243*K1242</f>
        <v/>
      </c>
      <c r="L1243">
        <f>$C1243*L1242</f>
        <v/>
      </c>
      <c r="M1243">
        <f>$C1243*M1242</f>
        <v/>
      </c>
      <c r="N1243">
        <f>$C1243*N1242</f>
        <v/>
      </c>
      <c r="O1243">
        <f>$C1243*O1242</f>
        <v/>
      </c>
      <c r="P1243">
        <f>$C1243*P1242</f>
        <v/>
      </c>
      <c r="Q1243">
        <f>$C1243*Q1242</f>
        <v/>
      </c>
      <c r="R1243">
        <f>$C1243*R1242</f>
        <v/>
      </c>
      <c r="S1243">
        <f>$C1243*S1242</f>
        <v/>
      </c>
      <c r="T1243">
        <f>$C1243*T1242</f>
        <v/>
      </c>
      <c r="U1243">
        <f>$C1243*U1242</f>
        <v/>
      </c>
      <c r="V1243">
        <f>$C1243*V1242</f>
        <v/>
      </c>
      <c r="W1243">
        <f>$C1243*W1242</f>
        <v/>
      </c>
      <c r="X1243">
        <f>$C1243*X1242</f>
        <v/>
      </c>
      <c r="Y1243">
        <f>$C1243*Y1242</f>
        <v/>
      </c>
      <c r="Z1243">
        <f>$C1243*Z1242</f>
        <v/>
      </c>
      <c r="AA1243">
        <f>$C1243*AA1242</f>
        <v/>
      </c>
      <c r="AB1243">
        <f>$C1243*AB1242</f>
        <v/>
      </c>
      <c r="AC1243">
        <f>$C1243*AC1242</f>
        <v/>
      </c>
      <c r="AD1243">
        <f>$C1243*AD1242</f>
        <v/>
      </c>
      <c r="AE1243">
        <f>$C1243*AE1242</f>
        <v/>
      </c>
      <c r="AF1243">
        <f>$C1243*AF1242</f>
        <v/>
      </c>
      <c r="AG1243">
        <f>$C1243*AG1242</f>
        <v/>
      </c>
      <c r="AH1243">
        <f>$C1243*AH1242</f>
        <v/>
      </c>
      <c r="AI1243">
        <f>$C1243*AI1242</f>
        <v/>
      </c>
      <c r="AJ1243">
        <f>$C1243*AJ1242</f>
        <v/>
      </c>
      <c r="AK1243">
        <f>$C1243*AK1242</f>
        <v/>
      </c>
      <c r="AL1243">
        <f>$C1243*AL1242</f>
        <v/>
      </c>
      <c r="AM1243">
        <f>$C1243*AM1242</f>
        <v/>
      </c>
      <c r="AN1243">
        <f>$C1243*AN1242</f>
        <v/>
      </c>
      <c r="AO1243">
        <f>$C1243*AO1242</f>
        <v/>
      </c>
      <c r="AP1243">
        <f>$C1243*AP1242</f>
        <v/>
      </c>
      <c r="AQ1243">
        <f>$C1243*AQ1242</f>
        <v/>
      </c>
      <c r="AR1243">
        <f>$C1243*AR1242</f>
        <v/>
      </c>
      <c r="AS1243">
        <f>$C1243*AS1242</f>
        <v/>
      </c>
      <c r="AT1243">
        <f>$C1243*AT1242</f>
        <v/>
      </c>
      <c r="AU1243">
        <f>$C1243*AU1242</f>
        <v/>
      </c>
      <c r="AV1243">
        <f>$C1243*AV1242</f>
        <v/>
      </c>
      <c r="AW1243">
        <f>$C1243*AW1242</f>
        <v/>
      </c>
      <c r="AX1243">
        <f>$C1243*AX1242</f>
        <v/>
      </c>
      <c r="AY1243">
        <f>$C1243*AY1242</f>
        <v/>
      </c>
      <c r="AZ1243">
        <f>$C1243*AZ1242</f>
        <v/>
      </c>
      <c r="BA1243">
        <f>$C1243*BA1242</f>
        <v/>
      </c>
      <c r="BB1243">
        <f>$C1243*BB1242</f>
        <v/>
      </c>
      <c r="BC1243">
        <f>$C1243*BC1242</f>
        <v/>
      </c>
      <c r="BD1243">
        <f>$C1243*BD1242</f>
        <v/>
      </c>
      <c r="BE1243">
        <f>$C1243*BE1242</f>
        <v/>
      </c>
      <c r="BF1243">
        <f>$C1243*BF1242</f>
        <v/>
      </c>
      <c r="BG1243">
        <f>$C1243*BG1242</f>
        <v/>
      </c>
      <c r="BH1243">
        <f>$C1243*BH1242</f>
        <v/>
      </c>
      <c r="BI1243">
        <f>$C1243*BI1242</f>
        <v/>
      </c>
      <c r="BJ1243">
        <f>$C1243*BJ1242</f>
        <v/>
      </c>
      <c r="BK1243">
        <f>$C1243*BK1242</f>
        <v/>
      </c>
      <c r="BL1243">
        <f>$C1243*BL1242</f>
        <v/>
      </c>
      <c r="BM1243">
        <f>$C1243*BM1242</f>
        <v/>
      </c>
      <c r="BN1243">
        <f>$C1243*BN1242</f>
        <v/>
      </c>
      <c r="BO1243">
        <f>$C1243*BO1242</f>
        <v/>
      </c>
      <c r="BP1243">
        <f>$C1243*BP1242</f>
        <v/>
      </c>
      <c r="BQ1243">
        <f>$C1243*BQ1242</f>
        <v/>
      </c>
      <c r="BR1243">
        <f>$C1243*BR1242</f>
        <v/>
      </c>
      <c r="BS1243">
        <f>$C1243*BS1242</f>
        <v/>
      </c>
      <c r="BT1243">
        <f>$C1243*BT1242</f>
        <v/>
      </c>
      <c r="BU1243">
        <f>$C1243*BU1242</f>
        <v/>
      </c>
      <c r="BV1243">
        <f>$C1243*BV1242</f>
        <v/>
      </c>
      <c r="BW1243">
        <f>$C1243*BW1242</f>
        <v/>
      </c>
      <c r="BX1243">
        <f>$C1243*BX1242</f>
        <v/>
      </c>
      <c r="BY1243">
        <f>$C1243*BY1242</f>
        <v/>
      </c>
      <c r="BZ1243">
        <f>$C1243*BZ1242</f>
        <v/>
      </c>
      <c r="CA1243">
        <f>$C1243*CA1242</f>
        <v/>
      </c>
      <c r="CB1243">
        <f>$C1243*CB1242</f>
        <v/>
      </c>
      <c r="CC1243">
        <f>$C1243*CC1242</f>
        <v/>
      </c>
      <c r="CD1243">
        <f>$C1243*CD1242</f>
        <v/>
      </c>
      <c r="CE1243">
        <f>$C1243*CE1242</f>
        <v/>
      </c>
      <c r="CF1243">
        <f>$C1243*CF1242</f>
        <v/>
      </c>
      <c r="CG1243">
        <f>$C1243*CG1242</f>
        <v/>
      </c>
      <c r="CH1243">
        <f>$C1243*CH1242</f>
        <v/>
      </c>
      <c r="CI1243">
        <f>$C1243*CI1242</f>
        <v/>
      </c>
      <c r="CJ1243">
        <f>$C1243*CJ1242</f>
        <v/>
      </c>
      <c r="CK1243">
        <f>$C1243*CK1242</f>
        <v/>
      </c>
      <c r="CL1243">
        <f>$C1243*CL1242</f>
        <v/>
      </c>
      <c r="CM1243">
        <f>$C1243*CM1242</f>
        <v/>
      </c>
      <c r="CN1243">
        <f>$C1243*CN1242</f>
        <v/>
      </c>
      <c r="CO1243">
        <f>$C1243*CO1242</f>
        <v/>
      </c>
      <c r="CP1243">
        <f>$C1243*CP1242</f>
        <v/>
      </c>
      <c r="CQ1243">
        <f>$C1243*CQ1242</f>
        <v/>
      </c>
      <c r="CR1243">
        <f>$C1243*CR1242</f>
        <v/>
      </c>
      <c r="CS1243">
        <f>$C1243*CS1242</f>
        <v/>
      </c>
      <c r="CT1243">
        <f>$C1243*CT1242</f>
        <v/>
      </c>
      <c r="CU1243">
        <f>$C1243*CU1242</f>
        <v/>
      </c>
      <c r="CV1243">
        <f>$C1243*CV1242</f>
        <v/>
      </c>
      <c r="CW1243">
        <f>$C1243*CW1242</f>
        <v/>
      </c>
      <c r="CX1243">
        <f>$C1243*CX1242</f>
        <v/>
      </c>
      <c r="CY1243">
        <f>$C1243*CY1242</f>
        <v/>
      </c>
      <c r="CZ1243">
        <f>$C1243*CZ1242</f>
        <v/>
      </c>
      <c r="DA1243">
        <f>$C1243*DA1242</f>
        <v/>
      </c>
      <c r="DB1243">
        <f>$C1243*DB1242</f>
        <v/>
      </c>
      <c r="DC1243">
        <f>$C1243*DC1242</f>
        <v/>
      </c>
      <c r="DD1243">
        <f>$C1243*DD1242</f>
        <v/>
      </c>
    </row>
    <row r="1244">
      <c r="B1244" t="inlineStr">
        <is>
          <t>TSP-927</t>
        </is>
      </c>
      <c r="C1244" t="inlineStr">
        <is>
          <t>No. of batches</t>
        </is>
      </c>
      <c r="D1244">
        <f>IFERROR(INDEX(E1244:DD1244,$F$1),"")</f>
        <v/>
      </c>
      <c r="E1244">
        <f>IFERROR(INDEX(PP_Grid[#Data],$DE1244,2),0)</f>
        <v/>
      </c>
      <c r="F1244">
        <f>IFERROR(INDEX(PP_Grid[#Data],$DE1244,3),0)</f>
        <v/>
      </c>
      <c r="G1244">
        <f>IFERROR(INDEX(PP_Grid[#Data],$DE1244,4),0)</f>
        <v/>
      </c>
      <c r="H1244">
        <f>IFERROR(INDEX(PP_Grid[#Data],$DE1244,5),0)</f>
        <v/>
      </c>
      <c r="I1244">
        <f>IFERROR(INDEX(PP_Grid[#Data],$DE1244,6),0)</f>
        <v/>
      </c>
      <c r="J1244">
        <f>IFERROR(INDEX(PP_Grid[#Data],$DE1244,7),0)</f>
        <v/>
      </c>
      <c r="K1244">
        <f>IFERROR(INDEX(PP_Grid[#Data],$DE1244,8),0)</f>
        <v/>
      </c>
      <c r="L1244">
        <f>IFERROR(INDEX(PP_Grid[#Data],$DE1244,9),0)</f>
        <v/>
      </c>
      <c r="M1244">
        <f>IFERROR(INDEX(PP_Grid[#Data],$DE1244,10),0)</f>
        <v/>
      </c>
      <c r="N1244">
        <f>IFERROR(INDEX(PP_Grid[#Data],$DE1244,11),0)</f>
        <v/>
      </c>
      <c r="O1244">
        <f>IFERROR(INDEX(PP_Grid[#Data],$DE1244,12),0)</f>
        <v/>
      </c>
      <c r="P1244">
        <f>IFERROR(INDEX(PP_Grid[#Data],$DE1244,13),0)</f>
        <v/>
      </c>
      <c r="Q1244">
        <f>IFERROR(INDEX(PP_Grid[#Data],$DE1244,14),0)</f>
        <v/>
      </c>
      <c r="R1244">
        <f>IFERROR(INDEX(PP_Grid[#Data],$DE1244,15),0)</f>
        <v/>
      </c>
      <c r="S1244">
        <f>IFERROR(INDEX(PP_Grid[#Data],$DE1244,16),0)</f>
        <v/>
      </c>
      <c r="T1244">
        <f>IFERROR(INDEX(PP_Grid[#Data],$DE1244,17),0)</f>
        <v/>
      </c>
      <c r="U1244">
        <f>IFERROR(INDEX(PP_Grid[#Data],$DE1244,18),0)</f>
        <v/>
      </c>
      <c r="V1244">
        <f>IFERROR(INDEX(PP_Grid[#Data],$DE1244,19),0)</f>
        <v/>
      </c>
      <c r="W1244">
        <f>IFERROR(INDEX(PP_Grid[#Data],$DE1244,20),0)</f>
        <v/>
      </c>
      <c r="X1244">
        <f>IFERROR(INDEX(PP_Grid[#Data],$DE1244,21),0)</f>
        <v/>
      </c>
      <c r="Y1244">
        <f>IFERROR(INDEX(PP_Grid[#Data],$DE1244,22),0)</f>
        <v/>
      </c>
      <c r="Z1244">
        <f>IFERROR(INDEX(PP_Grid[#Data],$DE1244,23),0)</f>
        <v/>
      </c>
      <c r="AA1244">
        <f>IFERROR(INDEX(PP_Grid[#Data],$DE1244,24),0)</f>
        <v/>
      </c>
      <c r="AB1244">
        <f>IFERROR(INDEX(PP_Grid[#Data],$DE1244,25),0)</f>
        <v/>
      </c>
      <c r="AC1244">
        <f>IFERROR(INDEX(PP_Grid[#Data],$DE1244,26),0)</f>
        <v/>
      </c>
      <c r="AD1244">
        <f>IFERROR(INDEX(PP_Grid[#Data],$DE1244,27),0)</f>
        <v/>
      </c>
      <c r="AE1244">
        <f>IFERROR(INDEX(PP_Grid[#Data],$DE1244,28),0)</f>
        <v/>
      </c>
      <c r="AF1244">
        <f>IFERROR(INDEX(PP_Grid[#Data],$DE1244,29),0)</f>
        <v/>
      </c>
      <c r="AG1244">
        <f>IFERROR(INDEX(PP_Grid[#Data],$DE1244,30),0)</f>
        <v/>
      </c>
      <c r="AH1244">
        <f>IFERROR(INDEX(PP_Grid[#Data],$DE1244,31),0)</f>
        <v/>
      </c>
      <c r="AI1244">
        <f>IFERROR(INDEX(PP_Grid[#Data],$DE1244,32),0)</f>
        <v/>
      </c>
      <c r="AJ1244">
        <f>IFERROR(INDEX(PP_Grid[#Data],$DE1244,33),0)</f>
        <v/>
      </c>
      <c r="AK1244">
        <f>IFERROR(INDEX(PP_Grid[#Data],$DE1244,34),0)</f>
        <v/>
      </c>
      <c r="AL1244">
        <f>IFERROR(INDEX(PP_Grid[#Data],$DE1244,35),0)</f>
        <v/>
      </c>
      <c r="AM1244">
        <f>IFERROR(INDEX(PP_Grid[#Data],$DE1244,36),0)</f>
        <v/>
      </c>
      <c r="AN1244">
        <f>IFERROR(INDEX(PP_Grid[#Data],$DE1244,37),0)</f>
        <v/>
      </c>
      <c r="AO1244">
        <f>IFERROR(INDEX(PP_Grid[#Data],$DE1244,38),0)</f>
        <v/>
      </c>
      <c r="AP1244">
        <f>IFERROR(INDEX(PP_Grid[#Data],$DE1244,39),0)</f>
        <v/>
      </c>
      <c r="AQ1244">
        <f>IFERROR(INDEX(PP_Grid[#Data],$DE1244,40),0)</f>
        <v/>
      </c>
      <c r="AR1244">
        <f>IFERROR(INDEX(PP_Grid[#Data],$DE1244,41),0)</f>
        <v/>
      </c>
      <c r="AS1244">
        <f>IFERROR(INDEX(PP_Grid[#Data],$DE1244,42),0)</f>
        <v/>
      </c>
      <c r="AT1244">
        <f>IFERROR(INDEX(PP_Grid[#Data],$DE1244,43),0)</f>
        <v/>
      </c>
      <c r="AU1244">
        <f>IFERROR(INDEX(PP_Grid[#Data],$DE1244,44),0)</f>
        <v/>
      </c>
      <c r="AV1244">
        <f>IFERROR(INDEX(PP_Grid[#Data],$DE1244,45),0)</f>
        <v/>
      </c>
      <c r="AW1244">
        <f>IFERROR(INDEX(PP_Grid[#Data],$DE1244,46),0)</f>
        <v/>
      </c>
      <c r="AX1244">
        <f>IFERROR(INDEX(PP_Grid[#Data],$DE1244,47),0)</f>
        <v/>
      </c>
      <c r="AY1244">
        <f>IFERROR(INDEX(PP_Grid[#Data],$DE1244,48),0)</f>
        <v/>
      </c>
      <c r="AZ1244">
        <f>IFERROR(INDEX(PP_Grid[#Data],$DE1244,49),0)</f>
        <v/>
      </c>
      <c r="BA1244">
        <f>IFERROR(INDEX(PP_Grid[#Data],$DE1244,50),0)</f>
        <v/>
      </c>
      <c r="BB1244">
        <f>IFERROR(INDEX(PP_Grid[#Data],$DE1244,51),0)</f>
        <v/>
      </c>
      <c r="BC1244">
        <f>IFERROR(INDEX(PP_Grid[#Data],$DE1244,52),0)</f>
        <v/>
      </c>
      <c r="BD1244">
        <f>IFERROR(INDEX(PP_Grid[#Data],$DE1244,53),0)</f>
        <v/>
      </c>
      <c r="BE1244">
        <f>IFERROR(INDEX(PP_Grid[#Data],$DE1244,54),0)</f>
        <v/>
      </c>
      <c r="BF1244">
        <f>IFERROR(INDEX(PP_Grid[#Data],$DE1244,55),0)</f>
        <v/>
      </c>
      <c r="BG1244">
        <f>IFERROR(INDEX(PP_Grid[#Data],$DE1244,56),0)</f>
        <v/>
      </c>
      <c r="BH1244">
        <f>IFERROR(INDEX(PP_Grid[#Data],$DE1244,57),0)</f>
        <v/>
      </c>
      <c r="BI1244">
        <f>IFERROR(INDEX(PP_Grid[#Data],$DE1244,58),0)</f>
        <v/>
      </c>
      <c r="BJ1244">
        <f>IFERROR(INDEX(PP_Grid[#Data],$DE1244,59),0)</f>
        <v/>
      </c>
      <c r="BK1244">
        <f>IFERROR(INDEX(PP_Grid[#Data],$DE1244,60),0)</f>
        <v/>
      </c>
      <c r="BL1244">
        <f>IFERROR(INDEX(PP_Grid[#Data],$DE1244,61),0)</f>
        <v/>
      </c>
      <c r="BM1244">
        <f>IFERROR(INDEX(PP_Grid[#Data],$DE1244,62),0)</f>
        <v/>
      </c>
      <c r="BN1244">
        <f>IFERROR(INDEX(PP_Grid[#Data],$DE1244,63),0)</f>
        <v/>
      </c>
      <c r="BO1244">
        <f>IFERROR(INDEX(PP_Grid[#Data],$DE1244,64),0)</f>
        <v/>
      </c>
      <c r="BP1244">
        <f>IFERROR(INDEX(PP_Grid[#Data],$DE1244,65),0)</f>
        <v/>
      </c>
      <c r="BQ1244">
        <f>IFERROR(INDEX(PP_Grid[#Data],$DE1244,66),0)</f>
        <v/>
      </c>
      <c r="BR1244">
        <f>IFERROR(INDEX(PP_Grid[#Data],$DE1244,67),0)</f>
        <v/>
      </c>
      <c r="BS1244">
        <f>IFERROR(INDEX(PP_Grid[#Data],$DE1244,68),0)</f>
        <v/>
      </c>
      <c r="BT1244">
        <f>IFERROR(INDEX(PP_Grid[#Data],$DE1244,69),0)</f>
        <v/>
      </c>
      <c r="BU1244">
        <f>IFERROR(INDEX(PP_Grid[#Data],$DE1244,70),0)</f>
        <v/>
      </c>
      <c r="BV1244">
        <f>IFERROR(INDEX(PP_Grid[#Data],$DE1244,71),0)</f>
        <v/>
      </c>
      <c r="BW1244">
        <f>IFERROR(INDEX(PP_Grid[#Data],$DE1244,72),0)</f>
        <v/>
      </c>
      <c r="BX1244">
        <f>IFERROR(INDEX(PP_Grid[#Data],$DE1244,73),0)</f>
        <v/>
      </c>
      <c r="BY1244">
        <f>IFERROR(INDEX(PP_Grid[#Data],$DE1244,74),0)</f>
        <v/>
      </c>
      <c r="BZ1244">
        <f>IFERROR(INDEX(PP_Grid[#Data],$DE1244,75),0)</f>
        <v/>
      </c>
      <c r="CA1244">
        <f>IFERROR(INDEX(PP_Grid[#Data],$DE1244,76),0)</f>
        <v/>
      </c>
      <c r="CB1244">
        <f>IFERROR(INDEX(PP_Grid[#Data],$DE1244,77),0)</f>
        <v/>
      </c>
      <c r="CC1244">
        <f>IFERROR(INDEX(PP_Grid[#Data],$DE1244,78),0)</f>
        <v/>
      </c>
      <c r="CD1244">
        <f>IFERROR(INDEX(PP_Grid[#Data],$DE1244,79),0)</f>
        <v/>
      </c>
      <c r="CE1244">
        <f>IFERROR(INDEX(PP_Grid[#Data],$DE1244,80),0)</f>
        <v/>
      </c>
      <c r="CF1244">
        <f>IFERROR(INDEX(PP_Grid[#Data],$DE1244,81),0)</f>
        <v/>
      </c>
      <c r="CG1244">
        <f>IFERROR(INDEX(PP_Grid[#Data],$DE1244,82),0)</f>
        <v/>
      </c>
      <c r="CH1244">
        <f>IFERROR(INDEX(PP_Grid[#Data],$DE1244,83),0)</f>
        <v/>
      </c>
      <c r="CI1244">
        <f>IFERROR(INDEX(PP_Grid[#Data],$DE1244,84),0)</f>
        <v/>
      </c>
      <c r="CJ1244">
        <f>IFERROR(INDEX(PP_Grid[#Data],$DE1244,85),0)</f>
        <v/>
      </c>
      <c r="CK1244">
        <f>IFERROR(INDEX(PP_Grid[#Data],$DE1244,86),0)</f>
        <v/>
      </c>
      <c r="CL1244">
        <f>IFERROR(INDEX(PP_Grid[#Data],$DE1244,87),0)</f>
        <v/>
      </c>
      <c r="CM1244">
        <f>IFERROR(INDEX(PP_Grid[#Data],$DE1244,88),0)</f>
        <v/>
      </c>
      <c r="CN1244">
        <f>IFERROR(INDEX(PP_Grid[#Data],$DE1244,89),0)</f>
        <v/>
      </c>
      <c r="CO1244">
        <f>IFERROR(INDEX(PP_Grid[#Data],$DE1244,90),0)</f>
        <v/>
      </c>
      <c r="CP1244">
        <f>IFERROR(INDEX(PP_Grid[#Data],$DE1244,91),0)</f>
        <v/>
      </c>
      <c r="CQ1244">
        <f>IFERROR(INDEX(PP_Grid[#Data],$DE1244,92),0)</f>
        <v/>
      </c>
      <c r="CR1244">
        <f>IFERROR(INDEX(PP_Grid[#Data],$DE1244,93),0)</f>
        <v/>
      </c>
      <c r="CS1244">
        <f>IFERROR(INDEX(PP_Grid[#Data],$DE1244,94),0)</f>
        <v/>
      </c>
      <c r="CT1244">
        <f>IFERROR(INDEX(PP_Grid[#Data],$DE1244,95),0)</f>
        <v/>
      </c>
      <c r="CU1244">
        <f>IFERROR(INDEX(PP_Grid[#Data],$DE1244,96),0)</f>
        <v/>
      </c>
      <c r="CV1244">
        <f>IFERROR(INDEX(PP_Grid[#Data],$DE1244,97),0)</f>
        <v/>
      </c>
      <c r="CW1244">
        <f>IFERROR(INDEX(PP_Grid[#Data],$DE1244,98),0)</f>
        <v/>
      </c>
      <c r="CX1244">
        <f>IFERROR(INDEX(PP_Grid[#Data],$DE1244,99),0)</f>
        <v/>
      </c>
      <c r="CY1244">
        <f>IFERROR(INDEX(PP_Grid[#Data],$DE1244,100),0)</f>
        <v/>
      </c>
      <c r="CZ1244">
        <f>IFERROR(INDEX(PP_Grid[#Data],$DE1244,101),0)</f>
        <v/>
      </c>
      <c r="DA1244">
        <f>IFERROR(INDEX(PP_Grid[#Data],$DE1244,102),0)</f>
        <v/>
      </c>
      <c r="DB1244">
        <f>IFERROR(INDEX(PP_Grid[#Data],$DE1244,103),0)</f>
        <v/>
      </c>
      <c r="DC1244">
        <f>IFERROR(INDEX(PP_Grid[#Data],$DE1244,104),0)</f>
        <v/>
      </c>
      <c r="DD1244">
        <f>IFERROR(INDEX(PP_Grid[#Data],$DE1244,105),0)</f>
        <v/>
      </c>
      <c r="DE1244" s="7">
        <f>IFERROR(MATCH($B1244,PP_Grid[Intermediate],0),99999)</f>
        <v/>
      </c>
    </row>
    <row r="1245">
      <c r="B1245" t="inlineStr">
        <is>
          <t>使用量(kg)</t>
        </is>
      </c>
      <c r="C1245">
        <f>SUMIFS(M_BOM[RM_Qty_Per_Batch],M_BOM[Intermediate],$B1244,M_BOM[RM_Code],$A1239)</f>
        <v/>
      </c>
      <c r="D1245">
        <f>IFERROR(INDEX(E1245:DD1245,$F$1),"")</f>
        <v/>
      </c>
      <c r="E1245">
        <f>$C1245*E1244</f>
        <v/>
      </c>
      <c r="F1245">
        <f>$C1245*F1244</f>
        <v/>
      </c>
      <c r="G1245">
        <f>$C1245*G1244</f>
        <v/>
      </c>
      <c r="H1245">
        <f>$C1245*H1244</f>
        <v/>
      </c>
      <c r="I1245">
        <f>$C1245*I1244</f>
        <v/>
      </c>
      <c r="J1245">
        <f>$C1245*J1244</f>
        <v/>
      </c>
      <c r="K1245">
        <f>$C1245*K1244</f>
        <v/>
      </c>
      <c r="L1245">
        <f>$C1245*L1244</f>
        <v/>
      </c>
      <c r="M1245">
        <f>$C1245*M1244</f>
        <v/>
      </c>
      <c r="N1245">
        <f>$C1245*N1244</f>
        <v/>
      </c>
      <c r="O1245">
        <f>$C1245*O1244</f>
        <v/>
      </c>
      <c r="P1245">
        <f>$C1245*P1244</f>
        <v/>
      </c>
      <c r="Q1245">
        <f>$C1245*Q1244</f>
        <v/>
      </c>
      <c r="R1245">
        <f>$C1245*R1244</f>
        <v/>
      </c>
      <c r="S1245">
        <f>$C1245*S1244</f>
        <v/>
      </c>
      <c r="T1245">
        <f>$C1245*T1244</f>
        <v/>
      </c>
      <c r="U1245">
        <f>$C1245*U1244</f>
        <v/>
      </c>
      <c r="V1245">
        <f>$C1245*V1244</f>
        <v/>
      </c>
      <c r="W1245">
        <f>$C1245*W1244</f>
        <v/>
      </c>
      <c r="X1245">
        <f>$C1245*X1244</f>
        <v/>
      </c>
      <c r="Y1245">
        <f>$C1245*Y1244</f>
        <v/>
      </c>
      <c r="Z1245">
        <f>$C1245*Z1244</f>
        <v/>
      </c>
      <c r="AA1245">
        <f>$C1245*AA1244</f>
        <v/>
      </c>
      <c r="AB1245">
        <f>$C1245*AB1244</f>
        <v/>
      </c>
      <c r="AC1245">
        <f>$C1245*AC1244</f>
        <v/>
      </c>
      <c r="AD1245">
        <f>$C1245*AD1244</f>
        <v/>
      </c>
      <c r="AE1245">
        <f>$C1245*AE1244</f>
        <v/>
      </c>
      <c r="AF1245">
        <f>$C1245*AF1244</f>
        <v/>
      </c>
      <c r="AG1245">
        <f>$C1245*AG1244</f>
        <v/>
      </c>
      <c r="AH1245">
        <f>$C1245*AH1244</f>
        <v/>
      </c>
      <c r="AI1245">
        <f>$C1245*AI1244</f>
        <v/>
      </c>
      <c r="AJ1245">
        <f>$C1245*AJ1244</f>
        <v/>
      </c>
      <c r="AK1245">
        <f>$C1245*AK1244</f>
        <v/>
      </c>
      <c r="AL1245">
        <f>$C1245*AL1244</f>
        <v/>
      </c>
      <c r="AM1245">
        <f>$C1245*AM1244</f>
        <v/>
      </c>
      <c r="AN1245">
        <f>$C1245*AN1244</f>
        <v/>
      </c>
      <c r="AO1245">
        <f>$C1245*AO1244</f>
        <v/>
      </c>
      <c r="AP1245">
        <f>$C1245*AP1244</f>
        <v/>
      </c>
      <c r="AQ1245">
        <f>$C1245*AQ1244</f>
        <v/>
      </c>
      <c r="AR1245">
        <f>$C1245*AR1244</f>
        <v/>
      </c>
      <c r="AS1245">
        <f>$C1245*AS1244</f>
        <v/>
      </c>
      <c r="AT1245">
        <f>$C1245*AT1244</f>
        <v/>
      </c>
      <c r="AU1245">
        <f>$C1245*AU1244</f>
        <v/>
      </c>
      <c r="AV1245">
        <f>$C1245*AV1244</f>
        <v/>
      </c>
      <c r="AW1245">
        <f>$C1245*AW1244</f>
        <v/>
      </c>
      <c r="AX1245">
        <f>$C1245*AX1244</f>
        <v/>
      </c>
      <c r="AY1245">
        <f>$C1245*AY1244</f>
        <v/>
      </c>
      <c r="AZ1245">
        <f>$C1245*AZ1244</f>
        <v/>
      </c>
      <c r="BA1245">
        <f>$C1245*BA1244</f>
        <v/>
      </c>
      <c r="BB1245">
        <f>$C1245*BB1244</f>
        <v/>
      </c>
      <c r="BC1245">
        <f>$C1245*BC1244</f>
        <v/>
      </c>
      <c r="BD1245">
        <f>$C1245*BD1244</f>
        <v/>
      </c>
      <c r="BE1245">
        <f>$C1245*BE1244</f>
        <v/>
      </c>
      <c r="BF1245">
        <f>$C1245*BF1244</f>
        <v/>
      </c>
      <c r="BG1245">
        <f>$C1245*BG1244</f>
        <v/>
      </c>
      <c r="BH1245">
        <f>$C1245*BH1244</f>
        <v/>
      </c>
      <c r="BI1245">
        <f>$C1245*BI1244</f>
        <v/>
      </c>
      <c r="BJ1245">
        <f>$C1245*BJ1244</f>
        <v/>
      </c>
      <c r="BK1245">
        <f>$C1245*BK1244</f>
        <v/>
      </c>
      <c r="BL1245">
        <f>$C1245*BL1244</f>
        <v/>
      </c>
      <c r="BM1245">
        <f>$C1245*BM1244</f>
        <v/>
      </c>
      <c r="BN1245">
        <f>$C1245*BN1244</f>
        <v/>
      </c>
      <c r="BO1245">
        <f>$C1245*BO1244</f>
        <v/>
      </c>
      <c r="BP1245">
        <f>$C1245*BP1244</f>
        <v/>
      </c>
      <c r="BQ1245">
        <f>$C1245*BQ1244</f>
        <v/>
      </c>
      <c r="BR1245">
        <f>$C1245*BR1244</f>
        <v/>
      </c>
      <c r="BS1245">
        <f>$C1245*BS1244</f>
        <v/>
      </c>
      <c r="BT1245">
        <f>$C1245*BT1244</f>
        <v/>
      </c>
      <c r="BU1245">
        <f>$C1245*BU1244</f>
        <v/>
      </c>
      <c r="BV1245">
        <f>$C1245*BV1244</f>
        <v/>
      </c>
      <c r="BW1245">
        <f>$C1245*BW1244</f>
        <v/>
      </c>
      <c r="BX1245">
        <f>$C1245*BX1244</f>
        <v/>
      </c>
      <c r="BY1245">
        <f>$C1245*BY1244</f>
        <v/>
      </c>
      <c r="BZ1245">
        <f>$C1245*BZ1244</f>
        <v/>
      </c>
      <c r="CA1245">
        <f>$C1245*CA1244</f>
        <v/>
      </c>
      <c r="CB1245">
        <f>$C1245*CB1244</f>
        <v/>
      </c>
      <c r="CC1245">
        <f>$C1245*CC1244</f>
        <v/>
      </c>
      <c r="CD1245">
        <f>$C1245*CD1244</f>
        <v/>
      </c>
      <c r="CE1245">
        <f>$C1245*CE1244</f>
        <v/>
      </c>
      <c r="CF1245">
        <f>$C1245*CF1244</f>
        <v/>
      </c>
      <c r="CG1245">
        <f>$C1245*CG1244</f>
        <v/>
      </c>
      <c r="CH1245">
        <f>$C1245*CH1244</f>
        <v/>
      </c>
      <c r="CI1245">
        <f>$C1245*CI1244</f>
        <v/>
      </c>
      <c r="CJ1245">
        <f>$C1245*CJ1244</f>
        <v/>
      </c>
      <c r="CK1245">
        <f>$C1245*CK1244</f>
        <v/>
      </c>
      <c r="CL1245">
        <f>$C1245*CL1244</f>
        <v/>
      </c>
      <c r="CM1245">
        <f>$C1245*CM1244</f>
        <v/>
      </c>
      <c r="CN1245">
        <f>$C1245*CN1244</f>
        <v/>
      </c>
      <c r="CO1245">
        <f>$C1245*CO1244</f>
        <v/>
      </c>
      <c r="CP1245">
        <f>$C1245*CP1244</f>
        <v/>
      </c>
      <c r="CQ1245">
        <f>$C1245*CQ1244</f>
        <v/>
      </c>
      <c r="CR1245">
        <f>$C1245*CR1244</f>
        <v/>
      </c>
      <c r="CS1245">
        <f>$C1245*CS1244</f>
        <v/>
      </c>
      <c r="CT1245">
        <f>$C1245*CT1244</f>
        <v/>
      </c>
      <c r="CU1245">
        <f>$C1245*CU1244</f>
        <v/>
      </c>
      <c r="CV1245">
        <f>$C1245*CV1244</f>
        <v/>
      </c>
      <c r="CW1245">
        <f>$C1245*CW1244</f>
        <v/>
      </c>
      <c r="CX1245">
        <f>$C1245*CX1244</f>
        <v/>
      </c>
      <c r="CY1245">
        <f>$C1245*CY1244</f>
        <v/>
      </c>
      <c r="CZ1245">
        <f>$C1245*CZ1244</f>
        <v/>
      </c>
      <c r="DA1245">
        <f>$C1245*DA1244</f>
        <v/>
      </c>
      <c r="DB1245">
        <f>$C1245*DB1244</f>
        <v/>
      </c>
      <c r="DC1245">
        <f>$C1245*DC1244</f>
        <v/>
      </c>
      <c r="DD1245">
        <f>$C1245*DD1244</f>
        <v/>
      </c>
    </row>
    <row r="1246">
      <c r="B1246" t="inlineStr">
        <is>
          <t>TSP-928</t>
        </is>
      </c>
      <c r="C1246" t="inlineStr">
        <is>
          <t>No. of batches</t>
        </is>
      </c>
      <c r="D1246">
        <f>IFERROR(INDEX(E1246:DD1246,$F$1),"")</f>
        <v/>
      </c>
      <c r="E1246">
        <f>IFERROR(INDEX(PP_Grid[#Data],$DE1246,2),0)</f>
        <v/>
      </c>
      <c r="F1246">
        <f>IFERROR(INDEX(PP_Grid[#Data],$DE1246,3),0)</f>
        <v/>
      </c>
      <c r="G1246">
        <f>IFERROR(INDEX(PP_Grid[#Data],$DE1246,4),0)</f>
        <v/>
      </c>
      <c r="H1246">
        <f>IFERROR(INDEX(PP_Grid[#Data],$DE1246,5),0)</f>
        <v/>
      </c>
      <c r="I1246">
        <f>IFERROR(INDEX(PP_Grid[#Data],$DE1246,6),0)</f>
        <v/>
      </c>
      <c r="J1246">
        <f>IFERROR(INDEX(PP_Grid[#Data],$DE1246,7),0)</f>
        <v/>
      </c>
      <c r="K1246">
        <f>IFERROR(INDEX(PP_Grid[#Data],$DE1246,8),0)</f>
        <v/>
      </c>
      <c r="L1246">
        <f>IFERROR(INDEX(PP_Grid[#Data],$DE1246,9),0)</f>
        <v/>
      </c>
      <c r="M1246">
        <f>IFERROR(INDEX(PP_Grid[#Data],$DE1246,10),0)</f>
        <v/>
      </c>
      <c r="N1246">
        <f>IFERROR(INDEX(PP_Grid[#Data],$DE1246,11),0)</f>
        <v/>
      </c>
      <c r="O1246">
        <f>IFERROR(INDEX(PP_Grid[#Data],$DE1246,12),0)</f>
        <v/>
      </c>
      <c r="P1246">
        <f>IFERROR(INDEX(PP_Grid[#Data],$DE1246,13),0)</f>
        <v/>
      </c>
      <c r="Q1246">
        <f>IFERROR(INDEX(PP_Grid[#Data],$DE1246,14),0)</f>
        <v/>
      </c>
      <c r="R1246">
        <f>IFERROR(INDEX(PP_Grid[#Data],$DE1246,15),0)</f>
        <v/>
      </c>
      <c r="S1246">
        <f>IFERROR(INDEX(PP_Grid[#Data],$DE1246,16),0)</f>
        <v/>
      </c>
      <c r="T1246">
        <f>IFERROR(INDEX(PP_Grid[#Data],$DE1246,17),0)</f>
        <v/>
      </c>
      <c r="U1246">
        <f>IFERROR(INDEX(PP_Grid[#Data],$DE1246,18),0)</f>
        <v/>
      </c>
      <c r="V1246">
        <f>IFERROR(INDEX(PP_Grid[#Data],$DE1246,19),0)</f>
        <v/>
      </c>
      <c r="W1246">
        <f>IFERROR(INDEX(PP_Grid[#Data],$DE1246,20),0)</f>
        <v/>
      </c>
      <c r="X1246">
        <f>IFERROR(INDEX(PP_Grid[#Data],$DE1246,21),0)</f>
        <v/>
      </c>
      <c r="Y1246">
        <f>IFERROR(INDEX(PP_Grid[#Data],$DE1246,22),0)</f>
        <v/>
      </c>
      <c r="Z1246">
        <f>IFERROR(INDEX(PP_Grid[#Data],$DE1246,23),0)</f>
        <v/>
      </c>
      <c r="AA1246">
        <f>IFERROR(INDEX(PP_Grid[#Data],$DE1246,24),0)</f>
        <v/>
      </c>
      <c r="AB1246">
        <f>IFERROR(INDEX(PP_Grid[#Data],$DE1246,25),0)</f>
        <v/>
      </c>
      <c r="AC1246">
        <f>IFERROR(INDEX(PP_Grid[#Data],$DE1246,26),0)</f>
        <v/>
      </c>
      <c r="AD1246">
        <f>IFERROR(INDEX(PP_Grid[#Data],$DE1246,27),0)</f>
        <v/>
      </c>
      <c r="AE1246">
        <f>IFERROR(INDEX(PP_Grid[#Data],$DE1246,28),0)</f>
        <v/>
      </c>
      <c r="AF1246">
        <f>IFERROR(INDEX(PP_Grid[#Data],$DE1246,29),0)</f>
        <v/>
      </c>
      <c r="AG1246">
        <f>IFERROR(INDEX(PP_Grid[#Data],$DE1246,30),0)</f>
        <v/>
      </c>
      <c r="AH1246">
        <f>IFERROR(INDEX(PP_Grid[#Data],$DE1246,31),0)</f>
        <v/>
      </c>
      <c r="AI1246">
        <f>IFERROR(INDEX(PP_Grid[#Data],$DE1246,32),0)</f>
        <v/>
      </c>
      <c r="AJ1246">
        <f>IFERROR(INDEX(PP_Grid[#Data],$DE1246,33),0)</f>
        <v/>
      </c>
      <c r="AK1246">
        <f>IFERROR(INDEX(PP_Grid[#Data],$DE1246,34),0)</f>
        <v/>
      </c>
      <c r="AL1246">
        <f>IFERROR(INDEX(PP_Grid[#Data],$DE1246,35),0)</f>
        <v/>
      </c>
      <c r="AM1246">
        <f>IFERROR(INDEX(PP_Grid[#Data],$DE1246,36),0)</f>
        <v/>
      </c>
      <c r="AN1246">
        <f>IFERROR(INDEX(PP_Grid[#Data],$DE1246,37),0)</f>
        <v/>
      </c>
      <c r="AO1246">
        <f>IFERROR(INDEX(PP_Grid[#Data],$DE1246,38),0)</f>
        <v/>
      </c>
      <c r="AP1246">
        <f>IFERROR(INDEX(PP_Grid[#Data],$DE1246,39),0)</f>
        <v/>
      </c>
      <c r="AQ1246">
        <f>IFERROR(INDEX(PP_Grid[#Data],$DE1246,40),0)</f>
        <v/>
      </c>
      <c r="AR1246">
        <f>IFERROR(INDEX(PP_Grid[#Data],$DE1246,41),0)</f>
        <v/>
      </c>
      <c r="AS1246">
        <f>IFERROR(INDEX(PP_Grid[#Data],$DE1246,42),0)</f>
        <v/>
      </c>
      <c r="AT1246">
        <f>IFERROR(INDEX(PP_Grid[#Data],$DE1246,43),0)</f>
        <v/>
      </c>
      <c r="AU1246">
        <f>IFERROR(INDEX(PP_Grid[#Data],$DE1246,44),0)</f>
        <v/>
      </c>
      <c r="AV1246">
        <f>IFERROR(INDEX(PP_Grid[#Data],$DE1246,45),0)</f>
        <v/>
      </c>
      <c r="AW1246">
        <f>IFERROR(INDEX(PP_Grid[#Data],$DE1246,46),0)</f>
        <v/>
      </c>
      <c r="AX1246">
        <f>IFERROR(INDEX(PP_Grid[#Data],$DE1246,47),0)</f>
        <v/>
      </c>
      <c r="AY1246">
        <f>IFERROR(INDEX(PP_Grid[#Data],$DE1246,48),0)</f>
        <v/>
      </c>
      <c r="AZ1246">
        <f>IFERROR(INDEX(PP_Grid[#Data],$DE1246,49),0)</f>
        <v/>
      </c>
      <c r="BA1246">
        <f>IFERROR(INDEX(PP_Grid[#Data],$DE1246,50),0)</f>
        <v/>
      </c>
      <c r="BB1246">
        <f>IFERROR(INDEX(PP_Grid[#Data],$DE1246,51),0)</f>
        <v/>
      </c>
      <c r="BC1246">
        <f>IFERROR(INDEX(PP_Grid[#Data],$DE1246,52),0)</f>
        <v/>
      </c>
      <c r="BD1246">
        <f>IFERROR(INDEX(PP_Grid[#Data],$DE1246,53),0)</f>
        <v/>
      </c>
      <c r="BE1246">
        <f>IFERROR(INDEX(PP_Grid[#Data],$DE1246,54),0)</f>
        <v/>
      </c>
      <c r="BF1246">
        <f>IFERROR(INDEX(PP_Grid[#Data],$DE1246,55),0)</f>
        <v/>
      </c>
      <c r="BG1246">
        <f>IFERROR(INDEX(PP_Grid[#Data],$DE1246,56),0)</f>
        <v/>
      </c>
      <c r="BH1246">
        <f>IFERROR(INDEX(PP_Grid[#Data],$DE1246,57),0)</f>
        <v/>
      </c>
      <c r="BI1246">
        <f>IFERROR(INDEX(PP_Grid[#Data],$DE1246,58),0)</f>
        <v/>
      </c>
      <c r="BJ1246">
        <f>IFERROR(INDEX(PP_Grid[#Data],$DE1246,59),0)</f>
        <v/>
      </c>
      <c r="BK1246">
        <f>IFERROR(INDEX(PP_Grid[#Data],$DE1246,60),0)</f>
        <v/>
      </c>
      <c r="BL1246">
        <f>IFERROR(INDEX(PP_Grid[#Data],$DE1246,61),0)</f>
        <v/>
      </c>
      <c r="BM1246">
        <f>IFERROR(INDEX(PP_Grid[#Data],$DE1246,62),0)</f>
        <v/>
      </c>
      <c r="BN1246">
        <f>IFERROR(INDEX(PP_Grid[#Data],$DE1246,63),0)</f>
        <v/>
      </c>
      <c r="BO1246">
        <f>IFERROR(INDEX(PP_Grid[#Data],$DE1246,64),0)</f>
        <v/>
      </c>
      <c r="BP1246">
        <f>IFERROR(INDEX(PP_Grid[#Data],$DE1246,65),0)</f>
        <v/>
      </c>
      <c r="BQ1246">
        <f>IFERROR(INDEX(PP_Grid[#Data],$DE1246,66),0)</f>
        <v/>
      </c>
      <c r="BR1246">
        <f>IFERROR(INDEX(PP_Grid[#Data],$DE1246,67),0)</f>
        <v/>
      </c>
      <c r="BS1246">
        <f>IFERROR(INDEX(PP_Grid[#Data],$DE1246,68),0)</f>
        <v/>
      </c>
      <c r="BT1246">
        <f>IFERROR(INDEX(PP_Grid[#Data],$DE1246,69),0)</f>
        <v/>
      </c>
      <c r="BU1246">
        <f>IFERROR(INDEX(PP_Grid[#Data],$DE1246,70),0)</f>
        <v/>
      </c>
      <c r="BV1246">
        <f>IFERROR(INDEX(PP_Grid[#Data],$DE1246,71),0)</f>
        <v/>
      </c>
      <c r="BW1246">
        <f>IFERROR(INDEX(PP_Grid[#Data],$DE1246,72),0)</f>
        <v/>
      </c>
      <c r="BX1246">
        <f>IFERROR(INDEX(PP_Grid[#Data],$DE1246,73),0)</f>
        <v/>
      </c>
      <c r="BY1246">
        <f>IFERROR(INDEX(PP_Grid[#Data],$DE1246,74),0)</f>
        <v/>
      </c>
      <c r="BZ1246">
        <f>IFERROR(INDEX(PP_Grid[#Data],$DE1246,75),0)</f>
        <v/>
      </c>
      <c r="CA1246">
        <f>IFERROR(INDEX(PP_Grid[#Data],$DE1246,76),0)</f>
        <v/>
      </c>
      <c r="CB1246">
        <f>IFERROR(INDEX(PP_Grid[#Data],$DE1246,77),0)</f>
        <v/>
      </c>
      <c r="CC1246">
        <f>IFERROR(INDEX(PP_Grid[#Data],$DE1246,78),0)</f>
        <v/>
      </c>
      <c r="CD1246">
        <f>IFERROR(INDEX(PP_Grid[#Data],$DE1246,79),0)</f>
        <v/>
      </c>
      <c r="CE1246">
        <f>IFERROR(INDEX(PP_Grid[#Data],$DE1246,80),0)</f>
        <v/>
      </c>
      <c r="CF1246">
        <f>IFERROR(INDEX(PP_Grid[#Data],$DE1246,81),0)</f>
        <v/>
      </c>
      <c r="CG1246">
        <f>IFERROR(INDEX(PP_Grid[#Data],$DE1246,82),0)</f>
        <v/>
      </c>
      <c r="CH1246">
        <f>IFERROR(INDEX(PP_Grid[#Data],$DE1246,83),0)</f>
        <v/>
      </c>
      <c r="CI1246">
        <f>IFERROR(INDEX(PP_Grid[#Data],$DE1246,84),0)</f>
        <v/>
      </c>
      <c r="CJ1246">
        <f>IFERROR(INDEX(PP_Grid[#Data],$DE1246,85),0)</f>
        <v/>
      </c>
      <c r="CK1246">
        <f>IFERROR(INDEX(PP_Grid[#Data],$DE1246,86),0)</f>
        <v/>
      </c>
      <c r="CL1246">
        <f>IFERROR(INDEX(PP_Grid[#Data],$DE1246,87),0)</f>
        <v/>
      </c>
      <c r="CM1246">
        <f>IFERROR(INDEX(PP_Grid[#Data],$DE1246,88),0)</f>
        <v/>
      </c>
      <c r="CN1246">
        <f>IFERROR(INDEX(PP_Grid[#Data],$DE1246,89),0)</f>
        <v/>
      </c>
      <c r="CO1246">
        <f>IFERROR(INDEX(PP_Grid[#Data],$DE1246,90),0)</f>
        <v/>
      </c>
      <c r="CP1246">
        <f>IFERROR(INDEX(PP_Grid[#Data],$DE1246,91),0)</f>
        <v/>
      </c>
      <c r="CQ1246">
        <f>IFERROR(INDEX(PP_Grid[#Data],$DE1246,92),0)</f>
        <v/>
      </c>
      <c r="CR1246">
        <f>IFERROR(INDEX(PP_Grid[#Data],$DE1246,93),0)</f>
        <v/>
      </c>
      <c r="CS1246">
        <f>IFERROR(INDEX(PP_Grid[#Data],$DE1246,94),0)</f>
        <v/>
      </c>
      <c r="CT1246">
        <f>IFERROR(INDEX(PP_Grid[#Data],$DE1246,95),0)</f>
        <v/>
      </c>
      <c r="CU1246">
        <f>IFERROR(INDEX(PP_Grid[#Data],$DE1246,96),0)</f>
        <v/>
      </c>
      <c r="CV1246">
        <f>IFERROR(INDEX(PP_Grid[#Data],$DE1246,97),0)</f>
        <v/>
      </c>
      <c r="CW1246">
        <f>IFERROR(INDEX(PP_Grid[#Data],$DE1246,98),0)</f>
        <v/>
      </c>
      <c r="CX1246">
        <f>IFERROR(INDEX(PP_Grid[#Data],$DE1246,99),0)</f>
        <v/>
      </c>
      <c r="CY1246">
        <f>IFERROR(INDEX(PP_Grid[#Data],$DE1246,100),0)</f>
        <v/>
      </c>
      <c r="CZ1246">
        <f>IFERROR(INDEX(PP_Grid[#Data],$DE1246,101),0)</f>
        <v/>
      </c>
      <c r="DA1246">
        <f>IFERROR(INDEX(PP_Grid[#Data],$DE1246,102),0)</f>
        <v/>
      </c>
      <c r="DB1246">
        <f>IFERROR(INDEX(PP_Grid[#Data],$DE1246,103),0)</f>
        <v/>
      </c>
      <c r="DC1246">
        <f>IFERROR(INDEX(PP_Grid[#Data],$DE1246,104),0)</f>
        <v/>
      </c>
      <c r="DD1246">
        <f>IFERROR(INDEX(PP_Grid[#Data],$DE1246,105),0)</f>
        <v/>
      </c>
      <c r="DE1246" s="7">
        <f>IFERROR(MATCH($B1246,PP_Grid[Intermediate],0),99999)</f>
        <v/>
      </c>
    </row>
    <row r="1247">
      <c r="B1247" t="inlineStr">
        <is>
          <t>使用量(kg)</t>
        </is>
      </c>
      <c r="C1247">
        <f>SUMIFS(M_BOM[RM_Qty_Per_Batch],M_BOM[Intermediate],$B1246,M_BOM[RM_Code],$A1239)</f>
        <v/>
      </c>
      <c r="D1247">
        <f>IFERROR(INDEX(E1247:DD1247,$F$1),"")</f>
        <v/>
      </c>
      <c r="E1247">
        <f>$C1247*E1246</f>
        <v/>
      </c>
      <c r="F1247">
        <f>$C1247*F1246</f>
        <v/>
      </c>
      <c r="G1247">
        <f>$C1247*G1246</f>
        <v/>
      </c>
      <c r="H1247">
        <f>$C1247*H1246</f>
        <v/>
      </c>
      <c r="I1247">
        <f>$C1247*I1246</f>
        <v/>
      </c>
      <c r="J1247">
        <f>$C1247*J1246</f>
        <v/>
      </c>
      <c r="K1247">
        <f>$C1247*K1246</f>
        <v/>
      </c>
      <c r="L1247">
        <f>$C1247*L1246</f>
        <v/>
      </c>
      <c r="M1247">
        <f>$C1247*M1246</f>
        <v/>
      </c>
      <c r="N1247">
        <f>$C1247*N1246</f>
        <v/>
      </c>
      <c r="O1247">
        <f>$C1247*O1246</f>
        <v/>
      </c>
      <c r="P1247">
        <f>$C1247*P1246</f>
        <v/>
      </c>
      <c r="Q1247">
        <f>$C1247*Q1246</f>
        <v/>
      </c>
      <c r="R1247">
        <f>$C1247*R1246</f>
        <v/>
      </c>
      <c r="S1247">
        <f>$C1247*S1246</f>
        <v/>
      </c>
      <c r="T1247">
        <f>$C1247*T1246</f>
        <v/>
      </c>
      <c r="U1247">
        <f>$C1247*U1246</f>
        <v/>
      </c>
      <c r="V1247">
        <f>$C1247*V1246</f>
        <v/>
      </c>
      <c r="W1247">
        <f>$C1247*W1246</f>
        <v/>
      </c>
      <c r="X1247">
        <f>$C1247*X1246</f>
        <v/>
      </c>
      <c r="Y1247">
        <f>$C1247*Y1246</f>
        <v/>
      </c>
      <c r="Z1247">
        <f>$C1247*Z1246</f>
        <v/>
      </c>
      <c r="AA1247">
        <f>$C1247*AA1246</f>
        <v/>
      </c>
      <c r="AB1247">
        <f>$C1247*AB1246</f>
        <v/>
      </c>
      <c r="AC1247">
        <f>$C1247*AC1246</f>
        <v/>
      </c>
      <c r="AD1247">
        <f>$C1247*AD1246</f>
        <v/>
      </c>
      <c r="AE1247">
        <f>$C1247*AE1246</f>
        <v/>
      </c>
      <c r="AF1247">
        <f>$C1247*AF1246</f>
        <v/>
      </c>
      <c r="AG1247">
        <f>$C1247*AG1246</f>
        <v/>
      </c>
      <c r="AH1247">
        <f>$C1247*AH1246</f>
        <v/>
      </c>
      <c r="AI1247">
        <f>$C1247*AI1246</f>
        <v/>
      </c>
      <c r="AJ1247">
        <f>$C1247*AJ1246</f>
        <v/>
      </c>
      <c r="AK1247">
        <f>$C1247*AK1246</f>
        <v/>
      </c>
      <c r="AL1247">
        <f>$C1247*AL1246</f>
        <v/>
      </c>
      <c r="AM1247">
        <f>$C1247*AM1246</f>
        <v/>
      </c>
      <c r="AN1247">
        <f>$C1247*AN1246</f>
        <v/>
      </c>
      <c r="AO1247">
        <f>$C1247*AO1246</f>
        <v/>
      </c>
      <c r="AP1247">
        <f>$C1247*AP1246</f>
        <v/>
      </c>
      <c r="AQ1247">
        <f>$C1247*AQ1246</f>
        <v/>
      </c>
      <c r="AR1247">
        <f>$C1247*AR1246</f>
        <v/>
      </c>
      <c r="AS1247">
        <f>$C1247*AS1246</f>
        <v/>
      </c>
      <c r="AT1247">
        <f>$C1247*AT1246</f>
        <v/>
      </c>
      <c r="AU1247">
        <f>$C1247*AU1246</f>
        <v/>
      </c>
      <c r="AV1247">
        <f>$C1247*AV1246</f>
        <v/>
      </c>
      <c r="AW1247">
        <f>$C1247*AW1246</f>
        <v/>
      </c>
      <c r="AX1247">
        <f>$C1247*AX1246</f>
        <v/>
      </c>
      <c r="AY1247">
        <f>$C1247*AY1246</f>
        <v/>
      </c>
      <c r="AZ1247">
        <f>$C1247*AZ1246</f>
        <v/>
      </c>
      <c r="BA1247">
        <f>$C1247*BA1246</f>
        <v/>
      </c>
      <c r="BB1247">
        <f>$C1247*BB1246</f>
        <v/>
      </c>
      <c r="BC1247">
        <f>$C1247*BC1246</f>
        <v/>
      </c>
      <c r="BD1247">
        <f>$C1247*BD1246</f>
        <v/>
      </c>
      <c r="BE1247">
        <f>$C1247*BE1246</f>
        <v/>
      </c>
      <c r="BF1247">
        <f>$C1247*BF1246</f>
        <v/>
      </c>
      <c r="BG1247">
        <f>$C1247*BG1246</f>
        <v/>
      </c>
      <c r="BH1247">
        <f>$C1247*BH1246</f>
        <v/>
      </c>
      <c r="BI1247">
        <f>$C1247*BI1246</f>
        <v/>
      </c>
      <c r="BJ1247">
        <f>$C1247*BJ1246</f>
        <v/>
      </c>
      <c r="BK1247">
        <f>$C1247*BK1246</f>
        <v/>
      </c>
      <c r="BL1247">
        <f>$C1247*BL1246</f>
        <v/>
      </c>
      <c r="BM1247">
        <f>$C1247*BM1246</f>
        <v/>
      </c>
      <c r="BN1247">
        <f>$C1247*BN1246</f>
        <v/>
      </c>
      <c r="BO1247">
        <f>$C1247*BO1246</f>
        <v/>
      </c>
      <c r="BP1247">
        <f>$C1247*BP1246</f>
        <v/>
      </c>
      <c r="BQ1247">
        <f>$C1247*BQ1246</f>
        <v/>
      </c>
      <c r="BR1247">
        <f>$C1247*BR1246</f>
        <v/>
      </c>
      <c r="BS1247">
        <f>$C1247*BS1246</f>
        <v/>
      </c>
      <c r="BT1247">
        <f>$C1247*BT1246</f>
        <v/>
      </c>
      <c r="BU1247">
        <f>$C1247*BU1246</f>
        <v/>
      </c>
      <c r="BV1247">
        <f>$C1247*BV1246</f>
        <v/>
      </c>
      <c r="BW1247">
        <f>$C1247*BW1246</f>
        <v/>
      </c>
      <c r="BX1247">
        <f>$C1247*BX1246</f>
        <v/>
      </c>
      <c r="BY1247">
        <f>$C1247*BY1246</f>
        <v/>
      </c>
      <c r="BZ1247">
        <f>$C1247*BZ1246</f>
        <v/>
      </c>
      <c r="CA1247">
        <f>$C1247*CA1246</f>
        <v/>
      </c>
      <c r="CB1247">
        <f>$C1247*CB1246</f>
        <v/>
      </c>
      <c r="CC1247">
        <f>$C1247*CC1246</f>
        <v/>
      </c>
      <c r="CD1247">
        <f>$C1247*CD1246</f>
        <v/>
      </c>
      <c r="CE1247">
        <f>$C1247*CE1246</f>
        <v/>
      </c>
      <c r="CF1247">
        <f>$C1247*CF1246</f>
        <v/>
      </c>
      <c r="CG1247">
        <f>$C1247*CG1246</f>
        <v/>
      </c>
      <c r="CH1247">
        <f>$C1247*CH1246</f>
        <v/>
      </c>
      <c r="CI1247">
        <f>$C1247*CI1246</f>
        <v/>
      </c>
      <c r="CJ1247">
        <f>$C1247*CJ1246</f>
        <v/>
      </c>
      <c r="CK1247">
        <f>$C1247*CK1246</f>
        <v/>
      </c>
      <c r="CL1247">
        <f>$C1247*CL1246</f>
        <v/>
      </c>
      <c r="CM1247">
        <f>$C1247*CM1246</f>
        <v/>
      </c>
      <c r="CN1247">
        <f>$C1247*CN1246</f>
        <v/>
      </c>
      <c r="CO1247">
        <f>$C1247*CO1246</f>
        <v/>
      </c>
      <c r="CP1247">
        <f>$C1247*CP1246</f>
        <v/>
      </c>
      <c r="CQ1247">
        <f>$C1247*CQ1246</f>
        <v/>
      </c>
      <c r="CR1247">
        <f>$C1247*CR1246</f>
        <v/>
      </c>
      <c r="CS1247">
        <f>$C1247*CS1246</f>
        <v/>
      </c>
      <c r="CT1247">
        <f>$C1247*CT1246</f>
        <v/>
      </c>
      <c r="CU1247">
        <f>$C1247*CU1246</f>
        <v/>
      </c>
      <c r="CV1247">
        <f>$C1247*CV1246</f>
        <v/>
      </c>
      <c r="CW1247">
        <f>$C1247*CW1246</f>
        <v/>
      </c>
      <c r="CX1247">
        <f>$C1247*CX1246</f>
        <v/>
      </c>
      <c r="CY1247">
        <f>$C1247*CY1246</f>
        <v/>
      </c>
      <c r="CZ1247">
        <f>$C1247*CZ1246</f>
        <v/>
      </c>
      <c r="DA1247">
        <f>$C1247*DA1246</f>
        <v/>
      </c>
      <c r="DB1247">
        <f>$C1247*DB1246</f>
        <v/>
      </c>
      <c r="DC1247">
        <f>$C1247*DC1246</f>
        <v/>
      </c>
      <c r="DD1247">
        <f>$C1247*DD1246</f>
        <v/>
      </c>
    </row>
    <row r="1248">
      <c r="B1248" t="inlineStr">
        <is>
          <t>TSP-929</t>
        </is>
      </c>
      <c r="C1248" t="inlineStr">
        <is>
          <t>No. of batches</t>
        </is>
      </c>
      <c r="D1248">
        <f>IFERROR(INDEX(E1248:DD1248,$F$1),"")</f>
        <v/>
      </c>
      <c r="E1248">
        <f>IFERROR(INDEX(PP_Grid[#Data],$DE1248,2),0)</f>
        <v/>
      </c>
      <c r="F1248">
        <f>IFERROR(INDEX(PP_Grid[#Data],$DE1248,3),0)</f>
        <v/>
      </c>
      <c r="G1248">
        <f>IFERROR(INDEX(PP_Grid[#Data],$DE1248,4),0)</f>
        <v/>
      </c>
      <c r="H1248">
        <f>IFERROR(INDEX(PP_Grid[#Data],$DE1248,5),0)</f>
        <v/>
      </c>
      <c r="I1248">
        <f>IFERROR(INDEX(PP_Grid[#Data],$DE1248,6),0)</f>
        <v/>
      </c>
      <c r="J1248">
        <f>IFERROR(INDEX(PP_Grid[#Data],$DE1248,7),0)</f>
        <v/>
      </c>
      <c r="K1248">
        <f>IFERROR(INDEX(PP_Grid[#Data],$DE1248,8),0)</f>
        <v/>
      </c>
      <c r="L1248">
        <f>IFERROR(INDEX(PP_Grid[#Data],$DE1248,9),0)</f>
        <v/>
      </c>
      <c r="M1248">
        <f>IFERROR(INDEX(PP_Grid[#Data],$DE1248,10),0)</f>
        <v/>
      </c>
      <c r="N1248">
        <f>IFERROR(INDEX(PP_Grid[#Data],$DE1248,11),0)</f>
        <v/>
      </c>
      <c r="O1248">
        <f>IFERROR(INDEX(PP_Grid[#Data],$DE1248,12),0)</f>
        <v/>
      </c>
      <c r="P1248">
        <f>IFERROR(INDEX(PP_Grid[#Data],$DE1248,13),0)</f>
        <v/>
      </c>
      <c r="Q1248">
        <f>IFERROR(INDEX(PP_Grid[#Data],$DE1248,14),0)</f>
        <v/>
      </c>
      <c r="R1248">
        <f>IFERROR(INDEX(PP_Grid[#Data],$DE1248,15),0)</f>
        <v/>
      </c>
      <c r="S1248">
        <f>IFERROR(INDEX(PP_Grid[#Data],$DE1248,16),0)</f>
        <v/>
      </c>
      <c r="T1248">
        <f>IFERROR(INDEX(PP_Grid[#Data],$DE1248,17),0)</f>
        <v/>
      </c>
      <c r="U1248">
        <f>IFERROR(INDEX(PP_Grid[#Data],$DE1248,18),0)</f>
        <v/>
      </c>
      <c r="V1248">
        <f>IFERROR(INDEX(PP_Grid[#Data],$DE1248,19),0)</f>
        <v/>
      </c>
      <c r="W1248">
        <f>IFERROR(INDEX(PP_Grid[#Data],$DE1248,20),0)</f>
        <v/>
      </c>
      <c r="X1248">
        <f>IFERROR(INDEX(PP_Grid[#Data],$DE1248,21),0)</f>
        <v/>
      </c>
      <c r="Y1248">
        <f>IFERROR(INDEX(PP_Grid[#Data],$DE1248,22),0)</f>
        <v/>
      </c>
      <c r="Z1248">
        <f>IFERROR(INDEX(PP_Grid[#Data],$DE1248,23),0)</f>
        <v/>
      </c>
      <c r="AA1248">
        <f>IFERROR(INDEX(PP_Grid[#Data],$DE1248,24),0)</f>
        <v/>
      </c>
      <c r="AB1248">
        <f>IFERROR(INDEX(PP_Grid[#Data],$DE1248,25),0)</f>
        <v/>
      </c>
      <c r="AC1248">
        <f>IFERROR(INDEX(PP_Grid[#Data],$DE1248,26),0)</f>
        <v/>
      </c>
      <c r="AD1248">
        <f>IFERROR(INDEX(PP_Grid[#Data],$DE1248,27),0)</f>
        <v/>
      </c>
      <c r="AE1248">
        <f>IFERROR(INDEX(PP_Grid[#Data],$DE1248,28),0)</f>
        <v/>
      </c>
      <c r="AF1248">
        <f>IFERROR(INDEX(PP_Grid[#Data],$DE1248,29),0)</f>
        <v/>
      </c>
      <c r="AG1248">
        <f>IFERROR(INDEX(PP_Grid[#Data],$DE1248,30),0)</f>
        <v/>
      </c>
      <c r="AH1248">
        <f>IFERROR(INDEX(PP_Grid[#Data],$DE1248,31),0)</f>
        <v/>
      </c>
      <c r="AI1248">
        <f>IFERROR(INDEX(PP_Grid[#Data],$DE1248,32),0)</f>
        <v/>
      </c>
      <c r="AJ1248">
        <f>IFERROR(INDEX(PP_Grid[#Data],$DE1248,33),0)</f>
        <v/>
      </c>
      <c r="AK1248">
        <f>IFERROR(INDEX(PP_Grid[#Data],$DE1248,34),0)</f>
        <v/>
      </c>
      <c r="AL1248">
        <f>IFERROR(INDEX(PP_Grid[#Data],$DE1248,35),0)</f>
        <v/>
      </c>
      <c r="AM1248">
        <f>IFERROR(INDEX(PP_Grid[#Data],$DE1248,36),0)</f>
        <v/>
      </c>
      <c r="AN1248">
        <f>IFERROR(INDEX(PP_Grid[#Data],$DE1248,37),0)</f>
        <v/>
      </c>
      <c r="AO1248">
        <f>IFERROR(INDEX(PP_Grid[#Data],$DE1248,38),0)</f>
        <v/>
      </c>
      <c r="AP1248">
        <f>IFERROR(INDEX(PP_Grid[#Data],$DE1248,39),0)</f>
        <v/>
      </c>
      <c r="AQ1248">
        <f>IFERROR(INDEX(PP_Grid[#Data],$DE1248,40),0)</f>
        <v/>
      </c>
      <c r="AR1248">
        <f>IFERROR(INDEX(PP_Grid[#Data],$DE1248,41),0)</f>
        <v/>
      </c>
      <c r="AS1248">
        <f>IFERROR(INDEX(PP_Grid[#Data],$DE1248,42),0)</f>
        <v/>
      </c>
      <c r="AT1248">
        <f>IFERROR(INDEX(PP_Grid[#Data],$DE1248,43),0)</f>
        <v/>
      </c>
      <c r="AU1248">
        <f>IFERROR(INDEX(PP_Grid[#Data],$DE1248,44),0)</f>
        <v/>
      </c>
      <c r="AV1248">
        <f>IFERROR(INDEX(PP_Grid[#Data],$DE1248,45),0)</f>
        <v/>
      </c>
      <c r="AW1248">
        <f>IFERROR(INDEX(PP_Grid[#Data],$DE1248,46),0)</f>
        <v/>
      </c>
      <c r="AX1248">
        <f>IFERROR(INDEX(PP_Grid[#Data],$DE1248,47),0)</f>
        <v/>
      </c>
      <c r="AY1248">
        <f>IFERROR(INDEX(PP_Grid[#Data],$DE1248,48),0)</f>
        <v/>
      </c>
      <c r="AZ1248">
        <f>IFERROR(INDEX(PP_Grid[#Data],$DE1248,49),0)</f>
        <v/>
      </c>
      <c r="BA1248">
        <f>IFERROR(INDEX(PP_Grid[#Data],$DE1248,50),0)</f>
        <v/>
      </c>
      <c r="BB1248">
        <f>IFERROR(INDEX(PP_Grid[#Data],$DE1248,51),0)</f>
        <v/>
      </c>
      <c r="BC1248">
        <f>IFERROR(INDEX(PP_Grid[#Data],$DE1248,52),0)</f>
        <v/>
      </c>
      <c r="BD1248">
        <f>IFERROR(INDEX(PP_Grid[#Data],$DE1248,53),0)</f>
        <v/>
      </c>
      <c r="BE1248">
        <f>IFERROR(INDEX(PP_Grid[#Data],$DE1248,54),0)</f>
        <v/>
      </c>
      <c r="BF1248">
        <f>IFERROR(INDEX(PP_Grid[#Data],$DE1248,55),0)</f>
        <v/>
      </c>
      <c r="BG1248">
        <f>IFERROR(INDEX(PP_Grid[#Data],$DE1248,56),0)</f>
        <v/>
      </c>
      <c r="BH1248">
        <f>IFERROR(INDEX(PP_Grid[#Data],$DE1248,57),0)</f>
        <v/>
      </c>
      <c r="BI1248">
        <f>IFERROR(INDEX(PP_Grid[#Data],$DE1248,58),0)</f>
        <v/>
      </c>
      <c r="BJ1248">
        <f>IFERROR(INDEX(PP_Grid[#Data],$DE1248,59),0)</f>
        <v/>
      </c>
      <c r="BK1248">
        <f>IFERROR(INDEX(PP_Grid[#Data],$DE1248,60),0)</f>
        <v/>
      </c>
      <c r="BL1248">
        <f>IFERROR(INDEX(PP_Grid[#Data],$DE1248,61),0)</f>
        <v/>
      </c>
      <c r="BM1248">
        <f>IFERROR(INDEX(PP_Grid[#Data],$DE1248,62),0)</f>
        <v/>
      </c>
      <c r="BN1248">
        <f>IFERROR(INDEX(PP_Grid[#Data],$DE1248,63),0)</f>
        <v/>
      </c>
      <c r="BO1248">
        <f>IFERROR(INDEX(PP_Grid[#Data],$DE1248,64),0)</f>
        <v/>
      </c>
      <c r="BP1248">
        <f>IFERROR(INDEX(PP_Grid[#Data],$DE1248,65),0)</f>
        <v/>
      </c>
      <c r="BQ1248">
        <f>IFERROR(INDEX(PP_Grid[#Data],$DE1248,66),0)</f>
        <v/>
      </c>
      <c r="BR1248">
        <f>IFERROR(INDEX(PP_Grid[#Data],$DE1248,67),0)</f>
        <v/>
      </c>
      <c r="BS1248">
        <f>IFERROR(INDEX(PP_Grid[#Data],$DE1248,68),0)</f>
        <v/>
      </c>
      <c r="BT1248">
        <f>IFERROR(INDEX(PP_Grid[#Data],$DE1248,69),0)</f>
        <v/>
      </c>
      <c r="BU1248">
        <f>IFERROR(INDEX(PP_Grid[#Data],$DE1248,70),0)</f>
        <v/>
      </c>
      <c r="BV1248">
        <f>IFERROR(INDEX(PP_Grid[#Data],$DE1248,71),0)</f>
        <v/>
      </c>
      <c r="BW1248">
        <f>IFERROR(INDEX(PP_Grid[#Data],$DE1248,72),0)</f>
        <v/>
      </c>
      <c r="BX1248">
        <f>IFERROR(INDEX(PP_Grid[#Data],$DE1248,73),0)</f>
        <v/>
      </c>
      <c r="BY1248">
        <f>IFERROR(INDEX(PP_Grid[#Data],$DE1248,74),0)</f>
        <v/>
      </c>
      <c r="BZ1248">
        <f>IFERROR(INDEX(PP_Grid[#Data],$DE1248,75),0)</f>
        <v/>
      </c>
      <c r="CA1248">
        <f>IFERROR(INDEX(PP_Grid[#Data],$DE1248,76),0)</f>
        <v/>
      </c>
      <c r="CB1248">
        <f>IFERROR(INDEX(PP_Grid[#Data],$DE1248,77),0)</f>
        <v/>
      </c>
      <c r="CC1248">
        <f>IFERROR(INDEX(PP_Grid[#Data],$DE1248,78),0)</f>
        <v/>
      </c>
      <c r="CD1248">
        <f>IFERROR(INDEX(PP_Grid[#Data],$DE1248,79),0)</f>
        <v/>
      </c>
      <c r="CE1248">
        <f>IFERROR(INDEX(PP_Grid[#Data],$DE1248,80),0)</f>
        <v/>
      </c>
      <c r="CF1248">
        <f>IFERROR(INDEX(PP_Grid[#Data],$DE1248,81),0)</f>
        <v/>
      </c>
      <c r="CG1248">
        <f>IFERROR(INDEX(PP_Grid[#Data],$DE1248,82),0)</f>
        <v/>
      </c>
      <c r="CH1248">
        <f>IFERROR(INDEX(PP_Grid[#Data],$DE1248,83),0)</f>
        <v/>
      </c>
      <c r="CI1248">
        <f>IFERROR(INDEX(PP_Grid[#Data],$DE1248,84),0)</f>
        <v/>
      </c>
      <c r="CJ1248">
        <f>IFERROR(INDEX(PP_Grid[#Data],$DE1248,85),0)</f>
        <v/>
      </c>
      <c r="CK1248">
        <f>IFERROR(INDEX(PP_Grid[#Data],$DE1248,86),0)</f>
        <v/>
      </c>
      <c r="CL1248">
        <f>IFERROR(INDEX(PP_Grid[#Data],$DE1248,87),0)</f>
        <v/>
      </c>
      <c r="CM1248">
        <f>IFERROR(INDEX(PP_Grid[#Data],$DE1248,88),0)</f>
        <v/>
      </c>
      <c r="CN1248">
        <f>IFERROR(INDEX(PP_Grid[#Data],$DE1248,89),0)</f>
        <v/>
      </c>
      <c r="CO1248">
        <f>IFERROR(INDEX(PP_Grid[#Data],$DE1248,90),0)</f>
        <v/>
      </c>
      <c r="CP1248">
        <f>IFERROR(INDEX(PP_Grid[#Data],$DE1248,91),0)</f>
        <v/>
      </c>
      <c r="CQ1248">
        <f>IFERROR(INDEX(PP_Grid[#Data],$DE1248,92),0)</f>
        <v/>
      </c>
      <c r="CR1248">
        <f>IFERROR(INDEX(PP_Grid[#Data],$DE1248,93),0)</f>
        <v/>
      </c>
      <c r="CS1248">
        <f>IFERROR(INDEX(PP_Grid[#Data],$DE1248,94),0)</f>
        <v/>
      </c>
      <c r="CT1248">
        <f>IFERROR(INDEX(PP_Grid[#Data],$DE1248,95),0)</f>
        <v/>
      </c>
      <c r="CU1248">
        <f>IFERROR(INDEX(PP_Grid[#Data],$DE1248,96),0)</f>
        <v/>
      </c>
      <c r="CV1248">
        <f>IFERROR(INDEX(PP_Grid[#Data],$DE1248,97),0)</f>
        <v/>
      </c>
      <c r="CW1248">
        <f>IFERROR(INDEX(PP_Grid[#Data],$DE1248,98),0)</f>
        <v/>
      </c>
      <c r="CX1248">
        <f>IFERROR(INDEX(PP_Grid[#Data],$DE1248,99),0)</f>
        <v/>
      </c>
      <c r="CY1248">
        <f>IFERROR(INDEX(PP_Grid[#Data],$DE1248,100),0)</f>
        <v/>
      </c>
      <c r="CZ1248">
        <f>IFERROR(INDEX(PP_Grid[#Data],$DE1248,101),0)</f>
        <v/>
      </c>
      <c r="DA1248">
        <f>IFERROR(INDEX(PP_Grid[#Data],$DE1248,102),0)</f>
        <v/>
      </c>
      <c r="DB1248">
        <f>IFERROR(INDEX(PP_Grid[#Data],$DE1248,103),0)</f>
        <v/>
      </c>
      <c r="DC1248">
        <f>IFERROR(INDEX(PP_Grid[#Data],$DE1248,104),0)</f>
        <v/>
      </c>
      <c r="DD1248">
        <f>IFERROR(INDEX(PP_Grid[#Data],$DE1248,105),0)</f>
        <v/>
      </c>
      <c r="DE1248" s="7">
        <f>IFERROR(MATCH($B1248,PP_Grid[Intermediate],0),99999)</f>
        <v/>
      </c>
    </row>
    <row r="1249">
      <c r="B1249" t="inlineStr">
        <is>
          <t>使用量(kg)</t>
        </is>
      </c>
      <c r="C1249">
        <f>SUMIFS(M_BOM[RM_Qty_Per_Batch],M_BOM[Intermediate],$B1248,M_BOM[RM_Code],$A1239)</f>
        <v/>
      </c>
      <c r="D1249">
        <f>IFERROR(INDEX(E1249:DD1249,$F$1),"")</f>
        <v/>
      </c>
      <c r="E1249">
        <f>$C1249*E1248</f>
        <v/>
      </c>
      <c r="F1249">
        <f>$C1249*F1248</f>
        <v/>
      </c>
      <c r="G1249">
        <f>$C1249*G1248</f>
        <v/>
      </c>
      <c r="H1249">
        <f>$C1249*H1248</f>
        <v/>
      </c>
      <c r="I1249">
        <f>$C1249*I1248</f>
        <v/>
      </c>
      <c r="J1249">
        <f>$C1249*J1248</f>
        <v/>
      </c>
      <c r="K1249">
        <f>$C1249*K1248</f>
        <v/>
      </c>
      <c r="L1249">
        <f>$C1249*L1248</f>
        <v/>
      </c>
      <c r="M1249">
        <f>$C1249*M1248</f>
        <v/>
      </c>
      <c r="N1249">
        <f>$C1249*N1248</f>
        <v/>
      </c>
      <c r="O1249">
        <f>$C1249*O1248</f>
        <v/>
      </c>
      <c r="P1249">
        <f>$C1249*P1248</f>
        <v/>
      </c>
      <c r="Q1249">
        <f>$C1249*Q1248</f>
        <v/>
      </c>
      <c r="R1249">
        <f>$C1249*R1248</f>
        <v/>
      </c>
      <c r="S1249">
        <f>$C1249*S1248</f>
        <v/>
      </c>
      <c r="T1249">
        <f>$C1249*T1248</f>
        <v/>
      </c>
      <c r="U1249">
        <f>$C1249*U1248</f>
        <v/>
      </c>
      <c r="V1249">
        <f>$C1249*V1248</f>
        <v/>
      </c>
      <c r="W1249">
        <f>$C1249*W1248</f>
        <v/>
      </c>
      <c r="X1249">
        <f>$C1249*X1248</f>
        <v/>
      </c>
      <c r="Y1249">
        <f>$C1249*Y1248</f>
        <v/>
      </c>
      <c r="Z1249">
        <f>$C1249*Z1248</f>
        <v/>
      </c>
      <c r="AA1249">
        <f>$C1249*AA1248</f>
        <v/>
      </c>
      <c r="AB1249">
        <f>$C1249*AB1248</f>
        <v/>
      </c>
      <c r="AC1249">
        <f>$C1249*AC1248</f>
        <v/>
      </c>
      <c r="AD1249">
        <f>$C1249*AD1248</f>
        <v/>
      </c>
      <c r="AE1249">
        <f>$C1249*AE1248</f>
        <v/>
      </c>
      <c r="AF1249">
        <f>$C1249*AF1248</f>
        <v/>
      </c>
      <c r="AG1249">
        <f>$C1249*AG1248</f>
        <v/>
      </c>
      <c r="AH1249">
        <f>$C1249*AH1248</f>
        <v/>
      </c>
      <c r="AI1249">
        <f>$C1249*AI1248</f>
        <v/>
      </c>
      <c r="AJ1249">
        <f>$C1249*AJ1248</f>
        <v/>
      </c>
      <c r="AK1249">
        <f>$C1249*AK1248</f>
        <v/>
      </c>
      <c r="AL1249">
        <f>$C1249*AL1248</f>
        <v/>
      </c>
      <c r="AM1249">
        <f>$C1249*AM1248</f>
        <v/>
      </c>
      <c r="AN1249">
        <f>$C1249*AN1248</f>
        <v/>
      </c>
      <c r="AO1249">
        <f>$C1249*AO1248</f>
        <v/>
      </c>
      <c r="AP1249">
        <f>$C1249*AP1248</f>
        <v/>
      </c>
      <c r="AQ1249">
        <f>$C1249*AQ1248</f>
        <v/>
      </c>
      <c r="AR1249">
        <f>$C1249*AR1248</f>
        <v/>
      </c>
      <c r="AS1249">
        <f>$C1249*AS1248</f>
        <v/>
      </c>
      <c r="AT1249">
        <f>$C1249*AT1248</f>
        <v/>
      </c>
      <c r="AU1249">
        <f>$C1249*AU1248</f>
        <v/>
      </c>
      <c r="AV1249">
        <f>$C1249*AV1248</f>
        <v/>
      </c>
      <c r="AW1249">
        <f>$C1249*AW1248</f>
        <v/>
      </c>
      <c r="AX1249">
        <f>$C1249*AX1248</f>
        <v/>
      </c>
      <c r="AY1249">
        <f>$C1249*AY1248</f>
        <v/>
      </c>
      <c r="AZ1249">
        <f>$C1249*AZ1248</f>
        <v/>
      </c>
      <c r="BA1249">
        <f>$C1249*BA1248</f>
        <v/>
      </c>
      <c r="BB1249">
        <f>$C1249*BB1248</f>
        <v/>
      </c>
      <c r="BC1249">
        <f>$C1249*BC1248</f>
        <v/>
      </c>
      <c r="BD1249">
        <f>$C1249*BD1248</f>
        <v/>
      </c>
      <c r="BE1249">
        <f>$C1249*BE1248</f>
        <v/>
      </c>
      <c r="BF1249">
        <f>$C1249*BF1248</f>
        <v/>
      </c>
      <c r="BG1249">
        <f>$C1249*BG1248</f>
        <v/>
      </c>
      <c r="BH1249">
        <f>$C1249*BH1248</f>
        <v/>
      </c>
      <c r="BI1249">
        <f>$C1249*BI1248</f>
        <v/>
      </c>
      <c r="BJ1249">
        <f>$C1249*BJ1248</f>
        <v/>
      </c>
      <c r="BK1249">
        <f>$C1249*BK1248</f>
        <v/>
      </c>
      <c r="BL1249">
        <f>$C1249*BL1248</f>
        <v/>
      </c>
      <c r="BM1249">
        <f>$C1249*BM1248</f>
        <v/>
      </c>
      <c r="BN1249">
        <f>$C1249*BN1248</f>
        <v/>
      </c>
      <c r="BO1249">
        <f>$C1249*BO1248</f>
        <v/>
      </c>
      <c r="BP1249">
        <f>$C1249*BP1248</f>
        <v/>
      </c>
      <c r="BQ1249">
        <f>$C1249*BQ1248</f>
        <v/>
      </c>
      <c r="BR1249">
        <f>$C1249*BR1248</f>
        <v/>
      </c>
      <c r="BS1249">
        <f>$C1249*BS1248</f>
        <v/>
      </c>
      <c r="BT1249">
        <f>$C1249*BT1248</f>
        <v/>
      </c>
      <c r="BU1249">
        <f>$C1249*BU1248</f>
        <v/>
      </c>
      <c r="BV1249">
        <f>$C1249*BV1248</f>
        <v/>
      </c>
      <c r="BW1249">
        <f>$C1249*BW1248</f>
        <v/>
      </c>
      <c r="BX1249">
        <f>$C1249*BX1248</f>
        <v/>
      </c>
      <c r="BY1249">
        <f>$C1249*BY1248</f>
        <v/>
      </c>
      <c r="BZ1249">
        <f>$C1249*BZ1248</f>
        <v/>
      </c>
      <c r="CA1249">
        <f>$C1249*CA1248</f>
        <v/>
      </c>
      <c r="CB1249">
        <f>$C1249*CB1248</f>
        <v/>
      </c>
      <c r="CC1249">
        <f>$C1249*CC1248</f>
        <v/>
      </c>
      <c r="CD1249">
        <f>$C1249*CD1248</f>
        <v/>
      </c>
      <c r="CE1249">
        <f>$C1249*CE1248</f>
        <v/>
      </c>
      <c r="CF1249">
        <f>$C1249*CF1248</f>
        <v/>
      </c>
      <c r="CG1249">
        <f>$C1249*CG1248</f>
        <v/>
      </c>
      <c r="CH1249">
        <f>$C1249*CH1248</f>
        <v/>
      </c>
      <c r="CI1249">
        <f>$C1249*CI1248</f>
        <v/>
      </c>
      <c r="CJ1249">
        <f>$C1249*CJ1248</f>
        <v/>
      </c>
      <c r="CK1249">
        <f>$C1249*CK1248</f>
        <v/>
      </c>
      <c r="CL1249">
        <f>$C1249*CL1248</f>
        <v/>
      </c>
      <c r="CM1249">
        <f>$C1249*CM1248</f>
        <v/>
      </c>
      <c r="CN1249">
        <f>$C1249*CN1248</f>
        <v/>
      </c>
      <c r="CO1249">
        <f>$C1249*CO1248</f>
        <v/>
      </c>
      <c r="CP1249">
        <f>$C1249*CP1248</f>
        <v/>
      </c>
      <c r="CQ1249">
        <f>$C1249*CQ1248</f>
        <v/>
      </c>
      <c r="CR1249">
        <f>$C1249*CR1248</f>
        <v/>
      </c>
      <c r="CS1249">
        <f>$C1249*CS1248</f>
        <v/>
      </c>
      <c r="CT1249">
        <f>$C1249*CT1248</f>
        <v/>
      </c>
      <c r="CU1249">
        <f>$C1249*CU1248</f>
        <v/>
      </c>
      <c r="CV1249">
        <f>$C1249*CV1248</f>
        <v/>
      </c>
      <c r="CW1249">
        <f>$C1249*CW1248</f>
        <v/>
      </c>
      <c r="CX1249">
        <f>$C1249*CX1248</f>
        <v/>
      </c>
      <c r="CY1249">
        <f>$C1249*CY1248</f>
        <v/>
      </c>
      <c r="CZ1249">
        <f>$C1249*CZ1248</f>
        <v/>
      </c>
      <c r="DA1249">
        <f>$C1249*DA1248</f>
        <v/>
      </c>
      <c r="DB1249">
        <f>$C1249*DB1248</f>
        <v/>
      </c>
      <c r="DC1249">
        <f>$C1249*DC1248</f>
        <v/>
      </c>
      <c r="DD1249">
        <f>$C1249*DD1248</f>
        <v/>
      </c>
    </row>
    <row r="1250">
      <c r="B1250" t="inlineStr">
        <is>
          <t>TSP-930</t>
        </is>
      </c>
      <c r="C1250" t="inlineStr">
        <is>
          <t>No. of batches</t>
        </is>
      </c>
      <c r="D1250">
        <f>IFERROR(INDEX(E1250:DD1250,$F$1),"")</f>
        <v/>
      </c>
      <c r="E1250">
        <f>IFERROR(INDEX(PP_Grid[#Data],$DE1250,2),0)</f>
        <v/>
      </c>
      <c r="F1250">
        <f>IFERROR(INDEX(PP_Grid[#Data],$DE1250,3),0)</f>
        <v/>
      </c>
      <c r="G1250">
        <f>IFERROR(INDEX(PP_Grid[#Data],$DE1250,4),0)</f>
        <v/>
      </c>
      <c r="H1250">
        <f>IFERROR(INDEX(PP_Grid[#Data],$DE1250,5),0)</f>
        <v/>
      </c>
      <c r="I1250">
        <f>IFERROR(INDEX(PP_Grid[#Data],$DE1250,6),0)</f>
        <v/>
      </c>
      <c r="J1250">
        <f>IFERROR(INDEX(PP_Grid[#Data],$DE1250,7),0)</f>
        <v/>
      </c>
      <c r="K1250">
        <f>IFERROR(INDEX(PP_Grid[#Data],$DE1250,8),0)</f>
        <v/>
      </c>
      <c r="L1250">
        <f>IFERROR(INDEX(PP_Grid[#Data],$DE1250,9),0)</f>
        <v/>
      </c>
      <c r="M1250">
        <f>IFERROR(INDEX(PP_Grid[#Data],$DE1250,10),0)</f>
        <v/>
      </c>
      <c r="N1250">
        <f>IFERROR(INDEX(PP_Grid[#Data],$DE1250,11),0)</f>
        <v/>
      </c>
      <c r="O1250">
        <f>IFERROR(INDEX(PP_Grid[#Data],$DE1250,12),0)</f>
        <v/>
      </c>
      <c r="P1250">
        <f>IFERROR(INDEX(PP_Grid[#Data],$DE1250,13),0)</f>
        <v/>
      </c>
      <c r="Q1250">
        <f>IFERROR(INDEX(PP_Grid[#Data],$DE1250,14),0)</f>
        <v/>
      </c>
      <c r="R1250">
        <f>IFERROR(INDEX(PP_Grid[#Data],$DE1250,15),0)</f>
        <v/>
      </c>
      <c r="S1250">
        <f>IFERROR(INDEX(PP_Grid[#Data],$DE1250,16),0)</f>
        <v/>
      </c>
      <c r="T1250">
        <f>IFERROR(INDEX(PP_Grid[#Data],$DE1250,17),0)</f>
        <v/>
      </c>
      <c r="U1250">
        <f>IFERROR(INDEX(PP_Grid[#Data],$DE1250,18),0)</f>
        <v/>
      </c>
      <c r="V1250">
        <f>IFERROR(INDEX(PP_Grid[#Data],$DE1250,19),0)</f>
        <v/>
      </c>
      <c r="W1250">
        <f>IFERROR(INDEX(PP_Grid[#Data],$DE1250,20),0)</f>
        <v/>
      </c>
      <c r="X1250">
        <f>IFERROR(INDEX(PP_Grid[#Data],$DE1250,21),0)</f>
        <v/>
      </c>
      <c r="Y1250">
        <f>IFERROR(INDEX(PP_Grid[#Data],$DE1250,22),0)</f>
        <v/>
      </c>
      <c r="Z1250">
        <f>IFERROR(INDEX(PP_Grid[#Data],$DE1250,23),0)</f>
        <v/>
      </c>
      <c r="AA1250">
        <f>IFERROR(INDEX(PP_Grid[#Data],$DE1250,24),0)</f>
        <v/>
      </c>
      <c r="AB1250">
        <f>IFERROR(INDEX(PP_Grid[#Data],$DE1250,25),0)</f>
        <v/>
      </c>
      <c r="AC1250">
        <f>IFERROR(INDEX(PP_Grid[#Data],$DE1250,26),0)</f>
        <v/>
      </c>
      <c r="AD1250">
        <f>IFERROR(INDEX(PP_Grid[#Data],$DE1250,27),0)</f>
        <v/>
      </c>
      <c r="AE1250">
        <f>IFERROR(INDEX(PP_Grid[#Data],$DE1250,28),0)</f>
        <v/>
      </c>
      <c r="AF1250">
        <f>IFERROR(INDEX(PP_Grid[#Data],$DE1250,29),0)</f>
        <v/>
      </c>
      <c r="AG1250">
        <f>IFERROR(INDEX(PP_Grid[#Data],$DE1250,30),0)</f>
        <v/>
      </c>
      <c r="AH1250">
        <f>IFERROR(INDEX(PP_Grid[#Data],$DE1250,31),0)</f>
        <v/>
      </c>
      <c r="AI1250">
        <f>IFERROR(INDEX(PP_Grid[#Data],$DE1250,32),0)</f>
        <v/>
      </c>
      <c r="AJ1250">
        <f>IFERROR(INDEX(PP_Grid[#Data],$DE1250,33),0)</f>
        <v/>
      </c>
      <c r="AK1250">
        <f>IFERROR(INDEX(PP_Grid[#Data],$DE1250,34),0)</f>
        <v/>
      </c>
      <c r="AL1250">
        <f>IFERROR(INDEX(PP_Grid[#Data],$DE1250,35),0)</f>
        <v/>
      </c>
      <c r="AM1250">
        <f>IFERROR(INDEX(PP_Grid[#Data],$DE1250,36),0)</f>
        <v/>
      </c>
      <c r="AN1250">
        <f>IFERROR(INDEX(PP_Grid[#Data],$DE1250,37),0)</f>
        <v/>
      </c>
      <c r="AO1250">
        <f>IFERROR(INDEX(PP_Grid[#Data],$DE1250,38),0)</f>
        <v/>
      </c>
      <c r="AP1250">
        <f>IFERROR(INDEX(PP_Grid[#Data],$DE1250,39),0)</f>
        <v/>
      </c>
      <c r="AQ1250">
        <f>IFERROR(INDEX(PP_Grid[#Data],$DE1250,40),0)</f>
        <v/>
      </c>
      <c r="AR1250">
        <f>IFERROR(INDEX(PP_Grid[#Data],$DE1250,41),0)</f>
        <v/>
      </c>
      <c r="AS1250">
        <f>IFERROR(INDEX(PP_Grid[#Data],$DE1250,42),0)</f>
        <v/>
      </c>
      <c r="AT1250">
        <f>IFERROR(INDEX(PP_Grid[#Data],$DE1250,43),0)</f>
        <v/>
      </c>
      <c r="AU1250">
        <f>IFERROR(INDEX(PP_Grid[#Data],$DE1250,44),0)</f>
        <v/>
      </c>
      <c r="AV1250">
        <f>IFERROR(INDEX(PP_Grid[#Data],$DE1250,45),0)</f>
        <v/>
      </c>
      <c r="AW1250">
        <f>IFERROR(INDEX(PP_Grid[#Data],$DE1250,46),0)</f>
        <v/>
      </c>
      <c r="AX1250">
        <f>IFERROR(INDEX(PP_Grid[#Data],$DE1250,47),0)</f>
        <v/>
      </c>
      <c r="AY1250">
        <f>IFERROR(INDEX(PP_Grid[#Data],$DE1250,48),0)</f>
        <v/>
      </c>
      <c r="AZ1250">
        <f>IFERROR(INDEX(PP_Grid[#Data],$DE1250,49),0)</f>
        <v/>
      </c>
      <c r="BA1250">
        <f>IFERROR(INDEX(PP_Grid[#Data],$DE1250,50),0)</f>
        <v/>
      </c>
      <c r="BB1250">
        <f>IFERROR(INDEX(PP_Grid[#Data],$DE1250,51),0)</f>
        <v/>
      </c>
      <c r="BC1250">
        <f>IFERROR(INDEX(PP_Grid[#Data],$DE1250,52),0)</f>
        <v/>
      </c>
      <c r="BD1250">
        <f>IFERROR(INDEX(PP_Grid[#Data],$DE1250,53),0)</f>
        <v/>
      </c>
      <c r="BE1250">
        <f>IFERROR(INDEX(PP_Grid[#Data],$DE1250,54),0)</f>
        <v/>
      </c>
      <c r="BF1250">
        <f>IFERROR(INDEX(PP_Grid[#Data],$DE1250,55),0)</f>
        <v/>
      </c>
      <c r="BG1250">
        <f>IFERROR(INDEX(PP_Grid[#Data],$DE1250,56),0)</f>
        <v/>
      </c>
      <c r="BH1250">
        <f>IFERROR(INDEX(PP_Grid[#Data],$DE1250,57),0)</f>
        <v/>
      </c>
      <c r="BI1250">
        <f>IFERROR(INDEX(PP_Grid[#Data],$DE1250,58),0)</f>
        <v/>
      </c>
      <c r="BJ1250">
        <f>IFERROR(INDEX(PP_Grid[#Data],$DE1250,59),0)</f>
        <v/>
      </c>
      <c r="BK1250">
        <f>IFERROR(INDEX(PP_Grid[#Data],$DE1250,60),0)</f>
        <v/>
      </c>
      <c r="BL1250">
        <f>IFERROR(INDEX(PP_Grid[#Data],$DE1250,61),0)</f>
        <v/>
      </c>
      <c r="BM1250">
        <f>IFERROR(INDEX(PP_Grid[#Data],$DE1250,62),0)</f>
        <v/>
      </c>
      <c r="BN1250">
        <f>IFERROR(INDEX(PP_Grid[#Data],$DE1250,63),0)</f>
        <v/>
      </c>
      <c r="BO1250">
        <f>IFERROR(INDEX(PP_Grid[#Data],$DE1250,64),0)</f>
        <v/>
      </c>
      <c r="BP1250">
        <f>IFERROR(INDEX(PP_Grid[#Data],$DE1250,65),0)</f>
        <v/>
      </c>
      <c r="BQ1250">
        <f>IFERROR(INDEX(PP_Grid[#Data],$DE1250,66),0)</f>
        <v/>
      </c>
      <c r="BR1250">
        <f>IFERROR(INDEX(PP_Grid[#Data],$DE1250,67),0)</f>
        <v/>
      </c>
      <c r="BS1250">
        <f>IFERROR(INDEX(PP_Grid[#Data],$DE1250,68),0)</f>
        <v/>
      </c>
      <c r="BT1250">
        <f>IFERROR(INDEX(PP_Grid[#Data],$DE1250,69),0)</f>
        <v/>
      </c>
      <c r="BU1250">
        <f>IFERROR(INDEX(PP_Grid[#Data],$DE1250,70),0)</f>
        <v/>
      </c>
      <c r="BV1250">
        <f>IFERROR(INDEX(PP_Grid[#Data],$DE1250,71),0)</f>
        <v/>
      </c>
      <c r="BW1250">
        <f>IFERROR(INDEX(PP_Grid[#Data],$DE1250,72),0)</f>
        <v/>
      </c>
      <c r="BX1250">
        <f>IFERROR(INDEX(PP_Grid[#Data],$DE1250,73),0)</f>
        <v/>
      </c>
      <c r="BY1250">
        <f>IFERROR(INDEX(PP_Grid[#Data],$DE1250,74),0)</f>
        <v/>
      </c>
      <c r="BZ1250">
        <f>IFERROR(INDEX(PP_Grid[#Data],$DE1250,75),0)</f>
        <v/>
      </c>
      <c r="CA1250">
        <f>IFERROR(INDEX(PP_Grid[#Data],$DE1250,76),0)</f>
        <v/>
      </c>
      <c r="CB1250">
        <f>IFERROR(INDEX(PP_Grid[#Data],$DE1250,77),0)</f>
        <v/>
      </c>
      <c r="CC1250">
        <f>IFERROR(INDEX(PP_Grid[#Data],$DE1250,78),0)</f>
        <v/>
      </c>
      <c r="CD1250">
        <f>IFERROR(INDEX(PP_Grid[#Data],$DE1250,79),0)</f>
        <v/>
      </c>
      <c r="CE1250">
        <f>IFERROR(INDEX(PP_Grid[#Data],$DE1250,80),0)</f>
        <v/>
      </c>
      <c r="CF1250">
        <f>IFERROR(INDEX(PP_Grid[#Data],$DE1250,81),0)</f>
        <v/>
      </c>
      <c r="CG1250">
        <f>IFERROR(INDEX(PP_Grid[#Data],$DE1250,82),0)</f>
        <v/>
      </c>
      <c r="CH1250">
        <f>IFERROR(INDEX(PP_Grid[#Data],$DE1250,83),0)</f>
        <v/>
      </c>
      <c r="CI1250">
        <f>IFERROR(INDEX(PP_Grid[#Data],$DE1250,84),0)</f>
        <v/>
      </c>
      <c r="CJ1250">
        <f>IFERROR(INDEX(PP_Grid[#Data],$DE1250,85),0)</f>
        <v/>
      </c>
      <c r="CK1250">
        <f>IFERROR(INDEX(PP_Grid[#Data],$DE1250,86),0)</f>
        <v/>
      </c>
      <c r="CL1250">
        <f>IFERROR(INDEX(PP_Grid[#Data],$DE1250,87),0)</f>
        <v/>
      </c>
      <c r="CM1250">
        <f>IFERROR(INDEX(PP_Grid[#Data],$DE1250,88),0)</f>
        <v/>
      </c>
      <c r="CN1250">
        <f>IFERROR(INDEX(PP_Grid[#Data],$DE1250,89),0)</f>
        <v/>
      </c>
      <c r="CO1250">
        <f>IFERROR(INDEX(PP_Grid[#Data],$DE1250,90),0)</f>
        <v/>
      </c>
      <c r="CP1250">
        <f>IFERROR(INDEX(PP_Grid[#Data],$DE1250,91),0)</f>
        <v/>
      </c>
      <c r="CQ1250">
        <f>IFERROR(INDEX(PP_Grid[#Data],$DE1250,92),0)</f>
        <v/>
      </c>
      <c r="CR1250">
        <f>IFERROR(INDEX(PP_Grid[#Data],$DE1250,93),0)</f>
        <v/>
      </c>
      <c r="CS1250">
        <f>IFERROR(INDEX(PP_Grid[#Data],$DE1250,94),0)</f>
        <v/>
      </c>
      <c r="CT1250">
        <f>IFERROR(INDEX(PP_Grid[#Data],$DE1250,95),0)</f>
        <v/>
      </c>
      <c r="CU1250">
        <f>IFERROR(INDEX(PP_Grid[#Data],$DE1250,96),0)</f>
        <v/>
      </c>
      <c r="CV1250">
        <f>IFERROR(INDEX(PP_Grid[#Data],$DE1250,97),0)</f>
        <v/>
      </c>
      <c r="CW1250">
        <f>IFERROR(INDEX(PP_Grid[#Data],$DE1250,98),0)</f>
        <v/>
      </c>
      <c r="CX1250">
        <f>IFERROR(INDEX(PP_Grid[#Data],$DE1250,99),0)</f>
        <v/>
      </c>
      <c r="CY1250">
        <f>IFERROR(INDEX(PP_Grid[#Data],$DE1250,100),0)</f>
        <v/>
      </c>
      <c r="CZ1250">
        <f>IFERROR(INDEX(PP_Grid[#Data],$DE1250,101),0)</f>
        <v/>
      </c>
      <c r="DA1250">
        <f>IFERROR(INDEX(PP_Grid[#Data],$DE1250,102),0)</f>
        <v/>
      </c>
      <c r="DB1250">
        <f>IFERROR(INDEX(PP_Grid[#Data],$DE1250,103),0)</f>
        <v/>
      </c>
      <c r="DC1250">
        <f>IFERROR(INDEX(PP_Grid[#Data],$DE1250,104),0)</f>
        <v/>
      </c>
      <c r="DD1250">
        <f>IFERROR(INDEX(PP_Grid[#Data],$DE1250,105),0)</f>
        <v/>
      </c>
      <c r="DE1250" s="7">
        <f>IFERROR(MATCH($B1250,PP_Grid[Intermediate],0),99999)</f>
        <v/>
      </c>
    </row>
    <row r="1251">
      <c r="B1251" t="inlineStr">
        <is>
          <t>使用量(kg)</t>
        </is>
      </c>
      <c r="C1251">
        <f>SUMIFS(M_BOM[RM_Qty_Per_Batch],M_BOM[Intermediate],$B1250,M_BOM[RM_Code],$A1239)</f>
        <v/>
      </c>
      <c r="D1251">
        <f>IFERROR(INDEX(E1251:DD1251,$F$1),"")</f>
        <v/>
      </c>
      <c r="E1251">
        <f>$C1251*E1250</f>
        <v/>
      </c>
      <c r="F1251">
        <f>$C1251*F1250</f>
        <v/>
      </c>
      <c r="G1251">
        <f>$C1251*G1250</f>
        <v/>
      </c>
      <c r="H1251">
        <f>$C1251*H1250</f>
        <v/>
      </c>
      <c r="I1251">
        <f>$C1251*I1250</f>
        <v/>
      </c>
      <c r="J1251">
        <f>$C1251*J1250</f>
        <v/>
      </c>
      <c r="K1251">
        <f>$C1251*K1250</f>
        <v/>
      </c>
      <c r="L1251">
        <f>$C1251*L1250</f>
        <v/>
      </c>
      <c r="M1251">
        <f>$C1251*M1250</f>
        <v/>
      </c>
      <c r="N1251">
        <f>$C1251*N1250</f>
        <v/>
      </c>
      <c r="O1251">
        <f>$C1251*O1250</f>
        <v/>
      </c>
      <c r="P1251">
        <f>$C1251*P1250</f>
        <v/>
      </c>
      <c r="Q1251">
        <f>$C1251*Q1250</f>
        <v/>
      </c>
      <c r="R1251">
        <f>$C1251*R1250</f>
        <v/>
      </c>
      <c r="S1251">
        <f>$C1251*S1250</f>
        <v/>
      </c>
      <c r="T1251">
        <f>$C1251*T1250</f>
        <v/>
      </c>
      <c r="U1251">
        <f>$C1251*U1250</f>
        <v/>
      </c>
      <c r="V1251">
        <f>$C1251*V1250</f>
        <v/>
      </c>
      <c r="W1251">
        <f>$C1251*W1250</f>
        <v/>
      </c>
      <c r="X1251">
        <f>$C1251*X1250</f>
        <v/>
      </c>
      <c r="Y1251">
        <f>$C1251*Y1250</f>
        <v/>
      </c>
      <c r="Z1251">
        <f>$C1251*Z1250</f>
        <v/>
      </c>
      <c r="AA1251">
        <f>$C1251*AA1250</f>
        <v/>
      </c>
      <c r="AB1251">
        <f>$C1251*AB1250</f>
        <v/>
      </c>
      <c r="AC1251">
        <f>$C1251*AC1250</f>
        <v/>
      </c>
      <c r="AD1251">
        <f>$C1251*AD1250</f>
        <v/>
      </c>
      <c r="AE1251">
        <f>$C1251*AE1250</f>
        <v/>
      </c>
      <c r="AF1251">
        <f>$C1251*AF1250</f>
        <v/>
      </c>
      <c r="AG1251">
        <f>$C1251*AG1250</f>
        <v/>
      </c>
      <c r="AH1251">
        <f>$C1251*AH1250</f>
        <v/>
      </c>
      <c r="AI1251">
        <f>$C1251*AI1250</f>
        <v/>
      </c>
      <c r="AJ1251">
        <f>$C1251*AJ1250</f>
        <v/>
      </c>
      <c r="AK1251">
        <f>$C1251*AK1250</f>
        <v/>
      </c>
      <c r="AL1251">
        <f>$C1251*AL1250</f>
        <v/>
      </c>
      <c r="AM1251">
        <f>$C1251*AM1250</f>
        <v/>
      </c>
      <c r="AN1251">
        <f>$C1251*AN1250</f>
        <v/>
      </c>
      <c r="AO1251">
        <f>$C1251*AO1250</f>
        <v/>
      </c>
      <c r="AP1251">
        <f>$C1251*AP1250</f>
        <v/>
      </c>
      <c r="AQ1251">
        <f>$C1251*AQ1250</f>
        <v/>
      </c>
      <c r="AR1251">
        <f>$C1251*AR1250</f>
        <v/>
      </c>
      <c r="AS1251">
        <f>$C1251*AS1250</f>
        <v/>
      </c>
      <c r="AT1251">
        <f>$C1251*AT1250</f>
        <v/>
      </c>
      <c r="AU1251">
        <f>$C1251*AU1250</f>
        <v/>
      </c>
      <c r="AV1251">
        <f>$C1251*AV1250</f>
        <v/>
      </c>
      <c r="AW1251">
        <f>$C1251*AW1250</f>
        <v/>
      </c>
      <c r="AX1251">
        <f>$C1251*AX1250</f>
        <v/>
      </c>
      <c r="AY1251">
        <f>$C1251*AY1250</f>
        <v/>
      </c>
      <c r="AZ1251">
        <f>$C1251*AZ1250</f>
        <v/>
      </c>
      <c r="BA1251">
        <f>$C1251*BA1250</f>
        <v/>
      </c>
      <c r="BB1251">
        <f>$C1251*BB1250</f>
        <v/>
      </c>
      <c r="BC1251">
        <f>$C1251*BC1250</f>
        <v/>
      </c>
      <c r="BD1251">
        <f>$C1251*BD1250</f>
        <v/>
      </c>
      <c r="BE1251">
        <f>$C1251*BE1250</f>
        <v/>
      </c>
      <c r="BF1251">
        <f>$C1251*BF1250</f>
        <v/>
      </c>
      <c r="BG1251">
        <f>$C1251*BG1250</f>
        <v/>
      </c>
      <c r="BH1251">
        <f>$C1251*BH1250</f>
        <v/>
      </c>
      <c r="BI1251">
        <f>$C1251*BI1250</f>
        <v/>
      </c>
      <c r="BJ1251">
        <f>$C1251*BJ1250</f>
        <v/>
      </c>
      <c r="BK1251">
        <f>$C1251*BK1250</f>
        <v/>
      </c>
      <c r="BL1251">
        <f>$C1251*BL1250</f>
        <v/>
      </c>
      <c r="BM1251">
        <f>$C1251*BM1250</f>
        <v/>
      </c>
      <c r="BN1251">
        <f>$C1251*BN1250</f>
        <v/>
      </c>
      <c r="BO1251">
        <f>$C1251*BO1250</f>
        <v/>
      </c>
      <c r="BP1251">
        <f>$C1251*BP1250</f>
        <v/>
      </c>
      <c r="BQ1251">
        <f>$C1251*BQ1250</f>
        <v/>
      </c>
      <c r="BR1251">
        <f>$C1251*BR1250</f>
        <v/>
      </c>
      <c r="BS1251">
        <f>$C1251*BS1250</f>
        <v/>
      </c>
      <c r="BT1251">
        <f>$C1251*BT1250</f>
        <v/>
      </c>
      <c r="BU1251">
        <f>$C1251*BU1250</f>
        <v/>
      </c>
      <c r="BV1251">
        <f>$C1251*BV1250</f>
        <v/>
      </c>
      <c r="BW1251">
        <f>$C1251*BW1250</f>
        <v/>
      </c>
      <c r="BX1251">
        <f>$C1251*BX1250</f>
        <v/>
      </c>
      <c r="BY1251">
        <f>$C1251*BY1250</f>
        <v/>
      </c>
      <c r="BZ1251">
        <f>$C1251*BZ1250</f>
        <v/>
      </c>
      <c r="CA1251">
        <f>$C1251*CA1250</f>
        <v/>
      </c>
      <c r="CB1251">
        <f>$C1251*CB1250</f>
        <v/>
      </c>
      <c r="CC1251">
        <f>$C1251*CC1250</f>
        <v/>
      </c>
      <c r="CD1251">
        <f>$C1251*CD1250</f>
        <v/>
      </c>
      <c r="CE1251">
        <f>$C1251*CE1250</f>
        <v/>
      </c>
      <c r="CF1251">
        <f>$C1251*CF1250</f>
        <v/>
      </c>
      <c r="CG1251">
        <f>$C1251*CG1250</f>
        <v/>
      </c>
      <c r="CH1251">
        <f>$C1251*CH1250</f>
        <v/>
      </c>
      <c r="CI1251">
        <f>$C1251*CI1250</f>
        <v/>
      </c>
      <c r="CJ1251">
        <f>$C1251*CJ1250</f>
        <v/>
      </c>
      <c r="CK1251">
        <f>$C1251*CK1250</f>
        <v/>
      </c>
      <c r="CL1251">
        <f>$C1251*CL1250</f>
        <v/>
      </c>
      <c r="CM1251">
        <f>$C1251*CM1250</f>
        <v/>
      </c>
      <c r="CN1251">
        <f>$C1251*CN1250</f>
        <v/>
      </c>
      <c r="CO1251">
        <f>$C1251*CO1250</f>
        <v/>
      </c>
      <c r="CP1251">
        <f>$C1251*CP1250</f>
        <v/>
      </c>
      <c r="CQ1251">
        <f>$C1251*CQ1250</f>
        <v/>
      </c>
      <c r="CR1251">
        <f>$C1251*CR1250</f>
        <v/>
      </c>
      <c r="CS1251">
        <f>$C1251*CS1250</f>
        <v/>
      </c>
      <c r="CT1251">
        <f>$C1251*CT1250</f>
        <v/>
      </c>
      <c r="CU1251">
        <f>$C1251*CU1250</f>
        <v/>
      </c>
      <c r="CV1251">
        <f>$C1251*CV1250</f>
        <v/>
      </c>
      <c r="CW1251">
        <f>$C1251*CW1250</f>
        <v/>
      </c>
      <c r="CX1251">
        <f>$C1251*CX1250</f>
        <v/>
      </c>
      <c r="CY1251">
        <f>$C1251*CY1250</f>
        <v/>
      </c>
      <c r="CZ1251">
        <f>$C1251*CZ1250</f>
        <v/>
      </c>
      <c r="DA1251">
        <f>$C1251*DA1250</f>
        <v/>
      </c>
      <c r="DB1251">
        <f>$C1251*DB1250</f>
        <v/>
      </c>
      <c r="DC1251">
        <f>$C1251*DC1250</f>
        <v/>
      </c>
      <c r="DD1251">
        <f>$C1251*DD1250</f>
        <v/>
      </c>
    </row>
    <row r="1252">
      <c r="B1252" t="inlineStr">
        <is>
          <t>TSP-934</t>
        </is>
      </c>
      <c r="C1252" t="inlineStr">
        <is>
          <t>No. of batches</t>
        </is>
      </c>
      <c r="D1252">
        <f>IFERROR(INDEX(E1252:DD1252,$F$1),"")</f>
        <v/>
      </c>
      <c r="E1252">
        <f>IFERROR(INDEX(PP_Grid[#Data],$DE1252,2),0)</f>
        <v/>
      </c>
      <c r="F1252">
        <f>IFERROR(INDEX(PP_Grid[#Data],$DE1252,3),0)</f>
        <v/>
      </c>
      <c r="G1252">
        <f>IFERROR(INDEX(PP_Grid[#Data],$DE1252,4),0)</f>
        <v/>
      </c>
      <c r="H1252">
        <f>IFERROR(INDEX(PP_Grid[#Data],$DE1252,5),0)</f>
        <v/>
      </c>
      <c r="I1252">
        <f>IFERROR(INDEX(PP_Grid[#Data],$DE1252,6),0)</f>
        <v/>
      </c>
      <c r="J1252">
        <f>IFERROR(INDEX(PP_Grid[#Data],$DE1252,7),0)</f>
        <v/>
      </c>
      <c r="K1252">
        <f>IFERROR(INDEX(PP_Grid[#Data],$DE1252,8),0)</f>
        <v/>
      </c>
      <c r="L1252">
        <f>IFERROR(INDEX(PP_Grid[#Data],$DE1252,9),0)</f>
        <v/>
      </c>
      <c r="M1252">
        <f>IFERROR(INDEX(PP_Grid[#Data],$DE1252,10),0)</f>
        <v/>
      </c>
      <c r="N1252">
        <f>IFERROR(INDEX(PP_Grid[#Data],$DE1252,11),0)</f>
        <v/>
      </c>
      <c r="O1252">
        <f>IFERROR(INDEX(PP_Grid[#Data],$DE1252,12),0)</f>
        <v/>
      </c>
      <c r="P1252">
        <f>IFERROR(INDEX(PP_Grid[#Data],$DE1252,13),0)</f>
        <v/>
      </c>
      <c r="Q1252">
        <f>IFERROR(INDEX(PP_Grid[#Data],$DE1252,14),0)</f>
        <v/>
      </c>
      <c r="R1252">
        <f>IFERROR(INDEX(PP_Grid[#Data],$DE1252,15),0)</f>
        <v/>
      </c>
      <c r="S1252">
        <f>IFERROR(INDEX(PP_Grid[#Data],$DE1252,16),0)</f>
        <v/>
      </c>
      <c r="T1252">
        <f>IFERROR(INDEX(PP_Grid[#Data],$DE1252,17),0)</f>
        <v/>
      </c>
      <c r="U1252">
        <f>IFERROR(INDEX(PP_Grid[#Data],$DE1252,18),0)</f>
        <v/>
      </c>
      <c r="V1252">
        <f>IFERROR(INDEX(PP_Grid[#Data],$DE1252,19),0)</f>
        <v/>
      </c>
      <c r="W1252">
        <f>IFERROR(INDEX(PP_Grid[#Data],$DE1252,20),0)</f>
        <v/>
      </c>
      <c r="X1252">
        <f>IFERROR(INDEX(PP_Grid[#Data],$DE1252,21),0)</f>
        <v/>
      </c>
      <c r="Y1252">
        <f>IFERROR(INDEX(PP_Grid[#Data],$DE1252,22),0)</f>
        <v/>
      </c>
      <c r="Z1252">
        <f>IFERROR(INDEX(PP_Grid[#Data],$DE1252,23),0)</f>
        <v/>
      </c>
      <c r="AA1252">
        <f>IFERROR(INDEX(PP_Grid[#Data],$DE1252,24),0)</f>
        <v/>
      </c>
      <c r="AB1252">
        <f>IFERROR(INDEX(PP_Grid[#Data],$DE1252,25),0)</f>
        <v/>
      </c>
      <c r="AC1252">
        <f>IFERROR(INDEX(PP_Grid[#Data],$DE1252,26),0)</f>
        <v/>
      </c>
      <c r="AD1252">
        <f>IFERROR(INDEX(PP_Grid[#Data],$DE1252,27),0)</f>
        <v/>
      </c>
      <c r="AE1252">
        <f>IFERROR(INDEX(PP_Grid[#Data],$DE1252,28),0)</f>
        <v/>
      </c>
      <c r="AF1252">
        <f>IFERROR(INDEX(PP_Grid[#Data],$DE1252,29),0)</f>
        <v/>
      </c>
      <c r="AG1252">
        <f>IFERROR(INDEX(PP_Grid[#Data],$DE1252,30),0)</f>
        <v/>
      </c>
      <c r="AH1252">
        <f>IFERROR(INDEX(PP_Grid[#Data],$DE1252,31),0)</f>
        <v/>
      </c>
      <c r="AI1252">
        <f>IFERROR(INDEX(PP_Grid[#Data],$DE1252,32),0)</f>
        <v/>
      </c>
      <c r="AJ1252">
        <f>IFERROR(INDEX(PP_Grid[#Data],$DE1252,33),0)</f>
        <v/>
      </c>
      <c r="AK1252">
        <f>IFERROR(INDEX(PP_Grid[#Data],$DE1252,34),0)</f>
        <v/>
      </c>
      <c r="AL1252">
        <f>IFERROR(INDEX(PP_Grid[#Data],$DE1252,35),0)</f>
        <v/>
      </c>
      <c r="AM1252">
        <f>IFERROR(INDEX(PP_Grid[#Data],$DE1252,36),0)</f>
        <v/>
      </c>
      <c r="AN1252">
        <f>IFERROR(INDEX(PP_Grid[#Data],$DE1252,37),0)</f>
        <v/>
      </c>
      <c r="AO1252">
        <f>IFERROR(INDEX(PP_Grid[#Data],$DE1252,38),0)</f>
        <v/>
      </c>
      <c r="AP1252">
        <f>IFERROR(INDEX(PP_Grid[#Data],$DE1252,39),0)</f>
        <v/>
      </c>
      <c r="AQ1252">
        <f>IFERROR(INDEX(PP_Grid[#Data],$DE1252,40),0)</f>
        <v/>
      </c>
      <c r="AR1252">
        <f>IFERROR(INDEX(PP_Grid[#Data],$DE1252,41),0)</f>
        <v/>
      </c>
      <c r="AS1252">
        <f>IFERROR(INDEX(PP_Grid[#Data],$DE1252,42),0)</f>
        <v/>
      </c>
      <c r="AT1252">
        <f>IFERROR(INDEX(PP_Grid[#Data],$DE1252,43),0)</f>
        <v/>
      </c>
      <c r="AU1252">
        <f>IFERROR(INDEX(PP_Grid[#Data],$DE1252,44),0)</f>
        <v/>
      </c>
      <c r="AV1252">
        <f>IFERROR(INDEX(PP_Grid[#Data],$DE1252,45),0)</f>
        <v/>
      </c>
      <c r="AW1252">
        <f>IFERROR(INDEX(PP_Grid[#Data],$DE1252,46),0)</f>
        <v/>
      </c>
      <c r="AX1252">
        <f>IFERROR(INDEX(PP_Grid[#Data],$DE1252,47),0)</f>
        <v/>
      </c>
      <c r="AY1252">
        <f>IFERROR(INDEX(PP_Grid[#Data],$DE1252,48),0)</f>
        <v/>
      </c>
      <c r="AZ1252">
        <f>IFERROR(INDEX(PP_Grid[#Data],$DE1252,49),0)</f>
        <v/>
      </c>
      <c r="BA1252">
        <f>IFERROR(INDEX(PP_Grid[#Data],$DE1252,50),0)</f>
        <v/>
      </c>
      <c r="BB1252">
        <f>IFERROR(INDEX(PP_Grid[#Data],$DE1252,51),0)</f>
        <v/>
      </c>
      <c r="BC1252">
        <f>IFERROR(INDEX(PP_Grid[#Data],$DE1252,52),0)</f>
        <v/>
      </c>
      <c r="BD1252">
        <f>IFERROR(INDEX(PP_Grid[#Data],$DE1252,53),0)</f>
        <v/>
      </c>
      <c r="BE1252">
        <f>IFERROR(INDEX(PP_Grid[#Data],$DE1252,54),0)</f>
        <v/>
      </c>
      <c r="BF1252">
        <f>IFERROR(INDEX(PP_Grid[#Data],$DE1252,55),0)</f>
        <v/>
      </c>
      <c r="BG1252">
        <f>IFERROR(INDEX(PP_Grid[#Data],$DE1252,56),0)</f>
        <v/>
      </c>
      <c r="BH1252">
        <f>IFERROR(INDEX(PP_Grid[#Data],$DE1252,57),0)</f>
        <v/>
      </c>
      <c r="BI1252">
        <f>IFERROR(INDEX(PP_Grid[#Data],$DE1252,58),0)</f>
        <v/>
      </c>
      <c r="BJ1252">
        <f>IFERROR(INDEX(PP_Grid[#Data],$DE1252,59),0)</f>
        <v/>
      </c>
      <c r="BK1252">
        <f>IFERROR(INDEX(PP_Grid[#Data],$DE1252,60),0)</f>
        <v/>
      </c>
      <c r="BL1252">
        <f>IFERROR(INDEX(PP_Grid[#Data],$DE1252,61),0)</f>
        <v/>
      </c>
      <c r="BM1252">
        <f>IFERROR(INDEX(PP_Grid[#Data],$DE1252,62),0)</f>
        <v/>
      </c>
      <c r="BN1252">
        <f>IFERROR(INDEX(PP_Grid[#Data],$DE1252,63),0)</f>
        <v/>
      </c>
      <c r="BO1252">
        <f>IFERROR(INDEX(PP_Grid[#Data],$DE1252,64),0)</f>
        <v/>
      </c>
      <c r="BP1252">
        <f>IFERROR(INDEX(PP_Grid[#Data],$DE1252,65),0)</f>
        <v/>
      </c>
      <c r="BQ1252">
        <f>IFERROR(INDEX(PP_Grid[#Data],$DE1252,66),0)</f>
        <v/>
      </c>
      <c r="BR1252">
        <f>IFERROR(INDEX(PP_Grid[#Data],$DE1252,67),0)</f>
        <v/>
      </c>
      <c r="BS1252">
        <f>IFERROR(INDEX(PP_Grid[#Data],$DE1252,68),0)</f>
        <v/>
      </c>
      <c r="BT1252">
        <f>IFERROR(INDEX(PP_Grid[#Data],$DE1252,69),0)</f>
        <v/>
      </c>
      <c r="BU1252">
        <f>IFERROR(INDEX(PP_Grid[#Data],$DE1252,70),0)</f>
        <v/>
      </c>
      <c r="BV1252">
        <f>IFERROR(INDEX(PP_Grid[#Data],$DE1252,71),0)</f>
        <v/>
      </c>
      <c r="BW1252">
        <f>IFERROR(INDEX(PP_Grid[#Data],$DE1252,72),0)</f>
        <v/>
      </c>
      <c r="BX1252">
        <f>IFERROR(INDEX(PP_Grid[#Data],$DE1252,73),0)</f>
        <v/>
      </c>
      <c r="BY1252">
        <f>IFERROR(INDEX(PP_Grid[#Data],$DE1252,74),0)</f>
        <v/>
      </c>
      <c r="BZ1252">
        <f>IFERROR(INDEX(PP_Grid[#Data],$DE1252,75),0)</f>
        <v/>
      </c>
      <c r="CA1252">
        <f>IFERROR(INDEX(PP_Grid[#Data],$DE1252,76),0)</f>
        <v/>
      </c>
      <c r="CB1252">
        <f>IFERROR(INDEX(PP_Grid[#Data],$DE1252,77),0)</f>
        <v/>
      </c>
      <c r="CC1252">
        <f>IFERROR(INDEX(PP_Grid[#Data],$DE1252,78),0)</f>
        <v/>
      </c>
      <c r="CD1252">
        <f>IFERROR(INDEX(PP_Grid[#Data],$DE1252,79),0)</f>
        <v/>
      </c>
      <c r="CE1252">
        <f>IFERROR(INDEX(PP_Grid[#Data],$DE1252,80),0)</f>
        <v/>
      </c>
      <c r="CF1252">
        <f>IFERROR(INDEX(PP_Grid[#Data],$DE1252,81),0)</f>
        <v/>
      </c>
      <c r="CG1252">
        <f>IFERROR(INDEX(PP_Grid[#Data],$DE1252,82),0)</f>
        <v/>
      </c>
      <c r="CH1252">
        <f>IFERROR(INDEX(PP_Grid[#Data],$DE1252,83),0)</f>
        <v/>
      </c>
      <c r="CI1252">
        <f>IFERROR(INDEX(PP_Grid[#Data],$DE1252,84),0)</f>
        <v/>
      </c>
      <c r="CJ1252">
        <f>IFERROR(INDEX(PP_Grid[#Data],$DE1252,85),0)</f>
        <v/>
      </c>
      <c r="CK1252">
        <f>IFERROR(INDEX(PP_Grid[#Data],$DE1252,86),0)</f>
        <v/>
      </c>
      <c r="CL1252">
        <f>IFERROR(INDEX(PP_Grid[#Data],$DE1252,87),0)</f>
        <v/>
      </c>
      <c r="CM1252">
        <f>IFERROR(INDEX(PP_Grid[#Data],$DE1252,88),0)</f>
        <v/>
      </c>
      <c r="CN1252">
        <f>IFERROR(INDEX(PP_Grid[#Data],$DE1252,89),0)</f>
        <v/>
      </c>
      <c r="CO1252">
        <f>IFERROR(INDEX(PP_Grid[#Data],$DE1252,90),0)</f>
        <v/>
      </c>
      <c r="CP1252">
        <f>IFERROR(INDEX(PP_Grid[#Data],$DE1252,91),0)</f>
        <v/>
      </c>
      <c r="CQ1252">
        <f>IFERROR(INDEX(PP_Grid[#Data],$DE1252,92),0)</f>
        <v/>
      </c>
      <c r="CR1252">
        <f>IFERROR(INDEX(PP_Grid[#Data],$DE1252,93),0)</f>
        <v/>
      </c>
      <c r="CS1252">
        <f>IFERROR(INDEX(PP_Grid[#Data],$DE1252,94),0)</f>
        <v/>
      </c>
      <c r="CT1252">
        <f>IFERROR(INDEX(PP_Grid[#Data],$DE1252,95),0)</f>
        <v/>
      </c>
      <c r="CU1252">
        <f>IFERROR(INDEX(PP_Grid[#Data],$DE1252,96),0)</f>
        <v/>
      </c>
      <c r="CV1252">
        <f>IFERROR(INDEX(PP_Grid[#Data],$DE1252,97),0)</f>
        <v/>
      </c>
      <c r="CW1252">
        <f>IFERROR(INDEX(PP_Grid[#Data],$DE1252,98),0)</f>
        <v/>
      </c>
      <c r="CX1252">
        <f>IFERROR(INDEX(PP_Grid[#Data],$DE1252,99),0)</f>
        <v/>
      </c>
      <c r="CY1252">
        <f>IFERROR(INDEX(PP_Grid[#Data],$DE1252,100),0)</f>
        <v/>
      </c>
      <c r="CZ1252">
        <f>IFERROR(INDEX(PP_Grid[#Data],$DE1252,101),0)</f>
        <v/>
      </c>
      <c r="DA1252">
        <f>IFERROR(INDEX(PP_Grid[#Data],$DE1252,102),0)</f>
        <v/>
      </c>
      <c r="DB1252">
        <f>IFERROR(INDEX(PP_Grid[#Data],$DE1252,103),0)</f>
        <v/>
      </c>
      <c r="DC1252">
        <f>IFERROR(INDEX(PP_Grid[#Data],$DE1252,104),0)</f>
        <v/>
      </c>
      <c r="DD1252">
        <f>IFERROR(INDEX(PP_Grid[#Data],$DE1252,105),0)</f>
        <v/>
      </c>
      <c r="DE1252" s="7">
        <f>IFERROR(MATCH($B1252,PP_Grid[Intermediate],0),99999)</f>
        <v/>
      </c>
    </row>
    <row r="1253">
      <c r="B1253" t="inlineStr">
        <is>
          <t>使用量(kg)</t>
        </is>
      </c>
      <c r="C1253">
        <f>SUMIFS(M_BOM[RM_Qty_Per_Batch],M_BOM[Intermediate],$B1252,M_BOM[RM_Code],$A1239)</f>
        <v/>
      </c>
      <c r="D1253">
        <f>IFERROR(INDEX(E1253:DD1253,$F$1),"")</f>
        <v/>
      </c>
      <c r="E1253">
        <f>$C1253*E1252</f>
        <v/>
      </c>
      <c r="F1253">
        <f>$C1253*F1252</f>
        <v/>
      </c>
      <c r="G1253">
        <f>$C1253*G1252</f>
        <v/>
      </c>
      <c r="H1253">
        <f>$C1253*H1252</f>
        <v/>
      </c>
      <c r="I1253">
        <f>$C1253*I1252</f>
        <v/>
      </c>
      <c r="J1253">
        <f>$C1253*J1252</f>
        <v/>
      </c>
      <c r="K1253">
        <f>$C1253*K1252</f>
        <v/>
      </c>
      <c r="L1253">
        <f>$C1253*L1252</f>
        <v/>
      </c>
      <c r="M1253">
        <f>$C1253*M1252</f>
        <v/>
      </c>
      <c r="N1253">
        <f>$C1253*N1252</f>
        <v/>
      </c>
      <c r="O1253">
        <f>$C1253*O1252</f>
        <v/>
      </c>
      <c r="P1253">
        <f>$C1253*P1252</f>
        <v/>
      </c>
      <c r="Q1253">
        <f>$C1253*Q1252</f>
        <v/>
      </c>
      <c r="R1253">
        <f>$C1253*R1252</f>
        <v/>
      </c>
      <c r="S1253">
        <f>$C1253*S1252</f>
        <v/>
      </c>
      <c r="T1253">
        <f>$C1253*T1252</f>
        <v/>
      </c>
      <c r="U1253">
        <f>$C1253*U1252</f>
        <v/>
      </c>
      <c r="V1253">
        <f>$C1253*V1252</f>
        <v/>
      </c>
      <c r="W1253">
        <f>$C1253*W1252</f>
        <v/>
      </c>
      <c r="X1253">
        <f>$C1253*X1252</f>
        <v/>
      </c>
      <c r="Y1253">
        <f>$C1253*Y1252</f>
        <v/>
      </c>
      <c r="Z1253">
        <f>$C1253*Z1252</f>
        <v/>
      </c>
      <c r="AA1253">
        <f>$C1253*AA1252</f>
        <v/>
      </c>
      <c r="AB1253">
        <f>$C1253*AB1252</f>
        <v/>
      </c>
      <c r="AC1253">
        <f>$C1253*AC1252</f>
        <v/>
      </c>
      <c r="AD1253">
        <f>$C1253*AD1252</f>
        <v/>
      </c>
      <c r="AE1253">
        <f>$C1253*AE1252</f>
        <v/>
      </c>
      <c r="AF1253">
        <f>$C1253*AF1252</f>
        <v/>
      </c>
      <c r="AG1253">
        <f>$C1253*AG1252</f>
        <v/>
      </c>
      <c r="AH1253">
        <f>$C1253*AH1252</f>
        <v/>
      </c>
      <c r="AI1253">
        <f>$C1253*AI1252</f>
        <v/>
      </c>
      <c r="AJ1253">
        <f>$C1253*AJ1252</f>
        <v/>
      </c>
      <c r="AK1253">
        <f>$C1253*AK1252</f>
        <v/>
      </c>
      <c r="AL1253">
        <f>$C1253*AL1252</f>
        <v/>
      </c>
      <c r="AM1253">
        <f>$C1253*AM1252</f>
        <v/>
      </c>
      <c r="AN1253">
        <f>$C1253*AN1252</f>
        <v/>
      </c>
      <c r="AO1253">
        <f>$C1253*AO1252</f>
        <v/>
      </c>
      <c r="AP1253">
        <f>$C1253*AP1252</f>
        <v/>
      </c>
      <c r="AQ1253">
        <f>$C1253*AQ1252</f>
        <v/>
      </c>
      <c r="AR1253">
        <f>$C1253*AR1252</f>
        <v/>
      </c>
      <c r="AS1253">
        <f>$C1253*AS1252</f>
        <v/>
      </c>
      <c r="AT1253">
        <f>$C1253*AT1252</f>
        <v/>
      </c>
      <c r="AU1253">
        <f>$C1253*AU1252</f>
        <v/>
      </c>
      <c r="AV1253">
        <f>$C1253*AV1252</f>
        <v/>
      </c>
      <c r="AW1253">
        <f>$C1253*AW1252</f>
        <v/>
      </c>
      <c r="AX1253">
        <f>$C1253*AX1252</f>
        <v/>
      </c>
      <c r="AY1253">
        <f>$C1253*AY1252</f>
        <v/>
      </c>
      <c r="AZ1253">
        <f>$C1253*AZ1252</f>
        <v/>
      </c>
      <c r="BA1253">
        <f>$C1253*BA1252</f>
        <v/>
      </c>
      <c r="BB1253">
        <f>$C1253*BB1252</f>
        <v/>
      </c>
      <c r="BC1253">
        <f>$C1253*BC1252</f>
        <v/>
      </c>
      <c r="BD1253">
        <f>$C1253*BD1252</f>
        <v/>
      </c>
      <c r="BE1253">
        <f>$C1253*BE1252</f>
        <v/>
      </c>
      <c r="BF1253">
        <f>$C1253*BF1252</f>
        <v/>
      </c>
      <c r="BG1253">
        <f>$C1253*BG1252</f>
        <v/>
      </c>
      <c r="BH1253">
        <f>$C1253*BH1252</f>
        <v/>
      </c>
      <c r="BI1253">
        <f>$C1253*BI1252</f>
        <v/>
      </c>
      <c r="BJ1253">
        <f>$C1253*BJ1252</f>
        <v/>
      </c>
      <c r="BK1253">
        <f>$C1253*BK1252</f>
        <v/>
      </c>
      <c r="BL1253">
        <f>$C1253*BL1252</f>
        <v/>
      </c>
      <c r="BM1253">
        <f>$C1253*BM1252</f>
        <v/>
      </c>
      <c r="BN1253">
        <f>$C1253*BN1252</f>
        <v/>
      </c>
      <c r="BO1253">
        <f>$C1253*BO1252</f>
        <v/>
      </c>
      <c r="BP1253">
        <f>$C1253*BP1252</f>
        <v/>
      </c>
      <c r="BQ1253">
        <f>$C1253*BQ1252</f>
        <v/>
      </c>
      <c r="BR1253">
        <f>$C1253*BR1252</f>
        <v/>
      </c>
      <c r="BS1253">
        <f>$C1253*BS1252</f>
        <v/>
      </c>
      <c r="BT1253">
        <f>$C1253*BT1252</f>
        <v/>
      </c>
      <c r="BU1253">
        <f>$C1253*BU1252</f>
        <v/>
      </c>
      <c r="BV1253">
        <f>$C1253*BV1252</f>
        <v/>
      </c>
      <c r="BW1253">
        <f>$C1253*BW1252</f>
        <v/>
      </c>
      <c r="BX1253">
        <f>$C1253*BX1252</f>
        <v/>
      </c>
      <c r="BY1253">
        <f>$C1253*BY1252</f>
        <v/>
      </c>
      <c r="BZ1253">
        <f>$C1253*BZ1252</f>
        <v/>
      </c>
      <c r="CA1253">
        <f>$C1253*CA1252</f>
        <v/>
      </c>
      <c r="CB1253">
        <f>$C1253*CB1252</f>
        <v/>
      </c>
      <c r="CC1253">
        <f>$C1253*CC1252</f>
        <v/>
      </c>
      <c r="CD1253">
        <f>$C1253*CD1252</f>
        <v/>
      </c>
      <c r="CE1253">
        <f>$C1253*CE1252</f>
        <v/>
      </c>
      <c r="CF1253">
        <f>$C1253*CF1252</f>
        <v/>
      </c>
      <c r="CG1253">
        <f>$C1253*CG1252</f>
        <v/>
      </c>
      <c r="CH1253">
        <f>$C1253*CH1252</f>
        <v/>
      </c>
      <c r="CI1253">
        <f>$C1253*CI1252</f>
        <v/>
      </c>
      <c r="CJ1253">
        <f>$C1253*CJ1252</f>
        <v/>
      </c>
      <c r="CK1253">
        <f>$C1253*CK1252</f>
        <v/>
      </c>
      <c r="CL1253">
        <f>$C1253*CL1252</f>
        <v/>
      </c>
      <c r="CM1253">
        <f>$C1253*CM1252</f>
        <v/>
      </c>
      <c r="CN1253">
        <f>$C1253*CN1252</f>
        <v/>
      </c>
      <c r="CO1253">
        <f>$C1253*CO1252</f>
        <v/>
      </c>
      <c r="CP1253">
        <f>$C1253*CP1252</f>
        <v/>
      </c>
      <c r="CQ1253">
        <f>$C1253*CQ1252</f>
        <v/>
      </c>
      <c r="CR1253">
        <f>$C1253*CR1252</f>
        <v/>
      </c>
      <c r="CS1253">
        <f>$C1253*CS1252</f>
        <v/>
      </c>
      <c r="CT1253">
        <f>$C1253*CT1252</f>
        <v/>
      </c>
      <c r="CU1253">
        <f>$C1253*CU1252</f>
        <v/>
      </c>
      <c r="CV1253">
        <f>$C1253*CV1252</f>
        <v/>
      </c>
      <c r="CW1253">
        <f>$C1253*CW1252</f>
        <v/>
      </c>
      <c r="CX1253">
        <f>$C1253*CX1252</f>
        <v/>
      </c>
      <c r="CY1253">
        <f>$C1253*CY1252</f>
        <v/>
      </c>
      <c r="CZ1253">
        <f>$C1253*CZ1252</f>
        <v/>
      </c>
      <c r="DA1253">
        <f>$C1253*DA1252</f>
        <v/>
      </c>
      <c r="DB1253">
        <f>$C1253*DB1252</f>
        <v/>
      </c>
      <c r="DC1253">
        <f>$C1253*DC1252</f>
        <v/>
      </c>
      <c r="DD1253">
        <f>$C1253*DD1252</f>
        <v/>
      </c>
    </row>
    <row r="1254">
      <c r="B1254" t="inlineStr">
        <is>
          <t>TSP-935</t>
        </is>
      </c>
      <c r="C1254" t="inlineStr">
        <is>
          <t>No. of batches</t>
        </is>
      </c>
      <c r="D1254">
        <f>IFERROR(INDEX(E1254:DD1254,$F$1),"")</f>
        <v/>
      </c>
      <c r="E1254">
        <f>IFERROR(INDEX(PP_Grid[#Data],$DE1254,2),0)</f>
        <v/>
      </c>
      <c r="F1254">
        <f>IFERROR(INDEX(PP_Grid[#Data],$DE1254,3),0)</f>
        <v/>
      </c>
      <c r="G1254">
        <f>IFERROR(INDEX(PP_Grid[#Data],$DE1254,4),0)</f>
        <v/>
      </c>
      <c r="H1254">
        <f>IFERROR(INDEX(PP_Grid[#Data],$DE1254,5),0)</f>
        <v/>
      </c>
      <c r="I1254">
        <f>IFERROR(INDEX(PP_Grid[#Data],$DE1254,6),0)</f>
        <v/>
      </c>
      <c r="J1254">
        <f>IFERROR(INDEX(PP_Grid[#Data],$DE1254,7),0)</f>
        <v/>
      </c>
      <c r="K1254">
        <f>IFERROR(INDEX(PP_Grid[#Data],$DE1254,8),0)</f>
        <v/>
      </c>
      <c r="L1254">
        <f>IFERROR(INDEX(PP_Grid[#Data],$DE1254,9),0)</f>
        <v/>
      </c>
      <c r="M1254">
        <f>IFERROR(INDEX(PP_Grid[#Data],$DE1254,10),0)</f>
        <v/>
      </c>
      <c r="N1254">
        <f>IFERROR(INDEX(PP_Grid[#Data],$DE1254,11),0)</f>
        <v/>
      </c>
      <c r="O1254">
        <f>IFERROR(INDEX(PP_Grid[#Data],$DE1254,12),0)</f>
        <v/>
      </c>
      <c r="P1254">
        <f>IFERROR(INDEX(PP_Grid[#Data],$DE1254,13),0)</f>
        <v/>
      </c>
      <c r="Q1254">
        <f>IFERROR(INDEX(PP_Grid[#Data],$DE1254,14),0)</f>
        <v/>
      </c>
      <c r="R1254">
        <f>IFERROR(INDEX(PP_Grid[#Data],$DE1254,15),0)</f>
        <v/>
      </c>
      <c r="S1254">
        <f>IFERROR(INDEX(PP_Grid[#Data],$DE1254,16),0)</f>
        <v/>
      </c>
      <c r="T1254">
        <f>IFERROR(INDEX(PP_Grid[#Data],$DE1254,17),0)</f>
        <v/>
      </c>
      <c r="U1254">
        <f>IFERROR(INDEX(PP_Grid[#Data],$DE1254,18),0)</f>
        <v/>
      </c>
      <c r="V1254">
        <f>IFERROR(INDEX(PP_Grid[#Data],$DE1254,19),0)</f>
        <v/>
      </c>
      <c r="W1254">
        <f>IFERROR(INDEX(PP_Grid[#Data],$DE1254,20),0)</f>
        <v/>
      </c>
      <c r="X1254">
        <f>IFERROR(INDEX(PP_Grid[#Data],$DE1254,21),0)</f>
        <v/>
      </c>
      <c r="Y1254">
        <f>IFERROR(INDEX(PP_Grid[#Data],$DE1254,22),0)</f>
        <v/>
      </c>
      <c r="Z1254">
        <f>IFERROR(INDEX(PP_Grid[#Data],$DE1254,23),0)</f>
        <v/>
      </c>
      <c r="AA1254">
        <f>IFERROR(INDEX(PP_Grid[#Data],$DE1254,24),0)</f>
        <v/>
      </c>
      <c r="AB1254">
        <f>IFERROR(INDEX(PP_Grid[#Data],$DE1254,25),0)</f>
        <v/>
      </c>
      <c r="AC1254">
        <f>IFERROR(INDEX(PP_Grid[#Data],$DE1254,26),0)</f>
        <v/>
      </c>
      <c r="AD1254">
        <f>IFERROR(INDEX(PP_Grid[#Data],$DE1254,27),0)</f>
        <v/>
      </c>
      <c r="AE1254">
        <f>IFERROR(INDEX(PP_Grid[#Data],$DE1254,28),0)</f>
        <v/>
      </c>
      <c r="AF1254">
        <f>IFERROR(INDEX(PP_Grid[#Data],$DE1254,29),0)</f>
        <v/>
      </c>
      <c r="AG1254">
        <f>IFERROR(INDEX(PP_Grid[#Data],$DE1254,30),0)</f>
        <v/>
      </c>
      <c r="AH1254">
        <f>IFERROR(INDEX(PP_Grid[#Data],$DE1254,31),0)</f>
        <v/>
      </c>
      <c r="AI1254">
        <f>IFERROR(INDEX(PP_Grid[#Data],$DE1254,32),0)</f>
        <v/>
      </c>
      <c r="AJ1254">
        <f>IFERROR(INDEX(PP_Grid[#Data],$DE1254,33),0)</f>
        <v/>
      </c>
      <c r="AK1254">
        <f>IFERROR(INDEX(PP_Grid[#Data],$DE1254,34),0)</f>
        <v/>
      </c>
      <c r="AL1254">
        <f>IFERROR(INDEX(PP_Grid[#Data],$DE1254,35),0)</f>
        <v/>
      </c>
      <c r="AM1254">
        <f>IFERROR(INDEX(PP_Grid[#Data],$DE1254,36),0)</f>
        <v/>
      </c>
      <c r="AN1254">
        <f>IFERROR(INDEX(PP_Grid[#Data],$DE1254,37),0)</f>
        <v/>
      </c>
      <c r="AO1254">
        <f>IFERROR(INDEX(PP_Grid[#Data],$DE1254,38),0)</f>
        <v/>
      </c>
      <c r="AP1254">
        <f>IFERROR(INDEX(PP_Grid[#Data],$DE1254,39),0)</f>
        <v/>
      </c>
      <c r="AQ1254">
        <f>IFERROR(INDEX(PP_Grid[#Data],$DE1254,40),0)</f>
        <v/>
      </c>
      <c r="AR1254">
        <f>IFERROR(INDEX(PP_Grid[#Data],$DE1254,41),0)</f>
        <v/>
      </c>
      <c r="AS1254">
        <f>IFERROR(INDEX(PP_Grid[#Data],$DE1254,42),0)</f>
        <v/>
      </c>
      <c r="AT1254">
        <f>IFERROR(INDEX(PP_Grid[#Data],$DE1254,43),0)</f>
        <v/>
      </c>
      <c r="AU1254">
        <f>IFERROR(INDEX(PP_Grid[#Data],$DE1254,44),0)</f>
        <v/>
      </c>
      <c r="AV1254">
        <f>IFERROR(INDEX(PP_Grid[#Data],$DE1254,45),0)</f>
        <v/>
      </c>
      <c r="AW1254">
        <f>IFERROR(INDEX(PP_Grid[#Data],$DE1254,46),0)</f>
        <v/>
      </c>
      <c r="AX1254">
        <f>IFERROR(INDEX(PP_Grid[#Data],$DE1254,47),0)</f>
        <v/>
      </c>
      <c r="AY1254">
        <f>IFERROR(INDEX(PP_Grid[#Data],$DE1254,48),0)</f>
        <v/>
      </c>
      <c r="AZ1254">
        <f>IFERROR(INDEX(PP_Grid[#Data],$DE1254,49),0)</f>
        <v/>
      </c>
      <c r="BA1254">
        <f>IFERROR(INDEX(PP_Grid[#Data],$DE1254,50),0)</f>
        <v/>
      </c>
      <c r="BB1254">
        <f>IFERROR(INDEX(PP_Grid[#Data],$DE1254,51),0)</f>
        <v/>
      </c>
      <c r="BC1254">
        <f>IFERROR(INDEX(PP_Grid[#Data],$DE1254,52),0)</f>
        <v/>
      </c>
      <c r="BD1254">
        <f>IFERROR(INDEX(PP_Grid[#Data],$DE1254,53),0)</f>
        <v/>
      </c>
      <c r="BE1254">
        <f>IFERROR(INDEX(PP_Grid[#Data],$DE1254,54),0)</f>
        <v/>
      </c>
      <c r="BF1254">
        <f>IFERROR(INDEX(PP_Grid[#Data],$DE1254,55),0)</f>
        <v/>
      </c>
      <c r="BG1254">
        <f>IFERROR(INDEX(PP_Grid[#Data],$DE1254,56),0)</f>
        <v/>
      </c>
      <c r="BH1254">
        <f>IFERROR(INDEX(PP_Grid[#Data],$DE1254,57),0)</f>
        <v/>
      </c>
      <c r="BI1254">
        <f>IFERROR(INDEX(PP_Grid[#Data],$DE1254,58),0)</f>
        <v/>
      </c>
      <c r="BJ1254">
        <f>IFERROR(INDEX(PP_Grid[#Data],$DE1254,59),0)</f>
        <v/>
      </c>
      <c r="BK1254">
        <f>IFERROR(INDEX(PP_Grid[#Data],$DE1254,60),0)</f>
        <v/>
      </c>
      <c r="BL1254">
        <f>IFERROR(INDEX(PP_Grid[#Data],$DE1254,61),0)</f>
        <v/>
      </c>
      <c r="BM1254">
        <f>IFERROR(INDEX(PP_Grid[#Data],$DE1254,62),0)</f>
        <v/>
      </c>
      <c r="BN1254">
        <f>IFERROR(INDEX(PP_Grid[#Data],$DE1254,63),0)</f>
        <v/>
      </c>
      <c r="BO1254">
        <f>IFERROR(INDEX(PP_Grid[#Data],$DE1254,64),0)</f>
        <v/>
      </c>
      <c r="BP1254">
        <f>IFERROR(INDEX(PP_Grid[#Data],$DE1254,65),0)</f>
        <v/>
      </c>
      <c r="BQ1254">
        <f>IFERROR(INDEX(PP_Grid[#Data],$DE1254,66),0)</f>
        <v/>
      </c>
      <c r="BR1254">
        <f>IFERROR(INDEX(PP_Grid[#Data],$DE1254,67),0)</f>
        <v/>
      </c>
      <c r="BS1254">
        <f>IFERROR(INDEX(PP_Grid[#Data],$DE1254,68),0)</f>
        <v/>
      </c>
      <c r="BT1254">
        <f>IFERROR(INDEX(PP_Grid[#Data],$DE1254,69),0)</f>
        <v/>
      </c>
      <c r="BU1254">
        <f>IFERROR(INDEX(PP_Grid[#Data],$DE1254,70),0)</f>
        <v/>
      </c>
      <c r="BV1254">
        <f>IFERROR(INDEX(PP_Grid[#Data],$DE1254,71),0)</f>
        <v/>
      </c>
      <c r="BW1254">
        <f>IFERROR(INDEX(PP_Grid[#Data],$DE1254,72),0)</f>
        <v/>
      </c>
      <c r="BX1254">
        <f>IFERROR(INDEX(PP_Grid[#Data],$DE1254,73),0)</f>
        <v/>
      </c>
      <c r="BY1254">
        <f>IFERROR(INDEX(PP_Grid[#Data],$DE1254,74),0)</f>
        <v/>
      </c>
      <c r="BZ1254">
        <f>IFERROR(INDEX(PP_Grid[#Data],$DE1254,75),0)</f>
        <v/>
      </c>
      <c r="CA1254">
        <f>IFERROR(INDEX(PP_Grid[#Data],$DE1254,76),0)</f>
        <v/>
      </c>
      <c r="CB1254">
        <f>IFERROR(INDEX(PP_Grid[#Data],$DE1254,77),0)</f>
        <v/>
      </c>
      <c r="CC1254">
        <f>IFERROR(INDEX(PP_Grid[#Data],$DE1254,78),0)</f>
        <v/>
      </c>
      <c r="CD1254">
        <f>IFERROR(INDEX(PP_Grid[#Data],$DE1254,79),0)</f>
        <v/>
      </c>
      <c r="CE1254">
        <f>IFERROR(INDEX(PP_Grid[#Data],$DE1254,80),0)</f>
        <v/>
      </c>
      <c r="CF1254">
        <f>IFERROR(INDEX(PP_Grid[#Data],$DE1254,81),0)</f>
        <v/>
      </c>
      <c r="CG1254">
        <f>IFERROR(INDEX(PP_Grid[#Data],$DE1254,82),0)</f>
        <v/>
      </c>
      <c r="CH1254">
        <f>IFERROR(INDEX(PP_Grid[#Data],$DE1254,83),0)</f>
        <v/>
      </c>
      <c r="CI1254">
        <f>IFERROR(INDEX(PP_Grid[#Data],$DE1254,84),0)</f>
        <v/>
      </c>
      <c r="CJ1254">
        <f>IFERROR(INDEX(PP_Grid[#Data],$DE1254,85),0)</f>
        <v/>
      </c>
      <c r="CK1254">
        <f>IFERROR(INDEX(PP_Grid[#Data],$DE1254,86),0)</f>
        <v/>
      </c>
      <c r="CL1254">
        <f>IFERROR(INDEX(PP_Grid[#Data],$DE1254,87),0)</f>
        <v/>
      </c>
      <c r="CM1254">
        <f>IFERROR(INDEX(PP_Grid[#Data],$DE1254,88),0)</f>
        <v/>
      </c>
      <c r="CN1254">
        <f>IFERROR(INDEX(PP_Grid[#Data],$DE1254,89),0)</f>
        <v/>
      </c>
      <c r="CO1254">
        <f>IFERROR(INDEX(PP_Grid[#Data],$DE1254,90),0)</f>
        <v/>
      </c>
      <c r="CP1254">
        <f>IFERROR(INDEX(PP_Grid[#Data],$DE1254,91),0)</f>
        <v/>
      </c>
      <c r="CQ1254">
        <f>IFERROR(INDEX(PP_Grid[#Data],$DE1254,92),0)</f>
        <v/>
      </c>
      <c r="CR1254">
        <f>IFERROR(INDEX(PP_Grid[#Data],$DE1254,93),0)</f>
        <v/>
      </c>
      <c r="CS1254">
        <f>IFERROR(INDEX(PP_Grid[#Data],$DE1254,94),0)</f>
        <v/>
      </c>
      <c r="CT1254">
        <f>IFERROR(INDEX(PP_Grid[#Data],$DE1254,95),0)</f>
        <v/>
      </c>
      <c r="CU1254">
        <f>IFERROR(INDEX(PP_Grid[#Data],$DE1254,96),0)</f>
        <v/>
      </c>
      <c r="CV1254">
        <f>IFERROR(INDEX(PP_Grid[#Data],$DE1254,97),0)</f>
        <v/>
      </c>
      <c r="CW1254">
        <f>IFERROR(INDEX(PP_Grid[#Data],$DE1254,98),0)</f>
        <v/>
      </c>
      <c r="CX1254">
        <f>IFERROR(INDEX(PP_Grid[#Data],$DE1254,99),0)</f>
        <v/>
      </c>
      <c r="CY1254">
        <f>IFERROR(INDEX(PP_Grid[#Data],$DE1254,100),0)</f>
        <v/>
      </c>
      <c r="CZ1254">
        <f>IFERROR(INDEX(PP_Grid[#Data],$DE1254,101),0)</f>
        <v/>
      </c>
      <c r="DA1254">
        <f>IFERROR(INDEX(PP_Grid[#Data],$DE1254,102),0)</f>
        <v/>
      </c>
      <c r="DB1254">
        <f>IFERROR(INDEX(PP_Grid[#Data],$DE1254,103),0)</f>
        <v/>
      </c>
      <c r="DC1254">
        <f>IFERROR(INDEX(PP_Grid[#Data],$DE1254,104),0)</f>
        <v/>
      </c>
      <c r="DD1254">
        <f>IFERROR(INDEX(PP_Grid[#Data],$DE1254,105),0)</f>
        <v/>
      </c>
      <c r="DE1254" s="7">
        <f>IFERROR(MATCH($B1254,PP_Grid[Intermediate],0),99999)</f>
        <v/>
      </c>
    </row>
    <row r="1255">
      <c r="B1255" t="inlineStr">
        <is>
          <t>使用量(kg)</t>
        </is>
      </c>
      <c r="C1255">
        <f>SUMIFS(M_BOM[RM_Qty_Per_Batch],M_BOM[Intermediate],$B1254,M_BOM[RM_Code],$A1239)</f>
        <v/>
      </c>
      <c r="D1255">
        <f>IFERROR(INDEX(E1255:DD1255,$F$1),"")</f>
        <v/>
      </c>
      <c r="E1255">
        <f>$C1255*E1254</f>
        <v/>
      </c>
      <c r="F1255">
        <f>$C1255*F1254</f>
        <v/>
      </c>
      <c r="G1255">
        <f>$C1255*G1254</f>
        <v/>
      </c>
      <c r="H1255">
        <f>$C1255*H1254</f>
        <v/>
      </c>
      <c r="I1255">
        <f>$C1255*I1254</f>
        <v/>
      </c>
      <c r="J1255">
        <f>$C1255*J1254</f>
        <v/>
      </c>
      <c r="K1255">
        <f>$C1255*K1254</f>
        <v/>
      </c>
      <c r="L1255">
        <f>$C1255*L1254</f>
        <v/>
      </c>
      <c r="M1255">
        <f>$C1255*M1254</f>
        <v/>
      </c>
      <c r="N1255">
        <f>$C1255*N1254</f>
        <v/>
      </c>
      <c r="O1255">
        <f>$C1255*O1254</f>
        <v/>
      </c>
      <c r="P1255">
        <f>$C1255*P1254</f>
        <v/>
      </c>
      <c r="Q1255">
        <f>$C1255*Q1254</f>
        <v/>
      </c>
      <c r="R1255">
        <f>$C1255*R1254</f>
        <v/>
      </c>
      <c r="S1255">
        <f>$C1255*S1254</f>
        <v/>
      </c>
      <c r="T1255">
        <f>$C1255*T1254</f>
        <v/>
      </c>
      <c r="U1255">
        <f>$C1255*U1254</f>
        <v/>
      </c>
      <c r="V1255">
        <f>$C1255*V1254</f>
        <v/>
      </c>
      <c r="W1255">
        <f>$C1255*W1254</f>
        <v/>
      </c>
      <c r="X1255">
        <f>$C1255*X1254</f>
        <v/>
      </c>
      <c r="Y1255">
        <f>$C1255*Y1254</f>
        <v/>
      </c>
      <c r="Z1255">
        <f>$C1255*Z1254</f>
        <v/>
      </c>
      <c r="AA1255">
        <f>$C1255*AA1254</f>
        <v/>
      </c>
      <c r="AB1255">
        <f>$C1255*AB1254</f>
        <v/>
      </c>
      <c r="AC1255">
        <f>$C1255*AC1254</f>
        <v/>
      </c>
      <c r="AD1255">
        <f>$C1255*AD1254</f>
        <v/>
      </c>
      <c r="AE1255">
        <f>$C1255*AE1254</f>
        <v/>
      </c>
      <c r="AF1255">
        <f>$C1255*AF1254</f>
        <v/>
      </c>
      <c r="AG1255">
        <f>$C1255*AG1254</f>
        <v/>
      </c>
      <c r="AH1255">
        <f>$C1255*AH1254</f>
        <v/>
      </c>
      <c r="AI1255">
        <f>$C1255*AI1254</f>
        <v/>
      </c>
      <c r="AJ1255">
        <f>$C1255*AJ1254</f>
        <v/>
      </c>
      <c r="AK1255">
        <f>$C1255*AK1254</f>
        <v/>
      </c>
      <c r="AL1255">
        <f>$C1255*AL1254</f>
        <v/>
      </c>
      <c r="AM1255">
        <f>$C1255*AM1254</f>
        <v/>
      </c>
      <c r="AN1255">
        <f>$C1255*AN1254</f>
        <v/>
      </c>
      <c r="AO1255">
        <f>$C1255*AO1254</f>
        <v/>
      </c>
      <c r="AP1255">
        <f>$C1255*AP1254</f>
        <v/>
      </c>
      <c r="AQ1255">
        <f>$C1255*AQ1254</f>
        <v/>
      </c>
      <c r="AR1255">
        <f>$C1255*AR1254</f>
        <v/>
      </c>
      <c r="AS1255">
        <f>$C1255*AS1254</f>
        <v/>
      </c>
      <c r="AT1255">
        <f>$C1255*AT1254</f>
        <v/>
      </c>
      <c r="AU1255">
        <f>$C1255*AU1254</f>
        <v/>
      </c>
      <c r="AV1255">
        <f>$C1255*AV1254</f>
        <v/>
      </c>
      <c r="AW1255">
        <f>$C1255*AW1254</f>
        <v/>
      </c>
      <c r="AX1255">
        <f>$C1255*AX1254</f>
        <v/>
      </c>
      <c r="AY1255">
        <f>$C1255*AY1254</f>
        <v/>
      </c>
      <c r="AZ1255">
        <f>$C1255*AZ1254</f>
        <v/>
      </c>
      <c r="BA1255">
        <f>$C1255*BA1254</f>
        <v/>
      </c>
      <c r="BB1255">
        <f>$C1255*BB1254</f>
        <v/>
      </c>
      <c r="BC1255">
        <f>$C1255*BC1254</f>
        <v/>
      </c>
      <c r="BD1255">
        <f>$C1255*BD1254</f>
        <v/>
      </c>
      <c r="BE1255">
        <f>$C1255*BE1254</f>
        <v/>
      </c>
      <c r="BF1255">
        <f>$C1255*BF1254</f>
        <v/>
      </c>
      <c r="BG1255">
        <f>$C1255*BG1254</f>
        <v/>
      </c>
      <c r="BH1255">
        <f>$C1255*BH1254</f>
        <v/>
      </c>
      <c r="BI1255">
        <f>$C1255*BI1254</f>
        <v/>
      </c>
      <c r="BJ1255">
        <f>$C1255*BJ1254</f>
        <v/>
      </c>
      <c r="BK1255">
        <f>$C1255*BK1254</f>
        <v/>
      </c>
      <c r="BL1255">
        <f>$C1255*BL1254</f>
        <v/>
      </c>
      <c r="BM1255">
        <f>$C1255*BM1254</f>
        <v/>
      </c>
      <c r="BN1255">
        <f>$C1255*BN1254</f>
        <v/>
      </c>
      <c r="BO1255">
        <f>$C1255*BO1254</f>
        <v/>
      </c>
      <c r="BP1255">
        <f>$C1255*BP1254</f>
        <v/>
      </c>
      <c r="BQ1255">
        <f>$C1255*BQ1254</f>
        <v/>
      </c>
      <c r="BR1255">
        <f>$C1255*BR1254</f>
        <v/>
      </c>
      <c r="BS1255">
        <f>$C1255*BS1254</f>
        <v/>
      </c>
      <c r="BT1255">
        <f>$C1255*BT1254</f>
        <v/>
      </c>
      <c r="BU1255">
        <f>$C1255*BU1254</f>
        <v/>
      </c>
      <c r="BV1255">
        <f>$C1255*BV1254</f>
        <v/>
      </c>
      <c r="BW1255">
        <f>$C1255*BW1254</f>
        <v/>
      </c>
      <c r="BX1255">
        <f>$C1255*BX1254</f>
        <v/>
      </c>
      <c r="BY1255">
        <f>$C1255*BY1254</f>
        <v/>
      </c>
      <c r="BZ1255">
        <f>$C1255*BZ1254</f>
        <v/>
      </c>
      <c r="CA1255">
        <f>$C1255*CA1254</f>
        <v/>
      </c>
      <c r="CB1255">
        <f>$C1255*CB1254</f>
        <v/>
      </c>
      <c r="CC1255">
        <f>$C1255*CC1254</f>
        <v/>
      </c>
      <c r="CD1255">
        <f>$C1255*CD1254</f>
        <v/>
      </c>
      <c r="CE1255">
        <f>$C1255*CE1254</f>
        <v/>
      </c>
      <c r="CF1255">
        <f>$C1255*CF1254</f>
        <v/>
      </c>
      <c r="CG1255">
        <f>$C1255*CG1254</f>
        <v/>
      </c>
      <c r="CH1255">
        <f>$C1255*CH1254</f>
        <v/>
      </c>
      <c r="CI1255">
        <f>$C1255*CI1254</f>
        <v/>
      </c>
      <c r="CJ1255">
        <f>$C1255*CJ1254</f>
        <v/>
      </c>
      <c r="CK1255">
        <f>$C1255*CK1254</f>
        <v/>
      </c>
      <c r="CL1255">
        <f>$C1255*CL1254</f>
        <v/>
      </c>
      <c r="CM1255">
        <f>$C1255*CM1254</f>
        <v/>
      </c>
      <c r="CN1255">
        <f>$C1255*CN1254</f>
        <v/>
      </c>
      <c r="CO1255">
        <f>$C1255*CO1254</f>
        <v/>
      </c>
      <c r="CP1255">
        <f>$C1255*CP1254</f>
        <v/>
      </c>
      <c r="CQ1255">
        <f>$C1255*CQ1254</f>
        <v/>
      </c>
      <c r="CR1255">
        <f>$C1255*CR1254</f>
        <v/>
      </c>
      <c r="CS1255">
        <f>$C1255*CS1254</f>
        <v/>
      </c>
      <c r="CT1255">
        <f>$C1255*CT1254</f>
        <v/>
      </c>
      <c r="CU1255">
        <f>$C1255*CU1254</f>
        <v/>
      </c>
      <c r="CV1255">
        <f>$C1255*CV1254</f>
        <v/>
      </c>
      <c r="CW1255">
        <f>$C1255*CW1254</f>
        <v/>
      </c>
      <c r="CX1255">
        <f>$C1255*CX1254</f>
        <v/>
      </c>
      <c r="CY1255">
        <f>$C1255*CY1254</f>
        <v/>
      </c>
      <c r="CZ1255">
        <f>$C1255*CZ1254</f>
        <v/>
      </c>
      <c r="DA1255">
        <f>$C1255*DA1254</f>
        <v/>
      </c>
      <c r="DB1255">
        <f>$C1255*DB1254</f>
        <v/>
      </c>
      <c r="DC1255">
        <f>$C1255*DC1254</f>
        <v/>
      </c>
      <c r="DD1255">
        <f>$C1255*DD1254</f>
        <v/>
      </c>
    </row>
    <row r="1256">
      <c r="B1256" t="inlineStr">
        <is>
          <t>TSP-936</t>
        </is>
      </c>
      <c r="C1256" t="inlineStr">
        <is>
          <t>No. of batches</t>
        </is>
      </c>
      <c r="D1256">
        <f>IFERROR(INDEX(E1256:DD1256,$F$1),"")</f>
        <v/>
      </c>
      <c r="E1256">
        <f>IFERROR(INDEX(PP_Grid[#Data],$DE1256,2),0)</f>
        <v/>
      </c>
      <c r="F1256">
        <f>IFERROR(INDEX(PP_Grid[#Data],$DE1256,3),0)</f>
        <v/>
      </c>
      <c r="G1256">
        <f>IFERROR(INDEX(PP_Grid[#Data],$DE1256,4),0)</f>
        <v/>
      </c>
      <c r="H1256">
        <f>IFERROR(INDEX(PP_Grid[#Data],$DE1256,5),0)</f>
        <v/>
      </c>
      <c r="I1256">
        <f>IFERROR(INDEX(PP_Grid[#Data],$DE1256,6),0)</f>
        <v/>
      </c>
      <c r="J1256">
        <f>IFERROR(INDEX(PP_Grid[#Data],$DE1256,7),0)</f>
        <v/>
      </c>
      <c r="K1256">
        <f>IFERROR(INDEX(PP_Grid[#Data],$DE1256,8),0)</f>
        <v/>
      </c>
      <c r="L1256">
        <f>IFERROR(INDEX(PP_Grid[#Data],$DE1256,9),0)</f>
        <v/>
      </c>
      <c r="M1256">
        <f>IFERROR(INDEX(PP_Grid[#Data],$DE1256,10),0)</f>
        <v/>
      </c>
      <c r="N1256">
        <f>IFERROR(INDEX(PP_Grid[#Data],$DE1256,11),0)</f>
        <v/>
      </c>
      <c r="O1256">
        <f>IFERROR(INDEX(PP_Grid[#Data],$DE1256,12),0)</f>
        <v/>
      </c>
      <c r="P1256">
        <f>IFERROR(INDEX(PP_Grid[#Data],$DE1256,13),0)</f>
        <v/>
      </c>
      <c r="Q1256">
        <f>IFERROR(INDEX(PP_Grid[#Data],$DE1256,14),0)</f>
        <v/>
      </c>
      <c r="R1256">
        <f>IFERROR(INDEX(PP_Grid[#Data],$DE1256,15),0)</f>
        <v/>
      </c>
      <c r="S1256">
        <f>IFERROR(INDEX(PP_Grid[#Data],$DE1256,16),0)</f>
        <v/>
      </c>
      <c r="T1256">
        <f>IFERROR(INDEX(PP_Grid[#Data],$DE1256,17),0)</f>
        <v/>
      </c>
      <c r="U1256">
        <f>IFERROR(INDEX(PP_Grid[#Data],$DE1256,18),0)</f>
        <v/>
      </c>
      <c r="V1256">
        <f>IFERROR(INDEX(PP_Grid[#Data],$DE1256,19),0)</f>
        <v/>
      </c>
      <c r="W1256">
        <f>IFERROR(INDEX(PP_Grid[#Data],$DE1256,20),0)</f>
        <v/>
      </c>
      <c r="X1256">
        <f>IFERROR(INDEX(PP_Grid[#Data],$DE1256,21),0)</f>
        <v/>
      </c>
      <c r="Y1256">
        <f>IFERROR(INDEX(PP_Grid[#Data],$DE1256,22),0)</f>
        <v/>
      </c>
      <c r="Z1256">
        <f>IFERROR(INDEX(PP_Grid[#Data],$DE1256,23),0)</f>
        <v/>
      </c>
      <c r="AA1256">
        <f>IFERROR(INDEX(PP_Grid[#Data],$DE1256,24),0)</f>
        <v/>
      </c>
      <c r="AB1256">
        <f>IFERROR(INDEX(PP_Grid[#Data],$DE1256,25),0)</f>
        <v/>
      </c>
      <c r="AC1256">
        <f>IFERROR(INDEX(PP_Grid[#Data],$DE1256,26),0)</f>
        <v/>
      </c>
      <c r="AD1256">
        <f>IFERROR(INDEX(PP_Grid[#Data],$DE1256,27),0)</f>
        <v/>
      </c>
      <c r="AE1256">
        <f>IFERROR(INDEX(PP_Grid[#Data],$DE1256,28),0)</f>
        <v/>
      </c>
      <c r="AF1256">
        <f>IFERROR(INDEX(PP_Grid[#Data],$DE1256,29),0)</f>
        <v/>
      </c>
      <c r="AG1256">
        <f>IFERROR(INDEX(PP_Grid[#Data],$DE1256,30),0)</f>
        <v/>
      </c>
      <c r="AH1256">
        <f>IFERROR(INDEX(PP_Grid[#Data],$DE1256,31),0)</f>
        <v/>
      </c>
      <c r="AI1256">
        <f>IFERROR(INDEX(PP_Grid[#Data],$DE1256,32),0)</f>
        <v/>
      </c>
      <c r="AJ1256">
        <f>IFERROR(INDEX(PP_Grid[#Data],$DE1256,33),0)</f>
        <v/>
      </c>
      <c r="AK1256">
        <f>IFERROR(INDEX(PP_Grid[#Data],$DE1256,34),0)</f>
        <v/>
      </c>
      <c r="AL1256">
        <f>IFERROR(INDEX(PP_Grid[#Data],$DE1256,35),0)</f>
        <v/>
      </c>
      <c r="AM1256">
        <f>IFERROR(INDEX(PP_Grid[#Data],$DE1256,36),0)</f>
        <v/>
      </c>
      <c r="AN1256">
        <f>IFERROR(INDEX(PP_Grid[#Data],$DE1256,37),0)</f>
        <v/>
      </c>
      <c r="AO1256">
        <f>IFERROR(INDEX(PP_Grid[#Data],$DE1256,38),0)</f>
        <v/>
      </c>
      <c r="AP1256">
        <f>IFERROR(INDEX(PP_Grid[#Data],$DE1256,39),0)</f>
        <v/>
      </c>
      <c r="AQ1256">
        <f>IFERROR(INDEX(PP_Grid[#Data],$DE1256,40),0)</f>
        <v/>
      </c>
      <c r="AR1256">
        <f>IFERROR(INDEX(PP_Grid[#Data],$DE1256,41),0)</f>
        <v/>
      </c>
      <c r="AS1256">
        <f>IFERROR(INDEX(PP_Grid[#Data],$DE1256,42),0)</f>
        <v/>
      </c>
      <c r="AT1256">
        <f>IFERROR(INDEX(PP_Grid[#Data],$DE1256,43),0)</f>
        <v/>
      </c>
      <c r="AU1256">
        <f>IFERROR(INDEX(PP_Grid[#Data],$DE1256,44),0)</f>
        <v/>
      </c>
      <c r="AV1256">
        <f>IFERROR(INDEX(PP_Grid[#Data],$DE1256,45),0)</f>
        <v/>
      </c>
      <c r="AW1256">
        <f>IFERROR(INDEX(PP_Grid[#Data],$DE1256,46),0)</f>
        <v/>
      </c>
      <c r="AX1256">
        <f>IFERROR(INDEX(PP_Grid[#Data],$DE1256,47),0)</f>
        <v/>
      </c>
      <c r="AY1256">
        <f>IFERROR(INDEX(PP_Grid[#Data],$DE1256,48),0)</f>
        <v/>
      </c>
      <c r="AZ1256">
        <f>IFERROR(INDEX(PP_Grid[#Data],$DE1256,49),0)</f>
        <v/>
      </c>
      <c r="BA1256">
        <f>IFERROR(INDEX(PP_Grid[#Data],$DE1256,50),0)</f>
        <v/>
      </c>
      <c r="BB1256">
        <f>IFERROR(INDEX(PP_Grid[#Data],$DE1256,51),0)</f>
        <v/>
      </c>
      <c r="BC1256">
        <f>IFERROR(INDEX(PP_Grid[#Data],$DE1256,52),0)</f>
        <v/>
      </c>
      <c r="BD1256">
        <f>IFERROR(INDEX(PP_Grid[#Data],$DE1256,53),0)</f>
        <v/>
      </c>
      <c r="BE1256">
        <f>IFERROR(INDEX(PP_Grid[#Data],$DE1256,54),0)</f>
        <v/>
      </c>
      <c r="BF1256">
        <f>IFERROR(INDEX(PP_Grid[#Data],$DE1256,55),0)</f>
        <v/>
      </c>
      <c r="BG1256">
        <f>IFERROR(INDEX(PP_Grid[#Data],$DE1256,56),0)</f>
        <v/>
      </c>
      <c r="BH1256">
        <f>IFERROR(INDEX(PP_Grid[#Data],$DE1256,57),0)</f>
        <v/>
      </c>
      <c r="BI1256">
        <f>IFERROR(INDEX(PP_Grid[#Data],$DE1256,58),0)</f>
        <v/>
      </c>
      <c r="BJ1256">
        <f>IFERROR(INDEX(PP_Grid[#Data],$DE1256,59),0)</f>
        <v/>
      </c>
      <c r="BK1256">
        <f>IFERROR(INDEX(PP_Grid[#Data],$DE1256,60),0)</f>
        <v/>
      </c>
      <c r="BL1256">
        <f>IFERROR(INDEX(PP_Grid[#Data],$DE1256,61),0)</f>
        <v/>
      </c>
      <c r="BM1256">
        <f>IFERROR(INDEX(PP_Grid[#Data],$DE1256,62),0)</f>
        <v/>
      </c>
      <c r="BN1256">
        <f>IFERROR(INDEX(PP_Grid[#Data],$DE1256,63),0)</f>
        <v/>
      </c>
      <c r="BO1256">
        <f>IFERROR(INDEX(PP_Grid[#Data],$DE1256,64),0)</f>
        <v/>
      </c>
      <c r="BP1256">
        <f>IFERROR(INDEX(PP_Grid[#Data],$DE1256,65),0)</f>
        <v/>
      </c>
      <c r="BQ1256">
        <f>IFERROR(INDEX(PP_Grid[#Data],$DE1256,66),0)</f>
        <v/>
      </c>
      <c r="BR1256">
        <f>IFERROR(INDEX(PP_Grid[#Data],$DE1256,67),0)</f>
        <v/>
      </c>
      <c r="BS1256">
        <f>IFERROR(INDEX(PP_Grid[#Data],$DE1256,68),0)</f>
        <v/>
      </c>
      <c r="BT1256">
        <f>IFERROR(INDEX(PP_Grid[#Data],$DE1256,69),0)</f>
        <v/>
      </c>
      <c r="BU1256">
        <f>IFERROR(INDEX(PP_Grid[#Data],$DE1256,70),0)</f>
        <v/>
      </c>
      <c r="BV1256">
        <f>IFERROR(INDEX(PP_Grid[#Data],$DE1256,71),0)</f>
        <v/>
      </c>
      <c r="BW1256">
        <f>IFERROR(INDEX(PP_Grid[#Data],$DE1256,72),0)</f>
        <v/>
      </c>
      <c r="BX1256">
        <f>IFERROR(INDEX(PP_Grid[#Data],$DE1256,73),0)</f>
        <v/>
      </c>
      <c r="BY1256">
        <f>IFERROR(INDEX(PP_Grid[#Data],$DE1256,74),0)</f>
        <v/>
      </c>
      <c r="BZ1256">
        <f>IFERROR(INDEX(PP_Grid[#Data],$DE1256,75),0)</f>
        <v/>
      </c>
      <c r="CA1256">
        <f>IFERROR(INDEX(PP_Grid[#Data],$DE1256,76),0)</f>
        <v/>
      </c>
      <c r="CB1256">
        <f>IFERROR(INDEX(PP_Grid[#Data],$DE1256,77),0)</f>
        <v/>
      </c>
      <c r="CC1256">
        <f>IFERROR(INDEX(PP_Grid[#Data],$DE1256,78),0)</f>
        <v/>
      </c>
      <c r="CD1256">
        <f>IFERROR(INDEX(PP_Grid[#Data],$DE1256,79),0)</f>
        <v/>
      </c>
      <c r="CE1256">
        <f>IFERROR(INDEX(PP_Grid[#Data],$DE1256,80),0)</f>
        <v/>
      </c>
      <c r="CF1256">
        <f>IFERROR(INDEX(PP_Grid[#Data],$DE1256,81),0)</f>
        <v/>
      </c>
      <c r="CG1256">
        <f>IFERROR(INDEX(PP_Grid[#Data],$DE1256,82),0)</f>
        <v/>
      </c>
      <c r="CH1256">
        <f>IFERROR(INDEX(PP_Grid[#Data],$DE1256,83),0)</f>
        <v/>
      </c>
      <c r="CI1256">
        <f>IFERROR(INDEX(PP_Grid[#Data],$DE1256,84),0)</f>
        <v/>
      </c>
      <c r="CJ1256">
        <f>IFERROR(INDEX(PP_Grid[#Data],$DE1256,85),0)</f>
        <v/>
      </c>
      <c r="CK1256">
        <f>IFERROR(INDEX(PP_Grid[#Data],$DE1256,86),0)</f>
        <v/>
      </c>
      <c r="CL1256">
        <f>IFERROR(INDEX(PP_Grid[#Data],$DE1256,87),0)</f>
        <v/>
      </c>
      <c r="CM1256">
        <f>IFERROR(INDEX(PP_Grid[#Data],$DE1256,88),0)</f>
        <v/>
      </c>
      <c r="CN1256">
        <f>IFERROR(INDEX(PP_Grid[#Data],$DE1256,89),0)</f>
        <v/>
      </c>
      <c r="CO1256">
        <f>IFERROR(INDEX(PP_Grid[#Data],$DE1256,90),0)</f>
        <v/>
      </c>
      <c r="CP1256">
        <f>IFERROR(INDEX(PP_Grid[#Data],$DE1256,91),0)</f>
        <v/>
      </c>
      <c r="CQ1256">
        <f>IFERROR(INDEX(PP_Grid[#Data],$DE1256,92),0)</f>
        <v/>
      </c>
      <c r="CR1256">
        <f>IFERROR(INDEX(PP_Grid[#Data],$DE1256,93),0)</f>
        <v/>
      </c>
      <c r="CS1256">
        <f>IFERROR(INDEX(PP_Grid[#Data],$DE1256,94),0)</f>
        <v/>
      </c>
      <c r="CT1256">
        <f>IFERROR(INDEX(PP_Grid[#Data],$DE1256,95),0)</f>
        <v/>
      </c>
      <c r="CU1256">
        <f>IFERROR(INDEX(PP_Grid[#Data],$DE1256,96),0)</f>
        <v/>
      </c>
      <c r="CV1256">
        <f>IFERROR(INDEX(PP_Grid[#Data],$DE1256,97),0)</f>
        <v/>
      </c>
      <c r="CW1256">
        <f>IFERROR(INDEX(PP_Grid[#Data],$DE1256,98),0)</f>
        <v/>
      </c>
      <c r="CX1256">
        <f>IFERROR(INDEX(PP_Grid[#Data],$DE1256,99),0)</f>
        <v/>
      </c>
      <c r="CY1256">
        <f>IFERROR(INDEX(PP_Grid[#Data],$DE1256,100),0)</f>
        <v/>
      </c>
      <c r="CZ1256">
        <f>IFERROR(INDEX(PP_Grid[#Data],$DE1256,101),0)</f>
        <v/>
      </c>
      <c r="DA1256">
        <f>IFERROR(INDEX(PP_Grid[#Data],$DE1256,102),0)</f>
        <v/>
      </c>
      <c r="DB1256">
        <f>IFERROR(INDEX(PP_Grid[#Data],$DE1256,103),0)</f>
        <v/>
      </c>
      <c r="DC1256">
        <f>IFERROR(INDEX(PP_Grid[#Data],$DE1256,104),0)</f>
        <v/>
      </c>
      <c r="DD1256">
        <f>IFERROR(INDEX(PP_Grid[#Data],$DE1256,105),0)</f>
        <v/>
      </c>
      <c r="DE1256" s="7">
        <f>IFERROR(MATCH($B1256,PP_Grid[Intermediate],0),99999)</f>
        <v/>
      </c>
    </row>
    <row r="1257">
      <c r="B1257" t="inlineStr">
        <is>
          <t>使用量(kg)</t>
        </is>
      </c>
      <c r="C1257">
        <f>SUMIFS(M_BOM[RM_Qty_Per_Batch],M_BOM[Intermediate],$B1256,M_BOM[RM_Code],$A1239)</f>
        <v/>
      </c>
      <c r="D1257">
        <f>IFERROR(INDEX(E1257:DD1257,$F$1),"")</f>
        <v/>
      </c>
      <c r="E1257">
        <f>$C1257*E1256</f>
        <v/>
      </c>
      <c r="F1257">
        <f>$C1257*F1256</f>
        <v/>
      </c>
      <c r="G1257">
        <f>$C1257*G1256</f>
        <v/>
      </c>
      <c r="H1257">
        <f>$C1257*H1256</f>
        <v/>
      </c>
      <c r="I1257">
        <f>$C1257*I1256</f>
        <v/>
      </c>
      <c r="J1257">
        <f>$C1257*J1256</f>
        <v/>
      </c>
      <c r="K1257">
        <f>$C1257*K1256</f>
        <v/>
      </c>
      <c r="L1257">
        <f>$C1257*L1256</f>
        <v/>
      </c>
      <c r="M1257">
        <f>$C1257*M1256</f>
        <v/>
      </c>
      <c r="N1257">
        <f>$C1257*N1256</f>
        <v/>
      </c>
      <c r="O1257">
        <f>$C1257*O1256</f>
        <v/>
      </c>
      <c r="P1257">
        <f>$C1257*P1256</f>
        <v/>
      </c>
      <c r="Q1257">
        <f>$C1257*Q1256</f>
        <v/>
      </c>
      <c r="R1257">
        <f>$C1257*R1256</f>
        <v/>
      </c>
      <c r="S1257">
        <f>$C1257*S1256</f>
        <v/>
      </c>
      <c r="T1257">
        <f>$C1257*T1256</f>
        <v/>
      </c>
      <c r="U1257">
        <f>$C1257*U1256</f>
        <v/>
      </c>
      <c r="V1257">
        <f>$C1257*V1256</f>
        <v/>
      </c>
      <c r="W1257">
        <f>$C1257*W1256</f>
        <v/>
      </c>
      <c r="X1257">
        <f>$C1257*X1256</f>
        <v/>
      </c>
      <c r="Y1257">
        <f>$C1257*Y1256</f>
        <v/>
      </c>
      <c r="Z1257">
        <f>$C1257*Z1256</f>
        <v/>
      </c>
      <c r="AA1257">
        <f>$C1257*AA1256</f>
        <v/>
      </c>
      <c r="AB1257">
        <f>$C1257*AB1256</f>
        <v/>
      </c>
      <c r="AC1257">
        <f>$C1257*AC1256</f>
        <v/>
      </c>
      <c r="AD1257">
        <f>$C1257*AD1256</f>
        <v/>
      </c>
      <c r="AE1257">
        <f>$C1257*AE1256</f>
        <v/>
      </c>
      <c r="AF1257">
        <f>$C1257*AF1256</f>
        <v/>
      </c>
      <c r="AG1257">
        <f>$C1257*AG1256</f>
        <v/>
      </c>
      <c r="AH1257">
        <f>$C1257*AH1256</f>
        <v/>
      </c>
      <c r="AI1257">
        <f>$C1257*AI1256</f>
        <v/>
      </c>
      <c r="AJ1257">
        <f>$C1257*AJ1256</f>
        <v/>
      </c>
      <c r="AK1257">
        <f>$C1257*AK1256</f>
        <v/>
      </c>
      <c r="AL1257">
        <f>$C1257*AL1256</f>
        <v/>
      </c>
      <c r="AM1257">
        <f>$C1257*AM1256</f>
        <v/>
      </c>
      <c r="AN1257">
        <f>$C1257*AN1256</f>
        <v/>
      </c>
      <c r="AO1257">
        <f>$C1257*AO1256</f>
        <v/>
      </c>
      <c r="AP1257">
        <f>$C1257*AP1256</f>
        <v/>
      </c>
      <c r="AQ1257">
        <f>$C1257*AQ1256</f>
        <v/>
      </c>
      <c r="AR1257">
        <f>$C1257*AR1256</f>
        <v/>
      </c>
      <c r="AS1257">
        <f>$C1257*AS1256</f>
        <v/>
      </c>
      <c r="AT1257">
        <f>$C1257*AT1256</f>
        <v/>
      </c>
      <c r="AU1257">
        <f>$C1257*AU1256</f>
        <v/>
      </c>
      <c r="AV1257">
        <f>$C1257*AV1256</f>
        <v/>
      </c>
      <c r="AW1257">
        <f>$C1257*AW1256</f>
        <v/>
      </c>
      <c r="AX1257">
        <f>$C1257*AX1256</f>
        <v/>
      </c>
      <c r="AY1257">
        <f>$C1257*AY1256</f>
        <v/>
      </c>
      <c r="AZ1257">
        <f>$C1257*AZ1256</f>
        <v/>
      </c>
      <c r="BA1257">
        <f>$C1257*BA1256</f>
        <v/>
      </c>
      <c r="BB1257">
        <f>$C1257*BB1256</f>
        <v/>
      </c>
      <c r="BC1257">
        <f>$C1257*BC1256</f>
        <v/>
      </c>
      <c r="BD1257">
        <f>$C1257*BD1256</f>
        <v/>
      </c>
      <c r="BE1257">
        <f>$C1257*BE1256</f>
        <v/>
      </c>
      <c r="BF1257">
        <f>$C1257*BF1256</f>
        <v/>
      </c>
      <c r="BG1257">
        <f>$C1257*BG1256</f>
        <v/>
      </c>
      <c r="BH1257">
        <f>$C1257*BH1256</f>
        <v/>
      </c>
      <c r="BI1257">
        <f>$C1257*BI1256</f>
        <v/>
      </c>
      <c r="BJ1257">
        <f>$C1257*BJ1256</f>
        <v/>
      </c>
      <c r="BK1257">
        <f>$C1257*BK1256</f>
        <v/>
      </c>
      <c r="BL1257">
        <f>$C1257*BL1256</f>
        <v/>
      </c>
      <c r="BM1257">
        <f>$C1257*BM1256</f>
        <v/>
      </c>
      <c r="BN1257">
        <f>$C1257*BN1256</f>
        <v/>
      </c>
      <c r="BO1257">
        <f>$C1257*BO1256</f>
        <v/>
      </c>
      <c r="BP1257">
        <f>$C1257*BP1256</f>
        <v/>
      </c>
      <c r="BQ1257">
        <f>$C1257*BQ1256</f>
        <v/>
      </c>
      <c r="BR1257">
        <f>$C1257*BR1256</f>
        <v/>
      </c>
      <c r="BS1257">
        <f>$C1257*BS1256</f>
        <v/>
      </c>
      <c r="BT1257">
        <f>$C1257*BT1256</f>
        <v/>
      </c>
      <c r="BU1257">
        <f>$C1257*BU1256</f>
        <v/>
      </c>
      <c r="BV1257">
        <f>$C1257*BV1256</f>
        <v/>
      </c>
      <c r="BW1257">
        <f>$C1257*BW1256</f>
        <v/>
      </c>
      <c r="BX1257">
        <f>$C1257*BX1256</f>
        <v/>
      </c>
      <c r="BY1257">
        <f>$C1257*BY1256</f>
        <v/>
      </c>
      <c r="BZ1257">
        <f>$C1257*BZ1256</f>
        <v/>
      </c>
      <c r="CA1257">
        <f>$C1257*CA1256</f>
        <v/>
      </c>
      <c r="CB1257">
        <f>$C1257*CB1256</f>
        <v/>
      </c>
      <c r="CC1257">
        <f>$C1257*CC1256</f>
        <v/>
      </c>
      <c r="CD1257">
        <f>$C1257*CD1256</f>
        <v/>
      </c>
      <c r="CE1257">
        <f>$C1257*CE1256</f>
        <v/>
      </c>
      <c r="CF1257">
        <f>$C1257*CF1256</f>
        <v/>
      </c>
      <c r="CG1257">
        <f>$C1257*CG1256</f>
        <v/>
      </c>
      <c r="CH1257">
        <f>$C1257*CH1256</f>
        <v/>
      </c>
      <c r="CI1257">
        <f>$C1257*CI1256</f>
        <v/>
      </c>
      <c r="CJ1257">
        <f>$C1257*CJ1256</f>
        <v/>
      </c>
      <c r="CK1257">
        <f>$C1257*CK1256</f>
        <v/>
      </c>
      <c r="CL1257">
        <f>$C1257*CL1256</f>
        <v/>
      </c>
      <c r="CM1257">
        <f>$C1257*CM1256</f>
        <v/>
      </c>
      <c r="CN1257">
        <f>$C1257*CN1256</f>
        <v/>
      </c>
      <c r="CO1257">
        <f>$C1257*CO1256</f>
        <v/>
      </c>
      <c r="CP1257">
        <f>$C1257*CP1256</f>
        <v/>
      </c>
      <c r="CQ1257">
        <f>$C1257*CQ1256</f>
        <v/>
      </c>
      <c r="CR1257">
        <f>$C1257*CR1256</f>
        <v/>
      </c>
      <c r="CS1257">
        <f>$C1257*CS1256</f>
        <v/>
      </c>
      <c r="CT1257">
        <f>$C1257*CT1256</f>
        <v/>
      </c>
      <c r="CU1257">
        <f>$C1257*CU1256</f>
        <v/>
      </c>
      <c r="CV1257">
        <f>$C1257*CV1256</f>
        <v/>
      </c>
      <c r="CW1257">
        <f>$C1257*CW1256</f>
        <v/>
      </c>
      <c r="CX1257">
        <f>$C1257*CX1256</f>
        <v/>
      </c>
      <c r="CY1257">
        <f>$C1257*CY1256</f>
        <v/>
      </c>
      <c r="CZ1257">
        <f>$C1257*CZ1256</f>
        <v/>
      </c>
      <c r="DA1257">
        <f>$C1257*DA1256</f>
        <v/>
      </c>
      <c r="DB1257">
        <f>$C1257*DB1256</f>
        <v/>
      </c>
      <c r="DC1257">
        <f>$C1257*DC1256</f>
        <v/>
      </c>
      <c r="DD1257">
        <f>$C1257*DD1256</f>
        <v/>
      </c>
    </row>
    <row r="1258">
      <c r="B1258" t="inlineStr">
        <is>
          <t>TSP-937</t>
        </is>
      </c>
      <c r="C1258" t="inlineStr">
        <is>
          <t>No. of batches</t>
        </is>
      </c>
      <c r="D1258">
        <f>IFERROR(INDEX(E1258:DD1258,$F$1),"")</f>
        <v/>
      </c>
      <c r="E1258">
        <f>IFERROR(INDEX(PP_Grid[#Data],$DE1258,2),0)</f>
        <v/>
      </c>
      <c r="F1258">
        <f>IFERROR(INDEX(PP_Grid[#Data],$DE1258,3),0)</f>
        <v/>
      </c>
      <c r="G1258">
        <f>IFERROR(INDEX(PP_Grid[#Data],$DE1258,4),0)</f>
        <v/>
      </c>
      <c r="H1258">
        <f>IFERROR(INDEX(PP_Grid[#Data],$DE1258,5),0)</f>
        <v/>
      </c>
      <c r="I1258">
        <f>IFERROR(INDEX(PP_Grid[#Data],$DE1258,6),0)</f>
        <v/>
      </c>
      <c r="J1258">
        <f>IFERROR(INDEX(PP_Grid[#Data],$DE1258,7),0)</f>
        <v/>
      </c>
      <c r="K1258">
        <f>IFERROR(INDEX(PP_Grid[#Data],$DE1258,8),0)</f>
        <v/>
      </c>
      <c r="L1258">
        <f>IFERROR(INDEX(PP_Grid[#Data],$DE1258,9),0)</f>
        <v/>
      </c>
      <c r="M1258">
        <f>IFERROR(INDEX(PP_Grid[#Data],$DE1258,10),0)</f>
        <v/>
      </c>
      <c r="N1258">
        <f>IFERROR(INDEX(PP_Grid[#Data],$DE1258,11),0)</f>
        <v/>
      </c>
      <c r="O1258">
        <f>IFERROR(INDEX(PP_Grid[#Data],$DE1258,12),0)</f>
        <v/>
      </c>
      <c r="P1258">
        <f>IFERROR(INDEX(PP_Grid[#Data],$DE1258,13),0)</f>
        <v/>
      </c>
      <c r="Q1258">
        <f>IFERROR(INDEX(PP_Grid[#Data],$DE1258,14),0)</f>
        <v/>
      </c>
      <c r="R1258">
        <f>IFERROR(INDEX(PP_Grid[#Data],$DE1258,15),0)</f>
        <v/>
      </c>
      <c r="S1258">
        <f>IFERROR(INDEX(PP_Grid[#Data],$DE1258,16),0)</f>
        <v/>
      </c>
      <c r="T1258">
        <f>IFERROR(INDEX(PP_Grid[#Data],$DE1258,17),0)</f>
        <v/>
      </c>
      <c r="U1258">
        <f>IFERROR(INDEX(PP_Grid[#Data],$DE1258,18),0)</f>
        <v/>
      </c>
      <c r="V1258">
        <f>IFERROR(INDEX(PP_Grid[#Data],$DE1258,19),0)</f>
        <v/>
      </c>
      <c r="W1258">
        <f>IFERROR(INDEX(PP_Grid[#Data],$DE1258,20),0)</f>
        <v/>
      </c>
      <c r="X1258">
        <f>IFERROR(INDEX(PP_Grid[#Data],$DE1258,21),0)</f>
        <v/>
      </c>
      <c r="Y1258">
        <f>IFERROR(INDEX(PP_Grid[#Data],$DE1258,22),0)</f>
        <v/>
      </c>
      <c r="Z1258">
        <f>IFERROR(INDEX(PP_Grid[#Data],$DE1258,23),0)</f>
        <v/>
      </c>
      <c r="AA1258">
        <f>IFERROR(INDEX(PP_Grid[#Data],$DE1258,24),0)</f>
        <v/>
      </c>
      <c r="AB1258">
        <f>IFERROR(INDEX(PP_Grid[#Data],$DE1258,25),0)</f>
        <v/>
      </c>
      <c r="AC1258">
        <f>IFERROR(INDEX(PP_Grid[#Data],$DE1258,26),0)</f>
        <v/>
      </c>
      <c r="AD1258">
        <f>IFERROR(INDEX(PP_Grid[#Data],$DE1258,27),0)</f>
        <v/>
      </c>
      <c r="AE1258">
        <f>IFERROR(INDEX(PP_Grid[#Data],$DE1258,28),0)</f>
        <v/>
      </c>
      <c r="AF1258">
        <f>IFERROR(INDEX(PP_Grid[#Data],$DE1258,29),0)</f>
        <v/>
      </c>
      <c r="AG1258">
        <f>IFERROR(INDEX(PP_Grid[#Data],$DE1258,30),0)</f>
        <v/>
      </c>
      <c r="AH1258">
        <f>IFERROR(INDEX(PP_Grid[#Data],$DE1258,31),0)</f>
        <v/>
      </c>
      <c r="AI1258">
        <f>IFERROR(INDEX(PP_Grid[#Data],$DE1258,32),0)</f>
        <v/>
      </c>
      <c r="AJ1258">
        <f>IFERROR(INDEX(PP_Grid[#Data],$DE1258,33),0)</f>
        <v/>
      </c>
      <c r="AK1258">
        <f>IFERROR(INDEX(PP_Grid[#Data],$DE1258,34),0)</f>
        <v/>
      </c>
      <c r="AL1258">
        <f>IFERROR(INDEX(PP_Grid[#Data],$DE1258,35),0)</f>
        <v/>
      </c>
      <c r="AM1258">
        <f>IFERROR(INDEX(PP_Grid[#Data],$DE1258,36),0)</f>
        <v/>
      </c>
      <c r="AN1258">
        <f>IFERROR(INDEX(PP_Grid[#Data],$DE1258,37),0)</f>
        <v/>
      </c>
      <c r="AO1258">
        <f>IFERROR(INDEX(PP_Grid[#Data],$DE1258,38),0)</f>
        <v/>
      </c>
      <c r="AP1258">
        <f>IFERROR(INDEX(PP_Grid[#Data],$DE1258,39),0)</f>
        <v/>
      </c>
      <c r="AQ1258">
        <f>IFERROR(INDEX(PP_Grid[#Data],$DE1258,40),0)</f>
        <v/>
      </c>
      <c r="AR1258">
        <f>IFERROR(INDEX(PP_Grid[#Data],$DE1258,41),0)</f>
        <v/>
      </c>
      <c r="AS1258">
        <f>IFERROR(INDEX(PP_Grid[#Data],$DE1258,42),0)</f>
        <v/>
      </c>
      <c r="AT1258">
        <f>IFERROR(INDEX(PP_Grid[#Data],$DE1258,43),0)</f>
        <v/>
      </c>
      <c r="AU1258">
        <f>IFERROR(INDEX(PP_Grid[#Data],$DE1258,44),0)</f>
        <v/>
      </c>
      <c r="AV1258">
        <f>IFERROR(INDEX(PP_Grid[#Data],$DE1258,45),0)</f>
        <v/>
      </c>
      <c r="AW1258">
        <f>IFERROR(INDEX(PP_Grid[#Data],$DE1258,46),0)</f>
        <v/>
      </c>
      <c r="AX1258">
        <f>IFERROR(INDEX(PP_Grid[#Data],$DE1258,47),0)</f>
        <v/>
      </c>
      <c r="AY1258">
        <f>IFERROR(INDEX(PP_Grid[#Data],$DE1258,48),0)</f>
        <v/>
      </c>
      <c r="AZ1258">
        <f>IFERROR(INDEX(PP_Grid[#Data],$DE1258,49),0)</f>
        <v/>
      </c>
      <c r="BA1258">
        <f>IFERROR(INDEX(PP_Grid[#Data],$DE1258,50),0)</f>
        <v/>
      </c>
      <c r="BB1258">
        <f>IFERROR(INDEX(PP_Grid[#Data],$DE1258,51),0)</f>
        <v/>
      </c>
      <c r="BC1258">
        <f>IFERROR(INDEX(PP_Grid[#Data],$DE1258,52),0)</f>
        <v/>
      </c>
      <c r="BD1258">
        <f>IFERROR(INDEX(PP_Grid[#Data],$DE1258,53),0)</f>
        <v/>
      </c>
      <c r="BE1258">
        <f>IFERROR(INDEX(PP_Grid[#Data],$DE1258,54),0)</f>
        <v/>
      </c>
      <c r="BF1258">
        <f>IFERROR(INDEX(PP_Grid[#Data],$DE1258,55),0)</f>
        <v/>
      </c>
      <c r="BG1258">
        <f>IFERROR(INDEX(PP_Grid[#Data],$DE1258,56),0)</f>
        <v/>
      </c>
      <c r="BH1258">
        <f>IFERROR(INDEX(PP_Grid[#Data],$DE1258,57),0)</f>
        <v/>
      </c>
      <c r="BI1258">
        <f>IFERROR(INDEX(PP_Grid[#Data],$DE1258,58),0)</f>
        <v/>
      </c>
      <c r="BJ1258">
        <f>IFERROR(INDEX(PP_Grid[#Data],$DE1258,59),0)</f>
        <v/>
      </c>
      <c r="BK1258">
        <f>IFERROR(INDEX(PP_Grid[#Data],$DE1258,60),0)</f>
        <v/>
      </c>
      <c r="BL1258">
        <f>IFERROR(INDEX(PP_Grid[#Data],$DE1258,61),0)</f>
        <v/>
      </c>
      <c r="BM1258">
        <f>IFERROR(INDEX(PP_Grid[#Data],$DE1258,62),0)</f>
        <v/>
      </c>
      <c r="BN1258">
        <f>IFERROR(INDEX(PP_Grid[#Data],$DE1258,63),0)</f>
        <v/>
      </c>
      <c r="BO1258">
        <f>IFERROR(INDEX(PP_Grid[#Data],$DE1258,64),0)</f>
        <v/>
      </c>
      <c r="BP1258">
        <f>IFERROR(INDEX(PP_Grid[#Data],$DE1258,65),0)</f>
        <v/>
      </c>
      <c r="BQ1258">
        <f>IFERROR(INDEX(PP_Grid[#Data],$DE1258,66),0)</f>
        <v/>
      </c>
      <c r="BR1258">
        <f>IFERROR(INDEX(PP_Grid[#Data],$DE1258,67),0)</f>
        <v/>
      </c>
      <c r="BS1258">
        <f>IFERROR(INDEX(PP_Grid[#Data],$DE1258,68),0)</f>
        <v/>
      </c>
      <c r="BT1258">
        <f>IFERROR(INDEX(PP_Grid[#Data],$DE1258,69),0)</f>
        <v/>
      </c>
      <c r="BU1258">
        <f>IFERROR(INDEX(PP_Grid[#Data],$DE1258,70),0)</f>
        <v/>
      </c>
      <c r="BV1258">
        <f>IFERROR(INDEX(PP_Grid[#Data],$DE1258,71),0)</f>
        <v/>
      </c>
      <c r="BW1258">
        <f>IFERROR(INDEX(PP_Grid[#Data],$DE1258,72),0)</f>
        <v/>
      </c>
      <c r="BX1258">
        <f>IFERROR(INDEX(PP_Grid[#Data],$DE1258,73),0)</f>
        <v/>
      </c>
      <c r="BY1258">
        <f>IFERROR(INDEX(PP_Grid[#Data],$DE1258,74),0)</f>
        <v/>
      </c>
      <c r="BZ1258">
        <f>IFERROR(INDEX(PP_Grid[#Data],$DE1258,75),0)</f>
        <v/>
      </c>
      <c r="CA1258">
        <f>IFERROR(INDEX(PP_Grid[#Data],$DE1258,76),0)</f>
        <v/>
      </c>
      <c r="CB1258">
        <f>IFERROR(INDEX(PP_Grid[#Data],$DE1258,77),0)</f>
        <v/>
      </c>
      <c r="CC1258">
        <f>IFERROR(INDEX(PP_Grid[#Data],$DE1258,78),0)</f>
        <v/>
      </c>
      <c r="CD1258">
        <f>IFERROR(INDEX(PP_Grid[#Data],$DE1258,79),0)</f>
        <v/>
      </c>
      <c r="CE1258">
        <f>IFERROR(INDEX(PP_Grid[#Data],$DE1258,80),0)</f>
        <v/>
      </c>
      <c r="CF1258">
        <f>IFERROR(INDEX(PP_Grid[#Data],$DE1258,81),0)</f>
        <v/>
      </c>
      <c r="CG1258">
        <f>IFERROR(INDEX(PP_Grid[#Data],$DE1258,82),0)</f>
        <v/>
      </c>
      <c r="CH1258">
        <f>IFERROR(INDEX(PP_Grid[#Data],$DE1258,83),0)</f>
        <v/>
      </c>
      <c r="CI1258">
        <f>IFERROR(INDEX(PP_Grid[#Data],$DE1258,84),0)</f>
        <v/>
      </c>
      <c r="CJ1258">
        <f>IFERROR(INDEX(PP_Grid[#Data],$DE1258,85),0)</f>
        <v/>
      </c>
      <c r="CK1258">
        <f>IFERROR(INDEX(PP_Grid[#Data],$DE1258,86),0)</f>
        <v/>
      </c>
      <c r="CL1258">
        <f>IFERROR(INDEX(PP_Grid[#Data],$DE1258,87),0)</f>
        <v/>
      </c>
      <c r="CM1258">
        <f>IFERROR(INDEX(PP_Grid[#Data],$DE1258,88),0)</f>
        <v/>
      </c>
      <c r="CN1258">
        <f>IFERROR(INDEX(PP_Grid[#Data],$DE1258,89),0)</f>
        <v/>
      </c>
      <c r="CO1258">
        <f>IFERROR(INDEX(PP_Grid[#Data],$DE1258,90),0)</f>
        <v/>
      </c>
      <c r="CP1258">
        <f>IFERROR(INDEX(PP_Grid[#Data],$DE1258,91),0)</f>
        <v/>
      </c>
      <c r="CQ1258">
        <f>IFERROR(INDEX(PP_Grid[#Data],$DE1258,92),0)</f>
        <v/>
      </c>
      <c r="CR1258">
        <f>IFERROR(INDEX(PP_Grid[#Data],$DE1258,93),0)</f>
        <v/>
      </c>
      <c r="CS1258">
        <f>IFERROR(INDEX(PP_Grid[#Data],$DE1258,94),0)</f>
        <v/>
      </c>
      <c r="CT1258">
        <f>IFERROR(INDEX(PP_Grid[#Data],$DE1258,95),0)</f>
        <v/>
      </c>
      <c r="CU1258">
        <f>IFERROR(INDEX(PP_Grid[#Data],$DE1258,96),0)</f>
        <v/>
      </c>
      <c r="CV1258">
        <f>IFERROR(INDEX(PP_Grid[#Data],$DE1258,97),0)</f>
        <v/>
      </c>
      <c r="CW1258">
        <f>IFERROR(INDEX(PP_Grid[#Data],$DE1258,98),0)</f>
        <v/>
      </c>
      <c r="CX1258">
        <f>IFERROR(INDEX(PP_Grid[#Data],$DE1258,99),0)</f>
        <v/>
      </c>
      <c r="CY1258">
        <f>IFERROR(INDEX(PP_Grid[#Data],$DE1258,100),0)</f>
        <v/>
      </c>
      <c r="CZ1258">
        <f>IFERROR(INDEX(PP_Grid[#Data],$DE1258,101),0)</f>
        <v/>
      </c>
      <c r="DA1258">
        <f>IFERROR(INDEX(PP_Grid[#Data],$DE1258,102),0)</f>
        <v/>
      </c>
      <c r="DB1258">
        <f>IFERROR(INDEX(PP_Grid[#Data],$DE1258,103),0)</f>
        <v/>
      </c>
      <c r="DC1258">
        <f>IFERROR(INDEX(PP_Grid[#Data],$DE1258,104),0)</f>
        <v/>
      </c>
      <c r="DD1258">
        <f>IFERROR(INDEX(PP_Grid[#Data],$DE1258,105),0)</f>
        <v/>
      </c>
      <c r="DE1258" s="7">
        <f>IFERROR(MATCH($B1258,PP_Grid[Intermediate],0),99999)</f>
        <v/>
      </c>
    </row>
    <row r="1259">
      <c r="B1259" t="inlineStr">
        <is>
          <t>使用量(kg)</t>
        </is>
      </c>
      <c r="C1259">
        <f>SUMIFS(M_BOM[RM_Qty_Per_Batch],M_BOM[Intermediate],$B1258,M_BOM[RM_Code],$A1239)</f>
        <v/>
      </c>
      <c r="D1259">
        <f>IFERROR(INDEX(E1259:DD1259,$F$1),"")</f>
        <v/>
      </c>
      <c r="E1259">
        <f>$C1259*E1258</f>
        <v/>
      </c>
      <c r="F1259">
        <f>$C1259*F1258</f>
        <v/>
      </c>
      <c r="G1259">
        <f>$C1259*G1258</f>
        <v/>
      </c>
      <c r="H1259">
        <f>$C1259*H1258</f>
        <v/>
      </c>
      <c r="I1259">
        <f>$C1259*I1258</f>
        <v/>
      </c>
      <c r="J1259">
        <f>$C1259*J1258</f>
        <v/>
      </c>
      <c r="K1259">
        <f>$C1259*K1258</f>
        <v/>
      </c>
      <c r="L1259">
        <f>$C1259*L1258</f>
        <v/>
      </c>
      <c r="M1259">
        <f>$C1259*M1258</f>
        <v/>
      </c>
      <c r="N1259">
        <f>$C1259*N1258</f>
        <v/>
      </c>
      <c r="O1259">
        <f>$C1259*O1258</f>
        <v/>
      </c>
      <c r="P1259">
        <f>$C1259*P1258</f>
        <v/>
      </c>
      <c r="Q1259">
        <f>$C1259*Q1258</f>
        <v/>
      </c>
      <c r="R1259">
        <f>$C1259*R1258</f>
        <v/>
      </c>
      <c r="S1259">
        <f>$C1259*S1258</f>
        <v/>
      </c>
      <c r="T1259">
        <f>$C1259*T1258</f>
        <v/>
      </c>
      <c r="U1259">
        <f>$C1259*U1258</f>
        <v/>
      </c>
      <c r="V1259">
        <f>$C1259*V1258</f>
        <v/>
      </c>
      <c r="W1259">
        <f>$C1259*W1258</f>
        <v/>
      </c>
      <c r="X1259">
        <f>$C1259*X1258</f>
        <v/>
      </c>
      <c r="Y1259">
        <f>$C1259*Y1258</f>
        <v/>
      </c>
      <c r="Z1259">
        <f>$C1259*Z1258</f>
        <v/>
      </c>
      <c r="AA1259">
        <f>$C1259*AA1258</f>
        <v/>
      </c>
      <c r="AB1259">
        <f>$C1259*AB1258</f>
        <v/>
      </c>
      <c r="AC1259">
        <f>$C1259*AC1258</f>
        <v/>
      </c>
      <c r="AD1259">
        <f>$C1259*AD1258</f>
        <v/>
      </c>
      <c r="AE1259">
        <f>$C1259*AE1258</f>
        <v/>
      </c>
      <c r="AF1259">
        <f>$C1259*AF1258</f>
        <v/>
      </c>
      <c r="AG1259">
        <f>$C1259*AG1258</f>
        <v/>
      </c>
      <c r="AH1259">
        <f>$C1259*AH1258</f>
        <v/>
      </c>
      <c r="AI1259">
        <f>$C1259*AI1258</f>
        <v/>
      </c>
      <c r="AJ1259">
        <f>$C1259*AJ1258</f>
        <v/>
      </c>
      <c r="AK1259">
        <f>$C1259*AK1258</f>
        <v/>
      </c>
      <c r="AL1259">
        <f>$C1259*AL1258</f>
        <v/>
      </c>
      <c r="AM1259">
        <f>$C1259*AM1258</f>
        <v/>
      </c>
      <c r="AN1259">
        <f>$C1259*AN1258</f>
        <v/>
      </c>
      <c r="AO1259">
        <f>$C1259*AO1258</f>
        <v/>
      </c>
      <c r="AP1259">
        <f>$C1259*AP1258</f>
        <v/>
      </c>
      <c r="AQ1259">
        <f>$C1259*AQ1258</f>
        <v/>
      </c>
      <c r="AR1259">
        <f>$C1259*AR1258</f>
        <v/>
      </c>
      <c r="AS1259">
        <f>$C1259*AS1258</f>
        <v/>
      </c>
      <c r="AT1259">
        <f>$C1259*AT1258</f>
        <v/>
      </c>
      <c r="AU1259">
        <f>$C1259*AU1258</f>
        <v/>
      </c>
      <c r="AV1259">
        <f>$C1259*AV1258</f>
        <v/>
      </c>
      <c r="AW1259">
        <f>$C1259*AW1258</f>
        <v/>
      </c>
      <c r="AX1259">
        <f>$C1259*AX1258</f>
        <v/>
      </c>
      <c r="AY1259">
        <f>$C1259*AY1258</f>
        <v/>
      </c>
      <c r="AZ1259">
        <f>$C1259*AZ1258</f>
        <v/>
      </c>
      <c r="BA1259">
        <f>$C1259*BA1258</f>
        <v/>
      </c>
      <c r="BB1259">
        <f>$C1259*BB1258</f>
        <v/>
      </c>
      <c r="BC1259">
        <f>$C1259*BC1258</f>
        <v/>
      </c>
      <c r="BD1259">
        <f>$C1259*BD1258</f>
        <v/>
      </c>
      <c r="BE1259">
        <f>$C1259*BE1258</f>
        <v/>
      </c>
      <c r="BF1259">
        <f>$C1259*BF1258</f>
        <v/>
      </c>
      <c r="BG1259">
        <f>$C1259*BG1258</f>
        <v/>
      </c>
      <c r="BH1259">
        <f>$C1259*BH1258</f>
        <v/>
      </c>
      <c r="BI1259">
        <f>$C1259*BI1258</f>
        <v/>
      </c>
      <c r="BJ1259">
        <f>$C1259*BJ1258</f>
        <v/>
      </c>
      <c r="BK1259">
        <f>$C1259*BK1258</f>
        <v/>
      </c>
      <c r="BL1259">
        <f>$C1259*BL1258</f>
        <v/>
      </c>
      <c r="BM1259">
        <f>$C1259*BM1258</f>
        <v/>
      </c>
      <c r="BN1259">
        <f>$C1259*BN1258</f>
        <v/>
      </c>
      <c r="BO1259">
        <f>$C1259*BO1258</f>
        <v/>
      </c>
      <c r="BP1259">
        <f>$C1259*BP1258</f>
        <v/>
      </c>
      <c r="BQ1259">
        <f>$C1259*BQ1258</f>
        <v/>
      </c>
      <c r="BR1259">
        <f>$C1259*BR1258</f>
        <v/>
      </c>
      <c r="BS1259">
        <f>$C1259*BS1258</f>
        <v/>
      </c>
      <c r="BT1259">
        <f>$C1259*BT1258</f>
        <v/>
      </c>
      <c r="BU1259">
        <f>$C1259*BU1258</f>
        <v/>
      </c>
      <c r="BV1259">
        <f>$C1259*BV1258</f>
        <v/>
      </c>
      <c r="BW1259">
        <f>$C1259*BW1258</f>
        <v/>
      </c>
      <c r="BX1259">
        <f>$C1259*BX1258</f>
        <v/>
      </c>
      <c r="BY1259">
        <f>$C1259*BY1258</f>
        <v/>
      </c>
      <c r="BZ1259">
        <f>$C1259*BZ1258</f>
        <v/>
      </c>
      <c r="CA1259">
        <f>$C1259*CA1258</f>
        <v/>
      </c>
      <c r="CB1259">
        <f>$C1259*CB1258</f>
        <v/>
      </c>
      <c r="CC1259">
        <f>$C1259*CC1258</f>
        <v/>
      </c>
      <c r="CD1259">
        <f>$C1259*CD1258</f>
        <v/>
      </c>
      <c r="CE1259">
        <f>$C1259*CE1258</f>
        <v/>
      </c>
      <c r="CF1259">
        <f>$C1259*CF1258</f>
        <v/>
      </c>
      <c r="CG1259">
        <f>$C1259*CG1258</f>
        <v/>
      </c>
      <c r="CH1259">
        <f>$C1259*CH1258</f>
        <v/>
      </c>
      <c r="CI1259">
        <f>$C1259*CI1258</f>
        <v/>
      </c>
      <c r="CJ1259">
        <f>$C1259*CJ1258</f>
        <v/>
      </c>
      <c r="CK1259">
        <f>$C1259*CK1258</f>
        <v/>
      </c>
      <c r="CL1259">
        <f>$C1259*CL1258</f>
        <v/>
      </c>
      <c r="CM1259">
        <f>$C1259*CM1258</f>
        <v/>
      </c>
      <c r="CN1259">
        <f>$C1259*CN1258</f>
        <v/>
      </c>
      <c r="CO1259">
        <f>$C1259*CO1258</f>
        <v/>
      </c>
      <c r="CP1259">
        <f>$C1259*CP1258</f>
        <v/>
      </c>
      <c r="CQ1259">
        <f>$C1259*CQ1258</f>
        <v/>
      </c>
      <c r="CR1259">
        <f>$C1259*CR1258</f>
        <v/>
      </c>
      <c r="CS1259">
        <f>$C1259*CS1258</f>
        <v/>
      </c>
      <c r="CT1259">
        <f>$C1259*CT1258</f>
        <v/>
      </c>
      <c r="CU1259">
        <f>$C1259*CU1258</f>
        <v/>
      </c>
      <c r="CV1259">
        <f>$C1259*CV1258</f>
        <v/>
      </c>
      <c r="CW1259">
        <f>$C1259*CW1258</f>
        <v/>
      </c>
      <c r="CX1259">
        <f>$C1259*CX1258</f>
        <v/>
      </c>
      <c r="CY1259">
        <f>$C1259*CY1258</f>
        <v/>
      </c>
      <c r="CZ1259">
        <f>$C1259*CZ1258</f>
        <v/>
      </c>
      <c r="DA1259">
        <f>$C1259*DA1258</f>
        <v/>
      </c>
      <c r="DB1259">
        <f>$C1259*DB1258</f>
        <v/>
      </c>
      <c r="DC1259">
        <f>$C1259*DC1258</f>
        <v/>
      </c>
      <c r="DD1259">
        <f>$C1259*DD1258</f>
        <v/>
      </c>
    </row>
    <row r="1260">
      <c r="B1260" t="inlineStr">
        <is>
          <t>TSP-1444</t>
        </is>
      </c>
      <c r="C1260" t="inlineStr">
        <is>
          <t>No. of batches</t>
        </is>
      </c>
      <c r="D1260">
        <f>IFERROR(INDEX(E1260:DD1260,$F$1),"")</f>
        <v/>
      </c>
      <c r="E1260">
        <f>IFERROR(INDEX(PP_Grid[#Data],$DE1260,2),0)</f>
        <v/>
      </c>
      <c r="F1260">
        <f>IFERROR(INDEX(PP_Grid[#Data],$DE1260,3),0)</f>
        <v/>
      </c>
      <c r="G1260">
        <f>IFERROR(INDEX(PP_Grid[#Data],$DE1260,4),0)</f>
        <v/>
      </c>
      <c r="H1260">
        <f>IFERROR(INDEX(PP_Grid[#Data],$DE1260,5),0)</f>
        <v/>
      </c>
      <c r="I1260">
        <f>IFERROR(INDEX(PP_Grid[#Data],$DE1260,6),0)</f>
        <v/>
      </c>
      <c r="J1260">
        <f>IFERROR(INDEX(PP_Grid[#Data],$DE1260,7),0)</f>
        <v/>
      </c>
      <c r="K1260">
        <f>IFERROR(INDEX(PP_Grid[#Data],$DE1260,8),0)</f>
        <v/>
      </c>
      <c r="L1260">
        <f>IFERROR(INDEX(PP_Grid[#Data],$DE1260,9),0)</f>
        <v/>
      </c>
      <c r="M1260">
        <f>IFERROR(INDEX(PP_Grid[#Data],$DE1260,10),0)</f>
        <v/>
      </c>
      <c r="N1260">
        <f>IFERROR(INDEX(PP_Grid[#Data],$DE1260,11),0)</f>
        <v/>
      </c>
      <c r="O1260">
        <f>IFERROR(INDEX(PP_Grid[#Data],$DE1260,12),0)</f>
        <v/>
      </c>
      <c r="P1260">
        <f>IFERROR(INDEX(PP_Grid[#Data],$DE1260,13),0)</f>
        <v/>
      </c>
      <c r="Q1260">
        <f>IFERROR(INDEX(PP_Grid[#Data],$DE1260,14),0)</f>
        <v/>
      </c>
      <c r="R1260">
        <f>IFERROR(INDEX(PP_Grid[#Data],$DE1260,15),0)</f>
        <v/>
      </c>
      <c r="S1260">
        <f>IFERROR(INDEX(PP_Grid[#Data],$DE1260,16),0)</f>
        <v/>
      </c>
      <c r="T1260">
        <f>IFERROR(INDEX(PP_Grid[#Data],$DE1260,17),0)</f>
        <v/>
      </c>
      <c r="U1260">
        <f>IFERROR(INDEX(PP_Grid[#Data],$DE1260,18),0)</f>
        <v/>
      </c>
      <c r="V1260">
        <f>IFERROR(INDEX(PP_Grid[#Data],$DE1260,19),0)</f>
        <v/>
      </c>
      <c r="W1260">
        <f>IFERROR(INDEX(PP_Grid[#Data],$DE1260,20),0)</f>
        <v/>
      </c>
      <c r="X1260">
        <f>IFERROR(INDEX(PP_Grid[#Data],$DE1260,21),0)</f>
        <v/>
      </c>
      <c r="Y1260">
        <f>IFERROR(INDEX(PP_Grid[#Data],$DE1260,22),0)</f>
        <v/>
      </c>
      <c r="Z1260">
        <f>IFERROR(INDEX(PP_Grid[#Data],$DE1260,23),0)</f>
        <v/>
      </c>
      <c r="AA1260">
        <f>IFERROR(INDEX(PP_Grid[#Data],$DE1260,24),0)</f>
        <v/>
      </c>
      <c r="AB1260">
        <f>IFERROR(INDEX(PP_Grid[#Data],$DE1260,25),0)</f>
        <v/>
      </c>
      <c r="AC1260">
        <f>IFERROR(INDEX(PP_Grid[#Data],$DE1260,26),0)</f>
        <v/>
      </c>
      <c r="AD1260">
        <f>IFERROR(INDEX(PP_Grid[#Data],$DE1260,27),0)</f>
        <v/>
      </c>
      <c r="AE1260">
        <f>IFERROR(INDEX(PP_Grid[#Data],$DE1260,28),0)</f>
        <v/>
      </c>
      <c r="AF1260">
        <f>IFERROR(INDEX(PP_Grid[#Data],$DE1260,29),0)</f>
        <v/>
      </c>
      <c r="AG1260">
        <f>IFERROR(INDEX(PP_Grid[#Data],$DE1260,30),0)</f>
        <v/>
      </c>
      <c r="AH1260">
        <f>IFERROR(INDEX(PP_Grid[#Data],$DE1260,31),0)</f>
        <v/>
      </c>
      <c r="AI1260">
        <f>IFERROR(INDEX(PP_Grid[#Data],$DE1260,32),0)</f>
        <v/>
      </c>
      <c r="AJ1260">
        <f>IFERROR(INDEX(PP_Grid[#Data],$DE1260,33),0)</f>
        <v/>
      </c>
      <c r="AK1260">
        <f>IFERROR(INDEX(PP_Grid[#Data],$DE1260,34),0)</f>
        <v/>
      </c>
      <c r="AL1260">
        <f>IFERROR(INDEX(PP_Grid[#Data],$DE1260,35),0)</f>
        <v/>
      </c>
      <c r="AM1260">
        <f>IFERROR(INDEX(PP_Grid[#Data],$DE1260,36),0)</f>
        <v/>
      </c>
      <c r="AN1260">
        <f>IFERROR(INDEX(PP_Grid[#Data],$DE1260,37),0)</f>
        <v/>
      </c>
      <c r="AO1260">
        <f>IFERROR(INDEX(PP_Grid[#Data],$DE1260,38),0)</f>
        <v/>
      </c>
      <c r="AP1260">
        <f>IFERROR(INDEX(PP_Grid[#Data],$DE1260,39),0)</f>
        <v/>
      </c>
      <c r="AQ1260">
        <f>IFERROR(INDEX(PP_Grid[#Data],$DE1260,40),0)</f>
        <v/>
      </c>
      <c r="AR1260">
        <f>IFERROR(INDEX(PP_Grid[#Data],$DE1260,41),0)</f>
        <v/>
      </c>
      <c r="AS1260">
        <f>IFERROR(INDEX(PP_Grid[#Data],$DE1260,42),0)</f>
        <v/>
      </c>
      <c r="AT1260">
        <f>IFERROR(INDEX(PP_Grid[#Data],$DE1260,43),0)</f>
        <v/>
      </c>
      <c r="AU1260">
        <f>IFERROR(INDEX(PP_Grid[#Data],$DE1260,44),0)</f>
        <v/>
      </c>
      <c r="AV1260">
        <f>IFERROR(INDEX(PP_Grid[#Data],$DE1260,45),0)</f>
        <v/>
      </c>
      <c r="AW1260">
        <f>IFERROR(INDEX(PP_Grid[#Data],$DE1260,46),0)</f>
        <v/>
      </c>
      <c r="AX1260">
        <f>IFERROR(INDEX(PP_Grid[#Data],$DE1260,47),0)</f>
        <v/>
      </c>
      <c r="AY1260">
        <f>IFERROR(INDEX(PP_Grid[#Data],$DE1260,48),0)</f>
        <v/>
      </c>
      <c r="AZ1260">
        <f>IFERROR(INDEX(PP_Grid[#Data],$DE1260,49),0)</f>
        <v/>
      </c>
      <c r="BA1260">
        <f>IFERROR(INDEX(PP_Grid[#Data],$DE1260,50),0)</f>
        <v/>
      </c>
      <c r="BB1260">
        <f>IFERROR(INDEX(PP_Grid[#Data],$DE1260,51),0)</f>
        <v/>
      </c>
      <c r="BC1260">
        <f>IFERROR(INDEX(PP_Grid[#Data],$DE1260,52),0)</f>
        <v/>
      </c>
      <c r="BD1260">
        <f>IFERROR(INDEX(PP_Grid[#Data],$DE1260,53),0)</f>
        <v/>
      </c>
      <c r="BE1260">
        <f>IFERROR(INDEX(PP_Grid[#Data],$DE1260,54),0)</f>
        <v/>
      </c>
      <c r="BF1260">
        <f>IFERROR(INDEX(PP_Grid[#Data],$DE1260,55),0)</f>
        <v/>
      </c>
      <c r="BG1260">
        <f>IFERROR(INDEX(PP_Grid[#Data],$DE1260,56),0)</f>
        <v/>
      </c>
      <c r="BH1260">
        <f>IFERROR(INDEX(PP_Grid[#Data],$DE1260,57),0)</f>
        <v/>
      </c>
      <c r="BI1260">
        <f>IFERROR(INDEX(PP_Grid[#Data],$DE1260,58),0)</f>
        <v/>
      </c>
      <c r="BJ1260">
        <f>IFERROR(INDEX(PP_Grid[#Data],$DE1260,59),0)</f>
        <v/>
      </c>
      <c r="BK1260">
        <f>IFERROR(INDEX(PP_Grid[#Data],$DE1260,60),0)</f>
        <v/>
      </c>
      <c r="BL1260">
        <f>IFERROR(INDEX(PP_Grid[#Data],$DE1260,61),0)</f>
        <v/>
      </c>
      <c r="BM1260">
        <f>IFERROR(INDEX(PP_Grid[#Data],$DE1260,62),0)</f>
        <v/>
      </c>
      <c r="BN1260">
        <f>IFERROR(INDEX(PP_Grid[#Data],$DE1260,63),0)</f>
        <v/>
      </c>
      <c r="BO1260">
        <f>IFERROR(INDEX(PP_Grid[#Data],$DE1260,64),0)</f>
        <v/>
      </c>
      <c r="BP1260">
        <f>IFERROR(INDEX(PP_Grid[#Data],$DE1260,65),0)</f>
        <v/>
      </c>
      <c r="BQ1260">
        <f>IFERROR(INDEX(PP_Grid[#Data],$DE1260,66),0)</f>
        <v/>
      </c>
      <c r="BR1260">
        <f>IFERROR(INDEX(PP_Grid[#Data],$DE1260,67),0)</f>
        <v/>
      </c>
      <c r="BS1260">
        <f>IFERROR(INDEX(PP_Grid[#Data],$DE1260,68),0)</f>
        <v/>
      </c>
      <c r="BT1260">
        <f>IFERROR(INDEX(PP_Grid[#Data],$DE1260,69),0)</f>
        <v/>
      </c>
      <c r="BU1260">
        <f>IFERROR(INDEX(PP_Grid[#Data],$DE1260,70),0)</f>
        <v/>
      </c>
      <c r="BV1260">
        <f>IFERROR(INDEX(PP_Grid[#Data],$DE1260,71),0)</f>
        <v/>
      </c>
      <c r="BW1260">
        <f>IFERROR(INDEX(PP_Grid[#Data],$DE1260,72),0)</f>
        <v/>
      </c>
      <c r="BX1260">
        <f>IFERROR(INDEX(PP_Grid[#Data],$DE1260,73),0)</f>
        <v/>
      </c>
      <c r="BY1260">
        <f>IFERROR(INDEX(PP_Grid[#Data],$DE1260,74),0)</f>
        <v/>
      </c>
      <c r="BZ1260">
        <f>IFERROR(INDEX(PP_Grid[#Data],$DE1260,75),0)</f>
        <v/>
      </c>
      <c r="CA1260">
        <f>IFERROR(INDEX(PP_Grid[#Data],$DE1260,76),0)</f>
        <v/>
      </c>
      <c r="CB1260">
        <f>IFERROR(INDEX(PP_Grid[#Data],$DE1260,77),0)</f>
        <v/>
      </c>
      <c r="CC1260">
        <f>IFERROR(INDEX(PP_Grid[#Data],$DE1260,78),0)</f>
        <v/>
      </c>
      <c r="CD1260">
        <f>IFERROR(INDEX(PP_Grid[#Data],$DE1260,79),0)</f>
        <v/>
      </c>
      <c r="CE1260">
        <f>IFERROR(INDEX(PP_Grid[#Data],$DE1260,80),0)</f>
        <v/>
      </c>
      <c r="CF1260">
        <f>IFERROR(INDEX(PP_Grid[#Data],$DE1260,81),0)</f>
        <v/>
      </c>
      <c r="CG1260">
        <f>IFERROR(INDEX(PP_Grid[#Data],$DE1260,82),0)</f>
        <v/>
      </c>
      <c r="CH1260">
        <f>IFERROR(INDEX(PP_Grid[#Data],$DE1260,83),0)</f>
        <v/>
      </c>
      <c r="CI1260">
        <f>IFERROR(INDEX(PP_Grid[#Data],$DE1260,84),0)</f>
        <v/>
      </c>
      <c r="CJ1260">
        <f>IFERROR(INDEX(PP_Grid[#Data],$DE1260,85),0)</f>
        <v/>
      </c>
      <c r="CK1260">
        <f>IFERROR(INDEX(PP_Grid[#Data],$DE1260,86),0)</f>
        <v/>
      </c>
      <c r="CL1260">
        <f>IFERROR(INDEX(PP_Grid[#Data],$DE1260,87),0)</f>
        <v/>
      </c>
      <c r="CM1260">
        <f>IFERROR(INDEX(PP_Grid[#Data],$DE1260,88),0)</f>
        <v/>
      </c>
      <c r="CN1260">
        <f>IFERROR(INDEX(PP_Grid[#Data],$DE1260,89),0)</f>
        <v/>
      </c>
      <c r="CO1260">
        <f>IFERROR(INDEX(PP_Grid[#Data],$DE1260,90),0)</f>
        <v/>
      </c>
      <c r="CP1260">
        <f>IFERROR(INDEX(PP_Grid[#Data],$DE1260,91),0)</f>
        <v/>
      </c>
      <c r="CQ1260">
        <f>IFERROR(INDEX(PP_Grid[#Data],$DE1260,92),0)</f>
        <v/>
      </c>
      <c r="CR1260">
        <f>IFERROR(INDEX(PP_Grid[#Data],$DE1260,93),0)</f>
        <v/>
      </c>
      <c r="CS1260">
        <f>IFERROR(INDEX(PP_Grid[#Data],$DE1260,94),0)</f>
        <v/>
      </c>
      <c r="CT1260">
        <f>IFERROR(INDEX(PP_Grid[#Data],$DE1260,95),0)</f>
        <v/>
      </c>
      <c r="CU1260">
        <f>IFERROR(INDEX(PP_Grid[#Data],$DE1260,96),0)</f>
        <v/>
      </c>
      <c r="CV1260">
        <f>IFERROR(INDEX(PP_Grid[#Data],$DE1260,97),0)</f>
        <v/>
      </c>
      <c r="CW1260">
        <f>IFERROR(INDEX(PP_Grid[#Data],$DE1260,98),0)</f>
        <v/>
      </c>
      <c r="CX1260">
        <f>IFERROR(INDEX(PP_Grid[#Data],$DE1260,99),0)</f>
        <v/>
      </c>
      <c r="CY1260">
        <f>IFERROR(INDEX(PP_Grid[#Data],$DE1260,100),0)</f>
        <v/>
      </c>
      <c r="CZ1260">
        <f>IFERROR(INDEX(PP_Grid[#Data],$DE1260,101),0)</f>
        <v/>
      </c>
      <c r="DA1260">
        <f>IFERROR(INDEX(PP_Grid[#Data],$DE1260,102),0)</f>
        <v/>
      </c>
      <c r="DB1260">
        <f>IFERROR(INDEX(PP_Grid[#Data],$DE1260,103),0)</f>
        <v/>
      </c>
      <c r="DC1260">
        <f>IFERROR(INDEX(PP_Grid[#Data],$DE1260,104),0)</f>
        <v/>
      </c>
      <c r="DD1260">
        <f>IFERROR(INDEX(PP_Grid[#Data],$DE1260,105),0)</f>
        <v/>
      </c>
      <c r="DE1260" s="7">
        <f>IFERROR(MATCH($B1260,PP_Grid[Intermediate],0),99999)</f>
        <v/>
      </c>
    </row>
    <row r="1261">
      <c r="B1261" t="inlineStr">
        <is>
          <t>使用量(kg)</t>
        </is>
      </c>
      <c r="C1261">
        <f>SUMIFS(M_BOM[RM_Qty_Per_Batch],M_BOM[Intermediate],$B1260,M_BOM[RM_Code],$A1239)</f>
        <v/>
      </c>
      <c r="D1261">
        <f>IFERROR(INDEX(E1261:DD1261,$F$1),"")</f>
        <v/>
      </c>
      <c r="E1261">
        <f>$C1261*E1260</f>
        <v/>
      </c>
      <c r="F1261">
        <f>$C1261*F1260</f>
        <v/>
      </c>
      <c r="G1261">
        <f>$C1261*G1260</f>
        <v/>
      </c>
      <c r="H1261">
        <f>$C1261*H1260</f>
        <v/>
      </c>
      <c r="I1261">
        <f>$C1261*I1260</f>
        <v/>
      </c>
      <c r="J1261">
        <f>$C1261*J1260</f>
        <v/>
      </c>
      <c r="K1261">
        <f>$C1261*K1260</f>
        <v/>
      </c>
      <c r="L1261">
        <f>$C1261*L1260</f>
        <v/>
      </c>
      <c r="M1261">
        <f>$C1261*M1260</f>
        <v/>
      </c>
      <c r="N1261">
        <f>$C1261*N1260</f>
        <v/>
      </c>
      <c r="O1261">
        <f>$C1261*O1260</f>
        <v/>
      </c>
      <c r="P1261">
        <f>$C1261*P1260</f>
        <v/>
      </c>
      <c r="Q1261">
        <f>$C1261*Q1260</f>
        <v/>
      </c>
      <c r="R1261">
        <f>$C1261*R1260</f>
        <v/>
      </c>
      <c r="S1261">
        <f>$C1261*S1260</f>
        <v/>
      </c>
      <c r="T1261">
        <f>$C1261*T1260</f>
        <v/>
      </c>
      <c r="U1261">
        <f>$C1261*U1260</f>
        <v/>
      </c>
      <c r="V1261">
        <f>$C1261*V1260</f>
        <v/>
      </c>
      <c r="W1261">
        <f>$C1261*W1260</f>
        <v/>
      </c>
      <c r="X1261">
        <f>$C1261*X1260</f>
        <v/>
      </c>
      <c r="Y1261">
        <f>$C1261*Y1260</f>
        <v/>
      </c>
      <c r="Z1261">
        <f>$C1261*Z1260</f>
        <v/>
      </c>
      <c r="AA1261">
        <f>$C1261*AA1260</f>
        <v/>
      </c>
      <c r="AB1261">
        <f>$C1261*AB1260</f>
        <v/>
      </c>
      <c r="AC1261">
        <f>$C1261*AC1260</f>
        <v/>
      </c>
      <c r="AD1261">
        <f>$C1261*AD1260</f>
        <v/>
      </c>
      <c r="AE1261">
        <f>$C1261*AE1260</f>
        <v/>
      </c>
      <c r="AF1261">
        <f>$C1261*AF1260</f>
        <v/>
      </c>
      <c r="AG1261">
        <f>$C1261*AG1260</f>
        <v/>
      </c>
      <c r="AH1261">
        <f>$C1261*AH1260</f>
        <v/>
      </c>
      <c r="AI1261">
        <f>$C1261*AI1260</f>
        <v/>
      </c>
      <c r="AJ1261">
        <f>$C1261*AJ1260</f>
        <v/>
      </c>
      <c r="AK1261">
        <f>$C1261*AK1260</f>
        <v/>
      </c>
      <c r="AL1261">
        <f>$C1261*AL1260</f>
        <v/>
      </c>
      <c r="AM1261">
        <f>$C1261*AM1260</f>
        <v/>
      </c>
      <c r="AN1261">
        <f>$C1261*AN1260</f>
        <v/>
      </c>
      <c r="AO1261">
        <f>$C1261*AO1260</f>
        <v/>
      </c>
      <c r="AP1261">
        <f>$C1261*AP1260</f>
        <v/>
      </c>
      <c r="AQ1261">
        <f>$C1261*AQ1260</f>
        <v/>
      </c>
      <c r="AR1261">
        <f>$C1261*AR1260</f>
        <v/>
      </c>
      <c r="AS1261">
        <f>$C1261*AS1260</f>
        <v/>
      </c>
      <c r="AT1261">
        <f>$C1261*AT1260</f>
        <v/>
      </c>
      <c r="AU1261">
        <f>$C1261*AU1260</f>
        <v/>
      </c>
      <c r="AV1261">
        <f>$C1261*AV1260</f>
        <v/>
      </c>
      <c r="AW1261">
        <f>$C1261*AW1260</f>
        <v/>
      </c>
      <c r="AX1261">
        <f>$C1261*AX1260</f>
        <v/>
      </c>
      <c r="AY1261">
        <f>$C1261*AY1260</f>
        <v/>
      </c>
      <c r="AZ1261">
        <f>$C1261*AZ1260</f>
        <v/>
      </c>
      <c r="BA1261">
        <f>$C1261*BA1260</f>
        <v/>
      </c>
      <c r="BB1261">
        <f>$C1261*BB1260</f>
        <v/>
      </c>
      <c r="BC1261">
        <f>$C1261*BC1260</f>
        <v/>
      </c>
      <c r="BD1261">
        <f>$C1261*BD1260</f>
        <v/>
      </c>
      <c r="BE1261">
        <f>$C1261*BE1260</f>
        <v/>
      </c>
      <c r="BF1261">
        <f>$C1261*BF1260</f>
        <v/>
      </c>
      <c r="BG1261">
        <f>$C1261*BG1260</f>
        <v/>
      </c>
      <c r="BH1261">
        <f>$C1261*BH1260</f>
        <v/>
      </c>
      <c r="BI1261">
        <f>$C1261*BI1260</f>
        <v/>
      </c>
      <c r="BJ1261">
        <f>$C1261*BJ1260</f>
        <v/>
      </c>
      <c r="BK1261">
        <f>$C1261*BK1260</f>
        <v/>
      </c>
      <c r="BL1261">
        <f>$C1261*BL1260</f>
        <v/>
      </c>
      <c r="BM1261">
        <f>$C1261*BM1260</f>
        <v/>
      </c>
      <c r="BN1261">
        <f>$C1261*BN1260</f>
        <v/>
      </c>
      <c r="BO1261">
        <f>$C1261*BO1260</f>
        <v/>
      </c>
      <c r="BP1261">
        <f>$C1261*BP1260</f>
        <v/>
      </c>
      <c r="BQ1261">
        <f>$C1261*BQ1260</f>
        <v/>
      </c>
      <c r="BR1261">
        <f>$C1261*BR1260</f>
        <v/>
      </c>
      <c r="BS1261">
        <f>$C1261*BS1260</f>
        <v/>
      </c>
      <c r="BT1261">
        <f>$C1261*BT1260</f>
        <v/>
      </c>
      <c r="BU1261">
        <f>$C1261*BU1260</f>
        <v/>
      </c>
      <c r="BV1261">
        <f>$C1261*BV1260</f>
        <v/>
      </c>
      <c r="BW1261">
        <f>$C1261*BW1260</f>
        <v/>
      </c>
      <c r="BX1261">
        <f>$C1261*BX1260</f>
        <v/>
      </c>
      <c r="BY1261">
        <f>$C1261*BY1260</f>
        <v/>
      </c>
      <c r="BZ1261">
        <f>$C1261*BZ1260</f>
        <v/>
      </c>
      <c r="CA1261">
        <f>$C1261*CA1260</f>
        <v/>
      </c>
      <c r="CB1261">
        <f>$C1261*CB1260</f>
        <v/>
      </c>
      <c r="CC1261">
        <f>$C1261*CC1260</f>
        <v/>
      </c>
      <c r="CD1261">
        <f>$C1261*CD1260</f>
        <v/>
      </c>
      <c r="CE1261">
        <f>$C1261*CE1260</f>
        <v/>
      </c>
      <c r="CF1261">
        <f>$C1261*CF1260</f>
        <v/>
      </c>
      <c r="CG1261">
        <f>$C1261*CG1260</f>
        <v/>
      </c>
      <c r="CH1261">
        <f>$C1261*CH1260</f>
        <v/>
      </c>
      <c r="CI1261">
        <f>$C1261*CI1260</f>
        <v/>
      </c>
      <c r="CJ1261">
        <f>$C1261*CJ1260</f>
        <v/>
      </c>
      <c r="CK1261">
        <f>$C1261*CK1260</f>
        <v/>
      </c>
      <c r="CL1261">
        <f>$C1261*CL1260</f>
        <v/>
      </c>
      <c r="CM1261">
        <f>$C1261*CM1260</f>
        <v/>
      </c>
      <c r="CN1261">
        <f>$C1261*CN1260</f>
        <v/>
      </c>
      <c r="CO1261">
        <f>$C1261*CO1260</f>
        <v/>
      </c>
      <c r="CP1261">
        <f>$C1261*CP1260</f>
        <v/>
      </c>
      <c r="CQ1261">
        <f>$C1261*CQ1260</f>
        <v/>
      </c>
      <c r="CR1261">
        <f>$C1261*CR1260</f>
        <v/>
      </c>
      <c r="CS1261">
        <f>$C1261*CS1260</f>
        <v/>
      </c>
      <c r="CT1261">
        <f>$C1261*CT1260</f>
        <v/>
      </c>
      <c r="CU1261">
        <f>$C1261*CU1260</f>
        <v/>
      </c>
      <c r="CV1261">
        <f>$C1261*CV1260</f>
        <v/>
      </c>
      <c r="CW1261">
        <f>$C1261*CW1260</f>
        <v/>
      </c>
      <c r="CX1261">
        <f>$C1261*CX1260</f>
        <v/>
      </c>
      <c r="CY1261">
        <f>$C1261*CY1260</f>
        <v/>
      </c>
      <c r="CZ1261">
        <f>$C1261*CZ1260</f>
        <v/>
      </c>
      <c r="DA1261">
        <f>$C1261*DA1260</f>
        <v/>
      </c>
      <c r="DB1261">
        <f>$C1261*DB1260</f>
        <v/>
      </c>
      <c r="DC1261">
        <f>$C1261*DC1260</f>
        <v/>
      </c>
      <c r="DD1261">
        <f>$C1261*DD1260</f>
        <v/>
      </c>
    </row>
    <row r="1262">
      <c r="B1262" t="inlineStr">
        <is>
          <t>TSP-1448</t>
        </is>
      </c>
      <c r="C1262" t="inlineStr">
        <is>
          <t>No. of batches</t>
        </is>
      </c>
      <c r="D1262">
        <f>IFERROR(INDEX(E1262:DD1262,$F$1),"")</f>
        <v/>
      </c>
      <c r="E1262">
        <f>IFERROR(INDEX(PP_Grid[#Data],$DE1262,2),0)</f>
        <v/>
      </c>
      <c r="F1262">
        <f>IFERROR(INDEX(PP_Grid[#Data],$DE1262,3),0)</f>
        <v/>
      </c>
      <c r="G1262">
        <f>IFERROR(INDEX(PP_Grid[#Data],$DE1262,4),0)</f>
        <v/>
      </c>
      <c r="H1262">
        <f>IFERROR(INDEX(PP_Grid[#Data],$DE1262,5),0)</f>
        <v/>
      </c>
      <c r="I1262">
        <f>IFERROR(INDEX(PP_Grid[#Data],$DE1262,6),0)</f>
        <v/>
      </c>
      <c r="J1262">
        <f>IFERROR(INDEX(PP_Grid[#Data],$DE1262,7),0)</f>
        <v/>
      </c>
      <c r="K1262">
        <f>IFERROR(INDEX(PP_Grid[#Data],$DE1262,8),0)</f>
        <v/>
      </c>
      <c r="L1262">
        <f>IFERROR(INDEX(PP_Grid[#Data],$DE1262,9),0)</f>
        <v/>
      </c>
      <c r="M1262">
        <f>IFERROR(INDEX(PP_Grid[#Data],$DE1262,10),0)</f>
        <v/>
      </c>
      <c r="N1262">
        <f>IFERROR(INDEX(PP_Grid[#Data],$DE1262,11),0)</f>
        <v/>
      </c>
      <c r="O1262">
        <f>IFERROR(INDEX(PP_Grid[#Data],$DE1262,12),0)</f>
        <v/>
      </c>
      <c r="P1262">
        <f>IFERROR(INDEX(PP_Grid[#Data],$DE1262,13),0)</f>
        <v/>
      </c>
      <c r="Q1262">
        <f>IFERROR(INDEX(PP_Grid[#Data],$DE1262,14),0)</f>
        <v/>
      </c>
      <c r="R1262">
        <f>IFERROR(INDEX(PP_Grid[#Data],$DE1262,15),0)</f>
        <v/>
      </c>
      <c r="S1262">
        <f>IFERROR(INDEX(PP_Grid[#Data],$DE1262,16),0)</f>
        <v/>
      </c>
      <c r="T1262">
        <f>IFERROR(INDEX(PP_Grid[#Data],$DE1262,17),0)</f>
        <v/>
      </c>
      <c r="U1262">
        <f>IFERROR(INDEX(PP_Grid[#Data],$DE1262,18),0)</f>
        <v/>
      </c>
      <c r="V1262">
        <f>IFERROR(INDEX(PP_Grid[#Data],$DE1262,19),0)</f>
        <v/>
      </c>
      <c r="W1262">
        <f>IFERROR(INDEX(PP_Grid[#Data],$DE1262,20),0)</f>
        <v/>
      </c>
      <c r="X1262">
        <f>IFERROR(INDEX(PP_Grid[#Data],$DE1262,21),0)</f>
        <v/>
      </c>
      <c r="Y1262">
        <f>IFERROR(INDEX(PP_Grid[#Data],$DE1262,22),0)</f>
        <v/>
      </c>
      <c r="Z1262">
        <f>IFERROR(INDEX(PP_Grid[#Data],$DE1262,23),0)</f>
        <v/>
      </c>
      <c r="AA1262">
        <f>IFERROR(INDEX(PP_Grid[#Data],$DE1262,24),0)</f>
        <v/>
      </c>
      <c r="AB1262">
        <f>IFERROR(INDEX(PP_Grid[#Data],$DE1262,25),0)</f>
        <v/>
      </c>
      <c r="AC1262">
        <f>IFERROR(INDEX(PP_Grid[#Data],$DE1262,26),0)</f>
        <v/>
      </c>
      <c r="AD1262">
        <f>IFERROR(INDEX(PP_Grid[#Data],$DE1262,27),0)</f>
        <v/>
      </c>
      <c r="AE1262">
        <f>IFERROR(INDEX(PP_Grid[#Data],$DE1262,28),0)</f>
        <v/>
      </c>
      <c r="AF1262">
        <f>IFERROR(INDEX(PP_Grid[#Data],$DE1262,29),0)</f>
        <v/>
      </c>
      <c r="AG1262">
        <f>IFERROR(INDEX(PP_Grid[#Data],$DE1262,30),0)</f>
        <v/>
      </c>
      <c r="AH1262">
        <f>IFERROR(INDEX(PP_Grid[#Data],$DE1262,31),0)</f>
        <v/>
      </c>
      <c r="AI1262">
        <f>IFERROR(INDEX(PP_Grid[#Data],$DE1262,32),0)</f>
        <v/>
      </c>
      <c r="AJ1262">
        <f>IFERROR(INDEX(PP_Grid[#Data],$DE1262,33),0)</f>
        <v/>
      </c>
      <c r="AK1262">
        <f>IFERROR(INDEX(PP_Grid[#Data],$DE1262,34),0)</f>
        <v/>
      </c>
      <c r="AL1262">
        <f>IFERROR(INDEX(PP_Grid[#Data],$DE1262,35),0)</f>
        <v/>
      </c>
      <c r="AM1262">
        <f>IFERROR(INDEX(PP_Grid[#Data],$DE1262,36),0)</f>
        <v/>
      </c>
      <c r="AN1262">
        <f>IFERROR(INDEX(PP_Grid[#Data],$DE1262,37),0)</f>
        <v/>
      </c>
      <c r="AO1262">
        <f>IFERROR(INDEX(PP_Grid[#Data],$DE1262,38),0)</f>
        <v/>
      </c>
      <c r="AP1262">
        <f>IFERROR(INDEX(PP_Grid[#Data],$DE1262,39),0)</f>
        <v/>
      </c>
      <c r="AQ1262">
        <f>IFERROR(INDEX(PP_Grid[#Data],$DE1262,40),0)</f>
        <v/>
      </c>
      <c r="AR1262">
        <f>IFERROR(INDEX(PP_Grid[#Data],$DE1262,41),0)</f>
        <v/>
      </c>
      <c r="AS1262">
        <f>IFERROR(INDEX(PP_Grid[#Data],$DE1262,42),0)</f>
        <v/>
      </c>
      <c r="AT1262">
        <f>IFERROR(INDEX(PP_Grid[#Data],$DE1262,43),0)</f>
        <v/>
      </c>
      <c r="AU1262">
        <f>IFERROR(INDEX(PP_Grid[#Data],$DE1262,44),0)</f>
        <v/>
      </c>
      <c r="AV1262">
        <f>IFERROR(INDEX(PP_Grid[#Data],$DE1262,45),0)</f>
        <v/>
      </c>
      <c r="AW1262">
        <f>IFERROR(INDEX(PP_Grid[#Data],$DE1262,46),0)</f>
        <v/>
      </c>
      <c r="AX1262">
        <f>IFERROR(INDEX(PP_Grid[#Data],$DE1262,47),0)</f>
        <v/>
      </c>
      <c r="AY1262">
        <f>IFERROR(INDEX(PP_Grid[#Data],$DE1262,48),0)</f>
        <v/>
      </c>
      <c r="AZ1262">
        <f>IFERROR(INDEX(PP_Grid[#Data],$DE1262,49),0)</f>
        <v/>
      </c>
      <c r="BA1262">
        <f>IFERROR(INDEX(PP_Grid[#Data],$DE1262,50),0)</f>
        <v/>
      </c>
      <c r="BB1262">
        <f>IFERROR(INDEX(PP_Grid[#Data],$DE1262,51),0)</f>
        <v/>
      </c>
      <c r="BC1262">
        <f>IFERROR(INDEX(PP_Grid[#Data],$DE1262,52),0)</f>
        <v/>
      </c>
      <c r="BD1262">
        <f>IFERROR(INDEX(PP_Grid[#Data],$DE1262,53),0)</f>
        <v/>
      </c>
      <c r="BE1262">
        <f>IFERROR(INDEX(PP_Grid[#Data],$DE1262,54),0)</f>
        <v/>
      </c>
      <c r="BF1262">
        <f>IFERROR(INDEX(PP_Grid[#Data],$DE1262,55),0)</f>
        <v/>
      </c>
      <c r="BG1262">
        <f>IFERROR(INDEX(PP_Grid[#Data],$DE1262,56),0)</f>
        <v/>
      </c>
      <c r="BH1262">
        <f>IFERROR(INDEX(PP_Grid[#Data],$DE1262,57),0)</f>
        <v/>
      </c>
      <c r="BI1262">
        <f>IFERROR(INDEX(PP_Grid[#Data],$DE1262,58),0)</f>
        <v/>
      </c>
      <c r="BJ1262">
        <f>IFERROR(INDEX(PP_Grid[#Data],$DE1262,59),0)</f>
        <v/>
      </c>
      <c r="BK1262">
        <f>IFERROR(INDEX(PP_Grid[#Data],$DE1262,60),0)</f>
        <v/>
      </c>
      <c r="BL1262">
        <f>IFERROR(INDEX(PP_Grid[#Data],$DE1262,61),0)</f>
        <v/>
      </c>
      <c r="BM1262">
        <f>IFERROR(INDEX(PP_Grid[#Data],$DE1262,62),0)</f>
        <v/>
      </c>
      <c r="BN1262">
        <f>IFERROR(INDEX(PP_Grid[#Data],$DE1262,63),0)</f>
        <v/>
      </c>
      <c r="BO1262">
        <f>IFERROR(INDEX(PP_Grid[#Data],$DE1262,64),0)</f>
        <v/>
      </c>
      <c r="BP1262">
        <f>IFERROR(INDEX(PP_Grid[#Data],$DE1262,65),0)</f>
        <v/>
      </c>
      <c r="BQ1262">
        <f>IFERROR(INDEX(PP_Grid[#Data],$DE1262,66),0)</f>
        <v/>
      </c>
      <c r="BR1262">
        <f>IFERROR(INDEX(PP_Grid[#Data],$DE1262,67),0)</f>
        <v/>
      </c>
      <c r="BS1262">
        <f>IFERROR(INDEX(PP_Grid[#Data],$DE1262,68),0)</f>
        <v/>
      </c>
      <c r="BT1262">
        <f>IFERROR(INDEX(PP_Grid[#Data],$DE1262,69),0)</f>
        <v/>
      </c>
      <c r="BU1262">
        <f>IFERROR(INDEX(PP_Grid[#Data],$DE1262,70),0)</f>
        <v/>
      </c>
      <c r="BV1262">
        <f>IFERROR(INDEX(PP_Grid[#Data],$DE1262,71),0)</f>
        <v/>
      </c>
      <c r="BW1262">
        <f>IFERROR(INDEX(PP_Grid[#Data],$DE1262,72),0)</f>
        <v/>
      </c>
      <c r="BX1262">
        <f>IFERROR(INDEX(PP_Grid[#Data],$DE1262,73),0)</f>
        <v/>
      </c>
      <c r="BY1262">
        <f>IFERROR(INDEX(PP_Grid[#Data],$DE1262,74),0)</f>
        <v/>
      </c>
      <c r="BZ1262">
        <f>IFERROR(INDEX(PP_Grid[#Data],$DE1262,75),0)</f>
        <v/>
      </c>
      <c r="CA1262">
        <f>IFERROR(INDEX(PP_Grid[#Data],$DE1262,76),0)</f>
        <v/>
      </c>
      <c r="CB1262">
        <f>IFERROR(INDEX(PP_Grid[#Data],$DE1262,77),0)</f>
        <v/>
      </c>
      <c r="CC1262">
        <f>IFERROR(INDEX(PP_Grid[#Data],$DE1262,78),0)</f>
        <v/>
      </c>
      <c r="CD1262">
        <f>IFERROR(INDEX(PP_Grid[#Data],$DE1262,79),0)</f>
        <v/>
      </c>
      <c r="CE1262">
        <f>IFERROR(INDEX(PP_Grid[#Data],$DE1262,80),0)</f>
        <v/>
      </c>
      <c r="CF1262">
        <f>IFERROR(INDEX(PP_Grid[#Data],$DE1262,81),0)</f>
        <v/>
      </c>
      <c r="CG1262">
        <f>IFERROR(INDEX(PP_Grid[#Data],$DE1262,82),0)</f>
        <v/>
      </c>
      <c r="CH1262">
        <f>IFERROR(INDEX(PP_Grid[#Data],$DE1262,83),0)</f>
        <v/>
      </c>
      <c r="CI1262">
        <f>IFERROR(INDEX(PP_Grid[#Data],$DE1262,84),0)</f>
        <v/>
      </c>
      <c r="CJ1262">
        <f>IFERROR(INDEX(PP_Grid[#Data],$DE1262,85),0)</f>
        <v/>
      </c>
      <c r="CK1262">
        <f>IFERROR(INDEX(PP_Grid[#Data],$DE1262,86),0)</f>
        <v/>
      </c>
      <c r="CL1262">
        <f>IFERROR(INDEX(PP_Grid[#Data],$DE1262,87),0)</f>
        <v/>
      </c>
      <c r="CM1262">
        <f>IFERROR(INDEX(PP_Grid[#Data],$DE1262,88),0)</f>
        <v/>
      </c>
      <c r="CN1262">
        <f>IFERROR(INDEX(PP_Grid[#Data],$DE1262,89),0)</f>
        <v/>
      </c>
      <c r="CO1262">
        <f>IFERROR(INDEX(PP_Grid[#Data],$DE1262,90),0)</f>
        <v/>
      </c>
      <c r="CP1262">
        <f>IFERROR(INDEX(PP_Grid[#Data],$DE1262,91),0)</f>
        <v/>
      </c>
      <c r="CQ1262">
        <f>IFERROR(INDEX(PP_Grid[#Data],$DE1262,92),0)</f>
        <v/>
      </c>
      <c r="CR1262">
        <f>IFERROR(INDEX(PP_Grid[#Data],$DE1262,93),0)</f>
        <v/>
      </c>
      <c r="CS1262">
        <f>IFERROR(INDEX(PP_Grid[#Data],$DE1262,94),0)</f>
        <v/>
      </c>
      <c r="CT1262">
        <f>IFERROR(INDEX(PP_Grid[#Data],$DE1262,95),0)</f>
        <v/>
      </c>
      <c r="CU1262">
        <f>IFERROR(INDEX(PP_Grid[#Data],$DE1262,96),0)</f>
        <v/>
      </c>
      <c r="CV1262">
        <f>IFERROR(INDEX(PP_Grid[#Data],$DE1262,97),0)</f>
        <v/>
      </c>
      <c r="CW1262">
        <f>IFERROR(INDEX(PP_Grid[#Data],$DE1262,98),0)</f>
        <v/>
      </c>
      <c r="CX1262">
        <f>IFERROR(INDEX(PP_Grid[#Data],$DE1262,99),0)</f>
        <v/>
      </c>
      <c r="CY1262">
        <f>IFERROR(INDEX(PP_Grid[#Data],$DE1262,100),0)</f>
        <v/>
      </c>
      <c r="CZ1262">
        <f>IFERROR(INDEX(PP_Grid[#Data],$DE1262,101),0)</f>
        <v/>
      </c>
      <c r="DA1262">
        <f>IFERROR(INDEX(PP_Grid[#Data],$DE1262,102),0)</f>
        <v/>
      </c>
      <c r="DB1262">
        <f>IFERROR(INDEX(PP_Grid[#Data],$DE1262,103),0)</f>
        <v/>
      </c>
      <c r="DC1262">
        <f>IFERROR(INDEX(PP_Grid[#Data],$DE1262,104),0)</f>
        <v/>
      </c>
      <c r="DD1262">
        <f>IFERROR(INDEX(PP_Grid[#Data],$DE1262,105),0)</f>
        <v/>
      </c>
      <c r="DE1262" s="7">
        <f>IFERROR(MATCH($B1262,PP_Grid[Intermediate],0),99999)</f>
        <v/>
      </c>
    </row>
    <row r="1263">
      <c r="B1263" t="inlineStr">
        <is>
          <t>使用量(kg)</t>
        </is>
      </c>
      <c r="C1263">
        <f>SUMIFS(M_BOM[RM_Qty_Per_Batch],M_BOM[Intermediate],$B1262,M_BOM[RM_Code],$A1239)</f>
        <v/>
      </c>
      <c r="D1263">
        <f>IFERROR(INDEX(E1263:DD1263,$F$1),"")</f>
        <v/>
      </c>
      <c r="E1263">
        <f>$C1263*E1262</f>
        <v/>
      </c>
      <c r="F1263">
        <f>$C1263*F1262</f>
        <v/>
      </c>
      <c r="G1263">
        <f>$C1263*G1262</f>
        <v/>
      </c>
      <c r="H1263">
        <f>$C1263*H1262</f>
        <v/>
      </c>
      <c r="I1263">
        <f>$C1263*I1262</f>
        <v/>
      </c>
      <c r="J1263">
        <f>$C1263*J1262</f>
        <v/>
      </c>
      <c r="K1263">
        <f>$C1263*K1262</f>
        <v/>
      </c>
      <c r="L1263">
        <f>$C1263*L1262</f>
        <v/>
      </c>
      <c r="M1263">
        <f>$C1263*M1262</f>
        <v/>
      </c>
      <c r="N1263">
        <f>$C1263*N1262</f>
        <v/>
      </c>
      <c r="O1263">
        <f>$C1263*O1262</f>
        <v/>
      </c>
      <c r="P1263">
        <f>$C1263*P1262</f>
        <v/>
      </c>
      <c r="Q1263">
        <f>$C1263*Q1262</f>
        <v/>
      </c>
      <c r="R1263">
        <f>$C1263*R1262</f>
        <v/>
      </c>
      <c r="S1263">
        <f>$C1263*S1262</f>
        <v/>
      </c>
      <c r="T1263">
        <f>$C1263*T1262</f>
        <v/>
      </c>
      <c r="U1263">
        <f>$C1263*U1262</f>
        <v/>
      </c>
      <c r="V1263">
        <f>$C1263*V1262</f>
        <v/>
      </c>
      <c r="W1263">
        <f>$C1263*W1262</f>
        <v/>
      </c>
      <c r="X1263">
        <f>$C1263*X1262</f>
        <v/>
      </c>
      <c r="Y1263">
        <f>$C1263*Y1262</f>
        <v/>
      </c>
      <c r="Z1263">
        <f>$C1263*Z1262</f>
        <v/>
      </c>
      <c r="AA1263">
        <f>$C1263*AA1262</f>
        <v/>
      </c>
      <c r="AB1263">
        <f>$C1263*AB1262</f>
        <v/>
      </c>
      <c r="AC1263">
        <f>$C1263*AC1262</f>
        <v/>
      </c>
      <c r="AD1263">
        <f>$C1263*AD1262</f>
        <v/>
      </c>
      <c r="AE1263">
        <f>$C1263*AE1262</f>
        <v/>
      </c>
      <c r="AF1263">
        <f>$C1263*AF1262</f>
        <v/>
      </c>
      <c r="AG1263">
        <f>$C1263*AG1262</f>
        <v/>
      </c>
      <c r="AH1263">
        <f>$C1263*AH1262</f>
        <v/>
      </c>
      <c r="AI1263">
        <f>$C1263*AI1262</f>
        <v/>
      </c>
      <c r="AJ1263">
        <f>$C1263*AJ1262</f>
        <v/>
      </c>
      <c r="AK1263">
        <f>$C1263*AK1262</f>
        <v/>
      </c>
      <c r="AL1263">
        <f>$C1263*AL1262</f>
        <v/>
      </c>
      <c r="AM1263">
        <f>$C1263*AM1262</f>
        <v/>
      </c>
      <c r="AN1263">
        <f>$C1263*AN1262</f>
        <v/>
      </c>
      <c r="AO1263">
        <f>$C1263*AO1262</f>
        <v/>
      </c>
      <c r="AP1263">
        <f>$C1263*AP1262</f>
        <v/>
      </c>
      <c r="AQ1263">
        <f>$C1263*AQ1262</f>
        <v/>
      </c>
      <c r="AR1263">
        <f>$C1263*AR1262</f>
        <v/>
      </c>
      <c r="AS1263">
        <f>$C1263*AS1262</f>
        <v/>
      </c>
      <c r="AT1263">
        <f>$C1263*AT1262</f>
        <v/>
      </c>
      <c r="AU1263">
        <f>$C1263*AU1262</f>
        <v/>
      </c>
      <c r="AV1263">
        <f>$C1263*AV1262</f>
        <v/>
      </c>
      <c r="AW1263">
        <f>$C1263*AW1262</f>
        <v/>
      </c>
      <c r="AX1263">
        <f>$C1263*AX1262</f>
        <v/>
      </c>
      <c r="AY1263">
        <f>$C1263*AY1262</f>
        <v/>
      </c>
      <c r="AZ1263">
        <f>$C1263*AZ1262</f>
        <v/>
      </c>
      <c r="BA1263">
        <f>$C1263*BA1262</f>
        <v/>
      </c>
      <c r="BB1263">
        <f>$C1263*BB1262</f>
        <v/>
      </c>
      <c r="BC1263">
        <f>$C1263*BC1262</f>
        <v/>
      </c>
      <c r="BD1263">
        <f>$C1263*BD1262</f>
        <v/>
      </c>
      <c r="BE1263">
        <f>$C1263*BE1262</f>
        <v/>
      </c>
      <c r="BF1263">
        <f>$C1263*BF1262</f>
        <v/>
      </c>
      <c r="BG1263">
        <f>$C1263*BG1262</f>
        <v/>
      </c>
      <c r="BH1263">
        <f>$C1263*BH1262</f>
        <v/>
      </c>
      <c r="BI1263">
        <f>$C1263*BI1262</f>
        <v/>
      </c>
      <c r="BJ1263">
        <f>$C1263*BJ1262</f>
        <v/>
      </c>
      <c r="BK1263">
        <f>$C1263*BK1262</f>
        <v/>
      </c>
      <c r="BL1263">
        <f>$C1263*BL1262</f>
        <v/>
      </c>
      <c r="BM1263">
        <f>$C1263*BM1262</f>
        <v/>
      </c>
      <c r="BN1263">
        <f>$C1263*BN1262</f>
        <v/>
      </c>
      <c r="BO1263">
        <f>$C1263*BO1262</f>
        <v/>
      </c>
      <c r="BP1263">
        <f>$C1263*BP1262</f>
        <v/>
      </c>
      <c r="BQ1263">
        <f>$C1263*BQ1262</f>
        <v/>
      </c>
      <c r="BR1263">
        <f>$C1263*BR1262</f>
        <v/>
      </c>
      <c r="BS1263">
        <f>$C1263*BS1262</f>
        <v/>
      </c>
      <c r="BT1263">
        <f>$C1263*BT1262</f>
        <v/>
      </c>
      <c r="BU1263">
        <f>$C1263*BU1262</f>
        <v/>
      </c>
      <c r="BV1263">
        <f>$C1263*BV1262</f>
        <v/>
      </c>
      <c r="BW1263">
        <f>$C1263*BW1262</f>
        <v/>
      </c>
      <c r="BX1263">
        <f>$C1263*BX1262</f>
        <v/>
      </c>
      <c r="BY1263">
        <f>$C1263*BY1262</f>
        <v/>
      </c>
      <c r="BZ1263">
        <f>$C1263*BZ1262</f>
        <v/>
      </c>
      <c r="CA1263">
        <f>$C1263*CA1262</f>
        <v/>
      </c>
      <c r="CB1263">
        <f>$C1263*CB1262</f>
        <v/>
      </c>
      <c r="CC1263">
        <f>$C1263*CC1262</f>
        <v/>
      </c>
      <c r="CD1263">
        <f>$C1263*CD1262</f>
        <v/>
      </c>
      <c r="CE1263">
        <f>$C1263*CE1262</f>
        <v/>
      </c>
      <c r="CF1263">
        <f>$C1263*CF1262</f>
        <v/>
      </c>
      <c r="CG1263">
        <f>$C1263*CG1262</f>
        <v/>
      </c>
      <c r="CH1263">
        <f>$C1263*CH1262</f>
        <v/>
      </c>
      <c r="CI1263">
        <f>$C1263*CI1262</f>
        <v/>
      </c>
      <c r="CJ1263">
        <f>$C1263*CJ1262</f>
        <v/>
      </c>
      <c r="CK1263">
        <f>$C1263*CK1262</f>
        <v/>
      </c>
      <c r="CL1263">
        <f>$C1263*CL1262</f>
        <v/>
      </c>
      <c r="CM1263">
        <f>$C1263*CM1262</f>
        <v/>
      </c>
      <c r="CN1263">
        <f>$C1263*CN1262</f>
        <v/>
      </c>
      <c r="CO1263">
        <f>$C1263*CO1262</f>
        <v/>
      </c>
      <c r="CP1263">
        <f>$C1263*CP1262</f>
        <v/>
      </c>
      <c r="CQ1263">
        <f>$C1263*CQ1262</f>
        <v/>
      </c>
      <c r="CR1263">
        <f>$C1263*CR1262</f>
        <v/>
      </c>
      <c r="CS1263">
        <f>$C1263*CS1262</f>
        <v/>
      </c>
      <c r="CT1263">
        <f>$C1263*CT1262</f>
        <v/>
      </c>
      <c r="CU1263">
        <f>$C1263*CU1262</f>
        <v/>
      </c>
      <c r="CV1263">
        <f>$C1263*CV1262</f>
        <v/>
      </c>
      <c r="CW1263">
        <f>$C1263*CW1262</f>
        <v/>
      </c>
      <c r="CX1263">
        <f>$C1263*CX1262</f>
        <v/>
      </c>
      <c r="CY1263">
        <f>$C1263*CY1262</f>
        <v/>
      </c>
      <c r="CZ1263">
        <f>$C1263*CZ1262</f>
        <v/>
      </c>
      <c r="DA1263">
        <f>$C1263*DA1262</f>
        <v/>
      </c>
      <c r="DB1263">
        <f>$C1263*DB1262</f>
        <v/>
      </c>
      <c r="DC1263">
        <f>$C1263*DC1262</f>
        <v/>
      </c>
      <c r="DD1263">
        <f>$C1263*DD1262</f>
        <v/>
      </c>
    </row>
    <row r="1264">
      <c r="B1264" t="inlineStr">
        <is>
          <t>TSP-1445</t>
        </is>
      </c>
      <c r="C1264" t="inlineStr">
        <is>
          <t>No. of batches</t>
        </is>
      </c>
      <c r="D1264">
        <f>IFERROR(INDEX(E1264:DD1264,$F$1),"")</f>
        <v/>
      </c>
      <c r="E1264">
        <f>IFERROR(INDEX(PP_Grid[#Data],$DE1264,2),0)</f>
        <v/>
      </c>
      <c r="F1264">
        <f>IFERROR(INDEX(PP_Grid[#Data],$DE1264,3),0)</f>
        <v/>
      </c>
      <c r="G1264">
        <f>IFERROR(INDEX(PP_Grid[#Data],$DE1264,4),0)</f>
        <v/>
      </c>
      <c r="H1264">
        <f>IFERROR(INDEX(PP_Grid[#Data],$DE1264,5),0)</f>
        <v/>
      </c>
      <c r="I1264">
        <f>IFERROR(INDEX(PP_Grid[#Data],$DE1264,6),0)</f>
        <v/>
      </c>
      <c r="J1264">
        <f>IFERROR(INDEX(PP_Grid[#Data],$DE1264,7),0)</f>
        <v/>
      </c>
      <c r="K1264">
        <f>IFERROR(INDEX(PP_Grid[#Data],$DE1264,8),0)</f>
        <v/>
      </c>
      <c r="L1264">
        <f>IFERROR(INDEX(PP_Grid[#Data],$DE1264,9),0)</f>
        <v/>
      </c>
      <c r="M1264">
        <f>IFERROR(INDEX(PP_Grid[#Data],$DE1264,10),0)</f>
        <v/>
      </c>
      <c r="N1264">
        <f>IFERROR(INDEX(PP_Grid[#Data],$DE1264,11),0)</f>
        <v/>
      </c>
      <c r="O1264">
        <f>IFERROR(INDEX(PP_Grid[#Data],$DE1264,12),0)</f>
        <v/>
      </c>
      <c r="P1264">
        <f>IFERROR(INDEX(PP_Grid[#Data],$DE1264,13),0)</f>
        <v/>
      </c>
      <c r="Q1264">
        <f>IFERROR(INDEX(PP_Grid[#Data],$DE1264,14),0)</f>
        <v/>
      </c>
      <c r="R1264">
        <f>IFERROR(INDEX(PP_Grid[#Data],$DE1264,15),0)</f>
        <v/>
      </c>
      <c r="S1264">
        <f>IFERROR(INDEX(PP_Grid[#Data],$DE1264,16),0)</f>
        <v/>
      </c>
      <c r="T1264">
        <f>IFERROR(INDEX(PP_Grid[#Data],$DE1264,17),0)</f>
        <v/>
      </c>
      <c r="U1264">
        <f>IFERROR(INDEX(PP_Grid[#Data],$DE1264,18),0)</f>
        <v/>
      </c>
      <c r="V1264">
        <f>IFERROR(INDEX(PP_Grid[#Data],$DE1264,19),0)</f>
        <v/>
      </c>
      <c r="W1264">
        <f>IFERROR(INDEX(PP_Grid[#Data],$DE1264,20),0)</f>
        <v/>
      </c>
      <c r="X1264">
        <f>IFERROR(INDEX(PP_Grid[#Data],$DE1264,21),0)</f>
        <v/>
      </c>
      <c r="Y1264">
        <f>IFERROR(INDEX(PP_Grid[#Data],$DE1264,22),0)</f>
        <v/>
      </c>
      <c r="Z1264">
        <f>IFERROR(INDEX(PP_Grid[#Data],$DE1264,23),0)</f>
        <v/>
      </c>
      <c r="AA1264">
        <f>IFERROR(INDEX(PP_Grid[#Data],$DE1264,24),0)</f>
        <v/>
      </c>
      <c r="AB1264">
        <f>IFERROR(INDEX(PP_Grid[#Data],$DE1264,25),0)</f>
        <v/>
      </c>
      <c r="AC1264">
        <f>IFERROR(INDEX(PP_Grid[#Data],$DE1264,26),0)</f>
        <v/>
      </c>
      <c r="AD1264">
        <f>IFERROR(INDEX(PP_Grid[#Data],$DE1264,27),0)</f>
        <v/>
      </c>
      <c r="AE1264">
        <f>IFERROR(INDEX(PP_Grid[#Data],$DE1264,28),0)</f>
        <v/>
      </c>
      <c r="AF1264">
        <f>IFERROR(INDEX(PP_Grid[#Data],$DE1264,29),0)</f>
        <v/>
      </c>
      <c r="AG1264">
        <f>IFERROR(INDEX(PP_Grid[#Data],$DE1264,30),0)</f>
        <v/>
      </c>
      <c r="AH1264">
        <f>IFERROR(INDEX(PP_Grid[#Data],$DE1264,31),0)</f>
        <v/>
      </c>
      <c r="AI1264">
        <f>IFERROR(INDEX(PP_Grid[#Data],$DE1264,32),0)</f>
        <v/>
      </c>
      <c r="AJ1264">
        <f>IFERROR(INDEX(PP_Grid[#Data],$DE1264,33),0)</f>
        <v/>
      </c>
      <c r="AK1264">
        <f>IFERROR(INDEX(PP_Grid[#Data],$DE1264,34),0)</f>
        <v/>
      </c>
      <c r="AL1264">
        <f>IFERROR(INDEX(PP_Grid[#Data],$DE1264,35),0)</f>
        <v/>
      </c>
      <c r="AM1264">
        <f>IFERROR(INDEX(PP_Grid[#Data],$DE1264,36),0)</f>
        <v/>
      </c>
      <c r="AN1264">
        <f>IFERROR(INDEX(PP_Grid[#Data],$DE1264,37),0)</f>
        <v/>
      </c>
      <c r="AO1264">
        <f>IFERROR(INDEX(PP_Grid[#Data],$DE1264,38),0)</f>
        <v/>
      </c>
      <c r="AP1264">
        <f>IFERROR(INDEX(PP_Grid[#Data],$DE1264,39),0)</f>
        <v/>
      </c>
      <c r="AQ1264">
        <f>IFERROR(INDEX(PP_Grid[#Data],$DE1264,40),0)</f>
        <v/>
      </c>
      <c r="AR1264">
        <f>IFERROR(INDEX(PP_Grid[#Data],$DE1264,41),0)</f>
        <v/>
      </c>
      <c r="AS1264">
        <f>IFERROR(INDEX(PP_Grid[#Data],$DE1264,42),0)</f>
        <v/>
      </c>
      <c r="AT1264">
        <f>IFERROR(INDEX(PP_Grid[#Data],$DE1264,43),0)</f>
        <v/>
      </c>
      <c r="AU1264">
        <f>IFERROR(INDEX(PP_Grid[#Data],$DE1264,44),0)</f>
        <v/>
      </c>
      <c r="AV1264">
        <f>IFERROR(INDEX(PP_Grid[#Data],$DE1264,45),0)</f>
        <v/>
      </c>
      <c r="AW1264">
        <f>IFERROR(INDEX(PP_Grid[#Data],$DE1264,46),0)</f>
        <v/>
      </c>
      <c r="AX1264">
        <f>IFERROR(INDEX(PP_Grid[#Data],$DE1264,47),0)</f>
        <v/>
      </c>
      <c r="AY1264">
        <f>IFERROR(INDEX(PP_Grid[#Data],$DE1264,48),0)</f>
        <v/>
      </c>
      <c r="AZ1264">
        <f>IFERROR(INDEX(PP_Grid[#Data],$DE1264,49),0)</f>
        <v/>
      </c>
      <c r="BA1264">
        <f>IFERROR(INDEX(PP_Grid[#Data],$DE1264,50),0)</f>
        <v/>
      </c>
      <c r="BB1264">
        <f>IFERROR(INDEX(PP_Grid[#Data],$DE1264,51),0)</f>
        <v/>
      </c>
      <c r="BC1264">
        <f>IFERROR(INDEX(PP_Grid[#Data],$DE1264,52),0)</f>
        <v/>
      </c>
      <c r="BD1264">
        <f>IFERROR(INDEX(PP_Grid[#Data],$DE1264,53),0)</f>
        <v/>
      </c>
      <c r="BE1264">
        <f>IFERROR(INDEX(PP_Grid[#Data],$DE1264,54),0)</f>
        <v/>
      </c>
      <c r="BF1264">
        <f>IFERROR(INDEX(PP_Grid[#Data],$DE1264,55),0)</f>
        <v/>
      </c>
      <c r="BG1264">
        <f>IFERROR(INDEX(PP_Grid[#Data],$DE1264,56),0)</f>
        <v/>
      </c>
      <c r="BH1264">
        <f>IFERROR(INDEX(PP_Grid[#Data],$DE1264,57),0)</f>
        <v/>
      </c>
      <c r="BI1264">
        <f>IFERROR(INDEX(PP_Grid[#Data],$DE1264,58),0)</f>
        <v/>
      </c>
      <c r="BJ1264">
        <f>IFERROR(INDEX(PP_Grid[#Data],$DE1264,59),0)</f>
        <v/>
      </c>
      <c r="BK1264">
        <f>IFERROR(INDEX(PP_Grid[#Data],$DE1264,60),0)</f>
        <v/>
      </c>
      <c r="BL1264">
        <f>IFERROR(INDEX(PP_Grid[#Data],$DE1264,61),0)</f>
        <v/>
      </c>
      <c r="BM1264">
        <f>IFERROR(INDEX(PP_Grid[#Data],$DE1264,62),0)</f>
        <v/>
      </c>
      <c r="BN1264">
        <f>IFERROR(INDEX(PP_Grid[#Data],$DE1264,63),0)</f>
        <v/>
      </c>
      <c r="BO1264">
        <f>IFERROR(INDEX(PP_Grid[#Data],$DE1264,64),0)</f>
        <v/>
      </c>
      <c r="BP1264">
        <f>IFERROR(INDEX(PP_Grid[#Data],$DE1264,65),0)</f>
        <v/>
      </c>
      <c r="BQ1264">
        <f>IFERROR(INDEX(PP_Grid[#Data],$DE1264,66),0)</f>
        <v/>
      </c>
      <c r="BR1264">
        <f>IFERROR(INDEX(PP_Grid[#Data],$DE1264,67),0)</f>
        <v/>
      </c>
      <c r="BS1264">
        <f>IFERROR(INDEX(PP_Grid[#Data],$DE1264,68),0)</f>
        <v/>
      </c>
      <c r="BT1264">
        <f>IFERROR(INDEX(PP_Grid[#Data],$DE1264,69),0)</f>
        <v/>
      </c>
      <c r="BU1264">
        <f>IFERROR(INDEX(PP_Grid[#Data],$DE1264,70),0)</f>
        <v/>
      </c>
      <c r="BV1264">
        <f>IFERROR(INDEX(PP_Grid[#Data],$DE1264,71),0)</f>
        <v/>
      </c>
      <c r="BW1264">
        <f>IFERROR(INDEX(PP_Grid[#Data],$DE1264,72),0)</f>
        <v/>
      </c>
      <c r="BX1264">
        <f>IFERROR(INDEX(PP_Grid[#Data],$DE1264,73),0)</f>
        <v/>
      </c>
      <c r="BY1264">
        <f>IFERROR(INDEX(PP_Grid[#Data],$DE1264,74),0)</f>
        <v/>
      </c>
      <c r="BZ1264">
        <f>IFERROR(INDEX(PP_Grid[#Data],$DE1264,75),0)</f>
        <v/>
      </c>
      <c r="CA1264">
        <f>IFERROR(INDEX(PP_Grid[#Data],$DE1264,76),0)</f>
        <v/>
      </c>
      <c r="CB1264">
        <f>IFERROR(INDEX(PP_Grid[#Data],$DE1264,77),0)</f>
        <v/>
      </c>
      <c r="CC1264">
        <f>IFERROR(INDEX(PP_Grid[#Data],$DE1264,78),0)</f>
        <v/>
      </c>
      <c r="CD1264">
        <f>IFERROR(INDEX(PP_Grid[#Data],$DE1264,79),0)</f>
        <v/>
      </c>
      <c r="CE1264">
        <f>IFERROR(INDEX(PP_Grid[#Data],$DE1264,80),0)</f>
        <v/>
      </c>
      <c r="CF1264">
        <f>IFERROR(INDEX(PP_Grid[#Data],$DE1264,81),0)</f>
        <v/>
      </c>
      <c r="CG1264">
        <f>IFERROR(INDEX(PP_Grid[#Data],$DE1264,82),0)</f>
        <v/>
      </c>
      <c r="CH1264">
        <f>IFERROR(INDEX(PP_Grid[#Data],$DE1264,83),0)</f>
        <v/>
      </c>
      <c r="CI1264">
        <f>IFERROR(INDEX(PP_Grid[#Data],$DE1264,84),0)</f>
        <v/>
      </c>
      <c r="CJ1264">
        <f>IFERROR(INDEX(PP_Grid[#Data],$DE1264,85),0)</f>
        <v/>
      </c>
      <c r="CK1264">
        <f>IFERROR(INDEX(PP_Grid[#Data],$DE1264,86),0)</f>
        <v/>
      </c>
      <c r="CL1264">
        <f>IFERROR(INDEX(PP_Grid[#Data],$DE1264,87),0)</f>
        <v/>
      </c>
      <c r="CM1264">
        <f>IFERROR(INDEX(PP_Grid[#Data],$DE1264,88),0)</f>
        <v/>
      </c>
      <c r="CN1264">
        <f>IFERROR(INDEX(PP_Grid[#Data],$DE1264,89),0)</f>
        <v/>
      </c>
      <c r="CO1264">
        <f>IFERROR(INDEX(PP_Grid[#Data],$DE1264,90),0)</f>
        <v/>
      </c>
      <c r="CP1264">
        <f>IFERROR(INDEX(PP_Grid[#Data],$DE1264,91),0)</f>
        <v/>
      </c>
      <c r="CQ1264">
        <f>IFERROR(INDEX(PP_Grid[#Data],$DE1264,92),0)</f>
        <v/>
      </c>
      <c r="CR1264">
        <f>IFERROR(INDEX(PP_Grid[#Data],$DE1264,93),0)</f>
        <v/>
      </c>
      <c r="CS1264">
        <f>IFERROR(INDEX(PP_Grid[#Data],$DE1264,94),0)</f>
        <v/>
      </c>
      <c r="CT1264">
        <f>IFERROR(INDEX(PP_Grid[#Data],$DE1264,95),0)</f>
        <v/>
      </c>
      <c r="CU1264">
        <f>IFERROR(INDEX(PP_Grid[#Data],$DE1264,96),0)</f>
        <v/>
      </c>
      <c r="CV1264">
        <f>IFERROR(INDEX(PP_Grid[#Data],$DE1264,97),0)</f>
        <v/>
      </c>
      <c r="CW1264">
        <f>IFERROR(INDEX(PP_Grid[#Data],$DE1264,98),0)</f>
        <v/>
      </c>
      <c r="CX1264">
        <f>IFERROR(INDEX(PP_Grid[#Data],$DE1264,99),0)</f>
        <v/>
      </c>
      <c r="CY1264">
        <f>IFERROR(INDEX(PP_Grid[#Data],$DE1264,100),0)</f>
        <v/>
      </c>
      <c r="CZ1264">
        <f>IFERROR(INDEX(PP_Grid[#Data],$DE1264,101),0)</f>
        <v/>
      </c>
      <c r="DA1264">
        <f>IFERROR(INDEX(PP_Grid[#Data],$DE1264,102),0)</f>
        <v/>
      </c>
      <c r="DB1264">
        <f>IFERROR(INDEX(PP_Grid[#Data],$DE1264,103),0)</f>
        <v/>
      </c>
      <c r="DC1264">
        <f>IFERROR(INDEX(PP_Grid[#Data],$DE1264,104),0)</f>
        <v/>
      </c>
      <c r="DD1264">
        <f>IFERROR(INDEX(PP_Grid[#Data],$DE1264,105),0)</f>
        <v/>
      </c>
      <c r="DE1264" s="7">
        <f>IFERROR(MATCH($B1264,PP_Grid[Intermediate],0),99999)</f>
        <v/>
      </c>
    </row>
    <row r="1265">
      <c r="B1265" t="inlineStr">
        <is>
          <t>使用量(kg)</t>
        </is>
      </c>
      <c r="C1265">
        <f>SUMIFS(M_BOM[RM_Qty_Per_Batch],M_BOM[Intermediate],$B1264,M_BOM[RM_Code],$A1239)</f>
        <v/>
      </c>
      <c r="D1265">
        <f>IFERROR(INDEX(E1265:DD1265,$F$1),"")</f>
        <v/>
      </c>
      <c r="E1265">
        <f>$C1265*E1264</f>
        <v/>
      </c>
      <c r="F1265">
        <f>$C1265*F1264</f>
        <v/>
      </c>
      <c r="G1265">
        <f>$C1265*G1264</f>
        <v/>
      </c>
      <c r="H1265">
        <f>$C1265*H1264</f>
        <v/>
      </c>
      <c r="I1265">
        <f>$C1265*I1264</f>
        <v/>
      </c>
      <c r="J1265">
        <f>$C1265*J1264</f>
        <v/>
      </c>
      <c r="K1265">
        <f>$C1265*K1264</f>
        <v/>
      </c>
      <c r="L1265">
        <f>$C1265*L1264</f>
        <v/>
      </c>
      <c r="M1265">
        <f>$C1265*M1264</f>
        <v/>
      </c>
      <c r="N1265">
        <f>$C1265*N1264</f>
        <v/>
      </c>
      <c r="O1265">
        <f>$C1265*O1264</f>
        <v/>
      </c>
      <c r="P1265">
        <f>$C1265*P1264</f>
        <v/>
      </c>
      <c r="Q1265">
        <f>$C1265*Q1264</f>
        <v/>
      </c>
      <c r="R1265">
        <f>$C1265*R1264</f>
        <v/>
      </c>
      <c r="S1265">
        <f>$C1265*S1264</f>
        <v/>
      </c>
      <c r="T1265">
        <f>$C1265*T1264</f>
        <v/>
      </c>
      <c r="U1265">
        <f>$C1265*U1264</f>
        <v/>
      </c>
      <c r="V1265">
        <f>$C1265*V1264</f>
        <v/>
      </c>
      <c r="W1265">
        <f>$C1265*W1264</f>
        <v/>
      </c>
      <c r="X1265">
        <f>$C1265*X1264</f>
        <v/>
      </c>
      <c r="Y1265">
        <f>$C1265*Y1264</f>
        <v/>
      </c>
      <c r="Z1265">
        <f>$C1265*Z1264</f>
        <v/>
      </c>
      <c r="AA1265">
        <f>$C1265*AA1264</f>
        <v/>
      </c>
      <c r="AB1265">
        <f>$C1265*AB1264</f>
        <v/>
      </c>
      <c r="AC1265">
        <f>$C1265*AC1264</f>
        <v/>
      </c>
      <c r="AD1265">
        <f>$C1265*AD1264</f>
        <v/>
      </c>
      <c r="AE1265">
        <f>$C1265*AE1264</f>
        <v/>
      </c>
      <c r="AF1265">
        <f>$C1265*AF1264</f>
        <v/>
      </c>
      <c r="AG1265">
        <f>$C1265*AG1264</f>
        <v/>
      </c>
      <c r="AH1265">
        <f>$C1265*AH1264</f>
        <v/>
      </c>
      <c r="AI1265">
        <f>$C1265*AI1264</f>
        <v/>
      </c>
      <c r="AJ1265">
        <f>$C1265*AJ1264</f>
        <v/>
      </c>
      <c r="AK1265">
        <f>$C1265*AK1264</f>
        <v/>
      </c>
      <c r="AL1265">
        <f>$C1265*AL1264</f>
        <v/>
      </c>
      <c r="AM1265">
        <f>$C1265*AM1264</f>
        <v/>
      </c>
      <c r="AN1265">
        <f>$C1265*AN1264</f>
        <v/>
      </c>
      <c r="AO1265">
        <f>$C1265*AO1264</f>
        <v/>
      </c>
      <c r="AP1265">
        <f>$C1265*AP1264</f>
        <v/>
      </c>
      <c r="AQ1265">
        <f>$C1265*AQ1264</f>
        <v/>
      </c>
      <c r="AR1265">
        <f>$C1265*AR1264</f>
        <v/>
      </c>
      <c r="AS1265">
        <f>$C1265*AS1264</f>
        <v/>
      </c>
      <c r="AT1265">
        <f>$C1265*AT1264</f>
        <v/>
      </c>
      <c r="AU1265">
        <f>$C1265*AU1264</f>
        <v/>
      </c>
      <c r="AV1265">
        <f>$C1265*AV1264</f>
        <v/>
      </c>
      <c r="AW1265">
        <f>$C1265*AW1264</f>
        <v/>
      </c>
      <c r="AX1265">
        <f>$C1265*AX1264</f>
        <v/>
      </c>
      <c r="AY1265">
        <f>$C1265*AY1264</f>
        <v/>
      </c>
      <c r="AZ1265">
        <f>$C1265*AZ1264</f>
        <v/>
      </c>
      <c r="BA1265">
        <f>$C1265*BA1264</f>
        <v/>
      </c>
      <c r="BB1265">
        <f>$C1265*BB1264</f>
        <v/>
      </c>
      <c r="BC1265">
        <f>$C1265*BC1264</f>
        <v/>
      </c>
      <c r="BD1265">
        <f>$C1265*BD1264</f>
        <v/>
      </c>
      <c r="BE1265">
        <f>$C1265*BE1264</f>
        <v/>
      </c>
      <c r="BF1265">
        <f>$C1265*BF1264</f>
        <v/>
      </c>
      <c r="BG1265">
        <f>$C1265*BG1264</f>
        <v/>
      </c>
      <c r="BH1265">
        <f>$C1265*BH1264</f>
        <v/>
      </c>
      <c r="BI1265">
        <f>$C1265*BI1264</f>
        <v/>
      </c>
      <c r="BJ1265">
        <f>$C1265*BJ1264</f>
        <v/>
      </c>
      <c r="BK1265">
        <f>$C1265*BK1264</f>
        <v/>
      </c>
      <c r="BL1265">
        <f>$C1265*BL1264</f>
        <v/>
      </c>
      <c r="BM1265">
        <f>$C1265*BM1264</f>
        <v/>
      </c>
      <c r="BN1265">
        <f>$C1265*BN1264</f>
        <v/>
      </c>
      <c r="BO1265">
        <f>$C1265*BO1264</f>
        <v/>
      </c>
      <c r="BP1265">
        <f>$C1265*BP1264</f>
        <v/>
      </c>
      <c r="BQ1265">
        <f>$C1265*BQ1264</f>
        <v/>
      </c>
      <c r="BR1265">
        <f>$C1265*BR1264</f>
        <v/>
      </c>
      <c r="BS1265">
        <f>$C1265*BS1264</f>
        <v/>
      </c>
      <c r="BT1265">
        <f>$C1265*BT1264</f>
        <v/>
      </c>
      <c r="BU1265">
        <f>$C1265*BU1264</f>
        <v/>
      </c>
      <c r="BV1265">
        <f>$C1265*BV1264</f>
        <v/>
      </c>
      <c r="BW1265">
        <f>$C1265*BW1264</f>
        <v/>
      </c>
      <c r="BX1265">
        <f>$C1265*BX1264</f>
        <v/>
      </c>
      <c r="BY1265">
        <f>$C1265*BY1264</f>
        <v/>
      </c>
      <c r="BZ1265">
        <f>$C1265*BZ1264</f>
        <v/>
      </c>
      <c r="CA1265">
        <f>$C1265*CA1264</f>
        <v/>
      </c>
      <c r="CB1265">
        <f>$C1265*CB1264</f>
        <v/>
      </c>
      <c r="CC1265">
        <f>$C1265*CC1264</f>
        <v/>
      </c>
      <c r="CD1265">
        <f>$C1265*CD1264</f>
        <v/>
      </c>
      <c r="CE1265">
        <f>$C1265*CE1264</f>
        <v/>
      </c>
      <c r="CF1265">
        <f>$C1265*CF1264</f>
        <v/>
      </c>
      <c r="CG1265">
        <f>$C1265*CG1264</f>
        <v/>
      </c>
      <c r="CH1265">
        <f>$C1265*CH1264</f>
        <v/>
      </c>
      <c r="CI1265">
        <f>$C1265*CI1264</f>
        <v/>
      </c>
      <c r="CJ1265">
        <f>$C1265*CJ1264</f>
        <v/>
      </c>
      <c r="CK1265">
        <f>$C1265*CK1264</f>
        <v/>
      </c>
      <c r="CL1265">
        <f>$C1265*CL1264</f>
        <v/>
      </c>
      <c r="CM1265">
        <f>$C1265*CM1264</f>
        <v/>
      </c>
      <c r="CN1265">
        <f>$C1265*CN1264</f>
        <v/>
      </c>
      <c r="CO1265">
        <f>$C1265*CO1264</f>
        <v/>
      </c>
      <c r="CP1265">
        <f>$C1265*CP1264</f>
        <v/>
      </c>
      <c r="CQ1265">
        <f>$C1265*CQ1264</f>
        <v/>
      </c>
      <c r="CR1265">
        <f>$C1265*CR1264</f>
        <v/>
      </c>
      <c r="CS1265">
        <f>$C1265*CS1264</f>
        <v/>
      </c>
      <c r="CT1265">
        <f>$C1265*CT1264</f>
        <v/>
      </c>
      <c r="CU1265">
        <f>$C1265*CU1264</f>
        <v/>
      </c>
      <c r="CV1265">
        <f>$C1265*CV1264</f>
        <v/>
      </c>
      <c r="CW1265">
        <f>$C1265*CW1264</f>
        <v/>
      </c>
      <c r="CX1265">
        <f>$C1265*CX1264</f>
        <v/>
      </c>
      <c r="CY1265">
        <f>$C1265*CY1264</f>
        <v/>
      </c>
      <c r="CZ1265">
        <f>$C1265*CZ1264</f>
        <v/>
      </c>
      <c r="DA1265">
        <f>$C1265*DA1264</f>
        <v/>
      </c>
      <c r="DB1265">
        <f>$C1265*DB1264</f>
        <v/>
      </c>
      <c r="DC1265">
        <f>$C1265*DC1264</f>
        <v/>
      </c>
      <c r="DD1265">
        <f>$C1265*DD1264</f>
        <v/>
      </c>
    </row>
    <row r="1266">
      <c r="B1266" t="inlineStr">
        <is>
          <t>TSP-1446</t>
        </is>
      </c>
      <c r="C1266" t="inlineStr">
        <is>
          <t>No. of batches</t>
        </is>
      </c>
      <c r="D1266">
        <f>IFERROR(INDEX(E1266:DD1266,$F$1),"")</f>
        <v/>
      </c>
      <c r="E1266">
        <f>IFERROR(INDEX(PP_Grid[#Data],$DE1266,2),0)</f>
        <v/>
      </c>
      <c r="F1266">
        <f>IFERROR(INDEX(PP_Grid[#Data],$DE1266,3),0)</f>
        <v/>
      </c>
      <c r="G1266">
        <f>IFERROR(INDEX(PP_Grid[#Data],$DE1266,4),0)</f>
        <v/>
      </c>
      <c r="H1266">
        <f>IFERROR(INDEX(PP_Grid[#Data],$DE1266,5),0)</f>
        <v/>
      </c>
      <c r="I1266">
        <f>IFERROR(INDEX(PP_Grid[#Data],$DE1266,6),0)</f>
        <v/>
      </c>
      <c r="J1266">
        <f>IFERROR(INDEX(PP_Grid[#Data],$DE1266,7),0)</f>
        <v/>
      </c>
      <c r="K1266">
        <f>IFERROR(INDEX(PP_Grid[#Data],$DE1266,8),0)</f>
        <v/>
      </c>
      <c r="L1266">
        <f>IFERROR(INDEX(PP_Grid[#Data],$DE1266,9),0)</f>
        <v/>
      </c>
      <c r="M1266">
        <f>IFERROR(INDEX(PP_Grid[#Data],$DE1266,10),0)</f>
        <v/>
      </c>
      <c r="N1266">
        <f>IFERROR(INDEX(PP_Grid[#Data],$DE1266,11),0)</f>
        <v/>
      </c>
      <c r="O1266">
        <f>IFERROR(INDEX(PP_Grid[#Data],$DE1266,12),0)</f>
        <v/>
      </c>
      <c r="P1266">
        <f>IFERROR(INDEX(PP_Grid[#Data],$DE1266,13),0)</f>
        <v/>
      </c>
      <c r="Q1266">
        <f>IFERROR(INDEX(PP_Grid[#Data],$DE1266,14),0)</f>
        <v/>
      </c>
      <c r="R1266">
        <f>IFERROR(INDEX(PP_Grid[#Data],$DE1266,15),0)</f>
        <v/>
      </c>
      <c r="S1266">
        <f>IFERROR(INDEX(PP_Grid[#Data],$DE1266,16),0)</f>
        <v/>
      </c>
      <c r="T1266">
        <f>IFERROR(INDEX(PP_Grid[#Data],$DE1266,17),0)</f>
        <v/>
      </c>
      <c r="U1266">
        <f>IFERROR(INDEX(PP_Grid[#Data],$DE1266,18),0)</f>
        <v/>
      </c>
      <c r="V1266">
        <f>IFERROR(INDEX(PP_Grid[#Data],$DE1266,19),0)</f>
        <v/>
      </c>
      <c r="W1266">
        <f>IFERROR(INDEX(PP_Grid[#Data],$DE1266,20),0)</f>
        <v/>
      </c>
      <c r="X1266">
        <f>IFERROR(INDEX(PP_Grid[#Data],$DE1266,21),0)</f>
        <v/>
      </c>
      <c r="Y1266">
        <f>IFERROR(INDEX(PP_Grid[#Data],$DE1266,22),0)</f>
        <v/>
      </c>
      <c r="Z1266">
        <f>IFERROR(INDEX(PP_Grid[#Data],$DE1266,23),0)</f>
        <v/>
      </c>
      <c r="AA1266">
        <f>IFERROR(INDEX(PP_Grid[#Data],$DE1266,24),0)</f>
        <v/>
      </c>
      <c r="AB1266">
        <f>IFERROR(INDEX(PP_Grid[#Data],$DE1266,25),0)</f>
        <v/>
      </c>
      <c r="AC1266">
        <f>IFERROR(INDEX(PP_Grid[#Data],$DE1266,26),0)</f>
        <v/>
      </c>
      <c r="AD1266">
        <f>IFERROR(INDEX(PP_Grid[#Data],$DE1266,27),0)</f>
        <v/>
      </c>
      <c r="AE1266">
        <f>IFERROR(INDEX(PP_Grid[#Data],$DE1266,28),0)</f>
        <v/>
      </c>
      <c r="AF1266">
        <f>IFERROR(INDEX(PP_Grid[#Data],$DE1266,29),0)</f>
        <v/>
      </c>
      <c r="AG1266">
        <f>IFERROR(INDEX(PP_Grid[#Data],$DE1266,30),0)</f>
        <v/>
      </c>
      <c r="AH1266">
        <f>IFERROR(INDEX(PP_Grid[#Data],$DE1266,31),0)</f>
        <v/>
      </c>
      <c r="AI1266">
        <f>IFERROR(INDEX(PP_Grid[#Data],$DE1266,32),0)</f>
        <v/>
      </c>
      <c r="AJ1266">
        <f>IFERROR(INDEX(PP_Grid[#Data],$DE1266,33),0)</f>
        <v/>
      </c>
      <c r="AK1266">
        <f>IFERROR(INDEX(PP_Grid[#Data],$DE1266,34),0)</f>
        <v/>
      </c>
      <c r="AL1266">
        <f>IFERROR(INDEX(PP_Grid[#Data],$DE1266,35),0)</f>
        <v/>
      </c>
      <c r="AM1266">
        <f>IFERROR(INDEX(PP_Grid[#Data],$DE1266,36),0)</f>
        <v/>
      </c>
      <c r="AN1266">
        <f>IFERROR(INDEX(PP_Grid[#Data],$DE1266,37),0)</f>
        <v/>
      </c>
      <c r="AO1266">
        <f>IFERROR(INDEX(PP_Grid[#Data],$DE1266,38),0)</f>
        <v/>
      </c>
      <c r="AP1266">
        <f>IFERROR(INDEX(PP_Grid[#Data],$DE1266,39),0)</f>
        <v/>
      </c>
      <c r="AQ1266">
        <f>IFERROR(INDEX(PP_Grid[#Data],$DE1266,40),0)</f>
        <v/>
      </c>
      <c r="AR1266">
        <f>IFERROR(INDEX(PP_Grid[#Data],$DE1266,41),0)</f>
        <v/>
      </c>
      <c r="AS1266">
        <f>IFERROR(INDEX(PP_Grid[#Data],$DE1266,42),0)</f>
        <v/>
      </c>
      <c r="AT1266">
        <f>IFERROR(INDEX(PP_Grid[#Data],$DE1266,43),0)</f>
        <v/>
      </c>
      <c r="AU1266">
        <f>IFERROR(INDEX(PP_Grid[#Data],$DE1266,44),0)</f>
        <v/>
      </c>
      <c r="AV1266">
        <f>IFERROR(INDEX(PP_Grid[#Data],$DE1266,45),0)</f>
        <v/>
      </c>
      <c r="AW1266">
        <f>IFERROR(INDEX(PP_Grid[#Data],$DE1266,46),0)</f>
        <v/>
      </c>
      <c r="AX1266">
        <f>IFERROR(INDEX(PP_Grid[#Data],$DE1266,47),0)</f>
        <v/>
      </c>
      <c r="AY1266">
        <f>IFERROR(INDEX(PP_Grid[#Data],$DE1266,48),0)</f>
        <v/>
      </c>
      <c r="AZ1266">
        <f>IFERROR(INDEX(PP_Grid[#Data],$DE1266,49),0)</f>
        <v/>
      </c>
      <c r="BA1266">
        <f>IFERROR(INDEX(PP_Grid[#Data],$DE1266,50),0)</f>
        <v/>
      </c>
      <c r="BB1266">
        <f>IFERROR(INDEX(PP_Grid[#Data],$DE1266,51),0)</f>
        <v/>
      </c>
      <c r="BC1266">
        <f>IFERROR(INDEX(PP_Grid[#Data],$DE1266,52),0)</f>
        <v/>
      </c>
      <c r="BD1266">
        <f>IFERROR(INDEX(PP_Grid[#Data],$DE1266,53),0)</f>
        <v/>
      </c>
      <c r="BE1266">
        <f>IFERROR(INDEX(PP_Grid[#Data],$DE1266,54),0)</f>
        <v/>
      </c>
      <c r="BF1266">
        <f>IFERROR(INDEX(PP_Grid[#Data],$DE1266,55),0)</f>
        <v/>
      </c>
      <c r="BG1266">
        <f>IFERROR(INDEX(PP_Grid[#Data],$DE1266,56),0)</f>
        <v/>
      </c>
      <c r="BH1266">
        <f>IFERROR(INDEX(PP_Grid[#Data],$DE1266,57),0)</f>
        <v/>
      </c>
      <c r="BI1266">
        <f>IFERROR(INDEX(PP_Grid[#Data],$DE1266,58),0)</f>
        <v/>
      </c>
      <c r="BJ1266">
        <f>IFERROR(INDEX(PP_Grid[#Data],$DE1266,59),0)</f>
        <v/>
      </c>
      <c r="BK1266">
        <f>IFERROR(INDEX(PP_Grid[#Data],$DE1266,60),0)</f>
        <v/>
      </c>
      <c r="BL1266">
        <f>IFERROR(INDEX(PP_Grid[#Data],$DE1266,61),0)</f>
        <v/>
      </c>
      <c r="BM1266">
        <f>IFERROR(INDEX(PP_Grid[#Data],$DE1266,62),0)</f>
        <v/>
      </c>
      <c r="BN1266">
        <f>IFERROR(INDEX(PP_Grid[#Data],$DE1266,63),0)</f>
        <v/>
      </c>
      <c r="BO1266">
        <f>IFERROR(INDEX(PP_Grid[#Data],$DE1266,64),0)</f>
        <v/>
      </c>
      <c r="BP1266">
        <f>IFERROR(INDEX(PP_Grid[#Data],$DE1266,65),0)</f>
        <v/>
      </c>
      <c r="BQ1266">
        <f>IFERROR(INDEX(PP_Grid[#Data],$DE1266,66),0)</f>
        <v/>
      </c>
      <c r="BR1266">
        <f>IFERROR(INDEX(PP_Grid[#Data],$DE1266,67),0)</f>
        <v/>
      </c>
      <c r="BS1266">
        <f>IFERROR(INDEX(PP_Grid[#Data],$DE1266,68),0)</f>
        <v/>
      </c>
      <c r="BT1266">
        <f>IFERROR(INDEX(PP_Grid[#Data],$DE1266,69),0)</f>
        <v/>
      </c>
      <c r="BU1266">
        <f>IFERROR(INDEX(PP_Grid[#Data],$DE1266,70),0)</f>
        <v/>
      </c>
      <c r="BV1266">
        <f>IFERROR(INDEX(PP_Grid[#Data],$DE1266,71),0)</f>
        <v/>
      </c>
      <c r="BW1266">
        <f>IFERROR(INDEX(PP_Grid[#Data],$DE1266,72),0)</f>
        <v/>
      </c>
      <c r="BX1266">
        <f>IFERROR(INDEX(PP_Grid[#Data],$DE1266,73),0)</f>
        <v/>
      </c>
      <c r="BY1266">
        <f>IFERROR(INDEX(PP_Grid[#Data],$DE1266,74),0)</f>
        <v/>
      </c>
      <c r="BZ1266">
        <f>IFERROR(INDEX(PP_Grid[#Data],$DE1266,75),0)</f>
        <v/>
      </c>
      <c r="CA1266">
        <f>IFERROR(INDEX(PP_Grid[#Data],$DE1266,76),0)</f>
        <v/>
      </c>
      <c r="CB1266">
        <f>IFERROR(INDEX(PP_Grid[#Data],$DE1266,77),0)</f>
        <v/>
      </c>
      <c r="CC1266">
        <f>IFERROR(INDEX(PP_Grid[#Data],$DE1266,78),0)</f>
        <v/>
      </c>
      <c r="CD1266">
        <f>IFERROR(INDEX(PP_Grid[#Data],$DE1266,79),0)</f>
        <v/>
      </c>
      <c r="CE1266">
        <f>IFERROR(INDEX(PP_Grid[#Data],$DE1266,80),0)</f>
        <v/>
      </c>
      <c r="CF1266">
        <f>IFERROR(INDEX(PP_Grid[#Data],$DE1266,81),0)</f>
        <v/>
      </c>
      <c r="CG1266">
        <f>IFERROR(INDEX(PP_Grid[#Data],$DE1266,82),0)</f>
        <v/>
      </c>
      <c r="CH1266">
        <f>IFERROR(INDEX(PP_Grid[#Data],$DE1266,83),0)</f>
        <v/>
      </c>
      <c r="CI1266">
        <f>IFERROR(INDEX(PP_Grid[#Data],$DE1266,84),0)</f>
        <v/>
      </c>
      <c r="CJ1266">
        <f>IFERROR(INDEX(PP_Grid[#Data],$DE1266,85),0)</f>
        <v/>
      </c>
      <c r="CK1266">
        <f>IFERROR(INDEX(PP_Grid[#Data],$DE1266,86),0)</f>
        <v/>
      </c>
      <c r="CL1266">
        <f>IFERROR(INDEX(PP_Grid[#Data],$DE1266,87),0)</f>
        <v/>
      </c>
      <c r="CM1266">
        <f>IFERROR(INDEX(PP_Grid[#Data],$DE1266,88),0)</f>
        <v/>
      </c>
      <c r="CN1266">
        <f>IFERROR(INDEX(PP_Grid[#Data],$DE1266,89),0)</f>
        <v/>
      </c>
      <c r="CO1266">
        <f>IFERROR(INDEX(PP_Grid[#Data],$DE1266,90),0)</f>
        <v/>
      </c>
      <c r="CP1266">
        <f>IFERROR(INDEX(PP_Grid[#Data],$DE1266,91),0)</f>
        <v/>
      </c>
      <c r="CQ1266">
        <f>IFERROR(INDEX(PP_Grid[#Data],$DE1266,92),0)</f>
        <v/>
      </c>
      <c r="CR1266">
        <f>IFERROR(INDEX(PP_Grid[#Data],$DE1266,93),0)</f>
        <v/>
      </c>
      <c r="CS1266">
        <f>IFERROR(INDEX(PP_Grid[#Data],$DE1266,94),0)</f>
        <v/>
      </c>
      <c r="CT1266">
        <f>IFERROR(INDEX(PP_Grid[#Data],$DE1266,95),0)</f>
        <v/>
      </c>
      <c r="CU1266">
        <f>IFERROR(INDEX(PP_Grid[#Data],$DE1266,96),0)</f>
        <v/>
      </c>
      <c r="CV1266">
        <f>IFERROR(INDEX(PP_Grid[#Data],$DE1266,97),0)</f>
        <v/>
      </c>
      <c r="CW1266">
        <f>IFERROR(INDEX(PP_Grid[#Data],$DE1266,98),0)</f>
        <v/>
      </c>
      <c r="CX1266">
        <f>IFERROR(INDEX(PP_Grid[#Data],$DE1266,99),0)</f>
        <v/>
      </c>
      <c r="CY1266">
        <f>IFERROR(INDEX(PP_Grid[#Data],$DE1266,100),0)</f>
        <v/>
      </c>
      <c r="CZ1266">
        <f>IFERROR(INDEX(PP_Grid[#Data],$DE1266,101),0)</f>
        <v/>
      </c>
      <c r="DA1266">
        <f>IFERROR(INDEX(PP_Grid[#Data],$DE1266,102),0)</f>
        <v/>
      </c>
      <c r="DB1266">
        <f>IFERROR(INDEX(PP_Grid[#Data],$DE1266,103),0)</f>
        <v/>
      </c>
      <c r="DC1266">
        <f>IFERROR(INDEX(PP_Grid[#Data],$DE1266,104),0)</f>
        <v/>
      </c>
      <c r="DD1266">
        <f>IFERROR(INDEX(PP_Grid[#Data],$DE1266,105),0)</f>
        <v/>
      </c>
      <c r="DE1266" s="7">
        <f>IFERROR(MATCH($B1266,PP_Grid[Intermediate],0),99999)</f>
        <v/>
      </c>
    </row>
    <row r="1267">
      <c r="B1267" t="inlineStr">
        <is>
          <t>使用量(kg)</t>
        </is>
      </c>
      <c r="C1267">
        <f>SUMIFS(M_BOM[RM_Qty_Per_Batch],M_BOM[Intermediate],$B1266,M_BOM[RM_Code],$A1239)</f>
        <v/>
      </c>
      <c r="D1267">
        <f>IFERROR(INDEX(E1267:DD1267,$F$1),"")</f>
        <v/>
      </c>
      <c r="E1267">
        <f>$C1267*E1266</f>
        <v/>
      </c>
      <c r="F1267">
        <f>$C1267*F1266</f>
        <v/>
      </c>
      <c r="G1267">
        <f>$C1267*G1266</f>
        <v/>
      </c>
      <c r="H1267">
        <f>$C1267*H1266</f>
        <v/>
      </c>
      <c r="I1267">
        <f>$C1267*I1266</f>
        <v/>
      </c>
      <c r="J1267">
        <f>$C1267*J1266</f>
        <v/>
      </c>
      <c r="K1267">
        <f>$C1267*K1266</f>
        <v/>
      </c>
      <c r="L1267">
        <f>$C1267*L1266</f>
        <v/>
      </c>
      <c r="M1267">
        <f>$C1267*M1266</f>
        <v/>
      </c>
      <c r="N1267">
        <f>$C1267*N1266</f>
        <v/>
      </c>
      <c r="O1267">
        <f>$C1267*O1266</f>
        <v/>
      </c>
      <c r="P1267">
        <f>$C1267*P1266</f>
        <v/>
      </c>
      <c r="Q1267">
        <f>$C1267*Q1266</f>
        <v/>
      </c>
      <c r="R1267">
        <f>$C1267*R1266</f>
        <v/>
      </c>
      <c r="S1267">
        <f>$C1267*S1266</f>
        <v/>
      </c>
      <c r="T1267">
        <f>$C1267*T1266</f>
        <v/>
      </c>
      <c r="U1267">
        <f>$C1267*U1266</f>
        <v/>
      </c>
      <c r="V1267">
        <f>$C1267*V1266</f>
        <v/>
      </c>
      <c r="W1267">
        <f>$C1267*W1266</f>
        <v/>
      </c>
      <c r="X1267">
        <f>$C1267*X1266</f>
        <v/>
      </c>
      <c r="Y1267">
        <f>$C1267*Y1266</f>
        <v/>
      </c>
      <c r="Z1267">
        <f>$C1267*Z1266</f>
        <v/>
      </c>
      <c r="AA1267">
        <f>$C1267*AA1266</f>
        <v/>
      </c>
      <c r="AB1267">
        <f>$C1267*AB1266</f>
        <v/>
      </c>
      <c r="AC1267">
        <f>$C1267*AC1266</f>
        <v/>
      </c>
      <c r="AD1267">
        <f>$C1267*AD1266</f>
        <v/>
      </c>
      <c r="AE1267">
        <f>$C1267*AE1266</f>
        <v/>
      </c>
      <c r="AF1267">
        <f>$C1267*AF1266</f>
        <v/>
      </c>
      <c r="AG1267">
        <f>$C1267*AG1266</f>
        <v/>
      </c>
      <c r="AH1267">
        <f>$C1267*AH1266</f>
        <v/>
      </c>
      <c r="AI1267">
        <f>$C1267*AI1266</f>
        <v/>
      </c>
      <c r="AJ1267">
        <f>$C1267*AJ1266</f>
        <v/>
      </c>
      <c r="AK1267">
        <f>$C1267*AK1266</f>
        <v/>
      </c>
      <c r="AL1267">
        <f>$C1267*AL1266</f>
        <v/>
      </c>
      <c r="AM1267">
        <f>$C1267*AM1266</f>
        <v/>
      </c>
      <c r="AN1267">
        <f>$C1267*AN1266</f>
        <v/>
      </c>
      <c r="AO1267">
        <f>$C1267*AO1266</f>
        <v/>
      </c>
      <c r="AP1267">
        <f>$C1267*AP1266</f>
        <v/>
      </c>
      <c r="AQ1267">
        <f>$C1267*AQ1266</f>
        <v/>
      </c>
      <c r="AR1267">
        <f>$C1267*AR1266</f>
        <v/>
      </c>
      <c r="AS1267">
        <f>$C1267*AS1266</f>
        <v/>
      </c>
      <c r="AT1267">
        <f>$C1267*AT1266</f>
        <v/>
      </c>
      <c r="AU1267">
        <f>$C1267*AU1266</f>
        <v/>
      </c>
      <c r="AV1267">
        <f>$C1267*AV1266</f>
        <v/>
      </c>
      <c r="AW1267">
        <f>$C1267*AW1266</f>
        <v/>
      </c>
      <c r="AX1267">
        <f>$C1267*AX1266</f>
        <v/>
      </c>
      <c r="AY1267">
        <f>$C1267*AY1266</f>
        <v/>
      </c>
      <c r="AZ1267">
        <f>$C1267*AZ1266</f>
        <v/>
      </c>
      <c r="BA1267">
        <f>$C1267*BA1266</f>
        <v/>
      </c>
      <c r="BB1267">
        <f>$C1267*BB1266</f>
        <v/>
      </c>
      <c r="BC1267">
        <f>$C1267*BC1266</f>
        <v/>
      </c>
      <c r="BD1267">
        <f>$C1267*BD1266</f>
        <v/>
      </c>
      <c r="BE1267">
        <f>$C1267*BE1266</f>
        <v/>
      </c>
      <c r="BF1267">
        <f>$C1267*BF1266</f>
        <v/>
      </c>
      <c r="BG1267">
        <f>$C1267*BG1266</f>
        <v/>
      </c>
      <c r="BH1267">
        <f>$C1267*BH1266</f>
        <v/>
      </c>
      <c r="BI1267">
        <f>$C1267*BI1266</f>
        <v/>
      </c>
      <c r="BJ1267">
        <f>$C1267*BJ1266</f>
        <v/>
      </c>
      <c r="BK1267">
        <f>$C1267*BK1266</f>
        <v/>
      </c>
      <c r="BL1267">
        <f>$C1267*BL1266</f>
        <v/>
      </c>
      <c r="BM1267">
        <f>$C1267*BM1266</f>
        <v/>
      </c>
      <c r="BN1267">
        <f>$C1267*BN1266</f>
        <v/>
      </c>
      <c r="BO1267">
        <f>$C1267*BO1266</f>
        <v/>
      </c>
      <c r="BP1267">
        <f>$C1267*BP1266</f>
        <v/>
      </c>
      <c r="BQ1267">
        <f>$C1267*BQ1266</f>
        <v/>
      </c>
      <c r="BR1267">
        <f>$C1267*BR1266</f>
        <v/>
      </c>
      <c r="BS1267">
        <f>$C1267*BS1266</f>
        <v/>
      </c>
      <c r="BT1267">
        <f>$C1267*BT1266</f>
        <v/>
      </c>
      <c r="BU1267">
        <f>$C1267*BU1266</f>
        <v/>
      </c>
      <c r="BV1267">
        <f>$C1267*BV1266</f>
        <v/>
      </c>
      <c r="BW1267">
        <f>$C1267*BW1266</f>
        <v/>
      </c>
      <c r="BX1267">
        <f>$C1267*BX1266</f>
        <v/>
      </c>
      <c r="BY1267">
        <f>$C1267*BY1266</f>
        <v/>
      </c>
      <c r="BZ1267">
        <f>$C1267*BZ1266</f>
        <v/>
      </c>
      <c r="CA1267">
        <f>$C1267*CA1266</f>
        <v/>
      </c>
      <c r="CB1267">
        <f>$C1267*CB1266</f>
        <v/>
      </c>
      <c r="CC1267">
        <f>$C1267*CC1266</f>
        <v/>
      </c>
      <c r="CD1267">
        <f>$C1267*CD1266</f>
        <v/>
      </c>
      <c r="CE1267">
        <f>$C1267*CE1266</f>
        <v/>
      </c>
      <c r="CF1267">
        <f>$C1267*CF1266</f>
        <v/>
      </c>
      <c r="CG1267">
        <f>$C1267*CG1266</f>
        <v/>
      </c>
      <c r="CH1267">
        <f>$C1267*CH1266</f>
        <v/>
      </c>
      <c r="CI1267">
        <f>$C1267*CI1266</f>
        <v/>
      </c>
      <c r="CJ1267">
        <f>$C1267*CJ1266</f>
        <v/>
      </c>
      <c r="CK1267">
        <f>$C1267*CK1266</f>
        <v/>
      </c>
      <c r="CL1267">
        <f>$C1267*CL1266</f>
        <v/>
      </c>
      <c r="CM1267">
        <f>$C1267*CM1266</f>
        <v/>
      </c>
      <c r="CN1267">
        <f>$C1267*CN1266</f>
        <v/>
      </c>
      <c r="CO1267">
        <f>$C1267*CO1266</f>
        <v/>
      </c>
      <c r="CP1267">
        <f>$C1267*CP1266</f>
        <v/>
      </c>
      <c r="CQ1267">
        <f>$C1267*CQ1266</f>
        <v/>
      </c>
      <c r="CR1267">
        <f>$C1267*CR1266</f>
        <v/>
      </c>
      <c r="CS1267">
        <f>$C1267*CS1266</f>
        <v/>
      </c>
      <c r="CT1267">
        <f>$C1267*CT1266</f>
        <v/>
      </c>
      <c r="CU1267">
        <f>$C1267*CU1266</f>
        <v/>
      </c>
      <c r="CV1267">
        <f>$C1267*CV1266</f>
        <v/>
      </c>
      <c r="CW1267">
        <f>$C1267*CW1266</f>
        <v/>
      </c>
      <c r="CX1267">
        <f>$C1267*CX1266</f>
        <v/>
      </c>
      <c r="CY1267">
        <f>$C1267*CY1266</f>
        <v/>
      </c>
      <c r="CZ1267">
        <f>$C1267*CZ1266</f>
        <v/>
      </c>
      <c r="DA1267">
        <f>$C1267*DA1266</f>
        <v/>
      </c>
      <c r="DB1267">
        <f>$C1267*DB1266</f>
        <v/>
      </c>
      <c r="DC1267">
        <f>$C1267*DC1266</f>
        <v/>
      </c>
      <c r="DD1267">
        <f>$C1267*DD1266</f>
        <v/>
      </c>
    </row>
    <row r="1268">
      <c r="B1268" t="inlineStr">
        <is>
          <t>TPP-358</t>
        </is>
      </c>
      <c r="C1268" t="inlineStr">
        <is>
          <t>No. of batches</t>
        </is>
      </c>
      <c r="D1268">
        <f>IFERROR(INDEX(E1268:DD1268,$F$1),"")</f>
        <v/>
      </c>
      <c r="E1268">
        <f>IFERROR(INDEX(PP_Grid[#Data],$DE1268,2),0)</f>
        <v/>
      </c>
      <c r="F1268">
        <f>IFERROR(INDEX(PP_Grid[#Data],$DE1268,3),0)</f>
        <v/>
      </c>
      <c r="G1268">
        <f>IFERROR(INDEX(PP_Grid[#Data],$DE1268,4),0)</f>
        <v/>
      </c>
      <c r="H1268">
        <f>IFERROR(INDEX(PP_Grid[#Data],$DE1268,5),0)</f>
        <v/>
      </c>
      <c r="I1268">
        <f>IFERROR(INDEX(PP_Grid[#Data],$DE1268,6),0)</f>
        <v/>
      </c>
      <c r="J1268">
        <f>IFERROR(INDEX(PP_Grid[#Data],$DE1268,7),0)</f>
        <v/>
      </c>
      <c r="K1268">
        <f>IFERROR(INDEX(PP_Grid[#Data],$DE1268,8),0)</f>
        <v/>
      </c>
      <c r="L1268">
        <f>IFERROR(INDEX(PP_Grid[#Data],$DE1268,9),0)</f>
        <v/>
      </c>
      <c r="M1268">
        <f>IFERROR(INDEX(PP_Grid[#Data],$DE1268,10),0)</f>
        <v/>
      </c>
      <c r="N1268">
        <f>IFERROR(INDEX(PP_Grid[#Data],$DE1268,11),0)</f>
        <v/>
      </c>
      <c r="O1268">
        <f>IFERROR(INDEX(PP_Grid[#Data],$DE1268,12),0)</f>
        <v/>
      </c>
      <c r="P1268">
        <f>IFERROR(INDEX(PP_Grid[#Data],$DE1268,13),0)</f>
        <v/>
      </c>
      <c r="Q1268">
        <f>IFERROR(INDEX(PP_Grid[#Data],$DE1268,14),0)</f>
        <v/>
      </c>
      <c r="R1268">
        <f>IFERROR(INDEX(PP_Grid[#Data],$DE1268,15),0)</f>
        <v/>
      </c>
      <c r="S1268">
        <f>IFERROR(INDEX(PP_Grid[#Data],$DE1268,16),0)</f>
        <v/>
      </c>
      <c r="T1268">
        <f>IFERROR(INDEX(PP_Grid[#Data],$DE1268,17),0)</f>
        <v/>
      </c>
      <c r="U1268">
        <f>IFERROR(INDEX(PP_Grid[#Data],$DE1268,18),0)</f>
        <v/>
      </c>
      <c r="V1268">
        <f>IFERROR(INDEX(PP_Grid[#Data],$DE1268,19),0)</f>
        <v/>
      </c>
      <c r="W1268">
        <f>IFERROR(INDEX(PP_Grid[#Data],$DE1268,20),0)</f>
        <v/>
      </c>
      <c r="X1268">
        <f>IFERROR(INDEX(PP_Grid[#Data],$DE1268,21),0)</f>
        <v/>
      </c>
      <c r="Y1268">
        <f>IFERROR(INDEX(PP_Grid[#Data],$DE1268,22),0)</f>
        <v/>
      </c>
      <c r="Z1268">
        <f>IFERROR(INDEX(PP_Grid[#Data],$DE1268,23),0)</f>
        <v/>
      </c>
      <c r="AA1268">
        <f>IFERROR(INDEX(PP_Grid[#Data],$DE1268,24),0)</f>
        <v/>
      </c>
      <c r="AB1268">
        <f>IFERROR(INDEX(PP_Grid[#Data],$DE1268,25),0)</f>
        <v/>
      </c>
      <c r="AC1268">
        <f>IFERROR(INDEX(PP_Grid[#Data],$DE1268,26),0)</f>
        <v/>
      </c>
      <c r="AD1268">
        <f>IFERROR(INDEX(PP_Grid[#Data],$DE1268,27),0)</f>
        <v/>
      </c>
      <c r="AE1268">
        <f>IFERROR(INDEX(PP_Grid[#Data],$DE1268,28),0)</f>
        <v/>
      </c>
      <c r="AF1268">
        <f>IFERROR(INDEX(PP_Grid[#Data],$DE1268,29),0)</f>
        <v/>
      </c>
      <c r="AG1268">
        <f>IFERROR(INDEX(PP_Grid[#Data],$DE1268,30),0)</f>
        <v/>
      </c>
      <c r="AH1268">
        <f>IFERROR(INDEX(PP_Grid[#Data],$DE1268,31),0)</f>
        <v/>
      </c>
      <c r="AI1268">
        <f>IFERROR(INDEX(PP_Grid[#Data],$DE1268,32),0)</f>
        <v/>
      </c>
      <c r="AJ1268">
        <f>IFERROR(INDEX(PP_Grid[#Data],$DE1268,33),0)</f>
        <v/>
      </c>
      <c r="AK1268">
        <f>IFERROR(INDEX(PP_Grid[#Data],$DE1268,34),0)</f>
        <v/>
      </c>
      <c r="AL1268">
        <f>IFERROR(INDEX(PP_Grid[#Data],$DE1268,35),0)</f>
        <v/>
      </c>
      <c r="AM1268">
        <f>IFERROR(INDEX(PP_Grid[#Data],$DE1268,36),0)</f>
        <v/>
      </c>
      <c r="AN1268">
        <f>IFERROR(INDEX(PP_Grid[#Data],$DE1268,37),0)</f>
        <v/>
      </c>
      <c r="AO1268">
        <f>IFERROR(INDEX(PP_Grid[#Data],$DE1268,38),0)</f>
        <v/>
      </c>
      <c r="AP1268">
        <f>IFERROR(INDEX(PP_Grid[#Data],$DE1268,39),0)</f>
        <v/>
      </c>
      <c r="AQ1268">
        <f>IFERROR(INDEX(PP_Grid[#Data],$DE1268,40),0)</f>
        <v/>
      </c>
      <c r="AR1268">
        <f>IFERROR(INDEX(PP_Grid[#Data],$DE1268,41),0)</f>
        <v/>
      </c>
      <c r="AS1268">
        <f>IFERROR(INDEX(PP_Grid[#Data],$DE1268,42),0)</f>
        <v/>
      </c>
      <c r="AT1268">
        <f>IFERROR(INDEX(PP_Grid[#Data],$DE1268,43),0)</f>
        <v/>
      </c>
      <c r="AU1268">
        <f>IFERROR(INDEX(PP_Grid[#Data],$DE1268,44),0)</f>
        <v/>
      </c>
      <c r="AV1268">
        <f>IFERROR(INDEX(PP_Grid[#Data],$DE1268,45),0)</f>
        <v/>
      </c>
      <c r="AW1268">
        <f>IFERROR(INDEX(PP_Grid[#Data],$DE1268,46),0)</f>
        <v/>
      </c>
      <c r="AX1268">
        <f>IFERROR(INDEX(PP_Grid[#Data],$DE1268,47),0)</f>
        <v/>
      </c>
      <c r="AY1268">
        <f>IFERROR(INDEX(PP_Grid[#Data],$DE1268,48),0)</f>
        <v/>
      </c>
      <c r="AZ1268">
        <f>IFERROR(INDEX(PP_Grid[#Data],$DE1268,49),0)</f>
        <v/>
      </c>
      <c r="BA1268">
        <f>IFERROR(INDEX(PP_Grid[#Data],$DE1268,50),0)</f>
        <v/>
      </c>
      <c r="BB1268">
        <f>IFERROR(INDEX(PP_Grid[#Data],$DE1268,51),0)</f>
        <v/>
      </c>
      <c r="BC1268">
        <f>IFERROR(INDEX(PP_Grid[#Data],$DE1268,52),0)</f>
        <v/>
      </c>
      <c r="BD1268">
        <f>IFERROR(INDEX(PP_Grid[#Data],$DE1268,53),0)</f>
        <v/>
      </c>
      <c r="BE1268">
        <f>IFERROR(INDEX(PP_Grid[#Data],$DE1268,54),0)</f>
        <v/>
      </c>
      <c r="BF1268">
        <f>IFERROR(INDEX(PP_Grid[#Data],$DE1268,55),0)</f>
        <v/>
      </c>
      <c r="BG1268">
        <f>IFERROR(INDEX(PP_Grid[#Data],$DE1268,56),0)</f>
        <v/>
      </c>
      <c r="BH1268">
        <f>IFERROR(INDEX(PP_Grid[#Data],$DE1268,57),0)</f>
        <v/>
      </c>
      <c r="BI1268">
        <f>IFERROR(INDEX(PP_Grid[#Data],$DE1268,58),0)</f>
        <v/>
      </c>
      <c r="BJ1268">
        <f>IFERROR(INDEX(PP_Grid[#Data],$DE1268,59),0)</f>
        <v/>
      </c>
      <c r="BK1268">
        <f>IFERROR(INDEX(PP_Grid[#Data],$DE1268,60),0)</f>
        <v/>
      </c>
      <c r="BL1268">
        <f>IFERROR(INDEX(PP_Grid[#Data],$DE1268,61),0)</f>
        <v/>
      </c>
      <c r="BM1268">
        <f>IFERROR(INDEX(PP_Grid[#Data],$DE1268,62),0)</f>
        <v/>
      </c>
      <c r="BN1268">
        <f>IFERROR(INDEX(PP_Grid[#Data],$DE1268,63),0)</f>
        <v/>
      </c>
      <c r="BO1268">
        <f>IFERROR(INDEX(PP_Grid[#Data],$DE1268,64),0)</f>
        <v/>
      </c>
      <c r="BP1268">
        <f>IFERROR(INDEX(PP_Grid[#Data],$DE1268,65),0)</f>
        <v/>
      </c>
      <c r="BQ1268">
        <f>IFERROR(INDEX(PP_Grid[#Data],$DE1268,66),0)</f>
        <v/>
      </c>
      <c r="BR1268">
        <f>IFERROR(INDEX(PP_Grid[#Data],$DE1268,67),0)</f>
        <v/>
      </c>
      <c r="BS1268">
        <f>IFERROR(INDEX(PP_Grid[#Data],$DE1268,68),0)</f>
        <v/>
      </c>
      <c r="BT1268">
        <f>IFERROR(INDEX(PP_Grid[#Data],$DE1268,69),0)</f>
        <v/>
      </c>
      <c r="BU1268">
        <f>IFERROR(INDEX(PP_Grid[#Data],$DE1268,70),0)</f>
        <v/>
      </c>
      <c r="BV1268">
        <f>IFERROR(INDEX(PP_Grid[#Data],$DE1268,71),0)</f>
        <v/>
      </c>
      <c r="BW1268">
        <f>IFERROR(INDEX(PP_Grid[#Data],$DE1268,72),0)</f>
        <v/>
      </c>
      <c r="BX1268">
        <f>IFERROR(INDEX(PP_Grid[#Data],$DE1268,73),0)</f>
        <v/>
      </c>
      <c r="BY1268">
        <f>IFERROR(INDEX(PP_Grid[#Data],$DE1268,74),0)</f>
        <v/>
      </c>
      <c r="BZ1268">
        <f>IFERROR(INDEX(PP_Grid[#Data],$DE1268,75),0)</f>
        <v/>
      </c>
      <c r="CA1268">
        <f>IFERROR(INDEX(PP_Grid[#Data],$DE1268,76),0)</f>
        <v/>
      </c>
      <c r="CB1268">
        <f>IFERROR(INDEX(PP_Grid[#Data],$DE1268,77),0)</f>
        <v/>
      </c>
      <c r="CC1268">
        <f>IFERROR(INDEX(PP_Grid[#Data],$DE1268,78),0)</f>
        <v/>
      </c>
      <c r="CD1268">
        <f>IFERROR(INDEX(PP_Grid[#Data],$DE1268,79),0)</f>
        <v/>
      </c>
      <c r="CE1268">
        <f>IFERROR(INDEX(PP_Grid[#Data],$DE1268,80),0)</f>
        <v/>
      </c>
      <c r="CF1268">
        <f>IFERROR(INDEX(PP_Grid[#Data],$DE1268,81),0)</f>
        <v/>
      </c>
      <c r="CG1268">
        <f>IFERROR(INDEX(PP_Grid[#Data],$DE1268,82),0)</f>
        <v/>
      </c>
      <c r="CH1268">
        <f>IFERROR(INDEX(PP_Grid[#Data],$DE1268,83),0)</f>
        <v/>
      </c>
      <c r="CI1268">
        <f>IFERROR(INDEX(PP_Grid[#Data],$DE1268,84),0)</f>
        <v/>
      </c>
      <c r="CJ1268">
        <f>IFERROR(INDEX(PP_Grid[#Data],$DE1268,85),0)</f>
        <v/>
      </c>
      <c r="CK1268">
        <f>IFERROR(INDEX(PP_Grid[#Data],$DE1268,86),0)</f>
        <v/>
      </c>
      <c r="CL1268">
        <f>IFERROR(INDEX(PP_Grid[#Data],$DE1268,87),0)</f>
        <v/>
      </c>
      <c r="CM1268">
        <f>IFERROR(INDEX(PP_Grid[#Data],$DE1268,88),0)</f>
        <v/>
      </c>
      <c r="CN1268">
        <f>IFERROR(INDEX(PP_Grid[#Data],$DE1268,89),0)</f>
        <v/>
      </c>
      <c r="CO1268">
        <f>IFERROR(INDEX(PP_Grid[#Data],$DE1268,90),0)</f>
        <v/>
      </c>
      <c r="CP1268">
        <f>IFERROR(INDEX(PP_Grid[#Data],$DE1268,91),0)</f>
        <v/>
      </c>
      <c r="CQ1268">
        <f>IFERROR(INDEX(PP_Grid[#Data],$DE1268,92),0)</f>
        <v/>
      </c>
      <c r="CR1268">
        <f>IFERROR(INDEX(PP_Grid[#Data],$DE1268,93),0)</f>
        <v/>
      </c>
      <c r="CS1268">
        <f>IFERROR(INDEX(PP_Grid[#Data],$DE1268,94),0)</f>
        <v/>
      </c>
      <c r="CT1268">
        <f>IFERROR(INDEX(PP_Grid[#Data],$DE1268,95),0)</f>
        <v/>
      </c>
      <c r="CU1268">
        <f>IFERROR(INDEX(PP_Grid[#Data],$DE1268,96),0)</f>
        <v/>
      </c>
      <c r="CV1268">
        <f>IFERROR(INDEX(PP_Grid[#Data],$DE1268,97),0)</f>
        <v/>
      </c>
      <c r="CW1268">
        <f>IFERROR(INDEX(PP_Grid[#Data],$DE1268,98),0)</f>
        <v/>
      </c>
      <c r="CX1268">
        <f>IFERROR(INDEX(PP_Grid[#Data],$DE1268,99),0)</f>
        <v/>
      </c>
      <c r="CY1268">
        <f>IFERROR(INDEX(PP_Grid[#Data],$DE1268,100),0)</f>
        <v/>
      </c>
      <c r="CZ1268">
        <f>IFERROR(INDEX(PP_Grid[#Data],$DE1268,101),0)</f>
        <v/>
      </c>
      <c r="DA1268">
        <f>IFERROR(INDEX(PP_Grid[#Data],$DE1268,102),0)</f>
        <v/>
      </c>
      <c r="DB1268">
        <f>IFERROR(INDEX(PP_Grid[#Data],$DE1268,103),0)</f>
        <v/>
      </c>
      <c r="DC1268">
        <f>IFERROR(INDEX(PP_Grid[#Data],$DE1268,104),0)</f>
        <v/>
      </c>
      <c r="DD1268">
        <f>IFERROR(INDEX(PP_Grid[#Data],$DE1268,105),0)</f>
        <v/>
      </c>
      <c r="DE1268" s="7">
        <f>IFERROR(MATCH($B1268,PP_Grid[Intermediate],0),99999)</f>
        <v/>
      </c>
    </row>
    <row r="1269">
      <c r="B1269" t="inlineStr">
        <is>
          <t>使用量(kg)</t>
        </is>
      </c>
      <c r="C1269">
        <f>SUMIFS(M_BOM[RM_Qty_Per_Batch],M_BOM[Intermediate],$B1268,M_BOM[RM_Code],$A1239)</f>
        <v/>
      </c>
      <c r="D1269">
        <f>IFERROR(INDEX(E1269:DD1269,$F$1),"")</f>
        <v/>
      </c>
      <c r="E1269">
        <f>$C1269*E1268</f>
        <v/>
      </c>
      <c r="F1269">
        <f>$C1269*F1268</f>
        <v/>
      </c>
      <c r="G1269">
        <f>$C1269*G1268</f>
        <v/>
      </c>
      <c r="H1269">
        <f>$C1269*H1268</f>
        <v/>
      </c>
      <c r="I1269">
        <f>$C1269*I1268</f>
        <v/>
      </c>
      <c r="J1269">
        <f>$C1269*J1268</f>
        <v/>
      </c>
      <c r="K1269">
        <f>$C1269*K1268</f>
        <v/>
      </c>
      <c r="L1269">
        <f>$C1269*L1268</f>
        <v/>
      </c>
      <c r="M1269">
        <f>$C1269*M1268</f>
        <v/>
      </c>
      <c r="N1269">
        <f>$C1269*N1268</f>
        <v/>
      </c>
      <c r="O1269">
        <f>$C1269*O1268</f>
        <v/>
      </c>
      <c r="P1269">
        <f>$C1269*P1268</f>
        <v/>
      </c>
      <c r="Q1269">
        <f>$C1269*Q1268</f>
        <v/>
      </c>
      <c r="R1269">
        <f>$C1269*R1268</f>
        <v/>
      </c>
      <c r="S1269">
        <f>$C1269*S1268</f>
        <v/>
      </c>
      <c r="T1269">
        <f>$C1269*T1268</f>
        <v/>
      </c>
      <c r="U1269">
        <f>$C1269*U1268</f>
        <v/>
      </c>
      <c r="V1269">
        <f>$C1269*V1268</f>
        <v/>
      </c>
      <c r="W1269">
        <f>$C1269*W1268</f>
        <v/>
      </c>
      <c r="X1269">
        <f>$C1269*X1268</f>
        <v/>
      </c>
      <c r="Y1269">
        <f>$C1269*Y1268</f>
        <v/>
      </c>
      <c r="Z1269">
        <f>$C1269*Z1268</f>
        <v/>
      </c>
      <c r="AA1269">
        <f>$C1269*AA1268</f>
        <v/>
      </c>
      <c r="AB1269">
        <f>$C1269*AB1268</f>
        <v/>
      </c>
      <c r="AC1269">
        <f>$C1269*AC1268</f>
        <v/>
      </c>
      <c r="AD1269">
        <f>$C1269*AD1268</f>
        <v/>
      </c>
      <c r="AE1269">
        <f>$C1269*AE1268</f>
        <v/>
      </c>
      <c r="AF1269">
        <f>$C1269*AF1268</f>
        <v/>
      </c>
      <c r="AG1269">
        <f>$C1269*AG1268</f>
        <v/>
      </c>
      <c r="AH1269">
        <f>$C1269*AH1268</f>
        <v/>
      </c>
      <c r="AI1269">
        <f>$C1269*AI1268</f>
        <v/>
      </c>
      <c r="AJ1269">
        <f>$C1269*AJ1268</f>
        <v/>
      </c>
      <c r="AK1269">
        <f>$C1269*AK1268</f>
        <v/>
      </c>
      <c r="AL1269">
        <f>$C1269*AL1268</f>
        <v/>
      </c>
      <c r="AM1269">
        <f>$C1269*AM1268</f>
        <v/>
      </c>
      <c r="AN1269">
        <f>$C1269*AN1268</f>
        <v/>
      </c>
      <c r="AO1269">
        <f>$C1269*AO1268</f>
        <v/>
      </c>
      <c r="AP1269">
        <f>$C1269*AP1268</f>
        <v/>
      </c>
      <c r="AQ1269">
        <f>$C1269*AQ1268</f>
        <v/>
      </c>
      <c r="AR1269">
        <f>$C1269*AR1268</f>
        <v/>
      </c>
      <c r="AS1269">
        <f>$C1269*AS1268</f>
        <v/>
      </c>
      <c r="AT1269">
        <f>$C1269*AT1268</f>
        <v/>
      </c>
      <c r="AU1269">
        <f>$C1269*AU1268</f>
        <v/>
      </c>
      <c r="AV1269">
        <f>$C1269*AV1268</f>
        <v/>
      </c>
      <c r="AW1269">
        <f>$C1269*AW1268</f>
        <v/>
      </c>
      <c r="AX1269">
        <f>$C1269*AX1268</f>
        <v/>
      </c>
      <c r="AY1269">
        <f>$C1269*AY1268</f>
        <v/>
      </c>
      <c r="AZ1269">
        <f>$C1269*AZ1268</f>
        <v/>
      </c>
      <c r="BA1269">
        <f>$C1269*BA1268</f>
        <v/>
      </c>
      <c r="BB1269">
        <f>$C1269*BB1268</f>
        <v/>
      </c>
      <c r="BC1269">
        <f>$C1269*BC1268</f>
        <v/>
      </c>
      <c r="BD1269">
        <f>$C1269*BD1268</f>
        <v/>
      </c>
      <c r="BE1269">
        <f>$C1269*BE1268</f>
        <v/>
      </c>
      <c r="BF1269">
        <f>$C1269*BF1268</f>
        <v/>
      </c>
      <c r="BG1269">
        <f>$C1269*BG1268</f>
        <v/>
      </c>
      <c r="BH1269">
        <f>$C1269*BH1268</f>
        <v/>
      </c>
      <c r="BI1269">
        <f>$C1269*BI1268</f>
        <v/>
      </c>
      <c r="BJ1269">
        <f>$C1269*BJ1268</f>
        <v/>
      </c>
      <c r="BK1269">
        <f>$C1269*BK1268</f>
        <v/>
      </c>
      <c r="BL1269">
        <f>$C1269*BL1268</f>
        <v/>
      </c>
      <c r="BM1269">
        <f>$C1269*BM1268</f>
        <v/>
      </c>
      <c r="BN1269">
        <f>$C1269*BN1268</f>
        <v/>
      </c>
      <c r="BO1269">
        <f>$C1269*BO1268</f>
        <v/>
      </c>
      <c r="BP1269">
        <f>$C1269*BP1268</f>
        <v/>
      </c>
      <c r="BQ1269">
        <f>$C1269*BQ1268</f>
        <v/>
      </c>
      <c r="BR1269">
        <f>$C1269*BR1268</f>
        <v/>
      </c>
      <c r="BS1269">
        <f>$C1269*BS1268</f>
        <v/>
      </c>
      <c r="BT1269">
        <f>$C1269*BT1268</f>
        <v/>
      </c>
      <c r="BU1269">
        <f>$C1269*BU1268</f>
        <v/>
      </c>
      <c r="BV1269">
        <f>$C1269*BV1268</f>
        <v/>
      </c>
      <c r="BW1269">
        <f>$C1269*BW1268</f>
        <v/>
      </c>
      <c r="BX1269">
        <f>$C1269*BX1268</f>
        <v/>
      </c>
      <c r="BY1269">
        <f>$C1269*BY1268</f>
        <v/>
      </c>
      <c r="BZ1269">
        <f>$C1269*BZ1268</f>
        <v/>
      </c>
      <c r="CA1269">
        <f>$C1269*CA1268</f>
        <v/>
      </c>
      <c r="CB1269">
        <f>$C1269*CB1268</f>
        <v/>
      </c>
      <c r="CC1269">
        <f>$C1269*CC1268</f>
        <v/>
      </c>
      <c r="CD1269">
        <f>$C1269*CD1268</f>
        <v/>
      </c>
      <c r="CE1269">
        <f>$C1269*CE1268</f>
        <v/>
      </c>
      <c r="CF1269">
        <f>$C1269*CF1268</f>
        <v/>
      </c>
      <c r="CG1269">
        <f>$C1269*CG1268</f>
        <v/>
      </c>
      <c r="CH1269">
        <f>$C1269*CH1268</f>
        <v/>
      </c>
      <c r="CI1269">
        <f>$C1269*CI1268</f>
        <v/>
      </c>
      <c r="CJ1269">
        <f>$C1269*CJ1268</f>
        <v/>
      </c>
      <c r="CK1269">
        <f>$C1269*CK1268</f>
        <v/>
      </c>
      <c r="CL1269">
        <f>$C1269*CL1268</f>
        <v/>
      </c>
      <c r="CM1269">
        <f>$C1269*CM1268</f>
        <v/>
      </c>
      <c r="CN1269">
        <f>$C1269*CN1268</f>
        <v/>
      </c>
      <c r="CO1269">
        <f>$C1269*CO1268</f>
        <v/>
      </c>
      <c r="CP1269">
        <f>$C1269*CP1268</f>
        <v/>
      </c>
      <c r="CQ1269">
        <f>$C1269*CQ1268</f>
        <v/>
      </c>
      <c r="CR1269">
        <f>$C1269*CR1268</f>
        <v/>
      </c>
      <c r="CS1269">
        <f>$C1269*CS1268</f>
        <v/>
      </c>
      <c r="CT1269">
        <f>$C1269*CT1268</f>
        <v/>
      </c>
      <c r="CU1269">
        <f>$C1269*CU1268</f>
        <v/>
      </c>
      <c r="CV1269">
        <f>$C1269*CV1268</f>
        <v/>
      </c>
      <c r="CW1269">
        <f>$C1269*CW1268</f>
        <v/>
      </c>
      <c r="CX1269">
        <f>$C1269*CX1268</f>
        <v/>
      </c>
      <c r="CY1269">
        <f>$C1269*CY1268</f>
        <v/>
      </c>
      <c r="CZ1269">
        <f>$C1269*CZ1268</f>
        <v/>
      </c>
      <c r="DA1269">
        <f>$C1269*DA1268</f>
        <v/>
      </c>
      <c r="DB1269">
        <f>$C1269*DB1268</f>
        <v/>
      </c>
      <c r="DC1269">
        <f>$C1269*DC1268</f>
        <v/>
      </c>
      <c r="DD1269">
        <f>$C1269*DD1268</f>
        <v/>
      </c>
    </row>
    <row r="1270">
      <c r="B1270" t="inlineStr">
        <is>
          <t>TPP-533(98%)</t>
        </is>
      </c>
      <c r="C1270" t="inlineStr">
        <is>
          <t>No. of batches</t>
        </is>
      </c>
      <c r="D1270">
        <f>IFERROR(INDEX(E1270:DD1270,$F$1),"")</f>
        <v/>
      </c>
      <c r="E1270">
        <f>IFERROR(INDEX(PP_Grid[#Data],$DE1270,2),0)</f>
        <v/>
      </c>
      <c r="F1270">
        <f>IFERROR(INDEX(PP_Grid[#Data],$DE1270,3),0)</f>
        <v/>
      </c>
      <c r="G1270">
        <f>IFERROR(INDEX(PP_Grid[#Data],$DE1270,4),0)</f>
        <v/>
      </c>
      <c r="H1270">
        <f>IFERROR(INDEX(PP_Grid[#Data],$DE1270,5),0)</f>
        <v/>
      </c>
      <c r="I1270">
        <f>IFERROR(INDEX(PP_Grid[#Data],$DE1270,6),0)</f>
        <v/>
      </c>
      <c r="J1270">
        <f>IFERROR(INDEX(PP_Grid[#Data],$DE1270,7),0)</f>
        <v/>
      </c>
      <c r="K1270">
        <f>IFERROR(INDEX(PP_Grid[#Data],$DE1270,8),0)</f>
        <v/>
      </c>
      <c r="L1270">
        <f>IFERROR(INDEX(PP_Grid[#Data],$DE1270,9),0)</f>
        <v/>
      </c>
      <c r="M1270">
        <f>IFERROR(INDEX(PP_Grid[#Data],$DE1270,10),0)</f>
        <v/>
      </c>
      <c r="N1270">
        <f>IFERROR(INDEX(PP_Grid[#Data],$DE1270,11),0)</f>
        <v/>
      </c>
      <c r="O1270">
        <f>IFERROR(INDEX(PP_Grid[#Data],$DE1270,12),0)</f>
        <v/>
      </c>
      <c r="P1270">
        <f>IFERROR(INDEX(PP_Grid[#Data],$DE1270,13),0)</f>
        <v/>
      </c>
      <c r="Q1270">
        <f>IFERROR(INDEX(PP_Grid[#Data],$DE1270,14),0)</f>
        <v/>
      </c>
      <c r="R1270">
        <f>IFERROR(INDEX(PP_Grid[#Data],$DE1270,15),0)</f>
        <v/>
      </c>
      <c r="S1270">
        <f>IFERROR(INDEX(PP_Grid[#Data],$DE1270,16),0)</f>
        <v/>
      </c>
      <c r="T1270">
        <f>IFERROR(INDEX(PP_Grid[#Data],$DE1270,17),0)</f>
        <v/>
      </c>
      <c r="U1270">
        <f>IFERROR(INDEX(PP_Grid[#Data],$DE1270,18),0)</f>
        <v/>
      </c>
      <c r="V1270">
        <f>IFERROR(INDEX(PP_Grid[#Data],$DE1270,19),0)</f>
        <v/>
      </c>
      <c r="W1270">
        <f>IFERROR(INDEX(PP_Grid[#Data],$DE1270,20),0)</f>
        <v/>
      </c>
      <c r="X1270">
        <f>IFERROR(INDEX(PP_Grid[#Data],$DE1270,21),0)</f>
        <v/>
      </c>
      <c r="Y1270">
        <f>IFERROR(INDEX(PP_Grid[#Data],$DE1270,22),0)</f>
        <v/>
      </c>
      <c r="Z1270">
        <f>IFERROR(INDEX(PP_Grid[#Data],$DE1270,23),0)</f>
        <v/>
      </c>
      <c r="AA1270">
        <f>IFERROR(INDEX(PP_Grid[#Data],$DE1270,24),0)</f>
        <v/>
      </c>
      <c r="AB1270">
        <f>IFERROR(INDEX(PP_Grid[#Data],$DE1270,25),0)</f>
        <v/>
      </c>
      <c r="AC1270">
        <f>IFERROR(INDEX(PP_Grid[#Data],$DE1270,26),0)</f>
        <v/>
      </c>
      <c r="AD1270">
        <f>IFERROR(INDEX(PP_Grid[#Data],$DE1270,27),0)</f>
        <v/>
      </c>
      <c r="AE1270">
        <f>IFERROR(INDEX(PP_Grid[#Data],$DE1270,28),0)</f>
        <v/>
      </c>
      <c r="AF1270">
        <f>IFERROR(INDEX(PP_Grid[#Data],$DE1270,29),0)</f>
        <v/>
      </c>
      <c r="AG1270">
        <f>IFERROR(INDEX(PP_Grid[#Data],$DE1270,30),0)</f>
        <v/>
      </c>
      <c r="AH1270">
        <f>IFERROR(INDEX(PP_Grid[#Data],$DE1270,31),0)</f>
        <v/>
      </c>
      <c r="AI1270">
        <f>IFERROR(INDEX(PP_Grid[#Data],$DE1270,32),0)</f>
        <v/>
      </c>
      <c r="AJ1270">
        <f>IFERROR(INDEX(PP_Grid[#Data],$DE1270,33),0)</f>
        <v/>
      </c>
      <c r="AK1270">
        <f>IFERROR(INDEX(PP_Grid[#Data],$DE1270,34),0)</f>
        <v/>
      </c>
      <c r="AL1270">
        <f>IFERROR(INDEX(PP_Grid[#Data],$DE1270,35),0)</f>
        <v/>
      </c>
      <c r="AM1270">
        <f>IFERROR(INDEX(PP_Grid[#Data],$DE1270,36),0)</f>
        <v/>
      </c>
      <c r="AN1270">
        <f>IFERROR(INDEX(PP_Grid[#Data],$DE1270,37),0)</f>
        <v/>
      </c>
      <c r="AO1270">
        <f>IFERROR(INDEX(PP_Grid[#Data],$DE1270,38),0)</f>
        <v/>
      </c>
      <c r="AP1270">
        <f>IFERROR(INDEX(PP_Grid[#Data],$DE1270,39),0)</f>
        <v/>
      </c>
      <c r="AQ1270">
        <f>IFERROR(INDEX(PP_Grid[#Data],$DE1270,40),0)</f>
        <v/>
      </c>
      <c r="AR1270">
        <f>IFERROR(INDEX(PP_Grid[#Data],$DE1270,41),0)</f>
        <v/>
      </c>
      <c r="AS1270">
        <f>IFERROR(INDEX(PP_Grid[#Data],$DE1270,42),0)</f>
        <v/>
      </c>
      <c r="AT1270">
        <f>IFERROR(INDEX(PP_Grid[#Data],$DE1270,43),0)</f>
        <v/>
      </c>
      <c r="AU1270">
        <f>IFERROR(INDEX(PP_Grid[#Data],$DE1270,44),0)</f>
        <v/>
      </c>
      <c r="AV1270">
        <f>IFERROR(INDEX(PP_Grid[#Data],$DE1270,45),0)</f>
        <v/>
      </c>
      <c r="AW1270">
        <f>IFERROR(INDEX(PP_Grid[#Data],$DE1270,46),0)</f>
        <v/>
      </c>
      <c r="AX1270">
        <f>IFERROR(INDEX(PP_Grid[#Data],$DE1270,47),0)</f>
        <v/>
      </c>
      <c r="AY1270">
        <f>IFERROR(INDEX(PP_Grid[#Data],$DE1270,48),0)</f>
        <v/>
      </c>
      <c r="AZ1270">
        <f>IFERROR(INDEX(PP_Grid[#Data],$DE1270,49),0)</f>
        <v/>
      </c>
      <c r="BA1270">
        <f>IFERROR(INDEX(PP_Grid[#Data],$DE1270,50),0)</f>
        <v/>
      </c>
      <c r="BB1270">
        <f>IFERROR(INDEX(PP_Grid[#Data],$DE1270,51),0)</f>
        <v/>
      </c>
      <c r="BC1270">
        <f>IFERROR(INDEX(PP_Grid[#Data],$DE1270,52),0)</f>
        <v/>
      </c>
      <c r="BD1270">
        <f>IFERROR(INDEX(PP_Grid[#Data],$DE1270,53),0)</f>
        <v/>
      </c>
      <c r="BE1270">
        <f>IFERROR(INDEX(PP_Grid[#Data],$DE1270,54),0)</f>
        <v/>
      </c>
      <c r="BF1270">
        <f>IFERROR(INDEX(PP_Grid[#Data],$DE1270,55),0)</f>
        <v/>
      </c>
      <c r="BG1270">
        <f>IFERROR(INDEX(PP_Grid[#Data],$DE1270,56),0)</f>
        <v/>
      </c>
      <c r="BH1270">
        <f>IFERROR(INDEX(PP_Grid[#Data],$DE1270,57),0)</f>
        <v/>
      </c>
      <c r="BI1270">
        <f>IFERROR(INDEX(PP_Grid[#Data],$DE1270,58),0)</f>
        <v/>
      </c>
      <c r="BJ1270">
        <f>IFERROR(INDEX(PP_Grid[#Data],$DE1270,59),0)</f>
        <v/>
      </c>
      <c r="BK1270">
        <f>IFERROR(INDEX(PP_Grid[#Data],$DE1270,60),0)</f>
        <v/>
      </c>
      <c r="BL1270">
        <f>IFERROR(INDEX(PP_Grid[#Data],$DE1270,61),0)</f>
        <v/>
      </c>
      <c r="BM1270">
        <f>IFERROR(INDEX(PP_Grid[#Data],$DE1270,62),0)</f>
        <v/>
      </c>
      <c r="BN1270">
        <f>IFERROR(INDEX(PP_Grid[#Data],$DE1270,63),0)</f>
        <v/>
      </c>
      <c r="BO1270">
        <f>IFERROR(INDEX(PP_Grid[#Data],$DE1270,64),0)</f>
        <v/>
      </c>
      <c r="BP1270">
        <f>IFERROR(INDEX(PP_Grid[#Data],$DE1270,65),0)</f>
        <v/>
      </c>
      <c r="BQ1270">
        <f>IFERROR(INDEX(PP_Grid[#Data],$DE1270,66),0)</f>
        <v/>
      </c>
      <c r="BR1270">
        <f>IFERROR(INDEX(PP_Grid[#Data],$DE1270,67),0)</f>
        <v/>
      </c>
      <c r="BS1270">
        <f>IFERROR(INDEX(PP_Grid[#Data],$DE1270,68),0)</f>
        <v/>
      </c>
      <c r="BT1270">
        <f>IFERROR(INDEX(PP_Grid[#Data],$DE1270,69),0)</f>
        <v/>
      </c>
      <c r="BU1270">
        <f>IFERROR(INDEX(PP_Grid[#Data],$DE1270,70),0)</f>
        <v/>
      </c>
      <c r="BV1270">
        <f>IFERROR(INDEX(PP_Grid[#Data],$DE1270,71),0)</f>
        <v/>
      </c>
      <c r="BW1270">
        <f>IFERROR(INDEX(PP_Grid[#Data],$DE1270,72),0)</f>
        <v/>
      </c>
      <c r="BX1270">
        <f>IFERROR(INDEX(PP_Grid[#Data],$DE1270,73),0)</f>
        <v/>
      </c>
      <c r="BY1270">
        <f>IFERROR(INDEX(PP_Grid[#Data],$DE1270,74),0)</f>
        <v/>
      </c>
      <c r="BZ1270">
        <f>IFERROR(INDEX(PP_Grid[#Data],$DE1270,75),0)</f>
        <v/>
      </c>
      <c r="CA1270">
        <f>IFERROR(INDEX(PP_Grid[#Data],$DE1270,76),0)</f>
        <v/>
      </c>
      <c r="CB1270">
        <f>IFERROR(INDEX(PP_Grid[#Data],$DE1270,77),0)</f>
        <v/>
      </c>
      <c r="CC1270">
        <f>IFERROR(INDEX(PP_Grid[#Data],$DE1270,78),0)</f>
        <v/>
      </c>
      <c r="CD1270">
        <f>IFERROR(INDEX(PP_Grid[#Data],$DE1270,79),0)</f>
        <v/>
      </c>
      <c r="CE1270">
        <f>IFERROR(INDEX(PP_Grid[#Data],$DE1270,80),0)</f>
        <v/>
      </c>
      <c r="CF1270">
        <f>IFERROR(INDEX(PP_Grid[#Data],$DE1270,81),0)</f>
        <v/>
      </c>
      <c r="CG1270">
        <f>IFERROR(INDEX(PP_Grid[#Data],$DE1270,82),0)</f>
        <v/>
      </c>
      <c r="CH1270">
        <f>IFERROR(INDEX(PP_Grid[#Data],$DE1270,83),0)</f>
        <v/>
      </c>
      <c r="CI1270">
        <f>IFERROR(INDEX(PP_Grid[#Data],$DE1270,84),0)</f>
        <v/>
      </c>
      <c r="CJ1270">
        <f>IFERROR(INDEX(PP_Grid[#Data],$DE1270,85),0)</f>
        <v/>
      </c>
      <c r="CK1270">
        <f>IFERROR(INDEX(PP_Grid[#Data],$DE1270,86),0)</f>
        <v/>
      </c>
      <c r="CL1270">
        <f>IFERROR(INDEX(PP_Grid[#Data],$DE1270,87),0)</f>
        <v/>
      </c>
      <c r="CM1270">
        <f>IFERROR(INDEX(PP_Grid[#Data],$DE1270,88),0)</f>
        <v/>
      </c>
      <c r="CN1270">
        <f>IFERROR(INDEX(PP_Grid[#Data],$DE1270,89),0)</f>
        <v/>
      </c>
      <c r="CO1270">
        <f>IFERROR(INDEX(PP_Grid[#Data],$DE1270,90),0)</f>
        <v/>
      </c>
      <c r="CP1270">
        <f>IFERROR(INDEX(PP_Grid[#Data],$DE1270,91),0)</f>
        <v/>
      </c>
      <c r="CQ1270">
        <f>IFERROR(INDEX(PP_Grid[#Data],$DE1270,92),0)</f>
        <v/>
      </c>
      <c r="CR1270">
        <f>IFERROR(INDEX(PP_Grid[#Data],$DE1270,93),0)</f>
        <v/>
      </c>
      <c r="CS1270">
        <f>IFERROR(INDEX(PP_Grid[#Data],$DE1270,94),0)</f>
        <v/>
      </c>
      <c r="CT1270">
        <f>IFERROR(INDEX(PP_Grid[#Data],$DE1270,95),0)</f>
        <v/>
      </c>
      <c r="CU1270">
        <f>IFERROR(INDEX(PP_Grid[#Data],$DE1270,96),0)</f>
        <v/>
      </c>
      <c r="CV1270">
        <f>IFERROR(INDEX(PP_Grid[#Data],$DE1270,97),0)</f>
        <v/>
      </c>
      <c r="CW1270">
        <f>IFERROR(INDEX(PP_Grid[#Data],$DE1270,98),0)</f>
        <v/>
      </c>
      <c r="CX1270">
        <f>IFERROR(INDEX(PP_Grid[#Data],$DE1270,99),0)</f>
        <v/>
      </c>
      <c r="CY1270">
        <f>IFERROR(INDEX(PP_Grid[#Data],$DE1270,100),0)</f>
        <v/>
      </c>
      <c r="CZ1270">
        <f>IFERROR(INDEX(PP_Grid[#Data],$DE1270,101),0)</f>
        <v/>
      </c>
      <c r="DA1270">
        <f>IFERROR(INDEX(PP_Grid[#Data],$DE1270,102),0)</f>
        <v/>
      </c>
      <c r="DB1270">
        <f>IFERROR(INDEX(PP_Grid[#Data],$DE1270,103),0)</f>
        <v/>
      </c>
      <c r="DC1270">
        <f>IFERROR(INDEX(PP_Grid[#Data],$DE1270,104),0)</f>
        <v/>
      </c>
      <c r="DD1270">
        <f>IFERROR(INDEX(PP_Grid[#Data],$DE1270,105),0)</f>
        <v/>
      </c>
      <c r="DE1270" s="7">
        <f>IFERROR(MATCH($B1270,PP_Grid[Intermediate],0),99999)</f>
        <v/>
      </c>
    </row>
    <row r="1271">
      <c r="B1271" t="inlineStr">
        <is>
          <t>使用量(kg)</t>
        </is>
      </c>
      <c r="C1271">
        <f>SUMIFS(M_BOM[RM_Qty_Per_Batch],M_BOM[Intermediate],$B1270,M_BOM[RM_Code],$A1239)</f>
        <v/>
      </c>
      <c r="D1271">
        <f>IFERROR(INDEX(E1271:DD1271,$F$1),"")</f>
        <v/>
      </c>
      <c r="E1271">
        <f>$C1271*E1270</f>
        <v/>
      </c>
      <c r="F1271">
        <f>$C1271*F1270</f>
        <v/>
      </c>
      <c r="G1271">
        <f>$C1271*G1270</f>
        <v/>
      </c>
      <c r="H1271">
        <f>$C1271*H1270</f>
        <v/>
      </c>
      <c r="I1271">
        <f>$C1271*I1270</f>
        <v/>
      </c>
      <c r="J1271">
        <f>$C1271*J1270</f>
        <v/>
      </c>
      <c r="K1271">
        <f>$C1271*K1270</f>
        <v/>
      </c>
      <c r="L1271">
        <f>$C1271*L1270</f>
        <v/>
      </c>
      <c r="M1271">
        <f>$C1271*M1270</f>
        <v/>
      </c>
      <c r="N1271">
        <f>$C1271*N1270</f>
        <v/>
      </c>
      <c r="O1271">
        <f>$C1271*O1270</f>
        <v/>
      </c>
      <c r="P1271">
        <f>$C1271*P1270</f>
        <v/>
      </c>
      <c r="Q1271">
        <f>$C1271*Q1270</f>
        <v/>
      </c>
      <c r="R1271">
        <f>$C1271*R1270</f>
        <v/>
      </c>
      <c r="S1271">
        <f>$C1271*S1270</f>
        <v/>
      </c>
      <c r="T1271">
        <f>$C1271*T1270</f>
        <v/>
      </c>
      <c r="U1271">
        <f>$C1271*U1270</f>
        <v/>
      </c>
      <c r="V1271">
        <f>$C1271*V1270</f>
        <v/>
      </c>
      <c r="W1271">
        <f>$C1271*W1270</f>
        <v/>
      </c>
      <c r="X1271">
        <f>$C1271*X1270</f>
        <v/>
      </c>
      <c r="Y1271">
        <f>$C1271*Y1270</f>
        <v/>
      </c>
      <c r="Z1271">
        <f>$C1271*Z1270</f>
        <v/>
      </c>
      <c r="AA1271">
        <f>$C1271*AA1270</f>
        <v/>
      </c>
      <c r="AB1271">
        <f>$C1271*AB1270</f>
        <v/>
      </c>
      <c r="AC1271">
        <f>$C1271*AC1270</f>
        <v/>
      </c>
      <c r="AD1271">
        <f>$C1271*AD1270</f>
        <v/>
      </c>
      <c r="AE1271">
        <f>$C1271*AE1270</f>
        <v/>
      </c>
      <c r="AF1271">
        <f>$C1271*AF1270</f>
        <v/>
      </c>
      <c r="AG1271">
        <f>$C1271*AG1270</f>
        <v/>
      </c>
      <c r="AH1271">
        <f>$C1271*AH1270</f>
        <v/>
      </c>
      <c r="AI1271">
        <f>$C1271*AI1270</f>
        <v/>
      </c>
      <c r="AJ1271">
        <f>$C1271*AJ1270</f>
        <v/>
      </c>
      <c r="AK1271">
        <f>$C1271*AK1270</f>
        <v/>
      </c>
      <c r="AL1271">
        <f>$C1271*AL1270</f>
        <v/>
      </c>
      <c r="AM1271">
        <f>$C1271*AM1270</f>
        <v/>
      </c>
      <c r="AN1271">
        <f>$C1271*AN1270</f>
        <v/>
      </c>
      <c r="AO1271">
        <f>$C1271*AO1270</f>
        <v/>
      </c>
      <c r="AP1271">
        <f>$C1271*AP1270</f>
        <v/>
      </c>
      <c r="AQ1271">
        <f>$C1271*AQ1270</f>
        <v/>
      </c>
      <c r="AR1271">
        <f>$C1271*AR1270</f>
        <v/>
      </c>
      <c r="AS1271">
        <f>$C1271*AS1270</f>
        <v/>
      </c>
      <c r="AT1271">
        <f>$C1271*AT1270</f>
        <v/>
      </c>
      <c r="AU1271">
        <f>$C1271*AU1270</f>
        <v/>
      </c>
      <c r="AV1271">
        <f>$C1271*AV1270</f>
        <v/>
      </c>
      <c r="AW1271">
        <f>$C1271*AW1270</f>
        <v/>
      </c>
      <c r="AX1271">
        <f>$C1271*AX1270</f>
        <v/>
      </c>
      <c r="AY1271">
        <f>$C1271*AY1270</f>
        <v/>
      </c>
      <c r="AZ1271">
        <f>$C1271*AZ1270</f>
        <v/>
      </c>
      <c r="BA1271">
        <f>$C1271*BA1270</f>
        <v/>
      </c>
      <c r="BB1271">
        <f>$C1271*BB1270</f>
        <v/>
      </c>
      <c r="BC1271">
        <f>$C1271*BC1270</f>
        <v/>
      </c>
      <c r="BD1271">
        <f>$C1271*BD1270</f>
        <v/>
      </c>
      <c r="BE1271">
        <f>$C1271*BE1270</f>
        <v/>
      </c>
      <c r="BF1271">
        <f>$C1271*BF1270</f>
        <v/>
      </c>
      <c r="BG1271">
        <f>$C1271*BG1270</f>
        <v/>
      </c>
      <c r="BH1271">
        <f>$C1271*BH1270</f>
        <v/>
      </c>
      <c r="BI1271">
        <f>$C1271*BI1270</f>
        <v/>
      </c>
      <c r="BJ1271">
        <f>$C1271*BJ1270</f>
        <v/>
      </c>
      <c r="BK1271">
        <f>$C1271*BK1270</f>
        <v/>
      </c>
      <c r="BL1271">
        <f>$C1271*BL1270</f>
        <v/>
      </c>
      <c r="BM1271">
        <f>$C1271*BM1270</f>
        <v/>
      </c>
      <c r="BN1271">
        <f>$C1271*BN1270</f>
        <v/>
      </c>
      <c r="BO1271">
        <f>$C1271*BO1270</f>
        <v/>
      </c>
      <c r="BP1271">
        <f>$C1271*BP1270</f>
        <v/>
      </c>
      <c r="BQ1271">
        <f>$C1271*BQ1270</f>
        <v/>
      </c>
      <c r="BR1271">
        <f>$C1271*BR1270</f>
        <v/>
      </c>
      <c r="BS1271">
        <f>$C1271*BS1270</f>
        <v/>
      </c>
      <c r="BT1271">
        <f>$C1271*BT1270</f>
        <v/>
      </c>
      <c r="BU1271">
        <f>$C1271*BU1270</f>
        <v/>
      </c>
      <c r="BV1271">
        <f>$C1271*BV1270</f>
        <v/>
      </c>
      <c r="BW1271">
        <f>$C1271*BW1270</f>
        <v/>
      </c>
      <c r="BX1271">
        <f>$C1271*BX1270</f>
        <v/>
      </c>
      <c r="BY1271">
        <f>$C1271*BY1270</f>
        <v/>
      </c>
      <c r="BZ1271">
        <f>$C1271*BZ1270</f>
        <v/>
      </c>
      <c r="CA1271">
        <f>$C1271*CA1270</f>
        <v/>
      </c>
      <c r="CB1271">
        <f>$C1271*CB1270</f>
        <v/>
      </c>
      <c r="CC1271">
        <f>$C1271*CC1270</f>
        <v/>
      </c>
      <c r="CD1271">
        <f>$C1271*CD1270</f>
        <v/>
      </c>
      <c r="CE1271">
        <f>$C1271*CE1270</f>
        <v/>
      </c>
      <c r="CF1271">
        <f>$C1271*CF1270</f>
        <v/>
      </c>
      <c r="CG1271">
        <f>$C1271*CG1270</f>
        <v/>
      </c>
      <c r="CH1271">
        <f>$C1271*CH1270</f>
        <v/>
      </c>
      <c r="CI1271">
        <f>$C1271*CI1270</f>
        <v/>
      </c>
      <c r="CJ1271">
        <f>$C1271*CJ1270</f>
        <v/>
      </c>
      <c r="CK1271">
        <f>$C1271*CK1270</f>
        <v/>
      </c>
      <c r="CL1271">
        <f>$C1271*CL1270</f>
        <v/>
      </c>
      <c r="CM1271">
        <f>$C1271*CM1270</f>
        <v/>
      </c>
      <c r="CN1271">
        <f>$C1271*CN1270</f>
        <v/>
      </c>
      <c r="CO1271">
        <f>$C1271*CO1270</f>
        <v/>
      </c>
      <c r="CP1271">
        <f>$C1271*CP1270</f>
        <v/>
      </c>
      <c r="CQ1271">
        <f>$C1271*CQ1270</f>
        <v/>
      </c>
      <c r="CR1271">
        <f>$C1271*CR1270</f>
        <v/>
      </c>
      <c r="CS1271">
        <f>$C1271*CS1270</f>
        <v/>
      </c>
      <c r="CT1271">
        <f>$C1271*CT1270</f>
        <v/>
      </c>
      <c r="CU1271">
        <f>$C1271*CU1270</f>
        <v/>
      </c>
      <c r="CV1271">
        <f>$C1271*CV1270</f>
        <v/>
      </c>
      <c r="CW1271">
        <f>$C1271*CW1270</f>
        <v/>
      </c>
      <c r="CX1271">
        <f>$C1271*CX1270</f>
        <v/>
      </c>
      <c r="CY1271">
        <f>$C1271*CY1270</f>
        <v/>
      </c>
      <c r="CZ1271">
        <f>$C1271*CZ1270</f>
        <v/>
      </c>
      <c r="DA1271">
        <f>$C1271*DA1270</f>
        <v/>
      </c>
      <c r="DB1271">
        <f>$C1271*DB1270</f>
        <v/>
      </c>
      <c r="DC1271">
        <f>$C1271*DC1270</f>
        <v/>
      </c>
      <c r="DD1271">
        <f>$C1271*DD1270</f>
        <v/>
      </c>
    </row>
    <row r="1272">
      <c r="B1272" t="inlineStr">
        <is>
          <t>TPP-533(A)</t>
        </is>
      </c>
      <c r="C1272" t="inlineStr">
        <is>
          <t>No. of batches</t>
        </is>
      </c>
      <c r="D1272">
        <f>IFERROR(INDEX(E1272:DD1272,$F$1),"")</f>
        <v/>
      </c>
      <c r="E1272">
        <f>IFERROR(INDEX(PP_Grid[#Data],$DE1272,2),0)</f>
        <v/>
      </c>
      <c r="F1272">
        <f>IFERROR(INDEX(PP_Grid[#Data],$DE1272,3),0)</f>
        <v/>
      </c>
      <c r="G1272">
        <f>IFERROR(INDEX(PP_Grid[#Data],$DE1272,4),0)</f>
        <v/>
      </c>
      <c r="H1272">
        <f>IFERROR(INDEX(PP_Grid[#Data],$DE1272,5),0)</f>
        <v/>
      </c>
      <c r="I1272">
        <f>IFERROR(INDEX(PP_Grid[#Data],$DE1272,6),0)</f>
        <v/>
      </c>
      <c r="J1272">
        <f>IFERROR(INDEX(PP_Grid[#Data],$DE1272,7),0)</f>
        <v/>
      </c>
      <c r="K1272">
        <f>IFERROR(INDEX(PP_Grid[#Data],$DE1272,8),0)</f>
        <v/>
      </c>
      <c r="L1272">
        <f>IFERROR(INDEX(PP_Grid[#Data],$DE1272,9),0)</f>
        <v/>
      </c>
      <c r="M1272">
        <f>IFERROR(INDEX(PP_Grid[#Data],$DE1272,10),0)</f>
        <v/>
      </c>
      <c r="N1272">
        <f>IFERROR(INDEX(PP_Grid[#Data],$DE1272,11),0)</f>
        <v/>
      </c>
      <c r="O1272">
        <f>IFERROR(INDEX(PP_Grid[#Data],$DE1272,12),0)</f>
        <v/>
      </c>
      <c r="P1272">
        <f>IFERROR(INDEX(PP_Grid[#Data],$DE1272,13),0)</f>
        <v/>
      </c>
      <c r="Q1272">
        <f>IFERROR(INDEX(PP_Grid[#Data],$DE1272,14),0)</f>
        <v/>
      </c>
      <c r="R1272">
        <f>IFERROR(INDEX(PP_Grid[#Data],$DE1272,15),0)</f>
        <v/>
      </c>
      <c r="S1272">
        <f>IFERROR(INDEX(PP_Grid[#Data],$DE1272,16),0)</f>
        <v/>
      </c>
      <c r="T1272">
        <f>IFERROR(INDEX(PP_Grid[#Data],$DE1272,17),0)</f>
        <v/>
      </c>
      <c r="U1272">
        <f>IFERROR(INDEX(PP_Grid[#Data],$DE1272,18),0)</f>
        <v/>
      </c>
      <c r="V1272">
        <f>IFERROR(INDEX(PP_Grid[#Data],$DE1272,19),0)</f>
        <v/>
      </c>
      <c r="W1272">
        <f>IFERROR(INDEX(PP_Grid[#Data],$DE1272,20),0)</f>
        <v/>
      </c>
      <c r="X1272">
        <f>IFERROR(INDEX(PP_Grid[#Data],$DE1272,21),0)</f>
        <v/>
      </c>
      <c r="Y1272">
        <f>IFERROR(INDEX(PP_Grid[#Data],$DE1272,22),0)</f>
        <v/>
      </c>
      <c r="Z1272">
        <f>IFERROR(INDEX(PP_Grid[#Data],$DE1272,23),0)</f>
        <v/>
      </c>
      <c r="AA1272">
        <f>IFERROR(INDEX(PP_Grid[#Data],$DE1272,24),0)</f>
        <v/>
      </c>
      <c r="AB1272">
        <f>IFERROR(INDEX(PP_Grid[#Data],$DE1272,25),0)</f>
        <v/>
      </c>
      <c r="AC1272">
        <f>IFERROR(INDEX(PP_Grid[#Data],$DE1272,26),0)</f>
        <v/>
      </c>
      <c r="AD1272">
        <f>IFERROR(INDEX(PP_Grid[#Data],$DE1272,27),0)</f>
        <v/>
      </c>
      <c r="AE1272">
        <f>IFERROR(INDEX(PP_Grid[#Data],$DE1272,28),0)</f>
        <v/>
      </c>
      <c r="AF1272">
        <f>IFERROR(INDEX(PP_Grid[#Data],$DE1272,29),0)</f>
        <v/>
      </c>
      <c r="AG1272">
        <f>IFERROR(INDEX(PP_Grid[#Data],$DE1272,30),0)</f>
        <v/>
      </c>
      <c r="AH1272">
        <f>IFERROR(INDEX(PP_Grid[#Data],$DE1272,31),0)</f>
        <v/>
      </c>
      <c r="AI1272">
        <f>IFERROR(INDEX(PP_Grid[#Data],$DE1272,32),0)</f>
        <v/>
      </c>
      <c r="AJ1272">
        <f>IFERROR(INDEX(PP_Grid[#Data],$DE1272,33),0)</f>
        <v/>
      </c>
      <c r="AK1272">
        <f>IFERROR(INDEX(PP_Grid[#Data],$DE1272,34),0)</f>
        <v/>
      </c>
      <c r="AL1272">
        <f>IFERROR(INDEX(PP_Grid[#Data],$DE1272,35),0)</f>
        <v/>
      </c>
      <c r="AM1272">
        <f>IFERROR(INDEX(PP_Grid[#Data],$DE1272,36),0)</f>
        <v/>
      </c>
      <c r="AN1272">
        <f>IFERROR(INDEX(PP_Grid[#Data],$DE1272,37),0)</f>
        <v/>
      </c>
      <c r="AO1272">
        <f>IFERROR(INDEX(PP_Grid[#Data],$DE1272,38),0)</f>
        <v/>
      </c>
      <c r="AP1272">
        <f>IFERROR(INDEX(PP_Grid[#Data],$DE1272,39),0)</f>
        <v/>
      </c>
      <c r="AQ1272">
        <f>IFERROR(INDEX(PP_Grid[#Data],$DE1272,40),0)</f>
        <v/>
      </c>
      <c r="AR1272">
        <f>IFERROR(INDEX(PP_Grid[#Data],$DE1272,41),0)</f>
        <v/>
      </c>
      <c r="AS1272">
        <f>IFERROR(INDEX(PP_Grid[#Data],$DE1272,42),0)</f>
        <v/>
      </c>
      <c r="AT1272">
        <f>IFERROR(INDEX(PP_Grid[#Data],$DE1272,43),0)</f>
        <v/>
      </c>
      <c r="AU1272">
        <f>IFERROR(INDEX(PP_Grid[#Data],$DE1272,44),0)</f>
        <v/>
      </c>
      <c r="AV1272">
        <f>IFERROR(INDEX(PP_Grid[#Data],$DE1272,45),0)</f>
        <v/>
      </c>
      <c r="AW1272">
        <f>IFERROR(INDEX(PP_Grid[#Data],$DE1272,46),0)</f>
        <v/>
      </c>
      <c r="AX1272">
        <f>IFERROR(INDEX(PP_Grid[#Data],$DE1272,47),0)</f>
        <v/>
      </c>
      <c r="AY1272">
        <f>IFERROR(INDEX(PP_Grid[#Data],$DE1272,48),0)</f>
        <v/>
      </c>
      <c r="AZ1272">
        <f>IFERROR(INDEX(PP_Grid[#Data],$DE1272,49),0)</f>
        <v/>
      </c>
      <c r="BA1272">
        <f>IFERROR(INDEX(PP_Grid[#Data],$DE1272,50),0)</f>
        <v/>
      </c>
      <c r="BB1272">
        <f>IFERROR(INDEX(PP_Grid[#Data],$DE1272,51),0)</f>
        <v/>
      </c>
      <c r="BC1272">
        <f>IFERROR(INDEX(PP_Grid[#Data],$DE1272,52),0)</f>
        <v/>
      </c>
      <c r="BD1272">
        <f>IFERROR(INDEX(PP_Grid[#Data],$DE1272,53),0)</f>
        <v/>
      </c>
      <c r="BE1272">
        <f>IFERROR(INDEX(PP_Grid[#Data],$DE1272,54),0)</f>
        <v/>
      </c>
      <c r="BF1272">
        <f>IFERROR(INDEX(PP_Grid[#Data],$DE1272,55),0)</f>
        <v/>
      </c>
      <c r="BG1272">
        <f>IFERROR(INDEX(PP_Grid[#Data],$DE1272,56),0)</f>
        <v/>
      </c>
      <c r="BH1272">
        <f>IFERROR(INDEX(PP_Grid[#Data],$DE1272,57),0)</f>
        <v/>
      </c>
      <c r="BI1272">
        <f>IFERROR(INDEX(PP_Grid[#Data],$DE1272,58),0)</f>
        <v/>
      </c>
      <c r="BJ1272">
        <f>IFERROR(INDEX(PP_Grid[#Data],$DE1272,59),0)</f>
        <v/>
      </c>
      <c r="BK1272">
        <f>IFERROR(INDEX(PP_Grid[#Data],$DE1272,60),0)</f>
        <v/>
      </c>
      <c r="BL1272">
        <f>IFERROR(INDEX(PP_Grid[#Data],$DE1272,61),0)</f>
        <v/>
      </c>
      <c r="BM1272">
        <f>IFERROR(INDEX(PP_Grid[#Data],$DE1272,62),0)</f>
        <v/>
      </c>
      <c r="BN1272">
        <f>IFERROR(INDEX(PP_Grid[#Data],$DE1272,63),0)</f>
        <v/>
      </c>
      <c r="BO1272">
        <f>IFERROR(INDEX(PP_Grid[#Data],$DE1272,64),0)</f>
        <v/>
      </c>
      <c r="BP1272">
        <f>IFERROR(INDEX(PP_Grid[#Data],$DE1272,65),0)</f>
        <v/>
      </c>
      <c r="BQ1272">
        <f>IFERROR(INDEX(PP_Grid[#Data],$DE1272,66),0)</f>
        <v/>
      </c>
      <c r="BR1272">
        <f>IFERROR(INDEX(PP_Grid[#Data],$DE1272,67),0)</f>
        <v/>
      </c>
      <c r="BS1272">
        <f>IFERROR(INDEX(PP_Grid[#Data],$DE1272,68),0)</f>
        <v/>
      </c>
      <c r="BT1272">
        <f>IFERROR(INDEX(PP_Grid[#Data],$DE1272,69),0)</f>
        <v/>
      </c>
      <c r="BU1272">
        <f>IFERROR(INDEX(PP_Grid[#Data],$DE1272,70),0)</f>
        <v/>
      </c>
      <c r="BV1272">
        <f>IFERROR(INDEX(PP_Grid[#Data],$DE1272,71),0)</f>
        <v/>
      </c>
      <c r="BW1272">
        <f>IFERROR(INDEX(PP_Grid[#Data],$DE1272,72),0)</f>
        <v/>
      </c>
      <c r="BX1272">
        <f>IFERROR(INDEX(PP_Grid[#Data],$DE1272,73),0)</f>
        <v/>
      </c>
      <c r="BY1272">
        <f>IFERROR(INDEX(PP_Grid[#Data],$DE1272,74),0)</f>
        <v/>
      </c>
      <c r="BZ1272">
        <f>IFERROR(INDEX(PP_Grid[#Data],$DE1272,75),0)</f>
        <v/>
      </c>
      <c r="CA1272">
        <f>IFERROR(INDEX(PP_Grid[#Data],$DE1272,76),0)</f>
        <v/>
      </c>
      <c r="CB1272">
        <f>IFERROR(INDEX(PP_Grid[#Data],$DE1272,77),0)</f>
        <v/>
      </c>
      <c r="CC1272">
        <f>IFERROR(INDEX(PP_Grid[#Data],$DE1272,78),0)</f>
        <v/>
      </c>
      <c r="CD1272">
        <f>IFERROR(INDEX(PP_Grid[#Data],$DE1272,79),0)</f>
        <v/>
      </c>
      <c r="CE1272">
        <f>IFERROR(INDEX(PP_Grid[#Data],$DE1272,80),0)</f>
        <v/>
      </c>
      <c r="CF1272">
        <f>IFERROR(INDEX(PP_Grid[#Data],$DE1272,81),0)</f>
        <v/>
      </c>
      <c r="CG1272">
        <f>IFERROR(INDEX(PP_Grid[#Data],$DE1272,82),0)</f>
        <v/>
      </c>
      <c r="CH1272">
        <f>IFERROR(INDEX(PP_Grid[#Data],$DE1272,83),0)</f>
        <v/>
      </c>
      <c r="CI1272">
        <f>IFERROR(INDEX(PP_Grid[#Data],$DE1272,84),0)</f>
        <v/>
      </c>
      <c r="CJ1272">
        <f>IFERROR(INDEX(PP_Grid[#Data],$DE1272,85),0)</f>
        <v/>
      </c>
      <c r="CK1272">
        <f>IFERROR(INDEX(PP_Grid[#Data],$DE1272,86),0)</f>
        <v/>
      </c>
      <c r="CL1272">
        <f>IFERROR(INDEX(PP_Grid[#Data],$DE1272,87),0)</f>
        <v/>
      </c>
      <c r="CM1272">
        <f>IFERROR(INDEX(PP_Grid[#Data],$DE1272,88),0)</f>
        <v/>
      </c>
      <c r="CN1272">
        <f>IFERROR(INDEX(PP_Grid[#Data],$DE1272,89),0)</f>
        <v/>
      </c>
      <c r="CO1272">
        <f>IFERROR(INDEX(PP_Grid[#Data],$DE1272,90),0)</f>
        <v/>
      </c>
      <c r="CP1272">
        <f>IFERROR(INDEX(PP_Grid[#Data],$DE1272,91),0)</f>
        <v/>
      </c>
      <c r="CQ1272">
        <f>IFERROR(INDEX(PP_Grid[#Data],$DE1272,92),0)</f>
        <v/>
      </c>
      <c r="CR1272">
        <f>IFERROR(INDEX(PP_Grid[#Data],$DE1272,93),0)</f>
        <v/>
      </c>
      <c r="CS1272">
        <f>IFERROR(INDEX(PP_Grid[#Data],$DE1272,94),0)</f>
        <v/>
      </c>
      <c r="CT1272">
        <f>IFERROR(INDEX(PP_Grid[#Data],$DE1272,95),0)</f>
        <v/>
      </c>
      <c r="CU1272">
        <f>IFERROR(INDEX(PP_Grid[#Data],$DE1272,96),0)</f>
        <v/>
      </c>
      <c r="CV1272">
        <f>IFERROR(INDEX(PP_Grid[#Data],$DE1272,97),0)</f>
        <v/>
      </c>
      <c r="CW1272">
        <f>IFERROR(INDEX(PP_Grid[#Data],$DE1272,98),0)</f>
        <v/>
      </c>
      <c r="CX1272">
        <f>IFERROR(INDEX(PP_Grid[#Data],$DE1272,99),0)</f>
        <v/>
      </c>
      <c r="CY1272">
        <f>IFERROR(INDEX(PP_Grid[#Data],$DE1272,100),0)</f>
        <v/>
      </c>
      <c r="CZ1272">
        <f>IFERROR(INDEX(PP_Grid[#Data],$DE1272,101),0)</f>
        <v/>
      </c>
      <c r="DA1272">
        <f>IFERROR(INDEX(PP_Grid[#Data],$DE1272,102),0)</f>
        <v/>
      </c>
      <c r="DB1272">
        <f>IFERROR(INDEX(PP_Grid[#Data],$DE1272,103),0)</f>
        <v/>
      </c>
      <c r="DC1272">
        <f>IFERROR(INDEX(PP_Grid[#Data],$DE1272,104),0)</f>
        <v/>
      </c>
      <c r="DD1272">
        <f>IFERROR(INDEX(PP_Grid[#Data],$DE1272,105),0)</f>
        <v/>
      </c>
      <c r="DE1272" s="7">
        <f>IFERROR(MATCH($B1272,PP_Grid[Intermediate],0),99999)</f>
        <v/>
      </c>
    </row>
    <row r="1273">
      <c r="B1273" t="inlineStr">
        <is>
          <t>使用量(kg)</t>
        </is>
      </c>
      <c r="C1273">
        <f>SUMIFS(M_BOM[RM_Qty_Per_Batch],M_BOM[Intermediate],$B1272,M_BOM[RM_Code],$A1239)</f>
        <v/>
      </c>
      <c r="D1273">
        <f>IFERROR(INDEX(E1273:DD1273,$F$1),"")</f>
        <v/>
      </c>
      <c r="E1273">
        <f>$C1273*E1272</f>
        <v/>
      </c>
      <c r="F1273">
        <f>$C1273*F1272</f>
        <v/>
      </c>
      <c r="G1273">
        <f>$C1273*G1272</f>
        <v/>
      </c>
      <c r="H1273">
        <f>$C1273*H1272</f>
        <v/>
      </c>
      <c r="I1273">
        <f>$C1273*I1272</f>
        <v/>
      </c>
      <c r="J1273">
        <f>$C1273*J1272</f>
        <v/>
      </c>
      <c r="K1273">
        <f>$C1273*K1272</f>
        <v/>
      </c>
      <c r="L1273">
        <f>$C1273*L1272</f>
        <v/>
      </c>
      <c r="M1273">
        <f>$C1273*M1272</f>
        <v/>
      </c>
      <c r="N1273">
        <f>$C1273*N1272</f>
        <v/>
      </c>
      <c r="O1273">
        <f>$C1273*O1272</f>
        <v/>
      </c>
      <c r="P1273">
        <f>$C1273*P1272</f>
        <v/>
      </c>
      <c r="Q1273">
        <f>$C1273*Q1272</f>
        <v/>
      </c>
      <c r="R1273">
        <f>$C1273*R1272</f>
        <v/>
      </c>
      <c r="S1273">
        <f>$C1273*S1272</f>
        <v/>
      </c>
      <c r="T1273">
        <f>$C1273*T1272</f>
        <v/>
      </c>
      <c r="U1273">
        <f>$C1273*U1272</f>
        <v/>
      </c>
      <c r="V1273">
        <f>$C1273*V1272</f>
        <v/>
      </c>
      <c r="W1273">
        <f>$C1273*W1272</f>
        <v/>
      </c>
      <c r="X1273">
        <f>$C1273*X1272</f>
        <v/>
      </c>
      <c r="Y1273">
        <f>$C1273*Y1272</f>
        <v/>
      </c>
      <c r="Z1273">
        <f>$C1273*Z1272</f>
        <v/>
      </c>
      <c r="AA1273">
        <f>$C1273*AA1272</f>
        <v/>
      </c>
      <c r="AB1273">
        <f>$C1273*AB1272</f>
        <v/>
      </c>
      <c r="AC1273">
        <f>$C1273*AC1272</f>
        <v/>
      </c>
      <c r="AD1273">
        <f>$C1273*AD1272</f>
        <v/>
      </c>
      <c r="AE1273">
        <f>$C1273*AE1272</f>
        <v/>
      </c>
      <c r="AF1273">
        <f>$C1273*AF1272</f>
        <v/>
      </c>
      <c r="AG1273">
        <f>$C1273*AG1272</f>
        <v/>
      </c>
      <c r="AH1273">
        <f>$C1273*AH1272</f>
        <v/>
      </c>
      <c r="AI1273">
        <f>$C1273*AI1272</f>
        <v/>
      </c>
      <c r="AJ1273">
        <f>$C1273*AJ1272</f>
        <v/>
      </c>
      <c r="AK1273">
        <f>$C1273*AK1272</f>
        <v/>
      </c>
      <c r="AL1273">
        <f>$C1273*AL1272</f>
        <v/>
      </c>
      <c r="AM1273">
        <f>$C1273*AM1272</f>
        <v/>
      </c>
      <c r="AN1273">
        <f>$C1273*AN1272</f>
        <v/>
      </c>
      <c r="AO1273">
        <f>$C1273*AO1272</f>
        <v/>
      </c>
      <c r="AP1273">
        <f>$C1273*AP1272</f>
        <v/>
      </c>
      <c r="AQ1273">
        <f>$C1273*AQ1272</f>
        <v/>
      </c>
      <c r="AR1273">
        <f>$C1273*AR1272</f>
        <v/>
      </c>
      <c r="AS1273">
        <f>$C1273*AS1272</f>
        <v/>
      </c>
      <c r="AT1273">
        <f>$C1273*AT1272</f>
        <v/>
      </c>
      <c r="AU1273">
        <f>$C1273*AU1272</f>
        <v/>
      </c>
      <c r="AV1273">
        <f>$C1273*AV1272</f>
        <v/>
      </c>
      <c r="AW1273">
        <f>$C1273*AW1272</f>
        <v/>
      </c>
      <c r="AX1273">
        <f>$C1273*AX1272</f>
        <v/>
      </c>
      <c r="AY1273">
        <f>$C1273*AY1272</f>
        <v/>
      </c>
      <c r="AZ1273">
        <f>$C1273*AZ1272</f>
        <v/>
      </c>
      <c r="BA1273">
        <f>$C1273*BA1272</f>
        <v/>
      </c>
      <c r="BB1273">
        <f>$C1273*BB1272</f>
        <v/>
      </c>
      <c r="BC1273">
        <f>$C1273*BC1272</f>
        <v/>
      </c>
      <c r="BD1273">
        <f>$C1273*BD1272</f>
        <v/>
      </c>
      <c r="BE1273">
        <f>$C1273*BE1272</f>
        <v/>
      </c>
      <c r="BF1273">
        <f>$C1273*BF1272</f>
        <v/>
      </c>
      <c r="BG1273">
        <f>$C1273*BG1272</f>
        <v/>
      </c>
      <c r="BH1273">
        <f>$C1273*BH1272</f>
        <v/>
      </c>
      <c r="BI1273">
        <f>$C1273*BI1272</f>
        <v/>
      </c>
      <c r="BJ1273">
        <f>$C1273*BJ1272</f>
        <v/>
      </c>
      <c r="BK1273">
        <f>$C1273*BK1272</f>
        <v/>
      </c>
      <c r="BL1273">
        <f>$C1273*BL1272</f>
        <v/>
      </c>
      <c r="BM1273">
        <f>$C1273*BM1272</f>
        <v/>
      </c>
      <c r="BN1273">
        <f>$C1273*BN1272</f>
        <v/>
      </c>
      <c r="BO1273">
        <f>$C1273*BO1272</f>
        <v/>
      </c>
      <c r="BP1273">
        <f>$C1273*BP1272</f>
        <v/>
      </c>
      <c r="BQ1273">
        <f>$C1273*BQ1272</f>
        <v/>
      </c>
      <c r="BR1273">
        <f>$C1273*BR1272</f>
        <v/>
      </c>
      <c r="BS1273">
        <f>$C1273*BS1272</f>
        <v/>
      </c>
      <c r="BT1273">
        <f>$C1273*BT1272</f>
        <v/>
      </c>
      <c r="BU1273">
        <f>$C1273*BU1272</f>
        <v/>
      </c>
      <c r="BV1273">
        <f>$C1273*BV1272</f>
        <v/>
      </c>
      <c r="BW1273">
        <f>$C1273*BW1272</f>
        <v/>
      </c>
      <c r="BX1273">
        <f>$C1273*BX1272</f>
        <v/>
      </c>
      <c r="BY1273">
        <f>$C1273*BY1272</f>
        <v/>
      </c>
      <c r="BZ1273">
        <f>$C1273*BZ1272</f>
        <v/>
      </c>
      <c r="CA1273">
        <f>$C1273*CA1272</f>
        <v/>
      </c>
      <c r="CB1273">
        <f>$C1273*CB1272</f>
        <v/>
      </c>
      <c r="CC1273">
        <f>$C1273*CC1272</f>
        <v/>
      </c>
      <c r="CD1273">
        <f>$C1273*CD1272</f>
        <v/>
      </c>
      <c r="CE1273">
        <f>$C1273*CE1272</f>
        <v/>
      </c>
      <c r="CF1273">
        <f>$C1273*CF1272</f>
        <v/>
      </c>
      <c r="CG1273">
        <f>$C1273*CG1272</f>
        <v/>
      </c>
      <c r="CH1273">
        <f>$C1273*CH1272</f>
        <v/>
      </c>
      <c r="CI1273">
        <f>$C1273*CI1272</f>
        <v/>
      </c>
      <c r="CJ1273">
        <f>$C1273*CJ1272</f>
        <v/>
      </c>
      <c r="CK1273">
        <f>$C1273*CK1272</f>
        <v/>
      </c>
      <c r="CL1273">
        <f>$C1273*CL1272</f>
        <v/>
      </c>
      <c r="CM1273">
        <f>$C1273*CM1272</f>
        <v/>
      </c>
      <c r="CN1273">
        <f>$C1273*CN1272</f>
        <v/>
      </c>
      <c r="CO1273">
        <f>$C1273*CO1272</f>
        <v/>
      </c>
      <c r="CP1273">
        <f>$C1273*CP1272</f>
        <v/>
      </c>
      <c r="CQ1273">
        <f>$C1273*CQ1272</f>
        <v/>
      </c>
      <c r="CR1273">
        <f>$C1273*CR1272</f>
        <v/>
      </c>
      <c r="CS1273">
        <f>$C1273*CS1272</f>
        <v/>
      </c>
      <c r="CT1273">
        <f>$C1273*CT1272</f>
        <v/>
      </c>
      <c r="CU1273">
        <f>$C1273*CU1272</f>
        <v/>
      </c>
      <c r="CV1273">
        <f>$C1273*CV1272</f>
        <v/>
      </c>
      <c r="CW1273">
        <f>$C1273*CW1272</f>
        <v/>
      </c>
      <c r="CX1273">
        <f>$C1273*CX1272</f>
        <v/>
      </c>
      <c r="CY1273">
        <f>$C1273*CY1272</f>
        <v/>
      </c>
      <c r="CZ1273">
        <f>$C1273*CZ1272</f>
        <v/>
      </c>
      <c r="DA1273">
        <f>$C1273*DA1272</f>
        <v/>
      </c>
      <c r="DB1273">
        <f>$C1273*DB1272</f>
        <v/>
      </c>
      <c r="DC1273">
        <f>$C1273*DC1272</f>
        <v/>
      </c>
      <c r="DD1273">
        <f>$C1273*DD1272</f>
        <v/>
      </c>
    </row>
    <row r="1274">
      <c r="B1274" t="inlineStr">
        <is>
          <t>No of times used</t>
        </is>
      </c>
      <c r="C1274" t="inlineStr">
        <is>
          <t>No. of batches</t>
        </is>
      </c>
      <c r="D1274">
        <f>IFERROR(INDEX(E1274:DD1274,$F$1),"")</f>
        <v/>
      </c>
      <c r="E1274">
        <f>IFERROR(INDEX(PP_Grid[#Data],$DE1274,2),0)</f>
        <v/>
      </c>
      <c r="F1274">
        <f>IFERROR(INDEX(PP_Grid[#Data],$DE1274,3),0)</f>
        <v/>
      </c>
      <c r="G1274">
        <f>IFERROR(INDEX(PP_Grid[#Data],$DE1274,4),0)</f>
        <v/>
      </c>
      <c r="H1274">
        <f>IFERROR(INDEX(PP_Grid[#Data],$DE1274,5),0)</f>
        <v/>
      </c>
      <c r="I1274">
        <f>IFERROR(INDEX(PP_Grid[#Data],$DE1274,6),0)</f>
        <v/>
      </c>
      <c r="J1274">
        <f>IFERROR(INDEX(PP_Grid[#Data],$DE1274,7),0)</f>
        <v/>
      </c>
      <c r="K1274">
        <f>IFERROR(INDEX(PP_Grid[#Data],$DE1274,8),0)</f>
        <v/>
      </c>
      <c r="L1274">
        <f>IFERROR(INDEX(PP_Grid[#Data],$DE1274,9),0)</f>
        <v/>
      </c>
      <c r="M1274">
        <f>IFERROR(INDEX(PP_Grid[#Data],$DE1274,10),0)</f>
        <v/>
      </c>
      <c r="N1274">
        <f>IFERROR(INDEX(PP_Grid[#Data],$DE1274,11),0)</f>
        <v/>
      </c>
      <c r="O1274">
        <f>IFERROR(INDEX(PP_Grid[#Data],$DE1274,12),0)</f>
        <v/>
      </c>
      <c r="P1274">
        <f>IFERROR(INDEX(PP_Grid[#Data],$DE1274,13),0)</f>
        <v/>
      </c>
      <c r="Q1274">
        <f>IFERROR(INDEX(PP_Grid[#Data],$DE1274,14),0)</f>
        <v/>
      </c>
      <c r="R1274">
        <f>IFERROR(INDEX(PP_Grid[#Data],$DE1274,15),0)</f>
        <v/>
      </c>
      <c r="S1274">
        <f>IFERROR(INDEX(PP_Grid[#Data],$DE1274,16),0)</f>
        <v/>
      </c>
      <c r="T1274">
        <f>IFERROR(INDEX(PP_Grid[#Data],$DE1274,17),0)</f>
        <v/>
      </c>
      <c r="U1274">
        <f>IFERROR(INDEX(PP_Grid[#Data],$DE1274,18),0)</f>
        <v/>
      </c>
      <c r="V1274">
        <f>IFERROR(INDEX(PP_Grid[#Data],$DE1274,19),0)</f>
        <v/>
      </c>
      <c r="W1274">
        <f>IFERROR(INDEX(PP_Grid[#Data],$DE1274,20),0)</f>
        <v/>
      </c>
      <c r="X1274">
        <f>IFERROR(INDEX(PP_Grid[#Data],$DE1274,21),0)</f>
        <v/>
      </c>
      <c r="Y1274">
        <f>IFERROR(INDEX(PP_Grid[#Data],$DE1274,22),0)</f>
        <v/>
      </c>
      <c r="Z1274">
        <f>IFERROR(INDEX(PP_Grid[#Data],$DE1274,23),0)</f>
        <v/>
      </c>
      <c r="AA1274">
        <f>IFERROR(INDEX(PP_Grid[#Data],$DE1274,24),0)</f>
        <v/>
      </c>
      <c r="AB1274">
        <f>IFERROR(INDEX(PP_Grid[#Data],$DE1274,25),0)</f>
        <v/>
      </c>
      <c r="AC1274">
        <f>IFERROR(INDEX(PP_Grid[#Data],$DE1274,26),0)</f>
        <v/>
      </c>
      <c r="AD1274">
        <f>IFERROR(INDEX(PP_Grid[#Data],$DE1274,27),0)</f>
        <v/>
      </c>
      <c r="AE1274">
        <f>IFERROR(INDEX(PP_Grid[#Data],$DE1274,28),0)</f>
        <v/>
      </c>
      <c r="AF1274">
        <f>IFERROR(INDEX(PP_Grid[#Data],$DE1274,29),0)</f>
        <v/>
      </c>
      <c r="AG1274">
        <f>IFERROR(INDEX(PP_Grid[#Data],$DE1274,30),0)</f>
        <v/>
      </c>
      <c r="AH1274">
        <f>IFERROR(INDEX(PP_Grid[#Data],$DE1274,31),0)</f>
        <v/>
      </c>
      <c r="AI1274">
        <f>IFERROR(INDEX(PP_Grid[#Data],$DE1274,32),0)</f>
        <v/>
      </c>
      <c r="AJ1274">
        <f>IFERROR(INDEX(PP_Grid[#Data],$DE1274,33),0)</f>
        <v/>
      </c>
      <c r="AK1274">
        <f>IFERROR(INDEX(PP_Grid[#Data],$DE1274,34),0)</f>
        <v/>
      </c>
      <c r="AL1274">
        <f>IFERROR(INDEX(PP_Grid[#Data],$DE1274,35),0)</f>
        <v/>
      </c>
      <c r="AM1274">
        <f>IFERROR(INDEX(PP_Grid[#Data],$DE1274,36),0)</f>
        <v/>
      </c>
      <c r="AN1274">
        <f>IFERROR(INDEX(PP_Grid[#Data],$DE1274,37),0)</f>
        <v/>
      </c>
      <c r="AO1274">
        <f>IFERROR(INDEX(PP_Grid[#Data],$DE1274,38),0)</f>
        <v/>
      </c>
      <c r="AP1274">
        <f>IFERROR(INDEX(PP_Grid[#Data],$DE1274,39),0)</f>
        <v/>
      </c>
      <c r="AQ1274">
        <f>IFERROR(INDEX(PP_Grid[#Data],$DE1274,40),0)</f>
        <v/>
      </c>
      <c r="AR1274">
        <f>IFERROR(INDEX(PP_Grid[#Data],$DE1274,41),0)</f>
        <v/>
      </c>
      <c r="AS1274">
        <f>IFERROR(INDEX(PP_Grid[#Data],$DE1274,42),0)</f>
        <v/>
      </c>
      <c r="AT1274">
        <f>IFERROR(INDEX(PP_Grid[#Data],$DE1274,43),0)</f>
        <v/>
      </c>
      <c r="AU1274">
        <f>IFERROR(INDEX(PP_Grid[#Data],$DE1274,44),0)</f>
        <v/>
      </c>
      <c r="AV1274">
        <f>IFERROR(INDEX(PP_Grid[#Data],$DE1274,45),0)</f>
        <v/>
      </c>
      <c r="AW1274">
        <f>IFERROR(INDEX(PP_Grid[#Data],$DE1274,46),0)</f>
        <v/>
      </c>
      <c r="AX1274">
        <f>IFERROR(INDEX(PP_Grid[#Data],$DE1274,47),0)</f>
        <v/>
      </c>
      <c r="AY1274">
        <f>IFERROR(INDEX(PP_Grid[#Data],$DE1274,48),0)</f>
        <v/>
      </c>
      <c r="AZ1274">
        <f>IFERROR(INDEX(PP_Grid[#Data],$DE1274,49),0)</f>
        <v/>
      </c>
      <c r="BA1274">
        <f>IFERROR(INDEX(PP_Grid[#Data],$DE1274,50),0)</f>
        <v/>
      </c>
      <c r="BB1274">
        <f>IFERROR(INDEX(PP_Grid[#Data],$DE1274,51),0)</f>
        <v/>
      </c>
      <c r="BC1274">
        <f>IFERROR(INDEX(PP_Grid[#Data],$DE1274,52),0)</f>
        <v/>
      </c>
      <c r="BD1274">
        <f>IFERROR(INDEX(PP_Grid[#Data],$DE1274,53),0)</f>
        <v/>
      </c>
      <c r="BE1274">
        <f>IFERROR(INDEX(PP_Grid[#Data],$DE1274,54),0)</f>
        <v/>
      </c>
      <c r="BF1274">
        <f>IFERROR(INDEX(PP_Grid[#Data],$DE1274,55),0)</f>
        <v/>
      </c>
      <c r="BG1274">
        <f>IFERROR(INDEX(PP_Grid[#Data],$DE1274,56),0)</f>
        <v/>
      </c>
      <c r="BH1274">
        <f>IFERROR(INDEX(PP_Grid[#Data],$DE1274,57),0)</f>
        <v/>
      </c>
      <c r="BI1274">
        <f>IFERROR(INDEX(PP_Grid[#Data],$DE1274,58),0)</f>
        <v/>
      </c>
      <c r="BJ1274">
        <f>IFERROR(INDEX(PP_Grid[#Data],$DE1274,59),0)</f>
        <v/>
      </c>
      <c r="BK1274">
        <f>IFERROR(INDEX(PP_Grid[#Data],$DE1274,60),0)</f>
        <v/>
      </c>
      <c r="BL1274">
        <f>IFERROR(INDEX(PP_Grid[#Data],$DE1274,61),0)</f>
        <v/>
      </c>
      <c r="BM1274">
        <f>IFERROR(INDEX(PP_Grid[#Data],$DE1274,62),0)</f>
        <v/>
      </c>
      <c r="BN1274">
        <f>IFERROR(INDEX(PP_Grid[#Data],$DE1274,63),0)</f>
        <v/>
      </c>
      <c r="BO1274">
        <f>IFERROR(INDEX(PP_Grid[#Data],$DE1274,64),0)</f>
        <v/>
      </c>
      <c r="BP1274">
        <f>IFERROR(INDEX(PP_Grid[#Data],$DE1274,65),0)</f>
        <v/>
      </c>
      <c r="BQ1274">
        <f>IFERROR(INDEX(PP_Grid[#Data],$DE1274,66),0)</f>
        <v/>
      </c>
      <c r="BR1274">
        <f>IFERROR(INDEX(PP_Grid[#Data],$DE1274,67),0)</f>
        <v/>
      </c>
      <c r="BS1274">
        <f>IFERROR(INDEX(PP_Grid[#Data],$DE1274,68),0)</f>
        <v/>
      </c>
      <c r="BT1274">
        <f>IFERROR(INDEX(PP_Grid[#Data],$DE1274,69),0)</f>
        <v/>
      </c>
      <c r="BU1274">
        <f>IFERROR(INDEX(PP_Grid[#Data],$DE1274,70),0)</f>
        <v/>
      </c>
      <c r="BV1274">
        <f>IFERROR(INDEX(PP_Grid[#Data],$DE1274,71),0)</f>
        <v/>
      </c>
      <c r="BW1274">
        <f>IFERROR(INDEX(PP_Grid[#Data],$DE1274,72),0)</f>
        <v/>
      </c>
      <c r="BX1274">
        <f>IFERROR(INDEX(PP_Grid[#Data],$DE1274,73),0)</f>
        <v/>
      </c>
      <c r="BY1274">
        <f>IFERROR(INDEX(PP_Grid[#Data],$DE1274,74),0)</f>
        <v/>
      </c>
      <c r="BZ1274">
        <f>IFERROR(INDEX(PP_Grid[#Data],$DE1274,75),0)</f>
        <v/>
      </c>
      <c r="CA1274">
        <f>IFERROR(INDEX(PP_Grid[#Data],$DE1274,76),0)</f>
        <v/>
      </c>
      <c r="CB1274">
        <f>IFERROR(INDEX(PP_Grid[#Data],$DE1274,77),0)</f>
        <v/>
      </c>
      <c r="CC1274">
        <f>IFERROR(INDEX(PP_Grid[#Data],$DE1274,78),0)</f>
        <v/>
      </c>
      <c r="CD1274">
        <f>IFERROR(INDEX(PP_Grid[#Data],$DE1274,79),0)</f>
        <v/>
      </c>
      <c r="CE1274">
        <f>IFERROR(INDEX(PP_Grid[#Data],$DE1274,80),0)</f>
        <v/>
      </c>
      <c r="CF1274">
        <f>IFERROR(INDEX(PP_Grid[#Data],$DE1274,81),0)</f>
        <v/>
      </c>
      <c r="CG1274">
        <f>IFERROR(INDEX(PP_Grid[#Data],$DE1274,82),0)</f>
        <v/>
      </c>
      <c r="CH1274">
        <f>IFERROR(INDEX(PP_Grid[#Data],$DE1274,83),0)</f>
        <v/>
      </c>
      <c r="CI1274">
        <f>IFERROR(INDEX(PP_Grid[#Data],$DE1274,84),0)</f>
        <v/>
      </c>
      <c r="CJ1274">
        <f>IFERROR(INDEX(PP_Grid[#Data],$DE1274,85),0)</f>
        <v/>
      </c>
      <c r="CK1274">
        <f>IFERROR(INDEX(PP_Grid[#Data],$DE1274,86),0)</f>
        <v/>
      </c>
      <c r="CL1274">
        <f>IFERROR(INDEX(PP_Grid[#Data],$DE1274,87),0)</f>
        <v/>
      </c>
      <c r="CM1274">
        <f>IFERROR(INDEX(PP_Grid[#Data],$DE1274,88),0)</f>
        <v/>
      </c>
      <c r="CN1274">
        <f>IFERROR(INDEX(PP_Grid[#Data],$DE1274,89),0)</f>
        <v/>
      </c>
      <c r="CO1274">
        <f>IFERROR(INDEX(PP_Grid[#Data],$DE1274,90),0)</f>
        <v/>
      </c>
      <c r="CP1274">
        <f>IFERROR(INDEX(PP_Grid[#Data],$DE1274,91),0)</f>
        <v/>
      </c>
      <c r="CQ1274">
        <f>IFERROR(INDEX(PP_Grid[#Data],$DE1274,92),0)</f>
        <v/>
      </c>
      <c r="CR1274">
        <f>IFERROR(INDEX(PP_Grid[#Data],$DE1274,93),0)</f>
        <v/>
      </c>
      <c r="CS1274">
        <f>IFERROR(INDEX(PP_Grid[#Data],$DE1274,94),0)</f>
        <v/>
      </c>
      <c r="CT1274">
        <f>IFERROR(INDEX(PP_Grid[#Data],$DE1274,95),0)</f>
        <v/>
      </c>
      <c r="CU1274">
        <f>IFERROR(INDEX(PP_Grid[#Data],$DE1274,96),0)</f>
        <v/>
      </c>
      <c r="CV1274">
        <f>IFERROR(INDEX(PP_Grid[#Data],$DE1274,97),0)</f>
        <v/>
      </c>
      <c r="CW1274">
        <f>IFERROR(INDEX(PP_Grid[#Data],$DE1274,98),0)</f>
        <v/>
      </c>
      <c r="CX1274">
        <f>IFERROR(INDEX(PP_Grid[#Data],$DE1274,99),0)</f>
        <v/>
      </c>
      <c r="CY1274">
        <f>IFERROR(INDEX(PP_Grid[#Data],$DE1274,100),0)</f>
        <v/>
      </c>
      <c r="CZ1274">
        <f>IFERROR(INDEX(PP_Grid[#Data],$DE1274,101),0)</f>
        <v/>
      </c>
      <c r="DA1274">
        <f>IFERROR(INDEX(PP_Grid[#Data],$DE1274,102),0)</f>
        <v/>
      </c>
      <c r="DB1274">
        <f>IFERROR(INDEX(PP_Grid[#Data],$DE1274,103),0)</f>
        <v/>
      </c>
      <c r="DC1274">
        <f>IFERROR(INDEX(PP_Grid[#Data],$DE1274,104),0)</f>
        <v/>
      </c>
      <c r="DD1274">
        <f>IFERROR(INDEX(PP_Grid[#Data],$DE1274,105),0)</f>
        <v/>
      </c>
      <c r="DE1274" s="7">
        <f>IFERROR(MATCH($B1274,PP_Grid[Intermediate],0),99999)</f>
        <v/>
      </c>
    </row>
    <row r="1275">
      <c r="B1275" t="inlineStr">
        <is>
          <t>使用量(kg)</t>
        </is>
      </c>
      <c r="C1275">
        <f>SUMIFS(M_BOM[RM_Qty_Per_Batch],M_BOM[Intermediate],$B1274,M_BOM[RM_Code],$A1239)</f>
        <v/>
      </c>
      <c r="D1275">
        <f>IFERROR(INDEX(E1275:DD1275,$F$1),"")</f>
        <v/>
      </c>
      <c r="E1275">
        <f>$C1275*E1274</f>
        <v/>
      </c>
      <c r="F1275">
        <f>$C1275*F1274</f>
        <v/>
      </c>
      <c r="G1275">
        <f>$C1275*G1274</f>
        <v/>
      </c>
      <c r="H1275">
        <f>$C1275*H1274</f>
        <v/>
      </c>
      <c r="I1275">
        <f>$C1275*I1274</f>
        <v/>
      </c>
      <c r="J1275">
        <f>$C1275*J1274</f>
        <v/>
      </c>
      <c r="K1275">
        <f>$C1275*K1274</f>
        <v/>
      </c>
      <c r="L1275">
        <f>$C1275*L1274</f>
        <v/>
      </c>
      <c r="M1275">
        <f>$C1275*M1274</f>
        <v/>
      </c>
      <c r="N1275">
        <f>$C1275*N1274</f>
        <v/>
      </c>
      <c r="O1275">
        <f>$C1275*O1274</f>
        <v/>
      </c>
      <c r="P1275">
        <f>$C1275*P1274</f>
        <v/>
      </c>
      <c r="Q1275">
        <f>$C1275*Q1274</f>
        <v/>
      </c>
      <c r="R1275">
        <f>$C1275*R1274</f>
        <v/>
      </c>
      <c r="S1275">
        <f>$C1275*S1274</f>
        <v/>
      </c>
      <c r="T1275">
        <f>$C1275*T1274</f>
        <v/>
      </c>
      <c r="U1275">
        <f>$C1275*U1274</f>
        <v/>
      </c>
      <c r="V1275">
        <f>$C1275*V1274</f>
        <v/>
      </c>
      <c r="W1275">
        <f>$C1275*W1274</f>
        <v/>
      </c>
      <c r="X1275">
        <f>$C1275*X1274</f>
        <v/>
      </c>
      <c r="Y1275">
        <f>$C1275*Y1274</f>
        <v/>
      </c>
      <c r="Z1275">
        <f>$C1275*Z1274</f>
        <v/>
      </c>
      <c r="AA1275">
        <f>$C1275*AA1274</f>
        <v/>
      </c>
      <c r="AB1275">
        <f>$C1275*AB1274</f>
        <v/>
      </c>
      <c r="AC1275">
        <f>$C1275*AC1274</f>
        <v/>
      </c>
      <c r="AD1275">
        <f>$C1275*AD1274</f>
        <v/>
      </c>
      <c r="AE1275">
        <f>$C1275*AE1274</f>
        <v/>
      </c>
      <c r="AF1275">
        <f>$C1275*AF1274</f>
        <v/>
      </c>
      <c r="AG1275">
        <f>$C1275*AG1274</f>
        <v/>
      </c>
      <c r="AH1275">
        <f>$C1275*AH1274</f>
        <v/>
      </c>
      <c r="AI1275">
        <f>$C1275*AI1274</f>
        <v/>
      </c>
      <c r="AJ1275">
        <f>$C1275*AJ1274</f>
        <v/>
      </c>
      <c r="AK1275">
        <f>$C1275*AK1274</f>
        <v/>
      </c>
      <c r="AL1275">
        <f>$C1275*AL1274</f>
        <v/>
      </c>
      <c r="AM1275">
        <f>$C1275*AM1274</f>
        <v/>
      </c>
      <c r="AN1275">
        <f>$C1275*AN1274</f>
        <v/>
      </c>
      <c r="AO1275">
        <f>$C1275*AO1274</f>
        <v/>
      </c>
      <c r="AP1275">
        <f>$C1275*AP1274</f>
        <v/>
      </c>
      <c r="AQ1275">
        <f>$C1275*AQ1274</f>
        <v/>
      </c>
      <c r="AR1275">
        <f>$C1275*AR1274</f>
        <v/>
      </c>
      <c r="AS1275">
        <f>$C1275*AS1274</f>
        <v/>
      </c>
      <c r="AT1275">
        <f>$C1275*AT1274</f>
        <v/>
      </c>
      <c r="AU1275">
        <f>$C1275*AU1274</f>
        <v/>
      </c>
      <c r="AV1275">
        <f>$C1275*AV1274</f>
        <v/>
      </c>
      <c r="AW1275">
        <f>$C1275*AW1274</f>
        <v/>
      </c>
      <c r="AX1275">
        <f>$C1275*AX1274</f>
        <v/>
      </c>
      <c r="AY1275">
        <f>$C1275*AY1274</f>
        <v/>
      </c>
      <c r="AZ1275">
        <f>$C1275*AZ1274</f>
        <v/>
      </c>
      <c r="BA1275">
        <f>$C1275*BA1274</f>
        <v/>
      </c>
      <c r="BB1275">
        <f>$C1275*BB1274</f>
        <v/>
      </c>
      <c r="BC1275">
        <f>$C1275*BC1274</f>
        <v/>
      </c>
      <c r="BD1275">
        <f>$C1275*BD1274</f>
        <v/>
      </c>
      <c r="BE1275">
        <f>$C1275*BE1274</f>
        <v/>
      </c>
      <c r="BF1275">
        <f>$C1275*BF1274</f>
        <v/>
      </c>
      <c r="BG1275">
        <f>$C1275*BG1274</f>
        <v/>
      </c>
      <c r="BH1275">
        <f>$C1275*BH1274</f>
        <v/>
      </c>
      <c r="BI1275">
        <f>$C1275*BI1274</f>
        <v/>
      </c>
      <c r="BJ1275">
        <f>$C1275*BJ1274</f>
        <v/>
      </c>
      <c r="BK1275">
        <f>$C1275*BK1274</f>
        <v/>
      </c>
      <c r="BL1275">
        <f>$C1275*BL1274</f>
        <v/>
      </c>
      <c r="BM1275">
        <f>$C1275*BM1274</f>
        <v/>
      </c>
      <c r="BN1275">
        <f>$C1275*BN1274</f>
        <v/>
      </c>
      <c r="BO1275">
        <f>$C1275*BO1274</f>
        <v/>
      </c>
      <c r="BP1275">
        <f>$C1275*BP1274</f>
        <v/>
      </c>
      <c r="BQ1275">
        <f>$C1275*BQ1274</f>
        <v/>
      </c>
      <c r="BR1275">
        <f>$C1275*BR1274</f>
        <v/>
      </c>
      <c r="BS1275">
        <f>$C1275*BS1274</f>
        <v/>
      </c>
      <c r="BT1275">
        <f>$C1275*BT1274</f>
        <v/>
      </c>
      <c r="BU1275">
        <f>$C1275*BU1274</f>
        <v/>
      </c>
      <c r="BV1275">
        <f>$C1275*BV1274</f>
        <v/>
      </c>
      <c r="BW1275">
        <f>$C1275*BW1274</f>
        <v/>
      </c>
      <c r="BX1275">
        <f>$C1275*BX1274</f>
        <v/>
      </c>
      <c r="BY1275">
        <f>$C1275*BY1274</f>
        <v/>
      </c>
      <c r="BZ1275">
        <f>$C1275*BZ1274</f>
        <v/>
      </c>
      <c r="CA1275">
        <f>$C1275*CA1274</f>
        <v/>
      </c>
      <c r="CB1275">
        <f>$C1275*CB1274</f>
        <v/>
      </c>
      <c r="CC1275">
        <f>$C1275*CC1274</f>
        <v/>
      </c>
      <c r="CD1275">
        <f>$C1275*CD1274</f>
        <v/>
      </c>
      <c r="CE1275">
        <f>$C1275*CE1274</f>
        <v/>
      </c>
      <c r="CF1275">
        <f>$C1275*CF1274</f>
        <v/>
      </c>
      <c r="CG1275">
        <f>$C1275*CG1274</f>
        <v/>
      </c>
      <c r="CH1275">
        <f>$C1275*CH1274</f>
        <v/>
      </c>
      <c r="CI1275">
        <f>$C1275*CI1274</f>
        <v/>
      </c>
      <c r="CJ1275">
        <f>$C1275*CJ1274</f>
        <v/>
      </c>
      <c r="CK1275">
        <f>$C1275*CK1274</f>
        <v/>
      </c>
      <c r="CL1275">
        <f>$C1275*CL1274</f>
        <v/>
      </c>
      <c r="CM1275">
        <f>$C1275*CM1274</f>
        <v/>
      </c>
      <c r="CN1275">
        <f>$C1275*CN1274</f>
        <v/>
      </c>
      <c r="CO1275">
        <f>$C1275*CO1274</f>
        <v/>
      </c>
      <c r="CP1275">
        <f>$C1275*CP1274</f>
        <v/>
      </c>
      <c r="CQ1275">
        <f>$C1275*CQ1274</f>
        <v/>
      </c>
      <c r="CR1275">
        <f>$C1275*CR1274</f>
        <v/>
      </c>
      <c r="CS1275">
        <f>$C1275*CS1274</f>
        <v/>
      </c>
      <c r="CT1275">
        <f>$C1275*CT1274</f>
        <v/>
      </c>
      <c r="CU1275">
        <f>$C1275*CU1274</f>
        <v/>
      </c>
      <c r="CV1275">
        <f>$C1275*CV1274</f>
        <v/>
      </c>
      <c r="CW1275">
        <f>$C1275*CW1274</f>
        <v/>
      </c>
      <c r="CX1275">
        <f>$C1275*CX1274</f>
        <v/>
      </c>
      <c r="CY1275">
        <f>$C1275*CY1274</f>
        <v/>
      </c>
      <c r="CZ1275">
        <f>$C1275*CZ1274</f>
        <v/>
      </c>
      <c r="DA1275">
        <f>$C1275*DA1274</f>
        <v/>
      </c>
      <c r="DB1275">
        <f>$C1275*DB1274</f>
        <v/>
      </c>
      <c r="DC1275">
        <f>$C1275*DC1274</f>
        <v/>
      </c>
      <c r="DD1275">
        <f>$C1275*DD1274</f>
        <v/>
      </c>
    </row>
    <row r="1276">
      <c r="B1276" t="inlineStr">
        <is>
          <t>TSP-1449</t>
        </is>
      </c>
      <c r="C1276" t="inlineStr">
        <is>
          <t>No. of batches</t>
        </is>
      </c>
      <c r="D1276">
        <f>IFERROR(INDEX(E1276:DD1276,$F$1),"")</f>
        <v/>
      </c>
      <c r="E1276">
        <f>IFERROR(INDEX(PP_Grid[#Data],$DE1276,2),0)</f>
        <v/>
      </c>
      <c r="F1276">
        <f>IFERROR(INDEX(PP_Grid[#Data],$DE1276,3),0)</f>
        <v/>
      </c>
      <c r="G1276">
        <f>IFERROR(INDEX(PP_Grid[#Data],$DE1276,4),0)</f>
        <v/>
      </c>
      <c r="H1276">
        <f>IFERROR(INDEX(PP_Grid[#Data],$DE1276,5),0)</f>
        <v/>
      </c>
      <c r="I1276">
        <f>IFERROR(INDEX(PP_Grid[#Data],$DE1276,6),0)</f>
        <v/>
      </c>
      <c r="J1276">
        <f>IFERROR(INDEX(PP_Grid[#Data],$DE1276,7),0)</f>
        <v/>
      </c>
      <c r="K1276">
        <f>IFERROR(INDEX(PP_Grid[#Data],$DE1276,8),0)</f>
        <v/>
      </c>
      <c r="L1276">
        <f>IFERROR(INDEX(PP_Grid[#Data],$DE1276,9),0)</f>
        <v/>
      </c>
      <c r="M1276">
        <f>IFERROR(INDEX(PP_Grid[#Data],$DE1276,10),0)</f>
        <v/>
      </c>
      <c r="N1276">
        <f>IFERROR(INDEX(PP_Grid[#Data],$DE1276,11),0)</f>
        <v/>
      </c>
      <c r="O1276">
        <f>IFERROR(INDEX(PP_Grid[#Data],$DE1276,12),0)</f>
        <v/>
      </c>
      <c r="P1276">
        <f>IFERROR(INDEX(PP_Grid[#Data],$DE1276,13),0)</f>
        <v/>
      </c>
      <c r="Q1276">
        <f>IFERROR(INDEX(PP_Grid[#Data],$DE1276,14),0)</f>
        <v/>
      </c>
      <c r="R1276">
        <f>IFERROR(INDEX(PP_Grid[#Data],$DE1276,15),0)</f>
        <v/>
      </c>
      <c r="S1276">
        <f>IFERROR(INDEX(PP_Grid[#Data],$DE1276,16),0)</f>
        <v/>
      </c>
      <c r="T1276">
        <f>IFERROR(INDEX(PP_Grid[#Data],$DE1276,17),0)</f>
        <v/>
      </c>
      <c r="U1276">
        <f>IFERROR(INDEX(PP_Grid[#Data],$DE1276,18),0)</f>
        <v/>
      </c>
      <c r="V1276">
        <f>IFERROR(INDEX(PP_Grid[#Data],$DE1276,19),0)</f>
        <v/>
      </c>
      <c r="W1276">
        <f>IFERROR(INDEX(PP_Grid[#Data],$DE1276,20),0)</f>
        <v/>
      </c>
      <c r="X1276">
        <f>IFERROR(INDEX(PP_Grid[#Data],$DE1276,21),0)</f>
        <v/>
      </c>
      <c r="Y1276">
        <f>IFERROR(INDEX(PP_Grid[#Data],$DE1276,22),0)</f>
        <v/>
      </c>
      <c r="Z1276">
        <f>IFERROR(INDEX(PP_Grid[#Data],$DE1276,23),0)</f>
        <v/>
      </c>
      <c r="AA1276">
        <f>IFERROR(INDEX(PP_Grid[#Data],$DE1276,24),0)</f>
        <v/>
      </c>
      <c r="AB1276">
        <f>IFERROR(INDEX(PP_Grid[#Data],$DE1276,25),0)</f>
        <v/>
      </c>
      <c r="AC1276">
        <f>IFERROR(INDEX(PP_Grid[#Data],$DE1276,26),0)</f>
        <v/>
      </c>
      <c r="AD1276">
        <f>IFERROR(INDEX(PP_Grid[#Data],$DE1276,27),0)</f>
        <v/>
      </c>
      <c r="AE1276">
        <f>IFERROR(INDEX(PP_Grid[#Data],$DE1276,28),0)</f>
        <v/>
      </c>
      <c r="AF1276">
        <f>IFERROR(INDEX(PP_Grid[#Data],$DE1276,29),0)</f>
        <v/>
      </c>
      <c r="AG1276">
        <f>IFERROR(INDEX(PP_Grid[#Data],$DE1276,30),0)</f>
        <v/>
      </c>
      <c r="AH1276">
        <f>IFERROR(INDEX(PP_Grid[#Data],$DE1276,31),0)</f>
        <v/>
      </c>
      <c r="AI1276">
        <f>IFERROR(INDEX(PP_Grid[#Data],$DE1276,32),0)</f>
        <v/>
      </c>
      <c r="AJ1276">
        <f>IFERROR(INDEX(PP_Grid[#Data],$DE1276,33),0)</f>
        <v/>
      </c>
      <c r="AK1276">
        <f>IFERROR(INDEX(PP_Grid[#Data],$DE1276,34),0)</f>
        <v/>
      </c>
      <c r="AL1276">
        <f>IFERROR(INDEX(PP_Grid[#Data],$DE1276,35),0)</f>
        <v/>
      </c>
      <c r="AM1276">
        <f>IFERROR(INDEX(PP_Grid[#Data],$DE1276,36),0)</f>
        <v/>
      </c>
      <c r="AN1276">
        <f>IFERROR(INDEX(PP_Grid[#Data],$DE1276,37),0)</f>
        <v/>
      </c>
      <c r="AO1276">
        <f>IFERROR(INDEX(PP_Grid[#Data],$DE1276,38),0)</f>
        <v/>
      </c>
      <c r="AP1276">
        <f>IFERROR(INDEX(PP_Grid[#Data],$DE1276,39),0)</f>
        <v/>
      </c>
      <c r="AQ1276">
        <f>IFERROR(INDEX(PP_Grid[#Data],$DE1276,40),0)</f>
        <v/>
      </c>
      <c r="AR1276">
        <f>IFERROR(INDEX(PP_Grid[#Data],$DE1276,41),0)</f>
        <v/>
      </c>
      <c r="AS1276">
        <f>IFERROR(INDEX(PP_Grid[#Data],$DE1276,42),0)</f>
        <v/>
      </c>
      <c r="AT1276">
        <f>IFERROR(INDEX(PP_Grid[#Data],$DE1276,43),0)</f>
        <v/>
      </c>
      <c r="AU1276">
        <f>IFERROR(INDEX(PP_Grid[#Data],$DE1276,44),0)</f>
        <v/>
      </c>
      <c r="AV1276">
        <f>IFERROR(INDEX(PP_Grid[#Data],$DE1276,45),0)</f>
        <v/>
      </c>
      <c r="AW1276">
        <f>IFERROR(INDEX(PP_Grid[#Data],$DE1276,46),0)</f>
        <v/>
      </c>
      <c r="AX1276">
        <f>IFERROR(INDEX(PP_Grid[#Data],$DE1276,47),0)</f>
        <v/>
      </c>
      <c r="AY1276">
        <f>IFERROR(INDEX(PP_Grid[#Data],$DE1276,48),0)</f>
        <v/>
      </c>
      <c r="AZ1276">
        <f>IFERROR(INDEX(PP_Grid[#Data],$DE1276,49),0)</f>
        <v/>
      </c>
      <c r="BA1276">
        <f>IFERROR(INDEX(PP_Grid[#Data],$DE1276,50),0)</f>
        <v/>
      </c>
      <c r="BB1276">
        <f>IFERROR(INDEX(PP_Grid[#Data],$DE1276,51),0)</f>
        <v/>
      </c>
      <c r="BC1276">
        <f>IFERROR(INDEX(PP_Grid[#Data],$DE1276,52),0)</f>
        <v/>
      </c>
      <c r="BD1276">
        <f>IFERROR(INDEX(PP_Grid[#Data],$DE1276,53),0)</f>
        <v/>
      </c>
      <c r="BE1276">
        <f>IFERROR(INDEX(PP_Grid[#Data],$DE1276,54),0)</f>
        <v/>
      </c>
      <c r="BF1276">
        <f>IFERROR(INDEX(PP_Grid[#Data],$DE1276,55),0)</f>
        <v/>
      </c>
      <c r="BG1276">
        <f>IFERROR(INDEX(PP_Grid[#Data],$DE1276,56),0)</f>
        <v/>
      </c>
      <c r="BH1276">
        <f>IFERROR(INDEX(PP_Grid[#Data],$DE1276,57),0)</f>
        <v/>
      </c>
      <c r="BI1276">
        <f>IFERROR(INDEX(PP_Grid[#Data],$DE1276,58),0)</f>
        <v/>
      </c>
      <c r="BJ1276">
        <f>IFERROR(INDEX(PP_Grid[#Data],$DE1276,59),0)</f>
        <v/>
      </c>
      <c r="BK1276">
        <f>IFERROR(INDEX(PP_Grid[#Data],$DE1276,60),0)</f>
        <v/>
      </c>
      <c r="BL1276">
        <f>IFERROR(INDEX(PP_Grid[#Data],$DE1276,61),0)</f>
        <v/>
      </c>
      <c r="BM1276">
        <f>IFERROR(INDEX(PP_Grid[#Data],$DE1276,62),0)</f>
        <v/>
      </c>
      <c r="BN1276">
        <f>IFERROR(INDEX(PP_Grid[#Data],$DE1276,63),0)</f>
        <v/>
      </c>
      <c r="BO1276">
        <f>IFERROR(INDEX(PP_Grid[#Data],$DE1276,64),0)</f>
        <v/>
      </c>
      <c r="BP1276">
        <f>IFERROR(INDEX(PP_Grid[#Data],$DE1276,65),0)</f>
        <v/>
      </c>
      <c r="BQ1276">
        <f>IFERROR(INDEX(PP_Grid[#Data],$DE1276,66),0)</f>
        <v/>
      </c>
      <c r="BR1276">
        <f>IFERROR(INDEX(PP_Grid[#Data],$DE1276,67),0)</f>
        <v/>
      </c>
      <c r="BS1276">
        <f>IFERROR(INDEX(PP_Grid[#Data],$DE1276,68),0)</f>
        <v/>
      </c>
      <c r="BT1276">
        <f>IFERROR(INDEX(PP_Grid[#Data],$DE1276,69),0)</f>
        <v/>
      </c>
      <c r="BU1276">
        <f>IFERROR(INDEX(PP_Grid[#Data],$DE1276,70),0)</f>
        <v/>
      </c>
      <c r="BV1276">
        <f>IFERROR(INDEX(PP_Grid[#Data],$DE1276,71),0)</f>
        <v/>
      </c>
      <c r="BW1276">
        <f>IFERROR(INDEX(PP_Grid[#Data],$DE1276,72),0)</f>
        <v/>
      </c>
      <c r="BX1276">
        <f>IFERROR(INDEX(PP_Grid[#Data],$DE1276,73),0)</f>
        <v/>
      </c>
      <c r="BY1276">
        <f>IFERROR(INDEX(PP_Grid[#Data],$DE1276,74),0)</f>
        <v/>
      </c>
      <c r="BZ1276">
        <f>IFERROR(INDEX(PP_Grid[#Data],$DE1276,75),0)</f>
        <v/>
      </c>
      <c r="CA1276">
        <f>IFERROR(INDEX(PP_Grid[#Data],$DE1276,76),0)</f>
        <v/>
      </c>
      <c r="CB1276">
        <f>IFERROR(INDEX(PP_Grid[#Data],$DE1276,77),0)</f>
        <v/>
      </c>
      <c r="CC1276">
        <f>IFERROR(INDEX(PP_Grid[#Data],$DE1276,78),0)</f>
        <v/>
      </c>
      <c r="CD1276">
        <f>IFERROR(INDEX(PP_Grid[#Data],$DE1276,79),0)</f>
        <v/>
      </c>
      <c r="CE1276">
        <f>IFERROR(INDEX(PP_Grid[#Data],$DE1276,80),0)</f>
        <v/>
      </c>
      <c r="CF1276">
        <f>IFERROR(INDEX(PP_Grid[#Data],$DE1276,81),0)</f>
        <v/>
      </c>
      <c r="CG1276">
        <f>IFERROR(INDEX(PP_Grid[#Data],$DE1276,82),0)</f>
        <v/>
      </c>
      <c r="CH1276">
        <f>IFERROR(INDEX(PP_Grid[#Data],$DE1276,83),0)</f>
        <v/>
      </c>
      <c r="CI1276">
        <f>IFERROR(INDEX(PP_Grid[#Data],$DE1276,84),0)</f>
        <v/>
      </c>
      <c r="CJ1276">
        <f>IFERROR(INDEX(PP_Grid[#Data],$DE1276,85),0)</f>
        <v/>
      </c>
      <c r="CK1276">
        <f>IFERROR(INDEX(PP_Grid[#Data],$DE1276,86),0)</f>
        <v/>
      </c>
      <c r="CL1276">
        <f>IFERROR(INDEX(PP_Grid[#Data],$DE1276,87),0)</f>
        <v/>
      </c>
      <c r="CM1276">
        <f>IFERROR(INDEX(PP_Grid[#Data],$DE1276,88),0)</f>
        <v/>
      </c>
      <c r="CN1276">
        <f>IFERROR(INDEX(PP_Grid[#Data],$DE1276,89),0)</f>
        <v/>
      </c>
      <c r="CO1276">
        <f>IFERROR(INDEX(PP_Grid[#Data],$DE1276,90),0)</f>
        <v/>
      </c>
      <c r="CP1276">
        <f>IFERROR(INDEX(PP_Grid[#Data],$DE1276,91),0)</f>
        <v/>
      </c>
      <c r="CQ1276">
        <f>IFERROR(INDEX(PP_Grid[#Data],$DE1276,92),0)</f>
        <v/>
      </c>
      <c r="CR1276">
        <f>IFERROR(INDEX(PP_Grid[#Data],$DE1276,93),0)</f>
        <v/>
      </c>
      <c r="CS1276">
        <f>IFERROR(INDEX(PP_Grid[#Data],$DE1276,94),0)</f>
        <v/>
      </c>
      <c r="CT1276">
        <f>IFERROR(INDEX(PP_Grid[#Data],$DE1276,95),0)</f>
        <v/>
      </c>
      <c r="CU1276">
        <f>IFERROR(INDEX(PP_Grid[#Data],$DE1276,96),0)</f>
        <v/>
      </c>
      <c r="CV1276">
        <f>IFERROR(INDEX(PP_Grid[#Data],$DE1276,97),0)</f>
        <v/>
      </c>
      <c r="CW1276">
        <f>IFERROR(INDEX(PP_Grid[#Data],$DE1276,98),0)</f>
        <v/>
      </c>
      <c r="CX1276">
        <f>IFERROR(INDEX(PP_Grid[#Data],$DE1276,99),0)</f>
        <v/>
      </c>
      <c r="CY1276">
        <f>IFERROR(INDEX(PP_Grid[#Data],$DE1276,100),0)</f>
        <v/>
      </c>
      <c r="CZ1276">
        <f>IFERROR(INDEX(PP_Grid[#Data],$DE1276,101),0)</f>
        <v/>
      </c>
      <c r="DA1276">
        <f>IFERROR(INDEX(PP_Grid[#Data],$DE1276,102),0)</f>
        <v/>
      </c>
      <c r="DB1276">
        <f>IFERROR(INDEX(PP_Grid[#Data],$DE1276,103),0)</f>
        <v/>
      </c>
      <c r="DC1276">
        <f>IFERROR(INDEX(PP_Grid[#Data],$DE1276,104),0)</f>
        <v/>
      </c>
      <c r="DD1276">
        <f>IFERROR(INDEX(PP_Grid[#Data],$DE1276,105),0)</f>
        <v/>
      </c>
      <c r="DE1276" s="7">
        <f>IFERROR(MATCH($B1276,PP_Grid[Intermediate],0),99999)</f>
        <v/>
      </c>
    </row>
    <row r="1277">
      <c r="B1277" t="inlineStr">
        <is>
          <t>使用量(kg)</t>
        </is>
      </c>
      <c r="C1277">
        <f>SUMIFS(M_BOM[RM_Qty_Per_Batch],M_BOM[Intermediate],$B1276,M_BOM[RM_Code],$A1239)</f>
        <v/>
      </c>
      <c r="D1277">
        <f>IFERROR(INDEX(E1277:DD1277,$F$1),"")</f>
        <v/>
      </c>
      <c r="E1277">
        <f>$C1277*E1276</f>
        <v/>
      </c>
      <c r="F1277">
        <f>$C1277*F1276</f>
        <v/>
      </c>
      <c r="G1277">
        <f>$C1277*G1276</f>
        <v/>
      </c>
      <c r="H1277">
        <f>$C1277*H1276</f>
        <v/>
      </c>
      <c r="I1277">
        <f>$C1277*I1276</f>
        <v/>
      </c>
      <c r="J1277">
        <f>$C1277*J1276</f>
        <v/>
      </c>
      <c r="K1277">
        <f>$C1277*K1276</f>
        <v/>
      </c>
      <c r="L1277">
        <f>$C1277*L1276</f>
        <v/>
      </c>
      <c r="M1277">
        <f>$C1277*M1276</f>
        <v/>
      </c>
      <c r="N1277">
        <f>$C1277*N1276</f>
        <v/>
      </c>
      <c r="O1277">
        <f>$C1277*O1276</f>
        <v/>
      </c>
      <c r="P1277">
        <f>$C1277*P1276</f>
        <v/>
      </c>
      <c r="Q1277">
        <f>$C1277*Q1276</f>
        <v/>
      </c>
      <c r="R1277">
        <f>$C1277*R1276</f>
        <v/>
      </c>
      <c r="S1277">
        <f>$C1277*S1276</f>
        <v/>
      </c>
      <c r="T1277">
        <f>$C1277*T1276</f>
        <v/>
      </c>
      <c r="U1277">
        <f>$C1277*U1276</f>
        <v/>
      </c>
      <c r="V1277">
        <f>$C1277*V1276</f>
        <v/>
      </c>
      <c r="W1277">
        <f>$C1277*W1276</f>
        <v/>
      </c>
      <c r="X1277">
        <f>$C1277*X1276</f>
        <v/>
      </c>
      <c r="Y1277">
        <f>$C1277*Y1276</f>
        <v/>
      </c>
      <c r="Z1277">
        <f>$C1277*Z1276</f>
        <v/>
      </c>
      <c r="AA1277">
        <f>$C1277*AA1276</f>
        <v/>
      </c>
      <c r="AB1277">
        <f>$C1277*AB1276</f>
        <v/>
      </c>
      <c r="AC1277">
        <f>$C1277*AC1276</f>
        <v/>
      </c>
      <c r="AD1277">
        <f>$C1277*AD1276</f>
        <v/>
      </c>
      <c r="AE1277">
        <f>$C1277*AE1276</f>
        <v/>
      </c>
      <c r="AF1277">
        <f>$C1277*AF1276</f>
        <v/>
      </c>
      <c r="AG1277">
        <f>$C1277*AG1276</f>
        <v/>
      </c>
      <c r="AH1277">
        <f>$C1277*AH1276</f>
        <v/>
      </c>
      <c r="AI1277">
        <f>$C1277*AI1276</f>
        <v/>
      </c>
      <c r="AJ1277">
        <f>$C1277*AJ1276</f>
        <v/>
      </c>
      <c r="AK1277">
        <f>$C1277*AK1276</f>
        <v/>
      </c>
      <c r="AL1277">
        <f>$C1277*AL1276</f>
        <v/>
      </c>
      <c r="AM1277">
        <f>$C1277*AM1276</f>
        <v/>
      </c>
      <c r="AN1277">
        <f>$C1277*AN1276</f>
        <v/>
      </c>
      <c r="AO1277">
        <f>$C1277*AO1276</f>
        <v/>
      </c>
      <c r="AP1277">
        <f>$C1277*AP1276</f>
        <v/>
      </c>
      <c r="AQ1277">
        <f>$C1277*AQ1276</f>
        <v/>
      </c>
      <c r="AR1277">
        <f>$C1277*AR1276</f>
        <v/>
      </c>
      <c r="AS1277">
        <f>$C1277*AS1276</f>
        <v/>
      </c>
      <c r="AT1277">
        <f>$C1277*AT1276</f>
        <v/>
      </c>
      <c r="AU1277">
        <f>$C1277*AU1276</f>
        <v/>
      </c>
      <c r="AV1277">
        <f>$C1277*AV1276</f>
        <v/>
      </c>
      <c r="AW1277">
        <f>$C1277*AW1276</f>
        <v/>
      </c>
      <c r="AX1277">
        <f>$C1277*AX1276</f>
        <v/>
      </c>
      <c r="AY1277">
        <f>$C1277*AY1276</f>
        <v/>
      </c>
      <c r="AZ1277">
        <f>$C1277*AZ1276</f>
        <v/>
      </c>
      <c r="BA1277">
        <f>$C1277*BA1276</f>
        <v/>
      </c>
      <c r="BB1277">
        <f>$C1277*BB1276</f>
        <v/>
      </c>
      <c r="BC1277">
        <f>$C1277*BC1276</f>
        <v/>
      </c>
      <c r="BD1277">
        <f>$C1277*BD1276</f>
        <v/>
      </c>
      <c r="BE1277">
        <f>$C1277*BE1276</f>
        <v/>
      </c>
      <c r="BF1277">
        <f>$C1277*BF1276</f>
        <v/>
      </c>
      <c r="BG1277">
        <f>$C1277*BG1276</f>
        <v/>
      </c>
      <c r="BH1277">
        <f>$C1277*BH1276</f>
        <v/>
      </c>
      <c r="BI1277">
        <f>$C1277*BI1276</f>
        <v/>
      </c>
      <c r="BJ1277">
        <f>$C1277*BJ1276</f>
        <v/>
      </c>
      <c r="BK1277">
        <f>$C1277*BK1276</f>
        <v/>
      </c>
      <c r="BL1277">
        <f>$C1277*BL1276</f>
        <v/>
      </c>
      <c r="BM1277">
        <f>$C1277*BM1276</f>
        <v/>
      </c>
      <c r="BN1277">
        <f>$C1277*BN1276</f>
        <v/>
      </c>
      <c r="BO1277">
        <f>$C1277*BO1276</f>
        <v/>
      </c>
      <c r="BP1277">
        <f>$C1277*BP1276</f>
        <v/>
      </c>
      <c r="BQ1277">
        <f>$C1277*BQ1276</f>
        <v/>
      </c>
      <c r="BR1277">
        <f>$C1277*BR1276</f>
        <v/>
      </c>
      <c r="BS1277">
        <f>$C1277*BS1276</f>
        <v/>
      </c>
      <c r="BT1277">
        <f>$C1277*BT1276</f>
        <v/>
      </c>
      <c r="BU1277">
        <f>$C1277*BU1276</f>
        <v/>
      </c>
      <c r="BV1277">
        <f>$C1277*BV1276</f>
        <v/>
      </c>
      <c r="BW1277">
        <f>$C1277*BW1276</f>
        <v/>
      </c>
      <c r="BX1277">
        <f>$C1277*BX1276</f>
        <v/>
      </c>
      <c r="BY1277">
        <f>$C1277*BY1276</f>
        <v/>
      </c>
      <c r="BZ1277">
        <f>$C1277*BZ1276</f>
        <v/>
      </c>
      <c r="CA1277">
        <f>$C1277*CA1276</f>
        <v/>
      </c>
      <c r="CB1277">
        <f>$C1277*CB1276</f>
        <v/>
      </c>
      <c r="CC1277">
        <f>$C1277*CC1276</f>
        <v/>
      </c>
      <c r="CD1277">
        <f>$C1277*CD1276</f>
        <v/>
      </c>
      <c r="CE1277">
        <f>$C1277*CE1276</f>
        <v/>
      </c>
      <c r="CF1277">
        <f>$C1277*CF1276</f>
        <v/>
      </c>
      <c r="CG1277">
        <f>$C1277*CG1276</f>
        <v/>
      </c>
      <c r="CH1277">
        <f>$C1277*CH1276</f>
        <v/>
      </c>
      <c r="CI1277">
        <f>$C1277*CI1276</f>
        <v/>
      </c>
      <c r="CJ1277">
        <f>$C1277*CJ1276</f>
        <v/>
      </c>
      <c r="CK1277">
        <f>$C1277*CK1276</f>
        <v/>
      </c>
      <c r="CL1277">
        <f>$C1277*CL1276</f>
        <v/>
      </c>
      <c r="CM1277">
        <f>$C1277*CM1276</f>
        <v/>
      </c>
      <c r="CN1277">
        <f>$C1277*CN1276</f>
        <v/>
      </c>
      <c r="CO1277">
        <f>$C1277*CO1276</f>
        <v/>
      </c>
      <c r="CP1277">
        <f>$C1277*CP1276</f>
        <v/>
      </c>
      <c r="CQ1277">
        <f>$C1277*CQ1276</f>
        <v/>
      </c>
      <c r="CR1277">
        <f>$C1277*CR1276</f>
        <v/>
      </c>
      <c r="CS1277">
        <f>$C1277*CS1276</f>
        <v/>
      </c>
      <c r="CT1277">
        <f>$C1277*CT1276</f>
        <v/>
      </c>
      <c r="CU1277">
        <f>$C1277*CU1276</f>
        <v/>
      </c>
      <c r="CV1277">
        <f>$C1277*CV1276</f>
        <v/>
      </c>
      <c r="CW1277">
        <f>$C1277*CW1276</f>
        <v/>
      </c>
      <c r="CX1277">
        <f>$C1277*CX1276</f>
        <v/>
      </c>
      <c r="CY1277">
        <f>$C1277*CY1276</f>
        <v/>
      </c>
      <c r="CZ1277">
        <f>$C1277*CZ1276</f>
        <v/>
      </c>
      <c r="DA1277">
        <f>$C1277*DA1276</f>
        <v/>
      </c>
      <c r="DB1277">
        <f>$C1277*DB1276</f>
        <v/>
      </c>
      <c r="DC1277">
        <f>$C1277*DC1276</f>
        <v/>
      </c>
      <c r="DD1277">
        <f>$C1277*DD1276</f>
        <v/>
      </c>
    </row>
    <row r="1278">
      <c r="B1278" s="4" t="inlineStr">
        <is>
          <t>合計使用量(kg)/週</t>
        </is>
      </c>
      <c r="D1278" s="22">
        <f>IFERROR(INDEX(E1278:DD1278,$F$1),"")</f>
        <v/>
      </c>
      <c r="E1278">
        <f>'Grid_Requirement'!B7</f>
        <v/>
      </c>
      <c r="F1278">
        <f>'Grid_Requirement'!C7</f>
        <v/>
      </c>
      <c r="G1278">
        <f>'Grid_Requirement'!D7</f>
        <v/>
      </c>
      <c r="H1278">
        <f>'Grid_Requirement'!E7</f>
        <v/>
      </c>
      <c r="I1278">
        <f>'Grid_Requirement'!F7</f>
        <v/>
      </c>
      <c r="J1278">
        <f>'Grid_Requirement'!G7</f>
        <v/>
      </c>
      <c r="K1278">
        <f>'Grid_Requirement'!H7</f>
        <v/>
      </c>
      <c r="L1278">
        <f>'Grid_Requirement'!I7</f>
        <v/>
      </c>
      <c r="M1278">
        <f>'Grid_Requirement'!J7</f>
        <v/>
      </c>
      <c r="N1278">
        <f>'Grid_Requirement'!K7</f>
        <v/>
      </c>
      <c r="O1278">
        <f>'Grid_Requirement'!L7</f>
        <v/>
      </c>
      <c r="P1278">
        <f>'Grid_Requirement'!M7</f>
        <v/>
      </c>
      <c r="Q1278">
        <f>'Grid_Requirement'!N7</f>
        <v/>
      </c>
      <c r="R1278">
        <f>'Grid_Requirement'!O7</f>
        <v/>
      </c>
      <c r="S1278">
        <f>'Grid_Requirement'!P7</f>
        <v/>
      </c>
      <c r="T1278">
        <f>'Grid_Requirement'!Q7</f>
        <v/>
      </c>
      <c r="U1278">
        <f>'Grid_Requirement'!R7</f>
        <v/>
      </c>
      <c r="V1278">
        <f>'Grid_Requirement'!S7</f>
        <v/>
      </c>
      <c r="W1278">
        <f>'Grid_Requirement'!T7</f>
        <v/>
      </c>
      <c r="X1278">
        <f>'Grid_Requirement'!U7</f>
        <v/>
      </c>
      <c r="Y1278">
        <f>'Grid_Requirement'!V7</f>
        <v/>
      </c>
      <c r="Z1278">
        <f>'Grid_Requirement'!W7</f>
        <v/>
      </c>
      <c r="AA1278">
        <f>'Grid_Requirement'!X7</f>
        <v/>
      </c>
      <c r="AB1278">
        <f>'Grid_Requirement'!Y7</f>
        <v/>
      </c>
      <c r="AC1278">
        <f>'Grid_Requirement'!Z7</f>
        <v/>
      </c>
      <c r="AD1278">
        <f>'Grid_Requirement'!AA7</f>
        <v/>
      </c>
      <c r="AE1278">
        <f>'Grid_Requirement'!AB7</f>
        <v/>
      </c>
      <c r="AF1278">
        <f>'Grid_Requirement'!AC7</f>
        <v/>
      </c>
      <c r="AG1278">
        <f>'Grid_Requirement'!AD7</f>
        <v/>
      </c>
      <c r="AH1278">
        <f>'Grid_Requirement'!AE7</f>
        <v/>
      </c>
      <c r="AI1278">
        <f>'Grid_Requirement'!AF7</f>
        <v/>
      </c>
      <c r="AJ1278">
        <f>'Grid_Requirement'!AG7</f>
        <v/>
      </c>
      <c r="AK1278">
        <f>'Grid_Requirement'!AH7</f>
        <v/>
      </c>
      <c r="AL1278">
        <f>'Grid_Requirement'!AI7</f>
        <v/>
      </c>
      <c r="AM1278">
        <f>'Grid_Requirement'!AJ7</f>
        <v/>
      </c>
      <c r="AN1278">
        <f>'Grid_Requirement'!AK7</f>
        <v/>
      </c>
      <c r="AO1278">
        <f>'Grid_Requirement'!AL7</f>
        <v/>
      </c>
      <c r="AP1278">
        <f>'Grid_Requirement'!AM7</f>
        <v/>
      </c>
      <c r="AQ1278">
        <f>'Grid_Requirement'!AN7</f>
        <v/>
      </c>
      <c r="AR1278">
        <f>'Grid_Requirement'!AO7</f>
        <v/>
      </c>
      <c r="AS1278">
        <f>'Grid_Requirement'!AP7</f>
        <v/>
      </c>
      <c r="AT1278">
        <f>'Grid_Requirement'!AQ7</f>
        <v/>
      </c>
      <c r="AU1278">
        <f>'Grid_Requirement'!AR7</f>
        <v/>
      </c>
      <c r="AV1278">
        <f>'Grid_Requirement'!AS7</f>
        <v/>
      </c>
      <c r="AW1278">
        <f>'Grid_Requirement'!AT7</f>
        <v/>
      </c>
      <c r="AX1278">
        <f>'Grid_Requirement'!AU7</f>
        <v/>
      </c>
      <c r="AY1278">
        <f>'Grid_Requirement'!AV7</f>
        <v/>
      </c>
      <c r="AZ1278">
        <f>'Grid_Requirement'!AW7</f>
        <v/>
      </c>
      <c r="BA1278">
        <f>'Grid_Requirement'!AX7</f>
        <v/>
      </c>
      <c r="BB1278">
        <f>'Grid_Requirement'!AY7</f>
        <v/>
      </c>
      <c r="BC1278">
        <f>'Grid_Requirement'!AZ7</f>
        <v/>
      </c>
      <c r="BD1278">
        <f>'Grid_Requirement'!BA7</f>
        <v/>
      </c>
      <c r="BE1278">
        <f>'Grid_Requirement'!BB7</f>
        <v/>
      </c>
      <c r="BF1278">
        <f>'Grid_Requirement'!BC7</f>
        <v/>
      </c>
      <c r="BG1278">
        <f>'Grid_Requirement'!BD7</f>
        <v/>
      </c>
      <c r="BH1278">
        <f>'Grid_Requirement'!BE7</f>
        <v/>
      </c>
      <c r="BI1278">
        <f>'Grid_Requirement'!BF7</f>
        <v/>
      </c>
      <c r="BJ1278">
        <f>'Grid_Requirement'!BG7</f>
        <v/>
      </c>
      <c r="BK1278">
        <f>'Grid_Requirement'!BH7</f>
        <v/>
      </c>
      <c r="BL1278">
        <f>'Grid_Requirement'!BI7</f>
        <v/>
      </c>
      <c r="BM1278">
        <f>'Grid_Requirement'!BJ7</f>
        <v/>
      </c>
      <c r="BN1278">
        <f>'Grid_Requirement'!BK7</f>
        <v/>
      </c>
      <c r="BO1278">
        <f>'Grid_Requirement'!BL7</f>
        <v/>
      </c>
      <c r="BP1278">
        <f>'Grid_Requirement'!BM7</f>
        <v/>
      </c>
      <c r="BQ1278">
        <f>'Grid_Requirement'!BN7</f>
        <v/>
      </c>
      <c r="BR1278">
        <f>'Grid_Requirement'!BO7</f>
        <v/>
      </c>
      <c r="BS1278">
        <f>'Grid_Requirement'!BP7</f>
        <v/>
      </c>
      <c r="BT1278">
        <f>'Grid_Requirement'!BQ7</f>
        <v/>
      </c>
      <c r="BU1278">
        <f>'Grid_Requirement'!BR7</f>
        <v/>
      </c>
      <c r="BV1278">
        <f>'Grid_Requirement'!BS7</f>
        <v/>
      </c>
      <c r="BW1278">
        <f>'Grid_Requirement'!BT7</f>
        <v/>
      </c>
      <c r="BX1278">
        <f>'Grid_Requirement'!BU7</f>
        <v/>
      </c>
      <c r="BY1278">
        <f>'Grid_Requirement'!BV7</f>
        <v/>
      </c>
      <c r="BZ1278">
        <f>'Grid_Requirement'!BW7</f>
        <v/>
      </c>
      <c r="CA1278">
        <f>'Grid_Requirement'!BX7</f>
        <v/>
      </c>
      <c r="CB1278">
        <f>'Grid_Requirement'!BY7</f>
        <v/>
      </c>
      <c r="CC1278">
        <f>'Grid_Requirement'!BZ7</f>
        <v/>
      </c>
      <c r="CD1278">
        <f>'Grid_Requirement'!CA7</f>
        <v/>
      </c>
      <c r="CE1278">
        <f>'Grid_Requirement'!CB7</f>
        <v/>
      </c>
      <c r="CF1278">
        <f>'Grid_Requirement'!CC7</f>
        <v/>
      </c>
      <c r="CG1278">
        <f>'Grid_Requirement'!CD7</f>
        <v/>
      </c>
      <c r="CH1278">
        <f>'Grid_Requirement'!CE7</f>
        <v/>
      </c>
      <c r="CI1278">
        <f>'Grid_Requirement'!CF7</f>
        <v/>
      </c>
      <c r="CJ1278">
        <f>'Grid_Requirement'!CG7</f>
        <v/>
      </c>
      <c r="CK1278">
        <f>'Grid_Requirement'!CH7</f>
        <v/>
      </c>
      <c r="CL1278">
        <f>'Grid_Requirement'!CI7</f>
        <v/>
      </c>
      <c r="CM1278">
        <f>'Grid_Requirement'!CJ7</f>
        <v/>
      </c>
      <c r="CN1278">
        <f>'Grid_Requirement'!CK7</f>
        <v/>
      </c>
      <c r="CO1278">
        <f>'Grid_Requirement'!CL7</f>
        <v/>
      </c>
      <c r="CP1278">
        <f>'Grid_Requirement'!CM7</f>
        <v/>
      </c>
      <c r="CQ1278">
        <f>'Grid_Requirement'!CN7</f>
        <v/>
      </c>
      <c r="CR1278">
        <f>'Grid_Requirement'!CO7</f>
        <v/>
      </c>
      <c r="CS1278">
        <f>'Grid_Requirement'!CP7</f>
        <v/>
      </c>
      <c r="CT1278">
        <f>'Grid_Requirement'!CQ7</f>
        <v/>
      </c>
      <c r="CU1278">
        <f>'Grid_Requirement'!CR7</f>
        <v/>
      </c>
      <c r="CV1278">
        <f>'Grid_Requirement'!CS7</f>
        <v/>
      </c>
      <c r="CW1278">
        <f>'Grid_Requirement'!CT7</f>
        <v/>
      </c>
      <c r="CX1278">
        <f>'Grid_Requirement'!CU7</f>
        <v/>
      </c>
      <c r="CY1278">
        <f>'Grid_Requirement'!CV7</f>
        <v/>
      </c>
      <c r="CZ1278">
        <f>'Grid_Requirement'!CW7</f>
        <v/>
      </c>
      <c r="DA1278">
        <f>'Grid_Requirement'!CX7</f>
        <v/>
      </c>
      <c r="DB1278">
        <f>'Grid_Requirement'!CY7</f>
        <v/>
      </c>
      <c r="DC1278">
        <f>'Grid_Requirement'!CZ7</f>
        <v/>
      </c>
      <c r="DD1278">
        <f>'Grid_Requirement'!DA7</f>
        <v/>
      </c>
    </row>
    <row r="1279">
      <c r="B1279" s="23" t="inlineStr">
        <is>
          <t>（在庫・入荷予定はDashboard参照）</t>
        </is>
      </c>
    </row>
    <row r="1281">
      <c r="A1281" s="21" t="inlineStr">
        <is>
          <t>CHEM-1010</t>
        </is>
      </c>
      <c r="B1281" s="21" t="inlineStr">
        <is>
          <t>Sodium Carbonate Anhydrous</t>
        </is>
      </c>
      <c r="C1281" s="21" t="n"/>
      <c r="D1281" s="21" t="n"/>
      <c r="E1281" s="21" t="n"/>
      <c r="F1281" s="21" t="n"/>
      <c r="G1281" s="21" t="n"/>
      <c r="H1281" s="21" t="n"/>
      <c r="I1281" s="21" t="n"/>
      <c r="J1281" s="21" t="n"/>
      <c r="K1281" s="21" t="n"/>
      <c r="L1281" s="21" t="n"/>
      <c r="M1281" s="21" t="n"/>
      <c r="N1281" s="21" t="n"/>
      <c r="O1281" s="21" t="n"/>
      <c r="P1281" s="21" t="n"/>
      <c r="Q1281" s="21" t="n"/>
      <c r="R1281" s="21" t="n"/>
      <c r="S1281" s="21" t="n"/>
      <c r="T1281" s="21" t="n"/>
      <c r="U1281" s="21" t="n"/>
      <c r="V1281" s="21" t="n"/>
      <c r="W1281" s="21" t="n"/>
      <c r="X1281" s="21" t="n"/>
      <c r="Y1281" s="21" t="n"/>
      <c r="Z1281" s="21" t="n"/>
      <c r="AA1281" s="21" t="n"/>
      <c r="AB1281" s="21" t="n"/>
      <c r="AC1281" s="21" t="n"/>
      <c r="AD1281" s="21" t="n"/>
      <c r="AE1281" s="21" t="n"/>
      <c r="AF1281" s="21" t="n"/>
      <c r="AG1281" s="21" t="n"/>
      <c r="AH1281" s="21" t="n"/>
      <c r="AI1281" s="21" t="n"/>
      <c r="AJ1281" s="21" t="n"/>
      <c r="AK1281" s="21" t="n"/>
      <c r="AL1281" s="21" t="n"/>
      <c r="AM1281" s="21" t="n"/>
      <c r="AN1281" s="21" t="n"/>
      <c r="AO1281" s="21" t="n"/>
      <c r="AP1281" s="21" t="n"/>
      <c r="AQ1281" s="21" t="n"/>
      <c r="AR1281" s="21" t="n"/>
      <c r="AS1281" s="21" t="n"/>
      <c r="AT1281" s="21" t="n"/>
      <c r="AU1281" s="21" t="n"/>
      <c r="AV1281" s="21" t="n"/>
      <c r="AW1281" s="21" t="n"/>
      <c r="AX1281" s="21" t="n"/>
      <c r="AY1281" s="21" t="n"/>
      <c r="AZ1281" s="21" t="n"/>
      <c r="BA1281" s="21" t="n"/>
      <c r="BB1281" s="21" t="n"/>
      <c r="BC1281" s="21" t="n"/>
      <c r="BD1281" s="21" t="n"/>
      <c r="BE1281" s="21" t="n"/>
      <c r="BF1281" s="21" t="n"/>
      <c r="BG1281" s="21" t="n"/>
      <c r="BH1281" s="21" t="n"/>
      <c r="BI1281" s="21" t="n"/>
      <c r="BJ1281" s="21" t="n"/>
      <c r="BK1281" s="21" t="n"/>
      <c r="BL1281" s="21" t="n"/>
      <c r="BM1281" s="21" t="n"/>
      <c r="BN1281" s="21" t="n"/>
      <c r="BO1281" s="21" t="n"/>
      <c r="BP1281" s="21" t="n"/>
      <c r="BQ1281" s="21" t="n"/>
      <c r="BR1281" s="21" t="n"/>
      <c r="BS1281" s="21" t="n"/>
      <c r="BT1281" s="21" t="n"/>
      <c r="BU1281" s="21" t="n"/>
      <c r="BV1281" s="21" t="n"/>
      <c r="BW1281" s="21" t="n"/>
      <c r="BX1281" s="21" t="n"/>
      <c r="BY1281" s="21" t="n"/>
      <c r="BZ1281" s="21" t="n"/>
      <c r="CA1281" s="21" t="n"/>
      <c r="CB1281" s="21" t="n"/>
      <c r="CC1281" s="21" t="n"/>
      <c r="CD1281" s="21" t="n"/>
      <c r="CE1281" s="21" t="n"/>
      <c r="CF1281" s="21" t="n"/>
      <c r="CG1281" s="21" t="n"/>
      <c r="CH1281" s="21" t="n"/>
      <c r="CI1281" s="21" t="n"/>
      <c r="CJ1281" s="21" t="n"/>
      <c r="CK1281" s="21" t="n"/>
      <c r="CL1281" s="21" t="n"/>
      <c r="CM1281" s="21" t="n"/>
      <c r="CN1281" s="21" t="n"/>
      <c r="CO1281" s="21" t="n"/>
      <c r="CP1281" s="21" t="n"/>
      <c r="CQ1281" s="21" t="n"/>
      <c r="CR1281" s="21" t="n"/>
      <c r="CS1281" s="21" t="n"/>
      <c r="CT1281" s="21" t="n"/>
      <c r="CU1281" s="21" t="n"/>
      <c r="CV1281" s="21" t="n"/>
      <c r="CW1281" s="21" t="n"/>
      <c r="CX1281" s="21" t="n"/>
      <c r="CY1281" s="21" t="n"/>
      <c r="CZ1281" s="21" t="n"/>
      <c r="DA1281" s="21" t="n"/>
      <c r="DB1281" s="21" t="n"/>
      <c r="DC1281" s="21" t="n"/>
      <c r="DD1281" s="21" t="n"/>
    </row>
    <row r="1282">
      <c r="B1282" t="inlineStr">
        <is>
          <t>TSP-620</t>
        </is>
      </c>
      <c r="C1282" t="inlineStr">
        <is>
          <t>No. of batches</t>
        </is>
      </c>
      <c r="D1282">
        <f>IFERROR(INDEX(E1282:DD1282,$F$1),"")</f>
        <v/>
      </c>
      <c r="E1282">
        <f>IFERROR(INDEX(PP_Grid[#Data],$DE1282,2),0)</f>
        <v/>
      </c>
      <c r="F1282">
        <f>IFERROR(INDEX(PP_Grid[#Data],$DE1282,3),0)</f>
        <v/>
      </c>
      <c r="G1282">
        <f>IFERROR(INDEX(PP_Grid[#Data],$DE1282,4),0)</f>
        <v/>
      </c>
      <c r="H1282">
        <f>IFERROR(INDEX(PP_Grid[#Data],$DE1282,5),0)</f>
        <v/>
      </c>
      <c r="I1282">
        <f>IFERROR(INDEX(PP_Grid[#Data],$DE1282,6),0)</f>
        <v/>
      </c>
      <c r="J1282">
        <f>IFERROR(INDEX(PP_Grid[#Data],$DE1282,7),0)</f>
        <v/>
      </c>
      <c r="K1282">
        <f>IFERROR(INDEX(PP_Grid[#Data],$DE1282,8),0)</f>
        <v/>
      </c>
      <c r="L1282">
        <f>IFERROR(INDEX(PP_Grid[#Data],$DE1282,9),0)</f>
        <v/>
      </c>
      <c r="M1282">
        <f>IFERROR(INDEX(PP_Grid[#Data],$DE1282,10),0)</f>
        <v/>
      </c>
      <c r="N1282">
        <f>IFERROR(INDEX(PP_Grid[#Data],$DE1282,11),0)</f>
        <v/>
      </c>
      <c r="O1282">
        <f>IFERROR(INDEX(PP_Grid[#Data],$DE1282,12),0)</f>
        <v/>
      </c>
      <c r="P1282">
        <f>IFERROR(INDEX(PP_Grid[#Data],$DE1282,13),0)</f>
        <v/>
      </c>
      <c r="Q1282">
        <f>IFERROR(INDEX(PP_Grid[#Data],$DE1282,14),0)</f>
        <v/>
      </c>
      <c r="R1282">
        <f>IFERROR(INDEX(PP_Grid[#Data],$DE1282,15),0)</f>
        <v/>
      </c>
      <c r="S1282">
        <f>IFERROR(INDEX(PP_Grid[#Data],$DE1282,16),0)</f>
        <v/>
      </c>
      <c r="T1282">
        <f>IFERROR(INDEX(PP_Grid[#Data],$DE1282,17),0)</f>
        <v/>
      </c>
      <c r="U1282">
        <f>IFERROR(INDEX(PP_Grid[#Data],$DE1282,18),0)</f>
        <v/>
      </c>
      <c r="V1282">
        <f>IFERROR(INDEX(PP_Grid[#Data],$DE1282,19),0)</f>
        <v/>
      </c>
      <c r="W1282">
        <f>IFERROR(INDEX(PP_Grid[#Data],$DE1282,20),0)</f>
        <v/>
      </c>
      <c r="X1282">
        <f>IFERROR(INDEX(PP_Grid[#Data],$DE1282,21),0)</f>
        <v/>
      </c>
      <c r="Y1282">
        <f>IFERROR(INDEX(PP_Grid[#Data],$DE1282,22),0)</f>
        <v/>
      </c>
      <c r="Z1282">
        <f>IFERROR(INDEX(PP_Grid[#Data],$DE1282,23),0)</f>
        <v/>
      </c>
      <c r="AA1282">
        <f>IFERROR(INDEX(PP_Grid[#Data],$DE1282,24),0)</f>
        <v/>
      </c>
      <c r="AB1282">
        <f>IFERROR(INDEX(PP_Grid[#Data],$DE1282,25),0)</f>
        <v/>
      </c>
      <c r="AC1282">
        <f>IFERROR(INDEX(PP_Grid[#Data],$DE1282,26),0)</f>
        <v/>
      </c>
      <c r="AD1282">
        <f>IFERROR(INDEX(PP_Grid[#Data],$DE1282,27),0)</f>
        <v/>
      </c>
      <c r="AE1282">
        <f>IFERROR(INDEX(PP_Grid[#Data],$DE1282,28),0)</f>
        <v/>
      </c>
      <c r="AF1282">
        <f>IFERROR(INDEX(PP_Grid[#Data],$DE1282,29),0)</f>
        <v/>
      </c>
      <c r="AG1282">
        <f>IFERROR(INDEX(PP_Grid[#Data],$DE1282,30),0)</f>
        <v/>
      </c>
      <c r="AH1282">
        <f>IFERROR(INDEX(PP_Grid[#Data],$DE1282,31),0)</f>
        <v/>
      </c>
      <c r="AI1282">
        <f>IFERROR(INDEX(PP_Grid[#Data],$DE1282,32),0)</f>
        <v/>
      </c>
      <c r="AJ1282">
        <f>IFERROR(INDEX(PP_Grid[#Data],$DE1282,33),0)</f>
        <v/>
      </c>
      <c r="AK1282">
        <f>IFERROR(INDEX(PP_Grid[#Data],$DE1282,34),0)</f>
        <v/>
      </c>
      <c r="AL1282">
        <f>IFERROR(INDEX(PP_Grid[#Data],$DE1282,35),0)</f>
        <v/>
      </c>
      <c r="AM1282">
        <f>IFERROR(INDEX(PP_Grid[#Data],$DE1282,36),0)</f>
        <v/>
      </c>
      <c r="AN1282">
        <f>IFERROR(INDEX(PP_Grid[#Data],$DE1282,37),0)</f>
        <v/>
      </c>
      <c r="AO1282">
        <f>IFERROR(INDEX(PP_Grid[#Data],$DE1282,38),0)</f>
        <v/>
      </c>
      <c r="AP1282">
        <f>IFERROR(INDEX(PP_Grid[#Data],$DE1282,39),0)</f>
        <v/>
      </c>
      <c r="AQ1282">
        <f>IFERROR(INDEX(PP_Grid[#Data],$DE1282,40),0)</f>
        <v/>
      </c>
      <c r="AR1282">
        <f>IFERROR(INDEX(PP_Grid[#Data],$DE1282,41),0)</f>
        <v/>
      </c>
      <c r="AS1282">
        <f>IFERROR(INDEX(PP_Grid[#Data],$DE1282,42),0)</f>
        <v/>
      </c>
      <c r="AT1282">
        <f>IFERROR(INDEX(PP_Grid[#Data],$DE1282,43),0)</f>
        <v/>
      </c>
      <c r="AU1282">
        <f>IFERROR(INDEX(PP_Grid[#Data],$DE1282,44),0)</f>
        <v/>
      </c>
      <c r="AV1282">
        <f>IFERROR(INDEX(PP_Grid[#Data],$DE1282,45),0)</f>
        <v/>
      </c>
      <c r="AW1282">
        <f>IFERROR(INDEX(PP_Grid[#Data],$DE1282,46),0)</f>
        <v/>
      </c>
      <c r="AX1282">
        <f>IFERROR(INDEX(PP_Grid[#Data],$DE1282,47),0)</f>
        <v/>
      </c>
      <c r="AY1282">
        <f>IFERROR(INDEX(PP_Grid[#Data],$DE1282,48),0)</f>
        <v/>
      </c>
      <c r="AZ1282">
        <f>IFERROR(INDEX(PP_Grid[#Data],$DE1282,49),0)</f>
        <v/>
      </c>
      <c r="BA1282">
        <f>IFERROR(INDEX(PP_Grid[#Data],$DE1282,50),0)</f>
        <v/>
      </c>
      <c r="BB1282">
        <f>IFERROR(INDEX(PP_Grid[#Data],$DE1282,51),0)</f>
        <v/>
      </c>
      <c r="BC1282">
        <f>IFERROR(INDEX(PP_Grid[#Data],$DE1282,52),0)</f>
        <v/>
      </c>
      <c r="BD1282">
        <f>IFERROR(INDEX(PP_Grid[#Data],$DE1282,53),0)</f>
        <v/>
      </c>
      <c r="BE1282">
        <f>IFERROR(INDEX(PP_Grid[#Data],$DE1282,54),0)</f>
        <v/>
      </c>
      <c r="BF1282">
        <f>IFERROR(INDEX(PP_Grid[#Data],$DE1282,55),0)</f>
        <v/>
      </c>
      <c r="BG1282">
        <f>IFERROR(INDEX(PP_Grid[#Data],$DE1282,56),0)</f>
        <v/>
      </c>
      <c r="BH1282">
        <f>IFERROR(INDEX(PP_Grid[#Data],$DE1282,57),0)</f>
        <v/>
      </c>
      <c r="BI1282">
        <f>IFERROR(INDEX(PP_Grid[#Data],$DE1282,58),0)</f>
        <v/>
      </c>
      <c r="BJ1282">
        <f>IFERROR(INDEX(PP_Grid[#Data],$DE1282,59),0)</f>
        <v/>
      </c>
      <c r="BK1282">
        <f>IFERROR(INDEX(PP_Grid[#Data],$DE1282,60),0)</f>
        <v/>
      </c>
      <c r="BL1282">
        <f>IFERROR(INDEX(PP_Grid[#Data],$DE1282,61),0)</f>
        <v/>
      </c>
      <c r="BM1282">
        <f>IFERROR(INDEX(PP_Grid[#Data],$DE1282,62),0)</f>
        <v/>
      </c>
      <c r="BN1282">
        <f>IFERROR(INDEX(PP_Grid[#Data],$DE1282,63),0)</f>
        <v/>
      </c>
      <c r="BO1282">
        <f>IFERROR(INDEX(PP_Grid[#Data],$DE1282,64),0)</f>
        <v/>
      </c>
      <c r="BP1282">
        <f>IFERROR(INDEX(PP_Grid[#Data],$DE1282,65),0)</f>
        <v/>
      </c>
      <c r="BQ1282">
        <f>IFERROR(INDEX(PP_Grid[#Data],$DE1282,66),0)</f>
        <v/>
      </c>
      <c r="BR1282">
        <f>IFERROR(INDEX(PP_Grid[#Data],$DE1282,67),0)</f>
        <v/>
      </c>
      <c r="BS1282">
        <f>IFERROR(INDEX(PP_Grid[#Data],$DE1282,68),0)</f>
        <v/>
      </c>
      <c r="BT1282">
        <f>IFERROR(INDEX(PP_Grid[#Data],$DE1282,69),0)</f>
        <v/>
      </c>
      <c r="BU1282">
        <f>IFERROR(INDEX(PP_Grid[#Data],$DE1282,70),0)</f>
        <v/>
      </c>
      <c r="BV1282">
        <f>IFERROR(INDEX(PP_Grid[#Data],$DE1282,71),0)</f>
        <v/>
      </c>
      <c r="BW1282">
        <f>IFERROR(INDEX(PP_Grid[#Data],$DE1282,72),0)</f>
        <v/>
      </c>
      <c r="BX1282">
        <f>IFERROR(INDEX(PP_Grid[#Data],$DE1282,73),0)</f>
        <v/>
      </c>
      <c r="BY1282">
        <f>IFERROR(INDEX(PP_Grid[#Data],$DE1282,74),0)</f>
        <v/>
      </c>
      <c r="BZ1282">
        <f>IFERROR(INDEX(PP_Grid[#Data],$DE1282,75),0)</f>
        <v/>
      </c>
      <c r="CA1282">
        <f>IFERROR(INDEX(PP_Grid[#Data],$DE1282,76),0)</f>
        <v/>
      </c>
      <c r="CB1282">
        <f>IFERROR(INDEX(PP_Grid[#Data],$DE1282,77),0)</f>
        <v/>
      </c>
      <c r="CC1282">
        <f>IFERROR(INDEX(PP_Grid[#Data],$DE1282,78),0)</f>
        <v/>
      </c>
      <c r="CD1282">
        <f>IFERROR(INDEX(PP_Grid[#Data],$DE1282,79),0)</f>
        <v/>
      </c>
      <c r="CE1282">
        <f>IFERROR(INDEX(PP_Grid[#Data],$DE1282,80),0)</f>
        <v/>
      </c>
      <c r="CF1282">
        <f>IFERROR(INDEX(PP_Grid[#Data],$DE1282,81),0)</f>
        <v/>
      </c>
      <c r="CG1282">
        <f>IFERROR(INDEX(PP_Grid[#Data],$DE1282,82),0)</f>
        <v/>
      </c>
      <c r="CH1282">
        <f>IFERROR(INDEX(PP_Grid[#Data],$DE1282,83),0)</f>
        <v/>
      </c>
      <c r="CI1282">
        <f>IFERROR(INDEX(PP_Grid[#Data],$DE1282,84),0)</f>
        <v/>
      </c>
      <c r="CJ1282">
        <f>IFERROR(INDEX(PP_Grid[#Data],$DE1282,85),0)</f>
        <v/>
      </c>
      <c r="CK1282">
        <f>IFERROR(INDEX(PP_Grid[#Data],$DE1282,86),0)</f>
        <v/>
      </c>
      <c r="CL1282">
        <f>IFERROR(INDEX(PP_Grid[#Data],$DE1282,87),0)</f>
        <v/>
      </c>
      <c r="CM1282">
        <f>IFERROR(INDEX(PP_Grid[#Data],$DE1282,88),0)</f>
        <v/>
      </c>
      <c r="CN1282">
        <f>IFERROR(INDEX(PP_Grid[#Data],$DE1282,89),0)</f>
        <v/>
      </c>
      <c r="CO1282">
        <f>IFERROR(INDEX(PP_Grid[#Data],$DE1282,90),0)</f>
        <v/>
      </c>
      <c r="CP1282">
        <f>IFERROR(INDEX(PP_Grid[#Data],$DE1282,91),0)</f>
        <v/>
      </c>
      <c r="CQ1282">
        <f>IFERROR(INDEX(PP_Grid[#Data],$DE1282,92),0)</f>
        <v/>
      </c>
      <c r="CR1282">
        <f>IFERROR(INDEX(PP_Grid[#Data],$DE1282,93),0)</f>
        <v/>
      </c>
      <c r="CS1282">
        <f>IFERROR(INDEX(PP_Grid[#Data],$DE1282,94),0)</f>
        <v/>
      </c>
      <c r="CT1282">
        <f>IFERROR(INDEX(PP_Grid[#Data],$DE1282,95),0)</f>
        <v/>
      </c>
      <c r="CU1282">
        <f>IFERROR(INDEX(PP_Grid[#Data],$DE1282,96),0)</f>
        <v/>
      </c>
      <c r="CV1282">
        <f>IFERROR(INDEX(PP_Grid[#Data],$DE1282,97),0)</f>
        <v/>
      </c>
      <c r="CW1282">
        <f>IFERROR(INDEX(PP_Grid[#Data],$DE1282,98),0)</f>
        <v/>
      </c>
      <c r="CX1282">
        <f>IFERROR(INDEX(PP_Grid[#Data],$DE1282,99),0)</f>
        <v/>
      </c>
      <c r="CY1282">
        <f>IFERROR(INDEX(PP_Grid[#Data],$DE1282,100),0)</f>
        <v/>
      </c>
      <c r="CZ1282">
        <f>IFERROR(INDEX(PP_Grid[#Data],$DE1282,101),0)</f>
        <v/>
      </c>
      <c r="DA1282">
        <f>IFERROR(INDEX(PP_Grid[#Data],$DE1282,102),0)</f>
        <v/>
      </c>
      <c r="DB1282">
        <f>IFERROR(INDEX(PP_Grid[#Data],$DE1282,103),0)</f>
        <v/>
      </c>
      <c r="DC1282">
        <f>IFERROR(INDEX(PP_Grid[#Data],$DE1282,104),0)</f>
        <v/>
      </c>
      <c r="DD1282">
        <f>IFERROR(INDEX(PP_Grid[#Data],$DE1282,105),0)</f>
        <v/>
      </c>
      <c r="DE1282" s="7">
        <f>IFERROR(MATCH($B1282,PP_Grid[Intermediate],0),99999)</f>
        <v/>
      </c>
    </row>
    <row r="1283">
      <c r="B1283" t="inlineStr">
        <is>
          <t>使用量(kg)</t>
        </is>
      </c>
      <c r="C1283">
        <f>SUMIFS(M_BOM[RM_Qty_Per_Batch],M_BOM[Intermediate],$B1282,M_BOM[RM_Code],$A1281)</f>
        <v/>
      </c>
      <c r="D1283">
        <f>IFERROR(INDEX(E1283:DD1283,$F$1),"")</f>
        <v/>
      </c>
      <c r="E1283">
        <f>$C1283*E1282</f>
        <v/>
      </c>
      <c r="F1283">
        <f>$C1283*F1282</f>
        <v/>
      </c>
      <c r="G1283">
        <f>$C1283*G1282</f>
        <v/>
      </c>
      <c r="H1283">
        <f>$C1283*H1282</f>
        <v/>
      </c>
      <c r="I1283">
        <f>$C1283*I1282</f>
        <v/>
      </c>
      <c r="J1283">
        <f>$C1283*J1282</f>
        <v/>
      </c>
      <c r="K1283">
        <f>$C1283*K1282</f>
        <v/>
      </c>
      <c r="L1283">
        <f>$C1283*L1282</f>
        <v/>
      </c>
      <c r="M1283">
        <f>$C1283*M1282</f>
        <v/>
      </c>
      <c r="N1283">
        <f>$C1283*N1282</f>
        <v/>
      </c>
      <c r="O1283">
        <f>$C1283*O1282</f>
        <v/>
      </c>
      <c r="P1283">
        <f>$C1283*P1282</f>
        <v/>
      </c>
      <c r="Q1283">
        <f>$C1283*Q1282</f>
        <v/>
      </c>
      <c r="R1283">
        <f>$C1283*R1282</f>
        <v/>
      </c>
      <c r="S1283">
        <f>$C1283*S1282</f>
        <v/>
      </c>
      <c r="T1283">
        <f>$C1283*T1282</f>
        <v/>
      </c>
      <c r="U1283">
        <f>$C1283*U1282</f>
        <v/>
      </c>
      <c r="V1283">
        <f>$C1283*V1282</f>
        <v/>
      </c>
      <c r="W1283">
        <f>$C1283*W1282</f>
        <v/>
      </c>
      <c r="X1283">
        <f>$C1283*X1282</f>
        <v/>
      </c>
      <c r="Y1283">
        <f>$C1283*Y1282</f>
        <v/>
      </c>
      <c r="Z1283">
        <f>$C1283*Z1282</f>
        <v/>
      </c>
      <c r="AA1283">
        <f>$C1283*AA1282</f>
        <v/>
      </c>
      <c r="AB1283">
        <f>$C1283*AB1282</f>
        <v/>
      </c>
      <c r="AC1283">
        <f>$C1283*AC1282</f>
        <v/>
      </c>
      <c r="AD1283">
        <f>$C1283*AD1282</f>
        <v/>
      </c>
      <c r="AE1283">
        <f>$C1283*AE1282</f>
        <v/>
      </c>
      <c r="AF1283">
        <f>$C1283*AF1282</f>
        <v/>
      </c>
      <c r="AG1283">
        <f>$C1283*AG1282</f>
        <v/>
      </c>
      <c r="AH1283">
        <f>$C1283*AH1282</f>
        <v/>
      </c>
      <c r="AI1283">
        <f>$C1283*AI1282</f>
        <v/>
      </c>
      <c r="AJ1283">
        <f>$C1283*AJ1282</f>
        <v/>
      </c>
      <c r="AK1283">
        <f>$C1283*AK1282</f>
        <v/>
      </c>
      <c r="AL1283">
        <f>$C1283*AL1282</f>
        <v/>
      </c>
      <c r="AM1283">
        <f>$C1283*AM1282</f>
        <v/>
      </c>
      <c r="AN1283">
        <f>$C1283*AN1282</f>
        <v/>
      </c>
      <c r="AO1283">
        <f>$C1283*AO1282</f>
        <v/>
      </c>
      <c r="AP1283">
        <f>$C1283*AP1282</f>
        <v/>
      </c>
      <c r="AQ1283">
        <f>$C1283*AQ1282</f>
        <v/>
      </c>
      <c r="AR1283">
        <f>$C1283*AR1282</f>
        <v/>
      </c>
      <c r="AS1283">
        <f>$C1283*AS1282</f>
        <v/>
      </c>
      <c r="AT1283">
        <f>$C1283*AT1282</f>
        <v/>
      </c>
      <c r="AU1283">
        <f>$C1283*AU1282</f>
        <v/>
      </c>
      <c r="AV1283">
        <f>$C1283*AV1282</f>
        <v/>
      </c>
      <c r="AW1283">
        <f>$C1283*AW1282</f>
        <v/>
      </c>
      <c r="AX1283">
        <f>$C1283*AX1282</f>
        <v/>
      </c>
      <c r="AY1283">
        <f>$C1283*AY1282</f>
        <v/>
      </c>
      <c r="AZ1283">
        <f>$C1283*AZ1282</f>
        <v/>
      </c>
      <c r="BA1283">
        <f>$C1283*BA1282</f>
        <v/>
      </c>
      <c r="BB1283">
        <f>$C1283*BB1282</f>
        <v/>
      </c>
      <c r="BC1283">
        <f>$C1283*BC1282</f>
        <v/>
      </c>
      <c r="BD1283">
        <f>$C1283*BD1282</f>
        <v/>
      </c>
      <c r="BE1283">
        <f>$C1283*BE1282</f>
        <v/>
      </c>
      <c r="BF1283">
        <f>$C1283*BF1282</f>
        <v/>
      </c>
      <c r="BG1283">
        <f>$C1283*BG1282</f>
        <v/>
      </c>
      <c r="BH1283">
        <f>$C1283*BH1282</f>
        <v/>
      </c>
      <c r="BI1283">
        <f>$C1283*BI1282</f>
        <v/>
      </c>
      <c r="BJ1283">
        <f>$C1283*BJ1282</f>
        <v/>
      </c>
      <c r="BK1283">
        <f>$C1283*BK1282</f>
        <v/>
      </c>
      <c r="BL1283">
        <f>$C1283*BL1282</f>
        <v/>
      </c>
      <c r="BM1283">
        <f>$C1283*BM1282</f>
        <v/>
      </c>
      <c r="BN1283">
        <f>$C1283*BN1282</f>
        <v/>
      </c>
      <c r="BO1283">
        <f>$C1283*BO1282</f>
        <v/>
      </c>
      <c r="BP1283">
        <f>$C1283*BP1282</f>
        <v/>
      </c>
      <c r="BQ1283">
        <f>$C1283*BQ1282</f>
        <v/>
      </c>
      <c r="BR1283">
        <f>$C1283*BR1282</f>
        <v/>
      </c>
      <c r="BS1283">
        <f>$C1283*BS1282</f>
        <v/>
      </c>
      <c r="BT1283">
        <f>$C1283*BT1282</f>
        <v/>
      </c>
      <c r="BU1283">
        <f>$C1283*BU1282</f>
        <v/>
      </c>
      <c r="BV1283">
        <f>$C1283*BV1282</f>
        <v/>
      </c>
      <c r="BW1283">
        <f>$C1283*BW1282</f>
        <v/>
      </c>
      <c r="BX1283">
        <f>$C1283*BX1282</f>
        <v/>
      </c>
      <c r="BY1283">
        <f>$C1283*BY1282</f>
        <v/>
      </c>
      <c r="BZ1283">
        <f>$C1283*BZ1282</f>
        <v/>
      </c>
      <c r="CA1283">
        <f>$C1283*CA1282</f>
        <v/>
      </c>
      <c r="CB1283">
        <f>$C1283*CB1282</f>
        <v/>
      </c>
      <c r="CC1283">
        <f>$C1283*CC1282</f>
        <v/>
      </c>
      <c r="CD1283">
        <f>$C1283*CD1282</f>
        <v/>
      </c>
      <c r="CE1283">
        <f>$C1283*CE1282</f>
        <v/>
      </c>
      <c r="CF1283">
        <f>$C1283*CF1282</f>
        <v/>
      </c>
      <c r="CG1283">
        <f>$C1283*CG1282</f>
        <v/>
      </c>
      <c r="CH1283">
        <f>$C1283*CH1282</f>
        <v/>
      </c>
      <c r="CI1283">
        <f>$C1283*CI1282</f>
        <v/>
      </c>
      <c r="CJ1283">
        <f>$C1283*CJ1282</f>
        <v/>
      </c>
      <c r="CK1283">
        <f>$C1283*CK1282</f>
        <v/>
      </c>
      <c r="CL1283">
        <f>$C1283*CL1282</f>
        <v/>
      </c>
      <c r="CM1283">
        <f>$C1283*CM1282</f>
        <v/>
      </c>
      <c r="CN1283">
        <f>$C1283*CN1282</f>
        <v/>
      </c>
      <c r="CO1283">
        <f>$C1283*CO1282</f>
        <v/>
      </c>
      <c r="CP1283">
        <f>$C1283*CP1282</f>
        <v/>
      </c>
      <c r="CQ1283">
        <f>$C1283*CQ1282</f>
        <v/>
      </c>
      <c r="CR1283">
        <f>$C1283*CR1282</f>
        <v/>
      </c>
      <c r="CS1283">
        <f>$C1283*CS1282</f>
        <v/>
      </c>
      <c r="CT1283">
        <f>$C1283*CT1282</f>
        <v/>
      </c>
      <c r="CU1283">
        <f>$C1283*CU1282</f>
        <v/>
      </c>
      <c r="CV1283">
        <f>$C1283*CV1282</f>
        <v/>
      </c>
      <c r="CW1283">
        <f>$C1283*CW1282</f>
        <v/>
      </c>
      <c r="CX1283">
        <f>$C1283*CX1282</f>
        <v/>
      </c>
      <c r="CY1283">
        <f>$C1283*CY1282</f>
        <v/>
      </c>
      <c r="CZ1283">
        <f>$C1283*CZ1282</f>
        <v/>
      </c>
      <c r="DA1283">
        <f>$C1283*DA1282</f>
        <v/>
      </c>
      <c r="DB1283">
        <f>$C1283*DB1282</f>
        <v/>
      </c>
      <c r="DC1283">
        <f>$C1283*DC1282</f>
        <v/>
      </c>
      <c r="DD1283">
        <f>$C1283*DD1282</f>
        <v/>
      </c>
    </row>
    <row r="1284">
      <c r="B1284" t="inlineStr">
        <is>
          <t>TSP-623</t>
        </is>
      </c>
      <c r="C1284" t="inlineStr">
        <is>
          <t>No. of batches</t>
        </is>
      </c>
      <c r="D1284">
        <f>IFERROR(INDEX(E1284:DD1284,$F$1),"")</f>
        <v/>
      </c>
      <c r="E1284">
        <f>IFERROR(INDEX(PP_Grid[#Data],$DE1284,2),0)</f>
        <v/>
      </c>
      <c r="F1284">
        <f>IFERROR(INDEX(PP_Grid[#Data],$DE1284,3),0)</f>
        <v/>
      </c>
      <c r="G1284">
        <f>IFERROR(INDEX(PP_Grid[#Data],$DE1284,4),0)</f>
        <v/>
      </c>
      <c r="H1284">
        <f>IFERROR(INDEX(PP_Grid[#Data],$DE1284,5),0)</f>
        <v/>
      </c>
      <c r="I1284">
        <f>IFERROR(INDEX(PP_Grid[#Data],$DE1284,6),0)</f>
        <v/>
      </c>
      <c r="J1284">
        <f>IFERROR(INDEX(PP_Grid[#Data],$DE1284,7),0)</f>
        <v/>
      </c>
      <c r="K1284">
        <f>IFERROR(INDEX(PP_Grid[#Data],$DE1284,8),0)</f>
        <v/>
      </c>
      <c r="L1284">
        <f>IFERROR(INDEX(PP_Grid[#Data],$DE1284,9),0)</f>
        <v/>
      </c>
      <c r="M1284">
        <f>IFERROR(INDEX(PP_Grid[#Data],$DE1284,10),0)</f>
        <v/>
      </c>
      <c r="N1284">
        <f>IFERROR(INDEX(PP_Grid[#Data],$DE1284,11),0)</f>
        <v/>
      </c>
      <c r="O1284">
        <f>IFERROR(INDEX(PP_Grid[#Data],$DE1284,12),0)</f>
        <v/>
      </c>
      <c r="P1284">
        <f>IFERROR(INDEX(PP_Grid[#Data],$DE1284,13),0)</f>
        <v/>
      </c>
      <c r="Q1284">
        <f>IFERROR(INDEX(PP_Grid[#Data],$DE1284,14),0)</f>
        <v/>
      </c>
      <c r="R1284">
        <f>IFERROR(INDEX(PP_Grid[#Data],$DE1284,15),0)</f>
        <v/>
      </c>
      <c r="S1284">
        <f>IFERROR(INDEX(PP_Grid[#Data],$DE1284,16),0)</f>
        <v/>
      </c>
      <c r="T1284">
        <f>IFERROR(INDEX(PP_Grid[#Data],$DE1284,17),0)</f>
        <v/>
      </c>
      <c r="U1284">
        <f>IFERROR(INDEX(PP_Grid[#Data],$DE1284,18),0)</f>
        <v/>
      </c>
      <c r="V1284">
        <f>IFERROR(INDEX(PP_Grid[#Data],$DE1284,19),0)</f>
        <v/>
      </c>
      <c r="W1284">
        <f>IFERROR(INDEX(PP_Grid[#Data],$DE1284,20),0)</f>
        <v/>
      </c>
      <c r="X1284">
        <f>IFERROR(INDEX(PP_Grid[#Data],$DE1284,21),0)</f>
        <v/>
      </c>
      <c r="Y1284">
        <f>IFERROR(INDEX(PP_Grid[#Data],$DE1284,22),0)</f>
        <v/>
      </c>
      <c r="Z1284">
        <f>IFERROR(INDEX(PP_Grid[#Data],$DE1284,23),0)</f>
        <v/>
      </c>
      <c r="AA1284">
        <f>IFERROR(INDEX(PP_Grid[#Data],$DE1284,24),0)</f>
        <v/>
      </c>
      <c r="AB1284">
        <f>IFERROR(INDEX(PP_Grid[#Data],$DE1284,25),0)</f>
        <v/>
      </c>
      <c r="AC1284">
        <f>IFERROR(INDEX(PP_Grid[#Data],$DE1284,26),0)</f>
        <v/>
      </c>
      <c r="AD1284">
        <f>IFERROR(INDEX(PP_Grid[#Data],$DE1284,27),0)</f>
        <v/>
      </c>
      <c r="AE1284">
        <f>IFERROR(INDEX(PP_Grid[#Data],$DE1284,28),0)</f>
        <v/>
      </c>
      <c r="AF1284">
        <f>IFERROR(INDEX(PP_Grid[#Data],$DE1284,29),0)</f>
        <v/>
      </c>
      <c r="AG1284">
        <f>IFERROR(INDEX(PP_Grid[#Data],$DE1284,30),0)</f>
        <v/>
      </c>
      <c r="AH1284">
        <f>IFERROR(INDEX(PP_Grid[#Data],$DE1284,31),0)</f>
        <v/>
      </c>
      <c r="AI1284">
        <f>IFERROR(INDEX(PP_Grid[#Data],$DE1284,32),0)</f>
        <v/>
      </c>
      <c r="AJ1284">
        <f>IFERROR(INDEX(PP_Grid[#Data],$DE1284,33),0)</f>
        <v/>
      </c>
      <c r="AK1284">
        <f>IFERROR(INDEX(PP_Grid[#Data],$DE1284,34),0)</f>
        <v/>
      </c>
      <c r="AL1284">
        <f>IFERROR(INDEX(PP_Grid[#Data],$DE1284,35),0)</f>
        <v/>
      </c>
      <c r="AM1284">
        <f>IFERROR(INDEX(PP_Grid[#Data],$DE1284,36),0)</f>
        <v/>
      </c>
      <c r="AN1284">
        <f>IFERROR(INDEX(PP_Grid[#Data],$DE1284,37),0)</f>
        <v/>
      </c>
      <c r="AO1284">
        <f>IFERROR(INDEX(PP_Grid[#Data],$DE1284,38),0)</f>
        <v/>
      </c>
      <c r="AP1284">
        <f>IFERROR(INDEX(PP_Grid[#Data],$DE1284,39),0)</f>
        <v/>
      </c>
      <c r="AQ1284">
        <f>IFERROR(INDEX(PP_Grid[#Data],$DE1284,40),0)</f>
        <v/>
      </c>
      <c r="AR1284">
        <f>IFERROR(INDEX(PP_Grid[#Data],$DE1284,41),0)</f>
        <v/>
      </c>
      <c r="AS1284">
        <f>IFERROR(INDEX(PP_Grid[#Data],$DE1284,42),0)</f>
        <v/>
      </c>
      <c r="AT1284">
        <f>IFERROR(INDEX(PP_Grid[#Data],$DE1284,43),0)</f>
        <v/>
      </c>
      <c r="AU1284">
        <f>IFERROR(INDEX(PP_Grid[#Data],$DE1284,44),0)</f>
        <v/>
      </c>
      <c r="AV1284">
        <f>IFERROR(INDEX(PP_Grid[#Data],$DE1284,45),0)</f>
        <v/>
      </c>
      <c r="AW1284">
        <f>IFERROR(INDEX(PP_Grid[#Data],$DE1284,46),0)</f>
        <v/>
      </c>
      <c r="AX1284">
        <f>IFERROR(INDEX(PP_Grid[#Data],$DE1284,47),0)</f>
        <v/>
      </c>
      <c r="AY1284">
        <f>IFERROR(INDEX(PP_Grid[#Data],$DE1284,48),0)</f>
        <v/>
      </c>
      <c r="AZ1284">
        <f>IFERROR(INDEX(PP_Grid[#Data],$DE1284,49),0)</f>
        <v/>
      </c>
      <c r="BA1284">
        <f>IFERROR(INDEX(PP_Grid[#Data],$DE1284,50),0)</f>
        <v/>
      </c>
      <c r="BB1284">
        <f>IFERROR(INDEX(PP_Grid[#Data],$DE1284,51),0)</f>
        <v/>
      </c>
      <c r="BC1284">
        <f>IFERROR(INDEX(PP_Grid[#Data],$DE1284,52),0)</f>
        <v/>
      </c>
      <c r="BD1284">
        <f>IFERROR(INDEX(PP_Grid[#Data],$DE1284,53),0)</f>
        <v/>
      </c>
      <c r="BE1284">
        <f>IFERROR(INDEX(PP_Grid[#Data],$DE1284,54),0)</f>
        <v/>
      </c>
      <c r="BF1284">
        <f>IFERROR(INDEX(PP_Grid[#Data],$DE1284,55),0)</f>
        <v/>
      </c>
      <c r="BG1284">
        <f>IFERROR(INDEX(PP_Grid[#Data],$DE1284,56),0)</f>
        <v/>
      </c>
      <c r="BH1284">
        <f>IFERROR(INDEX(PP_Grid[#Data],$DE1284,57),0)</f>
        <v/>
      </c>
      <c r="BI1284">
        <f>IFERROR(INDEX(PP_Grid[#Data],$DE1284,58),0)</f>
        <v/>
      </c>
      <c r="BJ1284">
        <f>IFERROR(INDEX(PP_Grid[#Data],$DE1284,59),0)</f>
        <v/>
      </c>
      <c r="BK1284">
        <f>IFERROR(INDEX(PP_Grid[#Data],$DE1284,60),0)</f>
        <v/>
      </c>
      <c r="BL1284">
        <f>IFERROR(INDEX(PP_Grid[#Data],$DE1284,61),0)</f>
        <v/>
      </c>
      <c r="BM1284">
        <f>IFERROR(INDEX(PP_Grid[#Data],$DE1284,62),0)</f>
        <v/>
      </c>
      <c r="BN1284">
        <f>IFERROR(INDEX(PP_Grid[#Data],$DE1284,63),0)</f>
        <v/>
      </c>
      <c r="BO1284">
        <f>IFERROR(INDEX(PP_Grid[#Data],$DE1284,64),0)</f>
        <v/>
      </c>
      <c r="BP1284">
        <f>IFERROR(INDEX(PP_Grid[#Data],$DE1284,65),0)</f>
        <v/>
      </c>
      <c r="BQ1284">
        <f>IFERROR(INDEX(PP_Grid[#Data],$DE1284,66),0)</f>
        <v/>
      </c>
      <c r="BR1284">
        <f>IFERROR(INDEX(PP_Grid[#Data],$DE1284,67),0)</f>
        <v/>
      </c>
      <c r="BS1284">
        <f>IFERROR(INDEX(PP_Grid[#Data],$DE1284,68),0)</f>
        <v/>
      </c>
      <c r="BT1284">
        <f>IFERROR(INDEX(PP_Grid[#Data],$DE1284,69),0)</f>
        <v/>
      </c>
      <c r="BU1284">
        <f>IFERROR(INDEX(PP_Grid[#Data],$DE1284,70),0)</f>
        <v/>
      </c>
      <c r="BV1284">
        <f>IFERROR(INDEX(PP_Grid[#Data],$DE1284,71),0)</f>
        <v/>
      </c>
      <c r="BW1284">
        <f>IFERROR(INDEX(PP_Grid[#Data],$DE1284,72),0)</f>
        <v/>
      </c>
      <c r="BX1284">
        <f>IFERROR(INDEX(PP_Grid[#Data],$DE1284,73),0)</f>
        <v/>
      </c>
      <c r="BY1284">
        <f>IFERROR(INDEX(PP_Grid[#Data],$DE1284,74),0)</f>
        <v/>
      </c>
      <c r="BZ1284">
        <f>IFERROR(INDEX(PP_Grid[#Data],$DE1284,75),0)</f>
        <v/>
      </c>
      <c r="CA1284">
        <f>IFERROR(INDEX(PP_Grid[#Data],$DE1284,76),0)</f>
        <v/>
      </c>
      <c r="CB1284">
        <f>IFERROR(INDEX(PP_Grid[#Data],$DE1284,77),0)</f>
        <v/>
      </c>
      <c r="CC1284">
        <f>IFERROR(INDEX(PP_Grid[#Data],$DE1284,78),0)</f>
        <v/>
      </c>
      <c r="CD1284">
        <f>IFERROR(INDEX(PP_Grid[#Data],$DE1284,79),0)</f>
        <v/>
      </c>
      <c r="CE1284">
        <f>IFERROR(INDEX(PP_Grid[#Data],$DE1284,80),0)</f>
        <v/>
      </c>
      <c r="CF1284">
        <f>IFERROR(INDEX(PP_Grid[#Data],$DE1284,81),0)</f>
        <v/>
      </c>
      <c r="CG1284">
        <f>IFERROR(INDEX(PP_Grid[#Data],$DE1284,82),0)</f>
        <v/>
      </c>
      <c r="CH1284">
        <f>IFERROR(INDEX(PP_Grid[#Data],$DE1284,83),0)</f>
        <v/>
      </c>
      <c r="CI1284">
        <f>IFERROR(INDEX(PP_Grid[#Data],$DE1284,84),0)</f>
        <v/>
      </c>
      <c r="CJ1284">
        <f>IFERROR(INDEX(PP_Grid[#Data],$DE1284,85),0)</f>
        <v/>
      </c>
      <c r="CK1284">
        <f>IFERROR(INDEX(PP_Grid[#Data],$DE1284,86),0)</f>
        <v/>
      </c>
      <c r="CL1284">
        <f>IFERROR(INDEX(PP_Grid[#Data],$DE1284,87),0)</f>
        <v/>
      </c>
      <c r="CM1284">
        <f>IFERROR(INDEX(PP_Grid[#Data],$DE1284,88),0)</f>
        <v/>
      </c>
      <c r="CN1284">
        <f>IFERROR(INDEX(PP_Grid[#Data],$DE1284,89),0)</f>
        <v/>
      </c>
      <c r="CO1284">
        <f>IFERROR(INDEX(PP_Grid[#Data],$DE1284,90),0)</f>
        <v/>
      </c>
      <c r="CP1284">
        <f>IFERROR(INDEX(PP_Grid[#Data],$DE1284,91),0)</f>
        <v/>
      </c>
      <c r="CQ1284">
        <f>IFERROR(INDEX(PP_Grid[#Data],$DE1284,92),0)</f>
        <v/>
      </c>
      <c r="CR1284">
        <f>IFERROR(INDEX(PP_Grid[#Data],$DE1284,93),0)</f>
        <v/>
      </c>
      <c r="CS1284">
        <f>IFERROR(INDEX(PP_Grid[#Data],$DE1284,94),0)</f>
        <v/>
      </c>
      <c r="CT1284">
        <f>IFERROR(INDEX(PP_Grid[#Data],$DE1284,95),0)</f>
        <v/>
      </c>
      <c r="CU1284">
        <f>IFERROR(INDEX(PP_Grid[#Data],$DE1284,96),0)</f>
        <v/>
      </c>
      <c r="CV1284">
        <f>IFERROR(INDEX(PP_Grid[#Data],$DE1284,97),0)</f>
        <v/>
      </c>
      <c r="CW1284">
        <f>IFERROR(INDEX(PP_Grid[#Data],$DE1284,98),0)</f>
        <v/>
      </c>
      <c r="CX1284">
        <f>IFERROR(INDEX(PP_Grid[#Data],$DE1284,99),0)</f>
        <v/>
      </c>
      <c r="CY1284">
        <f>IFERROR(INDEX(PP_Grid[#Data],$DE1284,100),0)</f>
        <v/>
      </c>
      <c r="CZ1284">
        <f>IFERROR(INDEX(PP_Grid[#Data],$DE1284,101),0)</f>
        <v/>
      </c>
      <c r="DA1284">
        <f>IFERROR(INDEX(PP_Grid[#Data],$DE1284,102),0)</f>
        <v/>
      </c>
      <c r="DB1284">
        <f>IFERROR(INDEX(PP_Grid[#Data],$DE1284,103),0)</f>
        <v/>
      </c>
      <c r="DC1284">
        <f>IFERROR(INDEX(PP_Grid[#Data],$DE1284,104),0)</f>
        <v/>
      </c>
      <c r="DD1284">
        <f>IFERROR(INDEX(PP_Grid[#Data],$DE1284,105),0)</f>
        <v/>
      </c>
      <c r="DE1284" s="7">
        <f>IFERROR(MATCH($B1284,PP_Grid[Intermediate],0),99999)</f>
        <v/>
      </c>
    </row>
    <row r="1285">
      <c r="B1285" t="inlineStr">
        <is>
          <t>使用量(kg)</t>
        </is>
      </c>
      <c r="C1285">
        <f>SUMIFS(M_BOM[RM_Qty_Per_Batch],M_BOM[Intermediate],$B1284,M_BOM[RM_Code],$A1281)</f>
        <v/>
      </c>
      <c r="D1285">
        <f>IFERROR(INDEX(E1285:DD1285,$F$1),"")</f>
        <v/>
      </c>
      <c r="E1285">
        <f>$C1285*E1284</f>
        <v/>
      </c>
      <c r="F1285">
        <f>$C1285*F1284</f>
        <v/>
      </c>
      <c r="G1285">
        <f>$C1285*G1284</f>
        <v/>
      </c>
      <c r="H1285">
        <f>$C1285*H1284</f>
        <v/>
      </c>
      <c r="I1285">
        <f>$C1285*I1284</f>
        <v/>
      </c>
      <c r="J1285">
        <f>$C1285*J1284</f>
        <v/>
      </c>
      <c r="K1285">
        <f>$C1285*K1284</f>
        <v/>
      </c>
      <c r="L1285">
        <f>$C1285*L1284</f>
        <v/>
      </c>
      <c r="M1285">
        <f>$C1285*M1284</f>
        <v/>
      </c>
      <c r="N1285">
        <f>$C1285*N1284</f>
        <v/>
      </c>
      <c r="O1285">
        <f>$C1285*O1284</f>
        <v/>
      </c>
      <c r="P1285">
        <f>$C1285*P1284</f>
        <v/>
      </c>
      <c r="Q1285">
        <f>$C1285*Q1284</f>
        <v/>
      </c>
      <c r="R1285">
        <f>$C1285*R1284</f>
        <v/>
      </c>
      <c r="S1285">
        <f>$C1285*S1284</f>
        <v/>
      </c>
      <c r="T1285">
        <f>$C1285*T1284</f>
        <v/>
      </c>
      <c r="U1285">
        <f>$C1285*U1284</f>
        <v/>
      </c>
      <c r="V1285">
        <f>$C1285*V1284</f>
        <v/>
      </c>
      <c r="W1285">
        <f>$C1285*W1284</f>
        <v/>
      </c>
      <c r="X1285">
        <f>$C1285*X1284</f>
        <v/>
      </c>
      <c r="Y1285">
        <f>$C1285*Y1284</f>
        <v/>
      </c>
      <c r="Z1285">
        <f>$C1285*Z1284</f>
        <v/>
      </c>
      <c r="AA1285">
        <f>$C1285*AA1284</f>
        <v/>
      </c>
      <c r="AB1285">
        <f>$C1285*AB1284</f>
        <v/>
      </c>
      <c r="AC1285">
        <f>$C1285*AC1284</f>
        <v/>
      </c>
      <c r="AD1285">
        <f>$C1285*AD1284</f>
        <v/>
      </c>
      <c r="AE1285">
        <f>$C1285*AE1284</f>
        <v/>
      </c>
      <c r="AF1285">
        <f>$C1285*AF1284</f>
        <v/>
      </c>
      <c r="AG1285">
        <f>$C1285*AG1284</f>
        <v/>
      </c>
      <c r="AH1285">
        <f>$C1285*AH1284</f>
        <v/>
      </c>
      <c r="AI1285">
        <f>$C1285*AI1284</f>
        <v/>
      </c>
      <c r="AJ1285">
        <f>$C1285*AJ1284</f>
        <v/>
      </c>
      <c r="AK1285">
        <f>$C1285*AK1284</f>
        <v/>
      </c>
      <c r="AL1285">
        <f>$C1285*AL1284</f>
        <v/>
      </c>
      <c r="AM1285">
        <f>$C1285*AM1284</f>
        <v/>
      </c>
      <c r="AN1285">
        <f>$C1285*AN1284</f>
        <v/>
      </c>
      <c r="AO1285">
        <f>$C1285*AO1284</f>
        <v/>
      </c>
      <c r="AP1285">
        <f>$C1285*AP1284</f>
        <v/>
      </c>
      <c r="AQ1285">
        <f>$C1285*AQ1284</f>
        <v/>
      </c>
      <c r="AR1285">
        <f>$C1285*AR1284</f>
        <v/>
      </c>
      <c r="AS1285">
        <f>$C1285*AS1284</f>
        <v/>
      </c>
      <c r="AT1285">
        <f>$C1285*AT1284</f>
        <v/>
      </c>
      <c r="AU1285">
        <f>$C1285*AU1284</f>
        <v/>
      </c>
      <c r="AV1285">
        <f>$C1285*AV1284</f>
        <v/>
      </c>
      <c r="AW1285">
        <f>$C1285*AW1284</f>
        <v/>
      </c>
      <c r="AX1285">
        <f>$C1285*AX1284</f>
        <v/>
      </c>
      <c r="AY1285">
        <f>$C1285*AY1284</f>
        <v/>
      </c>
      <c r="AZ1285">
        <f>$C1285*AZ1284</f>
        <v/>
      </c>
      <c r="BA1285">
        <f>$C1285*BA1284</f>
        <v/>
      </c>
      <c r="BB1285">
        <f>$C1285*BB1284</f>
        <v/>
      </c>
      <c r="BC1285">
        <f>$C1285*BC1284</f>
        <v/>
      </c>
      <c r="BD1285">
        <f>$C1285*BD1284</f>
        <v/>
      </c>
      <c r="BE1285">
        <f>$C1285*BE1284</f>
        <v/>
      </c>
      <c r="BF1285">
        <f>$C1285*BF1284</f>
        <v/>
      </c>
      <c r="BG1285">
        <f>$C1285*BG1284</f>
        <v/>
      </c>
      <c r="BH1285">
        <f>$C1285*BH1284</f>
        <v/>
      </c>
      <c r="BI1285">
        <f>$C1285*BI1284</f>
        <v/>
      </c>
      <c r="BJ1285">
        <f>$C1285*BJ1284</f>
        <v/>
      </c>
      <c r="BK1285">
        <f>$C1285*BK1284</f>
        <v/>
      </c>
      <c r="BL1285">
        <f>$C1285*BL1284</f>
        <v/>
      </c>
      <c r="BM1285">
        <f>$C1285*BM1284</f>
        <v/>
      </c>
      <c r="BN1285">
        <f>$C1285*BN1284</f>
        <v/>
      </c>
      <c r="BO1285">
        <f>$C1285*BO1284</f>
        <v/>
      </c>
      <c r="BP1285">
        <f>$C1285*BP1284</f>
        <v/>
      </c>
      <c r="BQ1285">
        <f>$C1285*BQ1284</f>
        <v/>
      </c>
      <c r="BR1285">
        <f>$C1285*BR1284</f>
        <v/>
      </c>
      <c r="BS1285">
        <f>$C1285*BS1284</f>
        <v/>
      </c>
      <c r="BT1285">
        <f>$C1285*BT1284</f>
        <v/>
      </c>
      <c r="BU1285">
        <f>$C1285*BU1284</f>
        <v/>
      </c>
      <c r="BV1285">
        <f>$C1285*BV1284</f>
        <v/>
      </c>
      <c r="BW1285">
        <f>$C1285*BW1284</f>
        <v/>
      </c>
      <c r="BX1285">
        <f>$C1285*BX1284</f>
        <v/>
      </c>
      <c r="BY1285">
        <f>$C1285*BY1284</f>
        <v/>
      </c>
      <c r="BZ1285">
        <f>$C1285*BZ1284</f>
        <v/>
      </c>
      <c r="CA1285">
        <f>$C1285*CA1284</f>
        <v/>
      </c>
      <c r="CB1285">
        <f>$C1285*CB1284</f>
        <v/>
      </c>
      <c r="CC1285">
        <f>$C1285*CC1284</f>
        <v/>
      </c>
      <c r="CD1285">
        <f>$C1285*CD1284</f>
        <v/>
      </c>
      <c r="CE1285">
        <f>$C1285*CE1284</f>
        <v/>
      </c>
      <c r="CF1285">
        <f>$C1285*CF1284</f>
        <v/>
      </c>
      <c r="CG1285">
        <f>$C1285*CG1284</f>
        <v/>
      </c>
      <c r="CH1285">
        <f>$C1285*CH1284</f>
        <v/>
      </c>
      <c r="CI1285">
        <f>$C1285*CI1284</f>
        <v/>
      </c>
      <c r="CJ1285">
        <f>$C1285*CJ1284</f>
        <v/>
      </c>
      <c r="CK1285">
        <f>$C1285*CK1284</f>
        <v/>
      </c>
      <c r="CL1285">
        <f>$C1285*CL1284</f>
        <v/>
      </c>
      <c r="CM1285">
        <f>$C1285*CM1284</f>
        <v/>
      </c>
      <c r="CN1285">
        <f>$C1285*CN1284</f>
        <v/>
      </c>
      <c r="CO1285">
        <f>$C1285*CO1284</f>
        <v/>
      </c>
      <c r="CP1285">
        <f>$C1285*CP1284</f>
        <v/>
      </c>
      <c r="CQ1285">
        <f>$C1285*CQ1284</f>
        <v/>
      </c>
      <c r="CR1285">
        <f>$C1285*CR1284</f>
        <v/>
      </c>
      <c r="CS1285">
        <f>$C1285*CS1284</f>
        <v/>
      </c>
      <c r="CT1285">
        <f>$C1285*CT1284</f>
        <v/>
      </c>
      <c r="CU1285">
        <f>$C1285*CU1284</f>
        <v/>
      </c>
      <c r="CV1285">
        <f>$C1285*CV1284</f>
        <v/>
      </c>
      <c r="CW1285">
        <f>$C1285*CW1284</f>
        <v/>
      </c>
      <c r="CX1285">
        <f>$C1285*CX1284</f>
        <v/>
      </c>
      <c r="CY1285">
        <f>$C1285*CY1284</f>
        <v/>
      </c>
      <c r="CZ1285">
        <f>$C1285*CZ1284</f>
        <v/>
      </c>
      <c r="DA1285">
        <f>$C1285*DA1284</f>
        <v/>
      </c>
      <c r="DB1285">
        <f>$C1285*DB1284</f>
        <v/>
      </c>
      <c r="DC1285">
        <f>$C1285*DC1284</f>
        <v/>
      </c>
      <c r="DD1285">
        <f>$C1285*DD1284</f>
        <v/>
      </c>
    </row>
    <row r="1286">
      <c r="B1286" t="inlineStr">
        <is>
          <t>TSP-934</t>
        </is>
      </c>
      <c r="C1286" t="inlineStr">
        <is>
          <t>No. of batches</t>
        </is>
      </c>
      <c r="D1286">
        <f>IFERROR(INDEX(E1286:DD1286,$F$1),"")</f>
        <v/>
      </c>
      <c r="E1286">
        <f>IFERROR(INDEX(PP_Grid[#Data],$DE1286,2),0)</f>
        <v/>
      </c>
      <c r="F1286">
        <f>IFERROR(INDEX(PP_Grid[#Data],$DE1286,3),0)</f>
        <v/>
      </c>
      <c r="G1286">
        <f>IFERROR(INDEX(PP_Grid[#Data],$DE1286,4),0)</f>
        <v/>
      </c>
      <c r="H1286">
        <f>IFERROR(INDEX(PP_Grid[#Data],$DE1286,5),0)</f>
        <v/>
      </c>
      <c r="I1286">
        <f>IFERROR(INDEX(PP_Grid[#Data],$DE1286,6),0)</f>
        <v/>
      </c>
      <c r="J1286">
        <f>IFERROR(INDEX(PP_Grid[#Data],$DE1286,7),0)</f>
        <v/>
      </c>
      <c r="K1286">
        <f>IFERROR(INDEX(PP_Grid[#Data],$DE1286,8),0)</f>
        <v/>
      </c>
      <c r="L1286">
        <f>IFERROR(INDEX(PP_Grid[#Data],$DE1286,9),0)</f>
        <v/>
      </c>
      <c r="M1286">
        <f>IFERROR(INDEX(PP_Grid[#Data],$DE1286,10),0)</f>
        <v/>
      </c>
      <c r="N1286">
        <f>IFERROR(INDEX(PP_Grid[#Data],$DE1286,11),0)</f>
        <v/>
      </c>
      <c r="O1286">
        <f>IFERROR(INDEX(PP_Grid[#Data],$DE1286,12),0)</f>
        <v/>
      </c>
      <c r="P1286">
        <f>IFERROR(INDEX(PP_Grid[#Data],$DE1286,13),0)</f>
        <v/>
      </c>
      <c r="Q1286">
        <f>IFERROR(INDEX(PP_Grid[#Data],$DE1286,14),0)</f>
        <v/>
      </c>
      <c r="R1286">
        <f>IFERROR(INDEX(PP_Grid[#Data],$DE1286,15),0)</f>
        <v/>
      </c>
      <c r="S1286">
        <f>IFERROR(INDEX(PP_Grid[#Data],$DE1286,16),0)</f>
        <v/>
      </c>
      <c r="T1286">
        <f>IFERROR(INDEX(PP_Grid[#Data],$DE1286,17),0)</f>
        <v/>
      </c>
      <c r="U1286">
        <f>IFERROR(INDEX(PP_Grid[#Data],$DE1286,18),0)</f>
        <v/>
      </c>
      <c r="V1286">
        <f>IFERROR(INDEX(PP_Grid[#Data],$DE1286,19),0)</f>
        <v/>
      </c>
      <c r="W1286">
        <f>IFERROR(INDEX(PP_Grid[#Data],$DE1286,20),0)</f>
        <v/>
      </c>
      <c r="X1286">
        <f>IFERROR(INDEX(PP_Grid[#Data],$DE1286,21),0)</f>
        <v/>
      </c>
      <c r="Y1286">
        <f>IFERROR(INDEX(PP_Grid[#Data],$DE1286,22),0)</f>
        <v/>
      </c>
      <c r="Z1286">
        <f>IFERROR(INDEX(PP_Grid[#Data],$DE1286,23),0)</f>
        <v/>
      </c>
      <c r="AA1286">
        <f>IFERROR(INDEX(PP_Grid[#Data],$DE1286,24),0)</f>
        <v/>
      </c>
      <c r="AB1286">
        <f>IFERROR(INDEX(PP_Grid[#Data],$DE1286,25),0)</f>
        <v/>
      </c>
      <c r="AC1286">
        <f>IFERROR(INDEX(PP_Grid[#Data],$DE1286,26),0)</f>
        <v/>
      </c>
      <c r="AD1286">
        <f>IFERROR(INDEX(PP_Grid[#Data],$DE1286,27),0)</f>
        <v/>
      </c>
      <c r="AE1286">
        <f>IFERROR(INDEX(PP_Grid[#Data],$DE1286,28),0)</f>
        <v/>
      </c>
      <c r="AF1286">
        <f>IFERROR(INDEX(PP_Grid[#Data],$DE1286,29),0)</f>
        <v/>
      </c>
      <c r="AG1286">
        <f>IFERROR(INDEX(PP_Grid[#Data],$DE1286,30),0)</f>
        <v/>
      </c>
      <c r="AH1286">
        <f>IFERROR(INDEX(PP_Grid[#Data],$DE1286,31),0)</f>
        <v/>
      </c>
      <c r="AI1286">
        <f>IFERROR(INDEX(PP_Grid[#Data],$DE1286,32),0)</f>
        <v/>
      </c>
      <c r="AJ1286">
        <f>IFERROR(INDEX(PP_Grid[#Data],$DE1286,33),0)</f>
        <v/>
      </c>
      <c r="AK1286">
        <f>IFERROR(INDEX(PP_Grid[#Data],$DE1286,34),0)</f>
        <v/>
      </c>
      <c r="AL1286">
        <f>IFERROR(INDEX(PP_Grid[#Data],$DE1286,35),0)</f>
        <v/>
      </c>
      <c r="AM1286">
        <f>IFERROR(INDEX(PP_Grid[#Data],$DE1286,36),0)</f>
        <v/>
      </c>
      <c r="AN1286">
        <f>IFERROR(INDEX(PP_Grid[#Data],$DE1286,37),0)</f>
        <v/>
      </c>
      <c r="AO1286">
        <f>IFERROR(INDEX(PP_Grid[#Data],$DE1286,38),0)</f>
        <v/>
      </c>
      <c r="AP1286">
        <f>IFERROR(INDEX(PP_Grid[#Data],$DE1286,39),0)</f>
        <v/>
      </c>
      <c r="AQ1286">
        <f>IFERROR(INDEX(PP_Grid[#Data],$DE1286,40),0)</f>
        <v/>
      </c>
      <c r="AR1286">
        <f>IFERROR(INDEX(PP_Grid[#Data],$DE1286,41),0)</f>
        <v/>
      </c>
      <c r="AS1286">
        <f>IFERROR(INDEX(PP_Grid[#Data],$DE1286,42),0)</f>
        <v/>
      </c>
      <c r="AT1286">
        <f>IFERROR(INDEX(PP_Grid[#Data],$DE1286,43),0)</f>
        <v/>
      </c>
      <c r="AU1286">
        <f>IFERROR(INDEX(PP_Grid[#Data],$DE1286,44),0)</f>
        <v/>
      </c>
      <c r="AV1286">
        <f>IFERROR(INDEX(PP_Grid[#Data],$DE1286,45),0)</f>
        <v/>
      </c>
      <c r="AW1286">
        <f>IFERROR(INDEX(PP_Grid[#Data],$DE1286,46),0)</f>
        <v/>
      </c>
      <c r="AX1286">
        <f>IFERROR(INDEX(PP_Grid[#Data],$DE1286,47),0)</f>
        <v/>
      </c>
      <c r="AY1286">
        <f>IFERROR(INDEX(PP_Grid[#Data],$DE1286,48),0)</f>
        <v/>
      </c>
      <c r="AZ1286">
        <f>IFERROR(INDEX(PP_Grid[#Data],$DE1286,49),0)</f>
        <v/>
      </c>
      <c r="BA1286">
        <f>IFERROR(INDEX(PP_Grid[#Data],$DE1286,50),0)</f>
        <v/>
      </c>
      <c r="BB1286">
        <f>IFERROR(INDEX(PP_Grid[#Data],$DE1286,51),0)</f>
        <v/>
      </c>
      <c r="BC1286">
        <f>IFERROR(INDEX(PP_Grid[#Data],$DE1286,52),0)</f>
        <v/>
      </c>
      <c r="BD1286">
        <f>IFERROR(INDEX(PP_Grid[#Data],$DE1286,53),0)</f>
        <v/>
      </c>
      <c r="BE1286">
        <f>IFERROR(INDEX(PP_Grid[#Data],$DE1286,54),0)</f>
        <v/>
      </c>
      <c r="BF1286">
        <f>IFERROR(INDEX(PP_Grid[#Data],$DE1286,55),0)</f>
        <v/>
      </c>
      <c r="BG1286">
        <f>IFERROR(INDEX(PP_Grid[#Data],$DE1286,56),0)</f>
        <v/>
      </c>
      <c r="BH1286">
        <f>IFERROR(INDEX(PP_Grid[#Data],$DE1286,57),0)</f>
        <v/>
      </c>
      <c r="BI1286">
        <f>IFERROR(INDEX(PP_Grid[#Data],$DE1286,58),0)</f>
        <v/>
      </c>
      <c r="BJ1286">
        <f>IFERROR(INDEX(PP_Grid[#Data],$DE1286,59),0)</f>
        <v/>
      </c>
      <c r="BK1286">
        <f>IFERROR(INDEX(PP_Grid[#Data],$DE1286,60),0)</f>
        <v/>
      </c>
      <c r="BL1286">
        <f>IFERROR(INDEX(PP_Grid[#Data],$DE1286,61),0)</f>
        <v/>
      </c>
      <c r="BM1286">
        <f>IFERROR(INDEX(PP_Grid[#Data],$DE1286,62),0)</f>
        <v/>
      </c>
      <c r="BN1286">
        <f>IFERROR(INDEX(PP_Grid[#Data],$DE1286,63),0)</f>
        <v/>
      </c>
      <c r="BO1286">
        <f>IFERROR(INDEX(PP_Grid[#Data],$DE1286,64),0)</f>
        <v/>
      </c>
      <c r="BP1286">
        <f>IFERROR(INDEX(PP_Grid[#Data],$DE1286,65),0)</f>
        <v/>
      </c>
      <c r="BQ1286">
        <f>IFERROR(INDEX(PP_Grid[#Data],$DE1286,66),0)</f>
        <v/>
      </c>
      <c r="BR1286">
        <f>IFERROR(INDEX(PP_Grid[#Data],$DE1286,67),0)</f>
        <v/>
      </c>
      <c r="BS1286">
        <f>IFERROR(INDEX(PP_Grid[#Data],$DE1286,68),0)</f>
        <v/>
      </c>
      <c r="BT1286">
        <f>IFERROR(INDEX(PP_Grid[#Data],$DE1286,69),0)</f>
        <v/>
      </c>
      <c r="BU1286">
        <f>IFERROR(INDEX(PP_Grid[#Data],$DE1286,70),0)</f>
        <v/>
      </c>
      <c r="BV1286">
        <f>IFERROR(INDEX(PP_Grid[#Data],$DE1286,71),0)</f>
        <v/>
      </c>
      <c r="BW1286">
        <f>IFERROR(INDEX(PP_Grid[#Data],$DE1286,72),0)</f>
        <v/>
      </c>
      <c r="BX1286">
        <f>IFERROR(INDEX(PP_Grid[#Data],$DE1286,73),0)</f>
        <v/>
      </c>
      <c r="BY1286">
        <f>IFERROR(INDEX(PP_Grid[#Data],$DE1286,74),0)</f>
        <v/>
      </c>
      <c r="BZ1286">
        <f>IFERROR(INDEX(PP_Grid[#Data],$DE1286,75),0)</f>
        <v/>
      </c>
      <c r="CA1286">
        <f>IFERROR(INDEX(PP_Grid[#Data],$DE1286,76),0)</f>
        <v/>
      </c>
      <c r="CB1286">
        <f>IFERROR(INDEX(PP_Grid[#Data],$DE1286,77),0)</f>
        <v/>
      </c>
      <c r="CC1286">
        <f>IFERROR(INDEX(PP_Grid[#Data],$DE1286,78),0)</f>
        <v/>
      </c>
      <c r="CD1286">
        <f>IFERROR(INDEX(PP_Grid[#Data],$DE1286,79),0)</f>
        <v/>
      </c>
      <c r="CE1286">
        <f>IFERROR(INDEX(PP_Grid[#Data],$DE1286,80),0)</f>
        <v/>
      </c>
      <c r="CF1286">
        <f>IFERROR(INDEX(PP_Grid[#Data],$DE1286,81),0)</f>
        <v/>
      </c>
      <c r="CG1286">
        <f>IFERROR(INDEX(PP_Grid[#Data],$DE1286,82),0)</f>
        <v/>
      </c>
      <c r="CH1286">
        <f>IFERROR(INDEX(PP_Grid[#Data],$DE1286,83),0)</f>
        <v/>
      </c>
      <c r="CI1286">
        <f>IFERROR(INDEX(PP_Grid[#Data],$DE1286,84),0)</f>
        <v/>
      </c>
      <c r="CJ1286">
        <f>IFERROR(INDEX(PP_Grid[#Data],$DE1286,85),0)</f>
        <v/>
      </c>
      <c r="CK1286">
        <f>IFERROR(INDEX(PP_Grid[#Data],$DE1286,86),0)</f>
        <v/>
      </c>
      <c r="CL1286">
        <f>IFERROR(INDEX(PP_Grid[#Data],$DE1286,87),0)</f>
        <v/>
      </c>
      <c r="CM1286">
        <f>IFERROR(INDEX(PP_Grid[#Data],$DE1286,88),0)</f>
        <v/>
      </c>
      <c r="CN1286">
        <f>IFERROR(INDEX(PP_Grid[#Data],$DE1286,89),0)</f>
        <v/>
      </c>
      <c r="CO1286">
        <f>IFERROR(INDEX(PP_Grid[#Data],$DE1286,90),0)</f>
        <v/>
      </c>
      <c r="CP1286">
        <f>IFERROR(INDEX(PP_Grid[#Data],$DE1286,91),0)</f>
        <v/>
      </c>
      <c r="CQ1286">
        <f>IFERROR(INDEX(PP_Grid[#Data],$DE1286,92),0)</f>
        <v/>
      </c>
      <c r="CR1286">
        <f>IFERROR(INDEX(PP_Grid[#Data],$DE1286,93),0)</f>
        <v/>
      </c>
      <c r="CS1286">
        <f>IFERROR(INDEX(PP_Grid[#Data],$DE1286,94),0)</f>
        <v/>
      </c>
      <c r="CT1286">
        <f>IFERROR(INDEX(PP_Grid[#Data],$DE1286,95),0)</f>
        <v/>
      </c>
      <c r="CU1286">
        <f>IFERROR(INDEX(PP_Grid[#Data],$DE1286,96),0)</f>
        <v/>
      </c>
      <c r="CV1286">
        <f>IFERROR(INDEX(PP_Grid[#Data],$DE1286,97),0)</f>
        <v/>
      </c>
      <c r="CW1286">
        <f>IFERROR(INDEX(PP_Grid[#Data],$DE1286,98),0)</f>
        <v/>
      </c>
      <c r="CX1286">
        <f>IFERROR(INDEX(PP_Grid[#Data],$DE1286,99),0)</f>
        <v/>
      </c>
      <c r="CY1286">
        <f>IFERROR(INDEX(PP_Grid[#Data],$DE1286,100),0)</f>
        <v/>
      </c>
      <c r="CZ1286">
        <f>IFERROR(INDEX(PP_Grid[#Data],$DE1286,101),0)</f>
        <v/>
      </c>
      <c r="DA1286">
        <f>IFERROR(INDEX(PP_Grid[#Data],$DE1286,102),0)</f>
        <v/>
      </c>
      <c r="DB1286">
        <f>IFERROR(INDEX(PP_Grid[#Data],$DE1286,103),0)</f>
        <v/>
      </c>
      <c r="DC1286">
        <f>IFERROR(INDEX(PP_Grid[#Data],$DE1286,104),0)</f>
        <v/>
      </c>
      <c r="DD1286">
        <f>IFERROR(INDEX(PP_Grid[#Data],$DE1286,105),0)</f>
        <v/>
      </c>
      <c r="DE1286" s="7">
        <f>IFERROR(MATCH($B1286,PP_Grid[Intermediate],0),99999)</f>
        <v/>
      </c>
    </row>
    <row r="1287">
      <c r="B1287" t="inlineStr">
        <is>
          <t>使用量(kg)</t>
        </is>
      </c>
      <c r="C1287">
        <f>SUMIFS(M_BOM[RM_Qty_Per_Batch],M_BOM[Intermediate],$B1286,M_BOM[RM_Code],$A1281)</f>
        <v/>
      </c>
      <c r="D1287">
        <f>IFERROR(INDEX(E1287:DD1287,$F$1),"")</f>
        <v/>
      </c>
      <c r="E1287">
        <f>$C1287*E1286</f>
        <v/>
      </c>
      <c r="F1287">
        <f>$C1287*F1286</f>
        <v/>
      </c>
      <c r="G1287">
        <f>$C1287*G1286</f>
        <v/>
      </c>
      <c r="H1287">
        <f>$C1287*H1286</f>
        <v/>
      </c>
      <c r="I1287">
        <f>$C1287*I1286</f>
        <v/>
      </c>
      <c r="J1287">
        <f>$C1287*J1286</f>
        <v/>
      </c>
      <c r="K1287">
        <f>$C1287*K1286</f>
        <v/>
      </c>
      <c r="L1287">
        <f>$C1287*L1286</f>
        <v/>
      </c>
      <c r="M1287">
        <f>$C1287*M1286</f>
        <v/>
      </c>
      <c r="N1287">
        <f>$C1287*N1286</f>
        <v/>
      </c>
      <c r="O1287">
        <f>$C1287*O1286</f>
        <v/>
      </c>
      <c r="P1287">
        <f>$C1287*P1286</f>
        <v/>
      </c>
      <c r="Q1287">
        <f>$C1287*Q1286</f>
        <v/>
      </c>
      <c r="R1287">
        <f>$C1287*R1286</f>
        <v/>
      </c>
      <c r="S1287">
        <f>$C1287*S1286</f>
        <v/>
      </c>
      <c r="T1287">
        <f>$C1287*T1286</f>
        <v/>
      </c>
      <c r="U1287">
        <f>$C1287*U1286</f>
        <v/>
      </c>
      <c r="V1287">
        <f>$C1287*V1286</f>
        <v/>
      </c>
      <c r="W1287">
        <f>$C1287*W1286</f>
        <v/>
      </c>
      <c r="X1287">
        <f>$C1287*X1286</f>
        <v/>
      </c>
      <c r="Y1287">
        <f>$C1287*Y1286</f>
        <v/>
      </c>
      <c r="Z1287">
        <f>$C1287*Z1286</f>
        <v/>
      </c>
      <c r="AA1287">
        <f>$C1287*AA1286</f>
        <v/>
      </c>
      <c r="AB1287">
        <f>$C1287*AB1286</f>
        <v/>
      </c>
      <c r="AC1287">
        <f>$C1287*AC1286</f>
        <v/>
      </c>
      <c r="AD1287">
        <f>$C1287*AD1286</f>
        <v/>
      </c>
      <c r="AE1287">
        <f>$C1287*AE1286</f>
        <v/>
      </c>
      <c r="AF1287">
        <f>$C1287*AF1286</f>
        <v/>
      </c>
      <c r="AG1287">
        <f>$C1287*AG1286</f>
        <v/>
      </c>
      <c r="AH1287">
        <f>$C1287*AH1286</f>
        <v/>
      </c>
      <c r="AI1287">
        <f>$C1287*AI1286</f>
        <v/>
      </c>
      <c r="AJ1287">
        <f>$C1287*AJ1286</f>
        <v/>
      </c>
      <c r="AK1287">
        <f>$C1287*AK1286</f>
        <v/>
      </c>
      <c r="AL1287">
        <f>$C1287*AL1286</f>
        <v/>
      </c>
      <c r="AM1287">
        <f>$C1287*AM1286</f>
        <v/>
      </c>
      <c r="AN1287">
        <f>$C1287*AN1286</f>
        <v/>
      </c>
      <c r="AO1287">
        <f>$C1287*AO1286</f>
        <v/>
      </c>
      <c r="AP1287">
        <f>$C1287*AP1286</f>
        <v/>
      </c>
      <c r="AQ1287">
        <f>$C1287*AQ1286</f>
        <v/>
      </c>
      <c r="AR1287">
        <f>$C1287*AR1286</f>
        <v/>
      </c>
      <c r="AS1287">
        <f>$C1287*AS1286</f>
        <v/>
      </c>
      <c r="AT1287">
        <f>$C1287*AT1286</f>
        <v/>
      </c>
      <c r="AU1287">
        <f>$C1287*AU1286</f>
        <v/>
      </c>
      <c r="AV1287">
        <f>$C1287*AV1286</f>
        <v/>
      </c>
      <c r="AW1287">
        <f>$C1287*AW1286</f>
        <v/>
      </c>
      <c r="AX1287">
        <f>$C1287*AX1286</f>
        <v/>
      </c>
      <c r="AY1287">
        <f>$C1287*AY1286</f>
        <v/>
      </c>
      <c r="AZ1287">
        <f>$C1287*AZ1286</f>
        <v/>
      </c>
      <c r="BA1287">
        <f>$C1287*BA1286</f>
        <v/>
      </c>
      <c r="BB1287">
        <f>$C1287*BB1286</f>
        <v/>
      </c>
      <c r="BC1287">
        <f>$C1287*BC1286</f>
        <v/>
      </c>
      <c r="BD1287">
        <f>$C1287*BD1286</f>
        <v/>
      </c>
      <c r="BE1287">
        <f>$C1287*BE1286</f>
        <v/>
      </c>
      <c r="BF1287">
        <f>$C1287*BF1286</f>
        <v/>
      </c>
      <c r="BG1287">
        <f>$C1287*BG1286</f>
        <v/>
      </c>
      <c r="BH1287">
        <f>$C1287*BH1286</f>
        <v/>
      </c>
      <c r="BI1287">
        <f>$C1287*BI1286</f>
        <v/>
      </c>
      <c r="BJ1287">
        <f>$C1287*BJ1286</f>
        <v/>
      </c>
      <c r="BK1287">
        <f>$C1287*BK1286</f>
        <v/>
      </c>
      <c r="BL1287">
        <f>$C1287*BL1286</f>
        <v/>
      </c>
      <c r="BM1287">
        <f>$C1287*BM1286</f>
        <v/>
      </c>
      <c r="BN1287">
        <f>$C1287*BN1286</f>
        <v/>
      </c>
      <c r="BO1287">
        <f>$C1287*BO1286</f>
        <v/>
      </c>
      <c r="BP1287">
        <f>$C1287*BP1286</f>
        <v/>
      </c>
      <c r="BQ1287">
        <f>$C1287*BQ1286</f>
        <v/>
      </c>
      <c r="BR1287">
        <f>$C1287*BR1286</f>
        <v/>
      </c>
      <c r="BS1287">
        <f>$C1287*BS1286</f>
        <v/>
      </c>
      <c r="BT1287">
        <f>$C1287*BT1286</f>
        <v/>
      </c>
      <c r="BU1287">
        <f>$C1287*BU1286</f>
        <v/>
      </c>
      <c r="BV1287">
        <f>$C1287*BV1286</f>
        <v/>
      </c>
      <c r="BW1287">
        <f>$C1287*BW1286</f>
        <v/>
      </c>
      <c r="BX1287">
        <f>$C1287*BX1286</f>
        <v/>
      </c>
      <c r="BY1287">
        <f>$C1287*BY1286</f>
        <v/>
      </c>
      <c r="BZ1287">
        <f>$C1287*BZ1286</f>
        <v/>
      </c>
      <c r="CA1287">
        <f>$C1287*CA1286</f>
        <v/>
      </c>
      <c r="CB1287">
        <f>$C1287*CB1286</f>
        <v/>
      </c>
      <c r="CC1287">
        <f>$C1287*CC1286</f>
        <v/>
      </c>
      <c r="CD1287">
        <f>$C1287*CD1286</f>
        <v/>
      </c>
      <c r="CE1287">
        <f>$C1287*CE1286</f>
        <v/>
      </c>
      <c r="CF1287">
        <f>$C1287*CF1286</f>
        <v/>
      </c>
      <c r="CG1287">
        <f>$C1287*CG1286</f>
        <v/>
      </c>
      <c r="CH1287">
        <f>$C1287*CH1286</f>
        <v/>
      </c>
      <c r="CI1287">
        <f>$C1287*CI1286</f>
        <v/>
      </c>
      <c r="CJ1287">
        <f>$C1287*CJ1286</f>
        <v/>
      </c>
      <c r="CK1287">
        <f>$C1287*CK1286</f>
        <v/>
      </c>
      <c r="CL1287">
        <f>$C1287*CL1286</f>
        <v/>
      </c>
      <c r="CM1287">
        <f>$C1287*CM1286</f>
        <v/>
      </c>
      <c r="CN1287">
        <f>$C1287*CN1286</f>
        <v/>
      </c>
      <c r="CO1287">
        <f>$C1287*CO1286</f>
        <v/>
      </c>
      <c r="CP1287">
        <f>$C1287*CP1286</f>
        <v/>
      </c>
      <c r="CQ1287">
        <f>$C1287*CQ1286</f>
        <v/>
      </c>
      <c r="CR1287">
        <f>$C1287*CR1286</f>
        <v/>
      </c>
      <c r="CS1287">
        <f>$C1287*CS1286</f>
        <v/>
      </c>
      <c r="CT1287">
        <f>$C1287*CT1286</f>
        <v/>
      </c>
      <c r="CU1287">
        <f>$C1287*CU1286</f>
        <v/>
      </c>
      <c r="CV1287">
        <f>$C1287*CV1286</f>
        <v/>
      </c>
      <c r="CW1287">
        <f>$C1287*CW1286</f>
        <v/>
      </c>
      <c r="CX1287">
        <f>$C1287*CX1286</f>
        <v/>
      </c>
      <c r="CY1287">
        <f>$C1287*CY1286</f>
        <v/>
      </c>
      <c r="CZ1287">
        <f>$C1287*CZ1286</f>
        <v/>
      </c>
      <c r="DA1287">
        <f>$C1287*DA1286</f>
        <v/>
      </c>
      <c r="DB1287">
        <f>$C1287*DB1286</f>
        <v/>
      </c>
      <c r="DC1287">
        <f>$C1287*DC1286</f>
        <v/>
      </c>
      <c r="DD1287">
        <f>$C1287*DD1286</f>
        <v/>
      </c>
    </row>
    <row r="1288">
      <c r="B1288" t="inlineStr">
        <is>
          <t>TSP-935</t>
        </is>
      </c>
      <c r="C1288" t="inlineStr">
        <is>
          <t>No. of batches</t>
        </is>
      </c>
      <c r="D1288">
        <f>IFERROR(INDEX(E1288:DD1288,$F$1),"")</f>
        <v/>
      </c>
      <c r="E1288">
        <f>IFERROR(INDEX(PP_Grid[#Data],$DE1288,2),0)</f>
        <v/>
      </c>
      <c r="F1288">
        <f>IFERROR(INDEX(PP_Grid[#Data],$DE1288,3),0)</f>
        <v/>
      </c>
      <c r="G1288">
        <f>IFERROR(INDEX(PP_Grid[#Data],$DE1288,4),0)</f>
        <v/>
      </c>
      <c r="H1288">
        <f>IFERROR(INDEX(PP_Grid[#Data],$DE1288,5),0)</f>
        <v/>
      </c>
      <c r="I1288">
        <f>IFERROR(INDEX(PP_Grid[#Data],$DE1288,6),0)</f>
        <v/>
      </c>
      <c r="J1288">
        <f>IFERROR(INDEX(PP_Grid[#Data],$DE1288,7),0)</f>
        <v/>
      </c>
      <c r="K1288">
        <f>IFERROR(INDEX(PP_Grid[#Data],$DE1288,8),0)</f>
        <v/>
      </c>
      <c r="L1288">
        <f>IFERROR(INDEX(PP_Grid[#Data],$DE1288,9),0)</f>
        <v/>
      </c>
      <c r="M1288">
        <f>IFERROR(INDEX(PP_Grid[#Data],$DE1288,10),0)</f>
        <v/>
      </c>
      <c r="N1288">
        <f>IFERROR(INDEX(PP_Grid[#Data],$DE1288,11),0)</f>
        <v/>
      </c>
      <c r="O1288">
        <f>IFERROR(INDEX(PP_Grid[#Data],$DE1288,12),0)</f>
        <v/>
      </c>
      <c r="P1288">
        <f>IFERROR(INDEX(PP_Grid[#Data],$DE1288,13),0)</f>
        <v/>
      </c>
      <c r="Q1288">
        <f>IFERROR(INDEX(PP_Grid[#Data],$DE1288,14),0)</f>
        <v/>
      </c>
      <c r="R1288">
        <f>IFERROR(INDEX(PP_Grid[#Data],$DE1288,15),0)</f>
        <v/>
      </c>
      <c r="S1288">
        <f>IFERROR(INDEX(PP_Grid[#Data],$DE1288,16),0)</f>
        <v/>
      </c>
      <c r="T1288">
        <f>IFERROR(INDEX(PP_Grid[#Data],$DE1288,17),0)</f>
        <v/>
      </c>
      <c r="U1288">
        <f>IFERROR(INDEX(PP_Grid[#Data],$DE1288,18),0)</f>
        <v/>
      </c>
      <c r="V1288">
        <f>IFERROR(INDEX(PP_Grid[#Data],$DE1288,19),0)</f>
        <v/>
      </c>
      <c r="W1288">
        <f>IFERROR(INDEX(PP_Grid[#Data],$DE1288,20),0)</f>
        <v/>
      </c>
      <c r="X1288">
        <f>IFERROR(INDEX(PP_Grid[#Data],$DE1288,21),0)</f>
        <v/>
      </c>
      <c r="Y1288">
        <f>IFERROR(INDEX(PP_Grid[#Data],$DE1288,22),0)</f>
        <v/>
      </c>
      <c r="Z1288">
        <f>IFERROR(INDEX(PP_Grid[#Data],$DE1288,23),0)</f>
        <v/>
      </c>
      <c r="AA1288">
        <f>IFERROR(INDEX(PP_Grid[#Data],$DE1288,24),0)</f>
        <v/>
      </c>
      <c r="AB1288">
        <f>IFERROR(INDEX(PP_Grid[#Data],$DE1288,25),0)</f>
        <v/>
      </c>
      <c r="AC1288">
        <f>IFERROR(INDEX(PP_Grid[#Data],$DE1288,26),0)</f>
        <v/>
      </c>
      <c r="AD1288">
        <f>IFERROR(INDEX(PP_Grid[#Data],$DE1288,27),0)</f>
        <v/>
      </c>
      <c r="AE1288">
        <f>IFERROR(INDEX(PP_Grid[#Data],$DE1288,28),0)</f>
        <v/>
      </c>
      <c r="AF1288">
        <f>IFERROR(INDEX(PP_Grid[#Data],$DE1288,29),0)</f>
        <v/>
      </c>
      <c r="AG1288">
        <f>IFERROR(INDEX(PP_Grid[#Data],$DE1288,30),0)</f>
        <v/>
      </c>
      <c r="AH1288">
        <f>IFERROR(INDEX(PP_Grid[#Data],$DE1288,31),0)</f>
        <v/>
      </c>
      <c r="AI1288">
        <f>IFERROR(INDEX(PP_Grid[#Data],$DE1288,32),0)</f>
        <v/>
      </c>
      <c r="AJ1288">
        <f>IFERROR(INDEX(PP_Grid[#Data],$DE1288,33),0)</f>
        <v/>
      </c>
      <c r="AK1288">
        <f>IFERROR(INDEX(PP_Grid[#Data],$DE1288,34),0)</f>
        <v/>
      </c>
      <c r="AL1288">
        <f>IFERROR(INDEX(PP_Grid[#Data],$DE1288,35),0)</f>
        <v/>
      </c>
      <c r="AM1288">
        <f>IFERROR(INDEX(PP_Grid[#Data],$DE1288,36),0)</f>
        <v/>
      </c>
      <c r="AN1288">
        <f>IFERROR(INDEX(PP_Grid[#Data],$DE1288,37),0)</f>
        <v/>
      </c>
      <c r="AO1288">
        <f>IFERROR(INDEX(PP_Grid[#Data],$DE1288,38),0)</f>
        <v/>
      </c>
      <c r="AP1288">
        <f>IFERROR(INDEX(PP_Grid[#Data],$DE1288,39),0)</f>
        <v/>
      </c>
      <c r="AQ1288">
        <f>IFERROR(INDEX(PP_Grid[#Data],$DE1288,40),0)</f>
        <v/>
      </c>
      <c r="AR1288">
        <f>IFERROR(INDEX(PP_Grid[#Data],$DE1288,41),0)</f>
        <v/>
      </c>
      <c r="AS1288">
        <f>IFERROR(INDEX(PP_Grid[#Data],$DE1288,42),0)</f>
        <v/>
      </c>
      <c r="AT1288">
        <f>IFERROR(INDEX(PP_Grid[#Data],$DE1288,43),0)</f>
        <v/>
      </c>
      <c r="AU1288">
        <f>IFERROR(INDEX(PP_Grid[#Data],$DE1288,44),0)</f>
        <v/>
      </c>
      <c r="AV1288">
        <f>IFERROR(INDEX(PP_Grid[#Data],$DE1288,45),0)</f>
        <v/>
      </c>
      <c r="AW1288">
        <f>IFERROR(INDEX(PP_Grid[#Data],$DE1288,46),0)</f>
        <v/>
      </c>
      <c r="AX1288">
        <f>IFERROR(INDEX(PP_Grid[#Data],$DE1288,47),0)</f>
        <v/>
      </c>
      <c r="AY1288">
        <f>IFERROR(INDEX(PP_Grid[#Data],$DE1288,48),0)</f>
        <v/>
      </c>
      <c r="AZ1288">
        <f>IFERROR(INDEX(PP_Grid[#Data],$DE1288,49),0)</f>
        <v/>
      </c>
      <c r="BA1288">
        <f>IFERROR(INDEX(PP_Grid[#Data],$DE1288,50),0)</f>
        <v/>
      </c>
      <c r="BB1288">
        <f>IFERROR(INDEX(PP_Grid[#Data],$DE1288,51),0)</f>
        <v/>
      </c>
      <c r="BC1288">
        <f>IFERROR(INDEX(PP_Grid[#Data],$DE1288,52),0)</f>
        <v/>
      </c>
      <c r="BD1288">
        <f>IFERROR(INDEX(PP_Grid[#Data],$DE1288,53),0)</f>
        <v/>
      </c>
      <c r="BE1288">
        <f>IFERROR(INDEX(PP_Grid[#Data],$DE1288,54),0)</f>
        <v/>
      </c>
      <c r="BF1288">
        <f>IFERROR(INDEX(PP_Grid[#Data],$DE1288,55),0)</f>
        <v/>
      </c>
      <c r="BG1288">
        <f>IFERROR(INDEX(PP_Grid[#Data],$DE1288,56),0)</f>
        <v/>
      </c>
      <c r="BH1288">
        <f>IFERROR(INDEX(PP_Grid[#Data],$DE1288,57),0)</f>
        <v/>
      </c>
      <c r="BI1288">
        <f>IFERROR(INDEX(PP_Grid[#Data],$DE1288,58),0)</f>
        <v/>
      </c>
      <c r="BJ1288">
        <f>IFERROR(INDEX(PP_Grid[#Data],$DE1288,59),0)</f>
        <v/>
      </c>
      <c r="BK1288">
        <f>IFERROR(INDEX(PP_Grid[#Data],$DE1288,60),0)</f>
        <v/>
      </c>
      <c r="BL1288">
        <f>IFERROR(INDEX(PP_Grid[#Data],$DE1288,61),0)</f>
        <v/>
      </c>
      <c r="BM1288">
        <f>IFERROR(INDEX(PP_Grid[#Data],$DE1288,62),0)</f>
        <v/>
      </c>
      <c r="BN1288">
        <f>IFERROR(INDEX(PP_Grid[#Data],$DE1288,63),0)</f>
        <v/>
      </c>
      <c r="BO1288">
        <f>IFERROR(INDEX(PP_Grid[#Data],$DE1288,64),0)</f>
        <v/>
      </c>
      <c r="BP1288">
        <f>IFERROR(INDEX(PP_Grid[#Data],$DE1288,65),0)</f>
        <v/>
      </c>
      <c r="BQ1288">
        <f>IFERROR(INDEX(PP_Grid[#Data],$DE1288,66),0)</f>
        <v/>
      </c>
      <c r="BR1288">
        <f>IFERROR(INDEX(PP_Grid[#Data],$DE1288,67),0)</f>
        <v/>
      </c>
      <c r="BS1288">
        <f>IFERROR(INDEX(PP_Grid[#Data],$DE1288,68),0)</f>
        <v/>
      </c>
      <c r="BT1288">
        <f>IFERROR(INDEX(PP_Grid[#Data],$DE1288,69),0)</f>
        <v/>
      </c>
      <c r="BU1288">
        <f>IFERROR(INDEX(PP_Grid[#Data],$DE1288,70),0)</f>
        <v/>
      </c>
      <c r="BV1288">
        <f>IFERROR(INDEX(PP_Grid[#Data],$DE1288,71),0)</f>
        <v/>
      </c>
      <c r="BW1288">
        <f>IFERROR(INDEX(PP_Grid[#Data],$DE1288,72),0)</f>
        <v/>
      </c>
      <c r="BX1288">
        <f>IFERROR(INDEX(PP_Grid[#Data],$DE1288,73),0)</f>
        <v/>
      </c>
      <c r="BY1288">
        <f>IFERROR(INDEX(PP_Grid[#Data],$DE1288,74),0)</f>
        <v/>
      </c>
      <c r="BZ1288">
        <f>IFERROR(INDEX(PP_Grid[#Data],$DE1288,75),0)</f>
        <v/>
      </c>
      <c r="CA1288">
        <f>IFERROR(INDEX(PP_Grid[#Data],$DE1288,76),0)</f>
        <v/>
      </c>
      <c r="CB1288">
        <f>IFERROR(INDEX(PP_Grid[#Data],$DE1288,77),0)</f>
        <v/>
      </c>
      <c r="CC1288">
        <f>IFERROR(INDEX(PP_Grid[#Data],$DE1288,78),0)</f>
        <v/>
      </c>
      <c r="CD1288">
        <f>IFERROR(INDEX(PP_Grid[#Data],$DE1288,79),0)</f>
        <v/>
      </c>
      <c r="CE1288">
        <f>IFERROR(INDEX(PP_Grid[#Data],$DE1288,80),0)</f>
        <v/>
      </c>
      <c r="CF1288">
        <f>IFERROR(INDEX(PP_Grid[#Data],$DE1288,81),0)</f>
        <v/>
      </c>
      <c r="CG1288">
        <f>IFERROR(INDEX(PP_Grid[#Data],$DE1288,82),0)</f>
        <v/>
      </c>
      <c r="CH1288">
        <f>IFERROR(INDEX(PP_Grid[#Data],$DE1288,83),0)</f>
        <v/>
      </c>
      <c r="CI1288">
        <f>IFERROR(INDEX(PP_Grid[#Data],$DE1288,84),0)</f>
        <v/>
      </c>
      <c r="CJ1288">
        <f>IFERROR(INDEX(PP_Grid[#Data],$DE1288,85),0)</f>
        <v/>
      </c>
      <c r="CK1288">
        <f>IFERROR(INDEX(PP_Grid[#Data],$DE1288,86),0)</f>
        <v/>
      </c>
      <c r="CL1288">
        <f>IFERROR(INDEX(PP_Grid[#Data],$DE1288,87),0)</f>
        <v/>
      </c>
      <c r="CM1288">
        <f>IFERROR(INDEX(PP_Grid[#Data],$DE1288,88),0)</f>
        <v/>
      </c>
      <c r="CN1288">
        <f>IFERROR(INDEX(PP_Grid[#Data],$DE1288,89),0)</f>
        <v/>
      </c>
      <c r="CO1288">
        <f>IFERROR(INDEX(PP_Grid[#Data],$DE1288,90),0)</f>
        <v/>
      </c>
      <c r="CP1288">
        <f>IFERROR(INDEX(PP_Grid[#Data],$DE1288,91),0)</f>
        <v/>
      </c>
      <c r="CQ1288">
        <f>IFERROR(INDEX(PP_Grid[#Data],$DE1288,92),0)</f>
        <v/>
      </c>
      <c r="CR1288">
        <f>IFERROR(INDEX(PP_Grid[#Data],$DE1288,93),0)</f>
        <v/>
      </c>
      <c r="CS1288">
        <f>IFERROR(INDEX(PP_Grid[#Data],$DE1288,94),0)</f>
        <v/>
      </c>
      <c r="CT1288">
        <f>IFERROR(INDEX(PP_Grid[#Data],$DE1288,95),0)</f>
        <v/>
      </c>
      <c r="CU1288">
        <f>IFERROR(INDEX(PP_Grid[#Data],$DE1288,96),0)</f>
        <v/>
      </c>
      <c r="CV1288">
        <f>IFERROR(INDEX(PP_Grid[#Data],$DE1288,97),0)</f>
        <v/>
      </c>
      <c r="CW1288">
        <f>IFERROR(INDEX(PP_Grid[#Data],$DE1288,98),0)</f>
        <v/>
      </c>
      <c r="CX1288">
        <f>IFERROR(INDEX(PP_Grid[#Data],$DE1288,99),0)</f>
        <v/>
      </c>
      <c r="CY1288">
        <f>IFERROR(INDEX(PP_Grid[#Data],$DE1288,100),0)</f>
        <v/>
      </c>
      <c r="CZ1288">
        <f>IFERROR(INDEX(PP_Grid[#Data],$DE1288,101),0)</f>
        <v/>
      </c>
      <c r="DA1288">
        <f>IFERROR(INDEX(PP_Grid[#Data],$DE1288,102),0)</f>
        <v/>
      </c>
      <c r="DB1288">
        <f>IFERROR(INDEX(PP_Grid[#Data],$DE1288,103),0)</f>
        <v/>
      </c>
      <c r="DC1288">
        <f>IFERROR(INDEX(PP_Grid[#Data],$DE1288,104),0)</f>
        <v/>
      </c>
      <c r="DD1288">
        <f>IFERROR(INDEX(PP_Grid[#Data],$DE1288,105),0)</f>
        <v/>
      </c>
      <c r="DE1288" s="7">
        <f>IFERROR(MATCH($B1288,PP_Grid[Intermediate],0),99999)</f>
        <v/>
      </c>
    </row>
    <row r="1289">
      <c r="B1289" t="inlineStr">
        <is>
          <t>使用量(kg)</t>
        </is>
      </c>
      <c r="C1289">
        <f>SUMIFS(M_BOM[RM_Qty_Per_Batch],M_BOM[Intermediate],$B1288,M_BOM[RM_Code],$A1281)</f>
        <v/>
      </c>
      <c r="D1289">
        <f>IFERROR(INDEX(E1289:DD1289,$F$1),"")</f>
        <v/>
      </c>
      <c r="E1289">
        <f>$C1289*E1288</f>
        <v/>
      </c>
      <c r="F1289">
        <f>$C1289*F1288</f>
        <v/>
      </c>
      <c r="G1289">
        <f>$C1289*G1288</f>
        <v/>
      </c>
      <c r="H1289">
        <f>$C1289*H1288</f>
        <v/>
      </c>
      <c r="I1289">
        <f>$C1289*I1288</f>
        <v/>
      </c>
      <c r="J1289">
        <f>$C1289*J1288</f>
        <v/>
      </c>
      <c r="K1289">
        <f>$C1289*K1288</f>
        <v/>
      </c>
      <c r="L1289">
        <f>$C1289*L1288</f>
        <v/>
      </c>
      <c r="M1289">
        <f>$C1289*M1288</f>
        <v/>
      </c>
      <c r="N1289">
        <f>$C1289*N1288</f>
        <v/>
      </c>
      <c r="O1289">
        <f>$C1289*O1288</f>
        <v/>
      </c>
      <c r="P1289">
        <f>$C1289*P1288</f>
        <v/>
      </c>
      <c r="Q1289">
        <f>$C1289*Q1288</f>
        <v/>
      </c>
      <c r="R1289">
        <f>$C1289*R1288</f>
        <v/>
      </c>
      <c r="S1289">
        <f>$C1289*S1288</f>
        <v/>
      </c>
      <c r="T1289">
        <f>$C1289*T1288</f>
        <v/>
      </c>
      <c r="U1289">
        <f>$C1289*U1288</f>
        <v/>
      </c>
      <c r="V1289">
        <f>$C1289*V1288</f>
        <v/>
      </c>
      <c r="W1289">
        <f>$C1289*W1288</f>
        <v/>
      </c>
      <c r="X1289">
        <f>$C1289*X1288</f>
        <v/>
      </c>
      <c r="Y1289">
        <f>$C1289*Y1288</f>
        <v/>
      </c>
      <c r="Z1289">
        <f>$C1289*Z1288</f>
        <v/>
      </c>
      <c r="AA1289">
        <f>$C1289*AA1288</f>
        <v/>
      </c>
      <c r="AB1289">
        <f>$C1289*AB1288</f>
        <v/>
      </c>
      <c r="AC1289">
        <f>$C1289*AC1288</f>
        <v/>
      </c>
      <c r="AD1289">
        <f>$C1289*AD1288</f>
        <v/>
      </c>
      <c r="AE1289">
        <f>$C1289*AE1288</f>
        <v/>
      </c>
      <c r="AF1289">
        <f>$C1289*AF1288</f>
        <v/>
      </c>
      <c r="AG1289">
        <f>$C1289*AG1288</f>
        <v/>
      </c>
      <c r="AH1289">
        <f>$C1289*AH1288</f>
        <v/>
      </c>
      <c r="AI1289">
        <f>$C1289*AI1288</f>
        <v/>
      </c>
      <c r="AJ1289">
        <f>$C1289*AJ1288</f>
        <v/>
      </c>
      <c r="AK1289">
        <f>$C1289*AK1288</f>
        <v/>
      </c>
      <c r="AL1289">
        <f>$C1289*AL1288</f>
        <v/>
      </c>
      <c r="AM1289">
        <f>$C1289*AM1288</f>
        <v/>
      </c>
      <c r="AN1289">
        <f>$C1289*AN1288</f>
        <v/>
      </c>
      <c r="AO1289">
        <f>$C1289*AO1288</f>
        <v/>
      </c>
      <c r="AP1289">
        <f>$C1289*AP1288</f>
        <v/>
      </c>
      <c r="AQ1289">
        <f>$C1289*AQ1288</f>
        <v/>
      </c>
      <c r="AR1289">
        <f>$C1289*AR1288</f>
        <v/>
      </c>
      <c r="AS1289">
        <f>$C1289*AS1288</f>
        <v/>
      </c>
      <c r="AT1289">
        <f>$C1289*AT1288</f>
        <v/>
      </c>
      <c r="AU1289">
        <f>$C1289*AU1288</f>
        <v/>
      </c>
      <c r="AV1289">
        <f>$C1289*AV1288</f>
        <v/>
      </c>
      <c r="AW1289">
        <f>$C1289*AW1288</f>
        <v/>
      </c>
      <c r="AX1289">
        <f>$C1289*AX1288</f>
        <v/>
      </c>
      <c r="AY1289">
        <f>$C1289*AY1288</f>
        <v/>
      </c>
      <c r="AZ1289">
        <f>$C1289*AZ1288</f>
        <v/>
      </c>
      <c r="BA1289">
        <f>$C1289*BA1288</f>
        <v/>
      </c>
      <c r="BB1289">
        <f>$C1289*BB1288</f>
        <v/>
      </c>
      <c r="BC1289">
        <f>$C1289*BC1288</f>
        <v/>
      </c>
      <c r="BD1289">
        <f>$C1289*BD1288</f>
        <v/>
      </c>
      <c r="BE1289">
        <f>$C1289*BE1288</f>
        <v/>
      </c>
      <c r="BF1289">
        <f>$C1289*BF1288</f>
        <v/>
      </c>
      <c r="BG1289">
        <f>$C1289*BG1288</f>
        <v/>
      </c>
      <c r="BH1289">
        <f>$C1289*BH1288</f>
        <v/>
      </c>
      <c r="BI1289">
        <f>$C1289*BI1288</f>
        <v/>
      </c>
      <c r="BJ1289">
        <f>$C1289*BJ1288</f>
        <v/>
      </c>
      <c r="BK1289">
        <f>$C1289*BK1288</f>
        <v/>
      </c>
      <c r="BL1289">
        <f>$C1289*BL1288</f>
        <v/>
      </c>
      <c r="BM1289">
        <f>$C1289*BM1288</f>
        <v/>
      </c>
      <c r="BN1289">
        <f>$C1289*BN1288</f>
        <v/>
      </c>
      <c r="BO1289">
        <f>$C1289*BO1288</f>
        <v/>
      </c>
      <c r="BP1289">
        <f>$C1289*BP1288</f>
        <v/>
      </c>
      <c r="BQ1289">
        <f>$C1289*BQ1288</f>
        <v/>
      </c>
      <c r="BR1289">
        <f>$C1289*BR1288</f>
        <v/>
      </c>
      <c r="BS1289">
        <f>$C1289*BS1288</f>
        <v/>
      </c>
      <c r="BT1289">
        <f>$C1289*BT1288</f>
        <v/>
      </c>
      <c r="BU1289">
        <f>$C1289*BU1288</f>
        <v/>
      </c>
      <c r="BV1289">
        <f>$C1289*BV1288</f>
        <v/>
      </c>
      <c r="BW1289">
        <f>$C1289*BW1288</f>
        <v/>
      </c>
      <c r="BX1289">
        <f>$C1289*BX1288</f>
        <v/>
      </c>
      <c r="BY1289">
        <f>$C1289*BY1288</f>
        <v/>
      </c>
      <c r="BZ1289">
        <f>$C1289*BZ1288</f>
        <v/>
      </c>
      <c r="CA1289">
        <f>$C1289*CA1288</f>
        <v/>
      </c>
      <c r="CB1289">
        <f>$C1289*CB1288</f>
        <v/>
      </c>
      <c r="CC1289">
        <f>$C1289*CC1288</f>
        <v/>
      </c>
      <c r="CD1289">
        <f>$C1289*CD1288</f>
        <v/>
      </c>
      <c r="CE1289">
        <f>$C1289*CE1288</f>
        <v/>
      </c>
      <c r="CF1289">
        <f>$C1289*CF1288</f>
        <v/>
      </c>
      <c r="CG1289">
        <f>$C1289*CG1288</f>
        <v/>
      </c>
      <c r="CH1289">
        <f>$C1289*CH1288</f>
        <v/>
      </c>
      <c r="CI1289">
        <f>$C1289*CI1288</f>
        <v/>
      </c>
      <c r="CJ1289">
        <f>$C1289*CJ1288</f>
        <v/>
      </c>
      <c r="CK1289">
        <f>$C1289*CK1288</f>
        <v/>
      </c>
      <c r="CL1289">
        <f>$C1289*CL1288</f>
        <v/>
      </c>
      <c r="CM1289">
        <f>$C1289*CM1288</f>
        <v/>
      </c>
      <c r="CN1289">
        <f>$C1289*CN1288</f>
        <v/>
      </c>
      <c r="CO1289">
        <f>$C1289*CO1288</f>
        <v/>
      </c>
      <c r="CP1289">
        <f>$C1289*CP1288</f>
        <v/>
      </c>
      <c r="CQ1289">
        <f>$C1289*CQ1288</f>
        <v/>
      </c>
      <c r="CR1289">
        <f>$C1289*CR1288</f>
        <v/>
      </c>
      <c r="CS1289">
        <f>$C1289*CS1288</f>
        <v/>
      </c>
      <c r="CT1289">
        <f>$C1289*CT1288</f>
        <v/>
      </c>
      <c r="CU1289">
        <f>$C1289*CU1288</f>
        <v/>
      </c>
      <c r="CV1289">
        <f>$C1289*CV1288</f>
        <v/>
      </c>
      <c r="CW1289">
        <f>$C1289*CW1288</f>
        <v/>
      </c>
      <c r="CX1289">
        <f>$C1289*CX1288</f>
        <v/>
      </c>
      <c r="CY1289">
        <f>$C1289*CY1288</f>
        <v/>
      </c>
      <c r="CZ1289">
        <f>$C1289*CZ1288</f>
        <v/>
      </c>
      <c r="DA1289">
        <f>$C1289*DA1288</f>
        <v/>
      </c>
      <c r="DB1289">
        <f>$C1289*DB1288</f>
        <v/>
      </c>
      <c r="DC1289">
        <f>$C1289*DC1288</f>
        <v/>
      </c>
      <c r="DD1289">
        <f>$C1289*DD1288</f>
        <v/>
      </c>
    </row>
    <row r="1290">
      <c r="B1290" t="inlineStr">
        <is>
          <t>TSP-936</t>
        </is>
      </c>
      <c r="C1290" t="inlineStr">
        <is>
          <t>No. of batches</t>
        </is>
      </c>
      <c r="D1290">
        <f>IFERROR(INDEX(E1290:DD1290,$F$1),"")</f>
        <v/>
      </c>
      <c r="E1290">
        <f>IFERROR(INDEX(PP_Grid[#Data],$DE1290,2),0)</f>
        <v/>
      </c>
      <c r="F1290">
        <f>IFERROR(INDEX(PP_Grid[#Data],$DE1290,3),0)</f>
        <v/>
      </c>
      <c r="G1290">
        <f>IFERROR(INDEX(PP_Grid[#Data],$DE1290,4),0)</f>
        <v/>
      </c>
      <c r="H1290">
        <f>IFERROR(INDEX(PP_Grid[#Data],$DE1290,5),0)</f>
        <v/>
      </c>
      <c r="I1290">
        <f>IFERROR(INDEX(PP_Grid[#Data],$DE1290,6),0)</f>
        <v/>
      </c>
      <c r="J1290">
        <f>IFERROR(INDEX(PP_Grid[#Data],$DE1290,7),0)</f>
        <v/>
      </c>
      <c r="K1290">
        <f>IFERROR(INDEX(PP_Grid[#Data],$DE1290,8),0)</f>
        <v/>
      </c>
      <c r="L1290">
        <f>IFERROR(INDEX(PP_Grid[#Data],$DE1290,9),0)</f>
        <v/>
      </c>
      <c r="M1290">
        <f>IFERROR(INDEX(PP_Grid[#Data],$DE1290,10),0)</f>
        <v/>
      </c>
      <c r="N1290">
        <f>IFERROR(INDEX(PP_Grid[#Data],$DE1290,11),0)</f>
        <v/>
      </c>
      <c r="O1290">
        <f>IFERROR(INDEX(PP_Grid[#Data],$DE1290,12),0)</f>
        <v/>
      </c>
      <c r="P1290">
        <f>IFERROR(INDEX(PP_Grid[#Data],$DE1290,13),0)</f>
        <v/>
      </c>
      <c r="Q1290">
        <f>IFERROR(INDEX(PP_Grid[#Data],$DE1290,14),0)</f>
        <v/>
      </c>
      <c r="R1290">
        <f>IFERROR(INDEX(PP_Grid[#Data],$DE1290,15),0)</f>
        <v/>
      </c>
      <c r="S1290">
        <f>IFERROR(INDEX(PP_Grid[#Data],$DE1290,16),0)</f>
        <v/>
      </c>
      <c r="T1290">
        <f>IFERROR(INDEX(PP_Grid[#Data],$DE1290,17),0)</f>
        <v/>
      </c>
      <c r="U1290">
        <f>IFERROR(INDEX(PP_Grid[#Data],$DE1290,18),0)</f>
        <v/>
      </c>
      <c r="V1290">
        <f>IFERROR(INDEX(PP_Grid[#Data],$DE1290,19),0)</f>
        <v/>
      </c>
      <c r="W1290">
        <f>IFERROR(INDEX(PP_Grid[#Data],$DE1290,20),0)</f>
        <v/>
      </c>
      <c r="X1290">
        <f>IFERROR(INDEX(PP_Grid[#Data],$DE1290,21),0)</f>
        <v/>
      </c>
      <c r="Y1290">
        <f>IFERROR(INDEX(PP_Grid[#Data],$DE1290,22),0)</f>
        <v/>
      </c>
      <c r="Z1290">
        <f>IFERROR(INDEX(PP_Grid[#Data],$DE1290,23),0)</f>
        <v/>
      </c>
      <c r="AA1290">
        <f>IFERROR(INDEX(PP_Grid[#Data],$DE1290,24),0)</f>
        <v/>
      </c>
      <c r="AB1290">
        <f>IFERROR(INDEX(PP_Grid[#Data],$DE1290,25),0)</f>
        <v/>
      </c>
      <c r="AC1290">
        <f>IFERROR(INDEX(PP_Grid[#Data],$DE1290,26),0)</f>
        <v/>
      </c>
      <c r="AD1290">
        <f>IFERROR(INDEX(PP_Grid[#Data],$DE1290,27),0)</f>
        <v/>
      </c>
      <c r="AE1290">
        <f>IFERROR(INDEX(PP_Grid[#Data],$DE1290,28),0)</f>
        <v/>
      </c>
      <c r="AF1290">
        <f>IFERROR(INDEX(PP_Grid[#Data],$DE1290,29),0)</f>
        <v/>
      </c>
      <c r="AG1290">
        <f>IFERROR(INDEX(PP_Grid[#Data],$DE1290,30),0)</f>
        <v/>
      </c>
      <c r="AH1290">
        <f>IFERROR(INDEX(PP_Grid[#Data],$DE1290,31),0)</f>
        <v/>
      </c>
      <c r="AI1290">
        <f>IFERROR(INDEX(PP_Grid[#Data],$DE1290,32),0)</f>
        <v/>
      </c>
      <c r="AJ1290">
        <f>IFERROR(INDEX(PP_Grid[#Data],$DE1290,33),0)</f>
        <v/>
      </c>
      <c r="AK1290">
        <f>IFERROR(INDEX(PP_Grid[#Data],$DE1290,34),0)</f>
        <v/>
      </c>
      <c r="AL1290">
        <f>IFERROR(INDEX(PP_Grid[#Data],$DE1290,35),0)</f>
        <v/>
      </c>
      <c r="AM1290">
        <f>IFERROR(INDEX(PP_Grid[#Data],$DE1290,36),0)</f>
        <v/>
      </c>
      <c r="AN1290">
        <f>IFERROR(INDEX(PP_Grid[#Data],$DE1290,37),0)</f>
        <v/>
      </c>
      <c r="AO1290">
        <f>IFERROR(INDEX(PP_Grid[#Data],$DE1290,38),0)</f>
        <v/>
      </c>
      <c r="AP1290">
        <f>IFERROR(INDEX(PP_Grid[#Data],$DE1290,39),0)</f>
        <v/>
      </c>
      <c r="AQ1290">
        <f>IFERROR(INDEX(PP_Grid[#Data],$DE1290,40),0)</f>
        <v/>
      </c>
      <c r="AR1290">
        <f>IFERROR(INDEX(PP_Grid[#Data],$DE1290,41),0)</f>
        <v/>
      </c>
      <c r="AS1290">
        <f>IFERROR(INDEX(PP_Grid[#Data],$DE1290,42),0)</f>
        <v/>
      </c>
      <c r="AT1290">
        <f>IFERROR(INDEX(PP_Grid[#Data],$DE1290,43),0)</f>
        <v/>
      </c>
      <c r="AU1290">
        <f>IFERROR(INDEX(PP_Grid[#Data],$DE1290,44),0)</f>
        <v/>
      </c>
      <c r="AV1290">
        <f>IFERROR(INDEX(PP_Grid[#Data],$DE1290,45),0)</f>
        <v/>
      </c>
      <c r="AW1290">
        <f>IFERROR(INDEX(PP_Grid[#Data],$DE1290,46),0)</f>
        <v/>
      </c>
      <c r="AX1290">
        <f>IFERROR(INDEX(PP_Grid[#Data],$DE1290,47),0)</f>
        <v/>
      </c>
      <c r="AY1290">
        <f>IFERROR(INDEX(PP_Grid[#Data],$DE1290,48),0)</f>
        <v/>
      </c>
      <c r="AZ1290">
        <f>IFERROR(INDEX(PP_Grid[#Data],$DE1290,49),0)</f>
        <v/>
      </c>
      <c r="BA1290">
        <f>IFERROR(INDEX(PP_Grid[#Data],$DE1290,50),0)</f>
        <v/>
      </c>
      <c r="BB1290">
        <f>IFERROR(INDEX(PP_Grid[#Data],$DE1290,51),0)</f>
        <v/>
      </c>
      <c r="BC1290">
        <f>IFERROR(INDEX(PP_Grid[#Data],$DE1290,52),0)</f>
        <v/>
      </c>
      <c r="BD1290">
        <f>IFERROR(INDEX(PP_Grid[#Data],$DE1290,53),0)</f>
        <v/>
      </c>
      <c r="BE1290">
        <f>IFERROR(INDEX(PP_Grid[#Data],$DE1290,54),0)</f>
        <v/>
      </c>
      <c r="BF1290">
        <f>IFERROR(INDEX(PP_Grid[#Data],$DE1290,55),0)</f>
        <v/>
      </c>
      <c r="BG1290">
        <f>IFERROR(INDEX(PP_Grid[#Data],$DE1290,56),0)</f>
        <v/>
      </c>
      <c r="BH1290">
        <f>IFERROR(INDEX(PP_Grid[#Data],$DE1290,57),0)</f>
        <v/>
      </c>
      <c r="BI1290">
        <f>IFERROR(INDEX(PP_Grid[#Data],$DE1290,58),0)</f>
        <v/>
      </c>
      <c r="BJ1290">
        <f>IFERROR(INDEX(PP_Grid[#Data],$DE1290,59),0)</f>
        <v/>
      </c>
      <c r="BK1290">
        <f>IFERROR(INDEX(PP_Grid[#Data],$DE1290,60),0)</f>
        <v/>
      </c>
      <c r="BL1290">
        <f>IFERROR(INDEX(PP_Grid[#Data],$DE1290,61),0)</f>
        <v/>
      </c>
      <c r="BM1290">
        <f>IFERROR(INDEX(PP_Grid[#Data],$DE1290,62),0)</f>
        <v/>
      </c>
      <c r="BN1290">
        <f>IFERROR(INDEX(PP_Grid[#Data],$DE1290,63),0)</f>
        <v/>
      </c>
      <c r="BO1290">
        <f>IFERROR(INDEX(PP_Grid[#Data],$DE1290,64),0)</f>
        <v/>
      </c>
      <c r="BP1290">
        <f>IFERROR(INDEX(PP_Grid[#Data],$DE1290,65),0)</f>
        <v/>
      </c>
      <c r="BQ1290">
        <f>IFERROR(INDEX(PP_Grid[#Data],$DE1290,66),0)</f>
        <v/>
      </c>
      <c r="BR1290">
        <f>IFERROR(INDEX(PP_Grid[#Data],$DE1290,67),0)</f>
        <v/>
      </c>
      <c r="BS1290">
        <f>IFERROR(INDEX(PP_Grid[#Data],$DE1290,68),0)</f>
        <v/>
      </c>
      <c r="BT1290">
        <f>IFERROR(INDEX(PP_Grid[#Data],$DE1290,69),0)</f>
        <v/>
      </c>
      <c r="BU1290">
        <f>IFERROR(INDEX(PP_Grid[#Data],$DE1290,70),0)</f>
        <v/>
      </c>
      <c r="BV1290">
        <f>IFERROR(INDEX(PP_Grid[#Data],$DE1290,71),0)</f>
        <v/>
      </c>
      <c r="BW1290">
        <f>IFERROR(INDEX(PP_Grid[#Data],$DE1290,72),0)</f>
        <v/>
      </c>
      <c r="BX1290">
        <f>IFERROR(INDEX(PP_Grid[#Data],$DE1290,73),0)</f>
        <v/>
      </c>
      <c r="BY1290">
        <f>IFERROR(INDEX(PP_Grid[#Data],$DE1290,74),0)</f>
        <v/>
      </c>
      <c r="BZ1290">
        <f>IFERROR(INDEX(PP_Grid[#Data],$DE1290,75),0)</f>
        <v/>
      </c>
      <c r="CA1290">
        <f>IFERROR(INDEX(PP_Grid[#Data],$DE1290,76),0)</f>
        <v/>
      </c>
      <c r="CB1290">
        <f>IFERROR(INDEX(PP_Grid[#Data],$DE1290,77),0)</f>
        <v/>
      </c>
      <c r="CC1290">
        <f>IFERROR(INDEX(PP_Grid[#Data],$DE1290,78),0)</f>
        <v/>
      </c>
      <c r="CD1290">
        <f>IFERROR(INDEX(PP_Grid[#Data],$DE1290,79),0)</f>
        <v/>
      </c>
      <c r="CE1290">
        <f>IFERROR(INDEX(PP_Grid[#Data],$DE1290,80),0)</f>
        <v/>
      </c>
      <c r="CF1290">
        <f>IFERROR(INDEX(PP_Grid[#Data],$DE1290,81),0)</f>
        <v/>
      </c>
      <c r="CG1290">
        <f>IFERROR(INDEX(PP_Grid[#Data],$DE1290,82),0)</f>
        <v/>
      </c>
      <c r="CH1290">
        <f>IFERROR(INDEX(PP_Grid[#Data],$DE1290,83),0)</f>
        <v/>
      </c>
      <c r="CI1290">
        <f>IFERROR(INDEX(PP_Grid[#Data],$DE1290,84),0)</f>
        <v/>
      </c>
      <c r="CJ1290">
        <f>IFERROR(INDEX(PP_Grid[#Data],$DE1290,85),0)</f>
        <v/>
      </c>
      <c r="CK1290">
        <f>IFERROR(INDEX(PP_Grid[#Data],$DE1290,86),0)</f>
        <v/>
      </c>
      <c r="CL1290">
        <f>IFERROR(INDEX(PP_Grid[#Data],$DE1290,87),0)</f>
        <v/>
      </c>
      <c r="CM1290">
        <f>IFERROR(INDEX(PP_Grid[#Data],$DE1290,88),0)</f>
        <v/>
      </c>
      <c r="CN1290">
        <f>IFERROR(INDEX(PP_Grid[#Data],$DE1290,89),0)</f>
        <v/>
      </c>
      <c r="CO1290">
        <f>IFERROR(INDEX(PP_Grid[#Data],$DE1290,90),0)</f>
        <v/>
      </c>
      <c r="CP1290">
        <f>IFERROR(INDEX(PP_Grid[#Data],$DE1290,91),0)</f>
        <v/>
      </c>
      <c r="CQ1290">
        <f>IFERROR(INDEX(PP_Grid[#Data],$DE1290,92),0)</f>
        <v/>
      </c>
      <c r="CR1290">
        <f>IFERROR(INDEX(PP_Grid[#Data],$DE1290,93),0)</f>
        <v/>
      </c>
      <c r="CS1290">
        <f>IFERROR(INDEX(PP_Grid[#Data],$DE1290,94),0)</f>
        <v/>
      </c>
      <c r="CT1290">
        <f>IFERROR(INDEX(PP_Grid[#Data],$DE1290,95),0)</f>
        <v/>
      </c>
      <c r="CU1290">
        <f>IFERROR(INDEX(PP_Grid[#Data],$DE1290,96),0)</f>
        <v/>
      </c>
      <c r="CV1290">
        <f>IFERROR(INDEX(PP_Grid[#Data],$DE1290,97),0)</f>
        <v/>
      </c>
      <c r="CW1290">
        <f>IFERROR(INDEX(PP_Grid[#Data],$DE1290,98),0)</f>
        <v/>
      </c>
      <c r="CX1290">
        <f>IFERROR(INDEX(PP_Grid[#Data],$DE1290,99),0)</f>
        <v/>
      </c>
      <c r="CY1290">
        <f>IFERROR(INDEX(PP_Grid[#Data],$DE1290,100),0)</f>
        <v/>
      </c>
      <c r="CZ1290">
        <f>IFERROR(INDEX(PP_Grid[#Data],$DE1290,101),0)</f>
        <v/>
      </c>
      <c r="DA1290">
        <f>IFERROR(INDEX(PP_Grid[#Data],$DE1290,102),0)</f>
        <v/>
      </c>
      <c r="DB1290">
        <f>IFERROR(INDEX(PP_Grid[#Data],$DE1290,103),0)</f>
        <v/>
      </c>
      <c r="DC1290">
        <f>IFERROR(INDEX(PP_Grid[#Data],$DE1290,104),0)</f>
        <v/>
      </c>
      <c r="DD1290">
        <f>IFERROR(INDEX(PP_Grid[#Data],$DE1290,105),0)</f>
        <v/>
      </c>
      <c r="DE1290" s="7">
        <f>IFERROR(MATCH($B1290,PP_Grid[Intermediate],0),99999)</f>
        <v/>
      </c>
    </row>
    <row r="1291">
      <c r="B1291" t="inlineStr">
        <is>
          <t>使用量(kg)</t>
        </is>
      </c>
      <c r="C1291">
        <f>SUMIFS(M_BOM[RM_Qty_Per_Batch],M_BOM[Intermediate],$B1290,M_BOM[RM_Code],$A1281)</f>
        <v/>
      </c>
      <c r="D1291">
        <f>IFERROR(INDEX(E1291:DD1291,$F$1),"")</f>
        <v/>
      </c>
      <c r="E1291">
        <f>$C1291*E1290</f>
        <v/>
      </c>
      <c r="F1291">
        <f>$C1291*F1290</f>
        <v/>
      </c>
      <c r="G1291">
        <f>$C1291*G1290</f>
        <v/>
      </c>
      <c r="H1291">
        <f>$C1291*H1290</f>
        <v/>
      </c>
      <c r="I1291">
        <f>$C1291*I1290</f>
        <v/>
      </c>
      <c r="J1291">
        <f>$C1291*J1290</f>
        <v/>
      </c>
      <c r="K1291">
        <f>$C1291*K1290</f>
        <v/>
      </c>
      <c r="L1291">
        <f>$C1291*L1290</f>
        <v/>
      </c>
      <c r="M1291">
        <f>$C1291*M1290</f>
        <v/>
      </c>
      <c r="N1291">
        <f>$C1291*N1290</f>
        <v/>
      </c>
      <c r="O1291">
        <f>$C1291*O1290</f>
        <v/>
      </c>
      <c r="P1291">
        <f>$C1291*P1290</f>
        <v/>
      </c>
      <c r="Q1291">
        <f>$C1291*Q1290</f>
        <v/>
      </c>
      <c r="R1291">
        <f>$C1291*R1290</f>
        <v/>
      </c>
      <c r="S1291">
        <f>$C1291*S1290</f>
        <v/>
      </c>
      <c r="T1291">
        <f>$C1291*T1290</f>
        <v/>
      </c>
      <c r="U1291">
        <f>$C1291*U1290</f>
        <v/>
      </c>
      <c r="V1291">
        <f>$C1291*V1290</f>
        <v/>
      </c>
      <c r="W1291">
        <f>$C1291*W1290</f>
        <v/>
      </c>
      <c r="X1291">
        <f>$C1291*X1290</f>
        <v/>
      </c>
      <c r="Y1291">
        <f>$C1291*Y1290</f>
        <v/>
      </c>
      <c r="Z1291">
        <f>$C1291*Z1290</f>
        <v/>
      </c>
      <c r="AA1291">
        <f>$C1291*AA1290</f>
        <v/>
      </c>
      <c r="AB1291">
        <f>$C1291*AB1290</f>
        <v/>
      </c>
      <c r="AC1291">
        <f>$C1291*AC1290</f>
        <v/>
      </c>
      <c r="AD1291">
        <f>$C1291*AD1290</f>
        <v/>
      </c>
      <c r="AE1291">
        <f>$C1291*AE1290</f>
        <v/>
      </c>
      <c r="AF1291">
        <f>$C1291*AF1290</f>
        <v/>
      </c>
      <c r="AG1291">
        <f>$C1291*AG1290</f>
        <v/>
      </c>
      <c r="AH1291">
        <f>$C1291*AH1290</f>
        <v/>
      </c>
      <c r="AI1291">
        <f>$C1291*AI1290</f>
        <v/>
      </c>
      <c r="AJ1291">
        <f>$C1291*AJ1290</f>
        <v/>
      </c>
      <c r="AK1291">
        <f>$C1291*AK1290</f>
        <v/>
      </c>
      <c r="AL1291">
        <f>$C1291*AL1290</f>
        <v/>
      </c>
      <c r="AM1291">
        <f>$C1291*AM1290</f>
        <v/>
      </c>
      <c r="AN1291">
        <f>$C1291*AN1290</f>
        <v/>
      </c>
      <c r="AO1291">
        <f>$C1291*AO1290</f>
        <v/>
      </c>
      <c r="AP1291">
        <f>$C1291*AP1290</f>
        <v/>
      </c>
      <c r="AQ1291">
        <f>$C1291*AQ1290</f>
        <v/>
      </c>
      <c r="AR1291">
        <f>$C1291*AR1290</f>
        <v/>
      </c>
      <c r="AS1291">
        <f>$C1291*AS1290</f>
        <v/>
      </c>
      <c r="AT1291">
        <f>$C1291*AT1290</f>
        <v/>
      </c>
      <c r="AU1291">
        <f>$C1291*AU1290</f>
        <v/>
      </c>
      <c r="AV1291">
        <f>$C1291*AV1290</f>
        <v/>
      </c>
      <c r="AW1291">
        <f>$C1291*AW1290</f>
        <v/>
      </c>
      <c r="AX1291">
        <f>$C1291*AX1290</f>
        <v/>
      </c>
      <c r="AY1291">
        <f>$C1291*AY1290</f>
        <v/>
      </c>
      <c r="AZ1291">
        <f>$C1291*AZ1290</f>
        <v/>
      </c>
      <c r="BA1291">
        <f>$C1291*BA1290</f>
        <v/>
      </c>
      <c r="BB1291">
        <f>$C1291*BB1290</f>
        <v/>
      </c>
      <c r="BC1291">
        <f>$C1291*BC1290</f>
        <v/>
      </c>
      <c r="BD1291">
        <f>$C1291*BD1290</f>
        <v/>
      </c>
      <c r="BE1291">
        <f>$C1291*BE1290</f>
        <v/>
      </c>
      <c r="BF1291">
        <f>$C1291*BF1290</f>
        <v/>
      </c>
      <c r="BG1291">
        <f>$C1291*BG1290</f>
        <v/>
      </c>
      <c r="BH1291">
        <f>$C1291*BH1290</f>
        <v/>
      </c>
      <c r="BI1291">
        <f>$C1291*BI1290</f>
        <v/>
      </c>
      <c r="BJ1291">
        <f>$C1291*BJ1290</f>
        <v/>
      </c>
      <c r="BK1291">
        <f>$C1291*BK1290</f>
        <v/>
      </c>
      <c r="BL1291">
        <f>$C1291*BL1290</f>
        <v/>
      </c>
      <c r="BM1291">
        <f>$C1291*BM1290</f>
        <v/>
      </c>
      <c r="BN1291">
        <f>$C1291*BN1290</f>
        <v/>
      </c>
      <c r="BO1291">
        <f>$C1291*BO1290</f>
        <v/>
      </c>
      <c r="BP1291">
        <f>$C1291*BP1290</f>
        <v/>
      </c>
      <c r="BQ1291">
        <f>$C1291*BQ1290</f>
        <v/>
      </c>
      <c r="BR1291">
        <f>$C1291*BR1290</f>
        <v/>
      </c>
      <c r="BS1291">
        <f>$C1291*BS1290</f>
        <v/>
      </c>
      <c r="BT1291">
        <f>$C1291*BT1290</f>
        <v/>
      </c>
      <c r="BU1291">
        <f>$C1291*BU1290</f>
        <v/>
      </c>
      <c r="BV1291">
        <f>$C1291*BV1290</f>
        <v/>
      </c>
      <c r="BW1291">
        <f>$C1291*BW1290</f>
        <v/>
      </c>
      <c r="BX1291">
        <f>$C1291*BX1290</f>
        <v/>
      </c>
      <c r="BY1291">
        <f>$C1291*BY1290</f>
        <v/>
      </c>
      <c r="BZ1291">
        <f>$C1291*BZ1290</f>
        <v/>
      </c>
      <c r="CA1291">
        <f>$C1291*CA1290</f>
        <v/>
      </c>
      <c r="CB1291">
        <f>$C1291*CB1290</f>
        <v/>
      </c>
      <c r="CC1291">
        <f>$C1291*CC1290</f>
        <v/>
      </c>
      <c r="CD1291">
        <f>$C1291*CD1290</f>
        <v/>
      </c>
      <c r="CE1291">
        <f>$C1291*CE1290</f>
        <v/>
      </c>
      <c r="CF1291">
        <f>$C1291*CF1290</f>
        <v/>
      </c>
      <c r="CG1291">
        <f>$C1291*CG1290</f>
        <v/>
      </c>
      <c r="CH1291">
        <f>$C1291*CH1290</f>
        <v/>
      </c>
      <c r="CI1291">
        <f>$C1291*CI1290</f>
        <v/>
      </c>
      <c r="CJ1291">
        <f>$C1291*CJ1290</f>
        <v/>
      </c>
      <c r="CK1291">
        <f>$C1291*CK1290</f>
        <v/>
      </c>
      <c r="CL1291">
        <f>$C1291*CL1290</f>
        <v/>
      </c>
      <c r="CM1291">
        <f>$C1291*CM1290</f>
        <v/>
      </c>
      <c r="CN1291">
        <f>$C1291*CN1290</f>
        <v/>
      </c>
      <c r="CO1291">
        <f>$C1291*CO1290</f>
        <v/>
      </c>
      <c r="CP1291">
        <f>$C1291*CP1290</f>
        <v/>
      </c>
      <c r="CQ1291">
        <f>$C1291*CQ1290</f>
        <v/>
      </c>
      <c r="CR1291">
        <f>$C1291*CR1290</f>
        <v/>
      </c>
      <c r="CS1291">
        <f>$C1291*CS1290</f>
        <v/>
      </c>
      <c r="CT1291">
        <f>$C1291*CT1290</f>
        <v/>
      </c>
      <c r="CU1291">
        <f>$C1291*CU1290</f>
        <v/>
      </c>
      <c r="CV1291">
        <f>$C1291*CV1290</f>
        <v/>
      </c>
      <c r="CW1291">
        <f>$C1291*CW1290</f>
        <v/>
      </c>
      <c r="CX1291">
        <f>$C1291*CX1290</f>
        <v/>
      </c>
      <c r="CY1291">
        <f>$C1291*CY1290</f>
        <v/>
      </c>
      <c r="CZ1291">
        <f>$C1291*CZ1290</f>
        <v/>
      </c>
      <c r="DA1291">
        <f>$C1291*DA1290</f>
        <v/>
      </c>
      <c r="DB1291">
        <f>$C1291*DB1290</f>
        <v/>
      </c>
      <c r="DC1291">
        <f>$C1291*DC1290</f>
        <v/>
      </c>
      <c r="DD1291">
        <f>$C1291*DD1290</f>
        <v/>
      </c>
    </row>
    <row r="1292">
      <c r="B1292" t="inlineStr">
        <is>
          <t>TSP-937</t>
        </is>
      </c>
      <c r="C1292" t="inlineStr">
        <is>
          <t>No. of batches</t>
        </is>
      </c>
      <c r="D1292">
        <f>IFERROR(INDEX(E1292:DD1292,$F$1),"")</f>
        <v/>
      </c>
      <c r="E1292">
        <f>IFERROR(INDEX(PP_Grid[#Data],$DE1292,2),0)</f>
        <v/>
      </c>
      <c r="F1292">
        <f>IFERROR(INDEX(PP_Grid[#Data],$DE1292,3),0)</f>
        <v/>
      </c>
      <c r="G1292">
        <f>IFERROR(INDEX(PP_Grid[#Data],$DE1292,4),0)</f>
        <v/>
      </c>
      <c r="H1292">
        <f>IFERROR(INDEX(PP_Grid[#Data],$DE1292,5),0)</f>
        <v/>
      </c>
      <c r="I1292">
        <f>IFERROR(INDEX(PP_Grid[#Data],$DE1292,6),0)</f>
        <v/>
      </c>
      <c r="J1292">
        <f>IFERROR(INDEX(PP_Grid[#Data],$DE1292,7),0)</f>
        <v/>
      </c>
      <c r="K1292">
        <f>IFERROR(INDEX(PP_Grid[#Data],$DE1292,8),0)</f>
        <v/>
      </c>
      <c r="L1292">
        <f>IFERROR(INDEX(PP_Grid[#Data],$DE1292,9),0)</f>
        <v/>
      </c>
      <c r="M1292">
        <f>IFERROR(INDEX(PP_Grid[#Data],$DE1292,10),0)</f>
        <v/>
      </c>
      <c r="N1292">
        <f>IFERROR(INDEX(PP_Grid[#Data],$DE1292,11),0)</f>
        <v/>
      </c>
      <c r="O1292">
        <f>IFERROR(INDEX(PP_Grid[#Data],$DE1292,12),0)</f>
        <v/>
      </c>
      <c r="P1292">
        <f>IFERROR(INDEX(PP_Grid[#Data],$DE1292,13),0)</f>
        <v/>
      </c>
      <c r="Q1292">
        <f>IFERROR(INDEX(PP_Grid[#Data],$DE1292,14),0)</f>
        <v/>
      </c>
      <c r="R1292">
        <f>IFERROR(INDEX(PP_Grid[#Data],$DE1292,15),0)</f>
        <v/>
      </c>
      <c r="S1292">
        <f>IFERROR(INDEX(PP_Grid[#Data],$DE1292,16),0)</f>
        <v/>
      </c>
      <c r="T1292">
        <f>IFERROR(INDEX(PP_Grid[#Data],$DE1292,17),0)</f>
        <v/>
      </c>
      <c r="U1292">
        <f>IFERROR(INDEX(PP_Grid[#Data],$DE1292,18),0)</f>
        <v/>
      </c>
      <c r="V1292">
        <f>IFERROR(INDEX(PP_Grid[#Data],$DE1292,19),0)</f>
        <v/>
      </c>
      <c r="W1292">
        <f>IFERROR(INDEX(PP_Grid[#Data],$DE1292,20),0)</f>
        <v/>
      </c>
      <c r="X1292">
        <f>IFERROR(INDEX(PP_Grid[#Data],$DE1292,21),0)</f>
        <v/>
      </c>
      <c r="Y1292">
        <f>IFERROR(INDEX(PP_Grid[#Data],$DE1292,22),0)</f>
        <v/>
      </c>
      <c r="Z1292">
        <f>IFERROR(INDEX(PP_Grid[#Data],$DE1292,23),0)</f>
        <v/>
      </c>
      <c r="AA1292">
        <f>IFERROR(INDEX(PP_Grid[#Data],$DE1292,24),0)</f>
        <v/>
      </c>
      <c r="AB1292">
        <f>IFERROR(INDEX(PP_Grid[#Data],$DE1292,25),0)</f>
        <v/>
      </c>
      <c r="AC1292">
        <f>IFERROR(INDEX(PP_Grid[#Data],$DE1292,26),0)</f>
        <v/>
      </c>
      <c r="AD1292">
        <f>IFERROR(INDEX(PP_Grid[#Data],$DE1292,27),0)</f>
        <v/>
      </c>
      <c r="AE1292">
        <f>IFERROR(INDEX(PP_Grid[#Data],$DE1292,28),0)</f>
        <v/>
      </c>
      <c r="AF1292">
        <f>IFERROR(INDEX(PP_Grid[#Data],$DE1292,29),0)</f>
        <v/>
      </c>
      <c r="AG1292">
        <f>IFERROR(INDEX(PP_Grid[#Data],$DE1292,30),0)</f>
        <v/>
      </c>
      <c r="AH1292">
        <f>IFERROR(INDEX(PP_Grid[#Data],$DE1292,31),0)</f>
        <v/>
      </c>
      <c r="AI1292">
        <f>IFERROR(INDEX(PP_Grid[#Data],$DE1292,32),0)</f>
        <v/>
      </c>
      <c r="AJ1292">
        <f>IFERROR(INDEX(PP_Grid[#Data],$DE1292,33),0)</f>
        <v/>
      </c>
      <c r="AK1292">
        <f>IFERROR(INDEX(PP_Grid[#Data],$DE1292,34),0)</f>
        <v/>
      </c>
      <c r="AL1292">
        <f>IFERROR(INDEX(PP_Grid[#Data],$DE1292,35),0)</f>
        <v/>
      </c>
      <c r="AM1292">
        <f>IFERROR(INDEX(PP_Grid[#Data],$DE1292,36),0)</f>
        <v/>
      </c>
      <c r="AN1292">
        <f>IFERROR(INDEX(PP_Grid[#Data],$DE1292,37),0)</f>
        <v/>
      </c>
      <c r="AO1292">
        <f>IFERROR(INDEX(PP_Grid[#Data],$DE1292,38),0)</f>
        <v/>
      </c>
      <c r="AP1292">
        <f>IFERROR(INDEX(PP_Grid[#Data],$DE1292,39),0)</f>
        <v/>
      </c>
      <c r="AQ1292">
        <f>IFERROR(INDEX(PP_Grid[#Data],$DE1292,40),0)</f>
        <v/>
      </c>
      <c r="AR1292">
        <f>IFERROR(INDEX(PP_Grid[#Data],$DE1292,41),0)</f>
        <v/>
      </c>
      <c r="AS1292">
        <f>IFERROR(INDEX(PP_Grid[#Data],$DE1292,42),0)</f>
        <v/>
      </c>
      <c r="AT1292">
        <f>IFERROR(INDEX(PP_Grid[#Data],$DE1292,43),0)</f>
        <v/>
      </c>
      <c r="AU1292">
        <f>IFERROR(INDEX(PP_Grid[#Data],$DE1292,44),0)</f>
        <v/>
      </c>
      <c r="AV1292">
        <f>IFERROR(INDEX(PP_Grid[#Data],$DE1292,45),0)</f>
        <v/>
      </c>
      <c r="AW1292">
        <f>IFERROR(INDEX(PP_Grid[#Data],$DE1292,46),0)</f>
        <v/>
      </c>
      <c r="AX1292">
        <f>IFERROR(INDEX(PP_Grid[#Data],$DE1292,47),0)</f>
        <v/>
      </c>
      <c r="AY1292">
        <f>IFERROR(INDEX(PP_Grid[#Data],$DE1292,48),0)</f>
        <v/>
      </c>
      <c r="AZ1292">
        <f>IFERROR(INDEX(PP_Grid[#Data],$DE1292,49),0)</f>
        <v/>
      </c>
      <c r="BA1292">
        <f>IFERROR(INDEX(PP_Grid[#Data],$DE1292,50),0)</f>
        <v/>
      </c>
      <c r="BB1292">
        <f>IFERROR(INDEX(PP_Grid[#Data],$DE1292,51),0)</f>
        <v/>
      </c>
      <c r="BC1292">
        <f>IFERROR(INDEX(PP_Grid[#Data],$DE1292,52),0)</f>
        <v/>
      </c>
      <c r="BD1292">
        <f>IFERROR(INDEX(PP_Grid[#Data],$DE1292,53),0)</f>
        <v/>
      </c>
      <c r="BE1292">
        <f>IFERROR(INDEX(PP_Grid[#Data],$DE1292,54),0)</f>
        <v/>
      </c>
      <c r="BF1292">
        <f>IFERROR(INDEX(PP_Grid[#Data],$DE1292,55),0)</f>
        <v/>
      </c>
      <c r="BG1292">
        <f>IFERROR(INDEX(PP_Grid[#Data],$DE1292,56),0)</f>
        <v/>
      </c>
      <c r="BH1292">
        <f>IFERROR(INDEX(PP_Grid[#Data],$DE1292,57),0)</f>
        <v/>
      </c>
      <c r="BI1292">
        <f>IFERROR(INDEX(PP_Grid[#Data],$DE1292,58),0)</f>
        <v/>
      </c>
      <c r="BJ1292">
        <f>IFERROR(INDEX(PP_Grid[#Data],$DE1292,59),0)</f>
        <v/>
      </c>
      <c r="BK1292">
        <f>IFERROR(INDEX(PP_Grid[#Data],$DE1292,60),0)</f>
        <v/>
      </c>
      <c r="BL1292">
        <f>IFERROR(INDEX(PP_Grid[#Data],$DE1292,61),0)</f>
        <v/>
      </c>
      <c r="BM1292">
        <f>IFERROR(INDEX(PP_Grid[#Data],$DE1292,62),0)</f>
        <v/>
      </c>
      <c r="BN1292">
        <f>IFERROR(INDEX(PP_Grid[#Data],$DE1292,63),0)</f>
        <v/>
      </c>
      <c r="BO1292">
        <f>IFERROR(INDEX(PP_Grid[#Data],$DE1292,64),0)</f>
        <v/>
      </c>
      <c r="BP1292">
        <f>IFERROR(INDEX(PP_Grid[#Data],$DE1292,65),0)</f>
        <v/>
      </c>
      <c r="BQ1292">
        <f>IFERROR(INDEX(PP_Grid[#Data],$DE1292,66),0)</f>
        <v/>
      </c>
      <c r="BR1292">
        <f>IFERROR(INDEX(PP_Grid[#Data],$DE1292,67),0)</f>
        <v/>
      </c>
      <c r="BS1292">
        <f>IFERROR(INDEX(PP_Grid[#Data],$DE1292,68),0)</f>
        <v/>
      </c>
      <c r="BT1292">
        <f>IFERROR(INDEX(PP_Grid[#Data],$DE1292,69),0)</f>
        <v/>
      </c>
      <c r="BU1292">
        <f>IFERROR(INDEX(PP_Grid[#Data],$DE1292,70),0)</f>
        <v/>
      </c>
      <c r="BV1292">
        <f>IFERROR(INDEX(PP_Grid[#Data],$DE1292,71),0)</f>
        <v/>
      </c>
      <c r="BW1292">
        <f>IFERROR(INDEX(PP_Grid[#Data],$DE1292,72),0)</f>
        <v/>
      </c>
      <c r="BX1292">
        <f>IFERROR(INDEX(PP_Grid[#Data],$DE1292,73),0)</f>
        <v/>
      </c>
      <c r="BY1292">
        <f>IFERROR(INDEX(PP_Grid[#Data],$DE1292,74),0)</f>
        <v/>
      </c>
      <c r="BZ1292">
        <f>IFERROR(INDEX(PP_Grid[#Data],$DE1292,75),0)</f>
        <v/>
      </c>
      <c r="CA1292">
        <f>IFERROR(INDEX(PP_Grid[#Data],$DE1292,76),0)</f>
        <v/>
      </c>
      <c r="CB1292">
        <f>IFERROR(INDEX(PP_Grid[#Data],$DE1292,77),0)</f>
        <v/>
      </c>
      <c r="CC1292">
        <f>IFERROR(INDEX(PP_Grid[#Data],$DE1292,78),0)</f>
        <v/>
      </c>
      <c r="CD1292">
        <f>IFERROR(INDEX(PP_Grid[#Data],$DE1292,79),0)</f>
        <v/>
      </c>
      <c r="CE1292">
        <f>IFERROR(INDEX(PP_Grid[#Data],$DE1292,80),0)</f>
        <v/>
      </c>
      <c r="CF1292">
        <f>IFERROR(INDEX(PP_Grid[#Data],$DE1292,81),0)</f>
        <v/>
      </c>
      <c r="CG1292">
        <f>IFERROR(INDEX(PP_Grid[#Data],$DE1292,82),0)</f>
        <v/>
      </c>
      <c r="CH1292">
        <f>IFERROR(INDEX(PP_Grid[#Data],$DE1292,83),0)</f>
        <v/>
      </c>
      <c r="CI1292">
        <f>IFERROR(INDEX(PP_Grid[#Data],$DE1292,84),0)</f>
        <v/>
      </c>
      <c r="CJ1292">
        <f>IFERROR(INDEX(PP_Grid[#Data],$DE1292,85),0)</f>
        <v/>
      </c>
      <c r="CK1292">
        <f>IFERROR(INDEX(PP_Grid[#Data],$DE1292,86),0)</f>
        <v/>
      </c>
      <c r="CL1292">
        <f>IFERROR(INDEX(PP_Grid[#Data],$DE1292,87),0)</f>
        <v/>
      </c>
      <c r="CM1292">
        <f>IFERROR(INDEX(PP_Grid[#Data],$DE1292,88),0)</f>
        <v/>
      </c>
      <c r="CN1292">
        <f>IFERROR(INDEX(PP_Grid[#Data],$DE1292,89),0)</f>
        <v/>
      </c>
      <c r="CO1292">
        <f>IFERROR(INDEX(PP_Grid[#Data],$DE1292,90),0)</f>
        <v/>
      </c>
      <c r="CP1292">
        <f>IFERROR(INDEX(PP_Grid[#Data],$DE1292,91),0)</f>
        <v/>
      </c>
      <c r="CQ1292">
        <f>IFERROR(INDEX(PP_Grid[#Data],$DE1292,92),0)</f>
        <v/>
      </c>
      <c r="CR1292">
        <f>IFERROR(INDEX(PP_Grid[#Data],$DE1292,93),0)</f>
        <v/>
      </c>
      <c r="CS1292">
        <f>IFERROR(INDEX(PP_Grid[#Data],$DE1292,94),0)</f>
        <v/>
      </c>
      <c r="CT1292">
        <f>IFERROR(INDEX(PP_Grid[#Data],$DE1292,95),0)</f>
        <v/>
      </c>
      <c r="CU1292">
        <f>IFERROR(INDEX(PP_Grid[#Data],$DE1292,96),0)</f>
        <v/>
      </c>
      <c r="CV1292">
        <f>IFERROR(INDEX(PP_Grid[#Data],$DE1292,97),0)</f>
        <v/>
      </c>
      <c r="CW1292">
        <f>IFERROR(INDEX(PP_Grid[#Data],$DE1292,98),0)</f>
        <v/>
      </c>
      <c r="CX1292">
        <f>IFERROR(INDEX(PP_Grid[#Data],$DE1292,99),0)</f>
        <v/>
      </c>
      <c r="CY1292">
        <f>IFERROR(INDEX(PP_Grid[#Data],$DE1292,100),0)</f>
        <v/>
      </c>
      <c r="CZ1292">
        <f>IFERROR(INDEX(PP_Grid[#Data],$DE1292,101),0)</f>
        <v/>
      </c>
      <c r="DA1292">
        <f>IFERROR(INDEX(PP_Grid[#Data],$DE1292,102),0)</f>
        <v/>
      </c>
      <c r="DB1292">
        <f>IFERROR(INDEX(PP_Grid[#Data],$DE1292,103),0)</f>
        <v/>
      </c>
      <c r="DC1292">
        <f>IFERROR(INDEX(PP_Grid[#Data],$DE1292,104),0)</f>
        <v/>
      </c>
      <c r="DD1292">
        <f>IFERROR(INDEX(PP_Grid[#Data],$DE1292,105),0)</f>
        <v/>
      </c>
      <c r="DE1292" s="7">
        <f>IFERROR(MATCH($B1292,PP_Grid[Intermediate],0),99999)</f>
        <v/>
      </c>
    </row>
    <row r="1293">
      <c r="B1293" t="inlineStr">
        <is>
          <t>使用量(kg)</t>
        </is>
      </c>
      <c r="C1293">
        <f>SUMIFS(M_BOM[RM_Qty_Per_Batch],M_BOM[Intermediate],$B1292,M_BOM[RM_Code],$A1281)</f>
        <v/>
      </c>
      <c r="D1293">
        <f>IFERROR(INDEX(E1293:DD1293,$F$1),"")</f>
        <v/>
      </c>
      <c r="E1293">
        <f>$C1293*E1292</f>
        <v/>
      </c>
      <c r="F1293">
        <f>$C1293*F1292</f>
        <v/>
      </c>
      <c r="G1293">
        <f>$C1293*G1292</f>
        <v/>
      </c>
      <c r="H1293">
        <f>$C1293*H1292</f>
        <v/>
      </c>
      <c r="I1293">
        <f>$C1293*I1292</f>
        <v/>
      </c>
      <c r="J1293">
        <f>$C1293*J1292</f>
        <v/>
      </c>
      <c r="K1293">
        <f>$C1293*K1292</f>
        <v/>
      </c>
      <c r="L1293">
        <f>$C1293*L1292</f>
        <v/>
      </c>
      <c r="M1293">
        <f>$C1293*M1292</f>
        <v/>
      </c>
      <c r="N1293">
        <f>$C1293*N1292</f>
        <v/>
      </c>
      <c r="O1293">
        <f>$C1293*O1292</f>
        <v/>
      </c>
      <c r="P1293">
        <f>$C1293*P1292</f>
        <v/>
      </c>
      <c r="Q1293">
        <f>$C1293*Q1292</f>
        <v/>
      </c>
      <c r="R1293">
        <f>$C1293*R1292</f>
        <v/>
      </c>
      <c r="S1293">
        <f>$C1293*S1292</f>
        <v/>
      </c>
      <c r="T1293">
        <f>$C1293*T1292</f>
        <v/>
      </c>
      <c r="U1293">
        <f>$C1293*U1292</f>
        <v/>
      </c>
      <c r="V1293">
        <f>$C1293*V1292</f>
        <v/>
      </c>
      <c r="W1293">
        <f>$C1293*W1292</f>
        <v/>
      </c>
      <c r="X1293">
        <f>$C1293*X1292</f>
        <v/>
      </c>
      <c r="Y1293">
        <f>$C1293*Y1292</f>
        <v/>
      </c>
      <c r="Z1293">
        <f>$C1293*Z1292</f>
        <v/>
      </c>
      <c r="AA1293">
        <f>$C1293*AA1292</f>
        <v/>
      </c>
      <c r="AB1293">
        <f>$C1293*AB1292</f>
        <v/>
      </c>
      <c r="AC1293">
        <f>$C1293*AC1292</f>
        <v/>
      </c>
      <c r="AD1293">
        <f>$C1293*AD1292</f>
        <v/>
      </c>
      <c r="AE1293">
        <f>$C1293*AE1292</f>
        <v/>
      </c>
      <c r="AF1293">
        <f>$C1293*AF1292</f>
        <v/>
      </c>
      <c r="AG1293">
        <f>$C1293*AG1292</f>
        <v/>
      </c>
      <c r="AH1293">
        <f>$C1293*AH1292</f>
        <v/>
      </c>
      <c r="AI1293">
        <f>$C1293*AI1292</f>
        <v/>
      </c>
      <c r="AJ1293">
        <f>$C1293*AJ1292</f>
        <v/>
      </c>
      <c r="AK1293">
        <f>$C1293*AK1292</f>
        <v/>
      </c>
      <c r="AL1293">
        <f>$C1293*AL1292</f>
        <v/>
      </c>
      <c r="AM1293">
        <f>$C1293*AM1292</f>
        <v/>
      </c>
      <c r="AN1293">
        <f>$C1293*AN1292</f>
        <v/>
      </c>
      <c r="AO1293">
        <f>$C1293*AO1292</f>
        <v/>
      </c>
      <c r="AP1293">
        <f>$C1293*AP1292</f>
        <v/>
      </c>
      <c r="AQ1293">
        <f>$C1293*AQ1292</f>
        <v/>
      </c>
      <c r="AR1293">
        <f>$C1293*AR1292</f>
        <v/>
      </c>
      <c r="AS1293">
        <f>$C1293*AS1292</f>
        <v/>
      </c>
      <c r="AT1293">
        <f>$C1293*AT1292</f>
        <v/>
      </c>
      <c r="AU1293">
        <f>$C1293*AU1292</f>
        <v/>
      </c>
      <c r="AV1293">
        <f>$C1293*AV1292</f>
        <v/>
      </c>
      <c r="AW1293">
        <f>$C1293*AW1292</f>
        <v/>
      </c>
      <c r="AX1293">
        <f>$C1293*AX1292</f>
        <v/>
      </c>
      <c r="AY1293">
        <f>$C1293*AY1292</f>
        <v/>
      </c>
      <c r="AZ1293">
        <f>$C1293*AZ1292</f>
        <v/>
      </c>
      <c r="BA1293">
        <f>$C1293*BA1292</f>
        <v/>
      </c>
      <c r="BB1293">
        <f>$C1293*BB1292</f>
        <v/>
      </c>
      <c r="BC1293">
        <f>$C1293*BC1292</f>
        <v/>
      </c>
      <c r="BD1293">
        <f>$C1293*BD1292</f>
        <v/>
      </c>
      <c r="BE1293">
        <f>$C1293*BE1292</f>
        <v/>
      </c>
      <c r="BF1293">
        <f>$C1293*BF1292</f>
        <v/>
      </c>
      <c r="BG1293">
        <f>$C1293*BG1292</f>
        <v/>
      </c>
      <c r="BH1293">
        <f>$C1293*BH1292</f>
        <v/>
      </c>
      <c r="BI1293">
        <f>$C1293*BI1292</f>
        <v/>
      </c>
      <c r="BJ1293">
        <f>$C1293*BJ1292</f>
        <v/>
      </c>
      <c r="BK1293">
        <f>$C1293*BK1292</f>
        <v/>
      </c>
      <c r="BL1293">
        <f>$C1293*BL1292</f>
        <v/>
      </c>
      <c r="BM1293">
        <f>$C1293*BM1292</f>
        <v/>
      </c>
      <c r="BN1293">
        <f>$C1293*BN1292</f>
        <v/>
      </c>
      <c r="BO1293">
        <f>$C1293*BO1292</f>
        <v/>
      </c>
      <c r="BP1293">
        <f>$C1293*BP1292</f>
        <v/>
      </c>
      <c r="BQ1293">
        <f>$C1293*BQ1292</f>
        <v/>
      </c>
      <c r="BR1293">
        <f>$C1293*BR1292</f>
        <v/>
      </c>
      <c r="BS1293">
        <f>$C1293*BS1292</f>
        <v/>
      </c>
      <c r="BT1293">
        <f>$C1293*BT1292</f>
        <v/>
      </c>
      <c r="BU1293">
        <f>$C1293*BU1292</f>
        <v/>
      </c>
      <c r="BV1293">
        <f>$C1293*BV1292</f>
        <v/>
      </c>
      <c r="BW1293">
        <f>$C1293*BW1292</f>
        <v/>
      </c>
      <c r="BX1293">
        <f>$C1293*BX1292</f>
        <v/>
      </c>
      <c r="BY1293">
        <f>$C1293*BY1292</f>
        <v/>
      </c>
      <c r="BZ1293">
        <f>$C1293*BZ1292</f>
        <v/>
      </c>
      <c r="CA1293">
        <f>$C1293*CA1292</f>
        <v/>
      </c>
      <c r="CB1293">
        <f>$C1293*CB1292</f>
        <v/>
      </c>
      <c r="CC1293">
        <f>$C1293*CC1292</f>
        <v/>
      </c>
      <c r="CD1293">
        <f>$C1293*CD1292</f>
        <v/>
      </c>
      <c r="CE1293">
        <f>$C1293*CE1292</f>
        <v/>
      </c>
      <c r="CF1293">
        <f>$C1293*CF1292</f>
        <v/>
      </c>
      <c r="CG1293">
        <f>$C1293*CG1292</f>
        <v/>
      </c>
      <c r="CH1293">
        <f>$C1293*CH1292</f>
        <v/>
      </c>
      <c r="CI1293">
        <f>$C1293*CI1292</f>
        <v/>
      </c>
      <c r="CJ1293">
        <f>$C1293*CJ1292</f>
        <v/>
      </c>
      <c r="CK1293">
        <f>$C1293*CK1292</f>
        <v/>
      </c>
      <c r="CL1293">
        <f>$C1293*CL1292</f>
        <v/>
      </c>
      <c r="CM1293">
        <f>$C1293*CM1292</f>
        <v/>
      </c>
      <c r="CN1293">
        <f>$C1293*CN1292</f>
        <v/>
      </c>
      <c r="CO1293">
        <f>$C1293*CO1292</f>
        <v/>
      </c>
      <c r="CP1293">
        <f>$C1293*CP1292</f>
        <v/>
      </c>
      <c r="CQ1293">
        <f>$C1293*CQ1292</f>
        <v/>
      </c>
      <c r="CR1293">
        <f>$C1293*CR1292</f>
        <v/>
      </c>
      <c r="CS1293">
        <f>$C1293*CS1292</f>
        <v/>
      </c>
      <c r="CT1293">
        <f>$C1293*CT1292</f>
        <v/>
      </c>
      <c r="CU1293">
        <f>$C1293*CU1292</f>
        <v/>
      </c>
      <c r="CV1293">
        <f>$C1293*CV1292</f>
        <v/>
      </c>
      <c r="CW1293">
        <f>$C1293*CW1292</f>
        <v/>
      </c>
      <c r="CX1293">
        <f>$C1293*CX1292</f>
        <v/>
      </c>
      <c r="CY1293">
        <f>$C1293*CY1292</f>
        <v/>
      </c>
      <c r="CZ1293">
        <f>$C1293*CZ1292</f>
        <v/>
      </c>
      <c r="DA1293">
        <f>$C1293*DA1292</f>
        <v/>
      </c>
      <c r="DB1293">
        <f>$C1293*DB1292</f>
        <v/>
      </c>
      <c r="DC1293">
        <f>$C1293*DC1292</f>
        <v/>
      </c>
      <c r="DD1293">
        <f>$C1293*DD1292</f>
        <v/>
      </c>
    </row>
    <row r="1294">
      <c r="B1294" t="inlineStr">
        <is>
          <t>20p</t>
        </is>
      </c>
      <c r="C1294" t="inlineStr">
        <is>
          <t>No. of batches</t>
        </is>
      </c>
      <c r="D1294">
        <f>IFERROR(INDEX(E1294:DD1294,$F$1),"")</f>
        <v/>
      </c>
      <c r="E1294">
        <f>IFERROR(INDEX(PP_Grid[#Data],$DE1294,2),0)</f>
        <v/>
      </c>
      <c r="F1294">
        <f>IFERROR(INDEX(PP_Grid[#Data],$DE1294,3),0)</f>
        <v/>
      </c>
      <c r="G1294">
        <f>IFERROR(INDEX(PP_Grid[#Data],$DE1294,4),0)</f>
        <v/>
      </c>
      <c r="H1294">
        <f>IFERROR(INDEX(PP_Grid[#Data],$DE1294,5),0)</f>
        <v/>
      </c>
      <c r="I1294">
        <f>IFERROR(INDEX(PP_Grid[#Data],$DE1294,6),0)</f>
        <v/>
      </c>
      <c r="J1294">
        <f>IFERROR(INDEX(PP_Grid[#Data],$DE1294,7),0)</f>
        <v/>
      </c>
      <c r="K1294">
        <f>IFERROR(INDEX(PP_Grid[#Data],$DE1294,8),0)</f>
        <v/>
      </c>
      <c r="L1294">
        <f>IFERROR(INDEX(PP_Grid[#Data],$DE1294,9),0)</f>
        <v/>
      </c>
      <c r="M1294">
        <f>IFERROR(INDEX(PP_Grid[#Data],$DE1294,10),0)</f>
        <v/>
      </c>
      <c r="N1294">
        <f>IFERROR(INDEX(PP_Grid[#Data],$DE1294,11),0)</f>
        <v/>
      </c>
      <c r="O1294">
        <f>IFERROR(INDEX(PP_Grid[#Data],$DE1294,12),0)</f>
        <v/>
      </c>
      <c r="P1294">
        <f>IFERROR(INDEX(PP_Grid[#Data],$DE1294,13),0)</f>
        <v/>
      </c>
      <c r="Q1294">
        <f>IFERROR(INDEX(PP_Grid[#Data],$DE1294,14),0)</f>
        <v/>
      </c>
      <c r="R1294">
        <f>IFERROR(INDEX(PP_Grid[#Data],$DE1294,15),0)</f>
        <v/>
      </c>
      <c r="S1294">
        <f>IFERROR(INDEX(PP_Grid[#Data],$DE1294,16),0)</f>
        <v/>
      </c>
      <c r="T1294">
        <f>IFERROR(INDEX(PP_Grid[#Data],$DE1294,17),0)</f>
        <v/>
      </c>
      <c r="U1294">
        <f>IFERROR(INDEX(PP_Grid[#Data],$DE1294,18),0)</f>
        <v/>
      </c>
      <c r="V1294">
        <f>IFERROR(INDEX(PP_Grid[#Data],$DE1294,19),0)</f>
        <v/>
      </c>
      <c r="W1294">
        <f>IFERROR(INDEX(PP_Grid[#Data],$DE1294,20),0)</f>
        <v/>
      </c>
      <c r="X1294">
        <f>IFERROR(INDEX(PP_Grid[#Data],$DE1294,21),0)</f>
        <v/>
      </c>
      <c r="Y1294">
        <f>IFERROR(INDEX(PP_Grid[#Data],$DE1294,22),0)</f>
        <v/>
      </c>
      <c r="Z1294">
        <f>IFERROR(INDEX(PP_Grid[#Data],$DE1294,23),0)</f>
        <v/>
      </c>
      <c r="AA1294">
        <f>IFERROR(INDEX(PP_Grid[#Data],$DE1294,24),0)</f>
        <v/>
      </c>
      <c r="AB1294">
        <f>IFERROR(INDEX(PP_Grid[#Data],$DE1294,25),0)</f>
        <v/>
      </c>
      <c r="AC1294">
        <f>IFERROR(INDEX(PP_Grid[#Data],$DE1294,26),0)</f>
        <v/>
      </c>
      <c r="AD1294">
        <f>IFERROR(INDEX(PP_Grid[#Data],$DE1294,27),0)</f>
        <v/>
      </c>
      <c r="AE1294">
        <f>IFERROR(INDEX(PP_Grid[#Data],$DE1294,28),0)</f>
        <v/>
      </c>
      <c r="AF1294">
        <f>IFERROR(INDEX(PP_Grid[#Data],$DE1294,29),0)</f>
        <v/>
      </c>
      <c r="AG1294">
        <f>IFERROR(INDEX(PP_Grid[#Data],$DE1294,30),0)</f>
        <v/>
      </c>
      <c r="AH1294">
        <f>IFERROR(INDEX(PP_Grid[#Data],$DE1294,31),0)</f>
        <v/>
      </c>
      <c r="AI1294">
        <f>IFERROR(INDEX(PP_Grid[#Data],$DE1294,32),0)</f>
        <v/>
      </c>
      <c r="AJ1294">
        <f>IFERROR(INDEX(PP_Grid[#Data],$DE1294,33),0)</f>
        <v/>
      </c>
      <c r="AK1294">
        <f>IFERROR(INDEX(PP_Grid[#Data],$DE1294,34),0)</f>
        <v/>
      </c>
      <c r="AL1294">
        <f>IFERROR(INDEX(PP_Grid[#Data],$DE1294,35),0)</f>
        <v/>
      </c>
      <c r="AM1294">
        <f>IFERROR(INDEX(PP_Grid[#Data],$DE1294,36),0)</f>
        <v/>
      </c>
      <c r="AN1294">
        <f>IFERROR(INDEX(PP_Grid[#Data],$DE1294,37),0)</f>
        <v/>
      </c>
      <c r="AO1294">
        <f>IFERROR(INDEX(PP_Grid[#Data],$DE1294,38),0)</f>
        <v/>
      </c>
      <c r="AP1294">
        <f>IFERROR(INDEX(PP_Grid[#Data],$DE1294,39),0)</f>
        <v/>
      </c>
      <c r="AQ1294">
        <f>IFERROR(INDEX(PP_Grid[#Data],$DE1294,40),0)</f>
        <v/>
      </c>
      <c r="AR1294">
        <f>IFERROR(INDEX(PP_Grid[#Data],$DE1294,41),0)</f>
        <v/>
      </c>
      <c r="AS1294">
        <f>IFERROR(INDEX(PP_Grid[#Data],$DE1294,42),0)</f>
        <v/>
      </c>
      <c r="AT1294">
        <f>IFERROR(INDEX(PP_Grid[#Data],$DE1294,43),0)</f>
        <v/>
      </c>
      <c r="AU1294">
        <f>IFERROR(INDEX(PP_Grid[#Data],$DE1294,44),0)</f>
        <v/>
      </c>
      <c r="AV1294">
        <f>IFERROR(INDEX(PP_Grid[#Data],$DE1294,45),0)</f>
        <v/>
      </c>
      <c r="AW1294">
        <f>IFERROR(INDEX(PP_Grid[#Data],$DE1294,46),0)</f>
        <v/>
      </c>
      <c r="AX1294">
        <f>IFERROR(INDEX(PP_Grid[#Data],$DE1294,47),0)</f>
        <v/>
      </c>
      <c r="AY1294">
        <f>IFERROR(INDEX(PP_Grid[#Data],$DE1294,48),0)</f>
        <v/>
      </c>
      <c r="AZ1294">
        <f>IFERROR(INDEX(PP_Grid[#Data],$DE1294,49),0)</f>
        <v/>
      </c>
      <c r="BA1294">
        <f>IFERROR(INDEX(PP_Grid[#Data],$DE1294,50),0)</f>
        <v/>
      </c>
      <c r="BB1294">
        <f>IFERROR(INDEX(PP_Grid[#Data],$DE1294,51),0)</f>
        <v/>
      </c>
      <c r="BC1294">
        <f>IFERROR(INDEX(PP_Grid[#Data],$DE1294,52),0)</f>
        <v/>
      </c>
      <c r="BD1294">
        <f>IFERROR(INDEX(PP_Grid[#Data],$DE1294,53),0)</f>
        <v/>
      </c>
      <c r="BE1294">
        <f>IFERROR(INDEX(PP_Grid[#Data],$DE1294,54),0)</f>
        <v/>
      </c>
      <c r="BF1294">
        <f>IFERROR(INDEX(PP_Grid[#Data],$DE1294,55),0)</f>
        <v/>
      </c>
      <c r="BG1294">
        <f>IFERROR(INDEX(PP_Grid[#Data],$DE1294,56),0)</f>
        <v/>
      </c>
      <c r="BH1294">
        <f>IFERROR(INDEX(PP_Grid[#Data],$DE1294,57),0)</f>
        <v/>
      </c>
      <c r="BI1294">
        <f>IFERROR(INDEX(PP_Grid[#Data],$DE1294,58),0)</f>
        <v/>
      </c>
      <c r="BJ1294">
        <f>IFERROR(INDEX(PP_Grid[#Data],$DE1294,59),0)</f>
        <v/>
      </c>
      <c r="BK1294">
        <f>IFERROR(INDEX(PP_Grid[#Data],$DE1294,60),0)</f>
        <v/>
      </c>
      <c r="BL1294">
        <f>IFERROR(INDEX(PP_Grid[#Data],$DE1294,61),0)</f>
        <v/>
      </c>
      <c r="BM1294">
        <f>IFERROR(INDEX(PP_Grid[#Data],$DE1294,62),0)</f>
        <v/>
      </c>
      <c r="BN1294">
        <f>IFERROR(INDEX(PP_Grid[#Data],$DE1294,63),0)</f>
        <v/>
      </c>
      <c r="BO1294">
        <f>IFERROR(INDEX(PP_Grid[#Data],$DE1294,64),0)</f>
        <v/>
      </c>
      <c r="BP1294">
        <f>IFERROR(INDEX(PP_Grid[#Data],$DE1294,65),0)</f>
        <v/>
      </c>
      <c r="BQ1294">
        <f>IFERROR(INDEX(PP_Grid[#Data],$DE1294,66),0)</f>
        <v/>
      </c>
      <c r="BR1294">
        <f>IFERROR(INDEX(PP_Grid[#Data],$DE1294,67),0)</f>
        <v/>
      </c>
      <c r="BS1294">
        <f>IFERROR(INDEX(PP_Grid[#Data],$DE1294,68),0)</f>
        <v/>
      </c>
      <c r="BT1294">
        <f>IFERROR(INDEX(PP_Grid[#Data],$DE1294,69),0)</f>
        <v/>
      </c>
      <c r="BU1294">
        <f>IFERROR(INDEX(PP_Grid[#Data],$DE1294,70),0)</f>
        <v/>
      </c>
      <c r="BV1294">
        <f>IFERROR(INDEX(PP_Grid[#Data],$DE1294,71),0)</f>
        <v/>
      </c>
      <c r="BW1294">
        <f>IFERROR(INDEX(PP_Grid[#Data],$DE1294,72),0)</f>
        <v/>
      </c>
      <c r="BX1294">
        <f>IFERROR(INDEX(PP_Grid[#Data],$DE1294,73),0)</f>
        <v/>
      </c>
      <c r="BY1294">
        <f>IFERROR(INDEX(PP_Grid[#Data],$DE1294,74),0)</f>
        <v/>
      </c>
      <c r="BZ1294">
        <f>IFERROR(INDEX(PP_Grid[#Data],$DE1294,75),0)</f>
        <v/>
      </c>
      <c r="CA1294">
        <f>IFERROR(INDEX(PP_Grid[#Data],$DE1294,76),0)</f>
        <v/>
      </c>
      <c r="CB1294">
        <f>IFERROR(INDEX(PP_Grid[#Data],$DE1294,77),0)</f>
        <v/>
      </c>
      <c r="CC1294">
        <f>IFERROR(INDEX(PP_Grid[#Data],$DE1294,78),0)</f>
        <v/>
      </c>
      <c r="CD1294">
        <f>IFERROR(INDEX(PP_Grid[#Data],$DE1294,79),0)</f>
        <v/>
      </c>
      <c r="CE1294">
        <f>IFERROR(INDEX(PP_Grid[#Data],$DE1294,80),0)</f>
        <v/>
      </c>
      <c r="CF1294">
        <f>IFERROR(INDEX(PP_Grid[#Data],$DE1294,81),0)</f>
        <v/>
      </c>
      <c r="CG1294">
        <f>IFERROR(INDEX(PP_Grid[#Data],$DE1294,82),0)</f>
        <v/>
      </c>
      <c r="CH1294">
        <f>IFERROR(INDEX(PP_Grid[#Data],$DE1294,83),0)</f>
        <v/>
      </c>
      <c r="CI1294">
        <f>IFERROR(INDEX(PP_Grid[#Data],$DE1294,84),0)</f>
        <v/>
      </c>
      <c r="CJ1294">
        <f>IFERROR(INDEX(PP_Grid[#Data],$DE1294,85),0)</f>
        <v/>
      </c>
      <c r="CK1294">
        <f>IFERROR(INDEX(PP_Grid[#Data],$DE1294,86),0)</f>
        <v/>
      </c>
      <c r="CL1294">
        <f>IFERROR(INDEX(PP_Grid[#Data],$DE1294,87),0)</f>
        <v/>
      </c>
      <c r="CM1294">
        <f>IFERROR(INDEX(PP_Grid[#Data],$DE1294,88),0)</f>
        <v/>
      </c>
      <c r="CN1294">
        <f>IFERROR(INDEX(PP_Grid[#Data],$DE1294,89),0)</f>
        <v/>
      </c>
      <c r="CO1294">
        <f>IFERROR(INDEX(PP_Grid[#Data],$DE1294,90),0)</f>
        <v/>
      </c>
      <c r="CP1294">
        <f>IFERROR(INDEX(PP_Grid[#Data],$DE1294,91),0)</f>
        <v/>
      </c>
      <c r="CQ1294">
        <f>IFERROR(INDEX(PP_Grid[#Data],$DE1294,92),0)</f>
        <v/>
      </c>
      <c r="CR1294">
        <f>IFERROR(INDEX(PP_Grid[#Data],$DE1294,93),0)</f>
        <v/>
      </c>
      <c r="CS1294">
        <f>IFERROR(INDEX(PP_Grid[#Data],$DE1294,94),0)</f>
        <v/>
      </c>
      <c r="CT1294">
        <f>IFERROR(INDEX(PP_Grid[#Data],$DE1294,95),0)</f>
        <v/>
      </c>
      <c r="CU1294">
        <f>IFERROR(INDEX(PP_Grid[#Data],$DE1294,96),0)</f>
        <v/>
      </c>
      <c r="CV1294">
        <f>IFERROR(INDEX(PP_Grid[#Data],$DE1294,97),0)</f>
        <v/>
      </c>
      <c r="CW1294">
        <f>IFERROR(INDEX(PP_Grid[#Data],$DE1294,98),0)</f>
        <v/>
      </c>
      <c r="CX1294">
        <f>IFERROR(INDEX(PP_Grid[#Data],$DE1294,99),0)</f>
        <v/>
      </c>
      <c r="CY1294">
        <f>IFERROR(INDEX(PP_Grid[#Data],$DE1294,100),0)</f>
        <v/>
      </c>
      <c r="CZ1294">
        <f>IFERROR(INDEX(PP_Grid[#Data],$DE1294,101),0)</f>
        <v/>
      </c>
      <c r="DA1294">
        <f>IFERROR(INDEX(PP_Grid[#Data],$DE1294,102),0)</f>
        <v/>
      </c>
      <c r="DB1294">
        <f>IFERROR(INDEX(PP_Grid[#Data],$DE1294,103),0)</f>
        <v/>
      </c>
      <c r="DC1294">
        <f>IFERROR(INDEX(PP_Grid[#Data],$DE1294,104),0)</f>
        <v/>
      </c>
      <c r="DD1294">
        <f>IFERROR(INDEX(PP_Grid[#Data],$DE1294,105),0)</f>
        <v/>
      </c>
      <c r="DE1294" s="7">
        <f>IFERROR(MATCH($B1294,PP_Grid[Intermediate],0),99999)</f>
        <v/>
      </c>
    </row>
    <row r="1295">
      <c r="B1295" t="inlineStr">
        <is>
          <t>使用量(kg)</t>
        </is>
      </c>
      <c r="C1295">
        <f>SUMIFS(M_BOM[RM_Qty_Per_Batch],M_BOM[Intermediate],$B1294,M_BOM[RM_Code],$A1281)</f>
        <v/>
      </c>
      <c r="D1295">
        <f>IFERROR(INDEX(E1295:DD1295,$F$1),"")</f>
        <v/>
      </c>
      <c r="E1295">
        <f>$C1295*E1294</f>
        <v/>
      </c>
      <c r="F1295">
        <f>$C1295*F1294</f>
        <v/>
      </c>
      <c r="G1295">
        <f>$C1295*G1294</f>
        <v/>
      </c>
      <c r="H1295">
        <f>$C1295*H1294</f>
        <v/>
      </c>
      <c r="I1295">
        <f>$C1295*I1294</f>
        <v/>
      </c>
      <c r="J1295">
        <f>$C1295*J1294</f>
        <v/>
      </c>
      <c r="K1295">
        <f>$C1295*K1294</f>
        <v/>
      </c>
      <c r="L1295">
        <f>$C1295*L1294</f>
        <v/>
      </c>
      <c r="M1295">
        <f>$C1295*M1294</f>
        <v/>
      </c>
      <c r="N1295">
        <f>$C1295*N1294</f>
        <v/>
      </c>
      <c r="O1295">
        <f>$C1295*O1294</f>
        <v/>
      </c>
      <c r="P1295">
        <f>$C1295*P1294</f>
        <v/>
      </c>
      <c r="Q1295">
        <f>$C1295*Q1294</f>
        <v/>
      </c>
      <c r="R1295">
        <f>$C1295*R1294</f>
        <v/>
      </c>
      <c r="S1295">
        <f>$C1295*S1294</f>
        <v/>
      </c>
      <c r="T1295">
        <f>$C1295*T1294</f>
        <v/>
      </c>
      <c r="U1295">
        <f>$C1295*U1294</f>
        <v/>
      </c>
      <c r="V1295">
        <f>$C1295*V1294</f>
        <v/>
      </c>
      <c r="W1295">
        <f>$C1295*W1294</f>
        <v/>
      </c>
      <c r="X1295">
        <f>$C1295*X1294</f>
        <v/>
      </c>
      <c r="Y1295">
        <f>$C1295*Y1294</f>
        <v/>
      </c>
      <c r="Z1295">
        <f>$C1295*Z1294</f>
        <v/>
      </c>
      <c r="AA1295">
        <f>$C1295*AA1294</f>
        <v/>
      </c>
      <c r="AB1295">
        <f>$C1295*AB1294</f>
        <v/>
      </c>
      <c r="AC1295">
        <f>$C1295*AC1294</f>
        <v/>
      </c>
      <c r="AD1295">
        <f>$C1295*AD1294</f>
        <v/>
      </c>
      <c r="AE1295">
        <f>$C1295*AE1294</f>
        <v/>
      </c>
      <c r="AF1295">
        <f>$C1295*AF1294</f>
        <v/>
      </c>
      <c r="AG1295">
        <f>$C1295*AG1294</f>
        <v/>
      </c>
      <c r="AH1295">
        <f>$C1295*AH1294</f>
        <v/>
      </c>
      <c r="AI1295">
        <f>$C1295*AI1294</f>
        <v/>
      </c>
      <c r="AJ1295">
        <f>$C1295*AJ1294</f>
        <v/>
      </c>
      <c r="AK1295">
        <f>$C1295*AK1294</f>
        <v/>
      </c>
      <c r="AL1295">
        <f>$C1295*AL1294</f>
        <v/>
      </c>
      <c r="AM1295">
        <f>$C1295*AM1294</f>
        <v/>
      </c>
      <c r="AN1295">
        <f>$C1295*AN1294</f>
        <v/>
      </c>
      <c r="AO1295">
        <f>$C1295*AO1294</f>
        <v/>
      </c>
      <c r="AP1295">
        <f>$C1295*AP1294</f>
        <v/>
      </c>
      <c r="AQ1295">
        <f>$C1295*AQ1294</f>
        <v/>
      </c>
      <c r="AR1295">
        <f>$C1295*AR1294</f>
        <v/>
      </c>
      <c r="AS1295">
        <f>$C1295*AS1294</f>
        <v/>
      </c>
      <c r="AT1295">
        <f>$C1295*AT1294</f>
        <v/>
      </c>
      <c r="AU1295">
        <f>$C1295*AU1294</f>
        <v/>
      </c>
      <c r="AV1295">
        <f>$C1295*AV1294</f>
        <v/>
      </c>
      <c r="AW1295">
        <f>$C1295*AW1294</f>
        <v/>
      </c>
      <c r="AX1295">
        <f>$C1295*AX1294</f>
        <v/>
      </c>
      <c r="AY1295">
        <f>$C1295*AY1294</f>
        <v/>
      </c>
      <c r="AZ1295">
        <f>$C1295*AZ1294</f>
        <v/>
      </c>
      <c r="BA1295">
        <f>$C1295*BA1294</f>
        <v/>
      </c>
      <c r="BB1295">
        <f>$C1295*BB1294</f>
        <v/>
      </c>
      <c r="BC1295">
        <f>$C1295*BC1294</f>
        <v/>
      </c>
      <c r="BD1295">
        <f>$C1295*BD1294</f>
        <v/>
      </c>
      <c r="BE1295">
        <f>$C1295*BE1294</f>
        <v/>
      </c>
      <c r="BF1295">
        <f>$C1295*BF1294</f>
        <v/>
      </c>
      <c r="BG1295">
        <f>$C1295*BG1294</f>
        <v/>
      </c>
      <c r="BH1295">
        <f>$C1295*BH1294</f>
        <v/>
      </c>
      <c r="BI1295">
        <f>$C1295*BI1294</f>
        <v/>
      </c>
      <c r="BJ1295">
        <f>$C1295*BJ1294</f>
        <v/>
      </c>
      <c r="BK1295">
        <f>$C1295*BK1294</f>
        <v/>
      </c>
      <c r="BL1295">
        <f>$C1295*BL1294</f>
        <v/>
      </c>
      <c r="BM1295">
        <f>$C1295*BM1294</f>
        <v/>
      </c>
      <c r="BN1295">
        <f>$C1295*BN1294</f>
        <v/>
      </c>
      <c r="BO1295">
        <f>$C1295*BO1294</f>
        <v/>
      </c>
      <c r="BP1295">
        <f>$C1295*BP1294</f>
        <v/>
      </c>
      <c r="BQ1295">
        <f>$C1295*BQ1294</f>
        <v/>
      </c>
      <c r="BR1295">
        <f>$C1295*BR1294</f>
        <v/>
      </c>
      <c r="BS1295">
        <f>$C1295*BS1294</f>
        <v/>
      </c>
      <c r="BT1295">
        <f>$C1295*BT1294</f>
        <v/>
      </c>
      <c r="BU1295">
        <f>$C1295*BU1294</f>
        <v/>
      </c>
      <c r="BV1295">
        <f>$C1295*BV1294</f>
        <v/>
      </c>
      <c r="BW1295">
        <f>$C1295*BW1294</f>
        <v/>
      </c>
      <c r="BX1295">
        <f>$C1295*BX1294</f>
        <v/>
      </c>
      <c r="BY1295">
        <f>$C1295*BY1294</f>
        <v/>
      </c>
      <c r="BZ1295">
        <f>$C1295*BZ1294</f>
        <v/>
      </c>
      <c r="CA1295">
        <f>$C1295*CA1294</f>
        <v/>
      </c>
      <c r="CB1295">
        <f>$C1295*CB1294</f>
        <v/>
      </c>
      <c r="CC1295">
        <f>$C1295*CC1294</f>
        <v/>
      </c>
      <c r="CD1295">
        <f>$C1295*CD1294</f>
        <v/>
      </c>
      <c r="CE1295">
        <f>$C1295*CE1294</f>
        <v/>
      </c>
      <c r="CF1295">
        <f>$C1295*CF1294</f>
        <v/>
      </c>
      <c r="CG1295">
        <f>$C1295*CG1294</f>
        <v/>
      </c>
      <c r="CH1295">
        <f>$C1295*CH1294</f>
        <v/>
      </c>
      <c r="CI1295">
        <f>$C1295*CI1294</f>
        <v/>
      </c>
      <c r="CJ1295">
        <f>$C1295*CJ1294</f>
        <v/>
      </c>
      <c r="CK1295">
        <f>$C1295*CK1294</f>
        <v/>
      </c>
      <c r="CL1295">
        <f>$C1295*CL1294</f>
        <v/>
      </c>
      <c r="CM1295">
        <f>$C1295*CM1294</f>
        <v/>
      </c>
      <c r="CN1295">
        <f>$C1295*CN1294</f>
        <v/>
      </c>
      <c r="CO1295">
        <f>$C1295*CO1294</f>
        <v/>
      </c>
      <c r="CP1295">
        <f>$C1295*CP1294</f>
        <v/>
      </c>
      <c r="CQ1295">
        <f>$C1295*CQ1294</f>
        <v/>
      </c>
      <c r="CR1295">
        <f>$C1295*CR1294</f>
        <v/>
      </c>
      <c r="CS1295">
        <f>$C1295*CS1294</f>
        <v/>
      </c>
      <c r="CT1295">
        <f>$C1295*CT1294</f>
        <v/>
      </c>
      <c r="CU1295">
        <f>$C1295*CU1294</f>
        <v/>
      </c>
      <c r="CV1295">
        <f>$C1295*CV1294</f>
        <v/>
      </c>
      <c r="CW1295">
        <f>$C1295*CW1294</f>
        <v/>
      </c>
      <c r="CX1295">
        <f>$C1295*CX1294</f>
        <v/>
      </c>
      <c r="CY1295">
        <f>$C1295*CY1294</f>
        <v/>
      </c>
      <c r="CZ1295">
        <f>$C1295*CZ1294</f>
        <v/>
      </c>
      <c r="DA1295">
        <f>$C1295*DA1294</f>
        <v/>
      </c>
      <c r="DB1295">
        <f>$C1295*DB1294</f>
        <v/>
      </c>
      <c r="DC1295">
        <f>$C1295*DC1294</f>
        <v/>
      </c>
      <c r="DD1295">
        <f>$C1295*DD1294</f>
        <v/>
      </c>
    </row>
    <row r="1296">
      <c r="B1296" s="4" t="inlineStr">
        <is>
          <t>合計使用量(kg)/週</t>
        </is>
      </c>
      <c r="D1296" s="22">
        <f>IFERROR(INDEX(E1296:DD1296,$F$1),"")</f>
        <v/>
      </c>
      <c r="E1296">
        <f>'Grid_Requirement'!B45</f>
        <v/>
      </c>
      <c r="F1296">
        <f>'Grid_Requirement'!C45</f>
        <v/>
      </c>
      <c r="G1296">
        <f>'Grid_Requirement'!D45</f>
        <v/>
      </c>
      <c r="H1296">
        <f>'Grid_Requirement'!E45</f>
        <v/>
      </c>
      <c r="I1296">
        <f>'Grid_Requirement'!F45</f>
        <v/>
      </c>
      <c r="J1296">
        <f>'Grid_Requirement'!G45</f>
        <v/>
      </c>
      <c r="K1296">
        <f>'Grid_Requirement'!H45</f>
        <v/>
      </c>
      <c r="L1296">
        <f>'Grid_Requirement'!I45</f>
        <v/>
      </c>
      <c r="M1296">
        <f>'Grid_Requirement'!J45</f>
        <v/>
      </c>
      <c r="N1296">
        <f>'Grid_Requirement'!K45</f>
        <v/>
      </c>
      <c r="O1296">
        <f>'Grid_Requirement'!L45</f>
        <v/>
      </c>
      <c r="P1296">
        <f>'Grid_Requirement'!M45</f>
        <v/>
      </c>
      <c r="Q1296">
        <f>'Grid_Requirement'!N45</f>
        <v/>
      </c>
      <c r="R1296">
        <f>'Grid_Requirement'!O45</f>
        <v/>
      </c>
      <c r="S1296">
        <f>'Grid_Requirement'!P45</f>
        <v/>
      </c>
      <c r="T1296">
        <f>'Grid_Requirement'!Q45</f>
        <v/>
      </c>
      <c r="U1296">
        <f>'Grid_Requirement'!R45</f>
        <v/>
      </c>
      <c r="V1296">
        <f>'Grid_Requirement'!S45</f>
        <v/>
      </c>
      <c r="W1296">
        <f>'Grid_Requirement'!T45</f>
        <v/>
      </c>
      <c r="X1296">
        <f>'Grid_Requirement'!U45</f>
        <v/>
      </c>
      <c r="Y1296">
        <f>'Grid_Requirement'!V45</f>
        <v/>
      </c>
      <c r="Z1296">
        <f>'Grid_Requirement'!W45</f>
        <v/>
      </c>
      <c r="AA1296">
        <f>'Grid_Requirement'!X45</f>
        <v/>
      </c>
      <c r="AB1296">
        <f>'Grid_Requirement'!Y45</f>
        <v/>
      </c>
      <c r="AC1296">
        <f>'Grid_Requirement'!Z45</f>
        <v/>
      </c>
      <c r="AD1296">
        <f>'Grid_Requirement'!AA45</f>
        <v/>
      </c>
      <c r="AE1296">
        <f>'Grid_Requirement'!AB45</f>
        <v/>
      </c>
      <c r="AF1296">
        <f>'Grid_Requirement'!AC45</f>
        <v/>
      </c>
      <c r="AG1296">
        <f>'Grid_Requirement'!AD45</f>
        <v/>
      </c>
      <c r="AH1296">
        <f>'Grid_Requirement'!AE45</f>
        <v/>
      </c>
      <c r="AI1296">
        <f>'Grid_Requirement'!AF45</f>
        <v/>
      </c>
      <c r="AJ1296">
        <f>'Grid_Requirement'!AG45</f>
        <v/>
      </c>
      <c r="AK1296">
        <f>'Grid_Requirement'!AH45</f>
        <v/>
      </c>
      <c r="AL1296">
        <f>'Grid_Requirement'!AI45</f>
        <v/>
      </c>
      <c r="AM1296">
        <f>'Grid_Requirement'!AJ45</f>
        <v/>
      </c>
      <c r="AN1296">
        <f>'Grid_Requirement'!AK45</f>
        <v/>
      </c>
      <c r="AO1296">
        <f>'Grid_Requirement'!AL45</f>
        <v/>
      </c>
      <c r="AP1296">
        <f>'Grid_Requirement'!AM45</f>
        <v/>
      </c>
      <c r="AQ1296">
        <f>'Grid_Requirement'!AN45</f>
        <v/>
      </c>
      <c r="AR1296">
        <f>'Grid_Requirement'!AO45</f>
        <v/>
      </c>
      <c r="AS1296">
        <f>'Grid_Requirement'!AP45</f>
        <v/>
      </c>
      <c r="AT1296">
        <f>'Grid_Requirement'!AQ45</f>
        <v/>
      </c>
      <c r="AU1296">
        <f>'Grid_Requirement'!AR45</f>
        <v/>
      </c>
      <c r="AV1296">
        <f>'Grid_Requirement'!AS45</f>
        <v/>
      </c>
      <c r="AW1296">
        <f>'Grid_Requirement'!AT45</f>
        <v/>
      </c>
      <c r="AX1296">
        <f>'Grid_Requirement'!AU45</f>
        <v/>
      </c>
      <c r="AY1296">
        <f>'Grid_Requirement'!AV45</f>
        <v/>
      </c>
      <c r="AZ1296">
        <f>'Grid_Requirement'!AW45</f>
        <v/>
      </c>
      <c r="BA1296">
        <f>'Grid_Requirement'!AX45</f>
        <v/>
      </c>
      <c r="BB1296">
        <f>'Grid_Requirement'!AY45</f>
        <v/>
      </c>
      <c r="BC1296">
        <f>'Grid_Requirement'!AZ45</f>
        <v/>
      </c>
      <c r="BD1296">
        <f>'Grid_Requirement'!BA45</f>
        <v/>
      </c>
      <c r="BE1296">
        <f>'Grid_Requirement'!BB45</f>
        <v/>
      </c>
      <c r="BF1296">
        <f>'Grid_Requirement'!BC45</f>
        <v/>
      </c>
      <c r="BG1296">
        <f>'Grid_Requirement'!BD45</f>
        <v/>
      </c>
      <c r="BH1296">
        <f>'Grid_Requirement'!BE45</f>
        <v/>
      </c>
      <c r="BI1296">
        <f>'Grid_Requirement'!BF45</f>
        <v/>
      </c>
      <c r="BJ1296">
        <f>'Grid_Requirement'!BG45</f>
        <v/>
      </c>
      <c r="BK1296">
        <f>'Grid_Requirement'!BH45</f>
        <v/>
      </c>
      <c r="BL1296">
        <f>'Grid_Requirement'!BI45</f>
        <v/>
      </c>
      <c r="BM1296">
        <f>'Grid_Requirement'!BJ45</f>
        <v/>
      </c>
      <c r="BN1296">
        <f>'Grid_Requirement'!BK45</f>
        <v/>
      </c>
      <c r="BO1296">
        <f>'Grid_Requirement'!BL45</f>
        <v/>
      </c>
      <c r="BP1296">
        <f>'Grid_Requirement'!BM45</f>
        <v/>
      </c>
      <c r="BQ1296">
        <f>'Grid_Requirement'!BN45</f>
        <v/>
      </c>
      <c r="BR1296">
        <f>'Grid_Requirement'!BO45</f>
        <v/>
      </c>
      <c r="BS1296">
        <f>'Grid_Requirement'!BP45</f>
        <v/>
      </c>
      <c r="BT1296">
        <f>'Grid_Requirement'!BQ45</f>
        <v/>
      </c>
      <c r="BU1296">
        <f>'Grid_Requirement'!BR45</f>
        <v/>
      </c>
      <c r="BV1296">
        <f>'Grid_Requirement'!BS45</f>
        <v/>
      </c>
      <c r="BW1296">
        <f>'Grid_Requirement'!BT45</f>
        <v/>
      </c>
      <c r="BX1296">
        <f>'Grid_Requirement'!BU45</f>
        <v/>
      </c>
      <c r="BY1296">
        <f>'Grid_Requirement'!BV45</f>
        <v/>
      </c>
      <c r="BZ1296">
        <f>'Grid_Requirement'!BW45</f>
        <v/>
      </c>
      <c r="CA1296">
        <f>'Grid_Requirement'!BX45</f>
        <v/>
      </c>
      <c r="CB1296">
        <f>'Grid_Requirement'!BY45</f>
        <v/>
      </c>
      <c r="CC1296">
        <f>'Grid_Requirement'!BZ45</f>
        <v/>
      </c>
      <c r="CD1296">
        <f>'Grid_Requirement'!CA45</f>
        <v/>
      </c>
      <c r="CE1296">
        <f>'Grid_Requirement'!CB45</f>
        <v/>
      </c>
      <c r="CF1296">
        <f>'Grid_Requirement'!CC45</f>
        <v/>
      </c>
      <c r="CG1296">
        <f>'Grid_Requirement'!CD45</f>
        <v/>
      </c>
      <c r="CH1296">
        <f>'Grid_Requirement'!CE45</f>
        <v/>
      </c>
      <c r="CI1296">
        <f>'Grid_Requirement'!CF45</f>
        <v/>
      </c>
      <c r="CJ1296">
        <f>'Grid_Requirement'!CG45</f>
        <v/>
      </c>
      <c r="CK1296">
        <f>'Grid_Requirement'!CH45</f>
        <v/>
      </c>
      <c r="CL1296">
        <f>'Grid_Requirement'!CI45</f>
        <v/>
      </c>
      <c r="CM1296">
        <f>'Grid_Requirement'!CJ45</f>
        <v/>
      </c>
      <c r="CN1296">
        <f>'Grid_Requirement'!CK45</f>
        <v/>
      </c>
      <c r="CO1296">
        <f>'Grid_Requirement'!CL45</f>
        <v/>
      </c>
      <c r="CP1296">
        <f>'Grid_Requirement'!CM45</f>
        <v/>
      </c>
      <c r="CQ1296">
        <f>'Grid_Requirement'!CN45</f>
        <v/>
      </c>
      <c r="CR1296">
        <f>'Grid_Requirement'!CO45</f>
        <v/>
      </c>
      <c r="CS1296">
        <f>'Grid_Requirement'!CP45</f>
        <v/>
      </c>
      <c r="CT1296">
        <f>'Grid_Requirement'!CQ45</f>
        <v/>
      </c>
      <c r="CU1296">
        <f>'Grid_Requirement'!CR45</f>
        <v/>
      </c>
      <c r="CV1296">
        <f>'Grid_Requirement'!CS45</f>
        <v/>
      </c>
      <c r="CW1296">
        <f>'Grid_Requirement'!CT45</f>
        <v/>
      </c>
      <c r="CX1296">
        <f>'Grid_Requirement'!CU45</f>
        <v/>
      </c>
      <c r="CY1296">
        <f>'Grid_Requirement'!CV45</f>
        <v/>
      </c>
      <c r="CZ1296">
        <f>'Grid_Requirement'!CW45</f>
        <v/>
      </c>
      <c r="DA1296">
        <f>'Grid_Requirement'!CX45</f>
        <v/>
      </c>
      <c r="DB1296">
        <f>'Grid_Requirement'!CY45</f>
        <v/>
      </c>
      <c r="DC1296">
        <f>'Grid_Requirement'!CZ45</f>
        <v/>
      </c>
      <c r="DD1296">
        <f>'Grid_Requirement'!DA45</f>
        <v/>
      </c>
    </row>
    <row r="1297">
      <c r="B1297" s="23" t="inlineStr">
        <is>
          <t>（在庫・入荷予定はDashboard参照）</t>
        </is>
      </c>
    </row>
    <row r="1299">
      <c r="A1299" s="21" t="inlineStr">
        <is>
          <t>CHEM-1080</t>
        </is>
      </c>
      <c r="B1299" s="21" t="inlineStr">
        <is>
          <t>Hydrazine Hydrate</t>
        </is>
      </c>
      <c r="C1299" s="21" t="n"/>
      <c r="D1299" s="21" t="n"/>
      <c r="E1299" s="21" t="n"/>
      <c r="F1299" s="21" t="n"/>
      <c r="G1299" s="21" t="n"/>
      <c r="H1299" s="21" t="n"/>
      <c r="I1299" s="21" t="n"/>
      <c r="J1299" s="21" t="n"/>
      <c r="K1299" s="21" t="n"/>
      <c r="L1299" s="21" t="n"/>
      <c r="M1299" s="21" t="n"/>
      <c r="N1299" s="21" t="n"/>
      <c r="O1299" s="21" t="n"/>
      <c r="P1299" s="21" t="n"/>
      <c r="Q1299" s="21" t="n"/>
      <c r="R1299" s="21" t="n"/>
      <c r="S1299" s="21" t="n"/>
      <c r="T1299" s="21" t="n"/>
      <c r="U1299" s="21" t="n"/>
      <c r="V1299" s="21" t="n"/>
      <c r="W1299" s="21" t="n"/>
      <c r="X1299" s="21" t="n"/>
      <c r="Y1299" s="21" t="n"/>
      <c r="Z1299" s="21" t="n"/>
      <c r="AA1299" s="21" t="n"/>
      <c r="AB1299" s="21" t="n"/>
      <c r="AC1299" s="21" t="n"/>
      <c r="AD1299" s="21" t="n"/>
      <c r="AE1299" s="21" t="n"/>
      <c r="AF1299" s="21" t="n"/>
      <c r="AG1299" s="21" t="n"/>
      <c r="AH1299" s="21" t="n"/>
      <c r="AI1299" s="21" t="n"/>
      <c r="AJ1299" s="21" t="n"/>
      <c r="AK1299" s="21" t="n"/>
      <c r="AL1299" s="21" t="n"/>
      <c r="AM1299" s="21" t="n"/>
      <c r="AN1299" s="21" t="n"/>
      <c r="AO1299" s="21" t="n"/>
      <c r="AP1299" s="21" t="n"/>
      <c r="AQ1299" s="21" t="n"/>
      <c r="AR1299" s="21" t="n"/>
      <c r="AS1299" s="21" t="n"/>
      <c r="AT1299" s="21" t="n"/>
      <c r="AU1299" s="21" t="n"/>
      <c r="AV1299" s="21" t="n"/>
      <c r="AW1299" s="21" t="n"/>
      <c r="AX1299" s="21" t="n"/>
      <c r="AY1299" s="21" t="n"/>
      <c r="AZ1299" s="21" t="n"/>
      <c r="BA1299" s="21" t="n"/>
      <c r="BB1299" s="21" t="n"/>
      <c r="BC1299" s="21" t="n"/>
      <c r="BD1299" s="21" t="n"/>
      <c r="BE1299" s="21" t="n"/>
      <c r="BF1299" s="21" t="n"/>
      <c r="BG1299" s="21" t="n"/>
      <c r="BH1299" s="21" t="n"/>
      <c r="BI1299" s="21" t="n"/>
      <c r="BJ1299" s="21" t="n"/>
      <c r="BK1299" s="21" t="n"/>
      <c r="BL1299" s="21" t="n"/>
      <c r="BM1299" s="21" t="n"/>
      <c r="BN1299" s="21" t="n"/>
      <c r="BO1299" s="21" t="n"/>
      <c r="BP1299" s="21" t="n"/>
      <c r="BQ1299" s="21" t="n"/>
      <c r="BR1299" s="21" t="n"/>
      <c r="BS1299" s="21" t="n"/>
      <c r="BT1299" s="21" t="n"/>
      <c r="BU1299" s="21" t="n"/>
      <c r="BV1299" s="21" t="n"/>
      <c r="BW1299" s="21" t="n"/>
      <c r="BX1299" s="21" t="n"/>
      <c r="BY1299" s="21" t="n"/>
      <c r="BZ1299" s="21" t="n"/>
      <c r="CA1299" s="21" t="n"/>
      <c r="CB1299" s="21" t="n"/>
      <c r="CC1299" s="21" t="n"/>
      <c r="CD1299" s="21" t="n"/>
      <c r="CE1299" s="21" t="n"/>
      <c r="CF1299" s="21" t="n"/>
      <c r="CG1299" s="21" t="n"/>
      <c r="CH1299" s="21" t="n"/>
      <c r="CI1299" s="21" t="n"/>
      <c r="CJ1299" s="21" t="n"/>
      <c r="CK1299" s="21" t="n"/>
      <c r="CL1299" s="21" t="n"/>
      <c r="CM1299" s="21" t="n"/>
      <c r="CN1299" s="21" t="n"/>
      <c r="CO1299" s="21" t="n"/>
      <c r="CP1299" s="21" t="n"/>
      <c r="CQ1299" s="21" t="n"/>
      <c r="CR1299" s="21" t="n"/>
      <c r="CS1299" s="21" t="n"/>
      <c r="CT1299" s="21" t="n"/>
      <c r="CU1299" s="21" t="n"/>
      <c r="CV1299" s="21" t="n"/>
      <c r="CW1299" s="21" t="n"/>
      <c r="CX1299" s="21" t="n"/>
      <c r="CY1299" s="21" t="n"/>
      <c r="CZ1299" s="21" t="n"/>
      <c r="DA1299" s="21" t="n"/>
      <c r="DB1299" s="21" t="n"/>
      <c r="DC1299" s="21" t="n"/>
      <c r="DD1299" s="21" t="n"/>
    </row>
    <row r="1300">
      <c r="B1300" t="inlineStr">
        <is>
          <t>TSP-620</t>
        </is>
      </c>
      <c r="C1300" t="inlineStr">
        <is>
          <t>No. of batches</t>
        </is>
      </c>
      <c r="D1300">
        <f>IFERROR(INDEX(E1300:DD1300,$F$1),"")</f>
        <v/>
      </c>
      <c r="E1300">
        <f>IFERROR(INDEX(PP_Grid[#Data],$DE1300,2),0)</f>
        <v/>
      </c>
      <c r="F1300">
        <f>IFERROR(INDEX(PP_Grid[#Data],$DE1300,3),0)</f>
        <v/>
      </c>
      <c r="G1300">
        <f>IFERROR(INDEX(PP_Grid[#Data],$DE1300,4),0)</f>
        <v/>
      </c>
      <c r="H1300">
        <f>IFERROR(INDEX(PP_Grid[#Data],$DE1300,5),0)</f>
        <v/>
      </c>
      <c r="I1300">
        <f>IFERROR(INDEX(PP_Grid[#Data],$DE1300,6),0)</f>
        <v/>
      </c>
      <c r="J1300">
        <f>IFERROR(INDEX(PP_Grid[#Data],$DE1300,7),0)</f>
        <v/>
      </c>
      <c r="K1300">
        <f>IFERROR(INDEX(PP_Grid[#Data],$DE1300,8),0)</f>
        <v/>
      </c>
      <c r="L1300">
        <f>IFERROR(INDEX(PP_Grid[#Data],$DE1300,9),0)</f>
        <v/>
      </c>
      <c r="M1300">
        <f>IFERROR(INDEX(PP_Grid[#Data],$DE1300,10),0)</f>
        <v/>
      </c>
      <c r="N1300">
        <f>IFERROR(INDEX(PP_Grid[#Data],$DE1300,11),0)</f>
        <v/>
      </c>
      <c r="O1300">
        <f>IFERROR(INDEX(PP_Grid[#Data],$DE1300,12),0)</f>
        <v/>
      </c>
      <c r="P1300">
        <f>IFERROR(INDEX(PP_Grid[#Data],$DE1300,13),0)</f>
        <v/>
      </c>
      <c r="Q1300">
        <f>IFERROR(INDEX(PP_Grid[#Data],$DE1300,14),0)</f>
        <v/>
      </c>
      <c r="R1300">
        <f>IFERROR(INDEX(PP_Grid[#Data],$DE1300,15),0)</f>
        <v/>
      </c>
      <c r="S1300">
        <f>IFERROR(INDEX(PP_Grid[#Data],$DE1300,16),0)</f>
        <v/>
      </c>
      <c r="T1300">
        <f>IFERROR(INDEX(PP_Grid[#Data],$DE1300,17),0)</f>
        <v/>
      </c>
      <c r="U1300">
        <f>IFERROR(INDEX(PP_Grid[#Data],$DE1300,18),0)</f>
        <v/>
      </c>
      <c r="V1300">
        <f>IFERROR(INDEX(PP_Grid[#Data],$DE1300,19),0)</f>
        <v/>
      </c>
      <c r="W1300">
        <f>IFERROR(INDEX(PP_Grid[#Data],$DE1300,20),0)</f>
        <v/>
      </c>
      <c r="X1300">
        <f>IFERROR(INDEX(PP_Grid[#Data],$DE1300,21),0)</f>
        <v/>
      </c>
      <c r="Y1300">
        <f>IFERROR(INDEX(PP_Grid[#Data],$DE1300,22),0)</f>
        <v/>
      </c>
      <c r="Z1300">
        <f>IFERROR(INDEX(PP_Grid[#Data],$DE1300,23),0)</f>
        <v/>
      </c>
      <c r="AA1300">
        <f>IFERROR(INDEX(PP_Grid[#Data],$DE1300,24),0)</f>
        <v/>
      </c>
      <c r="AB1300">
        <f>IFERROR(INDEX(PP_Grid[#Data],$DE1300,25),0)</f>
        <v/>
      </c>
      <c r="AC1300">
        <f>IFERROR(INDEX(PP_Grid[#Data],$DE1300,26),0)</f>
        <v/>
      </c>
      <c r="AD1300">
        <f>IFERROR(INDEX(PP_Grid[#Data],$DE1300,27),0)</f>
        <v/>
      </c>
      <c r="AE1300">
        <f>IFERROR(INDEX(PP_Grid[#Data],$DE1300,28),0)</f>
        <v/>
      </c>
      <c r="AF1300">
        <f>IFERROR(INDEX(PP_Grid[#Data],$DE1300,29),0)</f>
        <v/>
      </c>
      <c r="AG1300">
        <f>IFERROR(INDEX(PP_Grid[#Data],$DE1300,30),0)</f>
        <v/>
      </c>
      <c r="AH1300">
        <f>IFERROR(INDEX(PP_Grid[#Data],$DE1300,31),0)</f>
        <v/>
      </c>
      <c r="AI1300">
        <f>IFERROR(INDEX(PP_Grid[#Data],$DE1300,32),0)</f>
        <v/>
      </c>
      <c r="AJ1300">
        <f>IFERROR(INDEX(PP_Grid[#Data],$DE1300,33),0)</f>
        <v/>
      </c>
      <c r="AK1300">
        <f>IFERROR(INDEX(PP_Grid[#Data],$DE1300,34),0)</f>
        <v/>
      </c>
      <c r="AL1300">
        <f>IFERROR(INDEX(PP_Grid[#Data],$DE1300,35),0)</f>
        <v/>
      </c>
      <c r="AM1300">
        <f>IFERROR(INDEX(PP_Grid[#Data],$DE1300,36),0)</f>
        <v/>
      </c>
      <c r="AN1300">
        <f>IFERROR(INDEX(PP_Grid[#Data],$DE1300,37),0)</f>
        <v/>
      </c>
      <c r="AO1300">
        <f>IFERROR(INDEX(PP_Grid[#Data],$DE1300,38),0)</f>
        <v/>
      </c>
      <c r="AP1300">
        <f>IFERROR(INDEX(PP_Grid[#Data],$DE1300,39),0)</f>
        <v/>
      </c>
      <c r="AQ1300">
        <f>IFERROR(INDEX(PP_Grid[#Data],$DE1300,40),0)</f>
        <v/>
      </c>
      <c r="AR1300">
        <f>IFERROR(INDEX(PP_Grid[#Data],$DE1300,41),0)</f>
        <v/>
      </c>
      <c r="AS1300">
        <f>IFERROR(INDEX(PP_Grid[#Data],$DE1300,42),0)</f>
        <v/>
      </c>
      <c r="AT1300">
        <f>IFERROR(INDEX(PP_Grid[#Data],$DE1300,43),0)</f>
        <v/>
      </c>
      <c r="AU1300">
        <f>IFERROR(INDEX(PP_Grid[#Data],$DE1300,44),0)</f>
        <v/>
      </c>
      <c r="AV1300">
        <f>IFERROR(INDEX(PP_Grid[#Data],$DE1300,45),0)</f>
        <v/>
      </c>
      <c r="AW1300">
        <f>IFERROR(INDEX(PP_Grid[#Data],$DE1300,46),0)</f>
        <v/>
      </c>
      <c r="AX1300">
        <f>IFERROR(INDEX(PP_Grid[#Data],$DE1300,47),0)</f>
        <v/>
      </c>
      <c r="AY1300">
        <f>IFERROR(INDEX(PP_Grid[#Data],$DE1300,48),0)</f>
        <v/>
      </c>
      <c r="AZ1300">
        <f>IFERROR(INDEX(PP_Grid[#Data],$DE1300,49),0)</f>
        <v/>
      </c>
      <c r="BA1300">
        <f>IFERROR(INDEX(PP_Grid[#Data],$DE1300,50),0)</f>
        <v/>
      </c>
      <c r="BB1300">
        <f>IFERROR(INDEX(PP_Grid[#Data],$DE1300,51),0)</f>
        <v/>
      </c>
      <c r="BC1300">
        <f>IFERROR(INDEX(PP_Grid[#Data],$DE1300,52),0)</f>
        <v/>
      </c>
      <c r="BD1300">
        <f>IFERROR(INDEX(PP_Grid[#Data],$DE1300,53),0)</f>
        <v/>
      </c>
      <c r="BE1300">
        <f>IFERROR(INDEX(PP_Grid[#Data],$DE1300,54),0)</f>
        <v/>
      </c>
      <c r="BF1300">
        <f>IFERROR(INDEX(PP_Grid[#Data],$DE1300,55),0)</f>
        <v/>
      </c>
      <c r="BG1300">
        <f>IFERROR(INDEX(PP_Grid[#Data],$DE1300,56),0)</f>
        <v/>
      </c>
      <c r="BH1300">
        <f>IFERROR(INDEX(PP_Grid[#Data],$DE1300,57),0)</f>
        <v/>
      </c>
      <c r="BI1300">
        <f>IFERROR(INDEX(PP_Grid[#Data],$DE1300,58),0)</f>
        <v/>
      </c>
      <c r="BJ1300">
        <f>IFERROR(INDEX(PP_Grid[#Data],$DE1300,59),0)</f>
        <v/>
      </c>
      <c r="BK1300">
        <f>IFERROR(INDEX(PP_Grid[#Data],$DE1300,60),0)</f>
        <v/>
      </c>
      <c r="BL1300">
        <f>IFERROR(INDEX(PP_Grid[#Data],$DE1300,61),0)</f>
        <v/>
      </c>
      <c r="BM1300">
        <f>IFERROR(INDEX(PP_Grid[#Data],$DE1300,62),0)</f>
        <v/>
      </c>
      <c r="BN1300">
        <f>IFERROR(INDEX(PP_Grid[#Data],$DE1300,63),0)</f>
        <v/>
      </c>
      <c r="BO1300">
        <f>IFERROR(INDEX(PP_Grid[#Data],$DE1300,64),0)</f>
        <v/>
      </c>
      <c r="BP1300">
        <f>IFERROR(INDEX(PP_Grid[#Data],$DE1300,65),0)</f>
        <v/>
      </c>
      <c r="BQ1300">
        <f>IFERROR(INDEX(PP_Grid[#Data],$DE1300,66),0)</f>
        <v/>
      </c>
      <c r="BR1300">
        <f>IFERROR(INDEX(PP_Grid[#Data],$DE1300,67),0)</f>
        <v/>
      </c>
      <c r="BS1300">
        <f>IFERROR(INDEX(PP_Grid[#Data],$DE1300,68),0)</f>
        <v/>
      </c>
      <c r="BT1300">
        <f>IFERROR(INDEX(PP_Grid[#Data],$DE1300,69),0)</f>
        <v/>
      </c>
      <c r="BU1300">
        <f>IFERROR(INDEX(PP_Grid[#Data],$DE1300,70),0)</f>
        <v/>
      </c>
      <c r="BV1300">
        <f>IFERROR(INDEX(PP_Grid[#Data],$DE1300,71),0)</f>
        <v/>
      </c>
      <c r="BW1300">
        <f>IFERROR(INDEX(PP_Grid[#Data],$DE1300,72),0)</f>
        <v/>
      </c>
      <c r="BX1300">
        <f>IFERROR(INDEX(PP_Grid[#Data],$DE1300,73),0)</f>
        <v/>
      </c>
      <c r="BY1300">
        <f>IFERROR(INDEX(PP_Grid[#Data],$DE1300,74),0)</f>
        <v/>
      </c>
      <c r="BZ1300">
        <f>IFERROR(INDEX(PP_Grid[#Data],$DE1300,75),0)</f>
        <v/>
      </c>
      <c r="CA1300">
        <f>IFERROR(INDEX(PP_Grid[#Data],$DE1300,76),0)</f>
        <v/>
      </c>
      <c r="CB1300">
        <f>IFERROR(INDEX(PP_Grid[#Data],$DE1300,77),0)</f>
        <v/>
      </c>
      <c r="CC1300">
        <f>IFERROR(INDEX(PP_Grid[#Data],$DE1300,78),0)</f>
        <v/>
      </c>
      <c r="CD1300">
        <f>IFERROR(INDEX(PP_Grid[#Data],$DE1300,79),0)</f>
        <v/>
      </c>
      <c r="CE1300">
        <f>IFERROR(INDEX(PP_Grid[#Data],$DE1300,80),0)</f>
        <v/>
      </c>
      <c r="CF1300">
        <f>IFERROR(INDEX(PP_Grid[#Data],$DE1300,81),0)</f>
        <v/>
      </c>
      <c r="CG1300">
        <f>IFERROR(INDEX(PP_Grid[#Data],$DE1300,82),0)</f>
        <v/>
      </c>
      <c r="CH1300">
        <f>IFERROR(INDEX(PP_Grid[#Data],$DE1300,83),0)</f>
        <v/>
      </c>
      <c r="CI1300">
        <f>IFERROR(INDEX(PP_Grid[#Data],$DE1300,84),0)</f>
        <v/>
      </c>
      <c r="CJ1300">
        <f>IFERROR(INDEX(PP_Grid[#Data],$DE1300,85),0)</f>
        <v/>
      </c>
      <c r="CK1300">
        <f>IFERROR(INDEX(PP_Grid[#Data],$DE1300,86),0)</f>
        <v/>
      </c>
      <c r="CL1300">
        <f>IFERROR(INDEX(PP_Grid[#Data],$DE1300,87),0)</f>
        <v/>
      </c>
      <c r="CM1300">
        <f>IFERROR(INDEX(PP_Grid[#Data],$DE1300,88),0)</f>
        <v/>
      </c>
      <c r="CN1300">
        <f>IFERROR(INDEX(PP_Grid[#Data],$DE1300,89),0)</f>
        <v/>
      </c>
      <c r="CO1300">
        <f>IFERROR(INDEX(PP_Grid[#Data],$DE1300,90),0)</f>
        <v/>
      </c>
      <c r="CP1300">
        <f>IFERROR(INDEX(PP_Grid[#Data],$DE1300,91),0)</f>
        <v/>
      </c>
      <c r="CQ1300">
        <f>IFERROR(INDEX(PP_Grid[#Data],$DE1300,92),0)</f>
        <v/>
      </c>
      <c r="CR1300">
        <f>IFERROR(INDEX(PP_Grid[#Data],$DE1300,93),0)</f>
        <v/>
      </c>
      <c r="CS1300">
        <f>IFERROR(INDEX(PP_Grid[#Data],$DE1300,94),0)</f>
        <v/>
      </c>
      <c r="CT1300">
        <f>IFERROR(INDEX(PP_Grid[#Data],$DE1300,95),0)</f>
        <v/>
      </c>
      <c r="CU1300">
        <f>IFERROR(INDEX(PP_Grid[#Data],$DE1300,96),0)</f>
        <v/>
      </c>
      <c r="CV1300">
        <f>IFERROR(INDEX(PP_Grid[#Data],$DE1300,97),0)</f>
        <v/>
      </c>
      <c r="CW1300">
        <f>IFERROR(INDEX(PP_Grid[#Data],$DE1300,98),0)</f>
        <v/>
      </c>
      <c r="CX1300">
        <f>IFERROR(INDEX(PP_Grid[#Data],$DE1300,99),0)</f>
        <v/>
      </c>
      <c r="CY1300">
        <f>IFERROR(INDEX(PP_Grid[#Data],$DE1300,100),0)</f>
        <v/>
      </c>
      <c r="CZ1300">
        <f>IFERROR(INDEX(PP_Grid[#Data],$DE1300,101),0)</f>
        <v/>
      </c>
      <c r="DA1300">
        <f>IFERROR(INDEX(PP_Grid[#Data],$DE1300,102),0)</f>
        <v/>
      </c>
      <c r="DB1300">
        <f>IFERROR(INDEX(PP_Grid[#Data],$DE1300,103),0)</f>
        <v/>
      </c>
      <c r="DC1300">
        <f>IFERROR(INDEX(PP_Grid[#Data],$DE1300,104),0)</f>
        <v/>
      </c>
      <c r="DD1300">
        <f>IFERROR(INDEX(PP_Grid[#Data],$DE1300,105),0)</f>
        <v/>
      </c>
      <c r="DE1300" s="7">
        <f>IFERROR(MATCH($B1300,PP_Grid[Intermediate],0),99999)</f>
        <v/>
      </c>
    </row>
    <row r="1301">
      <c r="B1301" t="inlineStr">
        <is>
          <t>使用量(kg)</t>
        </is>
      </c>
      <c r="C1301">
        <f>SUMIFS(M_BOM[RM_Qty_Per_Batch],M_BOM[Intermediate],$B1300,M_BOM[RM_Code],$A1299)</f>
        <v/>
      </c>
      <c r="D1301">
        <f>IFERROR(INDEX(E1301:DD1301,$F$1),"")</f>
        <v/>
      </c>
      <c r="E1301">
        <f>$C1301*E1300</f>
        <v/>
      </c>
      <c r="F1301">
        <f>$C1301*F1300</f>
        <v/>
      </c>
      <c r="G1301">
        <f>$C1301*G1300</f>
        <v/>
      </c>
      <c r="H1301">
        <f>$C1301*H1300</f>
        <v/>
      </c>
      <c r="I1301">
        <f>$C1301*I1300</f>
        <v/>
      </c>
      <c r="J1301">
        <f>$C1301*J1300</f>
        <v/>
      </c>
      <c r="K1301">
        <f>$C1301*K1300</f>
        <v/>
      </c>
      <c r="L1301">
        <f>$C1301*L1300</f>
        <v/>
      </c>
      <c r="M1301">
        <f>$C1301*M1300</f>
        <v/>
      </c>
      <c r="N1301">
        <f>$C1301*N1300</f>
        <v/>
      </c>
      <c r="O1301">
        <f>$C1301*O1300</f>
        <v/>
      </c>
      <c r="P1301">
        <f>$C1301*P1300</f>
        <v/>
      </c>
      <c r="Q1301">
        <f>$C1301*Q1300</f>
        <v/>
      </c>
      <c r="R1301">
        <f>$C1301*R1300</f>
        <v/>
      </c>
      <c r="S1301">
        <f>$C1301*S1300</f>
        <v/>
      </c>
      <c r="T1301">
        <f>$C1301*T1300</f>
        <v/>
      </c>
      <c r="U1301">
        <f>$C1301*U1300</f>
        <v/>
      </c>
      <c r="V1301">
        <f>$C1301*V1300</f>
        <v/>
      </c>
      <c r="W1301">
        <f>$C1301*W1300</f>
        <v/>
      </c>
      <c r="X1301">
        <f>$C1301*X1300</f>
        <v/>
      </c>
      <c r="Y1301">
        <f>$C1301*Y1300</f>
        <v/>
      </c>
      <c r="Z1301">
        <f>$C1301*Z1300</f>
        <v/>
      </c>
      <c r="AA1301">
        <f>$C1301*AA1300</f>
        <v/>
      </c>
      <c r="AB1301">
        <f>$C1301*AB1300</f>
        <v/>
      </c>
      <c r="AC1301">
        <f>$C1301*AC1300</f>
        <v/>
      </c>
      <c r="AD1301">
        <f>$C1301*AD1300</f>
        <v/>
      </c>
      <c r="AE1301">
        <f>$C1301*AE1300</f>
        <v/>
      </c>
      <c r="AF1301">
        <f>$C1301*AF1300</f>
        <v/>
      </c>
      <c r="AG1301">
        <f>$C1301*AG1300</f>
        <v/>
      </c>
      <c r="AH1301">
        <f>$C1301*AH1300</f>
        <v/>
      </c>
      <c r="AI1301">
        <f>$C1301*AI1300</f>
        <v/>
      </c>
      <c r="AJ1301">
        <f>$C1301*AJ1300</f>
        <v/>
      </c>
      <c r="AK1301">
        <f>$C1301*AK1300</f>
        <v/>
      </c>
      <c r="AL1301">
        <f>$C1301*AL1300</f>
        <v/>
      </c>
      <c r="AM1301">
        <f>$C1301*AM1300</f>
        <v/>
      </c>
      <c r="AN1301">
        <f>$C1301*AN1300</f>
        <v/>
      </c>
      <c r="AO1301">
        <f>$C1301*AO1300</f>
        <v/>
      </c>
      <c r="AP1301">
        <f>$C1301*AP1300</f>
        <v/>
      </c>
      <c r="AQ1301">
        <f>$C1301*AQ1300</f>
        <v/>
      </c>
      <c r="AR1301">
        <f>$C1301*AR1300</f>
        <v/>
      </c>
      <c r="AS1301">
        <f>$C1301*AS1300</f>
        <v/>
      </c>
      <c r="AT1301">
        <f>$C1301*AT1300</f>
        <v/>
      </c>
      <c r="AU1301">
        <f>$C1301*AU1300</f>
        <v/>
      </c>
      <c r="AV1301">
        <f>$C1301*AV1300</f>
        <v/>
      </c>
      <c r="AW1301">
        <f>$C1301*AW1300</f>
        <v/>
      </c>
      <c r="AX1301">
        <f>$C1301*AX1300</f>
        <v/>
      </c>
      <c r="AY1301">
        <f>$C1301*AY1300</f>
        <v/>
      </c>
      <c r="AZ1301">
        <f>$C1301*AZ1300</f>
        <v/>
      </c>
      <c r="BA1301">
        <f>$C1301*BA1300</f>
        <v/>
      </c>
      <c r="BB1301">
        <f>$C1301*BB1300</f>
        <v/>
      </c>
      <c r="BC1301">
        <f>$C1301*BC1300</f>
        <v/>
      </c>
      <c r="BD1301">
        <f>$C1301*BD1300</f>
        <v/>
      </c>
      <c r="BE1301">
        <f>$C1301*BE1300</f>
        <v/>
      </c>
      <c r="BF1301">
        <f>$C1301*BF1300</f>
        <v/>
      </c>
      <c r="BG1301">
        <f>$C1301*BG1300</f>
        <v/>
      </c>
      <c r="BH1301">
        <f>$C1301*BH1300</f>
        <v/>
      </c>
      <c r="BI1301">
        <f>$C1301*BI1300</f>
        <v/>
      </c>
      <c r="BJ1301">
        <f>$C1301*BJ1300</f>
        <v/>
      </c>
      <c r="BK1301">
        <f>$C1301*BK1300</f>
        <v/>
      </c>
      <c r="BL1301">
        <f>$C1301*BL1300</f>
        <v/>
      </c>
      <c r="BM1301">
        <f>$C1301*BM1300</f>
        <v/>
      </c>
      <c r="BN1301">
        <f>$C1301*BN1300</f>
        <v/>
      </c>
      <c r="BO1301">
        <f>$C1301*BO1300</f>
        <v/>
      </c>
      <c r="BP1301">
        <f>$C1301*BP1300</f>
        <v/>
      </c>
      <c r="BQ1301">
        <f>$C1301*BQ1300</f>
        <v/>
      </c>
      <c r="BR1301">
        <f>$C1301*BR1300</f>
        <v/>
      </c>
      <c r="BS1301">
        <f>$C1301*BS1300</f>
        <v/>
      </c>
      <c r="BT1301">
        <f>$C1301*BT1300</f>
        <v/>
      </c>
      <c r="BU1301">
        <f>$C1301*BU1300</f>
        <v/>
      </c>
      <c r="BV1301">
        <f>$C1301*BV1300</f>
        <v/>
      </c>
      <c r="BW1301">
        <f>$C1301*BW1300</f>
        <v/>
      </c>
      <c r="BX1301">
        <f>$C1301*BX1300</f>
        <v/>
      </c>
      <c r="BY1301">
        <f>$C1301*BY1300</f>
        <v/>
      </c>
      <c r="BZ1301">
        <f>$C1301*BZ1300</f>
        <v/>
      </c>
      <c r="CA1301">
        <f>$C1301*CA1300</f>
        <v/>
      </c>
      <c r="CB1301">
        <f>$C1301*CB1300</f>
        <v/>
      </c>
      <c r="CC1301">
        <f>$C1301*CC1300</f>
        <v/>
      </c>
      <c r="CD1301">
        <f>$C1301*CD1300</f>
        <v/>
      </c>
      <c r="CE1301">
        <f>$C1301*CE1300</f>
        <v/>
      </c>
      <c r="CF1301">
        <f>$C1301*CF1300</f>
        <v/>
      </c>
      <c r="CG1301">
        <f>$C1301*CG1300</f>
        <v/>
      </c>
      <c r="CH1301">
        <f>$C1301*CH1300</f>
        <v/>
      </c>
      <c r="CI1301">
        <f>$C1301*CI1300</f>
        <v/>
      </c>
      <c r="CJ1301">
        <f>$C1301*CJ1300</f>
        <v/>
      </c>
      <c r="CK1301">
        <f>$C1301*CK1300</f>
        <v/>
      </c>
      <c r="CL1301">
        <f>$C1301*CL1300</f>
        <v/>
      </c>
      <c r="CM1301">
        <f>$C1301*CM1300</f>
        <v/>
      </c>
      <c r="CN1301">
        <f>$C1301*CN1300</f>
        <v/>
      </c>
      <c r="CO1301">
        <f>$C1301*CO1300</f>
        <v/>
      </c>
      <c r="CP1301">
        <f>$C1301*CP1300</f>
        <v/>
      </c>
      <c r="CQ1301">
        <f>$C1301*CQ1300</f>
        <v/>
      </c>
      <c r="CR1301">
        <f>$C1301*CR1300</f>
        <v/>
      </c>
      <c r="CS1301">
        <f>$C1301*CS1300</f>
        <v/>
      </c>
      <c r="CT1301">
        <f>$C1301*CT1300</f>
        <v/>
      </c>
      <c r="CU1301">
        <f>$C1301*CU1300</f>
        <v/>
      </c>
      <c r="CV1301">
        <f>$C1301*CV1300</f>
        <v/>
      </c>
      <c r="CW1301">
        <f>$C1301*CW1300</f>
        <v/>
      </c>
      <c r="CX1301">
        <f>$C1301*CX1300</f>
        <v/>
      </c>
      <c r="CY1301">
        <f>$C1301*CY1300</f>
        <v/>
      </c>
      <c r="CZ1301">
        <f>$C1301*CZ1300</f>
        <v/>
      </c>
      <c r="DA1301">
        <f>$C1301*DA1300</f>
        <v/>
      </c>
      <c r="DB1301">
        <f>$C1301*DB1300</f>
        <v/>
      </c>
      <c r="DC1301">
        <f>$C1301*DC1300</f>
        <v/>
      </c>
      <c r="DD1301">
        <f>$C1301*DD1300</f>
        <v/>
      </c>
    </row>
    <row r="1302">
      <c r="B1302" t="inlineStr">
        <is>
          <t>TSP-623</t>
        </is>
      </c>
      <c r="C1302" t="inlineStr">
        <is>
          <t>No. of batches</t>
        </is>
      </c>
      <c r="D1302">
        <f>IFERROR(INDEX(E1302:DD1302,$F$1),"")</f>
        <v/>
      </c>
      <c r="E1302">
        <f>IFERROR(INDEX(PP_Grid[#Data],$DE1302,2),0)</f>
        <v/>
      </c>
      <c r="F1302">
        <f>IFERROR(INDEX(PP_Grid[#Data],$DE1302,3),0)</f>
        <v/>
      </c>
      <c r="G1302">
        <f>IFERROR(INDEX(PP_Grid[#Data],$DE1302,4),0)</f>
        <v/>
      </c>
      <c r="H1302">
        <f>IFERROR(INDEX(PP_Grid[#Data],$DE1302,5),0)</f>
        <v/>
      </c>
      <c r="I1302">
        <f>IFERROR(INDEX(PP_Grid[#Data],$DE1302,6),0)</f>
        <v/>
      </c>
      <c r="J1302">
        <f>IFERROR(INDEX(PP_Grid[#Data],$DE1302,7),0)</f>
        <v/>
      </c>
      <c r="K1302">
        <f>IFERROR(INDEX(PP_Grid[#Data],$DE1302,8),0)</f>
        <v/>
      </c>
      <c r="L1302">
        <f>IFERROR(INDEX(PP_Grid[#Data],$DE1302,9),0)</f>
        <v/>
      </c>
      <c r="M1302">
        <f>IFERROR(INDEX(PP_Grid[#Data],$DE1302,10),0)</f>
        <v/>
      </c>
      <c r="N1302">
        <f>IFERROR(INDEX(PP_Grid[#Data],$DE1302,11),0)</f>
        <v/>
      </c>
      <c r="O1302">
        <f>IFERROR(INDEX(PP_Grid[#Data],$DE1302,12),0)</f>
        <v/>
      </c>
      <c r="P1302">
        <f>IFERROR(INDEX(PP_Grid[#Data],$DE1302,13),0)</f>
        <v/>
      </c>
      <c r="Q1302">
        <f>IFERROR(INDEX(PP_Grid[#Data],$DE1302,14),0)</f>
        <v/>
      </c>
      <c r="R1302">
        <f>IFERROR(INDEX(PP_Grid[#Data],$DE1302,15),0)</f>
        <v/>
      </c>
      <c r="S1302">
        <f>IFERROR(INDEX(PP_Grid[#Data],$DE1302,16),0)</f>
        <v/>
      </c>
      <c r="T1302">
        <f>IFERROR(INDEX(PP_Grid[#Data],$DE1302,17),0)</f>
        <v/>
      </c>
      <c r="U1302">
        <f>IFERROR(INDEX(PP_Grid[#Data],$DE1302,18),0)</f>
        <v/>
      </c>
      <c r="V1302">
        <f>IFERROR(INDEX(PP_Grid[#Data],$DE1302,19),0)</f>
        <v/>
      </c>
      <c r="W1302">
        <f>IFERROR(INDEX(PP_Grid[#Data],$DE1302,20),0)</f>
        <v/>
      </c>
      <c r="X1302">
        <f>IFERROR(INDEX(PP_Grid[#Data],$DE1302,21),0)</f>
        <v/>
      </c>
      <c r="Y1302">
        <f>IFERROR(INDEX(PP_Grid[#Data],$DE1302,22),0)</f>
        <v/>
      </c>
      <c r="Z1302">
        <f>IFERROR(INDEX(PP_Grid[#Data],$DE1302,23),0)</f>
        <v/>
      </c>
      <c r="AA1302">
        <f>IFERROR(INDEX(PP_Grid[#Data],$DE1302,24),0)</f>
        <v/>
      </c>
      <c r="AB1302">
        <f>IFERROR(INDEX(PP_Grid[#Data],$DE1302,25),0)</f>
        <v/>
      </c>
      <c r="AC1302">
        <f>IFERROR(INDEX(PP_Grid[#Data],$DE1302,26),0)</f>
        <v/>
      </c>
      <c r="AD1302">
        <f>IFERROR(INDEX(PP_Grid[#Data],$DE1302,27),0)</f>
        <v/>
      </c>
      <c r="AE1302">
        <f>IFERROR(INDEX(PP_Grid[#Data],$DE1302,28),0)</f>
        <v/>
      </c>
      <c r="AF1302">
        <f>IFERROR(INDEX(PP_Grid[#Data],$DE1302,29),0)</f>
        <v/>
      </c>
      <c r="AG1302">
        <f>IFERROR(INDEX(PP_Grid[#Data],$DE1302,30),0)</f>
        <v/>
      </c>
      <c r="AH1302">
        <f>IFERROR(INDEX(PP_Grid[#Data],$DE1302,31),0)</f>
        <v/>
      </c>
      <c r="AI1302">
        <f>IFERROR(INDEX(PP_Grid[#Data],$DE1302,32),0)</f>
        <v/>
      </c>
      <c r="AJ1302">
        <f>IFERROR(INDEX(PP_Grid[#Data],$DE1302,33),0)</f>
        <v/>
      </c>
      <c r="AK1302">
        <f>IFERROR(INDEX(PP_Grid[#Data],$DE1302,34),0)</f>
        <v/>
      </c>
      <c r="AL1302">
        <f>IFERROR(INDEX(PP_Grid[#Data],$DE1302,35),0)</f>
        <v/>
      </c>
      <c r="AM1302">
        <f>IFERROR(INDEX(PP_Grid[#Data],$DE1302,36),0)</f>
        <v/>
      </c>
      <c r="AN1302">
        <f>IFERROR(INDEX(PP_Grid[#Data],$DE1302,37),0)</f>
        <v/>
      </c>
      <c r="AO1302">
        <f>IFERROR(INDEX(PP_Grid[#Data],$DE1302,38),0)</f>
        <v/>
      </c>
      <c r="AP1302">
        <f>IFERROR(INDEX(PP_Grid[#Data],$DE1302,39),0)</f>
        <v/>
      </c>
      <c r="AQ1302">
        <f>IFERROR(INDEX(PP_Grid[#Data],$DE1302,40),0)</f>
        <v/>
      </c>
      <c r="AR1302">
        <f>IFERROR(INDEX(PP_Grid[#Data],$DE1302,41),0)</f>
        <v/>
      </c>
      <c r="AS1302">
        <f>IFERROR(INDEX(PP_Grid[#Data],$DE1302,42),0)</f>
        <v/>
      </c>
      <c r="AT1302">
        <f>IFERROR(INDEX(PP_Grid[#Data],$DE1302,43),0)</f>
        <v/>
      </c>
      <c r="AU1302">
        <f>IFERROR(INDEX(PP_Grid[#Data],$DE1302,44),0)</f>
        <v/>
      </c>
      <c r="AV1302">
        <f>IFERROR(INDEX(PP_Grid[#Data],$DE1302,45),0)</f>
        <v/>
      </c>
      <c r="AW1302">
        <f>IFERROR(INDEX(PP_Grid[#Data],$DE1302,46),0)</f>
        <v/>
      </c>
      <c r="AX1302">
        <f>IFERROR(INDEX(PP_Grid[#Data],$DE1302,47),0)</f>
        <v/>
      </c>
      <c r="AY1302">
        <f>IFERROR(INDEX(PP_Grid[#Data],$DE1302,48),0)</f>
        <v/>
      </c>
      <c r="AZ1302">
        <f>IFERROR(INDEX(PP_Grid[#Data],$DE1302,49),0)</f>
        <v/>
      </c>
      <c r="BA1302">
        <f>IFERROR(INDEX(PP_Grid[#Data],$DE1302,50),0)</f>
        <v/>
      </c>
      <c r="BB1302">
        <f>IFERROR(INDEX(PP_Grid[#Data],$DE1302,51),0)</f>
        <v/>
      </c>
      <c r="BC1302">
        <f>IFERROR(INDEX(PP_Grid[#Data],$DE1302,52),0)</f>
        <v/>
      </c>
      <c r="BD1302">
        <f>IFERROR(INDEX(PP_Grid[#Data],$DE1302,53),0)</f>
        <v/>
      </c>
      <c r="BE1302">
        <f>IFERROR(INDEX(PP_Grid[#Data],$DE1302,54),0)</f>
        <v/>
      </c>
      <c r="BF1302">
        <f>IFERROR(INDEX(PP_Grid[#Data],$DE1302,55),0)</f>
        <v/>
      </c>
      <c r="BG1302">
        <f>IFERROR(INDEX(PP_Grid[#Data],$DE1302,56),0)</f>
        <v/>
      </c>
      <c r="BH1302">
        <f>IFERROR(INDEX(PP_Grid[#Data],$DE1302,57),0)</f>
        <v/>
      </c>
      <c r="BI1302">
        <f>IFERROR(INDEX(PP_Grid[#Data],$DE1302,58),0)</f>
        <v/>
      </c>
      <c r="BJ1302">
        <f>IFERROR(INDEX(PP_Grid[#Data],$DE1302,59),0)</f>
        <v/>
      </c>
      <c r="BK1302">
        <f>IFERROR(INDEX(PP_Grid[#Data],$DE1302,60),0)</f>
        <v/>
      </c>
      <c r="BL1302">
        <f>IFERROR(INDEX(PP_Grid[#Data],$DE1302,61),0)</f>
        <v/>
      </c>
      <c r="BM1302">
        <f>IFERROR(INDEX(PP_Grid[#Data],$DE1302,62),0)</f>
        <v/>
      </c>
      <c r="BN1302">
        <f>IFERROR(INDEX(PP_Grid[#Data],$DE1302,63),0)</f>
        <v/>
      </c>
      <c r="BO1302">
        <f>IFERROR(INDEX(PP_Grid[#Data],$DE1302,64),0)</f>
        <v/>
      </c>
      <c r="BP1302">
        <f>IFERROR(INDEX(PP_Grid[#Data],$DE1302,65),0)</f>
        <v/>
      </c>
      <c r="BQ1302">
        <f>IFERROR(INDEX(PP_Grid[#Data],$DE1302,66),0)</f>
        <v/>
      </c>
      <c r="BR1302">
        <f>IFERROR(INDEX(PP_Grid[#Data],$DE1302,67),0)</f>
        <v/>
      </c>
      <c r="BS1302">
        <f>IFERROR(INDEX(PP_Grid[#Data],$DE1302,68),0)</f>
        <v/>
      </c>
      <c r="BT1302">
        <f>IFERROR(INDEX(PP_Grid[#Data],$DE1302,69),0)</f>
        <v/>
      </c>
      <c r="BU1302">
        <f>IFERROR(INDEX(PP_Grid[#Data],$DE1302,70),0)</f>
        <v/>
      </c>
      <c r="BV1302">
        <f>IFERROR(INDEX(PP_Grid[#Data],$DE1302,71),0)</f>
        <v/>
      </c>
      <c r="BW1302">
        <f>IFERROR(INDEX(PP_Grid[#Data],$DE1302,72),0)</f>
        <v/>
      </c>
      <c r="BX1302">
        <f>IFERROR(INDEX(PP_Grid[#Data],$DE1302,73),0)</f>
        <v/>
      </c>
      <c r="BY1302">
        <f>IFERROR(INDEX(PP_Grid[#Data],$DE1302,74),0)</f>
        <v/>
      </c>
      <c r="BZ1302">
        <f>IFERROR(INDEX(PP_Grid[#Data],$DE1302,75),0)</f>
        <v/>
      </c>
      <c r="CA1302">
        <f>IFERROR(INDEX(PP_Grid[#Data],$DE1302,76),0)</f>
        <v/>
      </c>
      <c r="CB1302">
        <f>IFERROR(INDEX(PP_Grid[#Data],$DE1302,77),0)</f>
        <v/>
      </c>
      <c r="CC1302">
        <f>IFERROR(INDEX(PP_Grid[#Data],$DE1302,78),0)</f>
        <v/>
      </c>
      <c r="CD1302">
        <f>IFERROR(INDEX(PP_Grid[#Data],$DE1302,79),0)</f>
        <v/>
      </c>
      <c r="CE1302">
        <f>IFERROR(INDEX(PP_Grid[#Data],$DE1302,80),0)</f>
        <v/>
      </c>
      <c r="CF1302">
        <f>IFERROR(INDEX(PP_Grid[#Data],$DE1302,81),0)</f>
        <v/>
      </c>
      <c r="CG1302">
        <f>IFERROR(INDEX(PP_Grid[#Data],$DE1302,82),0)</f>
        <v/>
      </c>
      <c r="CH1302">
        <f>IFERROR(INDEX(PP_Grid[#Data],$DE1302,83),0)</f>
        <v/>
      </c>
      <c r="CI1302">
        <f>IFERROR(INDEX(PP_Grid[#Data],$DE1302,84),0)</f>
        <v/>
      </c>
      <c r="CJ1302">
        <f>IFERROR(INDEX(PP_Grid[#Data],$DE1302,85),0)</f>
        <v/>
      </c>
      <c r="CK1302">
        <f>IFERROR(INDEX(PP_Grid[#Data],$DE1302,86),0)</f>
        <v/>
      </c>
      <c r="CL1302">
        <f>IFERROR(INDEX(PP_Grid[#Data],$DE1302,87),0)</f>
        <v/>
      </c>
      <c r="CM1302">
        <f>IFERROR(INDEX(PP_Grid[#Data],$DE1302,88),0)</f>
        <v/>
      </c>
      <c r="CN1302">
        <f>IFERROR(INDEX(PP_Grid[#Data],$DE1302,89),0)</f>
        <v/>
      </c>
      <c r="CO1302">
        <f>IFERROR(INDEX(PP_Grid[#Data],$DE1302,90),0)</f>
        <v/>
      </c>
      <c r="CP1302">
        <f>IFERROR(INDEX(PP_Grid[#Data],$DE1302,91),0)</f>
        <v/>
      </c>
      <c r="CQ1302">
        <f>IFERROR(INDEX(PP_Grid[#Data],$DE1302,92),0)</f>
        <v/>
      </c>
      <c r="CR1302">
        <f>IFERROR(INDEX(PP_Grid[#Data],$DE1302,93),0)</f>
        <v/>
      </c>
      <c r="CS1302">
        <f>IFERROR(INDEX(PP_Grid[#Data],$DE1302,94),0)</f>
        <v/>
      </c>
      <c r="CT1302">
        <f>IFERROR(INDEX(PP_Grid[#Data],$DE1302,95),0)</f>
        <v/>
      </c>
      <c r="CU1302">
        <f>IFERROR(INDEX(PP_Grid[#Data],$DE1302,96),0)</f>
        <v/>
      </c>
      <c r="CV1302">
        <f>IFERROR(INDEX(PP_Grid[#Data],$DE1302,97),0)</f>
        <v/>
      </c>
      <c r="CW1302">
        <f>IFERROR(INDEX(PP_Grid[#Data],$DE1302,98),0)</f>
        <v/>
      </c>
      <c r="CX1302">
        <f>IFERROR(INDEX(PP_Grid[#Data],$DE1302,99),0)</f>
        <v/>
      </c>
      <c r="CY1302">
        <f>IFERROR(INDEX(PP_Grid[#Data],$DE1302,100),0)</f>
        <v/>
      </c>
      <c r="CZ1302">
        <f>IFERROR(INDEX(PP_Grid[#Data],$DE1302,101),0)</f>
        <v/>
      </c>
      <c r="DA1302">
        <f>IFERROR(INDEX(PP_Grid[#Data],$DE1302,102),0)</f>
        <v/>
      </c>
      <c r="DB1302">
        <f>IFERROR(INDEX(PP_Grid[#Data],$DE1302,103),0)</f>
        <v/>
      </c>
      <c r="DC1302">
        <f>IFERROR(INDEX(PP_Grid[#Data],$DE1302,104),0)</f>
        <v/>
      </c>
      <c r="DD1302">
        <f>IFERROR(INDEX(PP_Grid[#Data],$DE1302,105),0)</f>
        <v/>
      </c>
      <c r="DE1302" s="7">
        <f>IFERROR(MATCH($B1302,PP_Grid[Intermediate],0),99999)</f>
        <v/>
      </c>
    </row>
    <row r="1303">
      <c r="B1303" t="inlineStr">
        <is>
          <t>使用量(kg)</t>
        </is>
      </c>
      <c r="C1303">
        <f>SUMIFS(M_BOM[RM_Qty_Per_Batch],M_BOM[Intermediate],$B1302,M_BOM[RM_Code],$A1299)</f>
        <v/>
      </c>
      <c r="D1303">
        <f>IFERROR(INDEX(E1303:DD1303,$F$1),"")</f>
        <v/>
      </c>
      <c r="E1303">
        <f>$C1303*E1302</f>
        <v/>
      </c>
      <c r="F1303">
        <f>$C1303*F1302</f>
        <v/>
      </c>
      <c r="G1303">
        <f>$C1303*G1302</f>
        <v/>
      </c>
      <c r="H1303">
        <f>$C1303*H1302</f>
        <v/>
      </c>
      <c r="I1303">
        <f>$C1303*I1302</f>
        <v/>
      </c>
      <c r="J1303">
        <f>$C1303*J1302</f>
        <v/>
      </c>
      <c r="K1303">
        <f>$C1303*K1302</f>
        <v/>
      </c>
      <c r="L1303">
        <f>$C1303*L1302</f>
        <v/>
      </c>
      <c r="M1303">
        <f>$C1303*M1302</f>
        <v/>
      </c>
      <c r="N1303">
        <f>$C1303*N1302</f>
        <v/>
      </c>
      <c r="O1303">
        <f>$C1303*O1302</f>
        <v/>
      </c>
      <c r="P1303">
        <f>$C1303*P1302</f>
        <v/>
      </c>
      <c r="Q1303">
        <f>$C1303*Q1302</f>
        <v/>
      </c>
      <c r="R1303">
        <f>$C1303*R1302</f>
        <v/>
      </c>
      <c r="S1303">
        <f>$C1303*S1302</f>
        <v/>
      </c>
      <c r="T1303">
        <f>$C1303*T1302</f>
        <v/>
      </c>
      <c r="U1303">
        <f>$C1303*U1302</f>
        <v/>
      </c>
      <c r="V1303">
        <f>$C1303*V1302</f>
        <v/>
      </c>
      <c r="W1303">
        <f>$C1303*W1302</f>
        <v/>
      </c>
      <c r="X1303">
        <f>$C1303*X1302</f>
        <v/>
      </c>
      <c r="Y1303">
        <f>$C1303*Y1302</f>
        <v/>
      </c>
      <c r="Z1303">
        <f>$C1303*Z1302</f>
        <v/>
      </c>
      <c r="AA1303">
        <f>$C1303*AA1302</f>
        <v/>
      </c>
      <c r="AB1303">
        <f>$C1303*AB1302</f>
        <v/>
      </c>
      <c r="AC1303">
        <f>$C1303*AC1302</f>
        <v/>
      </c>
      <c r="AD1303">
        <f>$C1303*AD1302</f>
        <v/>
      </c>
      <c r="AE1303">
        <f>$C1303*AE1302</f>
        <v/>
      </c>
      <c r="AF1303">
        <f>$C1303*AF1302</f>
        <v/>
      </c>
      <c r="AG1303">
        <f>$C1303*AG1302</f>
        <v/>
      </c>
      <c r="AH1303">
        <f>$C1303*AH1302</f>
        <v/>
      </c>
      <c r="AI1303">
        <f>$C1303*AI1302</f>
        <v/>
      </c>
      <c r="AJ1303">
        <f>$C1303*AJ1302</f>
        <v/>
      </c>
      <c r="AK1303">
        <f>$C1303*AK1302</f>
        <v/>
      </c>
      <c r="AL1303">
        <f>$C1303*AL1302</f>
        <v/>
      </c>
      <c r="AM1303">
        <f>$C1303*AM1302</f>
        <v/>
      </c>
      <c r="AN1303">
        <f>$C1303*AN1302</f>
        <v/>
      </c>
      <c r="AO1303">
        <f>$C1303*AO1302</f>
        <v/>
      </c>
      <c r="AP1303">
        <f>$C1303*AP1302</f>
        <v/>
      </c>
      <c r="AQ1303">
        <f>$C1303*AQ1302</f>
        <v/>
      </c>
      <c r="AR1303">
        <f>$C1303*AR1302</f>
        <v/>
      </c>
      <c r="AS1303">
        <f>$C1303*AS1302</f>
        <v/>
      </c>
      <c r="AT1303">
        <f>$C1303*AT1302</f>
        <v/>
      </c>
      <c r="AU1303">
        <f>$C1303*AU1302</f>
        <v/>
      </c>
      <c r="AV1303">
        <f>$C1303*AV1302</f>
        <v/>
      </c>
      <c r="AW1303">
        <f>$C1303*AW1302</f>
        <v/>
      </c>
      <c r="AX1303">
        <f>$C1303*AX1302</f>
        <v/>
      </c>
      <c r="AY1303">
        <f>$C1303*AY1302</f>
        <v/>
      </c>
      <c r="AZ1303">
        <f>$C1303*AZ1302</f>
        <v/>
      </c>
      <c r="BA1303">
        <f>$C1303*BA1302</f>
        <v/>
      </c>
      <c r="BB1303">
        <f>$C1303*BB1302</f>
        <v/>
      </c>
      <c r="BC1303">
        <f>$C1303*BC1302</f>
        <v/>
      </c>
      <c r="BD1303">
        <f>$C1303*BD1302</f>
        <v/>
      </c>
      <c r="BE1303">
        <f>$C1303*BE1302</f>
        <v/>
      </c>
      <c r="BF1303">
        <f>$C1303*BF1302</f>
        <v/>
      </c>
      <c r="BG1303">
        <f>$C1303*BG1302</f>
        <v/>
      </c>
      <c r="BH1303">
        <f>$C1303*BH1302</f>
        <v/>
      </c>
      <c r="BI1303">
        <f>$C1303*BI1302</f>
        <v/>
      </c>
      <c r="BJ1303">
        <f>$C1303*BJ1302</f>
        <v/>
      </c>
      <c r="BK1303">
        <f>$C1303*BK1302</f>
        <v/>
      </c>
      <c r="BL1303">
        <f>$C1303*BL1302</f>
        <v/>
      </c>
      <c r="BM1303">
        <f>$C1303*BM1302</f>
        <v/>
      </c>
      <c r="BN1303">
        <f>$C1303*BN1302</f>
        <v/>
      </c>
      <c r="BO1303">
        <f>$C1303*BO1302</f>
        <v/>
      </c>
      <c r="BP1303">
        <f>$C1303*BP1302</f>
        <v/>
      </c>
      <c r="BQ1303">
        <f>$C1303*BQ1302</f>
        <v/>
      </c>
      <c r="BR1303">
        <f>$C1303*BR1302</f>
        <v/>
      </c>
      <c r="BS1303">
        <f>$C1303*BS1302</f>
        <v/>
      </c>
      <c r="BT1303">
        <f>$C1303*BT1302</f>
        <v/>
      </c>
      <c r="BU1303">
        <f>$C1303*BU1302</f>
        <v/>
      </c>
      <c r="BV1303">
        <f>$C1303*BV1302</f>
        <v/>
      </c>
      <c r="BW1303">
        <f>$C1303*BW1302</f>
        <v/>
      </c>
      <c r="BX1303">
        <f>$C1303*BX1302</f>
        <v/>
      </c>
      <c r="BY1303">
        <f>$C1303*BY1302</f>
        <v/>
      </c>
      <c r="BZ1303">
        <f>$C1303*BZ1302</f>
        <v/>
      </c>
      <c r="CA1303">
        <f>$C1303*CA1302</f>
        <v/>
      </c>
      <c r="CB1303">
        <f>$C1303*CB1302</f>
        <v/>
      </c>
      <c r="CC1303">
        <f>$C1303*CC1302</f>
        <v/>
      </c>
      <c r="CD1303">
        <f>$C1303*CD1302</f>
        <v/>
      </c>
      <c r="CE1303">
        <f>$C1303*CE1302</f>
        <v/>
      </c>
      <c r="CF1303">
        <f>$C1303*CF1302</f>
        <v/>
      </c>
      <c r="CG1303">
        <f>$C1303*CG1302</f>
        <v/>
      </c>
      <c r="CH1303">
        <f>$C1303*CH1302</f>
        <v/>
      </c>
      <c r="CI1303">
        <f>$C1303*CI1302</f>
        <v/>
      </c>
      <c r="CJ1303">
        <f>$C1303*CJ1302</f>
        <v/>
      </c>
      <c r="CK1303">
        <f>$C1303*CK1302</f>
        <v/>
      </c>
      <c r="CL1303">
        <f>$C1303*CL1302</f>
        <v/>
      </c>
      <c r="CM1303">
        <f>$C1303*CM1302</f>
        <v/>
      </c>
      <c r="CN1303">
        <f>$C1303*CN1302</f>
        <v/>
      </c>
      <c r="CO1303">
        <f>$C1303*CO1302</f>
        <v/>
      </c>
      <c r="CP1303">
        <f>$C1303*CP1302</f>
        <v/>
      </c>
      <c r="CQ1303">
        <f>$C1303*CQ1302</f>
        <v/>
      </c>
      <c r="CR1303">
        <f>$C1303*CR1302</f>
        <v/>
      </c>
      <c r="CS1303">
        <f>$C1303*CS1302</f>
        <v/>
      </c>
      <c r="CT1303">
        <f>$C1303*CT1302</f>
        <v/>
      </c>
      <c r="CU1303">
        <f>$C1303*CU1302</f>
        <v/>
      </c>
      <c r="CV1303">
        <f>$C1303*CV1302</f>
        <v/>
      </c>
      <c r="CW1303">
        <f>$C1303*CW1302</f>
        <v/>
      </c>
      <c r="CX1303">
        <f>$C1303*CX1302</f>
        <v/>
      </c>
      <c r="CY1303">
        <f>$C1303*CY1302</f>
        <v/>
      </c>
      <c r="CZ1303">
        <f>$C1303*CZ1302</f>
        <v/>
      </c>
      <c r="DA1303">
        <f>$C1303*DA1302</f>
        <v/>
      </c>
      <c r="DB1303">
        <f>$C1303*DB1302</f>
        <v/>
      </c>
      <c r="DC1303">
        <f>$C1303*DC1302</f>
        <v/>
      </c>
      <c r="DD1303">
        <f>$C1303*DD1302</f>
        <v/>
      </c>
    </row>
    <row r="1304">
      <c r="B1304" t="inlineStr">
        <is>
          <t>TSP-934</t>
        </is>
      </c>
      <c r="C1304" t="inlineStr">
        <is>
          <t>No. of batches</t>
        </is>
      </c>
      <c r="D1304">
        <f>IFERROR(INDEX(E1304:DD1304,$F$1),"")</f>
        <v/>
      </c>
      <c r="E1304">
        <f>IFERROR(INDEX(PP_Grid[#Data],$DE1304,2),0)</f>
        <v/>
      </c>
      <c r="F1304">
        <f>IFERROR(INDEX(PP_Grid[#Data],$DE1304,3),0)</f>
        <v/>
      </c>
      <c r="G1304">
        <f>IFERROR(INDEX(PP_Grid[#Data],$DE1304,4),0)</f>
        <v/>
      </c>
      <c r="H1304">
        <f>IFERROR(INDEX(PP_Grid[#Data],$DE1304,5),0)</f>
        <v/>
      </c>
      <c r="I1304">
        <f>IFERROR(INDEX(PP_Grid[#Data],$DE1304,6),0)</f>
        <v/>
      </c>
      <c r="J1304">
        <f>IFERROR(INDEX(PP_Grid[#Data],$DE1304,7),0)</f>
        <v/>
      </c>
      <c r="K1304">
        <f>IFERROR(INDEX(PP_Grid[#Data],$DE1304,8),0)</f>
        <v/>
      </c>
      <c r="L1304">
        <f>IFERROR(INDEX(PP_Grid[#Data],$DE1304,9),0)</f>
        <v/>
      </c>
      <c r="M1304">
        <f>IFERROR(INDEX(PP_Grid[#Data],$DE1304,10),0)</f>
        <v/>
      </c>
      <c r="N1304">
        <f>IFERROR(INDEX(PP_Grid[#Data],$DE1304,11),0)</f>
        <v/>
      </c>
      <c r="O1304">
        <f>IFERROR(INDEX(PP_Grid[#Data],$DE1304,12),0)</f>
        <v/>
      </c>
      <c r="P1304">
        <f>IFERROR(INDEX(PP_Grid[#Data],$DE1304,13),0)</f>
        <v/>
      </c>
      <c r="Q1304">
        <f>IFERROR(INDEX(PP_Grid[#Data],$DE1304,14),0)</f>
        <v/>
      </c>
      <c r="R1304">
        <f>IFERROR(INDEX(PP_Grid[#Data],$DE1304,15),0)</f>
        <v/>
      </c>
      <c r="S1304">
        <f>IFERROR(INDEX(PP_Grid[#Data],$DE1304,16),0)</f>
        <v/>
      </c>
      <c r="T1304">
        <f>IFERROR(INDEX(PP_Grid[#Data],$DE1304,17),0)</f>
        <v/>
      </c>
      <c r="U1304">
        <f>IFERROR(INDEX(PP_Grid[#Data],$DE1304,18),0)</f>
        <v/>
      </c>
      <c r="V1304">
        <f>IFERROR(INDEX(PP_Grid[#Data],$DE1304,19),0)</f>
        <v/>
      </c>
      <c r="W1304">
        <f>IFERROR(INDEX(PP_Grid[#Data],$DE1304,20),0)</f>
        <v/>
      </c>
      <c r="X1304">
        <f>IFERROR(INDEX(PP_Grid[#Data],$DE1304,21),0)</f>
        <v/>
      </c>
      <c r="Y1304">
        <f>IFERROR(INDEX(PP_Grid[#Data],$DE1304,22),0)</f>
        <v/>
      </c>
      <c r="Z1304">
        <f>IFERROR(INDEX(PP_Grid[#Data],$DE1304,23),0)</f>
        <v/>
      </c>
      <c r="AA1304">
        <f>IFERROR(INDEX(PP_Grid[#Data],$DE1304,24),0)</f>
        <v/>
      </c>
      <c r="AB1304">
        <f>IFERROR(INDEX(PP_Grid[#Data],$DE1304,25),0)</f>
        <v/>
      </c>
      <c r="AC1304">
        <f>IFERROR(INDEX(PP_Grid[#Data],$DE1304,26),0)</f>
        <v/>
      </c>
      <c r="AD1304">
        <f>IFERROR(INDEX(PP_Grid[#Data],$DE1304,27),0)</f>
        <v/>
      </c>
      <c r="AE1304">
        <f>IFERROR(INDEX(PP_Grid[#Data],$DE1304,28),0)</f>
        <v/>
      </c>
      <c r="AF1304">
        <f>IFERROR(INDEX(PP_Grid[#Data],$DE1304,29),0)</f>
        <v/>
      </c>
      <c r="AG1304">
        <f>IFERROR(INDEX(PP_Grid[#Data],$DE1304,30),0)</f>
        <v/>
      </c>
      <c r="AH1304">
        <f>IFERROR(INDEX(PP_Grid[#Data],$DE1304,31),0)</f>
        <v/>
      </c>
      <c r="AI1304">
        <f>IFERROR(INDEX(PP_Grid[#Data],$DE1304,32),0)</f>
        <v/>
      </c>
      <c r="AJ1304">
        <f>IFERROR(INDEX(PP_Grid[#Data],$DE1304,33),0)</f>
        <v/>
      </c>
      <c r="AK1304">
        <f>IFERROR(INDEX(PP_Grid[#Data],$DE1304,34),0)</f>
        <v/>
      </c>
      <c r="AL1304">
        <f>IFERROR(INDEX(PP_Grid[#Data],$DE1304,35),0)</f>
        <v/>
      </c>
      <c r="AM1304">
        <f>IFERROR(INDEX(PP_Grid[#Data],$DE1304,36),0)</f>
        <v/>
      </c>
      <c r="AN1304">
        <f>IFERROR(INDEX(PP_Grid[#Data],$DE1304,37),0)</f>
        <v/>
      </c>
      <c r="AO1304">
        <f>IFERROR(INDEX(PP_Grid[#Data],$DE1304,38),0)</f>
        <v/>
      </c>
      <c r="AP1304">
        <f>IFERROR(INDEX(PP_Grid[#Data],$DE1304,39),0)</f>
        <v/>
      </c>
      <c r="AQ1304">
        <f>IFERROR(INDEX(PP_Grid[#Data],$DE1304,40),0)</f>
        <v/>
      </c>
      <c r="AR1304">
        <f>IFERROR(INDEX(PP_Grid[#Data],$DE1304,41),0)</f>
        <v/>
      </c>
      <c r="AS1304">
        <f>IFERROR(INDEX(PP_Grid[#Data],$DE1304,42),0)</f>
        <v/>
      </c>
      <c r="AT1304">
        <f>IFERROR(INDEX(PP_Grid[#Data],$DE1304,43),0)</f>
        <v/>
      </c>
      <c r="AU1304">
        <f>IFERROR(INDEX(PP_Grid[#Data],$DE1304,44),0)</f>
        <v/>
      </c>
      <c r="AV1304">
        <f>IFERROR(INDEX(PP_Grid[#Data],$DE1304,45),0)</f>
        <v/>
      </c>
      <c r="AW1304">
        <f>IFERROR(INDEX(PP_Grid[#Data],$DE1304,46),0)</f>
        <v/>
      </c>
      <c r="AX1304">
        <f>IFERROR(INDEX(PP_Grid[#Data],$DE1304,47),0)</f>
        <v/>
      </c>
      <c r="AY1304">
        <f>IFERROR(INDEX(PP_Grid[#Data],$DE1304,48),0)</f>
        <v/>
      </c>
      <c r="AZ1304">
        <f>IFERROR(INDEX(PP_Grid[#Data],$DE1304,49),0)</f>
        <v/>
      </c>
      <c r="BA1304">
        <f>IFERROR(INDEX(PP_Grid[#Data],$DE1304,50),0)</f>
        <v/>
      </c>
      <c r="BB1304">
        <f>IFERROR(INDEX(PP_Grid[#Data],$DE1304,51),0)</f>
        <v/>
      </c>
      <c r="BC1304">
        <f>IFERROR(INDEX(PP_Grid[#Data],$DE1304,52),0)</f>
        <v/>
      </c>
      <c r="BD1304">
        <f>IFERROR(INDEX(PP_Grid[#Data],$DE1304,53),0)</f>
        <v/>
      </c>
      <c r="BE1304">
        <f>IFERROR(INDEX(PP_Grid[#Data],$DE1304,54),0)</f>
        <v/>
      </c>
      <c r="BF1304">
        <f>IFERROR(INDEX(PP_Grid[#Data],$DE1304,55),0)</f>
        <v/>
      </c>
      <c r="BG1304">
        <f>IFERROR(INDEX(PP_Grid[#Data],$DE1304,56),0)</f>
        <v/>
      </c>
      <c r="BH1304">
        <f>IFERROR(INDEX(PP_Grid[#Data],$DE1304,57),0)</f>
        <v/>
      </c>
      <c r="BI1304">
        <f>IFERROR(INDEX(PP_Grid[#Data],$DE1304,58),0)</f>
        <v/>
      </c>
      <c r="BJ1304">
        <f>IFERROR(INDEX(PP_Grid[#Data],$DE1304,59),0)</f>
        <v/>
      </c>
      <c r="BK1304">
        <f>IFERROR(INDEX(PP_Grid[#Data],$DE1304,60),0)</f>
        <v/>
      </c>
      <c r="BL1304">
        <f>IFERROR(INDEX(PP_Grid[#Data],$DE1304,61),0)</f>
        <v/>
      </c>
      <c r="BM1304">
        <f>IFERROR(INDEX(PP_Grid[#Data],$DE1304,62),0)</f>
        <v/>
      </c>
      <c r="BN1304">
        <f>IFERROR(INDEX(PP_Grid[#Data],$DE1304,63),0)</f>
        <v/>
      </c>
      <c r="BO1304">
        <f>IFERROR(INDEX(PP_Grid[#Data],$DE1304,64),0)</f>
        <v/>
      </c>
      <c r="BP1304">
        <f>IFERROR(INDEX(PP_Grid[#Data],$DE1304,65),0)</f>
        <v/>
      </c>
      <c r="BQ1304">
        <f>IFERROR(INDEX(PP_Grid[#Data],$DE1304,66),0)</f>
        <v/>
      </c>
      <c r="BR1304">
        <f>IFERROR(INDEX(PP_Grid[#Data],$DE1304,67),0)</f>
        <v/>
      </c>
      <c r="BS1304">
        <f>IFERROR(INDEX(PP_Grid[#Data],$DE1304,68),0)</f>
        <v/>
      </c>
      <c r="BT1304">
        <f>IFERROR(INDEX(PP_Grid[#Data],$DE1304,69),0)</f>
        <v/>
      </c>
      <c r="BU1304">
        <f>IFERROR(INDEX(PP_Grid[#Data],$DE1304,70),0)</f>
        <v/>
      </c>
      <c r="BV1304">
        <f>IFERROR(INDEX(PP_Grid[#Data],$DE1304,71),0)</f>
        <v/>
      </c>
      <c r="BW1304">
        <f>IFERROR(INDEX(PP_Grid[#Data],$DE1304,72),0)</f>
        <v/>
      </c>
      <c r="BX1304">
        <f>IFERROR(INDEX(PP_Grid[#Data],$DE1304,73),0)</f>
        <v/>
      </c>
      <c r="BY1304">
        <f>IFERROR(INDEX(PP_Grid[#Data],$DE1304,74),0)</f>
        <v/>
      </c>
      <c r="BZ1304">
        <f>IFERROR(INDEX(PP_Grid[#Data],$DE1304,75),0)</f>
        <v/>
      </c>
      <c r="CA1304">
        <f>IFERROR(INDEX(PP_Grid[#Data],$DE1304,76),0)</f>
        <v/>
      </c>
      <c r="CB1304">
        <f>IFERROR(INDEX(PP_Grid[#Data],$DE1304,77),0)</f>
        <v/>
      </c>
      <c r="CC1304">
        <f>IFERROR(INDEX(PP_Grid[#Data],$DE1304,78),0)</f>
        <v/>
      </c>
      <c r="CD1304">
        <f>IFERROR(INDEX(PP_Grid[#Data],$DE1304,79),0)</f>
        <v/>
      </c>
      <c r="CE1304">
        <f>IFERROR(INDEX(PP_Grid[#Data],$DE1304,80),0)</f>
        <v/>
      </c>
      <c r="CF1304">
        <f>IFERROR(INDEX(PP_Grid[#Data],$DE1304,81),0)</f>
        <v/>
      </c>
      <c r="CG1304">
        <f>IFERROR(INDEX(PP_Grid[#Data],$DE1304,82),0)</f>
        <v/>
      </c>
      <c r="CH1304">
        <f>IFERROR(INDEX(PP_Grid[#Data],$DE1304,83),0)</f>
        <v/>
      </c>
      <c r="CI1304">
        <f>IFERROR(INDEX(PP_Grid[#Data],$DE1304,84),0)</f>
        <v/>
      </c>
      <c r="CJ1304">
        <f>IFERROR(INDEX(PP_Grid[#Data],$DE1304,85),0)</f>
        <v/>
      </c>
      <c r="CK1304">
        <f>IFERROR(INDEX(PP_Grid[#Data],$DE1304,86),0)</f>
        <v/>
      </c>
      <c r="CL1304">
        <f>IFERROR(INDEX(PP_Grid[#Data],$DE1304,87),0)</f>
        <v/>
      </c>
      <c r="CM1304">
        <f>IFERROR(INDEX(PP_Grid[#Data],$DE1304,88),0)</f>
        <v/>
      </c>
      <c r="CN1304">
        <f>IFERROR(INDEX(PP_Grid[#Data],$DE1304,89),0)</f>
        <v/>
      </c>
      <c r="CO1304">
        <f>IFERROR(INDEX(PP_Grid[#Data],$DE1304,90),0)</f>
        <v/>
      </c>
      <c r="CP1304">
        <f>IFERROR(INDEX(PP_Grid[#Data],$DE1304,91),0)</f>
        <v/>
      </c>
      <c r="CQ1304">
        <f>IFERROR(INDEX(PP_Grid[#Data],$DE1304,92),0)</f>
        <v/>
      </c>
      <c r="CR1304">
        <f>IFERROR(INDEX(PP_Grid[#Data],$DE1304,93),0)</f>
        <v/>
      </c>
      <c r="CS1304">
        <f>IFERROR(INDEX(PP_Grid[#Data],$DE1304,94),0)</f>
        <v/>
      </c>
      <c r="CT1304">
        <f>IFERROR(INDEX(PP_Grid[#Data],$DE1304,95),0)</f>
        <v/>
      </c>
      <c r="CU1304">
        <f>IFERROR(INDEX(PP_Grid[#Data],$DE1304,96),0)</f>
        <v/>
      </c>
      <c r="CV1304">
        <f>IFERROR(INDEX(PP_Grid[#Data],$DE1304,97),0)</f>
        <v/>
      </c>
      <c r="CW1304">
        <f>IFERROR(INDEX(PP_Grid[#Data],$DE1304,98),0)</f>
        <v/>
      </c>
      <c r="CX1304">
        <f>IFERROR(INDEX(PP_Grid[#Data],$DE1304,99),0)</f>
        <v/>
      </c>
      <c r="CY1304">
        <f>IFERROR(INDEX(PP_Grid[#Data],$DE1304,100),0)</f>
        <v/>
      </c>
      <c r="CZ1304">
        <f>IFERROR(INDEX(PP_Grid[#Data],$DE1304,101),0)</f>
        <v/>
      </c>
      <c r="DA1304">
        <f>IFERROR(INDEX(PP_Grid[#Data],$DE1304,102),0)</f>
        <v/>
      </c>
      <c r="DB1304">
        <f>IFERROR(INDEX(PP_Grid[#Data],$DE1304,103),0)</f>
        <v/>
      </c>
      <c r="DC1304">
        <f>IFERROR(INDEX(PP_Grid[#Data],$DE1304,104),0)</f>
        <v/>
      </c>
      <c r="DD1304">
        <f>IFERROR(INDEX(PP_Grid[#Data],$DE1304,105),0)</f>
        <v/>
      </c>
      <c r="DE1304" s="7">
        <f>IFERROR(MATCH($B1304,PP_Grid[Intermediate],0),99999)</f>
        <v/>
      </c>
    </row>
    <row r="1305">
      <c r="B1305" t="inlineStr">
        <is>
          <t>使用量(kg)</t>
        </is>
      </c>
      <c r="C1305">
        <f>SUMIFS(M_BOM[RM_Qty_Per_Batch],M_BOM[Intermediate],$B1304,M_BOM[RM_Code],$A1299)</f>
        <v/>
      </c>
      <c r="D1305">
        <f>IFERROR(INDEX(E1305:DD1305,$F$1),"")</f>
        <v/>
      </c>
      <c r="E1305">
        <f>$C1305*E1304</f>
        <v/>
      </c>
      <c r="F1305">
        <f>$C1305*F1304</f>
        <v/>
      </c>
      <c r="G1305">
        <f>$C1305*G1304</f>
        <v/>
      </c>
      <c r="H1305">
        <f>$C1305*H1304</f>
        <v/>
      </c>
      <c r="I1305">
        <f>$C1305*I1304</f>
        <v/>
      </c>
      <c r="J1305">
        <f>$C1305*J1304</f>
        <v/>
      </c>
      <c r="K1305">
        <f>$C1305*K1304</f>
        <v/>
      </c>
      <c r="L1305">
        <f>$C1305*L1304</f>
        <v/>
      </c>
      <c r="M1305">
        <f>$C1305*M1304</f>
        <v/>
      </c>
      <c r="N1305">
        <f>$C1305*N1304</f>
        <v/>
      </c>
      <c r="O1305">
        <f>$C1305*O1304</f>
        <v/>
      </c>
      <c r="P1305">
        <f>$C1305*P1304</f>
        <v/>
      </c>
      <c r="Q1305">
        <f>$C1305*Q1304</f>
        <v/>
      </c>
      <c r="R1305">
        <f>$C1305*R1304</f>
        <v/>
      </c>
      <c r="S1305">
        <f>$C1305*S1304</f>
        <v/>
      </c>
      <c r="T1305">
        <f>$C1305*T1304</f>
        <v/>
      </c>
      <c r="U1305">
        <f>$C1305*U1304</f>
        <v/>
      </c>
      <c r="V1305">
        <f>$C1305*V1304</f>
        <v/>
      </c>
      <c r="W1305">
        <f>$C1305*W1304</f>
        <v/>
      </c>
      <c r="X1305">
        <f>$C1305*X1304</f>
        <v/>
      </c>
      <c r="Y1305">
        <f>$C1305*Y1304</f>
        <v/>
      </c>
      <c r="Z1305">
        <f>$C1305*Z1304</f>
        <v/>
      </c>
      <c r="AA1305">
        <f>$C1305*AA1304</f>
        <v/>
      </c>
      <c r="AB1305">
        <f>$C1305*AB1304</f>
        <v/>
      </c>
      <c r="AC1305">
        <f>$C1305*AC1304</f>
        <v/>
      </c>
      <c r="AD1305">
        <f>$C1305*AD1304</f>
        <v/>
      </c>
      <c r="AE1305">
        <f>$C1305*AE1304</f>
        <v/>
      </c>
      <c r="AF1305">
        <f>$C1305*AF1304</f>
        <v/>
      </c>
      <c r="AG1305">
        <f>$C1305*AG1304</f>
        <v/>
      </c>
      <c r="AH1305">
        <f>$C1305*AH1304</f>
        <v/>
      </c>
      <c r="AI1305">
        <f>$C1305*AI1304</f>
        <v/>
      </c>
      <c r="AJ1305">
        <f>$C1305*AJ1304</f>
        <v/>
      </c>
      <c r="AK1305">
        <f>$C1305*AK1304</f>
        <v/>
      </c>
      <c r="AL1305">
        <f>$C1305*AL1304</f>
        <v/>
      </c>
      <c r="AM1305">
        <f>$C1305*AM1304</f>
        <v/>
      </c>
      <c r="AN1305">
        <f>$C1305*AN1304</f>
        <v/>
      </c>
      <c r="AO1305">
        <f>$C1305*AO1304</f>
        <v/>
      </c>
      <c r="AP1305">
        <f>$C1305*AP1304</f>
        <v/>
      </c>
      <c r="AQ1305">
        <f>$C1305*AQ1304</f>
        <v/>
      </c>
      <c r="AR1305">
        <f>$C1305*AR1304</f>
        <v/>
      </c>
      <c r="AS1305">
        <f>$C1305*AS1304</f>
        <v/>
      </c>
      <c r="AT1305">
        <f>$C1305*AT1304</f>
        <v/>
      </c>
      <c r="AU1305">
        <f>$C1305*AU1304</f>
        <v/>
      </c>
      <c r="AV1305">
        <f>$C1305*AV1304</f>
        <v/>
      </c>
      <c r="AW1305">
        <f>$C1305*AW1304</f>
        <v/>
      </c>
      <c r="AX1305">
        <f>$C1305*AX1304</f>
        <v/>
      </c>
      <c r="AY1305">
        <f>$C1305*AY1304</f>
        <v/>
      </c>
      <c r="AZ1305">
        <f>$C1305*AZ1304</f>
        <v/>
      </c>
      <c r="BA1305">
        <f>$C1305*BA1304</f>
        <v/>
      </c>
      <c r="BB1305">
        <f>$C1305*BB1304</f>
        <v/>
      </c>
      <c r="BC1305">
        <f>$C1305*BC1304</f>
        <v/>
      </c>
      <c r="BD1305">
        <f>$C1305*BD1304</f>
        <v/>
      </c>
      <c r="BE1305">
        <f>$C1305*BE1304</f>
        <v/>
      </c>
      <c r="BF1305">
        <f>$C1305*BF1304</f>
        <v/>
      </c>
      <c r="BG1305">
        <f>$C1305*BG1304</f>
        <v/>
      </c>
      <c r="BH1305">
        <f>$C1305*BH1304</f>
        <v/>
      </c>
      <c r="BI1305">
        <f>$C1305*BI1304</f>
        <v/>
      </c>
      <c r="BJ1305">
        <f>$C1305*BJ1304</f>
        <v/>
      </c>
      <c r="BK1305">
        <f>$C1305*BK1304</f>
        <v/>
      </c>
      <c r="BL1305">
        <f>$C1305*BL1304</f>
        <v/>
      </c>
      <c r="BM1305">
        <f>$C1305*BM1304</f>
        <v/>
      </c>
      <c r="BN1305">
        <f>$C1305*BN1304</f>
        <v/>
      </c>
      <c r="BO1305">
        <f>$C1305*BO1304</f>
        <v/>
      </c>
      <c r="BP1305">
        <f>$C1305*BP1304</f>
        <v/>
      </c>
      <c r="BQ1305">
        <f>$C1305*BQ1304</f>
        <v/>
      </c>
      <c r="BR1305">
        <f>$C1305*BR1304</f>
        <v/>
      </c>
      <c r="BS1305">
        <f>$C1305*BS1304</f>
        <v/>
      </c>
      <c r="BT1305">
        <f>$C1305*BT1304</f>
        <v/>
      </c>
      <c r="BU1305">
        <f>$C1305*BU1304</f>
        <v/>
      </c>
      <c r="BV1305">
        <f>$C1305*BV1304</f>
        <v/>
      </c>
      <c r="BW1305">
        <f>$C1305*BW1304</f>
        <v/>
      </c>
      <c r="BX1305">
        <f>$C1305*BX1304</f>
        <v/>
      </c>
      <c r="BY1305">
        <f>$C1305*BY1304</f>
        <v/>
      </c>
      <c r="BZ1305">
        <f>$C1305*BZ1304</f>
        <v/>
      </c>
      <c r="CA1305">
        <f>$C1305*CA1304</f>
        <v/>
      </c>
      <c r="CB1305">
        <f>$C1305*CB1304</f>
        <v/>
      </c>
      <c r="CC1305">
        <f>$C1305*CC1304</f>
        <v/>
      </c>
      <c r="CD1305">
        <f>$C1305*CD1304</f>
        <v/>
      </c>
      <c r="CE1305">
        <f>$C1305*CE1304</f>
        <v/>
      </c>
      <c r="CF1305">
        <f>$C1305*CF1304</f>
        <v/>
      </c>
      <c r="CG1305">
        <f>$C1305*CG1304</f>
        <v/>
      </c>
      <c r="CH1305">
        <f>$C1305*CH1304</f>
        <v/>
      </c>
      <c r="CI1305">
        <f>$C1305*CI1304</f>
        <v/>
      </c>
      <c r="CJ1305">
        <f>$C1305*CJ1304</f>
        <v/>
      </c>
      <c r="CK1305">
        <f>$C1305*CK1304</f>
        <v/>
      </c>
      <c r="CL1305">
        <f>$C1305*CL1304</f>
        <v/>
      </c>
      <c r="CM1305">
        <f>$C1305*CM1304</f>
        <v/>
      </c>
      <c r="CN1305">
        <f>$C1305*CN1304</f>
        <v/>
      </c>
      <c r="CO1305">
        <f>$C1305*CO1304</f>
        <v/>
      </c>
      <c r="CP1305">
        <f>$C1305*CP1304</f>
        <v/>
      </c>
      <c r="CQ1305">
        <f>$C1305*CQ1304</f>
        <v/>
      </c>
      <c r="CR1305">
        <f>$C1305*CR1304</f>
        <v/>
      </c>
      <c r="CS1305">
        <f>$C1305*CS1304</f>
        <v/>
      </c>
      <c r="CT1305">
        <f>$C1305*CT1304</f>
        <v/>
      </c>
      <c r="CU1305">
        <f>$C1305*CU1304</f>
        <v/>
      </c>
      <c r="CV1305">
        <f>$C1305*CV1304</f>
        <v/>
      </c>
      <c r="CW1305">
        <f>$C1305*CW1304</f>
        <v/>
      </c>
      <c r="CX1305">
        <f>$C1305*CX1304</f>
        <v/>
      </c>
      <c r="CY1305">
        <f>$C1305*CY1304</f>
        <v/>
      </c>
      <c r="CZ1305">
        <f>$C1305*CZ1304</f>
        <v/>
      </c>
      <c r="DA1305">
        <f>$C1305*DA1304</f>
        <v/>
      </c>
      <c r="DB1305">
        <f>$C1305*DB1304</f>
        <v/>
      </c>
      <c r="DC1305">
        <f>$C1305*DC1304</f>
        <v/>
      </c>
      <c r="DD1305">
        <f>$C1305*DD1304</f>
        <v/>
      </c>
    </row>
    <row r="1306">
      <c r="B1306" t="inlineStr">
        <is>
          <t>TSP-935</t>
        </is>
      </c>
      <c r="C1306" t="inlineStr">
        <is>
          <t>No. of batches</t>
        </is>
      </c>
      <c r="D1306">
        <f>IFERROR(INDEX(E1306:DD1306,$F$1),"")</f>
        <v/>
      </c>
      <c r="E1306">
        <f>IFERROR(INDEX(PP_Grid[#Data],$DE1306,2),0)</f>
        <v/>
      </c>
      <c r="F1306">
        <f>IFERROR(INDEX(PP_Grid[#Data],$DE1306,3),0)</f>
        <v/>
      </c>
      <c r="G1306">
        <f>IFERROR(INDEX(PP_Grid[#Data],$DE1306,4),0)</f>
        <v/>
      </c>
      <c r="H1306">
        <f>IFERROR(INDEX(PP_Grid[#Data],$DE1306,5),0)</f>
        <v/>
      </c>
      <c r="I1306">
        <f>IFERROR(INDEX(PP_Grid[#Data],$DE1306,6),0)</f>
        <v/>
      </c>
      <c r="J1306">
        <f>IFERROR(INDEX(PP_Grid[#Data],$DE1306,7),0)</f>
        <v/>
      </c>
      <c r="K1306">
        <f>IFERROR(INDEX(PP_Grid[#Data],$DE1306,8),0)</f>
        <v/>
      </c>
      <c r="L1306">
        <f>IFERROR(INDEX(PP_Grid[#Data],$DE1306,9),0)</f>
        <v/>
      </c>
      <c r="M1306">
        <f>IFERROR(INDEX(PP_Grid[#Data],$DE1306,10),0)</f>
        <v/>
      </c>
      <c r="N1306">
        <f>IFERROR(INDEX(PP_Grid[#Data],$DE1306,11),0)</f>
        <v/>
      </c>
      <c r="O1306">
        <f>IFERROR(INDEX(PP_Grid[#Data],$DE1306,12),0)</f>
        <v/>
      </c>
      <c r="P1306">
        <f>IFERROR(INDEX(PP_Grid[#Data],$DE1306,13),0)</f>
        <v/>
      </c>
      <c r="Q1306">
        <f>IFERROR(INDEX(PP_Grid[#Data],$DE1306,14),0)</f>
        <v/>
      </c>
      <c r="R1306">
        <f>IFERROR(INDEX(PP_Grid[#Data],$DE1306,15),0)</f>
        <v/>
      </c>
      <c r="S1306">
        <f>IFERROR(INDEX(PP_Grid[#Data],$DE1306,16),0)</f>
        <v/>
      </c>
      <c r="T1306">
        <f>IFERROR(INDEX(PP_Grid[#Data],$DE1306,17),0)</f>
        <v/>
      </c>
      <c r="U1306">
        <f>IFERROR(INDEX(PP_Grid[#Data],$DE1306,18),0)</f>
        <v/>
      </c>
      <c r="V1306">
        <f>IFERROR(INDEX(PP_Grid[#Data],$DE1306,19),0)</f>
        <v/>
      </c>
      <c r="W1306">
        <f>IFERROR(INDEX(PP_Grid[#Data],$DE1306,20),0)</f>
        <v/>
      </c>
      <c r="X1306">
        <f>IFERROR(INDEX(PP_Grid[#Data],$DE1306,21),0)</f>
        <v/>
      </c>
      <c r="Y1306">
        <f>IFERROR(INDEX(PP_Grid[#Data],$DE1306,22),0)</f>
        <v/>
      </c>
      <c r="Z1306">
        <f>IFERROR(INDEX(PP_Grid[#Data],$DE1306,23),0)</f>
        <v/>
      </c>
      <c r="AA1306">
        <f>IFERROR(INDEX(PP_Grid[#Data],$DE1306,24),0)</f>
        <v/>
      </c>
      <c r="AB1306">
        <f>IFERROR(INDEX(PP_Grid[#Data],$DE1306,25),0)</f>
        <v/>
      </c>
      <c r="AC1306">
        <f>IFERROR(INDEX(PP_Grid[#Data],$DE1306,26),0)</f>
        <v/>
      </c>
      <c r="AD1306">
        <f>IFERROR(INDEX(PP_Grid[#Data],$DE1306,27),0)</f>
        <v/>
      </c>
      <c r="AE1306">
        <f>IFERROR(INDEX(PP_Grid[#Data],$DE1306,28),0)</f>
        <v/>
      </c>
      <c r="AF1306">
        <f>IFERROR(INDEX(PP_Grid[#Data],$DE1306,29),0)</f>
        <v/>
      </c>
      <c r="AG1306">
        <f>IFERROR(INDEX(PP_Grid[#Data],$DE1306,30),0)</f>
        <v/>
      </c>
      <c r="AH1306">
        <f>IFERROR(INDEX(PP_Grid[#Data],$DE1306,31),0)</f>
        <v/>
      </c>
      <c r="AI1306">
        <f>IFERROR(INDEX(PP_Grid[#Data],$DE1306,32),0)</f>
        <v/>
      </c>
      <c r="AJ1306">
        <f>IFERROR(INDEX(PP_Grid[#Data],$DE1306,33),0)</f>
        <v/>
      </c>
      <c r="AK1306">
        <f>IFERROR(INDEX(PP_Grid[#Data],$DE1306,34),0)</f>
        <v/>
      </c>
      <c r="AL1306">
        <f>IFERROR(INDEX(PP_Grid[#Data],$DE1306,35),0)</f>
        <v/>
      </c>
      <c r="AM1306">
        <f>IFERROR(INDEX(PP_Grid[#Data],$DE1306,36),0)</f>
        <v/>
      </c>
      <c r="AN1306">
        <f>IFERROR(INDEX(PP_Grid[#Data],$DE1306,37),0)</f>
        <v/>
      </c>
      <c r="AO1306">
        <f>IFERROR(INDEX(PP_Grid[#Data],$DE1306,38),0)</f>
        <v/>
      </c>
      <c r="AP1306">
        <f>IFERROR(INDEX(PP_Grid[#Data],$DE1306,39),0)</f>
        <v/>
      </c>
      <c r="AQ1306">
        <f>IFERROR(INDEX(PP_Grid[#Data],$DE1306,40),0)</f>
        <v/>
      </c>
      <c r="AR1306">
        <f>IFERROR(INDEX(PP_Grid[#Data],$DE1306,41),0)</f>
        <v/>
      </c>
      <c r="AS1306">
        <f>IFERROR(INDEX(PP_Grid[#Data],$DE1306,42),0)</f>
        <v/>
      </c>
      <c r="AT1306">
        <f>IFERROR(INDEX(PP_Grid[#Data],$DE1306,43),0)</f>
        <v/>
      </c>
      <c r="AU1306">
        <f>IFERROR(INDEX(PP_Grid[#Data],$DE1306,44),0)</f>
        <v/>
      </c>
      <c r="AV1306">
        <f>IFERROR(INDEX(PP_Grid[#Data],$DE1306,45),0)</f>
        <v/>
      </c>
      <c r="AW1306">
        <f>IFERROR(INDEX(PP_Grid[#Data],$DE1306,46),0)</f>
        <v/>
      </c>
      <c r="AX1306">
        <f>IFERROR(INDEX(PP_Grid[#Data],$DE1306,47),0)</f>
        <v/>
      </c>
      <c r="AY1306">
        <f>IFERROR(INDEX(PP_Grid[#Data],$DE1306,48),0)</f>
        <v/>
      </c>
      <c r="AZ1306">
        <f>IFERROR(INDEX(PP_Grid[#Data],$DE1306,49),0)</f>
        <v/>
      </c>
      <c r="BA1306">
        <f>IFERROR(INDEX(PP_Grid[#Data],$DE1306,50),0)</f>
        <v/>
      </c>
      <c r="BB1306">
        <f>IFERROR(INDEX(PP_Grid[#Data],$DE1306,51),0)</f>
        <v/>
      </c>
      <c r="BC1306">
        <f>IFERROR(INDEX(PP_Grid[#Data],$DE1306,52),0)</f>
        <v/>
      </c>
      <c r="BD1306">
        <f>IFERROR(INDEX(PP_Grid[#Data],$DE1306,53),0)</f>
        <v/>
      </c>
      <c r="BE1306">
        <f>IFERROR(INDEX(PP_Grid[#Data],$DE1306,54),0)</f>
        <v/>
      </c>
      <c r="BF1306">
        <f>IFERROR(INDEX(PP_Grid[#Data],$DE1306,55),0)</f>
        <v/>
      </c>
      <c r="BG1306">
        <f>IFERROR(INDEX(PP_Grid[#Data],$DE1306,56),0)</f>
        <v/>
      </c>
      <c r="BH1306">
        <f>IFERROR(INDEX(PP_Grid[#Data],$DE1306,57),0)</f>
        <v/>
      </c>
      <c r="BI1306">
        <f>IFERROR(INDEX(PP_Grid[#Data],$DE1306,58),0)</f>
        <v/>
      </c>
      <c r="BJ1306">
        <f>IFERROR(INDEX(PP_Grid[#Data],$DE1306,59),0)</f>
        <v/>
      </c>
      <c r="BK1306">
        <f>IFERROR(INDEX(PP_Grid[#Data],$DE1306,60),0)</f>
        <v/>
      </c>
      <c r="BL1306">
        <f>IFERROR(INDEX(PP_Grid[#Data],$DE1306,61),0)</f>
        <v/>
      </c>
      <c r="BM1306">
        <f>IFERROR(INDEX(PP_Grid[#Data],$DE1306,62),0)</f>
        <v/>
      </c>
      <c r="BN1306">
        <f>IFERROR(INDEX(PP_Grid[#Data],$DE1306,63),0)</f>
        <v/>
      </c>
      <c r="BO1306">
        <f>IFERROR(INDEX(PP_Grid[#Data],$DE1306,64),0)</f>
        <v/>
      </c>
      <c r="BP1306">
        <f>IFERROR(INDEX(PP_Grid[#Data],$DE1306,65),0)</f>
        <v/>
      </c>
      <c r="BQ1306">
        <f>IFERROR(INDEX(PP_Grid[#Data],$DE1306,66),0)</f>
        <v/>
      </c>
      <c r="BR1306">
        <f>IFERROR(INDEX(PP_Grid[#Data],$DE1306,67),0)</f>
        <v/>
      </c>
      <c r="BS1306">
        <f>IFERROR(INDEX(PP_Grid[#Data],$DE1306,68),0)</f>
        <v/>
      </c>
      <c r="BT1306">
        <f>IFERROR(INDEX(PP_Grid[#Data],$DE1306,69),0)</f>
        <v/>
      </c>
      <c r="BU1306">
        <f>IFERROR(INDEX(PP_Grid[#Data],$DE1306,70),0)</f>
        <v/>
      </c>
      <c r="BV1306">
        <f>IFERROR(INDEX(PP_Grid[#Data],$DE1306,71),0)</f>
        <v/>
      </c>
      <c r="BW1306">
        <f>IFERROR(INDEX(PP_Grid[#Data],$DE1306,72),0)</f>
        <v/>
      </c>
      <c r="BX1306">
        <f>IFERROR(INDEX(PP_Grid[#Data],$DE1306,73),0)</f>
        <v/>
      </c>
      <c r="BY1306">
        <f>IFERROR(INDEX(PP_Grid[#Data],$DE1306,74),0)</f>
        <v/>
      </c>
      <c r="BZ1306">
        <f>IFERROR(INDEX(PP_Grid[#Data],$DE1306,75),0)</f>
        <v/>
      </c>
      <c r="CA1306">
        <f>IFERROR(INDEX(PP_Grid[#Data],$DE1306,76),0)</f>
        <v/>
      </c>
      <c r="CB1306">
        <f>IFERROR(INDEX(PP_Grid[#Data],$DE1306,77),0)</f>
        <v/>
      </c>
      <c r="CC1306">
        <f>IFERROR(INDEX(PP_Grid[#Data],$DE1306,78),0)</f>
        <v/>
      </c>
      <c r="CD1306">
        <f>IFERROR(INDEX(PP_Grid[#Data],$DE1306,79),0)</f>
        <v/>
      </c>
      <c r="CE1306">
        <f>IFERROR(INDEX(PP_Grid[#Data],$DE1306,80),0)</f>
        <v/>
      </c>
      <c r="CF1306">
        <f>IFERROR(INDEX(PP_Grid[#Data],$DE1306,81),0)</f>
        <v/>
      </c>
      <c r="CG1306">
        <f>IFERROR(INDEX(PP_Grid[#Data],$DE1306,82),0)</f>
        <v/>
      </c>
      <c r="CH1306">
        <f>IFERROR(INDEX(PP_Grid[#Data],$DE1306,83),0)</f>
        <v/>
      </c>
      <c r="CI1306">
        <f>IFERROR(INDEX(PP_Grid[#Data],$DE1306,84),0)</f>
        <v/>
      </c>
      <c r="CJ1306">
        <f>IFERROR(INDEX(PP_Grid[#Data],$DE1306,85),0)</f>
        <v/>
      </c>
      <c r="CK1306">
        <f>IFERROR(INDEX(PP_Grid[#Data],$DE1306,86),0)</f>
        <v/>
      </c>
      <c r="CL1306">
        <f>IFERROR(INDEX(PP_Grid[#Data],$DE1306,87),0)</f>
        <v/>
      </c>
      <c r="CM1306">
        <f>IFERROR(INDEX(PP_Grid[#Data],$DE1306,88),0)</f>
        <v/>
      </c>
      <c r="CN1306">
        <f>IFERROR(INDEX(PP_Grid[#Data],$DE1306,89),0)</f>
        <v/>
      </c>
      <c r="CO1306">
        <f>IFERROR(INDEX(PP_Grid[#Data],$DE1306,90),0)</f>
        <v/>
      </c>
      <c r="CP1306">
        <f>IFERROR(INDEX(PP_Grid[#Data],$DE1306,91),0)</f>
        <v/>
      </c>
      <c r="CQ1306">
        <f>IFERROR(INDEX(PP_Grid[#Data],$DE1306,92),0)</f>
        <v/>
      </c>
      <c r="CR1306">
        <f>IFERROR(INDEX(PP_Grid[#Data],$DE1306,93),0)</f>
        <v/>
      </c>
      <c r="CS1306">
        <f>IFERROR(INDEX(PP_Grid[#Data],$DE1306,94),0)</f>
        <v/>
      </c>
      <c r="CT1306">
        <f>IFERROR(INDEX(PP_Grid[#Data],$DE1306,95),0)</f>
        <v/>
      </c>
      <c r="CU1306">
        <f>IFERROR(INDEX(PP_Grid[#Data],$DE1306,96),0)</f>
        <v/>
      </c>
      <c r="CV1306">
        <f>IFERROR(INDEX(PP_Grid[#Data],$DE1306,97),0)</f>
        <v/>
      </c>
      <c r="CW1306">
        <f>IFERROR(INDEX(PP_Grid[#Data],$DE1306,98),0)</f>
        <v/>
      </c>
      <c r="CX1306">
        <f>IFERROR(INDEX(PP_Grid[#Data],$DE1306,99),0)</f>
        <v/>
      </c>
      <c r="CY1306">
        <f>IFERROR(INDEX(PP_Grid[#Data],$DE1306,100),0)</f>
        <v/>
      </c>
      <c r="CZ1306">
        <f>IFERROR(INDEX(PP_Grid[#Data],$DE1306,101),0)</f>
        <v/>
      </c>
      <c r="DA1306">
        <f>IFERROR(INDEX(PP_Grid[#Data],$DE1306,102),0)</f>
        <v/>
      </c>
      <c r="DB1306">
        <f>IFERROR(INDEX(PP_Grid[#Data],$DE1306,103),0)</f>
        <v/>
      </c>
      <c r="DC1306">
        <f>IFERROR(INDEX(PP_Grid[#Data],$DE1306,104),0)</f>
        <v/>
      </c>
      <c r="DD1306">
        <f>IFERROR(INDEX(PP_Grid[#Data],$DE1306,105),0)</f>
        <v/>
      </c>
      <c r="DE1306" s="7">
        <f>IFERROR(MATCH($B1306,PP_Grid[Intermediate],0),99999)</f>
        <v/>
      </c>
    </row>
    <row r="1307">
      <c r="B1307" t="inlineStr">
        <is>
          <t>使用量(kg)</t>
        </is>
      </c>
      <c r="C1307">
        <f>SUMIFS(M_BOM[RM_Qty_Per_Batch],M_BOM[Intermediate],$B1306,M_BOM[RM_Code],$A1299)</f>
        <v/>
      </c>
      <c r="D1307">
        <f>IFERROR(INDEX(E1307:DD1307,$F$1),"")</f>
        <v/>
      </c>
      <c r="E1307">
        <f>$C1307*E1306</f>
        <v/>
      </c>
      <c r="F1307">
        <f>$C1307*F1306</f>
        <v/>
      </c>
      <c r="G1307">
        <f>$C1307*G1306</f>
        <v/>
      </c>
      <c r="H1307">
        <f>$C1307*H1306</f>
        <v/>
      </c>
      <c r="I1307">
        <f>$C1307*I1306</f>
        <v/>
      </c>
      <c r="J1307">
        <f>$C1307*J1306</f>
        <v/>
      </c>
      <c r="K1307">
        <f>$C1307*K1306</f>
        <v/>
      </c>
      <c r="L1307">
        <f>$C1307*L1306</f>
        <v/>
      </c>
      <c r="M1307">
        <f>$C1307*M1306</f>
        <v/>
      </c>
      <c r="N1307">
        <f>$C1307*N1306</f>
        <v/>
      </c>
      <c r="O1307">
        <f>$C1307*O1306</f>
        <v/>
      </c>
      <c r="P1307">
        <f>$C1307*P1306</f>
        <v/>
      </c>
      <c r="Q1307">
        <f>$C1307*Q1306</f>
        <v/>
      </c>
      <c r="R1307">
        <f>$C1307*R1306</f>
        <v/>
      </c>
      <c r="S1307">
        <f>$C1307*S1306</f>
        <v/>
      </c>
      <c r="T1307">
        <f>$C1307*T1306</f>
        <v/>
      </c>
      <c r="U1307">
        <f>$C1307*U1306</f>
        <v/>
      </c>
      <c r="V1307">
        <f>$C1307*V1306</f>
        <v/>
      </c>
      <c r="W1307">
        <f>$C1307*W1306</f>
        <v/>
      </c>
      <c r="X1307">
        <f>$C1307*X1306</f>
        <v/>
      </c>
      <c r="Y1307">
        <f>$C1307*Y1306</f>
        <v/>
      </c>
      <c r="Z1307">
        <f>$C1307*Z1306</f>
        <v/>
      </c>
      <c r="AA1307">
        <f>$C1307*AA1306</f>
        <v/>
      </c>
      <c r="AB1307">
        <f>$C1307*AB1306</f>
        <v/>
      </c>
      <c r="AC1307">
        <f>$C1307*AC1306</f>
        <v/>
      </c>
      <c r="AD1307">
        <f>$C1307*AD1306</f>
        <v/>
      </c>
      <c r="AE1307">
        <f>$C1307*AE1306</f>
        <v/>
      </c>
      <c r="AF1307">
        <f>$C1307*AF1306</f>
        <v/>
      </c>
      <c r="AG1307">
        <f>$C1307*AG1306</f>
        <v/>
      </c>
      <c r="AH1307">
        <f>$C1307*AH1306</f>
        <v/>
      </c>
      <c r="AI1307">
        <f>$C1307*AI1306</f>
        <v/>
      </c>
      <c r="AJ1307">
        <f>$C1307*AJ1306</f>
        <v/>
      </c>
      <c r="AK1307">
        <f>$C1307*AK1306</f>
        <v/>
      </c>
      <c r="AL1307">
        <f>$C1307*AL1306</f>
        <v/>
      </c>
      <c r="AM1307">
        <f>$C1307*AM1306</f>
        <v/>
      </c>
      <c r="AN1307">
        <f>$C1307*AN1306</f>
        <v/>
      </c>
      <c r="AO1307">
        <f>$C1307*AO1306</f>
        <v/>
      </c>
      <c r="AP1307">
        <f>$C1307*AP1306</f>
        <v/>
      </c>
      <c r="AQ1307">
        <f>$C1307*AQ1306</f>
        <v/>
      </c>
      <c r="AR1307">
        <f>$C1307*AR1306</f>
        <v/>
      </c>
      <c r="AS1307">
        <f>$C1307*AS1306</f>
        <v/>
      </c>
      <c r="AT1307">
        <f>$C1307*AT1306</f>
        <v/>
      </c>
      <c r="AU1307">
        <f>$C1307*AU1306</f>
        <v/>
      </c>
      <c r="AV1307">
        <f>$C1307*AV1306</f>
        <v/>
      </c>
      <c r="AW1307">
        <f>$C1307*AW1306</f>
        <v/>
      </c>
      <c r="AX1307">
        <f>$C1307*AX1306</f>
        <v/>
      </c>
      <c r="AY1307">
        <f>$C1307*AY1306</f>
        <v/>
      </c>
      <c r="AZ1307">
        <f>$C1307*AZ1306</f>
        <v/>
      </c>
      <c r="BA1307">
        <f>$C1307*BA1306</f>
        <v/>
      </c>
      <c r="BB1307">
        <f>$C1307*BB1306</f>
        <v/>
      </c>
      <c r="BC1307">
        <f>$C1307*BC1306</f>
        <v/>
      </c>
      <c r="BD1307">
        <f>$C1307*BD1306</f>
        <v/>
      </c>
      <c r="BE1307">
        <f>$C1307*BE1306</f>
        <v/>
      </c>
      <c r="BF1307">
        <f>$C1307*BF1306</f>
        <v/>
      </c>
      <c r="BG1307">
        <f>$C1307*BG1306</f>
        <v/>
      </c>
      <c r="BH1307">
        <f>$C1307*BH1306</f>
        <v/>
      </c>
      <c r="BI1307">
        <f>$C1307*BI1306</f>
        <v/>
      </c>
      <c r="BJ1307">
        <f>$C1307*BJ1306</f>
        <v/>
      </c>
      <c r="BK1307">
        <f>$C1307*BK1306</f>
        <v/>
      </c>
      <c r="BL1307">
        <f>$C1307*BL1306</f>
        <v/>
      </c>
      <c r="BM1307">
        <f>$C1307*BM1306</f>
        <v/>
      </c>
      <c r="BN1307">
        <f>$C1307*BN1306</f>
        <v/>
      </c>
      <c r="BO1307">
        <f>$C1307*BO1306</f>
        <v/>
      </c>
      <c r="BP1307">
        <f>$C1307*BP1306</f>
        <v/>
      </c>
      <c r="BQ1307">
        <f>$C1307*BQ1306</f>
        <v/>
      </c>
      <c r="BR1307">
        <f>$C1307*BR1306</f>
        <v/>
      </c>
      <c r="BS1307">
        <f>$C1307*BS1306</f>
        <v/>
      </c>
      <c r="BT1307">
        <f>$C1307*BT1306</f>
        <v/>
      </c>
      <c r="BU1307">
        <f>$C1307*BU1306</f>
        <v/>
      </c>
      <c r="BV1307">
        <f>$C1307*BV1306</f>
        <v/>
      </c>
      <c r="BW1307">
        <f>$C1307*BW1306</f>
        <v/>
      </c>
      <c r="BX1307">
        <f>$C1307*BX1306</f>
        <v/>
      </c>
      <c r="BY1307">
        <f>$C1307*BY1306</f>
        <v/>
      </c>
      <c r="BZ1307">
        <f>$C1307*BZ1306</f>
        <v/>
      </c>
      <c r="CA1307">
        <f>$C1307*CA1306</f>
        <v/>
      </c>
      <c r="CB1307">
        <f>$C1307*CB1306</f>
        <v/>
      </c>
      <c r="CC1307">
        <f>$C1307*CC1306</f>
        <v/>
      </c>
      <c r="CD1307">
        <f>$C1307*CD1306</f>
        <v/>
      </c>
      <c r="CE1307">
        <f>$C1307*CE1306</f>
        <v/>
      </c>
      <c r="CF1307">
        <f>$C1307*CF1306</f>
        <v/>
      </c>
      <c r="CG1307">
        <f>$C1307*CG1306</f>
        <v/>
      </c>
      <c r="CH1307">
        <f>$C1307*CH1306</f>
        <v/>
      </c>
      <c r="CI1307">
        <f>$C1307*CI1306</f>
        <v/>
      </c>
      <c r="CJ1307">
        <f>$C1307*CJ1306</f>
        <v/>
      </c>
      <c r="CK1307">
        <f>$C1307*CK1306</f>
        <v/>
      </c>
      <c r="CL1307">
        <f>$C1307*CL1306</f>
        <v/>
      </c>
      <c r="CM1307">
        <f>$C1307*CM1306</f>
        <v/>
      </c>
      <c r="CN1307">
        <f>$C1307*CN1306</f>
        <v/>
      </c>
      <c r="CO1307">
        <f>$C1307*CO1306</f>
        <v/>
      </c>
      <c r="CP1307">
        <f>$C1307*CP1306</f>
        <v/>
      </c>
      <c r="CQ1307">
        <f>$C1307*CQ1306</f>
        <v/>
      </c>
      <c r="CR1307">
        <f>$C1307*CR1306</f>
        <v/>
      </c>
      <c r="CS1307">
        <f>$C1307*CS1306</f>
        <v/>
      </c>
      <c r="CT1307">
        <f>$C1307*CT1306</f>
        <v/>
      </c>
      <c r="CU1307">
        <f>$C1307*CU1306</f>
        <v/>
      </c>
      <c r="CV1307">
        <f>$C1307*CV1306</f>
        <v/>
      </c>
      <c r="CW1307">
        <f>$C1307*CW1306</f>
        <v/>
      </c>
      <c r="CX1307">
        <f>$C1307*CX1306</f>
        <v/>
      </c>
      <c r="CY1307">
        <f>$C1307*CY1306</f>
        <v/>
      </c>
      <c r="CZ1307">
        <f>$C1307*CZ1306</f>
        <v/>
      </c>
      <c r="DA1307">
        <f>$C1307*DA1306</f>
        <v/>
      </c>
      <c r="DB1307">
        <f>$C1307*DB1306</f>
        <v/>
      </c>
      <c r="DC1307">
        <f>$C1307*DC1306</f>
        <v/>
      </c>
      <c r="DD1307">
        <f>$C1307*DD1306</f>
        <v/>
      </c>
    </row>
    <row r="1308">
      <c r="B1308" t="inlineStr">
        <is>
          <t>TSP-936</t>
        </is>
      </c>
      <c r="C1308" t="inlineStr">
        <is>
          <t>No. of batches</t>
        </is>
      </c>
      <c r="D1308">
        <f>IFERROR(INDEX(E1308:DD1308,$F$1),"")</f>
        <v/>
      </c>
      <c r="E1308">
        <f>IFERROR(INDEX(PP_Grid[#Data],$DE1308,2),0)</f>
        <v/>
      </c>
      <c r="F1308">
        <f>IFERROR(INDEX(PP_Grid[#Data],$DE1308,3),0)</f>
        <v/>
      </c>
      <c r="G1308">
        <f>IFERROR(INDEX(PP_Grid[#Data],$DE1308,4),0)</f>
        <v/>
      </c>
      <c r="H1308">
        <f>IFERROR(INDEX(PP_Grid[#Data],$DE1308,5),0)</f>
        <v/>
      </c>
      <c r="I1308">
        <f>IFERROR(INDEX(PP_Grid[#Data],$DE1308,6),0)</f>
        <v/>
      </c>
      <c r="J1308">
        <f>IFERROR(INDEX(PP_Grid[#Data],$DE1308,7),0)</f>
        <v/>
      </c>
      <c r="K1308">
        <f>IFERROR(INDEX(PP_Grid[#Data],$DE1308,8),0)</f>
        <v/>
      </c>
      <c r="L1308">
        <f>IFERROR(INDEX(PP_Grid[#Data],$DE1308,9),0)</f>
        <v/>
      </c>
      <c r="M1308">
        <f>IFERROR(INDEX(PP_Grid[#Data],$DE1308,10),0)</f>
        <v/>
      </c>
      <c r="N1308">
        <f>IFERROR(INDEX(PP_Grid[#Data],$DE1308,11),0)</f>
        <v/>
      </c>
      <c r="O1308">
        <f>IFERROR(INDEX(PP_Grid[#Data],$DE1308,12),0)</f>
        <v/>
      </c>
      <c r="P1308">
        <f>IFERROR(INDEX(PP_Grid[#Data],$DE1308,13),0)</f>
        <v/>
      </c>
      <c r="Q1308">
        <f>IFERROR(INDEX(PP_Grid[#Data],$DE1308,14),0)</f>
        <v/>
      </c>
      <c r="R1308">
        <f>IFERROR(INDEX(PP_Grid[#Data],$DE1308,15),0)</f>
        <v/>
      </c>
      <c r="S1308">
        <f>IFERROR(INDEX(PP_Grid[#Data],$DE1308,16),0)</f>
        <v/>
      </c>
      <c r="T1308">
        <f>IFERROR(INDEX(PP_Grid[#Data],$DE1308,17),0)</f>
        <v/>
      </c>
      <c r="U1308">
        <f>IFERROR(INDEX(PP_Grid[#Data],$DE1308,18),0)</f>
        <v/>
      </c>
      <c r="V1308">
        <f>IFERROR(INDEX(PP_Grid[#Data],$DE1308,19),0)</f>
        <v/>
      </c>
      <c r="W1308">
        <f>IFERROR(INDEX(PP_Grid[#Data],$DE1308,20),0)</f>
        <v/>
      </c>
      <c r="X1308">
        <f>IFERROR(INDEX(PP_Grid[#Data],$DE1308,21),0)</f>
        <v/>
      </c>
      <c r="Y1308">
        <f>IFERROR(INDEX(PP_Grid[#Data],$DE1308,22),0)</f>
        <v/>
      </c>
      <c r="Z1308">
        <f>IFERROR(INDEX(PP_Grid[#Data],$DE1308,23),0)</f>
        <v/>
      </c>
      <c r="AA1308">
        <f>IFERROR(INDEX(PP_Grid[#Data],$DE1308,24),0)</f>
        <v/>
      </c>
      <c r="AB1308">
        <f>IFERROR(INDEX(PP_Grid[#Data],$DE1308,25),0)</f>
        <v/>
      </c>
      <c r="AC1308">
        <f>IFERROR(INDEX(PP_Grid[#Data],$DE1308,26),0)</f>
        <v/>
      </c>
      <c r="AD1308">
        <f>IFERROR(INDEX(PP_Grid[#Data],$DE1308,27),0)</f>
        <v/>
      </c>
      <c r="AE1308">
        <f>IFERROR(INDEX(PP_Grid[#Data],$DE1308,28),0)</f>
        <v/>
      </c>
      <c r="AF1308">
        <f>IFERROR(INDEX(PP_Grid[#Data],$DE1308,29),0)</f>
        <v/>
      </c>
      <c r="AG1308">
        <f>IFERROR(INDEX(PP_Grid[#Data],$DE1308,30),0)</f>
        <v/>
      </c>
      <c r="AH1308">
        <f>IFERROR(INDEX(PP_Grid[#Data],$DE1308,31),0)</f>
        <v/>
      </c>
      <c r="AI1308">
        <f>IFERROR(INDEX(PP_Grid[#Data],$DE1308,32),0)</f>
        <v/>
      </c>
      <c r="AJ1308">
        <f>IFERROR(INDEX(PP_Grid[#Data],$DE1308,33),0)</f>
        <v/>
      </c>
      <c r="AK1308">
        <f>IFERROR(INDEX(PP_Grid[#Data],$DE1308,34),0)</f>
        <v/>
      </c>
      <c r="AL1308">
        <f>IFERROR(INDEX(PP_Grid[#Data],$DE1308,35),0)</f>
        <v/>
      </c>
      <c r="AM1308">
        <f>IFERROR(INDEX(PP_Grid[#Data],$DE1308,36),0)</f>
        <v/>
      </c>
      <c r="AN1308">
        <f>IFERROR(INDEX(PP_Grid[#Data],$DE1308,37),0)</f>
        <v/>
      </c>
      <c r="AO1308">
        <f>IFERROR(INDEX(PP_Grid[#Data],$DE1308,38),0)</f>
        <v/>
      </c>
      <c r="AP1308">
        <f>IFERROR(INDEX(PP_Grid[#Data],$DE1308,39),0)</f>
        <v/>
      </c>
      <c r="AQ1308">
        <f>IFERROR(INDEX(PP_Grid[#Data],$DE1308,40),0)</f>
        <v/>
      </c>
      <c r="AR1308">
        <f>IFERROR(INDEX(PP_Grid[#Data],$DE1308,41),0)</f>
        <v/>
      </c>
      <c r="AS1308">
        <f>IFERROR(INDEX(PP_Grid[#Data],$DE1308,42),0)</f>
        <v/>
      </c>
      <c r="AT1308">
        <f>IFERROR(INDEX(PP_Grid[#Data],$DE1308,43),0)</f>
        <v/>
      </c>
      <c r="AU1308">
        <f>IFERROR(INDEX(PP_Grid[#Data],$DE1308,44),0)</f>
        <v/>
      </c>
      <c r="AV1308">
        <f>IFERROR(INDEX(PP_Grid[#Data],$DE1308,45),0)</f>
        <v/>
      </c>
      <c r="AW1308">
        <f>IFERROR(INDEX(PP_Grid[#Data],$DE1308,46),0)</f>
        <v/>
      </c>
      <c r="AX1308">
        <f>IFERROR(INDEX(PP_Grid[#Data],$DE1308,47),0)</f>
        <v/>
      </c>
      <c r="AY1308">
        <f>IFERROR(INDEX(PP_Grid[#Data],$DE1308,48),0)</f>
        <v/>
      </c>
      <c r="AZ1308">
        <f>IFERROR(INDEX(PP_Grid[#Data],$DE1308,49),0)</f>
        <v/>
      </c>
      <c r="BA1308">
        <f>IFERROR(INDEX(PP_Grid[#Data],$DE1308,50),0)</f>
        <v/>
      </c>
      <c r="BB1308">
        <f>IFERROR(INDEX(PP_Grid[#Data],$DE1308,51),0)</f>
        <v/>
      </c>
      <c r="BC1308">
        <f>IFERROR(INDEX(PP_Grid[#Data],$DE1308,52),0)</f>
        <v/>
      </c>
      <c r="BD1308">
        <f>IFERROR(INDEX(PP_Grid[#Data],$DE1308,53),0)</f>
        <v/>
      </c>
      <c r="BE1308">
        <f>IFERROR(INDEX(PP_Grid[#Data],$DE1308,54),0)</f>
        <v/>
      </c>
      <c r="BF1308">
        <f>IFERROR(INDEX(PP_Grid[#Data],$DE1308,55),0)</f>
        <v/>
      </c>
      <c r="BG1308">
        <f>IFERROR(INDEX(PP_Grid[#Data],$DE1308,56),0)</f>
        <v/>
      </c>
      <c r="BH1308">
        <f>IFERROR(INDEX(PP_Grid[#Data],$DE1308,57),0)</f>
        <v/>
      </c>
      <c r="BI1308">
        <f>IFERROR(INDEX(PP_Grid[#Data],$DE1308,58),0)</f>
        <v/>
      </c>
      <c r="BJ1308">
        <f>IFERROR(INDEX(PP_Grid[#Data],$DE1308,59),0)</f>
        <v/>
      </c>
      <c r="BK1308">
        <f>IFERROR(INDEX(PP_Grid[#Data],$DE1308,60),0)</f>
        <v/>
      </c>
      <c r="BL1308">
        <f>IFERROR(INDEX(PP_Grid[#Data],$DE1308,61),0)</f>
        <v/>
      </c>
      <c r="BM1308">
        <f>IFERROR(INDEX(PP_Grid[#Data],$DE1308,62),0)</f>
        <v/>
      </c>
      <c r="BN1308">
        <f>IFERROR(INDEX(PP_Grid[#Data],$DE1308,63),0)</f>
        <v/>
      </c>
      <c r="BO1308">
        <f>IFERROR(INDEX(PP_Grid[#Data],$DE1308,64),0)</f>
        <v/>
      </c>
      <c r="BP1308">
        <f>IFERROR(INDEX(PP_Grid[#Data],$DE1308,65),0)</f>
        <v/>
      </c>
      <c r="BQ1308">
        <f>IFERROR(INDEX(PP_Grid[#Data],$DE1308,66),0)</f>
        <v/>
      </c>
      <c r="BR1308">
        <f>IFERROR(INDEX(PP_Grid[#Data],$DE1308,67),0)</f>
        <v/>
      </c>
      <c r="BS1308">
        <f>IFERROR(INDEX(PP_Grid[#Data],$DE1308,68),0)</f>
        <v/>
      </c>
      <c r="BT1308">
        <f>IFERROR(INDEX(PP_Grid[#Data],$DE1308,69),0)</f>
        <v/>
      </c>
      <c r="BU1308">
        <f>IFERROR(INDEX(PP_Grid[#Data],$DE1308,70),0)</f>
        <v/>
      </c>
      <c r="BV1308">
        <f>IFERROR(INDEX(PP_Grid[#Data],$DE1308,71),0)</f>
        <v/>
      </c>
      <c r="BW1308">
        <f>IFERROR(INDEX(PP_Grid[#Data],$DE1308,72),0)</f>
        <v/>
      </c>
      <c r="BX1308">
        <f>IFERROR(INDEX(PP_Grid[#Data],$DE1308,73),0)</f>
        <v/>
      </c>
      <c r="BY1308">
        <f>IFERROR(INDEX(PP_Grid[#Data],$DE1308,74),0)</f>
        <v/>
      </c>
      <c r="BZ1308">
        <f>IFERROR(INDEX(PP_Grid[#Data],$DE1308,75),0)</f>
        <v/>
      </c>
      <c r="CA1308">
        <f>IFERROR(INDEX(PP_Grid[#Data],$DE1308,76),0)</f>
        <v/>
      </c>
      <c r="CB1308">
        <f>IFERROR(INDEX(PP_Grid[#Data],$DE1308,77),0)</f>
        <v/>
      </c>
      <c r="CC1308">
        <f>IFERROR(INDEX(PP_Grid[#Data],$DE1308,78),0)</f>
        <v/>
      </c>
      <c r="CD1308">
        <f>IFERROR(INDEX(PP_Grid[#Data],$DE1308,79),0)</f>
        <v/>
      </c>
      <c r="CE1308">
        <f>IFERROR(INDEX(PP_Grid[#Data],$DE1308,80),0)</f>
        <v/>
      </c>
      <c r="CF1308">
        <f>IFERROR(INDEX(PP_Grid[#Data],$DE1308,81),0)</f>
        <v/>
      </c>
      <c r="CG1308">
        <f>IFERROR(INDEX(PP_Grid[#Data],$DE1308,82),0)</f>
        <v/>
      </c>
      <c r="CH1308">
        <f>IFERROR(INDEX(PP_Grid[#Data],$DE1308,83),0)</f>
        <v/>
      </c>
      <c r="CI1308">
        <f>IFERROR(INDEX(PP_Grid[#Data],$DE1308,84),0)</f>
        <v/>
      </c>
      <c r="CJ1308">
        <f>IFERROR(INDEX(PP_Grid[#Data],$DE1308,85),0)</f>
        <v/>
      </c>
      <c r="CK1308">
        <f>IFERROR(INDEX(PP_Grid[#Data],$DE1308,86),0)</f>
        <v/>
      </c>
      <c r="CL1308">
        <f>IFERROR(INDEX(PP_Grid[#Data],$DE1308,87),0)</f>
        <v/>
      </c>
      <c r="CM1308">
        <f>IFERROR(INDEX(PP_Grid[#Data],$DE1308,88),0)</f>
        <v/>
      </c>
      <c r="CN1308">
        <f>IFERROR(INDEX(PP_Grid[#Data],$DE1308,89),0)</f>
        <v/>
      </c>
      <c r="CO1308">
        <f>IFERROR(INDEX(PP_Grid[#Data],$DE1308,90),0)</f>
        <v/>
      </c>
      <c r="CP1308">
        <f>IFERROR(INDEX(PP_Grid[#Data],$DE1308,91),0)</f>
        <v/>
      </c>
      <c r="CQ1308">
        <f>IFERROR(INDEX(PP_Grid[#Data],$DE1308,92),0)</f>
        <v/>
      </c>
      <c r="CR1308">
        <f>IFERROR(INDEX(PP_Grid[#Data],$DE1308,93),0)</f>
        <v/>
      </c>
      <c r="CS1308">
        <f>IFERROR(INDEX(PP_Grid[#Data],$DE1308,94),0)</f>
        <v/>
      </c>
      <c r="CT1308">
        <f>IFERROR(INDEX(PP_Grid[#Data],$DE1308,95),0)</f>
        <v/>
      </c>
      <c r="CU1308">
        <f>IFERROR(INDEX(PP_Grid[#Data],$DE1308,96),0)</f>
        <v/>
      </c>
      <c r="CV1308">
        <f>IFERROR(INDEX(PP_Grid[#Data],$DE1308,97),0)</f>
        <v/>
      </c>
      <c r="CW1308">
        <f>IFERROR(INDEX(PP_Grid[#Data],$DE1308,98),0)</f>
        <v/>
      </c>
      <c r="CX1308">
        <f>IFERROR(INDEX(PP_Grid[#Data],$DE1308,99),0)</f>
        <v/>
      </c>
      <c r="CY1308">
        <f>IFERROR(INDEX(PP_Grid[#Data],$DE1308,100),0)</f>
        <v/>
      </c>
      <c r="CZ1308">
        <f>IFERROR(INDEX(PP_Grid[#Data],$DE1308,101),0)</f>
        <v/>
      </c>
      <c r="DA1308">
        <f>IFERROR(INDEX(PP_Grid[#Data],$DE1308,102),0)</f>
        <v/>
      </c>
      <c r="DB1308">
        <f>IFERROR(INDEX(PP_Grid[#Data],$DE1308,103),0)</f>
        <v/>
      </c>
      <c r="DC1308">
        <f>IFERROR(INDEX(PP_Grid[#Data],$DE1308,104),0)</f>
        <v/>
      </c>
      <c r="DD1308">
        <f>IFERROR(INDEX(PP_Grid[#Data],$DE1308,105),0)</f>
        <v/>
      </c>
      <c r="DE1308" s="7">
        <f>IFERROR(MATCH($B1308,PP_Grid[Intermediate],0),99999)</f>
        <v/>
      </c>
    </row>
    <row r="1309">
      <c r="B1309" t="inlineStr">
        <is>
          <t>使用量(kg)</t>
        </is>
      </c>
      <c r="C1309">
        <f>SUMIFS(M_BOM[RM_Qty_Per_Batch],M_BOM[Intermediate],$B1308,M_BOM[RM_Code],$A1299)</f>
        <v/>
      </c>
      <c r="D1309">
        <f>IFERROR(INDEX(E1309:DD1309,$F$1),"")</f>
        <v/>
      </c>
      <c r="E1309">
        <f>$C1309*E1308</f>
        <v/>
      </c>
      <c r="F1309">
        <f>$C1309*F1308</f>
        <v/>
      </c>
      <c r="G1309">
        <f>$C1309*G1308</f>
        <v/>
      </c>
      <c r="H1309">
        <f>$C1309*H1308</f>
        <v/>
      </c>
      <c r="I1309">
        <f>$C1309*I1308</f>
        <v/>
      </c>
      <c r="J1309">
        <f>$C1309*J1308</f>
        <v/>
      </c>
      <c r="K1309">
        <f>$C1309*K1308</f>
        <v/>
      </c>
      <c r="L1309">
        <f>$C1309*L1308</f>
        <v/>
      </c>
      <c r="M1309">
        <f>$C1309*M1308</f>
        <v/>
      </c>
      <c r="N1309">
        <f>$C1309*N1308</f>
        <v/>
      </c>
      <c r="O1309">
        <f>$C1309*O1308</f>
        <v/>
      </c>
      <c r="P1309">
        <f>$C1309*P1308</f>
        <v/>
      </c>
      <c r="Q1309">
        <f>$C1309*Q1308</f>
        <v/>
      </c>
      <c r="R1309">
        <f>$C1309*R1308</f>
        <v/>
      </c>
      <c r="S1309">
        <f>$C1309*S1308</f>
        <v/>
      </c>
      <c r="T1309">
        <f>$C1309*T1308</f>
        <v/>
      </c>
      <c r="U1309">
        <f>$C1309*U1308</f>
        <v/>
      </c>
      <c r="V1309">
        <f>$C1309*V1308</f>
        <v/>
      </c>
      <c r="W1309">
        <f>$C1309*W1308</f>
        <v/>
      </c>
      <c r="X1309">
        <f>$C1309*X1308</f>
        <v/>
      </c>
      <c r="Y1309">
        <f>$C1309*Y1308</f>
        <v/>
      </c>
      <c r="Z1309">
        <f>$C1309*Z1308</f>
        <v/>
      </c>
      <c r="AA1309">
        <f>$C1309*AA1308</f>
        <v/>
      </c>
      <c r="AB1309">
        <f>$C1309*AB1308</f>
        <v/>
      </c>
      <c r="AC1309">
        <f>$C1309*AC1308</f>
        <v/>
      </c>
      <c r="AD1309">
        <f>$C1309*AD1308</f>
        <v/>
      </c>
      <c r="AE1309">
        <f>$C1309*AE1308</f>
        <v/>
      </c>
      <c r="AF1309">
        <f>$C1309*AF1308</f>
        <v/>
      </c>
      <c r="AG1309">
        <f>$C1309*AG1308</f>
        <v/>
      </c>
      <c r="AH1309">
        <f>$C1309*AH1308</f>
        <v/>
      </c>
      <c r="AI1309">
        <f>$C1309*AI1308</f>
        <v/>
      </c>
      <c r="AJ1309">
        <f>$C1309*AJ1308</f>
        <v/>
      </c>
      <c r="AK1309">
        <f>$C1309*AK1308</f>
        <v/>
      </c>
      <c r="AL1309">
        <f>$C1309*AL1308</f>
        <v/>
      </c>
      <c r="AM1309">
        <f>$C1309*AM1308</f>
        <v/>
      </c>
      <c r="AN1309">
        <f>$C1309*AN1308</f>
        <v/>
      </c>
      <c r="AO1309">
        <f>$C1309*AO1308</f>
        <v/>
      </c>
      <c r="AP1309">
        <f>$C1309*AP1308</f>
        <v/>
      </c>
      <c r="AQ1309">
        <f>$C1309*AQ1308</f>
        <v/>
      </c>
      <c r="AR1309">
        <f>$C1309*AR1308</f>
        <v/>
      </c>
      <c r="AS1309">
        <f>$C1309*AS1308</f>
        <v/>
      </c>
      <c r="AT1309">
        <f>$C1309*AT1308</f>
        <v/>
      </c>
      <c r="AU1309">
        <f>$C1309*AU1308</f>
        <v/>
      </c>
      <c r="AV1309">
        <f>$C1309*AV1308</f>
        <v/>
      </c>
      <c r="AW1309">
        <f>$C1309*AW1308</f>
        <v/>
      </c>
      <c r="AX1309">
        <f>$C1309*AX1308</f>
        <v/>
      </c>
      <c r="AY1309">
        <f>$C1309*AY1308</f>
        <v/>
      </c>
      <c r="AZ1309">
        <f>$C1309*AZ1308</f>
        <v/>
      </c>
      <c r="BA1309">
        <f>$C1309*BA1308</f>
        <v/>
      </c>
      <c r="BB1309">
        <f>$C1309*BB1308</f>
        <v/>
      </c>
      <c r="BC1309">
        <f>$C1309*BC1308</f>
        <v/>
      </c>
      <c r="BD1309">
        <f>$C1309*BD1308</f>
        <v/>
      </c>
      <c r="BE1309">
        <f>$C1309*BE1308</f>
        <v/>
      </c>
      <c r="BF1309">
        <f>$C1309*BF1308</f>
        <v/>
      </c>
      <c r="BG1309">
        <f>$C1309*BG1308</f>
        <v/>
      </c>
      <c r="BH1309">
        <f>$C1309*BH1308</f>
        <v/>
      </c>
      <c r="BI1309">
        <f>$C1309*BI1308</f>
        <v/>
      </c>
      <c r="BJ1309">
        <f>$C1309*BJ1308</f>
        <v/>
      </c>
      <c r="BK1309">
        <f>$C1309*BK1308</f>
        <v/>
      </c>
      <c r="BL1309">
        <f>$C1309*BL1308</f>
        <v/>
      </c>
      <c r="BM1309">
        <f>$C1309*BM1308</f>
        <v/>
      </c>
      <c r="BN1309">
        <f>$C1309*BN1308</f>
        <v/>
      </c>
      <c r="BO1309">
        <f>$C1309*BO1308</f>
        <v/>
      </c>
      <c r="BP1309">
        <f>$C1309*BP1308</f>
        <v/>
      </c>
      <c r="BQ1309">
        <f>$C1309*BQ1308</f>
        <v/>
      </c>
      <c r="BR1309">
        <f>$C1309*BR1308</f>
        <v/>
      </c>
      <c r="BS1309">
        <f>$C1309*BS1308</f>
        <v/>
      </c>
      <c r="BT1309">
        <f>$C1309*BT1308</f>
        <v/>
      </c>
      <c r="BU1309">
        <f>$C1309*BU1308</f>
        <v/>
      </c>
      <c r="BV1309">
        <f>$C1309*BV1308</f>
        <v/>
      </c>
      <c r="BW1309">
        <f>$C1309*BW1308</f>
        <v/>
      </c>
      <c r="BX1309">
        <f>$C1309*BX1308</f>
        <v/>
      </c>
      <c r="BY1309">
        <f>$C1309*BY1308</f>
        <v/>
      </c>
      <c r="BZ1309">
        <f>$C1309*BZ1308</f>
        <v/>
      </c>
      <c r="CA1309">
        <f>$C1309*CA1308</f>
        <v/>
      </c>
      <c r="CB1309">
        <f>$C1309*CB1308</f>
        <v/>
      </c>
      <c r="CC1309">
        <f>$C1309*CC1308</f>
        <v/>
      </c>
      <c r="CD1309">
        <f>$C1309*CD1308</f>
        <v/>
      </c>
      <c r="CE1309">
        <f>$C1309*CE1308</f>
        <v/>
      </c>
      <c r="CF1309">
        <f>$C1309*CF1308</f>
        <v/>
      </c>
      <c r="CG1309">
        <f>$C1309*CG1308</f>
        <v/>
      </c>
      <c r="CH1309">
        <f>$C1309*CH1308</f>
        <v/>
      </c>
      <c r="CI1309">
        <f>$C1309*CI1308</f>
        <v/>
      </c>
      <c r="CJ1309">
        <f>$C1309*CJ1308</f>
        <v/>
      </c>
      <c r="CK1309">
        <f>$C1309*CK1308</f>
        <v/>
      </c>
      <c r="CL1309">
        <f>$C1309*CL1308</f>
        <v/>
      </c>
      <c r="CM1309">
        <f>$C1309*CM1308</f>
        <v/>
      </c>
      <c r="CN1309">
        <f>$C1309*CN1308</f>
        <v/>
      </c>
      <c r="CO1309">
        <f>$C1309*CO1308</f>
        <v/>
      </c>
      <c r="CP1309">
        <f>$C1309*CP1308</f>
        <v/>
      </c>
      <c r="CQ1309">
        <f>$C1309*CQ1308</f>
        <v/>
      </c>
      <c r="CR1309">
        <f>$C1309*CR1308</f>
        <v/>
      </c>
      <c r="CS1309">
        <f>$C1309*CS1308</f>
        <v/>
      </c>
      <c r="CT1309">
        <f>$C1309*CT1308</f>
        <v/>
      </c>
      <c r="CU1309">
        <f>$C1309*CU1308</f>
        <v/>
      </c>
      <c r="CV1309">
        <f>$C1309*CV1308</f>
        <v/>
      </c>
      <c r="CW1309">
        <f>$C1309*CW1308</f>
        <v/>
      </c>
      <c r="CX1309">
        <f>$C1309*CX1308</f>
        <v/>
      </c>
      <c r="CY1309">
        <f>$C1309*CY1308</f>
        <v/>
      </c>
      <c r="CZ1309">
        <f>$C1309*CZ1308</f>
        <v/>
      </c>
      <c r="DA1309">
        <f>$C1309*DA1308</f>
        <v/>
      </c>
      <c r="DB1309">
        <f>$C1309*DB1308</f>
        <v/>
      </c>
      <c r="DC1309">
        <f>$C1309*DC1308</f>
        <v/>
      </c>
      <c r="DD1309">
        <f>$C1309*DD1308</f>
        <v/>
      </c>
    </row>
    <row r="1310">
      <c r="B1310" t="inlineStr">
        <is>
          <t>TSP-937</t>
        </is>
      </c>
      <c r="C1310" t="inlineStr">
        <is>
          <t>No. of batches</t>
        </is>
      </c>
      <c r="D1310">
        <f>IFERROR(INDEX(E1310:DD1310,$F$1),"")</f>
        <v/>
      </c>
      <c r="E1310">
        <f>IFERROR(INDEX(PP_Grid[#Data],$DE1310,2),0)</f>
        <v/>
      </c>
      <c r="F1310">
        <f>IFERROR(INDEX(PP_Grid[#Data],$DE1310,3),0)</f>
        <v/>
      </c>
      <c r="G1310">
        <f>IFERROR(INDEX(PP_Grid[#Data],$DE1310,4),0)</f>
        <v/>
      </c>
      <c r="H1310">
        <f>IFERROR(INDEX(PP_Grid[#Data],$DE1310,5),0)</f>
        <v/>
      </c>
      <c r="I1310">
        <f>IFERROR(INDEX(PP_Grid[#Data],$DE1310,6),0)</f>
        <v/>
      </c>
      <c r="J1310">
        <f>IFERROR(INDEX(PP_Grid[#Data],$DE1310,7),0)</f>
        <v/>
      </c>
      <c r="K1310">
        <f>IFERROR(INDEX(PP_Grid[#Data],$DE1310,8),0)</f>
        <v/>
      </c>
      <c r="L1310">
        <f>IFERROR(INDEX(PP_Grid[#Data],$DE1310,9),0)</f>
        <v/>
      </c>
      <c r="M1310">
        <f>IFERROR(INDEX(PP_Grid[#Data],$DE1310,10),0)</f>
        <v/>
      </c>
      <c r="N1310">
        <f>IFERROR(INDEX(PP_Grid[#Data],$DE1310,11),0)</f>
        <v/>
      </c>
      <c r="O1310">
        <f>IFERROR(INDEX(PP_Grid[#Data],$DE1310,12),0)</f>
        <v/>
      </c>
      <c r="P1310">
        <f>IFERROR(INDEX(PP_Grid[#Data],$DE1310,13),0)</f>
        <v/>
      </c>
      <c r="Q1310">
        <f>IFERROR(INDEX(PP_Grid[#Data],$DE1310,14),0)</f>
        <v/>
      </c>
      <c r="R1310">
        <f>IFERROR(INDEX(PP_Grid[#Data],$DE1310,15),0)</f>
        <v/>
      </c>
      <c r="S1310">
        <f>IFERROR(INDEX(PP_Grid[#Data],$DE1310,16),0)</f>
        <v/>
      </c>
      <c r="T1310">
        <f>IFERROR(INDEX(PP_Grid[#Data],$DE1310,17),0)</f>
        <v/>
      </c>
      <c r="U1310">
        <f>IFERROR(INDEX(PP_Grid[#Data],$DE1310,18),0)</f>
        <v/>
      </c>
      <c r="V1310">
        <f>IFERROR(INDEX(PP_Grid[#Data],$DE1310,19),0)</f>
        <v/>
      </c>
      <c r="W1310">
        <f>IFERROR(INDEX(PP_Grid[#Data],$DE1310,20),0)</f>
        <v/>
      </c>
      <c r="X1310">
        <f>IFERROR(INDEX(PP_Grid[#Data],$DE1310,21),0)</f>
        <v/>
      </c>
      <c r="Y1310">
        <f>IFERROR(INDEX(PP_Grid[#Data],$DE1310,22),0)</f>
        <v/>
      </c>
      <c r="Z1310">
        <f>IFERROR(INDEX(PP_Grid[#Data],$DE1310,23),0)</f>
        <v/>
      </c>
      <c r="AA1310">
        <f>IFERROR(INDEX(PP_Grid[#Data],$DE1310,24),0)</f>
        <v/>
      </c>
      <c r="AB1310">
        <f>IFERROR(INDEX(PP_Grid[#Data],$DE1310,25),0)</f>
        <v/>
      </c>
      <c r="AC1310">
        <f>IFERROR(INDEX(PP_Grid[#Data],$DE1310,26),0)</f>
        <v/>
      </c>
      <c r="AD1310">
        <f>IFERROR(INDEX(PP_Grid[#Data],$DE1310,27),0)</f>
        <v/>
      </c>
      <c r="AE1310">
        <f>IFERROR(INDEX(PP_Grid[#Data],$DE1310,28),0)</f>
        <v/>
      </c>
      <c r="AF1310">
        <f>IFERROR(INDEX(PP_Grid[#Data],$DE1310,29),0)</f>
        <v/>
      </c>
      <c r="AG1310">
        <f>IFERROR(INDEX(PP_Grid[#Data],$DE1310,30),0)</f>
        <v/>
      </c>
      <c r="AH1310">
        <f>IFERROR(INDEX(PP_Grid[#Data],$DE1310,31),0)</f>
        <v/>
      </c>
      <c r="AI1310">
        <f>IFERROR(INDEX(PP_Grid[#Data],$DE1310,32),0)</f>
        <v/>
      </c>
      <c r="AJ1310">
        <f>IFERROR(INDEX(PP_Grid[#Data],$DE1310,33),0)</f>
        <v/>
      </c>
      <c r="AK1310">
        <f>IFERROR(INDEX(PP_Grid[#Data],$DE1310,34),0)</f>
        <v/>
      </c>
      <c r="AL1310">
        <f>IFERROR(INDEX(PP_Grid[#Data],$DE1310,35),0)</f>
        <v/>
      </c>
      <c r="AM1310">
        <f>IFERROR(INDEX(PP_Grid[#Data],$DE1310,36),0)</f>
        <v/>
      </c>
      <c r="AN1310">
        <f>IFERROR(INDEX(PP_Grid[#Data],$DE1310,37),0)</f>
        <v/>
      </c>
      <c r="AO1310">
        <f>IFERROR(INDEX(PP_Grid[#Data],$DE1310,38),0)</f>
        <v/>
      </c>
      <c r="AP1310">
        <f>IFERROR(INDEX(PP_Grid[#Data],$DE1310,39),0)</f>
        <v/>
      </c>
      <c r="AQ1310">
        <f>IFERROR(INDEX(PP_Grid[#Data],$DE1310,40),0)</f>
        <v/>
      </c>
      <c r="AR1310">
        <f>IFERROR(INDEX(PP_Grid[#Data],$DE1310,41),0)</f>
        <v/>
      </c>
      <c r="AS1310">
        <f>IFERROR(INDEX(PP_Grid[#Data],$DE1310,42),0)</f>
        <v/>
      </c>
      <c r="AT1310">
        <f>IFERROR(INDEX(PP_Grid[#Data],$DE1310,43),0)</f>
        <v/>
      </c>
      <c r="AU1310">
        <f>IFERROR(INDEX(PP_Grid[#Data],$DE1310,44),0)</f>
        <v/>
      </c>
      <c r="AV1310">
        <f>IFERROR(INDEX(PP_Grid[#Data],$DE1310,45),0)</f>
        <v/>
      </c>
      <c r="AW1310">
        <f>IFERROR(INDEX(PP_Grid[#Data],$DE1310,46),0)</f>
        <v/>
      </c>
      <c r="AX1310">
        <f>IFERROR(INDEX(PP_Grid[#Data],$DE1310,47),0)</f>
        <v/>
      </c>
      <c r="AY1310">
        <f>IFERROR(INDEX(PP_Grid[#Data],$DE1310,48),0)</f>
        <v/>
      </c>
      <c r="AZ1310">
        <f>IFERROR(INDEX(PP_Grid[#Data],$DE1310,49),0)</f>
        <v/>
      </c>
      <c r="BA1310">
        <f>IFERROR(INDEX(PP_Grid[#Data],$DE1310,50),0)</f>
        <v/>
      </c>
      <c r="BB1310">
        <f>IFERROR(INDEX(PP_Grid[#Data],$DE1310,51),0)</f>
        <v/>
      </c>
      <c r="BC1310">
        <f>IFERROR(INDEX(PP_Grid[#Data],$DE1310,52),0)</f>
        <v/>
      </c>
      <c r="BD1310">
        <f>IFERROR(INDEX(PP_Grid[#Data],$DE1310,53),0)</f>
        <v/>
      </c>
      <c r="BE1310">
        <f>IFERROR(INDEX(PP_Grid[#Data],$DE1310,54),0)</f>
        <v/>
      </c>
      <c r="BF1310">
        <f>IFERROR(INDEX(PP_Grid[#Data],$DE1310,55),0)</f>
        <v/>
      </c>
      <c r="BG1310">
        <f>IFERROR(INDEX(PP_Grid[#Data],$DE1310,56),0)</f>
        <v/>
      </c>
      <c r="BH1310">
        <f>IFERROR(INDEX(PP_Grid[#Data],$DE1310,57),0)</f>
        <v/>
      </c>
      <c r="BI1310">
        <f>IFERROR(INDEX(PP_Grid[#Data],$DE1310,58),0)</f>
        <v/>
      </c>
      <c r="BJ1310">
        <f>IFERROR(INDEX(PP_Grid[#Data],$DE1310,59),0)</f>
        <v/>
      </c>
      <c r="BK1310">
        <f>IFERROR(INDEX(PP_Grid[#Data],$DE1310,60),0)</f>
        <v/>
      </c>
      <c r="BL1310">
        <f>IFERROR(INDEX(PP_Grid[#Data],$DE1310,61),0)</f>
        <v/>
      </c>
      <c r="BM1310">
        <f>IFERROR(INDEX(PP_Grid[#Data],$DE1310,62),0)</f>
        <v/>
      </c>
      <c r="BN1310">
        <f>IFERROR(INDEX(PP_Grid[#Data],$DE1310,63),0)</f>
        <v/>
      </c>
      <c r="BO1310">
        <f>IFERROR(INDEX(PP_Grid[#Data],$DE1310,64),0)</f>
        <v/>
      </c>
      <c r="BP1310">
        <f>IFERROR(INDEX(PP_Grid[#Data],$DE1310,65),0)</f>
        <v/>
      </c>
      <c r="BQ1310">
        <f>IFERROR(INDEX(PP_Grid[#Data],$DE1310,66),0)</f>
        <v/>
      </c>
      <c r="BR1310">
        <f>IFERROR(INDEX(PP_Grid[#Data],$DE1310,67),0)</f>
        <v/>
      </c>
      <c r="BS1310">
        <f>IFERROR(INDEX(PP_Grid[#Data],$DE1310,68),0)</f>
        <v/>
      </c>
      <c r="BT1310">
        <f>IFERROR(INDEX(PP_Grid[#Data],$DE1310,69),0)</f>
        <v/>
      </c>
      <c r="BU1310">
        <f>IFERROR(INDEX(PP_Grid[#Data],$DE1310,70),0)</f>
        <v/>
      </c>
      <c r="BV1310">
        <f>IFERROR(INDEX(PP_Grid[#Data],$DE1310,71),0)</f>
        <v/>
      </c>
      <c r="BW1310">
        <f>IFERROR(INDEX(PP_Grid[#Data],$DE1310,72),0)</f>
        <v/>
      </c>
      <c r="BX1310">
        <f>IFERROR(INDEX(PP_Grid[#Data],$DE1310,73),0)</f>
        <v/>
      </c>
      <c r="BY1310">
        <f>IFERROR(INDEX(PP_Grid[#Data],$DE1310,74),0)</f>
        <v/>
      </c>
      <c r="BZ1310">
        <f>IFERROR(INDEX(PP_Grid[#Data],$DE1310,75),0)</f>
        <v/>
      </c>
      <c r="CA1310">
        <f>IFERROR(INDEX(PP_Grid[#Data],$DE1310,76),0)</f>
        <v/>
      </c>
      <c r="CB1310">
        <f>IFERROR(INDEX(PP_Grid[#Data],$DE1310,77),0)</f>
        <v/>
      </c>
      <c r="CC1310">
        <f>IFERROR(INDEX(PP_Grid[#Data],$DE1310,78),0)</f>
        <v/>
      </c>
      <c r="CD1310">
        <f>IFERROR(INDEX(PP_Grid[#Data],$DE1310,79),0)</f>
        <v/>
      </c>
      <c r="CE1310">
        <f>IFERROR(INDEX(PP_Grid[#Data],$DE1310,80),0)</f>
        <v/>
      </c>
      <c r="CF1310">
        <f>IFERROR(INDEX(PP_Grid[#Data],$DE1310,81),0)</f>
        <v/>
      </c>
      <c r="CG1310">
        <f>IFERROR(INDEX(PP_Grid[#Data],$DE1310,82),0)</f>
        <v/>
      </c>
      <c r="CH1310">
        <f>IFERROR(INDEX(PP_Grid[#Data],$DE1310,83),0)</f>
        <v/>
      </c>
      <c r="CI1310">
        <f>IFERROR(INDEX(PP_Grid[#Data],$DE1310,84),0)</f>
        <v/>
      </c>
      <c r="CJ1310">
        <f>IFERROR(INDEX(PP_Grid[#Data],$DE1310,85),0)</f>
        <v/>
      </c>
      <c r="CK1310">
        <f>IFERROR(INDEX(PP_Grid[#Data],$DE1310,86),0)</f>
        <v/>
      </c>
      <c r="CL1310">
        <f>IFERROR(INDEX(PP_Grid[#Data],$DE1310,87),0)</f>
        <v/>
      </c>
      <c r="CM1310">
        <f>IFERROR(INDEX(PP_Grid[#Data],$DE1310,88),0)</f>
        <v/>
      </c>
      <c r="CN1310">
        <f>IFERROR(INDEX(PP_Grid[#Data],$DE1310,89),0)</f>
        <v/>
      </c>
      <c r="CO1310">
        <f>IFERROR(INDEX(PP_Grid[#Data],$DE1310,90),0)</f>
        <v/>
      </c>
      <c r="CP1310">
        <f>IFERROR(INDEX(PP_Grid[#Data],$DE1310,91),0)</f>
        <v/>
      </c>
      <c r="CQ1310">
        <f>IFERROR(INDEX(PP_Grid[#Data],$DE1310,92),0)</f>
        <v/>
      </c>
      <c r="CR1310">
        <f>IFERROR(INDEX(PP_Grid[#Data],$DE1310,93),0)</f>
        <v/>
      </c>
      <c r="CS1310">
        <f>IFERROR(INDEX(PP_Grid[#Data],$DE1310,94),0)</f>
        <v/>
      </c>
      <c r="CT1310">
        <f>IFERROR(INDEX(PP_Grid[#Data],$DE1310,95),0)</f>
        <v/>
      </c>
      <c r="CU1310">
        <f>IFERROR(INDEX(PP_Grid[#Data],$DE1310,96),0)</f>
        <v/>
      </c>
      <c r="CV1310">
        <f>IFERROR(INDEX(PP_Grid[#Data],$DE1310,97),0)</f>
        <v/>
      </c>
      <c r="CW1310">
        <f>IFERROR(INDEX(PP_Grid[#Data],$DE1310,98),0)</f>
        <v/>
      </c>
      <c r="CX1310">
        <f>IFERROR(INDEX(PP_Grid[#Data],$DE1310,99),0)</f>
        <v/>
      </c>
      <c r="CY1310">
        <f>IFERROR(INDEX(PP_Grid[#Data],$DE1310,100),0)</f>
        <v/>
      </c>
      <c r="CZ1310">
        <f>IFERROR(INDEX(PP_Grid[#Data],$DE1310,101),0)</f>
        <v/>
      </c>
      <c r="DA1310">
        <f>IFERROR(INDEX(PP_Grid[#Data],$DE1310,102),0)</f>
        <v/>
      </c>
      <c r="DB1310">
        <f>IFERROR(INDEX(PP_Grid[#Data],$DE1310,103),0)</f>
        <v/>
      </c>
      <c r="DC1310">
        <f>IFERROR(INDEX(PP_Grid[#Data],$DE1310,104),0)</f>
        <v/>
      </c>
      <c r="DD1310">
        <f>IFERROR(INDEX(PP_Grid[#Data],$DE1310,105),0)</f>
        <v/>
      </c>
      <c r="DE1310" s="7">
        <f>IFERROR(MATCH($B1310,PP_Grid[Intermediate],0),99999)</f>
        <v/>
      </c>
    </row>
    <row r="1311">
      <c r="B1311" t="inlineStr">
        <is>
          <t>使用量(kg)</t>
        </is>
      </c>
      <c r="C1311">
        <f>SUMIFS(M_BOM[RM_Qty_Per_Batch],M_BOM[Intermediate],$B1310,M_BOM[RM_Code],$A1299)</f>
        <v/>
      </c>
      <c r="D1311">
        <f>IFERROR(INDEX(E1311:DD1311,$F$1),"")</f>
        <v/>
      </c>
      <c r="E1311">
        <f>$C1311*E1310</f>
        <v/>
      </c>
      <c r="F1311">
        <f>$C1311*F1310</f>
        <v/>
      </c>
      <c r="G1311">
        <f>$C1311*G1310</f>
        <v/>
      </c>
      <c r="H1311">
        <f>$C1311*H1310</f>
        <v/>
      </c>
      <c r="I1311">
        <f>$C1311*I1310</f>
        <v/>
      </c>
      <c r="J1311">
        <f>$C1311*J1310</f>
        <v/>
      </c>
      <c r="K1311">
        <f>$C1311*K1310</f>
        <v/>
      </c>
      <c r="L1311">
        <f>$C1311*L1310</f>
        <v/>
      </c>
      <c r="M1311">
        <f>$C1311*M1310</f>
        <v/>
      </c>
      <c r="N1311">
        <f>$C1311*N1310</f>
        <v/>
      </c>
      <c r="O1311">
        <f>$C1311*O1310</f>
        <v/>
      </c>
      <c r="P1311">
        <f>$C1311*P1310</f>
        <v/>
      </c>
      <c r="Q1311">
        <f>$C1311*Q1310</f>
        <v/>
      </c>
      <c r="R1311">
        <f>$C1311*R1310</f>
        <v/>
      </c>
      <c r="S1311">
        <f>$C1311*S1310</f>
        <v/>
      </c>
      <c r="T1311">
        <f>$C1311*T1310</f>
        <v/>
      </c>
      <c r="U1311">
        <f>$C1311*U1310</f>
        <v/>
      </c>
      <c r="V1311">
        <f>$C1311*V1310</f>
        <v/>
      </c>
      <c r="W1311">
        <f>$C1311*W1310</f>
        <v/>
      </c>
      <c r="X1311">
        <f>$C1311*X1310</f>
        <v/>
      </c>
      <c r="Y1311">
        <f>$C1311*Y1310</f>
        <v/>
      </c>
      <c r="Z1311">
        <f>$C1311*Z1310</f>
        <v/>
      </c>
      <c r="AA1311">
        <f>$C1311*AA1310</f>
        <v/>
      </c>
      <c r="AB1311">
        <f>$C1311*AB1310</f>
        <v/>
      </c>
      <c r="AC1311">
        <f>$C1311*AC1310</f>
        <v/>
      </c>
      <c r="AD1311">
        <f>$C1311*AD1310</f>
        <v/>
      </c>
      <c r="AE1311">
        <f>$C1311*AE1310</f>
        <v/>
      </c>
      <c r="AF1311">
        <f>$C1311*AF1310</f>
        <v/>
      </c>
      <c r="AG1311">
        <f>$C1311*AG1310</f>
        <v/>
      </c>
      <c r="AH1311">
        <f>$C1311*AH1310</f>
        <v/>
      </c>
      <c r="AI1311">
        <f>$C1311*AI1310</f>
        <v/>
      </c>
      <c r="AJ1311">
        <f>$C1311*AJ1310</f>
        <v/>
      </c>
      <c r="AK1311">
        <f>$C1311*AK1310</f>
        <v/>
      </c>
      <c r="AL1311">
        <f>$C1311*AL1310</f>
        <v/>
      </c>
      <c r="AM1311">
        <f>$C1311*AM1310</f>
        <v/>
      </c>
      <c r="AN1311">
        <f>$C1311*AN1310</f>
        <v/>
      </c>
      <c r="AO1311">
        <f>$C1311*AO1310</f>
        <v/>
      </c>
      <c r="AP1311">
        <f>$C1311*AP1310</f>
        <v/>
      </c>
      <c r="AQ1311">
        <f>$C1311*AQ1310</f>
        <v/>
      </c>
      <c r="AR1311">
        <f>$C1311*AR1310</f>
        <v/>
      </c>
      <c r="AS1311">
        <f>$C1311*AS1310</f>
        <v/>
      </c>
      <c r="AT1311">
        <f>$C1311*AT1310</f>
        <v/>
      </c>
      <c r="AU1311">
        <f>$C1311*AU1310</f>
        <v/>
      </c>
      <c r="AV1311">
        <f>$C1311*AV1310</f>
        <v/>
      </c>
      <c r="AW1311">
        <f>$C1311*AW1310</f>
        <v/>
      </c>
      <c r="AX1311">
        <f>$C1311*AX1310</f>
        <v/>
      </c>
      <c r="AY1311">
        <f>$C1311*AY1310</f>
        <v/>
      </c>
      <c r="AZ1311">
        <f>$C1311*AZ1310</f>
        <v/>
      </c>
      <c r="BA1311">
        <f>$C1311*BA1310</f>
        <v/>
      </c>
      <c r="BB1311">
        <f>$C1311*BB1310</f>
        <v/>
      </c>
      <c r="BC1311">
        <f>$C1311*BC1310</f>
        <v/>
      </c>
      <c r="BD1311">
        <f>$C1311*BD1310</f>
        <v/>
      </c>
      <c r="BE1311">
        <f>$C1311*BE1310</f>
        <v/>
      </c>
      <c r="BF1311">
        <f>$C1311*BF1310</f>
        <v/>
      </c>
      <c r="BG1311">
        <f>$C1311*BG1310</f>
        <v/>
      </c>
      <c r="BH1311">
        <f>$C1311*BH1310</f>
        <v/>
      </c>
      <c r="BI1311">
        <f>$C1311*BI1310</f>
        <v/>
      </c>
      <c r="BJ1311">
        <f>$C1311*BJ1310</f>
        <v/>
      </c>
      <c r="BK1311">
        <f>$C1311*BK1310</f>
        <v/>
      </c>
      <c r="BL1311">
        <f>$C1311*BL1310</f>
        <v/>
      </c>
      <c r="BM1311">
        <f>$C1311*BM1310</f>
        <v/>
      </c>
      <c r="BN1311">
        <f>$C1311*BN1310</f>
        <v/>
      </c>
      <c r="BO1311">
        <f>$C1311*BO1310</f>
        <v/>
      </c>
      <c r="BP1311">
        <f>$C1311*BP1310</f>
        <v/>
      </c>
      <c r="BQ1311">
        <f>$C1311*BQ1310</f>
        <v/>
      </c>
      <c r="BR1311">
        <f>$C1311*BR1310</f>
        <v/>
      </c>
      <c r="BS1311">
        <f>$C1311*BS1310</f>
        <v/>
      </c>
      <c r="BT1311">
        <f>$C1311*BT1310</f>
        <v/>
      </c>
      <c r="BU1311">
        <f>$C1311*BU1310</f>
        <v/>
      </c>
      <c r="BV1311">
        <f>$C1311*BV1310</f>
        <v/>
      </c>
      <c r="BW1311">
        <f>$C1311*BW1310</f>
        <v/>
      </c>
      <c r="BX1311">
        <f>$C1311*BX1310</f>
        <v/>
      </c>
      <c r="BY1311">
        <f>$C1311*BY1310</f>
        <v/>
      </c>
      <c r="BZ1311">
        <f>$C1311*BZ1310</f>
        <v/>
      </c>
      <c r="CA1311">
        <f>$C1311*CA1310</f>
        <v/>
      </c>
      <c r="CB1311">
        <f>$C1311*CB1310</f>
        <v/>
      </c>
      <c r="CC1311">
        <f>$C1311*CC1310</f>
        <v/>
      </c>
      <c r="CD1311">
        <f>$C1311*CD1310</f>
        <v/>
      </c>
      <c r="CE1311">
        <f>$C1311*CE1310</f>
        <v/>
      </c>
      <c r="CF1311">
        <f>$C1311*CF1310</f>
        <v/>
      </c>
      <c r="CG1311">
        <f>$C1311*CG1310</f>
        <v/>
      </c>
      <c r="CH1311">
        <f>$C1311*CH1310</f>
        <v/>
      </c>
      <c r="CI1311">
        <f>$C1311*CI1310</f>
        <v/>
      </c>
      <c r="CJ1311">
        <f>$C1311*CJ1310</f>
        <v/>
      </c>
      <c r="CK1311">
        <f>$C1311*CK1310</f>
        <v/>
      </c>
      <c r="CL1311">
        <f>$C1311*CL1310</f>
        <v/>
      </c>
      <c r="CM1311">
        <f>$C1311*CM1310</f>
        <v/>
      </c>
      <c r="CN1311">
        <f>$C1311*CN1310</f>
        <v/>
      </c>
      <c r="CO1311">
        <f>$C1311*CO1310</f>
        <v/>
      </c>
      <c r="CP1311">
        <f>$C1311*CP1310</f>
        <v/>
      </c>
      <c r="CQ1311">
        <f>$C1311*CQ1310</f>
        <v/>
      </c>
      <c r="CR1311">
        <f>$C1311*CR1310</f>
        <v/>
      </c>
      <c r="CS1311">
        <f>$C1311*CS1310</f>
        <v/>
      </c>
      <c r="CT1311">
        <f>$C1311*CT1310</f>
        <v/>
      </c>
      <c r="CU1311">
        <f>$C1311*CU1310</f>
        <v/>
      </c>
      <c r="CV1311">
        <f>$C1311*CV1310</f>
        <v/>
      </c>
      <c r="CW1311">
        <f>$C1311*CW1310</f>
        <v/>
      </c>
      <c r="CX1311">
        <f>$C1311*CX1310</f>
        <v/>
      </c>
      <c r="CY1311">
        <f>$C1311*CY1310</f>
        <v/>
      </c>
      <c r="CZ1311">
        <f>$C1311*CZ1310</f>
        <v/>
      </c>
      <c r="DA1311">
        <f>$C1311*DA1310</f>
        <v/>
      </c>
      <c r="DB1311">
        <f>$C1311*DB1310</f>
        <v/>
      </c>
      <c r="DC1311">
        <f>$C1311*DC1310</f>
        <v/>
      </c>
      <c r="DD1311">
        <f>$C1311*DD1310</f>
        <v/>
      </c>
    </row>
    <row r="1312">
      <c r="B1312" t="inlineStr">
        <is>
          <t>20p</t>
        </is>
      </c>
      <c r="C1312" t="inlineStr">
        <is>
          <t>No. of batches</t>
        </is>
      </c>
      <c r="D1312">
        <f>IFERROR(INDEX(E1312:DD1312,$F$1),"")</f>
        <v/>
      </c>
      <c r="E1312">
        <f>IFERROR(INDEX(PP_Grid[#Data],$DE1312,2),0)</f>
        <v/>
      </c>
      <c r="F1312">
        <f>IFERROR(INDEX(PP_Grid[#Data],$DE1312,3),0)</f>
        <v/>
      </c>
      <c r="G1312">
        <f>IFERROR(INDEX(PP_Grid[#Data],$DE1312,4),0)</f>
        <v/>
      </c>
      <c r="H1312">
        <f>IFERROR(INDEX(PP_Grid[#Data],$DE1312,5),0)</f>
        <v/>
      </c>
      <c r="I1312">
        <f>IFERROR(INDEX(PP_Grid[#Data],$DE1312,6),0)</f>
        <v/>
      </c>
      <c r="J1312">
        <f>IFERROR(INDEX(PP_Grid[#Data],$DE1312,7),0)</f>
        <v/>
      </c>
      <c r="K1312">
        <f>IFERROR(INDEX(PP_Grid[#Data],$DE1312,8),0)</f>
        <v/>
      </c>
      <c r="L1312">
        <f>IFERROR(INDEX(PP_Grid[#Data],$DE1312,9),0)</f>
        <v/>
      </c>
      <c r="M1312">
        <f>IFERROR(INDEX(PP_Grid[#Data],$DE1312,10),0)</f>
        <v/>
      </c>
      <c r="N1312">
        <f>IFERROR(INDEX(PP_Grid[#Data],$DE1312,11),0)</f>
        <v/>
      </c>
      <c r="O1312">
        <f>IFERROR(INDEX(PP_Grid[#Data],$DE1312,12),0)</f>
        <v/>
      </c>
      <c r="P1312">
        <f>IFERROR(INDEX(PP_Grid[#Data],$DE1312,13),0)</f>
        <v/>
      </c>
      <c r="Q1312">
        <f>IFERROR(INDEX(PP_Grid[#Data],$DE1312,14),0)</f>
        <v/>
      </c>
      <c r="R1312">
        <f>IFERROR(INDEX(PP_Grid[#Data],$DE1312,15),0)</f>
        <v/>
      </c>
      <c r="S1312">
        <f>IFERROR(INDEX(PP_Grid[#Data],$DE1312,16),0)</f>
        <v/>
      </c>
      <c r="T1312">
        <f>IFERROR(INDEX(PP_Grid[#Data],$DE1312,17),0)</f>
        <v/>
      </c>
      <c r="U1312">
        <f>IFERROR(INDEX(PP_Grid[#Data],$DE1312,18),0)</f>
        <v/>
      </c>
      <c r="V1312">
        <f>IFERROR(INDEX(PP_Grid[#Data],$DE1312,19),0)</f>
        <v/>
      </c>
      <c r="W1312">
        <f>IFERROR(INDEX(PP_Grid[#Data],$DE1312,20),0)</f>
        <v/>
      </c>
      <c r="X1312">
        <f>IFERROR(INDEX(PP_Grid[#Data],$DE1312,21),0)</f>
        <v/>
      </c>
      <c r="Y1312">
        <f>IFERROR(INDEX(PP_Grid[#Data],$DE1312,22),0)</f>
        <v/>
      </c>
      <c r="Z1312">
        <f>IFERROR(INDEX(PP_Grid[#Data],$DE1312,23),0)</f>
        <v/>
      </c>
      <c r="AA1312">
        <f>IFERROR(INDEX(PP_Grid[#Data],$DE1312,24),0)</f>
        <v/>
      </c>
      <c r="AB1312">
        <f>IFERROR(INDEX(PP_Grid[#Data],$DE1312,25),0)</f>
        <v/>
      </c>
      <c r="AC1312">
        <f>IFERROR(INDEX(PP_Grid[#Data],$DE1312,26),0)</f>
        <v/>
      </c>
      <c r="AD1312">
        <f>IFERROR(INDEX(PP_Grid[#Data],$DE1312,27),0)</f>
        <v/>
      </c>
      <c r="AE1312">
        <f>IFERROR(INDEX(PP_Grid[#Data],$DE1312,28),0)</f>
        <v/>
      </c>
      <c r="AF1312">
        <f>IFERROR(INDEX(PP_Grid[#Data],$DE1312,29),0)</f>
        <v/>
      </c>
      <c r="AG1312">
        <f>IFERROR(INDEX(PP_Grid[#Data],$DE1312,30),0)</f>
        <v/>
      </c>
      <c r="AH1312">
        <f>IFERROR(INDEX(PP_Grid[#Data],$DE1312,31),0)</f>
        <v/>
      </c>
      <c r="AI1312">
        <f>IFERROR(INDEX(PP_Grid[#Data],$DE1312,32),0)</f>
        <v/>
      </c>
      <c r="AJ1312">
        <f>IFERROR(INDEX(PP_Grid[#Data],$DE1312,33),0)</f>
        <v/>
      </c>
      <c r="AK1312">
        <f>IFERROR(INDEX(PP_Grid[#Data],$DE1312,34),0)</f>
        <v/>
      </c>
      <c r="AL1312">
        <f>IFERROR(INDEX(PP_Grid[#Data],$DE1312,35),0)</f>
        <v/>
      </c>
      <c r="AM1312">
        <f>IFERROR(INDEX(PP_Grid[#Data],$DE1312,36),0)</f>
        <v/>
      </c>
      <c r="AN1312">
        <f>IFERROR(INDEX(PP_Grid[#Data],$DE1312,37),0)</f>
        <v/>
      </c>
      <c r="AO1312">
        <f>IFERROR(INDEX(PP_Grid[#Data],$DE1312,38),0)</f>
        <v/>
      </c>
      <c r="AP1312">
        <f>IFERROR(INDEX(PP_Grid[#Data],$DE1312,39),0)</f>
        <v/>
      </c>
      <c r="AQ1312">
        <f>IFERROR(INDEX(PP_Grid[#Data],$DE1312,40),0)</f>
        <v/>
      </c>
      <c r="AR1312">
        <f>IFERROR(INDEX(PP_Grid[#Data],$DE1312,41),0)</f>
        <v/>
      </c>
      <c r="AS1312">
        <f>IFERROR(INDEX(PP_Grid[#Data],$DE1312,42),0)</f>
        <v/>
      </c>
      <c r="AT1312">
        <f>IFERROR(INDEX(PP_Grid[#Data],$DE1312,43),0)</f>
        <v/>
      </c>
      <c r="AU1312">
        <f>IFERROR(INDEX(PP_Grid[#Data],$DE1312,44),0)</f>
        <v/>
      </c>
      <c r="AV1312">
        <f>IFERROR(INDEX(PP_Grid[#Data],$DE1312,45),0)</f>
        <v/>
      </c>
      <c r="AW1312">
        <f>IFERROR(INDEX(PP_Grid[#Data],$DE1312,46),0)</f>
        <v/>
      </c>
      <c r="AX1312">
        <f>IFERROR(INDEX(PP_Grid[#Data],$DE1312,47),0)</f>
        <v/>
      </c>
      <c r="AY1312">
        <f>IFERROR(INDEX(PP_Grid[#Data],$DE1312,48),0)</f>
        <v/>
      </c>
      <c r="AZ1312">
        <f>IFERROR(INDEX(PP_Grid[#Data],$DE1312,49),0)</f>
        <v/>
      </c>
      <c r="BA1312">
        <f>IFERROR(INDEX(PP_Grid[#Data],$DE1312,50),0)</f>
        <v/>
      </c>
      <c r="BB1312">
        <f>IFERROR(INDEX(PP_Grid[#Data],$DE1312,51),0)</f>
        <v/>
      </c>
      <c r="BC1312">
        <f>IFERROR(INDEX(PP_Grid[#Data],$DE1312,52),0)</f>
        <v/>
      </c>
      <c r="BD1312">
        <f>IFERROR(INDEX(PP_Grid[#Data],$DE1312,53),0)</f>
        <v/>
      </c>
      <c r="BE1312">
        <f>IFERROR(INDEX(PP_Grid[#Data],$DE1312,54),0)</f>
        <v/>
      </c>
      <c r="BF1312">
        <f>IFERROR(INDEX(PP_Grid[#Data],$DE1312,55),0)</f>
        <v/>
      </c>
      <c r="BG1312">
        <f>IFERROR(INDEX(PP_Grid[#Data],$DE1312,56),0)</f>
        <v/>
      </c>
      <c r="BH1312">
        <f>IFERROR(INDEX(PP_Grid[#Data],$DE1312,57),0)</f>
        <v/>
      </c>
      <c r="BI1312">
        <f>IFERROR(INDEX(PP_Grid[#Data],$DE1312,58),0)</f>
        <v/>
      </c>
      <c r="BJ1312">
        <f>IFERROR(INDEX(PP_Grid[#Data],$DE1312,59),0)</f>
        <v/>
      </c>
      <c r="BK1312">
        <f>IFERROR(INDEX(PP_Grid[#Data],$DE1312,60),0)</f>
        <v/>
      </c>
      <c r="BL1312">
        <f>IFERROR(INDEX(PP_Grid[#Data],$DE1312,61),0)</f>
        <v/>
      </c>
      <c r="BM1312">
        <f>IFERROR(INDEX(PP_Grid[#Data],$DE1312,62),0)</f>
        <v/>
      </c>
      <c r="BN1312">
        <f>IFERROR(INDEX(PP_Grid[#Data],$DE1312,63),0)</f>
        <v/>
      </c>
      <c r="BO1312">
        <f>IFERROR(INDEX(PP_Grid[#Data],$DE1312,64),0)</f>
        <v/>
      </c>
      <c r="BP1312">
        <f>IFERROR(INDEX(PP_Grid[#Data],$DE1312,65),0)</f>
        <v/>
      </c>
      <c r="BQ1312">
        <f>IFERROR(INDEX(PP_Grid[#Data],$DE1312,66),0)</f>
        <v/>
      </c>
      <c r="BR1312">
        <f>IFERROR(INDEX(PP_Grid[#Data],$DE1312,67),0)</f>
        <v/>
      </c>
      <c r="BS1312">
        <f>IFERROR(INDEX(PP_Grid[#Data],$DE1312,68),0)</f>
        <v/>
      </c>
      <c r="BT1312">
        <f>IFERROR(INDEX(PP_Grid[#Data],$DE1312,69),0)</f>
        <v/>
      </c>
      <c r="BU1312">
        <f>IFERROR(INDEX(PP_Grid[#Data],$DE1312,70),0)</f>
        <v/>
      </c>
      <c r="BV1312">
        <f>IFERROR(INDEX(PP_Grid[#Data],$DE1312,71),0)</f>
        <v/>
      </c>
      <c r="BW1312">
        <f>IFERROR(INDEX(PP_Grid[#Data],$DE1312,72),0)</f>
        <v/>
      </c>
      <c r="BX1312">
        <f>IFERROR(INDEX(PP_Grid[#Data],$DE1312,73),0)</f>
        <v/>
      </c>
      <c r="BY1312">
        <f>IFERROR(INDEX(PP_Grid[#Data],$DE1312,74),0)</f>
        <v/>
      </c>
      <c r="BZ1312">
        <f>IFERROR(INDEX(PP_Grid[#Data],$DE1312,75),0)</f>
        <v/>
      </c>
      <c r="CA1312">
        <f>IFERROR(INDEX(PP_Grid[#Data],$DE1312,76),0)</f>
        <v/>
      </c>
      <c r="CB1312">
        <f>IFERROR(INDEX(PP_Grid[#Data],$DE1312,77),0)</f>
        <v/>
      </c>
      <c r="CC1312">
        <f>IFERROR(INDEX(PP_Grid[#Data],$DE1312,78),0)</f>
        <v/>
      </c>
      <c r="CD1312">
        <f>IFERROR(INDEX(PP_Grid[#Data],$DE1312,79),0)</f>
        <v/>
      </c>
      <c r="CE1312">
        <f>IFERROR(INDEX(PP_Grid[#Data],$DE1312,80),0)</f>
        <v/>
      </c>
      <c r="CF1312">
        <f>IFERROR(INDEX(PP_Grid[#Data],$DE1312,81),0)</f>
        <v/>
      </c>
      <c r="CG1312">
        <f>IFERROR(INDEX(PP_Grid[#Data],$DE1312,82),0)</f>
        <v/>
      </c>
      <c r="CH1312">
        <f>IFERROR(INDEX(PP_Grid[#Data],$DE1312,83),0)</f>
        <v/>
      </c>
      <c r="CI1312">
        <f>IFERROR(INDEX(PP_Grid[#Data],$DE1312,84),0)</f>
        <v/>
      </c>
      <c r="CJ1312">
        <f>IFERROR(INDEX(PP_Grid[#Data],$DE1312,85),0)</f>
        <v/>
      </c>
      <c r="CK1312">
        <f>IFERROR(INDEX(PP_Grid[#Data],$DE1312,86),0)</f>
        <v/>
      </c>
      <c r="CL1312">
        <f>IFERROR(INDEX(PP_Grid[#Data],$DE1312,87),0)</f>
        <v/>
      </c>
      <c r="CM1312">
        <f>IFERROR(INDEX(PP_Grid[#Data],$DE1312,88),0)</f>
        <v/>
      </c>
      <c r="CN1312">
        <f>IFERROR(INDEX(PP_Grid[#Data],$DE1312,89),0)</f>
        <v/>
      </c>
      <c r="CO1312">
        <f>IFERROR(INDEX(PP_Grid[#Data],$DE1312,90),0)</f>
        <v/>
      </c>
      <c r="CP1312">
        <f>IFERROR(INDEX(PP_Grid[#Data],$DE1312,91),0)</f>
        <v/>
      </c>
      <c r="CQ1312">
        <f>IFERROR(INDEX(PP_Grid[#Data],$DE1312,92),0)</f>
        <v/>
      </c>
      <c r="CR1312">
        <f>IFERROR(INDEX(PP_Grid[#Data],$DE1312,93),0)</f>
        <v/>
      </c>
      <c r="CS1312">
        <f>IFERROR(INDEX(PP_Grid[#Data],$DE1312,94),0)</f>
        <v/>
      </c>
      <c r="CT1312">
        <f>IFERROR(INDEX(PP_Grid[#Data],$DE1312,95),0)</f>
        <v/>
      </c>
      <c r="CU1312">
        <f>IFERROR(INDEX(PP_Grid[#Data],$DE1312,96),0)</f>
        <v/>
      </c>
      <c r="CV1312">
        <f>IFERROR(INDEX(PP_Grid[#Data],$DE1312,97),0)</f>
        <v/>
      </c>
      <c r="CW1312">
        <f>IFERROR(INDEX(PP_Grid[#Data],$DE1312,98),0)</f>
        <v/>
      </c>
      <c r="CX1312">
        <f>IFERROR(INDEX(PP_Grid[#Data],$DE1312,99),0)</f>
        <v/>
      </c>
      <c r="CY1312">
        <f>IFERROR(INDEX(PP_Grid[#Data],$DE1312,100),0)</f>
        <v/>
      </c>
      <c r="CZ1312">
        <f>IFERROR(INDEX(PP_Grid[#Data],$DE1312,101),0)</f>
        <v/>
      </c>
      <c r="DA1312">
        <f>IFERROR(INDEX(PP_Grid[#Data],$DE1312,102),0)</f>
        <v/>
      </c>
      <c r="DB1312">
        <f>IFERROR(INDEX(PP_Grid[#Data],$DE1312,103),0)</f>
        <v/>
      </c>
      <c r="DC1312">
        <f>IFERROR(INDEX(PP_Grid[#Data],$DE1312,104),0)</f>
        <v/>
      </c>
      <c r="DD1312">
        <f>IFERROR(INDEX(PP_Grid[#Data],$DE1312,105),0)</f>
        <v/>
      </c>
      <c r="DE1312" s="7">
        <f>IFERROR(MATCH($B1312,PP_Grid[Intermediate],0),99999)</f>
        <v/>
      </c>
    </row>
    <row r="1313">
      <c r="B1313" t="inlineStr">
        <is>
          <t>使用量(kg)</t>
        </is>
      </c>
      <c r="C1313">
        <f>SUMIFS(M_BOM[RM_Qty_Per_Batch],M_BOM[Intermediate],$B1312,M_BOM[RM_Code],$A1299)</f>
        <v/>
      </c>
      <c r="D1313">
        <f>IFERROR(INDEX(E1313:DD1313,$F$1),"")</f>
        <v/>
      </c>
      <c r="E1313">
        <f>$C1313*E1312</f>
        <v/>
      </c>
      <c r="F1313">
        <f>$C1313*F1312</f>
        <v/>
      </c>
      <c r="G1313">
        <f>$C1313*G1312</f>
        <v/>
      </c>
      <c r="H1313">
        <f>$C1313*H1312</f>
        <v/>
      </c>
      <c r="I1313">
        <f>$C1313*I1312</f>
        <v/>
      </c>
      <c r="J1313">
        <f>$C1313*J1312</f>
        <v/>
      </c>
      <c r="K1313">
        <f>$C1313*K1312</f>
        <v/>
      </c>
      <c r="L1313">
        <f>$C1313*L1312</f>
        <v/>
      </c>
      <c r="M1313">
        <f>$C1313*M1312</f>
        <v/>
      </c>
      <c r="N1313">
        <f>$C1313*N1312</f>
        <v/>
      </c>
      <c r="O1313">
        <f>$C1313*O1312</f>
        <v/>
      </c>
      <c r="P1313">
        <f>$C1313*P1312</f>
        <v/>
      </c>
      <c r="Q1313">
        <f>$C1313*Q1312</f>
        <v/>
      </c>
      <c r="R1313">
        <f>$C1313*R1312</f>
        <v/>
      </c>
      <c r="S1313">
        <f>$C1313*S1312</f>
        <v/>
      </c>
      <c r="T1313">
        <f>$C1313*T1312</f>
        <v/>
      </c>
      <c r="U1313">
        <f>$C1313*U1312</f>
        <v/>
      </c>
      <c r="V1313">
        <f>$C1313*V1312</f>
        <v/>
      </c>
      <c r="W1313">
        <f>$C1313*W1312</f>
        <v/>
      </c>
      <c r="X1313">
        <f>$C1313*X1312</f>
        <v/>
      </c>
      <c r="Y1313">
        <f>$C1313*Y1312</f>
        <v/>
      </c>
      <c r="Z1313">
        <f>$C1313*Z1312</f>
        <v/>
      </c>
      <c r="AA1313">
        <f>$C1313*AA1312</f>
        <v/>
      </c>
      <c r="AB1313">
        <f>$C1313*AB1312</f>
        <v/>
      </c>
      <c r="AC1313">
        <f>$C1313*AC1312</f>
        <v/>
      </c>
      <c r="AD1313">
        <f>$C1313*AD1312</f>
        <v/>
      </c>
      <c r="AE1313">
        <f>$C1313*AE1312</f>
        <v/>
      </c>
      <c r="AF1313">
        <f>$C1313*AF1312</f>
        <v/>
      </c>
      <c r="AG1313">
        <f>$C1313*AG1312</f>
        <v/>
      </c>
      <c r="AH1313">
        <f>$C1313*AH1312</f>
        <v/>
      </c>
      <c r="AI1313">
        <f>$C1313*AI1312</f>
        <v/>
      </c>
      <c r="AJ1313">
        <f>$C1313*AJ1312</f>
        <v/>
      </c>
      <c r="AK1313">
        <f>$C1313*AK1312</f>
        <v/>
      </c>
      <c r="AL1313">
        <f>$C1313*AL1312</f>
        <v/>
      </c>
      <c r="AM1313">
        <f>$C1313*AM1312</f>
        <v/>
      </c>
      <c r="AN1313">
        <f>$C1313*AN1312</f>
        <v/>
      </c>
      <c r="AO1313">
        <f>$C1313*AO1312</f>
        <v/>
      </c>
      <c r="AP1313">
        <f>$C1313*AP1312</f>
        <v/>
      </c>
      <c r="AQ1313">
        <f>$C1313*AQ1312</f>
        <v/>
      </c>
      <c r="AR1313">
        <f>$C1313*AR1312</f>
        <v/>
      </c>
      <c r="AS1313">
        <f>$C1313*AS1312</f>
        <v/>
      </c>
      <c r="AT1313">
        <f>$C1313*AT1312</f>
        <v/>
      </c>
      <c r="AU1313">
        <f>$C1313*AU1312</f>
        <v/>
      </c>
      <c r="AV1313">
        <f>$C1313*AV1312</f>
        <v/>
      </c>
      <c r="AW1313">
        <f>$C1313*AW1312</f>
        <v/>
      </c>
      <c r="AX1313">
        <f>$C1313*AX1312</f>
        <v/>
      </c>
      <c r="AY1313">
        <f>$C1313*AY1312</f>
        <v/>
      </c>
      <c r="AZ1313">
        <f>$C1313*AZ1312</f>
        <v/>
      </c>
      <c r="BA1313">
        <f>$C1313*BA1312</f>
        <v/>
      </c>
      <c r="BB1313">
        <f>$C1313*BB1312</f>
        <v/>
      </c>
      <c r="BC1313">
        <f>$C1313*BC1312</f>
        <v/>
      </c>
      <c r="BD1313">
        <f>$C1313*BD1312</f>
        <v/>
      </c>
      <c r="BE1313">
        <f>$C1313*BE1312</f>
        <v/>
      </c>
      <c r="BF1313">
        <f>$C1313*BF1312</f>
        <v/>
      </c>
      <c r="BG1313">
        <f>$C1313*BG1312</f>
        <v/>
      </c>
      <c r="BH1313">
        <f>$C1313*BH1312</f>
        <v/>
      </c>
      <c r="BI1313">
        <f>$C1313*BI1312</f>
        <v/>
      </c>
      <c r="BJ1313">
        <f>$C1313*BJ1312</f>
        <v/>
      </c>
      <c r="BK1313">
        <f>$C1313*BK1312</f>
        <v/>
      </c>
      <c r="BL1313">
        <f>$C1313*BL1312</f>
        <v/>
      </c>
      <c r="BM1313">
        <f>$C1313*BM1312</f>
        <v/>
      </c>
      <c r="BN1313">
        <f>$C1313*BN1312</f>
        <v/>
      </c>
      <c r="BO1313">
        <f>$C1313*BO1312</f>
        <v/>
      </c>
      <c r="BP1313">
        <f>$C1313*BP1312</f>
        <v/>
      </c>
      <c r="BQ1313">
        <f>$C1313*BQ1312</f>
        <v/>
      </c>
      <c r="BR1313">
        <f>$C1313*BR1312</f>
        <v/>
      </c>
      <c r="BS1313">
        <f>$C1313*BS1312</f>
        <v/>
      </c>
      <c r="BT1313">
        <f>$C1313*BT1312</f>
        <v/>
      </c>
      <c r="BU1313">
        <f>$C1313*BU1312</f>
        <v/>
      </c>
      <c r="BV1313">
        <f>$C1313*BV1312</f>
        <v/>
      </c>
      <c r="BW1313">
        <f>$C1313*BW1312</f>
        <v/>
      </c>
      <c r="BX1313">
        <f>$C1313*BX1312</f>
        <v/>
      </c>
      <c r="BY1313">
        <f>$C1313*BY1312</f>
        <v/>
      </c>
      <c r="BZ1313">
        <f>$C1313*BZ1312</f>
        <v/>
      </c>
      <c r="CA1313">
        <f>$C1313*CA1312</f>
        <v/>
      </c>
      <c r="CB1313">
        <f>$C1313*CB1312</f>
        <v/>
      </c>
      <c r="CC1313">
        <f>$C1313*CC1312</f>
        <v/>
      </c>
      <c r="CD1313">
        <f>$C1313*CD1312</f>
        <v/>
      </c>
      <c r="CE1313">
        <f>$C1313*CE1312</f>
        <v/>
      </c>
      <c r="CF1313">
        <f>$C1313*CF1312</f>
        <v/>
      </c>
      <c r="CG1313">
        <f>$C1313*CG1312</f>
        <v/>
      </c>
      <c r="CH1313">
        <f>$C1313*CH1312</f>
        <v/>
      </c>
      <c r="CI1313">
        <f>$C1313*CI1312</f>
        <v/>
      </c>
      <c r="CJ1313">
        <f>$C1313*CJ1312</f>
        <v/>
      </c>
      <c r="CK1313">
        <f>$C1313*CK1312</f>
        <v/>
      </c>
      <c r="CL1313">
        <f>$C1313*CL1312</f>
        <v/>
      </c>
      <c r="CM1313">
        <f>$C1313*CM1312</f>
        <v/>
      </c>
      <c r="CN1313">
        <f>$C1313*CN1312</f>
        <v/>
      </c>
      <c r="CO1313">
        <f>$C1313*CO1312</f>
        <v/>
      </c>
      <c r="CP1313">
        <f>$C1313*CP1312</f>
        <v/>
      </c>
      <c r="CQ1313">
        <f>$C1313*CQ1312</f>
        <v/>
      </c>
      <c r="CR1313">
        <f>$C1313*CR1312</f>
        <v/>
      </c>
      <c r="CS1313">
        <f>$C1313*CS1312</f>
        <v/>
      </c>
      <c r="CT1313">
        <f>$C1313*CT1312</f>
        <v/>
      </c>
      <c r="CU1313">
        <f>$C1313*CU1312</f>
        <v/>
      </c>
      <c r="CV1313">
        <f>$C1313*CV1312</f>
        <v/>
      </c>
      <c r="CW1313">
        <f>$C1313*CW1312</f>
        <v/>
      </c>
      <c r="CX1313">
        <f>$C1313*CX1312</f>
        <v/>
      </c>
      <c r="CY1313">
        <f>$C1313*CY1312</f>
        <v/>
      </c>
      <c r="CZ1313">
        <f>$C1313*CZ1312</f>
        <v/>
      </c>
      <c r="DA1313">
        <f>$C1313*DA1312</f>
        <v/>
      </c>
      <c r="DB1313">
        <f>$C1313*DB1312</f>
        <v/>
      </c>
      <c r="DC1313">
        <f>$C1313*DC1312</f>
        <v/>
      </c>
      <c r="DD1313">
        <f>$C1313*DD1312</f>
        <v/>
      </c>
    </row>
    <row r="1314">
      <c r="B1314" s="4" t="inlineStr">
        <is>
          <t>合計使用量(kg)/週</t>
        </is>
      </c>
      <c r="D1314" s="22">
        <f>IFERROR(INDEX(E1314:DD1314,$F$1),"")</f>
        <v/>
      </c>
      <c r="E1314">
        <f>'Grid_Requirement'!B56</f>
        <v/>
      </c>
      <c r="F1314">
        <f>'Grid_Requirement'!C56</f>
        <v/>
      </c>
      <c r="G1314">
        <f>'Grid_Requirement'!D56</f>
        <v/>
      </c>
      <c r="H1314">
        <f>'Grid_Requirement'!E56</f>
        <v/>
      </c>
      <c r="I1314">
        <f>'Grid_Requirement'!F56</f>
        <v/>
      </c>
      <c r="J1314">
        <f>'Grid_Requirement'!G56</f>
        <v/>
      </c>
      <c r="K1314">
        <f>'Grid_Requirement'!H56</f>
        <v/>
      </c>
      <c r="L1314">
        <f>'Grid_Requirement'!I56</f>
        <v/>
      </c>
      <c r="M1314">
        <f>'Grid_Requirement'!J56</f>
        <v/>
      </c>
      <c r="N1314">
        <f>'Grid_Requirement'!K56</f>
        <v/>
      </c>
      <c r="O1314">
        <f>'Grid_Requirement'!L56</f>
        <v/>
      </c>
      <c r="P1314">
        <f>'Grid_Requirement'!M56</f>
        <v/>
      </c>
      <c r="Q1314">
        <f>'Grid_Requirement'!N56</f>
        <v/>
      </c>
      <c r="R1314">
        <f>'Grid_Requirement'!O56</f>
        <v/>
      </c>
      <c r="S1314">
        <f>'Grid_Requirement'!P56</f>
        <v/>
      </c>
      <c r="T1314">
        <f>'Grid_Requirement'!Q56</f>
        <v/>
      </c>
      <c r="U1314">
        <f>'Grid_Requirement'!R56</f>
        <v/>
      </c>
      <c r="V1314">
        <f>'Grid_Requirement'!S56</f>
        <v/>
      </c>
      <c r="W1314">
        <f>'Grid_Requirement'!T56</f>
        <v/>
      </c>
      <c r="X1314">
        <f>'Grid_Requirement'!U56</f>
        <v/>
      </c>
      <c r="Y1314">
        <f>'Grid_Requirement'!V56</f>
        <v/>
      </c>
      <c r="Z1314">
        <f>'Grid_Requirement'!W56</f>
        <v/>
      </c>
      <c r="AA1314">
        <f>'Grid_Requirement'!X56</f>
        <v/>
      </c>
      <c r="AB1314">
        <f>'Grid_Requirement'!Y56</f>
        <v/>
      </c>
      <c r="AC1314">
        <f>'Grid_Requirement'!Z56</f>
        <v/>
      </c>
      <c r="AD1314">
        <f>'Grid_Requirement'!AA56</f>
        <v/>
      </c>
      <c r="AE1314">
        <f>'Grid_Requirement'!AB56</f>
        <v/>
      </c>
      <c r="AF1314">
        <f>'Grid_Requirement'!AC56</f>
        <v/>
      </c>
      <c r="AG1314">
        <f>'Grid_Requirement'!AD56</f>
        <v/>
      </c>
      <c r="AH1314">
        <f>'Grid_Requirement'!AE56</f>
        <v/>
      </c>
      <c r="AI1314">
        <f>'Grid_Requirement'!AF56</f>
        <v/>
      </c>
      <c r="AJ1314">
        <f>'Grid_Requirement'!AG56</f>
        <v/>
      </c>
      <c r="AK1314">
        <f>'Grid_Requirement'!AH56</f>
        <v/>
      </c>
      <c r="AL1314">
        <f>'Grid_Requirement'!AI56</f>
        <v/>
      </c>
      <c r="AM1314">
        <f>'Grid_Requirement'!AJ56</f>
        <v/>
      </c>
      <c r="AN1314">
        <f>'Grid_Requirement'!AK56</f>
        <v/>
      </c>
      <c r="AO1314">
        <f>'Grid_Requirement'!AL56</f>
        <v/>
      </c>
      <c r="AP1314">
        <f>'Grid_Requirement'!AM56</f>
        <v/>
      </c>
      <c r="AQ1314">
        <f>'Grid_Requirement'!AN56</f>
        <v/>
      </c>
      <c r="AR1314">
        <f>'Grid_Requirement'!AO56</f>
        <v/>
      </c>
      <c r="AS1314">
        <f>'Grid_Requirement'!AP56</f>
        <v/>
      </c>
      <c r="AT1314">
        <f>'Grid_Requirement'!AQ56</f>
        <v/>
      </c>
      <c r="AU1314">
        <f>'Grid_Requirement'!AR56</f>
        <v/>
      </c>
      <c r="AV1314">
        <f>'Grid_Requirement'!AS56</f>
        <v/>
      </c>
      <c r="AW1314">
        <f>'Grid_Requirement'!AT56</f>
        <v/>
      </c>
      <c r="AX1314">
        <f>'Grid_Requirement'!AU56</f>
        <v/>
      </c>
      <c r="AY1314">
        <f>'Grid_Requirement'!AV56</f>
        <v/>
      </c>
      <c r="AZ1314">
        <f>'Grid_Requirement'!AW56</f>
        <v/>
      </c>
      <c r="BA1314">
        <f>'Grid_Requirement'!AX56</f>
        <v/>
      </c>
      <c r="BB1314">
        <f>'Grid_Requirement'!AY56</f>
        <v/>
      </c>
      <c r="BC1314">
        <f>'Grid_Requirement'!AZ56</f>
        <v/>
      </c>
      <c r="BD1314">
        <f>'Grid_Requirement'!BA56</f>
        <v/>
      </c>
      <c r="BE1314">
        <f>'Grid_Requirement'!BB56</f>
        <v/>
      </c>
      <c r="BF1314">
        <f>'Grid_Requirement'!BC56</f>
        <v/>
      </c>
      <c r="BG1314">
        <f>'Grid_Requirement'!BD56</f>
        <v/>
      </c>
      <c r="BH1314">
        <f>'Grid_Requirement'!BE56</f>
        <v/>
      </c>
      <c r="BI1314">
        <f>'Grid_Requirement'!BF56</f>
        <v/>
      </c>
      <c r="BJ1314">
        <f>'Grid_Requirement'!BG56</f>
        <v/>
      </c>
      <c r="BK1314">
        <f>'Grid_Requirement'!BH56</f>
        <v/>
      </c>
      <c r="BL1314">
        <f>'Grid_Requirement'!BI56</f>
        <v/>
      </c>
      <c r="BM1314">
        <f>'Grid_Requirement'!BJ56</f>
        <v/>
      </c>
      <c r="BN1314">
        <f>'Grid_Requirement'!BK56</f>
        <v/>
      </c>
      <c r="BO1314">
        <f>'Grid_Requirement'!BL56</f>
        <v/>
      </c>
      <c r="BP1314">
        <f>'Grid_Requirement'!BM56</f>
        <v/>
      </c>
      <c r="BQ1314">
        <f>'Grid_Requirement'!BN56</f>
        <v/>
      </c>
      <c r="BR1314">
        <f>'Grid_Requirement'!BO56</f>
        <v/>
      </c>
      <c r="BS1314">
        <f>'Grid_Requirement'!BP56</f>
        <v/>
      </c>
      <c r="BT1314">
        <f>'Grid_Requirement'!BQ56</f>
        <v/>
      </c>
      <c r="BU1314">
        <f>'Grid_Requirement'!BR56</f>
        <v/>
      </c>
      <c r="BV1314">
        <f>'Grid_Requirement'!BS56</f>
        <v/>
      </c>
      <c r="BW1314">
        <f>'Grid_Requirement'!BT56</f>
        <v/>
      </c>
      <c r="BX1314">
        <f>'Grid_Requirement'!BU56</f>
        <v/>
      </c>
      <c r="BY1314">
        <f>'Grid_Requirement'!BV56</f>
        <v/>
      </c>
      <c r="BZ1314">
        <f>'Grid_Requirement'!BW56</f>
        <v/>
      </c>
      <c r="CA1314">
        <f>'Grid_Requirement'!BX56</f>
        <v/>
      </c>
      <c r="CB1314">
        <f>'Grid_Requirement'!BY56</f>
        <v/>
      </c>
      <c r="CC1314">
        <f>'Grid_Requirement'!BZ56</f>
        <v/>
      </c>
      <c r="CD1314">
        <f>'Grid_Requirement'!CA56</f>
        <v/>
      </c>
      <c r="CE1314">
        <f>'Grid_Requirement'!CB56</f>
        <v/>
      </c>
      <c r="CF1314">
        <f>'Grid_Requirement'!CC56</f>
        <v/>
      </c>
      <c r="CG1314">
        <f>'Grid_Requirement'!CD56</f>
        <v/>
      </c>
      <c r="CH1314">
        <f>'Grid_Requirement'!CE56</f>
        <v/>
      </c>
      <c r="CI1314">
        <f>'Grid_Requirement'!CF56</f>
        <v/>
      </c>
      <c r="CJ1314">
        <f>'Grid_Requirement'!CG56</f>
        <v/>
      </c>
      <c r="CK1314">
        <f>'Grid_Requirement'!CH56</f>
        <v/>
      </c>
      <c r="CL1314">
        <f>'Grid_Requirement'!CI56</f>
        <v/>
      </c>
      <c r="CM1314">
        <f>'Grid_Requirement'!CJ56</f>
        <v/>
      </c>
      <c r="CN1314">
        <f>'Grid_Requirement'!CK56</f>
        <v/>
      </c>
      <c r="CO1314">
        <f>'Grid_Requirement'!CL56</f>
        <v/>
      </c>
      <c r="CP1314">
        <f>'Grid_Requirement'!CM56</f>
        <v/>
      </c>
      <c r="CQ1314">
        <f>'Grid_Requirement'!CN56</f>
        <v/>
      </c>
      <c r="CR1314">
        <f>'Grid_Requirement'!CO56</f>
        <v/>
      </c>
      <c r="CS1314">
        <f>'Grid_Requirement'!CP56</f>
        <v/>
      </c>
      <c r="CT1314">
        <f>'Grid_Requirement'!CQ56</f>
        <v/>
      </c>
      <c r="CU1314">
        <f>'Grid_Requirement'!CR56</f>
        <v/>
      </c>
      <c r="CV1314">
        <f>'Grid_Requirement'!CS56</f>
        <v/>
      </c>
      <c r="CW1314">
        <f>'Grid_Requirement'!CT56</f>
        <v/>
      </c>
      <c r="CX1314">
        <f>'Grid_Requirement'!CU56</f>
        <v/>
      </c>
      <c r="CY1314">
        <f>'Grid_Requirement'!CV56</f>
        <v/>
      </c>
      <c r="CZ1314">
        <f>'Grid_Requirement'!CW56</f>
        <v/>
      </c>
      <c r="DA1314">
        <f>'Grid_Requirement'!CX56</f>
        <v/>
      </c>
      <c r="DB1314">
        <f>'Grid_Requirement'!CY56</f>
        <v/>
      </c>
      <c r="DC1314">
        <f>'Grid_Requirement'!CZ56</f>
        <v/>
      </c>
      <c r="DD1314">
        <f>'Grid_Requirement'!DA56</f>
        <v/>
      </c>
    </row>
    <row r="1315">
      <c r="B1315" s="23" t="inlineStr">
        <is>
          <t>（在庫・入荷予定はDashboard参照）</t>
        </is>
      </c>
    </row>
    <row r="1317">
      <c r="A1317" s="21" t="inlineStr">
        <is>
          <t>CHEM-1700</t>
        </is>
      </c>
      <c r="B1317" s="21" t="inlineStr">
        <is>
          <t>TepyrusCT38</t>
        </is>
      </c>
      <c r="C1317" s="21" t="n"/>
      <c r="D1317" s="21" t="n"/>
      <c r="E1317" s="21" t="n"/>
      <c r="F1317" s="21" t="n"/>
      <c r="G1317" s="21" t="n"/>
      <c r="H1317" s="21" t="n"/>
      <c r="I1317" s="21" t="n"/>
      <c r="J1317" s="21" t="n"/>
      <c r="K1317" s="21" t="n"/>
      <c r="L1317" s="21" t="n"/>
      <c r="M1317" s="21" t="n"/>
      <c r="N1317" s="21" t="n"/>
      <c r="O1317" s="21" t="n"/>
      <c r="P1317" s="21" t="n"/>
      <c r="Q1317" s="21" t="n"/>
      <c r="R1317" s="21" t="n"/>
      <c r="S1317" s="21" t="n"/>
      <c r="T1317" s="21" t="n"/>
      <c r="U1317" s="21" t="n"/>
      <c r="V1317" s="21" t="n"/>
      <c r="W1317" s="21" t="n"/>
      <c r="X1317" s="21" t="n"/>
      <c r="Y1317" s="21" t="n"/>
      <c r="Z1317" s="21" t="n"/>
      <c r="AA1317" s="21" t="n"/>
      <c r="AB1317" s="21" t="n"/>
      <c r="AC1317" s="21" t="n"/>
      <c r="AD1317" s="21" t="n"/>
      <c r="AE1317" s="21" t="n"/>
      <c r="AF1317" s="21" t="n"/>
      <c r="AG1317" s="21" t="n"/>
      <c r="AH1317" s="21" t="n"/>
      <c r="AI1317" s="21" t="n"/>
      <c r="AJ1317" s="21" t="n"/>
      <c r="AK1317" s="21" t="n"/>
      <c r="AL1317" s="21" t="n"/>
      <c r="AM1317" s="21" t="n"/>
      <c r="AN1317" s="21" t="n"/>
      <c r="AO1317" s="21" t="n"/>
      <c r="AP1317" s="21" t="n"/>
      <c r="AQ1317" s="21" t="n"/>
      <c r="AR1317" s="21" t="n"/>
      <c r="AS1317" s="21" t="n"/>
      <c r="AT1317" s="21" t="n"/>
      <c r="AU1317" s="21" t="n"/>
      <c r="AV1317" s="21" t="n"/>
      <c r="AW1317" s="21" t="n"/>
      <c r="AX1317" s="21" t="n"/>
      <c r="AY1317" s="21" t="n"/>
      <c r="AZ1317" s="21" t="n"/>
      <c r="BA1317" s="21" t="n"/>
      <c r="BB1317" s="21" t="n"/>
      <c r="BC1317" s="21" t="n"/>
      <c r="BD1317" s="21" t="n"/>
      <c r="BE1317" s="21" t="n"/>
      <c r="BF1317" s="21" t="n"/>
      <c r="BG1317" s="21" t="n"/>
      <c r="BH1317" s="21" t="n"/>
      <c r="BI1317" s="21" t="n"/>
      <c r="BJ1317" s="21" t="n"/>
      <c r="BK1317" s="21" t="n"/>
      <c r="BL1317" s="21" t="n"/>
      <c r="BM1317" s="21" t="n"/>
      <c r="BN1317" s="21" t="n"/>
      <c r="BO1317" s="21" t="n"/>
      <c r="BP1317" s="21" t="n"/>
      <c r="BQ1317" s="21" t="n"/>
      <c r="BR1317" s="21" t="n"/>
      <c r="BS1317" s="21" t="n"/>
      <c r="BT1317" s="21" t="n"/>
      <c r="BU1317" s="21" t="n"/>
      <c r="BV1317" s="21" t="n"/>
      <c r="BW1317" s="21" t="n"/>
      <c r="BX1317" s="21" t="n"/>
      <c r="BY1317" s="21" t="n"/>
      <c r="BZ1317" s="21" t="n"/>
      <c r="CA1317" s="21" t="n"/>
      <c r="CB1317" s="21" t="n"/>
      <c r="CC1317" s="21" t="n"/>
      <c r="CD1317" s="21" t="n"/>
      <c r="CE1317" s="21" t="n"/>
      <c r="CF1317" s="21" t="n"/>
      <c r="CG1317" s="21" t="n"/>
      <c r="CH1317" s="21" t="n"/>
      <c r="CI1317" s="21" t="n"/>
      <c r="CJ1317" s="21" t="n"/>
      <c r="CK1317" s="21" t="n"/>
      <c r="CL1317" s="21" t="n"/>
      <c r="CM1317" s="21" t="n"/>
      <c r="CN1317" s="21" t="n"/>
      <c r="CO1317" s="21" t="n"/>
      <c r="CP1317" s="21" t="n"/>
      <c r="CQ1317" s="21" t="n"/>
      <c r="CR1317" s="21" t="n"/>
      <c r="CS1317" s="21" t="n"/>
      <c r="CT1317" s="21" t="n"/>
      <c r="CU1317" s="21" t="n"/>
      <c r="CV1317" s="21" t="n"/>
      <c r="CW1317" s="21" t="n"/>
      <c r="CX1317" s="21" t="n"/>
      <c r="CY1317" s="21" t="n"/>
      <c r="CZ1317" s="21" t="n"/>
      <c r="DA1317" s="21" t="n"/>
      <c r="DB1317" s="21" t="n"/>
      <c r="DC1317" s="21" t="n"/>
      <c r="DD1317" s="21" t="n"/>
    </row>
    <row r="1318">
      <c r="B1318" t="inlineStr">
        <is>
          <t>TSP-620</t>
        </is>
      </c>
      <c r="C1318" t="inlineStr">
        <is>
          <t>No. of batches</t>
        </is>
      </c>
      <c r="D1318">
        <f>IFERROR(INDEX(E1318:DD1318,$F$1),"")</f>
        <v/>
      </c>
      <c r="E1318">
        <f>IFERROR(INDEX(PP_Grid[#Data],$DE1318,2),0)</f>
        <v/>
      </c>
      <c r="F1318">
        <f>IFERROR(INDEX(PP_Grid[#Data],$DE1318,3),0)</f>
        <v/>
      </c>
      <c r="G1318">
        <f>IFERROR(INDEX(PP_Grid[#Data],$DE1318,4),0)</f>
        <v/>
      </c>
      <c r="H1318">
        <f>IFERROR(INDEX(PP_Grid[#Data],$DE1318,5),0)</f>
        <v/>
      </c>
      <c r="I1318">
        <f>IFERROR(INDEX(PP_Grid[#Data],$DE1318,6),0)</f>
        <v/>
      </c>
      <c r="J1318">
        <f>IFERROR(INDEX(PP_Grid[#Data],$DE1318,7),0)</f>
        <v/>
      </c>
      <c r="K1318">
        <f>IFERROR(INDEX(PP_Grid[#Data],$DE1318,8),0)</f>
        <v/>
      </c>
      <c r="L1318">
        <f>IFERROR(INDEX(PP_Grid[#Data],$DE1318,9),0)</f>
        <v/>
      </c>
      <c r="M1318">
        <f>IFERROR(INDEX(PP_Grid[#Data],$DE1318,10),0)</f>
        <v/>
      </c>
      <c r="N1318">
        <f>IFERROR(INDEX(PP_Grid[#Data],$DE1318,11),0)</f>
        <v/>
      </c>
      <c r="O1318">
        <f>IFERROR(INDEX(PP_Grid[#Data],$DE1318,12),0)</f>
        <v/>
      </c>
      <c r="P1318">
        <f>IFERROR(INDEX(PP_Grid[#Data],$DE1318,13),0)</f>
        <v/>
      </c>
      <c r="Q1318">
        <f>IFERROR(INDEX(PP_Grid[#Data],$DE1318,14),0)</f>
        <v/>
      </c>
      <c r="R1318">
        <f>IFERROR(INDEX(PP_Grid[#Data],$DE1318,15),0)</f>
        <v/>
      </c>
      <c r="S1318">
        <f>IFERROR(INDEX(PP_Grid[#Data],$DE1318,16),0)</f>
        <v/>
      </c>
      <c r="T1318">
        <f>IFERROR(INDEX(PP_Grid[#Data],$DE1318,17),0)</f>
        <v/>
      </c>
      <c r="U1318">
        <f>IFERROR(INDEX(PP_Grid[#Data],$DE1318,18),0)</f>
        <v/>
      </c>
      <c r="V1318">
        <f>IFERROR(INDEX(PP_Grid[#Data],$DE1318,19),0)</f>
        <v/>
      </c>
      <c r="W1318">
        <f>IFERROR(INDEX(PP_Grid[#Data],$DE1318,20),0)</f>
        <v/>
      </c>
      <c r="X1318">
        <f>IFERROR(INDEX(PP_Grid[#Data],$DE1318,21),0)</f>
        <v/>
      </c>
      <c r="Y1318">
        <f>IFERROR(INDEX(PP_Grid[#Data],$DE1318,22),0)</f>
        <v/>
      </c>
      <c r="Z1318">
        <f>IFERROR(INDEX(PP_Grid[#Data],$DE1318,23),0)</f>
        <v/>
      </c>
      <c r="AA1318">
        <f>IFERROR(INDEX(PP_Grid[#Data],$DE1318,24),0)</f>
        <v/>
      </c>
      <c r="AB1318">
        <f>IFERROR(INDEX(PP_Grid[#Data],$DE1318,25),0)</f>
        <v/>
      </c>
      <c r="AC1318">
        <f>IFERROR(INDEX(PP_Grid[#Data],$DE1318,26),0)</f>
        <v/>
      </c>
      <c r="AD1318">
        <f>IFERROR(INDEX(PP_Grid[#Data],$DE1318,27),0)</f>
        <v/>
      </c>
      <c r="AE1318">
        <f>IFERROR(INDEX(PP_Grid[#Data],$DE1318,28),0)</f>
        <v/>
      </c>
      <c r="AF1318">
        <f>IFERROR(INDEX(PP_Grid[#Data],$DE1318,29),0)</f>
        <v/>
      </c>
      <c r="AG1318">
        <f>IFERROR(INDEX(PP_Grid[#Data],$DE1318,30),0)</f>
        <v/>
      </c>
      <c r="AH1318">
        <f>IFERROR(INDEX(PP_Grid[#Data],$DE1318,31),0)</f>
        <v/>
      </c>
      <c r="AI1318">
        <f>IFERROR(INDEX(PP_Grid[#Data],$DE1318,32),0)</f>
        <v/>
      </c>
      <c r="AJ1318">
        <f>IFERROR(INDEX(PP_Grid[#Data],$DE1318,33),0)</f>
        <v/>
      </c>
      <c r="AK1318">
        <f>IFERROR(INDEX(PP_Grid[#Data],$DE1318,34),0)</f>
        <v/>
      </c>
      <c r="AL1318">
        <f>IFERROR(INDEX(PP_Grid[#Data],$DE1318,35),0)</f>
        <v/>
      </c>
      <c r="AM1318">
        <f>IFERROR(INDEX(PP_Grid[#Data],$DE1318,36),0)</f>
        <v/>
      </c>
      <c r="AN1318">
        <f>IFERROR(INDEX(PP_Grid[#Data],$DE1318,37),0)</f>
        <v/>
      </c>
      <c r="AO1318">
        <f>IFERROR(INDEX(PP_Grid[#Data],$DE1318,38),0)</f>
        <v/>
      </c>
      <c r="AP1318">
        <f>IFERROR(INDEX(PP_Grid[#Data],$DE1318,39),0)</f>
        <v/>
      </c>
      <c r="AQ1318">
        <f>IFERROR(INDEX(PP_Grid[#Data],$DE1318,40),0)</f>
        <v/>
      </c>
      <c r="AR1318">
        <f>IFERROR(INDEX(PP_Grid[#Data],$DE1318,41),0)</f>
        <v/>
      </c>
      <c r="AS1318">
        <f>IFERROR(INDEX(PP_Grid[#Data],$DE1318,42),0)</f>
        <v/>
      </c>
      <c r="AT1318">
        <f>IFERROR(INDEX(PP_Grid[#Data],$DE1318,43),0)</f>
        <v/>
      </c>
      <c r="AU1318">
        <f>IFERROR(INDEX(PP_Grid[#Data],$DE1318,44),0)</f>
        <v/>
      </c>
      <c r="AV1318">
        <f>IFERROR(INDEX(PP_Grid[#Data],$DE1318,45),0)</f>
        <v/>
      </c>
      <c r="AW1318">
        <f>IFERROR(INDEX(PP_Grid[#Data],$DE1318,46),0)</f>
        <v/>
      </c>
      <c r="AX1318">
        <f>IFERROR(INDEX(PP_Grid[#Data],$DE1318,47),0)</f>
        <v/>
      </c>
      <c r="AY1318">
        <f>IFERROR(INDEX(PP_Grid[#Data],$DE1318,48),0)</f>
        <v/>
      </c>
      <c r="AZ1318">
        <f>IFERROR(INDEX(PP_Grid[#Data],$DE1318,49),0)</f>
        <v/>
      </c>
      <c r="BA1318">
        <f>IFERROR(INDEX(PP_Grid[#Data],$DE1318,50),0)</f>
        <v/>
      </c>
      <c r="BB1318">
        <f>IFERROR(INDEX(PP_Grid[#Data],$DE1318,51),0)</f>
        <v/>
      </c>
      <c r="BC1318">
        <f>IFERROR(INDEX(PP_Grid[#Data],$DE1318,52),0)</f>
        <v/>
      </c>
      <c r="BD1318">
        <f>IFERROR(INDEX(PP_Grid[#Data],$DE1318,53),0)</f>
        <v/>
      </c>
      <c r="BE1318">
        <f>IFERROR(INDEX(PP_Grid[#Data],$DE1318,54),0)</f>
        <v/>
      </c>
      <c r="BF1318">
        <f>IFERROR(INDEX(PP_Grid[#Data],$DE1318,55),0)</f>
        <v/>
      </c>
      <c r="BG1318">
        <f>IFERROR(INDEX(PP_Grid[#Data],$DE1318,56),0)</f>
        <v/>
      </c>
      <c r="BH1318">
        <f>IFERROR(INDEX(PP_Grid[#Data],$DE1318,57),0)</f>
        <v/>
      </c>
      <c r="BI1318">
        <f>IFERROR(INDEX(PP_Grid[#Data],$DE1318,58),0)</f>
        <v/>
      </c>
      <c r="BJ1318">
        <f>IFERROR(INDEX(PP_Grid[#Data],$DE1318,59),0)</f>
        <v/>
      </c>
      <c r="BK1318">
        <f>IFERROR(INDEX(PP_Grid[#Data],$DE1318,60),0)</f>
        <v/>
      </c>
      <c r="BL1318">
        <f>IFERROR(INDEX(PP_Grid[#Data],$DE1318,61),0)</f>
        <v/>
      </c>
      <c r="BM1318">
        <f>IFERROR(INDEX(PP_Grid[#Data],$DE1318,62),0)</f>
        <v/>
      </c>
      <c r="BN1318">
        <f>IFERROR(INDEX(PP_Grid[#Data],$DE1318,63),0)</f>
        <v/>
      </c>
      <c r="BO1318">
        <f>IFERROR(INDEX(PP_Grid[#Data],$DE1318,64),0)</f>
        <v/>
      </c>
      <c r="BP1318">
        <f>IFERROR(INDEX(PP_Grid[#Data],$DE1318,65),0)</f>
        <v/>
      </c>
      <c r="BQ1318">
        <f>IFERROR(INDEX(PP_Grid[#Data],$DE1318,66),0)</f>
        <v/>
      </c>
      <c r="BR1318">
        <f>IFERROR(INDEX(PP_Grid[#Data],$DE1318,67),0)</f>
        <v/>
      </c>
      <c r="BS1318">
        <f>IFERROR(INDEX(PP_Grid[#Data],$DE1318,68),0)</f>
        <v/>
      </c>
      <c r="BT1318">
        <f>IFERROR(INDEX(PP_Grid[#Data],$DE1318,69),0)</f>
        <v/>
      </c>
      <c r="BU1318">
        <f>IFERROR(INDEX(PP_Grid[#Data],$DE1318,70),0)</f>
        <v/>
      </c>
      <c r="BV1318">
        <f>IFERROR(INDEX(PP_Grid[#Data],$DE1318,71),0)</f>
        <v/>
      </c>
      <c r="BW1318">
        <f>IFERROR(INDEX(PP_Grid[#Data],$DE1318,72),0)</f>
        <v/>
      </c>
      <c r="BX1318">
        <f>IFERROR(INDEX(PP_Grid[#Data],$DE1318,73),0)</f>
        <v/>
      </c>
      <c r="BY1318">
        <f>IFERROR(INDEX(PP_Grid[#Data],$DE1318,74),0)</f>
        <v/>
      </c>
      <c r="BZ1318">
        <f>IFERROR(INDEX(PP_Grid[#Data],$DE1318,75),0)</f>
        <v/>
      </c>
      <c r="CA1318">
        <f>IFERROR(INDEX(PP_Grid[#Data],$DE1318,76),0)</f>
        <v/>
      </c>
      <c r="CB1318">
        <f>IFERROR(INDEX(PP_Grid[#Data],$DE1318,77),0)</f>
        <v/>
      </c>
      <c r="CC1318">
        <f>IFERROR(INDEX(PP_Grid[#Data],$DE1318,78),0)</f>
        <v/>
      </c>
      <c r="CD1318">
        <f>IFERROR(INDEX(PP_Grid[#Data],$DE1318,79),0)</f>
        <v/>
      </c>
      <c r="CE1318">
        <f>IFERROR(INDEX(PP_Grid[#Data],$DE1318,80),0)</f>
        <v/>
      </c>
      <c r="CF1318">
        <f>IFERROR(INDEX(PP_Grid[#Data],$DE1318,81),0)</f>
        <v/>
      </c>
      <c r="CG1318">
        <f>IFERROR(INDEX(PP_Grid[#Data],$DE1318,82),0)</f>
        <v/>
      </c>
      <c r="CH1318">
        <f>IFERROR(INDEX(PP_Grid[#Data],$DE1318,83),0)</f>
        <v/>
      </c>
      <c r="CI1318">
        <f>IFERROR(INDEX(PP_Grid[#Data],$DE1318,84),0)</f>
        <v/>
      </c>
      <c r="CJ1318">
        <f>IFERROR(INDEX(PP_Grid[#Data],$DE1318,85),0)</f>
        <v/>
      </c>
      <c r="CK1318">
        <f>IFERROR(INDEX(PP_Grid[#Data],$DE1318,86),0)</f>
        <v/>
      </c>
      <c r="CL1318">
        <f>IFERROR(INDEX(PP_Grid[#Data],$DE1318,87),0)</f>
        <v/>
      </c>
      <c r="CM1318">
        <f>IFERROR(INDEX(PP_Grid[#Data],$DE1318,88),0)</f>
        <v/>
      </c>
      <c r="CN1318">
        <f>IFERROR(INDEX(PP_Grid[#Data],$DE1318,89),0)</f>
        <v/>
      </c>
      <c r="CO1318">
        <f>IFERROR(INDEX(PP_Grid[#Data],$DE1318,90),0)</f>
        <v/>
      </c>
      <c r="CP1318">
        <f>IFERROR(INDEX(PP_Grid[#Data],$DE1318,91),0)</f>
        <v/>
      </c>
      <c r="CQ1318">
        <f>IFERROR(INDEX(PP_Grid[#Data],$DE1318,92),0)</f>
        <v/>
      </c>
      <c r="CR1318">
        <f>IFERROR(INDEX(PP_Grid[#Data],$DE1318,93),0)</f>
        <v/>
      </c>
      <c r="CS1318">
        <f>IFERROR(INDEX(PP_Grid[#Data],$DE1318,94),0)</f>
        <v/>
      </c>
      <c r="CT1318">
        <f>IFERROR(INDEX(PP_Grid[#Data],$DE1318,95),0)</f>
        <v/>
      </c>
      <c r="CU1318">
        <f>IFERROR(INDEX(PP_Grid[#Data],$DE1318,96),0)</f>
        <v/>
      </c>
      <c r="CV1318">
        <f>IFERROR(INDEX(PP_Grid[#Data],$DE1318,97),0)</f>
        <v/>
      </c>
      <c r="CW1318">
        <f>IFERROR(INDEX(PP_Grid[#Data],$DE1318,98),0)</f>
        <v/>
      </c>
      <c r="CX1318">
        <f>IFERROR(INDEX(PP_Grid[#Data],$DE1318,99),0)</f>
        <v/>
      </c>
      <c r="CY1318">
        <f>IFERROR(INDEX(PP_Grid[#Data],$DE1318,100),0)</f>
        <v/>
      </c>
      <c r="CZ1318">
        <f>IFERROR(INDEX(PP_Grid[#Data],$DE1318,101),0)</f>
        <v/>
      </c>
      <c r="DA1318">
        <f>IFERROR(INDEX(PP_Grid[#Data],$DE1318,102),0)</f>
        <v/>
      </c>
      <c r="DB1318">
        <f>IFERROR(INDEX(PP_Grid[#Data],$DE1318,103),0)</f>
        <v/>
      </c>
      <c r="DC1318">
        <f>IFERROR(INDEX(PP_Grid[#Data],$DE1318,104),0)</f>
        <v/>
      </c>
      <c r="DD1318">
        <f>IFERROR(INDEX(PP_Grid[#Data],$DE1318,105),0)</f>
        <v/>
      </c>
      <c r="DE1318" s="7">
        <f>IFERROR(MATCH($B1318,PP_Grid[Intermediate],0),99999)</f>
        <v/>
      </c>
    </row>
    <row r="1319">
      <c r="B1319" t="inlineStr">
        <is>
          <t>使用量(kg)</t>
        </is>
      </c>
      <c r="C1319">
        <f>SUMIFS(M_BOM[RM_Qty_Per_Batch],M_BOM[Intermediate],$B1318,M_BOM[RM_Code],$A1317)</f>
        <v/>
      </c>
      <c r="D1319">
        <f>IFERROR(INDEX(E1319:DD1319,$F$1),"")</f>
        <v/>
      </c>
      <c r="E1319">
        <f>$C1319*E1318</f>
        <v/>
      </c>
      <c r="F1319">
        <f>$C1319*F1318</f>
        <v/>
      </c>
      <c r="G1319">
        <f>$C1319*G1318</f>
        <v/>
      </c>
      <c r="H1319">
        <f>$C1319*H1318</f>
        <v/>
      </c>
      <c r="I1319">
        <f>$C1319*I1318</f>
        <v/>
      </c>
      <c r="J1319">
        <f>$C1319*J1318</f>
        <v/>
      </c>
      <c r="K1319">
        <f>$C1319*K1318</f>
        <v/>
      </c>
      <c r="L1319">
        <f>$C1319*L1318</f>
        <v/>
      </c>
      <c r="M1319">
        <f>$C1319*M1318</f>
        <v/>
      </c>
      <c r="N1319">
        <f>$C1319*N1318</f>
        <v/>
      </c>
      <c r="O1319">
        <f>$C1319*O1318</f>
        <v/>
      </c>
      <c r="P1319">
        <f>$C1319*P1318</f>
        <v/>
      </c>
      <c r="Q1319">
        <f>$C1319*Q1318</f>
        <v/>
      </c>
      <c r="R1319">
        <f>$C1319*R1318</f>
        <v/>
      </c>
      <c r="S1319">
        <f>$C1319*S1318</f>
        <v/>
      </c>
      <c r="T1319">
        <f>$C1319*T1318</f>
        <v/>
      </c>
      <c r="U1319">
        <f>$C1319*U1318</f>
        <v/>
      </c>
      <c r="V1319">
        <f>$C1319*V1318</f>
        <v/>
      </c>
      <c r="W1319">
        <f>$C1319*W1318</f>
        <v/>
      </c>
      <c r="X1319">
        <f>$C1319*X1318</f>
        <v/>
      </c>
      <c r="Y1319">
        <f>$C1319*Y1318</f>
        <v/>
      </c>
      <c r="Z1319">
        <f>$C1319*Z1318</f>
        <v/>
      </c>
      <c r="AA1319">
        <f>$C1319*AA1318</f>
        <v/>
      </c>
      <c r="AB1319">
        <f>$C1319*AB1318</f>
        <v/>
      </c>
      <c r="AC1319">
        <f>$C1319*AC1318</f>
        <v/>
      </c>
      <c r="AD1319">
        <f>$C1319*AD1318</f>
        <v/>
      </c>
      <c r="AE1319">
        <f>$C1319*AE1318</f>
        <v/>
      </c>
      <c r="AF1319">
        <f>$C1319*AF1318</f>
        <v/>
      </c>
      <c r="AG1319">
        <f>$C1319*AG1318</f>
        <v/>
      </c>
      <c r="AH1319">
        <f>$C1319*AH1318</f>
        <v/>
      </c>
      <c r="AI1319">
        <f>$C1319*AI1318</f>
        <v/>
      </c>
      <c r="AJ1319">
        <f>$C1319*AJ1318</f>
        <v/>
      </c>
      <c r="AK1319">
        <f>$C1319*AK1318</f>
        <v/>
      </c>
      <c r="AL1319">
        <f>$C1319*AL1318</f>
        <v/>
      </c>
      <c r="AM1319">
        <f>$C1319*AM1318</f>
        <v/>
      </c>
      <c r="AN1319">
        <f>$C1319*AN1318</f>
        <v/>
      </c>
      <c r="AO1319">
        <f>$C1319*AO1318</f>
        <v/>
      </c>
      <c r="AP1319">
        <f>$C1319*AP1318</f>
        <v/>
      </c>
      <c r="AQ1319">
        <f>$C1319*AQ1318</f>
        <v/>
      </c>
      <c r="AR1319">
        <f>$C1319*AR1318</f>
        <v/>
      </c>
      <c r="AS1319">
        <f>$C1319*AS1318</f>
        <v/>
      </c>
      <c r="AT1319">
        <f>$C1319*AT1318</f>
        <v/>
      </c>
      <c r="AU1319">
        <f>$C1319*AU1318</f>
        <v/>
      </c>
      <c r="AV1319">
        <f>$C1319*AV1318</f>
        <v/>
      </c>
      <c r="AW1319">
        <f>$C1319*AW1318</f>
        <v/>
      </c>
      <c r="AX1319">
        <f>$C1319*AX1318</f>
        <v/>
      </c>
      <c r="AY1319">
        <f>$C1319*AY1318</f>
        <v/>
      </c>
      <c r="AZ1319">
        <f>$C1319*AZ1318</f>
        <v/>
      </c>
      <c r="BA1319">
        <f>$C1319*BA1318</f>
        <v/>
      </c>
      <c r="BB1319">
        <f>$C1319*BB1318</f>
        <v/>
      </c>
      <c r="BC1319">
        <f>$C1319*BC1318</f>
        <v/>
      </c>
      <c r="BD1319">
        <f>$C1319*BD1318</f>
        <v/>
      </c>
      <c r="BE1319">
        <f>$C1319*BE1318</f>
        <v/>
      </c>
      <c r="BF1319">
        <f>$C1319*BF1318</f>
        <v/>
      </c>
      <c r="BG1319">
        <f>$C1319*BG1318</f>
        <v/>
      </c>
      <c r="BH1319">
        <f>$C1319*BH1318</f>
        <v/>
      </c>
      <c r="BI1319">
        <f>$C1319*BI1318</f>
        <v/>
      </c>
      <c r="BJ1319">
        <f>$C1319*BJ1318</f>
        <v/>
      </c>
      <c r="BK1319">
        <f>$C1319*BK1318</f>
        <v/>
      </c>
      <c r="BL1319">
        <f>$C1319*BL1318</f>
        <v/>
      </c>
      <c r="BM1319">
        <f>$C1319*BM1318</f>
        <v/>
      </c>
      <c r="BN1319">
        <f>$C1319*BN1318</f>
        <v/>
      </c>
      <c r="BO1319">
        <f>$C1319*BO1318</f>
        <v/>
      </c>
      <c r="BP1319">
        <f>$C1319*BP1318</f>
        <v/>
      </c>
      <c r="BQ1319">
        <f>$C1319*BQ1318</f>
        <v/>
      </c>
      <c r="BR1319">
        <f>$C1319*BR1318</f>
        <v/>
      </c>
      <c r="BS1319">
        <f>$C1319*BS1318</f>
        <v/>
      </c>
      <c r="BT1319">
        <f>$C1319*BT1318</f>
        <v/>
      </c>
      <c r="BU1319">
        <f>$C1319*BU1318</f>
        <v/>
      </c>
      <c r="BV1319">
        <f>$C1319*BV1318</f>
        <v/>
      </c>
      <c r="BW1319">
        <f>$C1319*BW1318</f>
        <v/>
      </c>
      <c r="BX1319">
        <f>$C1319*BX1318</f>
        <v/>
      </c>
      <c r="BY1319">
        <f>$C1319*BY1318</f>
        <v/>
      </c>
      <c r="BZ1319">
        <f>$C1319*BZ1318</f>
        <v/>
      </c>
      <c r="CA1319">
        <f>$C1319*CA1318</f>
        <v/>
      </c>
      <c r="CB1319">
        <f>$C1319*CB1318</f>
        <v/>
      </c>
      <c r="CC1319">
        <f>$C1319*CC1318</f>
        <v/>
      </c>
      <c r="CD1319">
        <f>$C1319*CD1318</f>
        <v/>
      </c>
      <c r="CE1319">
        <f>$C1319*CE1318</f>
        <v/>
      </c>
      <c r="CF1319">
        <f>$C1319*CF1318</f>
        <v/>
      </c>
      <c r="CG1319">
        <f>$C1319*CG1318</f>
        <v/>
      </c>
      <c r="CH1319">
        <f>$C1319*CH1318</f>
        <v/>
      </c>
      <c r="CI1319">
        <f>$C1319*CI1318</f>
        <v/>
      </c>
      <c r="CJ1319">
        <f>$C1319*CJ1318</f>
        <v/>
      </c>
      <c r="CK1319">
        <f>$C1319*CK1318</f>
        <v/>
      </c>
      <c r="CL1319">
        <f>$C1319*CL1318</f>
        <v/>
      </c>
      <c r="CM1319">
        <f>$C1319*CM1318</f>
        <v/>
      </c>
      <c r="CN1319">
        <f>$C1319*CN1318</f>
        <v/>
      </c>
      <c r="CO1319">
        <f>$C1319*CO1318</f>
        <v/>
      </c>
      <c r="CP1319">
        <f>$C1319*CP1318</f>
        <v/>
      </c>
      <c r="CQ1319">
        <f>$C1319*CQ1318</f>
        <v/>
      </c>
      <c r="CR1319">
        <f>$C1319*CR1318</f>
        <v/>
      </c>
      <c r="CS1319">
        <f>$C1319*CS1318</f>
        <v/>
      </c>
      <c r="CT1319">
        <f>$C1319*CT1318</f>
        <v/>
      </c>
      <c r="CU1319">
        <f>$C1319*CU1318</f>
        <v/>
      </c>
      <c r="CV1319">
        <f>$C1319*CV1318</f>
        <v/>
      </c>
      <c r="CW1319">
        <f>$C1319*CW1318</f>
        <v/>
      </c>
      <c r="CX1319">
        <f>$C1319*CX1318</f>
        <v/>
      </c>
      <c r="CY1319">
        <f>$C1319*CY1318</f>
        <v/>
      </c>
      <c r="CZ1319">
        <f>$C1319*CZ1318</f>
        <v/>
      </c>
      <c r="DA1319">
        <f>$C1319*DA1318</f>
        <v/>
      </c>
      <c r="DB1319">
        <f>$C1319*DB1318</f>
        <v/>
      </c>
      <c r="DC1319">
        <f>$C1319*DC1318</f>
        <v/>
      </c>
      <c r="DD1319">
        <f>$C1319*DD1318</f>
        <v/>
      </c>
    </row>
    <row r="1320">
      <c r="B1320" t="inlineStr">
        <is>
          <t>TSP-623</t>
        </is>
      </c>
      <c r="C1320" t="inlineStr">
        <is>
          <t>No. of batches</t>
        </is>
      </c>
      <c r="D1320">
        <f>IFERROR(INDEX(E1320:DD1320,$F$1),"")</f>
        <v/>
      </c>
      <c r="E1320">
        <f>IFERROR(INDEX(PP_Grid[#Data],$DE1320,2),0)</f>
        <v/>
      </c>
      <c r="F1320">
        <f>IFERROR(INDEX(PP_Grid[#Data],$DE1320,3),0)</f>
        <v/>
      </c>
      <c r="G1320">
        <f>IFERROR(INDEX(PP_Grid[#Data],$DE1320,4),0)</f>
        <v/>
      </c>
      <c r="H1320">
        <f>IFERROR(INDEX(PP_Grid[#Data],$DE1320,5),0)</f>
        <v/>
      </c>
      <c r="I1320">
        <f>IFERROR(INDEX(PP_Grid[#Data],$DE1320,6),0)</f>
        <v/>
      </c>
      <c r="J1320">
        <f>IFERROR(INDEX(PP_Grid[#Data],$DE1320,7),0)</f>
        <v/>
      </c>
      <c r="K1320">
        <f>IFERROR(INDEX(PP_Grid[#Data],$DE1320,8),0)</f>
        <v/>
      </c>
      <c r="L1320">
        <f>IFERROR(INDEX(PP_Grid[#Data],$DE1320,9),0)</f>
        <v/>
      </c>
      <c r="M1320">
        <f>IFERROR(INDEX(PP_Grid[#Data],$DE1320,10),0)</f>
        <v/>
      </c>
      <c r="N1320">
        <f>IFERROR(INDEX(PP_Grid[#Data],$DE1320,11),0)</f>
        <v/>
      </c>
      <c r="O1320">
        <f>IFERROR(INDEX(PP_Grid[#Data],$DE1320,12),0)</f>
        <v/>
      </c>
      <c r="P1320">
        <f>IFERROR(INDEX(PP_Grid[#Data],$DE1320,13),0)</f>
        <v/>
      </c>
      <c r="Q1320">
        <f>IFERROR(INDEX(PP_Grid[#Data],$DE1320,14),0)</f>
        <v/>
      </c>
      <c r="R1320">
        <f>IFERROR(INDEX(PP_Grid[#Data],$DE1320,15),0)</f>
        <v/>
      </c>
      <c r="S1320">
        <f>IFERROR(INDEX(PP_Grid[#Data],$DE1320,16),0)</f>
        <v/>
      </c>
      <c r="T1320">
        <f>IFERROR(INDEX(PP_Grid[#Data],$DE1320,17),0)</f>
        <v/>
      </c>
      <c r="U1320">
        <f>IFERROR(INDEX(PP_Grid[#Data],$DE1320,18),0)</f>
        <v/>
      </c>
      <c r="V1320">
        <f>IFERROR(INDEX(PP_Grid[#Data],$DE1320,19),0)</f>
        <v/>
      </c>
      <c r="W1320">
        <f>IFERROR(INDEX(PP_Grid[#Data],$DE1320,20),0)</f>
        <v/>
      </c>
      <c r="X1320">
        <f>IFERROR(INDEX(PP_Grid[#Data],$DE1320,21),0)</f>
        <v/>
      </c>
      <c r="Y1320">
        <f>IFERROR(INDEX(PP_Grid[#Data],$DE1320,22),0)</f>
        <v/>
      </c>
      <c r="Z1320">
        <f>IFERROR(INDEX(PP_Grid[#Data],$DE1320,23),0)</f>
        <v/>
      </c>
      <c r="AA1320">
        <f>IFERROR(INDEX(PP_Grid[#Data],$DE1320,24),0)</f>
        <v/>
      </c>
      <c r="AB1320">
        <f>IFERROR(INDEX(PP_Grid[#Data],$DE1320,25),0)</f>
        <v/>
      </c>
      <c r="AC1320">
        <f>IFERROR(INDEX(PP_Grid[#Data],$DE1320,26),0)</f>
        <v/>
      </c>
      <c r="AD1320">
        <f>IFERROR(INDEX(PP_Grid[#Data],$DE1320,27),0)</f>
        <v/>
      </c>
      <c r="AE1320">
        <f>IFERROR(INDEX(PP_Grid[#Data],$DE1320,28),0)</f>
        <v/>
      </c>
      <c r="AF1320">
        <f>IFERROR(INDEX(PP_Grid[#Data],$DE1320,29),0)</f>
        <v/>
      </c>
      <c r="AG1320">
        <f>IFERROR(INDEX(PP_Grid[#Data],$DE1320,30),0)</f>
        <v/>
      </c>
      <c r="AH1320">
        <f>IFERROR(INDEX(PP_Grid[#Data],$DE1320,31),0)</f>
        <v/>
      </c>
      <c r="AI1320">
        <f>IFERROR(INDEX(PP_Grid[#Data],$DE1320,32),0)</f>
        <v/>
      </c>
      <c r="AJ1320">
        <f>IFERROR(INDEX(PP_Grid[#Data],$DE1320,33),0)</f>
        <v/>
      </c>
      <c r="AK1320">
        <f>IFERROR(INDEX(PP_Grid[#Data],$DE1320,34),0)</f>
        <v/>
      </c>
      <c r="AL1320">
        <f>IFERROR(INDEX(PP_Grid[#Data],$DE1320,35),0)</f>
        <v/>
      </c>
      <c r="AM1320">
        <f>IFERROR(INDEX(PP_Grid[#Data],$DE1320,36),0)</f>
        <v/>
      </c>
      <c r="AN1320">
        <f>IFERROR(INDEX(PP_Grid[#Data],$DE1320,37),0)</f>
        <v/>
      </c>
      <c r="AO1320">
        <f>IFERROR(INDEX(PP_Grid[#Data],$DE1320,38),0)</f>
        <v/>
      </c>
      <c r="AP1320">
        <f>IFERROR(INDEX(PP_Grid[#Data],$DE1320,39),0)</f>
        <v/>
      </c>
      <c r="AQ1320">
        <f>IFERROR(INDEX(PP_Grid[#Data],$DE1320,40),0)</f>
        <v/>
      </c>
      <c r="AR1320">
        <f>IFERROR(INDEX(PP_Grid[#Data],$DE1320,41),0)</f>
        <v/>
      </c>
      <c r="AS1320">
        <f>IFERROR(INDEX(PP_Grid[#Data],$DE1320,42),0)</f>
        <v/>
      </c>
      <c r="AT1320">
        <f>IFERROR(INDEX(PP_Grid[#Data],$DE1320,43),0)</f>
        <v/>
      </c>
      <c r="AU1320">
        <f>IFERROR(INDEX(PP_Grid[#Data],$DE1320,44),0)</f>
        <v/>
      </c>
      <c r="AV1320">
        <f>IFERROR(INDEX(PP_Grid[#Data],$DE1320,45),0)</f>
        <v/>
      </c>
      <c r="AW1320">
        <f>IFERROR(INDEX(PP_Grid[#Data],$DE1320,46),0)</f>
        <v/>
      </c>
      <c r="AX1320">
        <f>IFERROR(INDEX(PP_Grid[#Data],$DE1320,47),0)</f>
        <v/>
      </c>
      <c r="AY1320">
        <f>IFERROR(INDEX(PP_Grid[#Data],$DE1320,48),0)</f>
        <v/>
      </c>
      <c r="AZ1320">
        <f>IFERROR(INDEX(PP_Grid[#Data],$DE1320,49),0)</f>
        <v/>
      </c>
      <c r="BA1320">
        <f>IFERROR(INDEX(PP_Grid[#Data],$DE1320,50),0)</f>
        <v/>
      </c>
      <c r="BB1320">
        <f>IFERROR(INDEX(PP_Grid[#Data],$DE1320,51),0)</f>
        <v/>
      </c>
      <c r="BC1320">
        <f>IFERROR(INDEX(PP_Grid[#Data],$DE1320,52),0)</f>
        <v/>
      </c>
      <c r="BD1320">
        <f>IFERROR(INDEX(PP_Grid[#Data],$DE1320,53),0)</f>
        <v/>
      </c>
      <c r="BE1320">
        <f>IFERROR(INDEX(PP_Grid[#Data],$DE1320,54),0)</f>
        <v/>
      </c>
      <c r="BF1320">
        <f>IFERROR(INDEX(PP_Grid[#Data],$DE1320,55),0)</f>
        <v/>
      </c>
      <c r="BG1320">
        <f>IFERROR(INDEX(PP_Grid[#Data],$DE1320,56),0)</f>
        <v/>
      </c>
      <c r="BH1320">
        <f>IFERROR(INDEX(PP_Grid[#Data],$DE1320,57),0)</f>
        <v/>
      </c>
      <c r="BI1320">
        <f>IFERROR(INDEX(PP_Grid[#Data],$DE1320,58),0)</f>
        <v/>
      </c>
      <c r="BJ1320">
        <f>IFERROR(INDEX(PP_Grid[#Data],$DE1320,59),0)</f>
        <v/>
      </c>
      <c r="BK1320">
        <f>IFERROR(INDEX(PP_Grid[#Data],$DE1320,60),0)</f>
        <v/>
      </c>
      <c r="BL1320">
        <f>IFERROR(INDEX(PP_Grid[#Data],$DE1320,61),0)</f>
        <v/>
      </c>
      <c r="BM1320">
        <f>IFERROR(INDEX(PP_Grid[#Data],$DE1320,62),0)</f>
        <v/>
      </c>
      <c r="BN1320">
        <f>IFERROR(INDEX(PP_Grid[#Data],$DE1320,63),0)</f>
        <v/>
      </c>
      <c r="BO1320">
        <f>IFERROR(INDEX(PP_Grid[#Data],$DE1320,64),0)</f>
        <v/>
      </c>
      <c r="BP1320">
        <f>IFERROR(INDEX(PP_Grid[#Data],$DE1320,65),0)</f>
        <v/>
      </c>
      <c r="BQ1320">
        <f>IFERROR(INDEX(PP_Grid[#Data],$DE1320,66),0)</f>
        <v/>
      </c>
      <c r="BR1320">
        <f>IFERROR(INDEX(PP_Grid[#Data],$DE1320,67),0)</f>
        <v/>
      </c>
      <c r="BS1320">
        <f>IFERROR(INDEX(PP_Grid[#Data],$DE1320,68),0)</f>
        <v/>
      </c>
      <c r="BT1320">
        <f>IFERROR(INDEX(PP_Grid[#Data],$DE1320,69),0)</f>
        <v/>
      </c>
      <c r="BU1320">
        <f>IFERROR(INDEX(PP_Grid[#Data],$DE1320,70),0)</f>
        <v/>
      </c>
      <c r="BV1320">
        <f>IFERROR(INDEX(PP_Grid[#Data],$DE1320,71),0)</f>
        <v/>
      </c>
      <c r="BW1320">
        <f>IFERROR(INDEX(PP_Grid[#Data],$DE1320,72),0)</f>
        <v/>
      </c>
      <c r="BX1320">
        <f>IFERROR(INDEX(PP_Grid[#Data],$DE1320,73),0)</f>
        <v/>
      </c>
      <c r="BY1320">
        <f>IFERROR(INDEX(PP_Grid[#Data],$DE1320,74),0)</f>
        <v/>
      </c>
      <c r="BZ1320">
        <f>IFERROR(INDEX(PP_Grid[#Data],$DE1320,75),0)</f>
        <v/>
      </c>
      <c r="CA1320">
        <f>IFERROR(INDEX(PP_Grid[#Data],$DE1320,76),0)</f>
        <v/>
      </c>
      <c r="CB1320">
        <f>IFERROR(INDEX(PP_Grid[#Data],$DE1320,77),0)</f>
        <v/>
      </c>
      <c r="CC1320">
        <f>IFERROR(INDEX(PP_Grid[#Data],$DE1320,78),0)</f>
        <v/>
      </c>
      <c r="CD1320">
        <f>IFERROR(INDEX(PP_Grid[#Data],$DE1320,79),0)</f>
        <v/>
      </c>
      <c r="CE1320">
        <f>IFERROR(INDEX(PP_Grid[#Data],$DE1320,80),0)</f>
        <v/>
      </c>
      <c r="CF1320">
        <f>IFERROR(INDEX(PP_Grid[#Data],$DE1320,81),0)</f>
        <v/>
      </c>
      <c r="CG1320">
        <f>IFERROR(INDEX(PP_Grid[#Data],$DE1320,82),0)</f>
        <v/>
      </c>
      <c r="CH1320">
        <f>IFERROR(INDEX(PP_Grid[#Data],$DE1320,83),0)</f>
        <v/>
      </c>
      <c r="CI1320">
        <f>IFERROR(INDEX(PP_Grid[#Data],$DE1320,84),0)</f>
        <v/>
      </c>
      <c r="CJ1320">
        <f>IFERROR(INDEX(PP_Grid[#Data],$DE1320,85),0)</f>
        <v/>
      </c>
      <c r="CK1320">
        <f>IFERROR(INDEX(PP_Grid[#Data],$DE1320,86),0)</f>
        <v/>
      </c>
      <c r="CL1320">
        <f>IFERROR(INDEX(PP_Grid[#Data],$DE1320,87),0)</f>
        <v/>
      </c>
      <c r="CM1320">
        <f>IFERROR(INDEX(PP_Grid[#Data],$DE1320,88),0)</f>
        <v/>
      </c>
      <c r="CN1320">
        <f>IFERROR(INDEX(PP_Grid[#Data],$DE1320,89),0)</f>
        <v/>
      </c>
      <c r="CO1320">
        <f>IFERROR(INDEX(PP_Grid[#Data],$DE1320,90),0)</f>
        <v/>
      </c>
      <c r="CP1320">
        <f>IFERROR(INDEX(PP_Grid[#Data],$DE1320,91),0)</f>
        <v/>
      </c>
      <c r="CQ1320">
        <f>IFERROR(INDEX(PP_Grid[#Data],$DE1320,92),0)</f>
        <v/>
      </c>
      <c r="CR1320">
        <f>IFERROR(INDEX(PP_Grid[#Data],$DE1320,93),0)</f>
        <v/>
      </c>
      <c r="CS1320">
        <f>IFERROR(INDEX(PP_Grid[#Data],$DE1320,94),0)</f>
        <v/>
      </c>
      <c r="CT1320">
        <f>IFERROR(INDEX(PP_Grid[#Data],$DE1320,95),0)</f>
        <v/>
      </c>
      <c r="CU1320">
        <f>IFERROR(INDEX(PP_Grid[#Data],$DE1320,96),0)</f>
        <v/>
      </c>
      <c r="CV1320">
        <f>IFERROR(INDEX(PP_Grid[#Data],$DE1320,97),0)</f>
        <v/>
      </c>
      <c r="CW1320">
        <f>IFERROR(INDEX(PP_Grid[#Data],$DE1320,98),0)</f>
        <v/>
      </c>
      <c r="CX1320">
        <f>IFERROR(INDEX(PP_Grid[#Data],$DE1320,99),0)</f>
        <v/>
      </c>
      <c r="CY1320">
        <f>IFERROR(INDEX(PP_Grid[#Data],$DE1320,100),0)</f>
        <v/>
      </c>
      <c r="CZ1320">
        <f>IFERROR(INDEX(PP_Grid[#Data],$DE1320,101),0)</f>
        <v/>
      </c>
      <c r="DA1320">
        <f>IFERROR(INDEX(PP_Grid[#Data],$DE1320,102),0)</f>
        <v/>
      </c>
      <c r="DB1320">
        <f>IFERROR(INDEX(PP_Grid[#Data],$DE1320,103),0)</f>
        <v/>
      </c>
      <c r="DC1320">
        <f>IFERROR(INDEX(PP_Grid[#Data],$DE1320,104),0)</f>
        <v/>
      </c>
      <c r="DD1320">
        <f>IFERROR(INDEX(PP_Grid[#Data],$DE1320,105),0)</f>
        <v/>
      </c>
      <c r="DE1320" s="7">
        <f>IFERROR(MATCH($B1320,PP_Grid[Intermediate],0),99999)</f>
        <v/>
      </c>
    </row>
    <row r="1321">
      <c r="B1321" t="inlineStr">
        <is>
          <t>使用量(kg)</t>
        </is>
      </c>
      <c r="C1321">
        <f>SUMIFS(M_BOM[RM_Qty_Per_Batch],M_BOM[Intermediate],$B1320,M_BOM[RM_Code],$A1317)</f>
        <v/>
      </c>
      <c r="D1321">
        <f>IFERROR(INDEX(E1321:DD1321,$F$1),"")</f>
        <v/>
      </c>
      <c r="E1321">
        <f>$C1321*E1320</f>
        <v/>
      </c>
      <c r="F1321">
        <f>$C1321*F1320</f>
        <v/>
      </c>
      <c r="G1321">
        <f>$C1321*G1320</f>
        <v/>
      </c>
      <c r="H1321">
        <f>$C1321*H1320</f>
        <v/>
      </c>
      <c r="I1321">
        <f>$C1321*I1320</f>
        <v/>
      </c>
      <c r="J1321">
        <f>$C1321*J1320</f>
        <v/>
      </c>
      <c r="K1321">
        <f>$C1321*K1320</f>
        <v/>
      </c>
      <c r="L1321">
        <f>$C1321*L1320</f>
        <v/>
      </c>
      <c r="M1321">
        <f>$C1321*M1320</f>
        <v/>
      </c>
      <c r="N1321">
        <f>$C1321*N1320</f>
        <v/>
      </c>
      <c r="O1321">
        <f>$C1321*O1320</f>
        <v/>
      </c>
      <c r="P1321">
        <f>$C1321*P1320</f>
        <v/>
      </c>
      <c r="Q1321">
        <f>$C1321*Q1320</f>
        <v/>
      </c>
      <c r="R1321">
        <f>$C1321*R1320</f>
        <v/>
      </c>
      <c r="S1321">
        <f>$C1321*S1320</f>
        <v/>
      </c>
      <c r="T1321">
        <f>$C1321*T1320</f>
        <v/>
      </c>
      <c r="U1321">
        <f>$C1321*U1320</f>
        <v/>
      </c>
      <c r="V1321">
        <f>$C1321*V1320</f>
        <v/>
      </c>
      <c r="W1321">
        <f>$C1321*W1320</f>
        <v/>
      </c>
      <c r="X1321">
        <f>$C1321*X1320</f>
        <v/>
      </c>
      <c r="Y1321">
        <f>$C1321*Y1320</f>
        <v/>
      </c>
      <c r="Z1321">
        <f>$C1321*Z1320</f>
        <v/>
      </c>
      <c r="AA1321">
        <f>$C1321*AA1320</f>
        <v/>
      </c>
      <c r="AB1321">
        <f>$C1321*AB1320</f>
        <v/>
      </c>
      <c r="AC1321">
        <f>$C1321*AC1320</f>
        <v/>
      </c>
      <c r="AD1321">
        <f>$C1321*AD1320</f>
        <v/>
      </c>
      <c r="AE1321">
        <f>$C1321*AE1320</f>
        <v/>
      </c>
      <c r="AF1321">
        <f>$C1321*AF1320</f>
        <v/>
      </c>
      <c r="AG1321">
        <f>$C1321*AG1320</f>
        <v/>
      </c>
      <c r="AH1321">
        <f>$C1321*AH1320</f>
        <v/>
      </c>
      <c r="AI1321">
        <f>$C1321*AI1320</f>
        <v/>
      </c>
      <c r="AJ1321">
        <f>$C1321*AJ1320</f>
        <v/>
      </c>
      <c r="AK1321">
        <f>$C1321*AK1320</f>
        <v/>
      </c>
      <c r="AL1321">
        <f>$C1321*AL1320</f>
        <v/>
      </c>
      <c r="AM1321">
        <f>$C1321*AM1320</f>
        <v/>
      </c>
      <c r="AN1321">
        <f>$C1321*AN1320</f>
        <v/>
      </c>
      <c r="AO1321">
        <f>$C1321*AO1320</f>
        <v/>
      </c>
      <c r="AP1321">
        <f>$C1321*AP1320</f>
        <v/>
      </c>
      <c r="AQ1321">
        <f>$C1321*AQ1320</f>
        <v/>
      </c>
      <c r="AR1321">
        <f>$C1321*AR1320</f>
        <v/>
      </c>
      <c r="AS1321">
        <f>$C1321*AS1320</f>
        <v/>
      </c>
      <c r="AT1321">
        <f>$C1321*AT1320</f>
        <v/>
      </c>
      <c r="AU1321">
        <f>$C1321*AU1320</f>
        <v/>
      </c>
      <c r="AV1321">
        <f>$C1321*AV1320</f>
        <v/>
      </c>
      <c r="AW1321">
        <f>$C1321*AW1320</f>
        <v/>
      </c>
      <c r="AX1321">
        <f>$C1321*AX1320</f>
        <v/>
      </c>
      <c r="AY1321">
        <f>$C1321*AY1320</f>
        <v/>
      </c>
      <c r="AZ1321">
        <f>$C1321*AZ1320</f>
        <v/>
      </c>
      <c r="BA1321">
        <f>$C1321*BA1320</f>
        <v/>
      </c>
      <c r="BB1321">
        <f>$C1321*BB1320</f>
        <v/>
      </c>
      <c r="BC1321">
        <f>$C1321*BC1320</f>
        <v/>
      </c>
      <c r="BD1321">
        <f>$C1321*BD1320</f>
        <v/>
      </c>
      <c r="BE1321">
        <f>$C1321*BE1320</f>
        <v/>
      </c>
      <c r="BF1321">
        <f>$C1321*BF1320</f>
        <v/>
      </c>
      <c r="BG1321">
        <f>$C1321*BG1320</f>
        <v/>
      </c>
      <c r="BH1321">
        <f>$C1321*BH1320</f>
        <v/>
      </c>
      <c r="BI1321">
        <f>$C1321*BI1320</f>
        <v/>
      </c>
      <c r="BJ1321">
        <f>$C1321*BJ1320</f>
        <v/>
      </c>
      <c r="BK1321">
        <f>$C1321*BK1320</f>
        <v/>
      </c>
      <c r="BL1321">
        <f>$C1321*BL1320</f>
        <v/>
      </c>
      <c r="BM1321">
        <f>$C1321*BM1320</f>
        <v/>
      </c>
      <c r="BN1321">
        <f>$C1321*BN1320</f>
        <v/>
      </c>
      <c r="BO1321">
        <f>$C1321*BO1320</f>
        <v/>
      </c>
      <c r="BP1321">
        <f>$C1321*BP1320</f>
        <v/>
      </c>
      <c r="BQ1321">
        <f>$C1321*BQ1320</f>
        <v/>
      </c>
      <c r="BR1321">
        <f>$C1321*BR1320</f>
        <v/>
      </c>
      <c r="BS1321">
        <f>$C1321*BS1320</f>
        <v/>
      </c>
      <c r="BT1321">
        <f>$C1321*BT1320</f>
        <v/>
      </c>
      <c r="BU1321">
        <f>$C1321*BU1320</f>
        <v/>
      </c>
      <c r="BV1321">
        <f>$C1321*BV1320</f>
        <v/>
      </c>
      <c r="BW1321">
        <f>$C1321*BW1320</f>
        <v/>
      </c>
      <c r="BX1321">
        <f>$C1321*BX1320</f>
        <v/>
      </c>
      <c r="BY1321">
        <f>$C1321*BY1320</f>
        <v/>
      </c>
      <c r="BZ1321">
        <f>$C1321*BZ1320</f>
        <v/>
      </c>
      <c r="CA1321">
        <f>$C1321*CA1320</f>
        <v/>
      </c>
      <c r="CB1321">
        <f>$C1321*CB1320</f>
        <v/>
      </c>
      <c r="CC1321">
        <f>$C1321*CC1320</f>
        <v/>
      </c>
      <c r="CD1321">
        <f>$C1321*CD1320</f>
        <v/>
      </c>
      <c r="CE1321">
        <f>$C1321*CE1320</f>
        <v/>
      </c>
      <c r="CF1321">
        <f>$C1321*CF1320</f>
        <v/>
      </c>
      <c r="CG1321">
        <f>$C1321*CG1320</f>
        <v/>
      </c>
      <c r="CH1321">
        <f>$C1321*CH1320</f>
        <v/>
      </c>
      <c r="CI1321">
        <f>$C1321*CI1320</f>
        <v/>
      </c>
      <c r="CJ1321">
        <f>$C1321*CJ1320</f>
        <v/>
      </c>
      <c r="CK1321">
        <f>$C1321*CK1320</f>
        <v/>
      </c>
      <c r="CL1321">
        <f>$C1321*CL1320</f>
        <v/>
      </c>
      <c r="CM1321">
        <f>$C1321*CM1320</f>
        <v/>
      </c>
      <c r="CN1321">
        <f>$C1321*CN1320</f>
        <v/>
      </c>
      <c r="CO1321">
        <f>$C1321*CO1320</f>
        <v/>
      </c>
      <c r="CP1321">
        <f>$C1321*CP1320</f>
        <v/>
      </c>
      <c r="CQ1321">
        <f>$C1321*CQ1320</f>
        <v/>
      </c>
      <c r="CR1321">
        <f>$C1321*CR1320</f>
        <v/>
      </c>
      <c r="CS1321">
        <f>$C1321*CS1320</f>
        <v/>
      </c>
      <c r="CT1321">
        <f>$C1321*CT1320</f>
        <v/>
      </c>
      <c r="CU1321">
        <f>$C1321*CU1320</f>
        <v/>
      </c>
      <c r="CV1321">
        <f>$C1321*CV1320</f>
        <v/>
      </c>
      <c r="CW1321">
        <f>$C1321*CW1320</f>
        <v/>
      </c>
      <c r="CX1321">
        <f>$C1321*CX1320</f>
        <v/>
      </c>
      <c r="CY1321">
        <f>$C1321*CY1320</f>
        <v/>
      </c>
      <c r="CZ1321">
        <f>$C1321*CZ1320</f>
        <v/>
      </c>
      <c r="DA1321">
        <f>$C1321*DA1320</f>
        <v/>
      </c>
      <c r="DB1321">
        <f>$C1321*DB1320</f>
        <v/>
      </c>
      <c r="DC1321">
        <f>$C1321*DC1320</f>
        <v/>
      </c>
      <c r="DD1321">
        <f>$C1321*DD1320</f>
        <v/>
      </c>
    </row>
    <row r="1322">
      <c r="B1322" t="inlineStr">
        <is>
          <t>TSP-934</t>
        </is>
      </c>
      <c r="C1322" t="inlineStr">
        <is>
          <t>No. of batches</t>
        </is>
      </c>
      <c r="D1322">
        <f>IFERROR(INDEX(E1322:DD1322,$F$1),"")</f>
        <v/>
      </c>
      <c r="E1322">
        <f>IFERROR(INDEX(PP_Grid[#Data],$DE1322,2),0)</f>
        <v/>
      </c>
      <c r="F1322">
        <f>IFERROR(INDEX(PP_Grid[#Data],$DE1322,3),0)</f>
        <v/>
      </c>
      <c r="G1322">
        <f>IFERROR(INDEX(PP_Grid[#Data],$DE1322,4),0)</f>
        <v/>
      </c>
      <c r="H1322">
        <f>IFERROR(INDEX(PP_Grid[#Data],$DE1322,5),0)</f>
        <v/>
      </c>
      <c r="I1322">
        <f>IFERROR(INDEX(PP_Grid[#Data],$DE1322,6),0)</f>
        <v/>
      </c>
      <c r="J1322">
        <f>IFERROR(INDEX(PP_Grid[#Data],$DE1322,7),0)</f>
        <v/>
      </c>
      <c r="K1322">
        <f>IFERROR(INDEX(PP_Grid[#Data],$DE1322,8),0)</f>
        <v/>
      </c>
      <c r="L1322">
        <f>IFERROR(INDEX(PP_Grid[#Data],$DE1322,9),0)</f>
        <v/>
      </c>
      <c r="M1322">
        <f>IFERROR(INDEX(PP_Grid[#Data],$DE1322,10),0)</f>
        <v/>
      </c>
      <c r="N1322">
        <f>IFERROR(INDEX(PP_Grid[#Data],$DE1322,11),0)</f>
        <v/>
      </c>
      <c r="O1322">
        <f>IFERROR(INDEX(PP_Grid[#Data],$DE1322,12),0)</f>
        <v/>
      </c>
      <c r="P1322">
        <f>IFERROR(INDEX(PP_Grid[#Data],$DE1322,13),0)</f>
        <v/>
      </c>
      <c r="Q1322">
        <f>IFERROR(INDEX(PP_Grid[#Data],$DE1322,14),0)</f>
        <v/>
      </c>
      <c r="R1322">
        <f>IFERROR(INDEX(PP_Grid[#Data],$DE1322,15),0)</f>
        <v/>
      </c>
      <c r="S1322">
        <f>IFERROR(INDEX(PP_Grid[#Data],$DE1322,16),0)</f>
        <v/>
      </c>
      <c r="T1322">
        <f>IFERROR(INDEX(PP_Grid[#Data],$DE1322,17),0)</f>
        <v/>
      </c>
      <c r="U1322">
        <f>IFERROR(INDEX(PP_Grid[#Data],$DE1322,18),0)</f>
        <v/>
      </c>
      <c r="V1322">
        <f>IFERROR(INDEX(PP_Grid[#Data],$DE1322,19),0)</f>
        <v/>
      </c>
      <c r="W1322">
        <f>IFERROR(INDEX(PP_Grid[#Data],$DE1322,20),0)</f>
        <v/>
      </c>
      <c r="X1322">
        <f>IFERROR(INDEX(PP_Grid[#Data],$DE1322,21),0)</f>
        <v/>
      </c>
      <c r="Y1322">
        <f>IFERROR(INDEX(PP_Grid[#Data],$DE1322,22),0)</f>
        <v/>
      </c>
      <c r="Z1322">
        <f>IFERROR(INDEX(PP_Grid[#Data],$DE1322,23),0)</f>
        <v/>
      </c>
      <c r="AA1322">
        <f>IFERROR(INDEX(PP_Grid[#Data],$DE1322,24),0)</f>
        <v/>
      </c>
      <c r="AB1322">
        <f>IFERROR(INDEX(PP_Grid[#Data],$DE1322,25),0)</f>
        <v/>
      </c>
      <c r="AC1322">
        <f>IFERROR(INDEX(PP_Grid[#Data],$DE1322,26),0)</f>
        <v/>
      </c>
      <c r="AD1322">
        <f>IFERROR(INDEX(PP_Grid[#Data],$DE1322,27),0)</f>
        <v/>
      </c>
      <c r="AE1322">
        <f>IFERROR(INDEX(PP_Grid[#Data],$DE1322,28),0)</f>
        <v/>
      </c>
      <c r="AF1322">
        <f>IFERROR(INDEX(PP_Grid[#Data],$DE1322,29),0)</f>
        <v/>
      </c>
      <c r="AG1322">
        <f>IFERROR(INDEX(PP_Grid[#Data],$DE1322,30),0)</f>
        <v/>
      </c>
      <c r="AH1322">
        <f>IFERROR(INDEX(PP_Grid[#Data],$DE1322,31),0)</f>
        <v/>
      </c>
      <c r="AI1322">
        <f>IFERROR(INDEX(PP_Grid[#Data],$DE1322,32),0)</f>
        <v/>
      </c>
      <c r="AJ1322">
        <f>IFERROR(INDEX(PP_Grid[#Data],$DE1322,33),0)</f>
        <v/>
      </c>
      <c r="AK1322">
        <f>IFERROR(INDEX(PP_Grid[#Data],$DE1322,34),0)</f>
        <v/>
      </c>
      <c r="AL1322">
        <f>IFERROR(INDEX(PP_Grid[#Data],$DE1322,35),0)</f>
        <v/>
      </c>
      <c r="AM1322">
        <f>IFERROR(INDEX(PP_Grid[#Data],$DE1322,36),0)</f>
        <v/>
      </c>
      <c r="AN1322">
        <f>IFERROR(INDEX(PP_Grid[#Data],$DE1322,37),0)</f>
        <v/>
      </c>
      <c r="AO1322">
        <f>IFERROR(INDEX(PP_Grid[#Data],$DE1322,38),0)</f>
        <v/>
      </c>
      <c r="AP1322">
        <f>IFERROR(INDEX(PP_Grid[#Data],$DE1322,39),0)</f>
        <v/>
      </c>
      <c r="AQ1322">
        <f>IFERROR(INDEX(PP_Grid[#Data],$DE1322,40),0)</f>
        <v/>
      </c>
      <c r="AR1322">
        <f>IFERROR(INDEX(PP_Grid[#Data],$DE1322,41),0)</f>
        <v/>
      </c>
      <c r="AS1322">
        <f>IFERROR(INDEX(PP_Grid[#Data],$DE1322,42),0)</f>
        <v/>
      </c>
      <c r="AT1322">
        <f>IFERROR(INDEX(PP_Grid[#Data],$DE1322,43),0)</f>
        <v/>
      </c>
      <c r="AU1322">
        <f>IFERROR(INDEX(PP_Grid[#Data],$DE1322,44),0)</f>
        <v/>
      </c>
      <c r="AV1322">
        <f>IFERROR(INDEX(PP_Grid[#Data],$DE1322,45),0)</f>
        <v/>
      </c>
      <c r="AW1322">
        <f>IFERROR(INDEX(PP_Grid[#Data],$DE1322,46),0)</f>
        <v/>
      </c>
      <c r="AX1322">
        <f>IFERROR(INDEX(PP_Grid[#Data],$DE1322,47),0)</f>
        <v/>
      </c>
      <c r="AY1322">
        <f>IFERROR(INDEX(PP_Grid[#Data],$DE1322,48),0)</f>
        <v/>
      </c>
      <c r="AZ1322">
        <f>IFERROR(INDEX(PP_Grid[#Data],$DE1322,49),0)</f>
        <v/>
      </c>
      <c r="BA1322">
        <f>IFERROR(INDEX(PP_Grid[#Data],$DE1322,50),0)</f>
        <v/>
      </c>
      <c r="BB1322">
        <f>IFERROR(INDEX(PP_Grid[#Data],$DE1322,51),0)</f>
        <v/>
      </c>
      <c r="BC1322">
        <f>IFERROR(INDEX(PP_Grid[#Data],$DE1322,52),0)</f>
        <v/>
      </c>
      <c r="BD1322">
        <f>IFERROR(INDEX(PP_Grid[#Data],$DE1322,53),0)</f>
        <v/>
      </c>
      <c r="BE1322">
        <f>IFERROR(INDEX(PP_Grid[#Data],$DE1322,54),0)</f>
        <v/>
      </c>
      <c r="BF1322">
        <f>IFERROR(INDEX(PP_Grid[#Data],$DE1322,55),0)</f>
        <v/>
      </c>
      <c r="BG1322">
        <f>IFERROR(INDEX(PP_Grid[#Data],$DE1322,56),0)</f>
        <v/>
      </c>
      <c r="BH1322">
        <f>IFERROR(INDEX(PP_Grid[#Data],$DE1322,57),0)</f>
        <v/>
      </c>
      <c r="BI1322">
        <f>IFERROR(INDEX(PP_Grid[#Data],$DE1322,58),0)</f>
        <v/>
      </c>
      <c r="BJ1322">
        <f>IFERROR(INDEX(PP_Grid[#Data],$DE1322,59),0)</f>
        <v/>
      </c>
      <c r="BK1322">
        <f>IFERROR(INDEX(PP_Grid[#Data],$DE1322,60),0)</f>
        <v/>
      </c>
      <c r="BL1322">
        <f>IFERROR(INDEX(PP_Grid[#Data],$DE1322,61),0)</f>
        <v/>
      </c>
      <c r="BM1322">
        <f>IFERROR(INDEX(PP_Grid[#Data],$DE1322,62),0)</f>
        <v/>
      </c>
      <c r="BN1322">
        <f>IFERROR(INDEX(PP_Grid[#Data],$DE1322,63),0)</f>
        <v/>
      </c>
      <c r="BO1322">
        <f>IFERROR(INDEX(PP_Grid[#Data],$DE1322,64),0)</f>
        <v/>
      </c>
      <c r="BP1322">
        <f>IFERROR(INDEX(PP_Grid[#Data],$DE1322,65),0)</f>
        <v/>
      </c>
      <c r="BQ1322">
        <f>IFERROR(INDEX(PP_Grid[#Data],$DE1322,66),0)</f>
        <v/>
      </c>
      <c r="BR1322">
        <f>IFERROR(INDEX(PP_Grid[#Data],$DE1322,67),0)</f>
        <v/>
      </c>
      <c r="BS1322">
        <f>IFERROR(INDEX(PP_Grid[#Data],$DE1322,68),0)</f>
        <v/>
      </c>
      <c r="BT1322">
        <f>IFERROR(INDEX(PP_Grid[#Data],$DE1322,69),0)</f>
        <v/>
      </c>
      <c r="BU1322">
        <f>IFERROR(INDEX(PP_Grid[#Data],$DE1322,70),0)</f>
        <v/>
      </c>
      <c r="BV1322">
        <f>IFERROR(INDEX(PP_Grid[#Data],$DE1322,71),0)</f>
        <v/>
      </c>
      <c r="BW1322">
        <f>IFERROR(INDEX(PP_Grid[#Data],$DE1322,72),0)</f>
        <v/>
      </c>
      <c r="BX1322">
        <f>IFERROR(INDEX(PP_Grid[#Data],$DE1322,73),0)</f>
        <v/>
      </c>
      <c r="BY1322">
        <f>IFERROR(INDEX(PP_Grid[#Data],$DE1322,74),0)</f>
        <v/>
      </c>
      <c r="BZ1322">
        <f>IFERROR(INDEX(PP_Grid[#Data],$DE1322,75),0)</f>
        <v/>
      </c>
      <c r="CA1322">
        <f>IFERROR(INDEX(PP_Grid[#Data],$DE1322,76),0)</f>
        <v/>
      </c>
      <c r="CB1322">
        <f>IFERROR(INDEX(PP_Grid[#Data],$DE1322,77),0)</f>
        <v/>
      </c>
      <c r="CC1322">
        <f>IFERROR(INDEX(PP_Grid[#Data],$DE1322,78),0)</f>
        <v/>
      </c>
      <c r="CD1322">
        <f>IFERROR(INDEX(PP_Grid[#Data],$DE1322,79),0)</f>
        <v/>
      </c>
      <c r="CE1322">
        <f>IFERROR(INDEX(PP_Grid[#Data],$DE1322,80),0)</f>
        <v/>
      </c>
      <c r="CF1322">
        <f>IFERROR(INDEX(PP_Grid[#Data],$DE1322,81),0)</f>
        <v/>
      </c>
      <c r="CG1322">
        <f>IFERROR(INDEX(PP_Grid[#Data],$DE1322,82),0)</f>
        <v/>
      </c>
      <c r="CH1322">
        <f>IFERROR(INDEX(PP_Grid[#Data],$DE1322,83),0)</f>
        <v/>
      </c>
      <c r="CI1322">
        <f>IFERROR(INDEX(PP_Grid[#Data],$DE1322,84),0)</f>
        <v/>
      </c>
      <c r="CJ1322">
        <f>IFERROR(INDEX(PP_Grid[#Data],$DE1322,85),0)</f>
        <v/>
      </c>
      <c r="CK1322">
        <f>IFERROR(INDEX(PP_Grid[#Data],$DE1322,86),0)</f>
        <v/>
      </c>
      <c r="CL1322">
        <f>IFERROR(INDEX(PP_Grid[#Data],$DE1322,87),0)</f>
        <v/>
      </c>
      <c r="CM1322">
        <f>IFERROR(INDEX(PP_Grid[#Data],$DE1322,88),0)</f>
        <v/>
      </c>
      <c r="CN1322">
        <f>IFERROR(INDEX(PP_Grid[#Data],$DE1322,89),0)</f>
        <v/>
      </c>
      <c r="CO1322">
        <f>IFERROR(INDEX(PP_Grid[#Data],$DE1322,90),0)</f>
        <v/>
      </c>
      <c r="CP1322">
        <f>IFERROR(INDEX(PP_Grid[#Data],$DE1322,91),0)</f>
        <v/>
      </c>
      <c r="CQ1322">
        <f>IFERROR(INDEX(PP_Grid[#Data],$DE1322,92),0)</f>
        <v/>
      </c>
      <c r="CR1322">
        <f>IFERROR(INDEX(PP_Grid[#Data],$DE1322,93),0)</f>
        <v/>
      </c>
      <c r="CS1322">
        <f>IFERROR(INDEX(PP_Grid[#Data],$DE1322,94),0)</f>
        <v/>
      </c>
      <c r="CT1322">
        <f>IFERROR(INDEX(PP_Grid[#Data],$DE1322,95),0)</f>
        <v/>
      </c>
      <c r="CU1322">
        <f>IFERROR(INDEX(PP_Grid[#Data],$DE1322,96),0)</f>
        <v/>
      </c>
      <c r="CV1322">
        <f>IFERROR(INDEX(PP_Grid[#Data],$DE1322,97),0)</f>
        <v/>
      </c>
      <c r="CW1322">
        <f>IFERROR(INDEX(PP_Grid[#Data],$DE1322,98),0)</f>
        <v/>
      </c>
      <c r="CX1322">
        <f>IFERROR(INDEX(PP_Grid[#Data],$DE1322,99),0)</f>
        <v/>
      </c>
      <c r="CY1322">
        <f>IFERROR(INDEX(PP_Grid[#Data],$DE1322,100),0)</f>
        <v/>
      </c>
      <c r="CZ1322">
        <f>IFERROR(INDEX(PP_Grid[#Data],$DE1322,101),0)</f>
        <v/>
      </c>
      <c r="DA1322">
        <f>IFERROR(INDEX(PP_Grid[#Data],$DE1322,102),0)</f>
        <v/>
      </c>
      <c r="DB1322">
        <f>IFERROR(INDEX(PP_Grid[#Data],$DE1322,103),0)</f>
        <v/>
      </c>
      <c r="DC1322">
        <f>IFERROR(INDEX(PP_Grid[#Data],$DE1322,104),0)</f>
        <v/>
      </c>
      <c r="DD1322">
        <f>IFERROR(INDEX(PP_Grid[#Data],$DE1322,105),0)</f>
        <v/>
      </c>
      <c r="DE1322" s="7">
        <f>IFERROR(MATCH($B1322,PP_Grid[Intermediate],0),99999)</f>
        <v/>
      </c>
    </row>
    <row r="1323">
      <c r="B1323" t="inlineStr">
        <is>
          <t>使用量(kg)</t>
        </is>
      </c>
      <c r="C1323">
        <f>SUMIFS(M_BOM[RM_Qty_Per_Batch],M_BOM[Intermediate],$B1322,M_BOM[RM_Code],$A1317)</f>
        <v/>
      </c>
      <c r="D1323">
        <f>IFERROR(INDEX(E1323:DD1323,$F$1),"")</f>
        <v/>
      </c>
      <c r="E1323">
        <f>$C1323*E1322</f>
        <v/>
      </c>
      <c r="F1323">
        <f>$C1323*F1322</f>
        <v/>
      </c>
      <c r="G1323">
        <f>$C1323*G1322</f>
        <v/>
      </c>
      <c r="H1323">
        <f>$C1323*H1322</f>
        <v/>
      </c>
      <c r="I1323">
        <f>$C1323*I1322</f>
        <v/>
      </c>
      <c r="J1323">
        <f>$C1323*J1322</f>
        <v/>
      </c>
      <c r="K1323">
        <f>$C1323*K1322</f>
        <v/>
      </c>
      <c r="L1323">
        <f>$C1323*L1322</f>
        <v/>
      </c>
      <c r="M1323">
        <f>$C1323*M1322</f>
        <v/>
      </c>
      <c r="N1323">
        <f>$C1323*N1322</f>
        <v/>
      </c>
      <c r="O1323">
        <f>$C1323*O1322</f>
        <v/>
      </c>
      <c r="P1323">
        <f>$C1323*P1322</f>
        <v/>
      </c>
      <c r="Q1323">
        <f>$C1323*Q1322</f>
        <v/>
      </c>
      <c r="R1323">
        <f>$C1323*R1322</f>
        <v/>
      </c>
      <c r="S1323">
        <f>$C1323*S1322</f>
        <v/>
      </c>
      <c r="T1323">
        <f>$C1323*T1322</f>
        <v/>
      </c>
      <c r="U1323">
        <f>$C1323*U1322</f>
        <v/>
      </c>
      <c r="V1323">
        <f>$C1323*V1322</f>
        <v/>
      </c>
      <c r="W1323">
        <f>$C1323*W1322</f>
        <v/>
      </c>
      <c r="X1323">
        <f>$C1323*X1322</f>
        <v/>
      </c>
      <c r="Y1323">
        <f>$C1323*Y1322</f>
        <v/>
      </c>
      <c r="Z1323">
        <f>$C1323*Z1322</f>
        <v/>
      </c>
      <c r="AA1323">
        <f>$C1323*AA1322</f>
        <v/>
      </c>
      <c r="AB1323">
        <f>$C1323*AB1322</f>
        <v/>
      </c>
      <c r="AC1323">
        <f>$C1323*AC1322</f>
        <v/>
      </c>
      <c r="AD1323">
        <f>$C1323*AD1322</f>
        <v/>
      </c>
      <c r="AE1323">
        <f>$C1323*AE1322</f>
        <v/>
      </c>
      <c r="AF1323">
        <f>$C1323*AF1322</f>
        <v/>
      </c>
      <c r="AG1323">
        <f>$C1323*AG1322</f>
        <v/>
      </c>
      <c r="AH1323">
        <f>$C1323*AH1322</f>
        <v/>
      </c>
      <c r="AI1323">
        <f>$C1323*AI1322</f>
        <v/>
      </c>
      <c r="AJ1323">
        <f>$C1323*AJ1322</f>
        <v/>
      </c>
      <c r="AK1323">
        <f>$C1323*AK1322</f>
        <v/>
      </c>
      <c r="AL1323">
        <f>$C1323*AL1322</f>
        <v/>
      </c>
      <c r="AM1323">
        <f>$C1323*AM1322</f>
        <v/>
      </c>
      <c r="AN1323">
        <f>$C1323*AN1322</f>
        <v/>
      </c>
      <c r="AO1323">
        <f>$C1323*AO1322</f>
        <v/>
      </c>
      <c r="AP1323">
        <f>$C1323*AP1322</f>
        <v/>
      </c>
      <c r="AQ1323">
        <f>$C1323*AQ1322</f>
        <v/>
      </c>
      <c r="AR1323">
        <f>$C1323*AR1322</f>
        <v/>
      </c>
      <c r="AS1323">
        <f>$C1323*AS1322</f>
        <v/>
      </c>
      <c r="AT1323">
        <f>$C1323*AT1322</f>
        <v/>
      </c>
      <c r="AU1323">
        <f>$C1323*AU1322</f>
        <v/>
      </c>
      <c r="AV1323">
        <f>$C1323*AV1322</f>
        <v/>
      </c>
      <c r="AW1323">
        <f>$C1323*AW1322</f>
        <v/>
      </c>
      <c r="AX1323">
        <f>$C1323*AX1322</f>
        <v/>
      </c>
      <c r="AY1323">
        <f>$C1323*AY1322</f>
        <v/>
      </c>
      <c r="AZ1323">
        <f>$C1323*AZ1322</f>
        <v/>
      </c>
      <c r="BA1323">
        <f>$C1323*BA1322</f>
        <v/>
      </c>
      <c r="BB1323">
        <f>$C1323*BB1322</f>
        <v/>
      </c>
      <c r="BC1323">
        <f>$C1323*BC1322</f>
        <v/>
      </c>
      <c r="BD1323">
        <f>$C1323*BD1322</f>
        <v/>
      </c>
      <c r="BE1323">
        <f>$C1323*BE1322</f>
        <v/>
      </c>
      <c r="BF1323">
        <f>$C1323*BF1322</f>
        <v/>
      </c>
      <c r="BG1323">
        <f>$C1323*BG1322</f>
        <v/>
      </c>
      <c r="BH1323">
        <f>$C1323*BH1322</f>
        <v/>
      </c>
      <c r="BI1323">
        <f>$C1323*BI1322</f>
        <v/>
      </c>
      <c r="BJ1323">
        <f>$C1323*BJ1322</f>
        <v/>
      </c>
      <c r="BK1323">
        <f>$C1323*BK1322</f>
        <v/>
      </c>
      <c r="BL1323">
        <f>$C1323*BL1322</f>
        <v/>
      </c>
      <c r="BM1323">
        <f>$C1323*BM1322</f>
        <v/>
      </c>
      <c r="BN1323">
        <f>$C1323*BN1322</f>
        <v/>
      </c>
      <c r="BO1323">
        <f>$C1323*BO1322</f>
        <v/>
      </c>
      <c r="BP1323">
        <f>$C1323*BP1322</f>
        <v/>
      </c>
      <c r="BQ1323">
        <f>$C1323*BQ1322</f>
        <v/>
      </c>
      <c r="BR1323">
        <f>$C1323*BR1322</f>
        <v/>
      </c>
      <c r="BS1323">
        <f>$C1323*BS1322</f>
        <v/>
      </c>
      <c r="BT1323">
        <f>$C1323*BT1322</f>
        <v/>
      </c>
      <c r="BU1323">
        <f>$C1323*BU1322</f>
        <v/>
      </c>
      <c r="BV1323">
        <f>$C1323*BV1322</f>
        <v/>
      </c>
      <c r="BW1323">
        <f>$C1323*BW1322</f>
        <v/>
      </c>
      <c r="BX1323">
        <f>$C1323*BX1322</f>
        <v/>
      </c>
      <c r="BY1323">
        <f>$C1323*BY1322</f>
        <v/>
      </c>
      <c r="BZ1323">
        <f>$C1323*BZ1322</f>
        <v/>
      </c>
      <c r="CA1323">
        <f>$C1323*CA1322</f>
        <v/>
      </c>
      <c r="CB1323">
        <f>$C1323*CB1322</f>
        <v/>
      </c>
      <c r="CC1323">
        <f>$C1323*CC1322</f>
        <v/>
      </c>
      <c r="CD1323">
        <f>$C1323*CD1322</f>
        <v/>
      </c>
      <c r="CE1323">
        <f>$C1323*CE1322</f>
        <v/>
      </c>
      <c r="CF1323">
        <f>$C1323*CF1322</f>
        <v/>
      </c>
      <c r="CG1323">
        <f>$C1323*CG1322</f>
        <v/>
      </c>
      <c r="CH1323">
        <f>$C1323*CH1322</f>
        <v/>
      </c>
      <c r="CI1323">
        <f>$C1323*CI1322</f>
        <v/>
      </c>
      <c r="CJ1323">
        <f>$C1323*CJ1322</f>
        <v/>
      </c>
      <c r="CK1323">
        <f>$C1323*CK1322</f>
        <v/>
      </c>
      <c r="CL1323">
        <f>$C1323*CL1322</f>
        <v/>
      </c>
      <c r="CM1323">
        <f>$C1323*CM1322</f>
        <v/>
      </c>
      <c r="CN1323">
        <f>$C1323*CN1322</f>
        <v/>
      </c>
      <c r="CO1323">
        <f>$C1323*CO1322</f>
        <v/>
      </c>
      <c r="CP1323">
        <f>$C1323*CP1322</f>
        <v/>
      </c>
      <c r="CQ1323">
        <f>$C1323*CQ1322</f>
        <v/>
      </c>
      <c r="CR1323">
        <f>$C1323*CR1322</f>
        <v/>
      </c>
      <c r="CS1323">
        <f>$C1323*CS1322</f>
        <v/>
      </c>
      <c r="CT1323">
        <f>$C1323*CT1322</f>
        <v/>
      </c>
      <c r="CU1323">
        <f>$C1323*CU1322</f>
        <v/>
      </c>
      <c r="CV1323">
        <f>$C1323*CV1322</f>
        <v/>
      </c>
      <c r="CW1323">
        <f>$C1323*CW1322</f>
        <v/>
      </c>
      <c r="CX1323">
        <f>$C1323*CX1322</f>
        <v/>
      </c>
      <c r="CY1323">
        <f>$C1323*CY1322</f>
        <v/>
      </c>
      <c r="CZ1323">
        <f>$C1323*CZ1322</f>
        <v/>
      </c>
      <c r="DA1323">
        <f>$C1323*DA1322</f>
        <v/>
      </c>
      <c r="DB1323">
        <f>$C1323*DB1322</f>
        <v/>
      </c>
      <c r="DC1323">
        <f>$C1323*DC1322</f>
        <v/>
      </c>
      <c r="DD1323">
        <f>$C1323*DD1322</f>
        <v/>
      </c>
    </row>
    <row r="1324">
      <c r="B1324" t="inlineStr">
        <is>
          <t>TSP-935</t>
        </is>
      </c>
      <c r="C1324" t="inlineStr">
        <is>
          <t>No. of batches</t>
        </is>
      </c>
      <c r="D1324">
        <f>IFERROR(INDEX(E1324:DD1324,$F$1),"")</f>
        <v/>
      </c>
      <c r="E1324">
        <f>IFERROR(INDEX(PP_Grid[#Data],$DE1324,2),0)</f>
        <v/>
      </c>
      <c r="F1324">
        <f>IFERROR(INDEX(PP_Grid[#Data],$DE1324,3),0)</f>
        <v/>
      </c>
      <c r="G1324">
        <f>IFERROR(INDEX(PP_Grid[#Data],$DE1324,4),0)</f>
        <v/>
      </c>
      <c r="H1324">
        <f>IFERROR(INDEX(PP_Grid[#Data],$DE1324,5),0)</f>
        <v/>
      </c>
      <c r="I1324">
        <f>IFERROR(INDEX(PP_Grid[#Data],$DE1324,6),0)</f>
        <v/>
      </c>
      <c r="J1324">
        <f>IFERROR(INDEX(PP_Grid[#Data],$DE1324,7),0)</f>
        <v/>
      </c>
      <c r="K1324">
        <f>IFERROR(INDEX(PP_Grid[#Data],$DE1324,8),0)</f>
        <v/>
      </c>
      <c r="L1324">
        <f>IFERROR(INDEX(PP_Grid[#Data],$DE1324,9),0)</f>
        <v/>
      </c>
      <c r="M1324">
        <f>IFERROR(INDEX(PP_Grid[#Data],$DE1324,10),0)</f>
        <v/>
      </c>
      <c r="N1324">
        <f>IFERROR(INDEX(PP_Grid[#Data],$DE1324,11),0)</f>
        <v/>
      </c>
      <c r="O1324">
        <f>IFERROR(INDEX(PP_Grid[#Data],$DE1324,12),0)</f>
        <v/>
      </c>
      <c r="P1324">
        <f>IFERROR(INDEX(PP_Grid[#Data],$DE1324,13),0)</f>
        <v/>
      </c>
      <c r="Q1324">
        <f>IFERROR(INDEX(PP_Grid[#Data],$DE1324,14),0)</f>
        <v/>
      </c>
      <c r="R1324">
        <f>IFERROR(INDEX(PP_Grid[#Data],$DE1324,15),0)</f>
        <v/>
      </c>
      <c r="S1324">
        <f>IFERROR(INDEX(PP_Grid[#Data],$DE1324,16),0)</f>
        <v/>
      </c>
      <c r="T1324">
        <f>IFERROR(INDEX(PP_Grid[#Data],$DE1324,17),0)</f>
        <v/>
      </c>
      <c r="U1324">
        <f>IFERROR(INDEX(PP_Grid[#Data],$DE1324,18),0)</f>
        <v/>
      </c>
      <c r="V1324">
        <f>IFERROR(INDEX(PP_Grid[#Data],$DE1324,19),0)</f>
        <v/>
      </c>
      <c r="W1324">
        <f>IFERROR(INDEX(PP_Grid[#Data],$DE1324,20),0)</f>
        <v/>
      </c>
      <c r="X1324">
        <f>IFERROR(INDEX(PP_Grid[#Data],$DE1324,21),0)</f>
        <v/>
      </c>
      <c r="Y1324">
        <f>IFERROR(INDEX(PP_Grid[#Data],$DE1324,22),0)</f>
        <v/>
      </c>
      <c r="Z1324">
        <f>IFERROR(INDEX(PP_Grid[#Data],$DE1324,23),0)</f>
        <v/>
      </c>
      <c r="AA1324">
        <f>IFERROR(INDEX(PP_Grid[#Data],$DE1324,24),0)</f>
        <v/>
      </c>
      <c r="AB1324">
        <f>IFERROR(INDEX(PP_Grid[#Data],$DE1324,25),0)</f>
        <v/>
      </c>
      <c r="AC1324">
        <f>IFERROR(INDEX(PP_Grid[#Data],$DE1324,26),0)</f>
        <v/>
      </c>
      <c r="AD1324">
        <f>IFERROR(INDEX(PP_Grid[#Data],$DE1324,27),0)</f>
        <v/>
      </c>
      <c r="AE1324">
        <f>IFERROR(INDEX(PP_Grid[#Data],$DE1324,28),0)</f>
        <v/>
      </c>
      <c r="AF1324">
        <f>IFERROR(INDEX(PP_Grid[#Data],$DE1324,29),0)</f>
        <v/>
      </c>
      <c r="AG1324">
        <f>IFERROR(INDEX(PP_Grid[#Data],$DE1324,30),0)</f>
        <v/>
      </c>
      <c r="AH1324">
        <f>IFERROR(INDEX(PP_Grid[#Data],$DE1324,31),0)</f>
        <v/>
      </c>
      <c r="AI1324">
        <f>IFERROR(INDEX(PP_Grid[#Data],$DE1324,32),0)</f>
        <v/>
      </c>
      <c r="AJ1324">
        <f>IFERROR(INDEX(PP_Grid[#Data],$DE1324,33),0)</f>
        <v/>
      </c>
      <c r="AK1324">
        <f>IFERROR(INDEX(PP_Grid[#Data],$DE1324,34),0)</f>
        <v/>
      </c>
      <c r="AL1324">
        <f>IFERROR(INDEX(PP_Grid[#Data],$DE1324,35),0)</f>
        <v/>
      </c>
      <c r="AM1324">
        <f>IFERROR(INDEX(PP_Grid[#Data],$DE1324,36),0)</f>
        <v/>
      </c>
      <c r="AN1324">
        <f>IFERROR(INDEX(PP_Grid[#Data],$DE1324,37),0)</f>
        <v/>
      </c>
      <c r="AO1324">
        <f>IFERROR(INDEX(PP_Grid[#Data],$DE1324,38),0)</f>
        <v/>
      </c>
      <c r="AP1324">
        <f>IFERROR(INDEX(PP_Grid[#Data],$DE1324,39),0)</f>
        <v/>
      </c>
      <c r="AQ1324">
        <f>IFERROR(INDEX(PP_Grid[#Data],$DE1324,40),0)</f>
        <v/>
      </c>
      <c r="AR1324">
        <f>IFERROR(INDEX(PP_Grid[#Data],$DE1324,41),0)</f>
        <v/>
      </c>
      <c r="AS1324">
        <f>IFERROR(INDEX(PP_Grid[#Data],$DE1324,42),0)</f>
        <v/>
      </c>
      <c r="AT1324">
        <f>IFERROR(INDEX(PP_Grid[#Data],$DE1324,43),0)</f>
        <v/>
      </c>
      <c r="AU1324">
        <f>IFERROR(INDEX(PP_Grid[#Data],$DE1324,44),0)</f>
        <v/>
      </c>
      <c r="AV1324">
        <f>IFERROR(INDEX(PP_Grid[#Data],$DE1324,45),0)</f>
        <v/>
      </c>
      <c r="AW1324">
        <f>IFERROR(INDEX(PP_Grid[#Data],$DE1324,46),0)</f>
        <v/>
      </c>
      <c r="AX1324">
        <f>IFERROR(INDEX(PP_Grid[#Data],$DE1324,47),0)</f>
        <v/>
      </c>
      <c r="AY1324">
        <f>IFERROR(INDEX(PP_Grid[#Data],$DE1324,48),0)</f>
        <v/>
      </c>
      <c r="AZ1324">
        <f>IFERROR(INDEX(PP_Grid[#Data],$DE1324,49),0)</f>
        <v/>
      </c>
      <c r="BA1324">
        <f>IFERROR(INDEX(PP_Grid[#Data],$DE1324,50),0)</f>
        <v/>
      </c>
      <c r="BB1324">
        <f>IFERROR(INDEX(PP_Grid[#Data],$DE1324,51),0)</f>
        <v/>
      </c>
      <c r="BC1324">
        <f>IFERROR(INDEX(PP_Grid[#Data],$DE1324,52),0)</f>
        <v/>
      </c>
      <c r="BD1324">
        <f>IFERROR(INDEX(PP_Grid[#Data],$DE1324,53),0)</f>
        <v/>
      </c>
      <c r="BE1324">
        <f>IFERROR(INDEX(PP_Grid[#Data],$DE1324,54),0)</f>
        <v/>
      </c>
      <c r="BF1324">
        <f>IFERROR(INDEX(PP_Grid[#Data],$DE1324,55),0)</f>
        <v/>
      </c>
      <c r="BG1324">
        <f>IFERROR(INDEX(PP_Grid[#Data],$DE1324,56),0)</f>
        <v/>
      </c>
      <c r="BH1324">
        <f>IFERROR(INDEX(PP_Grid[#Data],$DE1324,57),0)</f>
        <v/>
      </c>
      <c r="BI1324">
        <f>IFERROR(INDEX(PP_Grid[#Data],$DE1324,58),0)</f>
        <v/>
      </c>
      <c r="BJ1324">
        <f>IFERROR(INDEX(PP_Grid[#Data],$DE1324,59),0)</f>
        <v/>
      </c>
      <c r="BK1324">
        <f>IFERROR(INDEX(PP_Grid[#Data],$DE1324,60),0)</f>
        <v/>
      </c>
      <c r="BL1324">
        <f>IFERROR(INDEX(PP_Grid[#Data],$DE1324,61),0)</f>
        <v/>
      </c>
      <c r="BM1324">
        <f>IFERROR(INDEX(PP_Grid[#Data],$DE1324,62),0)</f>
        <v/>
      </c>
      <c r="BN1324">
        <f>IFERROR(INDEX(PP_Grid[#Data],$DE1324,63),0)</f>
        <v/>
      </c>
      <c r="BO1324">
        <f>IFERROR(INDEX(PP_Grid[#Data],$DE1324,64),0)</f>
        <v/>
      </c>
      <c r="BP1324">
        <f>IFERROR(INDEX(PP_Grid[#Data],$DE1324,65),0)</f>
        <v/>
      </c>
      <c r="BQ1324">
        <f>IFERROR(INDEX(PP_Grid[#Data],$DE1324,66),0)</f>
        <v/>
      </c>
      <c r="BR1324">
        <f>IFERROR(INDEX(PP_Grid[#Data],$DE1324,67),0)</f>
        <v/>
      </c>
      <c r="BS1324">
        <f>IFERROR(INDEX(PP_Grid[#Data],$DE1324,68),0)</f>
        <v/>
      </c>
      <c r="BT1324">
        <f>IFERROR(INDEX(PP_Grid[#Data],$DE1324,69),0)</f>
        <v/>
      </c>
      <c r="BU1324">
        <f>IFERROR(INDEX(PP_Grid[#Data],$DE1324,70),0)</f>
        <v/>
      </c>
      <c r="BV1324">
        <f>IFERROR(INDEX(PP_Grid[#Data],$DE1324,71),0)</f>
        <v/>
      </c>
      <c r="BW1324">
        <f>IFERROR(INDEX(PP_Grid[#Data],$DE1324,72),0)</f>
        <v/>
      </c>
      <c r="BX1324">
        <f>IFERROR(INDEX(PP_Grid[#Data],$DE1324,73),0)</f>
        <v/>
      </c>
      <c r="BY1324">
        <f>IFERROR(INDEX(PP_Grid[#Data],$DE1324,74),0)</f>
        <v/>
      </c>
      <c r="BZ1324">
        <f>IFERROR(INDEX(PP_Grid[#Data],$DE1324,75),0)</f>
        <v/>
      </c>
      <c r="CA1324">
        <f>IFERROR(INDEX(PP_Grid[#Data],$DE1324,76),0)</f>
        <v/>
      </c>
      <c r="CB1324">
        <f>IFERROR(INDEX(PP_Grid[#Data],$DE1324,77),0)</f>
        <v/>
      </c>
      <c r="CC1324">
        <f>IFERROR(INDEX(PP_Grid[#Data],$DE1324,78),0)</f>
        <v/>
      </c>
      <c r="CD1324">
        <f>IFERROR(INDEX(PP_Grid[#Data],$DE1324,79),0)</f>
        <v/>
      </c>
      <c r="CE1324">
        <f>IFERROR(INDEX(PP_Grid[#Data],$DE1324,80),0)</f>
        <v/>
      </c>
      <c r="CF1324">
        <f>IFERROR(INDEX(PP_Grid[#Data],$DE1324,81),0)</f>
        <v/>
      </c>
      <c r="CG1324">
        <f>IFERROR(INDEX(PP_Grid[#Data],$DE1324,82),0)</f>
        <v/>
      </c>
      <c r="CH1324">
        <f>IFERROR(INDEX(PP_Grid[#Data],$DE1324,83),0)</f>
        <v/>
      </c>
      <c r="CI1324">
        <f>IFERROR(INDEX(PP_Grid[#Data],$DE1324,84),0)</f>
        <v/>
      </c>
      <c r="CJ1324">
        <f>IFERROR(INDEX(PP_Grid[#Data],$DE1324,85),0)</f>
        <v/>
      </c>
      <c r="CK1324">
        <f>IFERROR(INDEX(PP_Grid[#Data],$DE1324,86),0)</f>
        <v/>
      </c>
      <c r="CL1324">
        <f>IFERROR(INDEX(PP_Grid[#Data],$DE1324,87),0)</f>
        <v/>
      </c>
      <c r="CM1324">
        <f>IFERROR(INDEX(PP_Grid[#Data],$DE1324,88),0)</f>
        <v/>
      </c>
      <c r="CN1324">
        <f>IFERROR(INDEX(PP_Grid[#Data],$DE1324,89),0)</f>
        <v/>
      </c>
      <c r="CO1324">
        <f>IFERROR(INDEX(PP_Grid[#Data],$DE1324,90),0)</f>
        <v/>
      </c>
      <c r="CP1324">
        <f>IFERROR(INDEX(PP_Grid[#Data],$DE1324,91),0)</f>
        <v/>
      </c>
      <c r="CQ1324">
        <f>IFERROR(INDEX(PP_Grid[#Data],$DE1324,92),0)</f>
        <v/>
      </c>
      <c r="CR1324">
        <f>IFERROR(INDEX(PP_Grid[#Data],$DE1324,93),0)</f>
        <v/>
      </c>
      <c r="CS1324">
        <f>IFERROR(INDEX(PP_Grid[#Data],$DE1324,94),0)</f>
        <v/>
      </c>
      <c r="CT1324">
        <f>IFERROR(INDEX(PP_Grid[#Data],$DE1324,95),0)</f>
        <v/>
      </c>
      <c r="CU1324">
        <f>IFERROR(INDEX(PP_Grid[#Data],$DE1324,96),0)</f>
        <v/>
      </c>
      <c r="CV1324">
        <f>IFERROR(INDEX(PP_Grid[#Data],$DE1324,97),0)</f>
        <v/>
      </c>
      <c r="CW1324">
        <f>IFERROR(INDEX(PP_Grid[#Data],$DE1324,98),0)</f>
        <v/>
      </c>
      <c r="CX1324">
        <f>IFERROR(INDEX(PP_Grid[#Data],$DE1324,99),0)</f>
        <v/>
      </c>
      <c r="CY1324">
        <f>IFERROR(INDEX(PP_Grid[#Data],$DE1324,100),0)</f>
        <v/>
      </c>
      <c r="CZ1324">
        <f>IFERROR(INDEX(PP_Grid[#Data],$DE1324,101),0)</f>
        <v/>
      </c>
      <c r="DA1324">
        <f>IFERROR(INDEX(PP_Grid[#Data],$DE1324,102),0)</f>
        <v/>
      </c>
      <c r="DB1324">
        <f>IFERROR(INDEX(PP_Grid[#Data],$DE1324,103),0)</f>
        <v/>
      </c>
      <c r="DC1324">
        <f>IFERROR(INDEX(PP_Grid[#Data],$DE1324,104),0)</f>
        <v/>
      </c>
      <c r="DD1324">
        <f>IFERROR(INDEX(PP_Grid[#Data],$DE1324,105),0)</f>
        <v/>
      </c>
      <c r="DE1324" s="7">
        <f>IFERROR(MATCH($B1324,PP_Grid[Intermediate],0),99999)</f>
        <v/>
      </c>
    </row>
    <row r="1325">
      <c r="B1325" t="inlineStr">
        <is>
          <t>使用量(kg)</t>
        </is>
      </c>
      <c r="C1325">
        <f>SUMIFS(M_BOM[RM_Qty_Per_Batch],M_BOM[Intermediate],$B1324,M_BOM[RM_Code],$A1317)</f>
        <v/>
      </c>
      <c r="D1325">
        <f>IFERROR(INDEX(E1325:DD1325,$F$1),"")</f>
        <v/>
      </c>
      <c r="E1325">
        <f>$C1325*E1324</f>
        <v/>
      </c>
      <c r="F1325">
        <f>$C1325*F1324</f>
        <v/>
      </c>
      <c r="G1325">
        <f>$C1325*G1324</f>
        <v/>
      </c>
      <c r="H1325">
        <f>$C1325*H1324</f>
        <v/>
      </c>
      <c r="I1325">
        <f>$C1325*I1324</f>
        <v/>
      </c>
      <c r="J1325">
        <f>$C1325*J1324</f>
        <v/>
      </c>
      <c r="K1325">
        <f>$C1325*K1324</f>
        <v/>
      </c>
      <c r="L1325">
        <f>$C1325*L1324</f>
        <v/>
      </c>
      <c r="M1325">
        <f>$C1325*M1324</f>
        <v/>
      </c>
      <c r="N1325">
        <f>$C1325*N1324</f>
        <v/>
      </c>
      <c r="O1325">
        <f>$C1325*O1324</f>
        <v/>
      </c>
      <c r="P1325">
        <f>$C1325*P1324</f>
        <v/>
      </c>
      <c r="Q1325">
        <f>$C1325*Q1324</f>
        <v/>
      </c>
      <c r="R1325">
        <f>$C1325*R1324</f>
        <v/>
      </c>
      <c r="S1325">
        <f>$C1325*S1324</f>
        <v/>
      </c>
      <c r="T1325">
        <f>$C1325*T1324</f>
        <v/>
      </c>
      <c r="U1325">
        <f>$C1325*U1324</f>
        <v/>
      </c>
      <c r="V1325">
        <f>$C1325*V1324</f>
        <v/>
      </c>
      <c r="W1325">
        <f>$C1325*W1324</f>
        <v/>
      </c>
      <c r="X1325">
        <f>$C1325*X1324</f>
        <v/>
      </c>
      <c r="Y1325">
        <f>$C1325*Y1324</f>
        <v/>
      </c>
      <c r="Z1325">
        <f>$C1325*Z1324</f>
        <v/>
      </c>
      <c r="AA1325">
        <f>$C1325*AA1324</f>
        <v/>
      </c>
      <c r="AB1325">
        <f>$C1325*AB1324</f>
        <v/>
      </c>
      <c r="AC1325">
        <f>$C1325*AC1324</f>
        <v/>
      </c>
      <c r="AD1325">
        <f>$C1325*AD1324</f>
        <v/>
      </c>
      <c r="AE1325">
        <f>$C1325*AE1324</f>
        <v/>
      </c>
      <c r="AF1325">
        <f>$C1325*AF1324</f>
        <v/>
      </c>
      <c r="AG1325">
        <f>$C1325*AG1324</f>
        <v/>
      </c>
      <c r="AH1325">
        <f>$C1325*AH1324</f>
        <v/>
      </c>
      <c r="AI1325">
        <f>$C1325*AI1324</f>
        <v/>
      </c>
      <c r="AJ1325">
        <f>$C1325*AJ1324</f>
        <v/>
      </c>
      <c r="AK1325">
        <f>$C1325*AK1324</f>
        <v/>
      </c>
      <c r="AL1325">
        <f>$C1325*AL1324</f>
        <v/>
      </c>
      <c r="AM1325">
        <f>$C1325*AM1324</f>
        <v/>
      </c>
      <c r="AN1325">
        <f>$C1325*AN1324</f>
        <v/>
      </c>
      <c r="AO1325">
        <f>$C1325*AO1324</f>
        <v/>
      </c>
      <c r="AP1325">
        <f>$C1325*AP1324</f>
        <v/>
      </c>
      <c r="AQ1325">
        <f>$C1325*AQ1324</f>
        <v/>
      </c>
      <c r="AR1325">
        <f>$C1325*AR1324</f>
        <v/>
      </c>
      <c r="AS1325">
        <f>$C1325*AS1324</f>
        <v/>
      </c>
      <c r="AT1325">
        <f>$C1325*AT1324</f>
        <v/>
      </c>
      <c r="AU1325">
        <f>$C1325*AU1324</f>
        <v/>
      </c>
      <c r="AV1325">
        <f>$C1325*AV1324</f>
        <v/>
      </c>
      <c r="AW1325">
        <f>$C1325*AW1324</f>
        <v/>
      </c>
      <c r="AX1325">
        <f>$C1325*AX1324</f>
        <v/>
      </c>
      <c r="AY1325">
        <f>$C1325*AY1324</f>
        <v/>
      </c>
      <c r="AZ1325">
        <f>$C1325*AZ1324</f>
        <v/>
      </c>
      <c r="BA1325">
        <f>$C1325*BA1324</f>
        <v/>
      </c>
      <c r="BB1325">
        <f>$C1325*BB1324</f>
        <v/>
      </c>
      <c r="BC1325">
        <f>$C1325*BC1324</f>
        <v/>
      </c>
      <c r="BD1325">
        <f>$C1325*BD1324</f>
        <v/>
      </c>
      <c r="BE1325">
        <f>$C1325*BE1324</f>
        <v/>
      </c>
      <c r="BF1325">
        <f>$C1325*BF1324</f>
        <v/>
      </c>
      <c r="BG1325">
        <f>$C1325*BG1324</f>
        <v/>
      </c>
      <c r="BH1325">
        <f>$C1325*BH1324</f>
        <v/>
      </c>
      <c r="BI1325">
        <f>$C1325*BI1324</f>
        <v/>
      </c>
      <c r="BJ1325">
        <f>$C1325*BJ1324</f>
        <v/>
      </c>
      <c r="BK1325">
        <f>$C1325*BK1324</f>
        <v/>
      </c>
      <c r="BL1325">
        <f>$C1325*BL1324</f>
        <v/>
      </c>
      <c r="BM1325">
        <f>$C1325*BM1324</f>
        <v/>
      </c>
      <c r="BN1325">
        <f>$C1325*BN1324</f>
        <v/>
      </c>
      <c r="BO1325">
        <f>$C1325*BO1324</f>
        <v/>
      </c>
      <c r="BP1325">
        <f>$C1325*BP1324</f>
        <v/>
      </c>
      <c r="BQ1325">
        <f>$C1325*BQ1324</f>
        <v/>
      </c>
      <c r="BR1325">
        <f>$C1325*BR1324</f>
        <v/>
      </c>
      <c r="BS1325">
        <f>$C1325*BS1324</f>
        <v/>
      </c>
      <c r="BT1325">
        <f>$C1325*BT1324</f>
        <v/>
      </c>
      <c r="BU1325">
        <f>$C1325*BU1324</f>
        <v/>
      </c>
      <c r="BV1325">
        <f>$C1325*BV1324</f>
        <v/>
      </c>
      <c r="BW1325">
        <f>$C1325*BW1324</f>
        <v/>
      </c>
      <c r="BX1325">
        <f>$C1325*BX1324</f>
        <v/>
      </c>
      <c r="BY1325">
        <f>$C1325*BY1324</f>
        <v/>
      </c>
      <c r="BZ1325">
        <f>$C1325*BZ1324</f>
        <v/>
      </c>
      <c r="CA1325">
        <f>$C1325*CA1324</f>
        <v/>
      </c>
      <c r="CB1325">
        <f>$C1325*CB1324</f>
        <v/>
      </c>
      <c r="CC1325">
        <f>$C1325*CC1324</f>
        <v/>
      </c>
      <c r="CD1325">
        <f>$C1325*CD1324</f>
        <v/>
      </c>
      <c r="CE1325">
        <f>$C1325*CE1324</f>
        <v/>
      </c>
      <c r="CF1325">
        <f>$C1325*CF1324</f>
        <v/>
      </c>
      <c r="CG1325">
        <f>$C1325*CG1324</f>
        <v/>
      </c>
      <c r="CH1325">
        <f>$C1325*CH1324</f>
        <v/>
      </c>
      <c r="CI1325">
        <f>$C1325*CI1324</f>
        <v/>
      </c>
      <c r="CJ1325">
        <f>$C1325*CJ1324</f>
        <v/>
      </c>
      <c r="CK1325">
        <f>$C1325*CK1324</f>
        <v/>
      </c>
      <c r="CL1325">
        <f>$C1325*CL1324</f>
        <v/>
      </c>
      <c r="CM1325">
        <f>$C1325*CM1324</f>
        <v/>
      </c>
      <c r="CN1325">
        <f>$C1325*CN1324</f>
        <v/>
      </c>
      <c r="CO1325">
        <f>$C1325*CO1324</f>
        <v/>
      </c>
      <c r="CP1325">
        <f>$C1325*CP1324</f>
        <v/>
      </c>
      <c r="CQ1325">
        <f>$C1325*CQ1324</f>
        <v/>
      </c>
      <c r="CR1325">
        <f>$C1325*CR1324</f>
        <v/>
      </c>
      <c r="CS1325">
        <f>$C1325*CS1324</f>
        <v/>
      </c>
      <c r="CT1325">
        <f>$C1325*CT1324</f>
        <v/>
      </c>
      <c r="CU1325">
        <f>$C1325*CU1324</f>
        <v/>
      </c>
      <c r="CV1325">
        <f>$C1325*CV1324</f>
        <v/>
      </c>
      <c r="CW1325">
        <f>$C1325*CW1324</f>
        <v/>
      </c>
      <c r="CX1325">
        <f>$C1325*CX1324</f>
        <v/>
      </c>
      <c r="CY1325">
        <f>$C1325*CY1324</f>
        <v/>
      </c>
      <c r="CZ1325">
        <f>$C1325*CZ1324</f>
        <v/>
      </c>
      <c r="DA1325">
        <f>$C1325*DA1324</f>
        <v/>
      </c>
      <c r="DB1325">
        <f>$C1325*DB1324</f>
        <v/>
      </c>
      <c r="DC1325">
        <f>$C1325*DC1324</f>
        <v/>
      </c>
      <c r="DD1325">
        <f>$C1325*DD1324</f>
        <v/>
      </c>
    </row>
    <row r="1326">
      <c r="B1326" t="inlineStr">
        <is>
          <t>TSP-936</t>
        </is>
      </c>
      <c r="C1326" t="inlineStr">
        <is>
          <t>No. of batches</t>
        </is>
      </c>
      <c r="D1326">
        <f>IFERROR(INDEX(E1326:DD1326,$F$1),"")</f>
        <v/>
      </c>
      <c r="E1326">
        <f>IFERROR(INDEX(PP_Grid[#Data],$DE1326,2),0)</f>
        <v/>
      </c>
      <c r="F1326">
        <f>IFERROR(INDEX(PP_Grid[#Data],$DE1326,3),0)</f>
        <v/>
      </c>
      <c r="G1326">
        <f>IFERROR(INDEX(PP_Grid[#Data],$DE1326,4),0)</f>
        <v/>
      </c>
      <c r="H1326">
        <f>IFERROR(INDEX(PP_Grid[#Data],$DE1326,5),0)</f>
        <v/>
      </c>
      <c r="I1326">
        <f>IFERROR(INDEX(PP_Grid[#Data],$DE1326,6),0)</f>
        <v/>
      </c>
      <c r="J1326">
        <f>IFERROR(INDEX(PP_Grid[#Data],$DE1326,7),0)</f>
        <v/>
      </c>
      <c r="K1326">
        <f>IFERROR(INDEX(PP_Grid[#Data],$DE1326,8),0)</f>
        <v/>
      </c>
      <c r="L1326">
        <f>IFERROR(INDEX(PP_Grid[#Data],$DE1326,9),0)</f>
        <v/>
      </c>
      <c r="M1326">
        <f>IFERROR(INDEX(PP_Grid[#Data],$DE1326,10),0)</f>
        <v/>
      </c>
      <c r="N1326">
        <f>IFERROR(INDEX(PP_Grid[#Data],$DE1326,11),0)</f>
        <v/>
      </c>
      <c r="O1326">
        <f>IFERROR(INDEX(PP_Grid[#Data],$DE1326,12),0)</f>
        <v/>
      </c>
      <c r="P1326">
        <f>IFERROR(INDEX(PP_Grid[#Data],$DE1326,13),0)</f>
        <v/>
      </c>
      <c r="Q1326">
        <f>IFERROR(INDEX(PP_Grid[#Data],$DE1326,14),0)</f>
        <v/>
      </c>
      <c r="R1326">
        <f>IFERROR(INDEX(PP_Grid[#Data],$DE1326,15),0)</f>
        <v/>
      </c>
      <c r="S1326">
        <f>IFERROR(INDEX(PP_Grid[#Data],$DE1326,16),0)</f>
        <v/>
      </c>
      <c r="T1326">
        <f>IFERROR(INDEX(PP_Grid[#Data],$DE1326,17),0)</f>
        <v/>
      </c>
      <c r="U1326">
        <f>IFERROR(INDEX(PP_Grid[#Data],$DE1326,18),0)</f>
        <v/>
      </c>
      <c r="V1326">
        <f>IFERROR(INDEX(PP_Grid[#Data],$DE1326,19),0)</f>
        <v/>
      </c>
      <c r="W1326">
        <f>IFERROR(INDEX(PP_Grid[#Data],$DE1326,20),0)</f>
        <v/>
      </c>
      <c r="X1326">
        <f>IFERROR(INDEX(PP_Grid[#Data],$DE1326,21),0)</f>
        <v/>
      </c>
      <c r="Y1326">
        <f>IFERROR(INDEX(PP_Grid[#Data],$DE1326,22),0)</f>
        <v/>
      </c>
      <c r="Z1326">
        <f>IFERROR(INDEX(PP_Grid[#Data],$DE1326,23),0)</f>
        <v/>
      </c>
      <c r="AA1326">
        <f>IFERROR(INDEX(PP_Grid[#Data],$DE1326,24),0)</f>
        <v/>
      </c>
      <c r="AB1326">
        <f>IFERROR(INDEX(PP_Grid[#Data],$DE1326,25),0)</f>
        <v/>
      </c>
      <c r="AC1326">
        <f>IFERROR(INDEX(PP_Grid[#Data],$DE1326,26),0)</f>
        <v/>
      </c>
      <c r="AD1326">
        <f>IFERROR(INDEX(PP_Grid[#Data],$DE1326,27),0)</f>
        <v/>
      </c>
      <c r="AE1326">
        <f>IFERROR(INDEX(PP_Grid[#Data],$DE1326,28),0)</f>
        <v/>
      </c>
      <c r="AF1326">
        <f>IFERROR(INDEX(PP_Grid[#Data],$DE1326,29),0)</f>
        <v/>
      </c>
      <c r="AG1326">
        <f>IFERROR(INDEX(PP_Grid[#Data],$DE1326,30),0)</f>
        <v/>
      </c>
      <c r="AH1326">
        <f>IFERROR(INDEX(PP_Grid[#Data],$DE1326,31),0)</f>
        <v/>
      </c>
      <c r="AI1326">
        <f>IFERROR(INDEX(PP_Grid[#Data],$DE1326,32),0)</f>
        <v/>
      </c>
      <c r="AJ1326">
        <f>IFERROR(INDEX(PP_Grid[#Data],$DE1326,33),0)</f>
        <v/>
      </c>
      <c r="AK1326">
        <f>IFERROR(INDEX(PP_Grid[#Data],$DE1326,34),0)</f>
        <v/>
      </c>
      <c r="AL1326">
        <f>IFERROR(INDEX(PP_Grid[#Data],$DE1326,35),0)</f>
        <v/>
      </c>
      <c r="AM1326">
        <f>IFERROR(INDEX(PP_Grid[#Data],$DE1326,36),0)</f>
        <v/>
      </c>
      <c r="AN1326">
        <f>IFERROR(INDEX(PP_Grid[#Data],$DE1326,37),0)</f>
        <v/>
      </c>
      <c r="AO1326">
        <f>IFERROR(INDEX(PP_Grid[#Data],$DE1326,38),0)</f>
        <v/>
      </c>
      <c r="AP1326">
        <f>IFERROR(INDEX(PP_Grid[#Data],$DE1326,39),0)</f>
        <v/>
      </c>
      <c r="AQ1326">
        <f>IFERROR(INDEX(PP_Grid[#Data],$DE1326,40),0)</f>
        <v/>
      </c>
      <c r="AR1326">
        <f>IFERROR(INDEX(PP_Grid[#Data],$DE1326,41),0)</f>
        <v/>
      </c>
      <c r="AS1326">
        <f>IFERROR(INDEX(PP_Grid[#Data],$DE1326,42),0)</f>
        <v/>
      </c>
      <c r="AT1326">
        <f>IFERROR(INDEX(PP_Grid[#Data],$DE1326,43),0)</f>
        <v/>
      </c>
      <c r="AU1326">
        <f>IFERROR(INDEX(PP_Grid[#Data],$DE1326,44),0)</f>
        <v/>
      </c>
      <c r="AV1326">
        <f>IFERROR(INDEX(PP_Grid[#Data],$DE1326,45),0)</f>
        <v/>
      </c>
      <c r="AW1326">
        <f>IFERROR(INDEX(PP_Grid[#Data],$DE1326,46),0)</f>
        <v/>
      </c>
      <c r="AX1326">
        <f>IFERROR(INDEX(PP_Grid[#Data],$DE1326,47),0)</f>
        <v/>
      </c>
      <c r="AY1326">
        <f>IFERROR(INDEX(PP_Grid[#Data],$DE1326,48),0)</f>
        <v/>
      </c>
      <c r="AZ1326">
        <f>IFERROR(INDEX(PP_Grid[#Data],$DE1326,49),0)</f>
        <v/>
      </c>
      <c r="BA1326">
        <f>IFERROR(INDEX(PP_Grid[#Data],$DE1326,50),0)</f>
        <v/>
      </c>
      <c r="BB1326">
        <f>IFERROR(INDEX(PP_Grid[#Data],$DE1326,51),0)</f>
        <v/>
      </c>
      <c r="BC1326">
        <f>IFERROR(INDEX(PP_Grid[#Data],$DE1326,52),0)</f>
        <v/>
      </c>
      <c r="BD1326">
        <f>IFERROR(INDEX(PP_Grid[#Data],$DE1326,53),0)</f>
        <v/>
      </c>
      <c r="BE1326">
        <f>IFERROR(INDEX(PP_Grid[#Data],$DE1326,54),0)</f>
        <v/>
      </c>
      <c r="BF1326">
        <f>IFERROR(INDEX(PP_Grid[#Data],$DE1326,55),0)</f>
        <v/>
      </c>
      <c r="BG1326">
        <f>IFERROR(INDEX(PP_Grid[#Data],$DE1326,56),0)</f>
        <v/>
      </c>
      <c r="BH1326">
        <f>IFERROR(INDEX(PP_Grid[#Data],$DE1326,57),0)</f>
        <v/>
      </c>
      <c r="BI1326">
        <f>IFERROR(INDEX(PP_Grid[#Data],$DE1326,58),0)</f>
        <v/>
      </c>
      <c r="BJ1326">
        <f>IFERROR(INDEX(PP_Grid[#Data],$DE1326,59),0)</f>
        <v/>
      </c>
      <c r="BK1326">
        <f>IFERROR(INDEX(PP_Grid[#Data],$DE1326,60),0)</f>
        <v/>
      </c>
      <c r="BL1326">
        <f>IFERROR(INDEX(PP_Grid[#Data],$DE1326,61),0)</f>
        <v/>
      </c>
      <c r="BM1326">
        <f>IFERROR(INDEX(PP_Grid[#Data],$DE1326,62),0)</f>
        <v/>
      </c>
      <c r="BN1326">
        <f>IFERROR(INDEX(PP_Grid[#Data],$DE1326,63),0)</f>
        <v/>
      </c>
      <c r="BO1326">
        <f>IFERROR(INDEX(PP_Grid[#Data],$DE1326,64),0)</f>
        <v/>
      </c>
      <c r="BP1326">
        <f>IFERROR(INDEX(PP_Grid[#Data],$DE1326,65),0)</f>
        <v/>
      </c>
      <c r="BQ1326">
        <f>IFERROR(INDEX(PP_Grid[#Data],$DE1326,66),0)</f>
        <v/>
      </c>
      <c r="BR1326">
        <f>IFERROR(INDEX(PP_Grid[#Data],$DE1326,67),0)</f>
        <v/>
      </c>
      <c r="BS1326">
        <f>IFERROR(INDEX(PP_Grid[#Data],$DE1326,68),0)</f>
        <v/>
      </c>
      <c r="BT1326">
        <f>IFERROR(INDEX(PP_Grid[#Data],$DE1326,69),0)</f>
        <v/>
      </c>
      <c r="BU1326">
        <f>IFERROR(INDEX(PP_Grid[#Data],$DE1326,70),0)</f>
        <v/>
      </c>
      <c r="BV1326">
        <f>IFERROR(INDEX(PP_Grid[#Data],$DE1326,71),0)</f>
        <v/>
      </c>
      <c r="BW1326">
        <f>IFERROR(INDEX(PP_Grid[#Data],$DE1326,72),0)</f>
        <v/>
      </c>
      <c r="BX1326">
        <f>IFERROR(INDEX(PP_Grid[#Data],$DE1326,73),0)</f>
        <v/>
      </c>
      <c r="BY1326">
        <f>IFERROR(INDEX(PP_Grid[#Data],$DE1326,74),0)</f>
        <v/>
      </c>
      <c r="BZ1326">
        <f>IFERROR(INDEX(PP_Grid[#Data],$DE1326,75),0)</f>
        <v/>
      </c>
      <c r="CA1326">
        <f>IFERROR(INDEX(PP_Grid[#Data],$DE1326,76),0)</f>
        <v/>
      </c>
      <c r="CB1326">
        <f>IFERROR(INDEX(PP_Grid[#Data],$DE1326,77),0)</f>
        <v/>
      </c>
      <c r="CC1326">
        <f>IFERROR(INDEX(PP_Grid[#Data],$DE1326,78),0)</f>
        <v/>
      </c>
      <c r="CD1326">
        <f>IFERROR(INDEX(PP_Grid[#Data],$DE1326,79),0)</f>
        <v/>
      </c>
      <c r="CE1326">
        <f>IFERROR(INDEX(PP_Grid[#Data],$DE1326,80),0)</f>
        <v/>
      </c>
      <c r="CF1326">
        <f>IFERROR(INDEX(PP_Grid[#Data],$DE1326,81),0)</f>
        <v/>
      </c>
      <c r="CG1326">
        <f>IFERROR(INDEX(PP_Grid[#Data],$DE1326,82),0)</f>
        <v/>
      </c>
      <c r="CH1326">
        <f>IFERROR(INDEX(PP_Grid[#Data],$DE1326,83),0)</f>
        <v/>
      </c>
      <c r="CI1326">
        <f>IFERROR(INDEX(PP_Grid[#Data],$DE1326,84),0)</f>
        <v/>
      </c>
      <c r="CJ1326">
        <f>IFERROR(INDEX(PP_Grid[#Data],$DE1326,85),0)</f>
        <v/>
      </c>
      <c r="CK1326">
        <f>IFERROR(INDEX(PP_Grid[#Data],$DE1326,86),0)</f>
        <v/>
      </c>
      <c r="CL1326">
        <f>IFERROR(INDEX(PP_Grid[#Data],$DE1326,87),0)</f>
        <v/>
      </c>
      <c r="CM1326">
        <f>IFERROR(INDEX(PP_Grid[#Data],$DE1326,88),0)</f>
        <v/>
      </c>
      <c r="CN1326">
        <f>IFERROR(INDEX(PP_Grid[#Data],$DE1326,89),0)</f>
        <v/>
      </c>
      <c r="CO1326">
        <f>IFERROR(INDEX(PP_Grid[#Data],$DE1326,90),0)</f>
        <v/>
      </c>
      <c r="CP1326">
        <f>IFERROR(INDEX(PP_Grid[#Data],$DE1326,91),0)</f>
        <v/>
      </c>
      <c r="CQ1326">
        <f>IFERROR(INDEX(PP_Grid[#Data],$DE1326,92),0)</f>
        <v/>
      </c>
      <c r="CR1326">
        <f>IFERROR(INDEX(PP_Grid[#Data],$DE1326,93),0)</f>
        <v/>
      </c>
      <c r="CS1326">
        <f>IFERROR(INDEX(PP_Grid[#Data],$DE1326,94),0)</f>
        <v/>
      </c>
      <c r="CT1326">
        <f>IFERROR(INDEX(PP_Grid[#Data],$DE1326,95),0)</f>
        <v/>
      </c>
      <c r="CU1326">
        <f>IFERROR(INDEX(PP_Grid[#Data],$DE1326,96),0)</f>
        <v/>
      </c>
      <c r="CV1326">
        <f>IFERROR(INDEX(PP_Grid[#Data],$DE1326,97),0)</f>
        <v/>
      </c>
      <c r="CW1326">
        <f>IFERROR(INDEX(PP_Grid[#Data],$DE1326,98),0)</f>
        <v/>
      </c>
      <c r="CX1326">
        <f>IFERROR(INDEX(PP_Grid[#Data],$DE1326,99),0)</f>
        <v/>
      </c>
      <c r="CY1326">
        <f>IFERROR(INDEX(PP_Grid[#Data],$DE1326,100),0)</f>
        <v/>
      </c>
      <c r="CZ1326">
        <f>IFERROR(INDEX(PP_Grid[#Data],$DE1326,101),0)</f>
        <v/>
      </c>
      <c r="DA1326">
        <f>IFERROR(INDEX(PP_Grid[#Data],$DE1326,102),0)</f>
        <v/>
      </c>
      <c r="DB1326">
        <f>IFERROR(INDEX(PP_Grid[#Data],$DE1326,103),0)</f>
        <v/>
      </c>
      <c r="DC1326">
        <f>IFERROR(INDEX(PP_Grid[#Data],$DE1326,104),0)</f>
        <v/>
      </c>
      <c r="DD1326">
        <f>IFERROR(INDEX(PP_Grid[#Data],$DE1326,105),0)</f>
        <v/>
      </c>
      <c r="DE1326" s="7">
        <f>IFERROR(MATCH($B1326,PP_Grid[Intermediate],0),99999)</f>
        <v/>
      </c>
    </row>
    <row r="1327">
      <c r="B1327" t="inlineStr">
        <is>
          <t>使用量(kg)</t>
        </is>
      </c>
      <c r="C1327">
        <f>SUMIFS(M_BOM[RM_Qty_Per_Batch],M_BOM[Intermediate],$B1326,M_BOM[RM_Code],$A1317)</f>
        <v/>
      </c>
      <c r="D1327">
        <f>IFERROR(INDEX(E1327:DD1327,$F$1),"")</f>
        <v/>
      </c>
      <c r="E1327">
        <f>$C1327*E1326</f>
        <v/>
      </c>
      <c r="F1327">
        <f>$C1327*F1326</f>
        <v/>
      </c>
      <c r="G1327">
        <f>$C1327*G1326</f>
        <v/>
      </c>
      <c r="H1327">
        <f>$C1327*H1326</f>
        <v/>
      </c>
      <c r="I1327">
        <f>$C1327*I1326</f>
        <v/>
      </c>
      <c r="J1327">
        <f>$C1327*J1326</f>
        <v/>
      </c>
      <c r="K1327">
        <f>$C1327*K1326</f>
        <v/>
      </c>
      <c r="L1327">
        <f>$C1327*L1326</f>
        <v/>
      </c>
      <c r="M1327">
        <f>$C1327*M1326</f>
        <v/>
      </c>
      <c r="N1327">
        <f>$C1327*N1326</f>
        <v/>
      </c>
      <c r="O1327">
        <f>$C1327*O1326</f>
        <v/>
      </c>
      <c r="P1327">
        <f>$C1327*P1326</f>
        <v/>
      </c>
      <c r="Q1327">
        <f>$C1327*Q1326</f>
        <v/>
      </c>
      <c r="R1327">
        <f>$C1327*R1326</f>
        <v/>
      </c>
      <c r="S1327">
        <f>$C1327*S1326</f>
        <v/>
      </c>
      <c r="T1327">
        <f>$C1327*T1326</f>
        <v/>
      </c>
      <c r="U1327">
        <f>$C1327*U1326</f>
        <v/>
      </c>
      <c r="V1327">
        <f>$C1327*V1326</f>
        <v/>
      </c>
      <c r="W1327">
        <f>$C1327*W1326</f>
        <v/>
      </c>
      <c r="X1327">
        <f>$C1327*X1326</f>
        <v/>
      </c>
      <c r="Y1327">
        <f>$C1327*Y1326</f>
        <v/>
      </c>
      <c r="Z1327">
        <f>$C1327*Z1326</f>
        <v/>
      </c>
      <c r="AA1327">
        <f>$C1327*AA1326</f>
        <v/>
      </c>
      <c r="AB1327">
        <f>$C1327*AB1326</f>
        <v/>
      </c>
      <c r="AC1327">
        <f>$C1327*AC1326</f>
        <v/>
      </c>
      <c r="AD1327">
        <f>$C1327*AD1326</f>
        <v/>
      </c>
      <c r="AE1327">
        <f>$C1327*AE1326</f>
        <v/>
      </c>
      <c r="AF1327">
        <f>$C1327*AF1326</f>
        <v/>
      </c>
      <c r="AG1327">
        <f>$C1327*AG1326</f>
        <v/>
      </c>
      <c r="AH1327">
        <f>$C1327*AH1326</f>
        <v/>
      </c>
      <c r="AI1327">
        <f>$C1327*AI1326</f>
        <v/>
      </c>
      <c r="AJ1327">
        <f>$C1327*AJ1326</f>
        <v/>
      </c>
      <c r="AK1327">
        <f>$C1327*AK1326</f>
        <v/>
      </c>
      <c r="AL1327">
        <f>$C1327*AL1326</f>
        <v/>
      </c>
      <c r="AM1327">
        <f>$C1327*AM1326</f>
        <v/>
      </c>
      <c r="AN1327">
        <f>$C1327*AN1326</f>
        <v/>
      </c>
      <c r="AO1327">
        <f>$C1327*AO1326</f>
        <v/>
      </c>
      <c r="AP1327">
        <f>$C1327*AP1326</f>
        <v/>
      </c>
      <c r="AQ1327">
        <f>$C1327*AQ1326</f>
        <v/>
      </c>
      <c r="AR1327">
        <f>$C1327*AR1326</f>
        <v/>
      </c>
      <c r="AS1327">
        <f>$C1327*AS1326</f>
        <v/>
      </c>
      <c r="AT1327">
        <f>$C1327*AT1326</f>
        <v/>
      </c>
      <c r="AU1327">
        <f>$C1327*AU1326</f>
        <v/>
      </c>
      <c r="AV1327">
        <f>$C1327*AV1326</f>
        <v/>
      </c>
      <c r="AW1327">
        <f>$C1327*AW1326</f>
        <v/>
      </c>
      <c r="AX1327">
        <f>$C1327*AX1326</f>
        <v/>
      </c>
      <c r="AY1327">
        <f>$C1327*AY1326</f>
        <v/>
      </c>
      <c r="AZ1327">
        <f>$C1327*AZ1326</f>
        <v/>
      </c>
      <c r="BA1327">
        <f>$C1327*BA1326</f>
        <v/>
      </c>
      <c r="BB1327">
        <f>$C1327*BB1326</f>
        <v/>
      </c>
      <c r="BC1327">
        <f>$C1327*BC1326</f>
        <v/>
      </c>
      <c r="BD1327">
        <f>$C1327*BD1326</f>
        <v/>
      </c>
      <c r="BE1327">
        <f>$C1327*BE1326</f>
        <v/>
      </c>
      <c r="BF1327">
        <f>$C1327*BF1326</f>
        <v/>
      </c>
      <c r="BG1327">
        <f>$C1327*BG1326</f>
        <v/>
      </c>
      <c r="BH1327">
        <f>$C1327*BH1326</f>
        <v/>
      </c>
      <c r="BI1327">
        <f>$C1327*BI1326</f>
        <v/>
      </c>
      <c r="BJ1327">
        <f>$C1327*BJ1326</f>
        <v/>
      </c>
      <c r="BK1327">
        <f>$C1327*BK1326</f>
        <v/>
      </c>
      <c r="BL1327">
        <f>$C1327*BL1326</f>
        <v/>
      </c>
      <c r="BM1327">
        <f>$C1327*BM1326</f>
        <v/>
      </c>
      <c r="BN1327">
        <f>$C1327*BN1326</f>
        <v/>
      </c>
      <c r="BO1327">
        <f>$C1327*BO1326</f>
        <v/>
      </c>
      <c r="BP1327">
        <f>$C1327*BP1326</f>
        <v/>
      </c>
      <c r="BQ1327">
        <f>$C1327*BQ1326</f>
        <v/>
      </c>
      <c r="BR1327">
        <f>$C1327*BR1326</f>
        <v/>
      </c>
      <c r="BS1327">
        <f>$C1327*BS1326</f>
        <v/>
      </c>
      <c r="BT1327">
        <f>$C1327*BT1326</f>
        <v/>
      </c>
      <c r="BU1327">
        <f>$C1327*BU1326</f>
        <v/>
      </c>
      <c r="BV1327">
        <f>$C1327*BV1326</f>
        <v/>
      </c>
      <c r="BW1327">
        <f>$C1327*BW1326</f>
        <v/>
      </c>
      <c r="BX1327">
        <f>$C1327*BX1326</f>
        <v/>
      </c>
      <c r="BY1327">
        <f>$C1327*BY1326</f>
        <v/>
      </c>
      <c r="BZ1327">
        <f>$C1327*BZ1326</f>
        <v/>
      </c>
      <c r="CA1327">
        <f>$C1327*CA1326</f>
        <v/>
      </c>
      <c r="CB1327">
        <f>$C1327*CB1326</f>
        <v/>
      </c>
      <c r="CC1327">
        <f>$C1327*CC1326</f>
        <v/>
      </c>
      <c r="CD1327">
        <f>$C1327*CD1326</f>
        <v/>
      </c>
      <c r="CE1327">
        <f>$C1327*CE1326</f>
        <v/>
      </c>
      <c r="CF1327">
        <f>$C1327*CF1326</f>
        <v/>
      </c>
      <c r="CG1327">
        <f>$C1327*CG1326</f>
        <v/>
      </c>
      <c r="CH1327">
        <f>$C1327*CH1326</f>
        <v/>
      </c>
      <c r="CI1327">
        <f>$C1327*CI1326</f>
        <v/>
      </c>
      <c r="CJ1327">
        <f>$C1327*CJ1326</f>
        <v/>
      </c>
      <c r="CK1327">
        <f>$C1327*CK1326</f>
        <v/>
      </c>
      <c r="CL1327">
        <f>$C1327*CL1326</f>
        <v/>
      </c>
      <c r="CM1327">
        <f>$C1327*CM1326</f>
        <v/>
      </c>
      <c r="CN1327">
        <f>$C1327*CN1326</f>
        <v/>
      </c>
      <c r="CO1327">
        <f>$C1327*CO1326</f>
        <v/>
      </c>
      <c r="CP1327">
        <f>$C1327*CP1326</f>
        <v/>
      </c>
      <c r="CQ1327">
        <f>$C1327*CQ1326</f>
        <v/>
      </c>
      <c r="CR1327">
        <f>$C1327*CR1326</f>
        <v/>
      </c>
      <c r="CS1327">
        <f>$C1327*CS1326</f>
        <v/>
      </c>
      <c r="CT1327">
        <f>$C1327*CT1326</f>
        <v/>
      </c>
      <c r="CU1327">
        <f>$C1327*CU1326</f>
        <v/>
      </c>
      <c r="CV1327">
        <f>$C1327*CV1326</f>
        <v/>
      </c>
      <c r="CW1327">
        <f>$C1327*CW1326</f>
        <v/>
      </c>
      <c r="CX1327">
        <f>$C1327*CX1326</f>
        <v/>
      </c>
      <c r="CY1327">
        <f>$C1327*CY1326</f>
        <v/>
      </c>
      <c r="CZ1327">
        <f>$C1327*CZ1326</f>
        <v/>
      </c>
      <c r="DA1327">
        <f>$C1327*DA1326</f>
        <v/>
      </c>
      <c r="DB1327">
        <f>$C1327*DB1326</f>
        <v/>
      </c>
      <c r="DC1327">
        <f>$C1327*DC1326</f>
        <v/>
      </c>
      <c r="DD1327">
        <f>$C1327*DD1326</f>
        <v/>
      </c>
    </row>
    <row r="1328">
      <c r="B1328" t="inlineStr">
        <is>
          <t>TSP-937</t>
        </is>
      </c>
      <c r="C1328" t="inlineStr">
        <is>
          <t>No. of batches</t>
        </is>
      </c>
      <c r="D1328">
        <f>IFERROR(INDEX(E1328:DD1328,$F$1),"")</f>
        <v/>
      </c>
      <c r="E1328">
        <f>IFERROR(INDEX(PP_Grid[#Data],$DE1328,2),0)</f>
        <v/>
      </c>
      <c r="F1328">
        <f>IFERROR(INDEX(PP_Grid[#Data],$DE1328,3),0)</f>
        <v/>
      </c>
      <c r="G1328">
        <f>IFERROR(INDEX(PP_Grid[#Data],$DE1328,4),0)</f>
        <v/>
      </c>
      <c r="H1328">
        <f>IFERROR(INDEX(PP_Grid[#Data],$DE1328,5),0)</f>
        <v/>
      </c>
      <c r="I1328">
        <f>IFERROR(INDEX(PP_Grid[#Data],$DE1328,6),0)</f>
        <v/>
      </c>
      <c r="J1328">
        <f>IFERROR(INDEX(PP_Grid[#Data],$DE1328,7),0)</f>
        <v/>
      </c>
      <c r="K1328">
        <f>IFERROR(INDEX(PP_Grid[#Data],$DE1328,8),0)</f>
        <v/>
      </c>
      <c r="L1328">
        <f>IFERROR(INDEX(PP_Grid[#Data],$DE1328,9),0)</f>
        <v/>
      </c>
      <c r="M1328">
        <f>IFERROR(INDEX(PP_Grid[#Data],$DE1328,10),0)</f>
        <v/>
      </c>
      <c r="N1328">
        <f>IFERROR(INDEX(PP_Grid[#Data],$DE1328,11),0)</f>
        <v/>
      </c>
      <c r="O1328">
        <f>IFERROR(INDEX(PP_Grid[#Data],$DE1328,12),0)</f>
        <v/>
      </c>
      <c r="P1328">
        <f>IFERROR(INDEX(PP_Grid[#Data],$DE1328,13),0)</f>
        <v/>
      </c>
      <c r="Q1328">
        <f>IFERROR(INDEX(PP_Grid[#Data],$DE1328,14),0)</f>
        <v/>
      </c>
      <c r="R1328">
        <f>IFERROR(INDEX(PP_Grid[#Data],$DE1328,15),0)</f>
        <v/>
      </c>
      <c r="S1328">
        <f>IFERROR(INDEX(PP_Grid[#Data],$DE1328,16),0)</f>
        <v/>
      </c>
      <c r="T1328">
        <f>IFERROR(INDEX(PP_Grid[#Data],$DE1328,17),0)</f>
        <v/>
      </c>
      <c r="U1328">
        <f>IFERROR(INDEX(PP_Grid[#Data],$DE1328,18),0)</f>
        <v/>
      </c>
      <c r="V1328">
        <f>IFERROR(INDEX(PP_Grid[#Data],$DE1328,19),0)</f>
        <v/>
      </c>
      <c r="W1328">
        <f>IFERROR(INDEX(PP_Grid[#Data],$DE1328,20),0)</f>
        <v/>
      </c>
      <c r="X1328">
        <f>IFERROR(INDEX(PP_Grid[#Data],$DE1328,21),0)</f>
        <v/>
      </c>
      <c r="Y1328">
        <f>IFERROR(INDEX(PP_Grid[#Data],$DE1328,22),0)</f>
        <v/>
      </c>
      <c r="Z1328">
        <f>IFERROR(INDEX(PP_Grid[#Data],$DE1328,23),0)</f>
        <v/>
      </c>
      <c r="AA1328">
        <f>IFERROR(INDEX(PP_Grid[#Data],$DE1328,24),0)</f>
        <v/>
      </c>
      <c r="AB1328">
        <f>IFERROR(INDEX(PP_Grid[#Data],$DE1328,25),0)</f>
        <v/>
      </c>
      <c r="AC1328">
        <f>IFERROR(INDEX(PP_Grid[#Data],$DE1328,26),0)</f>
        <v/>
      </c>
      <c r="AD1328">
        <f>IFERROR(INDEX(PP_Grid[#Data],$DE1328,27),0)</f>
        <v/>
      </c>
      <c r="AE1328">
        <f>IFERROR(INDEX(PP_Grid[#Data],$DE1328,28),0)</f>
        <v/>
      </c>
      <c r="AF1328">
        <f>IFERROR(INDEX(PP_Grid[#Data],$DE1328,29),0)</f>
        <v/>
      </c>
      <c r="AG1328">
        <f>IFERROR(INDEX(PP_Grid[#Data],$DE1328,30),0)</f>
        <v/>
      </c>
      <c r="AH1328">
        <f>IFERROR(INDEX(PP_Grid[#Data],$DE1328,31),0)</f>
        <v/>
      </c>
      <c r="AI1328">
        <f>IFERROR(INDEX(PP_Grid[#Data],$DE1328,32),0)</f>
        <v/>
      </c>
      <c r="AJ1328">
        <f>IFERROR(INDEX(PP_Grid[#Data],$DE1328,33),0)</f>
        <v/>
      </c>
      <c r="AK1328">
        <f>IFERROR(INDEX(PP_Grid[#Data],$DE1328,34),0)</f>
        <v/>
      </c>
      <c r="AL1328">
        <f>IFERROR(INDEX(PP_Grid[#Data],$DE1328,35),0)</f>
        <v/>
      </c>
      <c r="AM1328">
        <f>IFERROR(INDEX(PP_Grid[#Data],$DE1328,36),0)</f>
        <v/>
      </c>
      <c r="AN1328">
        <f>IFERROR(INDEX(PP_Grid[#Data],$DE1328,37),0)</f>
        <v/>
      </c>
      <c r="AO1328">
        <f>IFERROR(INDEX(PP_Grid[#Data],$DE1328,38),0)</f>
        <v/>
      </c>
      <c r="AP1328">
        <f>IFERROR(INDEX(PP_Grid[#Data],$DE1328,39),0)</f>
        <v/>
      </c>
      <c r="AQ1328">
        <f>IFERROR(INDEX(PP_Grid[#Data],$DE1328,40),0)</f>
        <v/>
      </c>
      <c r="AR1328">
        <f>IFERROR(INDEX(PP_Grid[#Data],$DE1328,41),0)</f>
        <v/>
      </c>
      <c r="AS1328">
        <f>IFERROR(INDEX(PP_Grid[#Data],$DE1328,42),0)</f>
        <v/>
      </c>
      <c r="AT1328">
        <f>IFERROR(INDEX(PP_Grid[#Data],$DE1328,43),0)</f>
        <v/>
      </c>
      <c r="AU1328">
        <f>IFERROR(INDEX(PP_Grid[#Data],$DE1328,44),0)</f>
        <v/>
      </c>
      <c r="AV1328">
        <f>IFERROR(INDEX(PP_Grid[#Data],$DE1328,45),0)</f>
        <v/>
      </c>
      <c r="AW1328">
        <f>IFERROR(INDEX(PP_Grid[#Data],$DE1328,46),0)</f>
        <v/>
      </c>
      <c r="AX1328">
        <f>IFERROR(INDEX(PP_Grid[#Data],$DE1328,47),0)</f>
        <v/>
      </c>
      <c r="AY1328">
        <f>IFERROR(INDEX(PP_Grid[#Data],$DE1328,48),0)</f>
        <v/>
      </c>
      <c r="AZ1328">
        <f>IFERROR(INDEX(PP_Grid[#Data],$DE1328,49),0)</f>
        <v/>
      </c>
      <c r="BA1328">
        <f>IFERROR(INDEX(PP_Grid[#Data],$DE1328,50),0)</f>
        <v/>
      </c>
      <c r="BB1328">
        <f>IFERROR(INDEX(PP_Grid[#Data],$DE1328,51),0)</f>
        <v/>
      </c>
      <c r="BC1328">
        <f>IFERROR(INDEX(PP_Grid[#Data],$DE1328,52),0)</f>
        <v/>
      </c>
      <c r="BD1328">
        <f>IFERROR(INDEX(PP_Grid[#Data],$DE1328,53),0)</f>
        <v/>
      </c>
      <c r="BE1328">
        <f>IFERROR(INDEX(PP_Grid[#Data],$DE1328,54),0)</f>
        <v/>
      </c>
      <c r="BF1328">
        <f>IFERROR(INDEX(PP_Grid[#Data],$DE1328,55),0)</f>
        <v/>
      </c>
      <c r="BG1328">
        <f>IFERROR(INDEX(PP_Grid[#Data],$DE1328,56),0)</f>
        <v/>
      </c>
      <c r="BH1328">
        <f>IFERROR(INDEX(PP_Grid[#Data],$DE1328,57),0)</f>
        <v/>
      </c>
      <c r="BI1328">
        <f>IFERROR(INDEX(PP_Grid[#Data],$DE1328,58),0)</f>
        <v/>
      </c>
      <c r="BJ1328">
        <f>IFERROR(INDEX(PP_Grid[#Data],$DE1328,59),0)</f>
        <v/>
      </c>
      <c r="BK1328">
        <f>IFERROR(INDEX(PP_Grid[#Data],$DE1328,60),0)</f>
        <v/>
      </c>
      <c r="BL1328">
        <f>IFERROR(INDEX(PP_Grid[#Data],$DE1328,61),0)</f>
        <v/>
      </c>
      <c r="BM1328">
        <f>IFERROR(INDEX(PP_Grid[#Data],$DE1328,62),0)</f>
        <v/>
      </c>
      <c r="BN1328">
        <f>IFERROR(INDEX(PP_Grid[#Data],$DE1328,63),0)</f>
        <v/>
      </c>
      <c r="BO1328">
        <f>IFERROR(INDEX(PP_Grid[#Data],$DE1328,64),0)</f>
        <v/>
      </c>
      <c r="BP1328">
        <f>IFERROR(INDEX(PP_Grid[#Data],$DE1328,65),0)</f>
        <v/>
      </c>
      <c r="BQ1328">
        <f>IFERROR(INDEX(PP_Grid[#Data],$DE1328,66),0)</f>
        <v/>
      </c>
      <c r="BR1328">
        <f>IFERROR(INDEX(PP_Grid[#Data],$DE1328,67),0)</f>
        <v/>
      </c>
      <c r="BS1328">
        <f>IFERROR(INDEX(PP_Grid[#Data],$DE1328,68),0)</f>
        <v/>
      </c>
      <c r="BT1328">
        <f>IFERROR(INDEX(PP_Grid[#Data],$DE1328,69),0)</f>
        <v/>
      </c>
      <c r="BU1328">
        <f>IFERROR(INDEX(PP_Grid[#Data],$DE1328,70),0)</f>
        <v/>
      </c>
      <c r="BV1328">
        <f>IFERROR(INDEX(PP_Grid[#Data],$DE1328,71),0)</f>
        <v/>
      </c>
      <c r="BW1328">
        <f>IFERROR(INDEX(PP_Grid[#Data],$DE1328,72),0)</f>
        <v/>
      </c>
      <c r="BX1328">
        <f>IFERROR(INDEX(PP_Grid[#Data],$DE1328,73),0)</f>
        <v/>
      </c>
      <c r="BY1328">
        <f>IFERROR(INDEX(PP_Grid[#Data],$DE1328,74),0)</f>
        <v/>
      </c>
      <c r="BZ1328">
        <f>IFERROR(INDEX(PP_Grid[#Data],$DE1328,75),0)</f>
        <v/>
      </c>
      <c r="CA1328">
        <f>IFERROR(INDEX(PP_Grid[#Data],$DE1328,76),0)</f>
        <v/>
      </c>
      <c r="CB1328">
        <f>IFERROR(INDEX(PP_Grid[#Data],$DE1328,77),0)</f>
        <v/>
      </c>
      <c r="CC1328">
        <f>IFERROR(INDEX(PP_Grid[#Data],$DE1328,78),0)</f>
        <v/>
      </c>
      <c r="CD1328">
        <f>IFERROR(INDEX(PP_Grid[#Data],$DE1328,79),0)</f>
        <v/>
      </c>
      <c r="CE1328">
        <f>IFERROR(INDEX(PP_Grid[#Data],$DE1328,80),0)</f>
        <v/>
      </c>
      <c r="CF1328">
        <f>IFERROR(INDEX(PP_Grid[#Data],$DE1328,81),0)</f>
        <v/>
      </c>
      <c r="CG1328">
        <f>IFERROR(INDEX(PP_Grid[#Data],$DE1328,82),0)</f>
        <v/>
      </c>
      <c r="CH1328">
        <f>IFERROR(INDEX(PP_Grid[#Data],$DE1328,83),0)</f>
        <v/>
      </c>
      <c r="CI1328">
        <f>IFERROR(INDEX(PP_Grid[#Data],$DE1328,84),0)</f>
        <v/>
      </c>
      <c r="CJ1328">
        <f>IFERROR(INDEX(PP_Grid[#Data],$DE1328,85),0)</f>
        <v/>
      </c>
      <c r="CK1328">
        <f>IFERROR(INDEX(PP_Grid[#Data],$DE1328,86),0)</f>
        <v/>
      </c>
      <c r="CL1328">
        <f>IFERROR(INDEX(PP_Grid[#Data],$DE1328,87),0)</f>
        <v/>
      </c>
      <c r="CM1328">
        <f>IFERROR(INDEX(PP_Grid[#Data],$DE1328,88),0)</f>
        <v/>
      </c>
      <c r="CN1328">
        <f>IFERROR(INDEX(PP_Grid[#Data],$DE1328,89),0)</f>
        <v/>
      </c>
      <c r="CO1328">
        <f>IFERROR(INDEX(PP_Grid[#Data],$DE1328,90),0)</f>
        <v/>
      </c>
      <c r="CP1328">
        <f>IFERROR(INDEX(PP_Grid[#Data],$DE1328,91),0)</f>
        <v/>
      </c>
      <c r="CQ1328">
        <f>IFERROR(INDEX(PP_Grid[#Data],$DE1328,92),0)</f>
        <v/>
      </c>
      <c r="CR1328">
        <f>IFERROR(INDEX(PP_Grid[#Data],$DE1328,93),0)</f>
        <v/>
      </c>
      <c r="CS1328">
        <f>IFERROR(INDEX(PP_Grid[#Data],$DE1328,94),0)</f>
        <v/>
      </c>
      <c r="CT1328">
        <f>IFERROR(INDEX(PP_Grid[#Data],$DE1328,95),0)</f>
        <v/>
      </c>
      <c r="CU1328">
        <f>IFERROR(INDEX(PP_Grid[#Data],$DE1328,96),0)</f>
        <v/>
      </c>
      <c r="CV1328">
        <f>IFERROR(INDEX(PP_Grid[#Data],$DE1328,97),0)</f>
        <v/>
      </c>
      <c r="CW1328">
        <f>IFERROR(INDEX(PP_Grid[#Data],$DE1328,98),0)</f>
        <v/>
      </c>
      <c r="CX1328">
        <f>IFERROR(INDEX(PP_Grid[#Data],$DE1328,99),0)</f>
        <v/>
      </c>
      <c r="CY1328">
        <f>IFERROR(INDEX(PP_Grid[#Data],$DE1328,100),0)</f>
        <v/>
      </c>
      <c r="CZ1328">
        <f>IFERROR(INDEX(PP_Grid[#Data],$DE1328,101),0)</f>
        <v/>
      </c>
      <c r="DA1328">
        <f>IFERROR(INDEX(PP_Grid[#Data],$DE1328,102),0)</f>
        <v/>
      </c>
      <c r="DB1328">
        <f>IFERROR(INDEX(PP_Grid[#Data],$DE1328,103),0)</f>
        <v/>
      </c>
      <c r="DC1328">
        <f>IFERROR(INDEX(PP_Grid[#Data],$DE1328,104),0)</f>
        <v/>
      </c>
      <c r="DD1328">
        <f>IFERROR(INDEX(PP_Grid[#Data],$DE1328,105),0)</f>
        <v/>
      </c>
      <c r="DE1328" s="7">
        <f>IFERROR(MATCH($B1328,PP_Grid[Intermediate],0),99999)</f>
        <v/>
      </c>
    </row>
    <row r="1329">
      <c r="B1329" t="inlineStr">
        <is>
          <t>使用量(kg)</t>
        </is>
      </c>
      <c r="C1329">
        <f>SUMIFS(M_BOM[RM_Qty_Per_Batch],M_BOM[Intermediate],$B1328,M_BOM[RM_Code],$A1317)</f>
        <v/>
      </c>
      <c r="D1329">
        <f>IFERROR(INDEX(E1329:DD1329,$F$1),"")</f>
        <v/>
      </c>
      <c r="E1329">
        <f>$C1329*E1328</f>
        <v/>
      </c>
      <c r="F1329">
        <f>$C1329*F1328</f>
        <v/>
      </c>
      <c r="G1329">
        <f>$C1329*G1328</f>
        <v/>
      </c>
      <c r="H1329">
        <f>$C1329*H1328</f>
        <v/>
      </c>
      <c r="I1329">
        <f>$C1329*I1328</f>
        <v/>
      </c>
      <c r="J1329">
        <f>$C1329*J1328</f>
        <v/>
      </c>
      <c r="K1329">
        <f>$C1329*K1328</f>
        <v/>
      </c>
      <c r="L1329">
        <f>$C1329*L1328</f>
        <v/>
      </c>
      <c r="M1329">
        <f>$C1329*M1328</f>
        <v/>
      </c>
      <c r="N1329">
        <f>$C1329*N1328</f>
        <v/>
      </c>
      <c r="O1329">
        <f>$C1329*O1328</f>
        <v/>
      </c>
      <c r="P1329">
        <f>$C1329*P1328</f>
        <v/>
      </c>
      <c r="Q1329">
        <f>$C1329*Q1328</f>
        <v/>
      </c>
      <c r="R1329">
        <f>$C1329*R1328</f>
        <v/>
      </c>
      <c r="S1329">
        <f>$C1329*S1328</f>
        <v/>
      </c>
      <c r="T1329">
        <f>$C1329*T1328</f>
        <v/>
      </c>
      <c r="U1329">
        <f>$C1329*U1328</f>
        <v/>
      </c>
      <c r="V1329">
        <f>$C1329*V1328</f>
        <v/>
      </c>
      <c r="W1329">
        <f>$C1329*W1328</f>
        <v/>
      </c>
      <c r="X1329">
        <f>$C1329*X1328</f>
        <v/>
      </c>
      <c r="Y1329">
        <f>$C1329*Y1328</f>
        <v/>
      </c>
      <c r="Z1329">
        <f>$C1329*Z1328</f>
        <v/>
      </c>
      <c r="AA1329">
        <f>$C1329*AA1328</f>
        <v/>
      </c>
      <c r="AB1329">
        <f>$C1329*AB1328</f>
        <v/>
      </c>
      <c r="AC1329">
        <f>$C1329*AC1328</f>
        <v/>
      </c>
      <c r="AD1329">
        <f>$C1329*AD1328</f>
        <v/>
      </c>
      <c r="AE1329">
        <f>$C1329*AE1328</f>
        <v/>
      </c>
      <c r="AF1329">
        <f>$C1329*AF1328</f>
        <v/>
      </c>
      <c r="AG1329">
        <f>$C1329*AG1328</f>
        <v/>
      </c>
      <c r="AH1329">
        <f>$C1329*AH1328</f>
        <v/>
      </c>
      <c r="AI1329">
        <f>$C1329*AI1328</f>
        <v/>
      </c>
      <c r="AJ1329">
        <f>$C1329*AJ1328</f>
        <v/>
      </c>
      <c r="AK1329">
        <f>$C1329*AK1328</f>
        <v/>
      </c>
      <c r="AL1329">
        <f>$C1329*AL1328</f>
        <v/>
      </c>
      <c r="AM1329">
        <f>$C1329*AM1328</f>
        <v/>
      </c>
      <c r="AN1329">
        <f>$C1329*AN1328</f>
        <v/>
      </c>
      <c r="AO1329">
        <f>$C1329*AO1328</f>
        <v/>
      </c>
      <c r="AP1329">
        <f>$C1329*AP1328</f>
        <v/>
      </c>
      <c r="AQ1329">
        <f>$C1329*AQ1328</f>
        <v/>
      </c>
      <c r="AR1329">
        <f>$C1329*AR1328</f>
        <v/>
      </c>
      <c r="AS1329">
        <f>$C1329*AS1328</f>
        <v/>
      </c>
      <c r="AT1329">
        <f>$C1329*AT1328</f>
        <v/>
      </c>
      <c r="AU1329">
        <f>$C1329*AU1328</f>
        <v/>
      </c>
      <c r="AV1329">
        <f>$C1329*AV1328</f>
        <v/>
      </c>
      <c r="AW1329">
        <f>$C1329*AW1328</f>
        <v/>
      </c>
      <c r="AX1329">
        <f>$C1329*AX1328</f>
        <v/>
      </c>
      <c r="AY1329">
        <f>$C1329*AY1328</f>
        <v/>
      </c>
      <c r="AZ1329">
        <f>$C1329*AZ1328</f>
        <v/>
      </c>
      <c r="BA1329">
        <f>$C1329*BA1328</f>
        <v/>
      </c>
      <c r="BB1329">
        <f>$C1329*BB1328</f>
        <v/>
      </c>
      <c r="BC1329">
        <f>$C1329*BC1328</f>
        <v/>
      </c>
      <c r="BD1329">
        <f>$C1329*BD1328</f>
        <v/>
      </c>
      <c r="BE1329">
        <f>$C1329*BE1328</f>
        <v/>
      </c>
      <c r="BF1329">
        <f>$C1329*BF1328</f>
        <v/>
      </c>
      <c r="BG1329">
        <f>$C1329*BG1328</f>
        <v/>
      </c>
      <c r="BH1329">
        <f>$C1329*BH1328</f>
        <v/>
      </c>
      <c r="BI1329">
        <f>$C1329*BI1328</f>
        <v/>
      </c>
      <c r="BJ1329">
        <f>$C1329*BJ1328</f>
        <v/>
      </c>
      <c r="BK1329">
        <f>$C1329*BK1328</f>
        <v/>
      </c>
      <c r="BL1329">
        <f>$C1329*BL1328</f>
        <v/>
      </c>
      <c r="BM1329">
        <f>$C1329*BM1328</f>
        <v/>
      </c>
      <c r="BN1329">
        <f>$C1329*BN1328</f>
        <v/>
      </c>
      <c r="BO1329">
        <f>$C1329*BO1328</f>
        <v/>
      </c>
      <c r="BP1329">
        <f>$C1329*BP1328</f>
        <v/>
      </c>
      <c r="BQ1329">
        <f>$C1329*BQ1328</f>
        <v/>
      </c>
      <c r="BR1329">
        <f>$C1329*BR1328</f>
        <v/>
      </c>
      <c r="BS1329">
        <f>$C1329*BS1328</f>
        <v/>
      </c>
      <c r="BT1329">
        <f>$C1329*BT1328</f>
        <v/>
      </c>
      <c r="BU1329">
        <f>$C1329*BU1328</f>
        <v/>
      </c>
      <c r="BV1329">
        <f>$C1329*BV1328</f>
        <v/>
      </c>
      <c r="BW1329">
        <f>$C1329*BW1328</f>
        <v/>
      </c>
      <c r="BX1329">
        <f>$C1329*BX1328</f>
        <v/>
      </c>
      <c r="BY1329">
        <f>$C1329*BY1328</f>
        <v/>
      </c>
      <c r="BZ1329">
        <f>$C1329*BZ1328</f>
        <v/>
      </c>
      <c r="CA1329">
        <f>$C1329*CA1328</f>
        <v/>
      </c>
      <c r="CB1329">
        <f>$C1329*CB1328</f>
        <v/>
      </c>
      <c r="CC1329">
        <f>$C1329*CC1328</f>
        <v/>
      </c>
      <c r="CD1329">
        <f>$C1329*CD1328</f>
        <v/>
      </c>
      <c r="CE1329">
        <f>$C1329*CE1328</f>
        <v/>
      </c>
      <c r="CF1329">
        <f>$C1329*CF1328</f>
        <v/>
      </c>
      <c r="CG1329">
        <f>$C1329*CG1328</f>
        <v/>
      </c>
      <c r="CH1329">
        <f>$C1329*CH1328</f>
        <v/>
      </c>
      <c r="CI1329">
        <f>$C1329*CI1328</f>
        <v/>
      </c>
      <c r="CJ1329">
        <f>$C1329*CJ1328</f>
        <v/>
      </c>
      <c r="CK1329">
        <f>$C1329*CK1328</f>
        <v/>
      </c>
      <c r="CL1329">
        <f>$C1329*CL1328</f>
        <v/>
      </c>
      <c r="CM1329">
        <f>$C1329*CM1328</f>
        <v/>
      </c>
      <c r="CN1329">
        <f>$C1329*CN1328</f>
        <v/>
      </c>
      <c r="CO1329">
        <f>$C1329*CO1328</f>
        <v/>
      </c>
      <c r="CP1329">
        <f>$C1329*CP1328</f>
        <v/>
      </c>
      <c r="CQ1329">
        <f>$C1329*CQ1328</f>
        <v/>
      </c>
      <c r="CR1329">
        <f>$C1329*CR1328</f>
        <v/>
      </c>
      <c r="CS1329">
        <f>$C1329*CS1328</f>
        <v/>
      </c>
      <c r="CT1329">
        <f>$C1329*CT1328</f>
        <v/>
      </c>
      <c r="CU1329">
        <f>$C1329*CU1328</f>
        <v/>
      </c>
      <c r="CV1329">
        <f>$C1329*CV1328</f>
        <v/>
      </c>
      <c r="CW1329">
        <f>$C1329*CW1328</f>
        <v/>
      </c>
      <c r="CX1329">
        <f>$C1329*CX1328</f>
        <v/>
      </c>
      <c r="CY1329">
        <f>$C1329*CY1328</f>
        <v/>
      </c>
      <c r="CZ1329">
        <f>$C1329*CZ1328</f>
        <v/>
      </c>
      <c r="DA1329">
        <f>$C1329*DA1328</f>
        <v/>
      </c>
      <c r="DB1329">
        <f>$C1329*DB1328</f>
        <v/>
      </c>
      <c r="DC1329">
        <f>$C1329*DC1328</f>
        <v/>
      </c>
      <c r="DD1329">
        <f>$C1329*DD1328</f>
        <v/>
      </c>
    </row>
    <row r="1330">
      <c r="B1330" t="inlineStr">
        <is>
          <t>TSP-1388</t>
        </is>
      </c>
      <c r="C1330" t="inlineStr">
        <is>
          <t>No. of batches</t>
        </is>
      </c>
      <c r="D1330">
        <f>IFERROR(INDEX(E1330:DD1330,$F$1),"")</f>
        <v/>
      </c>
      <c r="E1330">
        <f>IFERROR(INDEX(PP_Grid[#Data],$DE1330,2),0)</f>
        <v/>
      </c>
      <c r="F1330">
        <f>IFERROR(INDEX(PP_Grid[#Data],$DE1330,3),0)</f>
        <v/>
      </c>
      <c r="G1330">
        <f>IFERROR(INDEX(PP_Grid[#Data],$DE1330,4),0)</f>
        <v/>
      </c>
      <c r="H1330">
        <f>IFERROR(INDEX(PP_Grid[#Data],$DE1330,5),0)</f>
        <v/>
      </c>
      <c r="I1330">
        <f>IFERROR(INDEX(PP_Grid[#Data],$DE1330,6),0)</f>
        <v/>
      </c>
      <c r="J1330">
        <f>IFERROR(INDEX(PP_Grid[#Data],$DE1330,7),0)</f>
        <v/>
      </c>
      <c r="K1330">
        <f>IFERROR(INDEX(PP_Grid[#Data],$DE1330,8),0)</f>
        <v/>
      </c>
      <c r="L1330">
        <f>IFERROR(INDEX(PP_Grid[#Data],$DE1330,9),0)</f>
        <v/>
      </c>
      <c r="M1330">
        <f>IFERROR(INDEX(PP_Grid[#Data],$DE1330,10),0)</f>
        <v/>
      </c>
      <c r="N1330">
        <f>IFERROR(INDEX(PP_Grid[#Data],$DE1330,11),0)</f>
        <v/>
      </c>
      <c r="O1330">
        <f>IFERROR(INDEX(PP_Grid[#Data],$DE1330,12),0)</f>
        <v/>
      </c>
      <c r="P1330">
        <f>IFERROR(INDEX(PP_Grid[#Data],$DE1330,13),0)</f>
        <v/>
      </c>
      <c r="Q1330">
        <f>IFERROR(INDEX(PP_Grid[#Data],$DE1330,14),0)</f>
        <v/>
      </c>
      <c r="R1330">
        <f>IFERROR(INDEX(PP_Grid[#Data],$DE1330,15),0)</f>
        <v/>
      </c>
      <c r="S1330">
        <f>IFERROR(INDEX(PP_Grid[#Data],$DE1330,16),0)</f>
        <v/>
      </c>
      <c r="T1330">
        <f>IFERROR(INDEX(PP_Grid[#Data],$DE1330,17),0)</f>
        <v/>
      </c>
      <c r="U1330">
        <f>IFERROR(INDEX(PP_Grid[#Data],$DE1330,18),0)</f>
        <v/>
      </c>
      <c r="V1330">
        <f>IFERROR(INDEX(PP_Grid[#Data],$DE1330,19),0)</f>
        <v/>
      </c>
      <c r="W1330">
        <f>IFERROR(INDEX(PP_Grid[#Data],$DE1330,20),0)</f>
        <v/>
      </c>
      <c r="X1330">
        <f>IFERROR(INDEX(PP_Grid[#Data],$DE1330,21),0)</f>
        <v/>
      </c>
      <c r="Y1330">
        <f>IFERROR(INDEX(PP_Grid[#Data],$DE1330,22),0)</f>
        <v/>
      </c>
      <c r="Z1330">
        <f>IFERROR(INDEX(PP_Grid[#Data],$DE1330,23),0)</f>
        <v/>
      </c>
      <c r="AA1330">
        <f>IFERROR(INDEX(PP_Grid[#Data],$DE1330,24),0)</f>
        <v/>
      </c>
      <c r="AB1330">
        <f>IFERROR(INDEX(PP_Grid[#Data],$DE1330,25),0)</f>
        <v/>
      </c>
      <c r="AC1330">
        <f>IFERROR(INDEX(PP_Grid[#Data],$DE1330,26),0)</f>
        <v/>
      </c>
      <c r="AD1330">
        <f>IFERROR(INDEX(PP_Grid[#Data],$DE1330,27),0)</f>
        <v/>
      </c>
      <c r="AE1330">
        <f>IFERROR(INDEX(PP_Grid[#Data],$DE1330,28),0)</f>
        <v/>
      </c>
      <c r="AF1330">
        <f>IFERROR(INDEX(PP_Grid[#Data],$DE1330,29),0)</f>
        <v/>
      </c>
      <c r="AG1330">
        <f>IFERROR(INDEX(PP_Grid[#Data],$DE1330,30),0)</f>
        <v/>
      </c>
      <c r="AH1330">
        <f>IFERROR(INDEX(PP_Grid[#Data],$DE1330,31),0)</f>
        <v/>
      </c>
      <c r="AI1330">
        <f>IFERROR(INDEX(PP_Grid[#Data],$DE1330,32),0)</f>
        <v/>
      </c>
      <c r="AJ1330">
        <f>IFERROR(INDEX(PP_Grid[#Data],$DE1330,33),0)</f>
        <v/>
      </c>
      <c r="AK1330">
        <f>IFERROR(INDEX(PP_Grid[#Data],$DE1330,34),0)</f>
        <v/>
      </c>
      <c r="AL1330">
        <f>IFERROR(INDEX(PP_Grid[#Data],$DE1330,35),0)</f>
        <v/>
      </c>
      <c r="AM1330">
        <f>IFERROR(INDEX(PP_Grid[#Data],$DE1330,36),0)</f>
        <v/>
      </c>
      <c r="AN1330">
        <f>IFERROR(INDEX(PP_Grid[#Data],$DE1330,37),0)</f>
        <v/>
      </c>
      <c r="AO1330">
        <f>IFERROR(INDEX(PP_Grid[#Data],$DE1330,38),0)</f>
        <v/>
      </c>
      <c r="AP1330">
        <f>IFERROR(INDEX(PP_Grid[#Data],$DE1330,39),0)</f>
        <v/>
      </c>
      <c r="AQ1330">
        <f>IFERROR(INDEX(PP_Grid[#Data],$DE1330,40),0)</f>
        <v/>
      </c>
      <c r="AR1330">
        <f>IFERROR(INDEX(PP_Grid[#Data],$DE1330,41),0)</f>
        <v/>
      </c>
      <c r="AS1330">
        <f>IFERROR(INDEX(PP_Grid[#Data],$DE1330,42),0)</f>
        <v/>
      </c>
      <c r="AT1330">
        <f>IFERROR(INDEX(PP_Grid[#Data],$DE1330,43),0)</f>
        <v/>
      </c>
      <c r="AU1330">
        <f>IFERROR(INDEX(PP_Grid[#Data],$DE1330,44),0)</f>
        <v/>
      </c>
      <c r="AV1330">
        <f>IFERROR(INDEX(PP_Grid[#Data],$DE1330,45),0)</f>
        <v/>
      </c>
      <c r="AW1330">
        <f>IFERROR(INDEX(PP_Grid[#Data],$DE1330,46),0)</f>
        <v/>
      </c>
      <c r="AX1330">
        <f>IFERROR(INDEX(PP_Grid[#Data],$DE1330,47),0)</f>
        <v/>
      </c>
      <c r="AY1330">
        <f>IFERROR(INDEX(PP_Grid[#Data],$DE1330,48),0)</f>
        <v/>
      </c>
      <c r="AZ1330">
        <f>IFERROR(INDEX(PP_Grid[#Data],$DE1330,49),0)</f>
        <v/>
      </c>
      <c r="BA1330">
        <f>IFERROR(INDEX(PP_Grid[#Data],$DE1330,50),0)</f>
        <v/>
      </c>
      <c r="BB1330">
        <f>IFERROR(INDEX(PP_Grid[#Data],$DE1330,51),0)</f>
        <v/>
      </c>
      <c r="BC1330">
        <f>IFERROR(INDEX(PP_Grid[#Data],$DE1330,52),0)</f>
        <v/>
      </c>
      <c r="BD1330">
        <f>IFERROR(INDEX(PP_Grid[#Data],$DE1330,53),0)</f>
        <v/>
      </c>
      <c r="BE1330">
        <f>IFERROR(INDEX(PP_Grid[#Data],$DE1330,54),0)</f>
        <v/>
      </c>
      <c r="BF1330">
        <f>IFERROR(INDEX(PP_Grid[#Data],$DE1330,55),0)</f>
        <v/>
      </c>
      <c r="BG1330">
        <f>IFERROR(INDEX(PP_Grid[#Data],$DE1330,56),0)</f>
        <v/>
      </c>
      <c r="BH1330">
        <f>IFERROR(INDEX(PP_Grid[#Data],$DE1330,57),0)</f>
        <v/>
      </c>
      <c r="BI1330">
        <f>IFERROR(INDEX(PP_Grid[#Data],$DE1330,58),0)</f>
        <v/>
      </c>
      <c r="BJ1330">
        <f>IFERROR(INDEX(PP_Grid[#Data],$DE1330,59),0)</f>
        <v/>
      </c>
      <c r="BK1330">
        <f>IFERROR(INDEX(PP_Grid[#Data],$DE1330,60),0)</f>
        <v/>
      </c>
      <c r="BL1330">
        <f>IFERROR(INDEX(PP_Grid[#Data],$DE1330,61),0)</f>
        <v/>
      </c>
      <c r="BM1330">
        <f>IFERROR(INDEX(PP_Grid[#Data],$DE1330,62),0)</f>
        <v/>
      </c>
      <c r="BN1330">
        <f>IFERROR(INDEX(PP_Grid[#Data],$DE1330,63),0)</f>
        <v/>
      </c>
      <c r="BO1330">
        <f>IFERROR(INDEX(PP_Grid[#Data],$DE1330,64),0)</f>
        <v/>
      </c>
      <c r="BP1330">
        <f>IFERROR(INDEX(PP_Grid[#Data],$DE1330,65),0)</f>
        <v/>
      </c>
      <c r="BQ1330">
        <f>IFERROR(INDEX(PP_Grid[#Data],$DE1330,66),0)</f>
        <v/>
      </c>
      <c r="BR1330">
        <f>IFERROR(INDEX(PP_Grid[#Data],$DE1330,67),0)</f>
        <v/>
      </c>
      <c r="BS1330">
        <f>IFERROR(INDEX(PP_Grid[#Data],$DE1330,68),0)</f>
        <v/>
      </c>
      <c r="BT1330">
        <f>IFERROR(INDEX(PP_Grid[#Data],$DE1330,69),0)</f>
        <v/>
      </c>
      <c r="BU1330">
        <f>IFERROR(INDEX(PP_Grid[#Data],$DE1330,70),0)</f>
        <v/>
      </c>
      <c r="BV1330">
        <f>IFERROR(INDEX(PP_Grid[#Data],$DE1330,71),0)</f>
        <v/>
      </c>
      <c r="BW1330">
        <f>IFERROR(INDEX(PP_Grid[#Data],$DE1330,72),0)</f>
        <v/>
      </c>
      <c r="BX1330">
        <f>IFERROR(INDEX(PP_Grid[#Data],$DE1330,73),0)</f>
        <v/>
      </c>
      <c r="BY1330">
        <f>IFERROR(INDEX(PP_Grid[#Data],$DE1330,74),0)</f>
        <v/>
      </c>
      <c r="BZ1330">
        <f>IFERROR(INDEX(PP_Grid[#Data],$DE1330,75),0)</f>
        <v/>
      </c>
      <c r="CA1330">
        <f>IFERROR(INDEX(PP_Grid[#Data],$DE1330,76),0)</f>
        <v/>
      </c>
      <c r="CB1330">
        <f>IFERROR(INDEX(PP_Grid[#Data],$DE1330,77),0)</f>
        <v/>
      </c>
      <c r="CC1330">
        <f>IFERROR(INDEX(PP_Grid[#Data],$DE1330,78),0)</f>
        <v/>
      </c>
      <c r="CD1330">
        <f>IFERROR(INDEX(PP_Grid[#Data],$DE1330,79),0)</f>
        <v/>
      </c>
      <c r="CE1330">
        <f>IFERROR(INDEX(PP_Grid[#Data],$DE1330,80),0)</f>
        <v/>
      </c>
      <c r="CF1330">
        <f>IFERROR(INDEX(PP_Grid[#Data],$DE1330,81),0)</f>
        <v/>
      </c>
      <c r="CG1330">
        <f>IFERROR(INDEX(PP_Grid[#Data],$DE1330,82),0)</f>
        <v/>
      </c>
      <c r="CH1330">
        <f>IFERROR(INDEX(PP_Grid[#Data],$DE1330,83),0)</f>
        <v/>
      </c>
      <c r="CI1330">
        <f>IFERROR(INDEX(PP_Grid[#Data],$DE1330,84),0)</f>
        <v/>
      </c>
      <c r="CJ1330">
        <f>IFERROR(INDEX(PP_Grid[#Data],$DE1330,85),0)</f>
        <v/>
      </c>
      <c r="CK1330">
        <f>IFERROR(INDEX(PP_Grid[#Data],$DE1330,86),0)</f>
        <v/>
      </c>
      <c r="CL1330">
        <f>IFERROR(INDEX(PP_Grid[#Data],$DE1330,87),0)</f>
        <v/>
      </c>
      <c r="CM1330">
        <f>IFERROR(INDEX(PP_Grid[#Data],$DE1330,88),0)</f>
        <v/>
      </c>
      <c r="CN1330">
        <f>IFERROR(INDEX(PP_Grid[#Data],$DE1330,89),0)</f>
        <v/>
      </c>
      <c r="CO1330">
        <f>IFERROR(INDEX(PP_Grid[#Data],$DE1330,90),0)</f>
        <v/>
      </c>
      <c r="CP1330">
        <f>IFERROR(INDEX(PP_Grid[#Data],$DE1330,91),0)</f>
        <v/>
      </c>
      <c r="CQ1330">
        <f>IFERROR(INDEX(PP_Grid[#Data],$DE1330,92),0)</f>
        <v/>
      </c>
      <c r="CR1330">
        <f>IFERROR(INDEX(PP_Grid[#Data],$DE1330,93),0)</f>
        <v/>
      </c>
      <c r="CS1330">
        <f>IFERROR(INDEX(PP_Grid[#Data],$DE1330,94),0)</f>
        <v/>
      </c>
      <c r="CT1330">
        <f>IFERROR(INDEX(PP_Grid[#Data],$DE1330,95),0)</f>
        <v/>
      </c>
      <c r="CU1330">
        <f>IFERROR(INDEX(PP_Grid[#Data],$DE1330,96),0)</f>
        <v/>
      </c>
      <c r="CV1330">
        <f>IFERROR(INDEX(PP_Grid[#Data],$DE1330,97),0)</f>
        <v/>
      </c>
      <c r="CW1330">
        <f>IFERROR(INDEX(PP_Grid[#Data],$DE1330,98),0)</f>
        <v/>
      </c>
      <c r="CX1330">
        <f>IFERROR(INDEX(PP_Grid[#Data],$DE1330,99),0)</f>
        <v/>
      </c>
      <c r="CY1330">
        <f>IFERROR(INDEX(PP_Grid[#Data],$DE1330,100),0)</f>
        <v/>
      </c>
      <c r="CZ1330">
        <f>IFERROR(INDEX(PP_Grid[#Data],$DE1330,101),0)</f>
        <v/>
      </c>
      <c r="DA1330">
        <f>IFERROR(INDEX(PP_Grid[#Data],$DE1330,102),0)</f>
        <v/>
      </c>
      <c r="DB1330">
        <f>IFERROR(INDEX(PP_Grid[#Data],$DE1330,103),0)</f>
        <v/>
      </c>
      <c r="DC1330">
        <f>IFERROR(INDEX(PP_Grid[#Data],$DE1330,104),0)</f>
        <v/>
      </c>
      <c r="DD1330">
        <f>IFERROR(INDEX(PP_Grid[#Data],$DE1330,105),0)</f>
        <v/>
      </c>
      <c r="DE1330" s="7">
        <f>IFERROR(MATCH($B1330,PP_Grid[Intermediate],0),99999)</f>
        <v/>
      </c>
    </row>
    <row r="1331">
      <c r="B1331" t="inlineStr">
        <is>
          <t>使用量(kg)</t>
        </is>
      </c>
      <c r="C1331">
        <f>SUMIFS(M_BOM[RM_Qty_Per_Batch],M_BOM[Intermediate],$B1330,M_BOM[RM_Code],$A1317)</f>
        <v/>
      </c>
      <c r="D1331">
        <f>IFERROR(INDEX(E1331:DD1331,$F$1),"")</f>
        <v/>
      </c>
      <c r="E1331">
        <f>$C1331*E1330</f>
        <v/>
      </c>
      <c r="F1331">
        <f>$C1331*F1330</f>
        <v/>
      </c>
      <c r="G1331">
        <f>$C1331*G1330</f>
        <v/>
      </c>
      <c r="H1331">
        <f>$C1331*H1330</f>
        <v/>
      </c>
      <c r="I1331">
        <f>$C1331*I1330</f>
        <v/>
      </c>
      <c r="J1331">
        <f>$C1331*J1330</f>
        <v/>
      </c>
      <c r="K1331">
        <f>$C1331*K1330</f>
        <v/>
      </c>
      <c r="L1331">
        <f>$C1331*L1330</f>
        <v/>
      </c>
      <c r="M1331">
        <f>$C1331*M1330</f>
        <v/>
      </c>
      <c r="N1331">
        <f>$C1331*N1330</f>
        <v/>
      </c>
      <c r="O1331">
        <f>$C1331*O1330</f>
        <v/>
      </c>
      <c r="P1331">
        <f>$C1331*P1330</f>
        <v/>
      </c>
      <c r="Q1331">
        <f>$C1331*Q1330</f>
        <v/>
      </c>
      <c r="R1331">
        <f>$C1331*R1330</f>
        <v/>
      </c>
      <c r="S1331">
        <f>$C1331*S1330</f>
        <v/>
      </c>
      <c r="T1331">
        <f>$C1331*T1330</f>
        <v/>
      </c>
      <c r="U1331">
        <f>$C1331*U1330</f>
        <v/>
      </c>
      <c r="V1331">
        <f>$C1331*V1330</f>
        <v/>
      </c>
      <c r="W1331">
        <f>$C1331*W1330</f>
        <v/>
      </c>
      <c r="X1331">
        <f>$C1331*X1330</f>
        <v/>
      </c>
      <c r="Y1331">
        <f>$C1331*Y1330</f>
        <v/>
      </c>
      <c r="Z1331">
        <f>$C1331*Z1330</f>
        <v/>
      </c>
      <c r="AA1331">
        <f>$C1331*AA1330</f>
        <v/>
      </c>
      <c r="AB1331">
        <f>$C1331*AB1330</f>
        <v/>
      </c>
      <c r="AC1331">
        <f>$C1331*AC1330</f>
        <v/>
      </c>
      <c r="AD1331">
        <f>$C1331*AD1330</f>
        <v/>
      </c>
      <c r="AE1331">
        <f>$C1331*AE1330</f>
        <v/>
      </c>
      <c r="AF1331">
        <f>$C1331*AF1330</f>
        <v/>
      </c>
      <c r="AG1331">
        <f>$C1331*AG1330</f>
        <v/>
      </c>
      <c r="AH1331">
        <f>$C1331*AH1330</f>
        <v/>
      </c>
      <c r="AI1331">
        <f>$C1331*AI1330</f>
        <v/>
      </c>
      <c r="AJ1331">
        <f>$C1331*AJ1330</f>
        <v/>
      </c>
      <c r="AK1331">
        <f>$C1331*AK1330</f>
        <v/>
      </c>
      <c r="AL1331">
        <f>$C1331*AL1330</f>
        <v/>
      </c>
      <c r="AM1331">
        <f>$C1331*AM1330</f>
        <v/>
      </c>
      <c r="AN1331">
        <f>$C1331*AN1330</f>
        <v/>
      </c>
      <c r="AO1331">
        <f>$C1331*AO1330</f>
        <v/>
      </c>
      <c r="AP1331">
        <f>$C1331*AP1330</f>
        <v/>
      </c>
      <c r="AQ1331">
        <f>$C1331*AQ1330</f>
        <v/>
      </c>
      <c r="AR1331">
        <f>$C1331*AR1330</f>
        <v/>
      </c>
      <c r="AS1331">
        <f>$C1331*AS1330</f>
        <v/>
      </c>
      <c r="AT1331">
        <f>$C1331*AT1330</f>
        <v/>
      </c>
      <c r="AU1331">
        <f>$C1331*AU1330</f>
        <v/>
      </c>
      <c r="AV1331">
        <f>$C1331*AV1330</f>
        <v/>
      </c>
      <c r="AW1331">
        <f>$C1331*AW1330</f>
        <v/>
      </c>
      <c r="AX1331">
        <f>$C1331*AX1330</f>
        <v/>
      </c>
      <c r="AY1331">
        <f>$C1331*AY1330</f>
        <v/>
      </c>
      <c r="AZ1331">
        <f>$C1331*AZ1330</f>
        <v/>
      </c>
      <c r="BA1331">
        <f>$C1331*BA1330</f>
        <v/>
      </c>
      <c r="BB1331">
        <f>$C1331*BB1330</f>
        <v/>
      </c>
      <c r="BC1331">
        <f>$C1331*BC1330</f>
        <v/>
      </c>
      <c r="BD1331">
        <f>$C1331*BD1330</f>
        <v/>
      </c>
      <c r="BE1331">
        <f>$C1331*BE1330</f>
        <v/>
      </c>
      <c r="BF1331">
        <f>$C1331*BF1330</f>
        <v/>
      </c>
      <c r="BG1331">
        <f>$C1331*BG1330</f>
        <v/>
      </c>
      <c r="BH1331">
        <f>$C1331*BH1330</f>
        <v/>
      </c>
      <c r="BI1331">
        <f>$C1331*BI1330</f>
        <v/>
      </c>
      <c r="BJ1331">
        <f>$C1331*BJ1330</f>
        <v/>
      </c>
      <c r="BK1331">
        <f>$C1331*BK1330</f>
        <v/>
      </c>
      <c r="BL1331">
        <f>$C1331*BL1330</f>
        <v/>
      </c>
      <c r="BM1331">
        <f>$C1331*BM1330</f>
        <v/>
      </c>
      <c r="BN1331">
        <f>$C1331*BN1330</f>
        <v/>
      </c>
      <c r="BO1331">
        <f>$C1331*BO1330</f>
        <v/>
      </c>
      <c r="BP1331">
        <f>$C1331*BP1330</f>
        <v/>
      </c>
      <c r="BQ1331">
        <f>$C1331*BQ1330</f>
        <v/>
      </c>
      <c r="BR1331">
        <f>$C1331*BR1330</f>
        <v/>
      </c>
      <c r="BS1331">
        <f>$C1331*BS1330</f>
        <v/>
      </c>
      <c r="BT1331">
        <f>$C1331*BT1330</f>
        <v/>
      </c>
      <c r="BU1331">
        <f>$C1331*BU1330</f>
        <v/>
      </c>
      <c r="BV1331">
        <f>$C1331*BV1330</f>
        <v/>
      </c>
      <c r="BW1331">
        <f>$C1331*BW1330</f>
        <v/>
      </c>
      <c r="BX1331">
        <f>$C1331*BX1330</f>
        <v/>
      </c>
      <c r="BY1331">
        <f>$C1331*BY1330</f>
        <v/>
      </c>
      <c r="BZ1331">
        <f>$C1331*BZ1330</f>
        <v/>
      </c>
      <c r="CA1331">
        <f>$C1331*CA1330</f>
        <v/>
      </c>
      <c r="CB1331">
        <f>$C1331*CB1330</f>
        <v/>
      </c>
      <c r="CC1331">
        <f>$C1331*CC1330</f>
        <v/>
      </c>
      <c r="CD1331">
        <f>$C1331*CD1330</f>
        <v/>
      </c>
      <c r="CE1331">
        <f>$C1331*CE1330</f>
        <v/>
      </c>
      <c r="CF1331">
        <f>$C1331*CF1330</f>
        <v/>
      </c>
      <c r="CG1331">
        <f>$C1331*CG1330</f>
        <v/>
      </c>
      <c r="CH1331">
        <f>$C1331*CH1330</f>
        <v/>
      </c>
      <c r="CI1331">
        <f>$C1331*CI1330</f>
        <v/>
      </c>
      <c r="CJ1331">
        <f>$C1331*CJ1330</f>
        <v/>
      </c>
      <c r="CK1331">
        <f>$C1331*CK1330</f>
        <v/>
      </c>
      <c r="CL1331">
        <f>$C1331*CL1330</f>
        <v/>
      </c>
      <c r="CM1331">
        <f>$C1331*CM1330</f>
        <v/>
      </c>
      <c r="CN1331">
        <f>$C1331*CN1330</f>
        <v/>
      </c>
      <c r="CO1331">
        <f>$C1331*CO1330</f>
        <v/>
      </c>
      <c r="CP1331">
        <f>$C1331*CP1330</f>
        <v/>
      </c>
      <c r="CQ1331">
        <f>$C1331*CQ1330</f>
        <v/>
      </c>
      <c r="CR1331">
        <f>$C1331*CR1330</f>
        <v/>
      </c>
      <c r="CS1331">
        <f>$C1331*CS1330</f>
        <v/>
      </c>
      <c r="CT1331">
        <f>$C1331*CT1330</f>
        <v/>
      </c>
      <c r="CU1331">
        <f>$C1331*CU1330</f>
        <v/>
      </c>
      <c r="CV1331">
        <f>$C1331*CV1330</f>
        <v/>
      </c>
      <c r="CW1331">
        <f>$C1331*CW1330</f>
        <v/>
      </c>
      <c r="CX1331">
        <f>$C1331*CX1330</f>
        <v/>
      </c>
      <c r="CY1331">
        <f>$C1331*CY1330</f>
        <v/>
      </c>
      <c r="CZ1331">
        <f>$C1331*CZ1330</f>
        <v/>
      </c>
      <c r="DA1331">
        <f>$C1331*DA1330</f>
        <v/>
      </c>
      <c r="DB1331">
        <f>$C1331*DB1330</f>
        <v/>
      </c>
      <c r="DC1331">
        <f>$C1331*DC1330</f>
        <v/>
      </c>
      <c r="DD1331">
        <f>$C1331*DD1330</f>
        <v/>
      </c>
    </row>
    <row r="1332">
      <c r="B1332" t="inlineStr">
        <is>
          <t>TSP-1448</t>
        </is>
      </c>
      <c r="C1332" t="inlineStr">
        <is>
          <t>No. of batches</t>
        </is>
      </c>
      <c r="D1332">
        <f>IFERROR(INDEX(E1332:DD1332,$F$1),"")</f>
        <v/>
      </c>
      <c r="E1332">
        <f>IFERROR(INDEX(PP_Grid[#Data],$DE1332,2),0)</f>
        <v/>
      </c>
      <c r="F1332">
        <f>IFERROR(INDEX(PP_Grid[#Data],$DE1332,3),0)</f>
        <v/>
      </c>
      <c r="G1332">
        <f>IFERROR(INDEX(PP_Grid[#Data],$DE1332,4),0)</f>
        <v/>
      </c>
      <c r="H1332">
        <f>IFERROR(INDEX(PP_Grid[#Data],$DE1332,5),0)</f>
        <v/>
      </c>
      <c r="I1332">
        <f>IFERROR(INDEX(PP_Grid[#Data],$DE1332,6),0)</f>
        <v/>
      </c>
      <c r="J1332">
        <f>IFERROR(INDEX(PP_Grid[#Data],$DE1332,7),0)</f>
        <v/>
      </c>
      <c r="K1332">
        <f>IFERROR(INDEX(PP_Grid[#Data],$DE1332,8),0)</f>
        <v/>
      </c>
      <c r="L1332">
        <f>IFERROR(INDEX(PP_Grid[#Data],$DE1332,9),0)</f>
        <v/>
      </c>
      <c r="M1332">
        <f>IFERROR(INDEX(PP_Grid[#Data],$DE1332,10),0)</f>
        <v/>
      </c>
      <c r="N1332">
        <f>IFERROR(INDEX(PP_Grid[#Data],$DE1332,11),0)</f>
        <v/>
      </c>
      <c r="O1332">
        <f>IFERROR(INDEX(PP_Grid[#Data],$DE1332,12),0)</f>
        <v/>
      </c>
      <c r="P1332">
        <f>IFERROR(INDEX(PP_Grid[#Data],$DE1332,13),0)</f>
        <v/>
      </c>
      <c r="Q1332">
        <f>IFERROR(INDEX(PP_Grid[#Data],$DE1332,14),0)</f>
        <v/>
      </c>
      <c r="R1332">
        <f>IFERROR(INDEX(PP_Grid[#Data],$DE1332,15),0)</f>
        <v/>
      </c>
      <c r="S1332">
        <f>IFERROR(INDEX(PP_Grid[#Data],$DE1332,16),0)</f>
        <v/>
      </c>
      <c r="T1332">
        <f>IFERROR(INDEX(PP_Grid[#Data],$DE1332,17),0)</f>
        <v/>
      </c>
      <c r="U1332">
        <f>IFERROR(INDEX(PP_Grid[#Data],$DE1332,18),0)</f>
        <v/>
      </c>
      <c r="V1332">
        <f>IFERROR(INDEX(PP_Grid[#Data],$DE1332,19),0)</f>
        <v/>
      </c>
      <c r="W1332">
        <f>IFERROR(INDEX(PP_Grid[#Data],$DE1332,20),0)</f>
        <v/>
      </c>
      <c r="X1332">
        <f>IFERROR(INDEX(PP_Grid[#Data],$DE1332,21),0)</f>
        <v/>
      </c>
      <c r="Y1332">
        <f>IFERROR(INDEX(PP_Grid[#Data],$DE1332,22),0)</f>
        <v/>
      </c>
      <c r="Z1332">
        <f>IFERROR(INDEX(PP_Grid[#Data],$DE1332,23),0)</f>
        <v/>
      </c>
      <c r="AA1332">
        <f>IFERROR(INDEX(PP_Grid[#Data],$DE1332,24),0)</f>
        <v/>
      </c>
      <c r="AB1332">
        <f>IFERROR(INDEX(PP_Grid[#Data],$DE1332,25),0)</f>
        <v/>
      </c>
      <c r="AC1332">
        <f>IFERROR(INDEX(PP_Grid[#Data],$DE1332,26),0)</f>
        <v/>
      </c>
      <c r="AD1332">
        <f>IFERROR(INDEX(PP_Grid[#Data],$DE1332,27),0)</f>
        <v/>
      </c>
      <c r="AE1332">
        <f>IFERROR(INDEX(PP_Grid[#Data],$DE1332,28),0)</f>
        <v/>
      </c>
      <c r="AF1332">
        <f>IFERROR(INDEX(PP_Grid[#Data],$DE1332,29),0)</f>
        <v/>
      </c>
      <c r="AG1332">
        <f>IFERROR(INDEX(PP_Grid[#Data],$DE1332,30),0)</f>
        <v/>
      </c>
      <c r="AH1332">
        <f>IFERROR(INDEX(PP_Grid[#Data],$DE1332,31),0)</f>
        <v/>
      </c>
      <c r="AI1332">
        <f>IFERROR(INDEX(PP_Grid[#Data],$DE1332,32),0)</f>
        <v/>
      </c>
      <c r="AJ1332">
        <f>IFERROR(INDEX(PP_Grid[#Data],$DE1332,33),0)</f>
        <v/>
      </c>
      <c r="AK1332">
        <f>IFERROR(INDEX(PP_Grid[#Data],$DE1332,34),0)</f>
        <v/>
      </c>
      <c r="AL1332">
        <f>IFERROR(INDEX(PP_Grid[#Data],$DE1332,35),0)</f>
        <v/>
      </c>
      <c r="AM1332">
        <f>IFERROR(INDEX(PP_Grid[#Data],$DE1332,36),0)</f>
        <v/>
      </c>
      <c r="AN1332">
        <f>IFERROR(INDEX(PP_Grid[#Data],$DE1332,37),0)</f>
        <v/>
      </c>
      <c r="AO1332">
        <f>IFERROR(INDEX(PP_Grid[#Data],$DE1332,38),0)</f>
        <v/>
      </c>
      <c r="AP1332">
        <f>IFERROR(INDEX(PP_Grid[#Data],$DE1332,39),0)</f>
        <v/>
      </c>
      <c r="AQ1332">
        <f>IFERROR(INDEX(PP_Grid[#Data],$DE1332,40),0)</f>
        <v/>
      </c>
      <c r="AR1332">
        <f>IFERROR(INDEX(PP_Grid[#Data],$DE1332,41),0)</f>
        <v/>
      </c>
      <c r="AS1332">
        <f>IFERROR(INDEX(PP_Grid[#Data],$DE1332,42),0)</f>
        <v/>
      </c>
      <c r="AT1332">
        <f>IFERROR(INDEX(PP_Grid[#Data],$DE1332,43),0)</f>
        <v/>
      </c>
      <c r="AU1332">
        <f>IFERROR(INDEX(PP_Grid[#Data],$DE1332,44),0)</f>
        <v/>
      </c>
      <c r="AV1332">
        <f>IFERROR(INDEX(PP_Grid[#Data],$DE1332,45),0)</f>
        <v/>
      </c>
      <c r="AW1332">
        <f>IFERROR(INDEX(PP_Grid[#Data],$DE1332,46),0)</f>
        <v/>
      </c>
      <c r="AX1332">
        <f>IFERROR(INDEX(PP_Grid[#Data],$DE1332,47),0)</f>
        <v/>
      </c>
      <c r="AY1332">
        <f>IFERROR(INDEX(PP_Grid[#Data],$DE1332,48),0)</f>
        <v/>
      </c>
      <c r="AZ1332">
        <f>IFERROR(INDEX(PP_Grid[#Data],$DE1332,49),0)</f>
        <v/>
      </c>
      <c r="BA1332">
        <f>IFERROR(INDEX(PP_Grid[#Data],$DE1332,50),0)</f>
        <v/>
      </c>
      <c r="BB1332">
        <f>IFERROR(INDEX(PP_Grid[#Data],$DE1332,51),0)</f>
        <v/>
      </c>
      <c r="BC1332">
        <f>IFERROR(INDEX(PP_Grid[#Data],$DE1332,52),0)</f>
        <v/>
      </c>
      <c r="BD1332">
        <f>IFERROR(INDEX(PP_Grid[#Data],$DE1332,53),0)</f>
        <v/>
      </c>
      <c r="BE1332">
        <f>IFERROR(INDEX(PP_Grid[#Data],$DE1332,54),0)</f>
        <v/>
      </c>
      <c r="BF1332">
        <f>IFERROR(INDEX(PP_Grid[#Data],$DE1332,55),0)</f>
        <v/>
      </c>
      <c r="BG1332">
        <f>IFERROR(INDEX(PP_Grid[#Data],$DE1332,56),0)</f>
        <v/>
      </c>
      <c r="BH1332">
        <f>IFERROR(INDEX(PP_Grid[#Data],$DE1332,57),0)</f>
        <v/>
      </c>
      <c r="BI1332">
        <f>IFERROR(INDEX(PP_Grid[#Data],$DE1332,58),0)</f>
        <v/>
      </c>
      <c r="BJ1332">
        <f>IFERROR(INDEX(PP_Grid[#Data],$DE1332,59),0)</f>
        <v/>
      </c>
      <c r="BK1332">
        <f>IFERROR(INDEX(PP_Grid[#Data],$DE1332,60),0)</f>
        <v/>
      </c>
      <c r="BL1332">
        <f>IFERROR(INDEX(PP_Grid[#Data],$DE1332,61),0)</f>
        <v/>
      </c>
      <c r="BM1332">
        <f>IFERROR(INDEX(PP_Grid[#Data],$DE1332,62),0)</f>
        <v/>
      </c>
      <c r="BN1332">
        <f>IFERROR(INDEX(PP_Grid[#Data],$DE1332,63),0)</f>
        <v/>
      </c>
      <c r="BO1332">
        <f>IFERROR(INDEX(PP_Grid[#Data],$DE1332,64),0)</f>
        <v/>
      </c>
      <c r="BP1332">
        <f>IFERROR(INDEX(PP_Grid[#Data],$DE1332,65),0)</f>
        <v/>
      </c>
      <c r="BQ1332">
        <f>IFERROR(INDEX(PP_Grid[#Data],$DE1332,66),0)</f>
        <v/>
      </c>
      <c r="BR1332">
        <f>IFERROR(INDEX(PP_Grid[#Data],$DE1332,67),0)</f>
        <v/>
      </c>
      <c r="BS1332">
        <f>IFERROR(INDEX(PP_Grid[#Data],$DE1332,68),0)</f>
        <v/>
      </c>
      <c r="BT1332">
        <f>IFERROR(INDEX(PP_Grid[#Data],$DE1332,69),0)</f>
        <v/>
      </c>
      <c r="BU1332">
        <f>IFERROR(INDEX(PP_Grid[#Data],$DE1332,70),0)</f>
        <v/>
      </c>
      <c r="BV1332">
        <f>IFERROR(INDEX(PP_Grid[#Data],$DE1332,71),0)</f>
        <v/>
      </c>
      <c r="BW1332">
        <f>IFERROR(INDEX(PP_Grid[#Data],$DE1332,72),0)</f>
        <v/>
      </c>
      <c r="BX1332">
        <f>IFERROR(INDEX(PP_Grid[#Data],$DE1332,73),0)</f>
        <v/>
      </c>
      <c r="BY1332">
        <f>IFERROR(INDEX(PP_Grid[#Data],$DE1332,74),0)</f>
        <v/>
      </c>
      <c r="BZ1332">
        <f>IFERROR(INDEX(PP_Grid[#Data],$DE1332,75),0)</f>
        <v/>
      </c>
      <c r="CA1332">
        <f>IFERROR(INDEX(PP_Grid[#Data],$DE1332,76),0)</f>
        <v/>
      </c>
      <c r="CB1332">
        <f>IFERROR(INDEX(PP_Grid[#Data],$DE1332,77),0)</f>
        <v/>
      </c>
      <c r="CC1332">
        <f>IFERROR(INDEX(PP_Grid[#Data],$DE1332,78),0)</f>
        <v/>
      </c>
      <c r="CD1332">
        <f>IFERROR(INDEX(PP_Grid[#Data],$DE1332,79),0)</f>
        <v/>
      </c>
      <c r="CE1332">
        <f>IFERROR(INDEX(PP_Grid[#Data],$DE1332,80),0)</f>
        <v/>
      </c>
      <c r="CF1332">
        <f>IFERROR(INDEX(PP_Grid[#Data],$DE1332,81),0)</f>
        <v/>
      </c>
      <c r="CG1332">
        <f>IFERROR(INDEX(PP_Grid[#Data],$DE1332,82),0)</f>
        <v/>
      </c>
      <c r="CH1332">
        <f>IFERROR(INDEX(PP_Grid[#Data],$DE1332,83),0)</f>
        <v/>
      </c>
      <c r="CI1332">
        <f>IFERROR(INDEX(PP_Grid[#Data],$DE1332,84),0)</f>
        <v/>
      </c>
      <c r="CJ1332">
        <f>IFERROR(INDEX(PP_Grid[#Data],$DE1332,85),0)</f>
        <v/>
      </c>
      <c r="CK1332">
        <f>IFERROR(INDEX(PP_Grid[#Data],$DE1332,86),0)</f>
        <v/>
      </c>
      <c r="CL1332">
        <f>IFERROR(INDEX(PP_Grid[#Data],$DE1332,87),0)</f>
        <v/>
      </c>
      <c r="CM1332">
        <f>IFERROR(INDEX(PP_Grid[#Data],$DE1332,88),0)</f>
        <v/>
      </c>
      <c r="CN1332">
        <f>IFERROR(INDEX(PP_Grid[#Data],$DE1332,89),0)</f>
        <v/>
      </c>
      <c r="CO1332">
        <f>IFERROR(INDEX(PP_Grid[#Data],$DE1332,90),0)</f>
        <v/>
      </c>
      <c r="CP1332">
        <f>IFERROR(INDEX(PP_Grid[#Data],$DE1332,91),0)</f>
        <v/>
      </c>
      <c r="CQ1332">
        <f>IFERROR(INDEX(PP_Grid[#Data],$DE1332,92),0)</f>
        <v/>
      </c>
      <c r="CR1332">
        <f>IFERROR(INDEX(PP_Grid[#Data],$DE1332,93),0)</f>
        <v/>
      </c>
      <c r="CS1332">
        <f>IFERROR(INDEX(PP_Grid[#Data],$DE1332,94),0)</f>
        <v/>
      </c>
      <c r="CT1332">
        <f>IFERROR(INDEX(PP_Grid[#Data],$DE1332,95),0)</f>
        <v/>
      </c>
      <c r="CU1332">
        <f>IFERROR(INDEX(PP_Grid[#Data],$DE1332,96),0)</f>
        <v/>
      </c>
      <c r="CV1332">
        <f>IFERROR(INDEX(PP_Grid[#Data],$DE1332,97),0)</f>
        <v/>
      </c>
      <c r="CW1332">
        <f>IFERROR(INDEX(PP_Grid[#Data],$DE1332,98),0)</f>
        <v/>
      </c>
      <c r="CX1332">
        <f>IFERROR(INDEX(PP_Grid[#Data],$DE1332,99),0)</f>
        <v/>
      </c>
      <c r="CY1332">
        <f>IFERROR(INDEX(PP_Grid[#Data],$DE1332,100),0)</f>
        <v/>
      </c>
      <c r="CZ1332">
        <f>IFERROR(INDEX(PP_Grid[#Data],$DE1332,101),0)</f>
        <v/>
      </c>
      <c r="DA1332">
        <f>IFERROR(INDEX(PP_Grid[#Data],$DE1332,102),0)</f>
        <v/>
      </c>
      <c r="DB1332">
        <f>IFERROR(INDEX(PP_Grid[#Data],$DE1332,103),0)</f>
        <v/>
      </c>
      <c r="DC1332">
        <f>IFERROR(INDEX(PP_Grid[#Data],$DE1332,104),0)</f>
        <v/>
      </c>
      <c r="DD1332">
        <f>IFERROR(INDEX(PP_Grid[#Data],$DE1332,105),0)</f>
        <v/>
      </c>
      <c r="DE1332" s="7">
        <f>IFERROR(MATCH($B1332,PP_Grid[Intermediate],0),99999)</f>
        <v/>
      </c>
    </row>
    <row r="1333">
      <c r="B1333" t="inlineStr">
        <is>
          <t>使用量(kg)</t>
        </is>
      </c>
      <c r="C1333">
        <f>SUMIFS(M_BOM[RM_Qty_Per_Batch],M_BOM[Intermediate],$B1332,M_BOM[RM_Code],$A1317)</f>
        <v/>
      </c>
      <c r="D1333">
        <f>IFERROR(INDEX(E1333:DD1333,$F$1),"")</f>
        <v/>
      </c>
      <c r="E1333">
        <f>$C1333*E1332</f>
        <v/>
      </c>
      <c r="F1333">
        <f>$C1333*F1332</f>
        <v/>
      </c>
      <c r="G1333">
        <f>$C1333*G1332</f>
        <v/>
      </c>
      <c r="H1333">
        <f>$C1333*H1332</f>
        <v/>
      </c>
      <c r="I1333">
        <f>$C1333*I1332</f>
        <v/>
      </c>
      <c r="J1333">
        <f>$C1333*J1332</f>
        <v/>
      </c>
      <c r="K1333">
        <f>$C1333*K1332</f>
        <v/>
      </c>
      <c r="L1333">
        <f>$C1333*L1332</f>
        <v/>
      </c>
      <c r="M1333">
        <f>$C1333*M1332</f>
        <v/>
      </c>
      <c r="N1333">
        <f>$C1333*N1332</f>
        <v/>
      </c>
      <c r="O1333">
        <f>$C1333*O1332</f>
        <v/>
      </c>
      <c r="P1333">
        <f>$C1333*P1332</f>
        <v/>
      </c>
      <c r="Q1333">
        <f>$C1333*Q1332</f>
        <v/>
      </c>
      <c r="R1333">
        <f>$C1333*R1332</f>
        <v/>
      </c>
      <c r="S1333">
        <f>$C1333*S1332</f>
        <v/>
      </c>
      <c r="T1333">
        <f>$C1333*T1332</f>
        <v/>
      </c>
      <c r="U1333">
        <f>$C1333*U1332</f>
        <v/>
      </c>
      <c r="V1333">
        <f>$C1333*V1332</f>
        <v/>
      </c>
      <c r="W1333">
        <f>$C1333*W1332</f>
        <v/>
      </c>
      <c r="X1333">
        <f>$C1333*X1332</f>
        <v/>
      </c>
      <c r="Y1333">
        <f>$C1333*Y1332</f>
        <v/>
      </c>
      <c r="Z1333">
        <f>$C1333*Z1332</f>
        <v/>
      </c>
      <c r="AA1333">
        <f>$C1333*AA1332</f>
        <v/>
      </c>
      <c r="AB1333">
        <f>$C1333*AB1332</f>
        <v/>
      </c>
      <c r="AC1333">
        <f>$C1333*AC1332</f>
        <v/>
      </c>
      <c r="AD1333">
        <f>$C1333*AD1332</f>
        <v/>
      </c>
      <c r="AE1333">
        <f>$C1333*AE1332</f>
        <v/>
      </c>
      <c r="AF1333">
        <f>$C1333*AF1332</f>
        <v/>
      </c>
      <c r="AG1333">
        <f>$C1333*AG1332</f>
        <v/>
      </c>
      <c r="AH1333">
        <f>$C1333*AH1332</f>
        <v/>
      </c>
      <c r="AI1333">
        <f>$C1333*AI1332</f>
        <v/>
      </c>
      <c r="AJ1333">
        <f>$C1333*AJ1332</f>
        <v/>
      </c>
      <c r="AK1333">
        <f>$C1333*AK1332</f>
        <v/>
      </c>
      <c r="AL1333">
        <f>$C1333*AL1332</f>
        <v/>
      </c>
      <c r="AM1333">
        <f>$C1333*AM1332</f>
        <v/>
      </c>
      <c r="AN1333">
        <f>$C1333*AN1332</f>
        <v/>
      </c>
      <c r="AO1333">
        <f>$C1333*AO1332</f>
        <v/>
      </c>
      <c r="AP1333">
        <f>$C1333*AP1332</f>
        <v/>
      </c>
      <c r="AQ1333">
        <f>$C1333*AQ1332</f>
        <v/>
      </c>
      <c r="AR1333">
        <f>$C1333*AR1332</f>
        <v/>
      </c>
      <c r="AS1333">
        <f>$C1333*AS1332</f>
        <v/>
      </c>
      <c r="AT1333">
        <f>$C1333*AT1332</f>
        <v/>
      </c>
      <c r="AU1333">
        <f>$C1333*AU1332</f>
        <v/>
      </c>
      <c r="AV1333">
        <f>$C1333*AV1332</f>
        <v/>
      </c>
      <c r="AW1333">
        <f>$C1333*AW1332</f>
        <v/>
      </c>
      <c r="AX1333">
        <f>$C1333*AX1332</f>
        <v/>
      </c>
      <c r="AY1333">
        <f>$C1333*AY1332</f>
        <v/>
      </c>
      <c r="AZ1333">
        <f>$C1333*AZ1332</f>
        <v/>
      </c>
      <c r="BA1333">
        <f>$C1333*BA1332</f>
        <v/>
      </c>
      <c r="BB1333">
        <f>$C1333*BB1332</f>
        <v/>
      </c>
      <c r="BC1333">
        <f>$C1333*BC1332</f>
        <v/>
      </c>
      <c r="BD1333">
        <f>$C1333*BD1332</f>
        <v/>
      </c>
      <c r="BE1333">
        <f>$C1333*BE1332</f>
        <v/>
      </c>
      <c r="BF1333">
        <f>$C1333*BF1332</f>
        <v/>
      </c>
      <c r="BG1333">
        <f>$C1333*BG1332</f>
        <v/>
      </c>
      <c r="BH1333">
        <f>$C1333*BH1332</f>
        <v/>
      </c>
      <c r="BI1333">
        <f>$C1333*BI1332</f>
        <v/>
      </c>
      <c r="BJ1333">
        <f>$C1333*BJ1332</f>
        <v/>
      </c>
      <c r="BK1333">
        <f>$C1333*BK1332</f>
        <v/>
      </c>
      <c r="BL1333">
        <f>$C1333*BL1332</f>
        <v/>
      </c>
      <c r="BM1333">
        <f>$C1333*BM1332</f>
        <v/>
      </c>
      <c r="BN1333">
        <f>$C1333*BN1332</f>
        <v/>
      </c>
      <c r="BO1333">
        <f>$C1333*BO1332</f>
        <v/>
      </c>
      <c r="BP1333">
        <f>$C1333*BP1332</f>
        <v/>
      </c>
      <c r="BQ1333">
        <f>$C1333*BQ1332</f>
        <v/>
      </c>
      <c r="BR1333">
        <f>$C1333*BR1332</f>
        <v/>
      </c>
      <c r="BS1333">
        <f>$C1333*BS1332</f>
        <v/>
      </c>
      <c r="BT1333">
        <f>$C1333*BT1332</f>
        <v/>
      </c>
      <c r="BU1333">
        <f>$C1333*BU1332</f>
        <v/>
      </c>
      <c r="BV1333">
        <f>$C1333*BV1332</f>
        <v/>
      </c>
      <c r="BW1333">
        <f>$C1333*BW1332</f>
        <v/>
      </c>
      <c r="BX1333">
        <f>$C1333*BX1332</f>
        <v/>
      </c>
      <c r="BY1333">
        <f>$C1333*BY1332</f>
        <v/>
      </c>
      <c r="BZ1333">
        <f>$C1333*BZ1332</f>
        <v/>
      </c>
      <c r="CA1333">
        <f>$C1333*CA1332</f>
        <v/>
      </c>
      <c r="CB1333">
        <f>$C1333*CB1332</f>
        <v/>
      </c>
      <c r="CC1333">
        <f>$C1333*CC1332</f>
        <v/>
      </c>
      <c r="CD1333">
        <f>$C1333*CD1332</f>
        <v/>
      </c>
      <c r="CE1333">
        <f>$C1333*CE1332</f>
        <v/>
      </c>
      <c r="CF1333">
        <f>$C1333*CF1332</f>
        <v/>
      </c>
      <c r="CG1333">
        <f>$C1333*CG1332</f>
        <v/>
      </c>
      <c r="CH1333">
        <f>$C1333*CH1332</f>
        <v/>
      </c>
      <c r="CI1333">
        <f>$C1333*CI1332</f>
        <v/>
      </c>
      <c r="CJ1333">
        <f>$C1333*CJ1332</f>
        <v/>
      </c>
      <c r="CK1333">
        <f>$C1333*CK1332</f>
        <v/>
      </c>
      <c r="CL1333">
        <f>$C1333*CL1332</f>
        <v/>
      </c>
      <c r="CM1333">
        <f>$C1333*CM1332</f>
        <v/>
      </c>
      <c r="CN1333">
        <f>$C1333*CN1332</f>
        <v/>
      </c>
      <c r="CO1333">
        <f>$C1333*CO1332</f>
        <v/>
      </c>
      <c r="CP1333">
        <f>$C1333*CP1332</f>
        <v/>
      </c>
      <c r="CQ1333">
        <f>$C1333*CQ1332</f>
        <v/>
      </c>
      <c r="CR1333">
        <f>$C1333*CR1332</f>
        <v/>
      </c>
      <c r="CS1333">
        <f>$C1333*CS1332</f>
        <v/>
      </c>
      <c r="CT1333">
        <f>$C1333*CT1332</f>
        <v/>
      </c>
      <c r="CU1333">
        <f>$C1333*CU1332</f>
        <v/>
      </c>
      <c r="CV1333">
        <f>$C1333*CV1332</f>
        <v/>
      </c>
      <c r="CW1333">
        <f>$C1333*CW1332</f>
        <v/>
      </c>
      <c r="CX1333">
        <f>$C1333*CX1332</f>
        <v/>
      </c>
      <c r="CY1333">
        <f>$C1333*CY1332</f>
        <v/>
      </c>
      <c r="CZ1333">
        <f>$C1333*CZ1332</f>
        <v/>
      </c>
      <c r="DA1333">
        <f>$C1333*DA1332</f>
        <v/>
      </c>
      <c r="DB1333">
        <f>$C1333*DB1332</f>
        <v/>
      </c>
      <c r="DC1333">
        <f>$C1333*DC1332</f>
        <v/>
      </c>
      <c r="DD1333">
        <f>$C1333*DD1332</f>
        <v/>
      </c>
    </row>
    <row r="1334">
      <c r="B1334" t="inlineStr">
        <is>
          <t>TSP-1449</t>
        </is>
      </c>
      <c r="C1334" t="inlineStr">
        <is>
          <t>No. of batches</t>
        </is>
      </c>
      <c r="D1334">
        <f>IFERROR(INDEX(E1334:DD1334,$F$1),"")</f>
        <v/>
      </c>
      <c r="E1334">
        <f>IFERROR(INDEX(PP_Grid[#Data],$DE1334,2),0)</f>
        <v/>
      </c>
      <c r="F1334">
        <f>IFERROR(INDEX(PP_Grid[#Data],$DE1334,3),0)</f>
        <v/>
      </c>
      <c r="G1334">
        <f>IFERROR(INDEX(PP_Grid[#Data],$DE1334,4),0)</f>
        <v/>
      </c>
      <c r="H1334">
        <f>IFERROR(INDEX(PP_Grid[#Data],$DE1334,5),0)</f>
        <v/>
      </c>
      <c r="I1334">
        <f>IFERROR(INDEX(PP_Grid[#Data],$DE1334,6),0)</f>
        <v/>
      </c>
      <c r="J1334">
        <f>IFERROR(INDEX(PP_Grid[#Data],$DE1334,7),0)</f>
        <v/>
      </c>
      <c r="K1334">
        <f>IFERROR(INDEX(PP_Grid[#Data],$DE1334,8),0)</f>
        <v/>
      </c>
      <c r="L1334">
        <f>IFERROR(INDEX(PP_Grid[#Data],$DE1334,9),0)</f>
        <v/>
      </c>
      <c r="M1334">
        <f>IFERROR(INDEX(PP_Grid[#Data],$DE1334,10),0)</f>
        <v/>
      </c>
      <c r="N1334">
        <f>IFERROR(INDEX(PP_Grid[#Data],$DE1334,11),0)</f>
        <v/>
      </c>
      <c r="O1334">
        <f>IFERROR(INDEX(PP_Grid[#Data],$DE1334,12),0)</f>
        <v/>
      </c>
      <c r="P1334">
        <f>IFERROR(INDEX(PP_Grid[#Data],$DE1334,13),0)</f>
        <v/>
      </c>
      <c r="Q1334">
        <f>IFERROR(INDEX(PP_Grid[#Data],$DE1334,14),0)</f>
        <v/>
      </c>
      <c r="R1334">
        <f>IFERROR(INDEX(PP_Grid[#Data],$DE1334,15),0)</f>
        <v/>
      </c>
      <c r="S1334">
        <f>IFERROR(INDEX(PP_Grid[#Data],$DE1334,16),0)</f>
        <v/>
      </c>
      <c r="T1334">
        <f>IFERROR(INDEX(PP_Grid[#Data],$DE1334,17),0)</f>
        <v/>
      </c>
      <c r="U1334">
        <f>IFERROR(INDEX(PP_Grid[#Data],$DE1334,18),0)</f>
        <v/>
      </c>
      <c r="V1334">
        <f>IFERROR(INDEX(PP_Grid[#Data],$DE1334,19),0)</f>
        <v/>
      </c>
      <c r="W1334">
        <f>IFERROR(INDEX(PP_Grid[#Data],$DE1334,20),0)</f>
        <v/>
      </c>
      <c r="X1334">
        <f>IFERROR(INDEX(PP_Grid[#Data],$DE1334,21),0)</f>
        <v/>
      </c>
      <c r="Y1334">
        <f>IFERROR(INDEX(PP_Grid[#Data],$DE1334,22),0)</f>
        <v/>
      </c>
      <c r="Z1334">
        <f>IFERROR(INDEX(PP_Grid[#Data],$DE1334,23),0)</f>
        <v/>
      </c>
      <c r="AA1334">
        <f>IFERROR(INDEX(PP_Grid[#Data],$DE1334,24),0)</f>
        <v/>
      </c>
      <c r="AB1334">
        <f>IFERROR(INDEX(PP_Grid[#Data],$DE1334,25),0)</f>
        <v/>
      </c>
      <c r="AC1334">
        <f>IFERROR(INDEX(PP_Grid[#Data],$DE1334,26),0)</f>
        <v/>
      </c>
      <c r="AD1334">
        <f>IFERROR(INDEX(PP_Grid[#Data],$DE1334,27),0)</f>
        <v/>
      </c>
      <c r="AE1334">
        <f>IFERROR(INDEX(PP_Grid[#Data],$DE1334,28),0)</f>
        <v/>
      </c>
      <c r="AF1334">
        <f>IFERROR(INDEX(PP_Grid[#Data],$DE1334,29),0)</f>
        <v/>
      </c>
      <c r="AG1334">
        <f>IFERROR(INDEX(PP_Grid[#Data],$DE1334,30),0)</f>
        <v/>
      </c>
      <c r="AH1334">
        <f>IFERROR(INDEX(PP_Grid[#Data],$DE1334,31),0)</f>
        <v/>
      </c>
      <c r="AI1334">
        <f>IFERROR(INDEX(PP_Grid[#Data],$DE1334,32),0)</f>
        <v/>
      </c>
      <c r="AJ1334">
        <f>IFERROR(INDEX(PP_Grid[#Data],$DE1334,33),0)</f>
        <v/>
      </c>
      <c r="AK1334">
        <f>IFERROR(INDEX(PP_Grid[#Data],$DE1334,34),0)</f>
        <v/>
      </c>
      <c r="AL1334">
        <f>IFERROR(INDEX(PP_Grid[#Data],$DE1334,35),0)</f>
        <v/>
      </c>
      <c r="AM1334">
        <f>IFERROR(INDEX(PP_Grid[#Data],$DE1334,36),0)</f>
        <v/>
      </c>
      <c r="AN1334">
        <f>IFERROR(INDEX(PP_Grid[#Data],$DE1334,37),0)</f>
        <v/>
      </c>
      <c r="AO1334">
        <f>IFERROR(INDEX(PP_Grid[#Data],$DE1334,38),0)</f>
        <v/>
      </c>
      <c r="AP1334">
        <f>IFERROR(INDEX(PP_Grid[#Data],$DE1334,39),0)</f>
        <v/>
      </c>
      <c r="AQ1334">
        <f>IFERROR(INDEX(PP_Grid[#Data],$DE1334,40),0)</f>
        <v/>
      </c>
      <c r="AR1334">
        <f>IFERROR(INDEX(PP_Grid[#Data],$DE1334,41),0)</f>
        <v/>
      </c>
      <c r="AS1334">
        <f>IFERROR(INDEX(PP_Grid[#Data],$DE1334,42),0)</f>
        <v/>
      </c>
      <c r="AT1334">
        <f>IFERROR(INDEX(PP_Grid[#Data],$DE1334,43),0)</f>
        <v/>
      </c>
      <c r="AU1334">
        <f>IFERROR(INDEX(PP_Grid[#Data],$DE1334,44),0)</f>
        <v/>
      </c>
      <c r="AV1334">
        <f>IFERROR(INDEX(PP_Grid[#Data],$DE1334,45),0)</f>
        <v/>
      </c>
      <c r="AW1334">
        <f>IFERROR(INDEX(PP_Grid[#Data],$DE1334,46),0)</f>
        <v/>
      </c>
      <c r="AX1334">
        <f>IFERROR(INDEX(PP_Grid[#Data],$DE1334,47),0)</f>
        <v/>
      </c>
      <c r="AY1334">
        <f>IFERROR(INDEX(PP_Grid[#Data],$DE1334,48),0)</f>
        <v/>
      </c>
      <c r="AZ1334">
        <f>IFERROR(INDEX(PP_Grid[#Data],$DE1334,49),0)</f>
        <v/>
      </c>
      <c r="BA1334">
        <f>IFERROR(INDEX(PP_Grid[#Data],$DE1334,50),0)</f>
        <v/>
      </c>
      <c r="BB1334">
        <f>IFERROR(INDEX(PP_Grid[#Data],$DE1334,51),0)</f>
        <v/>
      </c>
      <c r="BC1334">
        <f>IFERROR(INDEX(PP_Grid[#Data],$DE1334,52),0)</f>
        <v/>
      </c>
      <c r="BD1334">
        <f>IFERROR(INDEX(PP_Grid[#Data],$DE1334,53),0)</f>
        <v/>
      </c>
      <c r="BE1334">
        <f>IFERROR(INDEX(PP_Grid[#Data],$DE1334,54),0)</f>
        <v/>
      </c>
      <c r="BF1334">
        <f>IFERROR(INDEX(PP_Grid[#Data],$DE1334,55),0)</f>
        <v/>
      </c>
      <c r="BG1334">
        <f>IFERROR(INDEX(PP_Grid[#Data],$DE1334,56),0)</f>
        <v/>
      </c>
      <c r="BH1334">
        <f>IFERROR(INDEX(PP_Grid[#Data],$DE1334,57),0)</f>
        <v/>
      </c>
      <c r="BI1334">
        <f>IFERROR(INDEX(PP_Grid[#Data],$DE1334,58),0)</f>
        <v/>
      </c>
      <c r="BJ1334">
        <f>IFERROR(INDEX(PP_Grid[#Data],$DE1334,59),0)</f>
        <v/>
      </c>
      <c r="BK1334">
        <f>IFERROR(INDEX(PP_Grid[#Data],$DE1334,60),0)</f>
        <v/>
      </c>
      <c r="BL1334">
        <f>IFERROR(INDEX(PP_Grid[#Data],$DE1334,61),0)</f>
        <v/>
      </c>
      <c r="BM1334">
        <f>IFERROR(INDEX(PP_Grid[#Data],$DE1334,62),0)</f>
        <v/>
      </c>
      <c r="BN1334">
        <f>IFERROR(INDEX(PP_Grid[#Data],$DE1334,63),0)</f>
        <v/>
      </c>
      <c r="BO1334">
        <f>IFERROR(INDEX(PP_Grid[#Data],$DE1334,64),0)</f>
        <v/>
      </c>
      <c r="BP1334">
        <f>IFERROR(INDEX(PP_Grid[#Data],$DE1334,65),0)</f>
        <v/>
      </c>
      <c r="BQ1334">
        <f>IFERROR(INDEX(PP_Grid[#Data],$DE1334,66),0)</f>
        <v/>
      </c>
      <c r="BR1334">
        <f>IFERROR(INDEX(PP_Grid[#Data],$DE1334,67),0)</f>
        <v/>
      </c>
      <c r="BS1334">
        <f>IFERROR(INDEX(PP_Grid[#Data],$DE1334,68),0)</f>
        <v/>
      </c>
      <c r="BT1334">
        <f>IFERROR(INDEX(PP_Grid[#Data],$DE1334,69),0)</f>
        <v/>
      </c>
      <c r="BU1334">
        <f>IFERROR(INDEX(PP_Grid[#Data],$DE1334,70),0)</f>
        <v/>
      </c>
      <c r="BV1334">
        <f>IFERROR(INDEX(PP_Grid[#Data],$DE1334,71),0)</f>
        <v/>
      </c>
      <c r="BW1334">
        <f>IFERROR(INDEX(PP_Grid[#Data],$DE1334,72),0)</f>
        <v/>
      </c>
      <c r="BX1334">
        <f>IFERROR(INDEX(PP_Grid[#Data],$DE1334,73),0)</f>
        <v/>
      </c>
      <c r="BY1334">
        <f>IFERROR(INDEX(PP_Grid[#Data],$DE1334,74),0)</f>
        <v/>
      </c>
      <c r="BZ1334">
        <f>IFERROR(INDEX(PP_Grid[#Data],$DE1334,75),0)</f>
        <v/>
      </c>
      <c r="CA1334">
        <f>IFERROR(INDEX(PP_Grid[#Data],$DE1334,76),0)</f>
        <v/>
      </c>
      <c r="CB1334">
        <f>IFERROR(INDEX(PP_Grid[#Data],$DE1334,77),0)</f>
        <v/>
      </c>
      <c r="CC1334">
        <f>IFERROR(INDEX(PP_Grid[#Data],$DE1334,78),0)</f>
        <v/>
      </c>
      <c r="CD1334">
        <f>IFERROR(INDEX(PP_Grid[#Data],$DE1334,79),0)</f>
        <v/>
      </c>
      <c r="CE1334">
        <f>IFERROR(INDEX(PP_Grid[#Data],$DE1334,80),0)</f>
        <v/>
      </c>
      <c r="CF1334">
        <f>IFERROR(INDEX(PP_Grid[#Data],$DE1334,81),0)</f>
        <v/>
      </c>
      <c r="CG1334">
        <f>IFERROR(INDEX(PP_Grid[#Data],$DE1334,82),0)</f>
        <v/>
      </c>
      <c r="CH1334">
        <f>IFERROR(INDEX(PP_Grid[#Data],$DE1334,83),0)</f>
        <v/>
      </c>
      <c r="CI1334">
        <f>IFERROR(INDEX(PP_Grid[#Data],$DE1334,84),0)</f>
        <v/>
      </c>
      <c r="CJ1334">
        <f>IFERROR(INDEX(PP_Grid[#Data],$DE1334,85),0)</f>
        <v/>
      </c>
      <c r="CK1334">
        <f>IFERROR(INDEX(PP_Grid[#Data],$DE1334,86),0)</f>
        <v/>
      </c>
      <c r="CL1334">
        <f>IFERROR(INDEX(PP_Grid[#Data],$DE1334,87),0)</f>
        <v/>
      </c>
      <c r="CM1334">
        <f>IFERROR(INDEX(PP_Grid[#Data],$DE1334,88),0)</f>
        <v/>
      </c>
      <c r="CN1334">
        <f>IFERROR(INDEX(PP_Grid[#Data],$DE1334,89),0)</f>
        <v/>
      </c>
      <c r="CO1334">
        <f>IFERROR(INDEX(PP_Grid[#Data],$DE1334,90),0)</f>
        <v/>
      </c>
      <c r="CP1334">
        <f>IFERROR(INDEX(PP_Grid[#Data],$DE1334,91),0)</f>
        <v/>
      </c>
      <c r="CQ1334">
        <f>IFERROR(INDEX(PP_Grid[#Data],$DE1334,92),0)</f>
        <v/>
      </c>
      <c r="CR1334">
        <f>IFERROR(INDEX(PP_Grid[#Data],$DE1334,93),0)</f>
        <v/>
      </c>
      <c r="CS1334">
        <f>IFERROR(INDEX(PP_Grid[#Data],$DE1334,94),0)</f>
        <v/>
      </c>
      <c r="CT1334">
        <f>IFERROR(INDEX(PP_Grid[#Data],$DE1334,95),0)</f>
        <v/>
      </c>
      <c r="CU1334">
        <f>IFERROR(INDEX(PP_Grid[#Data],$DE1334,96),0)</f>
        <v/>
      </c>
      <c r="CV1334">
        <f>IFERROR(INDEX(PP_Grid[#Data],$DE1334,97),0)</f>
        <v/>
      </c>
      <c r="CW1334">
        <f>IFERROR(INDEX(PP_Grid[#Data],$DE1334,98),0)</f>
        <v/>
      </c>
      <c r="CX1334">
        <f>IFERROR(INDEX(PP_Grid[#Data],$DE1334,99),0)</f>
        <v/>
      </c>
      <c r="CY1334">
        <f>IFERROR(INDEX(PP_Grid[#Data],$DE1334,100),0)</f>
        <v/>
      </c>
      <c r="CZ1334">
        <f>IFERROR(INDEX(PP_Grid[#Data],$DE1334,101),0)</f>
        <v/>
      </c>
      <c r="DA1334">
        <f>IFERROR(INDEX(PP_Grid[#Data],$DE1334,102),0)</f>
        <v/>
      </c>
      <c r="DB1334">
        <f>IFERROR(INDEX(PP_Grid[#Data],$DE1334,103),0)</f>
        <v/>
      </c>
      <c r="DC1334">
        <f>IFERROR(INDEX(PP_Grid[#Data],$DE1334,104),0)</f>
        <v/>
      </c>
      <c r="DD1334">
        <f>IFERROR(INDEX(PP_Grid[#Data],$DE1334,105),0)</f>
        <v/>
      </c>
      <c r="DE1334" s="7">
        <f>IFERROR(MATCH($B1334,PP_Grid[Intermediate],0),99999)</f>
        <v/>
      </c>
    </row>
    <row r="1335">
      <c r="B1335" t="inlineStr">
        <is>
          <t>使用量(kg)</t>
        </is>
      </c>
      <c r="C1335">
        <f>SUMIFS(M_BOM[RM_Qty_Per_Batch],M_BOM[Intermediate],$B1334,M_BOM[RM_Code],$A1317)</f>
        <v/>
      </c>
      <c r="D1335">
        <f>IFERROR(INDEX(E1335:DD1335,$F$1),"")</f>
        <v/>
      </c>
      <c r="E1335">
        <f>$C1335*E1334</f>
        <v/>
      </c>
      <c r="F1335">
        <f>$C1335*F1334</f>
        <v/>
      </c>
      <c r="G1335">
        <f>$C1335*G1334</f>
        <v/>
      </c>
      <c r="H1335">
        <f>$C1335*H1334</f>
        <v/>
      </c>
      <c r="I1335">
        <f>$C1335*I1334</f>
        <v/>
      </c>
      <c r="J1335">
        <f>$C1335*J1334</f>
        <v/>
      </c>
      <c r="K1335">
        <f>$C1335*K1334</f>
        <v/>
      </c>
      <c r="L1335">
        <f>$C1335*L1334</f>
        <v/>
      </c>
      <c r="M1335">
        <f>$C1335*M1334</f>
        <v/>
      </c>
      <c r="N1335">
        <f>$C1335*N1334</f>
        <v/>
      </c>
      <c r="O1335">
        <f>$C1335*O1334</f>
        <v/>
      </c>
      <c r="P1335">
        <f>$C1335*P1334</f>
        <v/>
      </c>
      <c r="Q1335">
        <f>$C1335*Q1334</f>
        <v/>
      </c>
      <c r="R1335">
        <f>$C1335*R1334</f>
        <v/>
      </c>
      <c r="S1335">
        <f>$C1335*S1334</f>
        <v/>
      </c>
      <c r="T1335">
        <f>$C1335*T1334</f>
        <v/>
      </c>
      <c r="U1335">
        <f>$C1335*U1334</f>
        <v/>
      </c>
      <c r="V1335">
        <f>$C1335*V1334</f>
        <v/>
      </c>
      <c r="W1335">
        <f>$C1335*W1334</f>
        <v/>
      </c>
      <c r="X1335">
        <f>$C1335*X1334</f>
        <v/>
      </c>
      <c r="Y1335">
        <f>$C1335*Y1334</f>
        <v/>
      </c>
      <c r="Z1335">
        <f>$C1335*Z1334</f>
        <v/>
      </c>
      <c r="AA1335">
        <f>$C1335*AA1334</f>
        <v/>
      </c>
      <c r="AB1335">
        <f>$C1335*AB1334</f>
        <v/>
      </c>
      <c r="AC1335">
        <f>$C1335*AC1334</f>
        <v/>
      </c>
      <c r="AD1335">
        <f>$C1335*AD1334</f>
        <v/>
      </c>
      <c r="AE1335">
        <f>$C1335*AE1334</f>
        <v/>
      </c>
      <c r="AF1335">
        <f>$C1335*AF1334</f>
        <v/>
      </c>
      <c r="AG1335">
        <f>$C1335*AG1334</f>
        <v/>
      </c>
      <c r="AH1335">
        <f>$C1335*AH1334</f>
        <v/>
      </c>
      <c r="AI1335">
        <f>$C1335*AI1334</f>
        <v/>
      </c>
      <c r="AJ1335">
        <f>$C1335*AJ1334</f>
        <v/>
      </c>
      <c r="AK1335">
        <f>$C1335*AK1334</f>
        <v/>
      </c>
      <c r="AL1335">
        <f>$C1335*AL1334</f>
        <v/>
      </c>
      <c r="AM1335">
        <f>$C1335*AM1334</f>
        <v/>
      </c>
      <c r="AN1335">
        <f>$C1335*AN1334</f>
        <v/>
      </c>
      <c r="AO1335">
        <f>$C1335*AO1334</f>
        <v/>
      </c>
      <c r="AP1335">
        <f>$C1335*AP1334</f>
        <v/>
      </c>
      <c r="AQ1335">
        <f>$C1335*AQ1334</f>
        <v/>
      </c>
      <c r="AR1335">
        <f>$C1335*AR1334</f>
        <v/>
      </c>
      <c r="AS1335">
        <f>$C1335*AS1334</f>
        <v/>
      </c>
      <c r="AT1335">
        <f>$C1335*AT1334</f>
        <v/>
      </c>
      <c r="AU1335">
        <f>$C1335*AU1334</f>
        <v/>
      </c>
      <c r="AV1335">
        <f>$C1335*AV1334</f>
        <v/>
      </c>
      <c r="AW1335">
        <f>$C1335*AW1334</f>
        <v/>
      </c>
      <c r="AX1335">
        <f>$C1335*AX1334</f>
        <v/>
      </c>
      <c r="AY1335">
        <f>$C1335*AY1334</f>
        <v/>
      </c>
      <c r="AZ1335">
        <f>$C1335*AZ1334</f>
        <v/>
      </c>
      <c r="BA1335">
        <f>$C1335*BA1334</f>
        <v/>
      </c>
      <c r="BB1335">
        <f>$C1335*BB1334</f>
        <v/>
      </c>
      <c r="BC1335">
        <f>$C1335*BC1334</f>
        <v/>
      </c>
      <c r="BD1335">
        <f>$C1335*BD1334</f>
        <v/>
      </c>
      <c r="BE1335">
        <f>$C1335*BE1334</f>
        <v/>
      </c>
      <c r="BF1335">
        <f>$C1335*BF1334</f>
        <v/>
      </c>
      <c r="BG1335">
        <f>$C1335*BG1334</f>
        <v/>
      </c>
      <c r="BH1335">
        <f>$C1335*BH1334</f>
        <v/>
      </c>
      <c r="BI1335">
        <f>$C1335*BI1334</f>
        <v/>
      </c>
      <c r="BJ1335">
        <f>$C1335*BJ1334</f>
        <v/>
      </c>
      <c r="BK1335">
        <f>$C1335*BK1334</f>
        <v/>
      </c>
      <c r="BL1335">
        <f>$C1335*BL1334</f>
        <v/>
      </c>
      <c r="BM1335">
        <f>$C1335*BM1334</f>
        <v/>
      </c>
      <c r="BN1335">
        <f>$C1335*BN1334</f>
        <v/>
      </c>
      <c r="BO1335">
        <f>$C1335*BO1334</f>
        <v/>
      </c>
      <c r="BP1335">
        <f>$C1335*BP1334</f>
        <v/>
      </c>
      <c r="BQ1335">
        <f>$C1335*BQ1334</f>
        <v/>
      </c>
      <c r="BR1335">
        <f>$C1335*BR1334</f>
        <v/>
      </c>
      <c r="BS1335">
        <f>$C1335*BS1334</f>
        <v/>
      </c>
      <c r="BT1335">
        <f>$C1335*BT1334</f>
        <v/>
      </c>
      <c r="BU1335">
        <f>$C1335*BU1334</f>
        <v/>
      </c>
      <c r="BV1335">
        <f>$C1335*BV1334</f>
        <v/>
      </c>
      <c r="BW1335">
        <f>$C1335*BW1334</f>
        <v/>
      </c>
      <c r="BX1335">
        <f>$C1335*BX1334</f>
        <v/>
      </c>
      <c r="BY1335">
        <f>$C1335*BY1334</f>
        <v/>
      </c>
      <c r="BZ1335">
        <f>$C1335*BZ1334</f>
        <v/>
      </c>
      <c r="CA1335">
        <f>$C1335*CA1334</f>
        <v/>
      </c>
      <c r="CB1335">
        <f>$C1335*CB1334</f>
        <v/>
      </c>
      <c r="CC1335">
        <f>$C1335*CC1334</f>
        <v/>
      </c>
      <c r="CD1335">
        <f>$C1335*CD1334</f>
        <v/>
      </c>
      <c r="CE1335">
        <f>$C1335*CE1334</f>
        <v/>
      </c>
      <c r="CF1335">
        <f>$C1335*CF1334</f>
        <v/>
      </c>
      <c r="CG1335">
        <f>$C1335*CG1334</f>
        <v/>
      </c>
      <c r="CH1335">
        <f>$C1335*CH1334</f>
        <v/>
      </c>
      <c r="CI1335">
        <f>$C1335*CI1334</f>
        <v/>
      </c>
      <c r="CJ1335">
        <f>$C1335*CJ1334</f>
        <v/>
      </c>
      <c r="CK1335">
        <f>$C1335*CK1334</f>
        <v/>
      </c>
      <c r="CL1335">
        <f>$C1335*CL1334</f>
        <v/>
      </c>
      <c r="CM1335">
        <f>$C1335*CM1334</f>
        <v/>
      </c>
      <c r="CN1335">
        <f>$C1335*CN1334</f>
        <v/>
      </c>
      <c r="CO1335">
        <f>$C1335*CO1334</f>
        <v/>
      </c>
      <c r="CP1335">
        <f>$C1335*CP1334</f>
        <v/>
      </c>
      <c r="CQ1335">
        <f>$C1335*CQ1334</f>
        <v/>
      </c>
      <c r="CR1335">
        <f>$C1335*CR1334</f>
        <v/>
      </c>
      <c r="CS1335">
        <f>$C1335*CS1334</f>
        <v/>
      </c>
      <c r="CT1335">
        <f>$C1335*CT1334</f>
        <v/>
      </c>
      <c r="CU1335">
        <f>$C1335*CU1334</f>
        <v/>
      </c>
      <c r="CV1335">
        <f>$C1335*CV1334</f>
        <v/>
      </c>
      <c r="CW1335">
        <f>$C1335*CW1334</f>
        <v/>
      </c>
      <c r="CX1335">
        <f>$C1335*CX1334</f>
        <v/>
      </c>
      <c r="CY1335">
        <f>$C1335*CY1334</f>
        <v/>
      </c>
      <c r="CZ1335">
        <f>$C1335*CZ1334</f>
        <v/>
      </c>
      <c r="DA1335">
        <f>$C1335*DA1334</f>
        <v/>
      </c>
      <c r="DB1335">
        <f>$C1335*DB1334</f>
        <v/>
      </c>
      <c r="DC1335">
        <f>$C1335*DC1334</f>
        <v/>
      </c>
      <c r="DD1335">
        <f>$C1335*DD1334</f>
        <v/>
      </c>
    </row>
    <row r="1336">
      <c r="B1336" t="inlineStr">
        <is>
          <t>TSP-1499</t>
        </is>
      </c>
      <c r="C1336" t="inlineStr">
        <is>
          <t>No. of batches</t>
        </is>
      </c>
      <c r="D1336">
        <f>IFERROR(INDEX(E1336:DD1336,$F$1),"")</f>
        <v/>
      </c>
      <c r="E1336">
        <f>IFERROR(INDEX(PP_Grid[#Data],$DE1336,2),0)</f>
        <v/>
      </c>
      <c r="F1336">
        <f>IFERROR(INDEX(PP_Grid[#Data],$DE1336,3),0)</f>
        <v/>
      </c>
      <c r="G1336">
        <f>IFERROR(INDEX(PP_Grid[#Data],$DE1336,4),0)</f>
        <v/>
      </c>
      <c r="H1336">
        <f>IFERROR(INDEX(PP_Grid[#Data],$DE1336,5),0)</f>
        <v/>
      </c>
      <c r="I1336">
        <f>IFERROR(INDEX(PP_Grid[#Data],$DE1336,6),0)</f>
        <v/>
      </c>
      <c r="J1336">
        <f>IFERROR(INDEX(PP_Grid[#Data],$DE1336,7),0)</f>
        <v/>
      </c>
      <c r="K1336">
        <f>IFERROR(INDEX(PP_Grid[#Data],$DE1336,8),0)</f>
        <v/>
      </c>
      <c r="L1336">
        <f>IFERROR(INDEX(PP_Grid[#Data],$DE1336,9),0)</f>
        <v/>
      </c>
      <c r="M1336">
        <f>IFERROR(INDEX(PP_Grid[#Data],$DE1336,10),0)</f>
        <v/>
      </c>
      <c r="N1336">
        <f>IFERROR(INDEX(PP_Grid[#Data],$DE1336,11),0)</f>
        <v/>
      </c>
      <c r="O1336">
        <f>IFERROR(INDEX(PP_Grid[#Data],$DE1336,12),0)</f>
        <v/>
      </c>
      <c r="P1336">
        <f>IFERROR(INDEX(PP_Grid[#Data],$DE1336,13),0)</f>
        <v/>
      </c>
      <c r="Q1336">
        <f>IFERROR(INDEX(PP_Grid[#Data],$DE1336,14),0)</f>
        <v/>
      </c>
      <c r="R1336">
        <f>IFERROR(INDEX(PP_Grid[#Data],$DE1336,15),0)</f>
        <v/>
      </c>
      <c r="S1336">
        <f>IFERROR(INDEX(PP_Grid[#Data],$DE1336,16),0)</f>
        <v/>
      </c>
      <c r="T1336">
        <f>IFERROR(INDEX(PP_Grid[#Data],$DE1336,17),0)</f>
        <v/>
      </c>
      <c r="U1336">
        <f>IFERROR(INDEX(PP_Grid[#Data],$DE1336,18),0)</f>
        <v/>
      </c>
      <c r="V1336">
        <f>IFERROR(INDEX(PP_Grid[#Data],$DE1336,19),0)</f>
        <v/>
      </c>
      <c r="W1336">
        <f>IFERROR(INDEX(PP_Grid[#Data],$DE1336,20),0)</f>
        <v/>
      </c>
      <c r="X1336">
        <f>IFERROR(INDEX(PP_Grid[#Data],$DE1336,21),0)</f>
        <v/>
      </c>
      <c r="Y1336">
        <f>IFERROR(INDEX(PP_Grid[#Data],$DE1336,22),0)</f>
        <v/>
      </c>
      <c r="Z1336">
        <f>IFERROR(INDEX(PP_Grid[#Data],$DE1336,23),0)</f>
        <v/>
      </c>
      <c r="AA1336">
        <f>IFERROR(INDEX(PP_Grid[#Data],$DE1336,24),0)</f>
        <v/>
      </c>
      <c r="AB1336">
        <f>IFERROR(INDEX(PP_Grid[#Data],$DE1336,25),0)</f>
        <v/>
      </c>
      <c r="AC1336">
        <f>IFERROR(INDEX(PP_Grid[#Data],$DE1336,26),0)</f>
        <v/>
      </c>
      <c r="AD1336">
        <f>IFERROR(INDEX(PP_Grid[#Data],$DE1336,27),0)</f>
        <v/>
      </c>
      <c r="AE1336">
        <f>IFERROR(INDEX(PP_Grid[#Data],$DE1336,28),0)</f>
        <v/>
      </c>
      <c r="AF1336">
        <f>IFERROR(INDEX(PP_Grid[#Data],$DE1336,29),0)</f>
        <v/>
      </c>
      <c r="AG1336">
        <f>IFERROR(INDEX(PP_Grid[#Data],$DE1336,30),0)</f>
        <v/>
      </c>
      <c r="AH1336">
        <f>IFERROR(INDEX(PP_Grid[#Data],$DE1336,31),0)</f>
        <v/>
      </c>
      <c r="AI1336">
        <f>IFERROR(INDEX(PP_Grid[#Data],$DE1336,32),0)</f>
        <v/>
      </c>
      <c r="AJ1336">
        <f>IFERROR(INDEX(PP_Grid[#Data],$DE1336,33),0)</f>
        <v/>
      </c>
      <c r="AK1336">
        <f>IFERROR(INDEX(PP_Grid[#Data],$DE1336,34),0)</f>
        <v/>
      </c>
      <c r="AL1336">
        <f>IFERROR(INDEX(PP_Grid[#Data],$DE1336,35),0)</f>
        <v/>
      </c>
      <c r="AM1336">
        <f>IFERROR(INDEX(PP_Grid[#Data],$DE1336,36),0)</f>
        <v/>
      </c>
      <c r="AN1336">
        <f>IFERROR(INDEX(PP_Grid[#Data],$DE1336,37),0)</f>
        <v/>
      </c>
      <c r="AO1336">
        <f>IFERROR(INDEX(PP_Grid[#Data],$DE1336,38),0)</f>
        <v/>
      </c>
      <c r="AP1336">
        <f>IFERROR(INDEX(PP_Grid[#Data],$DE1336,39),0)</f>
        <v/>
      </c>
      <c r="AQ1336">
        <f>IFERROR(INDEX(PP_Grid[#Data],$DE1336,40),0)</f>
        <v/>
      </c>
      <c r="AR1336">
        <f>IFERROR(INDEX(PP_Grid[#Data],$DE1336,41),0)</f>
        <v/>
      </c>
      <c r="AS1336">
        <f>IFERROR(INDEX(PP_Grid[#Data],$DE1336,42),0)</f>
        <v/>
      </c>
      <c r="AT1336">
        <f>IFERROR(INDEX(PP_Grid[#Data],$DE1336,43),0)</f>
        <v/>
      </c>
      <c r="AU1336">
        <f>IFERROR(INDEX(PP_Grid[#Data],$DE1336,44),0)</f>
        <v/>
      </c>
      <c r="AV1336">
        <f>IFERROR(INDEX(PP_Grid[#Data],$DE1336,45),0)</f>
        <v/>
      </c>
      <c r="AW1336">
        <f>IFERROR(INDEX(PP_Grid[#Data],$DE1336,46),0)</f>
        <v/>
      </c>
      <c r="AX1336">
        <f>IFERROR(INDEX(PP_Grid[#Data],$DE1336,47),0)</f>
        <v/>
      </c>
      <c r="AY1336">
        <f>IFERROR(INDEX(PP_Grid[#Data],$DE1336,48),0)</f>
        <v/>
      </c>
      <c r="AZ1336">
        <f>IFERROR(INDEX(PP_Grid[#Data],$DE1336,49),0)</f>
        <v/>
      </c>
      <c r="BA1336">
        <f>IFERROR(INDEX(PP_Grid[#Data],$DE1336,50),0)</f>
        <v/>
      </c>
      <c r="BB1336">
        <f>IFERROR(INDEX(PP_Grid[#Data],$DE1336,51),0)</f>
        <v/>
      </c>
      <c r="BC1336">
        <f>IFERROR(INDEX(PP_Grid[#Data],$DE1336,52),0)</f>
        <v/>
      </c>
      <c r="BD1336">
        <f>IFERROR(INDEX(PP_Grid[#Data],$DE1336,53),0)</f>
        <v/>
      </c>
      <c r="BE1336">
        <f>IFERROR(INDEX(PP_Grid[#Data],$DE1336,54),0)</f>
        <v/>
      </c>
      <c r="BF1336">
        <f>IFERROR(INDEX(PP_Grid[#Data],$DE1336,55),0)</f>
        <v/>
      </c>
      <c r="BG1336">
        <f>IFERROR(INDEX(PP_Grid[#Data],$DE1336,56),0)</f>
        <v/>
      </c>
      <c r="BH1336">
        <f>IFERROR(INDEX(PP_Grid[#Data],$DE1336,57),0)</f>
        <v/>
      </c>
      <c r="BI1336">
        <f>IFERROR(INDEX(PP_Grid[#Data],$DE1336,58),0)</f>
        <v/>
      </c>
      <c r="BJ1336">
        <f>IFERROR(INDEX(PP_Grid[#Data],$DE1336,59),0)</f>
        <v/>
      </c>
      <c r="BK1336">
        <f>IFERROR(INDEX(PP_Grid[#Data],$DE1336,60),0)</f>
        <v/>
      </c>
      <c r="BL1336">
        <f>IFERROR(INDEX(PP_Grid[#Data],$DE1336,61),0)</f>
        <v/>
      </c>
      <c r="BM1336">
        <f>IFERROR(INDEX(PP_Grid[#Data],$DE1336,62),0)</f>
        <v/>
      </c>
      <c r="BN1336">
        <f>IFERROR(INDEX(PP_Grid[#Data],$DE1336,63),0)</f>
        <v/>
      </c>
      <c r="BO1336">
        <f>IFERROR(INDEX(PP_Grid[#Data],$DE1336,64),0)</f>
        <v/>
      </c>
      <c r="BP1336">
        <f>IFERROR(INDEX(PP_Grid[#Data],$DE1336,65),0)</f>
        <v/>
      </c>
      <c r="BQ1336">
        <f>IFERROR(INDEX(PP_Grid[#Data],$DE1336,66),0)</f>
        <v/>
      </c>
      <c r="BR1336">
        <f>IFERROR(INDEX(PP_Grid[#Data],$DE1336,67),0)</f>
        <v/>
      </c>
      <c r="BS1336">
        <f>IFERROR(INDEX(PP_Grid[#Data],$DE1336,68),0)</f>
        <v/>
      </c>
      <c r="BT1336">
        <f>IFERROR(INDEX(PP_Grid[#Data],$DE1336,69),0)</f>
        <v/>
      </c>
      <c r="BU1336">
        <f>IFERROR(INDEX(PP_Grid[#Data],$DE1336,70),0)</f>
        <v/>
      </c>
      <c r="BV1336">
        <f>IFERROR(INDEX(PP_Grid[#Data],$DE1336,71),0)</f>
        <v/>
      </c>
      <c r="BW1336">
        <f>IFERROR(INDEX(PP_Grid[#Data],$DE1336,72),0)</f>
        <v/>
      </c>
      <c r="BX1336">
        <f>IFERROR(INDEX(PP_Grid[#Data],$DE1336,73),0)</f>
        <v/>
      </c>
      <c r="BY1336">
        <f>IFERROR(INDEX(PP_Grid[#Data],$DE1336,74),0)</f>
        <v/>
      </c>
      <c r="BZ1336">
        <f>IFERROR(INDEX(PP_Grid[#Data],$DE1336,75),0)</f>
        <v/>
      </c>
      <c r="CA1336">
        <f>IFERROR(INDEX(PP_Grid[#Data],$DE1336,76),0)</f>
        <v/>
      </c>
      <c r="CB1336">
        <f>IFERROR(INDEX(PP_Grid[#Data],$DE1336,77),0)</f>
        <v/>
      </c>
      <c r="CC1336">
        <f>IFERROR(INDEX(PP_Grid[#Data],$DE1336,78),0)</f>
        <v/>
      </c>
      <c r="CD1336">
        <f>IFERROR(INDEX(PP_Grid[#Data],$DE1336,79),0)</f>
        <v/>
      </c>
      <c r="CE1336">
        <f>IFERROR(INDEX(PP_Grid[#Data],$DE1336,80),0)</f>
        <v/>
      </c>
      <c r="CF1336">
        <f>IFERROR(INDEX(PP_Grid[#Data],$DE1336,81),0)</f>
        <v/>
      </c>
      <c r="CG1336">
        <f>IFERROR(INDEX(PP_Grid[#Data],$DE1336,82),0)</f>
        <v/>
      </c>
      <c r="CH1336">
        <f>IFERROR(INDEX(PP_Grid[#Data],$DE1336,83),0)</f>
        <v/>
      </c>
      <c r="CI1336">
        <f>IFERROR(INDEX(PP_Grid[#Data],$DE1336,84),0)</f>
        <v/>
      </c>
      <c r="CJ1336">
        <f>IFERROR(INDEX(PP_Grid[#Data],$DE1336,85),0)</f>
        <v/>
      </c>
      <c r="CK1336">
        <f>IFERROR(INDEX(PP_Grid[#Data],$DE1336,86),0)</f>
        <v/>
      </c>
      <c r="CL1336">
        <f>IFERROR(INDEX(PP_Grid[#Data],$DE1336,87),0)</f>
        <v/>
      </c>
      <c r="CM1336">
        <f>IFERROR(INDEX(PP_Grid[#Data],$DE1336,88),0)</f>
        <v/>
      </c>
      <c r="CN1336">
        <f>IFERROR(INDEX(PP_Grid[#Data],$DE1336,89),0)</f>
        <v/>
      </c>
      <c r="CO1336">
        <f>IFERROR(INDEX(PP_Grid[#Data],$DE1336,90),0)</f>
        <v/>
      </c>
      <c r="CP1336">
        <f>IFERROR(INDEX(PP_Grid[#Data],$DE1336,91),0)</f>
        <v/>
      </c>
      <c r="CQ1336">
        <f>IFERROR(INDEX(PP_Grid[#Data],$DE1336,92),0)</f>
        <v/>
      </c>
      <c r="CR1336">
        <f>IFERROR(INDEX(PP_Grid[#Data],$DE1336,93),0)</f>
        <v/>
      </c>
      <c r="CS1336">
        <f>IFERROR(INDEX(PP_Grid[#Data],$DE1336,94),0)</f>
        <v/>
      </c>
      <c r="CT1336">
        <f>IFERROR(INDEX(PP_Grid[#Data],$DE1336,95),0)</f>
        <v/>
      </c>
      <c r="CU1336">
        <f>IFERROR(INDEX(PP_Grid[#Data],$DE1336,96),0)</f>
        <v/>
      </c>
      <c r="CV1336">
        <f>IFERROR(INDEX(PP_Grid[#Data],$DE1336,97),0)</f>
        <v/>
      </c>
      <c r="CW1336">
        <f>IFERROR(INDEX(PP_Grid[#Data],$DE1336,98),0)</f>
        <v/>
      </c>
      <c r="CX1336">
        <f>IFERROR(INDEX(PP_Grid[#Data],$DE1336,99),0)</f>
        <v/>
      </c>
      <c r="CY1336">
        <f>IFERROR(INDEX(PP_Grid[#Data],$DE1336,100),0)</f>
        <v/>
      </c>
      <c r="CZ1336">
        <f>IFERROR(INDEX(PP_Grid[#Data],$DE1336,101),0)</f>
        <v/>
      </c>
      <c r="DA1336">
        <f>IFERROR(INDEX(PP_Grid[#Data],$DE1336,102),0)</f>
        <v/>
      </c>
      <c r="DB1336">
        <f>IFERROR(INDEX(PP_Grid[#Data],$DE1336,103),0)</f>
        <v/>
      </c>
      <c r="DC1336">
        <f>IFERROR(INDEX(PP_Grid[#Data],$DE1336,104),0)</f>
        <v/>
      </c>
      <c r="DD1336">
        <f>IFERROR(INDEX(PP_Grid[#Data],$DE1336,105),0)</f>
        <v/>
      </c>
      <c r="DE1336" s="7">
        <f>IFERROR(MATCH($B1336,PP_Grid[Intermediate],0),99999)</f>
        <v/>
      </c>
    </row>
    <row r="1337">
      <c r="B1337" t="inlineStr">
        <is>
          <t>使用量(kg)</t>
        </is>
      </c>
      <c r="C1337">
        <f>SUMIFS(M_BOM[RM_Qty_Per_Batch],M_BOM[Intermediate],$B1336,M_BOM[RM_Code],$A1317)</f>
        <v/>
      </c>
      <c r="D1337">
        <f>IFERROR(INDEX(E1337:DD1337,$F$1),"")</f>
        <v/>
      </c>
      <c r="E1337">
        <f>$C1337*E1336</f>
        <v/>
      </c>
      <c r="F1337">
        <f>$C1337*F1336</f>
        <v/>
      </c>
      <c r="G1337">
        <f>$C1337*G1336</f>
        <v/>
      </c>
      <c r="H1337">
        <f>$C1337*H1336</f>
        <v/>
      </c>
      <c r="I1337">
        <f>$C1337*I1336</f>
        <v/>
      </c>
      <c r="J1337">
        <f>$C1337*J1336</f>
        <v/>
      </c>
      <c r="K1337">
        <f>$C1337*K1336</f>
        <v/>
      </c>
      <c r="L1337">
        <f>$C1337*L1336</f>
        <v/>
      </c>
      <c r="M1337">
        <f>$C1337*M1336</f>
        <v/>
      </c>
      <c r="N1337">
        <f>$C1337*N1336</f>
        <v/>
      </c>
      <c r="O1337">
        <f>$C1337*O1336</f>
        <v/>
      </c>
      <c r="P1337">
        <f>$C1337*P1336</f>
        <v/>
      </c>
      <c r="Q1337">
        <f>$C1337*Q1336</f>
        <v/>
      </c>
      <c r="R1337">
        <f>$C1337*R1336</f>
        <v/>
      </c>
      <c r="S1337">
        <f>$C1337*S1336</f>
        <v/>
      </c>
      <c r="T1337">
        <f>$C1337*T1336</f>
        <v/>
      </c>
      <c r="U1337">
        <f>$C1337*U1336</f>
        <v/>
      </c>
      <c r="V1337">
        <f>$C1337*V1336</f>
        <v/>
      </c>
      <c r="W1337">
        <f>$C1337*W1336</f>
        <v/>
      </c>
      <c r="X1337">
        <f>$C1337*X1336</f>
        <v/>
      </c>
      <c r="Y1337">
        <f>$C1337*Y1336</f>
        <v/>
      </c>
      <c r="Z1337">
        <f>$C1337*Z1336</f>
        <v/>
      </c>
      <c r="AA1337">
        <f>$C1337*AA1336</f>
        <v/>
      </c>
      <c r="AB1337">
        <f>$C1337*AB1336</f>
        <v/>
      </c>
      <c r="AC1337">
        <f>$C1337*AC1336</f>
        <v/>
      </c>
      <c r="AD1337">
        <f>$C1337*AD1336</f>
        <v/>
      </c>
      <c r="AE1337">
        <f>$C1337*AE1336</f>
        <v/>
      </c>
      <c r="AF1337">
        <f>$C1337*AF1336</f>
        <v/>
      </c>
      <c r="AG1337">
        <f>$C1337*AG1336</f>
        <v/>
      </c>
      <c r="AH1337">
        <f>$C1337*AH1336</f>
        <v/>
      </c>
      <c r="AI1337">
        <f>$C1337*AI1336</f>
        <v/>
      </c>
      <c r="AJ1337">
        <f>$C1337*AJ1336</f>
        <v/>
      </c>
      <c r="AK1337">
        <f>$C1337*AK1336</f>
        <v/>
      </c>
      <c r="AL1337">
        <f>$C1337*AL1336</f>
        <v/>
      </c>
      <c r="AM1337">
        <f>$C1337*AM1336</f>
        <v/>
      </c>
      <c r="AN1337">
        <f>$C1337*AN1336</f>
        <v/>
      </c>
      <c r="AO1337">
        <f>$C1337*AO1336</f>
        <v/>
      </c>
      <c r="AP1337">
        <f>$C1337*AP1336</f>
        <v/>
      </c>
      <c r="AQ1337">
        <f>$C1337*AQ1336</f>
        <v/>
      </c>
      <c r="AR1337">
        <f>$C1337*AR1336</f>
        <v/>
      </c>
      <c r="AS1337">
        <f>$C1337*AS1336</f>
        <v/>
      </c>
      <c r="AT1337">
        <f>$C1337*AT1336</f>
        <v/>
      </c>
      <c r="AU1337">
        <f>$C1337*AU1336</f>
        <v/>
      </c>
      <c r="AV1337">
        <f>$C1337*AV1336</f>
        <v/>
      </c>
      <c r="AW1337">
        <f>$C1337*AW1336</f>
        <v/>
      </c>
      <c r="AX1337">
        <f>$C1337*AX1336</f>
        <v/>
      </c>
      <c r="AY1337">
        <f>$C1337*AY1336</f>
        <v/>
      </c>
      <c r="AZ1337">
        <f>$C1337*AZ1336</f>
        <v/>
      </c>
      <c r="BA1337">
        <f>$C1337*BA1336</f>
        <v/>
      </c>
      <c r="BB1337">
        <f>$C1337*BB1336</f>
        <v/>
      </c>
      <c r="BC1337">
        <f>$C1337*BC1336</f>
        <v/>
      </c>
      <c r="BD1337">
        <f>$C1337*BD1336</f>
        <v/>
      </c>
      <c r="BE1337">
        <f>$C1337*BE1336</f>
        <v/>
      </c>
      <c r="BF1337">
        <f>$C1337*BF1336</f>
        <v/>
      </c>
      <c r="BG1337">
        <f>$C1337*BG1336</f>
        <v/>
      </c>
      <c r="BH1337">
        <f>$C1337*BH1336</f>
        <v/>
      </c>
      <c r="BI1337">
        <f>$C1337*BI1336</f>
        <v/>
      </c>
      <c r="BJ1337">
        <f>$C1337*BJ1336</f>
        <v/>
      </c>
      <c r="BK1337">
        <f>$C1337*BK1336</f>
        <v/>
      </c>
      <c r="BL1337">
        <f>$C1337*BL1336</f>
        <v/>
      </c>
      <c r="BM1337">
        <f>$C1337*BM1336</f>
        <v/>
      </c>
      <c r="BN1337">
        <f>$C1337*BN1336</f>
        <v/>
      </c>
      <c r="BO1337">
        <f>$C1337*BO1336</f>
        <v/>
      </c>
      <c r="BP1337">
        <f>$C1337*BP1336</f>
        <v/>
      </c>
      <c r="BQ1337">
        <f>$C1337*BQ1336</f>
        <v/>
      </c>
      <c r="BR1337">
        <f>$C1337*BR1336</f>
        <v/>
      </c>
      <c r="BS1337">
        <f>$C1337*BS1336</f>
        <v/>
      </c>
      <c r="BT1337">
        <f>$C1337*BT1336</f>
        <v/>
      </c>
      <c r="BU1337">
        <f>$C1337*BU1336</f>
        <v/>
      </c>
      <c r="BV1337">
        <f>$C1337*BV1336</f>
        <v/>
      </c>
      <c r="BW1337">
        <f>$C1337*BW1336</f>
        <v/>
      </c>
      <c r="BX1337">
        <f>$C1337*BX1336</f>
        <v/>
      </c>
      <c r="BY1337">
        <f>$C1337*BY1336</f>
        <v/>
      </c>
      <c r="BZ1337">
        <f>$C1337*BZ1336</f>
        <v/>
      </c>
      <c r="CA1337">
        <f>$C1337*CA1336</f>
        <v/>
      </c>
      <c r="CB1337">
        <f>$C1337*CB1336</f>
        <v/>
      </c>
      <c r="CC1337">
        <f>$C1337*CC1336</f>
        <v/>
      </c>
      <c r="CD1337">
        <f>$C1337*CD1336</f>
        <v/>
      </c>
      <c r="CE1337">
        <f>$C1337*CE1336</f>
        <v/>
      </c>
      <c r="CF1337">
        <f>$C1337*CF1336</f>
        <v/>
      </c>
      <c r="CG1337">
        <f>$C1337*CG1336</f>
        <v/>
      </c>
      <c r="CH1337">
        <f>$C1337*CH1336</f>
        <v/>
      </c>
      <c r="CI1337">
        <f>$C1337*CI1336</f>
        <v/>
      </c>
      <c r="CJ1337">
        <f>$C1337*CJ1336</f>
        <v/>
      </c>
      <c r="CK1337">
        <f>$C1337*CK1336</f>
        <v/>
      </c>
      <c r="CL1337">
        <f>$C1337*CL1336</f>
        <v/>
      </c>
      <c r="CM1337">
        <f>$C1337*CM1336</f>
        <v/>
      </c>
      <c r="CN1337">
        <f>$C1337*CN1336</f>
        <v/>
      </c>
      <c r="CO1337">
        <f>$C1337*CO1336</f>
        <v/>
      </c>
      <c r="CP1337">
        <f>$C1337*CP1336</f>
        <v/>
      </c>
      <c r="CQ1337">
        <f>$C1337*CQ1336</f>
        <v/>
      </c>
      <c r="CR1337">
        <f>$C1337*CR1336</f>
        <v/>
      </c>
      <c r="CS1337">
        <f>$C1337*CS1336</f>
        <v/>
      </c>
      <c r="CT1337">
        <f>$C1337*CT1336</f>
        <v/>
      </c>
      <c r="CU1337">
        <f>$C1337*CU1336</f>
        <v/>
      </c>
      <c r="CV1337">
        <f>$C1337*CV1336</f>
        <v/>
      </c>
      <c r="CW1337">
        <f>$C1337*CW1336</f>
        <v/>
      </c>
      <c r="CX1337">
        <f>$C1337*CX1336</f>
        <v/>
      </c>
      <c r="CY1337">
        <f>$C1337*CY1336</f>
        <v/>
      </c>
      <c r="CZ1337">
        <f>$C1337*CZ1336</f>
        <v/>
      </c>
      <c r="DA1337">
        <f>$C1337*DA1336</f>
        <v/>
      </c>
      <c r="DB1337">
        <f>$C1337*DB1336</f>
        <v/>
      </c>
      <c r="DC1337">
        <f>$C1337*DC1336</f>
        <v/>
      </c>
      <c r="DD1337">
        <f>$C1337*DD1336</f>
        <v/>
      </c>
    </row>
    <row r="1338">
      <c r="B1338" s="4" t="inlineStr">
        <is>
          <t>合計使用量(kg)/週</t>
        </is>
      </c>
      <c r="D1338" s="22">
        <f>IFERROR(INDEX(E1338:DD1338,$F$1),"")</f>
        <v/>
      </c>
      <c r="E1338">
        <f>'Grid_Requirement'!B4</f>
        <v/>
      </c>
      <c r="F1338">
        <f>'Grid_Requirement'!C4</f>
        <v/>
      </c>
      <c r="G1338">
        <f>'Grid_Requirement'!D4</f>
        <v/>
      </c>
      <c r="H1338">
        <f>'Grid_Requirement'!E4</f>
        <v/>
      </c>
      <c r="I1338">
        <f>'Grid_Requirement'!F4</f>
        <v/>
      </c>
      <c r="J1338">
        <f>'Grid_Requirement'!G4</f>
        <v/>
      </c>
      <c r="K1338">
        <f>'Grid_Requirement'!H4</f>
        <v/>
      </c>
      <c r="L1338">
        <f>'Grid_Requirement'!I4</f>
        <v/>
      </c>
      <c r="M1338">
        <f>'Grid_Requirement'!J4</f>
        <v/>
      </c>
      <c r="N1338">
        <f>'Grid_Requirement'!K4</f>
        <v/>
      </c>
      <c r="O1338">
        <f>'Grid_Requirement'!L4</f>
        <v/>
      </c>
      <c r="P1338">
        <f>'Grid_Requirement'!M4</f>
        <v/>
      </c>
      <c r="Q1338">
        <f>'Grid_Requirement'!N4</f>
        <v/>
      </c>
      <c r="R1338">
        <f>'Grid_Requirement'!O4</f>
        <v/>
      </c>
      <c r="S1338">
        <f>'Grid_Requirement'!P4</f>
        <v/>
      </c>
      <c r="T1338">
        <f>'Grid_Requirement'!Q4</f>
        <v/>
      </c>
      <c r="U1338">
        <f>'Grid_Requirement'!R4</f>
        <v/>
      </c>
      <c r="V1338">
        <f>'Grid_Requirement'!S4</f>
        <v/>
      </c>
      <c r="W1338">
        <f>'Grid_Requirement'!T4</f>
        <v/>
      </c>
      <c r="X1338">
        <f>'Grid_Requirement'!U4</f>
        <v/>
      </c>
      <c r="Y1338">
        <f>'Grid_Requirement'!V4</f>
        <v/>
      </c>
      <c r="Z1338">
        <f>'Grid_Requirement'!W4</f>
        <v/>
      </c>
      <c r="AA1338">
        <f>'Grid_Requirement'!X4</f>
        <v/>
      </c>
      <c r="AB1338">
        <f>'Grid_Requirement'!Y4</f>
        <v/>
      </c>
      <c r="AC1338">
        <f>'Grid_Requirement'!Z4</f>
        <v/>
      </c>
      <c r="AD1338">
        <f>'Grid_Requirement'!AA4</f>
        <v/>
      </c>
      <c r="AE1338">
        <f>'Grid_Requirement'!AB4</f>
        <v/>
      </c>
      <c r="AF1338">
        <f>'Grid_Requirement'!AC4</f>
        <v/>
      </c>
      <c r="AG1338">
        <f>'Grid_Requirement'!AD4</f>
        <v/>
      </c>
      <c r="AH1338">
        <f>'Grid_Requirement'!AE4</f>
        <v/>
      </c>
      <c r="AI1338">
        <f>'Grid_Requirement'!AF4</f>
        <v/>
      </c>
      <c r="AJ1338">
        <f>'Grid_Requirement'!AG4</f>
        <v/>
      </c>
      <c r="AK1338">
        <f>'Grid_Requirement'!AH4</f>
        <v/>
      </c>
      <c r="AL1338">
        <f>'Grid_Requirement'!AI4</f>
        <v/>
      </c>
      <c r="AM1338">
        <f>'Grid_Requirement'!AJ4</f>
        <v/>
      </c>
      <c r="AN1338">
        <f>'Grid_Requirement'!AK4</f>
        <v/>
      </c>
      <c r="AO1338">
        <f>'Grid_Requirement'!AL4</f>
        <v/>
      </c>
      <c r="AP1338">
        <f>'Grid_Requirement'!AM4</f>
        <v/>
      </c>
      <c r="AQ1338">
        <f>'Grid_Requirement'!AN4</f>
        <v/>
      </c>
      <c r="AR1338">
        <f>'Grid_Requirement'!AO4</f>
        <v/>
      </c>
      <c r="AS1338">
        <f>'Grid_Requirement'!AP4</f>
        <v/>
      </c>
      <c r="AT1338">
        <f>'Grid_Requirement'!AQ4</f>
        <v/>
      </c>
      <c r="AU1338">
        <f>'Grid_Requirement'!AR4</f>
        <v/>
      </c>
      <c r="AV1338">
        <f>'Grid_Requirement'!AS4</f>
        <v/>
      </c>
      <c r="AW1338">
        <f>'Grid_Requirement'!AT4</f>
        <v/>
      </c>
      <c r="AX1338">
        <f>'Grid_Requirement'!AU4</f>
        <v/>
      </c>
      <c r="AY1338">
        <f>'Grid_Requirement'!AV4</f>
        <v/>
      </c>
      <c r="AZ1338">
        <f>'Grid_Requirement'!AW4</f>
        <v/>
      </c>
      <c r="BA1338">
        <f>'Grid_Requirement'!AX4</f>
        <v/>
      </c>
      <c r="BB1338">
        <f>'Grid_Requirement'!AY4</f>
        <v/>
      </c>
      <c r="BC1338">
        <f>'Grid_Requirement'!AZ4</f>
        <v/>
      </c>
      <c r="BD1338">
        <f>'Grid_Requirement'!BA4</f>
        <v/>
      </c>
      <c r="BE1338">
        <f>'Grid_Requirement'!BB4</f>
        <v/>
      </c>
      <c r="BF1338">
        <f>'Grid_Requirement'!BC4</f>
        <v/>
      </c>
      <c r="BG1338">
        <f>'Grid_Requirement'!BD4</f>
        <v/>
      </c>
      <c r="BH1338">
        <f>'Grid_Requirement'!BE4</f>
        <v/>
      </c>
      <c r="BI1338">
        <f>'Grid_Requirement'!BF4</f>
        <v/>
      </c>
      <c r="BJ1338">
        <f>'Grid_Requirement'!BG4</f>
        <v/>
      </c>
      <c r="BK1338">
        <f>'Grid_Requirement'!BH4</f>
        <v/>
      </c>
      <c r="BL1338">
        <f>'Grid_Requirement'!BI4</f>
        <v/>
      </c>
      <c r="BM1338">
        <f>'Grid_Requirement'!BJ4</f>
        <v/>
      </c>
      <c r="BN1338">
        <f>'Grid_Requirement'!BK4</f>
        <v/>
      </c>
      <c r="BO1338">
        <f>'Grid_Requirement'!BL4</f>
        <v/>
      </c>
      <c r="BP1338">
        <f>'Grid_Requirement'!BM4</f>
        <v/>
      </c>
      <c r="BQ1338">
        <f>'Grid_Requirement'!BN4</f>
        <v/>
      </c>
      <c r="BR1338">
        <f>'Grid_Requirement'!BO4</f>
        <v/>
      </c>
      <c r="BS1338">
        <f>'Grid_Requirement'!BP4</f>
        <v/>
      </c>
      <c r="BT1338">
        <f>'Grid_Requirement'!BQ4</f>
        <v/>
      </c>
      <c r="BU1338">
        <f>'Grid_Requirement'!BR4</f>
        <v/>
      </c>
      <c r="BV1338">
        <f>'Grid_Requirement'!BS4</f>
        <v/>
      </c>
      <c r="BW1338">
        <f>'Grid_Requirement'!BT4</f>
        <v/>
      </c>
      <c r="BX1338">
        <f>'Grid_Requirement'!BU4</f>
        <v/>
      </c>
      <c r="BY1338">
        <f>'Grid_Requirement'!BV4</f>
        <v/>
      </c>
      <c r="BZ1338">
        <f>'Grid_Requirement'!BW4</f>
        <v/>
      </c>
      <c r="CA1338">
        <f>'Grid_Requirement'!BX4</f>
        <v/>
      </c>
      <c r="CB1338">
        <f>'Grid_Requirement'!BY4</f>
        <v/>
      </c>
      <c r="CC1338">
        <f>'Grid_Requirement'!BZ4</f>
        <v/>
      </c>
      <c r="CD1338">
        <f>'Grid_Requirement'!CA4</f>
        <v/>
      </c>
      <c r="CE1338">
        <f>'Grid_Requirement'!CB4</f>
        <v/>
      </c>
      <c r="CF1338">
        <f>'Grid_Requirement'!CC4</f>
        <v/>
      </c>
      <c r="CG1338">
        <f>'Grid_Requirement'!CD4</f>
        <v/>
      </c>
      <c r="CH1338">
        <f>'Grid_Requirement'!CE4</f>
        <v/>
      </c>
      <c r="CI1338">
        <f>'Grid_Requirement'!CF4</f>
        <v/>
      </c>
      <c r="CJ1338">
        <f>'Grid_Requirement'!CG4</f>
        <v/>
      </c>
      <c r="CK1338">
        <f>'Grid_Requirement'!CH4</f>
        <v/>
      </c>
      <c r="CL1338">
        <f>'Grid_Requirement'!CI4</f>
        <v/>
      </c>
      <c r="CM1338">
        <f>'Grid_Requirement'!CJ4</f>
        <v/>
      </c>
      <c r="CN1338">
        <f>'Grid_Requirement'!CK4</f>
        <v/>
      </c>
      <c r="CO1338">
        <f>'Grid_Requirement'!CL4</f>
        <v/>
      </c>
      <c r="CP1338">
        <f>'Grid_Requirement'!CM4</f>
        <v/>
      </c>
      <c r="CQ1338">
        <f>'Grid_Requirement'!CN4</f>
        <v/>
      </c>
      <c r="CR1338">
        <f>'Grid_Requirement'!CO4</f>
        <v/>
      </c>
      <c r="CS1338">
        <f>'Grid_Requirement'!CP4</f>
        <v/>
      </c>
      <c r="CT1338">
        <f>'Grid_Requirement'!CQ4</f>
        <v/>
      </c>
      <c r="CU1338">
        <f>'Grid_Requirement'!CR4</f>
        <v/>
      </c>
      <c r="CV1338">
        <f>'Grid_Requirement'!CS4</f>
        <v/>
      </c>
      <c r="CW1338">
        <f>'Grid_Requirement'!CT4</f>
        <v/>
      </c>
      <c r="CX1338">
        <f>'Grid_Requirement'!CU4</f>
        <v/>
      </c>
      <c r="CY1338">
        <f>'Grid_Requirement'!CV4</f>
        <v/>
      </c>
      <c r="CZ1338">
        <f>'Grid_Requirement'!CW4</f>
        <v/>
      </c>
      <c r="DA1338">
        <f>'Grid_Requirement'!CX4</f>
        <v/>
      </c>
      <c r="DB1338">
        <f>'Grid_Requirement'!CY4</f>
        <v/>
      </c>
      <c r="DC1338">
        <f>'Grid_Requirement'!CZ4</f>
        <v/>
      </c>
      <c r="DD1338">
        <f>'Grid_Requirement'!DA4</f>
        <v/>
      </c>
    </row>
    <row r="1339">
      <c r="B1339" s="23" t="inlineStr">
        <is>
          <t>（在庫・入荷予定はDashboard参照）</t>
        </is>
      </c>
    </row>
    <row r="1341">
      <c r="A1341" s="21" t="inlineStr">
        <is>
          <t>CHEM-1780</t>
        </is>
      </c>
      <c r="B1341" s="21" t="inlineStr">
        <is>
          <t>Diamonium Citrate</t>
        </is>
      </c>
      <c r="C1341" s="21" t="n"/>
      <c r="D1341" s="21" t="n"/>
      <c r="E1341" s="21" t="n"/>
      <c r="F1341" s="21" t="n"/>
      <c r="G1341" s="21" t="n"/>
      <c r="H1341" s="21" t="n"/>
      <c r="I1341" s="21" t="n"/>
      <c r="J1341" s="21" t="n"/>
      <c r="K1341" s="21" t="n"/>
      <c r="L1341" s="21" t="n"/>
      <c r="M1341" s="21" t="n"/>
      <c r="N1341" s="21" t="n"/>
      <c r="O1341" s="21" t="n"/>
      <c r="P1341" s="21" t="n"/>
      <c r="Q1341" s="21" t="n"/>
      <c r="R1341" s="21" t="n"/>
      <c r="S1341" s="21" t="n"/>
      <c r="T1341" s="21" t="n"/>
      <c r="U1341" s="21" t="n"/>
      <c r="V1341" s="21" t="n"/>
      <c r="W1341" s="21" t="n"/>
      <c r="X1341" s="21" t="n"/>
      <c r="Y1341" s="21" t="n"/>
      <c r="Z1341" s="21" t="n"/>
      <c r="AA1341" s="21" t="n"/>
      <c r="AB1341" s="21" t="n"/>
      <c r="AC1341" s="21" t="n"/>
      <c r="AD1341" s="21" t="n"/>
      <c r="AE1341" s="21" t="n"/>
      <c r="AF1341" s="21" t="n"/>
      <c r="AG1341" s="21" t="n"/>
      <c r="AH1341" s="21" t="n"/>
      <c r="AI1341" s="21" t="n"/>
      <c r="AJ1341" s="21" t="n"/>
      <c r="AK1341" s="21" t="n"/>
      <c r="AL1341" s="21" t="n"/>
      <c r="AM1341" s="21" t="n"/>
      <c r="AN1341" s="21" t="n"/>
      <c r="AO1341" s="21" t="n"/>
      <c r="AP1341" s="21" t="n"/>
      <c r="AQ1341" s="21" t="n"/>
      <c r="AR1341" s="21" t="n"/>
      <c r="AS1341" s="21" t="n"/>
      <c r="AT1341" s="21" t="n"/>
      <c r="AU1341" s="21" t="n"/>
      <c r="AV1341" s="21" t="n"/>
      <c r="AW1341" s="21" t="n"/>
      <c r="AX1341" s="21" t="n"/>
      <c r="AY1341" s="21" t="n"/>
      <c r="AZ1341" s="21" t="n"/>
      <c r="BA1341" s="21" t="n"/>
      <c r="BB1341" s="21" t="n"/>
      <c r="BC1341" s="21" t="n"/>
      <c r="BD1341" s="21" t="n"/>
      <c r="BE1341" s="21" t="n"/>
      <c r="BF1341" s="21" t="n"/>
      <c r="BG1341" s="21" t="n"/>
      <c r="BH1341" s="21" t="n"/>
      <c r="BI1341" s="21" t="n"/>
      <c r="BJ1341" s="21" t="n"/>
      <c r="BK1341" s="21" t="n"/>
      <c r="BL1341" s="21" t="n"/>
      <c r="BM1341" s="21" t="n"/>
      <c r="BN1341" s="21" t="n"/>
      <c r="BO1341" s="21" t="n"/>
      <c r="BP1341" s="21" t="n"/>
      <c r="BQ1341" s="21" t="n"/>
      <c r="BR1341" s="21" t="n"/>
      <c r="BS1341" s="21" t="n"/>
      <c r="BT1341" s="21" t="n"/>
      <c r="BU1341" s="21" t="n"/>
      <c r="BV1341" s="21" t="n"/>
      <c r="BW1341" s="21" t="n"/>
      <c r="BX1341" s="21" t="n"/>
      <c r="BY1341" s="21" t="n"/>
      <c r="BZ1341" s="21" t="n"/>
      <c r="CA1341" s="21" t="n"/>
      <c r="CB1341" s="21" t="n"/>
      <c r="CC1341" s="21" t="n"/>
      <c r="CD1341" s="21" t="n"/>
      <c r="CE1341" s="21" t="n"/>
      <c r="CF1341" s="21" t="n"/>
      <c r="CG1341" s="21" t="n"/>
      <c r="CH1341" s="21" t="n"/>
      <c r="CI1341" s="21" t="n"/>
      <c r="CJ1341" s="21" t="n"/>
      <c r="CK1341" s="21" t="n"/>
      <c r="CL1341" s="21" t="n"/>
      <c r="CM1341" s="21" t="n"/>
      <c r="CN1341" s="21" t="n"/>
      <c r="CO1341" s="21" t="n"/>
      <c r="CP1341" s="21" t="n"/>
      <c r="CQ1341" s="21" t="n"/>
      <c r="CR1341" s="21" t="n"/>
      <c r="CS1341" s="21" t="n"/>
      <c r="CT1341" s="21" t="n"/>
      <c r="CU1341" s="21" t="n"/>
      <c r="CV1341" s="21" t="n"/>
      <c r="CW1341" s="21" t="n"/>
      <c r="CX1341" s="21" t="n"/>
      <c r="CY1341" s="21" t="n"/>
      <c r="CZ1341" s="21" t="n"/>
      <c r="DA1341" s="21" t="n"/>
      <c r="DB1341" s="21" t="n"/>
      <c r="DC1341" s="21" t="n"/>
      <c r="DD1341" s="21" t="n"/>
    </row>
    <row r="1342">
      <c r="B1342" t="inlineStr">
        <is>
          <t>TSP-903</t>
        </is>
      </c>
      <c r="C1342" t="inlineStr">
        <is>
          <t>No. of batches</t>
        </is>
      </c>
      <c r="D1342">
        <f>IFERROR(INDEX(E1342:DD1342,$F$1),"")</f>
        <v/>
      </c>
      <c r="E1342">
        <f>IFERROR(INDEX(PP_Grid[#Data],$DE1342,2),0)</f>
        <v/>
      </c>
      <c r="F1342">
        <f>IFERROR(INDEX(PP_Grid[#Data],$DE1342,3),0)</f>
        <v/>
      </c>
      <c r="G1342">
        <f>IFERROR(INDEX(PP_Grid[#Data],$DE1342,4),0)</f>
        <v/>
      </c>
      <c r="H1342">
        <f>IFERROR(INDEX(PP_Grid[#Data],$DE1342,5),0)</f>
        <v/>
      </c>
      <c r="I1342">
        <f>IFERROR(INDEX(PP_Grid[#Data],$DE1342,6),0)</f>
        <v/>
      </c>
      <c r="J1342">
        <f>IFERROR(INDEX(PP_Grid[#Data],$DE1342,7),0)</f>
        <v/>
      </c>
      <c r="K1342">
        <f>IFERROR(INDEX(PP_Grid[#Data],$DE1342,8),0)</f>
        <v/>
      </c>
      <c r="L1342">
        <f>IFERROR(INDEX(PP_Grid[#Data],$DE1342,9),0)</f>
        <v/>
      </c>
      <c r="M1342">
        <f>IFERROR(INDEX(PP_Grid[#Data],$DE1342,10),0)</f>
        <v/>
      </c>
      <c r="N1342">
        <f>IFERROR(INDEX(PP_Grid[#Data],$DE1342,11),0)</f>
        <v/>
      </c>
      <c r="O1342">
        <f>IFERROR(INDEX(PP_Grid[#Data],$DE1342,12),0)</f>
        <v/>
      </c>
      <c r="P1342">
        <f>IFERROR(INDEX(PP_Grid[#Data],$DE1342,13),0)</f>
        <v/>
      </c>
      <c r="Q1342">
        <f>IFERROR(INDEX(PP_Grid[#Data],$DE1342,14),0)</f>
        <v/>
      </c>
      <c r="R1342">
        <f>IFERROR(INDEX(PP_Grid[#Data],$DE1342,15),0)</f>
        <v/>
      </c>
      <c r="S1342">
        <f>IFERROR(INDEX(PP_Grid[#Data],$DE1342,16),0)</f>
        <v/>
      </c>
      <c r="T1342">
        <f>IFERROR(INDEX(PP_Grid[#Data],$DE1342,17),0)</f>
        <v/>
      </c>
      <c r="U1342">
        <f>IFERROR(INDEX(PP_Grid[#Data],$DE1342,18),0)</f>
        <v/>
      </c>
      <c r="V1342">
        <f>IFERROR(INDEX(PP_Grid[#Data],$DE1342,19),0)</f>
        <v/>
      </c>
      <c r="W1342">
        <f>IFERROR(INDEX(PP_Grid[#Data],$DE1342,20),0)</f>
        <v/>
      </c>
      <c r="X1342">
        <f>IFERROR(INDEX(PP_Grid[#Data],$DE1342,21),0)</f>
        <v/>
      </c>
      <c r="Y1342">
        <f>IFERROR(INDEX(PP_Grid[#Data],$DE1342,22),0)</f>
        <v/>
      </c>
      <c r="Z1342">
        <f>IFERROR(INDEX(PP_Grid[#Data],$DE1342,23),0)</f>
        <v/>
      </c>
      <c r="AA1342">
        <f>IFERROR(INDEX(PP_Grid[#Data],$DE1342,24),0)</f>
        <v/>
      </c>
      <c r="AB1342">
        <f>IFERROR(INDEX(PP_Grid[#Data],$DE1342,25),0)</f>
        <v/>
      </c>
      <c r="AC1342">
        <f>IFERROR(INDEX(PP_Grid[#Data],$DE1342,26),0)</f>
        <v/>
      </c>
      <c r="AD1342">
        <f>IFERROR(INDEX(PP_Grid[#Data],$DE1342,27),0)</f>
        <v/>
      </c>
      <c r="AE1342">
        <f>IFERROR(INDEX(PP_Grid[#Data],$DE1342,28),0)</f>
        <v/>
      </c>
      <c r="AF1342">
        <f>IFERROR(INDEX(PP_Grid[#Data],$DE1342,29),0)</f>
        <v/>
      </c>
      <c r="AG1342">
        <f>IFERROR(INDEX(PP_Grid[#Data],$DE1342,30),0)</f>
        <v/>
      </c>
      <c r="AH1342">
        <f>IFERROR(INDEX(PP_Grid[#Data],$DE1342,31),0)</f>
        <v/>
      </c>
      <c r="AI1342">
        <f>IFERROR(INDEX(PP_Grid[#Data],$DE1342,32),0)</f>
        <v/>
      </c>
      <c r="AJ1342">
        <f>IFERROR(INDEX(PP_Grid[#Data],$DE1342,33),0)</f>
        <v/>
      </c>
      <c r="AK1342">
        <f>IFERROR(INDEX(PP_Grid[#Data],$DE1342,34),0)</f>
        <v/>
      </c>
      <c r="AL1342">
        <f>IFERROR(INDEX(PP_Grid[#Data],$DE1342,35),0)</f>
        <v/>
      </c>
      <c r="AM1342">
        <f>IFERROR(INDEX(PP_Grid[#Data],$DE1342,36),0)</f>
        <v/>
      </c>
      <c r="AN1342">
        <f>IFERROR(INDEX(PP_Grid[#Data],$DE1342,37),0)</f>
        <v/>
      </c>
      <c r="AO1342">
        <f>IFERROR(INDEX(PP_Grid[#Data],$DE1342,38),0)</f>
        <v/>
      </c>
      <c r="AP1342">
        <f>IFERROR(INDEX(PP_Grid[#Data],$DE1342,39),0)</f>
        <v/>
      </c>
      <c r="AQ1342">
        <f>IFERROR(INDEX(PP_Grid[#Data],$DE1342,40),0)</f>
        <v/>
      </c>
      <c r="AR1342">
        <f>IFERROR(INDEX(PP_Grid[#Data],$DE1342,41),0)</f>
        <v/>
      </c>
      <c r="AS1342">
        <f>IFERROR(INDEX(PP_Grid[#Data],$DE1342,42),0)</f>
        <v/>
      </c>
      <c r="AT1342">
        <f>IFERROR(INDEX(PP_Grid[#Data],$DE1342,43),0)</f>
        <v/>
      </c>
      <c r="AU1342">
        <f>IFERROR(INDEX(PP_Grid[#Data],$DE1342,44),0)</f>
        <v/>
      </c>
      <c r="AV1342">
        <f>IFERROR(INDEX(PP_Grid[#Data],$DE1342,45),0)</f>
        <v/>
      </c>
      <c r="AW1342">
        <f>IFERROR(INDEX(PP_Grid[#Data],$DE1342,46),0)</f>
        <v/>
      </c>
      <c r="AX1342">
        <f>IFERROR(INDEX(PP_Grid[#Data],$DE1342,47),0)</f>
        <v/>
      </c>
      <c r="AY1342">
        <f>IFERROR(INDEX(PP_Grid[#Data],$DE1342,48),0)</f>
        <v/>
      </c>
      <c r="AZ1342">
        <f>IFERROR(INDEX(PP_Grid[#Data],$DE1342,49),0)</f>
        <v/>
      </c>
      <c r="BA1342">
        <f>IFERROR(INDEX(PP_Grid[#Data],$DE1342,50),0)</f>
        <v/>
      </c>
      <c r="BB1342">
        <f>IFERROR(INDEX(PP_Grid[#Data],$DE1342,51),0)</f>
        <v/>
      </c>
      <c r="BC1342">
        <f>IFERROR(INDEX(PP_Grid[#Data],$DE1342,52),0)</f>
        <v/>
      </c>
      <c r="BD1342">
        <f>IFERROR(INDEX(PP_Grid[#Data],$DE1342,53),0)</f>
        <v/>
      </c>
      <c r="BE1342">
        <f>IFERROR(INDEX(PP_Grid[#Data],$DE1342,54),0)</f>
        <v/>
      </c>
      <c r="BF1342">
        <f>IFERROR(INDEX(PP_Grid[#Data],$DE1342,55),0)</f>
        <v/>
      </c>
      <c r="BG1342">
        <f>IFERROR(INDEX(PP_Grid[#Data],$DE1342,56),0)</f>
        <v/>
      </c>
      <c r="BH1342">
        <f>IFERROR(INDEX(PP_Grid[#Data],$DE1342,57),0)</f>
        <v/>
      </c>
      <c r="BI1342">
        <f>IFERROR(INDEX(PP_Grid[#Data],$DE1342,58),0)</f>
        <v/>
      </c>
      <c r="BJ1342">
        <f>IFERROR(INDEX(PP_Grid[#Data],$DE1342,59),0)</f>
        <v/>
      </c>
      <c r="BK1342">
        <f>IFERROR(INDEX(PP_Grid[#Data],$DE1342,60),0)</f>
        <v/>
      </c>
      <c r="BL1342">
        <f>IFERROR(INDEX(PP_Grid[#Data],$DE1342,61),0)</f>
        <v/>
      </c>
      <c r="BM1342">
        <f>IFERROR(INDEX(PP_Grid[#Data],$DE1342,62),0)</f>
        <v/>
      </c>
      <c r="BN1342">
        <f>IFERROR(INDEX(PP_Grid[#Data],$DE1342,63),0)</f>
        <v/>
      </c>
      <c r="BO1342">
        <f>IFERROR(INDEX(PP_Grid[#Data],$DE1342,64),0)</f>
        <v/>
      </c>
      <c r="BP1342">
        <f>IFERROR(INDEX(PP_Grid[#Data],$DE1342,65),0)</f>
        <v/>
      </c>
      <c r="BQ1342">
        <f>IFERROR(INDEX(PP_Grid[#Data],$DE1342,66),0)</f>
        <v/>
      </c>
      <c r="BR1342">
        <f>IFERROR(INDEX(PP_Grid[#Data],$DE1342,67),0)</f>
        <v/>
      </c>
      <c r="BS1342">
        <f>IFERROR(INDEX(PP_Grid[#Data],$DE1342,68),0)</f>
        <v/>
      </c>
      <c r="BT1342">
        <f>IFERROR(INDEX(PP_Grid[#Data],$DE1342,69),0)</f>
        <v/>
      </c>
      <c r="BU1342">
        <f>IFERROR(INDEX(PP_Grid[#Data],$DE1342,70),0)</f>
        <v/>
      </c>
      <c r="BV1342">
        <f>IFERROR(INDEX(PP_Grid[#Data],$DE1342,71),0)</f>
        <v/>
      </c>
      <c r="BW1342">
        <f>IFERROR(INDEX(PP_Grid[#Data],$DE1342,72),0)</f>
        <v/>
      </c>
      <c r="BX1342">
        <f>IFERROR(INDEX(PP_Grid[#Data],$DE1342,73),0)</f>
        <v/>
      </c>
      <c r="BY1342">
        <f>IFERROR(INDEX(PP_Grid[#Data],$DE1342,74),0)</f>
        <v/>
      </c>
      <c r="BZ1342">
        <f>IFERROR(INDEX(PP_Grid[#Data],$DE1342,75),0)</f>
        <v/>
      </c>
      <c r="CA1342">
        <f>IFERROR(INDEX(PP_Grid[#Data],$DE1342,76),0)</f>
        <v/>
      </c>
      <c r="CB1342">
        <f>IFERROR(INDEX(PP_Grid[#Data],$DE1342,77),0)</f>
        <v/>
      </c>
      <c r="CC1342">
        <f>IFERROR(INDEX(PP_Grid[#Data],$DE1342,78),0)</f>
        <v/>
      </c>
      <c r="CD1342">
        <f>IFERROR(INDEX(PP_Grid[#Data],$DE1342,79),0)</f>
        <v/>
      </c>
      <c r="CE1342">
        <f>IFERROR(INDEX(PP_Grid[#Data],$DE1342,80),0)</f>
        <v/>
      </c>
      <c r="CF1342">
        <f>IFERROR(INDEX(PP_Grid[#Data],$DE1342,81),0)</f>
        <v/>
      </c>
      <c r="CG1342">
        <f>IFERROR(INDEX(PP_Grid[#Data],$DE1342,82),0)</f>
        <v/>
      </c>
      <c r="CH1342">
        <f>IFERROR(INDEX(PP_Grid[#Data],$DE1342,83),0)</f>
        <v/>
      </c>
      <c r="CI1342">
        <f>IFERROR(INDEX(PP_Grid[#Data],$DE1342,84),0)</f>
        <v/>
      </c>
      <c r="CJ1342">
        <f>IFERROR(INDEX(PP_Grid[#Data],$DE1342,85),0)</f>
        <v/>
      </c>
      <c r="CK1342">
        <f>IFERROR(INDEX(PP_Grid[#Data],$DE1342,86),0)</f>
        <v/>
      </c>
      <c r="CL1342">
        <f>IFERROR(INDEX(PP_Grid[#Data],$DE1342,87),0)</f>
        <v/>
      </c>
      <c r="CM1342">
        <f>IFERROR(INDEX(PP_Grid[#Data],$DE1342,88),0)</f>
        <v/>
      </c>
      <c r="CN1342">
        <f>IFERROR(INDEX(PP_Grid[#Data],$DE1342,89),0)</f>
        <v/>
      </c>
      <c r="CO1342">
        <f>IFERROR(INDEX(PP_Grid[#Data],$DE1342,90),0)</f>
        <v/>
      </c>
      <c r="CP1342">
        <f>IFERROR(INDEX(PP_Grid[#Data],$DE1342,91),0)</f>
        <v/>
      </c>
      <c r="CQ1342">
        <f>IFERROR(INDEX(PP_Grid[#Data],$DE1342,92),0)</f>
        <v/>
      </c>
      <c r="CR1342">
        <f>IFERROR(INDEX(PP_Grid[#Data],$DE1342,93),0)</f>
        <v/>
      </c>
      <c r="CS1342">
        <f>IFERROR(INDEX(PP_Grid[#Data],$DE1342,94),0)</f>
        <v/>
      </c>
      <c r="CT1342">
        <f>IFERROR(INDEX(PP_Grid[#Data],$DE1342,95),0)</f>
        <v/>
      </c>
      <c r="CU1342">
        <f>IFERROR(INDEX(PP_Grid[#Data],$DE1342,96),0)</f>
        <v/>
      </c>
      <c r="CV1342">
        <f>IFERROR(INDEX(PP_Grid[#Data],$DE1342,97),0)</f>
        <v/>
      </c>
      <c r="CW1342">
        <f>IFERROR(INDEX(PP_Grid[#Data],$DE1342,98),0)</f>
        <v/>
      </c>
      <c r="CX1342">
        <f>IFERROR(INDEX(PP_Grid[#Data],$DE1342,99),0)</f>
        <v/>
      </c>
      <c r="CY1342">
        <f>IFERROR(INDEX(PP_Grid[#Data],$DE1342,100),0)</f>
        <v/>
      </c>
      <c r="CZ1342">
        <f>IFERROR(INDEX(PP_Grid[#Data],$DE1342,101),0)</f>
        <v/>
      </c>
      <c r="DA1342">
        <f>IFERROR(INDEX(PP_Grid[#Data],$DE1342,102),0)</f>
        <v/>
      </c>
      <c r="DB1342">
        <f>IFERROR(INDEX(PP_Grid[#Data],$DE1342,103),0)</f>
        <v/>
      </c>
      <c r="DC1342">
        <f>IFERROR(INDEX(PP_Grid[#Data],$DE1342,104),0)</f>
        <v/>
      </c>
      <c r="DD1342">
        <f>IFERROR(INDEX(PP_Grid[#Data],$DE1342,105),0)</f>
        <v/>
      </c>
      <c r="DE1342" s="7">
        <f>IFERROR(MATCH($B1342,PP_Grid[Intermediate],0),99999)</f>
        <v/>
      </c>
    </row>
    <row r="1343">
      <c r="B1343" t="inlineStr">
        <is>
          <t>使用量(kg)</t>
        </is>
      </c>
      <c r="C1343">
        <f>SUMIFS(M_BOM[RM_Qty_Per_Batch],M_BOM[Intermediate],$B1342,M_BOM[RM_Code],$A1341)</f>
        <v/>
      </c>
      <c r="D1343">
        <f>IFERROR(INDEX(E1343:DD1343,$F$1),"")</f>
        <v/>
      </c>
      <c r="E1343">
        <f>$C1343*E1342</f>
        <v/>
      </c>
      <c r="F1343">
        <f>$C1343*F1342</f>
        <v/>
      </c>
      <c r="G1343">
        <f>$C1343*G1342</f>
        <v/>
      </c>
      <c r="H1343">
        <f>$C1343*H1342</f>
        <v/>
      </c>
      <c r="I1343">
        <f>$C1343*I1342</f>
        <v/>
      </c>
      <c r="J1343">
        <f>$C1343*J1342</f>
        <v/>
      </c>
      <c r="K1343">
        <f>$C1343*K1342</f>
        <v/>
      </c>
      <c r="L1343">
        <f>$C1343*L1342</f>
        <v/>
      </c>
      <c r="M1343">
        <f>$C1343*M1342</f>
        <v/>
      </c>
      <c r="N1343">
        <f>$C1343*N1342</f>
        <v/>
      </c>
      <c r="O1343">
        <f>$C1343*O1342</f>
        <v/>
      </c>
      <c r="P1343">
        <f>$C1343*P1342</f>
        <v/>
      </c>
      <c r="Q1343">
        <f>$C1343*Q1342</f>
        <v/>
      </c>
      <c r="R1343">
        <f>$C1343*R1342</f>
        <v/>
      </c>
      <c r="S1343">
        <f>$C1343*S1342</f>
        <v/>
      </c>
      <c r="T1343">
        <f>$C1343*T1342</f>
        <v/>
      </c>
      <c r="U1343">
        <f>$C1343*U1342</f>
        <v/>
      </c>
      <c r="V1343">
        <f>$C1343*V1342</f>
        <v/>
      </c>
      <c r="W1343">
        <f>$C1343*W1342</f>
        <v/>
      </c>
      <c r="X1343">
        <f>$C1343*X1342</f>
        <v/>
      </c>
      <c r="Y1343">
        <f>$C1343*Y1342</f>
        <v/>
      </c>
      <c r="Z1343">
        <f>$C1343*Z1342</f>
        <v/>
      </c>
      <c r="AA1343">
        <f>$C1343*AA1342</f>
        <v/>
      </c>
      <c r="AB1343">
        <f>$C1343*AB1342</f>
        <v/>
      </c>
      <c r="AC1343">
        <f>$C1343*AC1342</f>
        <v/>
      </c>
      <c r="AD1343">
        <f>$C1343*AD1342</f>
        <v/>
      </c>
      <c r="AE1343">
        <f>$C1343*AE1342</f>
        <v/>
      </c>
      <c r="AF1343">
        <f>$C1343*AF1342</f>
        <v/>
      </c>
      <c r="AG1343">
        <f>$C1343*AG1342</f>
        <v/>
      </c>
      <c r="AH1343">
        <f>$C1343*AH1342</f>
        <v/>
      </c>
      <c r="AI1343">
        <f>$C1343*AI1342</f>
        <v/>
      </c>
      <c r="AJ1343">
        <f>$C1343*AJ1342</f>
        <v/>
      </c>
      <c r="AK1343">
        <f>$C1343*AK1342</f>
        <v/>
      </c>
      <c r="AL1343">
        <f>$C1343*AL1342</f>
        <v/>
      </c>
      <c r="AM1343">
        <f>$C1343*AM1342</f>
        <v/>
      </c>
      <c r="AN1343">
        <f>$C1343*AN1342</f>
        <v/>
      </c>
      <c r="AO1343">
        <f>$C1343*AO1342</f>
        <v/>
      </c>
      <c r="AP1343">
        <f>$C1343*AP1342</f>
        <v/>
      </c>
      <c r="AQ1343">
        <f>$C1343*AQ1342</f>
        <v/>
      </c>
      <c r="AR1343">
        <f>$C1343*AR1342</f>
        <v/>
      </c>
      <c r="AS1343">
        <f>$C1343*AS1342</f>
        <v/>
      </c>
      <c r="AT1343">
        <f>$C1343*AT1342</f>
        <v/>
      </c>
      <c r="AU1343">
        <f>$C1343*AU1342</f>
        <v/>
      </c>
      <c r="AV1343">
        <f>$C1343*AV1342</f>
        <v/>
      </c>
      <c r="AW1343">
        <f>$C1343*AW1342</f>
        <v/>
      </c>
      <c r="AX1343">
        <f>$C1343*AX1342</f>
        <v/>
      </c>
      <c r="AY1343">
        <f>$C1343*AY1342</f>
        <v/>
      </c>
      <c r="AZ1343">
        <f>$C1343*AZ1342</f>
        <v/>
      </c>
      <c r="BA1343">
        <f>$C1343*BA1342</f>
        <v/>
      </c>
      <c r="BB1343">
        <f>$C1343*BB1342</f>
        <v/>
      </c>
      <c r="BC1343">
        <f>$C1343*BC1342</f>
        <v/>
      </c>
      <c r="BD1343">
        <f>$C1343*BD1342</f>
        <v/>
      </c>
      <c r="BE1343">
        <f>$C1343*BE1342</f>
        <v/>
      </c>
      <c r="BF1343">
        <f>$C1343*BF1342</f>
        <v/>
      </c>
      <c r="BG1343">
        <f>$C1343*BG1342</f>
        <v/>
      </c>
      <c r="BH1343">
        <f>$C1343*BH1342</f>
        <v/>
      </c>
      <c r="BI1343">
        <f>$C1343*BI1342</f>
        <v/>
      </c>
      <c r="BJ1343">
        <f>$C1343*BJ1342</f>
        <v/>
      </c>
      <c r="BK1343">
        <f>$C1343*BK1342</f>
        <v/>
      </c>
      <c r="BL1343">
        <f>$C1343*BL1342</f>
        <v/>
      </c>
      <c r="BM1343">
        <f>$C1343*BM1342</f>
        <v/>
      </c>
      <c r="BN1343">
        <f>$C1343*BN1342</f>
        <v/>
      </c>
      <c r="BO1343">
        <f>$C1343*BO1342</f>
        <v/>
      </c>
      <c r="BP1343">
        <f>$C1343*BP1342</f>
        <v/>
      </c>
      <c r="BQ1343">
        <f>$C1343*BQ1342</f>
        <v/>
      </c>
      <c r="BR1343">
        <f>$C1343*BR1342</f>
        <v/>
      </c>
      <c r="BS1343">
        <f>$C1343*BS1342</f>
        <v/>
      </c>
      <c r="BT1343">
        <f>$C1343*BT1342</f>
        <v/>
      </c>
      <c r="BU1343">
        <f>$C1343*BU1342</f>
        <v/>
      </c>
      <c r="BV1343">
        <f>$C1343*BV1342</f>
        <v/>
      </c>
      <c r="BW1343">
        <f>$C1343*BW1342</f>
        <v/>
      </c>
      <c r="BX1343">
        <f>$C1343*BX1342</f>
        <v/>
      </c>
      <c r="BY1343">
        <f>$C1343*BY1342</f>
        <v/>
      </c>
      <c r="BZ1343">
        <f>$C1343*BZ1342</f>
        <v/>
      </c>
      <c r="CA1343">
        <f>$C1343*CA1342</f>
        <v/>
      </c>
      <c r="CB1343">
        <f>$C1343*CB1342</f>
        <v/>
      </c>
      <c r="CC1343">
        <f>$C1343*CC1342</f>
        <v/>
      </c>
      <c r="CD1343">
        <f>$C1343*CD1342</f>
        <v/>
      </c>
      <c r="CE1343">
        <f>$C1343*CE1342</f>
        <v/>
      </c>
      <c r="CF1343">
        <f>$C1343*CF1342</f>
        <v/>
      </c>
      <c r="CG1343">
        <f>$C1343*CG1342</f>
        <v/>
      </c>
      <c r="CH1343">
        <f>$C1343*CH1342</f>
        <v/>
      </c>
      <c r="CI1343">
        <f>$C1343*CI1342</f>
        <v/>
      </c>
      <c r="CJ1343">
        <f>$C1343*CJ1342</f>
        <v/>
      </c>
      <c r="CK1343">
        <f>$C1343*CK1342</f>
        <v/>
      </c>
      <c r="CL1343">
        <f>$C1343*CL1342</f>
        <v/>
      </c>
      <c r="CM1343">
        <f>$C1343*CM1342</f>
        <v/>
      </c>
      <c r="CN1343">
        <f>$C1343*CN1342</f>
        <v/>
      </c>
      <c r="CO1343">
        <f>$C1343*CO1342</f>
        <v/>
      </c>
      <c r="CP1343">
        <f>$C1343*CP1342</f>
        <v/>
      </c>
      <c r="CQ1343">
        <f>$C1343*CQ1342</f>
        <v/>
      </c>
      <c r="CR1343">
        <f>$C1343*CR1342</f>
        <v/>
      </c>
      <c r="CS1343">
        <f>$C1343*CS1342</f>
        <v/>
      </c>
      <c r="CT1343">
        <f>$C1343*CT1342</f>
        <v/>
      </c>
      <c r="CU1343">
        <f>$C1343*CU1342</f>
        <v/>
      </c>
      <c r="CV1343">
        <f>$C1343*CV1342</f>
        <v/>
      </c>
      <c r="CW1343">
        <f>$C1343*CW1342</f>
        <v/>
      </c>
      <c r="CX1343">
        <f>$C1343*CX1342</f>
        <v/>
      </c>
      <c r="CY1343">
        <f>$C1343*CY1342</f>
        <v/>
      </c>
      <c r="CZ1343">
        <f>$C1343*CZ1342</f>
        <v/>
      </c>
      <c r="DA1343">
        <f>$C1343*DA1342</f>
        <v/>
      </c>
      <c r="DB1343">
        <f>$C1343*DB1342</f>
        <v/>
      </c>
      <c r="DC1343">
        <f>$C1343*DC1342</f>
        <v/>
      </c>
      <c r="DD1343">
        <f>$C1343*DD1342</f>
        <v/>
      </c>
    </row>
    <row r="1344">
      <c r="B1344" t="inlineStr">
        <is>
          <t>TSP-1499</t>
        </is>
      </c>
      <c r="C1344" t="inlineStr">
        <is>
          <t>No. of batches</t>
        </is>
      </c>
      <c r="D1344">
        <f>IFERROR(INDEX(E1344:DD1344,$F$1),"")</f>
        <v/>
      </c>
      <c r="E1344">
        <f>IFERROR(INDEX(PP_Grid[#Data],$DE1344,2),0)</f>
        <v/>
      </c>
      <c r="F1344">
        <f>IFERROR(INDEX(PP_Grid[#Data],$DE1344,3),0)</f>
        <v/>
      </c>
      <c r="G1344">
        <f>IFERROR(INDEX(PP_Grid[#Data],$DE1344,4),0)</f>
        <v/>
      </c>
      <c r="H1344">
        <f>IFERROR(INDEX(PP_Grid[#Data],$DE1344,5),0)</f>
        <v/>
      </c>
      <c r="I1344">
        <f>IFERROR(INDEX(PP_Grid[#Data],$DE1344,6),0)</f>
        <v/>
      </c>
      <c r="J1344">
        <f>IFERROR(INDEX(PP_Grid[#Data],$DE1344,7),0)</f>
        <v/>
      </c>
      <c r="K1344">
        <f>IFERROR(INDEX(PP_Grid[#Data],$DE1344,8),0)</f>
        <v/>
      </c>
      <c r="L1344">
        <f>IFERROR(INDEX(PP_Grid[#Data],$DE1344,9),0)</f>
        <v/>
      </c>
      <c r="M1344">
        <f>IFERROR(INDEX(PP_Grid[#Data],$DE1344,10),0)</f>
        <v/>
      </c>
      <c r="N1344">
        <f>IFERROR(INDEX(PP_Grid[#Data],$DE1344,11),0)</f>
        <v/>
      </c>
      <c r="O1344">
        <f>IFERROR(INDEX(PP_Grid[#Data],$DE1344,12),0)</f>
        <v/>
      </c>
      <c r="P1344">
        <f>IFERROR(INDEX(PP_Grid[#Data],$DE1344,13),0)</f>
        <v/>
      </c>
      <c r="Q1344">
        <f>IFERROR(INDEX(PP_Grid[#Data],$DE1344,14),0)</f>
        <v/>
      </c>
      <c r="R1344">
        <f>IFERROR(INDEX(PP_Grid[#Data],$DE1344,15),0)</f>
        <v/>
      </c>
      <c r="S1344">
        <f>IFERROR(INDEX(PP_Grid[#Data],$DE1344,16),0)</f>
        <v/>
      </c>
      <c r="T1344">
        <f>IFERROR(INDEX(PP_Grid[#Data],$DE1344,17),0)</f>
        <v/>
      </c>
      <c r="U1344">
        <f>IFERROR(INDEX(PP_Grid[#Data],$DE1344,18),0)</f>
        <v/>
      </c>
      <c r="V1344">
        <f>IFERROR(INDEX(PP_Grid[#Data],$DE1344,19),0)</f>
        <v/>
      </c>
      <c r="W1344">
        <f>IFERROR(INDEX(PP_Grid[#Data],$DE1344,20),0)</f>
        <v/>
      </c>
      <c r="X1344">
        <f>IFERROR(INDEX(PP_Grid[#Data],$DE1344,21),0)</f>
        <v/>
      </c>
      <c r="Y1344">
        <f>IFERROR(INDEX(PP_Grid[#Data],$DE1344,22),0)</f>
        <v/>
      </c>
      <c r="Z1344">
        <f>IFERROR(INDEX(PP_Grid[#Data],$DE1344,23),0)</f>
        <v/>
      </c>
      <c r="AA1344">
        <f>IFERROR(INDEX(PP_Grid[#Data],$DE1344,24),0)</f>
        <v/>
      </c>
      <c r="AB1344">
        <f>IFERROR(INDEX(PP_Grid[#Data],$DE1344,25),0)</f>
        <v/>
      </c>
      <c r="AC1344">
        <f>IFERROR(INDEX(PP_Grid[#Data],$DE1344,26),0)</f>
        <v/>
      </c>
      <c r="AD1344">
        <f>IFERROR(INDEX(PP_Grid[#Data],$DE1344,27),0)</f>
        <v/>
      </c>
      <c r="AE1344">
        <f>IFERROR(INDEX(PP_Grid[#Data],$DE1344,28),0)</f>
        <v/>
      </c>
      <c r="AF1344">
        <f>IFERROR(INDEX(PP_Grid[#Data],$DE1344,29),0)</f>
        <v/>
      </c>
      <c r="AG1344">
        <f>IFERROR(INDEX(PP_Grid[#Data],$DE1344,30),0)</f>
        <v/>
      </c>
      <c r="AH1344">
        <f>IFERROR(INDEX(PP_Grid[#Data],$DE1344,31),0)</f>
        <v/>
      </c>
      <c r="AI1344">
        <f>IFERROR(INDEX(PP_Grid[#Data],$DE1344,32),0)</f>
        <v/>
      </c>
      <c r="AJ1344">
        <f>IFERROR(INDEX(PP_Grid[#Data],$DE1344,33),0)</f>
        <v/>
      </c>
      <c r="AK1344">
        <f>IFERROR(INDEX(PP_Grid[#Data],$DE1344,34),0)</f>
        <v/>
      </c>
      <c r="AL1344">
        <f>IFERROR(INDEX(PP_Grid[#Data],$DE1344,35),0)</f>
        <v/>
      </c>
      <c r="AM1344">
        <f>IFERROR(INDEX(PP_Grid[#Data],$DE1344,36),0)</f>
        <v/>
      </c>
      <c r="AN1344">
        <f>IFERROR(INDEX(PP_Grid[#Data],$DE1344,37),0)</f>
        <v/>
      </c>
      <c r="AO1344">
        <f>IFERROR(INDEX(PP_Grid[#Data],$DE1344,38),0)</f>
        <v/>
      </c>
      <c r="AP1344">
        <f>IFERROR(INDEX(PP_Grid[#Data],$DE1344,39),0)</f>
        <v/>
      </c>
      <c r="AQ1344">
        <f>IFERROR(INDEX(PP_Grid[#Data],$DE1344,40),0)</f>
        <v/>
      </c>
      <c r="AR1344">
        <f>IFERROR(INDEX(PP_Grid[#Data],$DE1344,41),0)</f>
        <v/>
      </c>
      <c r="AS1344">
        <f>IFERROR(INDEX(PP_Grid[#Data],$DE1344,42),0)</f>
        <v/>
      </c>
      <c r="AT1344">
        <f>IFERROR(INDEX(PP_Grid[#Data],$DE1344,43),0)</f>
        <v/>
      </c>
      <c r="AU1344">
        <f>IFERROR(INDEX(PP_Grid[#Data],$DE1344,44),0)</f>
        <v/>
      </c>
      <c r="AV1344">
        <f>IFERROR(INDEX(PP_Grid[#Data],$DE1344,45),0)</f>
        <v/>
      </c>
      <c r="AW1344">
        <f>IFERROR(INDEX(PP_Grid[#Data],$DE1344,46),0)</f>
        <v/>
      </c>
      <c r="AX1344">
        <f>IFERROR(INDEX(PP_Grid[#Data],$DE1344,47),0)</f>
        <v/>
      </c>
      <c r="AY1344">
        <f>IFERROR(INDEX(PP_Grid[#Data],$DE1344,48),0)</f>
        <v/>
      </c>
      <c r="AZ1344">
        <f>IFERROR(INDEX(PP_Grid[#Data],$DE1344,49),0)</f>
        <v/>
      </c>
      <c r="BA1344">
        <f>IFERROR(INDEX(PP_Grid[#Data],$DE1344,50),0)</f>
        <v/>
      </c>
      <c r="BB1344">
        <f>IFERROR(INDEX(PP_Grid[#Data],$DE1344,51),0)</f>
        <v/>
      </c>
      <c r="BC1344">
        <f>IFERROR(INDEX(PP_Grid[#Data],$DE1344,52),0)</f>
        <v/>
      </c>
      <c r="BD1344">
        <f>IFERROR(INDEX(PP_Grid[#Data],$DE1344,53),0)</f>
        <v/>
      </c>
      <c r="BE1344">
        <f>IFERROR(INDEX(PP_Grid[#Data],$DE1344,54),0)</f>
        <v/>
      </c>
      <c r="BF1344">
        <f>IFERROR(INDEX(PP_Grid[#Data],$DE1344,55),0)</f>
        <v/>
      </c>
      <c r="BG1344">
        <f>IFERROR(INDEX(PP_Grid[#Data],$DE1344,56),0)</f>
        <v/>
      </c>
      <c r="BH1344">
        <f>IFERROR(INDEX(PP_Grid[#Data],$DE1344,57),0)</f>
        <v/>
      </c>
      <c r="BI1344">
        <f>IFERROR(INDEX(PP_Grid[#Data],$DE1344,58),0)</f>
        <v/>
      </c>
      <c r="BJ1344">
        <f>IFERROR(INDEX(PP_Grid[#Data],$DE1344,59),0)</f>
        <v/>
      </c>
      <c r="BK1344">
        <f>IFERROR(INDEX(PP_Grid[#Data],$DE1344,60),0)</f>
        <v/>
      </c>
      <c r="BL1344">
        <f>IFERROR(INDEX(PP_Grid[#Data],$DE1344,61),0)</f>
        <v/>
      </c>
      <c r="BM1344">
        <f>IFERROR(INDEX(PP_Grid[#Data],$DE1344,62),0)</f>
        <v/>
      </c>
      <c r="BN1344">
        <f>IFERROR(INDEX(PP_Grid[#Data],$DE1344,63),0)</f>
        <v/>
      </c>
      <c r="BO1344">
        <f>IFERROR(INDEX(PP_Grid[#Data],$DE1344,64),0)</f>
        <v/>
      </c>
      <c r="BP1344">
        <f>IFERROR(INDEX(PP_Grid[#Data],$DE1344,65),0)</f>
        <v/>
      </c>
      <c r="BQ1344">
        <f>IFERROR(INDEX(PP_Grid[#Data],$DE1344,66),0)</f>
        <v/>
      </c>
      <c r="BR1344">
        <f>IFERROR(INDEX(PP_Grid[#Data],$DE1344,67),0)</f>
        <v/>
      </c>
      <c r="BS1344">
        <f>IFERROR(INDEX(PP_Grid[#Data],$DE1344,68),0)</f>
        <v/>
      </c>
      <c r="BT1344">
        <f>IFERROR(INDEX(PP_Grid[#Data],$DE1344,69),0)</f>
        <v/>
      </c>
      <c r="BU1344">
        <f>IFERROR(INDEX(PP_Grid[#Data],$DE1344,70),0)</f>
        <v/>
      </c>
      <c r="BV1344">
        <f>IFERROR(INDEX(PP_Grid[#Data],$DE1344,71),0)</f>
        <v/>
      </c>
      <c r="BW1344">
        <f>IFERROR(INDEX(PP_Grid[#Data],$DE1344,72),0)</f>
        <v/>
      </c>
      <c r="BX1344">
        <f>IFERROR(INDEX(PP_Grid[#Data],$DE1344,73),0)</f>
        <v/>
      </c>
      <c r="BY1344">
        <f>IFERROR(INDEX(PP_Grid[#Data],$DE1344,74),0)</f>
        <v/>
      </c>
      <c r="BZ1344">
        <f>IFERROR(INDEX(PP_Grid[#Data],$DE1344,75),0)</f>
        <v/>
      </c>
      <c r="CA1344">
        <f>IFERROR(INDEX(PP_Grid[#Data],$DE1344,76),0)</f>
        <v/>
      </c>
      <c r="CB1344">
        <f>IFERROR(INDEX(PP_Grid[#Data],$DE1344,77),0)</f>
        <v/>
      </c>
      <c r="CC1344">
        <f>IFERROR(INDEX(PP_Grid[#Data],$DE1344,78),0)</f>
        <v/>
      </c>
      <c r="CD1344">
        <f>IFERROR(INDEX(PP_Grid[#Data],$DE1344,79),0)</f>
        <v/>
      </c>
      <c r="CE1344">
        <f>IFERROR(INDEX(PP_Grid[#Data],$DE1344,80),0)</f>
        <v/>
      </c>
      <c r="CF1344">
        <f>IFERROR(INDEX(PP_Grid[#Data],$DE1344,81),0)</f>
        <v/>
      </c>
      <c r="CG1344">
        <f>IFERROR(INDEX(PP_Grid[#Data],$DE1344,82),0)</f>
        <v/>
      </c>
      <c r="CH1344">
        <f>IFERROR(INDEX(PP_Grid[#Data],$DE1344,83),0)</f>
        <v/>
      </c>
      <c r="CI1344">
        <f>IFERROR(INDEX(PP_Grid[#Data],$DE1344,84),0)</f>
        <v/>
      </c>
      <c r="CJ1344">
        <f>IFERROR(INDEX(PP_Grid[#Data],$DE1344,85),0)</f>
        <v/>
      </c>
      <c r="CK1344">
        <f>IFERROR(INDEX(PP_Grid[#Data],$DE1344,86),0)</f>
        <v/>
      </c>
      <c r="CL1344">
        <f>IFERROR(INDEX(PP_Grid[#Data],$DE1344,87),0)</f>
        <v/>
      </c>
      <c r="CM1344">
        <f>IFERROR(INDEX(PP_Grid[#Data],$DE1344,88),0)</f>
        <v/>
      </c>
      <c r="CN1344">
        <f>IFERROR(INDEX(PP_Grid[#Data],$DE1344,89),0)</f>
        <v/>
      </c>
      <c r="CO1344">
        <f>IFERROR(INDEX(PP_Grid[#Data],$DE1344,90),0)</f>
        <v/>
      </c>
      <c r="CP1344">
        <f>IFERROR(INDEX(PP_Grid[#Data],$DE1344,91),0)</f>
        <v/>
      </c>
      <c r="CQ1344">
        <f>IFERROR(INDEX(PP_Grid[#Data],$DE1344,92),0)</f>
        <v/>
      </c>
      <c r="CR1344">
        <f>IFERROR(INDEX(PP_Grid[#Data],$DE1344,93),0)</f>
        <v/>
      </c>
      <c r="CS1344">
        <f>IFERROR(INDEX(PP_Grid[#Data],$DE1344,94),0)</f>
        <v/>
      </c>
      <c r="CT1344">
        <f>IFERROR(INDEX(PP_Grid[#Data],$DE1344,95),0)</f>
        <v/>
      </c>
      <c r="CU1344">
        <f>IFERROR(INDEX(PP_Grid[#Data],$DE1344,96),0)</f>
        <v/>
      </c>
      <c r="CV1344">
        <f>IFERROR(INDEX(PP_Grid[#Data],$DE1344,97),0)</f>
        <v/>
      </c>
      <c r="CW1344">
        <f>IFERROR(INDEX(PP_Grid[#Data],$DE1344,98),0)</f>
        <v/>
      </c>
      <c r="CX1344">
        <f>IFERROR(INDEX(PP_Grid[#Data],$DE1344,99),0)</f>
        <v/>
      </c>
      <c r="CY1344">
        <f>IFERROR(INDEX(PP_Grid[#Data],$DE1344,100),0)</f>
        <v/>
      </c>
      <c r="CZ1344">
        <f>IFERROR(INDEX(PP_Grid[#Data],$DE1344,101),0)</f>
        <v/>
      </c>
      <c r="DA1344">
        <f>IFERROR(INDEX(PP_Grid[#Data],$DE1344,102),0)</f>
        <v/>
      </c>
      <c r="DB1344">
        <f>IFERROR(INDEX(PP_Grid[#Data],$DE1344,103),0)</f>
        <v/>
      </c>
      <c r="DC1344">
        <f>IFERROR(INDEX(PP_Grid[#Data],$DE1344,104),0)</f>
        <v/>
      </c>
      <c r="DD1344">
        <f>IFERROR(INDEX(PP_Grid[#Data],$DE1344,105),0)</f>
        <v/>
      </c>
      <c r="DE1344" s="7">
        <f>IFERROR(MATCH($B1344,PP_Grid[Intermediate],0),99999)</f>
        <v/>
      </c>
    </row>
    <row r="1345">
      <c r="B1345" t="inlineStr">
        <is>
          <t>使用量(kg)</t>
        </is>
      </c>
      <c r="C1345">
        <f>SUMIFS(M_BOM[RM_Qty_Per_Batch],M_BOM[Intermediate],$B1344,M_BOM[RM_Code],$A1341)</f>
        <v/>
      </c>
      <c r="D1345">
        <f>IFERROR(INDEX(E1345:DD1345,$F$1),"")</f>
        <v/>
      </c>
      <c r="E1345">
        <f>$C1345*E1344</f>
        <v/>
      </c>
      <c r="F1345">
        <f>$C1345*F1344</f>
        <v/>
      </c>
      <c r="G1345">
        <f>$C1345*G1344</f>
        <v/>
      </c>
      <c r="H1345">
        <f>$C1345*H1344</f>
        <v/>
      </c>
      <c r="I1345">
        <f>$C1345*I1344</f>
        <v/>
      </c>
      <c r="J1345">
        <f>$C1345*J1344</f>
        <v/>
      </c>
      <c r="K1345">
        <f>$C1345*K1344</f>
        <v/>
      </c>
      <c r="L1345">
        <f>$C1345*L1344</f>
        <v/>
      </c>
      <c r="M1345">
        <f>$C1345*M1344</f>
        <v/>
      </c>
      <c r="N1345">
        <f>$C1345*N1344</f>
        <v/>
      </c>
      <c r="O1345">
        <f>$C1345*O1344</f>
        <v/>
      </c>
      <c r="P1345">
        <f>$C1345*P1344</f>
        <v/>
      </c>
      <c r="Q1345">
        <f>$C1345*Q1344</f>
        <v/>
      </c>
      <c r="R1345">
        <f>$C1345*R1344</f>
        <v/>
      </c>
      <c r="S1345">
        <f>$C1345*S1344</f>
        <v/>
      </c>
      <c r="T1345">
        <f>$C1345*T1344</f>
        <v/>
      </c>
      <c r="U1345">
        <f>$C1345*U1344</f>
        <v/>
      </c>
      <c r="V1345">
        <f>$C1345*V1344</f>
        <v/>
      </c>
      <c r="W1345">
        <f>$C1345*W1344</f>
        <v/>
      </c>
      <c r="X1345">
        <f>$C1345*X1344</f>
        <v/>
      </c>
      <c r="Y1345">
        <f>$C1345*Y1344</f>
        <v/>
      </c>
      <c r="Z1345">
        <f>$C1345*Z1344</f>
        <v/>
      </c>
      <c r="AA1345">
        <f>$C1345*AA1344</f>
        <v/>
      </c>
      <c r="AB1345">
        <f>$C1345*AB1344</f>
        <v/>
      </c>
      <c r="AC1345">
        <f>$C1345*AC1344</f>
        <v/>
      </c>
      <c r="AD1345">
        <f>$C1345*AD1344</f>
        <v/>
      </c>
      <c r="AE1345">
        <f>$C1345*AE1344</f>
        <v/>
      </c>
      <c r="AF1345">
        <f>$C1345*AF1344</f>
        <v/>
      </c>
      <c r="AG1345">
        <f>$C1345*AG1344</f>
        <v/>
      </c>
      <c r="AH1345">
        <f>$C1345*AH1344</f>
        <v/>
      </c>
      <c r="AI1345">
        <f>$C1345*AI1344</f>
        <v/>
      </c>
      <c r="AJ1345">
        <f>$C1345*AJ1344</f>
        <v/>
      </c>
      <c r="AK1345">
        <f>$C1345*AK1344</f>
        <v/>
      </c>
      <c r="AL1345">
        <f>$C1345*AL1344</f>
        <v/>
      </c>
      <c r="AM1345">
        <f>$C1345*AM1344</f>
        <v/>
      </c>
      <c r="AN1345">
        <f>$C1345*AN1344</f>
        <v/>
      </c>
      <c r="AO1345">
        <f>$C1345*AO1344</f>
        <v/>
      </c>
      <c r="AP1345">
        <f>$C1345*AP1344</f>
        <v/>
      </c>
      <c r="AQ1345">
        <f>$C1345*AQ1344</f>
        <v/>
      </c>
      <c r="AR1345">
        <f>$C1345*AR1344</f>
        <v/>
      </c>
      <c r="AS1345">
        <f>$C1345*AS1344</f>
        <v/>
      </c>
      <c r="AT1345">
        <f>$C1345*AT1344</f>
        <v/>
      </c>
      <c r="AU1345">
        <f>$C1345*AU1344</f>
        <v/>
      </c>
      <c r="AV1345">
        <f>$C1345*AV1344</f>
        <v/>
      </c>
      <c r="AW1345">
        <f>$C1345*AW1344</f>
        <v/>
      </c>
      <c r="AX1345">
        <f>$C1345*AX1344</f>
        <v/>
      </c>
      <c r="AY1345">
        <f>$C1345*AY1344</f>
        <v/>
      </c>
      <c r="AZ1345">
        <f>$C1345*AZ1344</f>
        <v/>
      </c>
      <c r="BA1345">
        <f>$C1345*BA1344</f>
        <v/>
      </c>
      <c r="BB1345">
        <f>$C1345*BB1344</f>
        <v/>
      </c>
      <c r="BC1345">
        <f>$C1345*BC1344</f>
        <v/>
      </c>
      <c r="BD1345">
        <f>$C1345*BD1344</f>
        <v/>
      </c>
      <c r="BE1345">
        <f>$C1345*BE1344</f>
        <v/>
      </c>
      <c r="BF1345">
        <f>$C1345*BF1344</f>
        <v/>
      </c>
      <c r="BG1345">
        <f>$C1345*BG1344</f>
        <v/>
      </c>
      <c r="BH1345">
        <f>$C1345*BH1344</f>
        <v/>
      </c>
      <c r="BI1345">
        <f>$C1345*BI1344</f>
        <v/>
      </c>
      <c r="BJ1345">
        <f>$C1345*BJ1344</f>
        <v/>
      </c>
      <c r="BK1345">
        <f>$C1345*BK1344</f>
        <v/>
      </c>
      <c r="BL1345">
        <f>$C1345*BL1344</f>
        <v/>
      </c>
      <c r="BM1345">
        <f>$C1345*BM1344</f>
        <v/>
      </c>
      <c r="BN1345">
        <f>$C1345*BN1344</f>
        <v/>
      </c>
      <c r="BO1345">
        <f>$C1345*BO1344</f>
        <v/>
      </c>
      <c r="BP1345">
        <f>$C1345*BP1344</f>
        <v/>
      </c>
      <c r="BQ1345">
        <f>$C1345*BQ1344</f>
        <v/>
      </c>
      <c r="BR1345">
        <f>$C1345*BR1344</f>
        <v/>
      </c>
      <c r="BS1345">
        <f>$C1345*BS1344</f>
        <v/>
      </c>
      <c r="BT1345">
        <f>$C1345*BT1344</f>
        <v/>
      </c>
      <c r="BU1345">
        <f>$C1345*BU1344</f>
        <v/>
      </c>
      <c r="BV1345">
        <f>$C1345*BV1344</f>
        <v/>
      </c>
      <c r="BW1345">
        <f>$C1345*BW1344</f>
        <v/>
      </c>
      <c r="BX1345">
        <f>$C1345*BX1344</f>
        <v/>
      </c>
      <c r="BY1345">
        <f>$C1345*BY1344</f>
        <v/>
      </c>
      <c r="BZ1345">
        <f>$C1345*BZ1344</f>
        <v/>
      </c>
      <c r="CA1345">
        <f>$C1345*CA1344</f>
        <v/>
      </c>
      <c r="CB1345">
        <f>$C1345*CB1344</f>
        <v/>
      </c>
      <c r="CC1345">
        <f>$C1345*CC1344</f>
        <v/>
      </c>
      <c r="CD1345">
        <f>$C1345*CD1344</f>
        <v/>
      </c>
      <c r="CE1345">
        <f>$C1345*CE1344</f>
        <v/>
      </c>
      <c r="CF1345">
        <f>$C1345*CF1344</f>
        <v/>
      </c>
      <c r="CG1345">
        <f>$C1345*CG1344</f>
        <v/>
      </c>
      <c r="CH1345">
        <f>$C1345*CH1344</f>
        <v/>
      </c>
      <c r="CI1345">
        <f>$C1345*CI1344</f>
        <v/>
      </c>
      <c r="CJ1345">
        <f>$C1345*CJ1344</f>
        <v/>
      </c>
      <c r="CK1345">
        <f>$C1345*CK1344</f>
        <v/>
      </c>
      <c r="CL1345">
        <f>$C1345*CL1344</f>
        <v/>
      </c>
      <c r="CM1345">
        <f>$C1345*CM1344</f>
        <v/>
      </c>
      <c r="CN1345">
        <f>$C1345*CN1344</f>
        <v/>
      </c>
      <c r="CO1345">
        <f>$C1345*CO1344</f>
        <v/>
      </c>
      <c r="CP1345">
        <f>$C1345*CP1344</f>
        <v/>
      </c>
      <c r="CQ1345">
        <f>$C1345*CQ1344</f>
        <v/>
      </c>
      <c r="CR1345">
        <f>$C1345*CR1344</f>
        <v/>
      </c>
      <c r="CS1345">
        <f>$C1345*CS1344</f>
        <v/>
      </c>
      <c r="CT1345">
        <f>$C1345*CT1344</f>
        <v/>
      </c>
      <c r="CU1345">
        <f>$C1345*CU1344</f>
        <v/>
      </c>
      <c r="CV1345">
        <f>$C1345*CV1344</f>
        <v/>
      </c>
      <c r="CW1345">
        <f>$C1345*CW1344</f>
        <v/>
      </c>
      <c r="CX1345">
        <f>$C1345*CX1344</f>
        <v/>
      </c>
      <c r="CY1345">
        <f>$C1345*CY1344</f>
        <v/>
      </c>
      <c r="CZ1345">
        <f>$C1345*CZ1344</f>
        <v/>
      </c>
      <c r="DA1345">
        <f>$C1345*DA1344</f>
        <v/>
      </c>
      <c r="DB1345">
        <f>$C1345*DB1344</f>
        <v/>
      </c>
      <c r="DC1345">
        <f>$C1345*DC1344</f>
        <v/>
      </c>
      <c r="DD1345">
        <f>$C1345*DD1344</f>
        <v/>
      </c>
    </row>
    <row r="1346">
      <c r="B1346" s="4" t="inlineStr">
        <is>
          <t>合計使用量(kg)/週</t>
        </is>
      </c>
      <c r="D1346" s="22">
        <f>IFERROR(INDEX(E1346:DD1346,$F$1),"")</f>
        <v/>
      </c>
      <c r="E1346">
        <f>'Grid_Requirement'!B59</f>
        <v/>
      </c>
      <c r="F1346">
        <f>'Grid_Requirement'!C59</f>
        <v/>
      </c>
      <c r="G1346">
        <f>'Grid_Requirement'!D59</f>
        <v/>
      </c>
      <c r="H1346">
        <f>'Grid_Requirement'!E59</f>
        <v/>
      </c>
      <c r="I1346">
        <f>'Grid_Requirement'!F59</f>
        <v/>
      </c>
      <c r="J1346">
        <f>'Grid_Requirement'!G59</f>
        <v/>
      </c>
      <c r="K1346">
        <f>'Grid_Requirement'!H59</f>
        <v/>
      </c>
      <c r="L1346">
        <f>'Grid_Requirement'!I59</f>
        <v/>
      </c>
      <c r="M1346">
        <f>'Grid_Requirement'!J59</f>
        <v/>
      </c>
      <c r="N1346">
        <f>'Grid_Requirement'!K59</f>
        <v/>
      </c>
      <c r="O1346">
        <f>'Grid_Requirement'!L59</f>
        <v/>
      </c>
      <c r="P1346">
        <f>'Grid_Requirement'!M59</f>
        <v/>
      </c>
      <c r="Q1346">
        <f>'Grid_Requirement'!N59</f>
        <v/>
      </c>
      <c r="R1346">
        <f>'Grid_Requirement'!O59</f>
        <v/>
      </c>
      <c r="S1346">
        <f>'Grid_Requirement'!P59</f>
        <v/>
      </c>
      <c r="T1346">
        <f>'Grid_Requirement'!Q59</f>
        <v/>
      </c>
      <c r="U1346">
        <f>'Grid_Requirement'!R59</f>
        <v/>
      </c>
      <c r="V1346">
        <f>'Grid_Requirement'!S59</f>
        <v/>
      </c>
      <c r="W1346">
        <f>'Grid_Requirement'!T59</f>
        <v/>
      </c>
      <c r="X1346">
        <f>'Grid_Requirement'!U59</f>
        <v/>
      </c>
      <c r="Y1346">
        <f>'Grid_Requirement'!V59</f>
        <v/>
      </c>
      <c r="Z1346">
        <f>'Grid_Requirement'!W59</f>
        <v/>
      </c>
      <c r="AA1346">
        <f>'Grid_Requirement'!X59</f>
        <v/>
      </c>
      <c r="AB1346">
        <f>'Grid_Requirement'!Y59</f>
        <v/>
      </c>
      <c r="AC1346">
        <f>'Grid_Requirement'!Z59</f>
        <v/>
      </c>
      <c r="AD1346">
        <f>'Grid_Requirement'!AA59</f>
        <v/>
      </c>
      <c r="AE1346">
        <f>'Grid_Requirement'!AB59</f>
        <v/>
      </c>
      <c r="AF1346">
        <f>'Grid_Requirement'!AC59</f>
        <v/>
      </c>
      <c r="AG1346">
        <f>'Grid_Requirement'!AD59</f>
        <v/>
      </c>
      <c r="AH1346">
        <f>'Grid_Requirement'!AE59</f>
        <v/>
      </c>
      <c r="AI1346">
        <f>'Grid_Requirement'!AF59</f>
        <v/>
      </c>
      <c r="AJ1346">
        <f>'Grid_Requirement'!AG59</f>
        <v/>
      </c>
      <c r="AK1346">
        <f>'Grid_Requirement'!AH59</f>
        <v/>
      </c>
      <c r="AL1346">
        <f>'Grid_Requirement'!AI59</f>
        <v/>
      </c>
      <c r="AM1346">
        <f>'Grid_Requirement'!AJ59</f>
        <v/>
      </c>
      <c r="AN1346">
        <f>'Grid_Requirement'!AK59</f>
        <v/>
      </c>
      <c r="AO1346">
        <f>'Grid_Requirement'!AL59</f>
        <v/>
      </c>
      <c r="AP1346">
        <f>'Grid_Requirement'!AM59</f>
        <v/>
      </c>
      <c r="AQ1346">
        <f>'Grid_Requirement'!AN59</f>
        <v/>
      </c>
      <c r="AR1346">
        <f>'Grid_Requirement'!AO59</f>
        <v/>
      </c>
      <c r="AS1346">
        <f>'Grid_Requirement'!AP59</f>
        <v/>
      </c>
      <c r="AT1346">
        <f>'Grid_Requirement'!AQ59</f>
        <v/>
      </c>
      <c r="AU1346">
        <f>'Grid_Requirement'!AR59</f>
        <v/>
      </c>
      <c r="AV1346">
        <f>'Grid_Requirement'!AS59</f>
        <v/>
      </c>
      <c r="AW1346">
        <f>'Grid_Requirement'!AT59</f>
        <v/>
      </c>
      <c r="AX1346">
        <f>'Grid_Requirement'!AU59</f>
        <v/>
      </c>
      <c r="AY1346">
        <f>'Grid_Requirement'!AV59</f>
        <v/>
      </c>
      <c r="AZ1346">
        <f>'Grid_Requirement'!AW59</f>
        <v/>
      </c>
      <c r="BA1346">
        <f>'Grid_Requirement'!AX59</f>
        <v/>
      </c>
      <c r="BB1346">
        <f>'Grid_Requirement'!AY59</f>
        <v/>
      </c>
      <c r="BC1346">
        <f>'Grid_Requirement'!AZ59</f>
        <v/>
      </c>
      <c r="BD1346">
        <f>'Grid_Requirement'!BA59</f>
        <v/>
      </c>
      <c r="BE1346">
        <f>'Grid_Requirement'!BB59</f>
        <v/>
      </c>
      <c r="BF1346">
        <f>'Grid_Requirement'!BC59</f>
        <v/>
      </c>
      <c r="BG1346">
        <f>'Grid_Requirement'!BD59</f>
        <v/>
      </c>
      <c r="BH1346">
        <f>'Grid_Requirement'!BE59</f>
        <v/>
      </c>
      <c r="BI1346">
        <f>'Grid_Requirement'!BF59</f>
        <v/>
      </c>
      <c r="BJ1346">
        <f>'Grid_Requirement'!BG59</f>
        <v/>
      </c>
      <c r="BK1346">
        <f>'Grid_Requirement'!BH59</f>
        <v/>
      </c>
      <c r="BL1346">
        <f>'Grid_Requirement'!BI59</f>
        <v/>
      </c>
      <c r="BM1346">
        <f>'Grid_Requirement'!BJ59</f>
        <v/>
      </c>
      <c r="BN1346">
        <f>'Grid_Requirement'!BK59</f>
        <v/>
      </c>
      <c r="BO1346">
        <f>'Grid_Requirement'!BL59</f>
        <v/>
      </c>
      <c r="BP1346">
        <f>'Grid_Requirement'!BM59</f>
        <v/>
      </c>
      <c r="BQ1346">
        <f>'Grid_Requirement'!BN59</f>
        <v/>
      </c>
      <c r="BR1346">
        <f>'Grid_Requirement'!BO59</f>
        <v/>
      </c>
      <c r="BS1346">
        <f>'Grid_Requirement'!BP59</f>
        <v/>
      </c>
      <c r="BT1346">
        <f>'Grid_Requirement'!BQ59</f>
        <v/>
      </c>
      <c r="BU1346">
        <f>'Grid_Requirement'!BR59</f>
        <v/>
      </c>
      <c r="BV1346">
        <f>'Grid_Requirement'!BS59</f>
        <v/>
      </c>
      <c r="BW1346">
        <f>'Grid_Requirement'!BT59</f>
        <v/>
      </c>
      <c r="BX1346">
        <f>'Grid_Requirement'!BU59</f>
        <v/>
      </c>
      <c r="BY1346">
        <f>'Grid_Requirement'!BV59</f>
        <v/>
      </c>
      <c r="BZ1346">
        <f>'Grid_Requirement'!BW59</f>
        <v/>
      </c>
      <c r="CA1346">
        <f>'Grid_Requirement'!BX59</f>
        <v/>
      </c>
      <c r="CB1346">
        <f>'Grid_Requirement'!BY59</f>
        <v/>
      </c>
      <c r="CC1346">
        <f>'Grid_Requirement'!BZ59</f>
        <v/>
      </c>
      <c r="CD1346">
        <f>'Grid_Requirement'!CA59</f>
        <v/>
      </c>
      <c r="CE1346">
        <f>'Grid_Requirement'!CB59</f>
        <v/>
      </c>
      <c r="CF1346">
        <f>'Grid_Requirement'!CC59</f>
        <v/>
      </c>
      <c r="CG1346">
        <f>'Grid_Requirement'!CD59</f>
        <v/>
      </c>
      <c r="CH1346">
        <f>'Grid_Requirement'!CE59</f>
        <v/>
      </c>
      <c r="CI1346">
        <f>'Grid_Requirement'!CF59</f>
        <v/>
      </c>
      <c r="CJ1346">
        <f>'Grid_Requirement'!CG59</f>
        <v/>
      </c>
      <c r="CK1346">
        <f>'Grid_Requirement'!CH59</f>
        <v/>
      </c>
      <c r="CL1346">
        <f>'Grid_Requirement'!CI59</f>
        <v/>
      </c>
      <c r="CM1346">
        <f>'Grid_Requirement'!CJ59</f>
        <v/>
      </c>
      <c r="CN1346">
        <f>'Grid_Requirement'!CK59</f>
        <v/>
      </c>
      <c r="CO1346">
        <f>'Grid_Requirement'!CL59</f>
        <v/>
      </c>
      <c r="CP1346">
        <f>'Grid_Requirement'!CM59</f>
        <v/>
      </c>
      <c r="CQ1346">
        <f>'Grid_Requirement'!CN59</f>
        <v/>
      </c>
      <c r="CR1346">
        <f>'Grid_Requirement'!CO59</f>
        <v/>
      </c>
      <c r="CS1346">
        <f>'Grid_Requirement'!CP59</f>
        <v/>
      </c>
      <c r="CT1346">
        <f>'Grid_Requirement'!CQ59</f>
        <v/>
      </c>
      <c r="CU1346">
        <f>'Grid_Requirement'!CR59</f>
        <v/>
      </c>
      <c r="CV1346">
        <f>'Grid_Requirement'!CS59</f>
        <v/>
      </c>
      <c r="CW1346">
        <f>'Grid_Requirement'!CT59</f>
        <v/>
      </c>
      <c r="CX1346">
        <f>'Grid_Requirement'!CU59</f>
        <v/>
      </c>
      <c r="CY1346">
        <f>'Grid_Requirement'!CV59</f>
        <v/>
      </c>
      <c r="CZ1346">
        <f>'Grid_Requirement'!CW59</f>
        <v/>
      </c>
      <c r="DA1346">
        <f>'Grid_Requirement'!CX59</f>
        <v/>
      </c>
      <c r="DB1346">
        <f>'Grid_Requirement'!CY59</f>
        <v/>
      </c>
      <c r="DC1346">
        <f>'Grid_Requirement'!CZ59</f>
        <v/>
      </c>
      <c r="DD1346">
        <f>'Grid_Requirement'!DA59</f>
        <v/>
      </c>
    </row>
    <row r="1347">
      <c r="B1347" s="23" t="inlineStr">
        <is>
          <t>（在庫・入荷予定はDashboard参照）</t>
        </is>
      </c>
    </row>
    <row r="1349">
      <c r="A1349" s="21" t="inlineStr">
        <is>
          <t>CHEM-1750</t>
        </is>
      </c>
      <c r="B1349" s="21" t="inlineStr">
        <is>
          <t>Alumax WDB-5</t>
        </is>
      </c>
      <c r="C1349" s="21" t="n"/>
      <c r="D1349" s="21" t="n"/>
      <c r="E1349" s="21" t="n"/>
      <c r="F1349" s="21" t="n"/>
      <c r="G1349" s="21" t="n"/>
      <c r="H1349" s="21" t="n"/>
      <c r="I1349" s="21" t="n"/>
      <c r="J1349" s="21" t="n"/>
      <c r="K1349" s="21" t="n"/>
      <c r="L1349" s="21" t="n"/>
      <c r="M1349" s="21" t="n"/>
      <c r="N1349" s="21" t="n"/>
      <c r="O1349" s="21" t="n"/>
      <c r="P1349" s="21" t="n"/>
      <c r="Q1349" s="21" t="n"/>
      <c r="R1349" s="21" t="n"/>
      <c r="S1349" s="21" t="n"/>
      <c r="T1349" s="21" t="n"/>
      <c r="U1349" s="21" t="n"/>
      <c r="V1349" s="21" t="n"/>
      <c r="W1349" s="21" t="n"/>
      <c r="X1349" s="21" t="n"/>
      <c r="Y1349" s="21" t="n"/>
      <c r="Z1349" s="21" t="n"/>
      <c r="AA1349" s="21" t="n"/>
      <c r="AB1349" s="21" t="n"/>
      <c r="AC1349" s="21" t="n"/>
      <c r="AD1349" s="21" t="n"/>
      <c r="AE1349" s="21" t="n"/>
      <c r="AF1349" s="21" t="n"/>
      <c r="AG1349" s="21" t="n"/>
      <c r="AH1349" s="21" t="n"/>
      <c r="AI1349" s="21" t="n"/>
      <c r="AJ1349" s="21" t="n"/>
      <c r="AK1349" s="21" t="n"/>
      <c r="AL1349" s="21" t="n"/>
      <c r="AM1349" s="21" t="n"/>
      <c r="AN1349" s="21" t="n"/>
      <c r="AO1349" s="21" t="n"/>
      <c r="AP1349" s="21" t="n"/>
      <c r="AQ1349" s="21" t="n"/>
      <c r="AR1349" s="21" t="n"/>
      <c r="AS1349" s="21" t="n"/>
      <c r="AT1349" s="21" t="n"/>
      <c r="AU1349" s="21" t="n"/>
      <c r="AV1349" s="21" t="n"/>
      <c r="AW1349" s="21" t="n"/>
      <c r="AX1349" s="21" t="n"/>
      <c r="AY1349" s="21" t="n"/>
      <c r="AZ1349" s="21" t="n"/>
      <c r="BA1349" s="21" t="n"/>
      <c r="BB1349" s="21" t="n"/>
      <c r="BC1349" s="21" t="n"/>
      <c r="BD1349" s="21" t="n"/>
      <c r="BE1349" s="21" t="n"/>
      <c r="BF1349" s="21" t="n"/>
      <c r="BG1349" s="21" t="n"/>
      <c r="BH1349" s="21" t="n"/>
      <c r="BI1349" s="21" t="n"/>
      <c r="BJ1349" s="21" t="n"/>
      <c r="BK1349" s="21" t="n"/>
      <c r="BL1349" s="21" t="n"/>
      <c r="BM1349" s="21" t="n"/>
      <c r="BN1349" s="21" t="n"/>
      <c r="BO1349" s="21" t="n"/>
      <c r="BP1349" s="21" t="n"/>
      <c r="BQ1349" s="21" t="n"/>
      <c r="BR1349" s="21" t="n"/>
      <c r="BS1349" s="21" t="n"/>
      <c r="BT1349" s="21" t="n"/>
      <c r="BU1349" s="21" t="n"/>
      <c r="BV1349" s="21" t="n"/>
      <c r="BW1349" s="21" t="n"/>
      <c r="BX1349" s="21" t="n"/>
      <c r="BY1349" s="21" t="n"/>
      <c r="BZ1349" s="21" t="n"/>
      <c r="CA1349" s="21" t="n"/>
      <c r="CB1349" s="21" t="n"/>
      <c r="CC1349" s="21" t="n"/>
      <c r="CD1349" s="21" t="n"/>
      <c r="CE1349" s="21" t="n"/>
      <c r="CF1349" s="21" t="n"/>
      <c r="CG1349" s="21" t="n"/>
      <c r="CH1349" s="21" t="n"/>
      <c r="CI1349" s="21" t="n"/>
      <c r="CJ1349" s="21" t="n"/>
      <c r="CK1349" s="21" t="n"/>
      <c r="CL1349" s="21" t="n"/>
      <c r="CM1349" s="21" t="n"/>
      <c r="CN1349" s="21" t="n"/>
      <c r="CO1349" s="21" t="n"/>
      <c r="CP1349" s="21" t="n"/>
      <c r="CQ1349" s="21" t="n"/>
      <c r="CR1349" s="21" t="n"/>
      <c r="CS1349" s="21" t="n"/>
      <c r="CT1349" s="21" t="n"/>
      <c r="CU1349" s="21" t="n"/>
      <c r="CV1349" s="21" t="n"/>
      <c r="CW1349" s="21" t="n"/>
      <c r="CX1349" s="21" t="n"/>
      <c r="CY1349" s="21" t="n"/>
      <c r="CZ1349" s="21" t="n"/>
      <c r="DA1349" s="21" t="n"/>
      <c r="DB1349" s="21" t="n"/>
      <c r="DC1349" s="21" t="n"/>
      <c r="DD1349" s="21" t="n"/>
    </row>
    <row r="1350">
      <c r="B1350" t="inlineStr">
        <is>
          <t>TSP-924</t>
        </is>
      </c>
      <c r="C1350" t="inlineStr">
        <is>
          <t>No. of batches</t>
        </is>
      </c>
      <c r="D1350">
        <f>IFERROR(INDEX(E1350:DD1350,$F$1),"")</f>
        <v/>
      </c>
      <c r="E1350">
        <f>IFERROR(INDEX(PP_Grid[#Data],$DE1350,2),0)</f>
        <v/>
      </c>
      <c r="F1350">
        <f>IFERROR(INDEX(PP_Grid[#Data],$DE1350,3),0)</f>
        <v/>
      </c>
      <c r="G1350">
        <f>IFERROR(INDEX(PP_Grid[#Data],$DE1350,4),0)</f>
        <v/>
      </c>
      <c r="H1350">
        <f>IFERROR(INDEX(PP_Grid[#Data],$DE1350,5),0)</f>
        <v/>
      </c>
      <c r="I1350">
        <f>IFERROR(INDEX(PP_Grid[#Data],$DE1350,6),0)</f>
        <v/>
      </c>
      <c r="J1350">
        <f>IFERROR(INDEX(PP_Grid[#Data],$DE1350,7),0)</f>
        <v/>
      </c>
      <c r="K1350">
        <f>IFERROR(INDEX(PP_Grid[#Data],$DE1350,8),0)</f>
        <v/>
      </c>
      <c r="L1350">
        <f>IFERROR(INDEX(PP_Grid[#Data],$DE1350,9),0)</f>
        <v/>
      </c>
      <c r="M1350">
        <f>IFERROR(INDEX(PP_Grid[#Data],$DE1350,10),0)</f>
        <v/>
      </c>
      <c r="N1350">
        <f>IFERROR(INDEX(PP_Grid[#Data],$DE1350,11),0)</f>
        <v/>
      </c>
      <c r="O1350">
        <f>IFERROR(INDEX(PP_Grid[#Data],$DE1350,12),0)</f>
        <v/>
      </c>
      <c r="P1350">
        <f>IFERROR(INDEX(PP_Grid[#Data],$DE1350,13),0)</f>
        <v/>
      </c>
      <c r="Q1350">
        <f>IFERROR(INDEX(PP_Grid[#Data],$DE1350,14),0)</f>
        <v/>
      </c>
      <c r="R1350">
        <f>IFERROR(INDEX(PP_Grid[#Data],$DE1350,15),0)</f>
        <v/>
      </c>
      <c r="S1350">
        <f>IFERROR(INDEX(PP_Grid[#Data],$DE1350,16),0)</f>
        <v/>
      </c>
      <c r="T1350">
        <f>IFERROR(INDEX(PP_Grid[#Data],$DE1350,17),0)</f>
        <v/>
      </c>
      <c r="U1350">
        <f>IFERROR(INDEX(PP_Grid[#Data],$DE1350,18),0)</f>
        <v/>
      </c>
      <c r="V1350">
        <f>IFERROR(INDEX(PP_Grid[#Data],$DE1350,19),0)</f>
        <v/>
      </c>
      <c r="W1350">
        <f>IFERROR(INDEX(PP_Grid[#Data],$DE1350,20),0)</f>
        <v/>
      </c>
      <c r="X1350">
        <f>IFERROR(INDEX(PP_Grid[#Data],$DE1350,21),0)</f>
        <v/>
      </c>
      <c r="Y1350">
        <f>IFERROR(INDEX(PP_Grid[#Data],$DE1350,22),0)</f>
        <v/>
      </c>
      <c r="Z1350">
        <f>IFERROR(INDEX(PP_Grid[#Data],$DE1350,23),0)</f>
        <v/>
      </c>
      <c r="AA1350">
        <f>IFERROR(INDEX(PP_Grid[#Data],$DE1350,24),0)</f>
        <v/>
      </c>
      <c r="AB1350">
        <f>IFERROR(INDEX(PP_Grid[#Data],$DE1350,25),0)</f>
        <v/>
      </c>
      <c r="AC1350">
        <f>IFERROR(INDEX(PP_Grid[#Data],$DE1350,26),0)</f>
        <v/>
      </c>
      <c r="AD1350">
        <f>IFERROR(INDEX(PP_Grid[#Data],$DE1350,27),0)</f>
        <v/>
      </c>
      <c r="AE1350">
        <f>IFERROR(INDEX(PP_Grid[#Data],$DE1350,28),0)</f>
        <v/>
      </c>
      <c r="AF1350">
        <f>IFERROR(INDEX(PP_Grid[#Data],$DE1350,29),0)</f>
        <v/>
      </c>
      <c r="AG1350">
        <f>IFERROR(INDEX(PP_Grid[#Data],$DE1350,30),0)</f>
        <v/>
      </c>
      <c r="AH1350">
        <f>IFERROR(INDEX(PP_Grid[#Data],$DE1350,31),0)</f>
        <v/>
      </c>
      <c r="AI1350">
        <f>IFERROR(INDEX(PP_Grid[#Data],$DE1350,32),0)</f>
        <v/>
      </c>
      <c r="AJ1350">
        <f>IFERROR(INDEX(PP_Grid[#Data],$DE1350,33),0)</f>
        <v/>
      </c>
      <c r="AK1350">
        <f>IFERROR(INDEX(PP_Grid[#Data],$DE1350,34),0)</f>
        <v/>
      </c>
      <c r="AL1350">
        <f>IFERROR(INDEX(PP_Grid[#Data],$DE1350,35),0)</f>
        <v/>
      </c>
      <c r="AM1350">
        <f>IFERROR(INDEX(PP_Grid[#Data],$DE1350,36),0)</f>
        <v/>
      </c>
      <c r="AN1350">
        <f>IFERROR(INDEX(PP_Grid[#Data],$DE1350,37),0)</f>
        <v/>
      </c>
      <c r="AO1350">
        <f>IFERROR(INDEX(PP_Grid[#Data],$DE1350,38),0)</f>
        <v/>
      </c>
      <c r="AP1350">
        <f>IFERROR(INDEX(PP_Grid[#Data],$DE1350,39),0)</f>
        <v/>
      </c>
      <c r="AQ1350">
        <f>IFERROR(INDEX(PP_Grid[#Data],$DE1350,40),0)</f>
        <v/>
      </c>
      <c r="AR1350">
        <f>IFERROR(INDEX(PP_Grid[#Data],$DE1350,41),0)</f>
        <v/>
      </c>
      <c r="AS1350">
        <f>IFERROR(INDEX(PP_Grid[#Data],$DE1350,42),0)</f>
        <v/>
      </c>
      <c r="AT1350">
        <f>IFERROR(INDEX(PP_Grid[#Data],$DE1350,43),0)</f>
        <v/>
      </c>
      <c r="AU1350">
        <f>IFERROR(INDEX(PP_Grid[#Data],$DE1350,44),0)</f>
        <v/>
      </c>
      <c r="AV1350">
        <f>IFERROR(INDEX(PP_Grid[#Data],$DE1350,45),0)</f>
        <v/>
      </c>
      <c r="AW1350">
        <f>IFERROR(INDEX(PP_Grid[#Data],$DE1350,46),0)</f>
        <v/>
      </c>
      <c r="AX1350">
        <f>IFERROR(INDEX(PP_Grid[#Data],$DE1350,47),0)</f>
        <v/>
      </c>
      <c r="AY1350">
        <f>IFERROR(INDEX(PP_Grid[#Data],$DE1350,48),0)</f>
        <v/>
      </c>
      <c r="AZ1350">
        <f>IFERROR(INDEX(PP_Grid[#Data],$DE1350,49),0)</f>
        <v/>
      </c>
      <c r="BA1350">
        <f>IFERROR(INDEX(PP_Grid[#Data],$DE1350,50),0)</f>
        <v/>
      </c>
      <c r="BB1350">
        <f>IFERROR(INDEX(PP_Grid[#Data],$DE1350,51),0)</f>
        <v/>
      </c>
      <c r="BC1350">
        <f>IFERROR(INDEX(PP_Grid[#Data],$DE1350,52),0)</f>
        <v/>
      </c>
      <c r="BD1350">
        <f>IFERROR(INDEX(PP_Grid[#Data],$DE1350,53),0)</f>
        <v/>
      </c>
      <c r="BE1350">
        <f>IFERROR(INDEX(PP_Grid[#Data],$DE1350,54),0)</f>
        <v/>
      </c>
      <c r="BF1350">
        <f>IFERROR(INDEX(PP_Grid[#Data],$DE1350,55),0)</f>
        <v/>
      </c>
      <c r="BG1350">
        <f>IFERROR(INDEX(PP_Grid[#Data],$DE1350,56),0)</f>
        <v/>
      </c>
      <c r="BH1350">
        <f>IFERROR(INDEX(PP_Grid[#Data],$DE1350,57),0)</f>
        <v/>
      </c>
      <c r="BI1350">
        <f>IFERROR(INDEX(PP_Grid[#Data],$DE1350,58),0)</f>
        <v/>
      </c>
      <c r="BJ1350">
        <f>IFERROR(INDEX(PP_Grid[#Data],$DE1350,59),0)</f>
        <v/>
      </c>
      <c r="BK1350">
        <f>IFERROR(INDEX(PP_Grid[#Data],$DE1350,60),0)</f>
        <v/>
      </c>
      <c r="BL1350">
        <f>IFERROR(INDEX(PP_Grid[#Data],$DE1350,61),0)</f>
        <v/>
      </c>
      <c r="BM1350">
        <f>IFERROR(INDEX(PP_Grid[#Data],$DE1350,62),0)</f>
        <v/>
      </c>
      <c r="BN1350">
        <f>IFERROR(INDEX(PP_Grid[#Data],$DE1350,63),0)</f>
        <v/>
      </c>
      <c r="BO1350">
        <f>IFERROR(INDEX(PP_Grid[#Data],$DE1350,64),0)</f>
        <v/>
      </c>
      <c r="BP1350">
        <f>IFERROR(INDEX(PP_Grid[#Data],$DE1350,65),0)</f>
        <v/>
      </c>
      <c r="BQ1350">
        <f>IFERROR(INDEX(PP_Grid[#Data],$DE1350,66),0)</f>
        <v/>
      </c>
      <c r="BR1350">
        <f>IFERROR(INDEX(PP_Grid[#Data],$DE1350,67),0)</f>
        <v/>
      </c>
      <c r="BS1350">
        <f>IFERROR(INDEX(PP_Grid[#Data],$DE1350,68),0)</f>
        <v/>
      </c>
      <c r="BT1350">
        <f>IFERROR(INDEX(PP_Grid[#Data],$DE1350,69),0)</f>
        <v/>
      </c>
      <c r="BU1350">
        <f>IFERROR(INDEX(PP_Grid[#Data],$DE1350,70),0)</f>
        <v/>
      </c>
      <c r="BV1350">
        <f>IFERROR(INDEX(PP_Grid[#Data],$DE1350,71),0)</f>
        <v/>
      </c>
      <c r="BW1350">
        <f>IFERROR(INDEX(PP_Grid[#Data],$DE1350,72),0)</f>
        <v/>
      </c>
      <c r="BX1350">
        <f>IFERROR(INDEX(PP_Grid[#Data],$DE1350,73),0)</f>
        <v/>
      </c>
      <c r="BY1350">
        <f>IFERROR(INDEX(PP_Grid[#Data],$DE1350,74),0)</f>
        <v/>
      </c>
      <c r="BZ1350">
        <f>IFERROR(INDEX(PP_Grid[#Data],$DE1350,75),0)</f>
        <v/>
      </c>
      <c r="CA1350">
        <f>IFERROR(INDEX(PP_Grid[#Data],$DE1350,76),0)</f>
        <v/>
      </c>
      <c r="CB1350">
        <f>IFERROR(INDEX(PP_Grid[#Data],$DE1350,77),0)</f>
        <v/>
      </c>
      <c r="CC1350">
        <f>IFERROR(INDEX(PP_Grid[#Data],$DE1350,78),0)</f>
        <v/>
      </c>
      <c r="CD1350">
        <f>IFERROR(INDEX(PP_Grid[#Data],$DE1350,79),0)</f>
        <v/>
      </c>
      <c r="CE1350">
        <f>IFERROR(INDEX(PP_Grid[#Data],$DE1350,80),0)</f>
        <v/>
      </c>
      <c r="CF1350">
        <f>IFERROR(INDEX(PP_Grid[#Data],$DE1350,81),0)</f>
        <v/>
      </c>
      <c r="CG1350">
        <f>IFERROR(INDEX(PP_Grid[#Data],$DE1350,82),0)</f>
        <v/>
      </c>
      <c r="CH1350">
        <f>IFERROR(INDEX(PP_Grid[#Data],$DE1350,83),0)</f>
        <v/>
      </c>
      <c r="CI1350">
        <f>IFERROR(INDEX(PP_Grid[#Data],$DE1350,84),0)</f>
        <v/>
      </c>
      <c r="CJ1350">
        <f>IFERROR(INDEX(PP_Grid[#Data],$DE1350,85),0)</f>
        <v/>
      </c>
      <c r="CK1350">
        <f>IFERROR(INDEX(PP_Grid[#Data],$DE1350,86),0)</f>
        <v/>
      </c>
      <c r="CL1350">
        <f>IFERROR(INDEX(PP_Grid[#Data],$DE1350,87),0)</f>
        <v/>
      </c>
      <c r="CM1350">
        <f>IFERROR(INDEX(PP_Grid[#Data],$DE1350,88),0)</f>
        <v/>
      </c>
      <c r="CN1350">
        <f>IFERROR(INDEX(PP_Grid[#Data],$DE1350,89),0)</f>
        <v/>
      </c>
      <c r="CO1350">
        <f>IFERROR(INDEX(PP_Grid[#Data],$DE1350,90),0)</f>
        <v/>
      </c>
      <c r="CP1350">
        <f>IFERROR(INDEX(PP_Grid[#Data],$DE1350,91),0)</f>
        <v/>
      </c>
      <c r="CQ1350">
        <f>IFERROR(INDEX(PP_Grid[#Data],$DE1350,92),0)</f>
        <v/>
      </c>
      <c r="CR1350">
        <f>IFERROR(INDEX(PP_Grid[#Data],$DE1350,93),0)</f>
        <v/>
      </c>
      <c r="CS1350">
        <f>IFERROR(INDEX(PP_Grid[#Data],$DE1350,94),0)</f>
        <v/>
      </c>
      <c r="CT1350">
        <f>IFERROR(INDEX(PP_Grid[#Data],$DE1350,95),0)</f>
        <v/>
      </c>
      <c r="CU1350">
        <f>IFERROR(INDEX(PP_Grid[#Data],$DE1350,96),0)</f>
        <v/>
      </c>
      <c r="CV1350">
        <f>IFERROR(INDEX(PP_Grid[#Data],$DE1350,97),0)</f>
        <v/>
      </c>
      <c r="CW1350">
        <f>IFERROR(INDEX(PP_Grid[#Data],$DE1350,98),0)</f>
        <v/>
      </c>
      <c r="CX1350">
        <f>IFERROR(INDEX(PP_Grid[#Data],$DE1350,99),0)</f>
        <v/>
      </c>
      <c r="CY1350">
        <f>IFERROR(INDEX(PP_Grid[#Data],$DE1350,100),0)</f>
        <v/>
      </c>
      <c r="CZ1350">
        <f>IFERROR(INDEX(PP_Grid[#Data],$DE1350,101),0)</f>
        <v/>
      </c>
      <c r="DA1350">
        <f>IFERROR(INDEX(PP_Grid[#Data],$DE1350,102),0)</f>
        <v/>
      </c>
      <c r="DB1350">
        <f>IFERROR(INDEX(PP_Grid[#Data],$DE1350,103),0)</f>
        <v/>
      </c>
      <c r="DC1350">
        <f>IFERROR(INDEX(PP_Grid[#Data],$DE1350,104),0)</f>
        <v/>
      </c>
      <c r="DD1350">
        <f>IFERROR(INDEX(PP_Grid[#Data],$DE1350,105),0)</f>
        <v/>
      </c>
      <c r="DE1350" s="7">
        <f>IFERROR(MATCH($B1350,PP_Grid[Intermediate],0),99999)</f>
        <v/>
      </c>
    </row>
    <row r="1351">
      <c r="B1351" t="inlineStr">
        <is>
          <t>使用量(kg)</t>
        </is>
      </c>
      <c r="C1351">
        <f>SUMIFS(M_BOM[RM_Qty_Per_Batch],M_BOM[Intermediate],$B1350,M_BOM[RM_Code],$A1349)</f>
        <v/>
      </c>
      <c r="D1351">
        <f>IFERROR(INDEX(E1351:DD1351,$F$1),"")</f>
        <v/>
      </c>
      <c r="E1351">
        <f>$C1351*E1350</f>
        <v/>
      </c>
      <c r="F1351">
        <f>$C1351*F1350</f>
        <v/>
      </c>
      <c r="G1351">
        <f>$C1351*G1350</f>
        <v/>
      </c>
      <c r="H1351">
        <f>$C1351*H1350</f>
        <v/>
      </c>
      <c r="I1351">
        <f>$C1351*I1350</f>
        <v/>
      </c>
      <c r="J1351">
        <f>$C1351*J1350</f>
        <v/>
      </c>
      <c r="K1351">
        <f>$C1351*K1350</f>
        <v/>
      </c>
      <c r="L1351">
        <f>$C1351*L1350</f>
        <v/>
      </c>
      <c r="M1351">
        <f>$C1351*M1350</f>
        <v/>
      </c>
      <c r="N1351">
        <f>$C1351*N1350</f>
        <v/>
      </c>
      <c r="O1351">
        <f>$C1351*O1350</f>
        <v/>
      </c>
      <c r="P1351">
        <f>$C1351*P1350</f>
        <v/>
      </c>
      <c r="Q1351">
        <f>$C1351*Q1350</f>
        <v/>
      </c>
      <c r="R1351">
        <f>$C1351*R1350</f>
        <v/>
      </c>
      <c r="S1351">
        <f>$C1351*S1350</f>
        <v/>
      </c>
      <c r="T1351">
        <f>$C1351*T1350</f>
        <v/>
      </c>
      <c r="U1351">
        <f>$C1351*U1350</f>
        <v/>
      </c>
      <c r="V1351">
        <f>$C1351*V1350</f>
        <v/>
      </c>
      <c r="W1351">
        <f>$C1351*W1350</f>
        <v/>
      </c>
      <c r="X1351">
        <f>$C1351*X1350</f>
        <v/>
      </c>
      <c r="Y1351">
        <f>$C1351*Y1350</f>
        <v/>
      </c>
      <c r="Z1351">
        <f>$C1351*Z1350</f>
        <v/>
      </c>
      <c r="AA1351">
        <f>$C1351*AA1350</f>
        <v/>
      </c>
      <c r="AB1351">
        <f>$C1351*AB1350</f>
        <v/>
      </c>
      <c r="AC1351">
        <f>$C1351*AC1350</f>
        <v/>
      </c>
      <c r="AD1351">
        <f>$C1351*AD1350</f>
        <v/>
      </c>
      <c r="AE1351">
        <f>$C1351*AE1350</f>
        <v/>
      </c>
      <c r="AF1351">
        <f>$C1351*AF1350</f>
        <v/>
      </c>
      <c r="AG1351">
        <f>$C1351*AG1350</f>
        <v/>
      </c>
      <c r="AH1351">
        <f>$C1351*AH1350</f>
        <v/>
      </c>
      <c r="AI1351">
        <f>$C1351*AI1350</f>
        <v/>
      </c>
      <c r="AJ1351">
        <f>$C1351*AJ1350</f>
        <v/>
      </c>
      <c r="AK1351">
        <f>$C1351*AK1350</f>
        <v/>
      </c>
      <c r="AL1351">
        <f>$C1351*AL1350</f>
        <v/>
      </c>
      <c r="AM1351">
        <f>$C1351*AM1350</f>
        <v/>
      </c>
      <c r="AN1351">
        <f>$C1351*AN1350</f>
        <v/>
      </c>
      <c r="AO1351">
        <f>$C1351*AO1350</f>
        <v/>
      </c>
      <c r="AP1351">
        <f>$C1351*AP1350</f>
        <v/>
      </c>
      <c r="AQ1351">
        <f>$C1351*AQ1350</f>
        <v/>
      </c>
      <c r="AR1351">
        <f>$C1351*AR1350</f>
        <v/>
      </c>
      <c r="AS1351">
        <f>$C1351*AS1350</f>
        <v/>
      </c>
      <c r="AT1351">
        <f>$C1351*AT1350</f>
        <v/>
      </c>
      <c r="AU1351">
        <f>$C1351*AU1350</f>
        <v/>
      </c>
      <c r="AV1351">
        <f>$C1351*AV1350</f>
        <v/>
      </c>
      <c r="AW1351">
        <f>$C1351*AW1350</f>
        <v/>
      </c>
      <c r="AX1351">
        <f>$C1351*AX1350</f>
        <v/>
      </c>
      <c r="AY1351">
        <f>$C1351*AY1350</f>
        <v/>
      </c>
      <c r="AZ1351">
        <f>$C1351*AZ1350</f>
        <v/>
      </c>
      <c r="BA1351">
        <f>$C1351*BA1350</f>
        <v/>
      </c>
      <c r="BB1351">
        <f>$C1351*BB1350</f>
        <v/>
      </c>
      <c r="BC1351">
        <f>$C1351*BC1350</f>
        <v/>
      </c>
      <c r="BD1351">
        <f>$C1351*BD1350</f>
        <v/>
      </c>
      <c r="BE1351">
        <f>$C1351*BE1350</f>
        <v/>
      </c>
      <c r="BF1351">
        <f>$C1351*BF1350</f>
        <v/>
      </c>
      <c r="BG1351">
        <f>$C1351*BG1350</f>
        <v/>
      </c>
      <c r="BH1351">
        <f>$C1351*BH1350</f>
        <v/>
      </c>
      <c r="BI1351">
        <f>$C1351*BI1350</f>
        <v/>
      </c>
      <c r="BJ1351">
        <f>$C1351*BJ1350</f>
        <v/>
      </c>
      <c r="BK1351">
        <f>$C1351*BK1350</f>
        <v/>
      </c>
      <c r="BL1351">
        <f>$C1351*BL1350</f>
        <v/>
      </c>
      <c r="BM1351">
        <f>$C1351*BM1350</f>
        <v/>
      </c>
      <c r="BN1351">
        <f>$C1351*BN1350</f>
        <v/>
      </c>
      <c r="BO1351">
        <f>$C1351*BO1350</f>
        <v/>
      </c>
      <c r="BP1351">
        <f>$C1351*BP1350</f>
        <v/>
      </c>
      <c r="BQ1351">
        <f>$C1351*BQ1350</f>
        <v/>
      </c>
      <c r="BR1351">
        <f>$C1351*BR1350</f>
        <v/>
      </c>
      <c r="BS1351">
        <f>$C1351*BS1350</f>
        <v/>
      </c>
      <c r="BT1351">
        <f>$C1351*BT1350</f>
        <v/>
      </c>
      <c r="BU1351">
        <f>$C1351*BU1350</f>
        <v/>
      </c>
      <c r="BV1351">
        <f>$C1351*BV1350</f>
        <v/>
      </c>
      <c r="BW1351">
        <f>$C1351*BW1350</f>
        <v/>
      </c>
      <c r="BX1351">
        <f>$C1351*BX1350</f>
        <v/>
      </c>
      <c r="BY1351">
        <f>$C1351*BY1350</f>
        <v/>
      </c>
      <c r="BZ1351">
        <f>$C1351*BZ1350</f>
        <v/>
      </c>
      <c r="CA1351">
        <f>$C1351*CA1350</f>
        <v/>
      </c>
      <c r="CB1351">
        <f>$C1351*CB1350</f>
        <v/>
      </c>
      <c r="CC1351">
        <f>$C1351*CC1350</f>
        <v/>
      </c>
      <c r="CD1351">
        <f>$C1351*CD1350</f>
        <v/>
      </c>
      <c r="CE1351">
        <f>$C1351*CE1350</f>
        <v/>
      </c>
      <c r="CF1351">
        <f>$C1351*CF1350</f>
        <v/>
      </c>
      <c r="CG1351">
        <f>$C1351*CG1350</f>
        <v/>
      </c>
      <c r="CH1351">
        <f>$C1351*CH1350</f>
        <v/>
      </c>
      <c r="CI1351">
        <f>$C1351*CI1350</f>
        <v/>
      </c>
      <c r="CJ1351">
        <f>$C1351*CJ1350</f>
        <v/>
      </c>
      <c r="CK1351">
        <f>$C1351*CK1350</f>
        <v/>
      </c>
      <c r="CL1351">
        <f>$C1351*CL1350</f>
        <v/>
      </c>
      <c r="CM1351">
        <f>$C1351*CM1350</f>
        <v/>
      </c>
      <c r="CN1351">
        <f>$C1351*CN1350</f>
        <v/>
      </c>
      <c r="CO1351">
        <f>$C1351*CO1350</f>
        <v/>
      </c>
      <c r="CP1351">
        <f>$C1351*CP1350</f>
        <v/>
      </c>
      <c r="CQ1351">
        <f>$C1351*CQ1350</f>
        <v/>
      </c>
      <c r="CR1351">
        <f>$C1351*CR1350</f>
        <v/>
      </c>
      <c r="CS1351">
        <f>$C1351*CS1350</f>
        <v/>
      </c>
      <c r="CT1351">
        <f>$C1351*CT1350</f>
        <v/>
      </c>
      <c r="CU1351">
        <f>$C1351*CU1350</f>
        <v/>
      </c>
      <c r="CV1351">
        <f>$C1351*CV1350</f>
        <v/>
      </c>
      <c r="CW1351">
        <f>$C1351*CW1350</f>
        <v/>
      </c>
      <c r="CX1351">
        <f>$C1351*CX1350</f>
        <v/>
      </c>
      <c r="CY1351">
        <f>$C1351*CY1350</f>
        <v/>
      </c>
      <c r="CZ1351">
        <f>$C1351*CZ1350</f>
        <v/>
      </c>
      <c r="DA1351">
        <f>$C1351*DA1350</f>
        <v/>
      </c>
      <c r="DB1351">
        <f>$C1351*DB1350</f>
        <v/>
      </c>
      <c r="DC1351">
        <f>$C1351*DC1350</f>
        <v/>
      </c>
      <c r="DD1351">
        <f>$C1351*DD1350</f>
        <v/>
      </c>
    </row>
    <row r="1352">
      <c r="B1352" t="inlineStr">
        <is>
          <t>TSP-925</t>
        </is>
      </c>
      <c r="C1352" t="inlineStr">
        <is>
          <t>No. of batches</t>
        </is>
      </c>
      <c r="D1352">
        <f>IFERROR(INDEX(E1352:DD1352,$F$1),"")</f>
        <v/>
      </c>
      <c r="E1352">
        <f>IFERROR(INDEX(PP_Grid[#Data],$DE1352,2),0)</f>
        <v/>
      </c>
      <c r="F1352">
        <f>IFERROR(INDEX(PP_Grid[#Data],$DE1352,3),0)</f>
        <v/>
      </c>
      <c r="G1352">
        <f>IFERROR(INDEX(PP_Grid[#Data],$DE1352,4),0)</f>
        <v/>
      </c>
      <c r="H1352">
        <f>IFERROR(INDEX(PP_Grid[#Data],$DE1352,5),0)</f>
        <v/>
      </c>
      <c r="I1352">
        <f>IFERROR(INDEX(PP_Grid[#Data],$DE1352,6),0)</f>
        <v/>
      </c>
      <c r="J1352">
        <f>IFERROR(INDEX(PP_Grid[#Data],$DE1352,7),0)</f>
        <v/>
      </c>
      <c r="K1352">
        <f>IFERROR(INDEX(PP_Grid[#Data],$DE1352,8),0)</f>
        <v/>
      </c>
      <c r="L1352">
        <f>IFERROR(INDEX(PP_Grid[#Data],$DE1352,9),0)</f>
        <v/>
      </c>
      <c r="M1352">
        <f>IFERROR(INDEX(PP_Grid[#Data],$DE1352,10),0)</f>
        <v/>
      </c>
      <c r="N1352">
        <f>IFERROR(INDEX(PP_Grid[#Data],$DE1352,11),0)</f>
        <v/>
      </c>
      <c r="O1352">
        <f>IFERROR(INDEX(PP_Grid[#Data],$DE1352,12),0)</f>
        <v/>
      </c>
      <c r="P1352">
        <f>IFERROR(INDEX(PP_Grid[#Data],$DE1352,13),0)</f>
        <v/>
      </c>
      <c r="Q1352">
        <f>IFERROR(INDEX(PP_Grid[#Data],$DE1352,14),0)</f>
        <v/>
      </c>
      <c r="R1352">
        <f>IFERROR(INDEX(PP_Grid[#Data],$DE1352,15),0)</f>
        <v/>
      </c>
      <c r="S1352">
        <f>IFERROR(INDEX(PP_Grid[#Data],$DE1352,16),0)</f>
        <v/>
      </c>
      <c r="T1352">
        <f>IFERROR(INDEX(PP_Grid[#Data],$DE1352,17),0)</f>
        <v/>
      </c>
      <c r="U1352">
        <f>IFERROR(INDEX(PP_Grid[#Data],$DE1352,18),0)</f>
        <v/>
      </c>
      <c r="V1352">
        <f>IFERROR(INDEX(PP_Grid[#Data],$DE1352,19),0)</f>
        <v/>
      </c>
      <c r="W1352">
        <f>IFERROR(INDEX(PP_Grid[#Data],$DE1352,20),0)</f>
        <v/>
      </c>
      <c r="X1352">
        <f>IFERROR(INDEX(PP_Grid[#Data],$DE1352,21),0)</f>
        <v/>
      </c>
      <c r="Y1352">
        <f>IFERROR(INDEX(PP_Grid[#Data],$DE1352,22),0)</f>
        <v/>
      </c>
      <c r="Z1352">
        <f>IFERROR(INDEX(PP_Grid[#Data],$DE1352,23),0)</f>
        <v/>
      </c>
      <c r="AA1352">
        <f>IFERROR(INDEX(PP_Grid[#Data],$DE1352,24),0)</f>
        <v/>
      </c>
      <c r="AB1352">
        <f>IFERROR(INDEX(PP_Grid[#Data],$DE1352,25),0)</f>
        <v/>
      </c>
      <c r="AC1352">
        <f>IFERROR(INDEX(PP_Grid[#Data],$DE1352,26),0)</f>
        <v/>
      </c>
      <c r="AD1352">
        <f>IFERROR(INDEX(PP_Grid[#Data],$DE1352,27),0)</f>
        <v/>
      </c>
      <c r="AE1352">
        <f>IFERROR(INDEX(PP_Grid[#Data],$DE1352,28),0)</f>
        <v/>
      </c>
      <c r="AF1352">
        <f>IFERROR(INDEX(PP_Grid[#Data],$DE1352,29),0)</f>
        <v/>
      </c>
      <c r="AG1352">
        <f>IFERROR(INDEX(PP_Grid[#Data],$DE1352,30),0)</f>
        <v/>
      </c>
      <c r="AH1352">
        <f>IFERROR(INDEX(PP_Grid[#Data],$DE1352,31),0)</f>
        <v/>
      </c>
      <c r="AI1352">
        <f>IFERROR(INDEX(PP_Grid[#Data],$DE1352,32),0)</f>
        <v/>
      </c>
      <c r="AJ1352">
        <f>IFERROR(INDEX(PP_Grid[#Data],$DE1352,33),0)</f>
        <v/>
      </c>
      <c r="AK1352">
        <f>IFERROR(INDEX(PP_Grid[#Data],$DE1352,34),0)</f>
        <v/>
      </c>
      <c r="AL1352">
        <f>IFERROR(INDEX(PP_Grid[#Data],$DE1352,35),0)</f>
        <v/>
      </c>
      <c r="AM1352">
        <f>IFERROR(INDEX(PP_Grid[#Data],$DE1352,36),0)</f>
        <v/>
      </c>
      <c r="AN1352">
        <f>IFERROR(INDEX(PP_Grid[#Data],$DE1352,37),0)</f>
        <v/>
      </c>
      <c r="AO1352">
        <f>IFERROR(INDEX(PP_Grid[#Data],$DE1352,38),0)</f>
        <v/>
      </c>
      <c r="AP1352">
        <f>IFERROR(INDEX(PP_Grid[#Data],$DE1352,39),0)</f>
        <v/>
      </c>
      <c r="AQ1352">
        <f>IFERROR(INDEX(PP_Grid[#Data],$DE1352,40),0)</f>
        <v/>
      </c>
      <c r="AR1352">
        <f>IFERROR(INDEX(PP_Grid[#Data],$DE1352,41),0)</f>
        <v/>
      </c>
      <c r="AS1352">
        <f>IFERROR(INDEX(PP_Grid[#Data],$DE1352,42),0)</f>
        <v/>
      </c>
      <c r="AT1352">
        <f>IFERROR(INDEX(PP_Grid[#Data],$DE1352,43),0)</f>
        <v/>
      </c>
      <c r="AU1352">
        <f>IFERROR(INDEX(PP_Grid[#Data],$DE1352,44),0)</f>
        <v/>
      </c>
      <c r="AV1352">
        <f>IFERROR(INDEX(PP_Grid[#Data],$DE1352,45),0)</f>
        <v/>
      </c>
      <c r="AW1352">
        <f>IFERROR(INDEX(PP_Grid[#Data],$DE1352,46),0)</f>
        <v/>
      </c>
      <c r="AX1352">
        <f>IFERROR(INDEX(PP_Grid[#Data],$DE1352,47),0)</f>
        <v/>
      </c>
      <c r="AY1352">
        <f>IFERROR(INDEX(PP_Grid[#Data],$DE1352,48),0)</f>
        <v/>
      </c>
      <c r="AZ1352">
        <f>IFERROR(INDEX(PP_Grid[#Data],$DE1352,49),0)</f>
        <v/>
      </c>
      <c r="BA1352">
        <f>IFERROR(INDEX(PP_Grid[#Data],$DE1352,50),0)</f>
        <v/>
      </c>
      <c r="BB1352">
        <f>IFERROR(INDEX(PP_Grid[#Data],$DE1352,51),0)</f>
        <v/>
      </c>
      <c r="BC1352">
        <f>IFERROR(INDEX(PP_Grid[#Data],$DE1352,52),0)</f>
        <v/>
      </c>
      <c r="BD1352">
        <f>IFERROR(INDEX(PP_Grid[#Data],$DE1352,53),0)</f>
        <v/>
      </c>
      <c r="BE1352">
        <f>IFERROR(INDEX(PP_Grid[#Data],$DE1352,54),0)</f>
        <v/>
      </c>
      <c r="BF1352">
        <f>IFERROR(INDEX(PP_Grid[#Data],$DE1352,55),0)</f>
        <v/>
      </c>
      <c r="BG1352">
        <f>IFERROR(INDEX(PP_Grid[#Data],$DE1352,56),0)</f>
        <v/>
      </c>
      <c r="BH1352">
        <f>IFERROR(INDEX(PP_Grid[#Data],$DE1352,57),0)</f>
        <v/>
      </c>
      <c r="BI1352">
        <f>IFERROR(INDEX(PP_Grid[#Data],$DE1352,58),0)</f>
        <v/>
      </c>
      <c r="BJ1352">
        <f>IFERROR(INDEX(PP_Grid[#Data],$DE1352,59),0)</f>
        <v/>
      </c>
      <c r="BK1352">
        <f>IFERROR(INDEX(PP_Grid[#Data],$DE1352,60),0)</f>
        <v/>
      </c>
      <c r="BL1352">
        <f>IFERROR(INDEX(PP_Grid[#Data],$DE1352,61),0)</f>
        <v/>
      </c>
      <c r="BM1352">
        <f>IFERROR(INDEX(PP_Grid[#Data],$DE1352,62),0)</f>
        <v/>
      </c>
      <c r="BN1352">
        <f>IFERROR(INDEX(PP_Grid[#Data],$DE1352,63),0)</f>
        <v/>
      </c>
      <c r="BO1352">
        <f>IFERROR(INDEX(PP_Grid[#Data],$DE1352,64),0)</f>
        <v/>
      </c>
      <c r="BP1352">
        <f>IFERROR(INDEX(PP_Grid[#Data],$DE1352,65),0)</f>
        <v/>
      </c>
      <c r="BQ1352">
        <f>IFERROR(INDEX(PP_Grid[#Data],$DE1352,66),0)</f>
        <v/>
      </c>
      <c r="BR1352">
        <f>IFERROR(INDEX(PP_Grid[#Data],$DE1352,67),0)</f>
        <v/>
      </c>
      <c r="BS1352">
        <f>IFERROR(INDEX(PP_Grid[#Data],$DE1352,68),0)</f>
        <v/>
      </c>
      <c r="BT1352">
        <f>IFERROR(INDEX(PP_Grid[#Data],$DE1352,69),0)</f>
        <v/>
      </c>
      <c r="BU1352">
        <f>IFERROR(INDEX(PP_Grid[#Data],$DE1352,70),0)</f>
        <v/>
      </c>
      <c r="BV1352">
        <f>IFERROR(INDEX(PP_Grid[#Data],$DE1352,71),0)</f>
        <v/>
      </c>
      <c r="BW1352">
        <f>IFERROR(INDEX(PP_Grid[#Data],$DE1352,72),0)</f>
        <v/>
      </c>
      <c r="BX1352">
        <f>IFERROR(INDEX(PP_Grid[#Data],$DE1352,73),0)</f>
        <v/>
      </c>
      <c r="BY1352">
        <f>IFERROR(INDEX(PP_Grid[#Data],$DE1352,74),0)</f>
        <v/>
      </c>
      <c r="BZ1352">
        <f>IFERROR(INDEX(PP_Grid[#Data],$DE1352,75),0)</f>
        <v/>
      </c>
      <c r="CA1352">
        <f>IFERROR(INDEX(PP_Grid[#Data],$DE1352,76),0)</f>
        <v/>
      </c>
      <c r="CB1352">
        <f>IFERROR(INDEX(PP_Grid[#Data],$DE1352,77),0)</f>
        <v/>
      </c>
      <c r="CC1352">
        <f>IFERROR(INDEX(PP_Grid[#Data],$DE1352,78),0)</f>
        <v/>
      </c>
      <c r="CD1352">
        <f>IFERROR(INDEX(PP_Grid[#Data],$DE1352,79),0)</f>
        <v/>
      </c>
      <c r="CE1352">
        <f>IFERROR(INDEX(PP_Grid[#Data],$DE1352,80),0)</f>
        <v/>
      </c>
      <c r="CF1352">
        <f>IFERROR(INDEX(PP_Grid[#Data],$DE1352,81),0)</f>
        <v/>
      </c>
      <c r="CG1352">
        <f>IFERROR(INDEX(PP_Grid[#Data],$DE1352,82),0)</f>
        <v/>
      </c>
      <c r="CH1352">
        <f>IFERROR(INDEX(PP_Grid[#Data],$DE1352,83),0)</f>
        <v/>
      </c>
      <c r="CI1352">
        <f>IFERROR(INDEX(PP_Grid[#Data],$DE1352,84),0)</f>
        <v/>
      </c>
      <c r="CJ1352">
        <f>IFERROR(INDEX(PP_Grid[#Data],$DE1352,85),0)</f>
        <v/>
      </c>
      <c r="CK1352">
        <f>IFERROR(INDEX(PP_Grid[#Data],$DE1352,86),0)</f>
        <v/>
      </c>
      <c r="CL1352">
        <f>IFERROR(INDEX(PP_Grid[#Data],$DE1352,87),0)</f>
        <v/>
      </c>
      <c r="CM1352">
        <f>IFERROR(INDEX(PP_Grid[#Data],$DE1352,88),0)</f>
        <v/>
      </c>
      <c r="CN1352">
        <f>IFERROR(INDEX(PP_Grid[#Data],$DE1352,89),0)</f>
        <v/>
      </c>
      <c r="CO1352">
        <f>IFERROR(INDEX(PP_Grid[#Data],$DE1352,90),0)</f>
        <v/>
      </c>
      <c r="CP1352">
        <f>IFERROR(INDEX(PP_Grid[#Data],$DE1352,91),0)</f>
        <v/>
      </c>
      <c r="CQ1352">
        <f>IFERROR(INDEX(PP_Grid[#Data],$DE1352,92),0)</f>
        <v/>
      </c>
      <c r="CR1352">
        <f>IFERROR(INDEX(PP_Grid[#Data],$DE1352,93),0)</f>
        <v/>
      </c>
      <c r="CS1352">
        <f>IFERROR(INDEX(PP_Grid[#Data],$DE1352,94),0)</f>
        <v/>
      </c>
      <c r="CT1352">
        <f>IFERROR(INDEX(PP_Grid[#Data],$DE1352,95),0)</f>
        <v/>
      </c>
      <c r="CU1352">
        <f>IFERROR(INDEX(PP_Grid[#Data],$DE1352,96),0)</f>
        <v/>
      </c>
      <c r="CV1352">
        <f>IFERROR(INDEX(PP_Grid[#Data],$DE1352,97),0)</f>
        <v/>
      </c>
      <c r="CW1352">
        <f>IFERROR(INDEX(PP_Grid[#Data],$DE1352,98),0)</f>
        <v/>
      </c>
      <c r="CX1352">
        <f>IFERROR(INDEX(PP_Grid[#Data],$DE1352,99),0)</f>
        <v/>
      </c>
      <c r="CY1352">
        <f>IFERROR(INDEX(PP_Grid[#Data],$DE1352,100),0)</f>
        <v/>
      </c>
      <c r="CZ1352">
        <f>IFERROR(INDEX(PP_Grid[#Data],$DE1352,101),0)</f>
        <v/>
      </c>
      <c r="DA1352">
        <f>IFERROR(INDEX(PP_Grid[#Data],$DE1352,102),0)</f>
        <v/>
      </c>
      <c r="DB1352">
        <f>IFERROR(INDEX(PP_Grid[#Data],$DE1352,103),0)</f>
        <v/>
      </c>
      <c r="DC1352">
        <f>IFERROR(INDEX(PP_Grid[#Data],$DE1352,104),0)</f>
        <v/>
      </c>
      <c r="DD1352">
        <f>IFERROR(INDEX(PP_Grid[#Data],$DE1352,105),0)</f>
        <v/>
      </c>
      <c r="DE1352" s="7">
        <f>IFERROR(MATCH($B1352,PP_Grid[Intermediate],0),99999)</f>
        <v/>
      </c>
    </row>
    <row r="1353">
      <c r="B1353" t="inlineStr">
        <is>
          <t>使用量(kg)</t>
        </is>
      </c>
      <c r="C1353">
        <f>SUMIFS(M_BOM[RM_Qty_Per_Batch],M_BOM[Intermediate],$B1352,M_BOM[RM_Code],$A1349)</f>
        <v/>
      </c>
      <c r="D1353">
        <f>IFERROR(INDEX(E1353:DD1353,$F$1),"")</f>
        <v/>
      </c>
      <c r="E1353">
        <f>$C1353*E1352</f>
        <v/>
      </c>
      <c r="F1353">
        <f>$C1353*F1352</f>
        <v/>
      </c>
      <c r="G1353">
        <f>$C1353*G1352</f>
        <v/>
      </c>
      <c r="H1353">
        <f>$C1353*H1352</f>
        <v/>
      </c>
      <c r="I1353">
        <f>$C1353*I1352</f>
        <v/>
      </c>
      <c r="J1353">
        <f>$C1353*J1352</f>
        <v/>
      </c>
      <c r="K1353">
        <f>$C1353*K1352</f>
        <v/>
      </c>
      <c r="L1353">
        <f>$C1353*L1352</f>
        <v/>
      </c>
      <c r="M1353">
        <f>$C1353*M1352</f>
        <v/>
      </c>
      <c r="N1353">
        <f>$C1353*N1352</f>
        <v/>
      </c>
      <c r="O1353">
        <f>$C1353*O1352</f>
        <v/>
      </c>
      <c r="P1353">
        <f>$C1353*P1352</f>
        <v/>
      </c>
      <c r="Q1353">
        <f>$C1353*Q1352</f>
        <v/>
      </c>
      <c r="R1353">
        <f>$C1353*R1352</f>
        <v/>
      </c>
      <c r="S1353">
        <f>$C1353*S1352</f>
        <v/>
      </c>
      <c r="T1353">
        <f>$C1353*T1352</f>
        <v/>
      </c>
      <c r="U1353">
        <f>$C1353*U1352</f>
        <v/>
      </c>
      <c r="V1353">
        <f>$C1353*V1352</f>
        <v/>
      </c>
      <c r="W1353">
        <f>$C1353*W1352</f>
        <v/>
      </c>
      <c r="X1353">
        <f>$C1353*X1352</f>
        <v/>
      </c>
      <c r="Y1353">
        <f>$C1353*Y1352</f>
        <v/>
      </c>
      <c r="Z1353">
        <f>$C1353*Z1352</f>
        <v/>
      </c>
      <c r="AA1353">
        <f>$C1353*AA1352</f>
        <v/>
      </c>
      <c r="AB1353">
        <f>$C1353*AB1352</f>
        <v/>
      </c>
      <c r="AC1353">
        <f>$C1353*AC1352</f>
        <v/>
      </c>
      <c r="AD1353">
        <f>$C1353*AD1352</f>
        <v/>
      </c>
      <c r="AE1353">
        <f>$C1353*AE1352</f>
        <v/>
      </c>
      <c r="AF1353">
        <f>$C1353*AF1352</f>
        <v/>
      </c>
      <c r="AG1353">
        <f>$C1353*AG1352</f>
        <v/>
      </c>
      <c r="AH1353">
        <f>$C1353*AH1352</f>
        <v/>
      </c>
      <c r="AI1353">
        <f>$C1353*AI1352</f>
        <v/>
      </c>
      <c r="AJ1353">
        <f>$C1353*AJ1352</f>
        <v/>
      </c>
      <c r="AK1353">
        <f>$C1353*AK1352</f>
        <v/>
      </c>
      <c r="AL1353">
        <f>$C1353*AL1352</f>
        <v/>
      </c>
      <c r="AM1353">
        <f>$C1353*AM1352</f>
        <v/>
      </c>
      <c r="AN1353">
        <f>$C1353*AN1352</f>
        <v/>
      </c>
      <c r="AO1353">
        <f>$C1353*AO1352</f>
        <v/>
      </c>
      <c r="AP1353">
        <f>$C1353*AP1352</f>
        <v/>
      </c>
      <c r="AQ1353">
        <f>$C1353*AQ1352</f>
        <v/>
      </c>
      <c r="AR1353">
        <f>$C1353*AR1352</f>
        <v/>
      </c>
      <c r="AS1353">
        <f>$C1353*AS1352</f>
        <v/>
      </c>
      <c r="AT1353">
        <f>$C1353*AT1352</f>
        <v/>
      </c>
      <c r="AU1353">
        <f>$C1353*AU1352</f>
        <v/>
      </c>
      <c r="AV1353">
        <f>$C1353*AV1352</f>
        <v/>
      </c>
      <c r="AW1353">
        <f>$C1353*AW1352</f>
        <v/>
      </c>
      <c r="AX1353">
        <f>$C1353*AX1352</f>
        <v/>
      </c>
      <c r="AY1353">
        <f>$C1353*AY1352</f>
        <v/>
      </c>
      <c r="AZ1353">
        <f>$C1353*AZ1352</f>
        <v/>
      </c>
      <c r="BA1353">
        <f>$C1353*BA1352</f>
        <v/>
      </c>
      <c r="BB1353">
        <f>$C1353*BB1352</f>
        <v/>
      </c>
      <c r="BC1353">
        <f>$C1353*BC1352</f>
        <v/>
      </c>
      <c r="BD1353">
        <f>$C1353*BD1352</f>
        <v/>
      </c>
      <c r="BE1353">
        <f>$C1353*BE1352</f>
        <v/>
      </c>
      <c r="BF1353">
        <f>$C1353*BF1352</f>
        <v/>
      </c>
      <c r="BG1353">
        <f>$C1353*BG1352</f>
        <v/>
      </c>
      <c r="BH1353">
        <f>$C1353*BH1352</f>
        <v/>
      </c>
      <c r="BI1353">
        <f>$C1353*BI1352</f>
        <v/>
      </c>
      <c r="BJ1353">
        <f>$C1353*BJ1352</f>
        <v/>
      </c>
      <c r="BK1353">
        <f>$C1353*BK1352</f>
        <v/>
      </c>
      <c r="BL1353">
        <f>$C1353*BL1352</f>
        <v/>
      </c>
      <c r="BM1353">
        <f>$C1353*BM1352</f>
        <v/>
      </c>
      <c r="BN1353">
        <f>$C1353*BN1352</f>
        <v/>
      </c>
      <c r="BO1353">
        <f>$C1353*BO1352</f>
        <v/>
      </c>
      <c r="BP1353">
        <f>$C1353*BP1352</f>
        <v/>
      </c>
      <c r="BQ1353">
        <f>$C1353*BQ1352</f>
        <v/>
      </c>
      <c r="BR1353">
        <f>$C1353*BR1352</f>
        <v/>
      </c>
      <c r="BS1353">
        <f>$C1353*BS1352</f>
        <v/>
      </c>
      <c r="BT1353">
        <f>$C1353*BT1352</f>
        <v/>
      </c>
      <c r="BU1353">
        <f>$C1353*BU1352</f>
        <v/>
      </c>
      <c r="BV1353">
        <f>$C1353*BV1352</f>
        <v/>
      </c>
      <c r="BW1353">
        <f>$C1353*BW1352</f>
        <v/>
      </c>
      <c r="BX1353">
        <f>$C1353*BX1352</f>
        <v/>
      </c>
      <c r="BY1353">
        <f>$C1353*BY1352</f>
        <v/>
      </c>
      <c r="BZ1353">
        <f>$C1353*BZ1352</f>
        <v/>
      </c>
      <c r="CA1353">
        <f>$C1353*CA1352</f>
        <v/>
      </c>
      <c r="CB1353">
        <f>$C1353*CB1352</f>
        <v/>
      </c>
      <c r="CC1353">
        <f>$C1353*CC1352</f>
        <v/>
      </c>
      <c r="CD1353">
        <f>$C1353*CD1352</f>
        <v/>
      </c>
      <c r="CE1353">
        <f>$C1353*CE1352</f>
        <v/>
      </c>
      <c r="CF1353">
        <f>$C1353*CF1352</f>
        <v/>
      </c>
      <c r="CG1353">
        <f>$C1353*CG1352</f>
        <v/>
      </c>
      <c r="CH1353">
        <f>$C1353*CH1352</f>
        <v/>
      </c>
      <c r="CI1353">
        <f>$C1353*CI1352</f>
        <v/>
      </c>
      <c r="CJ1353">
        <f>$C1353*CJ1352</f>
        <v/>
      </c>
      <c r="CK1353">
        <f>$C1353*CK1352</f>
        <v/>
      </c>
      <c r="CL1353">
        <f>$C1353*CL1352</f>
        <v/>
      </c>
      <c r="CM1353">
        <f>$C1353*CM1352</f>
        <v/>
      </c>
      <c r="CN1353">
        <f>$C1353*CN1352</f>
        <v/>
      </c>
      <c r="CO1353">
        <f>$C1353*CO1352</f>
        <v/>
      </c>
      <c r="CP1353">
        <f>$C1353*CP1352</f>
        <v/>
      </c>
      <c r="CQ1353">
        <f>$C1353*CQ1352</f>
        <v/>
      </c>
      <c r="CR1353">
        <f>$C1353*CR1352</f>
        <v/>
      </c>
      <c r="CS1353">
        <f>$C1353*CS1352</f>
        <v/>
      </c>
      <c r="CT1353">
        <f>$C1353*CT1352</f>
        <v/>
      </c>
      <c r="CU1353">
        <f>$C1353*CU1352</f>
        <v/>
      </c>
      <c r="CV1353">
        <f>$C1353*CV1352</f>
        <v/>
      </c>
      <c r="CW1353">
        <f>$C1353*CW1352</f>
        <v/>
      </c>
      <c r="CX1353">
        <f>$C1353*CX1352</f>
        <v/>
      </c>
      <c r="CY1353">
        <f>$C1353*CY1352</f>
        <v/>
      </c>
      <c r="CZ1353">
        <f>$C1353*CZ1352</f>
        <v/>
      </c>
      <c r="DA1353">
        <f>$C1353*DA1352</f>
        <v/>
      </c>
      <c r="DB1353">
        <f>$C1353*DB1352</f>
        <v/>
      </c>
      <c r="DC1353">
        <f>$C1353*DC1352</f>
        <v/>
      </c>
      <c r="DD1353">
        <f>$C1353*DD1352</f>
        <v/>
      </c>
    </row>
    <row r="1354">
      <c r="B1354" t="inlineStr">
        <is>
          <t>TSP-927</t>
        </is>
      </c>
      <c r="C1354" t="inlineStr">
        <is>
          <t>No. of batches</t>
        </is>
      </c>
      <c r="D1354">
        <f>IFERROR(INDEX(E1354:DD1354,$F$1),"")</f>
        <v/>
      </c>
      <c r="E1354">
        <f>IFERROR(INDEX(PP_Grid[#Data],$DE1354,2),0)</f>
        <v/>
      </c>
      <c r="F1354">
        <f>IFERROR(INDEX(PP_Grid[#Data],$DE1354,3),0)</f>
        <v/>
      </c>
      <c r="G1354">
        <f>IFERROR(INDEX(PP_Grid[#Data],$DE1354,4),0)</f>
        <v/>
      </c>
      <c r="H1354">
        <f>IFERROR(INDEX(PP_Grid[#Data],$DE1354,5),0)</f>
        <v/>
      </c>
      <c r="I1354">
        <f>IFERROR(INDEX(PP_Grid[#Data],$DE1354,6),0)</f>
        <v/>
      </c>
      <c r="J1354">
        <f>IFERROR(INDEX(PP_Grid[#Data],$DE1354,7),0)</f>
        <v/>
      </c>
      <c r="K1354">
        <f>IFERROR(INDEX(PP_Grid[#Data],$DE1354,8),0)</f>
        <v/>
      </c>
      <c r="L1354">
        <f>IFERROR(INDEX(PP_Grid[#Data],$DE1354,9),0)</f>
        <v/>
      </c>
      <c r="M1354">
        <f>IFERROR(INDEX(PP_Grid[#Data],$DE1354,10),0)</f>
        <v/>
      </c>
      <c r="N1354">
        <f>IFERROR(INDEX(PP_Grid[#Data],$DE1354,11),0)</f>
        <v/>
      </c>
      <c r="O1354">
        <f>IFERROR(INDEX(PP_Grid[#Data],$DE1354,12),0)</f>
        <v/>
      </c>
      <c r="P1354">
        <f>IFERROR(INDEX(PP_Grid[#Data],$DE1354,13),0)</f>
        <v/>
      </c>
      <c r="Q1354">
        <f>IFERROR(INDEX(PP_Grid[#Data],$DE1354,14),0)</f>
        <v/>
      </c>
      <c r="R1354">
        <f>IFERROR(INDEX(PP_Grid[#Data],$DE1354,15),0)</f>
        <v/>
      </c>
      <c r="S1354">
        <f>IFERROR(INDEX(PP_Grid[#Data],$DE1354,16),0)</f>
        <v/>
      </c>
      <c r="T1354">
        <f>IFERROR(INDEX(PP_Grid[#Data],$DE1354,17),0)</f>
        <v/>
      </c>
      <c r="U1354">
        <f>IFERROR(INDEX(PP_Grid[#Data],$DE1354,18),0)</f>
        <v/>
      </c>
      <c r="V1354">
        <f>IFERROR(INDEX(PP_Grid[#Data],$DE1354,19),0)</f>
        <v/>
      </c>
      <c r="W1354">
        <f>IFERROR(INDEX(PP_Grid[#Data],$DE1354,20),0)</f>
        <v/>
      </c>
      <c r="X1354">
        <f>IFERROR(INDEX(PP_Grid[#Data],$DE1354,21),0)</f>
        <v/>
      </c>
      <c r="Y1354">
        <f>IFERROR(INDEX(PP_Grid[#Data],$DE1354,22),0)</f>
        <v/>
      </c>
      <c r="Z1354">
        <f>IFERROR(INDEX(PP_Grid[#Data],$DE1354,23),0)</f>
        <v/>
      </c>
      <c r="AA1354">
        <f>IFERROR(INDEX(PP_Grid[#Data],$DE1354,24),0)</f>
        <v/>
      </c>
      <c r="AB1354">
        <f>IFERROR(INDEX(PP_Grid[#Data],$DE1354,25),0)</f>
        <v/>
      </c>
      <c r="AC1354">
        <f>IFERROR(INDEX(PP_Grid[#Data],$DE1354,26),0)</f>
        <v/>
      </c>
      <c r="AD1354">
        <f>IFERROR(INDEX(PP_Grid[#Data],$DE1354,27),0)</f>
        <v/>
      </c>
      <c r="AE1354">
        <f>IFERROR(INDEX(PP_Grid[#Data],$DE1354,28),0)</f>
        <v/>
      </c>
      <c r="AF1354">
        <f>IFERROR(INDEX(PP_Grid[#Data],$DE1354,29),0)</f>
        <v/>
      </c>
      <c r="AG1354">
        <f>IFERROR(INDEX(PP_Grid[#Data],$DE1354,30),0)</f>
        <v/>
      </c>
      <c r="AH1354">
        <f>IFERROR(INDEX(PP_Grid[#Data],$DE1354,31),0)</f>
        <v/>
      </c>
      <c r="AI1354">
        <f>IFERROR(INDEX(PP_Grid[#Data],$DE1354,32),0)</f>
        <v/>
      </c>
      <c r="AJ1354">
        <f>IFERROR(INDEX(PP_Grid[#Data],$DE1354,33),0)</f>
        <v/>
      </c>
      <c r="AK1354">
        <f>IFERROR(INDEX(PP_Grid[#Data],$DE1354,34),0)</f>
        <v/>
      </c>
      <c r="AL1354">
        <f>IFERROR(INDEX(PP_Grid[#Data],$DE1354,35),0)</f>
        <v/>
      </c>
      <c r="AM1354">
        <f>IFERROR(INDEX(PP_Grid[#Data],$DE1354,36),0)</f>
        <v/>
      </c>
      <c r="AN1354">
        <f>IFERROR(INDEX(PP_Grid[#Data],$DE1354,37),0)</f>
        <v/>
      </c>
      <c r="AO1354">
        <f>IFERROR(INDEX(PP_Grid[#Data],$DE1354,38),0)</f>
        <v/>
      </c>
      <c r="AP1354">
        <f>IFERROR(INDEX(PP_Grid[#Data],$DE1354,39),0)</f>
        <v/>
      </c>
      <c r="AQ1354">
        <f>IFERROR(INDEX(PP_Grid[#Data],$DE1354,40),0)</f>
        <v/>
      </c>
      <c r="AR1354">
        <f>IFERROR(INDEX(PP_Grid[#Data],$DE1354,41),0)</f>
        <v/>
      </c>
      <c r="AS1354">
        <f>IFERROR(INDEX(PP_Grid[#Data],$DE1354,42),0)</f>
        <v/>
      </c>
      <c r="AT1354">
        <f>IFERROR(INDEX(PP_Grid[#Data],$DE1354,43),0)</f>
        <v/>
      </c>
      <c r="AU1354">
        <f>IFERROR(INDEX(PP_Grid[#Data],$DE1354,44),0)</f>
        <v/>
      </c>
      <c r="AV1354">
        <f>IFERROR(INDEX(PP_Grid[#Data],$DE1354,45),0)</f>
        <v/>
      </c>
      <c r="AW1354">
        <f>IFERROR(INDEX(PP_Grid[#Data],$DE1354,46),0)</f>
        <v/>
      </c>
      <c r="AX1354">
        <f>IFERROR(INDEX(PP_Grid[#Data],$DE1354,47),0)</f>
        <v/>
      </c>
      <c r="AY1354">
        <f>IFERROR(INDEX(PP_Grid[#Data],$DE1354,48),0)</f>
        <v/>
      </c>
      <c r="AZ1354">
        <f>IFERROR(INDEX(PP_Grid[#Data],$DE1354,49),0)</f>
        <v/>
      </c>
      <c r="BA1354">
        <f>IFERROR(INDEX(PP_Grid[#Data],$DE1354,50),0)</f>
        <v/>
      </c>
      <c r="BB1354">
        <f>IFERROR(INDEX(PP_Grid[#Data],$DE1354,51),0)</f>
        <v/>
      </c>
      <c r="BC1354">
        <f>IFERROR(INDEX(PP_Grid[#Data],$DE1354,52),0)</f>
        <v/>
      </c>
      <c r="BD1354">
        <f>IFERROR(INDEX(PP_Grid[#Data],$DE1354,53),0)</f>
        <v/>
      </c>
      <c r="BE1354">
        <f>IFERROR(INDEX(PP_Grid[#Data],$DE1354,54),0)</f>
        <v/>
      </c>
      <c r="BF1354">
        <f>IFERROR(INDEX(PP_Grid[#Data],$DE1354,55),0)</f>
        <v/>
      </c>
      <c r="BG1354">
        <f>IFERROR(INDEX(PP_Grid[#Data],$DE1354,56),0)</f>
        <v/>
      </c>
      <c r="BH1354">
        <f>IFERROR(INDEX(PP_Grid[#Data],$DE1354,57),0)</f>
        <v/>
      </c>
      <c r="BI1354">
        <f>IFERROR(INDEX(PP_Grid[#Data],$DE1354,58),0)</f>
        <v/>
      </c>
      <c r="BJ1354">
        <f>IFERROR(INDEX(PP_Grid[#Data],$DE1354,59),0)</f>
        <v/>
      </c>
      <c r="BK1354">
        <f>IFERROR(INDEX(PP_Grid[#Data],$DE1354,60),0)</f>
        <v/>
      </c>
      <c r="BL1354">
        <f>IFERROR(INDEX(PP_Grid[#Data],$DE1354,61),0)</f>
        <v/>
      </c>
      <c r="BM1354">
        <f>IFERROR(INDEX(PP_Grid[#Data],$DE1354,62),0)</f>
        <v/>
      </c>
      <c r="BN1354">
        <f>IFERROR(INDEX(PP_Grid[#Data],$DE1354,63),0)</f>
        <v/>
      </c>
      <c r="BO1354">
        <f>IFERROR(INDEX(PP_Grid[#Data],$DE1354,64),0)</f>
        <v/>
      </c>
      <c r="BP1354">
        <f>IFERROR(INDEX(PP_Grid[#Data],$DE1354,65),0)</f>
        <v/>
      </c>
      <c r="BQ1354">
        <f>IFERROR(INDEX(PP_Grid[#Data],$DE1354,66),0)</f>
        <v/>
      </c>
      <c r="BR1354">
        <f>IFERROR(INDEX(PP_Grid[#Data],$DE1354,67),0)</f>
        <v/>
      </c>
      <c r="BS1354">
        <f>IFERROR(INDEX(PP_Grid[#Data],$DE1354,68),0)</f>
        <v/>
      </c>
      <c r="BT1354">
        <f>IFERROR(INDEX(PP_Grid[#Data],$DE1354,69),0)</f>
        <v/>
      </c>
      <c r="BU1354">
        <f>IFERROR(INDEX(PP_Grid[#Data],$DE1354,70),0)</f>
        <v/>
      </c>
      <c r="BV1354">
        <f>IFERROR(INDEX(PP_Grid[#Data],$DE1354,71),0)</f>
        <v/>
      </c>
      <c r="BW1354">
        <f>IFERROR(INDEX(PP_Grid[#Data],$DE1354,72),0)</f>
        <v/>
      </c>
      <c r="BX1354">
        <f>IFERROR(INDEX(PP_Grid[#Data],$DE1354,73),0)</f>
        <v/>
      </c>
      <c r="BY1354">
        <f>IFERROR(INDEX(PP_Grid[#Data],$DE1354,74),0)</f>
        <v/>
      </c>
      <c r="BZ1354">
        <f>IFERROR(INDEX(PP_Grid[#Data],$DE1354,75),0)</f>
        <v/>
      </c>
      <c r="CA1354">
        <f>IFERROR(INDEX(PP_Grid[#Data],$DE1354,76),0)</f>
        <v/>
      </c>
      <c r="CB1354">
        <f>IFERROR(INDEX(PP_Grid[#Data],$DE1354,77),0)</f>
        <v/>
      </c>
      <c r="CC1354">
        <f>IFERROR(INDEX(PP_Grid[#Data],$DE1354,78),0)</f>
        <v/>
      </c>
      <c r="CD1354">
        <f>IFERROR(INDEX(PP_Grid[#Data],$DE1354,79),0)</f>
        <v/>
      </c>
      <c r="CE1354">
        <f>IFERROR(INDEX(PP_Grid[#Data],$DE1354,80),0)</f>
        <v/>
      </c>
      <c r="CF1354">
        <f>IFERROR(INDEX(PP_Grid[#Data],$DE1354,81),0)</f>
        <v/>
      </c>
      <c r="CG1354">
        <f>IFERROR(INDEX(PP_Grid[#Data],$DE1354,82),0)</f>
        <v/>
      </c>
      <c r="CH1354">
        <f>IFERROR(INDEX(PP_Grid[#Data],$DE1354,83),0)</f>
        <v/>
      </c>
      <c r="CI1354">
        <f>IFERROR(INDEX(PP_Grid[#Data],$DE1354,84),0)</f>
        <v/>
      </c>
      <c r="CJ1354">
        <f>IFERROR(INDEX(PP_Grid[#Data],$DE1354,85),0)</f>
        <v/>
      </c>
      <c r="CK1354">
        <f>IFERROR(INDEX(PP_Grid[#Data],$DE1354,86),0)</f>
        <v/>
      </c>
      <c r="CL1354">
        <f>IFERROR(INDEX(PP_Grid[#Data],$DE1354,87),0)</f>
        <v/>
      </c>
      <c r="CM1354">
        <f>IFERROR(INDEX(PP_Grid[#Data],$DE1354,88),0)</f>
        <v/>
      </c>
      <c r="CN1354">
        <f>IFERROR(INDEX(PP_Grid[#Data],$DE1354,89),0)</f>
        <v/>
      </c>
      <c r="CO1354">
        <f>IFERROR(INDEX(PP_Grid[#Data],$DE1354,90),0)</f>
        <v/>
      </c>
      <c r="CP1354">
        <f>IFERROR(INDEX(PP_Grid[#Data],$DE1354,91),0)</f>
        <v/>
      </c>
      <c r="CQ1354">
        <f>IFERROR(INDEX(PP_Grid[#Data],$DE1354,92),0)</f>
        <v/>
      </c>
      <c r="CR1354">
        <f>IFERROR(INDEX(PP_Grid[#Data],$DE1354,93),0)</f>
        <v/>
      </c>
      <c r="CS1354">
        <f>IFERROR(INDEX(PP_Grid[#Data],$DE1354,94),0)</f>
        <v/>
      </c>
      <c r="CT1354">
        <f>IFERROR(INDEX(PP_Grid[#Data],$DE1354,95),0)</f>
        <v/>
      </c>
      <c r="CU1354">
        <f>IFERROR(INDEX(PP_Grid[#Data],$DE1354,96),0)</f>
        <v/>
      </c>
      <c r="CV1354">
        <f>IFERROR(INDEX(PP_Grid[#Data],$DE1354,97),0)</f>
        <v/>
      </c>
      <c r="CW1354">
        <f>IFERROR(INDEX(PP_Grid[#Data],$DE1354,98),0)</f>
        <v/>
      </c>
      <c r="CX1354">
        <f>IFERROR(INDEX(PP_Grid[#Data],$DE1354,99),0)</f>
        <v/>
      </c>
      <c r="CY1354">
        <f>IFERROR(INDEX(PP_Grid[#Data],$DE1354,100),0)</f>
        <v/>
      </c>
      <c r="CZ1354">
        <f>IFERROR(INDEX(PP_Grid[#Data],$DE1354,101),0)</f>
        <v/>
      </c>
      <c r="DA1354">
        <f>IFERROR(INDEX(PP_Grid[#Data],$DE1354,102),0)</f>
        <v/>
      </c>
      <c r="DB1354">
        <f>IFERROR(INDEX(PP_Grid[#Data],$DE1354,103),0)</f>
        <v/>
      </c>
      <c r="DC1354">
        <f>IFERROR(INDEX(PP_Grid[#Data],$DE1354,104),0)</f>
        <v/>
      </c>
      <c r="DD1354">
        <f>IFERROR(INDEX(PP_Grid[#Data],$DE1354,105),0)</f>
        <v/>
      </c>
      <c r="DE1354" s="7">
        <f>IFERROR(MATCH($B1354,PP_Grid[Intermediate],0),99999)</f>
        <v/>
      </c>
    </row>
    <row r="1355">
      <c r="B1355" t="inlineStr">
        <is>
          <t>使用量(kg)</t>
        </is>
      </c>
      <c r="C1355">
        <f>SUMIFS(M_BOM[RM_Qty_Per_Batch],M_BOM[Intermediate],$B1354,M_BOM[RM_Code],$A1349)</f>
        <v/>
      </c>
      <c r="D1355">
        <f>IFERROR(INDEX(E1355:DD1355,$F$1),"")</f>
        <v/>
      </c>
      <c r="E1355">
        <f>$C1355*E1354</f>
        <v/>
      </c>
      <c r="F1355">
        <f>$C1355*F1354</f>
        <v/>
      </c>
      <c r="G1355">
        <f>$C1355*G1354</f>
        <v/>
      </c>
      <c r="H1355">
        <f>$C1355*H1354</f>
        <v/>
      </c>
      <c r="I1355">
        <f>$C1355*I1354</f>
        <v/>
      </c>
      <c r="J1355">
        <f>$C1355*J1354</f>
        <v/>
      </c>
      <c r="K1355">
        <f>$C1355*K1354</f>
        <v/>
      </c>
      <c r="L1355">
        <f>$C1355*L1354</f>
        <v/>
      </c>
      <c r="M1355">
        <f>$C1355*M1354</f>
        <v/>
      </c>
      <c r="N1355">
        <f>$C1355*N1354</f>
        <v/>
      </c>
      <c r="O1355">
        <f>$C1355*O1354</f>
        <v/>
      </c>
      <c r="P1355">
        <f>$C1355*P1354</f>
        <v/>
      </c>
      <c r="Q1355">
        <f>$C1355*Q1354</f>
        <v/>
      </c>
      <c r="R1355">
        <f>$C1355*R1354</f>
        <v/>
      </c>
      <c r="S1355">
        <f>$C1355*S1354</f>
        <v/>
      </c>
      <c r="T1355">
        <f>$C1355*T1354</f>
        <v/>
      </c>
      <c r="U1355">
        <f>$C1355*U1354</f>
        <v/>
      </c>
      <c r="V1355">
        <f>$C1355*V1354</f>
        <v/>
      </c>
      <c r="W1355">
        <f>$C1355*W1354</f>
        <v/>
      </c>
      <c r="X1355">
        <f>$C1355*X1354</f>
        <v/>
      </c>
      <c r="Y1355">
        <f>$C1355*Y1354</f>
        <v/>
      </c>
      <c r="Z1355">
        <f>$C1355*Z1354</f>
        <v/>
      </c>
      <c r="AA1355">
        <f>$C1355*AA1354</f>
        <v/>
      </c>
      <c r="AB1355">
        <f>$C1355*AB1354</f>
        <v/>
      </c>
      <c r="AC1355">
        <f>$C1355*AC1354</f>
        <v/>
      </c>
      <c r="AD1355">
        <f>$C1355*AD1354</f>
        <v/>
      </c>
      <c r="AE1355">
        <f>$C1355*AE1354</f>
        <v/>
      </c>
      <c r="AF1355">
        <f>$C1355*AF1354</f>
        <v/>
      </c>
      <c r="AG1355">
        <f>$C1355*AG1354</f>
        <v/>
      </c>
      <c r="AH1355">
        <f>$C1355*AH1354</f>
        <v/>
      </c>
      <c r="AI1355">
        <f>$C1355*AI1354</f>
        <v/>
      </c>
      <c r="AJ1355">
        <f>$C1355*AJ1354</f>
        <v/>
      </c>
      <c r="AK1355">
        <f>$C1355*AK1354</f>
        <v/>
      </c>
      <c r="AL1355">
        <f>$C1355*AL1354</f>
        <v/>
      </c>
      <c r="AM1355">
        <f>$C1355*AM1354</f>
        <v/>
      </c>
      <c r="AN1355">
        <f>$C1355*AN1354</f>
        <v/>
      </c>
      <c r="AO1355">
        <f>$C1355*AO1354</f>
        <v/>
      </c>
      <c r="AP1355">
        <f>$C1355*AP1354</f>
        <v/>
      </c>
      <c r="AQ1355">
        <f>$C1355*AQ1354</f>
        <v/>
      </c>
      <c r="AR1355">
        <f>$C1355*AR1354</f>
        <v/>
      </c>
      <c r="AS1355">
        <f>$C1355*AS1354</f>
        <v/>
      </c>
      <c r="AT1355">
        <f>$C1355*AT1354</f>
        <v/>
      </c>
      <c r="AU1355">
        <f>$C1355*AU1354</f>
        <v/>
      </c>
      <c r="AV1355">
        <f>$C1355*AV1354</f>
        <v/>
      </c>
      <c r="AW1355">
        <f>$C1355*AW1354</f>
        <v/>
      </c>
      <c r="AX1355">
        <f>$C1355*AX1354</f>
        <v/>
      </c>
      <c r="AY1355">
        <f>$C1355*AY1354</f>
        <v/>
      </c>
      <c r="AZ1355">
        <f>$C1355*AZ1354</f>
        <v/>
      </c>
      <c r="BA1355">
        <f>$C1355*BA1354</f>
        <v/>
      </c>
      <c r="BB1355">
        <f>$C1355*BB1354</f>
        <v/>
      </c>
      <c r="BC1355">
        <f>$C1355*BC1354</f>
        <v/>
      </c>
      <c r="BD1355">
        <f>$C1355*BD1354</f>
        <v/>
      </c>
      <c r="BE1355">
        <f>$C1355*BE1354</f>
        <v/>
      </c>
      <c r="BF1355">
        <f>$C1355*BF1354</f>
        <v/>
      </c>
      <c r="BG1355">
        <f>$C1355*BG1354</f>
        <v/>
      </c>
      <c r="BH1355">
        <f>$C1355*BH1354</f>
        <v/>
      </c>
      <c r="BI1355">
        <f>$C1355*BI1354</f>
        <v/>
      </c>
      <c r="BJ1355">
        <f>$C1355*BJ1354</f>
        <v/>
      </c>
      <c r="BK1355">
        <f>$C1355*BK1354</f>
        <v/>
      </c>
      <c r="BL1355">
        <f>$C1355*BL1354</f>
        <v/>
      </c>
      <c r="BM1355">
        <f>$C1355*BM1354</f>
        <v/>
      </c>
      <c r="BN1355">
        <f>$C1355*BN1354</f>
        <v/>
      </c>
      <c r="BO1355">
        <f>$C1355*BO1354</f>
        <v/>
      </c>
      <c r="BP1355">
        <f>$C1355*BP1354</f>
        <v/>
      </c>
      <c r="BQ1355">
        <f>$C1355*BQ1354</f>
        <v/>
      </c>
      <c r="BR1355">
        <f>$C1355*BR1354</f>
        <v/>
      </c>
      <c r="BS1355">
        <f>$C1355*BS1354</f>
        <v/>
      </c>
      <c r="BT1355">
        <f>$C1355*BT1354</f>
        <v/>
      </c>
      <c r="BU1355">
        <f>$C1355*BU1354</f>
        <v/>
      </c>
      <c r="BV1355">
        <f>$C1355*BV1354</f>
        <v/>
      </c>
      <c r="BW1355">
        <f>$C1355*BW1354</f>
        <v/>
      </c>
      <c r="BX1355">
        <f>$C1355*BX1354</f>
        <v/>
      </c>
      <c r="BY1355">
        <f>$C1355*BY1354</f>
        <v/>
      </c>
      <c r="BZ1355">
        <f>$C1355*BZ1354</f>
        <v/>
      </c>
      <c r="CA1355">
        <f>$C1355*CA1354</f>
        <v/>
      </c>
      <c r="CB1355">
        <f>$C1355*CB1354</f>
        <v/>
      </c>
      <c r="CC1355">
        <f>$C1355*CC1354</f>
        <v/>
      </c>
      <c r="CD1355">
        <f>$C1355*CD1354</f>
        <v/>
      </c>
      <c r="CE1355">
        <f>$C1355*CE1354</f>
        <v/>
      </c>
      <c r="CF1355">
        <f>$C1355*CF1354</f>
        <v/>
      </c>
      <c r="CG1355">
        <f>$C1355*CG1354</f>
        <v/>
      </c>
      <c r="CH1355">
        <f>$C1355*CH1354</f>
        <v/>
      </c>
      <c r="CI1355">
        <f>$C1355*CI1354</f>
        <v/>
      </c>
      <c r="CJ1355">
        <f>$C1355*CJ1354</f>
        <v/>
      </c>
      <c r="CK1355">
        <f>$C1355*CK1354</f>
        <v/>
      </c>
      <c r="CL1355">
        <f>$C1355*CL1354</f>
        <v/>
      </c>
      <c r="CM1355">
        <f>$C1355*CM1354</f>
        <v/>
      </c>
      <c r="CN1355">
        <f>$C1355*CN1354</f>
        <v/>
      </c>
      <c r="CO1355">
        <f>$C1355*CO1354</f>
        <v/>
      </c>
      <c r="CP1355">
        <f>$C1355*CP1354</f>
        <v/>
      </c>
      <c r="CQ1355">
        <f>$C1355*CQ1354</f>
        <v/>
      </c>
      <c r="CR1355">
        <f>$C1355*CR1354</f>
        <v/>
      </c>
      <c r="CS1355">
        <f>$C1355*CS1354</f>
        <v/>
      </c>
      <c r="CT1355">
        <f>$C1355*CT1354</f>
        <v/>
      </c>
      <c r="CU1355">
        <f>$C1355*CU1354</f>
        <v/>
      </c>
      <c r="CV1355">
        <f>$C1355*CV1354</f>
        <v/>
      </c>
      <c r="CW1355">
        <f>$C1355*CW1354</f>
        <v/>
      </c>
      <c r="CX1355">
        <f>$C1355*CX1354</f>
        <v/>
      </c>
      <c r="CY1355">
        <f>$C1355*CY1354</f>
        <v/>
      </c>
      <c r="CZ1355">
        <f>$C1355*CZ1354</f>
        <v/>
      </c>
      <c r="DA1355">
        <f>$C1355*DA1354</f>
        <v/>
      </c>
      <c r="DB1355">
        <f>$C1355*DB1354</f>
        <v/>
      </c>
      <c r="DC1355">
        <f>$C1355*DC1354</f>
        <v/>
      </c>
      <c r="DD1355">
        <f>$C1355*DD1354</f>
        <v/>
      </c>
    </row>
    <row r="1356">
      <c r="B1356" t="inlineStr">
        <is>
          <t>TSP-928</t>
        </is>
      </c>
      <c r="C1356" t="inlineStr">
        <is>
          <t>No. of batches</t>
        </is>
      </c>
      <c r="D1356">
        <f>IFERROR(INDEX(E1356:DD1356,$F$1),"")</f>
        <v/>
      </c>
      <c r="E1356">
        <f>IFERROR(INDEX(PP_Grid[#Data],$DE1356,2),0)</f>
        <v/>
      </c>
      <c r="F1356">
        <f>IFERROR(INDEX(PP_Grid[#Data],$DE1356,3),0)</f>
        <v/>
      </c>
      <c r="G1356">
        <f>IFERROR(INDEX(PP_Grid[#Data],$DE1356,4),0)</f>
        <v/>
      </c>
      <c r="H1356">
        <f>IFERROR(INDEX(PP_Grid[#Data],$DE1356,5),0)</f>
        <v/>
      </c>
      <c r="I1356">
        <f>IFERROR(INDEX(PP_Grid[#Data],$DE1356,6),0)</f>
        <v/>
      </c>
      <c r="J1356">
        <f>IFERROR(INDEX(PP_Grid[#Data],$DE1356,7),0)</f>
        <v/>
      </c>
      <c r="K1356">
        <f>IFERROR(INDEX(PP_Grid[#Data],$DE1356,8),0)</f>
        <v/>
      </c>
      <c r="L1356">
        <f>IFERROR(INDEX(PP_Grid[#Data],$DE1356,9),0)</f>
        <v/>
      </c>
      <c r="M1356">
        <f>IFERROR(INDEX(PP_Grid[#Data],$DE1356,10),0)</f>
        <v/>
      </c>
      <c r="N1356">
        <f>IFERROR(INDEX(PP_Grid[#Data],$DE1356,11),0)</f>
        <v/>
      </c>
      <c r="O1356">
        <f>IFERROR(INDEX(PP_Grid[#Data],$DE1356,12),0)</f>
        <v/>
      </c>
      <c r="P1356">
        <f>IFERROR(INDEX(PP_Grid[#Data],$DE1356,13),0)</f>
        <v/>
      </c>
      <c r="Q1356">
        <f>IFERROR(INDEX(PP_Grid[#Data],$DE1356,14),0)</f>
        <v/>
      </c>
      <c r="R1356">
        <f>IFERROR(INDEX(PP_Grid[#Data],$DE1356,15),0)</f>
        <v/>
      </c>
      <c r="S1356">
        <f>IFERROR(INDEX(PP_Grid[#Data],$DE1356,16),0)</f>
        <v/>
      </c>
      <c r="T1356">
        <f>IFERROR(INDEX(PP_Grid[#Data],$DE1356,17),0)</f>
        <v/>
      </c>
      <c r="U1356">
        <f>IFERROR(INDEX(PP_Grid[#Data],$DE1356,18),0)</f>
        <v/>
      </c>
      <c r="V1356">
        <f>IFERROR(INDEX(PP_Grid[#Data],$DE1356,19),0)</f>
        <v/>
      </c>
      <c r="W1356">
        <f>IFERROR(INDEX(PP_Grid[#Data],$DE1356,20),0)</f>
        <v/>
      </c>
      <c r="X1356">
        <f>IFERROR(INDEX(PP_Grid[#Data],$DE1356,21),0)</f>
        <v/>
      </c>
      <c r="Y1356">
        <f>IFERROR(INDEX(PP_Grid[#Data],$DE1356,22),0)</f>
        <v/>
      </c>
      <c r="Z1356">
        <f>IFERROR(INDEX(PP_Grid[#Data],$DE1356,23),0)</f>
        <v/>
      </c>
      <c r="AA1356">
        <f>IFERROR(INDEX(PP_Grid[#Data],$DE1356,24),0)</f>
        <v/>
      </c>
      <c r="AB1356">
        <f>IFERROR(INDEX(PP_Grid[#Data],$DE1356,25),0)</f>
        <v/>
      </c>
      <c r="AC1356">
        <f>IFERROR(INDEX(PP_Grid[#Data],$DE1356,26),0)</f>
        <v/>
      </c>
      <c r="AD1356">
        <f>IFERROR(INDEX(PP_Grid[#Data],$DE1356,27),0)</f>
        <v/>
      </c>
      <c r="AE1356">
        <f>IFERROR(INDEX(PP_Grid[#Data],$DE1356,28),0)</f>
        <v/>
      </c>
      <c r="AF1356">
        <f>IFERROR(INDEX(PP_Grid[#Data],$DE1356,29),0)</f>
        <v/>
      </c>
      <c r="AG1356">
        <f>IFERROR(INDEX(PP_Grid[#Data],$DE1356,30),0)</f>
        <v/>
      </c>
      <c r="AH1356">
        <f>IFERROR(INDEX(PP_Grid[#Data],$DE1356,31),0)</f>
        <v/>
      </c>
      <c r="AI1356">
        <f>IFERROR(INDEX(PP_Grid[#Data],$DE1356,32),0)</f>
        <v/>
      </c>
      <c r="AJ1356">
        <f>IFERROR(INDEX(PP_Grid[#Data],$DE1356,33),0)</f>
        <v/>
      </c>
      <c r="AK1356">
        <f>IFERROR(INDEX(PP_Grid[#Data],$DE1356,34),0)</f>
        <v/>
      </c>
      <c r="AL1356">
        <f>IFERROR(INDEX(PP_Grid[#Data],$DE1356,35),0)</f>
        <v/>
      </c>
      <c r="AM1356">
        <f>IFERROR(INDEX(PP_Grid[#Data],$DE1356,36),0)</f>
        <v/>
      </c>
      <c r="AN1356">
        <f>IFERROR(INDEX(PP_Grid[#Data],$DE1356,37),0)</f>
        <v/>
      </c>
      <c r="AO1356">
        <f>IFERROR(INDEX(PP_Grid[#Data],$DE1356,38),0)</f>
        <v/>
      </c>
      <c r="AP1356">
        <f>IFERROR(INDEX(PP_Grid[#Data],$DE1356,39),0)</f>
        <v/>
      </c>
      <c r="AQ1356">
        <f>IFERROR(INDEX(PP_Grid[#Data],$DE1356,40),0)</f>
        <v/>
      </c>
      <c r="AR1356">
        <f>IFERROR(INDEX(PP_Grid[#Data],$DE1356,41),0)</f>
        <v/>
      </c>
      <c r="AS1356">
        <f>IFERROR(INDEX(PP_Grid[#Data],$DE1356,42),0)</f>
        <v/>
      </c>
      <c r="AT1356">
        <f>IFERROR(INDEX(PP_Grid[#Data],$DE1356,43),0)</f>
        <v/>
      </c>
      <c r="AU1356">
        <f>IFERROR(INDEX(PP_Grid[#Data],$DE1356,44),0)</f>
        <v/>
      </c>
      <c r="AV1356">
        <f>IFERROR(INDEX(PP_Grid[#Data],$DE1356,45),0)</f>
        <v/>
      </c>
      <c r="AW1356">
        <f>IFERROR(INDEX(PP_Grid[#Data],$DE1356,46),0)</f>
        <v/>
      </c>
      <c r="AX1356">
        <f>IFERROR(INDEX(PP_Grid[#Data],$DE1356,47),0)</f>
        <v/>
      </c>
      <c r="AY1356">
        <f>IFERROR(INDEX(PP_Grid[#Data],$DE1356,48),0)</f>
        <v/>
      </c>
      <c r="AZ1356">
        <f>IFERROR(INDEX(PP_Grid[#Data],$DE1356,49),0)</f>
        <v/>
      </c>
      <c r="BA1356">
        <f>IFERROR(INDEX(PP_Grid[#Data],$DE1356,50),0)</f>
        <v/>
      </c>
      <c r="BB1356">
        <f>IFERROR(INDEX(PP_Grid[#Data],$DE1356,51),0)</f>
        <v/>
      </c>
      <c r="BC1356">
        <f>IFERROR(INDEX(PP_Grid[#Data],$DE1356,52),0)</f>
        <v/>
      </c>
      <c r="BD1356">
        <f>IFERROR(INDEX(PP_Grid[#Data],$DE1356,53),0)</f>
        <v/>
      </c>
      <c r="BE1356">
        <f>IFERROR(INDEX(PP_Grid[#Data],$DE1356,54),0)</f>
        <v/>
      </c>
      <c r="BF1356">
        <f>IFERROR(INDEX(PP_Grid[#Data],$DE1356,55),0)</f>
        <v/>
      </c>
      <c r="BG1356">
        <f>IFERROR(INDEX(PP_Grid[#Data],$DE1356,56),0)</f>
        <v/>
      </c>
      <c r="BH1356">
        <f>IFERROR(INDEX(PP_Grid[#Data],$DE1356,57),0)</f>
        <v/>
      </c>
      <c r="BI1356">
        <f>IFERROR(INDEX(PP_Grid[#Data],$DE1356,58),0)</f>
        <v/>
      </c>
      <c r="BJ1356">
        <f>IFERROR(INDEX(PP_Grid[#Data],$DE1356,59),0)</f>
        <v/>
      </c>
      <c r="BK1356">
        <f>IFERROR(INDEX(PP_Grid[#Data],$DE1356,60),0)</f>
        <v/>
      </c>
      <c r="BL1356">
        <f>IFERROR(INDEX(PP_Grid[#Data],$DE1356,61),0)</f>
        <v/>
      </c>
      <c r="BM1356">
        <f>IFERROR(INDEX(PP_Grid[#Data],$DE1356,62),0)</f>
        <v/>
      </c>
      <c r="BN1356">
        <f>IFERROR(INDEX(PP_Grid[#Data],$DE1356,63),0)</f>
        <v/>
      </c>
      <c r="BO1356">
        <f>IFERROR(INDEX(PP_Grid[#Data],$DE1356,64),0)</f>
        <v/>
      </c>
      <c r="BP1356">
        <f>IFERROR(INDEX(PP_Grid[#Data],$DE1356,65),0)</f>
        <v/>
      </c>
      <c r="BQ1356">
        <f>IFERROR(INDEX(PP_Grid[#Data],$DE1356,66),0)</f>
        <v/>
      </c>
      <c r="BR1356">
        <f>IFERROR(INDEX(PP_Grid[#Data],$DE1356,67),0)</f>
        <v/>
      </c>
      <c r="BS1356">
        <f>IFERROR(INDEX(PP_Grid[#Data],$DE1356,68),0)</f>
        <v/>
      </c>
      <c r="BT1356">
        <f>IFERROR(INDEX(PP_Grid[#Data],$DE1356,69),0)</f>
        <v/>
      </c>
      <c r="BU1356">
        <f>IFERROR(INDEX(PP_Grid[#Data],$DE1356,70),0)</f>
        <v/>
      </c>
      <c r="BV1356">
        <f>IFERROR(INDEX(PP_Grid[#Data],$DE1356,71),0)</f>
        <v/>
      </c>
      <c r="BW1356">
        <f>IFERROR(INDEX(PP_Grid[#Data],$DE1356,72),0)</f>
        <v/>
      </c>
      <c r="BX1356">
        <f>IFERROR(INDEX(PP_Grid[#Data],$DE1356,73),0)</f>
        <v/>
      </c>
      <c r="BY1356">
        <f>IFERROR(INDEX(PP_Grid[#Data],$DE1356,74),0)</f>
        <v/>
      </c>
      <c r="BZ1356">
        <f>IFERROR(INDEX(PP_Grid[#Data],$DE1356,75),0)</f>
        <v/>
      </c>
      <c r="CA1356">
        <f>IFERROR(INDEX(PP_Grid[#Data],$DE1356,76),0)</f>
        <v/>
      </c>
      <c r="CB1356">
        <f>IFERROR(INDEX(PP_Grid[#Data],$DE1356,77),0)</f>
        <v/>
      </c>
      <c r="CC1356">
        <f>IFERROR(INDEX(PP_Grid[#Data],$DE1356,78),0)</f>
        <v/>
      </c>
      <c r="CD1356">
        <f>IFERROR(INDEX(PP_Grid[#Data],$DE1356,79),0)</f>
        <v/>
      </c>
      <c r="CE1356">
        <f>IFERROR(INDEX(PP_Grid[#Data],$DE1356,80),0)</f>
        <v/>
      </c>
      <c r="CF1356">
        <f>IFERROR(INDEX(PP_Grid[#Data],$DE1356,81),0)</f>
        <v/>
      </c>
      <c r="CG1356">
        <f>IFERROR(INDEX(PP_Grid[#Data],$DE1356,82),0)</f>
        <v/>
      </c>
      <c r="CH1356">
        <f>IFERROR(INDEX(PP_Grid[#Data],$DE1356,83),0)</f>
        <v/>
      </c>
      <c r="CI1356">
        <f>IFERROR(INDEX(PP_Grid[#Data],$DE1356,84),0)</f>
        <v/>
      </c>
      <c r="CJ1356">
        <f>IFERROR(INDEX(PP_Grid[#Data],$DE1356,85),0)</f>
        <v/>
      </c>
      <c r="CK1356">
        <f>IFERROR(INDEX(PP_Grid[#Data],$DE1356,86),0)</f>
        <v/>
      </c>
      <c r="CL1356">
        <f>IFERROR(INDEX(PP_Grid[#Data],$DE1356,87),0)</f>
        <v/>
      </c>
      <c r="CM1356">
        <f>IFERROR(INDEX(PP_Grid[#Data],$DE1356,88),0)</f>
        <v/>
      </c>
      <c r="CN1356">
        <f>IFERROR(INDEX(PP_Grid[#Data],$DE1356,89),0)</f>
        <v/>
      </c>
      <c r="CO1356">
        <f>IFERROR(INDEX(PP_Grid[#Data],$DE1356,90),0)</f>
        <v/>
      </c>
      <c r="CP1356">
        <f>IFERROR(INDEX(PP_Grid[#Data],$DE1356,91),0)</f>
        <v/>
      </c>
      <c r="CQ1356">
        <f>IFERROR(INDEX(PP_Grid[#Data],$DE1356,92),0)</f>
        <v/>
      </c>
      <c r="CR1356">
        <f>IFERROR(INDEX(PP_Grid[#Data],$DE1356,93),0)</f>
        <v/>
      </c>
      <c r="CS1356">
        <f>IFERROR(INDEX(PP_Grid[#Data],$DE1356,94),0)</f>
        <v/>
      </c>
      <c r="CT1356">
        <f>IFERROR(INDEX(PP_Grid[#Data],$DE1356,95),0)</f>
        <v/>
      </c>
      <c r="CU1356">
        <f>IFERROR(INDEX(PP_Grid[#Data],$DE1356,96),0)</f>
        <v/>
      </c>
      <c r="CV1356">
        <f>IFERROR(INDEX(PP_Grid[#Data],$DE1356,97),0)</f>
        <v/>
      </c>
      <c r="CW1356">
        <f>IFERROR(INDEX(PP_Grid[#Data],$DE1356,98),0)</f>
        <v/>
      </c>
      <c r="CX1356">
        <f>IFERROR(INDEX(PP_Grid[#Data],$DE1356,99),0)</f>
        <v/>
      </c>
      <c r="CY1356">
        <f>IFERROR(INDEX(PP_Grid[#Data],$DE1356,100),0)</f>
        <v/>
      </c>
      <c r="CZ1356">
        <f>IFERROR(INDEX(PP_Grid[#Data],$DE1356,101),0)</f>
        <v/>
      </c>
      <c r="DA1356">
        <f>IFERROR(INDEX(PP_Grid[#Data],$DE1356,102),0)</f>
        <v/>
      </c>
      <c r="DB1356">
        <f>IFERROR(INDEX(PP_Grid[#Data],$DE1356,103),0)</f>
        <v/>
      </c>
      <c r="DC1356">
        <f>IFERROR(INDEX(PP_Grid[#Data],$DE1356,104),0)</f>
        <v/>
      </c>
      <c r="DD1356">
        <f>IFERROR(INDEX(PP_Grid[#Data],$DE1356,105),0)</f>
        <v/>
      </c>
      <c r="DE1356" s="7">
        <f>IFERROR(MATCH($B1356,PP_Grid[Intermediate],0),99999)</f>
        <v/>
      </c>
    </row>
    <row r="1357">
      <c r="B1357" t="inlineStr">
        <is>
          <t>使用量(kg)</t>
        </is>
      </c>
      <c r="C1357">
        <f>SUMIFS(M_BOM[RM_Qty_Per_Batch],M_BOM[Intermediate],$B1356,M_BOM[RM_Code],$A1349)</f>
        <v/>
      </c>
      <c r="D1357">
        <f>IFERROR(INDEX(E1357:DD1357,$F$1),"")</f>
        <v/>
      </c>
      <c r="E1357">
        <f>$C1357*E1356</f>
        <v/>
      </c>
      <c r="F1357">
        <f>$C1357*F1356</f>
        <v/>
      </c>
      <c r="G1357">
        <f>$C1357*G1356</f>
        <v/>
      </c>
      <c r="H1357">
        <f>$C1357*H1356</f>
        <v/>
      </c>
      <c r="I1357">
        <f>$C1357*I1356</f>
        <v/>
      </c>
      <c r="J1357">
        <f>$C1357*J1356</f>
        <v/>
      </c>
      <c r="K1357">
        <f>$C1357*K1356</f>
        <v/>
      </c>
      <c r="L1357">
        <f>$C1357*L1356</f>
        <v/>
      </c>
      <c r="M1357">
        <f>$C1357*M1356</f>
        <v/>
      </c>
      <c r="N1357">
        <f>$C1357*N1356</f>
        <v/>
      </c>
      <c r="O1357">
        <f>$C1357*O1356</f>
        <v/>
      </c>
      <c r="P1357">
        <f>$C1357*P1356</f>
        <v/>
      </c>
      <c r="Q1357">
        <f>$C1357*Q1356</f>
        <v/>
      </c>
      <c r="R1357">
        <f>$C1357*R1356</f>
        <v/>
      </c>
      <c r="S1357">
        <f>$C1357*S1356</f>
        <v/>
      </c>
      <c r="T1357">
        <f>$C1357*T1356</f>
        <v/>
      </c>
      <c r="U1357">
        <f>$C1357*U1356</f>
        <v/>
      </c>
      <c r="V1357">
        <f>$C1357*V1356</f>
        <v/>
      </c>
      <c r="W1357">
        <f>$C1357*W1356</f>
        <v/>
      </c>
      <c r="X1357">
        <f>$C1357*X1356</f>
        <v/>
      </c>
      <c r="Y1357">
        <f>$C1357*Y1356</f>
        <v/>
      </c>
      <c r="Z1357">
        <f>$C1357*Z1356</f>
        <v/>
      </c>
      <c r="AA1357">
        <f>$C1357*AA1356</f>
        <v/>
      </c>
      <c r="AB1357">
        <f>$C1357*AB1356</f>
        <v/>
      </c>
      <c r="AC1357">
        <f>$C1357*AC1356</f>
        <v/>
      </c>
      <c r="AD1357">
        <f>$C1357*AD1356</f>
        <v/>
      </c>
      <c r="AE1357">
        <f>$C1357*AE1356</f>
        <v/>
      </c>
      <c r="AF1357">
        <f>$C1357*AF1356</f>
        <v/>
      </c>
      <c r="AG1357">
        <f>$C1357*AG1356</f>
        <v/>
      </c>
      <c r="AH1357">
        <f>$C1357*AH1356</f>
        <v/>
      </c>
      <c r="AI1357">
        <f>$C1357*AI1356</f>
        <v/>
      </c>
      <c r="AJ1357">
        <f>$C1357*AJ1356</f>
        <v/>
      </c>
      <c r="AK1357">
        <f>$C1357*AK1356</f>
        <v/>
      </c>
      <c r="AL1357">
        <f>$C1357*AL1356</f>
        <v/>
      </c>
      <c r="AM1357">
        <f>$C1357*AM1356</f>
        <v/>
      </c>
      <c r="AN1357">
        <f>$C1357*AN1356</f>
        <v/>
      </c>
      <c r="AO1357">
        <f>$C1357*AO1356</f>
        <v/>
      </c>
      <c r="AP1357">
        <f>$C1357*AP1356</f>
        <v/>
      </c>
      <c r="AQ1357">
        <f>$C1357*AQ1356</f>
        <v/>
      </c>
      <c r="AR1357">
        <f>$C1357*AR1356</f>
        <v/>
      </c>
      <c r="AS1357">
        <f>$C1357*AS1356</f>
        <v/>
      </c>
      <c r="AT1357">
        <f>$C1357*AT1356</f>
        <v/>
      </c>
      <c r="AU1357">
        <f>$C1357*AU1356</f>
        <v/>
      </c>
      <c r="AV1357">
        <f>$C1357*AV1356</f>
        <v/>
      </c>
      <c r="AW1357">
        <f>$C1357*AW1356</f>
        <v/>
      </c>
      <c r="AX1357">
        <f>$C1357*AX1356</f>
        <v/>
      </c>
      <c r="AY1357">
        <f>$C1357*AY1356</f>
        <v/>
      </c>
      <c r="AZ1357">
        <f>$C1357*AZ1356</f>
        <v/>
      </c>
      <c r="BA1357">
        <f>$C1357*BA1356</f>
        <v/>
      </c>
      <c r="BB1357">
        <f>$C1357*BB1356</f>
        <v/>
      </c>
      <c r="BC1357">
        <f>$C1357*BC1356</f>
        <v/>
      </c>
      <c r="BD1357">
        <f>$C1357*BD1356</f>
        <v/>
      </c>
      <c r="BE1357">
        <f>$C1357*BE1356</f>
        <v/>
      </c>
      <c r="BF1357">
        <f>$C1357*BF1356</f>
        <v/>
      </c>
      <c r="BG1357">
        <f>$C1357*BG1356</f>
        <v/>
      </c>
      <c r="BH1357">
        <f>$C1357*BH1356</f>
        <v/>
      </c>
      <c r="BI1357">
        <f>$C1357*BI1356</f>
        <v/>
      </c>
      <c r="BJ1357">
        <f>$C1357*BJ1356</f>
        <v/>
      </c>
      <c r="BK1357">
        <f>$C1357*BK1356</f>
        <v/>
      </c>
      <c r="BL1357">
        <f>$C1357*BL1356</f>
        <v/>
      </c>
      <c r="BM1357">
        <f>$C1357*BM1356</f>
        <v/>
      </c>
      <c r="BN1357">
        <f>$C1357*BN1356</f>
        <v/>
      </c>
      <c r="BO1357">
        <f>$C1357*BO1356</f>
        <v/>
      </c>
      <c r="BP1357">
        <f>$C1357*BP1356</f>
        <v/>
      </c>
      <c r="BQ1357">
        <f>$C1357*BQ1356</f>
        <v/>
      </c>
      <c r="BR1357">
        <f>$C1357*BR1356</f>
        <v/>
      </c>
      <c r="BS1357">
        <f>$C1357*BS1356</f>
        <v/>
      </c>
      <c r="BT1357">
        <f>$C1357*BT1356</f>
        <v/>
      </c>
      <c r="BU1357">
        <f>$C1357*BU1356</f>
        <v/>
      </c>
      <c r="BV1357">
        <f>$C1357*BV1356</f>
        <v/>
      </c>
      <c r="BW1357">
        <f>$C1357*BW1356</f>
        <v/>
      </c>
      <c r="BX1357">
        <f>$C1357*BX1356</f>
        <v/>
      </c>
      <c r="BY1357">
        <f>$C1357*BY1356</f>
        <v/>
      </c>
      <c r="BZ1357">
        <f>$C1357*BZ1356</f>
        <v/>
      </c>
      <c r="CA1357">
        <f>$C1357*CA1356</f>
        <v/>
      </c>
      <c r="CB1357">
        <f>$C1357*CB1356</f>
        <v/>
      </c>
      <c r="CC1357">
        <f>$C1357*CC1356</f>
        <v/>
      </c>
      <c r="CD1357">
        <f>$C1357*CD1356</f>
        <v/>
      </c>
      <c r="CE1357">
        <f>$C1357*CE1356</f>
        <v/>
      </c>
      <c r="CF1357">
        <f>$C1357*CF1356</f>
        <v/>
      </c>
      <c r="CG1357">
        <f>$C1357*CG1356</f>
        <v/>
      </c>
      <c r="CH1357">
        <f>$C1357*CH1356</f>
        <v/>
      </c>
      <c r="CI1357">
        <f>$C1357*CI1356</f>
        <v/>
      </c>
      <c r="CJ1357">
        <f>$C1357*CJ1356</f>
        <v/>
      </c>
      <c r="CK1357">
        <f>$C1357*CK1356</f>
        <v/>
      </c>
      <c r="CL1357">
        <f>$C1357*CL1356</f>
        <v/>
      </c>
      <c r="CM1357">
        <f>$C1357*CM1356</f>
        <v/>
      </c>
      <c r="CN1357">
        <f>$C1357*CN1356</f>
        <v/>
      </c>
      <c r="CO1357">
        <f>$C1357*CO1356</f>
        <v/>
      </c>
      <c r="CP1357">
        <f>$C1357*CP1356</f>
        <v/>
      </c>
      <c r="CQ1357">
        <f>$C1357*CQ1356</f>
        <v/>
      </c>
      <c r="CR1357">
        <f>$C1357*CR1356</f>
        <v/>
      </c>
      <c r="CS1357">
        <f>$C1357*CS1356</f>
        <v/>
      </c>
      <c r="CT1357">
        <f>$C1357*CT1356</f>
        <v/>
      </c>
      <c r="CU1357">
        <f>$C1357*CU1356</f>
        <v/>
      </c>
      <c r="CV1357">
        <f>$C1357*CV1356</f>
        <v/>
      </c>
      <c r="CW1357">
        <f>$C1357*CW1356</f>
        <v/>
      </c>
      <c r="CX1357">
        <f>$C1357*CX1356</f>
        <v/>
      </c>
      <c r="CY1357">
        <f>$C1357*CY1356</f>
        <v/>
      </c>
      <c r="CZ1357">
        <f>$C1357*CZ1356</f>
        <v/>
      </c>
      <c r="DA1357">
        <f>$C1357*DA1356</f>
        <v/>
      </c>
      <c r="DB1357">
        <f>$C1357*DB1356</f>
        <v/>
      </c>
      <c r="DC1357">
        <f>$C1357*DC1356</f>
        <v/>
      </c>
      <c r="DD1357">
        <f>$C1357*DD1356</f>
        <v/>
      </c>
    </row>
    <row r="1358">
      <c r="B1358" t="inlineStr">
        <is>
          <t>TSP-929</t>
        </is>
      </c>
      <c r="C1358" t="inlineStr">
        <is>
          <t>No. of batches</t>
        </is>
      </c>
      <c r="D1358">
        <f>IFERROR(INDEX(E1358:DD1358,$F$1),"")</f>
        <v/>
      </c>
      <c r="E1358">
        <f>IFERROR(INDEX(PP_Grid[#Data],$DE1358,2),0)</f>
        <v/>
      </c>
      <c r="F1358">
        <f>IFERROR(INDEX(PP_Grid[#Data],$DE1358,3),0)</f>
        <v/>
      </c>
      <c r="G1358">
        <f>IFERROR(INDEX(PP_Grid[#Data],$DE1358,4),0)</f>
        <v/>
      </c>
      <c r="H1358">
        <f>IFERROR(INDEX(PP_Grid[#Data],$DE1358,5),0)</f>
        <v/>
      </c>
      <c r="I1358">
        <f>IFERROR(INDEX(PP_Grid[#Data],$DE1358,6),0)</f>
        <v/>
      </c>
      <c r="J1358">
        <f>IFERROR(INDEX(PP_Grid[#Data],$DE1358,7),0)</f>
        <v/>
      </c>
      <c r="K1358">
        <f>IFERROR(INDEX(PP_Grid[#Data],$DE1358,8),0)</f>
        <v/>
      </c>
      <c r="L1358">
        <f>IFERROR(INDEX(PP_Grid[#Data],$DE1358,9),0)</f>
        <v/>
      </c>
      <c r="M1358">
        <f>IFERROR(INDEX(PP_Grid[#Data],$DE1358,10),0)</f>
        <v/>
      </c>
      <c r="N1358">
        <f>IFERROR(INDEX(PP_Grid[#Data],$DE1358,11),0)</f>
        <v/>
      </c>
      <c r="O1358">
        <f>IFERROR(INDEX(PP_Grid[#Data],$DE1358,12),0)</f>
        <v/>
      </c>
      <c r="P1358">
        <f>IFERROR(INDEX(PP_Grid[#Data],$DE1358,13),0)</f>
        <v/>
      </c>
      <c r="Q1358">
        <f>IFERROR(INDEX(PP_Grid[#Data],$DE1358,14),0)</f>
        <v/>
      </c>
      <c r="R1358">
        <f>IFERROR(INDEX(PP_Grid[#Data],$DE1358,15),0)</f>
        <v/>
      </c>
      <c r="S1358">
        <f>IFERROR(INDEX(PP_Grid[#Data],$DE1358,16),0)</f>
        <v/>
      </c>
      <c r="T1358">
        <f>IFERROR(INDEX(PP_Grid[#Data],$DE1358,17),0)</f>
        <v/>
      </c>
      <c r="U1358">
        <f>IFERROR(INDEX(PP_Grid[#Data],$DE1358,18),0)</f>
        <v/>
      </c>
      <c r="V1358">
        <f>IFERROR(INDEX(PP_Grid[#Data],$DE1358,19),0)</f>
        <v/>
      </c>
      <c r="W1358">
        <f>IFERROR(INDEX(PP_Grid[#Data],$DE1358,20),0)</f>
        <v/>
      </c>
      <c r="X1358">
        <f>IFERROR(INDEX(PP_Grid[#Data],$DE1358,21),0)</f>
        <v/>
      </c>
      <c r="Y1358">
        <f>IFERROR(INDEX(PP_Grid[#Data],$DE1358,22),0)</f>
        <v/>
      </c>
      <c r="Z1358">
        <f>IFERROR(INDEX(PP_Grid[#Data],$DE1358,23),0)</f>
        <v/>
      </c>
      <c r="AA1358">
        <f>IFERROR(INDEX(PP_Grid[#Data],$DE1358,24),0)</f>
        <v/>
      </c>
      <c r="AB1358">
        <f>IFERROR(INDEX(PP_Grid[#Data],$DE1358,25),0)</f>
        <v/>
      </c>
      <c r="AC1358">
        <f>IFERROR(INDEX(PP_Grid[#Data],$DE1358,26),0)</f>
        <v/>
      </c>
      <c r="AD1358">
        <f>IFERROR(INDEX(PP_Grid[#Data],$DE1358,27),0)</f>
        <v/>
      </c>
      <c r="AE1358">
        <f>IFERROR(INDEX(PP_Grid[#Data],$DE1358,28),0)</f>
        <v/>
      </c>
      <c r="AF1358">
        <f>IFERROR(INDEX(PP_Grid[#Data],$DE1358,29),0)</f>
        <v/>
      </c>
      <c r="AG1358">
        <f>IFERROR(INDEX(PP_Grid[#Data],$DE1358,30),0)</f>
        <v/>
      </c>
      <c r="AH1358">
        <f>IFERROR(INDEX(PP_Grid[#Data],$DE1358,31),0)</f>
        <v/>
      </c>
      <c r="AI1358">
        <f>IFERROR(INDEX(PP_Grid[#Data],$DE1358,32),0)</f>
        <v/>
      </c>
      <c r="AJ1358">
        <f>IFERROR(INDEX(PP_Grid[#Data],$DE1358,33),0)</f>
        <v/>
      </c>
      <c r="AK1358">
        <f>IFERROR(INDEX(PP_Grid[#Data],$DE1358,34),0)</f>
        <v/>
      </c>
      <c r="AL1358">
        <f>IFERROR(INDEX(PP_Grid[#Data],$DE1358,35),0)</f>
        <v/>
      </c>
      <c r="AM1358">
        <f>IFERROR(INDEX(PP_Grid[#Data],$DE1358,36),0)</f>
        <v/>
      </c>
      <c r="AN1358">
        <f>IFERROR(INDEX(PP_Grid[#Data],$DE1358,37),0)</f>
        <v/>
      </c>
      <c r="AO1358">
        <f>IFERROR(INDEX(PP_Grid[#Data],$DE1358,38),0)</f>
        <v/>
      </c>
      <c r="AP1358">
        <f>IFERROR(INDEX(PP_Grid[#Data],$DE1358,39),0)</f>
        <v/>
      </c>
      <c r="AQ1358">
        <f>IFERROR(INDEX(PP_Grid[#Data],$DE1358,40),0)</f>
        <v/>
      </c>
      <c r="AR1358">
        <f>IFERROR(INDEX(PP_Grid[#Data],$DE1358,41),0)</f>
        <v/>
      </c>
      <c r="AS1358">
        <f>IFERROR(INDEX(PP_Grid[#Data],$DE1358,42),0)</f>
        <v/>
      </c>
      <c r="AT1358">
        <f>IFERROR(INDEX(PP_Grid[#Data],$DE1358,43),0)</f>
        <v/>
      </c>
      <c r="AU1358">
        <f>IFERROR(INDEX(PP_Grid[#Data],$DE1358,44),0)</f>
        <v/>
      </c>
      <c r="AV1358">
        <f>IFERROR(INDEX(PP_Grid[#Data],$DE1358,45),0)</f>
        <v/>
      </c>
      <c r="AW1358">
        <f>IFERROR(INDEX(PP_Grid[#Data],$DE1358,46),0)</f>
        <v/>
      </c>
      <c r="AX1358">
        <f>IFERROR(INDEX(PP_Grid[#Data],$DE1358,47),0)</f>
        <v/>
      </c>
      <c r="AY1358">
        <f>IFERROR(INDEX(PP_Grid[#Data],$DE1358,48),0)</f>
        <v/>
      </c>
      <c r="AZ1358">
        <f>IFERROR(INDEX(PP_Grid[#Data],$DE1358,49),0)</f>
        <v/>
      </c>
      <c r="BA1358">
        <f>IFERROR(INDEX(PP_Grid[#Data],$DE1358,50),0)</f>
        <v/>
      </c>
      <c r="BB1358">
        <f>IFERROR(INDEX(PP_Grid[#Data],$DE1358,51),0)</f>
        <v/>
      </c>
      <c r="BC1358">
        <f>IFERROR(INDEX(PP_Grid[#Data],$DE1358,52),0)</f>
        <v/>
      </c>
      <c r="BD1358">
        <f>IFERROR(INDEX(PP_Grid[#Data],$DE1358,53),0)</f>
        <v/>
      </c>
      <c r="BE1358">
        <f>IFERROR(INDEX(PP_Grid[#Data],$DE1358,54),0)</f>
        <v/>
      </c>
      <c r="BF1358">
        <f>IFERROR(INDEX(PP_Grid[#Data],$DE1358,55),0)</f>
        <v/>
      </c>
      <c r="BG1358">
        <f>IFERROR(INDEX(PP_Grid[#Data],$DE1358,56),0)</f>
        <v/>
      </c>
      <c r="BH1358">
        <f>IFERROR(INDEX(PP_Grid[#Data],$DE1358,57),0)</f>
        <v/>
      </c>
      <c r="BI1358">
        <f>IFERROR(INDEX(PP_Grid[#Data],$DE1358,58),0)</f>
        <v/>
      </c>
      <c r="BJ1358">
        <f>IFERROR(INDEX(PP_Grid[#Data],$DE1358,59),0)</f>
        <v/>
      </c>
      <c r="BK1358">
        <f>IFERROR(INDEX(PP_Grid[#Data],$DE1358,60),0)</f>
        <v/>
      </c>
      <c r="BL1358">
        <f>IFERROR(INDEX(PP_Grid[#Data],$DE1358,61),0)</f>
        <v/>
      </c>
      <c r="BM1358">
        <f>IFERROR(INDEX(PP_Grid[#Data],$DE1358,62),0)</f>
        <v/>
      </c>
      <c r="BN1358">
        <f>IFERROR(INDEX(PP_Grid[#Data],$DE1358,63),0)</f>
        <v/>
      </c>
      <c r="BO1358">
        <f>IFERROR(INDEX(PP_Grid[#Data],$DE1358,64),0)</f>
        <v/>
      </c>
      <c r="BP1358">
        <f>IFERROR(INDEX(PP_Grid[#Data],$DE1358,65),0)</f>
        <v/>
      </c>
      <c r="BQ1358">
        <f>IFERROR(INDEX(PP_Grid[#Data],$DE1358,66),0)</f>
        <v/>
      </c>
      <c r="BR1358">
        <f>IFERROR(INDEX(PP_Grid[#Data],$DE1358,67),0)</f>
        <v/>
      </c>
      <c r="BS1358">
        <f>IFERROR(INDEX(PP_Grid[#Data],$DE1358,68),0)</f>
        <v/>
      </c>
      <c r="BT1358">
        <f>IFERROR(INDEX(PP_Grid[#Data],$DE1358,69),0)</f>
        <v/>
      </c>
      <c r="BU1358">
        <f>IFERROR(INDEX(PP_Grid[#Data],$DE1358,70),0)</f>
        <v/>
      </c>
      <c r="BV1358">
        <f>IFERROR(INDEX(PP_Grid[#Data],$DE1358,71),0)</f>
        <v/>
      </c>
      <c r="BW1358">
        <f>IFERROR(INDEX(PP_Grid[#Data],$DE1358,72),0)</f>
        <v/>
      </c>
      <c r="BX1358">
        <f>IFERROR(INDEX(PP_Grid[#Data],$DE1358,73),0)</f>
        <v/>
      </c>
      <c r="BY1358">
        <f>IFERROR(INDEX(PP_Grid[#Data],$DE1358,74),0)</f>
        <v/>
      </c>
      <c r="BZ1358">
        <f>IFERROR(INDEX(PP_Grid[#Data],$DE1358,75),0)</f>
        <v/>
      </c>
      <c r="CA1358">
        <f>IFERROR(INDEX(PP_Grid[#Data],$DE1358,76),0)</f>
        <v/>
      </c>
      <c r="CB1358">
        <f>IFERROR(INDEX(PP_Grid[#Data],$DE1358,77),0)</f>
        <v/>
      </c>
      <c r="CC1358">
        <f>IFERROR(INDEX(PP_Grid[#Data],$DE1358,78),0)</f>
        <v/>
      </c>
      <c r="CD1358">
        <f>IFERROR(INDEX(PP_Grid[#Data],$DE1358,79),0)</f>
        <v/>
      </c>
      <c r="CE1358">
        <f>IFERROR(INDEX(PP_Grid[#Data],$DE1358,80),0)</f>
        <v/>
      </c>
      <c r="CF1358">
        <f>IFERROR(INDEX(PP_Grid[#Data],$DE1358,81),0)</f>
        <v/>
      </c>
      <c r="CG1358">
        <f>IFERROR(INDEX(PP_Grid[#Data],$DE1358,82),0)</f>
        <v/>
      </c>
      <c r="CH1358">
        <f>IFERROR(INDEX(PP_Grid[#Data],$DE1358,83),0)</f>
        <v/>
      </c>
      <c r="CI1358">
        <f>IFERROR(INDEX(PP_Grid[#Data],$DE1358,84),0)</f>
        <v/>
      </c>
      <c r="CJ1358">
        <f>IFERROR(INDEX(PP_Grid[#Data],$DE1358,85),0)</f>
        <v/>
      </c>
      <c r="CK1358">
        <f>IFERROR(INDEX(PP_Grid[#Data],$DE1358,86),0)</f>
        <v/>
      </c>
      <c r="CL1358">
        <f>IFERROR(INDEX(PP_Grid[#Data],$DE1358,87),0)</f>
        <v/>
      </c>
      <c r="CM1358">
        <f>IFERROR(INDEX(PP_Grid[#Data],$DE1358,88),0)</f>
        <v/>
      </c>
      <c r="CN1358">
        <f>IFERROR(INDEX(PP_Grid[#Data],$DE1358,89),0)</f>
        <v/>
      </c>
      <c r="CO1358">
        <f>IFERROR(INDEX(PP_Grid[#Data],$DE1358,90),0)</f>
        <v/>
      </c>
      <c r="CP1358">
        <f>IFERROR(INDEX(PP_Grid[#Data],$DE1358,91),0)</f>
        <v/>
      </c>
      <c r="CQ1358">
        <f>IFERROR(INDEX(PP_Grid[#Data],$DE1358,92),0)</f>
        <v/>
      </c>
      <c r="CR1358">
        <f>IFERROR(INDEX(PP_Grid[#Data],$DE1358,93),0)</f>
        <v/>
      </c>
      <c r="CS1358">
        <f>IFERROR(INDEX(PP_Grid[#Data],$DE1358,94),0)</f>
        <v/>
      </c>
      <c r="CT1358">
        <f>IFERROR(INDEX(PP_Grid[#Data],$DE1358,95),0)</f>
        <v/>
      </c>
      <c r="CU1358">
        <f>IFERROR(INDEX(PP_Grid[#Data],$DE1358,96),0)</f>
        <v/>
      </c>
      <c r="CV1358">
        <f>IFERROR(INDEX(PP_Grid[#Data],$DE1358,97),0)</f>
        <v/>
      </c>
      <c r="CW1358">
        <f>IFERROR(INDEX(PP_Grid[#Data],$DE1358,98),0)</f>
        <v/>
      </c>
      <c r="CX1358">
        <f>IFERROR(INDEX(PP_Grid[#Data],$DE1358,99),0)</f>
        <v/>
      </c>
      <c r="CY1358">
        <f>IFERROR(INDEX(PP_Grid[#Data],$DE1358,100),0)</f>
        <v/>
      </c>
      <c r="CZ1358">
        <f>IFERROR(INDEX(PP_Grid[#Data],$DE1358,101),0)</f>
        <v/>
      </c>
      <c r="DA1358">
        <f>IFERROR(INDEX(PP_Grid[#Data],$DE1358,102),0)</f>
        <v/>
      </c>
      <c r="DB1358">
        <f>IFERROR(INDEX(PP_Grid[#Data],$DE1358,103),0)</f>
        <v/>
      </c>
      <c r="DC1358">
        <f>IFERROR(INDEX(PP_Grid[#Data],$DE1358,104),0)</f>
        <v/>
      </c>
      <c r="DD1358">
        <f>IFERROR(INDEX(PP_Grid[#Data],$DE1358,105),0)</f>
        <v/>
      </c>
      <c r="DE1358" s="7">
        <f>IFERROR(MATCH($B1358,PP_Grid[Intermediate],0),99999)</f>
        <v/>
      </c>
    </row>
    <row r="1359">
      <c r="B1359" t="inlineStr">
        <is>
          <t>使用量(kg)</t>
        </is>
      </c>
      <c r="C1359">
        <f>SUMIFS(M_BOM[RM_Qty_Per_Batch],M_BOM[Intermediate],$B1358,M_BOM[RM_Code],$A1349)</f>
        <v/>
      </c>
      <c r="D1359">
        <f>IFERROR(INDEX(E1359:DD1359,$F$1),"")</f>
        <v/>
      </c>
      <c r="E1359">
        <f>$C1359*E1358</f>
        <v/>
      </c>
      <c r="F1359">
        <f>$C1359*F1358</f>
        <v/>
      </c>
      <c r="G1359">
        <f>$C1359*G1358</f>
        <v/>
      </c>
      <c r="H1359">
        <f>$C1359*H1358</f>
        <v/>
      </c>
      <c r="I1359">
        <f>$C1359*I1358</f>
        <v/>
      </c>
      <c r="J1359">
        <f>$C1359*J1358</f>
        <v/>
      </c>
      <c r="K1359">
        <f>$C1359*K1358</f>
        <v/>
      </c>
      <c r="L1359">
        <f>$C1359*L1358</f>
        <v/>
      </c>
      <c r="M1359">
        <f>$C1359*M1358</f>
        <v/>
      </c>
      <c r="N1359">
        <f>$C1359*N1358</f>
        <v/>
      </c>
      <c r="O1359">
        <f>$C1359*O1358</f>
        <v/>
      </c>
      <c r="P1359">
        <f>$C1359*P1358</f>
        <v/>
      </c>
      <c r="Q1359">
        <f>$C1359*Q1358</f>
        <v/>
      </c>
      <c r="R1359">
        <f>$C1359*R1358</f>
        <v/>
      </c>
      <c r="S1359">
        <f>$C1359*S1358</f>
        <v/>
      </c>
      <c r="T1359">
        <f>$C1359*T1358</f>
        <v/>
      </c>
      <c r="U1359">
        <f>$C1359*U1358</f>
        <v/>
      </c>
      <c r="V1359">
        <f>$C1359*V1358</f>
        <v/>
      </c>
      <c r="W1359">
        <f>$C1359*W1358</f>
        <v/>
      </c>
      <c r="X1359">
        <f>$C1359*X1358</f>
        <v/>
      </c>
      <c r="Y1359">
        <f>$C1359*Y1358</f>
        <v/>
      </c>
      <c r="Z1359">
        <f>$C1359*Z1358</f>
        <v/>
      </c>
      <c r="AA1359">
        <f>$C1359*AA1358</f>
        <v/>
      </c>
      <c r="AB1359">
        <f>$C1359*AB1358</f>
        <v/>
      </c>
      <c r="AC1359">
        <f>$C1359*AC1358</f>
        <v/>
      </c>
      <c r="AD1359">
        <f>$C1359*AD1358</f>
        <v/>
      </c>
      <c r="AE1359">
        <f>$C1359*AE1358</f>
        <v/>
      </c>
      <c r="AF1359">
        <f>$C1359*AF1358</f>
        <v/>
      </c>
      <c r="AG1359">
        <f>$C1359*AG1358</f>
        <v/>
      </c>
      <c r="AH1359">
        <f>$C1359*AH1358</f>
        <v/>
      </c>
      <c r="AI1359">
        <f>$C1359*AI1358</f>
        <v/>
      </c>
      <c r="AJ1359">
        <f>$C1359*AJ1358</f>
        <v/>
      </c>
      <c r="AK1359">
        <f>$C1359*AK1358</f>
        <v/>
      </c>
      <c r="AL1359">
        <f>$C1359*AL1358</f>
        <v/>
      </c>
      <c r="AM1359">
        <f>$C1359*AM1358</f>
        <v/>
      </c>
      <c r="AN1359">
        <f>$C1359*AN1358</f>
        <v/>
      </c>
      <c r="AO1359">
        <f>$C1359*AO1358</f>
        <v/>
      </c>
      <c r="AP1359">
        <f>$C1359*AP1358</f>
        <v/>
      </c>
      <c r="AQ1359">
        <f>$C1359*AQ1358</f>
        <v/>
      </c>
      <c r="AR1359">
        <f>$C1359*AR1358</f>
        <v/>
      </c>
      <c r="AS1359">
        <f>$C1359*AS1358</f>
        <v/>
      </c>
      <c r="AT1359">
        <f>$C1359*AT1358</f>
        <v/>
      </c>
      <c r="AU1359">
        <f>$C1359*AU1358</f>
        <v/>
      </c>
      <c r="AV1359">
        <f>$C1359*AV1358</f>
        <v/>
      </c>
      <c r="AW1359">
        <f>$C1359*AW1358</f>
        <v/>
      </c>
      <c r="AX1359">
        <f>$C1359*AX1358</f>
        <v/>
      </c>
      <c r="AY1359">
        <f>$C1359*AY1358</f>
        <v/>
      </c>
      <c r="AZ1359">
        <f>$C1359*AZ1358</f>
        <v/>
      </c>
      <c r="BA1359">
        <f>$C1359*BA1358</f>
        <v/>
      </c>
      <c r="BB1359">
        <f>$C1359*BB1358</f>
        <v/>
      </c>
      <c r="BC1359">
        <f>$C1359*BC1358</f>
        <v/>
      </c>
      <c r="BD1359">
        <f>$C1359*BD1358</f>
        <v/>
      </c>
      <c r="BE1359">
        <f>$C1359*BE1358</f>
        <v/>
      </c>
      <c r="BF1359">
        <f>$C1359*BF1358</f>
        <v/>
      </c>
      <c r="BG1359">
        <f>$C1359*BG1358</f>
        <v/>
      </c>
      <c r="BH1359">
        <f>$C1359*BH1358</f>
        <v/>
      </c>
      <c r="BI1359">
        <f>$C1359*BI1358</f>
        <v/>
      </c>
      <c r="BJ1359">
        <f>$C1359*BJ1358</f>
        <v/>
      </c>
      <c r="BK1359">
        <f>$C1359*BK1358</f>
        <v/>
      </c>
      <c r="BL1359">
        <f>$C1359*BL1358</f>
        <v/>
      </c>
      <c r="BM1359">
        <f>$C1359*BM1358</f>
        <v/>
      </c>
      <c r="BN1359">
        <f>$C1359*BN1358</f>
        <v/>
      </c>
      <c r="BO1359">
        <f>$C1359*BO1358</f>
        <v/>
      </c>
      <c r="BP1359">
        <f>$C1359*BP1358</f>
        <v/>
      </c>
      <c r="BQ1359">
        <f>$C1359*BQ1358</f>
        <v/>
      </c>
      <c r="BR1359">
        <f>$C1359*BR1358</f>
        <v/>
      </c>
      <c r="BS1359">
        <f>$C1359*BS1358</f>
        <v/>
      </c>
      <c r="BT1359">
        <f>$C1359*BT1358</f>
        <v/>
      </c>
      <c r="BU1359">
        <f>$C1359*BU1358</f>
        <v/>
      </c>
      <c r="BV1359">
        <f>$C1359*BV1358</f>
        <v/>
      </c>
      <c r="BW1359">
        <f>$C1359*BW1358</f>
        <v/>
      </c>
      <c r="BX1359">
        <f>$C1359*BX1358</f>
        <v/>
      </c>
      <c r="BY1359">
        <f>$C1359*BY1358</f>
        <v/>
      </c>
      <c r="BZ1359">
        <f>$C1359*BZ1358</f>
        <v/>
      </c>
      <c r="CA1359">
        <f>$C1359*CA1358</f>
        <v/>
      </c>
      <c r="CB1359">
        <f>$C1359*CB1358</f>
        <v/>
      </c>
      <c r="CC1359">
        <f>$C1359*CC1358</f>
        <v/>
      </c>
      <c r="CD1359">
        <f>$C1359*CD1358</f>
        <v/>
      </c>
      <c r="CE1359">
        <f>$C1359*CE1358</f>
        <v/>
      </c>
      <c r="CF1359">
        <f>$C1359*CF1358</f>
        <v/>
      </c>
      <c r="CG1359">
        <f>$C1359*CG1358</f>
        <v/>
      </c>
      <c r="CH1359">
        <f>$C1359*CH1358</f>
        <v/>
      </c>
      <c r="CI1359">
        <f>$C1359*CI1358</f>
        <v/>
      </c>
      <c r="CJ1359">
        <f>$C1359*CJ1358</f>
        <v/>
      </c>
      <c r="CK1359">
        <f>$C1359*CK1358</f>
        <v/>
      </c>
      <c r="CL1359">
        <f>$C1359*CL1358</f>
        <v/>
      </c>
      <c r="CM1359">
        <f>$C1359*CM1358</f>
        <v/>
      </c>
      <c r="CN1359">
        <f>$C1359*CN1358</f>
        <v/>
      </c>
      <c r="CO1359">
        <f>$C1359*CO1358</f>
        <v/>
      </c>
      <c r="CP1359">
        <f>$C1359*CP1358</f>
        <v/>
      </c>
      <c r="CQ1359">
        <f>$C1359*CQ1358</f>
        <v/>
      </c>
      <c r="CR1359">
        <f>$C1359*CR1358</f>
        <v/>
      </c>
      <c r="CS1359">
        <f>$C1359*CS1358</f>
        <v/>
      </c>
      <c r="CT1359">
        <f>$C1359*CT1358</f>
        <v/>
      </c>
      <c r="CU1359">
        <f>$C1359*CU1358</f>
        <v/>
      </c>
      <c r="CV1359">
        <f>$C1359*CV1358</f>
        <v/>
      </c>
      <c r="CW1359">
        <f>$C1359*CW1358</f>
        <v/>
      </c>
      <c r="CX1359">
        <f>$C1359*CX1358</f>
        <v/>
      </c>
      <c r="CY1359">
        <f>$C1359*CY1358</f>
        <v/>
      </c>
      <c r="CZ1359">
        <f>$C1359*CZ1358</f>
        <v/>
      </c>
      <c r="DA1359">
        <f>$C1359*DA1358</f>
        <v/>
      </c>
      <c r="DB1359">
        <f>$C1359*DB1358</f>
        <v/>
      </c>
      <c r="DC1359">
        <f>$C1359*DC1358</f>
        <v/>
      </c>
      <c r="DD1359">
        <f>$C1359*DD1358</f>
        <v/>
      </c>
    </row>
    <row r="1360">
      <c r="B1360" t="inlineStr">
        <is>
          <t>TSP-930</t>
        </is>
      </c>
      <c r="C1360" t="inlineStr">
        <is>
          <t>No. of batches</t>
        </is>
      </c>
      <c r="D1360">
        <f>IFERROR(INDEX(E1360:DD1360,$F$1),"")</f>
        <v/>
      </c>
      <c r="E1360">
        <f>IFERROR(INDEX(PP_Grid[#Data],$DE1360,2),0)</f>
        <v/>
      </c>
      <c r="F1360">
        <f>IFERROR(INDEX(PP_Grid[#Data],$DE1360,3),0)</f>
        <v/>
      </c>
      <c r="G1360">
        <f>IFERROR(INDEX(PP_Grid[#Data],$DE1360,4),0)</f>
        <v/>
      </c>
      <c r="H1360">
        <f>IFERROR(INDEX(PP_Grid[#Data],$DE1360,5),0)</f>
        <v/>
      </c>
      <c r="I1360">
        <f>IFERROR(INDEX(PP_Grid[#Data],$DE1360,6),0)</f>
        <v/>
      </c>
      <c r="J1360">
        <f>IFERROR(INDEX(PP_Grid[#Data],$DE1360,7),0)</f>
        <v/>
      </c>
      <c r="K1360">
        <f>IFERROR(INDEX(PP_Grid[#Data],$DE1360,8),0)</f>
        <v/>
      </c>
      <c r="L1360">
        <f>IFERROR(INDEX(PP_Grid[#Data],$DE1360,9),0)</f>
        <v/>
      </c>
      <c r="M1360">
        <f>IFERROR(INDEX(PP_Grid[#Data],$DE1360,10),0)</f>
        <v/>
      </c>
      <c r="N1360">
        <f>IFERROR(INDEX(PP_Grid[#Data],$DE1360,11),0)</f>
        <v/>
      </c>
      <c r="O1360">
        <f>IFERROR(INDEX(PP_Grid[#Data],$DE1360,12),0)</f>
        <v/>
      </c>
      <c r="P1360">
        <f>IFERROR(INDEX(PP_Grid[#Data],$DE1360,13),0)</f>
        <v/>
      </c>
      <c r="Q1360">
        <f>IFERROR(INDEX(PP_Grid[#Data],$DE1360,14),0)</f>
        <v/>
      </c>
      <c r="R1360">
        <f>IFERROR(INDEX(PP_Grid[#Data],$DE1360,15),0)</f>
        <v/>
      </c>
      <c r="S1360">
        <f>IFERROR(INDEX(PP_Grid[#Data],$DE1360,16),0)</f>
        <v/>
      </c>
      <c r="T1360">
        <f>IFERROR(INDEX(PP_Grid[#Data],$DE1360,17),0)</f>
        <v/>
      </c>
      <c r="U1360">
        <f>IFERROR(INDEX(PP_Grid[#Data],$DE1360,18),0)</f>
        <v/>
      </c>
      <c r="V1360">
        <f>IFERROR(INDEX(PP_Grid[#Data],$DE1360,19),0)</f>
        <v/>
      </c>
      <c r="W1360">
        <f>IFERROR(INDEX(PP_Grid[#Data],$DE1360,20),0)</f>
        <v/>
      </c>
      <c r="X1360">
        <f>IFERROR(INDEX(PP_Grid[#Data],$DE1360,21),0)</f>
        <v/>
      </c>
      <c r="Y1360">
        <f>IFERROR(INDEX(PP_Grid[#Data],$DE1360,22),0)</f>
        <v/>
      </c>
      <c r="Z1360">
        <f>IFERROR(INDEX(PP_Grid[#Data],$DE1360,23),0)</f>
        <v/>
      </c>
      <c r="AA1360">
        <f>IFERROR(INDEX(PP_Grid[#Data],$DE1360,24),0)</f>
        <v/>
      </c>
      <c r="AB1360">
        <f>IFERROR(INDEX(PP_Grid[#Data],$DE1360,25),0)</f>
        <v/>
      </c>
      <c r="AC1360">
        <f>IFERROR(INDEX(PP_Grid[#Data],$DE1360,26),0)</f>
        <v/>
      </c>
      <c r="AD1360">
        <f>IFERROR(INDEX(PP_Grid[#Data],$DE1360,27),0)</f>
        <v/>
      </c>
      <c r="AE1360">
        <f>IFERROR(INDEX(PP_Grid[#Data],$DE1360,28),0)</f>
        <v/>
      </c>
      <c r="AF1360">
        <f>IFERROR(INDEX(PP_Grid[#Data],$DE1360,29),0)</f>
        <v/>
      </c>
      <c r="AG1360">
        <f>IFERROR(INDEX(PP_Grid[#Data],$DE1360,30),0)</f>
        <v/>
      </c>
      <c r="AH1360">
        <f>IFERROR(INDEX(PP_Grid[#Data],$DE1360,31),0)</f>
        <v/>
      </c>
      <c r="AI1360">
        <f>IFERROR(INDEX(PP_Grid[#Data],$DE1360,32),0)</f>
        <v/>
      </c>
      <c r="AJ1360">
        <f>IFERROR(INDEX(PP_Grid[#Data],$DE1360,33),0)</f>
        <v/>
      </c>
      <c r="AK1360">
        <f>IFERROR(INDEX(PP_Grid[#Data],$DE1360,34),0)</f>
        <v/>
      </c>
      <c r="AL1360">
        <f>IFERROR(INDEX(PP_Grid[#Data],$DE1360,35),0)</f>
        <v/>
      </c>
      <c r="AM1360">
        <f>IFERROR(INDEX(PP_Grid[#Data],$DE1360,36),0)</f>
        <v/>
      </c>
      <c r="AN1360">
        <f>IFERROR(INDEX(PP_Grid[#Data],$DE1360,37),0)</f>
        <v/>
      </c>
      <c r="AO1360">
        <f>IFERROR(INDEX(PP_Grid[#Data],$DE1360,38),0)</f>
        <v/>
      </c>
      <c r="AP1360">
        <f>IFERROR(INDEX(PP_Grid[#Data],$DE1360,39),0)</f>
        <v/>
      </c>
      <c r="AQ1360">
        <f>IFERROR(INDEX(PP_Grid[#Data],$DE1360,40),0)</f>
        <v/>
      </c>
      <c r="AR1360">
        <f>IFERROR(INDEX(PP_Grid[#Data],$DE1360,41),0)</f>
        <v/>
      </c>
      <c r="AS1360">
        <f>IFERROR(INDEX(PP_Grid[#Data],$DE1360,42),0)</f>
        <v/>
      </c>
      <c r="AT1360">
        <f>IFERROR(INDEX(PP_Grid[#Data],$DE1360,43),0)</f>
        <v/>
      </c>
      <c r="AU1360">
        <f>IFERROR(INDEX(PP_Grid[#Data],$DE1360,44),0)</f>
        <v/>
      </c>
      <c r="AV1360">
        <f>IFERROR(INDEX(PP_Grid[#Data],$DE1360,45),0)</f>
        <v/>
      </c>
      <c r="AW1360">
        <f>IFERROR(INDEX(PP_Grid[#Data],$DE1360,46),0)</f>
        <v/>
      </c>
      <c r="AX1360">
        <f>IFERROR(INDEX(PP_Grid[#Data],$DE1360,47),0)</f>
        <v/>
      </c>
      <c r="AY1360">
        <f>IFERROR(INDEX(PP_Grid[#Data],$DE1360,48),0)</f>
        <v/>
      </c>
      <c r="AZ1360">
        <f>IFERROR(INDEX(PP_Grid[#Data],$DE1360,49),0)</f>
        <v/>
      </c>
      <c r="BA1360">
        <f>IFERROR(INDEX(PP_Grid[#Data],$DE1360,50),0)</f>
        <v/>
      </c>
      <c r="BB1360">
        <f>IFERROR(INDEX(PP_Grid[#Data],$DE1360,51),0)</f>
        <v/>
      </c>
      <c r="BC1360">
        <f>IFERROR(INDEX(PP_Grid[#Data],$DE1360,52),0)</f>
        <v/>
      </c>
      <c r="BD1360">
        <f>IFERROR(INDEX(PP_Grid[#Data],$DE1360,53),0)</f>
        <v/>
      </c>
      <c r="BE1360">
        <f>IFERROR(INDEX(PP_Grid[#Data],$DE1360,54),0)</f>
        <v/>
      </c>
      <c r="BF1360">
        <f>IFERROR(INDEX(PP_Grid[#Data],$DE1360,55),0)</f>
        <v/>
      </c>
      <c r="BG1360">
        <f>IFERROR(INDEX(PP_Grid[#Data],$DE1360,56),0)</f>
        <v/>
      </c>
      <c r="BH1360">
        <f>IFERROR(INDEX(PP_Grid[#Data],$DE1360,57),0)</f>
        <v/>
      </c>
      <c r="BI1360">
        <f>IFERROR(INDEX(PP_Grid[#Data],$DE1360,58),0)</f>
        <v/>
      </c>
      <c r="BJ1360">
        <f>IFERROR(INDEX(PP_Grid[#Data],$DE1360,59),0)</f>
        <v/>
      </c>
      <c r="BK1360">
        <f>IFERROR(INDEX(PP_Grid[#Data],$DE1360,60),0)</f>
        <v/>
      </c>
      <c r="BL1360">
        <f>IFERROR(INDEX(PP_Grid[#Data],$DE1360,61),0)</f>
        <v/>
      </c>
      <c r="BM1360">
        <f>IFERROR(INDEX(PP_Grid[#Data],$DE1360,62),0)</f>
        <v/>
      </c>
      <c r="BN1360">
        <f>IFERROR(INDEX(PP_Grid[#Data],$DE1360,63),0)</f>
        <v/>
      </c>
      <c r="BO1360">
        <f>IFERROR(INDEX(PP_Grid[#Data],$DE1360,64),0)</f>
        <v/>
      </c>
      <c r="BP1360">
        <f>IFERROR(INDEX(PP_Grid[#Data],$DE1360,65),0)</f>
        <v/>
      </c>
      <c r="BQ1360">
        <f>IFERROR(INDEX(PP_Grid[#Data],$DE1360,66),0)</f>
        <v/>
      </c>
      <c r="BR1360">
        <f>IFERROR(INDEX(PP_Grid[#Data],$DE1360,67),0)</f>
        <v/>
      </c>
      <c r="BS1360">
        <f>IFERROR(INDEX(PP_Grid[#Data],$DE1360,68),0)</f>
        <v/>
      </c>
      <c r="BT1360">
        <f>IFERROR(INDEX(PP_Grid[#Data],$DE1360,69),0)</f>
        <v/>
      </c>
      <c r="BU1360">
        <f>IFERROR(INDEX(PP_Grid[#Data],$DE1360,70),0)</f>
        <v/>
      </c>
      <c r="BV1360">
        <f>IFERROR(INDEX(PP_Grid[#Data],$DE1360,71),0)</f>
        <v/>
      </c>
      <c r="BW1360">
        <f>IFERROR(INDEX(PP_Grid[#Data],$DE1360,72),0)</f>
        <v/>
      </c>
      <c r="BX1360">
        <f>IFERROR(INDEX(PP_Grid[#Data],$DE1360,73),0)</f>
        <v/>
      </c>
      <c r="BY1360">
        <f>IFERROR(INDEX(PP_Grid[#Data],$DE1360,74),0)</f>
        <v/>
      </c>
      <c r="BZ1360">
        <f>IFERROR(INDEX(PP_Grid[#Data],$DE1360,75),0)</f>
        <v/>
      </c>
      <c r="CA1360">
        <f>IFERROR(INDEX(PP_Grid[#Data],$DE1360,76),0)</f>
        <v/>
      </c>
      <c r="CB1360">
        <f>IFERROR(INDEX(PP_Grid[#Data],$DE1360,77),0)</f>
        <v/>
      </c>
      <c r="CC1360">
        <f>IFERROR(INDEX(PP_Grid[#Data],$DE1360,78),0)</f>
        <v/>
      </c>
      <c r="CD1360">
        <f>IFERROR(INDEX(PP_Grid[#Data],$DE1360,79),0)</f>
        <v/>
      </c>
      <c r="CE1360">
        <f>IFERROR(INDEX(PP_Grid[#Data],$DE1360,80),0)</f>
        <v/>
      </c>
      <c r="CF1360">
        <f>IFERROR(INDEX(PP_Grid[#Data],$DE1360,81),0)</f>
        <v/>
      </c>
      <c r="CG1360">
        <f>IFERROR(INDEX(PP_Grid[#Data],$DE1360,82),0)</f>
        <v/>
      </c>
      <c r="CH1360">
        <f>IFERROR(INDEX(PP_Grid[#Data],$DE1360,83),0)</f>
        <v/>
      </c>
      <c r="CI1360">
        <f>IFERROR(INDEX(PP_Grid[#Data],$DE1360,84),0)</f>
        <v/>
      </c>
      <c r="CJ1360">
        <f>IFERROR(INDEX(PP_Grid[#Data],$DE1360,85),0)</f>
        <v/>
      </c>
      <c r="CK1360">
        <f>IFERROR(INDEX(PP_Grid[#Data],$DE1360,86),0)</f>
        <v/>
      </c>
      <c r="CL1360">
        <f>IFERROR(INDEX(PP_Grid[#Data],$DE1360,87),0)</f>
        <v/>
      </c>
      <c r="CM1360">
        <f>IFERROR(INDEX(PP_Grid[#Data],$DE1360,88),0)</f>
        <v/>
      </c>
      <c r="CN1360">
        <f>IFERROR(INDEX(PP_Grid[#Data],$DE1360,89),0)</f>
        <v/>
      </c>
      <c r="CO1360">
        <f>IFERROR(INDEX(PP_Grid[#Data],$DE1360,90),0)</f>
        <v/>
      </c>
      <c r="CP1360">
        <f>IFERROR(INDEX(PP_Grid[#Data],$DE1360,91),0)</f>
        <v/>
      </c>
      <c r="CQ1360">
        <f>IFERROR(INDEX(PP_Grid[#Data],$DE1360,92),0)</f>
        <v/>
      </c>
      <c r="CR1360">
        <f>IFERROR(INDEX(PP_Grid[#Data],$DE1360,93),0)</f>
        <v/>
      </c>
      <c r="CS1360">
        <f>IFERROR(INDEX(PP_Grid[#Data],$DE1360,94),0)</f>
        <v/>
      </c>
      <c r="CT1360">
        <f>IFERROR(INDEX(PP_Grid[#Data],$DE1360,95),0)</f>
        <v/>
      </c>
      <c r="CU1360">
        <f>IFERROR(INDEX(PP_Grid[#Data],$DE1360,96),0)</f>
        <v/>
      </c>
      <c r="CV1360">
        <f>IFERROR(INDEX(PP_Grid[#Data],$DE1360,97),0)</f>
        <v/>
      </c>
      <c r="CW1360">
        <f>IFERROR(INDEX(PP_Grid[#Data],$DE1360,98),0)</f>
        <v/>
      </c>
      <c r="CX1360">
        <f>IFERROR(INDEX(PP_Grid[#Data],$DE1360,99),0)</f>
        <v/>
      </c>
      <c r="CY1360">
        <f>IFERROR(INDEX(PP_Grid[#Data],$DE1360,100),0)</f>
        <v/>
      </c>
      <c r="CZ1360">
        <f>IFERROR(INDEX(PP_Grid[#Data],$DE1360,101),0)</f>
        <v/>
      </c>
      <c r="DA1360">
        <f>IFERROR(INDEX(PP_Grid[#Data],$DE1360,102),0)</f>
        <v/>
      </c>
      <c r="DB1360">
        <f>IFERROR(INDEX(PP_Grid[#Data],$DE1360,103),0)</f>
        <v/>
      </c>
      <c r="DC1360">
        <f>IFERROR(INDEX(PP_Grid[#Data],$DE1360,104),0)</f>
        <v/>
      </c>
      <c r="DD1360">
        <f>IFERROR(INDEX(PP_Grid[#Data],$DE1360,105),0)</f>
        <v/>
      </c>
      <c r="DE1360" s="7">
        <f>IFERROR(MATCH($B1360,PP_Grid[Intermediate],0),99999)</f>
        <v/>
      </c>
    </row>
    <row r="1361">
      <c r="B1361" t="inlineStr">
        <is>
          <t>使用量(kg)</t>
        </is>
      </c>
      <c r="C1361">
        <f>SUMIFS(M_BOM[RM_Qty_Per_Batch],M_BOM[Intermediate],$B1360,M_BOM[RM_Code],$A1349)</f>
        <v/>
      </c>
      <c r="D1361">
        <f>IFERROR(INDEX(E1361:DD1361,$F$1),"")</f>
        <v/>
      </c>
      <c r="E1361">
        <f>$C1361*E1360</f>
        <v/>
      </c>
      <c r="F1361">
        <f>$C1361*F1360</f>
        <v/>
      </c>
      <c r="G1361">
        <f>$C1361*G1360</f>
        <v/>
      </c>
      <c r="H1361">
        <f>$C1361*H1360</f>
        <v/>
      </c>
      <c r="I1361">
        <f>$C1361*I1360</f>
        <v/>
      </c>
      <c r="J1361">
        <f>$C1361*J1360</f>
        <v/>
      </c>
      <c r="K1361">
        <f>$C1361*K1360</f>
        <v/>
      </c>
      <c r="L1361">
        <f>$C1361*L1360</f>
        <v/>
      </c>
      <c r="M1361">
        <f>$C1361*M1360</f>
        <v/>
      </c>
      <c r="N1361">
        <f>$C1361*N1360</f>
        <v/>
      </c>
      <c r="O1361">
        <f>$C1361*O1360</f>
        <v/>
      </c>
      <c r="P1361">
        <f>$C1361*P1360</f>
        <v/>
      </c>
      <c r="Q1361">
        <f>$C1361*Q1360</f>
        <v/>
      </c>
      <c r="R1361">
        <f>$C1361*R1360</f>
        <v/>
      </c>
      <c r="S1361">
        <f>$C1361*S1360</f>
        <v/>
      </c>
      <c r="T1361">
        <f>$C1361*T1360</f>
        <v/>
      </c>
      <c r="U1361">
        <f>$C1361*U1360</f>
        <v/>
      </c>
      <c r="V1361">
        <f>$C1361*V1360</f>
        <v/>
      </c>
      <c r="W1361">
        <f>$C1361*W1360</f>
        <v/>
      </c>
      <c r="X1361">
        <f>$C1361*X1360</f>
        <v/>
      </c>
      <c r="Y1361">
        <f>$C1361*Y1360</f>
        <v/>
      </c>
      <c r="Z1361">
        <f>$C1361*Z1360</f>
        <v/>
      </c>
      <c r="AA1361">
        <f>$C1361*AA1360</f>
        <v/>
      </c>
      <c r="AB1361">
        <f>$C1361*AB1360</f>
        <v/>
      </c>
      <c r="AC1361">
        <f>$C1361*AC1360</f>
        <v/>
      </c>
      <c r="AD1361">
        <f>$C1361*AD1360</f>
        <v/>
      </c>
      <c r="AE1361">
        <f>$C1361*AE1360</f>
        <v/>
      </c>
      <c r="AF1361">
        <f>$C1361*AF1360</f>
        <v/>
      </c>
      <c r="AG1361">
        <f>$C1361*AG1360</f>
        <v/>
      </c>
      <c r="AH1361">
        <f>$C1361*AH1360</f>
        <v/>
      </c>
      <c r="AI1361">
        <f>$C1361*AI1360</f>
        <v/>
      </c>
      <c r="AJ1361">
        <f>$C1361*AJ1360</f>
        <v/>
      </c>
      <c r="AK1361">
        <f>$C1361*AK1360</f>
        <v/>
      </c>
      <c r="AL1361">
        <f>$C1361*AL1360</f>
        <v/>
      </c>
      <c r="AM1361">
        <f>$C1361*AM1360</f>
        <v/>
      </c>
      <c r="AN1361">
        <f>$C1361*AN1360</f>
        <v/>
      </c>
      <c r="AO1361">
        <f>$C1361*AO1360</f>
        <v/>
      </c>
      <c r="AP1361">
        <f>$C1361*AP1360</f>
        <v/>
      </c>
      <c r="AQ1361">
        <f>$C1361*AQ1360</f>
        <v/>
      </c>
      <c r="AR1361">
        <f>$C1361*AR1360</f>
        <v/>
      </c>
      <c r="AS1361">
        <f>$C1361*AS1360</f>
        <v/>
      </c>
      <c r="AT1361">
        <f>$C1361*AT1360</f>
        <v/>
      </c>
      <c r="AU1361">
        <f>$C1361*AU1360</f>
        <v/>
      </c>
      <c r="AV1361">
        <f>$C1361*AV1360</f>
        <v/>
      </c>
      <c r="AW1361">
        <f>$C1361*AW1360</f>
        <v/>
      </c>
      <c r="AX1361">
        <f>$C1361*AX1360</f>
        <v/>
      </c>
      <c r="AY1361">
        <f>$C1361*AY1360</f>
        <v/>
      </c>
      <c r="AZ1361">
        <f>$C1361*AZ1360</f>
        <v/>
      </c>
      <c r="BA1361">
        <f>$C1361*BA1360</f>
        <v/>
      </c>
      <c r="BB1361">
        <f>$C1361*BB1360</f>
        <v/>
      </c>
      <c r="BC1361">
        <f>$C1361*BC1360</f>
        <v/>
      </c>
      <c r="BD1361">
        <f>$C1361*BD1360</f>
        <v/>
      </c>
      <c r="BE1361">
        <f>$C1361*BE1360</f>
        <v/>
      </c>
      <c r="BF1361">
        <f>$C1361*BF1360</f>
        <v/>
      </c>
      <c r="BG1361">
        <f>$C1361*BG1360</f>
        <v/>
      </c>
      <c r="BH1361">
        <f>$C1361*BH1360</f>
        <v/>
      </c>
      <c r="BI1361">
        <f>$C1361*BI1360</f>
        <v/>
      </c>
      <c r="BJ1361">
        <f>$C1361*BJ1360</f>
        <v/>
      </c>
      <c r="BK1361">
        <f>$C1361*BK1360</f>
        <v/>
      </c>
      <c r="BL1361">
        <f>$C1361*BL1360</f>
        <v/>
      </c>
      <c r="BM1361">
        <f>$C1361*BM1360</f>
        <v/>
      </c>
      <c r="BN1361">
        <f>$C1361*BN1360</f>
        <v/>
      </c>
      <c r="BO1361">
        <f>$C1361*BO1360</f>
        <v/>
      </c>
      <c r="BP1361">
        <f>$C1361*BP1360</f>
        <v/>
      </c>
      <c r="BQ1361">
        <f>$C1361*BQ1360</f>
        <v/>
      </c>
      <c r="BR1361">
        <f>$C1361*BR1360</f>
        <v/>
      </c>
      <c r="BS1361">
        <f>$C1361*BS1360</f>
        <v/>
      </c>
      <c r="BT1361">
        <f>$C1361*BT1360</f>
        <v/>
      </c>
      <c r="BU1361">
        <f>$C1361*BU1360</f>
        <v/>
      </c>
      <c r="BV1361">
        <f>$C1361*BV1360</f>
        <v/>
      </c>
      <c r="BW1361">
        <f>$C1361*BW1360</f>
        <v/>
      </c>
      <c r="BX1361">
        <f>$C1361*BX1360</f>
        <v/>
      </c>
      <c r="BY1361">
        <f>$C1361*BY1360</f>
        <v/>
      </c>
      <c r="BZ1361">
        <f>$C1361*BZ1360</f>
        <v/>
      </c>
      <c r="CA1361">
        <f>$C1361*CA1360</f>
        <v/>
      </c>
      <c r="CB1361">
        <f>$C1361*CB1360</f>
        <v/>
      </c>
      <c r="CC1361">
        <f>$C1361*CC1360</f>
        <v/>
      </c>
      <c r="CD1361">
        <f>$C1361*CD1360</f>
        <v/>
      </c>
      <c r="CE1361">
        <f>$C1361*CE1360</f>
        <v/>
      </c>
      <c r="CF1361">
        <f>$C1361*CF1360</f>
        <v/>
      </c>
      <c r="CG1361">
        <f>$C1361*CG1360</f>
        <v/>
      </c>
      <c r="CH1361">
        <f>$C1361*CH1360</f>
        <v/>
      </c>
      <c r="CI1361">
        <f>$C1361*CI1360</f>
        <v/>
      </c>
      <c r="CJ1361">
        <f>$C1361*CJ1360</f>
        <v/>
      </c>
      <c r="CK1361">
        <f>$C1361*CK1360</f>
        <v/>
      </c>
      <c r="CL1361">
        <f>$C1361*CL1360</f>
        <v/>
      </c>
      <c r="CM1361">
        <f>$C1361*CM1360</f>
        <v/>
      </c>
      <c r="CN1361">
        <f>$C1361*CN1360</f>
        <v/>
      </c>
      <c r="CO1361">
        <f>$C1361*CO1360</f>
        <v/>
      </c>
      <c r="CP1361">
        <f>$C1361*CP1360</f>
        <v/>
      </c>
      <c r="CQ1361">
        <f>$C1361*CQ1360</f>
        <v/>
      </c>
      <c r="CR1361">
        <f>$C1361*CR1360</f>
        <v/>
      </c>
      <c r="CS1361">
        <f>$C1361*CS1360</f>
        <v/>
      </c>
      <c r="CT1361">
        <f>$C1361*CT1360</f>
        <v/>
      </c>
      <c r="CU1361">
        <f>$C1361*CU1360</f>
        <v/>
      </c>
      <c r="CV1361">
        <f>$C1361*CV1360</f>
        <v/>
      </c>
      <c r="CW1361">
        <f>$C1361*CW1360</f>
        <v/>
      </c>
      <c r="CX1361">
        <f>$C1361*CX1360</f>
        <v/>
      </c>
      <c r="CY1361">
        <f>$C1361*CY1360</f>
        <v/>
      </c>
      <c r="CZ1361">
        <f>$C1361*CZ1360</f>
        <v/>
      </c>
      <c r="DA1361">
        <f>$C1361*DA1360</f>
        <v/>
      </c>
      <c r="DB1361">
        <f>$C1361*DB1360</f>
        <v/>
      </c>
      <c r="DC1361">
        <f>$C1361*DC1360</f>
        <v/>
      </c>
      <c r="DD1361">
        <f>$C1361*DD1360</f>
        <v/>
      </c>
    </row>
    <row r="1362">
      <c r="B1362" t="inlineStr">
        <is>
          <t>TSP-934</t>
        </is>
      </c>
      <c r="C1362" t="inlineStr">
        <is>
          <t>No. of batches</t>
        </is>
      </c>
      <c r="D1362">
        <f>IFERROR(INDEX(E1362:DD1362,$F$1),"")</f>
        <v/>
      </c>
      <c r="E1362">
        <f>IFERROR(INDEX(PP_Grid[#Data],$DE1362,2),0)</f>
        <v/>
      </c>
      <c r="F1362">
        <f>IFERROR(INDEX(PP_Grid[#Data],$DE1362,3),0)</f>
        <v/>
      </c>
      <c r="G1362">
        <f>IFERROR(INDEX(PP_Grid[#Data],$DE1362,4),0)</f>
        <v/>
      </c>
      <c r="H1362">
        <f>IFERROR(INDEX(PP_Grid[#Data],$DE1362,5),0)</f>
        <v/>
      </c>
      <c r="I1362">
        <f>IFERROR(INDEX(PP_Grid[#Data],$DE1362,6),0)</f>
        <v/>
      </c>
      <c r="J1362">
        <f>IFERROR(INDEX(PP_Grid[#Data],$DE1362,7),0)</f>
        <v/>
      </c>
      <c r="K1362">
        <f>IFERROR(INDEX(PP_Grid[#Data],$DE1362,8),0)</f>
        <v/>
      </c>
      <c r="L1362">
        <f>IFERROR(INDEX(PP_Grid[#Data],$DE1362,9),0)</f>
        <v/>
      </c>
      <c r="M1362">
        <f>IFERROR(INDEX(PP_Grid[#Data],$DE1362,10),0)</f>
        <v/>
      </c>
      <c r="N1362">
        <f>IFERROR(INDEX(PP_Grid[#Data],$DE1362,11),0)</f>
        <v/>
      </c>
      <c r="O1362">
        <f>IFERROR(INDEX(PP_Grid[#Data],$DE1362,12),0)</f>
        <v/>
      </c>
      <c r="P1362">
        <f>IFERROR(INDEX(PP_Grid[#Data],$DE1362,13),0)</f>
        <v/>
      </c>
      <c r="Q1362">
        <f>IFERROR(INDEX(PP_Grid[#Data],$DE1362,14),0)</f>
        <v/>
      </c>
      <c r="R1362">
        <f>IFERROR(INDEX(PP_Grid[#Data],$DE1362,15),0)</f>
        <v/>
      </c>
      <c r="S1362">
        <f>IFERROR(INDEX(PP_Grid[#Data],$DE1362,16),0)</f>
        <v/>
      </c>
      <c r="T1362">
        <f>IFERROR(INDEX(PP_Grid[#Data],$DE1362,17),0)</f>
        <v/>
      </c>
      <c r="U1362">
        <f>IFERROR(INDEX(PP_Grid[#Data],$DE1362,18),0)</f>
        <v/>
      </c>
      <c r="V1362">
        <f>IFERROR(INDEX(PP_Grid[#Data],$DE1362,19),0)</f>
        <v/>
      </c>
      <c r="W1362">
        <f>IFERROR(INDEX(PP_Grid[#Data],$DE1362,20),0)</f>
        <v/>
      </c>
      <c r="X1362">
        <f>IFERROR(INDEX(PP_Grid[#Data],$DE1362,21),0)</f>
        <v/>
      </c>
      <c r="Y1362">
        <f>IFERROR(INDEX(PP_Grid[#Data],$DE1362,22),0)</f>
        <v/>
      </c>
      <c r="Z1362">
        <f>IFERROR(INDEX(PP_Grid[#Data],$DE1362,23),0)</f>
        <v/>
      </c>
      <c r="AA1362">
        <f>IFERROR(INDEX(PP_Grid[#Data],$DE1362,24),0)</f>
        <v/>
      </c>
      <c r="AB1362">
        <f>IFERROR(INDEX(PP_Grid[#Data],$DE1362,25),0)</f>
        <v/>
      </c>
      <c r="AC1362">
        <f>IFERROR(INDEX(PP_Grid[#Data],$DE1362,26),0)</f>
        <v/>
      </c>
      <c r="AD1362">
        <f>IFERROR(INDEX(PP_Grid[#Data],$DE1362,27),0)</f>
        <v/>
      </c>
      <c r="AE1362">
        <f>IFERROR(INDEX(PP_Grid[#Data],$DE1362,28),0)</f>
        <v/>
      </c>
      <c r="AF1362">
        <f>IFERROR(INDEX(PP_Grid[#Data],$DE1362,29),0)</f>
        <v/>
      </c>
      <c r="AG1362">
        <f>IFERROR(INDEX(PP_Grid[#Data],$DE1362,30),0)</f>
        <v/>
      </c>
      <c r="AH1362">
        <f>IFERROR(INDEX(PP_Grid[#Data],$DE1362,31),0)</f>
        <v/>
      </c>
      <c r="AI1362">
        <f>IFERROR(INDEX(PP_Grid[#Data],$DE1362,32),0)</f>
        <v/>
      </c>
      <c r="AJ1362">
        <f>IFERROR(INDEX(PP_Grid[#Data],$DE1362,33),0)</f>
        <v/>
      </c>
      <c r="AK1362">
        <f>IFERROR(INDEX(PP_Grid[#Data],$DE1362,34),0)</f>
        <v/>
      </c>
      <c r="AL1362">
        <f>IFERROR(INDEX(PP_Grid[#Data],$DE1362,35),0)</f>
        <v/>
      </c>
      <c r="AM1362">
        <f>IFERROR(INDEX(PP_Grid[#Data],$DE1362,36),0)</f>
        <v/>
      </c>
      <c r="AN1362">
        <f>IFERROR(INDEX(PP_Grid[#Data],$DE1362,37),0)</f>
        <v/>
      </c>
      <c r="AO1362">
        <f>IFERROR(INDEX(PP_Grid[#Data],$DE1362,38),0)</f>
        <v/>
      </c>
      <c r="AP1362">
        <f>IFERROR(INDEX(PP_Grid[#Data],$DE1362,39),0)</f>
        <v/>
      </c>
      <c r="AQ1362">
        <f>IFERROR(INDEX(PP_Grid[#Data],$DE1362,40),0)</f>
        <v/>
      </c>
      <c r="AR1362">
        <f>IFERROR(INDEX(PP_Grid[#Data],$DE1362,41),0)</f>
        <v/>
      </c>
      <c r="AS1362">
        <f>IFERROR(INDEX(PP_Grid[#Data],$DE1362,42),0)</f>
        <v/>
      </c>
      <c r="AT1362">
        <f>IFERROR(INDEX(PP_Grid[#Data],$DE1362,43),0)</f>
        <v/>
      </c>
      <c r="AU1362">
        <f>IFERROR(INDEX(PP_Grid[#Data],$DE1362,44),0)</f>
        <v/>
      </c>
      <c r="AV1362">
        <f>IFERROR(INDEX(PP_Grid[#Data],$DE1362,45),0)</f>
        <v/>
      </c>
      <c r="AW1362">
        <f>IFERROR(INDEX(PP_Grid[#Data],$DE1362,46),0)</f>
        <v/>
      </c>
      <c r="AX1362">
        <f>IFERROR(INDEX(PP_Grid[#Data],$DE1362,47),0)</f>
        <v/>
      </c>
      <c r="AY1362">
        <f>IFERROR(INDEX(PP_Grid[#Data],$DE1362,48),0)</f>
        <v/>
      </c>
      <c r="AZ1362">
        <f>IFERROR(INDEX(PP_Grid[#Data],$DE1362,49),0)</f>
        <v/>
      </c>
      <c r="BA1362">
        <f>IFERROR(INDEX(PP_Grid[#Data],$DE1362,50),0)</f>
        <v/>
      </c>
      <c r="BB1362">
        <f>IFERROR(INDEX(PP_Grid[#Data],$DE1362,51),0)</f>
        <v/>
      </c>
      <c r="BC1362">
        <f>IFERROR(INDEX(PP_Grid[#Data],$DE1362,52),0)</f>
        <v/>
      </c>
      <c r="BD1362">
        <f>IFERROR(INDEX(PP_Grid[#Data],$DE1362,53),0)</f>
        <v/>
      </c>
      <c r="BE1362">
        <f>IFERROR(INDEX(PP_Grid[#Data],$DE1362,54),0)</f>
        <v/>
      </c>
      <c r="BF1362">
        <f>IFERROR(INDEX(PP_Grid[#Data],$DE1362,55),0)</f>
        <v/>
      </c>
      <c r="BG1362">
        <f>IFERROR(INDEX(PP_Grid[#Data],$DE1362,56),0)</f>
        <v/>
      </c>
      <c r="BH1362">
        <f>IFERROR(INDEX(PP_Grid[#Data],$DE1362,57),0)</f>
        <v/>
      </c>
      <c r="BI1362">
        <f>IFERROR(INDEX(PP_Grid[#Data],$DE1362,58),0)</f>
        <v/>
      </c>
      <c r="BJ1362">
        <f>IFERROR(INDEX(PP_Grid[#Data],$DE1362,59),0)</f>
        <v/>
      </c>
      <c r="BK1362">
        <f>IFERROR(INDEX(PP_Grid[#Data],$DE1362,60),0)</f>
        <v/>
      </c>
      <c r="BL1362">
        <f>IFERROR(INDEX(PP_Grid[#Data],$DE1362,61),0)</f>
        <v/>
      </c>
      <c r="BM1362">
        <f>IFERROR(INDEX(PP_Grid[#Data],$DE1362,62),0)</f>
        <v/>
      </c>
      <c r="BN1362">
        <f>IFERROR(INDEX(PP_Grid[#Data],$DE1362,63),0)</f>
        <v/>
      </c>
      <c r="BO1362">
        <f>IFERROR(INDEX(PP_Grid[#Data],$DE1362,64),0)</f>
        <v/>
      </c>
      <c r="BP1362">
        <f>IFERROR(INDEX(PP_Grid[#Data],$DE1362,65),0)</f>
        <v/>
      </c>
      <c r="BQ1362">
        <f>IFERROR(INDEX(PP_Grid[#Data],$DE1362,66),0)</f>
        <v/>
      </c>
      <c r="BR1362">
        <f>IFERROR(INDEX(PP_Grid[#Data],$DE1362,67),0)</f>
        <v/>
      </c>
      <c r="BS1362">
        <f>IFERROR(INDEX(PP_Grid[#Data],$DE1362,68),0)</f>
        <v/>
      </c>
      <c r="BT1362">
        <f>IFERROR(INDEX(PP_Grid[#Data],$DE1362,69),0)</f>
        <v/>
      </c>
      <c r="BU1362">
        <f>IFERROR(INDEX(PP_Grid[#Data],$DE1362,70),0)</f>
        <v/>
      </c>
      <c r="BV1362">
        <f>IFERROR(INDEX(PP_Grid[#Data],$DE1362,71),0)</f>
        <v/>
      </c>
      <c r="BW1362">
        <f>IFERROR(INDEX(PP_Grid[#Data],$DE1362,72),0)</f>
        <v/>
      </c>
      <c r="BX1362">
        <f>IFERROR(INDEX(PP_Grid[#Data],$DE1362,73),0)</f>
        <v/>
      </c>
      <c r="BY1362">
        <f>IFERROR(INDEX(PP_Grid[#Data],$DE1362,74),0)</f>
        <v/>
      </c>
      <c r="BZ1362">
        <f>IFERROR(INDEX(PP_Grid[#Data],$DE1362,75),0)</f>
        <v/>
      </c>
      <c r="CA1362">
        <f>IFERROR(INDEX(PP_Grid[#Data],$DE1362,76),0)</f>
        <v/>
      </c>
      <c r="CB1362">
        <f>IFERROR(INDEX(PP_Grid[#Data],$DE1362,77),0)</f>
        <v/>
      </c>
      <c r="CC1362">
        <f>IFERROR(INDEX(PP_Grid[#Data],$DE1362,78),0)</f>
        <v/>
      </c>
      <c r="CD1362">
        <f>IFERROR(INDEX(PP_Grid[#Data],$DE1362,79),0)</f>
        <v/>
      </c>
      <c r="CE1362">
        <f>IFERROR(INDEX(PP_Grid[#Data],$DE1362,80),0)</f>
        <v/>
      </c>
      <c r="CF1362">
        <f>IFERROR(INDEX(PP_Grid[#Data],$DE1362,81),0)</f>
        <v/>
      </c>
      <c r="CG1362">
        <f>IFERROR(INDEX(PP_Grid[#Data],$DE1362,82),0)</f>
        <v/>
      </c>
      <c r="CH1362">
        <f>IFERROR(INDEX(PP_Grid[#Data],$DE1362,83),0)</f>
        <v/>
      </c>
      <c r="CI1362">
        <f>IFERROR(INDEX(PP_Grid[#Data],$DE1362,84),0)</f>
        <v/>
      </c>
      <c r="CJ1362">
        <f>IFERROR(INDEX(PP_Grid[#Data],$DE1362,85),0)</f>
        <v/>
      </c>
      <c r="CK1362">
        <f>IFERROR(INDEX(PP_Grid[#Data],$DE1362,86),0)</f>
        <v/>
      </c>
      <c r="CL1362">
        <f>IFERROR(INDEX(PP_Grid[#Data],$DE1362,87),0)</f>
        <v/>
      </c>
      <c r="CM1362">
        <f>IFERROR(INDEX(PP_Grid[#Data],$DE1362,88),0)</f>
        <v/>
      </c>
      <c r="CN1362">
        <f>IFERROR(INDEX(PP_Grid[#Data],$DE1362,89),0)</f>
        <v/>
      </c>
      <c r="CO1362">
        <f>IFERROR(INDEX(PP_Grid[#Data],$DE1362,90),0)</f>
        <v/>
      </c>
      <c r="CP1362">
        <f>IFERROR(INDEX(PP_Grid[#Data],$DE1362,91),0)</f>
        <v/>
      </c>
      <c r="CQ1362">
        <f>IFERROR(INDEX(PP_Grid[#Data],$DE1362,92),0)</f>
        <v/>
      </c>
      <c r="CR1362">
        <f>IFERROR(INDEX(PP_Grid[#Data],$DE1362,93),0)</f>
        <v/>
      </c>
      <c r="CS1362">
        <f>IFERROR(INDEX(PP_Grid[#Data],$DE1362,94),0)</f>
        <v/>
      </c>
      <c r="CT1362">
        <f>IFERROR(INDEX(PP_Grid[#Data],$DE1362,95),0)</f>
        <v/>
      </c>
      <c r="CU1362">
        <f>IFERROR(INDEX(PP_Grid[#Data],$DE1362,96),0)</f>
        <v/>
      </c>
      <c r="CV1362">
        <f>IFERROR(INDEX(PP_Grid[#Data],$DE1362,97),0)</f>
        <v/>
      </c>
      <c r="CW1362">
        <f>IFERROR(INDEX(PP_Grid[#Data],$DE1362,98),0)</f>
        <v/>
      </c>
      <c r="CX1362">
        <f>IFERROR(INDEX(PP_Grid[#Data],$DE1362,99),0)</f>
        <v/>
      </c>
      <c r="CY1362">
        <f>IFERROR(INDEX(PP_Grid[#Data],$DE1362,100),0)</f>
        <v/>
      </c>
      <c r="CZ1362">
        <f>IFERROR(INDEX(PP_Grid[#Data],$DE1362,101),0)</f>
        <v/>
      </c>
      <c r="DA1362">
        <f>IFERROR(INDEX(PP_Grid[#Data],$DE1362,102),0)</f>
        <v/>
      </c>
      <c r="DB1362">
        <f>IFERROR(INDEX(PP_Grid[#Data],$DE1362,103),0)</f>
        <v/>
      </c>
      <c r="DC1362">
        <f>IFERROR(INDEX(PP_Grid[#Data],$DE1362,104),0)</f>
        <v/>
      </c>
      <c r="DD1362">
        <f>IFERROR(INDEX(PP_Grid[#Data],$DE1362,105),0)</f>
        <v/>
      </c>
      <c r="DE1362" s="7">
        <f>IFERROR(MATCH($B1362,PP_Grid[Intermediate],0),99999)</f>
        <v/>
      </c>
    </row>
    <row r="1363">
      <c r="B1363" t="inlineStr">
        <is>
          <t>使用量(kg)</t>
        </is>
      </c>
      <c r="C1363">
        <f>SUMIFS(M_BOM[RM_Qty_Per_Batch],M_BOM[Intermediate],$B1362,M_BOM[RM_Code],$A1349)</f>
        <v/>
      </c>
      <c r="D1363">
        <f>IFERROR(INDEX(E1363:DD1363,$F$1),"")</f>
        <v/>
      </c>
      <c r="E1363">
        <f>$C1363*E1362</f>
        <v/>
      </c>
      <c r="F1363">
        <f>$C1363*F1362</f>
        <v/>
      </c>
      <c r="G1363">
        <f>$C1363*G1362</f>
        <v/>
      </c>
      <c r="H1363">
        <f>$C1363*H1362</f>
        <v/>
      </c>
      <c r="I1363">
        <f>$C1363*I1362</f>
        <v/>
      </c>
      <c r="J1363">
        <f>$C1363*J1362</f>
        <v/>
      </c>
      <c r="K1363">
        <f>$C1363*K1362</f>
        <v/>
      </c>
      <c r="L1363">
        <f>$C1363*L1362</f>
        <v/>
      </c>
      <c r="M1363">
        <f>$C1363*M1362</f>
        <v/>
      </c>
      <c r="N1363">
        <f>$C1363*N1362</f>
        <v/>
      </c>
      <c r="O1363">
        <f>$C1363*O1362</f>
        <v/>
      </c>
      <c r="P1363">
        <f>$C1363*P1362</f>
        <v/>
      </c>
      <c r="Q1363">
        <f>$C1363*Q1362</f>
        <v/>
      </c>
      <c r="R1363">
        <f>$C1363*R1362</f>
        <v/>
      </c>
      <c r="S1363">
        <f>$C1363*S1362</f>
        <v/>
      </c>
      <c r="T1363">
        <f>$C1363*T1362</f>
        <v/>
      </c>
      <c r="U1363">
        <f>$C1363*U1362</f>
        <v/>
      </c>
      <c r="V1363">
        <f>$C1363*V1362</f>
        <v/>
      </c>
      <c r="W1363">
        <f>$C1363*W1362</f>
        <v/>
      </c>
      <c r="X1363">
        <f>$C1363*X1362</f>
        <v/>
      </c>
      <c r="Y1363">
        <f>$C1363*Y1362</f>
        <v/>
      </c>
      <c r="Z1363">
        <f>$C1363*Z1362</f>
        <v/>
      </c>
      <c r="AA1363">
        <f>$C1363*AA1362</f>
        <v/>
      </c>
      <c r="AB1363">
        <f>$C1363*AB1362</f>
        <v/>
      </c>
      <c r="AC1363">
        <f>$C1363*AC1362</f>
        <v/>
      </c>
      <c r="AD1363">
        <f>$C1363*AD1362</f>
        <v/>
      </c>
      <c r="AE1363">
        <f>$C1363*AE1362</f>
        <v/>
      </c>
      <c r="AF1363">
        <f>$C1363*AF1362</f>
        <v/>
      </c>
      <c r="AG1363">
        <f>$C1363*AG1362</f>
        <v/>
      </c>
      <c r="AH1363">
        <f>$C1363*AH1362</f>
        <v/>
      </c>
      <c r="AI1363">
        <f>$C1363*AI1362</f>
        <v/>
      </c>
      <c r="AJ1363">
        <f>$C1363*AJ1362</f>
        <v/>
      </c>
      <c r="AK1363">
        <f>$C1363*AK1362</f>
        <v/>
      </c>
      <c r="AL1363">
        <f>$C1363*AL1362</f>
        <v/>
      </c>
      <c r="AM1363">
        <f>$C1363*AM1362</f>
        <v/>
      </c>
      <c r="AN1363">
        <f>$C1363*AN1362</f>
        <v/>
      </c>
      <c r="AO1363">
        <f>$C1363*AO1362</f>
        <v/>
      </c>
      <c r="AP1363">
        <f>$C1363*AP1362</f>
        <v/>
      </c>
      <c r="AQ1363">
        <f>$C1363*AQ1362</f>
        <v/>
      </c>
      <c r="AR1363">
        <f>$C1363*AR1362</f>
        <v/>
      </c>
      <c r="AS1363">
        <f>$C1363*AS1362</f>
        <v/>
      </c>
      <c r="AT1363">
        <f>$C1363*AT1362</f>
        <v/>
      </c>
      <c r="AU1363">
        <f>$C1363*AU1362</f>
        <v/>
      </c>
      <c r="AV1363">
        <f>$C1363*AV1362</f>
        <v/>
      </c>
      <c r="AW1363">
        <f>$C1363*AW1362</f>
        <v/>
      </c>
      <c r="AX1363">
        <f>$C1363*AX1362</f>
        <v/>
      </c>
      <c r="AY1363">
        <f>$C1363*AY1362</f>
        <v/>
      </c>
      <c r="AZ1363">
        <f>$C1363*AZ1362</f>
        <v/>
      </c>
      <c r="BA1363">
        <f>$C1363*BA1362</f>
        <v/>
      </c>
      <c r="BB1363">
        <f>$C1363*BB1362</f>
        <v/>
      </c>
      <c r="BC1363">
        <f>$C1363*BC1362</f>
        <v/>
      </c>
      <c r="BD1363">
        <f>$C1363*BD1362</f>
        <v/>
      </c>
      <c r="BE1363">
        <f>$C1363*BE1362</f>
        <v/>
      </c>
      <c r="BF1363">
        <f>$C1363*BF1362</f>
        <v/>
      </c>
      <c r="BG1363">
        <f>$C1363*BG1362</f>
        <v/>
      </c>
      <c r="BH1363">
        <f>$C1363*BH1362</f>
        <v/>
      </c>
      <c r="BI1363">
        <f>$C1363*BI1362</f>
        <v/>
      </c>
      <c r="BJ1363">
        <f>$C1363*BJ1362</f>
        <v/>
      </c>
      <c r="BK1363">
        <f>$C1363*BK1362</f>
        <v/>
      </c>
      <c r="BL1363">
        <f>$C1363*BL1362</f>
        <v/>
      </c>
      <c r="BM1363">
        <f>$C1363*BM1362</f>
        <v/>
      </c>
      <c r="BN1363">
        <f>$C1363*BN1362</f>
        <v/>
      </c>
      <c r="BO1363">
        <f>$C1363*BO1362</f>
        <v/>
      </c>
      <c r="BP1363">
        <f>$C1363*BP1362</f>
        <v/>
      </c>
      <c r="BQ1363">
        <f>$C1363*BQ1362</f>
        <v/>
      </c>
      <c r="BR1363">
        <f>$C1363*BR1362</f>
        <v/>
      </c>
      <c r="BS1363">
        <f>$C1363*BS1362</f>
        <v/>
      </c>
      <c r="BT1363">
        <f>$C1363*BT1362</f>
        <v/>
      </c>
      <c r="BU1363">
        <f>$C1363*BU1362</f>
        <v/>
      </c>
      <c r="BV1363">
        <f>$C1363*BV1362</f>
        <v/>
      </c>
      <c r="BW1363">
        <f>$C1363*BW1362</f>
        <v/>
      </c>
      <c r="BX1363">
        <f>$C1363*BX1362</f>
        <v/>
      </c>
      <c r="BY1363">
        <f>$C1363*BY1362</f>
        <v/>
      </c>
      <c r="BZ1363">
        <f>$C1363*BZ1362</f>
        <v/>
      </c>
      <c r="CA1363">
        <f>$C1363*CA1362</f>
        <v/>
      </c>
      <c r="CB1363">
        <f>$C1363*CB1362</f>
        <v/>
      </c>
      <c r="CC1363">
        <f>$C1363*CC1362</f>
        <v/>
      </c>
      <c r="CD1363">
        <f>$C1363*CD1362</f>
        <v/>
      </c>
      <c r="CE1363">
        <f>$C1363*CE1362</f>
        <v/>
      </c>
      <c r="CF1363">
        <f>$C1363*CF1362</f>
        <v/>
      </c>
      <c r="CG1363">
        <f>$C1363*CG1362</f>
        <v/>
      </c>
      <c r="CH1363">
        <f>$C1363*CH1362</f>
        <v/>
      </c>
      <c r="CI1363">
        <f>$C1363*CI1362</f>
        <v/>
      </c>
      <c r="CJ1363">
        <f>$C1363*CJ1362</f>
        <v/>
      </c>
      <c r="CK1363">
        <f>$C1363*CK1362</f>
        <v/>
      </c>
      <c r="CL1363">
        <f>$C1363*CL1362</f>
        <v/>
      </c>
      <c r="CM1363">
        <f>$C1363*CM1362</f>
        <v/>
      </c>
      <c r="CN1363">
        <f>$C1363*CN1362</f>
        <v/>
      </c>
      <c r="CO1363">
        <f>$C1363*CO1362</f>
        <v/>
      </c>
      <c r="CP1363">
        <f>$C1363*CP1362</f>
        <v/>
      </c>
      <c r="CQ1363">
        <f>$C1363*CQ1362</f>
        <v/>
      </c>
      <c r="CR1363">
        <f>$C1363*CR1362</f>
        <v/>
      </c>
      <c r="CS1363">
        <f>$C1363*CS1362</f>
        <v/>
      </c>
      <c r="CT1363">
        <f>$C1363*CT1362</f>
        <v/>
      </c>
      <c r="CU1363">
        <f>$C1363*CU1362</f>
        <v/>
      </c>
      <c r="CV1363">
        <f>$C1363*CV1362</f>
        <v/>
      </c>
      <c r="CW1363">
        <f>$C1363*CW1362</f>
        <v/>
      </c>
      <c r="CX1363">
        <f>$C1363*CX1362</f>
        <v/>
      </c>
      <c r="CY1363">
        <f>$C1363*CY1362</f>
        <v/>
      </c>
      <c r="CZ1363">
        <f>$C1363*CZ1362</f>
        <v/>
      </c>
      <c r="DA1363">
        <f>$C1363*DA1362</f>
        <v/>
      </c>
      <c r="DB1363">
        <f>$C1363*DB1362</f>
        <v/>
      </c>
      <c r="DC1363">
        <f>$C1363*DC1362</f>
        <v/>
      </c>
      <c r="DD1363">
        <f>$C1363*DD1362</f>
        <v/>
      </c>
    </row>
    <row r="1364">
      <c r="B1364" t="inlineStr">
        <is>
          <t>TSP-935</t>
        </is>
      </c>
      <c r="C1364" t="inlineStr">
        <is>
          <t>No. of batches</t>
        </is>
      </c>
      <c r="D1364">
        <f>IFERROR(INDEX(E1364:DD1364,$F$1),"")</f>
        <v/>
      </c>
      <c r="E1364">
        <f>IFERROR(INDEX(PP_Grid[#Data],$DE1364,2),0)</f>
        <v/>
      </c>
      <c r="F1364">
        <f>IFERROR(INDEX(PP_Grid[#Data],$DE1364,3),0)</f>
        <v/>
      </c>
      <c r="G1364">
        <f>IFERROR(INDEX(PP_Grid[#Data],$DE1364,4),0)</f>
        <v/>
      </c>
      <c r="H1364">
        <f>IFERROR(INDEX(PP_Grid[#Data],$DE1364,5),0)</f>
        <v/>
      </c>
      <c r="I1364">
        <f>IFERROR(INDEX(PP_Grid[#Data],$DE1364,6),0)</f>
        <v/>
      </c>
      <c r="J1364">
        <f>IFERROR(INDEX(PP_Grid[#Data],$DE1364,7),0)</f>
        <v/>
      </c>
      <c r="K1364">
        <f>IFERROR(INDEX(PP_Grid[#Data],$DE1364,8),0)</f>
        <v/>
      </c>
      <c r="L1364">
        <f>IFERROR(INDEX(PP_Grid[#Data],$DE1364,9),0)</f>
        <v/>
      </c>
      <c r="M1364">
        <f>IFERROR(INDEX(PP_Grid[#Data],$DE1364,10),0)</f>
        <v/>
      </c>
      <c r="N1364">
        <f>IFERROR(INDEX(PP_Grid[#Data],$DE1364,11),0)</f>
        <v/>
      </c>
      <c r="O1364">
        <f>IFERROR(INDEX(PP_Grid[#Data],$DE1364,12),0)</f>
        <v/>
      </c>
      <c r="P1364">
        <f>IFERROR(INDEX(PP_Grid[#Data],$DE1364,13),0)</f>
        <v/>
      </c>
      <c r="Q1364">
        <f>IFERROR(INDEX(PP_Grid[#Data],$DE1364,14),0)</f>
        <v/>
      </c>
      <c r="R1364">
        <f>IFERROR(INDEX(PP_Grid[#Data],$DE1364,15),0)</f>
        <v/>
      </c>
      <c r="S1364">
        <f>IFERROR(INDEX(PP_Grid[#Data],$DE1364,16),0)</f>
        <v/>
      </c>
      <c r="T1364">
        <f>IFERROR(INDEX(PP_Grid[#Data],$DE1364,17),0)</f>
        <v/>
      </c>
      <c r="U1364">
        <f>IFERROR(INDEX(PP_Grid[#Data],$DE1364,18),0)</f>
        <v/>
      </c>
      <c r="V1364">
        <f>IFERROR(INDEX(PP_Grid[#Data],$DE1364,19),0)</f>
        <v/>
      </c>
      <c r="W1364">
        <f>IFERROR(INDEX(PP_Grid[#Data],$DE1364,20),0)</f>
        <v/>
      </c>
      <c r="X1364">
        <f>IFERROR(INDEX(PP_Grid[#Data],$DE1364,21),0)</f>
        <v/>
      </c>
      <c r="Y1364">
        <f>IFERROR(INDEX(PP_Grid[#Data],$DE1364,22),0)</f>
        <v/>
      </c>
      <c r="Z1364">
        <f>IFERROR(INDEX(PP_Grid[#Data],$DE1364,23),0)</f>
        <v/>
      </c>
      <c r="AA1364">
        <f>IFERROR(INDEX(PP_Grid[#Data],$DE1364,24),0)</f>
        <v/>
      </c>
      <c r="AB1364">
        <f>IFERROR(INDEX(PP_Grid[#Data],$DE1364,25),0)</f>
        <v/>
      </c>
      <c r="AC1364">
        <f>IFERROR(INDEX(PP_Grid[#Data],$DE1364,26),0)</f>
        <v/>
      </c>
      <c r="AD1364">
        <f>IFERROR(INDEX(PP_Grid[#Data],$DE1364,27),0)</f>
        <v/>
      </c>
      <c r="AE1364">
        <f>IFERROR(INDEX(PP_Grid[#Data],$DE1364,28),0)</f>
        <v/>
      </c>
      <c r="AF1364">
        <f>IFERROR(INDEX(PP_Grid[#Data],$DE1364,29),0)</f>
        <v/>
      </c>
      <c r="AG1364">
        <f>IFERROR(INDEX(PP_Grid[#Data],$DE1364,30),0)</f>
        <v/>
      </c>
      <c r="AH1364">
        <f>IFERROR(INDEX(PP_Grid[#Data],$DE1364,31),0)</f>
        <v/>
      </c>
      <c r="AI1364">
        <f>IFERROR(INDEX(PP_Grid[#Data],$DE1364,32),0)</f>
        <v/>
      </c>
      <c r="AJ1364">
        <f>IFERROR(INDEX(PP_Grid[#Data],$DE1364,33),0)</f>
        <v/>
      </c>
      <c r="AK1364">
        <f>IFERROR(INDEX(PP_Grid[#Data],$DE1364,34),0)</f>
        <v/>
      </c>
      <c r="AL1364">
        <f>IFERROR(INDEX(PP_Grid[#Data],$DE1364,35),0)</f>
        <v/>
      </c>
      <c r="AM1364">
        <f>IFERROR(INDEX(PP_Grid[#Data],$DE1364,36),0)</f>
        <v/>
      </c>
      <c r="AN1364">
        <f>IFERROR(INDEX(PP_Grid[#Data],$DE1364,37),0)</f>
        <v/>
      </c>
      <c r="AO1364">
        <f>IFERROR(INDEX(PP_Grid[#Data],$DE1364,38),0)</f>
        <v/>
      </c>
      <c r="AP1364">
        <f>IFERROR(INDEX(PP_Grid[#Data],$DE1364,39),0)</f>
        <v/>
      </c>
      <c r="AQ1364">
        <f>IFERROR(INDEX(PP_Grid[#Data],$DE1364,40),0)</f>
        <v/>
      </c>
      <c r="AR1364">
        <f>IFERROR(INDEX(PP_Grid[#Data],$DE1364,41),0)</f>
        <v/>
      </c>
      <c r="AS1364">
        <f>IFERROR(INDEX(PP_Grid[#Data],$DE1364,42),0)</f>
        <v/>
      </c>
      <c r="AT1364">
        <f>IFERROR(INDEX(PP_Grid[#Data],$DE1364,43),0)</f>
        <v/>
      </c>
      <c r="AU1364">
        <f>IFERROR(INDEX(PP_Grid[#Data],$DE1364,44),0)</f>
        <v/>
      </c>
      <c r="AV1364">
        <f>IFERROR(INDEX(PP_Grid[#Data],$DE1364,45),0)</f>
        <v/>
      </c>
      <c r="AW1364">
        <f>IFERROR(INDEX(PP_Grid[#Data],$DE1364,46),0)</f>
        <v/>
      </c>
      <c r="AX1364">
        <f>IFERROR(INDEX(PP_Grid[#Data],$DE1364,47),0)</f>
        <v/>
      </c>
      <c r="AY1364">
        <f>IFERROR(INDEX(PP_Grid[#Data],$DE1364,48),0)</f>
        <v/>
      </c>
      <c r="AZ1364">
        <f>IFERROR(INDEX(PP_Grid[#Data],$DE1364,49),0)</f>
        <v/>
      </c>
      <c r="BA1364">
        <f>IFERROR(INDEX(PP_Grid[#Data],$DE1364,50),0)</f>
        <v/>
      </c>
      <c r="BB1364">
        <f>IFERROR(INDEX(PP_Grid[#Data],$DE1364,51),0)</f>
        <v/>
      </c>
      <c r="BC1364">
        <f>IFERROR(INDEX(PP_Grid[#Data],$DE1364,52),0)</f>
        <v/>
      </c>
      <c r="BD1364">
        <f>IFERROR(INDEX(PP_Grid[#Data],$DE1364,53),0)</f>
        <v/>
      </c>
      <c r="BE1364">
        <f>IFERROR(INDEX(PP_Grid[#Data],$DE1364,54),0)</f>
        <v/>
      </c>
      <c r="BF1364">
        <f>IFERROR(INDEX(PP_Grid[#Data],$DE1364,55),0)</f>
        <v/>
      </c>
      <c r="BG1364">
        <f>IFERROR(INDEX(PP_Grid[#Data],$DE1364,56),0)</f>
        <v/>
      </c>
      <c r="BH1364">
        <f>IFERROR(INDEX(PP_Grid[#Data],$DE1364,57),0)</f>
        <v/>
      </c>
      <c r="BI1364">
        <f>IFERROR(INDEX(PP_Grid[#Data],$DE1364,58),0)</f>
        <v/>
      </c>
      <c r="BJ1364">
        <f>IFERROR(INDEX(PP_Grid[#Data],$DE1364,59),0)</f>
        <v/>
      </c>
      <c r="BK1364">
        <f>IFERROR(INDEX(PP_Grid[#Data],$DE1364,60),0)</f>
        <v/>
      </c>
      <c r="BL1364">
        <f>IFERROR(INDEX(PP_Grid[#Data],$DE1364,61),0)</f>
        <v/>
      </c>
      <c r="BM1364">
        <f>IFERROR(INDEX(PP_Grid[#Data],$DE1364,62),0)</f>
        <v/>
      </c>
      <c r="BN1364">
        <f>IFERROR(INDEX(PP_Grid[#Data],$DE1364,63),0)</f>
        <v/>
      </c>
      <c r="BO1364">
        <f>IFERROR(INDEX(PP_Grid[#Data],$DE1364,64),0)</f>
        <v/>
      </c>
      <c r="BP1364">
        <f>IFERROR(INDEX(PP_Grid[#Data],$DE1364,65),0)</f>
        <v/>
      </c>
      <c r="BQ1364">
        <f>IFERROR(INDEX(PP_Grid[#Data],$DE1364,66),0)</f>
        <v/>
      </c>
      <c r="BR1364">
        <f>IFERROR(INDEX(PP_Grid[#Data],$DE1364,67),0)</f>
        <v/>
      </c>
      <c r="BS1364">
        <f>IFERROR(INDEX(PP_Grid[#Data],$DE1364,68),0)</f>
        <v/>
      </c>
      <c r="BT1364">
        <f>IFERROR(INDEX(PP_Grid[#Data],$DE1364,69),0)</f>
        <v/>
      </c>
      <c r="BU1364">
        <f>IFERROR(INDEX(PP_Grid[#Data],$DE1364,70),0)</f>
        <v/>
      </c>
      <c r="BV1364">
        <f>IFERROR(INDEX(PP_Grid[#Data],$DE1364,71),0)</f>
        <v/>
      </c>
      <c r="BW1364">
        <f>IFERROR(INDEX(PP_Grid[#Data],$DE1364,72),0)</f>
        <v/>
      </c>
      <c r="BX1364">
        <f>IFERROR(INDEX(PP_Grid[#Data],$DE1364,73),0)</f>
        <v/>
      </c>
      <c r="BY1364">
        <f>IFERROR(INDEX(PP_Grid[#Data],$DE1364,74),0)</f>
        <v/>
      </c>
      <c r="BZ1364">
        <f>IFERROR(INDEX(PP_Grid[#Data],$DE1364,75),0)</f>
        <v/>
      </c>
      <c r="CA1364">
        <f>IFERROR(INDEX(PP_Grid[#Data],$DE1364,76),0)</f>
        <v/>
      </c>
      <c r="CB1364">
        <f>IFERROR(INDEX(PP_Grid[#Data],$DE1364,77),0)</f>
        <v/>
      </c>
      <c r="CC1364">
        <f>IFERROR(INDEX(PP_Grid[#Data],$DE1364,78),0)</f>
        <v/>
      </c>
      <c r="CD1364">
        <f>IFERROR(INDEX(PP_Grid[#Data],$DE1364,79),0)</f>
        <v/>
      </c>
      <c r="CE1364">
        <f>IFERROR(INDEX(PP_Grid[#Data],$DE1364,80),0)</f>
        <v/>
      </c>
      <c r="CF1364">
        <f>IFERROR(INDEX(PP_Grid[#Data],$DE1364,81),0)</f>
        <v/>
      </c>
      <c r="CG1364">
        <f>IFERROR(INDEX(PP_Grid[#Data],$DE1364,82),0)</f>
        <v/>
      </c>
      <c r="CH1364">
        <f>IFERROR(INDEX(PP_Grid[#Data],$DE1364,83),0)</f>
        <v/>
      </c>
      <c r="CI1364">
        <f>IFERROR(INDEX(PP_Grid[#Data],$DE1364,84),0)</f>
        <v/>
      </c>
      <c r="CJ1364">
        <f>IFERROR(INDEX(PP_Grid[#Data],$DE1364,85),0)</f>
        <v/>
      </c>
      <c r="CK1364">
        <f>IFERROR(INDEX(PP_Grid[#Data],$DE1364,86),0)</f>
        <v/>
      </c>
      <c r="CL1364">
        <f>IFERROR(INDEX(PP_Grid[#Data],$DE1364,87),0)</f>
        <v/>
      </c>
      <c r="CM1364">
        <f>IFERROR(INDEX(PP_Grid[#Data],$DE1364,88),0)</f>
        <v/>
      </c>
      <c r="CN1364">
        <f>IFERROR(INDEX(PP_Grid[#Data],$DE1364,89),0)</f>
        <v/>
      </c>
      <c r="CO1364">
        <f>IFERROR(INDEX(PP_Grid[#Data],$DE1364,90),0)</f>
        <v/>
      </c>
      <c r="CP1364">
        <f>IFERROR(INDEX(PP_Grid[#Data],$DE1364,91),0)</f>
        <v/>
      </c>
      <c r="CQ1364">
        <f>IFERROR(INDEX(PP_Grid[#Data],$DE1364,92),0)</f>
        <v/>
      </c>
      <c r="CR1364">
        <f>IFERROR(INDEX(PP_Grid[#Data],$DE1364,93),0)</f>
        <v/>
      </c>
      <c r="CS1364">
        <f>IFERROR(INDEX(PP_Grid[#Data],$DE1364,94),0)</f>
        <v/>
      </c>
      <c r="CT1364">
        <f>IFERROR(INDEX(PP_Grid[#Data],$DE1364,95),0)</f>
        <v/>
      </c>
      <c r="CU1364">
        <f>IFERROR(INDEX(PP_Grid[#Data],$DE1364,96),0)</f>
        <v/>
      </c>
      <c r="CV1364">
        <f>IFERROR(INDEX(PP_Grid[#Data],$DE1364,97),0)</f>
        <v/>
      </c>
      <c r="CW1364">
        <f>IFERROR(INDEX(PP_Grid[#Data],$DE1364,98),0)</f>
        <v/>
      </c>
      <c r="CX1364">
        <f>IFERROR(INDEX(PP_Grid[#Data],$DE1364,99),0)</f>
        <v/>
      </c>
      <c r="CY1364">
        <f>IFERROR(INDEX(PP_Grid[#Data],$DE1364,100),0)</f>
        <v/>
      </c>
      <c r="CZ1364">
        <f>IFERROR(INDEX(PP_Grid[#Data],$DE1364,101),0)</f>
        <v/>
      </c>
      <c r="DA1364">
        <f>IFERROR(INDEX(PP_Grid[#Data],$DE1364,102),0)</f>
        <v/>
      </c>
      <c r="DB1364">
        <f>IFERROR(INDEX(PP_Grid[#Data],$DE1364,103),0)</f>
        <v/>
      </c>
      <c r="DC1364">
        <f>IFERROR(INDEX(PP_Grid[#Data],$DE1364,104),0)</f>
        <v/>
      </c>
      <c r="DD1364">
        <f>IFERROR(INDEX(PP_Grid[#Data],$DE1364,105),0)</f>
        <v/>
      </c>
      <c r="DE1364" s="7">
        <f>IFERROR(MATCH($B1364,PP_Grid[Intermediate],0),99999)</f>
        <v/>
      </c>
    </row>
    <row r="1365">
      <c r="B1365" t="inlineStr">
        <is>
          <t>使用量(kg)</t>
        </is>
      </c>
      <c r="C1365">
        <f>SUMIFS(M_BOM[RM_Qty_Per_Batch],M_BOM[Intermediate],$B1364,M_BOM[RM_Code],$A1349)</f>
        <v/>
      </c>
      <c r="D1365">
        <f>IFERROR(INDEX(E1365:DD1365,$F$1),"")</f>
        <v/>
      </c>
      <c r="E1365">
        <f>$C1365*E1364</f>
        <v/>
      </c>
      <c r="F1365">
        <f>$C1365*F1364</f>
        <v/>
      </c>
      <c r="G1365">
        <f>$C1365*G1364</f>
        <v/>
      </c>
      <c r="H1365">
        <f>$C1365*H1364</f>
        <v/>
      </c>
      <c r="I1365">
        <f>$C1365*I1364</f>
        <v/>
      </c>
      <c r="J1365">
        <f>$C1365*J1364</f>
        <v/>
      </c>
      <c r="K1365">
        <f>$C1365*K1364</f>
        <v/>
      </c>
      <c r="L1365">
        <f>$C1365*L1364</f>
        <v/>
      </c>
      <c r="M1365">
        <f>$C1365*M1364</f>
        <v/>
      </c>
      <c r="N1365">
        <f>$C1365*N1364</f>
        <v/>
      </c>
      <c r="O1365">
        <f>$C1365*O1364</f>
        <v/>
      </c>
      <c r="P1365">
        <f>$C1365*P1364</f>
        <v/>
      </c>
      <c r="Q1365">
        <f>$C1365*Q1364</f>
        <v/>
      </c>
      <c r="R1365">
        <f>$C1365*R1364</f>
        <v/>
      </c>
      <c r="S1365">
        <f>$C1365*S1364</f>
        <v/>
      </c>
      <c r="T1365">
        <f>$C1365*T1364</f>
        <v/>
      </c>
      <c r="U1365">
        <f>$C1365*U1364</f>
        <v/>
      </c>
      <c r="V1365">
        <f>$C1365*V1364</f>
        <v/>
      </c>
      <c r="W1365">
        <f>$C1365*W1364</f>
        <v/>
      </c>
      <c r="X1365">
        <f>$C1365*X1364</f>
        <v/>
      </c>
      <c r="Y1365">
        <f>$C1365*Y1364</f>
        <v/>
      </c>
      <c r="Z1365">
        <f>$C1365*Z1364</f>
        <v/>
      </c>
      <c r="AA1365">
        <f>$C1365*AA1364</f>
        <v/>
      </c>
      <c r="AB1365">
        <f>$C1365*AB1364</f>
        <v/>
      </c>
      <c r="AC1365">
        <f>$C1365*AC1364</f>
        <v/>
      </c>
      <c r="AD1365">
        <f>$C1365*AD1364</f>
        <v/>
      </c>
      <c r="AE1365">
        <f>$C1365*AE1364</f>
        <v/>
      </c>
      <c r="AF1365">
        <f>$C1365*AF1364</f>
        <v/>
      </c>
      <c r="AG1365">
        <f>$C1365*AG1364</f>
        <v/>
      </c>
      <c r="AH1365">
        <f>$C1365*AH1364</f>
        <v/>
      </c>
      <c r="AI1365">
        <f>$C1365*AI1364</f>
        <v/>
      </c>
      <c r="AJ1365">
        <f>$C1365*AJ1364</f>
        <v/>
      </c>
      <c r="AK1365">
        <f>$C1365*AK1364</f>
        <v/>
      </c>
      <c r="AL1365">
        <f>$C1365*AL1364</f>
        <v/>
      </c>
      <c r="AM1365">
        <f>$C1365*AM1364</f>
        <v/>
      </c>
      <c r="AN1365">
        <f>$C1365*AN1364</f>
        <v/>
      </c>
      <c r="AO1365">
        <f>$C1365*AO1364</f>
        <v/>
      </c>
      <c r="AP1365">
        <f>$C1365*AP1364</f>
        <v/>
      </c>
      <c r="AQ1365">
        <f>$C1365*AQ1364</f>
        <v/>
      </c>
      <c r="AR1365">
        <f>$C1365*AR1364</f>
        <v/>
      </c>
      <c r="AS1365">
        <f>$C1365*AS1364</f>
        <v/>
      </c>
      <c r="AT1365">
        <f>$C1365*AT1364</f>
        <v/>
      </c>
      <c r="AU1365">
        <f>$C1365*AU1364</f>
        <v/>
      </c>
      <c r="AV1365">
        <f>$C1365*AV1364</f>
        <v/>
      </c>
      <c r="AW1365">
        <f>$C1365*AW1364</f>
        <v/>
      </c>
      <c r="AX1365">
        <f>$C1365*AX1364</f>
        <v/>
      </c>
      <c r="AY1365">
        <f>$C1365*AY1364</f>
        <v/>
      </c>
      <c r="AZ1365">
        <f>$C1365*AZ1364</f>
        <v/>
      </c>
      <c r="BA1365">
        <f>$C1365*BA1364</f>
        <v/>
      </c>
      <c r="BB1365">
        <f>$C1365*BB1364</f>
        <v/>
      </c>
      <c r="BC1365">
        <f>$C1365*BC1364</f>
        <v/>
      </c>
      <c r="BD1365">
        <f>$C1365*BD1364</f>
        <v/>
      </c>
      <c r="BE1365">
        <f>$C1365*BE1364</f>
        <v/>
      </c>
      <c r="BF1365">
        <f>$C1365*BF1364</f>
        <v/>
      </c>
      <c r="BG1365">
        <f>$C1365*BG1364</f>
        <v/>
      </c>
      <c r="BH1365">
        <f>$C1365*BH1364</f>
        <v/>
      </c>
      <c r="BI1365">
        <f>$C1365*BI1364</f>
        <v/>
      </c>
      <c r="BJ1365">
        <f>$C1365*BJ1364</f>
        <v/>
      </c>
      <c r="BK1365">
        <f>$C1365*BK1364</f>
        <v/>
      </c>
      <c r="BL1365">
        <f>$C1365*BL1364</f>
        <v/>
      </c>
      <c r="BM1365">
        <f>$C1365*BM1364</f>
        <v/>
      </c>
      <c r="BN1365">
        <f>$C1365*BN1364</f>
        <v/>
      </c>
      <c r="BO1365">
        <f>$C1365*BO1364</f>
        <v/>
      </c>
      <c r="BP1365">
        <f>$C1365*BP1364</f>
        <v/>
      </c>
      <c r="BQ1365">
        <f>$C1365*BQ1364</f>
        <v/>
      </c>
      <c r="BR1365">
        <f>$C1365*BR1364</f>
        <v/>
      </c>
      <c r="BS1365">
        <f>$C1365*BS1364</f>
        <v/>
      </c>
      <c r="BT1365">
        <f>$C1365*BT1364</f>
        <v/>
      </c>
      <c r="BU1365">
        <f>$C1365*BU1364</f>
        <v/>
      </c>
      <c r="BV1365">
        <f>$C1365*BV1364</f>
        <v/>
      </c>
      <c r="BW1365">
        <f>$C1365*BW1364</f>
        <v/>
      </c>
      <c r="BX1365">
        <f>$C1365*BX1364</f>
        <v/>
      </c>
      <c r="BY1365">
        <f>$C1365*BY1364</f>
        <v/>
      </c>
      <c r="BZ1365">
        <f>$C1365*BZ1364</f>
        <v/>
      </c>
      <c r="CA1365">
        <f>$C1365*CA1364</f>
        <v/>
      </c>
      <c r="CB1365">
        <f>$C1365*CB1364</f>
        <v/>
      </c>
      <c r="CC1365">
        <f>$C1365*CC1364</f>
        <v/>
      </c>
      <c r="CD1365">
        <f>$C1365*CD1364</f>
        <v/>
      </c>
      <c r="CE1365">
        <f>$C1365*CE1364</f>
        <v/>
      </c>
      <c r="CF1365">
        <f>$C1365*CF1364</f>
        <v/>
      </c>
      <c r="CG1365">
        <f>$C1365*CG1364</f>
        <v/>
      </c>
      <c r="CH1365">
        <f>$C1365*CH1364</f>
        <v/>
      </c>
      <c r="CI1365">
        <f>$C1365*CI1364</f>
        <v/>
      </c>
      <c r="CJ1365">
        <f>$C1365*CJ1364</f>
        <v/>
      </c>
      <c r="CK1365">
        <f>$C1365*CK1364</f>
        <v/>
      </c>
      <c r="CL1365">
        <f>$C1365*CL1364</f>
        <v/>
      </c>
      <c r="CM1365">
        <f>$C1365*CM1364</f>
        <v/>
      </c>
      <c r="CN1365">
        <f>$C1365*CN1364</f>
        <v/>
      </c>
      <c r="CO1365">
        <f>$C1365*CO1364</f>
        <v/>
      </c>
      <c r="CP1365">
        <f>$C1365*CP1364</f>
        <v/>
      </c>
      <c r="CQ1365">
        <f>$C1365*CQ1364</f>
        <v/>
      </c>
      <c r="CR1365">
        <f>$C1365*CR1364</f>
        <v/>
      </c>
      <c r="CS1365">
        <f>$C1365*CS1364</f>
        <v/>
      </c>
      <c r="CT1365">
        <f>$C1365*CT1364</f>
        <v/>
      </c>
      <c r="CU1365">
        <f>$C1365*CU1364</f>
        <v/>
      </c>
      <c r="CV1365">
        <f>$C1365*CV1364</f>
        <v/>
      </c>
      <c r="CW1365">
        <f>$C1365*CW1364</f>
        <v/>
      </c>
      <c r="CX1365">
        <f>$C1365*CX1364</f>
        <v/>
      </c>
      <c r="CY1365">
        <f>$C1365*CY1364</f>
        <v/>
      </c>
      <c r="CZ1365">
        <f>$C1365*CZ1364</f>
        <v/>
      </c>
      <c r="DA1365">
        <f>$C1365*DA1364</f>
        <v/>
      </c>
      <c r="DB1365">
        <f>$C1365*DB1364</f>
        <v/>
      </c>
      <c r="DC1365">
        <f>$C1365*DC1364</f>
        <v/>
      </c>
      <c r="DD1365">
        <f>$C1365*DD1364</f>
        <v/>
      </c>
    </row>
    <row r="1366">
      <c r="B1366" t="inlineStr">
        <is>
          <t>TSP-936</t>
        </is>
      </c>
      <c r="C1366" t="inlineStr">
        <is>
          <t>No. of batches</t>
        </is>
      </c>
      <c r="D1366">
        <f>IFERROR(INDEX(E1366:DD1366,$F$1),"")</f>
        <v/>
      </c>
      <c r="E1366">
        <f>IFERROR(INDEX(PP_Grid[#Data],$DE1366,2),0)</f>
        <v/>
      </c>
      <c r="F1366">
        <f>IFERROR(INDEX(PP_Grid[#Data],$DE1366,3),0)</f>
        <v/>
      </c>
      <c r="G1366">
        <f>IFERROR(INDEX(PP_Grid[#Data],$DE1366,4),0)</f>
        <v/>
      </c>
      <c r="H1366">
        <f>IFERROR(INDEX(PP_Grid[#Data],$DE1366,5),0)</f>
        <v/>
      </c>
      <c r="I1366">
        <f>IFERROR(INDEX(PP_Grid[#Data],$DE1366,6),0)</f>
        <v/>
      </c>
      <c r="J1366">
        <f>IFERROR(INDEX(PP_Grid[#Data],$DE1366,7),0)</f>
        <v/>
      </c>
      <c r="K1366">
        <f>IFERROR(INDEX(PP_Grid[#Data],$DE1366,8),0)</f>
        <v/>
      </c>
      <c r="L1366">
        <f>IFERROR(INDEX(PP_Grid[#Data],$DE1366,9),0)</f>
        <v/>
      </c>
      <c r="M1366">
        <f>IFERROR(INDEX(PP_Grid[#Data],$DE1366,10),0)</f>
        <v/>
      </c>
      <c r="N1366">
        <f>IFERROR(INDEX(PP_Grid[#Data],$DE1366,11),0)</f>
        <v/>
      </c>
      <c r="O1366">
        <f>IFERROR(INDEX(PP_Grid[#Data],$DE1366,12),0)</f>
        <v/>
      </c>
      <c r="P1366">
        <f>IFERROR(INDEX(PP_Grid[#Data],$DE1366,13),0)</f>
        <v/>
      </c>
      <c r="Q1366">
        <f>IFERROR(INDEX(PP_Grid[#Data],$DE1366,14),0)</f>
        <v/>
      </c>
      <c r="R1366">
        <f>IFERROR(INDEX(PP_Grid[#Data],$DE1366,15),0)</f>
        <v/>
      </c>
      <c r="S1366">
        <f>IFERROR(INDEX(PP_Grid[#Data],$DE1366,16),0)</f>
        <v/>
      </c>
      <c r="T1366">
        <f>IFERROR(INDEX(PP_Grid[#Data],$DE1366,17),0)</f>
        <v/>
      </c>
      <c r="U1366">
        <f>IFERROR(INDEX(PP_Grid[#Data],$DE1366,18),0)</f>
        <v/>
      </c>
      <c r="V1366">
        <f>IFERROR(INDEX(PP_Grid[#Data],$DE1366,19),0)</f>
        <v/>
      </c>
      <c r="W1366">
        <f>IFERROR(INDEX(PP_Grid[#Data],$DE1366,20),0)</f>
        <v/>
      </c>
      <c r="X1366">
        <f>IFERROR(INDEX(PP_Grid[#Data],$DE1366,21),0)</f>
        <v/>
      </c>
      <c r="Y1366">
        <f>IFERROR(INDEX(PP_Grid[#Data],$DE1366,22),0)</f>
        <v/>
      </c>
      <c r="Z1366">
        <f>IFERROR(INDEX(PP_Grid[#Data],$DE1366,23),0)</f>
        <v/>
      </c>
      <c r="AA1366">
        <f>IFERROR(INDEX(PP_Grid[#Data],$DE1366,24),0)</f>
        <v/>
      </c>
      <c r="AB1366">
        <f>IFERROR(INDEX(PP_Grid[#Data],$DE1366,25),0)</f>
        <v/>
      </c>
      <c r="AC1366">
        <f>IFERROR(INDEX(PP_Grid[#Data],$DE1366,26),0)</f>
        <v/>
      </c>
      <c r="AD1366">
        <f>IFERROR(INDEX(PP_Grid[#Data],$DE1366,27),0)</f>
        <v/>
      </c>
      <c r="AE1366">
        <f>IFERROR(INDEX(PP_Grid[#Data],$DE1366,28),0)</f>
        <v/>
      </c>
      <c r="AF1366">
        <f>IFERROR(INDEX(PP_Grid[#Data],$DE1366,29),0)</f>
        <v/>
      </c>
      <c r="AG1366">
        <f>IFERROR(INDEX(PP_Grid[#Data],$DE1366,30),0)</f>
        <v/>
      </c>
      <c r="AH1366">
        <f>IFERROR(INDEX(PP_Grid[#Data],$DE1366,31),0)</f>
        <v/>
      </c>
      <c r="AI1366">
        <f>IFERROR(INDEX(PP_Grid[#Data],$DE1366,32),0)</f>
        <v/>
      </c>
      <c r="AJ1366">
        <f>IFERROR(INDEX(PP_Grid[#Data],$DE1366,33),0)</f>
        <v/>
      </c>
      <c r="AK1366">
        <f>IFERROR(INDEX(PP_Grid[#Data],$DE1366,34),0)</f>
        <v/>
      </c>
      <c r="AL1366">
        <f>IFERROR(INDEX(PP_Grid[#Data],$DE1366,35),0)</f>
        <v/>
      </c>
      <c r="AM1366">
        <f>IFERROR(INDEX(PP_Grid[#Data],$DE1366,36),0)</f>
        <v/>
      </c>
      <c r="AN1366">
        <f>IFERROR(INDEX(PP_Grid[#Data],$DE1366,37),0)</f>
        <v/>
      </c>
      <c r="AO1366">
        <f>IFERROR(INDEX(PP_Grid[#Data],$DE1366,38),0)</f>
        <v/>
      </c>
      <c r="AP1366">
        <f>IFERROR(INDEX(PP_Grid[#Data],$DE1366,39),0)</f>
        <v/>
      </c>
      <c r="AQ1366">
        <f>IFERROR(INDEX(PP_Grid[#Data],$DE1366,40),0)</f>
        <v/>
      </c>
      <c r="AR1366">
        <f>IFERROR(INDEX(PP_Grid[#Data],$DE1366,41),0)</f>
        <v/>
      </c>
      <c r="AS1366">
        <f>IFERROR(INDEX(PP_Grid[#Data],$DE1366,42),0)</f>
        <v/>
      </c>
      <c r="AT1366">
        <f>IFERROR(INDEX(PP_Grid[#Data],$DE1366,43),0)</f>
        <v/>
      </c>
      <c r="AU1366">
        <f>IFERROR(INDEX(PP_Grid[#Data],$DE1366,44),0)</f>
        <v/>
      </c>
      <c r="AV1366">
        <f>IFERROR(INDEX(PP_Grid[#Data],$DE1366,45),0)</f>
        <v/>
      </c>
      <c r="AW1366">
        <f>IFERROR(INDEX(PP_Grid[#Data],$DE1366,46),0)</f>
        <v/>
      </c>
      <c r="AX1366">
        <f>IFERROR(INDEX(PP_Grid[#Data],$DE1366,47),0)</f>
        <v/>
      </c>
      <c r="AY1366">
        <f>IFERROR(INDEX(PP_Grid[#Data],$DE1366,48),0)</f>
        <v/>
      </c>
      <c r="AZ1366">
        <f>IFERROR(INDEX(PP_Grid[#Data],$DE1366,49),0)</f>
        <v/>
      </c>
      <c r="BA1366">
        <f>IFERROR(INDEX(PP_Grid[#Data],$DE1366,50),0)</f>
        <v/>
      </c>
      <c r="BB1366">
        <f>IFERROR(INDEX(PP_Grid[#Data],$DE1366,51),0)</f>
        <v/>
      </c>
      <c r="BC1366">
        <f>IFERROR(INDEX(PP_Grid[#Data],$DE1366,52),0)</f>
        <v/>
      </c>
      <c r="BD1366">
        <f>IFERROR(INDEX(PP_Grid[#Data],$DE1366,53),0)</f>
        <v/>
      </c>
      <c r="BE1366">
        <f>IFERROR(INDEX(PP_Grid[#Data],$DE1366,54),0)</f>
        <v/>
      </c>
      <c r="BF1366">
        <f>IFERROR(INDEX(PP_Grid[#Data],$DE1366,55),0)</f>
        <v/>
      </c>
      <c r="BG1366">
        <f>IFERROR(INDEX(PP_Grid[#Data],$DE1366,56),0)</f>
        <v/>
      </c>
      <c r="BH1366">
        <f>IFERROR(INDEX(PP_Grid[#Data],$DE1366,57),0)</f>
        <v/>
      </c>
      <c r="BI1366">
        <f>IFERROR(INDEX(PP_Grid[#Data],$DE1366,58),0)</f>
        <v/>
      </c>
      <c r="BJ1366">
        <f>IFERROR(INDEX(PP_Grid[#Data],$DE1366,59),0)</f>
        <v/>
      </c>
      <c r="BK1366">
        <f>IFERROR(INDEX(PP_Grid[#Data],$DE1366,60),0)</f>
        <v/>
      </c>
      <c r="BL1366">
        <f>IFERROR(INDEX(PP_Grid[#Data],$DE1366,61),0)</f>
        <v/>
      </c>
      <c r="BM1366">
        <f>IFERROR(INDEX(PP_Grid[#Data],$DE1366,62),0)</f>
        <v/>
      </c>
      <c r="BN1366">
        <f>IFERROR(INDEX(PP_Grid[#Data],$DE1366,63),0)</f>
        <v/>
      </c>
      <c r="BO1366">
        <f>IFERROR(INDEX(PP_Grid[#Data],$DE1366,64),0)</f>
        <v/>
      </c>
      <c r="BP1366">
        <f>IFERROR(INDEX(PP_Grid[#Data],$DE1366,65),0)</f>
        <v/>
      </c>
      <c r="BQ1366">
        <f>IFERROR(INDEX(PP_Grid[#Data],$DE1366,66),0)</f>
        <v/>
      </c>
      <c r="BR1366">
        <f>IFERROR(INDEX(PP_Grid[#Data],$DE1366,67),0)</f>
        <v/>
      </c>
      <c r="BS1366">
        <f>IFERROR(INDEX(PP_Grid[#Data],$DE1366,68),0)</f>
        <v/>
      </c>
      <c r="BT1366">
        <f>IFERROR(INDEX(PP_Grid[#Data],$DE1366,69),0)</f>
        <v/>
      </c>
      <c r="BU1366">
        <f>IFERROR(INDEX(PP_Grid[#Data],$DE1366,70),0)</f>
        <v/>
      </c>
      <c r="BV1366">
        <f>IFERROR(INDEX(PP_Grid[#Data],$DE1366,71),0)</f>
        <v/>
      </c>
      <c r="BW1366">
        <f>IFERROR(INDEX(PP_Grid[#Data],$DE1366,72),0)</f>
        <v/>
      </c>
      <c r="BX1366">
        <f>IFERROR(INDEX(PP_Grid[#Data],$DE1366,73),0)</f>
        <v/>
      </c>
      <c r="BY1366">
        <f>IFERROR(INDEX(PP_Grid[#Data],$DE1366,74),0)</f>
        <v/>
      </c>
      <c r="BZ1366">
        <f>IFERROR(INDEX(PP_Grid[#Data],$DE1366,75),0)</f>
        <v/>
      </c>
      <c r="CA1366">
        <f>IFERROR(INDEX(PP_Grid[#Data],$DE1366,76),0)</f>
        <v/>
      </c>
      <c r="CB1366">
        <f>IFERROR(INDEX(PP_Grid[#Data],$DE1366,77),0)</f>
        <v/>
      </c>
      <c r="CC1366">
        <f>IFERROR(INDEX(PP_Grid[#Data],$DE1366,78),0)</f>
        <v/>
      </c>
      <c r="CD1366">
        <f>IFERROR(INDEX(PP_Grid[#Data],$DE1366,79),0)</f>
        <v/>
      </c>
      <c r="CE1366">
        <f>IFERROR(INDEX(PP_Grid[#Data],$DE1366,80),0)</f>
        <v/>
      </c>
      <c r="CF1366">
        <f>IFERROR(INDEX(PP_Grid[#Data],$DE1366,81),0)</f>
        <v/>
      </c>
      <c r="CG1366">
        <f>IFERROR(INDEX(PP_Grid[#Data],$DE1366,82),0)</f>
        <v/>
      </c>
      <c r="CH1366">
        <f>IFERROR(INDEX(PP_Grid[#Data],$DE1366,83),0)</f>
        <v/>
      </c>
      <c r="CI1366">
        <f>IFERROR(INDEX(PP_Grid[#Data],$DE1366,84),0)</f>
        <v/>
      </c>
      <c r="CJ1366">
        <f>IFERROR(INDEX(PP_Grid[#Data],$DE1366,85),0)</f>
        <v/>
      </c>
      <c r="CK1366">
        <f>IFERROR(INDEX(PP_Grid[#Data],$DE1366,86),0)</f>
        <v/>
      </c>
      <c r="CL1366">
        <f>IFERROR(INDEX(PP_Grid[#Data],$DE1366,87),0)</f>
        <v/>
      </c>
      <c r="CM1366">
        <f>IFERROR(INDEX(PP_Grid[#Data],$DE1366,88),0)</f>
        <v/>
      </c>
      <c r="CN1366">
        <f>IFERROR(INDEX(PP_Grid[#Data],$DE1366,89),0)</f>
        <v/>
      </c>
      <c r="CO1366">
        <f>IFERROR(INDEX(PP_Grid[#Data],$DE1366,90),0)</f>
        <v/>
      </c>
      <c r="CP1366">
        <f>IFERROR(INDEX(PP_Grid[#Data],$DE1366,91),0)</f>
        <v/>
      </c>
      <c r="CQ1366">
        <f>IFERROR(INDEX(PP_Grid[#Data],$DE1366,92),0)</f>
        <v/>
      </c>
      <c r="CR1366">
        <f>IFERROR(INDEX(PP_Grid[#Data],$DE1366,93),0)</f>
        <v/>
      </c>
      <c r="CS1366">
        <f>IFERROR(INDEX(PP_Grid[#Data],$DE1366,94),0)</f>
        <v/>
      </c>
      <c r="CT1366">
        <f>IFERROR(INDEX(PP_Grid[#Data],$DE1366,95),0)</f>
        <v/>
      </c>
      <c r="CU1366">
        <f>IFERROR(INDEX(PP_Grid[#Data],$DE1366,96),0)</f>
        <v/>
      </c>
      <c r="CV1366">
        <f>IFERROR(INDEX(PP_Grid[#Data],$DE1366,97),0)</f>
        <v/>
      </c>
      <c r="CW1366">
        <f>IFERROR(INDEX(PP_Grid[#Data],$DE1366,98),0)</f>
        <v/>
      </c>
      <c r="CX1366">
        <f>IFERROR(INDEX(PP_Grid[#Data],$DE1366,99),0)</f>
        <v/>
      </c>
      <c r="CY1366">
        <f>IFERROR(INDEX(PP_Grid[#Data],$DE1366,100),0)</f>
        <v/>
      </c>
      <c r="CZ1366">
        <f>IFERROR(INDEX(PP_Grid[#Data],$DE1366,101),0)</f>
        <v/>
      </c>
      <c r="DA1366">
        <f>IFERROR(INDEX(PP_Grid[#Data],$DE1366,102),0)</f>
        <v/>
      </c>
      <c r="DB1366">
        <f>IFERROR(INDEX(PP_Grid[#Data],$DE1366,103),0)</f>
        <v/>
      </c>
      <c r="DC1366">
        <f>IFERROR(INDEX(PP_Grid[#Data],$DE1366,104),0)</f>
        <v/>
      </c>
      <c r="DD1366">
        <f>IFERROR(INDEX(PP_Grid[#Data],$DE1366,105),0)</f>
        <v/>
      </c>
      <c r="DE1366" s="7">
        <f>IFERROR(MATCH($B1366,PP_Grid[Intermediate],0),99999)</f>
        <v/>
      </c>
    </row>
    <row r="1367">
      <c r="B1367" t="inlineStr">
        <is>
          <t>使用量(kg)</t>
        </is>
      </c>
      <c r="C1367">
        <f>SUMIFS(M_BOM[RM_Qty_Per_Batch],M_BOM[Intermediate],$B1366,M_BOM[RM_Code],$A1349)</f>
        <v/>
      </c>
      <c r="D1367">
        <f>IFERROR(INDEX(E1367:DD1367,$F$1),"")</f>
        <v/>
      </c>
      <c r="E1367">
        <f>$C1367*E1366</f>
        <v/>
      </c>
      <c r="F1367">
        <f>$C1367*F1366</f>
        <v/>
      </c>
      <c r="G1367">
        <f>$C1367*G1366</f>
        <v/>
      </c>
      <c r="H1367">
        <f>$C1367*H1366</f>
        <v/>
      </c>
      <c r="I1367">
        <f>$C1367*I1366</f>
        <v/>
      </c>
      <c r="J1367">
        <f>$C1367*J1366</f>
        <v/>
      </c>
      <c r="K1367">
        <f>$C1367*K1366</f>
        <v/>
      </c>
      <c r="L1367">
        <f>$C1367*L1366</f>
        <v/>
      </c>
      <c r="M1367">
        <f>$C1367*M1366</f>
        <v/>
      </c>
      <c r="N1367">
        <f>$C1367*N1366</f>
        <v/>
      </c>
      <c r="O1367">
        <f>$C1367*O1366</f>
        <v/>
      </c>
      <c r="P1367">
        <f>$C1367*P1366</f>
        <v/>
      </c>
      <c r="Q1367">
        <f>$C1367*Q1366</f>
        <v/>
      </c>
      <c r="R1367">
        <f>$C1367*R1366</f>
        <v/>
      </c>
      <c r="S1367">
        <f>$C1367*S1366</f>
        <v/>
      </c>
      <c r="T1367">
        <f>$C1367*T1366</f>
        <v/>
      </c>
      <c r="U1367">
        <f>$C1367*U1366</f>
        <v/>
      </c>
      <c r="V1367">
        <f>$C1367*V1366</f>
        <v/>
      </c>
      <c r="W1367">
        <f>$C1367*W1366</f>
        <v/>
      </c>
      <c r="X1367">
        <f>$C1367*X1366</f>
        <v/>
      </c>
      <c r="Y1367">
        <f>$C1367*Y1366</f>
        <v/>
      </c>
      <c r="Z1367">
        <f>$C1367*Z1366</f>
        <v/>
      </c>
      <c r="AA1367">
        <f>$C1367*AA1366</f>
        <v/>
      </c>
      <c r="AB1367">
        <f>$C1367*AB1366</f>
        <v/>
      </c>
      <c r="AC1367">
        <f>$C1367*AC1366</f>
        <v/>
      </c>
      <c r="AD1367">
        <f>$C1367*AD1366</f>
        <v/>
      </c>
      <c r="AE1367">
        <f>$C1367*AE1366</f>
        <v/>
      </c>
      <c r="AF1367">
        <f>$C1367*AF1366</f>
        <v/>
      </c>
      <c r="AG1367">
        <f>$C1367*AG1366</f>
        <v/>
      </c>
      <c r="AH1367">
        <f>$C1367*AH1366</f>
        <v/>
      </c>
      <c r="AI1367">
        <f>$C1367*AI1366</f>
        <v/>
      </c>
      <c r="AJ1367">
        <f>$C1367*AJ1366</f>
        <v/>
      </c>
      <c r="AK1367">
        <f>$C1367*AK1366</f>
        <v/>
      </c>
      <c r="AL1367">
        <f>$C1367*AL1366</f>
        <v/>
      </c>
      <c r="AM1367">
        <f>$C1367*AM1366</f>
        <v/>
      </c>
      <c r="AN1367">
        <f>$C1367*AN1366</f>
        <v/>
      </c>
      <c r="AO1367">
        <f>$C1367*AO1366</f>
        <v/>
      </c>
      <c r="AP1367">
        <f>$C1367*AP1366</f>
        <v/>
      </c>
      <c r="AQ1367">
        <f>$C1367*AQ1366</f>
        <v/>
      </c>
      <c r="AR1367">
        <f>$C1367*AR1366</f>
        <v/>
      </c>
      <c r="AS1367">
        <f>$C1367*AS1366</f>
        <v/>
      </c>
      <c r="AT1367">
        <f>$C1367*AT1366</f>
        <v/>
      </c>
      <c r="AU1367">
        <f>$C1367*AU1366</f>
        <v/>
      </c>
      <c r="AV1367">
        <f>$C1367*AV1366</f>
        <v/>
      </c>
      <c r="AW1367">
        <f>$C1367*AW1366</f>
        <v/>
      </c>
      <c r="AX1367">
        <f>$C1367*AX1366</f>
        <v/>
      </c>
      <c r="AY1367">
        <f>$C1367*AY1366</f>
        <v/>
      </c>
      <c r="AZ1367">
        <f>$C1367*AZ1366</f>
        <v/>
      </c>
      <c r="BA1367">
        <f>$C1367*BA1366</f>
        <v/>
      </c>
      <c r="BB1367">
        <f>$C1367*BB1366</f>
        <v/>
      </c>
      <c r="BC1367">
        <f>$C1367*BC1366</f>
        <v/>
      </c>
      <c r="BD1367">
        <f>$C1367*BD1366</f>
        <v/>
      </c>
      <c r="BE1367">
        <f>$C1367*BE1366</f>
        <v/>
      </c>
      <c r="BF1367">
        <f>$C1367*BF1366</f>
        <v/>
      </c>
      <c r="BG1367">
        <f>$C1367*BG1366</f>
        <v/>
      </c>
      <c r="BH1367">
        <f>$C1367*BH1366</f>
        <v/>
      </c>
      <c r="BI1367">
        <f>$C1367*BI1366</f>
        <v/>
      </c>
      <c r="BJ1367">
        <f>$C1367*BJ1366</f>
        <v/>
      </c>
      <c r="BK1367">
        <f>$C1367*BK1366</f>
        <v/>
      </c>
      <c r="BL1367">
        <f>$C1367*BL1366</f>
        <v/>
      </c>
      <c r="BM1367">
        <f>$C1367*BM1366</f>
        <v/>
      </c>
      <c r="BN1367">
        <f>$C1367*BN1366</f>
        <v/>
      </c>
      <c r="BO1367">
        <f>$C1367*BO1366</f>
        <v/>
      </c>
      <c r="BP1367">
        <f>$C1367*BP1366</f>
        <v/>
      </c>
      <c r="BQ1367">
        <f>$C1367*BQ1366</f>
        <v/>
      </c>
      <c r="BR1367">
        <f>$C1367*BR1366</f>
        <v/>
      </c>
      <c r="BS1367">
        <f>$C1367*BS1366</f>
        <v/>
      </c>
      <c r="BT1367">
        <f>$C1367*BT1366</f>
        <v/>
      </c>
      <c r="BU1367">
        <f>$C1367*BU1366</f>
        <v/>
      </c>
      <c r="BV1367">
        <f>$C1367*BV1366</f>
        <v/>
      </c>
      <c r="BW1367">
        <f>$C1367*BW1366</f>
        <v/>
      </c>
      <c r="BX1367">
        <f>$C1367*BX1366</f>
        <v/>
      </c>
      <c r="BY1367">
        <f>$C1367*BY1366</f>
        <v/>
      </c>
      <c r="BZ1367">
        <f>$C1367*BZ1366</f>
        <v/>
      </c>
      <c r="CA1367">
        <f>$C1367*CA1366</f>
        <v/>
      </c>
      <c r="CB1367">
        <f>$C1367*CB1366</f>
        <v/>
      </c>
      <c r="CC1367">
        <f>$C1367*CC1366</f>
        <v/>
      </c>
      <c r="CD1367">
        <f>$C1367*CD1366</f>
        <v/>
      </c>
      <c r="CE1367">
        <f>$C1367*CE1366</f>
        <v/>
      </c>
      <c r="CF1367">
        <f>$C1367*CF1366</f>
        <v/>
      </c>
      <c r="CG1367">
        <f>$C1367*CG1366</f>
        <v/>
      </c>
      <c r="CH1367">
        <f>$C1367*CH1366</f>
        <v/>
      </c>
      <c r="CI1367">
        <f>$C1367*CI1366</f>
        <v/>
      </c>
      <c r="CJ1367">
        <f>$C1367*CJ1366</f>
        <v/>
      </c>
      <c r="CK1367">
        <f>$C1367*CK1366</f>
        <v/>
      </c>
      <c r="CL1367">
        <f>$C1367*CL1366</f>
        <v/>
      </c>
      <c r="CM1367">
        <f>$C1367*CM1366</f>
        <v/>
      </c>
      <c r="CN1367">
        <f>$C1367*CN1366</f>
        <v/>
      </c>
      <c r="CO1367">
        <f>$C1367*CO1366</f>
        <v/>
      </c>
      <c r="CP1367">
        <f>$C1367*CP1366</f>
        <v/>
      </c>
      <c r="CQ1367">
        <f>$C1367*CQ1366</f>
        <v/>
      </c>
      <c r="CR1367">
        <f>$C1367*CR1366</f>
        <v/>
      </c>
      <c r="CS1367">
        <f>$C1367*CS1366</f>
        <v/>
      </c>
      <c r="CT1367">
        <f>$C1367*CT1366</f>
        <v/>
      </c>
      <c r="CU1367">
        <f>$C1367*CU1366</f>
        <v/>
      </c>
      <c r="CV1367">
        <f>$C1367*CV1366</f>
        <v/>
      </c>
      <c r="CW1367">
        <f>$C1367*CW1366</f>
        <v/>
      </c>
      <c r="CX1367">
        <f>$C1367*CX1366</f>
        <v/>
      </c>
      <c r="CY1367">
        <f>$C1367*CY1366</f>
        <v/>
      </c>
      <c r="CZ1367">
        <f>$C1367*CZ1366</f>
        <v/>
      </c>
      <c r="DA1367">
        <f>$C1367*DA1366</f>
        <v/>
      </c>
      <c r="DB1367">
        <f>$C1367*DB1366</f>
        <v/>
      </c>
      <c r="DC1367">
        <f>$C1367*DC1366</f>
        <v/>
      </c>
      <c r="DD1367">
        <f>$C1367*DD1366</f>
        <v/>
      </c>
    </row>
    <row r="1368">
      <c r="B1368" t="inlineStr">
        <is>
          <t>TSP-937</t>
        </is>
      </c>
      <c r="C1368" t="inlineStr">
        <is>
          <t>No. of batches</t>
        </is>
      </c>
      <c r="D1368">
        <f>IFERROR(INDEX(E1368:DD1368,$F$1),"")</f>
        <v/>
      </c>
      <c r="E1368">
        <f>IFERROR(INDEX(PP_Grid[#Data],$DE1368,2),0)</f>
        <v/>
      </c>
      <c r="F1368">
        <f>IFERROR(INDEX(PP_Grid[#Data],$DE1368,3),0)</f>
        <v/>
      </c>
      <c r="G1368">
        <f>IFERROR(INDEX(PP_Grid[#Data],$DE1368,4),0)</f>
        <v/>
      </c>
      <c r="H1368">
        <f>IFERROR(INDEX(PP_Grid[#Data],$DE1368,5),0)</f>
        <v/>
      </c>
      <c r="I1368">
        <f>IFERROR(INDEX(PP_Grid[#Data],$DE1368,6),0)</f>
        <v/>
      </c>
      <c r="J1368">
        <f>IFERROR(INDEX(PP_Grid[#Data],$DE1368,7),0)</f>
        <v/>
      </c>
      <c r="K1368">
        <f>IFERROR(INDEX(PP_Grid[#Data],$DE1368,8),0)</f>
        <v/>
      </c>
      <c r="L1368">
        <f>IFERROR(INDEX(PP_Grid[#Data],$DE1368,9),0)</f>
        <v/>
      </c>
      <c r="M1368">
        <f>IFERROR(INDEX(PP_Grid[#Data],$DE1368,10),0)</f>
        <v/>
      </c>
      <c r="N1368">
        <f>IFERROR(INDEX(PP_Grid[#Data],$DE1368,11),0)</f>
        <v/>
      </c>
      <c r="O1368">
        <f>IFERROR(INDEX(PP_Grid[#Data],$DE1368,12),0)</f>
        <v/>
      </c>
      <c r="P1368">
        <f>IFERROR(INDEX(PP_Grid[#Data],$DE1368,13),0)</f>
        <v/>
      </c>
      <c r="Q1368">
        <f>IFERROR(INDEX(PP_Grid[#Data],$DE1368,14),0)</f>
        <v/>
      </c>
      <c r="R1368">
        <f>IFERROR(INDEX(PP_Grid[#Data],$DE1368,15),0)</f>
        <v/>
      </c>
      <c r="S1368">
        <f>IFERROR(INDEX(PP_Grid[#Data],$DE1368,16),0)</f>
        <v/>
      </c>
      <c r="T1368">
        <f>IFERROR(INDEX(PP_Grid[#Data],$DE1368,17),0)</f>
        <v/>
      </c>
      <c r="U1368">
        <f>IFERROR(INDEX(PP_Grid[#Data],$DE1368,18),0)</f>
        <v/>
      </c>
      <c r="V1368">
        <f>IFERROR(INDEX(PP_Grid[#Data],$DE1368,19),0)</f>
        <v/>
      </c>
      <c r="W1368">
        <f>IFERROR(INDEX(PP_Grid[#Data],$DE1368,20),0)</f>
        <v/>
      </c>
      <c r="X1368">
        <f>IFERROR(INDEX(PP_Grid[#Data],$DE1368,21),0)</f>
        <v/>
      </c>
      <c r="Y1368">
        <f>IFERROR(INDEX(PP_Grid[#Data],$DE1368,22),0)</f>
        <v/>
      </c>
      <c r="Z1368">
        <f>IFERROR(INDEX(PP_Grid[#Data],$DE1368,23),0)</f>
        <v/>
      </c>
      <c r="AA1368">
        <f>IFERROR(INDEX(PP_Grid[#Data],$DE1368,24),0)</f>
        <v/>
      </c>
      <c r="AB1368">
        <f>IFERROR(INDEX(PP_Grid[#Data],$DE1368,25),0)</f>
        <v/>
      </c>
      <c r="AC1368">
        <f>IFERROR(INDEX(PP_Grid[#Data],$DE1368,26),0)</f>
        <v/>
      </c>
      <c r="AD1368">
        <f>IFERROR(INDEX(PP_Grid[#Data],$DE1368,27),0)</f>
        <v/>
      </c>
      <c r="AE1368">
        <f>IFERROR(INDEX(PP_Grid[#Data],$DE1368,28),0)</f>
        <v/>
      </c>
      <c r="AF1368">
        <f>IFERROR(INDEX(PP_Grid[#Data],$DE1368,29),0)</f>
        <v/>
      </c>
      <c r="AG1368">
        <f>IFERROR(INDEX(PP_Grid[#Data],$DE1368,30),0)</f>
        <v/>
      </c>
      <c r="AH1368">
        <f>IFERROR(INDEX(PP_Grid[#Data],$DE1368,31),0)</f>
        <v/>
      </c>
      <c r="AI1368">
        <f>IFERROR(INDEX(PP_Grid[#Data],$DE1368,32),0)</f>
        <v/>
      </c>
      <c r="AJ1368">
        <f>IFERROR(INDEX(PP_Grid[#Data],$DE1368,33),0)</f>
        <v/>
      </c>
      <c r="AK1368">
        <f>IFERROR(INDEX(PP_Grid[#Data],$DE1368,34),0)</f>
        <v/>
      </c>
      <c r="AL1368">
        <f>IFERROR(INDEX(PP_Grid[#Data],$DE1368,35),0)</f>
        <v/>
      </c>
      <c r="AM1368">
        <f>IFERROR(INDEX(PP_Grid[#Data],$DE1368,36),0)</f>
        <v/>
      </c>
      <c r="AN1368">
        <f>IFERROR(INDEX(PP_Grid[#Data],$DE1368,37),0)</f>
        <v/>
      </c>
      <c r="AO1368">
        <f>IFERROR(INDEX(PP_Grid[#Data],$DE1368,38),0)</f>
        <v/>
      </c>
      <c r="AP1368">
        <f>IFERROR(INDEX(PP_Grid[#Data],$DE1368,39),0)</f>
        <v/>
      </c>
      <c r="AQ1368">
        <f>IFERROR(INDEX(PP_Grid[#Data],$DE1368,40),0)</f>
        <v/>
      </c>
      <c r="AR1368">
        <f>IFERROR(INDEX(PP_Grid[#Data],$DE1368,41),0)</f>
        <v/>
      </c>
      <c r="AS1368">
        <f>IFERROR(INDEX(PP_Grid[#Data],$DE1368,42),0)</f>
        <v/>
      </c>
      <c r="AT1368">
        <f>IFERROR(INDEX(PP_Grid[#Data],$DE1368,43),0)</f>
        <v/>
      </c>
      <c r="AU1368">
        <f>IFERROR(INDEX(PP_Grid[#Data],$DE1368,44),0)</f>
        <v/>
      </c>
      <c r="AV1368">
        <f>IFERROR(INDEX(PP_Grid[#Data],$DE1368,45),0)</f>
        <v/>
      </c>
      <c r="AW1368">
        <f>IFERROR(INDEX(PP_Grid[#Data],$DE1368,46),0)</f>
        <v/>
      </c>
      <c r="AX1368">
        <f>IFERROR(INDEX(PP_Grid[#Data],$DE1368,47),0)</f>
        <v/>
      </c>
      <c r="AY1368">
        <f>IFERROR(INDEX(PP_Grid[#Data],$DE1368,48),0)</f>
        <v/>
      </c>
      <c r="AZ1368">
        <f>IFERROR(INDEX(PP_Grid[#Data],$DE1368,49),0)</f>
        <v/>
      </c>
      <c r="BA1368">
        <f>IFERROR(INDEX(PP_Grid[#Data],$DE1368,50),0)</f>
        <v/>
      </c>
      <c r="BB1368">
        <f>IFERROR(INDEX(PP_Grid[#Data],$DE1368,51),0)</f>
        <v/>
      </c>
      <c r="BC1368">
        <f>IFERROR(INDEX(PP_Grid[#Data],$DE1368,52),0)</f>
        <v/>
      </c>
      <c r="BD1368">
        <f>IFERROR(INDEX(PP_Grid[#Data],$DE1368,53),0)</f>
        <v/>
      </c>
      <c r="BE1368">
        <f>IFERROR(INDEX(PP_Grid[#Data],$DE1368,54),0)</f>
        <v/>
      </c>
      <c r="BF1368">
        <f>IFERROR(INDEX(PP_Grid[#Data],$DE1368,55),0)</f>
        <v/>
      </c>
      <c r="BG1368">
        <f>IFERROR(INDEX(PP_Grid[#Data],$DE1368,56),0)</f>
        <v/>
      </c>
      <c r="BH1368">
        <f>IFERROR(INDEX(PP_Grid[#Data],$DE1368,57),0)</f>
        <v/>
      </c>
      <c r="BI1368">
        <f>IFERROR(INDEX(PP_Grid[#Data],$DE1368,58),0)</f>
        <v/>
      </c>
      <c r="BJ1368">
        <f>IFERROR(INDEX(PP_Grid[#Data],$DE1368,59),0)</f>
        <v/>
      </c>
      <c r="BK1368">
        <f>IFERROR(INDEX(PP_Grid[#Data],$DE1368,60),0)</f>
        <v/>
      </c>
      <c r="BL1368">
        <f>IFERROR(INDEX(PP_Grid[#Data],$DE1368,61),0)</f>
        <v/>
      </c>
      <c r="BM1368">
        <f>IFERROR(INDEX(PP_Grid[#Data],$DE1368,62),0)</f>
        <v/>
      </c>
      <c r="BN1368">
        <f>IFERROR(INDEX(PP_Grid[#Data],$DE1368,63),0)</f>
        <v/>
      </c>
      <c r="BO1368">
        <f>IFERROR(INDEX(PP_Grid[#Data],$DE1368,64),0)</f>
        <v/>
      </c>
      <c r="BP1368">
        <f>IFERROR(INDEX(PP_Grid[#Data],$DE1368,65),0)</f>
        <v/>
      </c>
      <c r="BQ1368">
        <f>IFERROR(INDEX(PP_Grid[#Data],$DE1368,66),0)</f>
        <v/>
      </c>
      <c r="BR1368">
        <f>IFERROR(INDEX(PP_Grid[#Data],$DE1368,67),0)</f>
        <v/>
      </c>
      <c r="BS1368">
        <f>IFERROR(INDEX(PP_Grid[#Data],$DE1368,68),0)</f>
        <v/>
      </c>
      <c r="BT1368">
        <f>IFERROR(INDEX(PP_Grid[#Data],$DE1368,69),0)</f>
        <v/>
      </c>
      <c r="BU1368">
        <f>IFERROR(INDEX(PP_Grid[#Data],$DE1368,70),0)</f>
        <v/>
      </c>
      <c r="BV1368">
        <f>IFERROR(INDEX(PP_Grid[#Data],$DE1368,71),0)</f>
        <v/>
      </c>
      <c r="BW1368">
        <f>IFERROR(INDEX(PP_Grid[#Data],$DE1368,72),0)</f>
        <v/>
      </c>
      <c r="BX1368">
        <f>IFERROR(INDEX(PP_Grid[#Data],$DE1368,73),0)</f>
        <v/>
      </c>
      <c r="BY1368">
        <f>IFERROR(INDEX(PP_Grid[#Data],$DE1368,74),0)</f>
        <v/>
      </c>
      <c r="BZ1368">
        <f>IFERROR(INDEX(PP_Grid[#Data],$DE1368,75),0)</f>
        <v/>
      </c>
      <c r="CA1368">
        <f>IFERROR(INDEX(PP_Grid[#Data],$DE1368,76),0)</f>
        <v/>
      </c>
      <c r="CB1368">
        <f>IFERROR(INDEX(PP_Grid[#Data],$DE1368,77),0)</f>
        <v/>
      </c>
      <c r="CC1368">
        <f>IFERROR(INDEX(PP_Grid[#Data],$DE1368,78),0)</f>
        <v/>
      </c>
      <c r="CD1368">
        <f>IFERROR(INDEX(PP_Grid[#Data],$DE1368,79),0)</f>
        <v/>
      </c>
      <c r="CE1368">
        <f>IFERROR(INDEX(PP_Grid[#Data],$DE1368,80),0)</f>
        <v/>
      </c>
      <c r="CF1368">
        <f>IFERROR(INDEX(PP_Grid[#Data],$DE1368,81),0)</f>
        <v/>
      </c>
      <c r="CG1368">
        <f>IFERROR(INDEX(PP_Grid[#Data],$DE1368,82),0)</f>
        <v/>
      </c>
      <c r="CH1368">
        <f>IFERROR(INDEX(PP_Grid[#Data],$DE1368,83),0)</f>
        <v/>
      </c>
      <c r="CI1368">
        <f>IFERROR(INDEX(PP_Grid[#Data],$DE1368,84),0)</f>
        <v/>
      </c>
      <c r="CJ1368">
        <f>IFERROR(INDEX(PP_Grid[#Data],$DE1368,85),0)</f>
        <v/>
      </c>
      <c r="CK1368">
        <f>IFERROR(INDEX(PP_Grid[#Data],$DE1368,86),0)</f>
        <v/>
      </c>
      <c r="CL1368">
        <f>IFERROR(INDEX(PP_Grid[#Data],$DE1368,87),0)</f>
        <v/>
      </c>
      <c r="CM1368">
        <f>IFERROR(INDEX(PP_Grid[#Data],$DE1368,88),0)</f>
        <v/>
      </c>
      <c r="CN1368">
        <f>IFERROR(INDEX(PP_Grid[#Data],$DE1368,89),0)</f>
        <v/>
      </c>
      <c r="CO1368">
        <f>IFERROR(INDEX(PP_Grid[#Data],$DE1368,90),0)</f>
        <v/>
      </c>
      <c r="CP1368">
        <f>IFERROR(INDEX(PP_Grid[#Data],$DE1368,91),0)</f>
        <v/>
      </c>
      <c r="CQ1368">
        <f>IFERROR(INDEX(PP_Grid[#Data],$DE1368,92),0)</f>
        <v/>
      </c>
      <c r="CR1368">
        <f>IFERROR(INDEX(PP_Grid[#Data],$DE1368,93),0)</f>
        <v/>
      </c>
      <c r="CS1368">
        <f>IFERROR(INDEX(PP_Grid[#Data],$DE1368,94),0)</f>
        <v/>
      </c>
      <c r="CT1368">
        <f>IFERROR(INDEX(PP_Grid[#Data],$DE1368,95),0)</f>
        <v/>
      </c>
      <c r="CU1368">
        <f>IFERROR(INDEX(PP_Grid[#Data],$DE1368,96),0)</f>
        <v/>
      </c>
      <c r="CV1368">
        <f>IFERROR(INDEX(PP_Grid[#Data],$DE1368,97),0)</f>
        <v/>
      </c>
      <c r="CW1368">
        <f>IFERROR(INDEX(PP_Grid[#Data],$DE1368,98),0)</f>
        <v/>
      </c>
      <c r="CX1368">
        <f>IFERROR(INDEX(PP_Grid[#Data],$DE1368,99),0)</f>
        <v/>
      </c>
      <c r="CY1368">
        <f>IFERROR(INDEX(PP_Grid[#Data],$DE1368,100),0)</f>
        <v/>
      </c>
      <c r="CZ1368">
        <f>IFERROR(INDEX(PP_Grid[#Data],$DE1368,101),0)</f>
        <v/>
      </c>
      <c r="DA1368">
        <f>IFERROR(INDEX(PP_Grid[#Data],$DE1368,102),0)</f>
        <v/>
      </c>
      <c r="DB1368">
        <f>IFERROR(INDEX(PP_Grid[#Data],$DE1368,103),0)</f>
        <v/>
      </c>
      <c r="DC1368">
        <f>IFERROR(INDEX(PP_Grid[#Data],$DE1368,104),0)</f>
        <v/>
      </c>
      <c r="DD1368">
        <f>IFERROR(INDEX(PP_Grid[#Data],$DE1368,105),0)</f>
        <v/>
      </c>
      <c r="DE1368" s="7">
        <f>IFERROR(MATCH($B1368,PP_Grid[Intermediate],0),99999)</f>
        <v/>
      </c>
    </row>
    <row r="1369">
      <c r="B1369" t="inlineStr">
        <is>
          <t>使用量(kg)</t>
        </is>
      </c>
      <c r="C1369">
        <f>SUMIFS(M_BOM[RM_Qty_Per_Batch],M_BOM[Intermediate],$B1368,M_BOM[RM_Code],$A1349)</f>
        <v/>
      </c>
      <c r="D1369">
        <f>IFERROR(INDEX(E1369:DD1369,$F$1),"")</f>
        <v/>
      </c>
      <c r="E1369">
        <f>$C1369*E1368</f>
        <v/>
      </c>
      <c r="F1369">
        <f>$C1369*F1368</f>
        <v/>
      </c>
      <c r="G1369">
        <f>$C1369*G1368</f>
        <v/>
      </c>
      <c r="H1369">
        <f>$C1369*H1368</f>
        <v/>
      </c>
      <c r="I1369">
        <f>$C1369*I1368</f>
        <v/>
      </c>
      <c r="J1369">
        <f>$C1369*J1368</f>
        <v/>
      </c>
      <c r="K1369">
        <f>$C1369*K1368</f>
        <v/>
      </c>
      <c r="L1369">
        <f>$C1369*L1368</f>
        <v/>
      </c>
      <c r="M1369">
        <f>$C1369*M1368</f>
        <v/>
      </c>
      <c r="N1369">
        <f>$C1369*N1368</f>
        <v/>
      </c>
      <c r="O1369">
        <f>$C1369*O1368</f>
        <v/>
      </c>
      <c r="P1369">
        <f>$C1369*P1368</f>
        <v/>
      </c>
      <c r="Q1369">
        <f>$C1369*Q1368</f>
        <v/>
      </c>
      <c r="R1369">
        <f>$C1369*R1368</f>
        <v/>
      </c>
      <c r="S1369">
        <f>$C1369*S1368</f>
        <v/>
      </c>
      <c r="T1369">
        <f>$C1369*T1368</f>
        <v/>
      </c>
      <c r="U1369">
        <f>$C1369*U1368</f>
        <v/>
      </c>
      <c r="V1369">
        <f>$C1369*V1368</f>
        <v/>
      </c>
      <c r="W1369">
        <f>$C1369*W1368</f>
        <v/>
      </c>
      <c r="X1369">
        <f>$C1369*X1368</f>
        <v/>
      </c>
      <c r="Y1369">
        <f>$C1369*Y1368</f>
        <v/>
      </c>
      <c r="Z1369">
        <f>$C1369*Z1368</f>
        <v/>
      </c>
      <c r="AA1369">
        <f>$C1369*AA1368</f>
        <v/>
      </c>
      <c r="AB1369">
        <f>$C1369*AB1368</f>
        <v/>
      </c>
      <c r="AC1369">
        <f>$C1369*AC1368</f>
        <v/>
      </c>
      <c r="AD1369">
        <f>$C1369*AD1368</f>
        <v/>
      </c>
      <c r="AE1369">
        <f>$C1369*AE1368</f>
        <v/>
      </c>
      <c r="AF1369">
        <f>$C1369*AF1368</f>
        <v/>
      </c>
      <c r="AG1369">
        <f>$C1369*AG1368</f>
        <v/>
      </c>
      <c r="AH1369">
        <f>$C1369*AH1368</f>
        <v/>
      </c>
      <c r="AI1369">
        <f>$C1369*AI1368</f>
        <v/>
      </c>
      <c r="AJ1369">
        <f>$C1369*AJ1368</f>
        <v/>
      </c>
      <c r="AK1369">
        <f>$C1369*AK1368</f>
        <v/>
      </c>
      <c r="AL1369">
        <f>$C1369*AL1368</f>
        <v/>
      </c>
      <c r="AM1369">
        <f>$C1369*AM1368</f>
        <v/>
      </c>
      <c r="AN1369">
        <f>$C1369*AN1368</f>
        <v/>
      </c>
      <c r="AO1369">
        <f>$C1369*AO1368</f>
        <v/>
      </c>
      <c r="AP1369">
        <f>$C1369*AP1368</f>
        <v/>
      </c>
      <c r="AQ1369">
        <f>$C1369*AQ1368</f>
        <v/>
      </c>
      <c r="AR1369">
        <f>$C1369*AR1368</f>
        <v/>
      </c>
      <c r="AS1369">
        <f>$C1369*AS1368</f>
        <v/>
      </c>
      <c r="AT1369">
        <f>$C1369*AT1368</f>
        <v/>
      </c>
      <c r="AU1369">
        <f>$C1369*AU1368</f>
        <v/>
      </c>
      <c r="AV1369">
        <f>$C1369*AV1368</f>
        <v/>
      </c>
      <c r="AW1369">
        <f>$C1369*AW1368</f>
        <v/>
      </c>
      <c r="AX1369">
        <f>$C1369*AX1368</f>
        <v/>
      </c>
      <c r="AY1369">
        <f>$C1369*AY1368</f>
        <v/>
      </c>
      <c r="AZ1369">
        <f>$C1369*AZ1368</f>
        <v/>
      </c>
      <c r="BA1369">
        <f>$C1369*BA1368</f>
        <v/>
      </c>
      <c r="BB1369">
        <f>$C1369*BB1368</f>
        <v/>
      </c>
      <c r="BC1369">
        <f>$C1369*BC1368</f>
        <v/>
      </c>
      <c r="BD1369">
        <f>$C1369*BD1368</f>
        <v/>
      </c>
      <c r="BE1369">
        <f>$C1369*BE1368</f>
        <v/>
      </c>
      <c r="BF1369">
        <f>$C1369*BF1368</f>
        <v/>
      </c>
      <c r="BG1369">
        <f>$C1369*BG1368</f>
        <v/>
      </c>
      <c r="BH1369">
        <f>$C1369*BH1368</f>
        <v/>
      </c>
      <c r="BI1369">
        <f>$C1369*BI1368</f>
        <v/>
      </c>
      <c r="BJ1369">
        <f>$C1369*BJ1368</f>
        <v/>
      </c>
      <c r="BK1369">
        <f>$C1369*BK1368</f>
        <v/>
      </c>
      <c r="BL1369">
        <f>$C1369*BL1368</f>
        <v/>
      </c>
      <c r="BM1369">
        <f>$C1369*BM1368</f>
        <v/>
      </c>
      <c r="BN1369">
        <f>$C1369*BN1368</f>
        <v/>
      </c>
      <c r="BO1369">
        <f>$C1369*BO1368</f>
        <v/>
      </c>
      <c r="BP1369">
        <f>$C1369*BP1368</f>
        <v/>
      </c>
      <c r="BQ1369">
        <f>$C1369*BQ1368</f>
        <v/>
      </c>
      <c r="BR1369">
        <f>$C1369*BR1368</f>
        <v/>
      </c>
      <c r="BS1369">
        <f>$C1369*BS1368</f>
        <v/>
      </c>
      <c r="BT1369">
        <f>$C1369*BT1368</f>
        <v/>
      </c>
      <c r="BU1369">
        <f>$C1369*BU1368</f>
        <v/>
      </c>
      <c r="BV1369">
        <f>$C1369*BV1368</f>
        <v/>
      </c>
      <c r="BW1369">
        <f>$C1369*BW1368</f>
        <v/>
      </c>
      <c r="BX1369">
        <f>$C1369*BX1368</f>
        <v/>
      </c>
      <c r="BY1369">
        <f>$C1369*BY1368</f>
        <v/>
      </c>
      <c r="BZ1369">
        <f>$C1369*BZ1368</f>
        <v/>
      </c>
      <c r="CA1369">
        <f>$C1369*CA1368</f>
        <v/>
      </c>
      <c r="CB1369">
        <f>$C1369*CB1368</f>
        <v/>
      </c>
      <c r="CC1369">
        <f>$C1369*CC1368</f>
        <v/>
      </c>
      <c r="CD1369">
        <f>$C1369*CD1368</f>
        <v/>
      </c>
      <c r="CE1369">
        <f>$C1369*CE1368</f>
        <v/>
      </c>
      <c r="CF1369">
        <f>$C1369*CF1368</f>
        <v/>
      </c>
      <c r="CG1369">
        <f>$C1369*CG1368</f>
        <v/>
      </c>
      <c r="CH1369">
        <f>$C1369*CH1368</f>
        <v/>
      </c>
      <c r="CI1369">
        <f>$C1369*CI1368</f>
        <v/>
      </c>
      <c r="CJ1369">
        <f>$C1369*CJ1368</f>
        <v/>
      </c>
      <c r="CK1369">
        <f>$C1369*CK1368</f>
        <v/>
      </c>
      <c r="CL1369">
        <f>$C1369*CL1368</f>
        <v/>
      </c>
      <c r="CM1369">
        <f>$C1369*CM1368</f>
        <v/>
      </c>
      <c r="CN1369">
        <f>$C1369*CN1368</f>
        <v/>
      </c>
      <c r="CO1369">
        <f>$C1369*CO1368</f>
        <v/>
      </c>
      <c r="CP1369">
        <f>$C1369*CP1368</f>
        <v/>
      </c>
      <c r="CQ1369">
        <f>$C1369*CQ1368</f>
        <v/>
      </c>
      <c r="CR1369">
        <f>$C1369*CR1368</f>
        <v/>
      </c>
      <c r="CS1369">
        <f>$C1369*CS1368</f>
        <v/>
      </c>
      <c r="CT1369">
        <f>$C1369*CT1368</f>
        <v/>
      </c>
      <c r="CU1369">
        <f>$C1369*CU1368</f>
        <v/>
      </c>
      <c r="CV1369">
        <f>$C1369*CV1368</f>
        <v/>
      </c>
      <c r="CW1369">
        <f>$C1369*CW1368</f>
        <v/>
      </c>
      <c r="CX1369">
        <f>$C1369*CX1368</f>
        <v/>
      </c>
      <c r="CY1369">
        <f>$C1369*CY1368</f>
        <v/>
      </c>
      <c r="CZ1369">
        <f>$C1369*CZ1368</f>
        <v/>
      </c>
      <c r="DA1369">
        <f>$C1369*DA1368</f>
        <v/>
      </c>
      <c r="DB1369">
        <f>$C1369*DB1368</f>
        <v/>
      </c>
      <c r="DC1369">
        <f>$C1369*DC1368</f>
        <v/>
      </c>
      <c r="DD1369">
        <f>$C1369*DD1368</f>
        <v/>
      </c>
    </row>
    <row r="1370">
      <c r="B1370" t="inlineStr">
        <is>
          <t>TSP-1388</t>
        </is>
      </c>
      <c r="C1370" t="inlineStr">
        <is>
          <t>No. of batches</t>
        </is>
      </c>
      <c r="D1370">
        <f>IFERROR(INDEX(E1370:DD1370,$F$1),"")</f>
        <v/>
      </c>
      <c r="E1370">
        <f>IFERROR(INDEX(PP_Grid[#Data],$DE1370,2),0)</f>
        <v/>
      </c>
      <c r="F1370">
        <f>IFERROR(INDEX(PP_Grid[#Data],$DE1370,3),0)</f>
        <v/>
      </c>
      <c r="G1370">
        <f>IFERROR(INDEX(PP_Grid[#Data],$DE1370,4),0)</f>
        <v/>
      </c>
      <c r="H1370">
        <f>IFERROR(INDEX(PP_Grid[#Data],$DE1370,5),0)</f>
        <v/>
      </c>
      <c r="I1370">
        <f>IFERROR(INDEX(PP_Grid[#Data],$DE1370,6),0)</f>
        <v/>
      </c>
      <c r="J1370">
        <f>IFERROR(INDEX(PP_Grid[#Data],$DE1370,7),0)</f>
        <v/>
      </c>
      <c r="K1370">
        <f>IFERROR(INDEX(PP_Grid[#Data],$DE1370,8),0)</f>
        <v/>
      </c>
      <c r="L1370">
        <f>IFERROR(INDEX(PP_Grid[#Data],$DE1370,9),0)</f>
        <v/>
      </c>
      <c r="M1370">
        <f>IFERROR(INDEX(PP_Grid[#Data],$DE1370,10),0)</f>
        <v/>
      </c>
      <c r="N1370">
        <f>IFERROR(INDEX(PP_Grid[#Data],$DE1370,11),0)</f>
        <v/>
      </c>
      <c r="O1370">
        <f>IFERROR(INDEX(PP_Grid[#Data],$DE1370,12),0)</f>
        <v/>
      </c>
      <c r="P1370">
        <f>IFERROR(INDEX(PP_Grid[#Data],$DE1370,13),0)</f>
        <v/>
      </c>
      <c r="Q1370">
        <f>IFERROR(INDEX(PP_Grid[#Data],$DE1370,14),0)</f>
        <v/>
      </c>
      <c r="R1370">
        <f>IFERROR(INDEX(PP_Grid[#Data],$DE1370,15),0)</f>
        <v/>
      </c>
      <c r="S1370">
        <f>IFERROR(INDEX(PP_Grid[#Data],$DE1370,16),0)</f>
        <v/>
      </c>
      <c r="T1370">
        <f>IFERROR(INDEX(PP_Grid[#Data],$DE1370,17),0)</f>
        <v/>
      </c>
      <c r="U1370">
        <f>IFERROR(INDEX(PP_Grid[#Data],$DE1370,18),0)</f>
        <v/>
      </c>
      <c r="V1370">
        <f>IFERROR(INDEX(PP_Grid[#Data],$DE1370,19),0)</f>
        <v/>
      </c>
      <c r="W1370">
        <f>IFERROR(INDEX(PP_Grid[#Data],$DE1370,20),0)</f>
        <v/>
      </c>
      <c r="X1370">
        <f>IFERROR(INDEX(PP_Grid[#Data],$DE1370,21),0)</f>
        <v/>
      </c>
      <c r="Y1370">
        <f>IFERROR(INDEX(PP_Grid[#Data],$DE1370,22),0)</f>
        <v/>
      </c>
      <c r="Z1370">
        <f>IFERROR(INDEX(PP_Grid[#Data],$DE1370,23),0)</f>
        <v/>
      </c>
      <c r="AA1370">
        <f>IFERROR(INDEX(PP_Grid[#Data],$DE1370,24),0)</f>
        <v/>
      </c>
      <c r="AB1370">
        <f>IFERROR(INDEX(PP_Grid[#Data],$DE1370,25),0)</f>
        <v/>
      </c>
      <c r="AC1370">
        <f>IFERROR(INDEX(PP_Grid[#Data],$DE1370,26),0)</f>
        <v/>
      </c>
      <c r="AD1370">
        <f>IFERROR(INDEX(PP_Grid[#Data],$DE1370,27),0)</f>
        <v/>
      </c>
      <c r="AE1370">
        <f>IFERROR(INDEX(PP_Grid[#Data],$DE1370,28),0)</f>
        <v/>
      </c>
      <c r="AF1370">
        <f>IFERROR(INDEX(PP_Grid[#Data],$DE1370,29),0)</f>
        <v/>
      </c>
      <c r="AG1370">
        <f>IFERROR(INDEX(PP_Grid[#Data],$DE1370,30),0)</f>
        <v/>
      </c>
      <c r="AH1370">
        <f>IFERROR(INDEX(PP_Grid[#Data],$DE1370,31),0)</f>
        <v/>
      </c>
      <c r="AI1370">
        <f>IFERROR(INDEX(PP_Grid[#Data],$DE1370,32),0)</f>
        <v/>
      </c>
      <c r="AJ1370">
        <f>IFERROR(INDEX(PP_Grid[#Data],$DE1370,33),0)</f>
        <v/>
      </c>
      <c r="AK1370">
        <f>IFERROR(INDEX(PP_Grid[#Data],$DE1370,34),0)</f>
        <v/>
      </c>
      <c r="AL1370">
        <f>IFERROR(INDEX(PP_Grid[#Data],$DE1370,35),0)</f>
        <v/>
      </c>
      <c r="AM1370">
        <f>IFERROR(INDEX(PP_Grid[#Data],$DE1370,36),0)</f>
        <v/>
      </c>
      <c r="AN1370">
        <f>IFERROR(INDEX(PP_Grid[#Data],$DE1370,37),0)</f>
        <v/>
      </c>
      <c r="AO1370">
        <f>IFERROR(INDEX(PP_Grid[#Data],$DE1370,38),0)</f>
        <v/>
      </c>
      <c r="AP1370">
        <f>IFERROR(INDEX(PP_Grid[#Data],$DE1370,39),0)</f>
        <v/>
      </c>
      <c r="AQ1370">
        <f>IFERROR(INDEX(PP_Grid[#Data],$DE1370,40),0)</f>
        <v/>
      </c>
      <c r="AR1370">
        <f>IFERROR(INDEX(PP_Grid[#Data],$DE1370,41),0)</f>
        <v/>
      </c>
      <c r="AS1370">
        <f>IFERROR(INDEX(PP_Grid[#Data],$DE1370,42),0)</f>
        <v/>
      </c>
      <c r="AT1370">
        <f>IFERROR(INDEX(PP_Grid[#Data],$DE1370,43),0)</f>
        <v/>
      </c>
      <c r="AU1370">
        <f>IFERROR(INDEX(PP_Grid[#Data],$DE1370,44),0)</f>
        <v/>
      </c>
      <c r="AV1370">
        <f>IFERROR(INDEX(PP_Grid[#Data],$DE1370,45),0)</f>
        <v/>
      </c>
      <c r="AW1370">
        <f>IFERROR(INDEX(PP_Grid[#Data],$DE1370,46),0)</f>
        <v/>
      </c>
      <c r="AX1370">
        <f>IFERROR(INDEX(PP_Grid[#Data],$DE1370,47),0)</f>
        <v/>
      </c>
      <c r="AY1370">
        <f>IFERROR(INDEX(PP_Grid[#Data],$DE1370,48),0)</f>
        <v/>
      </c>
      <c r="AZ1370">
        <f>IFERROR(INDEX(PP_Grid[#Data],$DE1370,49),0)</f>
        <v/>
      </c>
      <c r="BA1370">
        <f>IFERROR(INDEX(PP_Grid[#Data],$DE1370,50),0)</f>
        <v/>
      </c>
      <c r="BB1370">
        <f>IFERROR(INDEX(PP_Grid[#Data],$DE1370,51),0)</f>
        <v/>
      </c>
      <c r="BC1370">
        <f>IFERROR(INDEX(PP_Grid[#Data],$DE1370,52),0)</f>
        <v/>
      </c>
      <c r="BD1370">
        <f>IFERROR(INDEX(PP_Grid[#Data],$DE1370,53),0)</f>
        <v/>
      </c>
      <c r="BE1370">
        <f>IFERROR(INDEX(PP_Grid[#Data],$DE1370,54),0)</f>
        <v/>
      </c>
      <c r="BF1370">
        <f>IFERROR(INDEX(PP_Grid[#Data],$DE1370,55),0)</f>
        <v/>
      </c>
      <c r="BG1370">
        <f>IFERROR(INDEX(PP_Grid[#Data],$DE1370,56),0)</f>
        <v/>
      </c>
      <c r="BH1370">
        <f>IFERROR(INDEX(PP_Grid[#Data],$DE1370,57),0)</f>
        <v/>
      </c>
      <c r="BI1370">
        <f>IFERROR(INDEX(PP_Grid[#Data],$DE1370,58),0)</f>
        <v/>
      </c>
      <c r="BJ1370">
        <f>IFERROR(INDEX(PP_Grid[#Data],$DE1370,59),0)</f>
        <v/>
      </c>
      <c r="BK1370">
        <f>IFERROR(INDEX(PP_Grid[#Data],$DE1370,60),0)</f>
        <v/>
      </c>
      <c r="BL1370">
        <f>IFERROR(INDEX(PP_Grid[#Data],$DE1370,61),0)</f>
        <v/>
      </c>
      <c r="BM1370">
        <f>IFERROR(INDEX(PP_Grid[#Data],$DE1370,62),0)</f>
        <v/>
      </c>
      <c r="BN1370">
        <f>IFERROR(INDEX(PP_Grid[#Data],$DE1370,63),0)</f>
        <v/>
      </c>
      <c r="BO1370">
        <f>IFERROR(INDEX(PP_Grid[#Data],$DE1370,64),0)</f>
        <v/>
      </c>
      <c r="BP1370">
        <f>IFERROR(INDEX(PP_Grid[#Data],$DE1370,65),0)</f>
        <v/>
      </c>
      <c r="BQ1370">
        <f>IFERROR(INDEX(PP_Grid[#Data],$DE1370,66),0)</f>
        <v/>
      </c>
      <c r="BR1370">
        <f>IFERROR(INDEX(PP_Grid[#Data],$DE1370,67),0)</f>
        <v/>
      </c>
      <c r="BS1370">
        <f>IFERROR(INDEX(PP_Grid[#Data],$DE1370,68),0)</f>
        <v/>
      </c>
      <c r="BT1370">
        <f>IFERROR(INDEX(PP_Grid[#Data],$DE1370,69),0)</f>
        <v/>
      </c>
      <c r="BU1370">
        <f>IFERROR(INDEX(PP_Grid[#Data],$DE1370,70),0)</f>
        <v/>
      </c>
      <c r="BV1370">
        <f>IFERROR(INDEX(PP_Grid[#Data],$DE1370,71),0)</f>
        <v/>
      </c>
      <c r="BW1370">
        <f>IFERROR(INDEX(PP_Grid[#Data],$DE1370,72),0)</f>
        <v/>
      </c>
      <c r="BX1370">
        <f>IFERROR(INDEX(PP_Grid[#Data],$DE1370,73),0)</f>
        <v/>
      </c>
      <c r="BY1370">
        <f>IFERROR(INDEX(PP_Grid[#Data],$DE1370,74),0)</f>
        <v/>
      </c>
      <c r="BZ1370">
        <f>IFERROR(INDEX(PP_Grid[#Data],$DE1370,75),0)</f>
        <v/>
      </c>
      <c r="CA1370">
        <f>IFERROR(INDEX(PP_Grid[#Data],$DE1370,76),0)</f>
        <v/>
      </c>
      <c r="CB1370">
        <f>IFERROR(INDEX(PP_Grid[#Data],$DE1370,77),0)</f>
        <v/>
      </c>
      <c r="CC1370">
        <f>IFERROR(INDEX(PP_Grid[#Data],$DE1370,78),0)</f>
        <v/>
      </c>
      <c r="CD1370">
        <f>IFERROR(INDEX(PP_Grid[#Data],$DE1370,79),0)</f>
        <v/>
      </c>
      <c r="CE1370">
        <f>IFERROR(INDEX(PP_Grid[#Data],$DE1370,80),0)</f>
        <v/>
      </c>
      <c r="CF1370">
        <f>IFERROR(INDEX(PP_Grid[#Data],$DE1370,81),0)</f>
        <v/>
      </c>
      <c r="CG1370">
        <f>IFERROR(INDEX(PP_Grid[#Data],$DE1370,82),0)</f>
        <v/>
      </c>
      <c r="CH1370">
        <f>IFERROR(INDEX(PP_Grid[#Data],$DE1370,83),0)</f>
        <v/>
      </c>
      <c r="CI1370">
        <f>IFERROR(INDEX(PP_Grid[#Data],$DE1370,84),0)</f>
        <v/>
      </c>
      <c r="CJ1370">
        <f>IFERROR(INDEX(PP_Grid[#Data],$DE1370,85),0)</f>
        <v/>
      </c>
      <c r="CK1370">
        <f>IFERROR(INDEX(PP_Grid[#Data],$DE1370,86),0)</f>
        <v/>
      </c>
      <c r="CL1370">
        <f>IFERROR(INDEX(PP_Grid[#Data],$DE1370,87),0)</f>
        <v/>
      </c>
      <c r="CM1370">
        <f>IFERROR(INDEX(PP_Grid[#Data],$DE1370,88),0)</f>
        <v/>
      </c>
      <c r="CN1370">
        <f>IFERROR(INDEX(PP_Grid[#Data],$DE1370,89),0)</f>
        <v/>
      </c>
      <c r="CO1370">
        <f>IFERROR(INDEX(PP_Grid[#Data],$DE1370,90),0)</f>
        <v/>
      </c>
      <c r="CP1370">
        <f>IFERROR(INDEX(PP_Grid[#Data],$DE1370,91),0)</f>
        <v/>
      </c>
      <c r="CQ1370">
        <f>IFERROR(INDEX(PP_Grid[#Data],$DE1370,92),0)</f>
        <v/>
      </c>
      <c r="CR1370">
        <f>IFERROR(INDEX(PP_Grid[#Data],$DE1370,93),0)</f>
        <v/>
      </c>
      <c r="CS1370">
        <f>IFERROR(INDEX(PP_Grid[#Data],$DE1370,94),0)</f>
        <v/>
      </c>
      <c r="CT1370">
        <f>IFERROR(INDEX(PP_Grid[#Data],$DE1370,95),0)</f>
        <v/>
      </c>
      <c r="CU1370">
        <f>IFERROR(INDEX(PP_Grid[#Data],$DE1370,96),0)</f>
        <v/>
      </c>
      <c r="CV1370">
        <f>IFERROR(INDEX(PP_Grid[#Data],$DE1370,97),0)</f>
        <v/>
      </c>
      <c r="CW1370">
        <f>IFERROR(INDEX(PP_Grid[#Data],$DE1370,98),0)</f>
        <v/>
      </c>
      <c r="CX1370">
        <f>IFERROR(INDEX(PP_Grid[#Data],$DE1370,99),0)</f>
        <v/>
      </c>
      <c r="CY1370">
        <f>IFERROR(INDEX(PP_Grid[#Data],$DE1370,100),0)</f>
        <v/>
      </c>
      <c r="CZ1370">
        <f>IFERROR(INDEX(PP_Grid[#Data],$DE1370,101),0)</f>
        <v/>
      </c>
      <c r="DA1370">
        <f>IFERROR(INDEX(PP_Grid[#Data],$DE1370,102),0)</f>
        <v/>
      </c>
      <c r="DB1370">
        <f>IFERROR(INDEX(PP_Grid[#Data],$DE1370,103),0)</f>
        <v/>
      </c>
      <c r="DC1370">
        <f>IFERROR(INDEX(PP_Grid[#Data],$DE1370,104),0)</f>
        <v/>
      </c>
      <c r="DD1370">
        <f>IFERROR(INDEX(PP_Grid[#Data],$DE1370,105),0)</f>
        <v/>
      </c>
      <c r="DE1370" s="7">
        <f>IFERROR(MATCH($B1370,PP_Grid[Intermediate],0),99999)</f>
        <v/>
      </c>
    </row>
    <row r="1371">
      <c r="B1371" t="inlineStr">
        <is>
          <t>使用量(kg)</t>
        </is>
      </c>
      <c r="C1371">
        <f>SUMIFS(M_BOM[RM_Qty_Per_Batch],M_BOM[Intermediate],$B1370,M_BOM[RM_Code],$A1349)</f>
        <v/>
      </c>
      <c r="D1371">
        <f>IFERROR(INDEX(E1371:DD1371,$F$1),"")</f>
        <v/>
      </c>
      <c r="E1371">
        <f>$C1371*E1370</f>
        <v/>
      </c>
      <c r="F1371">
        <f>$C1371*F1370</f>
        <v/>
      </c>
      <c r="G1371">
        <f>$C1371*G1370</f>
        <v/>
      </c>
      <c r="H1371">
        <f>$C1371*H1370</f>
        <v/>
      </c>
      <c r="I1371">
        <f>$C1371*I1370</f>
        <v/>
      </c>
      <c r="J1371">
        <f>$C1371*J1370</f>
        <v/>
      </c>
      <c r="K1371">
        <f>$C1371*K1370</f>
        <v/>
      </c>
      <c r="L1371">
        <f>$C1371*L1370</f>
        <v/>
      </c>
      <c r="M1371">
        <f>$C1371*M1370</f>
        <v/>
      </c>
      <c r="N1371">
        <f>$C1371*N1370</f>
        <v/>
      </c>
      <c r="O1371">
        <f>$C1371*O1370</f>
        <v/>
      </c>
      <c r="P1371">
        <f>$C1371*P1370</f>
        <v/>
      </c>
      <c r="Q1371">
        <f>$C1371*Q1370</f>
        <v/>
      </c>
      <c r="R1371">
        <f>$C1371*R1370</f>
        <v/>
      </c>
      <c r="S1371">
        <f>$C1371*S1370</f>
        <v/>
      </c>
      <c r="T1371">
        <f>$C1371*T1370</f>
        <v/>
      </c>
      <c r="U1371">
        <f>$C1371*U1370</f>
        <v/>
      </c>
      <c r="V1371">
        <f>$C1371*V1370</f>
        <v/>
      </c>
      <c r="W1371">
        <f>$C1371*W1370</f>
        <v/>
      </c>
      <c r="X1371">
        <f>$C1371*X1370</f>
        <v/>
      </c>
      <c r="Y1371">
        <f>$C1371*Y1370</f>
        <v/>
      </c>
      <c r="Z1371">
        <f>$C1371*Z1370</f>
        <v/>
      </c>
      <c r="AA1371">
        <f>$C1371*AA1370</f>
        <v/>
      </c>
      <c r="AB1371">
        <f>$C1371*AB1370</f>
        <v/>
      </c>
      <c r="AC1371">
        <f>$C1371*AC1370</f>
        <v/>
      </c>
      <c r="AD1371">
        <f>$C1371*AD1370</f>
        <v/>
      </c>
      <c r="AE1371">
        <f>$C1371*AE1370</f>
        <v/>
      </c>
      <c r="AF1371">
        <f>$C1371*AF1370</f>
        <v/>
      </c>
      <c r="AG1371">
        <f>$C1371*AG1370</f>
        <v/>
      </c>
      <c r="AH1371">
        <f>$C1371*AH1370</f>
        <v/>
      </c>
      <c r="AI1371">
        <f>$C1371*AI1370</f>
        <v/>
      </c>
      <c r="AJ1371">
        <f>$C1371*AJ1370</f>
        <v/>
      </c>
      <c r="AK1371">
        <f>$C1371*AK1370</f>
        <v/>
      </c>
      <c r="AL1371">
        <f>$C1371*AL1370</f>
        <v/>
      </c>
      <c r="AM1371">
        <f>$C1371*AM1370</f>
        <v/>
      </c>
      <c r="AN1371">
        <f>$C1371*AN1370</f>
        <v/>
      </c>
      <c r="AO1371">
        <f>$C1371*AO1370</f>
        <v/>
      </c>
      <c r="AP1371">
        <f>$C1371*AP1370</f>
        <v/>
      </c>
      <c r="AQ1371">
        <f>$C1371*AQ1370</f>
        <v/>
      </c>
      <c r="AR1371">
        <f>$C1371*AR1370</f>
        <v/>
      </c>
      <c r="AS1371">
        <f>$C1371*AS1370</f>
        <v/>
      </c>
      <c r="AT1371">
        <f>$C1371*AT1370</f>
        <v/>
      </c>
      <c r="AU1371">
        <f>$C1371*AU1370</f>
        <v/>
      </c>
      <c r="AV1371">
        <f>$C1371*AV1370</f>
        <v/>
      </c>
      <c r="AW1371">
        <f>$C1371*AW1370</f>
        <v/>
      </c>
      <c r="AX1371">
        <f>$C1371*AX1370</f>
        <v/>
      </c>
      <c r="AY1371">
        <f>$C1371*AY1370</f>
        <v/>
      </c>
      <c r="AZ1371">
        <f>$C1371*AZ1370</f>
        <v/>
      </c>
      <c r="BA1371">
        <f>$C1371*BA1370</f>
        <v/>
      </c>
      <c r="BB1371">
        <f>$C1371*BB1370</f>
        <v/>
      </c>
      <c r="BC1371">
        <f>$C1371*BC1370</f>
        <v/>
      </c>
      <c r="BD1371">
        <f>$C1371*BD1370</f>
        <v/>
      </c>
      <c r="BE1371">
        <f>$C1371*BE1370</f>
        <v/>
      </c>
      <c r="BF1371">
        <f>$C1371*BF1370</f>
        <v/>
      </c>
      <c r="BG1371">
        <f>$C1371*BG1370</f>
        <v/>
      </c>
      <c r="BH1371">
        <f>$C1371*BH1370</f>
        <v/>
      </c>
      <c r="BI1371">
        <f>$C1371*BI1370</f>
        <v/>
      </c>
      <c r="BJ1371">
        <f>$C1371*BJ1370</f>
        <v/>
      </c>
      <c r="BK1371">
        <f>$C1371*BK1370</f>
        <v/>
      </c>
      <c r="BL1371">
        <f>$C1371*BL1370</f>
        <v/>
      </c>
      <c r="BM1371">
        <f>$C1371*BM1370</f>
        <v/>
      </c>
      <c r="BN1371">
        <f>$C1371*BN1370</f>
        <v/>
      </c>
      <c r="BO1371">
        <f>$C1371*BO1370</f>
        <v/>
      </c>
      <c r="BP1371">
        <f>$C1371*BP1370</f>
        <v/>
      </c>
      <c r="BQ1371">
        <f>$C1371*BQ1370</f>
        <v/>
      </c>
      <c r="BR1371">
        <f>$C1371*BR1370</f>
        <v/>
      </c>
      <c r="BS1371">
        <f>$C1371*BS1370</f>
        <v/>
      </c>
      <c r="BT1371">
        <f>$C1371*BT1370</f>
        <v/>
      </c>
      <c r="BU1371">
        <f>$C1371*BU1370</f>
        <v/>
      </c>
      <c r="BV1371">
        <f>$C1371*BV1370</f>
        <v/>
      </c>
      <c r="BW1371">
        <f>$C1371*BW1370</f>
        <v/>
      </c>
      <c r="BX1371">
        <f>$C1371*BX1370</f>
        <v/>
      </c>
      <c r="BY1371">
        <f>$C1371*BY1370</f>
        <v/>
      </c>
      <c r="BZ1371">
        <f>$C1371*BZ1370</f>
        <v/>
      </c>
      <c r="CA1371">
        <f>$C1371*CA1370</f>
        <v/>
      </c>
      <c r="CB1371">
        <f>$C1371*CB1370</f>
        <v/>
      </c>
      <c r="CC1371">
        <f>$C1371*CC1370</f>
        <v/>
      </c>
      <c r="CD1371">
        <f>$C1371*CD1370</f>
        <v/>
      </c>
      <c r="CE1371">
        <f>$C1371*CE1370</f>
        <v/>
      </c>
      <c r="CF1371">
        <f>$C1371*CF1370</f>
        <v/>
      </c>
      <c r="CG1371">
        <f>$C1371*CG1370</f>
        <v/>
      </c>
      <c r="CH1371">
        <f>$C1371*CH1370</f>
        <v/>
      </c>
      <c r="CI1371">
        <f>$C1371*CI1370</f>
        <v/>
      </c>
      <c r="CJ1371">
        <f>$C1371*CJ1370</f>
        <v/>
      </c>
      <c r="CK1371">
        <f>$C1371*CK1370</f>
        <v/>
      </c>
      <c r="CL1371">
        <f>$C1371*CL1370</f>
        <v/>
      </c>
      <c r="CM1371">
        <f>$C1371*CM1370</f>
        <v/>
      </c>
      <c r="CN1371">
        <f>$C1371*CN1370</f>
        <v/>
      </c>
      <c r="CO1371">
        <f>$C1371*CO1370</f>
        <v/>
      </c>
      <c r="CP1371">
        <f>$C1371*CP1370</f>
        <v/>
      </c>
      <c r="CQ1371">
        <f>$C1371*CQ1370</f>
        <v/>
      </c>
      <c r="CR1371">
        <f>$C1371*CR1370</f>
        <v/>
      </c>
      <c r="CS1371">
        <f>$C1371*CS1370</f>
        <v/>
      </c>
      <c r="CT1371">
        <f>$C1371*CT1370</f>
        <v/>
      </c>
      <c r="CU1371">
        <f>$C1371*CU1370</f>
        <v/>
      </c>
      <c r="CV1371">
        <f>$C1371*CV1370</f>
        <v/>
      </c>
      <c r="CW1371">
        <f>$C1371*CW1370</f>
        <v/>
      </c>
      <c r="CX1371">
        <f>$C1371*CX1370</f>
        <v/>
      </c>
      <c r="CY1371">
        <f>$C1371*CY1370</f>
        <v/>
      </c>
      <c r="CZ1371">
        <f>$C1371*CZ1370</f>
        <v/>
      </c>
      <c r="DA1371">
        <f>$C1371*DA1370</f>
        <v/>
      </c>
      <c r="DB1371">
        <f>$C1371*DB1370</f>
        <v/>
      </c>
      <c r="DC1371">
        <f>$C1371*DC1370</f>
        <v/>
      </c>
      <c r="DD1371">
        <f>$C1371*DD1370</f>
        <v/>
      </c>
    </row>
    <row r="1372">
      <c r="B1372" t="inlineStr">
        <is>
          <t>TSP-1444</t>
        </is>
      </c>
      <c r="C1372" t="inlineStr">
        <is>
          <t>No. of batches</t>
        </is>
      </c>
      <c r="D1372">
        <f>IFERROR(INDEX(E1372:DD1372,$F$1),"")</f>
        <v/>
      </c>
      <c r="E1372">
        <f>IFERROR(INDEX(PP_Grid[#Data],$DE1372,2),0)</f>
        <v/>
      </c>
      <c r="F1372">
        <f>IFERROR(INDEX(PP_Grid[#Data],$DE1372,3),0)</f>
        <v/>
      </c>
      <c r="G1372">
        <f>IFERROR(INDEX(PP_Grid[#Data],$DE1372,4),0)</f>
        <v/>
      </c>
      <c r="H1372">
        <f>IFERROR(INDEX(PP_Grid[#Data],$DE1372,5),0)</f>
        <v/>
      </c>
      <c r="I1372">
        <f>IFERROR(INDEX(PP_Grid[#Data],$DE1372,6),0)</f>
        <v/>
      </c>
      <c r="J1372">
        <f>IFERROR(INDEX(PP_Grid[#Data],$DE1372,7),0)</f>
        <v/>
      </c>
      <c r="K1372">
        <f>IFERROR(INDEX(PP_Grid[#Data],$DE1372,8),0)</f>
        <v/>
      </c>
      <c r="L1372">
        <f>IFERROR(INDEX(PP_Grid[#Data],$DE1372,9),0)</f>
        <v/>
      </c>
      <c r="M1372">
        <f>IFERROR(INDEX(PP_Grid[#Data],$DE1372,10),0)</f>
        <v/>
      </c>
      <c r="N1372">
        <f>IFERROR(INDEX(PP_Grid[#Data],$DE1372,11),0)</f>
        <v/>
      </c>
      <c r="O1372">
        <f>IFERROR(INDEX(PP_Grid[#Data],$DE1372,12),0)</f>
        <v/>
      </c>
      <c r="P1372">
        <f>IFERROR(INDEX(PP_Grid[#Data],$DE1372,13),0)</f>
        <v/>
      </c>
      <c r="Q1372">
        <f>IFERROR(INDEX(PP_Grid[#Data],$DE1372,14),0)</f>
        <v/>
      </c>
      <c r="R1372">
        <f>IFERROR(INDEX(PP_Grid[#Data],$DE1372,15),0)</f>
        <v/>
      </c>
      <c r="S1372">
        <f>IFERROR(INDEX(PP_Grid[#Data],$DE1372,16),0)</f>
        <v/>
      </c>
      <c r="T1372">
        <f>IFERROR(INDEX(PP_Grid[#Data],$DE1372,17),0)</f>
        <v/>
      </c>
      <c r="U1372">
        <f>IFERROR(INDEX(PP_Grid[#Data],$DE1372,18),0)</f>
        <v/>
      </c>
      <c r="V1372">
        <f>IFERROR(INDEX(PP_Grid[#Data],$DE1372,19),0)</f>
        <v/>
      </c>
      <c r="W1372">
        <f>IFERROR(INDEX(PP_Grid[#Data],$DE1372,20),0)</f>
        <v/>
      </c>
      <c r="X1372">
        <f>IFERROR(INDEX(PP_Grid[#Data],$DE1372,21),0)</f>
        <v/>
      </c>
      <c r="Y1372">
        <f>IFERROR(INDEX(PP_Grid[#Data],$DE1372,22),0)</f>
        <v/>
      </c>
      <c r="Z1372">
        <f>IFERROR(INDEX(PP_Grid[#Data],$DE1372,23),0)</f>
        <v/>
      </c>
      <c r="AA1372">
        <f>IFERROR(INDEX(PP_Grid[#Data],$DE1372,24),0)</f>
        <v/>
      </c>
      <c r="AB1372">
        <f>IFERROR(INDEX(PP_Grid[#Data],$DE1372,25),0)</f>
        <v/>
      </c>
      <c r="AC1372">
        <f>IFERROR(INDEX(PP_Grid[#Data],$DE1372,26),0)</f>
        <v/>
      </c>
      <c r="AD1372">
        <f>IFERROR(INDEX(PP_Grid[#Data],$DE1372,27),0)</f>
        <v/>
      </c>
      <c r="AE1372">
        <f>IFERROR(INDEX(PP_Grid[#Data],$DE1372,28),0)</f>
        <v/>
      </c>
      <c r="AF1372">
        <f>IFERROR(INDEX(PP_Grid[#Data],$DE1372,29),0)</f>
        <v/>
      </c>
      <c r="AG1372">
        <f>IFERROR(INDEX(PP_Grid[#Data],$DE1372,30),0)</f>
        <v/>
      </c>
      <c r="AH1372">
        <f>IFERROR(INDEX(PP_Grid[#Data],$DE1372,31),0)</f>
        <v/>
      </c>
      <c r="AI1372">
        <f>IFERROR(INDEX(PP_Grid[#Data],$DE1372,32),0)</f>
        <v/>
      </c>
      <c r="AJ1372">
        <f>IFERROR(INDEX(PP_Grid[#Data],$DE1372,33),0)</f>
        <v/>
      </c>
      <c r="AK1372">
        <f>IFERROR(INDEX(PP_Grid[#Data],$DE1372,34),0)</f>
        <v/>
      </c>
      <c r="AL1372">
        <f>IFERROR(INDEX(PP_Grid[#Data],$DE1372,35),0)</f>
        <v/>
      </c>
      <c r="AM1372">
        <f>IFERROR(INDEX(PP_Grid[#Data],$DE1372,36),0)</f>
        <v/>
      </c>
      <c r="AN1372">
        <f>IFERROR(INDEX(PP_Grid[#Data],$DE1372,37),0)</f>
        <v/>
      </c>
      <c r="AO1372">
        <f>IFERROR(INDEX(PP_Grid[#Data],$DE1372,38),0)</f>
        <v/>
      </c>
      <c r="AP1372">
        <f>IFERROR(INDEX(PP_Grid[#Data],$DE1372,39),0)</f>
        <v/>
      </c>
      <c r="AQ1372">
        <f>IFERROR(INDEX(PP_Grid[#Data],$DE1372,40),0)</f>
        <v/>
      </c>
      <c r="AR1372">
        <f>IFERROR(INDEX(PP_Grid[#Data],$DE1372,41),0)</f>
        <v/>
      </c>
      <c r="AS1372">
        <f>IFERROR(INDEX(PP_Grid[#Data],$DE1372,42),0)</f>
        <v/>
      </c>
      <c r="AT1372">
        <f>IFERROR(INDEX(PP_Grid[#Data],$DE1372,43),0)</f>
        <v/>
      </c>
      <c r="AU1372">
        <f>IFERROR(INDEX(PP_Grid[#Data],$DE1372,44),0)</f>
        <v/>
      </c>
      <c r="AV1372">
        <f>IFERROR(INDEX(PP_Grid[#Data],$DE1372,45),0)</f>
        <v/>
      </c>
      <c r="AW1372">
        <f>IFERROR(INDEX(PP_Grid[#Data],$DE1372,46),0)</f>
        <v/>
      </c>
      <c r="AX1372">
        <f>IFERROR(INDEX(PP_Grid[#Data],$DE1372,47),0)</f>
        <v/>
      </c>
      <c r="AY1372">
        <f>IFERROR(INDEX(PP_Grid[#Data],$DE1372,48),0)</f>
        <v/>
      </c>
      <c r="AZ1372">
        <f>IFERROR(INDEX(PP_Grid[#Data],$DE1372,49),0)</f>
        <v/>
      </c>
      <c r="BA1372">
        <f>IFERROR(INDEX(PP_Grid[#Data],$DE1372,50),0)</f>
        <v/>
      </c>
      <c r="BB1372">
        <f>IFERROR(INDEX(PP_Grid[#Data],$DE1372,51),0)</f>
        <v/>
      </c>
      <c r="BC1372">
        <f>IFERROR(INDEX(PP_Grid[#Data],$DE1372,52),0)</f>
        <v/>
      </c>
      <c r="BD1372">
        <f>IFERROR(INDEX(PP_Grid[#Data],$DE1372,53),0)</f>
        <v/>
      </c>
      <c r="BE1372">
        <f>IFERROR(INDEX(PP_Grid[#Data],$DE1372,54),0)</f>
        <v/>
      </c>
      <c r="BF1372">
        <f>IFERROR(INDEX(PP_Grid[#Data],$DE1372,55),0)</f>
        <v/>
      </c>
      <c r="BG1372">
        <f>IFERROR(INDEX(PP_Grid[#Data],$DE1372,56),0)</f>
        <v/>
      </c>
      <c r="BH1372">
        <f>IFERROR(INDEX(PP_Grid[#Data],$DE1372,57),0)</f>
        <v/>
      </c>
      <c r="BI1372">
        <f>IFERROR(INDEX(PP_Grid[#Data],$DE1372,58),0)</f>
        <v/>
      </c>
      <c r="BJ1372">
        <f>IFERROR(INDEX(PP_Grid[#Data],$DE1372,59),0)</f>
        <v/>
      </c>
      <c r="BK1372">
        <f>IFERROR(INDEX(PP_Grid[#Data],$DE1372,60),0)</f>
        <v/>
      </c>
      <c r="BL1372">
        <f>IFERROR(INDEX(PP_Grid[#Data],$DE1372,61),0)</f>
        <v/>
      </c>
      <c r="BM1372">
        <f>IFERROR(INDEX(PP_Grid[#Data],$DE1372,62),0)</f>
        <v/>
      </c>
      <c r="BN1372">
        <f>IFERROR(INDEX(PP_Grid[#Data],$DE1372,63),0)</f>
        <v/>
      </c>
      <c r="BO1372">
        <f>IFERROR(INDEX(PP_Grid[#Data],$DE1372,64),0)</f>
        <v/>
      </c>
      <c r="BP1372">
        <f>IFERROR(INDEX(PP_Grid[#Data],$DE1372,65),0)</f>
        <v/>
      </c>
      <c r="BQ1372">
        <f>IFERROR(INDEX(PP_Grid[#Data],$DE1372,66),0)</f>
        <v/>
      </c>
      <c r="BR1372">
        <f>IFERROR(INDEX(PP_Grid[#Data],$DE1372,67),0)</f>
        <v/>
      </c>
      <c r="BS1372">
        <f>IFERROR(INDEX(PP_Grid[#Data],$DE1372,68),0)</f>
        <v/>
      </c>
      <c r="BT1372">
        <f>IFERROR(INDEX(PP_Grid[#Data],$DE1372,69),0)</f>
        <v/>
      </c>
      <c r="BU1372">
        <f>IFERROR(INDEX(PP_Grid[#Data],$DE1372,70),0)</f>
        <v/>
      </c>
      <c r="BV1372">
        <f>IFERROR(INDEX(PP_Grid[#Data],$DE1372,71),0)</f>
        <v/>
      </c>
      <c r="BW1372">
        <f>IFERROR(INDEX(PP_Grid[#Data],$DE1372,72),0)</f>
        <v/>
      </c>
      <c r="BX1372">
        <f>IFERROR(INDEX(PP_Grid[#Data],$DE1372,73),0)</f>
        <v/>
      </c>
      <c r="BY1372">
        <f>IFERROR(INDEX(PP_Grid[#Data],$DE1372,74),0)</f>
        <v/>
      </c>
      <c r="BZ1372">
        <f>IFERROR(INDEX(PP_Grid[#Data],$DE1372,75),0)</f>
        <v/>
      </c>
      <c r="CA1372">
        <f>IFERROR(INDEX(PP_Grid[#Data],$DE1372,76),0)</f>
        <v/>
      </c>
      <c r="CB1372">
        <f>IFERROR(INDEX(PP_Grid[#Data],$DE1372,77),0)</f>
        <v/>
      </c>
      <c r="CC1372">
        <f>IFERROR(INDEX(PP_Grid[#Data],$DE1372,78),0)</f>
        <v/>
      </c>
      <c r="CD1372">
        <f>IFERROR(INDEX(PP_Grid[#Data],$DE1372,79),0)</f>
        <v/>
      </c>
      <c r="CE1372">
        <f>IFERROR(INDEX(PP_Grid[#Data],$DE1372,80),0)</f>
        <v/>
      </c>
      <c r="CF1372">
        <f>IFERROR(INDEX(PP_Grid[#Data],$DE1372,81),0)</f>
        <v/>
      </c>
      <c r="CG1372">
        <f>IFERROR(INDEX(PP_Grid[#Data],$DE1372,82),0)</f>
        <v/>
      </c>
      <c r="CH1372">
        <f>IFERROR(INDEX(PP_Grid[#Data],$DE1372,83),0)</f>
        <v/>
      </c>
      <c r="CI1372">
        <f>IFERROR(INDEX(PP_Grid[#Data],$DE1372,84),0)</f>
        <v/>
      </c>
      <c r="CJ1372">
        <f>IFERROR(INDEX(PP_Grid[#Data],$DE1372,85),0)</f>
        <v/>
      </c>
      <c r="CK1372">
        <f>IFERROR(INDEX(PP_Grid[#Data],$DE1372,86),0)</f>
        <v/>
      </c>
      <c r="CL1372">
        <f>IFERROR(INDEX(PP_Grid[#Data],$DE1372,87),0)</f>
        <v/>
      </c>
      <c r="CM1372">
        <f>IFERROR(INDEX(PP_Grid[#Data],$DE1372,88),0)</f>
        <v/>
      </c>
      <c r="CN1372">
        <f>IFERROR(INDEX(PP_Grid[#Data],$DE1372,89),0)</f>
        <v/>
      </c>
      <c r="CO1372">
        <f>IFERROR(INDEX(PP_Grid[#Data],$DE1372,90),0)</f>
        <v/>
      </c>
      <c r="CP1372">
        <f>IFERROR(INDEX(PP_Grid[#Data],$DE1372,91),0)</f>
        <v/>
      </c>
      <c r="CQ1372">
        <f>IFERROR(INDEX(PP_Grid[#Data],$DE1372,92),0)</f>
        <v/>
      </c>
      <c r="CR1372">
        <f>IFERROR(INDEX(PP_Grid[#Data],$DE1372,93),0)</f>
        <v/>
      </c>
      <c r="CS1372">
        <f>IFERROR(INDEX(PP_Grid[#Data],$DE1372,94),0)</f>
        <v/>
      </c>
      <c r="CT1372">
        <f>IFERROR(INDEX(PP_Grid[#Data],$DE1372,95),0)</f>
        <v/>
      </c>
      <c r="CU1372">
        <f>IFERROR(INDEX(PP_Grid[#Data],$DE1372,96),0)</f>
        <v/>
      </c>
      <c r="CV1372">
        <f>IFERROR(INDEX(PP_Grid[#Data],$DE1372,97),0)</f>
        <v/>
      </c>
      <c r="CW1372">
        <f>IFERROR(INDEX(PP_Grid[#Data],$DE1372,98),0)</f>
        <v/>
      </c>
      <c r="CX1372">
        <f>IFERROR(INDEX(PP_Grid[#Data],$DE1372,99),0)</f>
        <v/>
      </c>
      <c r="CY1372">
        <f>IFERROR(INDEX(PP_Grid[#Data],$DE1372,100),0)</f>
        <v/>
      </c>
      <c r="CZ1372">
        <f>IFERROR(INDEX(PP_Grid[#Data],$DE1372,101),0)</f>
        <v/>
      </c>
      <c r="DA1372">
        <f>IFERROR(INDEX(PP_Grid[#Data],$DE1372,102),0)</f>
        <v/>
      </c>
      <c r="DB1372">
        <f>IFERROR(INDEX(PP_Grid[#Data],$DE1372,103),0)</f>
        <v/>
      </c>
      <c r="DC1372">
        <f>IFERROR(INDEX(PP_Grid[#Data],$DE1372,104),0)</f>
        <v/>
      </c>
      <c r="DD1372">
        <f>IFERROR(INDEX(PP_Grid[#Data],$DE1372,105),0)</f>
        <v/>
      </c>
      <c r="DE1372" s="7">
        <f>IFERROR(MATCH($B1372,PP_Grid[Intermediate],0),99999)</f>
        <v/>
      </c>
    </row>
    <row r="1373">
      <c r="B1373" t="inlineStr">
        <is>
          <t>使用量(kg)</t>
        </is>
      </c>
      <c r="C1373">
        <f>SUMIFS(M_BOM[RM_Qty_Per_Batch],M_BOM[Intermediate],$B1372,M_BOM[RM_Code],$A1349)</f>
        <v/>
      </c>
      <c r="D1373">
        <f>IFERROR(INDEX(E1373:DD1373,$F$1),"")</f>
        <v/>
      </c>
      <c r="E1373">
        <f>$C1373*E1372</f>
        <v/>
      </c>
      <c r="F1373">
        <f>$C1373*F1372</f>
        <v/>
      </c>
      <c r="G1373">
        <f>$C1373*G1372</f>
        <v/>
      </c>
      <c r="H1373">
        <f>$C1373*H1372</f>
        <v/>
      </c>
      <c r="I1373">
        <f>$C1373*I1372</f>
        <v/>
      </c>
      <c r="J1373">
        <f>$C1373*J1372</f>
        <v/>
      </c>
      <c r="K1373">
        <f>$C1373*K1372</f>
        <v/>
      </c>
      <c r="L1373">
        <f>$C1373*L1372</f>
        <v/>
      </c>
      <c r="M1373">
        <f>$C1373*M1372</f>
        <v/>
      </c>
      <c r="N1373">
        <f>$C1373*N1372</f>
        <v/>
      </c>
      <c r="O1373">
        <f>$C1373*O1372</f>
        <v/>
      </c>
      <c r="P1373">
        <f>$C1373*P1372</f>
        <v/>
      </c>
      <c r="Q1373">
        <f>$C1373*Q1372</f>
        <v/>
      </c>
      <c r="R1373">
        <f>$C1373*R1372</f>
        <v/>
      </c>
      <c r="S1373">
        <f>$C1373*S1372</f>
        <v/>
      </c>
      <c r="T1373">
        <f>$C1373*T1372</f>
        <v/>
      </c>
      <c r="U1373">
        <f>$C1373*U1372</f>
        <v/>
      </c>
      <c r="V1373">
        <f>$C1373*V1372</f>
        <v/>
      </c>
      <c r="W1373">
        <f>$C1373*W1372</f>
        <v/>
      </c>
      <c r="X1373">
        <f>$C1373*X1372</f>
        <v/>
      </c>
      <c r="Y1373">
        <f>$C1373*Y1372</f>
        <v/>
      </c>
      <c r="Z1373">
        <f>$C1373*Z1372</f>
        <v/>
      </c>
      <c r="AA1373">
        <f>$C1373*AA1372</f>
        <v/>
      </c>
      <c r="AB1373">
        <f>$C1373*AB1372</f>
        <v/>
      </c>
      <c r="AC1373">
        <f>$C1373*AC1372</f>
        <v/>
      </c>
      <c r="AD1373">
        <f>$C1373*AD1372</f>
        <v/>
      </c>
      <c r="AE1373">
        <f>$C1373*AE1372</f>
        <v/>
      </c>
      <c r="AF1373">
        <f>$C1373*AF1372</f>
        <v/>
      </c>
      <c r="AG1373">
        <f>$C1373*AG1372</f>
        <v/>
      </c>
      <c r="AH1373">
        <f>$C1373*AH1372</f>
        <v/>
      </c>
      <c r="AI1373">
        <f>$C1373*AI1372</f>
        <v/>
      </c>
      <c r="AJ1373">
        <f>$C1373*AJ1372</f>
        <v/>
      </c>
      <c r="AK1373">
        <f>$C1373*AK1372</f>
        <v/>
      </c>
      <c r="AL1373">
        <f>$C1373*AL1372</f>
        <v/>
      </c>
      <c r="AM1373">
        <f>$C1373*AM1372</f>
        <v/>
      </c>
      <c r="AN1373">
        <f>$C1373*AN1372</f>
        <v/>
      </c>
      <c r="AO1373">
        <f>$C1373*AO1372</f>
        <v/>
      </c>
      <c r="AP1373">
        <f>$C1373*AP1372</f>
        <v/>
      </c>
      <c r="AQ1373">
        <f>$C1373*AQ1372</f>
        <v/>
      </c>
      <c r="AR1373">
        <f>$C1373*AR1372</f>
        <v/>
      </c>
      <c r="AS1373">
        <f>$C1373*AS1372</f>
        <v/>
      </c>
      <c r="AT1373">
        <f>$C1373*AT1372</f>
        <v/>
      </c>
      <c r="AU1373">
        <f>$C1373*AU1372</f>
        <v/>
      </c>
      <c r="AV1373">
        <f>$C1373*AV1372</f>
        <v/>
      </c>
      <c r="AW1373">
        <f>$C1373*AW1372</f>
        <v/>
      </c>
      <c r="AX1373">
        <f>$C1373*AX1372</f>
        <v/>
      </c>
      <c r="AY1373">
        <f>$C1373*AY1372</f>
        <v/>
      </c>
      <c r="AZ1373">
        <f>$C1373*AZ1372</f>
        <v/>
      </c>
      <c r="BA1373">
        <f>$C1373*BA1372</f>
        <v/>
      </c>
      <c r="BB1373">
        <f>$C1373*BB1372</f>
        <v/>
      </c>
      <c r="BC1373">
        <f>$C1373*BC1372</f>
        <v/>
      </c>
      <c r="BD1373">
        <f>$C1373*BD1372</f>
        <v/>
      </c>
      <c r="BE1373">
        <f>$C1373*BE1372</f>
        <v/>
      </c>
      <c r="BF1373">
        <f>$C1373*BF1372</f>
        <v/>
      </c>
      <c r="BG1373">
        <f>$C1373*BG1372</f>
        <v/>
      </c>
      <c r="BH1373">
        <f>$C1373*BH1372</f>
        <v/>
      </c>
      <c r="BI1373">
        <f>$C1373*BI1372</f>
        <v/>
      </c>
      <c r="BJ1373">
        <f>$C1373*BJ1372</f>
        <v/>
      </c>
      <c r="BK1373">
        <f>$C1373*BK1372</f>
        <v/>
      </c>
      <c r="BL1373">
        <f>$C1373*BL1372</f>
        <v/>
      </c>
      <c r="BM1373">
        <f>$C1373*BM1372</f>
        <v/>
      </c>
      <c r="BN1373">
        <f>$C1373*BN1372</f>
        <v/>
      </c>
      <c r="BO1373">
        <f>$C1373*BO1372</f>
        <v/>
      </c>
      <c r="BP1373">
        <f>$C1373*BP1372</f>
        <v/>
      </c>
      <c r="BQ1373">
        <f>$C1373*BQ1372</f>
        <v/>
      </c>
      <c r="BR1373">
        <f>$C1373*BR1372</f>
        <v/>
      </c>
      <c r="BS1373">
        <f>$C1373*BS1372</f>
        <v/>
      </c>
      <c r="BT1373">
        <f>$C1373*BT1372</f>
        <v/>
      </c>
      <c r="BU1373">
        <f>$C1373*BU1372</f>
        <v/>
      </c>
      <c r="BV1373">
        <f>$C1373*BV1372</f>
        <v/>
      </c>
      <c r="BW1373">
        <f>$C1373*BW1372</f>
        <v/>
      </c>
      <c r="BX1373">
        <f>$C1373*BX1372</f>
        <v/>
      </c>
      <c r="BY1373">
        <f>$C1373*BY1372</f>
        <v/>
      </c>
      <c r="BZ1373">
        <f>$C1373*BZ1372</f>
        <v/>
      </c>
      <c r="CA1373">
        <f>$C1373*CA1372</f>
        <v/>
      </c>
      <c r="CB1373">
        <f>$C1373*CB1372</f>
        <v/>
      </c>
      <c r="CC1373">
        <f>$C1373*CC1372</f>
        <v/>
      </c>
      <c r="CD1373">
        <f>$C1373*CD1372</f>
        <v/>
      </c>
      <c r="CE1373">
        <f>$C1373*CE1372</f>
        <v/>
      </c>
      <c r="CF1373">
        <f>$C1373*CF1372</f>
        <v/>
      </c>
      <c r="CG1373">
        <f>$C1373*CG1372</f>
        <v/>
      </c>
      <c r="CH1373">
        <f>$C1373*CH1372</f>
        <v/>
      </c>
      <c r="CI1373">
        <f>$C1373*CI1372</f>
        <v/>
      </c>
      <c r="CJ1373">
        <f>$C1373*CJ1372</f>
        <v/>
      </c>
      <c r="CK1373">
        <f>$C1373*CK1372</f>
        <v/>
      </c>
      <c r="CL1373">
        <f>$C1373*CL1372</f>
        <v/>
      </c>
      <c r="CM1373">
        <f>$C1373*CM1372</f>
        <v/>
      </c>
      <c r="CN1373">
        <f>$C1373*CN1372</f>
        <v/>
      </c>
      <c r="CO1373">
        <f>$C1373*CO1372</f>
        <v/>
      </c>
      <c r="CP1373">
        <f>$C1373*CP1372</f>
        <v/>
      </c>
      <c r="CQ1373">
        <f>$C1373*CQ1372</f>
        <v/>
      </c>
      <c r="CR1373">
        <f>$C1373*CR1372</f>
        <v/>
      </c>
      <c r="CS1373">
        <f>$C1373*CS1372</f>
        <v/>
      </c>
      <c r="CT1373">
        <f>$C1373*CT1372</f>
        <v/>
      </c>
      <c r="CU1373">
        <f>$C1373*CU1372</f>
        <v/>
      </c>
      <c r="CV1373">
        <f>$C1373*CV1372</f>
        <v/>
      </c>
      <c r="CW1373">
        <f>$C1373*CW1372</f>
        <v/>
      </c>
      <c r="CX1373">
        <f>$C1373*CX1372</f>
        <v/>
      </c>
      <c r="CY1373">
        <f>$C1373*CY1372</f>
        <v/>
      </c>
      <c r="CZ1373">
        <f>$C1373*CZ1372</f>
        <v/>
      </c>
      <c r="DA1373">
        <f>$C1373*DA1372</f>
        <v/>
      </c>
      <c r="DB1373">
        <f>$C1373*DB1372</f>
        <v/>
      </c>
      <c r="DC1373">
        <f>$C1373*DC1372</f>
        <v/>
      </c>
      <c r="DD1373">
        <f>$C1373*DD1372</f>
        <v/>
      </c>
    </row>
    <row r="1374">
      <c r="B1374" t="inlineStr">
        <is>
          <t>TSP-1445</t>
        </is>
      </c>
      <c r="C1374" t="inlineStr">
        <is>
          <t>No. of batches</t>
        </is>
      </c>
      <c r="D1374">
        <f>IFERROR(INDEX(E1374:DD1374,$F$1),"")</f>
        <v/>
      </c>
      <c r="E1374">
        <f>IFERROR(INDEX(PP_Grid[#Data],$DE1374,2),0)</f>
        <v/>
      </c>
      <c r="F1374">
        <f>IFERROR(INDEX(PP_Grid[#Data],$DE1374,3),0)</f>
        <v/>
      </c>
      <c r="G1374">
        <f>IFERROR(INDEX(PP_Grid[#Data],$DE1374,4),0)</f>
        <v/>
      </c>
      <c r="H1374">
        <f>IFERROR(INDEX(PP_Grid[#Data],$DE1374,5),0)</f>
        <v/>
      </c>
      <c r="I1374">
        <f>IFERROR(INDEX(PP_Grid[#Data],$DE1374,6),0)</f>
        <v/>
      </c>
      <c r="J1374">
        <f>IFERROR(INDEX(PP_Grid[#Data],$DE1374,7),0)</f>
        <v/>
      </c>
      <c r="K1374">
        <f>IFERROR(INDEX(PP_Grid[#Data],$DE1374,8),0)</f>
        <v/>
      </c>
      <c r="L1374">
        <f>IFERROR(INDEX(PP_Grid[#Data],$DE1374,9),0)</f>
        <v/>
      </c>
      <c r="M1374">
        <f>IFERROR(INDEX(PP_Grid[#Data],$DE1374,10),0)</f>
        <v/>
      </c>
      <c r="N1374">
        <f>IFERROR(INDEX(PP_Grid[#Data],$DE1374,11),0)</f>
        <v/>
      </c>
      <c r="O1374">
        <f>IFERROR(INDEX(PP_Grid[#Data],$DE1374,12),0)</f>
        <v/>
      </c>
      <c r="P1374">
        <f>IFERROR(INDEX(PP_Grid[#Data],$DE1374,13),0)</f>
        <v/>
      </c>
      <c r="Q1374">
        <f>IFERROR(INDEX(PP_Grid[#Data],$DE1374,14),0)</f>
        <v/>
      </c>
      <c r="R1374">
        <f>IFERROR(INDEX(PP_Grid[#Data],$DE1374,15),0)</f>
        <v/>
      </c>
      <c r="S1374">
        <f>IFERROR(INDEX(PP_Grid[#Data],$DE1374,16),0)</f>
        <v/>
      </c>
      <c r="T1374">
        <f>IFERROR(INDEX(PP_Grid[#Data],$DE1374,17),0)</f>
        <v/>
      </c>
      <c r="U1374">
        <f>IFERROR(INDEX(PP_Grid[#Data],$DE1374,18),0)</f>
        <v/>
      </c>
      <c r="V1374">
        <f>IFERROR(INDEX(PP_Grid[#Data],$DE1374,19),0)</f>
        <v/>
      </c>
      <c r="W1374">
        <f>IFERROR(INDEX(PP_Grid[#Data],$DE1374,20),0)</f>
        <v/>
      </c>
      <c r="X1374">
        <f>IFERROR(INDEX(PP_Grid[#Data],$DE1374,21),0)</f>
        <v/>
      </c>
      <c r="Y1374">
        <f>IFERROR(INDEX(PP_Grid[#Data],$DE1374,22),0)</f>
        <v/>
      </c>
      <c r="Z1374">
        <f>IFERROR(INDEX(PP_Grid[#Data],$DE1374,23),0)</f>
        <v/>
      </c>
      <c r="AA1374">
        <f>IFERROR(INDEX(PP_Grid[#Data],$DE1374,24),0)</f>
        <v/>
      </c>
      <c r="AB1374">
        <f>IFERROR(INDEX(PP_Grid[#Data],$DE1374,25),0)</f>
        <v/>
      </c>
      <c r="AC1374">
        <f>IFERROR(INDEX(PP_Grid[#Data],$DE1374,26),0)</f>
        <v/>
      </c>
      <c r="AD1374">
        <f>IFERROR(INDEX(PP_Grid[#Data],$DE1374,27),0)</f>
        <v/>
      </c>
      <c r="AE1374">
        <f>IFERROR(INDEX(PP_Grid[#Data],$DE1374,28),0)</f>
        <v/>
      </c>
      <c r="AF1374">
        <f>IFERROR(INDEX(PP_Grid[#Data],$DE1374,29),0)</f>
        <v/>
      </c>
      <c r="AG1374">
        <f>IFERROR(INDEX(PP_Grid[#Data],$DE1374,30),0)</f>
        <v/>
      </c>
      <c r="AH1374">
        <f>IFERROR(INDEX(PP_Grid[#Data],$DE1374,31),0)</f>
        <v/>
      </c>
      <c r="AI1374">
        <f>IFERROR(INDEX(PP_Grid[#Data],$DE1374,32),0)</f>
        <v/>
      </c>
      <c r="AJ1374">
        <f>IFERROR(INDEX(PP_Grid[#Data],$DE1374,33),0)</f>
        <v/>
      </c>
      <c r="AK1374">
        <f>IFERROR(INDEX(PP_Grid[#Data],$DE1374,34),0)</f>
        <v/>
      </c>
      <c r="AL1374">
        <f>IFERROR(INDEX(PP_Grid[#Data],$DE1374,35),0)</f>
        <v/>
      </c>
      <c r="AM1374">
        <f>IFERROR(INDEX(PP_Grid[#Data],$DE1374,36),0)</f>
        <v/>
      </c>
      <c r="AN1374">
        <f>IFERROR(INDEX(PP_Grid[#Data],$DE1374,37),0)</f>
        <v/>
      </c>
      <c r="AO1374">
        <f>IFERROR(INDEX(PP_Grid[#Data],$DE1374,38),0)</f>
        <v/>
      </c>
      <c r="AP1374">
        <f>IFERROR(INDEX(PP_Grid[#Data],$DE1374,39),0)</f>
        <v/>
      </c>
      <c r="AQ1374">
        <f>IFERROR(INDEX(PP_Grid[#Data],$DE1374,40),0)</f>
        <v/>
      </c>
      <c r="AR1374">
        <f>IFERROR(INDEX(PP_Grid[#Data],$DE1374,41),0)</f>
        <v/>
      </c>
      <c r="AS1374">
        <f>IFERROR(INDEX(PP_Grid[#Data],$DE1374,42),0)</f>
        <v/>
      </c>
      <c r="AT1374">
        <f>IFERROR(INDEX(PP_Grid[#Data],$DE1374,43),0)</f>
        <v/>
      </c>
      <c r="AU1374">
        <f>IFERROR(INDEX(PP_Grid[#Data],$DE1374,44),0)</f>
        <v/>
      </c>
      <c r="AV1374">
        <f>IFERROR(INDEX(PP_Grid[#Data],$DE1374,45),0)</f>
        <v/>
      </c>
      <c r="AW1374">
        <f>IFERROR(INDEX(PP_Grid[#Data],$DE1374,46),0)</f>
        <v/>
      </c>
      <c r="AX1374">
        <f>IFERROR(INDEX(PP_Grid[#Data],$DE1374,47),0)</f>
        <v/>
      </c>
      <c r="AY1374">
        <f>IFERROR(INDEX(PP_Grid[#Data],$DE1374,48),0)</f>
        <v/>
      </c>
      <c r="AZ1374">
        <f>IFERROR(INDEX(PP_Grid[#Data],$DE1374,49),0)</f>
        <v/>
      </c>
      <c r="BA1374">
        <f>IFERROR(INDEX(PP_Grid[#Data],$DE1374,50),0)</f>
        <v/>
      </c>
      <c r="BB1374">
        <f>IFERROR(INDEX(PP_Grid[#Data],$DE1374,51),0)</f>
        <v/>
      </c>
      <c r="BC1374">
        <f>IFERROR(INDEX(PP_Grid[#Data],$DE1374,52),0)</f>
        <v/>
      </c>
      <c r="BD1374">
        <f>IFERROR(INDEX(PP_Grid[#Data],$DE1374,53),0)</f>
        <v/>
      </c>
      <c r="BE1374">
        <f>IFERROR(INDEX(PP_Grid[#Data],$DE1374,54),0)</f>
        <v/>
      </c>
      <c r="BF1374">
        <f>IFERROR(INDEX(PP_Grid[#Data],$DE1374,55),0)</f>
        <v/>
      </c>
      <c r="BG1374">
        <f>IFERROR(INDEX(PP_Grid[#Data],$DE1374,56),0)</f>
        <v/>
      </c>
      <c r="BH1374">
        <f>IFERROR(INDEX(PP_Grid[#Data],$DE1374,57),0)</f>
        <v/>
      </c>
      <c r="BI1374">
        <f>IFERROR(INDEX(PP_Grid[#Data],$DE1374,58),0)</f>
        <v/>
      </c>
      <c r="BJ1374">
        <f>IFERROR(INDEX(PP_Grid[#Data],$DE1374,59),0)</f>
        <v/>
      </c>
      <c r="BK1374">
        <f>IFERROR(INDEX(PP_Grid[#Data],$DE1374,60),0)</f>
        <v/>
      </c>
      <c r="BL1374">
        <f>IFERROR(INDEX(PP_Grid[#Data],$DE1374,61),0)</f>
        <v/>
      </c>
      <c r="BM1374">
        <f>IFERROR(INDEX(PP_Grid[#Data],$DE1374,62),0)</f>
        <v/>
      </c>
      <c r="BN1374">
        <f>IFERROR(INDEX(PP_Grid[#Data],$DE1374,63),0)</f>
        <v/>
      </c>
      <c r="BO1374">
        <f>IFERROR(INDEX(PP_Grid[#Data],$DE1374,64),0)</f>
        <v/>
      </c>
      <c r="BP1374">
        <f>IFERROR(INDEX(PP_Grid[#Data],$DE1374,65),0)</f>
        <v/>
      </c>
      <c r="BQ1374">
        <f>IFERROR(INDEX(PP_Grid[#Data],$DE1374,66),0)</f>
        <v/>
      </c>
      <c r="BR1374">
        <f>IFERROR(INDEX(PP_Grid[#Data],$DE1374,67),0)</f>
        <v/>
      </c>
      <c r="BS1374">
        <f>IFERROR(INDEX(PP_Grid[#Data],$DE1374,68),0)</f>
        <v/>
      </c>
      <c r="BT1374">
        <f>IFERROR(INDEX(PP_Grid[#Data],$DE1374,69),0)</f>
        <v/>
      </c>
      <c r="BU1374">
        <f>IFERROR(INDEX(PP_Grid[#Data],$DE1374,70),0)</f>
        <v/>
      </c>
      <c r="BV1374">
        <f>IFERROR(INDEX(PP_Grid[#Data],$DE1374,71),0)</f>
        <v/>
      </c>
      <c r="BW1374">
        <f>IFERROR(INDEX(PP_Grid[#Data],$DE1374,72),0)</f>
        <v/>
      </c>
      <c r="BX1374">
        <f>IFERROR(INDEX(PP_Grid[#Data],$DE1374,73),0)</f>
        <v/>
      </c>
      <c r="BY1374">
        <f>IFERROR(INDEX(PP_Grid[#Data],$DE1374,74),0)</f>
        <v/>
      </c>
      <c r="BZ1374">
        <f>IFERROR(INDEX(PP_Grid[#Data],$DE1374,75),0)</f>
        <v/>
      </c>
      <c r="CA1374">
        <f>IFERROR(INDEX(PP_Grid[#Data],$DE1374,76),0)</f>
        <v/>
      </c>
      <c r="CB1374">
        <f>IFERROR(INDEX(PP_Grid[#Data],$DE1374,77),0)</f>
        <v/>
      </c>
      <c r="CC1374">
        <f>IFERROR(INDEX(PP_Grid[#Data],$DE1374,78),0)</f>
        <v/>
      </c>
      <c r="CD1374">
        <f>IFERROR(INDEX(PP_Grid[#Data],$DE1374,79),0)</f>
        <v/>
      </c>
      <c r="CE1374">
        <f>IFERROR(INDEX(PP_Grid[#Data],$DE1374,80),0)</f>
        <v/>
      </c>
      <c r="CF1374">
        <f>IFERROR(INDEX(PP_Grid[#Data],$DE1374,81),0)</f>
        <v/>
      </c>
      <c r="CG1374">
        <f>IFERROR(INDEX(PP_Grid[#Data],$DE1374,82),0)</f>
        <v/>
      </c>
      <c r="CH1374">
        <f>IFERROR(INDEX(PP_Grid[#Data],$DE1374,83),0)</f>
        <v/>
      </c>
      <c r="CI1374">
        <f>IFERROR(INDEX(PP_Grid[#Data],$DE1374,84),0)</f>
        <v/>
      </c>
      <c r="CJ1374">
        <f>IFERROR(INDEX(PP_Grid[#Data],$DE1374,85),0)</f>
        <v/>
      </c>
      <c r="CK1374">
        <f>IFERROR(INDEX(PP_Grid[#Data],$DE1374,86),0)</f>
        <v/>
      </c>
      <c r="CL1374">
        <f>IFERROR(INDEX(PP_Grid[#Data],$DE1374,87),0)</f>
        <v/>
      </c>
      <c r="CM1374">
        <f>IFERROR(INDEX(PP_Grid[#Data],$DE1374,88),0)</f>
        <v/>
      </c>
      <c r="CN1374">
        <f>IFERROR(INDEX(PP_Grid[#Data],$DE1374,89),0)</f>
        <v/>
      </c>
      <c r="CO1374">
        <f>IFERROR(INDEX(PP_Grid[#Data],$DE1374,90),0)</f>
        <v/>
      </c>
      <c r="CP1374">
        <f>IFERROR(INDEX(PP_Grid[#Data],$DE1374,91),0)</f>
        <v/>
      </c>
      <c r="CQ1374">
        <f>IFERROR(INDEX(PP_Grid[#Data],$DE1374,92),0)</f>
        <v/>
      </c>
      <c r="CR1374">
        <f>IFERROR(INDEX(PP_Grid[#Data],$DE1374,93),0)</f>
        <v/>
      </c>
      <c r="CS1374">
        <f>IFERROR(INDEX(PP_Grid[#Data],$DE1374,94),0)</f>
        <v/>
      </c>
      <c r="CT1374">
        <f>IFERROR(INDEX(PP_Grid[#Data],$DE1374,95),0)</f>
        <v/>
      </c>
      <c r="CU1374">
        <f>IFERROR(INDEX(PP_Grid[#Data],$DE1374,96),0)</f>
        <v/>
      </c>
      <c r="CV1374">
        <f>IFERROR(INDEX(PP_Grid[#Data],$DE1374,97),0)</f>
        <v/>
      </c>
      <c r="CW1374">
        <f>IFERROR(INDEX(PP_Grid[#Data],$DE1374,98),0)</f>
        <v/>
      </c>
      <c r="CX1374">
        <f>IFERROR(INDEX(PP_Grid[#Data],$DE1374,99),0)</f>
        <v/>
      </c>
      <c r="CY1374">
        <f>IFERROR(INDEX(PP_Grid[#Data],$DE1374,100),0)</f>
        <v/>
      </c>
      <c r="CZ1374">
        <f>IFERROR(INDEX(PP_Grid[#Data],$DE1374,101),0)</f>
        <v/>
      </c>
      <c r="DA1374">
        <f>IFERROR(INDEX(PP_Grid[#Data],$DE1374,102),0)</f>
        <v/>
      </c>
      <c r="DB1374">
        <f>IFERROR(INDEX(PP_Grid[#Data],$DE1374,103),0)</f>
        <v/>
      </c>
      <c r="DC1374">
        <f>IFERROR(INDEX(PP_Grid[#Data],$DE1374,104),0)</f>
        <v/>
      </c>
      <c r="DD1374">
        <f>IFERROR(INDEX(PP_Grid[#Data],$DE1374,105),0)</f>
        <v/>
      </c>
      <c r="DE1374" s="7">
        <f>IFERROR(MATCH($B1374,PP_Grid[Intermediate],0),99999)</f>
        <v/>
      </c>
    </row>
    <row r="1375">
      <c r="B1375" t="inlineStr">
        <is>
          <t>使用量(kg)</t>
        </is>
      </c>
      <c r="C1375">
        <f>SUMIFS(M_BOM[RM_Qty_Per_Batch],M_BOM[Intermediate],$B1374,M_BOM[RM_Code],$A1349)</f>
        <v/>
      </c>
      <c r="D1375">
        <f>IFERROR(INDEX(E1375:DD1375,$F$1),"")</f>
        <v/>
      </c>
      <c r="E1375">
        <f>$C1375*E1374</f>
        <v/>
      </c>
      <c r="F1375">
        <f>$C1375*F1374</f>
        <v/>
      </c>
      <c r="G1375">
        <f>$C1375*G1374</f>
        <v/>
      </c>
      <c r="H1375">
        <f>$C1375*H1374</f>
        <v/>
      </c>
      <c r="I1375">
        <f>$C1375*I1374</f>
        <v/>
      </c>
      <c r="J1375">
        <f>$C1375*J1374</f>
        <v/>
      </c>
      <c r="K1375">
        <f>$C1375*K1374</f>
        <v/>
      </c>
      <c r="L1375">
        <f>$C1375*L1374</f>
        <v/>
      </c>
      <c r="M1375">
        <f>$C1375*M1374</f>
        <v/>
      </c>
      <c r="N1375">
        <f>$C1375*N1374</f>
        <v/>
      </c>
      <c r="O1375">
        <f>$C1375*O1374</f>
        <v/>
      </c>
      <c r="P1375">
        <f>$C1375*P1374</f>
        <v/>
      </c>
      <c r="Q1375">
        <f>$C1375*Q1374</f>
        <v/>
      </c>
      <c r="R1375">
        <f>$C1375*R1374</f>
        <v/>
      </c>
      <c r="S1375">
        <f>$C1375*S1374</f>
        <v/>
      </c>
      <c r="T1375">
        <f>$C1375*T1374</f>
        <v/>
      </c>
      <c r="U1375">
        <f>$C1375*U1374</f>
        <v/>
      </c>
      <c r="V1375">
        <f>$C1375*V1374</f>
        <v/>
      </c>
      <c r="W1375">
        <f>$C1375*W1374</f>
        <v/>
      </c>
      <c r="X1375">
        <f>$C1375*X1374</f>
        <v/>
      </c>
      <c r="Y1375">
        <f>$C1375*Y1374</f>
        <v/>
      </c>
      <c r="Z1375">
        <f>$C1375*Z1374</f>
        <v/>
      </c>
      <c r="AA1375">
        <f>$C1375*AA1374</f>
        <v/>
      </c>
      <c r="AB1375">
        <f>$C1375*AB1374</f>
        <v/>
      </c>
      <c r="AC1375">
        <f>$C1375*AC1374</f>
        <v/>
      </c>
      <c r="AD1375">
        <f>$C1375*AD1374</f>
        <v/>
      </c>
      <c r="AE1375">
        <f>$C1375*AE1374</f>
        <v/>
      </c>
      <c r="AF1375">
        <f>$C1375*AF1374</f>
        <v/>
      </c>
      <c r="AG1375">
        <f>$C1375*AG1374</f>
        <v/>
      </c>
      <c r="AH1375">
        <f>$C1375*AH1374</f>
        <v/>
      </c>
      <c r="AI1375">
        <f>$C1375*AI1374</f>
        <v/>
      </c>
      <c r="AJ1375">
        <f>$C1375*AJ1374</f>
        <v/>
      </c>
      <c r="AK1375">
        <f>$C1375*AK1374</f>
        <v/>
      </c>
      <c r="AL1375">
        <f>$C1375*AL1374</f>
        <v/>
      </c>
      <c r="AM1375">
        <f>$C1375*AM1374</f>
        <v/>
      </c>
      <c r="AN1375">
        <f>$C1375*AN1374</f>
        <v/>
      </c>
      <c r="AO1375">
        <f>$C1375*AO1374</f>
        <v/>
      </c>
      <c r="AP1375">
        <f>$C1375*AP1374</f>
        <v/>
      </c>
      <c r="AQ1375">
        <f>$C1375*AQ1374</f>
        <v/>
      </c>
      <c r="AR1375">
        <f>$C1375*AR1374</f>
        <v/>
      </c>
      <c r="AS1375">
        <f>$C1375*AS1374</f>
        <v/>
      </c>
      <c r="AT1375">
        <f>$C1375*AT1374</f>
        <v/>
      </c>
      <c r="AU1375">
        <f>$C1375*AU1374</f>
        <v/>
      </c>
      <c r="AV1375">
        <f>$C1375*AV1374</f>
        <v/>
      </c>
      <c r="AW1375">
        <f>$C1375*AW1374</f>
        <v/>
      </c>
      <c r="AX1375">
        <f>$C1375*AX1374</f>
        <v/>
      </c>
      <c r="AY1375">
        <f>$C1375*AY1374</f>
        <v/>
      </c>
      <c r="AZ1375">
        <f>$C1375*AZ1374</f>
        <v/>
      </c>
      <c r="BA1375">
        <f>$C1375*BA1374</f>
        <v/>
      </c>
      <c r="BB1375">
        <f>$C1375*BB1374</f>
        <v/>
      </c>
      <c r="BC1375">
        <f>$C1375*BC1374</f>
        <v/>
      </c>
      <c r="BD1375">
        <f>$C1375*BD1374</f>
        <v/>
      </c>
      <c r="BE1375">
        <f>$C1375*BE1374</f>
        <v/>
      </c>
      <c r="BF1375">
        <f>$C1375*BF1374</f>
        <v/>
      </c>
      <c r="BG1375">
        <f>$C1375*BG1374</f>
        <v/>
      </c>
      <c r="BH1375">
        <f>$C1375*BH1374</f>
        <v/>
      </c>
      <c r="BI1375">
        <f>$C1375*BI1374</f>
        <v/>
      </c>
      <c r="BJ1375">
        <f>$C1375*BJ1374</f>
        <v/>
      </c>
      <c r="BK1375">
        <f>$C1375*BK1374</f>
        <v/>
      </c>
      <c r="BL1375">
        <f>$C1375*BL1374</f>
        <v/>
      </c>
      <c r="BM1375">
        <f>$C1375*BM1374</f>
        <v/>
      </c>
      <c r="BN1375">
        <f>$C1375*BN1374</f>
        <v/>
      </c>
      <c r="BO1375">
        <f>$C1375*BO1374</f>
        <v/>
      </c>
      <c r="BP1375">
        <f>$C1375*BP1374</f>
        <v/>
      </c>
      <c r="BQ1375">
        <f>$C1375*BQ1374</f>
        <v/>
      </c>
      <c r="BR1375">
        <f>$C1375*BR1374</f>
        <v/>
      </c>
      <c r="BS1375">
        <f>$C1375*BS1374</f>
        <v/>
      </c>
      <c r="BT1375">
        <f>$C1375*BT1374</f>
        <v/>
      </c>
      <c r="BU1375">
        <f>$C1375*BU1374</f>
        <v/>
      </c>
      <c r="BV1375">
        <f>$C1375*BV1374</f>
        <v/>
      </c>
      <c r="BW1375">
        <f>$C1375*BW1374</f>
        <v/>
      </c>
      <c r="BX1375">
        <f>$C1375*BX1374</f>
        <v/>
      </c>
      <c r="BY1375">
        <f>$C1375*BY1374</f>
        <v/>
      </c>
      <c r="BZ1375">
        <f>$C1375*BZ1374</f>
        <v/>
      </c>
      <c r="CA1375">
        <f>$C1375*CA1374</f>
        <v/>
      </c>
      <c r="CB1375">
        <f>$C1375*CB1374</f>
        <v/>
      </c>
      <c r="CC1375">
        <f>$C1375*CC1374</f>
        <v/>
      </c>
      <c r="CD1375">
        <f>$C1375*CD1374</f>
        <v/>
      </c>
      <c r="CE1375">
        <f>$C1375*CE1374</f>
        <v/>
      </c>
      <c r="CF1375">
        <f>$C1375*CF1374</f>
        <v/>
      </c>
      <c r="CG1375">
        <f>$C1375*CG1374</f>
        <v/>
      </c>
      <c r="CH1375">
        <f>$C1375*CH1374</f>
        <v/>
      </c>
      <c r="CI1375">
        <f>$C1375*CI1374</f>
        <v/>
      </c>
      <c r="CJ1375">
        <f>$C1375*CJ1374</f>
        <v/>
      </c>
      <c r="CK1375">
        <f>$C1375*CK1374</f>
        <v/>
      </c>
      <c r="CL1375">
        <f>$C1375*CL1374</f>
        <v/>
      </c>
      <c r="CM1375">
        <f>$C1375*CM1374</f>
        <v/>
      </c>
      <c r="CN1375">
        <f>$C1375*CN1374</f>
        <v/>
      </c>
      <c r="CO1375">
        <f>$C1375*CO1374</f>
        <v/>
      </c>
      <c r="CP1375">
        <f>$C1375*CP1374</f>
        <v/>
      </c>
      <c r="CQ1375">
        <f>$C1375*CQ1374</f>
        <v/>
      </c>
      <c r="CR1375">
        <f>$C1375*CR1374</f>
        <v/>
      </c>
      <c r="CS1375">
        <f>$C1375*CS1374</f>
        <v/>
      </c>
      <c r="CT1375">
        <f>$C1375*CT1374</f>
        <v/>
      </c>
      <c r="CU1375">
        <f>$C1375*CU1374</f>
        <v/>
      </c>
      <c r="CV1375">
        <f>$C1375*CV1374</f>
        <v/>
      </c>
      <c r="CW1375">
        <f>$C1375*CW1374</f>
        <v/>
      </c>
      <c r="CX1375">
        <f>$C1375*CX1374</f>
        <v/>
      </c>
      <c r="CY1375">
        <f>$C1375*CY1374</f>
        <v/>
      </c>
      <c r="CZ1375">
        <f>$C1375*CZ1374</f>
        <v/>
      </c>
      <c r="DA1375">
        <f>$C1375*DA1374</f>
        <v/>
      </c>
      <c r="DB1375">
        <f>$C1375*DB1374</f>
        <v/>
      </c>
      <c r="DC1375">
        <f>$C1375*DC1374</f>
        <v/>
      </c>
      <c r="DD1375">
        <f>$C1375*DD1374</f>
        <v/>
      </c>
    </row>
    <row r="1376">
      <c r="B1376" t="inlineStr">
        <is>
          <t>TSP-1446</t>
        </is>
      </c>
      <c r="C1376" t="inlineStr">
        <is>
          <t>No. of batches</t>
        </is>
      </c>
      <c r="D1376">
        <f>IFERROR(INDEX(E1376:DD1376,$F$1),"")</f>
        <v/>
      </c>
      <c r="E1376">
        <f>IFERROR(INDEX(PP_Grid[#Data],$DE1376,2),0)</f>
        <v/>
      </c>
      <c r="F1376">
        <f>IFERROR(INDEX(PP_Grid[#Data],$DE1376,3),0)</f>
        <v/>
      </c>
      <c r="G1376">
        <f>IFERROR(INDEX(PP_Grid[#Data],$DE1376,4),0)</f>
        <v/>
      </c>
      <c r="H1376">
        <f>IFERROR(INDEX(PP_Grid[#Data],$DE1376,5),0)</f>
        <v/>
      </c>
      <c r="I1376">
        <f>IFERROR(INDEX(PP_Grid[#Data],$DE1376,6),0)</f>
        <v/>
      </c>
      <c r="J1376">
        <f>IFERROR(INDEX(PP_Grid[#Data],$DE1376,7),0)</f>
        <v/>
      </c>
      <c r="K1376">
        <f>IFERROR(INDEX(PP_Grid[#Data],$DE1376,8),0)</f>
        <v/>
      </c>
      <c r="L1376">
        <f>IFERROR(INDEX(PP_Grid[#Data],$DE1376,9),0)</f>
        <v/>
      </c>
      <c r="M1376">
        <f>IFERROR(INDEX(PP_Grid[#Data],$DE1376,10),0)</f>
        <v/>
      </c>
      <c r="N1376">
        <f>IFERROR(INDEX(PP_Grid[#Data],$DE1376,11),0)</f>
        <v/>
      </c>
      <c r="O1376">
        <f>IFERROR(INDEX(PP_Grid[#Data],$DE1376,12),0)</f>
        <v/>
      </c>
      <c r="P1376">
        <f>IFERROR(INDEX(PP_Grid[#Data],$DE1376,13),0)</f>
        <v/>
      </c>
      <c r="Q1376">
        <f>IFERROR(INDEX(PP_Grid[#Data],$DE1376,14),0)</f>
        <v/>
      </c>
      <c r="R1376">
        <f>IFERROR(INDEX(PP_Grid[#Data],$DE1376,15),0)</f>
        <v/>
      </c>
      <c r="S1376">
        <f>IFERROR(INDEX(PP_Grid[#Data],$DE1376,16),0)</f>
        <v/>
      </c>
      <c r="T1376">
        <f>IFERROR(INDEX(PP_Grid[#Data],$DE1376,17),0)</f>
        <v/>
      </c>
      <c r="U1376">
        <f>IFERROR(INDEX(PP_Grid[#Data],$DE1376,18),0)</f>
        <v/>
      </c>
      <c r="V1376">
        <f>IFERROR(INDEX(PP_Grid[#Data],$DE1376,19),0)</f>
        <v/>
      </c>
      <c r="W1376">
        <f>IFERROR(INDEX(PP_Grid[#Data],$DE1376,20),0)</f>
        <v/>
      </c>
      <c r="X1376">
        <f>IFERROR(INDEX(PP_Grid[#Data],$DE1376,21),0)</f>
        <v/>
      </c>
      <c r="Y1376">
        <f>IFERROR(INDEX(PP_Grid[#Data],$DE1376,22),0)</f>
        <v/>
      </c>
      <c r="Z1376">
        <f>IFERROR(INDEX(PP_Grid[#Data],$DE1376,23),0)</f>
        <v/>
      </c>
      <c r="AA1376">
        <f>IFERROR(INDEX(PP_Grid[#Data],$DE1376,24),0)</f>
        <v/>
      </c>
      <c r="AB1376">
        <f>IFERROR(INDEX(PP_Grid[#Data],$DE1376,25),0)</f>
        <v/>
      </c>
      <c r="AC1376">
        <f>IFERROR(INDEX(PP_Grid[#Data],$DE1376,26),0)</f>
        <v/>
      </c>
      <c r="AD1376">
        <f>IFERROR(INDEX(PP_Grid[#Data],$DE1376,27),0)</f>
        <v/>
      </c>
      <c r="AE1376">
        <f>IFERROR(INDEX(PP_Grid[#Data],$DE1376,28),0)</f>
        <v/>
      </c>
      <c r="AF1376">
        <f>IFERROR(INDEX(PP_Grid[#Data],$DE1376,29),0)</f>
        <v/>
      </c>
      <c r="AG1376">
        <f>IFERROR(INDEX(PP_Grid[#Data],$DE1376,30),0)</f>
        <v/>
      </c>
      <c r="AH1376">
        <f>IFERROR(INDEX(PP_Grid[#Data],$DE1376,31),0)</f>
        <v/>
      </c>
      <c r="AI1376">
        <f>IFERROR(INDEX(PP_Grid[#Data],$DE1376,32),0)</f>
        <v/>
      </c>
      <c r="AJ1376">
        <f>IFERROR(INDEX(PP_Grid[#Data],$DE1376,33),0)</f>
        <v/>
      </c>
      <c r="AK1376">
        <f>IFERROR(INDEX(PP_Grid[#Data],$DE1376,34),0)</f>
        <v/>
      </c>
      <c r="AL1376">
        <f>IFERROR(INDEX(PP_Grid[#Data],$DE1376,35),0)</f>
        <v/>
      </c>
      <c r="AM1376">
        <f>IFERROR(INDEX(PP_Grid[#Data],$DE1376,36),0)</f>
        <v/>
      </c>
      <c r="AN1376">
        <f>IFERROR(INDEX(PP_Grid[#Data],$DE1376,37),0)</f>
        <v/>
      </c>
      <c r="AO1376">
        <f>IFERROR(INDEX(PP_Grid[#Data],$DE1376,38),0)</f>
        <v/>
      </c>
      <c r="AP1376">
        <f>IFERROR(INDEX(PP_Grid[#Data],$DE1376,39),0)</f>
        <v/>
      </c>
      <c r="AQ1376">
        <f>IFERROR(INDEX(PP_Grid[#Data],$DE1376,40),0)</f>
        <v/>
      </c>
      <c r="AR1376">
        <f>IFERROR(INDEX(PP_Grid[#Data],$DE1376,41),0)</f>
        <v/>
      </c>
      <c r="AS1376">
        <f>IFERROR(INDEX(PP_Grid[#Data],$DE1376,42),0)</f>
        <v/>
      </c>
      <c r="AT1376">
        <f>IFERROR(INDEX(PP_Grid[#Data],$DE1376,43),0)</f>
        <v/>
      </c>
      <c r="AU1376">
        <f>IFERROR(INDEX(PP_Grid[#Data],$DE1376,44),0)</f>
        <v/>
      </c>
      <c r="AV1376">
        <f>IFERROR(INDEX(PP_Grid[#Data],$DE1376,45),0)</f>
        <v/>
      </c>
      <c r="AW1376">
        <f>IFERROR(INDEX(PP_Grid[#Data],$DE1376,46),0)</f>
        <v/>
      </c>
      <c r="AX1376">
        <f>IFERROR(INDEX(PP_Grid[#Data],$DE1376,47),0)</f>
        <v/>
      </c>
      <c r="AY1376">
        <f>IFERROR(INDEX(PP_Grid[#Data],$DE1376,48),0)</f>
        <v/>
      </c>
      <c r="AZ1376">
        <f>IFERROR(INDEX(PP_Grid[#Data],$DE1376,49),0)</f>
        <v/>
      </c>
      <c r="BA1376">
        <f>IFERROR(INDEX(PP_Grid[#Data],$DE1376,50),0)</f>
        <v/>
      </c>
      <c r="BB1376">
        <f>IFERROR(INDEX(PP_Grid[#Data],$DE1376,51),0)</f>
        <v/>
      </c>
      <c r="BC1376">
        <f>IFERROR(INDEX(PP_Grid[#Data],$DE1376,52),0)</f>
        <v/>
      </c>
      <c r="BD1376">
        <f>IFERROR(INDEX(PP_Grid[#Data],$DE1376,53),0)</f>
        <v/>
      </c>
      <c r="BE1376">
        <f>IFERROR(INDEX(PP_Grid[#Data],$DE1376,54),0)</f>
        <v/>
      </c>
      <c r="BF1376">
        <f>IFERROR(INDEX(PP_Grid[#Data],$DE1376,55),0)</f>
        <v/>
      </c>
      <c r="BG1376">
        <f>IFERROR(INDEX(PP_Grid[#Data],$DE1376,56),0)</f>
        <v/>
      </c>
      <c r="BH1376">
        <f>IFERROR(INDEX(PP_Grid[#Data],$DE1376,57),0)</f>
        <v/>
      </c>
      <c r="BI1376">
        <f>IFERROR(INDEX(PP_Grid[#Data],$DE1376,58),0)</f>
        <v/>
      </c>
      <c r="BJ1376">
        <f>IFERROR(INDEX(PP_Grid[#Data],$DE1376,59),0)</f>
        <v/>
      </c>
      <c r="BK1376">
        <f>IFERROR(INDEX(PP_Grid[#Data],$DE1376,60),0)</f>
        <v/>
      </c>
      <c r="BL1376">
        <f>IFERROR(INDEX(PP_Grid[#Data],$DE1376,61),0)</f>
        <v/>
      </c>
      <c r="BM1376">
        <f>IFERROR(INDEX(PP_Grid[#Data],$DE1376,62),0)</f>
        <v/>
      </c>
      <c r="BN1376">
        <f>IFERROR(INDEX(PP_Grid[#Data],$DE1376,63),0)</f>
        <v/>
      </c>
      <c r="BO1376">
        <f>IFERROR(INDEX(PP_Grid[#Data],$DE1376,64),0)</f>
        <v/>
      </c>
      <c r="BP1376">
        <f>IFERROR(INDEX(PP_Grid[#Data],$DE1376,65),0)</f>
        <v/>
      </c>
      <c r="BQ1376">
        <f>IFERROR(INDEX(PP_Grid[#Data],$DE1376,66),0)</f>
        <v/>
      </c>
      <c r="BR1376">
        <f>IFERROR(INDEX(PP_Grid[#Data],$DE1376,67),0)</f>
        <v/>
      </c>
      <c r="BS1376">
        <f>IFERROR(INDEX(PP_Grid[#Data],$DE1376,68),0)</f>
        <v/>
      </c>
      <c r="BT1376">
        <f>IFERROR(INDEX(PP_Grid[#Data],$DE1376,69),0)</f>
        <v/>
      </c>
      <c r="BU1376">
        <f>IFERROR(INDEX(PP_Grid[#Data],$DE1376,70),0)</f>
        <v/>
      </c>
      <c r="BV1376">
        <f>IFERROR(INDEX(PP_Grid[#Data],$DE1376,71),0)</f>
        <v/>
      </c>
      <c r="BW1376">
        <f>IFERROR(INDEX(PP_Grid[#Data],$DE1376,72),0)</f>
        <v/>
      </c>
      <c r="BX1376">
        <f>IFERROR(INDEX(PP_Grid[#Data],$DE1376,73),0)</f>
        <v/>
      </c>
      <c r="BY1376">
        <f>IFERROR(INDEX(PP_Grid[#Data],$DE1376,74),0)</f>
        <v/>
      </c>
      <c r="BZ1376">
        <f>IFERROR(INDEX(PP_Grid[#Data],$DE1376,75),0)</f>
        <v/>
      </c>
      <c r="CA1376">
        <f>IFERROR(INDEX(PP_Grid[#Data],$DE1376,76),0)</f>
        <v/>
      </c>
      <c r="CB1376">
        <f>IFERROR(INDEX(PP_Grid[#Data],$DE1376,77),0)</f>
        <v/>
      </c>
      <c r="CC1376">
        <f>IFERROR(INDEX(PP_Grid[#Data],$DE1376,78),0)</f>
        <v/>
      </c>
      <c r="CD1376">
        <f>IFERROR(INDEX(PP_Grid[#Data],$DE1376,79),0)</f>
        <v/>
      </c>
      <c r="CE1376">
        <f>IFERROR(INDEX(PP_Grid[#Data],$DE1376,80),0)</f>
        <v/>
      </c>
      <c r="CF1376">
        <f>IFERROR(INDEX(PP_Grid[#Data],$DE1376,81),0)</f>
        <v/>
      </c>
      <c r="CG1376">
        <f>IFERROR(INDEX(PP_Grid[#Data],$DE1376,82),0)</f>
        <v/>
      </c>
      <c r="CH1376">
        <f>IFERROR(INDEX(PP_Grid[#Data],$DE1376,83),0)</f>
        <v/>
      </c>
      <c r="CI1376">
        <f>IFERROR(INDEX(PP_Grid[#Data],$DE1376,84),0)</f>
        <v/>
      </c>
      <c r="CJ1376">
        <f>IFERROR(INDEX(PP_Grid[#Data],$DE1376,85),0)</f>
        <v/>
      </c>
      <c r="CK1376">
        <f>IFERROR(INDEX(PP_Grid[#Data],$DE1376,86),0)</f>
        <v/>
      </c>
      <c r="CL1376">
        <f>IFERROR(INDEX(PP_Grid[#Data],$DE1376,87),0)</f>
        <v/>
      </c>
      <c r="CM1376">
        <f>IFERROR(INDEX(PP_Grid[#Data],$DE1376,88),0)</f>
        <v/>
      </c>
      <c r="CN1376">
        <f>IFERROR(INDEX(PP_Grid[#Data],$DE1376,89),0)</f>
        <v/>
      </c>
      <c r="CO1376">
        <f>IFERROR(INDEX(PP_Grid[#Data],$DE1376,90),0)</f>
        <v/>
      </c>
      <c r="CP1376">
        <f>IFERROR(INDEX(PP_Grid[#Data],$DE1376,91),0)</f>
        <v/>
      </c>
      <c r="CQ1376">
        <f>IFERROR(INDEX(PP_Grid[#Data],$DE1376,92),0)</f>
        <v/>
      </c>
      <c r="CR1376">
        <f>IFERROR(INDEX(PP_Grid[#Data],$DE1376,93),0)</f>
        <v/>
      </c>
      <c r="CS1376">
        <f>IFERROR(INDEX(PP_Grid[#Data],$DE1376,94),0)</f>
        <v/>
      </c>
      <c r="CT1376">
        <f>IFERROR(INDEX(PP_Grid[#Data],$DE1376,95),0)</f>
        <v/>
      </c>
      <c r="CU1376">
        <f>IFERROR(INDEX(PP_Grid[#Data],$DE1376,96),0)</f>
        <v/>
      </c>
      <c r="CV1376">
        <f>IFERROR(INDEX(PP_Grid[#Data],$DE1376,97),0)</f>
        <v/>
      </c>
      <c r="CW1376">
        <f>IFERROR(INDEX(PP_Grid[#Data],$DE1376,98),0)</f>
        <v/>
      </c>
      <c r="CX1376">
        <f>IFERROR(INDEX(PP_Grid[#Data],$DE1376,99),0)</f>
        <v/>
      </c>
      <c r="CY1376">
        <f>IFERROR(INDEX(PP_Grid[#Data],$DE1376,100),0)</f>
        <v/>
      </c>
      <c r="CZ1376">
        <f>IFERROR(INDEX(PP_Grid[#Data],$DE1376,101),0)</f>
        <v/>
      </c>
      <c r="DA1376">
        <f>IFERROR(INDEX(PP_Grid[#Data],$DE1376,102),0)</f>
        <v/>
      </c>
      <c r="DB1376">
        <f>IFERROR(INDEX(PP_Grid[#Data],$DE1376,103),0)</f>
        <v/>
      </c>
      <c r="DC1376">
        <f>IFERROR(INDEX(PP_Grid[#Data],$DE1376,104),0)</f>
        <v/>
      </c>
      <c r="DD1376">
        <f>IFERROR(INDEX(PP_Grid[#Data],$DE1376,105),0)</f>
        <v/>
      </c>
      <c r="DE1376" s="7">
        <f>IFERROR(MATCH($B1376,PP_Grid[Intermediate],0),99999)</f>
        <v/>
      </c>
    </row>
    <row r="1377">
      <c r="B1377" t="inlineStr">
        <is>
          <t>使用量(kg)</t>
        </is>
      </c>
      <c r="C1377">
        <f>SUMIFS(M_BOM[RM_Qty_Per_Batch],M_BOM[Intermediate],$B1376,M_BOM[RM_Code],$A1349)</f>
        <v/>
      </c>
      <c r="D1377">
        <f>IFERROR(INDEX(E1377:DD1377,$F$1),"")</f>
        <v/>
      </c>
      <c r="E1377">
        <f>$C1377*E1376</f>
        <v/>
      </c>
      <c r="F1377">
        <f>$C1377*F1376</f>
        <v/>
      </c>
      <c r="G1377">
        <f>$C1377*G1376</f>
        <v/>
      </c>
      <c r="H1377">
        <f>$C1377*H1376</f>
        <v/>
      </c>
      <c r="I1377">
        <f>$C1377*I1376</f>
        <v/>
      </c>
      <c r="J1377">
        <f>$C1377*J1376</f>
        <v/>
      </c>
      <c r="K1377">
        <f>$C1377*K1376</f>
        <v/>
      </c>
      <c r="L1377">
        <f>$C1377*L1376</f>
        <v/>
      </c>
      <c r="M1377">
        <f>$C1377*M1376</f>
        <v/>
      </c>
      <c r="N1377">
        <f>$C1377*N1376</f>
        <v/>
      </c>
      <c r="O1377">
        <f>$C1377*O1376</f>
        <v/>
      </c>
      <c r="P1377">
        <f>$C1377*P1376</f>
        <v/>
      </c>
      <c r="Q1377">
        <f>$C1377*Q1376</f>
        <v/>
      </c>
      <c r="R1377">
        <f>$C1377*R1376</f>
        <v/>
      </c>
      <c r="S1377">
        <f>$C1377*S1376</f>
        <v/>
      </c>
      <c r="T1377">
        <f>$C1377*T1376</f>
        <v/>
      </c>
      <c r="U1377">
        <f>$C1377*U1376</f>
        <v/>
      </c>
      <c r="V1377">
        <f>$C1377*V1376</f>
        <v/>
      </c>
      <c r="W1377">
        <f>$C1377*W1376</f>
        <v/>
      </c>
      <c r="X1377">
        <f>$C1377*X1376</f>
        <v/>
      </c>
      <c r="Y1377">
        <f>$C1377*Y1376</f>
        <v/>
      </c>
      <c r="Z1377">
        <f>$C1377*Z1376</f>
        <v/>
      </c>
      <c r="AA1377">
        <f>$C1377*AA1376</f>
        <v/>
      </c>
      <c r="AB1377">
        <f>$C1377*AB1376</f>
        <v/>
      </c>
      <c r="AC1377">
        <f>$C1377*AC1376</f>
        <v/>
      </c>
      <c r="AD1377">
        <f>$C1377*AD1376</f>
        <v/>
      </c>
      <c r="AE1377">
        <f>$C1377*AE1376</f>
        <v/>
      </c>
      <c r="AF1377">
        <f>$C1377*AF1376</f>
        <v/>
      </c>
      <c r="AG1377">
        <f>$C1377*AG1376</f>
        <v/>
      </c>
      <c r="AH1377">
        <f>$C1377*AH1376</f>
        <v/>
      </c>
      <c r="AI1377">
        <f>$C1377*AI1376</f>
        <v/>
      </c>
      <c r="AJ1377">
        <f>$C1377*AJ1376</f>
        <v/>
      </c>
      <c r="AK1377">
        <f>$C1377*AK1376</f>
        <v/>
      </c>
      <c r="AL1377">
        <f>$C1377*AL1376</f>
        <v/>
      </c>
      <c r="AM1377">
        <f>$C1377*AM1376</f>
        <v/>
      </c>
      <c r="AN1377">
        <f>$C1377*AN1376</f>
        <v/>
      </c>
      <c r="AO1377">
        <f>$C1377*AO1376</f>
        <v/>
      </c>
      <c r="AP1377">
        <f>$C1377*AP1376</f>
        <v/>
      </c>
      <c r="AQ1377">
        <f>$C1377*AQ1376</f>
        <v/>
      </c>
      <c r="AR1377">
        <f>$C1377*AR1376</f>
        <v/>
      </c>
      <c r="AS1377">
        <f>$C1377*AS1376</f>
        <v/>
      </c>
      <c r="AT1377">
        <f>$C1377*AT1376</f>
        <v/>
      </c>
      <c r="AU1377">
        <f>$C1377*AU1376</f>
        <v/>
      </c>
      <c r="AV1377">
        <f>$C1377*AV1376</f>
        <v/>
      </c>
      <c r="AW1377">
        <f>$C1377*AW1376</f>
        <v/>
      </c>
      <c r="AX1377">
        <f>$C1377*AX1376</f>
        <v/>
      </c>
      <c r="AY1377">
        <f>$C1377*AY1376</f>
        <v/>
      </c>
      <c r="AZ1377">
        <f>$C1377*AZ1376</f>
        <v/>
      </c>
      <c r="BA1377">
        <f>$C1377*BA1376</f>
        <v/>
      </c>
      <c r="BB1377">
        <f>$C1377*BB1376</f>
        <v/>
      </c>
      <c r="BC1377">
        <f>$C1377*BC1376</f>
        <v/>
      </c>
      <c r="BD1377">
        <f>$C1377*BD1376</f>
        <v/>
      </c>
      <c r="BE1377">
        <f>$C1377*BE1376</f>
        <v/>
      </c>
      <c r="BF1377">
        <f>$C1377*BF1376</f>
        <v/>
      </c>
      <c r="BG1377">
        <f>$C1377*BG1376</f>
        <v/>
      </c>
      <c r="BH1377">
        <f>$C1377*BH1376</f>
        <v/>
      </c>
      <c r="BI1377">
        <f>$C1377*BI1376</f>
        <v/>
      </c>
      <c r="BJ1377">
        <f>$C1377*BJ1376</f>
        <v/>
      </c>
      <c r="BK1377">
        <f>$C1377*BK1376</f>
        <v/>
      </c>
      <c r="BL1377">
        <f>$C1377*BL1376</f>
        <v/>
      </c>
      <c r="BM1377">
        <f>$C1377*BM1376</f>
        <v/>
      </c>
      <c r="BN1377">
        <f>$C1377*BN1376</f>
        <v/>
      </c>
      <c r="BO1377">
        <f>$C1377*BO1376</f>
        <v/>
      </c>
      <c r="BP1377">
        <f>$C1377*BP1376</f>
        <v/>
      </c>
      <c r="BQ1377">
        <f>$C1377*BQ1376</f>
        <v/>
      </c>
      <c r="BR1377">
        <f>$C1377*BR1376</f>
        <v/>
      </c>
      <c r="BS1377">
        <f>$C1377*BS1376</f>
        <v/>
      </c>
      <c r="BT1377">
        <f>$C1377*BT1376</f>
        <v/>
      </c>
      <c r="BU1377">
        <f>$C1377*BU1376</f>
        <v/>
      </c>
      <c r="BV1377">
        <f>$C1377*BV1376</f>
        <v/>
      </c>
      <c r="BW1377">
        <f>$C1377*BW1376</f>
        <v/>
      </c>
      <c r="BX1377">
        <f>$C1377*BX1376</f>
        <v/>
      </c>
      <c r="BY1377">
        <f>$C1377*BY1376</f>
        <v/>
      </c>
      <c r="BZ1377">
        <f>$C1377*BZ1376</f>
        <v/>
      </c>
      <c r="CA1377">
        <f>$C1377*CA1376</f>
        <v/>
      </c>
      <c r="CB1377">
        <f>$C1377*CB1376</f>
        <v/>
      </c>
      <c r="CC1377">
        <f>$C1377*CC1376</f>
        <v/>
      </c>
      <c r="CD1377">
        <f>$C1377*CD1376</f>
        <v/>
      </c>
      <c r="CE1377">
        <f>$C1377*CE1376</f>
        <v/>
      </c>
      <c r="CF1377">
        <f>$C1377*CF1376</f>
        <v/>
      </c>
      <c r="CG1377">
        <f>$C1377*CG1376</f>
        <v/>
      </c>
      <c r="CH1377">
        <f>$C1377*CH1376</f>
        <v/>
      </c>
      <c r="CI1377">
        <f>$C1377*CI1376</f>
        <v/>
      </c>
      <c r="CJ1377">
        <f>$C1377*CJ1376</f>
        <v/>
      </c>
      <c r="CK1377">
        <f>$C1377*CK1376</f>
        <v/>
      </c>
      <c r="CL1377">
        <f>$C1377*CL1376</f>
        <v/>
      </c>
      <c r="CM1377">
        <f>$C1377*CM1376</f>
        <v/>
      </c>
      <c r="CN1377">
        <f>$C1377*CN1376</f>
        <v/>
      </c>
      <c r="CO1377">
        <f>$C1377*CO1376</f>
        <v/>
      </c>
      <c r="CP1377">
        <f>$C1377*CP1376</f>
        <v/>
      </c>
      <c r="CQ1377">
        <f>$C1377*CQ1376</f>
        <v/>
      </c>
      <c r="CR1377">
        <f>$C1377*CR1376</f>
        <v/>
      </c>
      <c r="CS1377">
        <f>$C1377*CS1376</f>
        <v/>
      </c>
      <c r="CT1377">
        <f>$C1377*CT1376</f>
        <v/>
      </c>
      <c r="CU1377">
        <f>$C1377*CU1376</f>
        <v/>
      </c>
      <c r="CV1377">
        <f>$C1377*CV1376</f>
        <v/>
      </c>
      <c r="CW1377">
        <f>$C1377*CW1376</f>
        <v/>
      </c>
      <c r="CX1377">
        <f>$C1377*CX1376</f>
        <v/>
      </c>
      <c r="CY1377">
        <f>$C1377*CY1376</f>
        <v/>
      </c>
      <c r="CZ1377">
        <f>$C1377*CZ1376</f>
        <v/>
      </c>
      <c r="DA1377">
        <f>$C1377*DA1376</f>
        <v/>
      </c>
      <c r="DB1377">
        <f>$C1377*DB1376</f>
        <v/>
      </c>
      <c r="DC1377">
        <f>$C1377*DC1376</f>
        <v/>
      </c>
      <c r="DD1377">
        <f>$C1377*DD1376</f>
        <v/>
      </c>
    </row>
    <row r="1378">
      <c r="B1378" s="4" t="inlineStr">
        <is>
          <t>合計使用量(kg)/週</t>
        </is>
      </c>
      <c r="D1378" s="22">
        <f>IFERROR(INDEX(E1378:DD1378,$F$1),"")</f>
        <v/>
      </c>
      <c r="E1378">
        <f>'Grid_Requirement'!B70</f>
        <v/>
      </c>
      <c r="F1378">
        <f>'Grid_Requirement'!C70</f>
        <v/>
      </c>
      <c r="G1378">
        <f>'Grid_Requirement'!D70</f>
        <v/>
      </c>
      <c r="H1378">
        <f>'Grid_Requirement'!E70</f>
        <v/>
      </c>
      <c r="I1378">
        <f>'Grid_Requirement'!F70</f>
        <v/>
      </c>
      <c r="J1378">
        <f>'Grid_Requirement'!G70</f>
        <v/>
      </c>
      <c r="K1378">
        <f>'Grid_Requirement'!H70</f>
        <v/>
      </c>
      <c r="L1378">
        <f>'Grid_Requirement'!I70</f>
        <v/>
      </c>
      <c r="M1378">
        <f>'Grid_Requirement'!J70</f>
        <v/>
      </c>
      <c r="N1378">
        <f>'Grid_Requirement'!K70</f>
        <v/>
      </c>
      <c r="O1378">
        <f>'Grid_Requirement'!L70</f>
        <v/>
      </c>
      <c r="P1378">
        <f>'Grid_Requirement'!M70</f>
        <v/>
      </c>
      <c r="Q1378">
        <f>'Grid_Requirement'!N70</f>
        <v/>
      </c>
      <c r="R1378">
        <f>'Grid_Requirement'!O70</f>
        <v/>
      </c>
      <c r="S1378">
        <f>'Grid_Requirement'!P70</f>
        <v/>
      </c>
      <c r="T1378">
        <f>'Grid_Requirement'!Q70</f>
        <v/>
      </c>
      <c r="U1378">
        <f>'Grid_Requirement'!R70</f>
        <v/>
      </c>
      <c r="V1378">
        <f>'Grid_Requirement'!S70</f>
        <v/>
      </c>
      <c r="W1378">
        <f>'Grid_Requirement'!T70</f>
        <v/>
      </c>
      <c r="X1378">
        <f>'Grid_Requirement'!U70</f>
        <v/>
      </c>
      <c r="Y1378">
        <f>'Grid_Requirement'!V70</f>
        <v/>
      </c>
      <c r="Z1378">
        <f>'Grid_Requirement'!W70</f>
        <v/>
      </c>
      <c r="AA1378">
        <f>'Grid_Requirement'!X70</f>
        <v/>
      </c>
      <c r="AB1378">
        <f>'Grid_Requirement'!Y70</f>
        <v/>
      </c>
      <c r="AC1378">
        <f>'Grid_Requirement'!Z70</f>
        <v/>
      </c>
      <c r="AD1378">
        <f>'Grid_Requirement'!AA70</f>
        <v/>
      </c>
      <c r="AE1378">
        <f>'Grid_Requirement'!AB70</f>
        <v/>
      </c>
      <c r="AF1378">
        <f>'Grid_Requirement'!AC70</f>
        <v/>
      </c>
      <c r="AG1378">
        <f>'Grid_Requirement'!AD70</f>
        <v/>
      </c>
      <c r="AH1378">
        <f>'Grid_Requirement'!AE70</f>
        <v/>
      </c>
      <c r="AI1378">
        <f>'Grid_Requirement'!AF70</f>
        <v/>
      </c>
      <c r="AJ1378">
        <f>'Grid_Requirement'!AG70</f>
        <v/>
      </c>
      <c r="AK1378">
        <f>'Grid_Requirement'!AH70</f>
        <v/>
      </c>
      <c r="AL1378">
        <f>'Grid_Requirement'!AI70</f>
        <v/>
      </c>
      <c r="AM1378">
        <f>'Grid_Requirement'!AJ70</f>
        <v/>
      </c>
      <c r="AN1378">
        <f>'Grid_Requirement'!AK70</f>
        <v/>
      </c>
      <c r="AO1378">
        <f>'Grid_Requirement'!AL70</f>
        <v/>
      </c>
      <c r="AP1378">
        <f>'Grid_Requirement'!AM70</f>
        <v/>
      </c>
      <c r="AQ1378">
        <f>'Grid_Requirement'!AN70</f>
        <v/>
      </c>
      <c r="AR1378">
        <f>'Grid_Requirement'!AO70</f>
        <v/>
      </c>
      <c r="AS1378">
        <f>'Grid_Requirement'!AP70</f>
        <v/>
      </c>
      <c r="AT1378">
        <f>'Grid_Requirement'!AQ70</f>
        <v/>
      </c>
      <c r="AU1378">
        <f>'Grid_Requirement'!AR70</f>
        <v/>
      </c>
      <c r="AV1378">
        <f>'Grid_Requirement'!AS70</f>
        <v/>
      </c>
      <c r="AW1378">
        <f>'Grid_Requirement'!AT70</f>
        <v/>
      </c>
      <c r="AX1378">
        <f>'Grid_Requirement'!AU70</f>
        <v/>
      </c>
      <c r="AY1378">
        <f>'Grid_Requirement'!AV70</f>
        <v/>
      </c>
      <c r="AZ1378">
        <f>'Grid_Requirement'!AW70</f>
        <v/>
      </c>
      <c r="BA1378">
        <f>'Grid_Requirement'!AX70</f>
        <v/>
      </c>
      <c r="BB1378">
        <f>'Grid_Requirement'!AY70</f>
        <v/>
      </c>
      <c r="BC1378">
        <f>'Grid_Requirement'!AZ70</f>
        <v/>
      </c>
      <c r="BD1378">
        <f>'Grid_Requirement'!BA70</f>
        <v/>
      </c>
      <c r="BE1378">
        <f>'Grid_Requirement'!BB70</f>
        <v/>
      </c>
      <c r="BF1378">
        <f>'Grid_Requirement'!BC70</f>
        <v/>
      </c>
      <c r="BG1378">
        <f>'Grid_Requirement'!BD70</f>
        <v/>
      </c>
      <c r="BH1378">
        <f>'Grid_Requirement'!BE70</f>
        <v/>
      </c>
      <c r="BI1378">
        <f>'Grid_Requirement'!BF70</f>
        <v/>
      </c>
      <c r="BJ1378">
        <f>'Grid_Requirement'!BG70</f>
        <v/>
      </c>
      <c r="BK1378">
        <f>'Grid_Requirement'!BH70</f>
        <v/>
      </c>
      <c r="BL1378">
        <f>'Grid_Requirement'!BI70</f>
        <v/>
      </c>
      <c r="BM1378">
        <f>'Grid_Requirement'!BJ70</f>
        <v/>
      </c>
      <c r="BN1378">
        <f>'Grid_Requirement'!BK70</f>
        <v/>
      </c>
      <c r="BO1378">
        <f>'Grid_Requirement'!BL70</f>
        <v/>
      </c>
      <c r="BP1378">
        <f>'Grid_Requirement'!BM70</f>
        <v/>
      </c>
      <c r="BQ1378">
        <f>'Grid_Requirement'!BN70</f>
        <v/>
      </c>
      <c r="BR1378">
        <f>'Grid_Requirement'!BO70</f>
        <v/>
      </c>
      <c r="BS1378">
        <f>'Grid_Requirement'!BP70</f>
        <v/>
      </c>
      <c r="BT1378">
        <f>'Grid_Requirement'!BQ70</f>
        <v/>
      </c>
      <c r="BU1378">
        <f>'Grid_Requirement'!BR70</f>
        <v/>
      </c>
      <c r="BV1378">
        <f>'Grid_Requirement'!BS70</f>
        <v/>
      </c>
      <c r="BW1378">
        <f>'Grid_Requirement'!BT70</f>
        <v/>
      </c>
      <c r="BX1378">
        <f>'Grid_Requirement'!BU70</f>
        <v/>
      </c>
      <c r="BY1378">
        <f>'Grid_Requirement'!BV70</f>
        <v/>
      </c>
      <c r="BZ1378">
        <f>'Grid_Requirement'!BW70</f>
        <v/>
      </c>
      <c r="CA1378">
        <f>'Grid_Requirement'!BX70</f>
        <v/>
      </c>
      <c r="CB1378">
        <f>'Grid_Requirement'!BY70</f>
        <v/>
      </c>
      <c r="CC1378">
        <f>'Grid_Requirement'!BZ70</f>
        <v/>
      </c>
      <c r="CD1378">
        <f>'Grid_Requirement'!CA70</f>
        <v/>
      </c>
      <c r="CE1378">
        <f>'Grid_Requirement'!CB70</f>
        <v/>
      </c>
      <c r="CF1378">
        <f>'Grid_Requirement'!CC70</f>
        <v/>
      </c>
      <c r="CG1378">
        <f>'Grid_Requirement'!CD70</f>
        <v/>
      </c>
      <c r="CH1378">
        <f>'Grid_Requirement'!CE70</f>
        <v/>
      </c>
      <c r="CI1378">
        <f>'Grid_Requirement'!CF70</f>
        <v/>
      </c>
      <c r="CJ1378">
        <f>'Grid_Requirement'!CG70</f>
        <v/>
      </c>
      <c r="CK1378">
        <f>'Grid_Requirement'!CH70</f>
        <v/>
      </c>
      <c r="CL1378">
        <f>'Grid_Requirement'!CI70</f>
        <v/>
      </c>
      <c r="CM1378">
        <f>'Grid_Requirement'!CJ70</f>
        <v/>
      </c>
      <c r="CN1378">
        <f>'Grid_Requirement'!CK70</f>
        <v/>
      </c>
      <c r="CO1378">
        <f>'Grid_Requirement'!CL70</f>
        <v/>
      </c>
      <c r="CP1378">
        <f>'Grid_Requirement'!CM70</f>
        <v/>
      </c>
      <c r="CQ1378">
        <f>'Grid_Requirement'!CN70</f>
        <v/>
      </c>
      <c r="CR1378">
        <f>'Grid_Requirement'!CO70</f>
        <v/>
      </c>
      <c r="CS1378">
        <f>'Grid_Requirement'!CP70</f>
        <v/>
      </c>
      <c r="CT1378">
        <f>'Grid_Requirement'!CQ70</f>
        <v/>
      </c>
      <c r="CU1378">
        <f>'Grid_Requirement'!CR70</f>
        <v/>
      </c>
      <c r="CV1378">
        <f>'Grid_Requirement'!CS70</f>
        <v/>
      </c>
      <c r="CW1378">
        <f>'Grid_Requirement'!CT70</f>
        <v/>
      </c>
      <c r="CX1378">
        <f>'Grid_Requirement'!CU70</f>
        <v/>
      </c>
      <c r="CY1378">
        <f>'Grid_Requirement'!CV70</f>
        <v/>
      </c>
      <c r="CZ1378">
        <f>'Grid_Requirement'!CW70</f>
        <v/>
      </c>
      <c r="DA1378">
        <f>'Grid_Requirement'!CX70</f>
        <v/>
      </c>
      <c r="DB1378">
        <f>'Grid_Requirement'!CY70</f>
        <v/>
      </c>
      <c r="DC1378">
        <f>'Grid_Requirement'!CZ70</f>
        <v/>
      </c>
      <c r="DD1378">
        <f>'Grid_Requirement'!DA70</f>
        <v/>
      </c>
    </row>
    <row r="1379">
      <c r="B1379" s="23" t="inlineStr">
        <is>
          <t>（在庫・入荷予定はDashboard参照）</t>
        </is>
      </c>
    </row>
    <row r="1381">
      <c r="A1381" s="21" t="inlineStr">
        <is>
          <t>CHEM-1740</t>
        </is>
      </c>
      <c r="B1381" s="21" t="inlineStr">
        <is>
          <t>Alumax GX-L1</t>
        </is>
      </c>
      <c r="C1381" s="21" t="n"/>
      <c r="D1381" s="21" t="n"/>
      <c r="E1381" s="21" t="n"/>
      <c r="F1381" s="21" t="n"/>
      <c r="G1381" s="21" t="n"/>
      <c r="H1381" s="21" t="n"/>
      <c r="I1381" s="21" t="n"/>
      <c r="J1381" s="21" t="n"/>
      <c r="K1381" s="21" t="n"/>
      <c r="L1381" s="21" t="n"/>
      <c r="M1381" s="21" t="n"/>
      <c r="N1381" s="21" t="n"/>
      <c r="O1381" s="21" t="n"/>
      <c r="P1381" s="21" t="n"/>
      <c r="Q1381" s="21" t="n"/>
      <c r="R1381" s="21" t="n"/>
      <c r="S1381" s="21" t="n"/>
      <c r="T1381" s="21" t="n"/>
      <c r="U1381" s="21" t="n"/>
      <c r="V1381" s="21" t="n"/>
      <c r="W1381" s="21" t="n"/>
      <c r="X1381" s="21" t="n"/>
      <c r="Y1381" s="21" t="n"/>
      <c r="Z1381" s="21" t="n"/>
      <c r="AA1381" s="21" t="n"/>
      <c r="AB1381" s="21" t="n"/>
      <c r="AC1381" s="21" t="n"/>
      <c r="AD1381" s="21" t="n"/>
      <c r="AE1381" s="21" t="n"/>
      <c r="AF1381" s="21" t="n"/>
      <c r="AG1381" s="21" t="n"/>
      <c r="AH1381" s="21" t="n"/>
      <c r="AI1381" s="21" t="n"/>
      <c r="AJ1381" s="21" t="n"/>
      <c r="AK1381" s="21" t="n"/>
      <c r="AL1381" s="21" t="n"/>
      <c r="AM1381" s="21" t="n"/>
      <c r="AN1381" s="21" t="n"/>
      <c r="AO1381" s="21" t="n"/>
      <c r="AP1381" s="21" t="n"/>
      <c r="AQ1381" s="21" t="n"/>
      <c r="AR1381" s="21" t="n"/>
      <c r="AS1381" s="21" t="n"/>
      <c r="AT1381" s="21" t="n"/>
      <c r="AU1381" s="21" t="n"/>
      <c r="AV1381" s="21" t="n"/>
      <c r="AW1381" s="21" t="n"/>
      <c r="AX1381" s="21" t="n"/>
      <c r="AY1381" s="21" t="n"/>
      <c r="AZ1381" s="21" t="n"/>
      <c r="BA1381" s="21" t="n"/>
      <c r="BB1381" s="21" t="n"/>
      <c r="BC1381" s="21" t="n"/>
      <c r="BD1381" s="21" t="n"/>
      <c r="BE1381" s="21" t="n"/>
      <c r="BF1381" s="21" t="n"/>
      <c r="BG1381" s="21" t="n"/>
      <c r="BH1381" s="21" t="n"/>
      <c r="BI1381" s="21" t="n"/>
      <c r="BJ1381" s="21" t="n"/>
      <c r="BK1381" s="21" t="n"/>
      <c r="BL1381" s="21" t="n"/>
      <c r="BM1381" s="21" t="n"/>
      <c r="BN1381" s="21" t="n"/>
      <c r="BO1381" s="21" t="n"/>
      <c r="BP1381" s="21" t="n"/>
      <c r="BQ1381" s="21" t="n"/>
      <c r="BR1381" s="21" t="n"/>
      <c r="BS1381" s="21" t="n"/>
      <c r="BT1381" s="21" t="n"/>
      <c r="BU1381" s="21" t="n"/>
      <c r="BV1381" s="21" t="n"/>
      <c r="BW1381" s="21" t="n"/>
      <c r="BX1381" s="21" t="n"/>
      <c r="BY1381" s="21" t="n"/>
      <c r="BZ1381" s="21" t="n"/>
      <c r="CA1381" s="21" t="n"/>
      <c r="CB1381" s="21" t="n"/>
      <c r="CC1381" s="21" t="n"/>
      <c r="CD1381" s="21" t="n"/>
      <c r="CE1381" s="21" t="n"/>
      <c r="CF1381" s="21" t="n"/>
      <c r="CG1381" s="21" t="n"/>
      <c r="CH1381" s="21" t="n"/>
      <c r="CI1381" s="21" t="n"/>
      <c r="CJ1381" s="21" t="n"/>
      <c r="CK1381" s="21" t="n"/>
      <c r="CL1381" s="21" t="n"/>
      <c r="CM1381" s="21" t="n"/>
      <c r="CN1381" s="21" t="n"/>
      <c r="CO1381" s="21" t="n"/>
      <c r="CP1381" s="21" t="n"/>
      <c r="CQ1381" s="21" t="n"/>
      <c r="CR1381" s="21" t="n"/>
      <c r="CS1381" s="21" t="n"/>
      <c r="CT1381" s="21" t="n"/>
      <c r="CU1381" s="21" t="n"/>
      <c r="CV1381" s="21" t="n"/>
      <c r="CW1381" s="21" t="n"/>
      <c r="CX1381" s="21" t="n"/>
      <c r="CY1381" s="21" t="n"/>
      <c r="CZ1381" s="21" t="n"/>
      <c r="DA1381" s="21" t="n"/>
      <c r="DB1381" s="21" t="n"/>
      <c r="DC1381" s="21" t="n"/>
      <c r="DD1381" s="21" t="n"/>
    </row>
    <row r="1382">
      <c r="B1382" t="inlineStr">
        <is>
          <t>TSP-927</t>
        </is>
      </c>
      <c r="C1382" t="inlineStr">
        <is>
          <t>No. of batches</t>
        </is>
      </c>
      <c r="D1382">
        <f>IFERROR(INDEX(E1382:DD1382,$F$1),"")</f>
        <v/>
      </c>
      <c r="E1382">
        <f>IFERROR(INDEX(PP_Grid[#Data],$DE1382,2),0)</f>
        <v/>
      </c>
      <c r="F1382">
        <f>IFERROR(INDEX(PP_Grid[#Data],$DE1382,3),0)</f>
        <v/>
      </c>
      <c r="G1382">
        <f>IFERROR(INDEX(PP_Grid[#Data],$DE1382,4),0)</f>
        <v/>
      </c>
      <c r="H1382">
        <f>IFERROR(INDEX(PP_Grid[#Data],$DE1382,5),0)</f>
        <v/>
      </c>
      <c r="I1382">
        <f>IFERROR(INDEX(PP_Grid[#Data],$DE1382,6),0)</f>
        <v/>
      </c>
      <c r="J1382">
        <f>IFERROR(INDEX(PP_Grid[#Data],$DE1382,7),0)</f>
        <v/>
      </c>
      <c r="K1382">
        <f>IFERROR(INDEX(PP_Grid[#Data],$DE1382,8),0)</f>
        <v/>
      </c>
      <c r="L1382">
        <f>IFERROR(INDEX(PP_Grid[#Data],$DE1382,9),0)</f>
        <v/>
      </c>
      <c r="M1382">
        <f>IFERROR(INDEX(PP_Grid[#Data],$DE1382,10),0)</f>
        <v/>
      </c>
      <c r="N1382">
        <f>IFERROR(INDEX(PP_Grid[#Data],$DE1382,11),0)</f>
        <v/>
      </c>
      <c r="O1382">
        <f>IFERROR(INDEX(PP_Grid[#Data],$DE1382,12),0)</f>
        <v/>
      </c>
      <c r="P1382">
        <f>IFERROR(INDEX(PP_Grid[#Data],$DE1382,13),0)</f>
        <v/>
      </c>
      <c r="Q1382">
        <f>IFERROR(INDEX(PP_Grid[#Data],$DE1382,14),0)</f>
        <v/>
      </c>
      <c r="R1382">
        <f>IFERROR(INDEX(PP_Grid[#Data],$DE1382,15),0)</f>
        <v/>
      </c>
      <c r="S1382">
        <f>IFERROR(INDEX(PP_Grid[#Data],$DE1382,16),0)</f>
        <v/>
      </c>
      <c r="T1382">
        <f>IFERROR(INDEX(PP_Grid[#Data],$DE1382,17),0)</f>
        <v/>
      </c>
      <c r="U1382">
        <f>IFERROR(INDEX(PP_Grid[#Data],$DE1382,18),0)</f>
        <v/>
      </c>
      <c r="V1382">
        <f>IFERROR(INDEX(PP_Grid[#Data],$DE1382,19),0)</f>
        <v/>
      </c>
      <c r="W1382">
        <f>IFERROR(INDEX(PP_Grid[#Data],$DE1382,20),0)</f>
        <v/>
      </c>
      <c r="X1382">
        <f>IFERROR(INDEX(PP_Grid[#Data],$DE1382,21),0)</f>
        <v/>
      </c>
      <c r="Y1382">
        <f>IFERROR(INDEX(PP_Grid[#Data],$DE1382,22),0)</f>
        <v/>
      </c>
      <c r="Z1382">
        <f>IFERROR(INDEX(PP_Grid[#Data],$DE1382,23),0)</f>
        <v/>
      </c>
      <c r="AA1382">
        <f>IFERROR(INDEX(PP_Grid[#Data],$DE1382,24),0)</f>
        <v/>
      </c>
      <c r="AB1382">
        <f>IFERROR(INDEX(PP_Grid[#Data],$DE1382,25),0)</f>
        <v/>
      </c>
      <c r="AC1382">
        <f>IFERROR(INDEX(PP_Grid[#Data],$DE1382,26),0)</f>
        <v/>
      </c>
      <c r="AD1382">
        <f>IFERROR(INDEX(PP_Grid[#Data],$DE1382,27),0)</f>
        <v/>
      </c>
      <c r="AE1382">
        <f>IFERROR(INDEX(PP_Grid[#Data],$DE1382,28),0)</f>
        <v/>
      </c>
      <c r="AF1382">
        <f>IFERROR(INDEX(PP_Grid[#Data],$DE1382,29),0)</f>
        <v/>
      </c>
      <c r="AG1382">
        <f>IFERROR(INDEX(PP_Grid[#Data],$DE1382,30),0)</f>
        <v/>
      </c>
      <c r="AH1382">
        <f>IFERROR(INDEX(PP_Grid[#Data],$DE1382,31),0)</f>
        <v/>
      </c>
      <c r="AI1382">
        <f>IFERROR(INDEX(PP_Grid[#Data],$DE1382,32),0)</f>
        <v/>
      </c>
      <c r="AJ1382">
        <f>IFERROR(INDEX(PP_Grid[#Data],$DE1382,33),0)</f>
        <v/>
      </c>
      <c r="AK1382">
        <f>IFERROR(INDEX(PP_Grid[#Data],$DE1382,34),0)</f>
        <v/>
      </c>
      <c r="AL1382">
        <f>IFERROR(INDEX(PP_Grid[#Data],$DE1382,35),0)</f>
        <v/>
      </c>
      <c r="AM1382">
        <f>IFERROR(INDEX(PP_Grid[#Data],$DE1382,36),0)</f>
        <v/>
      </c>
      <c r="AN1382">
        <f>IFERROR(INDEX(PP_Grid[#Data],$DE1382,37),0)</f>
        <v/>
      </c>
      <c r="AO1382">
        <f>IFERROR(INDEX(PP_Grid[#Data],$DE1382,38),0)</f>
        <v/>
      </c>
      <c r="AP1382">
        <f>IFERROR(INDEX(PP_Grid[#Data],$DE1382,39),0)</f>
        <v/>
      </c>
      <c r="AQ1382">
        <f>IFERROR(INDEX(PP_Grid[#Data],$DE1382,40),0)</f>
        <v/>
      </c>
      <c r="AR1382">
        <f>IFERROR(INDEX(PP_Grid[#Data],$DE1382,41),0)</f>
        <v/>
      </c>
      <c r="AS1382">
        <f>IFERROR(INDEX(PP_Grid[#Data],$DE1382,42),0)</f>
        <v/>
      </c>
      <c r="AT1382">
        <f>IFERROR(INDEX(PP_Grid[#Data],$DE1382,43),0)</f>
        <v/>
      </c>
      <c r="AU1382">
        <f>IFERROR(INDEX(PP_Grid[#Data],$DE1382,44),0)</f>
        <v/>
      </c>
      <c r="AV1382">
        <f>IFERROR(INDEX(PP_Grid[#Data],$DE1382,45),0)</f>
        <v/>
      </c>
      <c r="AW1382">
        <f>IFERROR(INDEX(PP_Grid[#Data],$DE1382,46),0)</f>
        <v/>
      </c>
      <c r="AX1382">
        <f>IFERROR(INDEX(PP_Grid[#Data],$DE1382,47),0)</f>
        <v/>
      </c>
      <c r="AY1382">
        <f>IFERROR(INDEX(PP_Grid[#Data],$DE1382,48),0)</f>
        <v/>
      </c>
      <c r="AZ1382">
        <f>IFERROR(INDEX(PP_Grid[#Data],$DE1382,49),0)</f>
        <v/>
      </c>
      <c r="BA1382">
        <f>IFERROR(INDEX(PP_Grid[#Data],$DE1382,50),0)</f>
        <v/>
      </c>
      <c r="BB1382">
        <f>IFERROR(INDEX(PP_Grid[#Data],$DE1382,51),0)</f>
        <v/>
      </c>
      <c r="BC1382">
        <f>IFERROR(INDEX(PP_Grid[#Data],$DE1382,52),0)</f>
        <v/>
      </c>
      <c r="BD1382">
        <f>IFERROR(INDEX(PP_Grid[#Data],$DE1382,53),0)</f>
        <v/>
      </c>
      <c r="BE1382">
        <f>IFERROR(INDEX(PP_Grid[#Data],$DE1382,54),0)</f>
        <v/>
      </c>
      <c r="BF1382">
        <f>IFERROR(INDEX(PP_Grid[#Data],$DE1382,55),0)</f>
        <v/>
      </c>
      <c r="BG1382">
        <f>IFERROR(INDEX(PP_Grid[#Data],$DE1382,56),0)</f>
        <v/>
      </c>
      <c r="BH1382">
        <f>IFERROR(INDEX(PP_Grid[#Data],$DE1382,57),0)</f>
        <v/>
      </c>
      <c r="BI1382">
        <f>IFERROR(INDEX(PP_Grid[#Data],$DE1382,58),0)</f>
        <v/>
      </c>
      <c r="BJ1382">
        <f>IFERROR(INDEX(PP_Grid[#Data],$DE1382,59),0)</f>
        <v/>
      </c>
      <c r="BK1382">
        <f>IFERROR(INDEX(PP_Grid[#Data],$DE1382,60),0)</f>
        <v/>
      </c>
      <c r="BL1382">
        <f>IFERROR(INDEX(PP_Grid[#Data],$DE1382,61),0)</f>
        <v/>
      </c>
      <c r="BM1382">
        <f>IFERROR(INDEX(PP_Grid[#Data],$DE1382,62),0)</f>
        <v/>
      </c>
      <c r="BN1382">
        <f>IFERROR(INDEX(PP_Grid[#Data],$DE1382,63),0)</f>
        <v/>
      </c>
      <c r="BO1382">
        <f>IFERROR(INDEX(PP_Grid[#Data],$DE1382,64),0)</f>
        <v/>
      </c>
      <c r="BP1382">
        <f>IFERROR(INDEX(PP_Grid[#Data],$DE1382,65),0)</f>
        <v/>
      </c>
      <c r="BQ1382">
        <f>IFERROR(INDEX(PP_Grid[#Data],$DE1382,66),0)</f>
        <v/>
      </c>
      <c r="BR1382">
        <f>IFERROR(INDEX(PP_Grid[#Data],$DE1382,67),0)</f>
        <v/>
      </c>
      <c r="BS1382">
        <f>IFERROR(INDEX(PP_Grid[#Data],$DE1382,68),0)</f>
        <v/>
      </c>
      <c r="BT1382">
        <f>IFERROR(INDEX(PP_Grid[#Data],$DE1382,69),0)</f>
        <v/>
      </c>
      <c r="BU1382">
        <f>IFERROR(INDEX(PP_Grid[#Data],$DE1382,70),0)</f>
        <v/>
      </c>
      <c r="BV1382">
        <f>IFERROR(INDEX(PP_Grid[#Data],$DE1382,71),0)</f>
        <v/>
      </c>
      <c r="BW1382">
        <f>IFERROR(INDEX(PP_Grid[#Data],$DE1382,72),0)</f>
        <v/>
      </c>
      <c r="BX1382">
        <f>IFERROR(INDEX(PP_Grid[#Data],$DE1382,73),0)</f>
        <v/>
      </c>
      <c r="BY1382">
        <f>IFERROR(INDEX(PP_Grid[#Data],$DE1382,74),0)</f>
        <v/>
      </c>
      <c r="BZ1382">
        <f>IFERROR(INDEX(PP_Grid[#Data],$DE1382,75),0)</f>
        <v/>
      </c>
      <c r="CA1382">
        <f>IFERROR(INDEX(PP_Grid[#Data],$DE1382,76),0)</f>
        <v/>
      </c>
      <c r="CB1382">
        <f>IFERROR(INDEX(PP_Grid[#Data],$DE1382,77),0)</f>
        <v/>
      </c>
      <c r="CC1382">
        <f>IFERROR(INDEX(PP_Grid[#Data],$DE1382,78),0)</f>
        <v/>
      </c>
      <c r="CD1382">
        <f>IFERROR(INDEX(PP_Grid[#Data],$DE1382,79),0)</f>
        <v/>
      </c>
      <c r="CE1382">
        <f>IFERROR(INDEX(PP_Grid[#Data],$DE1382,80),0)</f>
        <v/>
      </c>
      <c r="CF1382">
        <f>IFERROR(INDEX(PP_Grid[#Data],$DE1382,81),0)</f>
        <v/>
      </c>
      <c r="CG1382">
        <f>IFERROR(INDEX(PP_Grid[#Data],$DE1382,82),0)</f>
        <v/>
      </c>
      <c r="CH1382">
        <f>IFERROR(INDEX(PP_Grid[#Data],$DE1382,83),0)</f>
        <v/>
      </c>
      <c r="CI1382">
        <f>IFERROR(INDEX(PP_Grid[#Data],$DE1382,84),0)</f>
        <v/>
      </c>
      <c r="CJ1382">
        <f>IFERROR(INDEX(PP_Grid[#Data],$DE1382,85),0)</f>
        <v/>
      </c>
      <c r="CK1382">
        <f>IFERROR(INDEX(PP_Grid[#Data],$DE1382,86),0)</f>
        <v/>
      </c>
      <c r="CL1382">
        <f>IFERROR(INDEX(PP_Grid[#Data],$DE1382,87),0)</f>
        <v/>
      </c>
      <c r="CM1382">
        <f>IFERROR(INDEX(PP_Grid[#Data],$DE1382,88),0)</f>
        <v/>
      </c>
      <c r="CN1382">
        <f>IFERROR(INDEX(PP_Grid[#Data],$DE1382,89),0)</f>
        <v/>
      </c>
      <c r="CO1382">
        <f>IFERROR(INDEX(PP_Grid[#Data],$DE1382,90),0)</f>
        <v/>
      </c>
      <c r="CP1382">
        <f>IFERROR(INDEX(PP_Grid[#Data],$DE1382,91),0)</f>
        <v/>
      </c>
      <c r="CQ1382">
        <f>IFERROR(INDEX(PP_Grid[#Data],$DE1382,92),0)</f>
        <v/>
      </c>
      <c r="CR1382">
        <f>IFERROR(INDEX(PP_Grid[#Data],$DE1382,93),0)</f>
        <v/>
      </c>
      <c r="CS1382">
        <f>IFERROR(INDEX(PP_Grid[#Data],$DE1382,94),0)</f>
        <v/>
      </c>
      <c r="CT1382">
        <f>IFERROR(INDEX(PP_Grid[#Data],$DE1382,95),0)</f>
        <v/>
      </c>
      <c r="CU1382">
        <f>IFERROR(INDEX(PP_Grid[#Data],$DE1382,96),0)</f>
        <v/>
      </c>
      <c r="CV1382">
        <f>IFERROR(INDEX(PP_Grid[#Data],$DE1382,97),0)</f>
        <v/>
      </c>
      <c r="CW1382">
        <f>IFERROR(INDEX(PP_Grid[#Data],$DE1382,98),0)</f>
        <v/>
      </c>
      <c r="CX1382">
        <f>IFERROR(INDEX(PP_Grid[#Data],$DE1382,99),0)</f>
        <v/>
      </c>
      <c r="CY1382">
        <f>IFERROR(INDEX(PP_Grid[#Data],$DE1382,100),0)</f>
        <v/>
      </c>
      <c r="CZ1382">
        <f>IFERROR(INDEX(PP_Grid[#Data],$DE1382,101),0)</f>
        <v/>
      </c>
      <c r="DA1382">
        <f>IFERROR(INDEX(PP_Grid[#Data],$DE1382,102),0)</f>
        <v/>
      </c>
      <c r="DB1382">
        <f>IFERROR(INDEX(PP_Grid[#Data],$DE1382,103),0)</f>
        <v/>
      </c>
      <c r="DC1382">
        <f>IFERROR(INDEX(PP_Grid[#Data],$DE1382,104),0)</f>
        <v/>
      </c>
      <c r="DD1382">
        <f>IFERROR(INDEX(PP_Grid[#Data],$DE1382,105),0)</f>
        <v/>
      </c>
      <c r="DE1382" s="7">
        <f>IFERROR(MATCH($B1382,PP_Grid[Intermediate],0),99999)</f>
        <v/>
      </c>
    </row>
    <row r="1383">
      <c r="B1383" t="inlineStr">
        <is>
          <t>使用量(kg)</t>
        </is>
      </c>
      <c r="C1383">
        <f>SUMIFS(M_BOM[RM_Qty_Per_Batch],M_BOM[Intermediate],$B1382,M_BOM[RM_Code],$A1381)</f>
        <v/>
      </c>
      <c r="D1383">
        <f>IFERROR(INDEX(E1383:DD1383,$F$1),"")</f>
        <v/>
      </c>
      <c r="E1383">
        <f>$C1383*E1382</f>
        <v/>
      </c>
      <c r="F1383">
        <f>$C1383*F1382</f>
        <v/>
      </c>
      <c r="G1383">
        <f>$C1383*G1382</f>
        <v/>
      </c>
      <c r="H1383">
        <f>$C1383*H1382</f>
        <v/>
      </c>
      <c r="I1383">
        <f>$C1383*I1382</f>
        <v/>
      </c>
      <c r="J1383">
        <f>$C1383*J1382</f>
        <v/>
      </c>
      <c r="K1383">
        <f>$C1383*K1382</f>
        <v/>
      </c>
      <c r="L1383">
        <f>$C1383*L1382</f>
        <v/>
      </c>
      <c r="M1383">
        <f>$C1383*M1382</f>
        <v/>
      </c>
      <c r="N1383">
        <f>$C1383*N1382</f>
        <v/>
      </c>
      <c r="O1383">
        <f>$C1383*O1382</f>
        <v/>
      </c>
      <c r="P1383">
        <f>$C1383*P1382</f>
        <v/>
      </c>
      <c r="Q1383">
        <f>$C1383*Q1382</f>
        <v/>
      </c>
      <c r="R1383">
        <f>$C1383*R1382</f>
        <v/>
      </c>
      <c r="S1383">
        <f>$C1383*S1382</f>
        <v/>
      </c>
      <c r="T1383">
        <f>$C1383*T1382</f>
        <v/>
      </c>
      <c r="U1383">
        <f>$C1383*U1382</f>
        <v/>
      </c>
      <c r="V1383">
        <f>$C1383*V1382</f>
        <v/>
      </c>
      <c r="W1383">
        <f>$C1383*W1382</f>
        <v/>
      </c>
      <c r="X1383">
        <f>$C1383*X1382</f>
        <v/>
      </c>
      <c r="Y1383">
        <f>$C1383*Y1382</f>
        <v/>
      </c>
      <c r="Z1383">
        <f>$C1383*Z1382</f>
        <v/>
      </c>
      <c r="AA1383">
        <f>$C1383*AA1382</f>
        <v/>
      </c>
      <c r="AB1383">
        <f>$C1383*AB1382</f>
        <v/>
      </c>
      <c r="AC1383">
        <f>$C1383*AC1382</f>
        <v/>
      </c>
      <c r="AD1383">
        <f>$C1383*AD1382</f>
        <v/>
      </c>
      <c r="AE1383">
        <f>$C1383*AE1382</f>
        <v/>
      </c>
      <c r="AF1383">
        <f>$C1383*AF1382</f>
        <v/>
      </c>
      <c r="AG1383">
        <f>$C1383*AG1382</f>
        <v/>
      </c>
      <c r="AH1383">
        <f>$C1383*AH1382</f>
        <v/>
      </c>
      <c r="AI1383">
        <f>$C1383*AI1382</f>
        <v/>
      </c>
      <c r="AJ1383">
        <f>$C1383*AJ1382</f>
        <v/>
      </c>
      <c r="AK1383">
        <f>$C1383*AK1382</f>
        <v/>
      </c>
      <c r="AL1383">
        <f>$C1383*AL1382</f>
        <v/>
      </c>
      <c r="AM1383">
        <f>$C1383*AM1382</f>
        <v/>
      </c>
      <c r="AN1383">
        <f>$C1383*AN1382</f>
        <v/>
      </c>
      <c r="AO1383">
        <f>$C1383*AO1382</f>
        <v/>
      </c>
      <c r="AP1383">
        <f>$C1383*AP1382</f>
        <v/>
      </c>
      <c r="AQ1383">
        <f>$C1383*AQ1382</f>
        <v/>
      </c>
      <c r="AR1383">
        <f>$C1383*AR1382</f>
        <v/>
      </c>
      <c r="AS1383">
        <f>$C1383*AS1382</f>
        <v/>
      </c>
      <c r="AT1383">
        <f>$C1383*AT1382</f>
        <v/>
      </c>
      <c r="AU1383">
        <f>$C1383*AU1382</f>
        <v/>
      </c>
      <c r="AV1383">
        <f>$C1383*AV1382</f>
        <v/>
      </c>
      <c r="AW1383">
        <f>$C1383*AW1382</f>
        <v/>
      </c>
      <c r="AX1383">
        <f>$C1383*AX1382</f>
        <v/>
      </c>
      <c r="AY1383">
        <f>$C1383*AY1382</f>
        <v/>
      </c>
      <c r="AZ1383">
        <f>$C1383*AZ1382</f>
        <v/>
      </c>
      <c r="BA1383">
        <f>$C1383*BA1382</f>
        <v/>
      </c>
      <c r="BB1383">
        <f>$C1383*BB1382</f>
        <v/>
      </c>
      <c r="BC1383">
        <f>$C1383*BC1382</f>
        <v/>
      </c>
      <c r="BD1383">
        <f>$C1383*BD1382</f>
        <v/>
      </c>
      <c r="BE1383">
        <f>$C1383*BE1382</f>
        <v/>
      </c>
      <c r="BF1383">
        <f>$C1383*BF1382</f>
        <v/>
      </c>
      <c r="BG1383">
        <f>$C1383*BG1382</f>
        <v/>
      </c>
      <c r="BH1383">
        <f>$C1383*BH1382</f>
        <v/>
      </c>
      <c r="BI1383">
        <f>$C1383*BI1382</f>
        <v/>
      </c>
      <c r="BJ1383">
        <f>$C1383*BJ1382</f>
        <v/>
      </c>
      <c r="BK1383">
        <f>$C1383*BK1382</f>
        <v/>
      </c>
      <c r="BL1383">
        <f>$C1383*BL1382</f>
        <v/>
      </c>
      <c r="BM1383">
        <f>$C1383*BM1382</f>
        <v/>
      </c>
      <c r="BN1383">
        <f>$C1383*BN1382</f>
        <v/>
      </c>
      <c r="BO1383">
        <f>$C1383*BO1382</f>
        <v/>
      </c>
      <c r="BP1383">
        <f>$C1383*BP1382</f>
        <v/>
      </c>
      <c r="BQ1383">
        <f>$C1383*BQ1382</f>
        <v/>
      </c>
      <c r="BR1383">
        <f>$C1383*BR1382</f>
        <v/>
      </c>
      <c r="BS1383">
        <f>$C1383*BS1382</f>
        <v/>
      </c>
      <c r="BT1383">
        <f>$C1383*BT1382</f>
        <v/>
      </c>
      <c r="BU1383">
        <f>$C1383*BU1382</f>
        <v/>
      </c>
      <c r="BV1383">
        <f>$C1383*BV1382</f>
        <v/>
      </c>
      <c r="BW1383">
        <f>$C1383*BW1382</f>
        <v/>
      </c>
      <c r="BX1383">
        <f>$C1383*BX1382</f>
        <v/>
      </c>
      <c r="BY1383">
        <f>$C1383*BY1382</f>
        <v/>
      </c>
      <c r="BZ1383">
        <f>$C1383*BZ1382</f>
        <v/>
      </c>
      <c r="CA1383">
        <f>$C1383*CA1382</f>
        <v/>
      </c>
      <c r="CB1383">
        <f>$C1383*CB1382</f>
        <v/>
      </c>
      <c r="CC1383">
        <f>$C1383*CC1382</f>
        <v/>
      </c>
      <c r="CD1383">
        <f>$C1383*CD1382</f>
        <v/>
      </c>
      <c r="CE1383">
        <f>$C1383*CE1382</f>
        <v/>
      </c>
      <c r="CF1383">
        <f>$C1383*CF1382</f>
        <v/>
      </c>
      <c r="CG1383">
        <f>$C1383*CG1382</f>
        <v/>
      </c>
      <c r="CH1383">
        <f>$C1383*CH1382</f>
        <v/>
      </c>
      <c r="CI1383">
        <f>$C1383*CI1382</f>
        <v/>
      </c>
      <c r="CJ1383">
        <f>$C1383*CJ1382</f>
        <v/>
      </c>
      <c r="CK1383">
        <f>$C1383*CK1382</f>
        <v/>
      </c>
      <c r="CL1383">
        <f>$C1383*CL1382</f>
        <v/>
      </c>
      <c r="CM1383">
        <f>$C1383*CM1382</f>
        <v/>
      </c>
      <c r="CN1383">
        <f>$C1383*CN1382</f>
        <v/>
      </c>
      <c r="CO1383">
        <f>$C1383*CO1382</f>
        <v/>
      </c>
      <c r="CP1383">
        <f>$C1383*CP1382</f>
        <v/>
      </c>
      <c r="CQ1383">
        <f>$C1383*CQ1382</f>
        <v/>
      </c>
      <c r="CR1383">
        <f>$C1383*CR1382</f>
        <v/>
      </c>
      <c r="CS1383">
        <f>$C1383*CS1382</f>
        <v/>
      </c>
      <c r="CT1383">
        <f>$C1383*CT1382</f>
        <v/>
      </c>
      <c r="CU1383">
        <f>$C1383*CU1382</f>
        <v/>
      </c>
      <c r="CV1383">
        <f>$C1383*CV1382</f>
        <v/>
      </c>
      <c r="CW1383">
        <f>$C1383*CW1382</f>
        <v/>
      </c>
      <c r="CX1383">
        <f>$C1383*CX1382</f>
        <v/>
      </c>
      <c r="CY1383">
        <f>$C1383*CY1382</f>
        <v/>
      </c>
      <c r="CZ1383">
        <f>$C1383*CZ1382</f>
        <v/>
      </c>
      <c r="DA1383">
        <f>$C1383*DA1382</f>
        <v/>
      </c>
      <c r="DB1383">
        <f>$C1383*DB1382</f>
        <v/>
      </c>
      <c r="DC1383">
        <f>$C1383*DC1382</f>
        <v/>
      </c>
      <c r="DD1383">
        <f>$C1383*DD1382</f>
        <v/>
      </c>
    </row>
    <row r="1384">
      <c r="B1384" t="inlineStr">
        <is>
          <t>TSP-928</t>
        </is>
      </c>
      <c r="C1384" t="inlineStr">
        <is>
          <t>No. of batches</t>
        </is>
      </c>
      <c r="D1384">
        <f>IFERROR(INDEX(E1384:DD1384,$F$1),"")</f>
        <v/>
      </c>
      <c r="E1384">
        <f>IFERROR(INDEX(PP_Grid[#Data],$DE1384,2),0)</f>
        <v/>
      </c>
      <c r="F1384">
        <f>IFERROR(INDEX(PP_Grid[#Data],$DE1384,3),0)</f>
        <v/>
      </c>
      <c r="G1384">
        <f>IFERROR(INDEX(PP_Grid[#Data],$DE1384,4),0)</f>
        <v/>
      </c>
      <c r="H1384">
        <f>IFERROR(INDEX(PP_Grid[#Data],$DE1384,5),0)</f>
        <v/>
      </c>
      <c r="I1384">
        <f>IFERROR(INDEX(PP_Grid[#Data],$DE1384,6),0)</f>
        <v/>
      </c>
      <c r="J1384">
        <f>IFERROR(INDEX(PP_Grid[#Data],$DE1384,7),0)</f>
        <v/>
      </c>
      <c r="K1384">
        <f>IFERROR(INDEX(PP_Grid[#Data],$DE1384,8),0)</f>
        <v/>
      </c>
      <c r="L1384">
        <f>IFERROR(INDEX(PP_Grid[#Data],$DE1384,9),0)</f>
        <v/>
      </c>
      <c r="M1384">
        <f>IFERROR(INDEX(PP_Grid[#Data],$DE1384,10),0)</f>
        <v/>
      </c>
      <c r="N1384">
        <f>IFERROR(INDEX(PP_Grid[#Data],$DE1384,11),0)</f>
        <v/>
      </c>
      <c r="O1384">
        <f>IFERROR(INDEX(PP_Grid[#Data],$DE1384,12),0)</f>
        <v/>
      </c>
      <c r="P1384">
        <f>IFERROR(INDEX(PP_Grid[#Data],$DE1384,13),0)</f>
        <v/>
      </c>
      <c r="Q1384">
        <f>IFERROR(INDEX(PP_Grid[#Data],$DE1384,14),0)</f>
        <v/>
      </c>
      <c r="R1384">
        <f>IFERROR(INDEX(PP_Grid[#Data],$DE1384,15),0)</f>
        <v/>
      </c>
      <c r="S1384">
        <f>IFERROR(INDEX(PP_Grid[#Data],$DE1384,16),0)</f>
        <v/>
      </c>
      <c r="T1384">
        <f>IFERROR(INDEX(PP_Grid[#Data],$DE1384,17),0)</f>
        <v/>
      </c>
      <c r="U1384">
        <f>IFERROR(INDEX(PP_Grid[#Data],$DE1384,18),0)</f>
        <v/>
      </c>
      <c r="V1384">
        <f>IFERROR(INDEX(PP_Grid[#Data],$DE1384,19),0)</f>
        <v/>
      </c>
      <c r="W1384">
        <f>IFERROR(INDEX(PP_Grid[#Data],$DE1384,20),0)</f>
        <v/>
      </c>
      <c r="X1384">
        <f>IFERROR(INDEX(PP_Grid[#Data],$DE1384,21),0)</f>
        <v/>
      </c>
      <c r="Y1384">
        <f>IFERROR(INDEX(PP_Grid[#Data],$DE1384,22),0)</f>
        <v/>
      </c>
      <c r="Z1384">
        <f>IFERROR(INDEX(PP_Grid[#Data],$DE1384,23),0)</f>
        <v/>
      </c>
      <c r="AA1384">
        <f>IFERROR(INDEX(PP_Grid[#Data],$DE1384,24),0)</f>
        <v/>
      </c>
      <c r="AB1384">
        <f>IFERROR(INDEX(PP_Grid[#Data],$DE1384,25),0)</f>
        <v/>
      </c>
      <c r="AC1384">
        <f>IFERROR(INDEX(PP_Grid[#Data],$DE1384,26),0)</f>
        <v/>
      </c>
      <c r="AD1384">
        <f>IFERROR(INDEX(PP_Grid[#Data],$DE1384,27),0)</f>
        <v/>
      </c>
      <c r="AE1384">
        <f>IFERROR(INDEX(PP_Grid[#Data],$DE1384,28),0)</f>
        <v/>
      </c>
      <c r="AF1384">
        <f>IFERROR(INDEX(PP_Grid[#Data],$DE1384,29),0)</f>
        <v/>
      </c>
      <c r="AG1384">
        <f>IFERROR(INDEX(PP_Grid[#Data],$DE1384,30),0)</f>
        <v/>
      </c>
      <c r="AH1384">
        <f>IFERROR(INDEX(PP_Grid[#Data],$DE1384,31),0)</f>
        <v/>
      </c>
      <c r="AI1384">
        <f>IFERROR(INDEX(PP_Grid[#Data],$DE1384,32),0)</f>
        <v/>
      </c>
      <c r="AJ1384">
        <f>IFERROR(INDEX(PP_Grid[#Data],$DE1384,33),0)</f>
        <v/>
      </c>
      <c r="AK1384">
        <f>IFERROR(INDEX(PP_Grid[#Data],$DE1384,34),0)</f>
        <v/>
      </c>
      <c r="AL1384">
        <f>IFERROR(INDEX(PP_Grid[#Data],$DE1384,35),0)</f>
        <v/>
      </c>
      <c r="AM1384">
        <f>IFERROR(INDEX(PP_Grid[#Data],$DE1384,36),0)</f>
        <v/>
      </c>
      <c r="AN1384">
        <f>IFERROR(INDEX(PP_Grid[#Data],$DE1384,37),0)</f>
        <v/>
      </c>
      <c r="AO1384">
        <f>IFERROR(INDEX(PP_Grid[#Data],$DE1384,38),0)</f>
        <v/>
      </c>
      <c r="AP1384">
        <f>IFERROR(INDEX(PP_Grid[#Data],$DE1384,39),0)</f>
        <v/>
      </c>
      <c r="AQ1384">
        <f>IFERROR(INDEX(PP_Grid[#Data],$DE1384,40),0)</f>
        <v/>
      </c>
      <c r="AR1384">
        <f>IFERROR(INDEX(PP_Grid[#Data],$DE1384,41),0)</f>
        <v/>
      </c>
      <c r="AS1384">
        <f>IFERROR(INDEX(PP_Grid[#Data],$DE1384,42),0)</f>
        <v/>
      </c>
      <c r="AT1384">
        <f>IFERROR(INDEX(PP_Grid[#Data],$DE1384,43),0)</f>
        <v/>
      </c>
      <c r="AU1384">
        <f>IFERROR(INDEX(PP_Grid[#Data],$DE1384,44),0)</f>
        <v/>
      </c>
      <c r="AV1384">
        <f>IFERROR(INDEX(PP_Grid[#Data],$DE1384,45),0)</f>
        <v/>
      </c>
      <c r="AW1384">
        <f>IFERROR(INDEX(PP_Grid[#Data],$DE1384,46),0)</f>
        <v/>
      </c>
      <c r="AX1384">
        <f>IFERROR(INDEX(PP_Grid[#Data],$DE1384,47),0)</f>
        <v/>
      </c>
      <c r="AY1384">
        <f>IFERROR(INDEX(PP_Grid[#Data],$DE1384,48),0)</f>
        <v/>
      </c>
      <c r="AZ1384">
        <f>IFERROR(INDEX(PP_Grid[#Data],$DE1384,49),0)</f>
        <v/>
      </c>
      <c r="BA1384">
        <f>IFERROR(INDEX(PP_Grid[#Data],$DE1384,50),0)</f>
        <v/>
      </c>
      <c r="BB1384">
        <f>IFERROR(INDEX(PP_Grid[#Data],$DE1384,51),0)</f>
        <v/>
      </c>
      <c r="BC1384">
        <f>IFERROR(INDEX(PP_Grid[#Data],$DE1384,52),0)</f>
        <v/>
      </c>
      <c r="BD1384">
        <f>IFERROR(INDEX(PP_Grid[#Data],$DE1384,53),0)</f>
        <v/>
      </c>
      <c r="BE1384">
        <f>IFERROR(INDEX(PP_Grid[#Data],$DE1384,54),0)</f>
        <v/>
      </c>
      <c r="BF1384">
        <f>IFERROR(INDEX(PP_Grid[#Data],$DE1384,55),0)</f>
        <v/>
      </c>
      <c r="BG1384">
        <f>IFERROR(INDEX(PP_Grid[#Data],$DE1384,56),0)</f>
        <v/>
      </c>
      <c r="BH1384">
        <f>IFERROR(INDEX(PP_Grid[#Data],$DE1384,57),0)</f>
        <v/>
      </c>
      <c r="BI1384">
        <f>IFERROR(INDEX(PP_Grid[#Data],$DE1384,58),0)</f>
        <v/>
      </c>
      <c r="BJ1384">
        <f>IFERROR(INDEX(PP_Grid[#Data],$DE1384,59),0)</f>
        <v/>
      </c>
      <c r="BK1384">
        <f>IFERROR(INDEX(PP_Grid[#Data],$DE1384,60),0)</f>
        <v/>
      </c>
      <c r="BL1384">
        <f>IFERROR(INDEX(PP_Grid[#Data],$DE1384,61),0)</f>
        <v/>
      </c>
      <c r="BM1384">
        <f>IFERROR(INDEX(PP_Grid[#Data],$DE1384,62),0)</f>
        <v/>
      </c>
      <c r="BN1384">
        <f>IFERROR(INDEX(PP_Grid[#Data],$DE1384,63),0)</f>
        <v/>
      </c>
      <c r="BO1384">
        <f>IFERROR(INDEX(PP_Grid[#Data],$DE1384,64),0)</f>
        <v/>
      </c>
      <c r="BP1384">
        <f>IFERROR(INDEX(PP_Grid[#Data],$DE1384,65),0)</f>
        <v/>
      </c>
      <c r="BQ1384">
        <f>IFERROR(INDEX(PP_Grid[#Data],$DE1384,66),0)</f>
        <v/>
      </c>
      <c r="BR1384">
        <f>IFERROR(INDEX(PP_Grid[#Data],$DE1384,67),0)</f>
        <v/>
      </c>
      <c r="BS1384">
        <f>IFERROR(INDEX(PP_Grid[#Data],$DE1384,68),0)</f>
        <v/>
      </c>
      <c r="BT1384">
        <f>IFERROR(INDEX(PP_Grid[#Data],$DE1384,69),0)</f>
        <v/>
      </c>
      <c r="BU1384">
        <f>IFERROR(INDEX(PP_Grid[#Data],$DE1384,70),0)</f>
        <v/>
      </c>
      <c r="BV1384">
        <f>IFERROR(INDEX(PP_Grid[#Data],$DE1384,71),0)</f>
        <v/>
      </c>
      <c r="BW1384">
        <f>IFERROR(INDEX(PP_Grid[#Data],$DE1384,72),0)</f>
        <v/>
      </c>
      <c r="BX1384">
        <f>IFERROR(INDEX(PP_Grid[#Data],$DE1384,73),0)</f>
        <v/>
      </c>
      <c r="BY1384">
        <f>IFERROR(INDEX(PP_Grid[#Data],$DE1384,74),0)</f>
        <v/>
      </c>
      <c r="BZ1384">
        <f>IFERROR(INDEX(PP_Grid[#Data],$DE1384,75),0)</f>
        <v/>
      </c>
      <c r="CA1384">
        <f>IFERROR(INDEX(PP_Grid[#Data],$DE1384,76),0)</f>
        <v/>
      </c>
      <c r="CB1384">
        <f>IFERROR(INDEX(PP_Grid[#Data],$DE1384,77),0)</f>
        <v/>
      </c>
      <c r="CC1384">
        <f>IFERROR(INDEX(PP_Grid[#Data],$DE1384,78),0)</f>
        <v/>
      </c>
      <c r="CD1384">
        <f>IFERROR(INDEX(PP_Grid[#Data],$DE1384,79),0)</f>
        <v/>
      </c>
      <c r="CE1384">
        <f>IFERROR(INDEX(PP_Grid[#Data],$DE1384,80),0)</f>
        <v/>
      </c>
      <c r="CF1384">
        <f>IFERROR(INDEX(PP_Grid[#Data],$DE1384,81),0)</f>
        <v/>
      </c>
      <c r="CG1384">
        <f>IFERROR(INDEX(PP_Grid[#Data],$DE1384,82),0)</f>
        <v/>
      </c>
      <c r="CH1384">
        <f>IFERROR(INDEX(PP_Grid[#Data],$DE1384,83),0)</f>
        <v/>
      </c>
      <c r="CI1384">
        <f>IFERROR(INDEX(PP_Grid[#Data],$DE1384,84),0)</f>
        <v/>
      </c>
      <c r="CJ1384">
        <f>IFERROR(INDEX(PP_Grid[#Data],$DE1384,85),0)</f>
        <v/>
      </c>
      <c r="CK1384">
        <f>IFERROR(INDEX(PP_Grid[#Data],$DE1384,86),0)</f>
        <v/>
      </c>
      <c r="CL1384">
        <f>IFERROR(INDEX(PP_Grid[#Data],$DE1384,87),0)</f>
        <v/>
      </c>
      <c r="CM1384">
        <f>IFERROR(INDEX(PP_Grid[#Data],$DE1384,88),0)</f>
        <v/>
      </c>
      <c r="CN1384">
        <f>IFERROR(INDEX(PP_Grid[#Data],$DE1384,89),0)</f>
        <v/>
      </c>
      <c r="CO1384">
        <f>IFERROR(INDEX(PP_Grid[#Data],$DE1384,90),0)</f>
        <v/>
      </c>
      <c r="CP1384">
        <f>IFERROR(INDEX(PP_Grid[#Data],$DE1384,91),0)</f>
        <v/>
      </c>
      <c r="CQ1384">
        <f>IFERROR(INDEX(PP_Grid[#Data],$DE1384,92),0)</f>
        <v/>
      </c>
      <c r="CR1384">
        <f>IFERROR(INDEX(PP_Grid[#Data],$DE1384,93),0)</f>
        <v/>
      </c>
      <c r="CS1384">
        <f>IFERROR(INDEX(PP_Grid[#Data],$DE1384,94),0)</f>
        <v/>
      </c>
      <c r="CT1384">
        <f>IFERROR(INDEX(PP_Grid[#Data],$DE1384,95),0)</f>
        <v/>
      </c>
      <c r="CU1384">
        <f>IFERROR(INDEX(PP_Grid[#Data],$DE1384,96),0)</f>
        <v/>
      </c>
      <c r="CV1384">
        <f>IFERROR(INDEX(PP_Grid[#Data],$DE1384,97),0)</f>
        <v/>
      </c>
      <c r="CW1384">
        <f>IFERROR(INDEX(PP_Grid[#Data],$DE1384,98),0)</f>
        <v/>
      </c>
      <c r="CX1384">
        <f>IFERROR(INDEX(PP_Grid[#Data],$DE1384,99),0)</f>
        <v/>
      </c>
      <c r="CY1384">
        <f>IFERROR(INDEX(PP_Grid[#Data],$DE1384,100),0)</f>
        <v/>
      </c>
      <c r="CZ1384">
        <f>IFERROR(INDEX(PP_Grid[#Data],$DE1384,101),0)</f>
        <v/>
      </c>
      <c r="DA1384">
        <f>IFERROR(INDEX(PP_Grid[#Data],$DE1384,102),0)</f>
        <v/>
      </c>
      <c r="DB1384">
        <f>IFERROR(INDEX(PP_Grid[#Data],$DE1384,103),0)</f>
        <v/>
      </c>
      <c r="DC1384">
        <f>IFERROR(INDEX(PP_Grid[#Data],$DE1384,104),0)</f>
        <v/>
      </c>
      <c r="DD1384">
        <f>IFERROR(INDEX(PP_Grid[#Data],$DE1384,105),0)</f>
        <v/>
      </c>
      <c r="DE1384" s="7">
        <f>IFERROR(MATCH($B1384,PP_Grid[Intermediate],0),99999)</f>
        <v/>
      </c>
    </row>
    <row r="1385">
      <c r="B1385" t="inlineStr">
        <is>
          <t>使用量(kg)</t>
        </is>
      </c>
      <c r="C1385">
        <f>SUMIFS(M_BOM[RM_Qty_Per_Batch],M_BOM[Intermediate],$B1384,M_BOM[RM_Code],$A1381)</f>
        <v/>
      </c>
      <c r="D1385">
        <f>IFERROR(INDEX(E1385:DD1385,$F$1),"")</f>
        <v/>
      </c>
      <c r="E1385">
        <f>$C1385*E1384</f>
        <v/>
      </c>
      <c r="F1385">
        <f>$C1385*F1384</f>
        <v/>
      </c>
      <c r="G1385">
        <f>$C1385*G1384</f>
        <v/>
      </c>
      <c r="H1385">
        <f>$C1385*H1384</f>
        <v/>
      </c>
      <c r="I1385">
        <f>$C1385*I1384</f>
        <v/>
      </c>
      <c r="J1385">
        <f>$C1385*J1384</f>
        <v/>
      </c>
      <c r="K1385">
        <f>$C1385*K1384</f>
        <v/>
      </c>
      <c r="L1385">
        <f>$C1385*L1384</f>
        <v/>
      </c>
      <c r="M1385">
        <f>$C1385*M1384</f>
        <v/>
      </c>
      <c r="N1385">
        <f>$C1385*N1384</f>
        <v/>
      </c>
      <c r="O1385">
        <f>$C1385*O1384</f>
        <v/>
      </c>
      <c r="P1385">
        <f>$C1385*P1384</f>
        <v/>
      </c>
      <c r="Q1385">
        <f>$C1385*Q1384</f>
        <v/>
      </c>
      <c r="R1385">
        <f>$C1385*R1384</f>
        <v/>
      </c>
      <c r="S1385">
        <f>$C1385*S1384</f>
        <v/>
      </c>
      <c r="T1385">
        <f>$C1385*T1384</f>
        <v/>
      </c>
      <c r="U1385">
        <f>$C1385*U1384</f>
        <v/>
      </c>
      <c r="V1385">
        <f>$C1385*V1384</f>
        <v/>
      </c>
      <c r="W1385">
        <f>$C1385*W1384</f>
        <v/>
      </c>
      <c r="X1385">
        <f>$C1385*X1384</f>
        <v/>
      </c>
      <c r="Y1385">
        <f>$C1385*Y1384</f>
        <v/>
      </c>
      <c r="Z1385">
        <f>$C1385*Z1384</f>
        <v/>
      </c>
      <c r="AA1385">
        <f>$C1385*AA1384</f>
        <v/>
      </c>
      <c r="AB1385">
        <f>$C1385*AB1384</f>
        <v/>
      </c>
      <c r="AC1385">
        <f>$C1385*AC1384</f>
        <v/>
      </c>
      <c r="AD1385">
        <f>$C1385*AD1384</f>
        <v/>
      </c>
      <c r="AE1385">
        <f>$C1385*AE1384</f>
        <v/>
      </c>
      <c r="AF1385">
        <f>$C1385*AF1384</f>
        <v/>
      </c>
      <c r="AG1385">
        <f>$C1385*AG1384</f>
        <v/>
      </c>
      <c r="AH1385">
        <f>$C1385*AH1384</f>
        <v/>
      </c>
      <c r="AI1385">
        <f>$C1385*AI1384</f>
        <v/>
      </c>
      <c r="AJ1385">
        <f>$C1385*AJ1384</f>
        <v/>
      </c>
      <c r="AK1385">
        <f>$C1385*AK1384</f>
        <v/>
      </c>
      <c r="AL1385">
        <f>$C1385*AL1384</f>
        <v/>
      </c>
      <c r="AM1385">
        <f>$C1385*AM1384</f>
        <v/>
      </c>
      <c r="AN1385">
        <f>$C1385*AN1384</f>
        <v/>
      </c>
      <c r="AO1385">
        <f>$C1385*AO1384</f>
        <v/>
      </c>
      <c r="AP1385">
        <f>$C1385*AP1384</f>
        <v/>
      </c>
      <c r="AQ1385">
        <f>$C1385*AQ1384</f>
        <v/>
      </c>
      <c r="AR1385">
        <f>$C1385*AR1384</f>
        <v/>
      </c>
      <c r="AS1385">
        <f>$C1385*AS1384</f>
        <v/>
      </c>
      <c r="AT1385">
        <f>$C1385*AT1384</f>
        <v/>
      </c>
      <c r="AU1385">
        <f>$C1385*AU1384</f>
        <v/>
      </c>
      <c r="AV1385">
        <f>$C1385*AV1384</f>
        <v/>
      </c>
      <c r="AW1385">
        <f>$C1385*AW1384</f>
        <v/>
      </c>
      <c r="AX1385">
        <f>$C1385*AX1384</f>
        <v/>
      </c>
      <c r="AY1385">
        <f>$C1385*AY1384</f>
        <v/>
      </c>
      <c r="AZ1385">
        <f>$C1385*AZ1384</f>
        <v/>
      </c>
      <c r="BA1385">
        <f>$C1385*BA1384</f>
        <v/>
      </c>
      <c r="BB1385">
        <f>$C1385*BB1384</f>
        <v/>
      </c>
      <c r="BC1385">
        <f>$C1385*BC1384</f>
        <v/>
      </c>
      <c r="BD1385">
        <f>$C1385*BD1384</f>
        <v/>
      </c>
      <c r="BE1385">
        <f>$C1385*BE1384</f>
        <v/>
      </c>
      <c r="BF1385">
        <f>$C1385*BF1384</f>
        <v/>
      </c>
      <c r="BG1385">
        <f>$C1385*BG1384</f>
        <v/>
      </c>
      <c r="BH1385">
        <f>$C1385*BH1384</f>
        <v/>
      </c>
      <c r="BI1385">
        <f>$C1385*BI1384</f>
        <v/>
      </c>
      <c r="BJ1385">
        <f>$C1385*BJ1384</f>
        <v/>
      </c>
      <c r="BK1385">
        <f>$C1385*BK1384</f>
        <v/>
      </c>
      <c r="BL1385">
        <f>$C1385*BL1384</f>
        <v/>
      </c>
      <c r="BM1385">
        <f>$C1385*BM1384</f>
        <v/>
      </c>
      <c r="BN1385">
        <f>$C1385*BN1384</f>
        <v/>
      </c>
      <c r="BO1385">
        <f>$C1385*BO1384</f>
        <v/>
      </c>
      <c r="BP1385">
        <f>$C1385*BP1384</f>
        <v/>
      </c>
      <c r="BQ1385">
        <f>$C1385*BQ1384</f>
        <v/>
      </c>
      <c r="BR1385">
        <f>$C1385*BR1384</f>
        <v/>
      </c>
      <c r="BS1385">
        <f>$C1385*BS1384</f>
        <v/>
      </c>
      <c r="BT1385">
        <f>$C1385*BT1384</f>
        <v/>
      </c>
      <c r="BU1385">
        <f>$C1385*BU1384</f>
        <v/>
      </c>
      <c r="BV1385">
        <f>$C1385*BV1384</f>
        <v/>
      </c>
      <c r="BW1385">
        <f>$C1385*BW1384</f>
        <v/>
      </c>
      <c r="BX1385">
        <f>$C1385*BX1384</f>
        <v/>
      </c>
      <c r="BY1385">
        <f>$C1385*BY1384</f>
        <v/>
      </c>
      <c r="BZ1385">
        <f>$C1385*BZ1384</f>
        <v/>
      </c>
      <c r="CA1385">
        <f>$C1385*CA1384</f>
        <v/>
      </c>
      <c r="CB1385">
        <f>$C1385*CB1384</f>
        <v/>
      </c>
      <c r="CC1385">
        <f>$C1385*CC1384</f>
        <v/>
      </c>
      <c r="CD1385">
        <f>$C1385*CD1384</f>
        <v/>
      </c>
      <c r="CE1385">
        <f>$C1385*CE1384</f>
        <v/>
      </c>
      <c r="CF1385">
        <f>$C1385*CF1384</f>
        <v/>
      </c>
      <c r="CG1385">
        <f>$C1385*CG1384</f>
        <v/>
      </c>
      <c r="CH1385">
        <f>$C1385*CH1384</f>
        <v/>
      </c>
      <c r="CI1385">
        <f>$C1385*CI1384</f>
        <v/>
      </c>
      <c r="CJ1385">
        <f>$C1385*CJ1384</f>
        <v/>
      </c>
      <c r="CK1385">
        <f>$C1385*CK1384</f>
        <v/>
      </c>
      <c r="CL1385">
        <f>$C1385*CL1384</f>
        <v/>
      </c>
      <c r="CM1385">
        <f>$C1385*CM1384</f>
        <v/>
      </c>
      <c r="CN1385">
        <f>$C1385*CN1384</f>
        <v/>
      </c>
      <c r="CO1385">
        <f>$C1385*CO1384</f>
        <v/>
      </c>
      <c r="CP1385">
        <f>$C1385*CP1384</f>
        <v/>
      </c>
      <c r="CQ1385">
        <f>$C1385*CQ1384</f>
        <v/>
      </c>
      <c r="CR1385">
        <f>$C1385*CR1384</f>
        <v/>
      </c>
      <c r="CS1385">
        <f>$C1385*CS1384</f>
        <v/>
      </c>
      <c r="CT1385">
        <f>$C1385*CT1384</f>
        <v/>
      </c>
      <c r="CU1385">
        <f>$C1385*CU1384</f>
        <v/>
      </c>
      <c r="CV1385">
        <f>$C1385*CV1384</f>
        <v/>
      </c>
      <c r="CW1385">
        <f>$C1385*CW1384</f>
        <v/>
      </c>
      <c r="CX1385">
        <f>$C1385*CX1384</f>
        <v/>
      </c>
      <c r="CY1385">
        <f>$C1385*CY1384</f>
        <v/>
      </c>
      <c r="CZ1385">
        <f>$C1385*CZ1384</f>
        <v/>
      </c>
      <c r="DA1385">
        <f>$C1385*DA1384</f>
        <v/>
      </c>
      <c r="DB1385">
        <f>$C1385*DB1384</f>
        <v/>
      </c>
      <c r="DC1385">
        <f>$C1385*DC1384</f>
        <v/>
      </c>
      <c r="DD1385">
        <f>$C1385*DD1384</f>
        <v/>
      </c>
    </row>
    <row r="1386">
      <c r="B1386" t="inlineStr">
        <is>
          <t>TSP-929</t>
        </is>
      </c>
      <c r="C1386" t="inlineStr">
        <is>
          <t>No. of batches</t>
        </is>
      </c>
      <c r="D1386">
        <f>IFERROR(INDEX(E1386:DD1386,$F$1),"")</f>
        <v/>
      </c>
      <c r="E1386">
        <f>IFERROR(INDEX(PP_Grid[#Data],$DE1386,2),0)</f>
        <v/>
      </c>
      <c r="F1386">
        <f>IFERROR(INDEX(PP_Grid[#Data],$DE1386,3),0)</f>
        <v/>
      </c>
      <c r="G1386">
        <f>IFERROR(INDEX(PP_Grid[#Data],$DE1386,4),0)</f>
        <v/>
      </c>
      <c r="H1386">
        <f>IFERROR(INDEX(PP_Grid[#Data],$DE1386,5),0)</f>
        <v/>
      </c>
      <c r="I1386">
        <f>IFERROR(INDEX(PP_Grid[#Data],$DE1386,6),0)</f>
        <v/>
      </c>
      <c r="J1386">
        <f>IFERROR(INDEX(PP_Grid[#Data],$DE1386,7),0)</f>
        <v/>
      </c>
      <c r="K1386">
        <f>IFERROR(INDEX(PP_Grid[#Data],$DE1386,8),0)</f>
        <v/>
      </c>
      <c r="L1386">
        <f>IFERROR(INDEX(PP_Grid[#Data],$DE1386,9),0)</f>
        <v/>
      </c>
      <c r="M1386">
        <f>IFERROR(INDEX(PP_Grid[#Data],$DE1386,10),0)</f>
        <v/>
      </c>
      <c r="N1386">
        <f>IFERROR(INDEX(PP_Grid[#Data],$DE1386,11),0)</f>
        <v/>
      </c>
      <c r="O1386">
        <f>IFERROR(INDEX(PP_Grid[#Data],$DE1386,12),0)</f>
        <v/>
      </c>
      <c r="P1386">
        <f>IFERROR(INDEX(PP_Grid[#Data],$DE1386,13),0)</f>
        <v/>
      </c>
      <c r="Q1386">
        <f>IFERROR(INDEX(PP_Grid[#Data],$DE1386,14),0)</f>
        <v/>
      </c>
      <c r="R1386">
        <f>IFERROR(INDEX(PP_Grid[#Data],$DE1386,15),0)</f>
        <v/>
      </c>
      <c r="S1386">
        <f>IFERROR(INDEX(PP_Grid[#Data],$DE1386,16),0)</f>
        <v/>
      </c>
      <c r="T1386">
        <f>IFERROR(INDEX(PP_Grid[#Data],$DE1386,17),0)</f>
        <v/>
      </c>
      <c r="U1386">
        <f>IFERROR(INDEX(PP_Grid[#Data],$DE1386,18),0)</f>
        <v/>
      </c>
      <c r="V1386">
        <f>IFERROR(INDEX(PP_Grid[#Data],$DE1386,19),0)</f>
        <v/>
      </c>
      <c r="W1386">
        <f>IFERROR(INDEX(PP_Grid[#Data],$DE1386,20),0)</f>
        <v/>
      </c>
      <c r="X1386">
        <f>IFERROR(INDEX(PP_Grid[#Data],$DE1386,21),0)</f>
        <v/>
      </c>
      <c r="Y1386">
        <f>IFERROR(INDEX(PP_Grid[#Data],$DE1386,22),0)</f>
        <v/>
      </c>
      <c r="Z1386">
        <f>IFERROR(INDEX(PP_Grid[#Data],$DE1386,23),0)</f>
        <v/>
      </c>
      <c r="AA1386">
        <f>IFERROR(INDEX(PP_Grid[#Data],$DE1386,24),0)</f>
        <v/>
      </c>
      <c r="AB1386">
        <f>IFERROR(INDEX(PP_Grid[#Data],$DE1386,25),0)</f>
        <v/>
      </c>
      <c r="AC1386">
        <f>IFERROR(INDEX(PP_Grid[#Data],$DE1386,26),0)</f>
        <v/>
      </c>
      <c r="AD1386">
        <f>IFERROR(INDEX(PP_Grid[#Data],$DE1386,27),0)</f>
        <v/>
      </c>
      <c r="AE1386">
        <f>IFERROR(INDEX(PP_Grid[#Data],$DE1386,28),0)</f>
        <v/>
      </c>
      <c r="AF1386">
        <f>IFERROR(INDEX(PP_Grid[#Data],$DE1386,29),0)</f>
        <v/>
      </c>
      <c r="AG1386">
        <f>IFERROR(INDEX(PP_Grid[#Data],$DE1386,30),0)</f>
        <v/>
      </c>
      <c r="AH1386">
        <f>IFERROR(INDEX(PP_Grid[#Data],$DE1386,31),0)</f>
        <v/>
      </c>
      <c r="AI1386">
        <f>IFERROR(INDEX(PP_Grid[#Data],$DE1386,32),0)</f>
        <v/>
      </c>
      <c r="AJ1386">
        <f>IFERROR(INDEX(PP_Grid[#Data],$DE1386,33),0)</f>
        <v/>
      </c>
      <c r="AK1386">
        <f>IFERROR(INDEX(PP_Grid[#Data],$DE1386,34),0)</f>
        <v/>
      </c>
      <c r="AL1386">
        <f>IFERROR(INDEX(PP_Grid[#Data],$DE1386,35),0)</f>
        <v/>
      </c>
      <c r="AM1386">
        <f>IFERROR(INDEX(PP_Grid[#Data],$DE1386,36),0)</f>
        <v/>
      </c>
      <c r="AN1386">
        <f>IFERROR(INDEX(PP_Grid[#Data],$DE1386,37),0)</f>
        <v/>
      </c>
      <c r="AO1386">
        <f>IFERROR(INDEX(PP_Grid[#Data],$DE1386,38),0)</f>
        <v/>
      </c>
      <c r="AP1386">
        <f>IFERROR(INDEX(PP_Grid[#Data],$DE1386,39),0)</f>
        <v/>
      </c>
      <c r="AQ1386">
        <f>IFERROR(INDEX(PP_Grid[#Data],$DE1386,40),0)</f>
        <v/>
      </c>
      <c r="AR1386">
        <f>IFERROR(INDEX(PP_Grid[#Data],$DE1386,41),0)</f>
        <v/>
      </c>
      <c r="AS1386">
        <f>IFERROR(INDEX(PP_Grid[#Data],$DE1386,42),0)</f>
        <v/>
      </c>
      <c r="AT1386">
        <f>IFERROR(INDEX(PP_Grid[#Data],$DE1386,43),0)</f>
        <v/>
      </c>
      <c r="AU1386">
        <f>IFERROR(INDEX(PP_Grid[#Data],$DE1386,44),0)</f>
        <v/>
      </c>
      <c r="AV1386">
        <f>IFERROR(INDEX(PP_Grid[#Data],$DE1386,45),0)</f>
        <v/>
      </c>
      <c r="AW1386">
        <f>IFERROR(INDEX(PP_Grid[#Data],$DE1386,46),0)</f>
        <v/>
      </c>
      <c r="AX1386">
        <f>IFERROR(INDEX(PP_Grid[#Data],$DE1386,47),0)</f>
        <v/>
      </c>
      <c r="AY1386">
        <f>IFERROR(INDEX(PP_Grid[#Data],$DE1386,48),0)</f>
        <v/>
      </c>
      <c r="AZ1386">
        <f>IFERROR(INDEX(PP_Grid[#Data],$DE1386,49),0)</f>
        <v/>
      </c>
      <c r="BA1386">
        <f>IFERROR(INDEX(PP_Grid[#Data],$DE1386,50),0)</f>
        <v/>
      </c>
      <c r="BB1386">
        <f>IFERROR(INDEX(PP_Grid[#Data],$DE1386,51),0)</f>
        <v/>
      </c>
      <c r="BC1386">
        <f>IFERROR(INDEX(PP_Grid[#Data],$DE1386,52),0)</f>
        <v/>
      </c>
      <c r="BD1386">
        <f>IFERROR(INDEX(PP_Grid[#Data],$DE1386,53),0)</f>
        <v/>
      </c>
      <c r="BE1386">
        <f>IFERROR(INDEX(PP_Grid[#Data],$DE1386,54),0)</f>
        <v/>
      </c>
      <c r="BF1386">
        <f>IFERROR(INDEX(PP_Grid[#Data],$DE1386,55),0)</f>
        <v/>
      </c>
      <c r="BG1386">
        <f>IFERROR(INDEX(PP_Grid[#Data],$DE1386,56),0)</f>
        <v/>
      </c>
      <c r="BH1386">
        <f>IFERROR(INDEX(PP_Grid[#Data],$DE1386,57),0)</f>
        <v/>
      </c>
      <c r="BI1386">
        <f>IFERROR(INDEX(PP_Grid[#Data],$DE1386,58),0)</f>
        <v/>
      </c>
      <c r="BJ1386">
        <f>IFERROR(INDEX(PP_Grid[#Data],$DE1386,59),0)</f>
        <v/>
      </c>
      <c r="BK1386">
        <f>IFERROR(INDEX(PP_Grid[#Data],$DE1386,60),0)</f>
        <v/>
      </c>
      <c r="BL1386">
        <f>IFERROR(INDEX(PP_Grid[#Data],$DE1386,61),0)</f>
        <v/>
      </c>
      <c r="BM1386">
        <f>IFERROR(INDEX(PP_Grid[#Data],$DE1386,62),0)</f>
        <v/>
      </c>
      <c r="BN1386">
        <f>IFERROR(INDEX(PP_Grid[#Data],$DE1386,63),0)</f>
        <v/>
      </c>
      <c r="BO1386">
        <f>IFERROR(INDEX(PP_Grid[#Data],$DE1386,64),0)</f>
        <v/>
      </c>
      <c r="BP1386">
        <f>IFERROR(INDEX(PP_Grid[#Data],$DE1386,65),0)</f>
        <v/>
      </c>
      <c r="BQ1386">
        <f>IFERROR(INDEX(PP_Grid[#Data],$DE1386,66),0)</f>
        <v/>
      </c>
      <c r="BR1386">
        <f>IFERROR(INDEX(PP_Grid[#Data],$DE1386,67),0)</f>
        <v/>
      </c>
      <c r="BS1386">
        <f>IFERROR(INDEX(PP_Grid[#Data],$DE1386,68),0)</f>
        <v/>
      </c>
      <c r="BT1386">
        <f>IFERROR(INDEX(PP_Grid[#Data],$DE1386,69),0)</f>
        <v/>
      </c>
      <c r="BU1386">
        <f>IFERROR(INDEX(PP_Grid[#Data],$DE1386,70),0)</f>
        <v/>
      </c>
      <c r="BV1386">
        <f>IFERROR(INDEX(PP_Grid[#Data],$DE1386,71),0)</f>
        <v/>
      </c>
      <c r="BW1386">
        <f>IFERROR(INDEX(PP_Grid[#Data],$DE1386,72),0)</f>
        <v/>
      </c>
      <c r="BX1386">
        <f>IFERROR(INDEX(PP_Grid[#Data],$DE1386,73),0)</f>
        <v/>
      </c>
      <c r="BY1386">
        <f>IFERROR(INDEX(PP_Grid[#Data],$DE1386,74),0)</f>
        <v/>
      </c>
      <c r="BZ1386">
        <f>IFERROR(INDEX(PP_Grid[#Data],$DE1386,75),0)</f>
        <v/>
      </c>
      <c r="CA1386">
        <f>IFERROR(INDEX(PP_Grid[#Data],$DE1386,76),0)</f>
        <v/>
      </c>
      <c r="CB1386">
        <f>IFERROR(INDEX(PP_Grid[#Data],$DE1386,77),0)</f>
        <v/>
      </c>
      <c r="CC1386">
        <f>IFERROR(INDEX(PP_Grid[#Data],$DE1386,78),0)</f>
        <v/>
      </c>
      <c r="CD1386">
        <f>IFERROR(INDEX(PP_Grid[#Data],$DE1386,79),0)</f>
        <v/>
      </c>
      <c r="CE1386">
        <f>IFERROR(INDEX(PP_Grid[#Data],$DE1386,80),0)</f>
        <v/>
      </c>
      <c r="CF1386">
        <f>IFERROR(INDEX(PP_Grid[#Data],$DE1386,81),0)</f>
        <v/>
      </c>
      <c r="CG1386">
        <f>IFERROR(INDEX(PP_Grid[#Data],$DE1386,82),0)</f>
        <v/>
      </c>
      <c r="CH1386">
        <f>IFERROR(INDEX(PP_Grid[#Data],$DE1386,83),0)</f>
        <v/>
      </c>
      <c r="CI1386">
        <f>IFERROR(INDEX(PP_Grid[#Data],$DE1386,84),0)</f>
        <v/>
      </c>
      <c r="CJ1386">
        <f>IFERROR(INDEX(PP_Grid[#Data],$DE1386,85),0)</f>
        <v/>
      </c>
      <c r="CK1386">
        <f>IFERROR(INDEX(PP_Grid[#Data],$DE1386,86),0)</f>
        <v/>
      </c>
      <c r="CL1386">
        <f>IFERROR(INDEX(PP_Grid[#Data],$DE1386,87),0)</f>
        <v/>
      </c>
      <c r="CM1386">
        <f>IFERROR(INDEX(PP_Grid[#Data],$DE1386,88),0)</f>
        <v/>
      </c>
      <c r="CN1386">
        <f>IFERROR(INDEX(PP_Grid[#Data],$DE1386,89),0)</f>
        <v/>
      </c>
      <c r="CO1386">
        <f>IFERROR(INDEX(PP_Grid[#Data],$DE1386,90),0)</f>
        <v/>
      </c>
      <c r="CP1386">
        <f>IFERROR(INDEX(PP_Grid[#Data],$DE1386,91),0)</f>
        <v/>
      </c>
      <c r="CQ1386">
        <f>IFERROR(INDEX(PP_Grid[#Data],$DE1386,92),0)</f>
        <v/>
      </c>
      <c r="CR1386">
        <f>IFERROR(INDEX(PP_Grid[#Data],$DE1386,93),0)</f>
        <v/>
      </c>
      <c r="CS1386">
        <f>IFERROR(INDEX(PP_Grid[#Data],$DE1386,94),0)</f>
        <v/>
      </c>
      <c r="CT1386">
        <f>IFERROR(INDEX(PP_Grid[#Data],$DE1386,95),0)</f>
        <v/>
      </c>
      <c r="CU1386">
        <f>IFERROR(INDEX(PP_Grid[#Data],$DE1386,96),0)</f>
        <v/>
      </c>
      <c r="CV1386">
        <f>IFERROR(INDEX(PP_Grid[#Data],$DE1386,97),0)</f>
        <v/>
      </c>
      <c r="CW1386">
        <f>IFERROR(INDEX(PP_Grid[#Data],$DE1386,98),0)</f>
        <v/>
      </c>
      <c r="CX1386">
        <f>IFERROR(INDEX(PP_Grid[#Data],$DE1386,99),0)</f>
        <v/>
      </c>
      <c r="CY1386">
        <f>IFERROR(INDEX(PP_Grid[#Data],$DE1386,100),0)</f>
        <v/>
      </c>
      <c r="CZ1386">
        <f>IFERROR(INDEX(PP_Grid[#Data],$DE1386,101),0)</f>
        <v/>
      </c>
      <c r="DA1386">
        <f>IFERROR(INDEX(PP_Grid[#Data],$DE1386,102),0)</f>
        <v/>
      </c>
      <c r="DB1386">
        <f>IFERROR(INDEX(PP_Grid[#Data],$DE1386,103),0)</f>
        <v/>
      </c>
      <c r="DC1386">
        <f>IFERROR(INDEX(PP_Grid[#Data],$DE1386,104),0)</f>
        <v/>
      </c>
      <c r="DD1386">
        <f>IFERROR(INDEX(PP_Grid[#Data],$DE1386,105),0)</f>
        <v/>
      </c>
      <c r="DE1386" s="7">
        <f>IFERROR(MATCH($B1386,PP_Grid[Intermediate],0),99999)</f>
        <v/>
      </c>
    </row>
    <row r="1387">
      <c r="B1387" t="inlineStr">
        <is>
          <t>使用量(kg)</t>
        </is>
      </c>
      <c r="C1387">
        <f>SUMIFS(M_BOM[RM_Qty_Per_Batch],M_BOM[Intermediate],$B1386,M_BOM[RM_Code],$A1381)</f>
        <v/>
      </c>
      <c r="D1387">
        <f>IFERROR(INDEX(E1387:DD1387,$F$1),"")</f>
        <v/>
      </c>
      <c r="E1387">
        <f>$C1387*E1386</f>
        <v/>
      </c>
      <c r="F1387">
        <f>$C1387*F1386</f>
        <v/>
      </c>
      <c r="G1387">
        <f>$C1387*G1386</f>
        <v/>
      </c>
      <c r="H1387">
        <f>$C1387*H1386</f>
        <v/>
      </c>
      <c r="I1387">
        <f>$C1387*I1386</f>
        <v/>
      </c>
      <c r="J1387">
        <f>$C1387*J1386</f>
        <v/>
      </c>
      <c r="K1387">
        <f>$C1387*K1386</f>
        <v/>
      </c>
      <c r="L1387">
        <f>$C1387*L1386</f>
        <v/>
      </c>
      <c r="M1387">
        <f>$C1387*M1386</f>
        <v/>
      </c>
      <c r="N1387">
        <f>$C1387*N1386</f>
        <v/>
      </c>
      <c r="O1387">
        <f>$C1387*O1386</f>
        <v/>
      </c>
      <c r="P1387">
        <f>$C1387*P1386</f>
        <v/>
      </c>
      <c r="Q1387">
        <f>$C1387*Q1386</f>
        <v/>
      </c>
      <c r="R1387">
        <f>$C1387*R1386</f>
        <v/>
      </c>
      <c r="S1387">
        <f>$C1387*S1386</f>
        <v/>
      </c>
      <c r="T1387">
        <f>$C1387*T1386</f>
        <v/>
      </c>
      <c r="U1387">
        <f>$C1387*U1386</f>
        <v/>
      </c>
      <c r="V1387">
        <f>$C1387*V1386</f>
        <v/>
      </c>
      <c r="W1387">
        <f>$C1387*W1386</f>
        <v/>
      </c>
      <c r="X1387">
        <f>$C1387*X1386</f>
        <v/>
      </c>
      <c r="Y1387">
        <f>$C1387*Y1386</f>
        <v/>
      </c>
      <c r="Z1387">
        <f>$C1387*Z1386</f>
        <v/>
      </c>
      <c r="AA1387">
        <f>$C1387*AA1386</f>
        <v/>
      </c>
      <c r="AB1387">
        <f>$C1387*AB1386</f>
        <v/>
      </c>
      <c r="AC1387">
        <f>$C1387*AC1386</f>
        <v/>
      </c>
      <c r="AD1387">
        <f>$C1387*AD1386</f>
        <v/>
      </c>
      <c r="AE1387">
        <f>$C1387*AE1386</f>
        <v/>
      </c>
      <c r="AF1387">
        <f>$C1387*AF1386</f>
        <v/>
      </c>
      <c r="AG1387">
        <f>$C1387*AG1386</f>
        <v/>
      </c>
      <c r="AH1387">
        <f>$C1387*AH1386</f>
        <v/>
      </c>
      <c r="AI1387">
        <f>$C1387*AI1386</f>
        <v/>
      </c>
      <c r="AJ1387">
        <f>$C1387*AJ1386</f>
        <v/>
      </c>
      <c r="AK1387">
        <f>$C1387*AK1386</f>
        <v/>
      </c>
      <c r="AL1387">
        <f>$C1387*AL1386</f>
        <v/>
      </c>
      <c r="AM1387">
        <f>$C1387*AM1386</f>
        <v/>
      </c>
      <c r="AN1387">
        <f>$C1387*AN1386</f>
        <v/>
      </c>
      <c r="AO1387">
        <f>$C1387*AO1386</f>
        <v/>
      </c>
      <c r="AP1387">
        <f>$C1387*AP1386</f>
        <v/>
      </c>
      <c r="AQ1387">
        <f>$C1387*AQ1386</f>
        <v/>
      </c>
      <c r="AR1387">
        <f>$C1387*AR1386</f>
        <v/>
      </c>
      <c r="AS1387">
        <f>$C1387*AS1386</f>
        <v/>
      </c>
      <c r="AT1387">
        <f>$C1387*AT1386</f>
        <v/>
      </c>
      <c r="AU1387">
        <f>$C1387*AU1386</f>
        <v/>
      </c>
      <c r="AV1387">
        <f>$C1387*AV1386</f>
        <v/>
      </c>
      <c r="AW1387">
        <f>$C1387*AW1386</f>
        <v/>
      </c>
      <c r="AX1387">
        <f>$C1387*AX1386</f>
        <v/>
      </c>
      <c r="AY1387">
        <f>$C1387*AY1386</f>
        <v/>
      </c>
      <c r="AZ1387">
        <f>$C1387*AZ1386</f>
        <v/>
      </c>
      <c r="BA1387">
        <f>$C1387*BA1386</f>
        <v/>
      </c>
      <c r="BB1387">
        <f>$C1387*BB1386</f>
        <v/>
      </c>
      <c r="BC1387">
        <f>$C1387*BC1386</f>
        <v/>
      </c>
      <c r="BD1387">
        <f>$C1387*BD1386</f>
        <v/>
      </c>
      <c r="BE1387">
        <f>$C1387*BE1386</f>
        <v/>
      </c>
      <c r="BF1387">
        <f>$C1387*BF1386</f>
        <v/>
      </c>
      <c r="BG1387">
        <f>$C1387*BG1386</f>
        <v/>
      </c>
      <c r="BH1387">
        <f>$C1387*BH1386</f>
        <v/>
      </c>
      <c r="BI1387">
        <f>$C1387*BI1386</f>
        <v/>
      </c>
      <c r="BJ1387">
        <f>$C1387*BJ1386</f>
        <v/>
      </c>
      <c r="BK1387">
        <f>$C1387*BK1386</f>
        <v/>
      </c>
      <c r="BL1387">
        <f>$C1387*BL1386</f>
        <v/>
      </c>
      <c r="BM1387">
        <f>$C1387*BM1386</f>
        <v/>
      </c>
      <c r="BN1387">
        <f>$C1387*BN1386</f>
        <v/>
      </c>
      <c r="BO1387">
        <f>$C1387*BO1386</f>
        <v/>
      </c>
      <c r="BP1387">
        <f>$C1387*BP1386</f>
        <v/>
      </c>
      <c r="BQ1387">
        <f>$C1387*BQ1386</f>
        <v/>
      </c>
      <c r="BR1387">
        <f>$C1387*BR1386</f>
        <v/>
      </c>
      <c r="BS1387">
        <f>$C1387*BS1386</f>
        <v/>
      </c>
      <c r="BT1387">
        <f>$C1387*BT1386</f>
        <v/>
      </c>
      <c r="BU1387">
        <f>$C1387*BU1386</f>
        <v/>
      </c>
      <c r="BV1387">
        <f>$C1387*BV1386</f>
        <v/>
      </c>
      <c r="BW1387">
        <f>$C1387*BW1386</f>
        <v/>
      </c>
      <c r="BX1387">
        <f>$C1387*BX1386</f>
        <v/>
      </c>
      <c r="BY1387">
        <f>$C1387*BY1386</f>
        <v/>
      </c>
      <c r="BZ1387">
        <f>$C1387*BZ1386</f>
        <v/>
      </c>
      <c r="CA1387">
        <f>$C1387*CA1386</f>
        <v/>
      </c>
      <c r="CB1387">
        <f>$C1387*CB1386</f>
        <v/>
      </c>
      <c r="CC1387">
        <f>$C1387*CC1386</f>
        <v/>
      </c>
      <c r="CD1387">
        <f>$C1387*CD1386</f>
        <v/>
      </c>
      <c r="CE1387">
        <f>$C1387*CE1386</f>
        <v/>
      </c>
      <c r="CF1387">
        <f>$C1387*CF1386</f>
        <v/>
      </c>
      <c r="CG1387">
        <f>$C1387*CG1386</f>
        <v/>
      </c>
      <c r="CH1387">
        <f>$C1387*CH1386</f>
        <v/>
      </c>
      <c r="CI1387">
        <f>$C1387*CI1386</f>
        <v/>
      </c>
      <c r="CJ1387">
        <f>$C1387*CJ1386</f>
        <v/>
      </c>
      <c r="CK1387">
        <f>$C1387*CK1386</f>
        <v/>
      </c>
      <c r="CL1387">
        <f>$C1387*CL1386</f>
        <v/>
      </c>
      <c r="CM1387">
        <f>$C1387*CM1386</f>
        <v/>
      </c>
      <c r="CN1387">
        <f>$C1387*CN1386</f>
        <v/>
      </c>
      <c r="CO1387">
        <f>$C1387*CO1386</f>
        <v/>
      </c>
      <c r="CP1387">
        <f>$C1387*CP1386</f>
        <v/>
      </c>
      <c r="CQ1387">
        <f>$C1387*CQ1386</f>
        <v/>
      </c>
      <c r="CR1387">
        <f>$C1387*CR1386</f>
        <v/>
      </c>
      <c r="CS1387">
        <f>$C1387*CS1386</f>
        <v/>
      </c>
      <c r="CT1387">
        <f>$C1387*CT1386</f>
        <v/>
      </c>
      <c r="CU1387">
        <f>$C1387*CU1386</f>
        <v/>
      </c>
      <c r="CV1387">
        <f>$C1387*CV1386</f>
        <v/>
      </c>
      <c r="CW1387">
        <f>$C1387*CW1386</f>
        <v/>
      </c>
      <c r="CX1387">
        <f>$C1387*CX1386</f>
        <v/>
      </c>
      <c r="CY1387">
        <f>$C1387*CY1386</f>
        <v/>
      </c>
      <c r="CZ1387">
        <f>$C1387*CZ1386</f>
        <v/>
      </c>
      <c r="DA1387">
        <f>$C1387*DA1386</f>
        <v/>
      </c>
      <c r="DB1387">
        <f>$C1387*DB1386</f>
        <v/>
      </c>
      <c r="DC1387">
        <f>$C1387*DC1386</f>
        <v/>
      </c>
      <c r="DD1387">
        <f>$C1387*DD1386</f>
        <v/>
      </c>
    </row>
    <row r="1388">
      <c r="B1388" t="inlineStr">
        <is>
          <t>TSP-930</t>
        </is>
      </c>
      <c r="C1388" t="inlineStr">
        <is>
          <t>No. of batches</t>
        </is>
      </c>
      <c r="D1388">
        <f>IFERROR(INDEX(E1388:DD1388,$F$1),"")</f>
        <v/>
      </c>
      <c r="E1388">
        <f>IFERROR(INDEX(PP_Grid[#Data],$DE1388,2),0)</f>
        <v/>
      </c>
      <c r="F1388">
        <f>IFERROR(INDEX(PP_Grid[#Data],$DE1388,3),0)</f>
        <v/>
      </c>
      <c r="G1388">
        <f>IFERROR(INDEX(PP_Grid[#Data],$DE1388,4),0)</f>
        <v/>
      </c>
      <c r="H1388">
        <f>IFERROR(INDEX(PP_Grid[#Data],$DE1388,5),0)</f>
        <v/>
      </c>
      <c r="I1388">
        <f>IFERROR(INDEX(PP_Grid[#Data],$DE1388,6),0)</f>
        <v/>
      </c>
      <c r="J1388">
        <f>IFERROR(INDEX(PP_Grid[#Data],$DE1388,7),0)</f>
        <v/>
      </c>
      <c r="K1388">
        <f>IFERROR(INDEX(PP_Grid[#Data],$DE1388,8),0)</f>
        <v/>
      </c>
      <c r="L1388">
        <f>IFERROR(INDEX(PP_Grid[#Data],$DE1388,9),0)</f>
        <v/>
      </c>
      <c r="M1388">
        <f>IFERROR(INDEX(PP_Grid[#Data],$DE1388,10),0)</f>
        <v/>
      </c>
      <c r="N1388">
        <f>IFERROR(INDEX(PP_Grid[#Data],$DE1388,11),0)</f>
        <v/>
      </c>
      <c r="O1388">
        <f>IFERROR(INDEX(PP_Grid[#Data],$DE1388,12),0)</f>
        <v/>
      </c>
      <c r="P1388">
        <f>IFERROR(INDEX(PP_Grid[#Data],$DE1388,13),0)</f>
        <v/>
      </c>
      <c r="Q1388">
        <f>IFERROR(INDEX(PP_Grid[#Data],$DE1388,14),0)</f>
        <v/>
      </c>
      <c r="R1388">
        <f>IFERROR(INDEX(PP_Grid[#Data],$DE1388,15),0)</f>
        <v/>
      </c>
      <c r="S1388">
        <f>IFERROR(INDEX(PP_Grid[#Data],$DE1388,16),0)</f>
        <v/>
      </c>
      <c r="T1388">
        <f>IFERROR(INDEX(PP_Grid[#Data],$DE1388,17),0)</f>
        <v/>
      </c>
      <c r="U1388">
        <f>IFERROR(INDEX(PP_Grid[#Data],$DE1388,18),0)</f>
        <v/>
      </c>
      <c r="V1388">
        <f>IFERROR(INDEX(PP_Grid[#Data],$DE1388,19),0)</f>
        <v/>
      </c>
      <c r="W1388">
        <f>IFERROR(INDEX(PP_Grid[#Data],$DE1388,20),0)</f>
        <v/>
      </c>
      <c r="X1388">
        <f>IFERROR(INDEX(PP_Grid[#Data],$DE1388,21),0)</f>
        <v/>
      </c>
      <c r="Y1388">
        <f>IFERROR(INDEX(PP_Grid[#Data],$DE1388,22),0)</f>
        <v/>
      </c>
      <c r="Z1388">
        <f>IFERROR(INDEX(PP_Grid[#Data],$DE1388,23),0)</f>
        <v/>
      </c>
      <c r="AA1388">
        <f>IFERROR(INDEX(PP_Grid[#Data],$DE1388,24),0)</f>
        <v/>
      </c>
      <c r="AB1388">
        <f>IFERROR(INDEX(PP_Grid[#Data],$DE1388,25),0)</f>
        <v/>
      </c>
      <c r="AC1388">
        <f>IFERROR(INDEX(PP_Grid[#Data],$DE1388,26),0)</f>
        <v/>
      </c>
      <c r="AD1388">
        <f>IFERROR(INDEX(PP_Grid[#Data],$DE1388,27),0)</f>
        <v/>
      </c>
      <c r="AE1388">
        <f>IFERROR(INDEX(PP_Grid[#Data],$DE1388,28),0)</f>
        <v/>
      </c>
      <c r="AF1388">
        <f>IFERROR(INDEX(PP_Grid[#Data],$DE1388,29),0)</f>
        <v/>
      </c>
      <c r="AG1388">
        <f>IFERROR(INDEX(PP_Grid[#Data],$DE1388,30),0)</f>
        <v/>
      </c>
      <c r="AH1388">
        <f>IFERROR(INDEX(PP_Grid[#Data],$DE1388,31),0)</f>
        <v/>
      </c>
      <c r="AI1388">
        <f>IFERROR(INDEX(PP_Grid[#Data],$DE1388,32),0)</f>
        <v/>
      </c>
      <c r="AJ1388">
        <f>IFERROR(INDEX(PP_Grid[#Data],$DE1388,33),0)</f>
        <v/>
      </c>
      <c r="AK1388">
        <f>IFERROR(INDEX(PP_Grid[#Data],$DE1388,34),0)</f>
        <v/>
      </c>
      <c r="AL1388">
        <f>IFERROR(INDEX(PP_Grid[#Data],$DE1388,35),0)</f>
        <v/>
      </c>
      <c r="AM1388">
        <f>IFERROR(INDEX(PP_Grid[#Data],$DE1388,36),0)</f>
        <v/>
      </c>
      <c r="AN1388">
        <f>IFERROR(INDEX(PP_Grid[#Data],$DE1388,37),0)</f>
        <v/>
      </c>
      <c r="AO1388">
        <f>IFERROR(INDEX(PP_Grid[#Data],$DE1388,38),0)</f>
        <v/>
      </c>
      <c r="AP1388">
        <f>IFERROR(INDEX(PP_Grid[#Data],$DE1388,39),0)</f>
        <v/>
      </c>
      <c r="AQ1388">
        <f>IFERROR(INDEX(PP_Grid[#Data],$DE1388,40),0)</f>
        <v/>
      </c>
      <c r="AR1388">
        <f>IFERROR(INDEX(PP_Grid[#Data],$DE1388,41),0)</f>
        <v/>
      </c>
      <c r="AS1388">
        <f>IFERROR(INDEX(PP_Grid[#Data],$DE1388,42),0)</f>
        <v/>
      </c>
      <c r="AT1388">
        <f>IFERROR(INDEX(PP_Grid[#Data],$DE1388,43),0)</f>
        <v/>
      </c>
      <c r="AU1388">
        <f>IFERROR(INDEX(PP_Grid[#Data],$DE1388,44),0)</f>
        <v/>
      </c>
      <c r="AV1388">
        <f>IFERROR(INDEX(PP_Grid[#Data],$DE1388,45),0)</f>
        <v/>
      </c>
      <c r="AW1388">
        <f>IFERROR(INDEX(PP_Grid[#Data],$DE1388,46),0)</f>
        <v/>
      </c>
      <c r="AX1388">
        <f>IFERROR(INDEX(PP_Grid[#Data],$DE1388,47),0)</f>
        <v/>
      </c>
      <c r="AY1388">
        <f>IFERROR(INDEX(PP_Grid[#Data],$DE1388,48),0)</f>
        <v/>
      </c>
      <c r="AZ1388">
        <f>IFERROR(INDEX(PP_Grid[#Data],$DE1388,49),0)</f>
        <v/>
      </c>
      <c r="BA1388">
        <f>IFERROR(INDEX(PP_Grid[#Data],$DE1388,50),0)</f>
        <v/>
      </c>
      <c r="BB1388">
        <f>IFERROR(INDEX(PP_Grid[#Data],$DE1388,51),0)</f>
        <v/>
      </c>
      <c r="BC1388">
        <f>IFERROR(INDEX(PP_Grid[#Data],$DE1388,52),0)</f>
        <v/>
      </c>
      <c r="BD1388">
        <f>IFERROR(INDEX(PP_Grid[#Data],$DE1388,53),0)</f>
        <v/>
      </c>
      <c r="BE1388">
        <f>IFERROR(INDEX(PP_Grid[#Data],$DE1388,54),0)</f>
        <v/>
      </c>
      <c r="BF1388">
        <f>IFERROR(INDEX(PP_Grid[#Data],$DE1388,55),0)</f>
        <v/>
      </c>
      <c r="BG1388">
        <f>IFERROR(INDEX(PP_Grid[#Data],$DE1388,56),0)</f>
        <v/>
      </c>
      <c r="BH1388">
        <f>IFERROR(INDEX(PP_Grid[#Data],$DE1388,57),0)</f>
        <v/>
      </c>
      <c r="BI1388">
        <f>IFERROR(INDEX(PP_Grid[#Data],$DE1388,58),0)</f>
        <v/>
      </c>
      <c r="BJ1388">
        <f>IFERROR(INDEX(PP_Grid[#Data],$DE1388,59),0)</f>
        <v/>
      </c>
      <c r="BK1388">
        <f>IFERROR(INDEX(PP_Grid[#Data],$DE1388,60),0)</f>
        <v/>
      </c>
      <c r="BL1388">
        <f>IFERROR(INDEX(PP_Grid[#Data],$DE1388,61),0)</f>
        <v/>
      </c>
      <c r="BM1388">
        <f>IFERROR(INDEX(PP_Grid[#Data],$DE1388,62),0)</f>
        <v/>
      </c>
      <c r="BN1388">
        <f>IFERROR(INDEX(PP_Grid[#Data],$DE1388,63),0)</f>
        <v/>
      </c>
      <c r="BO1388">
        <f>IFERROR(INDEX(PP_Grid[#Data],$DE1388,64),0)</f>
        <v/>
      </c>
      <c r="BP1388">
        <f>IFERROR(INDEX(PP_Grid[#Data],$DE1388,65),0)</f>
        <v/>
      </c>
      <c r="BQ1388">
        <f>IFERROR(INDEX(PP_Grid[#Data],$DE1388,66),0)</f>
        <v/>
      </c>
      <c r="BR1388">
        <f>IFERROR(INDEX(PP_Grid[#Data],$DE1388,67),0)</f>
        <v/>
      </c>
      <c r="BS1388">
        <f>IFERROR(INDEX(PP_Grid[#Data],$DE1388,68),0)</f>
        <v/>
      </c>
      <c r="BT1388">
        <f>IFERROR(INDEX(PP_Grid[#Data],$DE1388,69),0)</f>
        <v/>
      </c>
      <c r="BU1388">
        <f>IFERROR(INDEX(PP_Grid[#Data],$DE1388,70),0)</f>
        <v/>
      </c>
      <c r="BV1388">
        <f>IFERROR(INDEX(PP_Grid[#Data],$DE1388,71),0)</f>
        <v/>
      </c>
      <c r="BW1388">
        <f>IFERROR(INDEX(PP_Grid[#Data],$DE1388,72),0)</f>
        <v/>
      </c>
      <c r="BX1388">
        <f>IFERROR(INDEX(PP_Grid[#Data],$DE1388,73),0)</f>
        <v/>
      </c>
      <c r="BY1388">
        <f>IFERROR(INDEX(PP_Grid[#Data],$DE1388,74),0)</f>
        <v/>
      </c>
      <c r="BZ1388">
        <f>IFERROR(INDEX(PP_Grid[#Data],$DE1388,75),0)</f>
        <v/>
      </c>
      <c r="CA1388">
        <f>IFERROR(INDEX(PP_Grid[#Data],$DE1388,76),0)</f>
        <v/>
      </c>
      <c r="CB1388">
        <f>IFERROR(INDEX(PP_Grid[#Data],$DE1388,77),0)</f>
        <v/>
      </c>
      <c r="CC1388">
        <f>IFERROR(INDEX(PP_Grid[#Data],$DE1388,78),0)</f>
        <v/>
      </c>
      <c r="CD1388">
        <f>IFERROR(INDEX(PP_Grid[#Data],$DE1388,79),0)</f>
        <v/>
      </c>
      <c r="CE1388">
        <f>IFERROR(INDEX(PP_Grid[#Data],$DE1388,80),0)</f>
        <v/>
      </c>
      <c r="CF1388">
        <f>IFERROR(INDEX(PP_Grid[#Data],$DE1388,81),0)</f>
        <v/>
      </c>
      <c r="CG1388">
        <f>IFERROR(INDEX(PP_Grid[#Data],$DE1388,82),0)</f>
        <v/>
      </c>
      <c r="CH1388">
        <f>IFERROR(INDEX(PP_Grid[#Data],$DE1388,83),0)</f>
        <v/>
      </c>
      <c r="CI1388">
        <f>IFERROR(INDEX(PP_Grid[#Data],$DE1388,84),0)</f>
        <v/>
      </c>
      <c r="CJ1388">
        <f>IFERROR(INDEX(PP_Grid[#Data],$DE1388,85),0)</f>
        <v/>
      </c>
      <c r="CK1388">
        <f>IFERROR(INDEX(PP_Grid[#Data],$DE1388,86),0)</f>
        <v/>
      </c>
      <c r="CL1388">
        <f>IFERROR(INDEX(PP_Grid[#Data],$DE1388,87),0)</f>
        <v/>
      </c>
      <c r="CM1388">
        <f>IFERROR(INDEX(PP_Grid[#Data],$DE1388,88),0)</f>
        <v/>
      </c>
      <c r="CN1388">
        <f>IFERROR(INDEX(PP_Grid[#Data],$DE1388,89),0)</f>
        <v/>
      </c>
      <c r="CO1388">
        <f>IFERROR(INDEX(PP_Grid[#Data],$DE1388,90),0)</f>
        <v/>
      </c>
      <c r="CP1388">
        <f>IFERROR(INDEX(PP_Grid[#Data],$DE1388,91),0)</f>
        <v/>
      </c>
      <c r="CQ1388">
        <f>IFERROR(INDEX(PP_Grid[#Data],$DE1388,92),0)</f>
        <v/>
      </c>
      <c r="CR1388">
        <f>IFERROR(INDEX(PP_Grid[#Data],$DE1388,93),0)</f>
        <v/>
      </c>
      <c r="CS1388">
        <f>IFERROR(INDEX(PP_Grid[#Data],$DE1388,94),0)</f>
        <v/>
      </c>
      <c r="CT1388">
        <f>IFERROR(INDEX(PP_Grid[#Data],$DE1388,95),0)</f>
        <v/>
      </c>
      <c r="CU1388">
        <f>IFERROR(INDEX(PP_Grid[#Data],$DE1388,96),0)</f>
        <v/>
      </c>
      <c r="CV1388">
        <f>IFERROR(INDEX(PP_Grid[#Data],$DE1388,97),0)</f>
        <v/>
      </c>
      <c r="CW1388">
        <f>IFERROR(INDEX(PP_Grid[#Data],$DE1388,98),0)</f>
        <v/>
      </c>
      <c r="CX1388">
        <f>IFERROR(INDEX(PP_Grid[#Data],$DE1388,99),0)</f>
        <v/>
      </c>
      <c r="CY1388">
        <f>IFERROR(INDEX(PP_Grid[#Data],$DE1388,100),0)</f>
        <v/>
      </c>
      <c r="CZ1388">
        <f>IFERROR(INDEX(PP_Grid[#Data],$DE1388,101),0)</f>
        <v/>
      </c>
      <c r="DA1388">
        <f>IFERROR(INDEX(PP_Grid[#Data],$DE1388,102),0)</f>
        <v/>
      </c>
      <c r="DB1388">
        <f>IFERROR(INDEX(PP_Grid[#Data],$DE1388,103),0)</f>
        <v/>
      </c>
      <c r="DC1388">
        <f>IFERROR(INDEX(PP_Grid[#Data],$DE1388,104),0)</f>
        <v/>
      </c>
      <c r="DD1388">
        <f>IFERROR(INDEX(PP_Grid[#Data],$DE1388,105),0)</f>
        <v/>
      </c>
      <c r="DE1388" s="7">
        <f>IFERROR(MATCH($B1388,PP_Grid[Intermediate],0),99999)</f>
        <v/>
      </c>
    </row>
    <row r="1389">
      <c r="B1389" t="inlineStr">
        <is>
          <t>使用量(kg)</t>
        </is>
      </c>
      <c r="C1389">
        <f>SUMIFS(M_BOM[RM_Qty_Per_Batch],M_BOM[Intermediate],$B1388,M_BOM[RM_Code],$A1381)</f>
        <v/>
      </c>
      <c r="D1389">
        <f>IFERROR(INDEX(E1389:DD1389,$F$1),"")</f>
        <v/>
      </c>
      <c r="E1389">
        <f>$C1389*E1388</f>
        <v/>
      </c>
      <c r="F1389">
        <f>$C1389*F1388</f>
        <v/>
      </c>
      <c r="G1389">
        <f>$C1389*G1388</f>
        <v/>
      </c>
      <c r="H1389">
        <f>$C1389*H1388</f>
        <v/>
      </c>
      <c r="I1389">
        <f>$C1389*I1388</f>
        <v/>
      </c>
      <c r="J1389">
        <f>$C1389*J1388</f>
        <v/>
      </c>
      <c r="K1389">
        <f>$C1389*K1388</f>
        <v/>
      </c>
      <c r="L1389">
        <f>$C1389*L1388</f>
        <v/>
      </c>
      <c r="M1389">
        <f>$C1389*M1388</f>
        <v/>
      </c>
      <c r="N1389">
        <f>$C1389*N1388</f>
        <v/>
      </c>
      <c r="O1389">
        <f>$C1389*O1388</f>
        <v/>
      </c>
      <c r="P1389">
        <f>$C1389*P1388</f>
        <v/>
      </c>
      <c r="Q1389">
        <f>$C1389*Q1388</f>
        <v/>
      </c>
      <c r="R1389">
        <f>$C1389*R1388</f>
        <v/>
      </c>
      <c r="S1389">
        <f>$C1389*S1388</f>
        <v/>
      </c>
      <c r="T1389">
        <f>$C1389*T1388</f>
        <v/>
      </c>
      <c r="U1389">
        <f>$C1389*U1388</f>
        <v/>
      </c>
      <c r="V1389">
        <f>$C1389*V1388</f>
        <v/>
      </c>
      <c r="W1389">
        <f>$C1389*W1388</f>
        <v/>
      </c>
      <c r="X1389">
        <f>$C1389*X1388</f>
        <v/>
      </c>
      <c r="Y1389">
        <f>$C1389*Y1388</f>
        <v/>
      </c>
      <c r="Z1389">
        <f>$C1389*Z1388</f>
        <v/>
      </c>
      <c r="AA1389">
        <f>$C1389*AA1388</f>
        <v/>
      </c>
      <c r="AB1389">
        <f>$C1389*AB1388</f>
        <v/>
      </c>
      <c r="AC1389">
        <f>$C1389*AC1388</f>
        <v/>
      </c>
      <c r="AD1389">
        <f>$C1389*AD1388</f>
        <v/>
      </c>
      <c r="AE1389">
        <f>$C1389*AE1388</f>
        <v/>
      </c>
      <c r="AF1389">
        <f>$C1389*AF1388</f>
        <v/>
      </c>
      <c r="AG1389">
        <f>$C1389*AG1388</f>
        <v/>
      </c>
      <c r="AH1389">
        <f>$C1389*AH1388</f>
        <v/>
      </c>
      <c r="AI1389">
        <f>$C1389*AI1388</f>
        <v/>
      </c>
      <c r="AJ1389">
        <f>$C1389*AJ1388</f>
        <v/>
      </c>
      <c r="AK1389">
        <f>$C1389*AK1388</f>
        <v/>
      </c>
      <c r="AL1389">
        <f>$C1389*AL1388</f>
        <v/>
      </c>
      <c r="AM1389">
        <f>$C1389*AM1388</f>
        <v/>
      </c>
      <c r="AN1389">
        <f>$C1389*AN1388</f>
        <v/>
      </c>
      <c r="AO1389">
        <f>$C1389*AO1388</f>
        <v/>
      </c>
      <c r="AP1389">
        <f>$C1389*AP1388</f>
        <v/>
      </c>
      <c r="AQ1389">
        <f>$C1389*AQ1388</f>
        <v/>
      </c>
      <c r="AR1389">
        <f>$C1389*AR1388</f>
        <v/>
      </c>
      <c r="AS1389">
        <f>$C1389*AS1388</f>
        <v/>
      </c>
      <c r="AT1389">
        <f>$C1389*AT1388</f>
        <v/>
      </c>
      <c r="AU1389">
        <f>$C1389*AU1388</f>
        <v/>
      </c>
      <c r="AV1389">
        <f>$C1389*AV1388</f>
        <v/>
      </c>
      <c r="AW1389">
        <f>$C1389*AW1388</f>
        <v/>
      </c>
      <c r="AX1389">
        <f>$C1389*AX1388</f>
        <v/>
      </c>
      <c r="AY1389">
        <f>$C1389*AY1388</f>
        <v/>
      </c>
      <c r="AZ1389">
        <f>$C1389*AZ1388</f>
        <v/>
      </c>
      <c r="BA1389">
        <f>$C1389*BA1388</f>
        <v/>
      </c>
      <c r="BB1389">
        <f>$C1389*BB1388</f>
        <v/>
      </c>
      <c r="BC1389">
        <f>$C1389*BC1388</f>
        <v/>
      </c>
      <c r="BD1389">
        <f>$C1389*BD1388</f>
        <v/>
      </c>
      <c r="BE1389">
        <f>$C1389*BE1388</f>
        <v/>
      </c>
      <c r="BF1389">
        <f>$C1389*BF1388</f>
        <v/>
      </c>
      <c r="BG1389">
        <f>$C1389*BG1388</f>
        <v/>
      </c>
      <c r="BH1389">
        <f>$C1389*BH1388</f>
        <v/>
      </c>
      <c r="BI1389">
        <f>$C1389*BI1388</f>
        <v/>
      </c>
      <c r="BJ1389">
        <f>$C1389*BJ1388</f>
        <v/>
      </c>
      <c r="BK1389">
        <f>$C1389*BK1388</f>
        <v/>
      </c>
      <c r="BL1389">
        <f>$C1389*BL1388</f>
        <v/>
      </c>
      <c r="BM1389">
        <f>$C1389*BM1388</f>
        <v/>
      </c>
      <c r="BN1389">
        <f>$C1389*BN1388</f>
        <v/>
      </c>
      <c r="BO1389">
        <f>$C1389*BO1388</f>
        <v/>
      </c>
      <c r="BP1389">
        <f>$C1389*BP1388</f>
        <v/>
      </c>
      <c r="BQ1389">
        <f>$C1389*BQ1388</f>
        <v/>
      </c>
      <c r="BR1389">
        <f>$C1389*BR1388</f>
        <v/>
      </c>
      <c r="BS1389">
        <f>$C1389*BS1388</f>
        <v/>
      </c>
      <c r="BT1389">
        <f>$C1389*BT1388</f>
        <v/>
      </c>
      <c r="BU1389">
        <f>$C1389*BU1388</f>
        <v/>
      </c>
      <c r="BV1389">
        <f>$C1389*BV1388</f>
        <v/>
      </c>
      <c r="BW1389">
        <f>$C1389*BW1388</f>
        <v/>
      </c>
      <c r="BX1389">
        <f>$C1389*BX1388</f>
        <v/>
      </c>
      <c r="BY1389">
        <f>$C1389*BY1388</f>
        <v/>
      </c>
      <c r="BZ1389">
        <f>$C1389*BZ1388</f>
        <v/>
      </c>
      <c r="CA1389">
        <f>$C1389*CA1388</f>
        <v/>
      </c>
      <c r="CB1389">
        <f>$C1389*CB1388</f>
        <v/>
      </c>
      <c r="CC1389">
        <f>$C1389*CC1388</f>
        <v/>
      </c>
      <c r="CD1389">
        <f>$C1389*CD1388</f>
        <v/>
      </c>
      <c r="CE1389">
        <f>$C1389*CE1388</f>
        <v/>
      </c>
      <c r="CF1389">
        <f>$C1389*CF1388</f>
        <v/>
      </c>
      <c r="CG1389">
        <f>$C1389*CG1388</f>
        <v/>
      </c>
      <c r="CH1389">
        <f>$C1389*CH1388</f>
        <v/>
      </c>
      <c r="CI1389">
        <f>$C1389*CI1388</f>
        <v/>
      </c>
      <c r="CJ1389">
        <f>$C1389*CJ1388</f>
        <v/>
      </c>
      <c r="CK1389">
        <f>$C1389*CK1388</f>
        <v/>
      </c>
      <c r="CL1389">
        <f>$C1389*CL1388</f>
        <v/>
      </c>
      <c r="CM1389">
        <f>$C1389*CM1388</f>
        <v/>
      </c>
      <c r="CN1389">
        <f>$C1389*CN1388</f>
        <v/>
      </c>
      <c r="CO1389">
        <f>$C1389*CO1388</f>
        <v/>
      </c>
      <c r="CP1389">
        <f>$C1389*CP1388</f>
        <v/>
      </c>
      <c r="CQ1389">
        <f>$C1389*CQ1388</f>
        <v/>
      </c>
      <c r="CR1389">
        <f>$C1389*CR1388</f>
        <v/>
      </c>
      <c r="CS1389">
        <f>$C1389*CS1388</f>
        <v/>
      </c>
      <c r="CT1389">
        <f>$C1389*CT1388</f>
        <v/>
      </c>
      <c r="CU1389">
        <f>$C1389*CU1388</f>
        <v/>
      </c>
      <c r="CV1389">
        <f>$C1389*CV1388</f>
        <v/>
      </c>
      <c r="CW1389">
        <f>$C1389*CW1388</f>
        <v/>
      </c>
      <c r="CX1389">
        <f>$C1389*CX1388</f>
        <v/>
      </c>
      <c r="CY1389">
        <f>$C1389*CY1388</f>
        <v/>
      </c>
      <c r="CZ1389">
        <f>$C1389*CZ1388</f>
        <v/>
      </c>
      <c r="DA1389">
        <f>$C1389*DA1388</f>
        <v/>
      </c>
      <c r="DB1389">
        <f>$C1389*DB1388</f>
        <v/>
      </c>
      <c r="DC1389">
        <f>$C1389*DC1388</f>
        <v/>
      </c>
      <c r="DD1389">
        <f>$C1389*DD1388</f>
        <v/>
      </c>
    </row>
    <row r="1390">
      <c r="B1390" s="4" t="inlineStr">
        <is>
          <t>合計使用量(kg)/週</t>
        </is>
      </c>
      <c r="D1390" s="22">
        <f>IFERROR(INDEX(E1390:DD1390,$F$1),"")</f>
        <v/>
      </c>
      <c r="E1390">
        <f>'Grid_Requirement'!B69</f>
        <v/>
      </c>
      <c r="F1390">
        <f>'Grid_Requirement'!C69</f>
        <v/>
      </c>
      <c r="G1390">
        <f>'Grid_Requirement'!D69</f>
        <v/>
      </c>
      <c r="H1390">
        <f>'Grid_Requirement'!E69</f>
        <v/>
      </c>
      <c r="I1390">
        <f>'Grid_Requirement'!F69</f>
        <v/>
      </c>
      <c r="J1390">
        <f>'Grid_Requirement'!G69</f>
        <v/>
      </c>
      <c r="K1390">
        <f>'Grid_Requirement'!H69</f>
        <v/>
      </c>
      <c r="L1390">
        <f>'Grid_Requirement'!I69</f>
        <v/>
      </c>
      <c r="M1390">
        <f>'Grid_Requirement'!J69</f>
        <v/>
      </c>
      <c r="N1390">
        <f>'Grid_Requirement'!K69</f>
        <v/>
      </c>
      <c r="O1390">
        <f>'Grid_Requirement'!L69</f>
        <v/>
      </c>
      <c r="P1390">
        <f>'Grid_Requirement'!M69</f>
        <v/>
      </c>
      <c r="Q1390">
        <f>'Grid_Requirement'!N69</f>
        <v/>
      </c>
      <c r="R1390">
        <f>'Grid_Requirement'!O69</f>
        <v/>
      </c>
      <c r="S1390">
        <f>'Grid_Requirement'!P69</f>
        <v/>
      </c>
      <c r="T1390">
        <f>'Grid_Requirement'!Q69</f>
        <v/>
      </c>
      <c r="U1390">
        <f>'Grid_Requirement'!R69</f>
        <v/>
      </c>
      <c r="V1390">
        <f>'Grid_Requirement'!S69</f>
        <v/>
      </c>
      <c r="W1390">
        <f>'Grid_Requirement'!T69</f>
        <v/>
      </c>
      <c r="X1390">
        <f>'Grid_Requirement'!U69</f>
        <v/>
      </c>
      <c r="Y1390">
        <f>'Grid_Requirement'!V69</f>
        <v/>
      </c>
      <c r="Z1390">
        <f>'Grid_Requirement'!W69</f>
        <v/>
      </c>
      <c r="AA1390">
        <f>'Grid_Requirement'!X69</f>
        <v/>
      </c>
      <c r="AB1390">
        <f>'Grid_Requirement'!Y69</f>
        <v/>
      </c>
      <c r="AC1390">
        <f>'Grid_Requirement'!Z69</f>
        <v/>
      </c>
      <c r="AD1390">
        <f>'Grid_Requirement'!AA69</f>
        <v/>
      </c>
      <c r="AE1390">
        <f>'Grid_Requirement'!AB69</f>
        <v/>
      </c>
      <c r="AF1390">
        <f>'Grid_Requirement'!AC69</f>
        <v/>
      </c>
      <c r="AG1390">
        <f>'Grid_Requirement'!AD69</f>
        <v/>
      </c>
      <c r="AH1390">
        <f>'Grid_Requirement'!AE69</f>
        <v/>
      </c>
      <c r="AI1390">
        <f>'Grid_Requirement'!AF69</f>
        <v/>
      </c>
      <c r="AJ1390">
        <f>'Grid_Requirement'!AG69</f>
        <v/>
      </c>
      <c r="AK1390">
        <f>'Grid_Requirement'!AH69</f>
        <v/>
      </c>
      <c r="AL1390">
        <f>'Grid_Requirement'!AI69</f>
        <v/>
      </c>
      <c r="AM1390">
        <f>'Grid_Requirement'!AJ69</f>
        <v/>
      </c>
      <c r="AN1390">
        <f>'Grid_Requirement'!AK69</f>
        <v/>
      </c>
      <c r="AO1390">
        <f>'Grid_Requirement'!AL69</f>
        <v/>
      </c>
      <c r="AP1390">
        <f>'Grid_Requirement'!AM69</f>
        <v/>
      </c>
      <c r="AQ1390">
        <f>'Grid_Requirement'!AN69</f>
        <v/>
      </c>
      <c r="AR1390">
        <f>'Grid_Requirement'!AO69</f>
        <v/>
      </c>
      <c r="AS1390">
        <f>'Grid_Requirement'!AP69</f>
        <v/>
      </c>
      <c r="AT1390">
        <f>'Grid_Requirement'!AQ69</f>
        <v/>
      </c>
      <c r="AU1390">
        <f>'Grid_Requirement'!AR69</f>
        <v/>
      </c>
      <c r="AV1390">
        <f>'Grid_Requirement'!AS69</f>
        <v/>
      </c>
      <c r="AW1390">
        <f>'Grid_Requirement'!AT69</f>
        <v/>
      </c>
      <c r="AX1390">
        <f>'Grid_Requirement'!AU69</f>
        <v/>
      </c>
      <c r="AY1390">
        <f>'Grid_Requirement'!AV69</f>
        <v/>
      </c>
      <c r="AZ1390">
        <f>'Grid_Requirement'!AW69</f>
        <v/>
      </c>
      <c r="BA1390">
        <f>'Grid_Requirement'!AX69</f>
        <v/>
      </c>
      <c r="BB1390">
        <f>'Grid_Requirement'!AY69</f>
        <v/>
      </c>
      <c r="BC1390">
        <f>'Grid_Requirement'!AZ69</f>
        <v/>
      </c>
      <c r="BD1390">
        <f>'Grid_Requirement'!BA69</f>
        <v/>
      </c>
      <c r="BE1390">
        <f>'Grid_Requirement'!BB69</f>
        <v/>
      </c>
      <c r="BF1390">
        <f>'Grid_Requirement'!BC69</f>
        <v/>
      </c>
      <c r="BG1390">
        <f>'Grid_Requirement'!BD69</f>
        <v/>
      </c>
      <c r="BH1390">
        <f>'Grid_Requirement'!BE69</f>
        <v/>
      </c>
      <c r="BI1390">
        <f>'Grid_Requirement'!BF69</f>
        <v/>
      </c>
      <c r="BJ1390">
        <f>'Grid_Requirement'!BG69</f>
        <v/>
      </c>
      <c r="BK1390">
        <f>'Grid_Requirement'!BH69</f>
        <v/>
      </c>
      <c r="BL1390">
        <f>'Grid_Requirement'!BI69</f>
        <v/>
      </c>
      <c r="BM1390">
        <f>'Grid_Requirement'!BJ69</f>
        <v/>
      </c>
      <c r="BN1390">
        <f>'Grid_Requirement'!BK69</f>
        <v/>
      </c>
      <c r="BO1390">
        <f>'Grid_Requirement'!BL69</f>
        <v/>
      </c>
      <c r="BP1390">
        <f>'Grid_Requirement'!BM69</f>
        <v/>
      </c>
      <c r="BQ1390">
        <f>'Grid_Requirement'!BN69</f>
        <v/>
      </c>
      <c r="BR1390">
        <f>'Grid_Requirement'!BO69</f>
        <v/>
      </c>
      <c r="BS1390">
        <f>'Grid_Requirement'!BP69</f>
        <v/>
      </c>
      <c r="BT1390">
        <f>'Grid_Requirement'!BQ69</f>
        <v/>
      </c>
      <c r="BU1390">
        <f>'Grid_Requirement'!BR69</f>
        <v/>
      </c>
      <c r="BV1390">
        <f>'Grid_Requirement'!BS69</f>
        <v/>
      </c>
      <c r="BW1390">
        <f>'Grid_Requirement'!BT69</f>
        <v/>
      </c>
      <c r="BX1390">
        <f>'Grid_Requirement'!BU69</f>
        <v/>
      </c>
      <c r="BY1390">
        <f>'Grid_Requirement'!BV69</f>
        <v/>
      </c>
      <c r="BZ1390">
        <f>'Grid_Requirement'!BW69</f>
        <v/>
      </c>
      <c r="CA1390">
        <f>'Grid_Requirement'!BX69</f>
        <v/>
      </c>
      <c r="CB1390">
        <f>'Grid_Requirement'!BY69</f>
        <v/>
      </c>
      <c r="CC1390">
        <f>'Grid_Requirement'!BZ69</f>
        <v/>
      </c>
      <c r="CD1390">
        <f>'Grid_Requirement'!CA69</f>
        <v/>
      </c>
      <c r="CE1390">
        <f>'Grid_Requirement'!CB69</f>
        <v/>
      </c>
      <c r="CF1390">
        <f>'Grid_Requirement'!CC69</f>
        <v/>
      </c>
      <c r="CG1390">
        <f>'Grid_Requirement'!CD69</f>
        <v/>
      </c>
      <c r="CH1390">
        <f>'Grid_Requirement'!CE69</f>
        <v/>
      </c>
      <c r="CI1390">
        <f>'Grid_Requirement'!CF69</f>
        <v/>
      </c>
      <c r="CJ1390">
        <f>'Grid_Requirement'!CG69</f>
        <v/>
      </c>
      <c r="CK1390">
        <f>'Grid_Requirement'!CH69</f>
        <v/>
      </c>
      <c r="CL1390">
        <f>'Grid_Requirement'!CI69</f>
        <v/>
      </c>
      <c r="CM1390">
        <f>'Grid_Requirement'!CJ69</f>
        <v/>
      </c>
      <c r="CN1390">
        <f>'Grid_Requirement'!CK69</f>
        <v/>
      </c>
      <c r="CO1390">
        <f>'Grid_Requirement'!CL69</f>
        <v/>
      </c>
      <c r="CP1390">
        <f>'Grid_Requirement'!CM69</f>
        <v/>
      </c>
      <c r="CQ1390">
        <f>'Grid_Requirement'!CN69</f>
        <v/>
      </c>
      <c r="CR1390">
        <f>'Grid_Requirement'!CO69</f>
        <v/>
      </c>
      <c r="CS1390">
        <f>'Grid_Requirement'!CP69</f>
        <v/>
      </c>
      <c r="CT1390">
        <f>'Grid_Requirement'!CQ69</f>
        <v/>
      </c>
      <c r="CU1390">
        <f>'Grid_Requirement'!CR69</f>
        <v/>
      </c>
      <c r="CV1390">
        <f>'Grid_Requirement'!CS69</f>
        <v/>
      </c>
      <c r="CW1390">
        <f>'Grid_Requirement'!CT69</f>
        <v/>
      </c>
      <c r="CX1390">
        <f>'Grid_Requirement'!CU69</f>
        <v/>
      </c>
      <c r="CY1390">
        <f>'Grid_Requirement'!CV69</f>
        <v/>
      </c>
      <c r="CZ1390">
        <f>'Grid_Requirement'!CW69</f>
        <v/>
      </c>
      <c r="DA1390">
        <f>'Grid_Requirement'!CX69</f>
        <v/>
      </c>
      <c r="DB1390">
        <f>'Grid_Requirement'!CY69</f>
        <v/>
      </c>
      <c r="DC1390">
        <f>'Grid_Requirement'!CZ69</f>
        <v/>
      </c>
      <c r="DD1390">
        <f>'Grid_Requirement'!DA69</f>
        <v/>
      </c>
    </row>
    <row r="1391">
      <c r="B1391" s="23" t="inlineStr">
        <is>
          <t>（在庫・入荷予定はDashboard参照）</t>
        </is>
      </c>
    </row>
    <row r="1393">
      <c r="A1393" s="21" t="inlineStr">
        <is>
          <t>CHEM-1720</t>
        </is>
      </c>
      <c r="B1393" s="21" t="inlineStr">
        <is>
          <t>CeZr oxide(TPZ-868)</t>
        </is>
      </c>
      <c r="C1393" s="21" t="n"/>
      <c r="D1393" s="21" t="n"/>
      <c r="E1393" s="21" t="n"/>
      <c r="F1393" s="21" t="n"/>
      <c r="G1393" s="21" t="n"/>
      <c r="H1393" s="21" t="n"/>
      <c r="I1393" s="21" t="n"/>
      <c r="J1393" s="21" t="n"/>
      <c r="K1393" s="21" t="n"/>
      <c r="L1393" s="21" t="n"/>
      <c r="M1393" s="21" t="n"/>
      <c r="N1393" s="21" t="n"/>
      <c r="O1393" s="21" t="n"/>
      <c r="P1393" s="21" t="n"/>
      <c r="Q1393" s="21" t="n"/>
      <c r="R1393" s="21" t="n"/>
      <c r="S1393" s="21" t="n"/>
      <c r="T1393" s="21" t="n"/>
      <c r="U1393" s="21" t="n"/>
      <c r="V1393" s="21" t="n"/>
      <c r="W1393" s="21" t="n"/>
      <c r="X1393" s="21" t="n"/>
      <c r="Y1393" s="21" t="n"/>
      <c r="Z1393" s="21" t="n"/>
      <c r="AA1393" s="21" t="n"/>
      <c r="AB1393" s="21" t="n"/>
      <c r="AC1393" s="21" t="n"/>
      <c r="AD1393" s="21" t="n"/>
      <c r="AE1393" s="21" t="n"/>
      <c r="AF1393" s="21" t="n"/>
      <c r="AG1393" s="21" t="n"/>
      <c r="AH1393" s="21" t="n"/>
      <c r="AI1393" s="21" t="n"/>
      <c r="AJ1393" s="21" t="n"/>
      <c r="AK1393" s="21" t="n"/>
      <c r="AL1393" s="21" t="n"/>
      <c r="AM1393" s="21" t="n"/>
      <c r="AN1393" s="21" t="n"/>
      <c r="AO1393" s="21" t="n"/>
      <c r="AP1393" s="21" t="n"/>
      <c r="AQ1393" s="21" t="n"/>
      <c r="AR1393" s="21" t="n"/>
      <c r="AS1393" s="21" t="n"/>
      <c r="AT1393" s="21" t="n"/>
      <c r="AU1393" s="21" t="n"/>
      <c r="AV1393" s="21" t="n"/>
      <c r="AW1393" s="21" t="n"/>
      <c r="AX1393" s="21" t="n"/>
      <c r="AY1393" s="21" t="n"/>
      <c r="AZ1393" s="21" t="n"/>
      <c r="BA1393" s="21" t="n"/>
      <c r="BB1393" s="21" t="n"/>
      <c r="BC1393" s="21" t="n"/>
      <c r="BD1393" s="21" t="n"/>
      <c r="BE1393" s="21" t="n"/>
      <c r="BF1393" s="21" t="n"/>
      <c r="BG1393" s="21" t="n"/>
      <c r="BH1393" s="21" t="n"/>
      <c r="BI1393" s="21" t="n"/>
      <c r="BJ1393" s="21" t="n"/>
      <c r="BK1393" s="21" t="n"/>
      <c r="BL1393" s="21" t="n"/>
      <c r="BM1393" s="21" t="n"/>
      <c r="BN1393" s="21" t="n"/>
      <c r="BO1393" s="21" t="n"/>
      <c r="BP1393" s="21" t="n"/>
      <c r="BQ1393" s="21" t="n"/>
      <c r="BR1393" s="21" t="n"/>
      <c r="BS1393" s="21" t="n"/>
      <c r="BT1393" s="21" t="n"/>
      <c r="BU1393" s="21" t="n"/>
      <c r="BV1393" s="21" t="n"/>
      <c r="BW1393" s="21" t="n"/>
      <c r="BX1393" s="21" t="n"/>
      <c r="BY1393" s="21" t="n"/>
      <c r="BZ1393" s="21" t="n"/>
      <c r="CA1393" s="21" t="n"/>
      <c r="CB1393" s="21" t="n"/>
      <c r="CC1393" s="21" t="n"/>
      <c r="CD1393" s="21" t="n"/>
      <c r="CE1393" s="21" t="n"/>
      <c r="CF1393" s="21" t="n"/>
      <c r="CG1393" s="21" t="n"/>
      <c r="CH1393" s="21" t="n"/>
      <c r="CI1393" s="21" t="n"/>
      <c r="CJ1393" s="21" t="n"/>
      <c r="CK1393" s="21" t="n"/>
      <c r="CL1393" s="21" t="n"/>
      <c r="CM1393" s="21" t="n"/>
      <c r="CN1393" s="21" t="n"/>
      <c r="CO1393" s="21" t="n"/>
      <c r="CP1393" s="21" t="n"/>
      <c r="CQ1393" s="21" t="n"/>
      <c r="CR1393" s="21" t="n"/>
      <c r="CS1393" s="21" t="n"/>
      <c r="CT1393" s="21" t="n"/>
      <c r="CU1393" s="21" t="n"/>
      <c r="CV1393" s="21" t="n"/>
      <c r="CW1393" s="21" t="n"/>
      <c r="CX1393" s="21" t="n"/>
      <c r="CY1393" s="21" t="n"/>
      <c r="CZ1393" s="21" t="n"/>
      <c r="DA1393" s="21" t="n"/>
      <c r="DB1393" s="21" t="n"/>
      <c r="DC1393" s="21" t="n"/>
      <c r="DD1393" s="21" t="n"/>
    </row>
    <row r="1394">
      <c r="B1394" t="inlineStr">
        <is>
          <t>TSP-927</t>
        </is>
      </c>
      <c r="C1394" t="inlineStr">
        <is>
          <t>No. of batches</t>
        </is>
      </c>
      <c r="D1394">
        <f>IFERROR(INDEX(E1394:DD1394,$F$1),"")</f>
        <v/>
      </c>
      <c r="E1394">
        <f>IFERROR(INDEX(PP_Grid[#Data],$DE1394,2),0)</f>
        <v/>
      </c>
      <c r="F1394">
        <f>IFERROR(INDEX(PP_Grid[#Data],$DE1394,3),0)</f>
        <v/>
      </c>
      <c r="G1394">
        <f>IFERROR(INDEX(PP_Grid[#Data],$DE1394,4),0)</f>
        <v/>
      </c>
      <c r="H1394">
        <f>IFERROR(INDEX(PP_Grid[#Data],$DE1394,5),0)</f>
        <v/>
      </c>
      <c r="I1394">
        <f>IFERROR(INDEX(PP_Grid[#Data],$DE1394,6),0)</f>
        <v/>
      </c>
      <c r="J1394">
        <f>IFERROR(INDEX(PP_Grid[#Data],$DE1394,7),0)</f>
        <v/>
      </c>
      <c r="K1394">
        <f>IFERROR(INDEX(PP_Grid[#Data],$DE1394,8),0)</f>
        <v/>
      </c>
      <c r="L1394">
        <f>IFERROR(INDEX(PP_Grid[#Data],$DE1394,9),0)</f>
        <v/>
      </c>
      <c r="M1394">
        <f>IFERROR(INDEX(PP_Grid[#Data],$DE1394,10),0)</f>
        <v/>
      </c>
      <c r="N1394">
        <f>IFERROR(INDEX(PP_Grid[#Data],$DE1394,11),0)</f>
        <v/>
      </c>
      <c r="O1394">
        <f>IFERROR(INDEX(PP_Grid[#Data],$DE1394,12),0)</f>
        <v/>
      </c>
      <c r="P1394">
        <f>IFERROR(INDEX(PP_Grid[#Data],$DE1394,13),0)</f>
        <v/>
      </c>
      <c r="Q1394">
        <f>IFERROR(INDEX(PP_Grid[#Data],$DE1394,14),0)</f>
        <v/>
      </c>
      <c r="R1394">
        <f>IFERROR(INDEX(PP_Grid[#Data],$DE1394,15),0)</f>
        <v/>
      </c>
      <c r="S1394">
        <f>IFERROR(INDEX(PP_Grid[#Data],$DE1394,16),0)</f>
        <v/>
      </c>
      <c r="T1394">
        <f>IFERROR(INDEX(PP_Grid[#Data],$DE1394,17),0)</f>
        <v/>
      </c>
      <c r="U1394">
        <f>IFERROR(INDEX(PP_Grid[#Data],$DE1394,18),0)</f>
        <v/>
      </c>
      <c r="V1394">
        <f>IFERROR(INDEX(PP_Grid[#Data],$DE1394,19),0)</f>
        <v/>
      </c>
      <c r="W1394">
        <f>IFERROR(INDEX(PP_Grid[#Data],$DE1394,20),0)</f>
        <v/>
      </c>
      <c r="X1394">
        <f>IFERROR(INDEX(PP_Grid[#Data],$DE1394,21),0)</f>
        <v/>
      </c>
      <c r="Y1394">
        <f>IFERROR(INDEX(PP_Grid[#Data],$DE1394,22),0)</f>
        <v/>
      </c>
      <c r="Z1394">
        <f>IFERROR(INDEX(PP_Grid[#Data],$DE1394,23),0)</f>
        <v/>
      </c>
      <c r="AA1394">
        <f>IFERROR(INDEX(PP_Grid[#Data],$DE1394,24),0)</f>
        <v/>
      </c>
      <c r="AB1394">
        <f>IFERROR(INDEX(PP_Grid[#Data],$DE1394,25),0)</f>
        <v/>
      </c>
      <c r="AC1394">
        <f>IFERROR(INDEX(PP_Grid[#Data],$DE1394,26),0)</f>
        <v/>
      </c>
      <c r="AD1394">
        <f>IFERROR(INDEX(PP_Grid[#Data],$DE1394,27),0)</f>
        <v/>
      </c>
      <c r="AE1394">
        <f>IFERROR(INDEX(PP_Grid[#Data],$DE1394,28),0)</f>
        <v/>
      </c>
      <c r="AF1394">
        <f>IFERROR(INDEX(PP_Grid[#Data],$DE1394,29),0)</f>
        <v/>
      </c>
      <c r="AG1394">
        <f>IFERROR(INDEX(PP_Grid[#Data],$DE1394,30),0)</f>
        <v/>
      </c>
      <c r="AH1394">
        <f>IFERROR(INDEX(PP_Grid[#Data],$DE1394,31),0)</f>
        <v/>
      </c>
      <c r="AI1394">
        <f>IFERROR(INDEX(PP_Grid[#Data],$DE1394,32),0)</f>
        <v/>
      </c>
      <c r="AJ1394">
        <f>IFERROR(INDEX(PP_Grid[#Data],$DE1394,33),0)</f>
        <v/>
      </c>
      <c r="AK1394">
        <f>IFERROR(INDEX(PP_Grid[#Data],$DE1394,34),0)</f>
        <v/>
      </c>
      <c r="AL1394">
        <f>IFERROR(INDEX(PP_Grid[#Data],$DE1394,35),0)</f>
        <v/>
      </c>
      <c r="AM1394">
        <f>IFERROR(INDEX(PP_Grid[#Data],$DE1394,36),0)</f>
        <v/>
      </c>
      <c r="AN1394">
        <f>IFERROR(INDEX(PP_Grid[#Data],$DE1394,37),0)</f>
        <v/>
      </c>
      <c r="AO1394">
        <f>IFERROR(INDEX(PP_Grid[#Data],$DE1394,38),0)</f>
        <v/>
      </c>
      <c r="AP1394">
        <f>IFERROR(INDEX(PP_Grid[#Data],$DE1394,39),0)</f>
        <v/>
      </c>
      <c r="AQ1394">
        <f>IFERROR(INDEX(PP_Grid[#Data],$DE1394,40),0)</f>
        <v/>
      </c>
      <c r="AR1394">
        <f>IFERROR(INDEX(PP_Grid[#Data],$DE1394,41),0)</f>
        <v/>
      </c>
      <c r="AS1394">
        <f>IFERROR(INDEX(PP_Grid[#Data],$DE1394,42),0)</f>
        <v/>
      </c>
      <c r="AT1394">
        <f>IFERROR(INDEX(PP_Grid[#Data],$DE1394,43),0)</f>
        <v/>
      </c>
      <c r="AU1394">
        <f>IFERROR(INDEX(PP_Grid[#Data],$DE1394,44),0)</f>
        <v/>
      </c>
      <c r="AV1394">
        <f>IFERROR(INDEX(PP_Grid[#Data],$DE1394,45),0)</f>
        <v/>
      </c>
      <c r="AW1394">
        <f>IFERROR(INDEX(PP_Grid[#Data],$DE1394,46),0)</f>
        <v/>
      </c>
      <c r="AX1394">
        <f>IFERROR(INDEX(PP_Grid[#Data],$DE1394,47),0)</f>
        <v/>
      </c>
      <c r="AY1394">
        <f>IFERROR(INDEX(PP_Grid[#Data],$DE1394,48),0)</f>
        <v/>
      </c>
      <c r="AZ1394">
        <f>IFERROR(INDEX(PP_Grid[#Data],$DE1394,49),0)</f>
        <v/>
      </c>
      <c r="BA1394">
        <f>IFERROR(INDEX(PP_Grid[#Data],$DE1394,50),0)</f>
        <v/>
      </c>
      <c r="BB1394">
        <f>IFERROR(INDEX(PP_Grid[#Data],$DE1394,51),0)</f>
        <v/>
      </c>
      <c r="BC1394">
        <f>IFERROR(INDEX(PP_Grid[#Data],$DE1394,52),0)</f>
        <v/>
      </c>
      <c r="BD1394">
        <f>IFERROR(INDEX(PP_Grid[#Data],$DE1394,53),0)</f>
        <v/>
      </c>
      <c r="BE1394">
        <f>IFERROR(INDEX(PP_Grid[#Data],$DE1394,54),0)</f>
        <v/>
      </c>
      <c r="BF1394">
        <f>IFERROR(INDEX(PP_Grid[#Data],$DE1394,55),0)</f>
        <v/>
      </c>
      <c r="BG1394">
        <f>IFERROR(INDEX(PP_Grid[#Data],$DE1394,56),0)</f>
        <v/>
      </c>
      <c r="BH1394">
        <f>IFERROR(INDEX(PP_Grid[#Data],$DE1394,57),0)</f>
        <v/>
      </c>
      <c r="BI1394">
        <f>IFERROR(INDEX(PP_Grid[#Data],$DE1394,58),0)</f>
        <v/>
      </c>
      <c r="BJ1394">
        <f>IFERROR(INDEX(PP_Grid[#Data],$DE1394,59),0)</f>
        <v/>
      </c>
      <c r="BK1394">
        <f>IFERROR(INDEX(PP_Grid[#Data],$DE1394,60),0)</f>
        <v/>
      </c>
      <c r="BL1394">
        <f>IFERROR(INDEX(PP_Grid[#Data],$DE1394,61),0)</f>
        <v/>
      </c>
      <c r="BM1394">
        <f>IFERROR(INDEX(PP_Grid[#Data],$DE1394,62),0)</f>
        <v/>
      </c>
      <c r="BN1394">
        <f>IFERROR(INDEX(PP_Grid[#Data],$DE1394,63),0)</f>
        <v/>
      </c>
      <c r="BO1394">
        <f>IFERROR(INDEX(PP_Grid[#Data],$DE1394,64),0)</f>
        <v/>
      </c>
      <c r="BP1394">
        <f>IFERROR(INDEX(PP_Grid[#Data],$DE1394,65),0)</f>
        <v/>
      </c>
      <c r="BQ1394">
        <f>IFERROR(INDEX(PP_Grid[#Data],$DE1394,66),0)</f>
        <v/>
      </c>
      <c r="BR1394">
        <f>IFERROR(INDEX(PP_Grid[#Data],$DE1394,67),0)</f>
        <v/>
      </c>
      <c r="BS1394">
        <f>IFERROR(INDEX(PP_Grid[#Data],$DE1394,68),0)</f>
        <v/>
      </c>
      <c r="BT1394">
        <f>IFERROR(INDEX(PP_Grid[#Data],$DE1394,69),0)</f>
        <v/>
      </c>
      <c r="BU1394">
        <f>IFERROR(INDEX(PP_Grid[#Data],$DE1394,70),0)</f>
        <v/>
      </c>
      <c r="BV1394">
        <f>IFERROR(INDEX(PP_Grid[#Data],$DE1394,71),0)</f>
        <v/>
      </c>
      <c r="BW1394">
        <f>IFERROR(INDEX(PP_Grid[#Data],$DE1394,72),0)</f>
        <v/>
      </c>
      <c r="BX1394">
        <f>IFERROR(INDEX(PP_Grid[#Data],$DE1394,73),0)</f>
        <v/>
      </c>
      <c r="BY1394">
        <f>IFERROR(INDEX(PP_Grid[#Data],$DE1394,74),0)</f>
        <v/>
      </c>
      <c r="BZ1394">
        <f>IFERROR(INDEX(PP_Grid[#Data],$DE1394,75),0)</f>
        <v/>
      </c>
      <c r="CA1394">
        <f>IFERROR(INDEX(PP_Grid[#Data],$DE1394,76),0)</f>
        <v/>
      </c>
      <c r="CB1394">
        <f>IFERROR(INDEX(PP_Grid[#Data],$DE1394,77),0)</f>
        <v/>
      </c>
      <c r="CC1394">
        <f>IFERROR(INDEX(PP_Grid[#Data],$DE1394,78),0)</f>
        <v/>
      </c>
      <c r="CD1394">
        <f>IFERROR(INDEX(PP_Grid[#Data],$DE1394,79),0)</f>
        <v/>
      </c>
      <c r="CE1394">
        <f>IFERROR(INDEX(PP_Grid[#Data],$DE1394,80),0)</f>
        <v/>
      </c>
      <c r="CF1394">
        <f>IFERROR(INDEX(PP_Grid[#Data],$DE1394,81),0)</f>
        <v/>
      </c>
      <c r="CG1394">
        <f>IFERROR(INDEX(PP_Grid[#Data],$DE1394,82),0)</f>
        <v/>
      </c>
      <c r="CH1394">
        <f>IFERROR(INDEX(PP_Grid[#Data],$DE1394,83),0)</f>
        <v/>
      </c>
      <c r="CI1394">
        <f>IFERROR(INDEX(PP_Grid[#Data],$DE1394,84),0)</f>
        <v/>
      </c>
      <c r="CJ1394">
        <f>IFERROR(INDEX(PP_Grid[#Data],$DE1394,85),0)</f>
        <v/>
      </c>
      <c r="CK1394">
        <f>IFERROR(INDEX(PP_Grid[#Data],$DE1394,86),0)</f>
        <v/>
      </c>
      <c r="CL1394">
        <f>IFERROR(INDEX(PP_Grid[#Data],$DE1394,87),0)</f>
        <v/>
      </c>
      <c r="CM1394">
        <f>IFERROR(INDEX(PP_Grid[#Data],$DE1394,88),0)</f>
        <v/>
      </c>
      <c r="CN1394">
        <f>IFERROR(INDEX(PP_Grid[#Data],$DE1394,89),0)</f>
        <v/>
      </c>
      <c r="CO1394">
        <f>IFERROR(INDEX(PP_Grid[#Data],$DE1394,90),0)</f>
        <v/>
      </c>
      <c r="CP1394">
        <f>IFERROR(INDEX(PP_Grid[#Data],$DE1394,91),0)</f>
        <v/>
      </c>
      <c r="CQ1394">
        <f>IFERROR(INDEX(PP_Grid[#Data],$DE1394,92),0)</f>
        <v/>
      </c>
      <c r="CR1394">
        <f>IFERROR(INDEX(PP_Grid[#Data],$DE1394,93),0)</f>
        <v/>
      </c>
      <c r="CS1394">
        <f>IFERROR(INDEX(PP_Grid[#Data],$DE1394,94),0)</f>
        <v/>
      </c>
      <c r="CT1394">
        <f>IFERROR(INDEX(PP_Grid[#Data],$DE1394,95),0)</f>
        <v/>
      </c>
      <c r="CU1394">
        <f>IFERROR(INDEX(PP_Grid[#Data],$DE1394,96),0)</f>
        <v/>
      </c>
      <c r="CV1394">
        <f>IFERROR(INDEX(PP_Grid[#Data],$DE1394,97),0)</f>
        <v/>
      </c>
      <c r="CW1394">
        <f>IFERROR(INDEX(PP_Grid[#Data],$DE1394,98),0)</f>
        <v/>
      </c>
      <c r="CX1394">
        <f>IFERROR(INDEX(PP_Grid[#Data],$DE1394,99),0)</f>
        <v/>
      </c>
      <c r="CY1394">
        <f>IFERROR(INDEX(PP_Grid[#Data],$DE1394,100),0)</f>
        <v/>
      </c>
      <c r="CZ1394">
        <f>IFERROR(INDEX(PP_Grid[#Data],$DE1394,101),0)</f>
        <v/>
      </c>
      <c r="DA1394">
        <f>IFERROR(INDEX(PP_Grid[#Data],$DE1394,102),0)</f>
        <v/>
      </c>
      <c r="DB1394">
        <f>IFERROR(INDEX(PP_Grid[#Data],$DE1394,103),0)</f>
        <v/>
      </c>
      <c r="DC1394">
        <f>IFERROR(INDEX(PP_Grid[#Data],$DE1394,104),0)</f>
        <v/>
      </c>
      <c r="DD1394">
        <f>IFERROR(INDEX(PP_Grid[#Data],$DE1394,105),0)</f>
        <v/>
      </c>
      <c r="DE1394" s="7">
        <f>IFERROR(MATCH($B1394,PP_Grid[Intermediate],0),99999)</f>
        <v/>
      </c>
    </row>
    <row r="1395">
      <c r="B1395" t="inlineStr">
        <is>
          <t>使用量(kg)</t>
        </is>
      </c>
      <c r="C1395">
        <f>SUMIFS(M_BOM[RM_Qty_Per_Batch],M_BOM[Intermediate],$B1394,M_BOM[RM_Code],$A1393)</f>
        <v/>
      </c>
      <c r="D1395">
        <f>IFERROR(INDEX(E1395:DD1395,$F$1),"")</f>
        <v/>
      </c>
      <c r="E1395">
        <f>$C1395*E1394</f>
        <v/>
      </c>
      <c r="F1395">
        <f>$C1395*F1394</f>
        <v/>
      </c>
      <c r="G1395">
        <f>$C1395*G1394</f>
        <v/>
      </c>
      <c r="H1395">
        <f>$C1395*H1394</f>
        <v/>
      </c>
      <c r="I1395">
        <f>$C1395*I1394</f>
        <v/>
      </c>
      <c r="J1395">
        <f>$C1395*J1394</f>
        <v/>
      </c>
      <c r="K1395">
        <f>$C1395*K1394</f>
        <v/>
      </c>
      <c r="L1395">
        <f>$C1395*L1394</f>
        <v/>
      </c>
      <c r="M1395">
        <f>$C1395*M1394</f>
        <v/>
      </c>
      <c r="N1395">
        <f>$C1395*N1394</f>
        <v/>
      </c>
      <c r="O1395">
        <f>$C1395*O1394</f>
        <v/>
      </c>
      <c r="P1395">
        <f>$C1395*P1394</f>
        <v/>
      </c>
      <c r="Q1395">
        <f>$C1395*Q1394</f>
        <v/>
      </c>
      <c r="R1395">
        <f>$C1395*R1394</f>
        <v/>
      </c>
      <c r="S1395">
        <f>$C1395*S1394</f>
        <v/>
      </c>
      <c r="T1395">
        <f>$C1395*T1394</f>
        <v/>
      </c>
      <c r="U1395">
        <f>$C1395*U1394</f>
        <v/>
      </c>
      <c r="V1395">
        <f>$C1395*V1394</f>
        <v/>
      </c>
      <c r="W1395">
        <f>$C1395*W1394</f>
        <v/>
      </c>
      <c r="X1395">
        <f>$C1395*X1394</f>
        <v/>
      </c>
      <c r="Y1395">
        <f>$C1395*Y1394</f>
        <v/>
      </c>
      <c r="Z1395">
        <f>$C1395*Z1394</f>
        <v/>
      </c>
      <c r="AA1395">
        <f>$C1395*AA1394</f>
        <v/>
      </c>
      <c r="AB1395">
        <f>$C1395*AB1394</f>
        <v/>
      </c>
      <c r="AC1395">
        <f>$C1395*AC1394</f>
        <v/>
      </c>
      <c r="AD1395">
        <f>$C1395*AD1394</f>
        <v/>
      </c>
      <c r="AE1395">
        <f>$C1395*AE1394</f>
        <v/>
      </c>
      <c r="AF1395">
        <f>$C1395*AF1394</f>
        <v/>
      </c>
      <c r="AG1395">
        <f>$C1395*AG1394</f>
        <v/>
      </c>
      <c r="AH1395">
        <f>$C1395*AH1394</f>
        <v/>
      </c>
      <c r="AI1395">
        <f>$C1395*AI1394</f>
        <v/>
      </c>
      <c r="AJ1395">
        <f>$C1395*AJ1394</f>
        <v/>
      </c>
      <c r="AK1395">
        <f>$C1395*AK1394</f>
        <v/>
      </c>
      <c r="AL1395">
        <f>$C1395*AL1394</f>
        <v/>
      </c>
      <c r="AM1395">
        <f>$C1395*AM1394</f>
        <v/>
      </c>
      <c r="AN1395">
        <f>$C1395*AN1394</f>
        <v/>
      </c>
      <c r="AO1395">
        <f>$C1395*AO1394</f>
        <v/>
      </c>
      <c r="AP1395">
        <f>$C1395*AP1394</f>
        <v/>
      </c>
      <c r="AQ1395">
        <f>$C1395*AQ1394</f>
        <v/>
      </c>
      <c r="AR1395">
        <f>$C1395*AR1394</f>
        <v/>
      </c>
      <c r="AS1395">
        <f>$C1395*AS1394</f>
        <v/>
      </c>
      <c r="AT1395">
        <f>$C1395*AT1394</f>
        <v/>
      </c>
      <c r="AU1395">
        <f>$C1395*AU1394</f>
        <v/>
      </c>
      <c r="AV1395">
        <f>$C1395*AV1394</f>
        <v/>
      </c>
      <c r="AW1395">
        <f>$C1395*AW1394</f>
        <v/>
      </c>
      <c r="AX1395">
        <f>$C1395*AX1394</f>
        <v/>
      </c>
      <c r="AY1395">
        <f>$C1395*AY1394</f>
        <v/>
      </c>
      <c r="AZ1395">
        <f>$C1395*AZ1394</f>
        <v/>
      </c>
      <c r="BA1395">
        <f>$C1395*BA1394</f>
        <v/>
      </c>
      <c r="BB1395">
        <f>$C1395*BB1394</f>
        <v/>
      </c>
      <c r="BC1395">
        <f>$C1395*BC1394</f>
        <v/>
      </c>
      <c r="BD1395">
        <f>$C1395*BD1394</f>
        <v/>
      </c>
      <c r="BE1395">
        <f>$C1395*BE1394</f>
        <v/>
      </c>
      <c r="BF1395">
        <f>$C1395*BF1394</f>
        <v/>
      </c>
      <c r="BG1395">
        <f>$C1395*BG1394</f>
        <v/>
      </c>
      <c r="BH1395">
        <f>$C1395*BH1394</f>
        <v/>
      </c>
      <c r="BI1395">
        <f>$C1395*BI1394</f>
        <v/>
      </c>
      <c r="BJ1395">
        <f>$C1395*BJ1394</f>
        <v/>
      </c>
      <c r="BK1395">
        <f>$C1395*BK1394</f>
        <v/>
      </c>
      <c r="BL1395">
        <f>$C1395*BL1394</f>
        <v/>
      </c>
      <c r="BM1395">
        <f>$C1395*BM1394</f>
        <v/>
      </c>
      <c r="BN1395">
        <f>$C1395*BN1394</f>
        <v/>
      </c>
      <c r="BO1395">
        <f>$C1395*BO1394</f>
        <v/>
      </c>
      <c r="BP1395">
        <f>$C1395*BP1394</f>
        <v/>
      </c>
      <c r="BQ1395">
        <f>$C1395*BQ1394</f>
        <v/>
      </c>
      <c r="BR1395">
        <f>$C1395*BR1394</f>
        <v/>
      </c>
      <c r="BS1395">
        <f>$C1395*BS1394</f>
        <v/>
      </c>
      <c r="BT1395">
        <f>$C1395*BT1394</f>
        <v/>
      </c>
      <c r="BU1395">
        <f>$C1395*BU1394</f>
        <v/>
      </c>
      <c r="BV1395">
        <f>$C1395*BV1394</f>
        <v/>
      </c>
      <c r="BW1395">
        <f>$C1395*BW1394</f>
        <v/>
      </c>
      <c r="BX1395">
        <f>$C1395*BX1394</f>
        <v/>
      </c>
      <c r="BY1395">
        <f>$C1395*BY1394</f>
        <v/>
      </c>
      <c r="BZ1395">
        <f>$C1395*BZ1394</f>
        <v/>
      </c>
      <c r="CA1395">
        <f>$C1395*CA1394</f>
        <v/>
      </c>
      <c r="CB1395">
        <f>$C1395*CB1394</f>
        <v/>
      </c>
      <c r="CC1395">
        <f>$C1395*CC1394</f>
        <v/>
      </c>
      <c r="CD1395">
        <f>$C1395*CD1394</f>
        <v/>
      </c>
      <c r="CE1395">
        <f>$C1395*CE1394</f>
        <v/>
      </c>
      <c r="CF1395">
        <f>$C1395*CF1394</f>
        <v/>
      </c>
      <c r="CG1395">
        <f>$C1395*CG1394</f>
        <v/>
      </c>
      <c r="CH1395">
        <f>$C1395*CH1394</f>
        <v/>
      </c>
      <c r="CI1395">
        <f>$C1395*CI1394</f>
        <v/>
      </c>
      <c r="CJ1395">
        <f>$C1395*CJ1394</f>
        <v/>
      </c>
      <c r="CK1395">
        <f>$C1395*CK1394</f>
        <v/>
      </c>
      <c r="CL1395">
        <f>$C1395*CL1394</f>
        <v/>
      </c>
      <c r="CM1395">
        <f>$C1395*CM1394</f>
        <v/>
      </c>
      <c r="CN1395">
        <f>$C1395*CN1394</f>
        <v/>
      </c>
      <c r="CO1395">
        <f>$C1395*CO1394</f>
        <v/>
      </c>
      <c r="CP1395">
        <f>$C1395*CP1394</f>
        <v/>
      </c>
      <c r="CQ1395">
        <f>$C1395*CQ1394</f>
        <v/>
      </c>
      <c r="CR1395">
        <f>$C1395*CR1394</f>
        <v/>
      </c>
      <c r="CS1395">
        <f>$C1395*CS1394</f>
        <v/>
      </c>
      <c r="CT1395">
        <f>$C1395*CT1394</f>
        <v/>
      </c>
      <c r="CU1395">
        <f>$C1395*CU1394</f>
        <v/>
      </c>
      <c r="CV1395">
        <f>$C1395*CV1394</f>
        <v/>
      </c>
      <c r="CW1395">
        <f>$C1395*CW1394</f>
        <v/>
      </c>
      <c r="CX1395">
        <f>$C1395*CX1394</f>
        <v/>
      </c>
      <c r="CY1395">
        <f>$C1395*CY1394</f>
        <v/>
      </c>
      <c r="CZ1395">
        <f>$C1395*CZ1394</f>
        <v/>
      </c>
      <c r="DA1395">
        <f>$C1395*DA1394</f>
        <v/>
      </c>
      <c r="DB1395">
        <f>$C1395*DB1394</f>
        <v/>
      </c>
      <c r="DC1395">
        <f>$C1395*DC1394</f>
        <v/>
      </c>
      <c r="DD1395">
        <f>$C1395*DD1394</f>
        <v/>
      </c>
    </row>
    <row r="1396">
      <c r="B1396" t="inlineStr">
        <is>
          <t>TSP-928</t>
        </is>
      </c>
      <c r="C1396" t="inlineStr">
        <is>
          <t>No. of batches</t>
        </is>
      </c>
      <c r="D1396">
        <f>IFERROR(INDEX(E1396:DD1396,$F$1),"")</f>
        <v/>
      </c>
      <c r="E1396">
        <f>IFERROR(INDEX(PP_Grid[#Data],$DE1396,2),0)</f>
        <v/>
      </c>
      <c r="F1396">
        <f>IFERROR(INDEX(PP_Grid[#Data],$DE1396,3),0)</f>
        <v/>
      </c>
      <c r="G1396">
        <f>IFERROR(INDEX(PP_Grid[#Data],$DE1396,4),0)</f>
        <v/>
      </c>
      <c r="H1396">
        <f>IFERROR(INDEX(PP_Grid[#Data],$DE1396,5),0)</f>
        <v/>
      </c>
      <c r="I1396">
        <f>IFERROR(INDEX(PP_Grid[#Data],$DE1396,6),0)</f>
        <v/>
      </c>
      <c r="J1396">
        <f>IFERROR(INDEX(PP_Grid[#Data],$DE1396,7),0)</f>
        <v/>
      </c>
      <c r="K1396">
        <f>IFERROR(INDEX(PP_Grid[#Data],$DE1396,8),0)</f>
        <v/>
      </c>
      <c r="L1396">
        <f>IFERROR(INDEX(PP_Grid[#Data],$DE1396,9),0)</f>
        <v/>
      </c>
      <c r="M1396">
        <f>IFERROR(INDEX(PP_Grid[#Data],$DE1396,10),0)</f>
        <v/>
      </c>
      <c r="N1396">
        <f>IFERROR(INDEX(PP_Grid[#Data],$DE1396,11),0)</f>
        <v/>
      </c>
      <c r="O1396">
        <f>IFERROR(INDEX(PP_Grid[#Data],$DE1396,12),0)</f>
        <v/>
      </c>
      <c r="P1396">
        <f>IFERROR(INDEX(PP_Grid[#Data],$DE1396,13),0)</f>
        <v/>
      </c>
      <c r="Q1396">
        <f>IFERROR(INDEX(PP_Grid[#Data],$DE1396,14),0)</f>
        <v/>
      </c>
      <c r="R1396">
        <f>IFERROR(INDEX(PP_Grid[#Data],$DE1396,15),0)</f>
        <v/>
      </c>
      <c r="S1396">
        <f>IFERROR(INDEX(PP_Grid[#Data],$DE1396,16),0)</f>
        <v/>
      </c>
      <c r="T1396">
        <f>IFERROR(INDEX(PP_Grid[#Data],$DE1396,17),0)</f>
        <v/>
      </c>
      <c r="U1396">
        <f>IFERROR(INDEX(PP_Grid[#Data],$DE1396,18),0)</f>
        <v/>
      </c>
      <c r="V1396">
        <f>IFERROR(INDEX(PP_Grid[#Data],$DE1396,19),0)</f>
        <v/>
      </c>
      <c r="W1396">
        <f>IFERROR(INDEX(PP_Grid[#Data],$DE1396,20),0)</f>
        <v/>
      </c>
      <c r="X1396">
        <f>IFERROR(INDEX(PP_Grid[#Data],$DE1396,21),0)</f>
        <v/>
      </c>
      <c r="Y1396">
        <f>IFERROR(INDEX(PP_Grid[#Data],$DE1396,22),0)</f>
        <v/>
      </c>
      <c r="Z1396">
        <f>IFERROR(INDEX(PP_Grid[#Data],$DE1396,23),0)</f>
        <v/>
      </c>
      <c r="AA1396">
        <f>IFERROR(INDEX(PP_Grid[#Data],$DE1396,24),0)</f>
        <v/>
      </c>
      <c r="AB1396">
        <f>IFERROR(INDEX(PP_Grid[#Data],$DE1396,25),0)</f>
        <v/>
      </c>
      <c r="AC1396">
        <f>IFERROR(INDEX(PP_Grid[#Data],$DE1396,26),0)</f>
        <v/>
      </c>
      <c r="AD1396">
        <f>IFERROR(INDEX(PP_Grid[#Data],$DE1396,27),0)</f>
        <v/>
      </c>
      <c r="AE1396">
        <f>IFERROR(INDEX(PP_Grid[#Data],$DE1396,28),0)</f>
        <v/>
      </c>
      <c r="AF1396">
        <f>IFERROR(INDEX(PP_Grid[#Data],$DE1396,29),0)</f>
        <v/>
      </c>
      <c r="AG1396">
        <f>IFERROR(INDEX(PP_Grid[#Data],$DE1396,30),0)</f>
        <v/>
      </c>
      <c r="AH1396">
        <f>IFERROR(INDEX(PP_Grid[#Data],$DE1396,31),0)</f>
        <v/>
      </c>
      <c r="AI1396">
        <f>IFERROR(INDEX(PP_Grid[#Data],$DE1396,32),0)</f>
        <v/>
      </c>
      <c r="AJ1396">
        <f>IFERROR(INDEX(PP_Grid[#Data],$DE1396,33),0)</f>
        <v/>
      </c>
      <c r="AK1396">
        <f>IFERROR(INDEX(PP_Grid[#Data],$DE1396,34),0)</f>
        <v/>
      </c>
      <c r="AL1396">
        <f>IFERROR(INDEX(PP_Grid[#Data],$DE1396,35),0)</f>
        <v/>
      </c>
      <c r="AM1396">
        <f>IFERROR(INDEX(PP_Grid[#Data],$DE1396,36),0)</f>
        <v/>
      </c>
      <c r="AN1396">
        <f>IFERROR(INDEX(PP_Grid[#Data],$DE1396,37),0)</f>
        <v/>
      </c>
      <c r="AO1396">
        <f>IFERROR(INDEX(PP_Grid[#Data],$DE1396,38),0)</f>
        <v/>
      </c>
      <c r="AP1396">
        <f>IFERROR(INDEX(PP_Grid[#Data],$DE1396,39),0)</f>
        <v/>
      </c>
      <c r="AQ1396">
        <f>IFERROR(INDEX(PP_Grid[#Data],$DE1396,40),0)</f>
        <v/>
      </c>
      <c r="AR1396">
        <f>IFERROR(INDEX(PP_Grid[#Data],$DE1396,41),0)</f>
        <v/>
      </c>
      <c r="AS1396">
        <f>IFERROR(INDEX(PP_Grid[#Data],$DE1396,42),0)</f>
        <v/>
      </c>
      <c r="AT1396">
        <f>IFERROR(INDEX(PP_Grid[#Data],$DE1396,43),0)</f>
        <v/>
      </c>
      <c r="AU1396">
        <f>IFERROR(INDEX(PP_Grid[#Data],$DE1396,44),0)</f>
        <v/>
      </c>
      <c r="AV1396">
        <f>IFERROR(INDEX(PP_Grid[#Data],$DE1396,45),0)</f>
        <v/>
      </c>
      <c r="AW1396">
        <f>IFERROR(INDEX(PP_Grid[#Data],$DE1396,46),0)</f>
        <v/>
      </c>
      <c r="AX1396">
        <f>IFERROR(INDEX(PP_Grid[#Data],$DE1396,47),0)</f>
        <v/>
      </c>
      <c r="AY1396">
        <f>IFERROR(INDEX(PP_Grid[#Data],$DE1396,48),0)</f>
        <v/>
      </c>
      <c r="AZ1396">
        <f>IFERROR(INDEX(PP_Grid[#Data],$DE1396,49),0)</f>
        <v/>
      </c>
      <c r="BA1396">
        <f>IFERROR(INDEX(PP_Grid[#Data],$DE1396,50),0)</f>
        <v/>
      </c>
      <c r="BB1396">
        <f>IFERROR(INDEX(PP_Grid[#Data],$DE1396,51),0)</f>
        <v/>
      </c>
      <c r="BC1396">
        <f>IFERROR(INDEX(PP_Grid[#Data],$DE1396,52),0)</f>
        <v/>
      </c>
      <c r="BD1396">
        <f>IFERROR(INDEX(PP_Grid[#Data],$DE1396,53),0)</f>
        <v/>
      </c>
      <c r="BE1396">
        <f>IFERROR(INDEX(PP_Grid[#Data],$DE1396,54),0)</f>
        <v/>
      </c>
      <c r="BF1396">
        <f>IFERROR(INDEX(PP_Grid[#Data],$DE1396,55),0)</f>
        <v/>
      </c>
      <c r="BG1396">
        <f>IFERROR(INDEX(PP_Grid[#Data],$DE1396,56),0)</f>
        <v/>
      </c>
      <c r="BH1396">
        <f>IFERROR(INDEX(PP_Grid[#Data],$DE1396,57),0)</f>
        <v/>
      </c>
      <c r="BI1396">
        <f>IFERROR(INDEX(PP_Grid[#Data],$DE1396,58),0)</f>
        <v/>
      </c>
      <c r="BJ1396">
        <f>IFERROR(INDEX(PP_Grid[#Data],$DE1396,59),0)</f>
        <v/>
      </c>
      <c r="BK1396">
        <f>IFERROR(INDEX(PP_Grid[#Data],$DE1396,60),0)</f>
        <v/>
      </c>
      <c r="BL1396">
        <f>IFERROR(INDEX(PP_Grid[#Data],$DE1396,61),0)</f>
        <v/>
      </c>
      <c r="BM1396">
        <f>IFERROR(INDEX(PP_Grid[#Data],$DE1396,62),0)</f>
        <v/>
      </c>
      <c r="BN1396">
        <f>IFERROR(INDEX(PP_Grid[#Data],$DE1396,63),0)</f>
        <v/>
      </c>
      <c r="BO1396">
        <f>IFERROR(INDEX(PP_Grid[#Data],$DE1396,64),0)</f>
        <v/>
      </c>
      <c r="BP1396">
        <f>IFERROR(INDEX(PP_Grid[#Data],$DE1396,65),0)</f>
        <v/>
      </c>
      <c r="BQ1396">
        <f>IFERROR(INDEX(PP_Grid[#Data],$DE1396,66),0)</f>
        <v/>
      </c>
      <c r="BR1396">
        <f>IFERROR(INDEX(PP_Grid[#Data],$DE1396,67),0)</f>
        <v/>
      </c>
      <c r="BS1396">
        <f>IFERROR(INDEX(PP_Grid[#Data],$DE1396,68),0)</f>
        <v/>
      </c>
      <c r="BT1396">
        <f>IFERROR(INDEX(PP_Grid[#Data],$DE1396,69),0)</f>
        <v/>
      </c>
      <c r="BU1396">
        <f>IFERROR(INDEX(PP_Grid[#Data],$DE1396,70),0)</f>
        <v/>
      </c>
      <c r="BV1396">
        <f>IFERROR(INDEX(PP_Grid[#Data],$DE1396,71),0)</f>
        <v/>
      </c>
      <c r="BW1396">
        <f>IFERROR(INDEX(PP_Grid[#Data],$DE1396,72),0)</f>
        <v/>
      </c>
      <c r="BX1396">
        <f>IFERROR(INDEX(PP_Grid[#Data],$DE1396,73),0)</f>
        <v/>
      </c>
      <c r="BY1396">
        <f>IFERROR(INDEX(PP_Grid[#Data],$DE1396,74),0)</f>
        <v/>
      </c>
      <c r="BZ1396">
        <f>IFERROR(INDEX(PP_Grid[#Data],$DE1396,75),0)</f>
        <v/>
      </c>
      <c r="CA1396">
        <f>IFERROR(INDEX(PP_Grid[#Data],$DE1396,76),0)</f>
        <v/>
      </c>
      <c r="CB1396">
        <f>IFERROR(INDEX(PP_Grid[#Data],$DE1396,77),0)</f>
        <v/>
      </c>
      <c r="CC1396">
        <f>IFERROR(INDEX(PP_Grid[#Data],$DE1396,78),0)</f>
        <v/>
      </c>
      <c r="CD1396">
        <f>IFERROR(INDEX(PP_Grid[#Data],$DE1396,79),0)</f>
        <v/>
      </c>
      <c r="CE1396">
        <f>IFERROR(INDEX(PP_Grid[#Data],$DE1396,80),0)</f>
        <v/>
      </c>
      <c r="CF1396">
        <f>IFERROR(INDEX(PP_Grid[#Data],$DE1396,81),0)</f>
        <v/>
      </c>
      <c r="CG1396">
        <f>IFERROR(INDEX(PP_Grid[#Data],$DE1396,82),0)</f>
        <v/>
      </c>
      <c r="CH1396">
        <f>IFERROR(INDEX(PP_Grid[#Data],$DE1396,83),0)</f>
        <v/>
      </c>
      <c r="CI1396">
        <f>IFERROR(INDEX(PP_Grid[#Data],$DE1396,84),0)</f>
        <v/>
      </c>
      <c r="CJ1396">
        <f>IFERROR(INDEX(PP_Grid[#Data],$DE1396,85),0)</f>
        <v/>
      </c>
      <c r="CK1396">
        <f>IFERROR(INDEX(PP_Grid[#Data],$DE1396,86),0)</f>
        <v/>
      </c>
      <c r="CL1396">
        <f>IFERROR(INDEX(PP_Grid[#Data],$DE1396,87),0)</f>
        <v/>
      </c>
      <c r="CM1396">
        <f>IFERROR(INDEX(PP_Grid[#Data],$DE1396,88),0)</f>
        <v/>
      </c>
      <c r="CN1396">
        <f>IFERROR(INDEX(PP_Grid[#Data],$DE1396,89),0)</f>
        <v/>
      </c>
      <c r="CO1396">
        <f>IFERROR(INDEX(PP_Grid[#Data],$DE1396,90),0)</f>
        <v/>
      </c>
      <c r="CP1396">
        <f>IFERROR(INDEX(PP_Grid[#Data],$DE1396,91),0)</f>
        <v/>
      </c>
      <c r="CQ1396">
        <f>IFERROR(INDEX(PP_Grid[#Data],$DE1396,92),0)</f>
        <v/>
      </c>
      <c r="CR1396">
        <f>IFERROR(INDEX(PP_Grid[#Data],$DE1396,93),0)</f>
        <v/>
      </c>
      <c r="CS1396">
        <f>IFERROR(INDEX(PP_Grid[#Data],$DE1396,94),0)</f>
        <v/>
      </c>
      <c r="CT1396">
        <f>IFERROR(INDEX(PP_Grid[#Data],$DE1396,95),0)</f>
        <v/>
      </c>
      <c r="CU1396">
        <f>IFERROR(INDEX(PP_Grid[#Data],$DE1396,96),0)</f>
        <v/>
      </c>
      <c r="CV1396">
        <f>IFERROR(INDEX(PP_Grid[#Data],$DE1396,97),0)</f>
        <v/>
      </c>
      <c r="CW1396">
        <f>IFERROR(INDEX(PP_Grid[#Data],$DE1396,98),0)</f>
        <v/>
      </c>
      <c r="CX1396">
        <f>IFERROR(INDEX(PP_Grid[#Data],$DE1396,99),0)</f>
        <v/>
      </c>
      <c r="CY1396">
        <f>IFERROR(INDEX(PP_Grid[#Data],$DE1396,100),0)</f>
        <v/>
      </c>
      <c r="CZ1396">
        <f>IFERROR(INDEX(PP_Grid[#Data],$DE1396,101),0)</f>
        <v/>
      </c>
      <c r="DA1396">
        <f>IFERROR(INDEX(PP_Grid[#Data],$DE1396,102),0)</f>
        <v/>
      </c>
      <c r="DB1396">
        <f>IFERROR(INDEX(PP_Grid[#Data],$DE1396,103),0)</f>
        <v/>
      </c>
      <c r="DC1396">
        <f>IFERROR(INDEX(PP_Grid[#Data],$DE1396,104),0)</f>
        <v/>
      </c>
      <c r="DD1396">
        <f>IFERROR(INDEX(PP_Grid[#Data],$DE1396,105),0)</f>
        <v/>
      </c>
      <c r="DE1396" s="7">
        <f>IFERROR(MATCH($B1396,PP_Grid[Intermediate],0),99999)</f>
        <v/>
      </c>
    </row>
    <row r="1397">
      <c r="B1397" t="inlineStr">
        <is>
          <t>使用量(kg)</t>
        </is>
      </c>
      <c r="C1397">
        <f>SUMIFS(M_BOM[RM_Qty_Per_Batch],M_BOM[Intermediate],$B1396,M_BOM[RM_Code],$A1393)</f>
        <v/>
      </c>
      <c r="D1397">
        <f>IFERROR(INDEX(E1397:DD1397,$F$1),"")</f>
        <v/>
      </c>
      <c r="E1397">
        <f>$C1397*E1396</f>
        <v/>
      </c>
      <c r="F1397">
        <f>$C1397*F1396</f>
        <v/>
      </c>
      <c r="G1397">
        <f>$C1397*G1396</f>
        <v/>
      </c>
      <c r="H1397">
        <f>$C1397*H1396</f>
        <v/>
      </c>
      <c r="I1397">
        <f>$C1397*I1396</f>
        <v/>
      </c>
      <c r="J1397">
        <f>$C1397*J1396</f>
        <v/>
      </c>
      <c r="K1397">
        <f>$C1397*K1396</f>
        <v/>
      </c>
      <c r="L1397">
        <f>$C1397*L1396</f>
        <v/>
      </c>
      <c r="M1397">
        <f>$C1397*M1396</f>
        <v/>
      </c>
      <c r="N1397">
        <f>$C1397*N1396</f>
        <v/>
      </c>
      <c r="O1397">
        <f>$C1397*O1396</f>
        <v/>
      </c>
      <c r="P1397">
        <f>$C1397*P1396</f>
        <v/>
      </c>
      <c r="Q1397">
        <f>$C1397*Q1396</f>
        <v/>
      </c>
      <c r="R1397">
        <f>$C1397*R1396</f>
        <v/>
      </c>
      <c r="S1397">
        <f>$C1397*S1396</f>
        <v/>
      </c>
      <c r="T1397">
        <f>$C1397*T1396</f>
        <v/>
      </c>
      <c r="U1397">
        <f>$C1397*U1396</f>
        <v/>
      </c>
      <c r="V1397">
        <f>$C1397*V1396</f>
        <v/>
      </c>
      <c r="W1397">
        <f>$C1397*W1396</f>
        <v/>
      </c>
      <c r="X1397">
        <f>$C1397*X1396</f>
        <v/>
      </c>
      <c r="Y1397">
        <f>$C1397*Y1396</f>
        <v/>
      </c>
      <c r="Z1397">
        <f>$C1397*Z1396</f>
        <v/>
      </c>
      <c r="AA1397">
        <f>$C1397*AA1396</f>
        <v/>
      </c>
      <c r="AB1397">
        <f>$C1397*AB1396</f>
        <v/>
      </c>
      <c r="AC1397">
        <f>$C1397*AC1396</f>
        <v/>
      </c>
      <c r="AD1397">
        <f>$C1397*AD1396</f>
        <v/>
      </c>
      <c r="AE1397">
        <f>$C1397*AE1396</f>
        <v/>
      </c>
      <c r="AF1397">
        <f>$C1397*AF1396</f>
        <v/>
      </c>
      <c r="AG1397">
        <f>$C1397*AG1396</f>
        <v/>
      </c>
      <c r="AH1397">
        <f>$C1397*AH1396</f>
        <v/>
      </c>
      <c r="AI1397">
        <f>$C1397*AI1396</f>
        <v/>
      </c>
      <c r="AJ1397">
        <f>$C1397*AJ1396</f>
        <v/>
      </c>
      <c r="AK1397">
        <f>$C1397*AK1396</f>
        <v/>
      </c>
      <c r="AL1397">
        <f>$C1397*AL1396</f>
        <v/>
      </c>
      <c r="AM1397">
        <f>$C1397*AM1396</f>
        <v/>
      </c>
      <c r="AN1397">
        <f>$C1397*AN1396</f>
        <v/>
      </c>
      <c r="AO1397">
        <f>$C1397*AO1396</f>
        <v/>
      </c>
      <c r="AP1397">
        <f>$C1397*AP1396</f>
        <v/>
      </c>
      <c r="AQ1397">
        <f>$C1397*AQ1396</f>
        <v/>
      </c>
      <c r="AR1397">
        <f>$C1397*AR1396</f>
        <v/>
      </c>
      <c r="AS1397">
        <f>$C1397*AS1396</f>
        <v/>
      </c>
      <c r="AT1397">
        <f>$C1397*AT1396</f>
        <v/>
      </c>
      <c r="AU1397">
        <f>$C1397*AU1396</f>
        <v/>
      </c>
      <c r="AV1397">
        <f>$C1397*AV1396</f>
        <v/>
      </c>
      <c r="AW1397">
        <f>$C1397*AW1396</f>
        <v/>
      </c>
      <c r="AX1397">
        <f>$C1397*AX1396</f>
        <v/>
      </c>
      <c r="AY1397">
        <f>$C1397*AY1396</f>
        <v/>
      </c>
      <c r="AZ1397">
        <f>$C1397*AZ1396</f>
        <v/>
      </c>
      <c r="BA1397">
        <f>$C1397*BA1396</f>
        <v/>
      </c>
      <c r="BB1397">
        <f>$C1397*BB1396</f>
        <v/>
      </c>
      <c r="BC1397">
        <f>$C1397*BC1396</f>
        <v/>
      </c>
      <c r="BD1397">
        <f>$C1397*BD1396</f>
        <v/>
      </c>
      <c r="BE1397">
        <f>$C1397*BE1396</f>
        <v/>
      </c>
      <c r="BF1397">
        <f>$C1397*BF1396</f>
        <v/>
      </c>
      <c r="BG1397">
        <f>$C1397*BG1396</f>
        <v/>
      </c>
      <c r="BH1397">
        <f>$C1397*BH1396</f>
        <v/>
      </c>
      <c r="BI1397">
        <f>$C1397*BI1396</f>
        <v/>
      </c>
      <c r="BJ1397">
        <f>$C1397*BJ1396</f>
        <v/>
      </c>
      <c r="BK1397">
        <f>$C1397*BK1396</f>
        <v/>
      </c>
      <c r="BL1397">
        <f>$C1397*BL1396</f>
        <v/>
      </c>
      <c r="BM1397">
        <f>$C1397*BM1396</f>
        <v/>
      </c>
      <c r="BN1397">
        <f>$C1397*BN1396</f>
        <v/>
      </c>
      <c r="BO1397">
        <f>$C1397*BO1396</f>
        <v/>
      </c>
      <c r="BP1397">
        <f>$C1397*BP1396</f>
        <v/>
      </c>
      <c r="BQ1397">
        <f>$C1397*BQ1396</f>
        <v/>
      </c>
      <c r="BR1397">
        <f>$C1397*BR1396</f>
        <v/>
      </c>
      <c r="BS1397">
        <f>$C1397*BS1396</f>
        <v/>
      </c>
      <c r="BT1397">
        <f>$C1397*BT1396</f>
        <v/>
      </c>
      <c r="BU1397">
        <f>$C1397*BU1396</f>
        <v/>
      </c>
      <c r="BV1397">
        <f>$C1397*BV1396</f>
        <v/>
      </c>
      <c r="BW1397">
        <f>$C1397*BW1396</f>
        <v/>
      </c>
      <c r="BX1397">
        <f>$C1397*BX1396</f>
        <v/>
      </c>
      <c r="BY1397">
        <f>$C1397*BY1396</f>
        <v/>
      </c>
      <c r="BZ1397">
        <f>$C1397*BZ1396</f>
        <v/>
      </c>
      <c r="CA1397">
        <f>$C1397*CA1396</f>
        <v/>
      </c>
      <c r="CB1397">
        <f>$C1397*CB1396</f>
        <v/>
      </c>
      <c r="CC1397">
        <f>$C1397*CC1396</f>
        <v/>
      </c>
      <c r="CD1397">
        <f>$C1397*CD1396</f>
        <v/>
      </c>
      <c r="CE1397">
        <f>$C1397*CE1396</f>
        <v/>
      </c>
      <c r="CF1397">
        <f>$C1397*CF1396</f>
        <v/>
      </c>
      <c r="CG1397">
        <f>$C1397*CG1396</f>
        <v/>
      </c>
      <c r="CH1397">
        <f>$C1397*CH1396</f>
        <v/>
      </c>
      <c r="CI1397">
        <f>$C1397*CI1396</f>
        <v/>
      </c>
      <c r="CJ1397">
        <f>$C1397*CJ1396</f>
        <v/>
      </c>
      <c r="CK1397">
        <f>$C1397*CK1396</f>
        <v/>
      </c>
      <c r="CL1397">
        <f>$C1397*CL1396</f>
        <v/>
      </c>
      <c r="CM1397">
        <f>$C1397*CM1396</f>
        <v/>
      </c>
      <c r="CN1397">
        <f>$C1397*CN1396</f>
        <v/>
      </c>
      <c r="CO1397">
        <f>$C1397*CO1396</f>
        <v/>
      </c>
      <c r="CP1397">
        <f>$C1397*CP1396</f>
        <v/>
      </c>
      <c r="CQ1397">
        <f>$C1397*CQ1396</f>
        <v/>
      </c>
      <c r="CR1397">
        <f>$C1397*CR1396</f>
        <v/>
      </c>
      <c r="CS1397">
        <f>$C1397*CS1396</f>
        <v/>
      </c>
      <c r="CT1397">
        <f>$C1397*CT1396</f>
        <v/>
      </c>
      <c r="CU1397">
        <f>$C1397*CU1396</f>
        <v/>
      </c>
      <c r="CV1397">
        <f>$C1397*CV1396</f>
        <v/>
      </c>
      <c r="CW1397">
        <f>$C1397*CW1396</f>
        <v/>
      </c>
      <c r="CX1397">
        <f>$C1397*CX1396</f>
        <v/>
      </c>
      <c r="CY1397">
        <f>$C1397*CY1396</f>
        <v/>
      </c>
      <c r="CZ1397">
        <f>$C1397*CZ1396</f>
        <v/>
      </c>
      <c r="DA1397">
        <f>$C1397*DA1396</f>
        <v/>
      </c>
      <c r="DB1397">
        <f>$C1397*DB1396</f>
        <v/>
      </c>
      <c r="DC1397">
        <f>$C1397*DC1396</f>
        <v/>
      </c>
      <c r="DD1397">
        <f>$C1397*DD1396</f>
        <v/>
      </c>
    </row>
    <row r="1398">
      <c r="B1398" t="inlineStr">
        <is>
          <t>TSP-929</t>
        </is>
      </c>
      <c r="C1398" t="inlineStr">
        <is>
          <t>No. of batches</t>
        </is>
      </c>
      <c r="D1398">
        <f>IFERROR(INDEX(E1398:DD1398,$F$1),"")</f>
        <v/>
      </c>
      <c r="E1398">
        <f>IFERROR(INDEX(PP_Grid[#Data],$DE1398,2),0)</f>
        <v/>
      </c>
      <c r="F1398">
        <f>IFERROR(INDEX(PP_Grid[#Data],$DE1398,3),0)</f>
        <v/>
      </c>
      <c r="G1398">
        <f>IFERROR(INDEX(PP_Grid[#Data],$DE1398,4),0)</f>
        <v/>
      </c>
      <c r="H1398">
        <f>IFERROR(INDEX(PP_Grid[#Data],$DE1398,5),0)</f>
        <v/>
      </c>
      <c r="I1398">
        <f>IFERROR(INDEX(PP_Grid[#Data],$DE1398,6),0)</f>
        <v/>
      </c>
      <c r="J1398">
        <f>IFERROR(INDEX(PP_Grid[#Data],$DE1398,7),0)</f>
        <v/>
      </c>
      <c r="K1398">
        <f>IFERROR(INDEX(PP_Grid[#Data],$DE1398,8),0)</f>
        <v/>
      </c>
      <c r="L1398">
        <f>IFERROR(INDEX(PP_Grid[#Data],$DE1398,9),0)</f>
        <v/>
      </c>
      <c r="M1398">
        <f>IFERROR(INDEX(PP_Grid[#Data],$DE1398,10),0)</f>
        <v/>
      </c>
      <c r="N1398">
        <f>IFERROR(INDEX(PP_Grid[#Data],$DE1398,11),0)</f>
        <v/>
      </c>
      <c r="O1398">
        <f>IFERROR(INDEX(PP_Grid[#Data],$DE1398,12),0)</f>
        <v/>
      </c>
      <c r="P1398">
        <f>IFERROR(INDEX(PP_Grid[#Data],$DE1398,13),0)</f>
        <v/>
      </c>
      <c r="Q1398">
        <f>IFERROR(INDEX(PP_Grid[#Data],$DE1398,14),0)</f>
        <v/>
      </c>
      <c r="R1398">
        <f>IFERROR(INDEX(PP_Grid[#Data],$DE1398,15),0)</f>
        <v/>
      </c>
      <c r="S1398">
        <f>IFERROR(INDEX(PP_Grid[#Data],$DE1398,16),0)</f>
        <v/>
      </c>
      <c r="T1398">
        <f>IFERROR(INDEX(PP_Grid[#Data],$DE1398,17),0)</f>
        <v/>
      </c>
      <c r="U1398">
        <f>IFERROR(INDEX(PP_Grid[#Data],$DE1398,18),0)</f>
        <v/>
      </c>
      <c r="V1398">
        <f>IFERROR(INDEX(PP_Grid[#Data],$DE1398,19),0)</f>
        <v/>
      </c>
      <c r="W1398">
        <f>IFERROR(INDEX(PP_Grid[#Data],$DE1398,20),0)</f>
        <v/>
      </c>
      <c r="X1398">
        <f>IFERROR(INDEX(PP_Grid[#Data],$DE1398,21),0)</f>
        <v/>
      </c>
      <c r="Y1398">
        <f>IFERROR(INDEX(PP_Grid[#Data],$DE1398,22),0)</f>
        <v/>
      </c>
      <c r="Z1398">
        <f>IFERROR(INDEX(PP_Grid[#Data],$DE1398,23),0)</f>
        <v/>
      </c>
      <c r="AA1398">
        <f>IFERROR(INDEX(PP_Grid[#Data],$DE1398,24),0)</f>
        <v/>
      </c>
      <c r="AB1398">
        <f>IFERROR(INDEX(PP_Grid[#Data],$DE1398,25),0)</f>
        <v/>
      </c>
      <c r="AC1398">
        <f>IFERROR(INDEX(PP_Grid[#Data],$DE1398,26),0)</f>
        <v/>
      </c>
      <c r="AD1398">
        <f>IFERROR(INDEX(PP_Grid[#Data],$DE1398,27),0)</f>
        <v/>
      </c>
      <c r="AE1398">
        <f>IFERROR(INDEX(PP_Grid[#Data],$DE1398,28),0)</f>
        <v/>
      </c>
      <c r="AF1398">
        <f>IFERROR(INDEX(PP_Grid[#Data],$DE1398,29),0)</f>
        <v/>
      </c>
      <c r="AG1398">
        <f>IFERROR(INDEX(PP_Grid[#Data],$DE1398,30),0)</f>
        <v/>
      </c>
      <c r="AH1398">
        <f>IFERROR(INDEX(PP_Grid[#Data],$DE1398,31),0)</f>
        <v/>
      </c>
      <c r="AI1398">
        <f>IFERROR(INDEX(PP_Grid[#Data],$DE1398,32),0)</f>
        <v/>
      </c>
      <c r="AJ1398">
        <f>IFERROR(INDEX(PP_Grid[#Data],$DE1398,33),0)</f>
        <v/>
      </c>
      <c r="AK1398">
        <f>IFERROR(INDEX(PP_Grid[#Data],$DE1398,34),0)</f>
        <v/>
      </c>
      <c r="AL1398">
        <f>IFERROR(INDEX(PP_Grid[#Data],$DE1398,35),0)</f>
        <v/>
      </c>
      <c r="AM1398">
        <f>IFERROR(INDEX(PP_Grid[#Data],$DE1398,36),0)</f>
        <v/>
      </c>
      <c r="AN1398">
        <f>IFERROR(INDEX(PP_Grid[#Data],$DE1398,37),0)</f>
        <v/>
      </c>
      <c r="AO1398">
        <f>IFERROR(INDEX(PP_Grid[#Data],$DE1398,38),0)</f>
        <v/>
      </c>
      <c r="AP1398">
        <f>IFERROR(INDEX(PP_Grid[#Data],$DE1398,39),0)</f>
        <v/>
      </c>
      <c r="AQ1398">
        <f>IFERROR(INDEX(PP_Grid[#Data],$DE1398,40),0)</f>
        <v/>
      </c>
      <c r="AR1398">
        <f>IFERROR(INDEX(PP_Grid[#Data],$DE1398,41),0)</f>
        <v/>
      </c>
      <c r="AS1398">
        <f>IFERROR(INDEX(PP_Grid[#Data],$DE1398,42),0)</f>
        <v/>
      </c>
      <c r="AT1398">
        <f>IFERROR(INDEX(PP_Grid[#Data],$DE1398,43),0)</f>
        <v/>
      </c>
      <c r="AU1398">
        <f>IFERROR(INDEX(PP_Grid[#Data],$DE1398,44),0)</f>
        <v/>
      </c>
      <c r="AV1398">
        <f>IFERROR(INDEX(PP_Grid[#Data],$DE1398,45),0)</f>
        <v/>
      </c>
      <c r="AW1398">
        <f>IFERROR(INDEX(PP_Grid[#Data],$DE1398,46),0)</f>
        <v/>
      </c>
      <c r="AX1398">
        <f>IFERROR(INDEX(PP_Grid[#Data],$DE1398,47),0)</f>
        <v/>
      </c>
      <c r="AY1398">
        <f>IFERROR(INDEX(PP_Grid[#Data],$DE1398,48),0)</f>
        <v/>
      </c>
      <c r="AZ1398">
        <f>IFERROR(INDEX(PP_Grid[#Data],$DE1398,49),0)</f>
        <v/>
      </c>
      <c r="BA1398">
        <f>IFERROR(INDEX(PP_Grid[#Data],$DE1398,50),0)</f>
        <v/>
      </c>
      <c r="BB1398">
        <f>IFERROR(INDEX(PP_Grid[#Data],$DE1398,51),0)</f>
        <v/>
      </c>
      <c r="BC1398">
        <f>IFERROR(INDEX(PP_Grid[#Data],$DE1398,52),0)</f>
        <v/>
      </c>
      <c r="BD1398">
        <f>IFERROR(INDEX(PP_Grid[#Data],$DE1398,53),0)</f>
        <v/>
      </c>
      <c r="BE1398">
        <f>IFERROR(INDEX(PP_Grid[#Data],$DE1398,54),0)</f>
        <v/>
      </c>
      <c r="BF1398">
        <f>IFERROR(INDEX(PP_Grid[#Data],$DE1398,55),0)</f>
        <v/>
      </c>
      <c r="BG1398">
        <f>IFERROR(INDEX(PP_Grid[#Data],$DE1398,56),0)</f>
        <v/>
      </c>
      <c r="BH1398">
        <f>IFERROR(INDEX(PP_Grid[#Data],$DE1398,57),0)</f>
        <v/>
      </c>
      <c r="BI1398">
        <f>IFERROR(INDEX(PP_Grid[#Data],$DE1398,58),0)</f>
        <v/>
      </c>
      <c r="BJ1398">
        <f>IFERROR(INDEX(PP_Grid[#Data],$DE1398,59),0)</f>
        <v/>
      </c>
      <c r="BK1398">
        <f>IFERROR(INDEX(PP_Grid[#Data],$DE1398,60),0)</f>
        <v/>
      </c>
      <c r="BL1398">
        <f>IFERROR(INDEX(PP_Grid[#Data],$DE1398,61),0)</f>
        <v/>
      </c>
      <c r="BM1398">
        <f>IFERROR(INDEX(PP_Grid[#Data],$DE1398,62),0)</f>
        <v/>
      </c>
      <c r="BN1398">
        <f>IFERROR(INDEX(PP_Grid[#Data],$DE1398,63),0)</f>
        <v/>
      </c>
      <c r="BO1398">
        <f>IFERROR(INDEX(PP_Grid[#Data],$DE1398,64),0)</f>
        <v/>
      </c>
      <c r="BP1398">
        <f>IFERROR(INDEX(PP_Grid[#Data],$DE1398,65),0)</f>
        <v/>
      </c>
      <c r="BQ1398">
        <f>IFERROR(INDEX(PP_Grid[#Data],$DE1398,66),0)</f>
        <v/>
      </c>
      <c r="BR1398">
        <f>IFERROR(INDEX(PP_Grid[#Data],$DE1398,67),0)</f>
        <v/>
      </c>
      <c r="BS1398">
        <f>IFERROR(INDEX(PP_Grid[#Data],$DE1398,68),0)</f>
        <v/>
      </c>
      <c r="BT1398">
        <f>IFERROR(INDEX(PP_Grid[#Data],$DE1398,69),0)</f>
        <v/>
      </c>
      <c r="BU1398">
        <f>IFERROR(INDEX(PP_Grid[#Data],$DE1398,70),0)</f>
        <v/>
      </c>
      <c r="BV1398">
        <f>IFERROR(INDEX(PP_Grid[#Data],$DE1398,71),0)</f>
        <v/>
      </c>
      <c r="BW1398">
        <f>IFERROR(INDEX(PP_Grid[#Data],$DE1398,72),0)</f>
        <v/>
      </c>
      <c r="BX1398">
        <f>IFERROR(INDEX(PP_Grid[#Data],$DE1398,73),0)</f>
        <v/>
      </c>
      <c r="BY1398">
        <f>IFERROR(INDEX(PP_Grid[#Data],$DE1398,74),0)</f>
        <v/>
      </c>
      <c r="BZ1398">
        <f>IFERROR(INDEX(PP_Grid[#Data],$DE1398,75),0)</f>
        <v/>
      </c>
      <c r="CA1398">
        <f>IFERROR(INDEX(PP_Grid[#Data],$DE1398,76),0)</f>
        <v/>
      </c>
      <c r="CB1398">
        <f>IFERROR(INDEX(PP_Grid[#Data],$DE1398,77),0)</f>
        <v/>
      </c>
      <c r="CC1398">
        <f>IFERROR(INDEX(PP_Grid[#Data],$DE1398,78),0)</f>
        <v/>
      </c>
      <c r="CD1398">
        <f>IFERROR(INDEX(PP_Grid[#Data],$DE1398,79),0)</f>
        <v/>
      </c>
      <c r="CE1398">
        <f>IFERROR(INDEX(PP_Grid[#Data],$DE1398,80),0)</f>
        <v/>
      </c>
      <c r="CF1398">
        <f>IFERROR(INDEX(PP_Grid[#Data],$DE1398,81),0)</f>
        <v/>
      </c>
      <c r="CG1398">
        <f>IFERROR(INDEX(PP_Grid[#Data],$DE1398,82),0)</f>
        <v/>
      </c>
      <c r="CH1398">
        <f>IFERROR(INDEX(PP_Grid[#Data],$DE1398,83),0)</f>
        <v/>
      </c>
      <c r="CI1398">
        <f>IFERROR(INDEX(PP_Grid[#Data],$DE1398,84),0)</f>
        <v/>
      </c>
      <c r="CJ1398">
        <f>IFERROR(INDEX(PP_Grid[#Data],$DE1398,85),0)</f>
        <v/>
      </c>
      <c r="CK1398">
        <f>IFERROR(INDEX(PP_Grid[#Data],$DE1398,86),0)</f>
        <v/>
      </c>
      <c r="CL1398">
        <f>IFERROR(INDEX(PP_Grid[#Data],$DE1398,87),0)</f>
        <v/>
      </c>
      <c r="CM1398">
        <f>IFERROR(INDEX(PP_Grid[#Data],$DE1398,88),0)</f>
        <v/>
      </c>
      <c r="CN1398">
        <f>IFERROR(INDEX(PP_Grid[#Data],$DE1398,89),0)</f>
        <v/>
      </c>
      <c r="CO1398">
        <f>IFERROR(INDEX(PP_Grid[#Data],$DE1398,90),0)</f>
        <v/>
      </c>
      <c r="CP1398">
        <f>IFERROR(INDEX(PP_Grid[#Data],$DE1398,91),0)</f>
        <v/>
      </c>
      <c r="CQ1398">
        <f>IFERROR(INDEX(PP_Grid[#Data],$DE1398,92),0)</f>
        <v/>
      </c>
      <c r="CR1398">
        <f>IFERROR(INDEX(PP_Grid[#Data],$DE1398,93),0)</f>
        <v/>
      </c>
      <c r="CS1398">
        <f>IFERROR(INDEX(PP_Grid[#Data],$DE1398,94),0)</f>
        <v/>
      </c>
      <c r="CT1398">
        <f>IFERROR(INDEX(PP_Grid[#Data],$DE1398,95),0)</f>
        <v/>
      </c>
      <c r="CU1398">
        <f>IFERROR(INDEX(PP_Grid[#Data],$DE1398,96),0)</f>
        <v/>
      </c>
      <c r="CV1398">
        <f>IFERROR(INDEX(PP_Grid[#Data],$DE1398,97),0)</f>
        <v/>
      </c>
      <c r="CW1398">
        <f>IFERROR(INDEX(PP_Grid[#Data],$DE1398,98),0)</f>
        <v/>
      </c>
      <c r="CX1398">
        <f>IFERROR(INDEX(PP_Grid[#Data],$DE1398,99),0)</f>
        <v/>
      </c>
      <c r="CY1398">
        <f>IFERROR(INDEX(PP_Grid[#Data],$DE1398,100),0)</f>
        <v/>
      </c>
      <c r="CZ1398">
        <f>IFERROR(INDEX(PP_Grid[#Data],$DE1398,101),0)</f>
        <v/>
      </c>
      <c r="DA1398">
        <f>IFERROR(INDEX(PP_Grid[#Data],$DE1398,102),0)</f>
        <v/>
      </c>
      <c r="DB1398">
        <f>IFERROR(INDEX(PP_Grid[#Data],$DE1398,103),0)</f>
        <v/>
      </c>
      <c r="DC1398">
        <f>IFERROR(INDEX(PP_Grid[#Data],$DE1398,104),0)</f>
        <v/>
      </c>
      <c r="DD1398">
        <f>IFERROR(INDEX(PP_Grid[#Data],$DE1398,105),0)</f>
        <v/>
      </c>
      <c r="DE1398" s="7">
        <f>IFERROR(MATCH($B1398,PP_Grid[Intermediate],0),99999)</f>
        <v/>
      </c>
    </row>
    <row r="1399">
      <c r="B1399" t="inlineStr">
        <is>
          <t>使用量(kg)</t>
        </is>
      </c>
      <c r="C1399">
        <f>SUMIFS(M_BOM[RM_Qty_Per_Batch],M_BOM[Intermediate],$B1398,M_BOM[RM_Code],$A1393)</f>
        <v/>
      </c>
      <c r="D1399">
        <f>IFERROR(INDEX(E1399:DD1399,$F$1),"")</f>
        <v/>
      </c>
      <c r="E1399">
        <f>$C1399*E1398</f>
        <v/>
      </c>
      <c r="F1399">
        <f>$C1399*F1398</f>
        <v/>
      </c>
      <c r="G1399">
        <f>$C1399*G1398</f>
        <v/>
      </c>
      <c r="H1399">
        <f>$C1399*H1398</f>
        <v/>
      </c>
      <c r="I1399">
        <f>$C1399*I1398</f>
        <v/>
      </c>
      <c r="J1399">
        <f>$C1399*J1398</f>
        <v/>
      </c>
      <c r="K1399">
        <f>$C1399*K1398</f>
        <v/>
      </c>
      <c r="L1399">
        <f>$C1399*L1398</f>
        <v/>
      </c>
      <c r="M1399">
        <f>$C1399*M1398</f>
        <v/>
      </c>
      <c r="N1399">
        <f>$C1399*N1398</f>
        <v/>
      </c>
      <c r="O1399">
        <f>$C1399*O1398</f>
        <v/>
      </c>
      <c r="P1399">
        <f>$C1399*P1398</f>
        <v/>
      </c>
      <c r="Q1399">
        <f>$C1399*Q1398</f>
        <v/>
      </c>
      <c r="R1399">
        <f>$C1399*R1398</f>
        <v/>
      </c>
      <c r="S1399">
        <f>$C1399*S1398</f>
        <v/>
      </c>
      <c r="T1399">
        <f>$C1399*T1398</f>
        <v/>
      </c>
      <c r="U1399">
        <f>$C1399*U1398</f>
        <v/>
      </c>
      <c r="V1399">
        <f>$C1399*V1398</f>
        <v/>
      </c>
      <c r="W1399">
        <f>$C1399*W1398</f>
        <v/>
      </c>
      <c r="X1399">
        <f>$C1399*X1398</f>
        <v/>
      </c>
      <c r="Y1399">
        <f>$C1399*Y1398</f>
        <v/>
      </c>
      <c r="Z1399">
        <f>$C1399*Z1398</f>
        <v/>
      </c>
      <c r="AA1399">
        <f>$C1399*AA1398</f>
        <v/>
      </c>
      <c r="AB1399">
        <f>$C1399*AB1398</f>
        <v/>
      </c>
      <c r="AC1399">
        <f>$C1399*AC1398</f>
        <v/>
      </c>
      <c r="AD1399">
        <f>$C1399*AD1398</f>
        <v/>
      </c>
      <c r="AE1399">
        <f>$C1399*AE1398</f>
        <v/>
      </c>
      <c r="AF1399">
        <f>$C1399*AF1398</f>
        <v/>
      </c>
      <c r="AG1399">
        <f>$C1399*AG1398</f>
        <v/>
      </c>
      <c r="AH1399">
        <f>$C1399*AH1398</f>
        <v/>
      </c>
      <c r="AI1399">
        <f>$C1399*AI1398</f>
        <v/>
      </c>
      <c r="AJ1399">
        <f>$C1399*AJ1398</f>
        <v/>
      </c>
      <c r="AK1399">
        <f>$C1399*AK1398</f>
        <v/>
      </c>
      <c r="AL1399">
        <f>$C1399*AL1398</f>
        <v/>
      </c>
      <c r="AM1399">
        <f>$C1399*AM1398</f>
        <v/>
      </c>
      <c r="AN1399">
        <f>$C1399*AN1398</f>
        <v/>
      </c>
      <c r="AO1399">
        <f>$C1399*AO1398</f>
        <v/>
      </c>
      <c r="AP1399">
        <f>$C1399*AP1398</f>
        <v/>
      </c>
      <c r="AQ1399">
        <f>$C1399*AQ1398</f>
        <v/>
      </c>
      <c r="AR1399">
        <f>$C1399*AR1398</f>
        <v/>
      </c>
      <c r="AS1399">
        <f>$C1399*AS1398</f>
        <v/>
      </c>
      <c r="AT1399">
        <f>$C1399*AT1398</f>
        <v/>
      </c>
      <c r="AU1399">
        <f>$C1399*AU1398</f>
        <v/>
      </c>
      <c r="AV1399">
        <f>$C1399*AV1398</f>
        <v/>
      </c>
      <c r="AW1399">
        <f>$C1399*AW1398</f>
        <v/>
      </c>
      <c r="AX1399">
        <f>$C1399*AX1398</f>
        <v/>
      </c>
      <c r="AY1399">
        <f>$C1399*AY1398</f>
        <v/>
      </c>
      <c r="AZ1399">
        <f>$C1399*AZ1398</f>
        <v/>
      </c>
      <c r="BA1399">
        <f>$C1399*BA1398</f>
        <v/>
      </c>
      <c r="BB1399">
        <f>$C1399*BB1398</f>
        <v/>
      </c>
      <c r="BC1399">
        <f>$C1399*BC1398</f>
        <v/>
      </c>
      <c r="BD1399">
        <f>$C1399*BD1398</f>
        <v/>
      </c>
      <c r="BE1399">
        <f>$C1399*BE1398</f>
        <v/>
      </c>
      <c r="BF1399">
        <f>$C1399*BF1398</f>
        <v/>
      </c>
      <c r="BG1399">
        <f>$C1399*BG1398</f>
        <v/>
      </c>
      <c r="BH1399">
        <f>$C1399*BH1398</f>
        <v/>
      </c>
      <c r="BI1399">
        <f>$C1399*BI1398</f>
        <v/>
      </c>
      <c r="BJ1399">
        <f>$C1399*BJ1398</f>
        <v/>
      </c>
      <c r="BK1399">
        <f>$C1399*BK1398</f>
        <v/>
      </c>
      <c r="BL1399">
        <f>$C1399*BL1398</f>
        <v/>
      </c>
      <c r="BM1399">
        <f>$C1399*BM1398</f>
        <v/>
      </c>
      <c r="BN1399">
        <f>$C1399*BN1398</f>
        <v/>
      </c>
      <c r="BO1399">
        <f>$C1399*BO1398</f>
        <v/>
      </c>
      <c r="BP1399">
        <f>$C1399*BP1398</f>
        <v/>
      </c>
      <c r="BQ1399">
        <f>$C1399*BQ1398</f>
        <v/>
      </c>
      <c r="BR1399">
        <f>$C1399*BR1398</f>
        <v/>
      </c>
      <c r="BS1399">
        <f>$C1399*BS1398</f>
        <v/>
      </c>
      <c r="BT1399">
        <f>$C1399*BT1398</f>
        <v/>
      </c>
      <c r="BU1399">
        <f>$C1399*BU1398</f>
        <v/>
      </c>
      <c r="BV1399">
        <f>$C1399*BV1398</f>
        <v/>
      </c>
      <c r="BW1399">
        <f>$C1399*BW1398</f>
        <v/>
      </c>
      <c r="BX1399">
        <f>$C1399*BX1398</f>
        <v/>
      </c>
      <c r="BY1399">
        <f>$C1399*BY1398</f>
        <v/>
      </c>
      <c r="BZ1399">
        <f>$C1399*BZ1398</f>
        <v/>
      </c>
      <c r="CA1399">
        <f>$C1399*CA1398</f>
        <v/>
      </c>
      <c r="CB1399">
        <f>$C1399*CB1398</f>
        <v/>
      </c>
      <c r="CC1399">
        <f>$C1399*CC1398</f>
        <v/>
      </c>
      <c r="CD1399">
        <f>$C1399*CD1398</f>
        <v/>
      </c>
      <c r="CE1399">
        <f>$C1399*CE1398</f>
        <v/>
      </c>
      <c r="CF1399">
        <f>$C1399*CF1398</f>
        <v/>
      </c>
      <c r="CG1399">
        <f>$C1399*CG1398</f>
        <v/>
      </c>
      <c r="CH1399">
        <f>$C1399*CH1398</f>
        <v/>
      </c>
      <c r="CI1399">
        <f>$C1399*CI1398</f>
        <v/>
      </c>
      <c r="CJ1399">
        <f>$C1399*CJ1398</f>
        <v/>
      </c>
      <c r="CK1399">
        <f>$C1399*CK1398</f>
        <v/>
      </c>
      <c r="CL1399">
        <f>$C1399*CL1398</f>
        <v/>
      </c>
      <c r="CM1399">
        <f>$C1399*CM1398</f>
        <v/>
      </c>
      <c r="CN1399">
        <f>$C1399*CN1398</f>
        <v/>
      </c>
      <c r="CO1399">
        <f>$C1399*CO1398</f>
        <v/>
      </c>
      <c r="CP1399">
        <f>$C1399*CP1398</f>
        <v/>
      </c>
      <c r="CQ1399">
        <f>$C1399*CQ1398</f>
        <v/>
      </c>
      <c r="CR1399">
        <f>$C1399*CR1398</f>
        <v/>
      </c>
      <c r="CS1399">
        <f>$C1399*CS1398</f>
        <v/>
      </c>
      <c r="CT1399">
        <f>$C1399*CT1398</f>
        <v/>
      </c>
      <c r="CU1399">
        <f>$C1399*CU1398</f>
        <v/>
      </c>
      <c r="CV1399">
        <f>$C1399*CV1398</f>
        <v/>
      </c>
      <c r="CW1399">
        <f>$C1399*CW1398</f>
        <v/>
      </c>
      <c r="CX1399">
        <f>$C1399*CX1398</f>
        <v/>
      </c>
      <c r="CY1399">
        <f>$C1399*CY1398</f>
        <v/>
      </c>
      <c r="CZ1399">
        <f>$C1399*CZ1398</f>
        <v/>
      </c>
      <c r="DA1399">
        <f>$C1399*DA1398</f>
        <v/>
      </c>
      <c r="DB1399">
        <f>$C1399*DB1398</f>
        <v/>
      </c>
      <c r="DC1399">
        <f>$C1399*DC1398</f>
        <v/>
      </c>
      <c r="DD1399">
        <f>$C1399*DD1398</f>
        <v/>
      </c>
    </row>
    <row r="1400">
      <c r="B1400" t="inlineStr">
        <is>
          <t>TSP-930</t>
        </is>
      </c>
      <c r="C1400" t="inlineStr">
        <is>
          <t>No. of batches</t>
        </is>
      </c>
      <c r="D1400">
        <f>IFERROR(INDEX(E1400:DD1400,$F$1),"")</f>
        <v/>
      </c>
      <c r="E1400">
        <f>IFERROR(INDEX(PP_Grid[#Data],$DE1400,2),0)</f>
        <v/>
      </c>
      <c r="F1400">
        <f>IFERROR(INDEX(PP_Grid[#Data],$DE1400,3),0)</f>
        <v/>
      </c>
      <c r="G1400">
        <f>IFERROR(INDEX(PP_Grid[#Data],$DE1400,4),0)</f>
        <v/>
      </c>
      <c r="H1400">
        <f>IFERROR(INDEX(PP_Grid[#Data],$DE1400,5),0)</f>
        <v/>
      </c>
      <c r="I1400">
        <f>IFERROR(INDEX(PP_Grid[#Data],$DE1400,6),0)</f>
        <v/>
      </c>
      <c r="J1400">
        <f>IFERROR(INDEX(PP_Grid[#Data],$DE1400,7),0)</f>
        <v/>
      </c>
      <c r="K1400">
        <f>IFERROR(INDEX(PP_Grid[#Data],$DE1400,8),0)</f>
        <v/>
      </c>
      <c r="L1400">
        <f>IFERROR(INDEX(PP_Grid[#Data],$DE1400,9),0)</f>
        <v/>
      </c>
      <c r="M1400">
        <f>IFERROR(INDEX(PP_Grid[#Data],$DE1400,10),0)</f>
        <v/>
      </c>
      <c r="N1400">
        <f>IFERROR(INDEX(PP_Grid[#Data],$DE1400,11),0)</f>
        <v/>
      </c>
      <c r="O1400">
        <f>IFERROR(INDEX(PP_Grid[#Data],$DE1400,12),0)</f>
        <v/>
      </c>
      <c r="P1400">
        <f>IFERROR(INDEX(PP_Grid[#Data],$DE1400,13),0)</f>
        <v/>
      </c>
      <c r="Q1400">
        <f>IFERROR(INDEX(PP_Grid[#Data],$DE1400,14),0)</f>
        <v/>
      </c>
      <c r="R1400">
        <f>IFERROR(INDEX(PP_Grid[#Data],$DE1400,15),0)</f>
        <v/>
      </c>
      <c r="S1400">
        <f>IFERROR(INDEX(PP_Grid[#Data],$DE1400,16),0)</f>
        <v/>
      </c>
      <c r="T1400">
        <f>IFERROR(INDEX(PP_Grid[#Data],$DE1400,17),0)</f>
        <v/>
      </c>
      <c r="U1400">
        <f>IFERROR(INDEX(PP_Grid[#Data],$DE1400,18),0)</f>
        <v/>
      </c>
      <c r="V1400">
        <f>IFERROR(INDEX(PP_Grid[#Data],$DE1400,19),0)</f>
        <v/>
      </c>
      <c r="W1400">
        <f>IFERROR(INDEX(PP_Grid[#Data],$DE1400,20),0)</f>
        <v/>
      </c>
      <c r="X1400">
        <f>IFERROR(INDEX(PP_Grid[#Data],$DE1400,21),0)</f>
        <v/>
      </c>
      <c r="Y1400">
        <f>IFERROR(INDEX(PP_Grid[#Data],$DE1400,22),0)</f>
        <v/>
      </c>
      <c r="Z1400">
        <f>IFERROR(INDEX(PP_Grid[#Data],$DE1400,23),0)</f>
        <v/>
      </c>
      <c r="AA1400">
        <f>IFERROR(INDEX(PP_Grid[#Data],$DE1400,24),0)</f>
        <v/>
      </c>
      <c r="AB1400">
        <f>IFERROR(INDEX(PP_Grid[#Data],$DE1400,25),0)</f>
        <v/>
      </c>
      <c r="AC1400">
        <f>IFERROR(INDEX(PP_Grid[#Data],$DE1400,26),0)</f>
        <v/>
      </c>
      <c r="AD1400">
        <f>IFERROR(INDEX(PP_Grid[#Data],$DE1400,27),0)</f>
        <v/>
      </c>
      <c r="AE1400">
        <f>IFERROR(INDEX(PP_Grid[#Data],$DE1400,28),0)</f>
        <v/>
      </c>
      <c r="AF1400">
        <f>IFERROR(INDEX(PP_Grid[#Data],$DE1400,29),0)</f>
        <v/>
      </c>
      <c r="AG1400">
        <f>IFERROR(INDEX(PP_Grid[#Data],$DE1400,30),0)</f>
        <v/>
      </c>
      <c r="AH1400">
        <f>IFERROR(INDEX(PP_Grid[#Data],$DE1400,31),0)</f>
        <v/>
      </c>
      <c r="AI1400">
        <f>IFERROR(INDEX(PP_Grid[#Data],$DE1400,32),0)</f>
        <v/>
      </c>
      <c r="AJ1400">
        <f>IFERROR(INDEX(PP_Grid[#Data],$DE1400,33),0)</f>
        <v/>
      </c>
      <c r="AK1400">
        <f>IFERROR(INDEX(PP_Grid[#Data],$DE1400,34),0)</f>
        <v/>
      </c>
      <c r="AL1400">
        <f>IFERROR(INDEX(PP_Grid[#Data],$DE1400,35),0)</f>
        <v/>
      </c>
      <c r="AM1400">
        <f>IFERROR(INDEX(PP_Grid[#Data],$DE1400,36),0)</f>
        <v/>
      </c>
      <c r="AN1400">
        <f>IFERROR(INDEX(PP_Grid[#Data],$DE1400,37),0)</f>
        <v/>
      </c>
      <c r="AO1400">
        <f>IFERROR(INDEX(PP_Grid[#Data],$DE1400,38),0)</f>
        <v/>
      </c>
      <c r="AP1400">
        <f>IFERROR(INDEX(PP_Grid[#Data],$DE1400,39),0)</f>
        <v/>
      </c>
      <c r="AQ1400">
        <f>IFERROR(INDEX(PP_Grid[#Data],$DE1400,40),0)</f>
        <v/>
      </c>
      <c r="AR1400">
        <f>IFERROR(INDEX(PP_Grid[#Data],$DE1400,41),0)</f>
        <v/>
      </c>
      <c r="AS1400">
        <f>IFERROR(INDEX(PP_Grid[#Data],$DE1400,42),0)</f>
        <v/>
      </c>
      <c r="AT1400">
        <f>IFERROR(INDEX(PP_Grid[#Data],$DE1400,43),0)</f>
        <v/>
      </c>
      <c r="AU1400">
        <f>IFERROR(INDEX(PP_Grid[#Data],$DE1400,44),0)</f>
        <v/>
      </c>
      <c r="AV1400">
        <f>IFERROR(INDEX(PP_Grid[#Data],$DE1400,45),0)</f>
        <v/>
      </c>
      <c r="AW1400">
        <f>IFERROR(INDEX(PP_Grid[#Data],$DE1400,46),0)</f>
        <v/>
      </c>
      <c r="AX1400">
        <f>IFERROR(INDEX(PP_Grid[#Data],$DE1400,47),0)</f>
        <v/>
      </c>
      <c r="AY1400">
        <f>IFERROR(INDEX(PP_Grid[#Data],$DE1400,48),0)</f>
        <v/>
      </c>
      <c r="AZ1400">
        <f>IFERROR(INDEX(PP_Grid[#Data],$DE1400,49),0)</f>
        <v/>
      </c>
      <c r="BA1400">
        <f>IFERROR(INDEX(PP_Grid[#Data],$DE1400,50),0)</f>
        <v/>
      </c>
      <c r="BB1400">
        <f>IFERROR(INDEX(PP_Grid[#Data],$DE1400,51),0)</f>
        <v/>
      </c>
      <c r="BC1400">
        <f>IFERROR(INDEX(PP_Grid[#Data],$DE1400,52),0)</f>
        <v/>
      </c>
      <c r="BD1400">
        <f>IFERROR(INDEX(PP_Grid[#Data],$DE1400,53),0)</f>
        <v/>
      </c>
      <c r="BE1400">
        <f>IFERROR(INDEX(PP_Grid[#Data],$DE1400,54),0)</f>
        <v/>
      </c>
      <c r="BF1400">
        <f>IFERROR(INDEX(PP_Grid[#Data],$DE1400,55),0)</f>
        <v/>
      </c>
      <c r="BG1400">
        <f>IFERROR(INDEX(PP_Grid[#Data],$DE1400,56),0)</f>
        <v/>
      </c>
      <c r="BH1400">
        <f>IFERROR(INDEX(PP_Grid[#Data],$DE1400,57),0)</f>
        <v/>
      </c>
      <c r="BI1400">
        <f>IFERROR(INDEX(PP_Grid[#Data],$DE1400,58),0)</f>
        <v/>
      </c>
      <c r="BJ1400">
        <f>IFERROR(INDEX(PP_Grid[#Data],$DE1400,59),0)</f>
        <v/>
      </c>
      <c r="BK1400">
        <f>IFERROR(INDEX(PP_Grid[#Data],$DE1400,60),0)</f>
        <v/>
      </c>
      <c r="BL1400">
        <f>IFERROR(INDEX(PP_Grid[#Data],$DE1400,61),0)</f>
        <v/>
      </c>
      <c r="BM1400">
        <f>IFERROR(INDEX(PP_Grid[#Data],$DE1400,62),0)</f>
        <v/>
      </c>
      <c r="BN1400">
        <f>IFERROR(INDEX(PP_Grid[#Data],$DE1400,63),0)</f>
        <v/>
      </c>
      <c r="BO1400">
        <f>IFERROR(INDEX(PP_Grid[#Data],$DE1400,64),0)</f>
        <v/>
      </c>
      <c r="BP1400">
        <f>IFERROR(INDEX(PP_Grid[#Data],$DE1400,65),0)</f>
        <v/>
      </c>
      <c r="BQ1400">
        <f>IFERROR(INDEX(PP_Grid[#Data],$DE1400,66),0)</f>
        <v/>
      </c>
      <c r="BR1400">
        <f>IFERROR(INDEX(PP_Grid[#Data],$DE1400,67),0)</f>
        <v/>
      </c>
      <c r="BS1400">
        <f>IFERROR(INDEX(PP_Grid[#Data],$DE1400,68),0)</f>
        <v/>
      </c>
      <c r="BT1400">
        <f>IFERROR(INDEX(PP_Grid[#Data],$DE1400,69),0)</f>
        <v/>
      </c>
      <c r="BU1400">
        <f>IFERROR(INDEX(PP_Grid[#Data],$DE1400,70),0)</f>
        <v/>
      </c>
      <c r="BV1400">
        <f>IFERROR(INDEX(PP_Grid[#Data],$DE1400,71),0)</f>
        <v/>
      </c>
      <c r="BW1400">
        <f>IFERROR(INDEX(PP_Grid[#Data],$DE1400,72),0)</f>
        <v/>
      </c>
      <c r="BX1400">
        <f>IFERROR(INDEX(PP_Grid[#Data],$DE1400,73),0)</f>
        <v/>
      </c>
      <c r="BY1400">
        <f>IFERROR(INDEX(PP_Grid[#Data],$DE1400,74),0)</f>
        <v/>
      </c>
      <c r="BZ1400">
        <f>IFERROR(INDEX(PP_Grid[#Data],$DE1400,75),0)</f>
        <v/>
      </c>
      <c r="CA1400">
        <f>IFERROR(INDEX(PP_Grid[#Data],$DE1400,76),0)</f>
        <v/>
      </c>
      <c r="CB1400">
        <f>IFERROR(INDEX(PP_Grid[#Data],$DE1400,77),0)</f>
        <v/>
      </c>
      <c r="CC1400">
        <f>IFERROR(INDEX(PP_Grid[#Data],$DE1400,78),0)</f>
        <v/>
      </c>
      <c r="CD1400">
        <f>IFERROR(INDEX(PP_Grid[#Data],$DE1400,79),0)</f>
        <v/>
      </c>
      <c r="CE1400">
        <f>IFERROR(INDEX(PP_Grid[#Data],$DE1400,80),0)</f>
        <v/>
      </c>
      <c r="CF1400">
        <f>IFERROR(INDEX(PP_Grid[#Data],$DE1400,81),0)</f>
        <v/>
      </c>
      <c r="CG1400">
        <f>IFERROR(INDEX(PP_Grid[#Data],$DE1400,82),0)</f>
        <v/>
      </c>
      <c r="CH1400">
        <f>IFERROR(INDEX(PP_Grid[#Data],$DE1400,83),0)</f>
        <v/>
      </c>
      <c r="CI1400">
        <f>IFERROR(INDEX(PP_Grid[#Data],$DE1400,84),0)</f>
        <v/>
      </c>
      <c r="CJ1400">
        <f>IFERROR(INDEX(PP_Grid[#Data],$DE1400,85),0)</f>
        <v/>
      </c>
      <c r="CK1400">
        <f>IFERROR(INDEX(PP_Grid[#Data],$DE1400,86),0)</f>
        <v/>
      </c>
      <c r="CL1400">
        <f>IFERROR(INDEX(PP_Grid[#Data],$DE1400,87),0)</f>
        <v/>
      </c>
      <c r="CM1400">
        <f>IFERROR(INDEX(PP_Grid[#Data],$DE1400,88),0)</f>
        <v/>
      </c>
      <c r="CN1400">
        <f>IFERROR(INDEX(PP_Grid[#Data],$DE1400,89),0)</f>
        <v/>
      </c>
      <c r="CO1400">
        <f>IFERROR(INDEX(PP_Grid[#Data],$DE1400,90),0)</f>
        <v/>
      </c>
      <c r="CP1400">
        <f>IFERROR(INDEX(PP_Grid[#Data],$DE1400,91),0)</f>
        <v/>
      </c>
      <c r="CQ1400">
        <f>IFERROR(INDEX(PP_Grid[#Data],$DE1400,92),0)</f>
        <v/>
      </c>
      <c r="CR1400">
        <f>IFERROR(INDEX(PP_Grid[#Data],$DE1400,93),0)</f>
        <v/>
      </c>
      <c r="CS1400">
        <f>IFERROR(INDEX(PP_Grid[#Data],$DE1400,94),0)</f>
        <v/>
      </c>
      <c r="CT1400">
        <f>IFERROR(INDEX(PP_Grid[#Data],$DE1400,95),0)</f>
        <v/>
      </c>
      <c r="CU1400">
        <f>IFERROR(INDEX(PP_Grid[#Data],$DE1400,96),0)</f>
        <v/>
      </c>
      <c r="CV1400">
        <f>IFERROR(INDEX(PP_Grid[#Data],$DE1400,97),0)</f>
        <v/>
      </c>
      <c r="CW1400">
        <f>IFERROR(INDEX(PP_Grid[#Data],$DE1400,98),0)</f>
        <v/>
      </c>
      <c r="CX1400">
        <f>IFERROR(INDEX(PP_Grid[#Data],$DE1400,99),0)</f>
        <v/>
      </c>
      <c r="CY1400">
        <f>IFERROR(INDEX(PP_Grid[#Data],$DE1400,100),0)</f>
        <v/>
      </c>
      <c r="CZ1400">
        <f>IFERROR(INDEX(PP_Grid[#Data],$DE1400,101),0)</f>
        <v/>
      </c>
      <c r="DA1400">
        <f>IFERROR(INDEX(PP_Grid[#Data],$DE1400,102),0)</f>
        <v/>
      </c>
      <c r="DB1400">
        <f>IFERROR(INDEX(PP_Grid[#Data],$DE1400,103),0)</f>
        <v/>
      </c>
      <c r="DC1400">
        <f>IFERROR(INDEX(PP_Grid[#Data],$DE1400,104),0)</f>
        <v/>
      </c>
      <c r="DD1400">
        <f>IFERROR(INDEX(PP_Grid[#Data],$DE1400,105),0)</f>
        <v/>
      </c>
      <c r="DE1400" s="7">
        <f>IFERROR(MATCH($B1400,PP_Grid[Intermediate],0),99999)</f>
        <v/>
      </c>
    </row>
    <row r="1401">
      <c r="B1401" t="inlineStr">
        <is>
          <t>使用量(kg)</t>
        </is>
      </c>
      <c r="C1401">
        <f>SUMIFS(M_BOM[RM_Qty_Per_Batch],M_BOM[Intermediate],$B1400,M_BOM[RM_Code],$A1393)</f>
        <v/>
      </c>
      <c r="D1401">
        <f>IFERROR(INDEX(E1401:DD1401,$F$1),"")</f>
        <v/>
      </c>
      <c r="E1401">
        <f>$C1401*E1400</f>
        <v/>
      </c>
      <c r="F1401">
        <f>$C1401*F1400</f>
        <v/>
      </c>
      <c r="G1401">
        <f>$C1401*G1400</f>
        <v/>
      </c>
      <c r="H1401">
        <f>$C1401*H1400</f>
        <v/>
      </c>
      <c r="I1401">
        <f>$C1401*I1400</f>
        <v/>
      </c>
      <c r="J1401">
        <f>$C1401*J1400</f>
        <v/>
      </c>
      <c r="K1401">
        <f>$C1401*K1400</f>
        <v/>
      </c>
      <c r="L1401">
        <f>$C1401*L1400</f>
        <v/>
      </c>
      <c r="M1401">
        <f>$C1401*M1400</f>
        <v/>
      </c>
      <c r="N1401">
        <f>$C1401*N1400</f>
        <v/>
      </c>
      <c r="O1401">
        <f>$C1401*O1400</f>
        <v/>
      </c>
      <c r="P1401">
        <f>$C1401*P1400</f>
        <v/>
      </c>
      <c r="Q1401">
        <f>$C1401*Q1400</f>
        <v/>
      </c>
      <c r="R1401">
        <f>$C1401*R1400</f>
        <v/>
      </c>
      <c r="S1401">
        <f>$C1401*S1400</f>
        <v/>
      </c>
      <c r="T1401">
        <f>$C1401*T1400</f>
        <v/>
      </c>
      <c r="U1401">
        <f>$C1401*U1400</f>
        <v/>
      </c>
      <c r="V1401">
        <f>$C1401*V1400</f>
        <v/>
      </c>
      <c r="W1401">
        <f>$C1401*W1400</f>
        <v/>
      </c>
      <c r="X1401">
        <f>$C1401*X1400</f>
        <v/>
      </c>
      <c r="Y1401">
        <f>$C1401*Y1400</f>
        <v/>
      </c>
      <c r="Z1401">
        <f>$C1401*Z1400</f>
        <v/>
      </c>
      <c r="AA1401">
        <f>$C1401*AA1400</f>
        <v/>
      </c>
      <c r="AB1401">
        <f>$C1401*AB1400</f>
        <v/>
      </c>
      <c r="AC1401">
        <f>$C1401*AC1400</f>
        <v/>
      </c>
      <c r="AD1401">
        <f>$C1401*AD1400</f>
        <v/>
      </c>
      <c r="AE1401">
        <f>$C1401*AE1400</f>
        <v/>
      </c>
      <c r="AF1401">
        <f>$C1401*AF1400</f>
        <v/>
      </c>
      <c r="AG1401">
        <f>$C1401*AG1400</f>
        <v/>
      </c>
      <c r="AH1401">
        <f>$C1401*AH1400</f>
        <v/>
      </c>
      <c r="AI1401">
        <f>$C1401*AI1400</f>
        <v/>
      </c>
      <c r="AJ1401">
        <f>$C1401*AJ1400</f>
        <v/>
      </c>
      <c r="AK1401">
        <f>$C1401*AK1400</f>
        <v/>
      </c>
      <c r="AL1401">
        <f>$C1401*AL1400</f>
        <v/>
      </c>
      <c r="AM1401">
        <f>$C1401*AM1400</f>
        <v/>
      </c>
      <c r="AN1401">
        <f>$C1401*AN1400</f>
        <v/>
      </c>
      <c r="AO1401">
        <f>$C1401*AO1400</f>
        <v/>
      </c>
      <c r="AP1401">
        <f>$C1401*AP1400</f>
        <v/>
      </c>
      <c r="AQ1401">
        <f>$C1401*AQ1400</f>
        <v/>
      </c>
      <c r="AR1401">
        <f>$C1401*AR1400</f>
        <v/>
      </c>
      <c r="AS1401">
        <f>$C1401*AS1400</f>
        <v/>
      </c>
      <c r="AT1401">
        <f>$C1401*AT1400</f>
        <v/>
      </c>
      <c r="AU1401">
        <f>$C1401*AU1400</f>
        <v/>
      </c>
      <c r="AV1401">
        <f>$C1401*AV1400</f>
        <v/>
      </c>
      <c r="AW1401">
        <f>$C1401*AW1400</f>
        <v/>
      </c>
      <c r="AX1401">
        <f>$C1401*AX1400</f>
        <v/>
      </c>
      <c r="AY1401">
        <f>$C1401*AY1400</f>
        <v/>
      </c>
      <c r="AZ1401">
        <f>$C1401*AZ1400</f>
        <v/>
      </c>
      <c r="BA1401">
        <f>$C1401*BA1400</f>
        <v/>
      </c>
      <c r="BB1401">
        <f>$C1401*BB1400</f>
        <v/>
      </c>
      <c r="BC1401">
        <f>$C1401*BC1400</f>
        <v/>
      </c>
      <c r="BD1401">
        <f>$C1401*BD1400</f>
        <v/>
      </c>
      <c r="BE1401">
        <f>$C1401*BE1400</f>
        <v/>
      </c>
      <c r="BF1401">
        <f>$C1401*BF1400</f>
        <v/>
      </c>
      <c r="BG1401">
        <f>$C1401*BG1400</f>
        <v/>
      </c>
      <c r="BH1401">
        <f>$C1401*BH1400</f>
        <v/>
      </c>
      <c r="BI1401">
        <f>$C1401*BI1400</f>
        <v/>
      </c>
      <c r="BJ1401">
        <f>$C1401*BJ1400</f>
        <v/>
      </c>
      <c r="BK1401">
        <f>$C1401*BK1400</f>
        <v/>
      </c>
      <c r="BL1401">
        <f>$C1401*BL1400</f>
        <v/>
      </c>
      <c r="BM1401">
        <f>$C1401*BM1400</f>
        <v/>
      </c>
      <c r="BN1401">
        <f>$C1401*BN1400</f>
        <v/>
      </c>
      <c r="BO1401">
        <f>$C1401*BO1400</f>
        <v/>
      </c>
      <c r="BP1401">
        <f>$C1401*BP1400</f>
        <v/>
      </c>
      <c r="BQ1401">
        <f>$C1401*BQ1400</f>
        <v/>
      </c>
      <c r="BR1401">
        <f>$C1401*BR1400</f>
        <v/>
      </c>
      <c r="BS1401">
        <f>$C1401*BS1400</f>
        <v/>
      </c>
      <c r="BT1401">
        <f>$C1401*BT1400</f>
        <v/>
      </c>
      <c r="BU1401">
        <f>$C1401*BU1400</f>
        <v/>
      </c>
      <c r="BV1401">
        <f>$C1401*BV1400</f>
        <v/>
      </c>
      <c r="BW1401">
        <f>$C1401*BW1400</f>
        <v/>
      </c>
      <c r="BX1401">
        <f>$C1401*BX1400</f>
        <v/>
      </c>
      <c r="BY1401">
        <f>$C1401*BY1400</f>
        <v/>
      </c>
      <c r="BZ1401">
        <f>$C1401*BZ1400</f>
        <v/>
      </c>
      <c r="CA1401">
        <f>$C1401*CA1400</f>
        <v/>
      </c>
      <c r="CB1401">
        <f>$C1401*CB1400</f>
        <v/>
      </c>
      <c r="CC1401">
        <f>$C1401*CC1400</f>
        <v/>
      </c>
      <c r="CD1401">
        <f>$C1401*CD1400</f>
        <v/>
      </c>
      <c r="CE1401">
        <f>$C1401*CE1400</f>
        <v/>
      </c>
      <c r="CF1401">
        <f>$C1401*CF1400</f>
        <v/>
      </c>
      <c r="CG1401">
        <f>$C1401*CG1400</f>
        <v/>
      </c>
      <c r="CH1401">
        <f>$C1401*CH1400</f>
        <v/>
      </c>
      <c r="CI1401">
        <f>$C1401*CI1400</f>
        <v/>
      </c>
      <c r="CJ1401">
        <f>$C1401*CJ1400</f>
        <v/>
      </c>
      <c r="CK1401">
        <f>$C1401*CK1400</f>
        <v/>
      </c>
      <c r="CL1401">
        <f>$C1401*CL1400</f>
        <v/>
      </c>
      <c r="CM1401">
        <f>$C1401*CM1400</f>
        <v/>
      </c>
      <c r="CN1401">
        <f>$C1401*CN1400</f>
        <v/>
      </c>
      <c r="CO1401">
        <f>$C1401*CO1400</f>
        <v/>
      </c>
      <c r="CP1401">
        <f>$C1401*CP1400</f>
        <v/>
      </c>
      <c r="CQ1401">
        <f>$C1401*CQ1400</f>
        <v/>
      </c>
      <c r="CR1401">
        <f>$C1401*CR1400</f>
        <v/>
      </c>
      <c r="CS1401">
        <f>$C1401*CS1400</f>
        <v/>
      </c>
      <c r="CT1401">
        <f>$C1401*CT1400</f>
        <v/>
      </c>
      <c r="CU1401">
        <f>$C1401*CU1400</f>
        <v/>
      </c>
      <c r="CV1401">
        <f>$C1401*CV1400</f>
        <v/>
      </c>
      <c r="CW1401">
        <f>$C1401*CW1400</f>
        <v/>
      </c>
      <c r="CX1401">
        <f>$C1401*CX1400</f>
        <v/>
      </c>
      <c r="CY1401">
        <f>$C1401*CY1400</f>
        <v/>
      </c>
      <c r="CZ1401">
        <f>$C1401*CZ1400</f>
        <v/>
      </c>
      <c r="DA1401">
        <f>$C1401*DA1400</f>
        <v/>
      </c>
      <c r="DB1401">
        <f>$C1401*DB1400</f>
        <v/>
      </c>
      <c r="DC1401">
        <f>$C1401*DC1400</f>
        <v/>
      </c>
      <c r="DD1401">
        <f>$C1401*DD1400</f>
        <v/>
      </c>
    </row>
    <row r="1402">
      <c r="B1402" t="inlineStr">
        <is>
          <t>TSP-934</t>
        </is>
      </c>
      <c r="C1402" t="inlineStr">
        <is>
          <t>No. of batches</t>
        </is>
      </c>
      <c r="D1402">
        <f>IFERROR(INDEX(E1402:DD1402,$F$1),"")</f>
        <v/>
      </c>
      <c r="E1402">
        <f>IFERROR(INDEX(PP_Grid[#Data],$DE1402,2),0)</f>
        <v/>
      </c>
      <c r="F1402">
        <f>IFERROR(INDEX(PP_Grid[#Data],$DE1402,3),0)</f>
        <v/>
      </c>
      <c r="G1402">
        <f>IFERROR(INDEX(PP_Grid[#Data],$DE1402,4),0)</f>
        <v/>
      </c>
      <c r="H1402">
        <f>IFERROR(INDEX(PP_Grid[#Data],$DE1402,5),0)</f>
        <v/>
      </c>
      <c r="I1402">
        <f>IFERROR(INDEX(PP_Grid[#Data],$DE1402,6),0)</f>
        <v/>
      </c>
      <c r="J1402">
        <f>IFERROR(INDEX(PP_Grid[#Data],$DE1402,7),0)</f>
        <v/>
      </c>
      <c r="K1402">
        <f>IFERROR(INDEX(PP_Grid[#Data],$DE1402,8),0)</f>
        <v/>
      </c>
      <c r="L1402">
        <f>IFERROR(INDEX(PP_Grid[#Data],$DE1402,9),0)</f>
        <v/>
      </c>
      <c r="M1402">
        <f>IFERROR(INDEX(PP_Grid[#Data],$DE1402,10),0)</f>
        <v/>
      </c>
      <c r="N1402">
        <f>IFERROR(INDEX(PP_Grid[#Data],$DE1402,11),0)</f>
        <v/>
      </c>
      <c r="O1402">
        <f>IFERROR(INDEX(PP_Grid[#Data],$DE1402,12),0)</f>
        <v/>
      </c>
      <c r="P1402">
        <f>IFERROR(INDEX(PP_Grid[#Data],$DE1402,13),0)</f>
        <v/>
      </c>
      <c r="Q1402">
        <f>IFERROR(INDEX(PP_Grid[#Data],$DE1402,14),0)</f>
        <v/>
      </c>
      <c r="R1402">
        <f>IFERROR(INDEX(PP_Grid[#Data],$DE1402,15),0)</f>
        <v/>
      </c>
      <c r="S1402">
        <f>IFERROR(INDEX(PP_Grid[#Data],$DE1402,16),0)</f>
        <v/>
      </c>
      <c r="T1402">
        <f>IFERROR(INDEX(PP_Grid[#Data],$DE1402,17),0)</f>
        <v/>
      </c>
      <c r="U1402">
        <f>IFERROR(INDEX(PP_Grid[#Data],$DE1402,18),0)</f>
        <v/>
      </c>
      <c r="V1402">
        <f>IFERROR(INDEX(PP_Grid[#Data],$DE1402,19),0)</f>
        <v/>
      </c>
      <c r="W1402">
        <f>IFERROR(INDEX(PP_Grid[#Data],$DE1402,20),0)</f>
        <v/>
      </c>
      <c r="X1402">
        <f>IFERROR(INDEX(PP_Grid[#Data],$DE1402,21),0)</f>
        <v/>
      </c>
      <c r="Y1402">
        <f>IFERROR(INDEX(PP_Grid[#Data],$DE1402,22),0)</f>
        <v/>
      </c>
      <c r="Z1402">
        <f>IFERROR(INDEX(PP_Grid[#Data],$DE1402,23),0)</f>
        <v/>
      </c>
      <c r="AA1402">
        <f>IFERROR(INDEX(PP_Grid[#Data],$DE1402,24),0)</f>
        <v/>
      </c>
      <c r="AB1402">
        <f>IFERROR(INDEX(PP_Grid[#Data],$DE1402,25),0)</f>
        <v/>
      </c>
      <c r="AC1402">
        <f>IFERROR(INDEX(PP_Grid[#Data],$DE1402,26),0)</f>
        <v/>
      </c>
      <c r="AD1402">
        <f>IFERROR(INDEX(PP_Grid[#Data],$DE1402,27),0)</f>
        <v/>
      </c>
      <c r="AE1402">
        <f>IFERROR(INDEX(PP_Grid[#Data],$DE1402,28),0)</f>
        <v/>
      </c>
      <c r="AF1402">
        <f>IFERROR(INDEX(PP_Grid[#Data],$DE1402,29),0)</f>
        <v/>
      </c>
      <c r="AG1402">
        <f>IFERROR(INDEX(PP_Grid[#Data],$DE1402,30),0)</f>
        <v/>
      </c>
      <c r="AH1402">
        <f>IFERROR(INDEX(PP_Grid[#Data],$DE1402,31),0)</f>
        <v/>
      </c>
      <c r="AI1402">
        <f>IFERROR(INDEX(PP_Grid[#Data],$DE1402,32),0)</f>
        <v/>
      </c>
      <c r="AJ1402">
        <f>IFERROR(INDEX(PP_Grid[#Data],$DE1402,33),0)</f>
        <v/>
      </c>
      <c r="AK1402">
        <f>IFERROR(INDEX(PP_Grid[#Data],$DE1402,34),0)</f>
        <v/>
      </c>
      <c r="AL1402">
        <f>IFERROR(INDEX(PP_Grid[#Data],$DE1402,35),0)</f>
        <v/>
      </c>
      <c r="AM1402">
        <f>IFERROR(INDEX(PP_Grid[#Data],$DE1402,36),0)</f>
        <v/>
      </c>
      <c r="AN1402">
        <f>IFERROR(INDEX(PP_Grid[#Data],$DE1402,37),0)</f>
        <v/>
      </c>
      <c r="AO1402">
        <f>IFERROR(INDEX(PP_Grid[#Data],$DE1402,38),0)</f>
        <v/>
      </c>
      <c r="AP1402">
        <f>IFERROR(INDEX(PP_Grid[#Data],$DE1402,39),0)</f>
        <v/>
      </c>
      <c r="AQ1402">
        <f>IFERROR(INDEX(PP_Grid[#Data],$DE1402,40),0)</f>
        <v/>
      </c>
      <c r="AR1402">
        <f>IFERROR(INDEX(PP_Grid[#Data],$DE1402,41),0)</f>
        <v/>
      </c>
      <c r="AS1402">
        <f>IFERROR(INDEX(PP_Grid[#Data],$DE1402,42),0)</f>
        <v/>
      </c>
      <c r="AT1402">
        <f>IFERROR(INDEX(PP_Grid[#Data],$DE1402,43),0)</f>
        <v/>
      </c>
      <c r="AU1402">
        <f>IFERROR(INDEX(PP_Grid[#Data],$DE1402,44),0)</f>
        <v/>
      </c>
      <c r="AV1402">
        <f>IFERROR(INDEX(PP_Grid[#Data],$DE1402,45),0)</f>
        <v/>
      </c>
      <c r="AW1402">
        <f>IFERROR(INDEX(PP_Grid[#Data],$DE1402,46),0)</f>
        <v/>
      </c>
      <c r="AX1402">
        <f>IFERROR(INDEX(PP_Grid[#Data],$DE1402,47),0)</f>
        <v/>
      </c>
      <c r="AY1402">
        <f>IFERROR(INDEX(PP_Grid[#Data],$DE1402,48),0)</f>
        <v/>
      </c>
      <c r="AZ1402">
        <f>IFERROR(INDEX(PP_Grid[#Data],$DE1402,49),0)</f>
        <v/>
      </c>
      <c r="BA1402">
        <f>IFERROR(INDEX(PP_Grid[#Data],$DE1402,50),0)</f>
        <v/>
      </c>
      <c r="BB1402">
        <f>IFERROR(INDEX(PP_Grid[#Data],$DE1402,51),0)</f>
        <v/>
      </c>
      <c r="BC1402">
        <f>IFERROR(INDEX(PP_Grid[#Data],$DE1402,52),0)</f>
        <v/>
      </c>
      <c r="BD1402">
        <f>IFERROR(INDEX(PP_Grid[#Data],$DE1402,53),0)</f>
        <v/>
      </c>
      <c r="BE1402">
        <f>IFERROR(INDEX(PP_Grid[#Data],$DE1402,54),0)</f>
        <v/>
      </c>
      <c r="BF1402">
        <f>IFERROR(INDEX(PP_Grid[#Data],$DE1402,55),0)</f>
        <v/>
      </c>
      <c r="BG1402">
        <f>IFERROR(INDEX(PP_Grid[#Data],$DE1402,56),0)</f>
        <v/>
      </c>
      <c r="BH1402">
        <f>IFERROR(INDEX(PP_Grid[#Data],$DE1402,57),0)</f>
        <v/>
      </c>
      <c r="BI1402">
        <f>IFERROR(INDEX(PP_Grid[#Data],$DE1402,58),0)</f>
        <v/>
      </c>
      <c r="BJ1402">
        <f>IFERROR(INDEX(PP_Grid[#Data],$DE1402,59),0)</f>
        <v/>
      </c>
      <c r="BK1402">
        <f>IFERROR(INDEX(PP_Grid[#Data],$DE1402,60),0)</f>
        <v/>
      </c>
      <c r="BL1402">
        <f>IFERROR(INDEX(PP_Grid[#Data],$DE1402,61),0)</f>
        <v/>
      </c>
      <c r="BM1402">
        <f>IFERROR(INDEX(PP_Grid[#Data],$DE1402,62),0)</f>
        <v/>
      </c>
      <c r="BN1402">
        <f>IFERROR(INDEX(PP_Grid[#Data],$DE1402,63),0)</f>
        <v/>
      </c>
      <c r="BO1402">
        <f>IFERROR(INDEX(PP_Grid[#Data],$DE1402,64),0)</f>
        <v/>
      </c>
      <c r="BP1402">
        <f>IFERROR(INDEX(PP_Grid[#Data],$DE1402,65),0)</f>
        <v/>
      </c>
      <c r="BQ1402">
        <f>IFERROR(INDEX(PP_Grid[#Data],$DE1402,66),0)</f>
        <v/>
      </c>
      <c r="BR1402">
        <f>IFERROR(INDEX(PP_Grid[#Data],$DE1402,67),0)</f>
        <v/>
      </c>
      <c r="BS1402">
        <f>IFERROR(INDEX(PP_Grid[#Data],$DE1402,68),0)</f>
        <v/>
      </c>
      <c r="BT1402">
        <f>IFERROR(INDEX(PP_Grid[#Data],$DE1402,69),0)</f>
        <v/>
      </c>
      <c r="BU1402">
        <f>IFERROR(INDEX(PP_Grid[#Data],$DE1402,70),0)</f>
        <v/>
      </c>
      <c r="BV1402">
        <f>IFERROR(INDEX(PP_Grid[#Data],$DE1402,71),0)</f>
        <v/>
      </c>
      <c r="BW1402">
        <f>IFERROR(INDEX(PP_Grid[#Data],$DE1402,72),0)</f>
        <v/>
      </c>
      <c r="BX1402">
        <f>IFERROR(INDEX(PP_Grid[#Data],$DE1402,73),0)</f>
        <v/>
      </c>
      <c r="BY1402">
        <f>IFERROR(INDEX(PP_Grid[#Data],$DE1402,74),0)</f>
        <v/>
      </c>
      <c r="BZ1402">
        <f>IFERROR(INDEX(PP_Grid[#Data],$DE1402,75),0)</f>
        <v/>
      </c>
      <c r="CA1402">
        <f>IFERROR(INDEX(PP_Grid[#Data],$DE1402,76),0)</f>
        <v/>
      </c>
      <c r="CB1402">
        <f>IFERROR(INDEX(PP_Grid[#Data],$DE1402,77),0)</f>
        <v/>
      </c>
      <c r="CC1402">
        <f>IFERROR(INDEX(PP_Grid[#Data],$DE1402,78),0)</f>
        <v/>
      </c>
      <c r="CD1402">
        <f>IFERROR(INDEX(PP_Grid[#Data],$DE1402,79),0)</f>
        <v/>
      </c>
      <c r="CE1402">
        <f>IFERROR(INDEX(PP_Grid[#Data],$DE1402,80),0)</f>
        <v/>
      </c>
      <c r="CF1402">
        <f>IFERROR(INDEX(PP_Grid[#Data],$DE1402,81),0)</f>
        <v/>
      </c>
      <c r="CG1402">
        <f>IFERROR(INDEX(PP_Grid[#Data],$DE1402,82),0)</f>
        <v/>
      </c>
      <c r="CH1402">
        <f>IFERROR(INDEX(PP_Grid[#Data],$DE1402,83),0)</f>
        <v/>
      </c>
      <c r="CI1402">
        <f>IFERROR(INDEX(PP_Grid[#Data],$DE1402,84),0)</f>
        <v/>
      </c>
      <c r="CJ1402">
        <f>IFERROR(INDEX(PP_Grid[#Data],$DE1402,85),0)</f>
        <v/>
      </c>
      <c r="CK1402">
        <f>IFERROR(INDEX(PP_Grid[#Data],$DE1402,86),0)</f>
        <v/>
      </c>
      <c r="CL1402">
        <f>IFERROR(INDEX(PP_Grid[#Data],$DE1402,87),0)</f>
        <v/>
      </c>
      <c r="CM1402">
        <f>IFERROR(INDEX(PP_Grid[#Data],$DE1402,88),0)</f>
        <v/>
      </c>
      <c r="CN1402">
        <f>IFERROR(INDEX(PP_Grid[#Data],$DE1402,89),0)</f>
        <v/>
      </c>
      <c r="CO1402">
        <f>IFERROR(INDEX(PP_Grid[#Data],$DE1402,90),0)</f>
        <v/>
      </c>
      <c r="CP1402">
        <f>IFERROR(INDEX(PP_Grid[#Data],$DE1402,91),0)</f>
        <v/>
      </c>
      <c r="CQ1402">
        <f>IFERROR(INDEX(PP_Grid[#Data],$DE1402,92),0)</f>
        <v/>
      </c>
      <c r="CR1402">
        <f>IFERROR(INDEX(PP_Grid[#Data],$DE1402,93),0)</f>
        <v/>
      </c>
      <c r="CS1402">
        <f>IFERROR(INDEX(PP_Grid[#Data],$DE1402,94),0)</f>
        <v/>
      </c>
      <c r="CT1402">
        <f>IFERROR(INDEX(PP_Grid[#Data],$DE1402,95),0)</f>
        <v/>
      </c>
      <c r="CU1402">
        <f>IFERROR(INDEX(PP_Grid[#Data],$DE1402,96),0)</f>
        <v/>
      </c>
      <c r="CV1402">
        <f>IFERROR(INDEX(PP_Grid[#Data],$DE1402,97),0)</f>
        <v/>
      </c>
      <c r="CW1402">
        <f>IFERROR(INDEX(PP_Grid[#Data],$DE1402,98),0)</f>
        <v/>
      </c>
      <c r="CX1402">
        <f>IFERROR(INDEX(PP_Grid[#Data],$DE1402,99),0)</f>
        <v/>
      </c>
      <c r="CY1402">
        <f>IFERROR(INDEX(PP_Grid[#Data],$DE1402,100),0)</f>
        <v/>
      </c>
      <c r="CZ1402">
        <f>IFERROR(INDEX(PP_Grid[#Data],$DE1402,101),0)</f>
        <v/>
      </c>
      <c r="DA1402">
        <f>IFERROR(INDEX(PP_Grid[#Data],$DE1402,102),0)</f>
        <v/>
      </c>
      <c r="DB1402">
        <f>IFERROR(INDEX(PP_Grid[#Data],$DE1402,103),0)</f>
        <v/>
      </c>
      <c r="DC1402">
        <f>IFERROR(INDEX(PP_Grid[#Data],$DE1402,104),0)</f>
        <v/>
      </c>
      <c r="DD1402">
        <f>IFERROR(INDEX(PP_Grid[#Data],$DE1402,105),0)</f>
        <v/>
      </c>
      <c r="DE1402" s="7">
        <f>IFERROR(MATCH($B1402,PP_Grid[Intermediate],0),99999)</f>
        <v/>
      </c>
    </row>
    <row r="1403">
      <c r="B1403" t="inlineStr">
        <is>
          <t>使用量(kg)</t>
        </is>
      </c>
      <c r="C1403">
        <f>SUMIFS(M_BOM[RM_Qty_Per_Batch],M_BOM[Intermediate],$B1402,M_BOM[RM_Code],$A1393)</f>
        <v/>
      </c>
      <c r="D1403">
        <f>IFERROR(INDEX(E1403:DD1403,$F$1),"")</f>
        <v/>
      </c>
      <c r="E1403">
        <f>$C1403*E1402</f>
        <v/>
      </c>
      <c r="F1403">
        <f>$C1403*F1402</f>
        <v/>
      </c>
      <c r="G1403">
        <f>$C1403*G1402</f>
        <v/>
      </c>
      <c r="H1403">
        <f>$C1403*H1402</f>
        <v/>
      </c>
      <c r="I1403">
        <f>$C1403*I1402</f>
        <v/>
      </c>
      <c r="J1403">
        <f>$C1403*J1402</f>
        <v/>
      </c>
      <c r="K1403">
        <f>$C1403*K1402</f>
        <v/>
      </c>
      <c r="L1403">
        <f>$C1403*L1402</f>
        <v/>
      </c>
      <c r="M1403">
        <f>$C1403*M1402</f>
        <v/>
      </c>
      <c r="N1403">
        <f>$C1403*N1402</f>
        <v/>
      </c>
      <c r="O1403">
        <f>$C1403*O1402</f>
        <v/>
      </c>
      <c r="P1403">
        <f>$C1403*P1402</f>
        <v/>
      </c>
      <c r="Q1403">
        <f>$C1403*Q1402</f>
        <v/>
      </c>
      <c r="R1403">
        <f>$C1403*R1402</f>
        <v/>
      </c>
      <c r="S1403">
        <f>$C1403*S1402</f>
        <v/>
      </c>
      <c r="T1403">
        <f>$C1403*T1402</f>
        <v/>
      </c>
      <c r="U1403">
        <f>$C1403*U1402</f>
        <v/>
      </c>
      <c r="V1403">
        <f>$C1403*V1402</f>
        <v/>
      </c>
      <c r="W1403">
        <f>$C1403*W1402</f>
        <v/>
      </c>
      <c r="X1403">
        <f>$C1403*X1402</f>
        <v/>
      </c>
      <c r="Y1403">
        <f>$C1403*Y1402</f>
        <v/>
      </c>
      <c r="Z1403">
        <f>$C1403*Z1402</f>
        <v/>
      </c>
      <c r="AA1403">
        <f>$C1403*AA1402</f>
        <v/>
      </c>
      <c r="AB1403">
        <f>$C1403*AB1402</f>
        <v/>
      </c>
      <c r="AC1403">
        <f>$C1403*AC1402</f>
        <v/>
      </c>
      <c r="AD1403">
        <f>$C1403*AD1402</f>
        <v/>
      </c>
      <c r="AE1403">
        <f>$C1403*AE1402</f>
        <v/>
      </c>
      <c r="AF1403">
        <f>$C1403*AF1402</f>
        <v/>
      </c>
      <c r="AG1403">
        <f>$C1403*AG1402</f>
        <v/>
      </c>
      <c r="AH1403">
        <f>$C1403*AH1402</f>
        <v/>
      </c>
      <c r="AI1403">
        <f>$C1403*AI1402</f>
        <v/>
      </c>
      <c r="AJ1403">
        <f>$C1403*AJ1402</f>
        <v/>
      </c>
      <c r="AK1403">
        <f>$C1403*AK1402</f>
        <v/>
      </c>
      <c r="AL1403">
        <f>$C1403*AL1402</f>
        <v/>
      </c>
      <c r="AM1403">
        <f>$C1403*AM1402</f>
        <v/>
      </c>
      <c r="AN1403">
        <f>$C1403*AN1402</f>
        <v/>
      </c>
      <c r="AO1403">
        <f>$C1403*AO1402</f>
        <v/>
      </c>
      <c r="AP1403">
        <f>$C1403*AP1402</f>
        <v/>
      </c>
      <c r="AQ1403">
        <f>$C1403*AQ1402</f>
        <v/>
      </c>
      <c r="AR1403">
        <f>$C1403*AR1402</f>
        <v/>
      </c>
      <c r="AS1403">
        <f>$C1403*AS1402</f>
        <v/>
      </c>
      <c r="AT1403">
        <f>$C1403*AT1402</f>
        <v/>
      </c>
      <c r="AU1403">
        <f>$C1403*AU1402</f>
        <v/>
      </c>
      <c r="AV1403">
        <f>$C1403*AV1402</f>
        <v/>
      </c>
      <c r="AW1403">
        <f>$C1403*AW1402</f>
        <v/>
      </c>
      <c r="AX1403">
        <f>$C1403*AX1402</f>
        <v/>
      </c>
      <c r="AY1403">
        <f>$C1403*AY1402</f>
        <v/>
      </c>
      <c r="AZ1403">
        <f>$C1403*AZ1402</f>
        <v/>
      </c>
      <c r="BA1403">
        <f>$C1403*BA1402</f>
        <v/>
      </c>
      <c r="BB1403">
        <f>$C1403*BB1402</f>
        <v/>
      </c>
      <c r="BC1403">
        <f>$C1403*BC1402</f>
        <v/>
      </c>
      <c r="BD1403">
        <f>$C1403*BD1402</f>
        <v/>
      </c>
      <c r="BE1403">
        <f>$C1403*BE1402</f>
        <v/>
      </c>
      <c r="BF1403">
        <f>$C1403*BF1402</f>
        <v/>
      </c>
      <c r="BG1403">
        <f>$C1403*BG1402</f>
        <v/>
      </c>
      <c r="BH1403">
        <f>$C1403*BH1402</f>
        <v/>
      </c>
      <c r="BI1403">
        <f>$C1403*BI1402</f>
        <v/>
      </c>
      <c r="BJ1403">
        <f>$C1403*BJ1402</f>
        <v/>
      </c>
      <c r="BK1403">
        <f>$C1403*BK1402</f>
        <v/>
      </c>
      <c r="BL1403">
        <f>$C1403*BL1402</f>
        <v/>
      </c>
      <c r="BM1403">
        <f>$C1403*BM1402</f>
        <v/>
      </c>
      <c r="BN1403">
        <f>$C1403*BN1402</f>
        <v/>
      </c>
      <c r="BO1403">
        <f>$C1403*BO1402</f>
        <v/>
      </c>
      <c r="BP1403">
        <f>$C1403*BP1402</f>
        <v/>
      </c>
      <c r="BQ1403">
        <f>$C1403*BQ1402</f>
        <v/>
      </c>
      <c r="BR1403">
        <f>$C1403*BR1402</f>
        <v/>
      </c>
      <c r="BS1403">
        <f>$C1403*BS1402</f>
        <v/>
      </c>
      <c r="BT1403">
        <f>$C1403*BT1402</f>
        <v/>
      </c>
      <c r="BU1403">
        <f>$C1403*BU1402</f>
        <v/>
      </c>
      <c r="BV1403">
        <f>$C1403*BV1402</f>
        <v/>
      </c>
      <c r="BW1403">
        <f>$C1403*BW1402</f>
        <v/>
      </c>
      <c r="BX1403">
        <f>$C1403*BX1402</f>
        <v/>
      </c>
      <c r="BY1403">
        <f>$C1403*BY1402</f>
        <v/>
      </c>
      <c r="BZ1403">
        <f>$C1403*BZ1402</f>
        <v/>
      </c>
      <c r="CA1403">
        <f>$C1403*CA1402</f>
        <v/>
      </c>
      <c r="CB1403">
        <f>$C1403*CB1402</f>
        <v/>
      </c>
      <c r="CC1403">
        <f>$C1403*CC1402</f>
        <v/>
      </c>
      <c r="CD1403">
        <f>$C1403*CD1402</f>
        <v/>
      </c>
      <c r="CE1403">
        <f>$C1403*CE1402</f>
        <v/>
      </c>
      <c r="CF1403">
        <f>$C1403*CF1402</f>
        <v/>
      </c>
      <c r="CG1403">
        <f>$C1403*CG1402</f>
        <v/>
      </c>
      <c r="CH1403">
        <f>$C1403*CH1402</f>
        <v/>
      </c>
      <c r="CI1403">
        <f>$C1403*CI1402</f>
        <v/>
      </c>
      <c r="CJ1403">
        <f>$C1403*CJ1402</f>
        <v/>
      </c>
      <c r="CK1403">
        <f>$C1403*CK1402</f>
        <v/>
      </c>
      <c r="CL1403">
        <f>$C1403*CL1402</f>
        <v/>
      </c>
      <c r="CM1403">
        <f>$C1403*CM1402</f>
        <v/>
      </c>
      <c r="CN1403">
        <f>$C1403*CN1402</f>
        <v/>
      </c>
      <c r="CO1403">
        <f>$C1403*CO1402</f>
        <v/>
      </c>
      <c r="CP1403">
        <f>$C1403*CP1402</f>
        <v/>
      </c>
      <c r="CQ1403">
        <f>$C1403*CQ1402</f>
        <v/>
      </c>
      <c r="CR1403">
        <f>$C1403*CR1402</f>
        <v/>
      </c>
      <c r="CS1403">
        <f>$C1403*CS1402</f>
        <v/>
      </c>
      <c r="CT1403">
        <f>$C1403*CT1402</f>
        <v/>
      </c>
      <c r="CU1403">
        <f>$C1403*CU1402</f>
        <v/>
      </c>
      <c r="CV1403">
        <f>$C1403*CV1402</f>
        <v/>
      </c>
      <c r="CW1403">
        <f>$C1403*CW1402</f>
        <v/>
      </c>
      <c r="CX1403">
        <f>$C1403*CX1402</f>
        <v/>
      </c>
      <c r="CY1403">
        <f>$C1403*CY1402</f>
        <v/>
      </c>
      <c r="CZ1403">
        <f>$C1403*CZ1402</f>
        <v/>
      </c>
      <c r="DA1403">
        <f>$C1403*DA1402</f>
        <v/>
      </c>
      <c r="DB1403">
        <f>$C1403*DB1402</f>
        <v/>
      </c>
      <c r="DC1403">
        <f>$C1403*DC1402</f>
        <v/>
      </c>
      <c r="DD1403">
        <f>$C1403*DD1402</f>
        <v/>
      </c>
    </row>
    <row r="1404">
      <c r="B1404" t="inlineStr">
        <is>
          <t>TSP-935</t>
        </is>
      </c>
      <c r="C1404" t="inlineStr">
        <is>
          <t>No. of batches</t>
        </is>
      </c>
      <c r="D1404">
        <f>IFERROR(INDEX(E1404:DD1404,$F$1),"")</f>
        <v/>
      </c>
      <c r="E1404">
        <f>IFERROR(INDEX(PP_Grid[#Data],$DE1404,2),0)</f>
        <v/>
      </c>
      <c r="F1404">
        <f>IFERROR(INDEX(PP_Grid[#Data],$DE1404,3),0)</f>
        <v/>
      </c>
      <c r="G1404">
        <f>IFERROR(INDEX(PP_Grid[#Data],$DE1404,4),0)</f>
        <v/>
      </c>
      <c r="H1404">
        <f>IFERROR(INDEX(PP_Grid[#Data],$DE1404,5),0)</f>
        <v/>
      </c>
      <c r="I1404">
        <f>IFERROR(INDEX(PP_Grid[#Data],$DE1404,6),0)</f>
        <v/>
      </c>
      <c r="J1404">
        <f>IFERROR(INDEX(PP_Grid[#Data],$DE1404,7),0)</f>
        <v/>
      </c>
      <c r="K1404">
        <f>IFERROR(INDEX(PP_Grid[#Data],$DE1404,8),0)</f>
        <v/>
      </c>
      <c r="L1404">
        <f>IFERROR(INDEX(PP_Grid[#Data],$DE1404,9),0)</f>
        <v/>
      </c>
      <c r="M1404">
        <f>IFERROR(INDEX(PP_Grid[#Data],$DE1404,10),0)</f>
        <v/>
      </c>
      <c r="N1404">
        <f>IFERROR(INDEX(PP_Grid[#Data],$DE1404,11),0)</f>
        <v/>
      </c>
      <c r="O1404">
        <f>IFERROR(INDEX(PP_Grid[#Data],$DE1404,12),0)</f>
        <v/>
      </c>
      <c r="P1404">
        <f>IFERROR(INDEX(PP_Grid[#Data],$DE1404,13),0)</f>
        <v/>
      </c>
      <c r="Q1404">
        <f>IFERROR(INDEX(PP_Grid[#Data],$DE1404,14),0)</f>
        <v/>
      </c>
      <c r="R1404">
        <f>IFERROR(INDEX(PP_Grid[#Data],$DE1404,15),0)</f>
        <v/>
      </c>
      <c r="S1404">
        <f>IFERROR(INDEX(PP_Grid[#Data],$DE1404,16),0)</f>
        <v/>
      </c>
      <c r="T1404">
        <f>IFERROR(INDEX(PP_Grid[#Data],$DE1404,17),0)</f>
        <v/>
      </c>
      <c r="U1404">
        <f>IFERROR(INDEX(PP_Grid[#Data],$DE1404,18),0)</f>
        <v/>
      </c>
      <c r="V1404">
        <f>IFERROR(INDEX(PP_Grid[#Data],$DE1404,19),0)</f>
        <v/>
      </c>
      <c r="W1404">
        <f>IFERROR(INDEX(PP_Grid[#Data],$DE1404,20),0)</f>
        <v/>
      </c>
      <c r="X1404">
        <f>IFERROR(INDEX(PP_Grid[#Data],$DE1404,21),0)</f>
        <v/>
      </c>
      <c r="Y1404">
        <f>IFERROR(INDEX(PP_Grid[#Data],$DE1404,22),0)</f>
        <v/>
      </c>
      <c r="Z1404">
        <f>IFERROR(INDEX(PP_Grid[#Data],$DE1404,23),0)</f>
        <v/>
      </c>
      <c r="AA1404">
        <f>IFERROR(INDEX(PP_Grid[#Data],$DE1404,24),0)</f>
        <v/>
      </c>
      <c r="AB1404">
        <f>IFERROR(INDEX(PP_Grid[#Data],$DE1404,25),0)</f>
        <v/>
      </c>
      <c r="AC1404">
        <f>IFERROR(INDEX(PP_Grid[#Data],$DE1404,26),0)</f>
        <v/>
      </c>
      <c r="AD1404">
        <f>IFERROR(INDEX(PP_Grid[#Data],$DE1404,27),0)</f>
        <v/>
      </c>
      <c r="AE1404">
        <f>IFERROR(INDEX(PP_Grid[#Data],$DE1404,28),0)</f>
        <v/>
      </c>
      <c r="AF1404">
        <f>IFERROR(INDEX(PP_Grid[#Data],$DE1404,29),0)</f>
        <v/>
      </c>
      <c r="AG1404">
        <f>IFERROR(INDEX(PP_Grid[#Data],$DE1404,30),0)</f>
        <v/>
      </c>
      <c r="AH1404">
        <f>IFERROR(INDEX(PP_Grid[#Data],$DE1404,31),0)</f>
        <v/>
      </c>
      <c r="AI1404">
        <f>IFERROR(INDEX(PP_Grid[#Data],$DE1404,32),0)</f>
        <v/>
      </c>
      <c r="AJ1404">
        <f>IFERROR(INDEX(PP_Grid[#Data],$DE1404,33),0)</f>
        <v/>
      </c>
      <c r="AK1404">
        <f>IFERROR(INDEX(PP_Grid[#Data],$DE1404,34),0)</f>
        <v/>
      </c>
      <c r="AL1404">
        <f>IFERROR(INDEX(PP_Grid[#Data],$DE1404,35),0)</f>
        <v/>
      </c>
      <c r="AM1404">
        <f>IFERROR(INDEX(PP_Grid[#Data],$DE1404,36),0)</f>
        <v/>
      </c>
      <c r="AN1404">
        <f>IFERROR(INDEX(PP_Grid[#Data],$DE1404,37),0)</f>
        <v/>
      </c>
      <c r="AO1404">
        <f>IFERROR(INDEX(PP_Grid[#Data],$DE1404,38),0)</f>
        <v/>
      </c>
      <c r="AP1404">
        <f>IFERROR(INDEX(PP_Grid[#Data],$DE1404,39),0)</f>
        <v/>
      </c>
      <c r="AQ1404">
        <f>IFERROR(INDEX(PP_Grid[#Data],$DE1404,40),0)</f>
        <v/>
      </c>
      <c r="AR1404">
        <f>IFERROR(INDEX(PP_Grid[#Data],$DE1404,41),0)</f>
        <v/>
      </c>
      <c r="AS1404">
        <f>IFERROR(INDEX(PP_Grid[#Data],$DE1404,42),0)</f>
        <v/>
      </c>
      <c r="AT1404">
        <f>IFERROR(INDEX(PP_Grid[#Data],$DE1404,43),0)</f>
        <v/>
      </c>
      <c r="AU1404">
        <f>IFERROR(INDEX(PP_Grid[#Data],$DE1404,44),0)</f>
        <v/>
      </c>
      <c r="AV1404">
        <f>IFERROR(INDEX(PP_Grid[#Data],$DE1404,45),0)</f>
        <v/>
      </c>
      <c r="AW1404">
        <f>IFERROR(INDEX(PP_Grid[#Data],$DE1404,46),0)</f>
        <v/>
      </c>
      <c r="AX1404">
        <f>IFERROR(INDEX(PP_Grid[#Data],$DE1404,47),0)</f>
        <v/>
      </c>
      <c r="AY1404">
        <f>IFERROR(INDEX(PP_Grid[#Data],$DE1404,48),0)</f>
        <v/>
      </c>
      <c r="AZ1404">
        <f>IFERROR(INDEX(PP_Grid[#Data],$DE1404,49),0)</f>
        <v/>
      </c>
      <c r="BA1404">
        <f>IFERROR(INDEX(PP_Grid[#Data],$DE1404,50),0)</f>
        <v/>
      </c>
      <c r="BB1404">
        <f>IFERROR(INDEX(PP_Grid[#Data],$DE1404,51),0)</f>
        <v/>
      </c>
      <c r="BC1404">
        <f>IFERROR(INDEX(PP_Grid[#Data],$DE1404,52),0)</f>
        <v/>
      </c>
      <c r="BD1404">
        <f>IFERROR(INDEX(PP_Grid[#Data],$DE1404,53),0)</f>
        <v/>
      </c>
      <c r="BE1404">
        <f>IFERROR(INDEX(PP_Grid[#Data],$DE1404,54),0)</f>
        <v/>
      </c>
      <c r="BF1404">
        <f>IFERROR(INDEX(PP_Grid[#Data],$DE1404,55),0)</f>
        <v/>
      </c>
      <c r="BG1404">
        <f>IFERROR(INDEX(PP_Grid[#Data],$DE1404,56),0)</f>
        <v/>
      </c>
      <c r="BH1404">
        <f>IFERROR(INDEX(PP_Grid[#Data],$DE1404,57),0)</f>
        <v/>
      </c>
      <c r="BI1404">
        <f>IFERROR(INDEX(PP_Grid[#Data],$DE1404,58),0)</f>
        <v/>
      </c>
      <c r="BJ1404">
        <f>IFERROR(INDEX(PP_Grid[#Data],$DE1404,59),0)</f>
        <v/>
      </c>
      <c r="BK1404">
        <f>IFERROR(INDEX(PP_Grid[#Data],$DE1404,60),0)</f>
        <v/>
      </c>
      <c r="BL1404">
        <f>IFERROR(INDEX(PP_Grid[#Data],$DE1404,61),0)</f>
        <v/>
      </c>
      <c r="BM1404">
        <f>IFERROR(INDEX(PP_Grid[#Data],$DE1404,62),0)</f>
        <v/>
      </c>
      <c r="BN1404">
        <f>IFERROR(INDEX(PP_Grid[#Data],$DE1404,63),0)</f>
        <v/>
      </c>
      <c r="BO1404">
        <f>IFERROR(INDEX(PP_Grid[#Data],$DE1404,64),0)</f>
        <v/>
      </c>
      <c r="BP1404">
        <f>IFERROR(INDEX(PP_Grid[#Data],$DE1404,65),0)</f>
        <v/>
      </c>
      <c r="BQ1404">
        <f>IFERROR(INDEX(PP_Grid[#Data],$DE1404,66),0)</f>
        <v/>
      </c>
      <c r="BR1404">
        <f>IFERROR(INDEX(PP_Grid[#Data],$DE1404,67),0)</f>
        <v/>
      </c>
      <c r="BS1404">
        <f>IFERROR(INDEX(PP_Grid[#Data],$DE1404,68),0)</f>
        <v/>
      </c>
      <c r="BT1404">
        <f>IFERROR(INDEX(PP_Grid[#Data],$DE1404,69),0)</f>
        <v/>
      </c>
      <c r="BU1404">
        <f>IFERROR(INDEX(PP_Grid[#Data],$DE1404,70),0)</f>
        <v/>
      </c>
      <c r="BV1404">
        <f>IFERROR(INDEX(PP_Grid[#Data],$DE1404,71),0)</f>
        <v/>
      </c>
      <c r="BW1404">
        <f>IFERROR(INDEX(PP_Grid[#Data],$DE1404,72),0)</f>
        <v/>
      </c>
      <c r="BX1404">
        <f>IFERROR(INDEX(PP_Grid[#Data],$DE1404,73),0)</f>
        <v/>
      </c>
      <c r="BY1404">
        <f>IFERROR(INDEX(PP_Grid[#Data],$DE1404,74),0)</f>
        <v/>
      </c>
      <c r="BZ1404">
        <f>IFERROR(INDEX(PP_Grid[#Data],$DE1404,75),0)</f>
        <v/>
      </c>
      <c r="CA1404">
        <f>IFERROR(INDEX(PP_Grid[#Data],$DE1404,76),0)</f>
        <v/>
      </c>
      <c r="CB1404">
        <f>IFERROR(INDEX(PP_Grid[#Data],$DE1404,77),0)</f>
        <v/>
      </c>
      <c r="CC1404">
        <f>IFERROR(INDEX(PP_Grid[#Data],$DE1404,78),0)</f>
        <v/>
      </c>
      <c r="CD1404">
        <f>IFERROR(INDEX(PP_Grid[#Data],$DE1404,79),0)</f>
        <v/>
      </c>
      <c r="CE1404">
        <f>IFERROR(INDEX(PP_Grid[#Data],$DE1404,80),0)</f>
        <v/>
      </c>
      <c r="CF1404">
        <f>IFERROR(INDEX(PP_Grid[#Data],$DE1404,81),0)</f>
        <v/>
      </c>
      <c r="CG1404">
        <f>IFERROR(INDEX(PP_Grid[#Data],$DE1404,82),0)</f>
        <v/>
      </c>
      <c r="CH1404">
        <f>IFERROR(INDEX(PP_Grid[#Data],$DE1404,83),0)</f>
        <v/>
      </c>
      <c r="CI1404">
        <f>IFERROR(INDEX(PP_Grid[#Data],$DE1404,84),0)</f>
        <v/>
      </c>
      <c r="CJ1404">
        <f>IFERROR(INDEX(PP_Grid[#Data],$DE1404,85),0)</f>
        <v/>
      </c>
      <c r="CK1404">
        <f>IFERROR(INDEX(PP_Grid[#Data],$DE1404,86),0)</f>
        <v/>
      </c>
      <c r="CL1404">
        <f>IFERROR(INDEX(PP_Grid[#Data],$DE1404,87),0)</f>
        <v/>
      </c>
      <c r="CM1404">
        <f>IFERROR(INDEX(PP_Grid[#Data],$DE1404,88),0)</f>
        <v/>
      </c>
      <c r="CN1404">
        <f>IFERROR(INDEX(PP_Grid[#Data],$DE1404,89),0)</f>
        <v/>
      </c>
      <c r="CO1404">
        <f>IFERROR(INDEX(PP_Grid[#Data],$DE1404,90),0)</f>
        <v/>
      </c>
      <c r="CP1404">
        <f>IFERROR(INDEX(PP_Grid[#Data],$DE1404,91),0)</f>
        <v/>
      </c>
      <c r="CQ1404">
        <f>IFERROR(INDEX(PP_Grid[#Data],$DE1404,92),0)</f>
        <v/>
      </c>
      <c r="CR1404">
        <f>IFERROR(INDEX(PP_Grid[#Data],$DE1404,93),0)</f>
        <v/>
      </c>
      <c r="CS1404">
        <f>IFERROR(INDEX(PP_Grid[#Data],$DE1404,94),0)</f>
        <v/>
      </c>
      <c r="CT1404">
        <f>IFERROR(INDEX(PP_Grid[#Data],$DE1404,95),0)</f>
        <v/>
      </c>
      <c r="CU1404">
        <f>IFERROR(INDEX(PP_Grid[#Data],$DE1404,96),0)</f>
        <v/>
      </c>
      <c r="CV1404">
        <f>IFERROR(INDEX(PP_Grid[#Data],$DE1404,97),0)</f>
        <v/>
      </c>
      <c r="CW1404">
        <f>IFERROR(INDEX(PP_Grid[#Data],$DE1404,98),0)</f>
        <v/>
      </c>
      <c r="CX1404">
        <f>IFERROR(INDEX(PP_Grid[#Data],$DE1404,99),0)</f>
        <v/>
      </c>
      <c r="CY1404">
        <f>IFERROR(INDEX(PP_Grid[#Data],$DE1404,100),0)</f>
        <v/>
      </c>
      <c r="CZ1404">
        <f>IFERROR(INDEX(PP_Grid[#Data],$DE1404,101),0)</f>
        <v/>
      </c>
      <c r="DA1404">
        <f>IFERROR(INDEX(PP_Grid[#Data],$DE1404,102),0)</f>
        <v/>
      </c>
      <c r="DB1404">
        <f>IFERROR(INDEX(PP_Grid[#Data],$DE1404,103),0)</f>
        <v/>
      </c>
      <c r="DC1404">
        <f>IFERROR(INDEX(PP_Grid[#Data],$DE1404,104),0)</f>
        <v/>
      </c>
      <c r="DD1404">
        <f>IFERROR(INDEX(PP_Grid[#Data],$DE1404,105),0)</f>
        <v/>
      </c>
      <c r="DE1404" s="7">
        <f>IFERROR(MATCH($B1404,PP_Grid[Intermediate],0),99999)</f>
        <v/>
      </c>
    </row>
    <row r="1405">
      <c r="B1405" t="inlineStr">
        <is>
          <t>使用量(kg)</t>
        </is>
      </c>
      <c r="C1405">
        <f>SUMIFS(M_BOM[RM_Qty_Per_Batch],M_BOM[Intermediate],$B1404,M_BOM[RM_Code],$A1393)</f>
        <v/>
      </c>
      <c r="D1405">
        <f>IFERROR(INDEX(E1405:DD1405,$F$1),"")</f>
        <v/>
      </c>
      <c r="E1405">
        <f>$C1405*E1404</f>
        <v/>
      </c>
      <c r="F1405">
        <f>$C1405*F1404</f>
        <v/>
      </c>
      <c r="G1405">
        <f>$C1405*G1404</f>
        <v/>
      </c>
      <c r="H1405">
        <f>$C1405*H1404</f>
        <v/>
      </c>
      <c r="I1405">
        <f>$C1405*I1404</f>
        <v/>
      </c>
      <c r="J1405">
        <f>$C1405*J1404</f>
        <v/>
      </c>
      <c r="K1405">
        <f>$C1405*K1404</f>
        <v/>
      </c>
      <c r="L1405">
        <f>$C1405*L1404</f>
        <v/>
      </c>
      <c r="M1405">
        <f>$C1405*M1404</f>
        <v/>
      </c>
      <c r="N1405">
        <f>$C1405*N1404</f>
        <v/>
      </c>
      <c r="O1405">
        <f>$C1405*O1404</f>
        <v/>
      </c>
      <c r="P1405">
        <f>$C1405*P1404</f>
        <v/>
      </c>
      <c r="Q1405">
        <f>$C1405*Q1404</f>
        <v/>
      </c>
      <c r="R1405">
        <f>$C1405*R1404</f>
        <v/>
      </c>
      <c r="S1405">
        <f>$C1405*S1404</f>
        <v/>
      </c>
      <c r="T1405">
        <f>$C1405*T1404</f>
        <v/>
      </c>
      <c r="U1405">
        <f>$C1405*U1404</f>
        <v/>
      </c>
      <c r="V1405">
        <f>$C1405*V1404</f>
        <v/>
      </c>
      <c r="W1405">
        <f>$C1405*W1404</f>
        <v/>
      </c>
      <c r="X1405">
        <f>$C1405*X1404</f>
        <v/>
      </c>
      <c r="Y1405">
        <f>$C1405*Y1404</f>
        <v/>
      </c>
      <c r="Z1405">
        <f>$C1405*Z1404</f>
        <v/>
      </c>
      <c r="AA1405">
        <f>$C1405*AA1404</f>
        <v/>
      </c>
      <c r="AB1405">
        <f>$C1405*AB1404</f>
        <v/>
      </c>
      <c r="AC1405">
        <f>$C1405*AC1404</f>
        <v/>
      </c>
      <c r="AD1405">
        <f>$C1405*AD1404</f>
        <v/>
      </c>
      <c r="AE1405">
        <f>$C1405*AE1404</f>
        <v/>
      </c>
      <c r="AF1405">
        <f>$C1405*AF1404</f>
        <v/>
      </c>
      <c r="AG1405">
        <f>$C1405*AG1404</f>
        <v/>
      </c>
      <c r="AH1405">
        <f>$C1405*AH1404</f>
        <v/>
      </c>
      <c r="AI1405">
        <f>$C1405*AI1404</f>
        <v/>
      </c>
      <c r="AJ1405">
        <f>$C1405*AJ1404</f>
        <v/>
      </c>
      <c r="AK1405">
        <f>$C1405*AK1404</f>
        <v/>
      </c>
      <c r="AL1405">
        <f>$C1405*AL1404</f>
        <v/>
      </c>
      <c r="AM1405">
        <f>$C1405*AM1404</f>
        <v/>
      </c>
      <c r="AN1405">
        <f>$C1405*AN1404</f>
        <v/>
      </c>
      <c r="AO1405">
        <f>$C1405*AO1404</f>
        <v/>
      </c>
      <c r="AP1405">
        <f>$C1405*AP1404</f>
        <v/>
      </c>
      <c r="AQ1405">
        <f>$C1405*AQ1404</f>
        <v/>
      </c>
      <c r="AR1405">
        <f>$C1405*AR1404</f>
        <v/>
      </c>
      <c r="AS1405">
        <f>$C1405*AS1404</f>
        <v/>
      </c>
      <c r="AT1405">
        <f>$C1405*AT1404</f>
        <v/>
      </c>
      <c r="AU1405">
        <f>$C1405*AU1404</f>
        <v/>
      </c>
      <c r="AV1405">
        <f>$C1405*AV1404</f>
        <v/>
      </c>
      <c r="AW1405">
        <f>$C1405*AW1404</f>
        <v/>
      </c>
      <c r="AX1405">
        <f>$C1405*AX1404</f>
        <v/>
      </c>
      <c r="AY1405">
        <f>$C1405*AY1404</f>
        <v/>
      </c>
      <c r="AZ1405">
        <f>$C1405*AZ1404</f>
        <v/>
      </c>
      <c r="BA1405">
        <f>$C1405*BA1404</f>
        <v/>
      </c>
      <c r="BB1405">
        <f>$C1405*BB1404</f>
        <v/>
      </c>
      <c r="BC1405">
        <f>$C1405*BC1404</f>
        <v/>
      </c>
      <c r="BD1405">
        <f>$C1405*BD1404</f>
        <v/>
      </c>
      <c r="BE1405">
        <f>$C1405*BE1404</f>
        <v/>
      </c>
      <c r="BF1405">
        <f>$C1405*BF1404</f>
        <v/>
      </c>
      <c r="BG1405">
        <f>$C1405*BG1404</f>
        <v/>
      </c>
      <c r="BH1405">
        <f>$C1405*BH1404</f>
        <v/>
      </c>
      <c r="BI1405">
        <f>$C1405*BI1404</f>
        <v/>
      </c>
      <c r="BJ1405">
        <f>$C1405*BJ1404</f>
        <v/>
      </c>
      <c r="BK1405">
        <f>$C1405*BK1404</f>
        <v/>
      </c>
      <c r="BL1405">
        <f>$C1405*BL1404</f>
        <v/>
      </c>
      <c r="BM1405">
        <f>$C1405*BM1404</f>
        <v/>
      </c>
      <c r="BN1405">
        <f>$C1405*BN1404</f>
        <v/>
      </c>
      <c r="BO1405">
        <f>$C1405*BO1404</f>
        <v/>
      </c>
      <c r="BP1405">
        <f>$C1405*BP1404</f>
        <v/>
      </c>
      <c r="BQ1405">
        <f>$C1405*BQ1404</f>
        <v/>
      </c>
      <c r="BR1405">
        <f>$C1405*BR1404</f>
        <v/>
      </c>
      <c r="BS1405">
        <f>$C1405*BS1404</f>
        <v/>
      </c>
      <c r="BT1405">
        <f>$C1405*BT1404</f>
        <v/>
      </c>
      <c r="BU1405">
        <f>$C1405*BU1404</f>
        <v/>
      </c>
      <c r="BV1405">
        <f>$C1405*BV1404</f>
        <v/>
      </c>
      <c r="BW1405">
        <f>$C1405*BW1404</f>
        <v/>
      </c>
      <c r="BX1405">
        <f>$C1405*BX1404</f>
        <v/>
      </c>
      <c r="BY1405">
        <f>$C1405*BY1404</f>
        <v/>
      </c>
      <c r="BZ1405">
        <f>$C1405*BZ1404</f>
        <v/>
      </c>
      <c r="CA1405">
        <f>$C1405*CA1404</f>
        <v/>
      </c>
      <c r="CB1405">
        <f>$C1405*CB1404</f>
        <v/>
      </c>
      <c r="CC1405">
        <f>$C1405*CC1404</f>
        <v/>
      </c>
      <c r="CD1405">
        <f>$C1405*CD1404</f>
        <v/>
      </c>
      <c r="CE1405">
        <f>$C1405*CE1404</f>
        <v/>
      </c>
      <c r="CF1405">
        <f>$C1405*CF1404</f>
        <v/>
      </c>
      <c r="CG1405">
        <f>$C1405*CG1404</f>
        <v/>
      </c>
      <c r="CH1405">
        <f>$C1405*CH1404</f>
        <v/>
      </c>
      <c r="CI1405">
        <f>$C1405*CI1404</f>
        <v/>
      </c>
      <c r="CJ1405">
        <f>$C1405*CJ1404</f>
        <v/>
      </c>
      <c r="CK1405">
        <f>$C1405*CK1404</f>
        <v/>
      </c>
      <c r="CL1405">
        <f>$C1405*CL1404</f>
        <v/>
      </c>
      <c r="CM1405">
        <f>$C1405*CM1404</f>
        <v/>
      </c>
      <c r="CN1405">
        <f>$C1405*CN1404</f>
        <v/>
      </c>
      <c r="CO1405">
        <f>$C1405*CO1404</f>
        <v/>
      </c>
      <c r="CP1405">
        <f>$C1405*CP1404</f>
        <v/>
      </c>
      <c r="CQ1405">
        <f>$C1405*CQ1404</f>
        <v/>
      </c>
      <c r="CR1405">
        <f>$C1405*CR1404</f>
        <v/>
      </c>
      <c r="CS1405">
        <f>$C1405*CS1404</f>
        <v/>
      </c>
      <c r="CT1405">
        <f>$C1405*CT1404</f>
        <v/>
      </c>
      <c r="CU1405">
        <f>$C1405*CU1404</f>
        <v/>
      </c>
      <c r="CV1405">
        <f>$C1405*CV1404</f>
        <v/>
      </c>
      <c r="CW1405">
        <f>$C1405*CW1404</f>
        <v/>
      </c>
      <c r="CX1405">
        <f>$C1405*CX1404</f>
        <v/>
      </c>
      <c r="CY1405">
        <f>$C1405*CY1404</f>
        <v/>
      </c>
      <c r="CZ1405">
        <f>$C1405*CZ1404</f>
        <v/>
      </c>
      <c r="DA1405">
        <f>$C1405*DA1404</f>
        <v/>
      </c>
      <c r="DB1405">
        <f>$C1405*DB1404</f>
        <v/>
      </c>
      <c r="DC1405">
        <f>$C1405*DC1404</f>
        <v/>
      </c>
      <c r="DD1405">
        <f>$C1405*DD1404</f>
        <v/>
      </c>
    </row>
    <row r="1406">
      <c r="B1406" t="inlineStr">
        <is>
          <t>TSP-936</t>
        </is>
      </c>
      <c r="C1406" t="inlineStr">
        <is>
          <t>No. of batches</t>
        </is>
      </c>
      <c r="D1406">
        <f>IFERROR(INDEX(E1406:DD1406,$F$1),"")</f>
        <v/>
      </c>
      <c r="E1406">
        <f>IFERROR(INDEX(PP_Grid[#Data],$DE1406,2),0)</f>
        <v/>
      </c>
      <c r="F1406">
        <f>IFERROR(INDEX(PP_Grid[#Data],$DE1406,3),0)</f>
        <v/>
      </c>
      <c r="G1406">
        <f>IFERROR(INDEX(PP_Grid[#Data],$DE1406,4),0)</f>
        <v/>
      </c>
      <c r="H1406">
        <f>IFERROR(INDEX(PP_Grid[#Data],$DE1406,5),0)</f>
        <v/>
      </c>
      <c r="I1406">
        <f>IFERROR(INDEX(PP_Grid[#Data],$DE1406,6),0)</f>
        <v/>
      </c>
      <c r="J1406">
        <f>IFERROR(INDEX(PP_Grid[#Data],$DE1406,7),0)</f>
        <v/>
      </c>
      <c r="K1406">
        <f>IFERROR(INDEX(PP_Grid[#Data],$DE1406,8),0)</f>
        <v/>
      </c>
      <c r="L1406">
        <f>IFERROR(INDEX(PP_Grid[#Data],$DE1406,9),0)</f>
        <v/>
      </c>
      <c r="M1406">
        <f>IFERROR(INDEX(PP_Grid[#Data],$DE1406,10),0)</f>
        <v/>
      </c>
      <c r="N1406">
        <f>IFERROR(INDEX(PP_Grid[#Data],$DE1406,11),0)</f>
        <v/>
      </c>
      <c r="O1406">
        <f>IFERROR(INDEX(PP_Grid[#Data],$DE1406,12),0)</f>
        <v/>
      </c>
      <c r="P1406">
        <f>IFERROR(INDEX(PP_Grid[#Data],$DE1406,13),0)</f>
        <v/>
      </c>
      <c r="Q1406">
        <f>IFERROR(INDEX(PP_Grid[#Data],$DE1406,14),0)</f>
        <v/>
      </c>
      <c r="R1406">
        <f>IFERROR(INDEX(PP_Grid[#Data],$DE1406,15),0)</f>
        <v/>
      </c>
      <c r="S1406">
        <f>IFERROR(INDEX(PP_Grid[#Data],$DE1406,16),0)</f>
        <v/>
      </c>
      <c r="T1406">
        <f>IFERROR(INDEX(PP_Grid[#Data],$DE1406,17),0)</f>
        <v/>
      </c>
      <c r="U1406">
        <f>IFERROR(INDEX(PP_Grid[#Data],$DE1406,18),0)</f>
        <v/>
      </c>
      <c r="V1406">
        <f>IFERROR(INDEX(PP_Grid[#Data],$DE1406,19),0)</f>
        <v/>
      </c>
      <c r="W1406">
        <f>IFERROR(INDEX(PP_Grid[#Data],$DE1406,20),0)</f>
        <v/>
      </c>
      <c r="X1406">
        <f>IFERROR(INDEX(PP_Grid[#Data],$DE1406,21),0)</f>
        <v/>
      </c>
      <c r="Y1406">
        <f>IFERROR(INDEX(PP_Grid[#Data],$DE1406,22),0)</f>
        <v/>
      </c>
      <c r="Z1406">
        <f>IFERROR(INDEX(PP_Grid[#Data],$DE1406,23),0)</f>
        <v/>
      </c>
      <c r="AA1406">
        <f>IFERROR(INDEX(PP_Grid[#Data],$DE1406,24),0)</f>
        <v/>
      </c>
      <c r="AB1406">
        <f>IFERROR(INDEX(PP_Grid[#Data],$DE1406,25),0)</f>
        <v/>
      </c>
      <c r="AC1406">
        <f>IFERROR(INDEX(PP_Grid[#Data],$DE1406,26),0)</f>
        <v/>
      </c>
      <c r="AD1406">
        <f>IFERROR(INDEX(PP_Grid[#Data],$DE1406,27),0)</f>
        <v/>
      </c>
      <c r="AE1406">
        <f>IFERROR(INDEX(PP_Grid[#Data],$DE1406,28),0)</f>
        <v/>
      </c>
      <c r="AF1406">
        <f>IFERROR(INDEX(PP_Grid[#Data],$DE1406,29),0)</f>
        <v/>
      </c>
      <c r="AG1406">
        <f>IFERROR(INDEX(PP_Grid[#Data],$DE1406,30),0)</f>
        <v/>
      </c>
      <c r="AH1406">
        <f>IFERROR(INDEX(PP_Grid[#Data],$DE1406,31),0)</f>
        <v/>
      </c>
      <c r="AI1406">
        <f>IFERROR(INDEX(PP_Grid[#Data],$DE1406,32),0)</f>
        <v/>
      </c>
      <c r="AJ1406">
        <f>IFERROR(INDEX(PP_Grid[#Data],$DE1406,33),0)</f>
        <v/>
      </c>
      <c r="AK1406">
        <f>IFERROR(INDEX(PP_Grid[#Data],$DE1406,34),0)</f>
        <v/>
      </c>
      <c r="AL1406">
        <f>IFERROR(INDEX(PP_Grid[#Data],$DE1406,35),0)</f>
        <v/>
      </c>
      <c r="AM1406">
        <f>IFERROR(INDEX(PP_Grid[#Data],$DE1406,36),0)</f>
        <v/>
      </c>
      <c r="AN1406">
        <f>IFERROR(INDEX(PP_Grid[#Data],$DE1406,37),0)</f>
        <v/>
      </c>
      <c r="AO1406">
        <f>IFERROR(INDEX(PP_Grid[#Data],$DE1406,38),0)</f>
        <v/>
      </c>
      <c r="AP1406">
        <f>IFERROR(INDEX(PP_Grid[#Data],$DE1406,39),0)</f>
        <v/>
      </c>
      <c r="AQ1406">
        <f>IFERROR(INDEX(PP_Grid[#Data],$DE1406,40),0)</f>
        <v/>
      </c>
      <c r="AR1406">
        <f>IFERROR(INDEX(PP_Grid[#Data],$DE1406,41),0)</f>
        <v/>
      </c>
      <c r="AS1406">
        <f>IFERROR(INDEX(PP_Grid[#Data],$DE1406,42),0)</f>
        <v/>
      </c>
      <c r="AT1406">
        <f>IFERROR(INDEX(PP_Grid[#Data],$DE1406,43),0)</f>
        <v/>
      </c>
      <c r="AU1406">
        <f>IFERROR(INDEX(PP_Grid[#Data],$DE1406,44),0)</f>
        <v/>
      </c>
      <c r="AV1406">
        <f>IFERROR(INDEX(PP_Grid[#Data],$DE1406,45),0)</f>
        <v/>
      </c>
      <c r="AW1406">
        <f>IFERROR(INDEX(PP_Grid[#Data],$DE1406,46),0)</f>
        <v/>
      </c>
      <c r="AX1406">
        <f>IFERROR(INDEX(PP_Grid[#Data],$DE1406,47),0)</f>
        <v/>
      </c>
      <c r="AY1406">
        <f>IFERROR(INDEX(PP_Grid[#Data],$DE1406,48),0)</f>
        <v/>
      </c>
      <c r="AZ1406">
        <f>IFERROR(INDEX(PP_Grid[#Data],$DE1406,49),0)</f>
        <v/>
      </c>
      <c r="BA1406">
        <f>IFERROR(INDEX(PP_Grid[#Data],$DE1406,50),0)</f>
        <v/>
      </c>
      <c r="BB1406">
        <f>IFERROR(INDEX(PP_Grid[#Data],$DE1406,51),0)</f>
        <v/>
      </c>
      <c r="BC1406">
        <f>IFERROR(INDEX(PP_Grid[#Data],$DE1406,52),0)</f>
        <v/>
      </c>
      <c r="BD1406">
        <f>IFERROR(INDEX(PP_Grid[#Data],$DE1406,53),0)</f>
        <v/>
      </c>
      <c r="BE1406">
        <f>IFERROR(INDEX(PP_Grid[#Data],$DE1406,54),0)</f>
        <v/>
      </c>
      <c r="BF1406">
        <f>IFERROR(INDEX(PP_Grid[#Data],$DE1406,55),0)</f>
        <v/>
      </c>
      <c r="BG1406">
        <f>IFERROR(INDEX(PP_Grid[#Data],$DE1406,56),0)</f>
        <v/>
      </c>
      <c r="BH1406">
        <f>IFERROR(INDEX(PP_Grid[#Data],$DE1406,57),0)</f>
        <v/>
      </c>
      <c r="BI1406">
        <f>IFERROR(INDEX(PP_Grid[#Data],$DE1406,58),0)</f>
        <v/>
      </c>
      <c r="BJ1406">
        <f>IFERROR(INDEX(PP_Grid[#Data],$DE1406,59),0)</f>
        <v/>
      </c>
      <c r="BK1406">
        <f>IFERROR(INDEX(PP_Grid[#Data],$DE1406,60),0)</f>
        <v/>
      </c>
      <c r="BL1406">
        <f>IFERROR(INDEX(PP_Grid[#Data],$DE1406,61),0)</f>
        <v/>
      </c>
      <c r="BM1406">
        <f>IFERROR(INDEX(PP_Grid[#Data],$DE1406,62),0)</f>
        <v/>
      </c>
      <c r="BN1406">
        <f>IFERROR(INDEX(PP_Grid[#Data],$DE1406,63),0)</f>
        <v/>
      </c>
      <c r="BO1406">
        <f>IFERROR(INDEX(PP_Grid[#Data],$DE1406,64),0)</f>
        <v/>
      </c>
      <c r="BP1406">
        <f>IFERROR(INDEX(PP_Grid[#Data],$DE1406,65),0)</f>
        <v/>
      </c>
      <c r="BQ1406">
        <f>IFERROR(INDEX(PP_Grid[#Data],$DE1406,66),0)</f>
        <v/>
      </c>
      <c r="BR1406">
        <f>IFERROR(INDEX(PP_Grid[#Data],$DE1406,67),0)</f>
        <v/>
      </c>
      <c r="BS1406">
        <f>IFERROR(INDEX(PP_Grid[#Data],$DE1406,68),0)</f>
        <v/>
      </c>
      <c r="BT1406">
        <f>IFERROR(INDEX(PP_Grid[#Data],$DE1406,69),0)</f>
        <v/>
      </c>
      <c r="BU1406">
        <f>IFERROR(INDEX(PP_Grid[#Data],$DE1406,70),0)</f>
        <v/>
      </c>
      <c r="BV1406">
        <f>IFERROR(INDEX(PP_Grid[#Data],$DE1406,71),0)</f>
        <v/>
      </c>
      <c r="BW1406">
        <f>IFERROR(INDEX(PP_Grid[#Data],$DE1406,72),0)</f>
        <v/>
      </c>
      <c r="BX1406">
        <f>IFERROR(INDEX(PP_Grid[#Data],$DE1406,73),0)</f>
        <v/>
      </c>
      <c r="BY1406">
        <f>IFERROR(INDEX(PP_Grid[#Data],$DE1406,74),0)</f>
        <v/>
      </c>
      <c r="BZ1406">
        <f>IFERROR(INDEX(PP_Grid[#Data],$DE1406,75),0)</f>
        <v/>
      </c>
      <c r="CA1406">
        <f>IFERROR(INDEX(PP_Grid[#Data],$DE1406,76),0)</f>
        <v/>
      </c>
      <c r="CB1406">
        <f>IFERROR(INDEX(PP_Grid[#Data],$DE1406,77),0)</f>
        <v/>
      </c>
      <c r="CC1406">
        <f>IFERROR(INDEX(PP_Grid[#Data],$DE1406,78),0)</f>
        <v/>
      </c>
      <c r="CD1406">
        <f>IFERROR(INDEX(PP_Grid[#Data],$DE1406,79),0)</f>
        <v/>
      </c>
      <c r="CE1406">
        <f>IFERROR(INDEX(PP_Grid[#Data],$DE1406,80),0)</f>
        <v/>
      </c>
      <c r="CF1406">
        <f>IFERROR(INDEX(PP_Grid[#Data],$DE1406,81),0)</f>
        <v/>
      </c>
      <c r="CG1406">
        <f>IFERROR(INDEX(PP_Grid[#Data],$DE1406,82),0)</f>
        <v/>
      </c>
      <c r="CH1406">
        <f>IFERROR(INDEX(PP_Grid[#Data],$DE1406,83),0)</f>
        <v/>
      </c>
      <c r="CI1406">
        <f>IFERROR(INDEX(PP_Grid[#Data],$DE1406,84),0)</f>
        <v/>
      </c>
      <c r="CJ1406">
        <f>IFERROR(INDEX(PP_Grid[#Data],$DE1406,85),0)</f>
        <v/>
      </c>
      <c r="CK1406">
        <f>IFERROR(INDEX(PP_Grid[#Data],$DE1406,86),0)</f>
        <v/>
      </c>
      <c r="CL1406">
        <f>IFERROR(INDEX(PP_Grid[#Data],$DE1406,87),0)</f>
        <v/>
      </c>
      <c r="CM1406">
        <f>IFERROR(INDEX(PP_Grid[#Data],$DE1406,88),0)</f>
        <v/>
      </c>
      <c r="CN1406">
        <f>IFERROR(INDEX(PP_Grid[#Data],$DE1406,89),0)</f>
        <v/>
      </c>
      <c r="CO1406">
        <f>IFERROR(INDEX(PP_Grid[#Data],$DE1406,90),0)</f>
        <v/>
      </c>
      <c r="CP1406">
        <f>IFERROR(INDEX(PP_Grid[#Data],$DE1406,91),0)</f>
        <v/>
      </c>
      <c r="CQ1406">
        <f>IFERROR(INDEX(PP_Grid[#Data],$DE1406,92),0)</f>
        <v/>
      </c>
      <c r="CR1406">
        <f>IFERROR(INDEX(PP_Grid[#Data],$DE1406,93),0)</f>
        <v/>
      </c>
      <c r="CS1406">
        <f>IFERROR(INDEX(PP_Grid[#Data],$DE1406,94),0)</f>
        <v/>
      </c>
      <c r="CT1406">
        <f>IFERROR(INDEX(PP_Grid[#Data],$DE1406,95),0)</f>
        <v/>
      </c>
      <c r="CU1406">
        <f>IFERROR(INDEX(PP_Grid[#Data],$DE1406,96),0)</f>
        <v/>
      </c>
      <c r="CV1406">
        <f>IFERROR(INDEX(PP_Grid[#Data],$DE1406,97),0)</f>
        <v/>
      </c>
      <c r="CW1406">
        <f>IFERROR(INDEX(PP_Grid[#Data],$DE1406,98),0)</f>
        <v/>
      </c>
      <c r="CX1406">
        <f>IFERROR(INDEX(PP_Grid[#Data],$DE1406,99),0)</f>
        <v/>
      </c>
      <c r="CY1406">
        <f>IFERROR(INDEX(PP_Grid[#Data],$DE1406,100),0)</f>
        <v/>
      </c>
      <c r="CZ1406">
        <f>IFERROR(INDEX(PP_Grid[#Data],$DE1406,101),0)</f>
        <v/>
      </c>
      <c r="DA1406">
        <f>IFERROR(INDEX(PP_Grid[#Data],$DE1406,102),0)</f>
        <v/>
      </c>
      <c r="DB1406">
        <f>IFERROR(INDEX(PP_Grid[#Data],$DE1406,103),0)</f>
        <v/>
      </c>
      <c r="DC1406">
        <f>IFERROR(INDEX(PP_Grid[#Data],$DE1406,104),0)</f>
        <v/>
      </c>
      <c r="DD1406">
        <f>IFERROR(INDEX(PP_Grid[#Data],$DE1406,105),0)</f>
        <v/>
      </c>
      <c r="DE1406" s="7">
        <f>IFERROR(MATCH($B1406,PP_Grid[Intermediate],0),99999)</f>
        <v/>
      </c>
    </row>
    <row r="1407">
      <c r="B1407" t="inlineStr">
        <is>
          <t>使用量(kg)</t>
        </is>
      </c>
      <c r="C1407">
        <f>SUMIFS(M_BOM[RM_Qty_Per_Batch],M_BOM[Intermediate],$B1406,M_BOM[RM_Code],$A1393)</f>
        <v/>
      </c>
      <c r="D1407">
        <f>IFERROR(INDEX(E1407:DD1407,$F$1),"")</f>
        <v/>
      </c>
      <c r="E1407">
        <f>$C1407*E1406</f>
        <v/>
      </c>
      <c r="F1407">
        <f>$C1407*F1406</f>
        <v/>
      </c>
      <c r="G1407">
        <f>$C1407*G1406</f>
        <v/>
      </c>
      <c r="H1407">
        <f>$C1407*H1406</f>
        <v/>
      </c>
      <c r="I1407">
        <f>$C1407*I1406</f>
        <v/>
      </c>
      <c r="J1407">
        <f>$C1407*J1406</f>
        <v/>
      </c>
      <c r="K1407">
        <f>$C1407*K1406</f>
        <v/>
      </c>
      <c r="L1407">
        <f>$C1407*L1406</f>
        <v/>
      </c>
      <c r="M1407">
        <f>$C1407*M1406</f>
        <v/>
      </c>
      <c r="N1407">
        <f>$C1407*N1406</f>
        <v/>
      </c>
      <c r="O1407">
        <f>$C1407*O1406</f>
        <v/>
      </c>
      <c r="P1407">
        <f>$C1407*P1406</f>
        <v/>
      </c>
      <c r="Q1407">
        <f>$C1407*Q1406</f>
        <v/>
      </c>
      <c r="R1407">
        <f>$C1407*R1406</f>
        <v/>
      </c>
      <c r="S1407">
        <f>$C1407*S1406</f>
        <v/>
      </c>
      <c r="T1407">
        <f>$C1407*T1406</f>
        <v/>
      </c>
      <c r="U1407">
        <f>$C1407*U1406</f>
        <v/>
      </c>
      <c r="V1407">
        <f>$C1407*V1406</f>
        <v/>
      </c>
      <c r="W1407">
        <f>$C1407*W1406</f>
        <v/>
      </c>
      <c r="X1407">
        <f>$C1407*X1406</f>
        <v/>
      </c>
      <c r="Y1407">
        <f>$C1407*Y1406</f>
        <v/>
      </c>
      <c r="Z1407">
        <f>$C1407*Z1406</f>
        <v/>
      </c>
      <c r="AA1407">
        <f>$C1407*AA1406</f>
        <v/>
      </c>
      <c r="AB1407">
        <f>$C1407*AB1406</f>
        <v/>
      </c>
      <c r="AC1407">
        <f>$C1407*AC1406</f>
        <v/>
      </c>
      <c r="AD1407">
        <f>$C1407*AD1406</f>
        <v/>
      </c>
      <c r="AE1407">
        <f>$C1407*AE1406</f>
        <v/>
      </c>
      <c r="AF1407">
        <f>$C1407*AF1406</f>
        <v/>
      </c>
      <c r="AG1407">
        <f>$C1407*AG1406</f>
        <v/>
      </c>
      <c r="AH1407">
        <f>$C1407*AH1406</f>
        <v/>
      </c>
      <c r="AI1407">
        <f>$C1407*AI1406</f>
        <v/>
      </c>
      <c r="AJ1407">
        <f>$C1407*AJ1406</f>
        <v/>
      </c>
      <c r="AK1407">
        <f>$C1407*AK1406</f>
        <v/>
      </c>
      <c r="AL1407">
        <f>$C1407*AL1406</f>
        <v/>
      </c>
      <c r="AM1407">
        <f>$C1407*AM1406</f>
        <v/>
      </c>
      <c r="AN1407">
        <f>$C1407*AN1406</f>
        <v/>
      </c>
      <c r="AO1407">
        <f>$C1407*AO1406</f>
        <v/>
      </c>
      <c r="AP1407">
        <f>$C1407*AP1406</f>
        <v/>
      </c>
      <c r="AQ1407">
        <f>$C1407*AQ1406</f>
        <v/>
      </c>
      <c r="AR1407">
        <f>$C1407*AR1406</f>
        <v/>
      </c>
      <c r="AS1407">
        <f>$C1407*AS1406</f>
        <v/>
      </c>
      <c r="AT1407">
        <f>$C1407*AT1406</f>
        <v/>
      </c>
      <c r="AU1407">
        <f>$C1407*AU1406</f>
        <v/>
      </c>
      <c r="AV1407">
        <f>$C1407*AV1406</f>
        <v/>
      </c>
      <c r="AW1407">
        <f>$C1407*AW1406</f>
        <v/>
      </c>
      <c r="AX1407">
        <f>$C1407*AX1406</f>
        <v/>
      </c>
      <c r="AY1407">
        <f>$C1407*AY1406</f>
        <v/>
      </c>
      <c r="AZ1407">
        <f>$C1407*AZ1406</f>
        <v/>
      </c>
      <c r="BA1407">
        <f>$C1407*BA1406</f>
        <v/>
      </c>
      <c r="BB1407">
        <f>$C1407*BB1406</f>
        <v/>
      </c>
      <c r="BC1407">
        <f>$C1407*BC1406</f>
        <v/>
      </c>
      <c r="BD1407">
        <f>$C1407*BD1406</f>
        <v/>
      </c>
      <c r="BE1407">
        <f>$C1407*BE1406</f>
        <v/>
      </c>
      <c r="BF1407">
        <f>$C1407*BF1406</f>
        <v/>
      </c>
      <c r="BG1407">
        <f>$C1407*BG1406</f>
        <v/>
      </c>
      <c r="BH1407">
        <f>$C1407*BH1406</f>
        <v/>
      </c>
      <c r="BI1407">
        <f>$C1407*BI1406</f>
        <v/>
      </c>
      <c r="BJ1407">
        <f>$C1407*BJ1406</f>
        <v/>
      </c>
      <c r="BK1407">
        <f>$C1407*BK1406</f>
        <v/>
      </c>
      <c r="BL1407">
        <f>$C1407*BL1406</f>
        <v/>
      </c>
      <c r="BM1407">
        <f>$C1407*BM1406</f>
        <v/>
      </c>
      <c r="BN1407">
        <f>$C1407*BN1406</f>
        <v/>
      </c>
      <c r="BO1407">
        <f>$C1407*BO1406</f>
        <v/>
      </c>
      <c r="BP1407">
        <f>$C1407*BP1406</f>
        <v/>
      </c>
      <c r="BQ1407">
        <f>$C1407*BQ1406</f>
        <v/>
      </c>
      <c r="BR1407">
        <f>$C1407*BR1406</f>
        <v/>
      </c>
      <c r="BS1407">
        <f>$C1407*BS1406</f>
        <v/>
      </c>
      <c r="BT1407">
        <f>$C1407*BT1406</f>
        <v/>
      </c>
      <c r="BU1407">
        <f>$C1407*BU1406</f>
        <v/>
      </c>
      <c r="BV1407">
        <f>$C1407*BV1406</f>
        <v/>
      </c>
      <c r="BW1407">
        <f>$C1407*BW1406</f>
        <v/>
      </c>
      <c r="BX1407">
        <f>$C1407*BX1406</f>
        <v/>
      </c>
      <c r="BY1407">
        <f>$C1407*BY1406</f>
        <v/>
      </c>
      <c r="BZ1407">
        <f>$C1407*BZ1406</f>
        <v/>
      </c>
      <c r="CA1407">
        <f>$C1407*CA1406</f>
        <v/>
      </c>
      <c r="CB1407">
        <f>$C1407*CB1406</f>
        <v/>
      </c>
      <c r="CC1407">
        <f>$C1407*CC1406</f>
        <v/>
      </c>
      <c r="CD1407">
        <f>$C1407*CD1406</f>
        <v/>
      </c>
      <c r="CE1407">
        <f>$C1407*CE1406</f>
        <v/>
      </c>
      <c r="CF1407">
        <f>$C1407*CF1406</f>
        <v/>
      </c>
      <c r="CG1407">
        <f>$C1407*CG1406</f>
        <v/>
      </c>
      <c r="CH1407">
        <f>$C1407*CH1406</f>
        <v/>
      </c>
      <c r="CI1407">
        <f>$C1407*CI1406</f>
        <v/>
      </c>
      <c r="CJ1407">
        <f>$C1407*CJ1406</f>
        <v/>
      </c>
      <c r="CK1407">
        <f>$C1407*CK1406</f>
        <v/>
      </c>
      <c r="CL1407">
        <f>$C1407*CL1406</f>
        <v/>
      </c>
      <c r="CM1407">
        <f>$C1407*CM1406</f>
        <v/>
      </c>
      <c r="CN1407">
        <f>$C1407*CN1406</f>
        <v/>
      </c>
      <c r="CO1407">
        <f>$C1407*CO1406</f>
        <v/>
      </c>
      <c r="CP1407">
        <f>$C1407*CP1406</f>
        <v/>
      </c>
      <c r="CQ1407">
        <f>$C1407*CQ1406</f>
        <v/>
      </c>
      <c r="CR1407">
        <f>$C1407*CR1406</f>
        <v/>
      </c>
      <c r="CS1407">
        <f>$C1407*CS1406</f>
        <v/>
      </c>
      <c r="CT1407">
        <f>$C1407*CT1406</f>
        <v/>
      </c>
      <c r="CU1407">
        <f>$C1407*CU1406</f>
        <v/>
      </c>
      <c r="CV1407">
        <f>$C1407*CV1406</f>
        <v/>
      </c>
      <c r="CW1407">
        <f>$C1407*CW1406</f>
        <v/>
      </c>
      <c r="CX1407">
        <f>$C1407*CX1406</f>
        <v/>
      </c>
      <c r="CY1407">
        <f>$C1407*CY1406</f>
        <v/>
      </c>
      <c r="CZ1407">
        <f>$C1407*CZ1406</f>
        <v/>
      </c>
      <c r="DA1407">
        <f>$C1407*DA1406</f>
        <v/>
      </c>
      <c r="DB1407">
        <f>$C1407*DB1406</f>
        <v/>
      </c>
      <c r="DC1407">
        <f>$C1407*DC1406</f>
        <v/>
      </c>
      <c r="DD1407">
        <f>$C1407*DD1406</f>
        <v/>
      </c>
    </row>
    <row r="1408">
      <c r="B1408" t="inlineStr">
        <is>
          <t>TSP-937</t>
        </is>
      </c>
      <c r="C1408" t="inlineStr">
        <is>
          <t>No. of batches</t>
        </is>
      </c>
      <c r="D1408">
        <f>IFERROR(INDEX(E1408:DD1408,$F$1),"")</f>
        <v/>
      </c>
      <c r="E1408">
        <f>IFERROR(INDEX(PP_Grid[#Data],$DE1408,2),0)</f>
        <v/>
      </c>
      <c r="F1408">
        <f>IFERROR(INDEX(PP_Grid[#Data],$DE1408,3),0)</f>
        <v/>
      </c>
      <c r="G1408">
        <f>IFERROR(INDEX(PP_Grid[#Data],$DE1408,4),0)</f>
        <v/>
      </c>
      <c r="H1408">
        <f>IFERROR(INDEX(PP_Grid[#Data],$DE1408,5),0)</f>
        <v/>
      </c>
      <c r="I1408">
        <f>IFERROR(INDEX(PP_Grid[#Data],$DE1408,6),0)</f>
        <v/>
      </c>
      <c r="J1408">
        <f>IFERROR(INDEX(PP_Grid[#Data],$DE1408,7),0)</f>
        <v/>
      </c>
      <c r="K1408">
        <f>IFERROR(INDEX(PP_Grid[#Data],$DE1408,8),0)</f>
        <v/>
      </c>
      <c r="L1408">
        <f>IFERROR(INDEX(PP_Grid[#Data],$DE1408,9),0)</f>
        <v/>
      </c>
      <c r="M1408">
        <f>IFERROR(INDEX(PP_Grid[#Data],$DE1408,10),0)</f>
        <v/>
      </c>
      <c r="N1408">
        <f>IFERROR(INDEX(PP_Grid[#Data],$DE1408,11),0)</f>
        <v/>
      </c>
      <c r="O1408">
        <f>IFERROR(INDEX(PP_Grid[#Data],$DE1408,12),0)</f>
        <v/>
      </c>
      <c r="P1408">
        <f>IFERROR(INDEX(PP_Grid[#Data],$DE1408,13),0)</f>
        <v/>
      </c>
      <c r="Q1408">
        <f>IFERROR(INDEX(PP_Grid[#Data],$DE1408,14),0)</f>
        <v/>
      </c>
      <c r="R1408">
        <f>IFERROR(INDEX(PP_Grid[#Data],$DE1408,15),0)</f>
        <v/>
      </c>
      <c r="S1408">
        <f>IFERROR(INDEX(PP_Grid[#Data],$DE1408,16),0)</f>
        <v/>
      </c>
      <c r="T1408">
        <f>IFERROR(INDEX(PP_Grid[#Data],$DE1408,17),0)</f>
        <v/>
      </c>
      <c r="U1408">
        <f>IFERROR(INDEX(PP_Grid[#Data],$DE1408,18),0)</f>
        <v/>
      </c>
      <c r="V1408">
        <f>IFERROR(INDEX(PP_Grid[#Data],$DE1408,19),0)</f>
        <v/>
      </c>
      <c r="W1408">
        <f>IFERROR(INDEX(PP_Grid[#Data],$DE1408,20),0)</f>
        <v/>
      </c>
      <c r="X1408">
        <f>IFERROR(INDEX(PP_Grid[#Data],$DE1408,21),0)</f>
        <v/>
      </c>
      <c r="Y1408">
        <f>IFERROR(INDEX(PP_Grid[#Data],$DE1408,22),0)</f>
        <v/>
      </c>
      <c r="Z1408">
        <f>IFERROR(INDEX(PP_Grid[#Data],$DE1408,23),0)</f>
        <v/>
      </c>
      <c r="AA1408">
        <f>IFERROR(INDEX(PP_Grid[#Data],$DE1408,24),0)</f>
        <v/>
      </c>
      <c r="AB1408">
        <f>IFERROR(INDEX(PP_Grid[#Data],$DE1408,25),0)</f>
        <v/>
      </c>
      <c r="AC1408">
        <f>IFERROR(INDEX(PP_Grid[#Data],$DE1408,26),0)</f>
        <v/>
      </c>
      <c r="AD1408">
        <f>IFERROR(INDEX(PP_Grid[#Data],$DE1408,27),0)</f>
        <v/>
      </c>
      <c r="AE1408">
        <f>IFERROR(INDEX(PP_Grid[#Data],$DE1408,28),0)</f>
        <v/>
      </c>
      <c r="AF1408">
        <f>IFERROR(INDEX(PP_Grid[#Data],$DE1408,29),0)</f>
        <v/>
      </c>
      <c r="AG1408">
        <f>IFERROR(INDEX(PP_Grid[#Data],$DE1408,30),0)</f>
        <v/>
      </c>
      <c r="AH1408">
        <f>IFERROR(INDEX(PP_Grid[#Data],$DE1408,31),0)</f>
        <v/>
      </c>
      <c r="AI1408">
        <f>IFERROR(INDEX(PP_Grid[#Data],$DE1408,32),0)</f>
        <v/>
      </c>
      <c r="AJ1408">
        <f>IFERROR(INDEX(PP_Grid[#Data],$DE1408,33),0)</f>
        <v/>
      </c>
      <c r="AK1408">
        <f>IFERROR(INDEX(PP_Grid[#Data],$DE1408,34),0)</f>
        <v/>
      </c>
      <c r="AL1408">
        <f>IFERROR(INDEX(PP_Grid[#Data],$DE1408,35),0)</f>
        <v/>
      </c>
      <c r="AM1408">
        <f>IFERROR(INDEX(PP_Grid[#Data],$DE1408,36),0)</f>
        <v/>
      </c>
      <c r="AN1408">
        <f>IFERROR(INDEX(PP_Grid[#Data],$DE1408,37),0)</f>
        <v/>
      </c>
      <c r="AO1408">
        <f>IFERROR(INDEX(PP_Grid[#Data],$DE1408,38),0)</f>
        <v/>
      </c>
      <c r="AP1408">
        <f>IFERROR(INDEX(PP_Grid[#Data],$DE1408,39),0)</f>
        <v/>
      </c>
      <c r="AQ1408">
        <f>IFERROR(INDEX(PP_Grid[#Data],$DE1408,40),0)</f>
        <v/>
      </c>
      <c r="AR1408">
        <f>IFERROR(INDEX(PP_Grid[#Data],$DE1408,41),0)</f>
        <v/>
      </c>
      <c r="AS1408">
        <f>IFERROR(INDEX(PP_Grid[#Data],$DE1408,42),0)</f>
        <v/>
      </c>
      <c r="AT1408">
        <f>IFERROR(INDEX(PP_Grid[#Data],$DE1408,43),0)</f>
        <v/>
      </c>
      <c r="AU1408">
        <f>IFERROR(INDEX(PP_Grid[#Data],$DE1408,44),0)</f>
        <v/>
      </c>
      <c r="AV1408">
        <f>IFERROR(INDEX(PP_Grid[#Data],$DE1408,45),0)</f>
        <v/>
      </c>
      <c r="AW1408">
        <f>IFERROR(INDEX(PP_Grid[#Data],$DE1408,46),0)</f>
        <v/>
      </c>
      <c r="AX1408">
        <f>IFERROR(INDEX(PP_Grid[#Data],$DE1408,47),0)</f>
        <v/>
      </c>
      <c r="AY1408">
        <f>IFERROR(INDEX(PP_Grid[#Data],$DE1408,48),0)</f>
        <v/>
      </c>
      <c r="AZ1408">
        <f>IFERROR(INDEX(PP_Grid[#Data],$DE1408,49),0)</f>
        <v/>
      </c>
      <c r="BA1408">
        <f>IFERROR(INDEX(PP_Grid[#Data],$DE1408,50),0)</f>
        <v/>
      </c>
      <c r="BB1408">
        <f>IFERROR(INDEX(PP_Grid[#Data],$DE1408,51),0)</f>
        <v/>
      </c>
      <c r="BC1408">
        <f>IFERROR(INDEX(PP_Grid[#Data],$DE1408,52),0)</f>
        <v/>
      </c>
      <c r="BD1408">
        <f>IFERROR(INDEX(PP_Grid[#Data],$DE1408,53),0)</f>
        <v/>
      </c>
      <c r="BE1408">
        <f>IFERROR(INDEX(PP_Grid[#Data],$DE1408,54),0)</f>
        <v/>
      </c>
      <c r="BF1408">
        <f>IFERROR(INDEX(PP_Grid[#Data],$DE1408,55),0)</f>
        <v/>
      </c>
      <c r="BG1408">
        <f>IFERROR(INDEX(PP_Grid[#Data],$DE1408,56),0)</f>
        <v/>
      </c>
      <c r="BH1408">
        <f>IFERROR(INDEX(PP_Grid[#Data],$DE1408,57),0)</f>
        <v/>
      </c>
      <c r="BI1408">
        <f>IFERROR(INDEX(PP_Grid[#Data],$DE1408,58),0)</f>
        <v/>
      </c>
      <c r="BJ1408">
        <f>IFERROR(INDEX(PP_Grid[#Data],$DE1408,59),0)</f>
        <v/>
      </c>
      <c r="BK1408">
        <f>IFERROR(INDEX(PP_Grid[#Data],$DE1408,60),0)</f>
        <v/>
      </c>
      <c r="BL1408">
        <f>IFERROR(INDEX(PP_Grid[#Data],$DE1408,61),0)</f>
        <v/>
      </c>
      <c r="BM1408">
        <f>IFERROR(INDEX(PP_Grid[#Data],$DE1408,62),0)</f>
        <v/>
      </c>
      <c r="BN1408">
        <f>IFERROR(INDEX(PP_Grid[#Data],$DE1408,63),0)</f>
        <v/>
      </c>
      <c r="BO1408">
        <f>IFERROR(INDEX(PP_Grid[#Data],$DE1408,64),0)</f>
        <v/>
      </c>
      <c r="BP1408">
        <f>IFERROR(INDEX(PP_Grid[#Data],$DE1408,65),0)</f>
        <v/>
      </c>
      <c r="BQ1408">
        <f>IFERROR(INDEX(PP_Grid[#Data],$DE1408,66),0)</f>
        <v/>
      </c>
      <c r="BR1408">
        <f>IFERROR(INDEX(PP_Grid[#Data],$DE1408,67),0)</f>
        <v/>
      </c>
      <c r="BS1408">
        <f>IFERROR(INDEX(PP_Grid[#Data],$DE1408,68),0)</f>
        <v/>
      </c>
      <c r="BT1408">
        <f>IFERROR(INDEX(PP_Grid[#Data],$DE1408,69),0)</f>
        <v/>
      </c>
      <c r="BU1408">
        <f>IFERROR(INDEX(PP_Grid[#Data],$DE1408,70),0)</f>
        <v/>
      </c>
      <c r="BV1408">
        <f>IFERROR(INDEX(PP_Grid[#Data],$DE1408,71),0)</f>
        <v/>
      </c>
      <c r="BW1408">
        <f>IFERROR(INDEX(PP_Grid[#Data],$DE1408,72),0)</f>
        <v/>
      </c>
      <c r="BX1408">
        <f>IFERROR(INDEX(PP_Grid[#Data],$DE1408,73),0)</f>
        <v/>
      </c>
      <c r="BY1408">
        <f>IFERROR(INDEX(PP_Grid[#Data],$DE1408,74),0)</f>
        <v/>
      </c>
      <c r="BZ1408">
        <f>IFERROR(INDEX(PP_Grid[#Data],$DE1408,75),0)</f>
        <v/>
      </c>
      <c r="CA1408">
        <f>IFERROR(INDEX(PP_Grid[#Data],$DE1408,76),0)</f>
        <v/>
      </c>
      <c r="CB1408">
        <f>IFERROR(INDEX(PP_Grid[#Data],$DE1408,77),0)</f>
        <v/>
      </c>
      <c r="CC1408">
        <f>IFERROR(INDEX(PP_Grid[#Data],$DE1408,78),0)</f>
        <v/>
      </c>
      <c r="CD1408">
        <f>IFERROR(INDEX(PP_Grid[#Data],$DE1408,79),0)</f>
        <v/>
      </c>
      <c r="CE1408">
        <f>IFERROR(INDEX(PP_Grid[#Data],$DE1408,80),0)</f>
        <v/>
      </c>
      <c r="CF1408">
        <f>IFERROR(INDEX(PP_Grid[#Data],$DE1408,81),0)</f>
        <v/>
      </c>
      <c r="CG1408">
        <f>IFERROR(INDEX(PP_Grid[#Data],$DE1408,82),0)</f>
        <v/>
      </c>
      <c r="CH1408">
        <f>IFERROR(INDEX(PP_Grid[#Data],$DE1408,83),0)</f>
        <v/>
      </c>
      <c r="CI1408">
        <f>IFERROR(INDEX(PP_Grid[#Data],$DE1408,84),0)</f>
        <v/>
      </c>
      <c r="CJ1408">
        <f>IFERROR(INDEX(PP_Grid[#Data],$DE1408,85),0)</f>
        <v/>
      </c>
      <c r="CK1408">
        <f>IFERROR(INDEX(PP_Grid[#Data],$DE1408,86),0)</f>
        <v/>
      </c>
      <c r="CL1408">
        <f>IFERROR(INDEX(PP_Grid[#Data],$DE1408,87),0)</f>
        <v/>
      </c>
      <c r="CM1408">
        <f>IFERROR(INDEX(PP_Grid[#Data],$DE1408,88),0)</f>
        <v/>
      </c>
      <c r="CN1408">
        <f>IFERROR(INDEX(PP_Grid[#Data],$DE1408,89),0)</f>
        <v/>
      </c>
      <c r="CO1408">
        <f>IFERROR(INDEX(PP_Grid[#Data],$DE1408,90),0)</f>
        <v/>
      </c>
      <c r="CP1408">
        <f>IFERROR(INDEX(PP_Grid[#Data],$DE1408,91),0)</f>
        <v/>
      </c>
      <c r="CQ1408">
        <f>IFERROR(INDEX(PP_Grid[#Data],$DE1408,92),0)</f>
        <v/>
      </c>
      <c r="CR1408">
        <f>IFERROR(INDEX(PP_Grid[#Data],$DE1408,93),0)</f>
        <v/>
      </c>
      <c r="CS1408">
        <f>IFERROR(INDEX(PP_Grid[#Data],$DE1408,94),0)</f>
        <v/>
      </c>
      <c r="CT1408">
        <f>IFERROR(INDEX(PP_Grid[#Data],$DE1408,95),0)</f>
        <v/>
      </c>
      <c r="CU1408">
        <f>IFERROR(INDEX(PP_Grid[#Data],$DE1408,96),0)</f>
        <v/>
      </c>
      <c r="CV1408">
        <f>IFERROR(INDEX(PP_Grid[#Data],$DE1408,97),0)</f>
        <v/>
      </c>
      <c r="CW1408">
        <f>IFERROR(INDEX(PP_Grid[#Data],$DE1408,98),0)</f>
        <v/>
      </c>
      <c r="CX1408">
        <f>IFERROR(INDEX(PP_Grid[#Data],$DE1408,99),0)</f>
        <v/>
      </c>
      <c r="CY1408">
        <f>IFERROR(INDEX(PP_Grid[#Data],$DE1408,100),0)</f>
        <v/>
      </c>
      <c r="CZ1408">
        <f>IFERROR(INDEX(PP_Grid[#Data],$DE1408,101),0)</f>
        <v/>
      </c>
      <c r="DA1408">
        <f>IFERROR(INDEX(PP_Grid[#Data],$DE1408,102),0)</f>
        <v/>
      </c>
      <c r="DB1408">
        <f>IFERROR(INDEX(PP_Grid[#Data],$DE1408,103),0)</f>
        <v/>
      </c>
      <c r="DC1408">
        <f>IFERROR(INDEX(PP_Grid[#Data],$DE1408,104),0)</f>
        <v/>
      </c>
      <c r="DD1408">
        <f>IFERROR(INDEX(PP_Grid[#Data],$DE1408,105),0)</f>
        <v/>
      </c>
      <c r="DE1408" s="7">
        <f>IFERROR(MATCH($B1408,PP_Grid[Intermediate],0),99999)</f>
        <v/>
      </c>
    </row>
    <row r="1409">
      <c r="B1409" t="inlineStr">
        <is>
          <t>使用量(kg)</t>
        </is>
      </c>
      <c r="C1409">
        <f>SUMIFS(M_BOM[RM_Qty_Per_Batch],M_BOM[Intermediate],$B1408,M_BOM[RM_Code],$A1393)</f>
        <v/>
      </c>
      <c r="D1409">
        <f>IFERROR(INDEX(E1409:DD1409,$F$1),"")</f>
        <v/>
      </c>
      <c r="E1409">
        <f>$C1409*E1408</f>
        <v/>
      </c>
      <c r="F1409">
        <f>$C1409*F1408</f>
        <v/>
      </c>
      <c r="G1409">
        <f>$C1409*G1408</f>
        <v/>
      </c>
      <c r="H1409">
        <f>$C1409*H1408</f>
        <v/>
      </c>
      <c r="I1409">
        <f>$C1409*I1408</f>
        <v/>
      </c>
      <c r="J1409">
        <f>$C1409*J1408</f>
        <v/>
      </c>
      <c r="K1409">
        <f>$C1409*K1408</f>
        <v/>
      </c>
      <c r="L1409">
        <f>$C1409*L1408</f>
        <v/>
      </c>
      <c r="M1409">
        <f>$C1409*M1408</f>
        <v/>
      </c>
      <c r="N1409">
        <f>$C1409*N1408</f>
        <v/>
      </c>
      <c r="O1409">
        <f>$C1409*O1408</f>
        <v/>
      </c>
      <c r="P1409">
        <f>$C1409*P1408</f>
        <v/>
      </c>
      <c r="Q1409">
        <f>$C1409*Q1408</f>
        <v/>
      </c>
      <c r="R1409">
        <f>$C1409*R1408</f>
        <v/>
      </c>
      <c r="S1409">
        <f>$C1409*S1408</f>
        <v/>
      </c>
      <c r="T1409">
        <f>$C1409*T1408</f>
        <v/>
      </c>
      <c r="U1409">
        <f>$C1409*U1408</f>
        <v/>
      </c>
      <c r="V1409">
        <f>$C1409*V1408</f>
        <v/>
      </c>
      <c r="W1409">
        <f>$C1409*W1408</f>
        <v/>
      </c>
      <c r="X1409">
        <f>$C1409*X1408</f>
        <v/>
      </c>
      <c r="Y1409">
        <f>$C1409*Y1408</f>
        <v/>
      </c>
      <c r="Z1409">
        <f>$C1409*Z1408</f>
        <v/>
      </c>
      <c r="AA1409">
        <f>$C1409*AA1408</f>
        <v/>
      </c>
      <c r="AB1409">
        <f>$C1409*AB1408</f>
        <v/>
      </c>
      <c r="AC1409">
        <f>$C1409*AC1408</f>
        <v/>
      </c>
      <c r="AD1409">
        <f>$C1409*AD1408</f>
        <v/>
      </c>
      <c r="AE1409">
        <f>$C1409*AE1408</f>
        <v/>
      </c>
      <c r="AF1409">
        <f>$C1409*AF1408</f>
        <v/>
      </c>
      <c r="AG1409">
        <f>$C1409*AG1408</f>
        <v/>
      </c>
      <c r="AH1409">
        <f>$C1409*AH1408</f>
        <v/>
      </c>
      <c r="AI1409">
        <f>$C1409*AI1408</f>
        <v/>
      </c>
      <c r="AJ1409">
        <f>$C1409*AJ1408</f>
        <v/>
      </c>
      <c r="AK1409">
        <f>$C1409*AK1408</f>
        <v/>
      </c>
      <c r="AL1409">
        <f>$C1409*AL1408</f>
        <v/>
      </c>
      <c r="AM1409">
        <f>$C1409*AM1408</f>
        <v/>
      </c>
      <c r="AN1409">
        <f>$C1409*AN1408</f>
        <v/>
      </c>
      <c r="AO1409">
        <f>$C1409*AO1408</f>
        <v/>
      </c>
      <c r="AP1409">
        <f>$C1409*AP1408</f>
        <v/>
      </c>
      <c r="AQ1409">
        <f>$C1409*AQ1408</f>
        <v/>
      </c>
      <c r="AR1409">
        <f>$C1409*AR1408</f>
        <v/>
      </c>
      <c r="AS1409">
        <f>$C1409*AS1408</f>
        <v/>
      </c>
      <c r="AT1409">
        <f>$C1409*AT1408</f>
        <v/>
      </c>
      <c r="AU1409">
        <f>$C1409*AU1408</f>
        <v/>
      </c>
      <c r="AV1409">
        <f>$C1409*AV1408</f>
        <v/>
      </c>
      <c r="AW1409">
        <f>$C1409*AW1408</f>
        <v/>
      </c>
      <c r="AX1409">
        <f>$C1409*AX1408</f>
        <v/>
      </c>
      <c r="AY1409">
        <f>$C1409*AY1408</f>
        <v/>
      </c>
      <c r="AZ1409">
        <f>$C1409*AZ1408</f>
        <v/>
      </c>
      <c r="BA1409">
        <f>$C1409*BA1408</f>
        <v/>
      </c>
      <c r="BB1409">
        <f>$C1409*BB1408</f>
        <v/>
      </c>
      <c r="BC1409">
        <f>$C1409*BC1408</f>
        <v/>
      </c>
      <c r="BD1409">
        <f>$C1409*BD1408</f>
        <v/>
      </c>
      <c r="BE1409">
        <f>$C1409*BE1408</f>
        <v/>
      </c>
      <c r="BF1409">
        <f>$C1409*BF1408</f>
        <v/>
      </c>
      <c r="BG1409">
        <f>$C1409*BG1408</f>
        <v/>
      </c>
      <c r="BH1409">
        <f>$C1409*BH1408</f>
        <v/>
      </c>
      <c r="BI1409">
        <f>$C1409*BI1408</f>
        <v/>
      </c>
      <c r="BJ1409">
        <f>$C1409*BJ1408</f>
        <v/>
      </c>
      <c r="BK1409">
        <f>$C1409*BK1408</f>
        <v/>
      </c>
      <c r="BL1409">
        <f>$C1409*BL1408</f>
        <v/>
      </c>
      <c r="BM1409">
        <f>$C1409*BM1408</f>
        <v/>
      </c>
      <c r="BN1409">
        <f>$C1409*BN1408</f>
        <v/>
      </c>
      <c r="BO1409">
        <f>$C1409*BO1408</f>
        <v/>
      </c>
      <c r="BP1409">
        <f>$C1409*BP1408</f>
        <v/>
      </c>
      <c r="BQ1409">
        <f>$C1409*BQ1408</f>
        <v/>
      </c>
      <c r="BR1409">
        <f>$C1409*BR1408</f>
        <v/>
      </c>
      <c r="BS1409">
        <f>$C1409*BS1408</f>
        <v/>
      </c>
      <c r="BT1409">
        <f>$C1409*BT1408</f>
        <v/>
      </c>
      <c r="BU1409">
        <f>$C1409*BU1408</f>
        <v/>
      </c>
      <c r="BV1409">
        <f>$C1409*BV1408</f>
        <v/>
      </c>
      <c r="BW1409">
        <f>$C1409*BW1408</f>
        <v/>
      </c>
      <c r="BX1409">
        <f>$C1409*BX1408</f>
        <v/>
      </c>
      <c r="BY1409">
        <f>$C1409*BY1408</f>
        <v/>
      </c>
      <c r="BZ1409">
        <f>$C1409*BZ1408</f>
        <v/>
      </c>
      <c r="CA1409">
        <f>$C1409*CA1408</f>
        <v/>
      </c>
      <c r="CB1409">
        <f>$C1409*CB1408</f>
        <v/>
      </c>
      <c r="CC1409">
        <f>$C1409*CC1408</f>
        <v/>
      </c>
      <c r="CD1409">
        <f>$C1409*CD1408</f>
        <v/>
      </c>
      <c r="CE1409">
        <f>$C1409*CE1408</f>
        <v/>
      </c>
      <c r="CF1409">
        <f>$C1409*CF1408</f>
        <v/>
      </c>
      <c r="CG1409">
        <f>$C1409*CG1408</f>
        <v/>
      </c>
      <c r="CH1409">
        <f>$C1409*CH1408</f>
        <v/>
      </c>
      <c r="CI1409">
        <f>$C1409*CI1408</f>
        <v/>
      </c>
      <c r="CJ1409">
        <f>$C1409*CJ1408</f>
        <v/>
      </c>
      <c r="CK1409">
        <f>$C1409*CK1408</f>
        <v/>
      </c>
      <c r="CL1409">
        <f>$C1409*CL1408</f>
        <v/>
      </c>
      <c r="CM1409">
        <f>$C1409*CM1408</f>
        <v/>
      </c>
      <c r="CN1409">
        <f>$C1409*CN1408</f>
        <v/>
      </c>
      <c r="CO1409">
        <f>$C1409*CO1408</f>
        <v/>
      </c>
      <c r="CP1409">
        <f>$C1409*CP1408</f>
        <v/>
      </c>
      <c r="CQ1409">
        <f>$C1409*CQ1408</f>
        <v/>
      </c>
      <c r="CR1409">
        <f>$C1409*CR1408</f>
        <v/>
      </c>
      <c r="CS1409">
        <f>$C1409*CS1408</f>
        <v/>
      </c>
      <c r="CT1409">
        <f>$C1409*CT1408</f>
        <v/>
      </c>
      <c r="CU1409">
        <f>$C1409*CU1408</f>
        <v/>
      </c>
      <c r="CV1409">
        <f>$C1409*CV1408</f>
        <v/>
      </c>
      <c r="CW1409">
        <f>$C1409*CW1408</f>
        <v/>
      </c>
      <c r="CX1409">
        <f>$C1409*CX1408</f>
        <v/>
      </c>
      <c r="CY1409">
        <f>$C1409*CY1408</f>
        <v/>
      </c>
      <c r="CZ1409">
        <f>$C1409*CZ1408</f>
        <v/>
      </c>
      <c r="DA1409">
        <f>$C1409*DA1408</f>
        <v/>
      </c>
      <c r="DB1409">
        <f>$C1409*DB1408</f>
        <v/>
      </c>
      <c r="DC1409">
        <f>$C1409*DC1408</f>
        <v/>
      </c>
      <c r="DD1409">
        <f>$C1409*DD1408</f>
        <v/>
      </c>
    </row>
    <row r="1410">
      <c r="B1410" t="inlineStr">
        <is>
          <t>TSP-1444</t>
        </is>
      </c>
      <c r="C1410" t="inlineStr">
        <is>
          <t>No. of batches</t>
        </is>
      </c>
      <c r="D1410">
        <f>IFERROR(INDEX(E1410:DD1410,$F$1),"")</f>
        <v/>
      </c>
      <c r="E1410">
        <f>IFERROR(INDEX(PP_Grid[#Data],$DE1410,2),0)</f>
        <v/>
      </c>
      <c r="F1410">
        <f>IFERROR(INDEX(PP_Grid[#Data],$DE1410,3),0)</f>
        <v/>
      </c>
      <c r="G1410">
        <f>IFERROR(INDEX(PP_Grid[#Data],$DE1410,4),0)</f>
        <v/>
      </c>
      <c r="H1410">
        <f>IFERROR(INDEX(PP_Grid[#Data],$DE1410,5),0)</f>
        <v/>
      </c>
      <c r="I1410">
        <f>IFERROR(INDEX(PP_Grid[#Data],$DE1410,6),0)</f>
        <v/>
      </c>
      <c r="J1410">
        <f>IFERROR(INDEX(PP_Grid[#Data],$DE1410,7),0)</f>
        <v/>
      </c>
      <c r="K1410">
        <f>IFERROR(INDEX(PP_Grid[#Data],$DE1410,8),0)</f>
        <v/>
      </c>
      <c r="L1410">
        <f>IFERROR(INDEX(PP_Grid[#Data],$DE1410,9),0)</f>
        <v/>
      </c>
      <c r="M1410">
        <f>IFERROR(INDEX(PP_Grid[#Data],$DE1410,10),0)</f>
        <v/>
      </c>
      <c r="N1410">
        <f>IFERROR(INDEX(PP_Grid[#Data],$DE1410,11),0)</f>
        <v/>
      </c>
      <c r="O1410">
        <f>IFERROR(INDEX(PP_Grid[#Data],$DE1410,12),0)</f>
        <v/>
      </c>
      <c r="P1410">
        <f>IFERROR(INDEX(PP_Grid[#Data],$DE1410,13),0)</f>
        <v/>
      </c>
      <c r="Q1410">
        <f>IFERROR(INDEX(PP_Grid[#Data],$DE1410,14),0)</f>
        <v/>
      </c>
      <c r="R1410">
        <f>IFERROR(INDEX(PP_Grid[#Data],$DE1410,15),0)</f>
        <v/>
      </c>
      <c r="S1410">
        <f>IFERROR(INDEX(PP_Grid[#Data],$DE1410,16),0)</f>
        <v/>
      </c>
      <c r="T1410">
        <f>IFERROR(INDEX(PP_Grid[#Data],$DE1410,17),0)</f>
        <v/>
      </c>
      <c r="U1410">
        <f>IFERROR(INDEX(PP_Grid[#Data],$DE1410,18),0)</f>
        <v/>
      </c>
      <c r="V1410">
        <f>IFERROR(INDEX(PP_Grid[#Data],$DE1410,19),0)</f>
        <v/>
      </c>
      <c r="W1410">
        <f>IFERROR(INDEX(PP_Grid[#Data],$DE1410,20),0)</f>
        <v/>
      </c>
      <c r="X1410">
        <f>IFERROR(INDEX(PP_Grid[#Data],$DE1410,21),0)</f>
        <v/>
      </c>
      <c r="Y1410">
        <f>IFERROR(INDEX(PP_Grid[#Data],$DE1410,22),0)</f>
        <v/>
      </c>
      <c r="Z1410">
        <f>IFERROR(INDEX(PP_Grid[#Data],$DE1410,23),0)</f>
        <v/>
      </c>
      <c r="AA1410">
        <f>IFERROR(INDEX(PP_Grid[#Data],$DE1410,24),0)</f>
        <v/>
      </c>
      <c r="AB1410">
        <f>IFERROR(INDEX(PP_Grid[#Data],$DE1410,25),0)</f>
        <v/>
      </c>
      <c r="AC1410">
        <f>IFERROR(INDEX(PP_Grid[#Data],$DE1410,26),0)</f>
        <v/>
      </c>
      <c r="AD1410">
        <f>IFERROR(INDEX(PP_Grid[#Data],$DE1410,27),0)</f>
        <v/>
      </c>
      <c r="AE1410">
        <f>IFERROR(INDEX(PP_Grid[#Data],$DE1410,28),0)</f>
        <v/>
      </c>
      <c r="AF1410">
        <f>IFERROR(INDEX(PP_Grid[#Data],$DE1410,29),0)</f>
        <v/>
      </c>
      <c r="AG1410">
        <f>IFERROR(INDEX(PP_Grid[#Data],$DE1410,30),0)</f>
        <v/>
      </c>
      <c r="AH1410">
        <f>IFERROR(INDEX(PP_Grid[#Data],$DE1410,31),0)</f>
        <v/>
      </c>
      <c r="AI1410">
        <f>IFERROR(INDEX(PP_Grid[#Data],$DE1410,32),0)</f>
        <v/>
      </c>
      <c r="AJ1410">
        <f>IFERROR(INDEX(PP_Grid[#Data],$DE1410,33),0)</f>
        <v/>
      </c>
      <c r="AK1410">
        <f>IFERROR(INDEX(PP_Grid[#Data],$DE1410,34),0)</f>
        <v/>
      </c>
      <c r="AL1410">
        <f>IFERROR(INDEX(PP_Grid[#Data],$DE1410,35),0)</f>
        <v/>
      </c>
      <c r="AM1410">
        <f>IFERROR(INDEX(PP_Grid[#Data],$DE1410,36),0)</f>
        <v/>
      </c>
      <c r="AN1410">
        <f>IFERROR(INDEX(PP_Grid[#Data],$DE1410,37),0)</f>
        <v/>
      </c>
      <c r="AO1410">
        <f>IFERROR(INDEX(PP_Grid[#Data],$DE1410,38),0)</f>
        <v/>
      </c>
      <c r="AP1410">
        <f>IFERROR(INDEX(PP_Grid[#Data],$DE1410,39),0)</f>
        <v/>
      </c>
      <c r="AQ1410">
        <f>IFERROR(INDEX(PP_Grid[#Data],$DE1410,40),0)</f>
        <v/>
      </c>
      <c r="AR1410">
        <f>IFERROR(INDEX(PP_Grid[#Data],$DE1410,41),0)</f>
        <v/>
      </c>
      <c r="AS1410">
        <f>IFERROR(INDEX(PP_Grid[#Data],$DE1410,42),0)</f>
        <v/>
      </c>
      <c r="AT1410">
        <f>IFERROR(INDEX(PP_Grid[#Data],$DE1410,43),0)</f>
        <v/>
      </c>
      <c r="AU1410">
        <f>IFERROR(INDEX(PP_Grid[#Data],$DE1410,44),0)</f>
        <v/>
      </c>
      <c r="AV1410">
        <f>IFERROR(INDEX(PP_Grid[#Data],$DE1410,45),0)</f>
        <v/>
      </c>
      <c r="AW1410">
        <f>IFERROR(INDEX(PP_Grid[#Data],$DE1410,46),0)</f>
        <v/>
      </c>
      <c r="AX1410">
        <f>IFERROR(INDEX(PP_Grid[#Data],$DE1410,47),0)</f>
        <v/>
      </c>
      <c r="AY1410">
        <f>IFERROR(INDEX(PP_Grid[#Data],$DE1410,48),0)</f>
        <v/>
      </c>
      <c r="AZ1410">
        <f>IFERROR(INDEX(PP_Grid[#Data],$DE1410,49),0)</f>
        <v/>
      </c>
      <c r="BA1410">
        <f>IFERROR(INDEX(PP_Grid[#Data],$DE1410,50),0)</f>
        <v/>
      </c>
      <c r="BB1410">
        <f>IFERROR(INDEX(PP_Grid[#Data],$DE1410,51),0)</f>
        <v/>
      </c>
      <c r="BC1410">
        <f>IFERROR(INDEX(PP_Grid[#Data],$DE1410,52),0)</f>
        <v/>
      </c>
      <c r="BD1410">
        <f>IFERROR(INDEX(PP_Grid[#Data],$DE1410,53),0)</f>
        <v/>
      </c>
      <c r="BE1410">
        <f>IFERROR(INDEX(PP_Grid[#Data],$DE1410,54),0)</f>
        <v/>
      </c>
      <c r="BF1410">
        <f>IFERROR(INDEX(PP_Grid[#Data],$DE1410,55),0)</f>
        <v/>
      </c>
      <c r="BG1410">
        <f>IFERROR(INDEX(PP_Grid[#Data],$DE1410,56),0)</f>
        <v/>
      </c>
      <c r="BH1410">
        <f>IFERROR(INDEX(PP_Grid[#Data],$DE1410,57),0)</f>
        <v/>
      </c>
      <c r="BI1410">
        <f>IFERROR(INDEX(PP_Grid[#Data],$DE1410,58),0)</f>
        <v/>
      </c>
      <c r="BJ1410">
        <f>IFERROR(INDEX(PP_Grid[#Data],$DE1410,59),0)</f>
        <v/>
      </c>
      <c r="BK1410">
        <f>IFERROR(INDEX(PP_Grid[#Data],$DE1410,60),0)</f>
        <v/>
      </c>
      <c r="BL1410">
        <f>IFERROR(INDEX(PP_Grid[#Data],$DE1410,61),0)</f>
        <v/>
      </c>
      <c r="BM1410">
        <f>IFERROR(INDEX(PP_Grid[#Data],$DE1410,62),0)</f>
        <v/>
      </c>
      <c r="BN1410">
        <f>IFERROR(INDEX(PP_Grid[#Data],$DE1410,63),0)</f>
        <v/>
      </c>
      <c r="BO1410">
        <f>IFERROR(INDEX(PP_Grid[#Data],$DE1410,64),0)</f>
        <v/>
      </c>
      <c r="BP1410">
        <f>IFERROR(INDEX(PP_Grid[#Data],$DE1410,65),0)</f>
        <v/>
      </c>
      <c r="BQ1410">
        <f>IFERROR(INDEX(PP_Grid[#Data],$DE1410,66),0)</f>
        <v/>
      </c>
      <c r="BR1410">
        <f>IFERROR(INDEX(PP_Grid[#Data],$DE1410,67),0)</f>
        <v/>
      </c>
      <c r="BS1410">
        <f>IFERROR(INDEX(PP_Grid[#Data],$DE1410,68),0)</f>
        <v/>
      </c>
      <c r="BT1410">
        <f>IFERROR(INDEX(PP_Grid[#Data],$DE1410,69),0)</f>
        <v/>
      </c>
      <c r="BU1410">
        <f>IFERROR(INDEX(PP_Grid[#Data],$DE1410,70),0)</f>
        <v/>
      </c>
      <c r="BV1410">
        <f>IFERROR(INDEX(PP_Grid[#Data],$DE1410,71),0)</f>
        <v/>
      </c>
      <c r="BW1410">
        <f>IFERROR(INDEX(PP_Grid[#Data],$DE1410,72),0)</f>
        <v/>
      </c>
      <c r="BX1410">
        <f>IFERROR(INDEX(PP_Grid[#Data],$DE1410,73),0)</f>
        <v/>
      </c>
      <c r="BY1410">
        <f>IFERROR(INDEX(PP_Grid[#Data],$DE1410,74),0)</f>
        <v/>
      </c>
      <c r="BZ1410">
        <f>IFERROR(INDEX(PP_Grid[#Data],$DE1410,75),0)</f>
        <v/>
      </c>
      <c r="CA1410">
        <f>IFERROR(INDEX(PP_Grid[#Data],$DE1410,76),0)</f>
        <v/>
      </c>
      <c r="CB1410">
        <f>IFERROR(INDEX(PP_Grid[#Data],$DE1410,77),0)</f>
        <v/>
      </c>
      <c r="CC1410">
        <f>IFERROR(INDEX(PP_Grid[#Data],$DE1410,78),0)</f>
        <v/>
      </c>
      <c r="CD1410">
        <f>IFERROR(INDEX(PP_Grid[#Data],$DE1410,79),0)</f>
        <v/>
      </c>
      <c r="CE1410">
        <f>IFERROR(INDEX(PP_Grid[#Data],$DE1410,80),0)</f>
        <v/>
      </c>
      <c r="CF1410">
        <f>IFERROR(INDEX(PP_Grid[#Data],$DE1410,81),0)</f>
        <v/>
      </c>
      <c r="CG1410">
        <f>IFERROR(INDEX(PP_Grid[#Data],$DE1410,82),0)</f>
        <v/>
      </c>
      <c r="CH1410">
        <f>IFERROR(INDEX(PP_Grid[#Data],$DE1410,83),0)</f>
        <v/>
      </c>
      <c r="CI1410">
        <f>IFERROR(INDEX(PP_Grid[#Data],$DE1410,84),0)</f>
        <v/>
      </c>
      <c r="CJ1410">
        <f>IFERROR(INDEX(PP_Grid[#Data],$DE1410,85),0)</f>
        <v/>
      </c>
      <c r="CK1410">
        <f>IFERROR(INDEX(PP_Grid[#Data],$DE1410,86),0)</f>
        <v/>
      </c>
      <c r="CL1410">
        <f>IFERROR(INDEX(PP_Grid[#Data],$DE1410,87),0)</f>
        <v/>
      </c>
      <c r="CM1410">
        <f>IFERROR(INDEX(PP_Grid[#Data],$DE1410,88),0)</f>
        <v/>
      </c>
      <c r="CN1410">
        <f>IFERROR(INDEX(PP_Grid[#Data],$DE1410,89),0)</f>
        <v/>
      </c>
      <c r="CO1410">
        <f>IFERROR(INDEX(PP_Grid[#Data],$DE1410,90),0)</f>
        <v/>
      </c>
      <c r="CP1410">
        <f>IFERROR(INDEX(PP_Grid[#Data],$DE1410,91),0)</f>
        <v/>
      </c>
      <c r="CQ1410">
        <f>IFERROR(INDEX(PP_Grid[#Data],$DE1410,92),0)</f>
        <v/>
      </c>
      <c r="CR1410">
        <f>IFERROR(INDEX(PP_Grid[#Data],$DE1410,93),0)</f>
        <v/>
      </c>
      <c r="CS1410">
        <f>IFERROR(INDEX(PP_Grid[#Data],$DE1410,94),0)</f>
        <v/>
      </c>
      <c r="CT1410">
        <f>IFERROR(INDEX(PP_Grid[#Data],$DE1410,95),0)</f>
        <v/>
      </c>
      <c r="CU1410">
        <f>IFERROR(INDEX(PP_Grid[#Data],$DE1410,96),0)</f>
        <v/>
      </c>
      <c r="CV1410">
        <f>IFERROR(INDEX(PP_Grid[#Data],$DE1410,97),0)</f>
        <v/>
      </c>
      <c r="CW1410">
        <f>IFERROR(INDEX(PP_Grid[#Data],$DE1410,98),0)</f>
        <v/>
      </c>
      <c r="CX1410">
        <f>IFERROR(INDEX(PP_Grid[#Data],$DE1410,99),0)</f>
        <v/>
      </c>
      <c r="CY1410">
        <f>IFERROR(INDEX(PP_Grid[#Data],$DE1410,100),0)</f>
        <v/>
      </c>
      <c r="CZ1410">
        <f>IFERROR(INDEX(PP_Grid[#Data],$DE1410,101),0)</f>
        <v/>
      </c>
      <c r="DA1410">
        <f>IFERROR(INDEX(PP_Grid[#Data],$DE1410,102),0)</f>
        <v/>
      </c>
      <c r="DB1410">
        <f>IFERROR(INDEX(PP_Grid[#Data],$DE1410,103),0)</f>
        <v/>
      </c>
      <c r="DC1410">
        <f>IFERROR(INDEX(PP_Grid[#Data],$DE1410,104),0)</f>
        <v/>
      </c>
      <c r="DD1410">
        <f>IFERROR(INDEX(PP_Grid[#Data],$DE1410,105),0)</f>
        <v/>
      </c>
      <c r="DE1410" s="7">
        <f>IFERROR(MATCH($B1410,PP_Grid[Intermediate],0),99999)</f>
        <v/>
      </c>
    </row>
    <row r="1411">
      <c r="B1411" t="inlineStr">
        <is>
          <t>使用量(kg)</t>
        </is>
      </c>
      <c r="C1411">
        <f>SUMIFS(M_BOM[RM_Qty_Per_Batch],M_BOM[Intermediate],$B1410,M_BOM[RM_Code],$A1393)</f>
        <v/>
      </c>
      <c r="D1411">
        <f>IFERROR(INDEX(E1411:DD1411,$F$1),"")</f>
        <v/>
      </c>
      <c r="E1411">
        <f>$C1411*E1410</f>
        <v/>
      </c>
      <c r="F1411">
        <f>$C1411*F1410</f>
        <v/>
      </c>
      <c r="G1411">
        <f>$C1411*G1410</f>
        <v/>
      </c>
      <c r="H1411">
        <f>$C1411*H1410</f>
        <v/>
      </c>
      <c r="I1411">
        <f>$C1411*I1410</f>
        <v/>
      </c>
      <c r="J1411">
        <f>$C1411*J1410</f>
        <v/>
      </c>
      <c r="K1411">
        <f>$C1411*K1410</f>
        <v/>
      </c>
      <c r="L1411">
        <f>$C1411*L1410</f>
        <v/>
      </c>
      <c r="M1411">
        <f>$C1411*M1410</f>
        <v/>
      </c>
      <c r="N1411">
        <f>$C1411*N1410</f>
        <v/>
      </c>
      <c r="O1411">
        <f>$C1411*O1410</f>
        <v/>
      </c>
      <c r="P1411">
        <f>$C1411*P1410</f>
        <v/>
      </c>
      <c r="Q1411">
        <f>$C1411*Q1410</f>
        <v/>
      </c>
      <c r="R1411">
        <f>$C1411*R1410</f>
        <v/>
      </c>
      <c r="S1411">
        <f>$C1411*S1410</f>
        <v/>
      </c>
      <c r="T1411">
        <f>$C1411*T1410</f>
        <v/>
      </c>
      <c r="U1411">
        <f>$C1411*U1410</f>
        <v/>
      </c>
      <c r="V1411">
        <f>$C1411*V1410</f>
        <v/>
      </c>
      <c r="W1411">
        <f>$C1411*W1410</f>
        <v/>
      </c>
      <c r="X1411">
        <f>$C1411*X1410</f>
        <v/>
      </c>
      <c r="Y1411">
        <f>$C1411*Y1410</f>
        <v/>
      </c>
      <c r="Z1411">
        <f>$C1411*Z1410</f>
        <v/>
      </c>
      <c r="AA1411">
        <f>$C1411*AA1410</f>
        <v/>
      </c>
      <c r="AB1411">
        <f>$C1411*AB1410</f>
        <v/>
      </c>
      <c r="AC1411">
        <f>$C1411*AC1410</f>
        <v/>
      </c>
      <c r="AD1411">
        <f>$C1411*AD1410</f>
        <v/>
      </c>
      <c r="AE1411">
        <f>$C1411*AE1410</f>
        <v/>
      </c>
      <c r="AF1411">
        <f>$C1411*AF1410</f>
        <v/>
      </c>
      <c r="AG1411">
        <f>$C1411*AG1410</f>
        <v/>
      </c>
      <c r="AH1411">
        <f>$C1411*AH1410</f>
        <v/>
      </c>
      <c r="AI1411">
        <f>$C1411*AI1410</f>
        <v/>
      </c>
      <c r="AJ1411">
        <f>$C1411*AJ1410</f>
        <v/>
      </c>
      <c r="AK1411">
        <f>$C1411*AK1410</f>
        <v/>
      </c>
      <c r="AL1411">
        <f>$C1411*AL1410</f>
        <v/>
      </c>
      <c r="AM1411">
        <f>$C1411*AM1410</f>
        <v/>
      </c>
      <c r="AN1411">
        <f>$C1411*AN1410</f>
        <v/>
      </c>
      <c r="AO1411">
        <f>$C1411*AO1410</f>
        <v/>
      </c>
      <c r="AP1411">
        <f>$C1411*AP1410</f>
        <v/>
      </c>
      <c r="AQ1411">
        <f>$C1411*AQ1410</f>
        <v/>
      </c>
      <c r="AR1411">
        <f>$C1411*AR1410</f>
        <v/>
      </c>
      <c r="AS1411">
        <f>$C1411*AS1410</f>
        <v/>
      </c>
      <c r="AT1411">
        <f>$C1411*AT1410</f>
        <v/>
      </c>
      <c r="AU1411">
        <f>$C1411*AU1410</f>
        <v/>
      </c>
      <c r="AV1411">
        <f>$C1411*AV1410</f>
        <v/>
      </c>
      <c r="AW1411">
        <f>$C1411*AW1410</f>
        <v/>
      </c>
      <c r="AX1411">
        <f>$C1411*AX1410</f>
        <v/>
      </c>
      <c r="AY1411">
        <f>$C1411*AY1410</f>
        <v/>
      </c>
      <c r="AZ1411">
        <f>$C1411*AZ1410</f>
        <v/>
      </c>
      <c r="BA1411">
        <f>$C1411*BA1410</f>
        <v/>
      </c>
      <c r="BB1411">
        <f>$C1411*BB1410</f>
        <v/>
      </c>
      <c r="BC1411">
        <f>$C1411*BC1410</f>
        <v/>
      </c>
      <c r="BD1411">
        <f>$C1411*BD1410</f>
        <v/>
      </c>
      <c r="BE1411">
        <f>$C1411*BE1410</f>
        <v/>
      </c>
      <c r="BF1411">
        <f>$C1411*BF1410</f>
        <v/>
      </c>
      <c r="BG1411">
        <f>$C1411*BG1410</f>
        <v/>
      </c>
      <c r="BH1411">
        <f>$C1411*BH1410</f>
        <v/>
      </c>
      <c r="BI1411">
        <f>$C1411*BI1410</f>
        <v/>
      </c>
      <c r="BJ1411">
        <f>$C1411*BJ1410</f>
        <v/>
      </c>
      <c r="BK1411">
        <f>$C1411*BK1410</f>
        <v/>
      </c>
      <c r="BL1411">
        <f>$C1411*BL1410</f>
        <v/>
      </c>
      <c r="BM1411">
        <f>$C1411*BM1410</f>
        <v/>
      </c>
      <c r="BN1411">
        <f>$C1411*BN1410</f>
        <v/>
      </c>
      <c r="BO1411">
        <f>$C1411*BO1410</f>
        <v/>
      </c>
      <c r="BP1411">
        <f>$C1411*BP1410</f>
        <v/>
      </c>
      <c r="BQ1411">
        <f>$C1411*BQ1410</f>
        <v/>
      </c>
      <c r="BR1411">
        <f>$C1411*BR1410</f>
        <v/>
      </c>
      <c r="BS1411">
        <f>$C1411*BS1410</f>
        <v/>
      </c>
      <c r="BT1411">
        <f>$C1411*BT1410</f>
        <v/>
      </c>
      <c r="BU1411">
        <f>$C1411*BU1410</f>
        <v/>
      </c>
      <c r="BV1411">
        <f>$C1411*BV1410</f>
        <v/>
      </c>
      <c r="BW1411">
        <f>$C1411*BW1410</f>
        <v/>
      </c>
      <c r="BX1411">
        <f>$C1411*BX1410</f>
        <v/>
      </c>
      <c r="BY1411">
        <f>$C1411*BY1410</f>
        <v/>
      </c>
      <c r="BZ1411">
        <f>$C1411*BZ1410</f>
        <v/>
      </c>
      <c r="CA1411">
        <f>$C1411*CA1410</f>
        <v/>
      </c>
      <c r="CB1411">
        <f>$C1411*CB1410</f>
        <v/>
      </c>
      <c r="CC1411">
        <f>$C1411*CC1410</f>
        <v/>
      </c>
      <c r="CD1411">
        <f>$C1411*CD1410</f>
        <v/>
      </c>
      <c r="CE1411">
        <f>$C1411*CE1410</f>
        <v/>
      </c>
      <c r="CF1411">
        <f>$C1411*CF1410</f>
        <v/>
      </c>
      <c r="CG1411">
        <f>$C1411*CG1410</f>
        <v/>
      </c>
      <c r="CH1411">
        <f>$C1411*CH1410</f>
        <v/>
      </c>
      <c r="CI1411">
        <f>$C1411*CI1410</f>
        <v/>
      </c>
      <c r="CJ1411">
        <f>$C1411*CJ1410</f>
        <v/>
      </c>
      <c r="CK1411">
        <f>$C1411*CK1410</f>
        <v/>
      </c>
      <c r="CL1411">
        <f>$C1411*CL1410</f>
        <v/>
      </c>
      <c r="CM1411">
        <f>$C1411*CM1410</f>
        <v/>
      </c>
      <c r="CN1411">
        <f>$C1411*CN1410</f>
        <v/>
      </c>
      <c r="CO1411">
        <f>$C1411*CO1410</f>
        <v/>
      </c>
      <c r="CP1411">
        <f>$C1411*CP1410</f>
        <v/>
      </c>
      <c r="CQ1411">
        <f>$C1411*CQ1410</f>
        <v/>
      </c>
      <c r="CR1411">
        <f>$C1411*CR1410</f>
        <v/>
      </c>
      <c r="CS1411">
        <f>$C1411*CS1410</f>
        <v/>
      </c>
      <c r="CT1411">
        <f>$C1411*CT1410</f>
        <v/>
      </c>
      <c r="CU1411">
        <f>$C1411*CU1410</f>
        <v/>
      </c>
      <c r="CV1411">
        <f>$C1411*CV1410</f>
        <v/>
      </c>
      <c r="CW1411">
        <f>$C1411*CW1410</f>
        <v/>
      </c>
      <c r="CX1411">
        <f>$C1411*CX1410</f>
        <v/>
      </c>
      <c r="CY1411">
        <f>$C1411*CY1410</f>
        <v/>
      </c>
      <c r="CZ1411">
        <f>$C1411*CZ1410</f>
        <v/>
      </c>
      <c r="DA1411">
        <f>$C1411*DA1410</f>
        <v/>
      </c>
      <c r="DB1411">
        <f>$C1411*DB1410</f>
        <v/>
      </c>
      <c r="DC1411">
        <f>$C1411*DC1410</f>
        <v/>
      </c>
      <c r="DD1411">
        <f>$C1411*DD1410</f>
        <v/>
      </c>
    </row>
    <row r="1412">
      <c r="B1412" t="inlineStr">
        <is>
          <t>TSP-1448</t>
        </is>
      </c>
      <c r="C1412" t="inlineStr">
        <is>
          <t>No. of batches</t>
        </is>
      </c>
      <c r="D1412">
        <f>IFERROR(INDEX(E1412:DD1412,$F$1),"")</f>
        <v/>
      </c>
      <c r="E1412">
        <f>IFERROR(INDEX(PP_Grid[#Data],$DE1412,2),0)</f>
        <v/>
      </c>
      <c r="F1412">
        <f>IFERROR(INDEX(PP_Grid[#Data],$DE1412,3),0)</f>
        <v/>
      </c>
      <c r="G1412">
        <f>IFERROR(INDEX(PP_Grid[#Data],$DE1412,4),0)</f>
        <v/>
      </c>
      <c r="H1412">
        <f>IFERROR(INDEX(PP_Grid[#Data],$DE1412,5),0)</f>
        <v/>
      </c>
      <c r="I1412">
        <f>IFERROR(INDEX(PP_Grid[#Data],$DE1412,6),0)</f>
        <v/>
      </c>
      <c r="J1412">
        <f>IFERROR(INDEX(PP_Grid[#Data],$DE1412,7),0)</f>
        <v/>
      </c>
      <c r="K1412">
        <f>IFERROR(INDEX(PP_Grid[#Data],$DE1412,8),0)</f>
        <v/>
      </c>
      <c r="L1412">
        <f>IFERROR(INDEX(PP_Grid[#Data],$DE1412,9),0)</f>
        <v/>
      </c>
      <c r="M1412">
        <f>IFERROR(INDEX(PP_Grid[#Data],$DE1412,10),0)</f>
        <v/>
      </c>
      <c r="N1412">
        <f>IFERROR(INDEX(PP_Grid[#Data],$DE1412,11),0)</f>
        <v/>
      </c>
      <c r="O1412">
        <f>IFERROR(INDEX(PP_Grid[#Data],$DE1412,12),0)</f>
        <v/>
      </c>
      <c r="P1412">
        <f>IFERROR(INDEX(PP_Grid[#Data],$DE1412,13),0)</f>
        <v/>
      </c>
      <c r="Q1412">
        <f>IFERROR(INDEX(PP_Grid[#Data],$DE1412,14),0)</f>
        <v/>
      </c>
      <c r="R1412">
        <f>IFERROR(INDEX(PP_Grid[#Data],$DE1412,15),0)</f>
        <v/>
      </c>
      <c r="S1412">
        <f>IFERROR(INDEX(PP_Grid[#Data],$DE1412,16),0)</f>
        <v/>
      </c>
      <c r="T1412">
        <f>IFERROR(INDEX(PP_Grid[#Data],$DE1412,17),0)</f>
        <v/>
      </c>
      <c r="U1412">
        <f>IFERROR(INDEX(PP_Grid[#Data],$DE1412,18),0)</f>
        <v/>
      </c>
      <c r="V1412">
        <f>IFERROR(INDEX(PP_Grid[#Data],$DE1412,19),0)</f>
        <v/>
      </c>
      <c r="W1412">
        <f>IFERROR(INDEX(PP_Grid[#Data],$DE1412,20),0)</f>
        <v/>
      </c>
      <c r="X1412">
        <f>IFERROR(INDEX(PP_Grid[#Data],$DE1412,21),0)</f>
        <v/>
      </c>
      <c r="Y1412">
        <f>IFERROR(INDEX(PP_Grid[#Data],$DE1412,22),0)</f>
        <v/>
      </c>
      <c r="Z1412">
        <f>IFERROR(INDEX(PP_Grid[#Data],$DE1412,23),0)</f>
        <v/>
      </c>
      <c r="AA1412">
        <f>IFERROR(INDEX(PP_Grid[#Data],$DE1412,24),0)</f>
        <v/>
      </c>
      <c r="AB1412">
        <f>IFERROR(INDEX(PP_Grid[#Data],$DE1412,25),0)</f>
        <v/>
      </c>
      <c r="AC1412">
        <f>IFERROR(INDEX(PP_Grid[#Data],$DE1412,26),0)</f>
        <v/>
      </c>
      <c r="AD1412">
        <f>IFERROR(INDEX(PP_Grid[#Data],$DE1412,27),0)</f>
        <v/>
      </c>
      <c r="AE1412">
        <f>IFERROR(INDEX(PP_Grid[#Data],$DE1412,28),0)</f>
        <v/>
      </c>
      <c r="AF1412">
        <f>IFERROR(INDEX(PP_Grid[#Data],$DE1412,29),0)</f>
        <v/>
      </c>
      <c r="AG1412">
        <f>IFERROR(INDEX(PP_Grid[#Data],$DE1412,30),0)</f>
        <v/>
      </c>
      <c r="AH1412">
        <f>IFERROR(INDEX(PP_Grid[#Data],$DE1412,31),0)</f>
        <v/>
      </c>
      <c r="AI1412">
        <f>IFERROR(INDEX(PP_Grid[#Data],$DE1412,32),0)</f>
        <v/>
      </c>
      <c r="AJ1412">
        <f>IFERROR(INDEX(PP_Grid[#Data],$DE1412,33),0)</f>
        <v/>
      </c>
      <c r="AK1412">
        <f>IFERROR(INDEX(PP_Grid[#Data],$DE1412,34),0)</f>
        <v/>
      </c>
      <c r="AL1412">
        <f>IFERROR(INDEX(PP_Grid[#Data],$DE1412,35),0)</f>
        <v/>
      </c>
      <c r="AM1412">
        <f>IFERROR(INDEX(PP_Grid[#Data],$DE1412,36),0)</f>
        <v/>
      </c>
      <c r="AN1412">
        <f>IFERROR(INDEX(PP_Grid[#Data],$DE1412,37),0)</f>
        <v/>
      </c>
      <c r="AO1412">
        <f>IFERROR(INDEX(PP_Grid[#Data],$DE1412,38),0)</f>
        <v/>
      </c>
      <c r="AP1412">
        <f>IFERROR(INDEX(PP_Grid[#Data],$DE1412,39),0)</f>
        <v/>
      </c>
      <c r="AQ1412">
        <f>IFERROR(INDEX(PP_Grid[#Data],$DE1412,40),0)</f>
        <v/>
      </c>
      <c r="AR1412">
        <f>IFERROR(INDEX(PP_Grid[#Data],$DE1412,41),0)</f>
        <v/>
      </c>
      <c r="AS1412">
        <f>IFERROR(INDEX(PP_Grid[#Data],$DE1412,42),0)</f>
        <v/>
      </c>
      <c r="AT1412">
        <f>IFERROR(INDEX(PP_Grid[#Data],$DE1412,43),0)</f>
        <v/>
      </c>
      <c r="AU1412">
        <f>IFERROR(INDEX(PP_Grid[#Data],$DE1412,44),0)</f>
        <v/>
      </c>
      <c r="AV1412">
        <f>IFERROR(INDEX(PP_Grid[#Data],$DE1412,45),0)</f>
        <v/>
      </c>
      <c r="AW1412">
        <f>IFERROR(INDEX(PP_Grid[#Data],$DE1412,46),0)</f>
        <v/>
      </c>
      <c r="AX1412">
        <f>IFERROR(INDEX(PP_Grid[#Data],$DE1412,47),0)</f>
        <v/>
      </c>
      <c r="AY1412">
        <f>IFERROR(INDEX(PP_Grid[#Data],$DE1412,48),0)</f>
        <v/>
      </c>
      <c r="AZ1412">
        <f>IFERROR(INDEX(PP_Grid[#Data],$DE1412,49),0)</f>
        <v/>
      </c>
      <c r="BA1412">
        <f>IFERROR(INDEX(PP_Grid[#Data],$DE1412,50),0)</f>
        <v/>
      </c>
      <c r="BB1412">
        <f>IFERROR(INDEX(PP_Grid[#Data],$DE1412,51),0)</f>
        <v/>
      </c>
      <c r="BC1412">
        <f>IFERROR(INDEX(PP_Grid[#Data],$DE1412,52),0)</f>
        <v/>
      </c>
      <c r="BD1412">
        <f>IFERROR(INDEX(PP_Grid[#Data],$DE1412,53),0)</f>
        <v/>
      </c>
      <c r="BE1412">
        <f>IFERROR(INDEX(PP_Grid[#Data],$DE1412,54),0)</f>
        <v/>
      </c>
      <c r="BF1412">
        <f>IFERROR(INDEX(PP_Grid[#Data],$DE1412,55),0)</f>
        <v/>
      </c>
      <c r="BG1412">
        <f>IFERROR(INDEX(PP_Grid[#Data],$DE1412,56),0)</f>
        <v/>
      </c>
      <c r="BH1412">
        <f>IFERROR(INDEX(PP_Grid[#Data],$DE1412,57),0)</f>
        <v/>
      </c>
      <c r="BI1412">
        <f>IFERROR(INDEX(PP_Grid[#Data],$DE1412,58),0)</f>
        <v/>
      </c>
      <c r="BJ1412">
        <f>IFERROR(INDEX(PP_Grid[#Data],$DE1412,59),0)</f>
        <v/>
      </c>
      <c r="BK1412">
        <f>IFERROR(INDEX(PP_Grid[#Data],$DE1412,60),0)</f>
        <v/>
      </c>
      <c r="BL1412">
        <f>IFERROR(INDEX(PP_Grid[#Data],$DE1412,61),0)</f>
        <v/>
      </c>
      <c r="BM1412">
        <f>IFERROR(INDEX(PP_Grid[#Data],$DE1412,62),0)</f>
        <v/>
      </c>
      <c r="BN1412">
        <f>IFERROR(INDEX(PP_Grid[#Data],$DE1412,63),0)</f>
        <v/>
      </c>
      <c r="BO1412">
        <f>IFERROR(INDEX(PP_Grid[#Data],$DE1412,64),0)</f>
        <v/>
      </c>
      <c r="BP1412">
        <f>IFERROR(INDEX(PP_Grid[#Data],$DE1412,65),0)</f>
        <v/>
      </c>
      <c r="BQ1412">
        <f>IFERROR(INDEX(PP_Grid[#Data],$DE1412,66),0)</f>
        <v/>
      </c>
      <c r="BR1412">
        <f>IFERROR(INDEX(PP_Grid[#Data],$DE1412,67),0)</f>
        <v/>
      </c>
      <c r="BS1412">
        <f>IFERROR(INDEX(PP_Grid[#Data],$DE1412,68),0)</f>
        <v/>
      </c>
      <c r="BT1412">
        <f>IFERROR(INDEX(PP_Grid[#Data],$DE1412,69),0)</f>
        <v/>
      </c>
      <c r="BU1412">
        <f>IFERROR(INDEX(PP_Grid[#Data],$DE1412,70),0)</f>
        <v/>
      </c>
      <c r="BV1412">
        <f>IFERROR(INDEX(PP_Grid[#Data],$DE1412,71),0)</f>
        <v/>
      </c>
      <c r="BW1412">
        <f>IFERROR(INDEX(PP_Grid[#Data],$DE1412,72),0)</f>
        <v/>
      </c>
      <c r="BX1412">
        <f>IFERROR(INDEX(PP_Grid[#Data],$DE1412,73),0)</f>
        <v/>
      </c>
      <c r="BY1412">
        <f>IFERROR(INDEX(PP_Grid[#Data],$DE1412,74),0)</f>
        <v/>
      </c>
      <c r="BZ1412">
        <f>IFERROR(INDEX(PP_Grid[#Data],$DE1412,75),0)</f>
        <v/>
      </c>
      <c r="CA1412">
        <f>IFERROR(INDEX(PP_Grid[#Data],$DE1412,76),0)</f>
        <v/>
      </c>
      <c r="CB1412">
        <f>IFERROR(INDEX(PP_Grid[#Data],$DE1412,77),0)</f>
        <v/>
      </c>
      <c r="CC1412">
        <f>IFERROR(INDEX(PP_Grid[#Data],$DE1412,78),0)</f>
        <v/>
      </c>
      <c r="CD1412">
        <f>IFERROR(INDEX(PP_Grid[#Data],$DE1412,79),0)</f>
        <v/>
      </c>
      <c r="CE1412">
        <f>IFERROR(INDEX(PP_Grid[#Data],$DE1412,80),0)</f>
        <v/>
      </c>
      <c r="CF1412">
        <f>IFERROR(INDEX(PP_Grid[#Data],$DE1412,81),0)</f>
        <v/>
      </c>
      <c r="CG1412">
        <f>IFERROR(INDEX(PP_Grid[#Data],$DE1412,82),0)</f>
        <v/>
      </c>
      <c r="CH1412">
        <f>IFERROR(INDEX(PP_Grid[#Data],$DE1412,83),0)</f>
        <v/>
      </c>
      <c r="CI1412">
        <f>IFERROR(INDEX(PP_Grid[#Data],$DE1412,84),0)</f>
        <v/>
      </c>
      <c r="CJ1412">
        <f>IFERROR(INDEX(PP_Grid[#Data],$DE1412,85),0)</f>
        <v/>
      </c>
      <c r="CK1412">
        <f>IFERROR(INDEX(PP_Grid[#Data],$DE1412,86),0)</f>
        <v/>
      </c>
      <c r="CL1412">
        <f>IFERROR(INDEX(PP_Grid[#Data],$DE1412,87),0)</f>
        <v/>
      </c>
      <c r="CM1412">
        <f>IFERROR(INDEX(PP_Grid[#Data],$DE1412,88),0)</f>
        <v/>
      </c>
      <c r="CN1412">
        <f>IFERROR(INDEX(PP_Grid[#Data],$DE1412,89),0)</f>
        <v/>
      </c>
      <c r="CO1412">
        <f>IFERROR(INDEX(PP_Grid[#Data],$DE1412,90),0)</f>
        <v/>
      </c>
      <c r="CP1412">
        <f>IFERROR(INDEX(PP_Grid[#Data],$DE1412,91),0)</f>
        <v/>
      </c>
      <c r="CQ1412">
        <f>IFERROR(INDEX(PP_Grid[#Data],$DE1412,92),0)</f>
        <v/>
      </c>
      <c r="CR1412">
        <f>IFERROR(INDEX(PP_Grid[#Data],$DE1412,93),0)</f>
        <v/>
      </c>
      <c r="CS1412">
        <f>IFERROR(INDEX(PP_Grid[#Data],$DE1412,94),0)</f>
        <v/>
      </c>
      <c r="CT1412">
        <f>IFERROR(INDEX(PP_Grid[#Data],$DE1412,95),0)</f>
        <v/>
      </c>
      <c r="CU1412">
        <f>IFERROR(INDEX(PP_Grid[#Data],$DE1412,96),0)</f>
        <v/>
      </c>
      <c r="CV1412">
        <f>IFERROR(INDEX(PP_Grid[#Data],$DE1412,97),0)</f>
        <v/>
      </c>
      <c r="CW1412">
        <f>IFERROR(INDEX(PP_Grid[#Data],$DE1412,98),0)</f>
        <v/>
      </c>
      <c r="CX1412">
        <f>IFERROR(INDEX(PP_Grid[#Data],$DE1412,99),0)</f>
        <v/>
      </c>
      <c r="CY1412">
        <f>IFERROR(INDEX(PP_Grid[#Data],$DE1412,100),0)</f>
        <v/>
      </c>
      <c r="CZ1412">
        <f>IFERROR(INDEX(PP_Grid[#Data],$DE1412,101),0)</f>
        <v/>
      </c>
      <c r="DA1412">
        <f>IFERROR(INDEX(PP_Grid[#Data],$DE1412,102),0)</f>
        <v/>
      </c>
      <c r="DB1412">
        <f>IFERROR(INDEX(PP_Grid[#Data],$DE1412,103),0)</f>
        <v/>
      </c>
      <c r="DC1412">
        <f>IFERROR(INDEX(PP_Grid[#Data],$DE1412,104),0)</f>
        <v/>
      </c>
      <c r="DD1412">
        <f>IFERROR(INDEX(PP_Grid[#Data],$DE1412,105),0)</f>
        <v/>
      </c>
      <c r="DE1412" s="7">
        <f>IFERROR(MATCH($B1412,PP_Grid[Intermediate],0),99999)</f>
        <v/>
      </c>
    </row>
    <row r="1413">
      <c r="B1413" t="inlineStr">
        <is>
          <t>使用量(kg)</t>
        </is>
      </c>
      <c r="C1413">
        <f>SUMIFS(M_BOM[RM_Qty_Per_Batch],M_BOM[Intermediate],$B1412,M_BOM[RM_Code],$A1393)</f>
        <v/>
      </c>
      <c r="D1413">
        <f>IFERROR(INDEX(E1413:DD1413,$F$1),"")</f>
        <v/>
      </c>
      <c r="E1413">
        <f>$C1413*E1412</f>
        <v/>
      </c>
      <c r="F1413">
        <f>$C1413*F1412</f>
        <v/>
      </c>
      <c r="G1413">
        <f>$C1413*G1412</f>
        <v/>
      </c>
      <c r="H1413">
        <f>$C1413*H1412</f>
        <v/>
      </c>
      <c r="I1413">
        <f>$C1413*I1412</f>
        <v/>
      </c>
      <c r="J1413">
        <f>$C1413*J1412</f>
        <v/>
      </c>
      <c r="K1413">
        <f>$C1413*K1412</f>
        <v/>
      </c>
      <c r="L1413">
        <f>$C1413*L1412</f>
        <v/>
      </c>
      <c r="M1413">
        <f>$C1413*M1412</f>
        <v/>
      </c>
      <c r="N1413">
        <f>$C1413*N1412</f>
        <v/>
      </c>
      <c r="O1413">
        <f>$C1413*O1412</f>
        <v/>
      </c>
      <c r="P1413">
        <f>$C1413*P1412</f>
        <v/>
      </c>
      <c r="Q1413">
        <f>$C1413*Q1412</f>
        <v/>
      </c>
      <c r="R1413">
        <f>$C1413*R1412</f>
        <v/>
      </c>
      <c r="S1413">
        <f>$C1413*S1412</f>
        <v/>
      </c>
      <c r="T1413">
        <f>$C1413*T1412</f>
        <v/>
      </c>
      <c r="U1413">
        <f>$C1413*U1412</f>
        <v/>
      </c>
      <c r="V1413">
        <f>$C1413*V1412</f>
        <v/>
      </c>
      <c r="W1413">
        <f>$C1413*W1412</f>
        <v/>
      </c>
      <c r="X1413">
        <f>$C1413*X1412</f>
        <v/>
      </c>
      <c r="Y1413">
        <f>$C1413*Y1412</f>
        <v/>
      </c>
      <c r="Z1413">
        <f>$C1413*Z1412</f>
        <v/>
      </c>
      <c r="AA1413">
        <f>$C1413*AA1412</f>
        <v/>
      </c>
      <c r="AB1413">
        <f>$C1413*AB1412</f>
        <v/>
      </c>
      <c r="AC1413">
        <f>$C1413*AC1412</f>
        <v/>
      </c>
      <c r="AD1413">
        <f>$C1413*AD1412</f>
        <v/>
      </c>
      <c r="AE1413">
        <f>$C1413*AE1412</f>
        <v/>
      </c>
      <c r="AF1413">
        <f>$C1413*AF1412</f>
        <v/>
      </c>
      <c r="AG1413">
        <f>$C1413*AG1412</f>
        <v/>
      </c>
      <c r="AH1413">
        <f>$C1413*AH1412</f>
        <v/>
      </c>
      <c r="AI1413">
        <f>$C1413*AI1412</f>
        <v/>
      </c>
      <c r="AJ1413">
        <f>$C1413*AJ1412</f>
        <v/>
      </c>
      <c r="AK1413">
        <f>$C1413*AK1412</f>
        <v/>
      </c>
      <c r="AL1413">
        <f>$C1413*AL1412</f>
        <v/>
      </c>
      <c r="AM1413">
        <f>$C1413*AM1412</f>
        <v/>
      </c>
      <c r="AN1413">
        <f>$C1413*AN1412</f>
        <v/>
      </c>
      <c r="AO1413">
        <f>$C1413*AO1412</f>
        <v/>
      </c>
      <c r="AP1413">
        <f>$C1413*AP1412</f>
        <v/>
      </c>
      <c r="AQ1413">
        <f>$C1413*AQ1412</f>
        <v/>
      </c>
      <c r="AR1413">
        <f>$C1413*AR1412</f>
        <v/>
      </c>
      <c r="AS1413">
        <f>$C1413*AS1412</f>
        <v/>
      </c>
      <c r="AT1413">
        <f>$C1413*AT1412</f>
        <v/>
      </c>
      <c r="AU1413">
        <f>$C1413*AU1412</f>
        <v/>
      </c>
      <c r="AV1413">
        <f>$C1413*AV1412</f>
        <v/>
      </c>
      <c r="AW1413">
        <f>$C1413*AW1412</f>
        <v/>
      </c>
      <c r="AX1413">
        <f>$C1413*AX1412</f>
        <v/>
      </c>
      <c r="AY1413">
        <f>$C1413*AY1412</f>
        <v/>
      </c>
      <c r="AZ1413">
        <f>$C1413*AZ1412</f>
        <v/>
      </c>
      <c r="BA1413">
        <f>$C1413*BA1412</f>
        <v/>
      </c>
      <c r="BB1413">
        <f>$C1413*BB1412</f>
        <v/>
      </c>
      <c r="BC1413">
        <f>$C1413*BC1412</f>
        <v/>
      </c>
      <c r="BD1413">
        <f>$C1413*BD1412</f>
        <v/>
      </c>
      <c r="BE1413">
        <f>$C1413*BE1412</f>
        <v/>
      </c>
      <c r="BF1413">
        <f>$C1413*BF1412</f>
        <v/>
      </c>
      <c r="BG1413">
        <f>$C1413*BG1412</f>
        <v/>
      </c>
      <c r="BH1413">
        <f>$C1413*BH1412</f>
        <v/>
      </c>
      <c r="BI1413">
        <f>$C1413*BI1412</f>
        <v/>
      </c>
      <c r="BJ1413">
        <f>$C1413*BJ1412</f>
        <v/>
      </c>
      <c r="BK1413">
        <f>$C1413*BK1412</f>
        <v/>
      </c>
      <c r="BL1413">
        <f>$C1413*BL1412</f>
        <v/>
      </c>
      <c r="BM1413">
        <f>$C1413*BM1412</f>
        <v/>
      </c>
      <c r="BN1413">
        <f>$C1413*BN1412</f>
        <v/>
      </c>
      <c r="BO1413">
        <f>$C1413*BO1412</f>
        <v/>
      </c>
      <c r="BP1413">
        <f>$C1413*BP1412</f>
        <v/>
      </c>
      <c r="BQ1413">
        <f>$C1413*BQ1412</f>
        <v/>
      </c>
      <c r="BR1413">
        <f>$C1413*BR1412</f>
        <v/>
      </c>
      <c r="BS1413">
        <f>$C1413*BS1412</f>
        <v/>
      </c>
      <c r="BT1413">
        <f>$C1413*BT1412</f>
        <v/>
      </c>
      <c r="BU1413">
        <f>$C1413*BU1412</f>
        <v/>
      </c>
      <c r="BV1413">
        <f>$C1413*BV1412</f>
        <v/>
      </c>
      <c r="BW1413">
        <f>$C1413*BW1412</f>
        <v/>
      </c>
      <c r="BX1413">
        <f>$C1413*BX1412</f>
        <v/>
      </c>
      <c r="BY1413">
        <f>$C1413*BY1412</f>
        <v/>
      </c>
      <c r="BZ1413">
        <f>$C1413*BZ1412</f>
        <v/>
      </c>
      <c r="CA1413">
        <f>$C1413*CA1412</f>
        <v/>
      </c>
      <c r="CB1413">
        <f>$C1413*CB1412</f>
        <v/>
      </c>
      <c r="CC1413">
        <f>$C1413*CC1412</f>
        <v/>
      </c>
      <c r="CD1413">
        <f>$C1413*CD1412</f>
        <v/>
      </c>
      <c r="CE1413">
        <f>$C1413*CE1412</f>
        <v/>
      </c>
      <c r="CF1413">
        <f>$C1413*CF1412</f>
        <v/>
      </c>
      <c r="CG1413">
        <f>$C1413*CG1412</f>
        <v/>
      </c>
      <c r="CH1413">
        <f>$C1413*CH1412</f>
        <v/>
      </c>
      <c r="CI1413">
        <f>$C1413*CI1412</f>
        <v/>
      </c>
      <c r="CJ1413">
        <f>$C1413*CJ1412</f>
        <v/>
      </c>
      <c r="CK1413">
        <f>$C1413*CK1412</f>
        <v/>
      </c>
      <c r="CL1413">
        <f>$C1413*CL1412</f>
        <v/>
      </c>
      <c r="CM1413">
        <f>$C1413*CM1412</f>
        <v/>
      </c>
      <c r="CN1413">
        <f>$C1413*CN1412</f>
        <v/>
      </c>
      <c r="CO1413">
        <f>$C1413*CO1412</f>
        <v/>
      </c>
      <c r="CP1413">
        <f>$C1413*CP1412</f>
        <v/>
      </c>
      <c r="CQ1413">
        <f>$C1413*CQ1412</f>
        <v/>
      </c>
      <c r="CR1413">
        <f>$C1413*CR1412</f>
        <v/>
      </c>
      <c r="CS1413">
        <f>$C1413*CS1412</f>
        <v/>
      </c>
      <c r="CT1413">
        <f>$C1413*CT1412</f>
        <v/>
      </c>
      <c r="CU1413">
        <f>$C1413*CU1412</f>
        <v/>
      </c>
      <c r="CV1413">
        <f>$C1413*CV1412</f>
        <v/>
      </c>
      <c r="CW1413">
        <f>$C1413*CW1412</f>
        <v/>
      </c>
      <c r="CX1413">
        <f>$C1413*CX1412</f>
        <v/>
      </c>
      <c r="CY1413">
        <f>$C1413*CY1412</f>
        <v/>
      </c>
      <c r="CZ1413">
        <f>$C1413*CZ1412</f>
        <v/>
      </c>
      <c r="DA1413">
        <f>$C1413*DA1412</f>
        <v/>
      </c>
      <c r="DB1413">
        <f>$C1413*DB1412</f>
        <v/>
      </c>
      <c r="DC1413">
        <f>$C1413*DC1412</f>
        <v/>
      </c>
      <c r="DD1413">
        <f>$C1413*DD1412</f>
        <v/>
      </c>
    </row>
    <row r="1414">
      <c r="B1414" t="inlineStr">
        <is>
          <t>TSP-1445</t>
        </is>
      </c>
      <c r="C1414" t="inlineStr">
        <is>
          <t>No. of batches</t>
        </is>
      </c>
      <c r="D1414">
        <f>IFERROR(INDEX(E1414:DD1414,$F$1),"")</f>
        <v/>
      </c>
      <c r="E1414">
        <f>IFERROR(INDEX(PP_Grid[#Data],$DE1414,2),0)</f>
        <v/>
      </c>
      <c r="F1414">
        <f>IFERROR(INDEX(PP_Grid[#Data],$DE1414,3),0)</f>
        <v/>
      </c>
      <c r="G1414">
        <f>IFERROR(INDEX(PP_Grid[#Data],$DE1414,4),0)</f>
        <v/>
      </c>
      <c r="H1414">
        <f>IFERROR(INDEX(PP_Grid[#Data],$DE1414,5),0)</f>
        <v/>
      </c>
      <c r="I1414">
        <f>IFERROR(INDEX(PP_Grid[#Data],$DE1414,6),0)</f>
        <v/>
      </c>
      <c r="J1414">
        <f>IFERROR(INDEX(PP_Grid[#Data],$DE1414,7),0)</f>
        <v/>
      </c>
      <c r="K1414">
        <f>IFERROR(INDEX(PP_Grid[#Data],$DE1414,8),0)</f>
        <v/>
      </c>
      <c r="L1414">
        <f>IFERROR(INDEX(PP_Grid[#Data],$DE1414,9),0)</f>
        <v/>
      </c>
      <c r="M1414">
        <f>IFERROR(INDEX(PP_Grid[#Data],$DE1414,10),0)</f>
        <v/>
      </c>
      <c r="N1414">
        <f>IFERROR(INDEX(PP_Grid[#Data],$DE1414,11),0)</f>
        <v/>
      </c>
      <c r="O1414">
        <f>IFERROR(INDEX(PP_Grid[#Data],$DE1414,12),0)</f>
        <v/>
      </c>
      <c r="P1414">
        <f>IFERROR(INDEX(PP_Grid[#Data],$DE1414,13),0)</f>
        <v/>
      </c>
      <c r="Q1414">
        <f>IFERROR(INDEX(PP_Grid[#Data],$DE1414,14),0)</f>
        <v/>
      </c>
      <c r="R1414">
        <f>IFERROR(INDEX(PP_Grid[#Data],$DE1414,15),0)</f>
        <v/>
      </c>
      <c r="S1414">
        <f>IFERROR(INDEX(PP_Grid[#Data],$DE1414,16),0)</f>
        <v/>
      </c>
      <c r="T1414">
        <f>IFERROR(INDEX(PP_Grid[#Data],$DE1414,17),0)</f>
        <v/>
      </c>
      <c r="U1414">
        <f>IFERROR(INDEX(PP_Grid[#Data],$DE1414,18),0)</f>
        <v/>
      </c>
      <c r="V1414">
        <f>IFERROR(INDEX(PP_Grid[#Data],$DE1414,19),0)</f>
        <v/>
      </c>
      <c r="W1414">
        <f>IFERROR(INDEX(PP_Grid[#Data],$DE1414,20),0)</f>
        <v/>
      </c>
      <c r="X1414">
        <f>IFERROR(INDEX(PP_Grid[#Data],$DE1414,21),0)</f>
        <v/>
      </c>
      <c r="Y1414">
        <f>IFERROR(INDEX(PP_Grid[#Data],$DE1414,22),0)</f>
        <v/>
      </c>
      <c r="Z1414">
        <f>IFERROR(INDEX(PP_Grid[#Data],$DE1414,23),0)</f>
        <v/>
      </c>
      <c r="AA1414">
        <f>IFERROR(INDEX(PP_Grid[#Data],$DE1414,24),0)</f>
        <v/>
      </c>
      <c r="AB1414">
        <f>IFERROR(INDEX(PP_Grid[#Data],$DE1414,25),0)</f>
        <v/>
      </c>
      <c r="AC1414">
        <f>IFERROR(INDEX(PP_Grid[#Data],$DE1414,26),0)</f>
        <v/>
      </c>
      <c r="AD1414">
        <f>IFERROR(INDEX(PP_Grid[#Data],$DE1414,27),0)</f>
        <v/>
      </c>
      <c r="AE1414">
        <f>IFERROR(INDEX(PP_Grid[#Data],$DE1414,28),0)</f>
        <v/>
      </c>
      <c r="AF1414">
        <f>IFERROR(INDEX(PP_Grid[#Data],$DE1414,29),0)</f>
        <v/>
      </c>
      <c r="AG1414">
        <f>IFERROR(INDEX(PP_Grid[#Data],$DE1414,30),0)</f>
        <v/>
      </c>
      <c r="AH1414">
        <f>IFERROR(INDEX(PP_Grid[#Data],$DE1414,31),0)</f>
        <v/>
      </c>
      <c r="AI1414">
        <f>IFERROR(INDEX(PP_Grid[#Data],$DE1414,32),0)</f>
        <v/>
      </c>
      <c r="AJ1414">
        <f>IFERROR(INDEX(PP_Grid[#Data],$DE1414,33),0)</f>
        <v/>
      </c>
      <c r="AK1414">
        <f>IFERROR(INDEX(PP_Grid[#Data],$DE1414,34),0)</f>
        <v/>
      </c>
      <c r="AL1414">
        <f>IFERROR(INDEX(PP_Grid[#Data],$DE1414,35),0)</f>
        <v/>
      </c>
      <c r="AM1414">
        <f>IFERROR(INDEX(PP_Grid[#Data],$DE1414,36),0)</f>
        <v/>
      </c>
      <c r="AN1414">
        <f>IFERROR(INDEX(PP_Grid[#Data],$DE1414,37),0)</f>
        <v/>
      </c>
      <c r="AO1414">
        <f>IFERROR(INDEX(PP_Grid[#Data],$DE1414,38),0)</f>
        <v/>
      </c>
      <c r="AP1414">
        <f>IFERROR(INDEX(PP_Grid[#Data],$DE1414,39),0)</f>
        <v/>
      </c>
      <c r="AQ1414">
        <f>IFERROR(INDEX(PP_Grid[#Data],$DE1414,40),0)</f>
        <v/>
      </c>
      <c r="AR1414">
        <f>IFERROR(INDEX(PP_Grid[#Data],$DE1414,41),0)</f>
        <v/>
      </c>
      <c r="AS1414">
        <f>IFERROR(INDEX(PP_Grid[#Data],$DE1414,42),0)</f>
        <v/>
      </c>
      <c r="AT1414">
        <f>IFERROR(INDEX(PP_Grid[#Data],$DE1414,43),0)</f>
        <v/>
      </c>
      <c r="AU1414">
        <f>IFERROR(INDEX(PP_Grid[#Data],$DE1414,44),0)</f>
        <v/>
      </c>
      <c r="AV1414">
        <f>IFERROR(INDEX(PP_Grid[#Data],$DE1414,45),0)</f>
        <v/>
      </c>
      <c r="AW1414">
        <f>IFERROR(INDEX(PP_Grid[#Data],$DE1414,46),0)</f>
        <v/>
      </c>
      <c r="AX1414">
        <f>IFERROR(INDEX(PP_Grid[#Data],$DE1414,47),0)</f>
        <v/>
      </c>
      <c r="AY1414">
        <f>IFERROR(INDEX(PP_Grid[#Data],$DE1414,48),0)</f>
        <v/>
      </c>
      <c r="AZ1414">
        <f>IFERROR(INDEX(PP_Grid[#Data],$DE1414,49),0)</f>
        <v/>
      </c>
      <c r="BA1414">
        <f>IFERROR(INDEX(PP_Grid[#Data],$DE1414,50),0)</f>
        <v/>
      </c>
      <c r="BB1414">
        <f>IFERROR(INDEX(PP_Grid[#Data],$DE1414,51),0)</f>
        <v/>
      </c>
      <c r="BC1414">
        <f>IFERROR(INDEX(PP_Grid[#Data],$DE1414,52),0)</f>
        <v/>
      </c>
      <c r="BD1414">
        <f>IFERROR(INDEX(PP_Grid[#Data],$DE1414,53),0)</f>
        <v/>
      </c>
      <c r="BE1414">
        <f>IFERROR(INDEX(PP_Grid[#Data],$DE1414,54),0)</f>
        <v/>
      </c>
      <c r="BF1414">
        <f>IFERROR(INDEX(PP_Grid[#Data],$DE1414,55),0)</f>
        <v/>
      </c>
      <c r="BG1414">
        <f>IFERROR(INDEX(PP_Grid[#Data],$DE1414,56),0)</f>
        <v/>
      </c>
      <c r="BH1414">
        <f>IFERROR(INDEX(PP_Grid[#Data],$DE1414,57),0)</f>
        <v/>
      </c>
      <c r="BI1414">
        <f>IFERROR(INDEX(PP_Grid[#Data],$DE1414,58),0)</f>
        <v/>
      </c>
      <c r="BJ1414">
        <f>IFERROR(INDEX(PP_Grid[#Data],$DE1414,59),0)</f>
        <v/>
      </c>
      <c r="BK1414">
        <f>IFERROR(INDEX(PP_Grid[#Data],$DE1414,60),0)</f>
        <v/>
      </c>
      <c r="BL1414">
        <f>IFERROR(INDEX(PP_Grid[#Data],$DE1414,61),0)</f>
        <v/>
      </c>
      <c r="BM1414">
        <f>IFERROR(INDEX(PP_Grid[#Data],$DE1414,62),0)</f>
        <v/>
      </c>
      <c r="BN1414">
        <f>IFERROR(INDEX(PP_Grid[#Data],$DE1414,63),0)</f>
        <v/>
      </c>
      <c r="BO1414">
        <f>IFERROR(INDEX(PP_Grid[#Data],$DE1414,64),0)</f>
        <v/>
      </c>
      <c r="BP1414">
        <f>IFERROR(INDEX(PP_Grid[#Data],$DE1414,65),0)</f>
        <v/>
      </c>
      <c r="BQ1414">
        <f>IFERROR(INDEX(PP_Grid[#Data],$DE1414,66),0)</f>
        <v/>
      </c>
      <c r="BR1414">
        <f>IFERROR(INDEX(PP_Grid[#Data],$DE1414,67),0)</f>
        <v/>
      </c>
      <c r="BS1414">
        <f>IFERROR(INDEX(PP_Grid[#Data],$DE1414,68),0)</f>
        <v/>
      </c>
      <c r="BT1414">
        <f>IFERROR(INDEX(PP_Grid[#Data],$DE1414,69),0)</f>
        <v/>
      </c>
      <c r="BU1414">
        <f>IFERROR(INDEX(PP_Grid[#Data],$DE1414,70),0)</f>
        <v/>
      </c>
      <c r="BV1414">
        <f>IFERROR(INDEX(PP_Grid[#Data],$DE1414,71),0)</f>
        <v/>
      </c>
      <c r="BW1414">
        <f>IFERROR(INDEX(PP_Grid[#Data],$DE1414,72),0)</f>
        <v/>
      </c>
      <c r="BX1414">
        <f>IFERROR(INDEX(PP_Grid[#Data],$DE1414,73),0)</f>
        <v/>
      </c>
      <c r="BY1414">
        <f>IFERROR(INDEX(PP_Grid[#Data],$DE1414,74),0)</f>
        <v/>
      </c>
      <c r="BZ1414">
        <f>IFERROR(INDEX(PP_Grid[#Data],$DE1414,75),0)</f>
        <v/>
      </c>
      <c r="CA1414">
        <f>IFERROR(INDEX(PP_Grid[#Data],$DE1414,76),0)</f>
        <v/>
      </c>
      <c r="CB1414">
        <f>IFERROR(INDEX(PP_Grid[#Data],$DE1414,77),0)</f>
        <v/>
      </c>
      <c r="CC1414">
        <f>IFERROR(INDEX(PP_Grid[#Data],$DE1414,78),0)</f>
        <v/>
      </c>
      <c r="CD1414">
        <f>IFERROR(INDEX(PP_Grid[#Data],$DE1414,79),0)</f>
        <v/>
      </c>
      <c r="CE1414">
        <f>IFERROR(INDEX(PP_Grid[#Data],$DE1414,80),0)</f>
        <v/>
      </c>
      <c r="CF1414">
        <f>IFERROR(INDEX(PP_Grid[#Data],$DE1414,81),0)</f>
        <v/>
      </c>
      <c r="CG1414">
        <f>IFERROR(INDEX(PP_Grid[#Data],$DE1414,82),0)</f>
        <v/>
      </c>
      <c r="CH1414">
        <f>IFERROR(INDEX(PP_Grid[#Data],$DE1414,83),0)</f>
        <v/>
      </c>
      <c r="CI1414">
        <f>IFERROR(INDEX(PP_Grid[#Data],$DE1414,84),0)</f>
        <v/>
      </c>
      <c r="CJ1414">
        <f>IFERROR(INDEX(PP_Grid[#Data],$DE1414,85),0)</f>
        <v/>
      </c>
      <c r="CK1414">
        <f>IFERROR(INDEX(PP_Grid[#Data],$DE1414,86),0)</f>
        <v/>
      </c>
      <c r="CL1414">
        <f>IFERROR(INDEX(PP_Grid[#Data],$DE1414,87),0)</f>
        <v/>
      </c>
      <c r="CM1414">
        <f>IFERROR(INDEX(PP_Grid[#Data],$DE1414,88),0)</f>
        <v/>
      </c>
      <c r="CN1414">
        <f>IFERROR(INDEX(PP_Grid[#Data],$DE1414,89),0)</f>
        <v/>
      </c>
      <c r="CO1414">
        <f>IFERROR(INDEX(PP_Grid[#Data],$DE1414,90),0)</f>
        <v/>
      </c>
      <c r="CP1414">
        <f>IFERROR(INDEX(PP_Grid[#Data],$DE1414,91),0)</f>
        <v/>
      </c>
      <c r="CQ1414">
        <f>IFERROR(INDEX(PP_Grid[#Data],$DE1414,92),0)</f>
        <v/>
      </c>
      <c r="CR1414">
        <f>IFERROR(INDEX(PP_Grid[#Data],$DE1414,93),0)</f>
        <v/>
      </c>
      <c r="CS1414">
        <f>IFERROR(INDEX(PP_Grid[#Data],$DE1414,94),0)</f>
        <v/>
      </c>
      <c r="CT1414">
        <f>IFERROR(INDEX(PP_Grid[#Data],$DE1414,95),0)</f>
        <v/>
      </c>
      <c r="CU1414">
        <f>IFERROR(INDEX(PP_Grid[#Data],$DE1414,96),0)</f>
        <v/>
      </c>
      <c r="CV1414">
        <f>IFERROR(INDEX(PP_Grid[#Data],$DE1414,97),0)</f>
        <v/>
      </c>
      <c r="CW1414">
        <f>IFERROR(INDEX(PP_Grid[#Data],$DE1414,98),0)</f>
        <v/>
      </c>
      <c r="CX1414">
        <f>IFERROR(INDEX(PP_Grid[#Data],$DE1414,99),0)</f>
        <v/>
      </c>
      <c r="CY1414">
        <f>IFERROR(INDEX(PP_Grid[#Data],$DE1414,100),0)</f>
        <v/>
      </c>
      <c r="CZ1414">
        <f>IFERROR(INDEX(PP_Grid[#Data],$DE1414,101),0)</f>
        <v/>
      </c>
      <c r="DA1414">
        <f>IFERROR(INDEX(PP_Grid[#Data],$DE1414,102),0)</f>
        <v/>
      </c>
      <c r="DB1414">
        <f>IFERROR(INDEX(PP_Grid[#Data],$DE1414,103),0)</f>
        <v/>
      </c>
      <c r="DC1414">
        <f>IFERROR(INDEX(PP_Grid[#Data],$DE1414,104),0)</f>
        <v/>
      </c>
      <c r="DD1414">
        <f>IFERROR(INDEX(PP_Grid[#Data],$DE1414,105),0)</f>
        <v/>
      </c>
      <c r="DE1414" s="7">
        <f>IFERROR(MATCH($B1414,PP_Grid[Intermediate],0),99999)</f>
        <v/>
      </c>
    </row>
    <row r="1415">
      <c r="B1415" t="inlineStr">
        <is>
          <t>使用量(kg)</t>
        </is>
      </c>
      <c r="C1415">
        <f>SUMIFS(M_BOM[RM_Qty_Per_Batch],M_BOM[Intermediate],$B1414,M_BOM[RM_Code],$A1393)</f>
        <v/>
      </c>
      <c r="D1415">
        <f>IFERROR(INDEX(E1415:DD1415,$F$1),"")</f>
        <v/>
      </c>
      <c r="E1415">
        <f>$C1415*E1414</f>
        <v/>
      </c>
      <c r="F1415">
        <f>$C1415*F1414</f>
        <v/>
      </c>
      <c r="G1415">
        <f>$C1415*G1414</f>
        <v/>
      </c>
      <c r="H1415">
        <f>$C1415*H1414</f>
        <v/>
      </c>
      <c r="I1415">
        <f>$C1415*I1414</f>
        <v/>
      </c>
      <c r="J1415">
        <f>$C1415*J1414</f>
        <v/>
      </c>
      <c r="K1415">
        <f>$C1415*K1414</f>
        <v/>
      </c>
      <c r="L1415">
        <f>$C1415*L1414</f>
        <v/>
      </c>
      <c r="M1415">
        <f>$C1415*M1414</f>
        <v/>
      </c>
      <c r="N1415">
        <f>$C1415*N1414</f>
        <v/>
      </c>
      <c r="O1415">
        <f>$C1415*O1414</f>
        <v/>
      </c>
      <c r="P1415">
        <f>$C1415*P1414</f>
        <v/>
      </c>
      <c r="Q1415">
        <f>$C1415*Q1414</f>
        <v/>
      </c>
      <c r="R1415">
        <f>$C1415*R1414</f>
        <v/>
      </c>
      <c r="S1415">
        <f>$C1415*S1414</f>
        <v/>
      </c>
      <c r="T1415">
        <f>$C1415*T1414</f>
        <v/>
      </c>
      <c r="U1415">
        <f>$C1415*U1414</f>
        <v/>
      </c>
      <c r="V1415">
        <f>$C1415*V1414</f>
        <v/>
      </c>
      <c r="W1415">
        <f>$C1415*W1414</f>
        <v/>
      </c>
      <c r="X1415">
        <f>$C1415*X1414</f>
        <v/>
      </c>
      <c r="Y1415">
        <f>$C1415*Y1414</f>
        <v/>
      </c>
      <c r="Z1415">
        <f>$C1415*Z1414</f>
        <v/>
      </c>
      <c r="AA1415">
        <f>$C1415*AA1414</f>
        <v/>
      </c>
      <c r="AB1415">
        <f>$C1415*AB1414</f>
        <v/>
      </c>
      <c r="AC1415">
        <f>$C1415*AC1414</f>
        <v/>
      </c>
      <c r="AD1415">
        <f>$C1415*AD1414</f>
        <v/>
      </c>
      <c r="AE1415">
        <f>$C1415*AE1414</f>
        <v/>
      </c>
      <c r="AF1415">
        <f>$C1415*AF1414</f>
        <v/>
      </c>
      <c r="AG1415">
        <f>$C1415*AG1414</f>
        <v/>
      </c>
      <c r="AH1415">
        <f>$C1415*AH1414</f>
        <v/>
      </c>
      <c r="AI1415">
        <f>$C1415*AI1414</f>
        <v/>
      </c>
      <c r="AJ1415">
        <f>$C1415*AJ1414</f>
        <v/>
      </c>
      <c r="AK1415">
        <f>$C1415*AK1414</f>
        <v/>
      </c>
      <c r="AL1415">
        <f>$C1415*AL1414</f>
        <v/>
      </c>
      <c r="AM1415">
        <f>$C1415*AM1414</f>
        <v/>
      </c>
      <c r="AN1415">
        <f>$C1415*AN1414</f>
        <v/>
      </c>
      <c r="AO1415">
        <f>$C1415*AO1414</f>
        <v/>
      </c>
      <c r="AP1415">
        <f>$C1415*AP1414</f>
        <v/>
      </c>
      <c r="AQ1415">
        <f>$C1415*AQ1414</f>
        <v/>
      </c>
      <c r="AR1415">
        <f>$C1415*AR1414</f>
        <v/>
      </c>
      <c r="AS1415">
        <f>$C1415*AS1414</f>
        <v/>
      </c>
      <c r="AT1415">
        <f>$C1415*AT1414</f>
        <v/>
      </c>
      <c r="AU1415">
        <f>$C1415*AU1414</f>
        <v/>
      </c>
      <c r="AV1415">
        <f>$C1415*AV1414</f>
        <v/>
      </c>
      <c r="AW1415">
        <f>$C1415*AW1414</f>
        <v/>
      </c>
      <c r="AX1415">
        <f>$C1415*AX1414</f>
        <v/>
      </c>
      <c r="AY1415">
        <f>$C1415*AY1414</f>
        <v/>
      </c>
      <c r="AZ1415">
        <f>$C1415*AZ1414</f>
        <v/>
      </c>
      <c r="BA1415">
        <f>$C1415*BA1414</f>
        <v/>
      </c>
      <c r="BB1415">
        <f>$C1415*BB1414</f>
        <v/>
      </c>
      <c r="BC1415">
        <f>$C1415*BC1414</f>
        <v/>
      </c>
      <c r="BD1415">
        <f>$C1415*BD1414</f>
        <v/>
      </c>
      <c r="BE1415">
        <f>$C1415*BE1414</f>
        <v/>
      </c>
      <c r="BF1415">
        <f>$C1415*BF1414</f>
        <v/>
      </c>
      <c r="BG1415">
        <f>$C1415*BG1414</f>
        <v/>
      </c>
      <c r="BH1415">
        <f>$C1415*BH1414</f>
        <v/>
      </c>
      <c r="BI1415">
        <f>$C1415*BI1414</f>
        <v/>
      </c>
      <c r="BJ1415">
        <f>$C1415*BJ1414</f>
        <v/>
      </c>
      <c r="BK1415">
        <f>$C1415*BK1414</f>
        <v/>
      </c>
      <c r="BL1415">
        <f>$C1415*BL1414</f>
        <v/>
      </c>
      <c r="BM1415">
        <f>$C1415*BM1414</f>
        <v/>
      </c>
      <c r="BN1415">
        <f>$C1415*BN1414</f>
        <v/>
      </c>
      <c r="BO1415">
        <f>$C1415*BO1414</f>
        <v/>
      </c>
      <c r="BP1415">
        <f>$C1415*BP1414</f>
        <v/>
      </c>
      <c r="BQ1415">
        <f>$C1415*BQ1414</f>
        <v/>
      </c>
      <c r="BR1415">
        <f>$C1415*BR1414</f>
        <v/>
      </c>
      <c r="BS1415">
        <f>$C1415*BS1414</f>
        <v/>
      </c>
      <c r="BT1415">
        <f>$C1415*BT1414</f>
        <v/>
      </c>
      <c r="BU1415">
        <f>$C1415*BU1414</f>
        <v/>
      </c>
      <c r="BV1415">
        <f>$C1415*BV1414</f>
        <v/>
      </c>
      <c r="BW1415">
        <f>$C1415*BW1414</f>
        <v/>
      </c>
      <c r="BX1415">
        <f>$C1415*BX1414</f>
        <v/>
      </c>
      <c r="BY1415">
        <f>$C1415*BY1414</f>
        <v/>
      </c>
      <c r="BZ1415">
        <f>$C1415*BZ1414</f>
        <v/>
      </c>
      <c r="CA1415">
        <f>$C1415*CA1414</f>
        <v/>
      </c>
      <c r="CB1415">
        <f>$C1415*CB1414</f>
        <v/>
      </c>
      <c r="CC1415">
        <f>$C1415*CC1414</f>
        <v/>
      </c>
      <c r="CD1415">
        <f>$C1415*CD1414</f>
        <v/>
      </c>
      <c r="CE1415">
        <f>$C1415*CE1414</f>
        <v/>
      </c>
      <c r="CF1415">
        <f>$C1415*CF1414</f>
        <v/>
      </c>
      <c r="CG1415">
        <f>$C1415*CG1414</f>
        <v/>
      </c>
      <c r="CH1415">
        <f>$C1415*CH1414</f>
        <v/>
      </c>
      <c r="CI1415">
        <f>$C1415*CI1414</f>
        <v/>
      </c>
      <c r="CJ1415">
        <f>$C1415*CJ1414</f>
        <v/>
      </c>
      <c r="CK1415">
        <f>$C1415*CK1414</f>
        <v/>
      </c>
      <c r="CL1415">
        <f>$C1415*CL1414</f>
        <v/>
      </c>
      <c r="CM1415">
        <f>$C1415*CM1414</f>
        <v/>
      </c>
      <c r="CN1415">
        <f>$C1415*CN1414</f>
        <v/>
      </c>
      <c r="CO1415">
        <f>$C1415*CO1414</f>
        <v/>
      </c>
      <c r="CP1415">
        <f>$C1415*CP1414</f>
        <v/>
      </c>
      <c r="CQ1415">
        <f>$C1415*CQ1414</f>
        <v/>
      </c>
      <c r="CR1415">
        <f>$C1415*CR1414</f>
        <v/>
      </c>
      <c r="CS1415">
        <f>$C1415*CS1414</f>
        <v/>
      </c>
      <c r="CT1415">
        <f>$C1415*CT1414</f>
        <v/>
      </c>
      <c r="CU1415">
        <f>$C1415*CU1414</f>
        <v/>
      </c>
      <c r="CV1415">
        <f>$C1415*CV1414</f>
        <v/>
      </c>
      <c r="CW1415">
        <f>$C1415*CW1414</f>
        <v/>
      </c>
      <c r="CX1415">
        <f>$C1415*CX1414</f>
        <v/>
      </c>
      <c r="CY1415">
        <f>$C1415*CY1414</f>
        <v/>
      </c>
      <c r="CZ1415">
        <f>$C1415*CZ1414</f>
        <v/>
      </c>
      <c r="DA1415">
        <f>$C1415*DA1414</f>
        <v/>
      </c>
      <c r="DB1415">
        <f>$C1415*DB1414</f>
        <v/>
      </c>
      <c r="DC1415">
        <f>$C1415*DC1414</f>
        <v/>
      </c>
      <c r="DD1415">
        <f>$C1415*DD1414</f>
        <v/>
      </c>
    </row>
    <row r="1416">
      <c r="B1416" t="inlineStr">
        <is>
          <t>TSP-1446</t>
        </is>
      </c>
      <c r="C1416" t="inlineStr">
        <is>
          <t>No. of batches</t>
        </is>
      </c>
      <c r="D1416">
        <f>IFERROR(INDEX(E1416:DD1416,$F$1),"")</f>
        <v/>
      </c>
      <c r="E1416">
        <f>IFERROR(INDEX(PP_Grid[#Data],$DE1416,2),0)</f>
        <v/>
      </c>
      <c r="F1416">
        <f>IFERROR(INDEX(PP_Grid[#Data],$DE1416,3),0)</f>
        <v/>
      </c>
      <c r="G1416">
        <f>IFERROR(INDEX(PP_Grid[#Data],$DE1416,4),0)</f>
        <v/>
      </c>
      <c r="H1416">
        <f>IFERROR(INDEX(PP_Grid[#Data],$DE1416,5),0)</f>
        <v/>
      </c>
      <c r="I1416">
        <f>IFERROR(INDEX(PP_Grid[#Data],$DE1416,6),0)</f>
        <v/>
      </c>
      <c r="J1416">
        <f>IFERROR(INDEX(PP_Grid[#Data],$DE1416,7),0)</f>
        <v/>
      </c>
      <c r="K1416">
        <f>IFERROR(INDEX(PP_Grid[#Data],$DE1416,8),0)</f>
        <v/>
      </c>
      <c r="L1416">
        <f>IFERROR(INDEX(PP_Grid[#Data],$DE1416,9),0)</f>
        <v/>
      </c>
      <c r="M1416">
        <f>IFERROR(INDEX(PP_Grid[#Data],$DE1416,10),0)</f>
        <v/>
      </c>
      <c r="N1416">
        <f>IFERROR(INDEX(PP_Grid[#Data],$DE1416,11),0)</f>
        <v/>
      </c>
      <c r="O1416">
        <f>IFERROR(INDEX(PP_Grid[#Data],$DE1416,12),0)</f>
        <v/>
      </c>
      <c r="P1416">
        <f>IFERROR(INDEX(PP_Grid[#Data],$DE1416,13),0)</f>
        <v/>
      </c>
      <c r="Q1416">
        <f>IFERROR(INDEX(PP_Grid[#Data],$DE1416,14),0)</f>
        <v/>
      </c>
      <c r="R1416">
        <f>IFERROR(INDEX(PP_Grid[#Data],$DE1416,15),0)</f>
        <v/>
      </c>
      <c r="S1416">
        <f>IFERROR(INDEX(PP_Grid[#Data],$DE1416,16),0)</f>
        <v/>
      </c>
      <c r="T1416">
        <f>IFERROR(INDEX(PP_Grid[#Data],$DE1416,17),0)</f>
        <v/>
      </c>
      <c r="U1416">
        <f>IFERROR(INDEX(PP_Grid[#Data],$DE1416,18),0)</f>
        <v/>
      </c>
      <c r="V1416">
        <f>IFERROR(INDEX(PP_Grid[#Data],$DE1416,19),0)</f>
        <v/>
      </c>
      <c r="W1416">
        <f>IFERROR(INDEX(PP_Grid[#Data],$DE1416,20),0)</f>
        <v/>
      </c>
      <c r="X1416">
        <f>IFERROR(INDEX(PP_Grid[#Data],$DE1416,21),0)</f>
        <v/>
      </c>
      <c r="Y1416">
        <f>IFERROR(INDEX(PP_Grid[#Data],$DE1416,22),0)</f>
        <v/>
      </c>
      <c r="Z1416">
        <f>IFERROR(INDEX(PP_Grid[#Data],$DE1416,23),0)</f>
        <v/>
      </c>
      <c r="AA1416">
        <f>IFERROR(INDEX(PP_Grid[#Data],$DE1416,24),0)</f>
        <v/>
      </c>
      <c r="AB1416">
        <f>IFERROR(INDEX(PP_Grid[#Data],$DE1416,25),0)</f>
        <v/>
      </c>
      <c r="AC1416">
        <f>IFERROR(INDEX(PP_Grid[#Data],$DE1416,26),0)</f>
        <v/>
      </c>
      <c r="AD1416">
        <f>IFERROR(INDEX(PP_Grid[#Data],$DE1416,27),0)</f>
        <v/>
      </c>
      <c r="AE1416">
        <f>IFERROR(INDEX(PP_Grid[#Data],$DE1416,28),0)</f>
        <v/>
      </c>
      <c r="AF1416">
        <f>IFERROR(INDEX(PP_Grid[#Data],$DE1416,29),0)</f>
        <v/>
      </c>
      <c r="AG1416">
        <f>IFERROR(INDEX(PP_Grid[#Data],$DE1416,30),0)</f>
        <v/>
      </c>
      <c r="AH1416">
        <f>IFERROR(INDEX(PP_Grid[#Data],$DE1416,31),0)</f>
        <v/>
      </c>
      <c r="AI1416">
        <f>IFERROR(INDEX(PP_Grid[#Data],$DE1416,32),0)</f>
        <v/>
      </c>
      <c r="AJ1416">
        <f>IFERROR(INDEX(PP_Grid[#Data],$DE1416,33),0)</f>
        <v/>
      </c>
      <c r="AK1416">
        <f>IFERROR(INDEX(PP_Grid[#Data],$DE1416,34),0)</f>
        <v/>
      </c>
      <c r="AL1416">
        <f>IFERROR(INDEX(PP_Grid[#Data],$DE1416,35),0)</f>
        <v/>
      </c>
      <c r="AM1416">
        <f>IFERROR(INDEX(PP_Grid[#Data],$DE1416,36),0)</f>
        <v/>
      </c>
      <c r="AN1416">
        <f>IFERROR(INDEX(PP_Grid[#Data],$DE1416,37),0)</f>
        <v/>
      </c>
      <c r="AO1416">
        <f>IFERROR(INDEX(PP_Grid[#Data],$DE1416,38),0)</f>
        <v/>
      </c>
      <c r="AP1416">
        <f>IFERROR(INDEX(PP_Grid[#Data],$DE1416,39),0)</f>
        <v/>
      </c>
      <c r="AQ1416">
        <f>IFERROR(INDEX(PP_Grid[#Data],$DE1416,40),0)</f>
        <v/>
      </c>
      <c r="AR1416">
        <f>IFERROR(INDEX(PP_Grid[#Data],$DE1416,41),0)</f>
        <v/>
      </c>
      <c r="AS1416">
        <f>IFERROR(INDEX(PP_Grid[#Data],$DE1416,42),0)</f>
        <v/>
      </c>
      <c r="AT1416">
        <f>IFERROR(INDEX(PP_Grid[#Data],$DE1416,43),0)</f>
        <v/>
      </c>
      <c r="AU1416">
        <f>IFERROR(INDEX(PP_Grid[#Data],$DE1416,44),0)</f>
        <v/>
      </c>
      <c r="AV1416">
        <f>IFERROR(INDEX(PP_Grid[#Data],$DE1416,45),0)</f>
        <v/>
      </c>
      <c r="AW1416">
        <f>IFERROR(INDEX(PP_Grid[#Data],$DE1416,46),0)</f>
        <v/>
      </c>
      <c r="AX1416">
        <f>IFERROR(INDEX(PP_Grid[#Data],$DE1416,47),0)</f>
        <v/>
      </c>
      <c r="AY1416">
        <f>IFERROR(INDEX(PP_Grid[#Data],$DE1416,48),0)</f>
        <v/>
      </c>
      <c r="AZ1416">
        <f>IFERROR(INDEX(PP_Grid[#Data],$DE1416,49),0)</f>
        <v/>
      </c>
      <c r="BA1416">
        <f>IFERROR(INDEX(PP_Grid[#Data],$DE1416,50),0)</f>
        <v/>
      </c>
      <c r="BB1416">
        <f>IFERROR(INDEX(PP_Grid[#Data],$DE1416,51),0)</f>
        <v/>
      </c>
      <c r="BC1416">
        <f>IFERROR(INDEX(PP_Grid[#Data],$DE1416,52),0)</f>
        <v/>
      </c>
      <c r="BD1416">
        <f>IFERROR(INDEX(PP_Grid[#Data],$DE1416,53),0)</f>
        <v/>
      </c>
      <c r="BE1416">
        <f>IFERROR(INDEX(PP_Grid[#Data],$DE1416,54),0)</f>
        <v/>
      </c>
      <c r="BF1416">
        <f>IFERROR(INDEX(PP_Grid[#Data],$DE1416,55),0)</f>
        <v/>
      </c>
      <c r="BG1416">
        <f>IFERROR(INDEX(PP_Grid[#Data],$DE1416,56),0)</f>
        <v/>
      </c>
      <c r="BH1416">
        <f>IFERROR(INDEX(PP_Grid[#Data],$DE1416,57),0)</f>
        <v/>
      </c>
      <c r="BI1416">
        <f>IFERROR(INDEX(PP_Grid[#Data],$DE1416,58),0)</f>
        <v/>
      </c>
      <c r="BJ1416">
        <f>IFERROR(INDEX(PP_Grid[#Data],$DE1416,59),0)</f>
        <v/>
      </c>
      <c r="BK1416">
        <f>IFERROR(INDEX(PP_Grid[#Data],$DE1416,60),0)</f>
        <v/>
      </c>
      <c r="BL1416">
        <f>IFERROR(INDEX(PP_Grid[#Data],$DE1416,61),0)</f>
        <v/>
      </c>
      <c r="BM1416">
        <f>IFERROR(INDEX(PP_Grid[#Data],$DE1416,62),0)</f>
        <v/>
      </c>
      <c r="BN1416">
        <f>IFERROR(INDEX(PP_Grid[#Data],$DE1416,63),0)</f>
        <v/>
      </c>
      <c r="BO1416">
        <f>IFERROR(INDEX(PP_Grid[#Data],$DE1416,64),0)</f>
        <v/>
      </c>
      <c r="BP1416">
        <f>IFERROR(INDEX(PP_Grid[#Data],$DE1416,65),0)</f>
        <v/>
      </c>
      <c r="BQ1416">
        <f>IFERROR(INDEX(PP_Grid[#Data],$DE1416,66),0)</f>
        <v/>
      </c>
      <c r="BR1416">
        <f>IFERROR(INDEX(PP_Grid[#Data],$DE1416,67),0)</f>
        <v/>
      </c>
      <c r="BS1416">
        <f>IFERROR(INDEX(PP_Grid[#Data],$DE1416,68),0)</f>
        <v/>
      </c>
      <c r="BT1416">
        <f>IFERROR(INDEX(PP_Grid[#Data],$DE1416,69),0)</f>
        <v/>
      </c>
      <c r="BU1416">
        <f>IFERROR(INDEX(PP_Grid[#Data],$DE1416,70),0)</f>
        <v/>
      </c>
      <c r="BV1416">
        <f>IFERROR(INDEX(PP_Grid[#Data],$DE1416,71),0)</f>
        <v/>
      </c>
      <c r="BW1416">
        <f>IFERROR(INDEX(PP_Grid[#Data],$DE1416,72),0)</f>
        <v/>
      </c>
      <c r="BX1416">
        <f>IFERROR(INDEX(PP_Grid[#Data],$DE1416,73),0)</f>
        <v/>
      </c>
      <c r="BY1416">
        <f>IFERROR(INDEX(PP_Grid[#Data],$DE1416,74),0)</f>
        <v/>
      </c>
      <c r="BZ1416">
        <f>IFERROR(INDEX(PP_Grid[#Data],$DE1416,75),0)</f>
        <v/>
      </c>
      <c r="CA1416">
        <f>IFERROR(INDEX(PP_Grid[#Data],$DE1416,76),0)</f>
        <v/>
      </c>
      <c r="CB1416">
        <f>IFERROR(INDEX(PP_Grid[#Data],$DE1416,77),0)</f>
        <v/>
      </c>
      <c r="CC1416">
        <f>IFERROR(INDEX(PP_Grid[#Data],$DE1416,78),0)</f>
        <v/>
      </c>
      <c r="CD1416">
        <f>IFERROR(INDEX(PP_Grid[#Data],$DE1416,79),0)</f>
        <v/>
      </c>
      <c r="CE1416">
        <f>IFERROR(INDEX(PP_Grid[#Data],$DE1416,80),0)</f>
        <v/>
      </c>
      <c r="CF1416">
        <f>IFERROR(INDEX(PP_Grid[#Data],$DE1416,81),0)</f>
        <v/>
      </c>
      <c r="CG1416">
        <f>IFERROR(INDEX(PP_Grid[#Data],$DE1416,82),0)</f>
        <v/>
      </c>
      <c r="CH1416">
        <f>IFERROR(INDEX(PP_Grid[#Data],$DE1416,83),0)</f>
        <v/>
      </c>
      <c r="CI1416">
        <f>IFERROR(INDEX(PP_Grid[#Data],$DE1416,84),0)</f>
        <v/>
      </c>
      <c r="CJ1416">
        <f>IFERROR(INDEX(PP_Grid[#Data],$DE1416,85),0)</f>
        <v/>
      </c>
      <c r="CK1416">
        <f>IFERROR(INDEX(PP_Grid[#Data],$DE1416,86),0)</f>
        <v/>
      </c>
      <c r="CL1416">
        <f>IFERROR(INDEX(PP_Grid[#Data],$DE1416,87),0)</f>
        <v/>
      </c>
      <c r="CM1416">
        <f>IFERROR(INDEX(PP_Grid[#Data],$DE1416,88),0)</f>
        <v/>
      </c>
      <c r="CN1416">
        <f>IFERROR(INDEX(PP_Grid[#Data],$DE1416,89),0)</f>
        <v/>
      </c>
      <c r="CO1416">
        <f>IFERROR(INDEX(PP_Grid[#Data],$DE1416,90),0)</f>
        <v/>
      </c>
      <c r="CP1416">
        <f>IFERROR(INDEX(PP_Grid[#Data],$DE1416,91),0)</f>
        <v/>
      </c>
      <c r="CQ1416">
        <f>IFERROR(INDEX(PP_Grid[#Data],$DE1416,92),0)</f>
        <v/>
      </c>
      <c r="CR1416">
        <f>IFERROR(INDEX(PP_Grid[#Data],$DE1416,93),0)</f>
        <v/>
      </c>
      <c r="CS1416">
        <f>IFERROR(INDEX(PP_Grid[#Data],$DE1416,94),0)</f>
        <v/>
      </c>
      <c r="CT1416">
        <f>IFERROR(INDEX(PP_Grid[#Data],$DE1416,95),0)</f>
        <v/>
      </c>
      <c r="CU1416">
        <f>IFERROR(INDEX(PP_Grid[#Data],$DE1416,96),0)</f>
        <v/>
      </c>
      <c r="CV1416">
        <f>IFERROR(INDEX(PP_Grid[#Data],$DE1416,97),0)</f>
        <v/>
      </c>
      <c r="CW1416">
        <f>IFERROR(INDEX(PP_Grid[#Data],$DE1416,98),0)</f>
        <v/>
      </c>
      <c r="CX1416">
        <f>IFERROR(INDEX(PP_Grid[#Data],$DE1416,99),0)</f>
        <v/>
      </c>
      <c r="CY1416">
        <f>IFERROR(INDEX(PP_Grid[#Data],$DE1416,100),0)</f>
        <v/>
      </c>
      <c r="CZ1416">
        <f>IFERROR(INDEX(PP_Grid[#Data],$DE1416,101),0)</f>
        <v/>
      </c>
      <c r="DA1416">
        <f>IFERROR(INDEX(PP_Grid[#Data],$DE1416,102),0)</f>
        <v/>
      </c>
      <c r="DB1416">
        <f>IFERROR(INDEX(PP_Grid[#Data],$DE1416,103),0)</f>
        <v/>
      </c>
      <c r="DC1416">
        <f>IFERROR(INDEX(PP_Grid[#Data],$DE1416,104),0)</f>
        <v/>
      </c>
      <c r="DD1416">
        <f>IFERROR(INDEX(PP_Grid[#Data],$DE1416,105),0)</f>
        <v/>
      </c>
      <c r="DE1416" s="7">
        <f>IFERROR(MATCH($B1416,PP_Grid[Intermediate],0),99999)</f>
        <v/>
      </c>
    </row>
    <row r="1417">
      <c r="B1417" t="inlineStr">
        <is>
          <t>使用量(kg)</t>
        </is>
      </c>
      <c r="C1417">
        <f>SUMIFS(M_BOM[RM_Qty_Per_Batch],M_BOM[Intermediate],$B1416,M_BOM[RM_Code],$A1393)</f>
        <v/>
      </c>
      <c r="D1417">
        <f>IFERROR(INDEX(E1417:DD1417,$F$1),"")</f>
        <v/>
      </c>
      <c r="E1417">
        <f>$C1417*E1416</f>
        <v/>
      </c>
      <c r="F1417">
        <f>$C1417*F1416</f>
        <v/>
      </c>
      <c r="G1417">
        <f>$C1417*G1416</f>
        <v/>
      </c>
      <c r="H1417">
        <f>$C1417*H1416</f>
        <v/>
      </c>
      <c r="I1417">
        <f>$C1417*I1416</f>
        <v/>
      </c>
      <c r="J1417">
        <f>$C1417*J1416</f>
        <v/>
      </c>
      <c r="K1417">
        <f>$C1417*K1416</f>
        <v/>
      </c>
      <c r="L1417">
        <f>$C1417*L1416</f>
        <v/>
      </c>
      <c r="M1417">
        <f>$C1417*M1416</f>
        <v/>
      </c>
      <c r="N1417">
        <f>$C1417*N1416</f>
        <v/>
      </c>
      <c r="O1417">
        <f>$C1417*O1416</f>
        <v/>
      </c>
      <c r="P1417">
        <f>$C1417*P1416</f>
        <v/>
      </c>
      <c r="Q1417">
        <f>$C1417*Q1416</f>
        <v/>
      </c>
      <c r="R1417">
        <f>$C1417*R1416</f>
        <v/>
      </c>
      <c r="S1417">
        <f>$C1417*S1416</f>
        <v/>
      </c>
      <c r="T1417">
        <f>$C1417*T1416</f>
        <v/>
      </c>
      <c r="U1417">
        <f>$C1417*U1416</f>
        <v/>
      </c>
      <c r="V1417">
        <f>$C1417*V1416</f>
        <v/>
      </c>
      <c r="W1417">
        <f>$C1417*W1416</f>
        <v/>
      </c>
      <c r="X1417">
        <f>$C1417*X1416</f>
        <v/>
      </c>
      <c r="Y1417">
        <f>$C1417*Y1416</f>
        <v/>
      </c>
      <c r="Z1417">
        <f>$C1417*Z1416</f>
        <v/>
      </c>
      <c r="AA1417">
        <f>$C1417*AA1416</f>
        <v/>
      </c>
      <c r="AB1417">
        <f>$C1417*AB1416</f>
        <v/>
      </c>
      <c r="AC1417">
        <f>$C1417*AC1416</f>
        <v/>
      </c>
      <c r="AD1417">
        <f>$C1417*AD1416</f>
        <v/>
      </c>
      <c r="AE1417">
        <f>$C1417*AE1416</f>
        <v/>
      </c>
      <c r="AF1417">
        <f>$C1417*AF1416</f>
        <v/>
      </c>
      <c r="AG1417">
        <f>$C1417*AG1416</f>
        <v/>
      </c>
      <c r="AH1417">
        <f>$C1417*AH1416</f>
        <v/>
      </c>
      <c r="AI1417">
        <f>$C1417*AI1416</f>
        <v/>
      </c>
      <c r="AJ1417">
        <f>$C1417*AJ1416</f>
        <v/>
      </c>
      <c r="AK1417">
        <f>$C1417*AK1416</f>
        <v/>
      </c>
      <c r="AL1417">
        <f>$C1417*AL1416</f>
        <v/>
      </c>
      <c r="AM1417">
        <f>$C1417*AM1416</f>
        <v/>
      </c>
      <c r="AN1417">
        <f>$C1417*AN1416</f>
        <v/>
      </c>
      <c r="AO1417">
        <f>$C1417*AO1416</f>
        <v/>
      </c>
      <c r="AP1417">
        <f>$C1417*AP1416</f>
        <v/>
      </c>
      <c r="AQ1417">
        <f>$C1417*AQ1416</f>
        <v/>
      </c>
      <c r="AR1417">
        <f>$C1417*AR1416</f>
        <v/>
      </c>
      <c r="AS1417">
        <f>$C1417*AS1416</f>
        <v/>
      </c>
      <c r="AT1417">
        <f>$C1417*AT1416</f>
        <v/>
      </c>
      <c r="AU1417">
        <f>$C1417*AU1416</f>
        <v/>
      </c>
      <c r="AV1417">
        <f>$C1417*AV1416</f>
        <v/>
      </c>
      <c r="AW1417">
        <f>$C1417*AW1416</f>
        <v/>
      </c>
      <c r="AX1417">
        <f>$C1417*AX1416</f>
        <v/>
      </c>
      <c r="AY1417">
        <f>$C1417*AY1416</f>
        <v/>
      </c>
      <c r="AZ1417">
        <f>$C1417*AZ1416</f>
        <v/>
      </c>
      <c r="BA1417">
        <f>$C1417*BA1416</f>
        <v/>
      </c>
      <c r="BB1417">
        <f>$C1417*BB1416</f>
        <v/>
      </c>
      <c r="BC1417">
        <f>$C1417*BC1416</f>
        <v/>
      </c>
      <c r="BD1417">
        <f>$C1417*BD1416</f>
        <v/>
      </c>
      <c r="BE1417">
        <f>$C1417*BE1416</f>
        <v/>
      </c>
      <c r="BF1417">
        <f>$C1417*BF1416</f>
        <v/>
      </c>
      <c r="BG1417">
        <f>$C1417*BG1416</f>
        <v/>
      </c>
      <c r="BH1417">
        <f>$C1417*BH1416</f>
        <v/>
      </c>
      <c r="BI1417">
        <f>$C1417*BI1416</f>
        <v/>
      </c>
      <c r="BJ1417">
        <f>$C1417*BJ1416</f>
        <v/>
      </c>
      <c r="BK1417">
        <f>$C1417*BK1416</f>
        <v/>
      </c>
      <c r="BL1417">
        <f>$C1417*BL1416</f>
        <v/>
      </c>
      <c r="BM1417">
        <f>$C1417*BM1416</f>
        <v/>
      </c>
      <c r="BN1417">
        <f>$C1417*BN1416</f>
        <v/>
      </c>
      <c r="BO1417">
        <f>$C1417*BO1416</f>
        <v/>
      </c>
      <c r="BP1417">
        <f>$C1417*BP1416</f>
        <v/>
      </c>
      <c r="BQ1417">
        <f>$C1417*BQ1416</f>
        <v/>
      </c>
      <c r="BR1417">
        <f>$C1417*BR1416</f>
        <v/>
      </c>
      <c r="BS1417">
        <f>$C1417*BS1416</f>
        <v/>
      </c>
      <c r="BT1417">
        <f>$C1417*BT1416</f>
        <v/>
      </c>
      <c r="BU1417">
        <f>$C1417*BU1416</f>
        <v/>
      </c>
      <c r="BV1417">
        <f>$C1417*BV1416</f>
        <v/>
      </c>
      <c r="BW1417">
        <f>$C1417*BW1416</f>
        <v/>
      </c>
      <c r="BX1417">
        <f>$C1417*BX1416</f>
        <v/>
      </c>
      <c r="BY1417">
        <f>$C1417*BY1416</f>
        <v/>
      </c>
      <c r="BZ1417">
        <f>$C1417*BZ1416</f>
        <v/>
      </c>
      <c r="CA1417">
        <f>$C1417*CA1416</f>
        <v/>
      </c>
      <c r="CB1417">
        <f>$C1417*CB1416</f>
        <v/>
      </c>
      <c r="CC1417">
        <f>$C1417*CC1416</f>
        <v/>
      </c>
      <c r="CD1417">
        <f>$C1417*CD1416</f>
        <v/>
      </c>
      <c r="CE1417">
        <f>$C1417*CE1416</f>
        <v/>
      </c>
      <c r="CF1417">
        <f>$C1417*CF1416</f>
        <v/>
      </c>
      <c r="CG1417">
        <f>$C1417*CG1416</f>
        <v/>
      </c>
      <c r="CH1417">
        <f>$C1417*CH1416</f>
        <v/>
      </c>
      <c r="CI1417">
        <f>$C1417*CI1416</f>
        <v/>
      </c>
      <c r="CJ1417">
        <f>$C1417*CJ1416</f>
        <v/>
      </c>
      <c r="CK1417">
        <f>$C1417*CK1416</f>
        <v/>
      </c>
      <c r="CL1417">
        <f>$C1417*CL1416</f>
        <v/>
      </c>
      <c r="CM1417">
        <f>$C1417*CM1416</f>
        <v/>
      </c>
      <c r="CN1417">
        <f>$C1417*CN1416</f>
        <v/>
      </c>
      <c r="CO1417">
        <f>$C1417*CO1416</f>
        <v/>
      </c>
      <c r="CP1417">
        <f>$C1417*CP1416</f>
        <v/>
      </c>
      <c r="CQ1417">
        <f>$C1417*CQ1416</f>
        <v/>
      </c>
      <c r="CR1417">
        <f>$C1417*CR1416</f>
        <v/>
      </c>
      <c r="CS1417">
        <f>$C1417*CS1416</f>
        <v/>
      </c>
      <c r="CT1417">
        <f>$C1417*CT1416</f>
        <v/>
      </c>
      <c r="CU1417">
        <f>$C1417*CU1416</f>
        <v/>
      </c>
      <c r="CV1417">
        <f>$C1417*CV1416</f>
        <v/>
      </c>
      <c r="CW1417">
        <f>$C1417*CW1416</f>
        <v/>
      </c>
      <c r="CX1417">
        <f>$C1417*CX1416</f>
        <v/>
      </c>
      <c r="CY1417">
        <f>$C1417*CY1416</f>
        <v/>
      </c>
      <c r="CZ1417">
        <f>$C1417*CZ1416</f>
        <v/>
      </c>
      <c r="DA1417">
        <f>$C1417*DA1416</f>
        <v/>
      </c>
      <c r="DB1417">
        <f>$C1417*DB1416</f>
        <v/>
      </c>
      <c r="DC1417">
        <f>$C1417*DC1416</f>
        <v/>
      </c>
      <c r="DD1417">
        <f>$C1417*DD1416</f>
        <v/>
      </c>
    </row>
    <row r="1418">
      <c r="B1418" t="inlineStr">
        <is>
          <t>TSP-1449</t>
        </is>
      </c>
      <c r="C1418" t="inlineStr">
        <is>
          <t>No. of batches</t>
        </is>
      </c>
      <c r="D1418">
        <f>IFERROR(INDEX(E1418:DD1418,$F$1),"")</f>
        <v/>
      </c>
      <c r="E1418">
        <f>IFERROR(INDEX(PP_Grid[#Data],$DE1418,2),0)</f>
        <v/>
      </c>
      <c r="F1418">
        <f>IFERROR(INDEX(PP_Grid[#Data],$DE1418,3),0)</f>
        <v/>
      </c>
      <c r="G1418">
        <f>IFERROR(INDEX(PP_Grid[#Data],$DE1418,4),0)</f>
        <v/>
      </c>
      <c r="H1418">
        <f>IFERROR(INDEX(PP_Grid[#Data],$DE1418,5),0)</f>
        <v/>
      </c>
      <c r="I1418">
        <f>IFERROR(INDEX(PP_Grid[#Data],$DE1418,6),0)</f>
        <v/>
      </c>
      <c r="J1418">
        <f>IFERROR(INDEX(PP_Grid[#Data],$DE1418,7),0)</f>
        <v/>
      </c>
      <c r="K1418">
        <f>IFERROR(INDEX(PP_Grid[#Data],$DE1418,8),0)</f>
        <v/>
      </c>
      <c r="L1418">
        <f>IFERROR(INDEX(PP_Grid[#Data],$DE1418,9),0)</f>
        <v/>
      </c>
      <c r="M1418">
        <f>IFERROR(INDEX(PP_Grid[#Data],$DE1418,10),0)</f>
        <v/>
      </c>
      <c r="N1418">
        <f>IFERROR(INDEX(PP_Grid[#Data],$DE1418,11),0)</f>
        <v/>
      </c>
      <c r="O1418">
        <f>IFERROR(INDEX(PP_Grid[#Data],$DE1418,12),0)</f>
        <v/>
      </c>
      <c r="P1418">
        <f>IFERROR(INDEX(PP_Grid[#Data],$DE1418,13),0)</f>
        <v/>
      </c>
      <c r="Q1418">
        <f>IFERROR(INDEX(PP_Grid[#Data],$DE1418,14),0)</f>
        <v/>
      </c>
      <c r="R1418">
        <f>IFERROR(INDEX(PP_Grid[#Data],$DE1418,15),0)</f>
        <v/>
      </c>
      <c r="S1418">
        <f>IFERROR(INDEX(PP_Grid[#Data],$DE1418,16),0)</f>
        <v/>
      </c>
      <c r="T1418">
        <f>IFERROR(INDEX(PP_Grid[#Data],$DE1418,17),0)</f>
        <v/>
      </c>
      <c r="U1418">
        <f>IFERROR(INDEX(PP_Grid[#Data],$DE1418,18),0)</f>
        <v/>
      </c>
      <c r="V1418">
        <f>IFERROR(INDEX(PP_Grid[#Data],$DE1418,19),0)</f>
        <v/>
      </c>
      <c r="W1418">
        <f>IFERROR(INDEX(PP_Grid[#Data],$DE1418,20),0)</f>
        <v/>
      </c>
      <c r="X1418">
        <f>IFERROR(INDEX(PP_Grid[#Data],$DE1418,21),0)</f>
        <v/>
      </c>
      <c r="Y1418">
        <f>IFERROR(INDEX(PP_Grid[#Data],$DE1418,22),0)</f>
        <v/>
      </c>
      <c r="Z1418">
        <f>IFERROR(INDEX(PP_Grid[#Data],$DE1418,23),0)</f>
        <v/>
      </c>
      <c r="AA1418">
        <f>IFERROR(INDEX(PP_Grid[#Data],$DE1418,24),0)</f>
        <v/>
      </c>
      <c r="AB1418">
        <f>IFERROR(INDEX(PP_Grid[#Data],$DE1418,25),0)</f>
        <v/>
      </c>
      <c r="AC1418">
        <f>IFERROR(INDEX(PP_Grid[#Data],$DE1418,26),0)</f>
        <v/>
      </c>
      <c r="AD1418">
        <f>IFERROR(INDEX(PP_Grid[#Data],$DE1418,27),0)</f>
        <v/>
      </c>
      <c r="AE1418">
        <f>IFERROR(INDEX(PP_Grid[#Data],$DE1418,28),0)</f>
        <v/>
      </c>
      <c r="AF1418">
        <f>IFERROR(INDEX(PP_Grid[#Data],$DE1418,29),0)</f>
        <v/>
      </c>
      <c r="AG1418">
        <f>IFERROR(INDEX(PP_Grid[#Data],$DE1418,30),0)</f>
        <v/>
      </c>
      <c r="AH1418">
        <f>IFERROR(INDEX(PP_Grid[#Data],$DE1418,31),0)</f>
        <v/>
      </c>
      <c r="AI1418">
        <f>IFERROR(INDEX(PP_Grid[#Data],$DE1418,32),0)</f>
        <v/>
      </c>
      <c r="AJ1418">
        <f>IFERROR(INDEX(PP_Grid[#Data],$DE1418,33),0)</f>
        <v/>
      </c>
      <c r="AK1418">
        <f>IFERROR(INDEX(PP_Grid[#Data],$DE1418,34),0)</f>
        <v/>
      </c>
      <c r="AL1418">
        <f>IFERROR(INDEX(PP_Grid[#Data],$DE1418,35),0)</f>
        <v/>
      </c>
      <c r="AM1418">
        <f>IFERROR(INDEX(PP_Grid[#Data],$DE1418,36),0)</f>
        <v/>
      </c>
      <c r="AN1418">
        <f>IFERROR(INDEX(PP_Grid[#Data],$DE1418,37),0)</f>
        <v/>
      </c>
      <c r="AO1418">
        <f>IFERROR(INDEX(PP_Grid[#Data],$DE1418,38),0)</f>
        <v/>
      </c>
      <c r="AP1418">
        <f>IFERROR(INDEX(PP_Grid[#Data],$DE1418,39),0)</f>
        <v/>
      </c>
      <c r="AQ1418">
        <f>IFERROR(INDEX(PP_Grid[#Data],$DE1418,40),0)</f>
        <v/>
      </c>
      <c r="AR1418">
        <f>IFERROR(INDEX(PP_Grid[#Data],$DE1418,41),0)</f>
        <v/>
      </c>
      <c r="AS1418">
        <f>IFERROR(INDEX(PP_Grid[#Data],$DE1418,42),0)</f>
        <v/>
      </c>
      <c r="AT1418">
        <f>IFERROR(INDEX(PP_Grid[#Data],$DE1418,43),0)</f>
        <v/>
      </c>
      <c r="AU1418">
        <f>IFERROR(INDEX(PP_Grid[#Data],$DE1418,44),0)</f>
        <v/>
      </c>
      <c r="AV1418">
        <f>IFERROR(INDEX(PP_Grid[#Data],$DE1418,45),0)</f>
        <v/>
      </c>
      <c r="AW1418">
        <f>IFERROR(INDEX(PP_Grid[#Data],$DE1418,46),0)</f>
        <v/>
      </c>
      <c r="AX1418">
        <f>IFERROR(INDEX(PP_Grid[#Data],$DE1418,47),0)</f>
        <v/>
      </c>
      <c r="AY1418">
        <f>IFERROR(INDEX(PP_Grid[#Data],$DE1418,48),0)</f>
        <v/>
      </c>
      <c r="AZ1418">
        <f>IFERROR(INDEX(PP_Grid[#Data],$DE1418,49),0)</f>
        <v/>
      </c>
      <c r="BA1418">
        <f>IFERROR(INDEX(PP_Grid[#Data],$DE1418,50),0)</f>
        <v/>
      </c>
      <c r="BB1418">
        <f>IFERROR(INDEX(PP_Grid[#Data],$DE1418,51),0)</f>
        <v/>
      </c>
      <c r="BC1418">
        <f>IFERROR(INDEX(PP_Grid[#Data],$DE1418,52),0)</f>
        <v/>
      </c>
      <c r="BD1418">
        <f>IFERROR(INDEX(PP_Grid[#Data],$DE1418,53),0)</f>
        <v/>
      </c>
      <c r="BE1418">
        <f>IFERROR(INDEX(PP_Grid[#Data],$DE1418,54),0)</f>
        <v/>
      </c>
      <c r="BF1418">
        <f>IFERROR(INDEX(PP_Grid[#Data],$DE1418,55),0)</f>
        <v/>
      </c>
      <c r="BG1418">
        <f>IFERROR(INDEX(PP_Grid[#Data],$DE1418,56),0)</f>
        <v/>
      </c>
      <c r="BH1418">
        <f>IFERROR(INDEX(PP_Grid[#Data],$DE1418,57),0)</f>
        <v/>
      </c>
      <c r="BI1418">
        <f>IFERROR(INDEX(PP_Grid[#Data],$DE1418,58),0)</f>
        <v/>
      </c>
      <c r="BJ1418">
        <f>IFERROR(INDEX(PP_Grid[#Data],$DE1418,59),0)</f>
        <v/>
      </c>
      <c r="BK1418">
        <f>IFERROR(INDEX(PP_Grid[#Data],$DE1418,60),0)</f>
        <v/>
      </c>
      <c r="BL1418">
        <f>IFERROR(INDEX(PP_Grid[#Data],$DE1418,61),0)</f>
        <v/>
      </c>
      <c r="BM1418">
        <f>IFERROR(INDEX(PP_Grid[#Data],$DE1418,62),0)</f>
        <v/>
      </c>
      <c r="BN1418">
        <f>IFERROR(INDEX(PP_Grid[#Data],$DE1418,63),0)</f>
        <v/>
      </c>
      <c r="BO1418">
        <f>IFERROR(INDEX(PP_Grid[#Data],$DE1418,64),0)</f>
        <v/>
      </c>
      <c r="BP1418">
        <f>IFERROR(INDEX(PP_Grid[#Data],$DE1418,65),0)</f>
        <v/>
      </c>
      <c r="BQ1418">
        <f>IFERROR(INDEX(PP_Grid[#Data],$DE1418,66),0)</f>
        <v/>
      </c>
      <c r="BR1418">
        <f>IFERROR(INDEX(PP_Grid[#Data],$DE1418,67),0)</f>
        <v/>
      </c>
      <c r="BS1418">
        <f>IFERROR(INDEX(PP_Grid[#Data],$DE1418,68),0)</f>
        <v/>
      </c>
      <c r="BT1418">
        <f>IFERROR(INDEX(PP_Grid[#Data],$DE1418,69),0)</f>
        <v/>
      </c>
      <c r="BU1418">
        <f>IFERROR(INDEX(PP_Grid[#Data],$DE1418,70),0)</f>
        <v/>
      </c>
      <c r="BV1418">
        <f>IFERROR(INDEX(PP_Grid[#Data],$DE1418,71),0)</f>
        <v/>
      </c>
      <c r="BW1418">
        <f>IFERROR(INDEX(PP_Grid[#Data],$DE1418,72),0)</f>
        <v/>
      </c>
      <c r="BX1418">
        <f>IFERROR(INDEX(PP_Grid[#Data],$DE1418,73),0)</f>
        <v/>
      </c>
      <c r="BY1418">
        <f>IFERROR(INDEX(PP_Grid[#Data],$DE1418,74),0)</f>
        <v/>
      </c>
      <c r="BZ1418">
        <f>IFERROR(INDEX(PP_Grid[#Data],$DE1418,75),0)</f>
        <v/>
      </c>
      <c r="CA1418">
        <f>IFERROR(INDEX(PP_Grid[#Data],$DE1418,76),0)</f>
        <v/>
      </c>
      <c r="CB1418">
        <f>IFERROR(INDEX(PP_Grid[#Data],$DE1418,77),0)</f>
        <v/>
      </c>
      <c r="CC1418">
        <f>IFERROR(INDEX(PP_Grid[#Data],$DE1418,78),0)</f>
        <v/>
      </c>
      <c r="CD1418">
        <f>IFERROR(INDEX(PP_Grid[#Data],$DE1418,79),0)</f>
        <v/>
      </c>
      <c r="CE1418">
        <f>IFERROR(INDEX(PP_Grid[#Data],$DE1418,80),0)</f>
        <v/>
      </c>
      <c r="CF1418">
        <f>IFERROR(INDEX(PP_Grid[#Data],$DE1418,81),0)</f>
        <v/>
      </c>
      <c r="CG1418">
        <f>IFERROR(INDEX(PP_Grid[#Data],$DE1418,82),0)</f>
        <v/>
      </c>
      <c r="CH1418">
        <f>IFERROR(INDEX(PP_Grid[#Data],$DE1418,83),0)</f>
        <v/>
      </c>
      <c r="CI1418">
        <f>IFERROR(INDEX(PP_Grid[#Data],$DE1418,84),0)</f>
        <v/>
      </c>
      <c r="CJ1418">
        <f>IFERROR(INDEX(PP_Grid[#Data],$DE1418,85),0)</f>
        <v/>
      </c>
      <c r="CK1418">
        <f>IFERROR(INDEX(PP_Grid[#Data],$DE1418,86),0)</f>
        <v/>
      </c>
      <c r="CL1418">
        <f>IFERROR(INDEX(PP_Grid[#Data],$DE1418,87),0)</f>
        <v/>
      </c>
      <c r="CM1418">
        <f>IFERROR(INDEX(PP_Grid[#Data],$DE1418,88),0)</f>
        <v/>
      </c>
      <c r="CN1418">
        <f>IFERROR(INDEX(PP_Grid[#Data],$DE1418,89),0)</f>
        <v/>
      </c>
      <c r="CO1418">
        <f>IFERROR(INDEX(PP_Grid[#Data],$DE1418,90),0)</f>
        <v/>
      </c>
      <c r="CP1418">
        <f>IFERROR(INDEX(PP_Grid[#Data],$DE1418,91),0)</f>
        <v/>
      </c>
      <c r="CQ1418">
        <f>IFERROR(INDEX(PP_Grid[#Data],$DE1418,92),0)</f>
        <v/>
      </c>
      <c r="CR1418">
        <f>IFERROR(INDEX(PP_Grid[#Data],$DE1418,93),0)</f>
        <v/>
      </c>
      <c r="CS1418">
        <f>IFERROR(INDEX(PP_Grid[#Data],$DE1418,94),0)</f>
        <v/>
      </c>
      <c r="CT1418">
        <f>IFERROR(INDEX(PP_Grid[#Data],$DE1418,95),0)</f>
        <v/>
      </c>
      <c r="CU1418">
        <f>IFERROR(INDEX(PP_Grid[#Data],$DE1418,96),0)</f>
        <v/>
      </c>
      <c r="CV1418">
        <f>IFERROR(INDEX(PP_Grid[#Data],$DE1418,97),0)</f>
        <v/>
      </c>
      <c r="CW1418">
        <f>IFERROR(INDEX(PP_Grid[#Data],$DE1418,98),0)</f>
        <v/>
      </c>
      <c r="CX1418">
        <f>IFERROR(INDEX(PP_Grid[#Data],$DE1418,99),0)</f>
        <v/>
      </c>
      <c r="CY1418">
        <f>IFERROR(INDEX(PP_Grid[#Data],$DE1418,100),0)</f>
        <v/>
      </c>
      <c r="CZ1418">
        <f>IFERROR(INDEX(PP_Grid[#Data],$DE1418,101),0)</f>
        <v/>
      </c>
      <c r="DA1418">
        <f>IFERROR(INDEX(PP_Grid[#Data],$DE1418,102),0)</f>
        <v/>
      </c>
      <c r="DB1418">
        <f>IFERROR(INDEX(PP_Grid[#Data],$DE1418,103),0)</f>
        <v/>
      </c>
      <c r="DC1418">
        <f>IFERROR(INDEX(PP_Grid[#Data],$DE1418,104),0)</f>
        <v/>
      </c>
      <c r="DD1418">
        <f>IFERROR(INDEX(PP_Grid[#Data],$DE1418,105),0)</f>
        <v/>
      </c>
      <c r="DE1418" s="7">
        <f>IFERROR(MATCH($B1418,PP_Grid[Intermediate],0),99999)</f>
        <v/>
      </c>
    </row>
    <row r="1419">
      <c r="B1419" t="inlineStr">
        <is>
          <t>使用量(kg)</t>
        </is>
      </c>
      <c r="C1419">
        <f>SUMIFS(M_BOM[RM_Qty_Per_Batch],M_BOM[Intermediate],$B1418,M_BOM[RM_Code],$A1393)</f>
        <v/>
      </c>
      <c r="D1419">
        <f>IFERROR(INDEX(E1419:DD1419,$F$1),"")</f>
        <v/>
      </c>
      <c r="E1419">
        <f>$C1419*E1418</f>
        <v/>
      </c>
      <c r="F1419">
        <f>$C1419*F1418</f>
        <v/>
      </c>
      <c r="G1419">
        <f>$C1419*G1418</f>
        <v/>
      </c>
      <c r="H1419">
        <f>$C1419*H1418</f>
        <v/>
      </c>
      <c r="I1419">
        <f>$C1419*I1418</f>
        <v/>
      </c>
      <c r="J1419">
        <f>$C1419*J1418</f>
        <v/>
      </c>
      <c r="K1419">
        <f>$C1419*K1418</f>
        <v/>
      </c>
      <c r="L1419">
        <f>$C1419*L1418</f>
        <v/>
      </c>
      <c r="M1419">
        <f>$C1419*M1418</f>
        <v/>
      </c>
      <c r="N1419">
        <f>$C1419*N1418</f>
        <v/>
      </c>
      <c r="O1419">
        <f>$C1419*O1418</f>
        <v/>
      </c>
      <c r="P1419">
        <f>$C1419*P1418</f>
        <v/>
      </c>
      <c r="Q1419">
        <f>$C1419*Q1418</f>
        <v/>
      </c>
      <c r="R1419">
        <f>$C1419*R1418</f>
        <v/>
      </c>
      <c r="S1419">
        <f>$C1419*S1418</f>
        <v/>
      </c>
      <c r="T1419">
        <f>$C1419*T1418</f>
        <v/>
      </c>
      <c r="U1419">
        <f>$C1419*U1418</f>
        <v/>
      </c>
      <c r="V1419">
        <f>$C1419*V1418</f>
        <v/>
      </c>
      <c r="W1419">
        <f>$C1419*W1418</f>
        <v/>
      </c>
      <c r="X1419">
        <f>$C1419*X1418</f>
        <v/>
      </c>
      <c r="Y1419">
        <f>$C1419*Y1418</f>
        <v/>
      </c>
      <c r="Z1419">
        <f>$C1419*Z1418</f>
        <v/>
      </c>
      <c r="AA1419">
        <f>$C1419*AA1418</f>
        <v/>
      </c>
      <c r="AB1419">
        <f>$C1419*AB1418</f>
        <v/>
      </c>
      <c r="AC1419">
        <f>$C1419*AC1418</f>
        <v/>
      </c>
      <c r="AD1419">
        <f>$C1419*AD1418</f>
        <v/>
      </c>
      <c r="AE1419">
        <f>$C1419*AE1418</f>
        <v/>
      </c>
      <c r="AF1419">
        <f>$C1419*AF1418</f>
        <v/>
      </c>
      <c r="AG1419">
        <f>$C1419*AG1418</f>
        <v/>
      </c>
      <c r="AH1419">
        <f>$C1419*AH1418</f>
        <v/>
      </c>
      <c r="AI1419">
        <f>$C1419*AI1418</f>
        <v/>
      </c>
      <c r="AJ1419">
        <f>$C1419*AJ1418</f>
        <v/>
      </c>
      <c r="AK1419">
        <f>$C1419*AK1418</f>
        <v/>
      </c>
      <c r="AL1419">
        <f>$C1419*AL1418</f>
        <v/>
      </c>
      <c r="AM1419">
        <f>$C1419*AM1418</f>
        <v/>
      </c>
      <c r="AN1419">
        <f>$C1419*AN1418</f>
        <v/>
      </c>
      <c r="AO1419">
        <f>$C1419*AO1418</f>
        <v/>
      </c>
      <c r="AP1419">
        <f>$C1419*AP1418</f>
        <v/>
      </c>
      <c r="AQ1419">
        <f>$C1419*AQ1418</f>
        <v/>
      </c>
      <c r="AR1419">
        <f>$C1419*AR1418</f>
        <v/>
      </c>
      <c r="AS1419">
        <f>$C1419*AS1418</f>
        <v/>
      </c>
      <c r="AT1419">
        <f>$C1419*AT1418</f>
        <v/>
      </c>
      <c r="AU1419">
        <f>$C1419*AU1418</f>
        <v/>
      </c>
      <c r="AV1419">
        <f>$C1419*AV1418</f>
        <v/>
      </c>
      <c r="AW1419">
        <f>$C1419*AW1418</f>
        <v/>
      </c>
      <c r="AX1419">
        <f>$C1419*AX1418</f>
        <v/>
      </c>
      <c r="AY1419">
        <f>$C1419*AY1418</f>
        <v/>
      </c>
      <c r="AZ1419">
        <f>$C1419*AZ1418</f>
        <v/>
      </c>
      <c r="BA1419">
        <f>$C1419*BA1418</f>
        <v/>
      </c>
      <c r="BB1419">
        <f>$C1419*BB1418</f>
        <v/>
      </c>
      <c r="BC1419">
        <f>$C1419*BC1418</f>
        <v/>
      </c>
      <c r="BD1419">
        <f>$C1419*BD1418</f>
        <v/>
      </c>
      <c r="BE1419">
        <f>$C1419*BE1418</f>
        <v/>
      </c>
      <c r="BF1419">
        <f>$C1419*BF1418</f>
        <v/>
      </c>
      <c r="BG1419">
        <f>$C1419*BG1418</f>
        <v/>
      </c>
      <c r="BH1419">
        <f>$C1419*BH1418</f>
        <v/>
      </c>
      <c r="BI1419">
        <f>$C1419*BI1418</f>
        <v/>
      </c>
      <c r="BJ1419">
        <f>$C1419*BJ1418</f>
        <v/>
      </c>
      <c r="BK1419">
        <f>$C1419*BK1418</f>
        <v/>
      </c>
      <c r="BL1419">
        <f>$C1419*BL1418</f>
        <v/>
      </c>
      <c r="BM1419">
        <f>$C1419*BM1418</f>
        <v/>
      </c>
      <c r="BN1419">
        <f>$C1419*BN1418</f>
        <v/>
      </c>
      <c r="BO1419">
        <f>$C1419*BO1418</f>
        <v/>
      </c>
      <c r="BP1419">
        <f>$C1419*BP1418</f>
        <v/>
      </c>
      <c r="BQ1419">
        <f>$C1419*BQ1418</f>
        <v/>
      </c>
      <c r="BR1419">
        <f>$C1419*BR1418</f>
        <v/>
      </c>
      <c r="BS1419">
        <f>$C1419*BS1418</f>
        <v/>
      </c>
      <c r="BT1419">
        <f>$C1419*BT1418</f>
        <v/>
      </c>
      <c r="BU1419">
        <f>$C1419*BU1418</f>
        <v/>
      </c>
      <c r="BV1419">
        <f>$C1419*BV1418</f>
        <v/>
      </c>
      <c r="BW1419">
        <f>$C1419*BW1418</f>
        <v/>
      </c>
      <c r="BX1419">
        <f>$C1419*BX1418</f>
        <v/>
      </c>
      <c r="BY1419">
        <f>$C1419*BY1418</f>
        <v/>
      </c>
      <c r="BZ1419">
        <f>$C1419*BZ1418</f>
        <v/>
      </c>
      <c r="CA1419">
        <f>$C1419*CA1418</f>
        <v/>
      </c>
      <c r="CB1419">
        <f>$C1419*CB1418</f>
        <v/>
      </c>
      <c r="CC1419">
        <f>$C1419*CC1418</f>
        <v/>
      </c>
      <c r="CD1419">
        <f>$C1419*CD1418</f>
        <v/>
      </c>
      <c r="CE1419">
        <f>$C1419*CE1418</f>
        <v/>
      </c>
      <c r="CF1419">
        <f>$C1419*CF1418</f>
        <v/>
      </c>
      <c r="CG1419">
        <f>$C1419*CG1418</f>
        <v/>
      </c>
      <c r="CH1419">
        <f>$C1419*CH1418</f>
        <v/>
      </c>
      <c r="CI1419">
        <f>$C1419*CI1418</f>
        <v/>
      </c>
      <c r="CJ1419">
        <f>$C1419*CJ1418</f>
        <v/>
      </c>
      <c r="CK1419">
        <f>$C1419*CK1418</f>
        <v/>
      </c>
      <c r="CL1419">
        <f>$C1419*CL1418</f>
        <v/>
      </c>
      <c r="CM1419">
        <f>$C1419*CM1418</f>
        <v/>
      </c>
      <c r="CN1419">
        <f>$C1419*CN1418</f>
        <v/>
      </c>
      <c r="CO1419">
        <f>$C1419*CO1418</f>
        <v/>
      </c>
      <c r="CP1419">
        <f>$C1419*CP1418</f>
        <v/>
      </c>
      <c r="CQ1419">
        <f>$C1419*CQ1418</f>
        <v/>
      </c>
      <c r="CR1419">
        <f>$C1419*CR1418</f>
        <v/>
      </c>
      <c r="CS1419">
        <f>$C1419*CS1418</f>
        <v/>
      </c>
      <c r="CT1419">
        <f>$C1419*CT1418</f>
        <v/>
      </c>
      <c r="CU1419">
        <f>$C1419*CU1418</f>
        <v/>
      </c>
      <c r="CV1419">
        <f>$C1419*CV1418</f>
        <v/>
      </c>
      <c r="CW1419">
        <f>$C1419*CW1418</f>
        <v/>
      </c>
      <c r="CX1419">
        <f>$C1419*CX1418</f>
        <v/>
      </c>
      <c r="CY1419">
        <f>$C1419*CY1418</f>
        <v/>
      </c>
      <c r="CZ1419">
        <f>$C1419*CZ1418</f>
        <v/>
      </c>
      <c r="DA1419">
        <f>$C1419*DA1418</f>
        <v/>
      </c>
      <c r="DB1419">
        <f>$C1419*DB1418</f>
        <v/>
      </c>
      <c r="DC1419">
        <f>$C1419*DC1418</f>
        <v/>
      </c>
      <c r="DD1419">
        <f>$C1419*DD1418</f>
        <v/>
      </c>
    </row>
    <row r="1420">
      <c r="B1420" t="inlineStr">
        <is>
          <t>TSP-1499</t>
        </is>
      </c>
      <c r="C1420" t="inlineStr">
        <is>
          <t>No. of batches</t>
        </is>
      </c>
      <c r="D1420">
        <f>IFERROR(INDEX(E1420:DD1420,$F$1),"")</f>
        <v/>
      </c>
      <c r="E1420">
        <f>IFERROR(INDEX(PP_Grid[#Data],$DE1420,2),0)</f>
        <v/>
      </c>
      <c r="F1420">
        <f>IFERROR(INDEX(PP_Grid[#Data],$DE1420,3),0)</f>
        <v/>
      </c>
      <c r="G1420">
        <f>IFERROR(INDEX(PP_Grid[#Data],$DE1420,4),0)</f>
        <v/>
      </c>
      <c r="H1420">
        <f>IFERROR(INDEX(PP_Grid[#Data],$DE1420,5),0)</f>
        <v/>
      </c>
      <c r="I1420">
        <f>IFERROR(INDEX(PP_Grid[#Data],$DE1420,6),0)</f>
        <v/>
      </c>
      <c r="J1420">
        <f>IFERROR(INDEX(PP_Grid[#Data],$DE1420,7),0)</f>
        <v/>
      </c>
      <c r="K1420">
        <f>IFERROR(INDEX(PP_Grid[#Data],$DE1420,8),0)</f>
        <v/>
      </c>
      <c r="L1420">
        <f>IFERROR(INDEX(PP_Grid[#Data],$DE1420,9),0)</f>
        <v/>
      </c>
      <c r="M1420">
        <f>IFERROR(INDEX(PP_Grid[#Data],$DE1420,10),0)</f>
        <v/>
      </c>
      <c r="N1420">
        <f>IFERROR(INDEX(PP_Grid[#Data],$DE1420,11),0)</f>
        <v/>
      </c>
      <c r="O1420">
        <f>IFERROR(INDEX(PP_Grid[#Data],$DE1420,12),0)</f>
        <v/>
      </c>
      <c r="P1420">
        <f>IFERROR(INDEX(PP_Grid[#Data],$DE1420,13),0)</f>
        <v/>
      </c>
      <c r="Q1420">
        <f>IFERROR(INDEX(PP_Grid[#Data],$DE1420,14),0)</f>
        <v/>
      </c>
      <c r="R1420">
        <f>IFERROR(INDEX(PP_Grid[#Data],$DE1420,15),0)</f>
        <v/>
      </c>
      <c r="S1420">
        <f>IFERROR(INDEX(PP_Grid[#Data],$DE1420,16),0)</f>
        <v/>
      </c>
      <c r="T1420">
        <f>IFERROR(INDEX(PP_Grid[#Data],$DE1420,17),0)</f>
        <v/>
      </c>
      <c r="U1420">
        <f>IFERROR(INDEX(PP_Grid[#Data],$DE1420,18),0)</f>
        <v/>
      </c>
      <c r="V1420">
        <f>IFERROR(INDEX(PP_Grid[#Data],$DE1420,19),0)</f>
        <v/>
      </c>
      <c r="W1420">
        <f>IFERROR(INDEX(PP_Grid[#Data],$DE1420,20),0)</f>
        <v/>
      </c>
      <c r="X1420">
        <f>IFERROR(INDEX(PP_Grid[#Data],$DE1420,21),0)</f>
        <v/>
      </c>
      <c r="Y1420">
        <f>IFERROR(INDEX(PP_Grid[#Data],$DE1420,22),0)</f>
        <v/>
      </c>
      <c r="Z1420">
        <f>IFERROR(INDEX(PP_Grid[#Data],$DE1420,23),0)</f>
        <v/>
      </c>
      <c r="AA1420">
        <f>IFERROR(INDEX(PP_Grid[#Data],$DE1420,24),0)</f>
        <v/>
      </c>
      <c r="AB1420">
        <f>IFERROR(INDEX(PP_Grid[#Data],$DE1420,25),0)</f>
        <v/>
      </c>
      <c r="AC1420">
        <f>IFERROR(INDEX(PP_Grid[#Data],$DE1420,26),0)</f>
        <v/>
      </c>
      <c r="AD1420">
        <f>IFERROR(INDEX(PP_Grid[#Data],$DE1420,27),0)</f>
        <v/>
      </c>
      <c r="AE1420">
        <f>IFERROR(INDEX(PP_Grid[#Data],$DE1420,28),0)</f>
        <v/>
      </c>
      <c r="AF1420">
        <f>IFERROR(INDEX(PP_Grid[#Data],$DE1420,29),0)</f>
        <v/>
      </c>
      <c r="AG1420">
        <f>IFERROR(INDEX(PP_Grid[#Data],$DE1420,30),0)</f>
        <v/>
      </c>
      <c r="AH1420">
        <f>IFERROR(INDEX(PP_Grid[#Data],$DE1420,31),0)</f>
        <v/>
      </c>
      <c r="AI1420">
        <f>IFERROR(INDEX(PP_Grid[#Data],$DE1420,32),0)</f>
        <v/>
      </c>
      <c r="AJ1420">
        <f>IFERROR(INDEX(PP_Grid[#Data],$DE1420,33),0)</f>
        <v/>
      </c>
      <c r="AK1420">
        <f>IFERROR(INDEX(PP_Grid[#Data],$DE1420,34),0)</f>
        <v/>
      </c>
      <c r="AL1420">
        <f>IFERROR(INDEX(PP_Grid[#Data],$DE1420,35),0)</f>
        <v/>
      </c>
      <c r="AM1420">
        <f>IFERROR(INDEX(PP_Grid[#Data],$DE1420,36),0)</f>
        <v/>
      </c>
      <c r="AN1420">
        <f>IFERROR(INDEX(PP_Grid[#Data],$DE1420,37),0)</f>
        <v/>
      </c>
      <c r="AO1420">
        <f>IFERROR(INDEX(PP_Grid[#Data],$DE1420,38),0)</f>
        <v/>
      </c>
      <c r="AP1420">
        <f>IFERROR(INDEX(PP_Grid[#Data],$DE1420,39),0)</f>
        <v/>
      </c>
      <c r="AQ1420">
        <f>IFERROR(INDEX(PP_Grid[#Data],$DE1420,40),0)</f>
        <v/>
      </c>
      <c r="AR1420">
        <f>IFERROR(INDEX(PP_Grid[#Data],$DE1420,41),0)</f>
        <v/>
      </c>
      <c r="AS1420">
        <f>IFERROR(INDEX(PP_Grid[#Data],$DE1420,42),0)</f>
        <v/>
      </c>
      <c r="AT1420">
        <f>IFERROR(INDEX(PP_Grid[#Data],$DE1420,43),0)</f>
        <v/>
      </c>
      <c r="AU1420">
        <f>IFERROR(INDEX(PP_Grid[#Data],$DE1420,44),0)</f>
        <v/>
      </c>
      <c r="AV1420">
        <f>IFERROR(INDEX(PP_Grid[#Data],$DE1420,45),0)</f>
        <v/>
      </c>
      <c r="AW1420">
        <f>IFERROR(INDEX(PP_Grid[#Data],$DE1420,46),0)</f>
        <v/>
      </c>
      <c r="AX1420">
        <f>IFERROR(INDEX(PP_Grid[#Data],$DE1420,47),0)</f>
        <v/>
      </c>
      <c r="AY1420">
        <f>IFERROR(INDEX(PP_Grid[#Data],$DE1420,48),0)</f>
        <v/>
      </c>
      <c r="AZ1420">
        <f>IFERROR(INDEX(PP_Grid[#Data],$DE1420,49),0)</f>
        <v/>
      </c>
      <c r="BA1420">
        <f>IFERROR(INDEX(PP_Grid[#Data],$DE1420,50),0)</f>
        <v/>
      </c>
      <c r="BB1420">
        <f>IFERROR(INDEX(PP_Grid[#Data],$DE1420,51),0)</f>
        <v/>
      </c>
      <c r="BC1420">
        <f>IFERROR(INDEX(PP_Grid[#Data],$DE1420,52),0)</f>
        <v/>
      </c>
      <c r="BD1420">
        <f>IFERROR(INDEX(PP_Grid[#Data],$DE1420,53),0)</f>
        <v/>
      </c>
      <c r="BE1420">
        <f>IFERROR(INDEX(PP_Grid[#Data],$DE1420,54),0)</f>
        <v/>
      </c>
      <c r="BF1420">
        <f>IFERROR(INDEX(PP_Grid[#Data],$DE1420,55),0)</f>
        <v/>
      </c>
      <c r="BG1420">
        <f>IFERROR(INDEX(PP_Grid[#Data],$DE1420,56),0)</f>
        <v/>
      </c>
      <c r="BH1420">
        <f>IFERROR(INDEX(PP_Grid[#Data],$DE1420,57),0)</f>
        <v/>
      </c>
      <c r="BI1420">
        <f>IFERROR(INDEX(PP_Grid[#Data],$DE1420,58),0)</f>
        <v/>
      </c>
      <c r="BJ1420">
        <f>IFERROR(INDEX(PP_Grid[#Data],$DE1420,59),0)</f>
        <v/>
      </c>
      <c r="BK1420">
        <f>IFERROR(INDEX(PP_Grid[#Data],$DE1420,60),0)</f>
        <v/>
      </c>
      <c r="BL1420">
        <f>IFERROR(INDEX(PP_Grid[#Data],$DE1420,61),0)</f>
        <v/>
      </c>
      <c r="BM1420">
        <f>IFERROR(INDEX(PP_Grid[#Data],$DE1420,62),0)</f>
        <v/>
      </c>
      <c r="BN1420">
        <f>IFERROR(INDEX(PP_Grid[#Data],$DE1420,63),0)</f>
        <v/>
      </c>
      <c r="BO1420">
        <f>IFERROR(INDEX(PP_Grid[#Data],$DE1420,64),0)</f>
        <v/>
      </c>
      <c r="BP1420">
        <f>IFERROR(INDEX(PP_Grid[#Data],$DE1420,65),0)</f>
        <v/>
      </c>
      <c r="BQ1420">
        <f>IFERROR(INDEX(PP_Grid[#Data],$DE1420,66),0)</f>
        <v/>
      </c>
      <c r="BR1420">
        <f>IFERROR(INDEX(PP_Grid[#Data],$DE1420,67),0)</f>
        <v/>
      </c>
      <c r="BS1420">
        <f>IFERROR(INDEX(PP_Grid[#Data],$DE1420,68),0)</f>
        <v/>
      </c>
      <c r="BT1420">
        <f>IFERROR(INDEX(PP_Grid[#Data],$DE1420,69),0)</f>
        <v/>
      </c>
      <c r="BU1420">
        <f>IFERROR(INDEX(PP_Grid[#Data],$DE1420,70),0)</f>
        <v/>
      </c>
      <c r="BV1420">
        <f>IFERROR(INDEX(PP_Grid[#Data],$DE1420,71),0)</f>
        <v/>
      </c>
      <c r="BW1420">
        <f>IFERROR(INDEX(PP_Grid[#Data],$DE1420,72),0)</f>
        <v/>
      </c>
      <c r="BX1420">
        <f>IFERROR(INDEX(PP_Grid[#Data],$DE1420,73),0)</f>
        <v/>
      </c>
      <c r="BY1420">
        <f>IFERROR(INDEX(PP_Grid[#Data],$DE1420,74),0)</f>
        <v/>
      </c>
      <c r="BZ1420">
        <f>IFERROR(INDEX(PP_Grid[#Data],$DE1420,75),0)</f>
        <v/>
      </c>
      <c r="CA1420">
        <f>IFERROR(INDEX(PP_Grid[#Data],$DE1420,76),0)</f>
        <v/>
      </c>
      <c r="CB1420">
        <f>IFERROR(INDEX(PP_Grid[#Data],$DE1420,77),0)</f>
        <v/>
      </c>
      <c r="CC1420">
        <f>IFERROR(INDEX(PP_Grid[#Data],$DE1420,78),0)</f>
        <v/>
      </c>
      <c r="CD1420">
        <f>IFERROR(INDEX(PP_Grid[#Data],$DE1420,79),0)</f>
        <v/>
      </c>
      <c r="CE1420">
        <f>IFERROR(INDEX(PP_Grid[#Data],$DE1420,80),0)</f>
        <v/>
      </c>
      <c r="CF1420">
        <f>IFERROR(INDEX(PP_Grid[#Data],$DE1420,81),0)</f>
        <v/>
      </c>
      <c r="CG1420">
        <f>IFERROR(INDEX(PP_Grid[#Data],$DE1420,82),0)</f>
        <v/>
      </c>
      <c r="CH1420">
        <f>IFERROR(INDEX(PP_Grid[#Data],$DE1420,83),0)</f>
        <v/>
      </c>
      <c r="CI1420">
        <f>IFERROR(INDEX(PP_Grid[#Data],$DE1420,84),0)</f>
        <v/>
      </c>
      <c r="CJ1420">
        <f>IFERROR(INDEX(PP_Grid[#Data],$DE1420,85),0)</f>
        <v/>
      </c>
      <c r="CK1420">
        <f>IFERROR(INDEX(PP_Grid[#Data],$DE1420,86),0)</f>
        <v/>
      </c>
      <c r="CL1420">
        <f>IFERROR(INDEX(PP_Grid[#Data],$DE1420,87),0)</f>
        <v/>
      </c>
      <c r="CM1420">
        <f>IFERROR(INDEX(PP_Grid[#Data],$DE1420,88),0)</f>
        <v/>
      </c>
      <c r="CN1420">
        <f>IFERROR(INDEX(PP_Grid[#Data],$DE1420,89),0)</f>
        <v/>
      </c>
      <c r="CO1420">
        <f>IFERROR(INDEX(PP_Grid[#Data],$DE1420,90),0)</f>
        <v/>
      </c>
      <c r="CP1420">
        <f>IFERROR(INDEX(PP_Grid[#Data],$DE1420,91),0)</f>
        <v/>
      </c>
      <c r="CQ1420">
        <f>IFERROR(INDEX(PP_Grid[#Data],$DE1420,92),0)</f>
        <v/>
      </c>
      <c r="CR1420">
        <f>IFERROR(INDEX(PP_Grid[#Data],$DE1420,93),0)</f>
        <v/>
      </c>
      <c r="CS1420">
        <f>IFERROR(INDEX(PP_Grid[#Data],$DE1420,94),0)</f>
        <v/>
      </c>
      <c r="CT1420">
        <f>IFERROR(INDEX(PP_Grid[#Data],$DE1420,95),0)</f>
        <v/>
      </c>
      <c r="CU1420">
        <f>IFERROR(INDEX(PP_Grid[#Data],$DE1420,96),0)</f>
        <v/>
      </c>
      <c r="CV1420">
        <f>IFERROR(INDEX(PP_Grid[#Data],$DE1420,97),0)</f>
        <v/>
      </c>
      <c r="CW1420">
        <f>IFERROR(INDEX(PP_Grid[#Data],$DE1420,98),0)</f>
        <v/>
      </c>
      <c r="CX1420">
        <f>IFERROR(INDEX(PP_Grid[#Data],$DE1420,99),0)</f>
        <v/>
      </c>
      <c r="CY1420">
        <f>IFERROR(INDEX(PP_Grid[#Data],$DE1420,100),0)</f>
        <v/>
      </c>
      <c r="CZ1420">
        <f>IFERROR(INDEX(PP_Grid[#Data],$DE1420,101),0)</f>
        <v/>
      </c>
      <c r="DA1420">
        <f>IFERROR(INDEX(PP_Grid[#Data],$DE1420,102),0)</f>
        <v/>
      </c>
      <c r="DB1420">
        <f>IFERROR(INDEX(PP_Grid[#Data],$DE1420,103),0)</f>
        <v/>
      </c>
      <c r="DC1420">
        <f>IFERROR(INDEX(PP_Grid[#Data],$DE1420,104),0)</f>
        <v/>
      </c>
      <c r="DD1420">
        <f>IFERROR(INDEX(PP_Grid[#Data],$DE1420,105),0)</f>
        <v/>
      </c>
      <c r="DE1420" s="7">
        <f>IFERROR(MATCH($B1420,PP_Grid[Intermediate],0),99999)</f>
        <v/>
      </c>
    </row>
    <row r="1421">
      <c r="B1421" t="inlineStr">
        <is>
          <t>使用量(kg)</t>
        </is>
      </c>
      <c r="C1421">
        <f>SUMIFS(M_BOM[RM_Qty_Per_Batch],M_BOM[Intermediate],$B1420,M_BOM[RM_Code],$A1393)</f>
        <v/>
      </c>
      <c r="D1421">
        <f>IFERROR(INDEX(E1421:DD1421,$F$1),"")</f>
        <v/>
      </c>
      <c r="E1421">
        <f>$C1421*E1420</f>
        <v/>
      </c>
      <c r="F1421">
        <f>$C1421*F1420</f>
        <v/>
      </c>
      <c r="G1421">
        <f>$C1421*G1420</f>
        <v/>
      </c>
      <c r="H1421">
        <f>$C1421*H1420</f>
        <v/>
      </c>
      <c r="I1421">
        <f>$C1421*I1420</f>
        <v/>
      </c>
      <c r="J1421">
        <f>$C1421*J1420</f>
        <v/>
      </c>
      <c r="K1421">
        <f>$C1421*K1420</f>
        <v/>
      </c>
      <c r="L1421">
        <f>$C1421*L1420</f>
        <v/>
      </c>
      <c r="M1421">
        <f>$C1421*M1420</f>
        <v/>
      </c>
      <c r="N1421">
        <f>$C1421*N1420</f>
        <v/>
      </c>
      <c r="O1421">
        <f>$C1421*O1420</f>
        <v/>
      </c>
      <c r="P1421">
        <f>$C1421*P1420</f>
        <v/>
      </c>
      <c r="Q1421">
        <f>$C1421*Q1420</f>
        <v/>
      </c>
      <c r="R1421">
        <f>$C1421*R1420</f>
        <v/>
      </c>
      <c r="S1421">
        <f>$C1421*S1420</f>
        <v/>
      </c>
      <c r="T1421">
        <f>$C1421*T1420</f>
        <v/>
      </c>
      <c r="U1421">
        <f>$C1421*U1420</f>
        <v/>
      </c>
      <c r="V1421">
        <f>$C1421*V1420</f>
        <v/>
      </c>
      <c r="W1421">
        <f>$C1421*W1420</f>
        <v/>
      </c>
      <c r="X1421">
        <f>$C1421*X1420</f>
        <v/>
      </c>
      <c r="Y1421">
        <f>$C1421*Y1420</f>
        <v/>
      </c>
      <c r="Z1421">
        <f>$C1421*Z1420</f>
        <v/>
      </c>
      <c r="AA1421">
        <f>$C1421*AA1420</f>
        <v/>
      </c>
      <c r="AB1421">
        <f>$C1421*AB1420</f>
        <v/>
      </c>
      <c r="AC1421">
        <f>$C1421*AC1420</f>
        <v/>
      </c>
      <c r="AD1421">
        <f>$C1421*AD1420</f>
        <v/>
      </c>
      <c r="AE1421">
        <f>$C1421*AE1420</f>
        <v/>
      </c>
      <c r="AF1421">
        <f>$C1421*AF1420</f>
        <v/>
      </c>
      <c r="AG1421">
        <f>$C1421*AG1420</f>
        <v/>
      </c>
      <c r="AH1421">
        <f>$C1421*AH1420</f>
        <v/>
      </c>
      <c r="AI1421">
        <f>$C1421*AI1420</f>
        <v/>
      </c>
      <c r="AJ1421">
        <f>$C1421*AJ1420</f>
        <v/>
      </c>
      <c r="AK1421">
        <f>$C1421*AK1420</f>
        <v/>
      </c>
      <c r="AL1421">
        <f>$C1421*AL1420</f>
        <v/>
      </c>
      <c r="AM1421">
        <f>$C1421*AM1420</f>
        <v/>
      </c>
      <c r="AN1421">
        <f>$C1421*AN1420</f>
        <v/>
      </c>
      <c r="AO1421">
        <f>$C1421*AO1420</f>
        <v/>
      </c>
      <c r="AP1421">
        <f>$C1421*AP1420</f>
        <v/>
      </c>
      <c r="AQ1421">
        <f>$C1421*AQ1420</f>
        <v/>
      </c>
      <c r="AR1421">
        <f>$C1421*AR1420</f>
        <v/>
      </c>
      <c r="AS1421">
        <f>$C1421*AS1420</f>
        <v/>
      </c>
      <c r="AT1421">
        <f>$C1421*AT1420</f>
        <v/>
      </c>
      <c r="AU1421">
        <f>$C1421*AU1420</f>
        <v/>
      </c>
      <c r="AV1421">
        <f>$C1421*AV1420</f>
        <v/>
      </c>
      <c r="AW1421">
        <f>$C1421*AW1420</f>
        <v/>
      </c>
      <c r="AX1421">
        <f>$C1421*AX1420</f>
        <v/>
      </c>
      <c r="AY1421">
        <f>$C1421*AY1420</f>
        <v/>
      </c>
      <c r="AZ1421">
        <f>$C1421*AZ1420</f>
        <v/>
      </c>
      <c r="BA1421">
        <f>$C1421*BA1420</f>
        <v/>
      </c>
      <c r="BB1421">
        <f>$C1421*BB1420</f>
        <v/>
      </c>
      <c r="BC1421">
        <f>$C1421*BC1420</f>
        <v/>
      </c>
      <c r="BD1421">
        <f>$C1421*BD1420</f>
        <v/>
      </c>
      <c r="BE1421">
        <f>$C1421*BE1420</f>
        <v/>
      </c>
      <c r="BF1421">
        <f>$C1421*BF1420</f>
        <v/>
      </c>
      <c r="BG1421">
        <f>$C1421*BG1420</f>
        <v/>
      </c>
      <c r="BH1421">
        <f>$C1421*BH1420</f>
        <v/>
      </c>
      <c r="BI1421">
        <f>$C1421*BI1420</f>
        <v/>
      </c>
      <c r="BJ1421">
        <f>$C1421*BJ1420</f>
        <v/>
      </c>
      <c r="BK1421">
        <f>$C1421*BK1420</f>
        <v/>
      </c>
      <c r="BL1421">
        <f>$C1421*BL1420</f>
        <v/>
      </c>
      <c r="BM1421">
        <f>$C1421*BM1420</f>
        <v/>
      </c>
      <c r="BN1421">
        <f>$C1421*BN1420</f>
        <v/>
      </c>
      <c r="BO1421">
        <f>$C1421*BO1420</f>
        <v/>
      </c>
      <c r="BP1421">
        <f>$C1421*BP1420</f>
        <v/>
      </c>
      <c r="BQ1421">
        <f>$C1421*BQ1420</f>
        <v/>
      </c>
      <c r="BR1421">
        <f>$C1421*BR1420</f>
        <v/>
      </c>
      <c r="BS1421">
        <f>$C1421*BS1420</f>
        <v/>
      </c>
      <c r="BT1421">
        <f>$C1421*BT1420</f>
        <v/>
      </c>
      <c r="BU1421">
        <f>$C1421*BU1420</f>
        <v/>
      </c>
      <c r="BV1421">
        <f>$C1421*BV1420</f>
        <v/>
      </c>
      <c r="BW1421">
        <f>$C1421*BW1420</f>
        <v/>
      </c>
      <c r="BX1421">
        <f>$C1421*BX1420</f>
        <v/>
      </c>
      <c r="BY1421">
        <f>$C1421*BY1420</f>
        <v/>
      </c>
      <c r="BZ1421">
        <f>$C1421*BZ1420</f>
        <v/>
      </c>
      <c r="CA1421">
        <f>$C1421*CA1420</f>
        <v/>
      </c>
      <c r="CB1421">
        <f>$C1421*CB1420</f>
        <v/>
      </c>
      <c r="CC1421">
        <f>$C1421*CC1420</f>
        <v/>
      </c>
      <c r="CD1421">
        <f>$C1421*CD1420</f>
        <v/>
      </c>
      <c r="CE1421">
        <f>$C1421*CE1420</f>
        <v/>
      </c>
      <c r="CF1421">
        <f>$C1421*CF1420</f>
        <v/>
      </c>
      <c r="CG1421">
        <f>$C1421*CG1420</f>
        <v/>
      </c>
      <c r="CH1421">
        <f>$C1421*CH1420</f>
        <v/>
      </c>
      <c r="CI1421">
        <f>$C1421*CI1420</f>
        <v/>
      </c>
      <c r="CJ1421">
        <f>$C1421*CJ1420</f>
        <v/>
      </c>
      <c r="CK1421">
        <f>$C1421*CK1420</f>
        <v/>
      </c>
      <c r="CL1421">
        <f>$C1421*CL1420</f>
        <v/>
      </c>
      <c r="CM1421">
        <f>$C1421*CM1420</f>
        <v/>
      </c>
      <c r="CN1421">
        <f>$C1421*CN1420</f>
        <v/>
      </c>
      <c r="CO1421">
        <f>$C1421*CO1420</f>
        <v/>
      </c>
      <c r="CP1421">
        <f>$C1421*CP1420</f>
        <v/>
      </c>
      <c r="CQ1421">
        <f>$C1421*CQ1420</f>
        <v/>
      </c>
      <c r="CR1421">
        <f>$C1421*CR1420</f>
        <v/>
      </c>
      <c r="CS1421">
        <f>$C1421*CS1420</f>
        <v/>
      </c>
      <c r="CT1421">
        <f>$C1421*CT1420</f>
        <v/>
      </c>
      <c r="CU1421">
        <f>$C1421*CU1420</f>
        <v/>
      </c>
      <c r="CV1421">
        <f>$C1421*CV1420</f>
        <v/>
      </c>
      <c r="CW1421">
        <f>$C1421*CW1420</f>
        <v/>
      </c>
      <c r="CX1421">
        <f>$C1421*CX1420</f>
        <v/>
      </c>
      <c r="CY1421">
        <f>$C1421*CY1420</f>
        <v/>
      </c>
      <c r="CZ1421">
        <f>$C1421*CZ1420</f>
        <v/>
      </c>
      <c r="DA1421">
        <f>$C1421*DA1420</f>
        <v/>
      </c>
      <c r="DB1421">
        <f>$C1421*DB1420</f>
        <v/>
      </c>
      <c r="DC1421">
        <f>$C1421*DC1420</f>
        <v/>
      </c>
      <c r="DD1421">
        <f>$C1421*DD1420</f>
        <v/>
      </c>
    </row>
    <row r="1422">
      <c r="B1422" s="4" t="inlineStr">
        <is>
          <t>合計使用量(kg)/週</t>
        </is>
      </c>
      <c r="D1422" s="22">
        <f>IFERROR(INDEX(E1422:DD1422,$F$1),"")</f>
        <v/>
      </c>
      <c r="E1422">
        <f>'Grid_Requirement'!B9</f>
        <v/>
      </c>
      <c r="F1422">
        <f>'Grid_Requirement'!C9</f>
        <v/>
      </c>
      <c r="G1422">
        <f>'Grid_Requirement'!D9</f>
        <v/>
      </c>
      <c r="H1422">
        <f>'Grid_Requirement'!E9</f>
        <v/>
      </c>
      <c r="I1422">
        <f>'Grid_Requirement'!F9</f>
        <v/>
      </c>
      <c r="J1422">
        <f>'Grid_Requirement'!G9</f>
        <v/>
      </c>
      <c r="K1422">
        <f>'Grid_Requirement'!H9</f>
        <v/>
      </c>
      <c r="L1422">
        <f>'Grid_Requirement'!I9</f>
        <v/>
      </c>
      <c r="M1422">
        <f>'Grid_Requirement'!J9</f>
        <v/>
      </c>
      <c r="N1422">
        <f>'Grid_Requirement'!K9</f>
        <v/>
      </c>
      <c r="O1422">
        <f>'Grid_Requirement'!L9</f>
        <v/>
      </c>
      <c r="P1422">
        <f>'Grid_Requirement'!M9</f>
        <v/>
      </c>
      <c r="Q1422">
        <f>'Grid_Requirement'!N9</f>
        <v/>
      </c>
      <c r="R1422">
        <f>'Grid_Requirement'!O9</f>
        <v/>
      </c>
      <c r="S1422">
        <f>'Grid_Requirement'!P9</f>
        <v/>
      </c>
      <c r="T1422">
        <f>'Grid_Requirement'!Q9</f>
        <v/>
      </c>
      <c r="U1422">
        <f>'Grid_Requirement'!R9</f>
        <v/>
      </c>
      <c r="V1422">
        <f>'Grid_Requirement'!S9</f>
        <v/>
      </c>
      <c r="W1422">
        <f>'Grid_Requirement'!T9</f>
        <v/>
      </c>
      <c r="X1422">
        <f>'Grid_Requirement'!U9</f>
        <v/>
      </c>
      <c r="Y1422">
        <f>'Grid_Requirement'!V9</f>
        <v/>
      </c>
      <c r="Z1422">
        <f>'Grid_Requirement'!W9</f>
        <v/>
      </c>
      <c r="AA1422">
        <f>'Grid_Requirement'!X9</f>
        <v/>
      </c>
      <c r="AB1422">
        <f>'Grid_Requirement'!Y9</f>
        <v/>
      </c>
      <c r="AC1422">
        <f>'Grid_Requirement'!Z9</f>
        <v/>
      </c>
      <c r="AD1422">
        <f>'Grid_Requirement'!AA9</f>
        <v/>
      </c>
      <c r="AE1422">
        <f>'Grid_Requirement'!AB9</f>
        <v/>
      </c>
      <c r="AF1422">
        <f>'Grid_Requirement'!AC9</f>
        <v/>
      </c>
      <c r="AG1422">
        <f>'Grid_Requirement'!AD9</f>
        <v/>
      </c>
      <c r="AH1422">
        <f>'Grid_Requirement'!AE9</f>
        <v/>
      </c>
      <c r="AI1422">
        <f>'Grid_Requirement'!AF9</f>
        <v/>
      </c>
      <c r="AJ1422">
        <f>'Grid_Requirement'!AG9</f>
        <v/>
      </c>
      <c r="AK1422">
        <f>'Grid_Requirement'!AH9</f>
        <v/>
      </c>
      <c r="AL1422">
        <f>'Grid_Requirement'!AI9</f>
        <v/>
      </c>
      <c r="AM1422">
        <f>'Grid_Requirement'!AJ9</f>
        <v/>
      </c>
      <c r="AN1422">
        <f>'Grid_Requirement'!AK9</f>
        <v/>
      </c>
      <c r="AO1422">
        <f>'Grid_Requirement'!AL9</f>
        <v/>
      </c>
      <c r="AP1422">
        <f>'Grid_Requirement'!AM9</f>
        <v/>
      </c>
      <c r="AQ1422">
        <f>'Grid_Requirement'!AN9</f>
        <v/>
      </c>
      <c r="AR1422">
        <f>'Grid_Requirement'!AO9</f>
        <v/>
      </c>
      <c r="AS1422">
        <f>'Grid_Requirement'!AP9</f>
        <v/>
      </c>
      <c r="AT1422">
        <f>'Grid_Requirement'!AQ9</f>
        <v/>
      </c>
      <c r="AU1422">
        <f>'Grid_Requirement'!AR9</f>
        <v/>
      </c>
      <c r="AV1422">
        <f>'Grid_Requirement'!AS9</f>
        <v/>
      </c>
      <c r="AW1422">
        <f>'Grid_Requirement'!AT9</f>
        <v/>
      </c>
      <c r="AX1422">
        <f>'Grid_Requirement'!AU9</f>
        <v/>
      </c>
      <c r="AY1422">
        <f>'Grid_Requirement'!AV9</f>
        <v/>
      </c>
      <c r="AZ1422">
        <f>'Grid_Requirement'!AW9</f>
        <v/>
      </c>
      <c r="BA1422">
        <f>'Grid_Requirement'!AX9</f>
        <v/>
      </c>
      <c r="BB1422">
        <f>'Grid_Requirement'!AY9</f>
        <v/>
      </c>
      <c r="BC1422">
        <f>'Grid_Requirement'!AZ9</f>
        <v/>
      </c>
      <c r="BD1422">
        <f>'Grid_Requirement'!BA9</f>
        <v/>
      </c>
      <c r="BE1422">
        <f>'Grid_Requirement'!BB9</f>
        <v/>
      </c>
      <c r="BF1422">
        <f>'Grid_Requirement'!BC9</f>
        <v/>
      </c>
      <c r="BG1422">
        <f>'Grid_Requirement'!BD9</f>
        <v/>
      </c>
      <c r="BH1422">
        <f>'Grid_Requirement'!BE9</f>
        <v/>
      </c>
      <c r="BI1422">
        <f>'Grid_Requirement'!BF9</f>
        <v/>
      </c>
      <c r="BJ1422">
        <f>'Grid_Requirement'!BG9</f>
        <v/>
      </c>
      <c r="BK1422">
        <f>'Grid_Requirement'!BH9</f>
        <v/>
      </c>
      <c r="BL1422">
        <f>'Grid_Requirement'!BI9</f>
        <v/>
      </c>
      <c r="BM1422">
        <f>'Grid_Requirement'!BJ9</f>
        <v/>
      </c>
      <c r="BN1422">
        <f>'Grid_Requirement'!BK9</f>
        <v/>
      </c>
      <c r="BO1422">
        <f>'Grid_Requirement'!BL9</f>
        <v/>
      </c>
      <c r="BP1422">
        <f>'Grid_Requirement'!BM9</f>
        <v/>
      </c>
      <c r="BQ1422">
        <f>'Grid_Requirement'!BN9</f>
        <v/>
      </c>
      <c r="BR1422">
        <f>'Grid_Requirement'!BO9</f>
        <v/>
      </c>
      <c r="BS1422">
        <f>'Grid_Requirement'!BP9</f>
        <v/>
      </c>
      <c r="BT1422">
        <f>'Grid_Requirement'!BQ9</f>
        <v/>
      </c>
      <c r="BU1422">
        <f>'Grid_Requirement'!BR9</f>
        <v/>
      </c>
      <c r="BV1422">
        <f>'Grid_Requirement'!BS9</f>
        <v/>
      </c>
      <c r="BW1422">
        <f>'Grid_Requirement'!BT9</f>
        <v/>
      </c>
      <c r="BX1422">
        <f>'Grid_Requirement'!BU9</f>
        <v/>
      </c>
      <c r="BY1422">
        <f>'Grid_Requirement'!BV9</f>
        <v/>
      </c>
      <c r="BZ1422">
        <f>'Grid_Requirement'!BW9</f>
        <v/>
      </c>
      <c r="CA1422">
        <f>'Grid_Requirement'!BX9</f>
        <v/>
      </c>
      <c r="CB1422">
        <f>'Grid_Requirement'!BY9</f>
        <v/>
      </c>
      <c r="CC1422">
        <f>'Grid_Requirement'!BZ9</f>
        <v/>
      </c>
      <c r="CD1422">
        <f>'Grid_Requirement'!CA9</f>
        <v/>
      </c>
      <c r="CE1422">
        <f>'Grid_Requirement'!CB9</f>
        <v/>
      </c>
      <c r="CF1422">
        <f>'Grid_Requirement'!CC9</f>
        <v/>
      </c>
      <c r="CG1422">
        <f>'Grid_Requirement'!CD9</f>
        <v/>
      </c>
      <c r="CH1422">
        <f>'Grid_Requirement'!CE9</f>
        <v/>
      </c>
      <c r="CI1422">
        <f>'Grid_Requirement'!CF9</f>
        <v/>
      </c>
      <c r="CJ1422">
        <f>'Grid_Requirement'!CG9</f>
        <v/>
      </c>
      <c r="CK1422">
        <f>'Grid_Requirement'!CH9</f>
        <v/>
      </c>
      <c r="CL1422">
        <f>'Grid_Requirement'!CI9</f>
        <v/>
      </c>
      <c r="CM1422">
        <f>'Grid_Requirement'!CJ9</f>
        <v/>
      </c>
      <c r="CN1422">
        <f>'Grid_Requirement'!CK9</f>
        <v/>
      </c>
      <c r="CO1422">
        <f>'Grid_Requirement'!CL9</f>
        <v/>
      </c>
      <c r="CP1422">
        <f>'Grid_Requirement'!CM9</f>
        <v/>
      </c>
      <c r="CQ1422">
        <f>'Grid_Requirement'!CN9</f>
        <v/>
      </c>
      <c r="CR1422">
        <f>'Grid_Requirement'!CO9</f>
        <v/>
      </c>
      <c r="CS1422">
        <f>'Grid_Requirement'!CP9</f>
        <v/>
      </c>
      <c r="CT1422">
        <f>'Grid_Requirement'!CQ9</f>
        <v/>
      </c>
      <c r="CU1422">
        <f>'Grid_Requirement'!CR9</f>
        <v/>
      </c>
      <c r="CV1422">
        <f>'Grid_Requirement'!CS9</f>
        <v/>
      </c>
      <c r="CW1422">
        <f>'Grid_Requirement'!CT9</f>
        <v/>
      </c>
      <c r="CX1422">
        <f>'Grid_Requirement'!CU9</f>
        <v/>
      </c>
      <c r="CY1422">
        <f>'Grid_Requirement'!CV9</f>
        <v/>
      </c>
      <c r="CZ1422">
        <f>'Grid_Requirement'!CW9</f>
        <v/>
      </c>
      <c r="DA1422">
        <f>'Grid_Requirement'!CX9</f>
        <v/>
      </c>
      <c r="DB1422">
        <f>'Grid_Requirement'!CY9</f>
        <v/>
      </c>
      <c r="DC1422">
        <f>'Grid_Requirement'!CZ9</f>
        <v/>
      </c>
      <c r="DD1422">
        <f>'Grid_Requirement'!DA9</f>
        <v/>
      </c>
    </row>
    <row r="1423">
      <c r="B1423" s="23" t="inlineStr">
        <is>
          <t>（在庫・入荷予定はDashboard参照）</t>
        </is>
      </c>
    </row>
    <row r="1425">
      <c r="A1425" s="21" t="inlineStr">
        <is>
          <t>TSZ-938</t>
        </is>
      </c>
      <c r="B1425" s="21" t="inlineStr">
        <is>
          <t>TSZ-938 Slurry - NO PGM</t>
        </is>
      </c>
      <c r="C1425" s="21" t="n"/>
      <c r="D1425" s="21" t="n"/>
      <c r="E1425" s="21" t="n"/>
      <c r="F1425" s="21" t="n"/>
      <c r="G1425" s="21" t="n"/>
      <c r="H1425" s="21" t="n"/>
      <c r="I1425" s="21" t="n"/>
      <c r="J1425" s="21" t="n"/>
      <c r="K1425" s="21" t="n"/>
      <c r="L1425" s="21" t="n"/>
      <c r="M1425" s="21" t="n"/>
      <c r="N1425" s="21" t="n"/>
      <c r="O1425" s="21" t="n"/>
      <c r="P1425" s="21" t="n"/>
      <c r="Q1425" s="21" t="n"/>
      <c r="R1425" s="21" t="n"/>
      <c r="S1425" s="21" t="n"/>
      <c r="T1425" s="21" t="n"/>
      <c r="U1425" s="21" t="n"/>
      <c r="V1425" s="21" t="n"/>
      <c r="W1425" s="21" t="n"/>
      <c r="X1425" s="21" t="n"/>
      <c r="Y1425" s="21" t="n"/>
      <c r="Z1425" s="21" t="n"/>
      <c r="AA1425" s="21" t="n"/>
      <c r="AB1425" s="21" t="n"/>
      <c r="AC1425" s="21" t="n"/>
      <c r="AD1425" s="21" t="n"/>
      <c r="AE1425" s="21" t="n"/>
      <c r="AF1425" s="21" t="n"/>
      <c r="AG1425" s="21" t="n"/>
      <c r="AH1425" s="21" t="n"/>
      <c r="AI1425" s="21" t="n"/>
      <c r="AJ1425" s="21" t="n"/>
      <c r="AK1425" s="21" t="n"/>
      <c r="AL1425" s="21" t="n"/>
      <c r="AM1425" s="21" t="n"/>
      <c r="AN1425" s="21" t="n"/>
      <c r="AO1425" s="21" t="n"/>
      <c r="AP1425" s="21" t="n"/>
      <c r="AQ1425" s="21" t="n"/>
      <c r="AR1425" s="21" t="n"/>
      <c r="AS1425" s="21" t="n"/>
      <c r="AT1425" s="21" t="n"/>
      <c r="AU1425" s="21" t="n"/>
      <c r="AV1425" s="21" t="n"/>
      <c r="AW1425" s="21" t="n"/>
      <c r="AX1425" s="21" t="n"/>
      <c r="AY1425" s="21" t="n"/>
      <c r="AZ1425" s="21" t="n"/>
      <c r="BA1425" s="21" t="n"/>
      <c r="BB1425" s="21" t="n"/>
      <c r="BC1425" s="21" t="n"/>
      <c r="BD1425" s="21" t="n"/>
      <c r="BE1425" s="21" t="n"/>
      <c r="BF1425" s="21" t="n"/>
      <c r="BG1425" s="21" t="n"/>
      <c r="BH1425" s="21" t="n"/>
      <c r="BI1425" s="21" t="n"/>
      <c r="BJ1425" s="21" t="n"/>
      <c r="BK1425" s="21" t="n"/>
      <c r="BL1425" s="21" t="n"/>
      <c r="BM1425" s="21" t="n"/>
      <c r="BN1425" s="21" t="n"/>
      <c r="BO1425" s="21" t="n"/>
      <c r="BP1425" s="21" t="n"/>
      <c r="BQ1425" s="21" t="n"/>
      <c r="BR1425" s="21" t="n"/>
      <c r="BS1425" s="21" t="n"/>
      <c r="BT1425" s="21" t="n"/>
      <c r="BU1425" s="21" t="n"/>
      <c r="BV1425" s="21" t="n"/>
      <c r="BW1425" s="21" t="n"/>
      <c r="BX1425" s="21" t="n"/>
      <c r="BY1425" s="21" t="n"/>
      <c r="BZ1425" s="21" t="n"/>
      <c r="CA1425" s="21" t="n"/>
      <c r="CB1425" s="21" t="n"/>
      <c r="CC1425" s="21" t="n"/>
      <c r="CD1425" s="21" t="n"/>
      <c r="CE1425" s="21" t="n"/>
      <c r="CF1425" s="21" t="n"/>
      <c r="CG1425" s="21" t="n"/>
      <c r="CH1425" s="21" t="n"/>
      <c r="CI1425" s="21" t="n"/>
      <c r="CJ1425" s="21" t="n"/>
      <c r="CK1425" s="21" t="n"/>
      <c r="CL1425" s="21" t="n"/>
      <c r="CM1425" s="21" t="n"/>
      <c r="CN1425" s="21" t="n"/>
      <c r="CO1425" s="21" t="n"/>
      <c r="CP1425" s="21" t="n"/>
      <c r="CQ1425" s="21" t="n"/>
      <c r="CR1425" s="21" t="n"/>
      <c r="CS1425" s="21" t="n"/>
      <c r="CT1425" s="21" t="n"/>
      <c r="CU1425" s="21" t="n"/>
      <c r="CV1425" s="21" t="n"/>
      <c r="CW1425" s="21" t="n"/>
      <c r="CX1425" s="21" t="n"/>
      <c r="CY1425" s="21" t="n"/>
      <c r="CZ1425" s="21" t="n"/>
      <c r="DA1425" s="21" t="n"/>
      <c r="DB1425" s="21" t="n"/>
      <c r="DC1425" s="21" t="n"/>
      <c r="DD1425" s="21" t="n"/>
    </row>
    <row r="1426">
      <c r="B1426" t="inlineStr">
        <is>
          <t>TSP-934</t>
        </is>
      </c>
      <c r="C1426" t="inlineStr">
        <is>
          <t>No. of batches</t>
        </is>
      </c>
      <c r="D1426">
        <f>IFERROR(INDEX(E1426:DD1426,$F$1),"")</f>
        <v/>
      </c>
      <c r="E1426">
        <f>IFERROR(INDEX(PP_Grid[#Data],$DE1426,2),0)</f>
        <v/>
      </c>
      <c r="F1426">
        <f>IFERROR(INDEX(PP_Grid[#Data],$DE1426,3),0)</f>
        <v/>
      </c>
      <c r="G1426">
        <f>IFERROR(INDEX(PP_Grid[#Data],$DE1426,4),0)</f>
        <v/>
      </c>
      <c r="H1426">
        <f>IFERROR(INDEX(PP_Grid[#Data],$DE1426,5),0)</f>
        <v/>
      </c>
      <c r="I1426">
        <f>IFERROR(INDEX(PP_Grid[#Data],$DE1426,6),0)</f>
        <v/>
      </c>
      <c r="J1426">
        <f>IFERROR(INDEX(PP_Grid[#Data],$DE1426,7),0)</f>
        <v/>
      </c>
      <c r="K1426">
        <f>IFERROR(INDEX(PP_Grid[#Data],$DE1426,8),0)</f>
        <v/>
      </c>
      <c r="L1426">
        <f>IFERROR(INDEX(PP_Grid[#Data],$DE1426,9),0)</f>
        <v/>
      </c>
      <c r="M1426">
        <f>IFERROR(INDEX(PP_Grid[#Data],$DE1426,10),0)</f>
        <v/>
      </c>
      <c r="N1426">
        <f>IFERROR(INDEX(PP_Grid[#Data],$DE1426,11),0)</f>
        <v/>
      </c>
      <c r="O1426">
        <f>IFERROR(INDEX(PP_Grid[#Data],$DE1426,12),0)</f>
        <v/>
      </c>
      <c r="P1426">
        <f>IFERROR(INDEX(PP_Grid[#Data],$DE1426,13),0)</f>
        <v/>
      </c>
      <c r="Q1426">
        <f>IFERROR(INDEX(PP_Grid[#Data],$DE1426,14),0)</f>
        <v/>
      </c>
      <c r="R1426">
        <f>IFERROR(INDEX(PP_Grid[#Data],$DE1426,15),0)</f>
        <v/>
      </c>
      <c r="S1426">
        <f>IFERROR(INDEX(PP_Grid[#Data],$DE1426,16),0)</f>
        <v/>
      </c>
      <c r="T1426">
        <f>IFERROR(INDEX(PP_Grid[#Data],$DE1426,17),0)</f>
        <v/>
      </c>
      <c r="U1426">
        <f>IFERROR(INDEX(PP_Grid[#Data],$DE1426,18),0)</f>
        <v/>
      </c>
      <c r="V1426">
        <f>IFERROR(INDEX(PP_Grid[#Data],$DE1426,19),0)</f>
        <v/>
      </c>
      <c r="W1426">
        <f>IFERROR(INDEX(PP_Grid[#Data],$DE1426,20),0)</f>
        <v/>
      </c>
      <c r="X1426">
        <f>IFERROR(INDEX(PP_Grid[#Data],$DE1426,21),0)</f>
        <v/>
      </c>
      <c r="Y1426">
        <f>IFERROR(INDEX(PP_Grid[#Data],$DE1426,22),0)</f>
        <v/>
      </c>
      <c r="Z1426">
        <f>IFERROR(INDEX(PP_Grid[#Data],$DE1426,23),0)</f>
        <v/>
      </c>
      <c r="AA1426">
        <f>IFERROR(INDEX(PP_Grid[#Data],$DE1426,24),0)</f>
        <v/>
      </c>
      <c r="AB1426">
        <f>IFERROR(INDEX(PP_Grid[#Data],$DE1426,25),0)</f>
        <v/>
      </c>
      <c r="AC1426">
        <f>IFERROR(INDEX(PP_Grid[#Data],$DE1426,26),0)</f>
        <v/>
      </c>
      <c r="AD1426">
        <f>IFERROR(INDEX(PP_Grid[#Data],$DE1426,27),0)</f>
        <v/>
      </c>
      <c r="AE1426">
        <f>IFERROR(INDEX(PP_Grid[#Data],$DE1426,28),0)</f>
        <v/>
      </c>
      <c r="AF1426">
        <f>IFERROR(INDEX(PP_Grid[#Data],$DE1426,29),0)</f>
        <v/>
      </c>
      <c r="AG1426">
        <f>IFERROR(INDEX(PP_Grid[#Data],$DE1426,30),0)</f>
        <v/>
      </c>
      <c r="AH1426">
        <f>IFERROR(INDEX(PP_Grid[#Data],$DE1426,31),0)</f>
        <v/>
      </c>
      <c r="AI1426">
        <f>IFERROR(INDEX(PP_Grid[#Data],$DE1426,32),0)</f>
        <v/>
      </c>
      <c r="AJ1426">
        <f>IFERROR(INDEX(PP_Grid[#Data],$DE1426,33),0)</f>
        <v/>
      </c>
      <c r="AK1426">
        <f>IFERROR(INDEX(PP_Grid[#Data],$DE1426,34),0)</f>
        <v/>
      </c>
      <c r="AL1426">
        <f>IFERROR(INDEX(PP_Grid[#Data],$DE1426,35),0)</f>
        <v/>
      </c>
      <c r="AM1426">
        <f>IFERROR(INDEX(PP_Grid[#Data],$DE1426,36),0)</f>
        <v/>
      </c>
      <c r="AN1426">
        <f>IFERROR(INDEX(PP_Grid[#Data],$DE1426,37),0)</f>
        <v/>
      </c>
      <c r="AO1426">
        <f>IFERROR(INDEX(PP_Grid[#Data],$DE1426,38),0)</f>
        <v/>
      </c>
      <c r="AP1426">
        <f>IFERROR(INDEX(PP_Grid[#Data],$DE1426,39),0)</f>
        <v/>
      </c>
      <c r="AQ1426">
        <f>IFERROR(INDEX(PP_Grid[#Data],$DE1426,40),0)</f>
        <v/>
      </c>
      <c r="AR1426">
        <f>IFERROR(INDEX(PP_Grid[#Data],$DE1426,41),0)</f>
        <v/>
      </c>
      <c r="AS1426">
        <f>IFERROR(INDEX(PP_Grid[#Data],$DE1426,42),0)</f>
        <v/>
      </c>
      <c r="AT1426">
        <f>IFERROR(INDEX(PP_Grid[#Data],$DE1426,43),0)</f>
        <v/>
      </c>
      <c r="AU1426">
        <f>IFERROR(INDEX(PP_Grid[#Data],$DE1426,44),0)</f>
        <v/>
      </c>
      <c r="AV1426">
        <f>IFERROR(INDEX(PP_Grid[#Data],$DE1426,45),0)</f>
        <v/>
      </c>
      <c r="AW1426">
        <f>IFERROR(INDEX(PP_Grid[#Data],$DE1426,46),0)</f>
        <v/>
      </c>
      <c r="AX1426">
        <f>IFERROR(INDEX(PP_Grid[#Data],$DE1426,47),0)</f>
        <v/>
      </c>
      <c r="AY1426">
        <f>IFERROR(INDEX(PP_Grid[#Data],$DE1426,48),0)</f>
        <v/>
      </c>
      <c r="AZ1426">
        <f>IFERROR(INDEX(PP_Grid[#Data],$DE1426,49),0)</f>
        <v/>
      </c>
      <c r="BA1426">
        <f>IFERROR(INDEX(PP_Grid[#Data],$DE1426,50),0)</f>
        <v/>
      </c>
      <c r="BB1426">
        <f>IFERROR(INDEX(PP_Grid[#Data],$DE1426,51),0)</f>
        <v/>
      </c>
      <c r="BC1426">
        <f>IFERROR(INDEX(PP_Grid[#Data],$DE1426,52),0)</f>
        <v/>
      </c>
      <c r="BD1426">
        <f>IFERROR(INDEX(PP_Grid[#Data],$DE1426,53),0)</f>
        <v/>
      </c>
      <c r="BE1426">
        <f>IFERROR(INDEX(PP_Grid[#Data],$DE1426,54),0)</f>
        <v/>
      </c>
      <c r="BF1426">
        <f>IFERROR(INDEX(PP_Grid[#Data],$DE1426,55),0)</f>
        <v/>
      </c>
      <c r="BG1426">
        <f>IFERROR(INDEX(PP_Grid[#Data],$DE1426,56),0)</f>
        <v/>
      </c>
      <c r="BH1426">
        <f>IFERROR(INDEX(PP_Grid[#Data],$DE1426,57),0)</f>
        <v/>
      </c>
      <c r="BI1426">
        <f>IFERROR(INDEX(PP_Grid[#Data],$DE1426,58),0)</f>
        <v/>
      </c>
      <c r="BJ1426">
        <f>IFERROR(INDEX(PP_Grid[#Data],$DE1426,59),0)</f>
        <v/>
      </c>
      <c r="BK1426">
        <f>IFERROR(INDEX(PP_Grid[#Data],$DE1426,60),0)</f>
        <v/>
      </c>
      <c r="BL1426">
        <f>IFERROR(INDEX(PP_Grid[#Data],$DE1426,61),0)</f>
        <v/>
      </c>
      <c r="BM1426">
        <f>IFERROR(INDEX(PP_Grid[#Data],$DE1426,62),0)</f>
        <v/>
      </c>
      <c r="BN1426">
        <f>IFERROR(INDEX(PP_Grid[#Data],$DE1426,63),0)</f>
        <v/>
      </c>
      <c r="BO1426">
        <f>IFERROR(INDEX(PP_Grid[#Data],$DE1426,64),0)</f>
        <v/>
      </c>
      <c r="BP1426">
        <f>IFERROR(INDEX(PP_Grid[#Data],$DE1426,65),0)</f>
        <v/>
      </c>
      <c r="BQ1426">
        <f>IFERROR(INDEX(PP_Grid[#Data],$DE1426,66),0)</f>
        <v/>
      </c>
      <c r="BR1426">
        <f>IFERROR(INDEX(PP_Grid[#Data],$DE1426,67),0)</f>
        <v/>
      </c>
      <c r="BS1426">
        <f>IFERROR(INDEX(PP_Grid[#Data],$DE1426,68),0)</f>
        <v/>
      </c>
      <c r="BT1426">
        <f>IFERROR(INDEX(PP_Grid[#Data],$DE1426,69),0)</f>
        <v/>
      </c>
      <c r="BU1426">
        <f>IFERROR(INDEX(PP_Grid[#Data],$DE1426,70),0)</f>
        <v/>
      </c>
      <c r="BV1426">
        <f>IFERROR(INDEX(PP_Grid[#Data],$DE1426,71),0)</f>
        <v/>
      </c>
      <c r="BW1426">
        <f>IFERROR(INDEX(PP_Grid[#Data],$DE1426,72),0)</f>
        <v/>
      </c>
      <c r="BX1426">
        <f>IFERROR(INDEX(PP_Grid[#Data],$DE1426,73),0)</f>
        <v/>
      </c>
      <c r="BY1426">
        <f>IFERROR(INDEX(PP_Grid[#Data],$DE1426,74),0)</f>
        <v/>
      </c>
      <c r="BZ1426">
        <f>IFERROR(INDEX(PP_Grid[#Data],$DE1426,75),0)</f>
        <v/>
      </c>
      <c r="CA1426">
        <f>IFERROR(INDEX(PP_Grid[#Data],$DE1426,76),0)</f>
        <v/>
      </c>
      <c r="CB1426">
        <f>IFERROR(INDEX(PP_Grid[#Data],$DE1426,77),0)</f>
        <v/>
      </c>
      <c r="CC1426">
        <f>IFERROR(INDEX(PP_Grid[#Data],$DE1426,78),0)</f>
        <v/>
      </c>
      <c r="CD1426">
        <f>IFERROR(INDEX(PP_Grid[#Data],$DE1426,79),0)</f>
        <v/>
      </c>
      <c r="CE1426">
        <f>IFERROR(INDEX(PP_Grid[#Data],$DE1426,80),0)</f>
        <v/>
      </c>
      <c r="CF1426">
        <f>IFERROR(INDEX(PP_Grid[#Data],$DE1426,81),0)</f>
        <v/>
      </c>
      <c r="CG1426">
        <f>IFERROR(INDEX(PP_Grid[#Data],$DE1426,82),0)</f>
        <v/>
      </c>
      <c r="CH1426">
        <f>IFERROR(INDEX(PP_Grid[#Data],$DE1426,83),0)</f>
        <v/>
      </c>
      <c r="CI1426">
        <f>IFERROR(INDEX(PP_Grid[#Data],$DE1426,84),0)</f>
        <v/>
      </c>
      <c r="CJ1426">
        <f>IFERROR(INDEX(PP_Grid[#Data],$DE1426,85),0)</f>
        <v/>
      </c>
      <c r="CK1426">
        <f>IFERROR(INDEX(PP_Grid[#Data],$DE1426,86),0)</f>
        <v/>
      </c>
      <c r="CL1426">
        <f>IFERROR(INDEX(PP_Grid[#Data],$DE1426,87),0)</f>
        <v/>
      </c>
      <c r="CM1426">
        <f>IFERROR(INDEX(PP_Grid[#Data],$DE1426,88),0)</f>
        <v/>
      </c>
      <c r="CN1426">
        <f>IFERROR(INDEX(PP_Grid[#Data],$DE1426,89),0)</f>
        <v/>
      </c>
      <c r="CO1426">
        <f>IFERROR(INDEX(PP_Grid[#Data],$DE1426,90),0)</f>
        <v/>
      </c>
      <c r="CP1426">
        <f>IFERROR(INDEX(PP_Grid[#Data],$DE1426,91),0)</f>
        <v/>
      </c>
      <c r="CQ1426">
        <f>IFERROR(INDEX(PP_Grid[#Data],$DE1426,92),0)</f>
        <v/>
      </c>
      <c r="CR1426">
        <f>IFERROR(INDEX(PP_Grid[#Data],$DE1426,93),0)</f>
        <v/>
      </c>
      <c r="CS1426">
        <f>IFERROR(INDEX(PP_Grid[#Data],$DE1426,94),0)</f>
        <v/>
      </c>
      <c r="CT1426">
        <f>IFERROR(INDEX(PP_Grid[#Data],$DE1426,95),0)</f>
        <v/>
      </c>
      <c r="CU1426">
        <f>IFERROR(INDEX(PP_Grid[#Data],$DE1426,96),0)</f>
        <v/>
      </c>
      <c r="CV1426">
        <f>IFERROR(INDEX(PP_Grid[#Data],$DE1426,97),0)</f>
        <v/>
      </c>
      <c r="CW1426">
        <f>IFERROR(INDEX(PP_Grid[#Data],$DE1426,98),0)</f>
        <v/>
      </c>
      <c r="CX1426">
        <f>IFERROR(INDEX(PP_Grid[#Data],$DE1426,99),0)</f>
        <v/>
      </c>
      <c r="CY1426">
        <f>IFERROR(INDEX(PP_Grid[#Data],$DE1426,100),0)</f>
        <v/>
      </c>
      <c r="CZ1426">
        <f>IFERROR(INDEX(PP_Grid[#Data],$DE1426,101),0)</f>
        <v/>
      </c>
      <c r="DA1426">
        <f>IFERROR(INDEX(PP_Grid[#Data],$DE1426,102),0)</f>
        <v/>
      </c>
      <c r="DB1426">
        <f>IFERROR(INDEX(PP_Grid[#Data],$DE1426,103),0)</f>
        <v/>
      </c>
      <c r="DC1426">
        <f>IFERROR(INDEX(PP_Grid[#Data],$DE1426,104),0)</f>
        <v/>
      </c>
      <c r="DD1426">
        <f>IFERROR(INDEX(PP_Grid[#Data],$DE1426,105),0)</f>
        <v/>
      </c>
      <c r="DE1426" s="7">
        <f>IFERROR(MATCH($B1426,PP_Grid[Intermediate],0),99999)</f>
        <v/>
      </c>
    </row>
    <row r="1427">
      <c r="B1427" t="inlineStr">
        <is>
          <t>使用量(kg)</t>
        </is>
      </c>
      <c r="C1427">
        <f>SUMIFS(M_BOM[RM_Qty_Per_Batch],M_BOM[Intermediate],$B1426,M_BOM[RM_Code],$A1425)</f>
        <v/>
      </c>
      <c r="D1427">
        <f>IFERROR(INDEX(E1427:DD1427,$F$1),"")</f>
        <v/>
      </c>
      <c r="E1427">
        <f>$C1427*E1426</f>
        <v/>
      </c>
      <c r="F1427">
        <f>$C1427*F1426</f>
        <v/>
      </c>
      <c r="G1427">
        <f>$C1427*G1426</f>
        <v/>
      </c>
      <c r="H1427">
        <f>$C1427*H1426</f>
        <v/>
      </c>
      <c r="I1427">
        <f>$C1427*I1426</f>
        <v/>
      </c>
      <c r="J1427">
        <f>$C1427*J1426</f>
        <v/>
      </c>
      <c r="K1427">
        <f>$C1427*K1426</f>
        <v/>
      </c>
      <c r="L1427">
        <f>$C1427*L1426</f>
        <v/>
      </c>
      <c r="M1427">
        <f>$C1427*M1426</f>
        <v/>
      </c>
      <c r="N1427">
        <f>$C1427*N1426</f>
        <v/>
      </c>
      <c r="O1427">
        <f>$C1427*O1426</f>
        <v/>
      </c>
      <c r="P1427">
        <f>$C1427*P1426</f>
        <v/>
      </c>
      <c r="Q1427">
        <f>$C1427*Q1426</f>
        <v/>
      </c>
      <c r="R1427">
        <f>$C1427*R1426</f>
        <v/>
      </c>
      <c r="S1427">
        <f>$C1427*S1426</f>
        <v/>
      </c>
      <c r="T1427">
        <f>$C1427*T1426</f>
        <v/>
      </c>
      <c r="U1427">
        <f>$C1427*U1426</f>
        <v/>
      </c>
      <c r="V1427">
        <f>$C1427*V1426</f>
        <v/>
      </c>
      <c r="W1427">
        <f>$C1427*W1426</f>
        <v/>
      </c>
      <c r="X1427">
        <f>$C1427*X1426</f>
        <v/>
      </c>
      <c r="Y1427">
        <f>$C1427*Y1426</f>
        <v/>
      </c>
      <c r="Z1427">
        <f>$C1427*Z1426</f>
        <v/>
      </c>
      <c r="AA1427">
        <f>$C1427*AA1426</f>
        <v/>
      </c>
      <c r="AB1427">
        <f>$C1427*AB1426</f>
        <v/>
      </c>
      <c r="AC1427">
        <f>$C1427*AC1426</f>
        <v/>
      </c>
      <c r="AD1427">
        <f>$C1427*AD1426</f>
        <v/>
      </c>
      <c r="AE1427">
        <f>$C1427*AE1426</f>
        <v/>
      </c>
      <c r="AF1427">
        <f>$C1427*AF1426</f>
        <v/>
      </c>
      <c r="AG1427">
        <f>$C1427*AG1426</f>
        <v/>
      </c>
      <c r="AH1427">
        <f>$C1427*AH1426</f>
        <v/>
      </c>
      <c r="AI1427">
        <f>$C1427*AI1426</f>
        <v/>
      </c>
      <c r="AJ1427">
        <f>$C1427*AJ1426</f>
        <v/>
      </c>
      <c r="AK1427">
        <f>$C1427*AK1426</f>
        <v/>
      </c>
      <c r="AL1427">
        <f>$C1427*AL1426</f>
        <v/>
      </c>
      <c r="AM1427">
        <f>$C1427*AM1426</f>
        <v/>
      </c>
      <c r="AN1427">
        <f>$C1427*AN1426</f>
        <v/>
      </c>
      <c r="AO1427">
        <f>$C1427*AO1426</f>
        <v/>
      </c>
      <c r="AP1427">
        <f>$C1427*AP1426</f>
        <v/>
      </c>
      <c r="AQ1427">
        <f>$C1427*AQ1426</f>
        <v/>
      </c>
      <c r="AR1427">
        <f>$C1427*AR1426</f>
        <v/>
      </c>
      <c r="AS1427">
        <f>$C1427*AS1426</f>
        <v/>
      </c>
      <c r="AT1427">
        <f>$C1427*AT1426</f>
        <v/>
      </c>
      <c r="AU1427">
        <f>$C1427*AU1426</f>
        <v/>
      </c>
      <c r="AV1427">
        <f>$C1427*AV1426</f>
        <v/>
      </c>
      <c r="AW1427">
        <f>$C1427*AW1426</f>
        <v/>
      </c>
      <c r="AX1427">
        <f>$C1427*AX1426</f>
        <v/>
      </c>
      <c r="AY1427">
        <f>$C1427*AY1426</f>
        <v/>
      </c>
      <c r="AZ1427">
        <f>$C1427*AZ1426</f>
        <v/>
      </c>
      <c r="BA1427">
        <f>$C1427*BA1426</f>
        <v/>
      </c>
      <c r="BB1427">
        <f>$C1427*BB1426</f>
        <v/>
      </c>
      <c r="BC1427">
        <f>$C1427*BC1426</f>
        <v/>
      </c>
      <c r="BD1427">
        <f>$C1427*BD1426</f>
        <v/>
      </c>
      <c r="BE1427">
        <f>$C1427*BE1426</f>
        <v/>
      </c>
      <c r="BF1427">
        <f>$C1427*BF1426</f>
        <v/>
      </c>
      <c r="BG1427">
        <f>$C1427*BG1426</f>
        <v/>
      </c>
      <c r="BH1427">
        <f>$C1427*BH1426</f>
        <v/>
      </c>
      <c r="BI1427">
        <f>$C1427*BI1426</f>
        <v/>
      </c>
      <c r="BJ1427">
        <f>$C1427*BJ1426</f>
        <v/>
      </c>
      <c r="BK1427">
        <f>$C1427*BK1426</f>
        <v/>
      </c>
      <c r="BL1427">
        <f>$C1427*BL1426</f>
        <v/>
      </c>
      <c r="BM1427">
        <f>$C1427*BM1426</f>
        <v/>
      </c>
      <c r="BN1427">
        <f>$C1427*BN1426</f>
        <v/>
      </c>
      <c r="BO1427">
        <f>$C1427*BO1426</f>
        <v/>
      </c>
      <c r="BP1427">
        <f>$C1427*BP1426</f>
        <v/>
      </c>
      <c r="BQ1427">
        <f>$C1427*BQ1426</f>
        <v/>
      </c>
      <c r="BR1427">
        <f>$C1427*BR1426</f>
        <v/>
      </c>
      <c r="BS1427">
        <f>$C1427*BS1426</f>
        <v/>
      </c>
      <c r="BT1427">
        <f>$C1427*BT1426</f>
        <v/>
      </c>
      <c r="BU1427">
        <f>$C1427*BU1426</f>
        <v/>
      </c>
      <c r="BV1427">
        <f>$C1427*BV1426</f>
        <v/>
      </c>
      <c r="BW1427">
        <f>$C1427*BW1426</f>
        <v/>
      </c>
      <c r="BX1427">
        <f>$C1427*BX1426</f>
        <v/>
      </c>
      <c r="BY1427">
        <f>$C1427*BY1426</f>
        <v/>
      </c>
      <c r="BZ1427">
        <f>$C1427*BZ1426</f>
        <v/>
      </c>
      <c r="CA1427">
        <f>$C1427*CA1426</f>
        <v/>
      </c>
      <c r="CB1427">
        <f>$C1427*CB1426</f>
        <v/>
      </c>
      <c r="CC1427">
        <f>$C1427*CC1426</f>
        <v/>
      </c>
      <c r="CD1427">
        <f>$C1427*CD1426</f>
        <v/>
      </c>
      <c r="CE1427">
        <f>$C1427*CE1426</f>
        <v/>
      </c>
      <c r="CF1427">
        <f>$C1427*CF1426</f>
        <v/>
      </c>
      <c r="CG1427">
        <f>$C1427*CG1426</f>
        <v/>
      </c>
      <c r="CH1427">
        <f>$C1427*CH1426</f>
        <v/>
      </c>
      <c r="CI1427">
        <f>$C1427*CI1426</f>
        <v/>
      </c>
      <c r="CJ1427">
        <f>$C1427*CJ1426</f>
        <v/>
      </c>
      <c r="CK1427">
        <f>$C1427*CK1426</f>
        <v/>
      </c>
      <c r="CL1427">
        <f>$C1427*CL1426</f>
        <v/>
      </c>
      <c r="CM1427">
        <f>$C1427*CM1426</f>
        <v/>
      </c>
      <c r="CN1427">
        <f>$C1427*CN1426</f>
        <v/>
      </c>
      <c r="CO1427">
        <f>$C1427*CO1426</f>
        <v/>
      </c>
      <c r="CP1427">
        <f>$C1427*CP1426</f>
        <v/>
      </c>
      <c r="CQ1427">
        <f>$C1427*CQ1426</f>
        <v/>
      </c>
      <c r="CR1427">
        <f>$C1427*CR1426</f>
        <v/>
      </c>
      <c r="CS1427">
        <f>$C1427*CS1426</f>
        <v/>
      </c>
      <c r="CT1427">
        <f>$C1427*CT1426</f>
        <v/>
      </c>
      <c r="CU1427">
        <f>$C1427*CU1426</f>
        <v/>
      </c>
      <c r="CV1427">
        <f>$C1427*CV1426</f>
        <v/>
      </c>
      <c r="CW1427">
        <f>$C1427*CW1426</f>
        <v/>
      </c>
      <c r="CX1427">
        <f>$C1427*CX1426</f>
        <v/>
      </c>
      <c r="CY1427">
        <f>$C1427*CY1426</f>
        <v/>
      </c>
      <c r="CZ1427">
        <f>$C1427*CZ1426</f>
        <v/>
      </c>
      <c r="DA1427">
        <f>$C1427*DA1426</f>
        <v/>
      </c>
      <c r="DB1427">
        <f>$C1427*DB1426</f>
        <v/>
      </c>
      <c r="DC1427">
        <f>$C1427*DC1426</f>
        <v/>
      </c>
      <c r="DD1427">
        <f>$C1427*DD1426</f>
        <v/>
      </c>
    </row>
    <row r="1428">
      <c r="B1428" t="inlineStr">
        <is>
          <t>TSP-935</t>
        </is>
      </c>
      <c r="C1428" t="inlineStr">
        <is>
          <t>No. of batches</t>
        </is>
      </c>
      <c r="D1428">
        <f>IFERROR(INDEX(E1428:DD1428,$F$1),"")</f>
        <v/>
      </c>
      <c r="E1428">
        <f>IFERROR(INDEX(PP_Grid[#Data],$DE1428,2),0)</f>
        <v/>
      </c>
      <c r="F1428">
        <f>IFERROR(INDEX(PP_Grid[#Data],$DE1428,3),0)</f>
        <v/>
      </c>
      <c r="G1428">
        <f>IFERROR(INDEX(PP_Grid[#Data],$DE1428,4),0)</f>
        <v/>
      </c>
      <c r="H1428">
        <f>IFERROR(INDEX(PP_Grid[#Data],$DE1428,5),0)</f>
        <v/>
      </c>
      <c r="I1428">
        <f>IFERROR(INDEX(PP_Grid[#Data],$DE1428,6),0)</f>
        <v/>
      </c>
      <c r="J1428">
        <f>IFERROR(INDEX(PP_Grid[#Data],$DE1428,7),0)</f>
        <v/>
      </c>
      <c r="K1428">
        <f>IFERROR(INDEX(PP_Grid[#Data],$DE1428,8),0)</f>
        <v/>
      </c>
      <c r="L1428">
        <f>IFERROR(INDEX(PP_Grid[#Data],$DE1428,9),0)</f>
        <v/>
      </c>
      <c r="M1428">
        <f>IFERROR(INDEX(PP_Grid[#Data],$DE1428,10),0)</f>
        <v/>
      </c>
      <c r="N1428">
        <f>IFERROR(INDEX(PP_Grid[#Data],$DE1428,11),0)</f>
        <v/>
      </c>
      <c r="O1428">
        <f>IFERROR(INDEX(PP_Grid[#Data],$DE1428,12),0)</f>
        <v/>
      </c>
      <c r="P1428">
        <f>IFERROR(INDEX(PP_Grid[#Data],$DE1428,13),0)</f>
        <v/>
      </c>
      <c r="Q1428">
        <f>IFERROR(INDEX(PP_Grid[#Data],$DE1428,14),0)</f>
        <v/>
      </c>
      <c r="R1428">
        <f>IFERROR(INDEX(PP_Grid[#Data],$DE1428,15),0)</f>
        <v/>
      </c>
      <c r="S1428">
        <f>IFERROR(INDEX(PP_Grid[#Data],$DE1428,16),0)</f>
        <v/>
      </c>
      <c r="T1428">
        <f>IFERROR(INDEX(PP_Grid[#Data],$DE1428,17),0)</f>
        <v/>
      </c>
      <c r="U1428">
        <f>IFERROR(INDEX(PP_Grid[#Data],$DE1428,18),0)</f>
        <v/>
      </c>
      <c r="V1428">
        <f>IFERROR(INDEX(PP_Grid[#Data],$DE1428,19),0)</f>
        <v/>
      </c>
      <c r="W1428">
        <f>IFERROR(INDEX(PP_Grid[#Data],$DE1428,20),0)</f>
        <v/>
      </c>
      <c r="X1428">
        <f>IFERROR(INDEX(PP_Grid[#Data],$DE1428,21),0)</f>
        <v/>
      </c>
      <c r="Y1428">
        <f>IFERROR(INDEX(PP_Grid[#Data],$DE1428,22),0)</f>
        <v/>
      </c>
      <c r="Z1428">
        <f>IFERROR(INDEX(PP_Grid[#Data],$DE1428,23),0)</f>
        <v/>
      </c>
      <c r="AA1428">
        <f>IFERROR(INDEX(PP_Grid[#Data],$DE1428,24),0)</f>
        <v/>
      </c>
      <c r="AB1428">
        <f>IFERROR(INDEX(PP_Grid[#Data],$DE1428,25),0)</f>
        <v/>
      </c>
      <c r="AC1428">
        <f>IFERROR(INDEX(PP_Grid[#Data],$DE1428,26),0)</f>
        <v/>
      </c>
      <c r="AD1428">
        <f>IFERROR(INDEX(PP_Grid[#Data],$DE1428,27),0)</f>
        <v/>
      </c>
      <c r="AE1428">
        <f>IFERROR(INDEX(PP_Grid[#Data],$DE1428,28),0)</f>
        <v/>
      </c>
      <c r="AF1428">
        <f>IFERROR(INDEX(PP_Grid[#Data],$DE1428,29),0)</f>
        <v/>
      </c>
      <c r="AG1428">
        <f>IFERROR(INDEX(PP_Grid[#Data],$DE1428,30),0)</f>
        <v/>
      </c>
      <c r="AH1428">
        <f>IFERROR(INDEX(PP_Grid[#Data],$DE1428,31),0)</f>
        <v/>
      </c>
      <c r="AI1428">
        <f>IFERROR(INDEX(PP_Grid[#Data],$DE1428,32),0)</f>
        <v/>
      </c>
      <c r="AJ1428">
        <f>IFERROR(INDEX(PP_Grid[#Data],$DE1428,33),0)</f>
        <v/>
      </c>
      <c r="AK1428">
        <f>IFERROR(INDEX(PP_Grid[#Data],$DE1428,34),0)</f>
        <v/>
      </c>
      <c r="AL1428">
        <f>IFERROR(INDEX(PP_Grid[#Data],$DE1428,35),0)</f>
        <v/>
      </c>
      <c r="AM1428">
        <f>IFERROR(INDEX(PP_Grid[#Data],$DE1428,36),0)</f>
        <v/>
      </c>
      <c r="AN1428">
        <f>IFERROR(INDEX(PP_Grid[#Data],$DE1428,37),0)</f>
        <v/>
      </c>
      <c r="AO1428">
        <f>IFERROR(INDEX(PP_Grid[#Data],$DE1428,38),0)</f>
        <v/>
      </c>
      <c r="AP1428">
        <f>IFERROR(INDEX(PP_Grid[#Data],$DE1428,39),0)</f>
        <v/>
      </c>
      <c r="AQ1428">
        <f>IFERROR(INDEX(PP_Grid[#Data],$DE1428,40),0)</f>
        <v/>
      </c>
      <c r="AR1428">
        <f>IFERROR(INDEX(PP_Grid[#Data],$DE1428,41),0)</f>
        <v/>
      </c>
      <c r="AS1428">
        <f>IFERROR(INDEX(PP_Grid[#Data],$DE1428,42),0)</f>
        <v/>
      </c>
      <c r="AT1428">
        <f>IFERROR(INDEX(PP_Grid[#Data],$DE1428,43),0)</f>
        <v/>
      </c>
      <c r="AU1428">
        <f>IFERROR(INDEX(PP_Grid[#Data],$DE1428,44),0)</f>
        <v/>
      </c>
      <c r="AV1428">
        <f>IFERROR(INDEX(PP_Grid[#Data],$DE1428,45),0)</f>
        <v/>
      </c>
      <c r="AW1428">
        <f>IFERROR(INDEX(PP_Grid[#Data],$DE1428,46),0)</f>
        <v/>
      </c>
      <c r="AX1428">
        <f>IFERROR(INDEX(PP_Grid[#Data],$DE1428,47),0)</f>
        <v/>
      </c>
      <c r="AY1428">
        <f>IFERROR(INDEX(PP_Grid[#Data],$DE1428,48),0)</f>
        <v/>
      </c>
      <c r="AZ1428">
        <f>IFERROR(INDEX(PP_Grid[#Data],$DE1428,49),0)</f>
        <v/>
      </c>
      <c r="BA1428">
        <f>IFERROR(INDEX(PP_Grid[#Data],$DE1428,50),0)</f>
        <v/>
      </c>
      <c r="BB1428">
        <f>IFERROR(INDEX(PP_Grid[#Data],$DE1428,51),0)</f>
        <v/>
      </c>
      <c r="BC1428">
        <f>IFERROR(INDEX(PP_Grid[#Data],$DE1428,52),0)</f>
        <v/>
      </c>
      <c r="BD1428">
        <f>IFERROR(INDEX(PP_Grid[#Data],$DE1428,53),0)</f>
        <v/>
      </c>
      <c r="BE1428">
        <f>IFERROR(INDEX(PP_Grid[#Data],$DE1428,54),0)</f>
        <v/>
      </c>
      <c r="BF1428">
        <f>IFERROR(INDEX(PP_Grid[#Data],$DE1428,55),0)</f>
        <v/>
      </c>
      <c r="BG1428">
        <f>IFERROR(INDEX(PP_Grid[#Data],$DE1428,56),0)</f>
        <v/>
      </c>
      <c r="BH1428">
        <f>IFERROR(INDEX(PP_Grid[#Data],$DE1428,57),0)</f>
        <v/>
      </c>
      <c r="BI1428">
        <f>IFERROR(INDEX(PP_Grid[#Data],$DE1428,58),0)</f>
        <v/>
      </c>
      <c r="BJ1428">
        <f>IFERROR(INDEX(PP_Grid[#Data],$DE1428,59),0)</f>
        <v/>
      </c>
      <c r="BK1428">
        <f>IFERROR(INDEX(PP_Grid[#Data],$DE1428,60),0)</f>
        <v/>
      </c>
      <c r="BL1428">
        <f>IFERROR(INDEX(PP_Grid[#Data],$DE1428,61),0)</f>
        <v/>
      </c>
      <c r="BM1428">
        <f>IFERROR(INDEX(PP_Grid[#Data],$DE1428,62),0)</f>
        <v/>
      </c>
      <c r="BN1428">
        <f>IFERROR(INDEX(PP_Grid[#Data],$DE1428,63),0)</f>
        <v/>
      </c>
      <c r="BO1428">
        <f>IFERROR(INDEX(PP_Grid[#Data],$DE1428,64),0)</f>
        <v/>
      </c>
      <c r="BP1428">
        <f>IFERROR(INDEX(PP_Grid[#Data],$DE1428,65),0)</f>
        <v/>
      </c>
      <c r="BQ1428">
        <f>IFERROR(INDEX(PP_Grid[#Data],$DE1428,66),0)</f>
        <v/>
      </c>
      <c r="BR1428">
        <f>IFERROR(INDEX(PP_Grid[#Data],$DE1428,67),0)</f>
        <v/>
      </c>
      <c r="BS1428">
        <f>IFERROR(INDEX(PP_Grid[#Data],$DE1428,68),0)</f>
        <v/>
      </c>
      <c r="BT1428">
        <f>IFERROR(INDEX(PP_Grid[#Data],$DE1428,69),0)</f>
        <v/>
      </c>
      <c r="BU1428">
        <f>IFERROR(INDEX(PP_Grid[#Data],$DE1428,70),0)</f>
        <v/>
      </c>
      <c r="BV1428">
        <f>IFERROR(INDEX(PP_Grid[#Data],$DE1428,71),0)</f>
        <v/>
      </c>
      <c r="BW1428">
        <f>IFERROR(INDEX(PP_Grid[#Data],$DE1428,72),0)</f>
        <v/>
      </c>
      <c r="BX1428">
        <f>IFERROR(INDEX(PP_Grid[#Data],$DE1428,73),0)</f>
        <v/>
      </c>
      <c r="BY1428">
        <f>IFERROR(INDEX(PP_Grid[#Data],$DE1428,74),0)</f>
        <v/>
      </c>
      <c r="BZ1428">
        <f>IFERROR(INDEX(PP_Grid[#Data],$DE1428,75),0)</f>
        <v/>
      </c>
      <c r="CA1428">
        <f>IFERROR(INDEX(PP_Grid[#Data],$DE1428,76),0)</f>
        <v/>
      </c>
      <c r="CB1428">
        <f>IFERROR(INDEX(PP_Grid[#Data],$DE1428,77),0)</f>
        <v/>
      </c>
      <c r="CC1428">
        <f>IFERROR(INDEX(PP_Grid[#Data],$DE1428,78),0)</f>
        <v/>
      </c>
      <c r="CD1428">
        <f>IFERROR(INDEX(PP_Grid[#Data],$DE1428,79),0)</f>
        <v/>
      </c>
      <c r="CE1428">
        <f>IFERROR(INDEX(PP_Grid[#Data],$DE1428,80),0)</f>
        <v/>
      </c>
      <c r="CF1428">
        <f>IFERROR(INDEX(PP_Grid[#Data],$DE1428,81),0)</f>
        <v/>
      </c>
      <c r="CG1428">
        <f>IFERROR(INDEX(PP_Grid[#Data],$DE1428,82),0)</f>
        <v/>
      </c>
      <c r="CH1428">
        <f>IFERROR(INDEX(PP_Grid[#Data],$DE1428,83),0)</f>
        <v/>
      </c>
      <c r="CI1428">
        <f>IFERROR(INDEX(PP_Grid[#Data],$DE1428,84),0)</f>
        <v/>
      </c>
      <c r="CJ1428">
        <f>IFERROR(INDEX(PP_Grid[#Data],$DE1428,85),0)</f>
        <v/>
      </c>
      <c r="CK1428">
        <f>IFERROR(INDEX(PP_Grid[#Data],$DE1428,86),0)</f>
        <v/>
      </c>
      <c r="CL1428">
        <f>IFERROR(INDEX(PP_Grid[#Data],$DE1428,87),0)</f>
        <v/>
      </c>
      <c r="CM1428">
        <f>IFERROR(INDEX(PP_Grid[#Data],$DE1428,88),0)</f>
        <v/>
      </c>
      <c r="CN1428">
        <f>IFERROR(INDEX(PP_Grid[#Data],$DE1428,89),0)</f>
        <v/>
      </c>
      <c r="CO1428">
        <f>IFERROR(INDEX(PP_Grid[#Data],$DE1428,90),0)</f>
        <v/>
      </c>
      <c r="CP1428">
        <f>IFERROR(INDEX(PP_Grid[#Data],$DE1428,91),0)</f>
        <v/>
      </c>
      <c r="CQ1428">
        <f>IFERROR(INDEX(PP_Grid[#Data],$DE1428,92),0)</f>
        <v/>
      </c>
      <c r="CR1428">
        <f>IFERROR(INDEX(PP_Grid[#Data],$DE1428,93),0)</f>
        <v/>
      </c>
      <c r="CS1428">
        <f>IFERROR(INDEX(PP_Grid[#Data],$DE1428,94),0)</f>
        <v/>
      </c>
      <c r="CT1428">
        <f>IFERROR(INDEX(PP_Grid[#Data],$DE1428,95),0)</f>
        <v/>
      </c>
      <c r="CU1428">
        <f>IFERROR(INDEX(PP_Grid[#Data],$DE1428,96),0)</f>
        <v/>
      </c>
      <c r="CV1428">
        <f>IFERROR(INDEX(PP_Grid[#Data],$DE1428,97),0)</f>
        <v/>
      </c>
      <c r="CW1428">
        <f>IFERROR(INDEX(PP_Grid[#Data],$DE1428,98),0)</f>
        <v/>
      </c>
      <c r="CX1428">
        <f>IFERROR(INDEX(PP_Grid[#Data],$DE1428,99),0)</f>
        <v/>
      </c>
      <c r="CY1428">
        <f>IFERROR(INDEX(PP_Grid[#Data],$DE1428,100),0)</f>
        <v/>
      </c>
      <c r="CZ1428">
        <f>IFERROR(INDEX(PP_Grid[#Data],$DE1428,101),0)</f>
        <v/>
      </c>
      <c r="DA1428">
        <f>IFERROR(INDEX(PP_Grid[#Data],$DE1428,102),0)</f>
        <v/>
      </c>
      <c r="DB1428">
        <f>IFERROR(INDEX(PP_Grid[#Data],$DE1428,103),0)</f>
        <v/>
      </c>
      <c r="DC1428">
        <f>IFERROR(INDEX(PP_Grid[#Data],$DE1428,104),0)</f>
        <v/>
      </c>
      <c r="DD1428">
        <f>IFERROR(INDEX(PP_Grid[#Data],$DE1428,105),0)</f>
        <v/>
      </c>
      <c r="DE1428" s="7">
        <f>IFERROR(MATCH($B1428,PP_Grid[Intermediate],0),99999)</f>
        <v/>
      </c>
    </row>
    <row r="1429">
      <c r="B1429" t="inlineStr">
        <is>
          <t>使用量(kg)</t>
        </is>
      </c>
      <c r="C1429">
        <f>SUMIFS(M_BOM[RM_Qty_Per_Batch],M_BOM[Intermediate],$B1428,M_BOM[RM_Code],$A1425)</f>
        <v/>
      </c>
      <c r="D1429">
        <f>IFERROR(INDEX(E1429:DD1429,$F$1),"")</f>
        <v/>
      </c>
      <c r="E1429">
        <f>$C1429*E1428</f>
        <v/>
      </c>
      <c r="F1429">
        <f>$C1429*F1428</f>
        <v/>
      </c>
      <c r="G1429">
        <f>$C1429*G1428</f>
        <v/>
      </c>
      <c r="H1429">
        <f>$C1429*H1428</f>
        <v/>
      </c>
      <c r="I1429">
        <f>$C1429*I1428</f>
        <v/>
      </c>
      <c r="J1429">
        <f>$C1429*J1428</f>
        <v/>
      </c>
      <c r="K1429">
        <f>$C1429*K1428</f>
        <v/>
      </c>
      <c r="L1429">
        <f>$C1429*L1428</f>
        <v/>
      </c>
      <c r="M1429">
        <f>$C1429*M1428</f>
        <v/>
      </c>
      <c r="N1429">
        <f>$C1429*N1428</f>
        <v/>
      </c>
      <c r="O1429">
        <f>$C1429*O1428</f>
        <v/>
      </c>
      <c r="P1429">
        <f>$C1429*P1428</f>
        <v/>
      </c>
      <c r="Q1429">
        <f>$C1429*Q1428</f>
        <v/>
      </c>
      <c r="R1429">
        <f>$C1429*R1428</f>
        <v/>
      </c>
      <c r="S1429">
        <f>$C1429*S1428</f>
        <v/>
      </c>
      <c r="T1429">
        <f>$C1429*T1428</f>
        <v/>
      </c>
      <c r="U1429">
        <f>$C1429*U1428</f>
        <v/>
      </c>
      <c r="V1429">
        <f>$C1429*V1428</f>
        <v/>
      </c>
      <c r="W1429">
        <f>$C1429*W1428</f>
        <v/>
      </c>
      <c r="X1429">
        <f>$C1429*X1428</f>
        <v/>
      </c>
      <c r="Y1429">
        <f>$C1429*Y1428</f>
        <v/>
      </c>
      <c r="Z1429">
        <f>$C1429*Z1428</f>
        <v/>
      </c>
      <c r="AA1429">
        <f>$C1429*AA1428</f>
        <v/>
      </c>
      <c r="AB1429">
        <f>$C1429*AB1428</f>
        <v/>
      </c>
      <c r="AC1429">
        <f>$C1429*AC1428</f>
        <v/>
      </c>
      <c r="AD1429">
        <f>$C1429*AD1428</f>
        <v/>
      </c>
      <c r="AE1429">
        <f>$C1429*AE1428</f>
        <v/>
      </c>
      <c r="AF1429">
        <f>$C1429*AF1428</f>
        <v/>
      </c>
      <c r="AG1429">
        <f>$C1429*AG1428</f>
        <v/>
      </c>
      <c r="AH1429">
        <f>$C1429*AH1428</f>
        <v/>
      </c>
      <c r="AI1429">
        <f>$C1429*AI1428</f>
        <v/>
      </c>
      <c r="AJ1429">
        <f>$C1429*AJ1428</f>
        <v/>
      </c>
      <c r="AK1429">
        <f>$C1429*AK1428</f>
        <v/>
      </c>
      <c r="AL1429">
        <f>$C1429*AL1428</f>
        <v/>
      </c>
      <c r="AM1429">
        <f>$C1429*AM1428</f>
        <v/>
      </c>
      <c r="AN1429">
        <f>$C1429*AN1428</f>
        <v/>
      </c>
      <c r="AO1429">
        <f>$C1429*AO1428</f>
        <v/>
      </c>
      <c r="AP1429">
        <f>$C1429*AP1428</f>
        <v/>
      </c>
      <c r="AQ1429">
        <f>$C1429*AQ1428</f>
        <v/>
      </c>
      <c r="AR1429">
        <f>$C1429*AR1428</f>
        <v/>
      </c>
      <c r="AS1429">
        <f>$C1429*AS1428</f>
        <v/>
      </c>
      <c r="AT1429">
        <f>$C1429*AT1428</f>
        <v/>
      </c>
      <c r="AU1429">
        <f>$C1429*AU1428</f>
        <v/>
      </c>
      <c r="AV1429">
        <f>$C1429*AV1428</f>
        <v/>
      </c>
      <c r="AW1429">
        <f>$C1429*AW1428</f>
        <v/>
      </c>
      <c r="AX1429">
        <f>$C1429*AX1428</f>
        <v/>
      </c>
      <c r="AY1429">
        <f>$C1429*AY1428</f>
        <v/>
      </c>
      <c r="AZ1429">
        <f>$C1429*AZ1428</f>
        <v/>
      </c>
      <c r="BA1429">
        <f>$C1429*BA1428</f>
        <v/>
      </c>
      <c r="BB1429">
        <f>$C1429*BB1428</f>
        <v/>
      </c>
      <c r="BC1429">
        <f>$C1429*BC1428</f>
        <v/>
      </c>
      <c r="BD1429">
        <f>$C1429*BD1428</f>
        <v/>
      </c>
      <c r="BE1429">
        <f>$C1429*BE1428</f>
        <v/>
      </c>
      <c r="BF1429">
        <f>$C1429*BF1428</f>
        <v/>
      </c>
      <c r="BG1429">
        <f>$C1429*BG1428</f>
        <v/>
      </c>
      <c r="BH1429">
        <f>$C1429*BH1428</f>
        <v/>
      </c>
      <c r="BI1429">
        <f>$C1429*BI1428</f>
        <v/>
      </c>
      <c r="BJ1429">
        <f>$C1429*BJ1428</f>
        <v/>
      </c>
      <c r="BK1429">
        <f>$C1429*BK1428</f>
        <v/>
      </c>
      <c r="BL1429">
        <f>$C1429*BL1428</f>
        <v/>
      </c>
      <c r="BM1429">
        <f>$C1429*BM1428</f>
        <v/>
      </c>
      <c r="BN1429">
        <f>$C1429*BN1428</f>
        <v/>
      </c>
      <c r="BO1429">
        <f>$C1429*BO1428</f>
        <v/>
      </c>
      <c r="BP1429">
        <f>$C1429*BP1428</f>
        <v/>
      </c>
      <c r="BQ1429">
        <f>$C1429*BQ1428</f>
        <v/>
      </c>
      <c r="BR1429">
        <f>$C1429*BR1428</f>
        <v/>
      </c>
      <c r="BS1429">
        <f>$C1429*BS1428</f>
        <v/>
      </c>
      <c r="BT1429">
        <f>$C1429*BT1428</f>
        <v/>
      </c>
      <c r="BU1429">
        <f>$C1429*BU1428</f>
        <v/>
      </c>
      <c r="BV1429">
        <f>$C1429*BV1428</f>
        <v/>
      </c>
      <c r="BW1429">
        <f>$C1429*BW1428</f>
        <v/>
      </c>
      <c r="BX1429">
        <f>$C1429*BX1428</f>
        <v/>
      </c>
      <c r="BY1429">
        <f>$C1429*BY1428</f>
        <v/>
      </c>
      <c r="BZ1429">
        <f>$C1429*BZ1428</f>
        <v/>
      </c>
      <c r="CA1429">
        <f>$C1429*CA1428</f>
        <v/>
      </c>
      <c r="CB1429">
        <f>$C1429*CB1428</f>
        <v/>
      </c>
      <c r="CC1429">
        <f>$C1429*CC1428</f>
        <v/>
      </c>
      <c r="CD1429">
        <f>$C1429*CD1428</f>
        <v/>
      </c>
      <c r="CE1429">
        <f>$C1429*CE1428</f>
        <v/>
      </c>
      <c r="CF1429">
        <f>$C1429*CF1428</f>
        <v/>
      </c>
      <c r="CG1429">
        <f>$C1429*CG1428</f>
        <v/>
      </c>
      <c r="CH1429">
        <f>$C1429*CH1428</f>
        <v/>
      </c>
      <c r="CI1429">
        <f>$C1429*CI1428</f>
        <v/>
      </c>
      <c r="CJ1429">
        <f>$C1429*CJ1428</f>
        <v/>
      </c>
      <c r="CK1429">
        <f>$C1429*CK1428</f>
        <v/>
      </c>
      <c r="CL1429">
        <f>$C1429*CL1428</f>
        <v/>
      </c>
      <c r="CM1429">
        <f>$C1429*CM1428</f>
        <v/>
      </c>
      <c r="CN1429">
        <f>$C1429*CN1428</f>
        <v/>
      </c>
      <c r="CO1429">
        <f>$C1429*CO1428</f>
        <v/>
      </c>
      <c r="CP1429">
        <f>$C1429*CP1428</f>
        <v/>
      </c>
      <c r="CQ1429">
        <f>$C1429*CQ1428</f>
        <v/>
      </c>
      <c r="CR1429">
        <f>$C1429*CR1428</f>
        <v/>
      </c>
      <c r="CS1429">
        <f>$C1429*CS1428</f>
        <v/>
      </c>
      <c r="CT1429">
        <f>$C1429*CT1428</f>
        <v/>
      </c>
      <c r="CU1429">
        <f>$C1429*CU1428</f>
        <v/>
      </c>
      <c r="CV1429">
        <f>$C1429*CV1428</f>
        <v/>
      </c>
      <c r="CW1429">
        <f>$C1429*CW1428</f>
        <v/>
      </c>
      <c r="CX1429">
        <f>$C1429*CX1428</f>
        <v/>
      </c>
      <c r="CY1429">
        <f>$C1429*CY1428</f>
        <v/>
      </c>
      <c r="CZ1429">
        <f>$C1429*CZ1428</f>
        <v/>
      </c>
      <c r="DA1429">
        <f>$C1429*DA1428</f>
        <v/>
      </c>
      <c r="DB1429">
        <f>$C1429*DB1428</f>
        <v/>
      </c>
      <c r="DC1429">
        <f>$C1429*DC1428</f>
        <v/>
      </c>
      <c r="DD1429">
        <f>$C1429*DD1428</f>
        <v/>
      </c>
    </row>
    <row r="1430">
      <c r="B1430" t="inlineStr">
        <is>
          <t>TSP-936</t>
        </is>
      </c>
      <c r="C1430" t="inlineStr">
        <is>
          <t>No. of batches</t>
        </is>
      </c>
      <c r="D1430">
        <f>IFERROR(INDEX(E1430:DD1430,$F$1),"")</f>
        <v/>
      </c>
      <c r="E1430">
        <f>IFERROR(INDEX(PP_Grid[#Data],$DE1430,2),0)</f>
        <v/>
      </c>
      <c r="F1430">
        <f>IFERROR(INDEX(PP_Grid[#Data],$DE1430,3),0)</f>
        <v/>
      </c>
      <c r="G1430">
        <f>IFERROR(INDEX(PP_Grid[#Data],$DE1430,4),0)</f>
        <v/>
      </c>
      <c r="H1430">
        <f>IFERROR(INDEX(PP_Grid[#Data],$DE1430,5),0)</f>
        <v/>
      </c>
      <c r="I1430">
        <f>IFERROR(INDEX(PP_Grid[#Data],$DE1430,6),0)</f>
        <v/>
      </c>
      <c r="J1430">
        <f>IFERROR(INDEX(PP_Grid[#Data],$DE1430,7),0)</f>
        <v/>
      </c>
      <c r="K1430">
        <f>IFERROR(INDEX(PP_Grid[#Data],$DE1430,8),0)</f>
        <v/>
      </c>
      <c r="L1430">
        <f>IFERROR(INDEX(PP_Grid[#Data],$DE1430,9),0)</f>
        <v/>
      </c>
      <c r="M1430">
        <f>IFERROR(INDEX(PP_Grid[#Data],$DE1430,10),0)</f>
        <v/>
      </c>
      <c r="N1430">
        <f>IFERROR(INDEX(PP_Grid[#Data],$DE1430,11),0)</f>
        <v/>
      </c>
      <c r="O1430">
        <f>IFERROR(INDEX(PP_Grid[#Data],$DE1430,12),0)</f>
        <v/>
      </c>
      <c r="P1430">
        <f>IFERROR(INDEX(PP_Grid[#Data],$DE1430,13),0)</f>
        <v/>
      </c>
      <c r="Q1430">
        <f>IFERROR(INDEX(PP_Grid[#Data],$DE1430,14),0)</f>
        <v/>
      </c>
      <c r="R1430">
        <f>IFERROR(INDEX(PP_Grid[#Data],$DE1430,15),0)</f>
        <v/>
      </c>
      <c r="S1430">
        <f>IFERROR(INDEX(PP_Grid[#Data],$DE1430,16),0)</f>
        <v/>
      </c>
      <c r="T1430">
        <f>IFERROR(INDEX(PP_Grid[#Data],$DE1430,17),0)</f>
        <v/>
      </c>
      <c r="U1430">
        <f>IFERROR(INDEX(PP_Grid[#Data],$DE1430,18),0)</f>
        <v/>
      </c>
      <c r="V1430">
        <f>IFERROR(INDEX(PP_Grid[#Data],$DE1430,19),0)</f>
        <v/>
      </c>
      <c r="W1430">
        <f>IFERROR(INDEX(PP_Grid[#Data],$DE1430,20),0)</f>
        <v/>
      </c>
      <c r="X1430">
        <f>IFERROR(INDEX(PP_Grid[#Data],$DE1430,21),0)</f>
        <v/>
      </c>
      <c r="Y1430">
        <f>IFERROR(INDEX(PP_Grid[#Data],$DE1430,22),0)</f>
        <v/>
      </c>
      <c r="Z1430">
        <f>IFERROR(INDEX(PP_Grid[#Data],$DE1430,23),0)</f>
        <v/>
      </c>
      <c r="AA1430">
        <f>IFERROR(INDEX(PP_Grid[#Data],$DE1430,24),0)</f>
        <v/>
      </c>
      <c r="AB1430">
        <f>IFERROR(INDEX(PP_Grid[#Data],$DE1430,25),0)</f>
        <v/>
      </c>
      <c r="AC1430">
        <f>IFERROR(INDEX(PP_Grid[#Data],$DE1430,26),0)</f>
        <v/>
      </c>
      <c r="AD1430">
        <f>IFERROR(INDEX(PP_Grid[#Data],$DE1430,27),0)</f>
        <v/>
      </c>
      <c r="AE1430">
        <f>IFERROR(INDEX(PP_Grid[#Data],$DE1430,28),0)</f>
        <v/>
      </c>
      <c r="AF1430">
        <f>IFERROR(INDEX(PP_Grid[#Data],$DE1430,29),0)</f>
        <v/>
      </c>
      <c r="AG1430">
        <f>IFERROR(INDEX(PP_Grid[#Data],$DE1430,30),0)</f>
        <v/>
      </c>
      <c r="AH1430">
        <f>IFERROR(INDEX(PP_Grid[#Data],$DE1430,31),0)</f>
        <v/>
      </c>
      <c r="AI1430">
        <f>IFERROR(INDEX(PP_Grid[#Data],$DE1430,32),0)</f>
        <v/>
      </c>
      <c r="AJ1430">
        <f>IFERROR(INDEX(PP_Grid[#Data],$DE1430,33),0)</f>
        <v/>
      </c>
      <c r="AK1430">
        <f>IFERROR(INDEX(PP_Grid[#Data],$DE1430,34),0)</f>
        <v/>
      </c>
      <c r="AL1430">
        <f>IFERROR(INDEX(PP_Grid[#Data],$DE1430,35),0)</f>
        <v/>
      </c>
      <c r="AM1430">
        <f>IFERROR(INDEX(PP_Grid[#Data],$DE1430,36),0)</f>
        <v/>
      </c>
      <c r="AN1430">
        <f>IFERROR(INDEX(PP_Grid[#Data],$DE1430,37),0)</f>
        <v/>
      </c>
      <c r="AO1430">
        <f>IFERROR(INDEX(PP_Grid[#Data],$DE1430,38),0)</f>
        <v/>
      </c>
      <c r="AP1430">
        <f>IFERROR(INDEX(PP_Grid[#Data],$DE1430,39),0)</f>
        <v/>
      </c>
      <c r="AQ1430">
        <f>IFERROR(INDEX(PP_Grid[#Data],$DE1430,40),0)</f>
        <v/>
      </c>
      <c r="AR1430">
        <f>IFERROR(INDEX(PP_Grid[#Data],$DE1430,41),0)</f>
        <v/>
      </c>
      <c r="AS1430">
        <f>IFERROR(INDEX(PP_Grid[#Data],$DE1430,42),0)</f>
        <v/>
      </c>
      <c r="AT1430">
        <f>IFERROR(INDEX(PP_Grid[#Data],$DE1430,43),0)</f>
        <v/>
      </c>
      <c r="AU1430">
        <f>IFERROR(INDEX(PP_Grid[#Data],$DE1430,44),0)</f>
        <v/>
      </c>
      <c r="AV1430">
        <f>IFERROR(INDEX(PP_Grid[#Data],$DE1430,45),0)</f>
        <v/>
      </c>
      <c r="AW1430">
        <f>IFERROR(INDEX(PP_Grid[#Data],$DE1430,46),0)</f>
        <v/>
      </c>
      <c r="AX1430">
        <f>IFERROR(INDEX(PP_Grid[#Data],$DE1430,47),0)</f>
        <v/>
      </c>
      <c r="AY1430">
        <f>IFERROR(INDEX(PP_Grid[#Data],$DE1430,48),0)</f>
        <v/>
      </c>
      <c r="AZ1430">
        <f>IFERROR(INDEX(PP_Grid[#Data],$DE1430,49),0)</f>
        <v/>
      </c>
      <c r="BA1430">
        <f>IFERROR(INDEX(PP_Grid[#Data],$DE1430,50),0)</f>
        <v/>
      </c>
      <c r="BB1430">
        <f>IFERROR(INDEX(PP_Grid[#Data],$DE1430,51),0)</f>
        <v/>
      </c>
      <c r="BC1430">
        <f>IFERROR(INDEX(PP_Grid[#Data],$DE1430,52),0)</f>
        <v/>
      </c>
      <c r="BD1430">
        <f>IFERROR(INDEX(PP_Grid[#Data],$DE1430,53),0)</f>
        <v/>
      </c>
      <c r="BE1430">
        <f>IFERROR(INDEX(PP_Grid[#Data],$DE1430,54),0)</f>
        <v/>
      </c>
      <c r="BF1430">
        <f>IFERROR(INDEX(PP_Grid[#Data],$DE1430,55),0)</f>
        <v/>
      </c>
      <c r="BG1430">
        <f>IFERROR(INDEX(PP_Grid[#Data],$DE1430,56),0)</f>
        <v/>
      </c>
      <c r="BH1430">
        <f>IFERROR(INDEX(PP_Grid[#Data],$DE1430,57),0)</f>
        <v/>
      </c>
      <c r="BI1430">
        <f>IFERROR(INDEX(PP_Grid[#Data],$DE1430,58),0)</f>
        <v/>
      </c>
      <c r="BJ1430">
        <f>IFERROR(INDEX(PP_Grid[#Data],$DE1430,59),0)</f>
        <v/>
      </c>
      <c r="BK1430">
        <f>IFERROR(INDEX(PP_Grid[#Data],$DE1430,60),0)</f>
        <v/>
      </c>
      <c r="BL1430">
        <f>IFERROR(INDEX(PP_Grid[#Data],$DE1430,61),0)</f>
        <v/>
      </c>
      <c r="BM1430">
        <f>IFERROR(INDEX(PP_Grid[#Data],$DE1430,62),0)</f>
        <v/>
      </c>
      <c r="BN1430">
        <f>IFERROR(INDEX(PP_Grid[#Data],$DE1430,63),0)</f>
        <v/>
      </c>
      <c r="BO1430">
        <f>IFERROR(INDEX(PP_Grid[#Data],$DE1430,64),0)</f>
        <v/>
      </c>
      <c r="BP1430">
        <f>IFERROR(INDEX(PP_Grid[#Data],$DE1430,65),0)</f>
        <v/>
      </c>
      <c r="BQ1430">
        <f>IFERROR(INDEX(PP_Grid[#Data],$DE1430,66),0)</f>
        <v/>
      </c>
      <c r="BR1430">
        <f>IFERROR(INDEX(PP_Grid[#Data],$DE1430,67),0)</f>
        <v/>
      </c>
      <c r="BS1430">
        <f>IFERROR(INDEX(PP_Grid[#Data],$DE1430,68),0)</f>
        <v/>
      </c>
      <c r="BT1430">
        <f>IFERROR(INDEX(PP_Grid[#Data],$DE1430,69),0)</f>
        <v/>
      </c>
      <c r="BU1430">
        <f>IFERROR(INDEX(PP_Grid[#Data],$DE1430,70),0)</f>
        <v/>
      </c>
      <c r="BV1430">
        <f>IFERROR(INDEX(PP_Grid[#Data],$DE1430,71),0)</f>
        <v/>
      </c>
      <c r="BW1430">
        <f>IFERROR(INDEX(PP_Grid[#Data],$DE1430,72),0)</f>
        <v/>
      </c>
      <c r="BX1430">
        <f>IFERROR(INDEX(PP_Grid[#Data],$DE1430,73),0)</f>
        <v/>
      </c>
      <c r="BY1430">
        <f>IFERROR(INDEX(PP_Grid[#Data],$DE1430,74),0)</f>
        <v/>
      </c>
      <c r="BZ1430">
        <f>IFERROR(INDEX(PP_Grid[#Data],$DE1430,75),0)</f>
        <v/>
      </c>
      <c r="CA1430">
        <f>IFERROR(INDEX(PP_Grid[#Data],$DE1430,76),0)</f>
        <v/>
      </c>
      <c r="CB1430">
        <f>IFERROR(INDEX(PP_Grid[#Data],$DE1430,77),0)</f>
        <v/>
      </c>
      <c r="CC1430">
        <f>IFERROR(INDEX(PP_Grid[#Data],$DE1430,78),0)</f>
        <v/>
      </c>
      <c r="CD1430">
        <f>IFERROR(INDEX(PP_Grid[#Data],$DE1430,79),0)</f>
        <v/>
      </c>
      <c r="CE1430">
        <f>IFERROR(INDEX(PP_Grid[#Data],$DE1430,80),0)</f>
        <v/>
      </c>
      <c r="CF1430">
        <f>IFERROR(INDEX(PP_Grid[#Data],$DE1430,81),0)</f>
        <v/>
      </c>
      <c r="CG1430">
        <f>IFERROR(INDEX(PP_Grid[#Data],$DE1430,82),0)</f>
        <v/>
      </c>
      <c r="CH1430">
        <f>IFERROR(INDEX(PP_Grid[#Data],$DE1430,83),0)</f>
        <v/>
      </c>
      <c r="CI1430">
        <f>IFERROR(INDEX(PP_Grid[#Data],$DE1430,84),0)</f>
        <v/>
      </c>
      <c r="CJ1430">
        <f>IFERROR(INDEX(PP_Grid[#Data],$DE1430,85),0)</f>
        <v/>
      </c>
      <c r="CK1430">
        <f>IFERROR(INDEX(PP_Grid[#Data],$DE1430,86),0)</f>
        <v/>
      </c>
      <c r="CL1430">
        <f>IFERROR(INDEX(PP_Grid[#Data],$DE1430,87),0)</f>
        <v/>
      </c>
      <c r="CM1430">
        <f>IFERROR(INDEX(PP_Grid[#Data],$DE1430,88),0)</f>
        <v/>
      </c>
      <c r="CN1430">
        <f>IFERROR(INDEX(PP_Grid[#Data],$DE1430,89),0)</f>
        <v/>
      </c>
      <c r="CO1430">
        <f>IFERROR(INDEX(PP_Grid[#Data],$DE1430,90),0)</f>
        <v/>
      </c>
      <c r="CP1430">
        <f>IFERROR(INDEX(PP_Grid[#Data],$DE1430,91),0)</f>
        <v/>
      </c>
      <c r="CQ1430">
        <f>IFERROR(INDEX(PP_Grid[#Data],$DE1430,92),0)</f>
        <v/>
      </c>
      <c r="CR1430">
        <f>IFERROR(INDEX(PP_Grid[#Data],$DE1430,93),0)</f>
        <v/>
      </c>
      <c r="CS1430">
        <f>IFERROR(INDEX(PP_Grid[#Data],$DE1430,94),0)</f>
        <v/>
      </c>
      <c r="CT1430">
        <f>IFERROR(INDEX(PP_Grid[#Data],$DE1430,95),0)</f>
        <v/>
      </c>
      <c r="CU1430">
        <f>IFERROR(INDEX(PP_Grid[#Data],$DE1430,96),0)</f>
        <v/>
      </c>
      <c r="CV1430">
        <f>IFERROR(INDEX(PP_Grid[#Data],$DE1430,97),0)</f>
        <v/>
      </c>
      <c r="CW1430">
        <f>IFERROR(INDEX(PP_Grid[#Data],$DE1430,98),0)</f>
        <v/>
      </c>
      <c r="CX1430">
        <f>IFERROR(INDEX(PP_Grid[#Data],$DE1430,99),0)</f>
        <v/>
      </c>
      <c r="CY1430">
        <f>IFERROR(INDEX(PP_Grid[#Data],$DE1430,100),0)</f>
        <v/>
      </c>
      <c r="CZ1430">
        <f>IFERROR(INDEX(PP_Grid[#Data],$DE1430,101),0)</f>
        <v/>
      </c>
      <c r="DA1430">
        <f>IFERROR(INDEX(PP_Grid[#Data],$DE1430,102),0)</f>
        <v/>
      </c>
      <c r="DB1430">
        <f>IFERROR(INDEX(PP_Grid[#Data],$DE1430,103),0)</f>
        <v/>
      </c>
      <c r="DC1430">
        <f>IFERROR(INDEX(PP_Grid[#Data],$DE1430,104),0)</f>
        <v/>
      </c>
      <c r="DD1430">
        <f>IFERROR(INDEX(PP_Grid[#Data],$DE1430,105),0)</f>
        <v/>
      </c>
      <c r="DE1430" s="7">
        <f>IFERROR(MATCH($B1430,PP_Grid[Intermediate],0),99999)</f>
        <v/>
      </c>
    </row>
    <row r="1431">
      <c r="B1431" t="inlineStr">
        <is>
          <t>使用量(kg)</t>
        </is>
      </c>
      <c r="C1431">
        <f>SUMIFS(M_BOM[RM_Qty_Per_Batch],M_BOM[Intermediate],$B1430,M_BOM[RM_Code],$A1425)</f>
        <v/>
      </c>
      <c r="D1431">
        <f>IFERROR(INDEX(E1431:DD1431,$F$1),"")</f>
        <v/>
      </c>
      <c r="E1431">
        <f>$C1431*E1430</f>
        <v/>
      </c>
      <c r="F1431">
        <f>$C1431*F1430</f>
        <v/>
      </c>
      <c r="G1431">
        <f>$C1431*G1430</f>
        <v/>
      </c>
      <c r="H1431">
        <f>$C1431*H1430</f>
        <v/>
      </c>
      <c r="I1431">
        <f>$C1431*I1430</f>
        <v/>
      </c>
      <c r="J1431">
        <f>$C1431*J1430</f>
        <v/>
      </c>
      <c r="K1431">
        <f>$C1431*K1430</f>
        <v/>
      </c>
      <c r="L1431">
        <f>$C1431*L1430</f>
        <v/>
      </c>
      <c r="M1431">
        <f>$C1431*M1430</f>
        <v/>
      </c>
      <c r="N1431">
        <f>$C1431*N1430</f>
        <v/>
      </c>
      <c r="O1431">
        <f>$C1431*O1430</f>
        <v/>
      </c>
      <c r="P1431">
        <f>$C1431*P1430</f>
        <v/>
      </c>
      <c r="Q1431">
        <f>$C1431*Q1430</f>
        <v/>
      </c>
      <c r="R1431">
        <f>$C1431*R1430</f>
        <v/>
      </c>
      <c r="S1431">
        <f>$C1431*S1430</f>
        <v/>
      </c>
      <c r="T1431">
        <f>$C1431*T1430</f>
        <v/>
      </c>
      <c r="U1431">
        <f>$C1431*U1430</f>
        <v/>
      </c>
      <c r="V1431">
        <f>$C1431*V1430</f>
        <v/>
      </c>
      <c r="W1431">
        <f>$C1431*W1430</f>
        <v/>
      </c>
      <c r="X1431">
        <f>$C1431*X1430</f>
        <v/>
      </c>
      <c r="Y1431">
        <f>$C1431*Y1430</f>
        <v/>
      </c>
      <c r="Z1431">
        <f>$C1431*Z1430</f>
        <v/>
      </c>
      <c r="AA1431">
        <f>$C1431*AA1430</f>
        <v/>
      </c>
      <c r="AB1431">
        <f>$C1431*AB1430</f>
        <v/>
      </c>
      <c r="AC1431">
        <f>$C1431*AC1430</f>
        <v/>
      </c>
      <c r="AD1431">
        <f>$C1431*AD1430</f>
        <v/>
      </c>
      <c r="AE1431">
        <f>$C1431*AE1430</f>
        <v/>
      </c>
      <c r="AF1431">
        <f>$C1431*AF1430</f>
        <v/>
      </c>
      <c r="AG1431">
        <f>$C1431*AG1430</f>
        <v/>
      </c>
      <c r="AH1431">
        <f>$C1431*AH1430</f>
        <v/>
      </c>
      <c r="AI1431">
        <f>$C1431*AI1430</f>
        <v/>
      </c>
      <c r="AJ1431">
        <f>$C1431*AJ1430</f>
        <v/>
      </c>
      <c r="AK1431">
        <f>$C1431*AK1430</f>
        <v/>
      </c>
      <c r="AL1431">
        <f>$C1431*AL1430</f>
        <v/>
      </c>
      <c r="AM1431">
        <f>$C1431*AM1430</f>
        <v/>
      </c>
      <c r="AN1431">
        <f>$C1431*AN1430</f>
        <v/>
      </c>
      <c r="AO1431">
        <f>$C1431*AO1430</f>
        <v/>
      </c>
      <c r="AP1431">
        <f>$C1431*AP1430</f>
        <v/>
      </c>
      <c r="AQ1431">
        <f>$C1431*AQ1430</f>
        <v/>
      </c>
      <c r="AR1431">
        <f>$C1431*AR1430</f>
        <v/>
      </c>
      <c r="AS1431">
        <f>$C1431*AS1430</f>
        <v/>
      </c>
      <c r="AT1431">
        <f>$C1431*AT1430</f>
        <v/>
      </c>
      <c r="AU1431">
        <f>$C1431*AU1430</f>
        <v/>
      </c>
      <c r="AV1431">
        <f>$C1431*AV1430</f>
        <v/>
      </c>
      <c r="AW1431">
        <f>$C1431*AW1430</f>
        <v/>
      </c>
      <c r="AX1431">
        <f>$C1431*AX1430</f>
        <v/>
      </c>
      <c r="AY1431">
        <f>$C1431*AY1430</f>
        <v/>
      </c>
      <c r="AZ1431">
        <f>$C1431*AZ1430</f>
        <v/>
      </c>
      <c r="BA1431">
        <f>$C1431*BA1430</f>
        <v/>
      </c>
      <c r="BB1431">
        <f>$C1431*BB1430</f>
        <v/>
      </c>
      <c r="BC1431">
        <f>$C1431*BC1430</f>
        <v/>
      </c>
      <c r="BD1431">
        <f>$C1431*BD1430</f>
        <v/>
      </c>
      <c r="BE1431">
        <f>$C1431*BE1430</f>
        <v/>
      </c>
      <c r="BF1431">
        <f>$C1431*BF1430</f>
        <v/>
      </c>
      <c r="BG1431">
        <f>$C1431*BG1430</f>
        <v/>
      </c>
      <c r="BH1431">
        <f>$C1431*BH1430</f>
        <v/>
      </c>
      <c r="BI1431">
        <f>$C1431*BI1430</f>
        <v/>
      </c>
      <c r="BJ1431">
        <f>$C1431*BJ1430</f>
        <v/>
      </c>
      <c r="BK1431">
        <f>$C1431*BK1430</f>
        <v/>
      </c>
      <c r="BL1431">
        <f>$C1431*BL1430</f>
        <v/>
      </c>
      <c r="BM1431">
        <f>$C1431*BM1430</f>
        <v/>
      </c>
      <c r="BN1431">
        <f>$C1431*BN1430</f>
        <v/>
      </c>
      <c r="BO1431">
        <f>$C1431*BO1430</f>
        <v/>
      </c>
      <c r="BP1431">
        <f>$C1431*BP1430</f>
        <v/>
      </c>
      <c r="BQ1431">
        <f>$C1431*BQ1430</f>
        <v/>
      </c>
      <c r="BR1431">
        <f>$C1431*BR1430</f>
        <v/>
      </c>
      <c r="BS1431">
        <f>$C1431*BS1430</f>
        <v/>
      </c>
      <c r="BT1431">
        <f>$C1431*BT1430</f>
        <v/>
      </c>
      <c r="BU1431">
        <f>$C1431*BU1430</f>
        <v/>
      </c>
      <c r="BV1431">
        <f>$C1431*BV1430</f>
        <v/>
      </c>
      <c r="BW1431">
        <f>$C1431*BW1430</f>
        <v/>
      </c>
      <c r="BX1431">
        <f>$C1431*BX1430</f>
        <v/>
      </c>
      <c r="BY1431">
        <f>$C1431*BY1430</f>
        <v/>
      </c>
      <c r="BZ1431">
        <f>$C1431*BZ1430</f>
        <v/>
      </c>
      <c r="CA1431">
        <f>$C1431*CA1430</f>
        <v/>
      </c>
      <c r="CB1431">
        <f>$C1431*CB1430</f>
        <v/>
      </c>
      <c r="CC1431">
        <f>$C1431*CC1430</f>
        <v/>
      </c>
      <c r="CD1431">
        <f>$C1431*CD1430</f>
        <v/>
      </c>
      <c r="CE1431">
        <f>$C1431*CE1430</f>
        <v/>
      </c>
      <c r="CF1431">
        <f>$C1431*CF1430</f>
        <v/>
      </c>
      <c r="CG1431">
        <f>$C1431*CG1430</f>
        <v/>
      </c>
      <c r="CH1431">
        <f>$C1431*CH1430</f>
        <v/>
      </c>
      <c r="CI1431">
        <f>$C1431*CI1430</f>
        <v/>
      </c>
      <c r="CJ1431">
        <f>$C1431*CJ1430</f>
        <v/>
      </c>
      <c r="CK1431">
        <f>$C1431*CK1430</f>
        <v/>
      </c>
      <c r="CL1431">
        <f>$C1431*CL1430</f>
        <v/>
      </c>
      <c r="CM1431">
        <f>$C1431*CM1430</f>
        <v/>
      </c>
      <c r="CN1431">
        <f>$C1431*CN1430</f>
        <v/>
      </c>
      <c r="CO1431">
        <f>$C1431*CO1430</f>
        <v/>
      </c>
      <c r="CP1431">
        <f>$C1431*CP1430</f>
        <v/>
      </c>
      <c r="CQ1431">
        <f>$C1431*CQ1430</f>
        <v/>
      </c>
      <c r="CR1431">
        <f>$C1431*CR1430</f>
        <v/>
      </c>
      <c r="CS1431">
        <f>$C1431*CS1430</f>
        <v/>
      </c>
      <c r="CT1431">
        <f>$C1431*CT1430</f>
        <v/>
      </c>
      <c r="CU1431">
        <f>$C1431*CU1430</f>
        <v/>
      </c>
      <c r="CV1431">
        <f>$C1431*CV1430</f>
        <v/>
      </c>
      <c r="CW1431">
        <f>$C1431*CW1430</f>
        <v/>
      </c>
      <c r="CX1431">
        <f>$C1431*CX1430</f>
        <v/>
      </c>
      <c r="CY1431">
        <f>$C1431*CY1430</f>
        <v/>
      </c>
      <c r="CZ1431">
        <f>$C1431*CZ1430</f>
        <v/>
      </c>
      <c r="DA1431">
        <f>$C1431*DA1430</f>
        <v/>
      </c>
      <c r="DB1431">
        <f>$C1431*DB1430</f>
        <v/>
      </c>
      <c r="DC1431">
        <f>$C1431*DC1430</f>
        <v/>
      </c>
      <c r="DD1431">
        <f>$C1431*DD1430</f>
        <v/>
      </c>
    </row>
    <row r="1432">
      <c r="B1432" t="inlineStr">
        <is>
          <t>TSP-937</t>
        </is>
      </c>
      <c r="C1432" t="inlineStr">
        <is>
          <t>No. of batches</t>
        </is>
      </c>
      <c r="D1432">
        <f>IFERROR(INDEX(E1432:DD1432,$F$1),"")</f>
        <v/>
      </c>
      <c r="E1432">
        <f>IFERROR(INDEX(PP_Grid[#Data],$DE1432,2),0)</f>
        <v/>
      </c>
      <c r="F1432">
        <f>IFERROR(INDEX(PP_Grid[#Data],$DE1432,3),0)</f>
        <v/>
      </c>
      <c r="G1432">
        <f>IFERROR(INDEX(PP_Grid[#Data],$DE1432,4),0)</f>
        <v/>
      </c>
      <c r="H1432">
        <f>IFERROR(INDEX(PP_Grid[#Data],$DE1432,5),0)</f>
        <v/>
      </c>
      <c r="I1432">
        <f>IFERROR(INDEX(PP_Grid[#Data],$DE1432,6),0)</f>
        <v/>
      </c>
      <c r="J1432">
        <f>IFERROR(INDEX(PP_Grid[#Data],$DE1432,7),0)</f>
        <v/>
      </c>
      <c r="K1432">
        <f>IFERROR(INDEX(PP_Grid[#Data],$DE1432,8),0)</f>
        <v/>
      </c>
      <c r="L1432">
        <f>IFERROR(INDEX(PP_Grid[#Data],$DE1432,9),0)</f>
        <v/>
      </c>
      <c r="M1432">
        <f>IFERROR(INDEX(PP_Grid[#Data],$DE1432,10),0)</f>
        <v/>
      </c>
      <c r="N1432">
        <f>IFERROR(INDEX(PP_Grid[#Data],$DE1432,11),0)</f>
        <v/>
      </c>
      <c r="O1432">
        <f>IFERROR(INDEX(PP_Grid[#Data],$DE1432,12),0)</f>
        <v/>
      </c>
      <c r="P1432">
        <f>IFERROR(INDEX(PP_Grid[#Data],$DE1432,13),0)</f>
        <v/>
      </c>
      <c r="Q1432">
        <f>IFERROR(INDEX(PP_Grid[#Data],$DE1432,14),0)</f>
        <v/>
      </c>
      <c r="R1432">
        <f>IFERROR(INDEX(PP_Grid[#Data],$DE1432,15),0)</f>
        <v/>
      </c>
      <c r="S1432">
        <f>IFERROR(INDEX(PP_Grid[#Data],$DE1432,16),0)</f>
        <v/>
      </c>
      <c r="T1432">
        <f>IFERROR(INDEX(PP_Grid[#Data],$DE1432,17),0)</f>
        <v/>
      </c>
      <c r="U1432">
        <f>IFERROR(INDEX(PP_Grid[#Data],$DE1432,18),0)</f>
        <v/>
      </c>
      <c r="V1432">
        <f>IFERROR(INDEX(PP_Grid[#Data],$DE1432,19),0)</f>
        <v/>
      </c>
      <c r="W1432">
        <f>IFERROR(INDEX(PP_Grid[#Data],$DE1432,20),0)</f>
        <v/>
      </c>
      <c r="X1432">
        <f>IFERROR(INDEX(PP_Grid[#Data],$DE1432,21),0)</f>
        <v/>
      </c>
      <c r="Y1432">
        <f>IFERROR(INDEX(PP_Grid[#Data],$DE1432,22),0)</f>
        <v/>
      </c>
      <c r="Z1432">
        <f>IFERROR(INDEX(PP_Grid[#Data],$DE1432,23),0)</f>
        <v/>
      </c>
      <c r="AA1432">
        <f>IFERROR(INDEX(PP_Grid[#Data],$DE1432,24),0)</f>
        <v/>
      </c>
      <c r="AB1432">
        <f>IFERROR(INDEX(PP_Grid[#Data],$DE1432,25),0)</f>
        <v/>
      </c>
      <c r="AC1432">
        <f>IFERROR(INDEX(PP_Grid[#Data],$DE1432,26),0)</f>
        <v/>
      </c>
      <c r="AD1432">
        <f>IFERROR(INDEX(PP_Grid[#Data],$DE1432,27),0)</f>
        <v/>
      </c>
      <c r="AE1432">
        <f>IFERROR(INDEX(PP_Grid[#Data],$DE1432,28),0)</f>
        <v/>
      </c>
      <c r="AF1432">
        <f>IFERROR(INDEX(PP_Grid[#Data],$DE1432,29),0)</f>
        <v/>
      </c>
      <c r="AG1432">
        <f>IFERROR(INDEX(PP_Grid[#Data],$DE1432,30),0)</f>
        <v/>
      </c>
      <c r="AH1432">
        <f>IFERROR(INDEX(PP_Grid[#Data],$DE1432,31),0)</f>
        <v/>
      </c>
      <c r="AI1432">
        <f>IFERROR(INDEX(PP_Grid[#Data],$DE1432,32),0)</f>
        <v/>
      </c>
      <c r="AJ1432">
        <f>IFERROR(INDEX(PP_Grid[#Data],$DE1432,33),0)</f>
        <v/>
      </c>
      <c r="AK1432">
        <f>IFERROR(INDEX(PP_Grid[#Data],$DE1432,34),0)</f>
        <v/>
      </c>
      <c r="AL1432">
        <f>IFERROR(INDEX(PP_Grid[#Data],$DE1432,35),0)</f>
        <v/>
      </c>
      <c r="AM1432">
        <f>IFERROR(INDEX(PP_Grid[#Data],$DE1432,36),0)</f>
        <v/>
      </c>
      <c r="AN1432">
        <f>IFERROR(INDEX(PP_Grid[#Data],$DE1432,37),0)</f>
        <v/>
      </c>
      <c r="AO1432">
        <f>IFERROR(INDEX(PP_Grid[#Data],$DE1432,38),0)</f>
        <v/>
      </c>
      <c r="AP1432">
        <f>IFERROR(INDEX(PP_Grid[#Data],$DE1432,39),0)</f>
        <v/>
      </c>
      <c r="AQ1432">
        <f>IFERROR(INDEX(PP_Grid[#Data],$DE1432,40),0)</f>
        <v/>
      </c>
      <c r="AR1432">
        <f>IFERROR(INDEX(PP_Grid[#Data],$DE1432,41),0)</f>
        <v/>
      </c>
      <c r="AS1432">
        <f>IFERROR(INDEX(PP_Grid[#Data],$DE1432,42),0)</f>
        <v/>
      </c>
      <c r="AT1432">
        <f>IFERROR(INDEX(PP_Grid[#Data],$DE1432,43),0)</f>
        <v/>
      </c>
      <c r="AU1432">
        <f>IFERROR(INDEX(PP_Grid[#Data],$DE1432,44),0)</f>
        <v/>
      </c>
      <c r="AV1432">
        <f>IFERROR(INDEX(PP_Grid[#Data],$DE1432,45),0)</f>
        <v/>
      </c>
      <c r="AW1432">
        <f>IFERROR(INDEX(PP_Grid[#Data],$DE1432,46),0)</f>
        <v/>
      </c>
      <c r="AX1432">
        <f>IFERROR(INDEX(PP_Grid[#Data],$DE1432,47),0)</f>
        <v/>
      </c>
      <c r="AY1432">
        <f>IFERROR(INDEX(PP_Grid[#Data],$DE1432,48),0)</f>
        <v/>
      </c>
      <c r="AZ1432">
        <f>IFERROR(INDEX(PP_Grid[#Data],$DE1432,49),0)</f>
        <v/>
      </c>
      <c r="BA1432">
        <f>IFERROR(INDEX(PP_Grid[#Data],$DE1432,50),0)</f>
        <v/>
      </c>
      <c r="BB1432">
        <f>IFERROR(INDEX(PP_Grid[#Data],$DE1432,51),0)</f>
        <v/>
      </c>
      <c r="BC1432">
        <f>IFERROR(INDEX(PP_Grid[#Data],$DE1432,52),0)</f>
        <v/>
      </c>
      <c r="BD1432">
        <f>IFERROR(INDEX(PP_Grid[#Data],$DE1432,53),0)</f>
        <v/>
      </c>
      <c r="BE1432">
        <f>IFERROR(INDEX(PP_Grid[#Data],$DE1432,54),0)</f>
        <v/>
      </c>
      <c r="BF1432">
        <f>IFERROR(INDEX(PP_Grid[#Data],$DE1432,55),0)</f>
        <v/>
      </c>
      <c r="BG1432">
        <f>IFERROR(INDEX(PP_Grid[#Data],$DE1432,56),0)</f>
        <v/>
      </c>
      <c r="BH1432">
        <f>IFERROR(INDEX(PP_Grid[#Data],$DE1432,57),0)</f>
        <v/>
      </c>
      <c r="BI1432">
        <f>IFERROR(INDEX(PP_Grid[#Data],$DE1432,58),0)</f>
        <v/>
      </c>
      <c r="BJ1432">
        <f>IFERROR(INDEX(PP_Grid[#Data],$DE1432,59),0)</f>
        <v/>
      </c>
      <c r="BK1432">
        <f>IFERROR(INDEX(PP_Grid[#Data],$DE1432,60),0)</f>
        <v/>
      </c>
      <c r="BL1432">
        <f>IFERROR(INDEX(PP_Grid[#Data],$DE1432,61),0)</f>
        <v/>
      </c>
      <c r="BM1432">
        <f>IFERROR(INDEX(PP_Grid[#Data],$DE1432,62),0)</f>
        <v/>
      </c>
      <c r="BN1432">
        <f>IFERROR(INDEX(PP_Grid[#Data],$DE1432,63),0)</f>
        <v/>
      </c>
      <c r="BO1432">
        <f>IFERROR(INDEX(PP_Grid[#Data],$DE1432,64),0)</f>
        <v/>
      </c>
      <c r="BP1432">
        <f>IFERROR(INDEX(PP_Grid[#Data],$DE1432,65),0)</f>
        <v/>
      </c>
      <c r="BQ1432">
        <f>IFERROR(INDEX(PP_Grid[#Data],$DE1432,66),0)</f>
        <v/>
      </c>
      <c r="BR1432">
        <f>IFERROR(INDEX(PP_Grid[#Data],$DE1432,67),0)</f>
        <v/>
      </c>
      <c r="BS1432">
        <f>IFERROR(INDEX(PP_Grid[#Data],$DE1432,68),0)</f>
        <v/>
      </c>
      <c r="BT1432">
        <f>IFERROR(INDEX(PP_Grid[#Data],$DE1432,69),0)</f>
        <v/>
      </c>
      <c r="BU1432">
        <f>IFERROR(INDEX(PP_Grid[#Data],$DE1432,70),0)</f>
        <v/>
      </c>
      <c r="BV1432">
        <f>IFERROR(INDEX(PP_Grid[#Data],$DE1432,71),0)</f>
        <v/>
      </c>
      <c r="BW1432">
        <f>IFERROR(INDEX(PP_Grid[#Data],$DE1432,72),0)</f>
        <v/>
      </c>
      <c r="BX1432">
        <f>IFERROR(INDEX(PP_Grid[#Data],$DE1432,73),0)</f>
        <v/>
      </c>
      <c r="BY1432">
        <f>IFERROR(INDEX(PP_Grid[#Data],$DE1432,74),0)</f>
        <v/>
      </c>
      <c r="BZ1432">
        <f>IFERROR(INDEX(PP_Grid[#Data],$DE1432,75),0)</f>
        <v/>
      </c>
      <c r="CA1432">
        <f>IFERROR(INDEX(PP_Grid[#Data],$DE1432,76),0)</f>
        <v/>
      </c>
      <c r="CB1432">
        <f>IFERROR(INDEX(PP_Grid[#Data],$DE1432,77),0)</f>
        <v/>
      </c>
      <c r="CC1432">
        <f>IFERROR(INDEX(PP_Grid[#Data],$DE1432,78),0)</f>
        <v/>
      </c>
      <c r="CD1432">
        <f>IFERROR(INDEX(PP_Grid[#Data],$DE1432,79),0)</f>
        <v/>
      </c>
      <c r="CE1432">
        <f>IFERROR(INDEX(PP_Grid[#Data],$DE1432,80),0)</f>
        <v/>
      </c>
      <c r="CF1432">
        <f>IFERROR(INDEX(PP_Grid[#Data],$DE1432,81),0)</f>
        <v/>
      </c>
      <c r="CG1432">
        <f>IFERROR(INDEX(PP_Grid[#Data],$DE1432,82),0)</f>
        <v/>
      </c>
      <c r="CH1432">
        <f>IFERROR(INDEX(PP_Grid[#Data],$DE1432,83),0)</f>
        <v/>
      </c>
      <c r="CI1432">
        <f>IFERROR(INDEX(PP_Grid[#Data],$DE1432,84),0)</f>
        <v/>
      </c>
      <c r="CJ1432">
        <f>IFERROR(INDEX(PP_Grid[#Data],$DE1432,85),0)</f>
        <v/>
      </c>
      <c r="CK1432">
        <f>IFERROR(INDEX(PP_Grid[#Data],$DE1432,86),0)</f>
        <v/>
      </c>
      <c r="CL1432">
        <f>IFERROR(INDEX(PP_Grid[#Data],$DE1432,87),0)</f>
        <v/>
      </c>
      <c r="CM1432">
        <f>IFERROR(INDEX(PP_Grid[#Data],$DE1432,88),0)</f>
        <v/>
      </c>
      <c r="CN1432">
        <f>IFERROR(INDEX(PP_Grid[#Data],$DE1432,89),0)</f>
        <v/>
      </c>
      <c r="CO1432">
        <f>IFERROR(INDEX(PP_Grid[#Data],$DE1432,90),0)</f>
        <v/>
      </c>
      <c r="CP1432">
        <f>IFERROR(INDEX(PP_Grid[#Data],$DE1432,91),0)</f>
        <v/>
      </c>
      <c r="CQ1432">
        <f>IFERROR(INDEX(PP_Grid[#Data],$DE1432,92),0)</f>
        <v/>
      </c>
      <c r="CR1432">
        <f>IFERROR(INDEX(PP_Grid[#Data],$DE1432,93),0)</f>
        <v/>
      </c>
      <c r="CS1432">
        <f>IFERROR(INDEX(PP_Grid[#Data],$DE1432,94),0)</f>
        <v/>
      </c>
      <c r="CT1432">
        <f>IFERROR(INDEX(PP_Grid[#Data],$DE1432,95),0)</f>
        <v/>
      </c>
      <c r="CU1432">
        <f>IFERROR(INDEX(PP_Grid[#Data],$DE1432,96),0)</f>
        <v/>
      </c>
      <c r="CV1432">
        <f>IFERROR(INDEX(PP_Grid[#Data],$DE1432,97),0)</f>
        <v/>
      </c>
      <c r="CW1432">
        <f>IFERROR(INDEX(PP_Grid[#Data],$DE1432,98),0)</f>
        <v/>
      </c>
      <c r="CX1432">
        <f>IFERROR(INDEX(PP_Grid[#Data],$DE1432,99),0)</f>
        <v/>
      </c>
      <c r="CY1432">
        <f>IFERROR(INDEX(PP_Grid[#Data],$DE1432,100),0)</f>
        <v/>
      </c>
      <c r="CZ1432">
        <f>IFERROR(INDEX(PP_Grid[#Data],$DE1432,101),0)</f>
        <v/>
      </c>
      <c r="DA1432">
        <f>IFERROR(INDEX(PP_Grid[#Data],$DE1432,102),0)</f>
        <v/>
      </c>
      <c r="DB1432">
        <f>IFERROR(INDEX(PP_Grid[#Data],$DE1432,103),0)</f>
        <v/>
      </c>
      <c r="DC1432">
        <f>IFERROR(INDEX(PP_Grid[#Data],$DE1432,104),0)</f>
        <v/>
      </c>
      <c r="DD1432">
        <f>IFERROR(INDEX(PP_Grid[#Data],$DE1432,105),0)</f>
        <v/>
      </c>
      <c r="DE1432" s="7">
        <f>IFERROR(MATCH($B1432,PP_Grid[Intermediate],0),99999)</f>
        <v/>
      </c>
    </row>
    <row r="1433">
      <c r="B1433" t="inlineStr">
        <is>
          <t>使用量(kg)</t>
        </is>
      </c>
      <c r="C1433">
        <f>SUMIFS(M_BOM[RM_Qty_Per_Batch],M_BOM[Intermediate],$B1432,M_BOM[RM_Code],$A1425)</f>
        <v/>
      </c>
      <c r="D1433">
        <f>IFERROR(INDEX(E1433:DD1433,$F$1),"")</f>
        <v/>
      </c>
      <c r="E1433">
        <f>$C1433*E1432</f>
        <v/>
      </c>
      <c r="F1433">
        <f>$C1433*F1432</f>
        <v/>
      </c>
      <c r="G1433">
        <f>$C1433*G1432</f>
        <v/>
      </c>
      <c r="H1433">
        <f>$C1433*H1432</f>
        <v/>
      </c>
      <c r="I1433">
        <f>$C1433*I1432</f>
        <v/>
      </c>
      <c r="J1433">
        <f>$C1433*J1432</f>
        <v/>
      </c>
      <c r="K1433">
        <f>$C1433*K1432</f>
        <v/>
      </c>
      <c r="L1433">
        <f>$C1433*L1432</f>
        <v/>
      </c>
      <c r="M1433">
        <f>$C1433*M1432</f>
        <v/>
      </c>
      <c r="N1433">
        <f>$C1433*N1432</f>
        <v/>
      </c>
      <c r="O1433">
        <f>$C1433*O1432</f>
        <v/>
      </c>
      <c r="P1433">
        <f>$C1433*P1432</f>
        <v/>
      </c>
      <c r="Q1433">
        <f>$C1433*Q1432</f>
        <v/>
      </c>
      <c r="R1433">
        <f>$C1433*R1432</f>
        <v/>
      </c>
      <c r="S1433">
        <f>$C1433*S1432</f>
        <v/>
      </c>
      <c r="T1433">
        <f>$C1433*T1432</f>
        <v/>
      </c>
      <c r="U1433">
        <f>$C1433*U1432</f>
        <v/>
      </c>
      <c r="V1433">
        <f>$C1433*V1432</f>
        <v/>
      </c>
      <c r="W1433">
        <f>$C1433*W1432</f>
        <v/>
      </c>
      <c r="X1433">
        <f>$C1433*X1432</f>
        <v/>
      </c>
      <c r="Y1433">
        <f>$C1433*Y1432</f>
        <v/>
      </c>
      <c r="Z1433">
        <f>$C1433*Z1432</f>
        <v/>
      </c>
      <c r="AA1433">
        <f>$C1433*AA1432</f>
        <v/>
      </c>
      <c r="AB1433">
        <f>$C1433*AB1432</f>
        <v/>
      </c>
      <c r="AC1433">
        <f>$C1433*AC1432</f>
        <v/>
      </c>
      <c r="AD1433">
        <f>$C1433*AD1432</f>
        <v/>
      </c>
      <c r="AE1433">
        <f>$C1433*AE1432</f>
        <v/>
      </c>
      <c r="AF1433">
        <f>$C1433*AF1432</f>
        <v/>
      </c>
      <c r="AG1433">
        <f>$C1433*AG1432</f>
        <v/>
      </c>
      <c r="AH1433">
        <f>$C1433*AH1432</f>
        <v/>
      </c>
      <c r="AI1433">
        <f>$C1433*AI1432</f>
        <v/>
      </c>
      <c r="AJ1433">
        <f>$C1433*AJ1432</f>
        <v/>
      </c>
      <c r="AK1433">
        <f>$C1433*AK1432</f>
        <v/>
      </c>
      <c r="AL1433">
        <f>$C1433*AL1432</f>
        <v/>
      </c>
      <c r="AM1433">
        <f>$C1433*AM1432</f>
        <v/>
      </c>
      <c r="AN1433">
        <f>$C1433*AN1432</f>
        <v/>
      </c>
      <c r="AO1433">
        <f>$C1433*AO1432</f>
        <v/>
      </c>
      <c r="AP1433">
        <f>$C1433*AP1432</f>
        <v/>
      </c>
      <c r="AQ1433">
        <f>$C1433*AQ1432</f>
        <v/>
      </c>
      <c r="AR1433">
        <f>$C1433*AR1432</f>
        <v/>
      </c>
      <c r="AS1433">
        <f>$C1433*AS1432</f>
        <v/>
      </c>
      <c r="AT1433">
        <f>$C1433*AT1432</f>
        <v/>
      </c>
      <c r="AU1433">
        <f>$C1433*AU1432</f>
        <v/>
      </c>
      <c r="AV1433">
        <f>$C1433*AV1432</f>
        <v/>
      </c>
      <c r="AW1433">
        <f>$C1433*AW1432</f>
        <v/>
      </c>
      <c r="AX1433">
        <f>$C1433*AX1432</f>
        <v/>
      </c>
      <c r="AY1433">
        <f>$C1433*AY1432</f>
        <v/>
      </c>
      <c r="AZ1433">
        <f>$C1433*AZ1432</f>
        <v/>
      </c>
      <c r="BA1433">
        <f>$C1433*BA1432</f>
        <v/>
      </c>
      <c r="BB1433">
        <f>$C1433*BB1432</f>
        <v/>
      </c>
      <c r="BC1433">
        <f>$C1433*BC1432</f>
        <v/>
      </c>
      <c r="BD1433">
        <f>$C1433*BD1432</f>
        <v/>
      </c>
      <c r="BE1433">
        <f>$C1433*BE1432</f>
        <v/>
      </c>
      <c r="BF1433">
        <f>$C1433*BF1432</f>
        <v/>
      </c>
      <c r="BG1433">
        <f>$C1433*BG1432</f>
        <v/>
      </c>
      <c r="BH1433">
        <f>$C1433*BH1432</f>
        <v/>
      </c>
      <c r="BI1433">
        <f>$C1433*BI1432</f>
        <v/>
      </c>
      <c r="BJ1433">
        <f>$C1433*BJ1432</f>
        <v/>
      </c>
      <c r="BK1433">
        <f>$C1433*BK1432</f>
        <v/>
      </c>
      <c r="BL1433">
        <f>$C1433*BL1432</f>
        <v/>
      </c>
      <c r="BM1433">
        <f>$C1433*BM1432</f>
        <v/>
      </c>
      <c r="BN1433">
        <f>$C1433*BN1432</f>
        <v/>
      </c>
      <c r="BO1433">
        <f>$C1433*BO1432</f>
        <v/>
      </c>
      <c r="BP1433">
        <f>$C1433*BP1432</f>
        <v/>
      </c>
      <c r="BQ1433">
        <f>$C1433*BQ1432</f>
        <v/>
      </c>
      <c r="BR1433">
        <f>$C1433*BR1432</f>
        <v/>
      </c>
      <c r="BS1433">
        <f>$C1433*BS1432</f>
        <v/>
      </c>
      <c r="BT1433">
        <f>$C1433*BT1432</f>
        <v/>
      </c>
      <c r="BU1433">
        <f>$C1433*BU1432</f>
        <v/>
      </c>
      <c r="BV1433">
        <f>$C1433*BV1432</f>
        <v/>
      </c>
      <c r="BW1433">
        <f>$C1433*BW1432</f>
        <v/>
      </c>
      <c r="BX1433">
        <f>$C1433*BX1432</f>
        <v/>
      </c>
      <c r="BY1433">
        <f>$C1433*BY1432</f>
        <v/>
      </c>
      <c r="BZ1433">
        <f>$C1433*BZ1432</f>
        <v/>
      </c>
      <c r="CA1433">
        <f>$C1433*CA1432</f>
        <v/>
      </c>
      <c r="CB1433">
        <f>$C1433*CB1432</f>
        <v/>
      </c>
      <c r="CC1433">
        <f>$C1433*CC1432</f>
        <v/>
      </c>
      <c r="CD1433">
        <f>$C1433*CD1432</f>
        <v/>
      </c>
      <c r="CE1433">
        <f>$C1433*CE1432</f>
        <v/>
      </c>
      <c r="CF1433">
        <f>$C1433*CF1432</f>
        <v/>
      </c>
      <c r="CG1433">
        <f>$C1433*CG1432</f>
        <v/>
      </c>
      <c r="CH1433">
        <f>$C1433*CH1432</f>
        <v/>
      </c>
      <c r="CI1433">
        <f>$C1433*CI1432</f>
        <v/>
      </c>
      <c r="CJ1433">
        <f>$C1433*CJ1432</f>
        <v/>
      </c>
      <c r="CK1433">
        <f>$C1433*CK1432</f>
        <v/>
      </c>
      <c r="CL1433">
        <f>$C1433*CL1432</f>
        <v/>
      </c>
      <c r="CM1433">
        <f>$C1433*CM1432</f>
        <v/>
      </c>
      <c r="CN1433">
        <f>$C1433*CN1432</f>
        <v/>
      </c>
      <c r="CO1433">
        <f>$C1433*CO1432</f>
        <v/>
      </c>
      <c r="CP1433">
        <f>$C1433*CP1432</f>
        <v/>
      </c>
      <c r="CQ1433">
        <f>$C1433*CQ1432</f>
        <v/>
      </c>
      <c r="CR1433">
        <f>$C1433*CR1432</f>
        <v/>
      </c>
      <c r="CS1433">
        <f>$C1433*CS1432</f>
        <v/>
      </c>
      <c r="CT1433">
        <f>$C1433*CT1432</f>
        <v/>
      </c>
      <c r="CU1433">
        <f>$C1433*CU1432</f>
        <v/>
      </c>
      <c r="CV1433">
        <f>$C1433*CV1432</f>
        <v/>
      </c>
      <c r="CW1433">
        <f>$C1433*CW1432</f>
        <v/>
      </c>
      <c r="CX1433">
        <f>$C1433*CX1432</f>
        <v/>
      </c>
      <c r="CY1433">
        <f>$C1433*CY1432</f>
        <v/>
      </c>
      <c r="CZ1433">
        <f>$C1433*CZ1432</f>
        <v/>
      </c>
      <c r="DA1433">
        <f>$C1433*DA1432</f>
        <v/>
      </c>
      <c r="DB1433">
        <f>$C1433*DB1432</f>
        <v/>
      </c>
      <c r="DC1433">
        <f>$C1433*DC1432</f>
        <v/>
      </c>
      <c r="DD1433">
        <f>$C1433*DD1432</f>
        <v/>
      </c>
    </row>
    <row r="1434">
      <c r="B1434" t="inlineStr">
        <is>
          <t>TSP-1448</t>
        </is>
      </c>
      <c r="C1434" t="inlineStr">
        <is>
          <t>No. of batches</t>
        </is>
      </c>
      <c r="D1434">
        <f>IFERROR(INDEX(E1434:DD1434,$F$1),"")</f>
        <v/>
      </c>
      <c r="E1434">
        <f>IFERROR(INDEX(PP_Grid[#Data],$DE1434,2),0)</f>
        <v/>
      </c>
      <c r="F1434">
        <f>IFERROR(INDEX(PP_Grid[#Data],$DE1434,3),0)</f>
        <v/>
      </c>
      <c r="G1434">
        <f>IFERROR(INDEX(PP_Grid[#Data],$DE1434,4),0)</f>
        <v/>
      </c>
      <c r="H1434">
        <f>IFERROR(INDEX(PP_Grid[#Data],$DE1434,5),0)</f>
        <v/>
      </c>
      <c r="I1434">
        <f>IFERROR(INDEX(PP_Grid[#Data],$DE1434,6),0)</f>
        <v/>
      </c>
      <c r="J1434">
        <f>IFERROR(INDEX(PP_Grid[#Data],$DE1434,7),0)</f>
        <v/>
      </c>
      <c r="K1434">
        <f>IFERROR(INDEX(PP_Grid[#Data],$DE1434,8),0)</f>
        <v/>
      </c>
      <c r="L1434">
        <f>IFERROR(INDEX(PP_Grid[#Data],$DE1434,9),0)</f>
        <v/>
      </c>
      <c r="M1434">
        <f>IFERROR(INDEX(PP_Grid[#Data],$DE1434,10),0)</f>
        <v/>
      </c>
      <c r="N1434">
        <f>IFERROR(INDEX(PP_Grid[#Data],$DE1434,11),0)</f>
        <v/>
      </c>
      <c r="O1434">
        <f>IFERROR(INDEX(PP_Grid[#Data],$DE1434,12),0)</f>
        <v/>
      </c>
      <c r="P1434">
        <f>IFERROR(INDEX(PP_Grid[#Data],$DE1434,13),0)</f>
        <v/>
      </c>
      <c r="Q1434">
        <f>IFERROR(INDEX(PP_Grid[#Data],$DE1434,14),0)</f>
        <v/>
      </c>
      <c r="R1434">
        <f>IFERROR(INDEX(PP_Grid[#Data],$DE1434,15),0)</f>
        <v/>
      </c>
      <c r="S1434">
        <f>IFERROR(INDEX(PP_Grid[#Data],$DE1434,16),0)</f>
        <v/>
      </c>
      <c r="T1434">
        <f>IFERROR(INDEX(PP_Grid[#Data],$DE1434,17),0)</f>
        <v/>
      </c>
      <c r="U1434">
        <f>IFERROR(INDEX(PP_Grid[#Data],$DE1434,18),0)</f>
        <v/>
      </c>
      <c r="V1434">
        <f>IFERROR(INDEX(PP_Grid[#Data],$DE1434,19),0)</f>
        <v/>
      </c>
      <c r="W1434">
        <f>IFERROR(INDEX(PP_Grid[#Data],$DE1434,20),0)</f>
        <v/>
      </c>
      <c r="X1434">
        <f>IFERROR(INDEX(PP_Grid[#Data],$DE1434,21),0)</f>
        <v/>
      </c>
      <c r="Y1434">
        <f>IFERROR(INDEX(PP_Grid[#Data],$DE1434,22),0)</f>
        <v/>
      </c>
      <c r="Z1434">
        <f>IFERROR(INDEX(PP_Grid[#Data],$DE1434,23),0)</f>
        <v/>
      </c>
      <c r="AA1434">
        <f>IFERROR(INDEX(PP_Grid[#Data],$DE1434,24),0)</f>
        <v/>
      </c>
      <c r="AB1434">
        <f>IFERROR(INDEX(PP_Grid[#Data],$DE1434,25),0)</f>
        <v/>
      </c>
      <c r="AC1434">
        <f>IFERROR(INDEX(PP_Grid[#Data],$DE1434,26),0)</f>
        <v/>
      </c>
      <c r="AD1434">
        <f>IFERROR(INDEX(PP_Grid[#Data],$DE1434,27),0)</f>
        <v/>
      </c>
      <c r="AE1434">
        <f>IFERROR(INDEX(PP_Grid[#Data],$DE1434,28),0)</f>
        <v/>
      </c>
      <c r="AF1434">
        <f>IFERROR(INDEX(PP_Grid[#Data],$DE1434,29),0)</f>
        <v/>
      </c>
      <c r="AG1434">
        <f>IFERROR(INDEX(PP_Grid[#Data],$DE1434,30),0)</f>
        <v/>
      </c>
      <c r="AH1434">
        <f>IFERROR(INDEX(PP_Grid[#Data],$DE1434,31),0)</f>
        <v/>
      </c>
      <c r="AI1434">
        <f>IFERROR(INDEX(PP_Grid[#Data],$DE1434,32),0)</f>
        <v/>
      </c>
      <c r="AJ1434">
        <f>IFERROR(INDEX(PP_Grid[#Data],$DE1434,33),0)</f>
        <v/>
      </c>
      <c r="AK1434">
        <f>IFERROR(INDEX(PP_Grid[#Data],$DE1434,34),0)</f>
        <v/>
      </c>
      <c r="AL1434">
        <f>IFERROR(INDEX(PP_Grid[#Data],$DE1434,35),0)</f>
        <v/>
      </c>
      <c r="AM1434">
        <f>IFERROR(INDEX(PP_Grid[#Data],$DE1434,36),0)</f>
        <v/>
      </c>
      <c r="AN1434">
        <f>IFERROR(INDEX(PP_Grid[#Data],$DE1434,37),0)</f>
        <v/>
      </c>
      <c r="AO1434">
        <f>IFERROR(INDEX(PP_Grid[#Data],$DE1434,38),0)</f>
        <v/>
      </c>
      <c r="AP1434">
        <f>IFERROR(INDEX(PP_Grid[#Data],$DE1434,39),0)</f>
        <v/>
      </c>
      <c r="AQ1434">
        <f>IFERROR(INDEX(PP_Grid[#Data],$DE1434,40),0)</f>
        <v/>
      </c>
      <c r="AR1434">
        <f>IFERROR(INDEX(PP_Grid[#Data],$DE1434,41),0)</f>
        <v/>
      </c>
      <c r="AS1434">
        <f>IFERROR(INDEX(PP_Grid[#Data],$DE1434,42),0)</f>
        <v/>
      </c>
      <c r="AT1434">
        <f>IFERROR(INDEX(PP_Grid[#Data],$DE1434,43),0)</f>
        <v/>
      </c>
      <c r="AU1434">
        <f>IFERROR(INDEX(PP_Grid[#Data],$DE1434,44),0)</f>
        <v/>
      </c>
      <c r="AV1434">
        <f>IFERROR(INDEX(PP_Grid[#Data],$DE1434,45),0)</f>
        <v/>
      </c>
      <c r="AW1434">
        <f>IFERROR(INDEX(PP_Grid[#Data],$DE1434,46),0)</f>
        <v/>
      </c>
      <c r="AX1434">
        <f>IFERROR(INDEX(PP_Grid[#Data],$DE1434,47),0)</f>
        <v/>
      </c>
      <c r="AY1434">
        <f>IFERROR(INDEX(PP_Grid[#Data],$DE1434,48),0)</f>
        <v/>
      </c>
      <c r="AZ1434">
        <f>IFERROR(INDEX(PP_Grid[#Data],$DE1434,49),0)</f>
        <v/>
      </c>
      <c r="BA1434">
        <f>IFERROR(INDEX(PP_Grid[#Data],$DE1434,50),0)</f>
        <v/>
      </c>
      <c r="BB1434">
        <f>IFERROR(INDEX(PP_Grid[#Data],$DE1434,51),0)</f>
        <v/>
      </c>
      <c r="BC1434">
        <f>IFERROR(INDEX(PP_Grid[#Data],$DE1434,52),0)</f>
        <v/>
      </c>
      <c r="BD1434">
        <f>IFERROR(INDEX(PP_Grid[#Data],$DE1434,53),0)</f>
        <v/>
      </c>
      <c r="BE1434">
        <f>IFERROR(INDEX(PP_Grid[#Data],$DE1434,54),0)</f>
        <v/>
      </c>
      <c r="BF1434">
        <f>IFERROR(INDEX(PP_Grid[#Data],$DE1434,55),0)</f>
        <v/>
      </c>
      <c r="BG1434">
        <f>IFERROR(INDEX(PP_Grid[#Data],$DE1434,56),0)</f>
        <v/>
      </c>
      <c r="BH1434">
        <f>IFERROR(INDEX(PP_Grid[#Data],$DE1434,57),0)</f>
        <v/>
      </c>
      <c r="BI1434">
        <f>IFERROR(INDEX(PP_Grid[#Data],$DE1434,58),0)</f>
        <v/>
      </c>
      <c r="BJ1434">
        <f>IFERROR(INDEX(PP_Grid[#Data],$DE1434,59),0)</f>
        <v/>
      </c>
      <c r="BK1434">
        <f>IFERROR(INDEX(PP_Grid[#Data],$DE1434,60),0)</f>
        <v/>
      </c>
      <c r="BL1434">
        <f>IFERROR(INDEX(PP_Grid[#Data],$DE1434,61),0)</f>
        <v/>
      </c>
      <c r="BM1434">
        <f>IFERROR(INDEX(PP_Grid[#Data],$DE1434,62),0)</f>
        <v/>
      </c>
      <c r="BN1434">
        <f>IFERROR(INDEX(PP_Grid[#Data],$DE1434,63),0)</f>
        <v/>
      </c>
      <c r="BO1434">
        <f>IFERROR(INDEX(PP_Grid[#Data],$DE1434,64),0)</f>
        <v/>
      </c>
      <c r="BP1434">
        <f>IFERROR(INDEX(PP_Grid[#Data],$DE1434,65),0)</f>
        <v/>
      </c>
      <c r="BQ1434">
        <f>IFERROR(INDEX(PP_Grid[#Data],$DE1434,66),0)</f>
        <v/>
      </c>
      <c r="BR1434">
        <f>IFERROR(INDEX(PP_Grid[#Data],$DE1434,67),0)</f>
        <v/>
      </c>
      <c r="BS1434">
        <f>IFERROR(INDEX(PP_Grid[#Data],$DE1434,68),0)</f>
        <v/>
      </c>
      <c r="BT1434">
        <f>IFERROR(INDEX(PP_Grid[#Data],$DE1434,69),0)</f>
        <v/>
      </c>
      <c r="BU1434">
        <f>IFERROR(INDEX(PP_Grid[#Data],$DE1434,70),0)</f>
        <v/>
      </c>
      <c r="BV1434">
        <f>IFERROR(INDEX(PP_Grid[#Data],$DE1434,71),0)</f>
        <v/>
      </c>
      <c r="BW1434">
        <f>IFERROR(INDEX(PP_Grid[#Data],$DE1434,72),0)</f>
        <v/>
      </c>
      <c r="BX1434">
        <f>IFERROR(INDEX(PP_Grid[#Data],$DE1434,73),0)</f>
        <v/>
      </c>
      <c r="BY1434">
        <f>IFERROR(INDEX(PP_Grid[#Data],$DE1434,74),0)</f>
        <v/>
      </c>
      <c r="BZ1434">
        <f>IFERROR(INDEX(PP_Grid[#Data],$DE1434,75),0)</f>
        <v/>
      </c>
      <c r="CA1434">
        <f>IFERROR(INDEX(PP_Grid[#Data],$DE1434,76),0)</f>
        <v/>
      </c>
      <c r="CB1434">
        <f>IFERROR(INDEX(PP_Grid[#Data],$DE1434,77),0)</f>
        <v/>
      </c>
      <c r="CC1434">
        <f>IFERROR(INDEX(PP_Grid[#Data],$DE1434,78),0)</f>
        <v/>
      </c>
      <c r="CD1434">
        <f>IFERROR(INDEX(PP_Grid[#Data],$DE1434,79),0)</f>
        <v/>
      </c>
      <c r="CE1434">
        <f>IFERROR(INDEX(PP_Grid[#Data],$DE1434,80),0)</f>
        <v/>
      </c>
      <c r="CF1434">
        <f>IFERROR(INDEX(PP_Grid[#Data],$DE1434,81),0)</f>
        <v/>
      </c>
      <c r="CG1434">
        <f>IFERROR(INDEX(PP_Grid[#Data],$DE1434,82),0)</f>
        <v/>
      </c>
      <c r="CH1434">
        <f>IFERROR(INDEX(PP_Grid[#Data],$DE1434,83),0)</f>
        <v/>
      </c>
      <c r="CI1434">
        <f>IFERROR(INDEX(PP_Grid[#Data],$DE1434,84),0)</f>
        <v/>
      </c>
      <c r="CJ1434">
        <f>IFERROR(INDEX(PP_Grid[#Data],$DE1434,85),0)</f>
        <v/>
      </c>
      <c r="CK1434">
        <f>IFERROR(INDEX(PP_Grid[#Data],$DE1434,86),0)</f>
        <v/>
      </c>
      <c r="CL1434">
        <f>IFERROR(INDEX(PP_Grid[#Data],$DE1434,87),0)</f>
        <v/>
      </c>
      <c r="CM1434">
        <f>IFERROR(INDEX(PP_Grid[#Data],$DE1434,88),0)</f>
        <v/>
      </c>
      <c r="CN1434">
        <f>IFERROR(INDEX(PP_Grid[#Data],$DE1434,89),0)</f>
        <v/>
      </c>
      <c r="CO1434">
        <f>IFERROR(INDEX(PP_Grid[#Data],$DE1434,90),0)</f>
        <v/>
      </c>
      <c r="CP1434">
        <f>IFERROR(INDEX(PP_Grid[#Data],$DE1434,91),0)</f>
        <v/>
      </c>
      <c r="CQ1434">
        <f>IFERROR(INDEX(PP_Grid[#Data],$DE1434,92),0)</f>
        <v/>
      </c>
      <c r="CR1434">
        <f>IFERROR(INDEX(PP_Grid[#Data],$DE1434,93),0)</f>
        <v/>
      </c>
      <c r="CS1434">
        <f>IFERROR(INDEX(PP_Grid[#Data],$DE1434,94),0)</f>
        <v/>
      </c>
      <c r="CT1434">
        <f>IFERROR(INDEX(PP_Grid[#Data],$DE1434,95),0)</f>
        <v/>
      </c>
      <c r="CU1434">
        <f>IFERROR(INDEX(PP_Grid[#Data],$DE1434,96),0)</f>
        <v/>
      </c>
      <c r="CV1434">
        <f>IFERROR(INDEX(PP_Grid[#Data],$DE1434,97),0)</f>
        <v/>
      </c>
      <c r="CW1434">
        <f>IFERROR(INDEX(PP_Grid[#Data],$DE1434,98),0)</f>
        <v/>
      </c>
      <c r="CX1434">
        <f>IFERROR(INDEX(PP_Grid[#Data],$DE1434,99),0)</f>
        <v/>
      </c>
      <c r="CY1434">
        <f>IFERROR(INDEX(PP_Grid[#Data],$DE1434,100),0)</f>
        <v/>
      </c>
      <c r="CZ1434">
        <f>IFERROR(INDEX(PP_Grid[#Data],$DE1434,101),0)</f>
        <v/>
      </c>
      <c r="DA1434">
        <f>IFERROR(INDEX(PP_Grid[#Data],$DE1434,102),0)</f>
        <v/>
      </c>
      <c r="DB1434">
        <f>IFERROR(INDEX(PP_Grid[#Data],$DE1434,103),0)</f>
        <v/>
      </c>
      <c r="DC1434">
        <f>IFERROR(INDEX(PP_Grid[#Data],$DE1434,104),0)</f>
        <v/>
      </c>
      <c r="DD1434">
        <f>IFERROR(INDEX(PP_Grid[#Data],$DE1434,105),0)</f>
        <v/>
      </c>
      <c r="DE1434" s="7">
        <f>IFERROR(MATCH($B1434,PP_Grid[Intermediate],0),99999)</f>
        <v/>
      </c>
    </row>
    <row r="1435">
      <c r="B1435" t="inlineStr">
        <is>
          <t>使用量(kg)</t>
        </is>
      </c>
      <c r="C1435">
        <f>SUMIFS(M_BOM[RM_Qty_Per_Batch],M_BOM[Intermediate],$B1434,M_BOM[RM_Code],$A1425)</f>
        <v/>
      </c>
      <c r="D1435">
        <f>IFERROR(INDEX(E1435:DD1435,$F$1),"")</f>
        <v/>
      </c>
      <c r="E1435">
        <f>$C1435*E1434</f>
        <v/>
      </c>
      <c r="F1435">
        <f>$C1435*F1434</f>
        <v/>
      </c>
      <c r="G1435">
        <f>$C1435*G1434</f>
        <v/>
      </c>
      <c r="H1435">
        <f>$C1435*H1434</f>
        <v/>
      </c>
      <c r="I1435">
        <f>$C1435*I1434</f>
        <v/>
      </c>
      <c r="J1435">
        <f>$C1435*J1434</f>
        <v/>
      </c>
      <c r="K1435">
        <f>$C1435*K1434</f>
        <v/>
      </c>
      <c r="L1435">
        <f>$C1435*L1434</f>
        <v/>
      </c>
      <c r="M1435">
        <f>$C1435*M1434</f>
        <v/>
      </c>
      <c r="N1435">
        <f>$C1435*N1434</f>
        <v/>
      </c>
      <c r="O1435">
        <f>$C1435*O1434</f>
        <v/>
      </c>
      <c r="P1435">
        <f>$C1435*P1434</f>
        <v/>
      </c>
      <c r="Q1435">
        <f>$C1435*Q1434</f>
        <v/>
      </c>
      <c r="R1435">
        <f>$C1435*R1434</f>
        <v/>
      </c>
      <c r="S1435">
        <f>$C1435*S1434</f>
        <v/>
      </c>
      <c r="T1435">
        <f>$C1435*T1434</f>
        <v/>
      </c>
      <c r="U1435">
        <f>$C1435*U1434</f>
        <v/>
      </c>
      <c r="V1435">
        <f>$C1435*V1434</f>
        <v/>
      </c>
      <c r="W1435">
        <f>$C1435*W1434</f>
        <v/>
      </c>
      <c r="X1435">
        <f>$C1435*X1434</f>
        <v/>
      </c>
      <c r="Y1435">
        <f>$C1435*Y1434</f>
        <v/>
      </c>
      <c r="Z1435">
        <f>$C1435*Z1434</f>
        <v/>
      </c>
      <c r="AA1435">
        <f>$C1435*AA1434</f>
        <v/>
      </c>
      <c r="AB1435">
        <f>$C1435*AB1434</f>
        <v/>
      </c>
      <c r="AC1435">
        <f>$C1435*AC1434</f>
        <v/>
      </c>
      <c r="AD1435">
        <f>$C1435*AD1434</f>
        <v/>
      </c>
      <c r="AE1435">
        <f>$C1435*AE1434</f>
        <v/>
      </c>
      <c r="AF1435">
        <f>$C1435*AF1434</f>
        <v/>
      </c>
      <c r="AG1435">
        <f>$C1435*AG1434</f>
        <v/>
      </c>
      <c r="AH1435">
        <f>$C1435*AH1434</f>
        <v/>
      </c>
      <c r="AI1435">
        <f>$C1435*AI1434</f>
        <v/>
      </c>
      <c r="AJ1435">
        <f>$C1435*AJ1434</f>
        <v/>
      </c>
      <c r="AK1435">
        <f>$C1435*AK1434</f>
        <v/>
      </c>
      <c r="AL1435">
        <f>$C1435*AL1434</f>
        <v/>
      </c>
      <c r="AM1435">
        <f>$C1435*AM1434</f>
        <v/>
      </c>
      <c r="AN1435">
        <f>$C1435*AN1434</f>
        <v/>
      </c>
      <c r="AO1435">
        <f>$C1435*AO1434</f>
        <v/>
      </c>
      <c r="AP1435">
        <f>$C1435*AP1434</f>
        <v/>
      </c>
      <c r="AQ1435">
        <f>$C1435*AQ1434</f>
        <v/>
      </c>
      <c r="AR1435">
        <f>$C1435*AR1434</f>
        <v/>
      </c>
      <c r="AS1435">
        <f>$C1435*AS1434</f>
        <v/>
      </c>
      <c r="AT1435">
        <f>$C1435*AT1434</f>
        <v/>
      </c>
      <c r="AU1435">
        <f>$C1435*AU1434</f>
        <v/>
      </c>
      <c r="AV1435">
        <f>$C1435*AV1434</f>
        <v/>
      </c>
      <c r="AW1435">
        <f>$C1435*AW1434</f>
        <v/>
      </c>
      <c r="AX1435">
        <f>$C1435*AX1434</f>
        <v/>
      </c>
      <c r="AY1435">
        <f>$C1435*AY1434</f>
        <v/>
      </c>
      <c r="AZ1435">
        <f>$C1435*AZ1434</f>
        <v/>
      </c>
      <c r="BA1435">
        <f>$C1435*BA1434</f>
        <v/>
      </c>
      <c r="BB1435">
        <f>$C1435*BB1434</f>
        <v/>
      </c>
      <c r="BC1435">
        <f>$C1435*BC1434</f>
        <v/>
      </c>
      <c r="BD1435">
        <f>$C1435*BD1434</f>
        <v/>
      </c>
      <c r="BE1435">
        <f>$C1435*BE1434</f>
        <v/>
      </c>
      <c r="BF1435">
        <f>$C1435*BF1434</f>
        <v/>
      </c>
      <c r="BG1435">
        <f>$C1435*BG1434</f>
        <v/>
      </c>
      <c r="BH1435">
        <f>$C1435*BH1434</f>
        <v/>
      </c>
      <c r="BI1435">
        <f>$C1435*BI1434</f>
        <v/>
      </c>
      <c r="BJ1435">
        <f>$C1435*BJ1434</f>
        <v/>
      </c>
      <c r="BK1435">
        <f>$C1435*BK1434</f>
        <v/>
      </c>
      <c r="BL1435">
        <f>$C1435*BL1434</f>
        <v/>
      </c>
      <c r="BM1435">
        <f>$C1435*BM1434</f>
        <v/>
      </c>
      <c r="BN1435">
        <f>$C1435*BN1434</f>
        <v/>
      </c>
      <c r="BO1435">
        <f>$C1435*BO1434</f>
        <v/>
      </c>
      <c r="BP1435">
        <f>$C1435*BP1434</f>
        <v/>
      </c>
      <c r="BQ1435">
        <f>$C1435*BQ1434</f>
        <v/>
      </c>
      <c r="BR1435">
        <f>$C1435*BR1434</f>
        <v/>
      </c>
      <c r="BS1435">
        <f>$C1435*BS1434</f>
        <v/>
      </c>
      <c r="BT1435">
        <f>$C1435*BT1434</f>
        <v/>
      </c>
      <c r="BU1435">
        <f>$C1435*BU1434</f>
        <v/>
      </c>
      <c r="BV1435">
        <f>$C1435*BV1434</f>
        <v/>
      </c>
      <c r="BW1435">
        <f>$C1435*BW1434</f>
        <v/>
      </c>
      <c r="BX1435">
        <f>$C1435*BX1434</f>
        <v/>
      </c>
      <c r="BY1435">
        <f>$C1435*BY1434</f>
        <v/>
      </c>
      <c r="BZ1435">
        <f>$C1435*BZ1434</f>
        <v/>
      </c>
      <c r="CA1435">
        <f>$C1435*CA1434</f>
        <v/>
      </c>
      <c r="CB1435">
        <f>$C1435*CB1434</f>
        <v/>
      </c>
      <c r="CC1435">
        <f>$C1435*CC1434</f>
        <v/>
      </c>
      <c r="CD1435">
        <f>$C1435*CD1434</f>
        <v/>
      </c>
      <c r="CE1435">
        <f>$C1435*CE1434</f>
        <v/>
      </c>
      <c r="CF1435">
        <f>$C1435*CF1434</f>
        <v/>
      </c>
      <c r="CG1435">
        <f>$C1435*CG1434</f>
        <v/>
      </c>
      <c r="CH1435">
        <f>$C1435*CH1434</f>
        <v/>
      </c>
      <c r="CI1435">
        <f>$C1435*CI1434</f>
        <v/>
      </c>
      <c r="CJ1435">
        <f>$C1435*CJ1434</f>
        <v/>
      </c>
      <c r="CK1435">
        <f>$C1435*CK1434</f>
        <v/>
      </c>
      <c r="CL1435">
        <f>$C1435*CL1434</f>
        <v/>
      </c>
      <c r="CM1435">
        <f>$C1435*CM1434</f>
        <v/>
      </c>
      <c r="CN1435">
        <f>$C1435*CN1434</f>
        <v/>
      </c>
      <c r="CO1435">
        <f>$C1435*CO1434</f>
        <v/>
      </c>
      <c r="CP1435">
        <f>$C1435*CP1434</f>
        <v/>
      </c>
      <c r="CQ1435">
        <f>$C1435*CQ1434</f>
        <v/>
      </c>
      <c r="CR1435">
        <f>$C1435*CR1434</f>
        <v/>
      </c>
      <c r="CS1435">
        <f>$C1435*CS1434</f>
        <v/>
      </c>
      <c r="CT1435">
        <f>$C1435*CT1434</f>
        <v/>
      </c>
      <c r="CU1435">
        <f>$C1435*CU1434</f>
        <v/>
      </c>
      <c r="CV1435">
        <f>$C1435*CV1434</f>
        <v/>
      </c>
      <c r="CW1435">
        <f>$C1435*CW1434</f>
        <v/>
      </c>
      <c r="CX1435">
        <f>$C1435*CX1434</f>
        <v/>
      </c>
      <c r="CY1435">
        <f>$C1435*CY1434</f>
        <v/>
      </c>
      <c r="CZ1435">
        <f>$C1435*CZ1434</f>
        <v/>
      </c>
      <c r="DA1435">
        <f>$C1435*DA1434</f>
        <v/>
      </c>
      <c r="DB1435">
        <f>$C1435*DB1434</f>
        <v/>
      </c>
      <c r="DC1435">
        <f>$C1435*DC1434</f>
        <v/>
      </c>
      <c r="DD1435">
        <f>$C1435*DD1434</f>
        <v/>
      </c>
    </row>
    <row r="1436">
      <c r="B1436" s="4" t="inlineStr">
        <is>
          <t>合計使用量(kg)/週</t>
        </is>
      </c>
      <c r="D1436" s="22">
        <f>IFERROR(INDEX(E1436:DD1436,$F$1),"")</f>
        <v/>
      </c>
      <c r="E1436">
        <f>'Grid_Requirement'!B88</f>
        <v/>
      </c>
      <c r="F1436">
        <f>'Grid_Requirement'!C88</f>
        <v/>
      </c>
      <c r="G1436">
        <f>'Grid_Requirement'!D88</f>
        <v/>
      </c>
      <c r="H1436">
        <f>'Grid_Requirement'!E88</f>
        <v/>
      </c>
      <c r="I1436">
        <f>'Grid_Requirement'!F88</f>
        <v/>
      </c>
      <c r="J1436">
        <f>'Grid_Requirement'!G88</f>
        <v/>
      </c>
      <c r="K1436">
        <f>'Grid_Requirement'!H88</f>
        <v/>
      </c>
      <c r="L1436">
        <f>'Grid_Requirement'!I88</f>
        <v/>
      </c>
      <c r="M1436">
        <f>'Grid_Requirement'!J88</f>
        <v/>
      </c>
      <c r="N1436">
        <f>'Grid_Requirement'!K88</f>
        <v/>
      </c>
      <c r="O1436">
        <f>'Grid_Requirement'!L88</f>
        <v/>
      </c>
      <c r="P1436">
        <f>'Grid_Requirement'!M88</f>
        <v/>
      </c>
      <c r="Q1436">
        <f>'Grid_Requirement'!N88</f>
        <v/>
      </c>
      <c r="R1436">
        <f>'Grid_Requirement'!O88</f>
        <v/>
      </c>
      <c r="S1436">
        <f>'Grid_Requirement'!P88</f>
        <v/>
      </c>
      <c r="T1436">
        <f>'Grid_Requirement'!Q88</f>
        <v/>
      </c>
      <c r="U1436">
        <f>'Grid_Requirement'!R88</f>
        <v/>
      </c>
      <c r="V1436">
        <f>'Grid_Requirement'!S88</f>
        <v/>
      </c>
      <c r="W1436">
        <f>'Grid_Requirement'!T88</f>
        <v/>
      </c>
      <c r="X1436">
        <f>'Grid_Requirement'!U88</f>
        <v/>
      </c>
      <c r="Y1436">
        <f>'Grid_Requirement'!V88</f>
        <v/>
      </c>
      <c r="Z1436">
        <f>'Grid_Requirement'!W88</f>
        <v/>
      </c>
      <c r="AA1436">
        <f>'Grid_Requirement'!X88</f>
        <v/>
      </c>
      <c r="AB1436">
        <f>'Grid_Requirement'!Y88</f>
        <v/>
      </c>
      <c r="AC1436">
        <f>'Grid_Requirement'!Z88</f>
        <v/>
      </c>
      <c r="AD1436">
        <f>'Grid_Requirement'!AA88</f>
        <v/>
      </c>
      <c r="AE1436">
        <f>'Grid_Requirement'!AB88</f>
        <v/>
      </c>
      <c r="AF1436">
        <f>'Grid_Requirement'!AC88</f>
        <v/>
      </c>
      <c r="AG1436">
        <f>'Grid_Requirement'!AD88</f>
        <v/>
      </c>
      <c r="AH1436">
        <f>'Grid_Requirement'!AE88</f>
        <v/>
      </c>
      <c r="AI1436">
        <f>'Grid_Requirement'!AF88</f>
        <v/>
      </c>
      <c r="AJ1436">
        <f>'Grid_Requirement'!AG88</f>
        <v/>
      </c>
      <c r="AK1436">
        <f>'Grid_Requirement'!AH88</f>
        <v/>
      </c>
      <c r="AL1436">
        <f>'Grid_Requirement'!AI88</f>
        <v/>
      </c>
      <c r="AM1436">
        <f>'Grid_Requirement'!AJ88</f>
        <v/>
      </c>
      <c r="AN1436">
        <f>'Grid_Requirement'!AK88</f>
        <v/>
      </c>
      <c r="AO1436">
        <f>'Grid_Requirement'!AL88</f>
        <v/>
      </c>
      <c r="AP1436">
        <f>'Grid_Requirement'!AM88</f>
        <v/>
      </c>
      <c r="AQ1436">
        <f>'Grid_Requirement'!AN88</f>
        <v/>
      </c>
      <c r="AR1436">
        <f>'Grid_Requirement'!AO88</f>
        <v/>
      </c>
      <c r="AS1436">
        <f>'Grid_Requirement'!AP88</f>
        <v/>
      </c>
      <c r="AT1436">
        <f>'Grid_Requirement'!AQ88</f>
        <v/>
      </c>
      <c r="AU1436">
        <f>'Grid_Requirement'!AR88</f>
        <v/>
      </c>
      <c r="AV1436">
        <f>'Grid_Requirement'!AS88</f>
        <v/>
      </c>
      <c r="AW1436">
        <f>'Grid_Requirement'!AT88</f>
        <v/>
      </c>
      <c r="AX1436">
        <f>'Grid_Requirement'!AU88</f>
        <v/>
      </c>
      <c r="AY1436">
        <f>'Grid_Requirement'!AV88</f>
        <v/>
      </c>
      <c r="AZ1436">
        <f>'Grid_Requirement'!AW88</f>
        <v/>
      </c>
      <c r="BA1436">
        <f>'Grid_Requirement'!AX88</f>
        <v/>
      </c>
      <c r="BB1436">
        <f>'Grid_Requirement'!AY88</f>
        <v/>
      </c>
      <c r="BC1436">
        <f>'Grid_Requirement'!AZ88</f>
        <v/>
      </c>
      <c r="BD1436">
        <f>'Grid_Requirement'!BA88</f>
        <v/>
      </c>
      <c r="BE1436">
        <f>'Grid_Requirement'!BB88</f>
        <v/>
      </c>
      <c r="BF1436">
        <f>'Grid_Requirement'!BC88</f>
        <v/>
      </c>
      <c r="BG1436">
        <f>'Grid_Requirement'!BD88</f>
        <v/>
      </c>
      <c r="BH1436">
        <f>'Grid_Requirement'!BE88</f>
        <v/>
      </c>
      <c r="BI1436">
        <f>'Grid_Requirement'!BF88</f>
        <v/>
      </c>
      <c r="BJ1436">
        <f>'Grid_Requirement'!BG88</f>
        <v/>
      </c>
      <c r="BK1436">
        <f>'Grid_Requirement'!BH88</f>
        <v/>
      </c>
      <c r="BL1436">
        <f>'Grid_Requirement'!BI88</f>
        <v/>
      </c>
      <c r="BM1436">
        <f>'Grid_Requirement'!BJ88</f>
        <v/>
      </c>
      <c r="BN1436">
        <f>'Grid_Requirement'!BK88</f>
        <v/>
      </c>
      <c r="BO1436">
        <f>'Grid_Requirement'!BL88</f>
        <v/>
      </c>
      <c r="BP1436">
        <f>'Grid_Requirement'!BM88</f>
        <v/>
      </c>
      <c r="BQ1436">
        <f>'Grid_Requirement'!BN88</f>
        <v/>
      </c>
      <c r="BR1436">
        <f>'Grid_Requirement'!BO88</f>
        <v/>
      </c>
      <c r="BS1436">
        <f>'Grid_Requirement'!BP88</f>
        <v/>
      </c>
      <c r="BT1436">
        <f>'Grid_Requirement'!BQ88</f>
        <v/>
      </c>
      <c r="BU1436">
        <f>'Grid_Requirement'!BR88</f>
        <v/>
      </c>
      <c r="BV1436">
        <f>'Grid_Requirement'!BS88</f>
        <v/>
      </c>
      <c r="BW1436">
        <f>'Grid_Requirement'!BT88</f>
        <v/>
      </c>
      <c r="BX1436">
        <f>'Grid_Requirement'!BU88</f>
        <v/>
      </c>
      <c r="BY1436">
        <f>'Grid_Requirement'!BV88</f>
        <v/>
      </c>
      <c r="BZ1436">
        <f>'Grid_Requirement'!BW88</f>
        <v/>
      </c>
      <c r="CA1436">
        <f>'Grid_Requirement'!BX88</f>
        <v/>
      </c>
      <c r="CB1436">
        <f>'Grid_Requirement'!BY88</f>
        <v/>
      </c>
      <c r="CC1436">
        <f>'Grid_Requirement'!BZ88</f>
        <v/>
      </c>
      <c r="CD1436">
        <f>'Grid_Requirement'!CA88</f>
        <v/>
      </c>
      <c r="CE1436">
        <f>'Grid_Requirement'!CB88</f>
        <v/>
      </c>
      <c r="CF1436">
        <f>'Grid_Requirement'!CC88</f>
        <v/>
      </c>
      <c r="CG1436">
        <f>'Grid_Requirement'!CD88</f>
        <v/>
      </c>
      <c r="CH1436">
        <f>'Grid_Requirement'!CE88</f>
        <v/>
      </c>
      <c r="CI1436">
        <f>'Grid_Requirement'!CF88</f>
        <v/>
      </c>
      <c r="CJ1436">
        <f>'Grid_Requirement'!CG88</f>
        <v/>
      </c>
      <c r="CK1436">
        <f>'Grid_Requirement'!CH88</f>
        <v/>
      </c>
      <c r="CL1436">
        <f>'Grid_Requirement'!CI88</f>
        <v/>
      </c>
      <c r="CM1436">
        <f>'Grid_Requirement'!CJ88</f>
        <v/>
      </c>
      <c r="CN1436">
        <f>'Grid_Requirement'!CK88</f>
        <v/>
      </c>
      <c r="CO1436">
        <f>'Grid_Requirement'!CL88</f>
        <v/>
      </c>
      <c r="CP1436">
        <f>'Grid_Requirement'!CM88</f>
        <v/>
      </c>
      <c r="CQ1436">
        <f>'Grid_Requirement'!CN88</f>
        <v/>
      </c>
      <c r="CR1436">
        <f>'Grid_Requirement'!CO88</f>
        <v/>
      </c>
      <c r="CS1436">
        <f>'Grid_Requirement'!CP88</f>
        <v/>
      </c>
      <c r="CT1436">
        <f>'Grid_Requirement'!CQ88</f>
        <v/>
      </c>
      <c r="CU1436">
        <f>'Grid_Requirement'!CR88</f>
        <v/>
      </c>
      <c r="CV1436">
        <f>'Grid_Requirement'!CS88</f>
        <v/>
      </c>
      <c r="CW1436">
        <f>'Grid_Requirement'!CT88</f>
        <v/>
      </c>
      <c r="CX1436">
        <f>'Grid_Requirement'!CU88</f>
        <v/>
      </c>
      <c r="CY1436">
        <f>'Grid_Requirement'!CV88</f>
        <v/>
      </c>
      <c r="CZ1436">
        <f>'Grid_Requirement'!CW88</f>
        <v/>
      </c>
      <c r="DA1436">
        <f>'Grid_Requirement'!CX88</f>
        <v/>
      </c>
      <c r="DB1436">
        <f>'Grid_Requirement'!CY88</f>
        <v/>
      </c>
      <c r="DC1436">
        <f>'Grid_Requirement'!CZ88</f>
        <v/>
      </c>
      <c r="DD1436">
        <f>'Grid_Requirement'!DA88</f>
        <v/>
      </c>
    </row>
    <row r="1437">
      <c r="B1437" s="23" t="inlineStr">
        <is>
          <t>（在庫・入荷予定はDashboard参照）</t>
        </is>
      </c>
    </row>
    <row r="1439">
      <c r="A1439" s="21" t="inlineStr">
        <is>
          <t>CHEM-1760</t>
        </is>
      </c>
      <c r="B1439" s="21" t="inlineStr">
        <is>
          <t>Pigment(TC RED FD(A))</t>
        </is>
      </c>
      <c r="C1439" s="21" t="n"/>
      <c r="D1439" s="21" t="n"/>
      <c r="E1439" s="21" t="n"/>
      <c r="F1439" s="21" t="n"/>
      <c r="G1439" s="21" t="n"/>
      <c r="H1439" s="21" t="n"/>
      <c r="I1439" s="21" t="n"/>
      <c r="J1439" s="21" t="n"/>
      <c r="K1439" s="21" t="n"/>
      <c r="L1439" s="21" t="n"/>
      <c r="M1439" s="21" t="n"/>
      <c r="N1439" s="21" t="n"/>
      <c r="O1439" s="21" t="n"/>
      <c r="P1439" s="21" t="n"/>
      <c r="Q1439" s="21" t="n"/>
      <c r="R1439" s="21" t="n"/>
      <c r="S1439" s="21" t="n"/>
      <c r="T1439" s="21" t="n"/>
      <c r="U1439" s="21" t="n"/>
      <c r="V1439" s="21" t="n"/>
      <c r="W1439" s="21" t="n"/>
      <c r="X1439" s="21" t="n"/>
      <c r="Y1439" s="21" t="n"/>
      <c r="Z1439" s="21" t="n"/>
      <c r="AA1439" s="21" t="n"/>
      <c r="AB1439" s="21" t="n"/>
      <c r="AC1439" s="21" t="n"/>
      <c r="AD1439" s="21" t="n"/>
      <c r="AE1439" s="21" t="n"/>
      <c r="AF1439" s="21" t="n"/>
      <c r="AG1439" s="21" t="n"/>
      <c r="AH1439" s="21" t="n"/>
      <c r="AI1439" s="21" t="n"/>
      <c r="AJ1439" s="21" t="n"/>
      <c r="AK1439" s="21" t="n"/>
      <c r="AL1439" s="21" t="n"/>
      <c r="AM1439" s="21" t="n"/>
      <c r="AN1439" s="21" t="n"/>
      <c r="AO1439" s="21" t="n"/>
      <c r="AP1439" s="21" t="n"/>
      <c r="AQ1439" s="21" t="n"/>
      <c r="AR1439" s="21" t="n"/>
      <c r="AS1439" s="21" t="n"/>
      <c r="AT1439" s="21" t="n"/>
      <c r="AU1439" s="21" t="n"/>
      <c r="AV1439" s="21" t="n"/>
      <c r="AW1439" s="21" t="n"/>
      <c r="AX1439" s="21" t="n"/>
      <c r="AY1439" s="21" t="n"/>
      <c r="AZ1439" s="21" t="n"/>
      <c r="BA1439" s="21" t="n"/>
      <c r="BB1439" s="21" t="n"/>
      <c r="BC1439" s="21" t="n"/>
      <c r="BD1439" s="21" t="n"/>
      <c r="BE1439" s="21" t="n"/>
      <c r="BF1439" s="21" t="n"/>
      <c r="BG1439" s="21" t="n"/>
      <c r="BH1439" s="21" t="n"/>
      <c r="BI1439" s="21" t="n"/>
      <c r="BJ1439" s="21" t="n"/>
      <c r="BK1439" s="21" t="n"/>
      <c r="BL1439" s="21" t="n"/>
      <c r="BM1439" s="21" t="n"/>
      <c r="BN1439" s="21" t="n"/>
      <c r="BO1439" s="21" t="n"/>
      <c r="BP1439" s="21" t="n"/>
      <c r="BQ1439" s="21" t="n"/>
      <c r="BR1439" s="21" t="n"/>
      <c r="BS1439" s="21" t="n"/>
      <c r="BT1439" s="21" t="n"/>
      <c r="BU1439" s="21" t="n"/>
      <c r="BV1439" s="21" t="n"/>
      <c r="BW1439" s="21" t="n"/>
      <c r="BX1439" s="21" t="n"/>
      <c r="BY1439" s="21" t="n"/>
      <c r="BZ1439" s="21" t="n"/>
      <c r="CA1439" s="21" t="n"/>
      <c r="CB1439" s="21" t="n"/>
      <c r="CC1439" s="21" t="n"/>
      <c r="CD1439" s="21" t="n"/>
      <c r="CE1439" s="21" t="n"/>
      <c r="CF1439" s="21" t="n"/>
      <c r="CG1439" s="21" t="n"/>
      <c r="CH1439" s="21" t="n"/>
      <c r="CI1439" s="21" t="n"/>
      <c r="CJ1439" s="21" t="n"/>
      <c r="CK1439" s="21" t="n"/>
      <c r="CL1439" s="21" t="n"/>
      <c r="CM1439" s="21" t="n"/>
      <c r="CN1439" s="21" t="n"/>
      <c r="CO1439" s="21" t="n"/>
      <c r="CP1439" s="21" t="n"/>
      <c r="CQ1439" s="21" t="n"/>
      <c r="CR1439" s="21" t="n"/>
      <c r="CS1439" s="21" t="n"/>
      <c r="CT1439" s="21" t="n"/>
      <c r="CU1439" s="21" t="n"/>
      <c r="CV1439" s="21" t="n"/>
      <c r="CW1439" s="21" t="n"/>
      <c r="CX1439" s="21" t="n"/>
      <c r="CY1439" s="21" t="n"/>
      <c r="CZ1439" s="21" t="n"/>
      <c r="DA1439" s="21" t="n"/>
      <c r="DB1439" s="21" t="n"/>
      <c r="DC1439" s="21" t="n"/>
      <c r="DD1439" s="21" t="n"/>
    </row>
    <row r="1440">
      <c r="B1440" t="inlineStr">
        <is>
          <t>TVS-833</t>
        </is>
      </c>
      <c r="C1440" t="inlineStr">
        <is>
          <t>No. of batches</t>
        </is>
      </c>
      <c r="D1440">
        <f>IFERROR(INDEX(E1440:DD1440,$F$1),"")</f>
        <v/>
      </c>
      <c r="E1440">
        <f>IFERROR(INDEX(PP_Grid[#Data],$DE1440,2),0)</f>
        <v/>
      </c>
      <c r="F1440">
        <f>IFERROR(INDEX(PP_Grid[#Data],$DE1440,3),0)</f>
        <v/>
      </c>
      <c r="G1440">
        <f>IFERROR(INDEX(PP_Grid[#Data],$DE1440,4),0)</f>
        <v/>
      </c>
      <c r="H1440">
        <f>IFERROR(INDEX(PP_Grid[#Data],$DE1440,5),0)</f>
        <v/>
      </c>
      <c r="I1440">
        <f>IFERROR(INDEX(PP_Grid[#Data],$DE1440,6),0)</f>
        <v/>
      </c>
      <c r="J1440">
        <f>IFERROR(INDEX(PP_Grid[#Data],$DE1440,7),0)</f>
        <v/>
      </c>
      <c r="K1440">
        <f>IFERROR(INDEX(PP_Grid[#Data],$DE1440,8),0)</f>
        <v/>
      </c>
      <c r="L1440">
        <f>IFERROR(INDEX(PP_Grid[#Data],$DE1440,9),0)</f>
        <v/>
      </c>
      <c r="M1440">
        <f>IFERROR(INDEX(PP_Grid[#Data],$DE1440,10),0)</f>
        <v/>
      </c>
      <c r="N1440">
        <f>IFERROR(INDEX(PP_Grid[#Data],$DE1440,11),0)</f>
        <v/>
      </c>
      <c r="O1440">
        <f>IFERROR(INDEX(PP_Grid[#Data],$DE1440,12),0)</f>
        <v/>
      </c>
      <c r="P1440">
        <f>IFERROR(INDEX(PP_Grid[#Data],$DE1440,13),0)</f>
        <v/>
      </c>
      <c r="Q1440">
        <f>IFERROR(INDEX(PP_Grid[#Data],$DE1440,14),0)</f>
        <v/>
      </c>
      <c r="R1440">
        <f>IFERROR(INDEX(PP_Grid[#Data],$DE1440,15),0)</f>
        <v/>
      </c>
      <c r="S1440">
        <f>IFERROR(INDEX(PP_Grid[#Data],$DE1440,16),0)</f>
        <v/>
      </c>
      <c r="T1440">
        <f>IFERROR(INDEX(PP_Grid[#Data],$DE1440,17),0)</f>
        <v/>
      </c>
      <c r="U1440">
        <f>IFERROR(INDEX(PP_Grid[#Data],$DE1440,18),0)</f>
        <v/>
      </c>
      <c r="V1440">
        <f>IFERROR(INDEX(PP_Grid[#Data],$DE1440,19),0)</f>
        <v/>
      </c>
      <c r="W1440">
        <f>IFERROR(INDEX(PP_Grid[#Data],$DE1440,20),0)</f>
        <v/>
      </c>
      <c r="X1440">
        <f>IFERROR(INDEX(PP_Grid[#Data],$DE1440,21),0)</f>
        <v/>
      </c>
      <c r="Y1440">
        <f>IFERROR(INDEX(PP_Grid[#Data],$DE1440,22),0)</f>
        <v/>
      </c>
      <c r="Z1440">
        <f>IFERROR(INDEX(PP_Grid[#Data],$DE1440,23),0)</f>
        <v/>
      </c>
      <c r="AA1440">
        <f>IFERROR(INDEX(PP_Grid[#Data],$DE1440,24),0)</f>
        <v/>
      </c>
      <c r="AB1440">
        <f>IFERROR(INDEX(PP_Grid[#Data],$DE1440,25),0)</f>
        <v/>
      </c>
      <c r="AC1440">
        <f>IFERROR(INDEX(PP_Grid[#Data],$DE1440,26),0)</f>
        <v/>
      </c>
      <c r="AD1440">
        <f>IFERROR(INDEX(PP_Grid[#Data],$DE1440,27),0)</f>
        <v/>
      </c>
      <c r="AE1440">
        <f>IFERROR(INDEX(PP_Grid[#Data],$DE1440,28),0)</f>
        <v/>
      </c>
      <c r="AF1440">
        <f>IFERROR(INDEX(PP_Grid[#Data],$DE1440,29),0)</f>
        <v/>
      </c>
      <c r="AG1440">
        <f>IFERROR(INDEX(PP_Grid[#Data],$DE1440,30),0)</f>
        <v/>
      </c>
      <c r="AH1440">
        <f>IFERROR(INDEX(PP_Grid[#Data],$DE1440,31),0)</f>
        <v/>
      </c>
      <c r="AI1440">
        <f>IFERROR(INDEX(PP_Grid[#Data],$DE1440,32),0)</f>
        <v/>
      </c>
      <c r="AJ1440">
        <f>IFERROR(INDEX(PP_Grid[#Data],$DE1440,33),0)</f>
        <v/>
      </c>
      <c r="AK1440">
        <f>IFERROR(INDEX(PP_Grid[#Data],$DE1440,34),0)</f>
        <v/>
      </c>
      <c r="AL1440">
        <f>IFERROR(INDEX(PP_Grid[#Data],$DE1440,35),0)</f>
        <v/>
      </c>
      <c r="AM1440">
        <f>IFERROR(INDEX(PP_Grid[#Data],$DE1440,36),0)</f>
        <v/>
      </c>
      <c r="AN1440">
        <f>IFERROR(INDEX(PP_Grid[#Data],$DE1440,37),0)</f>
        <v/>
      </c>
      <c r="AO1440">
        <f>IFERROR(INDEX(PP_Grid[#Data],$DE1440,38),0)</f>
        <v/>
      </c>
      <c r="AP1440">
        <f>IFERROR(INDEX(PP_Grid[#Data],$DE1440,39),0)</f>
        <v/>
      </c>
      <c r="AQ1440">
        <f>IFERROR(INDEX(PP_Grid[#Data],$DE1440,40),0)</f>
        <v/>
      </c>
      <c r="AR1440">
        <f>IFERROR(INDEX(PP_Grid[#Data],$DE1440,41),0)</f>
        <v/>
      </c>
      <c r="AS1440">
        <f>IFERROR(INDEX(PP_Grid[#Data],$DE1440,42),0)</f>
        <v/>
      </c>
      <c r="AT1440">
        <f>IFERROR(INDEX(PP_Grid[#Data],$DE1440,43),0)</f>
        <v/>
      </c>
      <c r="AU1440">
        <f>IFERROR(INDEX(PP_Grid[#Data],$DE1440,44),0)</f>
        <v/>
      </c>
      <c r="AV1440">
        <f>IFERROR(INDEX(PP_Grid[#Data],$DE1440,45),0)</f>
        <v/>
      </c>
      <c r="AW1440">
        <f>IFERROR(INDEX(PP_Grid[#Data],$DE1440,46),0)</f>
        <v/>
      </c>
      <c r="AX1440">
        <f>IFERROR(INDEX(PP_Grid[#Data],$DE1440,47),0)</f>
        <v/>
      </c>
      <c r="AY1440">
        <f>IFERROR(INDEX(PP_Grid[#Data],$DE1440,48),0)</f>
        <v/>
      </c>
      <c r="AZ1440">
        <f>IFERROR(INDEX(PP_Grid[#Data],$DE1440,49),0)</f>
        <v/>
      </c>
      <c r="BA1440">
        <f>IFERROR(INDEX(PP_Grid[#Data],$DE1440,50),0)</f>
        <v/>
      </c>
      <c r="BB1440">
        <f>IFERROR(INDEX(PP_Grid[#Data],$DE1440,51),0)</f>
        <v/>
      </c>
      <c r="BC1440">
        <f>IFERROR(INDEX(PP_Grid[#Data],$DE1440,52),0)</f>
        <v/>
      </c>
      <c r="BD1440">
        <f>IFERROR(INDEX(PP_Grid[#Data],$DE1440,53),0)</f>
        <v/>
      </c>
      <c r="BE1440">
        <f>IFERROR(INDEX(PP_Grid[#Data],$DE1440,54),0)</f>
        <v/>
      </c>
      <c r="BF1440">
        <f>IFERROR(INDEX(PP_Grid[#Data],$DE1440,55),0)</f>
        <v/>
      </c>
      <c r="BG1440">
        <f>IFERROR(INDEX(PP_Grid[#Data],$DE1440,56),0)</f>
        <v/>
      </c>
      <c r="BH1440">
        <f>IFERROR(INDEX(PP_Grid[#Data],$DE1440,57),0)</f>
        <v/>
      </c>
      <c r="BI1440">
        <f>IFERROR(INDEX(PP_Grid[#Data],$DE1440,58),0)</f>
        <v/>
      </c>
      <c r="BJ1440">
        <f>IFERROR(INDEX(PP_Grid[#Data],$DE1440,59),0)</f>
        <v/>
      </c>
      <c r="BK1440">
        <f>IFERROR(INDEX(PP_Grid[#Data],$DE1440,60),0)</f>
        <v/>
      </c>
      <c r="BL1440">
        <f>IFERROR(INDEX(PP_Grid[#Data],$DE1440,61),0)</f>
        <v/>
      </c>
      <c r="BM1440">
        <f>IFERROR(INDEX(PP_Grid[#Data],$DE1440,62),0)</f>
        <v/>
      </c>
      <c r="BN1440">
        <f>IFERROR(INDEX(PP_Grid[#Data],$DE1440,63),0)</f>
        <v/>
      </c>
      <c r="BO1440">
        <f>IFERROR(INDEX(PP_Grid[#Data],$DE1440,64),0)</f>
        <v/>
      </c>
      <c r="BP1440">
        <f>IFERROR(INDEX(PP_Grid[#Data],$DE1440,65),0)</f>
        <v/>
      </c>
      <c r="BQ1440">
        <f>IFERROR(INDEX(PP_Grid[#Data],$DE1440,66),0)</f>
        <v/>
      </c>
      <c r="BR1440">
        <f>IFERROR(INDEX(PP_Grid[#Data],$DE1440,67),0)</f>
        <v/>
      </c>
      <c r="BS1440">
        <f>IFERROR(INDEX(PP_Grid[#Data],$DE1440,68),0)</f>
        <v/>
      </c>
      <c r="BT1440">
        <f>IFERROR(INDEX(PP_Grid[#Data],$DE1440,69),0)</f>
        <v/>
      </c>
      <c r="BU1440">
        <f>IFERROR(INDEX(PP_Grid[#Data],$DE1440,70),0)</f>
        <v/>
      </c>
      <c r="BV1440">
        <f>IFERROR(INDEX(PP_Grid[#Data],$DE1440,71),0)</f>
        <v/>
      </c>
      <c r="BW1440">
        <f>IFERROR(INDEX(PP_Grid[#Data],$DE1440,72),0)</f>
        <v/>
      </c>
      <c r="BX1440">
        <f>IFERROR(INDEX(PP_Grid[#Data],$DE1440,73),0)</f>
        <v/>
      </c>
      <c r="BY1440">
        <f>IFERROR(INDEX(PP_Grid[#Data],$DE1440,74),0)</f>
        <v/>
      </c>
      <c r="BZ1440">
        <f>IFERROR(INDEX(PP_Grid[#Data],$DE1440,75),0)</f>
        <v/>
      </c>
      <c r="CA1440">
        <f>IFERROR(INDEX(PP_Grid[#Data],$DE1440,76),0)</f>
        <v/>
      </c>
      <c r="CB1440">
        <f>IFERROR(INDEX(PP_Grid[#Data],$DE1440,77),0)</f>
        <v/>
      </c>
      <c r="CC1440">
        <f>IFERROR(INDEX(PP_Grid[#Data],$DE1440,78),0)</f>
        <v/>
      </c>
      <c r="CD1440">
        <f>IFERROR(INDEX(PP_Grid[#Data],$DE1440,79),0)</f>
        <v/>
      </c>
      <c r="CE1440">
        <f>IFERROR(INDEX(PP_Grid[#Data],$DE1440,80),0)</f>
        <v/>
      </c>
      <c r="CF1440">
        <f>IFERROR(INDEX(PP_Grid[#Data],$DE1440,81),0)</f>
        <v/>
      </c>
      <c r="CG1440">
        <f>IFERROR(INDEX(PP_Grid[#Data],$DE1440,82),0)</f>
        <v/>
      </c>
      <c r="CH1440">
        <f>IFERROR(INDEX(PP_Grid[#Data],$DE1440,83),0)</f>
        <v/>
      </c>
      <c r="CI1440">
        <f>IFERROR(INDEX(PP_Grid[#Data],$DE1440,84),0)</f>
        <v/>
      </c>
      <c r="CJ1440">
        <f>IFERROR(INDEX(PP_Grid[#Data],$DE1440,85),0)</f>
        <v/>
      </c>
      <c r="CK1440">
        <f>IFERROR(INDEX(PP_Grid[#Data],$DE1440,86),0)</f>
        <v/>
      </c>
      <c r="CL1440">
        <f>IFERROR(INDEX(PP_Grid[#Data],$DE1440,87),0)</f>
        <v/>
      </c>
      <c r="CM1440">
        <f>IFERROR(INDEX(PP_Grid[#Data],$DE1440,88),0)</f>
        <v/>
      </c>
      <c r="CN1440">
        <f>IFERROR(INDEX(PP_Grid[#Data],$DE1440,89),0)</f>
        <v/>
      </c>
      <c r="CO1440">
        <f>IFERROR(INDEX(PP_Grid[#Data],$DE1440,90),0)</f>
        <v/>
      </c>
      <c r="CP1440">
        <f>IFERROR(INDEX(PP_Grid[#Data],$DE1440,91),0)</f>
        <v/>
      </c>
      <c r="CQ1440">
        <f>IFERROR(INDEX(PP_Grid[#Data],$DE1440,92),0)</f>
        <v/>
      </c>
      <c r="CR1440">
        <f>IFERROR(INDEX(PP_Grid[#Data],$DE1440,93),0)</f>
        <v/>
      </c>
      <c r="CS1440">
        <f>IFERROR(INDEX(PP_Grid[#Data],$DE1440,94),0)</f>
        <v/>
      </c>
      <c r="CT1440">
        <f>IFERROR(INDEX(PP_Grid[#Data],$DE1440,95),0)</f>
        <v/>
      </c>
      <c r="CU1440">
        <f>IFERROR(INDEX(PP_Grid[#Data],$DE1440,96),0)</f>
        <v/>
      </c>
      <c r="CV1440">
        <f>IFERROR(INDEX(PP_Grid[#Data],$DE1440,97),0)</f>
        <v/>
      </c>
      <c r="CW1440">
        <f>IFERROR(INDEX(PP_Grid[#Data],$DE1440,98),0)</f>
        <v/>
      </c>
      <c r="CX1440">
        <f>IFERROR(INDEX(PP_Grid[#Data],$DE1440,99),0)</f>
        <v/>
      </c>
      <c r="CY1440">
        <f>IFERROR(INDEX(PP_Grid[#Data],$DE1440,100),0)</f>
        <v/>
      </c>
      <c r="CZ1440">
        <f>IFERROR(INDEX(PP_Grid[#Data],$DE1440,101),0)</f>
        <v/>
      </c>
      <c r="DA1440">
        <f>IFERROR(INDEX(PP_Grid[#Data],$DE1440,102),0)</f>
        <v/>
      </c>
      <c r="DB1440">
        <f>IFERROR(INDEX(PP_Grid[#Data],$DE1440,103),0)</f>
        <v/>
      </c>
      <c r="DC1440">
        <f>IFERROR(INDEX(PP_Grid[#Data],$DE1440,104),0)</f>
        <v/>
      </c>
      <c r="DD1440">
        <f>IFERROR(INDEX(PP_Grid[#Data],$DE1440,105),0)</f>
        <v/>
      </c>
      <c r="DE1440" s="7">
        <f>IFERROR(MATCH($B1440,PP_Grid[Intermediate],0),99999)</f>
        <v/>
      </c>
    </row>
    <row r="1441">
      <c r="B1441" t="inlineStr">
        <is>
          <t>使用量(kg)</t>
        </is>
      </c>
      <c r="C1441">
        <f>SUMIFS(M_BOM[RM_Qty_Per_Batch],M_BOM[Intermediate],$B1440,M_BOM[RM_Code],$A1439)</f>
        <v/>
      </c>
      <c r="D1441">
        <f>IFERROR(INDEX(E1441:DD1441,$F$1),"")</f>
        <v/>
      </c>
      <c r="E1441">
        <f>$C1441*E1440</f>
        <v/>
      </c>
      <c r="F1441">
        <f>$C1441*F1440</f>
        <v/>
      </c>
      <c r="G1441">
        <f>$C1441*G1440</f>
        <v/>
      </c>
      <c r="H1441">
        <f>$C1441*H1440</f>
        <v/>
      </c>
      <c r="I1441">
        <f>$C1441*I1440</f>
        <v/>
      </c>
      <c r="J1441">
        <f>$C1441*J1440</f>
        <v/>
      </c>
      <c r="K1441">
        <f>$C1441*K1440</f>
        <v/>
      </c>
      <c r="L1441">
        <f>$C1441*L1440</f>
        <v/>
      </c>
      <c r="M1441">
        <f>$C1441*M1440</f>
        <v/>
      </c>
      <c r="N1441">
        <f>$C1441*N1440</f>
        <v/>
      </c>
      <c r="O1441">
        <f>$C1441*O1440</f>
        <v/>
      </c>
      <c r="P1441">
        <f>$C1441*P1440</f>
        <v/>
      </c>
      <c r="Q1441">
        <f>$C1441*Q1440</f>
        <v/>
      </c>
      <c r="R1441">
        <f>$C1441*R1440</f>
        <v/>
      </c>
      <c r="S1441">
        <f>$C1441*S1440</f>
        <v/>
      </c>
      <c r="T1441">
        <f>$C1441*T1440</f>
        <v/>
      </c>
      <c r="U1441">
        <f>$C1441*U1440</f>
        <v/>
      </c>
      <c r="V1441">
        <f>$C1441*V1440</f>
        <v/>
      </c>
      <c r="W1441">
        <f>$C1441*W1440</f>
        <v/>
      </c>
      <c r="X1441">
        <f>$C1441*X1440</f>
        <v/>
      </c>
      <c r="Y1441">
        <f>$C1441*Y1440</f>
        <v/>
      </c>
      <c r="Z1441">
        <f>$C1441*Z1440</f>
        <v/>
      </c>
      <c r="AA1441">
        <f>$C1441*AA1440</f>
        <v/>
      </c>
      <c r="AB1441">
        <f>$C1441*AB1440</f>
        <v/>
      </c>
      <c r="AC1441">
        <f>$C1441*AC1440</f>
        <v/>
      </c>
      <c r="AD1441">
        <f>$C1441*AD1440</f>
        <v/>
      </c>
      <c r="AE1441">
        <f>$C1441*AE1440</f>
        <v/>
      </c>
      <c r="AF1441">
        <f>$C1441*AF1440</f>
        <v/>
      </c>
      <c r="AG1441">
        <f>$C1441*AG1440</f>
        <v/>
      </c>
      <c r="AH1441">
        <f>$C1441*AH1440</f>
        <v/>
      </c>
      <c r="AI1441">
        <f>$C1441*AI1440</f>
        <v/>
      </c>
      <c r="AJ1441">
        <f>$C1441*AJ1440</f>
        <v/>
      </c>
      <c r="AK1441">
        <f>$C1441*AK1440</f>
        <v/>
      </c>
      <c r="AL1441">
        <f>$C1441*AL1440</f>
        <v/>
      </c>
      <c r="AM1441">
        <f>$C1441*AM1440</f>
        <v/>
      </c>
      <c r="AN1441">
        <f>$C1441*AN1440</f>
        <v/>
      </c>
      <c r="AO1441">
        <f>$C1441*AO1440</f>
        <v/>
      </c>
      <c r="AP1441">
        <f>$C1441*AP1440</f>
        <v/>
      </c>
      <c r="AQ1441">
        <f>$C1441*AQ1440</f>
        <v/>
      </c>
      <c r="AR1441">
        <f>$C1441*AR1440</f>
        <v/>
      </c>
      <c r="AS1441">
        <f>$C1441*AS1440</f>
        <v/>
      </c>
      <c r="AT1441">
        <f>$C1441*AT1440</f>
        <v/>
      </c>
      <c r="AU1441">
        <f>$C1441*AU1440</f>
        <v/>
      </c>
      <c r="AV1441">
        <f>$C1441*AV1440</f>
        <v/>
      </c>
      <c r="AW1441">
        <f>$C1441*AW1440</f>
        <v/>
      </c>
      <c r="AX1441">
        <f>$C1441*AX1440</f>
        <v/>
      </c>
      <c r="AY1441">
        <f>$C1441*AY1440</f>
        <v/>
      </c>
      <c r="AZ1441">
        <f>$C1441*AZ1440</f>
        <v/>
      </c>
      <c r="BA1441">
        <f>$C1441*BA1440</f>
        <v/>
      </c>
      <c r="BB1441">
        <f>$C1441*BB1440</f>
        <v/>
      </c>
      <c r="BC1441">
        <f>$C1441*BC1440</f>
        <v/>
      </c>
      <c r="BD1441">
        <f>$C1441*BD1440</f>
        <v/>
      </c>
      <c r="BE1441">
        <f>$C1441*BE1440</f>
        <v/>
      </c>
      <c r="BF1441">
        <f>$C1441*BF1440</f>
        <v/>
      </c>
      <c r="BG1441">
        <f>$C1441*BG1440</f>
        <v/>
      </c>
      <c r="BH1441">
        <f>$C1441*BH1440</f>
        <v/>
      </c>
      <c r="BI1441">
        <f>$C1441*BI1440</f>
        <v/>
      </c>
      <c r="BJ1441">
        <f>$C1441*BJ1440</f>
        <v/>
      </c>
      <c r="BK1441">
        <f>$C1441*BK1440</f>
        <v/>
      </c>
      <c r="BL1441">
        <f>$C1441*BL1440</f>
        <v/>
      </c>
      <c r="BM1441">
        <f>$C1441*BM1440</f>
        <v/>
      </c>
      <c r="BN1441">
        <f>$C1441*BN1440</f>
        <v/>
      </c>
      <c r="BO1441">
        <f>$C1441*BO1440</f>
        <v/>
      </c>
      <c r="BP1441">
        <f>$C1441*BP1440</f>
        <v/>
      </c>
      <c r="BQ1441">
        <f>$C1441*BQ1440</f>
        <v/>
      </c>
      <c r="BR1441">
        <f>$C1441*BR1440</f>
        <v/>
      </c>
      <c r="BS1441">
        <f>$C1441*BS1440</f>
        <v/>
      </c>
      <c r="BT1441">
        <f>$C1441*BT1440</f>
        <v/>
      </c>
      <c r="BU1441">
        <f>$C1441*BU1440</f>
        <v/>
      </c>
      <c r="BV1441">
        <f>$C1441*BV1440</f>
        <v/>
      </c>
      <c r="BW1441">
        <f>$C1441*BW1440</f>
        <v/>
      </c>
      <c r="BX1441">
        <f>$C1441*BX1440</f>
        <v/>
      </c>
      <c r="BY1441">
        <f>$C1441*BY1440</f>
        <v/>
      </c>
      <c r="BZ1441">
        <f>$C1441*BZ1440</f>
        <v/>
      </c>
      <c r="CA1441">
        <f>$C1441*CA1440</f>
        <v/>
      </c>
      <c r="CB1441">
        <f>$C1441*CB1440</f>
        <v/>
      </c>
      <c r="CC1441">
        <f>$C1441*CC1440</f>
        <v/>
      </c>
      <c r="CD1441">
        <f>$C1441*CD1440</f>
        <v/>
      </c>
      <c r="CE1441">
        <f>$C1441*CE1440</f>
        <v/>
      </c>
      <c r="CF1441">
        <f>$C1441*CF1440</f>
        <v/>
      </c>
      <c r="CG1441">
        <f>$C1441*CG1440</f>
        <v/>
      </c>
      <c r="CH1441">
        <f>$C1441*CH1440</f>
        <v/>
      </c>
      <c r="CI1441">
        <f>$C1441*CI1440</f>
        <v/>
      </c>
      <c r="CJ1441">
        <f>$C1441*CJ1440</f>
        <v/>
      </c>
      <c r="CK1441">
        <f>$C1441*CK1440</f>
        <v/>
      </c>
      <c r="CL1441">
        <f>$C1441*CL1440</f>
        <v/>
      </c>
      <c r="CM1441">
        <f>$C1441*CM1440</f>
        <v/>
      </c>
      <c r="CN1441">
        <f>$C1441*CN1440</f>
        <v/>
      </c>
      <c r="CO1441">
        <f>$C1441*CO1440</f>
        <v/>
      </c>
      <c r="CP1441">
        <f>$C1441*CP1440</f>
        <v/>
      </c>
      <c r="CQ1441">
        <f>$C1441*CQ1440</f>
        <v/>
      </c>
      <c r="CR1441">
        <f>$C1441*CR1440</f>
        <v/>
      </c>
      <c r="CS1441">
        <f>$C1441*CS1440</f>
        <v/>
      </c>
      <c r="CT1441">
        <f>$C1441*CT1440</f>
        <v/>
      </c>
      <c r="CU1441">
        <f>$C1441*CU1440</f>
        <v/>
      </c>
      <c r="CV1441">
        <f>$C1441*CV1440</f>
        <v/>
      </c>
      <c r="CW1441">
        <f>$C1441*CW1440</f>
        <v/>
      </c>
      <c r="CX1441">
        <f>$C1441*CX1440</f>
        <v/>
      </c>
      <c r="CY1441">
        <f>$C1441*CY1440</f>
        <v/>
      </c>
      <c r="CZ1441">
        <f>$C1441*CZ1440</f>
        <v/>
      </c>
      <c r="DA1441">
        <f>$C1441*DA1440</f>
        <v/>
      </c>
      <c r="DB1441">
        <f>$C1441*DB1440</f>
        <v/>
      </c>
      <c r="DC1441">
        <f>$C1441*DC1440</f>
        <v/>
      </c>
      <c r="DD1441">
        <f>$C1441*DD1440</f>
        <v/>
      </c>
    </row>
    <row r="1442">
      <c r="B1442" t="inlineStr">
        <is>
          <t>TVS-267</t>
        </is>
      </c>
      <c r="C1442" t="inlineStr">
        <is>
          <t>No. of batches</t>
        </is>
      </c>
      <c r="D1442">
        <f>IFERROR(INDEX(E1442:DD1442,$F$1),"")</f>
        <v/>
      </c>
      <c r="E1442">
        <f>IFERROR(INDEX(PP_Grid[#Data],$DE1442,2),0)</f>
        <v/>
      </c>
      <c r="F1442">
        <f>IFERROR(INDEX(PP_Grid[#Data],$DE1442,3),0)</f>
        <v/>
      </c>
      <c r="G1442">
        <f>IFERROR(INDEX(PP_Grid[#Data],$DE1442,4),0)</f>
        <v/>
      </c>
      <c r="H1442">
        <f>IFERROR(INDEX(PP_Grid[#Data],$DE1442,5),0)</f>
        <v/>
      </c>
      <c r="I1442">
        <f>IFERROR(INDEX(PP_Grid[#Data],$DE1442,6),0)</f>
        <v/>
      </c>
      <c r="J1442">
        <f>IFERROR(INDEX(PP_Grid[#Data],$DE1442,7),0)</f>
        <v/>
      </c>
      <c r="K1442">
        <f>IFERROR(INDEX(PP_Grid[#Data],$DE1442,8),0)</f>
        <v/>
      </c>
      <c r="L1442">
        <f>IFERROR(INDEX(PP_Grid[#Data],$DE1442,9),0)</f>
        <v/>
      </c>
      <c r="M1442">
        <f>IFERROR(INDEX(PP_Grid[#Data],$DE1442,10),0)</f>
        <v/>
      </c>
      <c r="N1442">
        <f>IFERROR(INDEX(PP_Grid[#Data],$DE1442,11),0)</f>
        <v/>
      </c>
      <c r="O1442">
        <f>IFERROR(INDEX(PP_Grid[#Data],$DE1442,12),0)</f>
        <v/>
      </c>
      <c r="P1442">
        <f>IFERROR(INDEX(PP_Grid[#Data],$DE1442,13),0)</f>
        <v/>
      </c>
      <c r="Q1442">
        <f>IFERROR(INDEX(PP_Grid[#Data],$DE1442,14),0)</f>
        <v/>
      </c>
      <c r="R1442">
        <f>IFERROR(INDEX(PP_Grid[#Data],$DE1442,15),0)</f>
        <v/>
      </c>
      <c r="S1442">
        <f>IFERROR(INDEX(PP_Grid[#Data],$DE1442,16),0)</f>
        <v/>
      </c>
      <c r="T1442">
        <f>IFERROR(INDEX(PP_Grid[#Data],$DE1442,17),0)</f>
        <v/>
      </c>
      <c r="U1442">
        <f>IFERROR(INDEX(PP_Grid[#Data],$DE1442,18),0)</f>
        <v/>
      </c>
      <c r="V1442">
        <f>IFERROR(INDEX(PP_Grid[#Data],$DE1442,19),0)</f>
        <v/>
      </c>
      <c r="W1442">
        <f>IFERROR(INDEX(PP_Grid[#Data],$DE1442,20),0)</f>
        <v/>
      </c>
      <c r="X1442">
        <f>IFERROR(INDEX(PP_Grid[#Data],$DE1442,21),0)</f>
        <v/>
      </c>
      <c r="Y1442">
        <f>IFERROR(INDEX(PP_Grid[#Data],$DE1442,22),0)</f>
        <v/>
      </c>
      <c r="Z1442">
        <f>IFERROR(INDEX(PP_Grid[#Data],$DE1442,23),0)</f>
        <v/>
      </c>
      <c r="AA1442">
        <f>IFERROR(INDEX(PP_Grid[#Data],$DE1442,24),0)</f>
        <v/>
      </c>
      <c r="AB1442">
        <f>IFERROR(INDEX(PP_Grid[#Data],$DE1442,25),0)</f>
        <v/>
      </c>
      <c r="AC1442">
        <f>IFERROR(INDEX(PP_Grid[#Data],$DE1442,26),0)</f>
        <v/>
      </c>
      <c r="AD1442">
        <f>IFERROR(INDEX(PP_Grid[#Data],$DE1442,27),0)</f>
        <v/>
      </c>
      <c r="AE1442">
        <f>IFERROR(INDEX(PP_Grid[#Data],$DE1442,28),0)</f>
        <v/>
      </c>
      <c r="AF1442">
        <f>IFERROR(INDEX(PP_Grid[#Data],$DE1442,29),0)</f>
        <v/>
      </c>
      <c r="AG1442">
        <f>IFERROR(INDEX(PP_Grid[#Data],$DE1442,30),0)</f>
        <v/>
      </c>
      <c r="AH1442">
        <f>IFERROR(INDEX(PP_Grid[#Data],$DE1442,31),0)</f>
        <v/>
      </c>
      <c r="AI1442">
        <f>IFERROR(INDEX(PP_Grid[#Data],$DE1442,32),0)</f>
        <v/>
      </c>
      <c r="AJ1442">
        <f>IFERROR(INDEX(PP_Grid[#Data],$DE1442,33),0)</f>
        <v/>
      </c>
      <c r="AK1442">
        <f>IFERROR(INDEX(PP_Grid[#Data],$DE1442,34),0)</f>
        <v/>
      </c>
      <c r="AL1442">
        <f>IFERROR(INDEX(PP_Grid[#Data],$DE1442,35),0)</f>
        <v/>
      </c>
      <c r="AM1442">
        <f>IFERROR(INDEX(PP_Grid[#Data],$DE1442,36),0)</f>
        <v/>
      </c>
      <c r="AN1442">
        <f>IFERROR(INDEX(PP_Grid[#Data],$DE1442,37),0)</f>
        <v/>
      </c>
      <c r="AO1442">
        <f>IFERROR(INDEX(PP_Grid[#Data],$DE1442,38),0)</f>
        <v/>
      </c>
      <c r="AP1442">
        <f>IFERROR(INDEX(PP_Grid[#Data],$DE1442,39),0)</f>
        <v/>
      </c>
      <c r="AQ1442">
        <f>IFERROR(INDEX(PP_Grid[#Data],$DE1442,40),0)</f>
        <v/>
      </c>
      <c r="AR1442">
        <f>IFERROR(INDEX(PP_Grid[#Data],$DE1442,41),0)</f>
        <v/>
      </c>
      <c r="AS1442">
        <f>IFERROR(INDEX(PP_Grid[#Data],$DE1442,42),0)</f>
        <v/>
      </c>
      <c r="AT1442">
        <f>IFERROR(INDEX(PP_Grid[#Data],$DE1442,43),0)</f>
        <v/>
      </c>
      <c r="AU1442">
        <f>IFERROR(INDEX(PP_Grid[#Data],$DE1442,44),0)</f>
        <v/>
      </c>
      <c r="AV1442">
        <f>IFERROR(INDEX(PP_Grid[#Data],$DE1442,45),0)</f>
        <v/>
      </c>
      <c r="AW1442">
        <f>IFERROR(INDEX(PP_Grid[#Data],$DE1442,46),0)</f>
        <v/>
      </c>
      <c r="AX1442">
        <f>IFERROR(INDEX(PP_Grid[#Data],$DE1442,47),0)</f>
        <v/>
      </c>
      <c r="AY1442">
        <f>IFERROR(INDEX(PP_Grid[#Data],$DE1442,48),0)</f>
        <v/>
      </c>
      <c r="AZ1442">
        <f>IFERROR(INDEX(PP_Grid[#Data],$DE1442,49),0)</f>
        <v/>
      </c>
      <c r="BA1442">
        <f>IFERROR(INDEX(PP_Grid[#Data],$DE1442,50),0)</f>
        <v/>
      </c>
      <c r="BB1442">
        <f>IFERROR(INDEX(PP_Grid[#Data],$DE1442,51),0)</f>
        <v/>
      </c>
      <c r="BC1442">
        <f>IFERROR(INDEX(PP_Grid[#Data],$DE1442,52),0)</f>
        <v/>
      </c>
      <c r="BD1442">
        <f>IFERROR(INDEX(PP_Grid[#Data],$DE1442,53),0)</f>
        <v/>
      </c>
      <c r="BE1442">
        <f>IFERROR(INDEX(PP_Grid[#Data],$DE1442,54),0)</f>
        <v/>
      </c>
      <c r="BF1442">
        <f>IFERROR(INDEX(PP_Grid[#Data],$DE1442,55),0)</f>
        <v/>
      </c>
      <c r="BG1442">
        <f>IFERROR(INDEX(PP_Grid[#Data],$DE1442,56),0)</f>
        <v/>
      </c>
      <c r="BH1442">
        <f>IFERROR(INDEX(PP_Grid[#Data],$DE1442,57),0)</f>
        <v/>
      </c>
      <c r="BI1442">
        <f>IFERROR(INDEX(PP_Grid[#Data],$DE1442,58),0)</f>
        <v/>
      </c>
      <c r="BJ1442">
        <f>IFERROR(INDEX(PP_Grid[#Data],$DE1442,59),0)</f>
        <v/>
      </c>
      <c r="BK1442">
        <f>IFERROR(INDEX(PP_Grid[#Data],$DE1442,60),0)</f>
        <v/>
      </c>
      <c r="BL1442">
        <f>IFERROR(INDEX(PP_Grid[#Data],$DE1442,61),0)</f>
        <v/>
      </c>
      <c r="BM1442">
        <f>IFERROR(INDEX(PP_Grid[#Data],$DE1442,62),0)</f>
        <v/>
      </c>
      <c r="BN1442">
        <f>IFERROR(INDEX(PP_Grid[#Data],$DE1442,63),0)</f>
        <v/>
      </c>
      <c r="BO1442">
        <f>IFERROR(INDEX(PP_Grid[#Data],$DE1442,64),0)</f>
        <v/>
      </c>
      <c r="BP1442">
        <f>IFERROR(INDEX(PP_Grid[#Data],$DE1442,65),0)</f>
        <v/>
      </c>
      <c r="BQ1442">
        <f>IFERROR(INDEX(PP_Grid[#Data],$DE1442,66),0)</f>
        <v/>
      </c>
      <c r="BR1442">
        <f>IFERROR(INDEX(PP_Grid[#Data],$DE1442,67),0)</f>
        <v/>
      </c>
      <c r="BS1442">
        <f>IFERROR(INDEX(PP_Grid[#Data],$DE1442,68),0)</f>
        <v/>
      </c>
      <c r="BT1442">
        <f>IFERROR(INDEX(PP_Grid[#Data],$DE1442,69),0)</f>
        <v/>
      </c>
      <c r="BU1442">
        <f>IFERROR(INDEX(PP_Grid[#Data],$DE1442,70),0)</f>
        <v/>
      </c>
      <c r="BV1442">
        <f>IFERROR(INDEX(PP_Grid[#Data],$DE1442,71),0)</f>
        <v/>
      </c>
      <c r="BW1442">
        <f>IFERROR(INDEX(PP_Grid[#Data],$DE1442,72),0)</f>
        <v/>
      </c>
      <c r="BX1442">
        <f>IFERROR(INDEX(PP_Grid[#Data],$DE1442,73),0)</f>
        <v/>
      </c>
      <c r="BY1442">
        <f>IFERROR(INDEX(PP_Grid[#Data],$DE1442,74),0)</f>
        <v/>
      </c>
      <c r="BZ1442">
        <f>IFERROR(INDEX(PP_Grid[#Data],$DE1442,75),0)</f>
        <v/>
      </c>
      <c r="CA1442">
        <f>IFERROR(INDEX(PP_Grid[#Data],$DE1442,76),0)</f>
        <v/>
      </c>
      <c r="CB1442">
        <f>IFERROR(INDEX(PP_Grid[#Data],$DE1442,77),0)</f>
        <v/>
      </c>
      <c r="CC1442">
        <f>IFERROR(INDEX(PP_Grid[#Data],$DE1442,78),0)</f>
        <v/>
      </c>
      <c r="CD1442">
        <f>IFERROR(INDEX(PP_Grid[#Data],$DE1442,79),0)</f>
        <v/>
      </c>
      <c r="CE1442">
        <f>IFERROR(INDEX(PP_Grid[#Data],$DE1442,80),0)</f>
        <v/>
      </c>
      <c r="CF1442">
        <f>IFERROR(INDEX(PP_Grid[#Data],$DE1442,81),0)</f>
        <v/>
      </c>
      <c r="CG1442">
        <f>IFERROR(INDEX(PP_Grid[#Data],$DE1442,82),0)</f>
        <v/>
      </c>
      <c r="CH1442">
        <f>IFERROR(INDEX(PP_Grid[#Data],$DE1442,83),0)</f>
        <v/>
      </c>
      <c r="CI1442">
        <f>IFERROR(INDEX(PP_Grid[#Data],$DE1442,84),0)</f>
        <v/>
      </c>
      <c r="CJ1442">
        <f>IFERROR(INDEX(PP_Grid[#Data],$DE1442,85),0)</f>
        <v/>
      </c>
      <c r="CK1442">
        <f>IFERROR(INDEX(PP_Grid[#Data],$DE1442,86),0)</f>
        <v/>
      </c>
      <c r="CL1442">
        <f>IFERROR(INDEX(PP_Grid[#Data],$DE1442,87),0)</f>
        <v/>
      </c>
      <c r="CM1442">
        <f>IFERROR(INDEX(PP_Grid[#Data],$DE1442,88),0)</f>
        <v/>
      </c>
      <c r="CN1442">
        <f>IFERROR(INDEX(PP_Grid[#Data],$DE1442,89),0)</f>
        <v/>
      </c>
      <c r="CO1442">
        <f>IFERROR(INDEX(PP_Grid[#Data],$DE1442,90),0)</f>
        <v/>
      </c>
      <c r="CP1442">
        <f>IFERROR(INDEX(PP_Grid[#Data],$DE1442,91),0)</f>
        <v/>
      </c>
      <c r="CQ1442">
        <f>IFERROR(INDEX(PP_Grid[#Data],$DE1442,92),0)</f>
        <v/>
      </c>
      <c r="CR1442">
        <f>IFERROR(INDEX(PP_Grid[#Data],$DE1442,93),0)</f>
        <v/>
      </c>
      <c r="CS1442">
        <f>IFERROR(INDEX(PP_Grid[#Data],$DE1442,94),0)</f>
        <v/>
      </c>
      <c r="CT1442">
        <f>IFERROR(INDEX(PP_Grid[#Data],$DE1442,95),0)</f>
        <v/>
      </c>
      <c r="CU1442">
        <f>IFERROR(INDEX(PP_Grid[#Data],$DE1442,96),0)</f>
        <v/>
      </c>
      <c r="CV1442">
        <f>IFERROR(INDEX(PP_Grid[#Data],$DE1442,97),0)</f>
        <v/>
      </c>
      <c r="CW1442">
        <f>IFERROR(INDEX(PP_Grid[#Data],$DE1442,98),0)</f>
        <v/>
      </c>
      <c r="CX1442">
        <f>IFERROR(INDEX(PP_Grid[#Data],$DE1442,99),0)</f>
        <v/>
      </c>
      <c r="CY1442">
        <f>IFERROR(INDEX(PP_Grid[#Data],$DE1442,100),0)</f>
        <v/>
      </c>
      <c r="CZ1442">
        <f>IFERROR(INDEX(PP_Grid[#Data],$DE1442,101),0)</f>
        <v/>
      </c>
      <c r="DA1442">
        <f>IFERROR(INDEX(PP_Grid[#Data],$DE1442,102),0)</f>
        <v/>
      </c>
      <c r="DB1442">
        <f>IFERROR(INDEX(PP_Grid[#Data],$DE1442,103),0)</f>
        <v/>
      </c>
      <c r="DC1442">
        <f>IFERROR(INDEX(PP_Grid[#Data],$DE1442,104),0)</f>
        <v/>
      </c>
      <c r="DD1442">
        <f>IFERROR(INDEX(PP_Grid[#Data],$DE1442,105),0)</f>
        <v/>
      </c>
      <c r="DE1442" s="7">
        <f>IFERROR(MATCH($B1442,PP_Grid[Intermediate],0),99999)</f>
        <v/>
      </c>
    </row>
    <row r="1443">
      <c r="B1443" t="inlineStr">
        <is>
          <t>使用量(kg)</t>
        </is>
      </c>
      <c r="C1443">
        <f>SUMIFS(M_BOM[RM_Qty_Per_Batch],M_BOM[Intermediate],$B1442,M_BOM[RM_Code],$A1439)</f>
        <v/>
      </c>
      <c r="D1443">
        <f>IFERROR(INDEX(E1443:DD1443,$F$1),"")</f>
        <v/>
      </c>
      <c r="E1443">
        <f>$C1443*E1442</f>
        <v/>
      </c>
      <c r="F1443">
        <f>$C1443*F1442</f>
        <v/>
      </c>
      <c r="G1443">
        <f>$C1443*G1442</f>
        <v/>
      </c>
      <c r="H1443">
        <f>$C1443*H1442</f>
        <v/>
      </c>
      <c r="I1443">
        <f>$C1443*I1442</f>
        <v/>
      </c>
      <c r="J1443">
        <f>$C1443*J1442</f>
        <v/>
      </c>
      <c r="K1443">
        <f>$C1443*K1442</f>
        <v/>
      </c>
      <c r="L1443">
        <f>$C1443*L1442</f>
        <v/>
      </c>
      <c r="M1443">
        <f>$C1443*M1442</f>
        <v/>
      </c>
      <c r="N1443">
        <f>$C1443*N1442</f>
        <v/>
      </c>
      <c r="O1443">
        <f>$C1443*O1442</f>
        <v/>
      </c>
      <c r="P1443">
        <f>$C1443*P1442</f>
        <v/>
      </c>
      <c r="Q1443">
        <f>$C1443*Q1442</f>
        <v/>
      </c>
      <c r="R1443">
        <f>$C1443*R1442</f>
        <v/>
      </c>
      <c r="S1443">
        <f>$C1443*S1442</f>
        <v/>
      </c>
      <c r="T1443">
        <f>$C1443*T1442</f>
        <v/>
      </c>
      <c r="U1443">
        <f>$C1443*U1442</f>
        <v/>
      </c>
      <c r="V1443">
        <f>$C1443*V1442</f>
        <v/>
      </c>
      <c r="W1443">
        <f>$C1443*W1442</f>
        <v/>
      </c>
      <c r="X1443">
        <f>$C1443*X1442</f>
        <v/>
      </c>
      <c r="Y1443">
        <f>$C1443*Y1442</f>
        <v/>
      </c>
      <c r="Z1443">
        <f>$C1443*Z1442</f>
        <v/>
      </c>
      <c r="AA1443">
        <f>$C1443*AA1442</f>
        <v/>
      </c>
      <c r="AB1443">
        <f>$C1443*AB1442</f>
        <v/>
      </c>
      <c r="AC1443">
        <f>$C1443*AC1442</f>
        <v/>
      </c>
      <c r="AD1443">
        <f>$C1443*AD1442</f>
        <v/>
      </c>
      <c r="AE1443">
        <f>$C1443*AE1442</f>
        <v/>
      </c>
      <c r="AF1443">
        <f>$C1443*AF1442</f>
        <v/>
      </c>
      <c r="AG1443">
        <f>$C1443*AG1442</f>
        <v/>
      </c>
      <c r="AH1443">
        <f>$C1443*AH1442</f>
        <v/>
      </c>
      <c r="AI1443">
        <f>$C1443*AI1442</f>
        <v/>
      </c>
      <c r="AJ1443">
        <f>$C1443*AJ1442</f>
        <v/>
      </c>
      <c r="AK1443">
        <f>$C1443*AK1442</f>
        <v/>
      </c>
      <c r="AL1443">
        <f>$C1443*AL1442</f>
        <v/>
      </c>
      <c r="AM1443">
        <f>$C1443*AM1442</f>
        <v/>
      </c>
      <c r="AN1443">
        <f>$C1443*AN1442</f>
        <v/>
      </c>
      <c r="AO1443">
        <f>$C1443*AO1442</f>
        <v/>
      </c>
      <c r="AP1443">
        <f>$C1443*AP1442</f>
        <v/>
      </c>
      <c r="AQ1443">
        <f>$C1443*AQ1442</f>
        <v/>
      </c>
      <c r="AR1443">
        <f>$C1443*AR1442</f>
        <v/>
      </c>
      <c r="AS1443">
        <f>$C1443*AS1442</f>
        <v/>
      </c>
      <c r="AT1443">
        <f>$C1443*AT1442</f>
        <v/>
      </c>
      <c r="AU1443">
        <f>$C1443*AU1442</f>
        <v/>
      </c>
      <c r="AV1443">
        <f>$C1443*AV1442</f>
        <v/>
      </c>
      <c r="AW1443">
        <f>$C1443*AW1442</f>
        <v/>
      </c>
      <c r="AX1443">
        <f>$C1443*AX1442</f>
        <v/>
      </c>
      <c r="AY1443">
        <f>$C1443*AY1442</f>
        <v/>
      </c>
      <c r="AZ1443">
        <f>$C1443*AZ1442</f>
        <v/>
      </c>
      <c r="BA1443">
        <f>$C1443*BA1442</f>
        <v/>
      </c>
      <c r="BB1443">
        <f>$C1443*BB1442</f>
        <v/>
      </c>
      <c r="BC1443">
        <f>$C1443*BC1442</f>
        <v/>
      </c>
      <c r="BD1443">
        <f>$C1443*BD1442</f>
        <v/>
      </c>
      <c r="BE1443">
        <f>$C1443*BE1442</f>
        <v/>
      </c>
      <c r="BF1443">
        <f>$C1443*BF1442</f>
        <v/>
      </c>
      <c r="BG1443">
        <f>$C1443*BG1442</f>
        <v/>
      </c>
      <c r="BH1443">
        <f>$C1443*BH1442</f>
        <v/>
      </c>
      <c r="BI1443">
        <f>$C1443*BI1442</f>
        <v/>
      </c>
      <c r="BJ1443">
        <f>$C1443*BJ1442</f>
        <v/>
      </c>
      <c r="BK1443">
        <f>$C1443*BK1442</f>
        <v/>
      </c>
      <c r="BL1443">
        <f>$C1443*BL1442</f>
        <v/>
      </c>
      <c r="BM1443">
        <f>$C1443*BM1442</f>
        <v/>
      </c>
      <c r="BN1443">
        <f>$C1443*BN1442</f>
        <v/>
      </c>
      <c r="BO1443">
        <f>$C1443*BO1442</f>
        <v/>
      </c>
      <c r="BP1443">
        <f>$C1443*BP1442</f>
        <v/>
      </c>
      <c r="BQ1443">
        <f>$C1443*BQ1442</f>
        <v/>
      </c>
      <c r="BR1443">
        <f>$C1443*BR1442</f>
        <v/>
      </c>
      <c r="BS1443">
        <f>$C1443*BS1442</f>
        <v/>
      </c>
      <c r="BT1443">
        <f>$C1443*BT1442</f>
        <v/>
      </c>
      <c r="BU1443">
        <f>$C1443*BU1442</f>
        <v/>
      </c>
      <c r="BV1443">
        <f>$C1443*BV1442</f>
        <v/>
      </c>
      <c r="BW1443">
        <f>$C1443*BW1442</f>
        <v/>
      </c>
      <c r="BX1443">
        <f>$C1443*BX1442</f>
        <v/>
      </c>
      <c r="BY1443">
        <f>$C1443*BY1442</f>
        <v/>
      </c>
      <c r="BZ1443">
        <f>$C1443*BZ1442</f>
        <v/>
      </c>
      <c r="CA1443">
        <f>$C1443*CA1442</f>
        <v/>
      </c>
      <c r="CB1443">
        <f>$C1443*CB1442</f>
        <v/>
      </c>
      <c r="CC1443">
        <f>$C1443*CC1442</f>
        <v/>
      </c>
      <c r="CD1443">
        <f>$C1443*CD1442</f>
        <v/>
      </c>
      <c r="CE1443">
        <f>$C1443*CE1442</f>
        <v/>
      </c>
      <c r="CF1443">
        <f>$C1443*CF1442</f>
        <v/>
      </c>
      <c r="CG1443">
        <f>$C1443*CG1442</f>
        <v/>
      </c>
      <c r="CH1443">
        <f>$C1443*CH1442</f>
        <v/>
      </c>
      <c r="CI1443">
        <f>$C1443*CI1442</f>
        <v/>
      </c>
      <c r="CJ1443">
        <f>$C1443*CJ1442</f>
        <v/>
      </c>
      <c r="CK1443">
        <f>$C1443*CK1442</f>
        <v/>
      </c>
      <c r="CL1443">
        <f>$C1443*CL1442</f>
        <v/>
      </c>
      <c r="CM1443">
        <f>$C1443*CM1442</f>
        <v/>
      </c>
      <c r="CN1443">
        <f>$C1443*CN1442</f>
        <v/>
      </c>
      <c r="CO1443">
        <f>$C1443*CO1442</f>
        <v/>
      </c>
      <c r="CP1443">
        <f>$C1443*CP1442</f>
        <v/>
      </c>
      <c r="CQ1443">
        <f>$C1443*CQ1442</f>
        <v/>
      </c>
      <c r="CR1443">
        <f>$C1443*CR1442</f>
        <v/>
      </c>
      <c r="CS1443">
        <f>$C1443*CS1442</f>
        <v/>
      </c>
      <c r="CT1443">
        <f>$C1443*CT1442</f>
        <v/>
      </c>
      <c r="CU1443">
        <f>$C1443*CU1442</f>
        <v/>
      </c>
      <c r="CV1443">
        <f>$C1443*CV1442</f>
        <v/>
      </c>
      <c r="CW1443">
        <f>$C1443*CW1442</f>
        <v/>
      </c>
      <c r="CX1443">
        <f>$C1443*CX1442</f>
        <v/>
      </c>
      <c r="CY1443">
        <f>$C1443*CY1442</f>
        <v/>
      </c>
      <c r="CZ1443">
        <f>$C1443*CZ1442</f>
        <v/>
      </c>
      <c r="DA1443">
        <f>$C1443*DA1442</f>
        <v/>
      </c>
      <c r="DB1443">
        <f>$C1443*DB1442</f>
        <v/>
      </c>
      <c r="DC1443">
        <f>$C1443*DC1442</f>
        <v/>
      </c>
      <c r="DD1443">
        <f>$C1443*DD1442</f>
        <v/>
      </c>
    </row>
    <row r="1444">
      <c r="B1444" t="inlineStr">
        <is>
          <t>TVS-500</t>
        </is>
      </c>
      <c r="C1444" t="inlineStr">
        <is>
          <t>No. of batches</t>
        </is>
      </c>
      <c r="D1444">
        <f>IFERROR(INDEX(E1444:DD1444,$F$1),"")</f>
        <v/>
      </c>
      <c r="E1444">
        <f>IFERROR(INDEX(PP_Grid[#Data],$DE1444,2),0)</f>
        <v/>
      </c>
      <c r="F1444">
        <f>IFERROR(INDEX(PP_Grid[#Data],$DE1444,3),0)</f>
        <v/>
      </c>
      <c r="G1444">
        <f>IFERROR(INDEX(PP_Grid[#Data],$DE1444,4),0)</f>
        <v/>
      </c>
      <c r="H1444">
        <f>IFERROR(INDEX(PP_Grid[#Data],$DE1444,5),0)</f>
        <v/>
      </c>
      <c r="I1444">
        <f>IFERROR(INDEX(PP_Grid[#Data],$DE1444,6),0)</f>
        <v/>
      </c>
      <c r="J1444">
        <f>IFERROR(INDEX(PP_Grid[#Data],$DE1444,7),0)</f>
        <v/>
      </c>
      <c r="K1444">
        <f>IFERROR(INDEX(PP_Grid[#Data],$DE1444,8),0)</f>
        <v/>
      </c>
      <c r="L1444">
        <f>IFERROR(INDEX(PP_Grid[#Data],$DE1444,9),0)</f>
        <v/>
      </c>
      <c r="M1444">
        <f>IFERROR(INDEX(PP_Grid[#Data],$DE1444,10),0)</f>
        <v/>
      </c>
      <c r="N1444">
        <f>IFERROR(INDEX(PP_Grid[#Data],$DE1444,11),0)</f>
        <v/>
      </c>
      <c r="O1444">
        <f>IFERROR(INDEX(PP_Grid[#Data],$DE1444,12),0)</f>
        <v/>
      </c>
      <c r="P1444">
        <f>IFERROR(INDEX(PP_Grid[#Data],$DE1444,13),0)</f>
        <v/>
      </c>
      <c r="Q1444">
        <f>IFERROR(INDEX(PP_Grid[#Data],$DE1444,14),0)</f>
        <v/>
      </c>
      <c r="R1444">
        <f>IFERROR(INDEX(PP_Grid[#Data],$DE1444,15),0)</f>
        <v/>
      </c>
      <c r="S1444">
        <f>IFERROR(INDEX(PP_Grid[#Data],$DE1444,16),0)</f>
        <v/>
      </c>
      <c r="T1444">
        <f>IFERROR(INDEX(PP_Grid[#Data],$DE1444,17),0)</f>
        <v/>
      </c>
      <c r="U1444">
        <f>IFERROR(INDEX(PP_Grid[#Data],$DE1444,18),0)</f>
        <v/>
      </c>
      <c r="V1444">
        <f>IFERROR(INDEX(PP_Grid[#Data],$DE1444,19),0)</f>
        <v/>
      </c>
      <c r="W1444">
        <f>IFERROR(INDEX(PP_Grid[#Data],$DE1444,20),0)</f>
        <v/>
      </c>
      <c r="X1444">
        <f>IFERROR(INDEX(PP_Grid[#Data],$DE1444,21),0)</f>
        <v/>
      </c>
      <c r="Y1444">
        <f>IFERROR(INDEX(PP_Grid[#Data],$DE1444,22),0)</f>
        <v/>
      </c>
      <c r="Z1444">
        <f>IFERROR(INDEX(PP_Grid[#Data],$DE1444,23),0)</f>
        <v/>
      </c>
      <c r="AA1444">
        <f>IFERROR(INDEX(PP_Grid[#Data],$DE1444,24),0)</f>
        <v/>
      </c>
      <c r="AB1444">
        <f>IFERROR(INDEX(PP_Grid[#Data],$DE1444,25),0)</f>
        <v/>
      </c>
      <c r="AC1444">
        <f>IFERROR(INDEX(PP_Grid[#Data],$DE1444,26),0)</f>
        <v/>
      </c>
      <c r="AD1444">
        <f>IFERROR(INDEX(PP_Grid[#Data],$DE1444,27),0)</f>
        <v/>
      </c>
      <c r="AE1444">
        <f>IFERROR(INDEX(PP_Grid[#Data],$DE1444,28),0)</f>
        <v/>
      </c>
      <c r="AF1444">
        <f>IFERROR(INDEX(PP_Grid[#Data],$DE1444,29),0)</f>
        <v/>
      </c>
      <c r="AG1444">
        <f>IFERROR(INDEX(PP_Grid[#Data],$DE1444,30),0)</f>
        <v/>
      </c>
      <c r="AH1444">
        <f>IFERROR(INDEX(PP_Grid[#Data],$DE1444,31),0)</f>
        <v/>
      </c>
      <c r="AI1444">
        <f>IFERROR(INDEX(PP_Grid[#Data],$DE1444,32),0)</f>
        <v/>
      </c>
      <c r="AJ1444">
        <f>IFERROR(INDEX(PP_Grid[#Data],$DE1444,33),0)</f>
        <v/>
      </c>
      <c r="AK1444">
        <f>IFERROR(INDEX(PP_Grid[#Data],$DE1444,34),0)</f>
        <v/>
      </c>
      <c r="AL1444">
        <f>IFERROR(INDEX(PP_Grid[#Data],$DE1444,35),0)</f>
        <v/>
      </c>
      <c r="AM1444">
        <f>IFERROR(INDEX(PP_Grid[#Data],$DE1444,36),0)</f>
        <v/>
      </c>
      <c r="AN1444">
        <f>IFERROR(INDEX(PP_Grid[#Data],$DE1444,37),0)</f>
        <v/>
      </c>
      <c r="AO1444">
        <f>IFERROR(INDEX(PP_Grid[#Data],$DE1444,38),0)</f>
        <v/>
      </c>
      <c r="AP1444">
        <f>IFERROR(INDEX(PP_Grid[#Data],$DE1444,39),0)</f>
        <v/>
      </c>
      <c r="AQ1444">
        <f>IFERROR(INDEX(PP_Grid[#Data],$DE1444,40),0)</f>
        <v/>
      </c>
      <c r="AR1444">
        <f>IFERROR(INDEX(PP_Grid[#Data],$DE1444,41),0)</f>
        <v/>
      </c>
      <c r="AS1444">
        <f>IFERROR(INDEX(PP_Grid[#Data],$DE1444,42),0)</f>
        <v/>
      </c>
      <c r="AT1444">
        <f>IFERROR(INDEX(PP_Grid[#Data],$DE1444,43),0)</f>
        <v/>
      </c>
      <c r="AU1444">
        <f>IFERROR(INDEX(PP_Grid[#Data],$DE1444,44),0)</f>
        <v/>
      </c>
      <c r="AV1444">
        <f>IFERROR(INDEX(PP_Grid[#Data],$DE1444,45),0)</f>
        <v/>
      </c>
      <c r="AW1444">
        <f>IFERROR(INDEX(PP_Grid[#Data],$DE1444,46),0)</f>
        <v/>
      </c>
      <c r="AX1444">
        <f>IFERROR(INDEX(PP_Grid[#Data],$DE1444,47),0)</f>
        <v/>
      </c>
      <c r="AY1444">
        <f>IFERROR(INDEX(PP_Grid[#Data],$DE1444,48),0)</f>
        <v/>
      </c>
      <c r="AZ1444">
        <f>IFERROR(INDEX(PP_Grid[#Data],$DE1444,49),0)</f>
        <v/>
      </c>
      <c r="BA1444">
        <f>IFERROR(INDEX(PP_Grid[#Data],$DE1444,50),0)</f>
        <v/>
      </c>
      <c r="BB1444">
        <f>IFERROR(INDEX(PP_Grid[#Data],$DE1444,51),0)</f>
        <v/>
      </c>
      <c r="BC1444">
        <f>IFERROR(INDEX(PP_Grid[#Data],$DE1444,52),0)</f>
        <v/>
      </c>
      <c r="BD1444">
        <f>IFERROR(INDEX(PP_Grid[#Data],$DE1444,53),0)</f>
        <v/>
      </c>
      <c r="BE1444">
        <f>IFERROR(INDEX(PP_Grid[#Data],$DE1444,54),0)</f>
        <v/>
      </c>
      <c r="BF1444">
        <f>IFERROR(INDEX(PP_Grid[#Data],$DE1444,55),0)</f>
        <v/>
      </c>
      <c r="BG1444">
        <f>IFERROR(INDEX(PP_Grid[#Data],$DE1444,56),0)</f>
        <v/>
      </c>
      <c r="BH1444">
        <f>IFERROR(INDEX(PP_Grid[#Data],$DE1444,57),0)</f>
        <v/>
      </c>
      <c r="BI1444">
        <f>IFERROR(INDEX(PP_Grid[#Data],$DE1444,58),0)</f>
        <v/>
      </c>
      <c r="BJ1444">
        <f>IFERROR(INDEX(PP_Grid[#Data],$DE1444,59),0)</f>
        <v/>
      </c>
      <c r="BK1444">
        <f>IFERROR(INDEX(PP_Grid[#Data],$DE1444,60),0)</f>
        <v/>
      </c>
      <c r="BL1444">
        <f>IFERROR(INDEX(PP_Grid[#Data],$DE1444,61),0)</f>
        <v/>
      </c>
      <c r="BM1444">
        <f>IFERROR(INDEX(PP_Grid[#Data],$DE1444,62),0)</f>
        <v/>
      </c>
      <c r="BN1444">
        <f>IFERROR(INDEX(PP_Grid[#Data],$DE1444,63),0)</f>
        <v/>
      </c>
      <c r="BO1444">
        <f>IFERROR(INDEX(PP_Grid[#Data],$DE1444,64),0)</f>
        <v/>
      </c>
      <c r="BP1444">
        <f>IFERROR(INDEX(PP_Grid[#Data],$DE1444,65),0)</f>
        <v/>
      </c>
      <c r="BQ1444">
        <f>IFERROR(INDEX(PP_Grid[#Data],$DE1444,66),0)</f>
        <v/>
      </c>
      <c r="BR1444">
        <f>IFERROR(INDEX(PP_Grid[#Data],$DE1444,67),0)</f>
        <v/>
      </c>
      <c r="BS1444">
        <f>IFERROR(INDEX(PP_Grid[#Data],$DE1444,68),0)</f>
        <v/>
      </c>
      <c r="BT1444">
        <f>IFERROR(INDEX(PP_Grid[#Data],$DE1444,69),0)</f>
        <v/>
      </c>
      <c r="BU1444">
        <f>IFERROR(INDEX(PP_Grid[#Data],$DE1444,70),0)</f>
        <v/>
      </c>
      <c r="BV1444">
        <f>IFERROR(INDEX(PP_Grid[#Data],$DE1444,71),0)</f>
        <v/>
      </c>
      <c r="BW1444">
        <f>IFERROR(INDEX(PP_Grid[#Data],$DE1444,72),0)</f>
        <v/>
      </c>
      <c r="BX1444">
        <f>IFERROR(INDEX(PP_Grid[#Data],$DE1444,73),0)</f>
        <v/>
      </c>
      <c r="BY1444">
        <f>IFERROR(INDEX(PP_Grid[#Data],$DE1444,74),0)</f>
        <v/>
      </c>
      <c r="BZ1444">
        <f>IFERROR(INDEX(PP_Grid[#Data],$DE1444,75),0)</f>
        <v/>
      </c>
      <c r="CA1444">
        <f>IFERROR(INDEX(PP_Grid[#Data],$DE1444,76),0)</f>
        <v/>
      </c>
      <c r="CB1444">
        <f>IFERROR(INDEX(PP_Grid[#Data],$DE1444,77),0)</f>
        <v/>
      </c>
      <c r="CC1444">
        <f>IFERROR(INDEX(PP_Grid[#Data],$DE1444,78),0)</f>
        <v/>
      </c>
      <c r="CD1444">
        <f>IFERROR(INDEX(PP_Grid[#Data],$DE1444,79),0)</f>
        <v/>
      </c>
      <c r="CE1444">
        <f>IFERROR(INDEX(PP_Grid[#Data],$DE1444,80),0)</f>
        <v/>
      </c>
      <c r="CF1444">
        <f>IFERROR(INDEX(PP_Grid[#Data],$DE1444,81),0)</f>
        <v/>
      </c>
      <c r="CG1444">
        <f>IFERROR(INDEX(PP_Grid[#Data],$DE1444,82),0)</f>
        <v/>
      </c>
      <c r="CH1444">
        <f>IFERROR(INDEX(PP_Grid[#Data],$DE1444,83),0)</f>
        <v/>
      </c>
      <c r="CI1444">
        <f>IFERROR(INDEX(PP_Grid[#Data],$DE1444,84),0)</f>
        <v/>
      </c>
      <c r="CJ1444">
        <f>IFERROR(INDEX(PP_Grid[#Data],$DE1444,85),0)</f>
        <v/>
      </c>
      <c r="CK1444">
        <f>IFERROR(INDEX(PP_Grid[#Data],$DE1444,86),0)</f>
        <v/>
      </c>
      <c r="CL1444">
        <f>IFERROR(INDEX(PP_Grid[#Data],$DE1444,87),0)</f>
        <v/>
      </c>
      <c r="CM1444">
        <f>IFERROR(INDEX(PP_Grid[#Data],$DE1444,88),0)</f>
        <v/>
      </c>
      <c r="CN1444">
        <f>IFERROR(INDEX(PP_Grid[#Data],$DE1444,89),0)</f>
        <v/>
      </c>
      <c r="CO1444">
        <f>IFERROR(INDEX(PP_Grid[#Data],$DE1444,90),0)</f>
        <v/>
      </c>
      <c r="CP1444">
        <f>IFERROR(INDEX(PP_Grid[#Data],$DE1444,91),0)</f>
        <v/>
      </c>
      <c r="CQ1444">
        <f>IFERROR(INDEX(PP_Grid[#Data],$DE1444,92),0)</f>
        <v/>
      </c>
      <c r="CR1444">
        <f>IFERROR(INDEX(PP_Grid[#Data],$DE1444,93),0)</f>
        <v/>
      </c>
      <c r="CS1444">
        <f>IFERROR(INDEX(PP_Grid[#Data],$DE1444,94),0)</f>
        <v/>
      </c>
      <c r="CT1444">
        <f>IFERROR(INDEX(PP_Grid[#Data],$DE1444,95),0)</f>
        <v/>
      </c>
      <c r="CU1444">
        <f>IFERROR(INDEX(PP_Grid[#Data],$DE1444,96),0)</f>
        <v/>
      </c>
      <c r="CV1444">
        <f>IFERROR(INDEX(PP_Grid[#Data],$DE1444,97),0)</f>
        <v/>
      </c>
      <c r="CW1444">
        <f>IFERROR(INDEX(PP_Grid[#Data],$DE1444,98),0)</f>
        <v/>
      </c>
      <c r="CX1444">
        <f>IFERROR(INDEX(PP_Grid[#Data],$DE1444,99),0)</f>
        <v/>
      </c>
      <c r="CY1444">
        <f>IFERROR(INDEX(PP_Grid[#Data],$DE1444,100),0)</f>
        <v/>
      </c>
      <c r="CZ1444">
        <f>IFERROR(INDEX(PP_Grid[#Data],$DE1444,101),0)</f>
        <v/>
      </c>
      <c r="DA1444">
        <f>IFERROR(INDEX(PP_Grid[#Data],$DE1444,102),0)</f>
        <v/>
      </c>
      <c r="DB1444">
        <f>IFERROR(INDEX(PP_Grid[#Data],$DE1444,103),0)</f>
        <v/>
      </c>
      <c r="DC1444">
        <f>IFERROR(INDEX(PP_Grid[#Data],$DE1444,104),0)</f>
        <v/>
      </c>
      <c r="DD1444">
        <f>IFERROR(INDEX(PP_Grid[#Data],$DE1444,105),0)</f>
        <v/>
      </c>
      <c r="DE1444" s="7">
        <f>IFERROR(MATCH($B1444,PP_Grid[Intermediate],0),99999)</f>
        <v/>
      </c>
    </row>
    <row r="1445">
      <c r="B1445" t="inlineStr">
        <is>
          <t>使用量(kg)</t>
        </is>
      </c>
      <c r="C1445">
        <f>SUMIFS(M_BOM[RM_Qty_Per_Batch],M_BOM[Intermediate],$B1444,M_BOM[RM_Code],$A1439)</f>
        <v/>
      </c>
      <c r="D1445">
        <f>IFERROR(INDEX(E1445:DD1445,$F$1),"")</f>
        <v/>
      </c>
      <c r="E1445">
        <f>$C1445*E1444</f>
        <v/>
      </c>
      <c r="F1445">
        <f>$C1445*F1444</f>
        <v/>
      </c>
      <c r="G1445">
        <f>$C1445*G1444</f>
        <v/>
      </c>
      <c r="H1445">
        <f>$C1445*H1444</f>
        <v/>
      </c>
      <c r="I1445">
        <f>$C1445*I1444</f>
        <v/>
      </c>
      <c r="J1445">
        <f>$C1445*J1444</f>
        <v/>
      </c>
      <c r="K1445">
        <f>$C1445*K1444</f>
        <v/>
      </c>
      <c r="L1445">
        <f>$C1445*L1444</f>
        <v/>
      </c>
      <c r="M1445">
        <f>$C1445*M1444</f>
        <v/>
      </c>
      <c r="N1445">
        <f>$C1445*N1444</f>
        <v/>
      </c>
      <c r="O1445">
        <f>$C1445*O1444</f>
        <v/>
      </c>
      <c r="P1445">
        <f>$C1445*P1444</f>
        <v/>
      </c>
      <c r="Q1445">
        <f>$C1445*Q1444</f>
        <v/>
      </c>
      <c r="R1445">
        <f>$C1445*R1444</f>
        <v/>
      </c>
      <c r="S1445">
        <f>$C1445*S1444</f>
        <v/>
      </c>
      <c r="T1445">
        <f>$C1445*T1444</f>
        <v/>
      </c>
      <c r="U1445">
        <f>$C1445*U1444</f>
        <v/>
      </c>
      <c r="V1445">
        <f>$C1445*V1444</f>
        <v/>
      </c>
      <c r="W1445">
        <f>$C1445*W1444</f>
        <v/>
      </c>
      <c r="X1445">
        <f>$C1445*X1444</f>
        <v/>
      </c>
      <c r="Y1445">
        <f>$C1445*Y1444</f>
        <v/>
      </c>
      <c r="Z1445">
        <f>$C1445*Z1444</f>
        <v/>
      </c>
      <c r="AA1445">
        <f>$C1445*AA1444</f>
        <v/>
      </c>
      <c r="AB1445">
        <f>$C1445*AB1444</f>
        <v/>
      </c>
      <c r="AC1445">
        <f>$C1445*AC1444</f>
        <v/>
      </c>
      <c r="AD1445">
        <f>$C1445*AD1444</f>
        <v/>
      </c>
      <c r="AE1445">
        <f>$C1445*AE1444</f>
        <v/>
      </c>
      <c r="AF1445">
        <f>$C1445*AF1444</f>
        <v/>
      </c>
      <c r="AG1445">
        <f>$C1445*AG1444</f>
        <v/>
      </c>
      <c r="AH1445">
        <f>$C1445*AH1444</f>
        <v/>
      </c>
      <c r="AI1445">
        <f>$C1445*AI1444</f>
        <v/>
      </c>
      <c r="AJ1445">
        <f>$C1445*AJ1444</f>
        <v/>
      </c>
      <c r="AK1445">
        <f>$C1445*AK1444</f>
        <v/>
      </c>
      <c r="AL1445">
        <f>$C1445*AL1444</f>
        <v/>
      </c>
      <c r="AM1445">
        <f>$C1445*AM1444</f>
        <v/>
      </c>
      <c r="AN1445">
        <f>$C1445*AN1444</f>
        <v/>
      </c>
      <c r="AO1445">
        <f>$C1445*AO1444</f>
        <v/>
      </c>
      <c r="AP1445">
        <f>$C1445*AP1444</f>
        <v/>
      </c>
      <c r="AQ1445">
        <f>$C1445*AQ1444</f>
        <v/>
      </c>
      <c r="AR1445">
        <f>$C1445*AR1444</f>
        <v/>
      </c>
      <c r="AS1445">
        <f>$C1445*AS1444</f>
        <v/>
      </c>
      <c r="AT1445">
        <f>$C1445*AT1444</f>
        <v/>
      </c>
      <c r="AU1445">
        <f>$C1445*AU1444</f>
        <v/>
      </c>
      <c r="AV1445">
        <f>$C1445*AV1444</f>
        <v/>
      </c>
      <c r="AW1445">
        <f>$C1445*AW1444</f>
        <v/>
      </c>
      <c r="AX1445">
        <f>$C1445*AX1444</f>
        <v/>
      </c>
      <c r="AY1445">
        <f>$C1445*AY1444</f>
        <v/>
      </c>
      <c r="AZ1445">
        <f>$C1445*AZ1444</f>
        <v/>
      </c>
      <c r="BA1445">
        <f>$C1445*BA1444</f>
        <v/>
      </c>
      <c r="BB1445">
        <f>$C1445*BB1444</f>
        <v/>
      </c>
      <c r="BC1445">
        <f>$C1445*BC1444</f>
        <v/>
      </c>
      <c r="BD1445">
        <f>$C1445*BD1444</f>
        <v/>
      </c>
      <c r="BE1445">
        <f>$C1445*BE1444</f>
        <v/>
      </c>
      <c r="BF1445">
        <f>$C1445*BF1444</f>
        <v/>
      </c>
      <c r="BG1445">
        <f>$C1445*BG1444</f>
        <v/>
      </c>
      <c r="BH1445">
        <f>$C1445*BH1444</f>
        <v/>
      </c>
      <c r="BI1445">
        <f>$C1445*BI1444</f>
        <v/>
      </c>
      <c r="BJ1445">
        <f>$C1445*BJ1444</f>
        <v/>
      </c>
      <c r="BK1445">
        <f>$C1445*BK1444</f>
        <v/>
      </c>
      <c r="BL1445">
        <f>$C1445*BL1444</f>
        <v/>
      </c>
      <c r="BM1445">
        <f>$C1445*BM1444</f>
        <v/>
      </c>
      <c r="BN1445">
        <f>$C1445*BN1444</f>
        <v/>
      </c>
      <c r="BO1445">
        <f>$C1445*BO1444</f>
        <v/>
      </c>
      <c r="BP1445">
        <f>$C1445*BP1444</f>
        <v/>
      </c>
      <c r="BQ1445">
        <f>$C1445*BQ1444</f>
        <v/>
      </c>
      <c r="BR1445">
        <f>$C1445*BR1444</f>
        <v/>
      </c>
      <c r="BS1445">
        <f>$C1445*BS1444</f>
        <v/>
      </c>
      <c r="BT1445">
        <f>$C1445*BT1444</f>
        <v/>
      </c>
      <c r="BU1445">
        <f>$C1445*BU1444</f>
        <v/>
      </c>
      <c r="BV1445">
        <f>$C1445*BV1444</f>
        <v/>
      </c>
      <c r="BW1445">
        <f>$C1445*BW1444</f>
        <v/>
      </c>
      <c r="BX1445">
        <f>$C1445*BX1444</f>
        <v/>
      </c>
      <c r="BY1445">
        <f>$C1445*BY1444</f>
        <v/>
      </c>
      <c r="BZ1445">
        <f>$C1445*BZ1444</f>
        <v/>
      </c>
      <c r="CA1445">
        <f>$C1445*CA1444</f>
        <v/>
      </c>
      <c r="CB1445">
        <f>$C1445*CB1444</f>
        <v/>
      </c>
      <c r="CC1445">
        <f>$C1445*CC1444</f>
        <v/>
      </c>
      <c r="CD1445">
        <f>$C1445*CD1444</f>
        <v/>
      </c>
      <c r="CE1445">
        <f>$C1445*CE1444</f>
        <v/>
      </c>
      <c r="CF1445">
        <f>$C1445*CF1444</f>
        <v/>
      </c>
      <c r="CG1445">
        <f>$C1445*CG1444</f>
        <v/>
      </c>
      <c r="CH1445">
        <f>$C1445*CH1444</f>
        <v/>
      </c>
      <c r="CI1445">
        <f>$C1445*CI1444</f>
        <v/>
      </c>
      <c r="CJ1445">
        <f>$C1445*CJ1444</f>
        <v/>
      </c>
      <c r="CK1445">
        <f>$C1445*CK1444</f>
        <v/>
      </c>
      <c r="CL1445">
        <f>$C1445*CL1444</f>
        <v/>
      </c>
      <c r="CM1445">
        <f>$C1445*CM1444</f>
        <v/>
      </c>
      <c r="CN1445">
        <f>$C1445*CN1444</f>
        <v/>
      </c>
      <c r="CO1445">
        <f>$C1445*CO1444</f>
        <v/>
      </c>
      <c r="CP1445">
        <f>$C1445*CP1444</f>
        <v/>
      </c>
      <c r="CQ1445">
        <f>$C1445*CQ1444</f>
        <v/>
      </c>
      <c r="CR1445">
        <f>$C1445*CR1444</f>
        <v/>
      </c>
      <c r="CS1445">
        <f>$C1445*CS1444</f>
        <v/>
      </c>
      <c r="CT1445">
        <f>$C1445*CT1444</f>
        <v/>
      </c>
      <c r="CU1445">
        <f>$C1445*CU1444</f>
        <v/>
      </c>
      <c r="CV1445">
        <f>$C1445*CV1444</f>
        <v/>
      </c>
      <c r="CW1445">
        <f>$C1445*CW1444</f>
        <v/>
      </c>
      <c r="CX1445">
        <f>$C1445*CX1444</f>
        <v/>
      </c>
      <c r="CY1445">
        <f>$C1445*CY1444</f>
        <v/>
      </c>
      <c r="CZ1445">
        <f>$C1445*CZ1444</f>
        <v/>
      </c>
      <c r="DA1445">
        <f>$C1445*DA1444</f>
        <v/>
      </c>
      <c r="DB1445">
        <f>$C1445*DB1444</f>
        <v/>
      </c>
      <c r="DC1445">
        <f>$C1445*DC1444</f>
        <v/>
      </c>
      <c r="DD1445">
        <f>$C1445*DD1444</f>
        <v/>
      </c>
    </row>
    <row r="1446">
      <c r="B1446" s="4" t="inlineStr">
        <is>
          <t>合計使用量(kg)/週</t>
        </is>
      </c>
      <c r="D1446" s="22">
        <f>IFERROR(INDEX(E1446:DD1446,$F$1),"")</f>
        <v/>
      </c>
      <c r="E1446">
        <f>'Grid_Requirement'!B26</f>
        <v/>
      </c>
      <c r="F1446">
        <f>'Grid_Requirement'!C26</f>
        <v/>
      </c>
      <c r="G1446">
        <f>'Grid_Requirement'!D26</f>
        <v/>
      </c>
      <c r="H1446">
        <f>'Grid_Requirement'!E26</f>
        <v/>
      </c>
      <c r="I1446">
        <f>'Grid_Requirement'!F26</f>
        <v/>
      </c>
      <c r="J1446">
        <f>'Grid_Requirement'!G26</f>
        <v/>
      </c>
      <c r="K1446">
        <f>'Grid_Requirement'!H26</f>
        <v/>
      </c>
      <c r="L1446">
        <f>'Grid_Requirement'!I26</f>
        <v/>
      </c>
      <c r="M1446">
        <f>'Grid_Requirement'!J26</f>
        <v/>
      </c>
      <c r="N1446">
        <f>'Grid_Requirement'!K26</f>
        <v/>
      </c>
      <c r="O1446">
        <f>'Grid_Requirement'!L26</f>
        <v/>
      </c>
      <c r="P1446">
        <f>'Grid_Requirement'!M26</f>
        <v/>
      </c>
      <c r="Q1446">
        <f>'Grid_Requirement'!N26</f>
        <v/>
      </c>
      <c r="R1446">
        <f>'Grid_Requirement'!O26</f>
        <v/>
      </c>
      <c r="S1446">
        <f>'Grid_Requirement'!P26</f>
        <v/>
      </c>
      <c r="T1446">
        <f>'Grid_Requirement'!Q26</f>
        <v/>
      </c>
      <c r="U1446">
        <f>'Grid_Requirement'!R26</f>
        <v/>
      </c>
      <c r="V1446">
        <f>'Grid_Requirement'!S26</f>
        <v/>
      </c>
      <c r="W1446">
        <f>'Grid_Requirement'!T26</f>
        <v/>
      </c>
      <c r="X1446">
        <f>'Grid_Requirement'!U26</f>
        <v/>
      </c>
      <c r="Y1446">
        <f>'Grid_Requirement'!V26</f>
        <v/>
      </c>
      <c r="Z1446">
        <f>'Grid_Requirement'!W26</f>
        <v/>
      </c>
      <c r="AA1446">
        <f>'Grid_Requirement'!X26</f>
        <v/>
      </c>
      <c r="AB1446">
        <f>'Grid_Requirement'!Y26</f>
        <v/>
      </c>
      <c r="AC1446">
        <f>'Grid_Requirement'!Z26</f>
        <v/>
      </c>
      <c r="AD1446">
        <f>'Grid_Requirement'!AA26</f>
        <v/>
      </c>
      <c r="AE1446">
        <f>'Grid_Requirement'!AB26</f>
        <v/>
      </c>
      <c r="AF1446">
        <f>'Grid_Requirement'!AC26</f>
        <v/>
      </c>
      <c r="AG1446">
        <f>'Grid_Requirement'!AD26</f>
        <v/>
      </c>
      <c r="AH1446">
        <f>'Grid_Requirement'!AE26</f>
        <v/>
      </c>
      <c r="AI1446">
        <f>'Grid_Requirement'!AF26</f>
        <v/>
      </c>
      <c r="AJ1446">
        <f>'Grid_Requirement'!AG26</f>
        <v/>
      </c>
      <c r="AK1446">
        <f>'Grid_Requirement'!AH26</f>
        <v/>
      </c>
      <c r="AL1446">
        <f>'Grid_Requirement'!AI26</f>
        <v/>
      </c>
      <c r="AM1446">
        <f>'Grid_Requirement'!AJ26</f>
        <v/>
      </c>
      <c r="AN1446">
        <f>'Grid_Requirement'!AK26</f>
        <v/>
      </c>
      <c r="AO1446">
        <f>'Grid_Requirement'!AL26</f>
        <v/>
      </c>
      <c r="AP1446">
        <f>'Grid_Requirement'!AM26</f>
        <v/>
      </c>
      <c r="AQ1446">
        <f>'Grid_Requirement'!AN26</f>
        <v/>
      </c>
      <c r="AR1446">
        <f>'Grid_Requirement'!AO26</f>
        <v/>
      </c>
      <c r="AS1446">
        <f>'Grid_Requirement'!AP26</f>
        <v/>
      </c>
      <c r="AT1446">
        <f>'Grid_Requirement'!AQ26</f>
        <v/>
      </c>
      <c r="AU1446">
        <f>'Grid_Requirement'!AR26</f>
        <v/>
      </c>
      <c r="AV1446">
        <f>'Grid_Requirement'!AS26</f>
        <v/>
      </c>
      <c r="AW1446">
        <f>'Grid_Requirement'!AT26</f>
        <v/>
      </c>
      <c r="AX1446">
        <f>'Grid_Requirement'!AU26</f>
        <v/>
      </c>
      <c r="AY1446">
        <f>'Grid_Requirement'!AV26</f>
        <v/>
      </c>
      <c r="AZ1446">
        <f>'Grid_Requirement'!AW26</f>
        <v/>
      </c>
      <c r="BA1446">
        <f>'Grid_Requirement'!AX26</f>
        <v/>
      </c>
      <c r="BB1446">
        <f>'Grid_Requirement'!AY26</f>
        <v/>
      </c>
      <c r="BC1446">
        <f>'Grid_Requirement'!AZ26</f>
        <v/>
      </c>
      <c r="BD1446">
        <f>'Grid_Requirement'!BA26</f>
        <v/>
      </c>
      <c r="BE1446">
        <f>'Grid_Requirement'!BB26</f>
        <v/>
      </c>
      <c r="BF1446">
        <f>'Grid_Requirement'!BC26</f>
        <v/>
      </c>
      <c r="BG1446">
        <f>'Grid_Requirement'!BD26</f>
        <v/>
      </c>
      <c r="BH1446">
        <f>'Grid_Requirement'!BE26</f>
        <v/>
      </c>
      <c r="BI1446">
        <f>'Grid_Requirement'!BF26</f>
        <v/>
      </c>
      <c r="BJ1446">
        <f>'Grid_Requirement'!BG26</f>
        <v/>
      </c>
      <c r="BK1446">
        <f>'Grid_Requirement'!BH26</f>
        <v/>
      </c>
      <c r="BL1446">
        <f>'Grid_Requirement'!BI26</f>
        <v/>
      </c>
      <c r="BM1446">
        <f>'Grid_Requirement'!BJ26</f>
        <v/>
      </c>
      <c r="BN1446">
        <f>'Grid_Requirement'!BK26</f>
        <v/>
      </c>
      <c r="BO1446">
        <f>'Grid_Requirement'!BL26</f>
        <v/>
      </c>
      <c r="BP1446">
        <f>'Grid_Requirement'!BM26</f>
        <v/>
      </c>
      <c r="BQ1446">
        <f>'Grid_Requirement'!BN26</f>
        <v/>
      </c>
      <c r="BR1446">
        <f>'Grid_Requirement'!BO26</f>
        <v/>
      </c>
      <c r="BS1446">
        <f>'Grid_Requirement'!BP26</f>
        <v/>
      </c>
      <c r="BT1446">
        <f>'Grid_Requirement'!BQ26</f>
        <v/>
      </c>
      <c r="BU1446">
        <f>'Grid_Requirement'!BR26</f>
        <v/>
      </c>
      <c r="BV1446">
        <f>'Grid_Requirement'!BS26</f>
        <v/>
      </c>
      <c r="BW1446">
        <f>'Grid_Requirement'!BT26</f>
        <v/>
      </c>
      <c r="BX1446">
        <f>'Grid_Requirement'!BU26</f>
        <v/>
      </c>
      <c r="BY1446">
        <f>'Grid_Requirement'!BV26</f>
        <v/>
      </c>
      <c r="BZ1446">
        <f>'Grid_Requirement'!BW26</f>
        <v/>
      </c>
      <c r="CA1446">
        <f>'Grid_Requirement'!BX26</f>
        <v/>
      </c>
      <c r="CB1446">
        <f>'Grid_Requirement'!BY26</f>
        <v/>
      </c>
      <c r="CC1446">
        <f>'Grid_Requirement'!BZ26</f>
        <v/>
      </c>
      <c r="CD1446">
        <f>'Grid_Requirement'!CA26</f>
        <v/>
      </c>
      <c r="CE1446">
        <f>'Grid_Requirement'!CB26</f>
        <v/>
      </c>
      <c r="CF1446">
        <f>'Grid_Requirement'!CC26</f>
        <v/>
      </c>
      <c r="CG1446">
        <f>'Grid_Requirement'!CD26</f>
        <v/>
      </c>
      <c r="CH1446">
        <f>'Grid_Requirement'!CE26</f>
        <v/>
      </c>
      <c r="CI1446">
        <f>'Grid_Requirement'!CF26</f>
        <v/>
      </c>
      <c r="CJ1446">
        <f>'Grid_Requirement'!CG26</f>
        <v/>
      </c>
      <c r="CK1446">
        <f>'Grid_Requirement'!CH26</f>
        <v/>
      </c>
      <c r="CL1446">
        <f>'Grid_Requirement'!CI26</f>
        <v/>
      </c>
      <c r="CM1446">
        <f>'Grid_Requirement'!CJ26</f>
        <v/>
      </c>
      <c r="CN1446">
        <f>'Grid_Requirement'!CK26</f>
        <v/>
      </c>
      <c r="CO1446">
        <f>'Grid_Requirement'!CL26</f>
        <v/>
      </c>
      <c r="CP1446">
        <f>'Grid_Requirement'!CM26</f>
        <v/>
      </c>
      <c r="CQ1446">
        <f>'Grid_Requirement'!CN26</f>
        <v/>
      </c>
      <c r="CR1446">
        <f>'Grid_Requirement'!CO26</f>
        <v/>
      </c>
      <c r="CS1446">
        <f>'Grid_Requirement'!CP26</f>
        <v/>
      </c>
      <c r="CT1446">
        <f>'Grid_Requirement'!CQ26</f>
        <v/>
      </c>
      <c r="CU1446">
        <f>'Grid_Requirement'!CR26</f>
        <v/>
      </c>
      <c r="CV1446">
        <f>'Grid_Requirement'!CS26</f>
        <v/>
      </c>
      <c r="CW1446">
        <f>'Grid_Requirement'!CT26</f>
        <v/>
      </c>
      <c r="CX1446">
        <f>'Grid_Requirement'!CU26</f>
        <v/>
      </c>
      <c r="CY1446">
        <f>'Grid_Requirement'!CV26</f>
        <v/>
      </c>
      <c r="CZ1446">
        <f>'Grid_Requirement'!CW26</f>
        <v/>
      </c>
      <c r="DA1446">
        <f>'Grid_Requirement'!CX26</f>
        <v/>
      </c>
      <c r="DB1446">
        <f>'Grid_Requirement'!CY26</f>
        <v/>
      </c>
      <c r="DC1446">
        <f>'Grid_Requirement'!CZ26</f>
        <v/>
      </c>
      <c r="DD1446">
        <f>'Grid_Requirement'!DA26</f>
        <v/>
      </c>
    </row>
    <row r="1447">
      <c r="B1447" s="23" t="inlineStr">
        <is>
          <t>（在庫・入荷予定はDashboard参照）</t>
        </is>
      </c>
    </row>
    <row r="1449">
      <c r="A1449" s="21" t="inlineStr">
        <is>
          <t>CHEM-1790</t>
        </is>
      </c>
      <c r="B1449" s="21" t="inlineStr">
        <is>
          <t>Optalys 466</t>
        </is>
      </c>
      <c r="C1449" s="21" t="n"/>
      <c r="D1449" s="21" t="n"/>
      <c r="E1449" s="21" t="n"/>
      <c r="F1449" s="21" t="n"/>
      <c r="G1449" s="21" t="n"/>
      <c r="H1449" s="21" t="n"/>
      <c r="I1449" s="21" t="n"/>
      <c r="J1449" s="21" t="n"/>
      <c r="K1449" s="21" t="n"/>
      <c r="L1449" s="21" t="n"/>
      <c r="M1449" s="21" t="n"/>
      <c r="N1449" s="21" t="n"/>
      <c r="O1449" s="21" t="n"/>
      <c r="P1449" s="21" t="n"/>
      <c r="Q1449" s="21" t="n"/>
      <c r="R1449" s="21" t="n"/>
      <c r="S1449" s="21" t="n"/>
      <c r="T1449" s="21" t="n"/>
      <c r="U1449" s="21" t="n"/>
      <c r="V1449" s="21" t="n"/>
      <c r="W1449" s="21" t="n"/>
      <c r="X1449" s="21" t="n"/>
      <c r="Y1449" s="21" t="n"/>
      <c r="Z1449" s="21" t="n"/>
      <c r="AA1449" s="21" t="n"/>
      <c r="AB1449" s="21" t="n"/>
      <c r="AC1449" s="21" t="n"/>
      <c r="AD1449" s="21" t="n"/>
      <c r="AE1449" s="21" t="n"/>
      <c r="AF1449" s="21" t="n"/>
      <c r="AG1449" s="21" t="n"/>
      <c r="AH1449" s="21" t="n"/>
      <c r="AI1449" s="21" t="n"/>
      <c r="AJ1449" s="21" t="n"/>
      <c r="AK1449" s="21" t="n"/>
      <c r="AL1449" s="21" t="n"/>
      <c r="AM1449" s="21" t="n"/>
      <c r="AN1449" s="21" t="n"/>
      <c r="AO1449" s="21" t="n"/>
      <c r="AP1449" s="21" t="n"/>
      <c r="AQ1449" s="21" t="n"/>
      <c r="AR1449" s="21" t="n"/>
      <c r="AS1449" s="21" t="n"/>
      <c r="AT1449" s="21" t="n"/>
      <c r="AU1449" s="21" t="n"/>
      <c r="AV1449" s="21" t="n"/>
      <c r="AW1449" s="21" t="n"/>
      <c r="AX1449" s="21" t="n"/>
      <c r="AY1449" s="21" t="n"/>
      <c r="AZ1449" s="21" t="n"/>
      <c r="BA1449" s="21" t="n"/>
      <c r="BB1449" s="21" t="n"/>
      <c r="BC1449" s="21" t="n"/>
      <c r="BD1449" s="21" t="n"/>
      <c r="BE1449" s="21" t="n"/>
      <c r="BF1449" s="21" t="n"/>
      <c r="BG1449" s="21" t="n"/>
      <c r="BH1449" s="21" t="n"/>
      <c r="BI1449" s="21" t="n"/>
      <c r="BJ1449" s="21" t="n"/>
      <c r="BK1449" s="21" t="n"/>
      <c r="BL1449" s="21" t="n"/>
      <c r="BM1449" s="21" t="n"/>
      <c r="BN1449" s="21" t="n"/>
      <c r="BO1449" s="21" t="n"/>
      <c r="BP1449" s="21" t="n"/>
      <c r="BQ1449" s="21" t="n"/>
      <c r="BR1449" s="21" t="n"/>
      <c r="BS1449" s="21" t="n"/>
      <c r="BT1449" s="21" t="n"/>
      <c r="BU1449" s="21" t="n"/>
      <c r="BV1449" s="21" t="n"/>
      <c r="BW1449" s="21" t="n"/>
      <c r="BX1449" s="21" t="n"/>
      <c r="BY1449" s="21" t="n"/>
      <c r="BZ1449" s="21" t="n"/>
      <c r="CA1449" s="21" t="n"/>
      <c r="CB1449" s="21" t="n"/>
      <c r="CC1449" s="21" t="n"/>
      <c r="CD1449" s="21" t="n"/>
      <c r="CE1449" s="21" t="n"/>
      <c r="CF1449" s="21" t="n"/>
      <c r="CG1449" s="21" t="n"/>
      <c r="CH1449" s="21" t="n"/>
      <c r="CI1449" s="21" t="n"/>
      <c r="CJ1449" s="21" t="n"/>
      <c r="CK1449" s="21" t="n"/>
      <c r="CL1449" s="21" t="n"/>
      <c r="CM1449" s="21" t="n"/>
      <c r="CN1449" s="21" t="n"/>
      <c r="CO1449" s="21" t="n"/>
      <c r="CP1449" s="21" t="n"/>
      <c r="CQ1449" s="21" t="n"/>
      <c r="CR1449" s="21" t="n"/>
      <c r="CS1449" s="21" t="n"/>
      <c r="CT1449" s="21" t="n"/>
      <c r="CU1449" s="21" t="n"/>
      <c r="CV1449" s="21" t="n"/>
      <c r="CW1449" s="21" t="n"/>
      <c r="CX1449" s="21" t="n"/>
      <c r="CY1449" s="21" t="n"/>
      <c r="CZ1449" s="21" t="n"/>
      <c r="DA1449" s="21" t="n"/>
      <c r="DB1449" s="21" t="n"/>
      <c r="DC1449" s="21" t="n"/>
      <c r="DD1449" s="21" t="n"/>
    </row>
    <row r="1450">
      <c r="B1450" t="inlineStr">
        <is>
          <t>TSP-1388</t>
        </is>
      </c>
      <c r="C1450" t="inlineStr">
        <is>
          <t>No. of batches</t>
        </is>
      </c>
      <c r="D1450">
        <f>IFERROR(INDEX(E1450:DD1450,$F$1),"")</f>
        <v/>
      </c>
      <c r="E1450">
        <f>IFERROR(INDEX(PP_Grid[#Data],$DE1450,2),0)</f>
        <v/>
      </c>
      <c r="F1450">
        <f>IFERROR(INDEX(PP_Grid[#Data],$DE1450,3),0)</f>
        <v/>
      </c>
      <c r="G1450">
        <f>IFERROR(INDEX(PP_Grid[#Data],$DE1450,4),0)</f>
        <v/>
      </c>
      <c r="H1450">
        <f>IFERROR(INDEX(PP_Grid[#Data],$DE1450,5),0)</f>
        <v/>
      </c>
      <c r="I1450">
        <f>IFERROR(INDEX(PP_Grid[#Data],$DE1450,6),0)</f>
        <v/>
      </c>
      <c r="J1450">
        <f>IFERROR(INDEX(PP_Grid[#Data],$DE1450,7),0)</f>
        <v/>
      </c>
      <c r="K1450">
        <f>IFERROR(INDEX(PP_Grid[#Data],$DE1450,8),0)</f>
        <v/>
      </c>
      <c r="L1450">
        <f>IFERROR(INDEX(PP_Grid[#Data],$DE1450,9),0)</f>
        <v/>
      </c>
      <c r="M1450">
        <f>IFERROR(INDEX(PP_Grid[#Data],$DE1450,10),0)</f>
        <v/>
      </c>
      <c r="N1450">
        <f>IFERROR(INDEX(PP_Grid[#Data],$DE1450,11),0)</f>
        <v/>
      </c>
      <c r="O1450">
        <f>IFERROR(INDEX(PP_Grid[#Data],$DE1450,12),0)</f>
        <v/>
      </c>
      <c r="P1450">
        <f>IFERROR(INDEX(PP_Grid[#Data],$DE1450,13),0)</f>
        <v/>
      </c>
      <c r="Q1450">
        <f>IFERROR(INDEX(PP_Grid[#Data],$DE1450,14),0)</f>
        <v/>
      </c>
      <c r="R1450">
        <f>IFERROR(INDEX(PP_Grid[#Data],$DE1450,15),0)</f>
        <v/>
      </c>
      <c r="S1450">
        <f>IFERROR(INDEX(PP_Grid[#Data],$DE1450,16),0)</f>
        <v/>
      </c>
      <c r="T1450">
        <f>IFERROR(INDEX(PP_Grid[#Data],$DE1450,17),0)</f>
        <v/>
      </c>
      <c r="U1450">
        <f>IFERROR(INDEX(PP_Grid[#Data],$DE1450,18),0)</f>
        <v/>
      </c>
      <c r="V1450">
        <f>IFERROR(INDEX(PP_Grid[#Data],$DE1450,19),0)</f>
        <v/>
      </c>
      <c r="W1450">
        <f>IFERROR(INDEX(PP_Grid[#Data],$DE1450,20),0)</f>
        <v/>
      </c>
      <c r="X1450">
        <f>IFERROR(INDEX(PP_Grid[#Data],$DE1450,21),0)</f>
        <v/>
      </c>
      <c r="Y1450">
        <f>IFERROR(INDEX(PP_Grid[#Data],$DE1450,22),0)</f>
        <v/>
      </c>
      <c r="Z1450">
        <f>IFERROR(INDEX(PP_Grid[#Data],$DE1450,23),0)</f>
        <v/>
      </c>
      <c r="AA1450">
        <f>IFERROR(INDEX(PP_Grid[#Data],$DE1450,24),0)</f>
        <v/>
      </c>
      <c r="AB1450">
        <f>IFERROR(INDEX(PP_Grid[#Data],$DE1450,25),0)</f>
        <v/>
      </c>
      <c r="AC1450">
        <f>IFERROR(INDEX(PP_Grid[#Data],$DE1450,26),0)</f>
        <v/>
      </c>
      <c r="AD1450">
        <f>IFERROR(INDEX(PP_Grid[#Data],$DE1450,27),0)</f>
        <v/>
      </c>
      <c r="AE1450">
        <f>IFERROR(INDEX(PP_Grid[#Data],$DE1450,28),0)</f>
        <v/>
      </c>
      <c r="AF1450">
        <f>IFERROR(INDEX(PP_Grid[#Data],$DE1450,29),0)</f>
        <v/>
      </c>
      <c r="AG1450">
        <f>IFERROR(INDEX(PP_Grid[#Data],$DE1450,30),0)</f>
        <v/>
      </c>
      <c r="AH1450">
        <f>IFERROR(INDEX(PP_Grid[#Data],$DE1450,31),0)</f>
        <v/>
      </c>
      <c r="AI1450">
        <f>IFERROR(INDEX(PP_Grid[#Data],$DE1450,32),0)</f>
        <v/>
      </c>
      <c r="AJ1450">
        <f>IFERROR(INDEX(PP_Grid[#Data],$DE1450,33),0)</f>
        <v/>
      </c>
      <c r="AK1450">
        <f>IFERROR(INDEX(PP_Grid[#Data],$DE1450,34),0)</f>
        <v/>
      </c>
      <c r="AL1450">
        <f>IFERROR(INDEX(PP_Grid[#Data],$DE1450,35),0)</f>
        <v/>
      </c>
      <c r="AM1450">
        <f>IFERROR(INDEX(PP_Grid[#Data],$DE1450,36),0)</f>
        <v/>
      </c>
      <c r="AN1450">
        <f>IFERROR(INDEX(PP_Grid[#Data],$DE1450,37),0)</f>
        <v/>
      </c>
      <c r="AO1450">
        <f>IFERROR(INDEX(PP_Grid[#Data],$DE1450,38),0)</f>
        <v/>
      </c>
      <c r="AP1450">
        <f>IFERROR(INDEX(PP_Grid[#Data],$DE1450,39),0)</f>
        <v/>
      </c>
      <c r="AQ1450">
        <f>IFERROR(INDEX(PP_Grid[#Data],$DE1450,40),0)</f>
        <v/>
      </c>
      <c r="AR1450">
        <f>IFERROR(INDEX(PP_Grid[#Data],$DE1450,41),0)</f>
        <v/>
      </c>
      <c r="AS1450">
        <f>IFERROR(INDEX(PP_Grid[#Data],$DE1450,42),0)</f>
        <v/>
      </c>
      <c r="AT1450">
        <f>IFERROR(INDEX(PP_Grid[#Data],$DE1450,43),0)</f>
        <v/>
      </c>
      <c r="AU1450">
        <f>IFERROR(INDEX(PP_Grid[#Data],$DE1450,44),0)</f>
        <v/>
      </c>
      <c r="AV1450">
        <f>IFERROR(INDEX(PP_Grid[#Data],$DE1450,45),0)</f>
        <v/>
      </c>
      <c r="AW1450">
        <f>IFERROR(INDEX(PP_Grid[#Data],$DE1450,46),0)</f>
        <v/>
      </c>
      <c r="AX1450">
        <f>IFERROR(INDEX(PP_Grid[#Data],$DE1450,47),0)</f>
        <v/>
      </c>
      <c r="AY1450">
        <f>IFERROR(INDEX(PP_Grid[#Data],$DE1450,48),0)</f>
        <v/>
      </c>
      <c r="AZ1450">
        <f>IFERROR(INDEX(PP_Grid[#Data],$DE1450,49),0)</f>
        <v/>
      </c>
      <c r="BA1450">
        <f>IFERROR(INDEX(PP_Grid[#Data],$DE1450,50),0)</f>
        <v/>
      </c>
      <c r="BB1450">
        <f>IFERROR(INDEX(PP_Grid[#Data],$DE1450,51),0)</f>
        <v/>
      </c>
      <c r="BC1450">
        <f>IFERROR(INDEX(PP_Grid[#Data],$DE1450,52),0)</f>
        <v/>
      </c>
      <c r="BD1450">
        <f>IFERROR(INDEX(PP_Grid[#Data],$DE1450,53),0)</f>
        <v/>
      </c>
      <c r="BE1450">
        <f>IFERROR(INDEX(PP_Grid[#Data],$DE1450,54),0)</f>
        <v/>
      </c>
      <c r="BF1450">
        <f>IFERROR(INDEX(PP_Grid[#Data],$DE1450,55),0)</f>
        <v/>
      </c>
      <c r="BG1450">
        <f>IFERROR(INDEX(PP_Grid[#Data],$DE1450,56),0)</f>
        <v/>
      </c>
      <c r="BH1450">
        <f>IFERROR(INDEX(PP_Grid[#Data],$DE1450,57),0)</f>
        <v/>
      </c>
      <c r="BI1450">
        <f>IFERROR(INDEX(PP_Grid[#Data],$DE1450,58),0)</f>
        <v/>
      </c>
      <c r="BJ1450">
        <f>IFERROR(INDEX(PP_Grid[#Data],$DE1450,59),0)</f>
        <v/>
      </c>
      <c r="BK1450">
        <f>IFERROR(INDEX(PP_Grid[#Data],$DE1450,60),0)</f>
        <v/>
      </c>
      <c r="BL1450">
        <f>IFERROR(INDEX(PP_Grid[#Data],$DE1450,61),0)</f>
        <v/>
      </c>
      <c r="BM1450">
        <f>IFERROR(INDEX(PP_Grid[#Data],$DE1450,62),0)</f>
        <v/>
      </c>
      <c r="BN1450">
        <f>IFERROR(INDEX(PP_Grid[#Data],$DE1450,63),0)</f>
        <v/>
      </c>
      <c r="BO1450">
        <f>IFERROR(INDEX(PP_Grid[#Data],$DE1450,64),0)</f>
        <v/>
      </c>
      <c r="BP1450">
        <f>IFERROR(INDEX(PP_Grid[#Data],$DE1450,65),0)</f>
        <v/>
      </c>
      <c r="BQ1450">
        <f>IFERROR(INDEX(PP_Grid[#Data],$DE1450,66),0)</f>
        <v/>
      </c>
      <c r="BR1450">
        <f>IFERROR(INDEX(PP_Grid[#Data],$DE1450,67),0)</f>
        <v/>
      </c>
      <c r="BS1450">
        <f>IFERROR(INDEX(PP_Grid[#Data],$DE1450,68),0)</f>
        <v/>
      </c>
      <c r="BT1450">
        <f>IFERROR(INDEX(PP_Grid[#Data],$DE1450,69),0)</f>
        <v/>
      </c>
      <c r="BU1450">
        <f>IFERROR(INDEX(PP_Grid[#Data],$DE1450,70),0)</f>
        <v/>
      </c>
      <c r="BV1450">
        <f>IFERROR(INDEX(PP_Grid[#Data],$DE1450,71),0)</f>
        <v/>
      </c>
      <c r="BW1450">
        <f>IFERROR(INDEX(PP_Grid[#Data],$DE1450,72),0)</f>
        <v/>
      </c>
      <c r="BX1450">
        <f>IFERROR(INDEX(PP_Grid[#Data],$DE1450,73),0)</f>
        <v/>
      </c>
      <c r="BY1450">
        <f>IFERROR(INDEX(PP_Grid[#Data],$DE1450,74),0)</f>
        <v/>
      </c>
      <c r="BZ1450">
        <f>IFERROR(INDEX(PP_Grid[#Data],$DE1450,75),0)</f>
        <v/>
      </c>
      <c r="CA1450">
        <f>IFERROR(INDEX(PP_Grid[#Data],$DE1450,76),0)</f>
        <v/>
      </c>
      <c r="CB1450">
        <f>IFERROR(INDEX(PP_Grid[#Data],$DE1450,77),0)</f>
        <v/>
      </c>
      <c r="CC1450">
        <f>IFERROR(INDEX(PP_Grid[#Data],$DE1450,78),0)</f>
        <v/>
      </c>
      <c r="CD1450">
        <f>IFERROR(INDEX(PP_Grid[#Data],$DE1450,79),0)</f>
        <v/>
      </c>
      <c r="CE1450">
        <f>IFERROR(INDEX(PP_Grid[#Data],$DE1450,80),0)</f>
        <v/>
      </c>
      <c r="CF1450">
        <f>IFERROR(INDEX(PP_Grid[#Data],$DE1450,81),0)</f>
        <v/>
      </c>
      <c r="CG1450">
        <f>IFERROR(INDEX(PP_Grid[#Data],$DE1450,82),0)</f>
        <v/>
      </c>
      <c r="CH1450">
        <f>IFERROR(INDEX(PP_Grid[#Data],$DE1450,83),0)</f>
        <v/>
      </c>
      <c r="CI1450">
        <f>IFERROR(INDEX(PP_Grid[#Data],$DE1450,84),0)</f>
        <v/>
      </c>
      <c r="CJ1450">
        <f>IFERROR(INDEX(PP_Grid[#Data],$DE1450,85),0)</f>
        <v/>
      </c>
      <c r="CK1450">
        <f>IFERROR(INDEX(PP_Grid[#Data],$DE1450,86),0)</f>
        <v/>
      </c>
      <c r="CL1450">
        <f>IFERROR(INDEX(PP_Grid[#Data],$DE1450,87),0)</f>
        <v/>
      </c>
      <c r="CM1450">
        <f>IFERROR(INDEX(PP_Grid[#Data],$DE1450,88),0)</f>
        <v/>
      </c>
      <c r="CN1450">
        <f>IFERROR(INDEX(PP_Grid[#Data],$DE1450,89),0)</f>
        <v/>
      </c>
      <c r="CO1450">
        <f>IFERROR(INDEX(PP_Grid[#Data],$DE1450,90),0)</f>
        <v/>
      </c>
      <c r="CP1450">
        <f>IFERROR(INDEX(PP_Grid[#Data],$DE1450,91),0)</f>
        <v/>
      </c>
      <c r="CQ1450">
        <f>IFERROR(INDEX(PP_Grid[#Data],$DE1450,92),0)</f>
        <v/>
      </c>
      <c r="CR1450">
        <f>IFERROR(INDEX(PP_Grid[#Data],$DE1450,93),0)</f>
        <v/>
      </c>
      <c r="CS1450">
        <f>IFERROR(INDEX(PP_Grid[#Data],$DE1450,94),0)</f>
        <v/>
      </c>
      <c r="CT1450">
        <f>IFERROR(INDEX(PP_Grid[#Data],$DE1450,95),0)</f>
        <v/>
      </c>
      <c r="CU1450">
        <f>IFERROR(INDEX(PP_Grid[#Data],$DE1450,96),0)</f>
        <v/>
      </c>
      <c r="CV1450">
        <f>IFERROR(INDEX(PP_Grid[#Data],$DE1450,97),0)</f>
        <v/>
      </c>
      <c r="CW1450">
        <f>IFERROR(INDEX(PP_Grid[#Data],$DE1450,98),0)</f>
        <v/>
      </c>
      <c r="CX1450">
        <f>IFERROR(INDEX(PP_Grid[#Data],$DE1450,99),0)</f>
        <v/>
      </c>
      <c r="CY1450">
        <f>IFERROR(INDEX(PP_Grid[#Data],$DE1450,100),0)</f>
        <v/>
      </c>
      <c r="CZ1450">
        <f>IFERROR(INDEX(PP_Grid[#Data],$DE1450,101),0)</f>
        <v/>
      </c>
      <c r="DA1450">
        <f>IFERROR(INDEX(PP_Grid[#Data],$DE1450,102),0)</f>
        <v/>
      </c>
      <c r="DB1450">
        <f>IFERROR(INDEX(PP_Grid[#Data],$DE1450,103),0)</f>
        <v/>
      </c>
      <c r="DC1450">
        <f>IFERROR(INDEX(PP_Grid[#Data],$DE1450,104),0)</f>
        <v/>
      </c>
      <c r="DD1450">
        <f>IFERROR(INDEX(PP_Grid[#Data],$DE1450,105),0)</f>
        <v/>
      </c>
      <c r="DE1450" s="7">
        <f>IFERROR(MATCH($B1450,PP_Grid[Intermediate],0),99999)</f>
        <v/>
      </c>
    </row>
    <row r="1451">
      <c r="B1451" t="inlineStr">
        <is>
          <t>使用量(kg)</t>
        </is>
      </c>
      <c r="C1451">
        <f>SUMIFS(M_BOM[RM_Qty_Per_Batch],M_BOM[Intermediate],$B1450,M_BOM[RM_Code],$A1449)</f>
        <v/>
      </c>
      <c r="D1451">
        <f>IFERROR(INDEX(E1451:DD1451,$F$1),"")</f>
        <v/>
      </c>
      <c r="E1451">
        <f>$C1451*E1450</f>
        <v/>
      </c>
      <c r="F1451">
        <f>$C1451*F1450</f>
        <v/>
      </c>
      <c r="G1451">
        <f>$C1451*G1450</f>
        <v/>
      </c>
      <c r="H1451">
        <f>$C1451*H1450</f>
        <v/>
      </c>
      <c r="I1451">
        <f>$C1451*I1450</f>
        <v/>
      </c>
      <c r="J1451">
        <f>$C1451*J1450</f>
        <v/>
      </c>
      <c r="K1451">
        <f>$C1451*K1450</f>
        <v/>
      </c>
      <c r="L1451">
        <f>$C1451*L1450</f>
        <v/>
      </c>
      <c r="M1451">
        <f>$C1451*M1450</f>
        <v/>
      </c>
      <c r="N1451">
        <f>$C1451*N1450</f>
        <v/>
      </c>
      <c r="O1451">
        <f>$C1451*O1450</f>
        <v/>
      </c>
      <c r="P1451">
        <f>$C1451*P1450</f>
        <v/>
      </c>
      <c r="Q1451">
        <f>$C1451*Q1450</f>
        <v/>
      </c>
      <c r="R1451">
        <f>$C1451*R1450</f>
        <v/>
      </c>
      <c r="S1451">
        <f>$C1451*S1450</f>
        <v/>
      </c>
      <c r="T1451">
        <f>$C1451*T1450</f>
        <v/>
      </c>
      <c r="U1451">
        <f>$C1451*U1450</f>
        <v/>
      </c>
      <c r="V1451">
        <f>$C1451*V1450</f>
        <v/>
      </c>
      <c r="W1451">
        <f>$C1451*W1450</f>
        <v/>
      </c>
      <c r="X1451">
        <f>$C1451*X1450</f>
        <v/>
      </c>
      <c r="Y1451">
        <f>$C1451*Y1450</f>
        <v/>
      </c>
      <c r="Z1451">
        <f>$C1451*Z1450</f>
        <v/>
      </c>
      <c r="AA1451">
        <f>$C1451*AA1450</f>
        <v/>
      </c>
      <c r="AB1451">
        <f>$C1451*AB1450</f>
        <v/>
      </c>
      <c r="AC1451">
        <f>$C1451*AC1450</f>
        <v/>
      </c>
      <c r="AD1451">
        <f>$C1451*AD1450</f>
        <v/>
      </c>
      <c r="AE1451">
        <f>$C1451*AE1450</f>
        <v/>
      </c>
      <c r="AF1451">
        <f>$C1451*AF1450</f>
        <v/>
      </c>
      <c r="AG1451">
        <f>$C1451*AG1450</f>
        <v/>
      </c>
      <c r="AH1451">
        <f>$C1451*AH1450</f>
        <v/>
      </c>
      <c r="AI1451">
        <f>$C1451*AI1450</f>
        <v/>
      </c>
      <c r="AJ1451">
        <f>$C1451*AJ1450</f>
        <v/>
      </c>
      <c r="AK1451">
        <f>$C1451*AK1450</f>
        <v/>
      </c>
      <c r="AL1451">
        <f>$C1451*AL1450</f>
        <v/>
      </c>
      <c r="AM1451">
        <f>$C1451*AM1450</f>
        <v/>
      </c>
      <c r="AN1451">
        <f>$C1451*AN1450</f>
        <v/>
      </c>
      <c r="AO1451">
        <f>$C1451*AO1450</f>
        <v/>
      </c>
      <c r="AP1451">
        <f>$C1451*AP1450</f>
        <v/>
      </c>
      <c r="AQ1451">
        <f>$C1451*AQ1450</f>
        <v/>
      </c>
      <c r="AR1451">
        <f>$C1451*AR1450</f>
        <v/>
      </c>
      <c r="AS1451">
        <f>$C1451*AS1450</f>
        <v/>
      </c>
      <c r="AT1451">
        <f>$C1451*AT1450</f>
        <v/>
      </c>
      <c r="AU1451">
        <f>$C1451*AU1450</f>
        <v/>
      </c>
      <c r="AV1451">
        <f>$C1451*AV1450</f>
        <v/>
      </c>
      <c r="AW1451">
        <f>$C1451*AW1450</f>
        <v/>
      </c>
      <c r="AX1451">
        <f>$C1451*AX1450</f>
        <v/>
      </c>
      <c r="AY1451">
        <f>$C1451*AY1450</f>
        <v/>
      </c>
      <c r="AZ1451">
        <f>$C1451*AZ1450</f>
        <v/>
      </c>
      <c r="BA1451">
        <f>$C1451*BA1450</f>
        <v/>
      </c>
      <c r="BB1451">
        <f>$C1451*BB1450</f>
        <v/>
      </c>
      <c r="BC1451">
        <f>$C1451*BC1450</f>
        <v/>
      </c>
      <c r="BD1451">
        <f>$C1451*BD1450</f>
        <v/>
      </c>
      <c r="BE1451">
        <f>$C1451*BE1450</f>
        <v/>
      </c>
      <c r="BF1451">
        <f>$C1451*BF1450</f>
        <v/>
      </c>
      <c r="BG1451">
        <f>$C1451*BG1450</f>
        <v/>
      </c>
      <c r="BH1451">
        <f>$C1451*BH1450</f>
        <v/>
      </c>
      <c r="BI1451">
        <f>$C1451*BI1450</f>
        <v/>
      </c>
      <c r="BJ1451">
        <f>$C1451*BJ1450</f>
        <v/>
      </c>
      <c r="BK1451">
        <f>$C1451*BK1450</f>
        <v/>
      </c>
      <c r="BL1451">
        <f>$C1451*BL1450</f>
        <v/>
      </c>
      <c r="BM1451">
        <f>$C1451*BM1450</f>
        <v/>
      </c>
      <c r="BN1451">
        <f>$C1451*BN1450</f>
        <v/>
      </c>
      <c r="BO1451">
        <f>$C1451*BO1450</f>
        <v/>
      </c>
      <c r="BP1451">
        <f>$C1451*BP1450</f>
        <v/>
      </c>
      <c r="BQ1451">
        <f>$C1451*BQ1450</f>
        <v/>
      </c>
      <c r="BR1451">
        <f>$C1451*BR1450</f>
        <v/>
      </c>
      <c r="BS1451">
        <f>$C1451*BS1450</f>
        <v/>
      </c>
      <c r="BT1451">
        <f>$C1451*BT1450</f>
        <v/>
      </c>
      <c r="BU1451">
        <f>$C1451*BU1450</f>
        <v/>
      </c>
      <c r="BV1451">
        <f>$C1451*BV1450</f>
        <v/>
      </c>
      <c r="BW1451">
        <f>$C1451*BW1450</f>
        <v/>
      </c>
      <c r="BX1451">
        <f>$C1451*BX1450</f>
        <v/>
      </c>
      <c r="BY1451">
        <f>$C1451*BY1450</f>
        <v/>
      </c>
      <c r="BZ1451">
        <f>$C1451*BZ1450</f>
        <v/>
      </c>
      <c r="CA1451">
        <f>$C1451*CA1450</f>
        <v/>
      </c>
      <c r="CB1451">
        <f>$C1451*CB1450</f>
        <v/>
      </c>
      <c r="CC1451">
        <f>$C1451*CC1450</f>
        <v/>
      </c>
      <c r="CD1451">
        <f>$C1451*CD1450</f>
        <v/>
      </c>
      <c r="CE1451">
        <f>$C1451*CE1450</f>
        <v/>
      </c>
      <c r="CF1451">
        <f>$C1451*CF1450</f>
        <v/>
      </c>
      <c r="CG1451">
        <f>$C1451*CG1450</f>
        <v/>
      </c>
      <c r="CH1451">
        <f>$C1451*CH1450</f>
        <v/>
      </c>
      <c r="CI1451">
        <f>$C1451*CI1450</f>
        <v/>
      </c>
      <c r="CJ1451">
        <f>$C1451*CJ1450</f>
        <v/>
      </c>
      <c r="CK1451">
        <f>$C1451*CK1450</f>
        <v/>
      </c>
      <c r="CL1451">
        <f>$C1451*CL1450</f>
        <v/>
      </c>
      <c r="CM1451">
        <f>$C1451*CM1450</f>
        <v/>
      </c>
      <c r="CN1451">
        <f>$C1451*CN1450</f>
        <v/>
      </c>
      <c r="CO1451">
        <f>$C1451*CO1450</f>
        <v/>
      </c>
      <c r="CP1451">
        <f>$C1451*CP1450</f>
        <v/>
      </c>
      <c r="CQ1451">
        <f>$C1451*CQ1450</f>
        <v/>
      </c>
      <c r="CR1451">
        <f>$C1451*CR1450</f>
        <v/>
      </c>
      <c r="CS1451">
        <f>$C1451*CS1450</f>
        <v/>
      </c>
      <c r="CT1451">
        <f>$C1451*CT1450</f>
        <v/>
      </c>
      <c r="CU1451">
        <f>$C1451*CU1450</f>
        <v/>
      </c>
      <c r="CV1451">
        <f>$C1451*CV1450</f>
        <v/>
      </c>
      <c r="CW1451">
        <f>$C1451*CW1450</f>
        <v/>
      </c>
      <c r="CX1451">
        <f>$C1451*CX1450</f>
        <v/>
      </c>
      <c r="CY1451">
        <f>$C1451*CY1450</f>
        <v/>
      </c>
      <c r="CZ1451">
        <f>$C1451*CZ1450</f>
        <v/>
      </c>
      <c r="DA1451">
        <f>$C1451*DA1450</f>
        <v/>
      </c>
      <c r="DB1451">
        <f>$C1451*DB1450</f>
        <v/>
      </c>
      <c r="DC1451">
        <f>$C1451*DC1450</f>
        <v/>
      </c>
      <c r="DD1451">
        <f>$C1451*DD1450</f>
        <v/>
      </c>
    </row>
    <row r="1452">
      <c r="B1452" s="4" t="inlineStr">
        <is>
          <t>合計使用量(kg)/週</t>
        </is>
      </c>
      <c r="D1452" s="22">
        <f>IFERROR(INDEX(E1452:DD1452,$F$1),"")</f>
        <v/>
      </c>
      <c r="E1452">
        <f>'Grid_Requirement'!B85</f>
        <v/>
      </c>
      <c r="F1452">
        <f>'Grid_Requirement'!C85</f>
        <v/>
      </c>
      <c r="G1452">
        <f>'Grid_Requirement'!D85</f>
        <v/>
      </c>
      <c r="H1452">
        <f>'Grid_Requirement'!E85</f>
        <v/>
      </c>
      <c r="I1452">
        <f>'Grid_Requirement'!F85</f>
        <v/>
      </c>
      <c r="J1452">
        <f>'Grid_Requirement'!G85</f>
        <v/>
      </c>
      <c r="K1452">
        <f>'Grid_Requirement'!H85</f>
        <v/>
      </c>
      <c r="L1452">
        <f>'Grid_Requirement'!I85</f>
        <v/>
      </c>
      <c r="M1452">
        <f>'Grid_Requirement'!J85</f>
        <v/>
      </c>
      <c r="N1452">
        <f>'Grid_Requirement'!K85</f>
        <v/>
      </c>
      <c r="O1452">
        <f>'Grid_Requirement'!L85</f>
        <v/>
      </c>
      <c r="P1452">
        <f>'Grid_Requirement'!M85</f>
        <v/>
      </c>
      <c r="Q1452">
        <f>'Grid_Requirement'!N85</f>
        <v/>
      </c>
      <c r="R1452">
        <f>'Grid_Requirement'!O85</f>
        <v/>
      </c>
      <c r="S1452">
        <f>'Grid_Requirement'!P85</f>
        <v/>
      </c>
      <c r="T1452">
        <f>'Grid_Requirement'!Q85</f>
        <v/>
      </c>
      <c r="U1452">
        <f>'Grid_Requirement'!R85</f>
        <v/>
      </c>
      <c r="V1452">
        <f>'Grid_Requirement'!S85</f>
        <v/>
      </c>
      <c r="W1452">
        <f>'Grid_Requirement'!T85</f>
        <v/>
      </c>
      <c r="X1452">
        <f>'Grid_Requirement'!U85</f>
        <v/>
      </c>
      <c r="Y1452">
        <f>'Grid_Requirement'!V85</f>
        <v/>
      </c>
      <c r="Z1452">
        <f>'Grid_Requirement'!W85</f>
        <v/>
      </c>
      <c r="AA1452">
        <f>'Grid_Requirement'!X85</f>
        <v/>
      </c>
      <c r="AB1452">
        <f>'Grid_Requirement'!Y85</f>
        <v/>
      </c>
      <c r="AC1452">
        <f>'Grid_Requirement'!Z85</f>
        <v/>
      </c>
      <c r="AD1452">
        <f>'Grid_Requirement'!AA85</f>
        <v/>
      </c>
      <c r="AE1452">
        <f>'Grid_Requirement'!AB85</f>
        <v/>
      </c>
      <c r="AF1452">
        <f>'Grid_Requirement'!AC85</f>
        <v/>
      </c>
      <c r="AG1452">
        <f>'Grid_Requirement'!AD85</f>
        <v/>
      </c>
      <c r="AH1452">
        <f>'Grid_Requirement'!AE85</f>
        <v/>
      </c>
      <c r="AI1452">
        <f>'Grid_Requirement'!AF85</f>
        <v/>
      </c>
      <c r="AJ1452">
        <f>'Grid_Requirement'!AG85</f>
        <v/>
      </c>
      <c r="AK1452">
        <f>'Grid_Requirement'!AH85</f>
        <v/>
      </c>
      <c r="AL1452">
        <f>'Grid_Requirement'!AI85</f>
        <v/>
      </c>
      <c r="AM1452">
        <f>'Grid_Requirement'!AJ85</f>
        <v/>
      </c>
      <c r="AN1452">
        <f>'Grid_Requirement'!AK85</f>
        <v/>
      </c>
      <c r="AO1452">
        <f>'Grid_Requirement'!AL85</f>
        <v/>
      </c>
      <c r="AP1452">
        <f>'Grid_Requirement'!AM85</f>
        <v/>
      </c>
      <c r="AQ1452">
        <f>'Grid_Requirement'!AN85</f>
        <v/>
      </c>
      <c r="AR1452">
        <f>'Grid_Requirement'!AO85</f>
        <v/>
      </c>
      <c r="AS1452">
        <f>'Grid_Requirement'!AP85</f>
        <v/>
      </c>
      <c r="AT1452">
        <f>'Grid_Requirement'!AQ85</f>
        <v/>
      </c>
      <c r="AU1452">
        <f>'Grid_Requirement'!AR85</f>
        <v/>
      </c>
      <c r="AV1452">
        <f>'Grid_Requirement'!AS85</f>
        <v/>
      </c>
      <c r="AW1452">
        <f>'Grid_Requirement'!AT85</f>
        <v/>
      </c>
      <c r="AX1452">
        <f>'Grid_Requirement'!AU85</f>
        <v/>
      </c>
      <c r="AY1452">
        <f>'Grid_Requirement'!AV85</f>
        <v/>
      </c>
      <c r="AZ1452">
        <f>'Grid_Requirement'!AW85</f>
        <v/>
      </c>
      <c r="BA1452">
        <f>'Grid_Requirement'!AX85</f>
        <v/>
      </c>
      <c r="BB1452">
        <f>'Grid_Requirement'!AY85</f>
        <v/>
      </c>
      <c r="BC1452">
        <f>'Grid_Requirement'!AZ85</f>
        <v/>
      </c>
      <c r="BD1452">
        <f>'Grid_Requirement'!BA85</f>
        <v/>
      </c>
      <c r="BE1452">
        <f>'Grid_Requirement'!BB85</f>
        <v/>
      </c>
      <c r="BF1452">
        <f>'Grid_Requirement'!BC85</f>
        <v/>
      </c>
      <c r="BG1452">
        <f>'Grid_Requirement'!BD85</f>
        <v/>
      </c>
      <c r="BH1452">
        <f>'Grid_Requirement'!BE85</f>
        <v/>
      </c>
      <c r="BI1452">
        <f>'Grid_Requirement'!BF85</f>
        <v/>
      </c>
      <c r="BJ1452">
        <f>'Grid_Requirement'!BG85</f>
        <v/>
      </c>
      <c r="BK1452">
        <f>'Grid_Requirement'!BH85</f>
        <v/>
      </c>
      <c r="BL1452">
        <f>'Grid_Requirement'!BI85</f>
        <v/>
      </c>
      <c r="BM1452">
        <f>'Grid_Requirement'!BJ85</f>
        <v/>
      </c>
      <c r="BN1452">
        <f>'Grid_Requirement'!BK85</f>
        <v/>
      </c>
      <c r="BO1452">
        <f>'Grid_Requirement'!BL85</f>
        <v/>
      </c>
      <c r="BP1452">
        <f>'Grid_Requirement'!BM85</f>
        <v/>
      </c>
      <c r="BQ1452">
        <f>'Grid_Requirement'!BN85</f>
        <v/>
      </c>
      <c r="BR1452">
        <f>'Grid_Requirement'!BO85</f>
        <v/>
      </c>
      <c r="BS1452">
        <f>'Grid_Requirement'!BP85</f>
        <v/>
      </c>
      <c r="BT1452">
        <f>'Grid_Requirement'!BQ85</f>
        <v/>
      </c>
      <c r="BU1452">
        <f>'Grid_Requirement'!BR85</f>
        <v/>
      </c>
      <c r="BV1452">
        <f>'Grid_Requirement'!BS85</f>
        <v/>
      </c>
      <c r="BW1452">
        <f>'Grid_Requirement'!BT85</f>
        <v/>
      </c>
      <c r="BX1452">
        <f>'Grid_Requirement'!BU85</f>
        <v/>
      </c>
      <c r="BY1452">
        <f>'Grid_Requirement'!BV85</f>
        <v/>
      </c>
      <c r="BZ1452">
        <f>'Grid_Requirement'!BW85</f>
        <v/>
      </c>
      <c r="CA1452">
        <f>'Grid_Requirement'!BX85</f>
        <v/>
      </c>
      <c r="CB1452">
        <f>'Grid_Requirement'!BY85</f>
        <v/>
      </c>
      <c r="CC1452">
        <f>'Grid_Requirement'!BZ85</f>
        <v/>
      </c>
      <c r="CD1452">
        <f>'Grid_Requirement'!CA85</f>
        <v/>
      </c>
      <c r="CE1452">
        <f>'Grid_Requirement'!CB85</f>
        <v/>
      </c>
      <c r="CF1452">
        <f>'Grid_Requirement'!CC85</f>
        <v/>
      </c>
      <c r="CG1452">
        <f>'Grid_Requirement'!CD85</f>
        <v/>
      </c>
      <c r="CH1452">
        <f>'Grid_Requirement'!CE85</f>
        <v/>
      </c>
      <c r="CI1452">
        <f>'Grid_Requirement'!CF85</f>
        <v/>
      </c>
      <c r="CJ1452">
        <f>'Grid_Requirement'!CG85</f>
        <v/>
      </c>
      <c r="CK1452">
        <f>'Grid_Requirement'!CH85</f>
        <v/>
      </c>
      <c r="CL1452">
        <f>'Grid_Requirement'!CI85</f>
        <v/>
      </c>
      <c r="CM1452">
        <f>'Grid_Requirement'!CJ85</f>
        <v/>
      </c>
      <c r="CN1452">
        <f>'Grid_Requirement'!CK85</f>
        <v/>
      </c>
      <c r="CO1452">
        <f>'Grid_Requirement'!CL85</f>
        <v/>
      </c>
      <c r="CP1452">
        <f>'Grid_Requirement'!CM85</f>
        <v/>
      </c>
      <c r="CQ1452">
        <f>'Grid_Requirement'!CN85</f>
        <v/>
      </c>
      <c r="CR1452">
        <f>'Grid_Requirement'!CO85</f>
        <v/>
      </c>
      <c r="CS1452">
        <f>'Grid_Requirement'!CP85</f>
        <v/>
      </c>
      <c r="CT1452">
        <f>'Grid_Requirement'!CQ85</f>
        <v/>
      </c>
      <c r="CU1452">
        <f>'Grid_Requirement'!CR85</f>
        <v/>
      </c>
      <c r="CV1452">
        <f>'Grid_Requirement'!CS85</f>
        <v/>
      </c>
      <c r="CW1452">
        <f>'Grid_Requirement'!CT85</f>
        <v/>
      </c>
      <c r="CX1452">
        <f>'Grid_Requirement'!CU85</f>
        <v/>
      </c>
      <c r="CY1452">
        <f>'Grid_Requirement'!CV85</f>
        <v/>
      </c>
      <c r="CZ1452">
        <f>'Grid_Requirement'!CW85</f>
        <v/>
      </c>
      <c r="DA1452">
        <f>'Grid_Requirement'!CX85</f>
        <v/>
      </c>
      <c r="DB1452">
        <f>'Grid_Requirement'!CY85</f>
        <v/>
      </c>
      <c r="DC1452">
        <f>'Grid_Requirement'!CZ85</f>
        <v/>
      </c>
      <c r="DD1452">
        <f>'Grid_Requirement'!DA85</f>
        <v/>
      </c>
    </row>
    <row r="1453">
      <c r="B1453" s="23" t="inlineStr">
        <is>
          <t>（在庫・入荷予定はDashboard参照）</t>
        </is>
      </c>
    </row>
    <row r="1455">
      <c r="A1455" s="21" t="inlineStr">
        <is>
          <t>CHEM-1710</t>
        </is>
      </c>
      <c r="B1455" s="21" t="inlineStr">
        <is>
          <t>Stabilys 308</t>
        </is>
      </c>
      <c r="C1455" s="21" t="n"/>
      <c r="D1455" s="21" t="n"/>
      <c r="E1455" s="21" t="n"/>
      <c r="F1455" s="21" t="n"/>
      <c r="G1455" s="21" t="n"/>
      <c r="H1455" s="21" t="n"/>
      <c r="I1455" s="21" t="n"/>
      <c r="J1455" s="21" t="n"/>
      <c r="K1455" s="21" t="n"/>
      <c r="L1455" s="21" t="n"/>
      <c r="M1455" s="21" t="n"/>
      <c r="N1455" s="21" t="n"/>
      <c r="O1455" s="21" t="n"/>
      <c r="P1455" s="21" t="n"/>
      <c r="Q1455" s="21" t="n"/>
      <c r="R1455" s="21" t="n"/>
      <c r="S1455" s="21" t="n"/>
      <c r="T1455" s="21" t="n"/>
      <c r="U1455" s="21" t="n"/>
      <c r="V1455" s="21" t="n"/>
      <c r="W1455" s="21" t="n"/>
      <c r="X1455" s="21" t="n"/>
      <c r="Y1455" s="21" t="n"/>
      <c r="Z1455" s="21" t="n"/>
      <c r="AA1455" s="21" t="n"/>
      <c r="AB1455" s="21" t="n"/>
      <c r="AC1455" s="21" t="n"/>
      <c r="AD1455" s="21" t="n"/>
      <c r="AE1455" s="21" t="n"/>
      <c r="AF1455" s="21" t="n"/>
      <c r="AG1455" s="21" t="n"/>
      <c r="AH1455" s="21" t="n"/>
      <c r="AI1455" s="21" t="n"/>
      <c r="AJ1455" s="21" t="n"/>
      <c r="AK1455" s="21" t="n"/>
      <c r="AL1455" s="21" t="n"/>
      <c r="AM1455" s="21" t="n"/>
      <c r="AN1455" s="21" t="n"/>
      <c r="AO1455" s="21" t="n"/>
      <c r="AP1455" s="21" t="n"/>
      <c r="AQ1455" s="21" t="n"/>
      <c r="AR1455" s="21" t="n"/>
      <c r="AS1455" s="21" t="n"/>
      <c r="AT1455" s="21" t="n"/>
      <c r="AU1455" s="21" t="n"/>
      <c r="AV1455" s="21" t="n"/>
      <c r="AW1455" s="21" t="n"/>
      <c r="AX1455" s="21" t="n"/>
      <c r="AY1455" s="21" t="n"/>
      <c r="AZ1455" s="21" t="n"/>
      <c r="BA1455" s="21" t="n"/>
      <c r="BB1455" s="21" t="n"/>
      <c r="BC1455" s="21" t="n"/>
      <c r="BD1455" s="21" t="n"/>
      <c r="BE1455" s="21" t="n"/>
      <c r="BF1455" s="21" t="n"/>
      <c r="BG1455" s="21" t="n"/>
      <c r="BH1455" s="21" t="n"/>
      <c r="BI1455" s="21" t="n"/>
      <c r="BJ1455" s="21" t="n"/>
      <c r="BK1455" s="21" t="n"/>
      <c r="BL1455" s="21" t="n"/>
      <c r="BM1455" s="21" t="n"/>
      <c r="BN1455" s="21" t="n"/>
      <c r="BO1455" s="21" t="n"/>
      <c r="BP1455" s="21" t="n"/>
      <c r="BQ1455" s="21" t="n"/>
      <c r="BR1455" s="21" t="n"/>
      <c r="BS1455" s="21" t="n"/>
      <c r="BT1455" s="21" t="n"/>
      <c r="BU1455" s="21" t="n"/>
      <c r="BV1455" s="21" t="n"/>
      <c r="BW1455" s="21" t="n"/>
      <c r="BX1455" s="21" t="n"/>
      <c r="BY1455" s="21" t="n"/>
      <c r="BZ1455" s="21" t="n"/>
      <c r="CA1455" s="21" t="n"/>
      <c r="CB1455" s="21" t="n"/>
      <c r="CC1455" s="21" t="n"/>
      <c r="CD1455" s="21" t="n"/>
      <c r="CE1455" s="21" t="n"/>
      <c r="CF1455" s="21" t="n"/>
      <c r="CG1455" s="21" t="n"/>
      <c r="CH1455" s="21" t="n"/>
      <c r="CI1455" s="21" t="n"/>
      <c r="CJ1455" s="21" t="n"/>
      <c r="CK1455" s="21" t="n"/>
      <c r="CL1455" s="21" t="n"/>
      <c r="CM1455" s="21" t="n"/>
      <c r="CN1455" s="21" t="n"/>
      <c r="CO1455" s="21" t="n"/>
      <c r="CP1455" s="21" t="n"/>
      <c r="CQ1455" s="21" t="n"/>
      <c r="CR1455" s="21" t="n"/>
      <c r="CS1455" s="21" t="n"/>
      <c r="CT1455" s="21" t="n"/>
      <c r="CU1455" s="21" t="n"/>
      <c r="CV1455" s="21" t="n"/>
      <c r="CW1455" s="21" t="n"/>
      <c r="CX1455" s="21" t="n"/>
      <c r="CY1455" s="21" t="n"/>
      <c r="CZ1455" s="21" t="n"/>
      <c r="DA1455" s="21" t="n"/>
      <c r="DB1455" s="21" t="n"/>
      <c r="DC1455" s="21" t="n"/>
      <c r="DD1455" s="21" t="n"/>
    </row>
    <row r="1456">
      <c r="B1456" t="inlineStr">
        <is>
          <t>TPP-609</t>
        </is>
      </c>
      <c r="C1456" t="inlineStr">
        <is>
          <t>No. of batches</t>
        </is>
      </c>
      <c r="D1456">
        <f>IFERROR(INDEX(E1456:DD1456,$F$1),"")</f>
        <v/>
      </c>
      <c r="E1456">
        <f>IFERROR(INDEX(PP_Grid[#Data],$DE1456,2),0)</f>
        <v/>
      </c>
      <c r="F1456">
        <f>IFERROR(INDEX(PP_Grid[#Data],$DE1456,3),0)</f>
        <v/>
      </c>
      <c r="G1456">
        <f>IFERROR(INDEX(PP_Grid[#Data],$DE1456,4),0)</f>
        <v/>
      </c>
      <c r="H1456">
        <f>IFERROR(INDEX(PP_Grid[#Data],$DE1456,5),0)</f>
        <v/>
      </c>
      <c r="I1456">
        <f>IFERROR(INDEX(PP_Grid[#Data],$DE1456,6),0)</f>
        <v/>
      </c>
      <c r="J1456">
        <f>IFERROR(INDEX(PP_Grid[#Data],$DE1456,7),0)</f>
        <v/>
      </c>
      <c r="K1456">
        <f>IFERROR(INDEX(PP_Grid[#Data],$DE1456,8),0)</f>
        <v/>
      </c>
      <c r="L1456">
        <f>IFERROR(INDEX(PP_Grid[#Data],$DE1456,9),0)</f>
        <v/>
      </c>
      <c r="M1456">
        <f>IFERROR(INDEX(PP_Grid[#Data],$DE1456,10),0)</f>
        <v/>
      </c>
      <c r="N1456">
        <f>IFERROR(INDEX(PP_Grid[#Data],$DE1456,11),0)</f>
        <v/>
      </c>
      <c r="O1456">
        <f>IFERROR(INDEX(PP_Grid[#Data],$DE1456,12),0)</f>
        <v/>
      </c>
      <c r="P1456">
        <f>IFERROR(INDEX(PP_Grid[#Data],$DE1456,13),0)</f>
        <v/>
      </c>
      <c r="Q1456">
        <f>IFERROR(INDEX(PP_Grid[#Data],$DE1456,14),0)</f>
        <v/>
      </c>
      <c r="R1456">
        <f>IFERROR(INDEX(PP_Grid[#Data],$DE1456,15),0)</f>
        <v/>
      </c>
      <c r="S1456">
        <f>IFERROR(INDEX(PP_Grid[#Data],$DE1456,16),0)</f>
        <v/>
      </c>
      <c r="T1456">
        <f>IFERROR(INDEX(PP_Grid[#Data],$DE1456,17),0)</f>
        <v/>
      </c>
      <c r="U1456">
        <f>IFERROR(INDEX(PP_Grid[#Data],$DE1456,18),0)</f>
        <v/>
      </c>
      <c r="V1456">
        <f>IFERROR(INDEX(PP_Grid[#Data],$DE1456,19),0)</f>
        <v/>
      </c>
      <c r="W1456">
        <f>IFERROR(INDEX(PP_Grid[#Data],$DE1456,20),0)</f>
        <v/>
      </c>
      <c r="X1456">
        <f>IFERROR(INDEX(PP_Grid[#Data],$DE1456,21),0)</f>
        <v/>
      </c>
      <c r="Y1456">
        <f>IFERROR(INDEX(PP_Grid[#Data],$DE1456,22),0)</f>
        <v/>
      </c>
      <c r="Z1456">
        <f>IFERROR(INDEX(PP_Grid[#Data],$DE1456,23),0)</f>
        <v/>
      </c>
      <c r="AA1456">
        <f>IFERROR(INDEX(PP_Grid[#Data],$DE1456,24),0)</f>
        <v/>
      </c>
      <c r="AB1456">
        <f>IFERROR(INDEX(PP_Grid[#Data],$DE1456,25),0)</f>
        <v/>
      </c>
      <c r="AC1456">
        <f>IFERROR(INDEX(PP_Grid[#Data],$DE1456,26),0)</f>
        <v/>
      </c>
      <c r="AD1456">
        <f>IFERROR(INDEX(PP_Grid[#Data],$DE1456,27),0)</f>
        <v/>
      </c>
      <c r="AE1456">
        <f>IFERROR(INDEX(PP_Grid[#Data],$DE1456,28),0)</f>
        <v/>
      </c>
      <c r="AF1456">
        <f>IFERROR(INDEX(PP_Grid[#Data],$DE1456,29),0)</f>
        <v/>
      </c>
      <c r="AG1456">
        <f>IFERROR(INDEX(PP_Grid[#Data],$DE1456,30),0)</f>
        <v/>
      </c>
      <c r="AH1456">
        <f>IFERROR(INDEX(PP_Grid[#Data],$DE1456,31),0)</f>
        <v/>
      </c>
      <c r="AI1456">
        <f>IFERROR(INDEX(PP_Grid[#Data],$DE1456,32),0)</f>
        <v/>
      </c>
      <c r="AJ1456">
        <f>IFERROR(INDEX(PP_Grid[#Data],$DE1456,33),0)</f>
        <v/>
      </c>
      <c r="AK1456">
        <f>IFERROR(INDEX(PP_Grid[#Data],$DE1456,34),0)</f>
        <v/>
      </c>
      <c r="AL1456">
        <f>IFERROR(INDEX(PP_Grid[#Data],$DE1456,35),0)</f>
        <v/>
      </c>
      <c r="AM1456">
        <f>IFERROR(INDEX(PP_Grid[#Data],$DE1456,36),0)</f>
        <v/>
      </c>
      <c r="AN1456">
        <f>IFERROR(INDEX(PP_Grid[#Data],$DE1456,37),0)</f>
        <v/>
      </c>
      <c r="AO1456">
        <f>IFERROR(INDEX(PP_Grid[#Data],$DE1456,38),0)</f>
        <v/>
      </c>
      <c r="AP1456">
        <f>IFERROR(INDEX(PP_Grid[#Data],$DE1456,39),0)</f>
        <v/>
      </c>
      <c r="AQ1456">
        <f>IFERROR(INDEX(PP_Grid[#Data],$DE1456,40),0)</f>
        <v/>
      </c>
      <c r="AR1456">
        <f>IFERROR(INDEX(PP_Grid[#Data],$DE1456,41),0)</f>
        <v/>
      </c>
      <c r="AS1456">
        <f>IFERROR(INDEX(PP_Grid[#Data],$DE1456,42),0)</f>
        <v/>
      </c>
      <c r="AT1456">
        <f>IFERROR(INDEX(PP_Grid[#Data],$DE1456,43),0)</f>
        <v/>
      </c>
      <c r="AU1456">
        <f>IFERROR(INDEX(PP_Grid[#Data],$DE1456,44),0)</f>
        <v/>
      </c>
      <c r="AV1456">
        <f>IFERROR(INDEX(PP_Grid[#Data],$DE1456,45),0)</f>
        <v/>
      </c>
      <c r="AW1456">
        <f>IFERROR(INDEX(PP_Grid[#Data],$DE1456,46),0)</f>
        <v/>
      </c>
      <c r="AX1456">
        <f>IFERROR(INDEX(PP_Grid[#Data],$DE1456,47),0)</f>
        <v/>
      </c>
      <c r="AY1456">
        <f>IFERROR(INDEX(PP_Grid[#Data],$DE1456,48),0)</f>
        <v/>
      </c>
      <c r="AZ1456">
        <f>IFERROR(INDEX(PP_Grid[#Data],$DE1456,49),0)</f>
        <v/>
      </c>
      <c r="BA1456">
        <f>IFERROR(INDEX(PP_Grid[#Data],$DE1456,50),0)</f>
        <v/>
      </c>
      <c r="BB1456">
        <f>IFERROR(INDEX(PP_Grid[#Data],$DE1456,51),0)</f>
        <v/>
      </c>
      <c r="BC1456">
        <f>IFERROR(INDEX(PP_Grid[#Data],$DE1456,52),0)</f>
        <v/>
      </c>
      <c r="BD1456">
        <f>IFERROR(INDEX(PP_Grid[#Data],$DE1456,53),0)</f>
        <v/>
      </c>
      <c r="BE1456">
        <f>IFERROR(INDEX(PP_Grid[#Data],$DE1456,54),0)</f>
        <v/>
      </c>
      <c r="BF1456">
        <f>IFERROR(INDEX(PP_Grid[#Data],$DE1456,55),0)</f>
        <v/>
      </c>
      <c r="BG1456">
        <f>IFERROR(INDEX(PP_Grid[#Data],$DE1456,56),0)</f>
        <v/>
      </c>
      <c r="BH1456">
        <f>IFERROR(INDEX(PP_Grid[#Data],$DE1456,57),0)</f>
        <v/>
      </c>
      <c r="BI1456">
        <f>IFERROR(INDEX(PP_Grid[#Data],$DE1456,58),0)</f>
        <v/>
      </c>
      <c r="BJ1456">
        <f>IFERROR(INDEX(PP_Grid[#Data],$DE1456,59),0)</f>
        <v/>
      </c>
      <c r="BK1456">
        <f>IFERROR(INDEX(PP_Grid[#Data],$DE1456,60),0)</f>
        <v/>
      </c>
      <c r="BL1456">
        <f>IFERROR(INDEX(PP_Grid[#Data],$DE1456,61),0)</f>
        <v/>
      </c>
      <c r="BM1456">
        <f>IFERROR(INDEX(PP_Grid[#Data],$DE1456,62),0)</f>
        <v/>
      </c>
      <c r="BN1456">
        <f>IFERROR(INDEX(PP_Grid[#Data],$DE1456,63),0)</f>
        <v/>
      </c>
      <c r="BO1456">
        <f>IFERROR(INDEX(PP_Grid[#Data],$DE1456,64),0)</f>
        <v/>
      </c>
      <c r="BP1456">
        <f>IFERROR(INDEX(PP_Grid[#Data],$DE1456,65),0)</f>
        <v/>
      </c>
      <c r="BQ1456">
        <f>IFERROR(INDEX(PP_Grid[#Data],$DE1456,66),0)</f>
        <v/>
      </c>
      <c r="BR1456">
        <f>IFERROR(INDEX(PP_Grid[#Data],$DE1456,67),0)</f>
        <v/>
      </c>
      <c r="BS1456">
        <f>IFERROR(INDEX(PP_Grid[#Data],$DE1456,68),0)</f>
        <v/>
      </c>
      <c r="BT1456">
        <f>IFERROR(INDEX(PP_Grid[#Data],$DE1456,69),0)</f>
        <v/>
      </c>
      <c r="BU1456">
        <f>IFERROR(INDEX(PP_Grid[#Data],$DE1456,70),0)</f>
        <v/>
      </c>
      <c r="BV1456">
        <f>IFERROR(INDEX(PP_Grid[#Data],$DE1456,71),0)</f>
        <v/>
      </c>
      <c r="BW1456">
        <f>IFERROR(INDEX(PP_Grid[#Data],$DE1456,72),0)</f>
        <v/>
      </c>
      <c r="BX1456">
        <f>IFERROR(INDEX(PP_Grid[#Data],$DE1456,73),0)</f>
        <v/>
      </c>
      <c r="BY1456">
        <f>IFERROR(INDEX(PP_Grid[#Data],$DE1456,74),0)</f>
        <v/>
      </c>
      <c r="BZ1456">
        <f>IFERROR(INDEX(PP_Grid[#Data],$DE1456,75),0)</f>
        <v/>
      </c>
      <c r="CA1456">
        <f>IFERROR(INDEX(PP_Grid[#Data],$DE1456,76),0)</f>
        <v/>
      </c>
      <c r="CB1456">
        <f>IFERROR(INDEX(PP_Grid[#Data],$DE1456,77),0)</f>
        <v/>
      </c>
      <c r="CC1456">
        <f>IFERROR(INDEX(PP_Grid[#Data],$DE1456,78),0)</f>
        <v/>
      </c>
      <c r="CD1456">
        <f>IFERROR(INDEX(PP_Grid[#Data],$DE1456,79),0)</f>
        <v/>
      </c>
      <c r="CE1456">
        <f>IFERROR(INDEX(PP_Grid[#Data],$DE1456,80),0)</f>
        <v/>
      </c>
      <c r="CF1456">
        <f>IFERROR(INDEX(PP_Grid[#Data],$DE1456,81),0)</f>
        <v/>
      </c>
      <c r="CG1456">
        <f>IFERROR(INDEX(PP_Grid[#Data],$DE1456,82),0)</f>
        <v/>
      </c>
      <c r="CH1456">
        <f>IFERROR(INDEX(PP_Grid[#Data],$DE1456,83),0)</f>
        <v/>
      </c>
      <c r="CI1456">
        <f>IFERROR(INDEX(PP_Grid[#Data],$DE1456,84),0)</f>
        <v/>
      </c>
      <c r="CJ1456">
        <f>IFERROR(INDEX(PP_Grid[#Data],$DE1456,85),0)</f>
        <v/>
      </c>
      <c r="CK1456">
        <f>IFERROR(INDEX(PP_Grid[#Data],$DE1456,86),0)</f>
        <v/>
      </c>
      <c r="CL1456">
        <f>IFERROR(INDEX(PP_Grid[#Data],$DE1456,87),0)</f>
        <v/>
      </c>
      <c r="CM1456">
        <f>IFERROR(INDEX(PP_Grid[#Data],$DE1456,88),0)</f>
        <v/>
      </c>
      <c r="CN1456">
        <f>IFERROR(INDEX(PP_Grid[#Data],$DE1456,89),0)</f>
        <v/>
      </c>
      <c r="CO1456">
        <f>IFERROR(INDEX(PP_Grid[#Data],$DE1456,90),0)</f>
        <v/>
      </c>
      <c r="CP1456">
        <f>IFERROR(INDEX(PP_Grid[#Data],$DE1456,91),0)</f>
        <v/>
      </c>
      <c r="CQ1456">
        <f>IFERROR(INDEX(PP_Grid[#Data],$DE1456,92),0)</f>
        <v/>
      </c>
      <c r="CR1456">
        <f>IFERROR(INDEX(PP_Grid[#Data],$DE1456,93),0)</f>
        <v/>
      </c>
      <c r="CS1456">
        <f>IFERROR(INDEX(PP_Grid[#Data],$DE1456,94),0)</f>
        <v/>
      </c>
      <c r="CT1456">
        <f>IFERROR(INDEX(PP_Grid[#Data],$DE1456,95),0)</f>
        <v/>
      </c>
      <c r="CU1456">
        <f>IFERROR(INDEX(PP_Grid[#Data],$DE1456,96),0)</f>
        <v/>
      </c>
      <c r="CV1456">
        <f>IFERROR(INDEX(PP_Grid[#Data],$DE1456,97),0)</f>
        <v/>
      </c>
      <c r="CW1456">
        <f>IFERROR(INDEX(PP_Grid[#Data],$DE1456,98),0)</f>
        <v/>
      </c>
      <c r="CX1456">
        <f>IFERROR(INDEX(PP_Grid[#Data],$DE1456,99),0)</f>
        <v/>
      </c>
      <c r="CY1456">
        <f>IFERROR(INDEX(PP_Grid[#Data],$DE1456,100),0)</f>
        <v/>
      </c>
      <c r="CZ1456">
        <f>IFERROR(INDEX(PP_Grid[#Data],$DE1456,101),0)</f>
        <v/>
      </c>
      <c r="DA1456">
        <f>IFERROR(INDEX(PP_Grid[#Data],$DE1456,102),0)</f>
        <v/>
      </c>
      <c r="DB1456">
        <f>IFERROR(INDEX(PP_Grid[#Data],$DE1456,103),0)</f>
        <v/>
      </c>
      <c r="DC1456">
        <f>IFERROR(INDEX(PP_Grid[#Data],$DE1456,104),0)</f>
        <v/>
      </c>
      <c r="DD1456">
        <f>IFERROR(INDEX(PP_Grid[#Data],$DE1456,105),0)</f>
        <v/>
      </c>
      <c r="DE1456" s="7">
        <f>IFERROR(MATCH($B1456,PP_Grid[Intermediate],0),99999)</f>
        <v/>
      </c>
    </row>
    <row r="1457">
      <c r="B1457" t="inlineStr">
        <is>
          <t>使用量(kg)</t>
        </is>
      </c>
      <c r="C1457">
        <f>SUMIFS(M_BOM[RM_Qty_Per_Batch],M_BOM[Intermediate],$B1456,M_BOM[RM_Code],$A1455)</f>
        <v/>
      </c>
      <c r="D1457">
        <f>IFERROR(INDEX(E1457:DD1457,$F$1),"")</f>
        <v/>
      </c>
      <c r="E1457">
        <f>$C1457*E1456</f>
        <v/>
      </c>
      <c r="F1457">
        <f>$C1457*F1456</f>
        <v/>
      </c>
      <c r="G1457">
        <f>$C1457*G1456</f>
        <v/>
      </c>
      <c r="H1457">
        <f>$C1457*H1456</f>
        <v/>
      </c>
      <c r="I1457">
        <f>$C1457*I1456</f>
        <v/>
      </c>
      <c r="J1457">
        <f>$C1457*J1456</f>
        <v/>
      </c>
      <c r="K1457">
        <f>$C1457*K1456</f>
        <v/>
      </c>
      <c r="L1457">
        <f>$C1457*L1456</f>
        <v/>
      </c>
      <c r="M1457">
        <f>$C1457*M1456</f>
        <v/>
      </c>
      <c r="N1457">
        <f>$C1457*N1456</f>
        <v/>
      </c>
      <c r="O1457">
        <f>$C1457*O1456</f>
        <v/>
      </c>
      <c r="P1457">
        <f>$C1457*P1456</f>
        <v/>
      </c>
      <c r="Q1457">
        <f>$C1457*Q1456</f>
        <v/>
      </c>
      <c r="R1457">
        <f>$C1457*R1456</f>
        <v/>
      </c>
      <c r="S1457">
        <f>$C1457*S1456</f>
        <v/>
      </c>
      <c r="T1457">
        <f>$C1457*T1456</f>
        <v/>
      </c>
      <c r="U1457">
        <f>$C1457*U1456</f>
        <v/>
      </c>
      <c r="V1457">
        <f>$C1457*V1456</f>
        <v/>
      </c>
      <c r="W1457">
        <f>$C1457*W1456</f>
        <v/>
      </c>
      <c r="X1457">
        <f>$C1457*X1456</f>
        <v/>
      </c>
      <c r="Y1457">
        <f>$C1457*Y1456</f>
        <v/>
      </c>
      <c r="Z1457">
        <f>$C1457*Z1456</f>
        <v/>
      </c>
      <c r="AA1457">
        <f>$C1457*AA1456</f>
        <v/>
      </c>
      <c r="AB1457">
        <f>$C1457*AB1456</f>
        <v/>
      </c>
      <c r="AC1457">
        <f>$C1457*AC1456</f>
        <v/>
      </c>
      <c r="AD1457">
        <f>$C1457*AD1456</f>
        <v/>
      </c>
      <c r="AE1457">
        <f>$C1457*AE1456</f>
        <v/>
      </c>
      <c r="AF1457">
        <f>$C1457*AF1456</f>
        <v/>
      </c>
      <c r="AG1457">
        <f>$C1457*AG1456</f>
        <v/>
      </c>
      <c r="AH1457">
        <f>$C1457*AH1456</f>
        <v/>
      </c>
      <c r="AI1457">
        <f>$C1457*AI1456</f>
        <v/>
      </c>
      <c r="AJ1457">
        <f>$C1457*AJ1456</f>
        <v/>
      </c>
      <c r="AK1457">
        <f>$C1457*AK1456</f>
        <v/>
      </c>
      <c r="AL1457">
        <f>$C1457*AL1456</f>
        <v/>
      </c>
      <c r="AM1457">
        <f>$C1457*AM1456</f>
        <v/>
      </c>
      <c r="AN1457">
        <f>$C1457*AN1456</f>
        <v/>
      </c>
      <c r="AO1457">
        <f>$C1457*AO1456</f>
        <v/>
      </c>
      <c r="AP1457">
        <f>$C1457*AP1456</f>
        <v/>
      </c>
      <c r="AQ1457">
        <f>$C1457*AQ1456</f>
        <v/>
      </c>
      <c r="AR1457">
        <f>$C1457*AR1456</f>
        <v/>
      </c>
      <c r="AS1457">
        <f>$C1457*AS1456</f>
        <v/>
      </c>
      <c r="AT1457">
        <f>$C1457*AT1456</f>
        <v/>
      </c>
      <c r="AU1457">
        <f>$C1457*AU1456</f>
        <v/>
      </c>
      <c r="AV1457">
        <f>$C1457*AV1456</f>
        <v/>
      </c>
      <c r="AW1457">
        <f>$C1457*AW1456</f>
        <v/>
      </c>
      <c r="AX1457">
        <f>$C1457*AX1456</f>
        <v/>
      </c>
      <c r="AY1457">
        <f>$C1457*AY1456</f>
        <v/>
      </c>
      <c r="AZ1457">
        <f>$C1457*AZ1456</f>
        <v/>
      </c>
      <c r="BA1457">
        <f>$C1457*BA1456</f>
        <v/>
      </c>
      <c r="BB1457">
        <f>$C1457*BB1456</f>
        <v/>
      </c>
      <c r="BC1457">
        <f>$C1457*BC1456</f>
        <v/>
      </c>
      <c r="BD1457">
        <f>$C1457*BD1456</f>
        <v/>
      </c>
      <c r="BE1457">
        <f>$C1457*BE1456</f>
        <v/>
      </c>
      <c r="BF1457">
        <f>$C1457*BF1456</f>
        <v/>
      </c>
      <c r="BG1457">
        <f>$C1457*BG1456</f>
        <v/>
      </c>
      <c r="BH1457">
        <f>$C1457*BH1456</f>
        <v/>
      </c>
      <c r="BI1457">
        <f>$C1457*BI1456</f>
        <v/>
      </c>
      <c r="BJ1457">
        <f>$C1457*BJ1456</f>
        <v/>
      </c>
      <c r="BK1457">
        <f>$C1457*BK1456</f>
        <v/>
      </c>
      <c r="BL1457">
        <f>$C1457*BL1456</f>
        <v/>
      </c>
      <c r="BM1457">
        <f>$C1457*BM1456</f>
        <v/>
      </c>
      <c r="BN1457">
        <f>$C1457*BN1456</f>
        <v/>
      </c>
      <c r="BO1457">
        <f>$C1457*BO1456</f>
        <v/>
      </c>
      <c r="BP1457">
        <f>$C1457*BP1456</f>
        <v/>
      </c>
      <c r="BQ1457">
        <f>$C1457*BQ1456</f>
        <v/>
      </c>
      <c r="BR1457">
        <f>$C1457*BR1456</f>
        <v/>
      </c>
      <c r="BS1457">
        <f>$C1457*BS1456</f>
        <v/>
      </c>
      <c r="BT1457">
        <f>$C1457*BT1456</f>
        <v/>
      </c>
      <c r="BU1457">
        <f>$C1457*BU1456</f>
        <v/>
      </c>
      <c r="BV1457">
        <f>$C1457*BV1456</f>
        <v/>
      </c>
      <c r="BW1457">
        <f>$C1457*BW1456</f>
        <v/>
      </c>
      <c r="BX1457">
        <f>$C1457*BX1456</f>
        <v/>
      </c>
      <c r="BY1457">
        <f>$C1457*BY1456</f>
        <v/>
      </c>
      <c r="BZ1457">
        <f>$C1457*BZ1456</f>
        <v/>
      </c>
      <c r="CA1457">
        <f>$C1457*CA1456</f>
        <v/>
      </c>
      <c r="CB1457">
        <f>$C1457*CB1456</f>
        <v/>
      </c>
      <c r="CC1457">
        <f>$C1457*CC1456</f>
        <v/>
      </c>
      <c r="CD1457">
        <f>$C1457*CD1456</f>
        <v/>
      </c>
      <c r="CE1457">
        <f>$C1457*CE1456</f>
        <v/>
      </c>
      <c r="CF1457">
        <f>$C1457*CF1456</f>
        <v/>
      </c>
      <c r="CG1457">
        <f>$C1457*CG1456</f>
        <v/>
      </c>
      <c r="CH1457">
        <f>$C1457*CH1456</f>
        <v/>
      </c>
      <c r="CI1457">
        <f>$C1457*CI1456</f>
        <v/>
      </c>
      <c r="CJ1457">
        <f>$C1457*CJ1456</f>
        <v/>
      </c>
      <c r="CK1457">
        <f>$C1457*CK1456</f>
        <v/>
      </c>
      <c r="CL1457">
        <f>$C1457*CL1456</f>
        <v/>
      </c>
      <c r="CM1457">
        <f>$C1457*CM1456</f>
        <v/>
      </c>
      <c r="CN1457">
        <f>$C1457*CN1456</f>
        <v/>
      </c>
      <c r="CO1457">
        <f>$C1457*CO1456</f>
        <v/>
      </c>
      <c r="CP1457">
        <f>$C1457*CP1456</f>
        <v/>
      </c>
      <c r="CQ1457">
        <f>$C1457*CQ1456</f>
        <v/>
      </c>
      <c r="CR1457">
        <f>$C1457*CR1456</f>
        <v/>
      </c>
      <c r="CS1457">
        <f>$C1457*CS1456</f>
        <v/>
      </c>
      <c r="CT1457">
        <f>$C1457*CT1456</f>
        <v/>
      </c>
      <c r="CU1457">
        <f>$C1457*CU1456</f>
        <v/>
      </c>
      <c r="CV1457">
        <f>$C1457*CV1456</f>
        <v/>
      </c>
      <c r="CW1457">
        <f>$C1457*CW1456</f>
        <v/>
      </c>
      <c r="CX1457">
        <f>$C1457*CX1456</f>
        <v/>
      </c>
      <c r="CY1457">
        <f>$C1457*CY1456</f>
        <v/>
      </c>
      <c r="CZ1457">
        <f>$C1457*CZ1456</f>
        <v/>
      </c>
      <c r="DA1457">
        <f>$C1457*DA1456</f>
        <v/>
      </c>
      <c r="DB1457">
        <f>$C1457*DB1456</f>
        <v/>
      </c>
      <c r="DC1457">
        <f>$C1457*DC1456</f>
        <v/>
      </c>
      <c r="DD1457">
        <f>$C1457*DD1456</f>
        <v/>
      </c>
    </row>
    <row r="1458">
      <c r="B1458" t="inlineStr">
        <is>
          <t>No of times used</t>
        </is>
      </c>
      <c r="C1458" t="inlineStr">
        <is>
          <t>No. of batches</t>
        </is>
      </c>
      <c r="D1458">
        <f>IFERROR(INDEX(E1458:DD1458,$F$1),"")</f>
        <v/>
      </c>
      <c r="E1458">
        <f>IFERROR(INDEX(PP_Grid[#Data],$DE1458,2),0)</f>
        <v/>
      </c>
      <c r="F1458">
        <f>IFERROR(INDEX(PP_Grid[#Data],$DE1458,3),0)</f>
        <v/>
      </c>
      <c r="G1458">
        <f>IFERROR(INDEX(PP_Grid[#Data],$DE1458,4),0)</f>
        <v/>
      </c>
      <c r="H1458">
        <f>IFERROR(INDEX(PP_Grid[#Data],$DE1458,5),0)</f>
        <v/>
      </c>
      <c r="I1458">
        <f>IFERROR(INDEX(PP_Grid[#Data],$DE1458,6),0)</f>
        <v/>
      </c>
      <c r="J1458">
        <f>IFERROR(INDEX(PP_Grid[#Data],$DE1458,7),0)</f>
        <v/>
      </c>
      <c r="K1458">
        <f>IFERROR(INDEX(PP_Grid[#Data],$DE1458,8),0)</f>
        <v/>
      </c>
      <c r="L1458">
        <f>IFERROR(INDEX(PP_Grid[#Data],$DE1458,9),0)</f>
        <v/>
      </c>
      <c r="M1458">
        <f>IFERROR(INDEX(PP_Grid[#Data],$DE1458,10),0)</f>
        <v/>
      </c>
      <c r="N1458">
        <f>IFERROR(INDEX(PP_Grid[#Data],$DE1458,11),0)</f>
        <v/>
      </c>
      <c r="O1458">
        <f>IFERROR(INDEX(PP_Grid[#Data],$DE1458,12),0)</f>
        <v/>
      </c>
      <c r="P1458">
        <f>IFERROR(INDEX(PP_Grid[#Data],$DE1458,13),0)</f>
        <v/>
      </c>
      <c r="Q1458">
        <f>IFERROR(INDEX(PP_Grid[#Data],$DE1458,14),0)</f>
        <v/>
      </c>
      <c r="R1458">
        <f>IFERROR(INDEX(PP_Grid[#Data],$DE1458,15),0)</f>
        <v/>
      </c>
      <c r="S1458">
        <f>IFERROR(INDEX(PP_Grid[#Data],$DE1458,16),0)</f>
        <v/>
      </c>
      <c r="T1458">
        <f>IFERROR(INDEX(PP_Grid[#Data],$DE1458,17),0)</f>
        <v/>
      </c>
      <c r="U1458">
        <f>IFERROR(INDEX(PP_Grid[#Data],$DE1458,18),0)</f>
        <v/>
      </c>
      <c r="V1458">
        <f>IFERROR(INDEX(PP_Grid[#Data],$DE1458,19),0)</f>
        <v/>
      </c>
      <c r="W1458">
        <f>IFERROR(INDEX(PP_Grid[#Data],$DE1458,20),0)</f>
        <v/>
      </c>
      <c r="X1458">
        <f>IFERROR(INDEX(PP_Grid[#Data],$DE1458,21),0)</f>
        <v/>
      </c>
      <c r="Y1458">
        <f>IFERROR(INDEX(PP_Grid[#Data],$DE1458,22),0)</f>
        <v/>
      </c>
      <c r="Z1458">
        <f>IFERROR(INDEX(PP_Grid[#Data],$DE1458,23),0)</f>
        <v/>
      </c>
      <c r="AA1458">
        <f>IFERROR(INDEX(PP_Grid[#Data],$DE1458,24),0)</f>
        <v/>
      </c>
      <c r="AB1458">
        <f>IFERROR(INDEX(PP_Grid[#Data],$DE1458,25),0)</f>
        <v/>
      </c>
      <c r="AC1458">
        <f>IFERROR(INDEX(PP_Grid[#Data],$DE1458,26),0)</f>
        <v/>
      </c>
      <c r="AD1458">
        <f>IFERROR(INDEX(PP_Grid[#Data],$DE1458,27),0)</f>
        <v/>
      </c>
      <c r="AE1458">
        <f>IFERROR(INDEX(PP_Grid[#Data],$DE1458,28),0)</f>
        <v/>
      </c>
      <c r="AF1458">
        <f>IFERROR(INDEX(PP_Grid[#Data],$DE1458,29),0)</f>
        <v/>
      </c>
      <c r="AG1458">
        <f>IFERROR(INDEX(PP_Grid[#Data],$DE1458,30),0)</f>
        <v/>
      </c>
      <c r="AH1458">
        <f>IFERROR(INDEX(PP_Grid[#Data],$DE1458,31),0)</f>
        <v/>
      </c>
      <c r="AI1458">
        <f>IFERROR(INDEX(PP_Grid[#Data],$DE1458,32),0)</f>
        <v/>
      </c>
      <c r="AJ1458">
        <f>IFERROR(INDEX(PP_Grid[#Data],$DE1458,33),0)</f>
        <v/>
      </c>
      <c r="AK1458">
        <f>IFERROR(INDEX(PP_Grid[#Data],$DE1458,34),0)</f>
        <v/>
      </c>
      <c r="AL1458">
        <f>IFERROR(INDEX(PP_Grid[#Data],$DE1458,35),0)</f>
        <v/>
      </c>
      <c r="AM1458">
        <f>IFERROR(INDEX(PP_Grid[#Data],$DE1458,36),0)</f>
        <v/>
      </c>
      <c r="AN1458">
        <f>IFERROR(INDEX(PP_Grid[#Data],$DE1458,37),0)</f>
        <v/>
      </c>
      <c r="AO1458">
        <f>IFERROR(INDEX(PP_Grid[#Data],$DE1458,38),0)</f>
        <v/>
      </c>
      <c r="AP1458">
        <f>IFERROR(INDEX(PP_Grid[#Data],$DE1458,39),0)</f>
        <v/>
      </c>
      <c r="AQ1458">
        <f>IFERROR(INDEX(PP_Grid[#Data],$DE1458,40),0)</f>
        <v/>
      </c>
      <c r="AR1458">
        <f>IFERROR(INDEX(PP_Grid[#Data],$DE1458,41),0)</f>
        <v/>
      </c>
      <c r="AS1458">
        <f>IFERROR(INDEX(PP_Grid[#Data],$DE1458,42),0)</f>
        <v/>
      </c>
      <c r="AT1458">
        <f>IFERROR(INDEX(PP_Grid[#Data],$DE1458,43),0)</f>
        <v/>
      </c>
      <c r="AU1458">
        <f>IFERROR(INDEX(PP_Grid[#Data],$DE1458,44),0)</f>
        <v/>
      </c>
      <c r="AV1458">
        <f>IFERROR(INDEX(PP_Grid[#Data],$DE1458,45),0)</f>
        <v/>
      </c>
      <c r="AW1458">
        <f>IFERROR(INDEX(PP_Grid[#Data],$DE1458,46),0)</f>
        <v/>
      </c>
      <c r="AX1458">
        <f>IFERROR(INDEX(PP_Grid[#Data],$DE1458,47),0)</f>
        <v/>
      </c>
      <c r="AY1458">
        <f>IFERROR(INDEX(PP_Grid[#Data],$DE1458,48),0)</f>
        <v/>
      </c>
      <c r="AZ1458">
        <f>IFERROR(INDEX(PP_Grid[#Data],$DE1458,49),0)</f>
        <v/>
      </c>
      <c r="BA1458">
        <f>IFERROR(INDEX(PP_Grid[#Data],$DE1458,50),0)</f>
        <v/>
      </c>
      <c r="BB1458">
        <f>IFERROR(INDEX(PP_Grid[#Data],$DE1458,51),0)</f>
        <v/>
      </c>
      <c r="BC1458">
        <f>IFERROR(INDEX(PP_Grid[#Data],$DE1458,52),0)</f>
        <v/>
      </c>
      <c r="BD1458">
        <f>IFERROR(INDEX(PP_Grid[#Data],$DE1458,53),0)</f>
        <v/>
      </c>
      <c r="BE1458">
        <f>IFERROR(INDEX(PP_Grid[#Data],$DE1458,54),0)</f>
        <v/>
      </c>
      <c r="BF1458">
        <f>IFERROR(INDEX(PP_Grid[#Data],$DE1458,55),0)</f>
        <v/>
      </c>
      <c r="BG1458">
        <f>IFERROR(INDEX(PP_Grid[#Data],$DE1458,56),0)</f>
        <v/>
      </c>
      <c r="BH1458">
        <f>IFERROR(INDEX(PP_Grid[#Data],$DE1458,57),0)</f>
        <v/>
      </c>
      <c r="BI1458">
        <f>IFERROR(INDEX(PP_Grid[#Data],$DE1458,58),0)</f>
        <v/>
      </c>
      <c r="BJ1458">
        <f>IFERROR(INDEX(PP_Grid[#Data],$DE1458,59),0)</f>
        <v/>
      </c>
      <c r="BK1458">
        <f>IFERROR(INDEX(PP_Grid[#Data],$DE1458,60),0)</f>
        <v/>
      </c>
      <c r="BL1458">
        <f>IFERROR(INDEX(PP_Grid[#Data],$DE1458,61),0)</f>
        <v/>
      </c>
      <c r="BM1458">
        <f>IFERROR(INDEX(PP_Grid[#Data],$DE1458,62),0)</f>
        <v/>
      </c>
      <c r="BN1458">
        <f>IFERROR(INDEX(PP_Grid[#Data],$DE1458,63),0)</f>
        <v/>
      </c>
      <c r="BO1458">
        <f>IFERROR(INDEX(PP_Grid[#Data],$DE1458,64),0)</f>
        <v/>
      </c>
      <c r="BP1458">
        <f>IFERROR(INDEX(PP_Grid[#Data],$DE1458,65),0)</f>
        <v/>
      </c>
      <c r="BQ1458">
        <f>IFERROR(INDEX(PP_Grid[#Data],$DE1458,66),0)</f>
        <v/>
      </c>
      <c r="BR1458">
        <f>IFERROR(INDEX(PP_Grid[#Data],$DE1458,67),0)</f>
        <v/>
      </c>
      <c r="BS1458">
        <f>IFERROR(INDEX(PP_Grid[#Data],$DE1458,68),0)</f>
        <v/>
      </c>
      <c r="BT1458">
        <f>IFERROR(INDEX(PP_Grid[#Data],$DE1458,69),0)</f>
        <v/>
      </c>
      <c r="BU1458">
        <f>IFERROR(INDEX(PP_Grid[#Data],$DE1458,70),0)</f>
        <v/>
      </c>
      <c r="BV1458">
        <f>IFERROR(INDEX(PP_Grid[#Data],$DE1458,71),0)</f>
        <v/>
      </c>
      <c r="BW1458">
        <f>IFERROR(INDEX(PP_Grid[#Data],$DE1458,72),0)</f>
        <v/>
      </c>
      <c r="BX1458">
        <f>IFERROR(INDEX(PP_Grid[#Data],$DE1458,73),0)</f>
        <v/>
      </c>
      <c r="BY1458">
        <f>IFERROR(INDEX(PP_Grid[#Data],$DE1458,74),0)</f>
        <v/>
      </c>
      <c r="BZ1458">
        <f>IFERROR(INDEX(PP_Grid[#Data],$DE1458,75),0)</f>
        <v/>
      </c>
      <c r="CA1458">
        <f>IFERROR(INDEX(PP_Grid[#Data],$DE1458,76),0)</f>
        <v/>
      </c>
      <c r="CB1458">
        <f>IFERROR(INDEX(PP_Grid[#Data],$DE1458,77),0)</f>
        <v/>
      </c>
      <c r="CC1458">
        <f>IFERROR(INDEX(PP_Grid[#Data],$DE1458,78),0)</f>
        <v/>
      </c>
      <c r="CD1458">
        <f>IFERROR(INDEX(PP_Grid[#Data],$DE1458,79),0)</f>
        <v/>
      </c>
      <c r="CE1458">
        <f>IFERROR(INDEX(PP_Grid[#Data],$DE1458,80),0)</f>
        <v/>
      </c>
      <c r="CF1458">
        <f>IFERROR(INDEX(PP_Grid[#Data],$DE1458,81),0)</f>
        <v/>
      </c>
      <c r="CG1458">
        <f>IFERROR(INDEX(PP_Grid[#Data],$DE1458,82),0)</f>
        <v/>
      </c>
      <c r="CH1458">
        <f>IFERROR(INDEX(PP_Grid[#Data],$DE1458,83),0)</f>
        <v/>
      </c>
      <c r="CI1458">
        <f>IFERROR(INDEX(PP_Grid[#Data],$DE1458,84),0)</f>
        <v/>
      </c>
      <c r="CJ1458">
        <f>IFERROR(INDEX(PP_Grid[#Data],$DE1458,85),0)</f>
        <v/>
      </c>
      <c r="CK1458">
        <f>IFERROR(INDEX(PP_Grid[#Data],$DE1458,86),0)</f>
        <v/>
      </c>
      <c r="CL1458">
        <f>IFERROR(INDEX(PP_Grid[#Data],$DE1458,87),0)</f>
        <v/>
      </c>
      <c r="CM1458">
        <f>IFERROR(INDEX(PP_Grid[#Data],$DE1458,88),0)</f>
        <v/>
      </c>
      <c r="CN1458">
        <f>IFERROR(INDEX(PP_Grid[#Data],$DE1458,89),0)</f>
        <v/>
      </c>
      <c r="CO1458">
        <f>IFERROR(INDEX(PP_Grid[#Data],$DE1458,90),0)</f>
        <v/>
      </c>
      <c r="CP1458">
        <f>IFERROR(INDEX(PP_Grid[#Data],$DE1458,91),0)</f>
        <v/>
      </c>
      <c r="CQ1458">
        <f>IFERROR(INDEX(PP_Grid[#Data],$DE1458,92),0)</f>
        <v/>
      </c>
      <c r="CR1458">
        <f>IFERROR(INDEX(PP_Grid[#Data],$DE1458,93),0)</f>
        <v/>
      </c>
      <c r="CS1458">
        <f>IFERROR(INDEX(PP_Grid[#Data],$DE1458,94),0)</f>
        <v/>
      </c>
      <c r="CT1458">
        <f>IFERROR(INDEX(PP_Grid[#Data],$DE1458,95),0)</f>
        <v/>
      </c>
      <c r="CU1458">
        <f>IFERROR(INDEX(PP_Grid[#Data],$DE1458,96),0)</f>
        <v/>
      </c>
      <c r="CV1458">
        <f>IFERROR(INDEX(PP_Grid[#Data],$DE1458,97),0)</f>
        <v/>
      </c>
      <c r="CW1458">
        <f>IFERROR(INDEX(PP_Grid[#Data],$DE1458,98),0)</f>
        <v/>
      </c>
      <c r="CX1458">
        <f>IFERROR(INDEX(PP_Grid[#Data],$DE1458,99),0)</f>
        <v/>
      </c>
      <c r="CY1458">
        <f>IFERROR(INDEX(PP_Grid[#Data],$DE1458,100),0)</f>
        <v/>
      </c>
      <c r="CZ1458">
        <f>IFERROR(INDEX(PP_Grid[#Data],$DE1458,101),0)</f>
        <v/>
      </c>
      <c r="DA1458">
        <f>IFERROR(INDEX(PP_Grid[#Data],$DE1458,102),0)</f>
        <v/>
      </c>
      <c r="DB1458">
        <f>IFERROR(INDEX(PP_Grid[#Data],$DE1458,103),0)</f>
        <v/>
      </c>
      <c r="DC1458">
        <f>IFERROR(INDEX(PP_Grid[#Data],$DE1458,104),0)</f>
        <v/>
      </c>
      <c r="DD1458">
        <f>IFERROR(INDEX(PP_Grid[#Data],$DE1458,105),0)</f>
        <v/>
      </c>
      <c r="DE1458" s="7">
        <f>IFERROR(MATCH($B1458,PP_Grid[Intermediate],0),99999)</f>
        <v/>
      </c>
    </row>
    <row r="1459">
      <c r="B1459" t="inlineStr">
        <is>
          <t>使用量(kg)</t>
        </is>
      </c>
      <c r="C1459">
        <f>SUMIFS(M_BOM[RM_Qty_Per_Batch],M_BOM[Intermediate],$B1458,M_BOM[RM_Code],$A1455)</f>
        <v/>
      </c>
      <c r="D1459">
        <f>IFERROR(INDEX(E1459:DD1459,$F$1),"")</f>
        <v/>
      </c>
      <c r="E1459">
        <f>$C1459*E1458</f>
        <v/>
      </c>
      <c r="F1459">
        <f>$C1459*F1458</f>
        <v/>
      </c>
      <c r="G1459">
        <f>$C1459*G1458</f>
        <v/>
      </c>
      <c r="H1459">
        <f>$C1459*H1458</f>
        <v/>
      </c>
      <c r="I1459">
        <f>$C1459*I1458</f>
        <v/>
      </c>
      <c r="J1459">
        <f>$C1459*J1458</f>
        <v/>
      </c>
      <c r="K1459">
        <f>$C1459*K1458</f>
        <v/>
      </c>
      <c r="L1459">
        <f>$C1459*L1458</f>
        <v/>
      </c>
      <c r="M1459">
        <f>$C1459*M1458</f>
        <v/>
      </c>
      <c r="N1459">
        <f>$C1459*N1458</f>
        <v/>
      </c>
      <c r="O1459">
        <f>$C1459*O1458</f>
        <v/>
      </c>
      <c r="P1459">
        <f>$C1459*P1458</f>
        <v/>
      </c>
      <c r="Q1459">
        <f>$C1459*Q1458</f>
        <v/>
      </c>
      <c r="R1459">
        <f>$C1459*R1458</f>
        <v/>
      </c>
      <c r="S1459">
        <f>$C1459*S1458</f>
        <v/>
      </c>
      <c r="T1459">
        <f>$C1459*T1458</f>
        <v/>
      </c>
      <c r="U1459">
        <f>$C1459*U1458</f>
        <v/>
      </c>
      <c r="V1459">
        <f>$C1459*V1458</f>
        <v/>
      </c>
      <c r="W1459">
        <f>$C1459*W1458</f>
        <v/>
      </c>
      <c r="X1459">
        <f>$C1459*X1458</f>
        <v/>
      </c>
      <c r="Y1459">
        <f>$C1459*Y1458</f>
        <v/>
      </c>
      <c r="Z1459">
        <f>$C1459*Z1458</f>
        <v/>
      </c>
      <c r="AA1459">
        <f>$C1459*AA1458</f>
        <v/>
      </c>
      <c r="AB1459">
        <f>$C1459*AB1458</f>
        <v/>
      </c>
      <c r="AC1459">
        <f>$C1459*AC1458</f>
        <v/>
      </c>
      <c r="AD1459">
        <f>$C1459*AD1458</f>
        <v/>
      </c>
      <c r="AE1459">
        <f>$C1459*AE1458</f>
        <v/>
      </c>
      <c r="AF1459">
        <f>$C1459*AF1458</f>
        <v/>
      </c>
      <c r="AG1459">
        <f>$C1459*AG1458</f>
        <v/>
      </c>
      <c r="AH1459">
        <f>$C1459*AH1458</f>
        <v/>
      </c>
      <c r="AI1459">
        <f>$C1459*AI1458</f>
        <v/>
      </c>
      <c r="AJ1459">
        <f>$C1459*AJ1458</f>
        <v/>
      </c>
      <c r="AK1459">
        <f>$C1459*AK1458</f>
        <v/>
      </c>
      <c r="AL1459">
        <f>$C1459*AL1458</f>
        <v/>
      </c>
      <c r="AM1459">
        <f>$C1459*AM1458</f>
        <v/>
      </c>
      <c r="AN1459">
        <f>$C1459*AN1458</f>
        <v/>
      </c>
      <c r="AO1459">
        <f>$C1459*AO1458</f>
        <v/>
      </c>
      <c r="AP1459">
        <f>$C1459*AP1458</f>
        <v/>
      </c>
      <c r="AQ1459">
        <f>$C1459*AQ1458</f>
        <v/>
      </c>
      <c r="AR1459">
        <f>$C1459*AR1458</f>
        <v/>
      </c>
      <c r="AS1459">
        <f>$C1459*AS1458</f>
        <v/>
      </c>
      <c r="AT1459">
        <f>$C1459*AT1458</f>
        <v/>
      </c>
      <c r="AU1459">
        <f>$C1459*AU1458</f>
        <v/>
      </c>
      <c r="AV1459">
        <f>$C1459*AV1458</f>
        <v/>
      </c>
      <c r="AW1459">
        <f>$C1459*AW1458</f>
        <v/>
      </c>
      <c r="AX1459">
        <f>$C1459*AX1458</f>
        <v/>
      </c>
      <c r="AY1459">
        <f>$C1459*AY1458</f>
        <v/>
      </c>
      <c r="AZ1459">
        <f>$C1459*AZ1458</f>
        <v/>
      </c>
      <c r="BA1459">
        <f>$C1459*BA1458</f>
        <v/>
      </c>
      <c r="BB1459">
        <f>$C1459*BB1458</f>
        <v/>
      </c>
      <c r="BC1459">
        <f>$C1459*BC1458</f>
        <v/>
      </c>
      <c r="BD1459">
        <f>$C1459*BD1458</f>
        <v/>
      </c>
      <c r="BE1459">
        <f>$C1459*BE1458</f>
        <v/>
      </c>
      <c r="BF1459">
        <f>$C1459*BF1458</f>
        <v/>
      </c>
      <c r="BG1459">
        <f>$C1459*BG1458</f>
        <v/>
      </c>
      <c r="BH1459">
        <f>$C1459*BH1458</f>
        <v/>
      </c>
      <c r="BI1459">
        <f>$C1459*BI1458</f>
        <v/>
      </c>
      <c r="BJ1459">
        <f>$C1459*BJ1458</f>
        <v/>
      </c>
      <c r="BK1459">
        <f>$C1459*BK1458</f>
        <v/>
      </c>
      <c r="BL1459">
        <f>$C1459*BL1458</f>
        <v/>
      </c>
      <c r="BM1459">
        <f>$C1459*BM1458</f>
        <v/>
      </c>
      <c r="BN1459">
        <f>$C1459*BN1458</f>
        <v/>
      </c>
      <c r="BO1459">
        <f>$C1459*BO1458</f>
        <v/>
      </c>
      <c r="BP1459">
        <f>$C1459*BP1458</f>
        <v/>
      </c>
      <c r="BQ1459">
        <f>$C1459*BQ1458</f>
        <v/>
      </c>
      <c r="BR1459">
        <f>$C1459*BR1458</f>
        <v/>
      </c>
      <c r="BS1459">
        <f>$C1459*BS1458</f>
        <v/>
      </c>
      <c r="BT1459">
        <f>$C1459*BT1458</f>
        <v/>
      </c>
      <c r="BU1459">
        <f>$C1459*BU1458</f>
        <v/>
      </c>
      <c r="BV1459">
        <f>$C1459*BV1458</f>
        <v/>
      </c>
      <c r="BW1459">
        <f>$C1459*BW1458</f>
        <v/>
      </c>
      <c r="BX1459">
        <f>$C1459*BX1458</f>
        <v/>
      </c>
      <c r="BY1459">
        <f>$C1459*BY1458</f>
        <v/>
      </c>
      <c r="BZ1459">
        <f>$C1459*BZ1458</f>
        <v/>
      </c>
      <c r="CA1459">
        <f>$C1459*CA1458</f>
        <v/>
      </c>
      <c r="CB1459">
        <f>$C1459*CB1458</f>
        <v/>
      </c>
      <c r="CC1459">
        <f>$C1459*CC1458</f>
        <v/>
      </c>
      <c r="CD1459">
        <f>$C1459*CD1458</f>
        <v/>
      </c>
      <c r="CE1459">
        <f>$C1459*CE1458</f>
        <v/>
      </c>
      <c r="CF1459">
        <f>$C1459*CF1458</f>
        <v/>
      </c>
      <c r="CG1459">
        <f>$C1459*CG1458</f>
        <v/>
      </c>
      <c r="CH1459">
        <f>$C1459*CH1458</f>
        <v/>
      </c>
      <c r="CI1459">
        <f>$C1459*CI1458</f>
        <v/>
      </c>
      <c r="CJ1459">
        <f>$C1459*CJ1458</f>
        <v/>
      </c>
      <c r="CK1459">
        <f>$C1459*CK1458</f>
        <v/>
      </c>
      <c r="CL1459">
        <f>$C1459*CL1458</f>
        <v/>
      </c>
      <c r="CM1459">
        <f>$C1459*CM1458</f>
        <v/>
      </c>
      <c r="CN1459">
        <f>$C1459*CN1458</f>
        <v/>
      </c>
      <c r="CO1459">
        <f>$C1459*CO1458</f>
        <v/>
      </c>
      <c r="CP1459">
        <f>$C1459*CP1458</f>
        <v/>
      </c>
      <c r="CQ1459">
        <f>$C1459*CQ1458</f>
        <v/>
      </c>
      <c r="CR1459">
        <f>$C1459*CR1458</f>
        <v/>
      </c>
      <c r="CS1459">
        <f>$C1459*CS1458</f>
        <v/>
      </c>
      <c r="CT1459">
        <f>$C1459*CT1458</f>
        <v/>
      </c>
      <c r="CU1459">
        <f>$C1459*CU1458</f>
        <v/>
      </c>
      <c r="CV1459">
        <f>$C1459*CV1458</f>
        <v/>
      </c>
      <c r="CW1459">
        <f>$C1459*CW1458</f>
        <v/>
      </c>
      <c r="CX1459">
        <f>$C1459*CX1458</f>
        <v/>
      </c>
      <c r="CY1459">
        <f>$C1459*CY1458</f>
        <v/>
      </c>
      <c r="CZ1459">
        <f>$C1459*CZ1458</f>
        <v/>
      </c>
      <c r="DA1459">
        <f>$C1459*DA1458</f>
        <v/>
      </c>
      <c r="DB1459">
        <f>$C1459*DB1458</f>
        <v/>
      </c>
      <c r="DC1459">
        <f>$C1459*DC1458</f>
        <v/>
      </c>
      <c r="DD1459">
        <f>$C1459*DD1458</f>
        <v/>
      </c>
    </row>
    <row r="1460">
      <c r="B1460" s="4" t="inlineStr">
        <is>
          <t>合計使用量(kg)/週</t>
        </is>
      </c>
      <c r="D1460" s="22">
        <f>IFERROR(INDEX(E1460:DD1460,$F$1),"")</f>
        <v/>
      </c>
      <c r="E1460">
        <f>'Grid_Requirement'!B95</f>
        <v/>
      </c>
      <c r="F1460">
        <f>'Grid_Requirement'!C95</f>
        <v/>
      </c>
      <c r="G1460">
        <f>'Grid_Requirement'!D95</f>
        <v/>
      </c>
      <c r="H1460">
        <f>'Grid_Requirement'!E95</f>
        <v/>
      </c>
      <c r="I1460">
        <f>'Grid_Requirement'!F95</f>
        <v/>
      </c>
      <c r="J1460">
        <f>'Grid_Requirement'!G95</f>
        <v/>
      </c>
      <c r="K1460">
        <f>'Grid_Requirement'!H95</f>
        <v/>
      </c>
      <c r="L1460">
        <f>'Grid_Requirement'!I95</f>
        <v/>
      </c>
      <c r="M1460">
        <f>'Grid_Requirement'!J95</f>
        <v/>
      </c>
      <c r="N1460">
        <f>'Grid_Requirement'!K95</f>
        <v/>
      </c>
      <c r="O1460">
        <f>'Grid_Requirement'!L95</f>
        <v/>
      </c>
      <c r="P1460">
        <f>'Grid_Requirement'!M95</f>
        <v/>
      </c>
      <c r="Q1460">
        <f>'Grid_Requirement'!N95</f>
        <v/>
      </c>
      <c r="R1460">
        <f>'Grid_Requirement'!O95</f>
        <v/>
      </c>
      <c r="S1460">
        <f>'Grid_Requirement'!P95</f>
        <v/>
      </c>
      <c r="T1460">
        <f>'Grid_Requirement'!Q95</f>
        <v/>
      </c>
      <c r="U1460">
        <f>'Grid_Requirement'!R95</f>
        <v/>
      </c>
      <c r="V1460">
        <f>'Grid_Requirement'!S95</f>
        <v/>
      </c>
      <c r="W1460">
        <f>'Grid_Requirement'!T95</f>
        <v/>
      </c>
      <c r="X1460">
        <f>'Grid_Requirement'!U95</f>
        <v/>
      </c>
      <c r="Y1460">
        <f>'Grid_Requirement'!V95</f>
        <v/>
      </c>
      <c r="Z1460">
        <f>'Grid_Requirement'!W95</f>
        <v/>
      </c>
      <c r="AA1460">
        <f>'Grid_Requirement'!X95</f>
        <v/>
      </c>
      <c r="AB1460">
        <f>'Grid_Requirement'!Y95</f>
        <v/>
      </c>
      <c r="AC1460">
        <f>'Grid_Requirement'!Z95</f>
        <v/>
      </c>
      <c r="AD1460">
        <f>'Grid_Requirement'!AA95</f>
        <v/>
      </c>
      <c r="AE1460">
        <f>'Grid_Requirement'!AB95</f>
        <v/>
      </c>
      <c r="AF1460">
        <f>'Grid_Requirement'!AC95</f>
        <v/>
      </c>
      <c r="AG1460">
        <f>'Grid_Requirement'!AD95</f>
        <v/>
      </c>
      <c r="AH1460">
        <f>'Grid_Requirement'!AE95</f>
        <v/>
      </c>
      <c r="AI1460">
        <f>'Grid_Requirement'!AF95</f>
        <v/>
      </c>
      <c r="AJ1460">
        <f>'Grid_Requirement'!AG95</f>
        <v/>
      </c>
      <c r="AK1460">
        <f>'Grid_Requirement'!AH95</f>
        <v/>
      </c>
      <c r="AL1460">
        <f>'Grid_Requirement'!AI95</f>
        <v/>
      </c>
      <c r="AM1460">
        <f>'Grid_Requirement'!AJ95</f>
        <v/>
      </c>
      <c r="AN1460">
        <f>'Grid_Requirement'!AK95</f>
        <v/>
      </c>
      <c r="AO1460">
        <f>'Grid_Requirement'!AL95</f>
        <v/>
      </c>
      <c r="AP1460">
        <f>'Grid_Requirement'!AM95</f>
        <v/>
      </c>
      <c r="AQ1460">
        <f>'Grid_Requirement'!AN95</f>
        <v/>
      </c>
      <c r="AR1460">
        <f>'Grid_Requirement'!AO95</f>
        <v/>
      </c>
      <c r="AS1460">
        <f>'Grid_Requirement'!AP95</f>
        <v/>
      </c>
      <c r="AT1460">
        <f>'Grid_Requirement'!AQ95</f>
        <v/>
      </c>
      <c r="AU1460">
        <f>'Grid_Requirement'!AR95</f>
        <v/>
      </c>
      <c r="AV1460">
        <f>'Grid_Requirement'!AS95</f>
        <v/>
      </c>
      <c r="AW1460">
        <f>'Grid_Requirement'!AT95</f>
        <v/>
      </c>
      <c r="AX1460">
        <f>'Grid_Requirement'!AU95</f>
        <v/>
      </c>
      <c r="AY1460">
        <f>'Grid_Requirement'!AV95</f>
        <v/>
      </c>
      <c r="AZ1460">
        <f>'Grid_Requirement'!AW95</f>
        <v/>
      </c>
      <c r="BA1460">
        <f>'Grid_Requirement'!AX95</f>
        <v/>
      </c>
      <c r="BB1460">
        <f>'Grid_Requirement'!AY95</f>
        <v/>
      </c>
      <c r="BC1460">
        <f>'Grid_Requirement'!AZ95</f>
        <v/>
      </c>
      <c r="BD1460">
        <f>'Grid_Requirement'!BA95</f>
        <v/>
      </c>
      <c r="BE1460">
        <f>'Grid_Requirement'!BB95</f>
        <v/>
      </c>
      <c r="BF1460">
        <f>'Grid_Requirement'!BC95</f>
        <v/>
      </c>
      <c r="BG1460">
        <f>'Grid_Requirement'!BD95</f>
        <v/>
      </c>
      <c r="BH1460">
        <f>'Grid_Requirement'!BE95</f>
        <v/>
      </c>
      <c r="BI1460">
        <f>'Grid_Requirement'!BF95</f>
        <v/>
      </c>
      <c r="BJ1460">
        <f>'Grid_Requirement'!BG95</f>
        <v/>
      </c>
      <c r="BK1460">
        <f>'Grid_Requirement'!BH95</f>
        <v/>
      </c>
      <c r="BL1460">
        <f>'Grid_Requirement'!BI95</f>
        <v/>
      </c>
      <c r="BM1460">
        <f>'Grid_Requirement'!BJ95</f>
        <v/>
      </c>
      <c r="BN1460">
        <f>'Grid_Requirement'!BK95</f>
        <v/>
      </c>
      <c r="BO1460">
        <f>'Grid_Requirement'!BL95</f>
        <v/>
      </c>
      <c r="BP1460">
        <f>'Grid_Requirement'!BM95</f>
        <v/>
      </c>
      <c r="BQ1460">
        <f>'Grid_Requirement'!BN95</f>
        <v/>
      </c>
      <c r="BR1460">
        <f>'Grid_Requirement'!BO95</f>
        <v/>
      </c>
      <c r="BS1460">
        <f>'Grid_Requirement'!BP95</f>
        <v/>
      </c>
      <c r="BT1460">
        <f>'Grid_Requirement'!BQ95</f>
        <v/>
      </c>
      <c r="BU1460">
        <f>'Grid_Requirement'!BR95</f>
        <v/>
      </c>
      <c r="BV1460">
        <f>'Grid_Requirement'!BS95</f>
        <v/>
      </c>
      <c r="BW1460">
        <f>'Grid_Requirement'!BT95</f>
        <v/>
      </c>
      <c r="BX1460">
        <f>'Grid_Requirement'!BU95</f>
        <v/>
      </c>
      <c r="BY1460">
        <f>'Grid_Requirement'!BV95</f>
        <v/>
      </c>
      <c r="BZ1460">
        <f>'Grid_Requirement'!BW95</f>
        <v/>
      </c>
      <c r="CA1460">
        <f>'Grid_Requirement'!BX95</f>
        <v/>
      </c>
      <c r="CB1460">
        <f>'Grid_Requirement'!BY95</f>
        <v/>
      </c>
      <c r="CC1460">
        <f>'Grid_Requirement'!BZ95</f>
        <v/>
      </c>
      <c r="CD1460">
        <f>'Grid_Requirement'!CA95</f>
        <v/>
      </c>
      <c r="CE1460">
        <f>'Grid_Requirement'!CB95</f>
        <v/>
      </c>
      <c r="CF1460">
        <f>'Grid_Requirement'!CC95</f>
        <v/>
      </c>
      <c r="CG1460">
        <f>'Grid_Requirement'!CD95</f>
        <v/>
      </c>
      <c r="CH1460">
        <f>'Grid_Requirement'!CE95</f>
        <v/>
      </c>
      <c r="CI1460">
        <f>'Grid_Requirement'!CF95</f>
        <v/>
      </c>
      <c r="CJ1460">
        <f>'Grid_Requirement'!CG95</f>
        <v/>
      </c>
      <c r="CK1460">
        <f>'Grid_Requirement'!CH95</f>
        <v/>
      </c>
      <c r="CL1460">
        <f>'Grid_Requirement'!CI95</f>
        <v/>
      </c>
      <c r="CM1460">
        <f>'Grid_Requirement'!CJ95</f>
        <v/>
      </c>
      <c r="CN1460">
        <f>'Grid_Requirement'!CK95</f>
        <v/>
      </c>
      <c r="CO1460">
        <f>'Grid_Requirement'!CL95</f>
        <v/>
      </c>
      <c r="CP1460">
        <f>'Grid_Requirement'!CM95</f>
        <v/>
      </c>
      <c r="CQ1460">
        <f>'Grid_Requirement'!CN95</f>
        <v/>
      </c>
      <c r="CR1460">
        <f>'Grid_Requirement'!CO95</f>
        <v/>
      </c>
      <c r="CS1460">
        <f>'Grid_Requirement'!CP95</f>
        <v/>
      </c>
      <c r="CT1460">
        <f>'Grid_Requirement'!CQ95</f>
        <v/>
      </c>
      <c r="CU1460">
        <f>'Grid_Requirement'!CR95</f>
        <v/>
      </c>
      <c r="CV1460">
        <f>'Grid_Requirement'!CS95</f>
        <v/>
      </c>
      <c r="CW1460">
        <f>'Grid_Requirement'!CT95</f>
        <v/>
      </c>
      <c r="CX1460">
        <f>'Grid_Requirement'!CU95</f>
        <v/>
      </c>
      <c r="CY1460">
        <f>'Grid_Requirement'!CV95</f>
        <v/>
      </c>
      <c r="CZ1460">
        <f>'Grid_Requirement'!CW95</f>
        <v/>
      </c>
      <c r="DA1460">
        <f>'Grid_Requirement'!CX95</f>
        <v/>
      </c>
      <c r="DB1460">
        <f>'Grid_Requirement'!CY95</f>
        <v/>
      </c>
      <c r="DC1460">
        <f>'Grid_Requirement'!CZ95</f>
        <v/>
      </c>
      <c r="DD1460">
        <f>'Grid_Requirement'!DA95</f>
        <v/>
      </c>
    </row>
    <row r="1461">
      <c r="B1461" s="23" t="inlineStr">
        <is>
          <t>（在庫・入荷予定はDashboard参照）</t>
        </is>
      </c>
    </row>
    <row r="1463">
      <c r="A1463" s="21" t="inlineStr">
        <is>
          <t>CHEM-1680</t>
        </is>
      </c>
      <c r="B1463" s="21" t="inlineStr">
        <is>
          <t>NAT38</t>
        </is>
      </c>
      <c r="C1463" s="21" t="n"/>
      <c r="D1463" s="21" t="n"/>
      <c r="E1463" s="21" t="n"/>
      <c r="F1463" s="21" t="n"/>
      <c r="G1463" s="21" t="n"/>
      <c r="H1463" s="21" t="n"/>
      <c r="I1463" s="21" t="n"/>
      <c r="J1463" s="21" t="n"/>
      <c r="K1463" s="21" t="n"/>
      <c r="L1463" s="21" t="n"/>
      <c r="M1463" s="21" t="n"/>
      <c r="N1463" s="21" t="n"/>
      <c r="O1463" s="21" t="n"/>
      <c r="P1463" s="21" t="n"/>
      <c r="Q1463" s="21" t="n"/>
      <c r="R1463" s="21" t="n"/>
      <c r="S1463" s="21" t="n"/>
      <c r="T1463" s="21" t="n"/>
      <c r="U1463" s="21" t="n"/>
      <c r="V1463" s="21" t="n"/>
      <c r="W1463" s="21" t="n"/>
      <c r="X1463" s="21" t="n"/>
      <c r="Y1463" s="21" t="n"/>
      <c r="Z1463" s="21" t="n"/>
      <c r="AA1463" s="21" t="n"/>
      <c r="AB1463" s="21" t="n"/>
      <c r="AC1463" s="21" t="n"/>
      <c r="AD1463" s="21" t="n"/>
      <c r="AE1463" s="21" t="n"/>
      <c r="AF1463" s="21" t="n"/>
      <c r="AG1463" s="21" t="n"/>
      <c r="AH1463" s="21" t="n"/>
      <c r="AI1463" s="21" t="n"/>
      <c r="AJ1463" s="21" t="n"/>
      <c r="AK1463" s="21" t="n"/>
      <c r="AL1463" s="21" t="n"/>
      <c r="AM1463" s="21" t="n"/>
      <c r="AN1463" s="21" t="n"/>
      <c r="AO1463" s="21" t="n"/>
      <c r="AP1463" s="21" t="n"/>
      <c r="AQ1463" s="21" t="n"/>
      <c r="AR1463" s="21" t="n"/>
      <c r="AS1463" s="21" t="n"/>
      <c r="AT1463" s="21" t="n"/>
      <c r="AU1463" s="21" t="n"/>
      <c r="AV1463" s="21" t="n"/>
      <c r="AW1463" s="21" t="n"/>
      <c r="AX1463" s="21" t="n"/>
      <c r="AY1463" s="21" t="n"/>
      <c r="AZ1463" s="21" t="n"/>
      <c r="BA1463" s="21" t="n"/>
      <c r="BB1463" s="21" t="n"/>
      <c r="BC1463" s="21" t="n"/>
      <c r="BD1463" s="21" t="n"/>
      <c r="BE1463" s="21" t="n"/>
      <c r="BF1463" s="21" t="n"/>
      <c r="BG1463" s="21" t="n"/>
      <c r="BH1463" s="21" t="n"/>
      <c r="BI1463" s="21" t="n"/>
      <c r="BJ1463" s="21" t="n"/>
      <c r="BK1463" s="21" t="n"/>
      <c r="BL1463" s="21" t="n"/>
      <c r="BM1463" s="21" t="n"/>
      <c r="BN1463" s="21" t="n"/>
      <c r="BO1463" s="21" t="n"/>
      <c r="BP1463" s="21" t="n"/>
      <c r="BQ1463" s="21" t="n"/>
      <c r="BR1463" s="21" t="n"/>
      <c r="BS1463" s="21" t="n"/>
      <c r="BT1463" s="21" t="n"/>
      <c r="BU1463" s="21" t="n"/>
      <c r="BV1463" s="21" t="n"/>
      <c r="BW1463" s="21" t="n"/>
      <c r="BX1463" s="21" t="n"/>
      <c r="BY1463" s="21" t="n"/>
      <c r="BZ1463" s="21" t="n"/>
      <c r="CA1463" s="21" t="n"/>
      <c r="CB1463" s="21" t="n"/>
      <c r="CC1463" s="21" t="n"/>
      <c r="CD1463" s="21" t="n"/>
      <c r="CE1463" s="21" t="n"/>
      <c r="CF1463" s="21" t="n"/>
      <c r="CG1463" s="21" t="n"/>
      <c r="CH1463" s="21" t="n"/>
      <c r="CI1463" s="21" t="n"/>
      <c r="CJ1463" s="21" t="n"/>
      <c r="CK1463" s="21" t="n"/>
      <c r="CL1463" s="21" t="n"/>
      <c r="CM1463" s="21" t="n"/>
      <c r="CN1463" s="21" t="n"/>
      <c r="CO1463" s="21" t="n"/>
      <c r="CP1463" s="21" t="n"/>
      <c r="CQ1463" s="21" t="n"/>
      <c r="CR1463" s="21" t="n"/>
      <c r="CS1463" s="21" t="n"/>
      <c r="CT1463" s="21" t="n"/>
      <c r="CU1463" s="21" t="n"/>
      <c r="CV1463" s="21" t="n"/>
      <c r="CW1463" s="21" t="n"/>
      <c r="CX1463" s="21" t="n"/>
      <c r="CY1463" s="21" t="n"/>
      <c r="CZ1463" s="21" t="n"/>
      <c r="DA1463" s="21" t="n"/>
      <c r="DB1463" s="21" t="n"/>
      <c r="DC1463" s="21" t="n"/>
      <c r="DD1463" s="21" t="n"/>
    </row>
    <row r="1464">
      <c r="B1464" t="inlineStr">
        <is>
          <t>TPP-611</t>
        </is>
      </c>
      <c r="C1464" t="inlineStr">
        <is>
          <t>No. of batches</t>
        </is>
      </c>
      <c r="D1464">
        <f>IFERROR(INDEX(E1464:DD1464,$F$1),"")</f>
        <v/>
      </c>
      <c r="E1464">
        <f>IFERROR(INDEX(PP_Grid[#Data],$DE1464,2),0)</f>
        <v/>
      </c>
      <c r="F1464">
        <f>IFERROR(INDEX(PP_Grid[#Data],$DE1464,3),0)</f>
        <v/>
      </c>
      <c r="G1464">
        <f>IFERROR(INDEX(PP_Grid[#Data],$DE1464,4),0)</f>
        <v/>
      </c>
      <c r="H1464">
        <f>IFERROR(INDEX(PP_Grid[#Data],$DE1464,5),0)</f>
        <v/>
      </c>
      <c r="I1464">
        <f>IFERROR(INDEX(PP_Grid[#Data],$DE1464,6),0)</f>
        <v/>
      </c>
      <c r="J1464">
        <f>IFERROR(INDEX(PP_Grid[#Data],$DE1464,7),0)</f>
        <v/>
      </c>
      <c r="K1464">
        <f>IFERROR(INDEX(PP_Grid[#Data],$DE1464,8),0)</f>
        <v/>
      </c>
      <c r="L1464">
        <f>IFERROR(INDEX(PP_Grid[#Data],$DE1464,9),0)</f>
        <v/>
      </c>
      <c r="M1464">
        <f>IFERROR(INDEX(PP_Grid[#Data],$DE1464,10),0)</f>
        <v/>
      </c>
      <c r="N1464">
        <f>IFERROR(INDEX(PP_Grid[#Data],$DE1464,11),0)</f>
        <v/>
      </c>
      <c r="O1464">
        <f>IFERROR(INDEX(PP_Grid[#Data],$DE1464,12),0)</f>
        <v/>
      </c>
      <c r="P1464">
        <f>IFERROR(INDEX(PP_Grid[#Data],$DE1464,13),0)</f>
        <v/>
      </c>
      <c r="Q1464">
        <f>IFERROR(INDEX(PP_Grid[#Data],$DE1464,14),0)</f>
        <v/>
      </c>
      <c r="R1464">
        <f>IFERROR(INDEX(PP_Grid[#Data],$DE1464,15),0)</f>
        <v/>
      </c>
      <c r="S1464">
        <f>IFERROR(INDEX(PP_Grid[#Data],$DE1464,16),0)</f>
        <v/>
      </c>
      <c r="T1464">
        <f>IFERROR(INDEX(PP_Grid[#Data],$DE1464,17),0)</f>
        <v/>
      </c>
      <c r="U1464">
        <f>IFERROR(INDEX(PP_Grid[#Data],$DE1464,18),0)</f>
        <v/>
      </c>
      <c r="V1464">
        <f>IFERROR(INDEX(PP_Grid[#Data],$DE1464,19),0)</f>
        <v/>
      </c>
      <c r="W1464">
        <f>IFERROR(INDEX(PP_Grid[#Data],$DE1464,20),0)</f>
        <v/>
      </c>
      <c r="X1464">
        <f>IFERROR(INDEX(PP_Grid[#Data],$DE1464,21),0)</f>
        <v/>
      </c>
      <c r="Y1464">
        <f>IFERROR(INDEX(PP_Grid[#Data],$DE1464,22),0)</f>
        <v/>
      </c>
      <c r="Z1464">
        <f>IFERROR(INDEX(PP_Grid[#Data],$DE1464,23),0)</f>
        <v/>
      </c>
      <c r="AA1464">
        <f>IFERROR(INDEX(PP_Grid[#Data],$DE1464,24),0)</f>
        <v/>
      </c>
      <c r="AB1464">
        <f>IFERROR(INDEX(PP_Grid[#Data],$DE1464,25),0)</f>
        <v/>
      </c>
      <c r="AC1464">
        <f>IFERROR(INDEX(PP_Grid[#Data],$DE1464,26),0)</f>
        <v/>
      </c>
      <c r="AD1464">
        <f>IFERROR(INDEX(PP_Grid[#Data],$DE1464,27),0)</f>
        <v/>
      </c>
      <c r="AE1464">
        <f>IFERROR(INDEX(PP_Grid[#Data],$DE1464,28),0)</f>
        <v/>
      </c>
      <c r="AF1464">
        <f>IFERROR(INDEX(PP_Grid[#Data],$DE1464,29),0)</f>
        <v/>
      </c>
      <c r="AG1464">
        <f>IFERROR(INDEX(PP_Grid[#Data],$DE1464,30),0)</f>
        <v/>
      </c>
      <c r="AH1464">
        <f>IFERROR(INDEX(PP_Grid[#Data],$DE1464,31),0)</f>
        <v/>
      </c>
      <c r="AI1464">
        <f>IFERROR(INDEX(PP_Grid[#Data],$DE1464,32),0)</f>
        <v/>
      </c>
      <c r="AJ1464">
        <f>IFERROR(INDEX(PP_Grid[#Data],$DE1464,33),0)</f>
        <v/>
      </c>
      <c r="AK1464">
        <f>IFERROR(INDEX(PP_Grid[#Data],$DE1464,34),0)</f>
        <v/>
      </c>
      <c r="AL1464">
        <f>IFERROR(INDEX(PP_Grid[#Data],$DE1464,35),0)</f>
        <v/>
      </c>
      <c r="AM1464">
        <f>IFERROR(INDEX(PP_Grid[#Data],$DE1464,36),0)</f>
        <v/>
      </c>
      <c r="AN1464">
        <f>IFERROR(INDEX(PP_Grid[#Data],$DE1464,37),0)</f>
        <v/>
      </c>
      <c r="AO1464">
        <f>IFERROR(INDEX(PP_Grid[#Data],$DE1464,38),0)</f>
        <v/>
      </c>
      <c r="AP1464">
        <f>IFERROR(INDEX(PP_Grid[#Data],$DE1464,39),0)</f>
        <v/>
      </c>
      <c r="AQ1464">
        <f>IFERROR(INDEX(PP_Grid[#Data],$DE1464,40),0)</f>
        <v/>
      </c>
      <c r="AR1464">
        <f>IFERROR(INDEX(PP_Grid[#Data],$DE1464,41),0)</f>
        <v/>
      </c>
      <c r="AS1464">
        <f>IFERROR(INDEX(PP_Grid[#Data],$DE1464,42),0)</f>
        <v/>
      </c>
      <c r="AT1464">
        <f>IFERROR(INDEX(PP_Grid[#Data],$DE1464,43),0)</f>
        <v/>
      </c>
      <c r="AU1464">
        <f>IFERROR(INDEX(PP_Grid[#Data],$DE1464,44),0)</f>
        <v/>
      </c>
      <c r="AV1464">
        <f>IFERROR(INDEX(PP_Grid[#Data],$DE1464,45),0)</f>
        <v/>
      </c>
      <c r="AW1464">
        <f>IFERROR(INDEX(PP_Grid[#Data],$DE1464,46),0)</f>
        <v/>
      </c>
      <c r="AX1464">
        <f>IFERROR(INDEX(PP_Grid[#Data],$DE1464,47),0)</f>
        <v/>
      </c>
      <c r="AY1464">
        <f>IFERROR(INDEX(PP_Grid[#Data],$DE1464,48),0)</f>
        <v/>
      </c>
      <c r="AZ1464">
        <f>IFERROR(INDEX(PP_Grid[#Data],$DE1464,49),0)</f>
        <v/>
      </c>
      <c r="BA1464">
        <f>IFERROR(INDEX(PP_Grid[#Data],$DE1464,50),0)</f>
        <v/>
      </c>
      <c r="BB1464">
        <f>IFERROR(INDEX(PP_Grid[#Data],$DE1464,51),0)</f>
        <v/>
      </c>
      <c r="BC1464">
        <f>IFERROR(INDEX(PP_Grid[#Data],$DE1464,52),0)</f>
        <v/>
      </c>
      <c r="BD1464">
        <f>IFERROR(INDEX(PP_Grid[#Data],$DE1464,53),0)</f>
        <v/>
      </c>
      <c r="BE1464">
        <f>IFERROR(INDEX(PP_Grid[#Data],$DE1464,54),0)</f>
        <v/>
      </c>
      <c r="BF1464">
        <f>IFERROR(INDEX(PP_Grid[#Data],$DE1464,55),0)</f>
        <v/>
      </c>
      <c r="BG1464">
        <f>IFERROR(INDEX(PP_Grid[#Data],$DE1464,56),0)</f>
        <v/>
      </c>
      <c r="BH1464">
        <f>IFERROR(INDEX(PP_Grid[#Data],$DE1464,57),0)</f>
        <v/>
      </c>
      <c r="BI1464">
        <f>IFERROR(INDEX(PP_Grid[#Data],$DE1464,58),0)</f>
        <v/>
      </c>
      <c r="BJ1464">
        <f>IFERROR(INDEX(PP_Grid[#Data],$DE1464,59),0)</f>
        <v/>
      </c>
      <c r="BK1464">
        <f>IFERROR(INDEX(PP_Grid[#Data],$DE1464,60),0)</f>
        <v/>
      </c>
      <c r="BL1464">
        <f>IFERROR(INDEX(PP_Grid[#Data],$DE1464,61),0)</f>
        <v/>
      </c>
      <c r="BM1464">
        <f>IFERROR(INDEX(PP_Grid[#Data],$DE1464,62),0)</f>
        <v/>
      </c>
      <c r="BN1464">
        <f>IFERROR(INDEX(PP_Grid[#Data],$DE1464,63),0)</f>
        <v/>
      </c>
      <c r="BO1464">
        <f>IFERROR(INDEX(PP_Grid[#Data],$DE1464,64),0)</f>
        <v/>
      </c>
      <c r="BP1464">
        <f>IFERROR(INDEX(PP_Grid[#Data],$DE1464,65),0)</f>
        <v/>
      </c>
      <c r="BQ1464">
        <f>IFERROR(INDEX(PP_Grid[#Data],$DE1464,66),0)</f>
        <v/>
      </c>
      <c r="BR1464">
        <f>IFERROR(INDEX(PP_Grid[#Data],$DE1464,67),0)</f>
        <v/>
      </c>
      <c r="BS1464">
        <f>IFERROR(INDEX(PP_Grid[#Data],$DE1464,68),0)</f>
        <v/>
      </c>
      <c r="BT1464">
        <f>IFERROR(INDEX(PP_Grid[#Data],$DE1464,69),0)</f>
        <v/>
      </c>
      <c r="BU1464">
        <f>IFERROR(INDEX(PP_Grid[#Data],$DE1464,70),0)</f>
        <v/>
      </c>
      <c r="BV1464">
        <f>IFERROR(INDEX(PP_Grid[#Data],$DE1464,71),0)</f>
        <v/>
      </c>
      <c r="BW1464">
        <f>IFERROR(INDEX(PP_Grid[#Data],$DE1464,72),0)</f>
        <v/>
      </c>
      <c r="BX1464">
        <f>IFERROR(INDEX(PP_Grid[#Data],$DE1464,73),0)</f>
        <v/>
      </c>
      <c r="BY1464">
        <f>IFERROR(INDEX(PP_Grid[#Data],$DE1464,74),0)</f>
        <v/>
      </c>
      <c r="BZ1464">
        <f>IFERROR(INDEX(PP_Grid[#Data],$DE1464,75),0)</f>
        <v/>
      </c>
      <c r="CA1464">
        <f>IFERROR(INDEX(PP_Grid[#Data],$DE1464,76),0)</f>
        <v/>
      </c>
      <c r="CB1464">
        <f>IFERROR(INDEX(PP_Grid[#Data],$DE1464,77),0)</f>
        <v/>
      </c>
      <c r="CC1464">
        <f>IFERROR(INDEX(PP_Grid[#Data],$DE1464,78),0)</f>
        <v/>
      </c>
      <c r="CD1464">
        <f>IFERROR(INDEX(PP_Grid[#Data],$DE1464,79),0)</f>
        <v/>
      </c>
      <c r="CE1464">
        <f>IFERROR(INDEX(PP_Grid[#Data],$DE1464,80),0)</f>
        <v/>
      </c>
      <c r="CF1464">
        <f>IFERROR(INDEX(PP_Grid[#Data],$DE1464,81),0)</f>
        <v/>
      </c>
      <c r="CG1464">
        <f>IFERROR(INDEX(PP_Grid[#Data],$DE1464,82),0)</f>
        <v/>
      </c>
      <c r="CH1464">
        <f>IFERROR(INDEX(PP_Grid[#Data],$DE1464,83),0)</f>
        <v/>
      </c>
      <c r="CI1464">
        <f>IFERROR(INDEX(PP_Grid[#Data],$DE1464,84),0)</f>
        <v/>
      </c>
      <c r="CJ1464">
        <f>IFERROR(INDEX(PP_Grid[#Data],$DE1464,85),0)</f>
        <v/>
      </c>
      <c r="CK1464">
        <f>IFERROR(INDEX(PP_Grid[#Data],$DE1464,86),0)</f>
        <v/>
      </c>
      <c r="CL1464">
        <f>IFERROR(INDEX(PP_Grid[#Data],$DE1464,87),0)</f>
        <v/>
      </c>
      <c r="CM1464">
        <f>IFERROR(INDEX(PP_Grid[#Data],$DE1464,88),0)</f>
        <v/>
      </c>
      <c r="CN1464">
        <f>IFERROR(INDEX(PP_Grid[#Data],$DE1464,89),0)</f>
        <v/>
      </c>
      <c r="CO1464">
        <f>IFERROR(INDEX(PP_Grid[#Data],$DE1464,90),0)</f>
        <v/>
      </c>
      <c r="CP1464">
        <f>IFERROR(INDEX(PP_Grid[#Data],$DE1464,91),0)</f>
        <v/>
      </c>
      <c r="CQ1464">
        <f>IFERROR(INDEX(PP_Grid[#Data],$DE1464,92),0)</f>
        <v/>
      </c>
      <c r="CR1464">
        <f>IFERROR(INDEX(PP_Grid[#Data],$DE1464,93),0)</f>
        <v/>
      </c>
      <c r="CS1464">
        <f>IFERROR(INDEX(PP_Grid[#Data],$DE1464,94),0)</f>
        <v/>
      </c>
      <c r="CT1464">
        <f>IFERROR(INDEX(PP_Grid[#Data],$DE1464,95),0)</f>
        <v/>
      </c>
      <c r="CU1464">
        <f>IFERROR(INDEX(PP_Grid[#Data],$DE1464,96),0)</f>
        <v/>
      </c>
      <c r="CV1464">
        <f>IFERROR(INDEX(PP_Grid[#Data],$DE1464,97),0)</f>
        <v/>
      </c>
      <c r="CW1464">
        <f>IFERROR(INDEX(PP_Grid[#Data],$DE1464,98),0)</f>
        <v/>
      </c>
      <c r="CX1464">
        <f>IFERROR(INDEX(PP_Grid[#Data],$DE1464,99),0)</f>
        <v/>
      </c>
      <c r="CY1464">
        <f>IFERROR(INDEX(PP_Grid[#Data],$DE1464,100),0)</f>
        <v/>
      </c>
      <c r="CZ1464">
        <f>IFERROR(INDEX(PP_Grid[#Data],$DE1464,101),0)</f>
        <v/>
      </c>
      <c r="DA1464">
        <f>IFERROR(INDEX(PP_Grid[#Data],$DE1464,102),0)</f>
        <v/>
      </c>
      <c r="DB1464">
        <f>IFERROR(INDEX(PP_Grid[#Data],$DE1464,103),0)</f>
        <v/>
      </c>
      <c r="DC1464">
        <f>IFERROR(INDEX(PP_Grid[#Data],$DE1464,104),0)</f>
        <v/>
      </c>
      <c r="DD1464">
        <f>IFERROR(INDEX(PP_Grid[#Data],$DE1464,105),0)</f>
        <v/>
      </c>
      <c r="DE1464" s="7">
        <f>IFERROR(MATCH($B1464,PP_Grid[Intermediate],0),99999)</f>
        <v/>
      </c>
    </row>
    <row r="1465">
      <c r="B1465" t="inlineStr">
        <is>
          <t>使用量(kg)</t>
        </is>
      </c>
      <c r="C1465">
        <f>SUMIFS(M_BOM[RM_Qty_Per_Batch],M_BOM[Intermediate],$B1464,M_BOM[RM_Code],$A1463)</f>
        <v/>
      </c>
      <c r="D1465">
        <f>IFERROR(INDEX(E1465:DD1465,$F$1),"")</f>
        <v/>
      </c>
      <c r="E1465">
        <f>$C1465*E1464</f>
        <v/>
      </c>
      <c r="F1465">
        <f>$C1465*F1464</f>
        <v/>
      </c>
      <c r="G1465">
        <f>$C1465*G1464</f>
        <v/>
      </c>
      <c r="H1465">
        <f>$C1465*H1464</f>
        <v/>
      </c>
      <c r="I1465">
        <f>$C1465*I1464</f>
        <v/>
      </c>
      <c r="J1465">
        <f>$C1465*J1464</f>
        <v/>
      </c>
      <c r="K1465">
        <f>$C1465*K1464</f>
        <v/>
      </c>
      <c r="L1465">
        <f>$C1465*L1464</f>
        <v/>
      </c>
      <c r="M1465">
        <f>$C1465*M1464</f>
        <v/>
      </c>
      <c r="N1465">
        <f>$C1465*N1464</f>
        <v/>
      </c>
      <c r="O1465">
        <f>$C1465*O1464</f>
        <v/>
      </c>
      <c r="P1465">
        <f>$C1465*P1464</f>
        <v/>
      </c>
      <c r="Q1465">
        <f>$C1465*Q1464</f>
        <v/>
      </c>
      <c r="R1465">
        <f>$C1465*R1464</f>
        <v/>
      </c>
      <c r="S1465">
        <f>$C1465*S1464</f>
        <v/>
      </c>
      <c r="T1465">
        <f>$C1465*T1464</f>
        <v/>
      </c>
      <c r="U1465">
        <f>$C1465*U1464</f>
        <v/>
      </c>
      <c r="V1465">
        <f>$C1465*V1464</f>
        <v/>
      </c>
      <c r="W1465">
        <f>$C1465*W1464</f>
        <v/>
      </c>
      <c r="X1465">
        <f>$C1465*X1464</f>
        <v/>
      </c>
      <c r="Y1465">
        <f>$C1465*Y1464</f>
        <v/>
      </c>
      <c r="Z1465">
        <f>$C1465*Z1464</f>
        <v/>
      </c>
      <c r="AA1465">
        <f>$C1465*AA1464</f>
        <v/>
      </c>
      <c r="AB1465">
        <f>$C1465*AB1464</f>
        <v/>
      </c>
      <c r="AC1465">
        <f>$C1465*AC1464</f>
        <v/>
      </c>
      <c r="AD1465">
        <f>$C1465*AD1464</f>
        <v/>
      </c>
      <c r="AE1465">
        <f>$C1465*AE1464</f>
        <v/>
      </c>
      <c r="AF1465">
        <f>$C1465*AF1464</f>
        <v/>
      </c>
      <c r="AG1465">
        <f>$C1465*AG1464</f>
        <v/>
      </c>
      <c r="AH1465">
        <f>$C1465*AH1464</f>
        <v/>
      </c>
      <c r="AI1465">
        <f>$C1465*AI1464</f>
        <v/>
      </c>
      <c r="AJ1465">
        <f>$C1465*AJ1464</f>
        <v/>
      </c>
      <c r="AK1465">
        <f>$C1465*AK1464</f>
        <v/>
      </c>
      <c r="AL1465">
        <f>$C1465*AL1464</f>
        <v/>
      </c>
      <c r="AM1465">
        <f>$C1465*AM1464</f>
        <v/>
      </c>
      <c r="AN1465">
        <f>$C1465*AN1464</f>
        <v/>
      </c>
      <c r="AO1465">
        <f>$C1465*AO1464</f>
        <v/>
      </c>
      <c r="AP1465">
        <f>$C1465*AP1464</f>
        <v/>
      </c>
      <c r="AQ1465">
        <f>$C1465*AQ1464</f>
        <v/>
      </c>
      <c r="AR1465">
        <f>$C1465*AR1464</f>
        <v/>
      </c>
      <c r="AS1465">
        <f>$C1465*AS1464</f>
        <v/>
      </c>
      <c r="AT1465">
        <f>$C1465*AT1464</f>
        <v/>
      </c>
      <c r="AU1465">
        <f>$C1465*AU1464</f>
        <v/>
      </c>
      <c r="AV1465">
        <f>$C1465*AV1464</f>
        <v/>
      </c>
      <c r="AW1465">
        <f>$C1465*AW1464</f>
        <v/>
      </c>
      <c r="AX1465">
        <f>$C1465*AX1464</f>
        <v/>
      </c>
      <c r="AY1465">
        <f>$C1465*AY1464</f>
        <v/>
      </c>
      <c r="AZ1465">
        <f>$C1465*AZ1464</f>
        <v/>
      </c>
      <c r="BA1465">
        <f>$C1465*BA1464</f>
        <v/>
      </c>
      <c r="BB1465">
        <f>$C1465*BB1464</f>
        <v/>
      </c>
      <c r="BC1465">
        <f>$C1465*BC1464</f>
        <v/>
      </c>
      <c r="BD1465">
        <f>$C1465*BD1464</f>
        <v/>
      </c>
      <c r="BE1465">
        <f>$C1465*BE1464</f>
        <v/>
      </c>
      <c r="BF1465">
        <f>$C1465*BF1464</f>
        <v/>
      </c>
      <c r="BG1465">
        <f>$C1465*BG1464</f>
        <v/>
      </c>
      <c r="BH1465">
        <f>$C1465*BH1464</f>
        <v/>
      </c>
      <c r="BI1465">
        <f>$C1465*BI1464</f>
        <v/>
      </c>
      <c r="BJ1465">
        <f>$C1465*BJ1464</f>
        <v/>
      </c>
      <c r="BK1465">
        <f>$C1465*BK1464</f>
        <v/>
      </c>
      <c r="BL1465">
        <f>$C1465*BL1464</f>
        <v/>
      </c>
      <c r="BM1465">
        <f>$C1465*BM1464</f>
        <v/>
      </c>
      <c r="BN1465">
        <f>$C1465*BN1464</f>
        <v/>
      </c>
      <c r="BO1465">
        <f>$C1465*BO1464</f>
        <v/>
      </c>
      <c r="BP1465">
        <f>$C1465*BP1464</f>
        <v/>
      </c>
      <c r="BQ1465">
        <f>$C1465*BQ1464</f>
        <v/>
      </c>
      <c r="BR1465">
        <f>$C1465*BR1464</f>
        <v/>
      </c>
      <c r="BS1465">
        <f>$C1465*BS1464</f>
        <v/>
      </c>
      <c r="BT1465">
        <f>$C1465*BT1464</f>
        <v/>
      </c>
      <c r="BU1465">
        <f>$C1465*BU1464</f>
        <v/>
      </c>
      <c r="BV1465">
        <f>$C1465*BV1464</f>
        <v/>
      </c>
      <c r="BW1465">
        <f>$C1465*BW1464</f>
        <v/>
      </c>
      <c r="BX1465">
        <f>$C1465*BX1464</f>
        <v/>
      </c>
      <c r="BY1465">
        <f>$C1465*BY1464</f>
        <v/>
      </c>
      <c r="BZ1465">
        <f>$C1465*BZ1464</f>
        <v/>
      </c>
      <c r="CA1465">
        <f>$C1465*CA1464</f>
        <v/>
      </c>
      <c r="CB1465">
        <f>$C1465*CB1464</f>
        <v/>
      </c>
      <c r="CC1465">
        <f>$C1465*CC1464</f>
        <v/>
      </c>
      <c r="CD1465">
        <f>$C1465*CD1464</f>
        <v/>
      </c>
      <c r="CE1465">
        <f>$C1465*CE1464</f>
        <v/>
      </c>
      <c r="CF1465">
        <f>$C1465*CF1464</f>
        <v/>
      </c>
      <c r="CG1465">
        <f>$C1465*CG1464</f>
        <v/>
      </c>
      <c r="CH1465">
        <f>$C1465*CH1464</f>
        <v/>
      </c>
      <c r="CI1465">
        <f>$C1465*CI1464</f>
        <v/>
      </c>
      <c r="CJ1465">
        <f>$C1465*CJ1464</f>
        <v/>
      </c>
      <c r="CK1465">
        <f>$C1465*CK1464</f>
        <v/>
      </c>
      <c r="CL1465">
        <f>$C1465*CL1464</f>
        <v/>
      </c>
      <c r="CM1465">
        <f>$C1465*CM1464</f>
        <v/>
      </c>
      <c r="CN1465">
        <f>$C1465*CN1464</f>
        <v/>
      </c>
      <c r="CO1465">
        <f>$C1465*CO1464</f>
        <v/>
      </c>
      <c r="CP1465">
        <f>$C1465*CP1464</f>
        <v/>
      </c>
      <c r="CQ1465">
        <f>$C1465*CQ1464</f>
        <v/>
      </c>
      <c r="CR1465">
        <f>$C1465*CR1464</f>
        <v/>
      </c>
      <c r="CS1465">
        <f>$C1465*CS1464</f>
        <v/>
      </c>
      <c r="CT1465">
        <f>$C1465*CT1464</f>
        <v/>
      </c>
      <c r="CU1465">
        <f>$C1465*CU1464</f>
        <v/>
      </c>
      <c r="CV1465">
        <f>$C1465*CV1464</f>
        <v/>
      </c>
      <c r="CW1465">
        <f>$C1465*CW1464</f>
        <v/>
      </c>
      <c r="CX1465">
        <f>$C1465*CX1464</f>
        <v/>
      </c>
      <c r="CY1465">
        <f>$C1465*CY1464</f>
        <v/>
      </c>
      <c r="CZ1465">
        <f>$C1465*CZ1464</f>
        <v/>
      </c>
      <c r="DA1465">
        <f>$C1465*DA1464</f>
        <v/>
      </c>
      <c r="DB1465">
        <f>$C1465*DB1464</f>
        <v/>
      </c>
      <c r="DC1465">
        <f>$C1465*DC1464</f>
        <v/>
      </c>
      <c r="DD1465">
        <f>$C1465*DD1464</f>
        <v/>
      </c>
    </row>
    <row r="1466">
      <c r="B1466" t="inlineStr">
        <is>
          <t>TPP-613</t>
        </is>
      </c>
      <c r="C1466" t="inlineStr">
        <is>
          <t>No. of batches</t>
        </is>
      </c>
      <c r="D1466">
        <f>IFERROR(INDEX(E1466:DD1466,$F$1),"")</f>
        <v/>
      </c>
      <c r="E1466">
        <f>IFERROR(INDEX(PP_Grid[#Data],$DE1466,2),0)</f>
        <v/>
      </c>
      <c r="F1466">
        <f>IFERROR(INDEX(PP_Grid[#Data],$DE1466,3),0)</f>
        <v/>
      </c>
      <c r="G1466">
        <f>IFERROR(INDEX(PP_Grid[#Data],$DE1466,4),0)</f>
        <v/>
      </c>
      <c r="H1466">
        <f>IFERROR(INDEX(PP_Grid[#Data],$DE1466,5),0)</f>
        <v/>
      </c>
      <c r="I1466">
        <f>IFERROR(INDEX(PP_Grid[#Data],$DE1466,6),0)</f>
        <v/>
      </c>
      <c r="J1466">
        <f>IFERROR(INDEX(PP_Grid[#Data],$DE1466,7),0)</f>
        <v/>
      </c>
      <c r="K1466">
        <f>IFERROR(INDEX(PP_Grid[#Data],$DE1466,8),0)</f>
        <v/>
      </c>
      <c r="L1466">
        <f>IFERROR(INDEX(PP_Grid[#Data],$DE1466,9),0)</f>
        <v/>
      </c>
      <c r="M1466">
        <f>IFERROR(INDEX(PP_Grid[#Data],$DE1466,10),0)</f>
        <v/>
      </c>
      <c r="N1466">
        <f>IFERROR(INDEX(PP_Grid[#Data],$DE1466,11),0)</f>
        <v/>
      </c>
      <c r="O1466">
        <f>IFERROR(INDEX(PP_Grid[#Data],$DE1466,12),0)</f>
        <v/>
      </c>
      <c r="P1466">
        <f>IFERROR(INDEX(PP_Grid[#Data],$DE1466,13),0)</f>
        <v/>
      </c>
      <c r="Q1466">
        <f>IFERROR(INDEX(PP_Grid[#Data],$DE1466,14),0)</f>
        <v/>
      </c>
      <c r="R1466">
        <f>IFERROR(INDEX(PP_Grid[#Data],$DE1466,15),0)</f>
        <v/>
      </c>
      <c r="S1466">
        <f>IFERROR(INDEX(PP_Grid[#Data],$DE1466,16),0)</f>
        <v/>
      </c>
      <c r="T1466">
        <f>IFERROR(INDEX(PP_Grid[#Data],$DE1466,17),0)</f>
        <v/>
      </c>
      <c r="U1466">
        <f>IFERROR(INDEX(PP_Grid[#Data],$DE1466,18),0)</f>
        <v/>
      </c>
      <c r="V1466">
        <f>IFERROR(INDEX(PP_Grid[#Data],$DE1466,19),0)</f>
        <v/>
      </c>
      <c r="W1466">
        <f>IFERROR(INDEX(PP_Grid[#Data],$DE1466,20),0)</f>
        <v/>
      </c>
      <c r="X1466">
        <f>IFERROR(INDEX(PP_Grid[#Data],$DE1466,21),0)</f>
        <v/>
      </c>
      <c r="Y1466">
        <f>IFERROR(INDEX(PP_Grid[#Data],$DE1466,22),0)</f>
        <v/>
      </c>
      <c r="Z1466">
        <f>IFERROR(INDEX(PP_Grid[#Data],$DE1466,23),0)</f>
        <v/>
      </c>
      <c r="AA1466">
        <f>IFERROR(INDEX(PP_Grid[#Data],$DE1466,24),0)</f>
        <v/>
      </c>
      <c r="AB1466">
        <f>IFERROR(INDEX(PP_Grid[#Data],$DE1466,25),0)</f>
        <v/>
      </c>
      <c r="AC1466">
        <f>IFERROR(INDEX(PP_Grid[#Data],$DE1466,26),0)</f>
        <v/>
      </c>
      <c r="AD1466">
        <f>IFERROR(INDEX(PP_Grid[#Data],$DE1466,27),0)</f>
        <v/>
      </c>
      <c r="AE1466">
        <f>IFERROR(INDEX(PP_Grid[#Data],$DE1466,28),0)</f>
        <v/>
      </c>
      <c r="AF1466">
        <f>IFERROR(INDEX(PP_Grid[#Data],$DE1466,29),0)</f>
        <v/>
      </c>
      <c r="AG1466">
        <f>IFERROR(INDEX(PP_Grid[#Data],$DE1466,30),0)</f>
        <v/>
      </c>
      <c r="AH1466">
        <f>IFERROR(INDEX(PP_Grid[#Data],$DE1466,31),0)</f>
        <v/>
      </c>
      <c r="AI1466">
        <f>IFERROR(INDEX(PP_Grid[#Data],$DE1466,32),0)</f>
        <v/>
      </c>
      <c r="AJ1466">
        <f>IFERROR(INDEX(PP_Grid[#Data],$DE1466,33),0)</f>
        <v/>
      </c>
      <c r="AK1466">
        <f>IFERROR(INDEX(PP_Grid[#Data],$DE1466,34),0)</f>
        <v/>
      </c>
      <c r="AL1466">
        <f>IFERROR(INDEX(PP_Grid[#Data],$DE1466,35),0)</f>
        <v/>
      </c>
      <c r="AM1466">
        <f>IFERROR(INDEX(PP_Grid[#Data],$DE1466,36),0)</f>
        <v/>
      </c>
      <c r="AN1466">
        <f>IFERROR(INDEX(PP_Grid[#Data],$DE1466,37),0)</f>
        <v/>
      </c>
      <c r="AO1466">
        <f>IFERROR(INDEX(PP_Grid[#Data],$DE1466,38),0)</f>
        <v/>
      </c>
      <c r="AP1466">
        <f>IFERROR(INDEX(PP_Grid[#Data],$DE1466,39),0)</f>
        <v/>
      </c>
      <c r="AQ1466">
        <f>IFERROR(INDEX(PP_Grid[#Data],$DE1466,40),0)</f>
        <v/>
      </c>
      <c r="AR1466">
        <f>IFERROR(INDEX(PP_Grid[#Data],$DE1466,41),0)</f>
        <v/>
      </c>
      <c r="AS1466">
        <f>IFERROR(INDEX(PP_Grid[#Data],$DE1466,42),0)</f>
        <v/>
      </c>
      <c r="AT1466">
        <f>IFERROR(INDEX(PP_Grid[#Data],$DE1466,43),0)</f>
        <v/>
      </c>
      <c r="AU1466">
        <f>IFERROR(INDEX(PP_Grid[#Data],$DE1466,44),0)</f>
        <v/>
      </c>
      <c r="AV1466">
        <f>IFERROR(INDEX(PP_Grid[#Data],$DE1466,45),0)</f>
        <v/>
      </c>
      <c r="AW1466">
        <f>IFERROR(INDEX(PP_Grid[#Data],$DE1466,46),0)</f>
        <v/>
      </c>
      <c r="AX1466">
        <f>IFERROR(INDEX(PP_Grid[#Data],$DE1466,47),0)</f>
        <v/>
      </c>
      <c r="AY1466">
        <f>IFERROR(INDEX(PP_Grid[#Data],$DE1466,48),0)</f>
        <v/>
      </c>
      <c r="AZ1466">
        <f>IFERROR(INDEX(PP_Grid[#Data],$DE1466,49),0)</f>
        <v/>
      </c>
      <c r="BA1466">
        <f>IFERROR(INDEX(PP_Grid[#Data],$DE1466,50),0)</f>
        <v/>
      </c>
      <c r="BB1466">
        <f>IFERROR(INDEX(PP_Grid[#Data],$DE1466,51),0)</f>
        <v/>
      </c>
      <c r="BC1466">
        <f>IFERROR(INDEX(PP_Grid[#Data],$DE1466,52),0)</f>
        <v/>
      </c>
      <c r="BD1466">
        <f>IFERROR(INDEX(PP_Grid[#Data],$DE1466,53),0)</f>
        <v/>
      </c>
      <c r="BE1466">
        <f>IFERROR(INDEX(PP_Grid[#Data],$DE1466,54),0)</f>
        <v/>
      </c>
      <c r="BF1466">
        <f>IFERROR(INDEX(PP_Grid[#Data],$DE1466,55),0)</f>
        <v/>
      </c>
      <c r="BG1466">
        <f>IFERROR(INDEX(PP_Grid[#Data],$DE1466,56),0)</f>
        <v/>
      </c>
      <c r="BH1466">
        <f>IFERROR(INDEX(PP_Grid[#Data],$DE1466,57),0)</f>
        <v/>
      </c>
      <c r="BI1466">
        <f>IFERROR(INDEX(PP_Grid[#Data],$DE1466,58),0)</f>
        <v/>
      </c>
      <c r="BJ1466">
        <f>IFERROR(INDEX(PP_Grid[#Data],$DE1466,59),0)</f>
        <v/>
      </c>
      <c r="BK1466">
        <f>IFERROR(INDEX(PP_Grid[#Data],$DE1466,60),0)</f>
        <v/>
      </c>
      <c r="BL1466">
        <f>IFERROR(INDEX(PP_Grid[#Data],$DE1466,61),0)</f>
        <v/>
      </c>
      <c r="BM1466">
        <f>IFERROR(INDEX(PP_Grid[#Data],$DE1466,62),0)</f>
        <v/>
      </c>
      <c r="BN1466">
        <f>IFERROR(INDEX(PP_Grid[#Data],$DE1466,63),0)</f>
        <v/>
      </c>
      <c r="BO1466">
        <f>IFERROR(INDEX(PP_Grid[#Data],$DE1466,64),0)</f>
        <v/>
      </c>
      <c r="BP1466">
        <f>IFERROR(INDEX(PP_Grid[#Data],$DE1466,65),0)</f>
        <v/>
      </c>
      <c r="BQ1466">
        <f>IFERROR(INDEX(PP_Grid[#Data],$DE1466,66),0)</f>
        <v/>
      </c>
      <c r="BR1466">
        <f>IFERROR(INDEX(PP_Grid[#Data],$DE1466,67),0)</f>
        <v/>
      </c>
      <c r="BS1466">
        <f>IFERROR(INDEX(PP_Grid[#Data],$DE1466,68),0)</f>
        <v/>
      </c>
      <c r="BT1466">
        <f>IFERROR(INDEX(PP_Grid[#Data],$DE1466,69),0)</f>
        <v/>
      </c>
      <c r="BU1466">
        <f>IFERROR(INDEX(PP_Grid[#Data],$DE1466,70),0)</f>
        <v/>
      </c>
      <c r="BV1466">
        <f>IFERROR(INDEX(PP_Grid[#Data],$DE1466,71),0)</f>
        <v/>
      </c>
      <c r="BW1466">
        <f>IFERROR(INDEX(PP_Grid[#Data],$DE1466,72),0)</f>
        <v/>
      </c>
      <c r="BX1466">
        <f>IFERROR(INDEX(PP_Grid[#Data],$DE1466,73),0)</f>
        <v/>
      </c>
      <c r="BY1466">
        <f>IFERROR(INDEX(PP_Grid[#Data],$DE1466,74),0)</f>
        <v/>
      </c>
      <c r="BZ1466">
        <f>IFERROR(INDEX(PP_Grid[#Data],$DE1466,75),0)</f>
        <v/>
      </c>
      <c r="CA1466">
        <f>IFERROR(INDEX(PP_Grid[#Data],$DE1466,76),0)</f>
        <v/>
      </c>
      <c r="CB1466">
        <f>IFERROR(INDEX(PP_Grid[#Data],$DE1466,77),0)</f>
        <v/>
      </c>
      <c r="CC1466">
        <f>IFERROR(INDEX(PP_Grid[#Data],$DE1466,78),0)</f>
        <v/>
      </c>
      <c r="CD1466">
        <f>IFERROR(INDEX(PP_Grid[#Data],$DE1466,79),0)</f>
        <v/>
      </c>
      <c r="CE1466">
        <f>IFERROR(INDEX(PP_Grid[#Data],$DE1466,80),0)</f>
        <v/>
      </c>
      <c r="CF1466">
        <f>IFERROR(INDEX(PP_Grid[#Data],$DE1466,81),0)</f>
        <v/>
      </c>
      <c r="CG1466">
        <f>IFERROR(INDEX(PP_Grid[#Data],$DE1466,82),0)</f>
        <v/>
      </c>
      <c r="CH1466">
        <f>IFERROR(INDEX(PP_Grid[#Data],$DE1466,83),0)</f>
        <v/>
      </c>
      <c r="CI1466">
        <f>IFERROR(INDEX(PP_Grid[#Data],$DE1466,84),0)</f>
        <v/>
      </c>
      <c r="CJ1466">
        <f>IFERROR(INDEX(PP_Grid[#Data],$DE1466,85),0)</f>
        <v/>
      </c>
      <c r="CK1466">
        <f>IFERROR(INDEX(PP_Grid[#Data],$DE1466,86),0)</f>
        <v/>
      </c>
      <c r="CL1466">
        <f>IFERROR(INDEX(PP_Grid[#Data],$DE1466,87),0)</f>
        <v/>
      </c>
      <c r="CM1466">
        <f>IFERROR(INDEX(PP_Grid[#Data],$DE1466,88),0)</f>
        <v/>
      </c>
      <c r="CN1466">
        <f>IFERROR(INDEX(PP_Grid[#Data],$DE1466,89),0)</f>
        <v/>
      </c>
      <c r="CO1466">
        <f>IFERROR(INDEX(PP_Grid[#Data],$DE1466,90),0)</f>
        <v/>
      </c>
      <c r="CP1466">
        <f>IFERROR(INDEX(PP_Grid[#Data],$DE1466,91),0)</f>
        <v/>
      </c>
      <c r="CQ1466">
        <f>IFERROR(INDEX(PP_Grid[#Data],$DE1466,92),0)</f>
        <v/>
      </c>
      <c r="CR1466">
        <f>IFERROR(INDEX(PP_Grid[#Data],$DE1466,93),0)</f>
        <v/>
      </c>
      <c r="CS1466">
        <f>IFERROR(INDEX(PP_Grid[#Data],$DE1466,94),0)</f>
        <v/>
      </c>
      <c r="CT1466">
        <f>IFERROR(INDEX(PP_Grid[#Data],$DE1466,95),0)</f>
        <v/>
      </c>
      <c r="CU1466">
        <f>IFERROR(INDEX(PP_Grid[#Data],$DE1466,96),0)</f>
        <v/>
      </c>
      <c r="CV1466">
        <f>IFERROR(INDEX(PP_Grid[#Data],$DE1466,97),0)</f>
        <v/>
      </c>
      <c r="CW1466">
        <f>IFERROR(INDEX(PP_Grid[#Data],$DE1466,98),0)</f>
        <v/>
      </c>
      <c r="CX1466">
        <f>IFERROR(INDEX(PP_Grid[#Data],$DE1466,99),0)</f>
        <v/>
      </c>
      <c r="CY1466">
        <f>IFERROR(INDEX(PP_Grid[#Data],$DE1466,100),0)</f>
        <v/>
      </c>
      <c r="CZ1466">
        <f>IFERROR(INDEX(PP_Grid[#Data],$DE1466,101),0)</f>
        <v/>
      </c>
      <c r="DA1466">
        <f>IFERROR(INDEX(PP_Grid[#Data],$DE1466,102),0)</f>
        <v/>
      </c>
      <c r="DB1466">
        <f>IFERROR(INDEX(PP_Grid[#Data],$DE1466,103),0)</f>
        <v/>
      </c>
      <c r="DC1466">
        <f>IFERROR(INDEX(PP_Grid[#Data],$DE1466,104),0)</f>
        <v/>
      </c>
      <c r="DD1466">
        <f>IFERROR(INDEX(PP_Grid[#Data],$DE1466,105),0)</f>
        <v/>
      </c>
      <c r="DE1466" s="7">
        <f>IFERROR(MATCH($B1466,PP_Grid[Intermediate],0),99999)</f>
        <v/>
      </c>
    </row>
    <row r="1467">
      <c r="B1467" t="inlineStr">
        <is>
          <t>使用量(kg)</t>
        </is>
      </c>
      <c r="C1467">
        <f>SUMIFS(M_BOM[RM_Qty_Per_Batch],M_BOM[Intermediate],$B1466,M_BOM[RM_Code],$A1463)</f>
        <v/>
      </c>
      <c r="D1467">
        <f>IFERROR(INDEX(E1467:DD1467,$F$1),"")</f>
        <v/>
      </c>
      <c r="E1467">
        <f>$C1467*E1466</f>
        <v/>
      </c>
      <c r="F1467">
        <f>$C1467*F1466</f>
        <v/>
      </c>
      <c r="G1467">
        <f>$C1467*G1466</f>
        <v/>
      </c>
      <c r="H1467">
        <f>$C1467*H1466</f>
        <v/>
      </c>
      <c r="I1467">
        <f>$C1467*I1466</f>
        <v/>
      </c>
      <c r="J1467">
        <f>$C1467*J1466</f>
        <v/>
      </c>
      <c r="K1467">
        <f>$C1467*K1466</f>
        <v/>
      </c>
      <c r="L1467">
        <f>$C1467*L1466</f>
        <v/>
      </c>
      <c r="M1467">
        <f>$C1467*M1466</f>
        <v/>
      </c>
      <c r="N1467">
        <f>$C1467*N1466</f>
        <v/>
      </c>
      <c r="O1467">
        <f>$C1467*O1466</f>
        <v/>
      </c>
      <c r="P1467">
        <f>$C1467*P1466</f>
        <v/>
      </c>
      <c r="Q1467">
        <f>$C1467*Q1466</f>
        <v/>
      </c>
      <c r="R1467">
        <f>$C1467*R1466</f>
        <v/>
      </c>
      <c r="S1467">
        <f>$C1467*S1466</f>
        <v/>
      </c>
      <c r="T1467">
        <f>$C1467*T1466</f>
        <v/>
      </c>
      <c r="U1467">
        <f>$C1467*U1466</f>
        <v/>
      </c>
      <c r="V1467">
        <f>$C1467*V1466</f>
        <v/>
      </c>
      <c r="W1467">
        <f>$C1467*W1466</f>
        <v/>
      </c>
      <c r="X1467">
        <f>$C1467*X1466</f>
        <v/>
      </c>
      <c r="Y1467">
        <f>$C1467*Y1466</f>
        <v/>
      </c>
      <c r="Z1467">
        <f>$C1467*Z1466</f>
        <v/>
      </c>
      <c r="AA1467">
        <f>$C1467*AA1466</f>
        <v/>
      </c>
      <c r="AB1467">
        <f>$C1467*AB1466</f>
        <v/>
      </c>
      <c r="AC1467">
        <f>$C1467*AC1466</f>
        <v/>
      </c>
      <c r="AD1467">
        <f>$C1467*AD1466</f>
        <v/>
      </c>
      <c r="AE1467">
        <f>$C1467*AE1466</f>
        <v/>
      </c>
      <c r="AF1467">
        <f>$C1467*AF1466</f>
        <v/>
      </c>
      <c r="AG1467">
        <f>$C1467*AG1466</f>
        <v/>
      </c>
      <c r="AH1467">
        <f>$C1467*AH1466</f>
        <v/>
      </c>
      <c r="AI1467">
        <f>$C1467*AI1466</f>
        <v/>
      </c>
      <c r="AJ1467">
        <f>$C1467*AJ1466</f>
        <v/>
      </c>
      <c r="AK1467">
        <f>$C1467*AK1466</f>
        <v/>
      </c>
      <c r="AL1467">
        <f>$C1467*AL1466</f>
        <v/>
      </c>
      <c r="AM1467">
        <f>$C1467*AM1466</f>
        <v/>
      </c>
      <c r="AN1467">
        <f>$C1467*AN1466</f>
        <v/>
      </c>
      <c r="AO1467">
        <f>$C1467*AO1466</f>
        <v/>
      </c>
      <c r="AP1467">
        <f>$C1467*AP1466</f>
        <v/>
      </c>
      <c r="AQ1467">
        <f>$C1467*AQ1466</f>
        <v/>
      </c>
      <c r="AR1467">
        <f>$C1467*AR1466</f>
        <v/>
      </c>
      <c r="AS1467">
        <f>$C1467*AS1466</f>
        <v/>
      </c>
      <c r="AT1467">
        <f>$C1467*AT1466</f>
        <v/>
      </c>
      <c r="AU1467">
        <f>$C1467*AU1466</f>
        <v/>
      </c>
      <c r="AV1467">
        <f>$C1467*AV1466</f>
        <v/>
      </c>
      <c r="AW1467">
        <f>$C1467*AW1466</f>
        <v/>
      </c>
      <c r="AX1467">
        <f>$C1467*AX1466</f>
        <v/>
      </c>
      <c r="AY1467">
        <f>$C1467*AY1466</f>
        <v/>
      </c>
      <c r="AZ1467">
        <f>$C1467*AZ1466</f>
        <v/>
      </c>
      <c r="BA1467">
        <f>$C1467*BA1466</f>
        <v/>
      </c>
      <c r="BB1467">
        <f>$C1467*BB1466</f>
        <v/>
      </c>
      <c r="BC1467">
        <f>$C1467*BC1466</f>
        <v/>
      </c>
      <c r="BD1467">
        <f>$C1467*BD1466</f>
        <v/>
      </c>
      <c r="BE1467">
        <f>$C1467*BE1466</f>
        <v/>
      </c>
      <c r="BF1467">
        <f>$C1467*BF1466</f>
        <v/>
      </c>
      <c r="BG1467">
        <f>$C1467*BG1466</f>
        <v/>
      </c>
      <c r="BH1467">
        <f>$C1467*BH1466</f>
        <v/>
      </c>
      <c r="BI1467">
        <f>$C1467*BI1466</f>
        <v/>
      </c>
      <c r="BJ1467">
        <f>$C1467*BJ1466</f>
        <v/>
      </c>
      <c r="BK1467">
        <f>$C1467*BK1466</f>
        <v/>
      </c>
      <c r="BL1467">
        <f>$C1467*BL1466</f>
        <v/>
      </c>
      <c r="BM1467">
        <f>$C1467*BM1466</f>
        <v/>
      </c>
      <c r="BN1467">
        <f>$C1467*BN1466</f>
        <v/>
      </c>
      <c r="BO1467">
        <f>$C1467*BO1466</f>
        <v/>
      </c>
      <c r="BP1467">
        <f>$C1467*BP1466</f>
        <v/>
      </c>
      <c r="BQ1467">
        <f>$C1467*BQ1466</f>
        <v/>
      </c>
      <c r="BR1467">
        <f>$C1467*BR1466</f>
        <v/>
      </c>
      <c r="BS1467">
        <f>$C1467*BS1466</f>
        <v/>
      </c>
      <c r="BT1467">
        <f>$C1467*BT1466</f>
        <v/>
      </c>
      <c r="BU1467">
        <f>$C1467*BU1466</f>
        <v/>
      </c>
      <c r="BV1467">
        <f>$C1467*BV1466</f>
        <v/>
      </c>
      <c r="BW1467">
        <f>$C1467*BW1466</f>
        <v/>
      </c>
      <c r="BX1467">
        <f>$C1467*BX1466</f>
        <v/>
      </c>
      <c r="BY1467">
        <f>$C1467*BY1466</f>
        <v/>
      </c>
      <c r="BZ1467">
        <f>$C1467*BZ1466</f>
        <v/>
      </c>
      <c r="CA1467">
        <f>$C1467*CA1466</f>
        <v/>
      </c>
      <c r="CB1467">
        <f>$C1467*CB1466</f>
        <v/>
      </c>
      <c r="CC1467">
        <f>$C1467*CC1466</f>
        <v/>
      </c>
      <c r="CD1467">
        <f>$C1467*CD1466</f>
        <v/>
      </c>
      <c r="CE1467">
        <f>$C1467*CE1466</f>
        <v/>
      </c>
      <c r="CF1467">
        <f>$C1467*CF1466</f>
        <v/>
      </c>
      <c r="CG1467">
        <f>$C1467*CG1466</f>
        <v/>
      </c>
      <c r="CH1467">
        <f>$C1467*CH1466</f>
        <v/>
      </c>
      <c r="CI1467">
        <f>$C1467*CI1466</f>
        <v/>
      </c>
      <c r="CJ1467">
        <f>$C1467*CJ1466</f>
        <v/>
      </c>
      <c r="CK1467">
        <f>$C1467*CK1466</f>
        <v/>
      </c>
      <c r="CL1467">
        <f>$C1467*CL1466</f>
        <v/>
      </c>
      <c r="CM1467">
        <f>$C1467*CM1466</f>
        <v/>
      </c>
      <c r="CN1467">
        <f>$C1467*CN1466</f>
        <v/>
      </c>
      <c r="CO1467">
        <f>$C1467*CO1466</f>
        <v/>
      </c>
      <c r="CP1467">
        <f>$C1467*CP1466</f>
        <v/>
      </c>
      <c r="CQ1467">
        <f>$C1467*CQ1466</f>
        <v/>
      </c>
      <c r="CR1467">
        <f>$C1467*CR1466</f>
        <v/>
      </c>
      <c r="CS1467">
        <f>$C1467*CS1466</f>
        <v/>
      </c>
      <c r="CT1467">
        <f>$C1467*CT1466</f>
        <v/>
      </c>
      <c r="CU1467">
        <f>$C1467*CU1466</f>
        <v/>
      </c>
      <c r="CV1467">
        <f>$C1467*CV1466</f>
        <v/>
      </c>
      <c r="CW1467">
        <f>$C1467*CW1466</f>
        <v/>
      </c>
      <c r="CX1467">
        <f>$C1467*CX1466</f>
        <v/>
      </c>
      <c r="CY1467">
        <f>$C1467*CY1466</f>
        <v/>
      </c>
      <c r="CZ1467">
        <f>$C1467*CZ1466</f>
        <v/>
      </c>
      <c r="DA1467">
        <f>$C1467*DA1466</f>
        <v/>
      </c>
      <c r="DB1467">
        <f>$C1467*DB1466</f>
        <v/>
      </c>
      <c r="DC1467">
        <f>$C1467*DC1466</f>
        <v/>
      </c>
      <c r="DD1467">
        <f>$C1467*DD1466</f>
        <v/>
      </c>
    </row>
    <row r="1468">
      <c r="B1468" t="inlineStr">
        <is>
          <t>TPP-915</t>
        </is>
      </c>
      <c r="C1468" t="inlineStr">
        <is>
          <t>No. of batches</t>
        </is>
      </c>
      <c r="D1468">
        <f>IFERROR(INDEX(E1468:DD1468,$F$1),"")</f>
        <v/>
      </c>
      <c r="E1468">
        <f>IFERROR(INDEX(PP_Grid[#Data],$DE1468,2),0)</f>
        <v/>
      </c>
      <c r="F1468">
        <f>IFERROR(INDEX(PP_Grid[#Data],$DE1468,3),0)</f>
        <v/>
      </c>
      <c r="G1468">
        <f>IFERROR(INDEX(PP_Grid[#Data],$DE1468,4),0)</f>
        <v/>
      </c>
      <c r="H1468">
        <f>IFERROR(INDEX(PP_Grid[#Data],$DE1468,5),0)</f>
        <v/>
      </c>
      <c r="I1468">
        <f>IFERROR(INDEX(PP_Grid[#Data],$DE1468,6),0)</f>
        <v/>
      </c>
      <c r="J1468">
        <f>IFERROR(INDEX(PP_Grid[#Data],$DE1468,7),0)</f>
        <v/>
      </c>
      <c r="K1468">
        <f>IFERROR(INDEX(PP_Grid[#Data],$DE1468,8),0)</f>
        <v/>
      </c>
      <c r="L1468">
        <f>IFERROR(INDEX(PP_Grid[#Data],$DE1468,9),0)</f>
        <v/>
      </c>
      <c r="M1468">
        <f>IFERROR(INDEX(PP_Grid[#Data],$DE1468,10),0)</f>
        <v/>
      </c>
      <c r="N1468">
        <f>IFERROR(INDEX(PP_Grid[#Data],$DE1468,11),0)</f>
        <v/>
      </c>
      <c r="O1468">
        <f>IFERROR(INDEX(PP_Grid[#Data],$DE1468,12),0)</f>
        <v/>
      </c>
      <c r="P1468">
        <f>IFERROR(INDEX(PP_Grid[#Data],$DE1468,13),0)</f>
        <v/>
      </c>
      <c r="Q1468">
        <f>IFERROR(INDEX(PP_Grid[#Data],$DE1468,14),0)</f>
        <v/>
      </c>
      <c r="R1468">
        <f>IFERROR(INDEX(PP_Grid[#Data],$DE1468,15),0)</f>
        <v/>
      </c>
      <c r="S1468">
        <f>IFERROR(INDEX(PP_Grid[#Data],$DE1468,16),0)</f>
        <v/>
      </c>
      <c r="T1468">
        <f>IFERROR(INDEX(PP_Grid[#Data],$DE1468,17),0)</f>
        <v/>
      </c>
      <c r="U1468">
        <f>IFERROR(INDEX(PP_Grid[#Data],$DE1468,18),0)</f>
        <v/>
      </c>
      <c r="V1468">
        <f>IFERROR(INDEX(PP_Grid[#Data],$DE1468,19),0)</f>
        <v/>
      </c>
      <c r="W1468">
        <f>IFERROR(INDEX(PP_Grid[#Data],$DE1468,20),0)</f>
        <v/>
      </c>
      <c r="X1468">
        <f>IFERROR(INDEX(PP_Grid[#Data],$DE1468,21),0)</f>
        <v/>
      </c>
      <c r="Y1468">
        <f>IFERROR(INDEX(PP_Grid[#Data],$DE1468,22),0)</f>
        <v/>
      </c>
      <c r="Z1468">
        <f>IFERROR(INDEX(PP_Grid[#Data],$DE1468,23),0)</f>
        <v/>
      </c>
      <c r="AA1468">
        <f>IFERROR(INDEX(PP_Grid[#Data],$DE1468,24),0)</f>
        <v/>
      </c>
      <c r="AB1468">
        <f>IFERROR(INDEX(PP_Grid[#Data],$DE1468,25),0)</f>
        <v/>
      </c>
      <c r="AC1468">
        <f>IFERROR(INDEX(PP_Grid[#Data],$DE1468,26),0)</f>
        <v/>
      </c>
      <c r="AD1468">
        <f>IFERROR(INDEX(PP_Grid[#Data],$DE1468,27),0)</f>
        <v/>
      </c>
      <c r="AE1468">
        <f>IFERROR(INDEX(PP_Grid[#Data],$DE1468,28),0)</f>
        <v/>
      </c>
      <c r="AF1468">
        <f>IFERROR(INDEX(PP_Grid[#Data],$DE1468,29),0)</f>
        <v/>
      </c>
      <c r="AG1468">
        <f>IFERROR(INDEX(PP_Grid[#Data],$DE1468,30),0)</f>
        <v/>
      </c>
      <c r="AH1468">
        <f>IFERROR(INDEX(PP_Grid[#Data],$DE1468,31),0)</f>
        <v/>
      </c>
      <c r="AI1468">
        <f>IFERROR(INDEX(PP_Grid[#Data],$DE1468,32),0)</f>
        <v/>
      </c>
      <c r="AJ1468">
        <f>IFERROR(INDEX(PP_Grid[#Data],$DE1468,33),0)</f>
        <v/>
      </c>
      <c r="AK1468">
        <f>IFERROR(INDEX(PP_Grid[#Data],$DE1468,34),0)</f>
        <v/>
      </c>
      <c r="AL1468">
        <f>IFERROR(INDEX(PP_Grid[#Data],$DE1468,35),0)</f>
        <v/>
      </c>
      <c r="AM1468">
        <f>IFERROR(INDEX(PP_Grid[#Data],$DE1468,36),0)</f>
        <v/>
      </c>
      <c r="AN1468">
        <f>IFERROR(INDEX(PP_Grid[#Data],$DE1468,37),0)</f>
        <v/>
      </c>
      <c r="AO1468">
        <f>IFERROR(INDEX(PP_Grid[#Data],$DE1468,38),0)</f>
        <v/>
      </c>
      <c r="AP1468">
        <f>IFERROR(INDEX(PP_Grid[#Data],$DE1468,39),0)</f>
        <v/>
      </c>
      <c r="AQ1468">
        <f>IFERROR(INDEX(PP_Grid[#Data],$DE1468,40),0)</f>
        <v/>
      </c>
      <c r="AR1468">
        <f>IFERROR(INDEX(PP_Grid[#Data],$DE1468,41),0)</f>
        <v/>
      </c>
      <c r="AS1468">
        <f>IFERROR(INDEX(PP_Grid[#Data],$DE1468,42),0)</f>
        <v/>
      </c>
      <c r="AT1468">
        <f>IFERROR(INDEX(PP_Grid[#Data],$DE1468,43),0)</f>
        <v/>
      </c>
      <c r="AU1468">
        <f>IFERROR(INDEX(PP_Grid[#Data],$DE1468,44),0)</f>
        <v/>
      </c>
      <c r="AV1468">
        <f>IFERROR(INDEX(PP_Grid[#Data],$DE1468,45),0)</f>
        <v/>
      </c>
      <c r="AW1468">
        <f>IFERROR(INDEX(PP_Grid[#Data],$DE1468,46),0)</f>
        <v/>
      </c>
      <c r="AX1468">
        <f>IFERROR(INDEX(PP_Grid[#Data],$DE1468,47),0)</f>
        <v/>
      </c>
      <c r="AY1468">
        <f>IFERROR(INDEX(PP_Grid[#Data],$DE1468,48),0)</f>
        <v/>
      </c>
      <c r="AZ1468">
        <f>IFERROR(INDEX(PP_Grid[#Data],$DE1468,49),0)</f>
        <v/>
      </c>
      <c r="BA1468">
        <f>IFERROR(INDEX(PP_Grid[#Data],$DE1468,50),0)</f>
        <v/>
      </c>
      <c r="BB1468">
        <f>IFERROR(INDEX(PP_Grid[#Data],$DE1468,51),0)</f>
        <v/>
      </c>
      <c r="BC1468">
        <f>IFERROR(INDEX(PP_Grid[#Data],$DE1468,52),0)</f>
        <v/>
      </c>
      <c r="BD1468">
        <f>IFERROR(INDEX(PP_Grid[#Data],$DE1468,53),0)</f>
        <v/>
      </c>
      <c r="BE1468">
        <f>IFERROR(INDEX(PP_Grid[#Data],$DE1468,54),0)</f>
        <v/>
      </c>
      <c r="BF1468">
        <f>IFERROR(INDEX(PP_Grid[#Data],$DE1468,55),0)</f>
        <v/>
      </c>
      <c r="BG1468">
        <f>IFERROR(INDEX(PP_Grid[#Data],$DE1468,56),0)</f>
        <v/>
      </c>
      <c r="BH1468">
        <f>IFERROR(INDEX(PP_Grid[#Data],$DE1468,57),0)</f>
        <v/>
      </c>
      <c r="BI1468">
        <f>IFERROR(INDEX(PP_Grid[#Data],$DE1468,58),0)</f>
        <v/>
      </c>
      <c r="BJ1468">
        <f>IFERROR(INDEX(PP_Grid[#Data],$DE1468,59),0)</f>
        <v/>
      </c>
      <c r="BK1468">
        <f>IFERROR(INDEX(PP_Grid[#Data],$DE1468,60),0)</f>
        <v/>
      </c>
      <c r="BL1468">
        <f>IFERROR(INDEX(PP_Grid[#Data],$DE1468,61),0)</f>
        <v/>
      </c>
      <c r="BM1468">
        <f>IFERROR(INDEX(PP_Grid[#Data],$DE1468,62),0)</f>
        <v/>
      </c>
      <c r="BN1468">
        <f>IFERROR(INDEX(PP_Grid[#Data],$DE1468,63),0)</f>
        <v/>
      </c>
      <c r="BO1468">
        <f>IFERROR(INDEX(PP_Grid[#Data],$DE1468,64),0)</f>
        <v/>
      </c>
      <c r="BP1468">
        <f>IFERROR(INDEX(PP_Grid[#Data],$DE1468,65),0)</f>
        <v/>
      </c>
      <c r="BQ1468">
        <f>IFERROR(INDEX(PP_Grid[#Data],$DE1468,66),0)</f>
        <v/>
      </c>
      <c r="BR1468">
        <f>IFERROR(INDEX(PP_Grid[#Data],$DE1468,67),0)</f>
        <v/>
      </c>
      <c r="BS1468">
        <f>IFERROR(INDEX(PP_Grid[#Data],$DE1468,68),0)</f>
        <v/>
      </c>
      <c r="BT1468">
        <f>IFERROR(INDEX(PP_Grid[#Data],$DE1468,69),0)</f>
        <v/>
      </c>
      <c r="BU1468">
        <f>IFERROR(INDEX(PP_Grid[#Data],$DE1468,70),0)</f>
        <v/>
      </c>
      <c r="BV1468">
        <f>IFERROR(INDEX(PP_Grid[#Data],$DE1468,71),0)</f>
        <v/>
      </c>
      <c r="BW1468">
        <f>IFERROR(INDEX(PP_Grid[#Data],$DE1468,72),0)</f>
        <v/>
      </c>
      <c r="BX1468">
        <f>IFERROR(INDEX(PP_Grid[#Data],$DE1468,73),0)</f>
        <v/>
      </c>
      <c r="BY1468">
        <f>IFERROR(INDEX(PP_Grid[#Data],$DE1468,74),0)</f>
        <v/>
      </c>
      <c r="BZ1468">
        <f>IFERROR(INDEX(PP_Grid[#Data],$DE1468,75),0)</f>
        <v/>
      </c>
      <c r="CA1468">
        <f>IFERROR(INDEX(PP_Grid[#Data],$DE1468,76),0)</f>
        <v/>
      </c>
      <c r="CB1468">
        <f>IFERROR(INDEX(PP_Grid[#Data],$DE1468,77),0)</f>
        <v/>
      </c>
      <c r="CC1468">
        <f>IFERROR(INDEX(PP_Grid[#Data],$DE1468,78),0)</f>
        <v/>
      </c>
      <c r="CD1468">
        <f>IFERROR(INDEX(PP_Grid[#Data],$DE1468,79),0)</f>
        <v/>
      </c>
      <c r="CE1468">
        <f>IFERROR(INDEX(PP_Grid[#Data],$DE1468,80),0)</f>
        <v/>
      </c>
      <c r="CF1468">
        <f>IFERROR(INDEX(PP_Grid[#Data],$DE1468,81),0)</f>
        <v/>
      </c>
      <c r="CG1468">
        <f>IFERROR(INDEX(PP_Grid[#Data],$DE1468,82),0)</f>
        <v/>
      </c>
      <c r="CH1468">
        <f>IFERROR(INDEX(PP_Grid[#Data],$DE1468,83),0)</f>
        <v/>
      </c>
      <c r="CI1468">
        <f>IFERROR(INDEX(PP_Grid[#Data],$DE1468,84),0)</f>
        <v/>
      </c>
      <c r="CJ1468">
        <f>IFERROR(INDEX(PP_Grid[#Data],$DE1468,85),0)</f>
        <v/>
      </c>
      <c r="CK1468">
        <f>IFERROR(INDEX(PP_Grid[#Data],$DE1468,86),0)</f>
        <v/>
      </c>
      <c r="CL1468">
        <f>IFERROR(INDEX(PP_Grid[#Data],$DE1468,87),0)</f>
        <v/>
      </c>
      <c r="CM1468">
        <f>IFERROR(INDEX(PP_Grid[#Data],$DE1468,88),0)</f>
        <v/>
      </c>
      <c r="CN1468">
        <f>IFERROR(INDEX(PP_Grid[#Data],$DE1468,89),0)</f>
        <v/>
      </c>
      <c r="CO1468">
        <f>IFERROR(INDEX(PP_Grid[#Data],$DE1468,90),0)</f>
        <v/>
      </c>
      <c r="CP1468">
        <f>IFERROR(INDEX(PP_Grid[#Data],$DE1468,91),0)</f>
        <v/>
      </c>
      <c r="CQ1468">
        <f>IFERROR(INDEX(PP_Grid[#Data],$DE1468,92),0)</f>
        <v/>
      </c>
      <c r="CR1468">
        <f>IFERROR(INDEX(PP_Grid[#Data],$DE1468,93),0)</f>
        <v/>
      </c>
      <c r="CS1468">
        <f>IFERROR(INDEX(PP_Grid[#Data],$DE1468,94),0)</f>
        <v/>
      </c>
      <c r="CT1468">
        <f>IFERROR(INDEX(PP_Grid[#Data],$DE1468,95),0)</f>
        <v/>
      </c>
      <c r="CU1468">
        <f>IFERROR(INDEX(PP_Grid[#Data],$DE1468,96),0)</f>
        <v/>
      </c>
      <c r="CV1468">
        <f>IFERROR(INDEX(PP_Grid[#Data],$DE1468,97),0)</f>
        <v/>
      </c>
      <c r="CW1468">
        <f>IFERROR(INDEX(PP_Grid[#Data],$DE1468,98),0)</f>
        <v/>
      </c>
      <c r="CX1468">
        <f>IFERROR(INDEX(PP_Grid[#Data],$DE1468,99),0)</f>
        <v/>
      </c>
      <c r="CY1468">
        <f>IFERROR(INDEX(PP_Grid[#Data],$DE1468,100),0)</f>
        <v/>
      </c>
      <c r="CZ1468">
        <f>IFERROR(INDEX(PP_Grid[#Data],$DE1468,101),0)</f>
        <v/>
      </c>
      <c r="DA1468">
        <f>IFERROR(INDEX(PP_Grid[#Data],$DE1468,102),0)</f>
        <v/>
      </c>
      <c r="DB1468">
        <f>IFERROR(INDEX(PP_Grid[#Data],$DE1468,103),0)</f>
        <v/>
      </c>
      <c r="DC1468">
        <f>IFERROR(INDEX(PP_Grid[#Data],$DE1468,104),0)</f>
        <v/>
      </c>
      <c r="DD1468">
        <f>IFERROR(INDEX(PP_Grid[#Data],$DE1468,105),0)</f>
        <v/>
      </c>
      <c r="DE1468" s="7">
        <f>IFERROR(MATCH($B1468,PP_Grid[Intermediate],0),99999)</f>
        <v/>
      </c>
    </row>
    <row r="1469">
      <c r="B1469" t="inlineStr">
        <is>
          <t>使用量(kg)</t>
        </is>
      </c>
      <c r="C1469">
        <f>SUMIFS(M_BOM[RM_Qty_Per_Batch],M_BOM[Intermediate],$B1468,M_BOM[RM_Code],$A1463)</f>
        <v/>
      </c>
      <c r="D1469">
        <f>IFERROR(INDEX(E1469:DD1469,$F$1),"")</f>
        <v/>
      </c>
      <c r="E1469">
        <f>$C1469*E1468</f>
        <v/>
      </c>
      <c r="F1469">
        <f>$C1469*F1468</f>
        <v/>
      </c>
      <c r="G1469">
        <f>$C1469*G1468</f>
        <v/>
      </c>
      <c r="H1469">
        <f>$C1469*H1468</f>
        <v/>
      </c>
      <c r="I1469">
        <f>$C1469*I1468</f>
        <v/>
      </c>
      <c r="J1469">
        <f>$C1469*J1468</f>
        <v/>
      </c>
      <c r="K1469">
        <f>$C1469*K1468</f>
        <v/>
      </c>
      <c r="L1469">
        <f>$C1469*L1468</f>
        <v/>
      </c>
      <c r="M1469">
        <f>$C1469*M1468</f>
        <v/>
      </c>
      <c r="N1469">
        <f>$C1469*N1468</f>
        <v/>
      </c>
      <c r="O1469">
        <f>$C1469*O1468</f>
        <v/>
      </c>
      <c r="P1469">
        <f>$C1469*P1468</f>
        <v/>
      </c>
      <c r="Q1469">
        <f>$C1469*Q1468</f>
        <v/>
      </c>
      <c r="R1469">
        <f>$C1469*R1468</f>
        <v/>
      </c>
      <c r="S1469">
        <f>$C1469*S1468</f>
        <v/>
      </c>
      <c r="T1469">
        <f>$C1469*T1468</f>
        <v/>
      </c>
      <c r="U1469">
        <f>$C1469*U1468</f>
        <v/>
      </c>
      <c r="V1469">
        <f>$C1469*V1468</f>
        <v/>
      </c>
      <c r="W1469">
        <f>$C1469*W1468</f>
        <v/>
      </c>
      <c r="X1469">
        <f>$C1469*X1468</f>
        <v/>
      </c>
      <c r="Y1469">
        <f>$C1469*Y1468</f>
        <v/>
      </c>
      <c r="Z1469">
        <f>$C1469*Z1468</f>
        <v/>
      </c>
      <c r="AA1469">
        <f>$C1469*AA1468</f>
        <v/>
      </c>
      <c r="AB1469">
        <f>$C1469*AB1468</f>
        <v/>
      </c>
      <c r="AC1469">
        <f>$C1469*AC1468</f>
        <v/>
      </c>
      <c r="AD1469">
        <f>$C1469*AD1468</f>
        <v/>
      </c>
      <c r="AE1469">
        <f>$C1469*AE1468</f>
        <v/>
      </c>
      <c r="AF1469">
        <f>$C1469*AF1468</f>
        <v/>
      </c>
      <c r="AG1469">
        <f>$C1469*AG1468</f>
        <v/>
      </c>
      <c r="AH1469">
        <f>$C1469*AH1468</f>
        <v/>
      </c>
      <c r="AI1469">
        <f>$C1469*AI1468</f>
        <v/>
      </c>
      <c r="AJ1469">
        <f>$C1469*AJ1468</f>
        <v/>
      </c>
      <c r="AK1469">
        <f>$C1469*AK1468</f>
        <v/>
      </c>
      <c r="AL1469">
        <f>$C1469*AL1468</f>
        <v/>
      </c>
      <c r="AM1469">
        <f>$C1469*AM1468</f>
        <v/>
      </c>
      <c r="AN1469">
        <f>$C1469*AN1468</f>
        <v/>
      </c>
      <c r="AO1469">
        <f>$C1469*AO1468</f>
        <v/>
      </c>
      <c r="AP1469">
        <f>$C1469*AP1468</f>
        <v/>
      </c>
      <c r="AQ1469">
        <f>$C1469*AQ1468</f>
        <v/>
      </c>
      <c r="AR1469">
        <f>$C1469*AR1468</f>
        <v/>
      </c>
      <c r="AS1469">
        <f>$C1469*AS1468</f>
        <v/>
      </c>
      <c r="AT1469">
        <f>$C1469*AT1468</f>
        <v/>
      </c>
      <c r="AU1469">
        <f>$C1469*AU1468</f>
        <v/>
      </c>
      <c r="AV1469">
        <f>$C1469*AV1468</f>
        <v/>
      </c>
      <c r="AW1469">
        <f>$C1469*AW1468</f>
        <v/>
      </c>
      <c r="AX1469">
        <f>$C1469*AX1468</f>
        <v/>
      </c>
      <c r="AY1469">
        <f>$C1469*AY1468</f>
        <v/>
      </c>
      <c r="AZ1469">
        <f>$C1469*AZ1468</f>
        <v/>
      </c>
      <c r="BA1469">
        <f>$C1469*BA1468</f>
        <v/>
      </c>
      <c r="BB1469">
        <f>$C1469*BB1468</f>
        <v/>
      </c>
      <c r="BC1469">
        <f>$C1469*BC1468</f>
        <v/>
      </c>
      <c r="BD1469">
        <f>$C1469*BD1468</f>
        <v/>
      </c>
      <c r="BE1469">
        <f>$C1469*BE1468</f>
        <v/>
      </c>
      <c r="BF1469">
        <f>$C1469*BF1468</f>
        <v/>
      </c>
      <c r="BG1469">
        <f>$C1469*BG1468</f>
        <v/>
      </c>
      <c r="BH1469">
        <f>$C1469*BH1468</f>
        <v/>
      </c>
      <c r="BI1469">
        <f>$C1469*BI1468</f>
        <v/>
      </c>
      <c r="BJ1469">
        <f>$C1469*BJ1468</f>
        <v/>
      </c>
      <c r="BK1469">
        <f>$C1469*BK1468</f>
        <v/>
      </c>
      <c r="BL1469">
        <f>$C1469*BL1468</f>
        <v/>
      </c>
      <c r="BM1469">
        <f>$C1469*BM1468</f>
        <v/>
      </c>
      <c r="BN1469">
        <f>$C1469*BN1468</f>
        <v/>
      </c>
      <c r="BO1469">
        <f>$C1469*BO1468</f>
        <v/>
      </c>
      <c r="BP1469">
        <f>$C1469*BP1468</f>
        <v/>
      </c>
      <c r="BQ1469">
        <f>$C1469*BQ1468</f>
        <v/>
      </c>
      <c r="BR1469">
        <f>$C1469*BR1468</f>
        <v/>
      </c>
      <c r="BS1469">
        <f>$C1469*BS1468</f>
        <v/>
      </c>
      <c r="BT1469">
        <f>$C1469*BT1468</f>
        <v/>
      </c>
      <c r="BU1469">
        <f>$C1469*BU1468</f>
        <v/>
      </c>
      <c r="BV1469">
        <f>$C1469*BV1468</f>
        <v/>
      </c>
      <c r="BW1469">
        <f>$C1469*BW1468</f>
        <v/>
      </c>
      <c r="BX1469">
        <f>$C1469*BX1468</f>
        <v/>
      </c>
      <c r="BY1469">
        <f>$C1469*BY1468</f>
        <v/>
      </c>
      <c r="BZ1469">
        <f>$C1469*BZ1468</f>
        <v/>
      </c>
      <c r="CA1469">
        <f>$C1469*CA1468</f>
        <v/>
      </c>
      <c r="CB1469">
        <f>$C1469*CB1468</f>
        <v/>
      </c>
      <c r="CC1469">
        <f>$C1469*CC1468</f>
        <v/>
      </c>
      <c r="CD1469">
        <f>$C1469*CD1468</f>
        <v/>
      </c>
      <c r="CE1469">
        <f>$C1469*CE1468</f>
        <v/>
      </c>
      <c r="CF1469">
        <f>$C1469*CF1468</f>
        <v/>
      </c>
      <c r="CG1469">
        <f>$C1469*CG1468</f>
        <v/>
      </c>
      <c r="CH1469">
        <f>$C1469*CH1468</f>
        <v/>
      </c>
      <c r="CI1469">
        <f>$C1469*CI1468</f>
        <v/>
      </c>
      <c r="CJ1469">
        <f>$C1469*CJ1468</f>
        <v/>
      </c>
      <c r="CK1469">
        <f>$C1469*CK1468</f>
        <v/>
      </c>
      <c r="CL1469">
        <f>$C1469*CL1468</f>
        <v/>
      </c>
      <c r="CM1469">
        <f>$C1469*CM1468</f>
        <v/>
      </c>
      <c r="CN1469">
        <f>$C1469*CN1468</f>
        <v/>
      </c>
      <c r="CO1469">
        <f>$C1469*CO1468</f>
        <v/>
      </c>
      <c r="CP1469">
        <f>$C1469*CP1468</f>
        <v/>
      </c>
      <c r="CQ1469">
        <f>$C1469*CQ1468</f>
        <v/>
      </c>
      <c r="CR1469">
        <f>$C1469*CR1468</f>
        <v/>
      </c>
      <c r="CS1469">
        <f>$C1469*CS1468</f>
        <v/>
      </c>
      <c r="CT1469">
        <f>$C1469*CT1468</f>
        <v/>
      </c>
      <c r="CU1469">
        <f>$C1469*CU1468</f>
        <v/>
      </c>
      <c r="CV1469">
        <f>$C1469*CV1468</f>
        <v/>
      </c>
      <c r="CW1469">
        <f>$C1469*CW1468</f>
        <v/>
      </c>
      <c r="CX1469">
        <f>$C1469*CX1468</f>
        <v/>
      </c>
      <c r="CY1469">
        <f>$C1469*CY1468</f>
        <v/>
      </c>
      <c r="CZ1469">
        <f>$C1469*CZ1468</f>
        <v/>
      </c>
      <c r="DA1469">
        <f>$C1469*DA1468</f>
        <v/>
      </c>
      <c r="DB1469">
        <f>$C1469*DB1468</f>
        <v/>
      </c>
      <c r="DC1469">
        <f>$C1469*DC1468</f>
        <v/>
      </c>
      <c r="DD1469">
        <f>$C1469*DD1468</f>
        <v/>
      </c>
    </row>
    <row r="1470">
      <c r="B1470" t="inlineStr">
        <is>
          <t>TPP-920</t>
        </is>
      </c>
      <c r="C1470" t="inlineStr">
        <is>
          <t>No. of batches</t>
        </is>
      </c>
      <c r="D1470">
        <f>IFERROR(INDEX(E1470:DD1470,$F$1),"")</f>
        <v/>
      </c>
      <c r="E1470">
        <f>IFERROR(INDEX(PP_Grid[#Data],$DE1470,2),0)</f>
        <v/>
      </c>
      <c r="F1470">
        <f>IFERROR(INDEX(PP_Grid[#Data],$DE1470,3),0)</f>
        <v/>
      </c>
      <c r="G1470">
        <f>IFERROR(INDEX(PP_Grid[#Data],$DE1470,4),0)</f>
        <v/>
      </c>
      <c r="H1470">
        <f>IFERROR(INDEX(PP_Grid[#Data],$DE1470,5),0)</f>
        <v/>
      </c>
      <c r="I1470">
        <f>IFERROR(INDEX(PP_Grid[#Data],$DE1470,6),0)</f>
        <v/>
      </c>
      <c r="J1470">
        <f>IFERROR(INDEX(PP_Grid[#Data],$DE1470,7),0)</f>
        <v/>
      </c>
      <c r="K1470">
        <f>IFERROR(INDEX(PP_Grid[#Data],$DE1470,8),0)</f>
        <v/>
      </c>
      <c r="L1470">
        <f>IFERROR(INDEX(PP_Grid[#Data],$DE1470,9),0)</f>
        <v/>
      </c>
      <c r="M1470">
        <f>IFERROR(INDEX(PP_Grid[#Data],$DE1470,10),0)</f>
        <v/>
      </c>
      <c r="N1470">
        <f>IFERROR(INDEX(PP_Grid[#Data],$DE1470,11),0)</f>
        <v/>
      </c>
      <c r="O1470">
        <f>IFERROR(INDEX(PP_Grid[#Data],$DE1470,12),0)</f>
        <v/>
      </c>
      <c r="P1470">
        <f>IFERROR(INDEX(PP_Grid[#Data],$DE1470,13),0)</f>
        <v/>
      </c>
      <c r="Q1470">
        <f>IFERROR(INDEX(PP_Grid[#Data],$DE1470,14),0)</f>
        <v/>
      </c>
      <c r="R1470">
        <f>IFERROR(INDEX(PP_Grid[#Data],$DE1470,15),0)</f>
        <v/>
      </c>
      <c r="S1470">
        <f>IFERROR(INDEX(PP_Grid[#Data],$DE1470,16),0)</f>
        <v/>
      </c>
      <c r="T1470">
        <f>IFERROR(INDEX(PP_Grid[#Data],$DE1470,17),0)</f>
        <v/>
      </c>
      <c r="U1470">
        <f>IFERROR(INDEX(PP_Grid[#Data],$DE1470,18),0)</f>
        <v/>
      </c>
      <c r="V1470">
        <f>IFERROR(INDEX(PP_Grid[#Data],$DE1470,19),0)</f>
        <v/>
      </c>
      <c r="W1470">
        <f>IFERROR(INDEX(PP_Grid[#Data],$DE1470,20),0)</f>
        <v/>
      </c>
      <c r="X1470">
        <f>IFERROR(INDEX(PP_Grid[#Data],$DE1470,21),0)</f>
        <v/>
      </c>
      <c r="Y1470">
        <f>IFERROR(INDEX(PP_Grid[#Data],$DE1470,22),0)</f>
        <v/>
      </c>
      <c r="Z1470">
        <f>IFERROR(INDEX(PP_Grid[#Data],$DE1470,23),0)</f>
        <v/>
      </c>
      <c r="AA1470">
        <f>IFERROR(INDEX(PP_Grid[#Data],$DE1470,24),0)</f>
        <v/>
      </c>
      <c r="AB1470">
        <f>IFERROR(INDEX(PP_Grid[#Data],$DE1470,25),0)</f>
        <v/>
      </c>
      <c r="AC1470">
        <f>IFERROR(INDEX(PP_Grid[#Data],$DE1470,26),0)</f>
        <v/>
      </c>
      <c r="AD1470">
        <f>IFERROR(INDEX(PP_Grid[#Data],$DE1470,27),0)</f>
        <v/>
      </c>
      <c r="AE1470">
        <f>IFERROR(INDEX(PP_Grid[#Data],$DE1470,28),0)</f>
        <v/>
      </c>
      <c r="AF1470">
        <f>IFERROR(INDEX(PP_Grid[#Data],$DE1470,29),0)</f>
        <v/>
      </c>
      <c r="AG1470">
        <f>IFERROR(INDEX(PP_Grid[#Data],$DE1470,30),0)</f>
        <v/>
      </c>
      <c r="AH1470">
        <f>IFERROR(INDEX(PP_Grid[#Data],$DE1470,31),0)</f>
        <v/>
      </c>
      <c r="AI1470">
        <f>IFERROR(INDEX(PP_Grid[#Data],$DE1470,32),0)</f>
        <v/>
      </c>
      <c r="AJ1470">
        <f>IFERROR(INDEX(PP_Grid[#Data],$DE1470,33),0)</f>
        <v/>
      </c>
      <c r="AK1470">
        <f>IFERROR(INDEX(PP_Grid[#Data],$DE1470,34),0)</f>
        <v/>
      </c>
      <c r="AL1470">
        <f>IFERROR(INDEX(PP_Grid[#Data],$DE1470,35),0)</f>
        <v/>
      </c>
      <c r="AM1470">
        <f>IFERROR(INDEX(PP_Grid[#Data],$DE1470,36),0)</f>
        <v/>
      </c>
      <c r="AN1470">
        <f>IFERROR(INDEX(PP_Grid[#Data],$DE1470,37),0)</f>
        <v/>
      </c>
      <c r="AO1470">
        <f>IFERROR(INDEX(PP_Grid[#Data],$DE1470,38),0)</f>
        <v/>
      </c>
      <c r="AP1470">
        <f>IFERROR(INDEX(PP_Grid[#Data],$DE1470,39),0)</f>
        <v/>
      </c>
      <c r="AQ1470">
        <f>IFERROR(INDEX(PP_Grid[#Data],$DE1470,40),0)</f>
        <v/>
      </c>
      <c r="AR1470">
        <f>IFERROR(INDEX(PP_Grid[#Data],$DE1470,41),0)</f>
        <v/>
      </c>
      <c r="AS1470">
        <f>IFERROR(INDEX(PP_Grid[#Data],$DE1470,42),0)</f>
        <v/>
      </c>
      <c r="AT1470">
        <f>IFERROR(INDEX(PP_Grid[#Data],$DE1470,43),0)</f>
        <v/>
      </c>
      <c r="AU1470">
        <f>IFERROR(INDEX(PP_Grid[#Data],$DE1470,44),0)</f>
        <v/>
      </c>
      <c r="AV1470">
        <f>IFERROR(INDEX(PP_Grid[#Data],$DE1470,45),0)</f>
        <v/>
      </c>
      <c r="AW1470">
        <f>IFERROR(INDEX(PP_Grid[#Data],$DE1470,46),0)</f>
        <v/>
      </c>
      <c r="AX1470">
        <f>IFERROR(INDEX(PP_Grid[#Data],$DE1470,47),0)</f>
        <v/>
      </c>
      <c r="AY1470">
        <f>IFERROR(INDEX(PP_Grid[#Data],$DE1470,48),0)</f>
        <v/>
      </c>
      <c r="AZ1470">
        <f>IFERROR(INDEX(PP_Grid[#Data],$DE1470,49),0)</f>
        <v/>
      </c>
      <c r="BA1470">
        <f>IFERROR(INDEX(PP_Grid[#Data],$DE1470,50),0)</f>
        <v/>
      </c>
      <c r="BB1470">
        <f>IFERROR(INDEX(PP_Grid[#Data],$DE1470,51),0)</f>
        <v/>
      </c>
      <c r="BC1470">
        <f>IFERROR(INDEX(PP_Grid[#Data],$DE1470,52),0)</f>
        <v/>
      </c>
      <c r="BD1470">
        <f>IFERROR(INDEX(PP_Grid[#Data],$DE1470,53),0)</f>
        <v/>
      </c>
      <c r="BE1470">
        <f>IFERROR(INDEX(PP_Grid[#Data],$DE1470,54),0)</f>
        <v/>
      </c>
      <c r="BF1470">
        <f>IFERROR(INDEX(PP_Grid[#Data],$DE1470,55),0)</f>
        <v/>
      </c>
      <c r="BG1470">
        <f>IFERROR(INDEX(PP_Grid[#Data],$DE1470,56),0)</f>
        <v/>
      </c>
      <c r="BH1470">
        <f>IFERROR(INDEX(PP_Grid[#Data],$DE1470,57),0)</f>
        <v/>
      </c>
      <c r="BI1470">
        <f>IFERROR(INDEX(PP_Grid[#Data],$DE1470,58),0)</f>
        <v/>
      </c>
      <c r="BJ1470">
        <f>IFERROR(INDEX(PP_Grid[#Data],$DE1470,59),0)</f>
        <v/>
      </c>
      <c r="BK1470">
        <f>IFERROR(INDEX(PP_Grid[#Data],$DE1470,60),0)</f>
        <v/>
      </c>
      <c r="BL1470">
        <f>IFERROR(INDEX(PP_Grid[#Data],$DE1470,61),0)</f>
        <v/>
      </c>
      <c r="BM1470">
        <f>IFERROR(INDEX(PP_Grid[#Data],$DE1470,62),0)</f>
        <v/>
      </c>
      <c r="BN1470">
        <f>IFERROR(INDEX(PP_Grid[#Data],$DE1470,63),0)</f>
        <v/>
      </c>
      <c r="BO1470">
        <f>IFERROR(INDEX(PP_Grid[#Data],$DE1470,64),0)</f>
        <v/>
      </c>
      <c r="BP1470">
        <f>IFERROR(INDEX(PP_Grid[#Data],$DE1470,65),0)</f>
        <v/>
      </c>
      <c r="BQ1470">
        <f>IFERROR(INDEX(PP_Grid[#Data],$DE1470,66),0)</f>
        <v/>
      </c>
      <c r="BR1470">
        <f>IFERROR(INDEX(PP_Grid[#Data],$DE1470,67),0)</f>
        <v/>
      </c>
      <c r="BS1470">
        <f>IFERROR(INDEX(PP_Grid[#Data],$DE1470,68),0)</f>
        <v/>
      </c>
      <c r="BT1470">
        <f>IFERROR(INDEX(PP_Grid[#Data],$DE1470,69),0)</f>
        <v/>
      </c>
      <c r="BU1470">
        <f>IFERROR(INDEX(PP_Grid[#Data],$DE1470,70),0)</f>
        <v/>
      </c>
      <c r="BV1470">
        <f>IFERROR(INDEX(PP_Grid[#Data],$DE1470,71),0)</f>
        <v/>
      </c>
      <c r="BW1470">
        <f>IFERROR(INDEX(PP_Grid[#Data],$DE1470,72),0)</f>
        <v/>
      </c>
      <c r="BX1470">
        <f>IFERROR(INDEX(PP_Grid[#Data],$DE1470,73),0)</f>
        <v/>
      </c>
      <c r="BY1470">
        <f>IFERROR(INDEX(PP_Grid[#Data],$DE1470,74),0)</f>
        <v/>
      </c>
      <c r="BZ1470">
        <f>IFERROR(INDEX(PP_Grid[#Data],$DE1470,75),0)</f>
        <v/>
      </c>
      <c r="CA1470">
        <f>IFERROR(INDEX(PP_Grid[#Data],$DE1470,76),0)</f>
        <v/>
      </c>
      <c r="CB1470">
        <f>IFERROR(INDEX(PP_Grid[#Data],$DE1470,77),0)</f>
        <v/>
      </c>
      <c r="CC1470">
        <f>IFERROR(INDEX(PP_Grid[#Data],$DE1470,78),0)</f>
        <v/>
      </c>
      <c r="CD1470">
        <f>IFERROR(INDEX(PP_Grid[#Data],$DE1470,79),0)</f>
        <v/>
      </c>
      <c r="CE1470">
        <f>IFERROR(INDEX(PP_Grid[#Data],$DE1470,80),0)</f>
        <v/>
      </c>
      <c r="CF1470">
        <f>IFERROR(INDEX(PP_Grid[#Data],$DE1470,81),0)</f>
        <v/>
      </c>
      <c r="CG1470">
        <f>IFERROR(INDEX(PP_Grid[#Data],$DE1470,82),0)</f>
        <v/>
      </c>
      <c r="CH1470">
        <f>IFERROR(INDEX(PP_Grid[#Data],$DE1470,83),0)</f>
        <v/>
      </c>
      <c r="CI1470">
        <f>IFERROR(INDEX(PP_Grid[#Data],$DE1470,84),0)</f>
        <v/>
      </c>
      <c r="CJ1470">
        <f>IFERROR(INDEX(PP_Grid[#Data],$DE1470,85),0)</f>
        <v/>
      </c>
      <c r="CK1470">
        <f>IFERROR(INDEX(PP_Grid[#Data],$DE1470,86),0)</f>
        <v/>
      </c>
      <c r="CL1470">
        <f>IFERROR(INDEX(PP_Grid[#Data],$DE1470,87),0)</f>
        <v/>
      </c>
      <c r="CM1470">
        <f>IFERROR(INDEX(PP_Grid[#Data],$DE1470,88),0)</f>
        <v/>
      </c>
      <c r="CN1470">
        <f>IFERROR(INDEX(PP_Grid[#Data],$DE1470,89),0)</f>
        <v/>
      </c>
      <c r="CO1470">
        <f>IFERROR(INDEX(PP_Grid[#Data],$DE1470,90),0)</f>
        <v/>
      </c>
      <c r="CP1470">
        <f>IFERROR(INDEX(PP_Grid[#Data],$DE1470,91),0)</f>
        <v/>
      </c>
      <c r="CQ1470">
        <f>IFERROR(INDEX(PP_Grid[#Data],$DE1470,92),0)</f>
        <v/>
      </c>
      <c r="CR1470">
        <f>IFERROR(INDEX(PP_Grid[#Data],$DE1470,93),0)</f>
        <v/>
      </c>
      <c r="CS1470">
        <f>IFERROR(INDEX(PP_Grid[#Data],$DE1470,94),0)</f>
        <v/>
      </c>
      <c r="CT1470">
        <f>IFERROR(INDEX(PP_Grid[#Data],$DE1470,95),0)</f>
        <v/>
      </c>
      <c r="CU1470">
        <f>IFERROR(INDEX(PP_Grid[#Data],$DE1470,96),0)</f>
        <v/>
      </c>
      <c r="CV1470">
        <f>IFERROR(INDEX(PP_Grid[#Data],$DE1470,97),0)</f>
        <v/>
      </c>
      <c r="CW1470">
        <f>IFERROR(INDEX(PP_Grid[#Data],$DE1470,98),0)</f>
        <v/>
      </c>
      <c r="CX1470">
        <f>IFERROR(INDEX(PP_Grid[#Data],$DE1470,99),0)</f>
        <v/>
      </c>
      <c r="CY1470">
        <f>IFERROR(INDEX(PP_Grid[#Data],$DE1470,100),0)</f>
        <v/>
      </c>
      <c r="CZ1470">
        <f>IFERROR(INDEX(PP_Grid[#Data],$DE1470,101),0)</f>
        <v/>
      </c>
      <c r="DA1470">
        <f>IFERROR(INDEX(PP_Grid[#Data],$DE1470,102),0)</f>
        <v/>
      </c>
      <c r="DB1470">
        <f>IFERROR(INDEX(PP_Grid[#Data],$DE1470,103),0)</f>
        <v/>
      </c>
      <c r="DC1470">
        <f>IFERROR(INDEX(PP_Grid[#Data],$DE1470,104),0)</f>
        <v/>
      </c>
      <c r="DD1470">
        <f>IFERROR(INDEX(PP_Grid[#Data],$DE1470,105),0)</f>
        <v/>
      </c>
      <c r="DE1470" s="7">
        <f>IFERROR(MATCH($B1470,PP_Grid[Intermediate],0),99999)</f>
        <v/>
      </c>
    </row>
    <row r="1471">
      <c r="B1471" t="inlineStr">
        <is>
          <t>使用量(kg)</t>
        </is>
      </c>
      <c r="C1471">
        <f>SUMIFS(M_BOM[RM_Qty_Per_Batch],M_BOM[Intermediate],$B1470,M_BOM[RM_Code],$A1463)</f>
        <v/>
      </c>
      <c r="D1471">
        <f>IFERROR(INDEX(E1471:DD1471,$F$1),"")</f>
        <v/>
      </c>
      <c r="E1471">
        <f>$C1471*E1470</f>
        <v/>
      </c>
      <c r="F1471">
        <f>$C1471*F1470</f>
        <v/>
      </c>
      <c r="G1471">
        <f>$C1471*G1470</f>
        <v/>
      </c>
      <c r="H1471">
        <f>$C1471*H1470</f>
        <v/>
      </c>
      <c r="I1471">
        <f>$C1471*I1470</f>
        <v/>
      </c>
      <c r="J1471">
        <f>$C1471*J1470</f>
        <v/>
      </c>
      <c r="K1471">
        <f>$C1471*K1470</f>
        <v/>
      </c>
      <c r="L1471">
        <f>$C1471*L1470</f>
        <v/>
      </c>
      <c r="M1471">
        <f>$C1471*M1470</f>
        <v/>
      </c>
      <c r="N1471">
        <f>$C1471*N1470</f>
        <v/>
      </c>
      <c r="O1471">
        <f>$C1471*O1470</f>
        <v/>
      </c>
      <c r="P1471">
        <f>$C1471*P1470</f>
        <v/>
      </c>
      <c r="Q1471">
        <f>$C1471*Q1470</f>
        <v/>
      </c>
      <c r="R1471">
        <f>$C1471*R1470</f>
        <v/>
      </c>
      <c r="S1471">
        <f>$C1471*S1470</f>
        <v/>
      </c>
      <c r="T1471">
        <f>$C1471*T1470</f>
        <v/>
      </c>
      <c r="U1471">
        <f>$C1471*U1470</f>
        <v/>
      </c>
      <c r="V1471">
        <f>$C1471*V1470</f>
        <v/>
      </c>
      <c r="W1471">
        <f>$C1471*W1470</f>
        <v/>
      </c>
      <c r="X1471">
        <f>$C1471*X1470</f>
        <v/>
      </c>
      <c r="Y1471">
        <f>$C1471*Y1470</f>
        <v/>
      </c>
      <c r="Z1471">
        <f>$C1471*Z1470</f>
        <v/>
      </c>
      <c r="AA1471">
        <f>$C1471*AA1470</f>
        <v/>
      </c>
      <c r="AB1471">
        <f>$C1471*AB1470</f>
        <v/>
      </c>
      <c r="AC1471">
        <f>$C1471*AC1470</f>
        <v/>
      </c>
      <c r="AD1471">
        <f>$C1471*AD1470</f>
        <v/>
      </c>
      <c r="AE1471">
        <f>$C1471*AE1470</f>
        <v/>
      </c>
      <c r="AF1471">
        <f>$C1471*AF1470</f>
        <v/>
      </c>
      <c r="AG1471">
        <f>$C1471*AG1470</f>
        <v/>
      </c>
      <c r="AH1471">
        <f>$C1471*AH1470</f>
        <v/>
      </c>
      <c r="AI1471">
        <f>$C1471*AI1470</f>
        <v/>
      </c>
      <c r="AJ1471">
        <f>$C1471*AJ1470</f>
        <v/>
      </c>
      <c r="AK1471">
        <f>$C1471*AK1470</f>
        <v/>
      </c>
      <c r="AL1471">
        <f>$C1471*AL1470</f>
        <v/>
      </c>
      <c r="AM1471">
        <f>$C1471*AM1470</f>
        <v/>
      </c>
      <c r="AN1471">
        <f>$C1471*AN1470</f>
        <v/>
      </c>
      <c r="AO1471">
        <f>$C1471*AO1470</f>
        <v/>
      </c>
      <c r="AP1471">
        <f>$C1471*AP1470</f>
        <v/>
      </c>
      <c r="AQ1471">
        <f>$C1471*AQ1470</f>
        <v/>
      </c>
      <c r="AR1471">
        <f>$C1471*AR1470</f>
        <v/>
      </c>
      <c r="AS1471">
        <f>$C1471*AS1470</f>
        <v/>
      </c>
      <c r="AT1471">
        <f>$C1471*AT1470</f>
        <v/>
      </c>
      <c r="AU1471">
        <f>$C1471*AU1470</f>
        <v/>
      </c>
      <c r="AV1471">
        <f>$C1471*AV1470</f>
        <v/>
      </c>
      <c r="AW1471">
        <f>$C1471*AW1470</f>
        <v/>
      </c>
      <c r="AX1471">
        <f>$C1471*AX1470</f>
        <v/>
      </c>
      <c r="AY1471">
        <f>$C1471*AY1470</f>
        <v/>
      </c>
      <c r="AZ1471">
        <f>$C1471*AZ1470</f>
        <v/>
      </c>
      <c r="BA1471">
        <f>$C1471*BA1470</f>
        <v/>
      </c>
      <c r="BB1471">
        <f>$C1471*BB1470</f>
        <v/>
      </c>
      <c r="BC1471">
        <f>$C1471*BC1470</f>
        <v/>
      </c>
      <c r="BD1471">
        <f>$C1471*BD1470</f>
        <v/>
      </c>
      <c r="BE1471">
        <f>$C1471*BE1470</f>
        <v/>
      </c>
      <c r="BF1471">
        <f>$C1471*BF1470</f>
        <v/>
      </c>
      <c r="BG1471">
        <f>$C1471*BG1470</f>
        <v/>
      </c>
      <c r="BH1471">
        <f>$C1471*BH1470</f>
        <v/>
      </c>
      <c r="BI1471">
        <f>$C1471*BI1470</f>
        <v/>
      </c>
      <c r="BJ1471">
        <f>$C1471*BJ1470</f>
        <v/>
      </c>
      <c r="BK1471">
        <f>$C1471*BK1470</f>
        <v/>
      </c>
      <c r="BL1471">
        <f>$C1471*BL1470</f>
        <v/>
      </c>
      <c r="BM1471">
        <f>$C1471*BM1470</f>
        <v/>
      </c>
      <c r="BN1471">
        <f>$C1471*BN1470</f>
        <v/>
      </c>
      <c r="BO1471">
        <f>$C1471*BO1470</f>
        <v/>
      </c>
      <c r="BP1471">
        <f>$C1471*BP1470</f>
        <v/>
      </c>
      <c r="BQ1471">
        <f>$C1471*BQ1470</f>
        <v/>
      </c>
      <c r="BR1471">
        <f>$C1471*BR1470</f>
        <v/>
      </c>
      <c r="BS1471">
        <f>$C1471*BS1470</f>
        <v/>
      </c>
      <c r="BT1471">
        <f>$C1471*BT1470</f>
        <v/>
      </c>
      <c r="BU1471">
        <f>$C1471*BU1470</f>
        <v/>
      </c>
      <c r="BV1471">
        <f>$C1471*BV1470</f>
        <v/>
      </c>
      <c r="BW1471">
        <f>$C1471*BW1470</f>
        <v/>
      </c>
      <c r="BX1471">
        <f>$C1471*BX1470</f>
        <v/>
      </c>
      <c r="BY1471">
        <f>$C1471*BY1470</f>
        <v/>
      </c>
      <c r="BZ1471">
        <f>$C1471*BZ1470</f>
        <v/>
      </c>
      <c r="CA1471">
        <f>$C1471*CA1470</f>
        <v/>
      </c>
      <c r="CB1471">
        <f>$C1471*CB1470</f>
        <v/>
      </c>
      <c r="CC1471">
        <f>$C1471*CC1470</f>
        <v/>
      </c>
      <c r="CD1471">
        <f>$C1471*CD1470</f>
        <v/>
      </c>
      <c r="CE1471">
        <f>$C1471*CE1470</f>
        <v/>
      </c>
      <c r="CF1471">
        <f>$C1471*CF1470</f>
        <v/>
      </c>
      <c r="CG1471">
        <f>$C1471*CG1470</f>
        <v/>
      </c>
      <c r="CH1471">
        <f>$C1471*CH1470</f>
        <v/>
      </c>
      <c r="CI1471">
        <f>$C1471*CI1470</f>
        <v/>
      </c>
      <c r="CJ1471">
        <f>$C1471*CJ1470</f>
        <v/>
      </c>
      <c r="CK1471">
        <f>$C1471*CK1470</f>
        <v/>
      </c>
      <c r="CL1471">
        <f>$C1471*CL1470</f>
        <v/>
      </c>
      <c r="CM1471">
        <f>$C1471*CM1470</f>
        <v/>
      </c>
      <c r="CN1471">
        <f>$C1471*CN1470</f>
        <v/>
      </c>
      <c r="CO1471">
        <f>$C1471*CO1470</f>
        <v/>
      </c>
      <c r="CP1471">
        <f>$C1471*CP1470</f>
        <v/>
      </c>
      <c r="CQ1471">
        <f>$C1471*CQ1470</f>
        <v/>
      </c>
      <c r="CR1471">
        <f>$C1471*CR1470</f>
        <v/>
      </c>
      <c r="CS1471">
        <f>$C1471*CS1470</f>
        <v/>
      </c>
      <c r="CT1471">
        <f>$C1471*CT1470</f>
        <v/>
      </c>
      <c r="CU1471">
        <f>$C1471*CU1470</f>
        <v/>
      </c>
      <c r="CV1471">
        <f>$C1471*CV1470</f>
        <v/>
      </c>
      <c r="CW1471">
        <f>$C1471*CW1470</f>
        <v/>
      </c>
      <c r="CX1471">
        <f>$C1471*CX1470</f>
        <v/>
      </c>
      <c r="CY1471">
        <f>$C1471*CY1470</f>
        <v/>
      </c>
      <c r="CZ1471">
        <f>$C1471*CZ1470</f>
        <v/>
      </c>
      <c r="DA1471">
        <f>$C1471*DA1470</f>
        <v/>
      </c>
      <c r="DB1471">
        <f>$C1471*DB1470</f>
        <v/>
      </c>
      <c r="DC1471">
        <f>$C1471*DC1470</f>
        <v/>
      </c>
      <c r="DD1471">
        <f>$C1471*DD1470</f>
        <v/>
      </c>
    </row>
    <row r="1472">
      <c r="B1472" t="inlineStr">
        <is>
          <t>TPP-914</t>
        </is>
      </c>
      <c r="C1472" t="inlineStr">
        <is>
          <t>No. of batches</t>
        </is>
      </c>
      <c r="D1472">
        <f>IFERROR(INDEX(E1472:DD1472,$F$1),"")</f>
        <v/>
      </c>
      <c r="E1472">
        <f>IFERROR(INDEX(PP_Grid[#Data],$DE1472,2),0)</f>
        <v/>
      </c>
      <c r="F1472">
        <f>IFERROR(INDEX(PP_Grid[#Data],$DE1472,3),0)</f>
        <v/>
      </c>
      <c r="G1472">
        <f>IFERROR(INDEX(PP_Grid[#Data],$DE1472,4),0)</f>
        <v/>
      </c>
      <c r="H1472">
        <f>IFERROR(INDEX(PP_Grid[#Data],$DE1472,5),0)</f>
        <v/>
      </c>
      <c r="I1472">
        <f>IFERROR(INDEX(PP_Grid[#Data],$DE1472,6),0)</f>
        <v/>
      </c>
      <c r="J1472">
        <f>IFERROR(INDEX(PP_Grid[#Data],$DE1472,7),0)</f>
        <v/>
      </c>
      <c r="K1472">
        <f>IFERROR(INDEX(PP_Grid[#Data],$DE1472,8),0)</f>
        <v/>
      </c>
      <c r="L1472">
        <f>IFERROR(INDEX(PP_Grid[#Data],$DE1472,9),0)</f>
        <v/>
      </c>
      <c r="M1472">
        <f>IFERROR(INDEX(PP_Grid[#Data],$DE1472,10),0)</f>
        <v/>
      </c>
      <c r="N1472">
        <f>IFERROR(INDEX(PP_Grid[#Data],$DE1472,11),0)</f>
        <v/>
      </c>
      <c r="O1472">
        <f>IFERROR(INDEX(PP_Grid[#Data],$DE1472,12),0)</f>
        <v/>
      </c>
      <c r="P1472">
        <f>IFERROR(INDEX(PP_Grid[#Data],$DE1472,13),0)</f>
        <v/>
      </c>
      <c r="Q1472">
        <f>IFERROR(INDEX(PP_Grid[#Data],$DE1472,14),0)</f>
        <v/>
      </c>
      <c r="R1472">
        <f>IFERROR(INDEX(PP_Grid[#Data],$DE1472,15),0)</f>
        <v/>
      </c>
      <c r="S1472">
        <f>IFERROR(INDEX(PP_Grid[#Data],$DE1472,16),0)</f>
        <v/>
      </c>
      <c r="T1472">
        <f>IFERROR(INDEX(PP_Grid[#Data],$DE1472,17),0)</f>
        <v/>
      </c>
      <c r="U1472">
        <f>IFERROR(INDEX(PP_Grid[#Data],$DE1472,18),0)</f>
        <v/>
      </c>
      <c r="V1472">
        <f>IFERROR(INDEX(PP_Grid[#Data],$DE1472,19),0)</f>
        <v/>
      </c>
      <c r="W1472">
        <f>IFERROR(INDEX(PP_Grid[#Data],$DE1472,20),0)</f>
        <v/>
      </c>
      <c r="X1472">
        <f>IFERROR(INDEX(PP_Grid[#Data],$DE1472,21),0)</f>
        <v/>
      </c>
      <c r="Y1472">
        <f>IFERROR(INDEX(PP_Grid[#Data],$DE1472,22),0)</f>
        <v/>
      </c>
      <c r="Z1472">
        <f>IFERROR(INDEX(PP_Grid[#Data],$DE1472,23),0)</f>
        <v/>
      </c>
      <c r="AA1472">
        <f>IFERROR(INDEX(PP_Grid[#Data],$DE1472,24),0)</f>
        <v/>
      </c>
      <c r="AB1472">
        <f>IFERROR(INDEX(PP_Grid[#Data],$DE1472,25),0)</f>
        <v/>
      </c>
      <c r="AC1472">
        <f>IFERROR(INDEX(PP_Grid[#Data],$DE1472,26),0)</f>
        <v/>
      </c>
      <c r="AD1472">
        <f>IFERROR(INDEX(PP_Grid[#Data],$DE1472,27),0)</f>
        <v/>
      </c>
      <c r="AE1472">
        <f>IFERROR(INDEX(PP_Grid[#Data],$DE1472,28),0)</f>
        <v/>
      </c>
      <c r="AF1472">
        <f>IFERROR(INDEX(PP_Grid[#Data],$DE1472,29),0)</f>
        <v/>
      </c>
      <c r="AG1472">
        <f>IFERROR(INDEX(PP_Grid[#Data],$DE1472,30),0)</f>
        <v/>
      </c>
      <c r="AH1472">
        <f>IFERROR(INDEX(PP_Grid[#Data],$DE1472,31),0)</f>
        <v/>
      </c>
      <c r="AI1472">
        <f>IFERROR(INDEX(PP_Grid[#Data],$DE1472,32),0)</f>
        <v/>
      </c>
      <c r="AJ1472">
        <f>IFERROR(INDEX(PP_Grid[#Data],$DE1472,33),0)</f>
        <v/>
      </c>
      <c r="AK1472">
        <f>IFERROR(INDEX(PP_Grid[#Data],$DE1472,34),0)</f>
        <v/>
      </c>
      <c r="AL1472">
        <f>IFERROR(INDEX(PP_Grid[#Data],$DE1472,35),0)</f>
        <v/>
      </c>
      <c r="AM1472">
        <f>IFERROR(INDEX(PP_Grid[#Data],$DE1472,36),0)</f>
        <v/>
      </c>
      <c r="AN1472">
        <f>IFERROR(INDEX(PP_Grid[#Data],$DE1472,37),0)</f>
        <v/>
      </c>
      <c r="AO1472">
        <f>IFERROR(INDEX(PP_Grid[#Data],$DE1472,38),0)</f>
        <v/>
      </c>
      <c r="AP1472">
        <f>IFERROR(INDEX(PP_Grid[#Data],$DE1472,39),0)</f>
        <v/>
      </c>
      <c r="AQ1472">
        <f>IFERROR(INDEX(PP_Grid[#Data],$DE1472,40),0)</f>
        <v/>
      </c>
      <c r="AR1472">
        <f>IFERROR(INDEX(PP_Grid[#Data],$DE1472,41),0)</f>
        <v/>
      </c>
      <c r="AS1472">
        <f>IFERROR(INDEX(PP_Grid[#Data],$DE1472,42),0)</f>
        <v/>
      </c>
      <c r="AT1472">
        <f>IFERROR(INDEX(PP_Grid[#Data],$DE1472,43),0)</f>
        <v/>
      </c>
      <c r="AU1472">
        <f>IFERROR(INDEX(PP_Grid[#Data],$DE1472,44),0)</f>
        <v/>
      </c>
      <c r="AV1472">
        <f>IFERROR(INDEX(PP_Grid[#Data],$DE1472,45),0)</f>
        <v/>
      </c>
      <c r="AW1472">
        <f>IFERROR(INDEX(PP_Grid[#Data],$DE1472,46),0)</f>
        <v/>
      </c>
      <c r="AX1472">
        <f>IFERROR(INDEX(PP_Grid[#Data],$DE1472,47),0)</f>
        <v/>
      </c>
      <c r="AY1472">
        <f>IFERROR(INDEX(PP_Grid[#Data],$DE1472,48),0)</f>
        <v/>
      </c>
      <c r="AZ1472">
        <f>IFERROR(INDEX(PP_Grid[#Data],$DE1472,49),0)</f>
        <v/>
      </c>
      <c r="BA1472">
        <f>IFERROR(INDEX(PP_Grid[#Data],$DE1472,50),0)</f>
        <v/>
      </c>
      <c r="BB1472">
        <f>IFERROR(INDEX(PP_Grid[#Data],$DE1472,51),0)</f>
        <v/>
      </c>
      <c r="BC1472">
        <f>IFERROR(INDEX(PP_Grid[#Data],$DE1472,52),0)</f>
        <v/>
      </c>
      <c r="BD1472">
        <f>IFERROR(INDEX(PP_Grid[#Data],$DE1472,53),0)</f>
        <v/>
      </c>
      <c r="BE1472">
        <f>IFERROR(INDEX(PP_Grid[#Data],$DE1472,54),0)</f>
        <v/>
      </c>
      <c r="BF1472">
        <f>IFERROR(INDEX(PP_Grid[#Data],$DE1472,55),0)</f>
        <v/>
      </c>
      <c r="BG1472">
        <f>IFERROR(INDEX(PP_Grid[#Data],$DE1472,56),0)</f>
        <v/>
      </c>
      <c r="BH1472">
        <f>IFERROR(INDEX(PP_Grid[#Data],$DE1472,57),0)</f>
        <v/>
      </c>
      <c r="BI1472">
        <f>IFERROR(INDEX(PP_Grid[#Data],$DE1472,58),0)</f>
        <v/>
      </c>
      <c r="BJ1472">
        <f>IFERROR(INDEX(PP_Grid[#Data],$DE1472,59),0)</f>
        <v/>
      </c>
      <c r="BK1472">
        <f>IFERROR(INDEX(PP_Grid[#Data],$DE1472,60),0)</f>
        <v/>
      </c>
      <c r="BL1472">
        <f>IFERROR(INDEX(PP_Grid[#Data],$DE1472,61),0)</f>
        <v/>
      </c>
      <c r="BM1472">
        <f>IFERROR(INDEX(PP_Grid[#Data],$DE1472,62),0)</f>
        <v/>
      </c>
      <c r="BN1472">
        <f>IFERROR(INDEX(PP_Grid[#Data],$DE1472,63),0)</f>
        <v/>
      </c>
      <c r="BO1472">
        <f>IFERROR(INDEX(PP_Grid[#Data],$DE1472,64),0)</f>
        <v/>
      </c>
      <c r="BP1472">
        <f>IFERROR(INDEX(PP_Grid[#Data],$DE1472,65),0)</f>
        <v/>
      </c>
      <c r="BQ1472">
        <f>IFERROR(INDEX(PP_Grid[#Data],$DE1472,66),0)</f>
        <v/>
      </c>
      <c r="BR1472">
        <f>IFERROR(INDEX(PP_Grid[#Data],$DE1472,67),0)</f>
        <v/>
      </c>
      <c r="BS1472">
        <f>IFERROR(INDEX(PP_Grid[#Data],$DE1472,68),0)</f>
        <v/>
      </c>
      <c r="BT1472">
        <f>IFERROR(INDEX(PP_Grid[#Data],$DE1472,69),0)</f>
        <v/>
      </c>
      <c r="BU1472">
        <f>IFERROR(INDEX(PP_Grid[#Data],$DE1472,70),0)</f>
        <v/>
      </c>
      <c r="BV1472">
        <f>IFERROR(INDEX(PP_Grid[#Data],$DE1472,71),0)</f>
        <v/>
      </c>
      <c r="BW1472">
        <f>IFERROR(INDEX(PP_Grid[#Data],$DE1472,72),0)</f>
        <v/>
      </c>
      <c r="BX1472">
        <f>IFERROR(INDEX(PP_Grid[#Data],$DE1472,73),0)</f>
        <v/>
      </c>
      <c r="BY1472">
        <f>IFERROR(INDEX(PP_Grid[#Data],$DE1472,74),0)</f>
        <v/>
      </c>
      <c r="BZ1472">
        <f>IFERROR(INDEX(PP_Grid[#Data],$DE1472,75),0)</f>
        <v/>
      </c>
      <c r="CA1472">
        <f>IFERROR(INDEX(PP_Grid[#Data],$DE1472,76),0)</f>
        <v/>
      </c>
      <c r="CB1472">
        <f>IFERROR(INDEX(PP_Grid[#Data],$DE1472,77),0)</f>
        <v/>
      </c>
      <c r="CC1472">
        <f>IFERROR(INDEX(PP_Grid[#Data],$DE1472,78),0)</f>
        <v/>
      </c>
      <c r="CD1472">
        <f>IFERROR(INDEX(PP_Grid[#Data],$DE1472,79),0)</f>
        <v/>
      </c>
      <c r="CE1472">
        <f>IFERROR(INDEX(PP_Grid[#Data],$DE1472,80),0)</f>
        <v/>
      </c>
      <c r="CF1472">
        <f>IFERROR(INDEX(PP_Grid[#Data],$DE1472,81),0)</f>
        <v/>
      </c>
      <c r="CG1472">
        <f>IFERROR(INDEX(PP_Grid[#Data],$DE1472,82),0)</f>
        <v/>
      </c>
      <c r="CH1472">
        <f>IFERROR(INDEX(PP_Grid[#Data],$DE1472,83),0)</f>
        <v/>
      </c>
      <c r="CI1472">
        <f>IFERROR(INDEX(PP_Grid[#Data],$DE1472,84),0)</f>
        <v/>
      </c>
      <c r="CJ1472">
        <f>IFERROR(INDEX(PP_Grid[#Data],$DE1472,85),0)</f>
        <v/>
      </c>
      <c r="CK1472">
        <f>IFERROR(INDEX(PP_Grid[#Data],$DE1472,86),0)</f>
        <v/>
      </c>
      <c r="CL1472">
        <f>IFERROR(INDEX(PP_Grid[#Data],$DE1472,87),0)</f>
        <v/>
      </c>
      <c r="CM1472">
        <f>IFERROR(INDEX(PP_Grid[#Data],$DE1472,88),0)</f>
        <v/>
      </c>
      <c r="CN1472">
        <f>IFERROR(INDEX(PP_Grid[#Data],$DE1472,89),0)</f>
        <v/>
      </c>
      <c r="CO1472">
        <f>IFERROR(INDEX(PP_Grid[#Data],$DE1472,90),0)</f>
        <v/>
      </c>
      <c r="CP1472">
        <f>IFERROR(INDEX(PP_Grid[#Data],$DE1472,91),0)</f>
        <v/>
      </c>
      <c r="CQ1472">
        <f>IFERROR(INDEX(PP_Grid[#Data],$DE1472,92),0)</f>
        <v/>
      </c>
      <c r="CR1472">
        <f>IFERROR(INDEX(PP_Grid[#Data],$DE1472,93),0)</f>
        <v/>
      </c>
      <c r="CS1472">
        <f>IFERROR(INDEX(PP_Grid[#Data],$DE1472,94),0)</f>
        <v/>
      </c>
      <c r="CT1472">
        <f>IFERROR(INDEX(PP_Grid[#Data],$DE1472,95),0)</f>
        <v/>
      </c>
      <c r="CU1472">
        <f>IFERROR(INDEX(PP_Grid[#Data],$DE1472,96),0)</f>
        <v/>
      </c>
      <c r="CV1472">
        <f>IFERROR(INDEX(PP_Grid[#Data],$DE1472,97),0)</f>
        <v/>
      </c>
      <c r="CW1472">
        <f>IFERROR(INDEX(PP_Grid[#Data],$DE1472,98),0)</f>
        <v/>
      </c>
      <c r="CX1472">
        <f>IFERROR(INDEX(PP_Grid[#Data],$DE1472,99),0)</f>
        <v/>
      </c>
      <c r="CY1472">
        <f>IFERROR(INDEX(PP_Grid[#Data],$DE1472,100),0)</f>
        <v/>
      </c>
      <c r="CZ1472">
        <f>IFERROR(INDEX(PP_Grid[#Data],$DE1472,101),0)</f>
        <v/>
      </c>
      <c r="DA1472">
        <f>IFERROR(INDEX(PP_Grid[#Data],$DE1472,102),0)</f>
        <v/>
      </c>
      <c r="DB1472">
        <f>IFERROR(INDEX(PP_Grid[#Data],$DE1472,103),0)</f>
        <v/>
      </c>
      <c r="DC1472">
        <f>IFERROR(INDEX(PP_Grid[#Data],$DE1472,104),0)</f>
        <v/>
      </c>
      <c r="DD1472">
        <f>IFERROR(INDEX(PP_Grid[#Data],$DE1472,105),0)</f>
        <v/>
      </c>
      <c r="DE1472" s="7">
        <f>IFERROR(MATCH($B1472,PP_Grid[Intermediate],0),99999)</f>
        <v/>
      </c>
    </row>
    <row r="1473">
      <c r="B1473" t="inlineStr">
        <is>
          <t>使用量(kg)</t>
        </is>
      </c>
      <c r="C1473">
        <f>SUMIFS(M_BOM[RM_Qty_Per_Batch],M_BOM[Intermediate],$B1472,M_BOM[RM_Code],$A1463)</f>
        <v/>
      </c>
      <c r="D1473">
        <f>IFERROR(INDEX(E1473:DD1473,$F$1),"")</f>
        <v/>
      </c>
      <c r="E1473">
        <f>$C1473*E1472</f>
        <v/>
      </c>
      <c r="F1473">
        <f>$C1473*F1472</f>
        <v/>
      </c>
      <c r="G1473">
        <f>$C1473*G1472</f>
        <v/>
      </c>
      <c r="H1473">
        <f>$C1473*H1472</f>
        <v/>
      </c>
      <c r="I1473">
        <f>$C1473*I1472</f>
        <v/>
      </c>
      <c r="J1473">
        <f>$C1473*J1472</f>
        <v/>
      </c>
      <c r="K1473">
        <f>$C1473*K1472</f>
        <v/>
      </c>
      <c r="L1473">
        <f>$C1473*L1472</f>
        <v/>
      </c>
      <c r="M1473">
        <f>$C1473*M1472</f>
        <v/>
      </c>
      <c r="N1473">
        <f>$C1473*N1472</f>
        <v/>
      </c>
      <c r="O1473">
        <f>$C1473*O1472</f>
        <v/>
      </c>
      <c r="P1473">
        <f>$C1473*P1472</f>
        <v/>
      </c>
      <c r="Q1473">
        <f>$C1473*Q1472</f>
        <v/>
      </c>
      <c r="R1473">
        <f>$C1473*R1472</f>
        <v/>
      </c>
      <c r="S1473">
        <f>$C1473*S1472</f>
        <v/>
      </c>
      <c r="T1473">
        <f>$C1473*T1472</f>
        <v/>
      </c>
      <c r="U1473">
        <f>$C1473*U1472</f>
        <v/>
      </c>
      <c r="V1473">
        <f>$C1473*V1472</f>
        <v/>
      </c>
      <c r="W1473">
        <f>$C1473*W1472</f>
        <v/>
      </c>
      <c r="X1473">
        <f>$C1473*X1472</f>
        <v/>
      </c>
      <c r="Y1473">
        <f>$C1473*Y1472</f>
        <v/>
      </c>
      <c r="Z1473">
        <f>$C1473*Z1472</f>
        <v/>
      </c>
      <c r="AA1473">
        <f>$C1473*AA1472</f>
        <v/>
      </c>
      <c r="AB1473">
        <f>$C1473*AB1472</f>
        <v/>
      </c>
      <c r="AC1473">
        <f>$C1473*AC1472</f>
        <v/>
      </c>
      <c r="AD1473">
        <f>$C1473*AD1472</f>
        <v/>
      </c>
      <c r="AE1473">
        <f>$C1473*AE1472</f>
        <v/>
      </c>
      <c r="AF1473">
        <f>$C1473*AF1472</f>
        <v/>
      </c>
      <c r="AG1473">
        <f>$C1473*AG1472</f>
        <v/>
      </c>
      <c r="AH1473">
        <f>$C1473*AH1472</f>
        <v/>
      </c>
      <c r="AI1473">
        <f>$C1473*AI1472</f>
        <v/>
      </c>
      <c r="AJ1473">
        <f>$C1473*AJ1472</f>
        <v/>
      </c>
      <c r="AK1473">
        <f>$C1473*AK1472</f>
        <v/>
      </c>
      <c r="AL1473">
        <f>$C1473*AL1472</f>
        <v/>
      </c>
      <c r="AM1473">
        <f>$C1473*AM1472</f>
        <v/>
      </c>
      <c r="AN1473">
        <f>$C1473*AN1472</f>
        <v/>
      </c>
      <c r="AO1473">
        <f>$C1473*AO1472</f>
        <v/>
      </c>
      <c r="AP1473">
        <f>$C1473*AP1472</f>
        <v/>
      </c>
      <c r="AQ1473">
        <f>$C1473*AQ1472</f>
        <v/>
      </c>
      <c r="AR1473">
        <f>$C1473*AR1472</f>
        <v/>
      </c>
      <c r="AS1473">
        <f>$C1473*AS1472</f>
        <v/>
      </c>
      <c r="AT1473">
        <f>$C1473*AT1472</f>
        <v/>
      </c>
      <c r="AU1473">
        <f>$C1473*AU1472</f>
        <v/>
      </c>
      <c r="AV1473">
        <f>$C1473*AV1472</f>
        <v/>
      </c>
      <c r="AW1473">
        <f>$C1473*AW1472</f>
        <v/>
      </c>
      <c r="AX1473">
        <f>$C1473*AX1472</f>
        <v/>
      </c>
      <c r="AY1473">
        <f>$C1473*AY1472</f>
        <v/>
      </c>
      <c r="AZ1473">
        <f>$C1473*AZ1472</f>
        <v/>
      </c>
      <c r="BA1473">
        <f>$C1473*BA1472</f>
        <v/>
      </c>
      <c r="BB1473">
        <f>$C1473*BB1472</f>
        <v/>
      </c>
      <c r="BC1473">
        <f>$C1473*BC1472</f>
        <v/>
      </c>
      <c r="BD1473">
        <f>$C1473*BD1472</f>
        <v/>
      </c>
      <c r="BE1473">
        <f>$C1473*BE1472</f>
        <v/>
      </c>
      <c r="BF1473">
        <f>$C1473*BF1472</f>
        <v/>
      </c>
      <c r="BG1473">
        <f>$C1473*BG1472</f>
        <v/>
      </c>
      <c r="BH1473">
        <f>$C1473*BH1472</f>
        <v/>
      </c>
      <c r="BI1473">
        <f>$C1473*BI1472</f>
        <v/>
      </c>
      <c r="BJ1473">
        <f>$C1473*BJ1472</f>
        <v/>
      </c>
      <c r="BK1473">
        <f>$C1473*BK1472</f>
        <v/>
      </c>
      <c r="BL1473">
        <f>$C1473*BL1472</f>
        <v/>
      </c>
      <c r="BM1473">
        <f>$C1473*BM1472</f>
        <v/>
      </c>
      <c r="BN1473">
        <f>$C1473*BN1472</f>
        <v/>
      </c>
      <c r="BO1473">
        <f>$C1473*BO1472</f>
        <v/>
      </c>
      <c r="BP1473">
        <f>$C1473*BP1472</f>
        <v/>
      </c>
      <c r="BQ1473">
        <f>$C1473*BQ1472</f>
        <v/>
      </c>
      <c r="BR1473">
        <f>$C1473*BR1472</f>
        <v/>
      </c>
      <c r="BS1473">
        <f>$C1473*BS1472</f>
        <v/>
      </c>
      <c r="BT1473">
        <f>$C1473*BT1472</f>
        <v/>
      </c>
      <c r="BU1473">
        <f>$C1473*BU1472</f>
        <v/>
      </c>
      <c r="BV1473">
        <f>$C1473*BV1472</f>
        <v/>
      </c>
      <c r="BW1473">
        <f>$C1473*BW1472</f>
        <v/>
      </c>
      <c r="BX1473">
        <f>$C1473*BX1472</f>
        <v/>
      </c>
      <c r="BY1473">
        <f>$C1473*BY1472</f>
        <v/>
      </c>
      <c r="BZ1473">
        <f>$C1473*BZ1472</f>
        <v/>
      </c>
      <c r="CA1473">
        <f>$C1473*CA1472</f>
        <v/>
      </c>
      <c r="CB1473">
        <f>$C1473*CB1472</f>
        <v/>
      </c>
      <c r="CC1473">
        <f>$C1473*CC1472</f>
        <v/>
      </c>
      <c r="CD1473">
        <f>$C1473*CD1472</f>
        <v/>
      </c>
      <c r="CE1473">
        <f>$C1473*CE1472</f>
        <v/>
      </c>
      <c r="CF1473">
        <f>$C1473*CF1472</f>
        <v/>
      </c>
      <c r="CG1473">
        <f>$C1473*CG1472</f>
        <v/>
      </c>
      <c r="CH1473">
        <f>$C1473*CH1472</f>
        <v/>
      </c>
      <c r="CI1473">
        <f>$C1473*CI1472</f>
        <v/>
      </c>
      <c r="CJ1473">
        <f>$C1473*CJ1472</f>
        <v/>
      </c>
      <c r="CK1473">
        <f>$C1473*CK1472</f>
        <v/>
      </c>
      <c r="CL1473">
        <f>$C1473*CL1472</f>
        <v/>
      </c>
      <c r="CM1473">
        <f>$C1473*CM1472</f>
        <v/>
      </c>
      <c r="CN1473">
        <f>$C1473*CN1472</f>
        <v/>
      </c>
      <c r="CO1473">
        <f>$C1473*CO1472</f>
        <v/>
      </c>
      <c r="CP1473">
        <f>$C1473*CP1472</f>
        <v/>
      </c>
      <c r="CQ1473">
        <f>$C1473*CQ1472</f>
        <v/>
      </c>
      <c r="CR1473">
        <f>$C1473*CR1472</f>
        <v/>
      </c>
      <c r="CS1473">
        <f>$C1473*CS1472</f>
        <v/>
      </c>
      <c r="CT1473">
        <f>$C1473*CT1472</f>
        <v/>
      </c>
      <c r="CU1473">
        <f>$C1473*CU1472</f>
        <v/>
      </c>
      <c r="CV1473">
        <f>$C1473*CV1472</f>
        <v/>
      </c>
      <c r="CW1473">
        <f>$C1473*CW1472</f>
        <v/>
      </c>
      <c r="CX1473">
        <f>$C1473*CX1472</f>
        <v/>
      </c>
      <c r="CY1473">
        <f>$C1473*CY1472</f>
        <v/>
      </c>
      <c r="CZ1473">
        <f>$C1473*CZ1472</f>
        <v/>
      </c>
      <c r="DA1473">
        <f>$C1473*DA1472</f>
        <v/>
      </c>
      <c r="DB1473">
        <f>$C1473*DB1472</f>
        <v/>
      </c>
      <c r="DC1473">
        <f>$C1473*DC1472</f>
        <v/>
      </c>
      <c r="DD1473">
        <f>$C1473*DD1472</f>
        <v/>
      </c>
    </row>
    <row r="1474">
      <c r="B1474" t="inlineStr">
        <is>
          <t>TPP-919</t>
        </is>
      </c>
      <c r="C1474" t="inlineStr">
        <is>
          <t>No. of batches</t>
        </is>
      </c>
      <c r="D1474">
        <f>IFERROR(INDEX(E1474:DD1474,$F$1),"")</f>
        <v/>
      </c>
      <c r="E1474">
        <f>IFERROR(INDEX(PP_Grid[#Data],$DE1474,2),0)</f>
        <v/>
      </c>
      <c r="F1474">
        <f>IFERROR(INDEX(PP_Grid[#Data],$DE1474,3),0)</f>
        <v/>
      </c>
      <c r="G1474">
        <f>IFERROR(INDEX(PP_Grid[#Data],$DE1474,4),0)</f>
        <v/>
      </c>
      <c r="H1474">
        <f>IFERROR(INDEX(PP_Grid[#Data],$DE1474,5),0)</f>
        <v/>
      </c>
      <c r="I1474">
        <f>IFERROR(INDEX(PP_Grid[#Data],$DE1474,6),0)</f>
        <v/>
      </c>
      <c r="J1474">
        <f>IFERROR(INDEX(PP_Grid[#Data],$DE1474,7),0)</f>
        <v/>
      </c>
      <c r="K1474">
        <f>IFERROR(INDEX(PP_Grid[#Data],$DE1474,8),0)</f>
        <v/>
      </c>
      <c r="L1474">
        <f>IFERROR(INDEX(PP_Grid[#Data],$DE1474,9),0)</f>
        <v/>
      </c>
      <c r="M1474">
        <f>IFERROR(INDEX(PP_Grid[#Data],$DE1474,10),0)</f>
        <v/>
      </c>
      <c r="N1474">
        <f>IFERROR(INDEX(PP_Grid[#Data],$DE1474,11),0)</f>
        <v/>
      </c>
      <c r="O1474">
        <f>IFERROR(INDEX(PP_Grid[#Data],$DE1474,12),0)</f>
        <v/>
      </c>
      <c r="P1474">
        <f>IFERROR(INDEX(PP_Grid[#Data],$DE1474,13),0)</f>
        <v/>
      </c>
      <c r="Q1474">
        <f>IFERROR(INDEX(PP_Grid[#Data],$DE1474,14),0)</f>
        <v/>
      </c>
      <c r="R1474">
        <f>IFERROR(INDEX(PP_Grid[#Data],$DE1474,15),0)</f>
        <v/>
      </c>
      <c r="S1474">
        <f>IFERROR(INDEX(PP_Grid[#Data],$DE1474,16),0)</f>
        <v/>
      </c>
      <c r="T1474">
        <f>IFERROR(INDEX(PP_Grid[#Data],$DE1474,17),0)</f>
        <v/>
      </c>
      <c r="U1474">
        <f>IFERROR(INDEX(PP_Grid[#Data],$DE1474,18),0)</f>
        <v/>
      </c>
      <c r="V1474">
        <f>IFERROR(INDEX(PP_Grid[#Data],$DE1474,19),0)</f>
        <v/>
      </c>
      <c r="W1474">
        <f>IFERROR(INDEX(PP_Grid[#Data],$DE1474,20),0)</f>
        <v/>
      </c>
      <c r="X1474">
        <f>IFERROR(INDEX(PP_Grid[#Data],$DE1474,21),0)</f>
        <v/>
      </c>
      <c r="Y1474">
        <f>IFERROR(INDEX(PP_Grid[#Data],$DE1474,22),0)</f>
        <v/>
      </c>
      <c r="Z1474">
        <f>IFERROR(INDEX(PP_Grid[#Data],$DE1474,23),0)</f>
        <v/>
      </c>
      <c r="AA1474">
        <f>IFERROR(INDEX(PP_Grid[#Data],$DE1474,24),0)</f>
        <v/>
      </c>
      <c r="AB1474">
        <f>IFERROR(INDEX(PP_Grid[#Data],$DE1474,25),0)</f>
        <v/>
      </c>
      <c r="AC1474">
        <f>IFERROR(INDEX(PP_Grid[#Data],$DE1474,26),0)</f>
        <v/>
      </c>
      <c r="AD1474">
        <f>IFERROR(INDEX(PP_Grid[#Data],$DE1474,27),0)</f>
        <v/>
      </c>
      <c r="AE1474">
        <f>IFERROR(INDEX(PP_Grid[#Data],$DE1474,28),0)</f>
        <v/>
      </c>
      <c r="AF1474">
        <f>IFERROR(INDEX(PP_Grid[#Data],$DE1474,29),0)</f>
        <v/>
      </c>
      <c r="AG1474">
        <f>IFERROR(INDEX(PP_Grid[#Data],$DE1474,30),0)</f>
        <v/>
      </c>
      <c r="AH1474">
        <f>IFERROR(INDEX(PP_Grid[#Data],$DE1474,31),0)</f>
        <v/>
      </c>
      <c r="AI1474">
        <f>IFERROR(INDEX(PP_Grid[#Data],$DE1474,32),0)</f>
        <v/>
      </c>
      <c r="AJ1474">
        <f>IFERROR(INDEX(PP_Grid[#Data],$DE1474,33),0)</f>
        <v/>
      </c>
      <c r="AK1474">
        <f>IFERROR(INDEX(PP_Grid[#Data],$DE1474,34),0)</f>
        <v/>
      </c>
      <c r="AL1474">
        <f>IFERROR(INDEX(PP_Grid[#Data],$DE1474,35),0)</f>
        <v/>
      </c>
      <c r="AM1474">
        <f>IFERROR(INDEX(PP_Grid[#Data],$DE1474,36),0)</f>
        <v/>
      </c>
      <c r="AN1474">
        <f>IFERROR(INDEX(PP_Grid[#Data],$DE1474,37),0)</f>
        <v/>
      </c>
      <c r="AO1474">
        <f>IFERROR(INDEX(PP_Grid[#Data],$DE1474,38),0)</f>
        <v/>
      </c>
      <c r="AP1474">
        <f>IFERROR(INDEX(PP_Grid[#Data],$DE1474,39),0)</f>
        <v/>
      </c>
      <c r="AQ1474">
        <f>IFERROR(INDEX(PP_Grid[#Data],$DE1474,40),0)</f>
        <v/>
      </c>
      <c r="AR1474">
        <f>IFERROR(INDEX(PP_Grid[#Data],$DE1474,41),0)</f>
        <v/>
      </c>
      <c r="AS1474">
        <f>IFERROR(INDEX(PP_Grid[#Data],$DE1474,42),0)</f>
        <v/>
      </c>
      <c r="AT1474">
        <f>IFERROR(INDEX(PP_Grid[#Data],$DE1474,43),0)</f>
        <v/>
      </c>
      <c r="AU1474">
        <f>IFERROR(INDEX(PP_Grid[#Data],$DE1474,44),0)</f>
        <v/>
      </c>
      <c r="AV1474">
        <f>IFERROR(INDEX(PP_Grid[#Data],$DE1474,45),0)</f>
        <v/>
      </c>
      <c r="AW1474">
        <f>IFERROR(INDEX(PP_Grid[#Data],$DE1474,46),0)</f>
        <v/>
      </c>
      <c r="AX1474">
        <f>IFERROR(INDEX(PP_Grid[#Data],$DE1474,47),0)</f>
        <v/>
      </c>
      <c r="AY1474">
        <f>IFERROR(INDEX(PP_Grid[#Data],$DE1474,48),0)</f>
        <v/>
      </c>
      <c r="AZ1474">
        <f>IFERROR(INDEX(PP_Grid[#Data],$DE1474,49),0)</f>
        <v/>
      </c>
      <c r="BA1474">
        <f>IFERROR(INDEX(PP_Grid[#Data],$DE1474,50),0)</f>
        <v/>
      </c>
      <c r="BB1474">
        <f>IFERROR(INDEX(PP_Grid[#Data],$DE1474,51),0)</f>
        <v/>
      </c>
      <c r="BC1474">
        <f>IFERROR(INDEX(PP_Grid[#Data],$DE1474,52),0)</f>
        <v/>
      </c>
      <c r="BD1474">
        <f>IFERROR(INDEX(PP_Grid[#Data],$DE1474,53),0)</f>
        <v/>
      </c>
      <c r="BE1474">
        <f>IFERROR(INDEX(PP_Grid[#Data],$DE1474,54),0)</f>
        <v/>
      </c>
      <c r="BF1474">
        <f>IFERROR(INDEX(PP_Grid[#Data],$DE1474,55),0)</f>
        <v/>
      </c>
      <c r="BG1474">
        <f>IFERROR(INDEX(PP_Grid[#Data],$DE1474,56),0)</f>
        <v/>
      </c>
      <c r="BH1474">
        <f>IFERROR(INDEX(PP_Grid[#Data],$DE1474,57),0)</f>
        <v/>
      </c>
      <c r="BI1474">
        <f>IFERROR(INDEX(PP_Grid[#Data],$DE1474,58),0)</f>
        <v/>
      </c>
      <c r="BJ1474">
        <f>IFERROR(INDEX(PP_Grid[#Data],$DE1474,59),0)</f>
        <v/>
      </c>
      <c r="BK1474">
        <f>IFERROR(INDEX(PP_Grid[#Data],$DE1474,60),0)</f>
        <v/>
      </c>
      <c r="BL1474">
        <f>IFERROR(INDEX(PP_Grid[#Data],$DE1474,61),0)</f>
        <v/>
      </c>
      <c r="BM1474">
        <f>IFERROR(INDEX(PP_Grid[#Data],$DE1474,62),0)</f>
        <v/>
      </c>
      <c r="BN1474">
        <f>IFERROR(INDEX(PP_Grid[#Data],$DE1474,63),0)</f>
        <v/>
      </c>
      <c r="BO1474">
        <f>IFERROR(INDEX(PP_Grid[#Data],$DE1474,64),0)</f>
        <v/>
      </c>
      <c r="BP1474">
        <f>IFERROR(INDEX(PP_Grid[#Data],$DE1474,65),0)</f>
        <v/>
      </c>
      <c r="BQ1474">
        <f>IFERROR(INDEX(PP_Grid[#Data],$DE1474,66),0)</f>
        <v/>
      </c>
      <c r="BR1474">
        <f>IFERROR(INDEX(PP_Grid[#Data],$DE1474,67),0)</f>
        <v/>
      </c>
      <c r="BS1474">
        <f>IFERROR(INDEX(PP_Grid[#Data],$DE1474,68),0)</f>
        <v/>
      </c>
      <c r="BT1474">
        <f>IFERROR(INDEX(PP_Grid[#Data],$DE1474,69),0)</f>
        <v/>
      </c>
      <c r="BU1474">
        <f>IFERROR(INDEX(PP_Grid[#Data],$DE1474,70),0)</f>
        <v/>
      </c>
      <c r="BV1474">
        <f>IFERROR(INDEX(PP_Grid[#Data],$DE1474,71),0)</f>
        <v/>
      </c>
      <c r="BW1474">
        <f>IFERROR(INDEX(PP_Grid[#Data],$DE1474,72),0)</f>
        <v/>
      </c>
      <c r="BX1474">
        <f>IFERROR(INDEX(PP_Grid[#Data],$DE1474,73),0)</f>
        <v/>
      </c>
      <c r="BY1474">
        <f>IFERROR(INDEX(PP_Grid[#Data],$DE1474,74),0)</f>
        <v/>
      </c>
      <c r="BZ1474">
        <f>IFERROR(INDEX(PP_Grid[#Data],$DE1474,75),0)</f>
        <v/>
      </c>
      <c r="CA1474">
        <f>IFERROR(INDEX(PP_Grid[#Data],$DE1474,76),0)</f>
        <v/>
      </c>
      <c r="CB1474">
        <f>IFERROR(INDEX(PP_Grid[#Data],$DE1474,77),0)</f>
        <v/>
      </c>
      <c r="CC1474">
        <f>IFERROR(INDEX(PP_Grid[#Data],$DE1474,78),0)</f>
        <v/>
      </c>
      <c r="CD1474">
        <f>IFERROR(INDEX(PP_Grid[#Data],$DE1474,79),0)</f>
        <v/>
      </c>
      <c r="CE1474">
        <f>IFERROR(INDEX(PP_Grid[#Data],$DE1474,80),0)</f>
        <v/>
      </c>
      <c r="CF1474">
        <f>IFERROR(INDEX(PP_Grid[#Data],$DE1474,81),0)</f>
        <v/>
      </c>
      <c r="CG1474">
        <f>IFERROR(INDEX(PP_Grid[#Data],$DE1474,82),0)</f>
        <v/>
      </c>
      <c r="CH1474">
        <f>IFERROR(INDEX(PP_Grid[#Data],$DE1474,83),0)</f>
        <v/>
      </c>
      <c r="CI1474">
        <f>IFERROR(INDEX(PP_Grid[#Data],$DE1474,84),0)</f>
        <v/>
      </c>
      <c r="CJ1474">
        <f>IFERROR(INDEX(PP_Grid[#Data],$DE1474,85),0)</f>
        <v/>
      </c>
      <c r="CK1474">
        <f>IFERROR(INDEX(PP_Grid[#Data],$DE1474,86),0)</f>
        <v/>
      </c>
      <c r="CL1474">
        <f>IFERROR(INDEX(PP_Grid[#Data],$DE1474,87),0)</f>
        <v/>
      </c>
      <c r="CM1474">
        <f>IFERROR(INDEX(PP_Grid[#Data],$DE1474,88),0)</f>
        <v/>
      </c>
      <c r="CN1474">
        <f>IFERROR(INDEX(PP_Grid[#Data],$DE1474,89),0)</f>
        <v/>
      </c>
      <c r="CO1474">
        <f>IFERROR(INDEX(PP_Grid[#Data],$DE1474,90),0)</f>
        <v/>
      </c>
      <c r="CP1474">
        <f>IFERROR(INDEX(PP_Grid[#Data],$DE1474,91),0)</f>
        <v/>
      </c>
      <c r="CQ1474">
        <f>IFERROR(INDEX(PP_Grid[#Data],$DE1474,92),0)</f>
        <v/>
      </c>
      <c r="CR1474">
        <f>IFERROR(INDEX(PP_Grid[#Data],$DE1474,93),0)</f>
        <v/>
      </c>
      <c r="CS1474">
        <f>IFERROR(INDEX(PP_Grid[#Data],$DE1474,94),0)</f>
        <v/>
      </c>
      <c r="CT1474">
        <f>IFERROR(INDEX(PP_Grid[#Data],$DE1474,95),0)</f>
        <v/>
      </c>
      <c r="CU1474">
        <f>IFERROR(INDEX(PP_Grid[#Data],$DE1474,96),0)</f>
        <v/>
      </c>
      <c r="CV1474">
        <f>IFERROR(INDEX(PP_Grid[#Data],$DE1474,97),0)</f>
        <v/>
      </c>
      <c r="CW1474">
        <f>IFERROR(INDEX(PP_Grid[#Data],$DE1474,98),0)</f>
        <v/>
      </c>
      <c r="CX1474">
        <f>IFERROR(INDEX(PP_Grid[#Data],$DE1474,99),0)</f>
        <v/>
      </c>
      <c r="CY1474">
        <f>IFERROR(INDEX(PP_Grid[#Data],$DE1474,100),0)</f>
        <v/>
      </c>
      <c r="CZ1474">
        <f>IFERROR(INDEX(PP_Grid[#Data],$DE1474,101),0)</f>
        <v/>
      </c>
      <c r="DA1474">
        <f>IFERROR(INDEX(PP_Grid[#Data],$DE1474,102),0)</f>
        <v/>
      </c>
      <c r="DB1474">
        <f>IFERROR(INDEX(PP_Grid[#Data],$DE1474,103),0)</f>
        <v/>
      </c>
      <c r="DC1474">
        <f>IFERROR(INDEX(PP_Grid[#Data],$DE1474,104),0)</f>
        <v/>
      </c>
      <c r="DD1474">
        <f>IFERROR(INDEX(PP_Grid[#Data],$DE1474,105),0)</f>
        <v/>
      </c>
      <c r="DE1474" s="7">
        <f>IFERROR(MATCH($B1474,PP_Grid[Intermediate],0),99999)</f>
        <v/>
      </c>
    </row>
    <row r="1475">
      <c r="B1475" t="inlineStr">
        <is>
          <t>使用量(kg)</t>
        </is>
      </c>
      <c r="C1475">
        <f>SUMIFS(M_BOM[RM_Qty_Per_Batch],M_BOM[Intermediate],$B1474,M_BOM[RM_Code],$A1463)</f>
        <v/>
      </c>
      <c r="D1475">
        <f>IFERROR(INDEX(E1475:DD1475,$F$1),"")</f>
        <v/>
      </c>
      <c r="E1475">
        <f>$C1475*E1474</f>
        <v/>
      </c>
      <c r="F1475">
        <f>$C1475*F1474</f>
        <v/>
      </c>
      <c r="G1475">
        <f>$C1475*G1474</f>
        <v/>
      </c>
      <c r="H1475">
        <f>$C1475*H1474</f>
        <v/>
      </c>
      <c r="I1475">
        <f>$C1475*I1474</f>
        <v/>
      </c>
      <c r="J1475">
        <f>$C1475*J1474</f>
        <v/>
      </c>
      <c r="K1475">
        <f>$C1475*K1474</f>
        <v/>
      </c>
      <c r="L1475">
        <f>$C1475*L1474</f>
        <v/>
      </c>
      <c r="M1475">
        <f>$C1475*M1474</f>
        <v/>
      </c>
      <c r="N1475">
        <f>$C1475*N1474</f>
        <v/>
      </c>
      <c r="O1475">
        <f>$C1475*O1474</f>
        <v/>
      </c>
      <c r="P1475">
        <f>$C1475*P1474</f>
        <v/>
      </c>
      <c r="Q1475">
        <f>$C1475*Q1474</f>
        <v/>
      </c>
      <c r="R1475">
        <f>$C1475*R1474</f>
        <v/>
      </c>
      <c r="S1475">
        <f>$C1475*S1474</f>
        <v/>
      </c>
      <c r="T1475">
        <f>$C1475*T1474</f>
        <v/>
      </c>
      <c r="U1475">
        <f>$C1475*U1474</f>
        <v/>
      </c>
      <c r="V1475">
        <f>$C1475*V1474</f>
        <v/>
      </c>
      <c r="W1475">
        <f>$C1475*W1474</f>
        <v/>
      </c>
      <c r="X1475">
        <f>$C1475*X1474</f>
        <v/>
      </c>
      <c r="Y1475">
        <f>$C1475*Y1474</f>
        <v/>
      </c>
      <c r="Z1475">
        <f>$C1475*Z1474</f>
        <v/>
      </c>
      <c r="AA1475">
        <f>$C1475*AA1474</f>
        <v/>
      </c>
      <c r="AB1475">
        <f>$C1475*AB1474</f>
        <v/>
      </c>
      <c r="AC1475">
        <f>$C1475*AC1474</f>
        <v/>
      </c>
      <c r="AD1475">
        <f>$C1475*AD1474</f>
        <v/>
      </c>
      <c r="AE1475">
        <f>$C1475*AE1474</f>
        <v/>
      </c>
      <c r="AF1475">
        <f>$C1475*AF1474</f>
        <v/>
      </c>
      <c r="AG1475">
        <f>$C1475*AG1474</f>
        <v/>
      </c>
      <c r="AH1475">
        <f>$C1475*AH1474</f>
        <v/>
      </c>
      <c r="AI1475">
        <f>$C1475*AI1474</f>
        <v/>
      </c>
      <c r="AJ1475">
        <f>$C1475*AJ1474</f>
        <v/>
      </c>
      <c r="AK1475">
        <f>$C1475*AK1474</f>
        <v/>
      </c>
      <c r="AL1475">
        <f>$C1475*AL1474</f>
        <v/>
      </c>
      <c r="AM1475">
        <f>$C1475*AM1474</f>
        <v/>
      </c>
      <c r="AN1475">
        <f>$C1475*AN1474</f>
        <v/>
      </c>
      <c r="AO1475">
        <f>$C1475*AO1474</f>
        <v/>
      </c>
      <c r="AP1475">
        <f>$C1475*AP1474</f>
        <v/>
      </c>
      <c r="AQ1475">
        <f>$C1475*AQ1474</f>
        <v/>
      </c>
      <c r="AR1475">
        <f>$C1475*AR1474</f>
        <v/>
      </c>
      <c r="AS1475">
        <f>$C1475*AS1474</f>
        <v/>
      </c>
      <c r="AT1475">
        <f>$C1475*AT1474</f>
        <v/>
      </c>
      <c r="AU1475">
        <f>$C1475*AU1474</f>
        <v/>
      </c>
      <c r="AV1475">
        <f>$C1475*AV1474</f>
        <v/>
      </c>
      <c r="AW1475">
        <f>$C1475*AW1474</f>
        <v/>
      </c>
      <c r="AX1475">
        <f>$C1475*AX1474</f>
        <v/>
      </c>
      <c r="AY1475">
        <f>$C1475*AY1474</f>
        <v/>
      </c>
      <c r="AZ1475">
        <f>$C1475*AZ1474</f>
        <v/>
      </c>
      <c r="BA1475">
        <f>$C1475*BA1474</f>
        <v/>
      </c>
      <c r="BB1475">
        <f>$C1475*BB1474</f>
        <v/>
      </c>
      <c r="BC1475">
        <f>$C1475*BC1474</f>
        <v/>
      </c>
      <c r="BD1475">
        <f>$C1475*BD1474</f>
        <v/>
      </c>
      <c r="BE1475">
        <f>$C1475*BE1474</f>
        <v/>
      </c>
      <c r="BF1475">
        <f>$C1475*BF1474</f>
        <v/>
      </c>
      <c r="BG1475">
        <f>$C1475*BG1474</f>
        <v/>
      </c>
      <c r="BH1475">
        <f>$C1475*BH1474</f>
        <v/>
      </c>
      <c r="BI1475">
        <f>$C1475*BI1474</f>
        <v/>
      </c>
      <c r="BJ1475">
        <f>$C1475*BJ1474</f>
        <v/>
      </c>
      <c r="BK1475">
        <f>$C1475*BK1474</f>
        <v/>
      </c>
      <c r="BL1475">
        <f>$C1475*BL1474</f>
        <v/>
      </c>
      <c r="BM1475">
        <f>$C1475*BM1474</f>
        <v/>
      </c>
      <c r="BN1475">
        <f>$C1475*BN1474</f>
        <v/>
      </c>
      <c r="BO1475">
        <f>$C1475*BO1474</f>
        <v/>
      </c>
      <c r="BP1475">
        <f>$C1475*BP1474</f>
        <v/>
      </c>
      <c r="BQ1475">
        <f>$C1475*BQ1474</f>
        <v/>
      </c>
      <c r="BR1475">
        <f>$C1475*BR1474</f>
        <v/>
      </c>
      <c r="BS1475">
        <f>$C1475*BS1474</f>
        <v/>
      </c>
      <c r="BT1475">
        <f>$C1475*BT1474</f>
        <v/>
      </c>
      <c r="BU1475">
        <f>$C1475*BU1474</f>
        <v/>
      </c>
      <c r="BV1475">
        <f>$C1475*BV1474</f>
        <v/>
      </c>
      <c r="BW1475">
        <f>$C1475*BW1474</f>
        <v/>
      </c>
      <c r="BX1475">
        <f>$C1475*BX1474</f>
        <v/>
      </c>
      <c r="BY1475">
        <f>$C1475*BY1474</f>
        <v/>
      </c>
      <c r="BZ1475">
        <f>$C1475*BZ1474</f>
        <v/>
      </c>
      <c r="CA1475">
        <f>$C1475*CA1474</f>
        <v/>
      </c>
      <c r="CB1475">
        <f>$C1475*CB1474</f>
        <v/>
      </c>
      <c r="CC1475">
        <f>$C1475*CC1474</f>
        <v/>
      </c>
      <c r="CD1475">
        <f>$C1475*CD1474</f>
        <v/>
      </c>
      <c r="CE1475">
        <f>$C1475*CE1474</f>
        <v/>
      </c>
      <c r="CF1475">
        <f>$C1475*CF1474</f>
        <v/>
      </c>
      <c r="CG1475">
        <f>$C1475*CG1474</f>
        <v/>
      </c>
      <c r="CH1475">
        <f>$C1475*CH1474</f>
        <v/>
      </c>
      <c r="CI1475">
        <f>$C1475*CI1474</f>
        <v/>
      </c>
      <c r="CJ1475">
        <f>$C1475*CJ1474</f>
        <v/>
      </c>
      <c r="CK1475">
        <f>$C1475*CK1474</f>
        <v/>
      </c>
      <c r="CL1475">
        <f>$C1475*CL1474</f>
        <v/>
      </c>
      <c r="CM1475">
        <f>$C1475*CM1474</f>
        <v/>
      </c>
      <c r="CN1475">
        <f>$C1475*CN1474</f>
        <v/>
      </c>
      <c r="CO1475">
        <f>$C1475*CO1474</f>
        <v/>
      </c>
      <c r="CP1475">
        <f>$C1475*CP1474</f>
        <v/>
      </c>
      <c r="CQ1475">
        <f>$C1475*CQ1474</f>
        <v/>
      </c>
      <c r="CR1475">
        <f>$C1475*CR1474</f>
        <v/>
      </c>
      <c r="CS1475">
        <f>$C1475*CS1474</f>
        <v/>
      </c>
      <c r="CT1475">
        <f>$C1475*CT1474</f>
        <v/>
      </c>
      <c r="CU1475">
        <f>$C1475*CU1474</f>
        <v/>
      </c>
      <c r="CV1475">
        <f>$C1475*CV1474</f>
        <v/>
      </c>
      <c r="CW1475">
        <f>$C1475*CW1474</f>
        <v/>
      </c>
      <c r="CX1475">
        <f>$C1475*CX1474</f>
        <v/>
      </c>
      <c r="CY1475">
        <f>$C1475*CY1474</f>
        <v/>
      </c>
      <c r="CZ1475">
        <f>$C1475*CZ1474</f>
        <v/>
      </c>
      <c r="DA1475">
        <f>$C1475*DA1474</f>
        <v/>
      </c>
      <c r="DB1475">
        <f>$C1475*DB1474</f>
        <v/>
      </c>
      <c r="DC1475">
        <f>$C1475*DC1474</f>
        <v/>
      </c>
      <c r="DD1475">
        <f>$C1475*DD1474</f>
        <v/>
      </c>
    </row>
    <row r="1476">
      <c r="B1476" t="inlineStr">
        <is>
          <t>TPP-916</t>
        </is>
      </c>
      <c r="C1476" t="inlineStr">
        <is>
          <t>No. of batches</t>
        </is>
      </c>
      <c r="D1476">
        <f>IFERROR(INDEX(E1476:DD1476,$F$1),"")</f>
        <v/>
      </c>
      <c r="E1476">
        <f>IFERROR(INDEX(PP_Grid[#Data],$DE1476,2),0)</f>
        <v/>
      </c>
      <c r="F1476">
        <f>IFERROR(INDEX(PP_Grid[#Data],$DE1476,3),0)</f>
        <v/>
      </c>
      <c r="G1476">
        <f>IFERROR(INDEX(PP_Grid[#Data],$DE1476,4),0)</f>
        <v/>
      </c>
      <c r="H1476">
        <f>IFERROR(INDEX(PP_Grid[#Data],$DE1476,5),0)</f>
        <v/>
      </c>
      <c r="I1476">
        <f>IFERROR(INDEX(PP_Grid[#Data],$DE1476,6),0)</f>
        <v/>
      </c>
      <c r="J1476">
        <f>IFERROR(INDEX(PP_Grid[#Data],$DE1476,7),0)</f>
        <v/>
      </c>
      <c r="K1476">
        <f>IFERROR(INDEX(PP_Grid[#Data],$DE1476,8),0)</f>
        <v/>
      </c>
      <c r="L1476">
        <f>IFERROR(INDEX(PP_Grid[#Data],$DE1476,9),0)</f>
        <v/>
      </c>
      <c r="M1476">
        <f>IFERROR(INDEX(PP_Grid[#Data],$DE1476,10),0)</f>
        <v/>
      </c>
      <c r="N1476">
        <f>IFERROR(INDEX(PP_Grid[#Data],$DE1476,11),0)</f>
        <v/>
      </c>
      <c r="O1476">
        <f>IFERROR(INDEX(PP_Grid[#Data],$DE1476,12),0)</f>
        <v/>
      </c>
      <c r="P1476">
        <f>IFERROR(INDEX(PP_Grid[#Data],$DE1476,13),0)</f>
        <v/>
      </c>
      <c r="Q1476">
        <f>IFERROR(INDEX(PP_Grid[#Data],$DE1476,14),0)</f>
        <v/>
      </c>
      <c r="R1476">
        <f>IFERROR(INDEX(PP_Grid[#Data],$DE1476,15),0)</f>
        <v/>
      </c>
      <c r="S1476">
        <f>IFERROR(INDEX(PP_Grid[#Data],$DE1476,16),0)</f>
        <v/>
      </c>
      <c r="T1476">
        <f>IFERROR(INDEX(PP_Grid[#Data],$DE1476,17),0)</f>
        <v/>
      </c>
      <c r="U1476">
        <f>IFERROR(INDEX(PP_Grid[#Data],$DE1476,18),0)</f>
        <v/>
      </c>
      <c r="V1476">
        <f>IFERROR(INDEX(PP_Grid[#Data],$DE1476,19),0)</f>
        <v/>
      </c>
      <c r="W1476">
        <f>IFERROR(INDEX(PP_Grid[#Data],$DE1476,20),0)</f>
        <v/>
      </c>
      <c r="X1476">
        <f>IFERROR(INDEX(PP_Grid[#Data],$DE1476,21),0)</f>
        <v/>
      </c>
      <c r="Y1476">
        <f>IFERROR(INDEX(PP_Grid[#Data],$DE1476,22),0)</f>
        <v/>
      </c>
      <c r="Z1476">
        <f>IFERROR(INDEX(PP_Grid[#Data],$DE1476,23),0)</f>
        <v/>
      </c>
      <c r="AA1476">
        <f>IFERROR(INDEX(PP_Grid[#Data],$DE1476,24),0)</f>
        <v/>
      </c>
      <c r="AB1476">
        <f>IFERROR(INDEX(PP_Grid[#Data],$DE1476,25),0)</f>
        <v/>
      </c>
      <c r="AC1476">
        <f>IFERROR(INDEX(PP_Grid[#Data],$DE1476,26),0)</f>
        <v/>
      </c>
      <c r="AD1476">
        <f>IFERROR(INDEX(PP_Grid[#Data],$DE1476,27),0)</f>
        <v/>
      </c>
      <c r="AE1476">
        <f>IFERROR(INDEX(PP_Grid[#Data],$DE1476,28),0)</f>
        <v/>
      </c>
      <c r="AF1476">
        <f>IFERROR(INDEX(PP_Grid[#Data],$DE1476,29),0)</f>
        <v/>
      </c>
      <c r="AG1476">
        <f>IFERROR(INDEX(PP_Grid[#Data],$DE1476,30),0)</f>
        <v/>
      </c>
      <c r="AH1476">
        <f>IFERROR(INDEX(PP_Grid[#Data],$DE1476,31),0)</f>
        <v/>
      </c>
      <c r="AI1476">
        <f>IFERROR(INDEX(PP_Grid[#Data],$DE1476,32),0)</f>
        <v/>
      </c>
      <c r="AJ1476">
        <f>IFERROR(INDEX(PP_Grid[#Data],$DE1476,33),0)</f>
        <v/>
      </c>
      <c r="AK1476">
        <f>IFERROR(INDEX(PP_Grid[#Data],$DE1476,34),0)</f>
        <v/>
      </c>
      <c r="AL1476">
        <f>IFERROR(INDEX(PP_Grid[#Data],$DE1476,35),0)</f>
        <v/>
      </c>
      <c r="AM1476">
        <f>IFERROR(INDEX(PP_Grid[#Data],$DE1476,36),0)</f>
        <v/>
      </c>
      <c r="AN1476">
        <f>IFERROR(INDEX(PP_Grid[#Data],$DE1476,37),0)</f>
        <v/>
      </c>
      <c r="AO1476">
        <f>IFERROR(INDEX(PP_Grid[#Data],$DE1476,38),0)</f>
        <v/>
      </c>
      <c r="AP1476">
        <f>IFERROR(INDEX(PP_Grid[#Data],$DE1476,39),0)</f>
        <v/>
      </c>
      <c r="AQ1476">
        <f>IFERROR(INDEX(PP_Grid[#Data],$DE1476,40),0)</f>
        <v/>
      </c>
      <c r="AR1476">
        <f>IFERROR(INDEX(PP_Grid[#Data],$DE1476,41),0)</f>
        <v/>
      </c>
      <c r="AS1476">
        <f>IFERROR(INDEX(PP_Grid[#Data],$DE1476,42),0)</f>
        <v/>
      </c>
      <c r="AT1476">
        <f>IFERROR(INDEX(PP_Grid[#Data],$DE1476,43),0)</f>
        <v/>
      </c>
      <c r="AU1476">
        <f>IFERROR(INDEX(PP_Grid[#Data],$DE1476,44),0)</f>
        <v/>
      </c>
      <c r="AV1476">
        <f>IFERROR(INDEX(PP_Grid[#Data],$DE1476,45),0)</f>
        <v/>
      </c>
      <c r="AW1476">
        <f>IFERROR(INDEX(PP_Grid[#Data],$DE1476,46),0)</f>
        <v/>
      </c>
      <c r="AX1476">
        <f>IFERROR(INDEX(PP_Grid[#Data],$DE1476,47),0)</f>
        <v/>
      </c>
      <c r="AY1476">
        <f>IFERROR(INDEX(PP_Grid[#Data],$DE1476,48),0)</f>
        <v/>
      </c>
      <c r="AZ1476">
        <f>IFERROR(INDEX(PP_Grid[#Data],$DE1476,49),0)</f>
        <v/>
      </c>
      <c r="BA1476">
        <f>IFERROR(INDEX(PP_Grid[#Data],$DE1476,50),0)</f>
        <v/>
      </c>
      <c r="BB1476">
        <f>IFERROR(INDEX(PP_Grid[#Data],$DE1476,51),0)</f>
        <v/>
      </c>
      <c r="BC1476">
        <f>IFERROR(INDEX(PP_Grid[#Data],$DE1476,52),0)</f>
        <v/>
      </c>
      <c r="BD1476">
        <f>IFERROR(INDEX(PP_Grid[#Data],$DE1476,53),0)</f>
        <v/>
      </c>
      <c r="BE1476">
        <f>IFERROR(INDEX(PP_Grid[#Data],$DE1476,54),0)</f>
        <v/>
      </c>
      <c r="BF1476">
        <f>IFERROR(INDEX(PP_Grid[#Data],$DE1476,55),0)</f>
        <v/>
      </c>
      <c r="BG1476">
        <f>IFERROR(INDEX(PP_Grid[#Data],$DE1476,56),0)</f>
        <v/>
      </c>
      <c r="BH1476">
        <f>IFERROR(INDEX(PP_Grid[#Data],$DE1476,57),0)</f>
        <v/>
      </c>
      <c r="BI1476">
        <f>IFERROR(INDEX(PP_Grid[#Data],$DE1476,58),0)</f>
        <v/>
      </c>
      <c r="BJ1476">
        <f>IFERROR(INDEX(PP_Grid[#Data],$DE1476,59),0)</f>
        <v/>
      </c>
      <c r="BK1476">
        <f>IFERROR(INDEX(PP_Grid[#Data],$DE1476,60),0)</f>
        <v/>
      </c>
      <c r="BL1476">
        <f>IFERROR(INDEX(PP_Grid[#Data],$DE1476,61),0)</f>
        <v/>
      </c>
      <c r="BM1476">
        <f>IFERROR(INDEX(PP_Grid[#Data],$DE1476,62),0)</f>
        <v/>
      </c>
      <c r="BN1476">
        <f>IFERROR(INDEX(PP_Grid[#Data],$DE1476,63),0)</f>
        <v/>
      </c>
      <c r="BO1476">
        <f>IFERROR(INDEX(PP_Grid[#Data],$DE1476,64),0)</f>
        <v/>
      </c>
      <c r="BP1476">
        <f>IFERROR(INDEX(PP_Grid[#Data],$DE1476,65),0)</f>
        <v/>
      </c>
      <c r="BQ1476">
        <f>IFERROR(INDEX(PP_Grid[#Data],$DE1476,66),0)</f>
        <v/>
      </c>
      <c r="BR1476">
        <f>IFERROR(INDEX(PP_Grid[#Data],$DE1476,67),0)</f>
        <v/>
      </c>
      <c r="BS1476">
        <f>IFERROR(INDEX(PP_Grid[#Data],$DE1476,68),0)</f>
        <v/>
      </c>
      <c r="BT1476">
        <f>IFERROR(INDEX(PP_Grid[#Data],$DE1476,69),0)</f>
        <v/>
      </c>
      <c r="BU1476">
        <f>IFERROR(INDEX(PP_Grid[#Data],$DE1476,70),0)</f>
        <v/>
      </c>
      <c r="BV1476">
        <f>IFERROR(INDEX(PP_Grid[#Data],$DE1476,71),0)</f>
        <v/>
      </c>
      <c r="BW1476">
        <f>IFERROR(INDEX(PP_Grid[#Data],$DE1476,72),0)</f>
        <v/>
      </c>
      <c r="BX1476">
        <f>IFERROR(INDEX(PP_Grid[#Data],$DE1476,73),0)</f>
        <v/>
      </c>
      <c r="BY1476">
        <f>IFERROR(INDEX(PP_Grid[#Data],$DE1476,74),0)</f>
        <v/>
      </c>
      <c r="BZ1476">
        <f>IFERROR(INDEX(PP_Grid[#Data],$DE1476,75),0)</f>
        <v/>
      </c>
      <c r="CA1476">
        <f>IFERROR(INDEX(PP_Grid[#Data],$DE1476,76),0)</f>
        <v/>
      </c>
      <c r="CB1476">
        <f>IFERROR(INDEX(PP_Grid[#Data],$DE1476,77),0)</f>
        <v/>
      </c>
      <c r="CC1476">
        <f>IFERROR(INDEX(PP_Grid[#Data],$DE1476,78),0)</f>
        <v/>
      </c>
      <c r="CD1476">
        <f>IFERROR(INDEX(PP_Grid[#Data],$DE1476,79),0)</f>
        <v/>
      </c>
      <c r="CE1476">
        <f>IFERROR(INDEX(PP_Grid[#Data],$DE1476,80),0)</f>
        <v/>
      </c>
      <c r="CF1476">
        <f>IFERROR(INDEX(PP_Grid[#Data],$DE1476,81),0)</f>
        <v/>
      </c>
      <c r="CG1476">
        <f>IFERROR(INDEX(PP_Grid[#Data],$DE1476,82),0)</f>
        <v/>
      </c>
      <c r="CH1476">
        <f>IFERROR(INDEX(PP_Grid[#Data],$DE1476,83),0)</f>
        <v/>
      </c>
      <c r="CI1476">
        <f>IFERROR(INDEX(PP_Grid[#Data],$DE1476,84),0)</f>
        <v/>
      </c>
      <c r="CJ1476">
        <f>IFERROR(INDEX(PP_Grid[#Data],$DE1476,85),0)</f>
        <v/>
      </c>
      <c r="CK1476">
        <f>IFERROR(INDEX(PP_Grid[#Data],$DE1476,86),0)</f>
        <v/>
      </c>
      <c r="CL1476">
        <f>IFERROR(INDEX(PP_Grid[#Data],$DE1476,87),0)</f>
        <v/>
      </c>
      <c r="CM1476">
        <f>IFERROR(INDEX(PP_Grid[#Data],$DE1476,88),0)</f>
        <v/>
      </c>
      <c r="CN1476">
        <f>IFERROR(INDEX(PP_Grid[#Data],$DE1476,89),0)</f>
        <v/>
      </c>
      <c r="CO1476">
        <f>IFERROR(INDEX(PP_Grid[#Data],$DE1476,90),0)</f>
        <v/>
      </c>
      <c r="CP1476">
        <f>IFERROR(INDEX(PP_Grid[#Data],$DE1476,91),0)</f>
        <v/>
      </c>
      <c r="CQ1476">
        <f>IFERROR(INDEX(PP_Grid[#Data],$DE1476,92),0)</f>
        <v/>
      </c>
      <c r="CR1476">
        <f>IFERROR(INDEX(PP_Grid[#Data],$DE1476,93),0)</f>
        <v/>
      </c>
      <c r="CS1476">
        <f>IFERROR(INDEX(PP_Grid[#Data],$DE1476,94),0)</f>
        <v/>
      </c>
      <c r="CT1476">
        <f>IFERROR(INDEX(PP_Grid[#Data],$DE1476,95),0)</f>
        <v/>
      </c>
      <c r="CU1476">
        <f>IFERROR(INDEX(PP_Grid[#Data],$DE1476,96),0)</f>
        <v/>
      </c>
      <c r="CV1476">
        <f>IFERROR(INDEX(PP_Grid[#Data],$DE1476,97),0)</f>
        <v/>
      </c>
      <c r="CW1476">
        <f>IFERROR(INDEX(PP_Grid[#Data],$DE1476,98),0)</f>
        <v/>
      </c>
      <c r="CX1476">
        <f>IFERROR(INDEX(PP_Grid[#Data],$DE1476,99),0)</f>
        <v/>
      </c>
      <c r="CY1476">
        <f>IFERROR(INDEX(PP_Grid[#Data],$DE1476,100),0)</f>
        <v/>
      </c>
      <c r="CZ1476">
        <f>IFERROR(INDEX(PP_Grid[#Data],$DE1476,101),0)</f>
        <v/>
      </c>
      <c r="DA1476">
        <f>IFERROR(INDEX(PP_Grid[#Data],$DE1476,102),0)</f>
        <v/>
      </c>
      <c r="DB1476">
        <f>IFERROR(INDEX(PP_Grid[#Data],$DE1476,103),0)</f>
        <v/>
      </c>
      <c r="DC1476">
        <f>IFERROR(INDEX(PP_Grid[#Data],$DE1476,104),0)</f>
        <v/>
      </c>
      <c r="DD1476">
        <f>IFERROR(INDEX(PP_Grid[#Data],$DE1476,105),0)</f>
        <v/>
      </c>
      <c r="DE1476" s="7">
        <f>IFERROR(MATCH($B1476,PP_Grid[Intermediate],0),99999)</f>
        <v/>
      </c>
    </row>
    <row r="1477">
      <c r="B1477" t="inlineStr">
        <is>
          <t>使用量(kg)</t>
        </is>
      </c>
      <c r="C1477">
        <f>SUMIFS(M_BOM[RM_Qty_Per_Batch],M_BOM[Intermediate],$B1476,M_BOM[RM_Code],$A1463)</f>
        <v/>
      </c>
      <c r="D1477">
        <f>IFERROR(INDEX(E1477:DD1477,$F$1),"")</f>
        <v/>
      </c>
      <c r="E1477">
        <f>$C1477*E1476</f>
        <v/>
      </c>
      <c r="F1477">
        <f>$C1477*F1476</f>
        <v/>
      </c>
      <c r="G1477">
        <f>$C1477*G1476</f>
        <v/>
      </c>
      <c r="H1477">
        <f>$C1477*H1476</f>
        <v/>
      </c>
      <c r="I1477">
        <f>$C1477*I1476</f>
        <v/>
      </c>
      <c r="J1477">
        <f>$C1477*J1476</f>
        <v/>
      </c>
      <c r="K1477">
        <f>$C1477*K1476</f>
        <v/>
      </c>
      <c r="L1477">
        <f>$C1477*L1476</f>
        <v/>
      </c>
      <c r="M1477">
        <f>$C1477*M1476</f>
        <v/>
      </c>
      <c r="N1477">
        <f>$C1477*N1476</f>
        <v/>
      </c>
      <c r="O1477">
        <f>$C1477*O1476</f>
        <v/>
      </c>
      <c r="P1477">
        <f>$C1477*P1476</f>
        <v/>
      </c>
      <c r="Q1477">
        <f>$C1477*Q1476</f>
        <v/>
      </c>
      <c r="R1477">
        <f>$C1477*R1476</f>
        <v/>
      </c>
      <c r="S1477">
        <f>$C1477*S1476</f>
        <v/>
      </c>
      <c r="T1477">
        <f>$C1477*T1476</f>
        <v/>
      </c>
      <c r="U1477">
        <f>$C1477*U1476</f>
        <v/>
      </c>
      <c r="V1477">
        <f>$C1477*V1476</f>
        <v/>
      </c>
      <c r="W1477">
        <f>$C1477*W1476</f>
        <v/>
      </c>
      <c r="X1477">
        <f>$C1477*X1476</f>
        <v/>
      </c>
      <c r="Y1477">
        <f>$C1477*Y1476</f>
        <v/>
      </c>
      <c r="Z1477">
        <f>$C1477*Z1476</f>
        <v/>
      </c>
      <c r="AA1477">
        <f>$C1477*AA1476</f>
        <v/>
      </c>
      <c r="AB1477">
        <f>$C1477*AB1476</f>
        <v/>
      </c>
      <c r="AC1477">
        <f>$C1477*AC1476</f>
        <v/>
      </c>
      <c r="AD1477">
        <f>$C1477*AD1476</f>
        <v/>
      </c>
      <c r="AE1477">
        <f>$C1477*AE1476</f>
        <v/>
      </c>
      <c r="AF1477">
        <f>$C1477*AF1476</f>
        <v/>
      </c>
      <c r="AG1477">
        <f>$C1477*AG1476</f>
        <v/>
      </c>
      <c r="AH1477">
        <f>$C1477*AH1476</f>
        <v/>
      </c>
      <c r="AI1477">
        <f>$C1477*AI1476</f>
        <v/>
      </c>
      <c r="AJ1477">
        <f>$C1477*AJ1476</f>
        <v/>
      </c>
      <c r="AK1477">
        <f>$C1477*AK1476</f>
        <v/>
      </c>
      <c r="AL1477">
        <f>$C1477*AL1476</f>
        <v/>
      </c>
      <c r="AM1477">
        <f>$C1477*AM1476</f>
        <v/>
      </c>
      <c r="AN1477">
        <f>$C1477*AN1476</f>
        <v/>
      </c>
      <c r="AO1477">
        <f>$C1477*AO1476</f>
        <v/>
      </c>
      <c r="AP1477">
        <f>$C1477*AP1476</f>
        <v/>
      </c>
      <c r="AQ1477">
        <f>$C1477*AQ1476</f>
        <v/>
      </c>
      <c r="AR1477">
        <f>$C1477*AR1476</f>
        <v/>
      </c>
      <c r="AS1477">
        <f>$C1477*AS1476</f>
        <v/>
      </c>
      <c r="AT1477">
        <f>$C1477*AT1476</f>
        <v/>
      </c>
      <c r="AU1477">
        <f>$C1477*AU1476</f>
        <v/>
      </c>
      <c r="AV1477">
        <f>$C1477*AV1476</f>
        <v/>
      </c>
      <c r="AW1477">
        <f>$C1477*AW1476</f>
        <v/>
      </c>
      <c r="AX1477">
        <f>$C1477*AX1476</f>
        <v/>
      </c>
      <c r="AY1477">
        <f>$C1477*AY1476</f>
        <v/>
      </c>
      <c r="AZ1477">
        <f>$C1477*AZ1476</f>
        <v/>
      </c>
      <c r="BA1477">
        <f>$C1477*BA1476</f>
        <v/>
      </c>
      <c r="BB1477">
        <f>$C1477*BB1476</f>
        <v/>
      </c>
      <c r="BC1477">
        <f>$C1477*BC1476</f>
        <v/>
      </c>
      <c r="BD1477">
        <f>$C1477*BD1476</f>
        <v/>
      </c>
      <c r="BE1477">
        <f>$C1477*BE1476</f>
        <v/>
      </c>
      <c r="BF1477">
        <f>$C1477*BF1476</f>
        <v/>
      </c>
      <c r="BG1477">
        <f>$C1477*BG1476</f>
        <v/>
      </c>
      <c r="BH1477">
        <f>$C1477*BH1476</f>
        <v/>
      </c>
      <c r="BI1477">
        <f>$C1477*BI1476</f>
        <v/>
      </c>
      <c r="BJ1477">
        <f>$C1477*BJ1476</f>
        <v/>
      </c>
      <c r="BK1477">
        <f>$C1477*BK1476</f>
        <v/>
      </c>
      <c r="BL1477">
        <f>$C1477*BL1476</f>
        <v/>
      </c>
      <c r="BM1477">
        <f>$C1477*BM1476</f>
        <v/>
      </c>
      <c r="BN1477">
        <f>$C1477*BN1476</f>
        <v/>
      </c>
      <c r="BO1477">
        <f>$C1477*BO1476</f>
        <v/>
      </c>
      <c r="BP1477">
        <f>$C1477*BP1476</f>
        <v/>
      </c>
      <c r="BQ1477">
        <f>$C1477*BQ1476</f>
        <v/>
      </c>
      <c r="BR1477">
        <f>$C1477*BR1476</f>
        <v/>
      </c>
      <c r="BS1477">
        <f>$C1477*BS1476</f>
        <v/>
      </c>
      <c r="BT1477">
        <f>$C1477*BT1476</f>
        <v/>
      </c>
      <c r="BU1477">
        <f>$C1477*BU1476</f>
        <v/>
      </c>
      <c r="BV1477">
        <f>$C1477*BV1476</f>
        <v/>
      </c>
      <c r="BW1477">
        <f>$C1477*BW1476</f>
        <v/>
      </c>
      <c r="BX1477">
        <f>$C1477*BX1476</f>
        <v/>
      </c>
      <c r="BY1477">
        <f>$C1477*BY1476</f>
        <v/>
      </c>
      <c r="BZ1477">
        <f>$C1477*BZ1476</f>
        <v/>
      </c>
      <c r="CA1477">
        <f>$C1477*CA1476</f>
        <v/>
      </c>
      <c r="CB1477">
        <f>$C1477*CB1476</f>
        <v/>
      </c>
      <c r="CC1477">
        <f>$C1477*CC1476</f>
        <v/>
      </c>
      <c r="CD1477">
        <f>$C1477*CD1476</f>
        <v/>
      </c>
      <c r="CE1477">
        <f>$C1477*CE1476</f>
        <v/>
      </c>
      <c r="CF1477">
        <f>$C1477*CF1476</f>
        <v/>
      </c>
      <c r="CG1477">
        <f>$C1477*CG1476</f>
        <v/>
      </c>
      <c r="CH1477">
        <f>$C1477*CH1476</f>
        <v/>
      </c>
      <c r="CI1477">
        <f>$C1477*CI1476</f>
        <v/>
      </c>
      <c r="CJ1477">
        <f>$C1477*CJ1476</f>
        <v/>
      </c>
      <c r="CK1477">
        <f>$C1477*CK1476</f>
        <v/>
      </c>
      <c r="CL1477">
        <f>$C1477*CL1476</f>
        <v/>
      </c>
      <c r="CM1477">
        <f>$C1477*CM1476</f>
        <v/>
      </c>
      <c r="CN1477">
        <f>$C1477*CN1476</f>
        <v/>
      </c>
      <c r="CO1477">
        <f>$C1477*CO1476</f>
        <v/>
      </c>
      <c r="CP1477">
        <f>$C1477*CP1476</f>
        <v/>
      </c>
      <c r="CQ1477">
        <f>$C1477*CQ1476</f>
        <v/>
      </c>
      <c r="CR1477">
        <f>$C1477*CR1476</f>
        <v/>
      </c>
      <c r="CS1477">
        <f>$C1477*CS1476</f>
        <v/>
      </c>
      <c r="CT1477">
        <f>$C1477*CT1476</f>
        <v/>
      </c>
      <c r="CU1477">
        <f>$C1477*CU1476</f>
        <v/>
      </c>
      <c r="CV1477">
        <f>$C1477*CV1476</f>
        <v/>
      </c>
      <c r="CW1477">
        <f>$C1477*CW1476</f>
        <v/>
      </c>
      <c r="CX1477">
        <f>$C1477*CX1476</f>
        <v/>
      </c>
      <c r="CY1477">
        <f>$C1477*CY1476</f>
        <v/>
      </c>
      <c r="CZ1477">
        <f>$C1477*CZ1476</f>
        <v/>
      </c>
      <c r="DA1477">
        <f>$C1477*DA1476</f>
        <v/>
      </c>
      <c r="DB1477">
        <f>$C1477*DB1476</f>
        <v/>
      </c>
      <c r="DC1477">
        <f>$C1477*DC1476</f>
        <v/>
      </c>
      <c r="DD1477">
        <f>$C1477*DD1476</f>
        <v/>
      </c>
    </row>
    <row r="1478">
      <c r="B1478" t="inlineStr">
        <is>
          <t>TPP-917</t>
        </is>
      </c>
      <c r="C1478" t="inlineStr">
        <is>
          <t>No. of batches</t>
        </is>
      </c>
      <c r="D1478">
        <f>IFERROR(INDEX(E1478:DD1478,$F$1),"")</f>
        <v/>
      </c>
      <c r="E1478">
        <f>IFERROR(INDEX(PP_Grid[#Data],$DE1478,2),0)</f>
        <v/>
      </c>
      <c r="F1478">
        <f>IFERROR(INDEX(PP_Grid[#Data],$DE1478,3),0)</f>
        <v/>
      </c>
      <c r="G1478">
        <f>IFERROR(INDEX(PP_Grid[#Data],$DE1478,4),0)</f>
        <v/>
      </c>
      <c r="H1478">
        <f>IFERROR(INDEX(PP_Grid[#Data],$DE1478,5),0)</f>
        <v/>
      </c>
      <c r="I1478">
        <f>IFERROR(INDEX(PP_Grid[#Data],$DE1478,6),0)</f>
        <v/>
      </c>
      <c r="J1478">
        <f>IFERROR(INDEX(PP_Grid[#Data],$DE1478,7),0)</f>
        <v/>
      </c>
      <c r="K1478">
        <f>IFERROR(INDEX(PP_Grid[#Data],$DE1478,8),0)</f>
        <v/>
      </c>
      <c r="L1478">
        <f>IFERROR(INDEX(PP_Grid[#Data],$DE1478,9),0)</f>
        <v/>
      </c>
      <c r="M1478">
        <f>IFERROR(INDEX(PP_Grid[#Data],$DE1478,10),0)</f>
        <v/>
      </c>
      <c r="N1478">
        <f>IFERROR(INDEX(PP_Grid[#Data],$DE1478,11),0)</f>
        <v/>
      </c>
      <c r="O1478">
        <f>IFERROR(INDEX(PP_Grid[#Data],$DE1478,12),0)</f>
        <v/>
      </c>
      <c r="P1478">
        <f>IFERROR(INDEX(PP_Grid[#Data],$DE1478,13),0)</f>
        <v/>
      </c>
      <c r="Q1478">
        <f>IFERROR(INDEX(PP_Grid[#Data],$DE1478,14),0)</f>
        <v/>
      </c>
      <c r="R1478">
        <f>IFERROR(INDEX(PP_Grid[#Data],$DE1478,15),0)</f>
        <v/>
      </c>
      <c r="S1478">
        <f>IFERROR(INDEX(PP_Grid[#Data],$DE1478,16),0)</f>
        <v/>
      </c>
      <c r="T1478">
        <f>IFERROR(INDEX(PP_Grid[#Data],$DE1478,17),0)</f>
        <v/>
      </c>
      <c r="U1478">
        <f>IFERROR(INDEX(PP_Grid[#Data],$DE1478,18),0)</f>
        <v/>
      </c>
      <c r="V1478">
        <f>IFERROR(INDEX(PP_Grid[#Data],$DE1478,19),0)</f>
        <v/>
      </c>
      <c r="W1478">
        <f>IFERROR(INDEX(PP_Grid[#Data],$DE1478,20),0)</f>
        <v/>
      </c>
      <c r="X1478">
        <f>IFERROR(INDEX(PP_Grid[#Data],$DE1478,21),0)</f>
        <v/>
      </c>
      <c r="Y1478">
        <f>IFERROR(INDEX(PP_Grid[#Data],$DE1478,22),0)</f>
        <v/>
      </c>
      <c r="Z1478">
        <f>IFERROR(INDEX(PP_Grid[#Data],$DE1478,23),0)</f>
        <v/>
      </c>
      <c r="AA1478">
        <f>IFERROR(INDEX(PP_Grid[#Data],$DE1478,24),0)</f>
        <v/>
      </c>
      <c r="AB1478">
        <f>IFERROR(INDEX(PP_Grid[#Data],$DE1478,25),0)</f>
        <v/>
      </c>
      <c r="AC1478">
        <f>IFERROR(INDEX(PP_Grid[#Data],$DE1478,26),0)</f>
        <v/>
      </c>
      <c r="AD1478">
        <f>IFERROR(INDEX(PP_Grid[#Data],$DE1478,27),0)</f>
        <v/>
      </c>
      <c r="AE1478">
        <f>IFERROR(INDEX(PP_Grid[#Data],$DE1478,28),0)</f>
        <v/>
      </c>
      <c r="AF1478">
        <f>IFERROR(INDEX(PP_Grid[#Data],$DE1478,29),0)</f>
        <v/>
      </c>
      <c r="AG1478">
        <f>IFERROR(INDEX(PP_Grid[#Data],$DE1478,30),0)</f>
        <v/>
      </c>
      <c r="AH1478">
        <f>IFERROR(INDEX(PP_Grid[#Data],$DE1478,31),0)</f>
        <v/>
      </c>
      <c r="AI1478">
        <f>IFERROR(INDEX(PP_Grid[#Data],$DE1478,32),0)</f>
        <v/>
      </c>
      <c r="AJ1478">
        <f>IFERROR(INDEX(PP_Grid[#Data],$DE1478,33),0)</f>
        <v/>
      </c>
      <c r="AK1478">
        <f>IFERROR(INDEX(PP_Grid[#Data],$DE1478,34),0)</f>
        <v/>
      </c>
      <c r="AL1478">
        <f>IFERROR(INDEX(PP_Grid[#Data],$DE1478,35),0)</f>
        <v/>
      </c>
      <c r="AM1478">
        <f>IFERROR(INDEX(PP_Grid[#Data],$DE1478,36),0)</f>
        <v/>
      </c>
      <c r="AN1478">
        <f>IFERROR(INDEX(PP_Grid[#Data],$DE1478,37),0)</f>
        <v/>
      </c>
      <c r="AO1478">
        <f>IFERROR(INDEX(PP_Grid[#Data],$DE1478,38),0)</f>
        <v/>
      </c>
      <c r="AP1478">
        <f>IFERROR(INDEX(PP_Grid[#Data],$DE1478,39),0)</f>
        <v/>
      </c>
      <c r="AQ1478">
        <f>IFERROR(INDEX(PP_Grid[#Data],$DE1478,40),0)</f>
        <v/>
      </c>
      <c r="AR1478">
        <f>IFERROR(INDEX(PP_Grid[#Data],$DE1478,41),0)</f>
        <v/>
      </c>
      <c r="AS1478">
        <f>IFERROR(INDEX(PP_Grid[#Data],$DE1478,42),0)</f>
        <v/>
      </c>
      <c r="AT1478">
        <f>IFERROR(INDEX(PP_Grid[#Data],$DE1478,43),0)</f>
        <v/>
      </c>
      <c r="AU1478">
        <f>IFERROR(INDEX(PP_Grid[#Data],$DE1478,44),0)</f>
        <v/>
      </c>
      <c r="AV1478">
        <f>IFERROR(INDEX(PP_Grid[#Data],$DE1478,45),0)</f>
        <v/>
      </c>
      <c r="AW1478">
        <f>IFERROR(INDEX(PP_Grid[#Data],$DE1478,46),0)</f>
        <v/>
      </c>
      <c r="AX1478">
        <f>IFERROR(INDEX(PP_Grid[#Data],$DE1478,47),0)</f>
        <v/>
      </c>
      <c r="AY1478">
        <f>IFERROR(INDEX(PP_Grid[#Data],$DE1478,48),0)</f>
        <v/>
      </c>
      <c r="AZ1478">
        <f>IFERROR(INDEX(PP_Grid[#Data],$DE1478,49),0)</f>
        <v/>
      </c>
      <c r="BA1478">
        <f>IFERROR(INDEX(PP_Grid[#Data],$DE1478,50),0)</f>
        <v/>
      </c>
      <c r="BB1478">
        <f>IFERROR(INDEX(PP_Grid[#Data],$DE1478,51),0)</f>
        <v/>
      </c>
      <c r="BC1478">
        <f>IFERROR(INDEX(PP_Grid[#Data],$DE1478,52),0)</f>
        <v/>
      </c>
      <c r="BD1478">
        <f>IFERROR(INDEX(PP_Grid[#Data],$DE1478,53),0)</f>
        <v/>
      </c>
      <c r="BE1478">
        <f>IFERROR(INDEX(PP_Grid[#Data],$DE1478,54),0)</f>
        <v/>
      </c>
      <c r="BF1478">
        <f>IFERROR(INDEX(PP_Grid[#Data],$DE1478,55),0)</f>
        <v/>
      </c>
      <c r="BG1478">
        <f>IFERROR(INDEX(PP_Grid[#Data],$DE1478,56),0)</f>
        <v/>
      </c>
      <c r="BH1478">
        <f>IFERROR(INDEX(PP_Grid[#Data],$DE1478,57),0)</f>
        <v/>
      </c>
      <c r="BI1478">
        <f>IFERROR(INDEX(PP_Grid[#Data],$DE1478,58),0)</f>
        <v/>
      </c>
      <c r="BJ1478">
        <f>IFERROR(INDEX(PP_Grid[#Data],$DE1478,59),0)</f>
        <v/>
      </c>
      <c r="BK1478">
        <f>IFERROR(INDEX(PP_Grid[#Data],$DE1478,60),0)</f>
        <v/>
      </c>
      <c r="BL1478">
        <f>IFERROR(INDEX(PP_Grid[#Data],$DE1478,61),0)</f>
        <v/>
      </c>
      <c r="BM1478">
        <f>IFERROR(INDEX(PP_Grid[#Data],$DE1478,62),0)</f>
        <v/>
      </c>
      <c r="BN1478">
        <f>IFERROR(INDEX(PP_Grid[#Data],$DE1478,63),0)</f>
        <v/>
      </c>
      <c r="BO1478">
        <f>IFERROR(INDEX(PP_Grid[#Data],$DE1478,64),0)</f>
        <v/>
      </c>
      <c r="BP1478">
        <f>IFERROR(INDEX(PP_Grid[#Data],$DE1478,65),0)</f>
        <v/>
      </c>
      <c r="BQ1478">
        <f>IFERROR(INDEX(PP_Grid[#Data],$DE1478,66),0)</f>
        <v/>
      </c>
      <c r="BR1478">
        <f>IFERROR(INDEX(PP_Grid[#Data],$DE1478,67),0)</f>
        <v/>
      </c>
      <c r="BS1478">
        <f>IFERROR(INDEX(PP_Grid[#Data],$DE1478,68),0)</f>
        <v/>
      </c>
      <c r="BT1478">
        <f>IFERROR(INDEX(PP_Grid[#Data],$DE1478,69),0)</f>
        <v/>
      </c>
      <c r="BU1478">
        <f>IFERROR(INDEX(PP_Grid[#Data],$DE1478,70),0)</f>
        <v/>
      </c>
      <c r="BV1478">
        <f>IFERROR(INDEX(PP_Grid[#Data],$DE1478,71),0)</f>
        <v/>
      </c>
      <c r="BW1478">
        <f>IFERROR(INDEX(PP_Grid[#Data],$DE1478,72),0)</f>
        <v/>
      </c>
      <c r="BX1478">
        <f>IFERROR(INDEX(PP_Grid[#Data],$DE1478,73),0)</f>
        <v/>
      </c>
      <c r="BY1478">
        <f>IFERROR(INDEX(PP_Grid[#Data],$DE1478,74),0)</f>
        <v/>
      </c>
      <c r="BZ1478">
        <f>IFERROR(INDEX(PP_Grid[#Data],$DE1478,75),0)</f>
        <v/>
      </c>
      <c r="CA1478">
        <f>IFERROR(INDEX(PP_Grid[#Data],$DE1478,76),0)</f>
        <v/>
      </c>
      <c r="CB1478">
        <f>IFERROR(INDEX(PP_Grid[#Data],$DE1478,77),0)</f>
        <v/>
      </c>
      <c r="CC1478">
        <f>IFERROR(INDEX(PP_Grid[#Data],$DE1478,78),0)</f>
        <v/>
      </c>
      <c r="CD1478">
        <f>IFERROR(INDEX(PP_Grid[#Data],$DE1478,79),0)</f>
        <v/>
      </c>
      <c r="CE1478">
        <f>IFERROR(INDEX(PP_Grid[#Data],$DE1478,80),0)</f>
        <v/>
      </c>
      <c r="CF1478">
        <f>IFERROR(INDEX(PP_Grid[#Data],$DE1478,81),0)</f>
        <v/>
      </c>
      <c r="CG1478">
        <f>IFERROR(INDEX(PP_Grid[#Data],$DE1478,82),0)</f>
        <v/>
      </c>
      <c r="CH1478">
        <f>IFERROR(INDEX(PP_Grid[#Data],$DE1478,83),0)</f>
        <v/>
      </c>
      <c r="CI1478">
        <f>IFERROR(INDEX(PP_Grid[#Data],$DE1478,84),0)</f>
        <v/>
      </c>
      <c r="CJ1478">
        <f>IFERROR(INDEX(PP_Grid[#Data],$DE1478,85),0)</f>
        <v/>
      </c>
      <c r="CK1478">
        <f>IFERROR(INDEX(PP_Grid[#Data],$DE1478,86),0)</f>
        <v/>
      </c>
      <c r="CL1478">
        <f>IFERROR(INDEX(PP_Grid[#Data],$DE1478,87),0)</f>
        <v/>
      </c>
      <c r="CM1478">
        <f>IFERROR(INDEX(PP_Grid[#Data],$DE1478,88),0)</f>
        <v/>
      </c>
      <c r="CN1478">
        <f>IFERROR(INDEX(PP_Grid[#Data],$DE1478,89),0)</f>
        <v/>
      </c>
      <c r="CO1478">
        <f>IFERROR(INDEX(PP_Grid[#Data],$DE1478,90),0)</f>
        <v/>
      </c>
      <c r="CP1478">
        <f>IFERROR(INDEX(PP_Grid[#Data],$DE1478,91),0)</f>
        <v/>
      </c>
      <c r="CQ1478">
        <f>IFERROR(INDEX(PP_Grid[#Data],$DE1478,92),0)</f>
        <v/>
      </c>
      <c r="CR1478">
        <f>IFERROR(INDEX(PP_Grid[#Data],$DE1478,93),0)</f>
        <v/>
      </c>
      <c r="CS1478">
        <f>IFERROR(INDEX(PP_Grid[#Data],$DE1478,94),0)</f>
        <v/>
      </c>
      <c r="CT1478">
        <f>IFERROR(INDEX(PP_Grid[#Data],$DE1478,95),0)</f>
        <v/>
      </c>
      <c r="CU1478">
        <f>IFERROR(INDEX(PP_Grid[#Data],$DE1478,96),0)</f>
        <v/>
      </c>
      <c r="CV1478">
        <f>IFERROR(INDEX(PP_Grid[#Data],$DE1478,97),0)</f>
        <v/>
      </c>
      <c r="CW1478">
        <f>IFERROR(INDEX(PP_Grid[#Data],$DE1478,98),0)</f>
        <v/>
      </c>
      <c r="CX1478">
        <f>IFERROR(INDEX(PP_Grid[#Data],$DE1478,99),0)</f>
        <v/>
      </c>
      <c r="CY1478">
        <f>IFERROR(INDEX(PP_Grid[#Data],$DE1478,100),0)</f>
        <v/>
      </c>
      <c r="CZ1478">
        <f>IFERROR(INDEX(PP_Grid[#Data],$DE1478,101),0)</f>
        <v/>
      </c>
      <c r="DA1478">
        <f>IFERROR(INDEX(PP_Grid[#Data],$DE1478,102),0)</f>
        <v/>
      </c>
      <c r="DB1478">
        <f>IFERROR(INDEX(PP_Grid[#Data],$DE1478,103),0)</f>
        <v/>
      </c>
      <c r="DC1478">
        <f>IFERROR(INDEX(PP_Grid[#Data],$DE1478,104),0)</f>
        <v/>
      </c>
      <c r="DD1478">
        <f>IFERROR(INDEX(PP_Grid[#Data],$DE1478,105),0)</f>
        <v/>
      </c>
      <c r="DE1478" s="7">
        <f>IFERROR(MATCH($B1478,PP_Grid[Intermediate],0),99999)</f>
        <v/>
      </c>
    </row>
    <row r="1479">
      <c r="B1479" t="inlineStr">
        <is>
          <t>使用量(kg)</t>
        </is>
      </c>
      <c r="C1479">
        <f>SUMIFS(M_BOM[RM_Qty_Per_Batch],M_BOM[Intermediate],$B1478,M_BOM[RM_Code],$A1463)</f>
        <v/>
      </c>
      <c r="D1479">
        <f>IFERROR(INDEX(E1479:DD1479,$F$1),"")</f>
        <v/>
      </c>
      <c r="E1479">
        <f>$C1479*E1478</f>
        <v/>
      </c>
      <c r="F1479">
        <f>$C1479*F1478</f>
        <v/>
      </c>
      <c r="G1479">
        <f>$C1479*G1478</f>
        <v/>
      </c>
      <c r="H1479">
        <f>$C1479*H1478</f>
        <v/>
      </c>
      <c r="I1479">
        <f>$C1479*I1478</f>
        <v/>
      </c>
      <c r="J1479">
        <f>$C1479*J1478</f>
        <v/>
      </c>
      <c r="K1479">
        <f>$C1479*K1478</f>
        <v/>
      </c>
      <c r="L1479">
        <f>$C1479*L1478</f>
        <v/>
      </c>
      <c r="M1479">
        <f>$C1479*M1478</f>
        <v/>
      </c>
      <c r="N1479">
        <f>$C1479*N1478</f>
        <v/>
      </c>
      <c r="O1479">
        <f>$C1479*O1478</f>
        <v/>
      </c>
      <c r="P1479">
        <f>$C1479*P1478</f>
        <v/>
      </c>
      <c r="Q1479">
        <f>$C1479*Q1478</f>
        <v/>
      </c>
      <c r="R1479">
        <f>$C1479*R1478</f>
        <v/>
      </c>
      <c r="S1479">
        <f>$C1479*S1478</f>
        <v/>
      </c>
      <c r="T1479">
        <f>$C1479*T1478</f>
        <v/>
      </c>
      <c r="U1479">
        <f>$C1479*U1478</f>
        <v/>
      </c>
      <c r="V1479">
        <f>$C1479*V1478</f>
        <v/>
      </c>
      <c r="W1479">
        <f>$C1479*W1478</f>
        <v/>
      </c>
      <c r="X1479">
        <f>$C1479*X1478</f>
        <v/>
      </c>
      <c r="Y1479">
        <f>$C1479*Y1478</f>
        <v/>
      </c>
      <c r="Z1479">
        <f>$C1479*Z1478</f>
        <v/>
      </c>
      <c r="AA1479">
        <f>$C1479*AA1478</f>
        <v/>
      </c>
      <c r="AB1479">
        <f>$C1479*AB1478</f>
        <v/>
      </c>
      <c r="AC1479">
        <f>$C1479*AC1478</f>
        <v/>
      </c>
      <c r="AD1479">
        <f>$C1479*AD1478</f>
        <v/>
      </c>
      <c r="AE1479">
        <f>$C1479*AE1478</f>
        <v/>
      </c>
      <c r="AF1479">
        <f>$C1479*AF1478</f>
        <v/>
      </c>
      <c r="AG1479">
        <f>$C1479*AG1478</f>
        <v/>
      </c>
      <c r="AH1479">
        <f>$C1479*AH1478</f>
        <v/>
      </c>
      <c r="AI1479">
        <f>$C1479*AI1478</f>
        <v/>
      </c>
      <c r="AJ1479">
        <f>$C1479*AJ1478</f>
        <v/>
      </c>
      <c r="AK1479">
        <f>$C1479*AK1478</f>
        <v/>
      </c>
      <c r="AL1479">
        <f>$C1479*AL1478</f>
        <v/>
      </c>
      <c r="AM1479">
        <f>$C1479*AM1478</f>
        <v/>
      </c>
      <c r="AN1479">
        <f>$C1479*AN1478</f>
        <v/>
      </c>
      <c r="AO1479">
        <f>$C1479*AO1478</f>
        <v/>
      </c>
      <c r="AP1479">
        <f>$C1479*AP1478</f>
        <v/>
      </c>
      <c r="AQ1479">
        <f>$C1479*AQ1478</f>
        <v/>
      </c>
      <c r="AR1479">
        <f>$C1479*AR1478</f>
        <v/>
      </c>
      <c r="AS1479">
        <f>$C1479*AS1478</f>
        <v/>
      </c>
      <c r="AT1479">
        <f>$C1479*AT1478</f>
        <v/>
      </c>
      <c r="AU1479">
        <f>$C1479*AU1478</f>
        <v/>
      </c>
      <c r="AV1479">
        <f>$C1479*AV1478</f>
        <v/>
      </c>
      <c r="AW1479">
        <f>$C1479*AW1478</f>
        <v/>
      </c>
      <c r="AX1479">
        <f>$C1479*AX1478</f>
        <v/>
      </c>
      <c r="AY1479">
        <f>$C1479*AY1478</f>
        <v/>
      </c>
      <c r="AZ1479">
        <f>$C1479*AZ1478</f>
        <v/>
      </c>
      <c r="BA1479">
        <f>$C1479*BA1478</f>
        <v/>
      </c>
      <c r="BB1479">
        <f>$C1479*BB1478</f>
        <v/>
      </c>
      <c r="BC1479">
        <f>$C1479*BC1478</f>
        <v/>
      </c>
      <c r="BD1479">
        <f>$C1479*BD1478</f>
        <v/>
      </c>
      <c r="BE1479">
        <f>$C1479*BE1478</f>
        <v/>
      </c>
      <c r="BF1479">
        <f>$C1479*BF1478</f>
        <v/>
      </c>
      <c r="BG1479">
        <f>$C1479*BG1478</f>
        <v/>
      </c>
      <c r="BH1479">
        <f>$C1479*BH1478</f>
        <v/>
      </c>
      <c r="BI1479">
        <f>$C1479*BI1478</f>
        <v/>
      </c>
      <c r="BJ1479">
        <f>$C1479*BJ1478</f>
        <v/>
      </c>
      <c r="BK1479">
        <f>$C1479*BK1478</f>
        <v/>
      </c>
      <c r="BL1479">
        <f>$C1479*BL1478</f>
        <v/>
      </c>
      <c r="BM1479">
        <f>$C1479*BM1478</f>
        <v/>
      </c>
      <c r="BN1479">
        <f>$C1479*BN1478</f>
        <v/>
      </c>
      <c r="BO1479">
        <f>$C1479*BO1478</f>
        <v/>
      </c>
      <c r="BP1479">
        <f>$C1479*BP1478</f>
        <v/>
      </c>
      <c r="BQ1479">
        <f>$C1479*BQ1478</f>
        <v/>
      </c>
      <c r="BR1479">
        <f>$C1479*BR1478</f>
        <v/>
      </c>
      <c r="BS1479">
        <f>$C1479*BS1478</f>
        <v/>
      </c>
      <c r="BT1479">
        <f>$C1479*BT1478</f>
        <v/>
      </c>
      <c r="BU1479">
        <f>$C1479*BU1478</f>
        <v/>
      </c>
      <c r="BV1479">
        <f>$C1479*BV1478</f>
        <v/>
      </c>
      <c r="BW1479">
        <f>$C1479*BW1478</f>
        <v/>
      </c>
      <c r="BX1479">
        <f>$C1479*BX1478</f>
        <v/>
      </c>
      <c r="BY1479">
        <f>$C1479*BY1478</f>
        <v/>
      </c>
      <c r="BZ1479">
        <f>$C1479*BZ1478</f>
        <v/>
      </c>
      <c r="CA1479">
        <f>$C1479*CA1478</f>
        <v/>
      </c>
      <c r="CB1479">
        <f>$C1479*CB1478</f>
        <v/>
      </c>
      <c r="CC1479">
        <f>$C1479*CC1478</f>
        <v/>
      </c>
      <c r="CD1479">
        <f>$C1479*CD1478</f>
        <v/>
      </c>
      <c r="CE1479">
        <f>$C1479*CE1478</f>
        <v/>
      </c>
      <c r="CF1479">
        <f>$C1479*CF1478</f>
        <v/>
      </c>
      <c r="CG1479">
        <f>$C1479*CG1478</f>
        <v/>
      </c>
      <c r="CH1479">
        <f>$C1479*CH1478</f>
        <v/>
      </c>
      <c r="CI1479">
        <f>$C1479*CI1478</f>
        <v/>
      </c>
      <c r="CJ1479">
        <f>$C1479*CJ1478</f>
        <v/>
      </c>
      <c r="CK1479">
        <f>$C1479*CK1478</f>
        <v/>
      </c>
      <c r="CL1479">
        <f>$C1479*CL1478</f>
        <v/>
      </c>
      <c r="CM1479">
        <f>$C1479*CM1478</f>
        <v/>
      </c>
      <c r="CN1479">
        <f>$C1479*CN1478</f>
        <v/>
      </c>
      <c r="CO1479">
        <f>$C1479*CO1478</f>
        <v/>
      </c>
      <c r="CP1479">
        <f>$C1479*CP1478</f>
        <v/>
      </c>
      <c r="CQ1479">
        <f>$C1479*CQ1478</f>
        <v/>
      </c>
      <c r="CR1479">
        <f>$C1479*CR1478</f>
        <v/>
      </c>
      <c r="CS1479">
        <f>$C1479*CS1478</f>
        <v/>
      </c>
      <c r="CT1479">
        <f>$C1479*CT1478</f>
        <v/>
      </c>
      <c r="CU1479">
        <f>$C1479*CU1478</f>
        <v/>
      </c>
      <c r="CV1479">
        <f>$C1479*CV1478</f>
        <v/>
      </c>
      <c r="CW1479">
        <f>$C1479*CW1478</f>
        <v/>
      </c>
      <c r="CX1479">
        <f>$C1479*CX1478</f>
        <v/>
      </c>
      <c r="CY1479">
        <f>$C1479*CY1478</f>
        <v/>
      </c>
      <c r="CZ1479">
        <f>$C1479*CZ1478</f>
        <v/>
      </c>
      <c r="DA1479">
        <f>$C1479*DA1478</f>
        <v/>
      </c>
      <c r="DB1479">
        <f>$C1479*DB1478</f>
        <v/>
      </c>
      <c r="DC1479">
        <f>$C1479*DC1478</f>
        <v/>
      </c>
      <c r="DD1479">
        <f>$C1479*DD1478</f>
        <v/>
      </c>
    </row>
    <row r="1480">
      <c r="B1480" t="inlineStr">
        <is>
          <t>TPP-922</t>
        </is>
      </c>
      <c r="C1480" t="inlineStr">
        <is>
          <t>No. of batches</t>
        </is>
      </c>
      <c r="D1480">
        <f>IFERROR(INDEX(E1480:DD1480,$F$1),"")</f>
        <v/>
      </c>
      <c r="E1480">
        <f>IFERROR(INDEX(PP_Grid[#Data],$DE1480,2),0)</f>
        <v/>
      </c>
      <c r="F1480">
        <f>IFERROR(INDEX(PP_Grid[#Data],$DE1480,3),0)</f>
        <v/>
      </c>
      <c r="G1480">
        <f>IFERROR(INDEX(PP_Grid[#Data],$DE1480,4),0)</f>
        <v/>
      </c>
      <c r="H1480">
        <f>IFERROR(INDEX(PP_Grid[#Data],$DE1480,5),0)</f>
        <v/>
      </c>
      <c r="I1480">
        <f>IFERROR(INDEX(PP_Grid[#Data],$DE1480,6),0)</f>
        <v/>
      </c>
      <c r="J1480">
        <f>IFERROR(INDEX(PP_Grid[#Data],$DE1480,7),0)</f>
        <v/>
      </c>
      <c r="K1480">
        <f>IFERROR(INDEX(PP_Grid[#Data],$DE1480,8),0)</f>
        <v/>
      </c>
      <c r="L1480">
        <f>IFERROR(INDEX(PP_Grid[#Data],$DE1480,9),0)</f>
        <v/>
      </c>
      <c r="M1480">
        <f>IFERROR(INDEX(PP_Grid[#Data],$DE1480,10),0)</f>
        <v/>
      </c>
      <c r="N1480">
        <f>IFERROR(INDEX(PP_Grid[#Data],$DE1480,11),0)</f>
        <v/>
      </c>
      <c r="O1480">
        <f>IFERROR(INDEX(PP_Grid[#Data],$DE1480,12),0)</f>
        <v/>
      </c>
      <c r="P1480">
        <f>IFERROR(INDEX(PP_Grid[#Data],$DE1480,13),0)</f>
        <v/>
      </c>
      <c r="Q1480">
        <f>IFERROR(INDEX(PP_Grid[#Data],$DE1480,14),0)</f>
        <v/>
      </c>
      <c r="R1480">
        <f>IFERROR(INDEX(PP_Grid[#Data],$DE1480,15),0)</f>
        <v/>
      </c>
      <c r="S1480">
        <f>IFERROR(INDEX(PP_Grid[#Data],$DE1480,16),0)</f>
        <v/>
      </c>
      <c r="T1480">
        <f>IFERROR(INDEX(PP_Grid[#Data],$DE1480,17),0)</f>
        <v/>
      </c>
      <c r="U1480">
        <f>IFERROR(INDEX(PP_Grid[#Data],$DE1480,18),0)</f>
        <v/>
      </c>
      <c r="V1480">
        <f>IFERROR(INDEX(PP_Grid[#Data],$DE1480,19),0)</f>
        <v/>
      </c>
      <c r="W1480">
        <f>IFERROR(INDEX(PP_Grid[#Data],$DE1480,20),0)</f>
        <v/>
      </c>
      <c r="X1480">
        <f>IFERROR(INDEX(PP_Grid[#Data],$DE1480,21),0)</f>
        <v/>
      </c>
      <c r="Y1480">
        <f>IFERROR(INDEX(PP_Grid[#Data],$DE1480,22),0)</f>
        <v/>
      </c>
      <c r="Z1480">
        <f>IFERROR(INDEX(PP_Grid[#Data],$DE1480,23),0)</f>
        <v/>
      </c>
      <c r="AA1480">
        <f>IFERROR(INDEX(PP_Grid[#Data],$DE1480,24),0)</f>
        <v/>
      </c>
      <c r="AB1480">
        <f>IFERROR(INDEX(PP_Grid[#Data],$DE1480,25),0)</f>
        <v/>
      </c>
      <c r="AC1480">
        <f>IFERROR(INDEX(PP_Grid[#Data],$DE1480,26),0)</f>
        <v/>
      </c>
      <c r="AD1480">
        <f>IFERROR(INDEX(PP_Grid[#Data],$DE1480,27),0)</f>
        <v/>
      </c>
      <c r="AE1480">
        <f>IFERROR(INDEX(PP_Grid[#Data],$DE1480,28),0)</f>
        <v/>
      </c>
      <c r="AF1480">
        <f>IFERROR(INDEX(PP_Grid[#Data],$DE1480,29),0)</f>
        <v/>
      </c>
      <c r="AG1480">
        <f>IFERROR(INDEX(PP_Grid[#Data],$DE1480,30),0)</f>
        <v/>
      </c>
      <c r="AH1480">
        <f>IFERROR(INDEX(PP_Grid[#Data],$DE1480,31),0)</f>
        <v/>
      </c>
      <c r="AI1480">
        <f>IFERROR(INDEX(PP_Grid[#Data],$DE1480,32),0)</f>
        <v/>
      </c>
      <c r="AJ1480">
        <f>IFERROR(INDEX(PP_Grid[#Data],$DE1480,33),0)</f>
        <v/>
      </c>
      <c r="AK1480">
        <f>IFERROR(INDEX(PP_Grid[#Data],$DE1480,34),0)</f>
        <v/>
      </c>
      <c r="AL1480">
        <f>IFERROR(INDEX(PP_Grid[#Data],$DE1480,35),0)</f>
        <v/>
      </c>
      <c r="AM1480">
        <f>IFERROR(INDEX(PP_Grid[#Data],$DE1480,36),0)</f>
        <v/>
      </c>
      <c r="AN1480">
        <f>IFERROR(INDEX(PP_Grid[#Data],$DE1480,37),0)</f>
        <v/>
      </c>
      <c r="AO1480">
        <f>IFERROR(INDEX(PP_Grid[#Data],$DE1480,38),0)</f>
        <v/>
      </c>
      <c r="AP1480">
        <f>IFERROR(INDEX(PP_Grid[#Data],$DE1480,39),0)</f>
        <v/>
      </c>
      <c r="AQ1480">
        <f>IFERROR(INDEX(PP_Grid[#Data],$DE1480,40),0)</f>
        <v/>
      </c>
      <c r="AR1480">
        <f>IFERROR(INDEX(PP_Grid[#Data],$DE1480,41),0)</f>
        <v/>
      </c>
      <c r="AS1480">
        <f>IFERROR(INDEX(PP_Grid[#Data],$DE1480,42),0)</f>
        <v/>
      </c>
      <c r="AT1480">
        <f>IFERROR(INDEX(PP_Grid[#Data],$DE1480,43),0)</f>
        <v/>
      </c>
      <c r="AU1480">
        <f>IFERROR(INDEX(PP_Grid[#Data],$DE1480,44),0)</f>
        <v/>
      </c>
      <c r="AV1480">
        <f>IFERROR(INDEX(PP_Grid[#Data],$DE1480,45),0)</f>
        <v/>
      </c>
      <c r="AW1480">
        <f>IFERROR(INDEX(PP_Grid[#Data],$DE1480,46),0)</f>
        <v/>
      </c>
      <c r="AX1480">
        <f>IFERROR(INDEX(PP_Grid[#Data],$DE1480,47),0)</f>
        <v/>
      </c>
      <c r="AY1480">
        <f>IFERROR(INDEX(PP_Grid[#Data],$DE1480,48),0)</f>
        <v/>
      </c>
      <c r="AZ1480">
        <f>IFERROR(INDEX(PP_Grid[#Data],$DE1480,49),0)</f>
        <v/>
      </c>
      <c r="BA1480">
        <f>IFERROR(INDEX(PP_Grid[#Data],$DE1480,50),0)</f>
        <v/>
      </c>
      <c r="BB1480">
        <f>IFERROR(INDEX(PP_Grid[#Data],$DE1480,51),0)</f>
        <v/>
      </c>
      <c r="BC1480">
        <f>IFERROR(INDEX(PP_Grid[#Data],$DE1480,52),0)</f>
        <v/>
      </c>
      <c r="BD1480">
        <f>IFERROR(INDEX(PP_Grid[#Data],$DE1480,53),0)</f>
        <v/>
      </c>
      <c r="BE1480">
        <f>IFERROR(INDEX(PP_Grid[#Data],$DE1480,54),0)</f>
        <v/>
      </c>
      <c r="BF1480">
        <f>IFERROR(INDEX(PP_Grid[#Data],$DE1480,55),0)</f>
        <v/>
      </c>
      <c r="BG1480">
        <f>IFERROR(INDEX(PP_Grid[#Data],$DE1480,56),0)</f>
        <v/>
      </c>
      <c r="BH1480">
        <f>IFERROR(INDEX(PP_Grid[#Data],$DE1480,57),0)</f>
        <v/>
      </c>
      <c r="BI1480">
        <f>IFERROR(INDEX(PP_Grid[#Data],$DE1480,58),0)</f>
        <v/>
      </c>
      <c r="BJ1480">
        <f>IFERROR(INDEX(PP_Grid[#Data],$DE1480,59),0)</f>
        <v/>
      </c>
      <c r="BK1480">
        <f>IFERROR(INDEX(PP_Grid[#Data],$DE1480,60),0)</f>
        <v/>
      </c>
      <c r="BL1480">
        <f>IFERROR(INDEX(PP_Grid[#Data],$DE1480,61),0)</f>
        <v/>
      </c>
      <c r="BM1480">
        <f>IFERROR(INDEX(PP_Grid[#Data],$DE1480,62),0)</f>
        <v/>
      </c>
      <c r="BN1480">
        <f>IFERROR(INDEX(PP_Grid[#Data],$DE1480,63),0)</f>
        <v/>
      </c>
      <c r="BO1480">
        <f>IFERROR(INDEX(PP_Grid[#Data],$DE1480,64),0)</f>
        <v/>
      </c>
      <c r="BP1480">
        <f>IFERROR(INDEX(PP_Grid[#Data],$DE1480,65),0)</f>
        <v/>
      </c>
      <c r="BQ1480">
        <f>IFERROR(INDEX(PP_Grid[#Data],$DE1480,66),0)</f>
        <v/>
      </c>
      <c r="BR1480">
        <f>IFERROR(INDEX(PP_Grid[#Data],$DE1480,67),0)</f>
        <v/>
      </c>
      <c r="BS1480">
        <f>IFERROR(INDEX(PP_Grid[#Data],$DE1480,68),0)</f>
        <v/>
      </c>
      <c r="BT1480">
        <f>IFERROR(INDEX(PP_Grid[#Data],$DE1480,69),0)</f>
        <v/>
      </c>
      <c r="BU1480">
        <f>IFERROR(INDEX(PP_Grid[#Data],$DE1480,70),0)</f>
        <v/>
      </c>
      <c r="BV1480">
        <f>IFERROR(INDEX(PP_Grid[#Data],$DE1480,71),0)</f>
        <v/>
      </c>
      <c r="BW1480">
        <f>IFERROR(INDEX(PP_Grid[#Data],$DE1480,72),0)</f>
        <v/>
      </c>
      <c r="BX1480">
        <f>IFERROR(INDEX(PP_Grid[#Data],$DE1480,73),0)</f>
        <v/>
      </c>
      <c r="BY1480">
        <f>IFERROR(INDEX(PP_Grid[#Data],$DE1480,74),0)</f>
        <v/>
      </c>
      <c r="BZ1480">
        <f>IFERROR(INDEX(PP_Grid[#Data],$DE1480,75),0)</f>
        <v/>
      </c>
      <c r="CA1480">
        <f>IFERROR(INDEX(PP_Grid[#Data],$DE1480,76),0)</f>
        <v/>
      </c>
      <c r="CB1480">
        <f>IFERROR(INDEX(PP_Grid[#Data],$DE1480,77),0)</f>
        <v/>
      </c>
      <c r="CC1480">
        <f>IFERROR(INDEX(PP_Grid[#Data],$DE1480,78),0)</f>
        <v/>
      </c>
      <c r="CD1480">
        <f>IFERROR(INDEX(PP_Grid[#Data],$DE1480,79),0)</f>
        <v/>
      </c>
      <c r="CE1480">
        <f>IFERROR(INDEX(PP_Grid[#Data],$DE1480,80),0)</f>
        <v/>
      </c>
      <c r="CF1480">
        <f>IFERROR(INDEX(PP_Grid[#Data],$DE1480,81),0)</f>
        <v/>
      </c>
      <c r="CG1480">
        <f>IFERROR(INDEX(PP_Grid[#Data],$DE1480,82),0)</f>
        <v/>
      </c>
      <c r="CH1480">
        <f>IFERROR(INDEX(PP_Grid[#Data],$DE1480,83),0)</f>
        <v/>
      </c>
      <c r="CI1480">
        <f>IFERROR(INDEX(PP_Grid[#Data],$DE1480,84),0)</f>
        <v/>
      </c>
      <c r="CJ1480">
        <f>IFERROR(INDEX(PP_Grid[#Data],$DE1480,85),0)</f>
        <v/>
      </c>
      <c r="CK1480">
        <f>IFERROR(INDEX(PP_Grid[#Data],$DE1480,86),0)</f>
        <v/>
      </c>
      <c r="CL1480">
        <f>IFERROR(INDEX(PP_Grid[#Data],$DE1480,87),0)</f>
        <v/>
      </c>
      <c r="CM1480">
        <f>IFERROR(INDEX(PP_Grid[#Data],$DE1480,88),0)</f>
        <v/>
      </c>
      <c r="CN1480">
        <f>IFERROR(INDEX(PP_Grid[#Data],$DE1480,89),0)</f>
        <v/>
      </c>
      <c r="CO1480">
        <f>IFERROR(INDEX(PP_Grid[#Data],$DE1480,90),0)</f>
        <v/>
      </c>
      <c r="CP1480">
        <f>IFERROR(INDEX(PP_Grid[#Data],$DE1480,91),0)</f>
        <v/>
      </c>
      <c r="CQ1480">
        <f>IFERROR(INDEX(PP_Grid[#Data],$DE1480,92),0)</f>
        <v/>
      </c>
      <c r="CR1480">
        <f>IFERROR(INDEX(PP_Grid[#Data],$DE1480,93),0)</f>
        <v/>
      </c>
      <c r="CS1480">
        <f>IFERROR(INDEX(PP_Grid[#Data],$DE1480,94),0)</f>
        <v/>
      </c>
      <c r="CT1480">
        <f>IFERROR(INDEX(PP_Grid[#Data],$DE1480,95),0)</f>
        <v/>
      </c>
      <c r="CU1480">
        <f>IFERROR(INDEX(PP_Grid[#Data],$DE1480,96),0)</f>
        <v/>
      </c>
      <c r="CV1480">
        <f>IFERROR(INDEX(PP_Grid[#Data],$DE1480,97),0)</f>
        <v/>
      </c>
      <c r="CW1480">
        <f>IFERROR(INDEX(PP_Grid[#Data],$DE1480,98),0)</f>
        <v/>
      </c>
      <c r="CX1480">
        <f>IFERROR(INDEX(PP_Grid[#Data],$DE1480,99),0)</f>
        <v/>
      </c>
      <c r="CY1480">
        <f>IFERROR(INDEX(PP_Grid[#Data],$DE1480,100),0)</f>
        <v/>
      </c>
      <c r="CZ1480">
        <f>IFERROR(INDEX(PP_Grid[#Data],$DE1480,101),0)</f>
        <v/>
      </c>
      <c r="DA1480">
        <f>IFERROR(INDEX(PP_Grid[#Data],$DE1480,102),0)</f>
        <v/>
      </c>
      <c r="DB1480">
        <f>IFERROR(INDEX(PP_Grid[#Data],$DE1480,103),0)</f>
        <v/>
      </c>
      <c r="DC1480">
        <f>IFERROR(INDEX(PP_Grid[#Data],$DE1480,104),0)</f>
        <v/>
      </c>
      <c r="DD1480">
        <f>IFERROR(INDEX(PP_Grid[#Data],$DE1480,105),0)</f>
        <v/>
      </c>
      <c r="DE1480" s="7">
        <f>IFERROR(MATCH($B1480,PP_Grid[Intermediate],0),99999)</f>
        <v/>
      </c>
    </row>
    <row r="1481">
      <c r="B1481" t="inlineStr">
        <is>
          <t>使用量(kg)</t>
        </is>
      </c>
      <c r="C1481">
        <f>SUMIFS(M_BOM[RM_Qty_Per_Batch],M_BOM[Intermediate],$B1480,M_BOM[RM_Code],$A1463)</f>
        <v/>
      </c>
      <c r="D1481">
        <f>IFERROR(INDEX(E1481:DD1481,$F$1),"")</f>
        <v/>
      </c>
      <c r="E1481">
        <f>$C1481*E1480</f>
        <v/>
      </c>
      <c r="F1481">
        <f>$C1481*F1480</f>
        <v/>
      </c>
      <c r="G1481">
        <f>$C1481*G1480</f>
        <v/>
      </c>
      <c r="H1481">
        <f>$C1481*H1480</f>
        <v/>
      </c>
      <c r="I1481">
        <f>$C1481*I1480</f>
        <v/>
      </c>
      <c r="J1481">
        <f>$C1481*J1480</f>
        <v/>
      </c>
      <c r="K1481">
        <f>$C1481*K1480</f>
        <v/>
      </c>
      <c r="L1481">
        <f>$C1481*L1480</f>
        <v/>
      </c>
      <c r="M1481">
        <f>$C1481*M1480</f>
        <v/>
      </c>
      <c r="N1481">
        <f>$C1481*N1480</f>
        <v/>
      </c>
      <c r="O1481">
        <f>$C1481*O1480</f>
        <v/>
      </c>
      <c r="P1481">
        <f>$C1481*P1480</f>
        <v/>
      </c>
      <c r="Q1481">
        <f>$C1481*Q1480</f>
        <v/>
      </c>
      <c r="R1481">
        <f>$C1481*R1480</f>
        <v/>
      </c>
      <c r="S1481">
        <f>$C1481*S1480</f>
        <v/>
      </c>
      <c r="T1481">
        <f>$C1481*T1480</f>
        <v/>
      </c>
      <c r="U1481">
        <f>$C1481*U1480</f>
        <v/>
      </c>
      <c r="V1481">
        <f>$C1481*V1480</f>
        <v/>
      </c>
      <c r="W1481">
        <f>$C1481*W1480</f>
        <v/>
      </c>
      <c r="X1481">
        <f>$C1481*X1480</f>
        <v/>
      </c>
      <c r="Y1481">
        <f>$C1481*Y1480</f>
        <v/>
      </c>
      <c r="Z1481">
        <f>$C1481*Z1480</f>
        <v/>
      </c>
      <c r="AA1481">
        <f>$C1481*AA1480</f>
        <v/>
      </c>
      <c r="AB1481">
        <f>$C1481*AB1480</f>
        <v/>
      </c>
      <c r="AC1481">
        <f>$C1481*AC1480</f>
        <v/>
      </c>
      <c r="AD1481">
        <f>$C1481*AD1480</f>
        <v/>
      </c>
      <c r="AE1481">
        <f>$C1481*AE1480</f>
        <v/>
      </c>
      <c r="AF1481">
        <f>$C1481*AF1480</f>
        <v/>
      </c>
      <c r="AG1481">
        <f>$C1481*AG1480</f>
        <v/>
      </c>
      <c r="AH1481">
        <f>$C1481*AH1480</f>
        <v/>
      </c>
      <c r="AI1481">
        <f>$C1481*AI1480</f>
        <v/>
      </c>
      <c r="AJ1481">
        <f>$C1481*AJ1480</f>
        <v/>
      </c>
      <c r="AK1481">
        <f>$C1481*AK1480</f>
        <v/>
      </c>
      <c r="AL1481">
        <f>$C1481*AL1480</f>
        <v/>
      </c>
      <c r="AM1481">
        <f>$C1481*AM1480</f>
        <v/>
      </c>
      <c r="AN1481">
        <f>$C1481*AN1480</f>
        <v/>
      </c>
      <c r="AO1481">
        <f>$C1481*AO1480</f>
        <v/>
      </c>
      <c r="AP1481">
        <f>$C1481*AP1480</f>
        <v/>
      </c>
      <c r="AQ1481">
        <f>$C1481*AQ1480</f>
        <v/>
      </c>
      <c r="AR1481">
        <f>$C1481*AR1480</f>
        <v/>
      </c>
      <c r="AS1481">
        <f>$C1481*AS1480</f>
        <v/>
      </c>
      <c r="AT1481">
        <f>$C1481*AT1480</f>
        <v/>
      </c>
      <c r="AU1481">
        <f>$C1481*AU1480</f>
        <v/>
      </c>
      <c r="AV1481">
        <f>$C1481*AV1480</f>
        <v/>
      </c>
      <c r="AW1481">
        <f>$C1481*AW1480</f>
        <v/>
      </c>
      <c r="AX1481">
        <f>$C1481*AX1480</f>
        <v/>
      </c>
      <c r="AY1481">
        <f>$C1481*AY1480</f>
        <v/>
      </c>
      <c r="AZ1481">
        <f>$C1481*AZ1480</f>
        <v/>
      </c>
      <c r="BA1481">
        <f>$C1481*BA1480</f>
        <v/>
      </c>
      <c r="BB1481">
        <f>$C1481*BB1480</f>
        <v/>
      </c>
      <c r="BC1481">
        <f>$C1481*BC1480</f>
        <v/>
      </c>
      <c r="BD1481">
        <f>$C1481*BD1480</f>
        <v/>
      </c>
      <c r="BE1481">
        <f>$C1481*BE1480</f>
        <v/>
      </c>
      <c r="BF1481">
        <f>$C1481*BF1480</f>
        <v/>
      </c>
      <c r="BG1481">
        <f>$C1481*BG1480</f>
        <v/>
      </c>
      <c r="BH1481">
        <f>$C1481*BH1480</f>
        <v/>
      </c>
      <c r="BI1481">
        <f>$C1481*BI1480</f>
        <v/>
      </c>
      <c r="BJ1481">
        <f>$C1481*BJ1480</f>
        <v/>
      </c>
      <c r="BK1481">
        <f>$C1481*BK1480</f>
        <v/>
      </c>
      <c r="BL1481">
        <f>$C1481*BL1480</f>
        <v/>
      </c>
      <c r="BM1481">
        <f>$C1481*BM1480</f>
        <v/>
      </c>
      <c r="BN1481">
        <f>$C1481*BN1480</f>
        <v/>
      </c>
      <c r="BO1481">
        <f>$C1481*BO1480</f>
        <v/>
      </c>
      <c r="BP1481">
        <f>$C1481*BP1480</f>
        <v/>
      </c>
      <c r="BQ1481">
        <f>$C1481*BQ1480</f>
        <v/>
      </c>
      <c r="BR1481">
        <f>$C1481*BR1480</f>
        <v/>
      </c>
      <c r="BS1481">
        <f>$C1481*BS1480</f>
        <v/>
      </c>
      <c r="BT1481">
        <f>$C1481*BT1480</f>
        <v/>
      </c>
      <c r="BU1481">
        <f>$C1481*BU1480</f>
        <v/>
      </c>
      <c r="BV1481">
        <f>$C1481*BV1480</f>
        <v/>
      </c>
      <c r="BW1481">
        <f>$C1481*BW1480</f>
        <v/>
      </c>
      <c r="BX1481">
        <f>$C1481*BX1480</f>
        <v/>
      </c>
      <c r="BY1481">
        <f>$C1481*BY1480</f>
        <v/>
      </c>
      <c r="BZ1481">
        <f>$C1481*BZ1480</f>
        <v/>
      </c>
      <c r="CA1481">
        <f>$C1481*CA1480</f>
        <v/>
      </c>
      <c r="CB1481">
        <f>$C1481*CB1480</f>
        <v/>
      </c>
      <c r="CC1481">
        <f>$C1481*CC1480</f>
        <v/>
      </c>
      <c r="CD1481">
        <f>$C1481*CD1480</f>
        <v/>
      </c>
      <c r="CE1481">
        <f>$C1481*CE1480</f>
        <v/>
      </c>
      <c r="CF1481">
        <f>$C1481*CF1480</f>
        <v/>
      </c>
      <c r="CG1481">
        <f>$C1481*CG1480</f>
        <v/>
      </c>
      <c r="CH1481">
        <f>$C1481*CH1480</f>
        <v/>
      </c>
      <c r="CI1481">
        <f>$C1481*CI1480</f>
        <v/>
      </c>
      <c r="CJ1481">
        <f>$C1481*CJ1480</f>
        <v/>
      </c>
      <c r="CK1481">
        <f>$C1481*CK1480</f>
        <v/>
      </c>
      <c r="CL1481">
        <f>$C1481*CL1480</f>
        <v/>
      </c>
      <c r="CM1481">
        <f>$C1481*CM1480</f>
        <v/>
      </c>
      <c r="CN1481">
        <f>$C1481*CN1480</f>
        <v/>
      </c>
      <c r="CO1481">
        <f>$C1481*CO1480</f>
        <v/>
      </c>
      <c r="CP1481">
        <f>$C1481*CP1480</f>
        <v/>
      </c>
      <c r="CQ1481">
        <f>$C1481*CQ1480</f>
        <v/>
      </c>
      <c r="CR1481">
        <f>$C1481*CR1480</f>
        <v/>
      </c>
      <c r="CS1481">
        <f>$C1481*CS1480</f>
        <v/>
      </c>
      <c r="CT1481">
        <f>$C1481*CT1480</f>
        <v/>
      </c>
      <c r="CU1481">
        <f>$C1481*CU1480</f>
        <v/>
      </c>
      <c r="CV1481">
        <f>$C1481*CV1480</f>
        <v/>
      </c>
      <c r="CW1481">
        <f>$C1481*CW1480</f>
        <v/>
      </c>
      <c r="CX1481">
        <f>$C1481*CX1480</f>
        <v/>
      </c>
      <c r="CY1481">
        <f>$C1481*CY1480</f>
        <v/>
      </c>
      <c r="CZ1481">
        <f>$C1481*CZ1480</f>
        <v/>
      </c>
      <c r="DA1481">
        <f>$C1481*DA1480</f>
        <v/>
      </c>
      <c r="DB1481">
        <f>$C1481*DB1480</f>
        <v/>
      </c>
      <c r="DC1481">
        <f>$C1481*DC1480</f>
        <v/>
      </c>
      <c r="DD1481">
        <f>$C1481*DD1480</f>
        <v/>
      </c>
    </row>
    <row r="1482">
      <c r="B1482" t="inlineStr">
        <is>
          <t>TPP-923</t>
        </is>
      </c>
      <c r="C1482" t="inlineStr">
        <is>
          <t>No. of batches</t>
        </is>
      </c>
      <c r="D1482">
        <f>IFERROR(INDEX(E1482:DD1482,$F$1),"")</f>
        <v/>
      </c>
      <c r="E1482">
        <f>IFERROR(INDEX(PP_Grid[#Data],$DE1482,2),0)</f>
        <v/>
      </c>
      <c r="F1482">
        <f>IFERROR(INDEX(PP_Grid[#Data],$DE1482,3),0)</f>
        <v/>
      </c>
      <c r="G1482">
        <f>IFERROR(INDEX(PP_Grid[#Data],$DE1482,4),0)</f>
        <v/>
      </c>
      <c r="H1482">
        <f>IFERROR(INDEX(PP_Grid[#Data],$DE1482,5),0)</f>
        <v/>
      </c>
      <c r="I1482">
        <f>IFERROR(INDEX(PP_Grid[#Data],$DE1482,6),0)</f>
        <v/>
      </c>
      <c r="J1482">
        <f>IFERROR(INDEX(PP_Grid[#Data],$DE1482,7),0)</f>
        <v/>
      </c>
      <c r="K1482">
        <f>IFERROR(INDEX(PP_Grid[#Data],$DE1482,8),0)</f>
        <v/>
      </c>
      <c r="L1482">
        <f>IFERROR(INDEX(PP_Grid[#Data],$DE1482,9),0)</f>
        <v/>
      </c>
      <c r="M1482">
        <f>IFERROR(INDEX(PP_Grid[#Data],$DE1482,10),0)</f>
        <v/>
      </c>
      <c r="N1482">
        <f>IFERROR(INDEX(PP_Grid[#Data],$DE1482,11),0)</f>
        <v/>
      </c>
      <c r="O1482">
        <f>IFERROR(INDEX(PP_Grid[#Data],$DE1482,12),0)</f>
        <v/>
      </c>
      <c r="P1482">
        <f>IFERROR(INDEX(PP_Grid[#Data],$DE1482,13),0)</f>
        <v/>
      </c>
      <c r="Q1482">
        <f>IFERROR(INDEX(PP_Grid[#Data],$DE1482,14),0)</f>
        <v/>
      </c>
      <c r="R1482">
        <f>IFERROR(INDEX(PP_Grid[#Data],$DE1482,15),0)</f>
        <v/>
      </c>
      <c r="S1482">
        <f>IFERROR(INDEX(PP_Grid[#Data],$DE1482,16),0)</f>
        <v/>
      </c>
      <c r="T1482">
        <f>IFERROR(INDEX(PP_Grid[#Data],$DE1482,17),0)</f>
        <v/>
      </c>
      <c r="U1482">
        <f>IFERROR(INDEX(PP_Grid[#Data],$DE1482,18),0)</f>
        <v/>
      </c>
      <c r="V1482">
        <f>IFERROR(INDEX(PP_Grid[#Data],$DE1482,19),0)</f>
        <v/>
      </c>
      <c r="W1482">
        <f>IFERROR(INDEX(PP_Grid[#Data],$DE1482,20),0)</f>
        <v/>
      </c>
      <c r="X1482">
        <f>IFERROR(INDEX(PP_Grid[#Data],$DE1482,21),0)</f>
        <v/>
      </c>
      <c r="Y1482">
        <f>IFERROR(INDEX(PP_Grid[#Data],$DE1482,22),0)</f>
        <v/>
      </c>
      <c r="Z1482">
        <f>IFERROR(INDEX(PP_Grid[#Data],$DE1482,23),0)</f>
        <v/>
      </c>
      <c r="AA1482">
        <f>IFERROR(INDEX(PP_Grid[#Data],$DE1482,24),0)</f>
        <v/>
      </c>
      <c r="AB1482">
        <f>IFERROR(INDEX(PP_Grid[#Data],$DE1482,25),0)</f>
        <v/>
      </c>
      <c r="AC1482">
        <f>IFERROR(INDEX(PP_Grid[#Data],$DE1482,26),0)</f>
        <v/>
      </c>
      <c r="AD1482">
        <f>IFERROR(INDEX(PP_Grid[#Data],$DE1482,27),0)</f>
        <v/>
      </c>
      <c r="AE1482">
        <f>IFERROR(INDEX(PP_Grid[#Data],$DE1482,28),0)</f>
        <v/>
      </c>
      <c r="AF1482">
        <f>IFERROR(INDEX(PP_Grid[#Data],$DE1482,29),0)</f>
        <v/>
      </c>
      <c r="AG1482">
        <f>IFERROR(INDEX(PP_Grid[#Data],$DE1482,30),0)</f>
        <v/>
      </c>
      <c r="AH1482">
        <f>IFERROR(INDEX(PP_Grid[#Data],$DE1482,31),0)</f>
        <v/>
      </c>
      <c r="AI1482">
        <f>IFERROR(INDEX(PP_Grid[#Data],$DE1482,32),0)</f>
        <v/>
      </c>
      <c r="AJ1482">
        <f>IFERROR(INDEX(PP_Grid[#Data],$DE1482,33),0)</f>
        <v/>
      </c>
      <c r="AK1482">
        <f>IFERROR(INDEX(PP_Grid[#Data],$DE1482,34),0)</f>
        <v/>
      </c>
      <c r="AL1482">
        <f>IFERROR(INDEX(PP_Grid[#Data],$DE1482,35),0)</f>
        <v/>
      </c>
      <c r="AM1482">
        <f>IFERROR(INDEX(PP_Grid[#Data],$DE1482,36),0)</f>
        <v/>
      </c>
      <c r="AN1482">
        <f>IFERROR(INDEX(PP_Grid[#Data],$DE1482,37),0)</f>
        <v/>
      </c>
      <c r="AO1482">
        <f>IFERROR(INDEX(PP_Grid[#Data],$DE1482,38),0)</f>
        <v/>
      </c>
      <c r="AP1482">
        <f>IFERROR(INDEX(PP_Grid[#Data],$DE1482,39),0)</f>
        <v/>
      </c>
      <c r="AQ1482">
        <f>IFERROR(INDEX(PP_Grid[#Data],$DE1482,40),0)</f>
        <v/>
      </c>
      <c r="AR1482">
        <f>IFERROR(INDEX(PP_Grid[#Data],$DE1482,41),0)</f>
        <v/>
      </c>
      <c r="AS1482">
        <f>IFERROR(INDEX(PP_Grid[#Data],$DE1482,42),0)</f>
        <v/>
      </c>
      <c r="AT1482">
        <f>IFERROR(INDEX(PP_Grid[#Data],$DE1482,43),0)</f>
        <v/>
      </c>
      <c r="AU1482">
        <f>IFERROR(INDEX(PP_Grid[#Data],$DE1482,44),0)</f>
        <v/>
      </c>
      <c r="AV1482">
        <f>IFERROR(INDEX(PP_Grid[#Data],$DE1482,45),0)</f>
        <v/>
      </c>
      <c r="AW1482">
        <f>IFERROR(INDEX(PP_Grid[#Data],$DE1482,46),0)</f>
        <v/>
      </c>
      <c r="AX1482">
        <f>IFERROR(INDEX(PP_Grid[#Data],$DE1482,47),0)</f>
        <v/>
      </c>
      <c r="AY1482">
        <f>IFERROR(INDEX(PP_Grid[#Data],$DE1482,48),0)</f>
        <v/>
      </c>
      <c r="AZ1482">
        <f>IFERROR(INDEX(PP_Grid[#Data],$DE1482,49),0)</f>
        <v/>
      </c>
      <c r="BA1482">
        <f>IFERROR(INDEX(PP_Grid[#Data],$DE1482,50),0)</f>
        <v/>
      </c>
      <c r="BB1482">
        <f>IFERROR(INDEX(PP_Grid[#Data],$DE1482,51),0)</f>
        <v/>
      </c>
      <c r="BC1482">
        <f>IFERROR(INDEX(PP_Grid[#Data],$DE1482,52),0)</f>
        <v/>
      </c>
      <c r="BD1482">
        <f>IFERROR(INDEX(PP_Grid[#Data],$DE1482,53),0)</f>
        <v/>
      </c>
      <c r="BE1482">
        <f>IFERROR(INDEX(PP_Grid[#Data],$DE1482,54),0)</f>
        <v/>
      </c>
      <c r="BF1482">
        <f>IFERROR(INDEX(PP_Grid[#Data],$DE1482,55),0)</f>
        <v/>
      </c>
      <c r="BG1482">
        <f>IFERROR(INDEX(PP_Grid[#Data],$DE1482,56),0)</f>
        <v/>
      </c>
      <c r="BH1482">
        <f>IFERROR(INDEX(PP_Grid[#Data],$DE1482,57),0)</f>
        <v/>
      </c>
      <c r="BI1482">
        <f>IFERROR(INDEX(PP_Grid[#Data],$DE1482,58),0)</f>
        <v/>
      </c>
      <c r="BJ1482">
        <f>IFERROR(INDEX(PP_Grid[#Data],$DE1482,59),0)</f>
        <v/>
      </c>
      <c r="BK1482">
        <f>IFERROR(INDEX(PP_Grid[#Data],$DE1482,60),0)</f>
        <v/>
      </c>
      <c r="BL1482">
        <f>IFERROR(INDEX(PP_Grid[#Data],$DE1482,61),0)</f>
        <v/>
      </c>
      <c r="BM1482">
        <f>IFERROR(INDEX(PP_Grid[#Data],$DE1482,62),0)</f>
        <v/>
      </c>
      <c r="BN1482">
        <f>IFERROR(INDEX(PP_Grid[#Data],$DE1482,63),0)</f>
        <v/>
      </c>
      <c r="BO1482">
        <f>IFERROR(INDEX(PP_Grid[#Data],$DE1482,64),0)</f>
        <v/>
      </c>
      <c r="BP1482">
        <f>IFERROR(INDEX(PP_Grid[#Data],$DE1482,65),0)</f>
        <v/>
      </c>
      <c r="BQ1482">
        <f>IFERROR(INDEX(PP_Grid[#Data],$DE1482,66),0)</f>
        <v/>
      </c>
      <c r="BR1482">
        <f>IFERROR(INDEX(PP_Grid[#Data],$DE1482,67),0)</f>
        <v/>
      </c>
      <c r="BS1482">
        <f>IFERROR(INDEX(PP_Grid[#Data],$DE1482,68),0)</f>
        <v/>
      </c>
      <c r="BT1482">
        <f>IFERROR(INDEX(PP_Grid[#Data],$DE1482,69),0)</f>
        <v/>
      </c>
      <c r="BU1482">
        <f>IFERROR(INDEX(PP_Grid[#Data],$DE1482,70),0)</f>
        <v/>
      </c>
      <c r="BV1482">
        <f>IFERROR(INDEX(PP_Grid[#Data],$DE1482,71),0)</f>
        <v/>
      </c>
      <c r="BW1482">
        <f>IFERROR(INDEX(PP_Grid[#Data],$DE1482,72),0)</f>
        <v/>
      </c>
      <c r="BX1482">
        <f>IFERROR(INDEX(PP_Grid[#Data],$DE1482,73),0)</f>
        <v/>
      </c>
      <c r="BY1482">
        <f>IFERROR(INDEX(PP_Grid[#Data],$DE1482,74),0)</f>
        <v/>
      </c>
      <c r="BZ1482">
        <f>IFERROR(INDEX(PP_Grid[#Data],$DE1482,75),0)</f>
        <v/>
      </c>
      <c r="CA1482">
        <f>IFERROR(INDEX(PP_Grid[#Data],$DE1482,76),0)</f>
        <v/>
      </c>
      <c r="CB1482">
        <f>IFERROR(INDEX(PP_Grid[#Data],$DE1482,77),0)</f>
        <v/>
      </c>
      <c r="CC1482">
        <f>IFERROR(INDEX(PP_Grid[#Data],$DE1482,78),0)</f>
        <v/>
      </c>
      <c r="CD1482">
        <f>IFERROR(INDEX(PP_Grid[#Data],$DE1482,79),0)</f>
        <v/>
      </c>
      <c r="CE1482">
        <f>IFERROR(INDEX(PP_Grid[#Data],$DE1482,80),0)</f>
        <v/>
      </c>
      <c r="CF1482">
        <f>IFERROR(INDEX(PP_Grid[#Data],$DE1482,81),0)</f>
        <v/>
      </c>
      <c r="CG1482">
        <f>IFERROR(INDEX(PP_Grid[#Data],$DE1482,82),0)</f>
        <v/>
      </c>
      <c r="CH1482">
        <f>IFERROR(INDEX(PP_Grid[#Data],$DE1482,83),0)</f>
        <v/>
      </c>
      <c r="CI1482">
        <f>IFERROR(INDEX(PP_Grid[#Data],$DE1482,84),0)</f>
        <v/>
      </c>
      <c r="CJ1482">
        <f>IFERROR(INDEX(PP_Grid[#Data],$DE1482,85),0)</f>
        <v/>
      </c>
      <c r="CK1482">
        <f>IFERROR(INDEX(PP_Grid[#Data],$DE1482,86),0)</f>
        <v/>
      </c>
      <c r="CL1482">
        <f>IFERROR(INDEX(PP_Grid[#Data],$DE1482,87),0)</f>
        <v/>
      </c>
      <c r="CM1482">
        <f>IFERROR(INDEX(PP_Grid[#Data],$DE1482,88),0)</f>
        <v/>
      </c>
      <c r="CN1482">
        <f>IFERROR(INDEX(PP_Grid[#Data],$DE1482,89),0)</f>
        <v/>
      </c>
      <c r="CO1482">
        <f>IFERROR(INDEX(PP_Grid[#Data],$DE1482,90),0)</f>
        <v/>
      </c>
      <c r="CP1482">
        <f>IFERROR(INDEX(PP_Grid[#Data],$DE1482,91),0)</f>
        <v/>
      </c>
      <c r="CQ1482">
        <f>IFERROR(INDEX(PP_Grid[#Data],$DE1482,92),0)</f>
        <v/>
      </c>
      <c r="CR1482">
        <f>IFERROR(INDEX(PP_Grid[#Data],$DE1482,93),0)</f>
        <v/>
      </c>
      <c r="CS1482">
        <f>IFERROR(INDEX(PP_Grid[#Data],$DE1482,94),0)</f>
        <v/>
      </c>
      <c r="CT1482">
        <f>IFERROR(INDEX(PP_Grid[#Data],$DE1482,95),0)</f>
        <v/>
      </c>
      <c r="CU1482">
        <f>IFERROR(INDEX(PP_Grid[#Data],$DE1482,96),0)</f>
        <v/>
      </c>
      <c r="CV1482">
        <f>IFERROR(INDEX(PP_Grid[#Data],$DE1482,97),0)</f>
        <v/>
      </c>
      <c r="CW1482">
        <f>IFERROR(INDEX(PP_Grid[#Data],$DE1482,98),0)</f>
        <v/>
      </c>
      <c r="CX1482">
        <f>IFERROR(INDEX(PP_Grid[#Data],$DE1482,99),0)</f>
        <v/>
      </c>
      <c r="CY1482">
        <f>IFERROR(INDEX(PP_Grid[#Data],$DE1482,100),0)</f>
        <v/>
      </c>
      <c r="CZ1482">
        <f>IFERROR(INDEX(PP_Grid[#Data],$DE1482,101),0)</f>
        <v/>
      </c>
      <c r="DA1482">
        <f>IFERROR(INDEX(PP_Grid[#Data],$DE1482,102),0)</f>
        <v/>
      </c>
      <c r="DB1482">
        <f>IFERROR(INDEX(PP_Grid[#Data],$DE1482,103),0)</f>
        <v/>
      </c>
      <c r="DC1482">
        <f>IFERROR(INDEX(PP_Grid[#Data],$DE1482,104),0)</f>
        <v/>
      </c>
      <c r="DD1482">
        <f>IFERROR(INDEX(PP_Grid[#Data],$DE1482,105),0)</f>
        <v/>
      </c>
      <c r="DE1482" s="7">
        <f>IFERROR(MATCH($B1482,PP_Grid[Intermediate],0),99999)</f>
        <v/>
      </c>
    </row>
    <row r="1483">
      <c r="B1483" t="inlineStr">
        <is>
          <t>使用量(kg)</t>
        </is>
      </c>
      <c r="C1483">
        <f>SUMIFS(M_BOM[RM_Qty_Per_Batch],M_BOM[Intermediate],$B1482,M_BOM[RM_Code],$A1463)</f>
        <v/>
      </c>
      <c r="D1483">
        <f>IFERROR(INDEX(E1483:DD1483,$F$1),"")</f>
        <v/>
      </c>
      <c r="E1483">
        <f>$C1483*E1482</f>
        <v/>
      </c>
      <c r="F1483">
        <f>$C1483*F1482</f>
        <v/>
      </c>
      <c r="G1483">
        <f>$C1483*G1482</f>
        <v/>
      </c>
      <c r="H1483">
        <f>$C1483*H1482</f>
        <v/>
      </c>
      <c r="I1483">
        <f>$C1483*I1482</f>
        <v/>
      </c>
      <c r="J1483">
        <f>$C1483*J1482</f>
        <v/>
      </c>
      <c r="K1483">
        <f>$C1483*K1482</f>
        <v/>
      </c>
      <c r="L1483">
        <f>$C1483*L1482</f>
        <v/>
      </c>
      <c r="M1483">
        <f>$C1483*M1482</f>
        <v/>
      </c>
      <c r="N1483">
        <f>$C1483*N1482</f>
        <v/>
      </c>
      <c r="O1483">
        <f>$C1483*O1482</f>
        <v/>
      </c>
      <c r="P1483">
        <f>$C1483*P1482</f>
        <v/>
      </c>
      <c r="Q1483">
        <f>$C1483*Q1482</f>
        <v/>
      </c>
      <c r="R1483">
        <f>$C1483*R1482</f>
        <v/>
      </c>
      <c r="S1483">
        <f>$C1483*S1482</f>
        <v/>
      </c>
      <c r="T1483">
        <f>$C1483*T1482</f>
        <v/>
      </c>
      <c r="U1483">
        <f>$C1483*U1482</f>
        <v/>
      </c>
      <c r="V1483">
        <f>$C1483*V1482</f>
        <v/>
      </c>
      <c r="W1483">
        <f>$C1483*W1482</f>
        <v/>
      </c>
      <c r="X1483">
        <f>$C1483*X1482</f>
        <v/>
      </c>
      <c r="Y1483">
        <f>$C1483*Y1482</f>
        <v/>
      </c>
      <c r="Z1483">
        <f>$C1483*Z1482</f>
        <v/>
      </c>
      <c r="AA1483">
        <f>$C1483*AA1482</f>
        <v/>
      </c>
      <c r="AB1483">
        <f>$C1483*AB1482</f>
        <v/>
      </c>
      <c r="AC1483">
        <f>$C1483*AC1482</f>
        <v/>
      </c>
      <c r="AD1483">
        <f>$C1483*AD1482</f>
        <v/>
      </c>
      <c r="AE1483">
        <f>$C1483*AE1482</f>
        <v/>
      </c>
      <c r="AF1483">
        <f>$C1483*AF1482</f>
        <v/>
      </c>
      <c r="AG1483">
        <f>$C1483*AG1482</f>
        <v/>
      </c>
      <c r="AH1483">
        <f>$C1483*AH1482</f>
        <v/>
      </c>
      <c r="AI1483">
        <f>$C1483*AI1482</f>
        <v/>
      </c>
      <c r="AJ1483">
        <f>$C1483*AJ1482</f>
        <v/>
      </c>
      <c r="AK1483">
        <f>$C1483*AK1482</f>
        <v/>
      </c>
      <c r="AL1483">
        <f>$C1483*AL1482</f>
        <v/>
      </c>
      <c r="AM1483">
        <f>$C1483*AM1482</f>
        <v/>
      </c>
      <c r="AN1483">
        <f>$C1483*AN1482</f>
        <v/>
      </c>
      <c r="AO1483">
        <f>$C1483*AO1482</f>
        <v/>
      </c>
      <c r="AP1483">
        <f>$C1483*AP1482</f>
        <v/>
      </c>
      <c r="AQ1483">
        <f>$C1483*AQ1482</f>
        <v/>
      </c>
      <c r="AR1483">
        <f>$C1483*AR1482</f>
        <v/>
      </c>
      <c r="AS1483">
        <f>$C1483*AS1482</f>
        <v/>
      </c>
      <c r="AT1483">
        <f>$C1483*AT1482</f>
        <v/>
      </c>
      <c r="AU1483">
        <f>$C1483*AU1482</f>
        <v/>
      </c>
      <c r="AV1483">
        <f>$C1483*AV1482</f>
        <v/>
      </c>
      <c r="AW1483">
        <f>$C1483*AW1482</f>
        <v/>
      </c>
      <c r="AX1483">
        <f>$C1483*AX1482</f>
        <v/>
      </c>
      <c r="AY1483">
        <f>$C1483*AY1482</f>
        <v/>
      </c>
      <c r="AZ1483">
        <f>$C1483*AZ1482</f>
        <v/>
      </c>
      <c r="BA1483">
        <f>$C1483*BA1482</f>
        <v/>
      </c>
      <c r="BB1483">
        <f>$C1483*BB1482</f>
        <v/>
      </c>
      <c r="BC1483">
        <f>$C1483*BC1482</f>
        <v/>
      </c>
      <c r="BD1483">
        <f>$C1483*BD1482</f>
        <v/>
      </c>
      <c r="BE1483">
        <f>$C1483*BE1482</f>
        <v/>
      </c>
      <c r="BF1483">
        <f>$C1483*BF1482</f>
        <v/>
      </c>
      <c r="BG1483">
        <f>$C1483*BG1482</f>
        <v/>
      </c>
      <c r="BH1483">
        <f>$C1483*BH1482</f>
        <v/>
      </c>
      <c r="BI1483">
        <f>$C1483*BI1482</f>
        <v/>
      </c>
      <c r="BJ1483">
        <f>$C1483*BJ1482</f>
        <v/>
      </c>
      <c r="BK1483">
        <f>$C1483*BK1482</f>
        <v/>
      </c>
      <c r="BL1483">
        <f>$C1483*BL1482</f>
        <v/>
      </c>
      <c r="BM1483">
        <f>$C1483*BM1482</f>
        <v/>
      </c>
      <c r="BN1483">
        <f>$C1483*BN1482</f>
        <v/>
      </c>
      <c r="BO1483">
        <f>$C1483*BO1482</f>
        <v/>
      </c>
      <c r="BP1483">
        <f>$C1483*BP1482</f>
        <v/>
      </c>
      <c r="BQ1483">
        <f>$C1483*BQ1482</f>
        <v/>
      </c>
      <c r="BR1483">
        <f>$C1483*BR1482</f>
        <v/>
      </c>
      <c r="BS1483">
        <f>$C1483*BS1482</f>
        <v/>
      </c>
      <c r="BT1483">
        <f>$C1483*BT1482</f>
        <v/>
      </c>
      <c r="BU1483">
        <f>$C1483*BU1482</f>
        <v/>
      </c>
      <c r="BV1483">
        <f>$C1483*BV1482</f>
        <v/>
      </c>
      <c r="BW1483">
        <f>$C1483*BW1482</f>
        <v/>
      </c>
      <c r="BX1483">
        <f>$C1483*BX1482</f>
        <v/>
      </c>
      <c r="BY1483">
        <f>$C1483*BY1482</f>
        <v/>
      </c>
      <c r="BZ1483">
        <f>$C1483*BZ1482</f>
        <v/>
      </c>
      <c r="CA1483">
        <f>$C1483*CA1482</f>
        <v/>
      </c>
      <c r="CB1483">
        <f>$C1483*CB1482</f>
        <v/>
      </c>
      <c r="CC1483">
        <f>$C1483*CC1482</f>
        <v/>
      </c>
      <c r="CD1483">
        <f>$C1483*CD1482</f>
        <v/>
      </c>
      <c r="CE1483">
        <f>$C1483*CE1482</f>
        <v/>
      </c>
      <c r="CF1483">
        <f>$C1483*CF1482</f>
        <v/>
      </c>
      <c r="CG1483">
        <f>$C1483*CG1482</f>
        <v/>
      </c>
      <c r="CH1483">
        <f>$C1483*CH1482</f>
        <v/>
      </c>
      <c r="CI1483">
        <f>$C1483*CI1482</f>
        <v/>
      </c>
      <c r="CJ1483">
        <f>$C1483*CJ1482</f>
        <v/>
      </c>
      <c r="CK1483">
        <f>$C1483*CK1482</f>
        <v/>
      </c>
      <c r="CL1483">
        <f>$C1483*CL1482</f>
        <v/>
      </c>
      <c r="CM1483">
        <f>$C1483*CM1482</f>
        <v/>
      </c>
      <c r="CN1483">
        <f>$C1483*CN1482</f>
        <v/>
      </c>
      <c r="CO1483">
        <f>$C1483*CO1482</f>
        <v/>
      </c>
      <c r="CP1483">
        <f>$C1483*CP1482</f>
        <v/>
      </c>
      <c r="CQ1483">
        <f>$C1483*CQ1482</f>
        <v/>
      </c>
      <c r="CR1483">
        <f>$C1483*CR1482</f>
        <v/>
      </c>
      <c r="CS1483">
        <f>$C1483*CS1482</f>
        <v/>
      </c>
      <c r="CT1483">
        <f>$C1483*CT1482</f>
        <v/>
      </c>
      <c r="CU1483">
        <f>$C1483*CU1482</f>
        <v/>
      </c>
      <c r="CV1483">
        <f>$C1483*CV1482</f>
        <v/>
      </c>
      <c r="CW1483">
        <f>$C1483*CW1482</f>
        <v/>
      </c>
      <c r="CX1483">
        <f>$C1483*CX1482</f>
        <v/>
      </c>
      <c r="CY1483">
        <f>$C1483*CY1482</f>
        <v/>
      </c>
      <c r="CZ1483">
        <f>$C1483*CZ1482</f>
        <v/>
      </c>
      <c r="DA1483">
        <f>$C1483*DA1482</f>
        <v/>
      </c>
      <c r="DB1483">
        <f>$C1483*DB1482</f>
        <v/>
      </c>
      <c r="DC1483">
        <f>$C1483*DC1482</f>
        <v/>
      </c>
      <c r="DD1483">
        <f>$C1483*DD1482</f>
        <v/>
      </c>
    </row>
    <row r="1484">
      <c r="B1484" t="inlineStr">
        <is>
          <t>No of times used</t>
        </is>
      </c>
      <c r="C1484" t="inlineStr">
        <is>
          <t>No. of batches</t>
        </is>
      </c>
      <c r="D1484">
        <f>IFERROR(INDEX(E1484:DD1484,$F$1),"")</f>
        <v/>
      </c>
      <c r="E1484">
        <f>IFERROR(INDEX(PP_Grid[#Data],$DE1484,2),0)</f>
        <v/>
      </c>
      <c r="F1484">
        <f>IFERROR(INDEX(PP_Grid[#Data],$DE1484,3),0)</f>
        <v/>
      </c>
      <c r="G1484">
        <f>IFERROR(INDEX(PP_Grid[#Data],$DE1484,4),0)</f>
        <v/>
      </c>
      <c r="H1484">
        <f>IFERROR(INDEX(PP_Grid[#Data],$DE1484,5),0)</f>
        <v/>
      </c>
      <c r="I1484">
        <f>IFERROR(INDEX(PP_Grid[#Data],$DE1484,6),0)</f>
        <v/>
      </c>
      <c r="J1484">
        <f>IFERROR(INDEX(PP_Grid[#Data],$DE1484,7),0)</f>
        <v/>
      </c>
      <c r="K1484">
        <f>IFERROR(INDEX(PP_Grid[#Data],$DE1484,8),0)</f>
        <v/>
      </c>
      <c r="L1484">
        <f>IFERROR(INDEX(PP_Grid[#Data],$DE1484,9),0)</f>
        <v/>
      </c>
      <c r="M1484">
        <f>IFERROR(INDEX(PP_Grid[#Data],$DE1484,10),0)</f>
        <v/>
      </c>
      <c r="N1484">
        <f>IFERROR(INDEX(PP_Grid[#Data],$DE1484,11),0)</f>
        <v/>
      </c>
      <c r="O1484">
        <f>IFERROR(INDEX(PP_Grid[#Data],$DE1484,12),0)</f>
        <v/>
      </c>
      <c r="P1484">
        <f>IFERROR(INDEX(PP_Grid[#Data],$DE1484,13),0)</f>
        <v/>
      </c>
      <c r="Q1484">
        <f>IFERROR(INDEX(PP_Grid[#Data],$DE1484,14),0)</f>
        <v/>
      </c>
      <c r="R1484">
        <f>IFERROR(INDEX(PP_Grid[#Data],$DE1484,15),0)</f>
        <v/>
      </c>
      <c r="S1484">
        <f>IFERROR(INDEX(PP_Grid[#Data],$DE1484,16),0)</f>
        <v/>
      </c>
      <c r="T1484">
        <f>IFERROR(INDEX(PP_Grid[#Data],$DE1484,17),0)</f>
        <v/>
      </c>
      <c r="U1484">
        <f>IFERROR(INDEX(PP_Grid[#Data],$DE1484,18),0)</f>
        <v/>
      </c>
      <c r="V1484">
        <f>IFERROR(INDEX(PP_Grid[#Data],$DE1484,19),0)</f>
        <v/>
      </c>
      <c r="W1484">
        <f>IFERROR(INDEX(PP_Grid[#Data],$DE1484,20),0)</f>
        <v/>
      </c>
      <c r="X1484">
        <f>IFERROR(INDEX(PP_Grid[#Data],$DE1484,21),0)</f>
        <v/>
      </c>
      <c r="Y1484">
        <f>IFERROR(INDEX(PP_Grid[#Data],$DE1484,22),0)</f>
        <v/>
      </c>
      <c r="Z1484">
        <f>IFERROR(INDEX(PP_Grid[#Data],$DE1484,23),0)</f>
        <v/>
      </c>
      <c r="AA1484">
        <f>IFERROR(INDEX(PP_Grid[#Data],$DE1484,24),0)</f>
        <v/>
      </c>
      <c r="AB1484">
        <f>IFERROR(INDEX(PP_Grid[#Data],$DE1484,25),0)</f>
        <v/>
      </c>
      <c r="AC1484">
        <f>IFERROR(INDEX(PP_Grid[#Data],$DE1484,26),0)</f>
        <v/>
      </c>
      <c r="AD1484">
        <f>IFERROR(INDEX(PP_Grid[#Data],$DE1484,27),0)</f>
        <v/>
      </c>
      <c r="AE1484">
        <f>IFERROR(INDEX(PP_Grid[#Data],$DE1484,28),0)</f>
        <v/>
      </c>
      <c r="AF1484">
        <f>IFERROR(INDEX(PP_Grid[#Data],$DE1484,29),0)</f>
        <v/>
      </c>
      <c r="AG1484">
        <f>IFERROR(INDEX(PP_Grid[#Data],$DE1484,30),0)</f>
        <v/>
      </c>
      <c r="AH1484">
        <f>IFERROR(INDEX(PP_Grid[#Data],$DE1484,31),0)</f>
        <v/>
      </c>
      <c r="AI1484">
        <f>IFERROR(INDEX(PP_Grid[#Data],$DE1484,32),0)</f>
        <v/>
      </c>
      <c r="AJ1484">
        <f>IFERROR(INDEX(PP_Grid[#Data],$DE1484,33),0)</f>
        <v/>
      </c>
      <c r="AK1484">
        <f>IFERROR(INDEX(PP_Grid[#Data],$DE1484,34),0)</f>
        <v/>
      </c>
      <c r="AL1484">
        <f>IFERROR(INDEX(PP_Grid[#Data],$DE1484,35),0)</f>
        <v/>
      </c>
      <c r="AM1484">
        <f>IFERROR(INDEX(PP_Grid[#Data],$DE1484,36),0)</f>
        <v/>
      </c>
      <c r="AN1484">
        <f>IFERROR(INDEX(PP_Grid[#Data],$DE1484,37),0)</f>
        <v/>
      </c>
      <c r="AO1484">
        <f>IFERROR(INDEX(PP_Grid[#Data],$DE1484,38),0)</f>
        <v/>
      </c>
      <c r="AP1484">
        <f>IFERROR(INDEX(PP_Grid[#Data],$DE1484,39),0)</f>
        <v/>
      </c>
      <c r="AQ1484">
        <f>IFERROR(INDEX(PP_Grid[#Data],$DE1484,40),0)</f>
        <v/>
      </c>
      <c r="AR1484">
        <f>IFERROR(INDEX(PP_Grid[#Data],$DE1484,41),0)</f>
        <v/>
      </c>
      <c r="AS1484">
        <f>IFERROR(INDEX(PP_Grid[#Data],$DE1484,42),0)</f>
        <v/>
      </c>
      <c r="AT1484">
        <f>IFERROR(INDEX(PP_Grid[#Data],$DE1484,43),0)</f>
        <v/>
      </c>
      <c r="AU1484">
        <f>IFERROR(INDEX(PP_Grid[#Data],$DE1484,44),0)</f>
        <v/>
      </c>
      <c r="AV1484">
        <f>IFERROR(INDEX(PP_Grid[#Data],$DE1484,45),0)</f>
        <v/>
      </c>
      <c r="AW1484">
        <f>IFERROR(INDEX(PP_Grid[#Data],$DE1484,46),0)</f>
        <v/>
      </c>
      <c r="AX1484">
        <f>IFERROR(INDEX(PP_Grid[#Data],$DE1484,47),0)</f>
        <v/>
      </c>
      <c r="AY1484">
        <f>IFERROR(INDEX(PP_Grid[#Data],$DE1484,48),0)</f>
        <v/>
      </c>
      <c r="AZ1484">
        <f>IFERROR(INDEX(PP_Grid[#Data],$DE1484,49),0)</f>
        <v/>
      </c>
      <c r="BA1484">
        <f>IFERROR(INDEX(PP_Grid[#Data],$DE1484,50),0)</f>
        <v/>
      </c>
      <c r="BB1484">
        <f>IFERROR(INDEX(PP_Grid[#Data],$DE1484,51),0)</f>
        <v/>
      </c>
      <c r="BC1484">
        <f>IFERROR(INDEX(PP_Grid[#Data],$DE1484,52),0)</f>
        <v/>
      </c>
      <c r="BD1484">
        <f>IFERROR(INDEX(PP_Grid[#Data],$DE1484,53),0)</f>
        <v/>
      </c>
      <c r="BE1484">
        <f>IFERROR(INDEX(PP_Grid[#Data],$DE1484,54),0)</f>
        <v/>
      </c>
      <c r="BF1484">
        <f>IFERROR(INDEX(PP_Grid[#Data],$DE1484,55),0)</f>
        <v/>
      </c>
      <c r="BG1484">
        <f>IFERROR(INDEX(PP_Grid[#Data],$DE1484,56),0)</f>
        <v/>
      </c>
      <c r="BH1484">
        <f>IFERROR(INDEX(PP_Grid[#Data],$DE1484,57),0)</f>
        <v/>
      </c>
      <c r="BI1484">
        <f>IFERROR(INDEX(PP_Grid[#Data],$DE1484,58),0)</f>
        <v/>
      </c>
      <c r="BJ1484">
        <f>IFERROR(INDEX(PP_Grid[#Data],$DE1484,59),0)</f>
        <v/>
      </c>
      <c r="BK1484">
        <f>IFERROR(INDEX(PP_Grid[#Data],$DE1484,60),0)</f>
        <v/>
      </c>
      <c r="BL1484">
        <f>IFERROR(INDEX(PP_Grid[#Data],$DE1484,61),0)</f>
        <v/>
      </c>
      <c r="BM1484">
        <f>IFERROR(INDEX(PP_Grid[#Data],$DE1484,62),0)</f>
        <v/>
      </c>
      <c r="BN1484">
        <f>IFERROR(INDEX(PP_Grid[#Data],$DE1484,63),0)</f>
        <v/>
      </c>
      <c r="BO1484">
        <f>IFERROR(INDEX(PP_Grid[#Data],$DE1484,64),0)</f>
        <v/>
      </c>
      <c r="BP1484">
        <f>IFERROR(INDEX(PP_Grid[#Data],$DE1484,65),0)</f>
        <v/>
      </c>
      <c r="BQ1484">
        <f>IFERROR(INDEX(PP_Grid[#Data],$DE1484,66),0)</f>
        <v/>
      </c>
      <c r="BR1484">
        <f>IFERROR(INDEX(PP_Grid[#Data],$DE1484,67),0)</f>
        <v/>
      </c>
      <c r="BS1484">
        <f>IFERROR(INDEX(PP_Grid[#Data],$DE1484,68),0)</f>
        <v/>
      </c>
      <c r="BT1484">
        <f>IFERROR(INDEX(PP_Grid[#Data],$DE1484,69),0)</f>
        <v/>
      </c>
      <c r="BU1484">
        <f>IFERROR(INDEX(PP_Grid[#Data],$DE1484,70),0)</f>
        <v/>
      </c>
      <c r="BV1484">
        <f>IFERROR(INDEX(PP_Grid[#Data],$DE1484,71),0)</f>
        <v/>
      </c>
      <c r="BW1484">
        <f>IFERROR(INDEX(PP_Grid[#Data],$DE1484,72),0)</f>
        <v/>
      </c>
      <c r="BX1484">
        <f>IFERROR(INDEX(PP_Grid[#Data],$DE1484,73),0)</f>
        <v/>
      </c>
      <c r="BY1484">
        <f>IFERROR(INDEX(PP_Grid[#Data],$DE1484,74),0)</f>
        <v/>
      </c>
      <c r="BZ1484">
        <f>IFERROR(INDEX(PP_Grid[#Data],$DE1484,75),0)</f>
        <v/>
      </c>
      <c r="CA1484">
        <f>IFERROR(INDEX(PP_Grid[#Data],$DE1484,76),0)</f>
        <v/>
      </c>
      <c r="CB1484">
        <f>IFERROR(INDEX(PP_Grid[#Data],$DE1484,77),0)</f>
        <v/>
      </c>
      <c r="CC1484">
        <f>IFERROR(INDEX(PP_Grid[#Data],$DE1484,78),0)</f>
        <v/>
      </c>
      <c r="CD1484">
        <f>IFERROR(INDEX(PP_Grid[#Data],$DE1484,79),0)</f>
        <v/>
      </c>
      <c r="CE1484">
        <f>IFERROR(INDEX(PP_Grid[#Data],$DE1484,80),0)</f>
        <v/>
      </c>
      <c r="CF1484">
        <f>IFERROR(INDEX(PP_Grid[#Data],$DE1484,81),0)</f>
        <v/>
      </c>
      <c r="CG1484">
        <f>IFERROR(INDEX(PP_Grid[#Data],$DE1484,82),0)</f>
        <v/>
      </c>
      <c r="CH1484">
        <f>IFERROR(INDEX(PP_Grid[#Data],$DE1484,83),0)</f>
        <v/>
      </c>
      <c r="CI1484">
        <f>IFERROR(INDEX(PP_Grid[#Data],$DE1484,84),0)</f>
        <v/>
      </c>
      <c r="CJ1484">
        <f>IFERROR(INDEX(PP_Grid[#Data],$DE1484,85),0)</f>
        <v/>
      </c>
      <c r="CK1484">
        <f>IFERROR(INDEX(PP_Grid[#Data],$DE1484,86),0)</f>
        <v/>
      </c>
      <c r="CL1484">
        <f>IFERROR(INDEX(PP_Grid[#Data],$DE1484,87),0)</f>
        <v/>
      </c>
      <c r="CM1484">
        <f>IFERROR(INDEX(PP_Grid[#Data],$DE1484,88),0)</f>
        <v/>
      </c>
      <c r="CN1484">
        <f>IFERROR(INDEX(PP_Grid[#Data],$DE1484,89),0)</f>
        <v/>
      </c>
      <c r="CO1484">
        <f>IFERROR(INDEX(PP_Grid[#Data],$DE1484,90),0)</f>
        <v/>
      </c>
      <c r="CP1484">
        <f>IFERROR(INDEX(PP_Grid[#Data],$DE1484,91),0)</f>
        <v/>
      </c>
      <c r="CQ1484">
        <f>IFERROR(INDEX(PP_Grid[#Data],$DE1484,92),0)</f>
        <v/>
      </c>
      <c r="CR1484">
        <f>IFERROR(INDEX(PP_Grid[#Data],$DE1484,93),0)</f>
        <v/>
      </c>
      <c r="CS1484">
        <f>IFERROR(INDEX(PP_Grid[#Data],$DE1484,94),0)</f>
        <v/>
      </c>
      <c r="CT1484">
        <f>IFERROR(INDEX(PP_Grid[#Data],$DE1484,95),0)</f>
        <v/>
      </c>
      <c r="CU1484">
        <f>IFERROR(INDEX(PP_Grid[#Data],$DE1484,96),0)</f>
        <v/>
      </c>
      <c r="CV1484">
        <f>IFERROR(INDEX(PP_Grid[#Data],$DE1484,97),0)</f>
        <v/>
      </c>
      <c r="CW1484">
        <f>IFERROR(INDEX(PP_Grid[#Data],$DE1484,98),0)</f>
        <v/>
      </c>
      <c r="CX1484">
        <f>IFERROR(INDEX(PP_Grid[#Data],$DE1484,99),0)</f>
        <v/>
      </c>
      <c r="CY1484">
        <f>IFERROR(INDEX(PP_Grid[#Data],$DE1484,100),0)</f>
        <v/>
      </c>
      <c r="CZ1484">
        <f>IFERROR(INDEX(PP_Grid[#Data],$DE1484,101),0)</f>
        <v/>
      </c>
      <c r="DA1484">
        <f>IFERROR(INDEX(PP_Grid[#Data],$DE1484,102),0)</f>
        <v/>
      </c>
      <c r="DB1484">
        <f>IFERROR(INDEX(PP_Grid[#Data],$DE1484,103),0)</f>
        <v/>
      </c>
      <c r="DC1484">
        <f>IFERROR(INDEX(PP_Grid[#Data],$DE1484,104),0)</f>
        <v/>
      </c>
      <c r="DD1484">
        <f>IFERROR(INDEX(PP_Grid[#Data],$DE1484,105),0)</f>
        <v/>
      </c>
      <c r="DE1484" s="7">
        <f>IFERROR(MATCH($B1484,PP_Grid[Intermediate],0),99999)</f>
        <v/>
      </c>
    </row>
    <row r="1485">
      <c r="B1485" t="inlineStr">
        <is>
          <t>使用量(kg)</t>
        </is>
      </c>
      <c r="C1485">
        <f>SUMIFS(M_BOM[RM_Qty_Per_Batch],M_BOM[Intermediate],$B1484,M_BOM[RM_Code],$A1463)</f>
        <v/>
      </c>
      <c r="D1485">
        <f>IFERROR(INDEX(E1485:DD1485,$F$1),"")</f>
        <v/>
      </c>
      <c r="E1485">
        <f>$C1485*E1484</f>
        <v/>
      </c>
      <c r="F1485">
        <f>$C1485*F1484</f>
        <v/>
      </c>
      <c r="G1485">
        <f>$C1485*G1484</f>
        <v/>
      </c>
      <c r="H1485">
        <f>$C1485*H1484</f>
        <v/>
      </c>
      <c r="I1485">
        <f>$C1485*I1484</f>
        <v/>
      </c>
      <c r="J1485">
        <f>$C1485*J1484</f>
        <v/>
      </c>
      <c r="K1485">
        <f>$C1485*K1484</f>
        <v/>
      </c>
      <c r="L1485">
        <f>$C1485*L1484</f>
        <v/>
      </c>
      <c r="M1485">
        <f>$C1485*M1484</f>
        <v/>
      </c>
      <c r="N1485">
        <f>$C1485*N1484</f>
        <v/>
      </c>
      <c r="O1485">
        <f>$C1485*O1484</f>
        <v/>
      </c>
      <c r="P1485">
        <f>$C1485*P1484</f>
        <v/>
      </c>
      <c r="Q1485">
        <f>$C1485*Q1484</f>
        <v/>
      </c>
      <c r="R1485">
        <f>$C1485*R1484</f>
        <v/>
      </c>
      <c r="S1485">
        <f>$C1485*S1484</f>
        <v/>
      </c>
      <c r="T1485">
        <f>$C1485*T1484</f>
        <v/>
      </c>
      <c r="U1485">
        <f>$C1485*U1484</f>
        <v/>
      </c>
      <c r="V1485">
        <f>$C1485*V1484</f>
        <v/>
      </c>
      <c r="W1485">
        <f>$C1485*W1484</f>
        <v/>
      </c>
      <c r="X1485">
        <f>$C1485*X1484</f>
        <v/>
      </c>
      <c r="Y1485">
        <f>$C1485*Y1484</f>
        <v/>
      </c>
      <c r="Z1485">
        <f>$C1485*Z1484</f>
        <v/>
      </c>
      <c r="AA1485">
        <f>$C1485*AA1484</f>
        <v/>
      </c>
      <c r="AB1485">
        <f>$C1485*AB1484</f>
        <v/>
      </c>
      <c r="AC1485">
        <f>$C1485*AC1484</f>
        <v/>
      </c>
      <c r="AD1485">
        <f>$C1485*AD1484</f>
        <v/>
      </c>
      <c r="AE1485">
        <f>$C1485*AE1484</f>
        <v/>
      </c>
      <c r="AF1485">
        <f>$C1485*AF1484</f>
        <v/>
      </c>
      <c r="AG1485">
        <f>$C1485*AG1484</f>
        <v/>
      </c>
      <c r="AH1485">
        <f>$C1485*AH1484</f>
        <v/>
      </c>
      <c r="AI1485">
        <f>$C1485*AI1484</f>
        <v/>
      </c>
      <c r="AJ1485">
        <f>$C1485*AJ1484</f>
        <v/>
      </c>
      <c r="AK1485">
        <f>$C1485*AK1484</f>
        <v/>
      </c>
      <c r="AL1485">
        <f>$C1485*AL1484</f>
        <v/>
      </c>
      <c r="AM1485">
        <f>$C1485*AM1484</f>
        <v/>
      </c>
      <c r="AN1485">
        <f>$C1485*AN1484</f>
        <v/>
      </c>
      <c r="AO1485">
        <f>$C1485*AO1484</f>
        <v/>
      </c>
      <c r="AP1485">
        <f>$C1485*AP1484</f>
        <v/>
      </c>
      <c r="AQ1485">
        <f>$C1485*AQ1484</f>
        <v/>
      </c>
      <c r="AR1485">
        <f>$C1485*AR1484</f>
        <v/>
      </c>
      <c r="AS1485">
        <f>$C1485*AS1484</f>
        <v/>
      </c>
      <c r="AT1485">
        <f>$C1485*AT1484</f>
        <v/>
      </c>
      <c r="AU1485">
        <f>$C1485*AU1484</f>
        <v/>
      </c>
      <c r="AV1485">
        <f>$C1485*AV1484</f>
        <v/>
      </c>
      <c r="AW1485">
        <f>$C1485*AW1484</f>
        <v/>
      </c>
      <c r="AX1485">
        <f>$C1485*AX1484</f>
        <v/>
      </c>
      <c r="AY1485">
        <f>$C1485*AY1484</f>
        <v/>
      </c>
      <c r="AZ1485">
        <f>$C1485*AZ1484</f>
        <v/>
      </c>
      <c r="BA1485">
        <f>$C1485*BA1484</f>
        <v/>
      </c>
      <c r="BB1485">
        <f>$C1485*BB1484</f>
        <v/>
      </c>
      <c r="BC1485">
        <f>$C1485*BC1484</f>
        <v/>
      </c>
      <c r="BD1485">
        <f>$C1485*BD1484</f>
        <v/>
      </c>
      <c r="BE1485">
        <f>$C1485*BE1484</f>
        <v/>
      </c>
      <c r="BF1485">
        <f>$C1485*BF1484</f>
        <v/>
      </c>
      <c r="BG1485">
        <f>$C1485*BG1484</f>
        <v/>
      </c>
      <c r="BH1485">
        <f>$C1485*BH1484</f>
        <v/>
      </c>
      <c r="BI1485">
        <f>$C1485*BI1484</f>
        <v/>
      </c>
      <c r="BJ1485">
        <f>$C1485*BJ1484</f>
        <v/>
      </c>
      <c r="BK1485">
        <f>$C1485*BK1484</f>
        <v/>
      </c>
      <c r="BL1485">
        <f>$C1485*BL1484</f>
        <v/>
      </c>
      <c r="BM1485">
        <f>$C1485*BM1484</f>
        <v/>
      </c>
      <c r="BN1485">
        <f>$C1485*BN1484</f>
        <v/>
      </c>
      <c r="BO1485">
        <f>$C1485*BO1484</f>
        <v/>
      </c>
      <c r="BP1485">
        <f>$C1485*BP1484</f>
        <v/>
      </c>
      <c r="BQ1485">
        <f>$C1485*BQ1484</f>
        <v/>
      </c>
      <c r="BR1485">
        <f>$C1485*BR1484</f>
        <v/>
      </c>
      <c r="BS1485">
        <f>$C1485*BS1484</f>
        <v/>
      </c>
      <c r="BT1485">
        <f>$C1485*BT1484</f>
        <v/>
      </c>
      <c r="BU1485">
        <f>$C1485*BU1484</f>
        <v/>
      </c>
      <c r="BV1485">
        <f>$C1485*BV1484</f>
        <v/>
      </c>
      <c r="BW1485">
        <f>$C1485*BW1484</f>
        <v/>
      </c>
      <c r="BX1485">
        <f>$C1485*BX1484</f>
        <v/>
      </c>
      <c r="BY1485">
        <f>$C1485*BY1484</f>
        <v/>
      </c>
      <c r="BZ1485">
        <f>$C1485*BZ1484</f>
        <v/>
      </c>
      <c r="CA1485">
        <f>$C1485*CA1484</f>
        <v/>
      </c>
      <c r="CB1485">
        <f>$C1485*CB1484</f>
        <v/>
      </c>
      <c r="CC1485">
        <f>$C1485*CC1484</f>
        <v/>
      </c>
      <c r="CD1485">
        <f>$C1485*CD1484</f>
        <v/>
      </c>
      <c r="CE1485">
        <f>$C1485*CE1484</f>
        <v/>
      </c>
      <c r="CF1485">
        <f>$C1485*CF1484</f>
        <v/>
      </c>
      <c r="CG1485">
        <f>$C1485*CG1484</f>
        <v/>
      </c>
      <c r="CH1485">
        <f>$C1485*CH1484</f>
        <v/>
      </c>
      <c r="CI1485">
        <f>$C1485*CI1484</f>
        <v/>
      </c>
      <c r="CJ1485">
        <f>$C1485*CJ1484</f>
        <v/>
      </c>
      <c r="CK1485">
        <f>$C1485*CK1484</f>
        <v/>
      </c>
      <c r="CL1485">
        <f>$C1485*CL1484</f>
        <v/>
      </c>
      <c r="CM1485">
        <f>$C1485*CM1484</f>
        <v/>
      </c>
      <c r="CN1485">
        <f>$C1485*CN1484</f>
        <v/>
      </c>
      <c r="CO1485">
        <f>$C1485*CO1484</f>
        <v/>
      </c>
      <c r="CP1485">
        <f>$C1485*CP1484</f>
        <v/>
      </c>
      <c r="CQ1485">
        <f>$C1485*CQ1484</f>
        <v/>
      </c>
      <c r="CR1485">
        <f>$C1485*CR1484</f>
        <v/>
      </c>
      <c r="CS1485">
        <f>$C1485*CS1484</f>
        <v/>
      </c>
      <c r="CT1485">
        <f>$C1485*CT1484</f>
        <v/>
      </c>
      <c r="CU1485">
        <f>$C1485*CU1484</f>
        <v/>
      </c>
      <c r="CV1485">
        <f>$C1485*CV1484</f>
        <v/>
      </c>
      <c r="CW1485">
        <f>$C1485*CW1484</f>
        <v/>
      </c>
      <c r="CX1485">
        <f>$C1485*CX1484</f>
        <v/>
      </c>
      <c r="CY1485">
        <f>$C1485*CY1484</f>
        <v/>
      </c>
      <c r="CZ1485">
        <f>$C1485*CZ1484</f>
        <v/>
      </c>
      <c r="DA1485">
        <f>$C1485*DA1484</f>
        <v/>
      </c>
      <c r="DB1485">
        <f>$C1485*DB1484</f>
        <v/>
      </c>
      <c r="DC1485">
        <f>$C1485*DC1484</f>
        <v/>
      </c>
      <c r="DD1485">
        <f>$C1485*DD1484</f>
        <v/>
      </c>
    </row>
    <row r="1486">
      <c r="B1486" s="4" t="inlineStr">
        <is>
          <t>合計使用量(kg)/週</t>
        </is>
      </c>
      <c r="D1486" s="22">
        <f>IFERROR(INDEX(E1486:DD1486,$F$1),"")</f>
        <v/>
      </c>
      <c r="E1486">
        <f>'Grid_Requirement'!B37</f>
        <v/>
      </c>
      <c r="F1486">
        <f>'Grid_Requirement'!C37</f>
        <v/>
      </c>
      <c r="G1486">
        <f>'Grid_Requirement'!D37</f>
        <v/>
      </c>
      <c r="H1486">
        <f>'Grid_Requirement'!E37</f>
        <v/>
      </c>
      <c r="I1486">
        <f>'Grid_Requirement'!F37</f>
        <v/>
      </c>
      <c r="J1486">
        <f>'Grid_Requirement'!G37</f>
        <v/>
      </c>
      <c r="K1486">
        <f>'Grid_Requirement'!H37</f>
        <v/>
      </c>
      <c r="L1486">
        <f>'Grid_Requirement'!I37</f>
        <v/>
      </c>
      <c r="M1486">
        <f>'Grid_Requirement'!J37</f>
        <v/>
      </c>
      <c r="N1486">
        <f>'Grid_Requirement'!K37</f>
        <v/>
      </c>
      <c r="O1486">
        <f>'Grid_Requirement'!L37</f>
        <v/>
      </c>
      <c r="P1486">
        <f>'Grid_Requirement'!M37</f>
        <v/>
      </c>
      <c r="Q1486">
        <f>'Grid_Requirement'!N37</f>
        <v/>
      </c>
      <c r="R1486">
        <f>'Grid_Requirement'!O37</f>
        <v/>
      </c>
      <c r="S1486">
        <f>'Grid_Requirement'!P37</f>
        <v/>
      </c>
      <c r="T1486">
        <f>'Grid_Requirement'!Q37</f>
        <v/>
      </c>
      <c r="U1486">
        <f>'Grid_Requirement'!R37</f>
        <v/>
      </c>
      <c r="V1486">
        <f>'Grid_Requirement'!S37</f>
        <v/>
      </c>
      <c r="W1486">
        <f>'Grid_Requirement'!T37</f>
        <v/>
      </c>
      <c r="X1486">
        <f>'Grid_Requirement'!U37</f>
        <v/>
      </c>
      <c r="Y1486">
        <f>'Grid_Requirement'!V37</f>
        <v/>
      </c>
      <c r="Z1486">
        <f>'Grid_Requirement'!W37</f>
        <v/>
      </c>
      <c r="AA1486">
        <f>'Grid_Requirement'!X37</f>
        <v/>
      </c>
      <c r="AB1486">
        <f>'Grid_Requirement'!Y37</f>
        <v/>
      </c>
      <c r="AC1486">
        <f>'Grid_Requirement'!Z37</f>
        <v/>
      </c>
      <c r="AD1486">
        <f>'Grid_Requirement'!AA37</f>
        <v/>
      </c>
      <c r="AE1486">
        <f>'Grid_Requirement'!AB37</f>
        <v/>
      </c>
      <c r="AF1486">
        <f>'Grid_Requirement'!AC37</f>
        <v/>
      </c>
      <c r="AG1486">
        <f>'Grid_Requirement'!AD37</f>
        <v/>
      </c>
      <c r="AH1486">
        <f>'Grid_Requirement'!AE37</f>
        <v/>
      </c>
      <c r="AI1486">
        <f>'Grid_Requirement'!AF37</f>
        <v/>
      </c>
      <c r="AJ1486">
        <f>'Grid_Requirement'!AG37</f>
        <v/>
      </c>
      <c r="AK1486">
        <f>'Grid_Requirement'!AH37</f>
        <v/>
      </c>
      <c r="AL1486">
        <f>'Grid_Requirement'!AI37</f>
        <v/>
      </c>
      <c r="AM1486">
        <f>'Grid_Requirement'!AJ37</f>
        <v/>
      </c>
      <c r="AN1486">
        <f>'Grid_Requirement'!AK37</f>
        <v/>
      </c>
      <c r="AO1486">
        <f>'Grid_Requirement'!AL37</f>
        <v/>
      </c>
      <c r="AP1486">
        <f>'Grid_Requirement'!AM37</f>
        <v/>
      </c>
      <c r="AQ1486">
        <f>'Grid_Requirement'!AN37</f>
        <v/>
      </c>
      <c r="AR1486">
        <f>'Grid_Requirement'!AO37</f>
        <v/>
      </c>
      <c r="AS1486">
        <f>'Grid_Requirement'!AP37</f>
        <v/>
      </c>
      <c r="AT1486">
        <f>'Grid_Requirement'!AQ37</f>
        <v/>
      </c>
      <c r="AU1486">
        <f>'Grid_Requirement'!AR37</f>
        <v/>
      </c>
      <c r="AV1486">
        <f>'Grid_Requirement'!AS37</f>
        <v/>
      </c>
      <c r="AW1486">
        <f>'Grid_Requirement'!AT37</f>
        <v/>
      </c>
      <c r="AX1486">
        <f>'Grid_Requirement'!AU37</f>
        <v/>
      </c>
      <c r="AY1486">
        <f>'Grid_Requirement'!AV37</f>
        <v/>
      </c>
      <c r="AZ1486">
        <f>'Grid_Requirement'!AW37</f>
        <v/>
      </c>
      <c r="BA1486">
        <f>'Grid_Requirement'!AX37</f>
        <v/>
      </c>
      <c r="BB1486">
        <f>'Grid_Requirement'!AY37</f>
        <v/>
      </c>
      <c r="BC1486">
        <f>'Grid_Requirement'!AZ37</f>
        <v/>
      </c>
      <c r="BD1486">
        <f>'Grid_Requirement'!BA37</f>
        <v/>
      </c>
      <c r="BE1486">
        <f>'Grid_Requirement'!BB37</f>
        <v/>
      </c>
      <c r="BF1486">
        <f>'Grid_Requirement'!BC37</f>
        <v/>
      </c>
      <c r="BG1486">
        <f>'Grid_Requirement'!BD37</f>
        <v/>
      </c>
      <c r="BH1486">
        <f>'Grid_Requirement'!BE37</f>
        <v/>
      </c>
      <c r="BI1486">
        <f>'Grid_Requirement'!BF37</f>
        <v/>
      </c>
      <c r="BJ1486">
        <f>'Grid_Requirement'!BG37</f>
        <v/>
      </c>
      <c r="BK1486">
        <f>'Grid_Requirement'!BH37</f>
        <v/>
      </c>
      <c r="BL1486">
        <f>'Grid_Requirement'!BI37</f>
        <v/>
      </c>
      <c r="BM1486">
        <f>'Grid_Requirement'!BJ37</f>
        <v/>
      </c>
      <c r="BN1486">
        <f>'Grid_Requirement'!BK37</f>
        <v/>
      </c>
      <c r="BO1486">
        <f>'Grid_Requirement'!BL37</f>
        <v/>
      </c>
      <c r="BP1486">
        <f>'Grid_Requirement'!BM37</f>
        <v/>
      </c>
      <c r="BQ1486">
        <f>'Grid_Requirement'!BN37</f>
        <v/>
      </c>
      <c r="BR1486">
        <f>'Grid_Requirement'!BO37</f>
        <v/>
      </c>
      <c r="BS1486">
        <f>'Grid_Requirement'!BP37</f>
        <v/>
      </c>
      <c r="BT1486">
        <f>'Grid_Requirement'!BQ37</f>
        <v/>
      </c>
      <c r="BU1486">
        <f>'Grid_Requirement'!BR37</f>
        <v/>
      </c>
      <c r="BV1486">
        <f>'Grid_Requirement'!BS37</f>
        <v/>
      </c>
      <c r="BW1486">
        <f>'Grid_Requirement'!BT37</f>
        <v/>
      </c>
      <c r="BX1486">
        <f>'Grid_Requirement'!BU37</f>
        <v/>
      </c>
      <c r="BY1486">
        <f>'Grid_Requirement'!BV37</f>
        <v/>
      </c>
      <c r="BZ1486">
        <f>'Grid_Requirement'!BW37</f>
        <v/>
      </c>
      <c r="CA1486">
        <f>'Grid_Requirement'!BX37</f>
        <v/>
      </c>
      <c r="CB1486">
        <f>'Grid_Requirement'!BY37</f>
        <v/>
      </c>
      <c r="CC1486">
        <f>'Grid_Requirement'!BZ37</f>
        <v/>
      </c>
      <c r="CD1486">
        <f>'Grid_Requirement'!CA37</f>
        <v/>
      </c>
      <c r="CE1486">
        <f>'Grid_Requirement'!CB37</f>
        <v/>
      </c>
      <c r="CF1486">
        <f>'Grid_Requirement'!CC37</f>
        <v/>
      </c>
      <c r="CG1486">
        <f>'Grid_Requirement'!CD37</f>
        <v/>
      </c>
      <c r="CH1486">
        <f>'Grid_Requirement'!CE37</f>
        <v/>
      </c>
      <c r="CI1486">
        <f>'Grid_Requirement'!CF37</f>
        <v/>
      </c>
      <c r="CJ1486">
        <f>'Grid_Requirement'!CG37</f>
        <v/>
      </c>
      <c r="CK1486">
        <f>'Grid_Requirement'!CH37</f>
        <v/>
      </c>
      <c r="CL1486">
        <f>'Grid_Requirement'!CI37</f>
        <v/>
      </c>
      <c r="CM1486">
        <f>'Grid_Requirement'!CJ37</f>
        <v/>
      </c>
      <c r="CN1486">
        <f>'Grid_Requirement'!CK37</f>
        <v/>
      </c>
      <c r="CO1486">
        <f>'Grid_Requirement'!CL37</f>
        <v/>
      </c>
      <c r="CP1486">
        <f>'Grid_Requirement'!CM37</f>
        <v/>
      </c>
      <c r="CQ1486">
        <f>'Grid_Requirement'!CN37</f>
        <v/>
      </c>
      <c r="CR1486">
        <f>'Grid_Requirement'!CO37</f>
        <v/>
      </c>
      <c r="CS1486">
        <f>'Grid_Requirement'!CP37</f>
        <v/>
      </c>
      <c r="CT1486">
        <f>'Grid_Requirement'!CQ37</f>
        <v/>
      </c>
      <c r="CU1486">
        <f>'Grid_Requirement'!CR37</f>
        <v/>
      </c>
      <c r="CV1486">
        <f>'Grid_Requirement'!CS37</f>
        <v/>
      </c>
      <c r="CW1486">
        <f>'Grid_Requirement'!CT37</f>
        <v/>
      </c>
      <c r="CX1486">
        <f>'Grid_Requirement'!CU37</f>
        <v/>
      </c>
      <c r="CY1486">
        <f>'Grid_Requirement'!CV37</f>
        <v/>
      </c>
      <c r="CZ1486">
        <f>'Grid_Requirement'!CW37</f>
        <v/>
      </c>
      <c r="DA1486">
        <f>'Grid_Requirement'!CX37</f>
        <v/>
      </c>
      <c r="DB1486">
        <f>'Grid_Requirement'!CY37</f>
        <v/>
      </c>
      <c r="DC1486">
        <f>'Grid_Requirement'!CZ37</f>
        <v/>
      </c>
      <c r="DD1486">
        <f>'Grid_Requirement'!DA37</f>
        <v/>
      </c>
    </row>
    <row r="1487">
      <c r="B1487" s="23" t="inlineStr">
        <is>
          <t>（在庫・入荷予定はDashboard参照）</t>
        </is>
      </c>
    </row>
    <row r="1489">
      <c r="A1489" s="21" t="inlineStr">
        <is>
          <t>CHEM-1730</t>
        </is>
      </c>
      <c r="B1489" s="21" t="inlineStr">
        <is>
          <t>NAT-41</t>
        </is>
      </c>
      <c r="C1489" s="21" t="n"/>
      <c r="D1489" s="21" t="n"/>
      <c r="E1489" s="21" t="n"/>
      <c r="F1489" s="21" t="n"/>
      <c r="G1489" s="21" t="n"/>
      <c r="H1489" s="21" t="n"/>
      <c r="I1489" s="21" t="n"/>
      <c r="J1489" s="21" t="n"/>
      <c r="K1489" s="21" t="n"/>
      <c r="L1489" s="21" t="n"/>
      <c r="M1489" s="21" t="n"/>
      <c r="N1489" s="21" t="n"/>
      <c r="O1489" s="21" t="n"/>
      <c r="P1489" s="21" t="n"/>
      <c r="Q1489" s="21" t="n"/>
      <c r="R1489" s="21" t="n"/>
      <c r="S1489" s="21" t="n"/>
      <c r="T1489" s="21" t="n"/>
      <c r="U1489" s="21" t="n"/>
      <c r="V1489" s="21" t="n"/>
      <c r="W1489" s="21" t="n"/>
      <c r="X1489" s="21" t="n"/>
      <c r="Y1489" s="21" t="n"/>
      <c r="Z1489" s="21" t="n"/>
      <c r="AA1489" s="21" t="n"/>
      <c r="AB1489" s="21" t="n"/>
      <c r="AC1489" s="21" t="n"/>
      <c r="AD1489" s="21" t="n"/>
      <c r="AE1489" s="21" t="n"/>
      <c r="AF1489" s="21" t="n"/>
      <c r="AG1489" s="21" t="n"/>
      <c r="AH1489" s="21" t="n"/>
      <c r="AI1489" s="21" t="n"/>
      <c r="AJ1489" s="21" t="n"/>
      <c r="AK1489" s="21" t="n"/>
      <c r="AL1489" s="21" t="n"/>
      <c r="AM1489" s="21" t="n"/>
      <c r="AN1489" s="21" t="n"/>
      <c r="AO1489" s="21" t="n"/>
      <c r="AP1489" s="21" t="n"/>
      <c r="AQ1489" s="21" t="n"/>
      <c r="AR1489" s="21" t="n"/>
      <c r="AS1489" s="21" t="n"/>
      <c r="AT1489" s="21" t="n"/>
      <c r="AU1489" s="21" t="n"/>
      <c r="AV1489" s="21" t="n"/>
      <c r="AW1489" s="21" t="n"/>
      <c r="AX1489" s="21" t="n"/>
      <c r="AY1489" s="21" t="n"/>
      <c r="AZ1489" s="21" t="n"/>
      <c r="BA1489" s="21" t="n"/>
      <c r="BB1489" s="21" t="n"/>
      <c r="BC1489" s="21" t="n"/>
      <c r="BD1489" s="21" t="n"/>
      <c r="BE1489" s="21" t="n"/>
      <c r="BF1489" s="21" t="n"/>
      <c r="BG1489" s="21" t="n"/>
      <c r="BH1489" s="21" t="n"/>
      <c r="BI1489" s="21" t="n"/>
      <c r="BJ1489" s="21" t="n"/>
      <c r="BK1489" s="21" t="n"/>
      <c r="BL1489" s="21" t="n"/>
      <c r="BM1489" s="21" t="n"/>
      <c r="BN1489" s="21" t="n"/>
      <c r="BO1489" s="21" t="n"/>
      <c r="BP1489" s="21" t="n"/>
      <c r="BQ1489" s="21" t="n"/>
      <c r="BR1489" s="21" t="n"/>
      <c r="BS1489" s="21" t="n"/>
      <c r="BT1489" s="21" t="n"/>
      <c r="BU1489" s="21" t="n"/>
      <c r="BV1489" s="21" t="n"/>
      <c r="BW1489" s="21" t="n"/>
      <c r="BX1489" s="21" t="n"/>
      <c r="BY1489" s="21" t="n"/>
      <c r="BZ1489" s="21" t="n"/>
      <c r="CA1489" s="21" t="n"/>
      <c r="CB1489" s="21" t="n"/>
      <c r="CC1489" s="21" t="n"/>
      <c r="CD1489" s="21" t="n"/>
      <c r="CE1489" s="21" t="n"/>
      <c r="CF1489" s="21" t="n"/>
      <c r="CG1489" s="21" t="n"/>
      <c r="CH1489" s="21" t="n"/>
      <c r="CI1489" s="21" t="n"/>
      <c r="CJ1489" s="21" t="n"/>
      <c r="CK1489" s="21" t="n"/>
      <c r="CL1489" s="21" t="n"/>
      <c r="CM1489" s="21" t="n"/>
      <c r="CN1489" s="21" t="n"/>
      <c r="CO1489" s="21" t="n"/>
      <c r="CP1489" s="21" t="n"/>
      <c r="CQ1489" s="21" t="n"/>
      <c r="CR1489" s="21" t="n"/>
      <c r="CS1489" s="21" t="n"/>
      <c r="CT1489" s="21" t="n"/>
      <c r="CU1489" s="21" t="n"/>
      <c r="CV1489" s="21" t="n"/>
      <c r="CW1489" s="21" t="n"/>
      <c r="CX1489" s="21" t="n"/>
      <c r="CY1489" s="21" t="n"/>
      <c r="CZ1489" s="21" t="n"/>
      <c r="DA1489" s="21" t="n"/>
      <c r="DB1489" s="21" t="n"/>
      <c r="DC1489" s="21" t="n"/>
      <c r="DD1489" s="21" t="n"/>
    </row>
    <row r="1490">
      <c r="B1490" t="inlineStr">
        <is>
          <t>TPP-911</t>
        </is>
      </c>
      <c r="C1490" t="inlineStr">
        <is>
          <t>No. of batches</t>
        </is>
      </c>
      <c r="D1490">
        <f>IFERROR(INDEX(E1490:DD1490,$F$1),"")</f>
        <v/>
      </c>
      <c r="E1490">
        <f>IFERROR(INDEX(PP_Grid[#Data],$DE1490,2),0)</f>
        <v/>
      </c>
      <c r="F1490">
        <f>IFERROR(INDEX(PP_Grid[#Data],$DE1490,3),0)</f>
        <v/>
      </c>
      <c r="G1490">
        <f>IFERROR(INDEX(PP_Grid[#Data],$DE1490,4),0)</f>
        <v/>
      </c>
      <c r="H1490">
        <f>IFERROR(INDEX(PP_Grid[#Data],$DE1490,5),0)</f>
        <v/>
      </c>
      <c r="I1490">
        <f>IFERROR(INDEX(PP_Grid[#Data],$DE1490,6),0)</f>
        <v/>
      </c>
      <c r="J1490">
        <f>IFERROR(INDEX(PP_Grid[#Data],$DE1490,7),0)</f>
        <v/>
      </c>
      <c r="K1490">
        <f>IFERROR(INDEX(PP_Grid[#Data],$DE1490,8),0)</f>
        <v/>
      </c>
      <c r="L1490">
        <f>IFERROR(INDEX(PP_Grid[#Data],$DE1490,9),0)</f>
        <v/>
      </c>
      <c r="M1490">
        <f>IFERROR(INDEX(PP_Grid[#Data],$DE1490,10),0)</f>
        <v/>
      </c>
      <c r="N1490">
        <f>IFERROR(INDEX(PP_Grid[#Data],$DE1490,11),0)</f>
        <v/>
      </c>
      <c r="O1490">
        <f>IFERROR(INDEX(PP_Grid[#Data],$DE1490,12),0)</f>
        <v/>
      </c>
      <c r="P1490">
        <f>IFERROR(INDEX(PP_Grid[#Data],$DE1490,13),0)</f>
        <v/>
      </c>
      <c r="Q1490">
        <f>IFERROR(INDEX(PP_Grid[#Data],$DE1490,14),0)</f>
        <v/>
      </c>
      <c r="R1490">
        <f>IFERROR(INDEX(PP_Grid[#Data],$DE1490,15),0)</f>
        <v/>
      </c>
      <c r="S1490">
        <f>IFERROR(INDEX(PP_Grid[#Data],$DE1490,16),0)</f>
        <v/>
      </c>
      <c r="T1490">
        <f>IFERROR(INDEX(PP_Grid[#Data],$DE1490,17),0)</f>
        <v/>
      </c>
      <c r="U1490">
        <f>IFERROR(INDEX(PP_Grid[#Data],$DE1490,18),0)</f>
        <v/>
      </c>
      <c r="V1490">
        <f>IFERROR(INDEX(PP_Grid[#Data],$DE1490,19),0)</f>
        <v/>
      </c>
      <c r="W1490">
        <f>IFERROR(INDEX(PP_Grid[#Data],$DE1490,20),0)</f>
        <v/>
      </c>
      <c r="X1490">
        <f>IFERROR(INDEX(PP_Grid[#Data],$DE1490,21),0)</f>
        <v/>
      </c>
      <c r="Y1490">
        <f>IFERROR(INDEX(PP_Grid[#Data],$DE1490,22),0)</f>
        <v/>
      </c>
      <c r="Z1490">
        <f>IFERROR(INDEX(PP_Grid[#Data],$DE1490,23),0)</f>
        <v/>
      </c>
      <c r="AA1490">
        <f>IFERROR(INDEX(PP_Grid[#Data],$DE1490,24),0)</f>
        <v/>
      </c>
      <c r="AB1490">
        <f>IFERROR(INDEX(PP_Grid[#Data],$DE1490,25),0)</f>
        <v/>
      </c>
      <c r="AC1490">
        <f>IFERROR(INDEX(PP_Grid[#Data],$DE1490,26),0)</f>
        <v/>
      </c>
      <c r="AD1490">
        <f>IFERROR(INDEX(PP_Grid[#Data],$DE1490,27),0)</f>
        <v/>
      </c>
      <c r="AE1490">
        <f>IFERROR(INDEX(PP_Grid[#Data],$DE1490,28),0)</f>
        <v/>
      </c>
      <c r="AF1490">
        <f>IFERROR(INDEX(PP_Grid[#Data],$DE1490,29),0)</f>
        <v/>
      </c>
      <c r="AG1490">
        <f>IFERROR(INDEX(PP_Grid[#Data],$DE1490,30),0)</f>
        <v/>
      </c>
      <c r="AH1490">
        <f>IFERROR(INDEX(PP_Grid[#Data],$DE1490,31),0)</f>
        <v/>
      </c>
      <c r="AI1490">
        <f>IFERROR(INDEX(PP_Grid[#Data],$DE1490,32),0)</f>
        <v/>
      </c>
      <c r="AJ1490">
        <f>IFERROR(INDEX(PP_Grid[#Data],$DE1490,33),0)</f>
        <v/>
      </c>
      <c r="AK1490">
        <f>IFERROR(INDEX(PP_Grid[#Data],$DE1490,34),0)</f>
        <v/>
      </c>
      <c r="AL1490">
        <f>IFERROR(INDEX(PP_Grid[#Data],$DE1490,35),0)</f>
        <v/>
      </c>
      <c r="AM1490">
        <f>IFERROR(INDEX(PP_Grid[#Data],$DE1490,36),0)</f>
        <v/>
      </c>
      <c r="AN1490">
        <f>IFERROR(INDEX(PP_Grid[#Data],$DE1490,37),0)</f>
        <v/>
      </c>
      <c r="AO1490">
        <f>IFERROR(INDEX(PP_Grid[#Data],$DE1490,38),0)</f>
        <v/>
      </c>
      <c r="AP1490">
        <f>IFERROR(INDEX(PP_Grid[#Data],$DE1490,39),0)</f>
        <v/>
      </c>
      <c r="AQ1490">
        <f>IFERROR(INDEX(PP_Grid[#Data],$DE1490,40),0)</f>
        <v/>
      </c>
      <c r="AR1490">
        <f>IFERROR(INDEX(PP_Grid[#Data],$DE1490,41),0)</f>
        <v/>
      </c>
      <c r="AS1490">
        <f>IFERROR(INDEX(PP_Grid[#Data],$DE1490,42),0)</f>
        <v/>
      </c>
      <c r="AT1490">
        <f>IFERROR(INDEX(PP_Grid[#Data],$DE1490,43),0)</f>
        <v/>
      </c>
      <c r="AU1490">
        <f>IFERROR(INDEX(PP_Grid[#Data],$DE1490,44),0)</f>
        <v/>
      </c>
      <c r="AV1490">
        <f>IFERROR(INDEX(PP_Grid[#Data],$DE1490,45),0)</f>
        <v/>
      </c>
      <c r="AW1490">
        <f>IFERROR(INDEX(PP_Grid[#Data],$DE1490,46),0)</f>
        <v/>
      </c>
      <c r="AX1490">
        <f>IFERROR(INDEX(PP_Grid[#Data],$DE1490,47),0)</f>
        <v/>
      </c>
      <c r="AY1490">
        <f>IFERROR(INDEX(PP_Grid[#Data],$DE1490,48),0)</f>
        <v/>
      </c>
      <c r="AZ1490">
        <f>IFERROR(INDEX(PP_Grid[#Data],$DE1490,49),0)</f>
        <v/>
      </c>
      <c r="BA1490">
        <f>IFERROR(INDEX(PP_Grid[#Data],$DE1490,50),0)</f>
        <v/>
      </c>
      <c r="BB1490">
        <f>IFERROR(INDEX(PP_Grid[#Data],$DE1490,51),0)</f>
        <v/>
      </c>
      <c r="BC1490">
        <f>IFERROR(INDEX(PP_Grid[#Data],$DE1490,52),0)</f>
        <v/>
      </c>
      <c r="BD1490">
        <f>IFERROR(INDEX(PP_Grid[#Data],$DE1490,53),0)</f>
        <v/>
      </c>
      <c r="BE1490">
        <f>IFERROR(INDEX(PP_Grid[#Data],$DE1490,54),0)</f>
        <v/>
      </c>
      <c r="BF1490">
        <f>IFERROR(INDEX(PP_Grid[#Data],$DE1490,55),0)</f>
        <v/>
      </c>
      <c r="BG1490">
        <f>IFERROR(INDEX(PP_Grid[#Data],$DE1490,56),0)</f>
        <v/>
      </c>
      <c r="BH1490">
        <f>IFERROR(INDEX(PP_Grid[#Data],$DE1490,57),0)</f>
        <v/>
      </c>
      <c r="BI1490">
        <f>IFERROR(INDEX(PP_Grid[#Data],$DE1490,58),0)</f>
        <v/>
      </c>
      <c r="BJ1490">
        <f>IFERROR(INDEX(PP_Grid[#Data],$DE1490,59),0)</f>
        <v/>
      </c>
      <c r="BK1490">
        <f>IFERROR(INDEX(PP_Grid[#Data],$DE1490,60),0)</f>
        <v/>
      </c>
      <c r="BL1490">
        <f>IFERROR(INDEX(PP_Grid[#Data],$DE1490,61),0)</f>
        <v/>
      </c>
      <c r="BM1490">
        <f>IFERROR(INDEX(PP_Grid[#Data],$DE1490,62),0)</f>
        <v/>
      </c>
      <c r="BN1490">
        <f>IFERROR(INDEX(PP_Grid[#Data],$DE1490,63),0)</f>
        <v/>
      </c>
      <c r="BO1490">
        <f>IFERROR(INDEX(PP_Grid[#Data],$DE1490,64),0)</f>
        <v/>
      </c>
      <c r="BP1490">
        <f>IFERROR(INDEX(PP_Grid[#Data],$DE1490,65),0)</f>
        <v/>
      </c>
      <c r="BQ1490">
        <f>IFERROR(INDEX(PP_Grid[#Data],$DE1490,66),0)</f>
        <v/>
      </c>
      <c r="BR1490">
        <f>IFERROR(INDEX(PP_Grid[#Data],$DE1490,67),0)</f>
        <v/>
      </c>
      <c r="BS1490">
        <f>IFERROR(INDEX(PP_Grid[#Data],$DE1490,68),0)</f>
        <v/>
      </c>
      <c r="BT1490">
        <f>IFERROR(INDEX(PP_Grid[#Data],$DE1490,69),0)</f>
        <v/>
      </c>
      <c r="BU1490">
        <f>IFERROR(INDEX(PP_Grid[#Data],$DE1490,70),0)</f>
        <v/>
      </c>
      <c r="BV1490">
        <f>IFERROR(INDEX(PP_Grid[#Data],$DE1490,71),0)</f>
        <v/>
      </c>
      <c r="BW1490">
        <f>IFERROR(INDEX(PP_Grid[#Data],$DE1490,72),0)</f>
        <v/>
      </c>
      <c r="BX1490">
        <f>IFERROR(INDEX(PP_Grid[#Data],$DE1490,73),0)</f>
        <v/>
      </c>
      <c r="BY1490">
        <f>IFERROR(INDEX(PP_Grid[#Data],$DE1490,74),0)</f>
        <v/>
      </c>
      <c r="BZ1490">
        <f>IFERROR(INDEX(PP_Grid[#Data],$DE1490,75),0)</f>
        <v/>
      </c>
      <c r="CA1490">
        <f>IFERROR(INDEX(PP_Grid[#Data],$DE1490,76),0)</f>
        <v/>
      </c>
      <c r="CB1490">
        <f>IFERROR(INDEX(PP_Grid[#Data],$DE1490,77),0)</f>
        <v/>
      </c>
      <c r="CC1490">
        <f>IFERROR(INDEX(PP_Grid[#Data],$DE1490,78),0)</f>
        <v/>
      </c>
      <c r="CD1490">
        <f>IFERROR(INDEX(PP_Grid[#Data],$DE1490,79),0)</f>
        <v/>
      </c>
      <c r="CE1490">
        <f>IFERROR(INDEX(PP_Grid[#Data],$DE1490,80),0)</f>
        <v/>
      </c>
      <c r="CF1490">
        <f>IFERROR(INDEX(PP_Grid[#Data],$DE1490,81),0)</f>
        <v/>
      </c>
      <c r="CG1490">
        <f>IFERROR(INDEX(PP_Grid[#Data],$DE1490,82),0)</f>
        <v/>
      </c>
      <c r="CH1490">
        <f>IFERROR(INDEX(PP_Grid[#Data],$DE1490,83),0)</f>
        <v/>
      </c>
      <c r="CI1490">
        <f>IFERROR(INDEX(PP_Grid[#Data],$DE1490,84),0)</f>
        <v/>
      </c>
      <c r="CJ1490">
        <f>IFERROR(INDEX(PP_Grid[#Data],$DE1490,85),0)</f>
        <v/>
      </c>
      <c r="CK1490">
        <f>IFERROR(INDEX(PP_Grid[#Data],$DE1490,86),0)</f>
        <v/>
      </c>
      <c r="CL1490">
        <f>IFERROR(INDEX(PP_Grid[#Data],$DE1490,87),0)</f>
        <v/>
      </c>
      <c r="CM1490">
        <f>IFERROR(INDEX(PP_Grid[#Data],$DE1490,88),0)</f>
        <v/>
      </c>
      <c r="CN1490">
        <f>IFERROR(INDEX(PP_Grid[#Data],$DE1490,89),0)</f>
        <v/>
      </c>
      <c r="CO1490">
        <f>IFERROR(INDEX(PP_Grid[#Data],$DE1490,90),0)</f>
        <v/>
      </c>
      <c r="CP1490">
        <f>IFERROR(INDEX(PP_Grid[#Data],$DE1490,91),0)</f>
        <v/>
      </c>
      <c r="CQ1490">
        <f>IFERROR(INDEX(PP_Grid[#Data],$DE1490,92),0)</f>
        <v/>
      </c>
      <c r="CR1490">
        <f>IFERROR(INDEX(PP_Grid[#Data],$DE1490,93),0)</f>
        <v/>
      </c>
      <c r="CS1490">
        <f>IFERROR(INDEX(PP_Grid[#Data],$DE1490,94),0)</f>
        <v/>
      </c>
      <c r="CT1490">
        <f>IFERROR(INDEX(PP_Grid[#Data],$DE1490,95),0)</f>
        <v/>
      </c>
      <c r="CU1490">
        <f>IFERROR(INDEX(PP_Grid[#Data],$DE1490,96),0)</f>
        <v/>
      </c>
      <c r="CV1490">
        <f>IFERROR(INDEX(PP_Grid[#Data],$DE1490,97),0)</f>
        <v/>
      </c>
      <c r="CW1490">
        <f>IFERROR(INDEX(PP_Grid[#Data],$DE1490,98),0)</f>
        <v/>
      </c>
      <c r="CX1490">
        <f>IFERROR(INDEX(PP_Grid[#Data],$DE1490,99),0)</f>
        <v/>
      </c>
      <c r="CY1490">
        <f>IFERROR(INDEX(PP_Grid[#Data],$DE1490,100),0)</f>
        <v/>
      </c>
      <c r="CZ1490">
        <f>IFERROR(INDEX(PP_Grid[#Data],$DE1490,101),0)</f>
        <v/>
      </c>
      <c r="DA1490">
        <f>IFERROR(INDEX(PP_Grid[#Data],$DE1490,102),0)</f>
        <v/>
      </c>
      <c r="DB1490">
        <f>IFERROR(INDEX(PP_Grid[#Data],$DE1490,103),0)</f>
        <v/>
      </c>
      <c r="DC1490">
        <f>IFERROR(INDEX(PP_Grid[#Data],$DE1490,104),0)</f>
        <v/>
      </c>
      <c r="DD1490">
        <f>IFERROR(INDEX(PP_Grid[#Data],$DE1490,105),0)</f>
        <v/>
      </c>
      <c r="DE1490" s="7">
        <f>IFERROR(MATCH($B1490,PP_Grid[Intermediate],0),99999)</f>
        <v/>
      </c>
    </row>
    <row r="1491">
      <c r="B1491" t="inlineStr">
        <is>
          <t>使用量(kg)</t>
        </is>
      </c>
      <c r="C1491">
        <f>SUMIFS(M_BOM[RM_Qty_Per_Batch],M_BOM[Intermediate],$B1490,M_BOM[RM_Code],$A1489)</f>
        <v/>
      </c>
      <c r="D1491">
        <f>IFERROR(INDEX(E1491:DD1491,$F$1),"")</f>
        <v/>
      </c>
      <c r="E1491">
        <f>$C1491*E1490</f>
        <v/>
      </c>
      <c r="F1491">
        <f>$C1491*F1490</f>
        <v/>
      </c>
      <c r="G1491">
        <f>$C1491*G1490</f>
        <v/>
      </c>
      <c r="H1491">
        <f>$C1491*H1490</f>
        <v/>
      </c>
      <c r="I1491">
        <f>$C1491*I1490</f>
        <v/>
      </c>
      <c r="J1491">
        <f>$C1491*J1490</f>
        <v/>
      </c>
      <c r="K1491">
        <f>$C1491*K1490</f>
        <v/>
      </c>
      <c r="L1491">
        <f>$C1491*L1490</f>
        <v/>
      </c>
      <c r="M1491">
        <f>$C1491*M1490</f>
        <v/>
      </c>
      <c r="N1491">
        <f>$C1491*N1490</f>
        <v/>
      </c>
      <c r="O1491">
        <f>$C1491*O1490</f>
        <v/>
      </c>
      <c r="P1491">
        <f>$C1491*P1490</f>
        <v/>
      </c>
      <c r="Q1491">
        <f>$C1491*Q1490</f>
        <v/>
      </c>
      <c r="R1491">
        <f>$C1491*R1490</f>
        <v/>
      </c>
      <c r="S1491">
        <f>$C1491*S1490</f>
        <v/>
      </c>
      <c r="T1491">
        <f>$C1491*T1490</f>
        <v/>
      </c>
      <c r="U1491">
        <f>$C1491*U1490</f>
        <v/>
      </c>
      <c r="V1491">
        <f>$C1491*V1490</f>
        <v/>
      </c>
      <c r="W1491">
        <f>$C1491*W1490</f>
        <v/>
      </c>
      <c r="X1491">
        <f>$C1491*X1490</f>
        <v/>
      </c>
      <c r="Y1491">
        <f>$C1491*Y1490</f>
        <v/>
      </c>
      <c r="Z1491">
        <f>$C1491*Z1490</f>
        <v/>
      </c>
      <c r="AA1491">
        <f>$C1491*AA1490</f>
        <v/>
      </c>
      <c r="AB1491">
        <f>$C1491*AB1490</f>
        <v/>
      </c>
      <c r="AC1491">
        <f>$C1491*AC1490</f>
        <v/>
      </c>
      <c r="AD1491">
        <f>$C1491*AD1490</f>
        <v/>
      </c>
      <c r="AE1491">
        <f>$C1491*AE1490</f>
        <v/>
      </c>
      <c r="AF1491">
        <f>$C1491*AF1490</f>
        <v/>
      </c>
      <c r="AG1491">
        <f>$C1491*AG1490</f>
        <v/>
      </c>
      <c r="AH1491">
        <f>$C1491*AH1490</f>
        <v/>
      </c>
      <c r="AI1491">
        <f>$C1491*AI1490</f>
        <v/>
      </c>
      <c r="AJ1491">
        <f>$C1491*AJ1490</f>
        <v/>
      </c>
      <c r="AK1491">
        <f>$C1491*AK1490</f>
        <v/>
      </c>
      <c r="AL1491">
        <f>$C1491*AL1490</f>
        <v/>
      </c>
      <c r="AM1491">
        <f>$C1491*AM1490</f>
        <v/>
      </c>
      <c r="AN1491">
        <f>$C1491*AN1490</f>
        <v/>
      </c>
      <c r="AO1491">
        <f>$C1491*AO1490</f>
        <v/>
      </c>
      <c r="AP1491">
        <f>$C1491*AP1490</f>
        <v/>
      </c>
      <c r="AQ1491">
        <f>$C1491*AQ1490</f>
        <v/>
      </c>
      <c r="AR1491">
        <f>$C1491*AR1490</f>
        <v/>
      </c>
      <c r="AS1491">
        <f>$C1491*AS1490</f>
        <v/>
      </c>
      <c r="AT1491">
        <f>$C1491*AT1490</f>
        <v/>
      </c>
      <c r="AU1491">
        <f>$C1491*AU1490</f>
        <v/>
      </c>
      <c r="AV1491">
        <f>$C1491*AV1490</f>
        <v/>
      </c>
      <c r="AW1491">
        <f>$C1491*AW1490</f>
        <v/>
      </c>
      <c r="AX1491">
        <f>$C1491*AX1490</f>
        <v/>
      </c>
      <c r="AY1491">
        <f>$C1491*AY1490</f>
        <v/>
      </c>
      <c r="AZ1491">
        <f>$C1491*AZ1490</f>
        <v/>
      </c>
      <c r="BA1491">
        <f>$C1491*BA1490</f>
        <v/>
      </c>
      <c r="BB1491">
        <f>$C1491*BB1490</f>
        <v/>
      </c>
      <c r="BC1491">
        <f>$C1491*BC1490</f>
        <v/>
      </c>
      <c r="BD1491">
        <f>$C1491*BD1490</f>
        <v/>
      </c>
      <c r="BE1491">
        <f>$C1491*BE1490</f>
        <v/>
      </c>
      <c r="BF1491">
        <f>$C1491*BF1490</f>
        <v/>
      </c>
      <c r="BG1491">
        <f>$C1491*BG1490</f>
        <v/>
      </c>
      <c r="BH1491">
        <f>$C1491*BH1490</f>
        <v/>
      </c>
      <c r="BI1491">
        <f>$C1491*BI1490</f>
        <v/>
      </c>
      <c r="BJ1491">
        <f>$C1491*BJ1490</f>
        <v/>
      </c>
      <c r="BK1491">
        <f>$C1491*BK1490</f>
        <v/>
      </c>
      <c r="BL1491">
        <f>$C1491*BL1490</f>
        <v/>
      </c>
      <c r="BM1491">
        <f>$C1491*BM1490</f>
        <v/>
      </c>
      <c r="BN1491">
        <f>$C1491*BN1490</f>
        <v/>
      </c>
      <c r="BO1491">
        <f>$C1491*BO1490</f>
        <v/>
      </c>
      <c r="BP1491">
        <f>$C1491*BP1490</f>
        <v/>
      </c>
      <c r="BQ1491">
        <f>$C1491*BQ1490</f>
        <v/>
      </c>
      <c r="BR1491">
        <f>$C1491*BR1490</f>
        <v/>
      </c>
      <c r="BS1491">
        <f>$C1491*BS1490</f>
        <v/>
      </c>
      <c r="BT1491">
        <f>$C1491*BT1490</f>
        <v/>
      </c>
      <c r="BU1491">
        <f>$C1491*BU1490</f>
        <v/>
      </c>
      <c r="BV1491">
        <f>$C1491*BV1490</f>
        <v/>
      </c>
      <c r="BW1491">
        <f>$C1491*BW1490</f>
        <v/>
      </c>
      <c r="BX1491">
        <f>$C1491*BX1490</f>
        <v/>
      </c>
      <c r="BY1491">
        <f>$C1491*BY1490</f>
        <v/>
      </c>
      <c r="BZ1491">
        <f>$C1491*BZ1490</f>
        <v/>
      </c>
      <c r="CA1491">
        <f>$C1491*CA1490</f>
        <v/>
      </c>
      <c r="CB1491">
        <f>$C1491*CB1490</f>
        <v/>
      </c>
      <c r="CC1491">
        <f>$C1491*CC1490</f>
        <v/>
      </c>
      <c r="CD1491">
        <f>$C1491*CD1490</f>
        <v/>
      </c>
      <c r="CE1491">
        <f>$C1491*CE1490</f>
        <v/>
      </c>
      <c r="CF1491">
        <f>$C1491*CF1490</f>
        <v/>
      </c>
      <c r="CG1491">
        <f>$C1491*CG1490</f>
        <v/>
      </c>
      <c r="CH1491">
        <f>$C1491*CH1490</f>
        <v/>
      </c>
      <c r="CI1491">
        <f>$C1491*CI1490</f>
        <v/>
      </c>
      <c r="CJ1491">
        <f>$C1491*CJ1490</f>
        <v/>
      </c>
      <c r="CK1491">
        <f>$C1491*CK1490</f>
        <v/>
      </c>
      <c r="CL1491">
        <f>$C1491*CL1490</f>
        <v/>
      </c>
      <c r="CM1491">
        <f>$C1491*CM1490</f>
        <v/>
      </c>
      <c r="CN1491">
        <f>$C1491*CN1490</f>
        <v/>
      </c>
      <c r="CO1491">
        <f>$C1491*CO1490</f>
        <v/>
      </c>
      <c r="CP1491">
        <f>$C1491*CP1490</f>
        <v/>
      </c>
      <c r="CQ1491">
        <f>$C1491*CQ1490</f>
        <v/>
      </c>
      <c r="CR1491">
        <f>$C1491*CR1490</f>
        <v/>
      </c>
      <c r="CS1491">
        <f>$C1491*CS1490</f>
        <v/>
      </c>
      <c r="CT1491">
        <f>$C1491*CT1490</f>
        <v/>
      </c>
      <c r="CU1491">
        <f>$C1491*CU1490</f>
        <v/>
      </c>
      <c r="CV1491">
        <f>$C1491*CV1490</f>
        <v/>
      </c>
      <c r="CW1491">
        <f>$C1491*CW1490</f>
        <v/>
      </c>
      <c r="CX1491">
        <f>$C1491*CX1490</f>
        <v/>
      </c>
      <c r="CY1491">
        <f>$C1491*CY1490</f>
        <v/>
      </c>
      <c r="CZ1491">
        <f>$C1491*CZ1490</f>
        <v/>
      </c>
      <c r="DA1491">
        <f>$C1491*DA1490</f>
        <v/>
      </c>
      <c r="DB1491">
        <f>$C1491*DB1490</f>
        <v/>
      </c>
      <c r="DC1491">
        <f>$C1491*DC1490</f>
        <v/>
      </c>
      <c r="DD1491">
        <f>$C1491*DD1490</f>
        <v/>
      </c>
    </row>
    <row r="1492">
      <c r="B1492" t="inlineStr">
        <is>
          <t>TPP-912</t>
        </is>
      </c>
      <c r="C1492" t="inlineStr">
        <is>
          <t>No. of batches</t>
        </is>
      </c>
      <c r="D1492">
        <f>IFERROR(INDEX(E1492:DD1492,$F$1),"")</f>
        <v/>
      </c>
      <c r="E1492">
        <f>IFERROR(INDEX(PP_Grid[#Data],$DE1492,2),0)</f>
        <v/>
      </c>
      <c r="F1492">
        <f>IFERROR(INDEX(PP_Grid[#Data],$DE1492,3),0)</f>
        <v/>
      </c>
      <c r="G1492">
        <f>IFERROR(INDEX(PP_Grid[#Data],$DE1492,4),0)</f>
        <v/>
      </c>
      <c r="H1492">
        <f>IFERROR(INDEX(PP_Grid[#Data],$DE1492,5),0)</f>
        <v/>
      </c>
      <c r="I1492">
        <f>IFERROR(INDEX(PP_Grid[#Data],$DE1492,6),0)</f>
        <v/>
      </c>
      <c r="J1492">
        <f>IFERROR(INDEX(PP_Grid[#Data],$DE1492,7),0)</f>
        <v/>
      </c>
      <c r="K1492">
        <f>IFERROR(INDEX(PP_Grid[#Data],$DE1492,8),0)</f>
        <v/>
      </c>
      <c r="L1492">
        <f>IFERROR(INDEX(PP_Grid[#Data],$DE1492,9),0)</f>
        <v/>
      </c>
      <c r="M1492">
        <f>IFERROR(INDEX(PP_Grid[#Data],$DE1492,10),0)</f>
        <v/>
      </c>
      <c r="N1492">
        <f>IFERROR(INDEX(PP_Grid[#Data],$DE1492,11),0)</f>
        <v/>
      </c>
      <c r="O1492">
        <f>IFERROR(INDEX(PP_Grid[#Data],$DE1492,12),0)</f>
        <v/>
      </c>
      <c r="P1492">
        <f>IFERROR(INDEX(PP_Grid[#Data],$DE1492,13),0)</f>
        <v/>
      </c>
      <c r="Q1492">
        <f>IFERROR(INDEX(PP_Grid[#Data],$DE1492,14),0)</f>
        <v/>
      </c>
      <c r="R1492">
        <f>IFERROR(INDEX(PP_Grid[#Data],$DE1492,15),0)</f>
        <v/>
      </c>
      <c r="S1492">
        <f>IFERROR(INDEX(PP_Grid[#Data],$DE1492,16),0)</f>
        <v/>
      </c>
      <c r="T1492">
        <f>IFERROR(INDEX(PP_Grid[#Data],$DE1492,17),0)</f>
        <v/>
      </c>
      <c r="U1492">
        <f>IFERROR(INDEX(PP_Grid[#Data],$DE1492,18),0)</f>
        <v/>
      </c>
      <c r="V1492">
        <f>IFERROR(INDEX(PP_Grid[#Data],$DE1492,19),0)</f>
        <v/>
      </c>
      <c r="W1492">
        <f>IFERROR(INDEX(PP_Grid[#Data],$DE1492,20),0)</f>
        <v/>
      </c>
      <c r="X1492">
        <f>IFERROR(INDEX(PP_Grid[#Data],$DE1492,21),0)</f>
        <v/>
      </c>
      <c r="Y1492">
        <f>IFERROR(INDEX(PP_Grid[#Data],$DE1492,22),0)</f>
        <v/>
      </c>
      <c r="Z1492">
        <f>IFERROR(INDEX(PP_Grid[#Data],$DE1492,23),0)</f>
        <v/>
      </c>
      <c r="AA1492">
        <f>IFERROR(INDEX(PP_Grid[#Data],$DE1492,24),0)</f>
        <v/>
      </c>
      <c r="AB1492">
        <f>IFERROR(INDEX(PP_Grid[#Data],$DE1492,25),0)</f>
        <v/>
      </c>
      <c r="AC1492">
        <f>IFERROR(INDEX(PP_Grid[#Data],$DE1492,26),0)</f>
        <v/>
      </c>
      <c r="AD1492">
        <f>IFERROR(INDEX(PP_Grid[#Data],$DE1492,27),0)</f>
        <v/>
      </c>
      <c r="AE1492">
        <f>IFERROR(INDEX(PP_Grid[#Data],$DE1492,28),0)</f>
        <v/>
      </c>
      <c r="AF1492">
        <f>IFERROR(INDEX(PP_Grid[#Data],$DE1492,29),0)</f>
        <v/>
      </c>
      <c r="AG1492">
        <f>IFERROR(INDEX(PP_Grid[#Data],$DE1492,30),0)</f>
        <v/>
      </c>
      <c r="AH1492">
        <f>IFERROR(INDEX(PP_Grid[#Data],$DE1492,31),0)</f>
        <v/>
      </c>
      <c r="AI1492">
        <f>IFERROR(INDEX(PP_Grid[#Data],$DE1492,32),0)</f>
        <v/>
      </c>
      <c r="AJ1492">
        <f>IFERROR(INDEX(PP_Grid[#Data],$DE1492,33),0)</f>
        <v/>
      </c>
      <c r="AK1492">
        <f>IFERROR(INDEX(PP_Grid[#Data],$DE1492,34),0)</f>
        <v/>
      </c>
      <c r="AL1492">
        <f>IFERROR(INDEX(PP_Grid[#Data],$DE1492,35),0)</f>
        <v/>
      </c>
      <c r="AM1492">
        <f>IFERROR(INDEX(PP_Grid[#Data],$DE1492,36),0)</f>
        <v/>
      </c>
      <c r="AN1492">
        <f>IFERROR(INDEX(PP_Grid[#Data],$DE1492,37),0)</f>
        <v/>
      </c>
      <c r="AO1492">
        <f>IFERROR(INDEX(PP_Grid[#Data],$DE1492,38),0)</f>
        <v/>
      </c>
      <c r="AP1492">
        <f>IFERROR(INDEX(PP_Grid[#Data],$DE1492,39),0)</f>
        <v/>
      </c>
      <c r="AQ1492">
        <f>IFERROR(INDEX(PP_Grid[#Data],$DE1492,40),0)</f>
        <v/>
      </c>
      <c r="AR1492">
        <f>IFERROR(INDEX(PP_Grid[#Data],$DE1492,41),0)</f>
        <v/>
      </c>
      <c r="AS1492">
        <f>IFERROR(INDEX(PP_Grid[#Data],$DE1492,42),0)</f>
        <v/>
      </c>
      <c r="AT1492">
        <f>IFERROR(INDEX(PP_Grid[#Data],$DE1492,43),0)</f>
        <v/>
      </c>
      <c r="AU1492">
        <f>IFERROR(INDEX(PP_Grid[#Data],$DE1492,44),0)</f>
        <v/>
      </c>
      <c r="AV1492">
        <f>IFERROR(INDEX(PP_Grid[#Data],$DE1492,45),0)</f>
        <v/>
      </c>
      <c r="AW1492">
        <f>IFERROR(INDEX(PP_Grid[#Data],$DE1492,46),0)</f>
        <v/>
      </c>
      <c r="AX1492">
        <f>IFERROR(INDEX(PP_Grid[#Data],$DE1492,47),0)</f>
        <v/>
      </c>
      <c r="AY1492">
        <f>IFERROR(INDEX(PP_Grid[#Data],$DE1492,48),0)</f>
        <v/>
      </c>
      <c r="AZ1492">
        <f>IFERROR(INDEX(PP_Grid[#Data],$DE1492,49),0)</f>
        <v/>
      </c>
      <c r="BA1492">
        <f>IFERROR(INDEX(PP_Grid[#Data],$DE1492,50),0)</f>
        <v/>
      </c>
      <c r="BB1492">
        <f>IFERROR(INDEX(PP_Grid[#Data],$DE1492,51),0)</f>
        <v/>
      </c>
      <c r="BC1492">
        <f>IFERROR(INDEX(PP_Grid[#Data],$DE1492,52),0)</f>
        <v/>
      </c>
      <c r="BD1492">
        <f>IFERROR(INDEX(PP_Grid[#Data],$DE1492,53),0)</f>
        <v/>
      </c>
      <c r="BE1492">
        <f>IFERROR(INDEX(PP_Grid[#Data],$DE1492,54),0)</f>
        <v/>
      </c>
      <c r="BF1492">
        <f>IFERROR(INDEX(PP_Grid[#Data],$DE1492,55),0)</f>
        <v/>
      </c>
      <c r="BG1492">
        <f>IFERROR(INDEX(PP_Grid[#Data],$DE1492,56),0)</f>
        <v/>
      </c>
      <c r="BH1492">
        <f>IFERROR(INDEX(PP_Grid[#Data],$DE1492,57),0)</f>
        <v/>
      </c>
      <c r="BI1492">
        <f>IFERROR(INDEX(PP_Grid[#Data],$DE1492,58),0)</f>
        <v/>
      </c>
      <c r="BJ1492">
        <f>IFERROR(INDEX(PP_Grid[#Data],$DE1492,59),0)</f>
        <v/>
      </c>
      <c r="BK1492">
        <f>IFERROR(INDEX(PP_Grid[#Data],$DE1492,60),0)</f>
        <v/>
      </c>
      <c r="BL1492">
        <f>IFERROR(INDEX(PP_Grid[#Data],$DE1492,61),0)</f>
        <v/>
      </c>
      <c r="BM1492">
        <f>IFERROR(INDEX(PP_Grid[#Data],$DE1492,62),0)</f>
        <v/>
      </c>
      <c r="BN1492">
        <f>IFERROR(INDEX(PP_Grid[#Data],$DE1492,63),0)</f>
        <v/>
      </c>
      <c r="BO1492">
        <f>IFERROR(INDEX(PP_Grid[#Data],$DE1492,64),0)</f>
        <v/>
      </c>
      <c r="BP1492">
        <f>IFERROR(INDEX(PP_Grid[#Data],$DE1492,65),0)</f>
        <v/>
      </c>
      <c r="BQ1492">
        <f>IFERROR(INDEX(PP_Grid[#Data],$DE1492,66),0)</f>
        <v/>
      </c>
      <c r="BR1492">
        <f>IFERROR(INDEX(PP_Grid[#Data],$DE1492,67),0)</f>
        <v/>
      </c>
      <c r="BS1492">
        <f>IFERROR(INDEX(PP_Grid[#Data],$DE1492,68),0)</f>
        <v/>
      </c>
      <c r="BT1492">
        <f>IFERROR(INDEX(PP_Grid[#Data],$DE1492,69),0)</f>
        <v/>
      </c>
      <c r="BU1492">
        <f>IFERROR(INDEX(PP_Grid[#Data],$DE1492,70),0)</f>
        <v/>
      </c>
      <c r="BV1492">
        <f>IFERROR(INDEX(PP_Grid[#Data],$DE1492,71),0)</f>
        <v/>
      </c>
      <c r="BW1492">
        <f>IFERROR(INDEX(PP_Grid[#Data],$DE1492,72),0)</f>
        <v/>
      </c>
      <c r="BX1492">
        <f>IFERROR(INDEX(PP_Grid[#Data],$DE1492,73),0)</f>
        <v/>
      </c>
      <c r="BY1492">
        <f>IFERROR(INDEX(PP_Grid[#Data],$DE1492,74),0)</f>
        <v/>
      </c>
      <c r="BZ1492">
        <f>IFERROR(INDEX(PP_Grid[#Data],$DE1492,75),0)</f>
        <v/>
      </c>
      <c r="CA1492">
        <f>IFERROR(INDEX(PP_Grid[#Data],$DE1492,76),0)</f>
        <v/>
      </c>
      <c r="CB1492">
        <f>IFERROR(INDEX(PP_Grid[#Data],$DE1492,77),0)</f>
        <v/>
      </c>
      <c r="CC1492">
        <f>IFERROR(INDEX(PP_Grid[#Data],$DE1492,78),0)</f>
        <v/>
      </c>
      <c r="CD1492">
        <f>IFERROR(INDEX(PP_Grid[#Data],$DE1492,79),0)</f>
        <v/>
      </c>
      <c r="CE1492">
        <f>IFERROR(INDEX(PP_Grid[#Data],$DE1492,80),0)</f>
        <v/>
      </c>
      <c r="CF1492">
        <f>IFERROR(INDEX(PP_Grid[#Data],$DE1492,81),0)</f>
        <v/>
      </c>
      <c r="CG1492">
        <f>IFERROR(INDEX(PP_Grid[#Data],$DE1492,82),0)</f>
        <v/>
      </c>
      <c r="CH1492">
        <f>IFERROR(INDEX(PP_Grid[#Data],$DE1492,83),0)</f>
        <v/>
      </c>
      <c r="CI1492">
        <f>IFERROR(INDEX(PP_Grid[#Data],$DE1492,84),0)</f>
        <v/>
      </c>
      <c r="CJ1492">
        <f>IFERROR(INDEX(PP_Grid[#Data],$DE1492,85),0)</f>
        <v/>
      </c>
      <c r="CK1492">
        <f>IFERROR(INDEX(PP_Grid[#Data],$DE1492,86),0)</f>
        <v/>
      </c>
      <c r="CL1492">
        <f>IFERROR(INDEX(PP_Grid[#Data],$DE1492,87),0)</f>
        <v/>
      </c>
      <c r="CM1492">
        <f>IFERROR(INDEX(PP_Grid[#Data],$DE1492,88),0)</f>
        <v/>
      </c>
      <c r="CN1492">
        <f>IFERROR(INDEX(PP_Grid[#Data],$DE1492,89),0)</f>
        <v/>
      </c>
      <c r="CO1492">
        <f>IFERROR(INDEX(PP_Grid[#Data],$DE1492,90),0)</f>
        <v/>
      </c>
      <c r="CP1492">
        <f>IFERROR(INDEX(PP_Grid[#Data],$DE1492,91),0)</f>
        <v/>
      </c>
      <c r="CQ1492">
        <f>IFERROR(INDEX(PP_Grid[#Data],$DE1492,92),0)</f>
        <v/>
      </c>
      <c r="CR1492">
        <f>IFERROR(INDEX(PP_Grid[#Data],$DE1492,93),0)</f>
        <v/>
      </c>
      <c r="CS1492">
        <f>IFERROR(INDEX(PP_Grid[#Data],$DE1492,94),0)</f>
        <v/>
      </c>
      <c r="CT1492">
        <f>IFERROR(INDEX(PP_Grid[#Data],$DE1492,95),0)</f>
        <v/>
      </c>
      <c r="CU1492">
        <f>IFERROR(INDEX(PP_Grid[#Data],$DE1492,96),0)</f>
        <v/>
      </c>
      <c r="CV1492">
        <f>IFERROR(INDEX(PP_Grid[#Data],$DE1492,97),0)</f>
        <v/>
      </c>
      <c r="CW1492">
        <f>IFERROR(INDEX(PP_Grid[#Data],$DE1492,98),0)</f>
        <v/>
      </c>
      <c r="CX1492">
        <f>IFERROR(INDEX(PP_Grid[#Data],$DE1492,99),0)</f>
        <v/>
      </c>
      <c r="CY1492">
        <f>IFERROR(INDEX(PP_Grid[#Data],$DE1492,100),0)</f>
        <v/>
      </c>
      <c r="CZ1492">
        <f>IFERROR(INDEX(PP_Grid[#Data],$DE1492,101),0)</f>
        <v/>
      </c>
      <c r="DA1492">
        <f>IFERROR(INDEX(PP_Grid[#Data],$DE1492,102),0)</f>
        <v/>
      </c>
      <c r="DB1492">
        <f>IFERROR(INDEX(PP_Grid[#Data],$DE1492,103),0)</f>
        <v/>
      </c>
      <c r="DC1492">
        <f>IFERROR(INDEX(PP_Grid[#Data],$DE1492,104),0)</f>
        <v/>
      </c>
      <c r="DD1492">
        <f>IFERROR(INDEX(PP_Grid[#Data],$DE1492,105),0)</f>
        <v/>
      </c>
      <c r="DE1492" s="7">
        <f>IFERROR(MATCH($B1492,PP_Grid[Intermediate],0),99999)</f>
        <v/>
      </c>
    </row>
    <row r="1493">
      <c r="B1493" t="inlineStr">
        <is>
          <t>使用量(kg)</t>
        </is>
      </c>
      <c r="C1493">
        <f>SUMIFS(M_BOM[RM_Qty_Per_Batch],M_BOM[Intermediate],$B1492,M_BOM[RM_Code],$A1489)</f>
        <v/>
      </c>
      <c r="D1493">
        <f>IFERROR(INDEX(E1493:DD1493,$F$1),"")</f>
        <v/>
      </c>
      <c r="E1493">
        <f>$C1493*E1492</f>
        <v/>
      </c>
      <c r="F1493">
        <f>$C1493*F1492</f>
        <v/>
      </c>
      <c r="G1493">
        <f>$C1493*G1492</f>
        <v/>
      </c>
      <c r="H1493">
        <f>$C1493*H1492</f>
        <v/>
      </c>
      <c r="I1493">
        <f>$C1493*I1492</f>
        <v/>
      </c>
      <c r="J1493">
        <f>$C1493*J1492</f>
        <v/>
      </c>
      <c r="K1493">
        <f>$C1493*K1492</f>
        <v/>
      </c>
      <c r="L1493">
        <f>$C1493*L1492</f>
        <v/>
      </c>
      <c r="M1493">
        <f>$C1493*M1492</f>
        <v/>
      </c>
      <c r="N1493">
        <f>$C1493*N1492</f>
        <v/>
      </c>
      <c r="O1493">
        <f>$C1493*O1492</f>
        <v/>
      </c>
      <c r="P1493">
        <f>$C1493*P1492</f>
        <v/>
      </c>
      <c r="Q1493">
        <f>$C1493*Q1492</f>
        <v/>
      </c>
      <c r="R1493">
        <f>$C1493*R1492</f>
        <v/>
      </c>
      <c r="S1493">
        <f>$C1493*S1492</f>
        <v/>
      </c>
      <c r="T1493">
        <f>$C1493*T1492</f>
        <v/>
      </c>
      <c r="U1493">
        <f>$C1493*U1492</f>
        <v/>
      </c>
      <c r="V1493">
        <f>$C1493*V1492</f>
        <v/>
      </c>
      <c r="W1493">
        <f>$C1493*W1492</f>
        <v/>
      </c>
      <c r="X1493">
        <f>$C1493*X1492</f>
        <v/>
      </c>
      <c r="Y1493">
        <f>$C1493*Y1492</f>
        <v/>
      </c>
      <c r="Z1493">
        <f>$C1493*Z1492</f>
        <v/>
      </c>
      <c r="AA1493">
        <f>$C1493*AA1492</f>
        <v/>
      </c>
      <c r="AB1493">
        <f>$C1493*AB1492</f>
        <v/>
      </c>
      <c r="AC1493">
        <f>$C1493*AC1492</f>
        <v/>
      </c>
      <c r="AD1493">
        <f>$C1493*AD1492</f>
        <v/>
      </c>
      <c r="AE1493">
        <f>$C1493*AE1492</f>
        <v/>
      </c>
      <c r="AF1493">
        <f>$C1493*AF1492</f>
        <v/>
      </c>
      <c r="AG1493">
        <f>$C1493*AG1492</f>
        <v/>
      </c>
      <c r="AH1493">
        <f>$C1493*AH1492</f>
        <v/>
      </c>
      <c r="AI1493">
        <f>$C1493*AI1492</f>
        <v/>
      </c>
      <c r="AJ1493">
        <f>$C1493*AJ1492</f>
        <v/>
      </c>
      <c r="AK1493">
        <f>$C1493*AK1492</f>
        <v/>
      </c>
      <c r="AL1493">
        <f>$C1493*AL1492</f>
        <v/>
      </c>
      <c r="AM1493">
        <f>$C1493*AM1492</f>
        <v/>
      </c>
      <c r="AN1493">
        <f>$C1493*AN1492</f>
        <v/>
      </c>
      <c r="AO1493">
        <f>$C1493*AO1492</f>
        <v/>
      </c>
      <c r="AP1493">
        <f>$C1493*AP1492</f>
        <v/>
      </c>
      <c r="AQ1493">
        <f>$C1493*AQ1492</f>
        <v/>
      </c>
      <c r="AR1493">
        <f>$C1493*AR1492</f>
        <v/>
      </c>
      <c r="AS1493">
        <f>$C1493*AS1492</f>
        <v/>
      </c>
      <c r="AT1493">
        <f>$C1493*AT1492</f>
        <v/>
      </c>
      <c r="AU1493">
        <f>$C1493*AU1492</f>
        <v/>
      </c>
      <c r="AV1493">
        <f>$C1493*AV1492</f>
        <v/>
      </c>
      <c r="AW1493">
        <f>$C1493*AW1492</f>
        <v/>
      </c>
      <c r="AX1493">
        <f>$C1493*AX1492</f>
        <v/>
      </c>
      <c r="AY1493">
        <f>$C1493*AY1492</f>
        <v/>
      </c>
      <c r="AZ1493">
        <f>$C1493*AZ1492</f>
        <v/>
      </c>
      <c r="BA1493">
        <f>$C1493*BA1492</f>
        <v/>
      </c>
      <c r="BB1493">
        <f>$C1493*BB1492</f>
        <v/>
      </c>
      <c r="BC1493">
        <f>$C1493*BC1492</f>
        <v/>
      </c>
      <c r="BD1493">
        <f>$C1493*BD1492</f>
        <v/>
      </c>
      <c r="BE1493">
        <f>$C1493*BE1492</f>
        <v/>
      </c>
      <c r="BF1493">
        <f>$C1493*BF1492</f>
        <v/>
      </c>
      <c r="BG1493">
        <f>$C1493*BG1492</f>
        <v/>
      </c>
      <c r="BH1493">
        <f>$C1493*BH1492</f>
        <v/>
      </c>
      <c r="BI1493">
        <f>$C1493*BI1492</f>
        <v/>
      </c>
      <c r="BJ1493">
        <f>$C1493*BJ1492</f>
        <v/>
      </c>
      <c r="BK1493">
        <f>$C1493*BK1492</f>
        <v/>
      </c>
      <c r="BL1493">
        <f>$C1493*BL1492</f>
        <v/>
      </c>
      <c r="BM1493">
        <f>$C1493*BM1492</f>
        <v/>
      </c>
      <c r="BN1493">
        <f>$C1493*BN1492</f>
        <v/>
      </c>
      <c r="BO1493">
        <f>$C1493*BO1492</f>
        <v/>
      </c>
      <c r="BP1493">
        <f>$C1493*BP1492</f>
        <v/>
      </c>
      <c r="BQ1493">
        <f>$C1493*BQ1492</f>
        <v/>
      </c>
      <c r="BR1493">
        <f>$C1493*BR1492</f>
        <v/>
      </c>
      <c r="BS1493">
        <f>$C1493*BS1492</f>
        <v/>
      </c>
      <c r="BT1493">
        <f>$C1493*BT1492</f>
        <v/>
      </c>
      <c r="BU1493">
        <f>$C1493*BU1492</f>
        <v/>
      </c>
      <c r="BV1493">
        <f>$C1493*BV1492</f>
        <v/>
      </c>
      <c r="BW1493">
        <f>$C1493*BW1492</f>
        <v/>
      </c>
      <c r="BX1493">
        <f>$C1493*BX1492</f>
        <v/>
      </c>
      <c r="BY1493">
        <f>$C1493*BY1492</f>
        <v/>
      </c>
      <c r="BZ1493">
        <f>$C1493*BZ1492</f>
        <v/>
      </c>
      <c r="CA1493">
        <f>$C1493*CA1492</f>
        <v/>
      </c>
      <c r="CB1493">
        <f>$C1493*CB1492</f>
        <v/>
      </c>
      <c r="CC1493">
        <f>$C1493*CC1492</f>
        <v/>
      </c>
      <c r="CD1493">
        <f>$C1493*CD1492</f>
        <v/>
      </c>
      <c r="CE1493">
        <f>$C1493*CE1492</f>
        <v/>
      </c>
      <c r="CF1493">
        <f>$C1493*CF1492</f>
        <v/>
      </c>
      <c r="CG1493">
        <f>$C1493*CG1492</f>
        <v/>
      </c>
      <c r="CH1493">
        <f>$C1493*CH1492</f>
        <v/>
      </c>
      <c r="CI1493">
        <f>$C1493*CI1492</f>
        <v/>
      </c>
      <c r="CJ1493">
        <f>$C1493*CJ1492</f>
        <v/>
      </c>
      <c r="CK1493">
        <f>$C1493*CK1492</f>
        <v/>
      </c>
      <c r="CL1493">
        <f>$C1493*CL1492</f>
        <v/>
      </c>
      <c r="CM1493">
        <f>$C1493*CM1492</f>
        <v/>
      </c>
      <c r="CN1493">
        <f>$C1493*CN1492</f>
        <v/>
      </c>
      <c r="CO1493">
        <f>$C1493*CO1492</f>
        <v/>
      </c>
      <c r="CP1493">
        <f>$C1493*CP1492</f>
        <v/>
      </c>
      <c r="CQ1493">
        <f>$C1493*CQ1492</f>
        <v/>
      </c>
      <c r="CR1493">
        <f>$C1493*CR1492</f>
        <v/>
      </c>
      <c r="CS1493">
        <f>$C1493*CS1492</f>
        <v/>
      </c>
      <c r="CT1493">
        <f>$C1493*CT1492</f>
        <v/>
      </c>
      <c r="CU1493">
        <f>$C1493*CU1492</f>
        <v/>
      </c>
      <c r="CV1493">
        <f>$C1493*CV1492</f>
        <v/>
      </c>
      <c r="CW1493">
        <f>$C1493*CW1492</f>
        <v/>
      </c>
      <c r="CX1493">
        <f>$C1493*CX1492</f>
        <v/>
      </c>
      <c r="CY1493">
        <f>$C1493*CY1492</f>
        <v/>
      </c>
      <c r="CZ1493">
        <f>$C1493*CZ1492</f>
        <v/>
      </c>
      <c r="DA1493">
        <f>$C1493*DA1492</f>
        <v/>
      </c>
      <c r="DB1493">
        <f>$C1493*DB1492</f>
        <v/>
      </c>
      <c r="DC1493">
        <f>$C1493*DC1492</f>
        <v/>
      </c>
      <c r="DD1493">
        <f>$C1493*DD1492</f>
        <v/>
      </c>
    </row>
    <row r="1494">
      <c r="B1494" t="inlineStr">
        <is>
          <t>No of times used</t>
        </is>
      </c>
      <c r="C1494" t="inlineStr">
        <is>
          <t>No. of batches</t>
        </is>
      </c>
      <c r="D1494">
        <f>IFERROR(INDEX(E1494:DD1494,$F$1),"")</f>
        <v/>
      </c>
      <c r="E1494">
        <f>IFERROR(INDEX(PP_Grid[#Data],$DE1494,2),0)</f>
        <v/>
      </c>
      <c r="F1494">
        <f>IFERROR(INDEX(PP_Grid[#Data],$DE1494,3),0)</f>
        <v/>
      </c>
      <c r="G1494">
        <f>IFERROR(INDEX(PP_Grid[#Data],$DE1494,4),0)</f>
        <v/>
      </c>
      <c r="H1494">
        <f>IFERROR(INDEX(PP_Grid[#Data],$DE1494,5),0)</f>
        <v/>
      </c>
      <c r="I1494">
        <f>IFERROR(INDEX(PP_Grid[#Data],$DE1494,6),0)</f>
        <v/>
      </c>
      <c r="J1494">
        <f>IFERROR(INDEX(PP_Grid[#Data],$DE1494,7),0)</f>
        <v/>
      </c>
      <c r="K1494">
        <f>IFERROR(INDEX(PP_Grid[#Data],$DE1494,8),0)</f>
        <v/>
      </c>
      <c r="L1494">
        <f>IFERROR(INDEX(PP_Grid[#Data],$DE1494,9),0)</f>
        <v/>
      </c>
      <c r="M1494">
        <f>IFERROR(INDEX(PP_Grid[#Data],$DE1494,10),0)</f>
        <v/>
      </c>
      <c r="N1494">
        <f>IFERROR(INDEX(PP_Grid[#Data],$DE1494,11),0)</f>
        <v/>
      </c>
      <c r="O1494">
        <f>IFERROR(INDEX(PP_Grid[#Data],$DE1494,12),0)</f>
        <v/>
      </c>
      <c r="P1494">
        <f>IFERROR(INDEX(PP_Grid[#Data],$DE1494,13),0)</f>
        <v/>
      </c>
      <c r="Q1494">
        <f>IFERROR(INDEX(PP_Grid[#Data],$DE1494,14),0)</f>
        <v/>
      </c>
      <c r="R1494">
        <f>IFERROR(INDEX(PP_Grid[#Data],$DE1494,15),0)</f>
        <v/>
      </c>
      <c r="S1494">
        <f>IFERROR(INDEX(PP_Grid[#Data],$DE1494,16),0)</f>
        <v/>
      </c>
      <c r="T1494">
        <f>IFERROR(INDEX(PP_Grid[#Data],$DE1494,17),0)</f>
        <v/>
      </c>
      <c r="U1494">
        <f>IFERROR(INDEX(PP_Grid[#Data],$DE1494,18),0)</f>
        <v/>
      </c>
      <c r="V1494">
        <f>IFERROR(INDEX(PP_Grid[#Data],$DE1494,19),0)</f>
        <v/>
      </c>
      <c r="W1494">
        <f>IFERROR(INDEX(PP_Grid[#Data],$DE1494,20),0)</f>
        <v/>
      </c>
      <c r="X1494">
        <f>IFERROR(INDEX(PP_Grid[#Data],$DE1494,21),0)</f>
        <v/>
      </c>
      <c r="Y1494">
        <f>IFERROR(INDEX(PP_Grid[#Data],$DE1494,22),0)</f>
        <v/>
      </c>
      <c r="Z1494">
        <f>IFERROR(INDEX(PP_Grid[#Data],$DE1494,23),0)</f>
        <v/>
      </c>
      <c r="AA1494">
        <f>IFERROR(INDEX(PP_Grid[#Data],$DE1494,24),0)</f>
        <v/>
      </c>
      <c r="AB1494">
        <f>IFERROR(INDEX(PP_Grid[#Data],$DE1494,25),0)</f>
        <v/>
      </c>
      <c r="AC1494">
        <f>IFERROR(INDEX(PP_Grid[#Data],$DE1494,26),0)</f>
        <v/>
      </c>
      <c r="AD1494">
        <f>IFERROR(INDEX(PP_Grid[#Data],$DE1494,27),0)</f>
        <v/>
      </c>
      <c r="AE1494">
        <f>IFERROR(INDEX(PP_Grid[#Data],$DE1494,28),0)</f>
        <v/>
      </c>
      <c r="AF1494">
        <f>IFERROR(INDEX(PP_Grid[#Data],$DE1494,29),0)</f>
        <v/>
      </c>
      <c r="AG1494">
        <f>IFERROR(INDEX(PP_Grid[#Data],$DE1494,30),0)</f>
        <v/>
      </c>
      <c r="AH1494">
        <f>IFERROR(INDEX(PP_Grid[#Data],$DE1494,31),0)</f>
        <v/>
      </c>
      <c r="AI1494">
        <f>IFERROR(INDEX(PP_Grid[#Data],$DE1494,32),0)</f>
        <v/>
      </c>
      <c r="AJ1494">
        <f>IFERROR(INDEX(PP_Grid[#Data],$DE1494,33),0)</f>
        <v/>
      </c>
      <c r="AK1494">
        <f>IFERROR(INDEX(PP_Grid[#Data],$DE1494,34),0)</f>
        <v/>
      </c>
      <c r="AL1494">
        <f>IFERROR(INDEX(PP_Grid[#Data],$DE1494,35),0)</f>
        <v/>
      </c>
      <c r="AM1494">
        <f>IFERROR(INDEX(PP_Grid[#Data],$DE1494,36),0)</f>
        <v/>
      </c>
      <c r="AN1494">
        <f>IFERROR(INDEX(PP_Grid[#Data],$DE1494,37),0)</f>
        <v/>
      </c>
      <c r="AO1494">
        <f>IFERROR(INDEX(PP_Grid[#Data],$DE1494,38),0)</f>
        <v/>
      </c>
      <c r="AP1494">
        <f>IFERROR(INDEX(PP_Grid[#Data],$DE1494,39),0)</f>
        <v/>
      </c>
      <c r="AQ1494">
        <f>IFERROR(INDEX(PP_Grid[#Data],$DE1494,40),0)</f>
        <v/>
      </c>
      <c r="AR1494">
        <f>IFERROR(INDEX(PP_Grid[#Data],$DE1494,41),0)</f>
        <v/>
      </c>
      <c r="AS1494">
        <f>IFERROR(INDEX(PP_Grid[#Data],$DE1494,42),0)</f>
        <v/>
      </c>
      <c r="AT1494">
        <f>IFERROR(INDEX(PP_Grid[#Data],$DE1494,43),0)</f>
        <v/>
      </c>
      <c r="AU1494">
        <f>IFERROR(INDEX(PP_Grid[#Data],$DE1494,44),0)</f>
        <v/>
      </c>
      <c r="AV1494">
        <f>IFERROR(INDEX(PP_Grid[#Data],$DE1494,45),0)</f>
        <v/>
      </c>
      <c r="AW1494">
        <f>IFERROR(INDEX(PP_Grid[#Data],$DE1494,46),0)</f>
        <v/>
      </c>
      <c r="AX1494">
        <f>IFERROR(INDEX(PP_Grid[#Data],$DE1494,47),0)</f>
        <v/>
      </c>
      <c r="AY1494">
        <f>IFERROR(INDEX(PP_Grid[#Data],$DE1494,48),0)</f>
        <v/>
      </c>
      <c r="AZ1494">
        <f>IFERROR(INDEX(PP_Grid[#Data],$DE1494,49),0)</f>
        <v/>
      </c>
      <c r="BA1494">
        <f>IFERROR(INDEX(PP_Grid[#Data],$DE1494,50),0)</f>
        <v/>
      </c>
      <c r="BB1494">
        <f>IFERROR(INDEX(PP_Grid[#Data],$DE1494,51),0)</f>
        <v/>
      </c>
      <c r="BC1494">
        <f>IFERROR(INDEX(PP_Grid[#Data],$DE1494,52),0)</f>
        <v/>
      </c>
      <c r="BD1494">
        <f>IFERROR(INDEX(PP_Grid[#Data],$DE1494,53),0)</f>
        <v/>
      </c>
      <c r="BE1494">
        <f>IFERROR(INDEX(PP_Grid[#Data],$DE1494,54),0)</f>
        <v/>
      </c>
      <c r="BF1494">
        <f>IFERROR(INDEX(PP_Grid[#Data],$DE1494,55),0)</f>
        <v/>
      </c>
      <c r="BG1494">
        <f>IFERROR(INDEX(PP_Grid[#Data],$DE1494,56),0)</f>
        <v/>
      </c>
      <c r="BH1494">
        <f>IFERROR(INDEX(PP_Grid[#Data],$DE1494,57),0)</f>
        <v/>
      </c>
      <c r="BI1494">
        <f>IFERROR(INDEX(PP_Grid[#Data],$DE1494,58),0)</f>
        <v/>
      </c>
      <c r="BJ1494">
        <f>IFERROR(INDEX(PP_Grid[#Data],$DE1494,59),0)</f>
        <v/>
      </c>
      <c r="BK1494">
        <f>IFERROR(INDEX(PP_Grid[#Data],$DE1494,60),0)</f>
        <v/>
      </c>
      <c r="BL1494">
        <f>IFERROR(INDEX(PP_Grid[#Data],$DE1494,61),0)</f>
        <v/>
      </c>
      <c r="BM1494">
        <f>IFERROR(INDEX(PP_Grid[#Data],$DE1494,62),0)</f>
        <v/>
      </c>
      <c r="BN1494">
        <f>IFERROR(INDEX(PP_Grid[#Data],$DE1494,63),0)</f>
        <v/>
      </c>
      <c r="BO1494">
        <f>IFERROR(INDEX(PP_Grid[#Data],$DE1494,64),0)</f>
        <v/>
      </c>
      <c r="BP1494">
        <f>IFERROR(INDEX(PP_Grid[#Data],$DE1494,65),0)</f>
        <v/>
      </c>
      <c r="BQ1494">
        <f>IFERROR(INDEX(PP_Grid[#Data],$DE1494,66),0)</f>
        <v/>
      </c>
      <c r="BR1494">
        <f>IFERROR(INDEX(PP_Grid[#Data],$DE1494,67),0)</f>
        <v/>
      </c>
      <c r="BS1494">
        <f>IFERROR(INDEX(PP_Grid[#Data],$DE1494,68),0)</f>
        <v/>
      </c>
      <c r="BT1494">
        <f>IFERROR(INDEX(PP_Grid[#Data],$DE1494,69),0)</f>
        <v/>
      </c>
      <c r="BU1494">
        <f>IFERROR(INDEX(PP_Grid[#Data],$DE1494,70),0)</f>
        <v/>
      </c>
      <c r="BV1494">
        <f>IFERROR(INDEX(PP_Grid[#Data],$DE1494,71),0)</f>
        <v/>
      </c>
      <c r="BW1494">
        <f>IFERROR(INDEX(PP_Grid[#Data],$DE1494,72),0)</f>
        <v/>
      </c>
      <c r="BX1494">
        <f>IFERROR(INDEX(PP_Grid[#Data],$DE1494,73),0)</f>
        <v/>
      </c>
      <c r="BY1494">
        <f>IFERROR(INDEX(PP_Grid[#Data],$DE1494,74),0)</f>
        <v/>
      </c>
      <c r="BZ1494">
        <f>IFERROR(INDEX(PP_Grid[#Data],$DE1494,75),0)</f>
        <v/>
      </c>
      <c r="CA1494">
        <f>IFERROR(INDEX(PP_Grid[#Data],$DE1494,76),0)</f>
        <v/>
      </c>
      <c r="CB1494">
        <f>IFERROR(INDEX(PP_Grid[#Data],$DE1494,77),0)</f>
        <v/>
      </c>
      <c r="CC1494">
        <f>IFERROR(INDEX(PP_Grid[#Data],$DE1494,78),0)</f>
        <v/>
      </c>
      <c r="CD1494">
        <f>IFERROR(INDEX(PP_Grid[#Data],$DE1494,79),0)</f>
        <v/>
      </c>
      <c r="CE1494">
        <f>IFERROR(INDEX(PP_Grid[#Data],$DE1494,80),0)</f>
        <v/>
      </c>
      <c r="CF1494">
        <f>IFERROR(INDEX(PP_Grid[#Data],$DE1494,81),0)</f>
        <v/>
      </c>
      <c r="CG1494">
        <f>IFERROR(INDEX(PP_Grid[#Data],$DE1494,82),0)</f>
        <v/>
      </c>
      <c r="CH1494">
        <f>IFERROR(INDEX(PP_Grid[#Data],$DE1494,83),0)</f>
        <v/>
      </c>
      <c r="CI1494">
        <f>IFERROR(INDEX(PP_Grid[#Data],$DE1494,84),0)</f>
        <v/>
      </c>
      <c r="CJ1494">
        <f>IFERROR(INDEX(PP_Grid[#Data],$DE1494,85),0)</f>
        <v/>
      </c>
      <c r="CK1494">
        <f>IFERROR(INDEX(PP_Grid[#Data],$DE1494,86),0)</f>
        <v/>
      </c>
      <c r="CL1494">
        <f>IFERROR(INDEX(PP_Grid[#Data],$DE1494,87),0)</f>
        <v/>
      </c>
      <c r="CM1494">
        <f>IFERROR(INDEX(PP_Grid[#Data],$DE1494,88),0)</f>
        <v/>
      </c>
      <c r="CN1494">
        <f>IFERROR(INDEX(PP_Grid[#Data],$DE1494,89),0)</f>
        <v/>
      </c>
      <c r="CO1494">
        <f>IFERROR(INDEX(PP_Grid[#Data],$DE1494,90),0)</f>
        <v/>
      </c>
      <c r="CP1494">
        <f>IFERROR(INDEX(PP_Grid[#Data],$DE1494,91),0)</f>
        <v/>
      </c>
      <c r="CQ1494">
        <f>IFERROR(INDEX(PP_Grid[#Data],$DE1494,92),0)</f>
        <v/>
      </c>
      <c r="CR1494">
        <f>IFERROR(INDEX(PP_Grid[#Data],$DE1494,93),0)</f>
        <v/>
      </c>
      <c r="CS1494">
        <f>IFERROR(INDEX(PP_Grid[#Data],$DE1494,94),0)</f>
        <v/>
      </c>
      <c r="CT1494">
        <f>IFERROR(INDEX(PP_Grid[#Data],$DE1494,95),0)</f>
        <v/>
      </c>
      <c r="CU1494">
        <f>IFERROR(INDEX(PP_Grid[#Data],$DE1494,96),0)</f>
        <v/>
      </c>
      <c r="CV1494">
        <f>IFERROR(INDEX(PP_Grid[#Data],$DE1494,97),0)</f>
        <v/>
      </c>
      <c r="CW1494">
        <f>IFERROR(INDEX(PP_Grid[#Data],$DE1494,98),0)</f>
        <v/>
      </c>
      <c r="CX1494">
        <f>IFERROR(INDEX(PP_Grid[#Data],$DE1494,99),0)</f>
        <v/>
      </c>
      <c r="CY1494">
        <f>IFERROR(INDEX(PP_Grid[#Data],$DE1494,100),0)</f>
        <v/>
      </c>
      <c r="CZ1494">
        <f>IFERROR(INDEX(PP_Grid[#Data],$DE1494,101),0)</f>
        <v/>
      </c>
      <c r="DA1494">
        <f>IFERROR(INDEX(PP_Grid[#Data],$DE1494,102),0)</f>
        <v/>
      </c>
      <c r="DB1494">
        <f>IFERROR(INDEX(PP_Grid[#Data],$DE1494,103),0)</f>
        <v/>
      </c>
      <c r="DC1494">
        <f>IFERROR(INDEX(PP_Grid[#Data],$DE1494,104),0)</f>
        <v/>
      </c>
      <c r="DD1494">
        <f>IFERROR(INDEX(PP_Grid[#Data],$DE1494,105),0)</f>
        <v/>
      </c>
      <c r="DE1494" s="7">
        <f>IFERROR(MATCH($B1494,PP_Grid[Intermediate],0),99999)</f>
        <v/>
      </c>
    </row>
    <row r="1495">
      <c r="B1495" t="inlineStr">
        <is>
          <t>使用量(kg)</t>
        </is>
      </c>
      <c r="C1495">
        <f>SUMIFS(M_BOM[RM_Qty_Per_Batch],M_BOM[Intermediate],$B1494,M_BOM[RM_Code],$A1489)</f>
        <v/>
      </c>
      <c r="D1495">
        <f>IFERROR(INDEX(E1495:DD1495,$F$1),"")</f>
        <v/>
      </c>
      <c r="E1495">
        <f>$C1495*E1494</f>
        <v/>
      </c>
      <c r="F1495">
        <f>$C1495*F1494</f>
        <v/>
      </c>
      <c r="G1495">
        <f>$C1495*G1494</f>
        <v/>
      </c>
      <c r="H1495">
        <f>$C1495*H1494</f>
        <v/>
      </c>
      <c r="I1495">
        <f>$C1495*I1494</f>
        <v/>
      </c>
      <c r="J1495">
        <f>$C1495*J1494</f>
        <v/>
      </c>
      <c r="K1495">
        <f>$C1495*K1494</f>
        <v/>
      </c>
      <c r="L1495">
        <f>$C1495*L1494</f>
        <v/>
      </c>
      <c r="M1495">
        <f>$C1495*M1494</f>
        <v/>
      </c>
      <c r="N1495">
        <f>$C1495*N1494</f>
        <v/>
      </c>
      <c r="O1495">
        <f>$C1495*O1494</f>
        <v/>
      </c>
      <c r="P1495">
        <f>$C1495*P1494</f>
        <v/>
      </c>
      <c r="Q1495">
        <f>$C1495*Q1494</f>
        <v/>
      </c>
      <c r="R1495">
        <f>$C1495*R1494</f>
        <v/>
      </c>
      <c r="S1495">
        <f>$C1495*S1494</f>
        <v/>
      </c>
      <c r="T1495">
        <f>$C1495*T1494</f>
        <v/>
      </c>
      <c r="U1495">
        <f>$C1495*U1494</f>
        <v/>
      </c>
      <c r="V1495">
        <f>$C1495*V1494</f>
        <v/>
      </c>
      <c r="W1495">
        <f>$C1495*W1494</f>
        <v/>
      </c>
      <c r="X1495">
        <f>$C1495*X1494</f>
        <v/>
      </c>
      <c r="Y1495">
        <f>$C1495*Y1494</f>
        <v/>
      </c>
      <c r="Z1495">
        <f>$C1495*Z1494</f>
        <v/>
      </c>
      <c r="AA1495">
        <f>$C1495*AA1494</f>
        <v/>
      </c>
      <c r="AB1495">
        <f>$C1495*AB1494</f>
        <v/>
      </c>
      <c r="AC1495">
        <f>$C1495*AC1494</f>
        <v/>
      </c>
      <c r="AD1495">
        <f>$C1495*AD1494</f>
        <v/>
      </c>
      <c r="AE1495">
        <f>$C1495*AE1494</f>
        <v/>
      </c>
      <c r="AF1495">
        <f>$C1495*AF1494</f>
        <v/>
      </c>
      <c r="AG1495">
        <f>$C1495*AG1494</f>
        <v/>
      </c>
      <c r="AH1495">
        <f>$C1495*AH1494</f>
        <v/>
      </c>
      <c r="AI1495">
        <f>$C1495*AI1494</f>
        <v/>
      </c>
      <c r="AJ1495">
        <f>$C1495*AJ1494</f>
        <v/>
      </c>
      <c r="AK1495">
        <f>$C1495*AK1494</f>
        <v/>
      </c>
      <c r="AL1495">
        <f>$C1495*AL1494</f>
        <v/>
      </c>
      <c r="AM1495">
        <f>$C1495*AM1494</f>
        <v/>
      </c>
      <c r="AN1495">
        <f>$C1495*AN1494</f>
        <v/>
      </c>
      <c r="AO1495">
        <f>$C1495*AO1494</f>
        <v/>
      </c>
      <c r="AP1495">
        <f>$C1495*AP1494</f>
        <v/>
      </c>
      <c r="AQ1495">
        <f>$C1495*AQ1494</f>
        <v/>
      </c>
      <c r="AR1495">
        <f>$C1495*AR1494</f>
        <v/>
      </c>
      <c r="AS1495">
        <f>$C1495*AS1494</f>
        <v/>
      </c>
      <c r="AT1495">
        <f>$C1495*AT1494</f>
        <v/>
      </c>
      <c r="AU1495">
        <f>$C1495*AU1494</f>
        <v/>
      </c>
      <c r="AV1495">
        <f>$C1495*AV1494</f>
        <v/>
      </c>
      <c r="AW1495">
        <f>$C1495*AW1494</f>
        <v/>
      </c>
      <c r="AX1495">
        <f>$C1495*AX1494</f>
        <v/>
      </c>
      <c r="AY1495">
        <f>$C1495*AY1494</f>
        <v/>
      </c>
      <c r="AZ1495">
        <f>$C1495*AZ1494</f>
        <v/>
      </c>
      <c r="BA1495">
        <f>$C1495*BA1494</f>
        <v/>
      </c>
      <c r="BB1495">
        <f>$C1495*BB1494</f>
        <v/>
      </c>
      <c r="BC1495">
        <f>$C1495*BC1494</f>
        <v/>
      </c>
      <c r="BD1495">
        <f>$C1495*BD1494</f>
        <v/>
      </c>
      <c r="BE1495">
        <f>$C1495*BE1494</f>
        <v/>
      </c>
      <c r="BF1495">
        <f>$C1495*BF1494</f>
        <v/>
      </c>
      <c r="BG1495">
        <f>$C1495*BG1494</f>
        <v/>
      </c>
      <c r="BH1495">
        <f>$C1495*BH1494</f>
        <v/>
      </c>
      <c r="BI1495">
        <f>$C1495*BI1494</f>
        <v/>
      </c>
      <c r="BJ1495">
        <f>$C1495*BJ1494</f>
        <v/>
      </c>
      <c r="BK1495">
        <f>$C1495*BK1494</f>
        <v/>
      </c>
      <c r="BL1495">
        <f>$C1495*BL1494</f>
        <v/>
      </c>
      <c r="BM1495">
        <f>$C1495*BM1494</f>
        <v/>
      </c>
      <c r="BN1495">
        <f>$C1495*BN1494</f>
        <v/>
      </c>
      <c r="BO1495">
        <f>$C1495*BO1494</f>
        <v/>
      </c>
      <c r="BP1495">
        <f>$C1495*BP1494</f>
        <v/>
      </c>
      <c r="BQ1495">
        <f>$C1495*BQ1494</f>
        <v/>
      </c>
      <c r="BR1495">
        <f>$C1495*BR1494</f>
        <v/>
      </c>
      <c r="BS1495">
        <f>$C1495*BS1494</f>
        <v/>
      </c>
      <c r="BT1495">
        <f>$C1495*BT1494</f>
        <v/>
      </c>
      <c r="BU1495">
        <f>$C1495*BU1494</f>
        <v/>
      </c>
      <c r="BV1495">
        <f>$C1495*BV1494</f>
        <v/>
      </c>
      <c r="BW1495">
        <f>$C1495*BW1494</f>
        <v/>
      </c>
      <c r="BX1495">
        <f>$C1495*BX1494</f>
        <v/>
      </c>
      <c r="BY1495">
        <f>$C1495*BY1494</f>
        <v/>
      </c>
      <c r="BZ1495">
        <f>$C1495*BZ1494</f>
        <v/>
      </c>
      <c r="CA1495">
        <f>$C1495*CA1494</f>
        <v/>
      </c>
      <c r="CB1495">
        <f>$C1495*CB1494</f>
        <v/>
      </c>
      <c r="CC1495">
        <f>$C1495*CC1494</f>
        <v/>
      </c>
      <c r="CD1495">
        <f>$C1495*CD1494</f>
        <v/>
      </c>
      <c r="CE1495">
        <f>$C1495*CE1494</f>
        <v/>
      </c>
      <c r="CF1495">
        <f>$C1495*CF1494</f>
        <v/>
      </c>
      <c r="CG1495">
        <f>$C1495*CG1494</f>
        <v/>
      </c>
      <c r="CH1495">
        <f>$C1495*CH1494</f>
        <v/>
      </c>
      <c r="CI1495">
        <f>$C1495*CI1494</f>
        <v/>
      </c>
      <c r="CJ1495">
        <f>$C1495*CJ1494</f>
        <v/>
      </c>
      <c r="CK1495">
        <f>$C1495*CK1494</f>
        <v/>
      </c>
      <c r="CL1495">
        <f>$C1495*CL1494</f>
        <v/>
      </c>
      <c r="CM1495">
        <f>$C1495*CM1494</f>
        <v/>
      </c>
      <c r="CN1495">
        <f>$C1495*CN1494</f>
        <v/>
      </c>
      <c r="CO1495">
        <f>$C1495*CO1494</f>
        <v/>
      </c>
      <c r="CP1495">
        <f>$C1495*CP1494</f>
        <v/>
      </c>
      <c r="CQ1495">
        <f>$C1495*CQ1494</f>
        <v/>
      </c>
      <c r="CR1495">
        <f>$C1495*CR1494</f>
        <v/>
      </c>
      <c r="CS1495">
        <f>$C1495*CS1494</f>
        <v/>
      </c>
      <c r="CT1495">
        <f>$C1495*CT1494</f>
        <v/>
      </c>
      <c r="CU1495">
        <f>$C1495*CU1494</f>
        <v/>
      </c>
      <c r="CV1495">
        <f>$C1495*CV1494</f>
        <v/>
      </c>
      <c r="CW1495">
        <f>$C1495*CW1494</f>
        <v/>
      </c>
      <c r="CX1495">
        <f>$C1495*CX1494</f>
        <v/>
      </c>
      <c r="CY1495">
        <f>$C1495*CY1494</f>
        <v/>
      </c>
      <c r="CZ1495">
        <f>$C1495*CZ1494</f>
        <v/>
      </c>
      <c r="DA1495">
        <f>$C1495*DA1494</f>
        <v/>
      </c>
      <c r="DB1495">
        <f>$C1495*DB1494</f>
        <v/>
      </c>
      <c r="DC1495">
        <f>$C1495*DC1494</f>
        <v/>
      </c>
      <c r="DD1495">
        <f>$C1495*DD1494</f>
        <v/>
      </c>
    </row>
    <row r="1496">
      <c r="B1496" s="4" t="inlineStr">
        <is>
          <t>合計使用量(kg)/週</t>
        </is>
      </c>
      <c r="D1496" s="22">
        <f>IFERROR(INDEX(E1496:DD1496,$F$1),"")</f>
        <v/>
      </c>
      <c r="E1496">
        <f>'Grid_Requirement'!B42</f>
        <v/>
      </c>
      <c r="F1496">
        <f>'Grid_Requirement'!C42</f>
        <v/>
      </c>
      <c r="G1496">
        <f>'Grid_Requirement'!D42</f>
        <v/>
      </c>
      <c r="H1496">
        <f>'Grid_Requirement'!E42</f>
        <v/>
      </c>
      <c r="I1496">
        <f>'Grid_Requirement'!F42</f>
        <v/>
      </c>
      <c r="J1496">
        <f>'Grid_Requirement'!G42</f>
        <v/>
      </c>
      <c r="K1496">
        <f>'Grid_Requirement'!H42</f>
        <v/>
      </c>
      <c r="L1496">
        <f>'Grid_Requirement'!I42</f>
        <v/>
      </c>
      <c r="M1496">
        <f>'Grid_Requirement'!J42</f>
        <v/>
      </c>
      <c r="N1496">
        <f>'Grid_Requirement'!K42</f>
        <v/>
      </c>
      <c r="O1496">
        <f>'Grid_Requirement'!L42</f>
        <v/>
      </c>
      <c r="P1496">
        <f>'Grid_Requirement'!M42</f>
        <v/>
      </c>
      <c r="Q1496">
        <f>'Grid_Requirement'!N42</f>
        <v/>
      </c>
      <c r="R1496">
        <f>'Grid_Requirement'!O42</f>
        <v/>
      </c>
      <c r="S1496">
        <f>'Grid_Requirement'!P42</f>
        <v/>
      </c>
      <c r="T1496">
        <f>'Grid_Requirement'!Q42</f>
        <v/>
      </c>
      <c r="U1496">
        <f>'Grid_Requirement'!R42</f>
        <v/>
      </c>
      <c r="V1496">
        <f>'Grid_Requirement'!S42</f>
        <v/>
      </c>
      <c r="W1496">
        <f>'Grid_Requirement'!T42</f>
        <v/>
      </c>
      <c r="X1496">
        <f>'Grid_Requirement'!U42</f>
        <v/>
      </c>
      <c r="Y1496">
        <f>'Grid_Requirement'!V42</f>
        <v/>
      </c>
      <c r="Z1496">
        <f>'Grid_Requirement'!W42</f>
        <v/>
      </c>
      <c r="AA1496">
        <f>'Grid_Requirement'!X42</f>
        <v/>
      </c>
      <c r="AB1496">
        <f>'Grid_Requirement'!Y42</f>
        <v/>
      </c>
      <c r="AC1496">
        <f>'Grid_Requirement'!Z42</f>
        <v/>
      </c>
      <c r="AD1496">
        <f>'Grid_Requirement'!AA42</f>
        <v/>
      </c>
      <c r="AE1496">
        <f>'Grid_Requirement'!AB42</f>
        <v/>
      </c>
      <c r="AF1496">
        <f>'Grid_Requirement'!AC42</f>
        <v/>
      </c>
      <c r="AG1496">
        <f>'Grid_Requirement'!AD42</f>
        <v/>
      </c>
      <c r="AH1496">
        <f>'Grid_Requirement'!AE42</f>
        <v/>
      </c>
      <c r="AI1496">
        <f>'Grid_Requirement'!AF42</f>
        <v/>
      </c>
      <c r="AJ1496">
        <f>'Grid_Requirement'!AG42</f>
        <v/>
      </c>
      <c r="AK1496">
        <f>'Grid_Requirement'!AH42</f>
        <v/>
      </c>
      <c r="AL1496">
        <f>'Grid_Requirement'!AI42</f>
        <v/>
      </c>
      <c r="AM1496">
        <f>'Grid_Requirement'!AJ42</f>
        <v/>
      </c>
      <c r="AN1496">
        <f>'Grid_Requirement'!AK42</f>
        <v/>
      </c>
      <c r="AO1496">
        <f>'Grid_Requirement'!AL42</f>
        <v/>
      </c>
      <c r="AP1496">
        <f>'Grid_Requirement'!AM42</f>
        <v/>
      </c>
      <c r="AQ1496">
        <f>'Grid_Requirement'!AN42</f>
        <v/>
      </c>
      <c r="AR1496">
        <f>'Grid_Requirement'!AO42</f>
        <v/>
      </c>
      <c r="AS1496">
        <f>'Grid_Requirement'!AP42</f>
        <v/>
      </c>
      <c r="AT1496">
        <f>'Grid_Requirement'!AQ42</f>
        <v/>
      </c>
      <c r="AU1496">
        <f>'Grid_Requirement'!AR42</f>
        <v/>
      </c>
      <c r="AV1496">
        <f>'Grid_Requirement'!AS42</f>
        <v/>
      </c>
      <c r="AW1496">
        <f>'Grid_Requirement'!AT42</f>
        <v/>
      </c>
      <c r="AX1496">
        <f>'Grid_Requirement'!AU42</f>
        <v/>
      </c>
      <c r="AY1496">
        <f>'Grid_Requirement'!AV42</f>
        <v/>
      </c>
      <c r="AZ1496">
        <f>'Grid_Requirement'!AW42</f>
        <v/>
      </c>
      <c r="BA1496">
        <f>'Grid_Requirement'!AX42</f>
        <v/>
      </c>
      <c r="BB1496">
        <f>'Grid_Requirement'!AY42</f>
        <v/>
      </c>
      <c r="BC1496">
        <f>'Grid_Requirement'!AZ42</f>
        <v/>
      </c>
      <c r="BD1496">
        <f>'Grid_Requirement'!BA42</f>
        <v/>
      </c>
      <c r="BE1496">
        <f>'Grid_Requirement'!BB42</f>
        <v/>
      </c>
      <c r="BF1496">
        <f>'Grid_Requirement'!BC42</f>
        <v/>
      </c>
      <c r="BG1496">
        <f>'Grid_Requirement'!BD42</f>
        <v/>
      </c>
      <c r="BH1496">
        <f>'Grid_Requirement'!BE42</f>
        <v/>
      </c>
      <c r="BI1496">
        <f>'Grid_Requirement'!BF42</f>
        <v/>
      </c>
      <c r="BJ1496">
        <f>'Grid_Requirement'!BG42</f>
        <v/>
      </c>
      <c r="BK1496">
        <f>'Grid_Requirement'!BH42</f>
        <v/>
      </c>
      <c r="BL1496">
        <f>'Grid_Requirement'!BI42</f>
        <v/>
      </c>
      <c r="BM1496">
        <f>'Grid_Requirement'!BJ42</f>
        <v/>
      </c>
      <c r="BN1496">
        <f>'Grid_Requirement'!BK42</f>
        <v/>
      </c>
      <c r="BO1496">
        <f>'Grid_Requirement'!BL42</f>
        <v/>
      </c>
      <c r="BP1496">
        <f>'Grid_Requirement'!BM42</f>
        <v/>
      </c>
      <c r="BQ1496">
        <f>'Grid_Requirement'!BN42</f>
        <v/>
      </c>
      <c r="BR1496">
        <f>'Grid_Requirement'!BO42</f>
        <v/>
      </c>
      <c r="BS1496">
        <f>'Grid_Requirement'!BP42</f>
        <v/>
      </c>
      <c r="BT1496">
        <f>'Grid_Requirement'!BQ42</f>
        <v/>
      </c>
      <c r="BU1496">
        <f>'Grid_Requirement'!BR42</f>
        <v/>
      </c>
      <c r="BV1496">
        <f>'Grid_Requirement'!BS42</f>
        <v/>
      </c>
      <c r="BW1496">
        <f>'Grid_Requirement'!BT42</f>
        <v/>
      </c>
      <c r="BX1496">
        <f>'Grid_Requirement'!BU42</f>
        <v/>
      </c>
      <c r="BY1496">
        <f>'Grid_Requirement'!BV42</f>
        <v/>
      </c>
      <c r="BZ1496">
        <f>'Grid_Requirement'!BW42</f>
        <v/>
      </c>
      <c r="CA1496">
        <f>'Grid_Requirement'!BX42</f>
        <v/>
      </c>
      <c r="CB1496">
        <f>'Grid_Requirement'!BY42</f>
        <v/>
      </c>
      <c r="CC1496">
        <f>'Grid_Requirement'!BZ42</f>
        <v/>
      </c>
      <c r="CD1496">
        <f>'Grid_Requirement'!CA42</f>
        <v/>
      </c>
      <c r="CE1496">
        <f>'Grid_Requirement'!CB42</f>
        <v/>
      </c>
      <c r="CF1496">
        <f>'Grid_Requirement'!CC42</f>
        <v/>
      </c>
      <c r="CG1496">
        <f>'Grid_Requirement'!CD42</f>
        <v/>
      </c>
      <c r="CH1496">
        <f>'Grid_Requirement'!CE42</f>
        <v/>
      </c>
      <c r="CI1496">
        <f>'Grid_Requirement'!CF42</f>
        <v/>
      </c>
      <c r="CJ1496">
        <f>'Grid_Requirement'!CG42</f>
        <v/>
      </c>
      <c r="CK1496">
        <f>'Grid_Requirement'!CH42</f>
        <v/>
      </c>
      <c r="CL1496">
        <f>'Grid_Requirement'!CI42</f>
        <v/>
      </c>
      <c r="CM1496">
        <f>'Grid_Requirement'!CJ42</f>
        <v/>
      </c>
      <c r="CN1496">
        <f>'Grid_Requirement'!CK42</f>
        <v/>
      </c>
      <c r="CO1496">
        <f>'Grid_Requirement'!CL42</f>
        <v/>
      </c>
      <c r="CP1496">
        <f>'Grid_Requirement'!CM42</f>
        <v/>
      </c>
      <c r="CQ1496">
        <f>'Grid_Requirement'!CN42</f>
        <v/>
      </c>
      <c r="CR1496">
        <f>'Grid_Requirement'!CO42</f>
        <v/>
      </c>
      <c r="CS1496">
        <f>'Grid_Requirement'!CP42</f>
        <v/>
      </c>
      <c r="CT1496">
        <f>'Grid_Requirement'!CQ42</f>
        <v/>
      </c>
      <c r="CU1496">
        <f>'Grid_Requirement'!CR42</f>
        <v/>
      </c>
      <c r="CV1496">
        <f>'Grid_Requirement'!CS42</f>
        <v/>
      </c>
      <c r="CW1496">
        <f>'Grid_Requirement'!CT42</f>
        <v/>
      </c>
      <c r="CX1496">
        <f>'Grid_Requirement'!CU42</f>
        <v/>
      </c>
      <c r="CY1496">
        <f>'Grid_Requirement'!CV42</f>
        <v/>
      </c>
      <c r="CZ1496">
        <f>'Grid_Requirement'!CW42</f>
        <v/>
      </c>
      <c r="DA1496">
        <f>'Grid_Requirement'!CX42</f>
        <v/>
      </c>
      <c r="DB1496">
        <f>'Grid_Requirement'!CY42</f>
        <v/>
      </c>
      <c r="DC1496">
        <f>'Grid_Requirement'!CZ42</f>
        <v/>
      </c>
      <c r="DD1496">
        <f>'Grid_Requirement'!DA42</f>
        <v/>
      </c>
    </row>
    <row r="1497">
      <c r="B1497" s="23" t="inlineStr">
        <is>
          <t>（在庫・入荷予定はDashboard参照）</t>
        </is>
      </c>
    </row>
    <row r="1499">
      <c r="A1499" s="21" t="inlineStr">
        <is>
          <t>CHEM-1800</t>
        </is>
      </c>
      <c r="B1499" s="21" t="inlineStr">
        <is>
          <t>Stabilys 392</t>
        </is>
      </c>
      <c r="C1499" s="21" t="n"/>
      <c r="D1499" s="21" t="n"/>
      <c r="E1499" s="21" t="n"/>
      <c r="F1499" s="21" t="n"/>
      <c r="G1499" s="21" t="n"/>
      <c r="H1499" s="21" t="n"/>
      <c r="I1499" s="21" t="n"/>
      <c r="J1499" s="21" t="n"/>
      <c r="K1499" s="21" t="n"/>
      <c r="L1499" s="21" t="n"/>
      <c r="M1499" s="21" t="n"/>
      <c r="N1499" s="21" t="n"/>
      <c r="O1499" s="21" t="n"/>
      <c r="P1499" s="21" t="n"/>
      <c r="Q1499" s="21" t="n"/>
      <c r="R1499" s="21" t="n"/>
      <c r="S1499" s="21" t="n"/>
      <c r="T1499" s="21" t="n"/>
      <c r="U1499" s="21" t="n"/>
      <c r="V1499" s="21" t="n"/>
      <c r="W1499" s="21" t="n"/>
      <c r="X1499" s="21" t="n"/>
      <c r="Y1499" s="21" t="n"/>
      <c r="Z1499" s="21" t="n"/>
      <c r="AA1499" s="21" t="n"/>
      <c r="AB1499" s="21" t="n"/>
      <c r="AC1499" s="21" t="n"/>
      <c r="AD1499" s="21" t="n"/>
      <c r="AE1499" s="21" t="n"/>
      <c r="AF1499" s="21" t="n"/>
      <c r="AG1499" s="21" t="n"/>
      <c r="AH1499" s="21" t="n"/>
      <c r="AI1499" s="21" t="n"/>
      <c r="AJ1499" s="21" t="n"/>
      <c r="AK1499" s="21" t="n"/>
      <c r="AL1499" s="21" t="n"/>
      <c r="AM1499" s="21" t="n"/>
      <c r="AN1499" s="21" t="n"/>
      <c r="AO1499" s="21" t="n"/>
      <c r="AP1499" s="21" t="n"/>
      <c r="AQ1499" s="21" t="n"/>
      <c r="AR1499" s="21" t="n"/>
      <c r="AS1499" s="21" t="n"/>
      <c r="AT1499" s="21" t="n"/>
      <c r="AU1499" s="21" t="n"/>
      <c r="AV1499" s="21" t="n"/>
      <c r="AW1499" s="21" t="n"/>
      <c r="AX1499" s="21" t="n"/>
      <c r="AY1499" s="21" t="n"/>
      <c r="AZ1499" s="21" t="n"/>
      <c r="BA1499" s="21" t="n"/>
      <c r="BB1499" s="21" t="n"/>
      <c r="BC1499" s="21" t="n"/>
      <c r="BD1499" s="21" t="n"/>
      <c r="BE1499" s="21" t="n"/>
      <c r="BF1499" s="21" t="n"/>
      <c r="BG1499" s="21" t="n"/>
      <c r="BH1499" s="21" t="n"/>
      <c r="BI1499" s="21" t="n"/>
      <c r="BJ1499" s="21" t="n"/>
      <c r="BK1499" s="21" t="n"/>
      <c r="BL1499" s="21" t="n"/>
      <c r="BM1499" s="21" t="n"/>
      <c r="BN1499" s="21" t="n"/>
      <c r="BO1499" s="21" t="n"/>
      <c r="BP1499" s="21" t="n"/>
      <c r="BQ1499" s="21" t="n"/>
      <c r="BR1499" s="21" t="n"/>
      <c r="BS1499" s="21" t="n"/>
      <c r="BT1499" s="21" t="n"/>
      <c r="BU1499" s="21" t="n"/>
      <c r="BV1499" s="21" t="n"/>
      <c r="BW1499" s="21" t="n"/>
      <c r="BX1499" s="21" t="n"/>
      <c r="BY1499" s="21" t="n"/>
      <c r="BZ1499" s="21" t="n"/>
      <c r="CA1499" s="21" t="n"/>
      <c r="CB1499" s="21" t="n"/>
      <c r="CC1499" s="21" t="n"/>
      <c r="CD1499" s="21" t="n"/>
      <c r="CE1499" s="21" t="n"/>
      <c r="CF1499" s="21" t="n"/>
      <c r="CG1499" s="21" t="n"/>
      <c r="CH1499" s="21" t="n"/>
      <c r="CI1499" s="21" t="n"/>
      <c r="CJ1499" s="21" t="n"/>
      <c r="CK1499" s="21" t="n"/>
      <c r="CL1499" s="21" t="n"/>
      <c r="CM1499" s="21" t="n"/>
      <c r="CN1499" s="21" t="n"/>
      <c r="CO1499" s="21" t="n"/>
      <c r="CP1499" s="21" t="n"/>
      <c r="CQ1499" s="21" t="n"/>
      <c r="CR1499" s="21" t="n"/>
      <c r="CS1499" s="21" t="n"/>
      <c r="CT1499" s="21" t="n"/>
      <c r="CU1499" s="21" t="n"/>
      <c r="CV1499" s="21" t="n"/>
      <c r="CW1499" s="21" t="n"/>
      <c r="CX1499" s="21" t="n"/>
      <c r="CY1499" s="21" t="n"/>
      <c r="CZ1499" s="21" t="n"/>
      <c r="DA1499" s="21" t="n"/>
      <c r="DB1499" s="21" t="n"/>
      <c r="DC1499" s="21" t="n"/>
      <c r="DD1499" s="21" t="n"/>
    </row>
    <row r="1500">
      <c r="B1500" t="inlineStr">
        <is>
          <t>TPP-1367</t>
        </is>
      </c>
      <c r="C1500" t="inlineStr">
        <is>
          <t>No. of batches</t>
        </is>
      </c>
      <c r="D1500">
        <f>IFERROR(INDEX(E1500:DD1500,$F$1),"")</f>
        <v/>
      </c>
      <c r="E1500">
        <f>IFERROR(INDEX(PP_Grid[#Data],$DE1500,2),0)</f>
        <v/>
      </c>
      <c r="F1500">
        <f>IFERROR(INDEX(PP_Grid[#Data],$DE1500,3),0)</f>
        <v/>
      </c>
      <c r="G1500">
        <f>IFERROR(INDEX(PP_Grid[#Data],$DE1500,4),0)</f>
        <v/>
      </c>
      <c r="H1500">
        <f>IFERROR(INDEX(PP_Grid[#Data],$DE1500,5),0)</f>
        <v/>
      </c>
      <c r="I1500">
        <f>IFERROR(INDEX(PP_Grid[#Data],$DE1500,6),0)</f>
        <v/>
      </c>
      <c r="J1500">
        <f>IFERROR(INDEX(PP_Grid[#Data],$DE1500,7),0)</f>
        <v/>
      </c>
      <c r="K1500">
        <f>IFERROR(INDEX(PP_Grid[#Data],$DE1500,8),0)</f>
        <v/>
      </c>
      <c r="L1500">
        <f>IFERROR(INDEX(PP_Grid[#Data],$DE1500,9),0)</f>
        <v/>
      </c>
      <c r="M1500">
        <f>IFERROR(INDEX(PP_Grid[#Data],$DE1500,10),0)</f>
        <v/>
      </c>
      <c r="N1500">
        <f>IFERROR(INDEX(PP_Grid[#Data],$DE1500,11),0)</f>
        <v/>
      </c>
      <c r="O1500">
        <f>IFERROR(INDEX(PP_Grid[#Data],$DE1500,12),0)</f>
        <v/>
      </c>
      <c r="P1500">
        <f>IFERROR(INDEX(PP_Grid[#Data],$DE1500,13),0)</f>
        <v/>
      </c>
      <c r="Q1500">
        <f>IFERROR(INDEX(PP_Grid[#Data],$DE1500,14),0)</f>
        <v/>
      </c>
      <c r="R1500">
        <f>IFERROR(INDEX(PP_Grid[#Data],$DE1500,15),0)</f>
        <v/>
      </c>
      <c r="S1500">
        <f>IFERROR(INDEX(PP_Grid[#Data],$DE1500,16),0)</f>
        <v/>
      </c>
      <c r="T1500">
        <f>IFERROR(INDEX(PP_Grid[#Data],$DE1500,17),0)</f>
        <v/>
      </c>
      <c r="U1500">
        <f>IFERROR(INDEX(PP_Grid[#Data],$DE1500,18),0)</f>
        <v/>
      </c>
      <c r="V1500">
        <f>IFERROR(INDEX(PP_Grid[#Data],$DE1500,19),0)</f>
        <v/>
      </c>
      <c r="W1500">
        <f>IFERROR(INDEX(PP_Grid[#Data],$DE1500,20),0)</f>
        <v/>
      </c>
      <c r="X1500">
        <f>IFERROR(INDEX(PP_Grid[#Data],$DE1500,21),0)</f>
        <v/>
      </c>
      <c r="Y1500">
        <f>IFERROR(INDEX(PP_Grid[#Data],$DE1500,22),0)</f>
        <v/>
      </c>
      <c r="Z1500">
        <f>IFERROR(INDEX(PP_Grid[#Data],$DE1500,23),0)</f>
        <v/>
      </c>
      <c r="AA1500">
        <f>IFERROR(INDEX(PP_Grid[#Data],$DE1500,24),0)</f>
        <v/>
      </c>
      <c r="AB1500">
        <f>IFERROR(INDEX(PP_Grid[#Data],$DE1500,25),0)</f>
        <v/>
      </c>
      <c r="AC1500">
        <f>IFERROR(INDEX(PP_Grid[#Data],$DE1500,26),0)</f>
        <v/>
      </c>
      <c r="AD1500">
        <f>IFERROR(INDEX(PP_Grid[#Data],$DE1500,27),0)</f>
        <v/>
      </c>
      <c r="AE1500">
        <f>IFERROR(INDEX(PP_Grid[#Data],$DE1500,28),0)</f>
        <v/>
      </c>
      <c r="AF1500">
        <f>IFERROR(INDEX(PP_Grid[#Data],$DE1500,29),0)</f>
        <v/>
      </c>
      <c r="AG1500">
        <f>IFERROR(INDEX(PP_Grid[#Data],$DE1500,30),0)</f>
        <v/>
      </c>
      <c r="AH1500">
        <f>IFERROR(INDEX(PP_Grid[#Data],$DE1500,31),0)</f>
        <v/>
      </c>
      <c r="AI1500">
        <f>IFERROR(INDEX(PP_Grid[#Data],$DE1500,32),0)</f>
        <v/>
      </c>
      <c r="AJ1500">
        <f>IFERROR(INDEX(PP_Grid[#Data],$DE1500,33),0)</f>
        <v/>
      </c>
      <c r="AK1500">
        <f>IFERROR(INDEX(PP_Grid[#Data],$DE1500,34),0)</f>
        <v/>
      </c>
      <c r="AL1500">
        <f>IFERROR(INDEX(PP_Grid[#Data],$DE1500,35),0)</f>
        <v/>
      </c>
      <c r="AM1500">
        <f>IFERROR(INDEX(PP_Grid[#Data],$DE1500,36),0)</f>
        <v/>
      </c>
      <c r="AN1500">
        <f>IFERROR(INDEX(PP_Grid[#Data],$DE1500,37),0)</f>
        <v/>
      </c>
      <c r="AO1500">
        <f>IFERROR(INDEX(PP_Grid[#Data],$DE1500,38),0)</f>
        <v/>
      </c>
      <c r="AP1500">
        <f>IFERROR(INDEX(PP_Grid[#Data],$DE1500,39),0)</f>
        <v/>
      </c>
      <c r="AQ1500">
        <f>IFERROR(INDEX(PP_Grid[#Data],$DE1500,40),0)</f>
        <v/>
      </c>
      <c r="AR1500">
        <f>IFERROR(INDEX(PP_Grid[#Data],$DE1500,41),0)</f>
        <v/>
      </c>
      <c r="AS1500">
        <f>IFERROR(INDEX(PP_Grid[#Data],$DE1500,42),0)</f>
        <v/>
      </c>
      <c r="AT1500">
        <f>IFERROR(INDEX(PP_Grid[#Data],$DE1500,43),0)</f>
        <v/>
      </c>
      <c r="AU1500">
        <f>IFERROR(INDEX(PP_Grid[#Data],$DE1500,44),0)</f>
        <v/>
      </c>
      <c r="AV1500">
        <f>IFERROR(INDEX(PP_Grid[#Data],$DE1500,45),0)</f>
        <v/>
      </c>
      <c r="AW1500">
        <f>IFERROR(INDEX(PP_Grid[#Data],$DE1500,46),0)</f>
        <v/>
      </c>
      <c r="AX1500">
        <f>IFERROR(INDEX(PP_Grid[#Data],$DE1500,47),0)</f>
        <v/>
      </c>
      <c r="AY1500">
        <f>IFERROR(INDEX(PP_Grid[#Data],$DE1500,48),0)</f>
        <v/>
      </c>
      <c r="AZ1500">
        <f>IFERROR(INDEX(PP_Grid[#Data],$DE1500,49),0)</f>
        <v/>
      </c>
      <c r="BA1500">
        <f>IFERROR(INDEX(PP_Grid[#Data],$DE1500,50),0)</f>
        <v/>
      </c>
      <c r="BB1500">
        <f>IFERROR(INDEX(PP_Grid[#Data],$DE1500,51),0)</f>
        <v/>
      </c>
      <c r="BC1500">
        <f>IFERROR(INDEX(PP_Grid[#Data],$DE1500,52),0)</f>
        <v/>
      </c>
      <c r="BD1500">
        <f>IFERROR(INDEX(PP_Grid[#Data],$DE1500,53),0)</f>
        <v/>
      </c>
      <c r="BE1500">
        <f>IFERROR(INDEX(PP_Grid[#Data],$DE1500,54),0)</f>
        <v/>
      </c>
      <c r="BF1500">
        <f>IFERROR(INDEX(PP_Grid[#Data],$DE1500,55),0)</f>
        <v/>
      </c>
      <c r="BG1500">
        <f>IFERROR(INDEX(PP_Grid[#Data],$DE1500,56),0)</f>
        <v/>
      </c>
      <c r="BH1500">
        <f>IFERROR(INDEX(PP_Grid[#Data],$DE1500,57),0)</f>
        <v/>
      </c>
      <c r="BI1500">
        <f>IFERROR(INDEX(PP_Grid[#Data],$DE1500,58),0)</f>
        <v/>
      </c>
      <c r="BJ1500">
        <f>IFERROR(INDEX(PP_Grid[#Data],$DE1500,59),0)</f>
        <v/>
      </c>
      <c r="BK1500">
        <f>IFERROR(INDEX(PP_Grid[#Data],$DE1500,60),0)</f>
        <v/>
      </c>
      <c r="BL1500">
        <f>IFERROR(INDEX(PP_Grid[#Data],$DE1500,61),0)</f>
        <v/>
      </c>
      <c r="BM1500">
        <f>IFERROR(INDEX(PP_Grid[#Data],$DE1500,62),0)</f>
        <v/>
      </c>
      <c r="BN1500">
        <f>IFERROR(INDEX(PP_Grid[#Data],$DE1500,63),0)</f>
        <v/>
      </c>
      <c r="BO1500">
        <f>IFERROR(INDEX(PP_Grid[#Data],$DE1500,64),0)</f>
        <v/>
      </c>
      <c r="BP1500">
        <f>IFERROR(INDEX(PP_Grid[#Data],$DE1500,65),0)</f>
        <v/>
      </c>
      <c r="BQ1500">
        <f>IFERROR(INDEX(PP_Grid[#Data],$DE1500,66),0)</f>
        <v/>
      </c>
      <c r="BR1500">
        <f>IFERROR(INDEX(PP_Grid[#Data],$DE1500,67),0)</f>
        <v/>
      </c>
      <c r="BS1500">
        <f>IFERROR(INDEX(PP_Grid[#Data],$DE1500,68),0)</f>
        <v/>
      </c>
      <c r="BT1500">
        <f>IFERROR(INDEX(PP_Grid[#Data],$DE1500,69),0)</f>
        <v/>
      </c>
      <c r="BU1500">
        <f>IFERROR(INDEX(PP_Grid[#Data],$DE1500,70),0)</f>
        <v/>
      </c>
      <c r="BV1500">
        <f>IFERROR(INDEX(PP_Grid[#Data],$DE1500,71),0)</f>
        <v/>
      </c>
      <c r="BW1500">
        <f>IFERROR(INDEX(PP_Grid[#Data],$DE1500,72),0)</f>
        <v/>
      </c>
      <c r="BX1500">
        <f>IFERROR(INDEX(PP_Grid[#Data],$DE1500,73),0)</f>
        <v/>
      </c>
      <c r="BY1500">
        <f>IFERROR(INDEX(PP_Grid[#Data],$DE1500,74),0)</f>
        <v/>
      </c>
      <c r="BZ1500">
        <f>IFERROR(INDEX(PP_Grid[#Data],$DE1500,75),0)</f>
        <v/>
      </c>
      <c r="CA1500">
        <f>IFERROR(INDEX(PP_Grid[#Data],$DE1500,76),0)</f>
        <v/>
      </c>
      <c r="CB1500">
        <f>IFERROR(INDEX(PP_Grid[#Data],$DE1500,77),0)</f>
        <v/>
      </c>
      <c r="CC1500">
        <f>IFERROR(INDEX(PP_Grid[#Data],$DE1500,78),0)</f>
        <v/>
      </c>
      <c r="CD1500">
        <f>IFERROR(INDEX(PP_Grid[#Data],$DE1500,79),0)</f>
        <v/>
      </c>
      <c r="CE1500">
        <f>IFERROR(INDEX(PP_Grid[#Data],$DE1500,80),0)</f>
        <v/>
      </c>
      <c r="CF1500">
        <f>IFERROR(INDEX(PP_Grid[#Data],$DE1500,81),0)</f>
        <v/>
      </c>
      <c r="CG1500">
        <f>IFERROR(INDEX(PP_Grid[#Data],$DE1500,82),0)</f>
        <v/>
      </c>
      <c r="CH1500">
        <f>IFERROR(INDEX(PP_Grid[#Data],$DE1500,83),0)</f>
        <v/>
      </c>
      <c r="CI1500">
        <f>IFERROR(INDEX(PP_Grid[#Data],$DE1500,84),0)</f>
        <v/>
      </c>
      <c r="CJ1500">
        <f>IFERROR(INDEX(PP_Grid[#Data],$DE1500,85),0)</f>
        <v/>
      </c>
      <c r="CK1500">
        <f>IFERROR(INDEX(PP_Grid[#Data],$DE1500,86),0)</f>
        <v/>
      </c>
      <c r="CL1500">
        <f>IFERROR(INDEX(PP_Grid[#Data],$DE1500,87),0)</f>
        <v/>
      </c>
      <c r="CM1500">
        <f>IFERROR(INDEX(PP_Grid[#Data],$DE1500,88),0)</f>
        <v/>
      </c>
      <c r="CN1500">
        <f>IFERROR(INDEX(PP_Grid[#Data],$DE1500,89),0)</f>
        <v/>
      </c>
      <c r="CO1500">
        <f>IFERROR(INDEX(PP_Grid[#Data],$DE1500,90),0)</f>
        <v/>
      </c>
      <c r="CP1500">
        <f>IFERROR(INDEX(PP_Grid[#Data],$DE1500,91),0)</f>
        <v/>
      </c>
      <c r="CQ1500">
        <f>IFERROR(INDEX(PP_Grid[#Data],$DE1500,92),0)</f>
        <v/>
      </c>
      <c r="CR1500">
        <f>IFERROR(INDEX(PP_Grid[#Data],$DE1500,93),0)</f>
        <v/>
      </c>
      <c r="CS1500">
        <f>IFERROR(INDEX(PP_Grid[#Data],$DE1500,94),0)</f>
        <v/>
      </c>
      <c r="CT1500">
        <f>IFERROR(INDEX(PP_Grid[#Data],$DE1500,95),0)</f>
        <v/>
      </c>
      <c r="CU1500">
        <f>IFERROR(INDEX(PP_Grid[#Data],$DE1500,96),0)</f>
        <v/>
      </c>
      <c r="CV1500">
        <f>IFERROR(INDEX(PP_Grid[#Data],$DE1500,97),0)</f>
        <v/>
      </c>
      <c r="CW1500">
        <f>IFERROR(INDEX(PP_Grid[#Data],$DE1500,98),0)</f>
        <v/>
      </c>
      <c r="CX1500">
        <f>IFERROR(INDEX(PP_Grid[#Data],$DE1500,99),0)</f>
        <v/>
      </c>
      <c r="CY1500">
        <f>IFERROR(INDEX(PP_Grid[#Data],$DE1500,100),0)</f>
        <v/>
      </c>
      <c r="CZ1500">
        <f>IFERROR(INDEX(PP_Grid[#Data],$DE1500,101),0)</f>
        <v/>
      </c>
      <c r="DA1500">
        <f>IFERROR(INDEX(PP_Grid[#Data],$DE1500,102),0)</f>
        <v/>
      </c>
      <c r="DB1500">
        <f>IFERROR(INDEX(PP_Grid[#Data],$DE1500,103),0)</f>
        <v/>
      </c>
      <c r="DC1500">
        <f>IFERROR(INDEX(PP_Grid[#Data],$DE1500,104),0)</f>
        <v/>
      </c>
      <c r="DD1500">
        <f>IFERROR(INDEX(PP_Grid[#Data],$DE1500,105),0)</f>
        <v/>
      </c>
      <c r="DE1500" s="7">
        <f>IFERROR(MATCH($B1500,PP_Grid[Intermediate],0),99999)</f>
        <v/>
      </c>
    </row>
    <row r="1501">
      <c r="B1501" t="inlineStr">
        <is>
          <t>使用量(kg)</t>
        </is>
      </c>
      <c r="C1501">
        <f>SUMIFS(M_BOM[RM_Qty_Per_Batch],M_BOM[Intermediate],$B1500,M_BOM[RM_Code],$A1499)</f>
        <v/>
      </c>
      <c r="D1501">
        <f>IFERROR(INDEX(E1501:DD1501,$F$1),"")</f>
        <v/>
      </c>
      <c r="E1501">
        <f>$C1501*E1500</f>
        <v/>
      </c>
      <c r="F1501">
        <f>$C1501*F1500</f>
        <v/>
      </c>
      <c r="G1501">
        <f>$C1501*G1500</f>
        <v/>
      </c>
      <c r="H1501">
        <f>$C1501*H1500</f>
        <v/>
      </c>
      <c r="I1501">
        <f>$C1501*I1500</f>
        <v/>
      </c>
      <c r="J1501">
        <f>$C1501*J1500</f>
        <v/>
      </c>
      <c r="K1501">
        <f>$C1501*K1500</f>
        <v/>
      </c>
      <c r="L1501">
        <f>$C1501*L1500</f>
        <v/>
      </c>
      <c r="M1501">
        <f>$C1501*M1500</f>
        <v/>
      </c>
      <c r="N1501">
        <f>$C1501*N1500</f>
        <v/>
      </c>
      <c r="O1501">
        <f>$C1501*O1500</f>
        <v/>
      </c>
      <c r="P1501">
        <f>$C1501*P1500</f>
        <v/>
      </c>
      <c r="Q1501">
        <f>$C1501*Q1500</f>
        <v/>
      </c>
      <c r="R1501">
        <f>$C1501*R1500</f>
        <v/>
      </c>
      <c r="S1501">
        <f>$C1501*S1500</f>
        <v/>
      </c>
      <c r="T1501">
        <f>$C1501*T1500</f>
        <v/>
      </c>
      <c r="U1501">
        <f>$C1501*U1500</f>
        <v/>
      </c>
      <c r="V1501">
        <f>$C1501*V1500</f>
        <v/>
      </c>
      <c r="W1501">
        <f>$C1501*W1500</f>
        <v/>
      </c>
      <c r="X1501">
        <f>$C1501*X1500</f>
        <v/>
      </c>
      <c r="Y1501">
        <f>$C1501*Y1500</f>
        <v/>
      </c>
      <c r="Z1501">
        <f>$C1501*Z1500</f>
        <v/>
      </c>
      <c r="AA1501">
        <f>$C1501*AA1500</f>
        <v/>
      </c>
      <c r="AB1501">
        <f>$C1501*AB1500</f>
        <v/>
      </c>
      <c r="AC1501">
        <f>$C1501*AC1500</f>
        <v/>
      </c>
      <c r="AD1501">
        <f>$C1501*AD1500</f>
        <v/>
      </c>
      <c r="AE1501">
        <f>$C1501*AE1500</f>
        <v/>
      </c>
      <c r="AF1501">
        <f>$C1501*AF1500</f>
        <v/>
      </c>
      <c r="AG1501">
        <f>$C1501*AG1500</f>
        <v/>
      </c>
      <c r="AH1501">
        <f>$C1501*AH1500</f>
        <v/>
      </c>
      <c r="AI1501">
        <f>$C1501*AI1500</f>
        <v/>
      </c>
      <c r="AJ1501">
        <f>$C1501*AJ1500</f>
        <v/>
      </c>
      <c r="AK1501">
        <f>$C1501*AK1500</f>
        <v/>
      </c>
      <c r="AL1501">
        <f>$C1501*AL1500</f>
        <v/>
      </c>
      <c r="AM1501">
        <f>$C1501*AM1500</f>
        <v/>
      </c>
      <c r="AN1501">
        <f>$C1501*AN1500</f>
        <v/>
      </c>
      <c r="AO1501">
        <f>$C1501*AO1500</f>
        <v/>
      </c>
      <c r="AP1501">
        <f>$C1501*AP1500</f>
        <v/>
      </c>
      <c r="AQ1501">
        <f>$C1501*AQ1500</f>
        <v/>
      </c>
      <c r="AR1501">
        <f>$C1501*AR1500</f>
        <v/>
      </c>
      <c r="AS1501">
        <f>$C1501*AS1500</f>
        <v/>
      </c>
      <c r="AT1501">
        <f>$C1501*AT1500</f>
        <v/>
      </c>
      <c r="AU1501">
        <f>$C1501*AU1500</f>
        <v/>
      </c>
      <c r="AV1501">
        <f>$C1501*AV1500</f>
        <v/>
      </c>
      <c r="AW1501">
        <f>$C1501*AW1500</f>
        <v/>
      </c>
      <c r="AX1501">
        <f>$C1501*AX1500</f>
        <v/>
      </c>
      <c r="AY1501">
        <f>$C1501*AY1500</f>
        <v/>
      </c>
      <c r="AZ1501">
        <f>$C1501*AZ1500</f>
        <v/>
      </c>
      <c r="BA1501">
        <f>$C1501*BA1500</f>
        <v/>
      </c>
      <c r="BB1501">
        <f>$C1501*BB1500</f>
        <v/>
      </c>
      <c r="BC1501">
        <f>$C1501*BC1500</f>
        <v/>
      </c>
      <c r="BD1501">
        <f>$C1501*BD1500</f>
        <v/>
      </c>
      <c r="BE1501">
        <f>$C1501*BE1500</f>
        <v/>
      </c>
      <c r="BF1501">
        <f>$C1501*BF1500</f>
        <v/>
      </c>
      <c r="BG1501">
        <f>$C1501*BG1500</f>
        <v/>
      </c>
      <c r="BH1501">
        <f>$C1501*BH1500</f>
        <v/>
      </c>
      <c r="BI1501">
        <f>$C1501*BI1500</f>
        <v/>
      </c>
      <c r="BJ1501">
        <f>$C1501*BJ1500</f>
        <v/>
      </c>
      <c r="BK1501">
        <f>$C1501*BK1500</f>
        <v/>
      </c>
      <c r="BL1501">
        <f>$C1501*BL1500</f>
        <v/>
      </c>
      <c r="BM1501">
        <f>$C1501*BM1500</f>
        <v/>
      </c>
      <c r="BN1501">
        <f>$C1501*BN1500</f>
        <v/>
      </c>
      <c r="BO1501">
        <f>$C1501*BO1500</f>
        <v/>
      </c>
      <c r="BP1501">
        <f>$C1501*BP1500</f>
        <v/>
      </c>
      <c r="BQ1501">
        <f>$C1501*BQ1500</f>
        <v/>
      </c>
      <c r="BR1501">
        <f>$C1501*BR1500</f>
        <v/>
      </c>
      <c r="BS1501">
        <f>$C1501*BS1500</f>
        <v/>
      </c>
      <c r="BT1501">
        <f>$C1501*BT1500</f>
        <v/>
      </c>
      <c r="BU1501">
        <f>$C1501*BU1500</f>
        <v/>
      </c>
      <c r="BV1501">
        <f>$C1501*BV1500</f>
        <v/>
      </c>
      <c r="BW1501">
        <f>$C1501*BW1500</f>
        <v/>
      </c>
      <c r="BX1501">
        <f>$C1501*BX1500</f>
        <v/>
      </c>
      <c r="BY1501">
        <f>$C1501*BY1500</f>
        <v/>
      </c>
      <c r="BZ1501">
        <f>$C1501*BZ1500</f>
        <v/>
      </c>
      <c r="CA1501">
        <f>$C1501*CA1500</f>
        <v/>
      </c>
      <c r="CB1501">
        <f>$C1501*CB1500</f>
        <v/>
      </c>
      <c r="CC1501">
        <f>$C1501*CC1500</f>
        <v/>
      </c>
      <c r="CD1501">
        <f>$C1501*CD1500</f>
        <v/>
      </c>
      <c r="CE1501">
        <f>$C1501*CE1500</f>
        <v/>
      </c>
      <c r="CF1501">
        <f>$C1501*CF1500</f>
        <v/>
      </c>
      <c r="CG1501">
        <f>$C1501*CG1500</f>
        <v/>
      </c>
      <c r="CH1501">
        <f>$C1501*CH1500</f>
        <v/>
      </c>
      <c r="CI1501">
        <f>$C1501*CI1500</f>
        <v/>
      </c>
      <c r="CJ1501">
        <f>$C1501*CJ1500</f>
        <v/>
      </c>
      <c r="CK1501">
        <f>$C1501*CK1500</f>
        <v/>
      </c>
      <c r="CL1501">
        <f>$C1501*CL1500</f>
        <v/>
      </c>
      <c r="CM1501">
        <f>$C1501*CM1500</f>
        <v/>
      </c>
      <c r="CN1501">
        <f>$C1501*CN1500</f>
        <v/>
      </c>
      <c r="CO1501">
        <f>$C1501*CO1500</f>
        <v/>
      </c>
      <c r="CP1501">
        <f>$C1501*CP1500</f>
        <v/>
      </c>
      <c r="CQ1501">
        <f>$C1501*CQ1500</f>
        <v/>
      </c>
      <c r="CR1501">
        <f>$C1501*CR1500</f>
        <v/>
      </c>
      <c r="CS1501">
        <f>$C1501*CS1500</f>
        <v/>
      </c>
      <c r="CT1501">
        <f>$C1501*CT1500</f>
        <v/>
      </c>
      <c r="CU1501">
        <f>$C1501*CU1500</f>
        <v/>
      </c>
      <c r="CV1501">
        <f>$C1501*CV1500</f>
        <v/>
      </c>
      <c r="CW1501">
        <f>$C1501*CW1500</f>
        <v/>
      </c>
      <c r="CX1501">
        <f>$C1501*CX1500</f>
        <v/>
      </c>
      <c r="CY1501">
        <f>$C1501*CY1500</f>
        <v/>
      </c>
      <c r="CZ1501">
        <f>$C1501*CZ1500</f>
        <v/>
      </c>
      <c r="DA1501">
        <f>$C1501*DA1500</f>
        <v/>
      </c>
      <c r="DB1501">
        <f>$C1501*DB1500</f>
        <v/>
      </c>
      <c r="DC1501">
        <f>$C1501*DC1500</f>
        <v/>
      </c>
      <c r="DD1501">
        <f>$C1501*DD1500</f>
        <v/>
      </c>
    </row>
    <row r="1502">
      <c r="B1502" t="inlineStr">
        <is>
          <t>TPP-1378</t>
        </is>
      </c>
      <c r="C1502" t="inlineStr">
        <is>
          <t>No. of batches</t>
        </is>
      </c>
      <c r="D1502">
        <f>IFERROR(INDEX(E1502:DD1502,$F$1),"")</f>
        <v/>
      </c>
      <c r="E1502">
        <f>IFERROR(INDEX(PP_Grid[#Data],$DE1502,2),0)</f>
        <v/>
      </c>
      <c r="F1502">
        <f>IFERROR(INDEX(PP_Grid[#Data],$DE1502,3),0)</f>
        <v/>
      </c>
      <c r="G1502">
        <f>IFERROR(INDEX(PP_Grid[#Data],$DE1502,4),0)</f>
        <v/>
      </c>
      <c r="H1502">
        <f>IFERROR(INDEX(PP_Grid[#Data],$DE1502,5),0)</f>
        <v/>
      </c>
      <c r="I1502">
        <f>IFERROR(INDEX(PP_Grid[#Data],$DE1502,6),0)</f>
        <v/>
      </c>
      <c r="J1502">
        <f>IFERROR(INDEX(PP_Grid[#Data],$DE1502,7),0)</f>
        <v/>
      </c>
      <c r="K1502">
        <f>IFERROR(INDEX(PP_Grid[#Data],$DE1502,8),0)</f>
        <v/>
      </c>
      <c r="L1502">
        <f>IFERROR(INDEX(PP_Grid[#Data],$DE1502,9),0)</f>
        <v/>
      </c>
      <c r="M1502">
        <f>IFERROR(INDEX(PP_Grid[#Data],$DE1502,10),0)</f>
        <v/>
      </c>
      <c r="N1502">
        <f>IFERROR(INDEX(PP_Grid[#Data],$DE1502,11),0)</f>
        <v/>
      </c>
      <c r="O1502">
        <f>IFERROR(INDEX(PP_Grid[#Data],$DE1502,12),0)</f>
        <v/>
      </c>
      <c r="P1502">
        <f>IFERROR(INDEX(PP_Grid[#Data],$DE1502,13),0)</f>
        <v/>
      </c>
      <c r="Q1502">
        <f>IFERROR(INDEX(PP_Grid[#Data],$DE1502,14),0)</f>
        <v/>
      </c>
      <c r="R1502">
        <f>IFERROR(INDEX(PP_Grid[#Data],$DE1502,15),0)</f>
        <v/>
      </c>
      <c r="S1502">
        <f>IFERROR(INDEX(PP_Grid[#Data],$DE1502,16),0)</f>
        <v/>
      </c>
      <c r="T1502">
        <f>IFERROR(INDEX(PP_Grid[#Data],$DE1502,17),0)</f>
        <v/>
      </c>
      <c r="U1502">
        <f>IFERROR(INDEX(PP_Grid[#Data],$DE1502,18),0)</f>
        <v/>
      </c>
      <c r="V1502">
        <f>IFERROR(INDEX(PP_Grid[#Data],$DE1502,19),0)</f>
        <v/>
      </c>
      <c r="W1502">
        <f>IFERROR(INDEX(PP_Grid[#Data],$DE1502,20),0)</f>
        <v/>
      </c>
      <c r="X1502">
        <f>IFERROR(INDEX(PP_Grid[#Data],$DE1502,21),0)</f>
        <v/>
      </c>
      <c r="Y1502">
        <f>IFERROR(INDEX(PP_Grid[#Data],$DE1502,22),0)</f>
        <v/>
      </c>
      <c r="Z1502">
        <f>IFERROR(INDEX(PP_Grid[#Data],$DE1502,23),0)</f>
        <v/>
      </c>
      <c r="AA1502">
        <f>IFERROR(INDEX(PP_Grid[#Data],$DE1502,24),0)</f>
        <v/>
      </c>
      <c r="AB1502">
        <f>IFERROR(INDEX(PP_Grid[#Data],$DE1502,25),0)</f>
        <v/>
      </c>
      <c r="AC1502">
        <f>IFERROR(INDEX(PP_Grid[#Data],$DE1502,26),0)</f>
        <v/>
      </c>
      <c r="AD1502">
        <f>IFERROR(INDEX(PP_Grid[#Data],$DE1502,27),0)</f>
        <v/>
      </c>
      <c r="AE1502">
        <f>IFERROR(INDEX(PP_Grid[#Data],$DE1502,28),0)</f>
        <v/>
      </c>
      <c r="AF1502">
        <f>IFERROR(INDEX(PP_Grid[#Data],$DE1502,29),0)</f>
        <v/>
      </c>
      <c r="AG1502">
        <f>IFERROR(INDEX(PP_Grid[#Data],$DE1502,30),0)</f>
        <v/>
      </c>
      <c r="AH1502">
        <f>IFERROR(INDEX(PP_Grid[#Data],$DE1502,31),0)</f>
        <v/>
      </c>
      <c r="AI1502">
        <f>IFERROR(INDEX(PP_Grid[#Data],$DE1502,32),0)</f>
        <v/>
      </c>
      <c r="AJ1502">
        <f>IFERROR(INDEX(PP_Grid[#Data],$DE1502,33),0)</f>
        <v/>
      </c>
      <c r="AK1502">
        <f>IFERROR(INDEX(PP_Grid[#Data],$DE1502,34),0)</f>
        <v/>
      </c>
      <c r="AL1502">
        <f>IFERROR(INDEX(PP_Grid[#Data],$DE1502,35),0)</f>
        <v/>
      </c>
      <c r="AM1502">
        <f>IFERROR(INDEX(PP_Grid[#Data],$DE1502,36),0)</f>
        <v/>
      </c>
      <c r="AN1502">
        <f>IFERROR(INDEX(PP_Grid[#Data],$DE1502,37),0)</f>
        <v/>
      </c>
      <c r="AO1502">
        <f>IFERROR(INDEX(PP_Grid[#Data],$DE1502,38),0)</f>
        <v/>
      </c>
      <c r="AP1502">
        <f>IFERROR(INDEX(PP_Grid[#Data],$DE1502,39),0)</f>
        <v/>
      </c>
      <c r="AQ1502">
        <f>IFERROR(INDEX(PP_Grid[#Data],$DE1502,40),0)</f>
        <v/>
      </c>
      <c r="AR1502">
        <f>IFERROR(INDEX(PP_Grid[#Data],$DE1502,41),0)</f>
        <v/>
      </c>
      <c r="AS1502">
        <f>IFERROR(INDEX(PP_Grid[#Data],$DE1502,42),0)</f>
        <v/>
      </c>
      <c r="AT1502">
        <f>IFERROR(INDEX(PP_Grid[#Data],$DE1502,43),0)</f>
        <v/>
      </c>
      <c r="AU1502">
        <f>IFERROR(INDEX(PP_Grid[#Data],$DE1502,44),0)</f>
        <v/>
      </c>
      <c r="AV1502">
        <f>IFERROR(INDEX(PP_Grid[#Data],$DE1502,45),0)</f>
        <v/>
      </c>
      <c r="AW1502">
        <f>IFERROR(INDEX(PP_Grid[#Data],$DE1502,46),0)</f>
        <v/>
      </c>
      <c r="AX1502">
        <f>IFERROR(INDEX(PP_Grid[#Data],$DE1502,47),0)</f>
        <v/>
      </c>
      <c r="AY1502">
        <f>IFERROR(INDEX(PP_Grid[#Data],$DE1502,48),0)</f>
        <v/>
      </c>
      <c r="AZ1502">
        <f>IFERROR(INDEX(PP_Grid[#Data],$DE1502,49),0)</f>
        <v/>
      </c>
      <c r="BA1502">
        <f>IFERROR(INDEX(PP_Grid[#Data],$DE1502,50),0)</f>
        <v/>
      </c>
      <c r="BB1502">
        <f>IFERROR(INDEX(PP_Grid[#Data],$DE1502,51),0)</f>
        <v/>
      </c>
      <c r="BC1502">
        <f>IFERROR(INDEX(PP_Grid[#Data],$DE1502,52),0)</f>
        <v/>
      </c>
      <c r="BD1502">
        <f>IFERROR(INDEX(PP_Grid[#Data],$DE1502,53),0)</f>
        <v/>
      </c>
      <c r="BE1502">
        <f>IFERROR(INDEX(PP_Grid[#Data],$DE1502,54),0)</f>
        <v/>
      </c>
      <c r="BF1502">
        <f>IFERROR(INDEX(PP_Grid[#Data],$DE1502,55),0)</f>
        <v/>
      </c>
      <c r="BG1502">
        <f>IFERROR(INDEX(PP_Grid[#Data],$DE1502,56),0)</f>
        <v/>
      </c>
      <c r="BH1502">
        <f>IFERROR(INDEX(PP_Grid[#Data],$DE1502,57),0)</f>
        <v/>
      </c>
      <c r="BI1502">
        <f>IFERROR(INDEX(PP_Grid[#Data],$DE1502,58),0)</f>
        <v/>
      </c>
      <c r="BJ1502">
        <f>IFERROR(INDEX(PP_Grid[#Data],$DE1502,59),0)</f>
        <v/>
      </c>
      <c r="BK1502">
        <f>IFERROR(INDEX(PP_Grid[#Data],$DE1502,60),0)</f>
        <v/>
      </c>
      <c r="BL1502">
        <f>IFERROR(INDEX(PP_Grid[#Data],$DE1502,61),0)</f>
        <v/>
      </c>
      <c r="BM1502">
        <f>IFERROR(INDEX(PP_Grid[#Data],$DE1502,62),0)</f>
        <v/>
      </c>
      <c r="BN1502">
        <f>IFERROR(INDEX(PP_Grid[#Data],$DE1502,63),0)</f>
        <v/>
      </c>
      <c r="BO1502">
        <f>IFERROR(INDEX(PP_Grid[#Data],$DE1502,64),0)</f>
        <v/>
      </c>
      <c r="BP1502">
        <f>IFERROR(INDEX(PP_Grid[#Data],$DE1502,65),0)</f>
        <v/>
      </c>
      <c r="BQ1502">
        <f>IFERROR(INDEX(PP_Grid[#Data],$DE1502,66),0)</f>
        <v/>
      </c>
      <c r="BR1502">
        <f>IFERROR(INDEX(PP_Grid[#Data],$DE1502,67),0)</f>
        <v/>
      </c>
      <c r="BS1502">
        <f>IFERROR(INDEX(PP_Grid[#Data],$DE1502,68),0)</f>
        <v/>
      </c>
      <c r="BT1502">
        <f>IFERROR(INDEX(PP_Grid[#Data],$DE1502,69),0)</f>
        <v/>
      </c>
      <c r="BU1502">
        <f>IFERROR(INDEX(PP_Grid[#Data],$DE1502,70),0)</f>
        <v/>
      </c>
      <c r="BV1502">
        <f>IFERROR(INDEX(PP_Grid[#Data],$DE1502,71),0)</f>
        <v/>
      </c>
      <c r="BW1502">
        <f>IFERROR(INDEX(PP_Grid[#Data],$DE1502,72),0)</f>
        <v/>
      </c>
      <c r="BX1502">
        <f>IFERROR(INDEX(PP_Grid[#Data],$DE1502,73),0)</f>
        <v/>
      </c>
      <c r="BY1502">
        <f>IFERROR(INDEX(PP_Grid[#Data],$DE1502,74),0)</f>
        <v/>
      </c>
      <c r="BZ1502">
        <f>IFERROR(INDEX(PP_Grid[#Data],$DE1502,75),0)</f>
        <v/>
      </c>
      <c r="CA1502">
        <f>IFERROR(INDEX(PP_Grid[#Data],$DE1502,76),0)</f>
        <v/>
      </c>
      <c r="CB1502">
        <f>IFERROR(INDEX(PP_Grid[#Data],$DE1502,77),0)</f>
        <v/>
      </c>
      <c r="CC1502">
        <f>IFERROR(INDEX(PP_Grid[#Data],$DE1502,78),0)</f>
        <v/>
      </c>
      <c r="CD1502">
        <f>IFERROR(INDEX(PP_Grid[#Data],$DE1502,79),0)</f>
        <v/>
      </c>
      <c r="CE1502">
        <f>IFERROR(INDEX(PP_Grid[#Data],$DE1502,80),0)</f>
        <v/>
      </c>
      <c r="CF1502">
        <f>IFERROR(INDEX(PP_Grid[#Data],$DE1502,81),0)</f>
        <v/>
      </c>
      <c r="CG1502">
        <f>IFERROR(INDEX(PP_Grid[#Data],$DE1502,82),0)</f>
        <v/>
      </c>
      <c r="CH1502">
        <f>IFERROR(INDEX(PP_Grid[#Data],$DE1502,83),0)</f>
        <v/>
      </c>
      <c r="CI1502">
        <f>IFERROR(INDEX(PP_Grid[#Data],$DE1502,84),0)</f>
        <v/>
      </c>
      <c r="CJ1502">
        <f>IFERROR(INDEX(PP_Grid[#Data],$DE1502,85),0)</f>
        <v/>
      </c>
      <c r="CK1502">
        <f>IFERROR(INDEX(PP_Grid[#Data],$DE1502,86),0)</f>
        <v/>
      </c>
      <c r="CL1502">
        <f>IFERROR(INDEX(PP_Grid[#Data],$DE1502,87),0)</f>
        <v/>
      </c>
      <c r="CM1502">
        <f>IFERROR(INDEX(PP_Grid[#Data],$DE1502,88),0)</f>
        <v/>
      </c>
      <c r="CN1502">
        <f>IFERROR(INDEX(PP_Grid[#Data],$DE1502,89),0)</f>
        <v/>
      </c>
      <c r="CO1502">
        <f>IFERROR(INDEX(PP_Grid[#Data],$DE1502,90),0)</f>
        <v/>
      </c>
      <c r="CP1502">
        <f>IFERROR(INDEX(PP_Grid[#Data],$DE1502,91),0)</f>
        <v/>
      </c>
      <c r="CQ1502">
        <f>IFERROR(INDEX(PP_Grid[#Data],$DE1502,92),0)</f>
        <v/>
      </c>
      <c r="CR1502">
        <f>IFERROR(INDEX(PP_Grid[#Data],$DE1502,93),0)</f>
        <v/>
      </c>
      <c r="CS1502">
        <f>IFERROR(INDEX(PP_Grid[#Data],$DE1502,94),0)</f>
        <v/>
      </c>
      <c r="CT1502">
        <f>IFERROR(INDEX(PP_Grid[#Data],$DE1502,95),0)</f>
        <v/>
      </c>
      <c r="CU1502">
        <f>IFERROR(INDEX(PP_Grid[#Data],$DE1502,96),0)</f>
        <v/>
      </c>
      <c r="CV1502">
        <f>IFERROR(INDEX(PP_Grid[#Data],$DE1502,97),0)</f>
        <v/>
      </c>
      <c r="CW1502">
        <f>IFERROR(INDEX(PP_Grid[#Data],$DE1502,98),0)</f>
        <v/>
      </c>
      <c r="CX1502">
        <f>IFERROR(INDEX(PP_Grid[#Data],$DE1502,99),0)</f>
        <v/>
      </c>
      <c r="CY1502">
        <f>IFERROR(INDEX(PP_Grid[#Data],$DE1502,100),0)</f>
        <v/>
      </c>
      <c r="CZ1502">
        <f>IFERROR(INDEX(PP_Grid[#Data],$DE1502,101),0)</f>
        <v/>
      </c>
      <c r="DA1502">
        <f>IFERROR(INDEX(PP_Grid[#Data],$DE1502,102),0)</f>
        <v/>
      </c>
      <c r="DB1502">
        <f>IFERROR(INDEX(PP_Grid[#Data],$DE1502,103),0)</f>
        <v/>
      </c>
      <c r="DC1502">
        <f>IFERROR(INDEX(PP_Grid[#Data],$DE1502,104),0)</f>
        <v/>
      </c>
      <c r="DD1502">
        <f>IFERROR(INDEX(PP_Grid[#Data],$DE1502,105),0)</f>
        <v/>
      </c>
      <c r="DE1502" s="7">
        <f>IFERROR(MATCH($B1502,PP_Grid[Intermediate],0),99999)</f>
        <v/>
      </c>
    </row>
    <row r="1503">
      <c r="B1503" t="inlineStr">
        <is>
          <t>使用量(kg)</t>
        </is>
      </c>
      <c r="C1503">
        <f>SUMIFS(M_BOM[RM_Qty_Per_Batch],M_BOM[Intermediate],$B1502,M_BOM[RM_Code],$A1499)</f>
        <v/>
      </c>
      <c r="D1503">
        <f>IFERROR(INDEX(E1503:DD1503,$F$1),"")</f>
        <v/>
      </c>
      <c r="E1503">
        <f>$C1503*E1502</f>
        <v/>
      </c>
      <c r="F1503">
        <f>$C1503*F1502</f>
        <v/>
      </c>
      <c r="G1503">
        <f>$C1503*G1502</f>
        <v/>
      </c>
      <c r="H1503">
        <f>$C1503*H1502</f>
        <v/>
      </c>
      <c r="I1503">
        <f>$C1503*I1502</f>
        <v/>
      </c>
      <c r="J1503">
        <f>$C1503*J1502</f>
        <v/>
      </c>
      <c r="K1503">
        <f>$C1503*K1502</f>
        <v/>
      </c>
      <c r="L1503">
        <f>$C1503*L1502</f>
        <v/>
      </c>
      <c r="M1503">
        <f>$C1503*M1502</f>
        <v/>
      </c>
      <c r="N1503">
        <f>$C1503*N1502</f>
        <v/>
      </c>
      <c r="O1503">
        <f>$C1503*O1502</f>
        <v/>
      </c>
      <c r="P1503">
        <f>$C1503*P1502</f>
        <v/>
      </c>
      <c r="Q1503">
        <f>$C1503*Q1502</f>
        <v/>
      </c>
      <c r="R1503">
        <f>$C1503*R1502</f>
        <v/>
      </c>
      <c r="S1503">
        <f>$C1503*S1502</f>
        <v/>
      </c>
      <c r="T1503">
        <f>$C1503*T1502</f>
        <v/>
      </c>
      <c r="U1503">
        <f>$C1503*U1502</f>
        <v/>
      </c>
      <c r="V1503">
        <f>$C1503*V1502</f>
        <v/>
      </c>
      <c r="W1503">
        <f>$C1503*W1502</f>
        <v/>
      </c>
      <c r="X1503">
        <f>$C1503*X1502</f>
        <v/>
      </c>
      <c r="Y1503">
        <f>$C1503*Y1502</f>
        <v/>
      </c>
      <c r="Z1503">
        <f>$C1503*Z1502</f>
        <v/>
      </c>
      <c r="AA1503">
        <f>$C1503*AA1502</f>
        <v/>
      </c>
      <c r="AB1503">
        <f>$C1503*AB1502</f>
        <v/>
      </c>
      <c r="AC1503">
        <f>$C1503*AC1502</f>
        <v/>
      </c>
      <c r="AD1503">
        <f>$C1503*AD1502</f>
        <v/>
      </c>
      <c r="AE1503">
        <f>$C1503*AE1502</f>
        <v/>
      </c>
      <c r="AF1503">
        <f>$C1503*AF1502</f>
        <v/>
      </c>
      <c r="AG1503">
        <f>$C1503*AG1502</f>
        <v/>
      </c>
      <c r="AH1503">
        <f>$C1503*AH1502</f>
        <v/>
      </c>
      <c r="AI1503">
        <f>$C1503*AI1502</f>
        <v/>
      </c>
      <c r="AJ1503">
        <f>$C1503*AJ1502</f>
        <v/>
      </c>
      <c r="AK1503">
        <f>$C1503*AK1502</f>
        <v/>
      </c>
      <c r="AL1503">
        <f>$C1503*AL1502</f>
        <v/>
      </c>
      <c r="AM1503">
        <f>$C1503*AM1502</f>
        <v/>
      </c>
      <c r="AN1503">
        <f>$C1503*AN1502</f>
        <v/>
      </c>
      <c r="AO1503">
        <f>$C1503*AO1502</f>
        <v/>
      </c>
      <c r="AP1503">
        <f>$C1503*AP1502</f>
        <v/>
      </c>
      <c r="AQ1503">
        <f>$C1503*AQ1502</f>
        <v/>
      </c>
      <c r="AR1503">
        <f>$C1503*AR1502</f>
        <v/>
      </c>
      <c r="AS1503">
        <f>$C1503*AS1502</f>
        <v/>
      </c>
      <c r="AT1503">
        <f>$C1503*AT1502</f>
        <v/>
      </c>
      <c r="AU1503">
        <f>$C1503*AU1502</f>
        <v/>
      </c>
      <c r="AV1503">
        <f>$C1503*AV1502</f>
        <v/>
      </c>
      <c r="AW1503">
        <f>$C1503*AW1502</f>
        <v/>
      </c>
      <c r="AX1503">
        <f>$C1503*AX1502</f>
        <v/>
      </c>
      <c r="AY1503">
        <f>$C1503*AY1502</f>
        <v/>
      </c>
      <c r="AZ1503">
        <f>$C1503*AZ1502</f>
        <v/>
      </c>
      <c r="BA1503">
        <f>$C1503*BA1502</f>
        <v/>
      </c>
      <c r="BB1503">
        <f>$C1503*BB1502</f>
        <v/>
      </c>
      <c r="BC1503">
        <f>$C1503*BC1502</f>
        <v/>
      </c>
      <c r="BD1503">
        <f>$C1503*BD1502</f>
        <v/>
      </c>
      <c r="BE1503">
        <f>$C1503*BE1502</f>
        <v/>
      </c>
      <c r="BF1503">
        <f>$C1503*BF1502</f>
        <v/>
      </c>
      <c r="BG1503">
        <f>$C1503*BG1502</f>
        <v/>
      </c>
      <c r="BH1503">
        <f>$C1503*BH1502</f>
        <v/>
      </c>
      <c r="BI1503">
        <f>$C1503*BI1502</f>
        <v/>
      </c>
      <c r="BJ1503">
        <f>$C1503*BJ1502</f>
        <v/>
      </c>
      <c r="BK1503">
        <f>$C1503*BK1502</f>
        <v/>
      </c>
      <c r="BL1503">
        <f>$C1503*BL1502</f>
        <v/>
      </c>
      <c r="BM1503">
        <f>$C1503*BM1502</f>
        <v/>
      </c>
      <c r="BN1503">
        <f>$C1503*BN1502</f>
        <v/>
      </c>
      <c r="BO1503">
        <f>$C1503*BO1502</f>
        <v/>
      </c>
      <c r="BP1503">
        <f>$C1503*BP1502</f>
        <v/>
      </c>
      <c r="BQ1503">
        <f>$C1503*BQ1502</f>
        <v/>
      </c>
      <c r="BR1503">
        <f>$C1503*BR1502</f>
        <v/>
      </c>
      <c r="BS1503">
        <f>$C1503*BS1502</f>
        <v/>
      </c>
      <c r="BT1503">
        <f>$C1503*BT1502</f>
        <v/>
      </c>
      <c r="BU1503">
        <f>$C1503*BU1502</f>
        <v/>
      </c>
      <c r="BV1503">
        <f>$C1503*BV1502</f>
        <v/>
      </c>
      <c r="BW1503">
        <f>$C1503*BW1502</f>
        <v/>
      </c>
      <c r="BX1503">
        <f>$C1503*BX1502</f>
        <v/>
      </c>
      <c r="BY1503">
        <f>$C1503*BY1502</f>
        <v/>
      </c>
      <c r="BZ1503">
        <f>$C1503*BZ1502</f>
        <v/>
      </c>
      <c r="CA1503">
        <f>$C1503*CA1502</f>
        <v/>
      </c>
      <c r="CB1503">
        <f>$C1503*CB1502</f>
        <v/>
      </c>
      <c r="CC1503">
        <f>$C1503*CC1502</f>
        <v/>
      </c>
      <c r="CD1503">
        <f>$C1503*CD1502</f>
        <v/>
      </c>
      <c r="CE1503">
        <f>$C1503*CE1502</f>
        <v/>
      </c>
      <c r="CF1503">
        <f>$C1503*CF1502</f>
        <v/>
      </c>
      <c r="CG1503">
        <f>$C1503*CG1502</f>
        <v/>
      </c>
      <c r="CH1503">
        <f>$C1503*CH1502</f>
        <v/>
      </c>
      <c r="CI1503">
        <f>$C1503*CI1502</f>
        <v/>
      </c>
      <c r="CJ1503">
        <f>$C1503*CJ1502</f>
        <v/>
      </c>
      <c r="CK1503">
        <f>$C1503*CK1502</f>
        <v/>
      </c>
      <c r="CL1503">
        <f>$C1503*CL1502</f>
        <v/>
      </c>
      <c r="CM1503">
        <f>$C1503*CM1502</f>
        <v/>
      </c>
      <c r="CN1503">
        <f>$C1503*CN1502</f>
        <v/>
      </c>
      <c r="CO1503">
        <f>$C1503*CO1502</f>
        <v/>
      </c>
      <c r="CP1503">
        <f>$C1503*CP1502</f>
        <v/>
      </c>
      <c r="CQ1503">
        <f>$C1503*CQ1502</f>
        <v/>
      </c>
      <c r="CR1503">
        <f>$C1503*CR1502</f>
        <v/>
      </c>
      <c r="CS1503">
        <f>$C1503*CS1502</f>
        <v/>
      </c>
      <c r="CT1503">
        <f>$C1503*CT1502</f>
        <v/>
      </c>
      <c r="CU1503">
        <f>$C1503*CU1502</f>
        <v/>
      </c>
      <c r="CV1503">
        <f>$C1503*CV1502</f>
        <v/>
      </c>
      <c r="CW1503">
        <f>$C1503*CW1502</f>
        <v/>
      </c>
      <c r="CX1503">
        <f>$C1503*CX1502</f>
        <v/>
      </c>
      <c r="CY1503">
        <f>$C1503*CY1502</f>
        <v/>
      </c>
      <c r="CZ1503">
        <f>$C1503*CZ1502</f>
        <v/>
      </c>
      <c r="DA1503">
        <f>$C1503*DA1502</f>
        <v/>
      </c>
      <c r="DB1503">
        <f>$C1503*DB1502</f>
        <v/>
      </c>
      <c r="DC1503">
        <f>$C1503*DC1502</f>
        <v/>
      </c>
      <c r="DD1503">
        <f>$C1503*DD1502</f>
        <v/>
      </c>
    </row>
    <row r="1504">
      <c r="B1504" t="inlineStr">
        <is>
          <t>TPP-1369</t>
        </is>
      </c>
      <c r="C1504" t="inlineStr">
        <is>
          <t>No. of batches</t>
        </is>
      </c>
      <c r="D1504">
        <f>IFERROR(INDEX(E1504:DD1504,$F$1),"")</f>
        <v/>
      </c>
      <c r="E1504">
        <f>IFERROR(INDEX(PP_Grid[#Data],$DE1504,2),0)</f>
        <v/>
      </c>
      <c r="F1504">
        <f>IFERROR(INDEX(PP_Grid[#Data],$DE1504,3),0)</f>
        <v/>
      </c>
      <c r="G1504">
        <f>IFERROR(INDEX(PP_Grid[#Data],$DE1504,4),0)</f>
        <v/>
      </c>
      <c r="H1504">
        <f>IFERROR(INDEX(PP_Grid[#Data],$DE1504,5),0)</f>
        <v/>
      </c>
      <c r="I1504">
        <f>IFERROR(INDEX(PP_Grid[#Data],$DE1504,6),0)</f>
        <v/>
      </c>
      <c r="J1504">
        <f>IFERROR(INDEX(PP_Grid[#Data],$DE1504,7),0)</f>
        <v/>
      </c>
      <c r="K1504">
        <f>IFERROR(INDEX(PP_Grid[#Data],$DE1504,8),0)</f>
        <v/>
      </c>
      <c r="L1504">
        <f>IFERROR(INDEX(PP_Grid[#Data],$DE1504,9),0)</f>
        <v/>
      </c>
      <c r="M1504">
        <f>IFERROR(INDEX(PP_Grid[#Data],$DE1504,10),0)</f>
        <v/>
      </c>
      <c r="N1504">
        <f>IFERROR(INDEX(PP_Grid[#Data],$DE1504,11),0)</f>
        <v/>
      </c>
      <c r="O1504">
        <f>IFERROR(INDEX(PP_Grid[#Data],$DE1504,12),0)</f>
        <v/>
      </c>
      <c r="P1504">
        <f>IFERROR(INDEX(PP_Grid[#Data],$DE1504,13),0)</f>
        <v/>
      </c>
      <c r="Q1504">
        <f>IFERROR(INDEX(PP_Grid[#Data],$DE1504,14),0)</f>
        <v/>
      </c>
      <c r="R1504">
        <f>IFERROR(INDEX(PP_Grid[#Data],$DE1504,15),0)</f>
        <v/>
      </c>
      <c r="S1504">
        <f>IFERROR(INDEX(PP_Grid[#Data],$DE1504,16),0)</f>
        <v/>
      </c>
      <c r="T1504">
        <f>IFERROR(INDEX(PP_Grid[#Data],$DE1504,17),0)</f>
        <v/>
      </c>
      <c r="U1504">
        <f>IFERROR(INDEX(PP_Grid[#Data],$DE1504,18),0)</f>
        <v/>
      </c>
      <c r="V1504">
        <f>IFERROR(INDEX(PP_Grid[#Data],$DE1504,19),0)</f>
        <v/>
      </c>
      <c r="W1504">
        <f>IFERROR(INDEX(PP_Grid[#Data],$DE1504,20),0)</f>
        <v/>
      </c>
      <c r="X1504">
        <f>IFERROR(INDEX(PP_Grid[#Data],$DE1504,21),0)</f>
        <v/>
      </c>
      <c r="Y1504">
        <f>IFERROR(INDEX(PP_Grid[#Data],$DE1504,22),0)</f>
        <v/>
      </c>
      <c r="Z1504">
        <f>IFERROR(INDEX(PP_Grid[#Data],$DE1504,23),0)</f>
        <v/>
      </c>
      <c r="AA1504">
        <f>IFERROR(INDEX(PP_Grid[#Data],$DE1504,24),0)</f>
        <v/>
      </c>
      <c r="AB1504">
        <f>IFERROR(INDEX(PP_Grid[#Data],$DE1504,25),0)</f>
        <v/>
      </c>
      <c r="AC1504">
        <f>IFERROR(INDEX(PP_Grid[#Data],$DE1504,26),0)</f>
        <v/>
      </c>
      <c r="AD1504">
        <f>IFERROR(INDEX(PP_Grid[#Data],$DE1504,27),0)</f>
        <v/>
      </c>
      <c r="AE1504">
        <f>IFERROR(INDEX(PP_Grid[#Data],$DE1504,28),0)</f>
        <v/>
      </c>
      <c r="AF1504">
        <f>IFERROR(INDEX(PP_Grid[#Data],$DE1504,29),0)</f>
        <v/>
      </c>
      <c r="AG1504">
        <f>IFERROR(INDEX(PP_Grid[#Data],$DE1504,30),0)</f>
        <v/>
      </c>
      <c r="AH1504">
        <f>IFERROR(INDEX(PP_Grid[#Data],$DE1504,31),0)</f>
        <v/>
      </c>
      <c r="AI1504">
        <f>IFERROR(INDEX(PP_Grid[#Data],$DE1504,32),0)</f>
        <v/>
      </c>
      <c r="AJ1504">
        <f>IFERROR(INDEX(PP_Grid[#Data],$DE1504,33),0)</f>
        <v/>
      </c>
      <c r="AK1504">
        <f>IFERROR(INDEX(PP_Grid[#Data],$DE1504,34),0)</f>
        <v/>
      </c>
      <c r="AL1504">
        <f>IFERROR(INDEX(PP_Grid[#Data],$DE1504,35),0)</f>
        <v/>
      </c>
      <c r="AM1504">
        <f>IFERROR(INDEX(PP_Grid[#Data],$DE1504,36),0)</f>
        <v/>
      </c>
      <c r="AN1504">
        <f>IFERROR(INDEX(PP_Grid[#Data],$DE1504,37),0)</f>
        <v/>
      </c>
      <c r="AO1504">
        <f>IFERROR(INDEX(PP_Grid[#Data],$DE1504,38),0)</f>
        <v/>
      </c>
      <c r="AP1504">
        <f>IFERROR(INDEX(PP_Grid[#Data],$DE1504,39),0)</f>
        <v/>
      </c>
      <c r="AQ1504">
        <f>IFERROR(INDEX(PP_Grid[#Data],$DE1504,40),0)</f>
        <v/>
      </c>
      <c r="AR1504">
        <f>IFERROR(INDEX(PP_Grid[#Data],$DE1504,41),0)</f>
        <v/>
      </c>
      <c r="AS1504">
        <f>IFERROR(INDEX(PP_Grid[#Data],$DE1504,42),0)</f>
        <v/>
      </c>
      <c r="AT1504">
        <f>IFERROR(INDEX(PP_Grid[#Data],$DE1504,43),0)</f>
        <v/>
      </c>
      <c r="AU1504">
        <f>IFERROR(INDEX(PP_Grid[#Data],$DE1504,44),0)</f>
        <v/>
      </c>
      <c r="AV1504">
        <f>IFERROR(INDEX(PP_Grid[#Data],$DE1504,45),0)</f>
        <v/>
      </c>
      <c r="AW1504">
        <f>IFERROR(INDEX(PP_Grid[#Data],$DE1504,46),0)</f>
        <v/>
      </c>
      <c r="AX1504">
        <f>IFERROR(INDEX(PP_Grid[#Data],$DE1504,47),0)</f>
        <v/>
      </c>
      <c r="AY1504">
        <f>IFERROR(INDEX(PP_Grid[#Data],$DE1504,48),0)</f>
        <v/>
      </c>
      <c r="AZ1504">
        <f>IFERROR(INDEX(PP_Grid[#Data],$DE1504,49),0)</f>
        <v/>
      </c>
      <c r="BA1504">
        <f>IFERROR(INDEX(PP_Grid[#Data],$DE1504,50),0)</f>
        <v/>
      </c>
      <c r="BB1504">
        <f>IFERROR(INDEX(PP_Grid[#Data],$DE1504,51),0)</f>
        <v/>
      </c>
      <c r="BC1504">
        <f>IFERROR(INDEX(PP_Grid[#Data],$DE1504,52),0)</f>
        <v/>
      </c>
      <c r="BD1504">
        <f>IFERROR(INDEX(PP_Grid[#Data],$DE1504,53),0)</f>
        <v/>
      </c>
      <c r="BE1504">
        <f>IFERROR(INDEX(PP_Grid[#Data],$DE1504,54),0)</f>
        <v/>
      </c>
      <c r="BF1504">
        <f>IFERROR(INDEX(PP_Grid[#Data],$DE1504,55),0)</f>
        <v/>
      </c>
      <c r="BG1504">
        <f>IFERROR(INDEX(PP_Grid[#Data],$DE1504,56),0)</f>
        <v/>
      </c>
      <c r="BH1504">
        <f>IFERROR(INDEX(PP_Grid[#Data],$DE1504,57),0)</f>
        <v/>
      </c>
      <c r="BI1504">
        <f>IFERROR(INDEX(PP_Grid[#Data],$DE1504,58),0)</f>
        <v/>
      </c>
      <c r="BJ1504">
        <f>IFERROR(INDEX(PP_Grid[#Data],$DE1504,59),0)</f>
        <v/>
      </c>
      <c r="BK1504">
        <f>IFERROR(INDEX(PP_Grid[#Data],$DE1504,60),0)</f>
        <v/>
      </c>
      <c r="BL1504">
        <f>IFERROR(INDEX(PP_Grid[#Data],$DE1504,61),0)</f>
        <v/>
      </c>
      <c r="BM1504">
        <f>IFERROR(INDEX(PP_Grid[#Data],$DE1504,62),0)</f>
        <v/>
      </c>
      <c r="BN1504">
        <f>IFERROR(INDEX(PP_Grid[#Data],$DE1504,63),0)</f>
        <v/>
      </c>
      <c r="BO1504">
        <f>IFERROR(INDEX(PP_Grid[#Data],$DE1504,64),0)</f>
        <v/>
      </c>
      <c r="BP1504">
        <f>IFERROR(INDEX(PP_Grid[#Data],$DE1504,65),0)</f>
        <v/>
      </c>
      <c r="BQ1504">
        <f>IFERROR(INDEX(PP_Grid[#Data],$DE1504,66),0)</f>
        <v/>
      </c>
      <c r="BR1504">
        <f>IFERROR(INDEX(PP_Grid[#Data],$DE1504,67),0)</f>
        <v/>
      </c>
      <c r="BS1504">
        <f>IFERROR(INDEX(PP_Grid[#Data],$DE1504,68),0)</f>
        <v/>
      </c>
      <c r="BT1504">
        <f>IFERROR(INDEX(PP_Grid[#Data],$DE1504,69),0)</f>
        <v/>
      </c>
      <c r="BU1504">
        <f>IFERROR(INDEX(PP_Grid[#Data],$DE1504,70),0)</f>
        <v/>
      </c>
      <c r="BV1504">
        <f>IFERROR(INDEX(PP_Grid[#Data],$DE1504,71),0)</f>
        <v/>
      </c>
      <c r="BW1504">
        <f>IFERROR(INDEX(PP_Grid[#Data],$DE1504,72),0)</f>
        <v/>
      </c>
      <c r="BX1504">
        <f>IFERROR(INDEX(PP_Grid[#Data],$DE1504,73),0)</f>
        <v/>
      </c>
      <c r="BY1504">
        <f>IFERROR(INDEX(PP_Grid[#Data],$DE1504,74),0)</f>
        <v/>
      </c>
      <c r="BZ1504">
        <f>IFERROR(INDEX(PP_Grid[#Data],$DE1504,75),0)</f>
        <v/>
      </c>
      <c r="CA1504">
        <f>IFERROR(INDEX(PP_Grid[#Data],$DE1504,76),0)</f>
        <v/>
      </c>
      <c r="CB1504">
        <f>IFERROR(INDEX(PP_Grid[#Data],$DE1504,77),0)</f>
        <v/>
      </c>
      <c r="CC1504">
        <f>IFERROR(INDEX(PP_Grid[#Data],$DE1504,78),0)</f>
        <v/>
      </c>
      <c r="CD1504">
        <f>IFERROR(INDEX(PP_Grid[#Data],$DE1504,79),0)</f>
        <v/>
      </c>
      <c r="CE1504">
        <f>IFERROR(INDEX(PP_Grid[#Data],$DE1504,80),0)</f>
        <v/>
      </c>
      <c r="CF1504">
        <f>IFERROR(INDEX(PP_Grid[#Data],$DE1504,81),0)</f>
        <v/>
      </c>
      <c r="CG1504">
        <f>IFERROR(INDEX(PP_Grid[#Data],$DE1504,82),0)</f>
        <v/>
      </c>
      <c r="CH1504">
        <f>IFERROR(INDEX(PP_Grid[#Data],$DE1504,83),0)</f>
        <v/>
      </c>
      <c r="CI1504">
        <f>IFERROR(INDEX(PP_Grid[#Data],$DE1504,84),0)</f>
        <v/>
      </c>
      <c r="CJ1504">
        <f>IFERROR(INDEX(PP_Grid[#Data],$DE1504,85),0)</f>
        <v/>
      </c>
      <c r="CK1504">
        <f>IFERROR(INDEX(PP_Grid[#Data],$DE1504,86),0)</f>
        <v/>
      </c>
      <c r="CL1504">
        <f>IFERROR(INDEX(PP_Grid[#Data],$DE1504,87),0)</f>
        <v/>
      </c>
      <c r="CM1504">
        <f>IFERROR(INDEX(PP_Grid[#Data],$DE1504,88),0)</f>
        <v/>
      </c>
      <c r="CN1504">
        <f>IFERROR(INDEX(PP_Grid[#Data],$DE1504,89),0)</f>
        <v/>
      </c>
      <c r="CO1504">
        <f>IFERROR(INDEX(PP_Grid[#Data],$DE1504,90),0)</f>
        <v/>
      </c>
      <c r="CP1504">
        <f>IFERROR(INDEX(PP_Grid[#Data],$DE1504,91),0)</f>
        <v/>
      </c>
      <c r="CQ1504">
        <f>IFERROR(INDEX(PP_Grid[#Data],$DE1504,92),0)</f>
        <v/>
      </c>
      <c r="CR1504">
        <f>IFERROR(INDEX(PP_Grid[#Data],$DE1504,93),0)</f>
        <v/>
      </c>
      <c r="CS1504">
        <f>IFERROR(INDEX(PP_Grid[#Data],$DE1504,94),0)</f>
        <v/>
      </c>
      <c r="CT1504">
        <f>IFERROR(INDEX(PP_Grid[#Data],$DE1504,95),0)</f>
        <v/>
      </c>
      <c r="CU1504">
        <f>IFERROR(INDEX(PP_Grid[#Data],$DE1504,96),0)</f>
        <v/>
      </c>
      <c r="CV1504">
        <f>IFERROR(INDEX(PP_Grid[#Data],$DE1504,97),0)</f>
        <v/>
      </c>
      <c r="CW1504">
        <f>IFERROR(INDEX(PP_Grid[#Data],$DE1504,98),0)</f>
        <v/>
      </c>
      <c r="CX1504">
        <f>IFERROR(INDEX(PP_Grid[#Data],$DE1504,99),0)</f>
        <v/>
      </c>
      <c r="CY1504">
        <f>IFERROR(INDEX(PP_Grid[#Data],$DE1504,100),0)</f>
        <v/>
      </c>
      <c r="CZ1504">
        <f>IFERROR(INDEX(PP_Grid[#Data],$DE1504,101),0)</f>
        <v/>
      </c>
      <c r="DA1504">
        <f>IFERROR(INDEX(PP_Grid[#Data],$DE1504,102),0)</f>
        <v/>
      </c>
      <c r="DB1504">
        <f>IFERROR(INDEX(PP_Grid[#Data],$DE1504,103),0)</f>
        <v/>
      </c>
      <c r="DC1504">
        <f>IFERROR(INDEX(PP_Grid[#Data],$DE1504,104),0)</f>
        <v/>
      </c>
      <c r="DD1504">
        <f>IFERROR(INDEX(PP_Grid[#Data],$DE1504,105),0)</f>
        <v/>
      </c>
      <c r="DE1504" s="7">
        <f>IFERROR(MATCH($B1504,PP_Grid[Intermediate],0),99999)</f>
        <v/>
      </c>
    </row>
    <row r="1505">
      <c r="B1505" t="inlineStr">
        <is>
          <t>使用量(kg)</t>
        </is>
      </c>
      <c r="C1505">
        <f>SUMIFS(M_BOM[RM_Qty_Per_Batch],M_BOM[Intermediate],$B1504,M_BOM[RM_Code],$A1499)</f>
        <v/>
      </c>
      <c r="D1505">
        <f>IFERROR(INDEX(E1505:DD1505,$F$1),"")</f>
        <v/>
      </c>
      <c r="E1505">
        <f>$C1505*E1504</f>
        <v/>
      </c>
      <c r="F1505">
        <f>$C1505*F1504</f>
        <v/>
      </c>
      <c r="G1505">
        <f>$C1505*G1504</f>
        <v/>
      </c>
      <c r="H1505">
        <f>$C1505*H1504</f>
        <v/>
      </c>
      <c r="I1505">
        <f>$C1505*I1504</f>
        <v/>
      </c>
      <c r="J1505">
        <f>$C1505*J1504</f>
        <v/>
      </c>
      <c r="K1505">
        <f>$C1505*K1504</f>
        <v/>
      </c>
      <c r="L1505">
        <f>$C1505*L1504</f>
        <v/>
      </c>
      <c r="M1505">
        <f>$C1505*M1504</f>
        <v/>
      </c>
      <c r="N1505">
        <f>$C1505*N1504</f>
        <v/>
      </c>
      <c r="O1505">
        <f>$C1505*O1504</f>
        <v/>
      </c>
      <c r="P1505">
        <f>$C1505*P1504</f>
        <v/>
      </c>
      <c r="Q1505">
        <f>$C1505*Q1504</f>
        <v/>
      </c>
      <c r="R1505">
        <f>$C1505*R1504</f>
        <v/>
      </c>
      <c r="S1505">
        <f>$C1505*S1504</f>
        <v/>
      </c>
      <c r="T1505">
        <f>$C1505*T1504</f>
        <v/>
      </c>
      <c r="U1505">
        <f>$C1505*U1504</f>
        <v/>
      </c>
      <c r="V1505">
        <f>$C1505*V1504</f>
        <v/>
      </c>
      <c r="W1505">
        <f>$C1505*W1504</f>
        <v/>
      </c>
      <c r="X1505">
        <f>$C1505*X1504</f>
        <v/>
      </c>
      <c r="Y1505">
        <f>$C1505*Y1504</f>
        <v/>
      </c>
      <c r="Z1505">
        <f>$C1505*Z1504</f>
        <v/>
      </c>
      <c r="AA1505">
        <f>$C1505*AA1504</f>
        <v/>
      </c>
      <c r="AB1505">
        <f>$C1505*AB1504</f>
        <v/>
      </c>
      <c r="AC1505">
        <f>$C1505*AC1504</f>
        <v/>
      </c>
      <c r="AD1505">
        <f>$C1505*AD1504</f>
        <v/>
      </c>
      <c r="AE1505">
        <f>$C1505*AE1504</f>
        <v/>
      </c>
      <c r="AF1505">
        <f>$C1505*AF1504</f>
        <v/>
      </c>
      <c r="AG1505">
        <f>$C1505*AG1504</f>
        <v/>
      </c>
      <c r="AH1505">
        <f>$C1505*AH1504</f>
        <v/>
      </c>
      <c r="AI1505">
        <f>$C1505*AI1504</f>
        <v/>
      </c>
      <c r="AJ1505">
        <f>$C1505*AJ1504</f>
        <v/>
      </c>
      <c r="AK1505">
        <f>$C1505*AK1504</f>
        <v/>
      </c>
      <c r="AL1505">
        <f>$C1505*AL1504</f>
        <v/>
      </c>
      <c r="AM1505">
        <f>$C1505*AM1504</f>
        <v/>
      </c>
      <c r="AN1505">
        <f>$C1505*AN1504</f>
        <v/>
      </c>
      <c r="AO1505">
        <f>$C1505*AO1504</f>
        <v/>
      </c>
      <c r="AP1505">
        <f>$C1505*AP1504</f>
        <v/>
      </c>
      <c r="AQ1505">
        <f>$C1505*AQ1504</f>
        <v/>
      </c>
      <c r="AR1505">
        <f>$C1505*AR1504</f>
        <v/>
      </c>
      <c r="AS1505">
        <f>$C1505*AS1504</f>
        <v/>
      </c>
      <c r="AT1505">
        <f>$C1505*AT1504</f>
        <v/>
      </c>
      <c r="AU1505">
        <f>$C1505*AU1504</f>
        <v/>
      </c>
      <c r="AV1505">
        <f>$C1505*AV1504</f>
        <v/>
      </c>
      <c r="AW1505">
        <f>$C1505*AW1504</f>
        <v/>
      </c>
      <c r="AX1505">
        <f>$C1505*AX1504</f>
        <v/>
      </c>
      <c r="AY1505">
        <f>$C1505*AY1504</f>
        <v/>
      </c>
      <c r="AZ1505">
        <f>$C1505*AZ1504</f>
        <v/>
      </c>
      <c r="BA1505">
        <f>$C1505*BA1504</f>
        <v/>
      </c>
      <c r="BB1505">
        <f>$C1505*BB1504</f>
        <v/>
      </c>
      <c r="BC1505">
        <f>$C1505*BC1504</f>
        <v/>
      </c>
      <c r="BD1505">
        <f>$C1505*BD1504</f>
        <v/>
      </c>
      <c r="BE1505">
        <f>$C1505*BE1504</f>
        <v/>
      </c>
      <c r="BF1505">
        <f>$C1505*BF1504</f>
        <v/>
      </c>
      <c r="BG1505">
        <f>$C1505*BG1504</f>
        <v/>
      </c>
      <c r="BH1505">
        <f>$C1505*BH1504</f>
        <v/>
      </c>
      <c r="BI1505">
        <f>$C1505*BI1504</f>
        <v/>
      </c>
      <c r="BJ1505">
        <f>$C1505*BJ1504</f>
        <v/>
      </c>
      <c r="BK1505">
        <f>$C1505*BK1504</f>
        <v/>
      </c>
      <c r="BL1505">
        <f>$C1505*BL1504</f>
        <v/>
      </c>
      <c r="BM1505">
        <f>$C1505*BM1504</f>
        <v/>
      </c>
      <c r="BN1505">
        <f>$C1505*BN1504</f>
        <v/>
      </c>
      <c r="BO1505">
        <f>$C1505*BO1504</f>
        <v/>
      </c>
      <c r="BP1505">
        <f>$C1505*BP1504</f>
        <v/>
      </c>
      <c r="BQ1505">
        <f>$C1505*BQ1504</f>
        <v/>
      </c>
      <c r="BR1505">
        <f>$C1505*BR1504</f>
        <v/>
      </c>
      <c r="BS1505">
        <f>$C1505*BS1504</f>
        <v/>
      </c>
      <c r="BT1505">
        <f>$C1505*BT1504</f>
        <v/>
      </c>
      <c r="BU1505">
        <f>$C1505*BU1504</f>
        <v/>
      </c>
      <c r="BV1505">
        <f>$C1505*BV1504</f>
        <v/>
      </c>
      <c r="BW1505">
        <f>$C1505*BW1504</f>
        <v/>
      </c>
      <c r="BX1505">
        <f>$C1505*BX1504</f>
        <v/>
      </c>
      <c r="BY1505">
        <f>$C1505*BY1504</f>
        <v/>
      </c>
      <c r="BZ1505">
        <f>$C1505*BZ1504</f>
        <v/>
      </c>
      <c r="CA1505">
        <f>$C1505*CA1504</f>
        <v/>
      </c>
      <c r="CB1505">
        <f>$C1505*CB1504</f>
        <v/>
      </c>
      <c r="CC1505">
        <f>$C1505*CC1504</f>
        <v/>
      </c>
      <c r="CD1505">
        <f>$C1505*CD1504</f>
        <v/>
      </c>
      <c r="CE1505">
        <f>$C1505*CE1504</f>
        <v/>
      </c>
      <c r="CF1505">
        <f>$C1505*CF1504</f>
        <v/>
      </c>
      <c r="CG1505">
        <f>$C1505*CG1504</f>
        <v/>
      </c>
      <c r="CH1505">
        <f>$C1505*CH1504</f>
        <v/>
      </c>
      <c r="CI1505">
        <f>$C1505*CI1504</f>
        <v/>
      </c>
      <c r="CJ1505">
        <f>$C1505*CJ1504</f>
        <v/>
      </c>
      <c r="CK1505">
        <f>$C1505*CK1504</f>
        <v/>
      </c>
      <c r="CL1505">
        <f>$C1505*CL1504</f>
        <v/>
      </c>
      <c r="CM1505">
        <f>$C1505*CM1504</f>
        <v/>
      </c>
      <c r="CN1505">
        <f>$C1505*CN1504</f>
        <v/>
      </c>
      <c r="CO1505">
        <f>$C1505*CO1504</f>
        <v/>
      </c>
      <c r="CP1505">
        <f>$C1505*CP1504</f>
        <v/>
      </c>
      <c r="CQ1505">
        <f>$C1505*CQ1504</f>
        <v/>
      </c>
      <c r="CR1505">
        <f>$C1505*CR1504</f>
        <v/>
      </c>
      <c r="CS1505">
        <f>$C1505*CS1504</f>
        <v/>
      </c>
      <c r="CT1505">
        <f>$C1505*CT1504</f>
        <v/>
      </c>
      <c r="CU1505">
        <f>$C1505*CU1504</f>
        <v/>
      </c>
      <c r="CV1505">
        <f>$C1505*CV1504</f>
        <v/>
      </c>
      <c r="CW1505">
        <f>$C1505*CW1504</f>
        <v/>
      </c>
      <c r="CX1505">
        <f>$C1505*CX1504</f>
        <v/>
      </c>
      <c r="CY1505">
        <f>$C1505*CY1504</f>
        <v/>
      </c>
      <c r="CZ1505">
        <f>$C1505*CZ1504</f>
        <v/>
      </c>
      <c r="DA1505">
        <f>$C1505*DA1504</f>
        <v/>
      </c>
      <c r="DB1505">
        <f>$C1505*DB1504</f>
        <v/>
      </c>
      <c r="DC1505">
        <f>$C1505*DC1504</f>
        <v/>
      </c>
      <c r="DD1505">
        <f>$C1505*DD1504</f>
        <v/>
      </c>
    </row>
    <row r="1506">
      <c r="B1506" t="inlineStr">
        <is>
          <t>TPP-1379</t>
        </is>
      </c>
      <c r="C1506" t="inlineStr">
        <is>
          <t>No. of batches</t>
        </is>
      </c>
      <c r="D1506">
        <f>IFERROR(INDEX(E1506:DD1506,$F$1),"")</f>
        <v/>
      </c>
      <c r="E1506">
        <f>IFERROR(INDEX(PP_Grid[#Data],$DE1506,2),0)</f>
        <v/>
      </c>
      <c r="F1506">
        <f>IFERROR(INDEX(PP_Grid[#Data],$DE1506,3),0)</f>
        <v/>
      </c>
      <c r="G1506">
        <f>IFERROR(INDEX(PP_Grid[#Data],$DE1506,4),0)</f>
        <v/>
      </c>
      <c r="H1506">
        <f>IFERROR(INDEX(PP_Grid[#Data],$DE1506,5),0)</f>
        <v/>
      </c>
      <c r="I1506">
        <f>IFERROR(INDEX(PP_Grid[#Data],$DE1506,6),0)</f>
        <v/>
      </c>
      <c r="J1506">
        <f>IFERROR(INDEX(PP_Grid[#Data],$DE1506,7),0)</f>
        <v/>
      </c>
      <c r="K1506">
        <f>IFERROR(INDEX(PP_Grid[#Data],$DE1506,8),0)</f>
        <v/>
      </c>
      <c r="L1506">
        <f>IFERROR(INDEX(PP_Grid[#Data],$DE1506,9),0)</f>
        <v/>
      </c>
      <c r="M1506">
        <f>IFERROR(INDEX(PP_Grid[#Data],$DE1506,10),0)</f>
        <v/>
      </c>
      <c r="N1506">
        <f>IFERROR(INDEX(PP_Grid[#Data],$DE1506,11),0)</f>
        <v/>
      </c>
      <c r="O1506">
        <f>IFERROR(INDEX(PP_Grid[#Data],$DE1506,12),0)</f>
        <v/>
      </c>
      <c r="P1506">
        <f>IFERROR(INDEX(PP_Grid[#Data],$DE1506,13),0)</f>
        <v/>
      </c>
      <c r="Q1506">
        <f>IFERROR(INDEX(PP_Grid[#Data],$DE1506,14),0)</f>
        <v/>
      </c>
      <c r="R1506">
        <f>IFERROR(INDEX(PP_Grid[#Data],$DE1506,15),0)</f>
        <v/>
      </c>
      <c r="S1506">
        <f>IFERROR(INDEX(PP_Grid[#Data],$DE1506,16),0)</f>
        <v/>
      </c>
      <c r="T1506">
        <f>IFERROR(INDEX(PP_Grid[#Data],$DE1506,17),0)</f>
        <v/>
      </c>
      <c r="U1506">
        <f>IFERROR(INDEX(PP_Grid[#Data],$DE1506,18),0)</f>
        <v/>
      </c>
      <c r="V1506">
        <f>IFERROR(INDEX(PP_Grid[#Data],$DE1506,19),0)</f>
        <v/>
      </c>
      <c r="W1506">
        <f>IFERROR(INDEX(PP_Grid[#Data],$DE1506,20),0)</f>
        <v/>
      </c>
      <c r="X1506">
        <f>IFERROR(INDEX(PP_Grid[#Data],$DE1506,21),0)</f>
        <v/>
      </c>
      <c r="Y1506">
        <f>IFERROR(INDEX(PP_Grid[#Data],$DE1506,22),0)</f>
        <v/>
      </c>
      <c r="Z1506">
        <f>IFERROR(INDEX(PP_Grid[#Data],$DE1506,23),0)</f>
        <v/>
      </c>
      <c r="AA1506">
        <f>IFERROR(INDEX(PP_Grid[#Data],$DE1506,24),0)</f>
        <v/>
      </c>
      <c r="AB1506">
        <f>IFERROR(INDEX(PP_Grid[#Data],$DE1506,25),0)</f>
        <v/>
      </c>
      <c r="AC1506">
        <f>IFERROR(INDEX(PP_Grid[#Data],$DE1506,26),0)</f>
        <v/>
      </c>
      <c r="AD1506">
        <f>IFERROR(INDEX(PP_Grid[#Data],$DE1506,27),0)</f>
        <v/>
      </c>
      <c r="AE1506">
        <f>IFERROR(INDEX(PP_Grid[#Data],$DE1506,28),0)</f>
        <v/>
      </c>
      <c r="AF1506">
        <f>IFERROR(INDEX(PP_Grid[#Data],$DE1506,29),0)</f>
        <v/>
      </c>
      <c r="AG1506">
        <f>IFERROR(INDEX(PP_Grid[#Data],$DE1506,30),0)</f>
        <v/>
      </c>
      <c r="AH1506">
        <f>IFERROR(INDEX(PP_Grid[#Data],$DE1506,31),0)</f>
        <v/>
      </c>
      <c r="AI1506">
        <f>IFERROR(INDEX(PP_Grid[#Data],$DE1506,32),0)</f>
        <v/>
      </c>
      <c r="AJ1506">
        <f>IFERROR(INDEX(PP_Grid[#Data],$DE1506,33),0)</f>
        <v/>
      </c>
      <c r="AK1506">
        <f>IFERROR(INDEX(PP_Grid[#Data],$DE1506,34),0)</f>
        <v/>
      </c>
      <c r="AL1506">
        <f>IFERROR(INDEX(PP_Grid[#Data],$DE1506,35),0)</f>
        <v/>
      </c>
      <c r="AM1506">
        <f>IFERROR(INDEX(PP_Grid[#Data],$DE1506,36),0)</f>
        <v/>
      </c>
      <c r="AN1506">
        <f>IFERROR(INDEX(PP_Grid[#Data],$DE1506,37),0)</f>
        <v/>
      </c>
      <c r="AO1506">
        <f>IFERROR(INDEX(PP_Grid[#Data],$DE1506,38),0)</f>
        <v/>
      </c>
      <c r="AP1506">
        <f>IFERROR(INDEX(PP_Grid[#Data],$DE1506,39),0)</f>
        <v/>
      </c>
      <c r="AQ1506">
        <f>IFERROR(INDEX(PP_Grid[#Data],$DE1506,40),0)</f>
        <v/>
      </c>
      <c r="AR1506">
        <f>IFERROR(INDEX(PP_Grid[#Data],$DE1506,41),0)</f>
        <v/>
      </c>
      <c r="AS1506">
        <f>IFERROR(INDEX(PP_Grid[#Data],$DE1506,42),0)</f>
        <v/>
      </c>
      <c r="AT1506">
        <f>IFERROR(INDEX(PP_Grid[#Data],$DE1506,43),0)</f>
        <v/>
      </c>
      <c r="AU1506">
        <f>IFERROR(INDEX(PP_Grid[#Data],$DE1506,44),0)</f>
        <v/>
      </c>
      <c r="AV1506">
        <f>IFERROR(INDEX(PP_Grid[#Data],$DE1506,45),0)</f>
        <v/>
      </c>
      <c r="AW1506">
        <f>IFERROR(INDEX(PP_Grid[#Data],$DE1506,46),0)</f>
        <v/>
      </c>
      <c r="AX1506">
        <f>IFERROR(INDEX(PP_Grid[#Data],$DE1506,47),0)</f>
        <v/>
      </c>
      <c r="AY1506">
        <f>IFERROR(INDEX(PP_Grid[#Data],$DE1506,48),0)</f>
        <v/>
      </c>
      <c r="AZ1506">
        <f>IFERROR(INDEX(PP_Grid[#Data],$DE1506,49),0)</f>
        <v/>
      </c>
      <c r="BA1506">
        <f>IFERROR(INDEX(PP_Grid[#Data],$DE1506,50),0)</f>
        <v/>
      </c>
      <c r="BB1506">
        <f>IFERROR(INDEX(PP_Grid[#Data],$DE1506,51),0)</f>
        <v/>
      </c>
      <c r="BC1506">
        <f>IFERROR(INDEX(PP_Grid[#Data],$DE1506,52),0)</f>
        <v/>
      </c>
      <c r="BD1506">
        <f>IFERROR(INDEX(PP_Grid[#Data],$DE1506,53),0)</f>
        <v/>
      </c>
      <c r="BE1506">
        <f>IFERROR(INDEX(PP_Grid[#Data],$DE1506,54),0)</f>
        <v/>
      </c>
      <c r="BF1506">
        <f>IFERROR(INDEX(PP_Grid[#Data],$DE1506,55),0)</f>
        <v/>
      </c>
      <c r="BG1506">
        <f>IFERROR(INDEX(PP_Grid[#Data],$DE1506,56),0)</f>
        <v/>
      </c>
      <c r="BH1506">
        <f>IFERROR(INDEX(PP_Grid[#Data],$DE1506,57),0)</f>
        <v/>
      </c>
      <c r="BI1506">
        <f>IFERROR(INDEX(PP_Grid[#Data],$DE1506,58),0)</f>
        <v/>
      </c>
      <c r="BJ1506">
        <f>IFERROR(INDEX(PP_Grid[#Data],$DE1506,59),0)</f>
        <v/>
      </c>
      <c r="BK1506">
        <f>IFERROR(INDEX(PP_Grid[#Data],$DE1506,60),0)</f>
        <v/>
      </c>
      <c r="BL1506">
        <f>IFERROR(INDEX(PP_Grid[#Data],$DE1506,61),0)</f>
        <v/>
      </c>
      <c r="BM1506">
        <f>IFERROR(INDEX(PP_Grid[#Data],$DE1506,62),0)</f>
        <v/>
      </c>
      <c r="BN1506">
        <f>IFERROR(INDEX(PP_Grid[#Data],$DE1506,63),0)</f>
        <v/>
      </c>
      <c r="BO1506">
        <f>IFERROR(INDEX(PP_Grid[#Data],$DE1506,64),0)</f>
        <v/>
      </c>
      <c r="BP1506">
        <f>IFERROR(INDEX(PP_Grid[#Data],$DE1506,65),0)</f>
        <v/>
      </c>
      <c r="BQ1506">
        <f>IFERROR(INDEX(PP_Grid[#Data],$DE1506,66),0)</f>
        <v/>
      </c>
      <c r="BR1506">
        <f>IFERROR(INDEX(PP_Grid[#Data],$DE1506,67),0)</f>
        <v/>
      </c>
      <c r="BS1506">
        <f>IFERROR(INDEX(PP_Grid[#Data],$DE1506,68),0)</f>
        <v/>
      </c>
      <c r="BT1506">
        <f>IFERROR(INDEX(PP_Grid[#Data],$DE1506,69),0)</f>
        <v/>
      </c>
      <c r="BU1506">
        <f>IFERROR(INDEX(PP_Grid[#Data],$DE1506,70),0)</f>
        <v/>
      </c>
      <c r="BV1506">
        <f>IFERROR(INDEX(PP_Grid[#Data],$DE1506,71),0)</f>
        <v/>
      </c>
      <c r="BW1506">
        <f>IFERROR(INDEX(PP_Grid[#Data],$DE1506,72),0)</f>
        <v/>
      </c>
      <c r="BX1506">
        <f>IFERROR(INDEX(PP_Grid[#Data],$DE1506,73),0)</f>
        <v/>
      </c>
      <c r="BY1506">
        <f>IFERROR(INDEX(PP_Grid[#Data],$DE1506,74),0)</f>
        <v/>
      </c>
      <c r="BZ1506">
        <f>IFERROR(INDEX(PP_Grid[#Data],$DE1506,75),0)</f>
        <v/>
      </c>
      <c r="CA1506">
        <f>IFERROR(INDEX(PP_Grid[#Data],$DE1506,76),0)</f>
        <v/>
      </c>
      <c r="CB1506">
        <f>IFERROR(INDEX(PP_Grid[#Data],$DE1506,77),0)</f>
        <v/>
      </c>
      <c r="CC1506">
        <f>IFERROR(INDEX(PP_Grid[#Data],$DE1506,78),0)</f>
        <v/>
      </c>
      <c r="CD1506">
        <f>IFERROR(INDEX(PP_Grid[#Data],$DE1506,79),0)</f>
        <v/>
      </c>
      <c r="CE1506">
        <f>IFERROR(INDEX(PP_Grid[#Data],$DE1506,80),0)</f>
        <v/>
      </c>
      <c r="CF1506">
        <f>IFERROR(INDEX(PP_Grid[#Data],$DE1506,81),0)</f>
        <v/>
      </c>
      <c r="CG1506">
        <f>IFERROR(INDEX(PP_Grid[#Data],$DE1506,82),0)</f>
        <v/>
      </c>
      <c r="CH1506">
        <f>IFERROR(INDEX(PP_Grid[#Data],$DE1506,83),0)</f>
        <v/>
      </c>
      <c r="CI1506">
        <f>IFERROR(INDEX(PP_Grid[#Data],$DE1506,84),0)</f>
        <v/>
      </c>
      <c r="CJ1506">
        <f>IFERROR(INDEX(PP_Grid[#Data],$DE1506,85),0)</f>
        <v/>
      </c>
      <c r="CK1506">
        <f>IFERROR(INDEX(PP_Grid[#Data],$DE1506,86),0)</f>
        <v/>
      </c>
      <c r="CL1506">
        <f>IFERROR(INDEX(PP_Grid[#Data],$DE1506,87),0)</f>
        <v/>
      </c>
      <c r="CM1506">
        <f>IFERROR(INDEX(PP_Grid[#Data],$DE1506,88),0)</f>
        <v/>
      </c>
      <c r="CN1506">
        <f>IFERROR(INDEX(PP_Grid[#Data],$DE1506,89),0)</f>
        <v/>
      </c>
      <c r="CO1506">
        <f>IFERROR(INDEX(PP_Grid[#Data],$DE1506,90),0)</f>
        <v/>
      </c>
      <c r="CP1506">
        <f>IFERROR(INDEX(PP_Grid[#Data],$DE1506,91),0)</f>
        <v/>
      </c>
      <c r="CQ1506">
        <f>IFERROR(INDEX(PP_Grid[#Data],$DE1506,92),0)</f>
        <v/>
      </c>
      <c r="CR1506">
        <f>IFERROR(INDEX(PP_Grid[#Data],$DE1506,93),0)</f>
        <v/>
      </c>
      <c r="CS1506">
        <f>IFERROR(INDEX(PP_Grid[#Data],$DE1506,94),0)</f>
        <v/>
      </c>
      <c r="CT1506">
        <f>IFERROR(INDEX(PP_Grid[#Data],$DE1506,95),0)</f>
        <v/>
      </c>
      <c r="CU1506">
        <f>IFERROR(INDEX(PP_Grid[#Data],$DE1506,96),0)</f>
        <v/>
      </c>
      <c r="CV1506">
        <f>IFERROR(INDEX(PP_Grid[#Data],$DE1506,97),0)</f>
        <v/>
      </c>
      <c r="CW1506">
        <f>IFERROR(INDEX(PP_Grid[#Data],$DE1506,98),0)</f>
        <v/>
      </c>
      <c r="CX1506">
        <f>IFERROR(INDEX(PP_Grid[#Data],$DE1506,99),0)</f>
        <v/>
      </c>
      <c r="CY1506">
        <f>IFERROR(INDEX(PP_Grid[#Data],$DE1506,100),0)</f>
        <v/>
      </c>
      <c r="CZ1506">
        <f>IFERROR(INDEX(PP_Grid[#Data],$DE1506,101),0)</f>
        <v/>
      </c>
      <c r="DA1506">
        <f>IFERROR(INDEX(PP_Grid[#Data],$DE1506,102),0)</f>
        <v/>
      </c>
      <c r="DB1506">
        <f>IFERROR(INDEX(PP_Grid[#Data],$DE1506,103),0)</f>
        <v/>
      </c>
      <c r="DC1506">
        <f>IFERROR(INDEX(PP_Grid[#Data],$DE1506,104),0)</f>
        <v/>
      </c>
      <c r="DD1506">
        <f>IFERROR(INDEX(PP_Grid[#Data],$DE1506,105),0)</f>
        <v/>
      </c>
      <c r="DE1506" s="7">
        <f>IFERROR(MATCH($B1506,PP_Grid[Intermediate],0),99999)</f>
        <v/>
      </c>
    </row>
    <row r="1507">
      <c r="B1507" t="inlineStr">
        <is>
          <t>使用量(kg)</t>
        </is>
      </c>
      <c r="C1507">
        <f>SUMIFS(M_BOM[RM_Qty_Per_Batch],M_BOM[Intermediate],$B1506,M_BOM[RM_Code],$A1499)</f>
        <v/>
      </c>
      <c r="D1507">
        <f>IFERROR(INDEX(E1507:DD1507,$F$1),"")</f>
        <v/>
      </c>
      <c r="E1507">
        <f>$C1507*E1506</f>
        <v/>
      </c>
      <c r="F1507">
        <f>$C1507*F1506</f>
        <v/>
      </c>
      <c r="G1507">
        <f>$C1507*G1506</f>
        <v/>
      </c>
      <c r="H1507">
        <f>$C1507*H1506</f>
        <v/>
      </c>
      <c r="I1507">
        <f>$C1507*I1506</f>
        <v/>
      </c>
      <c r="J1507">
        <f>$C1507*J1506</f>
        <v/>
      </c>
      <c r="K1507">
        <f>$C1507*K1506</f>
        <v/>
      </c>
      <c r="L1507">
        <f>$C1507*L1506</f>
        <v/>
      </c>
      <c r="M1507">
        <f>$C1507*M1506</f>
        <v/>
      </c>
      <c r="N1507">
        <f>$C1507*N1506</f>
        <v/>
      </c>
      <c r="O1507">
        <f>$C1507*O1506</f>
        <v/>
      </c>
      <c r="P1507">
        <f>$C1507*P1506</f>
        <v/>
      </c>
      <c r="Q1507">
        <f>$C1507*Q1506</f>
        <v/>
      </c>
      <c r="R1507">
        <f>$C1507*R1506</f>
        <v/>
      </c>
      <c r="S1507">
        <f>$C1507*S1506</f>
        <v/>
      </c>
      <c r="T1507">
        <f>$C1507*T1506</f>
        <v/>
      </c>
      <c r="U1507">
        <f>$C1507*U1506</f>
        <v/>
      </c>
      <c r="V1507">
        <f>$C1507*V1506</f>
        <v/>
      </c>
      <c r="W1507">
        <f>$C1507*W1506</f>
        <v/>
      </c>
      <c r="X1507">
        <f>$C1507*X1506</f>
        <v/>
      </c>
      <c r="Y1507">
        <f>$C1507*Y1506</f>
        <v/>
      </c>
      <c r="Z1507">
        <f>$C1507*Z1506</f>
        <v/>
      </c>
      <c r="AA1507">
        <f>$C1507*AA1506</f>
        <v/>
      </c>
      <c r="AB1507">
        <f>$C1507*AB1506</f>
        <v/>
      </c>
      <c r="AC1507">
        <f>$C1507*AC1506</f>
        <v/>
      </c>
      <c r="AD1507">
        <f>$C1507*AD1506</f>
        <v/>
      </c>
      <c r="AE1507">
        <f>$C1507*AE1506</f>
        <v/>
      </c>
      <c r="AF1507">
        <f>$C1507*AF1506</f>
        <v/>
      </c>
      <c r="AG1507">
        <f>$C1507*AG1506</f>
        <v/>
      </c>
      <c r="AH1507">
        <f>$C1507*AH1506</f>
        <v/>
      </c>
      <c r="AI1507">
        <f>$C1507*AI1506</f>
        <v/>
      </c>
      <c r="AJ1507">
        <f>$C1507*AJ1506</f>
        <v/>
      </c>
      <c r="AK1507">
        <f>$C1507*AK1506</f>
        <v/>
      </c>
      <c r="AL1507">
        <f>$C1507*AL1506</f>
        <v/>
      </c>
      <c r="AM1507">
        <f>$C1507*AM1506</f>
        <v/>
      </c>
      <c r="AN1507">
        <f>$C1507*AN1506</f>
        <v/>
      </c>
      <c r="AO1507">
        <f>$C1507*AO1506</f>
        <v/>
      </c>
      <c r="AP1507">
        <f>$C1507*AP1506</f>
        <v/>
      </c>
      <c r="AQ1507">
        <f>$C1507*AQ1506</f>
        <v/>
      </c>
      <c r="AR1507">
        <f>$C1507*AR1506</f>
        <v/>
      </c>
      <c r="AS1507">
        <f>$C1507*AS1506</f>
        <v/>
      </c>
      <c r="AT1507">
        <f>$C1507*AT1506</f>
        <v/>
      </c>
      <c r="AU1507">
        <f>$C1507*AU1506</f>
        <v/>
      </c>
      <c r="AV1507">
        <f>$C1507*AV1506</f>
        <v/>
      </c>
      <c r="AW1507">
        <f>$C1507*AW1506</f>
        <v/>
      </c>
      <c r="AX1507">
        <f>$C1507*AX1506</f>
        <v/>
      </c>
      <c r="AY1507">
        <f>$C1507*AY1506</f>
        <v/>
      </c>
      <c r="AZ1507">
        <f>$C1507*AZ1506</f>
        <v/>
      </c>
      <c r="BA1507">
        <f>$C1507*BA1506</f>
        <v/>
      </c>
      <c r="BB1507">
        <f>$C1507*BB1506</f>
        <v/>
      </c>
      <c r="BC1507">
        <f>$C1507*BC1506</f>
        <v/>
      </c>
      <c r="BD1507">
        <f>$C1507*BD1506</f>
        <v/>
      </c>
      <c r="BE1507">
        <f>$C1507*BE1506</f>
        <v/>
      </c>
      <c r="BF1507">
        <f>$C1507*BF1506</f>
        <v/>
      </c>
      <c r="BG1507">
        <f>$C1507*BG1506</f>
        <v/>
      </c>
      <c r="BH1507">
        <f>$C1507*BH1506</f>
        <v/>
      </c>
      <c r="BI1507">
        <f>$C1507*BI1506</f>
        <v/>
      </c>
      <c r="BJ1507">
        <f>$C1507*BJ1506</f>
        <v/>
      </c>
      <c r="BK1507">
        <f>$C1507*BK1506</f>
        <v/>
      </c>
      <c r="BL1507">
        <f>$C1507*BL1506</f>
        <v/>
      </c>
      <c r="BM1507">
        <f>$C1507*BM1506</f>
        <v/>
      </c>
      <c r="BN1507">
        <f>$C1507*BN1506</f>
        <v/>
      </c>
      <c r="BO1507">
        <f>$C1507*BO1506</f>
        <v/>
      </c>
      <c r="BP1507">
        <f>$C1507*BP1506</f>
        <v/>
      </c>
      <c r="BQ1507">
        <f>$C1507*BQ1506</f>
        <v/>
      </c>
      <c r="BR1507">
        <f>$C1507*BR1506</f>
        <v/>
      </c>
      <c r="BS1507">
        <f>$C1507*BS1506</f>
        <v/>
      </c>
      <c r="BT1507">
        <f>$C1507*BT1506</f>
        <v/>
      </c>
      <c r="BU1507">
        <f>$C1507*BU1506</f>
        <v/>
      </c>
      <c r="BV1507">
        <f>$C1507*BV1506</f>
        <v/>
      </c>
      <c r="BW1507">
        <f>$C1507*BW1506</f>
        <v/>
      </c>
      <c r="BX1507">
        <f>$C1507*BX1506</f>
        <v/>
      </c>
      <c r="BY1507">
        <f>$C1507*BY1506</f>
        <v/>
      </c>
      <c r="BZ1507">
        <f>$C1507*BZ1506</f>
        <v/>
      </c>
      <c r="CA1507">
        <f>$C1507*CA1506</f>
        <v/>
      </c>
      <c r="CB1507">
        <f>$C1507*CB1506</f>
        <v/>
      </c>
      <c r="CC1507">
        <f>$C1507*CC1506</f>
        <v/>
      </c>
      <c r="CD1507">
        <f>$C1507*CD1506</f>
        <v/>
      </c>
      <c r="CE1507">
        <f>$C1507*CE1506</f>
        <v/>
      </c>
      <c r="CF1507">
        <f>$C1507*CF1506</f>
        <v/>
      </c>
      <c r="CG1507">
        <f>$C1507*CG1506</f>
        <v/>
      </c>
      <c r="CH1507">
        <f>$C1507*CH1506</f>
        <v/>
      </c>
      <c r="CI1507">
        <f>$C1507*CI1506</f>
        <v/>
      </c>
      <c r="CJ1507">
        <f>$C1507*CJ1506</f>
        <v/>
      </c>
      <c r="CK1507">
        <f>$C1507*CK1506</f>
        <v/>
      </c>
      <c r="CL1507">
        <f>$C1507*CL1506</f>
        <v/>
      </c>
      <c r="CM1507">
        <f>$C1507*CM1506</f>
        <v/>
      </c>
      <c r="CN1507">
        <f>$C1507*CN1506</f>
        <v/>
      </c>
      <c r="CO1507">
        <f>$C1507*CO1506</f>
        <v/>
      </c>
      <c r="CP1507">
        <f>$C1507*CP1506</f>
        <v/>
      </c>
      <c r="CQ1507">
        <f>$C1507*CQ1506</f>
        <v/>
      </c>
      <c r="CR1507">
        <f>$C1507*CR1506</f>
        <v/>
      </c>
      <c r="CS1507">
        <f>$C1507*CS1506</f>
        <v/>
      </c>
      <c r="CT1507">
        <f>$C1507*CT1506</f>
        <v/>
      </c>
      <c r="CU1507">
        <f>$C1507*CU1506</f>
        <v/>
      </c>
      <c r="CV1507">
        <f>$C1507*CV1506</f>
        <v/>
      </c>
      <c r="CW1507">
        <f>$C1507*CW1506</f>
        <v/>
      </c>
      <c r="CX1507">
        <f>$C1507*CX1506</f>
        <v/>
      </c>
      <c r="CY1507">
        <f>$C1507*CY1506</f>
        <v/>
      </c>
      <c r="CZ1507">
        <f>$C1507*CZ1506</f>
        <v/>
      </c>
      <c r="DA1507">
        <f>$C1507*DA1506</f>
        <v/>
      </c>
      <c r="DB1507">
        <f>$C1507*DB1506</f>
        <v/>
      </c>
      <c r="DC1507">
        <f>$C1507*DC1506</f>
        <v/>
      </c>
      <c r="DD1507">
        <f>$C1507*DD1506</f>
        <v/>
      </c>
    </row>
    <row r="1508">
      <c r="B1508" t="inlineStr">
        <is>
          <t>TPP-1368</t>
        </is>
      </c>
      <c r="C1508" t="inlineStr">
        <is>
          <t>No. of batches</t>
        </is>
      </c>
      <c r="D1508">
        <f>IFERROR(INDEX(E1508:DD1508,$F$1),"")</f>
        <v/>
      </c>
      <c r="E1508">
        <f>IFERROR(INDEX(PP_Grid[#Data],$DE1508,2),0)</f>
        <v/>
      </c>
      <c r="F1508">
        <f>IFERROR(INDEX(PP_Grid[#Data],$DE1508,3),0)</f>
        <v/>
      </c>
      <c r="G1508">
        <f>IFERROR(INDEX(PP_Grid[#Data],$DE1508,4),0)</f>
        <v/>
      </c>
      <c r="H1508">
        <f>IFERROR(INDEX(PP_Grid[#Data],$DE1508,5),0)</f>
        <v/>
      </c>
      <c r="I1508">
        <f>IFERROR(INDEX(PP_Grid[#Data],$DE1508,6),0)</f>
        <v/>
      </c>
      <c r="J1508">
        <f>IFERROR(INDEX(PP_Grid[#Data],$DE1508,7),0)</f>
        <v/>
      </c>
      <c r="K1508">
        <f>IFERROR(INDEX(PP_Grid[#Data],$DE1508,8),0)</f>
        <v/>
      </c>
      <c r="L1508">
        <f>IFERROR(INDEX(PP_Grid[#Data],$DE1508,9),0)</f>
        <v/>
      </c>
      <c r="M1508">
        <f>IFERROR(INDEX(PP_Grid[#Data],$DE1508,10),0)</f>
        <v/>
      </c>
      <c r="N1508">
        <f>IFERROR(INDEX(PP_Grid[#Data],$DE1508,11),0)</f>
        <v/>
      </c>
      <c r="O1508">
        <f>IFERROR(INDEX(PP_Grid[#Data],$DE1508,12),0)</f>
        <v/>
      </c>
      <c r="P1508">
        <f>IFERROR(INDEX(PP_Grid[#Data],$DE1508,13),0)</f>
        <v/>
      </c>
      <c r="Q1508">
        <f>IFERROR(INDEX(PP_Grid[#Data],$DE1508,14),0)</f>
        <v/>
      </c>
      <c r="R1508">
        <f>IFERROR(INDEX(PP_Grid[#Data],$DE1508,15),0)</f>
        <v/>
      </c>
      <c r="S1508">
        <f>IFERROR(INDEX(PP_Grid[#Data],$DE1508,16),0)</f>
        <v/>
      </c>
      <c r="T1508">
        <f>IFERROR(INDEX(PP_Grid[#Data],$DE1508,17),0)</f>
        <v/>
      </c>
      <c r="U1508">
        <f>IFERROR(INDEX(PP_Grid[#Data],$DE1508,18),0)</f>
        <v/>
      </c>
      <c r="V1508">
        <f>IFERROR(INDEX(PP_Grid[#Data],$DE1508,19),0)</f>
        <v/>
      </c>
      <c r="W1508">
        <f>IFERROR(INDEX(PP_Grid[#Data],$DE1508,20),0)</f>
        <v/>
      </c>
      <c r="X1508">
        <f>IFERROR(INDEX(PP_Grid[#Data],$DE1508,21),0)</f>
        <v/>
      </c>
      <c r="Y1508">
        <f>IFERROR(INDEX(PP_Grid[#Data],$DE1508,22),0)</f>
        <v/>
      </c>
      <c r="Z1508">
        <f>IFERROR(INDEX(PP_Grid[#Data],$DE1508,23),0)</f>
        <v/>
      </c>
      <c r="AA1508">
        <f>IFERROR(INDEX(PP_Grid[#Data],$DE1508,24),0)</f>
        <v/>
      </c>
      <c r="AB1508">
        <f>IFERROR(INDEX(PP_Grid[#Data],$DE1508,25),0)</f>
        <v/>
      </c>
      <c r="AC1508">
        <f>IFERROR(INDEX(PP_Grid[#Data],$DE1508,26),0)</f>
        <v/>
      </c>
      <c r="AD1508">
        <f>IFERROR(INDEX(PP_Grid[#Data],$DE1508,27),0)</f>
        <v/>
      </c>
      <c r="AE1508">
        <f>IFERROR(INDEX(PP_Grid[#Data],$DE1508,28),0)</f>
        <v/>
      </c>
      <c r="AF1508">
        <f>IFERROR(INDEX(PP_Grid[#Data],$DE1508,29),0)</f>
        <v/>
      </c>
      <c r="AG1508">
        <f>IFERROR(INDEX(PP_Grid[#Data],$DE1508,30),0)</f>
        <v/>
      </c>
      <c r="AH1508">
        <f>IFERROR(INDEX(PP_Grid[#Data],$DE1508,31),0)</f>
        <v/>
      </c>
      <c r="AI1508">
        <f>IFERROR(INDEX(PP_Grid[#Data],$DE1508,32),0)</f>
        <v/>
      </c>
      <c r="AJ1508">
        <f>IFERROR(INDEX(PP_Grid[#Data],$DE1508,33),0)</f>
        <v/>
      </c>
      <c r="AK1508">
        <f>IFERROR(INDEX(PP_Grid[#Data],$DE1508,34),0)</f>
        <v/>
      </c>
      <c r="AL1508">
        <f>IFERROR(INDEX(PP_Grid[#Data],$DE1508,35),0)</f>
        <v/>
      </c>
      <c r="AM1508">
        <f>IFERROR(INDEX(PP_Grid[#Data],$DE1508,36),0)</f>
        <v/>
      </c>
      <c r="AN1508">
        <f>IFERROR(INDEX(PP_Grid[#Data],$DE1508,37),0)</f>
        <v/>
      </c>
      <c r="AO1508">
        <f>IFERROR(INDEX(PP_Grid[#Data],$DE1508,38),0)</f>
        <v/>
      </c>
      <c r="AP1508">
        <f>IFERROR(INDEX(PP_Grid[#Data],$DE1508,39),0)</f>
        <v/>
      </c>
      <c r="AQ1508">
        <f>IFERROR(INDEX(PP_Grid[#Data],$DE1508,40),0)</f>
        <v/>
      </c>
      <c r="AR1508">
        <f>IFERROR(INDEX(PP_Grid[#Data],$DE1508,41),0)</f>
        <v/>
      </c>
      <c r="AS1508">
        <f>IFERROR(INDEX(PP_Grid[#Data],$DE1508,42),0)</f>
        <v/>
      </c>
      <c r="AT1508">
        <f>IFERROR(INDEX(PP_Grid[#Data],$DE1508,43),0)</f>
        <v/>
      </c>
      <c r="AU1508">
        <f>IFERROR(INDEX(PP_Grid[#Data],$DE1508,44),0)</f>
        <v/>
      </c>
      <c r="AV1508">
        <f>IFERROR(INDEX(PP_Grid[#Data],$DE1508,45),0)</f>
        <v/>
      </c>
      <c r="AW1508">
        <f>IFERROR(INDEX(PP_Grid[#Data],$DE1508,46),0)</f>
        <v/>
      </c>
      <c r="AX1508">
        <f>IFERROR(INDEX(PP_Grid[#Data],$DE1508,47),0)</f>
        <v/>
      </c>
      <c r="AY1508">
        <f>IFERROR(INDEX(PP_Grid[#Data],$DE1508,48),0)</f>
        <v/>
      </c>
      <c r="AZ1508">
        <f>IFERROR(INDEX(PP_Grid[#Data],$DE1508,49),0)</f>
        <v/>
      </c>
      <c r="BA1508">
        <f>IFERROR(INDEX(PP_Grid[#Data],$DE1508,50),0)</f>
        <v/>
      </c>
      <c r="BB1508">
        <f>IFERROR(INDEX(PP_Grid[#Data],$DE1508,51),0)</f>
        <v/>
      </c>
      <c r="BC1508">
        <f>IFERROR(INDEX(PP_Grid[#Data],$DE1508,52),0)</f>
        <v/>
      </c>
      <c r="BD1508">
        <f>IFERROR(INDEX(PP_Grid[#Data],$DE1508,53),0)</f>
        <v/>
      </c>
      <c r="BE1508">
        <f>IFERROR(INDEX(PP_Grid[#Data],$DE1508,54),0)</f>
        <v/>
      </c>
      <c r="BF1508">
        <f>IFERROR(INDEX(PP_Grid[#Data],$DE1508,55),0)</f>
        <v/>
      </c>
      <c r="BG1508">
        <f>IFERROR(INDEX(PP_Grid[#Data],$DE1508,56),0)</f>
        <v/>
      </c>
      <c r="BH1508">
        <f>IFERROR(INDEX(PP_Grid[#Data],$DE1508,57),0)</f>
        <v/>
      </c>
      <c r="BI1508">
        <f>IFERROR(INDEX(PP_Grid[#Data],$DE1508,58),0)</f>
        <v/>
      </c>
      <c r="BJ1508">
        <f>IFERROR(INDEX(PP_Grid[#Data],$DE1508,59),0)</f>
        <v/>
      </c>
      <c r="BK1508">
        <f>IFERROR(INDEX(PP_Grid[#Data],$DE1508,60),0)</f>
        <v/>
      </c>
      <c r="BL1508">
        <f>IFERROR(INDEX(PP_Grid[#Data],$DE1508,61),0)</f>
        <v/>
      </c>
      <c r="BM1508">
        <f>IFERROR(INDEX(PP_Grid[#Data],$DE1508,62),0)</f>
        <v/>
      </c>
      <c r="BN1508">
        <f>IFERROR(INDEX(PP_Grid[#Data],$DE1508,63),0)</f>
        <v/>
      </c>
      <c r="BO1508">
        <f>IFERROR(INDEX(PP_Grid[#Data],$DE1508,64),0)</f>
        <v/>
      </c>
      <c r="BP1508">
        <f>IFERROR(INDEX(PP_Grid[#Data],$DE1508,65),0)</f>
        <v/>
      </c>
      <c r="BQ1508">
        <f>IFERROR(INDEX(PP_Grid[#Data],$DE1508,66),0)</f>
        <v/>
      </c>
      <c r="BR1508">
        <f>IFERROR(INDEX(PP_Grid[#Data],$DE1508,67),0)</f>
        <v/>
      </c>
      <c r="BS1508">
        <f>IFERROR(INDEX(PP_Grid[#Data],$DE1508,68),0)</f>
        <v/>
      </c>
      <c r="BT1508">
        <f>IFERROR(INDEX(PP_Grid[#Data],$DE1508,69),0)</f>
        <v/>
      </c>
      <c r="BU1508">
        <f>IFERROR(INDEX(PP_Grid[#Data],$DE1508,70),0)</f>
        <v/>
      </c>
      <c r="BV1508">
        <f>IFERROR(INDEX(PP_Grid[#Data],$DE1508,71),0)</f>
        <v/>
      </c>
      <c r="BW1508">
        <f>IFERROR(INDEX(PP_Grid[#Data],$DE1508,72),0)</f>
        <v/>
      </c>
      <c r="BX1508">
        <f>IFERROR(INDEX(PP_Grid[#Data],$DE1508,73),0)</f>
        <v/>
      </c>
      <c r="BY1508">
        <f>IFERROR(INDEX(PP_Grid[#Data],$DE1508,74),0)</f>
        <v/>
      </c>
      <c r="BZ1508">
        <f>IFERROR(INDEX(PP_Grid[#Data],$DE1508,75),0)</f>
        <v/>
      </c>
      <c r="CA1508">
        <f>IFERROR(INDEX(PP_Grid[#Data],$DE1508,76),0)</f>
        <v/>
      </c>
      <c r="CB1508">
        <f>IFERROR(INDEX(PP_Grid[#Data],$DE1508,77),0)</f>
        <v/>
      </c>
      <c r="CC1508">
        <f>IFERROR(INDEX(PP_Grid[#Data],$DE1508,78),0)</f>
        <v/>
      </c>
      <c r="CD1508">
        <f>IFERROR(INDEX(PP_Grid[#Data],$DE1508,79),0)</f>
        <v/>
      </c>
      <c r="CE1508">
        <f>IFERROR(INDEX(PP_Grid[#Data],$DE1508,80),0)</f>
        <v/>
      </c>
      <c r="CF1508">
        <f>IFERROR(INDEX(PP_Grid[#Data],$DE1508,81),0)</f>
        <v/>
      </c>
      <c r="CG1508">
        <f>IFERROR(INDEX(PP_Grid[#Data],$DE1508,82),0)</f>
        <v/>
      </c>
      <c r="CH1508">
        <f>IFERROR(INDEX(PP_Grid[#Data],$DE1508,83),0)</f>
        <v/>
      </c>
      <c r="CI1508">
        <f>IFERROR(INDEX(PP_Grid[#Data],$DE1508,84),0)</f>
        <v/>
      </c>
      <c r="CJ1508">
        <f>IFERROR(INDEX(PP_Grid[#Data],$DE1508,85),0)</f>
        <v/>
      </c>
      <c r="CK1508">
        <f>IFERROR(INDEX(PP_Grid[#Data],$DE1508,86),0)</f>
        <v/>
      </c>
      <c r="CL1508">
        <f>IFERROR(INDEX(PP_Grid[#Data],$DE1508,87),0)</f>
        <v/>
      </c>
      <c r="CM1508">
        <f>IFERROR(INDEX(PP_Grid[#Data],$DE1508,88),0)</f>
        <v/>
      </c>
      <c r="CN1508">
        <f>IFERROR(INDEX(PP_Grid[#Data],$DE1508,89),0)</f>
        <v/>
      </c>
      <c r="CO1508">
        <f>IFERROR(INDEX(PP_Grid[#Data],$DE1508,90),0)</f>
        <v/>
      </c>
      <c r="CP1508">
        <f>IFERROR(INDEX(PP_Grid[#Data],$DE1508,91),0)</f>
        <v/>
      </c>
      <c r="CQ1508">
        <f>IFERROR(INDEX(PP_Grid[#Data],$DE1508,92),0)</f>
        <v/>
      </c>
      <c r="CR1508">
        <f>IFERROR(INDEX(PP_Grid[#Data],$DE1508,93),0)</f>
        <v/>
      </c>
      <c r="CS1508">
        <f>IFERROR(INDEX(PP_Grid[#Data],$DE1508,94),0)</f>
        <v/>
      </c>
      <c r="CT1508">
        <f>IFERROR(INDEX(PP_Grid[#Data],$DE1508,95),0)</f>
        <v/>
      </c>
      <c r="CU1508">
        <f>IFERROR(INDEX(PP_Grid[#Data],$DE1508,96),0)</f>
        <v/>
      </c>
      <c r="CV1508">
        <f>IFERROR(INDEX(PP_Grid[#Data],$DE1508,97),0)</f>
        <v/>
      </c>
      <c r="CW1508">
        <f>IFERROR(INDEX(PP_Grid[#Data],$DE1508,98),0)</f>
        <v/>
      </c>
      <c r="CX1508">
        <f>IFERROR(INDEX(PP_Grid[#Data],$DE1508,99),0)</f>
        <v/>
      </c>
      <c r="CY1508">
        <f>IFERROR(INDEX(PP_Grid[#Data],$DE1508,100),0)</f>
        <v/>
      </c>
      <c r="CZ1508">
        <f>IFERROR(INDEX(PP_Grid[#Data],$DE1508,101),0)</f>
        <v/>
      </c>
      <c r="DA1508">
        <f>IFERROR(INDEX(PP_Grid[#Data],$DE1508,102),0)</f>
        <v/>
      </c>
      <c r="DB1508">
        <f>IFERROR(INDEX(PP_Grid[#Data],$DE1508,103),0)</f>
        <v/>
      </c>
      <c r="DC1508">
        <f>IFERROR(INDEX(PP_Grid[#Data],$DE1508,104),0)</f>
        <v/>
      </c>
      <c r="DD1508">
        <f>IFERROR(INDEX(PP_Grid[#Data],$DE1508,105),0)</f>
        <v/>
      </c>
      <c r="DE1508" s="7">
        <f>IFERROR(MATCH($B1508,PP_Grid[Intermediate],0),99999)</f>
        <v/>
      </c>
    </row>
    <row r="1509">
      <c r="B1509" t="inlineStr">
        <is>
          <t>使用量(kg)</t>
        </is>
      </c>
      <c r="C1509">
        <f>SUMIFS(M_BOM[RM_Qty_Per_Batch],M_BOM[Intermediate],$B1508,M_BOM[RM_Code],$A1499)</f>
        <v/>
      </c>
      <c r="D1509">
        <f>IFERROR(INDEX(E1509:DD1509,$F$1),"")</f>
        <v/>
      </c>
      <c r="E1509">
        <f>$C1509*E1508</f>
        <v/>
      </c>
      <c r="F1509">
        <f>$C1509*F1508</f>
        <v/>
      </c>
      <c r="G1509">
        <f>$C1509*G1508</f>
        <v/>
      </c>
      <c r="H1509">
        <f>$C1509*H1508</f>
        <v/>
      </c>
      <c r="I1509">
        <f>$C1509*I1508</f>
        <v/>
      </c>
      <c r="J1509">
        <f>$C1509*J1508</f>
        <v/>
      </c>
      <c r="K1509">
        <f>$C1509*K1508</f>
        <v/>
      </c>
      <c r="L1509">
        <f>$C1509*L1508</f>
        <v/>
      </c>
      <c r="M1509">
        <f>$C1509*M1508</f>
        <v/>
      </c>
      <c r="N1509">
        <f>$C1509*N1508</f>
        <v/>
      </c>
      <c r="O1509">
        <f>$C1509*O1508</f>
        <v/>
      </c>
      <c r="P1509">
        <f>$C1509*P1508</f>
        <v/>
      </c>
      <c r="Q1509">
        <f>$C1509*Q1508</f>
        <v/>
      </c>
      <c r="R1509">
        <f>$C1509*R1508</f>
        <v/>
      </c>
      <c r="S1509">
        <f>$C1509*S1508</f>
        <v/>
      </c>
      <c r="T1509">
        <f>$C1509*T1508</f>
        <v/>
      </c>
      <c r="U1509">
        <f>$C1509*U1508</f>
        <v/>
      </c>
      <c r="V1509">
        <f>$C1509*V1508</f>
        <v/>
      </c>
      <c r="W1509">
        <f>$C1509*W1508</f>
        <v/>
      </c>
      <c r="X1509">
        <f>$C1509*X1508</f>
        <v/>
      </c>
      <c r="Y1509">
        <f>$C1509*Y1508</f>
        <v/>
      </c>
      <c r="Z1509">
        <f>$C1509*Z1508</f>
        <v/>
      </c>
      <c r="AA1509">
        <f>$C1509*AA1508</f>
        <v/>
      </c>
      <c r="AB1509">
        <f>$C1509*AB1508</f>
        <v/>
      </c>
      <c r="AC1509">
        <f>$C1509*AC1508</f>
        <v/>
      </c>
      <c r="AD1509">
        <f>$C1509*AD1508</f>
        <v/>
      </c>
      <c r="AE1509">
        <f>$C1509*AE1508</f>
        <v/>
      </c>
      <c r="AF1509">
        <f>$C1509*AF1508</f>
        <v/>
      </c>
      <c r="AG1509">
        <f>$C1509*AG1508</f>
        <v/>
      </c>
      <c r="AH1509">
        <f>$C1509*AH1508</f>
        <v/>
      </c>
      <c r="AI1509">
        <f>$C1509*AI1508</f>
        <v/>
      </c>
      <c r="AJ1509">
        <f>$C1509*AJ1508</f>
        <v/>
      </c>
      <c r="AK1509">
        <f>$C1509*AK1508</f>
        <v/>
      </c>
      <c r="AL1509">
        <f>$C1509*AL1508</f>
        <v/>
      </c>
      <c r="AM1509">
        <f>$C1509*AM1508</f>
        <v/>
      </c>
      <c r="AN1509">
        <f>$C1509*AN1508</f>
        <v/>
      </c>
      <c r="AO1509">
        <f>$C1509*AO1508</f>
        <v/>
      </c>
      <c r="AP1509">
        <f>$C1509*AP1508</f>
        <v/>
      </c>
      <c r="AQ1509">
        <f>$C1509*AQ1508</f>
        <v/>
      </c>
      <c r="AR1509">
        <f>$C1509*AR1508</f>
        <v/>
      </c>
      <c r="AS1509">
        <f>$C1509*AS1508</f>
        <v/>
      </c>
      <c r="AT1509">
        <f>$C1509*AT1508</f>
        <v/>
      </c>
      <c r="AU1509">
        <f>$C1509*AU1508</f>
        <v/>
      </c>
      <c r="AV1509">
        <f>$C1509*AV1508</f>
        <v/>
      </c>
      <c r="AW1509">
        <f>$C1509*AW1508</f>
        <v/>
      </c>
      <c r="AX1509">
        <f>$C1509*AX1508</f>
        <v/>
      </c>
      <c r="AY1509">
        <f>$C1509*AY1508</f>
        <v/>
      </c>
      <c r="AZ1509">
        <f>$C1509*AZ1508</f>
        <v/>
      </c>
      <c r="BA1509">
        <f>$C1509*BA1508</f>
        <v/>
      </c>
      <c r="BB1509">
        <f>$C1509*BB1508</f>
        <v/>
      </c>
      <c r="BC1509">
        <f>$C1509*BC1508</f>
        <v/>
      </c>
      <c r="BD1509">
        <f>$C1509*BD1508</f>
        <v/>
      </c>
      <c r="BE1509">
        <f>$C1509*BE1508</f>
        <v/>
      </c>
      <c r="BF1509">
        <f>$C1509*BF1508</f>
        <v/>
      </c>
      <c r="BG1509">
        <f>$C1509*BG1508</f>
        <v/>
      </c>
      <c r="BH1509">
        <f>$C1509*BH1508</f>
        <v/>
      </c>
      <c r="BI1509">
        <f>$C1509*BI1508</f>
        <v/>
      </c>
      <c r="BJ1509">
        <f>$C1509*BJ1508</f>
        <v/>
      </c>
      <c r="BK1509">
        <f>$C1509*BK1508</f>
        <v/>
      </c>
      <c r="BL1509">
        <f>$C1509*BL1508</f>
        <v/>
      </c>
      <c r="BM1509">
        <f>$C1509*BM1508</f>
        <v/>
      </c>
      <c r="BN1509">
        <f>$C1509*BN1508</f>
        <v/>
      </c>
      <c r="BO1509">
        <f>$C1509*BO1508</f>
        <v/>
      </c>
      <c r="BP1509">
        <f>$C1509*BP1508</f>
        <v/>
      </c>
      <c r="BQ1509">
        <f>$C1509*BQ1508</f>
        <v/>
      </c>
      <c r="BR1509">
        <f>$C1509*BR1508</f>
        <v/>
      </c>
      <c r="BS1509">
        <f>$C1509*BS1508</f>
        <v/>
      </c>
      <c r="BT1509">
        <f>$C1509*BT1508</f>
        <v/>
      </c>
      <c r="BU1509">
        <f>$C1509*BU1508</f>
        <v/>
      </c>
      <c r="BV1509">
        <f>$C1509*BV1508</f>
        <v/>
      </c>
      <c r="BW1509">
        <f>$C1509*BW1508</f>
        <v/>
      </c>
      <c r="BX1509">
        <f>$C1509*BX1508</f>
        <v/>
      </c>
      <c r="BY1509">
        <f>$C1509*BY1508</f>
        <v/>
      </c>
      <c r="BZ1509">
        <f>$C1509*BZ1508</f>
        <v/>
      </c>
      <c r="CA1509">
        <f>$C1509*CA1508</f>
        <v/>
      </c>
      <c r="CB1509">
        <f>$C1509*CB1508</f>
        <v/>
      </c>
      <c r="CC1509">
        <f>$C1509*CC1508</f>
        <v/>
      </c>
      <c r="CD1509">
        <f>$C1509*CD1508</f>
        <v/>
      </c>
      <c r="CE1509">
        <f>$C1509*CE1508</f>
        <v/>
      </c>
      <c r="CF1509">
        <f>$C1509*CF1508</f>
        <v/>
      </c>
      <c r="CG1509">
        <f>$C1509*CG1508</f>
        <v/>
      </c>
      <c r="CH1509">
        <f>$C1509*CH1508</f>
        <v/>
      </c>
      <c r="CI1509">
        <f>$C1509*CI1508</f>
        <v/>
      </c>
      <c r="CJ1509">
        <f>$C1509*CJ1508</f>
        <v/>
      </c>
      <c r="CK1509">
        <f>$C1509*CK1508</f>
        <v/>
      </c>
      <c r="CL1509">
        <f>$C1509*CL1508</f>
        <v/>
      </c>
      <c r="CM1509">
        <f>$C1509*CM1508</f>
        <v/>
      </c>
      <c r="CN1509">
        <f>$C1509*CN1508</f>
        <v/>
      </c>
      <c r="CO1509">
        <f>$C1509*CO1508</f>
        <v/>
      </c>
      <c r="CP1509">
        <f>$C1509*CP1508</f>
        <v/>
      </c>
      <c r="CQ1509">
        <f>$C1509*CQ1508</f>
        <v/>
      </c>
      <c r="CR1509">
        <f>$C1509*CR1508</f>
        <v/>
      </c>
      <c r="CS1509">
        <f>$C1509*CS1508</f>
        <v/>
      </c>
      <c r="CT1509">
        <f>$C1509*CT1508</f>
        <v/>
      </c>
      <c r="CU1509">
        <f>$C1509*CU1508</f>
        <v/>
      </c>
      <c r="CV1509">
        <f>$C1509*CV1508</f>
        <v/>
      </c>
      <c r="CW1509">
        <f>$C1509*CW1508</f>
        <v/>
      </c>
      <c r="CX1509">
        <f>$C1509*CX1508</f>
        <v/>
      </c>
      <c r="CY1509">
        <f>$C1509*CY1508</f>
        <v/>
      </c>
      <c r="CZ1509">
        <f>$C1509*CZ1508</f>
        <v/>
      </c>
      <c r="DA1509">
        <f>$C1509*DA1508</f>
        <v/>
      </c>
      <c r="DB1509">
        <f>$C1509*DB1508</f>
        <v/>
      </c>
      <c r="DC1509">
        <f>$C1509*DC1508</f>
        <v/>
      </c>
      <c r="DD1509">
        <f>$C1509*DD1508</f>
        <v/>
      </c>
    </row>
    <row r="1510">
      <c r="B1510" s="4" t="inlineStr">
        <is>
          <t>合計使用量(kg)/週</t>
        </is>
      </c>
      <c r="D1510" s="22">
        <f>IFERROR(INDEX(E1510:DD1510,$F$1),"")</f>
        <v/>
      </c>
      <c r="E1510">
        <f>'Grid_Requirement'!B94</f>
        <v/>
      </c>
      <c r="F1510">
        <f>'Grid_Requirement'!C94</f>
        <v/>
      </c>
      <c r="G1510">
        <f>'Grid_Requirement'!D94</f>
        <v/>
      </c>
      <c r="H1510">
        <f>'Grid_Requirement'!E94</f>
        <v/>
      </c>
      <c r="I1510">
        <f>'Grid_Requirement'!F94</f>
        <v/>
      </c>
      <c r="J1510">
        <f>'Grid_Requirement'!G94</f>
        <v/>
      </c>
      <c r="K1510">
        <f>'Grid_Requirement'!H94</f>
        <v/>
      </c>
      <c r="L1510">
        <f>'Grid_Requirement'!I94</f>
        <v/>
      </c>
      <c r="M1510">
        <f>'Grid_Requirement'!J94</f>
        <v/>
      </c>
      <c r="N1510">
        <f>'Grid_Requirement'!K94</f>
        <v/>
      </c>
      <c r="O1510">
        <f>'Grid_Requirement'!L94</f>
        <v/>
      </c>
      <c r="P1510">
        <f>'Grid_Requirement'!M94</f>
        <v/>
      </c>
      <c r="Q1510">
        <f>'Grid_Requirement'!N94</f>
        <v/>
      </c>
      <c r="R1510">
        <f>'Grid_Requirement'!O94</f>
        <v/>
      </c>
      <c r="S1510">
        <f>'Grid_Requirement'!P94</f>
        <v/>
      </c>
      <c r="T1510">
        <f>'Grid_Requirement'!Q94</f>
        <v/>
      </c>
      <c r="U1510">
        <f>'Grid_Requirement'!R94</f>
        <v/>
      </c>
      <c r="V1510">
        <f>'Grid_Requirement'!S94</f>
        <v/>
      </c>
      <c r="W1510">
        <f>'Grid_Requirement'!T94</f>
        <v/>
      </c>
      <c r="X1510">
        <f>'Grid_Requirement'!U94</f>
        <v/>
      </c>
      <c r="Y1510">
        <f>'Grid_Requirement'!V94</f>
        <v/>
      </c>
      <c r="Z1510">
        <f>'Grid_Requirement'!W94</f>
        <v/>
      </c>
      <c r="AA1510">
        <f>'Grid_Requirement'!X94</f>
        <v/>
      </c>
      <c r="AB1510">
        <f>'Grid_Requirement'!Y94</f>
        <v/>
      </c>
      <c r="AC1510">
        <f>'Grid_Requirement'!Z94</f>
        <v/>
      </c>
      <c r="AD1510">
        <f>'Grid_Requirement'!AA94</f>
        <v/>
      </c>
      <c r="AE1510">
        <f>'Grid_Requirement'!AB94</f>
        <v/>
      </c>
      <c r="AF1510">
        <f>'Grid_Requirement'!AC94</f>
        <v/>
      </c>
      <c r="AG1510">
        <f>'Grid_Requirement'!AD94</f>
        <v/>
      </c>
      <c r="AH1510">
        <f>'Grid_Requirement'!AE94</f>
        <v/>
      </c>
      <c r="AI1510">
        <f>'Grid_Requirement'!AF94</f>
        <v/>
      </c>
      <c r="AJ1510">
        <f>'Grid_Requirement'!AG94</f>
        <v/>
      </c>
      <c r="AK1510">
        <f>'Grid_Requirement'!AH94</f>
        <v/>
      </c>
      <c r="AL1510">
        <f>'Grid_Requirement'!AI94</f>
        <v/>
      </c>
      <c r="AM1510">
        <f>'Grid_Requirement'!AJ94</f>
        <v/>
      </c>
      <c r="AN1510">
        <f>'Grid_Requirement'!AK94</f>
        <v/>
      </c>
      <c r="AO1510">
        <f>'Grid_Requirement'!AL94</f>
        <v/>
      </c>
      <c r="AP1510">
        <f>'Grid_Requirement'!AM94</f>
        <v/>
      </c>
      <c r="AQ1510">
        <f>'Grid_Requirement'!AN94</f>
        <v/>
      </c>
      <c r="AR1510">
        <f>'Grid_Requirement'!AO94</f>
        <v/>
      </c>
      <c r="AS1510">
        <f>'Grid_Requirement'!AP94</f>
        <v/>
      </c>
      <c r="AT1510">
        <f>'Grid_Requirement'!AQ94</f>
        <v/>
      </c>
      <c r="AU1510">
        <f>'Grid_Requirement'!AR94</f>
        <v/>
      </c>
      <c r="AV1510">
        <f>'Grid_Requirement'!AS94</f>
        <v/>
      </c>
      <c r="AW1510">
        <f>'Grid_Requirement'!AT94</f>
        <v/>
      </c>
      <c r="AX1510">
        <f>'Grid_Requirement'!AU94</f>
        <v/>
      </c>
      <c r="AY1510">
        <f>'Grid_Requirement'!AV94</f>
        <v/>
      </c>
      <c r="AZ1510">
        <f>'Grid_Requirement'!AW94</f>
        <v/>
      </c>
      <c r="BA1510">
        <f>'Grid_Requirement'!AX94</f>
        <v/>
      </c>
      <c r="BB1510">
        <f>'Grid_Requirement'!AY94</f>
        <v/>
      </c>
      <c r="BC1510">
        <f>'Grid_Requirement'!AZ94</f>
        <v/>
      </c>
      <c r="BD1510">
        <f>'Grid_Requirement'!BA94</f>
        <v/>
      </c>
      <c r="BE1510">
        <f>'Grid_Requirement'!BB94</f>
        <v/>
      </c>
      <c r="BF1510">
        <f>'Grid_Requirement'!BC94</f>
        <v/>
      </c>
      <c r="BG1510">
        <f>'Grid_Requirement'!BD94</f>
        <v/>
      </c>
      <c r="BH1510">
        <f>'Grid_Requirement'!BE94</f>
        <v/>
      </c>
      <c r="BI1510">
        <f>'Grid_Requirement'!BF94</f>
        <v/>
      </c>
      <c r="BJ1510">
        <f>'Grid_Requirement'!BG94</f>
        <v/>
      </c>
      <c r="BK1510">
        <f>'Grid_Requirement'!BH94</f>
        <v/>
      </c>
      <c r="BL1510">
        <f>'Grid_Requirement'!BI94</f>
        <v/>
      </c>
      <c r="BM1510">
        <f>'Grid_Requirement'!BJ94</f>
        <v/>
      </c>
      <c r="BN1510">
        <f>'Grid_Requirement'!BK94</f>
        <v/>
      </c>
      <c r="BO1510">
        <f>'Grid_Requirement'!BL94</f>
        <v/>
      </c>
      <c r="BP1510">
        <f>'Grid_Requirement'!BM94</f>
        <v/>
      </c>
      <c r="BQ1510">
        <f>'Grid_Requirement'!BN94</f>
        <v/>
      </c>
      <c r="BR1510">
        <f>'Grid_Requirement'!BO94</f>
        <v/>
      </c>
      <c r="BS1510">
        <f>'Grid_Requirement'!BP94</f>
        <v/>
      </c>
      <c r="BT1510">
        <f>'Grid_Requirement'!BQ94</f>
        <v/>
      </c>
      <c r="BU1510">
        <f>'Grid_Requirement'!BR94</f>
        <v/>
      </c>
      <c r="BV1510">
        <f>'Grid_Requirement'!BS94</f>
        <v/>
      </c>
      <c r="BW1510">
        <f>'Grid_Requirement'!BT94</f>
        <v/>
      </c>
      <c r="BX1510">
        <f>'Grid_Requirement'!BU94</f>
        <v/>
      </c>
      <c r="BY1510">
        <f>'Grid_Requirement'!BV94</f>
        <v/>
      </c>
      <c r="BZ1510">
        <f>'Grid_Requirement'!BW94</f>
        <v/>
      </c>
      <c r="CA1510">
        <f>'Grid_Requirement'!BX94</f>
        <v/>
      </c>
      <c r="CB1510">
        <f>'Grid_Requirement'!BY94</f>
        <v/>
      </c>
      <c r="CC1510">
        <f>'Grid_Requirement'!BZ94</f>
        <v/>
      </c>
      <c r="CD1510">
        <f>'Grid_Requirement'!CA94</f>
        <v/>
      </c>
      <c r="CE1510">
        <f>'Grid_Requirement'!CB94</f>
        <v/>
      </c>
      <c r="CF1510">
        <f>'Grid_Requirement'!CC94</f>
        <v/>
      </c>
      <c r="CG1510">
        <f>'Grid_Requirement'!CD94</f>
        <v/>
      </c>
      <c r="CH1510">
        <f>'Grid_Requirement'!CE94</f>
        <v/>
      </c>
      <c r="CI1510">
        <f>'Grid_Requirement'!CF94</f>
        <v/>
      </c>
      <c r="CJ1510">
        <f>'Grid_Requirement'!CG94</f>
        <v/>
      </c>
      <c r="CK1510">
        <f>'Grid_Requirement'!CH94</f>
        <v/>
      </c>
      <c r="CL1510">
        <f>'Grid_Requirement'!CI94</f>
        <v/>
      </c>
      <c r="CM1510">
        <f>'Grid_Requirement'!CJ94</f>
        <v/>
      </c>
      <c r="CN1510">
        <f>'Grid_Requirement'!CK94</f>
        <v/>
      </c>
      <c r="CO1510">
        <f>'Grid_Requirement'!CL94</f>
        <v/>
      </c>
      <c r="CP1510">
        <f>'Grid_Requirement'!CM94</f>
        <v/>
      </c>
      <c r="CQ1510">
        <f>'Grid_Requirement'!CN94</f>
        <v/>
      </c>
      <c r="CR1510">
        <f>'Grid_Requirement'!CO94</f>
        <v/>
      </c>
      <c r="CS1510">
        <f>'Grid_Requirement'!CP94</f>
        <v/>
      </c>
      <c r="CT1510">
        <f>'Grid_Requirement'!CQ94</f>
        <v/>
      </c>
      <c r="CU1510">
        <f>'Grid_Requirement'!CR94</f>
        <v/>
      </c>
      <c r="CV1510">
        <f>'Grid_Requirement'!CS94</f>
        <v/>
      </c>
      <c r="CW1510">
        <f>'Grid_Requirement'!CT94</f>
        <v/>
      </c>
      <c r="CX1510">
        <f>'Grid_Requirement'!CU94</f>
        <v/>
      </c>
      <c r="CY1510">
        <f>'Grid_Requirement'!CV94</f>
        <v/>
      </c>
      <c r="CZ1510">
        <f>'Grid_Requirement'!CW94</f>
        <v/>
      </c>
      <c r="DA1510">
        <f>'Grid_Requirement'!CX94</f>
        <v/>
      </c>
      <c r="DB1510">
        <f>'Grid_Requirement'!CY94</f>
        <v/>
      </c>
      <c r="DC1510">
        <f>'Grid_Requirement'!CZ94</f>
        <v/>
      </c>
      <c r="DD1510">
        <f>'Grid_Requirement'!DA94</f>
        <v/>
      </c>
    </row>
    <row r="1511">
      <c r="B1511" s="23" t="inlineStr">
        <is>
          <t>（在庫・入荷予定はDashboard参照）</t>
        </is>
      </c>
    </row>
    <row r="1513">
      <c r="A1513" s="21" t="inlineStr">
        <is>
          <t>CHEM-1770</t>
        </is>
      </c>
      <c r="B1513" s="21" t="inlineStr">
        <is>
          <t>RCT-39</t>
        </is>
      </c>
      <c r="C1513" s="21" t="n"/>
      <c r="D1513" s="21" t="n"/>
      <c r="E1513" s="21" t="n"/>
      <c r="F1513" s="21" t="n"/>
      <c r="G1513" s="21" t="n"/>
      <c r="H1513" s="21" t="n"/>
      <c r="I1513" s="21" t="n"/>
      <c r="J1513" s="21" t="n"/>
      <c r="K1513" s="21" t="n"/>
      <c r="L1513" s="21" t="n"/>
      <c r="M1513" s="21" t="n"/>
      <c r="N1513" s="21" t="n"/>
      <c r="O1513" s="21" t="n"/>
      <c r="P1513" s="21" t="n"/>
      <c r="Q1513" s="21" t="n"/>
      <c r="R1513" s="21" t="n"/>
      <c r="S1513" s="21" t="n"/>
      <c r="T1513" s="21" t="n"/>
      <c r="U1513" s="21" t="n"/>
      <c r="V1513" s="21" t="n"/>
      <c r="W1513" s="21" t="n"/>
      <c r="X1513" s="21" t="n"/>
      <c r="Y1513" s="21" t="n"/>
      <c r="Z1513" s="21" t="n"/>
      <c r="AA1513" s="21" t="n"/>
      <c r="AB1513" s="21" t="n"/>
      <c r="AC1513" s="21" t="n"/>
      <c r="AD1513" s="21" t="n"/>
      <c r="AE1513" s="21" t="n"/>
      <c r="AF1513" s="21" t="n"/>
      <c r="AG1513" s="21" t="n"/>
      <c r="AH1513" s="21" t="n"/>
      <c r="AI1513" s="21" t="n"/>
      <c r="AJ1513" s="21" t="n"/>
      <c r="AK1513" s="21" t="n"/>
      <c r="AL1513" s="21" t="n"/>
      <c r="AM1513" s="21" t="n"/>
      <c r="AN1513" s="21" t="n"/>
      <c r="AO1513" s="21" t="n"/>
      <c r="AP1513" s="21" t="n"/>
      <c r="AQ1513" s="21" t="n"/>
      <c r="AR1513" s="21" t="n"/>
      <c r="AS1513" s="21" t="n"/>
      <c r="AT1513" s="21" t="n"/>
      <c r="AU1513" s="21" t="n"/>
      <c r="AV1513" s="21" t="n"/>
      <c r="AW1513" s="21" t="n"/>
      <c r="AX1513" s="21" t="n"/>
      <c r="AY1513" s="21" t="n"/>
      <c r="AZ1513" s="21" t="n"/>
      <c r="BA1513" s="21" t="n"/>
      <c r="BB1513" s="21" t="n"/>
      <c r="BC1513" s="21" t="n"/>
      <c r="BD1513" s="21" t="n"/>
      <c r="BE1513" s="21" t="n"/>
      <c r="BF1513" s="21" t="n"/>
      <c r="BG1513" s="21" t="n"/>
      <c r="BH1513" s="21" t="n"/>
      <c r="BI1513" s="21" t="n"/>
      <c r="BJ1513" s="21" t="n"/>
      <c r="BK1513" s="21" t="n"/>
      <c r="BL1513" s="21" t="n"/>
      <c r="BM1513" s="21" t="n"/>
      <c r="BN1513" s="21" t="n"/>
      <c r="BO1513" s="21" t="n"/>
      <c r="BP1513" s="21" t="n"/>
      <c r="BQ1513" s="21" t="n"/>
      <c r="BR1513" s="21" t="n"/>
      <c r="BS1513" s="21" t="n"/>
      <c r="BT1513" s="21" t="n"/>
      <c r="BU1513" s="21" t="n"/>
      <c r="BV1513" s="21" t="n"/>
      <c r="BW1513" s="21" t="n"/>
      <c r="BX1513" s="21" t="n"/>
      <c r="BY1513" s="21" t="n"/>
      <c r="BZ1513" s="21" t="n"/>
      <c r="CA1513" s="21" t="n"/>
      <c r="CB1513" s="21" t="n"/>
      <c r="CC1513" s="21" t="n"/>
      <c r="CD1513" s="21" t="n"/>
      <c r="CE1513" s="21" t="n"/>
      <c r="CF1513" s="21" t="n"/>
      <c r="CG1513" s="21" t="n"/>
      <c r="CH1513" s="21" t="n"/>
      <c r="CI1513" s="21" t="n"/>
      <c r="CJ1513" s="21" t="n"/>
      <c r="CK1513" s="21" t="n"/>
      <c r="CL1513" s="21" t="n"/>
      <c r="CM1513" s="21" t="n"/>
      <c r="CN1513" s="21" t="n"/>
      <c r="CO1513" s="21" t="n"/>
      <c r="CP1513" s="21" t="n"/>
      <c r="CQ1513" s="21" t="n"/>
      <c r="CR1513" s="21" t="n"/>
      <c r="CS1513" s="21" t="n"/>
      <c r="CT1513" s="21" t="n"/>
      <c r="CU1513" s="21" t="n"/>
      <c r="CV1513" s="21" t="n"/>
      <c r="CW1513" s="21" t="n"/>
      <c r="CX1513" s="21" t="n"/>
      <c r="CY1513" s="21" t="n"/>
      <c r="CZ1513" s="21" t="n"/>
      <c r="DA1513" s="21" t="n"/>
      <c r="DB1513" s="21" t="n"/>
      <c r="DC1513" s="21" t="n"/>
      <c r="DD1513" s="21" t="n"/>
    </row>
    <row r="1514">
      <c r="B1514" t="inlineStr">
        <is>
          <t>TPP-635</t>
        </is>
      </c>
      <c r="C1514" t="inlineStr">
        <is>
          <t>No. of batches</t>
        </is>
      </c>
      <c r="D1514">
        <f>IFERROR(INDEX(E1514:DD1514,$F$1),"")</f>
        <v/>
      </c>
      <c r="E1514">
        <f>IFERROR(INDEX(PP_Grid[#Data],$DE1514,2),0)</f>
        <v/>
      </c>
      <c r="F1514">
        <f>IFERROR(INDEX(PP_Grid[#Data],$DE1514,3),0)</f>
        <v/>
      </c>
      <c r="G1514">
        <f>IFERROR(INDEX(PP_Grid[#Data],$DE1514,4),0)</f>
        <v/>
      </c>
      <c r="H1514">
        <f>IFERROR(INDEX(PP_Grid[#Data],$DE1514,5),0)</f>
        <v/>
      </c>
      <c r="I1514">
        <f>IFERROR(INDEX(PP_Grid[#Data],$DE1514,6),0)</f>
        <v/>
      </c>
      <c r="J1514">
        <f>IFERROR(INDEX(PP_Grid[#Data],$DE1514,7),0)</f>
        <v/>
      </c>
      <c r="K1514">
        <f>IFERROR(INDEX(PP_Grid[#Data],$DE1514,8),0)</f>
        <v/>
      </c>
      <c r="L1514">
        <f>IFERROR(INDEX(PP_Grid[#Data],$DE1514,9),0)</f>
        <v/>
      </c>
      <c r="M1514">
        <f>IFERROR(INDEX(PP_Grid[#Data],$DE1514,10),0)</f>
        <v/>
      </c>
      <c r="N1514">
        <f>IFERROR(INDEX(PP_Grid[#Data],$DE1514,11),0)</f>
        <v/>
      </c>
      <c r="O1514">
        <f>IFERROR(INDEX(PP_Grid[#Data],$DE1514,12),0)</f>
        <v/>
      </c>
      <c r="P1514">
        <f>IFERROR(INDEX(PP_Grid[#Data],$DE1514,13),0)</f>
        <v/>
      </c>
      <c r="Q1514">
        <f>IFERROR(INDEX(PP_Grid[#Data],$DE1514,14),0)</f>
        <v/>
      </c>
      <c r="R1514">
        <f>IFERROR(INDEX(PP_Grid[#Data],$DE1514,15),0)</f>
        <v/>
      </c>
      <c r="S1514">
        <f>IFERROR(INDEX(PP_Grid[#Data],$DE1514,16),0)</f>
        <v/>
      </c>
      <c r="T1514">
        <f>IFERROR(INDEX(PP_Grid[#Data],$DE1514,17),0)</f>
        <v/>
      </c>
      <c r="U1514">
        <f>IFERROR(INDEX(PP_Grid[#Data],$DE1514,18),0)</f>
        <v/>
      </c>
      <c r="V1514">
        <f>IFERROR(INDEX(PP_Grid[#Data],$DE1514,19),0)</f>
        <v/>
      </c>
      <c r="W1514">
        <f>IFERROR(INDEX(PP_Grid[#Data],$DE1514,20),0)</f>
        <v/>
      </c>
      <c r="X1514">
        <f>IFERROR(INDEX(PP_Grid[#Data],$DE1514,21),0)</f>
        <v/>
      </c>
      <c r="Y1514">
        <f>IFERROR(INDEX(PP_Grid[#Data],$DE1514,22),0)</f>
        <v/>
      </c>
      <c r="Z1514">
        <f>IFERROR(INDEX(PP_Grid[#Data],$DE1514,23),0)</f>
        <v/>
      </c>
      <c r="AA1514">
        <f>IFERROR(INDEX(PP_Grid[#Data],$DE1514,24),0)</f>
        <v/>
      </c>
      <c r="AB1514">
        <f>IFERROR(INDEX(PP_Grid[#Data],$DE1514,25),0)</f>
        <v/>
      </c>
      <c r="AC1514">
        <f>IFERROR(INDEX(PP_Grid[#Data],$DE1514,26),0)</f>
        <v/>
      </c>
      <c r="AD1514">
        <f>IFERROR(INDEX(PP_Grid[#Data],$DE1514,27),0)</f>
        <v/>
      </c>
      <c r="AE1514">
        <f>IFERROR(INDEX(PP_Grid[#Data],$DE1514,28),0)</f>
        <v/>
      </c>
      <c r="AF1514">
        <f>IFERROR(INDEX(PP_Grid[#Data],$DE1514,29),0)</f>
        <v/>
      </c>
      <c r="AG1514">
        <f>IFERROR(INDEX(PP_Grid[#Data],$DE1514,30),0)</f>
        <v/>
      </c>
      <c r="AH1514">
        <f>IFERROR(INDEX(PP_Grid[#Data],$DE1514,31),0)</f>
        <v/>
      </c>
      <c r="AI1514">
        <f>IFERROR(INDEX(PP_Grid[#Data],$DE1514,32),0)</f>
        <v/>
      </c>
      <c r="AJ1514">
        <f>IFERROR(INDEX(PP_Grid[#Data],$DE1514,33),0)</f>
        <v/>
      </c>
      <c r="AK1514">
        <f>IFERROR(INDEX(PP_Grid[#Data],$DE1514,34),0)</f>
        <v/>
      </c>
      <c r="AL1514">
        <f>IFERROR(INDEX(PP_Grid[#Data],$DE1514,35),0)</f>
        <v/>
      </c>
      <c r="AM1514">
        <f>IFERROR(INDEX(PP_Grid[#Data],$DE1514,36),0)</f>
        <v/>
      </c>
      <c r="AN1514">
        <f>IFERROR(INDEX(PP_Grid[#Data],$DE1514,37),0)</f>
        <v/>
      </c>
      <c r="AO1514">
        <f>IFERROR(INDEX(PP_Grid[#Data],$DE1514,38),0)</f>
        <v/>
      </c>
      <c r="AP1514">
        <f>IFERROR(INDEX(PP_Grid[#Data],$DE1514,39),0)</f>
        <v/>
      </c>
      <c r="AQ1514">
        <f>IFERROR(INDEX(PP_Grid[#Data],$DE1514,40),0)</f>
        <v/>
      </c>
      <c r="AR1514">
        <f>IFERROR(INDEX(PP_Grid[#Data],$DE1514,41),0)</f>
        <v/>
      </c>
      <c r="AS1514">
        <f>IFERROR(INDEX(PP_Grid[#Data],$DE1514,42),0)</f>
        <v/>
      </c>
      <c r="AT1514">
        <f>IFERROR(INDEX(PP_Grid[#Data],$DE1514,43),0)</f>
        <v/>
      </c>
      <c r="AU1514">
        <f>IFERROR(INDEX(PP_Grid[#Data],$DE1514,44),0)</f>
        <v/>
      </c>
      <c r="AV1514">
        <f>IFERROR(INDEX(PP_Grid[#Data],$DE1514,45),0)</f>
        <v/>
      </c>
      <c r="AW1514">
        <f>IFERROR(INDEX(PP_Grid[#Data],$DE1514,46),0)</f>
        <v/>
      </c>
      <c r="AX1514">
        <f>IFERROR(INDEX(PP_Grid[#Data],$DE1514,47),0)</f>
        <v/>
      </c>
      <c r="AY1514">
        <f>IFERROR(INDEX(PP_Grid[#Data],$DE1514,48),0)</f>
        <v/>
      </c>
      <c r="AZ1514">
        <f>IFERROR(INDEX(PP_Grid[#Data],$DE1514,49),0)</f>
        <v/>
      </c>
      <c r="BA1514">
        <f>IFERROR(INDEX(PP_Grid[#Data],$DE1514,50),0)</f>
        <v/>
      </c>
      <c r="BB1514">
        <f>IFERROR(INDEX(PP_Grid[#Data],$DE1514,51),0)</f>
        <v/>
      </c>
      <c r="BC1514">
        <f>IFERROR(INDEX(PP_Grid[#Data],$DE1514,52),0)</f>
        <v/>
      </c>
      <c r="BD1514">
        <f>IFERROR(INDEX(PP_Grid[#Data],$DE1514,53),0)</f>
        <v/>
      </c>
      <c r="BE1514">
        <f>IFERROR(INDEX(PP_Grid[#Data],$DE1514,54),0)</f>
        <v/>
      </c>
      <c r="BF1514">
        <f>IFERROR(INDEX(PP_Grid[#Data],$DE1514,55),0)</f>
        <v/>
      </c>
      <c r="BG1514">
        <f>IFERROR(INDEX(PP_Grid[#Data],$DE1514,56),0)</f>
        <v/>
      </c>
      <c r="BH1514">
        <f>IFERROR(INDEX(PP_Grid[#Data],$DE1514,57),0)</f>
        <v/>
      </c>
      <c r="BI1514">
        <f>IFERROR(INDEX(PP_Grid[#Data],$DE1514,58),0)</f>
        <v/>
      </c>
      <c r="BJ1514">
        <f>IFERROR(INDEX(PP_Grid[#Data],$DE1514,59),0)</f>
        <v/>
      </c>
      <c r="BK1514">
        <f>IFERROR(INDEX(PP_Grid[#Data],$DE1514,60),0)</f>
        <v/>
      </c>
      <c r="BL1514">
        <f>IFERROR(INDEX(PP_Grid[#Data],$DE1514,61),0)</f>
        <v/>
      </c>
      <c r="BM1514">
        <f>IFERROR(INDEX(PP_Grid[#Data],$DE1514,62),0)</f>
        <v/>
      </c>
      <c r="BN1514">
        <f>IFERROR(INDEX(PP_Grid[#Data],$DE1514,63),0)</f>
        <v/>
      </c>
      <c r="BO1514">
        <f>IFERROR(INDEX(PP_Grid[#Data],$DE1514,64),0)</f>
        <v/>
      </c>
      <c r="BP1514">
        <f>IFERROR(INDEX(PP_Grid[#Data],$DE1514,65),0)</f>
        <v/>
      </c>
      <c r="BQ1514">
        <f>IFERROR(INDEX(PP_Grid[#Data],$DE1514,66),0)</f>
        <v/>
      </c>
      <c r="BR1514">
        <f>IFERROR(INDEX(PP_Grid[#Data],$DE1514,67),0)</f>
        <v/>
      </c>
      <c r="BS1514">
        <f>IFERROR(INDEX(PP_Grid[#Data],$DE1514,68),0)</f>
        <v/>
      </c>
      <c r="BT1514">
        <f>IFERROR(INDEX(PP_Grid[#Data],$DE1514,69),0)</f>
        <v/>
      </c>
      <c r="BU1514">
        <f>IFERROR(INDEX(PP_Grid[#Data],$DE1514,70),0)</f>
        <v/>
      </c>
      <c r="BV1514">
        <f>IFERROR(INDEX(PP_Grid[#Data],$DE1514,71),0)</f>
        <v/>
      </c>
      <c r="BW1514">
        <f>IFERROR(INDEX(PP_Grid[#Data],$DE1514,72),0)</f>
        <v/>
      </c>
      <c r="BX1514">
        <f>IFERROR(INDEX(PP_Grid[#Data],$DE1514,73),0)</f>
        <v/>
      </c>
      <c r="BY1514">
        <f>IFERROR(INDEX(PP_Grid[#Data],$DE1514,74),0)</f>
        <v/>
      </c>
      <c r="BZ1514">
        <f>IFERROR(INDEX(PP_Grid[#Data],$DE1514,75),0)</f>
        <v/>
      </c>
      <c r="CA1514">
        <f>IFERROR(INDEX(PP_Grid[#Data],$DE1514,76),0)</f>
        <v/>
      </c>
      <c r="CB1514">
        <f>IFERROR(INDEX(PP_Grid[#Data],$DE1514,77),0)</f>
        <v/>
      </c>
      <c r="CC1514">
        <f>IFERROR(INDEX(PP_Grid[#Data],$DE1514,78),0)</f>
        <v/>
      </c>
      <c r="CD1514">
        <f>IFERROR(INDEX(PP_Grid[#Data],$DE1514,79),0)</f>
        <v/>
      </c>
      <c r="CE1514">
        <f>IFERROR(INDEX(PP_Grid[#Data],$DE1514,80),0)</f>
        <v/>
      </c>
      <c r="CF1514">
        <f>IFERROR(INDEX(PP_Grid[#Data],$DE1514,81),0)</f>
        <v/>
      </c>
      <c r="CG1514">
        <f>IFERROR(INDEX(PP_Grid[#Data],$DE1514,82),0)</f>
        <v/>
      </c>
      <c r="CH1514">
        <f>IFERROR(INDEX(PP_Grid[#Data],$DE1514,83),0)</f>
        <v/>
      </c>
      <c r="CI1514">
        <f>IFERROR(INDEX(PP_Grid[#Data],$DE1514,84),0)</f>
        <v/>
      </c>
      <c r="CJ1514">
        <f>IFERROR(INDEX(PP_Grid[#Data],$DE1514,85),0)</f>
        <v/>
      </c>
      <c r="CK1514">
        <f>IFERROR(INDEX(PP_Grid[#Data],$DE1514,86),0)</f>
        <v/>
      </c>
      <c r="CL1514">
        <f>IFERROR(INDEX(PP_Grid[#Data],$DE1514,87),0)</f>
        <v/>
      </c>
      <c r="CM1514">
        <f>IFERROR(INDEX(PP_Grid[#Data],$DE1514,88),0)</f>
        <v/>
      </c>
      <c r="CN1514">
        <f>IFERROR(INDEX(PP_Grid[#Data],$DE1514,89),0)</f>
        <v/>
      </c>
      <c r="CO1514">
        <f>IFERROR(INDEX(PP_Grid[#Data],$DE1514,90),0)</f>
        <v/>
      </c>
      <c r="CP1514">
        <f>IFERROR(INDEX(PP_Grid[#Data],$DE1514,91),0)</f>
        <v/>
      </c>
      <c r="CQ1514">
        <f>IFERROR(INDEX(PP_Grid[#Data],$DE1514,92),0)</f>
        <v/>
      </c>
      <c r="CR1514">
        <f>IFERROR(INDEX(PP_Grid[#Data],$DE1514,93),0)</f>
        <v/>
      </c>
      <c r="CS1514">
        <f>IFERROR(INDEX(PP_Grid[#Data],$DE1514,94),0)</f>
        <v/>
      </c>
      <c r="CT1514">
        <f>IFERROR(INDEX(PP_Grid[#Data],$DE1514,95),0)</f>
        <v/>
      </c>
      <c r="CU1514">
        <f>IFERROR(INDEX(PP_Grid[#Data],$DE1514,96),0)</f>
        <v/>
      </c>
      <c r="CV1514">
        <f>IFERROR(INDEX(PP_Grid[#Data],$DE1514,97),0)</f>
        <v/>
      </c>
      <c r="CW1514">
        <f>IFERROR(INDEX(PP_Grid[#Data],$DE1514,98),0)</f>
        <v/>
      </c>
      <c r="CX1514">
        <f>IFERROR(INDEX(PP_Grid[#Data],$DE1514,99),0)</f>
        <v/>
      </c>
      <c r="CY1514">
        <f>IFERROR(INDEX(PP_Grid[#Data],$DE1514,100),0)</f>
        <v/>
      </c>
      <c r="CZ1514">
        <f>IFERROR(INDEX(PP_Grid[#Data],$DE1514,101),0)</f>
        <v/>
      </c>
      <c r="DA1514">
        <f>IFERROR(INDEX(PP_Grid[#Data],$DE1514,102),0)</f>
        <v/>
      </c>
      <c r="DB1514">
        <f>IFERROR(INDEX(PP_Grid[#Data],$DE1514,103),0)</f>
        <v/>
      </c>
      <c r="DC1514">
        <f>IFERROR(INDEX(PP_Grid[#Data],$DE1514,104),0)</f>
        <v/>
      </c>
      <c r="DD1514">
        <f>IFERROR(INDEX(PP_Grid[#Data],$DE1514,105),0)</f>
        <v/>
      </c>
      <c r="DE1514" s="7">
        <f>IFERROR(MATCH($B1514,PP_Grid[Intermediate],0),99999)</f>
        <v/>
      </c>
    </row>
    <row r="1515">
      <c r="B1515" t="inlineStr">
        <is>
          <t>使用量(kg)</t>
        </is>
      </c>
      <c r="C1515">
        <f>SUMIFS(M_BOM[RM_Qty_Per_Batch],M_BOM[Intermediate],$B1514,M_BOM[RM_Code],$A1513)</f>
        <v/>
      </c>
      <c r="D1515">
        <f>IFERROR(INDEX(E1515:DD1515,$F$1),"")</f>
        <v/>
      </c>
      <c r="E1515">
        <f>$C1515*E1514</f>
        <v/>
      </c>
      <c r="F1515">
        <f>$C1515*F1514</f>
        <v/>
      </c>
      <c r="G1515">
        <f>$C1515*G1514</f>
        <v/>
      </c>
      <c r="H1515">
        <f>$C1515*H1514</f>
        <v/>
      </c>
      <c r="I1515">
        <f>$C1515*I1514</f>
        <v/>
      </c>
      <c r="J1515">
        <f>$C1515*J1514</f>
        <v/>
      </c>
      <c r="K1515">
        <f>$C1515*K1514</f>
        <v/>
      </c>
      <c r="L1515">
        <f>$C1515*L1514</f>
        <v/>
      </c>
      <c r="M1515">
        <f>$C1515*M1514</f>
        <v/>
      </c>
      <c r="N1515">
        <f>$C1515*N1514</f>
        <v/>
      </c>
      <c r="O1515">
        <f>$C1515*O1514</f>
        <v/>
      </c>
      <c r="P1515">
        <f>$C1515*P1514</f>
        <v/>
      </c>
      <c r="Q1515">
        <f>$C1515*Q1514</f>
        <v/>
      </c>
      <c r="R1515">
        <f>$C1515*R1514</f>
        <v/>
      </c>
      <c r="S1515">
        <f>$C1515*S1514</f>
        <v/>
      </c>
      <c r="T1515">
        <f>$C1515*T1514</f>
        <v/>
      </c>
      <c r="U1515">
        <f>$C1515*U1514</f>
        <v/>
      </c>
      <c r="V1515">
        <f>$C1515*V1514</f>
        <v/>
      </c>
      <c r="W1515">
        <f>$C1515*W1514</f>
        <v/>
      </c>
      <c r="X1515">
        <f>$C1515*X1514</f>
        <v/>
      </c>
      <c r="Y1515">
        <f>$C1515*Y1514</f>
        <v/>
      </c>
      <c r="Z1515">
        <f>$C1515*Z1514</f>
        <v/>
      </c>
      <c r="AA1515">
        <f>$C1515*AA1514</f>
        <v/>
      </c>
      <c r="AB1515">
        <f>$C1515*AB1514</f>
        <v/>
      </c>
      <c r="AC1515">
        <f>$C1515*AC1514</f>
        <v/>
      </c>
      <c r="AD1515">
        <f>$C1515*AD1514</f>
        <v/>
      </c>
      <c r="AE1515">
        <f>$C1515*AE1514</f>
        <v/>
      </c>
      <c r="AF1515">
        <f>$C1515*AF1514</f>
        <v/>
      </c>
      <c r="AG1515">
        <f>$C1515*AG1514</f>
        <v/>
      </c>
      <c r="AH1515">
        <f>$C1515*AH1514</f>
        <v/>
      </c>
      <c r="AI1515">
        <f>$C1515*AI1514</f>
        <v/>
      </c>
      <c r="AJ1515">
        <f>$C1515*AJ1514</f>
        <v/>
      </c>
      <c r="AK1515">
        <f>$C1515*AK1514</f>
        <v/>
      </c>
      <c r="AL1515">
        <f>$C1515*AL1514</f>
        <v/>
      </c>
      <c r="AM1515">
        <f>$C1515*AM1514</f>
        <v/>
      </c>
      <c r="AN1515">
        <f>$C1515*AN1514</f>
        <v/>
      </c>
      <c r="AO1515">
        <f>$C1515*AO1514</f>
        <v/>
      </c>
      <c r="AP1515">
        <f>$C1515*AP1514</f>
        <v/>
      </c>
      <c r="AQ1515">
        <f>$C1515*AQ1514</f>
        <v/>
      </c>
      <c r="AR1515">
        <f>$C1515*AR1514</f>
        <v/>
      </c>
      <c r="AS1515">
        <f>$C1515*AS1514</f>
        <v/>
      </c>
      <c r="AT1515">
        <f>$C1515*AT1514</f>
        <v/>
      </c>
      <c r="AU1515">
        <f>$C1515*AU1514</f>
        <v/>
      </c>
      <c r="AV1515">
        <f>$C1515*AV1514</f>
        <v/>
      </c>
      <c r="AW1515">
        <f>$C1515*AW1514</f>
        <v/>
      </c>
      <c r="AX1515">
        <f>$C1515*AX1514</f>
        <v/>
      </c>
      <c r="AY1515">
        <f>$C1515*AY1514</f>
        <v/>
      </c>
      <c r="AZ1515">
        <f>$C1515*AZ1514</f>
        <v/>
      </c>
      <c r="BA1515">
        <f>$C1515*BA1514</f>
        <v/>
      </c>
      <c r="BB1515">
        <f>$C1515*BB1514</f>
        <v/>
      </c>
      <c r="BC1515">
        <f>$C1515*BC1514</f>
        <v/>
      </c>
      <c r="BD1515">
        <f>$C1515*BD1514</f>
        <v/>
      </c>
      <c r="BE1515">
        <f>$C1515*BE1514</f>
        <v/>
      </c>
      <c r="BF1515">
        <f>$C1515*BF1514</f>
        <v/>
      </c>
      <c r="BG1515">
        <f>$C1515*BG1514</f>
        <v/>
      </c>
      <c r="BH1515">
        <f>$C1515*BH1514</f>
        <v/>
      </c>
      <c r="BI1515">
        <f>$C1515*BI1514</f>
        <v/>
      </c>
      <c r="BJ1515">
        <f>$C1515*BJ1514</f>
        <v/>
      </c>
      <c r="BK1515">
        <f>$C1515*BK1514</f>
        <v/>
      </c>
      <c r="BL1515">
        <f>$C1515*BL1514</f>
        <v/>
      </c>
      <c r="BM1515">
        <f>$C1515*BM1514</f>
        <v/>
      </c>
      <c r="BN1515">
        <f>$C1515*BN1514</f>
        <v/>
      </c>
      <c r="BO1515">
        <f>$C1515*BO1514</f>
        <v/>
      </c>
      <c r="BP1515">
        <f>$C1515*BP1514</f>
        <v/>
      </c>
      <c r="BQ1515">
        <f>$C1515*BQ1514</f>
        <v/>
      </c>
      <c r="BR1515">
        <f>$C1515*BR1514</f>
        <v/>
      </c>
      <c r="BS1515">
        <f>$C1515*BS1514</f>
        <v/>
      </c>
      <c r="BT1515">
        <f>$C1515*BT1514</f>
        <v/>
      </c>
      <c r="BU1515">
        <f>$C1515*BU1514</f>
        <v/>
      </c>
      <c r="BV1515">
        <f>$C1515*BV1514</f>
        <v/>
      </c>
      <c r="BW1515">
        <f>$C1515*BW1514</f>
        <v/>
      </c>
      <c r="BX1515">
        <f>$C1515*BX1514</f>
        <v/>
      </c>
      <c r="BY1515">
        <f>$C1515*BY1514</f>
        <v/>
      </c>
      <c r="BZ1515">
        <f>$C1515*BZ1514</f>
        <v/>
      </c>
      <c r="CA1515">
        <f>$C1515*CA1514</f>
        <v/>
      </c>
      <c r="CB1515">
        <f>$C1515*CB1514</f>
        <v/>
      </c>
      <c r="CC1515">
        <f>$C1515*CC1514</f>
        <v/>
      </c>
      <c r="CD1515">
        <f>$C1515*CD1514</f>
        <v/>
      </c>
      <c r="CE1515">
        <f>$C1515*CE1514</f>
        <v/>
      </c>
      <c r="CF1515">
        <f>$C1515*CF1514</f>
        <v/>
      </c>
      <c r="CG1515">
        <f>$C1515*CG1514</f>
        <v/>
      </c>
      <c r="CH1515">
        <f>$C1515*CH1514</f>
        <v/>
      </c>
      <c r="CI1515">
        <f>$C1515*CI1514</f>
        <v/>
      </c>
      <c r="CJ1515">
        <f>$C1515*CJ1514</f>
        <v/>
      </c>
      <c r="CK1515">
        <f>$C1515*CK1514</f>
        <v/>
      </c>
      <c r="CL1515">
        <f>$C1515*CL1514</f>
        <v/>
      </c>
      <c r="CM1515">
        <f>$C1515*CM1514</f>
        <v/>
      </c>
      <c r="CN1515">
        <f>$C1515*CN1514</f>
        <v/>
      </c>
      <c r="CO1515">
        <f>$C1515*CO1514</f>
        <v/>
      </c>
      <c r="CP1515">
        <f>$C1515*CP1514</f>
        <v/>
      </c>
      <c r="CQ1515">
        <f>$C1515*CQ1514</f>
        <v/>
      </c>
      <c r="CR1515">
        <f>$C1515*CR1514</f>
        <v/>
      </c>
      <c r="CS1515">
        <f>$C1515*CS1514</f>
        <v/>
      </c>
      <c r="CT1515">
        <f>$C1515*CT1514</f>
        <v/>
      </c>
      <c r="CU1515">
        <f>$C1515*CU1514</f>
        <v/>
      </c>
      <c r="CV1515">
        <f>$C1515*CV1514</f>
        <v/>
      </c>
      <c r="CW1515">
        <f>$C1515*CW1514</f>
        <v/>
      </c>
      <c r="CX1515">
        <f>$C1515*CX1514</f>
        <v/>
      </c>
      <c r="CY1515">
        <f>$C1515*CY1514</f>
        <v/>
      </c>
      <c r="CZ1515">
        <f>$C1515*CZ1514</f>
        <v/>
      </c>
      <c r="DA1515">
        <f>$C1515*DA1514</f>
        <v/>
      </c>
      <c r="DB1515">
        <f>$C1515*DB1514</f>
        <v/>
      </c>
      <c r="DC1515">
        <f>$C1515*DC1514</f>
        <v/>
      </c>
      <c r="DD1515">
        <f>$C1515*DD1514</f>
        <v/>
      </c>
    </row>
    <row r="1516">
      <c r="B1516" t="inlineStr">
        <is>
          <t>No of times used</t>
        </is>
      </c>
      <c r="C1516" t="inlineStr">
        <is>
          <t>No. of batches</t>
        </is>
      </c>
      <c r="D1516">
        <f>IFERROR(INDEX(E1516:DD1516,$F$1),"")</f>
        <v/>
      </c>
      <c r="E1516">
        <f>IFERROR(INDEX(PP_Grid[#Data],$DE1516,2),0)</f>
        <v/>
      </c>
      <c r="F1516">
        <f>IFERROR(INDEX(PP_Grid[#Data],$DE1516,3),0)</f>
        <v/>
      </c>
      <c r="G1516">
        <f>IFERROR(INDEX(PP_Grid[#Data],$DE1516,4),0)</f>
        <v/>
      </c>
      <c r="H1516">
        <f>IFERROR(INDEX(PP_Grid[#Data],$DE1516,5),0)</f>
        <v/>
      </c>
      <c r="I1516">
        <f>IFERROR(INDEX(PP_Grid[#Data],$DE1516,6),0)</f>
        <v/>
      </c>
      <c r="J1516">
        <f>IFERROR(INDEX(PP_Grid[#Data],$DE1516,7),0)</f>
        <v/>
      </c>
      <c r="K1516">
        <f>IFERROR(INDEX(PP_Grid[#Data],$DE1516,8),0)</f>
        <v/>
      </c>
      <c r="L1516">
        <f>IFERROR(INDEX(PP_Grid[#Data],$DE1516,9),0)</f>
        <v/>
      </c>
      <c r="M1516">
        <f>IFERROR(INDEX(PP_Grid[#Data],$DE1516,10),0)</f>
        <v/>
      </c>
      <c r="N1516">
        <f>IFERROR(INDEX(PP_Grid[#Data],$DE1516,11),0)</f>
        <v/>
      </c>
      <c r="O1516">
        <f>IFERROR(INDEX(PP_Grid[#Data],$DE1516,12),0)</f>
        <v/>
      </c>
      <c r="P1516">
        <f>IFERROR(INDEX(PP_Grid[#Data],$DE1516,13),0)</f>
        <v/>
      </c>
      <c r="Q1516">
        <f>IFERROR(INDEX(PP_Grid[#Data],$DE1516,14),0)</f>
        <v/>
      </c>
      <c r="R1516">
        <f>IFERROR(INDEX(PP_Grid[#Data],$DE1516,15),0)</f>
        <v/>
      </c>
      <c r="S1516">
        <f>IFERROR(INDEX(PP_Grid[#Data],$DE1516,16),0)</f>
        <v/>
      </c>
      <c r="T1516">
        <f>IFERROR(INDEX(PP_Grid[#Data],$DE1516,17),0)</f>
        <v/>
      </c>
      <c r="U1516">
        <f>IFERROR(INDEX(PP_Grid[#Data],$DE1516,18),0)</f>
        <v/>
      </c>
      <c r="V1516">
        <f>IFERROR(INDEX(PP_Grid[#Data],$DE1516,19),0)</f>
        <v/>
      </c>
      <c r="W1516">
        <f>IFERROR(INDEX(PP_Grid[#Data],$DE1516,20),0)</f>
        <v/>
      </c>
      <c r="X1516">
        <f>IFERROR(INDEX(PP_Grid[#Data],$DE1516,21),0)</f>
        <v/>
      </c>
      <c r="Y1516">
        <f>IFERROR(INDEX(PP_Grid[#Data],$DE1516,22),0)</f>
        <v/>
      </c>
      <c r="Z1516">
        <f>IFERROR(INDEX(PP_Grid[#Data],$DE1516,23),0)</f>
        <v/>
      </c>
      <c r="AA1516">
        <f>IFERROR(INDEX(PP_Grid[#Data],$DE1516,24),0)</f>
        <v/>
      </c>
      <c r="AB1516">
        <f>IFERROR(INDEX(PP_Grid[#Data],$DE1516,25),0)</f>
        <v/>
      </c>
      <c r="AC1516">
        <f>IFERROR(INDEX(PP_Grid[#Data],$DE1516,26),0)</f>
        <v/>
      </c>
      <c r="AD1516">
        <f>IFERROR(INDEX(PP_Grid[#Data],$DE1516,27),0)</f>
        <v/>
      </c>
      <c r="AE1516">
        <f>IFERROR(INDEX(PP_Grid[#Data],$DE1516,28),0)</f>
        <v/>
      </c>
      <c r="AF1516">
        <f>IFERROR(INDEX(PP_Grid[#Data],$DE1516,29),0)</f>
        <v/>
      </c>
      <c r="AG1516">
        <f>IFERROR(INDEX(PP_Grid[#Data],$DE1516,30),0)</f>
        <v/>
      </c>
      <c r="AH1516">
        <f>IFERROR(INDEX(PP_Grid[#Data],$DE1516,31),0)</f>
        <v/>
      </c>
      <c r="AI1516">
        <f>IFERROR(INDEX(PP_Grid[#Data],$DE1516,32),0)</f>
        <v/>
      </c>
      <c r="AJ1516">
        <f>IFERROR(INDEX(PP_Grid[#Data],$DE1516,33),0)</f>
        <v/>
      </c>
      <c r="AK1516">
        <f>IFERROR(INDEX(PP_Grid[#Data],$DE1516,34),0)</f>
        <v/>
      </c>
      <c r="AL1516">
        <f>IFERROR(INDEX(PP_Grid[#Data],$DE1516,35),0)</f>
        <v/>
      </c>
      <c r="AM1516">
        <f>IFERROR(INDEX(PP_Grid[#Data],$DE1516,36),0)</f>
        <v/>
      </c>
      <c r="AN1516">
        <f>IFERROR(INDEX(PP_Grid[#Data],$DE1516,37),0)</f>
        <v/>
      </c>
      <c r="AO1516">
        <f>IFERROR(INDEX(PP_Grid[#Data],$DE1516,38),0)</f>
        <v/>
      </c>
      <c r="AP1516">
        <f>IFERROR(INDEX(PP_Grid[#Data],$DE1516,39),0)</f>
        <v/>
      </c>
      <c r="AQ1516">
        <f>IFERROR(INDEX(PP_Grid[#Data],$DE1516,40),0)</f>
        <v/>
      </c>
      <c r="AR1516">
        <f>IFERROR(INDEX(PP_Grid[#Data],$DE1516,41),0)</f>
        <v/>
      </c>
      <c r="AS1516">
        <f>IFERROR(INDEX(PP_Grid[#Data],$DE1516,42),0)</f>
        <v/>
      </c>
      <c r="AT1516">
        <f>IFERROR(INDEX(PP_Grid[#Data],$DE1516,43),0)</f>
        <v/>
      </c>
      <c r="AU1516">
        <f>IFERROR(INDEX(PP_Grid[#Data],$DE1516,44),0)</f>
        <v/>
      </c>
      <c r="AV1516">
        <f>IFERROR(INDEX(PP_Grid[#Data],$DE1516,45),0)</f>
        <v/>
      </c>
      <c r="AW1516">
        <f>IFERROR(INDEX(PP_Grid[#Data],$DE1516,46),0)</f>
        <v/>
      </c>
      <c r="AX1516">
        <f>IFERROR(INDEX(PP_Grid[#Data],$DE1516,47),0)</f>
        <v/>
      </c>
      <c r="AY1516">
        <f>IFERROR(INDEX(PP_Grid[#Data],$DE1516,48),0)</f>
        <v/>
      </c>
      <c r="AZ1516">
        <f>IFERROR(INDEX(PP_Grid[#Data],$DE1516,49),0)</f>
        <v/>
      </c>
      <c r="BA1516">
        <f>IFERROR(INDEX(PP_Grid[#Data],$DE1516,50),0)</f>
        <v/>
      </c>
      <c r="BB1516">
        <f>IFERROR(INDEX(PP_Grid[#Data],$DE1516,51),0)</f>
        <v/>
      </c>
      <c r="BC1516">
        <f>IFERROR(INDEX(PP_Grid[#Data],$DE1516,52),0)</f>
        <v/>
      </c>
      <c r="BD1516">
        <f>IFERROR(INDEX(PP_Grid[#Data],$DE1516,53),0)</f>
        <v/>
      </c>
      <c r="BE1516">
        <f>IFERROR(INDEX(PP_Grid[#Data],$DE1516,54),0)</f>
        <v/>
      </c>
      <c r="BF1516">
        <f>IFERROR(INDEX(PP_Grid[#Data],$DE1516,55),0)</f>
        <v/>
      </c>
      <c r="BG1516">
        <f>IFERROR(INDEX(PP_Grid[#Data],$DE1516,56),0)</f>
        <v/>
      </c>
      <c r="BH1516">
        <f>IFERROR(INDEX(PP_Grid[#Data],$DE1516,57),0)</f>
        <v/>
      </c>
      <c r="BI1516">
        <f>IFERROR(INDEX(PP_Grid[#Data],$DE1516,58),0)</f>
        <v/>
      </c>
      <c r="BJ1516">
        <f>IFERROR(INDEX(PP_Grid[#Data],$DE1516,59),0)</f>
        <v/>
      </c>
      <c r="BK1516">
        <f>IFERROR(INDEX(PP_Grid[#Data],$DE1516,60),0)</f>
        <v/>
      </c>
      <c r="BL1516">
        <f>IFERROR(INDEX(PP_Grid[#Data],$DE1516,61),0)</f>
        <v/>
      </c>
      <c r="BM1516">
        <f>IFERROR(INDEX(PP_Grid[#Data],$DE1516,62),0)</f>
        <v/>
      </c>
      <c r="BN1516">
        <f>IFERROR(INDEX(PP_Grid[#Data],$DE1516,63),0)</f>
        <v/>
      </c>
      <c r="BO1516">
        <f>IFERROR(INDEX(PP_Grid[#Data],$DE1516,64),0)</f>
        <v/>
      </c>
      <c r="BP1516">
        <f>IFERROR(INDEX(PP_Grid[#Data],$DE1516,65),0)</f>
        <v/>
      </c>
      <c r="BQ1516">
        <f>IFERROR(INDEX(PP_Grid[#Data],$DE1516,66),0)</f>
        <v/>
      </c>
      <c r="BR1516">
        <f>IFERROR(INDEX(PP_Grid[#Data],$DE1516,67),0)</f>
        <v/>
      </c>
      <c r="BS1516">
        <f>IFERROR(INDEX(PP_Grid[#Data],$DE1516,68),0)</f>
        <v/>
      </c>
      <c r="BT1516">
        <f>IFERROR(INDEX(PP_Grid[#Data],$DE1516,69),0)</f>
        <v/>
      </c>
      <c r="BU1516">
        <f>IFERROR(INDEX(PP_Grid[#Data],$DE1516,70),0)</f>
        <v/>
      </c>
      <c r="BV1516">
        <f>IFERROR(INDEX(PP_Grid[#Data],$DE1516,71),0)</f>
        <v/>
      </c>
      <c r="BW1516">
        <f>IFERROR(INDEX(PP_Grid[#Data],$DE1516,72),0)</f>
        <v/>
      </c>
      <c r="BX1516">
        <f>IFERROR(INDEX(PP_Grid[#Data],$DE1516,73),0)</f>
        <v/>
      </c>
      <c r="BY1516">
        <f>IFERROR(INDEX(PP_Grid[#Data],$DE1516,74),0)</f>
        <v/>
      </c>
      <c r="BZ1516">
        <f>IFERROR(INDEX(PP_Grid[#Data],$DE1516,75),0)</f>
        <v/>
      </c>
      <c r="CA1516">
        <f>IFERROR(INDEX(PP_Grid[#Data],$DE1516,76),0)</f>
        <v/>
      </c>
      <c r="CB1516">
        <f>IFERROR(INDEX(PP_Grid[#Data],$DE1516,77),0)</f>
        <v/>
      </c>
      <c r="CC1516">
        <f>IFERROR(INDEX(PP_Grid[#Data],$DE1516,78),0)</f>
        <v/>
      </c>
      <c r="CD1516">
        <f>IFERROR(INDEX(PP_Grid[#Data],$DE1516,79),0)</f>
        <v/>
      </c>
      <c r="CE1516">
        <f>IFERROR(INDEX(PP_Grid[#Data],$DE1516,80),0)</f>
        <v/>
      </c>
      <c r="CF1516">
        <f>IFERROR(INDEX(PP_Grid[#Data],$DE1516,81),0)</f>
        <v/>
      </c>
      <c r="CG1516">
        <f>IFERROR(INDEX(PP_Grid[#Data],$DE1516,82),0)</f>
        <v/>
      </c>
      <c r="CH1516">
        <f>IFERROR(INDEX(PP_Grid[#Data],$DE1516,83),0)</f>
        <v/>
      </c>
      <c r="CI1516">
        <f>IFERROR(INDEX(PP_Grid[#Data],$DE1516,84),0)</f>
        <v/>
      </c>
      <c r="CJ1516">
        <f>IFERROR(INDEX(PP_Grid[#Data],$DE1516,85),0)</f>
        <v/>
      </c>
      <c r="CK1516">
        <f>IFERROR(INDEX(PP_Grid[#Data],$DE1516,86),0)</f>
        <v/>
      </c>
      <c r="CL1516">
        <f>IFERROR(INDEX(PP_Grid[#Data],$DE1516,87),0)</f>
        <v/>
      </c>
      <c r="CM1516">
        <f>IFERROR(INDEX(PP_Grid[#Data],$DE1516,88),0)</f>
        <v/>
      </c>
      <c r="CN1516">
        <f>IFERROR(INDEX(PP_Grid[#Data],$DE1516,89),0)</f>
        <v/>
      </c>
      <c r="CO1516">
        <f>IFERROR(INDEX(PP_Grid[#Data],$DE1516,90),0)</f>
        <v/>
      </c>
      <c r="CP1516">
        <f>IFERROR(INDEX(PP_Grid[#Data],$DE1516,91),0)</f>
        <v/>
      </c>
      <c r="CQ1516">
        <f>IFERROR(INDEX(PP_Grid[#Data],$DE1516,92),0)</f>
        <v/>
      </c>
      <c r="CR1516">
        <f>IFERROR(INDEX(PP_Grid[#Data],$DE1516,93),0)</f>
        <v/>
      </c>
      <c r="CS1516">
        <f>IFERROR(INDEX(PP_Grid[#Data],$DE1516,94),0)</f>
        <v/>
      </c>
      <c r="CT1516">
        <f>IFERROR(INDEX(PP_Grid[#Data],$DE1516,95),0)</f>
        <v/>
      </c>
      <c r="CU1516">
        <f>IFERROR(INDEX(PP_Grid[#Data],$DE1516,96),0)</f>
        <v/>
      </c>
      <c r="CV1516">
        <f>IFERROR(INDEX(PP_Grid[#Data],$DE1516,97),0)</f>
        <v/>
      </c>
      <c r="CW1516">
        <f>IFERROR(INDEX(PP_Grid[#Data],$DE1516,98),0)</f>
        <v/>
      </c>
      <c r="CX1516">
        <f>IFERROR(INDEX(PP_Grid[#Data],$DE1516,99),0)</f>
        <v/>
      </c>
      <c r="CY1516">
        <f>IFERROR(INDEX(PP_Grid[#Data],$DE1516,100),0)</f>
        <v/>
      </c>
      <c r="CZ1516">
        <f>IFERROR(INDEX(PP_Grid[#Data],$DE1516,101),0)</f>
        <v/>
      </c>
      <c r="DA1516">
        <f>IFERROR(INDEX(PP_Grid[#Data],$DE1516,102),0)</f>
        <v/>
      </c>
      <c r="DB1516">
        <f>IFERROR(INDEX(PP_Grid[#Data],$DE1516,103),0)</f>
        <v/>
      </c>
      <c r="DC1516">
        <f>IFERROR(INDEX(PP_Grid[#Data],$DE1516,104),0)</f>
        <v/>
      </c>
      <c r="DD1516">
        <f>IFERROR(INDEX(PP_Grid[#Data],$DE1516,105),0)</f>
        <v/>
      </c>
      <c r="DE1516" s="7">
        <f>IFERROR(MATCH($B1516,PP_Grid[Intermediate],0),99999)</f>
        <v/>
      </c>
    </row>
    <row r="1517">
      <c r="B1517" t="inlineStr">
        <is>
          <t>使用量(kg)</t>
        </is>
      </c>
      <c r="C1517">
        <f>SUMIFS(M_BOM[RM_Qty_Per_Batch],M_BOM[Intermediate],$B1516,M_BOM[RM_Code],$A1513)</f>
        <v/>
      </c>
      <c r="D1517">
        <f>IFERROR(INDEX(E1517:DD1517,$F$1),"")</f>
        <v/>
      </c>
      <c r="E1517">
        <f>$C1517*E1516</f>
        <v/>
      </c>
      <c r="F1517">
        <f>$C1517*F1516</f>
        <v/>
      </c>
      <c r="G1517">
        <f>$C1517*G1516</f>
        <v/>
      </c>
      <c r="H1517">
        <f>$C1517*H1516</f>
        <v/>
      </c>
      <c r="I1517">
        <f>$C1517*I1516</f>
        <v/>
      </c>
      <c r="J1517">
        <f>$C1517*J1516</f>
        <v/>
      </c>
      <c r="K1517">
        <f>$C1517*K1516</f>
        <v/>
      </c>
      <c r="L1517">
        <f>$C1517*L1516</f>
        <v/>
      </c>
      <c r="M1517">
        <f>$C1517*M1516</f>
        <v/>
      </c>
      <c r="N1517">
        <f>$C1517*N1516</f>
        <v/>
      </c>
      <c r="O1517">
        <f>$C1517*O1516</f>
        <v/>
      </c>
      <c r="P1517">
        <f>$C1517*P1516</f>
        <v/>
      </c>
      <c r="Q1517">
        <f>$C1517*Q1516</f>
        <v/>
      </c>
      <c r="R1517">
        <f>$C1517*R1516</f>
        <v/>
      </c>
      <c r="S1517">
        <f>$C1517*S1516</f>
        <v/>
      </c>
      <c r="T1517">
        <f>$C1517*T1516</f>
        <v/>
      </c>
      <c r="U1517">
        <f>$C1517*U1516</f>
        <v/>
      </c>
      <c r="V1517">
        <f>$C1517*V1516</f>
        <v/>
      </c>
      <c r="W1517">
        <f>$C1517*W1516</f>
        <v/>
      </c>
      <c r="X1517">
        <f>$C1517*X1516</f>
        <v/>
      </c>
      <c r="Y1517">
        <f>$C1517*Y1516</f>
        <v/>
      </c>
      <c r="Z1517">
        <f>$C1517*Z1516</f>
        <v/>
      </c>
      <c r="AA1517">
        <f>$C1517*AA1516</f>
        <v/>
      </c>
      <c r="AB1517">
        <f>$C1517*AB1516</f>
        <v/>
      </c>
      <c r="AC1517">
        <f>$C1517*AC1516</f>
        <v/>
      </c>
      <c r="AD1517">
        <f>$C1517*AD1516</f>
        <v/>
      </c>
      <c r="AE1517">
        <f>$C1517*AE1516</f>
        <v/>
      </c>
      <c r="AF1517">
        <f>$C1517*AF1516</f>
        <v/>
      </c>
      <c r="AG1517">
        <f>$C1517*AG1516</f>
        <v/>
      </c>
      <c r="AH1517">
        <f>$C1517*AH1516</f>
        <v/>
      </c>
      <c r="AI1517">
        <f>$C1517*AI1516</f>
        <v/>
      </c>
      <c r="AJ1517">
        <f>$C1517*AJ1516</f>
        <v/>
      </c>
      <c r="AK1517">
        <f>$C1517*AK1516</f>
        <v/>
      </c>
      <c r="AL1517">
        <f>$C1517*AL1516</f>
        <v/>
      </c>
      <c r="AM1517">
        <f>$C1517*AM1516</f>
        <v/>
      </c>
      <c r="AN1517">
        <f>$C1517*AN1516</f>
        <v/>
      </c>
      <c r="AO1517">
        <f>$C1517*AO1516</f>
        <v/>
      </c>
      <c r="AP1517">
        <f>$C1517*AP1516</f>
        <v/>
      </c>
      <c r="AQ1517">
        <f>$C1517*AQ1516</f>
        <v/>
      </c>
      <c r="AR1517">
        <f>$C1517*AR1516</f>
        <v/>
      </c>
      <c r="AS1517">
        <f>$C1517*AS1516</f>
        <v/>
      </c>
      <c r="AT1517">
        <f>$C1517*AT1516</f>
        <v/>
      </c>
      <c r="AU1517">
        <f>$C1517*AU1516</f>
        <v/>
      </c>
      <c r="AV1517">
        <f>$C1517*AV1516</f>
        <v/>
      </c>
      <c r="AW1517">
        <f>$C1517*AW1516</f>
        <v/>
      </c>
      <c r="AX1517">
        <f>$C1517*AX1516</f>
        <v/>
      </c>
      <c r="AY1517">
        <f>$C1517*AY1516</f>
        <v/>
      </c>
      <c r="AZ1517">
        <f>$C1517*AZ1516</f>
        <v/>
      </c>
      <c r="BA1517">
        <f>$C1517*BA1516</f>
        <v/>
      </c>
      <c r="BB1517">
        <f>$C1517*BB1516</f>
        <v/>
      </c>
      <c r="BC1517">
        <f>$C1517*BC1516</f>
        <v/>
      </c>
      <c r="BD1517">
        <f>$C1517*BD1516</f>
        <v/>
      </c>
      <c r="BE1517">
        <f>$C1517*BE1516</f>
        <v/>
      </c>
      <c r="BF1517">
        <f>$C1517*BF1516</f>
        <v/>
      </c>
      <c r="BG1517">
        <f>$C1517*BG1516</f>
        <v/>
      </c>
      <c r="BH1517">
        <f>$C1517*BH1516</f>
        <v/>
      </c>
      <c r="BI1517">
        <f>$C1517*BI1516</f>
        <v/>
      </c>
      <c r="BJ1517">
        <f>$C1517*BJ1516</f>
        <v/>
      </c>
      <c r="BK1517">
        <f>$C1517*BK1516</f>
        <v/>
      </c>
      <c r="BL1517">
        <f>$C1517*BL1516</f>
        <v/>
      </c>
      <c r="BM1517">
        <f>$C1517*BM1516</f>
        <v/>
      </c>
      <c r="BN1517">
        <f>$C1517*BN1516</f>
        <v/>
      </c>
      <c r="BO1517">
        <f>$C1517*BO1516</f>
        <v/>
      </c>
      <c r="BP1517">
        <f>$C1517*BP1516</f>
        <v/>
      </c>
      <c r="BQ1517">
        <f>$C1517*BQ1516</f>
        <v/>
      </c>
      <c r="BR1517">
        <f>$C1517*BR1516</f>
        <v/>
      </c>
      <c r="BS1517">
        <f>$C1517*BS1516</f>
        <v/>
      </c>
      <c r="BT1517">
        <f>$C1517*BT1516</f>
        <v/>
      </c>
      <c r="BU1517">
        <f>$C1517*BU1516</f>
        <v/>
      </c>
      <c r="BV1517">
        <f>$C1517*BV1516</f>
        <v/>
      </c>
      <c r="BW1517">
        <f>$C1517*BW1516</f>
        <v/>
      </c>
      <c r="BX1517">
        <f>$C1517*BX1516</f>
        <v/>
      </c>
      <c r="BY1517">
        <f>$C1517*BY1516</f>
        <v/>
      </c>
      <c r="BZ1517">
        <f>$C1517*BZ1516</f>
        <v/>
      </c>
      <c r="CA1517">
        <f>$C1517*CA1516</f>
        <v/>
      </c>
      <c r="CB1517">
        <f>$C1517*CB1516</f>
        <v/>
      </c>
      <c r="CC1517">
        <f>$C1517*CC1516</f>
        <v/>
      </c>
      <c r="CD1517">
        <f>$C1517*CD1516</f>
        <v/>
      </c>
      <c r="CE1517">
        <f>$C1517*CE1516</f>
        <v/>
      </c>
      <c r="CF1517">
        <f>$C1517*CF1516</f>
        <v/>
      </c>
      <c r="CG1517">
        <f>$C1517*CG1516</f>
        <v/>
      </c>
      <c r="CH1517">
        <f>$C1517*CH1516</f>
        <v/>
      </c>
      <c r="CI1517">
        <f>$C1517*CI1516</f>
        <v/>
      </c>
      <c r="CJ1517">
        <f>$C1517*CJ1516</f>
        <v/>
      </c>
      <c r="CK1517">
        <f>$C1517*CK1516</f>
        <v/>
      </c>
      <c r="CL1517">
        <f>$C1517*CL1516</f>
        <v/>
      </c>
      <c r="CM1517">
        <f>$C1517*CM1516</f>
        <v/>
      </c>
      <c r="CN1517">
        <f>$C1517*CN1516</f>
        <v/>
      </c>
      <c r="CO1517">
        <f>$C1517*CO1516</f>
        <v/>
      </c>
      <c r="CP1517">
        <f>$C1517*CP1516</f>
        <v/>
      </c>
      <c r="CQ1517">
        <f>$C1517*CQ1516</f>
        <v/>
      </c>
      <c r="CR1517">
        <f>$C1517*CR1516</f>
        <v/>
      </c>
      <c r="CS1517">
        <f>$C1517*CS1516</f>
        <v/>
      </c>
      <c r="CT1517">
        <f>$C1517*CT1516</f>
        <v/>
      </c>
      <c r="CU1517">
        <f>$C1517*CU1516</f>
        <v/>
      </c>
      <c r="CV1517">
        <f>$C1517*CV1516</f>
        <v/>
      </c>
      <c r="CW1517">
        <f>$C1517*CW1516</f>
        <v/>
      </c>
      <c r="CX1517">
        <f>$C1517*CX1516</f>
        <v/>
      </c>
      <c r="CY1517">
        <f>$C1517*CY1516</f>
        <v/>
      </c>
      <c r="CZ1517">
        <f>$C1517*CZ1516</f>
        <v/>
      </c>
      <c r="DA1517">
        <f>$C1517*DA1516</f>
        <v/>
      </c>
      <c r="DB1517">
        <f>$C1517*DB1516</f>
        <v/>
      </c>
      <c r="DC1517">
        <f>$C1517*DC1516</f>
        <v/>
      </c>
      <c r="DD1517">
        <f>$C1517*DD1516</f>
        <v/>
      </c>
    </row>
    <row r="1518">
      <c r="B1518" s="4" t="inlineStr">
        <is>
          <t>合計使用量(kg)/週</t>
        </is>
      </c>
      <c r="D1518" s="22">
        <f>IFERROR(INDEX(E1518:DD1518,$F$1),"")</f>
        <v/>
      </c>
      <c r="E1518">
        <f>'Grid_Requirement'!B57</f>
        <v/>
      </c>
      <c r="F1518">
        <f>'Grid_Requirement'!C57</f>
        <v/>
      </c>
      <c r="G1518">
        <f>'Grid_Requirement'!D57</f>
        <v/>
      </c>
      <c r="H1518">
        <f>'Grid_Requirement'!E57</f>
        <v/>
      </c>
      <c r="I1518">
        <f>'Grid_Requirement'!F57</f>
        <v/>
      </c>
      <c r="J1518">
        <f>'Grid_Requirement'!G57</f>
        <v/>
      </c>
      <c r="K1518">
        <f>'Grid_Requirement'!H57</f>
        <v/>
      </c>
      <c r="L1518">
        <f>'Grid_Requirement'!I57</f>
        <v/>
      </c>
      <c r="M1518">
        <f>'Grid_Requirement'!J57</f>
        <v/>
      </c>
      <c r="N1518">
        <f>'Grid_Requirement'!K57</f>
        <v/>
      </c>
      <c r="O1518">
        <f>'Grid_Requirement'!L57</f>
        <v/>
      </c>
      <c r="P1518">
        <f>'Grid_Requirement'!M57</f>
        <v/>
      </c>
      <c r="Q1518">
        <f>'Grid_Requirement'!N57</f>
        <v/>
      </c>
      <c r="R1518">
        <f>'Grid_Requirement'!O57</f>
        <v/>
      </c>
      <c r="S1518">
        <f>'Grid_Requirement'!P57</f>
        <v/>
      </c>
      <c r="T1518">
        <f>'Grid_Requirement'!Q57</f>
        <v/>
      </c>
      <c r="U1518">
        <f>'Grid_Requirement'!R57</f>
        <v/>
      </c>
      <c r="V1518">
        <f>'Grid_Requirement'!S57</f>
        <v/>
      </c>
      <c r="W1518">
        <f>'Grid_Requirement'!T57</f>
        <v/>
      </c>
      <c r="X1518">
        <f>'Grid_Requirement'!U57</f>
        <v/>
      </c>
      <c r="Y1518">
        <f>'Grid_Requirement'!V57</f>
        <v/>
      </c>
      <c r="Z1518">
        <f>'Grid_Requirement'!W57</f>
        <v/>
      </c>
      <c r="AA1518">
        <f>'Grid_Requirement'!X57</f>
        <v/>
      </c>
      <c r="AB1518">
        <f>'Grid_Requirement'!Y57</f>
        <v/>
      </c>
      <c r="AC1518">
        <f>'Grid_Requirement'!Z57</f>
        <v/>
      </c>
      <c r="AD1518">
        <f>'Grid_Requirement'!AA57</f>
        <v/>
      </c>
      <c r="AE1518">
        <f>'Grid_Requirement'!AB57</f>
        <v/>
      </c>
      <c r="AF1518">
        <f>'Grid_Requirement'!AC57</f>
        <v/>
      </c>
      <c r="AG1518">
        <f>'Grid_Requirement'!AD57</f>
        <v/>
      </c>
      <c r="AH1518">
        <f>'Grid_Requirement'!AE57</f>
        <v/>
      </c>
      <c r="AI1518">
        <f>'Grid_Requirement'!AF57</f>
        <v/>
      </c>
      <c r="AJ1518">
        <f>'Grid_Requirement'!AG57</f>
        <v/>
      </c>
      <c r="AK1518">
        <f>'Grid_Requirement'!AH57</f>
        <v/>
      </c>
      <c r="AL1518">
        <f>'Grid_Requirement'!AI57</f>
        <v/>
      </c>
      <c r="AM1518">
        <f>'Grid_Requirement'!AJ57</f>
        <v/>
      </c>
      <c r="AN1518">
        <f>'Grid_Requirement'!AK57</f>
        <v/>
      </c>
      <c r="AO1518">
        <f>'Grid_Requirement'!AL57</f>
        <v/>
      </c>
      <c r="AP1518">
        <f>'Grid_Requirement'!AM57</f>
        <v/>
      </c>
      <c r="AQ1518">
        <f>'Grid_Requirement'!AN57</f>
        <v/>
      </c>
      <c r="AR1518">
        <f>'Grid_Requirement'!AO57</f>
        <v/>
      </c>
      <c r="AS1518">
        <f>'Grid_Requirement'!AP57</f>
        <v/>
      </c>
      <c r="AT1518">
        <f>'Grid_Requirement'!AQ57</f>
        <v/>
      </c>
      <c r="AU1518">
        <f>'Grid_Requirement'!AR57</f>
        <v/>
      </c>
      <c r="AV1518">
        <f>'Grid_Requirement'!AS57</f>
        <v/>
      </c>
      <c r="AW1518">
        <f>'Grid_Requirement'!AT57</f>
        <v/>
      </c>
      <c r="AX1518">
        <f>'Grid_Requirement'!AU57</f>
        <v/>
      </c>
      <c r="AY1518">
        <f>'Grid_Requirement'!AV57</f>
        <v/>
      </c>
      <c r="AZ1518">
        <f>'Grid_Requirement'!AW57</f>
        <v/>
      </c>
      <c r="BA1518">
        <f>'Grid_Requirement'!AX57</f>
        <v/>
      </c>
      <c r="BB1518">
        <f>'Grid_Requirement'!AY57</f>
        <v/>
      </c>
      <c r="BC1518">
        <f>'Grid_Requirement'!AZ57</f>
        <v/>
      </c>
      <c r="BD1518">
        <f>'Grid_Requirement'!BA57</f>
        <v/>
      </c>
      <c r="BE1518">
        <f>'Grid_Requirement'!BB57</f>
        <v/>
      </c>
      <c r="BF1518">
        <f>'Grid_Requirement'!BC57</f>
        <v/>
      </c>
      <c r="BG1518">
        <f>'Grid_Requirement'!BD57</f>
        <v/>
      </c>
      <c r="BH1518">
        <f>'Grid_Requirement'!BE57</f>
        <v/>
      </c>
      <c r="BI1518">
        <f>'Grid_Requirement'!BF57</f>
        <v/>
      </c>
      <c r="BJ1518">
        <f>'Grid_Requirement'!BG57</f>
        <v/>
      </c>
      <c r="BK1518">
        <f>'Grid_Requirement'!BH57</f>
        <v/>
      </c>
      <c r="BL1518">
        <f>'Grid_Requirement'!BI57</f>
        <v/>
      </c>
      <c r="BM1518">
        <f>'Grid_Requirement'!BJ57</f>
        <v/>
      </c>
      <c r="BN1518">
        <f>'Grid_Requirement'!BK57</f>
        <v/>
      </c>
      <c r="BO1518">
        <f>'Grid_Requirement'!BL57</f>
        <v/>
      </c>
      <c r="BP1518">
        <f>'Grid_Requirement'!BM57</f>
        <v/>
      </c>
      <c r="BQ1518">
        <f>'Grid_Requirement'!BN57</f>
        <v/>
      </c>
      <c r="BR1518">
        <f>'Grid_Requirement'!BO57</f>
        <v/>
      </c>
      <c r="BS1518">
        <f>'Grid_Requirement'!BP57</f>
        <v/>
      </c>
      <c r="BT1518">
        <f>'Grid_Requirement'!BQ57</f>
        <v/>
      </c>
      <c r="BU1518">
        <f>'Grid_Requirement'!BR57</f>
        <v/>
      </c>
      <c r="BV1518">
        <f>'Grid_Requirement'!BS57</f>
        <v/>
      </c>
      <c r="BW1518">
        <f>'Grid_Requirement'!BT57</f>
        <v/>
      </c>
      <c r="BX1518">
        <f>'Grid_Requirement'!BU57</f>
        <v/>
      </c>
      <c r="BY1518">
        <f>'Grid_Requirement'!BV57</f>
        <v/>
      </c>
      <c r="BZ1518">
        <f>'Grid_Requirement'!BW57</f>
        <v/>
      </c>
      <c r="CA1518">
        <f>'Grid_Requirement'!BX57</f>
        <v/>
      </c>
      <c r="CB1518">
        <f>'Grid_Requirement'!BY57</f>
        <v/>
      </c>
      <c r="CC1518">
        <f>'Grid_Requirement'!BZ57</f>
        <v/>
      </c>
      <c r="CD1518">
        <f>'Grid_Requirement'!CA57</f>
        <v/>
      </c>
      <c r="CE1518">
        <f>'Grid_Requirement'!CB57</f>
        <v/>
      </c>
      <c r="CF1518">
        <f>'Grid_Requirement'!CC57</f>
        <v/>
      </c>
      <c r="CG1518">
        <f>'Grid_Requirement'!CD57</f>
        <v/>
      </c>
      <c r="CH1518">
        <f>'Grid_Requirement'!CE57</f>
        <v/>
      </c>
      <c r="CI1518">
        <f>'Grid_Requirement'!CF57</f>
        <v/>
      </c>
      <c r="CJ1518">
        <f>'Grid_Requirement'!CG57</f>
        <v/>
      </c>
      <c r="CK1518">
        <f>'Grid_Requirement'!CH57</f>
        <v/>
      </c>
      <c r="CL1518">
        <f>'Grid_Requirement'!CI57</f>
        <v/>
      </c>
      <c r="CM1518">
        <f>'Grid_Requirement'!CJ57</f>
        <v/>
      </c>
      <c r="CN1518">
        <f>'Grid_Requirement'!CK57</f>
        <v/>
      </c>
      <c r="CO1518">
        <f>'Grid_Requirement'!CL57</f>
        <v/>
      </c>
      <c r="CP1518">
        <f>'Grid_Requirement'!CM57</f>
        <v/>
      </c>
      <c r="CQ1518">
        <f>'Grid_Requirement'!CN57</f>
        <v/>
      </c>
      <c r="CR1518">
        <f>'Grid_Requirement'!CO57</f>
        <v/>
      </c>
      <c r="CS1518">
        <f>'Grid_Requirement'!CP57</f>
        <v/>
      </c>
      <c r="CT1518">
        <f>'Grid_Requirement'!CQ57</f>
        <v/>
      </c>
      <c r="CU1518">
        <f>'Grid_Requirement'!CR57</f>
        <v/>
      </c>
      <c r="CV1518">
        <f>'Grid_Requirement'!CS57</f>
        <v/>
      </c>
      <c r="CW1518">
        <f>'Grid_Requirement'!CT57</f>
        <v/>
      </c>
      <c r="CX1518">
        <f>'Grid_Requirement'!CU57</f>
        <v/>
      </c>
      <c r="CY1518">
        <f>'Grid_Requirement'!CV57</f>
        <v/>
      </c>
      <c r="CZ1518">
        <f>'Grid_Requirement'!CW57</f>
        <v/>
      </c>
      <c r="DA1518">
        <f>'Grid_Requirement'!CX57</f>
        <v/>
      </c>
      <c r="DB1518">
        <f>'Grid_Requirement'!CY57</f>
        <v/>
      </c>
      <c r="DC1518">
        <f>'Grid_Requirement'!CZ57</f>
        <v/>
      </c>
      <c r="DD1518">
        <f>'Grid_Requirement'!DA57</f>
        <v/>
      </c>
    </row>
    <row r="1519">
      <c r="B1519" s="23" t="inlineStr">
        <is>
          <t>（在庫・入荷予定はDashboard参照）</t>
        </is>
      </c>
    </row>
    <row r="1521">
      <c r="A1521" s="21" t="inlineStr">
        <is>
          <t>CHEM-1110</t>
        </is>
      </c>
      <c r="B1521" s="21" t="inlineStr">
        <is>
          <t>Alumina Powder Mi-386</t>
        </is>
      </c>
      <c r="C1521" s="21" t="n"/>
      <c r="D1521" s="21" t="n"/>
      <c r="E1521" s="21" t="n"/>
      <c r="F1521" s="21" t="n"/>
      <c r="G1521" s="21" t="n"/>
      <c r="H1521" s="21" t="n"/>
      <c r="I1521" s="21" t="n"/>
      <c r="J1521" s="21" t="n"/>
      <c r="K1521" s="21" t="n"/>
      <c r="L1521" s="21" t="n"/>
      <c r="M1521" s="21" t="n"/>
      <c r="N1521" s="21" t="n"/>
      <c r="O1521" s="21" t="n"/>
      <c r="P1521" s="21" t="n"/>
      <c r="Q1521" s="21" t="n"/>
      <c r="R1521" s="21" t="n"/>
      <c r="S1521" s="21" t="n"/>
      <c r="T1521" s="21" t="n"/>
      <c r="U1521" s="21" t="n"/>
      <c r="V1521" s="21" t="n"/>
      <c r="W1521" s="21" t="n"/>
      <c r="X1521" s="21" t="n"/>
      <c r="Y1521" s="21" t="n"/>
      <c r="Z1521" s="21" t="n"/>
      <c r="AA1521" s="21" t="n"/>
      <c r="AB1521" s="21" t="n"/>
      <c r="AC1521" s="21" t="n"/>
      <c r="AD1521" s="21" t="n"/>
      <c r="AE1521" s="21" t="n"/>
      <c r="AF1521" s="21" t="n"/>
      <c r="AG1521" s="21" t="n"/>
      <c r="AH1521" s="21" t="n"/>
      <c r="AI1521" s="21" t="n"/>
      <c r="AJ1521" s="21" t="n"/>
      <c r="AK1521" s="21" t="n"/>
      <c r="AL1521" s="21" t="n"/>
      <c r="AM1521" s="21" t="n"/>
      <c r="AN1521" s="21" t="n"/>
      <c r="AO1521" s="21" t="n"/>
      <c r="AP1521" s="21" t="n"/>
      <c r="AQ1521" s="21" t="n"/>
      <c r="AR1521" s="21" t="n"/>
      <c r="AS1521" s="21" t="n"/>
      <c r="AT1521" s="21" t="n"/>
      <c r="AU1521" s="21" t="n"/>
      <c r="AV1521" s="21" t="n"/>
      <c r="AW1521" s="21" t="n"/>
      <c r="AX1521" s="21" t="n"/>
      <c r="AY1521" s="21" t="n"/>
      <c r="AZ1521" s="21" t="n"/>
      <c r="BA1521" s="21" t="n"/>
      <c r="BB1521" s="21" t="n"/>
      <c r="BC1521" s="21" t="n"/>
      <c r="BD1521" s="21" t="n"/>
      <c r="BE1521" s="21" t="n"/>
      <c r="BF1521" s="21" t="n"/>
      <c r="BG1521" s="21" t="n"/>
      <c r="BH1521" s="21" t="n"/>
      <c r="BI1521" s="21" t="n"/>
      <c r="BJ1521" s="21" t="n"/>
      <c r="BK1521" s="21" t="n"/>
      <c r="BL1521" s="21" t="n"/>
      <c r="BM1521" s="21" t="n"/>
      <c r="BN1521" s="21" t="n"/>
      <c r="BO1521" s="21" t="n"/>
      <c r="BP1521" s="21" t="n"/>
      <c r="BQ1521" s="21" t="n"/>
      <c r="BR1521" s="21" t="n"/>
      <c r="BS1521" s="21" t="n"/>
      <c r="BT1521" s="21" t="n"/>
      <c r="BU1521" s="21" t="n"/>
      <c r="BV1521" s="21" t="n"/>
      <c r="BW1521" s="21" t="n"/>
      <c r="BX1521" s="21" t="n"/>
      <c r="BY1521" s="21" t="n"/>
      <c r="BZ1521" s="21" t="n"/>
      <c r="CA1521" s="21" t="n"/>
      <c r="CB1521" s="21" t="n"/>
      <c r="CC1521" s="21" t="n"/>
      <c r="CD1521" s="21" t="n"/>
      <c r="CE1521" s="21" t="n"/>
      <c r="CF1521" s="21" t="n"/>
      <c r="CG1521" s="21" t="n"/>
      <c r="CH1521" s="21" t="n"/>
      <c r="CI1521" s="21" t="n"/>
      <c r="CJ1521" s="21" t="n"/>
      <c r="CK1521" s="21" t="n"/>
      <c r="CL1521" s="21" t="n"/>
      <c r="CM1521" s="21" t="n"/>
      <c r="CN1521" s="21" t="n"/>
      <c r="CO1521" s="21" t="n"/>
      <c r="CP1521" s="21" t="n"/>
      <c r="CQ1521" s="21" t="n"/>
      <c r="CR1521" s="21" t="n"/>
      <c r="CS1521" s="21" t="n"/>
      <c r="CT1521" s="21" t="n"/>
      <c r="CU1521" s="21" t="n"/>
      <c r="CV1521" s="21" t="n"/>
      <c r="CW1521" s="21" t="n"/>
      <c r="CX1521" s="21" t="n"/>
      <c r="CY1521" s="21" t="n"/>
      <c r="CZ1521" s="21" t="n"/>
      <c r="DA1521" s="21" t="n"/>
      <c r="DB1521" s="21" t="n"/>
      <c r="DC1521" s="21" t="n"/>
      <c r="DD1521" s="21" t="n"/>
    </row>
    <row r="1522">
      <c r="B1522" t="inlineStr">
        <is>
          <t>No of times used</t>
        </is>
      </c>
      <c r="C1522" t="inlineStr">
        <is>
          <t>No. of batches</t>
        </is>
      </c>
      <c r="D1522">
        <f>IFERROR(INDEX(E1522:DD1522,$F$1),"")</f>
        <v/>
      </c>
      <c r="E1522">
        <f>IFERROR(INDEX(PP_Grid[#Data],$DE1522,2),0)</f>
        <v/>
      </c>
      <c r="F1522">
        <f>IFERROR(INDEX(PP_Grid[#Data],$DE1522,3),0)</f>
        <v/>
      </c>
      <c r="G1522">
        <f>IFERROR(INDEX(PP_Grid[#Data],$DE1522,4),0)</f>
        <v/>
      </c>
      <c r="H1522">
        <f>IFERROR(INDEX(PP_Grid[#Data],$DE1522,5),0)</f>
        <v/>
      </c>
      <c r="I1522">
        <f>IFERROR(INDEX(PP_Grid[#Data],$DE1522,6),0)</f>
        <v/>
      </c>
      <c r="J1522">
        <f>IFERROR(INDEX(PP_Grid[#Data],$DE1522,7),0)</f>
        <v/>
      </c>
      <c r="K1522">
        <f>IFERROR(INDEX(PP_Grid[#Data],$DE1522,8),0)</f>
        <v/>
      </c>
      <c r="L1522">
        <f>IFERROR(INDEX(PP_Grid[#Data],$DE1522,9),0)</f>
        <v/>
      </c>
      <c r="M1522">
        <f>IFERROR(INDEX(PP_Grid[#Data],$DE1522,10),0)</f>
        <v/>
      </c>
      <c r="N1522">
        <f>IFERROR(INDEX(PP_Grid[#Data],$DE1522,11),0)</f>
        <v/>
      </c>
      <c r="O1522">
        <f>IFERROR(INDEX(PP_Grid[#Data],$DE1522,12),0)</f>
        <v/>
      </c>
      <c r="P1522">
        <f>IFERROR(INDEX(PP_Grid[#Data],$DE1522,13),0)</f>
        <v/>
      </c>
      <c r="Q1522">
        <f>IFERROR(INDEX(PP_Grid[#Data],$DE1522,14),0)</f>
        <v/>
      </c>
      <c r="R1522">
        <f>IFERROR(INDEX(PP_Grid[#Data],$DE1522,15),0)</f>
        <v/>
      </c>
      <c r="S1522">
        <f>IFERROR(INDEX(PP_Grid[#Data],$DE1522,16),0)</f>
        <v/>
      </c>
      <c r="T1522">
        <f>IFERROR(INDEX(PP_Grid[#Data],$DE1522,17),0)</f>
        <v/>
      </c>
      <c r="U1522">
        <f>IFERROR(INDEX(PP_Grid[#Data],$DE1522,18),0)</f>
        <v/>
      </c>
      <c r="V1522">
        <f>IFERROR(INDEX(PP_Grid[#Data],$DE1522,19),0)</f>
        <v/>
      </c>
      <c r="W1522">
        <f>IFERROR(INDEX(PP_Grid[#Data],$DE1522,20),0)</f>
        <v/>
      </c>
      <c r="X1522">
        <f>IFERROR(INDEX(PP_Grid[#Data],$DE1522,21),0)</f>
        <v/>
      </c>
      <c r="Y1522">
        <f>IFERROR(INDEX(PP_Grid[#Data],$DE1522,22),0)</f>
        <v/>
      </c>
      <c r="Z1522">
        <f>IFERROR(INDEX(PP_Grid[#Data],$DE1522,23),0)</f>
        <v/>
      </c>
      <c r="AA1522">
        <f>IFERROR(INDEX(PP_Grid[#Data],$DE1522,24),0)</f>
        <v/>
      </c>
      <c r="AB1522">
        <f>IFERROR(INDEX(PP_Grid[#Data],$DE1522,25),0)</f>
        <v/>
      </c>
      <c r="AC1522">
        <f>IFERROR(INDEX(PP_Grid[#Data],$DE1522,26),0)</f>
        <v/>
      </c>
      <c r="AD1522">
        <f>IFERROR(INDEX(PP_Grid[#Data],$DE1522,27),0)</f>
        <v/>
      </c>
      <c r="AE1522">
        <f>IFERROR(INDEX(PP_Grid[#Data],$DE1522,28),0)</f>
        <v/>
      </c>
      <c r="AF1522">
        <f>IFERROR(INDEX(PP_Grid[#Data],$DE1522,29),0)</f>
        <v/>
      </c>
      <c r="AG1522">
        <f>IFERROR(INDEX(PP_Grid[#Data],$DE1522,30),0)</f>
        <v/>
      </c>
      <c r="AH1522">
        <f>IFERROR(INDEX(PP_Grid[#Data],$DE1522,31),0)</f>
        <v/>
      </c>
      <c r="AI1522">
        <f>IFERROR(INDEX(PP_Grid[#Data],$DE1522,32),0)</f>
        <v/>
      </c>
      <c r="AJ1522">
        <f>IFERROR(INDEX(PP_Grid[#Data],$DE1522,33),0)</f>
        <v/>
      </c>
      <c r="AK1522">
        <f>IFERROR(INDEX(PP_Grid[#Data],$DE1522,34),0)</f>
        <v/>
      </c>
      <c r="AL1522">
        <f>IFERROR(INDEX(PP_Grid[#Data],$DE1522,35),0)</f>
        <v/>
      </c>
      <c r="AM1522">
        <f>IFERROR(INDEX(PP_Grid[#Data],$DE1522,36),0)</f>
        <v/>
      </c>
      <c r="AN1522">
        <f>IFERROR(INDEX(PP_Grid[#Data],$DE1522,37),0)</f>
        <v/>
      </c>
      <c r="AO1522">
        <f>IFERROR(INDEX(PP_Grid[#Data],$DE1522,38),0)</f>
        <v/>
      </c>
      <c r="AP1522">
        <f>IFERROR(INDEX(PP_Grid[#Data],$DE1522,39),0)</f>
        <v/>
      </c>
      <c r="AQ1522">
        <f>IFERROR(INDEX(PP_Grid[#Data],$DE1522,40),0)</f>
        <v/>
      </c>
      <c r="AR1522">
        <f>IFERROR(INDEX(PP_Grid[#Data],$DE1522,41),0)</f>
        <v/>
      </c>
      <c r="AS1522">
        <f>IFERROR(INDEX(PP_Grid[#Data],$DE1522,42),0)</f>
        <v/>
      </c>
      <c r="AT1522">
        <f>IFERROR(INDEX(PP_Grid[#Data],$DE1522,43),0)</f>
        <v/>
      </c>
      <c r="AU1522">
        <f>IFERROR(INDEX(PP_Grid[#Data],$DE1522,44),0)</f>
        <v/>
      </c>
      <c r="AV1522">
        <f>IFERROR(INDEX(PP_Grid[#Data],$DE1522,45),0)</f>
        <v/>
      </c>
      <c r="AW1522">
        <f>IFERROR(INDEX(PP_Grid[#Data],$DE1522,46),0)</f>
        <v/>
      </c>
      <c r="AX1522">
        <f>IFERROR(INDEX(PP_Grid[#Data],$DE1522,47),0)</f>
        <v/>
      </c>
      <c r="AY1522">
        <f>IFERROR(INDEX(PP_Grid[#Data],$DE1522,48),0)</f>
        <v/>
      </c>
      <c r="AZ1522">
        <f>IFERROR(INDEX(PP_Grid[#Data],$DE1522,49),0)</f>
        <v/>
      </c>
      <c r="BA1522">
        <f>IFERROR(INDEX(PP_Grid[#Data],$DE1522,50),0)</f>
        <v/>
      </c>
      <c r="BB1522">
        <f>IFERROR(INDEX(PP_Grid[#Data],$DE1522,51),0)</f>
        <v/>
      </c>
      <c r="BC1522">
        <f>IFERROR(INDEX(PP_Grid[#Data],$DE1522,52),0)</f>
        <v/>
      </c>
      <c r="BD1522">
        <f>IFERROR(INDEX(PP_Grid[#Data],$DE1522,53),0)</f>
        <v/>
      </c>
      <c r="BE1522">
        <f>IFERROR(INDEX(PP_Grid[#Data],$DE1522,54),0)</f>
        <v/>
      </c>
      <c r="BF1522">
        <f>IFERROR(INDEX(PP_Grid[#Data],$DE1522,55),0)</f>
        <v/>
      </c>
      <c r="BG1522">
        <f>IFERROR(INDEX(PP_Grid[#Data],$DE1522,56),0)</f>
        <v/>
      </c>
      <c r="BH1522">
        <f>IFERROR(INDEX(PP_Grid[#Data],$DE1522,57),0)</f>
        <v/>
      </c>
      <c r="BI1522">
        <f>IFERROR(INDEX(PP_Grid[#Data],$DE1522,58),0)</f>
        <v/>
      </c>
      <c r="BJ1522">
        <f>IFERROR(INDEX(PP_Grid[#Data],$DE1522,59),0)</f>
        <v/>
      </c>
      <c r="BK1522">
        <f>IFERROR(INDEX(PP_Grid[#Data],$DE1522,60),0)</f>
        <v/>
      </c>
      <c r="BL1522">
        <f>IFERROR(INDEX(PP_Grid[#Data],$DE1522,61),0)</f>
        <v/>
      </c>
      <c r="BM1522">
        <f>IFERROR(INDEX(PP_Grid[#Data],$DE1522,62),0)</f>
        <v/>
      </c>
      <c r="BN1522">
        <f>IFERROR(INDEX(PP_Grid[#Data],$DE1522,63),0)</f>
        <v/>
      </c>
      <c r="BO1522">
        <f>IFERROR(INDEX(PP_Grid[#Data],$DE1522,64),0)</f>
        <v/>
      </c>
      <c r="BP1522">
        <f>IFERROR(INDEX(PP_Grid[#Data],$DE1522,65),0)</f>
        <v/>
      </c>
      <c r="BQ1522">
        <f>IFERROR(INDEX(PP_Grid[#Data],$DE1522,66),0)</f>
        <v/>
      </c>
      <c r="BR1522">
        <f>IFERROR(INDEX(PP_Grid[#Data],$DE1522,67),0)</f>
        <v/>
      </c>
      <c r="BS1522">
        <f>IFERROR(INDEX(PP_Grid[#Data],$DE1522,68),0)</f>
        <v/>
      </c>
      <c r="BT1522">
        <f>IFERROR(INDEX(PP_Grid[#Data],$DE1522,69),0)</f>
        <v/>
      </c>
      <c r="BU1522">
        <f>IFERROR(INDEX(PP_Grid[#Data],$DE1522,70),0)</f>
        <v/>
      </c>
      <c r="BV1522">
        <f>IFERROR(INDEX(PP_Grid[#Data],$DE1522,71),0)</f>
        <v/>
      </c>
      <c r="BW1522">
        <f>IFERROR(INDEX(PP_Grid[#Data],$DE1522,72),0)</f>
        <v/>
      </c>
      <c r="BX1522">
        <f>IFERROR(INDEX(PP_Grid[#Data],$DE1522,73),0)</f>
        <v/>
      </c>
      <c r="BY1522">
        <f>IFERROR(INDEX(PP_Grid[#Data],$DE1522,74),0)</f>
        <v/>
      </c>
      <c r="BZ1522">
        <f>IFERROR(INDEX(PP_Grid[#Data],$DE1522,75),0)</f>
        <v/>
      </c>
      <c r="CA1522">
        <f>IFERROR(INDEX(PP_Grid[#Data],$DE1522,76),0)</f>
        <v/>
      </c>
      <c r="CB1522">
        <f>IFERROR(INDEX(PP_Grid[#Data],$DE1522,77),0)</f>
        <v/>
      </c>
      <c r="CC1522">
        <f>IFERROR(INDEX(PP_Grid[#Data],$DE1522,78),0)</f>
        <v/>
      </c>
      <c r="CD1522">
        <f>IFERROR(INDEX(PP_Grid[#Data],$DE1522,79),0)</f>
        <v/>
      </c>
      <c r="CE1522">
        <f>IFERROR(INDEX(PP_Grid[#Data],$DE1522,80),0)</f>
        <v/>
      </c>
      <c r="CF1522">
        <f>IFERROR(INDEX(PP_Grid[#Data],$DE1522,81),0)</f>
        <v/>
      </c>
      <c r="CG1522">
        <f>IFERROR(INDEX(PP_Grid[#Data],$DE1522,82),0)</f>
        <v/>
      </c>
      <c r="CH1522">
        <f>IFERROR(INDEX(PP_Grid[#Data],$DE1522,83),0)</f>
        <v/>
      </c>
      <c r="CI1522">
        <f>IFERROR(INDEX(PP_Grid[#Data],$DE1522,84),0)</f>
        <v/>
      </c>
      <c r="CJ1522">
        <f>IFERROR(INDEX(PP_Grid[#Data],$DE1522,85),0)</f>
        <v/>
      </c>
      <c r="CK1522">
        <f>IFERROR(INDEX(PP_Grid[#Data],$DE1522,86),0)</f>
        <v/>
      </c>
      <c r="CL1522">
        <f>IFERROR(INDEX(PP_Grid[#Data],$DE1522,87),0)</f>
        <v/>
      </c>
      <c r="CM1522">
        <f>IFERROR(INDEX(PP_Grid[#Data],$DE1522,88),0)</f>
        <v/>
      </c>
      <c r="CN1522">
        <f>IFERROR(INDEX(PP_Grid[#Data],$DE1522,89),0)</f>
        <v/>
      </c>
      <c r="CO1522">
        <f>IFERROR(INDEX(PP_Grid[#Data],$DE1522,90),0)</f>
        <v/>
      </c>
      <c r="CP1522">
        <f>IFERROR(INDEX(PP_Grid[#Data],$DE1522,91),0)</f>
        <v/>
      </c>
      <c r="CQ1522">
        <f>IFERROR(INDEX(PP_Grid[#Data],$DE1522,92),0)</f>
        <v/>
      </c>
      <c r="CR1522">
        <f>IFERROR(INDEX(PP_Grid[#Data],$DE1522,93),0)</f>
        <v/>
      </c>
      <c r="CS1522">
        <f>IFERROR(INDEX(PP_Grid[#Data],$DE1522,94),0)</f>
        <v/>
      </c>
      <c r="CT1522">
        <f>IFERROR(INDEX(PP_Grid[#Data],$DE1522,95),0)</f>
        <v/>
      </c>
      <c r="CU1522">
        <f>IFERROR(INDEX(PP_Grid[#Data],$DE1522,96),0)</f>
        <v/>
      </c>
      <c r="CV1522">
        <f>IFERROR(INDEX(PP_Grid[#Data],$DE1522,97),0)</f>
        <v/>
      </c>
      <c r="CW1522">
        <f>IFERROR(INDEX(PP_Grid[#Data],$DE1522,98),0)</f>
        <v/>
      </c>
      <c r="CX1522">
        <f>IFERROR(INDEX(PP_Grid[#Data],$DE1522,99),0)</f>
        <v/>
      </c>
      <c r="CY1522">
        <f>IFERROR(INDEX(PP_Grid[#Data],$DE1522,100),0)</f>
        <v/>
      </c>
      <c r="CZ1522">
        <f>IFERROR(INDEX(PP_Grid[#Data],$DE1522,101),0)</f>
        <v/>
      </c>
      <c r="DA1522">
        <f>IFERROR(INDEX(PP_Grid[#Data],$DE1522,102),0)</f>
        <v/>
      </c>
      <c r="DB1522">
        <f>IFERROR(INDEX(PP_Grid[#Data],$DE1522,103),0)</f>
        <v/>
      </c>
      <c r="DC1522">
        <f>IFERROR(INDEX(PP_Grid[#Data],$DE1522,104),0)</f>
        <v/>
      </c>
      <c r="DD1522">
        <f>IFERROR(INDEX(PP_Grid[#Data],$DE1522,105),0)</f>
        <v/>
      </c>
      <c r="DE1522" s="7">
        <f>IFERROR(MATCH($B1522,PP_Grid[Intermediate],0),99999)</f>
        <v/>
      </c>
    </row>
    <row r="1523">
      <c r="B1523" t="inlineStr">
        <is>
          <t>使用量(kg)</t>
        </is>
      </c>
      <c r="C1523">
        <f>SUMIFS(M_BOM[RM_Qty_Per_Batch],M_BOM[Intermediate],$B1522,M_BOM[RM_Code],$A1521)</f>
        <v/>
      </c>
      <c r="D1523">
        <f>IFERROR(INDEX(E1523:DD1523,$F$1),"")</f>
        <v/>
      </c>
      <c r="E1523">
        <f>$C1523*E1522</f>
        <v/>
      </c>
      <c r="F1523">
        <f>$C1523*F1522</f>
        <v/>
      </c>
      <c r="G1523">
        <f>$C1523*G1522</f>
        <v/>
      </c>
      <c r="H1523">
        <f>$C1523*H1522</f>
        <v/>
      </c>
      <c r="I1523">
        <f>$C1523*I1522</f>
        <v/>
      </c>
      <c r="J1523">
        <f>$C1523*J1522</f>
        <v/>
      </c>
      <c r="K1523">
        <f>$C1523*K1522</f>
        <v/>
      </c>
      <c r="L1523">
        <f>$C1523*L1522</f>
        <v/>
      </c>
      <c r="M1523">
        <f>$C1523*M1522</f>
        <v/>
      </c>
      <c r="N1523">
        <f>$C1523*N1522</f>
        <v/>
      </c>
      <c r="O1523">
        <f>$C1523*O1522</f>
        <v/>
      </c>
      <c r="P1523">
        <f>$C1523*P1522</f>
        <v/>
      </c>
      <c r="Q1523">
        <f>$C1523*Q1522</f>
        <v/>
      </c>
      <c r="R1523">
        <f>$C1523*R1522</f>
        <v/>
      </c>
      <c r="S1523">
        <f>$C1523*S1522</f>
        <v/>
      </c>
      <c r="T1523">
        <f>$C1523*T1522</f>
        <v/>
      </c>
      <c r="U1523">
        <f>$C1523*U1522</f>
        <v/>
      </c>
      <c r="V1523">
        <f>$C1523*V1522</f>
        <v/>
      </c>
      <c r="W1523">
        <f>$C1523*W1522</f>
        <v/>
      </c>
      <c r="X1523">
        <f>$C1523*X1522</f>
        <v/>
      </c>
      <c r="Y1523">
        <f>$C1523*Y1522</f>
        <v/>
      </c>
      <c r="Z1523">
        <f>$C1523*Z1522</f>
        <v/>
      </c>
      <c r="AA1523">
        <f>$C1523*AA1522</f>
        <v/>
      </c>
      <c r="AB1523">
        <f>$C1523*AB1522</f>
        <v/>
      </c>
      <c r="AC1523">
        <f>$C1523*AC1522</f>
        <v/>
      </c>
      <c r="AD1523">
        <f>$C1523*AD1522</f>
        <v/>
      </c>
      <c r="AE1523">
        <f>$C1523*AE1522</f>
        <v/>
      </c>
      <c r="AF1523">
        <f>$C1523*AF1522</f>
        <v/>
      </c>
      <c r="AG1523">
        <f>$C1523*AG1522</f>
        <v/>
      </c>
      <c r="AH1523">
        <f>$C1523*AH1522</f>
        <v/>
      </c>
      <c r="AI1523">
        <f>$C1523*AI1522</f>
        <v/>
      </c>
      <c r="AJ1523">
        <f>$C1523*AJ1522</f>
        <v/>
      </c>
      <c r="AK1523">
        <f>$C1523*AK1522</f>
        <v/>
      </c>
      <c r="AL1523">
        <f>$C1523*AL1522</f>
        <v/>
      </c>
      <c r="AM1523">
        <f>$C1523*AM1522</f>
        <v/>
      </c>
      <c r="AN1523">
        <f>$C1523*AN1522</f>
        <v/>
      </c>
      <c r="AO1523">
        <f>$C1523*AO1522</f>
        <v/>
      </c>
      <c r="AP1523">
        <f>$C1523*AP1522</f>
        <v/>
      </c>
      <c r="AQ1523">
        <f>$C1523*AQ1522</f>
        <v/>
      </c>
      <c r="AR1523">
        <f>$C1523*AR1522</f>
        <v/>
      </c>
      <c r="AS1523">
        <f>$C1523*AS1522</f>
        <v/>
      </c>
      <c r="AT1523">
        <f>$C1523*AT1522</f>
        <v/>
      </c>
      <c r="AU1523">
        <f>$C1523*AU1522</f>
        <v/>
      </c>
      <c r="AV1523">
        <f>$C1523*AV1522</f>
        <v/>
      </c>
      <c r="AW1523">
        <f>$C1523*AW1522</f>
        <v/>
      </c>
      <c r="AX1523">
        <f>$C1523*AX1522</f>
        <v/>
      </c>
      <c r="AY1523">
        <f>$C1523*AY1522</f>
        <v/>
      </c>
      <c r="AZ1523">
        <f>$C1523*AZ1522</f>
        <v/>
      </c>
      <c r="BA1523">
        <f>$C1523*BA1522</f>
        <v/>
      </c>
      <c r="BB1523">
        <f>$C1523*BB1522</f>
        <v/>
      </c>
      <c r="BC1523">
        <f>$C1523*BC1522</f>
        <v/>
      </c>
      <c r="BD1523">
        <f>$C1523*BD1522</f>
        <v/>
      </c>
      <c r="BE1523">
        <f>$C1523*BE1522</f>
        <v/>
      </c>
      <c r="BF1523">
        <f>$C1523*BF1522</f>
        <v/>
      </c>
      <c r="BG1523">
        <f>$C1523*BG1522</f>
        <v/>
      </c>
      <c r="BH1523">
        <f>$C1523*BH1522</f>
        <v/>
      </c>
      <c r="BI1523">
        <f>$C1523*BI1522</f>
        <v/>
      </c>
      <c r="BJ1523">
        <f>$C1523*BJ1522</f>
        <v/>
      </c>
      <c r="BK1523">
        <f>$C1523*BK1522</f>
        <v/>
      </c>
      <c r="BL1523">
        <f>$C1523*BL1522</f>
        <v/>
      </c>
      <c r="BM1523">
        <f>$C1523*BM1522</f>
        <v/>
      </c>
      <c r="BN1523">
        <f>$C1523*BN1522</f>
        <v/>
      </c>
      <c r="BO1523">
        <f>$C1523*BO1522</f>
        <v/>
      </c>
      <c r="BP1523">
        <f>$C1523*BP1522</f>
        <v/>
      </c>
      <c r="BQ1523">
        <f>$C1523*BQ1522</f>
        <v/>
      </c>
      <c r="BR1523">
        <f>$C1523*BR1522</f>
        <v/>
      </c>
      <c r="BS1523">
        <f>$C1523*BS1522</f>
        <v/>
      </c>
      <c r="BT1523">
        <f>$C1523*BT1522</f>
        <v/>
      </c>
      <c r="BU1523">
        <f>$C1523*BU1522</f>
        <v/>
      </c>
      <c r="BV1523">
        <f>$C1523*BV1522</f>
        <v/>
      </c>
      <c r="BW1523">
        <f>$C1523*BW1522</f>
        <v/>
      </c>
      <c r="BX1523">
        <f>$C1523*BX1522</f>
        <v/>
      </c>
      <c r="BY1523">
        <f>$C1523*BY1522</f>
        <v/>
      </c>
      <c r="BZ1523">
        <f>$C1523*BZ1522</f>
        <v/>
      </c>
      <c r="CA1523">
        <f>$C1523*CA1522</f>
        <v/>
      </c>
      <c r="CB1523">
        <f>$C1523*CB1522</f>
        <v/>
      </c>
      <c r="CC1523">
        <f>$C1523*CC1522</f>
        <v/>
      </c>
      <c r="CD1523">
        <f>$C1523*CD1522</f>
        <v/>
      </c>
      <c r="CE1523">
        <f>$C1523*CE1522</f>
        <v/>
      </c>
      <c r="CF1523">
        <f>$C1523*CF1522</f>
        <v/>
      </c>
      <c r="CG1523">
        <f>$C1523*CG1522</f>
        <v/>
      </c>
      <c r="CH1523">
        <f>$C1523*CH1522</f>
        <v/>
      </c>
      <c r="CI1523">
        <f>$C1523*CI1522</f>
        <v/>
      </c>
      <c r="CJ1523">
        <f>$C1523*CJ1522</f>
        <v/>
      </c>
      <c r="CK1523">
        <f>$C1523*CK1522</f>
        <v/>
      </c>
      <c r="CL1523">
        <f>$C1523*CL1522</f>
        <v/>
      </c>
      <c r="CM1523">
        <f>$C1523*CM1522</f>
        <v/>
      </c>
      <c r="CN1523">
        <f>$C1523*CN1522</f>
        <v/>
      </c>
      <c r="CO1523">
        <f>$C1523*CO1522</f>
        <v/>
      </c>
      <c r="CP1523">
        <f>$C1523*CP1522</f>
        <v/>
      </c>
      <c r="CQ1523">
        <f>$C1523*CQ1522</f>
        <v/>
      </c>
      <c r="CR1523">
        <f>$C1523*CR1522</f>
        <v/>
      </c>
      <c r="CS1523">
        <f>$C1523*CS1522</f>
        <v/>
      </c>
      <c r="CT1523">
        <f>$C1523*CT1522</f>
        <v/>
      </c>
      <c r="CU1523">
        <f>$C1523*CU1522</f>
        <v/>
      </c>
      <c r="CV1523">
        <f>$C1523*CV1522</f>
        <v/>
      </c>
      <c r="CW1523">
        <f>$C1523*CW1522</f>
        <v/>
      </c>
      <c r="CX1523">
        <f>$C1523*CX1522</f>
        <v/>
      </c>
      <c r="CY1523">
        <f>$C1523*CY1522</f>
        <v/>
      </c>
      <c r="CZ1523">
        <f>$C1523*CZ1522</f>
        <v/>
      </c>
      <c r="DA1523">
        <f>$C1523*DA1522</f>
        <v/>
      </c>
      <c r="DB1523">
        <f>$C1523*DB1522</f>
        <v/>
      </c>
      <c r="DC1523">
        <f>$C1523*DC1522</f>
        <v/>
      </c>
      <c r="DD1523">
        <f>$C1523*DD1522</f>
        <v/>
      </c>
    </row>
    <row r="1524">
      <c r="B1524" t="inlineStr">
        <is>
          <t>TPP-103</t>
        </is>
      </c>
      <c r="C1524" t="inlineStr">
        <is>
          <t>No. of batches</t>
        </is>
      </c>
      <c r="D1524">
        <f>IFERROR(INDEX(E1524:DD1524,$F$1),"")</f>
        <v/>
      </c>
      <c r="E1524">
        <f>IFERROR(INDEX(PP_Grid[#Data],$DE1524,2),0)</f>
        <v/>
      </c>
      <c r="F1524">
        <f>IFERROR(INDEX(PP_Grid[#Data],$DE1524,3),0)</f>
        <v/>
      </c>
      <c r="G1524">
        <f>IFERROR(INDEX(PP_Grid[#Data],$DE1524,4),0)</f>
        <v/>
      </c>
      <c r="H1524">
        <f>IFERROR(INDEX(PP_Grid[#Data],$DE1524,5),0)</f>
        <v/>
      </c>
      <c r="I1524">
        <f>IFERROR(INDEX(PP_Grid[#Data],$DE1524,6),0)</f>
        <v/>
      </c>
      <c r="J1524">
        <f>IFERROR(INDEX(PP_Grid[#Data],$DE1524,7),0)</f>
        <v/>
      </c>
      <c r="K1524">
        <f>IFERROR(INDEX(PP_Grid[#Data],$DE1524,8),0)</f>
        <v/>
      </c>
      <c r="L1524">
        <f>IFERROR(INDEX(PP_Grid[#Data],$DE1524,9),0)</f>
        <v/>
      </c>
      <c r="M1524">
        <f>IFERROR(INDEX(PP_Grid[#Data],$DE1524,10),0)</f>
        <v/>
      </c>
      <c r="N1524">
        <f>IFERROR(INDEX(PP_Grid[#Data],$DE1524,11),0)</f>
        <v/>
      </c>
      <c r="O1524">
        <f>IFERROR(INDEX(PP_Grid[#Data],$DE1524,12),0)</f>
        <v/>
      </c>
      <c r="P1524">
        <f>IFERROR(INDEX(PP_Grid[#Data],$DE1524,13),0)</f>
        <v/>
      </c>
      <c r="Q1524">
        <f>IFERROR(INDEX(PP_Grid[#Data],$DE1524,14),0)</f>
        <v/>
      </c>
      <c r="R1524">
        <f>IFERROR(INDEX(PP_Grid[#Data],$DE1524,15),0)</f>
        <v/>
      </c>
      <c r="S1524">
        <f>IFERROR(INDEX(PP_Grid[#Data],$DE1524,16),0)</f>
        <v/>
      </c>
      <c r="T1524">
        <f>IFERROR(INDEX(PP_Grid[#Data],$DE1524,17),0)</f>
        <v/>
      </c>
      <c r="U1524">
        <f>IFERROR(INDEX(PP_Grid[#Data],$DE1524,18),0)</f>
        <v/>
      </c>
      <c r="V1524">
        <f>IFERROR(INDEX(PP_Grid[#Data],$DE1524,19),0)</f>
        <v/>
      </c>
      <c r="W1524">
        <f>IFERROR(INDEX(PP_Grid[#Data],$DE1524,20),0)</f>
        <v/>
      </c>
      <c r="X1524">
        <f>IFERROR(INDEX(PP_Grid[#Data],$DE1524,21),0)</f>
        <v/>
      </c>
      <c r="Y1524">
        <f>IFERROR(INDEX(PP_Grid[#Data],$DE1524,22),0)</f>
        <v/>
      </c>
      <c r="Z1524">
        <f>IFERROR(INDEX(PP_Grid[#Data],$DE1524,23),0)</f>
        <v/>
      </c>
      <c r="AA1524">
        <f>IFERROR(INDEX(PP_Grid[#Data],$DE1524,24),0)</f>
        <v/>
      </c>
      <c r="AB1524">
        <f>IFERROR(INDEX(PP_Grid[#Data],$DE1524,25),0)</f>
        <v/>
      </c>
      <c r="AC1524">
        <f>IFERROR(INDEX(PP_Grid[#Data],$DE1524,26),0)</f>
        <v/>
      </c>
      <c r="AD1524">
        <f>IFERROR(INDEX(PP_Grid[#Data],$DE1524,27),0)</f>
        <v/>
      </c>
      <c r="AE1524">
        <f>IFERROR(INDEX(PP_Grid[#Data],$DE1524,28),0)</f>
        <v/>
      </c>
      <c r="AF1524">
        <f>IFERROR(INDEX(PP_Grid[#Data],$DE1524,29),0)</f>
        <v/>
      </c>
      <c r="AG1524">
        <f>IFERROR(INDEX(PP_Grid[#Data],$DE1524,30),0)</f>
        <v/>
      </c>
      <c r="AH1524">
        <f>IFERROR(INDEX(PP_Grid[#Data],$DE1524,31),0)</f>
        <v/>
      </c>
      <c r="AI1524">
        <f>IFERROR(INDEX(PP_Grid[#Data],$DE1524,32),0)</f>
        <v/>
      </c>
      <c r="AJ1524">
        <f>IFERROR(INDEX(PP_Grid[#Data],$DE1524,33),0)</f>
        <v/>
      </c>
      <c r="AK1524">
        <f>IFERROR(INDEX(PP_Grid[#Data],$DE1524,34),0)</f>
        <v/>
      </c>
      <c r="AL1524">
        <f>IFERROR(INDEX(PP_Grid[#Data],$DE1524,35),0)</f>
        <v/>
      </c>
      <c r="AM1524">
        <f>IFERROR(INDEX(PP_Grid[#Data],$DE1524,36),0)</f>
        <v/>
      </c>
      <c r="AN1524">
        <f>IFERROR(INDEX(PP_Grid[#Data],$DE1524,37),0)</f>
        <v/>
      </c>
      <c r="AO1524">
        <f>IFERROR(INDEX(PP_Grid[#Data],$DE1524,38),0)</f>
        <v/>
      </c>
      <c r="AP1524">
        <f>IFERROR(INDEX(PP_Grid[#Data],$DE1524,39),0)</f>
        <v/>
      </c>
      <c r="AQ1524">
        <f>IFERROR(INDEX(PP_Grid[#Data],$DE1524,40),0)</f>
        <v/>
      </c>
      <c r="AR1524">
        <f>IFERROR(INDEX(PP_Grid[#Data],$DE1524,41),0)</f>
        <v/>
      </c>
      <c r="AS1524">
        <f>IFERROR(INDEX(PP_Grid[#Data],$DE1524,42),0)</f>
        <v/>
      </c>
      <c r="AT1524">
        <f>IFERROR(INDEX(PP_Grid[#Data],$DE1524,43),0)</f>
        <v/>
      </c>
      <c r="AU1524">
        <f>IFERROR(INDEX(PP_Grid[#Data],$DE1524,44),0)</f>
        <v/>
      </c>
      <c r="AV1524">
        <f>IFERROR(INDEX(PP_Grid[#Data],$DE1524,45),0)</f>
        <v/>
      </c>
      <c r="AW1524">
        <f>IFERROR(INDEX(PP_Grid[#Data],$DE1524,46),0)</f>
        <v/>
      </c>
      <c r="AX1524">
        <f>IFERROR(INDEX(PP_Grid[#Data],$DE1524,47),0)</f>
        <v/>
      </c>
      <c r="AY1524">
        <f>IFERROR(INDEX(PP_Grid[#Data],$DE1524,48),0)</f>
        <v/>
      </c>
      <c r="AZ1524">
        <f>IFERROR(INDEX(PP_Grid[#Data],$DE1524,49),0)</f>
        <v/>
      </c>
      <c r="BA1524">
        <f>IFERROR(INDEX(PP_Grid[#Data],$DE1524,50),0)</f>
        <v/>
      </c>
      <c r="BB1524">
        <f>IFERROR(INDEX(PP_Grid[#Data],$DE1524,51),0)</f>
        <v/>
      </c>
      <c r="BC1524">
        <f>IFERROR(INDEX(PP_Grid[#Data],$DE1524,52),0)</f>
        <v/>
      </c>
      <c r="BD1524">
        <f>IFERROR(INDEX(PP_Grid[#Data],$DE1524,53),0)</f>
        <v/>
      </c>
      <c r="BE1524">
        <f>IFERROR(INDEX(PP_Grid[#Data],$DE1524,54),0)</f>
        <v/>
      </c>
      <c r="BF1524">
        <f>IFERROR(INDEX(PP_Grid[#Data],$DE1524,55),0)</f>
        <v/>
      </c>
      <c r="BG1524">
        <f>IFERROR(INDEX(PP_Grid[#Data],$DE1524,56),0)</f>
        <v/>
      </c>
      <c r="BH1524">
        <f>IFERROR(INDEX(PP_Grid[#Data],$DE1524,57),0)</f>
        <v/>
      </c>
      <c r="BI1524">
        <f>IFERROR(INDEX(PP_Grid[#Data],$DE1524,58),0)</f>
        <v/>
      </c>
      <c r="BJ1524">
        <f>IFERROR(INDEX(PP_Grid[#Data],$DE1524,59),0)</f>
        <v/>
      </c>
      <c r="BK1524">
        <f>IFERROR(INDEX(PP_Grid[#Data],$DE1524,60),0)</f>
        <v/>
      </c>
      <c r="BL1524">
        <f>IFERROR(INDEX(PP_Grid[#Data],$DE1524,61),0)</f>
        <v/>
      </c>
      <c r="BM1524">
        <f>IFERROR(INDEX(PP_Grid[#Data],$DE1524,62),0)</f>
        <v/>
      </c>
      <c r="BN1524">
        <f>IFERROR(INDEX(PP_Grid[#Data],$DE1524,63),0)</f>
        <v/>
      </c>
      <c r="BO1524">
        <f>IFERROR(INDEX(PP_Grid[#Data],$DE1524,64),0)</f>
        <v/>
      </c>
      <c r="BP1524">
        <f>IFERROR(INDEX(PP_Grid[#Data],$DE1524,65),0)</f>
        <v/>
      </c>
      <c r="BQ1524">
        <f>IFERROR(INDEX(PP_Grid[#Data],$DE1524,66),0)</f>
        <v/>
      </c>
      <c r="BR1524">
        <f>IFERROR(INDEX(PP_Grid[#Data],$DE1524,67),0)</f>
        <v/>
      </c>
      <c r="BS1524">
        <f>IFERROR(INDEX(PP_Grid[#Data],$DE1524,68),0)</f>
        <v/>
      </c>
      <c r="BT1524">
        <f>IFERROR(INDEX(PP_Grid[#Data],$DE1524,69),0)</f>
        <v/>
      </c>
      <c r="BU1524">
        <f>IFERROR(INDEX(PP_Grid[#Data],$DE1524,70),0)</f>
        <v/>
      </c>
      <c r="BV1524">
        <f>IFERROR(INDEX(PP_Grid[#Data],$DE1524,71),0)</f>
        <v/>
      </c>
      <c r="BW1524">
        <f>IFERROR(INDEX(PP_Grid[#Data],$DE1524,72),0)</f>
        <v/>
      </c>
      <c r="BX1524">
        <f>IFERROR(INDEX(PP_Grid[#Data],$DE1524,73),0)</f>
        <v/>
      </c>
      <c r="BY1524">
        <f>IFERROR(INDEX(PP_Grid[#Data],$DE1524,74),0)</f>
        <v/>
      </c>
      <c r="BZ1524">
        <f>IFERROR(INDEX(PP_Grid[#Data],$DE1524,75),0)</f>
        <v/>
      </c>
      <c r="CA1524">
        <f>IFERROR(INDEX(PP_Grid[#Data],$DE1524,76),0)</f>
        <v/>
      </c>
      <c r="CB1524">
        <f>IFERROR(INDEX(PP_Grid[#Data],$DE1524,77),0)</f>
        <v/>
      </c>
      <c r="CC1524">
        <f>IFERROR(INDEX(PP_Grid[#Data],$DE1524,78),0)</f>
        <v/>
      </c>
      <c r="CD1524">
        <f>IFERROR(INDEX(PP_Grid[#Data],$DE1524,79),0)</f>
        <v/>
      </c>
      <c r="CE1524">
        <f>IFERROR(INDEX(PP_Grid[#Data],$DE1524,80),0)</f>
        <v/>
      </c>
      <c r="CF1524">
        <f>IFERROR(INDEX(PP_Grid[#Data],$DE1524,81),0)</f>
        <v/>
      </c>
      <c r="CG1524">
        <f>IFERROR(INDEX(PP_Grid[#Data],$DE1524,82),0)</f>
        <v/>
      </c>
      <c r="CH1524">
        <f>IFERROR(INDEX(PP_Grid[#Data],$DE1524,83),0)</f>
        <v/>
      </c>
      <c r="CI1524">
        <f>IFERROR(INDEX(PP_Grid[#Data],$DE1524,84),0)</f>
        <v/>
      </c>
      <c r="CJ1524">
        <f>IFERROR(INDEX(PP_Grid[#Data],$DE1524,85),0)</f>
        <v/>
      </c>
      <c r="CK1524">
        <f>IFERROR(INDEX(PP_Grid[#Data],$DE1524,86),0)</f>
        <v/>
      </c>
      <c r="CL1524">
        <f>IFERROR(INDEX(PP_Grid[#Data],$DE1524,87),0)</f>
        <v/>
      </c>
      <c r="CM1524">
        <f>IFERROR(INDEX(PP_Grid[#Data],$DE1524,88),0)</f>
        <v/>
      </c>
      <c r="CN1524">
        <f>IFERROR(INDEX(PP_Grid[#Data],$DE1524,89),0)</f>
        <v/>
      </c>
      <c r="CO1524">
        <f>IFERROR(INDEX(PP_Grid[#Data],$DE1524,90),0)</f>
        <v/>
      </c>
      <c r="CP1524">
        <f>IFERROR(INDEX(PP_Grid[#Data],$DE1524,91),0)</f>
        <v/>
      </c>
      <c r="CQ1524">
        <f>IFERROR(INDEX(PP_Grid[#Data],$DE1524,92),0)</f>
        <v/>
      </c>
      <c r="CR1524">
        <f>IFERROR(INDEX(PP_Grid[#Data],$DE1524,93),0)</f>
        <v/>
      </c>
      <c r="CS1524">
        <f>IFERROR(INDEX(PP_Grid[#Data],$DE1524,94),0)</f>
        <v/>
      </c>
      <c r="CT1524">
        <f>IFERROR(INDEX(PP_Grid[#Data],$DE1524,95),0)</f>
        <v/>
      </c>
      <c r="CU1524">
        <f>IFERROR(INDEX(PP_Grid[#Data],$DE1524,96),0)</f>
        <v/>
      </c>
      <c r="CV1524">
        <f>IFERROR(INDEX(PP_Grid[#Data],$DE1524,97),0)</f>
        <v/>
      </c>
      <c r="CW1524">
        <f>IFERROR(INDEX(PP_Grid[#Data],$DE1524,98),0)</f>
        <v/>
      </c>
      <c r="CX1524">
        <f>IFERROR(INDEX(PP_Grid[#Data],$DE1524,99),0)</f>
        <v/>
      </c>
      <c r="CY1524">
        <f>IFERROR(INDEX(PP_Grid[#Data],$DE1524,100),0)</f>
        <v/>
      </c>
      <c r="CZ1524">
        <f>IFERROR(INDEX(PP_Grid[#Data],$DE1524,101),0)</f>
        <v/>
      </c>
      <c r="DA1524">
        <f>IFERROR(INDEX(PP_Grid[#Data],$DE1524,102),0)</f>
        <v/>
      </c>
      <c r="DB1524">
        <f>IFERROR(INDEX(PP_Grid[#Data],$DE1524,103),0)</f>
        <v/>
      </c>
      <c r="DC1524">
        <f>IFERROR(INDEX(PP_Grid[#Data],$DE1524,104),0)</f>
        <v/>
      </c>
      <c r="DD1524">
        <f>IFERROR(INDEX(PP_Grid[#Data],$DE1524,105),0)</f>
        <v/>
      </c>
      <c r="DE1524" s="7">
        <f>IFERROR(MATCH($B1524,PP_Grid[Intermediate],0),99999)</f>
        <v/>
      </c>
    </row>
    <row r="1525">
      <c r="B1525" t="inlineStr">
        <is>
          <t>使用量(kg)</t>
        </is>
      </c>
      <c r="C1525">
        <f>SUMIFS(M_BOM[RM_Qty_Per_Batch],M_BOM[Intermediate],$B1524,M_BOM[RM_Code],$A1521)</f>
        <v/>
      </c>
      <c r="D1525">
        <f>IFERROR(INDEX(E1525:DD1525,$F$1),"")</f>
        <v/>
      </c>
      <c r="E1525">
        <f>$C1525*E1524</f>
        <v/>
      </c>
      <c r="F1525">
        <f>$C1525*F1524</f>
        <v/>
      </c>
      <c r="G1525">
        <f>$C1525*G1524</f>
        <v/>
      </c>
      <c r="H1525">
        <f>$C1525*H1524</f>
        <v/>
      </c>
      <c r="I1525">
        <f>$C1525*I1524</f>
        <v/>
      </c>
      <c r="J1525">
        <f>$C1525*J1524</f>
        <v/>
      </c>
      <c r="K1525">
        <f>$C1525*K1524</f>
        <v/>
      </c>
      <c r="L1525">
        <f>$C1525*L1524</f>
        <v/>
      </c>
      <c r="M1525">
        <f>$C1525*M1524</f>
        <v/>
      </c>
      <c r="N1525">
        <f>$C1525*N1524</f>
        <v/>
      </c>
      <c r="O1525">
        <f>$C1525*O1524</f>
        <v/>
      </c>
      <c r="P1525">
        <f>$C1525*P1524</f>
        <v/>
      </c>
      <c r="Q1525">
        <f>$C1525*Q1524</f>
        <v/>
      </c>
      <c r="R1525">
        <f>$C1525*R1524</f>
        <v/>
      </c>
      <c r="S1525">
        <f>$C1525*S1524</f>
        <v/>
      </c>
      <c r="T1525">
        <f>$C1525*T1524</f>
        <v/>
      </c>
      <c r="U1525">
        <f>$C1525*U1524</f>
        <v/>
      </c>
      <c r="V1525">
        <f>$C1525*V1524</f>
        <v/>
      </c>
      <c r="W1525">
        <f>$C1525*W1524</f>
        <v/>
      </c>
      <c r="X1525">
        <f>$C1525*X1524</f>
        <v/>
      </c>
      <c r="Y1525">
        <f>$C1525*Y1524</f>
        <v/>
      </c>
      <c r="Z1525">
        <f>$C1525*Z1524</f>
        <v/>
      </c>
      <c r="AA1525">
        <f>$C1525*AA1524</f>
        <v/>
      </c>
      <c r="AB1525">
        <f>$C1525*AB1524</f>
        <v/>
      </c>
      <c r="AC1525">
        <f>$C1525*AC1524</f>
        <v/>
      </c>
      <c r="AD1525">
        <f>$C1525*AD1524</f>
        <v/>
      </c>
      <c r="AE1525">
        <f>$C1525*AE1524</f>
        <v/>
      </c>
      <c r="AF1525">
        <f>$C1525*AF1524</f>
        <v/>
      </c>
      <c r="AG1525">
        <f>$C1525*AG1524</f>
        <v/>
      </c>
      <c r="AH1525">
        <f>$C1525*AH1524</f>
        <v/>
      </c>
      <c r="AI1525">
        <f>$C1525*AI1524</f>
        <v/>
      </c>
      <c r="AJ1525">
        <f>$C1525*AJ1524</f>
        <v/>
      </c>
      <c r="AK1525">
        <f>$C1525*AK1524</f>
        <v/>
      </c>
      <c r="AL1525">
        <f>$C1525*AL1524</f>
        <v/>
      </c>
      <c r="AM1525">
        <f>$C1525*AM1524</f>
        <v/>
      </c>
      <c r="AN1525">
        <f>$C1525*AN1524</f>
        <v/>
      </c>
      <c r="AO1525">
        <f>$C1525*AO1524</f>
        <v/>
      </c>
      <c r="AP1525">
        <f>$C1525*AP1524</f>
        <v/>
      </c>
      <c r="AQ1525">
        <f>$C1525*AQ1524</f>
        <v/>
      </c>
      <c r="AR1525">
        <f>$C1525*AR1524</f>
        <v/>
      </c>
      <c r="AS1525">
        <f>$C1525*AS1524</f>
        <v/>
      </c>
      <c r="AT1525">
        <f>$C1525*AT1524</f>
        <v/>
      </c>
      <c r="AU1525">
        <f>$C1525*AU1524</f>
        <v/>
      </c>
      <c r="AV1525">
        <f>$C1525*AV1524</f>
        <v/>
      </c>
      <c r="AW1525">
        <f>$C1525*AW1524</f>
        <v/>
      </c>
      <c r="AX1525">
        <f>$C1525*AX1524</f>
        <v/>
      </c>
      <c r="AY1525">
        <f>$C1525*AY1524</f>
        <v/>
      </c>
      <c r="AZ1525">
        <f>$C1525*AZ1524</f>
        <v/>
      </c>
      <c r="BA1525">
        <f>$C1525*BA1524</f>
        <v/>
      </c>
      <c r="BB1525">
        <f>$C1525*BB1524</f>
        <v/>
      </c>
      <c r="BC1525">
        <f>$C1525*BC1524</f>
        <v/>
      </c>
      <c r="BD1525">
        <f>$C1525*BD1524</f>
        <v/>
      </c>
      <c r="BE1525">
        <f>$C1525*BE1524</f>
        <v/>
      </c>
      <c r="BF1525">
        <f>$C1525*BF1524</f>
        <v/>
      </c>
      <c r="BG1525">
        <f>$C1525*BG1524</f>
        <v/>
      </c>
      <c r="BH1525">
        <f>$C1525*BH1524</f>
        <v/>
      </c>
      <c r="BI1525">
        <f>$C1525*BI1524</f>
        <v/>
      </c>
      <c r="BJ1525">
        <f>$C1525*BJ1524</f>
        <v/>
      </c>
      <c r="BK1525">
        <f>$C1525*BK1524</f>
        <v/>
      </c>
      <c r="BL1525">
        <f>$C1525*BL1524</f>
        <v/>
      </c>
      <c r="BM1525">
        <f>$C1525*BM1524</f>
        <v/>
      </c>
      <c r="BN1525">
        <f>$C1525*BN1524</f>
        <v/>
      </c>
      <c r="BO1525">
        <f>$C1525*BO1524</f>
        <v/>
      </c>
      <c r="BP1525">
        <f>$C1525*BP1524</f>
        <v/>
      </c>
      <c r="BQ1525">
        <f>$C1525*BQ1524</f>
        <v/>
      </c>
      <c r="BR1525">
        <f>$C1525*BR1524</f>
        <v/>
      </c>
      <c r="BS1525">
        <f>$C1525*BS1524</f>
        <v/>
      </c>
      <c r="BT1525">
        <f>$C1525*BT1524</f>
        <v/>
      </c>
      <c r="BU1525">
        <f>$C1525*BU1524</f>
        <v/>
      </c>
      <c r="BV1525">
        <f>$C1525*BV1524</f>
        <v/>
      </c>
      <c r="BW1525">
        <f>$C1525*BW1524</f>
        <v/>
      </c>
      <c r="BX1525">
        <f>$C1525*BX1524</f>
        <v/>
      </c>
      <c r="BY1525">
        <f>$C1525*BY1524</f>
        <v/>
      </c>
      <c r="BZ1525">
        <f>$C1525*BZ1524</f>
        <v/>
      </c>
      <c r="CA1525">
        <f>$C1525*CA1524</f>
        <v/>
      </c>
      <c r="CB1525">
        <f>$C1525*CB1524</f>
        <v/>
      </c>
      <c r="CC1525">
        <f>$C1525*CC1524</f>
        <v/>
      </c>
      <c r="CD1525">
        <f>$C1525*CD1524</f>
        <v/>
      </c>
      <c r="CE1525">
        <f>$C1525*CE1524</f>
        <v/>
      </c>
      <c r="CF1525">
        <f>$C1525*CF1524</f>
        <v/>
      </c>
      <c r="CG1525">
        <f>$C1525*CG1524</f>
        <v/>
      </c>
      <c r="CH1525">
        <f>$C1525*CH1524</f>
        <v/>
      </c>
      <c r="CI1525">
        <f>$C1525*CI1524</f>
        <v/>
      </c>
      <c r="CJ1525">
        <f>$C1525*CJ1524</f>
        <v/>
      </c>
      <c r="CK1525">
        <f>$C1525*CK1524</f>
        <v/>
      </c>
      <c r="CL1525">
        <f>$C1525*CL1524</f>
        <v/>
      </c>
      <c r="CM1525">
        <f>$C1525*CM1524</f>
        <v/>
      </c>
      <c r="CN1525">
        <f>$C1525*CN1524</f>
        <v/>
      </c>
      <c r="CO1525">
        <f>$C1525*CO1524</f>
        <v/>
      </c>
      <c r="CP1525">
        <f>$C1525*CP1524</f>
        <v/>
      </c>
      <c r="CQ1525">
        <f>$C1525*CQ1524</f>
        <v/>
      </c>
      <c r="CR1525">
        <f>$C1525*CR1524</f>
        <v/>
      </c>
      <c r="CS1525">
        <f>$C1525*CS1524</f>
        <v/>
      </c>
      <c r="CT1525">
        <f>$C1525*CT1524</f>
        <v/>
      </c>
      <c r="CU1525">
        <f>$C1525*CU1524</f>
        <v/>
      </c>
      <c r="CV1525">
        <f>$C1525*CV1524</f>
        <v/>
      </c>
      <c r="CW1525">
        <f>$C1525*CW1524</f>
        <v/>
      </c>
      <c r="CX1525">
        <f>$C1525*CX1524</f>
        <v/>
      </c>
      <c r="CY1525">
        <f>$C1525*CY1524</f>
        <v/>
      </c>
      <c r="CZ1525">
        <f>$C1525*CZ1524</f>
        <v/>
      </c>
      <c r="DA1525">
        <f>$C1525*DA1524</f>
        <v/>
      </c>
      <c r="DB1525">
        <f>$C1525*DB1524</f>
        <v/>
      </c>
      <c r="DC1525">
        <f>$C1525*DC1524</f>
        <v/>
      </c>
      <c r="DD1525">
        <f>$C1525*DD1524</f>
        <v/>
      </c>
    </row>
    <row r="1526">
      <c r="B1526" t="inlineStr">
        <is>
          <t>TSP-WACZ</t>
        </is>
      </c>
      <c r="C1526" t="inlineStr">
        <is>
          <t>No. of batches</t>
        </is>
      </c>
      <c r="D1526">
        <f>IFERROR(INDEX(E1526:DD1526,$F$1),"")</f>
        <v/>
      </c>
      <c r="E1526">
        <f>IFERROR(INDEX(PP_Grid[#Data],$DE1526,2),0)</f>
        <v/>
      </c>
      <c r="F1526">
        <f>IFERROR(INDEX(PP_Grid[#Data],$DE1526,3),0)</f>
        <v/>
      </c>
      <c r="G1526">
        <f>IFERROR(INDEX(PP_Grid[#Data],$DE1526,4),0)</f>
        <v/>
      </c>
      <c r="H1526">
        <f>IFERROR(INDEX(PP_Grid[#Data],$DE1526,5),0)</f>
        <v/>
      </c>
      <c r="I1526">
        <f>IFERROR(INDEX(PP_Grid[#Data],$DE1526,6),0)</f>
        <v/>
      </c>
      <c r="J1526">
        <f>IFERROR(INDEX(PP_Grid[#Data],$DE1526,7),0)</f>
        <v/>
      </c>
      <c r="K1526">
        <f>IFERROR(INDEX(PP_Grid[#Data],$DE1526,8),0)</f>
        <v/>
      </c>
      <c r="L1526">
        <f>IFERROR(INDEX(PP_Grid[#Data],$DE1526,9),0)</f>
        <v/>
      </c>
      <c r="M1526">
        <f>IFERROR(INDEX(PP_Grid[#Data],$DE1526,10),0)</f>
        <v/>
      </c>
      <c r="N1526">
        <f>IFERROR(INDEX(PP_Grid[#Data],$DE1526,11),0)</f>
        <v/>
      </c>
      <c r="O1526">
        <f>IFERROR(INDEX(PP_Grid[#Data],$DE1526,12),0)</f>
        <v/>
      </c>
      <c r="P1526">
        <f>IFERROR(INDEX(PP_Grid[#Data],$DE1526,13),0)</f>
        <v/>
      </c>
      <c r="Q1526">
        <f>IFERROR(INDEX(PP_Grid[#Data],$DE1526,14),0)</f>
        <v/>
      </c>
      <c r="R1526">
        <f>IFERROR(INDEX(PP_Grid[#Data],$DE1526,15),0)</f>
        <v/>
      </c>
      <c r="S1526">
        <f>IFERROR(INDEX(PP_Grid[#Data],$DE1526,16),0)</f>
        <v/>
      </c>
      <c r="T1526">
        <f>IFERROR(INDEX(PP_Grid[#Data],$DE1526,17),0)</f>
        <v/>
      </c>
      <c r="U1526">
        <f>IFERROR(INDEX(PP_Grid[#Data],$DE1526,18),0)</f>
        <v/>
      </c>
      <c r="V1526">
        <f>IFERROR(INDEX(PP_Grid[#Data],$DE1526,19),0)</f>
        <v/>
      </c>
      <c r="W1526">
        <f>IFERROR(INDEX(PP_Grid[#Data],$DE1526,20),0)</f>
        <v/>
      </c>
      <c r="X1526">
        <f>IFERROR(INDEX(PP_Grid[#Data],$DE1526,21),0)</f>
        <v/>
      </c>
      <c r="Y1526">
        <f>IFERROR(INDEX(PP_Grid[#Data],$DE1526,22),0)</f>
        <v/>
      </c>
      <c r="Z1526">
        <f>IFERROR(INDEX(PP_Grid[#Data],$DE1526,23),0)</f>
        <v/>
      </c>
      <c r="AA1526">
        <f>IFERROR(INDEX(PP_Grid[#Data],$DE1526,24),0)</f>
        <v/>
      </c>
      <c r="AB1526">
        <f>IFERROR(INDEX(PP_Grid[#Data],$DE1526,25),0)</f>
        <v/>
      </c>
      <c r="AC1526">
        <f>IFERROR(INDEX(PP_Grid[#Data],$DE1526,26),0)</f>
        <v/>
      </c>
      <c r="AD1526">
        <f>IFERROR(INDEX(PP_Grid[#Data],$DE1526,27),0)</f>
        <v/>
      </c>
      <c r="AE1526">
        <f>IFERROR(INDEX(PP_Grid[#Data],$DE1526,28),0)</f>
        <v/>
      </c>
      <c r="AF1526">
        <f>IFERROR(INDEX(PP_Grid[#Data],$DE1526,29),0)</f>
        <v/>
      </c>
      <c r="AG1526">
        <f>IFERROR(INDEX(PP_Grid[#Data],$DE1526,30),0)</f>
        <v/>
      </c>
      <c r="AH1526">
        <f>IFERROR(INDEX(PP_Grid[#Data],$DE1526,31),0)</f>
        <v/>
      </c>
      <c r="AI1526">
        <f>IFERROR(INDEX(PP_Grid[#Data],$DE1526,32),0)</f>
        <v/>
      </c>
      <c r="AJ1526">
        <f>IFERROR(INDEX(PP_Grid[#Data],$DE1526,33),0)</f>
        <v/>
      </c>
      <c r="AK1526">
        <f>IFERROR(INDEX(PP_Grid[#Data],$DE1526,34),0)</f>
        <v/>
      </c>
      <c r="AL1526">
        <f>IFERROR(INDEX(PP_Grid[#Data],$DE1526,35),0)</f>
        <v/>
      </c>
      <c r="AM1526">
        <f>IFERROR(INDEX(PP_Grid[#Data],$DE1526,36),0)</f>
        <v/>
      </c>
      <c r="AN1526">
        <f>IFERROR(INDEX(PP_Grid[#Data],$DE1526,37),0)</f>
        <v/>
      </c>
      <c r="AO1526">
        <f>IFERROR(INDEX(PP_Grid[#Data],$DE1526,38),0)</f>
        <v/>
      </c>
      <c r="AP1526">
        <f>IFERROR(INDEX(PP_Grid[#Data],$DE1526,39),0)</f>
        <v/>
      </c>
      <c r="AQ1526">
        <f>IFERROR(INDEX(PP_Grid[#Data],$DE1526,40),0)</f>
        <v/>
      </c>
      <c r="AR1526">
        <f>IFERROR(INDEX(PP_Grid[#Data],$DE1526,41),0)</f>
        <v/>
      </c>
      <c r="AS1526">
        <f>IFERROR(INDEX(PP_Grid[#Data],$DE1526,42),0)</f>
        <v/>
      </c>
      <c r="AT1526">
        <f>IFERROR(INDEX(PP_Grid[#Data],$DE1526,43),0)</f>
        <v/>
      </c>
      <c r="AU1526">
        <f>IFERROR(INDEX(PP_Grid[#Data],$DE1526,44),0)</f>
        <v/>
      </c>
      <c r="AV1526">
        <f>IFERROR(INDEX(PP_Grid[#Data],$DE1526,45),0)</f>
        <v/>
      </c>
      <c r="AW1526">
        <f>IFERROR(INDEX(PP_Grid[#Data],$DE1526,46),0)</f>
        <v/>
      </c>
      <c r="AX1526">
        <f>IFERROR(INDEX(PP_Grid[#Data],$DE1526,47),0)</f>
        <v/>
      </c>
      <c r="AY1526">
        <f>IFERROR(INDEX(PP_Grid[#Data],$DE1526,48),0)</f>
        <v/>
      </c>
      <c r="AZ1526">
        <f>IFERROR(INDEX(PP_Grid[#Data],$DE1526,49),0)</f>
        <v/>
      </c>
      <c r="BA1526">
        <f>IFERROR(INDEX(PP_Grid[#Data],$DE1526,50),0)</f>
        <v/>
      </c>
      <c r="BB1526">
        <f>IFERROR(INDEX(PP_Grid[#Data],$DE1526,51),0)</f>
        <v/>
      </c>
      <c r="BC1526">
        <f>IFERROR(INDEX(PP_Grid[#Data],$DE1526,52),0)</f>
        <v/>
      </c>
      <c r="BD1526">
        <f>IFERROR(INDEX(PP_Grid[#Data],$DE1526,53),0)</f>
        <v/>
      </c>
      <c r="BE1526">
        <f>IFERROR(INDEX(PP_Grid[#Data],$DE1526,54),0)</f>
        <v/>
      </c>
      <c r="BF1526">
        <f>IFERROR(INDEX(PP_Grid[#Data],$DE1526,55),0)</f>
        <v/>
      </c>
      <c r="BG1526">
        <f>IFERROR(INDEX(PP_Grid[#Data],$DE1526,56),0)</f>
        <v/>
      </c>
      <c r="BH1526">
        <f>IFERROR(INDEX(PP_Grid[#Data],$DE1526,57),0)</f>
        <v/>
      </c>
      <c r="BI1526">
        <f>IFERROR(INDEX(PP_Grid[#Data],$DE1526,58),0)</f>
        <v/>
      </c>
      <c r="BJ1526">
        <f>IFERROR(INDEX(PP_Grid[#Data],$DE1526,59),0)</f>
        <v/>
      </c>
      <c r="BK1526">
        <f>IFERROR(INDEX(PP_Grid[#Data],$DE1526,60),0)</f>
        <v/>
      </c>
      <c r="BL1526">
        <f>IFERROR(INDEX(PP_Grid[#Data],$DE1526,61),0)</f>
        <v/>
      </c>
      <c r="BM1526">
        <f>IFERROR(INDEX(PP_Grid[#Data],$DE1526,62),0)</f>
        <v/>
      </c>
      <c r="BN1526">
        <f>IFERROR(INDEX(PP_Grid[#Data],$DE1526,63),0)</f>
        <v/>
      </c>
      <c r="BO1526">
        <f>IFERROR(INDEX(PP_Grid[#Data],$DE1526,64),0)</f>
        <v/>
      </c>
      <c r="BP1526">
        <f>IFERROR(INDEX(PP_Grid[#Data],$DE1526,65),0)</f>
        <v/>
      </c>
      <c r="BQ1526">
        <f>IFERROR(INDEX(PP_Grid[#Data],$DE1526,66),0)</f>
        <v/>
      </c>
      <c r="BR1526">
        <f>IFERROR(INDEX(PP_Grid[#Data],$DE1526,67),0)</f>
        <v/>
      </c>
      <c r="BS1526">
        <f>IFERROR(INDEX(PP_Grid[#Data],$DE1526,68),0)</f>
        <v/>
      </c>
      <c r="BT1526">
        <f>IFERROR(INDEX(PP_Grid[#Data],$DE1526,69),0)</f>
        <v/>
      </c>
      <c r="BU1526">
        <f>IFERROR(INDEX(PP_Grid[#Data],$DE1526,70),0)</f>
        <v/>
      </c>
      <c r="BV1526">
        <f>IFERROR(INDEX(PP_Grid[#Data],$DE1526,71),0)</f>
        <v/>
      </c>
      <c r="BW1526">
        <f>IFERROR(INDEX(PP_Grid[#Data],$DE1526,72),0)</f>
        <v/>
      </c>
      <c r="BX1526">
        <f>IFERROR(INDEX(PP_Grid[#Data],$DE1526,73),0)</f>
        <v/>
      </c>
      <c r="BY1526">
        <f>IFERROR(INDEX(PP_Grid[#Data],$DE1526,74),0)</f>
        <v/>
      </c>
      <c r="BZ1526">
        <f>IFERROR(INDEX(PP_Grid[#Data],$DE1526,75),0)</f>
        <v/>
      </c>
      <c r="CA1526">
        <f>IFERROR(INDEX(PP_Grid[#Data],$DE1526,76),0)</f>
        <v/>
      </c>
      <c r="CB1526">
        <f>IFERROR(INDEX(PP_Grid[#Data],$DE1526,77),0)</f>
        <v/>
      </c>
      <c r="CC1526">
        <f>IFERROR(INDEX(PP_Grid[#Data],$DE1526,78),0)</f>
        <v/>
      </c>
      <c r="CD1526">
        <f>IFERROR(INDEX(PP_Grid[#Data],$DE1526,79),0)</f>
        <v/>
      </c>
      <c r="CE1526">
        <f>IFERROR(INDEX(PP_Grid[#Data],$DE1526,80),0)</f>
        <v/>
      </c>
      <c r="CF1526">
        <f>IFERROR(INDEX(PP_Grid[#Data],$DE1526,81),0)</f>
        <v/>
      </c>
      <c r="CG1526">
        <f>IFERROR(INDEX(PP_Grid[#Data],$DE1526,82),0)</f>
        <v/>
      </c>
      <c r="CH1526">
        <f>IFERROR(INDEX(PP_Grid[#Data],$DE1526,83),0)</f>
        <v/>
      </c>
      <c r="CI1526">
        <f>IFERROR(INDEX(PP_Grid[#Data],$DE1526,84),0)</f>
        <v/>
      </c>
      <c r="CJ1526">
        <f>IFERROR(INDEX(PP_Grid[#Data],$DE1526,85),0)</f>
        <v/>
      </c>
      <c r="CK1526">
        <f>IFERROR(INDEX(PP_Grid[#Data],$DE1526,86),0)</f>
        <v/>
      </c>
      <c r="CL1526">
        <f>IFERROR(INDEX(PP_Grid[#Data],$DE1526,87),0)</f>
        <v/>
      </c>
      <c r="CM1526">
        <f>IFERROR(INDEX(PP_Grid[#Data],$DE1526,88),0)</f>
        <v/>
      </c>
      <c r="CN1526">
        <f>IFERROR(INDEX(PP_Grid[#Data],$DE1526,89),0)</f>
        <v/>
      </c>
      <c r="CO1526">
        <f>IFERROR(INDEX(PP_Grid[#Data],$DE1526,90),0)</f>
        <v/>
      </c>
      <c r="CP1526">
        <f>IFERROR(INDEX(PP_Grid[#Data],$DE1526,91),0)</f>
        <v/>
      </c>
      <c r="CQ1526">
        <f>IFERROR(INDEX(PP_Grid[#Data],$DE1526,92),0)</f>
        <v/>
      </c>
      <c r="CR1526">
        <f>IFERROR(INDEX(PP_Grid[#Data],$DE1526,93),0)</f>
        <v/>
      </c>
      <c r="CS1526">
        <f>IFERROR(INDEX(PP_Grid[#Data],$DE1526,94),0)</f>
        <v/>
      </c>
      <c r="CT1526">
        <f>IFERROR(INDEX(PP_Grid[#Data],$DE1526,95),0)</f>
        <v/>
      </c>
      <c r="CU1526">
        <f>IFERROR(INDEX(PP_Grid[#Data],$DE1526,96),0)</f>
        <v/>
      </c>
      <c r="CV1526">
        <f>IFERROR(INDEX(PP_Grid[#Data],$DE1526,97),0)</f>
        <v/>
      </c>
      <c r="CW1526">
        <f>IFERROR(INDEX(PP_Grid[#Data],$DE1526,98),0)</f>
        <v/>
      </c>
      <c r="CX1526">
        <f>IFERROR(INDEX(PP_Grid[#Data],$DE1526,99),0)</f>
        <v/>
      </c>
      <c r="CY1526">
        <f>IFERROR(INDEX(PP_Grid[#Data],$DE1526,100),0)</f>
        <v/>
      </c>
      <c r="CZ1526">
        <f>IFERROR(INDEX(PP_Grid[#Data],$DE1526,101),0)</f>
        <v/>
      </c>
      <c r="DA1526">
        <f>IFERROR(INDEX(PP_Grid[#Data],$DE1526,102),0)</f>
        <v/>
      </c>
      <c r="DB1526">
        <f>IFERROR(INDEX(PP_Grid[#Data],$DE1526,103),0)</f>
        <v/>
      </c>
      <c r="DC1526">
        <f>IFERROR(INDEX(PP_Grid[#Data],$DE1526,104),0)</f>
        <v/>
      </c>
      <c r="DD1526">
        <f>IFERROR(INDEX(PP_Grid[#Data],$DE1526,105),0)</f>
        <v/>
      </c>
      <c r="DE1526" s="7">
        <f>IFERROR(MATCH($B1526,PP_Grid[Intermediate],0),99999)</f>
        <v/>
      </c>
    </row>
    <row r="1527">
      <c r="B1527" t="inlineStr">
        <is>
          <t>使用量(kg)</t>
        </is>
      </c>
      <c r="C1527">
        <f>SUMIFS(M_BOM[RM_Qty_Per_Batch],M_BOM[Intermediate],$B1526,M_BOM[RM_Code],$A1521)</f>
        <v/>
      </c>
      <c r="D1527">
        <f>IFERROR(INDEX(E1527:DD1527,$F$1),"")</f>
        <v/>
      </c>
      <c r="E1527">
        <f>$C1527*E1526</f>
        <v/>
      </c>
      <c r="F1527">
        <f>$C1527*F1526</f>
        <v/>
      </c>
      <c r="G1527">
        <f>$C1527*G1526</f>
        <v/>
      </c>
      <c r="H1527">
        <f>$C1527*H1526</f>
        <v/>
      </c>
      <c r="I1527">
        <f>$C1527*I1526</f>
        <v/>
      </c>
      <c r="J1527">
        <f>$C1527*J1526</f>
        <v/>
      </c>
      <c r="K1527">
        <f>$C1527*K1526</f>
        <v/>
      </c>
      <c r="L1527">
        <f>$C1527*L1526</f>
        <v/>
      </c>
      <c r="M1527">
        <f>$C1527*M1526</f>
        <v/>
      </c>
      <c r="N1527">
        <f>$C1527*N1526</f>
        <v/>
      </c>
      <c r="O1527">
        <f>$C1527*O1526</f>
        <v/>
      </c>
      <c r="P1527">
        <f>$C1527*P1526</f>
        <v/>
      </c>
      <c r="Q1527">
        <f>$C1527*Q1526</f>
        <v/>
      </c>
      <c r="R1527">
        <f>$C1527*R1526</f>
        <v/>
      </c>
      <c r="S1527">
        <f>$C1527*S1526</f>
        <v/>
      </c>
      <c r="T1527">
        <f>$C1527*T1526</f>
        <v/>
      </c>
      <c r="U1527">
        <f>$C1527*U1526</f>
        <v/>
      </c>
      <c r="V1527">
        <f>$C1527*V1526</f>
        <v/>
      </c>
      <c r="W1527">
        <f>$C1527*W1526</f>
        <v/>
      </c>
      <c r="X1527">
        <f>$C1527*X1526</f>
        <v/>
      </c>
      <c r="Y1527">
        <f>$C1527*Y1526</f>
        <v/>
      </c>
      <c r="Z1527">
        <f>$C1527*Z1526</f>
        <v/>
      </c>
      <c r="AA1527">
        <f>$C1527*AA1526</f>
        <v/>
      </c>
      <c r="AB1527">
        <f>$C1527*AB1526</f>
        <v/>
      </c>
      <c r="AC1527">
        <f>$C1527*AC1526</f>
        <v/>
      </c>
      <c r="AD1527">
        <f>$C1527*AD1526</f>
        <v/>
      </c>
      <c r="AE1527">
        <f>$C1527*AE1526</f>
        <v/>
      </c>
      <c r="AF1527">
        <f>$C1527*AF1526</f>
        <v/>
      </c>
      <c r="AG1527">
        <f>$C1527*AG1526</f>
        <v/>
      </c>
      <c r="AH1527">
        <f>$C1527*AH1526</f>
        <v/>
      </c>
      <c r="AI1527">
        <f>$C1527*AI1526</f>
        <v/>
      </c>
      <c r="AJ1527">
        <f>$C1527*AJ1526</f>
        <v/>
      </c>
      <c r="AK1527">
        <f>$C1527*AK1526</f>
        <v/>
      </c>
      <c r="AL1527">
        <f>$C1527*AL1526</f>
        <v/>
      </c>
      <c r="AM1527">
        <f>$C1527*AM1526</f>
        <v/>
      </c>
      <c r="AN1527">
        <f>$C1527*AN1526</f>
        <v/>
      </c>
      <c r="AO1527">
        <f>$C1527*AO1526</f>
        <v/>
      </c>
      <c r="AP1527">
        <f>$C1527*AP1526</f>
        <v/>
      </c>
      <c r="AQ1527">
        <f>$C1527*AQ1526</f>
        <v/>
      </c>
      <c r="AR1527">
        <f>$C1527*AR1526</f>
        <v/>
      </c>
      <c r="AS1527">
        <f>$C1527*AS1526</f>
        <v/>
      </c>
      <c r="AT1527">
        <f>$C1527*AT1526</f>
        <v/>
      </c>
      <c r="AU1527">
        <f>$C1527*AU1526</f>
        <v/>
      </c>
      <c r="AV1527">
        <f>$C1527*AV1526</f>
        <v/>
      </c>
      <c r="AW1527">
        <f>$C1527*AW1526</f>
        <v/>
      </c>
      <c r="AX1527">
        <f>$C1527*AX1526</f>
        <v/>
      </c>
      <c r="AY1527">
        <f>$C1527*AY1526</f>
        <v/>
      </c>
      <c r="AZ1527">
        <f>$C1527*AZ1526</f>
        <v/>
      </c>
      <c r="BA1527">
        <f>$C1527*BA1526</f>
        <v/>
      </c>
      <c r="BB1527">
        <f>$C1527*BB1526</f>
        <v/>
      </c>
      <c r="BC1527">
        <f>$C1527*BC1526</f>
        <v/>
      </c>
      <c r="BD1527">
        <f>$C1527*BD1526</f>
        <v/>
      </c>
      <c r="BE1527">
        <f>$C1527*BE1526</f>
        <v/>
      </c>
      <c r="BF1527">
        <f>$C1527*BF1526</f>
        <v/>
      </c>
      <c r="BG1527">
        <f>$C1527*BG1526</f>
        <v/>
      </c>
      <c r="BH1527">
        <f>$C1527*BH1526</f>
        <v/>
      </c>
      <c r="BI1527">
        <f>$C1527*BI1526</f>
        <v/>
      </c>
      <c r="BJ1527">
        <f>$C1527*BJ1526</f>
        <v/>
      </c>
      <c r="BK1527">
        <f>$C1527*BK1526</f>
        <v/>
      </c>
      <c r="BL1527">
        <f>$C1527*BL1526</f>
        <v/>
      </c>
      <c r="BM1527">
        <f>$C1527*BM1526</f>
        <v/>
      </c>
      <c r="BN1527">
        <f>$C1527*BN1526</f>
        <v/>
      </c>
      <c r="BO1527">
        <f>$C1527*BO1526</f>
        <v/>
      </c>
      <c r="BP1527">
        <f>$C1527*BP1526</f>
        <v/>
      </c>
      <c r="BQ1527">
        <f>$C1527*BQ1526</f>
        <v/>
      </c>
      <c r="BR1527">
        <f>$C1527*BR1526</f>
        <v/>
      </c>
      <c r="BS1527">
        <f>$C1527*BS1526</f>
        <v/>
      </c>
      <c r="BT1527">
        <f>$C1527*BT1526</f>
        <v/>
      </c>
      <c r="BU1527">
        <f>$C1527*BU1526</f>
        <v/>
      </c>
      <c r="BV1527">
        <f>$C1527*BV1526</f>
        <v/>
      </c>
      <c r="BW1527">
        <f>$C1527*BW1526</f>
        <v/>
      </c>
      <c r="BX1527">
        <f>$C1527*BX1526</f>
        <v/>
      </c>
      <c r="BY1527">
        <f>$C1527*BY1526</f>
        <v/>
      </c>
      <c r="BZ1527">
        <f>$C1527*BZ1526</f>
        <v/>
      </c>
      <c r="CA1527">
        <f>$C1527*CA1526</f>
        <v/>
      </c>
      <c r="CB1527">
        <f>$C1527*CB1526</f>
        <v/>
      </c>
      <c r="CC1527">
        <f>$C1527*CC1526</f>
        <v/>
      </c>
      <c r="CD1527">
        <f>$C1527*CD1526</f>
        <v/>
      </c>
      <c r="CE1527">
        <f>$C1527*CE1526</f>
        <v/>
      </c>
      <c r="CF1527">
        <f>$C1527*CF1526</f>
        <v/>
      </c>
      <c r="CG1527">
        <f>$C1527*CG1526</f>
        <v/>
      </c>
      <c r="CH1527">
        <f>$C1527*CH1526</f>
        <v/>
      </c>
      <c r="CI1527">
        <f>$C1527*CI1526</f>
        <v/>
      </c>
      <c r="CJ1527">
        <f>$C1527*CJ1526</f>
        <v/>
      </c>
      <c r="CK1527">
        <f>$C1527*CK1526</f>
        <v/>
      </c>
      <c r="CL1527">
        <f>$C1527*CL1526</f>
        <v/>
      </c>
      <c r="CM1527">
        <f>$C1527*CM1526</f>
        <v/>
      </c>
      <c r="CN1527">
        <f>$C1527*CN1526</f>
        <v/>
      </c>
      <c r="CO1527">
        <f>$C1527*CO1526</f>
        <v/>
      </c>
      <c r="CP1527">
        <f>$C1527*CP1526</f>
        <v/>
      </c>
      <c r="CQ1527">
        <f>$C1527*CQ1526</f>
        <v/>
      </c>
      <c r="CR1527">
        <f>$C1527*CR1526</f>
        <v/>
      </c>
      <c r="CS1527">
        <f>$C1527*CS1526</f>
        <v/>
      </c>
      <c r="CT1527">
        <f>$C1527*CT1526</f>
        <v/>
      </c>
      <c r="CU1527">
        <f>$C1527*CU1526</f>
        <v/>
      </c>
      <c r="CV1527">
        <f>$C1527*CV1526</f>
        <v/>
      </c>
      <c r="CW1527">
        <f>$C1527*CW1526</f>
        <v/>
      </c>
      <c r="CX1527">
        <f>$C1527*CX1526</f>
        <v/>
      </c>
      <c r="CY1527">
        <f>$C1527*CY1526</f>
        <v/>
      </c>
      <c r="CZ1527">
        <f>$C1527*CZ1526</f>
        <v/>
      </c>
      <c r="DA1527">
        <f>$C1527*DA1526</f>
        <v/>
      </c>
      <c r="DB1527">
        <f>$C1527*DB1526</f>
        <v/>
      </c>
      <c r="DC1527">
        <f>$C1527*DC1526</f>
        <v/>
      </c>
      <c r="DD1527">
        <f>$C1527*DD1526</f>
        <v/>
      </c>
    </row>
    <row r="1528">
      <c r="B1528" s="4" t="inlineStr">
        <is>
          <t>合計使用量(kg)/週</t>
        </is>
      </c>
      <c r="D1528" s="22">
        <f>IFERROR(INDEX(E1528:DD1528,$F$1),"")</f>
        <v/>
      </c>
      <c r="E1528">
        <f>'Grid_Requirement'!B43</f>
        <v/>
      </c>
      <c r="F1528">
        <f>'Grid_Requirement'!C43</f>
        <v/>
      </c>
      <c r="G1528">
        <f>'Grid_Requirement'!D43</f>
        <v/>
      </c>
      <c r="H1528">
        <f>'Grid_Requirement'!E43</f>
        <v/>
      </c>
      <c r="I1528">
        <f>'Grid_Requirement'!F43</f>
        <v/>
      </c>
      <c r="J1528">
        <f>'Grid_Requirement'!G43</f>
        <v/>
      </c>
      <c r="K1528">
        <f>'Grid_Requirement'!H43</f>
        <v/>
      </c>
      <c r="L1528">
        <f>'Grid_Requirement'!I43</f>
        <v/>
      </c>
      <c r="M1528">
        <f>'Grid_Requirement'!J43</f>
        <v/>
      </c>
      <c r="N1528">
        <f>'Grid_Requirement'!K43</f>
        <v/>
      </c>
      <c r="O1528">
        <f>'Grid_Requirement'!L43</f>
        <v/>
      </c>
      <c r="P1528">
        <f>'Grid_Requirement'!M43</f>
        <v/>
      </c>
      <c r="Q1528">
        <f>'Grid_Requirement'!N43</f>
        <v/>
      </c>
      <c r="R1528">
        <f>'Grid_Requirement'!O43</f>
        <v/>
      </c>
      <c r="S1528">
        <f>'Grid_Requirement'!P43</f>
        <v/>
      </c>
      <c r="T1528">
        <f>'Grid_Requirement'!Q43</f>
        <v/>
      </c>
      <c r="U1528">
        <f>'Grid_Requirement'!R43</f>
        <v/>
      </c>
      <c r="V1528">
        <f>'Grid_Requirement'!S43</f>
        <v/>
      </c>
      <c r="W1528">
        <f>'Grid_Requirement'!T43</f>
        <v/>
      </c>
      <c r="X1528">
        <f>'Grid_Requirement'!U43</f>
        <v/>
      </c>
      <c r="Y1528">
        <f>'Grid_Requirement'!V43</f>
        <v/>
      </c>
      <c r="Z1528">
        <f>'Grid_Requirement'!W43</f>
        <v/>
      </c>
      <c r="AA1528">
        <f>'Grid_Requirement'!X43</f>
        <v/>
      </c>
      <c r="AB1528">
        <f>'Grid_Requirement'!Y43</f>
        <v/>
      </c>
      <c r="AC1528">
        <f>'Grid_Requirement'!Z43</f>
        <v/>
      </c>
      <c r="AD1528">
        <f>'Grid_Requirement'!AA43</f>
        <v/>
      </c>
      <c r="AE1528">
        <f>'Grid_Requirement'!AB43</f>
        <v/>
      </c>
      <c r="AF1528">
        <f>'Grid_Requirement'!AC43</f>
        <v/>
      </c>
      <c r="AG1528">
        <f>'Grid_Requirement'!AD43</f>
        <v/>
      </c>
      <c r="AH1528">
        <f>'Grid_Requirement'!AE43</f>
        <v/>
      </c>
      <c r="AI1528">
        <f>'Grid_Requirement'!AF43</f>
        <v/>
      </c>
      <c r="AJ1528">
        <f>'Grid_Requirement'!AG43</f>
        <v/>
      </c>
      <c r="AK1528">
        <f>'Grid_Requirement'!AH43</f>
        <v/>
      </c>
      <c r="AL1528">
        <f>'Grid_Requirement'!AI43</f>
        <v/>
      </c>
      <c r="AM1528">
        <f>'Grid_Requirement'!AJ43</f>
        <v/>
      </c>
      <c r="AN1528">
        <f>'Grid_Requirement'!AK43</f>
        <v/>
      </c>
      <c r="AO1528">
        <f>'Grid_Requirement'!AL43</f>
        <v/>
      </c>
      <c r="AP1528">
        <f>'Grid_Requirement'!AM43</f>
        <v/>
      </c>
      <c r="AQ1528">
        <f>'Grid_Requirement'!AN43</f>
        <v/>
      </c>
      <c r="AR1528">
        <f>'Grid_Requirement'!AO43</f>
        <v/>
      </c>
      <c r="AS1528">
        <f>'Grid_Requirement'!AP43</f>
        <v/>
      </c>
      <c r="AT1528">
        <f>'Grid_Requirement'!AQ43</f>
        <v/>
      </c>
      <c r="AU1528">
        <f>'Grid_Requirement'!AR43</f>
        <v/>
      </c>
      <c r="AV1528">
        <f>'Grid_Requirement'!AS43</f>
        <v/>
      </c>
      <c r="AW1528">
        <f>'Grid_Requirement'!AT43</f>
        <v/>
      </c>
      <c r="AX1528">
        <f>'Grid_Requirement'!AU43</f>
        <v/>
      </c>
      <c r="AY1528">
        <f>'Grid_Requirement'!AV43</f>
        <v/>
      </c>
      <c r="AZ1528">
        <f>'Grid_Requirement'!AW43</f>
        <v/>
      </c>
      <c r="BA1528">
        <f>'Grid_Requirement'!AX43</f>
        <v/>
      </c>
      <c r="BB1528">
        <f>'Grid_Requirement'!AY43</f>
        <v/>
      </c>
      <c r="BC1528">
        <f>'Grid_Requirement'!AZ43</f>
        <v/>
      </c>
      <c r="BD1528">
        <f>'Grid_Requirement'!BA43</f>
        <v/>
      </c>
      <c r="BE1528">
        <f>'Grid_Requirement'!BB43</f>
        <v/>
      </c>
      <c r="BF1528">
        <f>'Grid_Requirement'!BC43</f>
        <v/>
      </c>
      <c r="BG1528">
        <f>'Grid_Requirement'!BD43</f>
        <v/>
      </c>
      <c r="BH1528">
        <f>'Grid_Requirement'!BE43</f>
        <v/>
      </c>
      <c r="BI1528">
        <f>'Grid_Requirement'!BF43</f>
        <v/>
      </c>
      <c r="BJ1528">
        <f>'Grid_Requirement'!BG43</f>
        <v/>
      </c>
      <c r="BK1528">
        <f>'Grid_Requirement'!BH43</f>
        <v/>
      </c>
      <c r="BL1528">
        <f>'Grid_Requirement'!BI43</f>
        <v/>
      </c>
      <c r="BM1528">
        <f>'Grid_Requirement'!BJ43</f>
        <v/>
      </c>
      <c r="BN1528">
        <f>'Grid_Requirement'!BK43</f>
        <v/>
      </c>
      <c r="BO1528">
        <f>'Grid_Requirement'!BL43</f>
        <v/>
      </c>
      <c r="BP1528">
        <f>'Grid_Requirement'!BM43</f>
        <v/>
      </c>
      <c r="BQ1528">
        <f>'Grid_Requirement'!BN43</f>
        <v/>
      </c>
      <c r="BR1528">
        <f>'Grid_Requirement'!BO43</f>
        <v/>
      </c>
      <c r="BS1528">
        <f>'Grid_Requirement'!BP43</f>
        <v/>
      </c>
      <c r="BT1528">
        <f>'Grid_Requirement'!BQ43</f>
        <v/>
      </c>
      <c r="BU1528">
        <f>'Grid_Requirement'!BR43</f>
        <v/>
      </c>
      <c r="BV1528">
        <f>'Grid_Requirement'!BS43</f>
        <v/>
      </c>
      <c r="BW1528">
        <f>'Grid_Requirement'!BT43</f>
        <v/>
      </c>
      <c r="BX1528">
        <f>'Grid_Requirement'!BU43</f>
        <v/>
      </c>
      <c r="BY1528">
        <f>'Grid_Requirement'!BV43</f>
        <v/>
      </c>
      <c r="BZ1528">
        <f>'Grid_Requirement'!BW43</f>
        <v/>
      </c>
      <c r="CA1528">
        <f>'Grid_Requirement'!BX43</f>
        <v/>
      </c>
      <c r="CB1528">
        <f>'Grid_Requirement'!BY43</f>
        <v/>
      </c>
      <c r="CC1528">
        <f>'Grid_Requirement'!BZ43</f>
        <v/>
      </c>
      <c r="CD1528">
        <f>'Grid_Requirement'!CA43</f>
        <v/>
      </c>
      <c r="CE1528">
        <f>'Grid_Requirement'!CB43</f>
        <v/>
      </c>
      <c r="CF1528">
        <f>'Grid_Requirement'!CC43</f>
        <v/>
      </c>
      <c r="CG1528">
        <f>'Grid_Requirement'!CD43</f>
        <v/>
      </c>
      <c r="CH1528">
        <f>'Grid_Requirement'!CE43</f>
        <v/>
      </c>
      <c r="CI1528">
        <f>'Grid_Requirement'!CF43</f>
        <v/>
      </c>
      <c r="CJ1528">
        <f>'Grid_Requirement'!CG43</f>
        <v/>
      </c>
      <c r="CK1528">
        <f>'Grid_Requirement'!CH43</f>
        <v/>
      </c>
      <c r="CL1528">
        <f>'Grid_Requirement'!CI43</f>
        <v/>
      </c>
      <c r="CM1528">
        <f>'Grid_Requirement'!CJ43</f>
        <v/>
      </c>
      <c r="CN1528">
        <f>'Grid_Requirement'!CK43</f>
        <v/>
      </c>
      <c r="CO1528">
        <f>'Grid_Requirement'!CL43</f>
        <v/>
      </c>
      <c r="CP1528">
        <f>'Grid_Requirement'!CM43</f>
        <v/>
      </c>
      <c r="CQ1528">
        <f>'Grid_Requirement'!CN43</f>
        <v/>
      </c>
      <c r="CR1528">
        <f>'Grid_Requirement'!CO43</f>
        <v/>
      </c>
      <c r="CS1528">
        <f>'Grid_Requirement'!CP43</f>
        <v/>
      </c>
      <c r="CT1528">
        <f>'Grid_Requirement'!CQ43</f>
        <v/>
      </c>
      <c r="CU1528">
        <f>'Grid_Requirement'!CR43</f>
        <v/>
      </c>
      <c r="CV1528">
        <f>'Grid_Requirement'!CS43</f>
        <v/>
      </c>
      <c r="CW1528">
        <f>'Grid_Requirement'!CT43</f>
        <v/>
      </c>
      <c r="CX1528">
        <f>'Grid_Requirement'!CU43</f>
        <v/>
      </c>
      <c r="CY1528">
        <f>'Grid_Requirement'!CV43</f>
        <v/>
      </c>
      <c r="CZ1528">
        <f>'Grid_Requirement'!CW43</f>
        <v/>
      </c>
      <c r="DA1528">
        <f>'Grid_Requirement'!CX43</f>
        <v/>
      </c>
      <c r="DB1528">
        <f>'Grid_Requirement'!CY43</f>
        <v/>
      </c>
      <c r="DC1528">
        <f>'Grid_Requirement'!CZ43</f>
        <v/>
      </c>
      <c r="DD1528">
        <f>'Grid_Requirement'!DA43</f>
        <v/>
      </c>
    </row>
    <row r="1529">
      <c r="B1529" s="23" t="inlineStr">
        <is>
          <t>（在庫・入荷予定はDashboard参照）</t>
        </is>
      </c>
    </row>
    <row r="1531">
      <c r="A1531" s="21" t="inlineStr">
        <is>
          <t>5SN</t>
        </is>
      </c>
      <c r="B1531" s="21" t="inlineStr">
        <is>
          <t>5SN</t>
        </is>
      </c>
      <c r="C1531" s="21" t="n"/>
      <c r="D1531" s="21" t="n"/>
      <c r="E1531" s="21" t="n"/>
      <c r="F1531" s="21" t="n"/>
      <c r="G1531" s="21" t="n"/>
      <c r="H1531" s="21" t="n"/>
      <c r="I1531" s="21" t="n"/>
      <c r="J1531" s="21" t="n"/>
      <c r="K1531" s="21" t="n"/>
      <c r="L1531" s="21" t="n"/>
      <c r="M1531" s="21" t="n"/>
      <c r="N1531" s="21" t="n"/>
      <c r="O1531" s="21" t="n"/>
      <c r="P1531" s="21" t="n"/>
      <c r="Q1531" s="21" t="n"/>
      <c r="R1531" s="21" t="n"/>
      <c r="S1531" s="21" t="n"/>
      <c r="T1531" s="21" t="n"/>
      <c r="U1531" s="21" t="n"/>
      <c r="V1531" s="21" t="n"/>
      <c r="W1531" s="21" t="n"/>
      <c r="X1531" s="21" t="n"/>
      <c r="Y1531" s="21" t="n"/>
      <c r="Z1531" s="21" t="n"/>
      <c r="AA1531" s="21" t="n"/>
      <c r="AB1531" s="21" t="n"/>
      <c r="AC1531" s="21" t="n"/>
      <c r="AD1531" s="21" t="n"/>
      <c r="AE1531" s="21" t="n"/>
      <c r="AF1531" s="21" t="n"/>
      <c r="AG1531" s="21" t="n"/>
      <c r="AH1531" s="21" t="n"/>
      <c r="AI1531" s="21" t="n"/>
      <c r="AJ1531" s="21" t="n"/>
      <c r="AK1531" s="21" t="n"/>
      <c r="AL1531" s="21" t="n"/>
      <c r="AM1531" s="21" t="n"/>
      <c r="AN1531" s="21" t="n"/>
      <c r="AO1531" s="21" t="n"/>
      <c r="AP1531" s="21" t="n"/>
      <c r="AQ1531" s="21" t="n"/>
      <c r="AR1531" s="21" t="n"/>
      <c r="AS1531" s="21" t="n"/>
      <c r="AT1531" s="21" t="n"/>
      <c r="AU1531" s="21" t="n"/>
      <c r="AV1531" s="21" t="n"/>
      <c r="AW1531" s="21" t="n"/>
      <c r="AX1531" s="21" t="n"/>
      <c r="AY1531" s="21" t="n"/>
      <c r="AZ1531" s="21" t="n"/>
      <c r="BA1531" s="21" t="n"/>
      <c r="BB1531" s="21" t="n"/>
      <c r="BC1531" s="21" t="n"/>
      <c r="BD1531" s="21" t="n"/>
      <c r="BE1531" s="21" t="n"/>
      <c r="BF1531" s="21" t="n"/>
      <c r="BG1531" s="21" t="n"/>
      <c r="BH1531" s="21" t="n"/>
      <c r="BI1531" s="21" t="n"/>
      <c r="BJ1531" s="21" t="n"/>
      <c r="BK1531" s="21" t="n"/>
      <c r="BL1531" s="21" t="n"/>
      <c r="BM1531" s="21" t="n"/>
      <c r="BN1531" s="21" t="n"/>
      <c r="BO1531" s="21" t="n"/>
      <c r="BP1531" s="21" t="n"/>
      <c r="BQ1531" s="21" t="n"/>
      <c r="BR1531" s="21" t="n"/>
      <c r="BS1531" s="21" t="n"/>
      <c r="BT1531" s="21" t="n"/>
      <c r="BU1531" s="21" t="n"/>
      <c r="BV1531" s="21" t="n"/>
      <c r="BW1531" s="21" t="n"/>
      <c r="BX1531" s="21" t="n"/>
      <c r="BY1531" s="21" t="n"/>
      <c r="BZ1531" s="21" t="n"/>
      <c r="CA1531" s="21" t="n"/>
      <c r="CB1531" s="21" t="n"/>
      <c r="CC1531" s="21" t="n"/>
      <c r="CD1531" s="21" t="n"/>
      <c r="CE1531" s="21" t="n"/>
      <c r="CF1531" s="21" t="n"/>
      <c r="CG1531" s="21" t="n"/>
      <c r="CH1531" s="21" t="n"/>
      <c r="CI1531" s="21" t="n"/>
      <c r="CJ1531" s="21" t="n"/>
      <c r="CK1531" s="21" t="n"/>
      <c r="CL1531" s="21" t="n"/>
      <c r="CM1531" s="21" t="n"/>
      <c r="CN1531" s="21" t="n"/>
      <c r="CO1531" s="21" t="n"/>
      <c r="CP1531" s="21" t="n"/>
      <c r="CQ1531" s="21" t="n"/>
      <c r="CR1531" s="21" t="n"/>
      <c r="CS1531" s="21" t="n"/>
      <c r="CT1531" s="21" t="n"/>
      <c r="CU1531" s="21" t="n"/>
      <c r="CV1531" s="21" t="n"/>
      <c r="CW1531" s="21" t="n"/>
      <c r="CX1531" s="21" t="n"/>
      <c r="CY1531" s="21" t="n"/>
      <c r="CZ1531" s="21" t="n"/>
      <c r="DA1531" s="21" t="n"/>
      <c r="DB1531" s="21" t="n"/>
      <c r="DC1531" s="21" t="n"/>
      <c r="DD1531" s="21" t="n"/>
    </row>
    <row r="1532">
      <c r="B1532" t="inlineStr">
        <is>
          <t>0Q110</t>
        </is>
      </c>
      <c r="C1532" t="inlineStr">
        <is>
          <t>No. of batches</t>
        </is>
      </c>
      <c r="D1532">
        <f>IFERROR(INDEX(E1532:DD1532,$F$1),"")</f>
        <v/>
      </c>
      <c r="E1532">
        <f>IFERROR(INDEX(PP_Grid[#Data],$DE1532,2),0)</f>
        <v/>
      </c>
      <c r="F1532">
        <f>IFERROR(INDEX(PP_Grid[#Data],$DE1532,3),0)</f>
        <v/>
      </c>
      <c r="G1532">
        <f>IFERROR(INDEX(PP_Grid[#Data],$DE1532,4),0)</f>
        <v/>
      </c>
      <c r="H1532">
        <f>IFERROR(INDEX(PP_Grid[#Data],$DE1532,5),0)</f>
        <v/>
      </c>
      <c r="I1532">
        <f>IFERROR(INDEX(PP_Grid[#Data],$DE1532,6),0)</f>
        <v/>
      </c>
      <c r="J1532">
        <f>IFERROR(INDEX(PP_Grid[#Data],$DE1532,7),0)</f>
        <v/>
      </c>
      <c r="K1532">
        <f>IFERROR(INDEX(PP_Grid[#Data],$DE1532,8),0)</f>
        <v/>
      </c>
      <c r="L1532">
        <f>IFERROR(INDEX(PP_Grid[#Data],$DE1532,9),0)</f>
        <v/>
      </c>
      <c r="M1532">
        <f>IFERROR(INDEX(PP_Grid[#Data],$DE1532,10),0)</f>
        <v/>
      </c>
      <c r="N1532">
        <f>IFERROR(INDEX(PP_Grid[#Data],$DE1532,11),0)</f>
        <v/>
      </c>
      <c r="O1532">
        <f>IFERROR(INDEX(PP_Grid[#Data],$DE1532,12),0)</f>
        <v/>
      </c>
      <c r="P1532">
        <f>IFERROR(INDEX(PP_Grid[#Data],$DE1532,13),0)</f>
        <v/>
      </c>
      <c r="Q1532">
        <f>IFERROR(INDEX(PP_Grid[#Data],$DE1532,14),0)</f>
        <v/>
      </c>
      <c r="R1532">
        <f>IFERROR(INDEX(PP_Grid[#Data],$DE1532,15),0)</f>
        <v/>
      </c>
      <c r="S1532">
        <f>IFERROR(INDEX(PP_Grid[#Data],$DE1532,16),0)</f>
        <v/>
      </c>
      <c r="T1532">
        <f>IFERROR(INDEX(PP_Grid[#Data],$DE1532,17),0)</f>
        <v/>
      </c>
      <c r="U1532">
        <f>IFERROR(INDEX(PP_Grid[#Data],$DE1532,18),0)</f>
        <v/>
      </c>
      <c r="V1532">
        <f>IFERROR(INDEX(PP_Grid[#Data],$DE1532,19),0)</f>
        <v/>
      </c>
      <c r="W1532">
        <f>IFERROR(INDEX(PP_Grid[#Data],$DE1532,20),0)</f>
        <v/>
      </c>
      <c r="X1532">
        <f>IFERROR(INDEX(PP_Grid[#Data],$DE1532,21),0)</f>
        <v/>
      </c>
      <c r="Y1532">
        <f>IFERROR(INDEX(PP_Grid[#Data],$DE1532,22),0)</f>
        <v/>
      </c>
      <c r="Z1532">
        <f>IFERROR(INDEX(PP_Grid[#Data],$DE1532,23),0)</f>
        <v/>
      </c>
      <c r="AA1532">
        <f>IFERROR(INDEX(PP_Grid[#Data],$DE1532,24),0)</f>
        <v/>
      </c>
      <c r="AB1532">
        <f>IFERROR(INDEX(PP_Grid[#Data],$DE1532,25),0)</f>
        <v/>
      </c>
      <c r="AC1532">
        <f>IFERROR(INDEX(PP_Grid[#Data],$DE1532,26),0)</f>
        <v/>
      </c>
      <c r="AD1532">
        <f>IFERROR(INDEX(PP_Grid[#Data],$DE1532,27),0)</f>
        <v/>
      </c>
      <c r="AE1532">
        <f>IFERROR(INDEX(PP_Grid[#Data],$DE1532,28),0)</f>
        <v/>
      </c>
      <c r="AF1532">
        <f>IFERROR(INDEX(PP_Grid[#Data],$DE1532,29),0)</f>
        <v/>
      </c>
      <c r="AG1532">
        <f>IFERROR(INDEX(PP_Grid[#Data],$DE1532,30),0)</f>
        <v/>
      </c>
      <c r="AH1532">
        <f>IFERROR(INDEX(PP_Grid[#Data],$DE1532,31),0)</f>
        <v/>
      </c>
      <c r="AI1532">
        <f>IFERROR(INDEX(PP_Grid[#Data],$DE1532,32),0)</f>
        <v/>
      </c>
      <c r="AJ1532">
        <f>IFERROR(INDEX(PP_Grid[#Data],$DE1532,33),0)</f>
        <v/>
      </c>
      <c r="AK1532">
        <f>IFERROR(INDEX(PP_Grid[#Data],$DE1532,34),0)</f>
        <v/>
      </c>
      <c r="AL1532">
        <f>IFERROR(INDEX(PP_Grid[#Data],$DE1532,35),0)</f>
        <v/>
      </c>
      <c r="AM1532">
        <f>IFERROR(INDEX(PP_Grid[#Data],$DE1532,36),0)</f>
        <v/>
      </c>
      <c r="AN1532">
        <f>IFERROR(INDEX(PP_Grid[#Data],$DE1532,37),0)</f>
        <v/>
      </c>
      <c r="AO1532">
        <f>IFERROR(INDEX(PP_Grid[#Data],$DE1532,38),0)</f>
        <v/>
      </c>
      <c r="AP1532">
        <f>IFERROR(INDEX(PP_Grid[#Data],$DE1532,39),0)</f>
        <v/>
      </c>
      <c r="AQ1532">
        <f>IFERROR(INDEX(PP_Grid[#Data],$DE1532,40),0)</f>
        <v/>
      </c>
      <c r="AR1532">
        <f>IFERROR(INDEX(PP_Grid[#Data],$DE1532,41),0)</f>
        <v/>
      </c>
      <c r="AS1532">
        <f>IFERROR(INDEX(PP_Grid[#Data],$DE1532,42),0)</f>
        <v/>
      </c>
      <c r="AT1532">
        <f>IFERROR(INDEX(PP_Grid[#Data],$DE1532,43),0)</f>
        <v/>
      </c>
      <c r="AU1532">
        <f>IFERROR(INDEX(PP_Grid[#Data],$DE1532,44),0)</f>
        <v/>
      </c>
      <c r="AV1532">
        <f>IFERROR(INDEX(PP_Grid[#Data],$DE1532,45),0)</f>
        <v/>
      </c>
      <c r="AW1532">
        <f>IFERROR(INDEX(PP_Grid[#Data],$DE1532,46),0)</f>
        <v/>
      </c>
      <c r="AX1532">
        <f>IFERROR(INDEX(PP_Grid[#Data],$DE1532,47),0)</f>
        <v/>
      </c>
      <c r="AY1532">
        <f>IFERROR(INDEX(PP_Grid[#Data],$DE1532,48),0)</f>
        <v/>
      </c>
      <c r="AZ1532">
        <f>IFERROR(INDEX(PP_Grid[#Data],$DE1532,49),0)</f>
        <v/>
      </c>
      <c r="BA1532">
        <f>IFERROR(INDEX(PP_Grid[#Data],$DE1532,50),0)</f>
        <v/>
      </c>
      <c r="BB1532">
        <f>IFERROR(INDEX(PP_Grid[#Data],$DE1532,51),0)</f>
        <v/>
      </c>
      <c r="BC1532">
        <f>IFERROR(INDEX(PP_Grid[#Data],$DE1532,52),0)</f>
        <v/>
      </c>
      <c r="BD1532">
        <f>IFERROR(INDEX(PP_Grid[#Data],$DE1532,53),0)</f>
        <v/>
      </c>
      <c r="BE1532">
        <f>IFERROR(INDEX(PP_Grid[#Data],$DE1532,54),0)</f>
        <v/>
      </c>
      <c r="BF1532">
        <f>IFERROR(INDEX(PP_Grid[#Data],$DE1532,55),0)</f>
        <v/>
      </c>
      <c r="BG1532">
        <f>IFERROR(INDEX(PP_Grid[#Data],$DE1532,56),0)</f>
        <v/>
      </c>
      <c r="BH1532">
        <f>IFERROR(INDEX(PP_Grid[#Data],$DE1532,57),0)</f>
        <v/>
      </c>
      <c r="BI1532">
        <f>IFERROR(INDEX(PP_Grid[#Data],$DE1532,58),0)</f>
        <v/>
      </c>
      <c r="BJ1532">
        <f>IFERROR(INDEX(PP_Grid[#Data],$DE1532,59),0)</f>
        <v/>
      </c>
      <c r="BK1532">
        <f>IFERROR(INDEX(PP_Grid[#Data],$DE1532,60),0)</f>
        <v/>
      </c>
      <c r="BL1532">
        <f>IFERROR(INDEX(PP_Grid[#Data],$DE1532,61),0)</f>
        <v/>
      </c>
      <c r="BM1532">
        <f>IFERROR(INDEX(PP_Grid[#Data],$DE1532,62),0)</f>
        <v/>
      </c>
      <c r="BN1532">
        <f>IFERROR(INDEX(PP_Grid[#Data],$DE1532,63),0)</f>
        <v/>
      </c>
      <c r="BO1532">
        <f>IFERROR(INDEX(PP_Grid[#Data],$DE1532,64),0)</f>
        <v/>
      </c>
      <c r="BP1532">
        <f>IFERROR(INDEX(PP_Grid[#Data],$DE1532,65),0)</f>
        <v/>
      </c>
      <c r="BQ1532">
        <f>IFERROR(INDEX(PP_Grid[#Data],$DE1532,66),0)</f>
        <v/>
      </c>
      <c r="BR1532">
        <f>IFERROR(INDEX(PP_Grid[#Data],$DE1532,67),0)</f>
        <v/>
      </c>
      <c r="BS1532">
        <f>IFERROR(INDEX(PP_Grid[#Data],$DE1532,68),0)</f>
        <v/>
      </c>
      <c r="BT1532">
        <f>IFERROR(INDEX(PP_Grid[#Data],$DE1532,69),0)</f>
        <v/>
      </c>
      <c r="BU1532">
        <f>IFERROR(INDEX(PP_Grid[#Data],$DE1532,70),0)</f>
        <v/>
      </c>
      <c r="BV1532">
        <f>IFERROR(INDEX(PP_Grid[#Data],$DE1532,71),0)</f>
        <v/>
      </c>
      <c r="BW1532">
        <f>IFERROR(INDEX(PP_Grid[#Data],$DE1532,72),0)</f>
        <v/>
      </c>
      <c r="BX1532">
        <f>IFERROR(INDEX(PP_Grid[#Data],$DE1532,73),0)</f>
        <v/>
      </c>
      <c r="BY1532">
        <f>IFERROR(INDEX(PP_Grid[#Data],$DE1532,74),0)</f>
        <v/>
      </c>
      <c r="BZ1532">
        <f>IFERROR(INDEX(PP_Grid[#Data],$DE1532,75),0)</f>
        <v/>
      </c>
      <c r="CA1532">
        <f>IFERROR(INDEX(PP_Grid[#Data],$DE1532,76),0)</f>
        <v/>
      </c>
      <c r="CB1532">
        <f>IFERROR(INDEX(PP_Grid[#Data],$DE1532,77),0)</f>
        <v/>
      </c>
      <c r="CC1532">
        <f>IFERROR(INDEX(PP_Grid[#Data],$DE1532,78),0)</f>
        <v/>
      </c>
      <c r="CD1532">
        <f>IFERROR(INDEX(PP_Grid[#Data],$DE1532,79),0)</f>
        <v/>
      </c>
      <c r="CE1532">
        <f>IFERROR(INDEX(PP_Grid[#Data],$DE1532,80),0)</f>
        <v/>
      </c>
      <c r="CF1532">
        <f>IFERROR(INDEX(PP_Grid[#Data],$DE1532,81),0)</f>
        <v/>
      </c>
      <c r="CG1532">
        <f>IFERROR(INDEX(PP_Grid[#Data],$DE1532,82),0)</f>
        <v/>
      </c>
      <c r="CH1532">
        <f>IFERROR(INDEX(PP_Grid[#Data],$DE1532,83),0)</f>
        <v/>
      </c>
      <c r="CI1532">
        <f>IFERROR(INDEX(PP_Grid[#Data],$DE1532,84),0)</f>
        <v/>
      </c>
      <c r="CJ1532">
        <f>IFERROR(INDEX(PP_Grid[#Data],$DE1532,85),0)</f>
        <v/>
      </c>
      <c r="CK1532">
        <f>IFERROR(INDEX(PP_Grid[#Data],$DE1532,86),0)</f>
        <v/>
      </c>
      <c r="CL1532">
        <f>IFERROR(INDEX(PP_Grid[#Data],$DE1532,87),0)</f>
        <v/>
      </c>
      <c r="CM1532">
        <f>IFERROR(INDEX(PP_Grid[#Data],$DE1532,88),0)</f>
        <v/>
      </c>
      <c r="CN1532">
        <f>IFERROR(INDEX(PP_Grid[#Data],$DE1532,89),0)</f>
        <v/>
      </c>
      <c r="CO1532">
        <f>IFERROR(INDEX(PP_Grid[#Data],$DE1532,90),0)</f>
        <v/>
      </c>
      <c r="CP1532">
        <f>IFERROR(INDEX(PP_Grid[#Data],$DE1532,91),0)</f>
        <v/>
      </c>
      <c r="CQ1532">
        <f>IFERROR(INDEX(PP_Grid[#Data],$DE1532,92),0)</f>
        <v/>
      </c>
      <c r="CR1532">
        <f>IFERROR(INDEX(PP_Grid[#Data],$DE1532,93),0)</f>
        <v/>
      </c>
      <c r="CS1532">
        <f>IFERROR(INDEX(PP_Grid[#Data],$DE1532,94),0)</f>
        <v/>
      </c>
      <c r="CT1532">
        <f>IFERROR(INDEX(PP_Grid[#Data],$DE1532,95),0)</f>
        <v/>
      </c>
      <c r="CU1532">
        <f>IFERROR(INDEX(PP_Grid[#Data],$DE1532,96),0)</f>
        <v/>
      </c>
      <c r="CV1532">
        <f>IFERROR(INDEX(PP_Grid[#Data],$DE1532,97),0)</f>
        <v/>
      </c>
      <c r="CW1532">
        <f>IFERROR(INDEX(PP_Grid[#Data],$DE1532,98),0)</f>
        <v/>
      </c>
      <c r="CX1532">
        <f>IFERROR(INDEX(PP_Grid[#Data],$DE1532,99),0)</f>
        <v/>
      </c>
      <c r="CY1532">
        <f>IFERROR(INDEX(PP_Grid[#Data],$DE1532,100),0)</f>
        <v/>
      </c>
      <c r="CZ1532">
        <f>IFERROR(INDEX(PP_Grid[#Data],$DE1532,101),0)</f>
        <v/>
      </c>
      <c r="DA1532">
        <f>IFERROR(INDEX(PP_Grid[#Data],$DE1532,102),0)</f>
        <v/>
      </c>
      <c r="DB1532">
        <f>IFERROR(INDEX(PP_Grid[#Data],$DE1532,103),0)</f>
        <v/>
      </c>
      <c r="DC1532">
        <f>IFERROR(INDEX(PP_Grid[#Data],$DE1532,104),0)</f>
        <v/>
      </c>
      <c r="DD1532">
        <f>IFERROR(INDEX(PP_Grid[#Data],$DE1532,105),0)</f>
        <v/>
      </c>
      <c r="DE1532" s="7">
        <f>IFERROR(MATCH($B1532,PP_Grid[Intermediate],0),99999)</f>
        <v/>
      </c>
    </row>
    <row r="1533">
      <c r="B1533" t="inlineStr">
        <is>
          <t>使用量(kg)</t>
        </is>
      </c>
      <c r="C1533">
        <f>SUMIFS(M_BOM[RM_Qty_Per_Batch],M_BOM[Intermediate],$B1532,M_BOM[RM_Code],$A1531)</f>
        <v/>
      </c>
      <c r="D1533">
        <f>IFERROR(INDEX(E1533:DD1533,$F$1),"")</f>
        <v/>
      </c>
      <c r="E1533">
        <f>$C1533*E1532</f>
        <v/>
      </c>
      <c r="F1533">
        <f>$C1533*F1532</f>
        <v/>
      </c>
      <c r="G1533">
        <f>$C1533*G1532</f>
        <v/>
      </c>
      <c r="H1533">
        <f>$C1533*H1532</f>
        <v/>
      </c>
      <c r="I1533">
        <f>$C1533*I1532</f>
        <v/>
      </c>
      <c r="J1533">
        <f>$C1533*J1532</f>
        <v/>
      </c>
      <c r="K1533">
        <f>$C1533*K1532</f>
        <v/>
      </c>
      <c r="L1533">
        <f>$C1533*L1532</f>
        <v/>
      </c>
      <c r="M1533">
        <f>$C1533*M1532</f>
        <v/>
      </c>
      <c r="N1533">
        <f>$C1533*N1532</f>
        <v/>
      </c>
      <c r="O1533">
        <f>$C1533*O1532</f>
        <v/>
      </c>
      <c r="P1533">
        <f>$C1533*P1532</f>
        <v/>
      </c>
      <c r="Q1533">
        <f>$C1533*Q1532</f>
        <v/>
      </c>
      <c r="R1533">
        <f>$C1533*R1532</f>
        <v/>
      </c>
      <c r="S1533">
        <f>$C1533*S1532</f>
        <v/>
      </c>
      <c r="T1533">
        <f>$C1533*T1532</f>
        <v/>
      </c>
      <c r="U1533">
        <f>$C1533*U1532</f>
        <v/>
      </c>
      <c r="V1533">
        <f>$C1533*V1532</f>
        <v/>
      </c>
      <c r="W1533">
        <f>$C1533*W1532</f>
        <v/>
      </c>
      <c r="X1533">
        <f>$C1533*X1532</f>
        <v/>
      </c>
      <c r="Y1533">
        <f>$C1533*Y1532</f>
        <v/>
      </c>
      <c r="Z1533">
        <f>$C1533*Z1532</f>
        <v/>
      </c>
      <c r="AA1533">
        <f>$C1533*AA1532</f>
        <v/>
      </c>
      <c r="AB1533">
        <f>$C1533*AB1532</f>
        <v/>
      </c>
      <c r="AC1533">
        <f>$C1533*AC1532</f>
        <v/>
      </c>
      <c r="AD1533">
        <f>$C1533*AD1532</f>
        <v/>
      </c>
      <c r="AE1533">
        <f>$C1533*AE1532</f>
        <v/>
      </c>
      <c r="AF1533">
        <f>$C1533*AF1532</f>
        <v/>
      </c>
      <c r="AG1533">
        <f>$C1533*AG1532</f>
        <v/>
      </c>
      <c r="AH1533">
        <f>$C1533*AH1532</f>
        <v/>
      </c>
      <c r="AI1533">
        <f>$C1533*AI1532</f>
        <v/>
      </c>
      <c r="AJ1533">
        <f>$C1533*AJ1532</f>
        <v/>
      </c>
      <c r="AK1533">
        <f>$C1533*AK1532</f>
        <v/>
      </c>
      <c r="AL1533">
        <f>$C1533*AL1532</f>
        <v/>
      </c>
      <c r="AM1533">
        <f>$C1533*AM1532</f>
        <v/>
      </c>
      <c r="AN1533">
        <f>$C1533*AN1532</f>
        <v/>
      </c>
      <c r="AO1533">
        <f>$C1533*AO1532</f>
        <v/>
      </c>
      <c r="AP1533">
        <f>$C1533*AP1532</f>
        <v/>
      </c>
      <c r="AQ1533">
        <f>$C1533*AQ1532</f>
        <v/>
      </c>
      <c r="AR1533">
        <f>$C1533*AR1532</f>
        <v/>
      </c>
      <c r="AS1533">
        <f>$C1533*AS1532</f>
        <v/>
      </c>
      <c r="AT1533">
        <f>$C1533*AT1532</f>
        <v/>
      </c>
      <c r="AU1533">
        <f>$C1533*AU1532</f>
        <v/>
      </c>
      <c r="AV1533">
        <f>$C1533*AV1532</f>
        <v/>
      </c>
      <c r="AW1533">
        <f>$C1533*AW1532</f>
        <v/>
      </c>
      <c r="AX1533">
        <f>$C1533*AX1532</f>
        <v/>
      </c>
      <c r="AY1533">
        <f>$C1533*AY1532</f>
        <v/>
      </c>
      <c r="AZ1533">
        <f>$C1533*AZ1532</f>
        <v/>
      </c>
      <c r="BA1533">
        <f>$C1533*BA1532</f>
        <v/>
      </c>
      <c r="BB1533">
        <f>$C1533*BB1532</f>
        <v/>
      </c>
      <c r="BC1533">
        <f>$C1533*BC1532</f>
        <v/>
      </c>
      <c r="BD1533">
        <f>$C1533*BD1532</f>
        <v/>
      </c>
      <c r="BE1533">
        <f>$C1533*BE1532</f>
        <v/>
      </c>
      <c r="BF1533">
        <f>$C1533*BF1532</f>
        <v/>
      </c>
      <c r="BG1533">
        <f>$C1533*BG1532</f>
        <v/>
      </c>
      <c r="BH1533">
        <f>$C1533*BH1532</f>
        <v/>
      </c>
      <c r="BI1533">
        <f>$C1533*BI1532</f>
        <v/>
      </c>
      <c r="BJ1533">
        <f>$C1533*BJ1532</f>
        <v/>
      </c>
      <c r="BK1533">
        <f>$C1533*BK1532</f>
        <v/>
      </c>
      <c r="BL1533">
        <f>$C1533*BL1532</f>
        <v/>
      </c>
      <c r="BM1533">
        <f>$C1533*BM1532</f>
        <v/>
      </c>
      <c r="BN1533">
        <f>$C1533*BN1532</f>
        <v/>
      </c>
      <c r="BO1533">
        <f>$C1533*BO1532</f>
        <v/>
      </c>
      <c r="BP1533">
        <f>$C1533*BP1532</f>
        <v/>
      </c>
      <c r="BQ1533">
        <f>$C1533*BQ1532</f>
        <v/>
      </c>
      <c r="BR1533">
        <f>$C1533*BR1532</f>
        <v/>
      </c>
      <c r="BS1533">
        <f>$C1533*BS1532</f>
        <v/>
      </c>
      <c r="BT1533">
        <f>$C1533*BT1532</f>
        <v/>
      </c>
      <c r="BU1533">
        <f>$C1533*BU1532</f>
        <v/>
      </c>
      <c r="BV1533">
        <f>$C1533*BV1532</f>
        <v/>
      </c>
      <c r="BW1533">
        <f>$C1533*BW1532</f>
        <v/>
      </c>
      <c r="BX1533">
        <f>$C1533*BX1532</f>
        <v/>
      </c>
      <c r="BY1533">
        <f>$C1533*BY1532</f>
        <v/>
      </c>
      <c r="BZ1533">
        <f>$C1533*BZ1532</f>
        <v/>
      </c>
      <c r="CA1533">
        <f>$C1533*CA1532</f>
        <v/>
      </c>
      <c r="CB1533">
        <f>$C1533*CB1532</f>
        <v/>
      </c>
      <c r="CC1533">
        <f>$C1533*CC1532</f>
        <v/>
      </c>
      <c r="CD1533">
        <f>$C1533*CD1532</f>
        <v/>
      </c>
      <c r="CE1533">
        <f>$C1533*CE1532</f>
        <v/>
      </c>
      <c r="CF1533">
        <f>$C1533*CF1532</f>
        <v/>
      </c>
      <c r="CG1533">
        <f>$C1533*CG1532</f>
        <v/>
      </c>
      <c r="CH1533">
        <f>$C1533*CH1532</f>
        <v/>
      </c>
      <c r="CI1533">
        <f>$C1533*CI1532</f>
        <v/>
      </c>
      <c r="CJ1533">
        <f>$C1533*CJ1532</f>
        <v/>
      </c>
      <c r="CK1533">
        <f>$C1533*CK1532</f>
        <v/>
      </c>
      <c r="CL1533">
        <f>$C1533*CL1532</f>
        <v/>
      </c>
      <c r="CM1533">
        <f>$C1533*CM1532</f>
        <v/>
      </c>
      <c r="CN1533">
        <f>$C1533*CN1532</f>
        <v/>
      </c>
      <c r="CO1533">
        <f>$C1533*CO1532</f>
        <v/>
      </c>
      <c r="CP1533">
        <f>$C1533*CP1532</f>
        <v/>
      </c>
      <c r="CQ1533">
        <f>$C1533*CQ1532</f>
        <v/>
      </c>
      <c r="CR1533">
        <f>$C1533*CR1532</f>
        <v/>
      </c>
      <c r="CS1533">
        <f>$C1533*CS1532</f>
        <v/>
      </c>
      <c r="CT1533">
        <f>$C1533*CT1532</f>
        <v/>
      </c>
      <c r="CU1533">
        <f>$C1533*CU1532</f>
        <v/>
      </c>
      <c r="CV1533">
        <f>$C1533*CV1532</f>
        <v/>
      </c>
      <c r="CW1533">
        <f>$C1533*CW1532</f>
        <v/>
      </c>
      <c r="CX1533">
        <f>$C1533*CX1532</f>
        <v/>
      </c>
      <c r="CY1533">
        <f>$C1533*CY1532</f>
        <v/>
      </c>
      <c r="CZ1533">
        <f>$C1533*CZ1532</f>
        <v/>
      </c>
      <c r="DA1533">
        <f>$C1533*DA1532</f>
        <v/>
      </c>
      <c r="DB1533">
        <f>$C1533*DB1532</f>
        <v/>
      </c>
      <c r="DC1533">
        <f>$C1533*DC1532</f>
        <v/>
      </c>
      <c r="DD1533">
        <f>$C1533*DD1532</f>
        <v/>
      </c>
    </row>
    <row r="1534">
      <c r="B1534" s="4" t="inlineStr">
        <is>
          <t>合計使用量(kg)/週</t>
        </is>
      </c>
      <c r="D1534" s="22">
        <f>IFERROR(INDEX(E1534:DD1534,$F$1),"")</f>
        <v/>
      </c>
      <c r="E1534">
        <f>'Grid_Requirement'!B64</f>
        <v/>
      </c>
      <c r="F1534">
        <f>'Grid_Requirement'!C64</f>
        <v/>
      </c>
      <c r="G1534">
        <f>'Grid_Requirement'!D64</f>
        <v/>
      </c>
      <c r="H1534">
        <f>'Grid_Requirement'!E64</f>
        <v/>
      </c>
      <c r="I1534">
        <f>'Grid_Requirement'!F64</f>
        <v/>
      </c>
      <c r="J1534">
        <f>'Grid_Requirement'!G64</f>
        <v/>
      </c>
      <c r="K1534">
        <f>'Grid_Requirement'!H64</f>
        <v/>
      </c>
      <c r="L1534">
        <f>'Grid_Requirement'!I64</f>
        <v/>
      </c>
      <c r="M1534">
        <f>'Grid_Requirement'!J64</f>
        <v/>
      </c>
      <c r="N1534">
        <f>'Grid_Requirement'!K64</f>
        <v/>
      </c>
      <c r="O1534">
        <f>'Grid_Requirement'!L64</f>
        <v/>
      </c>
      <c r="P1534">
        <f>'Grid_Requirement'!M64</f>
        <v/>
      </c>
      <c r="Q1534">
        <f>'Grid_Requirement'!N64</f>
        <v/>
      </c>
      <c r="R1534">
        <f>'Grid_Requirement'!O64</f>
        <v/>
      </c>
      <c r="S1534">
        <f>'Grid_Requirement'!P64</f>
        <v/>
      </c>
      <c r="T1534">
        <f>'Grid_Requirement'!Q64</f>
        <v/>
      </c>
      <c r="U1534">
        <f>'Grid_Requirement'!R64</f>
        <v/>
      </c>
      <c r="V1534">
        <f>'Grid_Requirement'!S64</f>
        <v/>
      </c>
      <c r="W1534">
        <f>'Grid_Requirement'!T64</f>
        <v/>
      </c>
      <c r="X1534">
        <f>'Grid_Requirement'!U64</f>
        <v/>
      </c>
      <c r="Y1534">
        <f>'Grid_Requirement'!V64</f>
        <v/>
      </c>
      <c r="Z1534">
        <f>'Grid_Requirement'!W64</f>
        <v/>
      </c>
      <c r="AA1534">
        <f>'Grid_Requirement'!X64</f>
        <v/>
      </c>
      <c r="AB1534">
        <f>'Grid_Requirement'!Y64</f>
        <v/>
      </c>
      <c r="AC1534">
        <f>'Grid_Requirement'!Z64</f>
        <v/>
      </c>
      <c r="AD1534">
        <f>'Grid_Requirement'!AA64</f>
        <v/>
      </c>
      <c r="AE1534">
        <f>'Grid_Requirement'!AB64</f>
        <v/>
      </c>
      <c r="AF1534">
        <f>'Grid_Requirement'!AC64</f>
        <v/>
      </c>
      <c r="AG1534">
        <f>'Grid_Requirement'!AD64</f>
        <v/>
      </c>
      <c r="AH1534">
        <f>'Grid_Requirement'!AE64</f>
        <v/>
      </c>
      <c r="AI1534">
        <f>'Grid_Requirement'!AF64</f>
        <v/>
      </c>
      <c r="AJ1534">
        <f>'Grid_Requirement'!AG64</f>
        <v/>
      </c>
      <c r="AK1534">
        <f>'Grid_Requirement'!AH64</f>
        <v/>
      </c>
      <c r="AL1534">
        <f>'Grid_Requirement'!AI64</f>
        <v/>
      </c>
      <c r="AM1534">
        <f>'Grid_Requirement'!AJ64</f>
        <v/>
      </c>
      <c r="AN1534">
        <f>'Grid_Requirement'!AK64</f>
        <v/>
      </c>
      <c r="AO1534">
        <f>'Grid_Requirement'!AL64</f>
        <v/>
      </c>
      <c r="AP1534">
        <f>'Grid_Requirement'!AM64</f>
        <v/>
      </c>
      <c r="AQ1534">
        <f>'Grid_Requirement'!AN64</f>
        <v/>
      </c>
      <c r="AR1534">
        <f>'Grid_Requirement'!AO64</f>
        <v/>
      </c>
      <c r="AS1534">
        <f>'Grid_Requirement'!AP64</f>
        <v/>
      </c>
      <c r="AT1534">
        <f>'Grid_Requirement'!AQ64</f>
        <v/>
      </c>
      <c r="AU1534">
        <f>'Grid_Requirement'!AR64</f>
        <v/>
      </c>
      <c r="AV1534">
        <f>'Grid_Requirement'!AS64</f>
        <v/>
      </c>
      <c r="AW1534">
        <f>'Grid_Requirement'!AT64</f>
        <v/>
      </c>
      <c r="AX1534">
        <f>'Grid_Requirement'!AU64</f>
        <v/>
      </c>
      <c r="AY1534">
        <f>'Grid_Requirement'!AV64</f>
        <v/>
      </c>
      <c r="AZ1534">
        <f>'Grid_Requirement'!AW64</f>
        <v/>
      </c>
      <c r="BA1534">
        <f>'Grid_Requirement'!AX64</f>
        <v/>
      </c>
      <c r="BB1534">
        <f>'Grid_Requirement'!AY64</f>
        <v/>
      </c>
      <c r="BC1534">
        <f>'Grid_Requirement'!AZ64</f>
        <v/>
      </c>
      <c r="BD1534">
        <f>'Grid_Requirement'!BA64</f>
        <v/>
      </c>
      <c r="BE1534">
        <f>'Grid_Requirement'!BB64</f>
        <v/>
      </c>
      <c r="BF1534">
        <f>'Grid_Requirement'!BC64</f>
        <v/>
      </c>
      <c r="BG1534">
        <f>'Grid_Requirement'!BD64</f>
        <v/>
      </c>
      <c r="BH1534">
        <f>'Grid_Requirement'!BE64</f>
        <v/>
      </c>
      <c r="BI1534">
        <f>'Grid_Requirement'!BF64</f>
        <v/>
      </c>
      <c r="BJ1534">
        <f>'Grid_Requirement'!BG64</f>
        <v/>
      </c>
      <c r="BK1534">
        <f>'Grid_Requirement'!BH64</f>
        <v/>
      </c>
      <c r="BL1534">
        <f>'Grid_Requirement'!BI64</f>
        <v/>
      </c>
      <c r="BM1534">
        <f>'Grid_Requirement'!BJ64</f>
        <v/>
      </c>
      <c r="BN1534">
        <f>'Grid_Requirement'!BK64</f>
        <v/>
      </c>
      <c r="BO1534">
        <f>'Grid_Requirement'!BL64</f>
        <v/>
      </c>
      <c r="BP1534">
        <f>'Grid_Requirement'!BM64</f>
        <v/>
      </c>
      <c r="BQ1534">
        <f>'Grid_Requirement'!BN64</f>
        <v/>
      </c>
      <c r="BR1534">
        <f>'Grid_Requirement'!BO64</f>
        <v/>
      </c>
      <c r="BS1534">
        <f>'Grid_Requirement'!BP64</f>
        <v/>
      </c>
      <c r="BT1534">
        <f>'Grid_Requirement'!BQ64</f>
        <v/>
      </c>
      <c r="BU1534">
        <f>'Grid_Requirement'!BR64</f>
        <v/>
      </c>
      <c r="BV1534">
        <f>'Grid_Requirement'!BS64</f>
        <v/>
      </c>
      <c r="BW1534">
        <f>'Grid_Requirement'!BT64</f>
        <v/>
      </c>
      <c r="BX1534">
        <f>'Grid_Requirement'!BU64</f>
        <v/>
      </c>
      <c r="BY1534">
        <f>'Grid_Requirement'!BV64</f>
        <v/>
      </c>
      <c r="BZ1534">
        <f>'Grid_Requirement'!BW64</f>
        <v/>
      </c>
      <c r="CA1534">
        <f>'Grid_Requirement'!BX64</f>
        <v/>
      </c>
      <c r="CB1534">
        <f>'Grid_Requirement'!BY64</f>
        <v/>
      </c>
      <c r="CC1534">
        <f>'Grid_Requirement'!BZ64</f>
        <v/>
      </c>
      <c r="CD1534">
        <f>'Grid_Requirement'!CA64</f>
        <v/>
      </c>
      <c r="CE1534">
        <f>'Grid_Requirement'!CB64</f>
        <v/>
      </c>
      <c r="CF1534">
        <f>'Grid_Requirement'!CC64</f>
        <v/>
      </c>
      <c r="CG1534">
        <f>'Grid_Requirement'!CD64</f>
        <v/>
      </c>
      <c r="CH1534">
        <f>'Grid_Requirement'!CE64</f>
        <v/>
      </c>
      <c r="CI1534">
        <f>'Grid_Requirement'!CF64</f>
        <v/>
      </c>
      <c r="CJ1534">
        <f>'Grid_Requirement'!CG64</f>
        <v/>
      </c>
      <c r="CK1534">
        <f>'Grid_Requirement'!CH64</f>
        <v/>
      </c>
      <c r="CL1534">
        <f>'Grid_Requirement'!CI64</f>
        <v/>
      </c>
      <c r="CM1534">
        <f>'Grid_Requirement'!CJ64</f>
        <v/>
      </c>
      <c r="CN1534">
        <f>'Grid_Requirement'!CK64</f>
        <v/>
      </c>
      <c r="CO1534">
        <f>'Grid_Requirement'!CL64</f>
        <v/>
      </c>
      <c r="CP1534">
        <f>'Grid_Requirement'!CM64</f>
        <v/>
      </c>
      <c r="CQ1534">
        <f>'Grid_Requirement'!CN64</f>
        <v/>
      </c>
      <c r="CR1534">
        <f>'Grid_Requirement'!CO64</f>
        <v/>
      </c>
      <c r="CS1534">
        <f>'Grid_Requirement'!CP64</f>
        <v/>
      </c>
      <c r="CT1534">
        <f>'Grid_Requirement'!CQ64</f>
        <v/>
      </c>
      <c r="CU1534">
        <f>'Grid_Requirement'!CR64</f>
        <v/>
      </c>
      <c r="CV1534">
        <f>'Grid_Requirement'!CS64</f>
        <v/>
      </c>
      <c r="CW1534">
        <f>'Grid_Requirement'!CT64</f>
        <v/>
      </c>
      <c r="CX1534">
        <f>'Grid_Requirement'!CU64</f>
        <v/>
      </c>
      <c r="CY1534">
        <f>'Grid_Requirement'!CV64</f>
        <v/>
      </c>
      <c r="CZ1534">
        <f>'Grid_Requirement'!CW64</f>
        <v/>
      </c>
      <c r="DA1534">
        <f>'Grid_Requirement'!CX64</f>
        <v/>
      </c>
      <c r="DB1534">
        <f>'Grid_Requirement'!CY64</f>
        <v/>
      </c>
      <c r="DC1534">
        <f>'Grid_Requirement'!CZ64</f>
        <v/>
      </c>
      <c r="DD1534">
        <f>'Grid_Requirement'!DA64</f>
        <v/>
      </c>
    </row>
    <row r="1535">
      <c r="B1535" s="23" t="inlineStr">
        <is>
          <t>（在庫・入荷予定はDashboard参照）</t>
        </is>
      </c>
    </row>
    <row r="1537">
      <c r="A1537" s="21" t="inlineStr">
        <is>
          <t>7EP</t>
        </is>
      </c>
      <c r="B1537" s="21" t="inlineStr">
        <is>
          <t>N30S7R07WF7 4FK13093100</t>
        </is>
      </c>
      <c r="C1537" s="21" t="n"/>
      <c r="D1537" s="21" t="n"/>
      <c r="E1537" s="21" t="n"/>
      <c r="F1537" s="21" t="n"/>
      <c r="G1537" s="21" t="n"/>
      <c r="H1537" s="21" t="n"/>
      <c r="I1537" s="21" t="n"/>
      <c r="J1537" s="21" t="n"/>
      <c r="K1537" s="21" t="n"/>
      <c r="L1537" s="21" t="n"/>
      <c r="M1537" s="21" t="n"/>
      <c r="N1537" s="21" t="n"/>
      <c r="O1537" s="21" t="n"/>
      <c r="P1537" s="21" t="n"/>
      <c r="Q1537" s="21" t="n"/>
      <c r="R1537" s="21" t="n"/>
      <c r="S1537" s="21" t="n"/>
      <c r="T1537" s="21" t="n"/>
      <c r="U1537" s="21" t="n"/>
      <c r="V1537" s="21" t="n"/>
      <c r="W1537" s="21" t="n"/>
      <c r="X1537" s="21" t="n"/>
      <c r="Y1537" s="21" t="n"/>
      <c r="Z1537" s="21" t="n"/>
      <c r="AA1537" s="21" t="n"/>
      <c r="AB1537" s="21" t="n"/>
      <c r="AC1537" s="21" t="n"/>
      <c r="AD1537" s="21" t="n"/>
      <c r="AE1537" s="21" t="n"/>
      <c r="AF1537" s="21" t="n"/>
      <c r="AG1537" s="21" t="n"/>
      <c r="AH1537" s="21" t="n"/>
      <c r="AI1537" s="21" t="n"/>
      <c r="AJ1537" s="21" t="n"/>
      <c r="AK1537" s="21" t="n"/>
      <c r="AL1537" s="21" t="n"/>
      <c r="AM1537" s="21" t="n"/>
      <c r="AN1537" s="21" t="n"/>
      <c r="AO1537" s="21" t="n"/>
      <c r="AP1537" s="21" t="n"/>
      <c r="AQ1537" s="21" t="n"/>
      <c r="AR1537" s="21" t="n"/>
      <c r="AS1537" s="21" t="n"/>
      <c r="AT1537" s="21" t="n"/>
      <c r="AU1537" s="21" t="n"/>
      <c r="AV1537" s="21" t="n"/>
      <c r="AW1537" s="21" t="n"/>
      <c r="AX1537" s="21" t="n"/>
      <c r="AY1537" s="21" t="n"/>
      <c r="AZ1537" s="21" t="n"/>
      <c r="BA1537" s="21" t="n"/>
      <c r="BB1537" s="21" t="n"/>
      <c r="BC1537" s="21" t="n"/>
      <c r="BD1537" s="21" t="n"/>
      <c r="BE1537" s="21" t="n"/>
      <c r="BF1537" s="21" t="n"/>
      <c r="BG1537" s="21" t="n"/>
      <c r="BH1537" s="21" t="n"/>
      <c r="BI1537" s="21" t="n"/>
      <c r="BJ1537" s="21" t="n"/>
      <c r="BK1537" s="21" t="n"/>
      <c r="BL1537" s="21" t="n"/>
      <c r="BM1537" s="21" t="n"/>
      <c r="BN1537" s="21" t="n"/>
      <c r="BO1537" s="21" t="n"/>
      <c r="BP1537" s="21" t="n"/>
      <c r="BQ1537" s="21" t="n"/>
      <c r="BR1537" s="21" t="n"/>
      <c r="BS1537" s="21" t="n"/>
      <c r="BT1537" s="21" t="n"/>
      <c r="BU1537" s="21" t="n"/>
      <c r="BV1537" s="21" t="n"/>
      <c r="BW1537" s="21" t="n"/>
      <c r="BX1537" s="21" t="n"/>
      <c r="BY1537" s="21" t="n"/>
      <c r="BZ1537" s="21" t="n"/>
      <c r="CA1537" s="21" t="n"/>
      <c r="CB1537" s="21" t="n"/>
      <c r="CC1537" s="21" t="n"/>
      <c r="CD1537" s="21" t="n"/>
      <c r="CE1537" s="21" t="n"/>
      <c r="CF1537" s="21" t="n"/>
      <c r="CG1537" s="21" t="n"/>
      <c r="CH1537" s="21" t="n"/>
      <c r="CI1537" s="21" t="n"/>
      <c r="CJ1537" s="21" t="n"/>
      <c r="CK1537" s="21" t="n"/>
      <c r="CL1537" s="21" t="n"/>
      <c r="CM1537" s="21" t="n"/>
      <c r="CN1537" s="21" t="n"/>
      <c r="CO1537" s="21" t="n"/>
      <c r="CP1537" s="21" t="n"/>
      <c r="CQ1537" s="21" t="n"/>
      <c r="CR1537" s="21" t="n"/>
      <c r="CS1537" s="21" t="n"/>
      <c r="CT1537" s="21" t="n"/>
      <c r="CU1537" s="21" t="n"/>
      <c r="CV1537" s="21" t="n"/>
      <c r="CW1537" s="21" t="n"/>
      <c r="CX1537" s="21" t="n"/>
      <c r="CY1537" s="21" t="n"/>
      <c r="CZ1537" s="21" t="n"/>
      <c r="DA1537" s="21" t="n"/>
      <c r="DB1537" s="21" t="n"/>
      <c r="DC1537" s="21" t="n"/>
      <c r="DD1537" s="21" t="n"/>
    </row>
    <row r="1538">
      <c r="B1538" t="inlineStr">
        <is>
          <t>0Q120</t>
        </is>
      </c>
      <c r="C1538" t="inlineStr">
        <is>
          <t>No. of batches</t>
        </is>
      </c>
      <c r="D1538">
        <f>IFERROR(INDEX(E1538:DD1538,$F$1),"")</f>
        <v/>
      </c>
      <c r="E1538">
        <f>IFERROR(INDEX(PP_Grid[#Data],$DE1538,2),0)</f>
        <v/>
      </c>
      <c r="F1538">
        <f>IFERROR(INDEX(PP_Grid[#Data],$DE1538,3),0)</f>
        <v/>
      </c>
      <c r="G1538">
        <f>IFERROR(INDEX(PP_Grid[#Data],$DE1538,4),0)</f>
        <v/>
      </c>
      <c r="H1538">
        <f>IFERROR(INDEX(PP_Grid[#Data],$DE1538,5),0)</f>
        <v/>
      </c>
      <c r="I1538">
        <f>IFERROR(INDEX(PP_Grid[#Data],$DE1538,6),0)</f>
        <v/>
      </c>
      <c r="J1538">
        <f>IFERROR(INDEX(PP_Grid[#Data],$DE1538,7),0)</f>
        <v/>
      </c>
      <c r="K1538">
        <f>IFERROR(INDEX(PP_Grid[#Data],$DE1538,8),0)</f>
        <v/>
      </c>
      <c r="L1538">
        <f>IFERROR(INDEX(PP_Grid[#Data],$DE1538,9),0)</f>
        <v/>
      </c>
      <c r="M1538">
        <f>IFERROR(INDEX(PP_Grid[#Data],$DE1538,10),0)</f>
        <v/>
      </c>
      <c r="N1538">
        <f>IFERROR(INDEX(PP_Grid[#Data],$DE1538,11),0)</f>
        <v/>
      </c>
      <c r="O1538">
        <f>IFERROR(INDEX(PP_Grid[#Data],$DE1538,12),0)</f>
        <v/>
      </c>
      <c r="P1538">
        <f>IFERROR(INDEX(PP_Grid[#Data],$DE1538,13),0)</f>
        <v/>
      </c>
      <c r="Q1538">
        <f>IFERROR(INDEX(PP_Grid[#Data],$DE1538,14),0)</f>
        <v/>
      </c>
      <c r="R1538">
        <f>IFERROR(INDEX(PP_Grid[#Data],$DE1538,15),0)</f>
        <v/>
      </c>
      <c r="S1538">
        <f>IFERROR(INDEX(PP_Grid[#Data],$DE1538,16),0)</f>
        <v/>
      </c>
      <c r="T1538">
        <f>IFERROR(INDEX(PP_Grid[#Data],$DE1538,17),0)</f>
        <v/>
      </c>
      <c r="U1538">
        <f>IFERROR(INDEX(PP_Grid[#Data],$DE1538,18),0)</f>
        <v/>
      </c>
      <c r="V1538">
        <f>IFERROR(INDEX(PP_Grid[#Data],$DE1538,19),0)</f>
        <v/>
      </c>
      <c r="W1538">
        <f>IFERROR(INDEX(PP_Grid[#Data],$DE1538,20),0)</f>
        <v/>
      </c>
      <c r="X1538">
        <f>IFERROR(INDEX(PP_Grid[#Data],$DE1538,21),0)</f>
        <v/>
      </c>
      <c r="Y1538">
        <f>IFERROR(INDEX(PP_Grid[#Data],$DE1538,22),0)</f>
        <v/>
      </c>
      <c r="Z1538">
        <f>IFERROR(INDEX(PP_Grid[#Data],$DE1538,23),0)</f>
        <v/>
      </c>
      <c r="AA1538">
        <f>IFERROR(INDEX(PP_Grid[#Data],$DE1538,24),0)</f>
        <v/>
      </c>
      <c r="AB1538">
        <f>IFERROR(INDEX(PP_Grid[#Data],$DE1538,25),0)</f>
        <v/>
      </c>
      <c r="AC1538">
        <f>IFERROR(INDEX(PP_Grid[#Data],$DE1538,26),0)</f>
        <v/>
      </c>
      <c r="AD1538">
        <f>IFERROR(INDEX(PP_Grid[#Data],$DE1538,27),0)</f>
        <v/>
      </c>
      <c r="AE1538">
        <f>IFERROR(INDEX(PP_Grid[#Data],$DE1538,28),0)</f>
        <v/>
      </c>
      <c r="AF1538">
        <f>IFERROR(INDEX(PP_Grid[#Data],$DE1538,29),0)</f>
        <v/>
      </c>
      <c r="AG1538">
        <f>IFERROR(INDEX(PP_Grid[#Data],$DE1538,30),0)</f>
        <v/>
      </c>
      <c r="AH1538">
        <f>IFERROR(INDEX(PP_Grid[#Data],$DE1538,31),0)</f>
        <v/>
      </c>
      <c r="AI1538">
        <f>IFERROR(INDEX(PP_Grid[#Data],$DE1538,32),0)</f>
        <v/>
      </c>
      <c r="AJ1538">
        <f>IFERROR(INDEX(PP_Grid[#Data],$DE1538,33),0)</f>
        <v/>
      </c>
      <c r="AK1538">
        <f>IFERROR(INDEX(PP_Grid[#Data],$DE1538,34),0)</f>
        <v/>
      </c>
      <c r="AL1538">
        <f>IFERROR(INDEX(PP_Grid[#Data],$DE1538,35),0)</f>
        <v/>
      </c>
      <c r="AM1538">
        <f>IFERROR(INDEX(PP_Grid[#Data],$DE1538,36),0)</f>
        <v/>
      </c>
      <c r="AN1538">
        <f>IFERROR(INDEX(PP_Grid[#Data],$DE1538,37),0)</f>
        <v/>
      </c>
      <c r="AO1538">
        <f>IFERROR(INDEX(PP_Grid[#Data],$DE1538,38),0)</f>
        <v/>
      </c>
      <c r="AP1538">
        <f>IFERROR(INDEX(PP_Grid[#Data],$DE1538,39),0)</f>
        <v/>
      </c>
      <c r="AQ1538">
        <f>IFERROR(INDEX(PP_Grid[#Data],$DE1538,40),0)</f>
        <v/>
      </c>
      <c r="AR1538">
        <f>IFERROR(INDEX(PP_Grid[#Data],$DE1538,41),0)</f>
        <v/>
      </c>
      <c r="AS1538">
        <f>IFERROR(INDEX(PP_Grid[#Data],$DE1538,42),0)</f>
        <v/>
      </c>
      <c r="AT1538">
        <f>IFERROR(INDEX(PP_Grid[#Data],$DE1538,43),0)</f>
        <v/>
      </c>
      <c r="AU1538">
        <f>IFERROR(INDEX(PP_Grid[#Data],$DE1538,44),0)</f>
        <v/>
      </c>
      <c r="AV1538">
        <f>IFERROR(INDEX(PP_Grid[#Data],$DE1538,45),0)</f>
        <v/>
      </c>
      <c r="AW1538">
        <f>IFERROR(INDEX(PP_Grid[#Data],$DE1538,46),0)</f>
        <v/>
      </c>
      <c r="AX1538">
        <f>IFERROR(INDEX(PP_Grid[#Data],$DE1538,47),0)</f>
        <v/>
      </c>
      <c r="AY1538">
        <f>IFERROR(INDEX(PP_Grid[#Data],$DE1538,48),0)</f>
        <v/>
      </c>
      <c r="AZ1538">
        <f>IFERROR(INDEX(PP_Grid[#Data],$DE1538,49),0)</f>
        <v/>
      </c>
      <c r="BA1538">
        <f>IFERROR(INDEX(PP_Grid[#Data],$DE1538,50),0)</f>
        <v/>
      </c>
      <c r="BB1538">
        <f>IFERROR(INDEX(PP_Grid[#Data],$DE1538,51),0)</f>
        <v/>
      </c>
      <c r="BC1538">
        <f>IFERROR(INDEX(PP_Grid[#Data],$DE1538,52),0)</f>
        <v/>
      </c>
      <c r="BD1538">
        <f>IFERROR(INDEX(PP_Grid[#Data],$DE1538,53),0)</f>
        <v/>
      </c>
      <c r="BE1538">
        <f>IFERROR(INDEX(PP_Grid[#Data],$DE1538,54),0)</f>
        <v/>
      </c>
      <c r="BF1538">
        <f>IFERROR(INDEX(PP_Grid[#Data],$DE1538,55),0)</f>
        <v/>
      </c>
      <c r="BG1538">
        <f>IFERROR(INDEX(PP_Grid[#Data],$DE1538,56),0)</f>
        <v/>
      </c>
      <c r="BH1538">
        <f>IFERROR(INDEX(PP_Grid[#Data],$DE1538,57),0)</f>
        <v/>
      </c>
      <c r="BI1538">
        <f>IFERROR(INDEX(PP_Grid[#Data],$DE1538,58),0)</f>
        <v/>
      </c>
      <c r="BJ1538">
        <f>IFERROR(INDEX(PP_Grid[#Data],$DE1538,59),0)</f>
        <v/>
      </c>
      <c r="BK1538">
        <f>IFERROR(INDEX(PP_Grid[#Data],$DE1538,60),0)</f>
        <v/>
      </c>
      <c r="BL1538">
        <f>IFERROR(INDEX(PP_Grid[#Data],$DE1538,61),0)</f>
        <v/>
      </c>
      <c r="BM1538">
        <f>IFERROR(INDEX(PP_Grid[#Data],$DE1538,62),0)</f>
        <v/>
      </c>
      <c r="BN1538">
        <f>IFERROR(INDEX(PP_Grid[#Data],$DE1538,63),0)</f>
        <v/>
      </c>
      <c r="BO1538">
        <f>IFERROR(INDEX(PP_Grid[#Data],$DE1538,64),0)</f>
        <v/>
      </c>
      <c r="BP1538">
        <f>IFERROR(INDEX(PP_Grid[#Data],$DE1538,65),0)</f>
        <v/>
      </c>
      <c r="BQ1538">
        <f>IFERROR(INDEX(PP_Grid[#Data],$DE1538,66),0)</f>
        <v/>
      </c>
      <c r="BR1538">
        <f>IFERROR(INDEX(PP_Grid[#Data],$DE1538,67),0)</f>
        <v/>
      </c>
      <c r="BS1538">
        <f>IFERROR(INDEX(PP_Grid[#Data],$DE1538,68),0)</f>
        <v/>
      </c>
      <c r="BT1538">
        <f>IFERROR(INDEX(PP_Grid[#Data],$DE1538,69),0)</f>
        <v/>
      </c>
      <c r="BU1538">
        <f>IFERROR(INDEX(PP_Grid[#Data],$DE1538,70),0)</f>
        <v/>
      </c>
      <c r="BV1538">
        <f>IFERROR(INDEX(PP_Grid[#Data],$DE1538,71),0)</f>
        <v/>
      </c>
      <c r="BW1538">
        <f>IFERROR(INDEX(PP_Grid[#Data],$DE1538,72),0)</f>
        <v/>
      </c>
      <c r="BX1538">
        <f>IFERROR(INDEX(PP_Grid[#Data],$DE1538,73),0)</f>
        <v/>
      </c>
      <c r="BY1538">
        <f>IFERROR(INDEX(PP_Grid[#Data],$DE1538,74),0)</f>
        <v/>
      </c>
      <c r="BZ1538">
        <f>IFERROR(INDEX(PP_Grid[#Data],$DE1538,75),0)</f>
        <v/>
      </c>
      <c r="CA1538">
        <f>IFERROR(INDEX(PP_Grid[#Data],$DE1538,76),0)</f>
        <v/>
      </c>
      <c r="CB1538">
        <f>IFERROR(INDEX(PP_Grid[#Data],$DE1538,77),0)</f>
        <v/>
      </c>
      <c r="CC1538">
        <f>IFERROR(INDEX(PP_Grid[#Data],$DE1538,78),0)</f>
        <v/>
      </c>
      <c r="CD1538">
        <f>IFERROR(INDEX(PP_Grid[#Data],$DE1538,79),0)</f>
        <v/>
      </c>
      <c r="CE1538">
        <f>IFERROR(INDEX(PP_Grid[#Data],$DE1538,80),0)</f>
        <v/>
      </c>
      <c r="CF1538">
        <f>IFERROR(INDEX(PP_Grid[#Data],$DE1538,81),0)</f>
        <v/>
      </c>
      <c r="CG1538">
        <f>IFERROR(INDEX(PP_Grid[#Data],$DE1538,82),0)</f>
        <v/>
      </c>
      <c r="CH1538">
        <f>IFERROR(INDEX(PP_Grid[#Data],$DE1538,83),0)</f>
        <v/>
      </c>
      <c r="CI1538">
        <f>IFERROR(INDEX(PP_Grid[#Data],$DE1538,84),0)</f>
        <v/>
      </c>
      <c r="CJ1538">
        <f>IFERROR(INDEX(PP_Grid[#Data],$DE1538,85),0)</f>
        <v/>
      </c>
      <c r="CK1538">
        <f>IFERROR(INDEX(PP_Grid[#Data],$DE1538,86),0)</f>
        <v/>
      </c>
      <c r="CL1538">
        <f>IFERROR(INDEX(PP_Grid[#Data],$DE1538,87),0)</f>
        <v/>
      </c>
      <c r="CM1538">
        <f>IFERROR(INDEX(PP_Grid[#Data],$DE1538,88),0)</f>
        <v/>
      </c>
      <c r="CN1538">
        <f>IFERROR(INDEX(PP_Grid[#Data],$DE1538,89),0)</f>
        <v/>
      </c>
      <c r="CO1538">
        <f>IFERROR(INDEX(PP_Grid[#Data],$DE1538,90),0)</f>
        <v/>
      </c>
      <c r="CP1538">
        <f>IFERROR(INDEX(PP_Grid[#Data],$DE1538,91),0)</f>
        <v/>
      </c>
      <c r="CQ1538">
        <f>IFERROR(INDEX(PP_Grid[#Data],$DE1538,92),0)</f>
        <v/>
      </c>
      <c r="CR1538">
        <f>IFERROR(INDEX(PP_Grid[#Data],$DE1538,93),0)</f>
        <v/>
      </c>
      <c r="CS1538">
        <f>IFERROR(INDEX(PP_Grid[#Data],$DE1538,94),0)</f>
        <v/>
      </c>
      <c r="CT1538">
        <f>IFERROR(INDEX(PP_Grid[#Data],$DE1538,95),0)</f>
        <v/>
      </c>
      <c r="CU1538">
        <f>IFERROR(INDEX(PP_Grid[#Data],$DE1538,96),0)</f>
        <v/>
      </c>
      <c r="CV1538">
        <f>IFERROR(INDEX(PP_Grid[#Data],$DE1538,97),0)</f>
        <v/>
      </c>
      <c r="CW1538">
        <f>IFERROR(INDEX(PP_Grid[#Data],$DE1538,98),0)</f>
        <v/>
      </c>
      <c r="CX1538">
        <f>IFERROR(INDEX(PP_Grid[#Data],$DE1538,99),0)</f>
        <v/>
      </c>
      <c r="CY1538">
        <f>IFERROR(INDEX(PP_Grid[#Data],$DE1538,100),0)</f>
        <v/>
      </c>
      <c r="CZ1538">
        <f>IFERROR(INDEX(PP_Grid[#Data],$DE1538,101),0)</f>
        <v/>
      </c>
      <c r="DA1538">
        <f>IFERROR(INDEX(PP_Grid[#Data],$DE1538,102),0)</f>
        <v/>
      </c>
      <c r="DB1538">
        <f>IFERROR(INDEX(PP_Grid[#Data],$DE1538,103),0)</f>
        <v/>
      </c>
      <c r="DC1538">
        <f>IFERROR(INDEX(PP_Grid[#Data],$DE1538,104),0)</f>
        <v/>
      </c>
      <c r="DD1538">
        <f>IFERROR(INDEX(PP_Grid[#Data],$DE1538,105),0)</f>
        <v/>
      </c>
      <c r="DE1538" s="7">
        <f>IFERROR(MATCH($B1538,PP_Grid[Intermediate],0),99999)</f>
        <v/>
      </c>
    </row>
    <row r="1539">
      <c r="B1539" t="inlineStr">
        <is>
          <t>使用量(kg)</t>
        </is>
      </c>
      <c r="C1539">
        <f>SUMIFS(M_BOM[RM_Qty_Per_Batch],M_BOM[Intermediate],$B1538,M_BOM[RM_Code],$A1537)</f>
        <v/>
      </c>
      <c r="D1539">
        <f>IFERROR(INDEX(E1539:DD1539,$F$1),"")</f>
        <v/>
      </c>
      <c r="E1539">
        <f>$C1539*E1538</f>
        <v/>
      </c>
      <c r="F1539">
        <f>$C1539*F1538</f>
        <v/>
      </c>
      <c r="G1539">
        <f>$C1539*G1538</f>
        <v/>
      </c>
      <c r="H1539">
        <f>$C1539*H1538</f>
        <v/>
      </c>
      <c r="I1539">
        <f>$C1539*I1538</f>
        <v/>
      </c>
      <c r="J1539">
        <f>$C1539*J1538</f>
        <v/>
      </c>
      <c r="K1539">
        <f>$C1539*K1538</f>
        <v/>
      </c>
      <c r="L1539">
        <f>$C1539*L1538</f>
        <v/>
      </c>
      <c r="M1539">
        <f>$C1539*M1538</f>
        <v/>
      </c>
      <c r="N1539">
        <f>$C1539*N1538</f>
        <v/>
      </c>
      <c r="O1539">
        <f>$C1539*O1538</f>
        <v/>
      </c>
      <c r="P1539">
        <f>$C1539*P1538</f>
        <v/>
      </c>
      <c r="Q1539">
        <f>$C1539*Q1538</f>
        <v/>
      </c>
      <c r="R1539">
        <f>$C1539*R1538</f>
        <v/>
      </c>
      <c r="S1539">
        <f>$C1539*S1538</f>
        <v/>
      </c>
      <c r="T1539">
        <f>$C1539*T1538</f>
        <v/>
      </c>
      <c r="U1539">
        <f>$C1539*U1538</f>
        <v/>
      </c>
      <c r="V1539">
        <f>$C1539*V1538</f>
        <v/>
      </c>
      <c r="W1539">
        <f>$C1539*W1538</f>
        <v/>
      </c>
      <c r="X1539">
        <f>$C1539*X1538</f>
        <v/>
      </c>
      <c r="Y1539">
        <f>$C1539*Y1538</f>
        <v/>
      </c>
      <c r="Z1539">
        <f>$C1539*Z1538</f>
        <v/>
      </c>
      <c r="AA1539">
        <f>$C1539*AA1538</f>
        <v/>
      </c>
      <c r="AB1539">
        <f>$C1539*AB1538</f>
        <v/>
      </c>
      <c r="AC1539">
        <f>$C1539*AC1538</f>
        <v/>
      </c>
      <c r="AD1539">
        <f>$C1539*AD1538</f>
        <v/>
      </c>
      <c r="AE1539">
        <f>$C1539*AE1538</f>
        <v/>
      </c>
      <c r="AF1539">
        <f>$C1539*AF1538</f>
        <v/>
      </c>
      <c r="AG1539">
        <f>$C1539*AG1538</f>
        <v/>
      </c>
      <c r="AH1539">
        <f>$C1539*AH1538</f>
        <v/>
      </c>
      <c r="AI1539">
        <f>$C1539*AI1538</f>
        <v/>
      </c>
      <c r="AJ1539">
        <f>$C1539*AJ1538</f>
        <v/>
      </c>
      <c r="AK1539">
        <f>$C1539*AK1538</f>
        <v/>
      </c>
      <c r="AL1539">
        <f>$C1539*AL1538</f>
        <v/>
      </c>
      <c r="AM1539">
        <f>$C1539*AM1538</f>
        <v/>
      </c>
      <c r="AN1539">
        <f>$C1539*AN1538</f>
        <v/>
      </c>
      <c r="AO1539">
        <f>$C1539*AO1538</f>
        <v/>
      </c>
      <c r="AP1539">
        <f>$C1539*AP1538</f>
        <v/>
      </c>
      <c r="AQ1539">
        <f>$C1539*AQ1538</f>
        <v/>
      </c>
      <c r="AR1539">
        <f>$C1539*AR1538</f>
        <v/>
      </c>
      <c r="AS1539">
        <f>$C1539*AS1538</f>
        <v/>
      </c>
      <c r="AT1539">
        <f>$C1539*AT1538</f>
        <v/>
      </c>
      <c r="AU1539">
        <f>$C1539*AU1538</f>
        <v/>
      </c>
      <c r="AV1539">
        <f>$C1539*AV1538</f>
        <v/>
      </c>
      <c r="AW1539">
        <f>$C1539*AW1538</f>
        <v/>
      </c>
      <c r="AX1539">
        <f>$C1539*AX1538</f>
        <v/>
      </c>
      <c r="AY1539">
        <f>$C1539*AY1538</f>
        <v/>
      </c>
      <c r="AZ1539">
        <f>$C1539*AZ1538</f>
        <v/>
      </c>
      <c r="BA1539">
        <f>$C1539*BA1538</f>
        <v/>
      </c>
      <c r="BB1539">
        <f>$C1539*BB1538</f>
        <v/>
      </c>
      <c r="BC1539">
        <f>$C1539*BC1538</f>
        <v/>
      </c>
      <c r="BD1539">
        <f>$C1539*BD1538</f>
        <v/>
      </c>
      <c r="BE1539">
        <f>$C1539*BE1538</f>
        <v/>
      </c>
      <c r="BF1539">
        <f>$C1539*BF1538</f>
        <v/>
      </c>
      <c r="BG1539">
        <f>$C1539*BG1538</f>
        <v/>
      </c>
      <c r="BH1539">
        <f>$C1539*BH1538</f>
        <v/>
      </c>
      <c r="BI1539">
        <f>$C1539*BI1538</f>
        <v/>
      </c>
      <c r="BJ1539">
        <f>$C1539*BJ1538</f>
        <v/>
      </c>
      <c r="BK1539">
        <f>$C1539*BK1538</f>
        <v/>
      </c>
      <c r="BL1539">
        <f>$C1539*BL1538</f>
        <v/>
      </c>
      <c r="BM1539">
        <f>$C1539*BM1538</f>
        <v/>
      </c>
      <c r="BN1539">
        <f>$C1539*BN1538</f>
        <v/>
      </c>
      <c r="BO1539">
        <f>$C1539*BO1538</f>
        <v/>
      </c>
      <c r="BP1539">
        <f>$C1539*BP1538</f>
        <v/>
      </c>
      <c r="BQ1539">
        <f>$C1539*BQ1538</f>
        <v/>
      </c>
      <c r="BR1539">
        <f>$C1539*BR1538</f>
        <v/>
      </c>
      <c r="BS1539">
        <f>$C1539*BS1538</f>
        <v/>
      </c>
      <c r="BT1539">
        <f>$C1539*BT1538</f>
        <v/>
      </c>
      <c r="BU1539">
        <f>$C1539*BU1538</f>
        <v/>
      </c>
      <c r="BV1539">
        <f>$C1539*BV1538</f>
        <v/>
      </c>
      <c r="BW1539">
        <f>$C1539*BW1538</f>
        <v/>
      </c>
      <c r="BX1539">
        <f>$C1539*BX1538</f>
        <v/>
      </c>
      <c r="BY1539">
        <f>$C1539*BY1538</f>
        <v/>
      </c>
      <c r="BZ1539">
        <f>$C1539*BZ1538</f>
        <v/>
      </c>
      <c r="CA1539">
        <f>$C1539*CA1538</f>
        <v/>
      </c>
      <c r="CB1539">
        <f>$C1539*CB1538</f>
        <v/>
      </c>
      <c r="CC1539">
        <f>$C1539*CC1538</f>
        <v/>
      </c>
      <c r="CD1539">
        <f>$C1539*CD1538</f>
        <v/>
      </c>
      <c r="CE1539">
        <f>$C1539*CE1538</f>
        <v/>
      </c>
      <c r="CF1539">
        <f>$C1539*CF1538</f>
        <v/>
      </c>
      <c r="CG1539">
        <f>$C1539*CG1538</f>
        <v/>
      </c>
      <c r="CH1539">
        <f>$C1539*CH1538</f>
        <v/>
      </c>
      <c r="CI1539">
        <f>$C1539*CI1538</f>
        <v/>
      </c>
      <c r="CJ1539">
        <f>$C1539*CJ1538</f>
        <v/>
      </c>
      <c r="CK1539">
        <f>$C1539*CK1538</f>
        <v/>
      </c>
      <c r="CL1539">
        <f>$C1539*CL1538</f>
        <v/>
      </c>
      <c r="CM1539">
        <f>$C1539*CM1538</f>
        <v/>
      </c>
      <c r="CN1539">
        <f>$C1539*CN1538</f>
        <v/>
      </c>
      <c r="CO1539">
        <f>$C1539*CO1538</f>
        <v/>
      </c>
      <c r="CP1539">
        <f>$C1539*CP1538</f>
        <v/>
      </c>
      <c r="CQ1539">
        <f>$C1539*CQ1538</f>
        <v/>
      </c>
      <c r="CR1539">
        <f>$C1539*CR1538</f>
        <v/>
      </c>
      <c r="CS1539">
        <f>$C1539*CS1538</f>
        <v/>
      </c>
      <c r="CT1539">
        <f>$C1539*CT1538</f>
        <v/>
      </c>
      <c r="CU1539">
        <f>$C1539*CU1538</f>
        <v/>
      </c>
      <c r="CV1539">
        <f>$C1539*CV1538</f>
        <v/>
      </c>
      <c r="CW1539">
        <f>$C1539*CW1538</f>
        <v/>
      </c>
      <c r="CX1539">
        <f>$C1539*CX1538</f>
        <v/>
      </c>
      <c r="CY1539">
        <f>$C1539*CY1538</f>
        <v/>
      </c>
      <c r="CZ1539">
        <f>$C1539*CZ1538</f>
        <v/>
      </c>
      <c r="DA1539">
        <f>$C1539*DA1538</f>
        <v/>
      </c>
      <c r="DB1539">
        <f>$C1539*DB1538</f>
        <v/>
      </c>
      <c r="DC1539">
        <f>$C1539*DC1538</f>
        <v/>
      </c>
      <c r="DD1539">
        <f>$C1539*DD1538</f>
        <v/>
      </c>
    </row>
    <row r="1540">
      <c r="B1540" s="4" t="inlineStr">
        <is>
          <t>合計使用量(kg)/週</t>
        </is>
      </c>
      <c r="D1540" s="22">
        <f>IFERROR(INDEX(E1540:DD1540,$F$1),"")</f>
        <v/>
      </c>
      <c r="E1540">
        <f>'Grid_Requirement'!B16</f>
        <v/>
      </c>
      <c r="F1540">
        <f>'Grid_Requirement'!C16</f>
        <v/>
      </c>
      <c r="G1540">
        <f>'Grid_Requirement'!D16</f>
        <v/>
      </c>
      <c r="H1540">
        <f>'Grid_Requirement'!E16</f>
        <v/>
      </c>
      <c r="I1540">
        <f>'Grid_Requirement'!F16</f>
        <v/>
      </c>
      <c r="J1540">
        <f>'Grid_Requirement'!G16</f>
        <v/>
      </c>
      <c r="K1540">
        <f>'Grid_Requirement'!H16</f>
        <v/>
      </c>
      <c r="L1540">
        <f>'Grid_Requirement'!I16</f>
        <v/>
      </c>
      <c r="M1540">
        <f>'Grid_Requirement'!J16</f>
        <v/>
      </c>
      <c r="N1540">
        <f>'Grid_Requirement'!K16</f>
        <v/>
      </c>
      <c r="O1540">
        <f>'Grid_Requirement'!L16</f>
        <v/>
      </c>
      <c r="P1540">
        <f>'Grid_Requirement'!M16</f>
        <v/>
      </c>
      <c r="Q1540">
        <f>'Grid_Requirement'!N16</f>
        <v/>
      </c>
      <c r="R1540">
        <f>'Grid_Requirement'!O16</f>
        <v/>
      </c>
      <c r="S1540">
        <f>'Grid_Requirement'!P16</f>
        <v/>
      </c>
      <c r="T1540">
        <f>'Grid_Requirement'!Q16</f>
        <v/>
      </c>
      <c r="U1540">
        <f>'Grid_Requirement'!R16</f>
        <v/>
      </c>
      <c r="V1540">
        <f>'Grid_Requirement'!S16</f>
        <v/>
      </c>
      <c r="W1540">
        <f>'Grid_Requirement'!T16</f>
        <v/>
      </c>
      <c r="X1540">
        <f>'Grid_Requirement'!U16</f>
        <v/>
      </c>
      <c r="Y1540">
        <f>'Grid_Requirement'!V16</f>
        <v/>
      </c>
      <c r="Z1540">
        <f>'Grid_Requirement'!W16</f>
        <v/>
      </c>
      <c r="AA1540">
        <f>'Grid_Requirement'!X16</f>
        <v/>
      </c>
      <c r="AB1540">
        <f>'Grid_Requirement'!Y16</f>
        <v/>
      </c>
      <c r="AC1540">
        <f>'Grid_Requirement'!Z16</f>
        <v/>
      </c>
      <c r="AD1540">
        <f>'Grid_Requirement'!AA16</f>
        <v/>
      </c>
      <c r="AE1540">
        <f>'Grid_Requirement'!AB16</f>
        <v/>
      </c>
      <c r="AF1540">
        <f>'Grid_Requirement'!AC16</f>
        <v/>
      </c>
      <c r="AG1540">
        <f>'Grid_Requirement'!AD16</f>
        <v/>
      </c>
      <c r="AH1540">
        <f>'Grid_Requirement'!AE16</f>
        <v/>
      </c>
      <c r="AI1540">
        <f>'Grid_Requirement'!AF16</f>
        <v/>
      </c>
      <c r="AJ1540">
        <f>'Grid_Requirement'!AG16</f>
        <v/>
      </c>
      <c r="AK1540">
        <f>'Grid_Requirement'!AH16</f>
        <v/>
      </c>
      <c r="AL1540">
        <f>'Grid_Requirement'!AI16</f>
        <v/>
      </c>
      <c r="AM1540">
        <f>'Grid_Requirement'!AJ16</f>
        <v/>
      </c>
      <c r="AN1540">
        <f>'Grid_Requirement'!AK16</f>
        <v/>
      </c>
      <c r="AO1540">
        <f>'Grid_Requirement'!AL16</f>
        <v/>
      </c>
      <c r="AP1540">
        <f>'Grid_Requirement'!AM16</f>
        <v/>
      </c>
      <c r="AQ1540">
        <f>'Grid_Requirement'!AN16</f>
        <v/>
      </c>
      <c r="AR1540">
        <f>'Grid_Requirement'!AO16</f>
        <v/>
      </c>
      <c r="AS1540">
        <f>'Grid_Requirement'!AP16</f>
        <v/>
      </c>
      <c r="AT1540">
        <f>'Grid_Requirement'!AQ16</f>
        <v/>
      </c>
      <c r="AU1540">
        <f>'Grid_Requirement'!AR16</f>
        <v/>
      </c>
      <c r="AV1540">
        <f>'Grid_Requirement'!AS16</f>
        <v/>
      </c>
      <c r="AW1540">
        <f>'Grid_Requirement'!AT16</f>
        <v/>
      </c>
      <c r="AX1540">
        <f>'Grid_Requirement'!AU16</f>
        <v/>
      </c>
      <c r="AY1540">
        <f>'Grid_Requirement'!AV16</f>
        <v/>
      </c>
      <c r="AZ1540">
        <f>'Grid_Requirement'!AW16</f>
        <v/>
      </c>
      <c r="BA1540">
        <f>'Grid_Requirement'!AX16</f>
        <v/>
      </c>
      <c r="BB1540">
        <f>'Grid_Requirement'!AY16</f>
        <v/>
      </c>
      <c r="BC1540">
        <f>'Grid_Requirement'!AZ16</f>
        <v/>
      </c>
      <c r="BD1540">
        <f>'Grid_Requirement'!BA16</f>
        <v/>
      </c>
      <c r="BE1540">
        <f>'Grid_Requirement'!BB16</f>
        <v/>
      </c>
      <c r="BF1540">
        <f>'Grid_Requirement'!BC16</f>
        <v/>
      </c>
      <c r="BG1540">
        <f>'Grid_Requirement'!BD16</f>
        <v/>
      </c>
      <c r="BH1540">
        <f>'Grid_Requirement'!BE16</f>
        <v/>
      </c>
      <c r="BI1540">
        <f>'Grid_Requirement'!BF16</f>
        <v/>
      </c>
      <c r="BJ1540">
        <f>'Grid_Requirement'!BG16</f>
        <v/>
      </c>
      <c r="BK1540">
        <f>'Grid_Requirement'!BH16</f>
        <v/>
      </c>
      <c r="BL1540">
        <f>'Grid_Requirement'!BI16</f>
        <v/>
      </c>
      <c r="BM1540">
        <f>'Grid_Requirement'!BJ16</f>
        <v/>
      </c>
      <c r="BN1540">
        <f>'Grid_Requirement'!BK16</f>
        <v/>
      </c>
      <c r="BO1540">
        <f>'Grid_Requirement'!BL16</f>
        <v/>
      </c>
      <c r="BP1540">
        <f>'Grid_Requirement'!BM16</f>
        <v/>
      </c>
      <c r="BQ1540">
        <f>'Grid_Requirement'!BN16</f>
        <v/>
      </c>
      <c r="BR1540">
        <f>'Grid_Requirement'!BO16</f>
        <v/>
      </c>
      <c r="BS1540">
        <f>'Grid_Requirement'!BP16</f>
        <v/>
      </c>
      <c r="BT1540">
        <f>'Grid_Requirement'!BQ16</f>
        <v/>
      </c>
      <c r="BU1540">
        <f>'Grid_Requirement'!BR16</f>
        <v/>
      </c>
      <c r="BV1540">
        <f>'Grid_Requirement'!BS16</f>
        <v/>
      </c>
      <c r="BW1540">
        <f>'Grid_Requirement'!BT16</f>
        <v/>
      </c>
      <c r="BX1540">
        <f>'Grid_Requirement'!BU16</f>
        <v/>
      </c>
      <c r="BY1540">
        <f>'Grid_Requirement'!BV16</f>
        <v/>
      </c>
      <c r="BZ1540">
        <f>'Grid_Requirement'!BW16</f>
        <v/>
      </c>
      <c r="CA1540">
        <f>'Grid_Requirement'!BX16</f>
        <v/>
      </c>
      <c r="CB1540">
        <f>'Grid_Requirement'!BY16</f>
        <v/>
      </c>
      <c r="CC1540">
        <f>'Grid_Requirement'!BZ16</f>
        <v/>
      </c>
      <c r="CD1540">
        <f>'Grid_Requirement'!CA16</f>
        <v/>
      </c>
      <c r="CE1540">
        <f>'Grid_Requirement'!CB16</f>
        <v/>
      </c>
      <c r="CF1540">
        <f>'Grid_Requirement'!CC16</f>
        <v/>
      </c>
      <c r="CG1540">
        <f>'Grid_Requirement'!CD16</f>
        <v/>
      </c>
      <c r="CH1540">
        <f>'Grid_Requirement'!CE16</f>
        <v/>
      </c>
      <c r="CI1540">
        <f>'Grid_Requirement'!CF16</f>
        <v/>
      </c>
      <c r="CJ1540">
        <f>'Grid_Requirement'!CG16</f>
        <v/>
      </c>
      <c r="CK1540">
        <f>'Grid_Requirement'!CH16</f>
        <v/>
      </c>
      <c r="CL1540">
        <f>'Grid_Requirement'!CI16</f>
        <v/>
      </c>
      <c r="CM1540">
        <f>'Grid_Requirement'!CJ16</f>
        <v/>
      </c>
      <c r="CN1540">
        <f>'Grid_Requirement'!CK16</f>
        <v/>
      </c>
      <c r="CO1540">
        <f>'Grid_Requirement'!CL16</f>
        <v/>
      </c>
      <c r="CP1540">
        <f>'Grid_Requirement'!CM16</f>
        <v/>
      </c>
      <c r="CQ1540">
        <f>'Grid_Requirement'!CN16</f>
        <v/>
      </c>
      <c r="CR1540">
        <f>'Grid_Requirement'!CO16</f>
        <v/>
      </c>
      <c r="CS1540">
        <f>'Grid_Requirement'!CP16</f>
        <v/>
      </c>
      <c r="CT1540">
        <f>'Grid_Requirement'!CQ16</f>
        <v/>
      </c>
      <c r="CU1540">
        <f>'Grid_Requirement'!CR16</f>
        <v/>
      </c>
      <c r="CV1540">
        <f>'Grid_Requirement'!CS16</f>
        <v/>
      </c>
      <c r="CW1540">
        <f>'Grid_Requirement'!CT16</f>
        <v/>
      </c>
      <c r="CX1540">
        <f>'Grid_Requirement'!CU16</f>
        <v/>
      </c>
      <c r="CY1540">
        <f>'Grid_Requirement'!CV16</f>
        <v/>
      </c>
      <c r="CZ1540">
        <f>'Grid_Requirement'!CW16</f>
        <v/>
      </c>
      <c r="DA1540">
        <f>'Grid_Requirement'!CX16</f>
        <v/>
      </c>
      <c r="DB1540">
        <f>'Grid_Requirement'!CY16</f>
        <v/>
      </c>
      <c r="DC1540">
        <f>'Grid_Requirement'!CZ16</f>
        <v/>
      </c>
      <c r="DD1540">
        <f>'Grid_Requirement'!DA16</f>
        <v/>
      </c>
    </row>
    <row r="1541">
      <c r="B1541" s="23" t="inlineStr">
        <is>
          <t>（在庫・入荷予定はDashboard参照）</t>
        </is>
      </c>
    </row>
    <row r="1543">
      <c r="A1543" s="21" t="inlineStr">
        <is>
          <t>TDJ</t>
        </is>
      </c>
      <c r="B1543" s="21" t="inlineStr">
        <is>
          <t>(11R-08) TP156- 103-130*TG</t>
        </is>
      </c>
      <c r="C1543" s="21" t="n"/>
      <c r="D1543" s="21" t="n"/>
      <c r="E1543" s="21" t="n"/>
      <c r="F1543" s="21" t="n"/>
      <c r="G1543" s="21" t="n"/>
      <c r="H1543" s="21" t="n"/>
      <c r="I1543" s="21" t="n"/>
      <c r="J1543" s="21" t="n"/>
      <c r="K1543" s="21" t="n"/>
      <c r="L1543" s="21" t="n"/>
      <c r="M1543" s="21" t="n"/>
      <c r="N1543" s="21" t="n"/>
      <c r="O1543" s="21" t="n"/>
      <c r="P1543" s="21" t="n"/>
      <c r="Q1543" s="21" t="n"/>
      <c r="R1543" s="21" t="n"/>
      <c r="S1543" s="21" t="n"/>
      <c r="T1543" s="21" t="n"/>
      <c r="U1543" s="21" t="n"/>
      <c r="V1543" s="21" t="n"/>
      <c r="W1543" s="21" t="n"/>
      <c r="X1543" s="21" t="n"/>
      <c r="Y1543" s="21" t="n"/>
      <c r="Z1543" s="21" t="n"/>
      <c r="AA1543" s="21" t="n"/>
      <c r="AB1543" s="21" t="n"/>
      <c r="AC1543" s="21" t="n"/>
      <c r="AD1543" s="21" t="n"/>
      <c r="AE1543" s="21" t="n"/>
      <c r="AF1543" s="21" t="n"/>
      <c r="AG1543" s="21" t="n"/>
      <c r="AH1543" s="21" t="n"/>
      <c r="AI1543" s="21" t="n"/>
      <c r="AJ1543" s="21" t="n"/>
      <c r="AK1543" s="21" t="n"/>
      <c r="AL1543" s="21" t="n"/>
      <c r="AM1543" s="21" t="n"/>
      <c r="AN1543" s="21" t="n"/>
      <c r="AO1543" s="21" t="n"/>
      <c r="AP1543" s="21" t="n"/>
      <c r="AQ1543" s="21" t="n"/>
      <c r="AR1543" s="21" t="n"/>
      <c r="AS1543" s="21" t="n"/>
      <c r="AT1543" s="21" t="n"/>
      <c r="AU1543" s="21" t="n"/>
      <c r="AV1543" s="21" t="n"/>
      <c r="AW1543" s="21" t="n"/>
      <c r="AX1543" s="21" t="n"/>
      <c r="AY1543" s="21" t="n"/>
      <c r="AZ1543" s="21" t="n"/>
      <c r="BA1543" s="21" t="n"/>
      <c r="BB1543" s="21" t="n"/>
      <c r="BC1543" s="21" t="n"/>
      <c r="BD1543" s="21" t="n"/>
      <c r="BE1543" s="21" t="n"/>
      <c r="BF1543" s="21" t="n"/>
      <c r="BG1543" s="21" t="n"/>
      <c r="BH1543" s="21" t="n"/>
      <c r="BI1543" s="21" t="n"/>
      <c r="BJ1543" s="21" t="n"/>
      <c r="BK1543" s="21" t="n"/>
      <c r="BL1543" s="21" t="n"/>
      <c r="BM1543" s="21" t="n"/>
      <c r="BN1543" s="21" t="n"/>
      <c r="BO1543" s="21" t="n"/>
      <c r="BP1543" s="21" t="n"/>
      <c r="BQ1543" s="21" t="n"/>
      <c r="BR1543" s="21" t="n"/>
      <c r="BS1543" s="21" t="n"/>
      <c r="BT1543" s="21" t="n"/>
      <c r="BU1543" s="21" t="n"/>
      <c r="BV1543" s="21" t="n"/>
      <c r="BW1543" s="21" t="n"/>
      <c r="BX1543" s="21" t="n"/>
      <c r="BY1543" s="21" t="n"/>
      <c r="BZ1543" s="21" t="n"/>
      <c r="CA1543" s="21" t="n"/>
      <c r="CB1543" s="21" t="n"/>
      <c r="CC1543" s="21" t="n"/>
      <c r="CD1543" s="21" t="n"/>
      <c r="CE1543" s="21" t="n"/>
      <c r="CF1543" s="21" t="n"/>
      <c r="CG1543" s="21" t="n"/>
      <c r="CH1543" s="21" t="n"/>
      <c r="CI1543" s="21" t="n"/>
      <c r="CJ1543" s="21" t="n"/>
      <c r="CK1543" s="21" t="n"/>
      <c r="CL1543" s="21" t="n"/>
      <c r="CM1543" s="21" t="n"/>
      <c r="CN1543" s="21" t="n"/>
      <c r="CO1543" s="21" t="n"/>
      <c r="CP1543" s="21" t="n"/>
      <c r="CQ1543" s="21" t="n"/>
      <c r="CR1543" s="21" t="n"/>
      <c r="CS1543" s="21" t="n"/>
      <c r="CT1543" s="21" t="n"/>
      <c r="CU1543" s="21" t="n"/>
      <c r="CV1543" s="21" t="n"/>
      <c r="CW1543" s="21" t="n"/>
      <c r="CX1543" s="21" t="n"/>
      <c r="CY1543" s="21" t="n"/>
      <c r="CZ1543" s="21" t="n"/>
      <c r="DA1543" s="21" t="n"/>
      <c r="DB1543" s="21" t="n"/>
      <c r="DC1543" s="21" t="n"/>
      <c r="DD1543" s="21" t="n"/>
    </row>
    <row r="1544">
      <c r="B1544" t="inlineStr">
        <is>
          <t>0TA30</t>
        </is>
      </c>
      <c r="C1544" t="inlineStr">
        <is>
          <t>No. of batches</t>
        </is>
      </c>
      <c r="D1544">
        <f>IFERROR(INDEX(E1544:DD1544,$F$1),"")</f>
        <v/>
      </c>
      <c r="E1544">
        <f>IFERROR(INDEX(PP_Grid[#Data],$DE1544,2),0)</f>
        <v/>
      </c>
      <c r="F1544">
        <f>IFERROR(INDEX(PP_Grid[#Data],$DE1544,3),0)</f>
        <v/>
      </c>
      <c r="G1544">
        <f>IFERROR(INDEX(PP_Grid[#Data],$DE1544,4),0)</f>
        <v/>
      </c>
      <c r="H1544">
        <f>IFERROR(INDEX(PP_Grid[#Data],$DE1544,5),0)</f>
        <v/>
      </c>
      <c r="I1544">
        <f>IFERROR(INDEX(PP_Grid[#Data],$DE1544,6),0)</f>
        <v/>
      </c>
      <c r="J1544">
        <f>IFERROR(INDEX(PP_Grid[#Data],$DE1544,7),0)</f>
        <v/>
      </c>
      <c r="K1544">
        <f>IFERROR(INDEX(PP_Grid[#Data],$DE1544,8),0)</f>
        <v/>
      </c>
      <c r="L1544">
        <f>IFERROR(INDEX(PP_Grid[#Data],$DE1544,9),0)</f>
        <v/>
      </c>
      <c r="M1544">
        <f>IFERROR(INDEX(PP_Grid[#Data],$DE1544,10),0)</f>
        <v/>
      </c>
      <c r="N1544">
        <f>IFERROR(INDEX(PP_Grid[#Data],$DE1544,11),0)</f>
        <v/>
      </c>
      <c r="O1544">
        <f>IFERROR(INDEX(PP_Grid[#Data],$DE1544,12),0)</f>
        <v/>
      </c>
      <c r="P1544">
        <f>IFERROR(INDEX(PP_Grid[#Data],$DE1544,13),0)</f>
        <v/>
      </c>
      <c r="Q1544">
        <f>IFERROR(INDEX(PP_Grid[#Data],$DE1544,14),0)</f>
        <v/>
      </c>
      <c r="R1544">
        <f>IFERROR(INDEX(PP_Grid[#Data],$DE1544,15),0)</f>
        <v/>
      </c>
      <c r="S1544">
        <f>IFERROR(INDEX(PP_Grid[#Data],$DE1544,16),0)</f>
        <v/>
      </c>
      <c r="T1544">
        <f>IFERROR(INDEX(PP_Grid[#Data],$DE1544,17),0)</f>
        <v/>
      </c>
      <c r="U1544">
        <f>IFERROR(INDEX(PP_Grid[#Data],$DE1544,18),0)</f>
        <v/>
      </c>
      <c r="V1544">
        <f>IFERROR(INDEX(PP_Grid[#Data],$DE1544,19),0)</f>
        <v/>
      </c>
      <c r="W1544">
        <f>IFERROR(INDEX(PP_Grid[#Data],$DE1544,20),0)</f>
        <v/>
      </c>
      <c r="X1544">
        <f>IFERROR(INDEX(PP_Grid[#Data],$DE1544,21),0)</f>
        <v/>
      </c>
      <c r="Y1544">
        <f>IFERROR(INDEX(PP_Grid[#Data],$DE1544,22),0)</f>
        <v/>
      </c>
      <c r="Z1544">
        <f>IFERROR(INDEX(PP_Grid[#Data],$DE1544,23),0)</f>
        <v/>
      </c>
      <c r="AA1544">
        <f>IFERROR(INDEX(PP_Grid[#Data],$DE1544,24),0)</f>
        <v/>
      </c>
      <c r="AB1544">
        <f>IFERROR(INDEX(PP_Grid[#Data],$DE1544,25),0)</f>
        <v/>
      </c>
      <c r="AC1544">
        <f>IFERROR(INDEX(PP_Grid[#Data],$DE1544,26),0)</f>
        <v/>
      </c>
      <c r="AD1544">
        <f>IFERROR(INDEX(PP_Grid[#Data],$DE1544,27),0)</f>
        <v/>
      </c>
      <c r="AE1544">
        <f>IFERROR(INDEX(PP_Grid[#Data],$DE1544,28),0)</f>
        <v/>
      </c>
      <c r="AF1544">
        <f>IFERROR(INDEX(PP_Grid[#Data],$DE1544,29),0)</f>
        <v/>
      </c>
      <c r="AG1544">
        <f>IFERROR(INDEX(PP_Grid[#Data],$DE1544,30),0)</f>
        <v/>
      </c>
      <c r="AH1544">
        <f>IFERROR(INDEX(PP_Grid[#Data],$DE1544,31),0)</f>
        <v/>
      </c>
      <c r="AI1544">
        <f>IFERROR(INDEX(PP_Grid[#Data],$DE1544,32),0)</f>
        <v/>
      </c>
      <c r="AJ1544">
        <f>IFERROR(INDEX(PP_Grid[#Data],$DE1544,33),0)</f>
        <v/>
      </c>
      <c r="AK1544">
        <f>IFERROR(INDEX(PP_Grid[#Data],$DE1544,34),0)</f>
        <v/>
      </c>
      <c r="AL1544">
        <f>IFERROR(INDEX(PP_Grid[#Data],$DE1544,35),0)</f>
        <v/>
      </c>
      <c r="AM1544">
        <f>IFERROR(INDEX(PP_Grid[#Data],$DE1544,36),0)</f>
        <v/>
      </c>
      <c r="AN1544">
        <f>IFERROR(INDEX(PP_Grid[#Data],$DE1544,37),0)</f>
        <v/>
      </c>
      <c r="AO1544">
        <f>IFERROR(INDEX(PP_Grid[#Data],$DE1544,38),0)</f>
        <v/>
      </c>
      <c r="AP1544">
        <f>IFERROR(INDEX(PP_Grid[#Data],$DE1544,39),0)</f>
        <v/>
      </c>
      <c r="AQ1544">
        <f>IFERROR(INDEX(PP_Grid[#Data],$DE1544,40),0)</f>
        <v/>
      </c>
      <c r="AR1544">
        <f>IFERROR(INDEX(PP_Grid[#Data],$DE1544,41),0)</f>
        <v/>
      </c>
      <c r="AS1544">
        <f>IFERROR(INDEX(PP_Grid[#Data],$DE1544,42),0)</f>
        <v/>
      </c>
      <c r="AT1544">
        <f>IFERROR(INDEX(PP_Grid[#Data],$DE1544,43),0)</f>
        <v/>
      </c>
      <c r="AU1544">
        <f>IFERROR(INDEX(PP_Grid[#Data],$DE1544,44),0)</f>
        <v/>
      </c>
      <c r="AV1544">
        <f>IFERROR(INDEX(PP_Grid[#Data],$DE1544,45),0)</f>
        <v/>
      </c>
      <c r="AW1544">
        <f>IFERROR(INDEX(PP_Grid[#Data],$DE1544,46),0)</f>
        <v/>
      </c>
      <c r="AX1544">
        <f>IFERROR(INDEX(PP_Grid[#Data],$DE1544,47),0)</f>
        <v/>
      </c>
      <c r="AY1544">
        <f>IFERROR(INDEX(PP_Grid[#Data],$DE1544,48),0)</f>
        <v/>
      </c>
      <c r="AZ1544">
        <f>IFERROR(INDEX(PP_Grid[#Data],$DE1544,49),0)</f>
        <v/>
      </c>
      <c r="BA1544">
        <f>IFERROR(INDEX(PP_Grid[#Data],$DE1544,50),0)</f>
        <v/>
      </c>
      <c r="BB1544">
        <f>IFERROR(INDEX(PP_Grid[#Data],$DE1544,51),0)</f>
        <v/>
      </c>
      <c r="BC1544">
        <f>IFERROR(INDEX(PP_Grid[#Data],$DE1544,52),0)</f>
        <v/>
      </c>
      <c r="BD1544">
        <f>IFERROR(INDEX(PP_Grid[#Data],$DE1544,53),0)</f>
        <v/>
      </c>
      <c r="BE1544">
        <f>IFERROR(INDEX(PP_Grid[#Data],$DE1544,54),0)</f>
        <v/>
      </c>
      <c r="BF1544">
        <f>IFERROR(INDEX(PP_Grid[#Data],$DE1544,55),0)</f>
        <v/>
      </c>
      <c r="BG1544">
        <f>IFERROR(INDEX(PP_Grid[#Data],$DE1544,56),0)</f>
        <v/>
      </c>
      <c r="BH1544">
        <f>IFERROR(INDEX(PP_Grid[#Data],$DE1544,57),0)</f>
        <v/>
      </c>
      <c r="BI1544">
        <f>IFERROR(INDEX(PP_Grid[#Data],$DE1544,58),0)</f>
        <v/>
      </c>
      <c r="BJ1544">
        <f>IFERROR(INDEX(PP_Grid[#Data],$DE1544,59),0)</f>
        <v/>
      </c>
      <c r="BK1544">
        <f>IFERROR(INDEX(PP_Grid[#Data],$DE1544,60),0)</f>
        <v/>
      </c>
      <c r="BL1544">
        <f>IFERROR(INDEX(PP_Grid[#Data],$DE1544,61),0)</f>
        <v/>
      </c>
      <c r="BM1544">
        <f>IFERROR(INDEX(PP_Grid[#Data],$DE1544,62),0)</f>
        <v/>
      </c>
      <c r="BN1544">
        <f>IFERROR(INDEX(PP_Grid[#Data],$DE1544,63),0)</f>
        <v/>
      </c>
      <c r="BO1544">
        <f>IFERROR(INDEX(PP_Grid[#Data],$DE1544,64),0)</f>
        <v/>
      </c>
      <c r="BP1544">
        <f>IFERROR(INDEX(PP_Grid[#Data],$DE1544,65),0)</f>
        <v/>
      </c>
      <c r="BQ1544">
        <f>IFERROR(INDEX(PP_Grid[#Data],$DE1544,66),0)</f>
        <v/>
      </c>
      <c r="BR1544">
        <f>IFERROR(INDEX(PP_Grid[#Data],$DE1544,67),0)</f>
        <v/>
      </c>
      <c r="BS1544">
        <f>IFERROR(INDEX(PP_Grid[#Data],$DE1544,68),0)</f>
        <v/>
      </c>
      <c r="BT1544">
        <f>IFERROR(INDEX(PP_Grid[#Data],$DE1544,69),0)</f>
        <v/>
      </c>
      <c r="BU1544">
        <f>IFERROR(INDEX(PP_Grid[#Data],$DE1544,70),0)</f>
        <v/>
      </c>
      <c r="BV1544">
        <f>IFERROR(INDEX(PP_Grid[#Data],$DE1544,71),0)</f>
        <v/>
      </c>
      <c r="BW1544">
        <f>IFERROR(INDEX(PP_Grid[#Data],$DE1544,72),0)</f>
        <v/>
      </c>
      <c r="BX1544">
        <f>IFERROR(INDEX(PP_Grid[#Data],$DE1544,73),0)</f>
        <v/>
      </c>
      <c r="BY1544">
        <f>IFERROR(INDEX(PP_Grid[#Data],$DE1544,74),0)</f>
        <v/>
      </c>
      <c r="BZ1544">
        <f>IFERROR(INDEX(PP_Grid[#Data],$DE1544,75),0)</f>
        <v/>
      </c>
      <c r="CA1544">
        <f>IFERROR(INDEX(PP_Grid[#Data],$DE1544,76),0)</f>
        <v/>
      </c>
      <c r="CB1544">
        <f>IFERROR(INDEX(PP_Grid[#Data],$DE1544,77),0)</f>
        <v/>
      </c>
      <c r="CC1544">
        <f>IFERROR(INDEX(PP_Grid[#Data],$DE1544,78),0)</f>
        <v/>
      </c>
      <c r="CD1544">
        <f>IFERROR(INDEX(PP_Grid[#Data],$DE1544,79),0)</f>
        <v/>
      </c>
      <c r="CE1544">
        <f>IFERROR(INDEX(PP_Grid[#Data],$DE1544,80),0)</f>
        <v/>
      </c>
      <c r="CF1544">
        <f>IFERROR(INDEX(PP_Grid[#Data],$DE1544,81),0)</f>
        <v/>
      </c>
      <c r="CG1544">
        <f>IFERROR(INDEX(PP_Grid[#Data],$DE1544,82),0)</f>
        <v/>
      </c>
      <c r="CH1544">
        <f>IFERROR(INDEX(PP_Grid[#Data],$DE1544,83),0)</f>
        <v/>
      </c>
      <c r="CI1544">
        <f>IFERROR(INDEX(PP_Grid[#Data],$DE1544,84),0)</f>
        <v/>
      </c>
      <c r="CJ1544">
        <f>IFERROR(INDEX(PP_Grid[#Data],$DE1544,85),0)</f>
        <v/>
      </c>
      <c r="CK1544">
        <f>IFERROR(INDEX(PP_Grid[#Data],$DE1544,86),0)</f>
        <v/>
      </c>
      <c r="CL1544">
        <f>IFERROR(INDEX(PP_Grid[#Data],$DE1544,87),0)</f>
        <v/>
      </c>
      <c r="CM1544">
        <f>IFERROR(INDEX(PP_Grid[#Data],$DE1544,88),0)</f>
        <v/>
      </c>
      <c r="CN1544">
        <f>IFERROR(INDEX(PP_Grid[#Data],$DE1544,89),0)</f>
        <v/>
      </c>
      <c r="CO1544">
        <f>IFERROR(INDEX(PP_Grid[#Data],$DE1544,90),0)</f>
        <v/>
      </c>
      <c r="CP1544">
        <f>IFERROR(INDEX(PP_Grid[#Data],$DE1544,91),0)</f>
        <v/>
      </c>
      <c r="CQ1544">
        <f>IFERROR(INDEX(PP_Grid[#Data],$DE1544,92),0)</f>
        <v/>
      </c>
      <c r="CR1544">
        <f>IFERROR(INDEX(PP_Grid[#Data],$DE1544,93),0)</f>
        <v/>
      </c>
      <c r="CS1544">
        <f>IFERROR(INDEX(PP_Grid[#Data],$DE1544,94),0)</f>
        <v/>
      </c>
      <c r="CT1544">
        <f>IFERROR(INDEX(PP_Grid[#Data],$DE1544,95),0)</f>
        <v/>
      </c>
      <c r="CU1544">
        <f>IFERROR(INDEX(PP_Grid[#Data],$DE1544,96),0)</f>
        <v/>
      </c>
      <c r="CV1544">
        <f>IFERROR(INDEX(PP_Grid[#Data],$DE1544,97),0)</f>
        <v/>
      </c>
      <c r="CW1544">
        <f>IFERROR(INDEX(PP_Grid[#Data],$DE1544,98),0)</f>
        <v/>
      </c>
      <c r="CX1544">
        <f>IFERROR(INDEX(PP_Grid[#Data],$DE1544,99),0)</f>
        <v/>
      </c>
      <c r="CY1544">
        <f>IFERROR(INDEX(PP_Grid[#Data],$DE1544,100),0)</f>
        <v/>
      </c>
      <c r="CZ1544">
        <f>IFERROR(INDEX(PP_Grid[#Data],$DE1544,101),0)</f>
        <v/>
      </c>
      <c r="DA1544">
        <f>IFERROR(INDEX(PP_Grid[#Data],$DE1544,102),0)</f>
        <v/>
      </c>
      <c r="DB1544">
        <f>IFERROR(INDEX(PP_Grid[#Data],$DE1544,103),0)</f>
        <v/>
      </c>
      <c r="DC1544">
        <f>IFERROR(INDEX(PP_Grid[#Data],$DE1544,104),0)</f>
        <v/>
      </c>
      <c r="DD1544">
        <f>IFERROR(INDEX(PP_Grid[#Data],$DE1544,105),0)</f>
        <v/>
      </c>
      <c r="DE1544" s="7">
        <f>IFERROR(MATCH($B1544,PP_Grid[Intermediate],0),99999)</f>
        <v/>
      </c>
    </row>
    <row r="1545">
      <c r="B1545" t="inlineStr">
        <is>
          <t>使用量(kg)</t>
        </is>
      </c>
      <c r="C1545">
        <f>SUMIFS(M_BOM[RM_Qty_Per_Batch],M_BOM[Intermediate],$B1544,M_BOM[RM_Code],$A1543)</f>
        <v/>
      </c>
      <c r="D1545">
        <f>IFERROR(INDEX(E1545:DD1545,$F$1),"")</f>
        <v/>
      </c>
      <c r="E1545">
        <f>$C1545*E1544</f>
        <v/>
      </c>
      <c r="F1545">
        <f>$C1545*F1544</f>
        <v/>
      </c>
      <c r="G1545">
        <f>$C1545*G1544</f>
        <v/>
      </c>
      <c r="H1545">
        <f>$C1545*H1544</f>
        <v/>
      </c>
      <c r="I1545">
        <f>$C1545*I1544</f>
        <v/>
      </c>
      <c r="J1545">
        <f>$C1545*J1544</f>
        <v/>
      </c>
      <c r="K1545">
        <f>$C1545*K1544</f>
        <v/>
      </c>
      <c r="L1545">
        <f>$C1545*L1544</f>
        <v/>
      </c>
      <c r="M1545">
        <f>$C1545*M1544</f>
        <v/>
      </c>
      <c r="N1545">
        <f>$C1545*N1544</f>
        <v/>
      </c>
      <c r="O1545">
        <f>$C1545*O1544</f>
        <v/>
      </c>
      <c r="P1545">
        <f>$C1545*P1544</f>
        <v/>
      </c>
      <c r="Q1545">
        <f>$C1545*Q1544</f>
        <v/>
      </c>
      <c r="R1545">
        <f>$C1545*R1544</f>
        <v/>
      </c>
      <c r="S1545">
        <f>$C1545*S1544</f>
        <v/>
      </c>
      <c r="T1545">
        <f>$C1545*T1544</f>
        <v/>
      </c>
      <c r="U1545">
        <f>$C1545*U1544</f>
        <v/>
      </c>
      <c r="V1545">
        <f>$C1545*V1544</f>
        <v/>
      </c>
      <c r="W1545">
        <f>$C1545*W1544</f>
        <v/>
      </c>
      <c r="X1545">
        <f>$C1545*X1544</f>
        <v/>
      </c>
      <c r="Y1545">
        <f>$C1545*Y1544</f>
        <v/>
      </c>
      <c r="Z1545">
        <f>$C1545*Z1544</f>
        <v/>
      </c>
      <c r="AA1545">
        <f>$C1545*AA1544</f>
        <v/>
      </c>
      <c r="AB1545">
        <f>$C1545*AB1544</f>
        <v/>
      </c>
      <c r="AC1545">
        <f>$C1545*AC1544</f>
        <v/>
      </c>
      <c r="AD1545">
        <f>$C1545*AD1544</f>
        <v/>
      </c>
      <c r="AE1545">
        <f>$C1545*AE1544</f>
        <v/>
      </c>
      <c r="AF1545">
        <f>$C1545*AF1544</f>
        <v/>
      </c>
      <c r="AG1545">
        <f>$C1545*AG1544</f>
        <v/>
      </c>
      <c r="AH1545">
        <f>$C1545*AH1544</f>
        <v/>
      </c>
      <c r="AI1545">
        <f>$C1545*AI1544</f>
        <v/>
      </c>
      <c r="AJ1545">
        <f>$C1545*AJ1544</f>
        <v/>
      </c>
      <c r="AK1545">
        <f>$C1545*AK1544</f>
        <v/>
      </c>
      <c r="AL1545">
        <f>$C1545*AL1544</f>
        <v/>
      </c>
      <c r="AM1545">
        <f>$C1545*AM1544</f>
        <v/>
      </c>
      <c r="AN1545">
        <f>$C1545*AN1544</f>
        <v/>
      </c>
      <c r="AO1545">
        <f>$C1545*AO1544</f>
        <v/>
      </c>
      <c r="AP1545">
        <f>$C1545*AP1544</f>
        <v/>
      </c>
      <c r="AQ1545">
        <f>$C1545*AQ1544</f>
        <v/>
      </c>
      <c r="AR1545">
        <f>$C1545*AR1544</f>
        <v/>
      </c>
      <c r="AS1545">
        <f>$C1545*AS1544</f>
        <v/>
      </c>
      <c r="AT1545">
        <f>$C1545*AT1544</f>
        <v/>
      </c>
      <c r="AU1545">
        <f>$C1545*AU1544</f>
        <v/>
      </c>
      <c r="AV1545">
        <f>$C1545*AV1544</f>
        <v/>
      </c>
      <c r="AW1545">
        <f>$C1545*AW1544</f>
        <v/>
      </c>
      <c r="AX1545">
        <f>$C1545*AX1544</f>
        <v/>
      </c>
      <c r="AY1545">
        <f>$C1545*AY1544</f>
        <v/>
      </c>
      <c r="AZ1545">
        <f>$C1545*AZ1544</f>
        <v/>
      </c>
      <c r="BA1545">
        <f>$C1545*BA1544</f>
        <v/>
      </c>
      <c r="BB1545">
        <f>$C1545*BB1544</f>
        <v/>
      </c>
      <c r="BC1545">
        <f>$C1545*BC1544</f>
        <v/>
      </c>
      <c r="BD1545">
        <f>$C1545*BD1544</f>
        <v/>
      </c>
      <c r="BE1545">
        <f>$C1545*BE1544</f>
        <v/>
      </c>
      <c r="BF1545">
        <f>$C1545*BF1544</f>
        <v/>
      </c>
      <c r="BG1545">
        <f>$C1545*BG1544</f>
        <v/>
      </c>
      <c r="BH1545">
        <f>$C1545*BH1544</f>
        <v/>
      </c>
      <c r="BI1545">
        <f>$C1545*BI1544</f>
        <v/>
      </c>
      <c r="BJ1545">
        <f>$C1545*BJ1544</f>
        <v/>
      </c>
      <c r="BK1545">
        <f>$C1545*BK1544</f>
        <v/>
      </c>
      <c r="BL1545">
        <f>$C1545*BL1544</f>
        <v/>
      </c>
      <c r="BM1545">
        <f>$C1545*BM1544</f>
        <v/>
      </c>
      <c r="BN1545">
        <f>$C1545*BN1544</f>
        <v/>
      </c>
      <c r="BO1545">
        <f>$C1545*BO1544</f>
        <v/>
      </c>
      <c r="BP1545">
        <f>$C1545*BP1544</f>
        <v/>
      </c>
      <c r="BQ1545">
        <f>$C1545*BQ1544</f>
        <v/>
      </c>
      <c r="BR1545">
        <f>$C1545*BR1544</f>
        <v/>
      </c>
      <c r="BS1545">
        <f>$C1545*BS1544</f>
        <v/>
      </c>
      <c r="BT1545">
        <f>$C1545*BT1544</f>
        <v/>
      </c>
      <c r="BU1545">
        <f>$C1545*BU1544</f>
        <v/>
      </c>
      <c r="BV1545">
        <f>$C1545*BV1544</f>
        <v/>
      </c>
      <c r="BW1545">
        <f>$C1545*BW1544</f>
        <v/>
      </c>
      <c r="BX1545">
        <f>$C1545*BX1544</f>
        <v/>
      </c>
      <c r="BY1545">
        <f>$C1545*BY1544</f>
        <v/>
      </c>
      <c r="BZ1545">
        <f>$C1545*BZ1544</f>
        <v/>
      </c>
      <c r="CA1545">
        <f>$C1545*CA1544</f>
        <v/>
      </c>
      <c r="CB1545">
        <f>$C1545*CB1544</f>
        <v/>
      </c>
      <c r="CC1545">
        <f>$C1545*CC1544</f>
        <v/>
      </c>
      <c r="CD1545">
        <f>$C1545*CD1544</f>
        <v/>
      </c>
      <c r="CE1545">
        <f>$C1545*CE1544</f>
        <v/>
      </c>
      <c r="CF1545">
        <f>$C1545*CF1544</f>
        <v/>
      </c>
      <c r="CG1545">
        <f>$C1545*CG1544</f>
        <v/>
      </c>
      <c r="CH1545">
        <f>$C1545*CH1544</f>
        <v/>
      </c>
      <c r="CI1545">
        <f>$C1545*CI1544</f>
        <v/>
      </c>
      <c r="CJ1545">
        <f>$C1545*CJ1544</f>
        <v/>
      </c>
      <c r="CK1545">
        <f>$C1545*CK1544</f>
        <v/>
      </c>
      <c r="CL1545">
        <f>$C1545*CL1544</f>
        <v/>
      </c>
      <c r="CM1545">
        <f>$C1545*CM1544</f>
        <v/>
      </c>
      <c r="CN1545">
        <f>$C1545*CN1544</f>
        <v/>
      </c>
      <c r="CO1545">
        <f>$C1545*CO1544</f>
        <v/>
      </c>
      <c r="CP1545">
        <f>$C1545*CP1544</f>
        <v/>
      </c>
      <c r="CQ1545">
        <f>$C1545*CQ1544</f>
        <v/>
      </c>
      <c r="CR1545">
        <f>$C1545*CR1544</f>
        <v/>
      </c>
      <c r="CS1545">
        <f>$C1545*CS1544</f>
        <v/>
      </c>
      <c r="CT1545">
        <f>$C1545*CT1544</f>
        <v/>
      </c>
      <c r="CU1545">
        <f>$C1545*CU1544</f>
        <v/>
      </c>
      <c r="CV1545">
        <f>$C1545*CV1544</f>
        <v/>
      </c>
      <c r="CW1545">
        <f>$C1545*CW1544</f>
        <v/>
      </c>
      <c r="CX1545">
        <f>$C1545*CX1544</f>
        <v/>
      </c>
      <c r="CY1545">
        <f>$C1545*CY1544</f>
        <v/>
      </c>
      <c r="CZ1545">
        <f>$C1545*CZ1544</f>
        <v/>
      </c>
      <c r="DA1545">
        <f>$C1545*DA1544</f>
        <v/>
      </c>
      <c r="DB1545">
        <f>$C1545*DB1544</f>
        <v/>
      </c>
      <c r="DC1545">
        <f>$C1545*DC1544</f>
        <v/>
      </c>
      <c r="DD1545">
        <f>$C1545*DD1544</f>
        <v/>
      </c>
    </row>
    <row r="1546">
      <c r="B1546" s="4" t="inlineStr">
        <is>
          <t>合計使用量(kg)/週</t>
        </is>
      </c>
      <c r="D1546" s="22">
        <f>IFERROR(INDEX(E1546:DD1546,$F$1),"")</f>
        <v/>
      </c>
      <c r="E1546">
        <f>'Grid_Requirement'!B41</f>
        <v/>
      </c>
      <c r="F1546">
        <f>'Grid_Requirement'!C41</f>
        <v/>
      </c>
      <c r="G1546">
        <f>'Grid_Requirement'!D41</f>
        <v/>
      </c>
      <c r="H1546">
        <f>'Grid_Requirement'!E41</f>
        <v/>
      </c>
      <c r="I1546">
        <f>'Grid_Requirement'!F41</f>
        <v/>
      </c>
      <c r="J1546">
        <f>'Grid_Requirement'!G41</f>
        <v/>
      </c>
      <c r="K1546">
        <f>'Grid_Requirement'!H41</f>
        <v/>
      </c>
      <c r="L1546">
        <f>'Grid_Requirement'!I41</f>
        <v/>
      </c>
      <c r="M1546">
        <f>'Grid_Requirement'!J41</f>
        <v/>
      </c>
      <c r="N1546">
        <f>'Grid_Requirement'!K41</f>
        <v/>
      </c>
      <c r="O1546">
        <f>'Grid_Requirement'!L41</f>
        <v/>
      </c>
      <c r="P1546">
        <f>'Grid_Requirement'!M41</f>
        <v/>
      </c>
      <c r="Q1546">
        <f>'Grid_Requirement'!N41</f>
        <v/>
      </c>
      <c r="R1546">
        <f>'Grid_Requirement'!O41</f>
        <v/>
      </c>
      <c r="S1546">
        <f>'Grid_Requirement'!P41</f>
        <v/>
      </c>
      <c r="T1546">
        <f>'Grid_Requirement'!Q41</f>
        <v/>
      </c>
      <c r="U1546">
        <f>'Grid_Requirement'!R41</f>
        <v/>
      </c>
      <c r="V1546">
        <f>'Grid_Requirement'!S41</f>
        <v/>
      </c>
      <c r="W1546">
        <f>'Grid_Requirement'!T41</f>
        <v/>
      </c>
      <c r="X1546">
        <f>'Grid_Requirement'!U41</f>
        <v/>
      </c>
      <c r="Y1546">
        <f>'Grid_Requirement'!V41</f>
        <v/>
      </c>
      <c r="Z1546">
        <f>'Grid_Requirement'!W41</f>
        <v/>
      </c>
      <c r="AA1546">
        <f>'Grid_Requirement'!X41</f>
        <v/>
      </c>
      <c r="AB1546">
        <f>'Grid_Requirement'!Y41</f>
        <v/>
      </c>
      <c r="AC1546">
        <f>'Grid_Requirement'!Z41</f>
        <v/>
      </c>
      <c r="AD1546">
        <f>'Grid_Requirement'!AA41</f>
        <v/>
      </c>
      <c r="AE1546">
        <f>'Grid_Requirement'!AB41</f>
        <v/>
      </c>
      <c r="AF1546">
        <f>'Grid_Requirement'!AC41</f>
        <v/>
      </c>
      <c r="AG1546">
        <f>'Grid_Requirement'!AD41</f>
        <v/>
      </c>
      <c r="AH1546">
        <f>'Grid_Requirement'!AE41</f>
        <v/>
      </c>
      <c r="AI1546">
        <f>'Grid_Requirement'!AF41</f>
        <v/>
      </c>
      <c r="AJ1546">
        <f>'Grid_Requirement'!AG41</f>
        <v/>
      </c>
      <c r="AK1546">
        <f>'Grid_Requirement'!AH41</f>
        <v/>
      </c>
      <c r="AL1546">
        <f>'Grid_Requirement'!AI41</f>
        <v/>
      </c>
      <c r="AM1546">
        <f>'Grid_Requirement'!AJ41</f>
        <v/>
      </c>
      <c r="AN1546">
        <f>'Grid_Requirement'!AK41</f>
        <v/>
      </c>
      <c r="AO1546">
        <f>'Grid_Requirement'!AL41</f>
        <v/>
      </c>
      <c r="AP1546">
        <f>'Grid_Requirement'!AM41</f>
        <v/>
      </c>
      <c r="AQ1546">
        <f>'Grid_Requirement'!AN41</f>
        <v/>
      </c>
      <c r="AR1546">
        <f>'Grid_Requirement'!AO41</f>
        <v/>
      </c>
      <c r="AS1546">
        <f>'Grid_Requirement'!AP41</f>
        <v/>
      </c>
      <c r="AT1546">
        <f>'Grid_Requirement'!AQ41</f>
        <v/>
      </c>
      <c r="AU1546">
        <f>'Grid_Requirement'!AR41</f>
        <v/>
      </c>
      <c r="AV1546">
        <f>'Grid_Requirement'!AS41</f>
        <v/>
      </c>
      <c r="AW1546">
        <f>'Grid_Requirement'!AT41</f>
        <v/>
      </c>
      <c r="AX1546">
        <f>'Grid_Requirement'!AU41</f>
        <v/>
      </c>
      <c r="AY1546">
        <f>'Grid_Requirement'!AV41</f>
        <v/>
      </c>
      <c r="AZ1546">
        <f>'Grid_Requirement'!AW41</f>
        <v/>
      </c>
      <c r="BA1546">
        <f>'Grid_Requirement'!AX41</f>
        <v/>
      </c>
      <c r="BB1546">
        <f>'Grid_Requirement'!AY41</f>
        <v/>
      </c>
      <c r="BC1546">
        <f>'Grid_Requirement'!AZ41</f>
        <v/>
      </c>
      <c r="BD1546">
        <f>'Grid_Requirement'!BA41</f>
        <v/>
      </c>
      <c r="BE1546">
        <f>'Grid_Requirement'!BB41</f>
        <v/>
      </c>
      <c r="BF1546">
        <f>'Grid_Requirement'!BC41</f>
        <v/>
      </c>
      <c r="BG1546">
        <f>'Grid_Requirement'!BD41</f>
        <v/>
      </c>
      <c r="BH1546">
        <f>'Grid_Requirement'!BE41</f>
        <v/>
      </c>
      <c r="BI1546">
        <f>'Grid_Requirement'!BF41</f>
        <v/>
      </c>
      <c r="BJ1546">
        <f>'Grid_Requirement'!BG41</f>
        <v/>
      </c>
      <c r="BK1546">
        <f>'Grid_Requirement'!BH41</f>
        <v/>
      </c>
      <c r="BL1546">
        <f>'Grid_Requirement'!BI41</f>
        <v/>
      </c>
      <c r="BM1546">
        <f>'Grid_Requirement'!BJ41</f>
        <v/>
      </c>
      <c r="BN1546">
        <f>'Grid_Requirement'!BK41</f>
        <v/>
      </c>
      <c r="BO1546">
        <f>'Grid_Requirement'!BL41</f>
        <v/>
      </c>
      <c r="BP1546">
        <f>'Grid_Requirement'!BM41</f>
        <v/>
      </c>
      <c r="BQ1546">
        <f>'Grid_Requirement'!BN41</f>
        <v/>
      </c>
      <c r="BR1546">
        <f>'Grid_Requirement'!BO41</f>
        <v/>
      </c>
      <c r="BS1546">
        <f>'Grid_Requirement'!BP41</f>
        <v/>
      </c>
      <c r="BT1546">
        <f>'Grid_Requirement'!BQ41</f>
        <v/>
      </c>
      <c r="BU1546">
        <f>'Grid_Requirement'!BR41</f>
        <v/>
      </c>
      <c r="BV1546">
        <f>'Grid_Requirement'!BS41</f>
        <v/>
      </c>
      <c r="BW1546">
        <f>'Grid_Requirement'!BT41</f>
        <v/>
      </c>
      <c r="BX1546">
        <f>'Grid_Requirement'!BU41</f>
        <v/>
      </c>
      <c r="BY1546">
        <f>'Grid_Requirement'!BV41</f>
        <v/>
      </c>
      <c r="BZ1546">
        <f>'Grid_Requirement'!BW41</f>
        <v/>
      </c>
      <c r="CA1546">
        <f>'Grid_Requirement'!BX41</f>
        <v/>
      </c>
      <c r="CB1546">
        <f>'Grid_Requirement'!BY41</f>
        <v/>
      </c>
      <c r="CC1546">
        <f>'Grid_Requirement'!BZ41</f>
        <v/>
      </c>
      <c r="CD1546">
        <f>'Grid_Requirement'!CA41</f>
        <v/>
      </c>
      <c r="CE1546">
        <f>'Grid_Requirement'!CB41</f>
        <v/>
      </c>
      <c r="CF1546">
        <f>'Grid_Requirement'!CC41</f>
        <v/>
      </c>
      <c r="CG1546">
        <f>'Grid_Requirement'!CD41</f>
        <v/>
      </c>
      <c r="CH1546">
        <f>'Grid_Requirement'!CE41</f>
        <v/>
      </c>
      <c r="CI1546">
        <f>'Grid_Requirement'!CF41</f>
        <v/>
      </c>
      <c r="CJ1546">
        <f>'Grid_Requirement'!CG41</f>
        <v/>
      </c>
      <c r="CK1546">
        <f>'Grid_Requirement'!CH41</f>
        <v/>
      </c>
      <c r="CL1546">
        <f>'Grid_Requirement'!CI41</f>
        <v/>
      </c>
      <c r="CM1546">
        <f>'Grid_Requirement'!CJ41</f>
        <v/>
      </c>
      <c r="CN1546">
        <f>'Grid_Requirement'!CK41</f>
        <v/>
      </c>
      <c r="CO1546">
        <f>'Grid_Requirement'!CL41</f>
        <v/>
      </c>
      <c r="CP1546">
        <f>'Grid_Requirement'!CM41</f>
        <v/>
      </c>
      <c r="CQ1546">
        <f>'Grid_Requirement'!CN41</f>
        <v/>
      </c>
      <c r="CR1546">
        <f>'Grid_Requirement'!CO41</f>
        <v/>
      </c>
      <c r="CS1546">
        <f>'Grid_Requirement'!CP41</f>
        <v/>
      </c>
      <c r="CT1546">
        <f>'Grid_Requirement'!CQ41</f>
        <v/>
      </c>
      <c r="CU1546">
        <f>'Grid_Requirement'!CR41</f>
        <v/>
      </c>
      <c r="CV1546">
        <f>'Grid_Requirement'!CS41</f>
        <v/>
      </c>
      <c r="CW1546">
        <f>'Grid_Requirement'!CT41</f>
        <v/>
      </c>
      <c r="CX1546">
        <f>'Grid_Requirement'!CU41</f>
        <v/>
      </c>
      <c r="CY1546">
        <f>'Grid_Requirement'!CV41</f>
        <v/>
      </c>
      <c r="CZ1546">
        <f>'Grid_Requirement'!CW41</f>
        <v/>
      </c>
      <c r="DA1546">
        <f>'Grid_Requirement'!CX41</f>
        <v/>
      </c>
      <c r="DB1546">
        <f>'Grid_Requirement'!CY41</f>
        <v/>
      </c>
      <c r="DC1546">
        <f>'Grid_Requirement'!CZ41</f>
        <v/>
      </c>
      <c r="DD1546">
        <f>'Grid_Requirement'!DA41</f>
        <v/>
      </c>
    </row>
    <row r="1547">
      <c r="B1547" s="23" t="inlineStr">
        <is>
          <t>（在庫・入荷予定はDashboard参照）</t>
        </is>
      </c>
    </row>
    <row r="1549">
      <c r="A1549" s="21" t="inlineStr">
        <is>
          <t>CHEM-1020</t>
        </is>
      </c>
      <c r="B1549" s="21" t="inlineStr">
        <is>
          <t>Sodium Nitrite</t>
        </is>
      </c>
      <c r="C1549" s="21" t="n"/>
      <c r="D1549" s="21" t="n"/>
      <c r="E1549" s="21" t="n"/>
      <c r="F1549" s="21" t="n"/>
      <c r="G1549" s="21" t="n"/>
      <c r="H1549" s="21" t="n"/>
      <c r="I1549" s="21" t="n"/>
      <c r="J1549" s="21" t="n"/>
      <c r="K1549" s="21" t="n"/>
      <c r="L1549" s="21" t="n"/>
      <c r="M1549" s="21" t="n"/>
      <c r="N1549" s="21" t="n"/>
      <c r="O1549" s="21" t="n"/>
      <c r="P1549" s="21" t="n"/>
      <c r="Q1549" s="21" t="n"/>
      <c r="R1549" s="21" t="n"/>
      <c r="S1549" s="21" t="n"/>
      <c r="T1549" s="21" t="n"/>
      <c r="U1549" s="21" t="n"/>
      <c r="V1549" s="21" t="n"/>
      <c r="W1549" s="21" t="n"/>
      <c r="X1549" s="21" t="n"/>
      <c r="Y1549" s="21" t="n"/>
      <c r="Z1549" s="21" t="n"/>
      <c r="AA1549" s="21" t="n"/>
      <c r="AB1549" s="21" t="n"/>
      <c r="AC1549" s="21" t="n"/>
      <c r="AD1549" s="21" t="n"/>
      <c r="AE1549" s="21" t="n"/>
      <c r="AF1549" s="21" t="n"/>
      <c r="AG1549" s="21" t="n"/>
      <c r="AH1549" s="21" t="n"/>
      <c r="AI1549" s="21" t="n"/>
      <c r="AJ1549" s="21" t="n"/>
      <c r="AK1549" s="21" t="n"/>
      <c r="AL1549" s="21" t="n"/>
      <c r="AM1549" s="21" t="n"/>
      <c r="AN1549" s="21" t="n"/>
      <c r="AO1549" s="21" t="n"/>
      <c r="AP1549" s="21" t="n"/>
      <c r="AQ1549" s="21" t="n"/>
      <c r="AR1549" s="21" t="n"/>
      <c r="AS1549" s="21" t="n"/>
      <c r="AT1549" s="21" t="n"/>
      <c r="AU1549" s="21" t="n"/>
      <c r="AV1549" s="21" t="n"/>
      <c r="AW1549" s="21" t="n"/>
      <c r="AX1549" s="21" t="n"/>
      <c r="AY1549" s="21" t="n"/>
      <c r="AZ1549" s="21" t="n"/>
      <c r="BA1549" s="21" t="n"/>
      <c r="BB1549" s="21" t="n"/>
      <c r="BC1549" s="21" t="n"/>
      <c r="BD1549" s="21" t="n"/>
      <c r="BE1549" s="21" t="n"/>
      <c r="BF1549" s="21" t="n"/>
      <c r="BG1549" s="21" t="n"/>
      <c r="BH1549" s="21" t="n"/>
      <c r="BI1549" s="21" t="n"/>
      <c r="BJ1549" s="21" t="n"/>
      <c r="BK1549" s="21" t="n"/>
      <c r="BL1549" s="21" t="n"/>
      <c r="BM1549" s="21" t="n"/>
      <c r="BN1549" s="21" t="n"/>
      <c r="BO1549" s="21" t="n"/>
      <c r="BP1549" s="21" t="n"/>
      <c r="BQ1549" s="21" t="n"/>
      <c r="BR1549" s="21" t="n"/>
      <c r="BS1549" s="21" t="n"/>
      <c r="BT1549" s="21" t="n"/>
      <c r="BU1549" s="21" t="n"/>
      <c r="BV1549" s="21" t="n"/>
      <c r="BW1549" s="21" t="n"/>
      <c r="BX1549" s="21" t="n"/>
      <c r="BY1549" s="21" t="n"/>
      <c r="BZ1549" s="21" t="n"/>
      <c r="CA1549" s="21" t="n"/>
      <c r="CB1549" s="21" t="n"/>
      <c r="CC1549" s="21" t="n"/>
      <c r="CD1549" s="21" t="n"/>
      <c r="CE1549" s="21" t="n"/>
      <c r="CF1549" s="21" t="n"/>
      <c r="CG1549" s="21" t="n"/>
      <c r="CH1549" s="21" t="n"/>
      <c r="CI1549" s="21" t="n"/>
      <c r="CJ1549" s="21" t="n"/>
      <c r="CK1549" s="21" t="n"/>
      <c r="CL1549" s="21" t="n"/>
      <c r="CM1549" s="21" t="n"/>
      <c r="CN1549" s="21" t="n"/>
      <c r="CO1549" s="21" t="n"/>
      <c r="CP1549" s="21" t="n"/>
      <c r="CQ1549" s="21" t="n"/>
      <c r="CR1549" s="21" t="n"/>
      <c r="CS1549" s="21" t="n"/>
      <c r="CT1549" s="21" t="n"/>
      <c r="CU1549" s="21" t="n"/>
      <c r="CV1549" s="21" t="n"/>
      <c r="CW1549" s="21" t="n"/>
      <c r="CX1549" s="21" t="n"/>
      <c r="CY1549" s="21" t="n"/>
      <c r="CZ1549" s="21" t="n"/>
      <c r="DA1549" s="21" t="n"/>
      <c r="DB1549" s="21" t="n"/>
      <c r="DC1549" s="21" t="n"/>
      <c r="DD1549" s="21" t="n"/>
    </row>
    <row r="1550">
      <c r="B1550" t="inlineStr">
        <is>
          <t>20p</t>
        </is>
      </c>
      <c r="C1550" t="inlineStr">
        <is>
          <t>No. of batches</t>
        </is>
      </c>
      <c r="D1550">
        <f>IFERROR(INDEX(E1550:DD1550,$F$1),"")</f>
        <v/>
      </c>
      <c r="E1550">
        <f>IFERROR(INDEX(PP_Grid[#Data],$DE1550,2),0)</f>
        <v/>
      </c>
      <c r="F1550">
        <f>IFERROR(INDEX(PP_Grid[#Data],$DE1550,3),0)</f>
        <v/>
      </c>
      <c r="G1550">
        <f>IFERROR(INDEX(PP_Grid[#Data],$DE1550,4),0)</f>
        <v/>
      </c>
      <c r="H1550">
        <f>IFERROR(INDEX(PP_Grid[#Data],$DE1550,5),0)</f>
        <v/>
      </c>
      <c r="I1550">
        <f>IFERROR(INDEX(PP_Grid[#Data],$DE1550,6),0)</f>
        <v/>
      </c>
      <c r="J1550">
        <f>IFERROR(INDEX(PP_Grid[#Data],$DE1550,7),0)</f>
        <v/>
      </c>
      <c r="K1550">
        <f>IFERROR(INDEX(PP_Grid[#Data],$DE1550,8),0)</f>
        <v/>
      </c>
      <c r="L1550">
        <f>IFERROR(INDEX(PP_Grid[#Data],$DE1550,9),0)</f>
        <v/>
      </c>
      <c r="M1550">
        <f>IFERROR(INDEX(PP_Grid[#Data],$DE1550,10),0)</f>
        <v/>
      </c>
      <c r="N1550">
        <f>IFERROR(INDEX(PP_Grid[#Data],$DE1550,11),0)</f>
        <v/>
      </c>
      <c r="O1550">
        <f>IFERROR(INDEX(PP_Grid[#Data],$DE1550,12),0)</f>
        <v/>
      </c>
      <c r="P1550">
        <f>IFERROR(INDEX(PP_Grid[#Data],$DE1550,13),0)</f>
        <v/>
      </c>
      <c r="Q1550">
        <f>IFERROR(INDEX(PP_Grid[#Data],$DE1550,14),0)</f>
        <v/>
      </c>
      <c r="R1550">
        <f>IFERROR(INDEX(PP_Grid[#Data],$DE1550,15),0)</f>
        <v/>
      </c>
      <c r="S1550">
        <f>IFERROR(INDEX(PP_Grid[#Data],$DE1550,16),0)</f>
        <v/>
      </c>
      <c r="T1550">
        <f>IFERROR(INDEX(PP_Grid[#Data],$DE1550,17),0)</f>
        <v/>
      </c>
      <c r="U1550">
        <f>IFERROR(INDEX(PP_Grid[#Data],$DE1550,18),0)</f>
        <v/>
      </c>
      <c r="V1550">
        <f>IFERROR(INDEX(PP_Grid[#Data],$DE1550,19),0)</f>
        <v/>
      </c>
      <c r="W1550">
        <f>IFERROR(INDEX(PP_Grid[#Data],$DE1550,20),0)</f>
        <v/>
      </c>
      <c r="X1550">
        <f>IFERROR(INDEX(PP_Grid[#Data],$DE1550,21),0)</f>
        <v/>
      </c>
      <c r="Y1550">
        <f>IFERROR(INDEX(PP_Grid[#Data],$DE1550,22),0)</f>
        <v/>
      </c>
      <c r="Z1550">
        <f>IFERROR(INDEX(PP_Grid[#Data],$DE1550,23),0)</f>
        <v/>
      </c>
      <c r="AA1550">
        <f>IFERROR(INDEX(PP_Grid[#Data],$DE1550,24),0)</f>
        <v/>
      </c>
      <c r="AB1550">
        <f>IFERROR(INDEX(PP_Grid[#Data],$DE1550,25),0)</f>
        <v/>
      </c>
      <c r="AC1550">
        <f>IFERROR(INDEX(PP_Grid[#Data],$DE1550,26),0)</f>
        <v/>
      </c>
      <c r="AD1550">
        <f>IFERROR(INDEX(PP_Grid[#Data],$DE1550,27),0)</f>
        <v/>
      </c>
      <c r="AE1550">
        <f>IFERROR(INDEX(PP_Grid[#Data],$DE1550,28),0)</f>
        <v/>
      </c>
      <c r="AF1550">
        <f>IFERROR(INDEX(PP_Grid[#Data],$DE1550,29),0)</f>
        <v/>
      </c>
      <c r="AG1550">
        <f>IFERROR(INDEX(PP_Grid[#Data],$DE1550,30),0)</f>
        <v/>
      </c>
      <c r="AH1550">
        <f>IFERROR(INDEX(PP_Grid[#Data],$DE1550,31),0)</f>
        <v/>
      </c>
      <c r="AI1550">
        <f>IFERROR(INDEX(PP_Grid[#Data],$DE1550,32),0)</f>
        <v/>
      </c>
      <c r="AJ1550">
        <f>IFERROR(INDEX(PP_Grid[#Data],$DE1550,33),0)</f>
        <v/>
      </c>
      <c r="AK1550">
        <f>IFERROR(INDEX(PP_Grid[#Data],$DE1550,34),0)</f>
        <v/>
      </c>
      <c r="AL1550">
        <f>IFERROR(INDEX(PP_Grid[#Data],$DE1550,35),0)</f>
        <v/>
      </c>
      <c r="AM1550">
        <f>IFERROR(INDEX(PP_Grid[#Data],$DE1550,36),0)</f>
        <v/>
      </c>
      <c r="AN1550">
        <f>IFERROR(INDEX(PP_Grid[#Data],$DE1550,37),0)</f>
        <v/>
      </c>
      <c r="AO1550">
        <f>IFERROR(INDEX(PP_Grid[#Data],$DE1550,38),0)</f>
        <v/>
      </c>
      <c r="AP1550">
        <f>IFERROR(INDEX(PP_Grid[#Data],$DE1550,39),0)</f>
        <v/>
      </c>
      <c r="AQ1550">
        <f>IFERROR(INDEX(PP_Grid[#Data],$DE1550,40),0)</f>
        <v/>
      </c>
      <c r="AR1550">
        <f>IFERROR(INDEX(PP_Grid[#Data],$DE1550,41),0)</f>
        <v/>
      </c>
      <c r="AS1550">
        <f>IFERROR(INDEX(PP_Grid[#Data],$DE1550,42),0)</f>
        <v/>
      </c>
      <c r="AT1550">
        <f>IFERROR(INDEX(PP_Grid[#Data],$DE1550,43),0)</f>
        <v/>
      </c>
      <c r="AU1550">
        <f>IFERROR(INDEX(PP_Grid[#Data],$DE1550,44),0)</f>
        <v/>
      </c>
      <c r="AV1550">
        <f>IFERROR(INDEX(PP_Grid[#Data],$DE1550,45),0)</f>
        <v/>
      </c>
      <c r="AW1550">
        <f>IFERROR(INDEX(PP_Grid[#Data],$DE1550,46),0)</f>
        <v/>
      </c>
      <c r="AX1550">
        <f>IFERROR(INDEX(PP_Grid[#Data],$DE1550,47),0)</f>
        <v/>
      </c>
      <c r="AY1550">
        <f>IFERROR(INDEX(PP_Grid[#Data],$DE1550,48),0)</f>
        <v/>
      </c>
      <c r="AZ1550">
        <f>IFERROR(INDEX(PP_Grid[#Data],$DE1550,49),0)</f>
        <v/>
      </c>
      <c r="BA1550">
        <f>IFERROR(INDEX(PP_Grid[#Data],$DE1550,50),0)</f>
        <v/>
      </c>
      <c r="BB1550">
        <f>IFERROR(INDEX(PP_Grid[#Data],$DE1550,51),0)</f>
        <v/>
      </c>
      <c r="BC1550">
        <f>IFERROR(INDEX(PP_Grid[#Data],$DE1550,52),0)</f>
        <v/>
      </c>
      <c r="BD1550">
        <f>IFERROR(INDEX(PP_Grid[#Data],$DE1550,53),0)</f>
        <v/>
      </c>
      <c r="BE1550">
        <f>IFERROR(INDEX(PP_Grid[#Data],$DE1550,54),0)</f>
        <v/>
      </c>
      <c r="BF1550">
        <f>IFERROR(INDEX(PP_Grid[#Data],$DE1550,55),0)</f>
        <v/>
      </c>
      <c r="BG1550">
        <f>IFERROR(INDEX(PP_Grid[#Data],$DE1550,56),0)</f>
        <v/>
      </c>
      <c r="BH1550">
        <f>IFERROR(INDEX(PP_Grid[#Data],$DE1550,57),0)</f>
        <v/>
      </c>
      <c r="BI1550">
        <f>IFERROR(INDEX(PP_Grid[#Data],$DE1550,58),0)</f>
        <v/>
      </c>
      <c r="BJ1550">
        <f>IFERROR(INDEX(PP_Grid[#Data],$DE1550,59),0)</f>
        <v/>
      </c>
      <c r="BK1550">
        <f>IFERROR(INDEX(PP_Grid[#Data],$DE1550,60),0)</f>
        <v/>
      </c>
      <c r="BL1550">
        <f>IFERROR(INDEX(PP_Grid[#Data],$DE1550,61),0)</f>
        <v/>
      </c>
      <c r="BM1550">
        <f>IFERROR(INDEX(PP_Grid[#Data],$DE1550,62),0)</f>
        <v/>
      </c>
      <c r="BN1550">
        <f>IFERROR(INDEX(PP_Grid[#Data],$DE1550,63),0)</f>
        <v/>
      </c>
      <c r="BO1550">
        <f>IFERROR(INDEX(PP_Grid[#Data],$DE1550,64),0)</f>
        <v/>
      </c>
      <c r="BP1550">
        <f>IFERROR(INDEX(PP_Grid[#Data],$DE1550,65),0)</f>
        <v/>
      </c>
      <c r="BQ1550">
        <f>IFERROR(INDEX(PP_Grid[#Data],$DE1550,66),0)</f>
        <v/>
      </c>
      <c r="BR1550">
        <f>IFERROR(INDEX(PP_Grid[#Data],$DE1550,67),0)</f>
        <v/>
      </c>
      <c r="BS1550">
        <f>IFERROR(INDEX(PP_Grid[#Data],$DE1550,68),0)</f>
        <v/>
      </c>
      <c r="BT1550">
        <f>IFERROR(INDEX(PP_Grid[#Data],$DE1550,69),0)</f>
        <v/>
      </c>
      <c r="BU1550">
        <f>IFERROR(INDEX(PP_Grid[#Data],$DE1550,70),0)</f>
        <v/>
      </c>
      <c r="BV1550">
        <f>IFERROR(INDEX(PP_Grid[#Data],$DE1550,71),0)</f>
        <v/>
      </c>
      <c r="BW1550">
        <f>IFERROR(INDEX(PP_Grid[#Data],$DE1550,72),0)</f>
        <v/>
      </c>
      <c r="BX1550">
        <f>IFERROR(INDEX(PP_Grid[#Data],$DE1550,73),0)</f>
        <v/>
      </c>
      <c r="BY1550">
        <f>IFERROR(INDEX(PP_Grid[#Data],$DE1550,74),0)</f>
        <v/>
      </c>
      <c r="BZ1550">
        <f>IFERROR(INDEX(PP_Grid[#Data],$DE1550,75),0)</f>
        <v/>
      </c>
      <c r="CA1550">
        <f>IFERROR(INDEX(PP_Grid[#Data],$DE1550,76),0)</f>
        <v/>
      </c>
      <c r="CB1550">
        <f>IFERROR(INDEX(PP_Grid[#Data],$DE1550,77),0)</f>
        <v/>
      </c>
      <c r="CC1550">
        <f>IFERROR(INDEX(PP_Grid[#Data],$DE1550,78),0)</f>
        <v/>
      </c>
      <c r="CD1550">
        <f>IFERROR(INDEX(PP_Grid[#Data],$DE1550,79),0)</f>
        <v/>
      </c>
      <c r="CE1550">
        <f>IFERROR(INDEX(PP_Grid[#Data],$DE1550,80),0)</f>
        <v/>
      </c>
      <c r="CF1550">
        <f>IFERROR(INDEX(PP_Grid[#Data],$DE1550,81),0)</f>
        <v/>
      </c>
      <c r="CG1550">
        <f>IFERROR(INDEX(PP_Grid[#Data],$DE1550,82),0)</f>
        <v/>
      </c>
      <c r="CH1550">
        <f>IFERROR(INDEX(PP_Grid[#Data],$DE1550,83),0)</f>
        <v/>
      </c>
      <c r="CI1550">
        <f>IFERROR(INDEX(PP_Grid[#Data],$DE1550,84),0)</f>
        <v/>
      </c>
      <c r="CJ1550">
        <f>IFERROR(INDEX(PP_Grid[#Data],$DE1550,85),0)</f>
        <v/>
      </c>
      <c r="CK1550">
        <f>IFERROR(INDEX(PP_Grid[#Data],$DE1550,86),0)</f>
        <v/>
      </c>
      <c r="CL1550">
        <f>IFERROR(INDEX(PP_Grid[#Data],$DE1550,87),0)</f>
        <v/>
      </c>
      <c r="CM1550">
        <f>IFERROR(INDEX(PP_Grid[#Data],$DE1550,88),0)</f>
        <v/>
      </c>
      <c r="CN1550">
        <f>IFERROR(INDEX(PP_Grid[#Data],$DE1550,89),0)</f>
        <v/>
      </c>
      <c r="CO1550">
        <f>IFERROR(INDEX(PP_Grid[#Data],$DE1550,90),0)</f>
        <v/>
      </c>
      <c r="CP1550">
        <f>IFERROR(INDEX(PP_Grid[#Data],$DE1550,91),0)</f>
        <v/>
      </c>
      <c r="CQ1550">
        <f>IFERROR(INDEX(PP_Grid[#Data],$DE1550,92),0)</f>
        <v/>
      </c>
      <c r="CR1550">
        <f>IFERROR(INDEX(PP_Grid[#Data],$DE1550,93),0)</f>
        <v/>
      </c>
      <c r="CS1550">
        <f>IFERROR(INDEX(PP_Grid[#Data],$DE1550,94),0)</f>
        <v/>
      </c>
      <c r="CT1550">
        <f>IFERROR(INDEX(PP_Grid[#Data],$DE1550,95),0)</f>
        <v/>
      </c>
      <c r="CU1550">
        <f>IFERROR(INDEX(PP_Grid[#Data],$DE1550,96),0)</f>
        <v/>
      </c>
      <c r="CV1550">
        <f>IFERROR(INDEX(PP_Grid[#Data],$DE1550,97),0)</f>
        <v/>
      </c>
      <c r="CW1550">
        <f>IFERROR(INDEX(PP_Grid[#Data],$DE1550,98),0)</f>
        <v/>
      </c>
      <c r="CX1550">
        <f>IFERROR(INDEX(PP_Grid[#Data],$DE1550,99),0)</f>
        <v/>
      </c>
      <c r="CY1550">
        <f>IFERROR(INDEX(PP_Grid[#Data],$DE1550,100),0)</f>
        <v/>
      </c>
      <c r="CZ1550">
        <f>IFERROR(INDEX(PP_Grid[#Data],$DE1550,101),0)</f>
        <v/>
      </c>
      <c r="DA1550">
        <f>IFERROR(INDEX(PP_Grid[#Data],$DE1550,102),0)</f>
        <v/>
      </c>
      <c r="DB1550">
        <f>IFERROR(INDEX(PP_Grid[#Data],$DE1550,103),0)</f>
        <v/>
      </c>
      <c r="DC1550">
        <f>IFERROR(INDEX(PP_Grid[#Data],$DE1550,104),0)</f>
        <v/>
      </c>
      <c r="DD1550">
        <f>IFERROR(INDEX(PP_Grid[#Data],$DE1550,105),0)</f>
        <v/>
      </c>
      <c r="DE1550" s="7">
        <f>IFERROR(MATCH($B1550,PP_Grid[Intermediate],0),99999)</f>
        <v/>
      </c>
    </row>
    <row r="1551">
      <c r="B1551" t="inlineStr">
        <is>
          <t>使用量(kg)</t>
        </is>
      </c>
      <c r="C1551">
        <f>SUMIFS(M_BOM[RM_Qty_Per_Batch],M_BOM[Intermediate],$B1550,M_BOM[RM_Code],$A1549)</f>
        <v/>
      </c>
      <c r="D1551">
        <f>IFERROR(INDEX(E1551:DD1551,$F$1),"")</f>
        <v/>
      </c>
      <c r="E1551">
        <f>$C1551*E1550</f>
        <v/>
      </c>
      <c r="F1551">
        <f>$C1551*F1550</f>
        <v/>
      </c>
      <c r="G1551">
        <f>$C1551*G1550</f>
        <v/>
      </c>
      <c r="H1551">
        <f>$C1551*H1550</f>
        <v/>
      </c>
      <c r="I1551">
        <f>$C1551*I1550</f>
        <v/>
      </c>
      <c r="J1551">
        <f>$C1551*J1550</f>
        <v/>
      </c>
      <c r="K1551">
        <f>$C1551*K1550</f>
        <v/>
      </c>
      <c r="L1551">
        <f>$C1551*L1550</f>
        <v/>
      </c>
      <c r="M1551">
        <f>$C1551*M1550</f>
        <v/>
      </c>
      <c r="N1551">
        <f>$C1551*N1550</f>
        <v/>
      </c>
      <c r="O1551">
        <f>$C1551*O1550</f>
        <v/>
      </c>
      <c r="P1551">
        <f>$C1551*P1550</f>
        <v/>
      </c>
      <c r="Q1551">
        <f>$C1551*Q1550</f>
        <v/>
      </c>
      <c r="R1551">
        <f>$C1551*R1550</f>
        <v/>
      </c>
      <c r="S1551">
        <f>$C1551*S1550</f>
        <v/>
      </c>
      <c r="T1551">
        <f>$C1551*T1550</f>
        <v/>
      </c>
      <c r="U1551">
        <f>$C1551*U1550</f>
        <v/>
      </c>
      <c r="V1551">
        <f>$C1551*V1550</f>
        <v/>
      </c>
      <c r="W1551">
        <f>$C1551*W1550</f>
        <v/>
      </c>
      <c r="X1551">
        <f>$C1551*X1550</f>
        <v/>
      </c>
      <c r="Y1551">
        <f>$C1551*Y1550</f>
        <v/>
      </c>
      <c r="Z1551">
        <f>$C1551*Z1550</f>
        <v/>
      </c>
      <c r="AA1551">
        <f>$C1551*AA1550</f>
        <v/>
      </c>
      <c r="AB1551">
        <f>$C1551*AB1550</f>
        <v/>
      </c>
      <c r="AC1551">
        <f>$C1551*AC1550</f>
        <v/>
      </c>
      <c r="AD1551">
        <f>$C1551*AD1550</f>
        <v/>
      </c>
      <c r="AE1551">
        <f>$C1551*AE1550</f>
        <v/>
      </c>
      <c r="AF1551">
        <f>$C1551*AF1550</f>
        <v/>
      </c>
      <c r="AG1551">
        <f>$C1551*AG1550</f>
        <v/>
      </c>
      <c r="AH1551">
        <f>$C1551*AH1550</f>
        <v/>
      </c>
      <c r="AI1551">
        <f>$C1551*AI1550</f>
        <v/>
      </c>
      <c r="AJ1551">
        <f>$C1551*AJ1550</f>
        <v/>
      </c>
      <c r="AK1551">
        <f>$C1551*AK1550</f>
        <v/>
      </c>
      <c r="AL1551">
        <f>$C1551*AL1550</f>
        <v/>
      </c>
      <c r="AM1551">
        <f>$C1551*AM1550</f>
        <v/>
      </c>
      <c r="AN1551">
        <f>$C1551*AN1550</f>
        <v/>
      </c>
      <c r="AO1551">
        <f>$C1551*AO1550</f>
        <v/>
      </c>
      <c r="AP1551">
        <f>$C1551*AP1550</f>
        <v/>
      </c>
      <c r="AQ1551">
        <f>$C1551*AQ1550</f>
        <v/>
      </c>
      <c r="AR1551">
        <f>$C1551*AR1550</f>
        <v/>
      </c>
      <c r="AS1551">
        <f>$C1551*AS1550</f>
        <v/>
      </c>
      <c r="AT1551">
        <f>$C1551*AT1550</f>
        <v/>
      </c>
      <c r="AU1551">
        <f>$C1551*AU1550</f>
        <v/>
      </c>
      <c r="AV1551">
        <f>$C1551*AV1550</f>
        <v/>
      </c>
      <c r="AW1551">
        <f>$C1551*AW1550</f>
        <v/>
      </c>
      <c r="AX1551">
        <f>$C1551*AX1550</f>
        <v/>
      </c>
      <c r="AY1551">
        <f>$C1551*AY1550</f>
        <v/>
      </c>
      <c r="AZ1551">
        <f>$C1551*AZ1550</f>
        <v/>
      </c>
      <c r="BA1551">
        <f>$C1551*BA1550</f>
        <v/>
      </c>
      <c r="BB1551">
        <f>$C1551*BB1550</f>
        <v/>
      </c>
      <c r="BC1551">
        <f>$C1551*BC1550</f>
        <v/>
      </c>
      <c r="BD1551">
        <f>$C1551*BD1550</f>
        <v/>
      </c>
      <c r="BE1551">
        <f>$C1551*BE1550</f>
        <v/>
      </c>
      <c r="BF1551">
        <f>$C1551*BF1550</f>
        <v/>
      </c>
      <c r="BG1551">
        <f>$C1551*BG1550</f>
        <v/>
      </c>
      <c r="BH1551">
        <f>$C1551*BH1550</f>
        <v/>
      </c>
      <c r="BI1551">
        <f>$C1551*BI1550</f>
        <v/>
      </c>
      <c r="BJ1551">
        <f>$C1551*BJ1550</f>
        <v/>
      </c>
      <c r="BK1551">
        <f>$C1551*BK1550</f>
        <v/>
      </c>
      <c r="BL1551">
        <f>$C1551*BL1550</f>
        <v/>
      </c>
      <c r="BM1551">
        <f>$C1551*BM1550</f>
        <v/>
      </c>
      <c r="BN1551">
        <f>$C1551*BN1550</f>
        <v/>
      </c>
      <c r="BO1551">
        <f>$C1551*BO1550</f>
        <v/>
      </c>
      <c r="BP1551">
        <f>$C1551*BP1550</f>
        <v/>
      </c>
      <c r="BQ1551">
        <f>$C1551*BQ1550</f>
        <v/>
      </c>
      <c r="BR1551">
        <f>$C1551*BR1550</f>
        <v/>
      </c>
      <c r="BS1551">
        <f>$C1551*BS1550</f>
        <v/>
      </c>
      <c r="BT1551">
        <f>$C1551*BT1550</f>
        <v/>
      </c>
      <c r="BU1551">
        <f>$C1551*BU1550</f>
        <v/>
      </c>
      <c r="BV1551">
        <f>$C1551*BV1550</f>
        <v/>
      </c>
      <c r="BW1551">
        <f>$C1551*BW1550</f>
        <v/>
      </c>
      <c r="BX1551">
        <f>$C1551*BX1550</f>
        <v/>
      </c>
      <c r="BY1551">
        <f>$C1551*BY1550</f>
        <v/>
      </c>
      <c r="BZ1551">
        <f>$C1551*BZ1550</f>
        <v/>
      </c>
      <c r="CA1551">
        <f>$C1551*CA1550</f>
        <v/>
      </c>
      <c r="CB1551">
        <f>$C1551*CB1550</f>
        <v/>
      </c>
      <c r="CC1551">
        <f>$C1551*CC1550</f>
        <v/>
      </c>
      <c r="CD1551">
        <f>$C1551*CD1550</f>
        <v/>
      </c>
      <c r="CE1551">
        <f>$C1551*CE1550</f>
        <v/>
      </c>
      <c r="CF1551">
        <f>$C1551*CF1550</f>
        <v/>
      </c>
      <c r="CG1551">
        <f>$C1551*CG1550</f>
        <v/>
      </c>
      <c r="CH1551">
        <f>$C1551*CH1550</f>
        <v/>
      </c>
      <c r="CI1551">
        <f>$C1551*CI1550</f>
        <v/>
      </c>
      <c r="CJ1551">
        <f>$C1551*CJ1550</f>
        <v/>
      </c>
      <c r="CK1551">
        <f>$C1551*CK1550</f>
        <v/>
      </c>
      <c r="CL1551">
        <f>$C1551*CL1550</f>
        <v/>
      </c>
      <c r="CM1551">
        <f>$C1551*CM1550</f>
        <v/>
      </c>
      <c r="CN1551">
        <f>$C1551*CN1550</f>
        <v/>
      </c>
      <c r="CO1551">
        <f>$C1551*CO1550</f>
        <v/>
      </c>
      <c r="CP1551">
        <f>$C1551*CP1550</f>
        <v/>
      </c>
      <c r="CQ1551">
        <f>$C1551*CQ1550</f>
        <v/>
      </c>
      <c r="CR1551">
        <f>$C1551*CR1550</f>
        <v/>
      </c>
      <c r="CS1551">
        <f>$C1551*CS1550</f>
        <v/>
      </c>
      <c r="CT1551">
        <f>$C1551*CT1550</f>
        <v/>
      </c>
      <c r="CU1551">
        <f>$C1551*CU1550</f>
        <v/>
      </c>
      <c r="CV1551">
        <f>$C1551*CV1550</f>
        <v/>
      </c>
      <c r="CW1551">
        <f>$C1551*CW1550</f>
        <v/>
      </c>
      <c r="CX1551">
        <f>$C1551*CX1550</f>
        <v/>
      </c>
      <c r="CY1551">
        <f>$C1551*CY1550</f>
        <v/>
      </c>
      <c r="CZ1551">
        <f>$C1551*CZ1550</f>
        <v/>
      </c>
      <c r="DA1551">
        <f>$C1551*DA1550</f>
        <v/>
      </c>
      <c r="DB1551">
        <f>$C1551*DB1550</f>
        <v/>
      </c>
      <c r="DC1551">
        <f>$C1551*DC1550</f>
        <v/>
      </c>
      <c r="DD1551">
        <f>$C1551*DD1550</f>
        <v/>
      </c>
    </row>
    <row r="1552">
      <c r="B1552" s="4" t="inlineStr">
        <is>
          <t>合計使用量(kg)/週</t>
        </is>
      </c>
      <c r="D1552" s="22">
        <f>IFERROR(INDEX(E1552:DD1552,$F$1),"")</f>
        <v/>
      </c>
      <c r="E1552">
        <f>'Grid_Requirement'!B60</f>
        <v/>
      </c>
      <c r="F1552">
        <f>'Grid_Requirement'!C60</f>
        <v/>
      </c>
      <c r="G1552">
        <f>'Grid_Requirement'!D60</f>
        <v/>
      </c>
      <c r="H1552">
        <f>'Grid_Requirement'!E60</f>
        <v/>
      </c>
      <c r="I1552">
        <f>'Grid_Requirement'!F60</f>
        <v/>
      </c>
      <c r="J1552">
        <f>'Grid_Requirement'!G60</f>
        <v/>
      </c>
      <c r="K1552">
        <f>'Grid_Requirement'!H60</f>
        <v/>
      </c>
      <c r="L1552">
        <f>'Grid_Requirement'!I60</f>
        <v/>
      </c>
      <c r="M1552">
        <f>'Grid_Requirement'!J60</f>
        <v/>
      </c>
      <c r="N1552">
        <f>'Grid_Requirement'!K60</f>
        <v/>
      </c>
      <c r="O1552">
        <f>'Grid_Requirement'!L60</f>
        <v/>
      </c>
      <c r="P1552">
        <f>'Grid_Requirement'!M60</f>
        <v/>
      </c>
      <c r="Q1552">
        <f>'Grid_Requirement'!N60</f>
        <v/>
      </c>
      <c r="R1552">
        <f>'Grid_Requirement'!O60</f>
        <v/>
      </c>
      <c r="S1552">
        <f>'Grid_Requirement'!P60</f>
        <v/>
      </c>
      <c r="T1552">
        <f>'Grid_Requirement'!Q60</f>
        <v/>
      </c>
      <c r="U1552">
        <f>'Grid_Requirement'!R60</f>
        <v/>
      </c>
      <c r="V1552">
        <f>'Grid_Requirement'!S60</f>
        <v/>
      </c>
      <c r="W1552">
        <f>'Grid_Requirement'!T60</f>
        <v/>
      </c>
      <c r="X1552">
        <f>'Grid_Requirement'!U60</f>
        <v/>
      </c>
      <c r="Y1552">
        <f>'Grid_Requirement'!V60</f>
        <v/>
      </c>
      <c r="Z1552">
        <f>'Grid_Requirement'!W60</f>
        <v/>
      </c>
      <c r="AA1552">
        <f>'Grid_Requirement'!X60</f>
        <v/>
      </c>
      <c r="AB1552">
        <f>'Grid_Requirement'!Y60</f>
        <v/>
      </c>
      <c r="AC1552">
        <f>'Grid_Requirement'!Z60</f>
        <v/>
      </c>
      <c r="AD1552">
        <f>'Grid_Requirement'!AA60</f>
        <v/>
      </c>
      <c r="AE1552">
        <f>'Grid_Requirement'!AB60</f>
        <v/>
      </c>
      <c r="AF1552">
        <f>'Grid_Requirement'!AC60</f>
        <v/>
      </c>
      <c r="AG1552">
        <f>'Grid_Requirement'!AD60</f>
        <v/>
      </c>
      <c r="AH1552">
        <f>'Grid_Requirement'!AE60</f>
        <v/>
      </c>
      <c r="AI1552">
        <f>'Grid_Requirement'!AF60</f>
        <v/>
      </c>
      <c r="AJ1552">
        <f>'Grid_Requirement'!AG60</f>
        <v/>
      </c>
      <c r="AK1552">
        <f>'Grid_Requirement'!AH60</f>
        <v/>
      </c>
      <c r="AL1552">
        <f>'Grid_Requirement'!AI60</f>
        <v/>
      </c>
      <c r="AM1552">
        <f>'Grid_Requirement'!AJ60</f>
        <v/>
      </c>
      <c r="AN1552">
        <f>'Grid_Requirement'!AK60</f>
        <v/>
      </c>
      <c r="AO1552">
        <f>'Grid_Requirement'!AL60</f>
        <v/>
      </c>
      <c r="AP1552">
        <f>'Grid_Requirement'!AM60</f>
        <v/>
      </c>
      <c r="AQ1552">
        <f>'Grid_Requirement'!AN60</f>
        <v/>
      </c>
      <c r="AR1552">
        <f>'Grid_Requirement'!AO60</f>
        <v/>
      </c>
      <c r="AS1552">
        <f>'Grid_Requirement'!AP60</f>
        <v/>
      </c>
      <c r="AT1552">
        <f>'Grid_Requirement'!AQ60</f>
        <v/>
      </c>
      <c r="AU1552">
        <f>'Grid_Requirement'!AR60</f>
        <v/>
      </c>
      <c r="AV1552">
        <f>'Grid_Requirement'!AS60</f>
        <v/>
      </c>
      <c r="AW1552">
        <f>'Grid_Requirement'!AT60</f>
        <v/>
      </c>
      <c r="AX1552">
        <f>'Grid_Requirement'!AU60</f>
        <v/>
      </c>
      <c r="AY1552">
        <f>'Grid_Requirement'!AV60</f>
        <v/>
      </c>
      <c r="AZ1552">
        <f>'Grid_Requirement'!AW60</f>
        <v/>
      </c>
      <c r="BA1552">
        <f>'Grid_Requirement'!AX60</f>
        <v/>
      </c>
      <c r="BB1552">
        <f>'Grid_Requirement'!AY60</f>
        <v/>
      </c>
      <c r="BC1552">
        <f>'Grid_Requirement'!AZ60</f>
        <v/>
      </c>
      <c r="BD1552">
        <f>'Grid_Requirement'!BA60</f>
        <v/>
      </c>
      <c r="BE1552">
        <f>'Grid_Requirement'!BB60</f>
        <v/>
      </c>
      <c r="BF1552">
        <f>'Grid_Requirement'!BC60</f>
        <v/>
      </c>
      <c r="BG1552">
        <f>'Grid_Requirement'!BD60</f>
        <v/>
      </c>
      <c r="BH1552">
        <f>'Grid_Requirement'!BE60</f>
        <v/>
      </c>
      <c r="BI1552">
        <f>'Grid_Requirement'!BF60</f>
        <v/>
      </c>
      <c r="BJ1552">
        <f>'Grid_Requirement'!BG60</f>
        <v/>
      </c>
      <c r="BK1552">
        <f>'Grid_Requirement'!BH60</f>
        <v/>
      </c>
      <c r="BL1552">
        <f>'Grid_Requirement'!BI60</f>
        <v/>
      </c>
      <c r="BM1552">
        <f>'Grid_Requirement'!BJ60</f>
        <v/>
      </c>
      <c r="BN1552">
        <f>'Grid_Requirement'!BK60</f>
        <v/>
      </c>
      <c r="BO1552">
        <f>'Grid_Requirement'!BL60</f>
        <v/>
      </c>
      <c r="BP1552">
        <f>'Grid_Requirement'!BM60</f>
        <v/>
      </c>
      <c r="BQ1552">
        <f>'Grid_Requirement'!BN60</f>
        <v/>
      </c>
      <c r="BR1552">
        <f>'Grid_Requirement'!BO60</f>
        <v/>
      </c>
      <c r="BS1552">
        <f>'Grid_Requirement'!BP60</f>
        <v/>
      </c>
      <c r="BT1552">
        <f>'Grid_Requirement'!BQ60</f>
        <v/>
      </c>
      <c r="BU1552">
        <f>'Grid_Requirement'!BR60</f>
        <v/>
      </c>
      <c r="BV1552">
        <f>'Grid_Requirement'!BS60</f>
        <v/>
      </c>
      <c r="BW1552">
        <f>'Grid_Requirement'!BT60</f>
        <v/>
      </c>
      <c r="BX1552">
        <f>'Grid_Requirement'!BU60</f>
        <v/>
      </c>
      <c r="BY1552">
        <f>'Grid_Requirement'!BV60</f>
        <v/>
      </c>
      <c r="BZ1552">
        <f>'Grid_Requirement'!BW60</f>
        <v/>
      </c>
      <c r="CA1552">
        <f>'Grid_Requirement'!BX60</f>
        <v/>
      </c>
      <c r="CB1552">
        <f>'Grid_Requirement'!BY60</f>
        <v/>
      </c>
      <c r="CC1552">
        <f>'Grid_Requirement'!BZ60</f>
        <v/>
      </c>
      <c r="CD1552">
        <f>'Grid_Requirement'!CA60</f>
        <v/>
      </c>
      <c r="CE1552">
        <f>'Grid_Requirement'!CB60</f>
        <v/>
      </c>
      <c r="CF1552">
        <f>'Grid_Requirement'!CC60</f>
        <v/>
      </c>
      <c r="CG1552">
        <f>'Grid_Requirement'!CD60</f>
        <v/>
      </c>
      <c r="CH1552">
        <f>'Grid_Requirement'!CE60</f>
        <v/>
      </c>
      <c r="CI1552">
        <f>'Grid_Requirement'!CF60</f>
        <v/>
      </c>
      <c r="CJ1552">
        <f>'Grid_Requirement'!CG60</f>
        <v/>
      </c>
      <c r="CK1552">
        <f>'Grid_Requirement'!CH60</f>
        <v/>
      </c>
      <c r="CL1552">
        <f>'Grid_Requirement'!CI60</f>
        <v/>
      </c>
      <c r="CM1552">
        <f>'Grid_Requirement'!CJ60</f>
        <v/>
      </c>
      <c r="CN1552">
        <f>'Grid_Requirement'!CK60</f>
        <v/>
      </c>
      <c r="CO1552">
        <f>'Grid_Requirement'!CL60</f>
        <v/>
      </c>
      <c r="CP1552">
        <f>'Grid_Requirement'!CM60</f>
        <v/>
      </c>
      <c r="CQ1552">
        <f>'Grid_Requirement'!CN60</f>
        <v/>
      </c>
      <c r="CR1552">
        <f>'Grid_Requirement'!CO60</f>
        <v/>
      </c>
      <c r="CS1552">
        <f>'Grid_Requirement'!CP60</f>
        <v/>
      </c>
      <c r="CT1552">
        <f>'Grid_Requirement'!CQ60</f>
        <v/>
      </c>
      <c r="CU1552">
        <f>'Grid_Requirement'!CR60</f>
        <v/>
      </c>
      <c r="CV1552">
        <f>'Grid_Requirement'!CS60</f>
        <v/>
      </c>
      <c r="CW1552">
        <f>'Grid_Requirement'!CT60</f>
        <v/>
      </c>
      <c r="CX1552">
        <f>'Grid_Requirement'!CU60</f>
        <v/>
      </c>
      <c r="CY1552">
        <f>'Grid_Requirement'!CV60</f>
        <v/>
      </c>
      <c r="CZ1552">
        <f>'Grid_Requirement'!CW60</f>
        <v/>
      </c>
      <c r="DA1552">
        <f>'Grid_Requirement'!CX60</f>
        <v/>
      </c>
      <c r="DB1552">
        <f>'Grid_Requirement'!CY60</f>
        <v/>
      </c>
      <c r="DC1552">
        <f>'Grid_Requirement'!CZ60</f>
        <v/>
      </c>
      <c r="DD1552">
        <f>'Grid_Requirement'!DA60</f>
        <v/>
      </c>
    </row>
    <row r="1553">
      <c r="B1553" s="23" t="inlineStr">
        <is>
          <t>（在庫・入荷予定はDashboard参照）</t>
        </is>
      </c>
    </row>
    <row r="1555">
      <c r="A1555" s="21" t="inlineStr">
        <is>
          <t>Ester Film</t>
        </is>
      </c>
      <c r="B1555" s="21" t="inlineStr">
        <is>
          <t>Ester Film</t>
        </is>
      </c>
      <c r="C1555" s="21" t="n"/>
      <c r="D1555" s="21" t="n"/>
      <c r="E1555" s="21" t="n"/>
      <c r="F1555" s="21" t="n"/>
      <c r="G1555" s="21" t="n"/>
      <c r="H1555" s="21" t="n"/>
      <c r="I1555" s="21" t="n"/>
      <c r="J1555" s="21" t="n"/>
      <c r="K1555" s="21" t="n"/>
      <c r="L1555" s="21" t="n"/>
      <c r="M1555" s="21" t="n"/>
      <c r="N1555" s="21" t="n"/>
      <c r="O1555" s="21" t="n"/>
      <c r="P1555" s="21" t="n"/>
      <c r="Q1555" s="21" t="n"/>
      <c r="R1555" s="21" t="n"/>
      <c r="S1555" s="21" t="n"/>
      <c r="T1555" s="21" t="n"/>
      <c r="U1555" s="21" t="n"/>
      <c r="V1555" s="21" t="n"/>
      <c r="W1555" s="21" t="n"/>
      <c r="X1555" s="21" t="n"/>
      <c r="Y1555" s="21" t="n"/>
      <c r="Z1555" s="21" t="n"/>
      <c r="AA1555" s="21" t="n"/>
      <c r="AB1555" s="21" t="n"/>
      <c r="AC1555" s="21" t="n"/>
      <c r="AD1555" s="21" t="n"/>
      <c r="AE1555" s="21" t="n"/>
      <c r="AF1555" s="21" t="n"/>
      <c r="AG1555" s="21" t="n"/>
      <c r="AH1555" s="21" t="n"/>
      <c r="AI1555" s="21" t="n"/>
      <c r="AJ1555" s="21" t="n"/>
      <c r="AK1555" s="21" t="n"/>
      <c r="AL1555" s="21" t="n"/>
      <c r="AM1555" s="21" t="n"/>
      <c r="AN1555" s="21" t="n"/>
      <c r="AO1555" s="21" t="n"/>
      <c r="AP1555" s="21" t="n"/>
      <c r="AQ1555" s="21" t="n"/>
      <c r="AR1555" s="21" t="n"/>
      <c r="AS1555" s="21" t="n"/>
      <c r="AT1555" s="21" t="n"/>
      <c r="AU1555" s="21" t="n"/>
      <c r="AV1555" s="21" t="n"/>
      <c r="AW1555" s="21" t="n"/>
      <c r="AX1555" s="21" t="n"/>
      <c r="AY1555" s="21" t="n"/>
      <c r="AZ1555" s="21" t="n"/>
      <c r="BA1555" s="21" t="n"/>
      <c r="BB1555" s="21" t="n"/>
      <c r="BC1555" s="21" t="n"/>
      <c r="BD1555" s="21" t="n"/>
      <c r="BE1555" s="21" t="n"/>
      <c r="BF1555" s="21" t="n"/>
      <c r="BG1555" s="21" t="n"/>
      <c r="BH1555" s="21" t="n"/>
      <c r="BI1555" s="21" t="n"/>
      <c r="BJ1555" s="21" t="n"/>
      <c r="BK1555" s="21" t="n"/>
      <c r="BL1555" s="21" t="n"/>
      <c r="BM1555" s="21" t="n"/>
      <c r="BN1555" s="21" t="n"/>
      <c r="BO1555" s="21" t="n"/>
      <c r="BP1555" s="21" t="n"/>
      <c r="BQ1555" s="21" t="n"/>
      <c r="BR1555" s="21" t="n"/>
      <c r="BS1555" s="21" t="n"/>
      <c r="BT1555" s="21" t="n"/>
      <c r="BU1555" s="21" t="n"/>
      <c r="BV1555" s="21" t="n"/>
      <c r="BW1555" s="21" t="n"/>
      <c r="BX1555" s="21" t="n"/>
      <c r="BY1555" s="21" t="n"/>
      <c r="BZ1555" s="21" t="n"/>
      <c r="CA1555" s="21" t="n"/>
      <c r="CB1555" s="21" t="n"/>
      <c r="CC1555" s="21" t="n"/>
      <c r="CD1555" s="21" t="n"/>
      <c r="CE1555" s="21" t="n"/>
      <c r="CF1555" s="21" t="n"/>
      <c r="CG1555" s="21" t="n"/>
      <c r="CH1555" s="21" t="n"/>
      <c r="CI1555" s="21" t="n"/>
      <c r="CJ1555" s="21" t="n"/>
      <c r="CK1555" s="21" t="n"/>
      <c r="CL1555" s="21" t="n"/>
      <c r="CM1555" s="21" t="n"/>
      <c r="CN1555" s="21" t="n"/>
      <c r="CO1555" s="21" t="n"/>
      <c r="CP1555" s="21" t="n"/>
      <c r="CQ1555" s="21" t="n"/>
      <c r="CR1555" s="21" t="n"/>
      <c r="CS1555" s="21" t="n"/>
      <c r="CT1555" s="21" t="n"/>
      <c r="CU1555" s="21" t="n"/>
      <c r="CV1555" s="21" t="n"/>
      <c r="CW1555" s="21" t="n"/>
      <c r="CX1555" s="21" t="n"/>
      <c r="CY1555" s="21" t="n"/>
      <c r="CZ1555" s="21" t="n"/>
      <c r="DA1555" s="21" t="n"/>
      <c r="DB1555" s="21" t="n"/>
      <c r="DC1555" s="21" t="n"/>
      <c r="DD1555" s="21" t="n"/>
    </row>
    <row r="1556">
      <c r="B1556" t="inlineStr">
        <is>
          <t>Ester Film</t>
        </is>
      </c>
      <c r="C1556" t="inlineStr">
        <is>
          <t>No. of batches</t>
        </is>
      </c>
      <c r="D1556">
        <f>IFERROR(INDEX(E1556:DD1556,$F$1),"")</f>
        <v/>
      </c>
      <c r="E1556">
        <f>IFERROR(INDEX(PP_Grid[#Data],$DE1556,2),0)</f>
        <v/>
      </c>
      <c r="F1556">
        <f>IFERROR(INDEX(PP_Grid[#Data],$DE1556,3),0)</f>
        <v/>
      </c>
      <c r="G1556">
        <f>IFERROR(INDEX(PP_Grid[#Data],$DE1556,4),0)</f>
        <v/>
      </c>
      <c r="H1556">
        <f>IFERROR(INDEX(PP_Grid[#Data],$DE1556,5),0)</f>
        <v/>
      </c>
      <c r="I1556">
        <f>IFERROR(INDEX(PP_Grid[#Data],$DE1556,6),0)</f>
        <v/>
      </c>
      <c r="J1556">
        <f>IFERROR(INDEX(PP_Grid[#Data],$DE1556,7),0)</f>
        <v/>
      </c>
      <c r="K1556">
        <f>IFERROR(INDEX(PP_Grid[#Data],$DE1556,8),0)</f>
        <v/>
      </c>
      <c r="L1556">
        <f>IFERROR(INDEX(PP_Grid[#Data],$DE1556,9),0)</f>
        <v/>
      </c>
      <c r="M1556">
        <f>IFERROR(INDEX(PP_Grid[#Data],$DE1556,10),0)</f>
        <v/>
      </c>
      <c r="N1556">
        <f>IFERROR(INDEX(PP_Grid[#Data],$DE1556,11),0)</f>
        <v/>
      </c>
      <c r="O1556">
        <f>IFERROR(INDEX(PP_Grid[#Data],$DE1556,12),0)</f>
        <v/>
      </c>
      <c r="P1556">
        <f>IFERROR(INDEX(PP_Grid[#Data],$DE1556,13),0)</f>
        <v/>
      </c>
      <c r="Q1556">
        <f>IFERROR(INDEX(PP_Grid[#Data],$DE1556,14),0)</f>
        <v/>
      </c>
      <c r="R1556">
        <f>IFERROR(INDEX(PP_Grid[#Data],$DE1556,15),0)</f>
        <v/>
      </c>
      <c r="S1556">
        <f>IFERROR(INDEX(PP_Grid[#Data],$DE1556,16),0)</f>
        <v/>
      </c>
      <c r="T1556">
        <f>IFERROR(INDEX(PP_Grid[#Data],$DE1556,17),0)</f>
        <v/>
      </c>
      <c r="U1556">
        <f>IFERROR(INDEX(PP_Grid[#Data],$DE1556,18),0)</f>
        <v/>
      </c>
      <c r="V1556">
        <f>IFERROR(INDEX(PP_Grid[#Data],$DE1556,19),0)</f>
        <v/>
      </c>
      <c r="W1556">
        <f>IFERROR(INDEX(PP_Grid[#Data],$DE1556,20),0)</f>
        <v/>
      </c>
      <c r="X1556">
        <f>IFERROR(INDEX(PP_Grid[#Data],$DE1556,21),0)</f>
        <v/>
      </c>
      <c r="Y1556">
        <f>IFERROR(INDEX(PP_Grid[#Data],$DE1556,22),0)</f>
        <v/>
      </c>
      <c r="Z1556">
        <f>IFERROR(INDEX(PP_Grid[#Data],$DE1556,23),0)</f>
        <v/>
      </c>
      <c r="AA1556">
        <f>IFERROR(INDEX(PP_Grid[#Data],$DE1556,24),0)</f>
        <v/>
      </c>
      <c r="AB1556">
        <f>IFERROR(INDEX(PP_Grid[#Data],$DE1556,25),0)</f>
        <v/>
      </c>
      <c r="AC1556">
        <f>IFERROR(INDEX(PP_Grid[#Data],$DE1556,26),0)</f>
        <v/>
      </c>
      <c r="AD1556">
        <f>IFERROR(INDEX(PP_Grid[#Data],$DE1556,27),0)</f>
        <v/>
      </c>
      <c r="AE1556">
        <f>IFERROR(INDEX(PP_Grid[#Data],$DE1556,28),0)</f>
        <v/>
      </c>
      <c r="AF1556">
        <f>IFERROR(INDEX(PP_Grid[#Data],$DE1556,29),0)</f>
        <v/>
      </c>
      <c r="AG1556">
        <f>IFERROR(INDEX(PP_Grid[#Data],$DE1556,30),0)</f>
        <v/>
      </c>
      <c r="AH1556">
        <f>IFERROR(INDEX(PP_Grid[#Data],$DE1556,31),0)</f>
        <v/>
      </c>
      <c r="AI1556">
        <f>IFERROR(INDEX(PP_Grid[#Data],$DE1556,32),0)</f>
        <v/>
      </c>
      <c r="AJ1556">
        <f>IFERROR(INDEX(PP_Grid[#Data],$DE1556,33),0)</f>
        <v/>
      </c>
      <c r="AK1556">
        <f>IFERROR(INDEX(PP_Grid[#Data],$DE1556,34),0)</f>
        <v/>
      </c>
      <c r="AL1556">
        <f>IFERROR(INDEX(PP_Grid[#Data],$DE1556,35),0)</f>
        <v/>
      </c>
      <c r="AM1556">
        <f>IFERROR(INDEX(PP_Grid[#Data],$DE1556,36),0)</f>
        <v/>
      </c>
      <c r="AN1556">
        <f>IFERROR(INDEX(PP_Grid[#Data],$DE1556,37),0)</f>
        <v/>
      </c>
      <c r="AO1556">
        <f>IFERROR(INDEX(PP_Grid[#Data],$DE1556,38),0)</f>
        <v/>
      </c>
      <c r="AP1556">
        <f>IFERROR(INDEX(PP_Grid[#Data],$DE1556,39),0)</f>
        <v/>
      </c>
      <c r="AQ1556">
        <f>IFERROR(INDEX(PP_Grid[#Data],$DE1556,40),0)</f>
        <v/>
      </c>
      <c r="AR1556">
        <f>IFERROR(INDEX(PP_Grid[#Data],$DE1556,41),0)</f>
        <v/>
      </c>
      <c r="AS1556">
        <f>IFERROR(INDEX(PP_Grid[#Data],$DE1556,42),0)</f>
        <v/>
      </c>
      <c r="AT1556">
        <f>IFERROR(INDEX(PP_Grid[#Data],$DE1556,43),0)</f>
        <v/>
      </c>
      <c r="AU1556">
        <f>IFERROR(INDEX(PP_Grid[#Data],$DE1556,44),0)</f>
        <v/>
      </c>
      <c r="AV1556">
        <f>IFERROR(INDEX(PP_Grid[#Data],$DE1556,45),0)</f>
        <v/>
      </c>
      <c r="AW1556">
        <f>IFERROR(INDEX(PP_Grid[#Data],$DE1556,46),0)</f>
        <v/>
      </c>
      <c r="AX1556">
        <f>IFERROR(INDEX(PP_Grid[#Data],$DE1556,47),0)</f>
        <v/>
      </c>
      <c r="AY1556">
        <f>IFERROR(INDEX(PP_Grid[#Data],$DE1556,48),0)</f>
        <v/>
      </c>
      <c r="AZ1556">
        <f>IFERROR(INDEX(PP_Grid[#Data],$DE1556,49),0)</f>
        <v/>
      </c>
      <c r="BA1556">
        <f>IFERROR(INDEX(PP_Grid[#Data],$DE1556,50),0)</f>
        <v/>
      </c>
      <c r="BB1556">
        <f>IFERROR(INDEX(PP_Grid[#Data],$DE1556,51),0)</f>
        <v/>
      </c>
      <c r="BC1556">
        <f>IFERROR(INDEX(PP_Grid[#Data],$DE1556,52),0)</f>
        <v/>
      </c>
      <c r="BD1556">
        <f>IFERROR(INDEX(PP_Grid[#Data],$DE1556,53),0)</f>
        <v/>
      </c>
      <c r="BE1556">
        <f>IFERROR(INDEX(PP_Grid[#Data],$DE1556,54),0)</f>
        <v/>
      </c>
      <c r="BF1556">
        <f>IFERROR(INDEX(PP_Grid[#Data],$DE1556,55),0)</f>
        <v/>
      </c>
      <c r="BG1556">
        <f>IFERROR(INDEX(PP_Grid[#Data],$DE1556,56),0)</f>
        <v/>
      </c>
      <c r="BH1556">
        <f>IFERROR(INDEX(PP_Grid[#Data],$DE1556,57),0)</f>
        <v/>
      </c>
      <c r="BI1556">
        <f>IFERROR(INDEX(PP_Grid[#Data],$DE1556,58),0)</f>
        <v/>
      </c>
      <c r="BJ1556">
        <f>IFERROR(INDEX(PP_Grid[#Data],$DE1556,59),0)</f>
        <v/>
      </c>
      <c r="BK1556">
        <f>IFERROR(INDEX(PP_Grid[#Data],$DE1556,60),0)</f>
        <v/>
      </c>
      <c r="BL1556">
        <f>IFERROR(INDEX(PP_Grid[#Data],$DE1556,61),0)</f>
        <v/>
      </c>
      <c r="BM1556">
        <f>IFERROR(INDEX(PP_Grid[#Data],$DE1556,62),0)</f>
        <v/>
      </c>
      <c r="BN1556">
        <f>IFERROR(INDEX(PP_Grid[#Data],$DE1556,63),0)</f>
        <v/>
      </c>
      <c r="BO1556">
        <f>IFERROR(INDEX(PP_Grid[#Data],$DE1556,64),0)</f>
        <v/>
      </c>
      <c r="BP1556">
        <f>IFERROR(INDEX(PP_Grid[#Data],$DE1556,65),0)</f>
        <v/>
      </c>
      <c r="BQ1556">
        <f>IFERROR(INDEX(PP_Grid[#Data],$DE1556,66),0)</f>
        <v/>
      </c>
      <c r="BR1556">
        <f>IFERROR(INDEX(PP_Grid[#Data],$DE1556,67),0)</f>
        <v/>
      </c>
      <c r="BS1556">
        <f>IFERROR(INDEX(PP_Grid[#Data],$DE1556,68),0)</f>
        <v/>
      </c>
      <c r="BT1556">
        <f>IFERROR(INDEX(PP_Grid[#Data],$DE1556,69),0)</f>
        <v/>
      </c>
      <c r="BU1556">
        <f>IFERROR(INDEX(PP_Grid[#Data],$DE1556,70),0)</f>
        <v/>
      </c>
      <c r="BV1556">
        <f>IFERROR(INDEX(PP_Grid[#Data],$DE1556,71),0)</f>
        <v/>
      </c>
      <c r="BW1556">
        <f>IFERROR(INDEX(PP_Grid[#Data],$DE1556,72),0)</f>
        <v/>
      </c>
      <c r="BX1556">
        <f>IFERROR(INDEX(PP_Grid[#Data],$DE1556,73),0)</f>
        <v/>
      </c>
      <c r="BY1556">
        <f>IFERROR(INDEX(PP_Grid[#Data],$DE1556,74),0)</f>
        <v/>
      </c>
      <c r="BZ1556">
        <f>IFERROR(INDEX(PP_Grid[#Data],$DE1556,75),0)</f>
        <v/>
      </c>
      <c r="CA1556">
        <f>IFERROR(INDEX(PP_Grid[#Data],$DE1556,76),0)</f>
        <v/>
      </c>
      <c r="CB1556">
        <f>IFERROR(INDEX(PP_Grid[#Data],$DE1556,77),0)</f>
        <v/>
      </c>
      <c r="CC1556">
        <f>IFERROR(INDEX(PP_Grid[#Data],$DE1556,78),0)</f>
        <v/>
      </c>
      <c r="CD1556">
        <f>IFERROR(INDEX(PP_Grid[#Data],$DE1556,79),0)</f>
        <v/>
      </c>
      <c r="CE1556">
        <f>IFERROR(INDEX(PP_Grid[#Data],$DE1556,80),0)</f>
        <v/>
      </c>
      <c r="CF1556">
        <f>IFERROR(INDEX(PP_Grid[#Data],$DE1556,81),0)</f>
        <v/>
      </c>
      <c r="CG1556">
        <f>IFERROR(INDEX(PP_Grid[#Data],$DE1556,82),0)</f>
        <v/>
      </c>
      <c r="CH1556">
        <f>IFERROR(INDEX(PP_Grid[#Data],$DE1556,83),0)</f>
        <v/>
      </c>
      <c r="CI1556">
        <f>IFERROR(INDEX(PP_Grid[#Data],$DE1556,84),0)</f>
        <v/>
      </c>
      <c r="CJ1556">
        <f>IFERROR(INDEX(PP_Grid[#Data],$DE1556,85),0)</f>
        <v/>
      </c>
      <c r="CK1556">
        <f>IFERROR(INDEX(PP_Grid[#Data],$DE1556,86),0)</f>
        <v/>
      </c>
      <c r="CL1556">
        <f>IFERROR(INDEX(PP_Grid[#Data],$DE1556,87),0)</f>
        <v/>
      </c>
      <c r="CM1556">
        <f>IFERROR(INDEX(PP_Grid[#Data],$DE1556,88),0)</f>
        <v/>
      </c>
      <c r="CN1556">
        <f>IFERROR(INDEX(PP_Grid[#Data],$DE1556,89),0)</f>
        <v/>
      </c>
      <c r="CO1556">
        <f>IFERROR(INDEX(PP_Grid[#Data],$DE1556,90),0)</f>
        <v/>
      </c>
      <c r="CP1556">
        <f>IFERROR(INDEX(PP_Grid[#Data],$DE1556,91),0)</f>
        <v/>
      </c>
      <c r="CQ1556">
        <f>IFERROR(INDEX(PP_Grid[#Data],$DE1556,92),0)</f>
        <v/>
      </c>
      <c r="CR1556">
        <f>IFERROR(INDEX(PP_Grid[#Data],$DE1556,93),0)</f>
        <v/>
      </c>
      <c r="CS1556">
        <f>IFERROR(INDEX(PP_Grid[#Data],$DE1556,94),0)</f>
        <v/>
      </c>
      <c r="CT1556">
        <f>IFERROR(INDEX(PP_Grid[#Data],$DE1556,95),0)</f>
        <v/>
      </c>
      <c r="CU1556">
        <f>IFERROR(INDEX(PP_Grid[#Data],$DE1556,96),0)</f>
        <v/>
      </c>
      <c r="CV1556">
        <f>IFERROR(INDEX(PP_Grid[#Data],$DE1556,97),0)</f>
        <v/>
      </c>
      <c r="CW1556">
        <f>IFERROR(INDEX(PP_Grid[#Data],$DE1556,98),0)</f>
        <v/>
      </c>
      <c r="CX1556">
        <f>IFERROR(INDEX(PP_Grid[#Data],$DE1556,99),0)</f>
        <v/>
      </c>
      <c r="CY1556">
        <f>IFERROR(INDEX(PP_Grid[#Data],$DE1556,100),0)</f>
        <v/>
      </c>
      <c r="CZ1556">
        <f>IFERROR(INDEX(PP_Grid[#Data],$DE1556,101),0)</f>
        <v/>
      </c>
      <c r="DA1556">
        <f>IFERROR(INDEX(PP_Grid[#Data],$DE1556,102),0)</f>
        <v/>
      </c>
      <c r="DB1556">
        <f>IFERROR(INDEX(PP_Grid[#Data],$DE1556,103),0)</f>
        <v/>
      </c>
      <c r="DC1556">
        <f>IFERROR(INDEX(PP_Grid[#Data],$DE1556,104),0)</f>
        <v/>
      </c>
      <c r="DD1556">
        <f>IFERROR(INDEX(PP_Grid[#Data],$DE1556,105),0)</f>
        <v/>
      </c>
      <c r="DE1556" s="7">
        <f>IFERROR(MATCH($B1556,PP_Grid[Intermediate],0),99999)</f>
        <v/>
      </c>
    </row>
    <row r="1557">
      <c r="B1557" t="inlineStr">
        <is>
          <t>使用量(kg)</t>
        </is>
      </c>
      <c r="C1557">
        <f>SUMIFS(M_BOM[RM_Qty_Per_Batch],M_BOM[Intermediate],$B1556,M_BOM[RM_Code],$A1555)</f>
        <v/>
      </c>
      <c r="D1557">
        <f>IFERROR(INDEX(E1557:DD1557,$F$1),"")</f>
        <v/>
      </c>
      <c r="E1557">
        <f>$C1557*E1556</f>
        <v/>
      </c>
      <c r="F1557">
        <f>$C1557*F1556</f>
        <v/>
      </c>
      <c r="G1557">
        <f>$C1557*G1556</f>
        <v/>
      </c>
      <c r="H1557">
        <f>$C1557*H1556</f>
        <v/>
      </c>
      <c r="I1557">
        <f>$C1557*I1556</f>
        <v/>
      </c>
      <c r="J1557">
        <f>$C1557*J1556</f>
        <v/>
      </c>
      <c r="K1557">
        <f>$C1557*K1556</f>
        <v/>
      </c>
      <c r="L1557">
        <f>$C1557*L1556</f>
        <v/>
      </c>
      <c r="M1557">
        <f>$C1557*M1556</f>
        <v/>
      </c>
      <c r="N1557">
        <f>$C1557*N1556</f>
        <v/>
      </c>
      <c r="O1557">
        <f>$C1557*O1556</f>
        <v/>
      </c>
      <c r="P1557">
        <f>$C1557*P1556</f>
        <v/>
      </c>
      <c r="Q1557">
        <f>$C1557*Q1556</f>
        <v/>
      </c>
      <c r="R1557">
        <f>$C1557*R1556</f>
        <v/>
      </c>
      <c r="S1557">
        <f>$C1557*S1556</f>
        <v/>
      </c>
      <c r="T1557">
        <f>$C1557*T1556</f>
        <v/>
      </c>
      <c r="U1557">
        <f>$C1557*U1556</f>
        <v/>
      </c>
      <c r="V1557">
        <f>$C1557*V1556</f>
        <v/>
      </c>
      <c r="W1557">
        <f>$C1557*W1556</f>
        <v/>
      </c>
      <c r="X1557">
        <f>$C1557*X1556</f>
        <v/>
      </c>
      <c r="Y1557">
        <f>$C1557*Y1556</f>
        <v/>
      </c>
      <c r="Z1557">
        <f>$C1557*Z1556</f>
        <v/>
      </c>
      <c r="AA1557">
        <f>$C1557*AA1556</f>
        <v/>
      </c>
      <c r="AB1557">
        <f>$C1557*AB1556</f>
        <v/>
      </c>
      <c r="AC1557">
        <f>$C1557*AC1556</f>
        <v/>
      </c>
      <c r="AD1557">
        <f>$C1557*AD1556</f>
        <v/>
      </c>
      <c r="AE1557">
        <f>$C1557*AE1556</f>
        <v/>
      </c>
      <c r="AF1557">
        <f>$C1557*AF1556</f>
        <v/>
      </c>
      <c r="AG1557">
        <f>$C1557*AG1556</f>
        <v/>
      </c>
      <c r="AH1557">
        <f>$C1557*AH1556</f>
        <v/>
      </c>
      <c r="AI1557">
        <f>$C1557*AI1556</f>
        <v/>
      </c>
      <c r="AJ1557">
        <f>$C1557*AJ1556</f>
        <v/>
      </c>
      <c r="AK1557">
        <f>$C1557*AK1556</f>
        <v/>
      </c>
      <c r="AL1557">
        <f>$C1557*AL1556</f>
        <v/>
      </c>
      <c r="AM1557">
        <f>$C1557*AM1556</f>
        <v/>
      </c>
      <c r="AN1557">
        <f>$C1557*AN1556</f>
        <v/>
      </c>
      <c r="AO1557">
        <f>$C1557*AO1556</f>
        <v/>
      </c>
      <c r="AP1557">
        <f>$C1557*AP1556</f>
        <v/>
      </c>
      <c r="AQ1557">
        <f>$C1557*AQ1556</f>
        <v/>
      </c>
      <c r="AR1557">
        <f>$C1557*AR1556</f>
        <v/>
      </c>
      <c r="AS1557">
        <f>$C1557*AS1556</f>
        <v/>
      </c>
      <c r="AT1557">
        <f>$C1557*AT1556</f>
        <v/>
      </c>
      <c r="AU1557">
        <f>$C1557*AU1556</f>
        <v/>
      </c>
      <c r="AV1557">
        <f>$C1557*AV1556</f>
        <v/>
      </c>
      <c r="AW1557">
        <f>$C1557*AW1556</f>
        <v/>
      </c>
      <c r="AX1557">
        <f>$C1557*AX1556</f>
        <v/>
      </c>
      <c r="AY1557">
        <f>$C1557*AY1556</f>
        <v/>
      </c>
      <c r="AZ1557">
        <f>$C1557*AZ1556</f>
        <v/>
      </c>
      <c r="BA1557">
        <f>$C1557*BA1556</f>
        <v/>
      </c>
      <c r="BB1557">
        <f>$C1557*BB1556</f>
        <v/>
      </c>
      <c r="BC1557">
        <f>$C1557*BC1556</f>
        <v/>
      </c>
      <c r="BD1557">
        <f>$C1557*BD1556</f>
        <v/>
      </c>
      <c r="BE1557">
        <f>$C1557*BE1556</f>
        <v/>
      </c>
      <c r="BF1557">
        <f>$C1557*BF1556</f>
        <v/>
      </c>
      <c r="BG1557">
        <f>$C1557*BG1556</f>
        <v/>
      </c>
      <c r="BH1557">
        <f>$C1557*BH1556</f>
        <v/>
      </c>
      <c r="BI1557">
        <f>$C1557*BI1556</f>
        <v/>
      </c>
      <c r="BJ1557">
        <f>$C1557*BJ1556</f>
        <v/>
      </c>
      <c r="BK1557">
        <f>$C1557*BK1556</f>
        <v/>
      </c>
      <c r="BL1557">
        <f>$C1557*BL1556</f>
        <v/>
      </c>
      <c r="BM1557">
        <f>$C1557*BM1556</f>
        <v/>
      </c>
      <c r="BN1557">
        <f>$C1557*BN1556</f>
        <v/>
      </c>
      <c r="BO1557">
        <f>$C1557*BO1556</f>
        <v/>
      </c>
      <c r="BP1557">
        <f>$C1557*BP1556</f>
        <v/>
      </c>
      <c r="BQ1557">
        <f>$C1557*BQ1556</f>
        <v/>
      </c>
      <c r="BR1557">
        <f>$C1557*BR1556</f>
        <v/>
      </c>
      <c r="BS1557">
        <f>$C1557*BS1556</f>
        <v/>
      </c>
      <c r="BT1557">
        <f>$C1557*BT1556</f>
        <v/>
      </c>
      <c r="BU1557">
        <f>$C1557*BU1556</f>
        <v/>
      </c>
      <c r="BV1557">
        <f>$C1557*BV1556</f>
        <v/>
      </c>
      <c r="BW1557">
        <f>$C1557*BW1556</f>
        <v/>
      </c>
      <c r="BX1557">
        <f>$C1557*BX1556</f>
        <v/>
      </c>
      <c r="BY1557">
        <f>$C1557*BY1556</f>
        <v/>
      </c>
      <c r="BZ1557">
        <f>$C1557*BZ1556</f>
        <v/>
      </c>
      <c r="CA1557">
        <f>$C1557*CA1556</f>
        <v/>
      </c>
      <c r="CB1557">
        <f>$C1557*CB1556</f>
        <v/>
      </c>
      <c r="CC1557">
        <f>$C1557*CC1556</f>
        <v/>
      </c>
      <c r="CD1557">
        <f>$C1557*CD1556</f>
        <v/>
      </c>
      <c r="CE1557">
        <f>$C1557*CE1556</f>
        <v/>
      </c>
      <c r="CF1557">
        <f>$C1557*CF1556</f>
        <v/>
      </c>
      <c r="CG1557">
        <f>$C1557*CG1556</f>
        <v/>
      </c>
      <c r="CH1557">
        <f>$C1557*CH1556</f>
        <v/>
      </c>
      <c r="CI1557">
        <f>$C1557*CI1556</f>
        <v/>
      </c>
      <c r="CJ1557">
        <f>$C1557*CJ1556</f>
        <v/>
      </c>
      <c r="CK1557">
        <f>$C1557*CK1556</f>
        <v/>
      </c>
      <c r="CL1557">
        <f>$C1557*CL1556</f>
        <v/>
      </c>
      <c r="CM1557">
        <f>$C1557*CM1556</f>
        <v/>
      </c>
      <c r="CN1557">
        <f>$C1557*CN1556</f>
        <v/>
      </c>
      <c r="CO1557">
        <f>$C1557*CO1556</f>
        <v/>
      </c>
      <c r="CP1557">
        <f>$C1557*CP1556</f>
        <v/>
      </c>
      <c r="CQ1557">
        <f>$C1557*CQ1556</f>
        <v/>
      </c>
      <c r="CR1557">
        <f>$C1557*CR1556</f>
        <v/>
      </c>
      <c r="CS1557">
        <f>$C1557*CS1556</f>
        <v/>
      </c>
      <c r="CT1557">
        <f>$C1557*CT1556</f>
        <v/>
      </c>
      <c r="CU1557">
        <f>$C1557*CU1556</f>
        <v/>
      </c>
      <c r="CV1557">
        <f>$C1557*CV1556</f>
        <v/>
      </c>
      <c r="CW1557">
        <f>$C1557*CW1556</f>
        <v/>
      </c>
      <c r="CX1557">
        <f>$C1557*CX1556</f>
        <v/>
      </c>
      <c r="CY1557">
        <f>$C1557*CY1556</f>
        <v/>
      </c>
      <c r="CZ1557">
        <f>$C1557*CZ1556</f>
        <v/>
      </c>
      <c r="DA1557">
        <f>$C1557*DA1556</f>
        <v/>
      </c>
      <c r="DB1557">
        <f>$C1557*DB1556</f>
        <v/>
      </c>
      <c r="DC1557">
        <f>$C1557*DC1556</f>
        <v/>
      </c>
      <c r="DD1557">
        <f>$C1557*DD1556</f>
        <v/>
      </c>
    </row>
    <row r="1558">
      <c r="B1558" s="4" t="inlineStr">
        <is>
          <t>合計使用量(kg)/週</t>
        </is>
      </c>
      <c r="D1558" s="22">
        <f>IFERROR(INDEX(E1558:DD1558,$F$1),"")</f>
        <v/>
      </c>
      <c r="E1558">
        <f>'Grid_Requirement'!B62</f>
        <v/>
      </c>
      <c r="F1558">
        <f>'Grid_Requirement'!C62</f>
        <v/>
      </c>
      <c r="G1558">
        <f>'Grid_Requirement'!D62</f>
        <v/>
      </c>
      <c r="H1558">
        <f>'Grid_Requirement'!E62</f>
        <v/>
      </c>
      <c r="I1558">
        <f>'Grid_Requirement'!F62</f>
        <v/>
      </c>
      <c r="J1558">
        <f>'Grid_Requirement'!G62</f>
        <v/>
      </c>
      <c r="K1558">
        <f>'Grid_Requirement'!H62</f>
        <v/>
      </c>
      <c r="L1558">
        <f>'Grid_Requirement'!I62</f>
        <v/>
      </c>
      <c r="M1558">
        <f>'Grid_Requirement'!J62</f>
        <v/>
      </c>
      <c r="N1558">
        <f>'Grid_Requirement'!K62</f>
        <v/>
      </c>
      <c r="O1558">
        <f>'Grid_Requirement'!L62</f>
        <v/>
      </c>
      <c r="P1558">
        <f>'Grid_Requirement'!M62</f>
        <v/>
      </c>
      <c r="Q1558">
        <f>'Grid_Requirement'!N62</f>
        <v/>
      </c>
      <c r="R1558">
        <f>'Grid_Requirement'!O62</f>
        <v/>
      </c>
      <c r="S1558">
        <f>'Grid_Requirement'!P62</f>
        <v/>
      </c>
      <c r="T1558">
        <f>'Grid_Requirement'!Q62</f>
        <v/>
      </c>
      <c r="U1558">
        <f>'Grid_Requirement'!R62</f>
        <v/>
      </c>
      <c r="V1558">
        <f>'Grid_Requirement'!S62</f>
        <v/>
      </c>
      <c r="W1558">
        <f>'Grid_Requirement'!T62</f>
        <v/>
      </c>
      <c r="X1558">
        <f>'Grid_Requirement'!U62</f>
        <v/>
      </c>
      <c r="Y1558">
        <f>'Grid_Requirement'!V62</f>
        <v/>
      </c>
      <c r="Z1558">
        <f>'Grid_Requirement'!W62</f>
        <v/>
      </c>
      <c r="AA1558">
        <f>'Grid_Requirement'!X62</f>
        <v/>
      </c>
      <c r="AB1558">
        <f>'Grid_Requirement'!Y62</f>
        <v/>
      </c>
      <c r="AC1558">
        <f>'Grid_Requirement'!Z62</f>
        <v/>
      </c>
      <c r="AD1558">
        <f>'Grid_Requirement'!AA62</f>
        <v/>
      </c>
      <c r="AE1558">
        <f>'Grid_Requirement'!AB62</f>
        <v/>
      </c>
      <c r="AF1558">
        <f>'Grid_Requirement'!AC62</f>
        <v/>
      </c>
      <c r="AG1558">
        <f>'Grid_Requirement'!AD62</f>
        <v/>
      </c>
      <c r="AH1558">
        <f>'Grid_Requirement'!AE62</f>
        <v/>
      </c>
      <c r="AI1558">
        <f>'Grid_Requirement'!AF62</f>
        <v/>
      </c>
      <c r="AJ1558">
        <f>'Grid_Requirement'!AG62</f>
        <v/>
      </c>
      <c r="AK1558">
        <f>'Grid_Requirement'!AH62</f>
        <v/>
      </c>
      <c r="AL1558">
        <f>'Grid_Requirement'!AI62</f>
        <v/>
      </c>
      <c r="AM1558">
        <f>'Grid_Requirement'!AJ62</f>
        <v/>
      </c>
      <c r="AN1558">
        <f>'Grid_Requirement'!AK62</f>
        <v/>
      </c>
      <c r="AO1558">
        <f>'Grid_Requirement'!AL62</f>
        <v/>
      </c>
      <c r="AP1558">
        <f>'Grid_Requirement'!AM62</f>
        <v/>
      </c>
      <c r="AQ1558">
        <f>'Grid_Requirement'!AN62</f>
        <v/>
      </c>
      <c r="AR1558">
        <f>'Grid_Requirement'!AO62</f>
        <v/>
      </c>
      <c r="AS1558">
        <f>'Grid_Requirement'!AP62</f>
        <v/>
      </c>
      <c r="AT1558">
        <f>'Grid_Requirement'!AQ62</f>
        <v/>
      </c>
      <c r="AU1558">
        <f>'Grid_Requirement'!AR62</f>
        <v/>
      </c>
      <c r="AV1558">
        <f>'Grid_Requirement'!AS62</f>
        <v/>
      </c>
      <c r="AW1558">
        <f>'Grid_Requirement'!AT62</f>
        <v/>
      </c>
      <c r="AX1558">
        <f>'Grid_Requirement'!AU62</f>
        <v/>
      </c>
      <c r="AY1558">
        <f>'Grid_Requirement'!AV62</f>
        <v/>
      </c>
      <c r="AZ1558">
        <f>'Grid_Requirement'!AW62</f>
        <v/>
      </c>
      <c r="BA1558">
        <f>'Grid_Requirement'!AX62</f>
        <v/>
      </c>
      <c r="BB1558">
        <f>'Grid_Requirement'!AY62</f>
        <v/>
      </c>
      <c r="BC1558">
        <f>'Grid_Requirement'!AZ62</f>
        <v/>
      </c>
      <c r="BD1558">
        <f>'Grid_Requirement'!BA62</f>
        <v/>
      </c>
      <c r="BE1558">
        <f>'Grid_Requirement'!BB62</f>
        <v/>
      </c>
      <c r="BF1558">
        <f>'Grid_Requirement'!BC62</f>
        <v/>
      </c>
      <c r="BG1558">
        <f>'Grid_Requirement'!BD62</f>
        <v/>
      </c>
      <c r="BH1558">
        <f>'Grid_Requirement'!BE62</f>
        <v/>
      </c>
      <c r="BI1558">
        <f>'Grid_Requirement'!BF62</f>
        <v/>
      </c>
      <c r="BJ1558">
        <f>'Grid_Requirement'!BG62</f>
        <v/>
      </c>
      <c r="BK1558">
        <f>'Grid_Requirement'!BH62</f>
        <v/>
      </c>
      <c r="BL1558">
        <f>'Grid_Requirement'!BI62</f>
        <v/>
      </c>
      <c r="BM1558">
        <f>'Grid_Requirement'!BJ62</f>
        <v/>
      </c>
      <c r="BN1558">
        <f>'Grid_Requirement'!BK62</f>
        <v/>
      </c>
      <c r="BO1558">
        <f>'Grid_Requirement'!BL62</f>
        <v/>
      </c>
      <c r="BP1558">
        <f>'Grid_Requirement'!BM62</f>
        <v/>
      </c>
      <c r="BQ1558">
        <f>'Grid_Requirement'!BN62</f>
        <v/>
      </c>
      <c r="BR1558">
        <f>'Grid_Requirement'!BO62</f>
        <v/>
      </c>
      <c r="BS1558">
        <f>'Grid_Requirement'!BP62</f>
        <v/>
      </c>
      <c r="BT1558">
        <f>'Grid_Requirement'!BQ62</f>
        <v/>
      </c>
      <c r="BU1558">
        <f>'Grid_Requirement'!BR62</f>
        <v/>
      </c>
      <c r="BV1558">
        <f>'Grid_Requirement'!BS62</f>
        <v/>
      </c>
      <c r="BW1558">
        <f>'Grid_Requirement'!BT62</f>
        <v/>
      </c>
      <c r="BX1558">
        <f>'Grid_Requirement'!BU62</f>
        <v/>
      </c>
      <c r="BY1558">
        <f>'Grid_Requirement'!BV62</f>
        <v/>
      </c>
      <c r="BZ1558">
        <f>'Grid_Requirement'!BW62</f>
        <v/>
      </c>
      <c r="CA1558">
        <f>'Grid_Requirement'!BX62</f>
        <v/>
      </c>
      <c r="CB1558">
        <f>'Grid_Requirement'!BY62</f>
        <v/>
      </c>
      <c r="CC1558">
        <f>'Grid_Requirement'!BZ62</f>
        <v/>
      </c>
      <c r="CD1558">
        <f>'Grid_Requirement'!CA62</f>
        <v/>
      </c>
      <c r="CE1558">
        <f>'Grid_Requirement'!CB62</f>
        <v/>
      </c>
      <c r="CF1558">
        <f>'Grid_Requirement'!CC62</f>
        <v/>
      </c>
      <c r="CG1558">
        <f>'Grid_Requirement'!CD62</f>
        <v/>
      </c>
      <c r="CH1558">
        <f>'Grid_Requirement'!CE62</f>
        <v/>
      </c>
      <c r="CI1558">
        <f>'Grid_Requirement'!CF62</f>
        <v/>
      </c>
      <c r="CJ1558">
        <f>'Grid_Requirement'!CG62</f>
        <v/>
      </c>
      <c r="CK1558">
        <f>'Grid_Requirement'!CH62</f>
        <v/>
      </c>
      <c r="CL1558">
        <f>'Grid_Requirement'!CI62</f>
        <v/>
      </c>
      <c r="CM1558">
        <f>'Grid_Requirement'!CJ62</f>
        <v/>
      </c>
      <c r="CN1558">
        <f>'Grid_Requirement'!CK62</f>
        <v/>
      </c>
      <c r="CO1558">
        <f>'Grid_Requirement'!CL62</f>
        <v/>
      </c>
      <c r="CP1558">
        <f>'Grid_Requirement'!CM62</f>
        <v/>
      </c>
      <c r="CQ1558">
        <f>'Grid_Requirement'!CN62</f>
        <v/>
      </c>
      <c r="CR1558">
        <f>'Grid_Requirement'!CO62</f>
        <v/>
      </c>
      <c r="CS1558">
        <f>'Grid_Requirement'!CP62</f>
        <v/>
      </c>
      <c r="CT1558">
        <f>'Grid_Requirement'!CQ62</f>
        <v/>
      </c>
      <c r="CU1558">
        <f>'Grid_Requirement'!CR62</f>
        <v/>
      </c>
      <c r="CV1558">
        <f>'Grid_Requirement'!CS62</f>
        <v/>
      </c>
      <c r="CW1558">
        <f>'Grid_Requirement'!CT62</f>
        <v/>
      </c>
      <c r="CX1558">
        <f>'Grid_Requirement'!CU62</f>
        <v/>
      </c>
      <c r="CY1558">
        <f>'Grid_Requirement'!CV62</f>
        <v/>
      </c>
      <c r="CZ1558">
        <f>'Grid_Requirement'!CW62</f>
        <v/>
      </c>
      <c r="DA1558">
        <f>'Grid_Requirement'!CX62</f>
        <v/>
      </c>
      <c r="DB1558">
        <f>'Grid_Requirement'!CY62</f>
        <v/>
      </c>
      <c r="DC1558">
        <f>'Grid_Requirement'!CZ62</f>
        <v/>
      </c>
      <c r="DD1558">
        <f>'Grid_Requirement'!DA62</f>
        <v/>
      </c>
    </row>
    <row r="1559">
      <c r="B1559" s="23" t="inlineStr">
        <is>
          <t>（在庫・入荷予定はDashboard参照）</t>
        </is>
      </c>
    </row>
    <row r="1561">
      <c r="A1561" s="21" t="inlineStr">
        <is>
          <t>3TP</t>
        </is>
      </c>
      <c r="B1561" s="21" t="inlineStr">
        <is>
          <t>3TP</t>
        </is>
      </c>
      <c r="C1561" s="21" t="n"/>
      <c r="D1561" s="21" t="n"/>
      <c r="E1561" s="21" t="n"/>
      <c r="F1561" s="21" t="n"/>
      <c r="G1561" s="21" t="n"/>
      <c r="H1561" s="21" t="n"/>
      <c r="I1561" s="21" t="n"/>
      <c r="J1561" s="21" t="n"/>
      <c r="K1561" s="21" t="n"/>
      <c r="L1561" s="21" t="n"/>
      <c r="M1561" s="21" t="n"/>
      <c r="N1561" s="21" t="n"/>
      <c r="O1561" s="21" t="n"/>
      <c r="P1561" s="21" t="n"/>
      <c r="Q1561" s="21" t="n"/>
      <c r="R1561" s="21" t="n"/>
      <c r="S1561" s="21" t="n"/>
      <c r="T1561" s="21" t="n"/>
      <c r="U1561" s="21" t="n"/>
      <c r="V1561" s="21" t="n"/>
      <c r="W1561" s="21" t="n"/>
      <c r="X1561" s="21" t="n"/>
      <c r="Y1561" s="21" t="n"/>
      <c r="Z1561" s="21" t="n"/>
      <c r="AA1561" s="21" t="n"/>
      <c r="AB1561" s="21" t="n"/>
      <c r="AC1561" s="21" t="n"/>
      <c r="AD1561" s="21" t="n"/>
      <c r="AE1561" s="21" t="n"/>
      <c r="AF1561" s="21" t="n"/>
      <c r="AG1561" s="21" t="n"/>
      <c r="AH1561" s="21" t="n"/>
      <c r="AI1561" s="21" t="n"/>
      <c r="AJ1561" s="21" t="n"/>
      <c r="AK1561" s="21" t="n"/>
      <c r="AL1561" s="21" t="n"/>
      <c r="AM1561" s="21" t="n"/>
      <c r="AN1561" s="21" t="n"/>
      <c r="AO1561" s="21" t="n"/>
      <c r="AP1561" s="21" t="n"/>
      <c r="AQ1561" s="21" t="n"/>
      <c r="AR1561" s="21" t="n"/>
      <c r="AS1561" s="21" t="n"/>
      <c r="AT1561" s="21" t="n"/>
      <c r="AU1561" s="21" t="n"/>
      <c r="AV1561" s="21" t="n"/>
      <c r="AW1561" s="21" t="n"/>
      <c r="AX1561" s="21" t="n"/>
      <c r="AY1561" s="21" t="n"/>
      <c r="AZ1561" s="21" t="n"/>
      <c r="BA1561" s="21" t="n"/>
      <c r="BB1561" s="21" t="n"/>
      <c r="BC1561" s="21" t="n"/>
      <c r="BD1561" s="21" t="n"/>
      <c r="BE1561" s="21" t="n"/>
      <c r="BF1561" s="21" t="n"/>
      <c r="BG1561" s="21" t="n"/>
      <c r="BH1561" s="21" t="n"/>
      <c r="BI1561" s="21" t="n"/>
      <c r="BJ1561" s="21" t="n"/>
      <c r="BK1561" s="21" t="n"/>
      <c r="BL1561" s="21" t="n"/>
      <c r="BM1561" s="21" t="n"/>
      <c r="BN1561" s="21" t="n"/>
      <c r="BO1561" s="21" t="n"/>
      <c r="BP1561" s="21" t="n"/>
      <c r="BQ1561" s="21" t="n"/>
      <c r="BR1561" s="21" t="n"/>
      <c r="BS1561" s="21" t="n"/>
      <c r="BT1561" s="21" t="n"/>
      <c r="BU1561" s="21" t="n"/>
      <c r="BV1561" s="21" t="n"/>
      <c r="BW1561" s="21" t="n"/>
      <c r="BX1561" s="21" t="n"/>
      <c r="BY1561" s="21" t="n"/>
      <c r="BZ1561" s="21" t="n"/>
      <c r="CA1561" s="21" t="n"/>
      <c r="CB1561" s="21" t="n"/>
      <c r="CC1561" s="21" t="n"/>
      <c r="CD1561" s="21" t="n"/>
      <c r="CE1561" s="21" t="n"/>
      <c r="CF1561" s="21" t="n"/>
      <c r="CG1561" s="21" t="n"/>
      <c r="CH1561" s="21" t="n"/>
      <c r="CI1561" s="21" t="n"/>
      <c r="CJ1561" s="21" t="n"/>
      <c r="CK1561" s="21" t="n"/>
      <c r="CL1561" s="21" t="n"/>
      <c r="CM1561" s="21" t="n"/>
      <c r="CN1561" s="21" t="n"/>
      <c r="CO1561" s="21" t="n"/>
      <c r="CP1561" s="21" t="n"/>
      <c r="CQ1561" s="21" t="n"/>
      <c r="CR1561" s="21" t="n"/>
      <c r="CS1561" s="21" t="n"/>
      <c r="CT1561" s="21" t="n"/>
      <c r="CU1561" s="21" t="n"/>
      <c r="CV1561" s="21" t="n"/>
      <c r="CW1561" s="21" t="n"/>
      <c r="CX1561" s="21" t="n"/>
      <c r="CY1561" s="21" t="n"/>
      <c r="CZ1561" s="21" t="n"/>
      <c r="DA1561" s="21" t="n"/>
      <c r="DB1561" s="21" t="n"/>
      <c r="DC1561" s="21" t="n"/>
      <c r="DD1561" s="21" t="n"/>
    </row>
    <row r="1562">
      <c r="B1562" t="inlineStr">
        <is>
          <t>F2290</t>
        </is>
      </c>
      <c r="C1562" t="inlineStr">
        <is>
          <t>No. of batches</t>
        </is>
      </c>
      <c r="D1562">
        <f>IFERROR(INDEX(E1562:DD1562,$F$1),"")</f>
        <v/>
      </c>
      <c r="E1562">
        <f>IFERROR(INDEX(PP_Grid[#Data],$DE1562,2),0)</f>
        <v/>
      </c>
      <c r="F1562">
        <f>IFERROR(INDEX(PP_Grid[#Data],$DE1562,3),0)</f>
        <v/>
      </c>
      <c r="G1562">
        <f>IFERROR(INDEX(PP_Grid[#Data],$DE1562,4),0)</f>
        <v/>
      </c>
      <c r="H1562">
        <f>IFERROR(INDEX(PP_Grid[#Data],$DE1562,5),0)</f>
        <v/>
      </c>
      <c r="I1562">
        <f>IFERROR(INDEX(PP_Grid[#Data],$DE1562,6),0)</f>
        <v/>
      </c>
      <c r="J1562">
        <f>IFERROR(INDEX(PP_Grid[#Data],$DE1562,7),0)</f>
        <v/>
      </c>
      <c r="K1562">
        <f>IFERROR(INDEX(PP_Grid[#Data],$DE1562,8),0)</f>
        <v/>
      </c>
      <c r="L1562">
        <f>IFERROR(INDEX(PP_Grid[#Data],$DE1562,9),0)</f>
        <v/>
      </c>
      <c r="M1562">
        <f>IFERROR(INDEX(PP_Grid[#Data],$DE1562,10),0)</f>
        <v/>
      </c>
      <c r="N1562">
        <f>IFERROR(INDEX(PP_Grid[#Data],$DE1562,11),0)</f>
        <v/>
      </c>
      <c r="O1562">
        <f>IFERROR(INDEX(PP_Grid[#Data],$DE1562,12),0)</f>
        <v/>
      </c>
      <c r="P1562">
        <f>IFERROR(INDEX(PP_Grid[#Data],$DE1562,13),0)</f>
        <v/>
      </c>
      <c r="Q1562">
        <f>IFERROR(INDEX(PP_Grid[#Data],$DE1562,14),0)</f>
        <v/>
      </c>
      <c r="R1562">
        <f>IFERROR(INDEX(PP_Grid[#Data],$DE1562,15),0)</f>
        <v/>
      </c>
      <c r="S1562">
        <f>IFERROR(INDEX(PP_Grid[#Data],$DE1562,16),0)</f>
        <v/>
      </c>
      <c r="T1562">
        <f>IFERROR(INDEX(PP_Grid[#Data],$DE1562,17),0)</f>
        <v/>
      </c>
      <c r="U1562">
        <f>IFERROR(INDEX(PP_Grid[#Data],$DE1562,18),0)</f>
        <v/>
      </c>
      <c r="V1562">
        <f>IFERROR(INDEX(PP_Grid[#Data],$DE1562,19),0)</f>
        <v/>
      </c>
      <c r="W1562">
        <f>IFERROR(INDEX(PP_Grid[#Data],$DE1562,20),0)</f>
        <v/>
      </c>
      <c r="X1562">
        <f>IFERROR(INDEX(PP_Grid[#Data],$DE1562,21),0)</f>
        <v/>
      </c>
      <c r="Y1562">
        <f>IFERROR(INDEX(PP_Grid[#Data],$DE1562,22),0)</f>
        <v/>
      </c>
      <c r="Z1562">
        <f>IFERROR(INDEX(PP_Grid[#Data],$DE1562,23),0)</f>
        <v/>
      </c>
      <c r="AA1562">
        <f>IFERROR(INDEX(PP_Grid[#Data],$DE1562,24),0)</f>
        <v/>
      </c>
      <c r="AB1562">
        <f>IFERROR(INDEX(PP_Grid[#Data],$DE1562,25),0)</f>
        <v/>
      </c>
      <c r="AC1562">
        <f>IFERROR(INDEX(PP_Grid[#Data],$DE1562,26),0)</f>
        <v/>
      </c>
      <c r="AD1562">
        <f>IFERROR(INDEX(PP_Grid[#Data],$DE1562,27),0)</f>
        <v/>
      </c>
      <c r="AE1562">
        <f>IFERROR(INDEX(PP_Grid[#Data],$DE1562,28),0)</f>
        <v/>
      </c>
      <c r="AF1562">
        <f>IFERROR(INDEX(PP_Grid[#Data],$DE1562,29),0)</f>
        <v/>
      </c>
      <c r="AG1562">
        <f>IFERROR(INDEX(PP_Grid[#Data],$DE1562,30),0)</f>
        <v/>
      </c>
      <c r="AH1562">
        <f>IFERROR(INDEX(PP_Grid[#Data],$DE1562,31),0)</f>
        <v/>
      </c>
      <c r="AI1562">
        <f>IFERROR(INDEX(PP_Grid[#Data],$DE1562,32),0)</f>
        <v/>
      </c>
      <c r="AJ1562">
        <f>IFERROR(INDEX(PP_Grid[#Data],$DE1562,33),0)</f>
        <v/>
      </c>
      <c r="AK1562">
        <f>IFERROR(INDEX(PP_Grid[#Data],$DE1562,34),0)</f>
        <v/>
      </c>
      <c r="AL1562">
        <f>IFERROR(INDEX(PP_Grid[#Data],$DE1562,35),0)</f>
        <v/>
      </c>
      <c r="AM1562">
        <f>IFERROR(INDEX(PP_Grid[#Data],$DE1562,36),0)</f>
        <v/>
      </c>
      <c r="AN1562">
        <f>IFERROR(INDEX(PP_Grid[#Data],$DE1562,37),0)</f>
        <v/>
      </c>
      <c r="AO1562">
        <f>IFERROR(INDEX(PP_Grid[#Data],$DE1562,38),0)</f>
        <v/>
      </c>
      <c r="AP1562">
        <f>IFERROR(INDEX(PP_Grid[#Data],$DE1562,39),0)</f>
        <v/>
      </c>
      <c r="AQ1562">
        <f>IFERROR(INDEX(PP_Grid[#Data],$DE1562,40),0)</f>
        <v/>
      </c>
      <c r="AR1562">
        <f>IFERROR(INDEX(PP_Grid[#Data],$DE1562,41),0)</f>
        <v/>
      </c>
      <c r="AS1562">
        <f>IFERROR(INDEX(PP_Grid[#Data],$DE1562,42),0)</f>
        <v/>
      </c>
      <c r="AT1562">
        <f>IFERROR(INDEX(PP_Grid[#Data],$DE1562,43),0)</f>
        <v/>
      </c>
      <c r="AU1562">
        <f>IFERROR(INDEX(PP_Grid[#Data],$DE1562,44),0)</f>
        <v/>
      </c>
      <c r="AV1562">
        <f>IFERROR(INDEX(PP_Grid[#Data],$DE1562,45),0)</f>
        <v/>
      </c>
      <c r="AW1562">
        <f>IFERROR(INDEX(PP_Grid[#Data],$DE1562,46),0)</f>
        <v/>
      </c>
      <c r="AX1562">
        <f>IFERROR(INDEX(PP_Grid[#Data],$DE1562,47),0)</f>
        <v/>
      </c>
      <c r="AY1562">
        <f>IFERROR(INDEX(PP_Grid[#Data],$DE1562,48),0)</f>
        <v/>
      </c>
      <c r="AZ1562">
        <f>IFERROR(INDEX(PP_Grid[#Data],$DE1562,49),0)</f>
        <v/>
      </c>
      <c r="BA1562">
        <f>IFERROR(INDEX(PP_Grid[#Data],$DE1562,50),0)</f>
        <v/>
      </c>
      <c r="BB1562">
        <f>IFERROR(INDEX(PP_Grid[#Data],$DE1562,51),0)</f>
        <v/>
      </c>
      <c r="BC1562">
        <f>IFERROR(INDEX(PP_Grid[#Data],$DE1562,52),0)</f>
        <v/>
      </c>
      <c r="BD1562">
        <f>IFERROR(INDEX(PP_Grid[#Data],$DE1562,53),0)</f>
        <v/>
      </c>
      <c r="BE1562">
        <f>IFERROR(INDEX(PP_Grid[#Data],$DE1562,54),0)</f>
        <v/>
      </c>
      <c r="BF1562">
        <f>IFERROR(INDEX(PP_Grid[#Data],$DE1562,55),0)</f>
        <v/>
      </c>
      <c r="BG1562">
        <f>IFERROR(INDEX(PP_Grid[#Data],$DE1562,56),0)</f>
        <v/>
      </c>
      <c r="BH1562">
        <f>IFERROR(INDEX(PP_Grid[#Data],$DE1562,57),0)</f>
        <v/>
      </c>
      <c r="BI1562">
        <f>IFERROR(INDEX(PP_Grid[#Data],$DE1562,58),0)</f>
        <v/>
      </c>
      <c r="BJ1562">
        <f>IFERROR(INDEX(PP_Grid[#Data],$DE1562,59),0)</f>
        <v/>
      </c>
      <c r="BK1562">
        <f>IFERROR(INDEX(PP_Grid[#Data],$DE1562,60),0)</f>
        <v/>
      </c>
      <c r="BL1562">
        <f>IFERROR(INDEX(PP_Grid[#Data],$DE1562,61),0)</f>
        <v/>
      </c>
      <c r="BM1562">
        <f>IFERROR(INDEX(PP_Grid[#Data],$DE1562,62),0)</f>
        <v/>
      </c>
      <c r="BN1562">
        <f>IFERROR(INDEX(PP_Grid[#Data],$DE1562,63),0)</f>
        <v/>
      </c>
      <c r="BO1562">
        <f>IFERROR(INDEX(PP_Grid[#Data],$DE1562,64),0)</f>
        <v/>
      </c>
      <c r="BP1562">
        <f>IFERROR(INDEX(PP_Grid[#Data],$DE1562,65),0)</f>
        <v/>
      </c>
      <c r="BQ1562">
        <f>IFERROR(INDEX(PP_Grid[#Data],$DE1562,66),0)</f>
        <v/>
      </c>
      <c r="BR1562">
        <f>IFERROR(INDEX(PP_Grid[#Data],$DE1562,67),0)</f>
        <v/>
      </c>
      <c r="BS1562">
        <f>IFERROR(INDEX(PP_Grid[#Data],$DE1562,68),0)</f>
        <v/>
      </c>
      <c r="BT1562">
        <f>IFERROR(INDEX(PP_Grid[#Data],$DE1562,69),0)</f>
        <v/>
      </c>
      <c r="BU1562">
        <f>IFERROR(INDEX(PP_Grid[#Data],$DE1562,70),0)</f>
        <v/>
      </c>
      <c r="BV1562">
        <f>IFERROR(INDEX(PP_Grid[#Data],$DE1562,71),0)</f>
        <v/>
      </c>
      <c r="BW1562">
        <f>IFERROR(INDEX(PP_Grid[#Data],$DE1562,72),0)</f>
        <v/>
      </c>
      <c r="BX1562">
        <f>IFERROR(INDEX(PP_Grid[#Data],$DE1562,73),0)</f>
        <v/>
      </c>
      <c r="BY1562">
        <f>IFERROR(INDEX(PP_Grid[#Data],$DE1562,74),0)</f>
        <v/>
      </c>
      <c r="BZ1562">
        <f>IFERROR(INDEX(PP_Grid[#Data],$DE1562,75),0)</f>
        <v/>
      </c>
      <c r="CA1562">
        <f>IFERROR(INDEX(PP_Grid[#Data],$DE1562,76),0)</f>
        <v/>
      </c>
      <c r="CB1562">
        <f>IFERROR(INDEX(PP_Grid[#Data],$DE1562,77),0)</f>
        <v/>
      </c>
      <c r="CC1562">
        <f>IFERROR(INDEX(PP_Grid[#Data],$DE1562,78),0)</f>
        <v/>
      </c>
      <c r="CD1562">
        <f>IFERROR(INDEX(PP_Grid[#Data],$DE1562,79),0)</f>
        <v/>
      </c>
      <c r="CE1562">
        <f>IFERROR(INDEX(PP_Grid[#Data],$DE1562,80),0)</f>
        <v/>
      </c>
      <c r="CF1562">
        <f>IFERROR(INDEX(PP_Grid[#Data],$DE1562,81),0)</f>
        <v/>
      </c>
      <c r="CG1562">
        <f>IFERROR(INDEX(PP_Grid[#Data],$DE1562,82),0)</f>
        <v/>
      </c>
      <c r="CH1562">
        <f>IFERROR(INDEX(PP_Grid[#Data],$DE1562,83),0)</f>
        <v/>
      </c>
      <c r="CI1562">
        <f>IFERROR(INDEX(PP_Grid[#Data],$DE1562,84),0)</f>
        <v/>
      </c>
      <c r="CJ1562">
        <f>IFERROR(INDEX(PP_Grid[#Data],$DE1562,85),0)</f>
        <v/>
      </c>
      <c r="CK1562">
        <f>IFERROR(INDEX(PP_Grid[#Data],$DE1562,86),0)</f>
        <v/>
      </c>
      <c r="CL1562">
        <f>IFERROR(INDEX(PP_Grid[#Data],$DE1562,87),0)</f>
        <v/>
      </c>
      <c r="CM1562">
        <f>IFERROR(INDEX(PP_Grid[#Data],$DE1562,88),0)</f>
        <v/>
      </c>
      <c r="CN1562">
        <f>IFERROR(INDEX(PP_Grid[#Data],$DE1562,89),0)</f>
        <v/>
      </c>
      <c r="CO1562">
        <f>IFERROR(INDEX(PP_Grid[#Data],$DE1562,90),0)</f>
        <v/>
      </c>
      <c r="CP1562">
        <f>IFERROR(INDEX(PP_Grid[#Data],$DE1562,91),0)</f>
        <v/>
      </c>
      <c r="CQ1562">
        <f>IFERROR(INDEX(PP_Grid[#Data],$DE1562,92),0)</f>
        <v/>
      </c>
      <c r="CR1562">
        <f>IFERROR(INDEX(PP_Grid[#Data],$DE1562,93),0)</f>
        <v/>
      </c>
      <c r="CS1562">
        <f>IFERROR(INDEX(PP_Grid[#Data],$DE1562,94),0)</f>
        <v/>
      </c>
      <c r="CT1562">
        <f>IFERROR(INDEX(PP_Grid[#Data],$DE1562,95),0)</f>
        <v/>
      </c>
      <c r="CU1562">
        <f>IFERROR(INDEX(PP_Grid[#Data],$DE1562,96),0)</f>
        <v/>
      </c>
      <c r="CV1562">
        <f>IFERROR(INDEX(PP_Grid[#Data],$DE1562,97),0)</f>
        <v/>
      </c>
      <c r="CW1562">
        <f>IFERROR(INDEX(PP_Grid[#Data],$DE1562,98),0)</f>
        <v/>
      </c>
      <c r="CX1562">
        <f>IFERROR(INDEX(PP_Grid[#Data],$DE1562,99),0)</f>
        <v/>
      </c>
      <c r="CY1562">
        <f>IFERROR(INDEX(PP_Grid[#Data],$DE1562,100),0)</f>
        <v/>
      </c>
      <c r="CZ1562">
        <f>IFERROR(INDEX(PP_Grid[#Data],$DE1562,101),0)</f>
        <v/>
      </c>
      <c r="DA1562">
        <f>IFERROR(INDEX(PP_Grid[#Data],$DE1562,102),0)</f>
        <v/>
      </c>
      <c r="DB1562">
        <f>IFERROR(INDEX(PP_Grid[#Data],$DE1562,103),0)</f>
        <v/>
      </c>
      <c r="DC1562">
        <f>IFERROR(INDEX(PP_Grid[#Data],$DE1562,104),0)</f>
        <v/>
      </c>
      <c r="DD1562">
        <f>IFERROR(INDEX(PP_Grid[#Data],$DE1562,105),0)</f>
        <v/>
      </c>
      <c r="DE1562" s="7">
        <f>IFERROR(MATCH($B1562,PP_Grid[Intermediate],0),99999)</f>
        <v/>
      </c>
    </row>
    <row r="1563">
      <c r="B1563" t="inlineStr">
        <is>
          <t>使用量(kg)</t>
        </is>
      </c>
      <c r="C1563">
        <f>SUMIFS(M_BOM[RM_Qty_Per_Batch],M_BOM[Intermediate],$B1562,M_BOM[RM_Code],$A1561)</f>
        <v/>
      </c>
      <c r="D1563">
        <f>IFERROR(INDEX(E1563:DD1563,$F$1),"")</f>
        <v/>
      </c>
      <c r="E1563">
        <f>$C1563*E1562</f>
        <v/>
      </c>
      <c r="F1563">
        <f>$C1563*F1562</f>
        <v/>
      </c>
      <c r="G1563">
        <f>$C1563*G1562</f>
        <v/>
      </c>
      <c r="H1563">
        <f>$C1563*H1562</f>
        <v/>
      </c>
      <c r="I1563">
        <f>$C1563*I1562</f>
        <v/>
      </c>
      <c r="J1563">
        <f>$C1563*J1562</f>
        <v/>
      </c>
      <c r="K1563">
        <f>$C1563*K1562</f>
        <v/>
      </c>
      <c r="L1563">
        <f>$C1563*L1562</f>
        <v/>
      </c>
      <c r="M1563">
        <f>$C1563*M1562</f>
        <v/>
      </c>
      <c r="N1563">
        <f>$C1563*N1562</f>
        <v/>
      </c>
      <c r="O1563">
        <f>$C1563*O1562</f>
        <v/>
      </c>
      <c r="P1563">
        <f>$C1563*P1562</f>
        <v/>
      </c>
      <c r="Q1563">
        <f>$C1563*Q1562</f>
        <v/>
      </c>
      <c r="R1563">
        <f>$C1563*R1562</f>
        <v/>
      </c>
      <c r="S1563">
        <f>$C1563*S1562</f>
        <v/>
      </c>
      <c r="T1563">
        <f>$C1563*T1562</f>
        <v/>
      </c>
      <c r="U1563">
        <f>$C1563*U1562</f>
        <v/>
      </c>
      <c r="V1563">
        <f>$C1563*V1562</f>
        <v/>
      </c>
      <c r="W1563">
        <f>$C1563*W1562</f>
        <v/>
      </c>
      <c r="X1563">
        <f>$C1563*X1562</f>
        <v/>
      </c>
      <c r="Y1563">
        <f>$C1563*Y1562</f>
        <v/>
      </c>
      <c r="Z1563">
        <f>$C1563*Z1562</f>
        <v/>
      </c>
      <c r="AA1563">
        <f>$C1563*AA1562</f>
        <v/>
      </c>
      <c r="AB1563">
        <f>$C1563*AB1562</f>
        <v/>
      </c>
      <c r="AC1563">
        <f>$C1563*AC1562</f>
        <v/>
      </c>
      <c r="AD1563">
        <f>$C1563*AD1562</f>
        <v/>
      </c>
      <c r="AE1563">
        <f>$C1563*AE1562</f>
        <v/>
      </c>
      <c r="AF1563">
        <f>$C1563*AF1562</f>
        <v/>
      </c>
      <c r="AG1563">
        <f>$C1563*AG1562</f>
        <v/>
      </c>
      <c r="AH1563">
        <f>$C1563*AH1562</f>
        <v/>
      </c>
      <c r="AI1563">
        <f>$C1563*AI1562</f>
        <v/>
      </c>
      <c r="AJ1563">
        <f>$C1563*AJ1562</f>
        <v/>
      </c>
      <c r="AK1563">
        <f>$C1563*AK1562</f>
        <v/>
      </c>
      <c r="AL1563">
        <f>$C1563*AL1562</f>
        <v/>
      </c>
      <c r="AM1563">
        <f>$C1563*AM1562</f>
        <v/>
      </c>
      <c r="AN1563">
        <f>$C1563*AN1562</f>
        <v/>
      </c>
      <c r="AO1563">
        <f>$C1563*AO1562</f>
        <v/>
      </c>
      <c r="AP1563">
        <f>$C1563*AP1562</f>
        <v/>
      </c>
      <c r="AQ1563">
        <f>$C1563*AQ1562</f>
        <v/>
      </c>
      <c r="AR1563">
        <f>$C1563*AR1562</f>
        <v/>
      </c>
      <c r="AS1563">
        <f>$C1563*AS1562</f>
        <v/>
      </c>
      <c r="AT1563">
        <f>$C1563*AT1562</f>
        <v/>
      </c>
      <c r="AU1563">
        <f>$C1563*AU1562</f>
        <v/>
      </c>
      <c r="AV1563">
        <f>$C1563*AV1562</f>
        <v/>
      </c>
      <c r="AW1563">
        <f>$C1563*AW1562</f>
        <v/>
      </c>
      <c r="AX1563">
        <f>$C1563*AX1562</f>
        <v/>
      </c>
      <c r="AY1563">
        <f>$C1563*AY1562</f>
        <v/>
      </c>
      <c r="AZ1563">
        <f>$C1563*AZ1562</f>
        <v/>
      </c>
      <c r="BA1563">
        <f>$C1563*BA1562</f>
        <v/>
      </c>
      <c r="BB1563">
        <f>$C1563*BB1562</f>
        <v/>
      </c>
      <c r="BC1563">
        <f>$C1563*BC1562</f>
        <v/>
      </c>
      <c r="BD1563">
        <f>$C1563*BD1562</f>
        <v/>
      </c>
      <c r="BE1563">
        <f>$C1563*BE1562</f>
        <v/>
      </c>
      <c r="BF1563">
        <f>$C1563*BF1562</f>
        <v/>
      </c>
      <c r="BG1563">
        <f>$C1563*BG1562</f>
        <v/>
      </c>
      <c r="BH1563">
        <f>$C1563*BH1562</f>
        <v/>
      </c>
      <c r="BI1563">
        <f>$C1563*BI1562</f>
        <v/>
      </c>
      <c r="BJ1563">
        <f>$C1563*BJ1562</f>
        <v/>
      </c>
      <c r="BK1563">
        <f>$C1563*BK1562</f>
        <v/>
      </c>
      <c r="BL1563">
        <f>$C1563*BL1562</f>
        <v/>
      </c>
      <c r="BM1563">
        <f>$C1563*BM1562</f>
        <v/>
      </c>
      <c r="BN1563">
        <f>$C1563*BN1562</f>
        <v/>
      </c>
      <c r="BO1563">
        <f>$C1563*BO1562</f>
        <v/>
      </c>
      <c r="BP1563">
        <f>$C1563*BP1562</f>
        <v/>
      </c>
      <c r="BQ1563">
        <f>$C1563*BQ1562</f>
        <v/>
      </c>
      <c r="BR1563">
        <f>$C1563*BR1562</f>
        <v/>
      </c>
      <c r="BS1563">
        <f>$C1563*BS1562</f>
        <v/>
      </c>
      <c r="BT1563">
        <f>$C1563*BT1562</f>
        <v/>
      </c>
      <c r="BU1563">
        <f>$C1563*BU1562</f>
        <v/>
      </c>
      <c r="BV1563">
        <f>$C1563*BV1562</f>
        <v/>
      </c>
      <c r="BW1563">
        <f>$C1563*BW1562</f>
        <v/>
      </c>
      <c r="BX1563">
        <f>$C1563*BX1562</f>
        <v/>
      </c>
      <c r="BY1563">
        <f>$C1563*BY1562</f>
        <v/>
      </c>
      <c r="BZ1563">
        <f>$C1563*BZ1562</f>
        <v/>
      </c>
      <c r="CA1563">
        <f>$C1563*CA1562</f>
        <v/>
      </c>
      <c r="CB1563">
        <f>$C1563*CB1562</f>
        <v/>
      </c>
      <c r="CC1563">
        <f>$C1563*CC1562</f>
        <v/>
      </c>
      <c r="CD1563">
        <f>$C1563*CD1562</f>
        <v/>
      </c>
      <c r="CE1563">
        <f>$C1563*CE1562</f>
        <v/>
      </c>
      <c r="CF1563">
        <f>$C1563*CF1562</f>
        <v/>
      </c>
      <c r="CG1563">
        <f>$C1563*CG1562</f>
        <v/>
      </c>
      <c r="CH1563">
        <f>$C1563*CH1562</f>
        <v/>
      </c>
      <c r="CI1563">
        <f>$C1563*CI1562</f>
        <v/>
      </c>
      <c r="CJ1563">
        <f>$C1563*CJ1562</f>
        <v/>
      </c>
      <c r="CK1563">
        <f>$C1563*CK1562</f>
        <v/>
      </c>
      <c r="CL1563">
        <f>$C1563*CL1562</f>
        <v/>
      </c>
      <c r="CM1563">
        <f>$C1563*CM1562</f>
        <v/>
      </c>
      <c r="CN1563">
        <f>$C1563*CN1562</f>
        <v/>
      </c>
      <c r="CO1563">
        <f>$C1563*CO1562</f>
        <v/>
      </c>
      <c r="CP1563">
        <f>$C1563*CP1562</f>
        <v/>
      </c>
      <c r="CQ1563">
        <f>$C1563*CQ1562</f>
        <v/>
      </c>
      <c r="CR1563">
        <f>$C1563*CR1562</f>
        <v/>
      </c>
      <c r="CS1563">
        <f>$C1563*CS1562</f>
        <v/>
      </c>
      <c r="CT1563">
        <f>$C1563*CT1562</f>
        <v/>
      </c>
      <c r="CU1563">
        <f>$C1563*CU1562</f>
        <v/>
      </c>
      <c r="CV1563">
        <f>$C1563*CV1562</f>
        <v/>
      </c>
      <c r="CW1563">
        <f>$C1563*CW1562</f>
        <v/>
      </c>
      <c r="CX1563">
        <f>$C1563*CX1562</f>
        <v/>
      </c>
      <c r="CY1563">
        <f>$C1563*CY1562</f>
        <v/>
      </c>
      <c r="CZ1563">
        <f>$C1563*CZ1562</f>
        <v/>
      </c>
      <c r="DA1563">
        <f>$C1563*DA1562</f>
        <v/>
      </c>
      <c r="DB1563">
        <f>$C1563*DB1562</f>
        <v/>
      </c>
      <c r="DC1563">
        <f>$C1563*DC1562</f>
        <v/>
      </c>
      <c r="DD1563">
        <f>$C1563*DD1562</f>
        <v/>
      </c>
    </row>
    <row r="1564">
      <c r="B1564" s="4" t="inlineStr">
        <is>
          <t>合計使用量(kg)/週</t>
        </is>
      </c>
      <c r="D1564" s="22">
        <f>IFERROR(INDEX(E1564:DD1564,$F$1),"")</f>
        <v/>
      </c>
      <c r="E1564">
        <f>'Grid_Requirement'!B68</f>
        <v/>
      </c>
      <c r="F1564">
        <f>'Grid_Requirement'!C68</f>
        <v/>
      </c>
      <c r="G1564">
        <f>'Grid_Requirement'!D68</f>
        <v/>
      </c>
      <c r="H1564">
        <f>'Grid_Requirement'!E68</f>
        <v/>
      </c>
      <c r="I1564">
        <f>'Grid_Requirement'!F68</f>
        <v/>
      </c>
      <c r="J1564">
        <f>'Grid_Requirement'!G68</f>
        <v/>
      </c>
      <c r="K1564">
        <f>'Grid_Requirement'!H68</f>
        <v/>
      </c>
      <c r="L1564">
        <f>'Grid_Requirement'!I68</f>
        <v/>
      </c>
      <c r="M1564">
        <f>'Grid_Requirement'!J68</f>
        <v/>
      </c>
      <c r="N1564">
        <f>'Grid_Requirement'!K68</f>
        <v/>
      </c>
      <c r="O1564">
        <f>'Grid_Requirement'!L68</f>
        <v/>
      </c>
      <c r="P1564">
        <f>'Grid_Requirement'!M68</f>
        <v/>
      </c>
      <c r="Q1564">
        <f>'Grid_Requirement'!N68</f>
        <v/>
      </c>
      <c r="R1564">
        <f>'Grid_Requirement'!O68</f>
        <v/>
      </c>
      <c r="S1564">
        <f>'Grid_Requirement'!P68</f>
        <v/>
      </c>
      <c r="T1564">
        <f>'Grid_Requirement'!Q68</f>
        <v/>
      </c>
      <c r="U1564">
        <f>'Grid_Requirement'!R68</f>
        <v/>
      </c>
      <c r="V1564">
        <f>'Grid_Requirement'!S68</f>
        <v/>
      </c>
      <c r="W1564">
        <f>'Grid_Requirement'!T68</f>
        <v/>
      </c>
      <c r="X1564">
        <f>'Grid_Requirement'!U68</f>
        <v/>
      </c>
      <c r="Y1564">
        <f>'Grid_Requirement'!V68</f>
        <v/>
      </c>
      <c r="Z1564">
        <f>'Grid_Requirement'!W68</f>
        <v/>
      </c>
      <c r="AA1564">
        <f>'Grid_Requirement'!X68</f>
        <v/>
      </c>
      <c r="AB1564">
        <f>'Grid_Requirement'!Y68</f>
        <v/>
      </c>
      <c r="AC1564">
        <f>'Grid_Requirement'!Z68</f>
        <v/>
      </c>
      <c r="AD1564">
        <f>'Grid_Requirement'!AA68</f>
        <v/>
      </c>
      <c r="AE1564">
        <f>'Grid_Requirement'!AB68</f>
        <v/>
      </c>
      <c r="AF1564">
        <f>'Grid_Requirement'!AC68</f>
        <v/>
      </c>
      <c r="AG1564">
        <f>'Grid_Requirement'!AD68</f>
        <v/>
      </c>
      <c r="AH1564">
        <f>'Grid_Requirement'!AE68</f>
        <v/>
      </c>
      <c r="AI1564">
        <f>'Grid_Requirement'!AF68</f>
        <v/>
      </c>
      <c r="AJ1564">
        <f>'Grid_Requirement'!AG68</f>
        <v/>
      </c>
      <c r="AK1564">
        <f>'Grid_Requirement'!AH68</f>
        <v/>
      </c>
      <c r="AL1564">
        <f>'Grid_Requirement'!AI68</f>
        <v/>
      </c>
      <c r="AM1564">
        <f>'Grid_Requirement'!AJ68</f>
        <v/>
      </c>
      <c r="AN1564">
        <f>'Grid_Requirement'!AK68</f>
        <v/>
      </c>
      <c r="AO1564">
        <f>'Grid_Requirement'!AL68</f>
        <v/>
      </c>
      <c r="AP1564">
        <f>'Grid_Requirement'!AM68</f>
        <v/>
      </c>
      <c r="AQ1564">
        <f>'Grid_Requirement'!AN68</f>
        <v/>
      </c>
      <c r="AR1564">
        <f>'Grid_Requirement'!AO68</f>
        <v/>
      </c>
      <c r="AS1564">
        <f>'Grid_Requirement'!AP68</f>
        <v/>
      </c>
      <c r="AT1564">
        <f>'Grid_Requirement'!AQ68</f>
        <v/>
      </c>
      <c r="AU1564">
        <f>'Grid_Requirement'!AR68</f>
        <v/>
      </c>
      <c r="AV1564">
        <f>'Grid_Requirement'!AS68</f>
        <v/>
      </c>
      <c r="AW1564">
        <f>'Grid_Requirement'!AT68</f>
        <v/>
      </c>
      <c r="AX1564">
        <f>'Grid_Requirement'!AU68</f>
        <v/>
      </c>
      <c r="AY1564">
        <f>'Grid_Requirement'!AV68</f>
        <v/>
      </c>
      <c r="AZ1564">
        <f>'Grid_Requirement'!AW68</f>
        <v/>
      </c>
      <c r="BA1564">
        <f>'Grid_Requirement'!AX68</f>
        <v/>
      </c>
      <c r="BB1564">
        <f>'Grid_Requirement'!AY68</f>
        <v/>
      </c>
      <c r="BC1564">
        <f>'Grid_Requirement'!AZ68</f>
        <v/>
      </c>
      <c r="BD1564">
        <f>'Grid_Requirement'!BA68</f>
        <v/>
      </c>
      <c r="BE1564">
        <f>'Grid_Requirement'!BB68</f>
        <v/>
      </c>
      <c r="BF1564">
        <f>'Grid_Requirement'!BC68</f>
        <v/>
      </c>
      <c r="BG1564">
        <f>'Grid_Requirement'!BD68</f>
        <v/>
      </c>
      <c r="BH1564">
        <f>'Grid_Requirement'!BE68</f>
        <v/>
      </c>
      <c r="BI1564">
        <f>'Grid_Requirement'!BF68</f>
        <v/>
      </c>
      <c r="BJ1564">
        <f>'Grid_Requirement'!BG68</f>
        <v/>
      </c>
      <c r="BK1564">
        <f>'Grid_Requirement'!BH68</f>
        <v/>
      </c>
      <c r="BL1564">
        <f>'Grid_Requirement'!BI68</f>
        <v/>
      </c>
      <c r="BM1564">
        <f>'Grid_Requirement'!BJ68</f>
        <v/>
      </c>
      <c r="BN1564">
        <f>'Grid_Requirement'!BK68</f>
        <v/>
      </c>
      <c r="BO1564">
        <f>'Grid_Requirement'!BL68</f>
        <v/>
      </c>
      <c r="BP1564">
        <f>'Grid_Requirement'!BM68</f>
        <v/>
      </c>
      <c r="BQ1564">
        <f>'Grid_Requirement'!BN68</f>
        <v/>
      </c>
      <c r="BR1564">
        <f>'Grid_Requirement'!BO68</f>
        <v/>
      </c>
      <c r="BS1564">
        <f>'Grid_Requirement'!BP68</f>
        <v/>
      </c>
      <c r="BT1564">
        <f>'Grid_Requirement'!BQ68</f>
        <v/>
      </c>
      <c r="BU1564">
        <f>'Grid_Requirement'!BR68</f>
        <v/>
      </c>
      <c r="BV1564">
        <f>'Grid_Requirement'!BS68</f>
        <v/>
      </c>
      <c r="BW1564">
        <f>'Grid_Requirement'!BT68</f>
        <v/>
      </c>
      <c r="BX1564">
        <f>'Grid_Requirement'!BU68</f>
        <v/>
      </c>
      <c r="BY1564">
        <f>'Grid_Requirement'!BV68</f>
        <v/>
      </c>
      <c r="BZ1564">
        <f>'Grid_Requirement'!BW68</f>
        <v/>
      </c>
      <c r="CA1564">
        <f>'Grid_Requirement'!BX68</f>
        <v/>
      </c>
      <c r="CB1564">
        <f>'Grid_Requirement'!BY68</f>
        <v/>
      </c>
      <c r="CC1564">
        <f>'Grid_Requirement'!BZ68</f>
        <v/>
      </c>
      <c r="CD1564">
        <f>'Grid_Requirement'!CA68</f>
        <v/>
      </c>
      <c r="CE1564">
        <f>'Grid_Requirement'!CB68</f>
        <v/>
      </c>
      <c r="CF1564">
        <f>'Grid_Requirement'!CC68</f>
        <v/>
      </c>
      <c r="CG1564">
        <f>'Grid_Requirement'!CD68</f>
        <v/>
      </c>
      <c r="CH1564">
        <f>'Grid_Requirement'!CE68</f>
        <v/>
      </c>
      <c r="CI1564">
        <f>'Grid_Requirement'!CF68</f>
        <v/>
      </c>
      <c r="CJ1564">
        <f>'Grid_Requirement'!CG68</f>
        <v/>
      </c>
      <c r="CK1564">
        <f>'Grid_Requirement'!CH68</f>
        <v/>
      </c>
      <c r="CL1564">
        <f>'Grid_Requirement'!CI68</f>
        <v/>
      </c>
      <c r="CM1564">
        <f>'Grid_Requirement'!CJ68</f>
        <v/>
      </c>
      <c r="CN1564">
        <f>'Grid_Requirement'!CK68</f>
        <v/>
      </c>
      <c r="CO1564">
        <f>'Grid_Requirement'!CL68</f>
        <v/>
      </c>
      <c r="CP1564">
        <f>'Grid_Requirement'!CM68</f>
        <v/>
      </c>
      <c r="CQ1564">
        <f>'Grid_Requirement'!CN68</f>
        <v/>
      </c>
      <c r="CR1564">
        <f>'Grid_Requirement'!CO68</f>
        <v/>
      </c>
      <c r="CS1564">
        <f>'Grid_Requirement'!CP68</f>
        <v/>
      </c>
      <c r="CT1564">
        <f>'Grid_Requirement'!CQ68</f>
        <v/>
      </c>
      <c r="CU1564">
        <f>'Grid_Requirement'!CR68</f>
        <v/>
      </c>
      <c r="CV1564">
        <f>'Grid_Requirement'!CS68</f>
        <v/>
      </c>
      <c r="CW1564">
        <f>'Grid_Requirement'!CT68</f>
        <v/>
      </c>
      <c r="CX1564">
        <f>'Grid_Requirement'!CU68</f>
        <v/>
      </c>
      <c r="CY1564">
        <f>'Grid_Requirement'!CV68</f>
        <v/>
      </c>
      <c r="CZ1564">
        <f>'Grid_Requirement'!CW68</f>
        <v/>
      </c>
      <c r="DA1564">
        <f>'Grid_Requirement'!CX68</f>
        <v/>
      </c>
      <c r="DB1564">
        <f>'Grid_Requirement'!CY68</f>
        <v/>
      </c>
      <c r="DC1564">
        <f>'Grid_Requirement'!CZ68</f>
        <v/>
      </c>
      <c r="DD1564">
        <f>'Grid_Requirement'!DA68</f>
        <v/>
      </c>
    </row>
    <row r="1565">
      <c r="B1565" s="23" t="inlineStr">
        <is>
          <t>（在庫・入荷予定はDashboard参照）</t>
        </is>
      </c>
    </row>
    <row r="1567">
      <c r="A1567" s="21" t="inlineStr">
        <is>
          <t>9RN</t>
        </is>
      </c>
      <c r="B1567" s="21" t="inlineStr">
        <is>
          <t>N30S89R11WF7  4FK13117080</t>
        </is>
      </c>
      <c r="C1567" s="21" t="n"/>
      <c r="D1567" s="21" t="n"/>
      <c r="E1567" s="21" t="n"/>
      <c r="F1567" s="21" t="n"/>
      <c r="G1567" s="21" t="n"/>
      <c r="H1567" s="21" t="n"/>
      <c r="I1567" s="21" t="n"/>
      <c r="J1567" s="21" t="n"/>
      <c r="K1567" s="21" t="n"/>
      <c r="L1567" s="21" t="n"/>
      <c r="M1567" s="21" t="n"/>
      <c r="N1567" s="21" t="n"/>
      <c r="O1567" s="21" t="n"/>
      <c r="P1567" s="21" t="n"/>
      <c r="Q1567" s="21" t="n"/>
      <c r="R1567" s="21" t="n"/>
      <c r="S1567" s="21" t="n"/>
      <c r="T1567" s="21" t="n"/>
      <c r="U1567" s="21" t="n"/>
      <c r="V1567" s="21" t="n"/>
      <c r="W1567" s="21" t="n"/>
      <c r="X1567" s="21" t="n"/>
      <c r="Y1567" s="21" t="n"/>
      <c r="Z1567" s="21" t="n"/>
      <c r="AA1567" s="21" t="n"/>
      <c r="AB1567" s="21" t="n"/>
      <c r="AC1567" s="21" t="n"/>
      <c r="AD1567" s="21" t="n"/>
      <c r="AE1567" s="21" t="n"/>
      <c r="AF1567" s="21" t="n"/>
      <c r="AG1567" s="21" t="n"/>
      <c r="AH1567" s="21" t="n"/>
      <c r="AI1567" s="21" t="n"/>
      <c r="AJ1567" s="21" t="n"/>
      <c r="AK1567" s="21" t="n"/>
      <c r="AL1567" s="21" t="n"/>
      <c r="AM1567" s="21" t="n"/>
      <c r="AN1567" s="21" t="n"/>
      <c r="AO1567" s="21" t="n"/>
      <c r="AP1567" s="21" t="n"/>
      <c r="AQ1567" s="21" t="n"/>
      <c r="AR1567" s="21" t="n"/>
      <c r="AS1567" s="21" t="n"/>
      <c r="AT1567" s="21" t="n"/>
      <c r="AU1567" s="21" t="n"/>
      <c r="AV1567" s="21" t="n"/>
      <c r="AW1567" s="21" t="n"/>
      <c r="AX1567" s="21" t="n"/>
      <c r="AY1567" s="21" t="n"/>
      <c r="AZ1567" s="21" t="n"/>
      <c r="BA1567" s="21" t="n"/>
      <c r="BB1567" s="21" t="n"/>
      <c r="BC1567" s="21" t="n"/>
      <c r="BD1567" s="21" t="n"/>
      <c r="BE1567" s="21" t="n"/>
      <c r="BF1567" s="21" t="n"/>
      <c r="BG1567" s="21" t="n"/>
      <c r="BH1567" s="21" t="n"/>
      <c r="BI1567" s="21" t="n"/>
      <c r="BJ1567" s="21" t="n"/>
      <c r="BK1567" s="21" t="n"/>
      <c r="BL1567" s="21" t="n"/>
      <c r="BM1567" s="21" t="n"/>
      <c r="BN1567" s="21" t="n"/>
      <c r="BO1567" s="21" t="n"/>
      <c r="BP1567" s="21" t="n"/>
      <c r="BQ1567" s="21" t="n"/>
      <c r="BR1567" s="21" t="n"/>
      <c r="BS1567" s="21" t="n"/>
      <c r="BT1567" s="21" t="n"/>
      <c r="BU1567" s="21" t="n"/>
      <c r="BV1567" s="21" t="n"/>
      <c r="BW1567" s="21" t="n"/>
      <c r="BX1567" s="21" t="n"/>
      <c r="BY1567" s="21" t="n"/>
      <c r="BZ1567" s="21" t="n"/>
      <c r="CA1567" s="21" t="n"/>
      <c r="CB1567" s="21" t="n"/>
      <c r="CC1567" s="21" t="n"/>
      <c r="CD1567" s="21" t="n"/>
      <c r="CE1567" s="21" t="n"/>
      <c r="CF1567" s="21" t="n"/>
      <c r="CG1567" s="21" t="n"/>
      <c r="CH1567" s="21" t="n"/>
      <c r="CI1567" s="21" t="n"/>
      <c r="CJ1567" s="21" t="n"/>
      <c r="CK1567" s="21" t="n"/>
      <c r="CL1567" s="21" t="n"/>
      <c r="CM1567" s="21" t="n"/>
      <c r="CN1567" s="21" t="n"/>
      <c r="CO1567" s="21" t="n"/>
      <c r="CP1567" s="21" t="n"/>
      <c r="CQ1567" s="21" t="n"/>
      <c r="CR1567" s="21" t="n"/>
      <c r="CS1567" s="21" t="n"/>
      <c r="CT1567" s="21" t="n"/>
      <c r="CU1567" s="21" t="n"/>
      <c r="CV1567" s="21" t="n"/>
      <c r="CW1567" s="21" t="n"/>
      <c r="CX1567" s="21" t="n"/>
      <c r="CY1567" s="21" t="n"/>
      <c r="CZ1567" s="21" t="n"/>
      <c r="DA1567" s="21" t="n"/>
      <c r="DB1567" s="21" t="n"/>
      <c r="DC1567" s="21" t="n"/>
      <c r="DD1567" s="21" t="n"/>
    </row>
    <row r="1568">
      <c r="B1568" t="inlineStr">
        <is>
          <t>K0050</t>
        </is>
      </c>
      <c r="C1568" t="inlineStr">
        <is>
          <t>No. of batches</t>
        </is>
      </c>
      <c r="D1568">
        <f>IFERROR(INDEX(E1568:DD1568,$F$1),"")</f>
        <v/>
      </c>
      <c r="E1568">
        <f>IFERROR(INDEX(PP_Grid[#Data],$DE1568,2),0)</f>
        <v/>
      </c>
      <c r="F1568">
        <f>IFERROR(INDEX(PP_Grid[#Data],$DE1568,3),0)</f>
        <v/>
      </c>
      <c r="G1568">
        <f>IFERROR(INDEX(PP_Grid[#Data],$DE1568,4),0)</f>
        <v/>
      </c>
      <c r="H1568">
        <f>IFERROR(INDEX(PP_Grid[#Data],$DE1568,5),0)</f>
        <v/>
      </c>
      <c r="I1568">
        <f>IFERROR(INDEX(PP_Grid[#Data],$DE1568,6),0)</f>
        <v/>
      </c>
      <c r="J1568">
        <f>IFERROR(INDEX(PP_Grid[#Data],$DE1568,7),0)</f>
        <v/>
      </c>
      <c r="K1568">
        <f>IFERROR(INDEX(PP_Grid[#Data],$DE1568,8),0)</f>
        <v/>
      </c>
      <c r="L1568">
        <f>IFERROR(INDEX(PP_Grid[#Data],$DE1568,9),0)</f>
        <v/>
      </c>
      <c r="M1568">
        <f>IFERROR(INDEX(PP_Grid[#Data],$DE1568,10),0)</f>
        <v/>
      </c>
      <c r="N1568">
        <f>IFERROR(INDEX(PP_Grid[#Data],$DE1568,11),0)</f>
        <v/>
      </c>
      <c r="O1568">
        <f>IFERROR(INDEX(PP_Grid[#Data],$DE1568,12),0)</f>
        <v/>
      </c>
      <c r="P1568">
        <f>IFERROR(INDEX(PP_Grid[#Data],$DE1568,13),0)</f>
        <v/>
      </c>
      <c r="Q1568">
        <f>IFERROR(INDEX(PP_Grid[#Data],$DE1568,14),0)</f>
        <v/>
      </c>
      <c r="R1568">
        <f>IFERROR(INDEX(PP_Grid[#Data],$DE1568,15),0)</f>
        <v/>
      </c>
      <c r="S1568">
        <f>IFERROR(INDEX(PP_Grid[#Data],$DE1568,16),0)</f>
        <v/>
      </c>
      <c r="T1568">
        <f>IFERROR(INDEX(PP_Grid[#Data],$DE1568,17),0)</f>
        <v/>
      </c>
      <c r="U1568">
        <f>IFERROR(INDEX(PP_Grid[#Data],$DE1568,18),0)</f>
        <v/>
      </c>
      <c r="V1568">
        <f>IFERROR(INDEX(PP_Grid[#Data],$DE1568,19),0)</f>
        <v/>
      </c>
      <c r="W1568">
        <f>IFERROR(INDEX(PP_Grid[#Data],$DE1568,20),0)</f>
        <v/>
      </c>
      <c r="X1568">
        <f>IFERROR(INDEX(PP_Grid[#Data],$DE1568,21),0)</f>
        <v/>
      </c>
      <c r="Y1568">
        <f>IFERROR(INDEX(PP_Grid[#Data],$DE1568,22),0)</f>
        <v/>
      </c>
      <c r="Z1568">
        <f>IFERROR(INDEX(PP_Grid[#Data],$DE1568,23),0)</f>
        <v/>
      </c>
      <c r="AA1568">
        <f>IFERROR(INDEX(PP_Grid[#Data],$DE1568,24),0)</f>
        <v/>
      </c>
      <c r="AB1568">
        <f>IFERROR(INDEX(PP_Grid[#Data],$DE1568,25),0)</f>
        <v/>
      </c>
      <c r="AC1568">
        <f>IFERROR(INDEX(PP_Grid[#Data],$DE1568,26),0)</f>
        <v/>
      </c>
      <c r="AD1568">
        <f>IFERROR(INDEX(PP_Grid[#Data],$DE1568,27),0)</f>
        <v/>
      </c>
      <c r="AE1568">
        <f>IFERROR(INDEX(PP_Grid[#Data],$DE1568,28),0)</f>
        <v/>
      </c>
      <c r="AF1568">
        <f>IFERROR(INDEX(PP_Grid[#Data],$DE1568,29),0)</f>
        <v/>
      </c>
      <c r="AG1568">
        <f>IFERROR(INDEX(PP_Grid[#Data],$DE1568,30),0)</f>
        <v/>
      </c>
      <c r="AH1568">
        <f>IFERROR(INDEX(PP_Grid[#Data],$DE1568,31),0)</f>
        <v/>
      </c>
      <c r="AI1568">
        <f>IFERROR(INDEX(PP_Grid[#Data],$DE1568,32),0)</f>
        <v/>
      </c>
      <c r="AJ1568">
        <f>IFERROR(INDEX(PP_Grid[#Data],$DE1568,33),0)</f>
        <v/>
      </c>
      <c r="AK1568">
        <f>IFERROR(INDEX(PP_Grid[#Data],$DE1568,34),0)</f>
        <v/>
      </c>
      <c r="AL1568">
        <f>IFERROR(INDEX(PP_Grid[#Data],$DE1568,35),0)</f>
        <v/>
      </c>
      <c r="AM1568">
        <f>IFERROR(INDEX(PP_Grid[#Data],$DE1568,36),0)</f>
        <v/>
      </c>
      <c r="AN1568">
        <f>IFERROR(INDEX(PP_Grid[#Data],$DE1568,37),0)</f>
        <v/>
      </c>
      <c r="AO1568">
        <f>IFERROR(INDEX(PP_Grid[#Data],$DE1568,38),0)</f>
        <v/>
      </c>
      <c r="AP1568">
        <f>IFERROR(INDEX(PP_Grid[#Data],$DE1568,39),0)</f>
        <v/>
      </c>
      <c r="AQ1568">
        <f>IFERROR(INDEX(PP_Grid[#Data],$DE1568,40),0)</f>
        <v/>
      </c>
      <c r="AR1568">
        <f>IFERROR(INDEX(PP_Grid[#Data],$DE1568,41),0)</f>
        <v/>
      </c>
      <c r="AS1568">
        <f>IFERROR(INDEX(PP_Grid[#Data],$DE1568,42),0)</f>
        <v/>
      </c>
      <c r="AT1568">
        <f>IFERROR(INDEX(PP_Grid[#Data],$DE1568,43),0)</f>
        <v/>
      </c>
      <c r="AU1568">
        <f>IFERROR(INDEX(PP_Grid[#Data],$DE1568,44),0)</f>
        <v/>
      </c>
      <c r="AV1568">
        <f>IFERROR(INDEX(PP_Grid[#Data],$DE1568,45),0)</f>
        <v/>
      </c>
      <c r="AW1568">
        <f>IFERROR(INDEX(PP_Grid[#Data],$DE1568,46),0)</f>
        <v/>
      </c>
      <c r="AX1568">
        <f>IFERROR(INDEX(PP_Grid[#Data],$DE1568,47),0)</f>
        <v/>
      </c>
      <c r="AY1568">
        <f>IFERROR(INDEX(PP_Grid[#Data],$DE1568,48),0)</f>
        <v/>
      </c>
      <c r="AZ1568">
        <f>IFERROR(INDEX(PP_Grid[#Data],$DE1568,49),0)</f>
        <v/>
      </c>
      <c r="BA1568">
        <f>IFERROR(INDEX(PP_Grid[#Data],$DE1568,50),0)</f>
        <v/>
      </c>
      <c r="BB1568">
        <f>IFERROR(INDEX(PP_Grid[#Data],$DE1568,51),0)</f>
        <v/>
      </c>
      <c r="BC1568">
        <f>IFERROR(INDEX(PP_Grid[#Data],$DE1568,52),0)</f>
        <v/>
      </c>
      <c r="BD1568">
        <f>IFERROR(INDEX(PP_Grid[#Data],$DE1568,53),0)</f>
        <v/>
      </c>
      <c r="BE1568">
        <f>IFERROR(INDEX(PP_Grid[#Data],$DE1568,54),0)</f>
        <v/>
      </c>
      <c r="BF1568">
        <f>IFERROR(INDEX(PP_Grid[#Data],$DE1568,55),0)</f>
        <v/>
      </c>
      <c r="BG1568">
        <f>IFERROR(INDEX(PP_Grid[#Data],$DE1568,56),0)</f>
        <v/>
      </c>
      <c r="BH1568">
        <f>IFERROR(INDEX(PP_Grid[#Data],$DE1568,57),0)</f>
        <v/>
      </c>
      <c r="BI1568">
        <f>IFERROR(INDEX(PP_Grid[#Data],$DE1568,58),0)</f>
        <v/>
      </c>
      <c r="BJ1568">
        <f>IFERROR(INDEX(PP_Grid[#Data],$DE1568,59),0)</f>
        <v/>
      </c>
      <c r="BK1568">
        <f>IFERROR(INDEX(PP_Grid[#Data],$DE1568,60),0)</f>
        <v/>
      </c>
      <c r="BL1568">
        <f>IFERROR(INDEX(PP_Grid[#Data],$DE1568,61),0)</f>
        <v/>
      </c>
      <c r="BM1568">
        <f>IFERROR(INDEX(PP_Grid[#Data],$DE1568,62),0)</f>
        <v/>
      </c>
      <c r="BN1568">
        <f>IFERROR(INDEX(PP_Grid[#Data],$DE1568,63),0)</f>
        <v/>
      </c>
      <c r="BO1568">
        <f>IFERROR(INDEX(PP_Grid[#Data],$DE1568,64),0)</f>
        <v/>
      </c>
      <c r="BP1568">
        <f>IFERROR(INDEX(PP_Grid[#Data],$DE1568,65),0)</f>
        <v/>
      </c>
      <c r="BQ1568">
        <f>IFERROR(INDEX(PP_Grid[#Data],$DE1568,66),0)</f>
        <v/>
      </c>
      <c r="BR1568">
        <f>IFERROR(INDEX(PP_Grid[#Data],$DE1568,67),0)</f>
        <v/>
      </c>
      <c r="BS1568">
        <f>IFERROR(INDEX(PP_Grid[#Data],$DE1568,68),0)</f>
        <v/>
      </c>
      <c r="BT1568">
        <f>IFERROR(INDEX(PP_Grid[#Data],$DE1568,69),0)</f>
        <v/>
      </c>
      <c r="BU1568">
        <f>IFERROR(INDEX(PP_Grid[#Data],$DE1568,70),0)</f>
        <v/>
      </c>
      <c r="BV1568">
        <f>IFERROR(INDEX(PP_Grid[#Data],$DE1568,71),0)</f>
        <v/>
      </c>
      <c r="BW1568">
        <f>IFERROR(INDEX(PP_Grid[#Data],$DE1568,72),0)</f>
        <v/>
      </c>
      <c r="BX1568">
        <f>IFERROR(INDEX(PP_Grid[#Data],$DE1568,73),0)</f>
        <v/>
      </c>
      <c r="BY1568">
        <f>IFERROR(INDEX(PP_Grid[#Data],$DE1568,74),0)</f>
        <v/>
      </c>
      <c r="BZ1568">
        <f>IFERROR(INDEX(PP_Grid[#Data],$DE1568,75),0)</f>
        <v/>
      </c>
      <c r="CA1568">
        <f>IFERROR(INDEX(PP_Grid[#Data],$DE1568,76),0)</f>
        <v/>
      </c>
      <c r="CB1568">
        <f>IFERROR(INDEX(PP_Grid[#Data],$DE1568,77),0)</f>
        <v/>
      </c>
      <c r="CC1568">
        <f>IFERROR(INDEX(PP_Grid[#Data],$DE1568,78),0)</f>
        <v/>
      </c>
      <c r="CD1568">
        <f>IFERROR(INDEX(PP_Grid[#Data],$DE1568,79),0)</f>
        <v/>
      </c>
      <c r="CE1568">
        <f>IFERROR(INDEX(PP_Grid[#Data],$DE1568,80),0)</f>
        <v/>
      </c>
      <c r="CF1568">
        <f>IFERROR(INDEX(PP_Grid[#Data],$DE1568,81),0)</f>
        <v/>
      </c>
      <c r="CG1568">
        <f>IFERROR(INDEX(PP_Grid[#Data],$DE1568,82),0)</f>
        <v/>
      </c>
      <c r="CH1568">
        <f>IFERROR(INDEX(PP_Grid[#Data],$DE1568,83),0)</f>
        <v/>
      </c>
      <c r="CI1568">
        <f>IFERROR(INDEX(PP_Grid[#Data],$DE1568,84),0)</f>
        <v/>
      </c>
      <c r="CJ1568">
        <f>IFERROR(INDEX(PP_Grid[#Data],$DE1568,85),0)</f>
        <v/>
      </c>
      <c r="CK1568">
        <f>IFERROR(INDEX(PP_Grid[#Data],$DE1568,86),0)</f>
        <v/>
      </c>
      <c r="CL1568">
        <f>IFERROR(INDEX(PP_Grid[#Data],$DE1568,87),0)</f>
        <v/>
      </c>
      <c r="CM1568">
        <f>IFERROR(INDEX(PP_Grid[#Data],$DE1568,88),0)</f>
        <v/>
      </c>
      <c r="CN1568">
        <f>IFERROR(INDEX(PP_Grid[#Data],$DE1568,89),0)</f>
        <v/>
      </c>
      <c r="CO1568">
        <f>IFERROR(INDEX(PP_Grid[#Data],$DE1568,90),0)</f>
        <v/>
      </c>
      <c r="CP1568">
        <f>IFERROR(INDEX(PP_Grid[#Data],$DE1568,91),0)</f>
        <v/>
      </c>
      <c r="CQ1568">
        <f>IFERROR(INDEX(PP_Grid[#Data],$DE1568,92),0)</f>
        <v/>
      </c>
      <c r="CR1568">
        <f>IFERROR(INDEX(PP_Grid[#Data],$DE1568,93),0)</f>
        <v/>
      </c>
      <c r="CS1568">
        <f>IFERROR(INDEX(PP_Grid[#Data],$DE1568,94),0)</f>
        <v/>
      </c>
      <c r="CT1568">
        <f>IFERROR(INDEX(PP_Grid[#Data],$DE1568,95),0)</f>
        <v/>
      </c>
      <c r="CU1568">
        <f>IFERROR(INDEX(PP_Grid[#Data],$DE1568,96),0)</f>
        <v/>
      </c>
      <c r="CV1568">
        <f>IFERROR(INDEX(PP_Grid[#Data],$DE1568,97),0)</f>
        <v/>
      </c>
      <c r="CW1568">
        <f>IFERROR(INDEX(PP_Grid[#Data],$DE1568,98),0)</f>
        <v/>
      </c>
      <c r="CX1568">
        <f>IFERROR(INDEX(PP_Grid[#Data],$DE1568,99),0)</f>
        <v/>
      </c>
      <c r="CY1568">
        <f>IFERROR(INDEX(PP_Grid[#Data],$DE1568,100),0)</f>
        <v/>
      </c>
      <c r="CZ1568">
        <f>IFERROR(INDEX(PP_Grid[#Data],$DE1568,101),0)</f>
        <v/>
      </c>
      <c r="DA1568">
        <f>IFERROR(INDEX(PP_Grid[#Data],$DE1568,102),0)</f>
        <v/>
      </c>
      <c r="DB1568">
        <f>IFERROR(INDEX(PP_Grid[#Data],$DE1568,103),0)</f>
        <v/>
      </c>
      <c r="DC1568">
        <f>IFERROR(INDEX(PP_Grid[#Data],$DE1568,104),0)</f>
        <v/>
      </c>
      <c r="DD1568">
        <f>IFERROR(INDEX(PP_Grid[#Data],$DE1568,105),0)</f>
        <v/>
      </c>
      <c r="DE1568" s="7">
        <f>IFERROR(MATCH($B1568,PP_Grid[Intermediate],0),99999)</f>
        <v/>
      </c>
    </row>
    <row r="1569">
      <c r="B1569" t="inlineStr">
        <is>
          <t>使用量(kg)</t>
        </is>
      </c>
      <c r="C1569">
        <f>SUMIFS(M_BOM[RM_Qty_Per_Batch],M_BOM[Intermediate],$B1568,M_BOM[RM_Code],$A1567)</f>
        <v/>
      </c>
      <c r="D1569">
        <f>IFERROR(INDEX(E1569:DD1569,$F$1),"")</f>
        <v/>
      </c>
      <c r="E1569">
        <f>$C1569*E1568</f>
        <v/>
      </c>
      <c r="F1569">
        <f>$C1569*F1568</f>
        <v/>
      </c>
      <c r="G1569">
        <f>$C1569*G1568</f>
        <v/>
      </c>
      <c r="H1569">
        <f>$C1569*H1568</f>
        <v/>
      </c>
      <c r="I1569">
        <f>$C1569*I1568</f>
        <v/>
      </c>
      <c r="J1569">
        <f>$C1569*J1568</f>
        <v/>
      </c>
      <c r="K1569">
        <f>$C1569*K1568</f>
        <v/>
      </c>
      <c r="L1569">
        <f>$C1569*L1568</f>
        <v/>
      </c>
      <c r="M1569">
        <f>$C1569*M1568</f>
        <v/>
      </c>
      <c r="N1569">
        <f>$C1569*N1568</f>
        <v/>
      </c>
      <c r="O1569">
        <f>$C1569*O1568</f>
        <v/>
      </c>
      <c r="P1569">
        <f>$C1569*P1568</f>
        <v/>
      </c>
      <c r="Q1569">
        <f>$C1569*Q1568</f>
        <v/>
      </c>
      <c r="R1569">
        <f>$C1569*R1568</f>
        <v/>
      </c>
      <c r="S1569">
        <f>$C1569*S1568</f>
        <v/>
      </c>
      <c r="T1569">
        <f>$C1569*T1568</f>
        <v/>
      </c>
      <c r="U1569">
        <f>$C1569*U1568</f>
        <v/>
      </c>
      <c r="V1569">
        <f>$C1569*V1568</f>
        <v/>
      </c>
      <c r="W1569">
        <f>$C1569*W1568</f>
        <v/>
      </c>
      <c r="X1569">
        <f>$C1569*X1568</f>
        <v/>
      </c>
      <c r="Y1569">
        <f>$C1569*Y1568</f>
        <v/>
      </c>
      <c r="Z1569">
        <f>$C1569*Z1568</f>
        <v/>
      </c>
      <c r="AA1569">
        <f>$C1569*AA1568</f>
        <v/>
      </c>
      <c r="AB1569">
        <f>$C1569*AB1568</f>
        <v/>
      </c>
      <c r="AC1569">
        <f>$C1569*AC1568</f>
        <v/>
      </c>
      <c r="AD1569">
        <f>$C1569*AD1568</f>
        <v/>
      </c>
      <c r="AE1569">
        <f>$C1569*AE1568</f>
        <v/>
      </c>
      <c r="AF1569">
        <f>$C1569*AF1568</f>
        <v/>
      </c>
      <c r="AG1569">
        <f>$C1569*AG1568</f>
        <v/>
      </c>
      <c r="AH1569">
        <f>$C1569*AH1568</f>
        <v/>
      </c>
      <c r="AI1569">
        <f>$C1569*AI1568</f>
        <v/>
      </c>
      <c r="AJ1569">
        <f>$C1569*AJ1568</f>
        <v/>
      </c>
      <c r="AK1569">
        <f>$C1569*AK1568</f>
        <v/>
      </c>
      <c r="AL1569">
        <f>$C1569*AL1568</f>
        <v/>
      </c>
      <c r="AM1569">
        <f>$C1569*AM1568</f>
        <v/>
      </c>
      <c r="AN1569">
        <f>$C1569*AN1568</f>
        <v/>
      </c>
      <c r="AO1569">
        <f>$C1569*AO1568</f>
        <v/>
      </c>
      <c r="AP1569">
        <f>$C1569*AP1568</f>
        <v/>
      </c>
      <c r="AQ1569">
        <f>$C1569*AQ1568</f>
        <v/>
      </c>
      <c r="AR1569">
        <f>$C1569*AR1568</f>
        <v/>
      </c>
      <c r="AS1569">
        <f>$C1569*AS1568</f>
        <v/>
      </c>
      <c r="AT1569">
        <f>$C1569*AT1568</f>
        <v/>
      </c>
      <c r="AU1569">
        <f>$C1569*AU1568</f>
        <v/>
      </c>
      <c r="AV1569">
        <f>$C1569*AV1568</f>
        <v/>
      </c>
      <c r="AW1569">
        <f>$C1569*AW1568</f>
        <v/>
      </c>
      <c r="AX1569">
        <f>$C1569*AX1568</f>
        <v/>
      </c>
      <c r="AY1569">
        <f>$C1569*AY1568</f>
        <v/>
      </c>
      <c r="AZ1569">
        <f>$C1569*AZ1568</f>
        <v/>
      </c>
      <c r="BA1569">
        <f>$C1569*BA1568</f>
        <v/>
      </c>
      <c r="BB1569">
        <f>$C1569*BB1568</f>
        <v/>
      </c>
      <c r="BC1569">
        <f>$C1569*BC1568</f>
        <v/>
      </c>
      <c r="BD1569">
        <f>$C1569*BD1568</f>
        <v/>
      </c>
      <c r="BE1569">
        <f>$C1569*BE1568</f>
        <v/>
      </c>
      <c r="BF1569">
        <f>$C1569*BF1568</f>
        <v/>
      </c>
      <c r="BG1569">
        <f>$C1569*BG1568</f>
        <v/>
      </c>
      <c r="BH1569">
        <f>$C1569*BH1568</f>
        <v/>
      </c>
      <c r="BI1569">
        <f>$C1569*BI1568</f>
        <v/>
      </c>
      <c r="BJ1569">
        <f>$C1569*BJ1568</f>
        <v/>
      </c>
      <c r="BK1569">
        <f>$C1569*BK1568</f>
        <v/>
      </c>
      <c r="BL1569">
        <f>$C1569*BL1568</f>
        <v/>
      </c>
      <c r="BM1569">
        <f>$C1569*BM1568</f>
        <v/>
      </c>
      <c r="BN1569">
        <f>$C1569*BN1568</f>
        <v/>
      </c>
      <c r="BO1569">
        <f>$C1569*BO1568</f>
        <v/>
      </c>
      <c r="BP1569">
        <f>$C1569*BP1568</f>
        <v/>
      </c>
      <c r="BQ1569">
        <f>$C1569*BQ1568</f>
        <v/>
      </c>
      <c r="BR1569">
        <f>$C1569*BR1568</f>
        <v/>
      </c>
      <c r="BS1569">
        <f>$C1569*BS1568</f>
        <v/>
      </c>
      <c r="BT1569">
        <f>$C1569*BT1568</f>
        <v/>
      </c>
      <c r="BU1569">
        <f>$C1569*BU1568</f>
        <v/>
      </c>
      <c r="BV1569">
        <f>$C1569*BV1568</f>
        <v/>
      </c>
      <c r="BW1569">
        <f>$C1569*BW1568</f>
        <v/>
      </c>
      <c r="BX1569">
        <f>$C1569*BX1568</f>
        <v/>
      </c>
      <c r="BY1569">
        <f>$C1569*BY1568</f>
        <v/>
      </c>
      <c r="BZ1569">
        <f>$C1569*BZ1568</f>
        <v/>
      </c>
      <c r="CA1569">
        <f>$C1569*CA1568</f>
        <v/>
      </c>
      <c r="CB1569">
        <f>$C1569*CB1568</f>
        <v/>
      </c>
      <c r="CC1569">
        <f>$C1569*CC1568</f>
        <v/>
      </c>
      <c r="CD1569">
        <f>$C1569*CD1568</f>
        <v/>
      </c>
      <c r="CE1569">
        <f>$C1569*CE1568</f>
        <v/>
      </c>
      <c r="CF1569">
        <f>$C1569*CF1568</f>
        <v/>
      </c>
      <c r="CG1569">
        <f>$C1569*CG1568</f>
        <v/>
      </c>
      <c r="CH1569">
        <f>$C1569*CH1568</f>
        <v/>
      </c>
      <c r="CI1569">
        <f>$C1569*CI1568</f>
        <v/>
      </c>
      <c r="CJ1569">
        <f>$C1569*CJ1568</f>
        <v/>
      </c>
      <c r="CK1569">
        <f>$C1569*CK1568</f>
        <v/>
      </c>
      <c r="CL1569">
        <f>$C1569*CL1568</f>
        <v/>
      </c>
      <c r="CM1569">
        <f>$C1569*CM1568</f>
        <v/>
      </c>
      <c r="CN1569">
        <f>$C1569*CN1568</f>
        <v/>
      </c>
      <c r="CO1569">
        <f>$C1569*CO1568</f>
        <v/>
      </c>
      <c r="CP1569">
        <f>$C1569*CP1568</f>
        <v/>
      </c>
      <c r="CQ1569">
        <f>$C1569*CQ1568</f>
        <v/>
      </c>
      <c r="CR1569">
        <f>$C1569*CR1568</f>
        <v/>
      </c>
      <c r="CS1569">
        <f>$C1569*CS1568</f>
        <v/>
      </c>
      <c r="CT1569">
        <f>$C1569*CT1568</f>
        <v/>
      </c>
      <c r="CU1569">
        <f>$C1569*CU1568</f>
        <v/>
      </c>
      <c r="CV1569">
        <f>$C1569*CV1568</f>
        <v/>
      </c>
      <c r="CW1569">
        <f>$C1569*CW1568</f>
        <v/>
      </c>
      <c r="CX1569">
        <f>$C1569*CX1568</f>
        <v/>
      </c>
      <c r="CY1569">
        <f>$C1569*CY1568</f>
        <v/>
      </c>
      <c r="CZ1569">
        <f>$C1569*CZ1568</f>
        <v/>
      </c>
      <c r="DA1569">
        <f>$C1569*DA1568</f>
        <v/>
      </c>
      <c r="DB1569">
        <f>$C1569*DB1568</f>
        <v/>
      </c>
      <c r="DC1569">
        <f>$C1569*DC1568</f>
        <v/>
      </c>
      <c r="DD1569">
        <f>$C1569*DD1568</f>
        <v/>
      </c>
    </row>
    <row r="1570">
      <c r="B1570" s="4" t="inlineStr">
        <is>
          <t>合計使用量(kg)/週</t>
        </is>
      </c>
      <c r="D1570" s="22">
        <f>IFERROR(INDEX(E1570:DD1570,$F$1),"")</f>
        <v/>
      </c>
      <c r="E1570">
        <f>'Grid_Requirement'!B15</f>
        <v/>
      </c>
      <c r="F1570">
        <f>'Grid_Requirement'!C15</f>
        <v/>
      </c>
      <c r="G1570">
        <f>'Grid_Requirement'!D15</f>
        <v/>
      </c>
      <c r="H1570">
        <f>'Grid_Requirement'!E15</f>
        <v/>
      </c>
      <c r="I1570">
        <f>'Grid_Requirement'!F15</f>
        <v/>
      </c>
      <c r="J1570">
        <f>'Grid_Requirement'!G15</f>
        <v/>
      </c>
      <c r="K1570">
        <f>'Grid_Requirement'!H15</f>
        <v/>
      </c>
      <c r="L1570">
        <f>'Grid_Requirement'!I15</f>
        <v/>
      </c>
      <c r="M1570">
        <f>'Grid_Requirement'!J15</f>
        <v/>
      </c>
      <c r="N1570">
        <f>'Grid_Requirement'!K15</f>
        <v/>
      </c>
      <c r="O1570">
        <f>'Grid_Requirement'!L15</f>
        <v/>
      </c>
      <c r="P1570">
        <f>'Grid_Requirement'!M15</f>
        <v/>
      </c>
      <c r="Q1570">
        <f>'Grid_Requirement'!N15</f>
        <v/>
      </c>
      <c r="R1570">
        <f>'Grid_Requirement'!O15</f>
        <v/>
      </c>
      <c r="S1570">
        <f>'Grid_Requirement'!P15</f>
        <v/>
      </c>
      <c r="T1570">
        <f>'Grid_Requirement'!Q15</f>
        <v/>
      </c>
      <c r="U1570">
        <f>'Grid_Requirement'!R15</f>
        <v/>
      </c>
      <c r="V1570">
        <f>'Grid_Requirement'!S15</f>
        <v/>
      </c>
      <c r="W1570">
        <f>'Grid_Requirement'!T15</f>
        <v/>
      </c>
      <c r="X1570">
        <f>'Grid_Requirement'!U15</f>
        <v/>
      </c>
      <c r="Y1570">
        <f>'Grid_Requirement'!V15</f>
        <v/>
      </c>
      <c r="Z1570">
        <f>'Grid_Requirement'!W15</f>
        <v/>
      </c>
      <c r="AA1570">
        <f>'Grid_Requirement'!X15</f>
        <v/>
      </c>
      <c r="AB1570">
        <f>'Grid_Requirement'!Y15</f>
        <v/>
      </c>
      <c r="AC1570">
        <f>'Grid_Requirement'!Z15</f>
        <v/>
      </c>
      <c r="AD1570">
        <f>'Grid_Requirement'!AA15</f>
        <v/>
      </c>
      <c r="AE1570">
        <f>'Grid_Requirement'!AB15</f>
        <v/>
      </c>
      <c r="AF1570">
        <f>'Grid_Requirement'!AC15</f>
        <v/>
      </c>
      <c r="AG1570">
        <f>'Grid_Requirement'!AD15</f>
        <v/>
      </c>
      <c r="AH1570">
        <f>'Grid_Requirement'!AE15</f>
        <v/>
      </c>
      <c r="AI1570">
        <f>'Grid_Requirement'!AF15</f>
        <v/>
      </c>
      <c r="AJ1570">
        <f>'Grid_Requirement'!AG15</f>
        <v/>
      </c>
      <c r="AK1570">
        <f>'Grid_Requirement'!AH15</f>
        <v/>
      </c>
      <c r="AL1570">
        <f>'Grid_Requirement'!AI15</f>
        <v/>
      </c>
      <c r="AM1570">
        <f>'Grid_Requirement'!AJ15</f>
        <v/>
      </c>
      <c r="AN1570">
        <f>'Grid_Requirement'!AK15</f>
        <v/>
      </c>
      <c r="AO1570">
        <f>'Grid_Requirement'!AL15</f>
        <v/>
      </c>
      <c r="AP1570">
        <f>'Grid_Requirement'!AM15</f>
        <v/>
      </c>
      <c r="AQ1570">
        <f>'Grid_Requirement'!AN15</f>
        <v/>
      </c>
      <c r="AR1570">
        <f>'Grid_Requirement'!AO15</f>
        <v/>
      </c>
      <c r="AS1570">
        <f>'Grid_Requirement'!AP15</f>
        <v/>
      </c>
      <c r="AT1570">
        <f>'Grid_Requirement'!AQ15</f>
        <v/>
      </c>
      <c r="AU1570">
        <f>'Grid_Requirement'!AR15</f>
        <v/>
      </c>
      <c r="AV1570">
        <f>'Grid_Requirement'!AS15</f>
        <v/>
      </c>
      <c r="AW1570">
        <f>'Grid_Requirement'!AT15</f>
        <v/>
      </c>
      <c r="AX1570">
        <f>'Grid_Requirement'!AU15</f>
        <v/>
      </c>
      <c r="AY1570">
        <f>'Grid_Requirement'!AV15</f>
        <v/>
      </c>
      <c r="AZ1570">
        <f>'Grid_Requirement'!AW15</f>
        <v/>
      </c>
      <c r="BA1570">
        <f>'Grid_Requirement'!AX15</f>
        <v/>
      </c>
      <c r="BB1570">
        <f>'Grid_Requirement'!AY15</f>
        <v/>
      </c>
      <c r="BC1570">
        <f>'Grid_Requirement'!AZ15</f>
        <v/>
      </c>
      <c r="BD1570">
        <f>'Grid_Requirement'!BA15</f>
        <v/>
      </c>
      <c r="BE1570">
        <f>'Grid_Requirement'!BB15</f>
        <v/>
      </c>
      <c r="BF1570">
        <f>'Grid_Requirement'!BC15</f>
        <v/>
      </c>
      <c r="BG1570">
        <f>'Grid_Requirement'!BD15</f>
        <v/>
      </c>
      <c r="BH1570">
        <f>'Grid_Requirement'!BE15</f>
        <v/>
      </c>
      <c r="BI1570">
        <f>'Grid_Requirement'!BF15</f>
        <v/>
      </c>
      <c r="BJ1570">
        <f>'Grid_Requirement'!BG15</f>
        <v/>
      </c>
      <c r="BK1570">
        <f>'Grid_Requirement'!BH15</f>
        <v/>
      </c>
      <c r="BL1570">
        <f>'Grid_Requirement'!BI15</f>
        <v/>
      </c>
      <c r="BM1570">
        <f>'Grid_Requirement'!BJ15</f>
        <v/>
      </c>
      <c r="BN1570">
        <f>'Grid_Requirement'!BK15</f>
        <v/>
      </c>
      <c r="BO1570">
        <f>'Grid_Requirement'!BL15</f>
        <v/>
      </c>
      <c r="BP1570">
        <f>'Grid_Requirement'!BM15</f>
        <v/>
      </c>
      <c r="BQ1570">
        <f>'Grid_Requirement'!BN15</f>
        <v/>
      </c>
      <c r="BR1570">
        <f>'Grid_Requirement'!BO15</f>
        <v/>
      </c>
      <c r="BS1570">
        <f>'Grid_Requirement'!BP15</f>
        <v/>
      </c>
      <c r="BT1570">
        <f>'Grid_Requirement'!BQ15</f>
        <v/>
      </c>
      <c r="BU1570">
        <f>'Grid_Requirement'!BR15</f>
        <v/>
      </c>
      <c r="BV1570">
        <f>'Grid_Requirement'!BS15</f>
        <v/>
      </c>
      <c r="BW1570">
        <f>'Grid_Requirement'!BT15</f>
        <v/>
      </c>
      <c r="BX1570">
        <f>'Grid_Requirement'!BU15</f>
        <v/>
      </c>
      <c r="BY1570">
        <f>'Grid_Requirement'!BV15</f>
        <v/>
      </c>
      <c r="BZ1570">
        <f>'Grid_Requirement'!BW15</f>
        <v/>
      </c>
      <c r="CA1570">
        <f>'Grid_Requirement'!BX15</f>
        <v/>
      </c>
      <c r="CB1570">
        <f>'Grid_Requirement'!BY15</f>
        <v/>
      </c>
      <c r="CC1570">
        <f>'Grid_Requirement'!BZ15</f>
        <v/>
      </c>
      <c r="CD1570">
        <f>'Grid_Requirement'!CA15</f>
        <v/>
      </c>
      <c r="CE1570">
        <f>'Grid_Requirement'!CB15</f>
        <v/>
      </c>
      <c r="CF1570">
        <f>'Grid_Requirement'!CC15</f>
        <v/>
      </c>
      <c r="CG1570">
        <f>'Grid_Requirement'!CD15</f>
        <v/>
      </c>
      <c r="CH1570">
        <f>'Grid_Requirement'!CE15</f>
        <v/>
      </c>
      <c r="CI1570">
        <f>'Grid_Requirement'!CF15</f>
        <v/>
      </c>
      <c r="CJ1570">
        <f>'Grid_Requirement'!CG15</f>
        <v/>
      </c>
      <c r="CK1570">
        <f>'Grid_Requirement'!CH15</f>
        <v/>
      </c>
      <c r="CL1570">
        <f>'Grid_Requirement'!CI15</f>
        <v/>
      </c>
      <c r="CM1570">
        <f>'Grid_Requirement'!CJ15</f>
        <v/>
      </c>
      <c r="CN1570">
        <f>'Grid_Requirement'!CK15</f>
        <v/>
      </c>
      <c r="CO1570">
        <f>'Grid_Requirement'!CL15</f>
        <v/>
      </c>
      <c r="CP1570">
        <f>'Grid_Requirement'!CM15</f>
        <v/>
      </c>
      <c r="CQ1570">
        <f>'Grid_Requirement'!CN15</f>
        <v/>
      </c>
      <c r="CR1570">
        <f>'Grid_Requirement'!CO15</f>
        <v/>
      </c>
      <c r="CS1570">
        <f>'Grid_Requirement'!CP15</f>
        <v/>
      </c>
      <c r="CT1570">
        <f>'Grid_Requirement'!CQ15</f>
        <v/>
      </c>
      <c r="CU1570">
        <f>'Grid_Requirement'!CR15</f>
        <v/>
      </c>
      <c r="CV1570">
        <f>'Grid_Requirement'!CS15</f>
        <v/>
      </c>
      <c r="CW1570">
        <f>'Grid_Requirement'!CT15</f>
        <v/>
      </c>
      <c r="CX1570">
        <f>'Grid_Requirement'!CU15</f>
        <v/>
      </c>
      <c r="CY1570">
        <f>'Grid_Requirement'!CV15</f>
        <v/>
      </c>
      <c r="CZ1570">
        <f>'Grid_Requirement'!CW15</f>
        <v/>
      </c>
      <c r="DA1570">
        <f>'Grid_Requirement'!CX15</f>
        <v/>
      </c>
      <c r="DB1570">
        <f>'Grid_Requirement'!CY15</f>
        <v/>
      </c>
      <c r="DC1570">
        <f>'Grid_Requirement'!CZ15</f>
        <v/>
      </c>
      <c r="DD1570">
        <f>'Grid_Requirement'!DA15</f>
        <v/>
      </c>
    </row>
    <row r="1571">
      <c r="B1571" s="23" t="inlineStr">
        <is>
          <t>（在庫・入荷予定はDashboard参照）</t>
        </is>
      </c>
    </row>
    <row r="1573">
      <c r="A1573" s="21" t="inlineStr">
        <is>
          <t>PP Film</t>
        </is>
      </c>
      <c r="B1573" s="21" t="inlineStr">
        <is>
          <t>PP Film</t>
        </is>
      </c>
      <c r="C1573" s="21" t="n"/>
      <c r="D1573" s="21" t="n"/>
      <c r="E1573" s="21" t="n"/>
      <c r="F1573" s="21" t="n"/>
      <c r="G1573" s="21" t="n"/>
      <c r="H1573" s="21" t="n"/>
      <c r="I1573" s="21" t="n"/>
      <c r="J1573" s="21" t="n"/>
      <c r="K1573" s="21" t="n"/>
      <c r="L1573" s="21" t="n"/>
      <c r="M1573" s="21" t="n"/>
      <c r="N1573" s="21" t="n"/>
      <c r="O1573" s="21" t="n"/>
      <c r="P1573" s="21" t="n"/>
      <c r="Q1573" s="21" t="n"/>
      <c r="R1573" s="21" t="n"/>
      <c r="S1573" s="21" t="n"/>
      <c r="T1573" s="21" t="n"/>
      <c r="U1573" s="21" t="n"/>
      <c r="V1573" s="21" t="n"/>
      <c r="W1573" s="21" t="n"/>
      <c r="X1573" s="21" t="n"/>
      <c r="Y1573" s="21" t="n"/>
      <c r="Z1573" s="21" t="n"/>
      <c r="AA1573" s="21" t="n"/>
      <c r="AB1573" s="21" t="n"/>
      <c r="AC1573" s="21" t="n"/>
      <c r="AD1573" s="21" t="n"/>
      <c r="AE1573" s="21" t="n"/>
      <c r="AF1573" s="21" t="n"/>
      <c r="AG1573" s="21" t="n"/>
      <c r="AH1573" s="21" t="n"/>
      <c r="AI1573" s="21" t="n"/>
      <c r="AJ1573" s="21" t="n"/>
      <c r="AK1573" s="21" t="n"/>
      <c r="AL1573" s="21" t="n"/>
      <c r="AM1573" s="21" t="n"/>
      <c r="AN1573" s="21" t="n"/>
      <c r="AO1573" s="21" t="n"/>
      <c r="AP1573" s="21" t="n"/>
      <c r="AQ1573" s="21" t="n"/>
      <c r="AR1573" s="21" t="n"/>
      <c r="AS1573" s="21" t="n"/>
      <c r="AT1573" s="21" t="n"/>
      <c r="AU1573" s="21" t="n"/>
      <c r="AV1573" s="21" t="n"/>
      <c r="AW1573" s="21" t="n"/>
      <c r="AX1573" s="21" t="n"/>
      <c r="AY1573" s="21" t="n"/>
      <c r="AZ1573" s="21" t="n"/>
      <c r="BA1573" s="21" t="n"/>
      <c r="BB1573" s="21" t="n"/>
      <c r="BC1573" s="21" t="n"/>
      <c r="BD1573" s="21" t="n"/>
      <c r="BE1573" s="21" t="n"/>
      <c r="BF1573" s="21" t="n"/>
      <c r="BG1573" s="21" t="n"/>
      <c r="BH1573" s="21" t="n"/>
      <c r="BI1573" s="21" t="n"/>
      <c r="BJ1573" s="21" t="n"/>
      <c r="BK1573" s="21" t="n"/>
      <c r="BL1573" s="21" t="n"/>
      <c r="BM1573" s="21" t="n"/>
      <c r="BN1573" s="21" t="n"/>
      <c r="BO1573" s="21" t="n"/>
      <c r="BP1573" s="21" t="n"/>
      <c r="BQ1573" s="21" t="n"/>
      <c r="BR1573" s="21" t="n"/>
      <c r="BS1573" s="21" t="n"/>
      <c r="BT1573" s="21" t="n"/>
      <c r="BU1573" s="21" t="n"/>
      <c r="BV1573" s="21" t="n"/>
      <c r="BW1573" s="21" t="n"/>
      <c r="BX1573" s="21" t="n"/>
      <c r="BY1573" s="21" t="n"/>
      <c r="BZ1573" s="21" t="n"/>
      <c r="CA1573" s="21" t="n"/>
      <c r="CB1573" s="21" t="n"/>
      <c r="CC1573" s="21" t="n"/>
      <c r="CD1573" s="21" t="n"/>
      <c r="CE1573" s="21" t="n"/>
      <c r="CF1573" s="21" t="n"/>
      <c r="CG1573" s="21" t="n"/>
      <c r="CH1573" s="21" t="n"/>
      <c r="CI1573" s="21" t="n"/>
      <c r="CJ1573" s="21" t="n"/>
      <c r="CK1573" s="21" t="n"/>
      <c r="CL1573" s="21" t="n"/>
      <c r="CM1573" s="21" t="n"/>
      <c r="CN1573" s="21" t="n"/>
      <c r="CO1573" s="21" t="n"/>
      <c r="CP1573" s="21" t="n"/>
      <c r="CQ1573" s="21" t="n"/>
      <c r="CR1573" s="21" t="n"/>
      <c r="CS1573" s="21" t="n"/>
      <c r="CT1573" s="21" t="n"/>
      <c r="CU1573" s="21" t="n"/>
      <c r="CV1573" s="21" t="n"/>
      <c r="CW1573" s="21" t="n"/>
      <c r="CX1573" s="21" t="n"/>
      <c r="CY1573" s="21" t="n"/>
      <c r="CZ1573" s="21" t="n"/>
      <c r="DA1573" s="21" t="n"/>
      <c r="DB1573" s="21" t="n"/>
      <c r="DC1573" s="21" t="n"/>
      <c r="DD1573" s="21" t="n"/>
    </row>
    <row r="1574">
      <c r="B1574" t="inlineStr">
        <is>
          <t>PP Film</t>
        </is>
      </c>
      <c r="C1574" t="inlineStr">
        <is>
          <t>No. of batches</t>
        </is>
      </c>
      <c r="D1574">
        <f>IFERROR(INDEX(E1574:DD1574,$F$1),"")</f>
        <v/>
      </c>
      <c r="E1574">
        <f>IFERROR(INDEX(PP_Grid[#Data],$DE1574,2),0)</f>
        <v/>
      </c>
      <c r="F1574">
        <f>IFERROR(INDEX(PP_Grid[#Data],$DE1574,3),0)</f>
        <v/>
      </c>
      <c r="G1574">
        <f>IFERROR(INDEX(PP_Grid[#Data],$DE1574,4),0)</f>
        <v/>
      </c>
      <c r="H1574">
        <f>IFERROR(INDEX(PP_Grid[#Data],$DE1574,5),0)</f>
        <v/>
      </c>
      <c r="I1574">
        <f>IFERROR(INDEX(PP_Grid[#Data],$DE1574,6),0)</f>
        <v/>
      </c>
      <c r="J1574">
        <f>IFERROR(INDEX(PP_Grid[#Data],$DE1574,7),0)</f>
        <v/>
      </c>
      <c r="K1574">
        <f>IFERROR(INDEX(PP_Grid[#Data],$DE1574,8),0)</f>
        <v/>
      </c>
      <c r="L1574">
        <f>IFERROR(INDEX(PP_Grid[#Data],$DE1574,9),0)</f>
        <v/>
      </c>
      <c r="M1574">
        <f>IFERROR(INDEX(PP_Grid[#Data],$DE1574,10),0)</f>
        <v/>
      </c>
      <c r="N1574">
        <f>IFERROR(INDEX(PP_Grid[#Data],$DE1574,11),0)</f>
        <v/>
      </c>
      <c r="O1574">
        <f>IFERROR(INDEX(PP_Grid[#Data],$DE1574,12),0)</f>
        <v/>
      </c>
      <c r="P1574">
        <f>IFERROR(INDEX(PP_Grid[#Data],$DE1574,13),0)</f>
        <v/>
      </c>
      <c r="Q1574">
        <f>IFERROR(INDEX(PP_Grid[#Data],$DE1574,14),0)</f>
        <v/>
      </c>
      <c r="R1574">
        <f>IFERROR(INDEX(PP_Grid[#Data],$DE1574,15),0)</f>
        <v/>
      </c>
      <c r="S1574">
        <f>IFERROR(INDEX(PP_Grid[#Data],$DE1574,16),0)</f>
        <v/>
      </c>
      <c r="T1574">
        <f>IFERROR(INDEX(PP_Grid[#Data],$DE1574,17),0)</f>
        <v/>
      </c>
      <c r="U1574">
        <f>IFERROR(INDEX(PP_Grid[#Data],$DE1574,18),0)</f>
        <v/>
      </c>
      <c r="V1574">
        <f>IFERROR(INDEX(PP_Grid[#Data],$DE1574,19),0)</f>
        <v/>
      </c>
      <c r="W1574">
        <f>IFERROR(INDEX(PP_Grid[#Data],$DE1574,20),0)</f>
        <v/>
      </c>
      <c r="X1574">
        <f>IFERROR(INDEX(PP_Grid[#Data],$DE1574,21),0)</f>
        <v/>
      </c>
      <c r="Y1574">
        <f>IFERROR(INDEX(PP_Grid[#Data],$DE1574,22),0)</f>
        <v/>
      </c>
      <c r="Z1574">
        <f>IFERROR(INDEX(PP_Grid[#Data],$DE1574,23),0)</f>
        <v/>
      </c>
      <c r="AA1574">
        <f>IFERROR(INDEX(PP_Grid[#Data],$DE1574,24),0)</f>
        <v/>
      </c>
      <c r="AB1574">
        <f>IFERROR(INDEX(PP_Grid[#Data],$DE1574,25),0)</f>
        <v/>
      </c>
      <c r="AC1574">
        <f>IFERROR(INDEX(PP_Grid[#Data],$DE1574,26),0)</f>
        <v/>
      </c>
      <c r="AD1574">
        <f>IFERROR(INDEX(PP_Grid[#Data],$DE1574,27),0)</f>
        <v/>
      </c>
      <c r="AE1574">
        <f>IFERROR(INDEX(PP_Grid[#Data],$DE1574,28),0)</f>
        <v/>
      </c>
      <c r="AF1574">
        <f>IFERROR(INDEX(PP_Grid[#Data],$DE1574,29),0)</f>
        <v/>
      </c>
      <c r="AG1574">
        <f>IFERROR(INDEX(PP_Grid[#Data],$DE1574,30),0)</f>
        <v/>
      </c>
      <c r="AH1574">
        <f>IFERROR(INDEX(PP_Grid[#Data],$DE1574,31),0)</f>
        <v/>
      </c>
      <c r="AI1574">
        <f>IFERROR(INDEX(PP_Grid[#Data],$DE1574,32),0)</f>
        <v/>
      </c>
      <c r="AJ1574">
        <f>IFERROR(INDEX(PP_Grid[#Data],$DE1574,33),0)</f>
        <v/>
      </c>
      <c r="AK1574">
        <f>IFERROR(INDEX(PP_Grid[#Data],$DE1574,34),0)</f>
        <v/>
      </c>
      <c r="AL1574">
        <f>IFERROR(INDEX(PP_Grid[#Data],$DE1574,35),0)</f>
        <v/>
      </c>
      <c r="AM1574">
        <f>IFERROR(INDEX(PP_Grid[#Data],$DE1574,36),0)</f>
        <v/>
      </c>
      <c r="AN1574">
        <f>IFERROR(INDEX(PP_Grid[#Data],$DE1574,37),0)</f>
        <v/>
      </c>
      <c r="AO1574">
        <f>IFERROR(INDEX(PP_Grid[#Data],$DE1574,38),0)</f>
        <v/>
      </c>
      <c r="AP1574">
        <f>IFERROR(INDEX(PP_Grid[#Data],$DE1574,39),0)</f>
        <v/>
      </c>
      <c r="AQ1574">
        <f>IFERROR(INDEX(PP_Grid[#Data],$DE1574,40),0)</f>
        <v/>
      </c>
      <c r="AR1574">
        <f>IFERROR(INDEX(PP_Grid[#Data],$DE1574,41),0)</f>
        <v/>
      </c>
      <c r="AS1574">
        <f>IFERROR(INDEX(PP_Grid[#Data],$DE1574,42),0)</f>
        <v/>
      </c>
      <c r="AT1574">
        <f>IFERROR(INDEX(PP_Grid[#Data],$DE1574,43),0)</f>
        <v/>
      </c>
      <c r="AU1574">
        <f>IFERROR(INDEX(PP_Grid[#Data],$DE1574,44),0)</f>
        <v/>
      </c>
      <c r="AV1574">
        <f>IFERROR(INDEX(PP_Grid[#Data],$DE1574,45),0)</f>
        <v/>
      </c>
      <c r="AW1574">
        <f>IFERROR(INDEX(PP_Grid[#Data],$DE1574,46),0)</f>
        <v/>
      </c>
      <c r="AX1574">
        <f>IFERROR(INDEX(PP_Grid[#Data],$DE1574,47),0)</f>
        <v/>
      </c>
      <c r="AY1574">
        <f>IFERROR(INDEX(PP_Grid[#Data],$DE1574,48),0)</f>
        <v/>
      </c>
      <c r="AZ1574">
        <f>IFERROR(INDEX(PP_Grid[#Data],$DE1574,49),0)</f>
        <v/>
      </c>
      <c r="BA1574">
        <f>IFERROR(INDEX(PP_Grid[#Data],$DE1574,50),0)</f>
        <v/>
      </c>
      <c r="BB1574">
        <f>IFERROR(INDEX(PP_Grid[#Data],$DE1574,51),0)</f>
        <v/>
      </c>
      <c r="BC1574">
        <f>IFERROR(INDEX(PP_Grid[#Data],$DE1574,52),0)</f>
        <v/>
      </c>
      <c r="BD1574">
        <f>IFERROR(INDEX(PP_Grid[#Data],$DE1574,53),0)</f>
        <v/>
      </c>
      <c r="BE1574">
        <f>IFERROR(INDEX(PP_Grid[#Data],$DE1574,54),0)</f>
        <v/>
      </c>
      <c r="BF1574">
        <f>IFERROR(INDEX(PP_Grid[#Data],$DE1574,55),0)</f>
        <v/>
      </c>
      <c r="BG1574">
        <f>IFERROR(INDEX(PP_Grid[#Data],$DE1574,56),0)</f>
        <v/>
      </c>
      <c r="BH1574">
        <f>IFERROR(INDEX(PP_Grid[#Data],$DE1574,57),0)</f>
        <v/>
      </c>
      <c r="BI1574">
        <f>IFERROR(INDEX(PP_Grid[#Data],$DE1574,58),0)</f>
        <v/>
      </c>
      <c r="BJ1574">
        <f>IFERROR(INDEX(PP_Grid[#Data],$DE1574,59),0)</f>
        <v/>
      </c>
      <c r="BK1574">
        <f>IFERROR(INDEX(PP_Grid[#Data],$DE1574,60),0)</f>
        <v/>
      </c>
      <c r="BL1574">
        <f>IFERROR(INDEX(PP_Grid[#Data],$DE1574,61),0)</f>
        <v/>
      </c>
      <c r="BM1574">
        <f>IFERROR(INDEX(PP_Grid[#Data],$DE1574,62),0)</f>
        <v/>
      </c>
      <c r="BN1574">
        <f>IFERROR(INDEX(PP_Grid[#Data],$DE1574,63),0)</f>
        <v/>
      </c>
      <c r="BO1574">
        <f>IFERROR(INDEX(PP_Grid[#Data],$DE1574,64),0)</f>
        <v/>
      </c>
      <c r="BP1574">
        <f>IFERROR(INDEX(PP_Grid[#Data],$DE1574,65),0)</f>
        <v/>
      </c>
      <c r="BQ1574">
        <f>IFERROR(INDEX(PP_Grid[#Data],$DE1574,66),0)</f>
        <v/>
      </c>
      <c r="BR1574">
        <f>IFERROR(INDEX(PP_Grid[#Data],$DE1574,67),0)</f>
        <v/>
      </c>
      <c r="BS1574">
        <f>IFERROR(INDEX(PP_Grid[#Data],$DE1574,68),0)</f>
        <v/>
      </c>
      <c r="BT1574">
        <f>IFERROR(INDEX(PP_Grid[#Data],$DE1574,69),0)</f>
        <v/>
      </c>
      <c r="BU1574">
        <f>IFERROR(INDEX(PP_Grid[#Data],$DE1574,70),0)</f>
        <v/>
      </c>
      <c r="BV1574">
        <f>IFERROR(INDEX(PP_Grid[#Data],$DE1574,71),0)</f>
        <v/>
      </c>
      <c r="BW1574">
        <f>IFERROR(INDEX(PP_Grid[#Data],$DE1574,72),0)</f>
        <v/>
      </c>
      <c r="BX1574">
        <f>IFERROR(INDEX(PP_Grid[#Data],$DE1574,73),0)</f>
        <v/>
      </c>
      <c r="BY1574">
        <f>IFERROR(INDEX(PP_Grid[#Data],$DE1574,74),0)</f>
        <v/>
      </c>
      <c r="BZ1574">
        <f>IFERROR(INDEX(PP_Grid[#Data],$DE1574,75),0)</f>
        <v/>
      </c>
      <c r="CA1574">
        <f>IFERROR(INDEX(PP_Grid[#Data],$DE1574,76),0)</f>
        <v/>
      </c>
      <c r="CB1574">
        <f>IFERROR(INDEX(PP_Grid[#Data],$DE1574,77),0)</f>
        <v/>
      </c>
      <c r="CC1574">
        <f>IFERROR(INDEX(PP_Grid[#Data],$DE1574,78),0)</f>
        <v/>
      </c>
      <c r="CD1574">
        <f>IFERROR(INDEX(PP_Grid[#Data],$DE1574,79),0)</f>
        <v/>
      </c>
      <c r="CE1574">
        <f>IFERROR(INDEX(PP_Grid[#Data],$DE1574,80),0)</f>
        <v/>
      </c>
      <c r="CF1574">
        <f>IFERROR(INDEX(PP_Grid[#Data],$DE1574,81),0)</f>
        <v/>
      </c>
      <c r="CG1574">
        <f>IFERROR(INDEX(PP_Grid[#Data],$DE1574,82),0)</f>
        <v/>
      </c>
      <c r="CH1574">
        <f>IFERROR(INDEX(PP_Grid[#Data],$DE1574,83),0)</f>
        <v/>
      </c>
      <c r="CI1574">
        <f>IFERROR(INDEX(PP_Grid[#Data],$DE1574,84),0)</f>
        <v/>
      </c>
      <c r="CJ1574">
        <f>IFERROR(INDEX(PP_Grid[#Data],$DE1574,85),0)</f>
        <v/>
      </c>
      <c r="CK1574">
        <f>IFERROR(INDEX(PP_Grid[#Data],$DE1574,86),0)</f>
        <v/>
      </c>
      <c r="CL1574">
        <f>IFERROR(INDEX(PP_Grid[#Data],$DE1574,87),0)</f>
        <v/>
      </c>
      <c r="CM1574">
        <f>IFERROR(INDEX(PP_Grid[#Data],$DE1574,88),0)</f>
        <v/>
      </c>
      <c r="CN1574">
        <f>IFERROR(INDEX(PP_Grid[#Data],$DE1574,89),0)</f>
        <v/>
      </c>
      <c r="CO1574">
        <f>IFERROR(INDEX(PP_Grid[#Data],$DE1574,90),0)</f>
        <v/>
      </c>
      <c r="CP1574">
        <f>IFERROR(INDEX(PP_Grid[#Data],$DE1574,91),0)</f>
        <v/>
      </c>
      <c r="CQ1574">
        <f>IFERROR(INDEX(PP_Grid[#Data],$DE1574,92),0)</f>
        <v/>
      </c>
      <c r="CR1574">
        <f>IFERROR(INDEX(PP_Grid[#Data],$DE1574,93),0)</f>
        <v/>
      </c>
      <c r="CS1574">
        <f>IFERROR(INDEX(PP_Grid[#Data],$DE1574,94),0)</f>
        <v/>
      </c>
      <c r="CT1574">
        <f>IFERROR(INDEX(PP_Grid[#Data],$DE1574,95),0)</f>
        <v/>
      </c>
      <c r="CU1574">
        <f>IFERROR(INDEX(PP_Grid[#Data],$DE1574,96),0)</f>
        <v/>
      </c>
      <c r="CV1574">
        <f>IFERROR(INDEX(PP_Grid[#Data],$DE1574,97),0)</f>
        <v/>
      </c>
      <c r="CW1574">
        <f>IFERROR(INDEX(PP_Grid[#Data],$DE1574,98),0)</f>
        <v/>
      </c>
      <c r="CX1574">
        <f>IFERROR(INDEX(PP_Grid[#Data],$DE1574,99),0)</f>
        <v/>
      </c>
      <c r="CY1574">
        <f>IFERROR(INDEX(PP_Grid[#Data],$DE1574,100),0)</f>
        <v/>
      </c>
      <c r="CZ1574">
        <f>IFERROR(INDEX(PP_Grid[#Data],$DE1574,101),0)</f>
        <v/>
      </c>
      <c r="DA1574">
        <f>IFERROR(INDEX(PP_Grid[#Data],$DE1574,102),0)</f>
        <v/>
      </c>
      <c r="DB1574">
        <f>IFERROR(INDEX(PP_Grid[#Data],$DE1574,103),0)</f>
        <v/>
      </c>
      <c r="DC1574">
        <f>IFERROR(INDEX(PP_Grid[#Data],$DE1574,104),0)</f>
        <v/>
      </c>
      <c r="DD1574">
        <f>IFERROR(INDEX(PP_Grid[#Data],$DE1574,105),0)</f>
        <v/>
      </c>
      <c r="DE1574" s="7">
        <f>IFERROR(MATCH($B1574,PP_Grid[Intermediate],0),99999)</f>
        <v/>
      </c>
    </row>
    <row r="1575">
      <c r="B1575" t="inlineStr">
        <is>
          <t>使用量(kg)</t>
        </is>
      </c>
      <c r="C1575">
        <f>SUMIFS(M_BOM[RM_Qty_Per_Batch],M_BOM[Intermediate],$B1574,M_BOM[RM_Code],$A1573)</f>
        <v/>
      </c>
      <c r="D1575">
        <f>IFERROR(INDEX(E1575:DD1575,$F$1),"")</f>
        <v/>
      </c>
      <c r="E1575">
        <f>$C1575*E1574</f>
        <v/>
      </c>
      <c r="F1575">
        <f>$C1575*F1574</f>
        <v/>
      </c>
      <c r="G1575">
        <f>$C1575*G1574</f>
        <v/>
      </c>
      <c r="H1575">
        <f>$C1575*H1574</f>
        <v/>
      </c>
      <c r="I1575">
        <f>$C1575*I1574</f>
        <v/>
      </c>
      <c r="J1575">
        <f>$C1575*J1574</f>
        <v/>
      </c>
      <c r="K1575">
        <f>$C1575*K1574</f>
        <v/>
      </c>
      <c r="L1575">
        <f>$C1575*L1574</f>
        <v/>
      </c>
      <c r="M1575">
        <f>$C1575*M1574</f>
        <v/>
      </c>
      <c r="N1575">
        <f>$C1575*N1574</f>
        <v/>
      </c>
      <c r="O1575">
        <f>$C1575*O1574</f>
        <v/>
      </c>
      <c r="P1575">
        <f>$C1575*P1574</f>
        <v/>
      </c>
      <c r="Q1575">
        <f>$C1575*Q1574</f>
        <v/>
      </c>
      <c r="R1575">
        <f>$C1575*R1574</f>
        <v/>
      </c>
      <c r="S1575">
        <f>$C1575*S1574</f>
        <v/>
      </c>
      <c r="T1575">
        <f>$C1575*T1574</f>
        <v/>
      </c>
      <c r="U1575">
        <f>$C1575*U1574</f>
        <v/>
      </c>
      <c r="V1575">
        <f>$C1575*V1574</f>
        <v/>
      </c>
      <c r="W1575">
        <f>$C1575*W1574</f>
        <v/>
      </c>
      <c r="X1575">
        <f>$C1575*X1574</f>
        <v/>
      </c>
      <c r="Y1575">
        <f>$C1575*Y1574</f>
        <v/>
      </c>
      <c r="Z1575">
        <f>$C1575*Z1574</f>
        <v/>
      </c>
      <c r="AA1575">
        <f>$C1575*AA1574</f>
        <v/>
      </c>
      <c r="AB1575">
        <f>$C1575*AB1574</f>
        <v/>
      </c>
      <c r="AC1575">
        <f>$C1575*AC1574</f>
        <v/>
      </c>
      <c r="AD1575">
        <f>$C1575*AD1574</f>
        <v/>
      </c>
      <c r="AE1575">
        <f>$C1575*AE1574</f>
        <v/>
      </c>
      <c r="AF1575">
        <f>$C1575*AF1574</f>
        <v/>
      </c>
      <c r="AG1575">
        <f>$C1575*AG1574</f>
        <v/>
      </c>
      <c r="AH1575">
        <f>$C1575*AH1574</f>
        <v/>
      </c>
      <c r="AI1575">
        <f>$C1575*AI1574</f>
        <v/>
      </c>
      <c r="AJ1575">
        <f>$C1575*AJ1574</f>
        <v/>
      </c>
      <c r="AK1575">
        <f>$C1575*AK1574</f>
        <v/>
      </c>
      <c r="AL1575">
        <f>$C1575*AL1574</f>
        <v/>
      </c>
      <c r="AM1575">
        <f>$C1575*AM1574</f>
        <v/>
      </c>
      <c r="AN1575">
        <f>$C1575*AN1574</f>
        <v/>
      </c>
      <c r="AO1575">
        <f>$C1575*AO1574</f>
        <v/>
      </c>
      <c r="AP1575">
        <f>$C1575*AP1574</f>
        <v/>
      </c>
      <c r="AQ1575">
        <f>$C1575*AQ1574</f>
        <v/>
      </c>
      <c r="AR1575">
        <f>$C1575*AR1574</f>
        <v/>
      </c>
      <c r="AS1575">
        <f>$C1575*AS1574</f>
        <v/>
      </c>
      <c r="AT1575">
        <f>$C1575*AT1574</f>
        <v/>
      </c>
      <c r="AU1575">
        <f>$C1575*AU1574</f>
        <v/>
      </c>
      <c r="AV1575">
        <f>$C1575*AV1574</f>
        <v/>
      </c>
      <c r="AW1575">
        <f>$C1575*AW1574</f>
        <v/>
      </c>
      <c r="AX1575">
        <f>$C1575*AX1574</f>
        <v/>
      </c>
      <c r="AY1575">
        <f>$C1575*AY1574</f>
        <v/>
      </c>
      <c r="AZ1575">
        <f>$C1575*AZ1574</f>
        <v/>
      </c>
      <c r="BA1575">
        <f>$C1575*BA1574</f>
        <v/>
      </c>
      <c r="BB1575">
        <f>$C1575*BB1574</f>
        <v/>
      </c>
      <c r="BC1575">
        <f>$C1575*BC1574</f>
        <v/>
      </c>
      <c r="BD1575">
        <f>$C1575*BD1574</f>
        <v/>
      </c>
      <c r="BE1575">
        <f>$C1575*BE1574</f>
        <v/>
      </c>
      <c r="BF1575">
        <f>$C1575*BF1574</f>
        <v/>
      </c>
      <c r="BG1575">
        <f>$C1575*BG1574</f>
        <v/>
      </c>
      <c r="BH1575">
        <f>$C1575*BH1574</f>
        <v/>
      </c>
      <c r="BI1575">
        <f>$C1575*BI1574</f>
        <v/>
      </c>
      <c r="BJ1575">
        <f>$C1575*BJ1574</f>
        <v/>
      </c>
      <c r="BK1575">
        <f>$C1575*BK1574</f>
        <v/>
      </c>
      <c r="BL1575">
        <f>$C1575*BL1574</f>
        <v/>
      </c>
      <c r="BM1575">
        <f>$C1575*BM1574</f>
        <v/>
      </c>
      <c r="BN1575">
        <f>$C1575*BN1574</f>
        <v/>
      </c>
      <c r="BO1575">
        <f>$C1575*BO1574</f>
        <v/>
      </c>
      <c r="BP1575">
        <f>$C1575*BP1574</f>
        <v/>
      </c>
      <c r="BQ1575">
        <f>$C1575*BQ1574</f>
        <v/>
      </c>
      <c r="BR1575">
        <f>$C1575*BR1574</f>
        <v/>
      </c>
      <c r="BS1575">
        <f>$C1575*BS1574</f>
        <v/>
      </c>
      <c r="BT1575">
        <f>$C1575*BT1574</f>
        <v/>
      </c>
      <c r="BU1575">
        <f>$C1575*BU1574</f>
        <v/>
      </c>
      <c r="BV1575">
        <f>$C1575*BV1574</f>
        <v/>
      </c>
      <c r="BW1575">
        <f>$C1575*BW1574</f>
        <v/>
      </c>
      <c r="BX1575">
        <f>$C1575*BX1574</f>
        <v/>
      </c>
      <c r="BY1575">
        <f>$C1575*BY1574</f>
        <v/>
      </c>
      <c r="BZ1575">
        <f>$C1575*BZ1574</f>
        <v/>
      </c>
      <c r="CA1575">
        <f>$C1575*CA1574</f>
        <v/>
      </c>
      <c r="CB1575">
        <f>$C1575*CB1574</f>
        <v/>
      </c>
      <c r="CC1575">
        <f>$C1575*CC1574</f>
        <v/>
      </c>
      <c r="CD1575">
        <f>$C1575*CD1574</f>
        <v/>
      </c>
      <c r="CE1575">
        <f>$C1575*CE1574</f>
        <v/>
      </c>
      <c r="CF1575">
        <f>$C1575*CF1574</f>
        <v/>
      </c>
      <c r="CG1575">
        <f>$C1575*CG1574</f>
        <v/>
      </c>
      <c r="CH1575">
        <f>$C1575*CH1574</f>
        <v/>
      </c>
      <c r="CI1575">
        <f>$C1575*CI1574</f>
        <v/>
      </c>
      <c r="CJ1575">
        <f>$C1575*CJ1574</f>
        <v/>
      </c>
      <c r="CK1575">
        <f>$C1575*CK1574</f>
        <v/>
      </c>
      <c r="CL1575">
        <f>$C1575*CL1574</f>
        <v/>
      </c>
      <c r="CM1575">
        <f>$C1575*CM1574</f>
        <v/>
      </c>
      <c r="CN1575">
        <f>$C1575*CN1574</f>
        <v/>
      </c>
      <c r="CO1575">
        <f>$C1575*CO1574</f>
        <v/>
      </c>
      <c r="CP1575">
        <f>$C1575*CP1574</f>
        <v/>
      </c>
      <c r="CQ1575">
        <f>$C1575*CQ1574</f>
        <v/>
      </c>
      <c r="CR1575">
        <f>$C1575*CR1574</f>
        <v/>
      </c>
      <c r="CS1575">
        <f>$C1575*CS1574</f>
        <v/>
      </c>
      <c r="CT1575">
        <f>$C1575*CT1574</f>
        <v/>
      </c>
      <c r="CU1575">
        <f>$C1575*CU1574</f>
        <v/>
      </c>
      <c r="CV1575">
        <f>$C1575*CV1574</f>
        <v/>
      </c>
      <c r="CW1575">
        <f>$C1575*CW1574</f>
        <v/>
      </c>
      <c r="CX1575">
        <f>$C1575*CX1574</f>
        <v/>
      </c>
      <c r="CY1575">
        <f>$C1575*CY1574</f>
        <v/>
      </c>
      <c r="CZ1575">
        <f>$C1575*CZ1574</f>
        <v/>
      </c>
      <c r="DA1575">
        <f>$C1575*DA1574</f>
        <v/>
      </c>
      <c r="DB1575">
        <f>$C1575*DB1574</f>
        <v/>
      </c>
      <c r="DC1575">
        <f>$C1575*DC1574</f>
        <v/>
      </c>
      <c r="DD1575">
        <f>$C1575*DD1574</f>
        <v/>
      </c>
    </row>
    <row r="1576">
      <c r="B1576" s="4" t="inlineStr">
        <is>
          <t>合計使用量(kg)/週</t>
        </is>
      </c>
      <c r="D1576" s="22">
        <f>IFERROR(INDEX(E1576:DD1576,$F$1),"")</f>
        <v/>
      </c>
      <c r="E1576">
        <f>'Grid_Requirement'!B63</f>
        <v/>
      </c>
      <c r="F1576">
        <f>'Grid_Requirement'!C63</f>
        <v/>
      </c>
      <c r="G1576">
        <f>'Grid_Requirement'!D63</f>
        <v/>
      </c>
      <c r="H1576">
        <f>'Grid_Requirement'!E63</f>
        <v/>
      </c>
      <c r="I1576">
        <f>'Grid_Requirement'!F63</f>
        <v/>
      </c>
      <c r="J1576">
        <f>'Grid_Requirement'!G63</f>
        <v/>
      </c>
      <c r="K1576">
        <f>'Grid_Requirement'!H63</f>
        <v/>
      </c>
      <c r="L1576">
        <f>'Grid_Requirement'!I63</f>
        <v/>
      </c>
      <c r="M1576">
        <f>'Grid_Requirement'!J63</f>
        <v/>
      </c>
      <c r="N1576">
        <f>'Grid_Requirement'!K63</f>
        <v/>
      </c>
      <c r="O1576">
        <f>'Grid_Requirement'!L63</f>
        <v/>
      </c>
      <c r="P1576">
        <f>'Grid_Requirement'!M63</f>
        <v/>
      </c>
      <c r="Q1576">
        <f>'Grid_Requirement'!N63</f>
        <v/>
      </c>
      <c r="R1576">
        <f>'Grid_Requirement'!O63</f>
        <v/>
      </c>
      <c r="S1576">
        <f>'Grid_Requirement'!P63</f>
        <v/>
      </c>
      <c r="T1576">
        <f>'Grid_Requirement'!Q63</f>
        <v/>
      </c>
      <c r="U1576">
        <f>'Grid_Requirement'!R63</f>
        <v/>
      </c>
      <c r="V1576">
        <f>'Grid_Requirement'!S63</f>
        <v/>
      </c>
      <c r="W1576">
        <f>'Grid_Requirement'!T63</f>
        <v/>
      </c>
      <c r="X1576">
        <f>'Grid_Requirement'!U63</f>
        <v/>
      </c>
      <c r="Y1576">
        <f>'Grid_Requirement'!V63</f>
        <v/>
      </c>
      <c r="Z1576">
        <f>'Grid_Requirement'!W63</f>
        <v/>
      </c>
      <c r="AA1576">
        <f>'Grid_Requirement'!X63</f>
        <v/>
      </c>
      <c r="AB1576">
        <f>'Grid_Requirement'!Y63</f>
        <v/>
      </c>
      <c r="AC1576">
        <f>'Grid_Requirement'!Z63</f>
        <v/>
      </c>
      <c r="AD1576">
        <f>'Grid_Requirement'!AA63</f>
        <v/>
      </c>
      <c r="AE1576">
        <f>'Grid_Requirement'!AB63</f>
        <v/>
      </c>
      <c r="AF1576">
        <f>'Grid_Requirement'!AC63</f>
        <v/>
      </c>
      <c r="AG1576">
        <f>'Grid_Requirement'!AD63</f>
        <v/>
      </c>
      <c r="AH1576">
        <f>'Grid_Requirement'!AE63</f>
        <v/>
      </c>
      <c r="AI1576">
        <f>'Grid_Requirement'!AF63</f>
        <v/>
      </c>
      <c r="AJ1576">
        <f>'Grid_Requirement'!AG63</f>
        <v/>
      </c>
      <c r="AK1576">
        <f>'Grid_Requirement'!AH63</f>
        <v/>
      </c>
      <c r="AL1576">
        <f>'Grid_Requirement'!AI63</f>
        <v/>
      </c>
      <c r="AM1576">
        <f>'Grid_Requirement'!AJ63</f>
        <v/>
      </c>
      <c r="AN1576">
        <f>'Grid_Requirement'!AK63</f>
        <v/>
      </c>
      <c r="AO1576">
        <f>'Grid_Requirement'!AL63</f>
        <v/>
      </c>
      <c r="AP1576">
        <f>'Grid_Requirement'!AM63</f>
        <v/>
      </c>
      <c r="AQ1576">
        <f>'Grid_Requirement'!AN63</f>
        <v/>
      </c>
      <c r="AR1576">
        <f>'Grid_Requirement'!AO63</f>
        <v/>
      </c>
      <c r="AS1576">
        <f>'Grid_Requirement'!AP63</f>
        <v/>
      </c>
      <c r="AT1576">
        <f>'Grid_Requirement'!AQ63</f>
        <v/>
      </c>
      <c r="AU1576">
        <f>'Grid_Requirement'!AR63</f>
        <v/>
      </c>
      <c r="AV1576">
        <f>'Grid_Requirement'!AS63</f>
        <v/>
      </c>
      <c r="AW1576">
        <f>'Grid_Requirement'!AT63</f>
        <v/>
      </c>
      <c r="AX1576">
        <f>'Grid_Requirement'!AU63</f>
        <v/>
      </c>
      <c r="AY1576">
        <f>'Grid_Requirement'!AV63</f>
        <v/>
      </c>
      <c r="AZ1576">
        <f>'Grid_Requirement'!AW63</f>
        <v/>
      </c>
      <c r="BA1576">
        <f>'Grid_Requirement'!AX63</f>
        <v/>
      </c>
      <c r="BB1576">
        <f>'Grid_Requirement'!AY63</f>
        <v/>
      </c>
      <c r="BC1576">
        <f>'Grid_Requirement'!AZ63</f>
        <v/>
      </c>
      <c r="BD1576">
        <f>'Grid_Requirement'!BA63</f>
        <v/>
      </c>
      <c r="BE1576">
        <f>'Grid_Requirement'!BB63</f>
        <v/>
      </c>
      <c r="BF1576">
        <f>'Grid_Requirement'!BC63</f>
        <v/>
      </c>
      <c r="BG1576">
        <f>'Grid_Requirement'!BD63</f>
        <v/>
      </c>
      <c r="BH1576">
        <f>'Grid_Requirement'!BE63</f>
        <v/>
      </c>
      <c r="BI1576">
        <f>'Grid_Requirement'!BF63</f>
        <v/>
      </c>
      <c r="BJ1576">
        <f>'Grid_Requirement'!BG63</f>
        <v/>
      </c>
      <c r="BK1576">
        <f>'Grid_Requirement'!BH63</f>
        <v/>
      </c>
      <c r="BL1576">
        <f>'Grid_Requirement'!BI63</f>
        <v/>
      </c>
      <c r="BM1576">
        <f>'Grid_Requirement'!BJ63</f>
        <v/>
      </c>
      <c r="BN1576">
        <f>'Grid_Requirement'!BK63</f>
        <v/>
      </c>
      <c r="BO1576">
        <f>'Grid_Requirement'!BL63</f>
        <v/>
      </c>
      <c r="BP1576">
        <f>'Grid_Requirement'!BM63</f>
        <v/>
      </c>
      <c r="BQ1576">
        <f>'Grid_Requirement'!BN63</f>
        <v/>
      </c>
      <c r="BR1576">
        <f>'Grid_Requirement'!BO63</f>
        <v/>
      </c>
      <c r="BS1576">
        <f>'Grid_Requirement'!BP63</f>
        <v/>
      </c>
      <c r="BT1576">
        <f>'Grid_Requirement'!BQ63</f>
        <v/>
      </c>
      <c r="BU1576">
        <f>'Grid_Requirement'!BR63</f>
        <v/>
      </c>
      <c r="BV1576">
        <f>'Grid_Requirement'!BS63</f>
        <v/>
      </c>
      <c r="BW1576">
        <f>'Grid_Requirement'!BT63</f>
        <v/>
      </c>
      <c r="BX1576">
        <f>'Grid_Requirement'!BU63</f>
        <v/>
      </c>
      <c r="BY1576">
        <f>'Grid_Requirement'!BV63</f>
        <v/>
      </c>
      <c r="BZ1576">
        <f>'Grid_Requirement'!BW63</f>
        <v/>
      </c>
      <c r="CA1576">
        <f>'Grid_Requirement'!BX63</f>
        <v/>
      </c>
      <c r="CB1576">
        <f>'Grid_Requirement'!BY63</f>
        <v/>
      </c>
      <c r="CC1576">
        <f>'Grid_Requirement'!BZ63</f>
        <v/>
      </c>
      <c r="CD1576">
        <f>'Grid_Requirement'!CA63</f>
        <v/>
      </c>
      <c r="CE1576">
        <f>'Grid_Requirement'!CB63</f>
        <v/>
      </c>
      <c r="CF1576">
        <f>'Grid_Requirement'!CC63</f>
        <v/>
      </c>
      <c r="CG1576">
        <f>'Grid_Requirement'!CD63</f>
        <v/>
      </c>
      <c r="CH1576">
        <f>'Grid_Requirement'!CE63</f>
        <v/>
      </c>
      <c r="CI1576">
        <f>'Grid_Requirement'!CF63</f>
        <v/>
      </c>
      <c r="CJ1576">
        <f>'Grid_Requirement'!CG63</f>
        <v/>
      </c>
      <c r="CK1576">
        <f>'Grid_Requirement'!CH63</f>
        <v/>
      </c>
      <c r="CL1576">
        <f>'Grid_Requirement'!CI63</f>
        <v/>
      </c>
      <c r="CM1576">
        <f>'Grid_Requirement'!CJ63</f>
        <v/>
      </c>
      <c r="CN1576">
        <f>'Grid_Requirement'!CK63</f>
        <v/>
      </c>
      <c r="CO1576">
        <f>'Grid_Requirement'!CL63</f>
        <v/>
      </c>
      <c r="CP1576">
        <f>'Grid_Requirement'!CM63</f>
        <v/>
      </c>
      <c r="CQ1576">
        <f>'Grid_Requirement'!CN63</f>
        <v/>
      </c>
      <c r="CR1576">
        <f>'Grid_Requirement'!CO63</f>
        <v/>
      </c>
      <c r="CS1576">
        <f>'Grid_Requirement'!CP63</f>
        <v/>
      </c>
      <c r="CT1576">
        <f>'Grid_Requirement'!CQ63</f>
        <v/>
      </c>
      <c r="CU1576">
        <f>'Grid_Requirement'!CR63</f>
        <v/>
      </c>
      <c r="CV1576">
        <f>'Grid_Requirement'!CS63</f>
        <v/>
      </c>
      <c r="CW1576">
        <f>'Grid_Requirement'!CT63</f>
        <v/>
      </c>
      <c r="CX1576">
        <f>'Grid_Requirement'!CU63</f>
        <v/>
      </c>
      <c r="CY1576">
        <f>'Grid_Requirement'!CV63</f>
        <v/>
      </c>
      <c r="CZ1576">
        <f>'Grid_Requirement'!CW63</f>
        <v/>
      </c>
      <c r="DA1576">
        <f>'Grid_Requirement'!CX63</f>
        <v/>
      </c>
      <c r="DB1576">
        <f>'Grid_Requirement'!CY63</f>
        <v/>
      </c>
      <c r="DC1576">
        <f>'Grid_Requirement'!CZ63</f>
        <v/>
      </c>
      <c r="DD1576">
        <f>'Grid_Requirement'!DA63</f>
        <v/>
      </c>
    </row>
    <row r="1577">
      <c r="B1577" s="23" t="inlineStr">
        <is>
          <t>（在庫・入荷予定はDashboard参照）</t>
        </is>
      </c>
    </row>
    <row r="1579">
      <c r="A1579" s="21" t="inlineStr">
        <is>
          <t>CHEM-1820</t>
        </is>
      </c>
      <c r="B1579" s="21" t="inlineStr">
        <is>
          <t>JCK-472</t>
        </is>
      </c>
      <c r="C1579" s="21" t="n"/>
      <c r="D1579" s="21" t="n"/>
      <c r="E1579" s="21" t="n"/>
      <c r="F1579" s="21" t="n"/>
      <c r="G1579" s="21" t="n"/>
      <c r="H1579" s="21" t="n"/>
      <c r="I1579" s="21" t="n"/>
      <c r="J1579" s="21" t="n"/>
      <c r="K1579" s="21" t="n"/>
      <c r="L1579" s="21" t="n"/>
      <c r="M1579" s="21" t="n"/>
      <c r="N1579" s="21" t="n"/>
      <c r="O1579" s="21" t="n"/>
      <c r="P1579" s="21" t="n"/>
      <c r="Q1579" s="21" t="n"/>
      <c r="R1579" s="21" t="n"/>
      <c r="S1579" s="21" t="n"/>
      <c r="T1579" s="21" t="n"/>
      <c r="U1579" s="21" t="n"/>
      <c r="V1579" s="21" t="n"/>
      <c r="W1579" s="21" t="n"/>
      <c r="X1579" s="21" t="n"/>
      <c r="Y1579" s="21" t="n"/>
      <c r="Z1579" s="21" t="n"/>
      <c r="AA1579" s="21" t="n"/>
      <c r="AB1579" s="21" t="n"/>
      <c r="AC1579" s="21" t="n"/>
      <c r="AD1579" s="21" t="n"/>
      <c r="AE1579" s="21" t="n"/>
      <c r="AF1579" s="21" t="n"/>
      <c r="AG1579" s="21" t="n"/>
      <c r="AH1579" s="21" t="n"/>
      <c r="AI1579" s="21" t="n"/>
      <c r="AJ1579" s="21" t="n"/>
      <c r="AK1579" s="21" t="n"/>
      <c r="AL1579" s="21" t="n"/>
      <c r="AM1579" s="21" t="n"/>
      <c r="AN1579" s="21" t="n"/>
      <c r="AO1579" s="21" t="n"/>
      <c r="AP1579" s="21" t="n"/>
      <c r="AQ1579" s="21" t="n"/>
      <c r="AR1579" s="21" t="n"/>
      <c r="AS1579" s="21" t="n"/>
      <c r="AT1579" s="21" t="n"/>
      <c r="AU1579" s="21" t="n"/>
      <c r="AV1579" s="21" t="n"/>
      <c r="AW1579" s="21" t="n"/>
      <c r="AX1579" s="21" t="n"/>
      <c r="AY1579" s="21" t="n"/>
      <c r="AZ1579" s="21" t="n"/>
      <c r="BA1579" s="21" t="n"/>
      <c r="BB1579" s="21" t="n"/>
      <c r="BC1579" s="21" t="n"/>
      <c r="BD1579" s="21" t="n"/>
      <c r="BE1579" s="21" t="n"/>
      <c r="BF1579" s="21" t="n"/>
      <c r="BG1579" s="21" t="n"/>
      <c r="BH1579" s="21" t="n"/>
      <c r="BI1579" s="21" t="n"/>
      <c r="BJ1579" s="21" t="n"/>
      <c r="BK1579" s="21" t="n"/>
      <c r="BL1579" s="21" t="n"/>
      <c r="BM1579" s="21" t="n"/>
      <c r="BN1579" s="21" t="n"/>
      <c r="BO1579" s="21" t="n"/>
      <c r="BP1579" s="21" t="n"/>
      <c r="BQ1579" s="21" t="n"/>
      <c r="BR1579" s="21" t="n"/>
      <c r="BS1579" s="21" t="n"/>
      <c r="BT1579" s="21" t="n"/>
      <c r="BU1579" s="21" t="n"/>
      <c r="BV1579" s="21" t="n"/>
      <c r="BW1579" s="21" t="n"/>
      <c r="BX1579" s="21" t="n"/>
      <c r="BY1579" s="21" t="n"/>
      <c r="BZ1579" s="21" t="n"/>
      <c r="CA1579" s="21" t="n"/>
      <c r="CB1579" s="21" t="n"/>
      <c r="CC1579" s="21" t="n"/>
      <c r="CD1579" s="21" t="n"/>
      <c r="CE1579" s="21" t="n"/>
      <c r="CF1579" s="21" t="n"/>
      <c r="CG1579" s="21" t="n"/>
      <c r="CH1579" s="21" t="n"/>
      <c r="CI1579" s="21" t="n"/>
      <c r="CJ1579" s="21" t="n"/>
      <c r="CK1579" s="21" t="n"/>
      <c r="CL1579" s="21" t="n"/>
      <c r="CM1579" s="21" t="n"/>
      <c r="CN1579" s="21" t="n"/>
      <c r="CO1579" s="21" t="n"/>
      <c r="CP1579" s="21" t="n"/>
      <c r="CQ1579" s="21" t="n"/>
      <c r="CR1579" s="21" t="n"/>
      <c r="CS1579" s="21" t="n"/>
      <c r="CT1579" s="21" t="n"/>
      <c r="CU1579" s="21" t="n"/>
      <c r="CV1579" s="21" t="n"/>
      <c r="CW1579" s="21" t="n"/>
      <c r="CX1579" s="21" t="n"/>
      <c r="CY1579" s="21" t="n"/>
      <c r="CZ1579" s="21" t="n"/>
      <c r="DA1579" s="21" t="n"/>
      <c r="DB1579" s="21" t="n"/>
      <c r="DC1579" s="21" t="n"/>
      <c r="DD1579" s="21" t="n"/>
    </row>
    <row r="1580">
      <c r="B1580" t="inlineStr">
        <is>
          <t>TPP-1459</t>
        </is>
      </c>
      <c r="C1580" t="inlineStr">
        <is>
          <t>No. of batches</t>
        </is>
      </c>
      <c r="D1580">
        <f>IFERROR(INDEX(E1580:DD1580,$F$1),"")</f>
        <v/>
      </c>
      <c r="E1580">
        <f>IFERROR(INDEX(PP_Grid[#Data],$DE1580,2),0)</f>
        <v/>
      </c>
      <c r="F1580">
        <f>IFERROR(INDEX(PP_Grid[#Data],$DE1580,3),0)</f>
        <v/>
      </c>
      <c r="G1580">
        <f>IFERROR(INDEX(PP_Grid[#Data],$DE1580,4),0)</f>
        <v/>
      </c>
      <c r="H1580">
        <f>IFERROR(INDEX(PP_Grid[#Data],$DE1580,5),0)</f>
        <v/>
      </c>
      <c r="I1580">
        <f>IFERROR(INDEX(PP_Grid[#Data],$DE1580,6),0)</f>
        <v/>
      </c>
      <c r="J1580">
        <f>IFERROR(INDEX(PP_Grid[#Data],$DE1580,7),0)</f>
        <v/>
      </c>
      <c r="K1580">
        <f>IFERROR(INDEX(PP_Grid[#Data],$DE1580,8),0)</f>
        <v/>
      </c>
      <c r="L1580">
        <f>IFERROR(INDEX(PP_Grid[#Data],$DE1580,9),0)</f>
        <v/>
      </c>
      <c r="M1580">
        <f>IFERROR(INDEX(PP_Grid[#Data],$DE1580,10),0)</f>
        <v/>
      </c>
      <c r="N1580">
        <f>IFERROR(INDEX(PP_Grid[#Data],$DE1580,11),0)</f>
        <v/>
      </c>
      <c r="O1580">
        <f>IFERROR(INDEX(PP_Grid[#Data],$DE1580,12),0)</f>
        <v/>
      </c>
      <c r="P1580">
        <f>IFERROR(INDEX(PP_Grid[#Data],$DE1580,13),0)</f>
        <v/>
      </c>
      <c r="Q1580">
        <f>IFERROR(INDEX(PP_Grid[#Data],$DE1580,14),0)</f>
        <v/>
      </c>
      <c r="R1580">
        <f>IFERROR(INDEX(PP_Grid[#Data],$DE1580,15),0)</f>
        <v/>
      </c>
      <c r="S1580">
        <f>IFERROR(INDEX(PP_Grid[#Data],$DE1580,16),0)</f>
        <v/>
      </c>
      <c r="T1580">
        <f>IFERROR(INDEX(PP_Grid[#Data],$DE1580,17),0)</f>
        <v/>
      </c>
      <c r="U1580">
        <f>IFERROR(INDEX(PP_Grid[#Data],$DE1580,18),0)</f>
        <v/>
      </c>
      <c r="V1580">
        <f>IFERROR(INDEX(PP_Grid[#Data],$DE1580,19),0)</f>
        <v/>
      </c>
      <c r="W1580">
        <f>IFERROR(INDEX(PP_Grid[#Data],$DE1580,20),0)</f>
        <v/>
      </c>
      <c r="X1580">
        <f>IFERROR(INDEX(PP_Grid[#Data],$DE1580,21),0)</f>
        <v/>
      </c>
      <c r="Y1580">
        <f>IFERROR(INDEX(PP_Grid[#Data],$DE1580,22),0)</f>
        <v/>
      </c>
      <c r="Z1580">
        <f>IFERROR(INDEX(PP_Grid[#Data],$DE1580,23),0)</f>
        <v/>
      </c>
      <c r="AA1580">
        <f>IFERROR(INDEX(PP_Grid[#Data],$DE1580,24),0)</f>
        <v/>
      </c>
      <c r="AB1580">
        <f>IFERROR(INDEX(PP_Grid[#Data],$DE1580,25),0)</f>
        <v/>
      </c>
      <c r="AC1580">
        <f>IFERROR(INDEX(PP_Grid[#Data],$DE1580,26),0)</f>
        <v/>
      </c>
      <c r="AD1580">
        <f>IFERROR(INDEX(PP_Grid[#Data],$DE1580,27),0)</f>
        <v/>
      </c>
      <c r="AE1580">
        <f>IFERROR(INDEX(PP_Grid[#Data],$DE1580,28),0)</f>
        <v/>
      </c>
      <c r="AF1580">
        <f>IFERROR(INDEX(PP_Grid[#Data],$DE1580,29),0)</f>
        <v/>
      </c>
      <c r="AG1580">
        <f>IFERROR(INDEX(PP_Grid[#Data],$DE1580,30),0)</f>
        <v/>
      </c>
      <c r="AH1580">
        <f>IFERROR(INDEX(PP_Grid[#Data],$DE1580,31),0)</f>
        <v/>
      </c>
      <c r="AI1580">
        <f>IFERROR(INDEX(PP_Grid[#Data],$DE1580,32),0)</f>
        <v/>
      </c>
      <c r="AJ1580">
        <f>IFERROR(INDEX(PP_Grid[#Data],$DE1580,33),0)</f>
        <v/>
      </c>
      <c r="AK1580">
        <f>IFERROR(INDEX(PP_Grid[#Data],$DE1580,34),0)</f>
        <v/>
      </c>
      <c r="AL1580">
        <f>IFERROR(INDEX(PP_Grid[#Data],$DE1580,35),0)</f>
        <v/>
      </c>
      <c r="AM1580">
        <f>IFERROR(INDEX(PP_Grid[#Data],$DE1580,36),0)</f>
        <v/>
      </c>
      <c r="AN1580">
        <f>IFERROR(INDEX(PP_Grid[#Data],$DE1580,37),0)</f>
        <v/>
      </c>
      <c r="AO1580">
        <f>IFERROR(INDEX(PP_Grid[#Data],$DE1580,38),0)</f>
        <v/>
      </c>
      <c r="AP1580">
        <f>IFERROR(INDEX(PP_Grid[#Data],$DE1580,39),0)</f>
        <v/>
      </c>
      <c r="AQ1580">
        <f>IFERROR(INDEX(PP_Grid[#Data],$DE1580,40),0)</f>
        <v/>
      </c>
      <c r="AR1580">
        <f>IFERROR(INDEX(PP_Grid[#Data],$DE1580,41),0)</f>
        <v/>
      </c>
      <c r="AS1580">
        <f>IFERROR(INDEX(PP_Grid[#Data],$DE1580,42),0)</f>
        <v/>
      </c>
      <c r="AT1580">
        <f>IFERROR(INDEX(PP_Grid[#Data],$DE1580,43),0)</f>
        <v/>
      </c>
      <c r="AU1580">
        <f>IFERROR(INDEX(PP_Grid[#Data],$DE1580,44),0)</f>
        <v/>
      </c>
      <c r="AV1580">
        <f>IFERROR(INDEX(PP_Grid[#Data],$DE1580,45),0)</f>
        <v/>
      </c>
      <c r="AW1580">
        <f>IFERROR(INDEX(PP_Grid[#Data],$DE1580,46),0)</f>
        <v/>
      </c>
      <c r="AX1580">
        <f>IFERROR(INDEX(PP_Grid[#Data],$DE1580,47),0)</f>
        <v/>
      </c>
      <c r="AY1580">
        <f>IFERROR(INDEX(PP_Grid[#Data],$DE1580,48),0)</f>
        <v/>
      </c>
      <c r="AZ1580">
        <f>IFERROR(INDEX(PP_Grid[#Data],$DE1580,49),0)</f>
        <v/>
      </c>
      <c r="BA1580">
        <f>IFERROR(INDEX(PP_Grid[#Data],$DE1580,50),0)</f>
        <v/>
      </c>
      <c r="BB1580">
        <f>IFERROR(INDEX(PP_Grid[#Data],$DE1580,51),0)</f>
        <v/>
      </c>
      <c r="BC1580">
        <f>IFERROR(INDEX(PP_Grid[#Data],$DE1580,52),0)</f>
        <v/>
      </c>
      <c r="BD1580">
        <f>IFERROR(INDEX(PP_Grid[#Data],$DE1580,53),0)</f>
        <v/>
      </c>
      <c r="BE1580">
        <f>IFERROR(INDEX(PP_Grid[#Data],$DE1580,54),0)</f>
        <v/>
      </c>
      <c r="BF1580">
        <f>IFERROR(INDEX(PP_Grid[#Data],$DE1580,55),0)</f>
        <v/>
      </c>
      <c r="BG1580">
        <f>IFERROR(INDEX(PP_Grid[#Data],$DE1580,56),0)</f>
        <v/>
      </c>
      <c r="BH1580">
        <f>IFERROR(INDEX(PP_Grid[#Data],$DE1580,57),0)</f>
        <v/>
      </c>
      <c r="BI1580">
        <f>IFERROR(INDEX(PP_Grid[#Data],$DE1580,58),0)</f>
        <v/>
      </c>
      <c r="BJ1580">
        <f>IFERROR(INDEX(PP_Grid[#Data],$DE1580,59),0)</f>
        <v/>
      </c>
      <c r="BK1580">
        <f>IFERROR(INDEX(PP_Grid[#Data],$DE1580,60),0)</f>
        <v/>
      </c>
      <c r="BL1580">
        <f>IFERROR(INDEX(PP_Grid[#Data],$DE1580,61),0)</f>
        <v/>
      </c>
      <c r="BM1580">
        <f>IFERROR(INDEX(PP_Grid[#Data],$DE1580,62),0)</f>
        <v/>
      </c>
      <c r="BN1580">
        <f>IFERROR(INDEX(PP_Grid[#Data],$DE1580,63),0)</f>
        <v/>
      </c>
      <c r="BO1580">
        <f>IFERROR(INDEX(PP_Grid[#Data],$DE1580,64),0)</f>
        <v/>
      </c>
      <c r="BP1580">
        <f>IFERROR(INDEX(PP_Grid[#Data],$DE1580,65),0)</f>
        <v/>
      </c>
      <c r="BQ1580">
        <f>IFERROR(INDEX(PP_Grid[#Data],$DE1580,66),0)</f>
        <v/>
      </c>
      <c r="BR1580">
        <f>IFERROR(INDEX(PP_Grid[#Data],$DE1580,67),0)</f>
        <v/>
      </c>
      <c r="BS1580">
        <f>IFERROR(INDEX(PP_Grid[#Data],$DE1580,68),0)</f>
        <v/>
      </c>
      <c r="BT1580">
        <f>IFERROR(INDEX(PP_Grid[#Data],$DE1580,69),0)</f>
        <v/>
      </c>
      <c r="BU1580">
        <f>IFERROR(INDEX(PP_Grid[#Data],$DE1580,70),0)</f>
        <v/>
      </c>
      <c r="BV1580">
        <f>IFERROR(INDEX(PP_Grid[#Data],$DE1580,71),0)</f>
        <v/>
      </c>
      <c r="BW1580">
        <f>IFERROR(INDEX(PP_Grid[#Data],$DE1580,72),0)</f>
        <v/>
      </c>
      <c r="BX1580">
        <f>IFERROR(INDEX(PP_Grid[#Data],$DE1580,73),0)</f>
        <v/>
      </c>
      <c r="BY1580">
        <f>IFERROR(INDEX(PP_Grid[#Data],$DE1580,74),0)</f>
        <v/>
      </c>
      <c r="BZ1580">
        <f>IFERROR(INDEX(PP_Grid[#Data],$DE1580,75),0)</f>
        <v/>
      </c>
      <c r="CA1580">
        <f>IFERROR(INDEX(PP_Grid[#Data],$DE1580,76),0)</f>
        <v/>
      </c>
      <c r="CB1580">
        <f>IFERROR(INDEX(PP_Grid[#Data],$DE1580,77),0)</f>
        <v/>
      </c>
      <c r="CC1580">
        <f>IFERROR(INDEX(PP_Grid[#Data],$DE1580,78),0)</f>
        <v/>
      </c>
      <c r="CD1580">
        <f>IFERROR(INDEX(PP_Grid[#Data],$DE1580,79),0)</f>
        <v/>
      </c>
      <c r="CE1580">
        <f>IFERROR(INDEX(PP_Grid[#Data],$DE1580,80),0)</f>
        <v/>
      </c>
      <c r="CF1580">
        <f>IFERROR(INDEX(PP_Grid[#Data],$DE1580,81),0)</f>
        <v/>
      </c>
      <c r="CG1580">
        <f>IFERROR(INDEX(PP_Grid[#Data],$DE1580,82),0)</f>
        <v/>
      </c>
      <c r="CH1580">
        <f>IFERROR(INDEX(PP_Grid[#Data],$DE1580,83),0)</f>
        <v/>
      </c>
      <c r="CI1580">
        <f>IFERROR(INDEX(PP_Grid[#Data],$DE1580,84),0)</f>
        <v/>
      </c>
      <c r="CJ1580">
        <f>IFERROR(INDEX(PP_Grid[#Data],$DE1580,85),0)</f>
        <v/>
      </c>
      <c r="CK1580">
        <f>IFERROR(INDEX(PP_Grid[#Data],$DE1580,86),0)</f>
        <v/>
      </c>
      <c r="CL1580">
        <f>IFERROR(INDEX(PP_Grid[#Data],$DE1580,87),0)</f>
        <v/>
      </c>
      <c r="CM1580">
        <f>IFERROR(INDEX(PP_Grid[#Data],$DE1580,88),0)</f>
        <v/>
      </c>
      <c r="CN1580">
        <f>IFERROR(INDEX(PP_Grid[#Data],$DE1580,89),0)</f>
        <v/>
      </c>
      <c r="CO1580">
        <f>IFERROR(INDEX(PP_Grid[#Data],$DE1580,90),0)</f>
        <v/>
      </c>
      <c r="CP1580">
        <f>IFERROR(INDEX(PP_Grid[#Data],$DE1580,91),0)</f>
        <v/>
      </c>
      <c r="CQ1580">
        <f>IFERROR(INDEX(PP_Grid[#Data],$DE1580,92),0)</f>
        <v/>
      </c>
      <c r="CR1580">
        <f>IFERROR(INDEX(PP_Grid[#Data],$DE1580,93),0)</f>
        <v/>
      </c>
      <c r="CS1580">
        <f>IFERROR(INDEX(PP_Grid[#Data],$DE1580,94),0)</f>
        <v/>
      </c>
      <c r="CT1580">
        <f>IFERROR(INDEX(PP_Grid[#Data],$DE1580,95),0)</f>
        <v/>
      </c>
      <c r="CU1580">
        <f>IFERROR(INDEX(PP_Grid[#Data],$DE1580,96),0)</f>
        <v/>
      </c>
      <c r="CV1580">
        <f>IFERROR(INDEX(PP_Grid[#Data],$DE1580,97),0)</f>
        <v/>
      </c>
      <c r="CW1580">
        <f>IFERROR(INDEX(PP_Grid[#Data],$DE1580,98),0)</f>
        <v/>
      </c>
      <c r="CX1580">
        <f>IFERROR(INDEX(PP_Grid[#Data],$DE1580,99),0)</f>
        <v/>
      </c>
      <c r="CY1580">
        <f>IFERROR(INDEX(PP_Grid[#Data],$DE1580,100),0)</f>
        <v/>
      </c>
      <c r="CZ1580">
        <f>IFERROR(INDEX(PP_Grid[#Data],$DE1580,101),0)</f>
        <v/>
      </c>
      <c r="DA1580">
        <f>IFERROR(INDEX(PP_Grid[#Data],$DE1580,102),0)</f>
        <v/>
      </c>
      <c r="DB1580">
        <f>IFERROR(INDEX(PP_Grid[#Data],$DE1580,103),0)</f>
        <v/>
      </c>
      <c r="DC1580">
        <f>IFERROR(INDEX(PP_Grid[#Data],$DE1580,104),0)</f>
        <v/>
      </c>
      <c r="DD1580">
        <f>IFERROR(INDEX(PP_Grid[#Data],$DE1580,105),0)</f>
        <v/>
      </c>
      <c r="DE1580" s="7">
        <f>IFERROR(MATCH($B1580,PP_Grid[Intermediate],0),99999)</f>
        <v/>
      </c>
    </row>
    <row r="1581">
      <c r="B1581" t="inlineStr">
        <is>
          <t>使用量(kg)</t>
        </is>
      </c>
      <c r="C1581">
        <f>SUMIFS(M_BOM[RM_Qty_Per_Batch],M_BOM[Intermediate],$B1580,M_BOM[RM_Code],$A1579)</f>
        <v/>
      </c>
      <c r="D1581">
        <f>IFERROR(INDEX(E1581:DD1581,$F$1),"")</f>
        <v/>
      </c>
      <c r="E1581">
        <f>$C1581*E1580</f>
        <v/>
      </c>
      <c r="F1581">
        <f>$C1581*F1580</f>
        <v/>
      </c>
      <c r="G1581">
        <f>$C1581*G1580</f>
        <v/>
      </c>
      <c r="H1581">
        <f>$C1581*H1580</f>
        <v/>
      </c>
      <c r="I1581">
        <f>$C1581*I1580</f>
        <v/>
      </c>
      <c r="J1581">
        <f>$C1581*J1580</f>
        <v/>
      </c>
      <c r="K1581">
        <f>$C1581*K1580</f>
        <v/>
      </c>
      <c r="L1581">
        <f>$C1581*L1580</f>
        <v/>
      </c>
      <c r="M1581">
        <f>$C1581*M1580</f>
        <v/>
      </c>
      <c r="N1581">
        <f>$C1581*N1580</f>
        <v/>
      </c>
      <c r="O1581">
        <f>$C1581*O1580</f>
        <v/>
      </c>
      <c r="P1581">
        <f>$C1581*P1580</f>
        <v/>
      </c>
      <c r="Q1581">
        <f>$C1581*Q1580</f>
        <v/>
      </c>
      <c r="R1581">
        <f>$C1581*R1580</f>
        <v/>
      </c>
      <c r="S1581">
        <f>$C1581*S1580</f>
        <v/>
      </c>
      <c r="T1581">
        <f>$C1581*T1580</f>
        <v/>
      </c>
      <c r="U1581">
        <f>$C1581*U1580</f>
        <v/>
      </c>
      <c r="V1581">
        <f>$C1581*V1580</f>
        <v/>
      </c>
      <c r="W1581">
        <f>$C1581*W1580</f>
        <v/>
      </c>
      <c r="X1581">
        <f>$C1581*X1580</f>
        <v/>
      </c>
      <c r="Y1581">
        <f>$C1581*Y1580</f>
        <v/>
      </c>
      <c r="Z1581">
        <f>$C1581*Z1580</f>
        <v/>
      </c>
      <c r="AA1581">
        <f>$C1581*AA1580</f>
        <v/>
      </c>
      <c r="AB1581">
        <f>$C1581*AB1580</f>
        <v/>
      </c>
      <c r="AC1581">
        <f>$C1581*AC1580</f>
        <v/>
      </c>
      <c r="AD1581">
        <f>$C1581*AD1580</f>
        <v/>
      </c>
      <c r="AE1581">
        <f>$C1581*AE1580</f>
        <v/>
      </c>
      <c r="AF1581">
        <f>$C1581*AF1580</f>
        <v/>
      </c>
      <c r="AG1581">
        <f>$C1581*AG1580</f>
        <v/>
      </c>
      <c r="AH1581">
        <f>$C1581*AH1580</f>
        <v/>
      </c>
      <c r="AI1581">
        <f>$C1581*AI1580</f>
        <v/>
      </c>
      <c r="AJ1581">
        <f>$C1581*AJ1580</f>
        <v/>
      </c>
      <c r="AK1581">
        <f>$C1581*AK1580</f>
        <v/>
      </c>
      <c r="AL1581">
        <f>$C1581*AL1580</f>
        <v/>
      </c>
      <c r="AM1581">
        <f>$C1581*AM1580</f>
        <v/>
      </c>
      <c r="AN1581">
        <f>$C1581*AN1580</f>
        <v/>
      </c>
      <c r="AO1581">
        <f>$C1581*AO1580</f>
        <v/>
      </c>
      <c r="AP1581">
        <f>$C1581*AP1580</f>
        <v/>
      </c>
      <c r="AQ1581">
        <f>$C1581*AQ1580</f>
        <v/>
      </c>
      <c r="AR1581">
        <f>$C1581*AR1580</f>
        <v/>
      </c>
      <c r="AS1581">
        <f>$C1581*AS1580</f>
        <v/>
      </c>
      <c r="AT1581">
        <f>$C1581*AT1580</f>
        <v/>
      </c>
      <c r="AU1581">
        <f>$C1581*AU1580</f>
        <v/>
      </c>
      <c r="AV1581">
        <f>$C1581*AV1580</f>
        <v/>
      </c>
      <c r="AW1581">
        <f>$C1581*AW1580</f>
        <v/>
      </c>
      <c r="AX1581">
        <f>$C1581*AX1580</f>
        <v/>
      </c>
      <c r="AY1581">
        <f>$C1581*AY1580</f>
        <v/>
      </c>
      <c r="AZ1581">
        <f>$C1581*AZ1580</f>
        <v/>
      </c>
      <c r="BA1581">
        <f>$C1581*BA1580</f>
        <v/>
      </c>
      <c r="BB1581">
        <f>$C1581*BB1580</f>
        <v/>
      </c>
      <c r="BC1581">
        <f>$C1581*BC1580</f>
        <v/>
      </c>
      <c r="BD1581">
        <f>$C1581*BD1580</f>
        <v/>
      </c>
      <c r="BE1581">
        <f>$C1581*BE1580</f>
        <v/>
      </c>
      <c r="BF1581">
        <f>$C1581*BF1580</f>
        <v/>
      </c>
      <c r="BG1581">
        <f>$C1581*BG1580</f>
        <v/>
      </c>
      <c r="BH1581">
        <f>$C1581*BH1580</f>
        <v/>
      </c>
      <c r="BI1581">
        <f>$C1581*BI1580</f>
        <v/>
      </c>
      <c r="BJ1581">
        <f>$C1581*BJ1580</f>
        <v/>
      </c>
      <c r="BK1581">
        <f>$C1581*BK1580</f>
        <v/>
      </c>
      <c r="BL1581">
        <f>$C1581*BL1580</f>
        <v/>
      </c>
      <c r="BM1581">
        <f>$C1581*BM1580</f>
        <v/>
      </c>
      <c r="BN1581">
        <f>$C1581*BN1580</f>
        <v/>
      </c>
      <c r="BO1581">
        <f>$C1581*BO1580</f>
        <v/>
      </c>
      <c r="BP1581">
        <f>$C1581*BP1580</f>
        <v/>
      </c>
      <c r="BQ1581">
        <f>$C1581*BQ1580</f>
        <v/>
      </c>
      <c r="BR1581">
        <f>$C1581*BR1580</f>
        <v/>
      </c>
      <c r="BS1581">
        <f>$C1581*BS1580</f>
        <v/>
      </c>
      <c r="BT1581">
        <f>$C1581*BT1580</f>
        <v/>
      </c>
      <c r="BU1581">
        <f>$C1581*BU1580</f>
        <v/>
      </c>
      <c r="BV1581">
        <f>$C1581*BV1580</f>
        <v/>
      </c>
      <c r="BW1581">
        <f>$C1581*BW1580</f>
        <v/>
      </c>
      <c r="BX1581">
        <f>$C1581*BX1580</f>
        <v/>
      </c>
      <c r="BY1581">
        <f>$C1581*BY1580</f>
        <v/>
      </c>
      <c r="BZ1581">
        <f>$C1581*BZ1580</f>
        <v/>
      </c>
      <c r="CA1581">
        <f>$C1581*CA1580</f>
        <v/>
      </c>
      <c r="CB1581">
        <f>$C1581*CB1580</f>
        <v/>
      </c>
      <c r="CC1581">
        <f>$C1581*CC1580</f>
        <v/>
      </c>
      <c r="CD1581">
        <f>$C1581*CD1580</f>
        <v/>
      </c>
      <c r="CE1581">
        <f>$C1581*CE1580</f>
        <v/>
      </c>
      <c r="CF1581">
        <f>$C1581*CF1580</f>
        <v/>
      </c>
      <c r="CG1581">
        <f>$C1581*CG1580</f>
        <v/>
      </c>
      <c r="CH1581">
        <f>$C1581*CH1580</f>
        <v/>
      </c>
      <c r="CI1581">
        <f>$C1581*CI1580</f>
        <v/>
      </c>
      <c r="CJ1581">
        <f>$C1581*CJ1580</f>
        <v/>
      </c>
      <c r="CK1581">
        <f>$C1581*CK1580</f>
        <v/>
      </c>
      <c r="CL1581">
        <f>$C1581*CL1580</f>
        <v/>
      </c>
      <c r="CM1581">
        <f>$C1581*CM1580</f>
        <v/>
      </c>
      <c r="CN1581">
        <f>$C1581*CN1580</f>
        <v/>
      </c>
      <c r="CO1581">
        <f>$C1581*CO1580</f>
        <v/>
      </c>
      <c r="CP1581">
        <f>$C1581*CP1580</f>
        <v/>
      </c>
      <c r="CQ1581">
        <f>$C1581*CQ1580</f>
        <v/>
      </c>
      <c r="CR1581">
        <f>$C1581*CR1580</f>
        <v/>
      </c>
      <c r="CS1581">
        <f>$C1581*CS1580</f>
        <v/>
      </c>
      <c r="CT1581">
        <f>$C1581*CT1580</f>
        <v/>
      </c>
      <c r="CU1581">
        <f>$C1581*CU1580</f>
        <v/>
      </c>
      <c r="CV1581">
        <f>$C1581*CV1580</f>
        <v/>
      </c>
      <c r="CW1581">
        <f>$C1581*CW1580</f>
        <v/>
      </c>
      <c r="CX1581">
        <f>$C1581*CX1580</f>
        <v/>
      </c>
      <c r="CY1581">
        <f>$C1581*CY1580</f>
        <v/>
      </c>
      <c r="CZ1581">
        <f>$C1581*CZ1580</f>
        <v/>
      </c>
      <c r="DA1581">
        <f>$C1581*DA1580</f>
        <v/>
      </c>
      <c r="DB1581">
        <f>$C1581*DB1580</f>
        <v/>
      </c>
      <c r="DC1581">
        <f>$C1581*DC1580</f>
        <v/>
      </c>
      <c r="DD1581">
        <f>$C1581*DD1580</f>
        <v/>
      </c>
    </row>
    <row r="1582">
      <c r="B1582" t="inlineStr">
        <is>
          <t>TPP-1466</t>
        </is>
      </c>
      <c r="C1582" t="inlineStr">
        <is>
          <t>No. of batches</t>
        </is>
      </c>
      <c r="D1582">
        <f>IFERROR(INDEX(E1582:DD1582,$F$1),"")</f>
        <v/>
      </c>
      <c r="E1582">
        <f>IFERROR(INDEX(PP_Grid[#Data],$DE1582,2),0)</f>
        <v/>
      </c>
      <c r="F1582">
        <f>IFERROR(INDEX(PP_Grid[#Data],$DE1582,3),0)</f>
        <v/>
      </c>
      <c r="G1582">
        <f>IFERROR(INDEX(PP_Grid[#Data],$DE1582,4),0)</f>
        <v/>
      </c>
      <c r="H1582">
        <f>IFERROR(INDEX(PP_Grid[#Data],$DE1582,5),0)</f>
        <v/>
      </c>
      <c r="I1582">
        <f>IFERROR(INDEX(PP_Grid[#Data],$DE1582,6),0)</f>
        <v/>
      </c>
      <c r="J1582">
        <f>IFERROR(INDEX(PP_Grid[#Data],$DE1582,7),0)</f>
        <v/>
      </c>
      <c r="K1582">
        <f>IFERROR(INDEX(PP_Grid[#Data],$DE1582,8),0)</f>
        <v/>
      </c>
      <c r="L1582">
        <f>IFERROR(INDEX(PP_Grid[#Data],$DE1582,9),0)</f>
        <v/>
      </c>
      <c r="M1582">
        <f>IFERROR(INDEX(PP_Grid[#Data],$DE1582,10),0)</f>
        <v/>
      </c>
      <c r="N1582">
        <f>IFERROR(INDEX(PP_Grid[#Data],$DE1582,11),0)</f>
        <v/>
      </c>
      <c r="O1582">
        <f>IFERROR(INDEX(PP_Grid[#Data],$DE1582,12),0)</f>
        <v/>
      </c>
      <c r="P1582">
        <f>IFERROR(INDEX(PP_Grid[#Data],$DE1582,13),0)</f>
        <v/>
      </c>
      <c r="Q1582">
        <f>IFERROR(INDEX(PP_Grid[#Data],$DE1582,14),0)</f>
        <v/>
      </c>
      <c r="R1582">
        <f>IFERROR(INDEX(PP_Grid[#Data],$DE1582,15),0)</f>
        <v/>
      </c>
      <c r="S1582">
        <f>IFERROR(INDEX(PP_Grid[#Data],$DE1582,16),0)</f>
        <v/>
      </c>
      <c r="T1582">
        <f>IFERROR(INDEX(PP_Grid[#Data],$DE1582,17),0)</f>
        <v/>
      </c>
      <c r="U1582">
        <f>IFERROR(INDEX(PP_Grid[#Data],$DE1582,18),0)</f>
        <v/>
      </c>
      <c r="V1582">
        <f>IFERROR(INDEX(PP_Grid[#Data],$DE1582,19),0)</f>
        <v/>
      </c>
      <c r="W1582">
        <f>IFERROR(INDEX(PP_Grid[#Data],$DE1582,20),0)</f>
        <v/>
      </c>
      <c r="X1582">
        <f>IFERROR(INDEX(PP_Grid[#Data],$DE1582,21),0)</f>
        <v/>
      </c>
      <c r="Y1582">
        <f>IFERROR(INDEX(PP_Grid[#Data],$DE1582,22),0)</f>
        <v/>
      </c>
      <c r="Z1582">
        <f>IFERROR(INDEX(PP_Grid[#Data],$DE1582,23),0)</f>
        <v/>
      </c>
      <c r="AA1582">
        <f>IFERROR(INDEX(PP_Grid[#Data],$DE1582,24),0)</f>
        <v/>
      </c>
      <c r="AB1582">
        <f>IFERROR(INDEX(PP_Grid[#Data],$DE1582,25),0)</f>
        <v/>
      </c>
      <c r="AC1582">
        <f>IFERROR(INDEX(PP_Grid[#Data],$DE1582,26),0)</f>
        <v/>
      </c>
      <c r="AD1582">
        <f>IFERROR(INDEX(PP_Grid[#Data],$DE1582,27),0)</f>
        <v/>
      </c>
      <c r="AE1582">
        <f>IFERROR(INDEX(PP_Grid[#Data],$DE1582,28),0)</f>
        <v/>
      </c>
      <c r="AF1582">
        <f>IFERROR(INDEX(PP_Grid[#Data],$DE1582,29),0)</f>
        <v/>
      </c>
      <c r="AG1582">
        <f>IFERROR(INDEX(PP_Grid[#Data],$DE1582,30),0)</f>
        <v/>
      </c>
      <c r="AH1582">
        <f>IFERROR(INDEX(PP_Grid[#Data],$DE1582,31),0)</f>
        <v/>
      </c>
      <c r="AI1582">
        <f>IFERROR(INDEX(PP_Grid[#Data],$DE1582,32),0)</f>
        <v/>
      </c>
      <c r="AJ1582">
        <f>IFERROR(INDEX(PP_Grid[#Data],$DE1582,33),0)</f>
        <v/>
      </c>
      <c r="AK1582">
        <f>IFERROR(INDEX(PP_Grid[#Data],$DE1582,34),0)</f>
        <v/>
      </c>
      <c r="AL1582">
        <f>IFERROR(INDEX(PP_Grid[#Data],$DE1582,35),0)</f>
        <v/>
      </c>
      <c r="AM1582">
        <f>IFERROR(INDEX(PP_Grid[#Data],$DE1582,36),0)</f>
        <v/>
      </c>
      <c r="AN1582">
        <f>IFERROR(INDEX(PP_Grid[#Data],$DE1582,37),0)</f>
        <v/>
      </c>
      <c r="AO1582">
        <f>IFERROR(INDEX(PP_Grid[#Data],$DE1582,38),0)</f>
        <v/>
      </c>
      <c r="AP1582">
        <f>IFERROR(INDEX(PP_Grid[#Data],$DE1582,39),0)</f>
        <v/>
      </c>
      <c r="AQ1582">
        <f>IFERROR(INDEX(PP_Grid[#Data],$DE1582,40),0)</f>
        <v/>
      </c>
      <c r="AR1582">
        <f>IFERROR(INDEX(PP_Grid[#Data],$DE1582,41),0)</f>
        <v/>
      </c>
      <c r="AS1582">
        <f>IFERROR(INDEX(PP_Grid[#Data],$DE1582,42),0)</f>
        <v/>
      </c>
      <c r="AT1582">
        <f>IFERROR(INDEX(PP_Grid[#Data],$DE1582,43),0)</f>
        <v/>
      </c>
      <c r="AU1582">
        <f>IFERROR(INDEX(PP_Grid[#Data],$DE1582,44),0)</f>
        <v/>
      </c>
      <c r="AV1582">
        <f>IFERROR(INDEX(PP_Grid[#Data],$DE1582,45),0)</f>
        <v/>
      </c>
      <c r="AW1582">
        <f>IFERROR(INDEX(PP_Grid[#Data],$DE1582,46),0)</f>
        <v/>
      </c>
      <c r="AX1582">
        <f>IFERROR(INDEX(PP_Grid[#Data],$DE1582,47),0)</f>
        <v/>
      </c>
      <c r="AY1582">
        <f>IFERROR(INDEX(PP_Grid[#Data],$DE1582,48),0)</f>
        <v/>
      </c>
      <c r="AZ1582">
        <f>IFERROR(INDEX(PP_Grid[#Data],$DE1582,49),0)</f>
        <v/>
      </c>
      <c r="BA1582">
        <f>IFERROR(INDEX(PP_Grid[#Data],$DE1582,50),0)</f>
        <v/>
      </c>
      <c r="BB1582">
        <f>IFERROR(INDEX(PP_Grid[#Data],$DE1582,51),0)</f>
        <v/>
      </c>
      <c r="BC1582">
        <f>IFERROR(INDEX(PP_Grid[#Data],$DE1582,52),0)</f>
        <v/>
      </c>
      <c r="BD1582">
        <f>IFERROR(INDEX(PP_Grid[#Data],$DE1582,53),0)</f>
        <v/>
      </c>
      <c r="BE1582">
        <f>IFERROR(INDEX(PP_Grid[#Data],$DE1582,54),0)</f>
        <v/>
      </c>
      <c r="BF1582">
        <f>IFERROR(INDEX(PP_Grid[#Data],$DE1582,55),0)</f>
        <v/>
      </c>
      <c r="BG1582">
        <f>IFERROR(INDEX(PP_Grid[#Data],$DE1582,56),0)</f>
        <v/>
      </c>
      <c r="BH1582">
        <f>IFERROR(INDEX(PP_Grid[#Data],$DE1582,57),0)</f>
        <v/>
      </c>
      <c r="BI1582">
        <f>IFERROR(INDEX(PP_Grid[#Data],$DE1582,58),0)</f>
        <v/>
      </c>
      <c r="BJ1582">
        <f>IFERROR(INDEX(PP_Grid[#Data],$DE1582,59),0)</f>
        <v/>
      </c>
      <c r="BK1582">
        <f>IFERROR(INDEX(PP_Grid[#Data],$DE1582,60),0)</f>
        <v/>
      </c>
      <c r="BL1582">
        <f>IFERROR(INDEX(PP_Grid[#Data],$DE1582,61),0)</f>
        <v/>
      </c>
      <c r="BM1582">
        <f>IFERROR(INDEX(PP_Grid[#Data],$DE1582,62),0)</f>
        <v/>
      </c>
      <c r="BN1582">
        <f>IFERROR(INDEX(PP_Grid[#Data],$DE1582,63),0)</f>
        <v/>
      </c>
      <c r="BO1582">
        <f>IFERROR(INDEX(PP_Grid[#Data],$DE1582,64),0)</f>
        <v/>
      </c>
      <c r="BP1582">
        <f>IFERROR(INDEX(PP_Grid[#Data],$DE1582,65),0)</f>
        <v/>
      </c>
      <c r="BQ1582">
        <f>IFERROR(INDEX(PP_Grid[#Data],$DE1582,66),0)</f>
        <v/>
      </c>
      <c r="BR1582">
        <f>IFERROR(INDEX(PP_Grid[#Data],$DE1582,67),0)</f>
        <v/>
      </c>
      <c r="BS1582">
        <f>IFERROR(INDEX(PP_Grid[#Data],$DE1582,68),0)</f>
        <v/>
      </c>
      <c r="BT1582">
        <f>IFERROR(INDEX(PP_Grid[#Data],$DE1582,69),0)</f>
        <v/>
      </c>
      <c r="BU1582">
        <f>IFERROR(INDEX(PP_Grid[#Data],$DE1582,70),0)</f>
        <v/>
      </c>
      <c r="BV1582">
        <f>IFERROR(INDEX(PP_Grid[#Data],$DE1582,71),0)</f>
        <v/>
      </c>
      <c r="BW1582">
        <f>IFERROR(INDEX(PP_Grid[#Data],$DE1582,72),0)</f>
        <v/>
      </c>
      <c r="BX1582">
        <f>IFERROR(INDEX(PP_Grid[#Data],$DE1582,73),0)</f>
        <v/>
      </c>
      <c r="BY1582">
        <f>IFERROR(INDEX(PP_Grid[#Data],$DE1582,74),0)</f>
        <v/>
      </c>
      <c r="BZ1582">
        <f>IFERROR(INDEX(PP_Grid[#Data],$DE1582,75),0)</f>
        <v/>
      </c>
      <c r="CA1582">
        <f>IFERROR(INDEX(PP_Grid[#Data],$DE1582,76),0)</f>
        <v/>
      </c>
      <c r="CB1582">
        <f>IFERROR(INDEX(PP_Grid[#Data],$DE1582,77),0)</f>
        <v/>
      </c>
      <c r="CC1582">
        <f>IFERROR(INDEX(PP_Grid[#Data],$DE1582,78),0)</f>
        <v/>
      </c>
      <c r="CD1582">
        <f>IFERROR(INDEX(PP_Grid[#Data],$DE1582,79),0)</f>
        <v/>
      </c>
      <c r="CE1582">
        <f>IFERROR(INDEX(PP_Grid[#Data],$DE1582,80),0)</f>
        <v/>
      </c>
      <c r="CF1582">
        <f>IFERROR(INDEX(PP_Grid[#Data],$DE1582,81),0)</f>
        <v/>
      </c>
      <c r="CG1582">
        <f>IFERROR(INDEX(PP_Grid[#Data],$DE1582,82),0)</f>
        <v/>
      </c>
      <c r="CH1582">
        <f>IFERROR(INDEX(PP_Grid[#Data],$DE1582,83),0)</f>
        <v/>
      </c>
      <c r="CI1582">
        <f>IFERROR(INDEX(PP_Grid[#Data],$DE1582,84),0)</f>
        <v/>
      </c>
      <c r="CJ1582">
        <f>IFERROR(INDEX(PP_Grid[#Data],$DE1582,85),0)</f>
        <v/>
      </c>
      <c r="CK1582">
        <f>IFERROR(INDEX(PP_Grid[#Data],$DE1582,86),0)</f>
        <v/>
      </c>
      <c r="CL1582">
        <f>IFERROR(INDEX(PP_Grid[#Data],$DE1582,87),0)</f>
        <v/>
      </c>
      <c r="CM1582">
        <f>IFERROR(INDEX(PP_Grid[#Data],$DE1582,88),0)</f>
        <v/>
      </c>
      <c r="CN1582">
        <f>IFERROR(INDEX(PP_Grid[#Data],$DE1582,89),0)</f>
        <v/>
      </c>
      <c r="CO1582">
        <f>IFERROR(INDEX(PP_Grid[#Data],$DE1582,90),0)</f>
        <v/>
      </c>
      <c r="CP1582">
        <f>IFERROR(INDEX(PP_Grid[#Data],$DE1582,91),0)</f>
        <v/>
      </c>
      <c r="CQ1582">
        <f>IFERROR(INDEX(PP_Grid[#Data],$DE1582,92),0)</f>
        <v/>
      </c>
      <c r="CR1582">
        <f>IFERROR(INDEX(PP_Grid[#Data],$DE1582,93),0)</f>
        <v/>
      </c>
      <c r="CS1582">
        <f>IFERROR(INDEX(PP_Grid[#Data],$DE1582,94),0)</f>
        <v/>
      </c>
      <c r="CT1582">
        <f>IFERROR(INDEX(PP_Grid[#Data],$DE1582,95),0)</f>
        <v/>
      </c>
      <c r="CU1582">
        <f>IFERROR(INDEX(PP_Grid[#Data],$DE1582,96),0)</f>
        <v/>
      </c>
      <c r="CV1582">
        <f>IFERROR(INDEX(PP_Grid[#Data],$DE1582,97),0)</f>
        <v/>
      </c>
      <c r="CW1582">
        <f>IFERROR(INDEX(PP_Grid[#Data],$DE1582,98),0)</f>
        <v/>
      </c>
      <c r="CX1582">
        <f>IFERROR(INDEX(PP_Grid[#Data],$DE1582,99),0)</f>
        <v/>
      </c>
      <c r="CY1582">
        <f>IFERROR(INDEX(PP_Grid[#Data],$DE1582,100),0)</f>
        <v/>
      </c>
      <c r="CZ1582">
        <f>IFERROR(INDEX(PP_Grid[#Data],$DE1582,101),0)</f>
        <v/>
      </c>
      <c r="DA1582">
        <f>IFERROR(INDEX(PP_Grid[#Data],$DE1582,102),0)</f>
        <v/>
      </c>
      <c r="DB1582">
        <f>IFERROR(INDEX(PP_Grid[#Data],$DE1582,103),0)</f>
        <v/>
      </c>
      <c r="DC1582">
        <f>IFERROR(INDEX(PP_Grid[#Data],$DE1582,104),0)</f>
        <v/>
      </c>
      <c r="DD1582">
        <f>IFERROR(INDEX(PP_Grid[#Data],$DE1582,105),0)</f>
        <v/>
      </c>
      <c r="DE1582" s="7">
        <f>IFERROR(MATCH($B1582,PP_Grid[Intermediate],0),99999)</f>
        <v/>
      </c>
    </row>
    <row r="1583">
      <c r="B1583" t="inlineStr">
        <is>
          <t>使用量(kg)</t>
        </is>
      </c>
      <c r="C1583">
        <f>SUMIFS(M_BOM[RM_Qty_Per_Batch],M_BOM[Intermediate],$B1582,M_BOM[RM_Code],$A1579)</f>
        <v/>
      </c>
      <c r="D1583">
        <f>IFERROR(INDEX(E1583:DD1583,$F$1),"")</f>
        <v/>
      </c>
      <c r="E1583">
        <f>$C1583*E1582</f>
        <v/>
      </c>
      <c r="F1583">
        <f>$C1583*F1582</f>
        <v/>
      </c>
      <c r="G1583">
        <f>$C1583*G1582</f>
        <v/>
      </c>
      <c r="H1583">
        <f>$C1583*H1582</f>
        <v/>
      </c>
      <c r="I1583">
        <f>$C1583*I1582</f>
        <v/>
      </c>
      <c r="J1583">
        <f>$C1583*J1582</f>
        <v/>
      </c>
      <c r="K1583">
        <f>$C1583*K1582</f>
        <v/>
      </c>
      <c r="L1583">
        <f>$C1583*L1582</f>
        <v/>
      </c>
      <c r="M1583">
        <f>$C1583*M1582</f>
        <v/>
      </c>
      <c r="N1583">
        <f>$C1583*N1582</f>
        <v/>
      </c>
      <c r="O1583">
        <f>$C1583*O1582</f>
        <v/>
      </c>
      <c r="P1583">
        <f>$C1583*P1582</f>
        <v/>
      </c>
      <c r="Q1583">
        <f>$C1583*Q1582</f>
        <v/>
      </c>
      <c r="R1583">
        <f>$C1583*R1582</f>
        <v/>
      </c>
      <c r="S1583">
        <f>$C1583*S1582</f>
        <v/>
      </c>
      <c r="T1583">
        <f>$C1583*T1582</f>
        <v/>
      </c>
      <c r="U1583">
        <f>$C1583*U1582</f>
        <v/>
      </c>
      <c r="V1583">
        <f>$C1583*V1582</f>
        <v/>
      </c>
      <c r="W1583">
        <f>$C1583*W1582</f>
        <v/>
      </c>
      <c r="X1583">
        <f>$C1583*X1582</f>
        <v/>
      </c>
      <c r="Y1583">
        <f>$C1583*Y1582</f>
        <v/>
      </c>
      <c r="Z1583">
        <f>$C1583*Z1582</f>
        <v/>
      </c>
      <c r="AA1583">
        <f>$C1583*AA1582</f>
        <v/>
      </c>
      <c r="AB1583">
        <f>$C1583*AB1582</f>
        <v/>
      </c>
      <c r="AC1583">
        <f>$C1583*AC1582</f>
        <v/>
      </c>
      <c r="AD1583">
        <f>$C1583*AD1582</f>
        <v/>
      </c>
      <c r="AE1583">
        <f>$C1583*AE1582</f>
        <v/>
      </c>
      <c r="AF1583">
        <f>$C1583*AF1582</f>
        <v/>
      </c>
      <c r="AG1583">
        <f>$C1583*AG1582</f>
        <v/>
      </c>
      <c r="AH1583">
        <f>$C1583*AH1582</f>
        <v/>
      </c>
      <c r="AI1583">
        <f>$C1583*AI1582</f>
        <v/>
      </c>
      <c r="AJ1583">
        <f>$C1583*AJ1582</f>
        <v/>
      </c>
      <c r="AK1583">
        <f>$C1583*AK1582</f>
        <v/>
      </c>
      <c r="AL1583">
        <f>$C1583*AL1582</f>
        <v/>
      </c>
      <c r="AM1583">
        <f>$C1583*AM1582</f>
        <v/>
      </c>
      <c r="AN1583">
        <f>$C1583*AN1582</f>
        <v/>
      </c>
      <c r="AO1583">
        <f>$C1583*AO1582</f>
        <v/>
      </c>
      <c r="AP1583">
        <f>$C1583*AP1582</f>
        <v/>
      </c>
      <c r="AQ1583">
        <f>$C1583*AQ1582</f>
        <v/>
      </c>
      <c r="AR1583">
        <f>$C1583*AR1582</f>
        <v/>
      </c>
      <c r="AS1583">
        <f>$C1583*AS1582</f>
        <v/>
      </c>
      <c r="AT1583">
        <f>$C1583*AT1582</f>
        <v/>
      </c>
      <c r="AU1583">
        <f>$C1583*AU1582</f>
        <v/>
      </c>
      <c r="AV1583">
        <f>$C1583*AV1582</f>
        <v/>
      </c>
      <c r="AW1583">
        <f>$C1583*AW1582</f>
        <v/>
      </c>
      <c r="AX1583">
        <f>$C1583*AX1582</f>
        <v/>
      </c>
      <c r="AY1583">
        <f>$C1583*AY1582</f>
        <v/>
      </c>
      <c r="AZ1583">
        <f>$C1583*AZ1582</f>
        <v/>
      </c>
      <c r="BA1583">
        <f>$C1583*BA1582</f>
        <v/>
      </c>
      <c r="BB1583">
        <f>$C1583*BB1582</f>
        <v/>
      </c>
      <c r="BC1583">
        <f>$C1583*BC1582</f>
        <v/>
      </c>
      <c r="BD1583">
        <f>$C1583*BD1582</f>
        <v/>
      </c>
      <c r="BE1583">
        <f>$C1583*BE1582</f>
        <v/>
      </c>
      <c r="BF1583">
        <f>$C1583*BF1582</f>
        <v/>
      </c>
      <c r="BG1583">
        <f>$C1583*BG1582</f>
        <v/>
      </c>
      <c r="BH1583">
        <f>$C1583*BH1582</f>
        <v/>
      </c>
      <c r="BI1583">
        <f>$C1583*BI1582</f>
        <v/>
      </c>
      <c r="BJ1583">
        <f>$C1583*BJ1582</f>
        <v/>
      </c>
      <c r="BK1583">
        <f>$C1583*BK1582</f>
        <v/>
      </c>
      <c r="BL1583">
        <f>$C1583*BL1582</f>
        <v/>
      </c>
      <c r="BM1583">
        <f>$C1583*BM1582</f>
        <v/>
      </c>
      <c r="BN1583">
        <f>$C1583*BN1582</f>
        <v/>
      </c>
      <c r="BO1583">
        <f>$C1583*BO1582</f>
        <v/>
      </c>
      <c r="BP1583">
        <f>$C1583*BP1582</f>
        <v/>
      </c>
      <c r="BQ1583">
        <f>$C1583*BQ1582</f>
        <v/>
      </c>
      <c r="BR1583">
        <f>$C1583*BR1582</f>
        <v/>
      </c>
      <c r="BS1583">
        <f>$C1583*BS1582</f>
        <v/>
      </c>
      <c r="BT1583">
        <f>$C1583*BT1582</f>
        <v/>
      </c>
      <c r="BU1583">
        <f>$C1583*BU1582</f>
        <v/>
      </c>
      <c r="BV1583">
        <f>$C1583*BV1582</f>
        <v/>
      </c>
      <c r="BW1583">
        <f>$C1583*BW1582</f>
        <v/>
      </c>
      <c r="BX1583">
        <f>$C1583*BX1582</f>
        <v/>
      </c>
      <c r="BY1583">
        <f>$C1583*BY1582</f>
        <v/>
      </c>
      <c r="BZ1583">
        <f>$C1583*BZ1582</f>
        <v/>
      </c>
      <c r="CA1583">
        <f>$C1583*CA1582</f>
        <v/>
      </c>
      <c r="CB1583">
        <f>$C1583*CB1582</f>
        <v/>
      </c>
      <c r="CC1583">
        <f>$C1583*CC1582</f>
        <v/>
      </c>
      <c r="CD1583">
        <f>$C1583*CD1582</f>
        <v/>
      </c>
      <c r="CE1583">
        <f>$C1583*CE1582</f>
        <v/>
      </c>
      <c r="CF1583">
        <f>$C1583*CF1582</f>
        <v/>
      </c>
      <c r="CG1583">
        <f>$C1583*CG1582</f>
        <v/>
      </c>
      <c r="CH1583">
        <f>$C1583*CH1582</f>
        <v/>
      </c>
      <c r="CI1583">
        <f>$C1583*CI1582</f>
        <v/>
      </c>
      <c r="CJ1583">
        <f>$C1583*CJ1582</f>
        <v/>
      </c>
      <c r="CK1583">
        <f>$C1583*CK1582</f>
        <v/>
      </c>
      <c r="CL1583">
        <f>$C1583*CL1582</f>
        <v/>
      </c>
      <c r="CM1583">
        <f>$C1583*CM1582</f>
        <v/>
      </c>
      <c r="CN1583">
        <f>$C1583*CN1582</f>
        <v/>
      </c>
      <c r="CO1583">
        <f>$C1583*CO1582</f>
        <v/>
      </c>
      <c r="CP1583">
        <f>$C1583*CP1582</f>
        <v/>
      </c>
      <c r="CQ1583">
        <f>$C1583*CQ1582</f>
        <v/>
      </c>
      <c r="CR1583">
        <f>$C1583*CR1582</f>
        <v/>
      </c>
      <c r="CS1583">
        <f>$C1583*CS1582</f>
        <v/>
      </c>
      <c r="CT1583">
        <f>$C1583*CT1582</f>
        <v/>
      </c>
      <c r="CU1583">
        <f>$C1583*CU1582</f>
        <v/>
      </c>
      <c r="CV1583">
        <f>$C1583*CV1582</f>
        <v/>
      </c>
      <c r="CW1583">
        <f>$C1583*CW1582</f>
        <v/>
      </c>
      <c r="CX1583">
        <f>$C1583*CX1582</f>
        <v/>
      </c>
      <c r="CY1583">
        <f>$C1583*CY1582</f>
        <v/>
      </c>
      <c r="CZ1583">
        <f>$C1583*CZ1582</f>
        <v/>
      </c>
      <c r="DA1583">
        <f>$C1583*DA1582</f>
        <v/>
      </c>
      <c r="DB1583">
        <f>$C1583*DB1582</f>
        <v/>
      </c>
      <c r="DC1583">
        <f>$C1583*DC1582</f>
        <v/>
      </c>
      <c r="DD1583">
        <f>$C1583*DD1582</f>
        <v/>
      </c>
    </row>
    <row r="1584">
      <c r="B1584" t="inlineStr">
        <is>
          <t>TSP-219</t>
        </is>
      </c>
      <c r="C1584" t="inlineStr">
        <is>
          <t>No. of batches</t>
        </is>
      </c>
      <c r="D1584">
        <f>IFERROR(INDEX(E1584:DD1584,$F$1),"")</f>
        <v/>
      </c>
      <c r="E1584">
        <f>IFERROR(INDEX(PP_Grid[#Data],$DE1584,2),0)</f>
        <v/>
      </c>
      <c r="F1584">
        <f>IFERROR(INDEX(PP_Grid[#Data],$DE1584,3),0)</f>
        <v/>
      </c>
      <c r="G1584">
        <f>IFERROR(INDEX(PP_Grid[#Data],$DE1584,4),0)</f>
        <v/>
      </c>
      <c r="H1584">
        <f>IFERROR(INDEX(PP_Grid[#Data],$DE1584,5),0)</f>
        <v/>
      </c>
      <c r="I1584">
        <f>IFERROR(INDEX(PP_Grid[#Data],$DE1584,6),0)</f>
        <v/>
      </c>
      <c r="J1584">
        <f>IFERROR(INDEX(PP_Grid[#Data],$DE1584,7),0)</f>
        <v/>
      </c>
      <c r="K1584">
        <f>IFERROR(INDEX(PP_Grid[#Data],$DE1584,8),0)</f>
        <v/>
      </c>
      <c r="L1584">
        <f>IFERROR(INDEX(PP_Grid[#Data],$DE1584,9),0)</f>
        <v/>
      </c>
      <c r="M1584">
        <f>IFERROR(INDEX(PP_Grid[#Data],$DE1584,10),0)</f>
        <v/>
      </c>
      <c r="N1584">
        <f>IFERROR(INDEX(PP_Grid[#Data],$DE1584,11),0)</f>
        <v/>
      </c>
      <c r="O1584">
        <f>IFERROR(INDEX(PP_Grid[#Data],$DE1584,12),0)</f>
        <v/>
      </c>
      <c r="P1584">
        <f>IFERROR(INDEX(PP_Grid[#Data],$DE1584,13),0)</f>
        <v/>
      </c>
      <c r="Q1584">
        <f>IFERROR(INDEX(PP_Grid[#Data],$DE1584,14),0)</f>
        <v/>
      </c>
      <c r="R1584">
        <f>IFERROR(INDEX(PP_Grid[#Data],$DE1584,15),0)</f>
        <v/>
      </c>
      <c r="S1584">
        <f>IFERROR(INDEX(PP_Grid[#Data],$DE1584,16),0)</f>
        <v/>
      </c>
      <c r="T1584">
        <f>IFERROR(INDEX(PP_Grid[#Data],$DE1584,17),0)</f>
        <v/>
      </c>
      <c r="U1584">
        <f>IFERROR(INDEX(PP_Grid[#Data],$DE1584,18),0)</f>
        <v/>
      </c>
      <c r="V1584">
        <f>IFERROR(INDEX(PP_Grid[#Data],$DE1584,19),0)</f>
        <v/>
      </c>
      <c r="W1584">
        <f>IFERROR(INDEX(PP_Grid[#Data],$DE1584,20),0)</f>
        <v/>
      </c>
      <c r="X1584">
        <f>IFERROR(INDEX(PP_Grid[#Data],$DE1584,21),0)</f>
        <v/>
      </c>
      <c r="Y1584">
        <f>IFERROR(INDEX(PP_Grid[#Data],$DE1584,22),0)</f>
        <v/>
      </c>
      <c r="Z1584">
        <f>IFERROR(INDEX(PP_Grid[#Data],$DE1584,23),0)</f>
        <v/>
      </c>
      <c r="AA1584">
        <f>IFERROR(INDEX(PP_Grid[#Data],$DE1584,24),0)</f>
        <v/>
      </c>
      <c r="AB1584">
        <f>IFERROR(INDEX(PP_Grid[#Data],$DE1584,25),0)</f>
        <v/>
      </c>
      <c r="AC1584">
        <f>IFERROR(INDEX(PP_Grid[#Data],$DE1584,26),0)</f>
        <v/>
      </c>
      <c r="AD1584">
        <f>IFERROR(INDEX(PP_Grid[#Data],$DE1584,27),0)</f>
        <v/>
      </c>
      <c r="AE1584">
        <f>IFERROR(INDEX(PP_Grid[#Data],$DE1584,28),0)</f>
        <v/>
      </c>
      <c r="AF1584">
        <f>IFERROR(INDEX(PP_Grid[#Data],$DE1584,29),0)</f>
        <v/>
      </c>
      <c r="AG1584">
        <f>IFERROR(INDEX(PP_Grid[#Data],$DE1584,30),0)</f>
        <v/>
      </c>
      <c r="AH1584">
        <f>IFERROR(INDEX(PP_Grid[#Data],$DE1584,31),0)</f>
        <v/>
      </c>
      <c r="AI1584">
        <f>IFERROR(INDEX(PP_Grid[#Data],$DE1584,32),0)</f>
        <v/>
      </c>
      <c r="AJ1584">
        <f>IFERROR(INDEX(PP_Grid[#Data],$DE1584,33),0)</f>
        <v/>
      </c>
      <c r="AK1584">
        <f>IFERROR(INDEX(PP_Grid[#Data],$DE1584,34),0)</f>
        <v/>
      </c>
      <c r="AL1584">
        <f>IFERROR(INDEX(PP_Grid[#Data],$DE1584,35),0)</f>
        <v/>
      </c>
      <c r="AM1584">
        <f>IFERROR(INDEX(PP_Grid[#Data],$DE1584,36),0)</f>
        <v/>
      </c>
      <c r="AN1584">
        <f>IFERROR(INDEX(PP_Grid[#Data],$DE1584,37),0)</f>
        <v/>
      </c>
      <c r="AO1584">
        <f>IFERROR(INDEX(PP_Grid[#Data],$DE1584,38),0)</f>
        <v/>
      </c>
      <c r="AP1584">
        <f>IFERROR(INDEX(PP_Grid[#Data],$DE1584,39),0)</f>
        <v/>
      </c>
      <c r="AQ1584">
        <f>IFERROR(INDEX(PP_Grid[#Data],$DE1584,40),0)</f>
        <v/>
      </c>
      <c r="AR1584">
        <f>IFERROR(INDEX(PP_Grid[#Data],$DE1584,41),0)</f>
        <v/>
      </c>
      <c r="AS1584">
        <f>IFERROR(INDEX(PP_Grid[#Data],$DE1584,42),0)</f>
        <v/>
      </c>
      <c r="AT1584">
        <f>IFERROR(INDEX(PP_Grid[#Data],$DE1584,43),0)</f>
        <v/>
      </c>
      <c r="AU1584">
        <f>IFERROR(INDEX(PP_Grid[#Data],$DE1584,44),0)</f>
        <v/>
      </c>
      <c r="AV1584">
        <f>IFERROR(INDEX(PP_Grid[#Data],$DE1584,45),0)</f>
        <v/>
      </c>
      <c r="AW1584">
        <f>IFERROR(INDEX(PP_Grid[#Data],$DE1584,46),0)</f>
        <v/>
      </c>
      <c r="AX1584">
        <f>IFERROR(INDEX(PP_Grid[#Data],$DE1584,47),0)</f>
        <v/>
      </c>
      <c r="AY1584">
        <f>IFERROR(INDEX(PP_Grid[#Data],$DE1584,48),0)</f>
        <v/>
      </c>
      <c r="AZ1584">
        <f>IFERROR(INDEX(PP_Grid[#Data],$DE1584,49),0)</f>
        <v/>
      </c>
      <c r="BA1584">
        <f>IFERROR(INDEX(PP_Grid[#Data],$DE1584,50),0)</f>
        <v/>
      </c>
      <c r="BB1584">
        <f>IFERROR(INDEX(PP_Grid[#Data],$DE1584,51),0)</f>
        <v/>
      </c>
      <c r="BC1584">
        <f>IFERROR(INDEX(PP_Grid[#Data],$DE1584,52),0)</f>
        <v/>
      </c>
      <c r="BD1584">
        <f>IFERROR(INDEX(PP_Grid[#Data],$DE1584,53),0)</f>
        <v/>
      </c>
      <c r="BE1584">
        <f>IFERROR(INDEX(PP_Grid[#Data],$DE1584,54),0)</f>
        <v/>
      </c>
      <c r="BF1584">
        <f>IFERROR(INDEX(PP_Grid[#Data],$DE1584,55),0)</f>
        <v/>
      </c>
      <c r="BG1584">
        <f>IFERROR(INDEX(PP_Grid[#Data],$DE1584,56),0)</f>
        <v/>
      </c>
      <c r="BH1584">
        <f>IFERROR(INDEX(PP_Grid[#Data],$DE1584,57),0)</f>
        <v/>
      </c>
      <c r="BI1584">
        <f>IFERROR(INDEX(PP_Grid[#Data],$DE1584,58),0)</f>
        <v/>
      </c>
      <c r="BJ1584">
        <f>IFERROR(INDEX(PP_Grid[#Data],$DE1584,59),0)</f>
        <v/>
      </c>
      <c r="BK1584">
        <f>IFERROR(INDEX(PP_Grid[#Data],$DE1584,60),0)</f>
        <v/>
      </c>
      <c r="BL1584">
        <f>IFERROR(INDEX(PP_Grid[#Data],$DE1584,61),0)</f>
        <v/>
      </c>
      <c r="BM1584">
        <f>IFERROR(INDEX(PP_Grid[#Data],$DE1584,62),0)</f>
        <v/>
      </c>
      <c r="BN1584">
        <f>IFERROR(INDEX(PP_Grid[#Data],$DE1584,63),0)</f>
        <v/>
      </c>
      <c r="BO1584">
        <f>IFERROR(INDEX(PP_Grid[#Data],$DE1584,64),0)</f>
        <v/>
      </c>
      <c r="BP1584">
        <f>IFERROR(INDEX(PP_Grid[#Data],$DE1584,65),0)</f>
        <v/>
      </c>
      <c r="BQ1584">
        <f>IFERROR(INDEX(PP_Grid[#Data],$DE1584,66),0)</f>
        <v/>
      </c>
      <c r="BR1584">
        <f>IFERROR(INDEX(PP_Grid[#Data],$DE1584,67),0)</f>
        <v/>
      </c>
      <c r="BS1584">
        <f>IFERROR(INDEX(PP_Grid[#Data],$DE1584,68),0)</f>
        <v/>
      </c>
      <c r="BT1584">
        <f>IFERROR(INDEX(PP_Grid[#Data],$DE1584,69),0)</f>
        <v/>
      </c>
      <c r="BU1584">
        <f>IFERROR(INDEX(PP_Grid[#Data],$DE1584,70),0)</f>
        <v/>
      </c>
      <c r="BV1584">
        <f>IFERROR(INDEX(PP_Grid[#Data],$DE1584,71),0)</f>
        <v/>
      </c>
      <c r="BW1584">
        <f>IFERROR(INDEX(PP_Grid[#Data],$DE1584,72),0)</f>
        <v/>
      </c>
      <c r="BX1584">
        <f>IFERROR(INDEX(PP_Grid[#Data],$DE1584,73),0)</f>
        <v/>
      </c>
      <c r="BY1584">
        <f>IFERROR(INDEX(PP_Grid[#Data],$DE1584,74),0)</f>
        <v/>
      </c>
      <c r="BZ1584">
        <f>IFERROR(INDEX(PP_Grid[#Data],$DE1584,75),0)</f>
        <v/>
      </c>
      <c r="CA1584">
        <f>IFERROR(INDEX(PP_Grid[#Data],$DE1584,76),0)</f>
        <v/>
      </c>
      <c r="CB1584">
        <f>IFERROR(INDEX(PP_Grid[#Data],$DE1584,77),0)</f>
        <v/>
      </c>
      <c r="CC1584">
        <f>IFERROR(INDEX(PP_Grid[#Data],$DE1584,78),0)</f>
        <v/>
      </c>
      <c r="CD1584">
        <f>IFERROR(INDEX(PP_Grid[#Data],$DE1584,79),0)</f>
        <v/>
      </c>
      <c r="CE1584">
        <f>IFERROR(INDEX(PP_Grid[#Data],$DE1584,80),0)</f>
        <v/>
      </c>
      <c r="CF1584">
        <f>IFERROR(INDEX(PP_Grid[#Data],$DE1584,81),0)</f>
        <v/>
      </c>
      <c r="CG1584">
        <f>IFERROR(INDEX(PP_Grid[#Data],$DE1584,82),0)</f>
        <v/>
      </c>
      <c r="CH1584">
        <f>IFERROR(INDEX(PP_Grid[#Data],$DE1584,83),0)</f>
        <v/>
      </c>
      <c r="CI1584">
        <f>IFERROR(INDEX(PP_Grid[#Data],$DE1584,84),0)</f>
        <v/>
      </c>
      <c r="CJ1584">
        <f>IFERROR(INDEX(PP_Grid[#Data],$DE1584,85),0)</f>
        <v/>
      </c>
      <c r="CK1584">
        <f>IFERROR(INDEX(PP_Grid[#Data],$DE1584,86),0)</f>
        <v/>
      </c>
      <c r="CL1584">
        <f>IFERROR(INDEX(PP_Grid[#Data],$DE1584,87),0)</f>
        <v/>
      </c>
      <c r="CM1584">
        <f>IFERROR(INDEX(PP_Grid[#Data],$DE1584,88),0)</f>
        <v/>
      </c>
      <c r="CN1584">
        <f>IFERROR(INDEX(PP_Grid[#Data],$DE1584,89),0)</f>
        <v/>
      </c>
      <c r="CO1584">
        <f>IFERROR(INDEX(PP_Grid[#Data],$DE1584,90),0)</f>
        <v/>
      </c>
      <c r="CP1584">
        <f>IFERROR(INDEX(PP_Grid[#Data],$DE1584,91),0)</f>
        <v/>
      </c>
      <c r="CQ1584">
        <f>IFERROR(INDEX(PP_Grid[#Data],$DE1584,92),0)</f>
        <v/>
      </c>
      <c r="CR1584">
        <f>IFERROR(INDEX(PP_Grid[#Data],$DE1584,93),0)</f>
        <v/>
      </c>
      <c r="CS1584">
        <f>IFERROR(INDEX(PP_Grid[#Data],$DE1584,94),0)</f>
        <v/>
      </c>
      <c r="CT1584">
        <f>IFERROR(INDEX(PP_Grid[#Data],$DE1584,95),0)</f>
        <v/>
      </c>
      <c r="CU1584">
        <f>IFERROR(INDEX(PP_Grid[#Data],$DE1584,96),0)</f>
        <v/>
      </c>
      <c r="CV1584">
        <f>IFERROR(INDEX(PP_Grid[#Data],$DE1584,97),0)</f>
        <v/>
      </c>
      <c r="CW1584">
        <f>IFERROR(INDEX(PP_Grid[#Data],$DE1584,98),0)</f>
        <v/>
      </c>
      <c r="CX1584">
        <f>IFERROR(INDEX(PP_Grid[#Data],$DE1584,99),0)</f>
        <v/>
      </c>
      <c r="CY1584">
        <f>IFERROR(INDEX(PP_Grid[#Data],$DE1584,100),0)</f>
        <v/>
      </c>
      <c r="CZ1584">
        <f>IFERROR(INDEX(PP_Grid[#Data],$DE1584,101),0)</f>
        <v/>
      </c>
      <c r="DA1584">
        <f>IFERROR(INDEX(PP_Grid[#Data],$DE1584,102),0)</f>
        <v/>
      </c>
      <c r="DB1584">
        <f>IFERROR(INDEX(PP_Grid[#Data],$DE1584,103),0)</f>
        <v/>
      </c>
      <c r="DC1584">
        <f>IFERROR(INDEX(PP_Grid[#Data],$DE1584,104),0)</f>
        <v/>
      </c>
      <c r="DD1584">
        <f>IFERROR(INDEX(PP_Grid[#Data],$DE1584,105),0)</f>
        <v/>
      </c>
      <c r="DE1584" s="7">
        <f>IFERROR(MATCH($B1584,PP_Grid[Intermediate],0),99999)</f>
        <v/>
      </c>
    </row>
    <row r="1585">
      <c r="B1585" t="inlineStr">
        <is>
          <t>使用量(kg)</t>
        </is>
      </c>
      <c r="C1585">
        <f>SUMIFS(M_BOM[RM_Qty_Per_Batch],M_BOM[Intermediate],$B1584,M_BOM[RM_Code],$A1579)</f>
        <v/>
      </c>
      <c r="D1585">
        <f>IFERROR(INDEX(E1585:DD1585,$F$1),"")</f>
        <v/>
      </c>
      <c r="E1585">
        <f>$C1585*E1584</f>
        <v/>
      </c>
      <c r="F1585">
        <f>$C1585*F1584</f>
        <v/>
      </c>
      <c r="G1585">
        <f>$C1585*G1584</f>
        <v/>
      </c>
      <c r="H1585">
        <f>$C1585*H1584</f>
        <v/>
      </c>
      <c r="I1585">
        <f>$C1585*I1584</f>
        <v/>
      </c>
      <c r="J1585">
        <f>$C1585*J1584</f>
        <v/>
      </c>
      <c r="K1585">
        <f>$C1585*K1584</f>
        <v/>
      </c>
      <c r="L1585">
        <f>$C1585*L1584</f>
        <v/>
      </c>
      <c r="M1585">
        <f>$C1585*M1584</f>
        <v/>
      </c>
      <c r="N1585">
        <f>$C1585*N1584</f>
        <v/>
      </c>
      <c r="O1585">
        <f>$C1585*O1584</f>
        <v/>
      </c>
      <c r="P1585">
        <f>$C1585*P1584</f>
        <v/>
      </c>
      <c r="Q1585">
        <f>$C1585*Q1584</f>
        <v/>
      </c>
      <c r="R1585">
        <f>$C1585*R1584</f>
        <v/>
      </c>
      <c r="S1585">
        <f>$C1585*S1584</f>
        <v/>
      </c>
      <c r="T1585">
        <f>$C1585*T1584</f>
        <v/>
      </c>
      <c r="U1585">
        <f>$C1585*U1584</f>
        <v/>
      </c>
      <c r="V1585">
        <f>$C1585*V1584</f>
        <v/>
      </c>
      <c r="W1585">
        <f>$C1585*W1584</f>
        <v/>
      </c>
      <c r="X1585">
        <f>$C1585*X1584</f>
        <v/>
      </c>
      <c r="Y1585">
        <f>$C1585*Y1584</f>
        <v/>
      </c>
      <c r="Z1585">
        <f>$C1585*Z1584</f>
        <v/>
      </c>
      <c r="AA1585">
        <f>$C1585*AA1584</f>
        <v/>
      </c>
      <c r="AB1585">
        <f>$C1585*AB1584</f>
        <v/>
      </c>
      <c r="AC1585">
        <f>$C1585*AC1584</f>
        <v/>
      </c>
      <c r="AD1585">
        <f>$C1585*AD1584</f>
        <v/>
      </c>
      <c r="AE1585">
        <f>$C1585*AE1584</f>
        <v/>
      </c>
      <c r="AF1585">
        <f>$C1585*AF1584</f>
        <v/>
      </c>
      <c r="AG1585">
        <f>$C1585*AG1584</f>
        <v/>
      </c>
      <c r="AH1585">
        <f>$C1585*AH1584</f>
        <v/>
      </c>
      <c r="AI1585">
        <f>$C1585*AI1584</f>
        <v/>
      </c>
      <c r="AJ1585">
        <f>$C1585*AJ1584</f>
        <v/>
      </c>
      <c r="AK1585">
        <f>$C1585*AK1584</f>
        <v/>
      </c>
      <c r="AL1585">
        <f>$C1585*AL1584</f>
        <v/>
      </c>
      <c r="AM1585">
        <f>$C1585*AM1584</f>
        <v/>
      </c>
      <c r="AN1585">
        <f>$C1585*AN1584</f>
        <v/>
      </c>
      <c r="AO1585">
        <f>$C1585*AO1584</f>
        <v/>
      </c>
      <c r="AP1585">
        <f>$C1585*AP1584</f>
        <v/>
      </c>
      <c r="AQ1585">
        <f>$C1585*AQ1584</f>
        <v/>
      </c>
      <c r="AR1585">
        <f>$C1585*AR1584</f>
        <v/>
      </c>
      <c r="AS1585">
        <f>$C1585*AS1584</f>
        <v/>
      </c>
      <c r="AT1585">
        <f>$C1585*AT1584</f>
        <v/>
      </c>
      <c r="AU1585">
        <f>$C1585*AU1584</f>
        <v/>
      </c>
      <c r="AV1585">
        <f>$C1585*AV1584</f>
        <v/>
      </c>
      <c r="AW1585">
        <f>$C1585*AW1584</f>
        <v/>
      </c>
      <c r="AX1585">
        <f>$C1585*AX1584</f>
        <v/>
      </c>
      <c r="AY1585">
        <f>$C1585*AY1584</f>
        <v/>
      </c>
      <c r="AZ1585">
        <f>$C1585*AZ1584</f>
        <v/>
      </c>
      <c r="BA1585">
        <f>$C1585*BA1584</f>
        <v/>
      </c>
      <c r="BB1585">
        <f>$C1585*BB1584</f>
        <v/>
      </c>
      <c r="BC1585">
        <f>$C1585*BC1584</f>
        <v/>
      </c>
      <c r="BD1585">
        <f>$C1585*BD1584</f>
        <v/>
      </c>
      <c r="BE1585">
        <f>$C1585*BE1584</f>
        <v/>
      </c>
      <c r="BF1585">
        <f>$C1585*BF1584</f>
        <v/>
      </c>
      <c r="BG1585">
        <f>$C1585*BG1584</f>
        <v/>
      </c>
      <c r="BH1585">
        <f>$C1585*BH1584</f>
        <v/>
      </c>
      <c r="BI1585">
        <f>$C1585*BI1584</f>
        <v/>
      </c>
      <c r="BJ1585">
        <f>$C1585*BJ1584</f>
        <v/>
      </c>
      <c r="BK1585">
        <f>$C1585*BK1584</f>
        <v/>
      </c>
      <c r="BL1585">
        <f>$C1585*BL1584</f>
        <v/>
      </c>
      <c r="BM1585">
        <f>$C1585*BM1584</f>
        <v/>
      </c>
      <c r="BN1585">
        <f>$C1585*BN1584</f>
        <v/>
      </c>
      <c r="BO1585">
        <f>$C1585*BO1584</f>
        <v/>
      </c>
      <c r="BP1585">
        <f>$C1585*BP1584</f>
        <v/>
      </c>
      <c r="BQ1585">
        <f>$C1585*BQ1584</f>
        <v/>
      </c>
      <c r="BR1585">
        <f>$C1585*BR1584</f>
        <v/>
      </c>
      <c r="BS1585">
        <f>$C1585*BS1584</f>
        <v/>
      </c>
      <c r="BT1585">
        <f>$C1585*BT1584</f>
        <v/>
      </c>
      <c r="BU1585">
        <f>$C1585*BU1584</f>
        <v/>
      </c>
      <c r="BV1585">
        <f>$C1585*BV1584</f>
        <v/>
      </c>
      <c r="BW1585">
        <f>$C1585*BW1584</f>
        <v/>
      </c>
      <c r="BX1585">
        <f>$C1585*BX1584</f>
        <v/>
      </c>
      <c r="BY1585">
        <f>$C1585*BY1584</f>
        <v/>
      </c>
      <c r="BZ1585">
        <f>$C1585*BZ1584</f>
        <v/>
      </c>
      <c r="CA1585">
        <f>$C1585*CA1584</f>
        <v/>
      </c>
      <c r="CB1585">
        <f>$C1585*CB1584</f>
        <v/>
      </c>
      <c r="CC1585">
        <f>$C1585*CC1584</f>
        <v/>
      </c>
      <c r="CD1585">
        <f>$C1585*CD1584</f>
        <v/>
      </c>
      <c r="CE1585">
        <f>$C1585*CE1584</f>
        <v/>
      </c>
      <c r="CF1585">
        <f>$C1585*CF1584</f>
        <v/>
      </c>
      <c r="CG1585">
        <f>$C1585*CG1584</f>
        <v/>
      </c>
      <c r="CH1585">
        <f>$C1585*CH1584</f>
        <v/>
      </c>
      <c r="CI1585">
        <f>$C1585*CI1584</f>
        <v/>
      </c>
      <c r="CJ1585">
        <f>$C1585*CJ1584</f>
        <v/>
      </c>
      <c r="CK1585">
        <f>$C1585*CK1584</f>
        <v/>
      </c>
      <c r="CL1585">
        <f>$C1585*CL1584</f>
        <v/>
      </c>
      <c r="CM1585">
        <f>$C1585*CM1584</f>
        <v/>
      </c>
      <c r="CN1585">
        <f>$C1585*CN1584</f>
        <v/>
      </c>
      <c r="CO1585">
        <f>$C1585*CO1584</f>
        <v/>
      </c>
      <c r="CP1585">
        <f>$C1585*CP1584</f>
        <v/>
      </c>
      <c r="CQ1585">
        <f>$C1585*CQ1584</f>
        <v/>
      </c>
      <c r="CR1585">
        <f>$C1585*CR1584</f>
        <v/>
      </c>
      <c r="CS1585">
        <f>$C1585*CS1584</f>
        <v/>
      </c>
      <c r="CT1585">
        <f>$C1585*CT1584</f>
        <v/>
      </c>
      <c r="CU1585">
        <f>$C1585*CU1584</f>
        <v/>
      </c>
      <c r="CV1585">
        <f>$C1585*CV1584</f>
        <v/>
      </c>
      <c r="CW1585">
        <f>$C1585*CW1584</f>
        <v/>
      </c>
      <c r="CX1585">
        <f>$C1585*CX1584</f>
        <v/>
      </c>
      <c r="CY1585">
        <f>$C1585*CY1584</f>
        <v/>
      </c>
      <c r="CZ1585">
        <f>$C1585*CZ1584</f>
        <v/>
      </c>
      <c r="DA1585">
        <f>$C1585*DA1584</f>
        <v/>
      </c>
      <c r="DB1585">
        <f>$C1585*DB1584</f>
        <v/>
      </c>
      <c r="DC1585">
        <f>$C1585*DC1584</f>
        <v/>
      </c>
      <c r="DD1585">
        <f>$C1585*DD1584</f>
        <v/>
      </c>
    </row>
    <row r="1586">
      <c r="B1586" s="4" t="inlineStr">
        <is>
          <t>合計使用量(kg)/週</t>
        </is>
      </c>
      <c r="D1586" s="22">
        <f>IFERROR(INDEX(E1586:DD1586,$F$1),"")</f>
        <v/>
      </c>
      <c r="E1586">
        <f>'Grid_Requirement'!B38</f>
        <v/>
      </c>
      <c r="F1586">
        <f>'Grid_Requirement'!C38</f>
        <v/>
      </c>
      <c r="G1586">
        <f>'Grid_Requirement'!D38</f>
        <v/>
      </c>
      <c r="H1586">
        <f>'Grid_Requirement'!E38</f>
        <v/>
      </c>
      <c r="I1586">
        <f>'Grid_Requirement'!F38</f>
        <v/>
      </c>
      <c r="J1586">
        <f>'Grid_Requirement'!G38</f>
        <v/>
      </c>
      <c r="K1586">
        <f>'Grid_Requirement'!H38</f>
        <v/>
      </c>
      <c r="L1586">
        <f>'Grid_Requirement'!I38</f>
        <v/>
      </c>
      <c r="M1586">
        <f>'Grid_Requirement'!J38</f>
        <v/>
      </c>
      <c r="N1586">
        <f>'Grid_Requirement'!K38</f>
        <v/>
      </c>
      <c r="O1586">
        <f>'Grid_Requirement'!L38</f>
        <v/>
      </c>
      <c r="P1586">
        <f>'Grid_Requirement'!M38</f>
        <v/>
      </c>
      <c r="Q1586">
        <f>'Grid_Requirement'!N38</f>
        <v/>
      </c>
      <c r="R1586">
        <f>'Grid_Requirement'!O38</f>
        <v/>
      </c>
      <c r="S1586">
        <f>'Grid_Requirement'!P38</f>
        <v/>
      </c>
      <c r="T1586">
        <f>'Grid_Requirement'!Q38</f>
        <v/>
      </c>
      <c r="U1586">
        <f>'Grid_Requirement'!R38</f>
        <v/>
      </c>
      <c r="V1586">
        <f>'Grid_Requirement'!S38</f>
        <v/>
      </c>
      <c r="W1586">
        <f>'Grid_Requirement'!T38</f>
        <v/>
      </c>
      <c r="X1586">
        <f>'Grid_Requirement'!U38</f>
        <v/>
      </c>
      <c r="Y1586">
        <f>'Grid_Requirement'!V38</f>
        <v/>
      </c>
      <c r="Z1586">
        <f>'Grid_Requirement'!W38</f>
        <v/>
      </c>
      <c r="AA1586">
        <f>'Grid_Requirement'!X38</f>
        <v/>
      </c>
      <c r="AB1586">
        <f>'Grid_Requirement'!Y38</f>
        <v/>
      </c>
      <c r="AC1586">
        <f>'Grid_Requirement'!Z38</f>
        <v/>
      </c>
      <c r="AD1586">
        <f>'Grid_Requirement'!AA38</f>
        <v/>
      </c>
      <c r="AE1586">
        <f>'Grid_Requirement'!AB38</f>
        <v/>
      </c>
      <c r="AF1586">
        <f>'Grid_Requirement'!AC38</f>
        <v/>
      </c>
      <c r="AG1586">
        <f>'Grid_Requirement'!AD38</f>
        <v/>
      </c>
      <c r="AH1586">
        <f>'Grid_Requirement'!AE38</f>
        <v/>
      </c>
      <c r="AI1586">
        <f>'Grid_Requirement'!AF38</f>
        <v/>
      </c>
      <c r="AJ1586">
        <f>'Grid_Requirement'!AG38</f>
        <v/>
      </c>
      <c r="AK1586">
        <f>'Grid_Requirement'!AH38</f>
        <v/>
      </c>
      <c r="AL1586">
        <f>'Grid_Requirement'!AI38</f>
        <v/>
      </c>
      <c r="AM1586">
        <f>'Grid_Requirement'!AJ38</f>
        <v/>
      </c>
      <c r="AN1586">
        <f>'Grid_Requirement'!AK38</f>
        <v/>
      </c>
      <c r="AO1586">
        <f>'Grid_Requirement'!AL38</f>
        <v/>
      </c>
      <c r="AP1586">
        <f>'Grid_Requirement'!AM38</f>
        <v/>
      </c>
      <c r="AQ1586">
        <f>'Grid_Requirement'!AN38</f>
        <v/>
      </c>
      <c r="AR1586">
        <f>'Grid_Requirement'!AO38</f>
        <v/>
      </c>
      <c r="AS1586">
        <f>'Grid_Requirement'!AP38</f>
        <v/>
      </c>
      <c r="AT1586">
        <f>'Grid_Requirement'!AQ38</f>
        <v/>
      </c>
      <c r="AU1586">
        <f>'Grid_Requirement'!AR38</f>
        <v/>
      </c>
      <c r="AV1586">
        <f>'Grid_Requirement'!AS38</f>
        <v/>
      </c>
      <c r="AW1586">
        <f>'Grid_Requirement'!AT38</f>
        <v/>
      </c>
      <c r="AX1586">
        <f>'Grid_Requirement'!AU38</f>
        <v/>
      </c>
      <c r="AY1586">
        <f>'Grid_Requirement'!AV38</f>
        <v/>
      </c>
      <c r="AZ1586">
        <f>'Grid_Requirement'!AW38</f>
        <v/>
      </c>
      <c r="BA1586">
        <f>'Grid_Requirement'!AX38</f>
        <v/>
      </c>
      <c r="BB1586">
        <f>'Grid_Requirement'!AY38</f>
        <v/>
      </c>
      <c r="BC1586">
        <f>'Grid_Requirement'!AZ38</f>
        <v/>
      </c>
      <c r="BD1586">
        <f>'Grid_Requirement'!BA38</f>
        <v/>
      </c>
      <c r="BE1586">
        <f>'Grid_Requirement'!BB38</f>
        <v/>
      </c>
      <c r="BF1586">
        <f>'Grid_Requirement'!BC38</f>
        <v/>
      </c>
      <c r="BG1586">
        <f>'Grid_Requirement'!BD38</f>
        <v/>
      </c>
      <c r="BH1586">
        <f>'Grid_Requirement'!BE38</f>
        <v/>
      </c>
      <c r="BI1586">
        <f>'Grid_Requirement'!BF38</f>
        <v/>
      </c>
      <c r="BJ1586">
        <f>'Grid_Requirement'!BG38</f>
        <v/>
      </c>
      <c r="BK1586">
        <f>'Grid_Requirement'!BH38</f>
        <v/>
      </c>
      <c r="BL1586">
        <f>'Grid_Requirement'!BI38</f>
        <v/>
      </c>
      <c r="BM1586">
        <f>'Grid_Requirement'!BJ38</f>
        <v/>
      </c>
      <c r="BN1586">
        <f>'Grid_Requirement'!BK38</f>
        <v/>
      </c>
      <c r="BO1586">
        <f>'Grid_Requirement'!BL38</f>
        <v/>
      </c>
      <c r="BP1586">
        <f>'Grid_Requirement'!BM38</f>
        <v/>
      </c>
      <c r="BQ1586">
        <f>'Grid_Requirement'!BN38</f>
        <v/>
      </c>
      <c r="BR1586">
        <f>'Grid_Requirement'!BO38</f>
        <v/>
      </c>
      <c r="BS1586">
        <f>'Grid_Requirement'!BP38</f>
        <v/>
      </c>
      <c r="BT1586">
        <f>'Grid_Requirement'!BQ38</f>
        <v/>
      </c>
      <c r="BU1586">
        <f>'Grid_Requirement'!BR38</f>
        <v/>
      </c>
      <c r="BV1586">
        <f>'Grid_Requirement'!BS38</f>
        <v/>
      </c>
      <c r="BW1586">
        <f>'Grid_Requirement'!BT38</f>
        <v/>
      </c>
      <c r="BX1586">
        <f>'Grid_Requirement'!BU38</f>
        <v/>
      </c>
      <c r="BY1586">
        <f>'Grid_Requirement'!BV38</f>
        <v/>
      </c>
      <c r="BZ1586">
        <f>'Grid_Requirement'!BW38</f>
        <v/>
      </c>
      <c r="CA1586">
        <f>'Grid_Requirement'!BX38</f>
        <v/>
      </c>
      <c r="CB1586">
        <f>'Grid_Requirement'!BY38</f>
        <v/>
      </c>
      <c r="CC1586">
        <f>'Grid_Requirement'!BZ38</f>
        <v/>
      </c>
      <c r="CD1586">
        <f>'Grid_Requirement'!CA38</f>
        <v/>
      </c>
      <c r="CE1586">
        <f>'Grid_Requirement'!CB38</f>
        <v/>
      </c>
      <c r="CF1586">
        <f>'Grid_Requirement'!CC38</f>
        <v/>
      </c>
      <c r="CG1586">
        <f>'Grid_Requirement'!CD38</f>
        <v/>
      </c>
      <c r="CH1586">
        <f>'Grid_Requirement'!CE38</f>
        <v/>
      </c>
      <c r="CI1586">
        <f>'Grid_Requirement'!CF38</f>
        <v/>
      </c>
      <c r="CJ1586">
        <f>'Grid_Requirement'!CG38</f>
        <v/>
      </c>
      <c r="CK1586">
        <f>'Grid_Requirement'!CH38</f>
        <v/>
      </c>
      <c r="CL1586">
        <f>'Grid_Requirement'!CI38</f>
        <v/>
      </c>
      <c r="CM1586">
        <f>'Grid_Requirement'!CJ38</f>
        <v/>
      </c>
      <c r="CN1586">
        <f>'Grid_Requirement'!CK38</f>
        <v/>
      </c>
      <c r="CO1586">
        <f>'Grid_Requirement'!CL38</f>
        <v/>
      </c>
      <c r="CP1586">
        <f>'Grid_Requirement'!CM38</f>
        <v/>
      </c>
      <c r="CQ1586">
        <f>'Grid_Requirement'!CN38</f>
        <v/>
      </c>
      <c r="CR1586">
        <f>'Grid_Requirement'!CO38</f>
        <v/>
      </c>
      <c r="CS1586">
        <f>'Grid_Requirement'!CP38</f>
        <v/>
      </c>
      <c r="CT1586">
        <f>'Grid_Requirement'!CQ38</f>
        <v/>
      </c>
      <c r="CU1586">
        <f>'Grid_Requirement'!CR38</f>
        <v/>
      </c>
      <c r="CV1586">
        <f>'Grid_Requirement'!CS38</f>
        <v/>
      </c>
      <c r="CW1586">
        <f>'Grid_Requirement'!CT38</f>
        <v/>
      </c>
      <c r="CX1586">
        <f>'Grid_Requirement'!CU38</f>
        <v/>
      </c>
      <c r="CY1586">
        <f>'Grid_Requirement'!CV38</f>
        <v/>
      </c>
      <c r="CZ1586">
        <f>'Grid_Requirement'!CW38</f>
        <v/>
      </c>
      <c r="DA1586">
        <f>'Grid_Requirement'!CX38</f>
        <v/>
      </c>
      <c r="DB1586">
        <f>'Grid_Requirement'!CY38</f>
        <v/>
      </c>
      <c r="DC1586">
        <f>'Grid_Requirement'!CZ38</f>
        <v/>
      </c>
      <c r="DD1586">
        <f>'Grid_Requirement'!DA38</f>
        <v/>
      </c>
    </row>
    <row r="1587">
      <c r="B1587" s="23" t="inlineStr">
        <is>
          <t>（在庫・入荷予定はDashboard参照）</t>
        </is>
      </c>
    </row>
    <row r="1589">
      <c r="A1589" s="21" t="inlineStr">
        <is>
          <t>CHEM-1830</t>
        </is>
      </c>
      <c r="B1589" s="21" t="inlineStr">
        <is>
          <t>RCT-43</t>
        </is>
      </c>
      <c r="C1589" s="21" t="n"/>
      <c r="D1589" s="21" t="n"/>
      <c r="E1589" s="21" t="n"/>
      <c r="F1589" s="21" t="n"/>
      <c r="G1589" s="21" t="n"/>
      <c r="H1589" s="21" t="n"/>
      <c r="I1589" s="21" t="n"/>
      <c r="J1589" s="21" t="n"/>
      <c r="K1589" s="21" t="n"/>
      <c r="L1589" s="21" t="n"/>
      <c r="M1589" s="21" t="n"/>
      <c r="N1589" s="21" t="n"/>
      <c r="O1589" s="21" t="n"/>
      <c r="P1589" s="21" t="n"/>
      <c r="Q1589" s="21" t="n"/>
      <c r="R1589" s="21" t="n"/>
      <c r="S1589" s="21" t="n"/>
      <c r="T1589" s="21" t="n"/>
      <c r="U1589" s="21" t="n"/>
      <c r="V1589" s="21" t="n"/>
      <c r="W1589" s="21" t="n"/>
      <c r="X1589" s="21" t="n"/>
      <c r="Y1589" s="21" t="n"/>
      <c r="Z1589" s="21" t="n"/>
      <c r="AA1589" s="21" t="n"/>
      <c r="AB1589" s="21" t="n"/>
      <c r="AC1589" s="21" t="n"/>
      <c r="AD1589" s="21" t="n"/>
      <c r="AE1589" s="21" t="n"/>
      <c r="AF1589" s="21" t="n"/>
      <c r="AG1589" s="21" t="n"/>
      <c r="AH1589" s="21" t="n"/>
      <c r="AI1589" s="21" t="n"/>
      <c r="AJ1589" s="21" t="n"/>
      <c r="AK1589" s="21" t="n"/>
      <c r="AL1589" s="21" t="n"/>
      <c r="AM1589" s="21" t="n"/>
      <c r="AN1589" s="21" t="n"/>
      <c r="AO1589" s="21" t="n"/>
      <c r="AP1589" s="21" t="n"/>
      <c r="AQ1589" s="21" t="n"/>
      <c r="AR1589" s="21" t="n"/>
      <c r="AS1589" s="21" t="n"/>
      <c r="AT1589" s="21" t="n"/>
      <c r="AU1589" s="21" t="n"/>
      <c r="AV1589" s="21" t="n"/>
      <c r="AW1589" s="21" t="n"/>
      <c r="AX1589" s="21" t="n"/>
      <c r="AY1589" s="21" t="n"/>
      <c r="AZ1589" s="21" t="n"/>
      <c r="BA1589" s="21" t="n"/>
      <c r="BB1589" s="21" t="n"/>
      <c r="BC1589" s="21" t="n"/>
      <c r="BD1589" s="21" t="n"/>
      <c r="BE1589" s="21" t="n"/>
      <c r="BF1589" s="21" t="n"/>
      <c r="BG1589" s="21" t="n"/>
      <c r="BH1589" s="21" t="n"/>
      <c r="BI1589" s="21" t="n"/>
      <c r="BJ1589" s="21" t="n"/>
      <c r="BK1589" s="21" t="n"/>
      <c r="BL1589" s="21" t="n"/>
      <c r="BM1589" s="21" t="n"/>
      <c r="BN1589" s="21" t="n"/>
      <c r="BO1589" s="21" t="n"/>
      <c r="BP1589" s="21" t="n"/>
      <c r="BQ1589" s="21" t="n"/>
      <c r="BR1589" s="21" t="n"/>
      <c r="BS1589" s="21" t="n"/>
      <c r="BT1589" s="21" t="n"/>
      <c r="BU1589" s="21" t="n"/>
      <c r="BV1589" s="21" t="n"/>
      <c r="BW1589" s="21" t="n"/>
      <c r="BX1589" s="21" t="n"/>
      <c r="BY1589" s="21" t="n"/>
      <c r="BZ1589" s="21" t="n"/>
      <c r="CA1589" s="21" t="n"/>
      <c r="CB1589" s="21" t="n"/>
      <c r="CC1589" s="21" t="n"/>
      <c r="CD1589" s="21" t="n"/>
      <c r="CE1589" s="21" t="n"/>
      <c r="CF1589" s="21" t="n"/>
      <c r="CG1589" s="21" t="n"/>
      <c r="CH1589" s="21" t="n"/>
      <c r="CI1589" s="21" t="n"/>
      <c r="CJ1589" s="21" t="n"/>
      <c r="CK1589" s="21" t="n"/>
      <c r="CL1589" s="21" t="n"/>
      <c r="CM1589" s="21" t="n"/>
      <c r="CN1589" s="21" t="n"/>
      <c r="CO1589" s="21" t="n"/>
      <c r="CP1589" s="21" t="n"/>
      <c r="CQ1589" s="21" t="n"/>
      <c r="CR1589" s="21" t="n"/>
      <c r="CS1589" s="21" t="n"/>
      <c r="CT1589" s="21" t="n"/>
      <c r="CU1589" s="21" t="n"/>
      <c r="CV1589" s="21" t="n"/>
      <c r="CW1589" s="21" t="n"/>
      <c r="CX1589" s="21" t="n"/>
      <c r="CY1589" s="21" t="n"/>
      <c r="CZ1589" s="21" t="n"/>
      <c r="DA1589" s="21" t="n"/>
      <c r="DB1589" s="21" t="n"/>
      <c r="DC1589" s="21" t="n"/>
      <c r="DD1589" s="21" t="n"/>
    </row>
    <row r="1590">
      <c r="B1590" t="inlineStr">
        <is>
          <t>TPP-2245</t>
        </is>
      </c>
      <c r="C1590" t="inlineStr">
        <is>
          <t>No. of batches</t>
        </is>
      </c>
      <c r="D1590">
        <f>IFERROR(INDEX(E1590:DD1590,$F$1),"")</f>
        <v/>
      </c>
      <c r="E1590">
        <f>IFERROR(INDEX(PP_Grid[#Data],$DE1590,2),0)</f>
        <v/>
      </c>
      <c r="F1590">
        <f>IFERROR(INDEX(PP_Grid[#Data],$DE1590,3),0)</f>
        <v/>
      </c>
      <c r="G1590">
        <f>IFERROR(INDEX(PP_Grid[#Data],$DE1590,4),0)</f>
        <v/>
      </c>
      <c r="H1590">
        <f>IFERROR(INDEX(PP_Grid[#Data],$DE1590,5),0)</f>
        <v/>
      </c>
      <c r="I1590">
        <f>IFERROR(INDEX(PP_Grid[#Data],$DE1590,6),0)</f>
        <v/>
      </c>
      <c r="J1590">
        <f>IFERROR(INDEX(PP_Grid[#Data],$DE1590,7),0)</f>
        <v/>
      </c>
      <c r="K1590">
        <f>IFERROR(INDEX(PP_Grid[#Data],$DE1590,8),0)</f>
        <v/>
      </c>
      <c r="L1590">
        <f>IFERROR(INDEX(PP_Grid[#Data],$DE1590,9),0)</f>
        <v/>
      </c>
      <c r="M1590">
        <f>IFERROR(INDEX(PP_Grid[#Data],$DE1590,10),0)</f>
        <v/>
      </c>
      <c r="N1590">
        <f>IFERROR(INDEX(PP_Grid[#Data],$DE1590,11),0)</f>
        <v/>
      </c>
      <c r="O1590">
        <f>IFERROR(INDEX(PP_Grid[#Data],$DE1590,12),0)</f>
        <v/>
      </c>
      <c r="P1590">
        <f>IFERROR(INDEX(PP_Grid[#Data],$DE1590,13),0)</f>
        <v/>
      </c>
      <c r="Q1590">
        <f>IFERROR(INDEX(PP_Grid[#Data],$DE1590,14),0)</f>
        <v/>
      </c>
      <c r="R1590">
        <f>IFERROR(INDEX(PP_Grid[#Data],$DE1590,15),0)</f>
        <v/>
      </c>
      <c r="S1590">
        <f>IFERROR(INDEX(PP_Grid[#Data],$DE1590,16),0)</f>
        <v/>
      </c>
      <c r="T1590">
        <f>IFERROR(INDEX(PP_Grid[#Data],$DE1590,17),0)</f>
        <v/>
      </c>
      <c r="U1590">
        <f>IFERROR(INDEX(PP_Grid[#Data],$DE1590,18),0)</f>
        <v/>
      </c>
      <c r="V1590">
        <f>IFERROR(INDEX(PP_Grid[#Data],$DE1590,19),0)</f>
        <v/>
      </c>
      <c r="W1590">
        <f>IFERROR(INDEX(PP_Grid[#Data],$DE1590,20),0)</f>
        <v/>
      </c>
      <c r="X1590">
        <f>IFERROR(INDEX(PP_Grid[#Data],$DE1590,21),0)</f>
        <v/>
      </c>
      <c r="Y1590">
        <f>IFERROR(INDEX(PP_Grid[#Data],$DE1590,22),0)</f>
        <v/>
      </c>
      <c r="Z1590">
        <f>IFERROR(INDEX(PP_Grid[#Data],$DE1590,23),0)</f>
        <v/>
      </c>
      <c r="AA1590">
        <f>IFERROR(INDEX(PP_Grid[#Data],$DE1590,24),0)</f>
        <v/>
      </c>
      <c r="AB1590">
        <f>IFERROR(INDEX(PP_Grid[#Data],$DE1590,25),0)</f>
        <v/>
      </c>
      <c r="AC1590">
        <f>IFERROR(INDEX(PP_Grid[#Data],$DE1590,26),0)</f>
        <v/>
      </c>
      <c r="AD1590">
        <f>IFERROR(INDEX(PP_Grid[#Data],$DE1590,27),0)</f>
        <v/>
      </c>
      <c r="AE1590">
        <f>IFERROR(INDEX(PP_Grid[#Data],$DE1590,28),0)</f>
        <v/>
      </c>
      <c r="AF1590">
        <f>IFERROR(INDEX(PP_Grid[#Data],$DE1590,29),0)</f>
        <v/>
      </c>
      <c r="AG1590">
        <f>IFERROR(INDEX(PP_Grid[#Data],$DE1590,30),0)</f>
        <v/>
      </c>
      <c r="AH1590">
        <f>IFERROR(INDEX(PP_Grid[#Data],$DE1590,31),0)</f>
        <v/>
      </c>
      <c r="AI1590">
        <f>IFERROR(INDEX(PP_Grid[#Data],$DE1590,32),0)</f>
        <v/>
      </c>
      <c r="AJ1590">
        <f>IFERROR(INDEX(PP_Grid[#Data],$DE1590,33),0)</f>
        <v/>
      </c>
      <c r="AK1590">
        <f>IFERROR(INDEX(PP_Grid[#Data],$DE1590,34),0)</f>
        <v/>
      </c>
      <c r="AL1590">
        <f>IFERROR(INDEX(PP_Grid[#Data],$DE1590,35),0)</f>
        <v/>
      </c>
      <c r="AM1590">
        <f>IFERROR(INDEX(PP_Grid[#Data],$DE1590,36),0)</f>
        <v/>
      </c>
      <c r="AN1590">
        <f>IFERROR(INDEX(PP_Grid[#Data],$DE1590,37),0)</f>
        <v/>
      </c>
      <c r="AO1590">
        <f>IFERROR(INDEX(PP_Grid[#Data],$DE1590,38),0)</f>
        <v/>
      </c>
      <c r="AP1590">
        <f>IFERROR(INDEX(PP_Grid[#Data],$DE1590,39),0)</f>
        <v/>
      </c>
      <c r="AQ1590">
        <f>IFERROR(INDEX(PP_Grid[#Data],$DE1590,40),0)</f>
        <v/>
      </c>
      <c r="AR1590">
        <f>IFERROR(INDEX(PP_Grid[#Data],$DE1590,41),0)</f>
        <v/>
      </c>
      <c r="AS1590">
        <f>IFERROR(INDEX(PP_Grid[#Data],$DE1590,42),0)</f>
        <v/>
      </c>
      <c r="AT1590">
        <f>IFERROR(INDEX(PP_Grid[#Data],$DE1590,43),0)</f>
        <v/>
      </c>
      <c r="AU1590">
        <f>IFERROR(INDEX(PP_Grid[#Data],$DE1590,44),0)</f>
        <v/>
      </c>
      <c r="AV1590">
        <f>IFERROR(INDEX(PP_Grid[#Data],$DE1590,45),0)</f>
        <v/>
      </c>
      <c r="AW1590">
        <f>IFERROR(INDEX(PP_Grid[#Data],$DE1590,46),0)</f>
        <v/>
      </c>
      <c r="AX1590">
        <f>IFERROR(INDEX(PP_Grid[#Data],$DE1590,47),0)</f>
        <v/>
      </c>
      <c r="AY1590">
        <f>IFERROR(INDEX(PP_Grid[#Data],$DE1590,48),0)</f>
        <v/>
      </c>
      <c r="AZ1590">
        <f>IFERROR(INDEX(PP_Grid[#Data],$DE1590,49),0)</f>
        <v/>
      </c>
      <c r="BA1590">
        <f>IFERROR(INDEX(PP_Grid[#Data],$DE1590,50),0)</f>
        <v/>
      </c>
      <c r="BB1590">
        <f>IFERROR(INDEX(PP_Grid[#Data],$DE1590,51),0)</f>
        <v/>
      </c>
      <c r="BC1590">
        <f>IFERROR(INDEX(PP_Grid[#Data],$DE1590,52),0)</f>
        <v/>
      </c>
      <c r="BD1590">
        <f>IFERROR(INDEX(PP_Grid[#Data],$DE1590,53),0)</f>
        <v/>
      </c>
      <c r="BE1590">
        <f>IFERROR(INDEX(PP_Grid[#Data],$DE1590,54),0)</f>
        <v/>
      </c>
      <c r="BF1590">
        <f>IFERROR(INDEX(PP_Grid[#Data],$DE1590,55),0)</f>
        <v/>
      </c>
      <c r="BG1590">
        <f>IFERROR(INDEX(PP_Grid[#Data],$DE1590,56),0)</f>
        <v/>
      </c>
      <c r="BH1590">
        <f>IFERROR(INDEX(PP_Grid[#Data],$DE1590,57),0)</f>
        <v/>
      </c>
      <c r="BI1590">
        <f>IFERROR(INDEX(PP_Grid[#Data],$DE1590,58),0)</f>
        <v/>
      </c>
      <c r="BJ1590">
        <f>IFERROR(INDEX(PP_Grid[#Data],$DE1590,59),0)</f>
        <v/>
      </c>
      <c r="BK1590">
        <f>IFERROR(INDEX(PP_Grid[#Data],$DE1590,60),0)</f>
        <v/>
      </c>
      <c r="BL1590">
        <f>IFERROR(INDEX(PP_Grid[#Data],$DE1590,61),0)</f>
        <v/>
      </c>
      <c r="BM1590">
        <f>IFERROR(INDEX(PP_Grid[#Data],$DE1590,62),0)</f>
        <v/>
      </c>
      <c r="BN1590">
        <f>IFERROR(INDEX(PP_Grid[#Data],$DE1590,63),0)</f>
        <v/>
      </c>
      <c r="BO1590">
        <f>IFERROR(INDEX(PP_Grid[#Data],$DE1590,64),0)</f>
        <v/>
      </c>
      <c r="BP1590">
        <f>IFERROR(INDEX(PP_Grid[#Data],$DE1590,65),0)</f>
        <v/>
      </c>
      <c r="BQ1590">
        <f>IFERROR(INDEX(PP_Grid[#Data],$DE1590,66),0)</f>
        <v/>
      </c>
      <c r="BR1590">
        <f>IFERROR(INDEX(PP_Grid[#Data],$DE1590,67),0)</f>
        <v/>
      </c>
      <c r="BS1590">
        <f>IFERROR(INDEX(PP_Grid[#Data],$DE1590,68),0)</f>
        <v/>
      </c>
      <c r="BT1590">
        <f>IFERROR(INDEX(PP_Grid[#Data],$DE1590,69),0)</f>
        <v/>
      </c>
      <c r="BU1590">
        <f>IFERROR(INDEX(PP_Grid[#Data],$DE1590,70),0)</f>
        <v/>
      </c>
      <c r="BV1590">
        <f>IFERROR(INDEX(PP_Grid[#Data],$DE1590,71),0)</f>
        <v/>
      </c>
      <c r="BW1590">
        <f>IFERROR(INDEX(PP_Grid[#Data],$DE1590,72),0)</f>
        <v/>
      </c>
      <c r="BX1590">
        <f>IFERROR(INDEX(PP_Grid[#Data],$DE1590,73),0)</f>
        <v/>
      </c>
      <c r="BY1590">
        <f>IFERROR(INDEX(PP_Grid[#Data],$DE1590,74),0)</f>
        <v/>
      </c>
      <c r="BZ1590">
        <f>IFERROR(INDEX(PP_Grid[#Data],$DE1590,75),0)</f>
        <v/>
      </c>
      <c r="CA1590">
        <f>IFERROR(INDEX(PP_Grid[#Data],$DE1590,76),0)</f>
        <v/>
      </c>
      <c r="CB1590">
        <f>IFERROR(INDEX(PP_Grid[#Data],$DE1590,77),0)</f>
        <v/>
      </c>
      <c r="CC1590">
        <f>IFERROR(INDEX(PP_Grid[#Data],$DE1590,78),0)</f>
        <v/>
      </c>
      <c r="CD1590">
        <f>IFERROR(INDEX(PP_Grid[#Data],$DE1590,79),0)</f>
        <v/>
      </c>
      <c r="CE1590">
        <f>IFERROR(INDEX(PP_Grid[#Data],$DE1590,80),0)</f>
        <v/>
      </c>
      <c r="CF1590">
        <f>IFERROR(INDEX(PP_Grid[#Data],$DE1590,81),0)</f>
        <v/>
      </c>
      <c r="CG1590">
        <f>IFERROR(INDEX(PP_Grid[#Data],$DE1590,82),0)</f>
        <v/>
      </c>
      <c r="CH1590">
        <f>IFERROR(INDEX(PP_Grid[#Data],$DE1590,83),0)</f>
        <v/>
      </c>
      <c r="CI1590">
        <f>IFERROR(INDEX(PP_Grid[#Data],$DE1590,84),0)</f>
        <v/>
      </c>
      <c r="CJ1590">
        <f>IFERROR(INDEX(PP_Grid[#Data],$DE1590,85),0)</f>
        <v/>
      </c>
      <c r="CK1590">
        <f>IFERROR(INDEX(PP_Grid[#Data],$DE1590,86),0)</f>
        <v/>
      </c>
      <c r="CL1590">
        <f>IFERROR(INDEX(PP_Grid[#Data],$DE1590,87),0)</f>
        <v/>
      </c>
      <c r="CM1590">
        <f>IFERROR(INDEX(PP_Grid[#Data],$DE1590,88),0)</f>
        <v/>
      </c>
      <c r="CN1590">
        <f>IFERROR(INDEX(PP_Grid[#Data],$DE1590,89),0)</f>
        <v/>
      </c>
      <c r="CO1590">
        <f>IFERROR(INDEX(PP_Grid[#Data],$DE1590,90),0)</f>
        <v/>
      </c>
      <c r="CP1590">
        <f>IFERROR(INDEX(PP_Grid[#Data],$DE1590,91),0)</f>
        <v/>
      </c>
      <c r="CQ1590">
        <f>IFERROR(INDEX(PP_Grid[#Data],$DE1590,92),0)</f>
        <v/>
      </c>
      <c r="CR1590">
        <f>IFERROR(INDEX(PP_Grid[#Data],$DE1590,93),0)</f>
        <v/>
      </c>
      <c r="CS1590">
        <f>IFERROR(INDEX(PP_Grid[#Data],$DE1590,94),0)</f>
        <v/>
      </c>
      <c r="CT1590">
        <f>IFERROR(INDEX(PP_Grid[#Data],$DE1590,95),0)</f>
        <v/>
      </c>
      <c r="CU1590">
        <f>IFERROR(INDEX(PP_Grid[#Data],$DE1590,96),0)</f>
        <v/>
      </c>
      <c r="CV1590">
        <f>IFERROR(INDEX(PP_Grid[#Data],$DE1590,97),0)</f>
        <v/>
      </c>
      <c r="CW1590">
        <f>IFERROR(INDEX(PP_Grid[#Data],$DE1590,98),0)</f>
        <v/>
      </c>
      <c r="CX1590">
        <f>IFERROR(INDEX(PP_Grid[#Data],$DE1590,99),0)</f>
        <v/>
      </c>
      <c r="CY1590">
        <f>IFERROR(INDEX(PP_Grid[#Data],$DE1590,100),0)</f>
        <v/>
      </c>
      <c r="CZ1590">
        <f>IFERROR(INDEX(PP_Grid[#Data],$DE1590,101),0)</f>
        <v/>
      </c>
      <c r="DA1590">
        <f>IFERROR(INDEX(PP_Grid[#Data],$DE1590,102),0)</f>
        <v/>
      </c>
      <c r="DB1590">
        <f>IFERROR(INDEX(PP_Grid[#Data],$DE1590,103),0)</f>
        <v/>
      </c>
      <c r="DC1590">
        <f>IFERROR(INDEX(PP_Grid[#Data],$DE1590,104),0)</f>
        <v/>
      </c>
      <c r="DD1590">
        <f>IFERROR(INDEX(PP_Grid[#Data],$DE1590,105),0)</f>
        <v/>
      </c>
      <c r="DE1590" s="7">
        <f>IFERROR(MATCH($B1590,PP_Grid[Intermediate],0),99999)</f>
        <v/>
      </c>
    </row>
    <row r="1591">
      <c r="B1591" t="inlineStr">
        <is>
          <t>使用量(kg)</t>
        </is>
      </c>
      <c r="C1591">
        <f>SUMIFS(M_BOM[RM_Qty_Per_Batch],M_BOM[Intermediate],$B1590,M_BOM[RM_Code],$A1589)</f>
        <v/>
      </c>
      <c r="D1591">
        <f>IFERROR(INDEX(E1591:DD1591,$F$1),"")</f>
        <v/>
      </c>
      <c r="E1591">
        <f>$C1591*E1590</f>
        <v/>
      </c>
      <c r="F1591">
        <f>$C1591*F1590</f>
        <v/>
      </c>
      <c r="G1591">
        <f>$C1591*G1590</f>
        <v/>
      </c>
      <c r="H1591">
        <f>$C1591*H1590</f>
        <v/>
      </c>
      <c r="I1591">
        <f>$C1591*I1590</f>
        <v/>
      </c>
      <c r="J1591">
        <f>$C1591*J1590</f>
        <v/>
      </c>
      <c r="K1591">
        <f>$C1591*K1590</f>
        <v/>
      </c>
      <c r="L1591">
        <f>$C1591*L1590</f>
        <v/>
      </c>
      <c r="M1591">
        <f>$C1591*M1590</f>
        <v/>
      </c>
      <c r="N1591">
        <f>$C1591*N1590</f>
        <v/>
      </c>
      <c r="O1591">
        <f>$C1591*O1590</f>
        <v/>
      </c>
      <c r="P1591">
        <f>$C1591*P1590</f>
        <v/>
      </c>
      <c r="Q1591">
        <f>$C1591*Q1590</f>
        <v/>
      </c>
      <c r="R1591">
        <f>$C1591*R1590</f>
        <v/>
      </c>
      <c r="S1591">
        <f>$C1591*S1590</f>
        <v/>
      </c>
      <c r="T1591">
        <f>$C1591*T1590</f>
        <v/>
      </c>
      <c r="U1591">
        <f>$C1591*U1590</f>
        <v/>
      </c>
      <c r="V1591">
        <f>$C1591*V1590</f>
        <v/>
      </c>
      <c r="W1591">
        <f>$C1591*W1590</f>
        <v/>
      </c>
      <c r="X1591">
        <f>$C1591*X1590</f>
        <v/>
      </c>
      <c r="Y1591">
        <f>$C1591*Y1590</f>
        <v/>
      </c>
      <c r="Z1591">
        <f>$C1591*Z1590</f>
        <v/>
      </c>
      <c r="AA1591">
        <f>$C1591*AA1590</f>
        <v/>
      </c>
      <c r="AB1591">
        <f>$C1591*AB1590</f>
        <v/>
      </c>
      <c r="AC1591">
        <f>$C1591*AC1590</f>
        <v/>
      </c>
      <c r="AD1591">
        <f>$C1591*AD1590</f>
        <v/>
      </c>
      <c r="AE1591">
        <f>$C1591*AE1590</f>
        <v/>
      </c>
      <c r="AF1591">
        <f>$C1591*AF1590</f>
        <v/>
      </c>
      <c r="AG1591">
        <f>$C1591*AG1590</f>
        <v/>
      </c>
      <c r="AH1591">
        <f>$C1591*AH1590</f>
        <v/>
      </c>
      <c r="AI1591">
        <f>$C1591*AI1590</f>
        <v/>
      </c>
      <c r="AJ1591">
        <f>$C1591*AJ1590</f>
        <v/>
      </c>
      <c r="AK1591">
        <f>$C1591*AK1590</f>
        <v/>
      </c>
      <c r="AL1591">
        <f>$C1591*AL1590</f>
        <v/>
      </c>
      <c r="AM1591">
        <f>$C1591*AM1590</f>
        <v/>
      </c>
      <c r="AN1591">
        <f>$C1591*AN1590</f>
        <v/>
      </c>
      <c r="AO1591">
        <f>$C1591*AO1590</f>
        <v/>
      </c>
      <c r="AP1591">
        <f>$C1591*AP1590</f>
        <v/>
      </c>
      <c r="AQ1591">
        <f>$C1591*AQ1590</f>
        <v/>
      </c>
      <c r="AR1591">
        <f>$C1591*AR1590</f>
        <v/>
      </c>
      <c r="AS1591">
        <f>$C1591*AS1590</f>
        <v/>
      </c>
      <c r="AT1591">
        <f>$C1591*AT1590</f>
        <v/>
      </c>
      <c r="AU1591">
        <f>$C1591*AU1590</f>
        <v/>
      </c>
      <c r="AV1591">
        <f>$C1591*AV1590</f>
        <v/>
      </c>
      <c r="AW1591">
        <f>$C1591*AW1590</f>
        <v/>
      </c>
      <c r="AX1591">
        <f>$C1591*AX1590</f>
        <v/>
      </c>
      <c r="AY1591">
        <f>$C1591*AY1590</f>
        <v/>
      </c>
      <c r="AZ1591">
        <f>$C1591*AZ1590</f>
        <v/>
      </c>
      <c r="BA1591">
        <f>$C1591*BA1590</f>
        <v/>
      </c>
      <c r="BB1591">
        <f>$C1591*BB1590</f>
        <v/>
      </c>
      <c r="BC1591">
        <f>$C1591*BC1590</f>
        <v/>
      </c>
      <c r="BD1591">
        <f>$C1591*BD1590</f>
        <v/>
      </c>
      <c r="BE1591">
        <f>$C1591*BE1590</f>
        <v/>
      </c>
      <c r="BF1591">
        <f>$C1591*BF1590</f>
        <v/>
      </c>
      <c r="BG1591">
        <f>$C1591*BG1590</f>
        <v/>
      </c>
      <c r="BH1591">
        <f>$C1591*BH1590</f>
        <v/>
      </c>
      <c r="BI1591">
        <f>$C1591*BI1590</f>
        <v/>
      </c>
      <c r="BJ1591">
        <f>$C1591*BJ1590</f>
        <v/>
      </c>
      <c r="BK1591">
        <f>$C1591*BK1590</f>
        <v/>
      </c>
      <c r="BL1591">
        <f>$C1591*BL1590</f>
        <v/>
      </c>
      <c r="BM1591">
        <f>$C1591*BM1590</f>
        <v/>
      </c>
      <c r="BN1591">
        <f>$C1591*BN1590</f>
        <v/>
      </c>
      <c r="BO1591">
        <f>$C1591*BO1590</f>
        <v/>
      </c>
      <c r="BP1591">
        <f>$C1591*BP1590</f>
        <v/>
      </c>
      <c r="BQ1591">
        <f>$C1591*BQ1590</f>
        <v/>
      </c>
      <c r="BR1591">
        <f>$C1591*BR1590</f>
        <v/>
      </c>
      <c r="BS1591">
        <f>$C1591*BS1590</f>
        <v/>
      </c>
      <c r="BT1591">
        <f>$C1591*BT1590</f>
        <v/>
      </c>
      <c r="BU1591">
        <f>$C1591*BU1590</f>
        <v/>
      </c>
      <c r="BV1591">
        <f>$C1591*BV1590</f>
        <v/>
      </c>
      <c r="BW1591">
        <f>$C1591*BW1590</f>
        <v/>
      </c>
      <c r="BX1591">
        <f>$C1591*BX1590</f>
        <v/>
      </c>
      <c r="BY1591">
        <f>$C1591*BY1590</f>
        <v/>
      </c>
      <c r="BZ1591">
        <f>$C1591*BZ1590</f>
        <v/>
      </c>
      <c r="CA1591">
        <f>$C1591*CA1590</f>
        <v/>
      </c>
      <c r="CB1591">
        <f>$C1591*CB1590</f>
        <v/>
      </c>
      <c r="CC1591">
        <f>$C1591*CC1590</f>
        <v/>
      </c>
      <c r="CD1591">
        <f>$C1591*CD1590</f>
        <v/>
      </c>
      <c r="CE1591">
        <f>$C1591*CE1590</f>
        <v/>
      </c>
      <c r="CF1591">
        <f>$C1591*CF1590</f>
        <v/>
      </c>
      <c r="CG1591">
        <f>$C1591*CG1590</f>
        <v/>
      </c>
      <c r="CH1591">
        <f>$C1591*CH1590</f>
        <v/>
      </c>
      <c r="CI1591">
        <f>$C1591*CI1590</f>
        <v/>
      </c>
      <c r="CJ1591">
        <f>$C1591*CJ1590</f>
        <v/>
      </c>
      <c r="CK1591">
        <f>$C1591*CK1590</f>
        <v/>
      </c>
      <c r="CL1591">
        <f>$C1591*CL1590</f>
        <v/>
      </c>
      <c r="CM1591">
        <f>$C1591*CM1590</f>
        <v/>
      </c>
      <c r="CN1591">
        <f>$C1591*CN1590</f>
        <v/>
      </c>
      <c r="CO1591">
        <f>$C1591*CO1590</f>
        <v/>
      </c>
      <c r="CP1591">
        <f>$C1591*CP1590</f>
        <v/>
      </c>
      <c r="CQ1591">
        <f>$C1591*CQ1590</f>
        <v/>
      </c>
      <c r="CR1591">
        <f>$C1591*CR1590</f>
        <v/>
      </c>
      <c r="CS1591">
        <f>$C1591*CS1590</f>
        <v/>
      </c>
      <c r="CT1591">
        <f>$C1591*CT1590</f>
        <v/>
      </c>
      <c r="CU1591">
        <f>$C1591*CU1590</f>
        <v/>
      </c>
      <c r="CV1591">
        <f>$C1591*CV1590</f>
        <v/>
      </c>
      <c r="CW1591">
        <f>$C1591*CW1590</f>
        <v/>
      </c>
      <c r="CX1591">
        <f>$C1591*CX1590</f>
        <v/>
      </c>
      <c r="CY1591">
        <f>$C1591*CY1590</f>
        <v/>
      </c>
      <c r="CZ1591">
        <f>$C1591*CZ1590</f>
        <v/>
      </c>
      <c r="DA1591">
        <f>$C1591*DA1590</f>
        <v/>
      </c>
      <c r="DB1591">
        <f>$C1591*DB1590</f>
        <v/>
      </c>
      <c r="DC1591">
        <f>$C1591*DC1590</f>
        <v/>
      </c>
      <c r="DD1591">
        <f>$C1591*DD1590</f>
        <v/>
      </c>
    </row>
    <row r="1592">
      <c r="B1592" t="inlineStr">
        <is>
          <t>TSP-1558</t>
        </is>
      </c>
      <c r="C1592" t="inlineStr">
        <is>
          <t>No. of batches</t>
        </is>
      </c>
      <c r="D1592">
        <f>IFERROR(INDEX(E1592:DD1592,$F$1),"")</f>
        <v/>
      </c>
      <c r="E1592">
        <f>IFERROR(INDEX(PP_Grid[#Data],$DE1592,2),0)</f>
        <v/>
      </c>
      <c r="F1592">
        <f>IFERROR(INDEX(PP_Grid[#Data],$DE1592,3),0)</f>
        <v/>
      </c>
      <c r="G1592">
        <f>IFERROR(INDEX(PP_Grid[#Data],$DE1592,4),0)</f>
        <v/>
      </c>
      <c r="H1592">
        <f>IFERROR(INDEX(PP_Grid[#Data],$DE1592,5),0)</f>
        <v/>
      </c>
      <c r="I1592">
        <f>IFERROR(INDEX(PP_Grid[#Data],$DE1592,6),0)</f>
        <v/>
      </c>
      <c r="J1592">
        <f>IFERROR(INDEX(PP_Grid[#Data],$DE1592,7),0)</f>
        <v/>
      </c>
      <c r="K1592">
        <f>IFERROR(INDEX(PP_Grid[#Data],$DE1592,8),0)</f>
        <v/>
      </c>
      <c r="L1592">
        <f>IFERROR(INDEX(PP_Grid[#Data],$DE1592,9),0)</f>
        <v/>
      </c>
      <c r="M1592">
        <f>IFERROR(INDEX(PP_Grid[#Data],$DE1592,10),0)</f>
        <v/>
      </c>
      <c r="N1592">
        <f>IFERROR(INDEX(PP_Grid[#Data],$DE1592,11),0)</f>
        <v/>
      </c>
      <c r="O1592">
        <f>IFERROR(INDEX(PP_Grid[#Data],$DE1592,12),0)</f>
        <v/>
      </c>
      <c r="P1592">
        <f>IFERROR(INDEX(PP_Grid[#Data],$DE1592,13),0)</f>
        <v/>
      </c>
      <c r="Q1592">
        <f>IFERROR(INDEX(PP_Grid[#Data],$DE1592,14),0)</f>
        <v/>
      </c>
      <c r="R1592">
        <f>IFERROR(INDEX(PP_Grid[#Data],$DE1592,15),0)</f>
        <v/>
      </c>
      <c r="S1592">
        <f>IFERROR(INDEX(PP_Grid[#Data],$DE1592,16),0)</f>
        <v/>
      </c>
      <c r="T1592">
        <f>IFERROR(INDEX(PP_Grid[#Data],$DE1592,17),0)</f>
        <v/>
      </c>
      <c r="U1592">
        <f>IFERROR(INDEX(PP_Grid[#Data],$DE1592,18),0)</f>
        <v/>
      </c>
      <c r="V1592">
        <f>IFERROR(INDEX(PP_Grid[#Data],$DE1592,19),0)</f>
        <v/>
      </c>
      <c r="W1592">
        <f>IFERROR(INDEX(PP_Grid[#Data],$DE1592,20),0)</f>
        <v/>
      </c>
      <c r="X1592">
        <f>IFERROR(INDEX(PP_Grid[#Data],$DE1592,21),0)</f>
        <v/>
      </c>
      <c r="Y1592">
        <f>IFERROR(INDEX(PP_Grid[#Data],$DE1592,22),0)</f>
        <v/>
      </c>
      <c r="Z1592">
        <f>IFERROR(INDEX(PP_Grid[#Data],$DE1592,23),0)</f>
        <v/>
      </c>
      <c r="AA1592">
        <f>IFERROR(INDEX(PP_Grid[#Data],$DE1592,24),0)</f>
        <v/>
      </c>
      <c r="AB1592">
        <f>IFERROR(INDEX(PP_Grid[#Data],$DE1592,25),0)</f>
        <v/>
      </c>
      <c r="AC1592">
        <f>IFERROR(INDEX(PP_Grid[#Data],$DE1592,26),0)</f>
        <v/>
      </c>
      <c r="AD1592">
        <f>IFERROR(INDEX(PP_Grid[#Data],$DE1592,27),0)</f>
        <v/>
      </c>
      <c r="AE1592">
        <f>IFERROR(INDEX(PP_Grid[#Data],$DE1592,28),0)</f>
        <v/>
      </c>
      <c r="AF1592">
        <f>IFERROR(INDEX(PP_Grid[#Data],$DE1592,29),0)</f>
        <v/>
      </c>
      <c r="AG1592">
        <f>IFERROR(INDEX(PP_Grid[#Data],$DE1592,30),0)</f>
        <v/>
      </c>
      <c r="AH1592">
        <f>IFERROR(INDEX(PP_Grid[#Data],$DE1592,31),0)</f>
        <v/>
      </c>
      <c r="AI1592">
        <f>IFERROR(INDEX(PP_Grid[#Data],$DE1592,32),0)</f>
        <v/>
      </c>
      <c r="AJ1592">
        <f>IFERROR(INDEX(PP_Grid[#Data],$DE1592,33),0)</f>
        <v/>
      </c>
      <c r="AK1592">
        <f>IFERROR(INDEX(PP_Grid[#Data],$DE1592,34),0)</f>
        <v/>
      </c>
      <c r="AL1592">
        <f>IFERROR(INDEX(PP_Grid[#Data],$DE1592,35),0)</f>
        <v/>
      </c>
      <c r="AM1592">
        <f>IFERROR(INDEX(PP_Grid[#Data],$DE1592,36),0)</f>
        <v/>
      </c>
      <c r="AN1592">
        <f>IFERROR(INDEX(PP_Grid[#Data],$DE1592,37),0)</f>
        <v/>
      </c>
      <c r="AO1592">
        <f>IFERROR(INDEX(PP_Grid[#Data],$DE1592,38),0)</f>
        <v/>
      </c>
      <c r="AP1592">
        <f>IFERROR(INDEX(PP_Grid[#Data],$DE1592,39),0)</f>
        <v/>
      </c>
      <c r="AQ1592">
        <f>IFERROR(INDEX(PP_Grid[#Data],$DE1592,40),0)</f>
        <v/>
      </c>
      <c r="AR1592">
        <f>IFERROR(INDEX(PP_Grid[#Data],$DE1592,41),0)</f>
        <v/>
      </c>
      <c r="AS1592">
        <f>IFERROR(INDEX(PP_Grid[#Data],$DE1592,42),0)</f>
        <v/>
      </c>
      <c r="AT1592">
        <f>IFERROR(INDEX(PP_Grid[#Data],$DE1592,43),0)</f>
        <v/>
      </c>
      <c r="AU1592">
        <f>IFERROR(INDEX(PP_Grid[#Data],$DE1592,44),0)</f>
        <v/>
      </c>
      <c r="AV1592">
        <f>IFERROR(INDEX(PP_Grid[#Data],$DE1592,45),0)</f>
        <v/>
      </c>
      <c r="AW1592">
        <f>IFERROR(INDEX(PP_Grid[#Data],$DE1592,46),0)</f>
        <v/>
      </c>
      <c r="AX1592">
        <f>IFERROR(INDEX(PP_Grid[#Data],$DE1592,47),0)</f>
        <v/>
      </c>
      <c r="AY1592">
        <f>IFERROR(INDEX(PP_Grid[#Data],$DE1592,48),0)</f>
        <v/>
      </c>
      <c r="AZ1592">
        <f>IFERROR(INDEX(PP_Grid[#Data],$DE1592,49),0)</f>
        <v/>
      </c>
      <c r="BA1592">
        <f>IFERROR(INDEX(PP_Grid[#Data],$DE1592,50),0)</f>
        <v/>
      </c>
      <c r="BB1592">
        <f>IFERROR(INDEX(PP_Grid[#Data],$DE1592,51),0)</f>
        <v/>
      </c>
      <c r="BC1592">
        <f>IFERROR(INDEX(PP_Grid[#Data],$DE1592,52),0)</f>
        <v/>
      </c>
      <c r="BD1592">
        <f>IFERROR(INDEX(PP_Grid[#Data],$DE1592,53),0)</f>
        <v/>
      </c>
      <c r="BE1592">
        <f>IFERROR(INDEX(PP_Grid[#Data],$DE1592,54),0)</f>
        <v/>
      </c>
      <c r="BF1592">
        <f>IFERROR(INDEX(PP_Grid[#Data],$DE1592,55),0)</f>
        <v/>
      </c>
      <c r="BG1592">
        <f>IFERROR(INDEX(PP_Grid[#Data],$DE1592,56),0)</f>
        <v/>
      </c>
      <c r="BH1592">
        <f>IFERROR(INDEX(PP_Grid[#Data],$DE1592,57),0)</f>
        <v/>
      </c>
      <c r="BI1592">
        <f>IFERROR(INDEX(PP_Grid[#Data],$DE1592,58),0)</f>
        <v/>
      </c>
      <c r="BJ1592">
        <f>IFERROR(INDEX(PP_Grid[#Data],$DE1592,59),0)</f>
        <v/>
      </c>
      <c r="BK1592">
        <f>IFERROR(INDEX(PP_Grid[#Data],$DE1592,60),0)</f>
        <v/>
      </c>
      <c r="BL1592">
        <f>IFERROR(INDEX(PP_Grid[#Data],$DE1592,61),0)</f>
        <v/>
      </c>
      <c r="BM1592">
        <f>IFERROR(INDEX(PP_Grid[#Data],$DE1592,62),0)</f>
        <v/>
      </c>
      <c r="BN1592">
        <f>IFERROR(INDEX(PP_Grid[#Data],$DE1592,63),0)</f>
        <v/>
      </c>
      <c r="BO1592">
        <f>IFERROR(INDEX(PP_Grid[#Data],$DE1592,64),0)</f>
        <v/>
      </c>
      <c r="BP1592">
        <f>IFERROR(INDEX(PP_Grid[#Data],$DE1592,65),0)</f>
        <v/>
      </c>
      <c r="BQ1592">
        <f>IFERROR(INDEX(PP_Grid[#Data],$DE1592,66),0)</f>
        <v/>
      </c>
      <c r="BR1592">
        <f>IFERROR(INDEX(PP_Grid[#Data],$DE1592,67),0)</f>
        <v/>
      </c>
      <c r="BS1592">
        <f>IFERROR(INDEX(PP_Grid[#Data],$DE1592,68),0)</f>
        <v/>
      </c>
      <c r="BT1592">
        <f>IFERROR(INDEX(PP_Grid[#Data],$DE1592,69),0)</f>
        <v/>
      </c>
      <c r="BU1592">
        <f>IFERROR(INDEX(PP_Grid[#Data],$DE1592,70),0)</f>
        <v/>
      </c>
      <c r="BV1592">
        <f>IFERROR(INDEX(PP_Grid[#Data],$DE1592,71),0)</f>
        <v/>
      </c>
      <c r="BW1592">
        <f>IFERROR(INDEX(PP_Grid[#Data],$DE1592,72),0)</f>
        <v/>
      </c>
      <c r="BX1592">
        <f>IFERROR(INDEX(PP_Grid[#Data],$DE1592,73),0)</f>
        <v/>
      </c>
      <c r="BY1592">
        <f>IFERROR(INDEX(PP_Grid[#Data],$DE1592,74),0)</f>
        <v/>
      </c>
      <c r="BZ1592">
        <f>IFERROR(INDEX(PP_Grid[#Data],$DE1592,75),0)</f>
        <v/>
      </c>
      <c r="CA1592">
        <f>IFERROR(INDEX(PP_Grid[#Data],$DE1592,76),0)</f>
        <v/>
      </c>
      <c r="CB1592">
        <f>IFERROR(INDEX(PP_Grid[#Data],$DE1592,77),0)</f>
        <v/>
      </c>
      <c r="CC1592">
        <f>IFERROR(INDEX(PP_Grid[#Data],$DE1592,78),0)</f>
        <v/>
      </c>
      <c r="CD1592">
        <f>IFERROR(INDEX(PP_Grid[#Data],$DE1592,79),0)</f>
        <v/>
      </c>
      <c r="CE1592">
        <f>IFERROR(INDEX(PP_Grid[#Data],$DE1592,80),0)</f>
        <v/>
      </c>
      <c r="CF1592">
        <f>IFERROR(INDEX(PP_Grid[#Data],$DE1592,81),0)</f>
        <v/>
      </c>
      <c r="CG1592">
        <f>IFERROR(INDEX(PP_Grid[#Data],$DE1592,82),0)</f>
        <v/>
      </c>
      <c r="CH1592">
        <f>IFERROR(INDEX(PP_Grid[#Data],$DE1592,83),0)</f>
        <v/>
      </c>
      <c r="CI1592">
        <f>IFERROR(INDEX(PP_Grid[#Data],$DE1592,84),0)</f>
        <v/>
      </c>
      <c r="CJ1592">
        <f>IFERROR(INDEX(PP_Grid[#Data],$DE1592,85),0)</f>
        <v/>
      </c>
      <c r="CK1592">
        <f>IFERROR(INDEX(PP_Grid[#Data],$DE1592,86),0)</f>
        <v/>
      </c>
      <c r="CL1592">
        <f>IFERROR(INDEX(PP_Grid[#Data],$DE1592,87),0)</f>
        <v/>
      </c>
      <c r="CM1592">
        <f>IFERROR(INDEX(PP_Grid[#Data],$DE1592,88),0)</f>
        <v/>
      </c>
      <c r="CN1592">
        <f>IFERROR(INDEX(PP_Grid[#Data],$DE1592,89),0)</f>
        <v/>
      </c>
      <c r="CO1592">
        <f>IFERROR(INDEX(PP_Grid[#Data],$DE1592,90),0)</f>
        <v/>
      </c>
      <c r="CP1592">
        <f>IFERROR(INDEX(PP_Grid[#Data],$DE1592,91),0)</f>
        <v/>
      </c>
      <c r="CQ1592">
        <f>IFERROR(INDEX(PP_Grid[#Data],$DE1592,92),0)</f>
        <v/>
      </c>
      <c r="CR1592">
        <f>IFERROR(INDEX(PP_Grid[#Data],$DE1592,93),0)</f>
        <v/>
      </c>
      <c r="CS1592">
        <f>IFERROR(INDEX(PP_Grid[#Data],$DE1592,94),0)</f>
        <v/>
      </c>
      <c r="CT1592">
        <f>IFERROR(INDEX(PP_Grid[#Data],$DE1592,95),0)</f>
        <v/>
      </c>
      <c r="CU1592">
        <f>IFERROR(INDEX(PP_Grid[#Data],$DE1592,96),0)</f>
        <v/>
      </c>
      <c r="CV1592">
        <f>IFERROR(INDEX(PP_Grid[#Data],$DE1592,97),0)</f>
        <v/>
      </c>
      <c r="CW1592">
        <f>IFERROR(INDEX(PP_Grid[#Data],$DE1592,98),0)</f>
        <v/>
      </c>
      <c r="CX1592">
        <f>IFERROR(INDEX(PP_Grid[#Data],$DE1592,99),0)</f>
        <v/>
      </c>
      <c r="CY1592">
        <f>IFERROR(INDEX(PP_Grid[#Data],$DE1592,100),0)</f>
        <v/>
      </c>
      <c r="CZ1592">
        <f>IFERROR(INDEX(PP_Grid[#Data],$DE1592,101),0)</f>
        <v/>
      </c>
      <c r="DA1592">
        <f>IFERROR(INDEX(PP_Grid[#Data],$DE1592,102),0)</f>
        <v/>
      </c>
      <c r="DB1592">
        <f>IFERROR(INDEX(PP_Grid[#Data],$DE1592,103),0)</f>
        <v/>
      </c>
      <c r="DC1592">
        <f>IFERROR(INDEX(PP_Grid[#Data],$DE1592,104),0)</f>
        <v/>
      </c>
      <c r="DD1592">
        <f>IFERROR(INDEX(PP_Grid[#Data],$DE1592,105),0)</f>
        <v/>
      </c>
      <c r="DE1592" s="7">
        <f>IFERROR(MATCH($B1592,PP_Grid[Intermediate],0),99999)</f>
        <v/>
      </c>
    </row>
    <row r="1593">
      <c r="B1593" t="inlineStr">
        <is>
          <t>使用量(kg)</t>
        </is>
      </c>
      <c r="C1593">
        <f>SUMIFS(M_BOM[RM_Qty_Per_Batch],M_BOM[Intermediate],$B1592,M_BOM[RM_Code],$A1589)</f>
        <v/>
      </c>
      <c r="D1593">
        <f>IFERROR(INDEX(E1593:DD1593,$F$1),"")</f>
        <v/>
      </c>
      <c r="E1593">
        <f>$C1593*E1592</f>
        <v/>
      </c>
      <c r="F1593">
        <f>$C1593*F1592</f>
        <v/>
      </c>
      <c r="G1593">
        <f>$C1593*G1592</f>
        <v/>
      </c>
      <c r="H1593">
        <f>$C1593*H1592</f>
        <v/>
      </c>
      <c r="I1593">
        <f>$C1593*I1592</f>
        <v/>
      </c>
      <c r="J1593">
        <f>$C1593*J1592</f>
        <v/>
      </c>
      <c r="K1593">
        <f>$C1593*K1592</f>
        <v/>
      </c>
      <c r="L1593">
        <f>$C1593*L1592</f>
        <v/>
      </c>
      <c r="M1593">
        <f>$C1593*M1592</f>
        <v/>
      </c>
      <c r="N1593">
        <f>$C1593*N1592</f>
        <v/>
      </c>
      <c r="O1593">
        <f>$C1593*O1592</f>
        <v/>
      </c>
      <c r="P1593">
        <f>$C1593*P1592</f>
        <v/>
      </c>
      <c r="Q1593">
        <f>$C1593*Q1592</f>
        <v/>
      </c>
      <c r="R1593">
        <f>$C1593*R1592</f>
        <v/>
      </c>
      <c r="S1593">
        <f>$C1593*S1592</f>
        <v/>
      </c>
      <c r="T1593">
        <f>$C1593*T1592</f>
        <v/>
      </c>
      <c r="U1593">
        <f>$C1593*U1592</f>
        <v/>
      </c>
      <c r="V1593">
        <f>$C1593*V1592</f>
        <v/>
      </c>
      <c r="W1593">
        <f>$C1593*W1592</f>
        <v/>
      </c>
      <c r="X1593">
        <f>$C1593*X1592</f>
        <v/>
      </c>
      <c r="Y1593">
        <f>$C1593*Y1592</f>
        <v/>
      </c>
      <c r="Z1593">
        <f>$C1593*Z1592</f>
        <v/>
      </c>
      <c r="AA1593">
        <f>$C1593*AA1592</f>
        <v/>
      </c>
      <c r="AB1593">
        <f>$C1593*AB1592</f>
        <v/>
      </c>
      <c r="AC1593">
        <f>$C1593*AC1592</f>
        <v/>
      </c>
      <c r="AD1593">
        <f>$C1593*AD1592</f>
        <v/>
      </c>
      <c r="AE1593">
        <f>$C1593*AE1592</f>
        <v/>
      </c>
      <c r="AF1593">
        <f>$C1593*AF1592</f>
        <v/>
      </c>
      <c r="AG1593">
        <f>$C1593*AG1592</f>
        <v/>
      </c>
      <c r="AH1593">
        <f>$C1593*AH1592</f>
        <v/>
      </c>
      <c r="AI1593">
        <f>$C1593*AI1592</f>
        <v/>
      </c>
      <c r="AJ1593">
        <f>$C1593*AJ1592</f>
        <v/>
      </c>
      <c r="AK1593">
        <f>$C1593*AK1592</f>
        <v/>
      </c>
      <c r="AL1593">
        <f>$C1593*AL1592</f>
        <v/>
      </c>
      <c r="AM1593">
        <f>$C1593*AM1592</f>
        <v/>
      </c>
      <c r="AN1593">
        <f>$C1593*AN1592</f>
        <v/>
      </c>
      <c r="AO1593">
        <f>$C1593*AO1592</f>
        <v/>
      </c>
      <c r="AP1593">
        <f>$C1593*AP1592</f>
        <v/>
      </c>
      <c r="AQ1593">
        <f>$C1593*AQ1592</f>
        <v/>
      </c>
      <c r="AR1593">
        <f>$C1593*AR1592</f>
        <v/>
      </c>
      <c r="AS1593">
        <f>$C1593*AS1592</f>
        <v/>
      </c>
      <c r="AT1593">
        <f>$C1593*AT1592</f>
        <v/>
      </c>
      <c r="AU1593">
        <f>$C1593*AU1592</f>
        <v/>
      </c>
      <c r="AV1593">
        <f>$C1593*AV1592</f>
        <v/>
      </c>
      <c r="AW1593">
        <f>$C1593*AW1592</f>
        <v/>
      </c>
      <c r="AX1593">
        <f>$C1593*AX1592</f>
        <v/>
      </c>
      <c r="AY1593">
        <f>$C1593*AY1592</f>
        <v/>
      </c>
      <c r="AZ1593">
        <f>$C1593*AZ1592</f>
        <v/>
      </c>
      <c r="BA1593">
        <f>$C1593*BA1592</f>
        <v/>
      </c>
      <c r="BB1593">
        <f>$C1593*BB1592</f>
        <v/>
      </c>
      <c r="BC1593">
        <f>$C1593*BC1592</f>
        <v/>
      </c>
      <c r="BD1593">
        <f>$C1593*BD1592</f>
        <v/>
      </c>
      <c r="BE1593">
        <f>$C1593*BE1592</f>
        <v/>
      </c>
      <c r="BF1593">
        <f>$C1593*BF1592</f>
        <v/>
      </c>
      <c r="BG1593">
        <f>$C1593*BG1592</f>
        <v/>
      </c>
      <c r="BH1593">
        <f>$C1593*BH1592</f>
        <v/>
      </c>
      <c r="BI1593">
        <f>$C1593*BI1592</f>
        <v/>
      </c>
      <c r="BJ1593">
        <f>$C1593*BJ1592</f>
        <v/>
      </c>
      <c r="BK1593">
        <f>$C1593*BK1592</f>
        <v/>
      </c>
      <c r="BL1593">
        <f>$C1593*BL1592</f>
        <v/>
      </c>
      <c r="BM1593">
        <f>$C1593*BM1592</f>
        <v/>
      </c>
      <c r="BN1593">
        <f>$C1593*BN1592</f>
        <v/>
      </c>
      <c r="BO1593">
        <f>$C1593*BO1592</f>
        <v/>
      </c>
      <c r="BP1593">
        <f>$C1593*BP1592</f>
        <v/>
      </c>
      <c r="BQ1593">
        <f>$C1593*BQ1592</f>
        <v/>
      </c>
      <c r="BR1593">
        <f>$C1593*BR1592</f>
        <v/>
      </c>
      <c r="BS1593">
        <f>$C1593*BS1592</f>
        <v/>
      </c>
      <c r="BT1593">
        <f>$C1593*BT1592</f>
        <v/>
      </c>
      <c r="BU1593">
        <f>$C1593*BU1592</f>
        <v/>
      </c>
      <c r="BV1593">
        <f>$C1593*BV1592</f>
        <v/>
      </c>
      <c r="BW1593">
        <f>$C1593*BW1592</f>
        <v/>
      </c>
      <c r="BX1593">
        <f>$C1593*BX1592</f>
        <v/>
      </c>
      <c r="BY1593">
        <f>$C1593*BY1592</f>
        <v/>
      </c>
      <c r="BZ1593">
        <f>$C1593*BZ1592</f>
        <v/>
      </c>
      <c r="CA1593">
        <f>$C1593*CA1592</f>
        <v/>
      </c>
      <c r="CB1593">
        <f>$C1593*CB1592</f>
        <v/>
      </c>
      <c r="CC1593">
        <f>$C1593*CC1592</f>
        <v/>
      </c>
      <c r="CD1593">
        <f>$C1593*CD1592</f>
        <v/>
      </c>
      <c r="CE1593">
        <f>$C1593*CE1592</f>
        <v/>
      </c>
      <c r="CF1593">
        <f>$C1593*CF1592</f>
        <v/>
      </c>
      <c r="CG1593">
        <f>$C1593*CG1592</f>
        <v/>
      </c>
      <c r="CH1593">
        <f>$C1593*CH1592</f>
        <v/>
      </c>
      <c r="CI1593">
        <f>$C1593*CI1592</f>
        <v/>
      </c>
      <c r="CJ1593">
        <f>$C1593*CJ1592</f>
        <v/>
      </c>
      <c r="CK1593">
        <f>$C1593*CK1592</f>
        <v/>
      </c>
      <c r="CL1593">
        <f>$C1593*CL1592</f>
        <v/>
      </c>
      <c r="CM1593">
        <f>$C1593*CM1592</f>
        <v/>
      </c>
      <c r="CN1593">
        <f>$C1593*CN1592</f>
        <v/>
      </c>
      <c r="CO1593">
        <f>$C1593*CO1592</f>
        <v/>
      </c>
      <c r="CP1593">
        <f>$C1593*CP1592</f>
        <v/>
      </c>
      <c r="CQ1593">
        <f>$C1593*CQ1592</f>
        <v/>
      </c>
      <c r="CR1593">
        <f>$C1593*CR1592</f>
        <v/>
      </c>
      <c r="CS1593">
        <f>$C1593*CS1592</f>
        <v/>
      </c>
      <c r="CT1593">
        <f>$C1593*CT1592</f>
        <v/>
      </c>
      <c r="CU1593">
        <f>$C1593*CU1592</f>
        <v/>
      </c>
      <c r="CV1593">
        <f>$C1593*CV1592</f>
        <v/>
      </c>
      <c r="CW1593">
        <f>$C1593*CW1592</f>
        <v/>
      </c>
      <c r="CX1593">
        <f>$C1593*CX1592</f>
        <v/>
      </c>
      <c r="CY1593">
        <f>$C1593*CY1592</f>
        <v/>
      </c>
      <c r="CZ1593">
        <f>$C1593*CZ1592</f>
        <v/>
      </c>
      <c r="DA1593">
        <f>$C1593*DA1592</f>
        <v/>
      </c>
      <c r="DB1593">
        <f>$C1593*DB1592</f>
        <v/>
      </c>
      <c r="DC1593">
        <f>$C1593*DC1592</f>
        <v/>
      </c>
      <c r="DD1593">
        <f>$C1593*DD1592</f>
        <v/>
      </c>
    </row>
    <row r="1594">
      <c r="B1594" t="inlineStr">
        <is>
          <t>TSP-1559</t>
        </is>
      </c>
      <c r="C1594" t="inlineStr">
        <is>
          <t>No. of batches</t>
        </is>
      </c>
      <c r="D1594">
        <f>IFERROR(INDEX(E1594:DD1594,$F$1),"")</f>
        <v/>
      </c>
      <c r="E1594">
        <f>IFERROR(INDEX(PP_Grid[#Data],$DE1594,2),0)</f>
        <v/>
      </c>
      <c r="F1594">
        <f>IFERROR(INDEX(PP_Grid[#Data],$DE1594,3),0)</f>
        <v/>
      </c>
      <c r="G1594">
        <f>IFERROR(INDEX(PP_Grid[#Data],$DE1594,4),0)</f>
        <v/>
      </c>
      <c r="H1594">
        <f>IFERROR(INDEX(PP_Grid[#Data],$DE1594,5),0)</f>
        <v/>
      </c>
      <c r="I1594">
        <f>IFERROR(INDEX(PP_Grid[#Data],$DE1594,6),0)</f>
        <v/>
      </c>
      <c r="J1594">
        <f>IFERROR(INDEX(PP_Grid[#Data],$DE1594,7),0)</f>
        <v/>
      </c>
      <c r="K1594">
        <f>IFERROR(INDEX(PP_Grid[#Data],$DE1594,8),0)</f>
        <v/>
      </c>
      <c r="L1594">
        <f>IFERROR(INDEX(PP_Grid[#Data],$DE1594,9),0)</f>
        <v/>
      </c>
      <c r="M1594">
        <f>IFERROR(INDEX(PP_Grid[#Data],$DE1594,10),0)</f>
        <v/>
      </c>
      <c r="N1594">
        <f>IFERROR(INDEX(PP_Grid[#Data],$DE1594,11),0)</f>
        <v/>
      </c>
      <c r="O1594">
        <f>IFERROR(INDEX(PP_Grid[#Data],$DE1594,12),0)</f>
        <v/>
      </c>
      <c r="P1594">
        <f>IFERROR(INDEX(PP_Grid[#Data],$DE1594,13),0)</f>
        <v/>
      </c>
      <c r="Q1594">
        <f>IFERROR(INDEX(PP_Grid[#Data],$DE1594,14),0)</f>
        <v/>
      </c>
      <c r="R1594">
        <f>IFERROR(INDEX(PP_Grid[#Data],$DE1594,15),0)</f>
        <v/>
      </c>
      <c r="S1594">
        <f>IFERROR(INDEX(PP_Grid[#Data],$DE1594,16),0)</f>
        <v/>
      </c>
      <c r="T1594">
        <f>IFERROR(INDEX(PP_Grid[#Data],$DE1594,17),0)</f>
        <v/>
      </c>
      <c r="U1594">
        <f>IFERROR(INDEX(PP_Grid[#Data],$DE1594,18),0)</f>
        <v/>
      </c>
      <c r="V1594">
        <f>IFERROR(INDEX(PP_Grid[#Data],$DE1594,19),0)</f>
        <v/>
      </c>
      <c r="W1594">
        <f>IFERROR(INDEX(PP_Grid[#Data],$DE1594,20),0)</f>
        <v/>
      </c>
      <c r="X1594">
        <f>IFERROR(INDEX(PP_Grid[#Data],$DE1594,21),0)</f>
        <v/>
      </c>
      <c r="Y1594">
        <f>IFERROR(INDEX(PP_Grid[#Data],$DE1594,22),0)</f>
        <v/>
      </c>
      <c r="Z1594">
        <f>IFERROR(INDEX(PP_Grid[#Data],$DE1594,23),0)</f>
        <v/>
      </c>
      <c r="AA1594">
        <f>IFERROR(INDEX(PP_Grid[#Data],$DE1594,24),0)</f>
        <v/>
      </c>
      <c r="AB1594">
        <f>IFERROR(INDEX(PP_Grid[#Data],$DE1594,25),0)</f>
        <v/>
      </c>
      <c r="AC1594">
        <f>IFERROR(INDEX(PP_Grid[#Data],$DE1594,26),0)</f>
        <v/>
      </c>
      <c r="AD1594">
        <f>IFERROR(INDEX(PP_Grid[#Data],$DE1594,27),0)</f>
        <v/>
      </c>
      <c r="AE1594">
        <f>IFERROR(INDEX(PP_Grid[#Data],$DE1594,28),0)</f>
        <v/>
      </c>
      <c r="AF1594">
        <f>IFERROR(INDEX(PP_Grid[#Data],$DE1594,29),0)</f>
        <v/>
      </c>
      <c r="AG1594">
        <f>IFERROR(INDEX(PP_Grid[#Data],$DE1594,30),0)</f>
        <v/>
      </c>
      <c r="AH1594">
        <f>IFERROR(INDEX(PP_Grid[#Data],$DE1594,31),0)</f>
        <v/>
      </c>
      <c r="AI1594">
        <f>IFERROR(INDEX(PP_Grid[#Data],$DE1594,32),0)</f>
        <v/>
      </c>
      <c r="AJ1594">
        <f>IFERROR(INDEX(PP_Grid[#Data],$DE1594,33),0)</f>
        <v/>
      </c>
      <c r="AK1594">
        <f>IFERROR(INDEX(PP_Grid[#Data],$DE1594,34),0)</f>
        <v/>
      </c>
      <c r="AL1594">
        <f>IFERROR(INDEX(PP_Grid[#Data],$DE1594,35),0)</f>
        <v/>
      </c>
      <c r="AM1594">
        <f>IFERROR(INDEX(PP_Grid[#Data],$DE1594,36),0)</f>
        <v/>
      </c>
      <c r="AN1594">
        <f>IFERROR(INDEX(PP_Grid[#Data],$DE1594,37),0)</f>
        <v/>
      </c>
      <c r="AO1594">
        <f>IFERROR(INDEX(PP_Grid[#Data],$DE1594,38),0)</f>
        <v/>
      </c>
      <c r="AP1594">
        <f>IFERROR(INDEX(PP_Grid[#Data],$DE1594,39),0)</f>
        <v/>
      </c>
      <c r="AQ1594">
        <f>IFERROR(INDEX(PP_Grid[#Data],$DE1594,40),0)</f>
        <v/>
      </c>
      <c r="AR1594">
        <f>IFERROR(INDEX(PP_Grid[#Data],$DE1594,41),0)</f>
        <v/>
      </c>
      <c r="AS1594">
        <f>IFERROR(INDEX(PP_Grid[#Data],$DE1594,42),0)</f>
        <v/>
      </c>
      <c r="AT1594">
        <f>IFERROR(INDEX(PP_Grid[#Data],$DE1594,43),0)</f>
        <v/>
      </c>
      <c r="AU1594">
        <f>IFERROR(INDEX(PP_Grid[#Data],$DE1594,44),0)</f>
        <v/>
      </c>
      <c r="AV1594">
        <f>IFERROR(INDEX(PP_Grid[#Data],$DE1594,45),0)</f>
        <v/>
      </c>
      <c r="AW1594">
        <f>IFERROR(INDEX(PP_Grid[#Data],$DE1594,46),0)</f>
        <v/>
      </c>
      <c r="AX1594">
        <f>IFERROR(INDEX(PP_Grid[#Data],$DE1594,47),0)</f>
        <v/>
      </c>
      <c r="AY1594">
        <f>IFERROR(INDEX(PP_Grid[#Data],$DE1594,48),0)</f>
        <v/>
      </c>
      <c r="AZ1594">
        <f>IFERROR(INDEX(PP_Grid[#Data],$DE1594,49),0)</f>
        <v/>
      </c>
      <c r="BA1594">
        <f>IFERROR(INDEX(PP_Grid[#Data],$DE1594,50),0)</f>
        <v/>
      </c>
      <c r="BB1594">
        <f>IFERROR(INDEX(PP_Grid[#Data],$DE1594,51),0)</f>
        <v/>
      </c>
      <c r="BC1594">
        <f>IFERROR(INDEX(PP_Grid[#Data],$DE1594,52),0)</f>
        <v/>
      </c>
      <c r="BD1594">
        <f>IFERROR(INDEX(PP_Grid[#Data],$DE1594,53),0)</f>
        <v/>
      </c>
      <c r="BE1594">
        <f>IFERROR(INDEX(PP_Grid[#Data],$DE1594,54),0)</f>
        <v/>
      </c>
      <c r="BF1594">
        <f>IFERROR(INDEX(PP_Grid[#Data],$DE1594,55),0)</f>
        <v/>
      </c>
      <c r="BG1594">
        <f>IFERROR(INDEX(PP_Grid[#Data],$DE1594,56),0)</f>
        <v/>
      </c>
      <c r="BH1594">
        <f>IFERROR(INDEX(PP_Grid[#Data],$DE1594,57),0)</f>
        <v/>
      </c>
      <c r="BI1594">
        <f>IFERROR(INDEX(PP_Grid[#Data],$DE1594,58),0)</f>
        <v/>
      </c>
      <c r="BJ1594">
        <f>IFERROR(INDEX(PP_Grid[#Data],$DE1594,59),0)</f>
        <v/>
      </c>
      <c r="BK1594">
        <f>IFERROR(INDEX(PP_Grid[#Data],$DE1594,60),0)</f>
        <v/>
      </c>
      <c r="BL1594">
        <f>IFERROR(INDEX(PP_Grid[#Data],$DE1594,61),0)</f>
        <v/>
      </c>
      <c r="BM1594">
        <f>IFERROR(INDEX(PP_Grid[#Data],$DE1594,62),0)</f>
        <v/>
      </c>
      <c r="BN1594">
        <f>IFERROR(INDEX(PP_Grid[#Data],$DE1594,63),0)</f>
        <v/>
      </c>
      <c r="BO1594">
        <f>IFERROR(INDEX(PP_Grid[#Data],$DE1594,64),0)</f>
        <v/>
      </c>
      <c r="BP1594">
        <f>IFERROR(INDEX(PP_Grid[#Data],$DE1594,65),0)</f>
        <v/>
      </c>
      <c r="BQ1594">
        <f>IFERROR(INDEX(PP_Grid[#Data],$DE1594,66),0)</f>
        <v/>
      </c>
      <c r="BR1594">
        <f>IFERROR(INDEX(PP_Grid[#Data],$DE1594,67),0)</f>
        <v/>
      </c>
      <c r="BS1594">
        <f>IFERROR(INDEX(PP_Grid[#Data],$DE1594,68),0)</f>
        <v/>
      </c>
      <c r="BT1594">
        <f>IFERROR(INDEX(PP_Grid[#Data],$DE1594,69),0)</f>
        <v/>
      </c>
      <c r="BU1594">
        <f>IFERROR(INDEX(PP_Grid[#Data],$DE1594,70),0)</f>
        <v/>
      </c>
      <c r="BV1594">
        <f>IFERROR(INDEX(PP_Grid[#Data],$DE1594,71),0)</f>
        <v/>
      </c>
      <c r="BW1594">
        <f>IFERROR(INDEX(PP_Grid[#Data],$DE1594,72),0)</f>
        <v/>
      </c>
      <c r="BX1594">
        <f>IFERROR(INDEX(PP_Grid[#Data],$DE1594,73),0)</f>
        <v/>
      </c>
      <c r="BY1594">
        <f>IFERROR(INDEX(PP_Grid[#Data],$DE1594,74),0)</f>
        <v/>
      </c>
      <c r="BZ1594">
        <f>IFERROR(INDEX(PP_Grid[#Data],$DE1594,75),0)</f>
        <v/>
      </c>
      <c r="CA1594">
        <f>IFERROR(INDEX(PP_Grid[#Data],$DE1594,76),0)</f>
        <v/>
      </c>
      <c r="CB1594">
        <f>IFERROR(INDEX(PP_Grid[#Data],$DE1594,77),0)</f>
        <v/>
      </c>
      <c r="CC1594">
        <f>IFERROR(INDEX(PP_Grid[#Data],$DE1594,78),0)</f>
        <v/>
      </c>
      <c r="CD1594">
        <f>IFERROR(INDEX(PP_Grid[#Data],$DE1594,79),0)</f>
        <v/>
      </c>
      <c r="CE1594">
        <f>IFERROR(INDEX(PP_Grid[#Data],$DE1594,80),0)</f>
        <v/>
      </c>
      <c r="CF1594">
        <f>IFERROR(INDEX(PP_Grid[#Data],$DE1594,81),0)</f>
        <v/>
      </c>
      <c r="CG1594">
        <f>IFERROR(INDEX(PP_Grid[#Data],$DE1594,82),0)</f>
        <v/>
      </c>
      <c r="CH1594">
        <f>IFERROR(INDEX(PP_Grid[#Data],$DE1594,83),0)</f>
        <v/>
      </c>
      <c r="CI1594">
        <f>IFERROR(INDEX(PP_Grid[#Data],$DE1594,84),0)</f>
        <v/>
      </c>
      <c r="CJ1594">
        <f>IFERROR(INDEX(PP_Grid[#Data],$DE1594,85),0)</f>
        <v/>
      </c>
      <c r="CK1594">
        <f>IFERROR(INDEX(PP_Grid[#Data],$DE1594,86),0)</f>
        <v/>
      </c>
      <c r="CL1594">
        <f>IFERROR(INDEX(PP_Grid[#Data],$DE1594,87),0)</f>
        <v/>
      </c>
      <c r="CM1594">
        <f>IFERROR(INDEX(PP_Grid[#Data],$DE1594,88),0)</f>
        <v/>
      </c>
      <c r="CN1594">
        <f>IFERROR(INDEX(PP_Grid[#Data],$DE1594,89),0)</f>
        <v/>
      </c>
      <c r="CO1594">
        <f>IFERROR(INDEX(PP_Grid[#Data],$DE1594,90),0)</f>
        <v/>
      </c>
      <c r="CP1594">
        <f>IFERROR(INDEX(PP_Grid[#Data],$DE1594,91),0)</f>
        <v/>
      </c>
      <c r="CQ1594">
        <f>IFERROR(INDEX(PP_Grid[#Data],$DE1594,92),0)</f>
        <v/>
      </c>
      <c r="CR1594">
        <f>IFERROR(INDEX(PP_Grid[#Data],$DE1594,93),0)</f>
        <v/>
      </c>
      <c r="CS1594">
        <f>IFERROR(INDEX(PP_Grid[#Data],$DE1594,94),0)</f>
        <v/>
      </c>
      <c r="CT1594">
        <f>IFERROR(INDEX(PP_Grid[#Data],$DE1594,95),0)</f>
        <v/>
      </c>
      <c r="CU1594">
        <f>IFERROR(INDEX(PP_Grid[#Data],$DE1594,96),0)</f>
        <v/>
      </c>
      <c r="CV1594">
        <f>IFERROR(INDEX(PP_Grid[#Data],$DE1594,97),0)</f>
        <v/>
      </c>
      <c r="CW1594">
        <f>IFERROR(INDEX(PP_Grid[#Data],$DE1594,98),0)</f>
        <v/>
      </c>
      <c r="CX1594">
        <f>IFERROR(INDEX(PP_Grid[#Data],$DE1594,99),0)</f>
        <v/>
      </c>
      <c r="CY1594">
        <f>IFERROR(INDEX(PP_Grid[#Data],$DE1594,100),0)</f>
        <v/>
      </c>
      <c r="CZ1594">
        <f>IFERROR(INDEX(PP_Grid[#Data],$DE1594,101),0)</f>
        <v/>
      </c>
      <c r="DA1594">
        <f>IFERROR(INDEX(PP_Grid[#Data],$DE1594,102),0)</f>
        <v/>
      </c>
      <c r="DB1594">
        <f>IFERROR(INDEX(PP_Grid[#Data],$DE1594,103),0)</f>
        <v/>
      </c>
      <c r="DC1594">
        <f>IFERROR(INDEX(PP_Grid[#Data],$DE1594,104),0)</f>
        <v/>
      </c>
      <c r="DD1594">
        <f>IFERROR(INDEX(PP_Grid[#Data],$DE1594,105),0)</f>
        <v/>
      </c>
      <c r="DE1594" s="7">
        <f>IFERROR(MATCH($B1594,PP_Grid[Intermediate],0),99999)</f>
        <v/>
      </c>
    </row>
    <row r="1595">
      <c r="B1595" t="inlineStr">
        <is>
          <t>使用量(kg)</t>
        </is>
      </c>
      <c r="C1595">
        <f>SUMIFS(M_BOM[RM_Qty_Per_Batch],M_BOM[Intermediate],$B1594,M_BOM[RM_Code],$A1589)</f>
        <v/>
      </c>
      <c r="D1595">
        <f>IFERROR(INDEX(E1595:DD1595,$F$1),"")</f>
        <v/>
      </c>
      <c r="E1595">
        <f>$C1595*E1594</f>
        <v/>
      </c>
      <c r="F1595">
        <f>$C1595*F1594</f>
        <v/>
      </c>
      <c r="G1595">
        <f>$C1595*G1594</f>
        <v/>
      </c>
      <c r="H1595">
        <f>$C1595*H1594</f>
        <v/>
      </c>
      <c r="I1595">
        <f>$C1595*I1594</f>
        <v/>
      </c>
      <c r="J1595">
        <f>$C1595*J1594</f>
        <v/>
      </c>
      <c r="K1595">
        <f>$C1595*K1594</f>
        <v/>
      </c>
      <c r="L1595">
        <f>$C1595*L1594</f>
        <v/>
      </c>
      <c r="M1595">
        <f>$C1595*M1594</f>
        <v/>
      </c>
      <c r="N1595">
        <f>$C1595*N1594</f>
        <v/>
      </c>
      <c r="O1595">
        <f>$C1595*O1594</f>
        <v/>
      </c>
      <c r="P1595">
        <f>$C1595*P1594</f>
        <v/>
      </c>
      <c r="Q1595">
        <f>$C1595*Q1594</f>
        <v/>
      </c>
      <c r="R1595">
        <f>$C1595*R1594</f>
        <v/>
      </c>
      <c r="S1595">
        <f>$C1595*S1594</f>
        <v/>
      </c>
      <c r="T1595">
        <f>$C1595*T1594</f>
        <v/>
      </c>
      <c r="U1595">
        <f>$C1595*U1594</f>
        <v/>
      </c>
      <c r="V1595">
        <f>$C1595*V1594</f>
        <v/>
      </c>
      <c r="W1595">
        <f>$C1595*W1594</f>
        <v/>
      </c>
      <c r="X1595">
        <f>$C1595*X1594</f>
        <v/>
      </c>
      <c r="Y1595">
        <f>$C1595*Y1594</f>
        <v/>
      </c>
      <c r="Z1595">
        <f>$C1595*Z1594</f>
        <v/>
      </c>
      <c r="AA1595">
        <f>$C1595*AA1594</f>
        <v/>
      </c>
      <c r="AB1595">
        <f>$C1595*AB1594</f>
        <v/>
      </c>
      <c r="AC1595">
        <f>$C1595*AC1594</f>
        <v/>
      </c>
      <c r="AD1595">
        <f>$C1595*AD1594</f>
        <v/>
      </c>
      <c r="AE1595">
        <f>$C1595*AE1594</f>
        <v/>
      </c>
      <c r="AF1595">
        <f>$C1595*AF1594</f>
        <v/>
      </c>
      <c r="AG1595">
        <f>$C1595*AG1594</f>
        <v/>
      </c>
      <c r="AH1595">
        <f>$C1595*AH1594</f>
        <v/>
      </c>
      <c r="AI1595">
        <f>$C1595*AI1594</f>
        <v/>
      </c>
      <c r="AJ1595">
        <f>$C1595*AJ1594</f>
        <v/>
      </c>
      <c r="AK1595">
        <f>$C1595*AK1594</f>
        <v/>
      </c>
      <c r="AL1595">
        <f>$C1595*AL1594</f>
        <v/>
      </c>
      <c r="AM1595">
        <f>$C1595*AM1594</f>
        <v/>
      </c>
      <c r="AN1595">
        <f>$C1595*AN1594</f>
        <v/>
      </c>
      <c r="AO1595">
        <f>$C1595*AO1594</f>
        <v/>
      </c>
      <c r="AP1595">
        <f>$C1595*AP1594</f>
        <v/>
      </c>
      <c r="AQ1595">
        <f>$C1595*AQ1594</f>
        <v/>
      </c>
      <c r="AR1595">
        <f>$C1595*AR1594</f>
        <v/>
      </c>
      <c r="AS1595">
        <f>$C1595*AS1594</f>
        <v/>
      </c>
      <c r="AT1595">
        <f>$C1595*AT1594</f>
        <v/>
      </c>
      <c r="AU1595">
        <f>$C1595*AU1594</f>
        <v/>
      </c>
      <c r="AV1595">
        <f>$C1595*AV1594</f>
        <v/>
      </c>
      <c r="AW1595">
        <f>$C1595*AW1594</f>
        <v/>
      </c>
      <c r="AX1595">
        <f>$C1595*AX1594</f>
        <v/>
      </c>
      <c r="AY1595">
        <f>$C1595*AY1594</f>
        <v/>
      </c>
      <c r="AZ1595">
        <f>$C1595*AZ1594</f>
        <v/>
      </c>
      <c r="BA1595">
        <f>$C1595*BA1594</f>
        <v/>
      </c>
      <c r="BB1595">
        <f>$C1595*BB1594</f>
        <v/>
      </c>
      <c r="BC1595">
        <f>$C1595*BC1594</f>
        <v/>
      </c>
      <c r="BD1595">
        <f>$C1595*BD1594</f>
        <v/>
      </c>
      <c r="BE1595">
        <f>$C1595*BE1594</f>
        <v/>
      </c>
      <c r="BF1595">
        <f>$C1595*BF1594</f>
        <v/>
      </c>
      <c r="BG1595">
        <f>$C1595*BG1594</f>
        <v/>
      </c>
      <c r="BH1595">
        <f>$C1595*BH1594</f>
        <v/>
      </c>
      <c r="BI1595">
        <f>$C1595*BI1594</f>
        <v/>
      </c>
      <c r="BJ1595">
        <f>$C1595*BJ1594</f>
        <v/>
      </c>
      <c r="BK1595">
        <f>$C1595*BK1594</f>
        <v/>
      </c>
      <c r="BL1595">
        <f>$C1595*BL1594</f>
        <v/>
      </c>
      <c r="BM1595">
        <f>$C1595*BM1594</f>
        <v/>
      </c>
      <c r="BN1595">
        <f>$C1595*BN1594</f>
        <v/>
      </c>
      <c r="BO1595">
        <f>$C1595*BO1594</f>
        <v/>
      </c>
      <c r="BP1595">
        <f>$C1595*BP1594</f>
        <v/>
      </c>
      <c r="BQ1595">
        <f>$C1595*BQ1594</f>
        <v/>
      </c>
      <c r="BR1595">
        <f>$C1595*BR1594</f>
        <v/>
      </c>
      <c r="BS1595">
        <f>$C1595*BS1594</f>
        <v/>
      </c>
      <c r="BT1595">
        <f>$C1595*BT1594</f>
        <v/>
      </c>
      <c r="BU1595">
        <f>$C1595*BU1594</f>
        <v/>
      </c>
      <c r="BV1595">
        <f>$C1595*BV1594</f>
        <v/>
      </c>
      <c r="BW1595">
        <f>$C1595*BW1594</f>
        <v/>
      </c>
      <c r="BX1595">
        <f>$C1595*BX1594</f>
        <v/>
      </c>
      <c r="BY1595">
        <f>$C1595*BY1594</f>
        <v/>
      </c>
      <c r="BZ1595">
        <f>$C1595*BZ1594</f>
        <v/>
      </c>
      <c r="CA1595">
        <f>$C1595*CA1594</f>
        <v/>
      </c>
      <c r="CB1595">
        <f>$C1595*CB1594</f>
        <v/>
      </c>
      <c r="CC1595">
        <f>$C1595*CC1594</f>
        <v/>
      </c>
      <c r="CD1595">
        <f>$C1595*CD1594</f>
        <v/>
      </c>
      <c r="CE1595">
        <f>$C1595*CE1594</f>
        <v/>
      </c>
      <c r="CF1595">
        <f>$C1595*CF1594</f>
        <v/>
      </c>
      <c r="CG1595">
        <f>$C1595*CG1594</f>
        <v/>
      </c>
      <c r="CH1595">
        <f>$C1595*CH1594</f>
        <v/>
      </c>
      <c r="CI1595">
        <f>$C1595*CI1594</f>
        <v/>
      </c>
      <c r="CJ1595">
        <f>$C1595*CJ1594</f>
        <v/>
      </c>
      <c r="CK1595">
        <f>$C1595*CK1594</f>
        <v/>
      </c>
      <c r="CL1595">
        <f>$C1595*CL1594</f>
        <v/>
      </c>
      <c r="CM1595">
        <f>$C1595*CM1594</f>
        <v/>
      </c>
      <c r="CN1595">
        <f>$C1595*CN1594</f>
        <v/>
      </c>
      <c r="CO1595">
        <f>$C1595*CO1594</f>
        <v/>
      </c>
      <c r="CP1595">
        <f>$C1595*CP1594</f>
        <v/>
      </c>
      <c r="CQ1595">
        <f>$C1595*CQ1594</f>
        <v/>
      </c>
      <c r="CR1595">
        <f>$C1595*CR1594</f>
        <v/>
      </c>
      <c r="CS1595">
        <f>$C1595*CS1594</f>
        <v/>
      </c>
      <c r="CT1595">
        <f>$C1595*CT1594</f>
        <v/>
      </c>
      <c r="CU1595">
        <f>$C1595*CU1594</f>
        <v/>
      </c>
      <c r="CV1595">
        <f>$C1595*CV1594</f>
        <v/>
      </c>
      <c r="CW1595">
        <f>$C1595*CW1594</f>
        <v/>
      </c>
      <c r="CX1595">
        <f>$C1595*CX1594</f>
        <v/>
      </c>
      <c r="CY1595">
        <f>$C1595*CY1594</f>
        <v/>
      </c>
      <c r="CZ1595">
        <f>$C1595*CZ1594</f>
        <v/>
      </c>
      <c r="DA1595">
        <f>$C1595*DA1594</f>
        <v/>
      </c>
      <c r="DB1595">
        <f>$C1595*DB1594</f>
        <v/>
      </c>
      <c r="DC1595">
        <f>$C1595*DC1594</f>
        <v/>
      </c>
      <c r="DD1595">
        <f>$C1595*DD1594</f>
        <v/>
      </c>
    </row>
    <row r="1596">
      <c r="B1596" t="inlineStr">
        <is>
          <t>TSP-2157</t>
        </is>
      </c>
      <c r="C1596" t="inlineStr">
        <is>
          <t>No. of batches</t>
        </is>
      </c>
      <c r="D1596">
        <f>IFERROR(INDEX(E1596:DD1596,$F$1),"")</f>
        <v/>
      </c>
      <c r="E1596">
        <f>IFERROR(INDEX(PP_Grid[#Data],$DE1596,2),0)</f>
        <v/>
      </c>
      <c r="F1596">
        <f>IFERROR(INDEX(PP_Grid[#Data],$DE1596,3),0)</f>
        <v/>
      </c>
      <c r="G1596">
        <f>IFERROR(INDEX(PP_Grid[#Data],$DE1596,4),0)</f>
        <v/>
      </c>
      <c r="H1596">
        <f>IFERROR(INDEX(PP_Grid[#Data],$DE1596,5),0)</f>
        <v/>
      </c>
      <c r="I1596">
        <f>IFERROR(INDEX(PP_Grid[#Data],$DE1596,6),0)</f>
        <v/>
      </c>
      <c r="J1596">
        <f>IFERROR(INDEX(PP_Grid[#Data],$DE1596,7),0)</f>
        <v/>
      </c>
      <c r="K1596">
        <f>IFERROR(INDEX(PP_Grid[#Data],$DE1596,8),0)</f>
        <v/>
      </c>
      <c r="L1596">
        <f>IFERROR(INDEX(PP_Grid[#Data],$DE1596,9),0)</f>
        <v/>
      </c>
      <c r="M1596">
        <f>IFERROR(INDEX(PP_Grid[#Data],$DE1596,10),0)</f>
        <v/>
      </c>
      <c r="N1596">
        <f>IFERROR(INDEX(PP_Grid[#Data],$DE1596,11),0)</f>
        <v/>
      </c>
      <c r="O1596">
        <f>IFERROR(INDEX(PP_Grid[#Data],$DE1596,12),0)</f>
        <v/>
      </c>
      <c r="P1596">
        <f>IFERROR(INDEX(PP_Grid[#Data],$DE1596,13),0)</f>
        <v/>
      </c>
      <c r="Q1596">
        <f>IFERROR(INDEX(PP_Grid[#Data],$DE1596,14),0)</f>
        <v/>
      </c>
      <c r="R1596">
        <f>IFERROR(INDEX(PP_Grid[#Data],$DE1596,15),0)</f>
        <v/>
      </c>
      <c r="S1596">
        <f>IFERROR(INDEX(PP_Grid[#Data],$DE1596,16),0)</f>
        <v/>
      </c>
      <c r="T1596">
        <f>IFERROR(INDEX(PP_Grid[#Data],$DE1596,17),0)</f>
        <v/>
      </c>
      <c r="U1596">
        <f>IFERROR(INDEX(PP_Grid[#Data],$DE1596,18),0)</f>
        <v/>
      </c>
      <c r="V1596">
        <f>IFERROR(INDEX(PP_Grid[#Data],$DE1596,19),0)</f>
        <v/>
      </c>
      <c r="W1596">
        <f>IFERROR(INDEX(PP_Grid[#Data],$DE1596,20),0)</f>
        <v/>
      </c>
      <c r="X1596">
        <f>IFERROR(INDEX(PP_Grid[#Data],$DE1596,21),0)</f>
        <v/>
      </c>
      <c r="Y1596">
        <f>IFERROR(INDEX(PP_Grid[#Data],$DE1596,22),0)</f>
        <v/>
      </c>
      <c r="Z1596">
        <f>IFERROR(INDEX(PP_Grid[#Data],$DE1596,23),0)</f>
        <v/>
      </c>
      <c r="AA1596">
        <f>IFERROR(INDEX(PP_Grid[#Data],$DE1596,24),0)</f>
        <v/>
      </c>
      <c r="AB1596">
        <f>IFERROR(INDEX(PP_Grid[#Data],$DE1596,25),0)</f>
        <v/>
      </c>
      <c r="AC1596">
        <f>IFERROR(INDEX(PP_Grid[#Data],$DE1596,26),0)</f>
        <v/>
      </c>
      <c r="AD1596">
        <f>IFERROR(INDEX(PP_Grid[#Data],$DE1596,27),0)</f>
        <v/>
      </c>
      <c r="AE1596">
        <f>IFERROR(INDEX(PP_Grid[#Data],$DE1596,28),0)</f>
        <v/>
      </c>
      <c r="AF1596">
        <f>IFERROR(INDEX(PP_Grid[#Data],$DE1596,29),0)</f>
        <v/>
      </c>
      <c r="AG1596">
        <f>IFERROR(INDEX(PP_Grid[#Data],$DE1596,30),0)</f>
        <v/>
      </c>
      <c r="AH1596">
        <f>IFERROR(INDEX(PP_Grid[#Data],$DE1596,31),0)</f>
        <v/>
      </c>
      <c r="AI1596">
        <f>IFERROR(INDEX(PP_Grid[#Data],$DE1596,32),0)</f>
        <v/>
      </c>
      <c r="AJ1596">
        <f>IFERROR(INDEX(PP_Grid[#Data],$DE1596,33),0)</f>
        <v/>
      </c>
      <c r="AK1596">
        <f>IFERROR(INDEX(PP_Grid[#Data],$DE1596,34),0)</f>
        <v/>
      </c>
      <c r="AL1596">
        <f>IFERROR(INDEX(PP_Grid[#Data],$DE1596,35),0)</f>
        <v/>
      </c>
      <c r="AM1596">
        <f>IFERROR(INDEX(PP_Grid[#Data],$DE1596,36),0)</f>
        <v/>
      </c>
      <c r="AN1596">
        <f>IFERROR(INDEX(PP_Grid[#Data],$DE1596,37),0)</f>
        <v/>
      </c>
      <c r="AO1596">
        <f>IFERROR(INDEX(PP_Grid[#Data],$DE1596,38),0)</f>
        <v/>
      </c>
      <c r="AP1596">
        <f>IFERROR(INDEX(PP_Grid[#Data],$DE1596,39),0)</f>
        <v/>
      </c>
      <c r="AQ1596">
        <f>IFERROR(INDEX(PP_Grid[#Data],$DE1596,40),0)</f>
        <v/>
      </c>
      <c r="AR1596">
        <f>IFERROR(INDEX(PP_Grid[#Data],$DE1596,41),0)</f>
        <v/>
      </c>
      <c r="AS1596">
        <f>IFERROR(INDEX(PP_Grid[#Data],$DE1596,42),0)</f>
        <v/>
      </c>
      <c r="AT1596">
        <f>IFERROR(INDEX(PP_Grid[#Data],$DE1596,43),0)</f>
        <v/>
      </c>
      <c r="AU1596">
        <f>IFERROR(INDEX(PP_Grid[#Data],$DE1596,44),0)</f>
        <v/>
      </c>
      <c r="AV1596">
        <f>IFERROR(INDEX(PP_Grid[#Data],$DE1596,45),0)</f>
        <v/>
      </c>
      <c r="AW1596">
        <f>IFERROR(INDEX(PP_Grid[#Data],$DE1596,46),0)</f>
        <v/>
      </c>
      <c r="AX1596">
        <f>IFERROR(INDEX(PP_Grid[#Data],$DE1596,47),0)</f>
        <v/>
      </c>
      <c r="AY1596">
        <f>IFERROR(INDEX(PP_Grid[#Data],$DE1596,48),0)</f>
        <v/>
      </c>
      <c r="AZ1596">
        <f>IFERROR(INDEX(PP_Grid[#Data],$DE1596,49),0)</f>
        <v/>
      </c>
      <c r="BA1596">
        <f>IFERROR(INDEX(PP_Grid[#Data],$DE1596,50),0)</f>
        <v/>
      </c>
      <c r="BB1596">
        <f>IFERROR(INDEX(PP_Grid[#Data],$DE1596,51),0)</f>
        <v/>
      </c>
      <c r="BC1596">
        <f>IFERROR(INDEX(PP_Grid[#Data],$DE1596,52),0)</f>
        <v/>
      </c>
      <c r="BD1596">
        <f>IFERROR(INDEX(PP_Grid[#Data],$DE1596,53),0)</f>
        <v/>
      </c>
      <c r="BE1596">
        <f>IFERROR(INDEX(PP_Grid[#Data],$DE1596,54),0)</f>
        <v/>
      </c>
      <c r="BF1596">
        <f>IFERROR(INDEX(PP_Grid[#Data],$DE1596,55),0)</f>
        <v/>
      </c>
      <c r="BG1596">
        <f>IFERROR(INDEX(PP_Grid[#Data],$DE1596,56),0)</f>
        <v/>
      </c>
      <c r="BH1596">
        <f>IFERROR(INDEX(PP_Grid[#Data],$DE1596,57),0)</f>
        <v/>
      </c>
      <c r="BI1596">
        <f>IFERROR(INDEX(PP_Grid[#Data],$DE1596,58),0)</f>
        <v/>
      </c>
      <c r="BJ1596">
        <f>IFERROR(INDEX(PP_Grid[#Data],$DE1596,59),0)</f>
        <v/>
      </c>
      <c r="BK1596">
        <f>IFERROR(INDEX(PP_Grid[#Data],$DE1596,60),0)</f>
        <v/>
      </c>
      <c r="BL1596">
        <f>IFERROR(INDEX(PP_Grid[#Data],$DE1596,61),0)</f>
        <v/>
      </c>
      <c r="BM1596">
        <f>IFERROR(INDEX(PP_Grid[#Data],$DE1596,62),0)</f>
        <v/>
      </c>
      <c r="BN1596">
        <f>IFERROR(INDEX(PP_Grid[#Data],$DE1596,63),0)</f>
        <v/>
      </c>
      <c r="BO1596">
        <f>IFERROR(INDEX(PP_Grid[#Data],$DE1596,64),0)</f>
        <v/>
      </c>
      <c r="BP1596">
        <f>IFERROR(INDEX(PP_Grid[#Data],$DE1596,65),0)</f>
        <v/>
      </c>
      <c r="BQ1596">
        <f>IFERROR(INDEX(PP_Grid[#Data],$DE1596,66),0)</f>
        <v/>
      </c>
      <c r="BR1596">
        <f>IFERROR(INDEX(PP_Grid[#Data],$DE1596,67),0)</f>
        <v/>
      </c>
      <c r="BS1596">
        <f>IFERROR(INDEX(PP_Grid[#Data],$DE1596,68),0)</f>
        <v/>
      </c>
      <c r="BT1596">
        <f>IFERROR(INDEX(PP_Grid[#Data],$DE1596,69),0)</f>
        <v/>
      </c>
      <c r="BU1596">
        <f>IFERROR(INDEX(PP_Grid[#Data],$DE1596,70),0)</f>
        <v/>
      </c>
      <c r="BV1596">
        <f>IFERROR(INDEX(PP_Grid[#Data],$DE1596,71),0)</f>
        <v/>
      </c>
      <c r="BW1596">
        <f>IFERROR(INDEX(PP_Grid[#Data],$DE1596,72),0)</f>
        <v/>
      </c>
      <c r="BX1596">
        <f>IFERROR(INDEX(PP_Grid[#Data],$DE1596,73),0)</f>
        <v/>
      </c>
      <c r="BY1596">
        <f>IFERROR(INDEX(PP_Grid[#Data],$DE1596,74),0)</f>
        <v/>
      </c>
      <c r="BZ1596">
        <f>IFERROR(INDEX(PP_Grid[#Data],$DE1596,75),0)</f>
        <v/>
      </c>
      <c r="CA1596">
        <f>IFERROR(INDEX(PP_Grid[#Data],$DE1596,76),0)</f>
        <v/>
      </c>
      <c r="CB1596">
        <f>IFERROR(INDEX(PP_Grid[#Data],$DE1596,77),0)</f>
        <v/>
      </c>
      <c r="CC1596">
        <f>IFERROR(INDEX(PP_Grid[#Data],$DE1596,78),0)</f>
        <v/>
      </c>
      <c r="CD1596">
        <f>IFERROR(INDEX(PP_Grid[#Data],$DE1596,79),0)</f>
        <v/>
      </c>
      <c r="CE1596">
        <f>IFERROR(INDEX(PP_Grid[#Data],$DE1596,80),0)</f>
        <v/>
      </c>
      <c r="CF1596">
        <f>IFERROR(INDEX(PP_Grid[#Data],$DE1596,81),0)</f>
        <v/>
      </c>
      <c r="CG1596">
        <f>IFERROR(INDEX(PP_Grid[#Data],$DE1596,82),0)</f>
        <v/>
      </c>
      <c r="CH1596">
        <f>IFERROR(INDEX(PP_Grid[#Data],$DE1596,83),0)</f>
        <v/>
      </c>
      <c r="CI1596">
        <f>IFERROR(INDEX(PP_Grid[#Data],$DE1596,84),0)</f>
        <v/>
      </c>
      <c r="CJ1596">
        <f>IFERROR(INDEX(PP_Grid[#Data],$DE1596,85),0)</f>
        <v/>
      </c>
      <c r="CK1596">
        <f>IFERROR(INDEX(PP_Grid[#Data],$DE1596,86),0)</f>
        <v/>
      </c>
      <c r="CL1596">
        <f>IFERROR(INDEX(PP_Grid[#Data],$DE1596,87),0)</f>
        <v/>
      </c>
      <c r="CM1596">
        <f>IFERROR(INDEX(PP_Grid[#Data],$DE1596,88),0)</f>
        <v/>
      </c>
      <c r="CN1596">
        <f>IFERROR(INDEX(PP_Grid[#Data],$DE1596,89),0)</f>
        <v/>
      </c>
      <c r="CO1596">
        <f>IFERROR(INDEX(PP_Grid[#Data],$DE1596,90),0)</f>
        <v/>
      </c>
      <c r="CP1596">
        <f>IFERROR(INDEX(PP_Grid[#Data],$DE1596,91),0)</f>
        <v/>
      </c>
      <c r="CQ1596">
        <f>IFERROR(INDEX(PP_Grid[#Data],$DE1596,92),0)</f>
        <v/>
      </c>
      <c r="CR1596">
        <f>IFERROR(INDEX(PP_Grid[#Data],$DE1596,93),0)</f>
        <v/>
      </c>
      <c r="CS1596">
        <f>IFERROR(INDEX(PP_Grid[#Data],$DE1596,94),0)</f>
        <v/>
      </c>
      <c r="CT1596">
        <f>IFERROR(INDEX(PP_Grid[#Data],$DE1596,95),0)</f>
        <v/>
      </c>
      <c r="CU1596">
        <f>IFERROR(INDEX(PP_Grid[#Data],$DE1596,96),0)</f>
        <v/>
      </c>
      <c r="CV1596">
        <f>IFERROR(INDEX(PP_Grid[#Data],$DE1596,97),0)</f>
        <v/>
      </c>
      <c r="CW1596">
        <f>IFERROR(INDEX(PP_Grid[#Data],$DE1596,98),0)</f>
        <v/>
      </c>
      <c r="CX1596">
        <f>IFERROR(INDEX(PP_Grid[#Data],$DE1596,99),0)</f>
        <v/>
      </c>
      <c r="CY1596">
        <f>IFERROR(INDEX(PP_Grid[#Data],$DE1596,100),0)</f>
        <v/>
      </c>
      <c r="CZ1596">
        <f>IFERROR(INDEX(PP_Grid[#Data],$DE1596,101),0)</f>
        <v/>
      </c>
      <c r="DA1596">
        <f>IFERROR(INDEX(PP_Grid[#Data],$DE1596,102),0)</f>
        <v/>
      </c>
      <c r="DB1596">
        <f>IFERROR(INDEX(PP_Grid[#Data],$DE1596,103),0)</f>
        <v/>
      </c>
      <c r="DC1596">
        <f>IFERROR(INDEX(PP_Grid[#Data],$DE1596,104),0)</f>
        <v/>
      </c>
      <c r="DD1596">
        <f>IFERROR(INDEX(PP_Grid[#Data],$DE1596,105),0)</f>
        <v/>
      </c>
      <c r="DE1596" s="7">
        <f>IFERROR(MATCH($B1596,PP_Grid[Intermediate],0),99999)</f>
        <v/>
      </c>
    </row>
    <row r="1597">
      <c r="B1597" t="inlineStr">
        <is>
          <t>使用量(kg)</t>
        </is>
      </c>
      <c r="C1597">
        <f>SUMIFS(M_BOM[RM_Qty_Per_Batch],M_BOM[Intermediate],$B1596,M_BOM[RM_Code],$A1589)</f>
        <v/>
      </c>
      <c r="D1597">
        <f>IFERROR(INDEX(E1597:DD1597,$F$1),"")</f>
        <v/>
      </c>
      <c r="E1597">
        <f>$C1597*E1596</f>
        <v/>
      </c>
      <c r="F1597">
        <f>$C1597*F1596</f>
        <v/>
      </c>
      <c r="G1597">
        <f>$C1597*G1596</f>
        <v/>
      </c>
      <c r="H1597">
        <f>$C1597*H1596</f>
        <v/>
      </c>
      <c r="I1597">
        <f>$C1597*I1596</f>
        <v/>
      </c>
      <c r="J1597">
        <f>$C1597*J1596</f>
        <v/>
      </c>
      <c r="K1597">
        <f>$C1597*K1596</f>
        <v/>
      </c>
      <c r="L1597">
        <f>$C1597*L1596</f>
        <v/>
      </c>
      <c r="M1597">
        <f>$C1597*M1596</f>
        <v/>
      </c>
      <c r="N1597">
        <f>$C1597*N1596</f>
        <v/>
      </c>
      <c r="O1597">
        <f>$C1597*O1596</f>
        <v/>
      </c>
      <c r="P1597">
        <f>$C1597*P1596</f>
        <v/>
      </c>
      <c r="Q1597">
        <f>$C1597*Q1596</f>
        <v/>
      </c>
      <c r="R1597">
        <f>$C1597*R1596</f>
        <v/>
      </c>
      <c r="S1597">
        <f>$C1597*S1596</f>
        <v/>
      </c>
      <c r="T1597">
        <f>$C1597*T1596</f>
        <v/>
      </c>
      <c r="U1597">
        <f>$C1597*U1596</f>
        <v/>
      </c>
      <c r="V1597">
        <f>$C1597*V1596</f>
        <v/>
      </c>
      <c r="W1597">
        <f>$C1597*W1596</f>
        <v/>
      </c>
      <c r="X1597">
        <f>$C1597*X1596</f>
        <v/>
      </c>
      <c r="Y1597">
        <f>$C1597*Y1596</f>
        <v/>
      </c>
      <c r="Z1597">
        <f>$C1597*Z1596</f>
        <v/>
      </c>
      <c r="AA1597">
        <f>$C1597*AA1596</f>
        <v/>
      </c>
      <c r="AB1597">
        <f>$C1597*AB1596</f>
        <v/>
      </c>
      <c r="AC1597">
        <f>$C1597*AC1596</f>
        <v/>
      </c>
      <c r="AD1597">
        <f>$C1597*AD1596</f>
        <v/>
      </c>
      <c r="AE1597">
        <f>$C1597*AE1596</f>
        <v/>
      </c>
      <c r="AF1597">
        <f>$C1597*AF1596</f>
        <v/>
      </c>
      <c r="AG1597">
        <f>$C1597*AG1596</f>
        <v/>
      </c>
      <c r="AH1597">
        <f>$C1597*AH1596</f>
        <v/>
      </c>
      <c r="AI1597">
        <f>$C1597*AI1596</f>
        <v/>
      </c>
      <c r="AJ1597">
        <f>$C1597*AJ1596</f>
        <v/>
      </c>
      <c r="AK1597">
        <f>$C1597*AK1596</f>
        <v/>
      </c>
      <c r="AL1597">
        <f>$C1597*AL1596</f>
        <v/>
      </c>
      <c r="AM1597">
        <f>$C1597*AM1596</f>
        <v/>
      </c>
      <c r="AN1597">
        <f>$C1597*AN1596</f>
        <v/>
      </c>
      <c r="AO1597">
        <f>$C1597*AO1596</f>
        <v/>
      </c>
      <c r="AP1597">
        <f>$C1597*AP1596</f>
        <v/>
      </c>
      <c r="AQ1597">
        <f>$C1597*AQ1596</f>
        <v/>
      </c>
      <c r="AR1597">
        <f>$C1597*AR1596</f>
        <v/>
      </c>
      <c r="AS1597">
        <f>$C1597*AS1596</f>
        <v/>
      </c>
      <c r="AT1597">
        <f>$C1597*AT1596</f>
        <v/>
      </c>
      <c r="AU1597">
        <f>$C1597*AU1596</f>
        <v/>
      </c>
      <c r="AV1597">
        <f>$C1597*AV1596</f>
        <v/>
      </c>
      <c r="AW1597">
        <f>$C1597*AW1596</f>
        <v/>
      </c>
      <c r="AX1597">
        <f>$C1597*AX1596</f>
        <v/>
      </c>
      <c r="AY1597">
        <f>$C1597*AY1596</f>
        <v/>
      </c>
      <c r="AZ1597">
        <f>$C1597*AZ1596</f>
        <v/>
      </c>
      <c r="BA1597">
        <f>$C1597*BA1596</f>
        <v/>
      </c>
      <c r="BB1597">
        <f>$C1597*BB1596</f>
        <v/>
      </c>
      <c r="BC1597">
        <f>$C1597*BC1596</f>
        <v/>
      </c>
      <c r="BD1597">
        <f>$C1597*BD1596</f>
        <v/>
      </c>
      <c r="BE1597">
        <f>$C1597*BE1596</f>
        <v/>
      </c>
      <c r="BF1597">
        <f>$C1597*BF1596</f>
        <v/>
      </c>
      <c r="BG1597">
        <f>$C1597*BG1596</f>
        <v/>
      </c>
      <c r="BH1597">
        <f>$C1597*BH1596</f>
        <v/>
      </c>
      <c r="BI1597">
        <f>$C1597*BI1596</f>
        <v/>
      </c>
      <c r="BJ1597">
        <f>$C1597*BJ1596</f>
        <v/>
      </c>
      <c r="BK1597">
        <f>$C1597*BK1596</f>
        <v/>
      </c>
      <c r="BL1597">
        <f>$C1597*BL1596</f>
        <v/>
      </c>
      <c r="BM1597">
        <f>$C1597*BM1596</f>
        <v/>
      </c>
      <c r="BN1597">
        <f>$C1597*BN1596</f>
        <v/>
      </c>
      <c r="BO1597">
        <f>$C1597*BO1596</f>
        <v/>
      </c>
      <c r="BP1597">
        <f>$C1597*BP1596</f>
        <v/>
      </c>
      <c r="BQ1597">
        <f>$C1597*BQ1596</f>
        <v/>
      </c>
      <c r="BR1597">
        <f>$C1597*BR1596</f>
        <v/>
      </c>
      <c r="BS1597">
        <f>$C1597*BS1596</f>
        <v/>
      </c>
      <c r="BT1597">
        <f>$C1597*BT1596</f>
        <v/>
      </c>
      <c r="BU1597">
        <f>$C1597*BU1596</f>
        <v/>
      </c>
      <c r="BV1597">
        <f>$C1597*BV1596</f>
        <v/>
      </c>
      <c r="BW1597">
        <f>$C1597*BW1596</f>
        <v/>
      </c>
      <c r="BX1597">
        <f>$C1597*BX1596</f>
        <v/>
      </c>
      <c r="BY1597">
        <f>$C1597*BY1596</f>
        <v/>
      </c>
      <c r="BZ1597">
        <f>$C1597*BZ1596</f>
        <v/>
      </c>
      <c r="CA1597">
        <f>$C1597*CA1596</f>
        <v/>
      </c>
      <c r="CB1597">
        <f>$C1597*CB1596</f>
        <v/>
      </c>
      <c r="CC1597">
        <f>$C1597*CC1596</f>
        <v/>
      </c>
      <c r="CD1597">
        <f>$C1597*CD1596</f>
        <v/>
      </c>
      <c r="CE1597">
        <f>$C1597*CE1596</f>
        <v/>
      </c>
      <c r="CF1597">
        <f>$C1597*CF1596</f>
        <v/>
      </c>
      <c r="CG1597">
        <f>$C1597*CG1596</f>
        <v/>
      </c>
      <c r="CH1597">
        <f>$C1597*CH1596</f>
        <v/>
      </c>
      <c r="CI1597">
        <f>$C1597*CI1596</f>
        <v/>
      </c>
      <c r="CJ1597">
        <f>$C1597*CJ1596</f>
        <v/>
      </c>
      <c r="CK1597">
        <f>$C1597*CK1596</f>
        <v/>
      </c>
      <c r="CL1597">
        <f>$C1597*CL1596</f>
        <v/>
      </c>
      <c r="CM1597">
        <f>$C1597*CM1596</f>
        <v/>
      </c>
      <c r="CN1597">
        <f>$C1597*CN1596</f>
        <v/>
      </c>
      <c r="CO1597">
        <f>$C1597*CO1596</f>
        <v/>
      </c>
      <c r="CP1597">
        <f>$C1597*CP1596</f>
        <v/>
      </c>
      <c r="CQ1597">
        <f>$C1597*CQ1596</f>
        <v/>
      </c>
      <c r="CR1597">
        <f>$C1597*CR1596</f>
        <v/>
      </c>
      <c r="CS1597">
        <f>$C1597*CS1596</f>
        <v/>
      </c>
      <c r="CT1597">
        <f>$C1597*CT1596</f>
        <v/>
      </c>
      <c r="CU1597">
        <f>$C1597*CU1596</f>
        <v/>
      </c>
      <c r="CV1597">
        <f>$C1597*CV1596</f>
        <v/>
      </c>
      <c r="CW1597">
        <f>$C1597*CW1596</f>
        <v/>
      </c>
      <c r="CX1597">
        <f>$C1597*CX1596</f>
        <v/>
      </c>
      <c r="CY1597">
        <f>$C1597*CY1596</f>
        <v/>
      </c>
      <c r="CZ1597">
        <f>$C1597*CZ1596</f>
        <v/>
      </c>
      <c r="DA1597">
        <f>$C1597*DA1596</f>
        <v/>
      </c>
      <c r="DB1597">
        <f>$C1597*DB1596</f>
        <v/>
      </c>
      <c r="DC1597">
        <f>$C1597*DC1596</f>
        <v/>
      </c>
      <c r="DD1597">
        <f>$C1597*DD1596</f>
        <v/>
      </c>
    </row>
    <row r="1598">
      <c r="B1598" t="inlineStr">
        <is>
          <t>TSP-2168</t>
        </is>
      </c>
      <c r="C1598" t="inlineStr">
        <is>
          <t>No. of batches</t>
        </is>
      </c>
      <c r="D1598">
        <f>IFERROR(INDEX(E1598:DD1598,$F$1),"")</f>
        <v/>
      </c>
      <c r="E1598">
        <f>IFERROR(INDEX(PP_Grid[#Data],$DE1598,2),0)</f>
        <v/>
      </c>
      <c r="F1598">
        <f>IFERROR(INDEX(PP_Grid[#Data],$DE1598,3),0)</f>
        <v/>
      </c>
      <c r="G1598">
        <f>IFERROR(INDEX(PP_Grid[#Data],$DE1598,4),0)</f>
        <v/>
      </c>
      <c r="H1598">
        <f>IFERROR(INDEX(PP_Grid[#Data],$DE1598,5),0)</f>
        <v/>
      </c>
      <c r="I1598">
        <f>IFERROR(INDEX(PP_Grid[#Data],$DE1598,6),0)</f>
        <v/>
      </c>
      <c r="J1598">
        <f>IFERROR(INDEX(PP_Grid[#Data],$DE1598,7),0)</f>
        <v/>
      </c>
      <c r="K1598">
        <f>IFERROR(INDEX(PP_Grid[#Data],$DE1598,8),0)</f>
        <v/>
      </c>
      <c r="L1598">
        <f>IFERROR(INDEX(PP_Grid[#Data],$DE1598,9),0)</f>
        <v/>
      </c>
      <c r="M1598">
        <f>IFERROR(INDEX(PP_Grid[#Data],$DE1598,10),0)</f>
        <v/>
      </c>
      <c r="N1598">
        <f>IFERROR(INDEX(PP_Grid[#Data],$DE1598,11),0)</f>
        <v/>
      </c>
      <c r="O1598">
        <f>IFERROR(INDEX(PP_Grid[#Data],$DE1598,12),0)</f>
        <v/>
      </c>
      <c r="P1598">
        <f>IFERROR(INDEX(PP_Grid[#Data],$DE1598,13),0)</f>
        <v/>
      </c>
      <c r="Q1598">
        <f>IFERROR(INDEX(PP_Grid[#Data],$DE1598,14),0)</f>
        <v/>
      </c>
      <c r="R1598">
        <f>IFERROR(INDEX(PP_Grid[#Data],$DE1598,15),0)</f>
        <v/>
      </c>
      <c r="S1598">
        <f>IFERROR(INDEX(PP_Grid[#Data],$DE1598,16),0)</f>
        <v/>
      </c>
      <c r="T1598">
        <f>IFERROR(INDEX(PP_Grid[#Data],$DE1598,17),0)</f>
        <v/>
      </c>
      <c r="U1598">
        <f>IFERROR(INDEX(PP_Grid[#Data],$DE1598,18),0)</f>
        <v/>
      </c>
      <c r="V1598">
        <f>IFERROR(INDEX(PP_Grid[#Data],$DE1598,19),0)</f>
        <v/>
      </c>
      <c r="W1598">
        <f>IFERROR(INDEX(PP_Grid[#Data],$DE1598,20),0)</f>
        <v/>
      </c>
      <c r="X1598">
        <f>IFERROR(INDEX(PP_Grid[#Data],$DE1598,21),0)</f>
        <v/>
      </c>
      <c r="Y1598">
        <f>IFERROR(INDEX(PP_Grid[#Data],$DE1598,22),0)</f>
        <v/>
      </c>
      <c r="Z1598">
        <f>IFERROR(INDEX(PP_Grid[#Data],$DE1598,23),0)</f>
        <v/>
      </c>
      <c r="AA1598">
        <f>IFERROR(INDEX(PP_Grid[#Data],$DE1598,24),0)</f>
        <v/>
      </c>
      <c r="AB1598">
        <f>IFERROR(INDEX(PP_Grid[#Data],$DE1598,25),0)</f>
        <v/>
      </c>
      <c r="AC1598">
        <f>IFERROR(INDEX(PP_Grid[#Data],$DE1598,26),0)</f>
        <v/>
      </c>
      <c r="AD1598">
        <f>IFERROR(INDEX(PP_Grid[#Data],$DE1598,27),0)</f>
        <v/>
      </c>
      <c r="AE1598">
        <f>IFERROR(INDEX(PP_Grid[#Data],$DE1598,28),0)</f>
        <v/>
      </c>
      <c r="AF1598">
        <f>IFERROR(INDEX(PP_Grid[#Data],$DE1598,29),0)</f>
        <v/>
      </c>
      <c r="AG1598">
        <f>IFERROR(INDEX(PP_Grid[#Data],$DE1598,30),0)</f>
        <v/>
      </c>
      <c r="AH1598">
        <f>IFERROR(INDEX(PP_Grid[#Data],$DE1598,31),0)</f>
        <v/>
      </c>
      <c r="AI1598">
        <f>IFERROR(INDEX(PP_Grid[#Data],$DE1598,32),0)</f>
        <v/>
      </c>
      <c r="AJ1598">
        <f>IFERROR(INDEX(PP_Grid[#Data],$DE1598,33),0)</f>
        <v/>
      </c>
      <c r="AK1598">
        <f>IFERROR(INDEX(PP_Grid[#Data],$DE1598,34),0)</f>
        <v/>
      </c>
      <c r="AL1598">
        <f>IFERROR(INDEX(PP_Grid[#Data],$DE1598,35),0)</f>
        <v/>
      </c>
      <c r="AM1598">
        <f>IFERROR(INDEX(PP_Grid[#Data],$DE1598,36),0)</f>
        <v/>
      </c>
      <c r="AN1598">
        <f>IFERROR(INDEX(PP_Grid[#Data],$DE1598,37),0)</f>
        <v/>
      </c>
      <c r="AO1598">
        <f>IFERROR(INDEX(PP_Grid[#Data],$DE1598,38),0)</f>
        <v/>
      </c>
      <c r="AP1598">
        <f>IFERROR(INDEX(PP_Grid[#Data],$DE1598,39),0)</f>
        <v/>
      </c>
      <c r="AQ1598">
        <f>IFERROR(INDEX(PP_Grid[#Data],$DE1598,40),0)</f>
        <v/>
      </c>
      <c r="AR1598">
        <f>IFERROR(INDEX(PP_Grid[#Data],$DE1598,41),0)</f>
        <v/>
      </c>
      <c r="AS1598">
        <f>IFERROR(INDEX(PP_Grid[#Data],$DE1598,42),0)</f>
        <v/>
      </c>
      <c r="AT1598">
        <f>IFERROR(INDEX(PP_Grid[#Data],$DE1598,43),0)</f>
        <v/>
      </c>
      <c r="AU1598">
        <f>IFERROR(INDEX(PP_Grid[#Data],$DE1598,44),0)</f>
        <v/>
      </c>
      <c r="AV1598">
        <f>IFERROR(INDEX(PP_Grid[#Data],$DE1598,45),0)</f>
        <v/>
      </c>
      <c r="AW1598">
        <f>IFERROR(INDEX(PP_Grid[#Data],$DE1598,46),0)</f>
        <v/>
      </c>
      <c r="AX1598">
        <f>IFERROR(INDEX(PP_Grid[#Data],$DE1598,47),0)</f>
        <v/>
      </c>
      <c r="AY1598">
        <f>IFERROR(INDEX(PP_Grid[#Data],$DE1598,48),0)</f>
        <v/>
      </c>
      <c r="AZ1598">
        <f>IFERROR(INDEX(PP_Grid[#Data],$DE1598,49),0)</f>
        <v/>
      </c>
      <c r="BA1598">
        <f>IFERROR(INDEX(PP_Grid[#Data],$DE1598,50),0)</f>
        <v/>
      </c>
      <c r="BB1598">
        <f>IFERROR(INDEX(PP_Grid[#Data],$DE1598,51),0)</f>
        <v/>
      </c>
      <c r="BC1598">
        <f>IFERROR(INDEX(PP_Grid[#Data],$DE1598,52),0)</f>
        <v/>
      </c>
      <c r="BD1598">
        <f>IFERROR(INDEX(PP_Grid[#Data],$DE1598,53),0)</f>
        <v/>
      </c>
      <c r="BE1598">
        <f>IFERROR(INDEX(PP_Grid[#Data],$DE1598,54),0)</f>
        <v/>
      </c>
      <c r="BF1598">
        <f>IFERROR(INDEX(PP_Grid[#Data],$DE1598,55),0)</f>
        <v/>
      </c>
      <c r="BG1598">
        <f>IFERROR(INDEX(PP_Grid[#Data],$DE1598,56),0)</f>
        <v/>
      </c>
      <c r="BH1598">
        <f>IFERROR(INDEX(PP_Grid[#Data],$DE1598,57),0)</f>
        <v/>
      </c>
      <c r="BI1598">
        <f>IFERROR(INDEX(PP_Grid[#Data],$DE1598,58),0)</f>
        <v/>
      </c>
      <c r="BJ1598">
        <f>IFERROR(INDEX(PP_Grid[#Data],$DE1598,59),0)</f>
        <v/>
      </c>
      <c r="BK1598">
        <f>IFERROR(INDEX(PP_Grid[#Data],$DE1598,60),0)</f>
        <v/>
      </c>
      <c r="BL1598">
        <f>IFERROR(INDEX(PP_Grid[#Data],$DE1598,61),0)</f>
        <v/>
      </c>
      <c r="BM1598">
        <f>IFERROR(INDEX(PP_Grid[#Data],$DE1598,62),0)</f>
        <v/>
      </c>
      <c r="BN1598">
        <f>IFERROR(INDEX(PP_Grid[#Data],$DE1598,63),0)</f>
        <v/>
      </c>
      <c r="BO1598">
        <f>IFERROR(INDEX(PP_Grid[#Data],$DE1598,64),0)</f>
        <v/>
      </c>
      <c r="BP1598">
        <f>IFERROR(INDEX(PP_Grid[#Data],$DE1598,65),0)</f>
        <v/>
      </c>
      <c r="BQ1598">
        <f>IFERROR(INDEX(PP_Grid[#Data],$DE1598,66),0)</f>
        <v/>
      </c>
      <c r="BR1598">
        <f>IFERROR(INDEX(PP_Grid[#Data],$DE1598,67),0)</f>
        <v/>
      </c>
      <c r="BS1598">
        <f>IFERROR(INDEX(PP_Grid[#Data],$DE1598,68),0)</f>
        <v/>
      </c>
      <c r="BT1598">
        <f>IFERROR(INDEX(PP_Grid[#Data],$DE1598,69),0)</f>
        <v/>
      </c>
      <c r="BU1598">
        <f>IFERROR(INDEX(PP_Grid[#Data],$DE1598,70),0)</f>
        <v/>
      </c>
      <c r="BV1598">
        <f>IFERROR(INDEX(PP_Grid[#Data],$DE1598,71),0)</f>
        <v/>
      </c>
      <c r="BW1598">
        <f>IFERROR(INDEX(PP_Grid[#Data],$DE1598,72),0)</f>
        <v/>
      </c>
      <c r="BX1598">
        <f>IFERROR(INDEX(PP_Grid[#Data],$DE1598,73),0)</f>
        <v/>
      </c>
      <c r="BY1598">
        <f>IFERROR(INDEX(PP_Grid[#Data],$DE1598,74),0)</f>
        <v/>
      </c>
      <c r="BZ1598">
        <f>IFERROR(INDEX(PP_Grid[#Data],$DE1598,75),0)</f>
        <v/>
      </c>
      <c r="CA1598">
        <f>IFERROR(INDEX(PP_Grid[#Data],$DE1598,76),0)</f>
        <v/>
      </c>
      <c r="CB1598">
        <f>IFERROR(INDEX(PP_Grid[#Data],$DE1598,77),0)</f>
        <v/>
      </c>
      <c r="CC1598">
        <f>IFERROR(INDEX(PP_Grid[#Data],$DE1598,78),0)</f>
        <v/>
      </c>
      <c r="CD1598">
        <f>IFERROR(INDEX(PP_Grid[#Data],$DE1598,79),0)</f>
        <v/>
      </c>
      <c r="CE1598">
        <f>IFERROR(INDEX(PP_Grid[#Data],$DE1598,80),0)</f>
        <v/>
      </c>
      <c r="CF1598">
        <f>IFERROR(INDEX(PP_Grid[#Data],$DE1598,81),0)</f>
        <v/>
      </c>
      <c r="CG1598">
        <f>IFERROR(INDEX(PP_Grid[#Data],$DE1598,82),0)</f>
        <v/>
      </c>
      <c r="CH1598">
        <f>IFERROR(INDEX(PP_Grid[#Data],$DE1598,83),0)</f>
        <v/>
      </c>
      <c r="CI1598">
        <f>IFERROR(INDEX(PP_Grid[#Data],$DE1598,84),0)</f>
        <v/>
      </c>
      <c r="CJ1598">
        <f>IFERROR(INDEX(PP_Grid[#Data],$DE1598,85),0)</f>
        <v/>
      </c>
      <c r="CK1598">
        <f>IFERROR(INDEX(PP_Grid[#Data],$DE1598,86),0)</f>
        <v/>
      </c>
      <c r="CL1598">
        <f>IFERROR(INDEX(PP_Grid[#Data],$DE1598,87),0)</f>
        <v/>
      </c>
      <c r="CM1598">
        <f>IFERROR(INDEX(PP_Grid[#Data],$DE1598,88),0)</f>
        <v/>
      </c>
      <c r="CN1598">
        <f>IFERROR(INDEX(PP_Grid[#Data],$DE1598,89),0)</f>
        <v/>
      </c>
      <c r="CO1598">
        <f>IFERROR(INDEX(PP_Grid[#Data],$DE1598,90),0)</f>
        <v/>
      </c>
      <c r="CP1598">
        <f>IFERROR(INDEX(PP_Grid[#Data],$DE1598,91),0)</f>
        <v/>
      </c>
      <c r="CQ1598">
        <f>IFERROR(INDEX(PP_Grid[#Data],$DE1598,92),0)</f>
        <v/>
      </c>
      <c r="CR1598">
        <f>IFERROR(INDEX(PP_Grid[#Data],$DE1598,93),0)</f>
        <v/>
      </c>
      <c r="CS1598">
        <f>IFERROR(INDEX(PP_Grid[#Data],$DE1598,94),0)</f>
        <v/>
      </c>
      <c r="CT1598">
        <f>IFERROR(INDEX(PP_Grid[#Data],$DE1598,95),0)</f>
        <v/>
      </c>
      <c r="CU1598">
        <f>IFERROR(INDEX(PP_Grid[#Data],$DE1598,96),0)</f>
        <v/>
      </c>
      <c r="CV1598">
        <f>IFERROR(INDEX(PP_Grid[#Data],$DE1598,97),0)</f>
        <v/>
      </c>
      <c r="CW1598">
        <f>IFERROR(INDEX(PP_Grid[#Data],$DE1598,98),0)</f>
        <v/>
      </c>
      <c r="CX1598">
        <f>IFERROR(INDEX(PP_Grid[#Data],$DE1598,99),0)</f>
        <v/>
      </c>
      <c r="CY1598">
        <f>IFERROR(INDEX(PP_Grid[#Data],$DE1598,100),0)</f>
        <v/>
      </c>
      <c r="CZ1598">
        <f>IFERROR(INDEX(PP_Grid[#Data],$DE1598,101),0)</f>
        <v/>
      </c>
      <c r="DA1598">
        <f>IFERROR(INDEX(PP_Grid[#Data],$DE1598,102),0)</f>
        <v/>
      </c>
      <c r="DB1598">
        <f>IFERROR(INDEX(PP_Grid[#Data],$DE1598,103),0)</f>
        <v/>
      </c>
      <c r="DC1598">
        <f>IFERROR(INDEX(PP_Grid[#Data],$DE1598,104),0)</f>
        <v/>
      </c>
      <c r="DD1598">
        <f>IFERROR(INDEX(PP_Grid[#Data],$DE1598,105),0)</f>
        <v/>
      </c>
      <c r="DE1598" s="7">
        <f>IFERROR(MATCH($B1598,PP_Grid[Intermediate],0),99999)</f>
        <v/>
      </c>
    </row>
    <row r="1599">
      <c r="B1599" t="inlineStr">
        <is>
          <t>使用量(kg)</t>
        </is>
      </c>
      <c r="C1599">
        <f>SUMIFS(M_BOM[RM_Qty_Per_Batch],M_BOM[Intermediate],$B1598,M_BOM[RM_Code],$A1589)</f>
        <v/>
      </c>
      <c r="D1599">
        <f>IFERROR(INDEX(E1599:DD1599,$F$1),"")</f>
        <v/>
      </c>
      <c r="E1599">
        <f>$C1599*E1598</f>
        <v/>
      </c>
      <c r="F1599">
        <f>$C1599*F1598</f>
        <v/>
      </c>
      <c r="G1599">
        <f>$C1599*G1598</f>
        <v/>
      </c>
      <c r="H1599">
        <f>$C1599*H1598</f>
        <v/>
      </c>
      <c r="I1599">
        <f>$C1599*I1598</f>
        <v/>
      </c>
      <c r="J1599">
        <f>$C1599*J1598</f>
        <v/>
      </c>
      <c r="K1599">
        <f>$C1599*K1598</f>
        <v/>
      </c>
      <c r="L1599">
        <f>$C1599*L1598</f>
        <v/>
      </c>
      <c r="M1599">
        <f>$C1599*M1598</f>
        <v/>
      </c>
      <c r="N1599">
        <f>$C1599*N1598</f>
        <v/>
      </c>
      <c r="O1599">
        <f>$C1599*O1598</f>
        <v/>
      </c>
      <c r="P1599">
        <f>$C1599*P1598</f>
        <v/>
      </c>
      <c r="Q1599">
        <f>$C1599*Q1598</f>
        <v/>
      </c>
      <c r="R1599">
        <f>$C1599*R1598</f>
        <v/>
      </c>
      <c r="S1599">
        <f>$C1599*S1598</f>
        <v/>
      </c>
      <c r="T1599">
        <f>$C1599*T1598</f>
        <v/>
      </c>
      <c r="U1599">
        <f>$C1599*U1598</f>
        <v/>
      </c>
      <c r="V1599">
        <f>$C1599*V1598</f>
        <v/>
      </c>
      <c r="W1599">
        <f>$C1599*W1598</f>
        <v/>
      </c>
      <c r="X1599">
        <f>$C1599*X1598</f>
        <v/>
      </c>
      <c r="Y1599">
        <f>$C1599*Y1598</f>
        <v/>
      </c>
      <c r="Z1599">
        <f>$C1599*Z1598</f>
        <v/>
      </c>
      <c r="AA1599">
        <f>$C1599*AA1598</f>
        <v/>
      </c>
      <c r="AB1599">
        <f>$C1599*AB1598</f>
        <v/>
      </c>
      <c r="AC1599">
        <f>$C1599*AC1598</f>
        <v/>
      </c>
      <c r="AD1599">
        <f>$C1599*AD1598</f>
        <v/>
      </c>
      <c r="AE1599">
        <f>$C1599*AE1598</f>
        <v/>
      </c>
      <c r="AF1599">
        <f>$C1599*AF1598</f>
        <v/>
      </c>
      <c r="AG1599">
        <f>$C1599*AG1598</f>
        <v/>
      </c>
      <c r="AH1599">
        <f>$C1599*AH1598</f>
        <v/>
      </c>
      <c r="AI1599">
        <f>$C1599*AI1598</f>
        <v/>
      </c>
      <c r="AJ1599">
        <f>$C1599*AJ1598</f>
        <v/>
      </c>
      <c r="AK1599">
        <f>$C1599*AK1598</f>
        <v/>
      </c>
      <c r="AL1599">
        <f>$C1599*AL1598</f>
        <v/>
      </c>
      <c r="AM1599">
        <f>$C1599*AM1598</f>
        <v/>
      </c>
      <c r="AN1599">
        <f>$C1599*AN1598</f>
        <v/>
      </c>
      <c r="AO1599">
        <f>$C1599*AO1598</f>
        <v/>
      </c>
      <c r="AP1599">
        <f>$C1599*AP1598</f>
        <v/>
      </c>
      <c r="AQ1599">
        <f>$C1599*AQ1598</f>
        <v/>
      </c>
      <c r="AR1599">
        <f>$C1599*AR1598</f>
        <v/>
      </c>
      <c r="AS1599">
        <f>$C1599*AS1598</f>
        <v/>
      </c>
      <c r="AT1599">
        <f>$C1599*AT1598</f>
        <v/>
      </c>
      <c r="AU1599">
        <f>$C1599*AU1598</f>
        <v/>
      </c>
      <c r="AV1599">
        <f>$C1599*AV1598</f>
        <v/>
      </c>
      <c r="AW1599">
        <f>$C1599*AW1598</f>
        <v/>
      </c>
      <c r="AX1599">
        <f>$C1599*AX1598</f>
        <v/>
      </c>
      <c r="AY1599">
        <f>$C1599*AY1598</f>
        <v/>
      </c>
      <c r="AZ1599">
        <f>$C1599*AZ1598</f>
        <v/>
      </c>
      <c r="BA1599">
        <f>$C1599*BA1598</f>
        <v/>
      </c>
      <c r="BB1599">
        <f>$C1599*BB1598</f>
        <v/>
      </c>
      <c r="BC1599">
        <f>$C1599*BC1598</f>
        <v/>
      </c>
      <c r="BD1599">
        <f>$C1599*BD1598</f>
        <v/>
      </c>
      <c r="BE1599">
        <f>$C1599*BE1598</f>
        <v/>
      </c>
      <c r="BF1599">
        <f>$C1599*BF1598</f>
        <v/>
      </c>
      <c r="BG1599">
        <f>$C1599*BG1598</f>
        <v/>
      </c>
      <c r="BH1599">
        <f>$C1599*BH1598</f>
        <v/>
      </c>
      <c r="BI1599">
        <f>$C1599*BI1598</f>
        <v/>
      </c>
      <c r="BJ1599">
        <f>$C1599*BJ1598</f>
        <v/>
      </c>
      <c r="BK1599">
        <f>$C1599*BK1598</f>
        <v/>
      </c>
      <c r="BL1599">
        <f>$C1599*BL1598</f>
        <v/>
      </c>
      <c r="BM1599">
        <f>$C1599*BM1598</f>
        <v/>
      </c>
      <c r="BN1599">
        <f>$C1599*BN1598</f>
        <v/>
      </c>
      <c r="BO1599">
        <f>$C1599*BO1598</f>
        <v/>
      </c>
      <c r="BP1599">
        <f>$C1599*BP1598</f>
        <v/>
      </c>
      <c r="BQ1599">
        <f>$C1599*BQ1598</f>
        <v/>
      </c>
      <c r="BR1599">
        <f>$C1599*BR1598</f>
        <v/>
      </c>
      <c r="BS1599">
        <f>$C1599*BS1598</f>
        <v/>
      </c>
      <c r="BT1599">
        <f>$C1599*BT1598</f>
        <v/>
      </c>
      <c r="BU1599">
        <f>$C1599*BU1598</f>
        <v/>
      </c>
      <c r="BV1599">
        <f>$C1599*BV1598</f>
        <v/>
      </c>
      <c r="BW1599">
        <f>$C1599*BW1598</f>
        <v/>
      </c>
      <c r="BX1599">
        <f>$C1599*BX1598</f>
        <v/>
      </c>
      <c r="BY1599">
        <f>$C1599*BY1598</f>
        <v/>
      </c>
      <c r="BZ1599">
        <f>$C1599*BZ1598</f>
        <v/>
      </c>
      <c r="CA1599">
        <f>$C1599*CA1598</f>
        <v/>
      </c>
      <c r="CB1599">
        <f>$C1599*CB1598</f>
        <v/>
      </c>
      <c r="CC1599">
        <f>$C1599*CC1598</f>
        <v/>
      </c>
      <c r="CD1599">
        <f>$C1599*CD1598</f>
        <v/>
      </c>
      <c r="CE1599">
        <f>$C1599*CE1598</f>
        <v/>
      </c>
      <c r="CF1599">
        <f>$C1599*CF1598</f>
        <v/>
      </c>
      <c r="CG1599">
        <f>$C1599*CG1598</f>
        <v/>
      </c>
      <c r="CH1599">
        <f>$C1599*CH1598</f>
        <v/>
      </c>
      <c r="CI1599">
        <f>$C1599*CI1598</f>
        <v/>
      </c>
      <c r="CJ1599">
        <f>$C1599*CJ1598</f>
        <v/>
      </c>
      <c r="CK1599">
        <f>$C1599*CK1598</f>
        <v/>
      </c>
      <c r="CL1599">
        <f>$C1599*CL1598</f>
        <v/>
      </c>
      <c r="CM1599">
        <f>$C1599*CM1598</f>
        <v/>
      </c>
      <c r="CN1599">
        <f>$C1599*CN1598</f>
        <v/>
      </c>
      <c r="CO1599">
        <f>$C1599*CO1598</f>
        <v/>
      </c>
      <c r="CP1599">
        <f>$C1599*CP1598</f>
        <v/>
      </c>
      <c r="CQ1599">
        <f>$C1599*CQ1598</f>
        <v/>
      </c>
      <c r="CR1599">
        <f>$C1599*CR1598</f>
        <v/>
      </c>
      <c r="CS1599">
        <f>$C1599*CS1598</f>
        <v/>
      </c>
      <c r="CT1599">
        <f>$C1599*CT1598</f>
        <v/>
      </c>
      <c r="CU1599">
        <f>$C1599*CU1598</f>
        <v/>
      </c>
      <c r="CV1599">
        <f>$C1599*CV1598</f>
        <v/>
      </c>
      <c r="CW1599">
        <f>$C1599*CW1598</f>
        <v/>
      </c>
      <c r="CX1599">
        <f>$C1599*CX1598</f>
        <v/>
      </c>
      <c r="CY1599">
        <f>$C1599*CY1598</f>
        <v/>
      </c>
      <c r="CZ1599">
        <f>$C1599*CZ1598</f>
        <v/>
      </c>
      <c r="DA1599">
        <f>$C1599*DA1598</f>
        <v/>
      </c>
      <c r="DB1599">
        <f>$C1599*DB1598</f>
        <v/>
      </c>
      <c r="DC1599">
        <f>$C1599*DC1598</f>
        <v/>
      </c>
      <c r="DD1599">
        <f>$C1599*DD1598</f>
        <v/>
      </c>
    </row>
    <row r="1600">
      <c r="B1600" s="4" t="inlineStr">
        <is>
          <t>合計使用量(kg)/週</t>
        </is>
      </c>
      <c r="D1600" s="22">
        <f>IFERROR(INDEX(E1600:DD1600,$F$1),"")</f>
        <v/>
      </c>
      <c r="E1600">
        <f>'Grid_Requirement'!B35</f>
        <v/>
      </c>
      <c r="F1600">
        <f>'Grid_Requirement'!C35</f>
        <v/>
      </c>
      <c r="G1600">
        <f>'Grid_Requirement'!D35</f>
        <v/>
      </c>
      <c r="H1600">
        <f>'Grid_Requirement'!E35</f>
        <v/>
      </c>
      <c r="I1600">
        <f>'Grid_Requirement'!F35</f>
        <v/>
      </c>
      <c r="J1600">
        <f>'Grid_Requirement'!G35</f>
        <v/>
      </c>
      <c r="K1600">
        <f>'Grid_Requirement'!H35</f>
        <v/>
      </c>
      <c r="L1600">
        <f>'Grid_Requirement'!I35</f>
        <v/>
      </c>
      <c r="M1600">
        <f>'Grid_Requirement'!J35</f>
        <v/>
      </c>
      <c r="N1600">
        <f>'Grid_Requirement'!K35</f>
        <v/>
      </c>
      <c r="O1600">
        <f>'Grid_Requirement'!L35</f>
        <v/>
      </c>
      <c r="P1600">
        <f>'Grid_Requirement'!M35</f>
        <v/>
      </c>
      <c r="Q1600">
        <f>'Grid_Requirement'!N35</f>
        <v/>
      </c>
      <c r="R1600">
        <f>'Grid_Requirement'!O35</f>
        <v/>
      </c>
      <c r="S1600">
        <f>'Grid_Requirement'!P35</f>
        <v/>
      </c>
      <c r="T1600">
        <f>'Grid_Requirement'!Q35</f>
        <v/>
      </c>
      <c r="U1600">
        <f>'Grid_Requirement'!R35</f>
        <v/>
      </c>
      <c r="V1600">
        <f>'Grid_Requirement'!S35</f>
        <v/>
      </c>
      <c r="W1600">
        <f>'Grid_Requirement'!T35</f>
        <v/>
      </c>
      <c r="X1600">
        <f>'Grid_Requirement'!U35</f>
        <v/>
      </c>
      <c r="Y1600">
        <f>'Grid_Requirement'!V35</f>
        <v/>
      </c>
      <c r="Z1600">
        <f>'Grid_Requirement'!W35</f>
        <v/>
      </c>
      <c r="AA1600">
        <f>'Grid_Requirement'!X35</f>
        <v/>
      </c>
      <c r="AB1600">
        <f>'Grid_Requirement'!Y35</f>
        <v/>
      </c>
      <c r="AC1600">
        <f>'Grid_Requirement'!Z35</f>
        <v/>
      </c>
      <c r="AD1600">
        <f>'Grid_Requirement'!AA35</f>
        <v/>
      </c>
      <c r="AE1600">
        <f>'Grid_Requirement'!AB35</f>
        <v/>
      </c>
      <c r="AF1600">
        <f>'Grid_Requirement'!AC35</f>
        <v/>
      </c>
      <c r="AG1600">
        <f>'Grid_Requirement'!AD35</f>
        <v/>
      </c>
      <c r="AH1600">
        <f>'Grid_Requirement'!AE35</f>
        <v/>
      </c>
      <c r="AI1600">
        <f>'Grid_Requirement'!AF35</f>
        <v/>
      </c>
      <c r="AJ1600">
        <f>'Grid_Requirement'!AG35</f>
        <v/>
      </c>
      <c r="AK1600">
        <f>'Grid_Requirement'!AH35</f>
        <v/>
      </c>
      <c r="AL1600">
        <f>'Grid_Requirement'!AI35</f>
        <v/>
      </c>
      <c r="AM1600">
        <f>'Grid_Requirement'!AJ35</f>
        <v/>
      </c>
      <c r="AN1600">
        <f>'Grid_Requirement'!AK35</f>
        <v/>
      </c>
      <c r="AO1600">
        <f>'Grid_Requirement'!AL35</f>
        <v/>
      </c>
      <c r="AP1600">
        <f>'Grid_Requirement'!AM35</f>
        <v/>
      </c>
      <c r="AQ1600">
        <f>'Grid_Requirement'!AN35</f>
        <v/>
      </c>
      <c r="AR1600">
        <f>'Grid_Requirement'!AO35</f>
        <v/>
      </c>
      <c r="AS1600">
        <f>'Grid_Requirement'!AP35</f>
        <v/>
      </c>
      <c r="AT1600">
        <f>'Grid_Requirement'!AQ35</f>
        <v/>
      </c>
      <c r="AU1600">
        <f>'Grid_Requirement'!AR35</f>
        <v/>
      </c>
      <c r="AV1600">
        <f>'Grid_Requirement'!AS35</f>
        <v/>
      </c>
      <c r="AW1600">
        <f>'Grid_Requirement'!AT35</f>
        <v/>
      </c>
      <c r="AX1600">
        <f>'Grid_Requirement'!AU35</f>
        <v/>
      </c>
      <c r="AY1600">
        <f>'Grid_Requirement'!AV35</f>
        <v/>
      </c>
      <c r="AZ1600">
        <f>'Grid_Requirement'!AW35</f>
        <v/>
      </c>
      <c r="BA1600">
        <f>'Grid_Requirement'!AX35</f>
        <v/>
      </c>
      <c r="BB1600">
        <f>'Grid_Requirement'!AY35</f>
        <v/>
      </c>
      <c r="BC1600">
        <f>'Grid_Requirement'!AZ35</f>
        <v/>
      </c>
      <c r="BD1600">
        <f>'Grid_Requirement'!BA35</f>
        <v/>
      </c>
      <c r="BE1600">
        <f>'Grid_Requirement'!BB35</f>
        <v/>
      </c>
      <c r="BF1600">
        <f>'Grid_Requirement'!BC35</f>
        <v/>
      </c>
      <c r="BG1600">
        <f>'Grid_Requirement'!BD35</f>
        <v/>
      </c>
      <c r="BH1600">
        <f>'Grid_Requirement'!BE35</f>
        <v/>
      </c>
      <c r="BI1600">
        <f>'Grid_Requirement'!BF35</f>
        <v/>
      </c>
      <c r="BJ1600">
        <f>'Grid_Requirement'!BG35</f>
        <v/>
      </c>
      <c r="BK1600">
        <f>'Grid_Requirement'!BH35</f>
        <v/>
      </c>
      <c r="BL1600">
        <f>'Grid_Requirement'!BI35</f>
        <v/>
      </c>
      <c r="BM1600">
        <f>'Grid_Requirement'!BJ35</f>
        <v/>
      </c>
      <c r="BN1600">
        <f>'Grid_Requirement'!BK35</f>
        <v/>
      </c>
      <c r="BO1600">
        <f>'Grid_Requirement'!BL35</f>
        <v/>
      </c>
      <c r="BP1600">
        <f>'Grid_Requirement'!BM35</f>
        <v/>
      </c>
      <c r="BQ1600">
        <f>'Grid_Requirement'!BN35</f>
        <v/>
      </c>
      <c r="BR1600">
        <f>'Grid_Requirement'!BO35</f>
        <v/>
      </c>
      <c r="BS1600">
        <f>'Grid_Requirement'!BP35</f>
        <v/>
      </c>
      <c r="BT1600">
        <f>'Grid_Requirement'!BQ35</f>
        <v/>
      </c>
      <c r="BU1600">
        <f>'Grid_Requirement'!BR35</f>
        <v/>
      </c>
      <c r="BV1600">
        <f>'Grid_Requirement'!BS35</f>
        <v/>
      </c>
      <c r="BW1600">
        <f>'Grid_Requirement'!BT35</f>
        <v/>
      </c>
      <c r="BX1600">
        <f>'Grid_Requirement'!BU35</f>
        <v/>
      </c>
      <c r="BY1600">
        <f>'Grid_Requirement'!BV35</f>
        <v/>
      </c>
      <c r="BZ1600">
        <f>'Grid_Requirement'!BW35</f>
        <v/>
      </c>
      <c r="CA1600">
        <f>'Grid_Requirement'!BX35</f>
        <v/>
      </c>
      <c r="CB1600">
        <f>'Grid_Requirement'!BY35</f>
        <v/>
      </c>
      <c r="CC1600">
        <f>'Grid_Requirement'!BZ35</f>
        <v/>
      </c>
      <c r="CD1600">
        <f>'Grid_Requirement'!CA35</f>
        <v/>
      </c>
      <c r="CE1600">
        <f>'Grid_Requirement'!CB35</f>
        <v/>
      </c>
      <c r="CF1600">
        <f>'Grid_Requirement'!CC35</f>
        <v/>
      </c>
      <c r="CG1600">
        <f>'Grid_Requirement'!CD35</f>
        <v/>
      </c>
      <c r="CH1600">
        <f>'Grid_Requirement'!CE35</f>
        <v/>
      </c>
      <c r="CI1600">
        <f>'Grid_Requirement'!CF35</f>
        <v/>
      </c>
      <c r="CJ1600">
        <f>'Grid_Requirement'!CG35</f>
        <v/>
      </c>
      <c r="CK1600">
        <f>'Grid_Requirement'!CH35</f>
        <v/>
      </c>
      <c r="CL1600">
        <f>'Grid_Requirement'!CI35</f>
        <v/>
      </c>
      <c r="CM1600">
        <f>'Grid_Requirement'!CJ35</f>
        <v/>
      </c>
      <c r="CN1600">
        <f>'Grid_Requirement'!CK35</f>
        <v/>
      </c>
      <c r="CO1600">
        <f>'Grid_Requirement'!CL35</f>
        <v/>
      </c>
      <c r="CP1600">
        <f>'Grid_Requirement'!CM35</f>
        <v/>
      </c>
      <c r="CQ1600">
        <f>'Grid_Requirement'!CN35</f>
        <v/>
      </c>
      <c r="CR1600">
        <f>'Grid_Requirement'!CO35</f>
        <v/>
      </c>
      <c r="CS1600">
        <f>'Grid_Requirement'!CP35</f>
        <v/>
      </c>
      <c r="CT1600">
        <f>'Grid_Requirement'!CQ35</f>
        <v/>
      </c>
      <c r="CU1600">
        <f>'Grid_Requirement'!CR35</f>
        <v/>
      </c>
      <c r="CV1600">
        <f>'Grid_Requirement'!CS35</f>
        <v/>
      </c>
      <c r="CW1600">
        <f>'Grid_Requirement'!CT35</f>
        <v/>
      </c>
      <c r="CX1600">
        <f>'Grid_Requirement'!CU35</f>
        <v/>
      </c>
      <c r="CY1600">
        <f>'Grid_Requirement'!CV35</f>
        <v/>
      </c>
      <c r="CZ1600">
        <f>'Grid_Requirement'!CW35</f>
        <v/>
      </c>
      <c r="DA1600">
        <f>'Grid_Requirement'!CX35</f>
        <v/>
      </c>
      <c r="DB1600">
        <f>'Grid_Requirement'!CY35</f>
        <v/>
      </c>
      <c r="DC1600">
        <f>'Grid_Requirement'!CZ35</f>
        <v/>
      </c>
      <c r="DD1600">
        <f>'Grid_Requirement'!DA35</f>
        <v/>
      </c>
    </row>
    <row r="1601">
      <c r="B1601" s="23" t="inlineStr">
        <is>
          <t>（在庫・入荷予定はDashboard参照）</t>
        </is>
      </c>
    </row>
    <row r="1603">
      <c r="A1603" s="21" t="inlineStr">
        <is>
          <t>CHEM-1570</t>
        </is>
      </c>
      <c r="B1603" s="21" t="inlineStr">
        <is>
          <t>NOPAGOAL A</t>
        </is>
      </c>
      <c r="C1603" s="21" t="n"/>
      <c r="D1603" s="21" t="n"/>
      <c r="E1603" s="21" t="n"/>
      <c r="F1603" s="21" t="n"/>
      <c r="G1603" s="21" t="n"/>
      <c r="H1603" s="21" t="n"/>
      <c r="I1603" s="21" t="n"/>
      <c r="J1603" s="21" t="n"/>
      <c r="K1603" s="21" t="n"/>
      <c r="L1603" s="21" t="n"/>
      <c r="M1603" s="21" t="n"/>
      <c r="N1603" s="21" t="n"/>
      <c r="O1603" s="21" t="n"/>
      <c r="P1603" s="21" t="n"/>
      <c r="Q1603" s="21" t="n"/>
      <c r="R1603" s="21" t="n"/>
      <c r="S1603" s="21" t="n"/>
      <c r="T1603" s="21" t="n"/>
      <c r="U1603" s="21" t="n"/>
      <c r="V1603" s="21" t="n"/>
      <c r="W1603" s="21" t="n"/>
      <c r="X1603" s="21" t="n"/>
      <c r="Y1603" s="21" t="n"/>
      <c r="Z1603" s="21" t="n"/>
      <c r="AA1603" s="21" t="n"/>
      <c r="AB1603" s="21" t="n"/>
      <c r="AC1603" s="21" t="n"/>
      <c r="AD1603" s="21" t="n"/>
      <c r="AE1603" s="21" t="n"/>
      <c r="AF1603" s="21" t="n"/>
      <c r="AG1603" s="21" t="n"/>
      <c r="AH1603" s="21" t="n"/>
      <c r="AI1603" s="21" t="n"/>
      <c r="AJ1603" s="21" t="n"/>
      <c r="AK1603" s="21" t="n"/>
      <c r="AL1603" s="21" t="n"/>
      <c r="AM1603" s="21" t="n"/>
      <c r="AN1603" s="21" t="n"/>
      <c r="AO1603" s="21" t="n"/>
      <c r="AP1603" s="21" t="n"/>
      <c r="AQ1603" s="21" t="n"/>
      <c r="AR1603" s="21" t="n"/>
      <c r="AS1603" s="21" t="n"/>
      <c r="AT1603" s="21" t="n"/>
      <c r="AU1603" s="21" t="n"/>
      <c r="AV1603" s="21" t="n"/>
      <c r="AW1603" s="21" t="n"/>
      <c r="AX1603" s="21" t="n"/>
      <c r="AY1603" s="21" t="n"/>
      <c r="AZ1603" s="21" t="n"/>
      <c r="BA1603" s="21" t="n"/>
      <c r="BB1603" s="21" t="n"/>
      <c r="BC1603" s="21" t="n"/>
      <c r="BD1603" s="21" t="n"/>
      <c r="BE1603" s="21" t="n"/>
      <c r="BF1603" s="21" t="n"/>
      <c r="BG1603" s="21" t="n"/>
      <c r="BH1603" s="21" t="n"/>
      <c r="BI1603" s="21" t="n"/>
      <c r="BJ1603" s="21" t="n"/>
      <c r="BK1603" s="21" t="n"/>
      <c r="BL1603" s="21" t="n"/>
      <c r="BM1603" s="21" t="n"/>
      <c r="BN1603" s="21" t="n"/>
      <c r="BO1603" s="21" t="n"/>
      <c r="BP1603" s="21" t="n"/>
      <c r="BQ1603" s="21" t="n"/>
      <c r="BR1603" s="21" t="n"/>
      <c r="BS1603" s="21" t="n"/>
      <c r="BT1603" s="21" t="n"/>
      <c r="BU1603" s="21" t="n"/>
      <c r="BV1603" s="21" t="n"/>
      <c r="BW1603" s="21" t="n"/>
      <c r="BX1603" s="21" t="n"/>
      <c r="BY1603" s="21" t="n"/>
      <c r="BZ1603" s="21" t="n"/>
      <c r="CA1603" s="21" t="n"/>
      <c r="CB1603" s="21" t="n"/>
      <c r="CC1603" s="21" t="n"/>
      <c r="CD1603" s="21" t="n"/>
      <c r="CE1603" s="21" t="n"/>
      <c r="CF1603" s="21" t="n"/>
      <c r="CG1603" s="21" t="n"/>
      <c r="CH1603" s="21" t="n"/>
      <c r="CI1603" s="21" t="n"/>
      <c r="CJ1603" s="21" t="n"/>
      <c r="CK1603" s="21" t="n"/>
      <c r="CL1603" s="21" t="n"/>
      <c r="CM1603" s="21" t="n"/>
      <c r="CN1603" s="21" t="n"/>
      <c r="CO1603" s="21" t="n"/>
      <c r="CP1603" s="21" t="n"/>
      <c r="CQ1603" s="21" t="n"/>
      <c r="CR1603" s="21" t="n"/>
      <c r="CS1603" s="21" t="n"/>
      <c r="CT1603" s="21" t="n"/>
      <c r="CU1603" s="21" t="n"/>
      <c r="CV1603" s="21" t="n"/>
      <c r="CW1603" s="21" t="n"/>
      <c r="CX1603" s="21" t="n"/>
      <c r="CY1603" s="21" t="n"/>
      <c r="CZ1603" s="21" t="n"/>
      <c r="DA1603" s="21" t="n"/>
      <c r="DB1603" s="21" t="n"/>
      <c r="DC1603" s="21" t="n"/>
      <c r="DD1603" s="21" t="n"/>
    </row>
    <row r="1604">
      <c r="B1604" t="inlineStr">
        <is>
          <t>TSP-1388</t>
        </is>
      </c>
      <c r="C1604" t="inlineStr">
        <is>
          <t>No. of batches</t>
        </is>
      </c>
      <c r="D1604">
        <f>IFERROR(INDEX(E1604:DD1604,$F$1),"")</f>
        <v/>
      </c>
      <c r="E1604">
        <f>IFERROR(INDEX(PP_Grid[#Data],$DE1604,2),0)</f>
        <v/>
      </c>
      <c r="F1604">
        <f>IFERROR(INDEX(PP_Grid[#Data],$DE1604,3),0)</f>
        <v/>
      </c>
      <c r="G1604">
        <f>IFERROR(INDEX(PP_Grid[#Data],$DE1604,4),0)</f>
        <v/>
      </c>
      <c r="H1604">
        <f>IFERROR(INDEX(PP_Grid[#Data],$DE1604,5),0)</f>
        <v/>
      </c>
      <c r="I1604">
        <f>IFERROR(INDEX(PP_Grid[#Data],$DE1604,6),0)</f>
        <v/>
      </c>
      <c r="J1604">
        <f>IFERROR(INDEX(PP_Grid[#Data],$DE1604,7),0)</f>
        <v/>
      </c>
      <c r="K1604">
        <f>IFERROR(INDEX(PP_Grid[#Data],$DE1604,8),0)</f>
        <v/>
      </c>
      <c r="L1604">
        <f>IFERROR(INDEX(PP_Grid[#Data],$DE1604,9),0)</f>
        <v/>
      </c>
      <c r="M1604">
        <f>IFERROR(INDEX(PP_Grid[#Data],$DE1604,10),0)</f>
        <v/>
      </c>
      <c r="N1604">
        <f>IFERROR(INDEX(PP_Grid[#Data],$DE1604,11),0)</f>
        <v/>
      </c>
      <c r="O1604">
        <f>IFERROR(INDEX(PP_Grid[#Data],$DE1604,12),0)</f>
        <v/>
      </c>
      <c r="P1604">
        <f>IFERROR(INDEX(PP_Grid[#Data],$DE1604,13),0)</f>
        <v/>
      </c>
      <c r="Q1604">
        <f>IFERROR(INDEX(PP_Grid[#Data],$DE1604,14),0)</f>
        <v/>
      </c>
      <c r="R1604">
        <f>IFERROR(INDEX(PP_Grid[#Data],$DE1604,15),0)</f>
        <v/>
      </c>
      <c r="S1604">
        <f>IFERROR(INDEX(PP_Grid[#Data],$DE1604,16),0)</f>
        <v/>
      </c>
      <c r="T1604">
        <f>IFERROR(INDEX(PP_Grid[#Data],$DE1604,17),0)</f>
        <v/>
      </c>
      <c r="U1604">
        <f>IFERROR(INDEX(PP_Grid[#Data],$DE1604,18),0)</f>
        <v/>
      </c>
      <c r="V1604">
        <f>IFERROR(INDEX(PP_Grid[#Data],$DE1604,19),0)</f>
        <v/>
      </c>
      <c r="W1604">
        <f>IFERROR(INDEX(PP_Grid[#Data],$DE1604,20),0)</f>
        <v/>
      </c>
      <c r="X1604">
        <f>IFERROR(INDEX(PP_Grid[#Data],$DE1604,21),0)</f>
        <v/>
      </c>
      <c r="Y1604">
        <f>IFERROR(INDEX(PP_Grid[#Data],$DE1604,22),0)</f>
        <v/>
      </c>
      <c r="Z1604">
        <f>IFERROR(INDEX(PP_Grid[#Data],$DE1604,23),0)</f>
        <v/>
      </c>
      <c r="AA1604">
        <f>IFERROR(INDEX(PP_Grid[#Data],$DE1604,24),0)</f>
        <v/>
      </c>
      <c r="AB1604">
        <f>IFERROR(INDEX(PP_Grid[#Data],$DE1604,25),0)</f>
        <v/>
      </c>
      <c r="AC1604">
        <f>IFERROR(INDEX(PP_Grid[#Data],$DE1604,26),0)</f>
        <v/>
      </c>
      <c r="AD1604">
        <f>IFERROR(INDEX(PP_Grid[#Data],$DE1604,27),0)</f>
        <v/>
      </c>
      <c r="AE1604">
        <f>IFERROR(INDEX(PP_Grid[#Data],$DE1604,28),0)</f>
        <v/>
      </c>
      <c r="AF1604">
        <f>IFERROR(INDEX(PP_Grid[#Data],$DE1604,29),0)</f>
        <v/>
      </c>
      <c r="AG1604">
        <f>IFERROR(INDEX(PP_Grid[#Data],$DE1604,30),0)</f>
        <v/>
      </c>
      <c r="AH1604">
        <f>IFERROR(INDEX(PP_Grid[#Data],$DE1604,31),0)</f>
        <v/>
      </c>
      <c r="AI1604">
        <f>IFERROR(INDEX(PP_Grid[#Data],$DE1604,32),0)</f>
        <v/>
      </c>
      <c r="AJ1604">
        <f>IFERROR(INDEX(PP_Grid[#Data],$DE1604,33),0)</f>
        <v/>
      </c>
      <c r="AK1604">
        <f>IFERROR(INDEX(PP_Grid[#Data],$DE1604,34),0)</f>
        <v/>
      </c>
      <c r="AL1604">
        <f>IFERROR(INDEX(PP_Grid[#Data],$DE1604,35),0)</f>
        <v/>
      </c>
      <c r="AM1604">
        <f>IFERROR(INDEX(PP_Grid[#Data],$DE1604,36),0)</f>
        <v/>
      </c>
      <c r="AN1604">
        <f>IFERROR(INDEX(PP_Grid[#Data],$DE1604,37),0)</f>
        <v/>
      </c>
      <c r="AO1604">
        <f>IFERROR(INDEX(PP_Grid[#Data],$DE1604,38),0)</f>
        <v/>
      </c>
      <c r="AP1604">
        <f>IFERROR(INDEX(PP_Grid[#Data],$DE1604,39),0)</f>
        <v/>
      </c>
      <c r="AQ1604">
        <f>IFERROR(INDEX(PP_Grid[#Data],$DE1604,40),0)</f>
        <v/>
      </c>
      <c r="AR1604">
        <f>IFERROR(INDEX(PP_Grid[#Data],$DE1604,41),0)</f>
        <v/>
      </c>
      <c r="AS1604">
        <f>IFERROR(INDEX(PP_Grid[#Data],$DE1604,42),0)</f>
        <v/>
      </c>
      <c r="AT1604">
        <f>IFERROR(INDEX(PP_Grid[#Data],$DE1604,43),0)</f>
        <v/>
      </c>
      <c r="AU1604">
        <f>IFERROR(INDEX(PP_Grid[#Data],$DE1604,44),0)</f>
        <v/>
      </c>
      <c r="AV1604">
        <f>IFERROR(INDEX(PP_Grid[#Data],$DE1604,45),0)</f>
        <v/>
      </c>
      <c r="AW1604">
        <f>IFERROR(INDEX(PP_Grid[#Data],$DE1604,46),0)</f>
        <v/>
      </c>
      <c r="AX1604">
        <f>IFERROR(INDEX(PP_Grid[#Data],$DE1604,47),0)</f>
        <v/>
      </c>
      <c r="AY1604">
        <f>IFERROR(INDEX(PP_Grid[#Data],$DE1604,48),0)</f>
        <v/>
      </c>
      <c r="AZ1604">
        <f>IFERROR(INDEX(PP_Grid[#Data],$DE1604,49),0)</f>
        <v/>
      </c>
      <c r="BA1604">
        <f>IFERROR(INDEX(PP_Grid[#Data],$DE1604,50),0)</f>
        <v/>
      </c>
      <c r="BB1604">
        <f>IFERROR(INDEX(PP_Grid[#Data],$DE1604,51),0)</f>
        <v/>
      </c>
      <c r="BC1604">
        <f>IFERROR(INDEX(PP_Grid[#Data],$DE1604,52),0)</f>
        <v/>
      </c>
      <c r="BD1604">
        <f>IFERROR(INDEX(PP_Grid[#Data],$DE1604,53),0)</f>
        <v/>
      </c>
      <c r="BE1604">
        <f>IFERROR(INDEX(PP_Grid[#Data],$DE1604,54),0)</f>
        <v/>
      </c>
      <c r="BF1604">
        <f>IFERROR(INDEX(PP_Grid[#Data],$DE1604,55),0)</f>
        <v/>
      </c>
      <c r="BG1604">
        <f>IFERROR(INDEX(PP_Grid[#Data],$DE1604,56),0)</f>
        <v/>
      </c>
      <c r="BH1604">
        <f>IFERROR(INDEX(PP_Grid[#Data],$DE1604,57),0)</f>
        <v/>
      </c>
      <c r="BI1604">
        <f>IFERROR(INDEX(PP_Grid[#Data],$DE1604,58),0)</f>
        <v/>
      </c>
      <c r="BJ1604">
        <f>IFERROR(INDEX(PP_Grid[#Data],$DE1604,59),0)</f>
        <v/>
      </c>
      <c r="BK1604">
        <f>IFERROR(INDEX(PP_Grid[#Data],$DE1604,60),0)</f>
        <v/>
      </c>
      <c r="BL1604">
        <f>IFERROR(INDEX(PP_Grid[#Data],$DE1604,61),0)</f>
        <v/>
      </c>
      <c r="BM1604">
        <f>IFERROR(INDEX(PP_Grid[#Data],$DE1604,62),0)</f>
        <v/>
      </c>
      <c r="BN1604">
        <f>IFERROR(INDEX(PP_Grid[#Data],$DE1604,63),0)</f>
        <v/>
      </c>
      <c r="BO1604">
        <f>IFERROR(INDEX(PP_Grid[#Data],$DE1604,64),0)</f>
        <v/>
      </c>
      <c r="BP1604">
        <f>IFERROR(INDEX(PP_Grid[#Data],$DE1604,65),0)</f>
        <v/>
      </c>
      <c r="BQ1604">
        <f>IFERROR(INDEX(PP_Grid[#Data],$DE1604,66),0)</f>
        <v/>
      </c>
      <c r="BR1604">
        <f>IFERROR(INDEX(PP_Grid[#Data],$DE1604,67),0)</f>
        <v/>
      </c>
      <c r="BS1604">
        <f>IFERROR(INDEX(PP_Grid[#Data],$DE1604,68),0)</f>
        <v/>
      </c>
      <c r="BT1604">
        <f>IFERROR(INDEX(PP_Grid[#Data],$DE1604,69),0)</f>
        <v/>
      </c>
      <c r="BU1604">
        <f>IFERROR(INDEX(PP_Grid[#Data],$DE1604,70),0)</f>
        <v/>
      </c>
      <c r="BV1604">
        <f>IFERROR(INDEX(PP_Grid[#Data],$DE1604,71),0)</f>
        <v/>
      </c>
      <c r="BW1604">
        <f>IFERROR(INDEX(PP_Grid[#Data],$DE1604,72),0)</f>
        <v/>
      </c>
      <c r="BX1604">
        <f>IFERROR(INDEX(PP_Grid[#Data],$DE1604,73),0)</f>
        <v/>
      </c>
      <c r="BY1604">
        <f>IFERROR(INDEX(PP_Grid[#Data],$DE1604,74),0)</f>
        <v/>
      </c>
      <c r="BZ1604">
        <f>IFERROR(INDEX(PP_Grid[#Data],$DE1604,75),0)</f>
        <v/>
      </c>
      <c r="CA1604">
        <f>IFERROR(INDEX(PP_Grid[#Data],$DE1604,76),0)</f>
        <v/>
      </c>
      <c r="CB1604">
        <f>IFERROR(INDEX(PP_Grid[#Data],$DE1604,77),0)</f>
        <v/>
      </c>
      <c r="CC1604">
        <f>IFERROR(INDEX(PP_Grid[#Data],$DE1604,78),0)</f>
        <v/>
      </c>
      <c r="CD1604">
        <f>IFERROR(INDEX(PP_Grid[#Data],$DE1604,79),0)</f>
        <v/>
      </c>
      <c r="CE1604">
        <f>IFERROR(INDEX(PP_Grid[#Data],$DE1604,80),0)</f>
        <v/>
      </c>
      <c r="CF1604">
        <f>IFERROR(INDEX(PP_Grid[#Data],$DE1604,81),0)</f>
        <v/>
      </c>
      <c r="CG1604">
        <f>IFERROR(INDEX(PP_Grid[#Data],$DE1604,82),0)</f>
        <v/>
      </c>
      <c r="CH1604">
        <f>IFERROR(INDEX(PP_Grid[#Data],$DE1604,83),0)</f>
        <v/>
      </c>
      <c r="CI1604">
        <f>IFERROR(INDEX(PP_Grid[#Data],$DE1604,84),0)</f>
        <v/>
      </c>
      <c r="CJ1604">
        <f>IFERROR(INDEX(PP_Grid[#Data],$DE1604,85),0)</f>
        <v/>
      </c>
      <c r="CK1604">
        <f>IFERROR(INDEX(PP_Grid[#Data],$DE1604,86),0)</f>
        <v/>
      </c>
      <c r="CL1604">
        <f>IFERROR(INDEX(PP_Grid[#Data],$DE1604,87),0)</f>
        <v/>
      </c>
      <c r="CM1604">
        <f>IFERROR(INDEX(PP_Grid[#Data],$DE1604,88),0)</f>
        <v/>
      </c>
      <c r="CN1604">
        <f>IFERROR(INDEX(PP_Grid[#Data],$DE1604,89),0)</f>
        <v/>
      </c>
      <c r="CO1604">
        <f>IFERROR(INDEX(PP_Grid[#Data],$DE1604,90),0)</f>
        <v/>
      </c>
      <c r="CP1604">
        <f>IFERROR(INDEX(PP_Grid[#Data],$DE1604,91),0)</f>
        <v/>
      </c>
      <c r="CQ1604">
        <f>IFERROR(INDEX(PP_Grid[#Data],$DE1604,92),0)</f>
        <v/>
      </c>
      <c r="CR1604">
        <f>IFERROR(INDEX(PP_Grid[#Data],$DE1604,93),0)</f>
        <v/>
      </c>
      <c r="CS1604">
        <f>IFERROR(INDEX(PP_Grid[#Data],$DE1604,94),0)</f>
        <v/>
      </c>
      <c r="CT1604">
        <f>IFERROR(INDEX(PP_Grid[#Data],$DE1604,95),0)</f>
        <v/>
      </c>
      <c r="CU1604">
        <f>IFERROR(INDEX(PP_Grid[#Data],$DE1604,96),0)</f>
        <v/>
      </c>
      <c r="CV1604">
        <f>IFERROR(INDEX(PP_Grid[#Data],$DE1604,97),0)</f>
        <v/>
      </c>
      <c r="CW1604">
        <f>IFERROR(INDEX(PP_Grid[#Data],$DE1604,98),0)</f>
        <v/>
      </c>
      <c r="CX1604">
        <f>IFERROR(INDEX(PP_Grid[#Data],$DE1604,99),0)</f>
        <v/>
      </c>
      <c r="CY1604">
        <f>IFERROR(INDEX(PP_Grid[#Data],$DE1604,100),0)</f>
        <v/>
      </c>
      <c r="CZ1604">
        <f>IFERROR(INDEX(PP_Grid[#Data],$DE1604,101),0)</f>
        <v/>
      </c>
      <c r="DA1604">
        <f>IFERROR(INDEX(PP_Grid[#Data],$DE1604,102),0)</f>
        <v/>
      </c>
      <c r="DB1604">
        <f>IFERROR(INDEX(PP_Grid[#Data],$DE1604,103),0)</f>
        <v/>
      </c>
      <c r="DC1604">
        <f>IFERROR(INDEX(PP_Grid[#Data],$DE1604,104),0)</f>
        <v/>
      </c>
      <c r="DD1604">
        <f>IFERROR(INDEX(PP_Grid[#Data],$DE1604,105),0)</f>
        <v/>
      </c>
      <c r="DE1604" s="7">
        <f>IFERROR(MATCH($B1604,PP_Grid[Intermediate],0),99999)</f>
        <v/>
      </c>
    </row>
    <row r="1605">
      <c r="B1605" t="inlineStr">
        <is>
          <t>使用量(kg)</t>
        </is>
      </c>
      <c r="C1605">
        <f>SUMIFS(M_BOM[RM_Qty_Per_Batch],M_BOM[Intermediate],$B1604,M_BOM[RM_Code],$A1603)</f>
        <v/>
      </c>
      <c r="D1605">
        <f>IFERROR(INDEX(E1605:DD1605,$F$1),"")</f>
        <v/>
      </c>
      <c r="E1605">
        <f>$C1605*E1604</f>
        <v/>
      </c>
      <c r="F1605">
        <f>$C1605*F1604</f>
        <v/>
      </c>
      <c r="G1605">
        <f>$C1605*G1604</f>
        <v/>
      </c>
      <c r="H1605">
        <f>$C1605*H1604</f>
        <v/>
      </c>
      <c r="I1605">
        <f>$C1605*I1604</f>
        <v/>
      </c>
      <c r="J1605">
        <f>$C1605*J1604</f>
        <v/>
      </c>
      <c r="K1605">
        <f>$C1605*K1604</f>
        <v/>
      </c>
      <c r="L1605">
        <f>$C1605*L1604</f>
        <v/>
      </c>
      <c r="M1605">
        <f>$C1605*M1604</f>
        <v/>
      </c>
      <c r="N1605">
        <f>$C1605*N1604</f>
        <v/>
      </c>
      <c r="O1605">
        <f>$C1605*O1604</f>
        <v/>
      </c>
      <c r="P1605">
        <f>$C1605*P1604</f>
        <v/>
      </c>
      <c r="Q1605">
        <f>$C1605*Q1604</f>
        <v/>
      </c>
      <c r="R1605">
        <f>$C1605*R1604</f>
        <v/>
      </c>
      <c r="S1605">
        <f>$C1605*S1604</f>
        <v/>
      </c>
      <c r="T1605">
        <f>$C1605*T1604</f>
        <v/>
      </c>
      <c r="U1605">
        <f>$C1605*U1604</f>
        <v/>
      </c>
      <c r="V1605">
        <f>$C1605*V1604</f>
        <v/>
      </c>
      <c r="W1605">
        <f>$C1605*W1604</f>
        <v/>
      </c>
      <c r="X1605">
        <f>$C1605*X1604</f>
        <v/>
      </c>
      <c r="Y1605">
        <f>$C1605*Y1604</f>
        <v/>
      </c>
      <c r="Z1605">
        <f>$C1605*Z1604</f>
        <v/>
      </c>
      <c r="AA1605">
        <f>$C1605*AA1604</f>
        <v/>
      </c>
      <c r="AB1605">
        <f>$C1605*AB1604</f>
        <v/>
      </c>
      <c r="AC1605">
        <f>$C1605*AC1604</f>
        <v/>
      </c>
      <c r="AD1605">
        <f>$C1605*AD1604</f>
        <v/>
      </c>
      <c r="AE1605">
        <f>$C1605*AE1604</f>
        <v/>
      </c>
      <c r="AF1605">
        <f>$C1605*AF1604</f>
        <v/>
      </c>
      <c r="AG1605">
        <f>$C1605*AG1604</f>
        <v/>
      </c>
      <c r="AH1605">
        <f>$C1605*AH1604</f>
        <v/>
      </c>
      <c r="AI1605">
        <f>$C1605*AI1604</f>
        <v/>
      </c>
      <c r="AJ1605">
        <f>$C1605*AJ1604</f>
        <v/>
      </c>
      <c r="AK1605">
        <f>$C1605*AK1604</f>
        <v/>
      </c>
      <c r="AL1605">
        <f>$C1605*AL1604</f>
        <v/>
      </c>
      <c r="AM1605">
        <f>$C1605*AM1604</f>
        <v/>
      </c>
      <c r="AN1605">
        <f>$C1605*AN1604</f>
        <v/>
      </c>
      <c r="AO1605">
        <f>$C1605*AO1604</f>
        <v/>
      </c>
      <c r="AP1605">
        <f>$C1605*AP1604</f>
        <v/>
      </c>
      <c r="AQ1605">
        <f>$C1605*AQ1604</f>
        <v/>
      </c>
      <c r="AR1605">
        <f>$C1605*AR1604</f>
        <v/>
      </c>
      <c r="AS1605">
        <f>$C1605*AS1604</f>
        <v/>
      </c>
      <c r="AT1605">
        <f>$C1605*AT1604</f>
        <v/>
      </c>
      <c r="AU1605">
        <f>$C1605*AU1604</f>
        <v/>
      </c>
      <c r="AV1605">
        <f>$C1605*AV1604</f>
        <v/>
      </c>
      <c r="AW1605">
        <f>$C1605*AW1604</f>
        <v/>
      </c>
      <c r="AX1605">
        <f>$C1605*AX1604</f>
        <v/>
      </c>
      <c r="AY1605">
        <f>$C1605*AY1604</f>
        <v/>
      </c>
      <c r="AZ1605">
        <f>$C1605*AZ1604</f>
        <v/>
      </c>
      <c r="BA1605">
        <f>$C1605*BA1604</f>
        <v/>
      </c>
      <c r="BB1605">
        <f>$C1605*BB1604</f>
        <v/>
      </c>
      <c r="BC1605">
        <f>$C1605*BC1604</f>
        <v/>
      </c>
      <c r="BD1605">
        <f>$C1605*BD1604</f>
        <v/>
      </c>
      <c r="BE1605">
        <f>$C1605*BE1604</f>
        <v/>
      </c>
      <c r="BF1605">
        <f>$C1605*BF1604</f>
        <v/>
      </c>
      <c r="BG1605">
        <f>$C1605*BG1604</f>
        <v/>
      </c>
      <c r="BH1605">
        <f>$C1605*BH1604</f>
        <v/>
      </c>
      <c r="BI1605">
        <f>$C1605*BI1604</f>
        <v/>
      </c>
      <c r="BJ1605">
        <f>$C1605*BJ1604</f>
        <v/>
      </c>
      <c r="BK1605">
        <f>$C1605*BK1604</f>
        <v/>
      </c>
      <c r="BL1605">
        <f>$C1605*BL1604</f>
        <v/>
      </c>
      <c r="BM1605">
        <f>$C1605*BM1604</f>
        <v/>
      </c>
      <c r="BN1605">
        <f>$C1605*BN1604</f>
        <v/>
      </c>
      <c r="BO1605">
        <f>$C1605*BO1604</f>
        <v/>
      </c>
      <c r="BP1605">
        <f>$C1605*BP1604</f>
        <v/>
      </c>
      <c r="BQ1605">
        <f>$C1605*BQ1604</f>
        <v/>
      </c>
      <c r="BR1605">
        <f>$C1605*BR1604</f>
        <v/>
      </c>
      <c r="BS1605">
        <f>$C1605*BS1604</f>
        <v/>
      </c>
      <c r="BT1605">
        <f>$C1605*BT1604</f>
        <v/>
      </c>
      <c r="BU1605">
        <f>$C1605*BU1604</f>
        <v/>
      </c>
      <c r="BV1605">
        <f>$C1605*BV1604</f>
        <v/>
      </c>
      <c r="BW1605">
        <f>$C1605*BW1604</f>
        <v/>
      </c>
      <c r="BX1605">
        <f>$C1605*BX1604</f>
        <v/>
      </c>
      <c r="BY1605">
        <f>$C1605*BY1604</f>
        <v/>
      </c>
      <c r="BZ1605">
        <f>$C1605*BZ1604</f>
        <v/>
      </c>
      <c r="CA1605">
        <f>$C1605*CA1604</f>
        <v/>
      </c>
      <c r="CB1605">
        <f>$C1605*CB1604</f>
        <v/>
      </c>
      <c r="CC1605">
        <f>$C1605*CC1604</f>
        <v/>
      </c>
      <c r="CD1605">
        <f>$C1605*CD1604</f>
        <v/>
      </c>
      <c r="CE1605">
        <f>$C1605*CE1604</f>
        <v/>
      </c>
      <c r="CF1605">
        <f>$C1605*CF1604</f>
        <v/>
      </c>
      <c r="CG1605">
        <f>$C1605*CG1604</f>
        <v/>
      </c>
      <c r="CH1605">
        <f>$C1605*CH1604</f>
        <v/>
      </c>
      <c r="CI1605">
        <f>$C1605*CI1604</f>
        <v/>
      </c>
      <c r="CJ1605">
        <f>$C1605*CJ1604</f>
        <v/>
      </c>
      <c r="CK1605">
        <f>$C1605*CK1604</f>
        <v/>
      </c>
      <c r="CL1605">
        <f>$C1605*CL1604</f>
        <v/>
      </c>
      <c r="CM1605">
        <f>$C1605*CM1604</f>
        <v/>
      </c>
      <c r="CN1605">
        <f>$C1605*CN1604</f>
        <v/>
      </c>
      <c r="CO1605">
        <f>$C1605*CO1604</f>
        <v/>
      </c>
      <c r="CP1605">
        <f>$C1605*CP1604</f>
        <v/>
      </c>
      <c r="CQ1605">
        <f>$C1605*CQ1604</f>
        <v/>
      </c>
      <c r="CR1605">
        <f>$C1605*CR1604</f>
        <v/>
      </c>
      <c r="CS1605">
        <f>$C1605*CS1604</f>
        <v/>
      </c>
      <c r="CT1605">
        <f>$C1605*CT1604</f>
        <v/>
      </c>
      <c r="CU1605">
        <f>$C1605*CU1604</f>
        <v/>
      </c>
      <c r="CV1605">
        <f>$C1605*CV1604</f>
        <v/>
      </c>
      <c r="CW1605">
        <f>$C1605*CW1604</f>
        <v/>
      </c>
      <c r="CX1605">
        <f>$C1605*CX1604</f>
        <v/>
      </c>
      <c r="CY1605">
        <f>$C1605*CY1604</f>
        <v/>
      </c>
      <c r="CZ1605">
        <f>$C1605*CZ1604</f>
        <v/>
      </c>
      <c r="DA1605">
        <f>$C1605*DA1604</f>
        <v/>
      </c>
      <c r="DB1605">
        <f>$C1605*DB1604</f>
        <v/>
      </c>
      <c r="DC1605">
        <f>$C1605*DC1604</f>
        <v/>
      </c>
      <c r="DD1605">
        <f>$C1605*DD1604</f>
        <v/>
      </c>
    </row>
    <row r="1606">
      <c r="B1606" t="inlineStr">
        <is>
          <t>TSP-1444</t>
        </is>
      </c>
      <c r="C1606" t="inlineStr">
        <is>
          <t>No. of batches</t>
        </is>
      </c>
      <c r="D1606">
        <f>IFERROR(INDEX(E1606:DD1606,$F$1),"")</f>
        <v/>
      </c>
      <c r="E1606">
        <f>IFERROR(INDEX(PP_Grid[#Data],$DE1606,2),0)</f>
        <v/>
      </c>
      <c r="F1606">
        <f>IFERROR(INDEX(PP_Grid[#Data],$DE1606,3),0)</f>
        <v/>
      </c>
      <c r="G1606">
        <f>IFERROR(INDEX(PP_Grid[#Data],$DE1606,4),0)</f>
        <v/>
      </c>
      <c r="H1606">
        <f>IFERROR(INDEX(PP_Grid[#Data],$DE1606,5),0)</f>
        <v/>
      </c>
      <c r="I1606">
        <f>IFERROR(INDEX(PP_Grid[#Data],$DE1606,6),0)</f>
        <v/>
      </c>
      <c r="J1606">
        <f>IFERROR(INDEX(PP_Grid[#Data],$DE1606,7),0)</f>
        <v/>
      </c>
      <c r="K1606">
        <f>IFERROR(INDEX(PP_Grid[#Data],$DE1606,8),0)</f>
        <v/>
      </c>
      <c r="L1606">
        <f>IFERROR(INDEX(PP_Grid[#Data],$DE1606,9),0)</f>
        <v/>
      </c>
      <c r="M1606">
        <f>IFERROR(INDEX(PP_Grid[#Data],$DE1606,10),0)</f>
        <v/>
      </c>
      <c r="N1606">
        <f>IFERROR(INDEX(PP_Grid[#Data],$DE1606,11),0)</f>
        <v/>
      </c>
      <c r="O1606">
        <f>IFERROR(INDEX(PP_Grid[#Data],$DE1606,12),0)</f>
        <v/>
      </c>
      <c r="P1606">
        <f>IFERROR(INDEX(PP_Grid[#Data],$DE1606,13),0)</f>
        <v/>
      </c>
      <c r="Q1606">
        <f>IFERROR(INDEX(PP_Grid[#Data],$DE1606,14),0)</f>
        <v/>
      </c>
      <c r="R1606">
        <f>IFERROR(INDEX(PP_Grid[#Data],$DE1606,15),0)</f>
        <v/>
      </c>
      <c r="S1606">
        <f>IFERROR(INDEX(PP_Grid[#Data],$DE1606,16),0)</f>
        <v/>
      </c>
      <c r="T1606">
        <f>IFERROR(INDEX(PP_Grid[#Data],$DE1606,17),0)</f>
        <v/>
      </c>
      <c r="U1606">
        <f>IFERROR(INDEX(PP_Grid[#Data],$DE1606,18),0)</f>
        <v/>
      </c>
      <c r="V1606">
        <f>IFERROR(INDEX(PP_Grid[#Data],$DE1606,19),0)</f>
        <v/>
      </c>
      <c r="W1606">
        <f>IFERROR(INDEX(PP_Grid[#Data],$DE1606,20),0)</f>
        <v/>
      </c>
      <c r="X1606">
        <f>IFERROR(INDEX(PP_Grid[#Data],$DE1606,21),0)</f>
        <v/>
      </c>
      <c r="Y1606">
        <f>IFERROR(INDEX(PP_Grid[#Data],$DE1606,22),0)</f>
        <v/>
      </c>
      <c r="Z1606">
        <f>IFERROR(INDEX(PP_Grid[#Data],$DE1606,23),0)</f>
        <v/>
      </c>
      <c r="AA1606">
        <f>IFERROR(INDEX(PP_Grid[#Data],$DE1606,24),0)</f>
        <v/>
      </c>
      <c r="AB1606">
        <f>IFERROR(INDEX(PP_Grid[#Data],$DE1606,25),0)</f>
        <v/>
      </c>
      <c r="AC1606">
        <f>IFERROR(INDEX(PP_Grid[#Data],$DE1606,26),0)</f>
        <v/>
      </c>
      <c r="AD1606">
        <f>IFERROR(INDEX(PP_Grid[#Data],$DE1606,27),0)</f>
        <v/>
      </c>
      <c r="AE1606">
        <f>IFERROR(INDEX(PP_Grid[#Data],$DE1606,28),0)</f>
        <v/>
      </c>
      <c r="AF1606">
        <f>IFERROR(INDEX(PP_Grid[#Data],$DE1606,29),0)</f>
        <v/>
      </c>
      <c r="AG1606">
        <f>IFERROR(INDEX(PP_Grid[#Data],$DE1606,30),0)</f>
        <v/>
      </c>
      <c r="AH1606">
        <f>IFERROR(INDEX(PP_Grid[#Data],$DE1606,31),0)</f>
        <v/>
      </c>
      <c r="AI1606">
        <f>IFERROR(INDEX(PP_Grid[#Data],$DE1606,32),0)</f>
        <v/>
      </c>
      <c r="AJ1606">
        <f>IFERROR(INDEX(PP_Grid[#Data],$DE1606,33),0)</f>
        <v/>
      </c>
      <c r="AK1606">
        <f>IFERROR(INDEX(PP_Grid[#Data],$DE1606,34),0)</f>
        <v/>
      </c>
      <c r="AL1606">
        <f>IFERROR(INDEX(PP_Grid[#Data],$DE1606,35),0)</f>
        <v/>
      </c>
      <c r="AM1606">
        <f>IFERROR(INDEX(PP_Grid[#Data],$DE1606,36),0)</f>
        <v/>
      </c>
      <c r="AN1606">
        <f>IFERROR(INDEX(PP_Grid[#Data],$DE1606,37),0)</f>
        <v/>
      </c>
      <c r="AO1606">
        <f>IFERROR(INDEX(PP_Grid[#Data],$DE1606,38),0)</f>
        <v/>
      </c>
      <c r="AP1606">
        <f>IFERROR(INDEX(PP_Grid[#Data],$DE1606,39),0)</f>
        <v/>
      </c>
      <c r="AQ1606">
        <f>IFERROR(INDEX(PP_Grid[#Data],$DE1606,40),0)</f>
        <v/>
      </c>
      <c r="AR1606">
        <f>IFERROR(INDEX(PP_Grid[#Data],$DE1606,41),0)</f>
        <v/>
      </c>
      <c r="AS1606">
        <f>IFERROR(INDEX(PP_Grid[#Data],$DE1606,42),0)</f>
        <v/>
      </c>
      <c r="AT1606">
        <f>IFERROR(INDEX(PP_Grid[#Data],$DE1606,43),0)</f>
        <v/>
      </c>
      <c r="AU1606">
        <f>IFERROR(INDEX(PP_Grid[#Data],$DE1606,44),0)</f>
        <v/>
      </c>
      <c r="AV1606">
        <f>IFERROR(INDEX(PP_Grid[#Data],$DE1606,45),0)</f>
        <v/>
      </c>
      <c r="AW1606">
        <f>IFERROR(INDEX(PP_Grid[#Data],$DE1606,46),0)</f>
        <v/>
      </c>
      <c r="AX1606">
        <f>IFERROR(INDEX(PP_Grid[#Data],$DE1606,47),0)</f>
        <v/>
      </c>
      <c r="AY1606">
        <f>IFERROR(INDEX(PP_Grid[#Data],$DE1606,48),0)</f>
        <v/>
      </c>
      <c r="AZ1606">
        <f>IFERROR(INDEX(PP_Grid[#Data],$DE1606,49),0)</f>
        <v/>
      </c>
      <c r="BA1606">
        <f>IFERROR(INDEX(PP_Grid[#Data],$DE1606,50),0)</f>
        <v/>
      </c>
      <c r="BB1606">
        <f>IFERROR(INDEX(PP_Grid[#Data],$DE1606,51),0)</f>
        <v/>
      </c>
      <c r="BC1606">
        <f>IFERROR(INDEX(PP_Grid[#Data],$DE1606,52),0)</f>
        <v/>
      </c>
      <c r="BD1606">
        <f>IFERROR(INDEX(PP_Grid[#Data],$DE1606,53),0)</f>
        <v/>
      </c>
      <c r="BE1606">
        <f>IFERROR(INDEX(PP_Grid[#Data],$DE1606,54),0)</f>
        <v/>
      </c>
      <c r="BF1606">
        <f>IFERROR(INDEX(PP_Grid[#Data],$DE1606,55),0)</f>
        <v/>
      </c>
      <c r="BG1606">
        <f>IFERROR(INDEX(PP_Grid[#Data],$DE1606,56),0)</f>
        <v/>
      </c>
      <c r="BH1606">
        <f>IFERROR(INDEX(PP_Grid[#Data],$DE1606,57),0)</f>
        <v/>
      </c>
      <c r="BI1606">
        <f>IFERROR(INDEX(PP_Grid[#Data],$DE1606,58),0)</f>
        <v/>
      </c>
      <c r="BJ1606">
        <f>IFERROR(INDEX(PP_Grid[#Data],$DE1606,59),0)</f>
        <v/>
      </c>
      <c r="BK1606">
        <f>IFERROR(INDEX(PP_Grid[#Data],$DE1606,60),0)</f>
        <v/>
      </c>
      <c r="BL1606">
        <f>IFERROR(INDEX(PP_Grid[#Data],$DE1606,61),0)</f>
        <v/>
      </c>
      <c r="BM1606">
        <f>IFERROR(INDEX(PP_Grid[#Data],$DE1606,62),0)</f>
        <v/>
      </c>
      <c r="BN1606">
        <f>IFERROR(INDEX(PP_Grid[#Data],$DE1606,63),0)</f>
        <v/>
      </c>
      <c r="BO1606">
        <f>IFERROR(INDEX(PP_Grid[#Data],$DE1606,64),0)</f>
        <v/>
      </c>
      <c r="BP1606">
        <f>IFERROR(INDEX(PP_Grid[#Data],$DE1606,65),0)</f>
        <v/>
      </c>
      <c r="BQ1606">
        <f>IFERROR(INDEX(PP_Grid[#Data],$DE1606,66),0)</f>
        <v/>
      </c>
      <c r="BR1606">
        <f>IFERROR(INDEX(PP_Grid[#Data],$DE1606,67),0)</f>
        <v/>
      </c>
      <c r="BS1606">
        <f>IFERROR(INDEX(PP_Grid[#Data],$DE1606,68),0)</f>
        <v/>
      </c>
      <c r="BT1606">
        <f>IFERROR(INDEX(PP_Grid[#Data],$DE1606,69),0)</f>
        <v/>
      </c>
      <c r="BU1606">
        <f>IFERROR(INDEX(PP_Grid[#Data],$DE1606,70),0)</f>
        <v/>
      </c>
      <c r="BV1606">
        <f>IFERROR(INDEX(PP_Grid[#Data],$DE1606,71),0)</f>
        <v/>
      </c>
      <c r="BW1606">
        <f>IFERROR(INDEX(PP_Grid[#Data],$DE1606,72),0)</f>
        <v/>
      </c>
      <c r="BX1606">
        <f>IFERROR(INDEX(PP_Grid[#Data],$DE1606,73),0)</f>
        <v/>
      </c>
      <c r="BY1606">
        <f>IFERROR(INDEX(PP_Grid[#Data],$DE1606,74),0)</f>
        <v/>
      </c>
      <c r="BZ1606">
        <f>IFERROR(INDEX(PP_Grid[#Data],$DE1606,75),0)</f>
        <v/>
      </c>
      <c r="CA1606">
        <f>IFERROR(INDEX(PP_Grid[#Data],$DE1606,76),0)</f>
        <v/>
      </c>
      <c r="CB1606">
        <f>IFERROR(INDEX(PP_Grid[#Data],$DE1606,77),0)</f>
        <v/>
      </c>
      <c r="CC1606">
        <f>IFERROR(INDEX(PP_Grid[#Data],$DE1606,78),0)</f>
        <v/>
      </c>
      <c r="CD1606">
        <f>IFERROR(INDEX(PP_Grid[#Data],$DE1606,79),0)</f>
        <v/>
      </c>
      <c r="CE1606">
        <f>IFERROR(INDEX(PP_Grid[#Data],$DE1606,80),0)</f>
        <v/>
      </c>
      <c r="CF1606">
        <f>IFERROR(INDEX(PP_Grid[#Data],$DE1606,81),0)</f>
        <v/>
      </c>
      <c r="CG1606">
        <f>IFERROR(INDEX(PP_Grid[#Data],$DE1606,82),0)</f>
        <v/>
      </c>
      <c r="CH1606">
        <f>IFERROR(INDEX(PP_Grid[#Data],$DE1606,83),0)</f>
        <v/>
      </c>
      <c r="CI1606">
        <f>IFERROR(INDEX(PP_Grid[#Data],$DE1606,84),0)</f>
        <v/>
      </c>
      <c r="CJ1606">
        <f>IFERROR(INDEX(PP_Grid[#Data],$DE1606,85),0)</f>
        <v/>
      </c>
      <c r="CK1606">
        <f>IFERROR(INDEX(PP_Grid[#Data],$DE1606,86),0)</f>
        <v/>
      </c>
      <c r="CL1606">
        <f>IFERROR(INDEX(PP_Grid[#Data],$DE1606,87),0)</f>
        <v/>
      </c>
      <c r="CM1606">
        <f>IFERROR(INDEX(PP_Grid[#Data],$DE1606,88),0)</f>
        <v/>
      </c>
      <c r="CN1606">
        <f>IFERROR(INDEX(PP_Grid[#Data],$DE1606,89),0)</f>
        <v/>
      </c>
      <c r="CO1606">
        <f>IFERROR(INDEX(PP_Grid[#Data],$DE1606,90),0)</f>
        <v/>
      </c>
      <c r="CP1606">
        <f>IFERROR(INDEX(PP_Grid[#Data],$DE1606,91),0)</f>
        <v/>
      </c>
      <c r="CQ1606">
        <f>IFERROR(INDEX(PP_Grid[#Data],$DE1606,92),0)</f>
        <v/>
      </c>
      <c r="CR1606">
        <f>IFERROR(INDEX(PP_Grid[#Data],$DE1606,93),0)</f>
        <v/>
      </c>
      <c r="CS1606">
        <f>IFERROR(INDEX(PP_Grid[#Data],$DE1606,94),0)</f>
        <v/>
      </c>
      <c r="CT1606">
        <f>IFERROR(INDEX(PP_Grid[#Data],$DE1606,95),0)</f>
        <v/>
      </c>
      <c r="CU1606">
        <f>IFERROR(INDEX(PP_Grid[#Data],$DE1606,96),0)</f>
        <v/>
      </c>
      <c r="CV1606">
        <f>IFERROR(INDEX(PP_Grid[#Data],$DE1606,97),0)</f>
        <v/>
      </c>
      <c r="CW1606">
        <f>IFERROR(INDEX(PP_Grid[#Data],$DE1606,98),0)</f>
        <v/>
      </c>
      <c r="CX1606">
        <f>IFERROR(INDEX(PP_Grid[#Data],$DE1606,99),0)</f>
        <v/>
      </c>
      <c r="CY1606">
        <f>IFERROR(INDEX(PP_Grid[#Data],$DE1606,100),0)</f>
        <v/>
      </c>
      <c r="CZ1606">
        <f>IFERROR(INDEX(PP_Grid[#Data],$DE1606,101),0)</f>
        <v/>
      </c>
      <c r="DA1606">
        <f>IFERROR(INDEX(PP_Grid[#Data],$DE1606,102),0)</f>
        <v/>
      </c>
      <c r="DB1606">
        <f>IFERROR(INDEX(PP_Grid[#Data],$DE1606,103),0)</f>
        <v/>
      </c>
      <c r="DC1606">
        <f>IFERROR(INDEX(PP_Grid[#Data],$DE1606,104),0)</f>
        <v/>
      </c>
      <c r="DD1606">
        <f>IFERROR(INDEX(PP_Grid[#Data],$DE1606,105),0)</f>
        <v/>
      </c>
      <c r="DE1606" s="7">
        <f>IFERROR(MATCH($B1606,PP_Grid[Intermediate],0),99999)</f>
        <v/>
      </c>
    </row>
    <row r="1607">
      <c r="B1607" t="inlineStr">
        <is>
          <t>使用量(kg)</t>
        </is>
      </c>
      <c r="C1607">
        <f>SUMIFS(M_BOM[RM_Qty_Per_Batch],M_BOM[Intermediate],$B1606,M_BOM[RM_Code],$A1603)</f>
        <v/>
      </c>
      <c r="D1607">
        <f>IFERROR(INDEX(E1607:DD1607,$F$1),"")</f>
        <v/>
      </c>
      <c r="E1607">
        <f>$C1607*E1606</f>
        <v/>
      </c>
      <c r="F1607">
        <f>$C1607*F1606</f>
        <v/>
      </c>
      <c r="G1607">
        <f>$C1607*G1606</f>
        <v/>
      </c>
      <c r="H1607">
        <f>$C1607*H1606</f>
        <v/>
      </c>
      <c r="I1607">
        <f>$C1607*I1606</f>
        <v/>
      </c>
      <c r="J1607">
        <f>$C1607*J1606</f>
        <v/>
      </c>
      <c r="K1607">
        <f>$C1607*K1606</f>
        <v/>
      </c>
      <c r="L1607">
        <f>$C1607*L1606</f>
        <v/>
      </c>
      <c r="M1607">
        <f>$C1607*M1606</f>
        <v/>
      </c>
      <c r="N1607">
        <f>$C1607*N1606</f>
        <v/>
      </c>
      <c r="O1607">
        <f>$C1607*O1606</f>
        <v/>
      </c>
      <c r="P1607">
        <f>$C1607*P1606</f>
        <v/>
      </c>
      <c r="Q1607">
        <f>$C1607*Q1606</f>
        <v/>
      </c>
      <c r="R1607">
        <f>$C1607*R1606</f>
        <v/>
      </c>
      <c r="S1607">
        <f>$C1607*S1606</f>
        <v/>
      </c>
      <c r="T1607">
        <f>$C1607*T1606</f>
        <v/>
      </c>
      <c r="U1607">
        <f>$C1607*U1606</f>
        <v/>
      </c>
      <c r="V1607">
        <f>$C1607*V1606</f>
        <v/>
      </c>
      <c r="W1607">
        <f>$C1607*W1606</f>
        <v/>
      </c>
      <c r="X1607">
        <f>$C1607*X1606</f>
        <v/>
      </c>
      <c r="Y1607">
        <f>$C1607*Y1606</f>
        <v/>
      </c>
      <c r="Z1607">
        <f>$C1607*Z1606</f>
        <v/>
      </c>
      <c r="AA1607">
        <f>$C1607*AA1606</f>
        <v/>
      </c>
      <c r="AB1607">
        <f>$C1607*AB1606</f>
        <v/>
      </c>
      <c r="AC1607">
        <f>$C1607*AC1606</f>
        <v/>
      </c>
      <c r="AD1607">
        <f>$C1607*AD1606</f>
        <v/>
      </c>
      <c r="AE1607">
        <f>$C1607*AE1606</f>
        <v/>
      </c>
      <c r="AF1607">
        <f>$C1607*AF1606</f>
        <v/>
      </c>
      <c r="AG1607">
        <f>$C1607*AG1606</f>
        <v/>
      </c>
      <c r="AH1607">
        <f>$C1607*AH1606</f>
        <v/>
      </c>
      <c r="AI1607">
        <f>$C1607*AI1606</f>
        <v/>
      </c>
      <c r="AJ1607">
        <f>$C1607*AJ1606</f>
        <v/>
      </c>
      <c r="AK1607">
        <f>$C1607*AK1606</f>
        <v/>
      </c>
      <c r="AL1607">
        <f>$C1607*AL1606</f>
        <v/>
      </c>
      <c r="AM1607">
        <f>$C1607*AM1606</f>
        <v/>
      </c>
      <c r="AN1607">
        <f>$C1607*AN1606</f>
        <v/>
      </c>
      <c r="AO1607">
        <f>$C1607*AO1606</f>
        <v/>
      </c>
      <c r="AP1607">
        <f>$C1607*AP1606</f>
        <v/>
      </c>
      <c r="AQ1607">
        <f>$C1607*AQ1606</f>
        <v/>
      </c>
      <c r="AR1607">
        <f>$C1607*AR1606</f>
        <v/>
      </c>
      <c r="AS1607">
        <f>$C1607*AS1606</f>
        <v/>
      </c>
      <c r="AT1607">
        <f>$C1607*AT1606</f>
        <v/>
      </c>
      <c r="AU1607">
        <f>$C1607*AU1606</f>
        <v/>
      </c>
      <c r="AV1607">
        <f>$C1607*AV1606</f>
        <v/>
      </c>
      <c r="AW1607">
        <f>$C1607*AW1606</f>
        <v/>
      </c>
      <c r="AX1607">
        <f>$C1607*AX1606</f>
        <v/>
      </c>
      <c r="AY1607">
        <f>$C1607*AY1606</f>
        <v/>
      </c>
      <c r="AZ1607">
        <f>$C1607*AZ1606</f>
        <v/>
      </c>
      <c r="BA1607">
        <f>$C1607*BA1606</f>
        <v/>
      </c>
      <c r="BB1607">
        <f>$C1607*BB1606</f>
        <v/>
      </c>
      <c r="BC1607">
        <f>$C1607*BC1606</f>
        <v/>
      </c>
      <c r="BD1607">
        <f>$C1607*BD1606</f>
        <v/>
      </c>
      <c r="BE1607">
        <f>$C1607*BE1606</f>
        <v/>
      </c>
      <c r="BF1607">
        <f>$C1607*BF1606</f>
        <v/>
      </c>
      <c r="BG1607">
        <f>$C1607*BG1606</f>
        <v/>
      </c>
      <c r="BH1607">
        <f>$C1607*BH1606</f>
        <v/>
      </c>
      <c r="BI1607">
        <f>$C1607*BI1606</f>
        <v/>
      </c>
      <c r="BJ1607">
        <f>$C1607*BJ1606</f>
        <v/>
      </c>
      <c r="BK1607">
        <f>$C1607*BK1606</f>
        <v/>
      </c>
      <c r="BL1607">
        <f>$C1607*BL1606</f>
        <v/>
      </c>
      <c r="BM1607">
        <f>$C1607*BM1606</f>
        <v/>
      </c>
      <c r="BN1607">
        <f>$C1607*BN1606</f>
        <v/>
      </c>
      <c r="BO1607">
        <f>$C1607*BO1606</f>
        <v/>
      </c>
      <c r="BP1607">
        <f>$C1607*BP1606</f>
        <v/>
      </c>
      <c r="BQ1607">
        <f>$C1607*BQ1606</f>
        <v/>
      </c>
      <c r="BR1607">
        <f>$C1607*BR1606</f>
        <v/>
      </c>
      <c r="BS1607">
        <f>$C1607*BS1606</f>
        <v/>
      </c>
      <c r="BT1607">
        <f>$C1607*BT1606</f>
        <v/>
      </c>
      <c r="BU1607">
        <f>$C1607*BU1606</f>
        <v/>
      </c>
      <c r="BV1607">
        <f>$C1607*BV1606</f>
        <v/>
      </c>
      <c r="BW1607">
        <f>$C1607*BW1606</f>
        <v/>
      </c>
      <c r="BX1607">
        <f>$C1607*BX1606</f>
        <v/>
      </c>
      <c r="BY1607">
        <f>$C1607*BY1606</f>
        <v/>
      </c>
      <c r="BZ1607">
        <f>$C1607*BZ1606</f>
        <v/>
      </c>
      <c r="CA1607">
        <f>$C1607*CA1606</f>
        <v/>
      </c>
      <c r="CB1607">
        <f>$C1607*CB1606</f>
        <v/>
      </c>
      <c r="CC1607">
        <f>$C1607*CC1606</f>
        <v/>
      </c>
      <c r="CD1607">
        <f>$C1607*CD1606</f>
        <v/>
      </c>
      <c r="CE1607">
        <f>$C1607*CE1606</f>
        <v/>
      </c>
      <c r="CF1607">
        <f>$C1607*CF1606</f>
        <v/>
      </c>
      <c r="CG1607">
        <f>$C1607*CG1606</f>
        <v/>
      </c>
      <c r="CH1607">
        <f>$C1607*CH1606</f>
        <v/>
      </c>
      <c r="CI1607">
        <f>$C1607*CI1606</f>
        <v/>
      </c>
      <c r="CJ1607">
        <f>$C1607*CJ1606</f>
        <v/>
      </c>
      <c r="CK1607">
        <f>$C1607*CK1606</f>
        <v/>
      </c>
      <c r="CL1607">
        <f>$C1607*CL1606</f>
        <v/>
      </c>
      <c r="CM1607">
        <f>$C1607*CM1606</f>
        <v/>
      </c>
      <c r="CN1607">
        <f>$C1607*CN1606</f>
        <v/>
      </c>
      <c r="CO1607">
        <f>$C1607*CO1606</f>
        <v/>
      </c>
      <c r="CP1607">
        <f>$C1607*CP1606</f>
        <v/>
      </c>
      <c r="CQ1607">
        <f>$C1607*CQ1606</f>
        <v/>
      </c>
      <c r="CR1607">
        <f>$C1607*CR1606</f>
        <v/>
      </c>
      <c r="CS1607">
        <f>$C1607*CS1606</f>
        <v/>
      </c>
      <c r="CT1607">
        <f>$C1607*CT1606</f>
        <v/>
      </c>
      <c r="CU1607">
        <f>$C1607*CU1606</f>
        <v/>
      </c>
      <c r="CV1607">
        <f>$C1607*CV1606</f>
        <v/>
      </c>
      <c r="CW1607">
        <f>$C1607*CW1606</f>
        <v/>
      </c>
      <c r="CX1607">
        <f>$C1607*CX1606</f>
        <v/>
      </c>
      <c r="CY1607">
        <f>$C1607*CY1606</f>
        <v/>
      </c>
      <c r="CZ1607">
        <f>$C1607*CZ1606</f>
        <v/>
      </c>
      <c r="DA1607">
        <f>$C1607*DA1606</f>
        <v/>
      </c>
      <c r="DB1607">
        <f>$C1607*DB1606</f>
        <v/>
      </c>
      <c r="DC1607">
        <f>$C1607*DC1606</f>
        <v/>
      </c>
      <c r="DD1607">
        <f>$C1607*DD1606</f>
        <v/>
      </c>
    </row>
    <row r="1608">
      <c r="B1608" t="inlineStr">
        <is>
          <t>TSP-1445</t>
        </is>
      </c>
      <c r="C1608" t="inlineStr">
        <is>
          <t>No. of batches</t>
        </is>
      </c>
      <c r="D1608">
        <f>IFERROR(INDEX(E1608:DD1608,$F$1),"")</f>
        <v/>
      </c>
      <c r="E1608">
        <f>IFERROR(INDEX(PP_Grid[#Data],$DE1608,2),0)</f>
        <v/>
      </c>
      <c r="F1608">
        <f>IFERROR(INDEX(PP_Grid[#Data],$DE1608,3),0)</f>
        <v/>
      </c>
      <c r="G1608">
        <f>IFERROR(INDEX(PP_Grid[#Data],$DE1608,4),0)</f>
        <v/>
      </c>
      <c r="H1608">
        <f>IFERROR(INDEX(PP_Grid[#Data],$DE1608,5),0)</f>
        <v/>
      </c>
      <c r="I1608">
        <f>IFERROR(INDEX(PP_Grid[#Data],$DE1608,6),0)</f>
        <v/>
      </c>
      <c r="J1608">
        <f>IFERROR(INDEX(PP_Grid[#Data],$DE1608,7),0)</f>
        <v/>
      </c>
      <c r="K1608">
        <f>IFERROR(INDEX(PP_Grid[#Data],$DE1608,8),0)</f>
        <v/>
      </c>
      <c r="L1608">
        <f>IFERROR(INDEX(PP_Grid[#Data],$DE1608,9),0)</f>
        <v/>
      </c>
      <c r="M1608">
        <f>IFERROR(INDEX(PP_Grid[#Data],$DE1608,10),0)</f>
        <v/>
      </c>
      <c r="N1608">
        <f>IFERROR(INDEX(PP_Grid[#Data],$DE1608,11),0)</f>
        <v/>
      </c>
      <c r="O1608">
        <f>IFERROR(INDEX(PP_Grid[#Data],$DE1608,12),0)</f>
        <v/>
      </c>
      <c r="P1608">
        <f>IFERROR(INDEX(PP_Grid[#Data],$DE1608,13),0)</f>
        <v/>
      </c>
      <c r="Q1608">
        <f>IFERROR(INDEX(PP_Grid[#Data],$DE1608,14),0)</f>
        <v/>
      </c>
      <c r="R1608">
        <f>IFERROR(INDEX(PP_Grid[#Data],$DE1608,15),0)</f>
        <v/>
      </c>
      <c r="S1608">
        <f>IFERROR(INDEX(PP_Grid[#Data],$DE1608,16),0)</f>
        <v/>
      </c>
      <c r="T1608">
        <f>IFERROR(INDEX(PP_Grid[#Data],$DE1608,17),0)</f>
        <v/>
      </c>
      <c r="U1608">
        <f>IFERROR(INDEX(PP_Grid[#Data],$DE1608,18),0)</f>
        <v/>
      </c>
      <c r="V1608">
        <f>IFERROR(INDEX(PP_Grid[#Data],$DE1608,19),0)</f>
        <v/>
      </c>
      <c r="W1608">
        <f>IFERROR(INDEX(PP_Grid[#Data],$DE1608,20),0)</f>
        <v/>
      </c>
      <c r="X1608">
        <f>IFERROR(INDEX(PP_Grid[#Data],$DE1608,21),0)</f>
        <v/>
      </c>
      <c r="Y1608">
        <f>IFERROR(INDEX(PP_Grid[#Data],$DE1608,22),0)</f>
        <v/>
      </c>
      <c r="Z1608">
        <f>IFERROR(INDEX(PP_Grid[#Data],$DE1608,23),0)</f>
        <v/>
      </c>
      <c r="AA1608">
        <f>IFERROR(INDEX(PP_Grid[#Data],$DE1608,24),0)</f>
        <v/>
      </c>
      <c r="AB1608">
        <f>IFERROR(INDEX(PP_Grid[#Data],$DE1608,25),0)</f>
        <v/>
      </c>
      <c r="AC1608">
        <f>IFERROR(INDEX(PP_Grid[#Data],$DE1608,26),0)</f>
        <v/>
      </c>
      <c r="AD1608">
        <f>IFERROR(INDEX(PP_Grid[#Data],$DE1608,27),0)</f>
        <v/>
      </c>
      <c r="AE1608">
        <f>IFERROR(INDEX(PP_Grid[#Data],$DE1608,28),0)</f>
        <v/>
      </c>
      <c r="AF1608">
        <f>IFERROR(INDEX(PP_Grid[#Data],$DE1608,29),0)</f>
        <v/>
      </c>
      <c r="AG1608">
        <f>IFERROR(INDEX(PP_Grid[#Data],$DE1608,30),0)</f>
        <v/>
      </c>
      <c r="AH1608">
        <f>IFERROR(INDEX(PP_Grid[#Data],$DE1608,31),0)</f>
        <v/>
      </c>
      <c r="AI1608">
        <f>IFERROR(INDEX(PP_Grid[#Data],$DE1608,32),0)</f>
        <v/>
      </c>
      <c r="AJ1608">
        <f>IFERROR(INDEX(PP_Grid[#Data],$DE1608,33),0)</f>
        <v/>
      </c>
      <c r="AK1608">
        <f>IFERROR(INDEX(PP_Grid[#Data],$DE1608,34),0)</f>
        <v/>
      </c>
      <c r="AL1608">
        <f>IFERROR(INDEX(PP_Grid[#Data],$DE1608,35),0)</f>
        <v/>
      </c>
      <c r="AM1608">
        <f>IFERROR(INDEX(PP_Grid[#Data],$DE1608,36),0)</f>
        <v/>
      </c>
      <c r="AN1608">
        <f>IFERROR(INDEX(PP_Grid[#Data],$DE1608,37),0)</f>
        <v/>
      </c>
      <c r="AO1608">
        <f>IFERROR(INDEX(PP_Grid[#Data],$DE1608,38),0)</f>
        <v/>
      </c>
      <c r="AP1608">
        <f>IFERROR(INDEX(PP_Grid[#Data],$DE1608,39),0)</f>
        <v/>
      </c>
      <c r="AQ1608">
        <f>IFERROR(INDEX(PP_Grid[#Data],$DE1608,40),0)</f>
        <v/>
      </c>
      <c r="AR1608">
        <f>IFERROR(INDEX(PP_Grid[#Data],$DE1608,41),0)</f>
        <v/>
      </c>
      <c r="AS1608">
        <f>IFERROR(INDEX(PP_Grid[#Data],$DE1608,42),0)</f>
        <v/>
      </c>
      <c r="AT1608">
        <f>IFERROR(INDEX(PP_Grid[#Data],$DE1608,43),0)</f>
        <v/>
      </c>
      <c r="AU1608">
        <f>IFERROR(INDEX(PP_Grid[#Data],$DE1608,44),0)</f>
        <v/>
      </c>
      <c r="AV1608">
        <f>IFERROR(INDEX(PP_Grid[#Data],$DE1608,45),0)</f>
        <v/>
      </c>
      <c r="AW1608">
        <f>IFERROR(INDEX(PP_Grid[#Data],$DE1608,46),0)</f>
        <v/>
      </c>
      <c r="AX1608">
        <f>IFERROR(INDEX(PP_Grid[#Data],$DE1608,47),0)</f>
        <v/>
      </c>
      <c r="AY1608">
        <f>IFERROR(INDEX(PP_Grid[#Data],$DE1608,48),0)</f>
        <v/>
      </c>
      <c r="AZ1608">
        <f>IFERROR(INDEX(PP_Grid[#Data],$DE1608,49),0)</f>
        <v/>
      </c>
      <c r="BA1608">
        <f>IFERROR(INDEX(PP_Grid[#Data],$DE1608,50),0)</f>
        <v/>
      </c>
      <c r="BB1608">
        <f>IFERROR(INDEX(PP_Grid[#Data],$DE1608,51),0)</f>
        <v/>
      </c>
      <c r="BC1608">
        <f>IFERROR(INDEX(PP_Grid[#Data],$DE1608,52),0)</f>
        <v/>
      </c>
      <c r="BD1608">
        <f>IFERROR(INDEX(PP_Grid[#Data],$DE1608,53),0)</f>
        <v/>
      </c>
      <c r="BE1608">
        <f>IFERROR(INDEX(PP_Grid[#Data],$DE1608,54),0)</f>
        <v/>
      </c>
      <c r="BF1608">
        <f>IFERROR(INDEX(PP_Grid[#Data],$DE1608,55),0)</f>
        <v/>
      </c>
      <c r="BG1608">
        <f>IFERROR(INDEX(PP_Grid[#Data],$DE1608,56),0)</f>
        <v/>
      </c>
      <c r="BH1608">
        <f>IFERROR(INDEX(PP_Grid[#Data],$DE1608,57),0)</f>
        <v/>
      </c>
      <c r="BI1608">
        <f>IFERROR(INDEX(PP_Grid[#Data],$DE1608,58),0)</f>
        <v/>
      </c>
      <c r="BJ1608">
        <f>IFERROR(INDEX(PP_Grid[#Data],$DE1608,59),0)</f>
        <v/>
      </c>
      <c r="BK1608">
        <f>IFERROR(INDEX(PP_Grid[#Data],$DE1608,60),0)</f>
        <v/>
      </c>
      <c r="BL1608">
        <f>IFERROR(INDEX(PP_Grid[#Data],$DE1608,61),0)</f>
        <v/>
      </c>
      <c r="BM1608">
        <f>IFERROR(INDEX(PP_Grid[#Data],$DE1608,62),0)</f>
        <v/>
      </c>
      <c r="BN1608">
        <f>IFERROR(INDEX(PP_Grid[#Data],$DE1608,63),0)</f>
        <v/>
      </c>
      <c r="BO1608">
        <f>IFERROR(INDEX(PP_Grid[#Data],$DE1608,64),0)</f>
        <v/>
      </c>
      <c r="BP1608">
        <f>IFERROR(INDEX(PP_Grid[#Data],$DE1608,65),0)</f>
        <v/>
      </c>
      <c r="BQ1608">
        <f>IFERROR(INDEX(PP_Grid[#Data],$DE1608,66),0)</f>
        <v/>
      </c>
      <c r="BR1608">
        <f>IFERROR(INDEX(PP_Grid[#Data],$DE1608,67),0)</f>
        <v/>
      </c>
      <c r="BS1608">
        <f>IFERROR(INDEX(PP_Grid[#Data],$DE1608,68),0)</f>
        <v/>
      </c>
      <c r="BT1608">
        <f>IFERROR(INDEX(PP_Grid[#Data],$DE1608,69),0)</f>
        <v/>
      </c>
      <c r="BU1608">
        <f>IFERROR(INDEX(PP_Grid[#Data],$DE1608,70),0)</f>
        <v/>
      </c>
      <c r="BV1608">
        <f>IFERROR(INDEX(PP_Grid[#Data],$DE1608,71),0)</f>
        <v/>
      </c>
      <c r="BW1608">
        <f>IFERROR(INDEX(PP_Grid[#Data],$DE1608,72),0)</f>
        <v/>
      </c>
      <c r="BX1608">
        <f>IFERROR(INDEX(PP_Grid[#Data],$DE1608,73),0)</f>
        <v/>
      </c>
      <c r="BY1608">
        <f>IFERROR(INDEX(PP_Grid[#Data],$DE1608,74),0)</f>
        <v/>
      </c>
      <c r="BZ1608">
        <f>IFERROR(INDEX(PP_Grid[#Data],$DE1608,75),0)</f>
        <v/>
      </c>
      <c r="CA1608">
        <f>IFERROR(INDEX(PP_Grid[#Data],$DE1608,76),0)</f>
        <v/>
      </c>
      <c r="CB1608">
        <f>IFERROR(INDEX(PP_Grid[#Data],$DE1608,77),0)</f>
        <v/>
      </c>
      <c r="CC1608">
        <f>IFERROR(INDEX(PP_Grid[#Data],$DE1608,78),0)</f>
        <v/>
      </c>
      <c r="CD1608">
        <f>IFERROR(INDEX(PP_Grid[#Data],$DE1608,79),0)</f>
        <v/>
      </c>
      <c r="CE1608">
        <f>IFERROR(INDEX(PP_Grid[#Data],$DE1608,80),0)</f>
        <v/>
      </c>
      <c r="CF1608">
        <f>IFERROR(INDEX(PP_Grid[#Data],$DE1608,81),0)</f>
        <v/>
      </c>
      <c r="CG1608">
        <f>IFERROR(INDEX(PP_Grid[#Data],$DE1608,82),0)</f>
        <v/>
      </c>
      <c r="CH1608">
        <f>IFERROR(INDEX(PP_Grid[#Data],$DE1608,83),0)</f>
        <v/>
      </c>
      <c r="CI1608">
        <f>IFERROR(INDEX(PP_Grid[#Data],$DE1608,84),0)</f>
        <v/>
      </c>
      <c r="CJ1608">
        <f>IFERROR(INDEX(PP_Grid[#Data],$DE1608,85),0)</f>
        <v/>
      </c>
      <c r="CK1608">
        <f>IFERROR(INDEX(PP_Grid[#Data],$DE1608,86),0)</f>
        <v/>
      </c>
      <c r="CL1608">
        <f>IFERROR(INDEX(PP_Grid[#Data],$DE1608,87),0)</f>
        <v/>
      </c>
      <c r="CM1608">
        <f>IFERROR(INDEX(PP_Grid[#Data],$DE1608,88),0)</f>
        <v/>
      </c>
      <c r="CN1608">
        <f>IFERROR(INDEX(PP_Grid[#Data],$DE1608,89),0)</f>
        <v/>
      </c>
      <c r="CO1608">
        <f>IFERROR(INDEX(PP_Grid[#Data],$DE1608,90),0)</f>
        <v/>
      </c>
      <c r="CP1608">
        <f>IFERROR(INDEX(PP_Grid[#Data],$DE1608,91),0)</f>
        <v/>
      </c>
      <c r="CQ1608">
        <f>IFERROR(INDEX(PP_Grid[#Data],$DE1608,92),0)</f>
        <v/>
      </c>
      <c r="CR1608">
        <f>IFERROR(INDEX(PP_Grid[#Data],$DE1608,93),0)</f>
        <v/>
      </c>
      <c r="CS1608">
        <f>IFERROR(INDEX(PP_Grid[#Data],$DE1608,94),0)</f>
        <v/>
      </c>
      <c r="CT1608">
        <f>IFERROR(INDEX(PP_Grid[#Data],$DE1608,95),0)</f>
        <v/>
      </c>
      <c r="CU1608">
        <f>IFERROR(INDEX(PP_Grid[#Data],$DE1608,96),0)</f>
        <v/>
      </c>
      <c r="CV1608">
        <f>IFERROR(INDEX(PP_Grid[#Data],$DE1608,97),0)</f>
        <v/>
      </c>
      <c r="CW1608">
        <f>IFERROR(INDEX(PP_Grid[#Data],$DE1608,98),0)</f>
        <v/>
      </c>
      <c r="CX1608">
        <f>IFERROR(INDEX(PP_Grid[#Data],$DE1608,99),0)</f>
        <v/>
      </c>
      <c r="CY1608">
        <f>IFERROR(INDEX(PP_Grid[#Data],$DE1608,100),0)</f>
        <v/>
      </c>
      <c r="CZ1608">
        <f>IFERROR(INDEX(PP_Grid[#Data],$DE1608,101),0)</f>
        <v/>
      </c>
      <c r="DA1608">
        <f>IFERROR(INDEX(PP_Grid[#Data],$DE1608,102),0)</f>
        <v/>
      </c>
      <c r="DB1608">
        <f>IFERROR(INDEX(PP_Grid[#Data],$DE1608,103),0)</f>
        <v/>
      </c>
      <c r="DC1608">
        <f>IFERROR(INDEX(PP_Grid[#Data],$DE1608,104),0)</f>
        <v/>
      </c>
      <c r="DD1608">
        <f>IFERROR(INDEX(PP_Grid[#Data],$DE1608,105),0)</f>
        <v/>
      </c>
      <c r="DE1608" s="7">
        <f>IFERROR(MATCH($B1608,PP_Grid[Intermediate],0),99999)</f>
        <v/>
      </c>
    </row>
    <row r="1609">
      <c r="B1609" t="inlineStr">
        <is>
          <t>使用量(kg)</t>
        </is>
      </c>
      <c r="C1609">
        <f>SUMIFS(M_BOM[RM_Qty_Per_Batch],M_BOM[Intermediate],$B1608,M_BOM[RM_Code],$A1603)</f>
        <v/>
      </c>
      <c r="D1609">
        <f>IFERROR(INDEX(E1609:DD1609,$F$1),"")</f>
        <v/>
      </c>
      <c r="E1609">
        <f>$C1609*E1608</f>
        <v/>
      </c>
      <c r="F1609">
        <f>$C1609*F1608</f>
        <v/>
      </c>
      <c r="G1609">
        <f>$C1609*G1608</f>
        <v/>
      </c>
      <c r="H1609">
        <f>$C1609*H1608</f>
        <v/>
      </c>
      <c r="I1609">
        <f>$C1609*I1608</f>
        <v/>
      </c>
      <c r="J1609">
        <f>$C1609*J1608</f>
        <v/>
      </c>
      <c r="K1609">
        <f>$C1609*K1608</f>
        <v/>
      </c>
      <c r="L1609">
        <f>$C1609*L1608</f>
        <v/>
      </c>
      <c r="M1609">
        <f>$C1609*M1608</f>
        <v/>
      </c>
      <c r="N1609">
        <f>$C1609*N1608</f>
        <v/>
      </c>
      <c r="O1609">
        <f>$C1609*O1608</f>
        <v/>
      </c>
      <c r="P1609">
        <f>$C1609*P1608</f>
        <v/>
      </c>
      <c r="Q1609">
        <f>$C1609*Q1608</f>
        <v/>
      </c>
      <c r="R1609">
        <f>$C1609*R1608</f>
        <v/>
      </c>
      <c r="S1609">
        <f>$C1609*S1608</f>
        <v/>
      </c>
      <c r="T1609">
        <f>$C1609*T1608</f>
        <v/>
      </c>
      <c r="U1609">
        <f>$C1609*U1608</f>
        <v/>
      </c>
      <c r="V1609">
        <f>$C1609*V1608</f>
        <v/>
      </c>
      <c r="W1609">
        <f>$C1609*W1608</f>
        <v/>
      </c>
      <c r="X1609">
        <f>$C1609*X1608</f>
        <v/>
      </c>
      <c r="Y1609">
        <f>$C1609*Y1608</f>
        <v/>
      </c>
      <c r="Z1609">
        <f>$C1609*Z1608</f>
        <v/>
      </c>
      <c r="AA1609">
        <f>$C1609*AA1608</f>
        <v/>
      </c>
      <c r="AB1609">
        <f>$C1609*AB1608</f>
        <v/>
      </c>
      <c r="AC1609">
        <f>$C1609*AC1608</f>
        <v/>
      </c>
      <c r="AD1609">
        <f>$C1609*AD1608</f>
        <v/>
      </c>
      <c r="AE1609">
        <f>$C1609*AE1608</f>
        <v/>
      </c>
      <c r="AF1609">
        <f>$C1609*AF1608</f>
        <v/>
      </c>
      <c r="AG1609">
        <f>$C1609*AG1608</f>
        <v/>
      </c>
      <c r="AH1609">
        <f>$C1609*AH1608</f>
        <v/>
      </c>
      <c r="AI1609">
        <f>$C1609*AI1608</f>
        <v/>
      </c>
      <c r="AJ1609">
        <f>$C1609*AJ1608</f>
        <v/>
      </c>
      <c r="AK1609">
        <f>$C1609*AK1608</f>
        <v/>
      </c>
      <c r="AL1609">
        <f>$C1609*AL1608</f>
        <v/>
      </c>
      <c r="AM1609">
        <f>$C1609*AM1608</f>
        <v/>
      </c>
      <c r="AN1609">
        <f>$C1609*AN1608</f>
        <v/>
      </c>
      <c r="AO1609">
        <f>$C1609*AO1608</f>
        <v/>
      </c>
      <c r="AP1609">
        <f>$C1609*AP1608</f>
        <v/>
      </c>
      <c r="AQ1609">
        <f>$C1609*AQ1608</f>
        <v/>
      </c>
      <c r="AR1609">
        <f>$C1609*AR1608</f>
        <v/>
      </c>
      <c r="AS1609">
        <f>$C1609*AS1608</f>
        <v/>
      </c>
      <c r="AT1609">
        <f>$C1609*AT1608</f>
        <v/>
      </c>
      <c r="AU1609">
        <f>$C1609*AU1608</f>
        <v/>
      </c>
      <c r="AV1609">
        <f>$C1609*AV1608</f>
        <v/>
      </c>
      <c r="AW1609">
        <f>$C1609*AW1608</f>
        <v/>
      </c>
      <c r="AX1609">
        <f>$C1609*AX1608</f>
        <v/>
      </c>
      <c r="AY1609">
        <f>$C1609*AY1608</f>
        <v/>
      </c>
      <c r="AZ1609">
        <f>$C1609*AZ1608</f>
        <v/>
      </c>
      <c r="BA1609">
        <f>$C1609*BA1608</f>
        <v/>
      </c>
      <c r="BB1609">
        <f>$C1609*BB1608</f>
        <v/>
      </c>
      <c r="BC1609">
        <f>$C1609*BC1608</f>
        <v/>
      </c>
      <c r="BD1609">
        <f>$C1609*BD1608</f>
        <v/>
      </c>
      <c r="BE1609">
        <f>$C1609*BE1608</f>
        <v/>
      </c>
      <c r="BF1609">
        <f>$C1609*BF1608</f>
        <v/>
      </c>
      <c r="BG1609">
        <f>$C1609*BG1608</f>
        <v/>
      </c>
      <c r="BH1609">
        <f>$C1609*BH1608</f>
        <v/>
      </c>
      <c r="BI1609">
        <f>$C1609*BI1608</f>
        <v/>
      </c>
      <c r="BJ1609">
        <f>$C1609*BJ1608</f>
        <v/>
      </c>
      <c r="BK1609">
        <f>$C1609*BK1608</f>
        <v/>
      </c>
      <c r="BL1609">
        <f>$C1609*BL1608</f>
        <v/>
      </c>
      <c r="BM1609">
        <f>$C1609*BM1608</f>
        <v/>
      </c>
      <c r="BN1609">
        <f>$C1609*BN1608</f>
        <v/>
      </c>
      <c r="BO1609">
        <f>$C1609*BO1608</f>
        <v/>
      </c>
      <c r="BP1609">
        <f>$C1609*BP1608</f>
        <v/>
      </c>
      <c r="BQ1609">
        <f>$C1609*BQ1608</f>
        <v/>
      </c>
      <c r="BR1609">
        <f>$C1609*BR1608</f>
        <v/>
      </c>
      <c r="BS1609">
        <f>$C1609*BS1608</f>
        <v/>
      </c>
      <c r="BT1609">
        <f>$C1609*BT1608</f>
        <v/>
      </c>
      <c r="BU1609">
        <f>$C1609*BU1608</f>
        <v/>
      </c>
      <c r="BV1609">
        <f>$C1609*BV1608</f>
        <v/>
      </c>
      <c r="BW1609">
        <f>$C1609*BW1608</f>
        <v/>
      </c>
      <c r="BX1609">
        <f>$C1609*BX1608</f>
        <v/>
      </c>
      <c r="BY1609">
        <f>$C1609*BY1608</f>
        <v/>
      </c>
      <c r="BZ1609">
        <f>$C1609*BZ1608</f>
        <v/>
      </c>
      <c r="CA1609">
        <f>$C1609*CA1608</f>
        <v/>
      </c>
      <c r="CB1609">
        <f>$C1609*CB1608</f>
        <v/>
      </c>
      <c r="CC1609">
        <f>$C1609*CC1608</f>
        <v/>
      </c>
      <c r="CD1609">
        <f>$C1609*CD1608</f>
        <v/>
      </c>
      <c r="CE1609">
        <f>$C1609*CE1608</f>
        <v/>
      </c>
      <c r="CF1609">
        <f>$C1609*CF1608</f>
        <v/>
      </c>
      <c r="CG1609">
        <f>$C1609*CG1608</f>
        <v/>
      </c>
      <c r="CH1609">
        <f>$C1609*CH1608</f>
        <v/>
      </c>
      <c r="CI1609">
        <f>$C1609*CI1608</f>
        <v/>
      </c>
      <c r="CJ1609">
        <f>$C1609*CJ1608</f>
        <v/>
      </c>
      <c r="CK1609">
        <f>$C1609*CK1608</f>
        <v/>
      </c>
      <c r="CL1609">
        <f>$C1609*CL1608</f>
        <v/>
      </c>
      <c r="CM1609">
        <f>$C1609*CM1608</f>
        <v/>
      </c>
      <c r="CN1609">
        <f>$C1609*CN1608</f>
        <v/>
      </c>
      <c r="CO1609">
        <f>$C1609*CO1608</f>
        <v/>
      </c>
      <c r="CP1609">
        <f>$C1609*CP1608</f>
        <v/>
      </c>
      <c r="CQ1609">
        <f>$C1609*CQ1608</f>
        <v/>
      </c>
      <c r="CR1609">
        <f>$C1609*CR1608</f>
        <v/>
      </c>
      <c r="CS1609">
        <f>$C1609*CS1608</f>
        <v/>
      </c>
      <c r="CT1609">
        <f>$C1609*CT1608</f>
        <v/>
      </c>
      <c r="CU1609">
        <f>$C1609*CU1608</f>
        <v/>
      </c>
      <c r="CV1609">
        <f>$C1609*CV1608</f>
        <v/>
      </c>
      <c r="CW1609">
        <f>$C1609*CW1608</f>
        <v/>
      </c>
      <c r="CX1609">
        <f>$C1609*CX1608</f>
        <v/>
      </c>
      <c r="CY1609">
        <f>$C1609*CY1608</f>
        <v/>
      </c>
      <c r="CZ1609">
        <f>$C1609*CZ1608</f>
        <v/>
      </c>
      <c r="DA1609">
        <f>$C1609*DA1608</f>
        <v/>
      </c>
      <c r="DB1609">
        <f>$C1609*DB1608</f>
        <v/>
      </c>
      <c r="DC1609">
        <f>$C1609*DC1608</f>
        <v/>
      </c>
      <c r="DD1609">
        <f>$C1609*DD1608</f>
        <v/>
      </c>
    </row>
    <row r="1610">
      <c r="B1610" t="inlineStr">
        <is>
          <t>TSP-1446</t>
        </is>
      </c>
      <c r="C1610" t="inlineStr">
        <is>
          <t>No. of batches</t>
        </is>
      </c>
      <c r="D1610">
        <f>IFERROR(INDEX(E1610:DD1610,$F$1),"")</f>
        <v/>
      </c>
      <c r="E1610">
        <f>IFERROR(INDEX(PP_Grid[#Data],$DE1610,2),0)</f>
        <v/>
      </c>
      <c r="F1610">
        <f>IFERROR(INDEX(PP_Grid[#Data],$DE1610,3),0)</f>
        <v/>
      </c>
      <c r="G1610">
        <f>IFERROR(INDEX(PP_Grid[#Data],$DE1610,4),0)</f>
        <v/>
      </c>
      <c r="H1610">
        <f>IFERROR(INDEX(PP_Grid[#Data],$DE1610,5),0)</f>
        <v/>
      </c>
      <c r="I1610">
        <f>IFERROR(INDEX(PP_Grid[#Data],$DE1610,6),0)</f>
        <v/>
      </c>
      <c r="J1610">
        <f>IFERROR(INDEX(PP_Grid[#Data],$DE1610,7),0)</f>
        <v/>
      </c>
      <c r="K1610">
        <f>IFERROR(INDEX(PP_Grid[#Data],$DE1610,8),0)</f>
        <v/>
      </c>
      <c r="L1610">
        <f>IFERROR(INDEX(PP_Grid[#Data],$DE1610,9),0)</f>
        <v/>
      </c>
      <c r="M1610">
        <f>IFERROR(INDEX(PP_Grid[#Data],$DE1610,10),0)</f>
        <v/>
      </c>
      <c r="N1610">
        <f>IFERROR(INDEX(PP_Grid[#Data],$DE1610,11),0)</f>
        <v/>
      </c>
      <c r="O1610">
        <f>IFERROR(INDEX(PP_Grid[#Data],$DE1610,12),0)</f>
        <v/>
      </c>
      <c r="P1610">
        <f>IFERROR(INDEX(PP_Grid[#Data],$DE1610,13),0)</f>
        <v/>
      </c>
      <c r="Q1610">
        <f>IFERROR(INDEX(PP_Grid[#Data],$DE1610,14),0)</f>
        <v/>
      </c>
      <c r="R1610">
        <f>IFERROR(INDEX(PP_Grid[#Data],$DE1610,15),0)</f>
        <v/>
      </c>
      <c r="S1610">
        <f>IFERROR(INDEX(PP_Grid[#Data],$DE1610,16),0)</f>
        <v/>
      </c>
      <c r="T1610">
        <f>IFERROR(INDEX(PP_Grid[#Data],$DE1610,17),0)</f>
        <v/>
      </c>
      <c r="U1610">
        <f>IFERROR(INDEX(PP_Grid[#Data],$DE1610,18),0)</f>
        <v/>
      </c>
      <c r="V1610">
        <f>IFERROR(INDEX(PP_Grid[#Data],$DE1610,19),0)</f>
        <v/>
      </c>
      <c r="W1610">
        <f>IFERROR(INDEX(PP_Grid[#Data],$DE1610,20),0)</f>
        <v/>
      </c>
      <c r="X1610">
        <f>IFERROR(INDEX(PP_Grid[#Data],$DE1610,21),0)</f>
        <v/>
      </c>
      <c r="Y1610">
        <f>IFERROR(INDEX(PP_Grid[#Data],$DE1610,22),0)</f>
        <v/>
      </c>
      <c r="Z1610">
        <f>IFERROR(INDEX(PP_Grid[#Data],$DE1610,23),0)</f>
        <v/>
      </c>
      <c r="AA1610">
        <f>IFERROR(INDEX(PP_Grid[#Data],$DE1610,24),0)</f>
        <v/>
      </c>
      <c r="AB1610">
        <f>IFERROR(INDEX(PP_Grid[#Data],$DE1610,25),0)</f>
        <v/>
      </c>
      <c r="AC1610">
        <f>IFERROR(INDEX(PP_Grid[#Data],$DE1610,26),0)</f>
        <v/>
      </c>
      <c r="AD1610">
        <f>IFERROR(INDEX(PP_Grid[#Data],$DE1610,27),0)</f>
        <v/>
      </c>
      <c r="AE1610">
        <f>IFERROR(INDEX(PP_Grid[#Data],$DE1610,28),0)</f>
        <v/>
      </c>
      <c r="AF1610">
        <f>IFERROR(INDEX(PP_Grid[#Data],$DE1610,29),0)</f>
        <v/>
      </c>
      <c r="AG1610">
        <f>IFERROR(INDEX(PP_Grid[#Data],$DE1610,30),0)</f>
        <v/>
      </c>
      <c r="AH1610">
        <f>IFERROR(INDEX(PP_Grid[#Data],$DE1610,31),0)</f>
        <v/>
      </c>
      <c r="AI1610">
        <f>IFERROR(INDEX(PP_Grid[#Data],$DE1610,32),0)</f>
        <v/>
      </c>
      <c r="AJ1610">
        <f>IFERROR(INDEX(PP_Grid[#Data],$DE1610,33),0)</f>
        <v/>
      </c>
      <c r="AK1610">
        <f>IFERROR(INDEX(PP_Grid[#Data],$DE1610,34),0)</f>
        <v/>
      </c>
      <c r="AL1610">
        <f>IFERROR(INDEX(PP_Grid[#Data],$DE1610,35),0)</f>
        <v/>
      </c>
      <c r="AM1610">
        <f>IFERROR(INDEX(PP_Grid[#Data],$DE1610,36),0)</f>
        <v/>
      </c>
      <c r="AN1610">
        <f>IFERROR(INDEX(PP_Grid[#Data],$DE1610,37),0)</f>
        <v/>
      </c>
      <c r="AO1610">
        <f>IFERROR(INDEX(PP_Grid[#Data],$DE1610,38),0)</f>
        <v/>
      </c>
      <c r="AP1610">
        <f>IFERROR(INDEX(PP_Grid[#Data],$DE1610,39),0)</f>
        <v/>
      </c>
      <c r="AQ1610">
        <f>IFERROR(INDEX(PP_Grid[#Data],$DE1610,40),0)</f>
        <v/>
      </c>
      <c r="AR1610">
        <f>IFERROR(INDEX(PP_Grid[#Data],$DE1610,41),0)</f>
        <v/>
      </c>
      <c r="AS1610">
        <f>IFERROR(INDEX(PP_Grid[#Data],$DE1610,42),0)</f>
        <v/>
      </c>
      <c r="AT1610">
        <f>IFERROR(INDEX(PP_Grid[#Data],$DE1610,43),0)</f>
        <v/>
      </c>
      <c r="AU1610">
        <f>IFERROR(INDEX(PP_Grid[#Data],$DE1610,44),0)</f>
        <v/>
      </c>
      <c r="AV1610">
        <f>IFERROR(INDEX(PP_Grid[#Data],$DE1610,45),0)</f>
        <v/>
      </c>
      <c r="AW1610">
        <f>IFERROR(INDEX(PP_Grid[#Data],$DE1610,46),0)</f>
        <v/>
      </c>
      <c r="AX1610">
        <f>IFERROR(INDEX(PP_Grid[#Data],$DE1610,47),0)</f>
        <v/>
      </c>
      <c r="AY1610">
        <f>IFERROR(INDEX(PP_Grid[#Data],$DE1610,48),0)</f>
        <v/>
      </c>
      <c r="AZ1610">
        <f>IFERROR(INDEX(PP_Grid[#Data],$DE1610,49),0)</f>
        <v/>
      </c>
      <c r="BA1610">
        <f>IFERROR(INDEX(PP_Grid[#Data],$DE1610,50),0)</f>
        <v/>
      </c>
      <c r="BB1610">
        <f>IFERROR(INDEX(PP_Grid[#Data],$DE1610,51),0)</f>
        <v/>
      </c>
      <c r="BC1610">
        <f>IFERROR(INDEX(PP_Grid[#Data],$DE1610,52),0)</f>
        <v/>
      </c>
      <c r="BD1610">
        <f>IFERROR(INDEX(PP_Grid[#Data],$DE1610,53),0)</f>
        <v/>
      </c>
      <c r="BE1610">
        <f>IFERROR(INDEX(PP_Grid[#Data],$DE1610,54),0)</f>
        <v/>
      </c>
      <c r="BF1610">
        <f>IFERROR(INDEX(PP_Grid[#Data],$DE1610,55),0)</f>
        <v/>
      </c>
      <c r="BG1610">
        <f>IFERROR(INDEX(PP_Grid[#Data],$DE1610,56),0)</f>
        <v/>
      </c>
      <c r="BH1610">
        <f>IFERROR(INDEX(PP_Grid[#Data],$DE1610,57),0)</f>
        <v/>
      </c>
      <c r="BI1610">
        <f>IFERROR(INDEX(PP_Grid[#Data],$DE1610,58),0)</f>
        <v/>
      </c>
      <c r="BJ1610">
        <f>IFERROR(INDEX(PP_Grid[#Data],$DE1610,59),0)</f>
        <v/>
      </c>
      <c r="BK1610">
        <f>IFERROR(INDEX(PP_Grid[#Data],$DE1610,60),0)</f>
        <v/>
      </c>
      <c r="BL1610">
        <f>IFERROR(INDEX(PP_Grid[#Data],$DE1610,61),0)</f>
        <v/>
      </c>
      <c r="BM1610">
        <f>IFERROR(INDEX(PP_Grid[#Data],$DE1610,62),0)</f>
        <v/>
      </c>
      <c r="BN1610">
        <f>IFERROR(INDEX(PP_Grid[#Data],$DE1610,63),0)</f>
        <v/>
      </c>
      <c r="BO1610">
        <f>IFERROR(INDEX(PP_Grid[#Data],$DE1610,64),0)</f>
        <v/>
      </c>
      <c r="BP1610">
        <f>IFERROR(INDEX(PP_Grid[#Data],$DE1610,65),0)</f>
        <v/>
      </c>
      <c r="BQ1610">
        <f>IFERROR(INDEX(PP_Grid[#Data],$DE1610,66),0)</f>
        <v/>
      </c>
      <c r="BR1610">
        <f>IFERROR(INDEX(PP_Grid[#Data],$DE1610,67),0)</f>
        <v/>
      </c>
      <c r="BS1610">
        <f>IFERROR(INDEX(PP_Grid[#Data],$DE1610,68),0)</f>
        <v/>
      </c>
      <c r="BT1610">
        <f>IFERROR(INDEX(PP_Grid[#Data],$DE1610,69),0)</f>
        <v/>
      </c>
      <c r="BU1610">
        <f>IFERROR(INDEX(PP_Grid[#Data],$DE1610,70),0)</f>
        <v/>
      </c>
      <c r="BV1610">
        <f>IFERROR(INDEX(PP_Grid[#Data],$DE1610,71),0)</f>
        <v/>
      </c>
      <c r="BW1610">
        <f>IFERROR(INDEX(PP_Grid[#Data],$DE1610,72),0)</f>
        <v/>
      </c>
      <c r="BX1610">
        <f>IFERROR(INDEX(PP_Grid[#Data],$DE1610,73),0)</f>
        <v/>
      </c>
      <c r="BY1610">
        <f>IFERROR(INDEX(PP_Grid[#Data],$DE1610,74),0)</f>
        <v/>
      </c>
      <c r="BZ1610">
        <f>IFERROR(INDEX(PP_Grid[#Data],$DE1610,75),0)</f>
        <v/>
      </c>
      <c r="CA1610">
        <f>IFERROR(INDEX(PP_Grid[#Data],$DE1610,76),0)</f>
        <v/>
      </c>
      <c r="CB1610">
        <f>IFERROR(INDEX(PP_Grid[#Data],$DE1610,77),0)</f>
        <v/>
      </c>
      <c r="CC1610">
        <f>IFERROR(INDEX(PP_Grid[#Data],$DE1610,78),0)</f>
        <v/>
      </c>
      <c r="CD1610">
        <f>IFERROR(INDEX(PP_Grid[#Data],$DE1610,79),0)</f>
        <v/>
      </c>
      <c r="CE1610">
        <f>IFERROR(INDEX(PP_Grid[#Data],$DE1610,80),0)</f>
        <v/>
      </c>
      <c r="CF1610">
        <f>IFERROR(INDEX(PP_Grid[#Data],$DE1610,81),0)</f>
        <v/>
      </c>
      <c r="CG1610">
        <f>IFERROR(INDEX(PP_Grid[#Data],$DE1610,82),0)</f>
        <v/>
      </c>
      <c r="CH1610">
        <f>IFERROR(INDEX(PP_Grid[#Data],$DE1610,83),0)</f>
        <v/>
      </c>
      <c r="CI1610">
        <f>IFERROR(INDEX(PP_Grid[#Data],$DE1610,84),0)</f>
        <v/>
      </c>
      <c r="CJ1610">
        <f>IFERROR(INDEX(PP_Grid[#Data],$DE1610,85),0)</f>
        <v/>
      </c>
      <c r="CK1610">
        <f>IFERROR(INDEX(PP_Grid[#Data],$DE1610,86),0)</f>
        <v/>
      </c>
      <c r="CL1610">
        <f>IFERROR(INDEX(PP_Grid[#Data],$DE1610,87),0)</f>
        <v/>
      </c>
      <c r="CM1610">
        <f>IFERROR(INDEX(PP_Grid[#Data],$DE1610,88),0)</f>
        <v/>
      </c>
      <c r="CN1610">
        <f>IFERROR(INDEX(PP_Grid[#Data],$DE1610,89),0)</f>
        <v/>
      </c>
      <c r="CO1610">
        <f>IFERROR(INDEX(PP_Grid[#Data],$DE1610,90),0)</f>
        <v/>
      </c>
      <c r="CP1610">
        <f>IFERROR(INDEX(PP_Grid[#Data],$DE1610,91),0)</f>
        <v/>
      </c>
      <c r="CQ1610">
        <f>IFERROR(INDEX(PP_Grid[#Data],$DE1610,92),0)</f>
        <v/>
      </c>
      <c r="CR1610">
        <f>IFERROR(INDEX(PP_Grid[#Data],$DE1610,93),0)</f>
        <v/>
      </c>
      <c r="CS1610">
        <f>IFERROR(INDEX(PP_Grid[#Data],$DE1610,94),0)</f>
        <v/>
      </c>
      <c r="CT1610">
        <f>IFERROR(INDEX(PP_Grid[#Data],$DE1610,95),0)</f>
        <v/>
      </c>
      <c r="CU1610">
        <f>IFERROR(INDEX(PP_Grid[#Data],$DE1610,96),0)</f>
        <v/>
      </c>
      <c r="CV1610">
        <f>IFERROR(INDEX(PP_Grid[#Data],$DE1610,97),0)</f>
        <v/>
      </c>
      <c r="CW1610">
        <f>IFERROR(INDEX(PP_Grid[#Data],$DE1610,98),0)</f>
        <v/>
      </c>
      <c r="CX1610">
        <f>IFERROR(INDEX(PP_Grid[#Data],$DE1610,99),0)</f>
        <v/>
      </c>
      <c r="CY1610">
        <f>IFERROR(INDEX(PP_Grid[#Data],$DE1610,100),0)</f>
        <v/>
      </c>
      <c r="CZ1610">
        <f>IFERROR(INDEX(PP_Grid[#Data],$DE1610,101),0)</f>
        <v/>
      </c>
      <c r="DA1610">
        <f>IFERROR(INDEX(PP_Grid[#Data],$DE1610,102),0)</f>
        <v/>
      </c>
      <c r="DB1610">
        <f>IFERROR(INDEX(PP_Grid[#Data],$DE1610,103),0)</f>
        <v/>
      </c>
      <c r="DC1610">
        <f>IFERROR(INDEX(PP_Grid[#Data],$DE1610,104),0)</f>
        <v/>
      </c>
      <c r="DD1610">
        <f>IFERROR(INDEX(PP_Grid[#Data],$DE1610,105),0)</f>
        <v/>
      </c>
      <c r="DE1610" s="7">
        <f>IFERROR(MATCH($B1610,PP_Grid[Intermediate],0),99999)</f>
        <v/>
      </c>
    </row>
    <row r="1611">
      <c r="B1611" t="inlineStr">
        <is>
          <t>使用量(kg)</t>
        </is>
      </c>
      <c r="C1611">
        <f>SUMIFS(M_BOM[RM_Qty_Per_Batch],M_BOM[Intermediate],$B1610,M_BOM[RM_Code],$A1603)</f>
        <v/>
      </c>
      <c r="D1611">
        <f>IFERROR(INDEX(E1611:DD1611,$F$1),"")</f>
        <v/>
      </c>
      <c r="E1611">
        <f>$C1611*E1610</f>
        <v/>
      </c>
      <c r="F1611">
        <f>$C1611*F1610</f>
        <v/>
      </c>
      <c r="G1611">
        <f>$C1611*G1610</f>
        <v/>
      </c>
      <c r="H1611">
        <f>$C1611*H1610</f>
        <v/>
      </c>
      <c r="I1611">
        <f>$C1611*I1610</f>
        <v/>
      </c>
      <c r="J1611">
        <f>$C1611*J1610</f>
        <v/>
      </c>
      <c r="K1611">
        <f>$C1611*K1610</f>
        <v/>
      </c>
      <c r="L1611">
        <f>$C1611*L1610</f>
        <v/>
      </c>
      <c r="M1611">
        <f>$C1611*M1610</f>
        <v/>
      </c>
      <c r="N1611">
        <f>$C1611*N1610</f>
        <v/>
      </c>
      <c r="O1611">
        <f>$C1611*O1610</f>
        <v/>
      </c>
      <c r="P1611">
        <f>$C1611*P1610</f>
        <v/>
      </c>
      <c r="Q1611">
        <f>$C1611*Q1610</f>
        <v/>
      </c>
      <c r="R1611">
        <f>$C1611*R1610</f>
        <v/>
      </c>
      <c r="S1611">
        <f>$C1611*S1610</f>
        <v/>
      </c>
      <c r="T1611">
        <f>$C1611*T1610</f>
        <v/>
      </c>
      <c r="U1611">
        <f>$C1611*U1610</f>
        <v/>
      </c>
      <c r="V1611">
        <f>$C1611*V1610</f>
        <v/>
      </c>
      <c r="W1611">
        <f>$C1611*W1610</f>
        <v/>
      </c>
      <c r="X1611">
        <f>$C1611*X1610</f>
        <v/>
      </c>
      <c r="Y1611">
        <f>$C1611*Y1610</f>
        <v/>
      </c>
      <c r="Z1611">
        <f>$C1611*Z1610</f>
        <v/>
      </c>
      <c r="AA1611">
        <f>$C1611*AA1610</f>
        <v/>
      </c>
      <c r="AB1611">
        <f>$C1611*AB1610</f>
        <v/>
      </c>
      <c r="AC1611">
        <f>$C1611*AC1610</f>
        <v/>
      </c>
      <c r="AD1611">
        <f>$C1611*AD1610</f>
        <v/>
      </c>
      <c r="AE1611">
        <f>$C1611*AE1610</f>
        <v/>
      </c>
      <c r="AF1611">
        <f>$C1611*AF1610</f>
        <v/>
      </c>
      <c r="AG1611">
        <f>$C1611*AG1610</f>
        <v/>
      </c>
      <c r="AH1611">
        <f>$C1611*AH1610</f>
        <v/>
      </c>
      <c r="AI1611">
        <f>$C1611*AI1610</f>
        <v/>
      </c>
      <c r="AJ1611">
        <f>$C1611*AJ1610</f>
        <v/>
      </c>
      <c r="AK1611">
        <f>$C1611*AK1610</f>
        <v/>
      </c>
      <c r="AL1611">
        <f>$C1611*AL1610</f>
        <v/>
      </c>
      <c r="AM1611">
        <f>$C1611*AM1610</f>
        <v/>
      </c>
      <c r="AN1611">
        <f>$C1611*AN1610</f>
        <v/>
      </c>
      <c r="AO1611">
        <f>$C1611*AO1610</f>
        <v/>
      </c>
      <c r="AP1611">
        <f>$C1611*AP1610</f>
        <v/>
      </c>
      <c r="AQ1611">
        <f>$C1611*AQ1610</f>
        <v/>
      </c>
      <c r="AR1611">
        <f>$C1611*AR1610</f>
        <v/>
      </c>
      <c r="AS1611">
        <f>$C1611*AS1610</f>
        <v/>
      </c>
      <c r="AT1611">
        <f>$C1611*AT1610</f>
        <v/>
      </c>
      <c r="AU1611">
        <f>$C1611*AU1610</f>
        <v/>
      </c>
      <c r="AV1611">
        <f>$C1611*AV1610</f>
        <v/>
      </c>
      <c r="AW1611">
        <f>$C1611*AW1610</f>
        <v/>
      </c>
      <c r="AX1611">
        <f>$C1611*AX1610</f>
        <v/>
      </c>
      <c r="AY1611">
        <f>$C1611*AY1610</f>
        <v/>
      </c>
      <c r="AZ1611">
        <f>$C1611*AZ1610</f>
        <v/>
      </c>
      <c r="BA1611">
        <f>$C1611*BA1610</f>
        <v/>
      </c>
      <c r="BB1611">
        <f>$C1611*BB1610</f>
        <v/>
      </c>
      <c r="BC1611">
        <f>$C1611*BC1610</f>
        <v/>
      </c>
      <c r="BD1611">
        <f>$C1611*BD1610</f>
        <v/>
      </c>
      <c r="BE1611">
        <f>$C1611*BE1610</f>
        <v/>
      </c>
      <c r="BF1611">
        <f>$C1611*BF1610</f>
        <v/>
      </c>
      <c r="BG1611">
        <f>$C1611*BG1610</f>
        <v/>
      </c>
      <c r="BH1611">
        <f>$C1611*BH1610</f>
        <v/>
      </c>
      <c r="BI1611">
        <f>$C1611*BI1610</f>
        <v/>
      </c>
      <c r="BJ1611">
        <f>$C1611*BJ1610</f>
        <v/>
      </c>
      <c r="BK1611">
        <f>$C1611*BK1610</f>
        <v/>
      </c>
      <c r="BL1611">
        <f>$C1611*BL1610</f>
        <v/>
      </c>
      <c r="BM1611">
        <f>$C1611*BM1610</f>
        <v/>
      </c>
      <c r="BN1611">
        <f>$C1611*BN1610</f>
        <v/>
      </c>
      <c r="BO1611">
        <f>$C1611*BO1610</f>
        <v/>
      </c>
      <c r="BP1611">
        <f>$C1611*BP1610</f>
        <v/>
      </c>
      <c r="BQ1611">
        <f>$C1611*BQ1610</f>
        <v/>
      </c>
      <c r="BR1611">
        <f>$C1611*BR1610</f>
        <v/>
      </c>
      <c r="BS1611">
        <f>$C1611*BS1610</f>
        <v/>
      </c>
      <c r="BT1611">
        <f>$C1611*BT1610</f>
        <v/>
      </c>
      <c r="BU1611">
        <f>$C1611*BU1610</f>
        <v/>
      </c>
      <c r="BV1611">
        <f>$C1611*BV1610</f>
        <v/>
      </c>
      <c r="BW1611">
        <f>$C1611*BW1610</f>
        <v/>
      </c>
      <c r="BX1611">
        <f>$C1611*BX1610</f>
        <v/>
      </c>
      <c r="BY1611">
        <f>$C1611*BY1610</f>
        <v/>
      </c>
      <c r="BZ1611">
        <f>$C1611*BZ1610</f>
        <v/>
      </c>
      <c r="CA1611">
        <f>$C1611*CA1610</f>
        <v/>
      </c>
      <c r="CB1611">
        <f>$C1611*CB1610</f>
        <v/>
      </c>
      <c r="CC1611">
        <f>$C1611*CC1610</f>
        <v/>
      </c>
      <c r="CD1611">
        <f>$C1611*CD1610</f>
        <v/>
      </c>
      <c r="CE1611">
        <f>$C1611*CE1610</f>
        <v/>
      </c>
      <c r="CF1611">
        <f>$C1611*CF1610</f>
        <v/>
      </c>
      <c r="CG1611">
        <f>$C1611*CG1610</f>
        <v/>
      </c>
      <c r="CH1611">
        <f>$C1611*CH1610</f>
        <v/>
      </c>
      <c r="CI1611">
        <f>$C1611*CI1610</f>
        <v/>
      </c>
      <c r="CJ1611">
        <f>$C1611*CJ1610</f>
        <v/>
      </c>
      <c r="CK1611">
        <f>$C1611*CK1610</f>
        <v/>
      </c>
      <c r="CL1611">
        <f>$C1611*CL1610</f>
        <v/>
      </c>
      <c r="CM1611">
        <f>$C1611*CM1610</f>
        <v/>
      </c>
      <c r="CN1611">
        <f>$C1611*CN1610</f>
        <v/>
      </c>
      <c r="CO1611">
        <f>$C1611*CO1610</f>
        <v/>
      </c>
      <c r="CP1611">
        <f>$C1611*CP1610</f>
        <v/>
      </c>
      <c r="CQ1611">
        <f>$C1611*CQ1610</f>
        <v/>
      </c>
      <c r="CR1611">
        <f>$C1611*CR1610</f>
        <v/>
      </c>
      <c r="CS1611">
        <f>$C1611*CS1610</f>
        <v/>
      </c>
      <c r="CT1611">
        <f>$C1611*CT1610</f>
        <v/>
      </c>
      <c r="CU1611">
        <f>$C1611*CU1610</f>
        <v/>
      </c>
      <c r="CV1611">
        <f>$C1611*CV1610</f>
        <v/>
      </c>
      <c r="CW1611">
        <f>$C1611*CW1610</f>
        <v/>
      </c>
      <c r="CX1611">
        <f>$C1611*CX1610</f>
        <v/>
      </c>
      <c r="CY1611">
        <f>$C1611*CY1610</f>
        <v/>
      </c>
      <c r="CZ1611">
        <f>$C1611*CZ1610</f>
        <v/>
      </c>
      <c r="DA1611">
        <f>$C1611*DA1610</f>
        <v/>
      </c>
      <c r="DB1611">
        <f>$C1611*DB1610</f>
        <v/>
      </c>
      <c r="DC1611">
        <f>$C1611*DC1610</f>
        <v/>
      </c>
      <c r="DD1611">
        <f>$C1611*DD1610</f>
        <v/>
      </c>
    </row>
    <row r="1612">
      <c r="B1612" t="inlineStr">
        <is>
          <t>TSP-1448</t>
        </is>
      </c>
      <c r="C1612" t="inlineStr">
        <is>
          <t>No. of batches</t>
        </is>
      </c>
      <c r="D1612">
        <f>IFERROR(INDEX(E1612:DD1612,$F$1),"")</f>
        <v/>
      </c>
      <c r="E1612">
        <f>IFERROR(INDEX(PP_Grid[#Data],$DE1612,2),0)</f>
        <v/>
      </c>
      <c r="F1612">
        <f>IFERROR(INDEX(PP_Grid[#Data],$DE1612,3),0)</f>
        <v/>
      </c>
      <c r="G1612">
        <f>IFERROR(INDEX(PP_Grid[#Data],$DE1612,4),0)</f>
        <v/>
      </c>
      <c r="H1612">
        <f>IFERROR(INDEX(PP_Grid[#Data],$DE1612,5),0)</f>
        <v/>
      </c>
      <c r="I1612">
        <f>IFERROR(INDEX(PP_Grid[#Data],$DE1612,6),0)</f>
        <v/>
      </c>
      <c r="J1612">
        <f>IFERROR(INDEX(PP_Grid[#Data],$DE1612,7),0)</f>
        <v/>
      </c>
      <c r="K1612">
        <f>IFERROR(INDEX(PP_Grid[#Data],$DE1612,8),0)</f>
        <v/>
      </c>
      <c r="L1612">
        <f>IFERROR(INDEX(PP_Grid[#Data],$DE1612,9),0)</f>
        <v/>
      </c>
      <c r="M1612">
        <f>IFERROR(INDEX(PP_Grid[#Data],$DE1612,10),0)</f>
        <v/>
      </c>
      <c r="N1612">
        <f>IFERROR(INDEX(PP_Grid[#Data],$DE1612,11),0)</f>
        <v/>
      </c>
      <c r="O1612">
        <f>IFERROR(INDEX(PP_Grid[#Data],$DE1612,12),0)</f>
        <v/>
      </c>
      <c r="P1612">
        <f>IFERROR(INDEX(PP_Grid[#Data],$DE1612,13),0)</f>
        <v/>
      </c>
      <c r="Q1612">
        <f>IFERROR(INDEX(PP_Grid[#Data],$DE1612,14),0)</f>
        <v/>
      </c>
      <c r="R1612">
        <f>IFERROR(INDEX(PP_Grid[#Data],$DE1612,15),0)</f>
        <v/>
      </c>
      <c r="S1612">
        <f>IFERROR(INDEX(PP_Grid[#Data],$DE1612,16),0)</f>
        <v/>
      </c>
      <c r="T1612">
        <f>IFERROR(INDEX(PP_Grid[#Data],$DE1612,17),0)</f>
        <v/>
      </c>
      <c r="U1612">
        <f>IFERROR(INDEX(PP_Grid[#Data],$DE1612,18),0)</f>
        <v/>
      </c>
      <c r="V1612">
        <f>IFERROR(INDEX(PP_Grid[#Data],$DE1612,19),0)</f>
        <v/>
      </c>
      <c r="W1612">
        <f>IFERROR(INDEX(PP_Grid[#Data],$DE1612,20),0)</f>
        <v/>
      </c>
      <c r="X1612">
        <f>IFERROR(INDEX(PP_Grid[#Data],$DE1612,21),0)</f>
        <v/>
      </c>
      <c r="Y1612">
        <f>IFERROR(INDEX(PP_Grid[#Data],$DE1612,22),0)</f>
        <v/>
      </c>
      <c r="Z1612">
        <f>IFERROR(INDEX(PP_Grid[#Data],$DE1612,23),0)</f>
        <v/>
      </c>
      <c r="AA1612">
        <f>IFERROR(INDEX(PP_Grid[#Data],$DE1612,24),0)</f>
        <v/>
      </c>
      <c r="AB1612">
        <f>IFERROR(INDEX(PP_Grid[#Data],$DE1612,25),0)</f>
        <v/>
      </c>
      <c r="AC1612">
        <f>IFERROR(INDEX(PP_Grid[#Data],$DE1612,26),0)</f>
        <v/>
      </c>
      <c r="AD1612">
        <f>IFERROR(INDEX(PP_Grid[#Data],$DE1612,27),0)</f>
        <v/>
      </c>
      <c r="AE1612">
        <f>IFERROR(INDEX(PP_Grid[#Data],$DE1612,28),0)</f>
        <v/>
      </c>
      <c r="AF1612">
        <f>IFERROR(INDEX(PP_Grid[#Data],$DE1612,29),0)</f>
        <v/>
      </c>
      <c r="AG1612">
        <f>IFERROR(INDEX(PP_Grid[#Data],$DE1612,30),0)</f>
        <v/>
      </c>
      <c r="AH1612">
        <f>IFERROR(INDEX(PP_Grid[#Data],$DE1612,31),0)</f>
        <v/>
      </c>
      <c r="AI1612">
        <f>IFERROR(INDEX(PP_Grid[#Data],$DE1612,32),0)</f>
        <v/>
      </c>
      <c r="AJ1612">
        <f>IFERROR(INDEX(PP_Grid[#Data],$DE1612,33),0)</f>
        <v/>
      </c>
      <c r="AK1612">
        <f>IFERROR(INDEX(PP_Grid[#Data],$DE1612,34),0)</f>
        <v/>
      </c>
      <c r="AL1612">
        <f>IFERROR(INDEX(PP_Grid[#Data],$DE1612,35),0)</f>
        <v/>
      </c>
      <c r="AM1612">
        <f>IFERROR(INDEX(PP_Grid[#Data],$DE1612,36),0)</f>
        <v/>
      </c>
      <c r="AN1612">
        <f>IFERROR(INDEX(PP_Grid[#Data],$DE1612,37),0)</f>
        <v/>
      </c>
      <c r="AO1612">
        <f>IFERROR(INDEX(PP_Grid[#Data],$DE1612,38),0)</f>
        <v/>
      </c>
      <c r="AP1612">
        <f>IFERROR(INDEX(PP_Grid[#Data],$DE1612,39),0)</f>
        <v/>
      </c>
      <c r="AQ1612">
        <f>IFERROR(INDEX(PP_Grid[#Data],$DE1612,40),0)</f>
        <v/>
      </c>
      <c r="AR1612">
        <f>IFERROR(INDEX(PP_Grid[#Data],$DE1612,41),0)</f>
        <v/>
      </c>
      <c r="AS1612">
        <f>IFERROR(INDEX(PP_Grid[#Data],$DE1612,42),0)</f>
        <v/>
      </c>
      <c r="AT1612">
        <f>IFERROR(INDEX(PP_Grid[#Data],$DE1612,43),0)</f>
        <v/>
      </c>
      <c r="AU1612">
        <f>IFERROR(INDEX(PP_Grid[#Data],$DE1612,44),0)</f>
        <v/>
      </c>
      <c r="AV1612">
        <f>IFERROR(INDEX(PP_Grid[#Data],$DE1612,45),0)</f>
        <v/>
      </c>
      <c r="AW1612">
        <f>IFERROR(INDEX(PP_Grid[#Data],$DE1612,46),0)</f>
        <v/>
      </c>
      <c r="AX1612">
        <f>IFERROR(INDEX(PP_Grid[#Data],$DE1612,47),0)</f>
        <v/>
      </c>
      <c r="AY1612">
        <f>IFERROR(INDEX(PP_Grid[#Data],$DE1612,48),0)</f>
        <v/>
      </c>
      <c r="AZ1612">
        <f>IFERROR(INDEX(PP_Grid[#Data],$DE1612,49),0)</f>
        <v/>
      </c>
      <c r="BA1612">
        <f>IFERROR(INDEX(PP_Grid[#Data],$DE1612,50),0)</f>
        <v/>
      </c>
      <c r="BB1612">
        <f>IFERROR(INDEX(PP_Grid[#Data],$DE1612,51),0)</f>
        <v/>
      </c>
      <c r="BC1612">
        <f>IFERROR(INDEX(PP_Grid[#Data],$DE1612,52),0)</f>
        <v/>
      </c>
      <c r="BD1612">
        <f>IFERROR(INDEX(PP_Grid[#Data],$DE1612,53),0)</f>
        <v/>
      </c>
      <c r="BE1612">
        <f>IFERROR(INDEX(PP_Grid[#Data],$DE1612,54),0)</f>
        <v/>
      </c>
      <c r="BF1612">
        <f>IFERROR(INDEX(PP_Grid[#Data],$DE1612,55),0)</f>
        <v/>
      </c>
      <c r="BG1612">
        <f>IFERROR(INDEX(PP_Grid[#Data],$DE1612,56),0)</f>
        <v/>
      </c>
      <c r="BH1612">
        <f>IFERROR(INDEX(PP_Grid[#Data],$DE1612,57),0)</f>
        <v/>
      </c>
      <c r="BI1612">
        <f>IFERROR(INDEX(PP_Grid[#Data],$DE1612,58),0)</f>
        <v/>
      </c>
      <c r="BJ1612">
        <f>IFERROR(INDEX(PP_Grid[#Data],$DE1612,59),0)</f>
        <v/>
      </c>
      <c r="BK1612">
        <f>IFERROR(INDEX(PP_Grid[#Data],$DE1612,60),0)</f>
        <v/>
      </c>
      <c r="BL1612">
        <f>IFERROR(INDEX(PP_Grid[#Data],$DE1612,61),0)</f>
        <v/>
      </c>
      <c r="BM1612">
        <f>IFERROR(INDEX(PP_Grid[#Data],$DE1612,62),0)</f>
        <v/>
      </c>
      <c r="BN1612">
        <f>IFERROR(INDEX(PP_Grid[#Data],$DE1612,63),0)</f>
        <v/>
      </c>
      <c r="BO1612">
        <f>IFERROR(INDEX(PP_Grid[#Data],$DE1612,64),0)</f>
        <v/>
      </c>
      <c r="BP1612">
        <f>IFERROR(INDEX(PP_Grid[#Data],$DE1612,65),0)</f>
        <v/>
      </c>
      <c r="BQ1612">
        <f>IFERROR(INDEX(PP_Grid[#Data],$DE1612,66),0)</f>
        <v/>
      </c>
      <c r="BR1612">
        <f>IFERROR(INDEX(PP_Grid[#Data],$DE1612,67),0)</f>
        <v/>
      </c>
      <c r="BS1612">
        <f>IFERROR(INDEX(PP_Grid[#Data],$DE1612,68),0)</f>
        <v/>
      </c>
      <c r="BT1612">
        <f>IFERROR(INDEX(PP_Grid[#Data],$DE1612,69),0)</f>
        <v/>
      </c>
      <c r="BU1612">
        <f>IFERROR(INDEX(PP_Grid[#Data],$DE1612,70),0)</f>
        <v/>
      </c>
      <c r="BV1612">
        <f>IFERROR(INDEX(PP_Grid[#Data],$DE1612,71),0)</f>
        <v/>
      </c>
      <c r="BW1612">
        <f>IFERROR(INDEX(PP_Grid[#Data],$DE1612,72),0)</f>
        <v/>
      </c>
      <c r="BX1612">
        <f>IFERROR(INDEX(PP_Grid[#Data],$DE1612,73),0)</f>
        <v/>
      </c>
      <c r="BY1612">
        <f>IFERROR(INDEX(PP_Grid[#Data],$DE1612,74),0)</f>
        <v/>
      </c>
      <c r="BZ1612">
        <f>IFERROR(INDEX(PP_Grid[#Data],$DE1612,75),0)</f>
        <v/>
      </c>
      <c r="CA1612">
        <f>IFERROR(INDEX(PP_Grid[#Data],$DE1612,76),0)</f>
        <v/>
      </c>
      <c r="CB1612">
        <f>IFERROR(INDEX(PP_Grid[#Data],$DE1612,77),0)</f>
        <v/>
      </c>
      <c r="CC1612">
        <f>IFERROR(INDEX(PP_Grid[#Data],$DE1612,78),0)</f>
        <v/>
      </c>
      <c r="CD1612">
        <f>IFERROR(INDEX(PP_Grid[#Data],$DE1612,79),0)</f>
        <v/>
      </c>
      <c r="CE1612">
        <f>IFERROR(INDEX(PP_Grid[#Data],$DE1612,80),0)</f>
        <v/>
      </c>
      <c r="CF1612">
        <f>IFERROR(INDEX(PP_Grid[#Data],$DE1612,81),0)</f>
        <v/>
      </c>
      <c r="CG1612">
        <f>IFERROR(INDEX(PP_Grid[#Data],$DE1612,82),0)</f>
        <v/>
      </c>
      <c r="CH1612">
        <f>IFERROR(INDEX(PP_Grid[#Data],$DE1612,83),0)</f>
        <v/>
      </c>
      <c r="CI1612">
        <f>IFERROR(INDEX(PP_Grid[#Data],$DE1612,84),0)</f>
        <v/>
      </c>
      <c r="CJ1612">
        <f>IFERROR(INDEX(PP_Grid[#Data],$DE1612,85),0)</f>
        <v/>
      </c>
      <c r="CK1612">
        <f>IFERROR(INDEX(PP_Grid[#Data],$DE1612,86),0)</f>
        <v/>
      </c>
      <c r="CL1612">
        <f>IFERROR(INDEX(PP_Grid[#Data],$DE1612,87),0)</f>
        <v/>
      </c>
      <c r="CM1612">
        <f>IFERROR(INDEX(PP_Grid[#Data],$DE1612,88),0)</f>
        <v/>
      </c>
      <c r="CN1612">
        <f>IFERROR(INDEX(PP_Grid[#Data],$DE1612,89),0)</f>
        <v/>
      </c>
      <c r="CO1612">
        <f>IFERROR(INDEX(PP_Grid[#Data],$DE1612,90),0)</f>
        <v/>
      </c>
      <c r="CP1612">
        <f>IFERROR(INDEX(PP_Grid[#Data],$DE1612,91),0)</f>
        <v/>
      </c>
      <c r="CQ1612">
        <f>IFERROR(INDEX(PP_Grid[#Data],$DE1612,92),0)</f>
        <v/>
      </c>
      <c r="CR1612">
        <f>IFERROR(INDEX(PP_Grid[#Data],$DE1612,93),0)</f>
        <v/>
      </c>
      <c r="CS1612">
        <f>IFERROR(INDEX(PP_Grid[#Data],$DE1612,94),0)</f>
        <v/>
      </c>
      <c r="CT1612">
        <f>IFERROR(INDEX(PP_Grid[#Data],$DE1612,95),0)</f>
        <v/>
      </c>
      <c r="CU1612">
        <f>IFERROR(INDEX(PP_Grid[#Data],$DE1612,96),0)</f>
        <v/>
      </c>
      <c r="CV1612">
        <f>IFERROR(INDEX(PP_Grid[#Data],$DE1612,97),0)</f>
        <v/>
      </c>
      <c r="CW1612">
        <f>IFERROR(INDEX(PP_Grid[#Data],$DE1612,98),0)</f>
        <v/>
      </c>
      <c r="CX1612">
        <f>IFERROR(INDEX(PP_Grid[#Data],$DE1612,99),0)</f>
        <v/>
      </c>
      <c r="CY1612">
        <f>IFERROR(INDEX(PP_Grid[#Data],$DE1612,100),0)</f>
        <v/>
      </c>
      <c r="CZ1612">
        <f>IFERROR(INDEX(PP_Grid[#Data],$DE1612,101),0)</f>
        <v/>
      </c>
      <c r="DA1612">
        <f>IFERROR(INDEX(PP_Grid[#Data],$DE1612,102),0)</f>
        <v/>
      </c>
      <c r="DB1612">
        <f>IFERROR(INDEX(PP_Grid[#Data],$DE1612,103),0)</f>
        <v/>
      </c>
      <c r="DC1612">
        <f>IFERROR(INDEX(PP_Grid[#Data],$DE1612,104),0)</f>
        <v/>
      </c>
      <c r="DD1612">
        <f>IFERROR(INDEX(PP_Grid[#Data],$DE1612,105),0)</f>
        <v/>
      </c>
      <c r="DE1612" s="7">
        <f>IFERROR(MATCH($B1612,PP_Grid[Intermediate],0),99999)</f>
        <v/>
      </c>
    </row>
    <row r="1613">
      <c r="B1613" t="inlineStr">
        <is>
          <t>使用量(kg)</t>
        </is>
      </c>
      <c r="C1613">
        <f>SUMIFS(M_BOM[RM_Qty_Per_Batch],M_BOM[Intermediate],$B1612,M_BOM[RM_Code],$A1603)</f>
        <v/>
      </c>
      <c r="D1613">
        <f>IFERROR(INDEX(E1613:DD1613,$F$1),"")</f>
        <v/>
      </c>
      <c r="E1613">
        <f>$C1613*E1612</f>
        <v/>
      </c>
      <c r="F1613">
        <f>$C1613*F1612</f>
        <v/>
      </c>
      <c r="G1613">
        <f>$C1613*G1612</f>
        <v/>
      </c>
      <c r="H1613">
        <f>$C1613*H1612</f>
        <v/>
      </c>
      <c r="I1613">
        <f>$C1613*I1612</f>
        <v/>
      </c>
      <c r="J1613">
        <f>$C1613*J1612</f>
        <v/>
      </c>
      <c r="K1613">
        <f>$C1613*K1612</f>
        <v/>
      </c>
      <c r="L1613">
        <f>$C1613*L1612</f>
        <v/>
      </c>
      <c r="M1613">
        <f>$C1613*M1612</f>
        <v/>
      </c>
      <c r="N1613">
        <f>$C1613*N1612</f>
        <v/>
      </c>
      <c r="O1613">
        <f>$C1613*O1612</f>
        <v/>
      </c>
      <c r="P1613">
        <f>$C1613*P1612</f>
        <v/>
      </c>
      <c r="Q1613">
        <f>$C1613*Q1612</f>
        <v/>
      </c>
      <c r="R1613">
        <f>$C1613*R1612</f>
        <v/>
      </c>
      <c r="S1613">
        <f>$C1613*S1612</f>
        <v/>
      </c>
      <c r="T1613">
        <f>$C1613*T1612</f>
        <v/>
      </c>
      <c r="U1613">
        <f>$C1613*U1612</f>
        <v/>
      </c>
      <c r="V1613">
        <f>$C1613*V1612</f>
        <v/>
      </c>
      <c r="W1613">
        <f>$C1613*W1612</f>
        <v/>
      </c>
      <c r="X1613">
        <f>$C1613*X1612</f>
        <v/>
      </c>
      <c r="Y1613">
        <f>$C1613*Y1612</f>
        <v/>
      </c>
      <c r="Z1613">
        <f>$C1613*Z1612</f>
        <v/>
      </c>
      <c r="AA1613">
        <f>$C1613*AA1612</f>
        <v/>
      </c>
      <c r="AB1613">
        <f>$C1613*AB1612</f>
        <v/>
      </c>
      <c r="AC1613">
        <f>$C1613*AC1612</f>
        <v/>
      </c>
      <c r="AD1613">
        <f>$C1613*AD1612</f>
        <v/>
      </c>
      <c r="AE1613">
        <f>$C1613*AE1612</f>
        <v/>
      </c>
      <c r="AF1613">
        <f>$C1613*AF1612</f>
        <v/>
      </c>
      <c r="AG1613">
        <f>$C1613*AG1612</f>
        <v/>
      </c>
      <c r="AH1613">
        <f>$C1613*AH1612</f>
        <v/>
      </c>
      <c r="AI1613">
        <f>$C1613*AI1612</f>
        <v/>
      </c>
      <c r="AJ1613">
        <f>$C1613*AJ1612</f>
        <v/>
      </c>
      <c r="AK1613">
        <f>$C1613*AK1612</f>
        <v/>
      </c>
      <c r="AL1613">
        <f>$C1613*AL1612</f>
        <v/>
      </c>
      <c r="AM1613">
        <f>$C1613*AM1612</f>
        <v/>
      </c>
      <c r="AN1613">
        <f>$C1613*AN1612</f>
        <v/>
      </c>
      <c r="AO1613">
        <f>$C1613*AO1612</f>
        <v/>
      </c>
      <c r="AP1613">
        <f>$C1613*AP1612</f>
        <v/>
      </c>
      <c r="AQ1613">
        <f>$C1613*AQ1612</f>
        <v/>
      </c>
      <c r="AR1613">
        <f>$C1613*AR1612</f>
        <v/>
      </c>
      <c r="AS1613">
        <f>$C1613*AS1612</f>
        <v/>
      </c>
      <c r="AT1613">
        <f>$C1613*AT1612</f>
        <v/>
      </c>
      <c r="AU1613">
        <f>$C1613*AU1612</f>
        <v/>
      </c>
      <c r="AV1613">
        <f>$C1613*AV1612</f>
        <v/>
      </c>
      <c r="AW1613">
        <f>$C1613*AW1612</f>
        <v/>
      </c>
      <c r="AX1613">
        <f>$C1613*AX1612</f>
        <v/>
      </c>
      <c r="AY1613">
        <f>$C1613*AY1612</f>
        <v/>
      </c>
      <c r="AZ1613">
        <f>$C1613*AZ1612</f>
        <v/>
      </c>
      <c r="BA1613">
        <f>$C1613*BA1612</f>
        <v/>
      </c>
      <c r="BB1613">
        <f>$C1613*BB1612</f>
        <v/>
      </c>
      <c r="BC1613">
        <f>$C1613*BC1612</f>
        <v/>
      </c>
      <c r="BD1613">
        <f>$C1613*BD1612</f>
        <v/>
      </c>
      <c r="BE1613">
        <f>$C1613*BE1612</f>
        <v/>
      </c>
      <c r="BF1613">
        <f>$C1613*BF1612</f>
        <v/>
      </c>
      <c r="BG1613">
        <f>$C1613*BG1612</f>
        <v/>
      </c>
      <c r="BH1613">
        <f>$C1613*BH1612</f>
        <v/>
      </c>
      <c r="BI1613">
        <f>$C1613*BI1612</f>
        <v/>
      </c>
      <c r="BJ1613">
        <f>$C1613*BJ1612</f>
        <v/>
      </c>
      <c r="BK1613">
        <f>$C1613*BK1612</f>
        <v/>
      </c>
      <c r="BL1613">
        <f>$C1613*BL1612</f>
        <v/>
      </c>
      <c r="BM1613">
        <f>$C1613*BM1612</f>
        <v/>
      </c>
      <c r="BN1613">
        <f>$C1613*BN1612</f>
        <v/>
      </c>
      <c r="BO1613">
        <f>$C1613*BO1612</f>
        <v/>
      </c>
      <c r="BP1613">
        <f>$C1613*BP1612</f>
        <v/>
      </c>
      <c r="BQ1613">
        <f>$C1613*BQ1612</f>
        <v/>
      </c>
      <c r="BR1613">
        <f>$C1613*BR1612</f>
        <v/>
      </c>
      <c r="BS1613">
        <f>$C1613*BS1612</f>
        <v/>
      </c>
      <c r="BT1613">
        <f>$C1613*BT1612</f>
        <v/>
      </c>
      <c r="BU1613">
        <f>$C1613*BU1612</f>
        <v/>
      </c>
      <c r="BV1613">
        <f>$C1613*BV1612</f>
        <v/>
      </c>
      <c r="BW1613">
        <f>$C1613*BW1612</f>
        <v/>
      </c>
      <c r="BX1613">
        <f>$C1613*BX1612</f>
        <v/>
      </c>
      <c r="BY1613">
        <f>$C1613*BY1612</f>
        <v/>
      </c>
      <c r="BZ1613">
        <f>$C1613*BZ1612</f>
        <v/>
      </c>
      <c r="CA1613">
        <f>$C1613*CA1612</f>
        <v/>
      </c>
      <c r="CB1613">
        <f>$C1613*CB1612</f>
        <v/>
      </c>
      <c r="CC1613">
        <f>$C1613*CC1612</f>
        <v/>
      </c>
      <c r="CD1613">
        <f>$C1613*CD1612</f>
        <v/>
      </c>
      <c r="CE1613">
        <f>$C1613*CE1612</f>
        <v/>
      </c>
      <c r="CF1613">
        <f>$C1613*CF1612</f>
        <v/>
      </c>
      <c r="CG1613">
        <f>$C1613*CG1612</f>
        <v/>
      </c>
      <c r="CH1613">
        <f>$C1613*CH1612</f>
        <v/>
      </c>
      <c r="CI1613">
        <f>$C1613*CI1612</f>
        <v/>
      </c>
      <c r="CJ1613">
        <f>$C1613*CJ1612</f>
        <v/>
      </c>
      <c r="CK1613">
        <f>$C1613*CK1612</f>
        <v/>
      </c>
      <c r="CL1613">
        <f>$C1613*CL1612</f>
        <v/>
      </c>
      <c r="CM1613">
        <f>$C1613*CM1612</f>
        <v/>
      </c>
      <c r="CN1613">
        <f>$C1613*CN1612</f>
        <v/>
      </c>
      <c r="CO1613">
        <f>$C1613*CO1612</f>
        <v/>
      </c>
      <c r="CP1613">
        <f>$C1613*CP1612</f>
        <v/>
      </c>
      <c r="CQ1613">
        <f>$C1613*CQ1612</f>
        <v/>
      </c>
      <c r="CR1613">
        <f>$C1613*CR1612</f>
        <v/>
      </c>
      <c r="CS1613">
        <f>$C1613*CS1612</f>
        <v/>
      </c>
      <c r="CT1613">
        <f>$C1613*CT1612</f>
        <v/>
      </c>
      <c r="CU1613">
        <f>$C1613*CU1612</f>
        <v/>
      </c>
      <c r="CV1613">
        <f>$C1613*CV1612</f>
        <v/>
      </c>
      <c r="CW1613">
        <f>$C1613*CW1612</f>
        <v/>
      </c>
      <c r="CX1613">
        <f>$C1613*CX1612</f>
        <v/>
      </c>
      <c r="CY1613">
        <f>$C1613*CY1612</f>
        <v/>
      </c>
      <c r="CZ1613">
        <f>$C1613*CZ1612</f>
        <v/>
      </c>
      <c r="DA1613">
        <f>$C1613*DA1612</f>
        <v/>
      </c>
      <c r="DB1613">
        <f>$C1613*DB1612</f>
        <v/>
      </c>
      <c r="DC1613">
        <f>$C1613*DC1612</f>
        <v/>
      </c>
      <c r="DD1613">
        <f>$C1613*DD1612</f>
        <v/>
      </c>
    </row>
    <row r="1614">
      <c r="B1614" t="inlineStr">
        <is>
          <t>TSP-1449</t>
        </is>
      </c>
      <c r="C1614" t="inlineStr">
        <is>
          <t>No. of batches</t>
        </is>
      </c>
      <c r="D1614">
        <f>IFERROR(INDEX(E1614:DD1614,$F$1),"")</f>
        <v/>
      </c>
      <c r="E1614">
        <f>IFERROR(INDEX(PP_Grid[#Data],$DE1614,2),0)</f>
        <v/>
      </c>
      <c r="F1614">
        <f>IFERROR(INDEX(PP_Grid[#Data],$DE1614,3),0)</f>
        <v/>
      </c>
      <c r="G1614">
        <f>IFERROR(INDEX(PP_Grid[#Data],$DE1614,4),0)</f>
        <v/>
      </c>
      <c r="H1614">
        <f>IFERROR(INDEX(PP_Grid[#Data],$DE1614,5),0)</f>
        <v/>
      </c>
      <c r="I1614">
        <f>IFERROR(INDEX(PP_Grid[#Data],$DE1614,6),0)</f>
        <v/>
      </c>
      <c r="J1614">
        <f>IFERROR(INDEX(PP_Grid[#Data],$DE1614,7),0)</f>
        <v/>
      </c>
      <c r="K1614">
        <f>IFERROR(INDEX(PP_Grid[#Data],$DE1614,8),0)</f>
        <v/>
      </c>
      <c r="L1614">
        <f>IFERROR(INDEX(PP_Grid[#Data],$DE1614,9),0)</f>
        <v/>
      </c>
      <c r="M1614">
        <f>IFERROR(INDEX(PP_Grid[#Data],$DE1614,10),0)</f>
        <v/>
      </c>
      <c r="N1614">
        <f>IFERROR(INDEX(PP_Grid[#Data],$DE1614,11),0)</f>
        <v/>
      </c>
      <c r="O1614">
        <f>IFERROR(INDEX(PP_Grid[#Data],$DE1614,12),0)</f>
        <v/>
      </c>
      <c r="P1614">
        <f>IFERROR(INDEX(PP_Grid[#Data],$DE1614,13),0)</f>
        <v/>
      </c>
      <c r="Q1614">
        <f>IFERROR(INDEX(PP_Grid[#Data],$DE1614,14),0)</f>
        <v/>
      </c>
      <c r="R1614">
        <f>IFERROR(INDEX(PP_Grid[#Data],$DE1614,15),0)</f>
        <v/>
      </c>
      <c r="S1614">
        <f>IFERROR(INDEX(PP_Grid[#Data],$DE1614,16),0)</f>
        <v/>
      </c>
      <c r="T1614">
        <f>IFERROR(INDEX(PP_Grid[#Data],$DE1614,17),0)</f>
        <v/>
      </c>
      <c r="U1614">
        <f>IFERROR(INDEX(PP_Grid[#Data],$DE1614,18),0)</f>
        <v/>
      </c>
      <c r="V1614">
        <f>IFERROR(INDEX(PP_Grid[#Data],$DE1614,19),0)</f>
        <v/>
      </c>
      <c r="W1614">
        <f>IFERROR(INDEX(PP_Grid[#Data],$DE1614,20),0)</f>
        <v/>
      </c>
      <c r="X1614">
        <f>IFERROR(INDEX(PP_Grid[#Data],$DE1614,21),0)</f>
        <v/>
      </c>
      <c r="Y1614">
        <f>IFERROR(INDEX(PP_Grid[#Data],$DE1614,22),0)</f>
        <v/>
      </c>
      <c r="Z1614">
        <f>IFERROR(INDEX(PP_Grid[#Data],$DE1614,23),0)</f>
        <v/>
      </c>
      <c r="AA1614">
        <f>IFERROR(INDEX(PP_Grid[#Data],$DE1614,24),0)</f>
        <v/>
      </c>
      <c r="AB1614">
        <f>IFERROR(INDEX(PP_Grid[#Data],$DE1614,25),0)</f>
        <v/>
      </c>
      <c r="AC1614">
        <f>IFERROR(INDEX(PP_Grid[#Data],$DE1614,26),0)</f>
        <v/>
      </c>
      <c r="AD1614">
        <f>IFERROR(INDEX(PP_Grid[#Data],$DE1614,27),0)</f>
        <v/>
      </c>
      <c r="AE1614">
        <f>IFERROR(INDEX(PP_Grid[#Data],$DE1614,28),0)</f>
        <v/>
      </c>
      <c r="AF1614">
        <f>IFERROR(INDEX(PP_Grid[#Data],$DE1614,29),0)</f>
        <v/>
      </c>
      <c r="AG1614">
        <f>IFERROR(INDEX(PP_Grid[#Data],$DE1614,30),0)</f>
        <v/>
      </c>
      <c r="AH1614">
        <f>IFERROR(INDEX(PP_Grid[#Data],$DE1614,31),0)</f>
        <v/>
      </c>
      <c r="AI1614">
        <f>IFERROR(INDEX(PP_Grid[#Data],$DE1614,32),0)</f>
        <v/>
      </c>
      <c r="AJ1614">
        <f>IFERROR(INDEX(PP_Grid[#Data],$DE1614,33),0)</f>
        <v/>
      </c>
      <c r="AK1614">
        <f>IFERROR(INDEX(PP_Grid[#Data],$DE1614,34),0)</f>
        <v/>
      </c>
      <c r="AL1614">
        <f>IFERROR(INDEX(PP_Grid[#Data],$DE1614,35),0)</f>
        <v/>
      </c>
      <c r="AM1614">
        <f>IFERROR(INDEX(PP_Grid[#Data],$DE1614,36),0)</f>
        <v/>
      </c>
      <c r="AN1614">
        <f>IFERROR(INDEX(PP_Grid[#Data],$DE1614,37),0)</f>
        <v/>
      </c>
      <c r="AO1614">
        <f>IFERROR(INDEX(PP_Grid[#Data],$DE1614,38),0)</f>
        <v/>
      </c>
      <c r="AP1614">
        <f>IFERROR(INDEX(PP_Grid[#Data],$DE1614,39),0)</f>
        <v/>
      </c>
      <c r="AQ1614">
        <f>IFERROR(INDEX(PP_Grid[#Data],$DE1614,40),0)</f>
        <v/>
      </c>
      <c r="AR1614">
        <f>IFERROR(INDEX(PP_Grid[#Data],$DE1614,41),0)</f>
        <v/>
      </c>
      <c r="AS1614">
        <f>IFERROR(INDEX(PP_Grid[#Data],$DE1614,42),0)</f>
        <v/>
      </c>
      <c r="AT1614">
        <f>IFERROR(INDEX(PP_Grid[#Data],$DE1614,43),0)</f>
        <v/>
      </c>
      <c r="AU1614">
        <f>IFERROR(INDEX(PP_Grid[#Data],$DE1614,44),0)</f>
        <v/>
      </c>
      <c r="AV1614">
        <f>IFERROR(INDEX(PP_Grid[#Data],$DE1614,45),0)</f>
        <v/>
      </c>
      <c r="AW1614">
        <f>IFERROR(INDEX(PP_Grid[#Data],$DE1614,46),0)</f>
        <v/>
      </c>
      <c r="AX1614">
        <f>IFERROR(INDEX(PP_Grid[#Data],$DE1614,47),0)</f>
        <v/>
      </c>
      <c r="AY1614">
        <f>IFERROR(INDEX(PP_Grid[#Data],$DE1614,48),0)</f>
        <v/>
      </c>
      <c r="AZ1614">
        <f>IFERROR(INDEX(PP_Grid[#Data],$DE1614,49),0)</f>
        <v/>
      </c>
      <c r="BA1614">
        <f>IFERROR(INDEX(PP_Grid[#Data],$DE1614,50),0)</f>
        <v/>
      </c>
      <c r="BB1614">
        <f>IFERROR(INDEX(PP_Grid[#Data],$DE1614,51),0)</f>
        <v/>
      </c>
      <c r="BC1614">
        <f>IFERROR(INDEX(PP_Grid[#Data],$DE1614,52),0)</f>
        <v/>
      </c>
      <c r="BD1614">
        <f>IFERROR(INDEX(PP_Grid[#Data],$DE1614,53),0)</f>
        <v/>
      </c>
      <c r="BE1614">
        <f>IFERROR(INDEX(PP_Grid[#Data],$DE1614,54),0)</f>
        <v/>
      </c>
      <c r="BF1614">
        <f>IFERROR(INDEX(PP_Grid[#Data],$DE1614,55),0)</f>
        <v/>
      </c>
      <c r="BG1614">
        <f>IFERROR(INDEX(PP_Grid[#Data],$DE1614,56),0)</f>
        <v/>
      </c>
      <c r="BH1614">
        <f>IFERROR(INDEX(PP_Grid[#Data],$DE1614,57),0)</f>
        <v/>
      </c>
      <c r="BI1614">
        <f>IFERROR(INDEX(PP_Grid[#Data],$DE1614,58),0)</f>
        <v/>
      </c>
      <c r="BJ1614">
        <f>IFERROR(INDEX(PP_Grid[#Data],$DE1614,59),0)</f>
        <v/>
      </c>
      <c r="BK1614">
        <f>IFERROR(INDEX(PP_Grid[#Data],$DE1614,60),0)</f>
        <v/>
      </c>
      <c r="BL1614">
        <f>IFERROR(INDEX(PP_Grid[#Data],$DE1614,61),0)</f>
        <v/>
      </c>
      <c r="BM1614">
        <f>IFERROR(INDEX(PP_Grid[#Data],$DE1614,62),0)</f>
        <v/>
      </c>
      <c r="BN1614">
        <f>IFERROR(INDEX(PP_Grid[#Data],$DE1614,63),0)</f>
        <v/>
      </c>
      <c r="BO1614">
        <f>IFERROR(INDEX(PP_Grid[#Data],$DE1614,64),0)</f>
        <v/>
      </c>
      <c r="BP1614">
        <f>IFERROR(INDEX(PP_Grid[#Data],$DE1614,65),0)</f>
        <v/>
      </c>
      <c r="BQ1614">
        <f>IFERROR(INDEX(PP_Grid[#Data],$DE1614,66),0)</f>
        <v/>
      </c>
      <c r="BR1614">
        <f>IFERROR(INDEX(PP_Grid[#Data],$DE1614,67),0)</f>
        <v/>
      </c>
      <c r="BS1614">
        <f>IFERROR(INDEX(PP_Grid[#Data],$DE1614,68),0)</f>
        <v/>
      </c>
      <c r="BT1614">
        <f>IFERROR(INDEX(PP_Grid[#Data],$DE1614,69),0)</f>
        <v/>
      </c>
      <c r="BU1614">
        <f>IFERROR(INDEX(PP_Grid[#Data],$DE1614,70),0)</f>
        <v/>
      </c>
      <c r="BV1614">
        <f>IFERROR(INDEX(PP_Grid[#Data],$DE1614,71),0)</f>
        <v/>
      </c>
      <c r="BW1614">
        <f>IFERROR(INDEX(PP_Grid[#Data],$DE1614,72),0)</f>
        <v/>
      </c>
      <c r="BX1614">
        <f>IFERROR(INDEX(PP_Grid[#Data],$DE1614,73),0)</f>
        <v/>
      </c>
      <c r="BY1614">
        <f>IFERROR(INDEX(PP_Grid[#Data],$DE1614,74),0)</f>
        <v/>
      </c>
      <c r="BZ1614">
        <f>IFERROR(INDEX(PP_Grid[#Data],$DE1614,75),0)</f>
        <v/>
      </c>
      <c r="CA1614">
        <f>IFERROR(INDEX(PP_Grid[#Data],$DE1614,76),0)</f>
        <v/>
      </c>
      <c r="CB1614">
        <f>IFERROR(INDEX(PP_Grid[#Data],$DE1614,77),0)</f>
        <v/>
      </c>
      <c r="CC1614">
        <f>IFERROR(INDEX(PP_Grid[#Data],$DE1614,78),0)</f>
        <v/>
      </c>
      <c r="CD1614">
        <f>IFERROR(INDEX(PP_Grid[#Data],$DE1614,79),0)</f>
        <v/>
      </c>
      <c r="CE1614">
        <f>IFERROR(INDEX(PP_Grid[#Data],$DE1614,80),0)</f>
        <v/>
      </c>
      <c r="CF1614">
        <f>IFERROR(INDEX(PP_Grid[#Data],$DE1614,81),0)</f>
        <v/>
      </c>
      <c r="CG1614">
        <f>IFERROR(INDEX(PP_Grid[#Data],$DE1614,82),0)</f>
        <v/>
      </c>
      <c r="CH1614">
        <f>IFERROR(INDEX(PP_Grid[#Data],$DE1614,83),0)</f>
        <v/>
      </c>
      <c r="CI1614">
        <f>IFERROR(INDEX(PP_Grid[#Data],$DE1614,84),0)</f>
        <v/>
      </c>
      <c r="CJ1614">
        <f>IFERROR(INDEX(PP_Grid[#Data],$DE1614,85),0)</f>
        <v/>
      </c>
      <c r="CK1614">
        <f>IFERROR(INDEX(PP_Grid[#Data],$DE1614,86),0)</f>
        <v/>
      </c>
      <c r="CL1614">
        <f>IFERROR(INDEX(PP_Grid[#Data],$DE1614,87),0)</f>
        <v/>
      </c>
      <c r="CM1614">
        <f>IFERROR(INDEX(PP_Grid[#Data],$DE1614,88),0)</f>
        <v/>
      </c>
      <c r="CN1614">
        <f>IFERROR(INDEX(PP_Grid[#Data],$DE1614,89),0)</f>
        <v/>
      </c>
      <c r="CO1614">
        <f>IFERROR(INDEX(PP_Grid[#Data],$DE1614,90),0)</f>
        <v/>
      </c>
      <c r="CP1614">
        <f>IFERROR(INDEX(PP_Grid[#Data],$DE1614,91),0)</f>
        <v/>
      </c>
      <c r="CQ1614">
        <f>IFERROR(INDEX(PP_Grid[#Data],$DE1614,92),0)</f>
        <v/>
      </c>
      <c r="CR1614">
        <f>IFERROR(INDEX(PP_Grid[#Data],$DE1614,93),0)</f>
        <v/>
      </c>
      <c r="CS1614">
        <f>IFERROR(INDEX(PP_Grid[#Data],$DE1614,94),0)</f>
        <v/>
      </c>
      <c r="CT1614">
        <f>IFERROR(INDEX(PP_Grid[#Data],$DE1614,95),0)</f>
        <v/>
      </c>
      <c r="CU1614">
        <f>IFERROR(INDEX(PP_Grid[#Data],$DE1614,96),0)</f>
        <v/>
      </c>
      <c r="CV1614">
        <f>IFERROR(INDEX(PP_Grid[#Data],$DE1614,97),0)</f>
        <v/>
      </c>
      <c r="CW1614">
        <f>IFERROR(INDEX(PP_Grid[#Data],$DE1614,98),0)</f>
        <v/>
      </c>
      <c r="CX1614">
        <f>IFERROR(INDEX(PP_Grid[#Data],$DE1614,99),0)</f>
        <v/>
      </c>
      <c r="CY1614">
        <f>IFERROR(INDEX(PP_Grid[#Data],$DE1614,100),0)</f>
        <v/>
      </c>
      <c r="CZ1614">
        <f>IFERROR(INDEX(PP_Grid[#Data],$DE1614,101),0)</f>
        <v/>
      </c>
      <c r="DA1614">
        <f>IFERROR(INDEX(PP_Grid[#Data],$DE1614,102),0)</f>
        <v/>
      </c>
      <c r="DB1614">
        <f>IFERROR(INDEX(PP_Grid[#Data],$DE1614,103),0)</f>
        <v/>
      </c>
      <c r="DC1614">
        <f>IFERROR(INDEX(PP_Grid[#Data],$DE1614,104),0)</f>
        <v/>
      </c>
      <c r="DD1614">
        <f>IFERROR(INDEX(PP_Grid[#Data],$DE1614,105),0)</f>
        <v/>
      </c>
      <c r="DE1614" s="7">
        <f>IFERROR(MATCH($B1614,PP_Grid[Intermediate],0),99999)</f>
        <v/>
      </c>
    </row>
    <row r="1615">
      <c r="B1615" t="inlineStr">
        <is>
          <t>使用量(kg)</t>
        </is>
      </c>
      <c r="C1615">
        <f>SUMIFS(M_BOM[RM_Qty_Per_Batch],M_BOM[Intermediate],$B1614,M_BOM[RM_Code],$A1603)</f>
        <v/>
      </c>
      <c r="D1615">
        <f>IFERROR(INDEX(E1615:DD1615,$F$1),"")</f>
        <v/>
      </c>
      <c r="E1615">
        <f>$C1615*E1614</f>
        <v/>
      </c>
      <c r="F1615">
        <f>$C1615*F1614</f>
        <v/>
      </c>
      <c r="G1615">
        <f>$C1615*G1614</f>
        <v/>
      </c>
      <c r="H1615">
        <f>$C1615*H1614</f>
        <v/>
      </c>
      <c r="I1615">
        <f>$C1615*I1614</f>
        <v/>
      </c>
      <c r="J1615">
        <f>$C1615*J1614</f>
        <v/>
      </c>
      <c r="K1615">
        <f>$C1615*K1614</f>
        <v/>
      </c>
      <c r="L1615">
        <f>$C1615*L1614</f>
        <v/>
      </c>
      <c r="M1615">
        <f>$C1615*M1614</f>
        <v/>
      </c>
      <c r="N1615">
        <f>$C1615*N1614</f>
        <v/>
      </c>
      <c r="O1615">
        <f>$C1615*O1614</f>
        <v/>
      </c>
      <c r="P1615">
        <f>$C1615*P1614</f>
        <v/>
      </c>
      <c r="Q1615">
        <f>$C1615*Q1614</f>
        <v/>
      </c>
      <c r="R1615">
        <f>$C1615*R1614</f>
        <v/>
      </c>
      <c r="S1615">
        <f>$C1615*S1614</f>
        <v/>
      </c>
      <c r="T1615">
        <f>$C1615*T1614</f>
        <v/>
      </c>
      <c r="U1615">
        <f>$C1615*U1614</f>
        <v/>
      </c>
      <c r="V1615">
        <f>$C1615*V1614</f>
        <v/>
      </c>
      <c r="W1615">
        <f>$C1615*W1614</f>
        <v/>
      </c>
      <c r="X1615">
        <f>$C1615*X1614</f>
        <v/>
      </c>
      <c r="Y1615">
        <f>$C1615*Y1614</f>
        <v/>
      </c>
      <c r="Z1615">
        <f>$C1615*Z1614</f>
        <v/>
      </c>
      <c r="AA1615">
        <f>$C1615*AA1614</f>
        <v/>
      </c>
      <c r="AB1615">
        <f>$C1615*AB1614</f>
        <v/>
      </c>
      <c r="AC1615">
        <f>$C1615*AC1614</f>
        <v/>
      </c>
      <c r="AD1615">
        <f>$C1615*AD1614</f>
        <v/>
      </c>
      <c r="AE1615">
        <f>$C1615*AE1614</f>
        <v/>
      </c>
      <c r="AF1615">
        <f>$C1615*AF1614</f>
        <v/>
      </c>
      <c r="AG1615">
        <f>$C1615*AG1614</f>
        <v/>
      </c>
      <c r="AH1615">
        <f>$C1615*AH1614</f>
        <v/>
      </c>
      <c r="AI1615">
        <f>$C1615*AI1614</f>
        <v/>
      </c>
      <c r="AJ1615">
        <f>$C1615*AJ1614</f>
        <v/>
      </c>
      <c r="AK1615">
        <f>$C1615*AK1614</f>
        <v/>
      </c>
      <c r="AL1615">
        <f>$C1615*AL1614</f>
        <v/>
      </c>
      <c r="AM1615">
        <f>$C1615*AM1614</f>
        <v/>
      </c>
      <c r="AN1615">
        <f>$C1615*AN1614</f>
        <v/>
      </c>
      <c r="AO1615">
        <f>$C1615*AO1614</f>
        <v/>
      </c>
      <c r="AP1615">
        <f>$C1615*AP1614</f>
        <v/>
      </c>
      <c r="AQ1615">
        <f>$C1615*AQ1614</f>
        <v/>
      </c>
      <c r="AR1615">
        <f>$C1615*AR1614</f>
        <v/>
      </c>
      <c r="AS1615">
        <f>$C1615*AS1614</f>
        <v/>
      </c>
      <c r="AT1615">
        <f>$C1615*AT1614</f>
        <v/>
      </c>
      <c r="AU1615">
        <f>$C1615*AU1614</f>
        <v/>
      </c>
      <c r="AV1615">
        <f>$C1615*AV1614</f>
        <v/>
      </c>
      <c r="AW1615">
        <f>$C1615*AW1614</f>
        <v/>
      </c>
      <c r="AX1615">
        <f>$C1615*AX1614</f>
        <v/>
      </c>
      <c r="AY1615">
        <f>$C1615*AY1614</f>
        <v/>
      </c>
      <c r="AZ1615">
        <f>$C1615*AZ1614</f>
        <v/>
      </c>
      <c r="BA1615">
        <f>$C1615*BA1614</f>
        <v/>
      </c>
      <c r="BB1615">
        <f>$C1615*BB1614</f>
        <v/>
      </c>
      <c r="BC1615">
        <f>$C1615*BC1614</f>
        <v/>
      </c>
      <c r="BD1615">
        <f>$C1615*BD1614</f>
        <v/>
      </c>
      <c r="BE1615">
        <f>$C1615*BE1614</f>
        <v/>
      </c>
      <c r="BF1615">
        <f>$C1615*BF1614</f>
        <v/>
      </c>
      <c r="BG1615">
        <f>$C1615*BG1614</f>
        <v/>
      </c>
      <c r="BH1615">
        <f>$C1615*BH1614</f>
        <v/>
      </c>
      <c r="BI1615">
        <f>$C1615*BI1614</f>
        <v/>
      </c>
      <c r="BJ1615">
        <f>$C1615*BJ1614</f>
        <v/>
      </c>
      <c r="BK1615">
        <f>$C1615*BK1614</f>
        <v/>
      </c>
      <c r="BL1615">
        <f>$C1615*BL1614</f>
        <v/>
      </c>
      <c r="BM1615">
        <f>$C1615*BM1614</f>
        <v/>
      </c>
      <c r="BN1615">
        <f>$C1615*BN1614</f>
        <v/>
      </c>
      <c r="BO1615">
        <f>$C1615*BO1614</f>
        <v/>
      </c>
      <c r="BP1615">
        <f>$C1615*BP1614</f>
        <v/>
      </c>
      <c r="BQ1615">
        <f>$C1615*BQ1614</f>
        <v/>
      </c>
      <c r="BR1615">
        <f>$C1615*BR1614</f>
        <v/>
      </c>
      <c r="BS1615">
        <f>$C1615*BS1614</f>
        <v/>
      </c>
      <c r="BT1615">
        <f>$C1615*BT1614</f>
        <v/>
      </c>
      <c r="BU1615">
        <f>$C1615*BU1614</f>
        <v/>
      </c>
      <c r="BV1615">
        <f>$C1615*BV1614</f>
        <v/>
      </c>
      <c r="BW1615">
        <f>$C1615*BW1614</f>
        <v/>
      </c>
      <c r="BX1615">
        <f>$C1615*BX1614</f>
        <v/>
      </c>
      <c r="BY1615">
        <f>$C1615*BY1614</f>
        <v/>
      </c>
      <c r="BZ1615">
        <f>$C1615*BZ1614</f>
        <v/>
      </c>
      <c r="CA1615">
        <f>$C1615*CA1614</f>
        <v/>
      </c>
      <c r="CB1615">
        <f>$C1615*CB1614</f>
        <v/>
      </c>
      <c r="CC1615">
        <f>$C1615*CC1614</f>
        <v/>
      </c>
      <c r="CD1615">
        <f>$C1615*CD1614</f>
        <v/>
      </c>
      <c r="CE1615">
        <f>$C1615*CE1614</f>
        <v/>
      </c>
      <c r="CF1615">
        <f>$C1615*CF1614</f>
        <v/>
      </c>
      <c r="CG1615">
        <f>$C1615*CG1614</f>
        <v/>
      </c>
      <c r="CH1615">
        <f>$C1615*CH1614</f>
        <v/>
      </c>
      <c r="CI1615">
        <f>$C1615*CI1614</f>
        <v/>
      </c>
      <c r="CJ1615">
        <f>$C1615*CJ1614</f>
        <v/>
      </c>
      <c r="CK1615">
        <f>$C1615*CK1614</f>
        <v/>
      </c>
      <c r="CL1615">
        <f>$C1615*CL1614</f>
        <v/>
      </c>
      <c r="CM1615">
        <f>$C1615*CM1614</f>
        <v/>
      </c>
      <c r="CN1615">
        <f>$C1615*CN1614</f>
        <v/>
      </c>
      <c r="CO1615">
        <f>$C1615*CO1614</f>
        <v/>
      </c>
      <c r="CP1615">
        <f>$C1615*CP1614</f>
        <v/>
      </c>
      <c r="CQ1615">
        <f>$C1615*CQ1614</f>
        <v/>
      </c>
      <c r="CR1615">
        <f>$C1615*CR1614</f>
        <v/>
      </c>
      <c r="CS1615">
        <f>$C1615*CS1614</f>
        <v/>
      </c>
      <c r="CT1615">
        <f>$C1615*CT1614</f>
        <v/>
      </c>
      <c r="CU1615">
        <f>$C1615*CU1614</f>
        <v/>
      </c>
      <c r="CV1615">
        <f>$C1615*CV1614</f>
        <v/>
      </c>
      <c r="CW1615">
        <f>$C1615*CW1614</f>
        <v/>
      </c>
      <c r="CX1615">
        <f>$C1615*CX1614</f>
        <v/>
      </c>
      <c r="CY1615">
        <f>$C1615*CY1614</f>
        <v/>
      </c>
      <c r="CZ1615">
        <f>$C1615*CZ1614</f>
        <v/>
      </c>
      <c r="DA1615">
        <f>$C1615*DA1614</f>
        <v/>
      </c>
      <c r="DB1615">
        <f>$C1615*DB1614</f>
        <v/>
      </c>
      <c r="DC1615">
        <f>$C1615*DC1614</f>
        <v/>
      </c>
      <c r="DD1615">
        <f>$C1615*DD1614</f>
        <v/>
      </c>
    </row>
    <row r="1616">
      <c r="B1616" t="inlineStr">
        <is>
          <t>TSP-1499</t>
        </is>
      </c>
      <c r="C1616" t="inlineStr">
        <is>
          <t>No. of batches</t>
        </is>
      </c>
      <c r="D1616">
        <f>IFERROR(INDEX(E1616:DD1616,$F$1),"")</f>
        <v/>
      </c>
      <c r="E1616">
        <f>IFERROR(INDEX(PP_Grid[#Data],$DE1616,2),0)</f>
        <v/>
      </c>
      <c r="F1616">
        <f>IFERROR(INDEX(PP_Grid[#Data],$DE1616,3),0)</f>
        <v/>
      </c>
      <c r="G1616">
        <f>IFERROR(INDEX(PP_Grid[#Data],$DE1616,4),0)</f>
        <v/>
      </c>
      <c r="H1616">
        <f>IFERROR(INDEX(PP_Grid[#Data],$DE1616,5),0)</f>
        <v/>
      </c>
      <c r="I1616">
        <f>IFERROR(INDEX(PP_Grid[#Data],$DE1616,6),0)</f>
        <v/>
      </c>
      <c r="J1616">
        <f>IFERROR(INDEX(PP_Grid[#Data],$DE1616,7),0)</f>
        <v/>
      </c>
      <c r="K1616">
        <f>IFERROR(INDEX(PP_Grid[#Data],$DE1616,8),0)</f>
        <v/>
      </c>
      <c r="L1616">
        <f>IFERROR(INDEX(PP_Grid[#Data],$DE1616,9),0)</f>
        <v/>
      </c>
      <c r="M1616">
        <f>IFERROR(INDEX(PP_Grid[#Data],$DE1616,10),0)</f>
        <v/>
      </c>
      <c r="N1616">
        <f>IFERROR(INDEX(PP_Grid[#Data],$DE1616,11),0)</f>
        <v/>
      </c>
      <c r="O1616">
        <f>IFERROR(INDEX(PP_Grid[#Data],$DE1616,12),0)</f>
        <v/>
      </c>
      <c r="P1616">
        <f>IFERROR(INDEX(PP_Grid[#Data],$DE1616,13),0)</f>
        <v/>
      </c>
      <c r="Q1616">
        <f>IFERROR(INDEX(PP_Grid[#Data],$DE1616,14),0)</f>
        <v/>
      </c>
      <c r="R1616">
        <f>IFERROR(INDEX(PP_Grid[#Data],$DE1616,15),0)</f>
        <v/>
      </c>
      <c r="S1616">
        <f>IFERROR(INDEX(PP_Grid[#Data],$DE1616,16),0)</f>
        <v/>
      </c>
      <c r="T1616">
        <f>IFERROR(INDEX(PP_Grid[#Data],$DE1616,17),0)</f>
        <v/>
      </c>
      <c r="U1616">
        <f>IFERROR(INDEX(PP_Grid[#Data],$DE1616,18),0)</f>
        <v/>
      </c>
      <c r="V1616">
        <f>IFERROR(INDEX(PP_Grid[#Data],$DE1616,19),0)</f>
        <v/>
      </c>
      <c r="W1616">
        <f>IFERROR(INDEX(PP_Grid[#Data],$DE1616,20),0)</f>
        <v/>
      </c>
      <c r="X1616">
        <f>IFERROR(INDEX(PP_Grid[#Data],$DE1616,21),0)</f>
        <v/>
      </c>
      <c r="Y1616">
        <f>IFERROR(INDEX(PP_Grid[#Data],$DE1616,22),0)</f>
        <v/>
      </c>
      <c r="Z1616">
        <f>IFERROR(INDEX(PP_Grid[#Data],$DE1616,23),0)</f>
        <v/>
      </c>
      <c r="AA1616">
        <f>IFERROR(INDEX(PP_Grid[#Data],$DE1616,24),0)</f>
        <v/>
      </c>
      <c r="AB1616">
        <f>IFERROR(INDEX(PP_Grid[#Data],$DE1616,25),0)</f>
        <v/>
      </c>
      <c r="AC1616">
        <f>IFERROR(INDEX(PP_Grid[#Data],$DE1616,26),0)</f>
        <v/>
      </c>
      <c r="AD1616">
        <f>IFERROR(INDEX(PP_Grid[#Data],$DE1616,27),0)</f>
        <v/>
      </c>
      <c r="AE1616">
        <f>IFERROR(INDEX(PP_Grid[#Data],$DE1616,28),0)</f>
        <v/>
      </c>
      <c r="AF1616">
        <f>IFERROR(INDEX(PP_Grid[#Data],$DE1616,29),0)</f>
        <v/>
      </c>
      <c r="AG1616">
        <f>IFERROR(INDEX(PP_Grid[#Data],$DE1616,30),0)</f>
        <v/>
      </c>
      <c r="AH1616">
        <f>IFERROR(INDEX(PP_Grid[#Data],$DE1616,31),0)</f>
        <v/>
      </c>
      <c r="AI1616">
        <f>IFERROR(INDEX(PP_Grid[#Data],$DE1616,32),0)</f>
        <v/>
      </c>
      <c r="AJ1616">
        <f>IFERROR(INDEX(PP_Grid[#Data],$DE1616,33),0)</f>
        <v/>
      </c>
      <c r="AK1616">
        <f>IFERROR(INDEX(PP_Grid[#Data],$DE1616,34),0)</f>
        <v/>
      </c>
      <c r="AL1616">
        <f>IFERROR(INDEX(PP_Grid[#Data],$DE1616,35),0)</f>
        <v/>
      </c>
      <c r="AM1616">
        <f>IFERROR(INDEX(PP_Grid[#Data],$DE1616,36),0)</f>
        <v/>
      </c>
      <c r="AN1616">
        <f>IFERROR(INDEX(PP_Grid[#Data],$DE1616,37),0)</f>
        <v/>
      </c>
      <c r="AO1616">
        <f>IFERROR(INDEX(PP_Grid[#Data],$DE1616,38),0)</f>
        <v/>
      </c>
      <c r="AP1616">
        <f>IFERROR(INDEX(PP_Grid[#Data],$DE1616,39),0)</f>
        <v/>
      </c>
      <c r="AQ1616">
        <f>IFERROR(INDEX(PP_Grid[#Data],$DE1616,40),0)</f>
        <v/>
      </c>
      <c r="AR1616">
        <f>IFERROR(INDEX(PP_Grid[#Data],$DE1616,41),0)</f>
        <v/>
      </c>
      <c r="AS1616">
        <f>IFERROR(INDEX(PP_Grid[#Data],$DE1616,42),0)</f>
        <v/>
      </c>
      <c r="AT1616">
        <f>IFERROR(INDEX(PP_Grid[#Data],$DE1616,43),0)</f>
        <v/>
      </c>
      <c r="AU1616">
        <f>IFERROR(INDEX(PP_Grid[#Data],$DE1616,44),0)</f>
        <v/>
      </c>
      <c r="AV1616">
        <f>IFERROR(INDEX(PP_Grid[#Data],$DE1616,45),0)</f>
        <v/>
      </c>
      <c r="AW1616">
        <f>IFERROR(INDEX(PP_Grid[#Data],$DE1616,46),0)</f>
        <v/>
      </c>
      <c r="AX1616">
        <f>IFERROR(INDEX(PP_Grid[#Data],$DE1616,47),0)</f>
        <v/>
      </c>
      <c r="AY1616">
        <f>IFERROR(INDEX(PP_Grid[#Data],$DE1616,48),0)</f>
        <v/>
      </c>
      <c r="AZ1616">
        <f>IFERROR(INDEX(PP_Grid[#Data],$DE1616,49),0)</f>
        <v/>
      </c>
      <c r="BA1616">
        <f>IFERROR(INDEX(PP_Grid[#Data],$DE1616,50),0)</f>
        <v/>
      </c>
      <c r="BB1616">
        <f>IFERROR(INDEX(PP_Grid[#Data],$DE1616,51),0)</f>
        <v/>
      </c>
      <c r="BC1616">
        <f>IFERROR(INDEX(PP_Grid[#Data],$DE1616,52),0)</f>
        <v/>
      </c>
      <c r="BD1616">
        <f>IFERROR(INDEX(PP_Grid[#Data],$DE1616,53),0)</f>
        <v/>
      </c>
      <c r="BE1616">
        <f>IFERROR(INDEX(PP_Grid[#Data],$DE1616,54),0)</f>
        <v/>
      </c>
      <c r="BF1616">
        <f>IFERROR(INDEX(PP_Grid[#Data],$DE1616,55),0)</f>
        <v/>
      </c>
      <c r="BG1616">
        <f>IFERROR(INDEX(PP_Grid[#Data],$DE1616,56),0)</f>
        <v/>
      </c>
      <c r="BH1616">
        <f>IFERROR(INDEX(PP_Grid[#Data],$DE1616,57),0)</f>
        <v/>
      </c>
      <c r="BI1616">
        <f>IFERROR(INDEX(PP_Grid[#Data],$DE1616,58),0)</f>
        <v/>
      </c>
      <c r="BJ1616">
        <f>IFERROR(INDEX(PP_Grid[#Data],$DE1616,59),0)</f>
        <v/>
      </c>
      <c r="BK1616">
        <f>IFERROR(INDEX(PP_Grid[#Data],$DE1616,60),0)</f>
        <v/>
      </c>
      <c r="BL1616">
        <f>IFERROR(INDEX(PP_Grid[#Data],$DE1616,61),0)</f>
        <v/>
      </c>
      <c r="BM1616">
        <f>IFERROR(INDEX(PP_Grid[#Data],$DE1616,62),0)</f>
        <v/>
      </c>
      <c r="BN1616">
        <f>IFERROR(INDEX(PP_Grid[#Data],$DE1616,63),0)</f>
        <v/>
      </c>
      <c r="BO1616">
        <f>IFERROR(INDEX(PP_Grid[#Data],$DE1616,64),0)</f>
        <v/>
      </c>
      <c r="BP1616">
        <f>IFERROR(INDEX(PP_Grid[#Data],$DE1616,65),0)</f>
        <v/>
      </c>
      <c r="BQ1616">
        <f>IFERROR(INDEX(PP_Grid[#Data],$DE1616,66),0)</f>
        <v/>
      </c>
      <c r="BR1616">
        <f>IFERROR(INDEX(PP_Grid[#Data],$DE1616,67),0)</f>
        <v/>
      </c>
      <c r="BS1616">
        <f>IFERROR(INDEX(PP_Grid[#Data],$DE1616,68),0)</f>
        <v/>
      </c>
      <c r="BT1616">
        <f>IFERROR(INDEX(PP_Grid[#Data],$DE1616,69),0)</f>
        <v/>
      </c>
      <c r="BU1616">
        <f>IFERROR(INDEX(PP_Grid[#Data],$DE1616,70),0)</f>
        <v/>
      </c>
      <c r="BV1616">
        <f>IFERROR(INDEX(PP_Grid[#Data],$DE1616,71),0)</f>
        <v/>
      </c>
      <c r="BW1616">
        <f>IFERROR(INDEX(PP_Grid[#Data],$DE1616,72),0)</f>
        <v/>
      </c>
      <c r="BX1616">
        <f>IFERROR(INDEX(PP_Grid[#Data],$DE1616,73),0)</f>
        <v/>
      </c>
      <c r="BY1616">
        <f>IFERROR(INDEX(PP_Grid[#Data],$DE1616,74),0)</f>
        <v/>
      </c>
      <c r="BZ1616">
        <f>IFERROR(INDEX(PP_Grid[#Data],$DE1616,75),0)</f>
        <v/>
      </c>
      <c r="CA1616">
        <f>IFERROR(INDEX(PP_Grid[#Data],$DE1616,76),0)</f>
        <v/>
      </c>
      <c r="CB1616">
        <f>IFERROR(INDEX(PP_Grid[#Data],$DE1616,77),0)</f>
        <v/>
      </c>
      <c r="CC1616">
        <f>IFERROR(INDEX(PP_Grid[#Data],$DE1616,78),0)</f>
        <v/>
      </c>
      <c r="CD1616">
        <f>IFERROR(INDEX(PP_Grid[#Data],$DE1616,79),0)</f>
        <v/>
      </c>
      <c r="CE1616">
        <f>IFERROR(INDEX(PP_Grid[#Data],$DE1616,80),0)</f>
        <v/>
      </c>
      <c r="CF1616">
        <f>IFERROR(INDEX(PP_Grid[#Data],$DE1616,81),0)</f>
        <v/>
      </c>
      <c r="CG1616">
        <f>IFERROR(INDEX(PP_Grid[#Data],$DE1616,82),0)</f>
        <v/>
      </c>
      <c r="CH1616">
        <f>IFERROR(INDEX(PP_Grid[#Data],$DE1616,83),0)</f>
        <v/>
      </c>
      <c r="CI1616">
        <f>IFERROR(INDEX(PP_Grid[#Data],$DE1616,84),0)</f>
        <v/>
      </c>
      <c r="CJ1616">
        <f>IFERROR(INDEX(PP_Grid[#Data],$DE1616,85),0)</f>
        <v/>
      </c>
      <c r="CK1616">
        <f>IFERROR(INDEX(PP_Grid[#Data],$DE1616,86),0)</f>
        <v/>
      </c>
      <c r="CL1616">
        <f>IFERROR(INDEX(PP_Grid[#Data],$DE1616,87),0)</f>
        <v/>
      </c>
      <c r="CM1616">
        <f>IFERROR(INDEX(PP_Grid[#Data],$DE1616,88),0)</f>
        <v/>
      </c>
      <c r="CN1616">
        <f>IFERROR(INDEX(PP_Grid[#Data],$DE1616,89),0)</f>
        <v/>
      </c>
      <c r="CO1616">
        <f>IFERROR(INDEX(PP_Grid[#Data],$DE1616,90),0)</f>
        <v/>
      </c>
      <c r="CP1616">
        <f>IFERROR(INDEX(PP_Grid[#Data],$DE1616,91),0)</f>
        <v/>
      </c>
      <c r="CQ1616">
        <f>IFERROR(INDEX(PP_Grid[#Data],$DE1616,92),0)</f>
        <v/>
      </c>
      <c r="CR1616">
        <f>IFERROR(INDEX(PP_Grid[#Data],$DE1616,93),0)</f>
        <v/>
      </c>
      <c r="CS1616">
        <f>IFERROR(INDEX(PP_Grid[#Data],$DE1616,94),0)</f>
        <v/>
      </c>
      <c r="CT1616">
        <f>IFERROR(INDEX(PP_Grid[#Data],$DE1616,95),0)</f>
        <v/>
      </c>
      <c r="CU1616">
        <f>IFERROR(INDEX(PP_Grid[#Data],$DE1616,96),0)</f>
        <v/>
      </c>
      <c r="CV1616">
        <f>IFERROR(INDEX(PP_Grid[#Data],$DE1616,97),0)</f>
        <v/>
      </c>
      <c r="CW1616">
        <f>IFERROR(INDEX(PP_Grid[#Data],$DE1616,98),0)</f>
        <v/>
      </c>
      <c r="CX1616">
        <f>IFERROR(INDEX(PP_Grid[#Data],$DE1616,99),0)</f>
        <v/>
      </c>
      <c r="CY1616">
        <f>IFERROR(INDEX(PP_Grid[#Data],$DE1616,100),0)</f>
        <v/>
      </c>
      <c r="CZ1616">
        <f>IFERROR(INDEX(PP_Grid[#Data],$DE1616,101),0)</f>
        <v/>
      </c>
      <c r="DA1616">
        <f>IFERROR(INDEX(PP_Grid[#Data],$DE1616,102),0)</f>
        <v/>
      </c>
      <c r="DB1616">
        <f>IFERROR(INDEX(PP_Grid[#Data],$DE1616,103),0)</f>
        <v/>
      </c>
      <c r="DC1616">
        <f>IFERROR(INDEX(PP_Grid[#Data],$DE1616,104),0)</f>
        <v/>
      </c>
      <c r="DD1616">
        <f>IFERROR(INDEX(PP_Grid[#Data],$DE1616,105),0)</f>
        <v/>
      </c>
      <c r="DE1616" s="7">
        <f>IFERROR(MATCH($B1616,PP_Grid[Intermediate],0),99999)</f>
        <v/>
      </c>
    </row>
    <row r="1617">
      <c r="B1617" t="inlineStr">
        <is>
          <t>使用量(kg)</t>
        </is>
      </c>
      <c r="C1617">
        <f>SUMIFS(M_BOM[RM_Qty_Per_Batch],M_BOM[Intermediate],$B1616,M_BOM[RM_Code],$A1603)</f>
        <v/>
      </c>
      <c r="D1617">
        <f>IFERROR(INDEX(E1617:DD1617,$F$1),"")</f>
        <v/>
      </c>
      <c r="E1617">
        <f>$C1617*E1616</f>
        <v/>
      </c>
      <c r="F1617">
        <f>$C1617*F1616</f>
        <v/>
      </c>
      <c r="G1617">
        <f>$C1617*G1616</f>
        <v/>
      </c>
      <c r="H1617">
        <f>$C1617*H1616</f>
        <v/>
      </c>
      <c r="I1617">
        <f>$C1617*I1616</f>
        <v/>
      </c>
      <c r="J1617">
        <f>$C1617*J1616</f>
        <v/>
      </c>
      <c r="K1617">
        <f>$C1617*K1616</f>
        <v/>
      </c>
      <c r="L1617">
        <f>$C1617*L1616</f>
        <v/>
      </c>
      <c r="M1617">
        <f>$C1617*M1616</f>
        <v/>
      </c>
      <c r="N1617">
        <f>$C1617*N1616</f>
        <v/>
      </c>
      <c r="O1617">
        <f>$C1617*O1616</f>
        <v/>
      </c>
      <c r="P1617">
        <f>$C1617*P1616</f>
        <v/>
      </c>
      <c r="Q1617">
        <f>$C1617*Q1616</f>
        <v/>
      </c>
      <c r="R1617">
        <f>$C1617*R1616</f>
        <v/>
      </c>
      <c r="S1617">
        <f>$C1617*S1616</f>
        <v/>
      </c>
      <c r="T1617">
        <f>$C1617*T1616</f>
        <v/>
      </c>
      <c r="U1617">
        <f>$C1617*U1616</f>
        <v/>
      </c>
      <c r="V1617">
        <f>$C1617*V1616</f>
        <v/>
      </c>
      <c r="W1617">
        <f>$C1617*W1616</f>
        <v/>
      </c>
      <c r="X1617">
        <f>$C1617*X1616</f>
        <v/>
      </c>
      <c r="Y1617">
        <f>$C1617*Y1616</f>
        <v/>
      </c>
      <c r="Z1617">
        <f>$C1617*Z1616</f>
        <v/>
      </c>
      <c r="AA1617">
        <f>$C1617*AA1616</f>
        <v/>
      </c>
      <c r="AB1617">
        <f>$C1617*AB1616</f>
        <v/>
      </c>
      <c r="AC1617">
        <f>$C1617*AC1616</f>
        <v/>
      </c>
      <c r="AD1617">
        <f>$C1617*AD1616</f>
        <v/>
      </c>
      <c r="AE1617">
        <f>$C1617*AE1616</f>
        <v/>
      </c>
      <c r="AF1617">
        <f>$C1617*AF1616</f>
        <v/>
      </c>
      <c r="AG1617">
        <f>$C1617*AG1616</f>
        <v/>
      </c>
      <c r="AH1617">
        <f>$C1617*AH1616</f>
        <v/>
      </c>
      <c r="AI1617">
        <f>$C1617*AI1616</f>
        <v/>
      </c>
      <c r="AJ1617">
        <f>$C1617*AJ1616</f>
        <v/>
      </c>
      <c r="AK1617">
        <f>$C1617*AK1616</f>
        <v/>
      </c>
      <c r="AL1617">
        <f>$C1617*AL1616</f>
        <v/>
      </c>
      <c r="AM1617">
        <f>$C1617*AM1616</f>
        <v/>
      </c>
      <c r="AN1617">
        <f>$C1617*AN1616</f>
        <v/>
      </c>
      <c r="AO1617">
        <f>$C1617*AO1616</f>
        <v/>
      </c>
      <c r="AP1617">
        <f>$C1617*AP1616</f>
        <v/>
      </c>
      <c r="AQ1617">
        <f>$C1617*AQ1616</f>
        <v/>
      </c>
      <c r="AR1617">
        <f>$C1617*AR1616</f>
        <v/>
      </c>
      <c r="AS1617">
        <f>$C1617*AS1616</f>
        <v/>
      </c>
      <c r="AT1617">
        <f>$C1617*AT1616</f>
        <v/>
      </c>
      <c r="AU1617">
        <f>$C1617*AU1616</f>
        <v/>
      </c>
      <c r="AV1617">
        <f>$C1617*AV1616</f>
        <v/>
      </c>
      <c r="AW1617">
        <f>$C1617*AW1616</f>
        <v/>
      </c>
      <c r="AX1617">
        <f>$C1617*AX1616</f>
        <v/>
      </c>
      <c r="AY1617">
        <f>$C1617*AY1616</f>
        <v/>
      </c>
      <c r="AZ1617">
        <f>$C1617*AZ1616</f>
        <v/>
      </c>
      <c r="BA1617">
        <f>$C1617*BA1616</f>
        <v/>
      </c>
      <c r="BB1617">
        <f>$C1617*BB1616</f>
        <v/>
      </c>
      <c r="BC1617">
        <f>$C1617*BC1616</f>
        <v/>
      </c>
      <c r="BD1617">
        <f>$C1617*BD1616</f>
        <v/>
      </c>
      <c r="BE1617">
        <f>$C1617*BE1616</f>
        <v/>
      </c>
      <c r="BF1617">
        <f>$C1617*BF1616</f>
        <v/>
      </c>
      <c r="BG1617">
        <f>$C1617*BG1616</f>
        <v/>
      </c>
      <c r="BH1617">
        <f>$C1617*BH1616</f>
        <v/>
      </c>
      <c r="BI1617">
        <f>$C1617*BI1616</f>
        <v/>
      </c>
      <c r="BJ1617">
        <f>$C1617*BJ1616</f>
        <v/>
      </c>
      <c r="BK1617">
        <f>$C1617*BK1616</f>
        <v/>
      </c>
      <c r="BL1617">
        <f>$C1617*BL1616</f>
        <v/>
      </c>
      <c r="BM1617">
        <f>$C1617*BM1616</f>
        <v/>
      </c>
      <c r="BN1617">
        <f>$C1617*BN1616</f>
        <v/>
      </c>
      <c r="BO1617">
        <f>$C1617*BO1616</f>
        <v/>
      </c>
      <c r="BP1617">
        <f>$C1617*BP1616</f>
        <v/>
      </c>
      <c r="BQ1617">
        <f>$C1617*BQ1616</f>
        <v/>
      </c>
      <c r="BR1617">
        <f>$C1617*BR1616</f>
        <v/>
      </c>
      <c r="BS1617">
        <f>$C1617*BS1616</f>
        <v/>
      </c>
      <c r="BT1617">
        <f>$C1617*BT1616</f>
        <v/>
      </c>
      <c r="BU1617">
        <f>$C1617*BU1616</f>
        <v/>
      </c>
      <c r="BV1617">
        <f>$C1617*BV1616</f>
        <v/>
      </c>
      <c r="BW1617">
        <f>$C1617*BW1616</f>
        <v/>
      </c>
      <c r="BX1617">
        <f>$C1617*BX1616</f>
        <v/>
      </c>
      <c r="BY1617">
        <f>$C1617*BY1616</f>
        <v/>
      </c>
      <c r="BZ1617">
        <f>$C1617*BZ1616</f>
        <v/>
      </c>
      <c r="CA1617">
        <f>$C1617*CA1616</f>
        <v/>
      </c>
      <c r="CB1617">
        <f>$C1617*CB1616</f>
        <v/>
      </c>
      <c r="CC1617">
        <f>$C1617*CC1616</f>
        <v/>
      </c>
      <c r="CD1617">
        <f>$C1617*CD1616</f>
        <v/>
      </c>
      <c r="CE1617">
        <f>$C1617*CE1616</f>
        <v/>
      </c>
      <c r="CF1617">
        <f>$C1617*CF1616</f>
        <v/>
      </c>
      <c r="CG1617">
        <f>$C1617*CG1616</f>
        <v/>
      </c>
      <c r="CH1617">
        <f>$C1617*CH1616</f>
        <v/>
      </c>
      <c r="CI1617">
        <f>$C1617*CI1616</f>
        <v/>
      </c>
      <c r="CJ1617">
        <f>$C1617*CJ1616</f>
        <v/>
      </c>
      <c r="CK1617">
        <f>$C1617*CK1616</f>
        <v/>
      </c>
      <c r="CL1617">
        <f>$C1617*CL1616</f>
        <v/>
      </c>
      <c r="CM1617">
        <f>$C1617*CM1616</f>
        <v/>
      </c>
      <c r="CN1617">
        <f>$C1617*CN1616</f>
        <v/>
      </c>
      <c r="CO1617">
        <f>$C1617*CO1616</f>
        <v/>
      </c>
      <c r="CP1617">
        <f>$C1617*CP1616</f>
        <v/>
      </c>
      <c r="CQ1617">
        <f>$C1617*CQ1616</f>
        <v/>
      </c>
      <c r="CR1617">
        <f>$C1617*CR1616</f>
        <v/>
      </c>
      <c r="CS1617">
        <f>$C1617*CS1616</f>
        <v/>
      </c>
      <c r="CT1617">
        <f>$C1617*CT1616</f>
        <v/>
      </c>
      <c r="CU1617">
        <f>$C1617*CU1616</f>
        <v/>
      </c>
      <c r="CV1617">
        <f>$C1617*CV1616</f>
        <v/>
      </c>
      <c r="CW1617">
        <f>$C1617*CW1616</f>
        <v/>
      </c>
      <c r="CX1617">
        <f>$C1617*CX1616</f>
        <v/>
      </c>
      <c r="CY1617">
        <f>$C1617*CY1616</f>
        <v/>
      </c>
      <c r="CZ1617">
        <f>$C1617*CZ1616</f>
        <v/>
      </c>
      <c r="DA1617">
        <f>$C1617*DA1616</f>
        <v/>
      </c>
      <c r="DB1617">
        <f>$C1617*DB1616</f>
        <v/>
      </c>
      <c r="DC1617">
        <f>$C1617*DC1616</f>
        <v/>
      </c>
      <c r="DD1617">
        <f>$C1617*DD1616</f>
        <v/>
      </c>
    </row>
    <row r="1618">
      <c r="B1618" t="inlineStr">
        <is>
          <t>TSP-1558</t>
        </is>
      </c>
      <c r="C1618" t="inlineStr">
        <is>
          <t>No. of batches</t>
        </is>
      </c>
      <c r="D1618">
        <f>IFERROR(INDEX(E1618:DD1618,$F$1),"")</f>
        <v/>
      </c>
      <c r="E1618">
        <f>IFERROR(INDEX(PP_Grid[#Data],$DE1618,2),0)</f>
        <v/>
      </c>
      <c r="F1618">
        <f>IFERROR(INDEX(PP_Grid[#Data],$DE1618,3),0)</f>
        <v/>
      </c>
      <c r="G1618">
        <f>IFERROR(INDEX(PP_Grid[#Data],$DE1618,4),0)</f>
        <v/>
      </c>
      <c r="H1618">
        <f>IFERROR(INDEX(PP_Grid[#Data],$DE1618,5),0)</f>
        <v/>
      </c>
      <c r="I1618">
        <f>IFERROR(INDEX(PP_Grid[#Data],$DE1618,6),0)</f>
        <v/>
      </c>
      <c r="J1618">
        <f>IFERROR(INDEX(PP_Grid[#Data],$DE1618,7),0)</f>
        <v/>
      </c>
      <c r="K1618">
        <f>IFERROR(INDEX(PP_Grid[#Data],$DE1618,8),0)</f>
        <v/>
      </c>
      <c r="L1618">
        <f>IFERROR(INDEX(PP_Grid[#Data],$DE1618,9),0)</f>
        <v/>
      </c>
      <c r="M1618">
        <f>IFERROR(INDEX(PP_Grid[#Data],$DE1618,10),0)</f>
        <v/>
      </c>
      <c r="N1618">
        <f>IFERROR(INDEX(PP_Grid[#Data],$DE1618,11),0)</f>
        <v/>
      </c>
      <c r="O1618">
        <f>IFERROR(INDEX(PP_Grid[#Data],$DE1618,12),0)</f>
        <v/>
      </c>
      <c r="P1618">
        <f>IFERROR(INDEX(PP_Grid[#Data],$DE1618,13),0)</f>
        <v/>
      </c>
      <c r="Q1618">
        <f>IFERROR(INDEX(PP_Grid[#Data],$DE1618,14),0)</f>
        <v/>
      </c>
      <c r="R1618">
        <f>IFERROR(INDEX(PP_Grid[#Data],$DE1618,15),0)</f>
        <v/>
      </c>
      <c r="S1618">
        <f>IFERROR(INDEX(PP_Grid[#Data],$DE1618,16),0)</f>
        <v/>
      </c>
      <c r="T1618">
        <f>IFERROR(INDEX(PP_Grid[#Data],$DE1618,17),0)</f>
        <v/>
      </c>
      <c r="U1618">
        <f>IFERROR(INDEX(PP_Grid[#Data],$DE1618,18),0)</f>
        <v/>
      </c>
      <c r="V1618">
        <f>IFERROR(INDEX(PP_Grid[#Data],$DE1618,19),0)</f>
        <v/>
      </c>
      <c r="W1618">
        <f>IFERROR(INDEX(PP_Grid[#Data],$DE1618,20),0)</f>
        <v/>
      </c>
      <c r="X1618">
        <f>IFERROR(INDEX(PP_Grid[#Data],$DE1618,21),0)</f>
        <v/>
      </c>
      <c r="Y1618">
        <f>IFERROR(INDEX(PP_Grid[#Data],$DE1618,22),0)</f>
        <v/>
      </c>
      <c r="Z1618">
        <f>IFERROR(INDEX(PP_Grid[#Data],$DE1618,23),0)</f>
        <v/>
      </c>
      <c r="AA1618">
        <f>IFERROR(INDEX(PP_Grid[#Data],$DE1618,24),0)</f>
        <v/>
      </c>
      <c r="AB1618">
        <f>IFERROR(INDEX(PP_Grid[#Data],$DE1618,25),0)</f>
        <v/>
      </c>
      <c r="AC1618">
        <f>IFERROR(INDEX(PP_Grid[#Data],$DE1618,26),0)</f>
        <v/>
      </c>
      <c r="AD1618">
        <f>IFERROR(INDEX(PP_Grid[#Data],$DE1618,27),0)</f>
        <v/>
      </c>
      <c r="AE1618">
        <f>IFERROR(INDEX(PP_Grid[#Data],$DE1618,28),0)</f>
        <v/>
      </c>
      <c r="AF1618">
        <f>IFERROR(INDEX(PP_Grid[#Data],$DE1618,29),0)</f>
        <v/>
      </c>
      <c r="AG1618">
        <f>IFERROR(INDEX(PP_Grid[#Data],$DE1618,30),0)</f>
        <v/>
      </c>
      <c r="AH1618">
        <f>IFERROR(INDEX(PP_Grid[#Data],$DE1618,31),0)</f>
        <v/>
      </c>
      <c r="AI1618">
        <f>IFERROR(INDEX(PP_Grid[#Data],$DE1618,32),0)</f>
        <v/>
      </c>
      <c r="AJ1618">
        <f>IFERROR(INDEX(PP_Grid[#Data],$DE1618,33),0)</f>
        <v/>
      </c>
      <c r="AK1618">
        <f>IFERROR(INDEX(PP_Grid[#Data],$DE1618,34),0)</f>
        <v/>
      </c>
      <c r="AL1618">
        <f>IFERROR(INDEX(PP_Grid[#Data],$DE1618,35),0)</f>
        <v/>
      </c>
      <c r="AM1618">
        <f>IFERROR(INDEX(PP_Grid[#Data],$DE1618,36),0)</f>
        <v/>
      </c>
      <c r="AN1618">
        <f>IFERROR(INDEX(PP_Grid[#Data],$DE1618,37),0)</f>
        <v/>
      </c>
      <c r="AO1618">
        <f>IFERROR(INDEX(PP_Grid[#Data],$DE1618,38),0)</f>
        <v/>
      </c>
      <c r="AP1618">
        <f>IFERROR(INDEX(PP_Grid[#Data],$DE1618,39),0)</f>
        <v/>
      </c>
      <c r="AQ1618">
        <f>IFERROR(INDEX(PP_Grid[#Data],$DE1618,40),0)</f>
        <v/>
      </c>
      <c r="AR1618">
        <f>IFERROR(INDEX(PP_Grid[#Data],$DE1618,41),0)</f>
        <v/>
      </c>
      <c r="AS1618">
        <f>IFERROR(INDEX(PP_Grid[#Data],$DE1618,42),0)</f>
        <v/>
      </c>
      <c r="AT1618">
        <f>IFERROR(INDEX(PP_Grid[#Data],$DE1618,43),0)</f>
        <v/>
      </c>
      <c r="AU1618">
        <f>IFERROR(INDEX(PP_Grid[#Data],$DE1618,44),0)</f>
        <v/>
      </c>
      <c r="AV1618">
        <f>IFERROR(INDEX(PP_Grid[#Data],$DE1618,45),0)</f>
        <v/>
      </c>
      <c r="AW1618">
        <f>IFERROR(INDEX(PP_Grid[#Data],$DE1618,46),0)</f>
        <v/>
      </c>
      <c r="AX1618">
        <f>IFERROR(INDEX(PP_Grid[#Data],$DE1618,47),0)</f>
        <v/>
      </c>
      <c r="AY1618">
        <f>IFERROR(INDEX(PP_Grid[#Data],$DE1618,48),0)</f>
        <v/>
      </c>
      <c r="AZ1618">
        <f>IFERROR(INDEX(PP_Grid[#Data],$DE1618,49),0)</f>
        <v/>
      </c>
      <c r="BA1618">
        <f>IFERROR(INDEX(PP_Grid[#Data],$DE1618,50),0)</f>
        <v/>
      </c>
      <c r="BB1618">
        <f>IFERROR(INDEX(PP_Grid[#Data],$DE1618,51),0)</f>
        <v/>
      </c>
      <c r="BC1618">
        <f>IFERROR(INDEX(PP_Grid[#Data],$DE1618,52),0)</f>
        <v/>
      </c>
      <c r="BD1618">
        <f>IFERROR(INDEX(PP_Grid[#Data],$DE1618,53),0)</f>
        <v/>
      </c>
      <c r="BE1618">
        <f>IFERROR(INDEX(PP_Grid[#Data],$DE1618,54),0)</f>
        <v/>
      </c>
      <c r="BF1618">
        <f>IFERROR(INDEX(PP_Grid[#Data],$DE1618,55),0)</f>
        <v/>
      </c>
      <c r="BG1618">
        <f>IFERROR(INDEX(PP_Grid[#Data],$DE1618,56),0)</f>
        <v/>
      </c>
      <c r="BH1618">
        <f>IFERROR(INDEX(PP_Grid[#Data],$DE1618,57),0)</f>
        <v/>
      </c>
      <c r="BI1618">
        <f>IFERROR(INDEX(PP_Grid[#Data],$DE1618,58),0)</f>
        <v/>
      </c>
      <c r="BJ1618">
        <f>IFERROR(INDEX(PP_Grid[#Data],$DE1618,59),0)</f>
        <v/>
      </c>
      <c r="BK1618">
        <f>IFERROR(INDEX(PP_Grid[#Data],$DE1618,60),0)</f>
        <v/>
      </c>
      <c r="BL1618">
        <f>IFERROR(INDEX(PP_Grid[#Data],$DE1618,61),0)</f>
        <v/>
      </c>
      <c r="BM1618">
        <f>IFERROR(INDEX(PP_Grid[#Data],$DE1618,62),0)</f>
        <v/>
      </c>
      <c r="BN1618">
        <f>IFERROR(INDEX(PP_Grid[#Data],$DE1618,63),0)</f>
        <v/>
      </c>
      <c r="BO1618">
        <f>IFERROR(INDEX(PP_Grid[#Data],$DE1618,64),0)</f>
        <v/>
      </c>
      <c r="BP1618">
        <f>IFERROR(INDEX(PP_Grid[#Data],$DE1618,65),0)</f>
        <v/>
      </c>
      <c r="BQ1618">
        <f>IFERROR(INDEX(PP_Grid[#Data],$DE1618,66),0)</f>
        <v/>
      </c>
      <c r="BR1618">
        <f>IFERROR(INDEX(PP_Grid[#Data],$DE1618,67),0)</f>
        <v/>
      </c>
      <c r="BS1618">
        <f>IFERROR(INDEX(PP_Grid[#Data],$DE1618,68),0)</f>
        <v/>
      </c>
      <c r="BT1618">
        <f>IFERROR(INDEX(PP_Grid[#Data],$DE1618,69),0)</f>
        <v/>
      </c>
      <c r="BU1618">
        <f>IFERROR(INDEX(PP_Grid[#Data],$DE1618,70),0)</f>
        <v/>
      </c>
      <c r="BV1618">
        <f>IFERROR(INDEX(PP_Grid[#Data],$DE1618,71),0)</f>
        <v/>
      </c>
      <c r="BW1618">
        <f>IFERROR(INDEX(PP_Grid[#Data],$DE1618,72),0)</f>
        <v/>
      </c>
      <c r="BX1618">
        <f>IFERROR(INDEX(PP_Grid[#Data],$DE1618,73),0)</f>
        <v/>
      </c>
      <c r="BY1618">
        <f>IFERROR(INDEX(PP_Grid[#Data],$DE1618,74),0)</f>
        <v/>
      </c>
      <c r="BZ1618">
        <f>IFERROR(INDEX(PP_Grid[#Data],$DE1618,75),0)</f>
        <v/>
      </c>
      <c r="CA1618">
        <f>IFERROR(INDEX(PP_Grid[#Data],$DE1618,76),0)</f>
        <v/>
      </c>
      <c r="CB1618">
        <f>IFERROR(INDEX(PP_Grid[#Data],$DE1618,77),0)</f>
        <v/>
      </c>
      <c r="CC1618">
        <f>IFERROR(INDEX(PP_Grid[#Data],$DE1618,78),0)</f>
        <v/>
      </c>
      <c r="CD1618">
        <f>IFERROR(INDEX(PP_Grid[#Data],$DE1618,79),0)</f>
        <v/>
      </c>
      <c r="CE1618">
        <f>IFERROR(INDEX(PP_Grid[#Data],$DE1618,80),0)</f>
        <v/>
      </c>
      <c r="CF1618">
        <f>IFERROR(INDEX(PP_Grid[#Data],$DE1618,81),0)</f>
        <v/>
      </c>
      <c r="CG1618">
        <f>IFERROR(INDEX(PP_Grid[#Data],$DE1618,82),0)</f>
        <v/>
      </c>
      <c r="CH1618">
        <f>IFERROR(INDEX(PP_Grid[#Data],$DE1618,83),0)</f>
        <v/>
      </c>
      <c r="CI1618">
        <f>IFERROR(INDEX(PP_Grid[#Data],$DE1618,84),0)</f>
        <v/>
      </c>
      <c r="CJ1618">
        <f>IFERROR(INDEX(PP_Grid[#Data],$DE1618,85),0)</f>
        <v/>
      </c>
      <c r="CK1618">
        <f>IFERROR(INDEX(PP_Grid[#Data],$DE1618,86),0)</f>
        <v/>
      </c>
      <c r="CL1618">
        <f>IFERROR(INDEX(PP_Grid[#Data],$DE1618,87),0)</f>
        <v/>
      </c>
      <c r="CM1618">
        <f>IFERROR(INDEX(PP_Grid[#Data],$DE1618,88),0)</f>
        <v/>
      </c>
      <c r="CN1618">
        <f>IFERROR(INDEX(PP_Grid[#Data],$DE1618,89),0)</f>
        <v/>
      </c>
      <c r="CO1618">
        <f>IFERROR(INDEX(PP_Grid[#Data],$DE1618,90),0)</f>
        <v/>
      </c>
      <c r="CP1618">
        <f>IFERROR(INDEX(PP_Grid[#Data],$DE1618,91),0)</f>
        <v/>
      </c>
      <c r="CQ1618">
        <f>IFERROR(INDEX(PP_Grid[#Data],$DE1618,92),0)</f>
        <v/>
      </c>
      <c r="CR1618">
        <f>IFERROR(INDEX(PP_Grid[#Data],$DE1618,93),0)</f>
        <v/>
      </c>
      <c r="CS1618">
        <f>IFERROR(INDEX(PP_Grid[#Data],$DE1618,94),0)</f>
        <v/>
      </c>
      <c r="CT1618">
        <f>IFERROR(INDEX(PP_Grid[#Data],$DE1618,95),0)</f>
        <v/>
      </c>
      <c r="CU1618">
        <f>IFERROR(INDEX(PP_Grid[#Data],$DE1618,96),0)</f>
        <v/>
      </c>
      <c r="CV1618">
        <f>IFERROR(INDEX(PP_Grid[#Data],$DE1618,97),0)</f>
        <v/>
      </c>
      <c r="CW1618">
        <f>IFERROR(INDEX(PP_Grid[#Data],$DE1618,98),0)</f>
        <v/>
      </c>
      <c r="CX1618">
        <f>IFERROR(INDEX(PP_Grid[#Data],$DE1618,99),0)</f>
        <v/>
      </c>
      <c r="CY1618">
        <f>IFERROR(INDEX(PP_Grid[#Data],$DE1618,100),0)</f>
        <v/>
      </c>
      <c r="CZ1618">
        <f>IFERROR(INDEX(PP_Grid[#Data],$DE1618,101),0)</f>
        <v/>
      </c>
      <c r="DA1618">
        <f>IFERROR(INDEX(PP_Grid[#Data],$DE1618,102),0)</f>
        <v/>
      </c>
      <c r="DB1618">
        <f>IFERROR(INDEX(PP_Grid[#Data],$DE1618,103),0)</f>
        <v/>
      </c>
      <c r="DC1618">
        <f>IFERROR(INDEX(PP_Grid[#Data],$DE1618,104),0)</f>
        <v/>
      </c>
      <c r="DD1618">
        <f>IFERROR(INDEX(PP_Grid[#Data],$DE1618,105),0)</f>
        <v/>
      </c>
      <c r="DE1618" s="7">
        <f>IFERROR(MATCH($B1618,PP_Grid[Intermediate],0),99999)</f>
        <v/>
      </c>
    </row>
    <row r="1619">
      <c r="B1619" t="inlineStr">
        <is>
          <t>使用量(kg)</t>
        </is>
      </c>
      <c r="C1619">
        <f>SUMIFS(M_BOM[RM_Qty_Per_Batch],M_BOM[Intermediate],$B1618,M_BOM[RM_Code],$A1603)</f>
        <v/>
      </c>
      <c r="D1619">
        <f>IFERROR(INDEX(E1619:DD1619,$F$1),"")</f>
        <v/>
      </c>
      <c r="E1619">
        <f>$C1619*E1618</f>
        <v/>
      </c>
      <c r="F1619">
        <f>$C1619*F1618</f>
        <v/>
      </c>
      <c r="G1619">
        <f>$C1619*G1618</f>
        <v/>
      </c>
      <c r="H1619">
        <f>$C1619*H1618</f>
        <v/>
      </c>
      <c r="I1619">
        <f>$C1619*I1618</f>
        <v/>
      </c>
      <c r="J1619">
        <f>$C1619*J1618</f>
        <v/>
      </c>
      <c r="K1619">
        <f>$C1619*K1618</f>
        <v/>
      </c>
      <c r="L1619">
        <f>$C1619*L1618</f>
        <v/>
      </c>
      <c r="M1619">
        <f>$C1619*M1618</f>
        <v/>
      </c>
      <c r="N1619">
        <f>$C1619*N1618</f>
        <v/>
      </c>
      <c r="O1619">
        <f>$C1619*O1618</f>
        <v/>
      </c>
      <c r="P1619">
        <f>$C1619*P1618</f>
        <v/>
      </c>
      <c r="Q1619">
        <f>$C1619*Q1618</f>
        <v/>
      </c>
      <c r="R1619">
        <f>$C1619*R1618</f>
        <v/>
      </c>
      <c r="S1619">
        <f>$C1619*S1618</f>
        <v/>
      </c>
      <c r="T1619">
        <f>$C1619*T1618</f>
        <v/>
      </c>
      <c r="U1619">
        <f>$C1619*U1618</f>
        <v/>
      </c>
      <c r="V1619">
        <f>$C1619*V1618</f>
        <v/>
      </c>
      <c r="W1619">
        <f>$C1619*W1618</f>
        <v/>
      </c>
      <c r="X1619">
        <f>$C1619*X1618</f>
        <v/>
      </c>
      <c r="Y1619">
        <f>$C1619*Y1618</f>
        <v/>
      </c>
      <c r="Z1619">
        <f>$C1619*Z1618</f>
        <v/>
      </c>
      <c r="AA1619">
        <f>$C1619*AA1618</f>
        <v/>
      </c>
      <c r="AB1619">
        <f>$C1619*AB1618</f>
        <v/>
      </c>
      <c r="AC1619">
        <f>$C1619*AC1618</f>
        <v/>
      </c>
      <c r="AD1619">
        <f>$C1619*AD1618</f>
        <v/>
      </c>
      <c r="AE1619">
        <f>$C1619*AE1618</f>
        <v/>
      </c>
      <c r="AF1619">
        <f>$C1619*AF1618</f>
        <v/>
      </c>
      <c r="AG1619">
        <f>$C1619*AG1618</f>
        <v/>
      </c>
      <c r="AH1619">
        <f>$C1619*AH1618</f>
        <v/>
      </c>
      <c r="AI1619">
        <f>$C1619*AI1618</f>
        <v/>
      </c>
      <c r="AJ1619">
        <f>$C1619*AJ1618</f>
        <v/>
      </c>
      <c r="AK1619">
        <f>$C1619*AK1618</f>
        <v/>
      </c>
      <c r="AL1619">
        <f>$C1619*AL1618</f>
        <v/>
      </c>
      <c r="AM1619">
        <f>$C1619*AM1618</f>
        <v/>
      </c>
      <c r="AN1619">
        <f>$C1619*AN1618</f>
        <v/>
      </c>
      <c r="AO1619">
        <f>$C1619*AO1618</f>
        <v/>
      </c>
      <c r="AP1619">
        <f>$C1619*AP1618</f>
        <v/>
      </c>
      <c r="AQ1619">
        <f>$C1619*AQ1618</f>
        <v/>
      </c>
      <c r="AR1619">
        <f>$C1619*AR1618</f>
        <v/>
      </c>
      <c r="AS1619">
        <f>$C1619*AS1618</f>
        <v/>
      </c>
      <c r="AT1619">
        <f>$C1619*AT1618</f>
        <v/>
      </c>
      <c r="AU1619">
        <f>$C1619*AU1618</f>
        <v/>
      </c>
      <c r="AV1619">
        <f>$C1619*AV1618</f>
        <v/>
      </c>
      <c r="AW1619">
        <f>$C1619*AW1618</f>
        <v/>
      </c>
      <c r="AX1619">
        <f>$C1619*AX1618</f>
        <v/>
      </c>
      <c r="AY1619">
        <f>$C1619*AY1618</f>
        <v/>
      </c>
      <c r="AZ1619">
        <f>$C1619*AZ1618</f>
        <v/>
      </c>
      <c r="BA1619">
        <f>$C1619*BA1618</f>
        <v/>
      </c>
      <c r="BB1619">
        <f>$C1619*BB1618</f>
        <v/>
      </c>
      <c r="BC1619">
        <f>$C1619*BC1618</f>
        <v/>
      </c>
      <c r="BD1619">
        <f>$C1619*BD1618</f>
        <v/>
      </c>
      <c r="BE1619">
        <f>$C1619*BE1618</f>
        <v/>
      </c>
      <c r="BF1619">
        <f>$C1619*BF1618</f>
        <v/>
      </c>
      <c r="BG1619">
        <f>$C1619*BG1618</f>
        <v/>
      </c>
      <c r="BH1619">
        <f>$C1619*BH1618</f>
        <v/>
      </c>
      <c r="BI1619">
        <f>$C1619*BI1618</f>
        <v/>
      </c>
      <c r="BJ1619">
        <f>$C1619*BJ1618</f>
        <v/>
      </c>
      <c r="BK1619">
        <f>$C1619*BK1618</f>
        <v/>
      </c>
      <c r="BL1619">
        <f>$C1619*BL1618</f>
        <v/>
      </c>
      <c r="BM1619">
        <f>$C1619*BM1618</f>
        <v/>
      </c>
      <c r="BN1619">
        <f>$C1619*BN1618</f>
        <v/>
      </c>
      <c r="BO1619">
        <f>$C1619*BO1618</f>
        <v/>
      </c>
      <c r="BP1619">
        <f>$C1619*BP1618</f>
        <v/>
      </c>
      <c r="BQ1619">
        <f>$C1619*BQ1618</f>
        <v/>
      </c>
      <c r="BR1619">
        <f>$C1619*BR1618</f>
        <v/>
      </c>
      <c r="BS1619">
        <f>$C1619*BS1618</f>
        <v/>
      </c>
      <c r="BT1619">
        <f>$C1619*BT1618</f>
        <v/>
      </c>
      <c r="BU1619">
        <f>$C1619*BU1618</f>
        <v/>
      </c>
      <c r="BV1619">
        <f>$C1619*BV1618</f>
        <v/>
      </c>
      <c r="BW1619">
        <f>$C1619*BW1618</f>
        <v/>
      </c>
      <c r="BX1619">
        <f>$C1619*BX1618</f>
        <v/>
      </c>
      <c r="BY1619">
        <f>$C1619*BY1618</f>
        <v/>
      </c>
      <c r="BZ1619">
        <f>$C1619*BZ1618</f>
        <v/>
      </c>
      <c r="CA1619">
        <f>$C1619*CA1618</f>
        <v/>
      </c>
      <c r="CB1619">
        <f>$C1619*CB1618</f>
        <v/>
      </c>
      <c r="CC1619">
        <f>$C1619*CC1618</f>
        <v/>
      </c>
      <c r="CD1619">
        <f>$C1619*CD1618</f>
        <v/>
      </c>
      <c r="CE1619">
        <f>$C1619*CE1618</f>
        <v/>
      </c>
      <c r="CF1619">
        <f>$C1619*CF1618</f>
        <v/>
      </c>
      <c r="CG1619">
        <f>$C1619*CG1618</f>
        <v/>
      </c>
      <c r="CH1619">
        <f>$C1619*CH1618</f>
        <v/>
      </c>
      <c r="CI1619">
        <f>$C1619*CI1618</f>
        <v/>
      </c>
      <c r="CJ1619">
        <f>$C1619*CJ1618</f>
        <v/>
      </c>
      <c r="CK1619">
        <f>$C1619*CK1618</f>
        <v/>
      </c>
      <c r="CL1619">
        <f>$C1619*CL1618</f>
        <v/>
      </c>
      <c r="CM1619">
        <f>$C1619*CM1618</f>
        <v/>
      </c>
      <c r="CN1619">
        <f>$C1619*CN1618</f>
        <v/>
      </c>
      <c r="CO1619">
        <f>$C1619*CO1618</f>
        <v/>
      </c>
      <c r="CP1619">
        <f>$C1619*CP1618</f>
        <v/>
      </c>
      <c r="CQ1619">
        <f>$C1619*CQ1618</f>
        <v/>
      </c>
      <c r="CR1619">
        <f>$C1619*CR1618</f>
        <v/>
      </c>
      <c r="CS1619">
        <f>$C1619*CS1618</f>
        <v/>
      </c>
      <c r="CT1619">
        <f>$C1619*CT1618</f>
        <v/>
      </c>
      <c r="CU1619">
        <f>$C1619*CU1618</f>
        <v/>
      </c>
      <c r="CV1619">
        <f>$C1619*CV1618</f>
        <v/>
      </c>
      <c r="CW1619">
        <f>$C1619*CW1618</f>
        <v/>
      </c>
      <c r="CX1619">
        <f>$C1619*CX1618</f>
        <v/>
      </c>
      <c r="CY1619">
        <f>$C1619*CY1618</f>
        <v/>
      </c>
      <c r="CZ1619">
        <f>$C1619*CZ1618</f>
        <v/>
      </c>
      <c r="DA1619">
        <f>$C1619*DA1618</f>
        <v/>
      </c>
      <c r="DB1619">
        <f>$C1619*DB1618</f>
        <v/>
      </c>
      <c r="DC1619">
        <f>$C1619*DC1618</f>
        <v/>
      </c>
      <c r="DD1619">
        <f>$C1619*DD1618</f>
        <v/>
      </c>
    </row>
    <row r="1620">
      <c r="B1620" t="inlineStr">
        <is>
          <t>TSP-655</t>
        </is>
      </c>
      <c r="C1620" t="inlineStr">
        <is>
          <t>No. of batches</t>
        </is>
      </c>
      <c r="D1620">
        <f>IFERROR(INDEX(E1620:DD1620,$F$1),"")</f>
        <v/>
      </c>
      <c r="E1620">
        <f>IFERROR(INDEX(PP_Grid[#Data],$DE1620,2),0)</f>
        <v/>
      </c>
      <c r="F1620">
        <f>IFERROR(INDEX(PP_Grid[#Data],$DE1620,3),0)</f>
        <v/>
      </c>
      <c r="G1620">
        <f>IFERROR(INDEX(PP_Grid[#Data],$DE1620,4),0)</f>
        <v/>
      </c>
      <c r="H1620">
        <f>IFERROR(INDEX(PP_Grid[#Data],$DE1620,5),0)</f>
        <v/>
      </c>
      <c r="I1620">
        <f>IFERROR(INDEX(PP_Grid[#Data],$DE1620,6),0)</f>
        <v/>
      </c>
      <c r="J1620">
        <f>IFERROR(INDEX(PP_Grid[#Data],$DE1620,7),0)</f>
        <v/>
      </c>
      <c r="K1620">
        <f>IFERROR(INDEX(PP_Grid[#Data],$DE1620,8),0)</f>
        <v/>
      </c>
      <c r="L1620">
        <f>IFERROR(INDEX(PP_Grid[#Data],$DE1620,9),0)</f>
        <v/>
      </c>
      <c r="M1620">
        <f>IFERROR(INDEX(PP_Grid[#Data],$DE1620,10),0)</f>
        <v/>
      </c>
      <c r="N1620">
        <f>IFERROR(INDEX(PP_Grid[#Data],$DE1620,11),0)</f>
        <v/>
      </c>
      <c r="O1620">
        <f>IFERROR(INDEX(PP_Grid[#Data],$DE1620,12),0)</f>
        <v/>
      </c>
      <c r="P1620">
        <f>IFERROR(INDEX(PP_Grid[#Data],$DE1620,13),0)</f>
        <v/>
      </c>
      <c r="Q1620">
        <f>IFERROR(INDEX(PP_Grid[#Data],$DE1620,14),0)</f>
        <v/>
      </c>
      <c r="R1620">
        <f>IFERROR(INDEX(PP_Grid[#Data],$DE1620,15),0)</f>
        <v/>
      </c>
      <c r="S1620">
        <f>IFERROR(INDEX(PP_Grid[#Data],$DE1620,16),0)</f>
        <v/>
      </c>
      <c r="T1620">
        <f>IFERROR(INDEX(PP_Grid[#Data],$DE1620,17),0)</f>
        <v/>
      </c>
      <c r="U1620">
        <f>IFERROR(INDEX(PP_Grid[#Data],$DE1620,18),0)</f>
        <v/>
      </c>
      <c r="V1620">
        <f>IFERROR(INDEX(PP_Grid[#Data],$DE1620,19),0)</f>
        <v/>
      </c>
      <c r="W1620">
        <f>IFERROR(INDEX(PP_Grid[#Data],$DE1620,20),0)</f>
        <v/>
      </c>
      <c r="X1620">
        <f>IFERROR(INDEX(PP_Grid[#Data],$DE1620,21),0)</f>
        <v/>
      </c>
      <c r="Y1620">
        <f>IFERROR(INDEX(PP_Grid[#Data],$DE1620,22),0)</f>
        <v/>
      </c>
      <c r="Z1620">
        <f>IFERROR(INDEX(PP_Grid[#Data],$DE1620,23),0)</f>
        <v/>
      </c>
      <c r="AA1620">
        <f>IFERROR(INDEX(PP_Grid[#Data],$DE1620,24),0)</f>
        <v/>
      </c>
      <c r="AB1620">
        <f>IFERROR(INDEX(PP_Grid[#Data],$DE1620,25),0)</f>
        <v/>
      </c>
      <c r="AC1620">
        <f>IFERROR(INDEX(PP_Grid[#Data],$DE1620,26),0)</f>
        <v/>
      </c>
      <c r="AD1620">
        <f>IFERROR(INDEX(PP_Grid[#Data],$DE1620,27),0)</f>
        <v/>
      </c>
      <c r="AE1620">
        <f>IFERROR(INDEX(PP_Grid[#Data],$DE1620,28),0)</f>
        <v/>
      </c>
      <c r="AF1620">
        <f>IFERROR(INDEX(PP_Grid[#Data],$DE1620,29),0)</f>
        <v/>
      </c>
      <c r="AG1620">
        <f>IFERROR(INDEX(PP_Grid[#Data],$DE1620,30),0)</f>
        <v/>
      </c>
      <c r="AH1620">
        <f>IFERROR(INDEX(PP_Grid[#Data],$DE1620,31),0)</f>
        <v/>
      </c>
      <c r="AI1620">
        <f>IFERROR(INDEX(PP_Grid[#Data],$DE1620,32),0)</f>
        <v/>
      </c>
      <c r="AJ1620">
        <f>IFERROR(INDEX(PP_Grid[#Data],$DE1620,33),0)</f>
        <v/>
      </c>
      <c r="AK1620">
        <f>IFERROR(INDEX(PP_Grid[#Data],$DE1620,34),0)</f>
        <v/>
      </c>
      <c r="AL1620">
        <f>IFERROR(INDEX(PP_Grid[#Data],$DE1620,35),0)</f>
        <v/>
      </c>
      <c r="AM1620">
        <f>IFERROR(INDEX(PP_Grid[#Data],$DE1620,36),0)</f>
        <v/>
      </c>
      <c r="AN1620">
        <f>IFERROR(INDEX(PP_Grid[#Data],$DE1620,37),0)</f>
        <v/>
      </c>
      <c r="AO1620">
        <f>IFERROR(INDEX(PP_Grid[#Data],$DE1620,38),0)</f>
        <v/>
      </c>
      <c r="AP1620">
        <f>IFERROR(INDEX(PP_Grid[#Data],$DE1620,39),0)</f>
        <v/>
      </c>
      <c r="AQ1620">
        <f>IFERROR(INDEX(PP_Grid[#Data],$DE1620,40),0)</f>
        <v/>
      </c>
      <c r="AR1620">
        <f>IFERROR(INDEX(PP_Grid[#Data],$DE1620,41),0)</f>
        <v/>
      </c>
      <c r="AS1620">
        <f>IFERROR(INDEX(PP_Grid[#Data],$DE1620,42),0)</f>
        <v/>
      </c>
      <c r="AT1620">
        <f>IFERROR(INDEX(PP_Grid[#Data],$DE1620,43),0)</f>
        <v/>
      </c>
      <c r="AU1620">
        <f>IFERROR(INDEX(PP_Grid[#Data],$DE1620,44),0)</f>
        <v/>
      </c>
      <c r="AV1620">
        <f>IFERROR(INDEX(PP_Grid[#Data],$DE1620,45),0)</f>
        <v/>
      </c>
      <c r="AW1620">
        <f>IFERROR(INDEX(PP_Grid[#Data],$DE1620,46),0)</f>
        <v/>
      </c>
      <c r="AX1620">
        <f>IFERROR(INDEX(PP_Grid[#Data],$DE1620,47),0)</f>
        <v/>
      </c>
      <c r="AY1620">
        <f>IFERROR(INDEX(PP_Grid[#Data],$DE1620,48),0)</f>
        <v/>
      </c>
      <c r="AZ1620">
        <f>IFERROR(INDEX(PP_Grid[#Data],$DE1620,49),0)</f>
        <v/>
      </c>
      <c r="BA1620">
        <f>IFERROR(INDEX(PP_Grid[#Data],$DE1620,50),0)</f>
        <v/>
      </c>
      <c r="BB1620">
        <f>IFERROR(INDEX(PP_Grid[#Data],$DE1620,51),0)</f>
        <v/>
      </c>
      <c r="BC1620">
        <f>IFERROR(INDEX(PP_Grid[#Data],$DE1620,52),0)</f>
        <v/>
      </c>
      <c r="BD1620">
        <f>IFERROR(INDEX(PP_Grid[#Data],$DE1620,53),0)</f>
        <v/>
      </c>
      <c r="BE1620">
        <f>IFERROR(INDEX(PP_Grid[#Data],$DE1620,54),0)</f>
        <v/>
      </c>
      <c r="BF1620">
        <f>IFERROR(INDEX(PP_Grid[#Data],$DE1620,55),0)</f>
        <v/>
      </c>
      <c r="BG1620">
        <f>IFERROR(INDEX(PP_Grid[#Data],$DE1620,56),0)</f>
        <v/>
      </c>
      <c r="BH1620">
        <f>IFERROR(INDEX(PP_Grid[#Data],$DE1620,57),0)</f>
        <v/>
      </c>
      <c r="BI1620">
        <f>IFERROR(INDEX(PP_Grid[#Data],$DE1620,58),0)</f>
        <v/>
      </c>
      <c r="BJ1620">
        <f>IFERROR(INDEX(PP_Grid[#Data],$DE1620,59),0)</f>
        <v/>
      </c>
      <c r="BK1620">
        <f>IFERROR(INDEX(PP_Grid[#Data],$DE1620,60),0)</f>
        <v/>
      </c>
      <c r="BL1620">
        <f>IFERROR(INDEX(PP_Grid[#Data],$DE1620,61),0)</f>
        <v/>
      </c>
      <c r="BM1620">
        <f>IFERROR(INDEX(PP_Grid[#Data],$DE1620,62),0)</f>
        <v/>
      </c>
      <c r="BN1620">
        <f>IFERROR(INDEX(PP_Grid[#Data],$DE1620,63),0)</f>
        <v/>
      </c>
      <c r="BO1620">
        <f>IFERROR(INDEX(PP_Grid[#Data],$DE1620,64),0)</f>
        <v/>
      </c>
      <c r="BP1620">
        <f>IFERROR(INDEX(PP_Grid[#Data],$DE1620,65),0)</f>
        <v/>
      </c>
      <c r="BQ1620">
        <f>IFERROR(INDEX(PP_Grid[#Data],$DE1620,66),0)</f>
        <v/>
      </c>
      <c r="BR1620">
        <f>IFERROR(INDEX(PP_Grid[#Data],$DE1620,67),0)</f>
        <v/>
      </c>
      <c r="BS1620">
        <f>IFERROR(INDEX(PP_Grid[#Data],$DE1620,68),0)</f>
        <v/>
      </c>
      <c r="BT1620">
        <f>IFERROR(INDEX(PP_Grid[#Data],$DE1620,69),0)</f>
        <v/>
      </c>
      <c r="BU1620">
        <f>IFERROR(INDEX(PP_Grid[#Data],$DE1620,70),0)</f>
        <v/>
      </c>
      <c r="BV1620">
        <f>IFERROR(INDEX(PP_Grid[#Data],$DE1620,71),0)</f>
        <v/>
      </c>
      <c r="BW1620">
        <f>IFERROR(INDEX(PP_Grid[#Data],$DE1620,72),0)</f>
        <v/>
      </c>
      <c r="BX1620">
        <f>IFERROR(INDEX(PP_Grid[#Data],$DE1620,73),0)</f>
        <v/>
      </c>
      <c r="BY1620">
        <f>IFERROR(INDEX(PP_Grid[#Data],$DE1620,74),0)</f>
        <v/>
      </c>
      <c r="BZ1620">
        <f>IFERROR(INDEX(PP_Grid[#Data],$DE1620,75),0)</f>
        <v/>
      </c>
      <c r="CA1620">
        <f>IFERROR(INDEX(PP_Grid[#Data],$DE1620,76),0)</f>
        <v/>
      </c>
      <c r="CB1620">
        <f>IFERROR(INDEX(PP_Grid[#Data],$DE1620,77),0)</f>
        <v/>
      </c>
      <c r="CC1620">
        <f>IFERROR(INDEX(PP_Grid[#Data],$DE1620,78),0)</f>
        <v/>
      </c>
      <c r="CD1620">
        <f>IFERROR(INDEX(PP_Grid[#Data],$DE1620,79),0)</f>
        <v/>
      </c>
      <c r="CE1620">
        <f>IFERROR(INDEX(PP_Grid[#Data],$DE1620,80),0)</f>
        <v/>
      </c>
      <c r="CF1620">
        <f>IFERROR(INDEX(PP_Grid[#Data],$DE1620,81),0)</f>
        <v/>
      </c>
      <c r="CG1620">
        <f>IFERROR(INDEX(PP_Grid[#Data],$DE1620,82),0)</f>
        <v/>
      </c>
      <c r="CH1620">
        <f>IFERROR(INDEX(PP_Grid[#Data],$DE1620,83),0)</f>
        <v/>
      </c>
      <c r="CI1620">
        <f>IFERROR(INDEX(PP_Grid[#Data],$DE1620,84),0)</f>
        <v/>
      </c>
      <c r="CJ1620">
        <f>IFERROR(INDEX(PP_Grid[#Data],$DE1620,85),0)</f>
        <v/>
      </c>
      <c r="CK1620">
        <f>IFERROR(INDEX(PP_Grid[#Data],$DE1620,86),0)</f>
        <v/>
      </c>
      <c r="CL1620">
        <f>IFERROR(INDEX(PP_Grid[#Data],$DE1620,87),0)</f>
        <v/>
      </c>
      <c r="CM1620">
        <f>IFERROR(INDEX(PP_Grid[#Data],$DE1620,88),0)</f>
        <v/>
      </c>
      <c r="CN1620">
        <f>IFERROR(INDEX(PP_Grid[#Data],$DE1620,89),0)</f>
        <v/>
      </c>
      <c r="CO1620">
        <f>IFERROR(INDEX(PP_Grid[#Data],$DE1620,90),0)</f>
        <v/>
      </c>
      <c r="CP1620">
        <f>IFERROR(INDEX(PP_Grid[#Data],$DE1620,91),0)</f>
        <v/>
      </c>
      <c r="CQ1620">
        <f>IFERROR(INDEX(PP_Grid[#Data],$DE1620,92),0)</f>
        <v/>
      </c>
      <c r="CR1620">
        <f>IFERROR(INDEX(PP_Grid[#Data],$DE1620,93),0)</f>
        <v/>
      </c>
      <c r="CS1620">
        <f>IFERROR(INDEX(PP_Grid[#Data],$DE1620,94),0)</f>
        <v/>
      </c>
      <c r="CT1620">
        <f>IFERROR(INDEX(PP_Grid[#Data],$DE1620,95),0)</f>
        <v/>
      </c>
      <c r="CU1620">
        <f>IFERROR(INDEX(PP_Grid[#Data],$DE1620,96),0)</f>
        <v/>
      </c>
      <c r="CV1620">
        <f>IFERROR(INDEX(PP_Grid[#Data],$DE1620,97),0)</f>
        <v/>
      </c>
      <c r="CW1620">
        <f>IFERROR(INDEX(PP_Grid[#Data],$DE1620,98),0)</f>
        <v/>
      </c>
      <c r="CX1620">
        <f>IFERROR(INDEX(PP_Grid[#Data],$DE1620,99),0)</f>
        <v/>
      </c>
      <c r="CY1620">
        <f>IFERROR(INDEX(PP_Grid[#Data],$DE1620,100),0)</f>
        <v/>
      </c>
      <c r="CZ1620">
        <f>IFERROR(INDEX(PP_Grid[#Data],$DE1620,101),0)</f>
        <v/>
      </c>
      <c r="DA1620">
        <f>IFERROR(INDEX(PP_Grid[#Data],$DE1620,102),0)</f>
        <v/>
      </c>
      <c r="DB1620">
        <f>IFERROR(INDEX(PP_Grid[#Data],$DE1620,103),0)</f>
        <v/>
      </c>
      <c r="DC1620">
        <f>IFERROR(INDEX(PP_Grid[#Data],$DE1620,104),0)</f>
        <v/>
      </c>
      <c r="DD1620">
        <f>IFERROR(INDEX(PP_Grid[#Data],$DE1620,105),0)</f>
        <v/>
      </c>
      <c r="DE1620" s="7">
        <f>IFERROR(MATCH($B1620,PP_Grid[Intermediate],0),99999)</f>
        <v/>
      </c>
    </row>
    <row r="1621">
      <c r="B1621" t="inlineStr">
        <is>
          <t>使用量(kg)</t>
        </is>
      </c>
      <c r="C1621">
        <f>SUMIFS(M_BOM[RM_Qty_Per_Batch],M_BOM[Intermediate],$B1620,M_BOM[RM_Code],$A1603)</f>
        <v/>
      </c>
      <c r="D1621">
        <f>IFERROR(INDEX(E1621:DD1621,$F$1),"")</f>
        <v/>
      </c>
      <c r="E1621">
        <f>$C1621*E1620</f>
        <v/>
      </c>
      <c r="F1621">
        <f>$C1621*F1620</f>
        <v/>
      </c>
      <c r="G1621">
        <f>$C1621*G1620</f>
        <v/>
      </c>
      <c r="H1621">
        <f>$C1621*H1620</f>
        <v/>
      </c>
      <c r="I1621">
        <f>$C1621*I1620</f>
        <v/>
      </c>
      <c r="J1621">
        <f>$C1621*J1620</f>
        <v/>
      </c>
      <c r="K1621">
        <f>$C1621*K1620</f>
        <v/>
      </c>
      <c r="L1621">
        <f>$C1621*L1620</f>
        <v/>
      </c>
      <c r="M1621">
        <f>$C1621*M1620</f>
        <v/>
      </c>
      <c r="N1621">
        <f>$C1621*N1620</f>
        <v/>
      </c>
      <c r="O1621">
        <f>$C1621*O1620</f>
        <v/>
      </c>
      <c r="P1621">
        <f>$C1621*P1620</f>
        <v/>
      </c>
      <c r="Q1621">
        <f>$C1621*Q1620</f>
        <v/>
      </c>
      <c r="R1621">
        <f>$C1621*R1620</f>
        <v/>
      </c>
      <c r="S1621">
        <f>$C1621*S1620</f>
        <v/>
      </c>
      <c r="T1621">
        <f>$C1621*T1620</f>
        <v/>
      </c>
      <c r="U1621">
        <f>$C1621*U1620</f>
        <v/>
      </c>
      <c r="V1621">
        <f>$C1621*V1620</f>
        <v/>
      </c>
      <c r="W1621">
        <f>$C1621*W1620</f>
        <v/>
      </c>
      <c r="X1621">
        <f>$C1621*X1620</f>
        <v/>
      </c>
      <c r="Y1621">
        <f>$C1621*Y1620</f>
        <v/>
      </c>
      <c r="Z1621">
        <f>$C1621*Z1620</f>
        <v/>
      </c>
      <c r="AA1621">
        <f>$C1621*AA1620</f>
        <v/>
      </c>
      <c r="AB1621">
        <f>$C1621*AB1620</f>
        <v/>
      </c>
      <c r="AC1621">
        <f>$C1621*AC1620</f>
        <v/>
      </c>
      <c r="AD1621">
        <f>$C1621*AD1620</f>
        <v/>
      </c>
      <c r="AE1621">
        <f>$C1621*AE1620</f>
        <v/>
      </c>
      <c r="AF1621">
        <f>$C1621*AF1620</f>
        <v/>
      </c>
      <c r="AG1621">
        <f>$C1621*AG1620</f>
        <v/>
      </c>
      <c r="AH1621">
        <f>$C1621*AH1620</f>
        <v/>
      </c>
      <c r="AI1621">
        <f>$C1621*AI1620</f>
        <v/>
      </c>
      <c r="AJ1621">
        <f>$C1621*AJ1620</f>
        <v/>
      </c>
      <c r="AK1621">
        <f>$C1621*AK1620</f>
        <v/>
      </c>
      <c r="AL1621">
        <f>$C1621*AL1620</f>
        <v/>
      </c>
      <c r="AM1621">
        <f>$C1621*AM1620</f>
        <v/>
      </c>
      <c r="AN1621">
        <f>$C1621*AN1620</f>
        <v/>
      </c>
      <c r="AO1621">
        <f>$C1621*AO1620</f>
        <v/>
      </c>
      <c r="AP1621">
        <f>$C1621*AP1620</f>
        <v/>
      </c>
      <c r="AQ1621">
        <f>$C1621*AQ1620</f>
        <v/>
      </c>
      <c r="AR1621">
        <f>$C1621*AR1620</f>
        <v/>
      </c>
      <c r="AS1621">
        <f>$C1621*AS1620</f>
        <v/>
      </c>
      <c r="AT1621">
        <f>$C1621*AT1620</f>
        <v/>
      </c>
      <c r="AU1621">
        <f>$C1621*AU1620</f>
        <v/>
      </c>
      <c r="AV1621">
        <f>$C1621*AV1620</f>
        <v/>
      </c>
      <c r="AW1621">
        <f>$C1621*AW1620</f>
        <v/>
      </c>
      <c r="AX1621">
        <f>$C1621*AX1620</f>
        <v/>
      </c>
      <c r="AY1621">
        <f>$C1621*AY1620</f>
        <v/>
      </c>
      <c r="AZ1621">
        <f>$C1621*AZ1620</f>
        <v/>
      </c>
      <c r="BA1621">
        <f>$C1621*BA1620</f>
        <v/>
      </c>
      <c r="BB1621">
        <f>$C1621*BB1620</f>
        <v/>
      </c>
      <c r="BC1621">
        <f>$C1621*BC1620</f>
        <v/>
      </c>
      <c r="BD1621">
        <f>$C1621*BD1620</f>
        <v/>
      </c>
      <c r="BE1621">
        <f>$C1621*BE1620</f>
        <v/>
      </c>
      <c r="BF1621">
        <f>$C1621*BF1620</f>
        <v/>
      </c>
      <c r="BG1621">
        <f>$C1621*BG1620</f>
        <v/>
      </c>
      <c r="BH1621">
        <f>$C1621*BH1620</f>
        <v/>
      </c>
      <c r="BI1621">
        <f>$C1621*BI1620</f>
        <v/>
      </c>
      <c r="BJ1621">
        <f>$C1621*BJ1620</f>
        <v/>
      </c>
      <c r="BK1621">
        <f>$C1621*BK1620</f>
        <v/>
      </c>
      <c r="BL1621">
        <f>$C1621*BL1620</f>
        <v/>
      </c>
      <c r="BM1621">
        <f>$C1621*BM1620</f>
        <v/>
      </c>
      <c r="BN1621">
        <f>$C1621*BN1620</f>
        <v/>
      </c>
      <c r="BO1621">
        <f>$C1621*BO1620</f>
        <v/>
      </c>
      <c r="BP1621">
        <f>$C1621*BP1620</f>
        <v/>
      </c>
      <c r="BQ1621">
        <f>$C1621*BQ1620</f>
        <v/>
      </c>
      <c r="BR1621">
        <f>$C1621*BR1620</f>
        <v/>
      </c>
      <c r="BS1621">
        <f>$C1621*BS1620</f>
        <v/>
      </c>
      <c r="BT1621">
        <f>$C1621*BT1620</f>
        <v/>
      </c>
      <c r="BU1621">
        <f>$C1621*BU1620</f>
        <v/>
      </c>
      <c r="BV1621">
        <f>$C1621*BV1620</f>
        <v/>
      </c>
      <c r="BW1621">
        <f>$C1621*BW1620</f>
        <v/>
      </c>
      <c r="BX1621">
        <f>$C1621*BX1620</f>
        <v/>
      </c>
      <c r="BY1621">
        <f>$C1621*BY1620</f>
        <v/>
      </c>
      <c r="BZ1621">
        <f>$C1621*BZ1620</f>
        <v/>
      </c>
      <c r="CA1621">
        <f>$C1621*CA1620</f>
        <v/>
      </c>
      <c r="CB1621">
        <f>$C1621*CB1620</f>
        <v/>
      </c>
      <c r="CC1621">
        <f>$C1621*CC1620</f>
        <v/>
      </c>
      <c r="CD1621">
        <f>$C1621*CD1620</f>
        <v/>
      </c>
      <c r="CE1621">
        <f>$C1621*CE1620</f>
        <v/>
      </c>
      <c r="CF1621">
        <f>$C1621*CF1620</f>
        <v/>
      </c>
      <c r="CG1621">
        <f>$C1621*CG1620</f>
        <v/>
      </c>
      <c r="CH1621">
        <f>$C1621*CH1620</f>
        <v/>
      </c>
      <c r="CI1621">
        <f>$C1621*CI1620</f>
        <v/>
      </c>
      <c r="CJ1621">
        <f>$C1621*CJ1620</f>
        <v/>
      </c>
      <c r="CK1621">
        <f>$C1621*CK1620</f>
        <v/>
      </c>
      <c r="CL1621">
        <f>$C1621*CL1620</f>
        <v/>
      </c>
      <c r="CM1621">
        <f>$C1621*CM1620</f>
        <v/>
      </c>
      <c r="CN1621">
        <f>$C1621*CN1620</f>
        <v/>
      </c>
      <c r="CO1621">
        <f>$C1621*CO1620</f>
        <v/>
      </c>
      <c r="CP1621">
        <f>$C1621*CP1620</f>
        <v/>
      </c>
      <c r="CQ1621">
        <f>$C1621*CQ1620</f>
        <v/>
      </c>
      <c r="CR1621">
        <f>$C1621*CR1620</f>
        <v/>
      </c>
      <c r="CS1621">
        <f>$C1621*CS1620</f>
        <v/>
      </c>
      <c r="CT1621">
        <f>$C1621*CT1620</f>
        <v/>
      </c>
      <c r="CU1621">
        <f>$C1621*CU1620</f>
        <v/>
      </c>
      <c r="CV1621">
        <f>$C1621*CV1620</f>
        <v/>
      </c>
      <c r="CW1621">
        <f>$C1621*CW1620</f>
        <v/>
      </c>
      <c r="CX1621">
        <f>$C1621*CX1620</f>
        <v/>
      </c>
      <c r="CY1621">
        <f>$C1621*CY1620</f>
        <v/>
      </c>
      <c r="CZ1621">
        <f>$C1621*CZ1620</f>
        <v/>
      </c>
      <c r="DA1621">
        <f>$C1621*DA1620</f>
        <v/>
      </c>
      <c r="DB1621">
        <f>$C1621*DB1620</f>
        <v/>
      </c>
      <c r="DC1621">
        <f>$C1621*DC1620</f>
        <v/>
      </c>
      <c r="DD1621">
        <f>$C1621*DD1620</f>
        <v/>
      </c>
    </row>
    <row r="1622">
      <c r="B1622" t="inlineStr">
        <is>
          <t>TSP-656</t>
        </is>
      </c>
      <c r="C1622" t="inlineStr">
        <is>
          <t>No. of batches</t>
        </is>
      </c>
      <c r="D1622">
        <f>IFERROR(INDEX(E1622:DD1622,$F$1),"")</f>
        <v/>
      </c>
      <c r="E1622">
        <f>IFERROR(INDEX(PP_Grid[#Data],$DE1622,2),0)</f>
        <v/>
      </c>
      <c r="F1622">
        <f>IFERROR(INDEX(PP_Grid[#Data],$DE1622,3),0)</f>
        <v/>
      </c>
      <c r="G1622">
        <f>IFERROR(INDEX(PP_Grid[#Data],$DE1622,4),0)</f>
        <v/>
      </c>
      <c r="H1622">
        <f>IFERROR(INDEX(PP_Grid[#Data],$DE1622,5),0)</f>
        <v/>
      </c>
      <c r="I1622">
        <f>IFERROR(INDEX(PP_Grid[#Data],$DE1622,6),0)</f>
        <v/>
      </c>
      <c r="J1622">
        <f>IFERROR(INDEX(PP_Grid[#Data],$DE1622,7),0)</f>
        <v/>
      </c>
      <c r="K1622">
        <f>IFERROR(INDEX(PP_Grid[#Data],$DE1622,8),0)</f>
        <v/>
      </c>
      <c r="L1622">
        <f>IFERROR(INDEX(PP_Grid[#Data],$DE1622,9),0)</f>
        <v/>
      </c>
      <c r="M1622">
        <f>IFERROR(INDEX(PP_Grid[#Data],$DE1622,10),0)</f>
        <v/>
      </c>
      <c r="N1622">
        <f>IFERROR(INDEX(PP_Grid[#Data],$DE1622,11),0)</f>
        <v/>
      </c>
      <c r="O1622">
        <f>IFERROR(INDEX(PP_Grid[#Data],$DE1622,12),0)</f>
        <v/>
      </c>
      <c r="P1622">
        <f>IFERROR(INDEX(PP_Grid[#Data],$DE1622,13),0)</f>
        <v/>
      </c>
      <c r="Q1622">
        <f>IFERROR(INDEX(PP_Grid[#Data],$DE1622,14),0)</f>
        <v/>
      </c>
      <c r="R1622">
        <f>IFERROR(INDEX(PP_Grid[#Data],$DE1622,15),0)</f>
        <v/>
      </c>
      <c r="S1622">
        <f>IFERROR(INDEX(PP_Grid[#Data],$DE1622,16),0)</f>
        <v/>
      </c>
      <c r="T1622">
        <f>IFERROR(INDEX(PP_Grid[#Data],$DE1622,17),0)</f>
        <v/>
      </c>
      <c r="U1622">
        <f>IFERROR(INDEX(PP_Grid[#Data],$DE1622,18),0)</f>
        <v/>
      </c>
      <c r="V1622">
        <f>IFERROR(INDEX(PP_Grid[#Data],$DE1622,19),0)</f>
        <v/>
      </c>
      <c r="W1622">
        <f>IFERROR(INDEX(PP_Grid[#Data],$DE1622,20),0)</f>
        <v/>
      </c>
      <c r="X1622">
        <f>IFERROR(INDEX(PP_Grid[#Data],$DE1622,21),0)</f>
        <v/>
      </c>
      <c r="Y1622">
        <f>IFERROR(INDEX(PP_Grid[#Data],$DE1622,22),0)</f>
        <v/>
      </c>
      <c r="Z1622">
        <f>IFERROR(INDEX(PP_Grid[#Data],$DE1622,23),0)</f>
        <v/>
      </c>
      <c r="AA1622">
        <f>IFERROR(INDEX(PP_Grid[#Data],$DE1622,24),0)</f>
        <v/>
      </c>
      <c r="AB1622">
        <f>IFERROR(INDEX(PP_Grid[#Data],$DE1622,25),0)</f>
        <v/>
      </c>
      <c r="AC1622">
        <f>IFERROR(INDEX(PP_Grid[#Data],$DE1622,26),0)</f>
        <v/>
      </c>
      <c r="AD1622">
        <f>IFERROR(INDEX(PP_Grid[#Data],$DE1622,27),0)</f>
        <v/>
      </c>
      <c r="AE1622">
        <f>IFERROR(INDEX(PP_Grid[#Data],$DE1622,28),0)</f>
        <v/>
      </c>
      <c r="AF1622">
        <f>IFERROR(INDEX(PP_Grid[#Data],$DE1622,29),0)</f>
        <v/>
      </c>
      <c r="AG1622">
        <f>IFERROR(INDEX(PP_Grid[#Data],$DE1622,30),0)</f>
        <v/>
      </c>
      <c r="AH1622">
        <f>IFERROR(INDEX(PP_Grid[#Data],$DE1622,31),0)</f>
        <v/>
      </c>
      <c r="AI1622">
        <f>IFERROR(INDEX(PP_Grid[#Data],$DE1622,32),0)</f>
        <v/>
      </c>
      <c r="AJ1622">
        <f>IFERROR(INDEX(PP_Grid[#Data],$DE1622,33),0)</f>
        <v/>
      </c>
      <c r="AK1622">
        <f>IFERROR(INDEX(PP_Grid[#Data],$DE1622,34),0)</f>
        <v/>
      </c>
      <c r="AL1622">
        <f>IFERROR(INDEX(PP_Grid[#Data],$DE1622,35),0)</f>
        <v/>
      </c>
      <c r="AM1622">
        <f>IFERROR(INDEX(PP_Grid[#Data],$DE1622,36),0)</f>
        <v/>
      </c>
      <c r="AN1622">
        <f>IFERROR(INDEX(PP_Grid[#Data],$DE1622,37),0)</f>
        <v/>
      </c>
      <c r="AO1622">
        <f>IFERROR(INDEX(PP_Grid[#Data],$DE1622,38),0)</f>
        <v/>
      </c>
      <c r="AP1622">
        <f>IFERROR(INDEX(PP_Grid[#Data],$DE1622,39),0)</f>
        <v/>
      </c>
      <c r="AQ1622">
        <f>IFERROR(INDEX(PP_Grid[#Data],$DE1622,40),0)</f>
        <v/>
      </c>
      <c r="AR1622">
        <f>IFERROR(INDEX(PP_Grid[#Data],$DE1622,41),0)</f>
        <v/>
      </c>
      <c r="AS1622">
        <f>IFERROR(INDEX(PP_Grid[#Data],$DE1622,42),0)</f>
        <v/>
      </c>
      <c r="AT1622">
        <f>IFERROR(INDEX(PP_Grid[#Data],$DE1622,43),0)</f>
        <v/>
      </c>
      <c r="AU1622">
        <f>IFERROR(INDEX(PP_Grid[#Data],$DE1622,44),0)</f>
        <v/>
      </c>
      <c r="AV1622">
        <f>IFERROR(INDEX(PP_Grid[#Data],$DE1622,45),0)</f>
        <v/>
      </c>
      <c r="AW1622">
        <f>IFERROR(INDEX(PP_Grid[#Data],$DE1622,46),0)</f>
        <v/>
      </c>
      <c r="AX1622">
        <f>IFERROR(INDEX(PP_Grid[#Data],$DE1622,47),0)</f>
        <v/>
      </c>
      <c r="AY1622">
        <f>IFERROR(INDEX(PP_Grid[#Data],$DE1622,48),0)</f>
        <v/>
      </c>
      <c r="AZ1622">
        <f>IFERROR(INDEX(PP_Grid[#Data],$DE1622,49),0)</f>
        <v/>
      </c>
      <c r="BA1622">
        <f>IFERROR(INDEX(PP_Grid[#Data],$DE1622,50),0)</f>
        <v/>
      </c>
      <c r="BB1622">
        <f>IFERROR(INDEX(PP_Grid[#Data],$DE1622,51),0)</f>
        <v/>
      </c>
      <c r="BC1622">
        <f>IFERROR(INDEX(PP_Grid[#Data],$DE1622,52),0)</f>
        <v/>
      </c>
      <c r="BD1622">
        <f>IFERROR(INDEX(PP_Grid[#Data],$DE1622,53),0)</f>
        <v/>
      </c>
      <c r="BE1622">
        <f>IFERROR(INDEX(PP_Grid[#Data],$DE1622,54),0)</f>
        <v/>
      </c>
      <c r="BF1622">
        <f>IFERROR(INDEX(PP_Grid[#Data],$DE1622,55),0)</f>
        <v/>
      </c>
      <c r="BG1622">
        <f>IFERROR(INDEX(PP_Grid[#Data],$DE1622,56),0)</f>
        <v/>
      </c>
      <c r="BH1622">
        <f>IFERROR(INDEX(PP_Grid[#Data],$DE1622,57),0)</f>
        <v/>
      </c>
      <c r="BI1622">
        <f>IFERROR(INDEX(PP_Grid[#Data],$DE1622,58),0)</f>
        <v/>
      </c>
      <c r="BJ1622">
        <f>IFERROR(INDEX(PP_Grid[#Data],$DE1622,59),0)</f>
        <v/>
      </c>
      <c r="BK1622">
        <f>IFERROR(INDEX(PP_Grid[#Data],$DE1622,60),0)</f>
        <v/>
      </c>
      <c r="BL1622">
        <f>IFERROR(INDEX(PP_Grid[#Data],$DE1622,61),0)</f>
        <v/>
      </c>
      <c r="BM1622">
        <f>IFERROR(INDEX(PP_Grid[#Data],$DE1622,62),0)</f>
        <v/>
      </c>
      <c r="BN1622">
        <f>IFERROR(INDEX(PP_Grid[#Data],$DE1622,63),0)</f>
        <v/>
      </c>
      <c r="BO1622">
        <f>IFERROR(INDEX(PP_Grid[#Data],$DE1622,64),0)</f>
        <v/>
      </c>
      <c r="BP1622">
        <f>IFERROR(INDEX(PP_Grid[#Data],$DE1622,65),0)</f>
        <v/>
      </c>
      <c r="BQ1622">
        <f>IFERROR(INDEX(PP_Grid[#Data],$DE1622,66),0)</f>
        <v/>
      </c>
      <c r="BR1622">
        <f>IFERROR(INDEX(PP_Grid[#Data],$DE1622,67),0)</f>
        <v/>
      </c>
      <c r="BS1622">
        <f>IFERROR(INDEX(PP_Grid[#Data],$DE1622,68),0)</f>
        <v/>
      </c>
      <c r="BT1622">
        <f>IFERROR(INDEX(PP_Grid[#Data],$DE1622,69),0)</f>
        <v/>
      </c>
      <c r="BU1622">
        <f>IFERROR(INDEX(PP_Grid[#Data],$DE1622,70),0)</f>
        <v/>
      </c>
      <c r="BV1622">
        <f>IFERROR(INDEX(PP_Grid[#Data],$DE1622,71),0)</f>
        <v/>
      </c>
      <c r="BW1622">
        <f>IFERROR(INDEX(PP_Grid[#Data],$DE1622,72),0)</f>
        <v/>
      </c>
      <c r="BX1622">
        <f>IFERROR(INDEX(PP_Grid[#Data],$DE1622,73),0)</f>
        <v/>
      </c>
      <c r="BY1622">
        <f>IFERROR(INDEX(PP_Grid[#Data],$DE1622,74),0)</f>
        <v/>
      </c>
      <c r="BZ1622">
        <f>IFERROR(INDEX(PP_Grid[#Data],$DE1622,75),0)</f>
        <v/>
      </c>
      <c r="CA1622">
        <f>IFERROR(INDEX(PP_Grid[#Data],$DE1622,76),0)</f>
        <v/>
      </c>
      <c r="CB1622">
        <f>IFERROR(INDEX(PP_Grid[#Data],$DE1622,77),0)</f>
        <v/>
      </c>
      <c r="CC1622">
        <f>IFERROR(INDEX(PP_Grid[#Data],$DE1622,78),0)</f>
        <v/>
      </c>
      <c r="CD1622">
        <f>IFERROR(INDEX(PP_Grid[#Data],$DE1622,79),0)</f>
        <v/>
      </c>
      <c r="CE1622">
        <f>IFERROR(INDEX(PP_Grid[#Data],$DE1622,80),0)</f>
        <v/>
      </c>
      <c r="CF1622">
        <f>IFERROR(INDEX(PP_Grid[#Data],$DE1622,81),0)</f>
        <v/>
      </c>
      <c r="CG1622">
        <f>IFERROR(INDEX(PP_Grid[#Data],$DE1622,82),0)</f>
        <v/>
      </c>
      <c r="CH1622">
        <f>IFERROR(INDEX(PP_Grid[#Data],$DE1622,83),0)</f>
        <v/>
      </c>
      <c r="CI1622">
        <f>IFERROR(INDEX(PP_Grid[#Data],$DE1622,84),0)</f>
        <v/>
      </c>
      <c r="CJ1622">
        <f>IFERROR(INDEX(PP_Grid[#Data],$DE1622,85),0)</f>
        <v/>
      </c>
      <c r="CK1622">
        <f>IFERROR(INDEX(PP_Grid[#Data],$DE1622,86),0)</f>
        <v/>
      </c>
      <c r="CL1622">
        <f>IFERROR(INDEX(PP_Grid[#Data],$DE1622,87),0)</f>
        <v/>
      </c>
      <c r="CM1622">
        <f>IFERROR(INDEX(PP_Grid[#Data],$DE1622,88),0)</f>
        <v/>
      </c>
      <c r="CN1622">
        <f>IFERROR(INDEX(PP_Grid[#Data],$DE1622,89),0)</f>
        <v/>
      </c>
      <c r="CO1622">
        <f>IFERROR(INDEX(PP_Grid[#Data],$DE1622,90),0)</f>
        <v/>
      </c>
      <c r="CP1622">
        <f>IFERROR(INDEX(PP_Grid[#Data],$DE1622,91),0)</f>
        <v/>
      </c>
      <c r="CQ1622">
        <f>IFERROR(INDEX(PP_Grid[#Data],$DE1622,92),0)</f>
        <v/>
      </c>
      <c r="CR1622">
        <f>IFERROR(INDEX(PP_Grid[#Data],$DE1622,93),0)</f>
        <v/>
      </c>
      <c r="CS1622">
        <f>IFERROR(INDEX(PP_Grid[#Data],$DE1622,94),0)</f>
        <v/>
      </c>
      <c r="CT1622">
        <f>IFERROR(INDEX(PP_Grid[#Data],$DE1622,95),0)</f>
        <v/>
      </c>
      <c r="CU1622">
        <f>IFERROR(INDEX(PP_Grid[#Data],$DE1622,96),0)</f>
        <v/>
      </c>
      <c r="CV1622">
        <f>IFERROR(INDEX(PP_Grid[#Data],$DE1622,97),0)</f>
        <v/>
      </c>
      <c r="CW1622">
        <f>IFERROR(INDEX(PP_Grid[#Data],$DE1622,98),0)</f>
        <v/>
      </c>
      <c r="CX1622">
        <f>IFERROR(INDEX(PP_Grid[#Data],$DE1622,99),0)</f>
        <v/>
      </c>
      <c r="CY1622">
        <f>IFERROR(INDEX(PP_Grid[#Data],$DE1622,100),0)</f>
        <v/>
      </c>
      <c r="CZ1622">
        <f>IFERROR(INDEX(PP_Grid[#Data],$DE1622,101),0)</f>
        <v/>
      </c>
      <c r="DA1622">
        <f>IFERROR(INDEX(PP_Grid[#Data],$DE1622,102),0)</f>
        <v/>
      </c>
      <c r="DB1622">
        <f>IFERROR(INDEX(PP_Grid[#Data],$DE1622,103),0)</f>
        <v/>
      </c>
      <c r="DC1622">
        <f>IFERROR(INDEX(PP_Grid[#Data],$DE1622,104),0)</f>
        <v/>
      </c>
      <c r="DD1622">
        <f>IFERROR(INDEX(PP_Grid[#Data],$DE1622,105),0)</f>
        <v/>
      </c>
      <c r="DE1622" s="7">
        <f>IFERROR(MATCH($B1622,PP_Grid[Intermediate],0),99999)</f>
        <v/>
      </c>
    </row>
    <row r="1623">
      <c r="B1623" t="inlineStr">
        <is>
          <t>使用量(kg)</t>
        </is>
      </c>
      <c r="C1623">
        <f>SUMIFS(M_BOM[RM_Qty_Per_Batch],M_BOM[Intermediate],$B1622,M_BOM[RM_Code],$A1603)</f>
        <v/>
      </c>
      <c r="D1623">
        <f>IFERROR(INDEX(E1623:DD1623,$F$1),"")</f>
        <v/>
      </c>
      <c r="E1623">
        <f>$C1623*E1622</f>
        <v/>
      </c>
      <c r="F1623">
        <f>$C1623*F1622</f>
        <v/>
      </c>
      <c r="G1623">
        <f>$C1623*G1622</f>
        <v/>
      </c>
      <c r="H1623">
        <f>$C1623*H1622</f>
        <v/>
      </c>
      <c r="I1623">
        <f>$C1623*I1622</f>
        <v/>
      </c>
      <c r="J1623">
        <f>$C1623*J1622</f>
        <v/>
      </c>
      <c r="K1623">
        <f>$C1623*K1622</f>
        <v/>
      </c>
      <c r="L1623">
        <f>$C1623*L1622</f>
        <v/>
      </c>
      <c r="M1623">
        <f>$C1623*M1622</f>
        <v/>
      </c>
      <c r="N1623">
        <f>$C1623*N1622</f>
        <v/>
      </c>
      <c r="O1623">
        <f>$C1623*O1622</f>
        <v/>
      </c>
      <c r="P1623">
        <f>$C1623*P1622</f>
        <v/>
      </c>
      <c r="Q1623">
        <f>$C1623*Q1622</f>
        <v/>
      </c>
      <c r="R1623">
        <f>$C1623*R1622</f>
        <v/>
      </c>
      <c r="S1623">
        <f>$C1623*S1622</f>
        <v/>
      </c>
      <c r="T1623">
        <f>$C1623*T1622</f>
        <v/>
      </c>
      <c r="U1623">
        <f>$C1623*U1622</f>
        <v/>
      </c>
      <c r="V1623">
        <f>$C1623*V1622</f>
        <v/>
      </c>
      <c r="W1623">
        <f>$C1623*W1622</f>
        <v/>
      </c>
      <c r="X1623">
        <f>$C1623*X1622</f>
        <v/>
      </c>
      <c r="Y1623">
        <f>$C1623*Y1622</f>
        <v/>
      </c>
      <c r="Z1623">
        <f>$C1623*Z1622</f>
        <v/>
      </c>
      <c r="AA1623">
        <f>$C1623*AA1622</f>
        <v/>
      </c>
      <c r="AB1623">
        <f>$C1623*AB1622</f>
        <v/>
      </c>
      <c r="AC1623">
        <f>$C1623*AC1622</f>
        <v/>
      </c>
      <c r="AD1623">
        <f>$C1623*AD1622</f>
        <v/>
      </c>
      <c r="AE1623">
        <f>$C1623*AE1622</f>
        <v/>
      </c>
      <c r="AF1623">
        <f>$C1623*AF1622</f>
        <v/>
      </c>
      <c r="AG1623">
        <f>$C1623*AG1622</f>
        <v/>
      </c>
      <c r="AH1623">
        <f>$C1623*AH1622</f>
        <v/>
      </c>
      <c r="AI1623">
        <f>$C1623*AI1622</f>
        <v/>
      </c>
      <c r="AJ1623">
        <f>$C1623*AJ1622</f>
        <v/>
      </c>
      <c r="AK1623">
        <f>$C1623*AK1622</f>
        <v/>
      </c>
      <c r="AL1623">
        <f>$C1623*AL1622</f>
        <v/>
      </c>
      <c r="AM1623">
        <f>$C1623*AM1622</f>
        <v/>
      </c>
      <c r="AN1623">
        <f>$C1623*AN1622</f>
        <v/>
      </c>
      <c r="AO1623">
        <f>$C1623*AO1622</f>
        <v/>
      </c>
      <c r="AP1623">
        <f>$C1623*AP1622</f>
        <v/>
      </c>
      <c r="AQ1623">
        <f>$C1623*AQ1622</f>
        <v/>
      </c>
      <c r="AR1623">
        <f>$C1623*AR1622</f>
        <v/>
      </c>
      <c r="AS1623">
        <f>$C1623*AS1622</f>
        <v/>
      </c>
      <c r="AT1623">
        <f>$C1623*AT1622</f>
        <v/>
      </c>
      <c r="AU1623">
        <f>$C1623*AU1622</f>
        <v/>
      </c>
      <c r="AV1623">
        <f>$C1623*AV1622</f>
        <v/>
      </c>
      <c r="AW1623">
        <f>$C1623*AW1622</f>
        <v/>
      </c>
      <c r="AX1623">
        <f>$C1623*AX1622</f>
        <v/>
      </c>
      <c r="AY1623">
        <f>$C1623*AY1622</f>
        <v/>
      </c>
      <c r="AZ1623">
        <f>$C1623*AZ1622</f>
        <v/>
      </c>
      <c r="BA1623">
        <f>$C1623*BA1622</f>
        <v/>
      </c>
      <c r="BB1623">
        <f>$C1623*BB1622</f>
        <v/>
      </c>
      <c r="BC1623">
        <f>$C1623*BC1622</f>
        <v/>
      </c>
      <c r="BD1623">
        <f>$C1623*BD1622</f>
        <v/>
      </c>
      <c r="BE1623">
        <f>$C1623*BE1622</f>
        <v/>
      </c>
      <c r="BF1623">
        <f>$C1623*BF1622</f>
        <v/>
      </c>
      <c r="BG1623">
        <f>$C1623*BG1622</f>
        <v/>
      </c>
      <c r="BH1623">
        <f>$C1623*BH1622</f>
        <v/>
      </c>
      <c r="BI1623">
        <f>$C1623*BI1622</f>
        <v/>
      </c>
      <c r="BJ1623">
        <f>$C1623*BJ1622</f>
        <v/>
      </c>
      <c r="BK1623">
        <f>$C1623*BK1622</f>
        <v/>
      </c>
      <c r="BL1623">
        <f>$C1623*BL1622</f>
        <v/>
      </c>
      <c r="BM1623">
        <f>$C1623*BM1622</f>
        <v/>
      </c>
      <c r="BN1623">
        <f>$C1623*BN1622</f>
        <v/>
      </c>
      <c r="BO1623">
        <f>$C1623*BO1622</f>
        <v/>
      </c>
      <c r="BP1623">
        <f>$C1623*BP1622</f>
        <v/>
      </c>
      <c r="BQ1623">
        <f>$C1623*BQ1622</f>
        <v/>
      </c>
      <c r="BR1623">
        <f>$C1623*BR1622</f>
        <v/>
      </c>
      <c r="BS1623">
        <f>$C1623*BS1622</f>
        <v/>
      </c>
      <c r="BT1623">
        <f>$C1623*BT1622</f>
        <v/>
      </c>
      <c r="BU1623">
        <f>$C1623*BU1622</f>
        <v/>
      </c>
      <c r="BV1623">
        <f>$C1623*BV1622</f>
        <v/>
      </c>
      <c r="BW1623">
        <f>$C1623*BW1622</f>
        <v/>
      </c>
      <c r="BX1623">
        <f>$C1623*BX1622</f>
        <v/>
      </c>
      <c r="BY1623">
        <f>$C1623*BY1622</f>
        <v/>
      </c>
      <c r="BZ1623">
        <f>$C1623*BZ1622</f>
        <v/>
      </c>
      <c r="CA1623">
        <f>$C1623*CA1622</f>
        <v/>
      </c>
      <c r="CB1623">
        <f>$C1623*CB1622</f>
        <v/>
      </c>
      <c r="CC1623">
        <f>$C1623*CC1622</f>
        <v/>
      </c>
      <c r="CD1623">
        <f>$C1623*CD1622</f>
        <v/>
      </c>
      <c r="CE1623">
        <f>$C1623*CE1622</f>
        <v/>
      </c>
      <c r="CF1623">
        <f>$C1623*CF1622</f>
        <v/>
      </c>
      <c r="CG1623">
        <f>$C1623*CG1622</f>
        <v/>
      </c>
      <c r="CH1623">
        <f>$C1623*CH1622</f>
        <v/>
      </c>
      <c r="CI1623">
        <f>$C1623*CI1622</f>
        <v/>
      </c>
      <c r="CJ1623">
        <f>$C1623*CJ1622</f>
        <v/>
      </c>
      <c r="CK1623">
        <f>$C1623*CK1622</f>
        <v/>
      </c>
      <c r="CL1623">
        <f>$C1623*CL1622</f>
        <v/>
      </c>
      <c r="CM1623">
        <f>$C1623*CM1622</f>
        <v/>
      </c>
      <c r="CN1623">
        <f>$C1623*CN1622</f>
        <v/>
      </c>
      <c r="CO1623">
        <f>$C1623*CO1622</f>
        <v/>
      </c>
      <c r="CP1623">
        <f>$C1623*CP1622</f>
        <v/>
      </c>
      <c r="CQ1623">
        <f>$C1623*CQ1622</f>
        <v/>
      </c>
      <c r="CR1623">
        <f>$C1623*CR1622</f>
        <v/>
      </c>
      <c r="CS1623">
        <f>$C1623*CS1622</f>
        <v/>
      </c>
      <c r="CT1623">
        <f>$C1623*CT1622</f>
        <v/>
      </c>
      <c r="CU1623">
        <f>$C1623*CU1622</f>
        <v/>
      </c>
      <c r="CV1623">
        <f>$C1623*CV1622</f>
        <v/>
      </c>
      <c r="CW1623">
        <f>$C1623*CW1622</f>
        <v/>
      </c>
      <c r="CX1623">
        <f>$C1623*CX1622</f>
        <v/>
      </c>
      <c r="CY1623">
        <f>$C1623*CY1622</f>
        <v/>
      </c>
      <c r="CZ1623">
        <f>$C1623*CZ1622</f>
        <v/>
      </c>
      <c r="DA1623">
        <f>$C1623*DA1622</f>
        <v/>
      </c>
      <c r="DB1623">
        <f>$C1623*DB1622</f>
        <v/>
      </c>
      <c r="DC1623">
        <f>$C1623*DC1622</f>
        <v/>
      </c>
      <c r="DD1623">
        <f>$C1623*DD1622</f>
        <v/>
      </c>
    </row>
    <row r="1624">
      <c r="B1624" t="inlineStr">
        <is>
          <t>TSP-903</t>
        </is>
      </c>
      <c r="C1624" t="inlineStr">
        <is>
          <t>No. of batches</t>
        </is>
      </c>
      <c r="D1624">
        <f>IFERROR(INDEX(E1624:DD1624,$F$1),"")</f>
        <v/>
      </c>
      <c r="E1624">
        <f>IFERROR(INDEX(PP_Grid[#Data],$DE1624,2),0)</f>
        <v/>
      </c>
      <c r="F1624">
        <f>IFERROR(INDEX(PP_Grid[#Data],$DE1624,3),0)</f>
        <v/>
      </c>
      <c r="G1624">
        <f>IFERROR(INDEX(PP_Grid[#Data],$DE1624,4),0)</f>
        <v/>
      </c>
      <c r="H1624">
        <f>IFERROR(INDEX(PP_Grid[#Data],$DE1624,5),0)</f>
        <v/>
      </c>
      <c r="I1624">
        <f>IFERROR(INDEX(PP_Grid[#Data],$DE1624,6),0)</f>
        <v/>
      </c>
      <c r="J1624">
        <f>IFERROR(INDEX(PP_Grid[#Data],$DE1624,7),0)</f>
        <v/>
      </c>
      <c r="K1624">
        <f>IFERROR(INDEX(PP_Grid[#Data],$DE1624,8),0)</f>
        <v/>
      </c>
      <c r="L1624">
        <f>IFERROR(INDEX(PP_Grid[#Data],$DE1624,9),0)</f>
        <v/>
      </c>
      <c r="M1624">
        <f>IFERROR(INDEX(PP_Grid[#Data],$DE1624,10),0)</f>
        <v/>
      </c>
      <c r="N1624">
        <f>IFERROR(INDEX(PP_Grid[#Data],$DE1624,11),0)</f>
        <v/>
      </c>
      <c r="O1624">
        <f>IFERROR(INDEX(PP_Grid[#Data],$DE1624,12),0)</f>
        <v/>
      </c>
      <c r="P1624">
        <f>IFERROR(INDEX(PP_Grid[#Data],$DE1624,13),0)</f>
        <v/>
      </c>
      <c r="Q1624">
        <f>IFERROR(INDEX(PP_Grid[#Data],$DE1624,14),0)</f>
        <v/>
      </c>
      <c r="R1624">
        <f>IFERROR(INDEX(PP_Grid[#Data],$DE1624,15),0)</f>
        <v/>
      </c>
      <c r="S1624">
        <f>IFERROR(INDEX(PP_Grid[#Data],$DE1624,16),0)</f>
        <v/>
      </c>
      <c r="T1624">
        <f>IFERROR(INDEX(PP_Grid[#Data],$DE1624,17),0)</f>
        <v/>
      </c>
      <c r="U1624">
        <f>IFERROR(INDEX(PP_Grid[#Data],$DE1624,18),0)</f>
        <v/>
      </c>
      <c r="V1624">
        <f>IFERROR(INDEX(PP_Grid[#Data],$DE1624,19),0)</f>
        <v/>
      </c>
      <c r="W1624">
        <f>IFERROR(INDEX(PP_Grid[#Data],$DE1624,20),0)</f>
        <v/>
      </c>
      <c r="X1624">
        <f>IFERROR(INDEX(PP_Grid[#Data],$DE1624,21),0)</f>
        <v/>
      </c>
      <c r="Y1624">
        <f>IFERROR(INDEX(PP_Grid[#Data],$DE1624,22),0)</f>
        <v/>
      </c>
      <c r="Z1624">
        <f>IFERROR(INDEX(PP_Grid[#Data],$DE1624,23),0)</f>
        <v/>
      </c>
      <c r="AA1624">
        <f>IFERROR(INDEX(PP_Grid[#Data],$DE1624,24),0)</f>
        <v/>
      </c>
      <c r="AB1624">
        <f>IFERROR(INDEX(PP_Grid[#Data],$DE1624,25),0)</f>
        <v/>
      </c>
      <c r="AC1624">
        <f>IFERROR(INDEX(PP_Grid[#Data],$DE1624,26),0)</f>
        <v/>
      </c>
      <c r="AD1624">
        <f>IFERROR(INDEX(PP_Grid[#Data],$DE1624,27),0)</f>
        <v/>
      </c>
      <c r="AE1624">
        <f>IFERROR(INDEX(PP_Grid[#Data],$DE1624,28),0)</f>
        <v/>
      </c>
      <c r="AF1624">
        <f>IFERROR(INDEX(PP_Grid[#Data],$DE1624,29),0)</f>
        <v/>
      </c>
      <c r="AG1624">
        <f>IFERROR(INDEX(PP_Grid[#Data],$DE1624,30),0)</f>
        <v/>
      </c>
      <c r="AH1624">
        <f>IFERROR(INDEX(PP_Grid[#Data],$DE1624,31),0)</f>
        <v/>
      </c>
      <c r="AI1624">
        <f>IFERROR(INDEX(PP_Grid[#Data],$DE1624,32),0)</f>
        <v/>
      </c>
      <c r="AJ1624">
        <f>IFERROR(INDEX(PP_Grid[#Data],$DE1624,33),0)</f>
        <v/>
      </c>
      <c r="AK1624">
        <f>IFERROR(INDEX(PP_Grid[#Data],$DE1624,34),0)</f>
        <v/>
      </c>
      <c r="AL1624">
        <f>IFERROR(INDEX(PP_Grid[#Data],$DE1624,35),0)</f>
        <v/>
      </c>
      <c r="AM1624">
        <f>IFERROR(INDEX(PP_Grid[#Data],$DE1624,36),0)</f>
        <v/>
      </c>
      <c r="AN1624">
        <f>IFERROR(INDEX(PP_Grid[#Data],$DE1624,37),0)</f>
        <v/>
      </c>
      <c r="AO1624">
        <f>IFERROR(INDEX(PP_Grid[#Data],$DE1624,38),0)</f>
        <v/>
      </c>
      <c r="AP1624">
        <f>IFERROR(INDEX(PP_Grid[#Data],$DE1624,39),0)</f>
        <v/>
      </c>
      <c r="AQ1624">
        <f>IFERROR(INDEX(PP_Grid[#Data],$DE1624,40),0)</f>
        <v/>
      </c>
      <c r="AR1624">
        <f>IFERROR(INDEX(PP_Grid[#Data],$DE1624,41),0)</f>
        <v/>
      </c>
      <c r="AS1624">
        <f>IFERROR(INDEX(PP_Grid[#Data],$DE1624,42),0)</f>
        <v/>
      </c>
      <c r="AT1624">
        <f>IFERROR(INDEX(PP_Grid[#Data],$DE1624,43),0)</f>
        <v/>
      </c>
      <c r="AU1624">
        <f>IFERROR(INDEX(PP_Grid[#Data],$DE1624,44),0)</f>
        <v/>
      </c>
      <c r="AV1624">
        <f>IFERROR(INDEX(PP_Grid[#Data],$DE1624,45),0)</f>
        <v/>
      </c>
      <c r="AW1624">
        <f>IFERROR(INDEX(PP_Grid[#Data],$DE1624,46),0)</f>
        <v/>
      </c>
      <c r="AX1624">
        <f>IFERROR(INDEX(PP_Grid[#Data],$DE1624,47),0)</f>
        <v/>
      </c>
      <c r="AY1624">
        <f>IFERROR(INDEX(PP_Grid[#Data],$DE1624,48),0)</f>
        <v/>
      </c>
      <c r="AZ1624">
        <f>IFERROR(INDEX(PP_Grid[#Data],$DE1624,49),0)</f>
        <v/>
      </c>
      <c r="BA1624">
        <f>IFERROR(INDEX(PP_Grid[#Data],$DE1624,50),0)</f>
        <v/>
      </c>
      <c r="BB1624">
        <f>IFERROR(INDEX(PP_Grid[#Data],$DE1624,51),0)</f>
        <v/>
      </c>
      <c r="BC1624">
        <f>IFERROR(INDEX(PP_Grid[#Data],$DE1624,52),0)</f>
        <v/>
      </c>
      <c r="BD1624">
        <f>IFERROR(INDEX(PP_Grid[#Data],$DE1624,53),0)</f>
        <v/>
      </c>
      <c r="BE1624">
        <f>IFERROR(INDEX(PP_Grid[#Data],$DE1624,54),0)</f>
        <v/>
      </c>
      <c r="BF1624">
        <f>IFERROR(INDEX(PP_Grid[#Data],$DE1624,55),0)</f>
        <v/>
      </c>
      <c r="BG1624">
        <f>IFERROR(INDEX(PP_Grid[#Data],$DE1624,56),0)</f>
        <v/>
      </c>
      <c r="BH1624">
        <f>IFERROR(INDEX(PP_Grid[#Data],$DE1624,57),0)</f>
        <v/>
      </c>
      <c r="BI1624">
        <f>IFERROR(INDEX(PP_Grid[#Data],$DE1624,58),0)</f>
        <v/>
      </c>
      <c r="BJ1624">
        <f>IFERROR(INDEX(PP_Grid[#Data],$DE1624,59),0)</f>
        <v/>
      </c>
      <c r="BK1624">
        <f>IFERROR(INDEX(PP_Grid[#Data],$DE1624,60),0)</f>
        <v/>
      </c>
      <c r="BL1624">
        <f>IFERROR(INDEX(PP_Grid[#Data],$DE1624,61),0)</f>
        <v/>
      </c>
      <c r="BM1624">
        <f>IFERROR(INDEX(PP_Grid[#Data],$DE1624,62),0)</f>
        <v/>
      </c>
      <c r="BN1624">
        <f>IFERROR(INDEX(PP_Grid[#Data],$DE1624,63),0)</f>
        <v/>
      </c>
      <c r="BO1624">
        <f>IFERROR(INDEX(PP_Grid[#Data],$DE1624,64),0)</f>
        <v/>
      </c>
      <c r="BP1624">
        <f>IFERROR(INDEX(PP_Grid[#Data],$DE1624,65),0)</f>
        <v/>
      </c>
      <c r="BQ1624">
        <f>IFERROR(INDEX(PP_Grid[#Data],$DE1624,66),0)</f>
        <v/>
      </c>
      <c r="BR1624">
        <f>IFERROR(INDEX(PP_Grid[#Data],$DE1624,67),0)</f>
        <v/>
      </c>
      <c r="BS1624">
        <f>IFERROR(INDEX(PP_Grid[#Data],$DE1624,68),0)</f>
        <v/>
      </c>
      <c r="BT1624">
        <f>IFERROR(INDEX(PP_Grid[#Data],$DE1624,69),0)</f>
        <v/>
      </c>
      <c r="BU1624">
        <f>IFERROR(INDEX(PP_Grid[#Data],$DE1624,70),0)</f>
        <v/>
      </c>
      <c r="BV1624">
        <f>IFERROR(INDEX(PP_Grid[#Data],$DE1624,71),0)</f>
        <v/>
      </c>
      <c r="BW1624">
        <f>IFERROR(INDEX(PP_Grid[#Data],$DE1624,72),0)</f>
        <v/>
      </c>
      <c r="BX1624">
        <f>IFERROR(INDEX(PP_Grid[#Data],$DE1624,73),0)</f>
        <v/>
      </c>
      <c r="BY1624">
        <f>IFERROR(INDEX(PP_Grid[#Data],$DE1624,74),0)</f>
        <v/>
      </c>
      <c r="BZ1624">
        <f>IFERROR(INDEX(PP_Grid[#Data],$DE1624,75),0)</f>
        <v/>
      </c>
      <c r="CA1624">
        <f>IFERROR(INDEX(PP_Grid[#Data],$DE1624,76),0)</f>
        <v/>
      </c>
      <c r="CB1624">
        <f>IFERROR(INDEX(PP_Grid[#Data],$DE1624,77),0)</f>
        <v/>
      </c>
      <c r="CC1624">
        <f>IFERROR(INDEX(PP_Grid[#Data],$DE1624,78),0)</f>
        <v/>
      </c>
      <c r="CD1624">
        <f>IFERROR(INDEX(PP_Grid[#Data],$DE1624,79),0)</f>
        <v/>
      </c>
      <c r="CE1624">
        <f>IFERROR(INDEX(PP_Grid[#Data],$DE1624,80),0)</f>
        <v/>
      </c>
      <c r="CF1624">
        <f>IFERROR(INDEX(PP_Grid[#Data],$DE1624,81),0)</f>
        <v/>
      </c>
      <c r="CG1624">
        <f>IFERROR(INDEX(PP_Grid[#Data],$DE1624,82),0)</f>
        <v/>
      </c>
      <c r="CH1624">
        <f>IFERROR(INDEX(PP_Grid[#Data],$DE1624,83),0)</f>
        <v/>
      </c>
      <c r="CI1624">
        <f>IFERROR(INDEX(PP_Grid[#Data],$DE1624,84),0)</f>
        <v/>
      </c>
      <c r="CJ1624">
        <f>IFERROR(INDEX(PP_Grid[#Data],$DE1624,85),0)</f>
        <v/>
      </c>
      <c r="CK1624">
        <f>IFERROR(INDEX(PP_Grid[#Data],$DE1624,86),0)</f>
        <v/>
      </c>
      <c r="CL1624">
        <f>IFERROR(INDEX(PP_Grid[#Data],$DE1624,87),0)</f>
        <v/>
      </c>
      <c r="CM1624">
        <f>IFERROR(INDEX(PP_Grid[#Data],$DE1624,88),0)</f>
        <v/>
      </c>
      <c r="CN1624">
        <f>IFERROR(INDEX(PP_Grid[#Data],$DE1624,89),0)</f>
        <v/>
      </c>
      <c r="CO1624">
        <f>IFERROR(INDEX(PP_Grid[#Data],$DE1624,90),0)</f>
        <v/>
      </c>
      <c r="CP1624">
        <f>IFERROR(INDEX(PP_Grid[#Data],$DE1624,91),0)</f>
        <v/>
      </c>
      <c r="CQ1624">
        <f>IFERROR(INDEX(PP_Grid[#Data],$DE1624,92),0)</f>
        <v/>
      </c>
      <c r="CR1624">
        <f>IFERROR(INDEX(PP_Grid[#Data],$DE1624,93),0)</f>
        <v/>
      </c>
      <c r="CS1624">
        <f>IFERROR(INDEX(PP_Grid[#Data],$DE1624,94),0)</f>
        <v/>
      </c>
      <c r="CT1624">
        <f>IFERROR(INDEX(PP_Grid[#Data],$DE1624,95),0)</f>
        <v/>
      </c>
      <c r="CU1624">
        <f>IFERROR(INDEX(PP_Grid[#Data],$DE1624,96),0)</f>
        <v/>
      </c>
      <c r="CV1624">
        <f>IFERROR(INDEX(PP_Grid[#Data],$DE1624,97),0)</f>
        <v/>
      </c>
      <c r="CW1624">
        <f>IFERROR(INDEX(PP_Grid[#Data],$DE1624,98),0)</f>
        <v/>
      </c>
      <c r="CX1624">
        <f>IFERROR(INDEX(PP_Grid[#Data],$DE1624,99),0)</f>
        <v/>
      </c>
      <c r="CY1624">
        <f>IFERROR(INDEX(PP_Grid[#Data],$DE1624,100),0)</f>
        <v/>
      </c>
      <c r="CZ1624">
        <f>IFERROR(INDEX(PP_Grid[#Data],$DE1624,101),0)</f>
        <v/>
      </c>
      <c r="DA1624">
        <f>IFERROR(INDEX(PP_Grid[#Data],$DE1624,102),0)</f>
        <v/>
      </c>
      <c r="DB1624">
        <f>IFERROR(INDEX(PP_Grid[#Data],$DE1624,103),0)</f>
        <v/>
      </c>
      <c r="DC1624">
        <f>IFERROR(INDEX(PP_Grid[#Data],$DE1624,104),0)</f>
        <v/>
      </c>
      <c r="DD1624">
        <f>IFERROR(INDEX(PP_Grid[#Data],$DE1624,105),0)</f>
        <v/>
      </c>
      <c r="DE1624" s="7">
        <f>IFERROR(MATCH($B1624,PP_Grid[Intermediate],0),99999)</f>
        <v/>
      </c>
    </row>
    <row r="1625">
      <c r="B1625" t="inlineStr">
        <is>
          <t>使用量(kg)</t>
        </is>
      </c>
      <c r="C1625">
        <f>SUMIFS(M_BOM[RM_Qty_Per_Batch],M_BOM[Intermediate],$B1624,M_BOM[RM_Code],$A1603)</f>
        <v/>
      </c>
      <c r="D1625">
        <f>IFERROR(INDEX(E1625:DD1625,$F$1),"")</f>
        <v/>
      </c>
      <c r="E1625">
        <f>$C1625*E1624</f>
        <v/>
      </c>
      <c r="F1625">
        <f>$C1625*F1624</f>
        <v/>
      </c>
      <c r="G1625">
        <f>$C1625*G1624</f>
        <v/>
      </c>
      <c r="H1625">
        <f>$C1625*H1624</f>
        <v/>
      </c>
      <c r="I1625">
        <f>$C1625*I1624</f>
        <v/>
      </c>
      <c r="J1625">
        <f>$C1625*J1624</f>
        <v/>
      </c>
      <c r="K1625">
        <f>$C1625*K1624</f>
        <v/>
      </c>
      <c r="L1625">
        <f>$C1625*L1624</f>
        <v/>
      </c>
      <c r="M1625">
        <f>$C1625*M1624</f>
        <v/>
      </c>
      <c r="N1625">
        <f>$C1625*N1624</f>
        <v/>
      </c>
      <c r="O1625">
        <f>$C1625*O1624</f>
        <v/>
      </c>
      <c r="P1625">
        <f>$C1625*P1624</f>
        <v/>
      </c>
      <c r="Q1625">
        <f>$C1625*Q1624</f>
        <v/>
      </c>
      <c r="R1625">
        <f>$C1625*R1624</f>
        <v/>
      </c>
      <c r="S1625">
        <f>$C1625*S1624</f>
        <v/>
      </c>
      <c r="T1625">
        <f>$C1625*T1624</f>
        <v/>
      </c>
      <c r="U1625">
        <f>$C1625*U1624</f>
        <v/>
      </c>
      <c r="V1625">
        <f>$C1625*V1624</f>
        <v/>
      </c>
      <c r="W1625">
        <f>$C1625*W1624</f>
        <v/>
      </c>
      <c r="X1625">
        <f>$C1625*X1624</f>
        <v/>
      </c>
      <c r="Y1625">
        <f>$C1625*Y1624</f>
        <v/>
      </c>
      <c r="Z1625">
        <f>$C1625*Z1624</f>
        <v/>
      </c>
      <c r="AA1625">
        <f>$C1625*AA1624</f>
        <v/>
      </c>
      <c r="AB1625">
        <f>$C1625*AB1624</f>
        <v/>
      </c>
      <c r="AC1625">
        <f>$C1625*AC1624</f>
        <v/>
      </c>
      <c r="AD1625">
        <f>$C1625*AD1624</f>
        <v/>
      </c>
      <c r="AE1625">
        <f>$C1625*AE1624</f>
        <v/>
      </c>
      <c r="AF1625">
        <f>$C1625*AF1624</f>
        <v/>
      </c>
      <c r="AG1625">
        <f>$C1625*AG1624</f>
        <v/>
      </c>
      <c r="AH1625">
        <f>$C1625*AH1624</f>
        <v/>
      </c>
      <c r="AI1625">
        <f>$C1625*AI1624</f>
        <v/>
      </c>
      <c r="AJ1625">
        <f>$C1625*AJ1624</f>
        <v/>
      </c>
      <c r="AK1625">
        <f>$C1625*AK1624</f>
        <v/>
      </c>
      <c r="AL1625">
        <f>$C1625*AL1624</f>
        <v/>
      </c>
      <c r="AM1625">
        <f>$C1625*AM1624</f>
        <v/>
      </c>
      <c r="AN1625">
        <f>$C1625*AN1624</f>
        <v/>
      </c>
      <c r="AO1625">
        <f>$C1625*AO1624</f>
        <v/>
      </c>
      <c r="AP1625">
        <f>$C1625*AP1624</f>
        <v/>
      </c>
      <c r="AQ1625">
        <f>$C1625*AQ1624</f>
        <v/>
      </c>
      <c r="AR1625">
        <f>$C1625*AR1624</f>
        <v/>
      </c>
      <c r="AS1625">
        <f>$C1625*AS1624</f>
        <v/>
      </c>
      <c r="AT1625">
        <f>$C1625*AT1624</f>
        <v/>
      </c>
      <c r="AU1625">
        <f>$C1625*AU1624</f>
        <v/>
      </c>
      <c r="AV1625">
        <f>$C1625*AV1624</f>
        <v/>
      </c>
      <c r="AW1625">
        <f>$C1625*AW1624</f>
        <v/>
      </c>
      <c r="AX1625">
        <f>$C1625*AX1624</f>
        <v/>
      </c>
      <c r="AY1625">
        <f>$C1625*AY1624</f>
        <v/>
      </c>
      <c r="AZ1625">
        <f>$C1625*AZ1624</f>
        <v/>
      </c>
      <c r="BA1625">
        <f>$C1625*BA1624</f>
        <v/>
      </c>
      <c r="BB1625">
        <f>$C1625*BB1624</f>
        <v/>
      </c>
      <c r="BC1625">
        <f>$C1625*BC1624</f>
        <v/>
      </c>
      <c r="BD1625">
        <f>$C1625*BD1624</f>
        <v/>
      </c>
      <c r="BE1625">
        <f>$C1625*BE1624</f>
        <v/>
      </c>
      <c r="BF1625">
        <f>$C1625*BF1624</f>
        <v/>
      </c>
      <c r="BG1625">
        <f>$C1625*BG1624</f>
        <v/>
      </c>
      <c r="BH1625">
        <f>$C1625*BH1624</f>
        <v/>
      </c>
      <c r="BI1625">
        <f>$C1625*BI1624</f>
        <v/>
      </c>
      <c r="BJ1625">
        <f>$C1625*BJ1624</f>
        <v/>
      </c>
      <c r="BK1625">
        <f>$C1625*BK1624</f>
        <v/>
      </c>
      <c r="BL1625">
        <f>$C1625*BL1624</f>
        <v/>
      </c>
      <c r="BM1625">
        <f>$C1625*BM1624</f>
        <v/>
      </c>
      <c r="BN1625">
        <f>$C1625*BN1624</f>
        <v/>
      </c>
      <c r="BO1625">
        <f>$C1625*BO1624</f>
        <v/>
      </c>
      <c r="BP1625">
        <f>$C1625*BP1624</f>
        <v/>
      </c>
      <c r="BQ1625">
        <f>$C1625*BQ1624</f>
        <v/>
      </c>
      <c r="BR1625">
        <f>$C1625*BR1624</f>
        <v/>
      </c>
      <c r="BS1625">
        <f>$C1625*BS1624</f>
        <v/>
      </c>
      <c r="BT1625">
        <f>$C1625*BT1624</f>
        <v/>
      </c>
      <c r="BU1625">
        <f>$C1625*BU1624</f>
        <v/>
      </c>
      <c r="BV1625">
        <f>$C1625*BV1624</f>
        <v/>
      </c>
      <c r="BW1625">
        <f>$C1625*BW1624</f>
        <v/>
      </c>
      <c r="BX1625">
        <f>$C1625*BX1624</f>
        <v/>
      </c>
      <c r="BY1625">
        <f>$C1625*BY1624</f>
        <v/>
      </c>
      <c r="BZ1625">
        <f>$C1625*BZ1624</f>
        <v/>
      </c>
      <c r="CA1625">
        <f>$C1625*CA1624</f>
        <v/>
      </c>
      <c r="CB1625">
        <f>$C1625*CB1624</f>
        <v/>
      </c>
      <c r="CC1625">
        <f>$C1625*CC1624</f>
        <v/>
      </c>
      <c r="CD1625">
        <f>$C1625*CD1624</f>
        <v/>
      </c>
      <c r="CE1625">
        <f>$C1625*CE1624</f>
        <v/>
      </c>
      <c r="CF1625">
        <f>$C1625*CF1624</f>
        <v/>
      </c>
      <c r="CG1625">
        <f>$C1625*CG1624</f>
        <v/>
      </c>
      <c r="CH1625">
        <f>$C1625*CH1624</f>
        <v/>
      </c>
      <c r="CI1625">
        <f>$C1625*CI1624</f>
        <v/>
      </c>
      <c r="CJ1625">
        <f>$C1625*CJ1624</f>
        <v/>
      </c>
      <c r="CK1625">
        <f>$C1625*CK1624</f>
        <v/>
      </c>
      <c r="CL1625">
        <f>$C1625*CL1624</f>
        <v/>
      </c>
      <c r="CM1625">
        <f>$C1625*CM1624</f>
        <v/>
      </c>
      <c r="CN1625">
        <f>$C1625*CN1624</f>
        <v/>
      </c>
      <c r="CO1625">
        <f>$C1625*CO1624</f>
        <v/>
      </c>
      <c r="CP1625">
        <f>$C1625*CP1624</f>
        <v/>
      </c>
      <c r="CQ1625">
        <f>$C1625*CQ1624</f>
        <v/>
      </c>
      <c r="CR1625">
        <f>$C1625*CR1624</f>
        <v/>
      </c>
      <c r="CS1625">
        <f>$C1625*CS1624</f>
        <v/>
      </c>
      <c r="CT1625">
        <f>$C1625*CT1624</f>
        <v/>
      </c>
      <c r="CU1625">
        <f>$C1625*CU1624</f>
        <v/>
      </c>
      <c r="CV1625">
        <f>$C1625*CV1624</f>
        <v/>
      </c>
      <c r="CW1625">
        <f>$C1625*CW1624</f>
        <v/>
      </c>
      <c r="CX1625">
        <f>$C1625*CX1624</f>
        <v/>
      </c>
      <c r="CY1625">
        <f>$C1625*CY1624</f>
        <v/>
      </c>
      <c r="CZ1625">
        <f>$C1625*CZ1624</f>
        <v/>
      </c>
      <c r="DA1625">
        <f>$C1625*DA1624</f>
        <v/>
      </c>
      <c r="DB1625">
        <f>$C1625*DB1624</f>
        <v/>
      </c>
      <c r="DC1625">
        <f>$C1625*DC1624</f>
        <v/>
      </c>
      <c r="DD1625">
        <f>$C1625*DD1624</f>
        <v/>
      </c>
    </row>
    <row r="1626">
      <c r="B1626" t="inlineStr">
        <is>
          <t>TSP-935</t>
        </is>
      </c>
      <c r="C1626" t="inlineStr">
        <is>
          <t>No. of batches</t>
        </is>
      </c>
      <c r="D1626">
        <f>IFERROR(INDEX(E1626:DD1626,$F$1),"")</f>
        <v/>
      </c>
      <c r="E1626">
        <f>IFERROR(INDEX(PP_Grid[#Data],$DE1626,2),0)</f>
        <v/>
      </c>
      <c r="F1626">
        <f>IFERROR(INDEX(PP_Grid[#Data],$DE1626,3),0)</f>
        <v/>
      </c>
      <c r="G1626">
        <f>IFERROR(INDEX(PP_Grid[#Data],$DE1626,4),0)</f>
        <v/>
      </c>
      <c r="H1626">
        <f>IFERROR(INDEX(PP_Grid[#Data],$DE1626,5),0)</f>
        <v/>
      </c>
      <c r="I1626">
        <f>IFERROR(INDEX(PP_Grid[#Data],$DE1626,6),0)</f>
        <v/>
      </c>
      <c r="J1626">
        <f>IFERROR(INDEX(PP_Grid[#Data],$DE1626,7),0)</f>
        <v/>
      </c>
      <c r="K1626">
        <f>IFERROR(INDEX(PP_Grid[#Data],$DE1626,8),0)</f>
        <v/>
      </c>
      <c r="L1626">
        <f>IFERROR(INDEX(PP_Grid[#Data],$DE1626,9),0)</f>
        <v/>
      </c>
      <c r="M1626">
        <f>IFERROR(INDEX(PP_Grid[#Data],$DE1626,10),0)</f>
        <v/>
      </c>
      <c r="N1626">
        <f>IFERROR(INDEX(PP_Grid[#Data],$DE1626,11),0)</f>
        <v/>
      </c>
      <c r="O1626">
        <f>IFERROR(INDEX(PP_Grid[#Data],$DE1626,12),0)</f>
        <v/>
      </c>
      <c r="P1626">
        <f>IFERROR(INDEX(PP_Grid[#Data],$DE1626,13),0)</f>
        <v/>
      </c>
      <c r="Q1626">
        <f>IFERROR(INDEX(PP_Grid[#Data],$DE1626,14),0)</f>
        <v/>
      </c>
      <c r="R1626">
        <f>IFERROR(INDEX(PP_Grid[#Data],$DE1626,15),0)</f>
        <v/>
      </c>
      <c r="S1626">
        <f>IFERROR(INDEX(PP_Grid[#Data],$DE1626,16),0)</f>
        <v/>
      </c>
      <c r="T1626">
        <f>IFERROR(INDEX(PP_Grid[#Data],$DE1626,17),0)</f>
        <v/>
      </c>
      <c r="U1626">
        <f>IFERROR(INDEX(PP_Grid[#Data],$DE1626,18),0)</f>
        <v/>
      </c>
      <c r="V1626">
        <f>IFERROR(INDEX(PP_Grid[#Data],$DE1626,19),0)</f>
        <v/>
      </c>
      <c r="W1626">
        <f>IFERROR(INDEX(PP_Grid[#Data],$DE1626,20),0)</f>
        <v/>
      </c>
      <c r="X1626">
        <f>IFERROR(INDEX(PP_Grid[#Data],$DE1626,21),0)</f>
        <v/>
      </c>
      <c r="Y1626">
        <f>IFERROR(INDEX(PP_Grid[#Data],$DE1626,22),0)</f>
        <v/>
      </c>
      <c r="Z1626">
        <f>IFERROR(INDEX(PP_Grid[#Data],$DE1626,23),0)</f>
        <v/>
      </c>
      <c r="AA1626">
        <f>IFERROR(INDEX(PP_Grid[#Data],$DE1626,24),0)</f>
        <v/>
      </c>
      <c r="AB1626">
        <f>IFERROR(INDEX(PP_Grid[#Data],$DE1626,25),0)</f>
        <v/>
      </c>
      <c r="AC1626">
        <f>IFERROR(INDEX(PP_Grid[#Data],$DE1626,26),0)</f>
        <v/>
      </c>
      <c r="AD1626">
        <f>IFERROR(INDEX(PP_Grid[#Data],$DE1626,27),0)</f>
        <v/>
      </c>
      <c r="AE1626">
        <f>IFERROR(INDEX(PP_Grid[#Data],$DE1626,28),0)</f>
        <v/>
      </c>
      <c r="AF1626">
        <f>IFERROR(INDEX(PP_Grid[#Data],$DE1626,29),0)</f>
        <v/>
      </c>
      <c r="AG1626">
        <f>IFERROR(INDEX(PP_Grid[#Data],$DE1626,30),0)</f>
        <v/>
      </c>
      <c r="AH1626">
        <f>IFERROR(INDEX(PP_Grid[#Data],$DE1626,31),0)</f>
        <v/>
      </c>
      <c r="AI1626">
        <f>IFERROR(INDEX(PP_Grid[#Data],$DE1626,32),0)</f>
        <v/>
      </c>
      <c r="AJ1626">
        <f>IFERROR(INDEX(PP_Grid[#Data],$DE1626,33),0)</f>
        <v/>
      </c>
      <c r="AK1626">
        <f>IFERROR(INDEX(PP_Grid[#Data],$DE1626,34),0)</f>
        <v/>
      </c>
      <c r="AL1626">
        <f>IFERROR(INDEX(PP_Grid[#Data],$DE1626,35),0)</f>
        <v/>
      </c>
      <c r="AM1626">
        <f>IFERROR(INDEX(PP_Grid[#Data],$DE1626,36),0)</f>
        <v/>
      </c>
      <c r="AN1626">
        <f>IFERROR(INDEX(PP_Grid[#Data],$DE1626,37),0)</f>
        <v/>
      </c>
      <c r="AO1626">
        <f>IFERROR(INDEX(PP_Grid[#Data],$DE1626,38),0)</f>
        <v/>
      </c>
      <c r="AP1626">
        <f>IFERROR(INDEX(PP_Grid[#Data],$DE1626,39),0)</f>
        <v/>
      </c>
      <c r="AQ1626">
        <f>IFERROR(INDEX(PP_Grid[#Data],$DE1626,40),0)</f>
        <v/>
      </c>
      <c r="AR1626">
        <f>IFERROR(INDEX(PP_Grid[#Data],$DE1626,41),0)</f>
        <v/>
      </c>
      <c r="AS1626">
        <f>IFERROR(INDEX(PP_Grid[#Data],$DE1626,42),0)</f>
        <v/>
      </c>
      <c r="AT1626">
        <f>IFERROR(INDEX(PP_Grid[#Data],$DE1626,43),0)</f>
        <v/>
      </c>
      <c r="AU1626">
        <f>IFERROR(INDEX(PP_Grid[#Data],$DE1626,44),0)</f>
        <v/>
      </c>
      <c r="AV1626">
        <f>IFERROR(INDEX(PP_Grid[#Data],$DE1626,45),0)</f>
        <v/>
      </c>
      <c r="AW1626">
        <f>IFERROR(INDEX(PP_Grid[#Data],$DE1626,46),0)</f>
        <v/>
      </c>
      <c r="AX1626">
        <f>IFERROR(INDEX(PP_Grid[#Data],$DE1626,47),0)</f>
        <v/>
      </c>
      <c r="AY1626">
        <f>IFERROR(INDEX(PP_Grid[#Data],$DE1626,48),0)</f>
        <v/>
      </c>
      <c r="AZ1626">
        <f>IFERROR(INDEX(PP_Grid[#Data],$DE1626,49),0)</f>
        <v/>
      </c>
      <c r="BA1626">
        <f>IFERROR(INDEX(PP_Grid[#Data],$DE1626,50),0)</f>
        <v/>
      </c>
      <c r="BB1626">
        <f>IFERROR(INDEX(PP_Grid[#Data],$DE1626,51),0)</f>
        <v/>
      </c>
      <c r="BC1626">
        <f>IFERROR(INDEX(PP_Grid[#Data],$DE1626,52),0)</f>
        <v/>
      </c>
      <c r="BD1626">
        <f>IFERROR(INDEX(PP_Grid[#Data],$DE1626,53),0)</f>
        <v/>
      </c>
      <c r="BE1626">
        <f>IFERROR(INDEX(PP_Grid[#Data],$DE1626,54),0)</f>
        <v/>
      </c>
      <c r="BF1626">
        <f>IFERROR(INDEX(PP_Grid[#Data],$DE1626,55),0)</f>
        <v/>
      </c>
      <c r="BG1626">
        <f>IFERROR(INDEX(PP_Grid[#Data],$DE1626,56),0)</f>
        <v/>
      </c>
      <c r="BH1626">
        <f>IFERROR(INDEX(PP_Grid[#Data],$DE1626,57),0)</f>
        <v/>
      </c>
      <c r="BI1626">
        <f>IFERROR(INDEX(PP_Grid[#Data],$DE1626,58),0)</f>
        <v/>
      </c>
      <c r="BJ1626">
        <f>IFERROR(INDEX(PP_Grid[#Data],$DE1626,59),0)</f>
        <v/>
      </c>
      <c r="BK1626">
        <f>IFERROR(INDEX(PP_Grid[#Data],$DE1626,60),0)</f>
        <v/>
      </c>
      <c r="BL1626">
        <f>IFERROR(INDEX(PP_Grid[#Data],$DE1626,61),0)</f>
        <v/>
      </c>
      <c r="BM1626">
        <f>IFERROR(INDEX(PP_Grid[#Data],$DE1626,62),0)</f>
        <v/>
      </c>
      <c r="BN1626">
        <f>IFERROR(INDEX(PP_Grid[#Data],$DE1626,63),0)</f>
        <v/>
      </c>
      <c r="BO1626">
        <f>IFERROR(INDEX(PP_Grid[#Data],$DE1626,64),0)</f>
        <v/>
      </c>
      <c r="BP1626">
        <f>IFERROR(INDEX(PP_Grid[#Data],$DE1626,65),0)</f>
        <v/>
      </c>
      <c r="BQ1626">
        <f>IFERROR(INDEX(PP_Grid[#Data],$DE1626,66),0)</f>
        <v/>
      </c>
      <c r="BR1626">
        <f>IFERROR(INDEX(PP_Grid[#Data],$DE1626,67),0)</f>
        <v/>
      </c>
      <c r="BS1626">
        <f>IFERROR(INDEX(PP_Grid[#Data],$DE1626,68),0)</f>
        <v/>
      </c>
      <c r="BT1626">
        <f>IFERROR(INDEX(PP_Grid[#Data],$DE1626,69),0)</f>
        <v/>
      </c>
      <c r="BU1626">
        <f>IFERROR(INDEX(PP_Grid[#Data],$DE1626,70),0)</f>
        <v/>
      </c>
      <c r="BV1626">
        <f>IFERROR(INDEX(PP_Grid[#Data],$DE1626,71),0)</f>
        <v/>
      </c>
      <c r="BW1626">
        <f>IFERROR(INDEX(PP_Grid[#Data],$DE1626,72),0)</f>
        <v/>
      </c>
      <c r="BX1626">
        <f>IFERROR(INDEX(PP_Grid[#Data],$DE1626,73),0)</f>
        <v/>
      </c>
      <c r="BY1626">
        <f>IFERROR(INDEX(PP_Grid[#Data],$DE1626,74),0)</f>
        <v/>
      </c>
      <c r="BZ1626">
        <f>IFERROR(INDEX(PP_Grid[#Data],$DE1626,75),0)</f>
        <v/>
      </c>
      <c r="CA1626">
        <f>IFERROR(INDEX(PP_Grid[#Data],$DE1626,76),0)</f>
        <v/>
      </c>
      <c r="CB1626">
        <f>IFERROR(INDEX(PP_Grid[#Data],$DE1626,77),0)</f>
        <v/>
      </c>
      <c r="CC1626">
        <f>IFERROR(INDEX(PP_Grid[#Data],$DE1626,78),0)</f>
        <v/>
      </c>
      <c r="CD1626">
        <f>IFERROR(INDEX(PP_Grid[#Data],$DE1626,79),0)</f>
        <v/>
      </c>
      <c r="CE1626">
        <f>IFERROR(INDEX(PP_Grid[#Data],$DE1626,80),0)</f>
        <v/>
      </c>
      <c r="CF1626">
        <f>IFERROR(INDEX(PP_Grid[#Data],$DE1626,81),0)</f>
        <v/>
      </c>
      <c r="CG1626">
        <f>IFERROR(INDEX(PP_Grid[#Data],$DE1626,82),0)</f>
        <v/>
      </c>
      <c r="CH1626">
        <f>IFERROR(INDEX(PP_Grid[#Data],$DE1626,83),0)</f>
        <v/>
      </c>
      <c r="CI1626">
        <f>IFERROR(INDEX(PP_Grid[#Data],$DE1626,84),0)</f>
        <v/>
      </c>
      <c r="CJ1626">
        <f>IFERROR(INDEX(PP_Grid[#Data],$DE1626,85),0)</f>
        <v/>
      </c>
      <c r="CK1626">
        <f>IFERROR(INDEX(PP_Grid[#Data],$DE1626,86),0)</f>
        <v/>
      </c>
      <c r="CL1626">
        <f>IFERROR(INDEX(PP_Grid[#Data],$DE1626,87),0)</f>
        <v/>
      </c>
      <c r="CM1626">
        <f>IFERROR(INDEX(PP_Grid[#Data],$DE1626,88),0)</f>
        <v/>
      </c>
      <c r="CN1626">
        <f>IFERROR(INDEX(PP_Grid[#Data],$DE1626,89),0)</f>
        <v/>
      </c>
      <c r="CO1626">
        <f>IFERROR(INDEX(PP_Grid[#Data],$DE1626,90),0)</f>
        <v/>
      </c>
      <c r="CP1626">
        <f>IFERROR(INDEX(PP_Grid[#Data],$DE1626,91),0)</f>
        <v/>
      </c>
      <c r="CQ1626">
        <f>IFERROR(INDEX(PP_Grid[#Data],$DE1626,92),0)</f>
        <v/>
      </c>
      <c r="CR1626">
        <f>IFERROR(INDEX(PP_Grid[#Data],$DE1626,93),0)</f>
        <v/>
      </c>
      <c r="CS1626">
        <f>IFERROR(INDEX(PP_Grid[#Data],$DE1626,94),0)</f>
        <v/>
      </c>
      <c r="CT1626">
        <f>IFERROR(INDEX(PP_Grid[#Data],$DE1626,95),0)</f>
        <v/>
      </c>
      <c r="CU1626">
        <f>IFERROR(INDEX(PP_Grid[#Data],$DE1626,96),0)</f>
        <v/>
      </c>
      <c r="CV1626">
        <f>IFERROR(INDEX(PP_Grid[#Data],$DE1626,97),0)</f>
        <v/>
      </c>
      <c r="CW1626">
        <f>IFERROR(INDEX(PP_Grid[#Data],$DE1626,98),0)</f>
        <v/>
      </c>
      <c r="CX1626">
        <f>IFERROR(INDEX(PP_Grid[#Data],$DE1626,99),0)</f>
        <v/>
      </c>
      <c r="CY1626">
        <f>IFERROR(INDEX(PP_Grid[#Data],$DE1626,100),0)</f>
        <v/>
      </c>
      <c r="CZ1626">
        <f>IFERROR(INDEX(PP_Grid[#Data],$DE1626,101),0)</f>
        <v/>
      </c>
      <c r="DA1626">
        <f>IFERROR(INDEX(PP_Grid[#Data],$DE1626,102),0)</f>
        <v/>
      </c>
      <c r="DB1626">
        <f>IFERROR(INDEX(PP_Grid[#Data],$DE1626,103),0)</f>
        <v/>
      </c>
      <c r="DC1626">
        <f>IFERROR(INDEX(PP_Grid[#Data],$DE1626,104),0)</f>
        <v/>
      </c>
      <c r="DD1626">
        <f>IFERROR(INDEX(PP_Grid[#Data],$DE1626,105),0)</f>
        <v/>
      </c>
      <c r="DE1626" s="7">
        <f>IFERROR(MATCH($B1626,PP_Grid[Intermediate],0),99999)</f>
        <v/>
      </c>
    </row>
    <row r="1627">
      <c r="B1627" t="inlineStr">
        <is>
          <t>使用量(kg)</t>
        </is>
      </c>
      <c r="C1627">
        <f>SUMIFS(M_BOM[RM_Qty_Per_Batch],M_BOM[Intermediate],$B1626,M_BOM[RM_Code],$A1603)</f>
        <v/>
      </c>
      <c r="D1627">
        <f>IFERROR(INDEX(E1627:DD1627,$F$1),"")</f>
        <v/>
      </c>
      <c r="E1627">
        <f>$C1627*E1626</f>
        <v/>
      </c>
      <c r="F1627">
        <f>$C1627*F1626</f>
        <v/>
      </c>
      <c r="G1627">
        <f>$C1627*G1626</f>
        <v/>
      </c>
      <c r="H1627">
        <f>$C1627*H1626</f>
        <v/>
      </c>
      <c r="I1627">
        <f>$C1627*I1626</f>
        <v/>
      </c>
      <c r="J1627">
        <f>$C1627*J1626</f>
        <v/>
      </c>
      <c r="K1627">
        <f>$C1627*K1626</f>
        <v/>
      </c>
      <c r="L1627">
        <f>$C1627*L1626</f>
        <v/>
      </c>
      <c r="M1627">
        <f>$C1627*M1626</f>
        <v/>
      </c>
      <c r="N1627">
        <f>$C1627*N1626</f>
        <v/>
      </c>
      <c r="O1627">
        <f>$C1627*O1626</f>
        <v/>
      </c>
      <c r="P1627">
        <f>$C1627*P1626</f>
        <v/>
      </c>
      <c r="Q1627">
        <f>$C1627*Q1626</f>
        <v/>
      </c>
      <c r="R1627">
        <f>$C1627*R1626</f>
        <v/>
      </c>
      <c r="S1627">
        <f>$C1627*S1626</f>
        <v/>
      </c>
      <c r="T1627">
        <f>$C1627*T1626</f>
        <v/>
      </c>
      <c r="U1627">
        <f>$C1627*U1626</f>
        <v/>
      </c>
      <c r="V1627">
        <f>$C1627*V1626</f>
        <v/>
      </c>
      <c r="W1627">
        <f>$C1627*W1626</f>
        <v/>
      </c>
      <c r="X1627">
        <f>$C1627*X1626</f>
        <v/>
      </c>
      <c r="Y1627">
        <f>$C1627*Y1626</f>
        <v/>
      </c>
      <c r="Z1627">
        <f>$C1627*Z1626</f>
        <v/>
      </c>
      <c r="AA1627">
        <f>$C1627*AA1626</f>
        <v/>
      </c>
      <c r="AB1627">
        <f>$C1627*AB1626</f>
        <v/>
      </c>
      <c r="AC1627">
        <f>$C1627*AC1626</f>
        <v/>
      </c>
      <c r="AD1627">
        <f>$C1627*AD1626</f>
        <v/>
      </c>
      <c r="AE1627">
        <f>$C1627*AE1626</f>
        <v/>
      </c>
      <c r="AF1627">
        <f>$C1627*AF1626</f>
        <v/>
      </c>
      <c r="AG1627">
        <f>$C1627*AG1626</f>
        <v/>
      </c>
      <c r="AH1627">
        <f>$C1627*AH1626</f>
        <v/>
      </c>
      <c r="AI1627">
        <f>$C1627*AI1626</f>
        <v/>
      </c>
      <c r="AJ1627">
        <f>$C1627*AJ1626</f>
        <v/>
      </c>
      <c r="AK1627">
        <f>$C1627*AK1626</f>
        <v/>
      </c>
      <c r="AL1627">
        <f>$C1627*AL1626</f>
        <v/>
      </c>
      <c r="AM1627">
        <f>$C1627*AM1626</f>
        <v/>
      </c>
      <c r="AN1627">
        <f>$C1627*AN1626</f>
        <v/>
      </c>
      <c r="AO1627">
        <f>$C1627*AO1626</f>
        <v/>
      </c>
      <c r="AP1627">
        <f>$C1627*AP1626</f>
        <v/>
      </c>
      <c r="AQ1627">
        <f>$C1627*AQ1626</f>
        <v/>
      </c>
      <c r="AR1627">
        <f>$C1627*AR1626</f>
        <v/>
      </c>
      <c r="AS1627">
        <f>$C1627*AS1626</f>
        <v/>
      </c>
      <c r="AT1627">
        <f>$C1627*AT1626</f>
        <v/>
      </c>
      <c r="AU1627">
        <f>$C1627*AU1626</f>
        <v/>
      </c>
      <c r="AV1627">
        <f>$C1627*AV1626</f>
        <v/>
      </c>
      <c r="AW1627">
        <f>$C1627*AW1626</f>
        <v/>
      </c>
      <c r="AX1627">
        <f>$C1627*AX1626</f>
        <v/>
      </c>
      <c r="AY1627">
        <f>$C1627*AY1626</f>
        <v/>
      </c>
      <c r="AZ1627">
        <f>$C1627*AZ1626</f>
        <v/>
      </c>
      <c r="BA1627">
        <f>$C1627*BA1626</f>
        <v/>
      </c>
      <c r="BB1627">
        <f>$C1627*BB1626</f>
        <v/>
      </c>
      <c r="BC1627">
        <f>$C1627*BC1626</f>
        <v/>
      </c>
      <c r="BD1627">
        <f>$C1627*BD1626</f>
        <v/>
      </c>
      <c r="BE1627">
        <f>$C1627*BE1626</f>
        <v/>
      </c>
      <c r="BF1627">
        <f>$C1627*BF1626</f>
        <v/>
      </c>
      <c r="BG1627">
        <f>$C1627*BG1626</f>
        <v/>
      </c>
      <c r="BH1627">
        <f>$C1627*BH1626</f>
        <v/>
      </c>
      <c r="BI1627">
        <f>$C1627*BI1626</f>
        <v/>
      </c>
      <c r="BJ1627">
        <f>$C1627*BJ1626</f>
        <v/>
      </c>
      <c r="BK1627">
        <f>$C1627*BK1626</f>
        <v/>
      </c>
      <c r="BL1627">
        <f>$C1627*BL1626</f>
        <v/>
      </c>
      <c r="BM1627">
        <f>$C1627*BM1626</f>
        <v/>
      </c>
      <c r="BN1627">
        <f>$C1627*BN1626</f>
        <v/>
      </c>
      <c r="BO1627">
        <f>$C1627*BO1626</f>
        <v/>
      </c>
      <c r="BP1627">
        <f>$C1627*BP1626</f>
        <v/>
      </c>
      <c r="BQ1627">
        <f>$C1627*BQ1626</f>
        <v/>
      </c>
      <c r="BR1627">
        <f>$C1627*BR1626</f>
        <v/>
      </c>
      <c r="BS1627">
        <f>$C1627*BS1626</f>
        <v/>
      </c>
      <c r="BT1627">
        <f>$C1627*BT1626</f>
        <v/>
      </c>
      <c r="BU1627">
        <f>$C1627*BU1626</f>
        <v/>
      </c>
      <c r="BV1627">
        <f>$C1627*BV1626</f>
        <v/>
      </c>
      <c r="BW1627">
        <f>$C1627*BW1626</f>
        <v/>
      </c>
      <c r="BX1627">
        <f>$C1627*BX1626</f>
        <v/>
      </c>
      <c r="BY1627">
        <f>$C1627*BY1626</f>
        <v/>
      </c>
      <c r="BZ1627">
        <f>$C1627*BZ1626</f>
        <v/>
      </c>
      <c r="CA1627">
        <f>$C1627*CA1626</f>
        <v/>
      </c>
      <c r="CB1627">
        <f>$C1627*CB1626</f>
        <v/>
      </c>
      <c r="CC1627">
        <f>$C1627*CC1626</f>
        <v/>
      </c>
      <c r="CD1627">
        <f>$C1627*CD1626</f>
        <v/>
      </c>
      <c r="CE1627">
        <f>$C1627*CE1626</f>
        <v/>
      </c>
      <c r="CF1627">
        <f>$C1627*CF1626</f>
        <v/>
      </c>
      <c r="CG1627">
        <f>$C1627*CG1626</f>
        <v/>
      </c>
      <c r="CH1627">
        <f>$C1627*CH1626</f>
        <v/>
      </c>
      <c r="CI1627">
        <f>$C1627*CI1626</f>
        <v/>
      </c>
      <c r="CJ1627">
        <f>$C1627*CJ1626</f>
        <v/>
      </c>
      <c r="CK1627">
        <f>$C1627*CK1626</f>
        <v/>
      </c>
      <c r="CL1627">
        <f>$C1627*CL1626</f>
        <v/>
      </c>
      <c r="CM1627">
        <f>$C1627*CM1626</f>
        <v/>
      </c>
      <c r="CN1627">
        <f>$C1627*CN1626</f>
        <v/>
      </c>
      <c r="CO1627">
        <f>$C1627*CO1626</f>
        <v/>
      </c>
      <c r="CP1627">
        <f>$C1627*CP1626</f>
        <v/>
      </c>
      <c r="CQ1627">
        <f>$C1627*CQ1626</f>
        <v/>
      </c>
      <c r="CR1627">
        <f>$C1627*CR1626</f>
        <v/>
      </c>
      <c r="CS1627">
        <f>$C1627*CS1626</f>
        <v/>
      </c>
      <c r="CT1627">
        <f>$C1627*CT1626</f>
        <v/>
      </c>
      <c r="CU1627">
        <f>$C1627*CU1626</f>
        <v/>
      </c>
      <c r="CV1627">
        <f>$C1627*CV1626</f>
        <v/>
      </c>
      <c r="CW1627">
        <f>$C1627*CW1626</f>
        <v/>
      </c>
      <c r="CX1627">
        <f>$C1627*CX1626</f>
        <v/>
      </c>
      <c r="CY1627">
        <f>$C1627*CY1626</f>
        <v/>
      </c>
      <c r="CZ1627">
        <f>$C1627*CZ1626</f>
        <v/>
      </c>
      <c r="DA1627">
        <f>$C1627*DA1626</f>
        <v/>
      </c>
      <c r="DB1627">
        <f>$C1627*DB1626</f>
        <v/>
      </c>
      <c r="DC1627">
        <f>$C1627*DC1626</f>
        <v/>
      </c>
      <c r="DD1627">
        <f>$C1627*DD1626</f>
        <v/>
      </c>
    </row>
    <row r="1628">
      <c r="B1628" t="inlineStr">
        <is>
          <t>TSP-937</t>
        </is>
      </c>
      <c r="C1628" t="inlineStr">
        <is>
          <t>No. of batches</t>
        </is>
      </c>
      <c r="D1628">
        <f>IFERROR(INDEX(E1628:DD1628,$F$1),"")</f>
        <v/>
      </c>
      <c r="E1628">
        <f>IFERROR(INDEX(PP_Grid[#Data],$DE1628,2),0)</f>
        <v/>
      </c>
      <c r="F1628">
        <f>IFERROR(INDEX(PP_Grid[#Data],$DE1628,3),0)</f>
        <v/>
      </c>
      <c r="G1628">
        <f>IFERROR(INDEX(PP_Grid[#Data],$DE1628,4),0)</f>
        <v/>
      </c>
      <c r="H1628">
        <f>IFERROR(INDEX(PP_Grid[#Data],$DE1628,5),0)</f>
        <v/>
      </c>
      <c r="I1628">
        <f>IFERROR(INDEX(PP_Grid[#Data],$DE1628,6),0)</f>
        <v/>
      </c>
      <c r="J1628">
        <f>IFERROR(INDEX(PP_Grid[#Data],$DE1628,7),0)</f>
        <v/>
      </c>
      <c r="K1628">
        <f>IFERROR(INDEX(PP_Grid[#Data],$DE1628,8),0)</f>
        <v/>
      </c>
      <c r="L1628">
        <f>IFERROR(INDEX(PP_Grid[#Data],$DE1628,9),0)</f>
        <v/>
      </c>
      <c r="M1628">
        <f>IFERROR(INDEX(PP_Grid[#Data],$DE1628,10),0)</f>
        <v/>
      </c>
      <c r="N1628">
        <f>IFERROR(INDEX(PP_Grid[#Data],$DE1628,11),0)</f>
        <v/>
      </c>
      <c r="O1628">
        <f>IFERROR(INDEX(PP_Grid[#Data],$DE1628,12),0)</f>
        <v/>
      </c>
      <c r="P1628">
        <f>IFERROR(INDEX(PP_Grid[#Data],$DE1628,13),0)</f>
        <v/>
      </c>
      <c r="Q1628">
        <f>IFERROR(INDEX(PP_Grid[#Data],$DE1628,14),0)</f>
        <v/>
      </c>
      <c r="R1628">
        <f>IFERROR(INDEX(PP_Grid[#Data],$DE1628,15),0)</f>
        <v/>
      </c>
      <c r="S1628">
        <f>IFERROR(INDEX(PP_Grid[#Data],$DE1628,16),0)</f>
        <v/>
      </c>
      <c r="T1628">
        <f>IFERROR(INDEX(PP_Grid[#Data],$DE1628,17),0)</f>
        <v/>
      </c>
      <c r="U1628">
        <f>IFERROR(INDEX(PP_Grid[#Data],$DE1628,18),0)</f>
        <v/>
      </c>
      <c r="V1628">
        <f>IFERROR(INDEX(PP_Grid[#Data],$DE1628,19),0)</f>
        <v/>
      </c>
      <c r="W1628">
        <f>IFERROR(INDEX(PP_Grid[#Data],$DE1628,20),0)</f>
        <v/>
      </c>
      <c r="X1628">
        <f>IFERROR(INDEX(PP_Grid[#Data],$DE1628,21),0)</f>
        <v/>
      </c>
      <c r="Y1628">
        <f>IFERROR(INDEX(PP_Grid[#Data],$DE1628,22),0)</f>
        <v/>
      </c>
      <c r="Z1628">
        <f>IFERROR(INDEX(PP_Grid[#Data],$DE1628,23),0)</f>
        <v/>
      </c>
      <c r="AA1628">
        <f>IFERROR(INDEX(PP_Grid[#Data],$DE1628,24),0)</f>
        <v/>
      </c>
      <c r="AB1628">
        <f>IFERROR(INDEX(PP_Grid[#Data],$DE1628,25),0)</f>
        <v/>
      </c>
      <c r="AC1628">
        <f>IFERROR(INDEX(PP_Grid[#Data],$DE1628,26),0)</f>
        <v/>
      </c>
      <c r="AD1628">
        <f>IFERROR(INDEX(PP_Grid[#Data],$DE1628,27),0)</f>
        <v/>
      </c>
      <c r="AE1628">
        <f>IFERROR(INDEX(PP_Grid[#Data],$DE1628,28),0)</f>
        <v/>
      </c>
      <c r="AF1628">
        <f>IFERROR(INDEX(PP_Grid[#Data],$DE1628,29),0)</f>
        <v/>
      </c>
      <c r="AG1628">
        <f>IFERROR(INDEX(PP_Grid[#Data],$DE1628,30),0)</f>
        <v/>
      </c>
      <c r="AH1628">
        <f>IFERROR(INDEX(PP_Grid[#Data],$DE1628,31),0)</f>
        <v/>
      </c>
      <c r="AI1628">
        <f>IFERROR(INDEX(PP_Grid[#Data],$DE1628,32),0)</f>
        <v/>
      </c>
      <c r="AJ1628">
        <f>IFERROR(INDEX(PP_Grid[#Data],$DE1628,33),0)</f>
        <v/>
      </c>
      <c r="AK1628">
        <f>IFERROR(INDEX(PP_Grid[#Data],$DE1628,34),0)</f>
        <v/>
      </c>
      <c r="AL1628">
        <f>IFERROR(INDEX(PP_Grid[#Data],$DE1628,35),0)</f>
        <v/>
      </c>
      <c r="AM1628">
        <f>IFERROR(INDEX(PP_Grid[#Data],$DE1628,36),0)</f>
        <v/>
      </c>
      <c r="AN1628">
        <f>IFERROR(INDEX(PP_Grid[#Data],$DE1628,37),0)</f>
        <v/>
      </c>
      <c r="AO1628">
        <f>IFERROR(INDEX(PP_Grid[#Data],$DE1628,38),0)</f>
        <v/>
      </c>
      <c r="AP1628">
        <f>IFERROR(INDEX(PP_Grid[#Data],$DE1628,39),0)</f>
        <v/>
      </c>
      <c r="AQ1628">
        <f>IFERROR(INDEX(PP_Grid[#Data],$DE1628,40),0)</f>
        <v/>
      </c>
      <c r="AR1628">
        <f>IFERROR(INDEX(PP_Grid[#Data],$DE1628,41),0)</f>
        <v/>
      </c>
      <c r="AS1628">
        <f>IFERROR(INDEX(PP_Grid[#Data],$DE1628,42),0)</f>
        <v/>
      </c>
      <c r="AT1628">
        <f>IFERROR(INDEX(PP_Grid[#Data],$DE1628,43),0)</f>
        <v/>
      </c>
      <c r="AU1628">
        <f>IFERROR(INDEX(PP_Grid[#Data],$DE1628,44),0)</f>
        <v/>
      </c>
      <c r="AV1628">
        <f>IFERROR(INDEX(PP_Grid[#Data],$DE1628,45),0)</f>
        <v/>
      </c>
      <c r="AW1628">
        <f>IFERROR(INDEX(PP_Grid[#Data],$DE1628,46),0)</f>
        <v/>
      </c>
      <c r="AX1628">
        <f>IFERROR(INDEX(PP_Grid[#Data],$DE1628,47),0)</f>
        <v/>
      </c>
      <c r="AY1628">
        <f>IFERROR(INDEX(PP_Grid[#Data],$DE1628,48),0)</f>
        <v/>
      </c>
      <c r="AZ1628">
        <f>IFERROR(INDEX(PP_Grid[#Data],$DE1628,49),0)</f>
        <v/>
      </c>
      <c r="BA1628">
        <f>IFERROR(INDEX(PP_Grid[#Data],$DE1628,50),0)</f>
        <v/>
      </c>
      <c r="BB1628">
        <f>IFERROR(INDEX(PP_Grid[#Data],$DE1628,51),0)</f>
        <v/>
      </c>
      <c r="BC1628">
        <f>IFERROR(INDEX(PP_Grid[#Data],$DE1628,52),0)</f>
        <v/>
      </c>
      <c r="BD1628">
        <f>IFERROR(INDEX(PP_Grid[#Data],$DE1628,53),0)</f>
        <v/>
      </c>
      <c r="BE1628">
        <f>IFERROR(INDEX(PP_Grid[#Data],$DE1628,54),0)</f>
        <v/>
      </c>
      <c r="BF1628">
        <f>IFERROR(INDEX(PP_Grid[#Data],$DE1628,55),0)</f>
        <v/>
      </c>
      <c r="BG1628">
        <f>IFERROR(INDEX(PP_Grid[#Data],$DE1628,56),0)</f>
        <v/>
      </c>
      <c r="BH1628">
        <f>IFERROR(INDEX(PP_Grid[#Data],$DE1628,57),0)</f>
        <v/>
      </c>
      <c r="BI1628">
        <f>IFERROR(INDEX(PP_Grid[#Data],$DE1628,58),0)</f>
        <v/>
      </c>
      <c r="BJ1628">
        <f>IFERROR(INDEX(PP_Grid[#Data],$DE1628,59),0)</f>
        <v/>
      </c>
      <c r="BK1628">
        <f>IFERROR(INDEX(PP_Grid[#Data],$DE1628,60),0)</f>
        <v/>
      </c>
      <c r="BL1628">
        <f>IFERROR(INDEX(PP_Grid[#Data],$DE1628,61),0)</f>
        <v/>
      </c>
      <c r="BM1628">
        <f>IFERROR(INDEX(PP_Grid[#Data],$DE1628,62),0)</f>
        <v/>
      </c>
      <c r="BN1628">
        <f>IFERROR(INDEX(PP_Grid[#Data],$DE1628,63),0)</f>
        <v/>
      </c>
      <c r="BO1628">
        <f>IFERROR(INDEX(PP_Grid[#Data],$DE1628,64),0)</f>
        <v/>
      </c>
      <c r="BP1628">
        <f>IFERROR(INDEX(PP_Grid[#Data],$DE1628,65),0)</f>
        <v/>
      </c>
      <c r="BQ1628">
        <f>IFERROR(INDEX(PP_Grid[#Data],$DE1628,66),0)</f>
        <v/>
      </c>
      <c r="BR1628">
        <f>IFERROR(INDEX(PP_Grid[#Data],$DE1628,67),0)</f>
        <v/>
      </c>
      <c r="BS1628">
        <f>IFERROR(INDEX(PP_Grid[#Data],$DE1628,68),0)</f>
        <v/>
      </c>
      <c r="BT1628">
        <f>IFERROR(INDEX(PP_Grid[#Data],$DE1628,69),0)</f>
        <v/>
      </c>
      <c r="BU1628">
        <f>IFERROR(INDEX(PP_Grid[#Data],$DE1628,70),0)</f>
        <v/>
      </c>
      <c r="BV1628">
        <f>IFERROR(INDEX(PP_Grid[#Data],$DE1628,71),0)</f>
        <v/>
      </c>
      <c r="BW1628">
        <f>IFERROR(INDEX(PP_Grid[#Data],$DE1628,72),0)</f>
        <v/>
      </c>
      <c r="BX1628">
        <f>IFERROR(INDEX(PP_Grid[#Data],$DE1628,73),0)</f>
        <v/>
      </c>
      <c r="BY1628">
        <f>IFERROR(INDEX(PP_Grid[#Data],$DE1628,74),0)</f>
        <v/>
      </c>
      <c r="BZ1628">
        <f>IFERROR(INDEX(PP_Grid[#Data],$DE1628,75),0)</f>
        <v/>
      </c>
      <c r="CA1628">
        <f>IFERROR(INDEX(PP_Grid[#Data],$DE1628,76),0)</f>
        <v/>
      </c>
      <c r="CB1628">
        <f>IFERROR(INDEX(PP_Grid[#Data],$DE1628,77),0)</f>
        <v/>
      </c>
      <c r="CC1628">
        <f>IFERROR(INDEX(PP_Grid[#Data],$DE1628,78),0)</f>
        <v/>
      </c>
      <c r="CD1628">
        <f>IFERROR(INDEX(PP_Grid[#Data],$DE1628,79),0)</f>
        <v/>
      </c>
      <c r="CE1628">
        <f>IFERROR(INDEX(PP_Grid[#Data],$DE1628,80),0)</f>
        <v/>
      </c>
      <c r="CF1628">
        <f>IFERROR(INDEX(PP_Grid[#Data],$DE1628,81),0)</f>
        <v/>
      </c>
      <c r="CG1628">
        <f>IFERROR(INDEX(PP_Grid[#Data],$DE1628,82),0)</f>
        <v/>
      </c>
      <c r="CH1628">
        <f>IFERROR(INDEX(PP_Grid[#Data],$DE1628,83),0)</f>
        <v/>
      </c>
      <c r="CI1628">
        <f>IFERROR(INDEX(PP_Grid[#Data],$DE1628,84),0)</f>
        <v/>
      </c>
      <c r="CJ1628">
        <f>IFERROR(INDEX(PP_Grid[#Data],$DE1628,85),0)</f>
        <v/>
      </c>
      <c r="CK1628">
        <f>IFERROR(INDEX(PP_Grid[#Data],$DE1628,86),0)</f>
        <v/>
      </c>
      <c r="CL1628">
        <f>IFERROR(INDEX(PP_Grid[#Data],$DE1628,87),0)</f>
        <v/>
      </c>
      <c r="CM1628">
        <f>IFERROR(INDEX(PP_Grid[#Data],$DE1628,88),0)</f>
        <v/>
      </c>
      <c r="CN1628">
        <f>IFERROR(INDEX(PP_Grid[#Data],$DE1628,89),0)</f>
        <v/>
      </c>
      <c r="CO1628">
        <f>IFERROR(INDEX(PP_Grid[#Data],$DE1628,90),0)</f>
        <v/>
      </c>
      <c r="CP1628">
        <f>IFERROR(INDEX(PP_Grid[#Data],$DE1628,91),0)</f>
        <v/>
      </c>
      <c r="CQ1628">
        <f>IFERROR(INDEX(PP_Grid[#Data],$DE1628,92),0)</f>
        <v/>
      </c>
      <c r="CR1628">
        <f>IFERROR(INDEX(PP_Grid[#Data],$DE1628,93),0)</f>
        <v/>
      </c>
      <c r="CS1628">
        <f>IFERROR(INDEX(PP_Grid[#Data],$DE1628,94),0)</f>
        <v/>
      </c>
      <c r="CT1628">
        <f>IFERROR(INDEX(PP_Grid[#Data],$DE1628,95),0)</f>
        <v/>
      </c>
      <c r="CU1628">
        <f>IFERROR(INDEX(PP_Grid[#Data],$DE1628,96),0)</f>
        <v/>
      </c>
      <c r="CV1628">
        <f>IFERROR(INDEX(PP_Grid[#Data],$DE1628,97),0)</f>
        <v/>
      </c>
      <c r="CW1628">
        <f>IFERROR(INDEX(PP_Grid[#Data],$DE1628,98),0)</f>
        <v/>
      </c>
      <c r="CX1628">
        <f>IFERROR(INDEX(PP_Grid[#Data],$DE1628,99),0)</f>
        <v/>
      </c>
      <c r="CY1628">
        <f>IFERROR(INDEX(PP_Grid[#Data],$DE1628,100),0)</f>
        <v/>
      </c>
      <c r="CZ1628">
        <f>IFERROR(INDEX(PP_Grid[#Data],$DE1628,101),0)</f>
        <v/>
      </c>
      <c r="DA1628">
        <f>IFERROR(INDEX(PP_Grid[#Data],$DE1628,102),0)</f>
        <v/>
      </c>
      <c r="DB1628">
        <f>IFERROR(INDEX(PP_Grid[#Data],$DE1628,103),0)</f>
        <v/>
      </c>
      <c r="DC1628">
        <f>IFERROR(INDEX(PP_Grid[#Data],$DE1628,104),0)</f>
        <v/>
      </c>
      <c r="DD1628">
        <f>IFERROR(INDEX(PP_Grid[#Data],$DE1628,105),0)</f>
        <v/>
      </c>
      <c r="DE1628" s="7">
        <f>IFERROR(MATCH($B1628,PP_Grid[Intermediate],0),99999)</f>
        <v/>
      </c>
    </row>
    <row r="1629">
      <c r="B1629" t="inlineStr">
        <is>
          <t>使用量(kg)</t>
        </is>
      </c>
      <c r="C1629">
        <f>SUMIFS(M_BOM[RM_Qty_Per_Batch],M_BOM[Intermediate],$B1628,M_BOM[RM_Code],$A1603)</f>
        <v/>
      </c>
      <c r="D1629">
        <f>IFERROR(INDEX(E1629:DD1629,$F$1),"")</f>
        <v/>
      </c>
      <c r="E1629">
        <f>$C1629*E1628</f>
        <v/>
      </c>
      <c r="F1629">
        <f>$C1629*F1628</f>
        <v/>
      </c>
      <c r="G1629">
        <f>$C1629*G1628</f>
        <v/>
      </c>
      <c r="H1629">
        <f>$C1629*H1628</f>
        <v/>
      </c>
      <c r="I1629">
        <f>$C1629*I1628</f>
        <v/>
      </c>
      <c r="J1629">
        <f>$C1629*J1628</f>
        <v/>
      </c>
      <c r="K1629">
        <f>$C1629*K1628</f>
        <v/>
      </c>
      <c r="L1629">
        <f>$C1629*L1628</f>
        <v/>
      </c>
      <c r="M1629">
        <f>$C1629*M1628</f>
        <v/>
      </c>
      <c r="N1629">
        <f>$C1629*N1628</f>
        <v/>
      </c>
      <c r="O1629">
        <f>$C1629*O1628</f>
        <v/>
      </c>
      <c r="P1629">
        <f>$C1629*P1628</f>
        <v/>
      </c>
      <c r="Q1629">
        <f>$C1629*Q1628</f>
        <v/>
      </c>
      <c r="R1629">
        <f>$C1629*R1628</f>
        <v/>
      </c>
      <c r="S1629">
        <f>$C1629*S1628</f>
        <v/>
      </c>
      <c r="T1629">
        <f>$C1629*T1628</f>
        <v/>
      </c>
      <c r="U1629">
        <f>$C1629*U1628</f>
        <v/>
      </c>
      <c r="V1629">
        <f>$C1629*V1628</f>
        <v/>
      </c>
      <c r="W1629">
        <f>$C1629*W1628</f>
        <v/>
      </c>
      <c r="X1629">
        <f>$C1629*X1628</f>
        <v/>
      </c>
      <c r="Y1629">
        <f>$C1629*Y1628</f>
        <v/>
      </c>
      <c r="Z1629">
        <f>$C1629*Z1628</f>
        <v/>
      </c>
      <c r="AA1629">
        <f>$C1629*AA1628</f>
        <v/>
      </c>
      <c r="AB1629">
        <f>$C1629*AB1628</f>
        <v/>
      </c>
      <c r="AC1629">
        <f>$C1629*AC1628</f>
        <v/>
      </c>
      <c r="AD1629">
        <f>$C1629*AD1628</f>
        <v/>
      </c>
      <c r="AE1629">
        <f>$C1629*AE1628</f>
        <v/>
      </c>
      <c r="AF1629">
        <f>$C1629*AF1628</f>
        <v/>
      </c>
      <c r="AG1629">
        <f>$C1629*AG1628</f>
        <v/>
      </c>
      <c r="AH1629">
        <f>$C1629*AH1628</f>
        <v/>
      </c>
      <c r="AI1629">
        <f>$C1629*AI1628</f>
        <v/>
      </c>
      <c r="AJ1629">
        <f>$C1629*AJ1628</f>
        <v/>
      </c>
      <c r="AK1629">
        <f>$C1629*AK1628</f>
        <v/>
      </c>
      <c r="AL1629">
        <f>$C1629*AL1628</f>
        <v/>
      </c>
      <c r="AM1629">
        <f>$C1629*AM1628</f>
        <v/>
      </c>
      <c r="AN1629">
        <f>$C1629*AN1628</f>
        <v/>
      </c>
      <c r="AO1629">
        <f>$C1629*AO1628</f>
        <v/>
      </c>
      <c r="AP1629">
        <f>$C1629*AP1628</f>
        <v/>
      </c>
      <c r="AQ1629">
        <f>$C1629*AQ1628</f>
        <v/>
      </c>
      <c r="AR1629">
        <f>$C1629*AR1628</f>
        <v/>
      </c>
      <c r="AS1629">
        <f>$C1629*AS1628</f>
        <v/>
      </c>
      <c r="AT1629">
        <f>$C1629*AT1628</f>
        <v/>
      </c>
      <c r="AU1629">
        <f>$C1629*AU1628</f>
        <v/>
      </c>
      <c r="AV1629">
        <f>$C1629*AV1628</f>
        <v/>
      </c>
      <c r="AW1629">
        <f>$C1629*AW1628</f>
        <v/>
      </c>
      <c r="AX1629">
        <f>$C1629*AX1628</f>
        <v/>
      </c>
      <c r="AY1629">
        <f>$C1629*AY1628</f>
        <v/>
      </c>
      <c r="AZ1629">
        <f>$C1629*AZ1628</f>
        <v/>
      </c>
      <c r="BA1629">
        <f>$C1629*BA1628</f>
        <v/>
      </c>
      <c r="BB1629">
        <f>$C1629*BB1628</f>
        <v/>
      </c>
      <c r="BC1629">
        <f>$C1629*BC1628</f>
        <v/>
      </c>
      <c r="BD1629">
        <f>$C1629*BD1628</f>
        <v/>
      </c>
      <c r="BE1629">
        <f>$C1629*BE1628</f>
        <v/>
      </c>
      <c r="BF1629">
        <f>$C1629*BF1628</f>
        <v/>
      </c>
      <c r="BG1629">
        <f>$C1629*BG1628</f>
        <v/>
      </c>
      <c r="BH1629">
        <f>$C1629*BH1628</f>
        <v/>
      </c>
      <c r="BI1629">
        <f>$C1629*BI1628</f>
        <v/>
      </c>
      <c r="BJ1629">
        <f>$C1629*BJ1628</f>
        <v/>
      </c>
      <c r="BK1629">
        <f>$C1629*BK1628</f>
        <v/>
      </c>
      <c r="BL1629">
        <f>$C1629*BL1628</f>
        <v/>
      </c>
      <c r="BM1629">
        <f>$C1629*BM1628</f>
        <v/>
      </c>
      <c r="BN1629">
        <f>$C1629*BN1628</f>
        <v/>
      </c>
      <c r="BO1629">
        <f>$C1629*BO1628</f>
        <v/>
      </c>
      <c r="BP1629">
        <f>$C1629*BP1628</f>
        <v/>
      </c>
      <c r="BQ1629">
        <f>$C1629*BQ1628</f>
        <v/>
      </c>
      <c r="BR1629">
        <f>$C1629*BR1628</f>
        <v/>
      </c>
      <c r="BS1629">
        <f>$C1629*BS1628</f>
        <v/>
      </c>
      <c r="BT1629">
        <f>$C1629*BT1628</f>
        <v/>
      </c>
      <c r="BU1629">
        <f>$C1629*BU1628</f>
        <v/>
      </c>
      <c r="BV1629">
        <f>$C1629*BV1628</f>
        <v/>
      </c>
      <c r="BW1629">
        <f>$C1629*BW1628</f>
        <v/>
      </c>
      <c r="BX1629">
        <f>$C1629*BX1628</f>
        <v/>
      </c>
      <c r="BY1629">
        <f>$C1629*BY1628</f>
        <v/>
      </c>
      <c r="BZ1629">
        <f>$C1629*BZ1628</f>
        <v/>
      </c>
      <c r="CA1629">
        <f>$C1629*CA1628</f>
        <v/>
      </c>
      <c r="CB1629">
        <f>$C1629*CB1628</f>
        <v/>
      </c>
      <c r="CC1629">
        <f>$C1629*CC1628</f>
        <v/>
      </c>
      <c r="CD1629">
        <f>$C1629*CD1628</f>
        <v/>
      </c>
      <c r="CE1629">
        <f>$C1629*CE1628</f>
        <v/>
      </c>
      <c r="CF1629">
        <f>$C1629*CF1628</f>
        <v/>
      </c>
      <c r="CG1629">
        <f>$C1629*CG1628</f>
        <v/>
      </c>
      <c r="CH1629">
        <f>$C1629*CH1628</f>
        <v/>
      </c>
      <c r="CI1629">
        <f>$C1629*CI1628</f>
        <v/>
      </c>
      <c r="CJ1629">
        <f>$C1629*CJ1628</f>
        <v/>
      </c>
      <c r="CK1629">
        <f>$C1629*CK1628</f>
        <v/>
      </c>
      <c r="CL1629">
        <f>$C1629*CL1628</f>
        <v/>
      </c>
      <c r="CM1629">
        <f>$C1629*CM1628</f>
        <v/>
      </c>
      <c r="CN1629">
        <f>$C1629*CN1628</f>
        <v/>
      </c>
      <c r="CO1629">
        <f>$C1629*CO1628</f>
        <v/>
      </c>
      <c r="CP1629">
        <f>$C1629*CP1628</f>
        <v/>
      </c>
      <c r="CQ1629">
        <f>$C1629*CQ1628</f>
        <v/>
      </c>
      <c r="CR1629">
        <f>$C1629*CR1628</f>
        <v/>
      </c>
      <c r="CS1629">
        <f>$C1629*CS1628</f>
        <v/>
      </c>
      <c r="CT1629">
        <f>$C1629*CT1628</f>
        <v/>
      </c>
      <c r="CU1629">
        <f>$C1629*CU1628</f>
        <v/>
      </c>
      <c r="CV1629">
        <f>$C1629*CV1628</f>
        <v/>
      </c>
      <c r="CW1629">
        <f>$C1629*CW1628</f>
        <v/>
      </c>
      <c r="CX1629">
        <f>$C1629*CX1628</f>
        <v/>
      </c>
      <c r="CY1629">
        <f>$C1629*CY1628</f>
        <v/>
      </c>
      <c r="CZ1629">
        <f>$C1629*CZ1628</f>
        <v/>
      </c>
      <c r="DA1629">
        <f>$C1629*DA1628</f>
        <v/>
      </c>
      <c r="DB1629">
        <f>$C1629*DB1628</f>
        <v/>
      </c>
      <c r="DC1629">
        <f>$C1629*DC1628</f>
        <v/>
      </c>
      <c r="DD1629">
        <f>$C1629*DD1628</f>
        <v/>
      </c>
    </row>
    <row r="1630">
      <c r="B1630" t="inlineStr">
        <is>
          <t>TSP-959</t>
        </is>
      </c>
      <c r="C1630" t="inlineStr">
        <is>
          <t>No. of batches</t>
        </is>
      </c>
      <c r="D1630">
        <f>IFERROR(INDEX(E1630:DD1630,$F$1),"")</f>
        <v/>
      </c>
      <c r="E1630">
        <f>IFERROR(INDEX(PP_Grid[#Data],$DE1630,2),0)</f>
        <v/>
      </c>
      <c r="F1630">
        <f>IFERROR(INDEX(PP_Grid[#Data],$DE1630,3),0)</f>
        <v/>
      </c>
      <c r="G1630">
        <f>IFERROR(INDEX(PP_Grid[#Data],$DE1630,4),0)</f>
        <v/>
      </c>
      <c r="H1630">
        <f>IFERROR(INDEX(PP_Grid[#Data],$DE1630,5),0)</f>
        <v/>
      </c>
      <c r="I1630">
        <f>IFERROR(INDEX(PP_Grid[#Data],$DE1630,6),0)</f>
        <v/>
      </c>
      <c r="J1630">
        <f>IFERROR(INDEX(PP_Grid[#Data],$DE1630,7),0)</f>
        <v/>
      </c>
      <c r="K1630">
        <f>IFERROR(INDEX(PP_Grid[#Data],$DE1630,8),0)</f>
        <v/>
      </c>
      <c r="L1630">
        <f>IFERROR(INDEX(PP_Grid[#Data],$DE1630,9),0)</f>
        <v/>
      </c>
      <c r="M1630">
        <f>IFERROR(INDEX(PP_Grid[#Data],$DE1630,10),0)</f>
        <v/>
      </c>
      <c r="N1630">
        <f>IFERROR(INDEX(PP_Grid[#Data],$DE1630,11),0)</f>
        <v/>
      </c>
      <c r="O1630">
        <f>IFERROR(INDEX(PP_Grid[#Data],$DE1630,12),0)</f>
        <v/>
      </c>
      <c r="P1630">
        <f>IFERROR(INDEX(PP_Grid[#Data],$DE1630,13),0)</f>
        <v/>
      </c>
      <c r="Q1630">
        <f>IFERROR(INDEX(PP_Grid[#Data],$DE1630,14),0)</f>
        <v/>
      </c>
      <c r="R1630">
        <f>IFERROR(INDEX(PP_Grid[#Data],$DE1630,15),0)</f>
        <v/>
      </c>
      <c r="S1630">
        <f>IFERROR(INDEX(PP_Grid[#Data],$DE1630,16),0)</f>
        <v/>
      </c>
      <c r="T1630">
        <f>IFERROR(INDEX(PP_Grid[#Data],$DE1630,17),0)</f>
        <v/>
      </c>
      <c r="U1630">
        <f>IFERROR(INDEX(PP_Grid[#Data],$DE1630,18),0)</f>
        <v/>
      </c>
      <c r="V1630">
        <f>IFERROR(INDEX(PP_Grid[#Data],$DE1630,19),0)</f>
        <v/>
      </c>
      <c r="W1630">
        <f>IFERROR(INDEX(PP_Grid[#Data],$DE1630,20),0)</f>
        <v/>
      </c>
      <c r="X1630">
        <f>IFERROR(INDEX(PP_Grid[#Data],$DE1630,21),0)</f>
        <v/>
      </c>
      <c r="Y1630">
        <f>IFERROR(INDEX(PP_Grid[#Data],$DE1630,22),0)</f>
        <v/>
      </c>
      <c r="Z1630">
        <f>IFERROR(INDEX(PP_Grid[#Data],$DE1630,23),0)</f>
        <v/>
      </c>
      <c r="AA1630">
        <f>IFERROR(INDEX(PP_Grid[#Data],$DE1630,24),0)</f>
        <v/>
      </c>
      <c r="AB1630">
        <f>IFERROR(INDEX(PP_Grid[#Data],$DE1630,25),0)</f>
        <v/>
      </c>
      <c r="AC1630">
        <f>IFERROR(INDEX(PP_Grid[#Data],$DE1630,26),0)</f>
        <v/>
      </c>
      <c r="AD1630">
        <f>IFERROR(INDEX(PP_Grid[#Data],$DE1630,27),0)</f>
        <v/>
      </c>
      <c r="AE1630">
        <f>IFERROR(INDEX(PP_Grid[#Data],$DE1630,28),0)</f>
        <v/>
      </c>
      <c r="AF1630">
        <f>IFERROR(INDEX(PP_Grid[#Data],$DE1630,29),0)</f>
        <v/>
      </c>
      <c r="AG1630">
        <f>IFERROR(INDEX(PP_Grid[#Data],$DE1630,30),0)</f>
        <v/>
      </c>
      <c r="AH1630">
        <f>IFERROR(INDEX(PP_Grid[#Data],$DE1630,31),0)</f>
        <v/>
      </c>
      <c r="AI1630">
        <f>IFERROR(INDEX(PP_Grid[#Data],$DE1630,32),0)</f>
        <v/>
      </c>
      <c r="AJ1630">
        <f>IFERROR(INDEX(PP_Grid[#Data],$DE1630,33),0)</f>
        <v/>
      </c>
      <c r="AK1630">
        <f>IFERROR(INDEX(PP_Grid[#Data],$DE1630,34),0)</f>
        <v/>
      </c>
      <c r="AL1630">
        <f>IFERROR(INDEX(PP_Grid[#Data],$DE1630,35),0)</f>
        <v/>
      </c>
      <c r="AM1630">
        <f>IFERROR(INDEX(PP_Grid[#Data],$DE1630,36),0)</f>
        <v/>
      </c>
      <c r="AN1630">
        <f>IFERROR(INDEX(PP_Grid[#Data],$DE1630,37),0)</f>
        <v/>
      </c>
      <c r="AO1630">
        <f>IFERROR(INDEX(PP_Grid[#Data],$DE1630,38),0)</f>
        <v/>
      </c>
      <c r="AP1630">
        <f>IFERROR(INDEX(PP_Grid[#Data],$DE1630,39),0)</f>
        <v/>
      </c>
      <c r="AQ1630">
        <f>IFERROR(INDEX(PP_Grid[#Data],$DE1630,40),0)</f>
        <v/>
      </c>
      <c r="AR1630">
        <f>IFERROR(INDEX(PP_Grid[#Data],$DE1630,41),0)</f>
        <v/>
      </c>
      <c r="AS1630">
        <f>IFERROR(INDEX(PP_Grid[#Data],$DE1630,42),0)</f>
        <v/>
      </c>
      <c r="AT1630">
        <f>IFERROR(INDEX(PP_Grid[#Data],$DE1630,43),0)</f>
        <v/>
      </c>
      <c r="AU1630">
        <f>IFERROR(INDEX(PP_Grid[#Data],$DE1630,44),0)</f>
        <v/>
      </c>
      <c r="AV1630">
        <f>IFERROR(INDEX(PP_Grid[#Data],$DE1630,45),0)</f>
        <v/>
      </c>
      <c r="AW1630">
        <f>IFERROR(INDEX(PP_Grid[#Data],$DE1630,46),0)</f>
        <v/>
      </c>
      <c r="AX1630">
        <f>IFERROR(INDEX(PP_Grid[#Data],$DE1630,47),0)</f>
        <v/>
      </c>
      <c r="AY1630">
        <f>IFERROR(INDEX(PP_Grid[#Data],$DE1630,48),0)</f>
        <v/>
      </c>
      <c r="AZ1630">
        <f>IFERROR(INDEX(PP_Grid[#Data],$DE1630,49),0)</f>
        <v/>
      </c>
      <c r="BA1630">
        <f>IFERROR(INDEX(PP_Grid[#Data],$DE1630,50),0)</f>
        <v/>
      </c>
      <c r="BB1630">
        <f>IFERROR(INDEX(PP_Grid[#Data],$DE1630,51),0)</f>
        <v/>
      </c>
      <c r="BC1630">
        <f>IFERROR(INDEX(PP_Grid[#Data],$DE1630,52),0)</f>
        <v/>
      </c>
      <c r="BD1630">
        <f>IFERROR(INDEX(PP_Grid[#Data],$DE1630,53),0)</f>
        <v/>
      </c>
      <c r="BE1630">
        <f>IFERROR(INDEX(PP_Grid[#Data],$DE1630,54),0)</f>
        <v/>
      </c>
      <c r="BF1630">
        <f>IFERROR(INDEX(PP_Grid[#Data],$DE1630,55),0)</f>
        <v/>
      </c>
      <c r="BG1630">
        <f>IFERROR(INDEX(PP_Grid[#Data],$DE1630,56),0)</f>
        <v/>
      </c>
      <c r="BH1630">
        <f>IFERROR(INDEX(PP_Grid[#Data],$DE1630,57),0)</f>
        <v/>
      </c>
      <c r="BI1630">
        <f>IFERROR(INDEX(PP_Grid[#Data],$DE1630,58),0)</f>
        <v/>
      </c>
      <c r="BJ1630">
        <f>IFERROR(INDEX(PP_Grid[#Data],$DE1630,59),0)</f>
        <v/>
      </c>
      <c r="BK1630">
        <f>IFERROR(INDEX(PP_Grid[#Data],$DE1630,60),0)</f>
        <v/>
      </c>
      <c r="BL1630">
        <f>IFERROR(INDEX(PP_Grid[#Data],$DE1630,61),0)</f>
        <v/>
      </c>
      <c r="BM1630">
        <f>IFERROR(INDEX(PP_Grid[#Data],$DE1630,62),0)</f>
        <v/>
      </c>
      <c r="BN1630">
        <f>IFERROR(INDEX(PP_Grid[#Data],$DE1630,63),0)</f>
        <v/>
      </c>
      <c r="BO1630">
        <f>IFERROR(INDEX(PP_Grid[#Data],$DE1630,64),0)</f>
        <v/>
      </c>
      <c r="BP1630">
        <f>IFERROR(INDEX(PP_Grid[#Data],$DE1630,65),0)</f>
        <v/>
      </c>
      <c r="BQ1630">
        <f>IFERROR(INDEX(PP_Grid[#Data],$DE1630,66),0)</f>
        <v/>
      </c>
      <c r="BR1630">
        <f>IFERROR(INDEX(PP_Grid[#Data],$DE1630,67),0)</f>
        <v/>
      </c>
      <c r="BS1630">
        <f>IFERROR(INDEX(PP_Grid[#Data],$DE1630,68),0)</f>
        <v/>
      </c>
      <c r="BT1630">
        <f>IFERROR(INDEX(PP_Grid[#Data],$DE1630,69),0)</f>
        <v/>
      </c>
      <c r="BU1630">
        <f>IFERROR(INDEX(PP_Grid[#Data],$DE1630,70),0)</f>
        <v/>
      </c>
      <c r="BV1630">
        <f>IFERROR(INDEX(PP_Grid[#Data],$DE1630,71),0)</f>
        <v/>
      </c>
      <c r="BW1630">
        <f>IFERROR(INDEX(PP_Grid[#Data],$DE1630,72),0)</f>
        <v/>
      </c>
      <c r="BX1630">
        <f>IFERROR(INDEX(PP_Grid[#Data],$DE1630,73),0)</f>
        <v/>
      </c>
      <c r="BY1630">
        <f>IFERROR(INDEX(PP_Grid[#Data],$DE1630,74),0)</f>
        <v/>
      </c>
      <c r="BZ1630">
        <f>IFERROR(INDEX(PP_Grid[#Data],$DE1630,75),0)</f>
        <v/>
      </c>
      <c r="CA1630">
        <f>IFERROR(INDEX(PP_Grid[#Data],$DE1630,76),0)</f>
        <v/>
      </c>
      <c r="CB1630">
        <f>IFERROR(INDEX(PP_Grid[#Data],$DE1630,77),0)</f>
        <v/>
      </c>
      <c r="CC1630">
        <f>IFERROR(INDEX(PP_Grid[#Data],$DE1630,78),0)</f>
        <v/>
      </c>
      <c r="CD1630">
        <f>IFERROR(INDEX(PP_Grid[#Data],$DE1630,79),0)</f>
        <v/>
      </c>
      <c r="CE1630">
        <f>IFERROR(INDEX(PP_Grid[#Data],$DE1630,80),0)</f>
        <v/>
      </c>
      <c r="CF1630">
        <f>IFERROR(INDEX(PP_Grid[#Data],$DE1630,81),0)</f>
        <v/>
      </c>
      <c r="CG1630">
        <f>IFERROR(INDEX(PP_Grid[#Data],$DE1630,82),0)</f>
        <v/>
      </c>
      <c r="CH1630">
        <f>IFERROR(INDEX(PP_Grid[#Data],$DE1630,83),0)</f>
        <v/>
      </c>
      <c r="CI1630">
        <f>IFERROR(INDEX(PP_Grid[#Data],$DE1630,84),0)</f>
        <v/>
      </c>
      <c r="CJ1630">
        <f>IFERROR(INDEX(PP_Grid[#Data],$DE1630,85),0)</f>
        <v/>
      </c>
      <c r="CK1630">
        <f>IFERROR(INDEX(PP_Grid[#Data],$DE1630,86),0)</f>
        <v/>
      </c>
      <c r="CL1630">
        <f>IFERROR(INDEX(PP_Grid[#Data],$DE1630,87),0)</f>
        <v/>
      </c>
      <c r="CM1630">
        <f>IFERROR(INDEX(PP_Grid[#Data],$DE1630,88),0)</f>
        <v/>
      </c>
      <c r="CN1630">
        <f>IFERROR(INDEX(PP_Grid[#Data],$DE1630,89),0)</f>
        <v/>
      </c>
      <c r="CO1630">
        <f>IFERROR(INDEX(PP_Grid[#Data],$DE1630,90),0)</f>
        <v/>
      </c>
      <c r="CP1630">
        <f>IFERROR(INDEX(PP_Grid[#Data],$DE1630,91),0)</f>
        <v/>
      </c>
      <c r="CQ1630">
        <f>IFERROR(INDEX(PP_Grid[#Data],$DE1630,92),0)</f>
        <v/>
      </c>
      <c r="CR1630">
        <f>IFERROR(INDEX(PP_Grid[#Data],$DE1630,93),0)</f>
        <v/>
      </c>
      <c r="CS1630">
        <f>IFERROR(INDEX(PP_Grid[#Data],$DE1630,94),0)</f>
        <v/>
      </c>
      <c r="CT1630">
        <f>IFERROR(INDEX(PP_Grid[#Data],$DE1630,95),0)</f>
        <v/>
      </c>
      <c r="CU1630">
        <f>IFERROR(INDEX(PP_Grid[#Data],$DE1630,96),0)</f>
        <v/>
      </c>
      <c r="CV1630">
        <f>IFERROR(INDEX(PP_Grid[#Data],$DE1630,97),0)</f>
        <v/>
      </c>
      <c r="CW1630">
        <f>IFERROR(INDEX(PP_Grid[#Data],$DE1630,98),0)</f>
        <v/>
      </c>
      <c r="CX1630">
        <f>IFERROR(INDEX(PP_Grid[#Data],$DE1630,99),0)</f>
        <v/>
      </c>
      <c r="CY1630">
        <f>IFERROR(INDEX(PP_Grid[#Data],$DE1630,100),0)</f>
        <v/>
      </c>
      <c r="CZ1630">
        <f>IFERROR(INDEX(PP_Grid[#Data],$DE1630,101),0)</f>
        <v/>
      </c>
      <c r="DA1630">
        <f>IFERROR(INDEX(PP_Grid[#Data],$DE1630,102),0)</f>
        <v/>
      </c>
      <c r="DB1630">
        <f>IFERROR(INDEX(PP_Grid[#Data],$DE1630,103),0)</f>
        <v/>
      </c>
      <c r="DC1630">
        <f>IFERROR(INDEX(PP_Grid[#Data],$DE1630,104),0)</f>
        <v/>
      </c>
      <c r="DD1630">
        <f>IFERROR(INDEX(PP_Grid[#Data],$DE1630,105),0)</f>
        <v/>
      </c>
      <c r="DE1630" s="7">
        <f>IFERROR(MATCH($B1630,PP_Grid[Intermediate],0),99999)</f>
        <v/>
      </c>
    </row>
    <row r="1631">
      <c r="B1631" t="inlineStr">
        <is>
          <t>使用量(kg)</t>
        </is>
      </c>
      <c r="C1631">
        <f>SUMIFS(M_BOM[RM_Qty_Per_Batch],M_BOM[Intermediate],$B1630,M_BOM[RM_Code],$A1603)</f>
        <v/>
      </c>
      <c r="D1631">
        <f>IFERROR(INDEX(E1631:DD1631,$F$1),"")</f>
        <v/>
      </c>
      <c r="E1631">
        <f>$C1631*E1630</f>
        <v/>
      </c>
      <c r="F1631">
        <f>$C1631*F1630</f>
        <v/>
      </c>
      <c r="G1631">
        <f>$C1631*G1630</f>
        <v/>
      </c>
      <c r="H1631">
        <f>$C1631*H1630</f>
        <v/>
      </c>
      <c r="I1631">
        <f>$C1631*I1630</f>
        <v/>
      </c>
      <c r="J1631">
        <f>$C1631*J1630</f>
        <v/>
      </c>
      <c r="K1631">
        <f>$C1631*K1630</f>
        <v/>
      </c>
      <c r="L1631">
        <f>$C1631*L1630</f>
        <v/>
      </c>
      <c r="M1631">
        <f>$C1631*M1630</f>
        <v/>
      </c>
      <c r="N1631">
        <f>$C1631*N1630</f>
        <v/>
      </c>
      <c r="O1631">
        <f>$C1631*O1630</f>
        <v/>
      </c>
      <c r="P1631">
        <f>$C1631*P1630</f>
        <v/>
      </c>
      <c r="Q1631">
        <f>$C1631*Q1630</f>
        <v/>
      </c>
      <c r="R1631">
        <f>$C1631*R1630</f>
        <v/>
      </c>
      <c r="S1631">
        <f>$C1631*S1630</f>
        <v/>
      </c>
      <c r="T1631">
        <f>$C1631*T1630</f>
        <v/>
      </c>
      <c r="U1631">
        <f>$C1631*U1630</f>
        <v/>
      </c>
      <c r="V1631">
        <f>$C1631*V1630</f>
        <v/>
      </c>
      <c r="W1631">
        <f>$C1631*W1630</f>
        <v/>
      </c>
      <c r="X1631">
        <f>$C1631*X1630</f>
        <v/>
      </c>
      <c r="Y1631">
        <f>$C1631*Y1630</f>
        <v/>
      </c>
      <c r="Z1631">
        <f>$C1631*Z1630</f>
        <v/>
      </c>
      <c r="AA1631">
        <f>$C1631*AA1630</f>
        <v/>
      </c>
      <c r="AB1631">
        <f>$C1631*AB1630</f>
        <v/>
      </c>
      <c r="AC1631">
        <f>$C1631*AC1630</f>
        <v/>
      </c>
      <c r="AD1631">
        <f>$C1631*AD1630</f>
        <v/>
      </c>
      <c r="AE1631">
        <f>$C1631*AE1630</f>
        <v/>
      </c>
      <c r="AF1631">
        <f>$C1631*AF1630</f>
        <v/>
      </c>
      <c r="AG1631">
        <f>$C1631*AG1630</f>
        <v/>
      </c>
      <c r="AH1631">
        <f>$C1631*AH1630</f>
        <v/>
      </c>
      <c r="AI1631">
        <f>$C1631*AI1630</f>
        <v/>
      </c>
      <c r="AJ1631">
        <f>$C1631*AJ1630</f>
        <v/>
      </c>
      <c r="AK1631">
        <f>$C1631*AK1630</f>
        <v/>
      </c>
      <c r="AL1631">
        <f>$C1631*AL1630</f>
        <v/>
      </c>
      <c r="AM1631">
        <f>$C1631*AM1630</f>
        <v/>
      </c>
      <c r="AN1631">
        <f>$C1631*AN1630</f>
        <v/>
      </c>
      <c r="AO1631">
        <f>$C1631*AO1630</f>
        <v/>
      </c>
      <c r="AP1631">
        <f>$C1631*AP1630</f>
        <v/>
      </c>
      <c r="AQ1631">
        <f>$C1631*AQ1630</f>
        <v/>
      </c>
      <c r="AR1631">
        <f>$C1631*AR1630</f>
        <v/>
      </c>
      <c r="AS1631">
        <f>$C1631*AS1630</f>
        <v/>
      </c>
      <c r="AT1631">
        <f>$C1631*AT1630</f>
        <v/>
      </c>
      <c r="AU1631">
        <f>$C1631*AU1630</f>
        <v/>
      </c>
      <c r="AV1631">
        <f>$C1631*AV1630</f>
        <v/>
      </c>
      <c r="AW1631">
        <f>$C1631*AW1630</f>
        <v/>
      </c>
      <c r="AX1631">
        <f>$C1631*AX1630</f>
        <v/>
      </c>
      <c r="AY1631">
        <f>$C1631*AY1630</f>
        <v/>
      </c>
      <c r="AZ1631">
        <f>$C1631*AZ1630</f>
        <v/>
      </c>
      <c r="BA1631">
        <f>$C1631*BA1630</f>
        <v/>
      </c>
      <c r="BB1631">
        <f>$C1631*BB1630</f>
        <v/>
      </c>
      <c r="BC1631">
        <f>$C1631*BC1630</f>
        <v/>
      </c>
      <c r="BD1631">
        <f>$C1631*BD1630</f>
        <v/>
      </c>
      <c r="BE1631">
        <f>$C1631*BE1630</f>
        <v/>
      </c>
      <c r="BF1631">
        <f>$C1631*BF1630</f>
        <v/>
      </c>
      <c r="BG1631">
        <f>$C1631*BG1630</f>
        <v/>
      </c>
      <c r="BH1631">
        <f>$C1631*BH1630</f>
        <v/>
      </c>
      <c r="BI1631">
        <f>$C1631*BI1630</f>
        <v/>
      </c>
      <c r="BJ1631">
        <f>$C1631*BJ1630</f>
        <v/>
      </c>
      <c r="BK1631">
        <f>$C1631*BK1630</f>
        <v/>
      </c>
      <c r="BL1631">
        <f>$C1631*BL1630</f>
        <v/>
      </c>
      <c r="BM1631">
        <f>$C1631*BM1630</f>
        <v/>
      </c>
      <c r="BN1631">
        <f>$C1631*BN1630</f>
        <v/>
      </c>
      <c r="BO1631">
        <f>$C1631*BO1630</f>
        <v/>
      </c>
      <c r="BP1631">
        <f>$C1631*BP1630</f>
        <v/>
      </c>
      <c r="BQ1631">
        <f>$C1631*BQ1630</f>
        <v/>
      </c>
      <c r="BR1631">
        <f>$C1631*BR1630</f>
        <v/>
      </c>
      <c r="BS1631">
        <f>$C1631*BS1630</f>
        <v/>
      </c>
      <c r="BT1631">
        <f>$C1631*BT1630</f>
        <v/>
      </c>
      <c r="BU1631">
        <f>$C1631*BU1630</f>
        <v/>
      </c>
      <c r="BV1631">
        <f>$C1631*BV1630</f>
        <v/>
      </c>
      <c r="BW1631">
        <f>$C1631*BW1630</f>
        <v/>
      </c>
      <c r="BX1631">
        <f>$C1631*BX1630</f>
        <v/>
      </c>
      <c r="BY1631">
        <f>$C1631*BY1630</f>
        <v/>
      </c>
      <c r="BZ1631">
        <f>$C1631*BZ1630</f>
        <v/>
      </c>
      <c r="CA1631">
        <f>$C1631*CA1630</f>
        <v/>
      </c>
      <c r="CB1631">
        <f>$C1631*CB1630</f>
        <v/>
      </c>
      <c r="CC1631">
        <f>$C1631*CC1630</f>
        <v/>
      </c>
      <c r="CD1631">
        <f>$C1631*CD1630</f>
        <v/>
      </c>
      <c r="CE1631">
        <f>$C1631*CE1630</f>
        <v/>
      </c>
      <c r="CF1631">
        <f>$C1631*CF1630</f>
        <v/>
      </c>
      <c r="CG1631">
        <f>$C1631*CG1630</f>
        <v/>
      </c>
      <c r="CH1631">
        <f>$C1631*CH1630</f>
        <v/>
      </c>
      <c r="CI1631">
        <f>$C1631*CI1630</f>
        <v/>
      </c>
      <c r="CJ1631">
        <f>$C1631*CJ1630</f>
        <v/>
      </c>
      <c r="CK1631">
        <f>$C1631*CK1630</f>
        <v/>
      </c>
      <c r="CL1631">
        <f>$C1631*CL1630</f>
        <v/>
      </c>
      <c r="CM1631">
        <f>$C1631*CM1630</f>
        <v/>
      </c>
      <c r="CN1631">
        <f>$C1631*CN1630</f>
        <v/>
      </c>
      <c r="CO1631">
        <f>$C1631*CO1630</f>
        <v/>
      </c>
      <c r="CP1631">
        <f>$C1631*CP1630</f>
        <v/>
      </c>
      <c r="CQ1631">
        <f>$C1631*CQ1630</f>
        <v/>
      </c>
      <c r="CR1631">
        <f>$C1631*CR1630</f>
        <v/>
      </c>
      <c r="CS1631">
        <f>$C1631*CS1630</f>
        <v/>
      </c>
      <c r="CT1631">
        <f>$C1631*CT1630</f>
        <v/>
      </c>
      <c r="CU1631">
        <f>$C1631*CU1630</f>
        <v/>
      </c>
      <c r="CV1631">
        <f>$C1631*CV1630</f>
        <v/>
      </c>
      <c r="CW1631">
        <f>$C1631*CW1630</f>
        <v/>
      </c>
      <c r="CX1631">
        <f>$C1631*CX1630</f>
        <v/>
      </c>
      <c r="CY1631">
        <f>$C1631*CY1630</f>
        <v/>
      </c>
      <c r="CZ1631">
        <f>$C1631*CZ1630</f>
        <v/>
      </c>
      <c r="DA1631">
        <f>$C1631*DA1630</f>
        <v/>
      </c>
      <c r="DB1631">
        <f>$C1631*DB1630</f>
        <v/>
      </c>
      <c r="DC1631">
        <f>$C1631*DC1630</f>
        <v/>
      </c>
      <c r="DD1631">
        <f>$C1631*DD1630</f>
        <v/>
      </c>
    </row>
    <row r="1632">
      <c r="B1632" t="inlineStr">
        <is>
          <t>TSP-966</t>
        </is>
      </c>
      <c r="C1632" t="inlineStr">
        <is>
          <t>No. of batches</t>
        </is>
      </c>
      <c r="D1632">
        <f>IFERROR(INDEX(E1632:DD1632,$F$1),"")</f>
        <v/>
      </c>
      <c r="E1632">
        <f>IFERROR(INDEX(PP_Grid[#Data],$DE1632,2),0)</f>
        <v/>
      </c>
      <c r="F1632">
        <f>IFERROR(INDEX(PP_Grid[#Data],$DE1632,3),0)</f>
        <v/>
      </c>
      <c r="G1632">
        <f>IFERROR(INDEX(PP_Grid[#Data],$DE1632,4),0)</f>
        <v/>
      </c>
      <c r="H1632">
        <f>IFERROR(INDEX(PP_Grid[#Data],$DE1632,5),0)</f>
        <v/>
      </c>
      <c r="I1632">
        <f>IFERROR(INDEX(PP_Grid[#Data],$DE1632,6),0)</f>
        <v/>
      </c>
      <c r="J1632">
        <f>IFERROR(INDEX(PP_Grid[#Data],$DE1632,7),0)</f>
        <v/>
      </c>
      <c r="K1632">
        <f>IFERROR(INDEX(PP_Grid[#Data],$DE1632,8),0)</f>
        <v/>
      </c>
      <c r="L1632">
        <f>IFERROR(INDEX(PP_Grid[#Data],$DE1632,9),0)</f>
        <v/>
      </c>
      <c r="M1632">
        <f>IFERROR(INDEX(PP_Grid[#Data],$DE1632,10),0)</f>
        <v/>
      </c>
      <c r="N1632">
        <f>IFERROR(INDEX(PP_Grid[#Data],$DE1632,11),0)</f>
        <v/>
      </c>
      <c r="O1632">
        <f>IFERROR(INDEX(PP_Grid[#Data],$DE1632,12),0)</f>
        <v/>
      </c>
      <c r="P1632">
        <f>IFERROR(INDEX(PP_Grid[#Data],$DE1632,13),0)</f>
        <v/>
      </c>
      <c r="Q1632">
        <f>IFERROR(INDEX(PP_Grid[#Data],$DE1632,14),0)</f>
        <v/>
      </c>
      <c r="R1632">
        <f>IFERROR(INDEX(PP_Grid[#Data],$DE1632,15),0)</f>
        <v/>
      </c>
      <c r="S1632">
        <f>IFERROR(INDEX(PP_Grid[#Data],$DE1632,16),0)</f>
        <v/>
      </c>
      <c r="T1632">
        <f>IFERROR(INDEX(PP_Grid[#Data],$DE1632,17),0)</f>
        <v/>
      </c>
      <c r="U1632">
        <f>IFERROR(INDEX(PP_Grid[#Data],$DE1632,18),0)</f>
        <v/>
      </c>
      <c r="V1632">
        <f>IFERROR(INDEX(PP_Grid[#Data],$DE1632,19),0)</f>
        <v/>
      </c>
      <c r="W1632">
        <f>IFERROR(INDEX(PP_Grid[#Data],$DE1632,20),0)</f>
        <v/>
      </c>
      <c r="X1632">
        <f>IFERROR(INDEX(PP_Grid[#Data],$DE1632,21),0)</f>
        <v/>
      </c>
      <c r="Y1632">
        <f>IFERROR(INDEX(PP_Grid[#Data],$DE1632,22),0)</f>
        <v/>
      </c>
      <c r="Z1632">
        <f>IFERROR(INDEX(PP_Grid[#Data],$DE1632,23),0)</f>
        <v/>
      </c>
      <c r="AA1632">
        <f>IFERROR(INDEX(PP_Grid[#Data],$DE1632,24),0)</f>
        <v/>
      </c>
      <c r="AB1632">
        <f>IFERROR(INDEX(PP_Grid[#Data],$DE1632,25),0)</f>
        <v/>
      </c>
      <c r="AC1632">
        <f>IFERROR(INDEX(PP_Grid[#Data],$DE1632,26),0)</f>
        <v/>
      </c>
      <c r="AD1632">
        <f>IFERROR(INDEX(PP_Grid[#Data],$DE1632,27),0)</f>
        <v/>
      </c>
      <c r="AE1632">
        <f>IFERROR(INDEX(PP_Grid[#Data],$DE1632,28),0)</f>
        <v/>
      </c>
      <c r="AF1632">
        <f>IFERROR(INDEX(PP_Grid[#Data],$DE1632,29),0)</f>
        <v/>
      </c>
      <c r="AG1632">
        <f>IFERROR(INDEX(PP_Grid[#Data],$DE1632,30),0)</f>
        <v/>
      </c>
      <c r="AH1632">
        <f>IFERROR(INDEX(PP_Grid[#Data],$DE1632,31),0)</f>
        <v/>
      </c>
      <c r="AI1632">
        <f>IFERROR(INDEX(PP_Grid[#Data],$DE1632,32),0)</f>
        <v/>
      </c>
      <c r="AJ1632">
        <f>IFERROR(INDEX(PP_Grid[#Data],$DE1632,33),0)</f>
        <v/>
      </c>
      <c r="AK1632">
        <f>IFERROR(INDEX(PP_Grid[#Data],$DE1632,34),0)</f>
        <v/>
      </c>
      <c r="AL1632">
        <f>IFERROR(INDEX(PP_Grid[#Data],$DE1632,35),0)</f>
        <v/>
      </c>
      <c r="AM1632">
        <f>IFERROR(INDEX(PP_Grid[#Data],$DE1632,36),0)</f>
        <v/>
      </c>
      <c r="AN1632">
        <f>IFERROR(INDEX(PP_Grid[#Data],$DE1632,37),0)</f>
        <v/>
      </c>
      <c r="AO1632">
        <f>IFERROR(INDEX(PP_Grid[#Data],$DE1632,38),0)</f>
        <v/>
      </c>
      <c r="AP1632">
        <f>IFERROR(INDEX(PP_Grid[#Data],$DE1632,39),0)</f>
        <v/>
      </c>
      <c r="AQ1632">
        <f>IFERROR(INDEX(PP_Grid[#Data],$DE1632,40),0)</f>
        <v/>
      </c>
      <c r="AR1632">
        <f>IFERROR(INDEX(PP_Grid[#Data],$DE1632,41),0)</f>
        <v/>
      </c>
      <c r="AS1632">
        <f>IFERROR(INDEX(PP_Grid[#Data],$DE1632,42),0)</f>
        <v/>
      </c>
      <c r="AT1632">
        <f>IFERROR(INDEX(PP_Grid[#Data],$DE1632,43),0)</f>
        <v/>
      </c>
      <c r="AU1632">
        <f>IFERROR(INDEX(PP_Grid[#Data],$DE1632,44),0)</f>
        <v/>
      </c>
      <c r="AV1632">
        <f>IFERROR(INDEX(PP_Grid[#Data],$DE1632,45),0)</f>
        <v/>
      </c>
      <c r="AW1632">
        <f>IFERROR(INDEX(PP_Grid[#Data],$DE1632,46),0)</f>
        <v/>
      </c>
      <c r="AX1632">
        <f>IFERROR(INDEX(PP_Grid[#Data],$DE1632,47),0)</f>
        <v/>
      </c>
      <c r="AY1632">
        <f>IFERROR(INDEX(PP_Grid[#Data],$DE1632,48),0)</f>
        <v/>
      </c>
      <c r="AZ1632">
        <f>IFERROR(INDEX(PP_Grid[#Data],$DE1632,49),0)</f>
        <v/>
      </c>
      <c r="BA1632">
        <f>IFERROR(INDEX(PP_Grid[#Data],$DE1632,50),0)</f>
        <v/>
      </c>
      <c r="BB1632">
        <f>IFERROR(INDEX(PP_Grid[#Data],$DE1632,51),0)</f>
        <v/>
      </c>
      <c r="BC1632">
        <f>IFERROR(INDEX(PP_Grid[#Data],$DE1632,52),0)</f>
        <v/>
      </c>
      <c r="BD1632">
        <f>IFERROR(INDEX(PP_Grid[#Data],$DE1632,53),0)</f>
        <v/>
      </c>
      <c r="BE1632">
        <f>IFERROR(INDEX(PP_Grid[#Data],$DE1632,54),0)</f>
        <v/>
      </c>
      <c r="BF1632">
        <f>IFERROR(INDEX(PP_Grid[#Data],$DE1632,55),0)</f>
        <v/>
      </c>
      <c r="BG1632">
        <f>IFERROR(INDEX(PP_Grid[#Data],$DE1632,56),0)</f>
        <v/>
      </c>
      <c r="BH1632">
        <f>IFERROR(INDEX(PP_Grid[#Data],$DE1632,57),0)</f>
        <v/>
      </c>
      <c r="BI1632">
        <f>IFERROR(INDEX(PP_Grid[#Data],$DE1632,58),0)</f>
        <v/>
      </c>
      <c r="BJ1632">
        <f>IFERROR(INDEX(PP_Grid[#Data],$DE1632,59),0)</f>
        <v/>
      </c>
      <c r="BK1632">
        <f>IFERROR(INDEX(PP_Grid[#Data],$DE1632,60),0)</f>
        <v/>
      </c>
      <c r="BL1632">
        <f>IFERROR(INDEX(PP_Grid[#Data],$DE1632,61),0)</f>
        <v/>
      </c>
      <c r="BM1632">
        <f>IFERROR(INDEX(PP_Grid[#Data],$DE1632,62),0)</f>
        <v/>
      </c>
      <c r="BN1632">
        <f>IFERROR(INDEX(PP_Grid[#Data],$DE1632,63),0)</f>
        <v/>
      </c>
      <c r="BO1632">
        <f>IFERROR(INDEX(PP_Grid[#Data],$DE1632,64),0)</f>
        <v/>
      </c>
      <c r="BP1632">
        <f>IFERROR(INDEX(PP_Grid[#Data],$DE1632,65),0)</f>
        <v/>
      </c>
      <c r="BQ1632">
        <f>IFERROR(INDEX(PP_Grid[#Data],$DE1632,66),0)</f>
        <v/>
      </c>
      <c r="BR1632">
        <f>IFERROR(INDEX(PP_Grid[#Data],$DE1632,67),0)</f>
        <v/>
      </c>
      <c r="BS1632">
        <f>IFERROR(INDEX(PP_Grid[#Data],$DE1632,68),0)</f>
        <v/>
      </c>
      <c r="BT1632">
        <f>IFERROR(INDEX(PP_Grid[#Data],$DE1632,69),0)</f>
        <v/>
      </c>
      <c r="BU1632">
        <f>IFERROR(INDEX(PP_Grid[#Data],$DE1632,70),0)</f>
        <v/>
      </c>
      <c r="BV1632">
        <f>IFERROR(INDEX(PP_Grid[#Data],$DE1632,71),0)</f>
        <v/>
      </c>
      <c r="BW1632">
        <f>IFERROR(INDEX(PP_Grid[#Data],$DE1632,72),0)</f>
        <v/>
      </c>
      <c r="BX1632">
        <f>IFERROR(INDEX(PP_Grid[#Data],$DE1632,73),0)</f>
        <v/>
      </c>
      <c r="BY1632">
        <f>IFERROR(INDEX(PP_Grid[#Data],$DE1632,74),0)</f>
        <v/>
      </c>
      <c r="BZ1632">
        <f>IFERROR(INDEX(PP_Grid[#Data],$DE1632,75),0)</f>
        <v/>
      </c>
      <c r="CA1632">
        <f>IFERROR(INDEX(PP_Grid[#Data],$DE1632,76),0)</f>
        <v/>
      </c>
      <c r="CB1632">
        <f>IFERROR(INDEX(PP_Grid[#Data],$DE1632,77),0)</f>
        <v/>
      </c>
      <c r="CC1632">
        <f>IFERROR(INDEX(PP_Grid[#Data],$DE1632,78),0)</f>
        <v/>
      </c>
      <c r="CD1632">
        <f>IFERROR(INDEX(PP_Grid[#Data],$DE1632,79),0)</f>
        <v/>
      </c>
      <c r="CE1632">
        <f>IFERROR(INDEX(PP_Grid[#Data],$DE1632,80),0)</f>
        <v/>
      </c>
      <c r="CF1632">
        <f>IFERROR(INDEX(PP_Grid[#Data],$DE1632,81),0)</f>
        <v/>
      </c>
      <c r="CG1632">
        <f>IFERROR(INDEX(PP_Grid[#Data],$DE1632,82),0)</f>
        <v/>
      </c>
      <c r="CH1632">
        <f>IFERROR(INDEX(PP_Grid[#Data],$DE1632,83),0)</f>
        <v/>
      </c>
      <c r="CI1632">
        <f>IFERROR(INDEX(PP_Grid[#Data],$DE1632,84),0)</f>
        <v/>
      </c>
      <c r="CJ1632">
        <f>IFERROR(INDEX(PP_Grid[#Data],$DE1632,85),0)</f>
        <v/>
      </c>
      <c r="CK1632">
        <f>IFERROR(INDEX(PP_Grid[#Data],$DE1632,86),0)</f>
        <v/>
      </c>
      <c r="CL1632">
        <f>IFERROR(INDEX(PP_Grid[#Data],$DE1632,87),0)</f>
        <v/>
      </c>
      <c r="CM1632">
        <f>IFERROR(INDEX(PP_Grid[#Data],$DE1632,88),0)</f>
        <v/>
      </c>
      <c r="CN1632">
        <f>IFERROR(INDEX(PP_Grid[#Data],$DE1632,89),0)</f>
        <v/>
      </c>
      <c r="CO1632">
        <f>IFERROR(INDEX(PP_Grid[#Data],$DE1632,90),0)</f>
        <v/>
      </c>
      <c r="CP1632">
        <f>IFERROR(INDEX(PP_Grid[#Data],$DE1632,91),0)</f>
        <v/>
      </c>
      <c r="CQ1632">
        <f>IFERROR(INDEX(PP_Grid[#Data],$DE1632,92),0)</f>
        <v/>
      </c>
      <c r="CR1632">
        <f>IFERROR(INDEX(PP_Grid[#Data],$DE1632,93),0)</f>
        <v/>
      </c>
      <c r="CS1632">
        <f>IFERROR(INDEX(PP_Grid[#Data],$DE1632,94),0)</f>
        <v/>
      </c>
      <c r="CT1632">
        <f>IFERROR(INDEX(PP_Grid[#Data],$DE1632,95),0)</f>
        <v/>
      </c>
      <c r="CU1632">
        <f>IFERROR(INDEX(PP_Grid[#Data],$DE1632,96),0)</f>
        <v/>
      </c>
      <c r="CV1632">
        <f>IFERROR(INDEX(PP_Grid[#Data],$DE1632,97),0)</f>
        <v/>
      </c>
      <c r="CW1632">
        <f>IFERROR(INDEX(PP_Grid[#Data],$DE1632,98),0)</f>
        <v/>
      </c>
      <c r="CX1632">
        <f>IFERROR(INDEX(PP_Grid[#Data],$DE1632,99),0)</f>
        <v/>
      </c>
      <c r="CY1632">
        <f>IFERROR(INDEX(PP_Grid[#Data],$DE1632,100),0)</f>
        <v/>
      </c>
      <c r="CZ1632">
        <f>IFERROR(INDEX(PP_Grid[#Data],$DE1632,101),0)</f>
        <v/>
      </c>
      <c r="DA1632">
        <f>IFERROR(INDEX(PP_Grid[#Data],$DE1632,102),0)</f>
        <v/>
      </c>
      <c r="DB1632">
        <f>IFERROR(INDEX(PP_Grid[#Data],$DE1632,103),0)</f>
        <v/>
      </c>
      <c r="DC1632">
        <f>IFERROR(INDEX(PP_Grid[#Data],$DE1632,104),0)</f>
        <v/>
      </c>
      <c r="DD1632">
        <f>IFERROR(INDEX(PP_Grid[#Data],$DE1632,105),0)</f>
        <v/>
      </c>
      <c r="DE1632" s="7">
        <f>IFERROR(MATCH($B1632,PP_Grid[Intermediate],0),99999)</f>
        <v/>
      </c>
    </row>
    <row r="1633">
      <c r="B1633" t="inlineStr">
        <is>
          <t>使用量(kg)</t>
        </is>
      </c>
      <c r="C1633">
        <f>SUMIFS(M_BOM[RM_Qty_Per_Batch],M_BOM[Intermediate],$B1632,M_BOM[RM_Code],$A1603)</f>
        <v/>
      </c>
      <c r="D1633">
        <f>IFERROR(INDEX(E1633:DD1633,$F$1),"")</f>
        <v/>
      </c>
      <c r="E1633">
        <f>$C1633*E1632</f>
        <v/>
      </c>
      <c r="F1633">
        <f>$C1633*F1632</f>
        <v/>
      </c>
      <c r="G1633">
        <f>$C1633*G1632</f>
        <v/>
      </c>
      <c r="H1633">
        <f>$C1633*H1632</f>
        <v/>
      </c>
      <c r="I1633">
        <f>$C1633*I1632</f>
        <v/>
      </c>
      <c r="J1633">
        <f>$C1633*J1632</f>
        <v/>
      </c>
      <c r="K1633">
        <f>$C1633*K1632</f>
        <v/>
      </c>
      <c r="L1633">
        <f>$C1633*L1632</f>
        <v/>
      </c>
      <c r="M1633">
        <f>$C1633*M1632</f>
        <v/>
      </c>
      <c r="N1633">
        <f>$C1633*N1632</f>
        <v/>
      </c>
      <c r="O1633">
        <f>$C1633*O1632</f>
        <v/>
      </c>
      <c r="P1633">
        <f>$C1633*P1632</f>
        <v/>
      </c>
      <c r="Q1633">
        <f>$C1633*Q1632</f>
        <v/>
      </c>
      <c r="R1633">
        <f>$C1633*R1632</f>
        <v/>
      </c>
      <c r="S1633">
        <f>$C1633*S1632</f>
        <v/>
      </c>
      <c r="T1633">
        <f>$C1633*T1632</f>
        <v/>
      </c>
      <c r="U1633">
        <f>$C1633*U1632</f>
        <v/>
      </c>
      <c r="V1633">
        <f>$C1633*V1632</f>
        <v/>
      </c>
      <c r="W1633">
        <f>$C1633*W1632</f>
        <v/>
      </c>
      <c r="X1633">
        <f>$C1633*X1632</f>
        <v/>
      </c>
      <c r="Y1633">
        <f>$C1633*Y1632</f>
        <v/>
      </c>
      <c r="Z1633">
        <f>$C1633*Z1632</f>
        <v/>
      </c>
      <c r="AA1633">
        <f>$C1633*AA1632</f>
        <v/>
      </c>
      <c r="AB1633">
        <f>$C1633*AB1632</f>
        <v/>
      </c>
      <c r="AC1633">
        <f>$C1633*AC1632</f>
        <v/>
      </c>
      <c r="AD1633">
        <f>$C1633*AD1632</f>
        <v/>
      </c>
      <c r="AE1633">
        <f>$C1633*AE1632</f>
        <v/>
      </c>
      <c r="AF1633">
        <f>$C1633*AF1632</f>
        <v/>
      </c>
      <c r="AG1633">
        <f>$C1633*AG1632</f>
        <v/>
      </c>
      <c r="AH1633">
        <f>$C1633*AH1632</f>
        <v/>
      </c>
      <c r="AI1633">
        <f>$C1633*AI1632</f>
        <v/>
      </c>
      <c r="AJ1633">
        <f>$C1633*AJ1632</f>
        <v/>
      </c>
      <c r="AK1633">
        <f>$C1633*AK1632</f>
        <v/>
      </c>
      <c r="AL1633">
        <f>$C1633*AL1632</f>
        <v/>
      </c>
      <c r="AM1633">
        <f>$C1633*AM1632</f>
        <v/>
      </c>
      <c r="AN1633">
        <f>$C1633*AN1632</f>
        <v/>
      </c>
      <c r="AO1633">
        <f>$C1633*AO1632</f>
        <v/>
      </c>
      <c r="AP1633">
        <f>$C1633*AP1632</f>
        <v/>
      </c>
      <c r="AQ1633">
        <f>$C1633*AQ1632</f>
        <v/>
      </c>
      <c r="AR1633">
        <f>$C1633*AR1632</f>
        <v/>
      </c>
      <c r="AS1633">
        <f>$C1633*AS1632</f>
        <v/>
      </c>
      <c r="AT1633">
        <f>$C1633*AT1632</f>
        <v/>
      </c>
      <c r="AU1633">
        <f>$C1633*AU1632</f>
        <v/>
      </c>
      <c r="AV1633">
        <f>$C1633*AV1632</f>
        <v/>
      </c>
      <c r="AW1633">
        <f>$C1633*AW1632</f>
        <v/>
      </c>
      <c r="AX1633">
        <f>$C1633*AX1632</f>
        <v/>
      </c>
      <c r="AY1633">
        <f>$C1633*AY1632</f>
        <v/>
      </c>
      <c r="AZ1633">
        <f>$C1633*AZ1632</f>
        <v/>
      </c>
      <c r="BA1633">
        <f>$C1633*BA1632</f>
        <v/>
      </c>
      <c r="BB1633">
        <f>$C1633*BB1632</f>
        <v/>
      </c>
      <c r="BC1633">
        <f>$C1633*BC1632</f>
        <v/>
      </c>
      <c r="BD1633">
        <f>$C1633*BD1632</f>
        <v/>
      </c>
      <c r="BE1633">
        <f>$C1633*BE1632</f>
        <v/>
      </c>
      <c r="BF1633">
        <f>$C1633*BF1632</f>
        <v/>
      </c>
      <c r="BG1633">
        <f>$C1633*BG1632</f>
        <v/>
      </c>
      <c r="BH1633">
        <f>$C1633*BH1632</f>
        <v/>
      </c>
      <c r="BI1633">
        <f>$C1633*BI1632</f>
        <v/>
      </c>
      <c r="BJ1633">
        <f>$C1633*BJ1632</f>
        <v/>
      </c>
      <c r="BK1633">
        <f>$C1633*BK1632</f>
        <v/>
      </c>
      <c r="BL1633">
        <f>$C1633*BL1632</f>
        <v/>
      </c>
      <c r="BM1633">
        <f>$C1633*BM1632</f>
        <v/>
      </c>
      <c r="BN1633">
        <f>$C1633*BN1632</f>
        <v/>
      </c>
      <c r="BO1633">
        <f>$C1633*BO1632</f>
        <v/>
      </c>
      <c r="BP1633">
        <f>$C1633*BP1632</f>
        <v/>
      </c>
      <c r="BQ1633">
        <f>$C1633*BQ1632</f>
        <v/>
      </c>
      <c r="BR1633">
        <f>$C1633*BR1632</f>
        <v/>
      </c>
      <c r="BS1633">
        <f>$C1633*BS1632</f>
        <v/>
      </c>
      <c r="BT1633">
        <f>$C1633*BT1632</f>
        <v/>
      </c>
      <c r="BU1633">
        <f>$C1633*BU1632</f>
        <v/>
      </c>
      <c r="BV1633">
        <f>$C1633*BV1632</f>
        <v/>
      </c>
      <c r="BW1633">
        <f>$C1633*BW1632</f>
        <v/>
      </c>
      <c r="BX1633">
        <f>$C1633*BX1632</f>
        <v/>
      </c>
      <c r="BY1633">
        <f>$C1633*BY1632</f>
        <v/>
      </c>
      <c r="BZ1633">
        <f>$C1633*BZ1632</f>
        <v/>
      </c>
      <c r="CA1633">
        <f>$C1633*CA1632</f>
        <v/>
      </c>
      <c r="CB1633">
        <f>$C1633*CB1632</f>
        <v/>
      </c>
      <c r="CC1633">
        <f>$C1633*CC1632</f>
        <v/>
      </c>
      <c r="CD1633">
        <f>$C1633*CD1632</f>
        <v/>
      </c>
      <c r="CE1633">
        <f>$C1633*CE1632</f>
        <v/>
      </c>
      <c r="CF1633">
        <f>$C1633*CF1632</f>
        <v/>
      </c>
      <c r="CG1633">
        <f>$C1633*CG1632</f>
        <v/>
      </c>
      <c r="CH1633">
        <f>$C1633*CH1632</f>
        <v/>
      </c>
      <c r="CI1633">
        <f>$C1633*CI1632</f>
        <v/>
      </c>
      <c r="CJ1633">
        <f>$C1633*CJ1632</f>
        <v/>
      </c>
      <c r="CK1633">
        <f>$C1633*CK1632</f>
        <v/>
      </c>
      <c r="CL1633">
        <f>$C1633*CL1632</f>
        <v/>
      </c>
      <c r="CM1633">
        <f>$C1633*CM1632</f>
        <v/>
      </c>
      <c r="CN1633">
        <f>$C1633*CN1632</f>
        <v/>
      </c>
      <c r="CO1633">
        <f>$C1633*CO1632</f>
        <v/>
      </c>
      <c r="CP1633">
        <f>$C1633*CP1632</f>
        <v/>
      </c>
      <c r="CQ1633">
        <f>$C1633*CQ1632</f>
        <v/>
      </c>
      <c r="CR1633">
        <f>$C1633*CR1632</f>
        <v/>
      </c>
      <c r="CS1633">
        <f>$C1633*CS1632</f>
        <v/>
      </c>
      <c r="CT1633">
        <f>$C1633*CT1632</f>
        <v/>
      </c>
      <c r="CU1633">
        <f>$C1633*CU1632</f>
        <v/>
      </c>
      <c r="CV1633">
        <f>$C1633*CV1632</f>
        <v/>
      </c>
      <c r="CW1633">
        <f>$C1633*CW1632</f>
        <v/>
      </c>
      <c r="CX1633">
        <f>$C1633*CX1632</f>
        <v/>
      </c>
      <c r="CY1633">
        <f>$C1633*CY1632</f>
        <v/>
      </c>
      <c r="CZ1633">
        <f>$C1633*CZ1632</f>
        <v/>
      </c>
      <c r="DA1633">
        <f>$C1633*DA1632</f>
        <v/>
      </c>
      <c r="DB1633">
        <f>$C1633*DB1632</f>
        <v/>
      </c>
      <c r="DC1633">
        <f>$C1633*DC1632</f>
        <v/>
      </c>
      <c r="DD1633">
        <f>$C1633*DD1632</f>
        <v/>
      </c>
    </row>
    <row r="1634">
      <c r="B1634" t="inlineStr">
        <is>
          <t>TSZ-616</t>
        </is>
      </c>
      <c r="C1634" t="inlineStr">
        <is>
          <t>No. of batches</t>
        </is>
      </c>
      <c r="D1634">
        <f>IFERROR(INDEX(E1634:DD1634,$F$1),"")</f>
        <v/>
      </c>
      <c r="E1634">
        <f>IFERROR(INDEX(PP_Grid[#Data],$DE1634,2),0)</f>
        <v/>
      </c>
      <c r="F1634">
        <f>IFERROR(INDEX(PP_Grid[#Data],$DE1634,3),0)</f>
        <v/>
      </c>
      <c r="G1634">
        <f>IFERROR(INDEX(PP_Grid[#Data],$DE1634,4),0)</f>
        <v/>
      </c>
      <c r="H1634">
        <f>IFERROR(INDEX(PP_Grid[#Data],$DE1634,5),0)</f>
        <v/>
      </c>
      <c r="I1634">
        <f>IFERROR(INDEX(PP_Grid[#Data],$DE1634,6),0)</f>
        <v/>
      </c>
      <c r="J1634">
        <f>IFERROR(INDEX(PP_Grid[#Data],$DE1634,7),0)</f>
        <v/>
      </c>
      <c r="K1634">
        <f>IFERROR(INDEX(PP_Grid[#Data],$DE1634,8),0)</f>
        <v/>
      </c>
      <c r="L1634">
        <f>IFERROR(INDEX(PP_Grid[#Data],$DE1634,9),0)</f>
        <v/>
      </c>
      <c r="M1634">
        <f>IFERROR(INDEX(PP_Grid[#Data],$DE1634,10),0)</f>
        <v/>
      </c>
      <c r="N1634">
        <f>IFERROR(INDEX(PP_Grid[#Data],$DE1634,11),0)</f>
        <v/>
      </c>
      <c r="O1634">
        <f>IFERROR(INDEX(PP_Grid[#Data],$DE1634,12),0)</f>
        <v/>
      </c>
      <c r="P1634">
        <f>IFERROR(INDEX(PP_Grid[#Data],$DE1634,13),0)</f>
        <v/>
      </c>
      <c r="Q1634">
        <f>IFERROR(INDEX(PP_Grid[#Data],$DE1634,14),0)</f>
        <v/>
      </c>
      <c r="R1634">
        <f>IFERROR(INDEX(PP_Grid[#Data],$DE1634,15),0)</f>
        <v/>
      </c>
      <c r="S1634">
        <f>IFERROR(INDEX(PP_Grid[#Data],$DE1634,16),0)</f>
        <v/>
      </c>
      <c r="T1634">
        <f>IFERROR(INDEX(PP_Grid[#Data],$DE1634,17),0)</f>
        <v/>
      </c>
      <c r="U1634">
        <f>IFERROR(INDEX(PP_Grid[#Data],$DE1634,18),0)</f>
        <v/>
      </c>
      <c r="V1634">
        <f>IFERROR(INDEX(PP_Grid[#Data],$DE1634,19),0)</f>
        <v/>
      </c>
      <c r="W1634">
        <f>IFERROR(INDEX(PP_Grid[#Data],$DE1634,20),0)</f>
        <v/>
      </c>
      <c r="X1634">
        <f>IFERROR(INDEX(PP_Grid[#Data],$DE1634,21),0)</f>
        <v/>
      </c>
      <c r="Y1634">
        <f>IFERROR(INDEX(PP_Grid[#Data],$DE1634,22),0)</f>
        <v/>
      </c>
      <c r="Z1634">
        <f>IFERROR(INDEX(PP_Grid[#Data],$DE1634,23),0)</f>
        <v/>
      </c>
      <c r="AA1634">
        <f>IFERROR(INDEX(PP_Grid[#Data],$DE1634,24),0)</f>
        <v/>
      </c>
      <c r="AB1634">
        <f>IFERROR(INDEX(PP_Grid[#Data],$DE1634,25),0)</f>
        <v/>
      </c>
      <c r="AC1634">
        <f>IFERROR(INDEX(PP_Grid[#Data],$DE1634,26),0)</f>
        <v/>
      </c>
      <c r="AD1634">
        <f>IFERROR(INDEX(PP_Grid[#Data],$DE1634,27),0)</f>
        <v/>
      </c>
      <c r="AE1634">
        <f>IFERROR(INDEX(PP_Grid[#Data],$DE1634,28),0)</f>
        <v/>
      </c>
      <c r="AF1634">
        <f>IFERROR(INDEX(PP_Grid[#Data],$DE1634,29),0)</f>
        <v/>
      </c>
      <c r="AG1634">
        <f>IFERROR(INDEX(PP_Grid[#Data],$DE1634,30),0)</f>
        <v/>
      </c>
      <c r="AH1634">
        <f>IFERROR(INDEX(PP_Grid[#Data],$DE1634,31),0)</f>
        <v/>
      </c>
      <c r="AI1634">
        <f>IFERROR(INDEX(PP_Grid[#Data],$DE1634,32),0)</f>
        <v/>
      </c>
      <c r="AJ1634">
        <f>IFERROR(INDEX(PP_Grid[#Data],$DE1634,33),0)</f>
        <v/>
      </c>
      <c r="AK1634">
        <f>IFERROR(INDEX(PP_Grid[#Data],$DE1634,34),0)</f>
        <v/>
      </c>
      <c r="AL1634">
        <f>IFERROR(INDEX(PP_Grid[#Data],$DE1634,35),0)</f>
        <v/>
      </c>
      <c r="AM1634">
        <f>IFERROR(INDEX(PP_Grid[#Data],$DE1634,36),0)</f>
        <v/>
      </c>
      <c r="AN1634">
        <f>IFERROR(INDEX(PP_Grid[#Data],$DE1634,37),0)</f>
        <v/>
      </c>
      <c r="AO1634">
        <f>IFERROR(INDEX(PP_Grid[#Data],$DE1634,38),0)</f>
        <v/>
      </c>
      <c r="AP1634">
        <f>IFERROR(INDEX(PP_Grid[#Data],$DE1634,39),0)</f>
        <v/>
      </c>
      <c r="AQ1634">
        <f>IFERROR(INDEX(PP_Grid[#Data],$DE1634,40),0)</f>
        <v/>
      </c>
      <c r="AR1634">
        <f>IFERROR(INDEX(PP_Grid[#Data],$DE1634,41),0)</f>
        <v/>
      </c>
      <c r="AS1634">
        <f>IFERROR(INDEX(PP_Grid[#Data],$DE1634,42),0)</f>
        <v/>
      </c>
      <c r="AT1634">
        <f>IFERROR(INDEX(PP_Grid[#Data],$DE1634,43),0)</f>
        <v/>
      </c>
      <c r="AU1634">
        <f>IFERROR(INDEX(PP_Grid[#Data],$DE1634,44),0)</f>
        <v/>
      </c>
      <c r="AV1634">
        <f>IFERROR(INDEX(PP_Grid[#Data],$DE1634,45),0)</f>
        <v/>
      </c>
      <c r="AW1634">
        <f>IFERROR(INDEX(PP_Grid[#Data],$DE1634,46),0)</f>
        <v/>
      </c>
      <c r="AX1634">
        <f>IFERROR(INDEX(PP_Grid[#Data],$DE1634,47),0)</f>
        <v/>
      </c>
      <c r="AY1634">
        <f>IFERROR(INDEX(PP_Grid[#Data],$DE1634,48),0)</f>
        <v/>
      </c>
      <c r="AZ1634">
        <f>IFERROR(INDEX(PP_Grid[#Data],$DE1634,49),0)</f>
        <v/>
      </c>
      <c r="BA1634">
        <f>IFERROR(INDEX(PP_Grid[#Data],$DE1634,50),0)</f>
        <v/>
      </c>
      <c r="BB1634">
        <f>IFERROR(INDEX(PP_Grid[#Data],$DE1634,51),0)</f>
        <v/>
      </c>
      <c r="BC1634">
        <f>IFERROR(INDEX(PP_Grid[#Data],$DE1634,52),0)</f>
        <v/>
      </c>
      <c r="BD1634">
        <f>IFERROR(INDEX(PP_Grid[#Data],$DE1634,53),0)</f>
        <v/>
      </c>
      <c r="BE1634">
        <f>IFERROR(INDEX(PP_Grid[#Data],$DE1634,54),0)</f>
        <v/>
      </c>
      <c r="BF1634">
        <f>IFERROR(INDEX(PP_Grid[#Data],$DE1634,55),0)</f>
        <v/>
      </c>
      <c r="BG1634">
        <f>IFERROR(INDEX(PP_Grid[#Data],$DE1634,56),0)</f>
        <v/>
      </c>
      <c r="BH1634">
        <f>IFERROR(INDEX(PP_Grid[#Data],$DE1634,57),0)</f>
        <v/>
      </c>
      <c r="BI1634">
        <f>IFERROR(INDEX(PP_Grid[#Data],$DE1634,58),0)</f>
        <v/>
      </c>
      <c r="BJ1634">
        <f>IFERROR(INDEX(PP_Grid[#Data],$DE1634,59),0)</f>
        <v/>
      </c>
      <c r="BK1634">
        <f>IFERROR(INDEX(PP_Grid[#Data],$DE1634,60),0)</f>
        <v/>
      </c>
      <c r="BL1634">
        <f>IFERROR(INDEX(PP_Grid[#Data],$DE1634,61),0)</f>
        <v/>
      </c>
      <c r="BM1634">
        <f>IFERROR(INDEX(PP_Grid[#Data],$DE1634,62),0)</f>
        <v/>
      </c>
      <c r="BN1634">
        <f>IFERROR(INDEX(PP_Grid[#Data],$DE1634,63),0)</f>
        <v/>
      </c>
      <c r="BO1634">
        <f>IFERROR(INDEX(PP_Grid[#Data],$DE1634,64),0)</f>
        <v/>
      </c>
      <c r="BP1634">
        <f>IFERROR(INDEX(PP_Grid[#Data],$DE1634,65),0)</f>
        <v/>
      </c>
      <c r="BQ1634">
        <f>IFERROR(INDEX(PP_Grid[#Data],$DE1634,66),0)</f>
        <v/>
      </c>
      <c r="BR1634">
        <f>IFERROR(INDEX(PP_Grid[#Data],$DE1634,67),0)</f>
        <v/>
      </c>
      <c r="BS1634">
        <f>IFERROR(INDEX(PP_Grid[#Data],$DE1634,68),0)</f>
        <v/>
      </c>
      <c r="BT1634">
        <f>IFERROR(INDEX(PP_Grid[#Data],$DE1634,69),0)</f>
        <v/>
      </c>
      <c r="BU1634">
        <f>IFERROR(INDEX(PP_Grid[#Data],$DE1634,70),0)</f>
        <v/>
      </c>
      <c r="BV1634">
        <f>IFERROR(INDEX(PP_Grid[#Data],$DE1634,71),0)</f>
        <v/>
      </c>
      <c r="BW1634">
        <f>IFERROR(INDEX(PP_Grid[#Data],$DE1634,72),0)</f>
        <v/>
      </c>
      <c r="BX1634">
        <f>IFERROR(INDEX(PP_Grid[#Data],$DE1634,73),0)</f>
        <v/>
      </c>
      <c r="BY1634">
        <f>IFERROR(INDEX(PP_Grid[#Data],$DE1634,74),0)</f>
        <v/>
      </c>
      <c r="BZ1634">
        <f>IFERROR(INDEX(PP_Grid[#Data],$DE1634,75),0)</f>
        <v/>
      </c>
      <c r="CA1634">
        <f>IFERROR(INDEX(PP_Grid[#Data],$DE1634,76),0)</f>
        <v/>
      </c>
      <c r="CB1634">
        <f>IFERROR(INDEX(PP_Grid[#Data],$DE1634,77),0)</f>
        <v/>
      </c>
      <c r="CC1634">
        <f>IFERROR(INDEX(PP_Grid[#Data],$DE1634,78),0)</f>
        <v/>
      </c>
      <c r="CD1634">
        <f>IFERROR(INDEX(PP_Grid[#Data],$DE1634,79),0)</f>
        <v/>
      </c>
      <c r="CE1634">
        <f>IFERROR(INDEX(PP_Grid[#Data],$DE1634,80),0)</f>
        <v/>
      </c>
      <c r="CF1634">
        <f>IFERROR(INDEX(PP_Grid[#Data],$DE1634,81),0)</f>
        <v/>
      </c>
      <c r="CG1634">
        <f>IFERROR(INDEX(PP_Grid[#Data],$DE1634,82),0)</f>
        <v/>
      </c>
      <c r="CH1634">
        <f>IFERROR(INDEX(PP_Grid[#Data],$DE1634,83),0)</f>
        <v/>
      </c>
      <c r="CI1634">
        <f>IFERROR(INDEX(PP_Grid[#Data],$DE1634,84),0)</f>
        <v/>
      </c>
      <c r="CJ1634">
        <f>IFERROR(INDEX(PP_Grid[#Data],$DE1634,85),0)</f>
        <v/>
      </c>
      <c r="CK1634">
        <f>IFERROR(INDEX(PP_Grid[#Data],$DE1634,86),0)</f>
        <v/>
      </c>
      <c r="CL1634">
        <f>IFERROR(INDEX(PP_Grid[#Data],$DE1634,87),0)</f>
        <v/>
      </c>
      <c r="CM1634">
        <f>IFERROR(INDEX(PP_Grid[#Data],$DE1634,88),0)</f>
        <v/>
      </c>
      <c r="CN1634">
        <f>IFERROR(INDEX(PP_Grid[#Data],$DE1634,89),0)</f>
        <v/>
      </c>
      <c r="CO1634">
        <f>IFERROR(INDEX(PP_Grid[#Data],$DE1634,90),0)</f>
        <v/>
      </c>
      <c r="CP1634">
        <f>IFERROR(INDEX(PP_Grid[#Data],$DE1634,91),0)</f>
        <v/>
      </c>
      <c r="CQ1634">
        <f>IFERROR(INDEX(PP_Grid[#Data],$DE1634,92),0)</f>
        <v/>
      </c>
      <c r="CR1634">
        <f>IFERROR(INDEX(PP_Grid[#Data],$DE1634,93),0)</f>
        <v/>
      </c>
      <c r="CS1634">
        <f>IFERROR(INDEX(PP_Grid[#Data],$DE1634,94),0)</f>
        <v/>
      </c>
      <c r="CT1634">
        <f>IFERROR(INDEX(PP_Grid[#Data],$DE1634,95),0)</f>
        <v/>
      </c>
      <c r="CU1634">
        <f>IFERROR(INDEX(PP_Grid[#Data],$DE1634,96),0)</f>
        <v/>
      </c>
      <c r="CV1634">
        <f>IFERROR(INDEX(PP_Grid[#Data],$DE1634,97),0)</f>
        <v/>
      </c>
      <c r="CW1634">
        <f>IFERROR(INDEX(PP_Grid[#Data],$DE1634,98),0)</f>
        <v/>
      </c>
      <c r="CX1634">
        <f>IFERROR(INDEX(PP_Grid[#Data],$DE1634,99),0)</f>
        <v/>
      </c>
      <c r="CY1634">
        <f>IFERROR(INDEX(PP_Grid[#Data],$DE1634,100),0)</f>
        <v/>
      </c>
      <c r="CZ1634">
        <f>IFERROR(INDEX(PP_Grid[#Data],$DE1634,101),0)</f>
        <v/>
      </c>
      <c r="DA1634">
        <f>IFERROR(INDEX(PP_Grid[#Data],$DE1634,102),0)</f>
        <v/>
      </c>
      <c r="DB1634">
        <f>IFERROR(INDEX(PP_Grid[#Data],$DE1634,103),0)</f>
        <v/>
      </c>
      <c r="DC1634">
        <f>IFERROR(INDEX(PP_Grid[#Data],$DE1634,104),0)</f>
        <v/>
      </c>
      <c r="DD1634">
        <f>IFERROR(INDEX(PP_Grid[#Data],$DE1634,105),0)</f>
        <v/>
      </c>
      <c r="DE1634" s="7">
        <f>IFERROR(MATCH($B1634,PP_Grid[Intermediate],0),99999)</f>
        <v/>
      </c>
    </row>
    <row r="1635">
      <c r="B1635" t="inlineStr">
        <is>
          <t>使用量(kg)</t>
        </is>
      </c>
      <c r="C1635">
        <f>SUMIFS(M_BOM[RM_Qty_Per_Batch],M_BOM[Intermediate],$B1634,M_BOM[RM_Code],$A1603)</f>
        <v/>
      </c>
      <c r="D1635">
        <f>IFERROR(INDEX(E1635:DD1635,$F$1),"")</f>
        <v/>
      </c>
      <c r="E1635">
        <f>$C1635*E1634</f>
        <v/>
      </c>
      <c r="F1635">
        <f>$C1635*F1634</f>
        <v/>
      </c>
      <c r="G1635">
        <f>$C1635*G1634</f>
        <v/>
      </c>
      <c r="H1635">
        <f>$C1635*H1634</f>
        <v/>
      </c>
      <c r="I1635">
        <f>$C1635*I1634</f>
        <v/>
      </c>
      <c r="J1635">
        <f>$C1635*J1634</f>
        <v/>
      </c>
      <c r="K1635">
        <f>$C1635*K1634</f>
        <v/>
      </c>
      <c r="L1635">
        <f>$C1635*L1634</f>
        <v/>
      </c>
      <c r="M1635">
        <f>$C1635*M1634</f>
        <v/>
      </c>
      <c r="N1635">
        <f>$C1635*N1634</f>
        <v/>
      </c>
      <c r="O1635">
        <f>$C1635*O1634</f>
        <v/>
      </c>
      <c r="P1635">
        <f>$C1635*P1634</f>
        <v/>
      </c>
      <c r="Q1635">
        <f>$C1635*Q1634</f>
        <v/>
      </c>
      <c r="R1635">
        <f>$C1635*R1634</f>
        <v/>
      </c>
      <c r="S1635">
        <f>$C1635*S1634</f>
        <v/>
      </c>
      <c r="T1635">
        <f>$C1635*T1634</f>
        <v/>
      </c>
      <c r="U1635">
        <f>$C1635*U1634</f>
        <v/>
      </c>
      <c r="V1635">
        <f>$C1635*V1634</f>
        <v/>
      </c>
      <c r="W1635">
        <f>$C1635*W1634</f>
        <v/>
      </c>
      <c r="X1635">
        <f>$C1635*X1634</f>
        <v/>
      </c>
      <c r="Y1635">
        <f>$C1635*Y1634</f>
        <v/>
      </c>
      <c r="Z1635">
        <f>$C1635*Z1634</f>
        <v/>
      </c>
      <c r="AA1635">
        <f>$C1635*AA1634</f>
        <v/>
      </c>
      <c r="AB1635">
        <f>$C1635*AB1634</f>
        <v/>
      </c>
      <c r="AC1635">
        <f>$C1635*AC1634</f>
        <v/>
      </c>
      <c r="AD1635">
        <f>$C1635*AD1634</f>
        <v/>
      </c>
      <c r="AE1635">
        <f>$C1635*AE1634</f>
        <v/>
      </c>
      <c r="AF1635">
        <f>$C1635*AF1634</f>
        <v/>
      </c>
      <c r="AG1635">
        <f>$C1635*AG1634</f>
        <v/>
      </c>
      <c r="AH1635">
        <f>$C1635*AH1634</f>
        <v/>
      </c>
      <c r="AI1635">
        <f>$C1635*AI1634</f>
        <v/>
      </c>
      <c r="AJ1635">
        <f>$C1635*AJ1634</f>
        <v/>
      </c>
      <c r="AK1635">
        <f>$C1635*AK1634</f>
        <v/>
      </c>
      <c r="AL1635">
        <f>$C1635*AL1634</f>
        <v/>
      </c>
      <c r="AM1635">
        <f>$C1635*AM1634</f>
        <v/>
      </c>
      <c r="AN1635">
        <f>$C1635*AN1634</f>
        <v/>
      </c>
      <c r="AO1635">
        <f>$C1635*AO1634</f>
        <v/>
      </c>
      <c r="AP1635">
        <f>$C1635*AP1634</f>
        <v/>
      </c>
      <c r="AQ1635">
        <f>$C1635*AQ1634</f>
        <v/>
      </c>
      <c r="AR1635">
        <f>$C1635*AR1634</f>
        <v/>
      </c>
      <c r="AS1635">
        <f>$C1635*AS1634</f>
        <v/>
      </c>
      <c r="AT1635">
        <f>$C1635*AT1634</f>
        <v/>
      </c>
      <c r="AU1635">
        <f>$C1635*AU1634</f>
        <v/>
      </c>
      <c r="AV1635">
        <f>$C1635*AV1634</f>
        <v/>
      </c>
      <c r="AW1635">
        <f>$C1635*AW1634</f>
        <v/>
      </c>
      <c r="AX1635">
        <f>$C1635*AX1634</f>
        <v/>
      </c>
      <c r="AY1635">
        <f>$C1635*AY1634</f>
        <v/>
      </c>
      <c r="AZ1635">
        <f>$C1635*AZ1634</f>
        <v/>
      </c>
      <c r="BA1635">
        <f>$C1635*BA1634</f>
        <v/>
      </c>
      <c r="BB1635">
        <f>$C1635*BB1634</f>
        <v/>
      </c>
      <c r="BC1635">
        <f>$C1635*BC1634</f>
        <v/>
      </c>
      <c r="BD1635">
        <f>$C1635*BD1634</f>
        <v/>
      </c>
      <c r="BE1635">
        <f>$C1635*BE1634</f>
        <v/>
      </c>
      <c r="BF1635">
        <f>$C1635*BF1634</f>
        <v/>
      </c>
      <c r="BG1635">
        <f>$C1635*BG1634</f>
        <v/>
      </c>
      <c r="BH1635">
        <f>$C1635*BH1634</f>
        <v/>
      </c>
      <c r="BI1635">
        <f>$C1635*BI1634</f>
        <v/>
      </c>
      <c r="BJ1635">
        <f>$C1635*BJ1634</f>
        <v/>
      </c>
      <c r="BK1635">
        <f>$C1635*BK1634</f>
        <v/>
      </c>
      <c r="BL1635">
        <f>$C1635*BL1634</f>
        <v/>
      </c>
      <c r="BM1635">
        <f>$C1635*BM1634</f>
        <v/>
      </c>
      <c r="BN1635">
        <f>$C1635*BN1634</f>
        <v/>
      </c>
      <c r="BO1635">
        <f>$C1635*BO1634</f>
        <v/>
      </c>
      <c r="BP1635">
        <f>$C1635*BP1634</f>
        <v/>
      </c>
      <c r="BQ1635">
        <f>$C1635*BQ1634</f>
        <v/>
      </c>
      <c r="BR1635">
        <f>$C1635*BR1634</f>
        <v/>
      </c>
      <c r="BS1635">
        <f>$C1635*BS1634</f>
        <v/>
      </c>
      <c r="BT1635">
        <f>$C1635*BT1634</f>
        <v/>
      </c>
      <c r="BU1635">
        <f>$C1635*BU1634</f>
        <v/>
      </c>
      <c r="BV1635">
        <f>$C1635*BV1634</f>
        <v/>
      </c>
      <c r="BW1635">
        <f>$C1635*BW1634</f>
        <v/>
      </c>
      <c r="BX1635">
        <f>$C1635*BX1634</f>
        <v/>
      </c>
      <c r="BY1635">
        <f>$C1635*BY1634</f>
        <v/>
      </c>
      <c r="BZ1635">
        <f>$C1635*BZ1634</f>
        <v/>
      </c>
      <c r="CA1635">
        <f>$C1635*CA1634</f>
        <v/>
      </c>
      <c r="CB1635">
        <f>$C1635*CB1634</f>
        <v/>
      </c>
      <c r="CC1635">
        <f>$C1635*CC1634</f>
        <v/>
      </c>
      <c r="CD1635">
        <f>$C1635*CD1634</f>
        <v/>
      </c>
      <c r="CE1635">
        <f>$C1635*CE1634</f>
        <v/>
      </c>
      <c r="CF1635">
        <f>$C1635*CF1634</f>
        <v/>
      </c>
      <c r="CG1635">
        <f>$C1635*CG1634</f>
        <v/>
      </c>
      <c r="CH1635">
        <f>$C1635*CH1634</f>
        <v/>
      </c>
      <c r="CI1635">
        <f>$C1635*CI1634</f>
        <v/>
      </c>
      <c r="CJ1635">
        <f>$C1635*CJ1634</f>
        <v/>
      </c>
      <c r="CK1635">
        <f>$C1635*CK1634</f>
        <v/>
      </c>
      <c r="CL1635">
        <f>$C1635*CL1634</f>
        <v/>
      </c>
      <c r="CM1635">
        <f>$C1635*CM1634</f>
        <v/>
      </c>
      <c r="CN1635">
        <f>$C1635*CN1634</f>
        <v/>
      </c>
      <c r="CO1635">
        <f>$C1635*CO1634</f>
        <v/>
      </c>
      <c r="CP1635">
        <f>$C1635*CP1634</f>
        <v/>
      </c>
      <c r="CQ1635">
        <f>$C1635*CQ1634</f>
        <v/>
      </c>
      <c r="CR1635">
        <f>$C1635*CR1634</f>
        <v/>
      </c>
      <c r="CS1635">
        <f>$C1635*CS1634</f>
        <v/>
      </c>
      <c r="CT1635">
        <f>$C1635*CT1634</f>
        <v/>
      </c>
      <c r="CU1635">
        <f>$C1635*CU1634</f>
        <v/>
      </c>
      <c r="CV1635">
        <f>$C1635*CV1634</f>
        <v/>
      </c>
      <c r="CW1635">
        <f>$C1635*CW1634</f>
        <v/>
      </c>
      <c r="CX1635">
        <f>$C1635*CX1634</f>
        <v/>
      </c>
      <c r="CY1635">
        <f>$C1635*CY1634</f>
        <v/>
      </c>
      <c r="CZ1635">
        <f>$C1635*CZ1634</f>
        <v/>
      </c>
      <c r="DA1635">
        <f>$C1635*DA1634</f>
        <v/>
      </c>
      <c r="DB1635">
        <f>$C1635*DB1634</f>
        <v/>
      </c>
      <c r="DC1635">
        <f>$C1635*DC1634</f>
        <v/>
      </c>
      <c r="DD1635">
        <f>$C1635*DD1634</f>
        <v/>
      </c>
    </row>
    <row r="1636">
      <c r="B1636" t="inlineStr">
        <is>
          <t>TVS-267</t>
        </is>
      </c>
      <c r="C1636" t="inlineStr">
        <is>
          <t>No. of batches</t>
        </is>
      </c>
      <c r="D1636">
        <f>IFERROR(INDEX(E1636:DD1636,$F$1),"")</f>
        <v/>
      </c>
      <c r="E1636">
        <f>IFERROR(INDEX(PP_Grid[#Data],$DE1636,2),0)</f>
        <v/>
      </c>
      <c r="F1636">
        <f>IFERROR(INDEX(PP_Grid[#Data],$DE1636,3),0)</f>
        <v/>
      </c>
      <c r="G1636">
        <f>IFERROR(INDEX(PP_Grid[#Data],$DE1636,4),0)</f>
        <v/>
      </c>
      <c r="H1636">
        <f>IFERROR(INDEX(PP_Grid[#Data],$DE1636,5),0)</f>
        <v/>
      </c>
      <c r="I1636">
        <f>IFERROR(INDEX(PP_Grid[#Data],$DE1636,6),0)</f>
        <v/>
      </c>
      <c r="J1636">
        <f>IFERROR(INDEX(PP_Grid[#Data],$DE1636,7),0)</f>
        <v/>
      </c>
      <c r="K1636">
        <f>IFERROR(INDEX(PP_Grid[#Data],$DE1636,8),0)</f>
        <v/>
      </c>
      <c r="L1636">
        <f>IFERROR(INDEX(PP_Grid[#Data],$DE1636,9),0)</f>
        <v/>
      </c>
      <c r="M1636">
        <f>IFERROR(INDEX(PP_Grid[#Data],$DE1636,10),0)</f>
        <v/>
      </c>
      <c r="N1636">
        <f>IFERROR(INDEX(PP_Grid[#Data],$DE1636,11),0)</f>
        <v/>
      </c>
      <c r="O1636">
        <f>IFERROR(INDEX(PP_Grid[#Data],$DE1636,12),0)</f>
        <v/>
      </c>
      <c r="P1636">
        <f>IFERROR(INDEX(PP_Grid[#Data],$DE1636,13),0)</f>
        <v/>
      </c>
      <c r="Q1636">
        <f>IFERROR(INDEX(PP_Grid[#Data],$DE1636,14),0)</f>
        <v/>
      </c>
      <c r="R1636">
        <f>IFERROR(INDEX(PP_Grid[#Data],$DE1636,15),0)</f>
        <v/>
      </c>
      <c r="S1636">
        <f>IFERROR(INDEX(PP_Grid[#Data],$DE1636,16),0)</f>
        <v/>
      </c>
      <c r="T1636">
        <f>IFERROR(INDEX(PP_Grid[#Data],$DE1636,17),0)</f>
        <v/>
      </c>
      <c r="U1636">
        <f>IFERROR(INDEX(PP_Grid[#Data],$DE1636,18),0)</f>
        <v/>
      </c>
      <c r="V1636">
        <f>IFERROR(INDEX(PP_Grid[#Data],$DE1636,19),0)</f>
        <v/>
      </c>
      <c r="W1636">
        <f>IFERROR(INDEX(PP_Grid[#Data],$DE1636,20),0)</f>
        <v/>
      </c>
      <c r="X1636">
        <f>IFERROR(INDEX(PP_Grid[#Data],$DE1636,21),0)</f>
        <v/>
      </c>
      <c r="Y1636">
        <f>IFERROR(INDEX(PP_Grid[#Data],$DE1636,22),0)</f>
        <v/>
      </c>
      <c r="Z1636">
        <f>IFERROR(INDEX(PP_Grid[#Data],$DE1636,23),0)</f>
        <v/>
      </c>
      <c r="AA1636">
        <f>IFERROR(INDEX(PP_Grid[#Data],$DE1636,24),0)</f>
        <v/>
      </c>
      <c r="AB1636">
        <f>IFERROR(INDEX(PP_Grid[#Data],$DE1636,25),0)</f>
        <v/>
      </c>
      <c r="AC1636">
        <f>IFERROR(INDEX(PP_Grid[#Data],$DE1636,26),0)</f>
        <v/>
      </c>
      <c r="AD1636">
        <f>IFERROR(INDEX(PP_Grid[#Data],$DE1636,27),0)</f>
        <v/>
      </c>
      <c r="AE1636">
        <f>IFERROR(INDEX(PP_Grid[#Data],$DE1636,28),0)</f>
        <v/>
      </c>
      <c r="AF1636">
        <f>IFERROR(INDEX(PP_Grid[#Data],$DE1636,29),0)</f>
        <v/>
      </c>
      <c r="AG1636">
        <f>IFERROR(INDEX(PP_Grid[#Data],$DE1636,30),0)</f>
        <v/>
      </c>
      <c r="AH1636">
        <f>IFERROR(INDEX(PP_Grid[#Data],$DE1636,31),0)</f>
        <v/>
      </c>
      <c r="AI1636">
        <f>IFERROR(INDEX(PP_Grid[#Data],$DE1636,32),0)</f>
        <v/>
      </c>
      <c r="AJ1636">
        <f>IFERROR(INDEX(PP_Grid[#Data],$DE1636,33),0)</f>
        <v/>
      </c>
      <c r="AK1636">
        <f>IFERROR(INDEX(PP_Grid[#Data],$DE1636,34),0)</f>
        <v/>
      </c>
      <c r="AL1636">
        <f>IFERROR(INDEX(PP_Grid[#Data],$DE1636,35),0)</f>
        <v/>
      </c>
      <c r="AM1636">
        <f>IFERROR(INDEX(PP_Grid[#Data],$DE1636,36),0)</f>
        <v/>
      </c>
      <c r="AN1636">
        <f>IFERROR(INDEX(PP_Grid[#Data],$DE1636,37),0)</f>
        <v/>
      </c>
      <c r="AO1636">
        <f>IFERROR(INDEX(PP_Grid[#Data],$DE1636,38),0)</f>
        <v/>
      </c>
      <c r="AP1636">
        <f>IFERROR(INDEX(PP_Grid[#Data],$DE1636,39),0)</f>
        <v/>
      </c>
      <c r="AQ1636">
        <f>IFERROR(INDEX(PP_Grid[#Data],$DE1636,40),0)</f>
        <v/>
      </c>
      <c r="AR1636">
        <f>IFERROR(INDEX(PP_Grid[#Data],$DE1636,41),0)</f>
        <v/>
      </c>
      <c r="AS1636">
        <f>IFERROR(INDEX(PP_Grid[#Data],$DE1636,42),0)</f>
        <v/>
      </c>
      <c r="AT1636">
        <f>IFERROR(INDEX(PP_Grid[#Data],$DE1636,43),0)</f>
        <v/>
      </c>
      <c r="AU1636">
        <f>IFERROR(INDEX(PP_Grid[#Data],$DE1636,44),0)</f>
        <v/>
      </c>
      <c r="AV1636">
        <f>IFERROR(INDEX(PP_Grid[#Data],$DE1636,45),0)</f>
        <v/>
      </c>
      <c r="AW1636">
        <f>IFERROR(INDEX(PP_Grid[#Data],$DE1636,46),0)</f>
        <v/>
      </c>
      <c r="AX1636">
        <f>IFERROR(INDEX(PP_Grid[#Data],$DE1636,47),0)</f>
        <v/>
      </c>
      <c r="AY1636">
        <f>IFERROR(INDEX(PP_Grid[#Data],$DE1636,48),0)</f>
        <v/>
      </c>
      <c r="AZ1636">
        <f>IFERROR(INDEX(PP_Grid[#Data],$DE1636,49),0)</f>
        <v/>
      </c>
      <c r="BA1636">
        <f>IFERROR(INDEX(PP_Grid[#Data],$DE1636,50),0)</f>
        <v/>
      </c>
      <c r="BB1636">
        <f>IFERROR(INDEX(PP_Grid[#Data],$DE1636,51),0)</f>
        <v/>
      </c>
      <c r="BC1636">
        <f>IFERROR(INDEX(PP_Grid[#Data],$DE1636,52),0)</f>
        <v/>
      </c>
      <c r="BD1636">
        <f>IFERROR(INDEX(PP_Grid[#Data],$DE1636,53),0)</f>
        <v/>
      </c>
      <c r="BE1636">
        <f>IFERROR(INDEX(PP_Grid[#Data],$DE1636,54),0)</f>
        <v/>
      </c>
      <c r="BF1636">
        <f>IFERROR(INDEX(PP_Grid[#Data],$DE1636,55),0)</f>
        <v/>
      </c>
      <c r="BG1636">
        <f>IFERROR(INDEX(PP_Grid[#Data],$DE1636,56),0)</f>
        <v/>
      </c>
      <c r="BH1636">
        <f>IFERROR(INDEX(PP_Grid[#Data],$DE1636,57),0)</f>
        <v/>
      </c>
      <c r="BI1636">
        <f>IFERROR(INDEX(PP_Grid[#Data],$DE1636,58),0)</f>
        <v/>
      </c>
      <c r="BJ1636">
        <f>IFERROR(INDEX(PP_Grid[#Data],$DE1636,59),0)</f>
        <v/>
      </c>
      <c r="BK1636">
        <f>IFERROR(INDEX(PP_Grid[#Data],$DE1636,60),0)</f>
        <v/>
      </c>
      <c r="BL1636">
        <f>IFERROR(INDEX(PP_Grid[#Data],$DE1636,61),0)</f>
        <v/>
      </c>
      <c r="BM1636">
        <f>IFERROR(INDEX(PP_Grid[#Data],$DE1636,62),0)</f>
        <v/>
      </c>
      <c r="BN1636">
        <f>IFERROR(INDEX(PP_Grid[#Data],$DE1636,63),0)</f>
        <v/>
      </c>
      <c r="BO1636">
        <f>IFERROR(INDEX(PP_Grid[#Data],$DE1636,64),0)</f>
        <v/>
      </c>
      <c r="BP1636">
        <f>IFERROR(INDEX(PP_Grid[#Data],$DE1636,65),0)</f>
        <v/>
      </c>
      <c r="BQ1636">
        <f>IFERROR(INDEX(PP_Grid[#Data],$DE1636,66),0)</f>
        <v/>
      </c>
      <c r="BR1636">
        <f>IFERROR(INDEX(PP_Grid[#Data],$DE1636,67),0)</f>
        <v/>
      </c>
      <c r="BS1636">
        <f>IFERROR(INDEX(PP_Grid[#Data],$DE1636,68),0)</f>
        <v/>
      </c>
      <c r="BT1636">
        <f>IFERROR(INDEX(PP_Grid[#Data],$DE1636,69),0)</f>
        <v/>
      </c>
      <c r="BU1636">
        <f>IFERROR(INDEX(PP_Grid[#Data],$DE1636,70),0)</f>
        <v/>
      </c>
      <c r="BV1636">
        <f>IFERROR(INDEX(PP_Grid[#Data],$DE1636,71),0)</f>
        <v/>
      </c>
      <c r="BW1636">
        <f>IFERROR(INDEX(PP_Grid[#Data],$DE1636,72),0)</f>
        <v/>
      </c>
      <c r="BX1636">
        <f>IFERROR(INDEX(PP_Grid[#Data],$DE1636,73),0)</f>
        <v/>
      </c>
      <c r="BY1636">
        <f>IFERROR(INDEX(PP_Grid[#Data],$DE1636,74),0)</f>
        <v/>
      </c>
      <c r="BZ1636">
        <f>IFERROR(INDEX(PP_Grid[#Data],$DE1636,75),0)</f>
        <v/>
      </c>
      <c r="CA1636">
        <f>IFERROR(INDEX(PP_Grid[#Data],$DE1636,76),0)</f>
        <v/>
      </c>
      <c r="CB1636">
        <f>IFERROR(INDEX(PP_Grid[#Data],$DE1636,77),0)</f>
        <v/>
      </c>
      <c r="CC1636">
        <f>IFERROR(INDEX(PP_Grid[#Data],$DE1636,78),0)</f>
        <v/>
      </c>
      <c r="CD1636">
        <f>IFERROR(INDEX(PP_Grid[#Data],$DE1636,79),0)</f>
        <v/>
      </c>
      <c r="CE1636">
        <f>IFERROR(INDEX(PP_Grid[#Data],$DE1636,80),0)</f>
        <v/>
      </c>
      <c r="CF1636">
        <f>IFERROR(INDEX(PP_Grid[#Data],$DE1636,81),0)</f>
        <v/>
      </c>
      <c r="CG1636">
        <f>IFERROR(INDEX(PP_Grid[#Data],$DE1636,82),0)</f>
        <v/>
      </c>
      <c r="CH1636">
        <f>IFERROR(INDEX(PP_Grid[#Data],$DE1636,83),0)</f>
        <v/>
      </c>
      <c r="CI1636">
        <f>IFERROR(INDEX(PP_Grid[#Data],$DE1636,84),0)</f>
        <v/>
      </c>
      <c r="CJ1636">
        <f>IFERROR(INDEX(PP_Grid[#Data],$DE1636,85),0)</f>
        <v/>
      </c>
      <c r="CK1636">
        <f>IFERROR(INDEX(PP_Grid[#Data],$DE1636,86),0)</f>
        <v/>
      </c>
      <c r="CL1636">
        <f>IFERROR(INDEX(PP_Grid[#Data],$DE1636,87),0)</f>
        <v/>
      </c>
      <c r="CM1636">
        <f>IFERROR(INDEX(PP_Grid[#Data],$DE1636,88),0)</f>
        <v/>
      </c>
      <c r="CN1636">
        <f>IFERROR(INDEX(PP_Grid[#Data],$DE1636,89),0)</f>
        <v/>
      </c>
      <c r="CO1636">
        <f>IFERROR(INDEX(PP_Grid[#Data],$DE1636,90),0)</f>
        <v/>
      </c>
      <c r="CP1636">
        <f>IFERROR(INDEX(PP_Grid[#Data],$DE1636,91),0)</f>
        <v/>
      </c>
      <c r="CQ1636">
        <f>IFERROR(INDEX(PP_Grid[#Data],$DE1636,92),0)</f>
        <v/>
      </c>
      <c r="CR1636">
        <f>IFERROR(INDEX(PP_Grid[#Data],$DE1636,93),0)</f>
        <v/>
      </c>
      <c r="CS1636">
        <f>IFERROR(INDEX(PP_Grid[#Data],$DE1636,94),0)</f>
        <v/>
      </c>
      <c r="CT1636">
        <f>IFERROR(INDEX(PP_Grid[#Data],$DE1636,95),0)</f>
        <v/>
      </c>
      <c r="CU1636">
        <f>IFERROR(INDEX(PP_Grid[#Data],$DE1636,96),0)</f>
        <v/>
      </c>
      <c r="CV1636">
        <f>IFERROR(INDEX(PP_Grid[#Data],$DE1636,97),0)</f>
        <v/>
      </c>
      <c r="CW1636">
        <f>IFERROR(INDEX(PP_Grid[#Data],$DE1636,98),0)</f>
        <v/>
      </c>
      <c r="CX1636">
        <f>IFERROR(INDEX(PP_Grid[#Data],$DE1636,99),0)</f>
        <v/>
      </c>
      <c r="CY1636">
        <f>IFERROR(INDEX(PP_Grid[#Data],$DE1636,100),0)</f>
        <v/>
      </c>
      <c r="CZ1636">
        <f>IFERROR(INDEX(PP_Grid[#Data],$DE1636,101),0)</f>
        <v/>
      </c>
      <c r="DA1636">
        <f>IFERROR(INDEX(PP_Grid[#Data],$DE1636,102),0)</f>
        <v/>
      </c>
      <c r="DB1636">
        <f>IFERROR(INDEX(PP_Grid[#Data],$DE1636,103),0)</f>
        <v/>
      </c>
      <c r="DC1636">
        <f>IFERROR(INDEX(PP_Grid[#Data],$DE1636,104),0)</f>
        <v/>
      </c>
      <c r="DD1636">
        <f>IFERROR(INDEX(PP_Grid[#Data],$DE1636,105),0)</f>
        <v/>
      </c>
      <c r="DE1636" s="7">
        <f>IFERROR(MATCH($B1636,PP_Grid[Intermediate],0),99999)</f>
        <v/>
      </c>
    </row>
    <row r="1637">
      <c r="B1637" t="inlineStr">
        <is>
          <t>使用量(kg)</t>
        </is>
      </c>
      <c r="C1637">
        <f>SUMIFS(M_BOM[RM_Qty_Per_Batch],M_BOM[Intermediate],$B1636,M_BOM[RM_Code],$A1603)</f>
        <v/>
      </c>
      <c r="D1637">
        <f>IFERROR(INDEX(E1637:DD1637,$F$1),"")</f>
        <v/>
      </c>
      <c r="E1637">
        <f>$C1637*E1636</f>
        <v/>
      </c>
      <c r="F1637">
        <f>$C1637*F1636</f>
        <v/>
      </c>
      <c r="G1637">
        <f>$C1637*G1636</f>
        <v/>
      </c>
      <c r="H1637">
        <f>$C1637*H1636</f>
        <v/>
      </c>
      <c r="I1637">
        <f>$C1637*I1636</f>
        <v/>
      </c>
      <c r="J1637">
        <f>$C1637*J1636</f>
        <v/>
      </c>
      <c r="K1637">
        <f>$C1637*K1636</f>
        <v/>
      </c>
      <c r="L1637">
        <f>$C1637*L1636</f>
        <v/>
      </c>
      <c r="M1637">
        <f>$C1637*M1636</f>
        <v/>
      </c>
      <c r="N1637">
        <f>$C1637*N1636</f>
        <v/>
      </c>
      <c r="O1637">
        <f>$C1637*O1636</f>
        <v/>
      </c>
      <c r="P1637">
        <f>$C1637*P1636</f>
        <v/>
      </c>
      <c r="Q1637">
        <f>$C1637*Q1636</f>
        <v/>
      </c>
      <c r="R1637">
        <f>$C1637*R1636</f>
        <v/>
      </c>
      <c r="S1637">
        <f>$C1637*S1636</f>
        <v/>
      </c>
      <c r="T1637">
        <f>$C1637*T1636</f>
        <v/>
      </c>
      <c r="U1637">
        <f>$C1637*U1636</f>
        <v/>
      </c>
      <c r="V1637">
        <f>$C1637*V1636</f>
        <v/>
      </c>
      <c r="W1637">
        <f>$C1637*W1636</f>
        <v/>
      </c>
      <c r="X1637">
        <f>$C1637*X1636</f>
        <v/>
      </c>
      <c r="Y1637">
        <f>$C1637*Y1636</f>
        <v/>
      </c>
      <c r="Z1637">
        <f>$C1637*Z1636</f>
        <v/>
      </c>
      <c r="AA1637">
        <f>$C1637*AA1636</f>
        <v/>
      </c>
      <c r="AB1637">
        <f>$C1637*AB1636</f>
        <v/>
      </c>
      <c r="AC1637">
        <f>$C1637*AC1636</f>
        <v/>
      </c>
      <c r="AD1637">
        <f>$C1637*AD1636</f>
        <v/>
      </c>
      <c r="AE1637">
        <f>$C1637*AE1636</f>
        <v/>
      </c>
      <c r="AF1637">
        <f>$C1637*AF1636</f>
        <v/>
      </c>
      <c r="AG1637">
        <f>$C1637*AG1636</f>
        <v/>
      </c>
      <c r="AH1637">
        <f>$C1637*AH1636</f>
        <v/>
      </c>
      <c r="AI1637">
        <f>$C1637*AI1636</f>
        <v/>
      </c>
      <c r="AJ1637">
        <f>$C1637*AJ1636</f>
        <v/>
      </c>
      <c r="AK1637">
        <f>$C1637*AK1636</f>
        <v/>
      </c>
      <c r="AL1637">
        <f>$C1637*AL1636</f>
        <v/>
      </c>
      <c r="AM1637">
        <f>$C1637*AM1636</f>
        <v/>
      </c>
      <c r="AN1637">
        <f>$C1637*AN1636</f>
        <v/>
      </c>
      <c r="AO1637">
        <f>$C1637*AO1636</f>
        <v/>
      </c>
      <c r="AP1637">
        <f>$C1637*AP1636</f>
        <v/>
      </c>
      <c r="AQ1637">
        <f>$C1637*AQ1636</f>
        <v/>
      </c>
      <c r="AR1637">
        <f>$C1637*AR1636</f>
        <v/>
      </c>
      <c r="AS1637">
        <f>$C1637*AS1636</f>
        <v/>
      </c>
      <c r="AT1637">
        <f>$C1637*AT1636</f>
        <v/>
      </c>
      <c r="AU1637">
        <f>$C1637*AU1636</f>
        <v/>
      </c>
      <c r="AV1637">
        <f>$C1637*AV1636</f>
        <v/>
      </c>
      <c r="AW1637">
        <f>$C1637*AW1636</f>
        <v/>
      </c>
      <c r="AX1637">
        <f>$C1637*AX1636</f>
        <v/>
      </c>
      <c r="AY1637">
        <f>$C1637*AY1636</f>
        <v/>
      </c>
      <c r="AZ1637">
        <f>$C1637*AZ1636</f>
        <v/>
      </c>
      <c r="BA1637">
        <f>$C1637*BA1636</f>
        <v/>
      </c>
      <c r="BB1637">
        <f>$C1637*BB1636</f>
        <v/>
      </c>
      <c r="BC1637">
        <f>$C1637*BC1636</f>
        <v/>
      </c>
      <c r="BD1637">
        <f>$C1637*BD1636</f>
        <v/>
      </c>
      <c r="BE1637">
        <f>$C1637*BE1636</f>
        <v/>
      </c>
      <c r="BF1637">
        <f>$C1637*BF1636</f>
        <v/>
      </c>
      <c r="BG1637">
        <f>$C1637*BG1636</f>
        <v/>
      </c>
      <c r="BH1637">
        <f>$C1637*BH1636</f>
        <v/>
      </c>
      <c r="BI1637">
        <f>$C1637*BI1636</f>
        <v/>
      </c>
      <c r="BJ1637">
        <f>$C1637*BJ1636</f>
        <v/>
      </c>
      <c r="BK1637">
        <f>$C1637*BK1636</f>
        <v/>
      </c>
      <c r="BL1637">
        <f>$C1637*BL1636</f>
        <v/>
      </c>
      <c r="BM1637">
        <f>$C1637*BM1636</f>
        <v/>
      </c>
      <c r="BN1637">
        <f>$C1637*BN1636</f>
        <v/>
      </c>
      <c r="BO1637">
        <f>$C1637*BO1636</f>
        <v/>
      </c>
      <c r="BP1637">
        <f>$C1637*BP1636</f>
        <v/>
      </c>
      <c r="BQ1637">
        <f>$C1637*BQ1636</f>
        <v/>
      </c>
      <c r="BR1637">
        <f>$C1637*BR1636</f>
        <v/>
      </c>
      <c r="BS1637">
        <f>$C1637*BS1636</f>
        <v/>
      </c>
      <c r="BT1637">
        <f>$C1637*BT1636</f>
        <v/>
      </c>
      <c r="BU1637">
        <f>$C1637*BU1636</f>
        <v/>
      </c>
      <c r="BV1637">
        <f>$C1637*BV1636</f>
        <v/>
      </c>
      <c r="BW1637">
        <f>$C1637*BW1636</f>
        <v/>
      </c>
      <c r="BX1637">
        <f>$C1637*BX1636</f>
        <v/>
      </c>
      <c r="BY1637">
        <f>$C1637*BY1636</f>
        <v/>
      </c>
      <c r="BZ1637">
        <f>$C1637*BZ1636</f>
        <v/>
      </c>
      <c r="CA1637">
        <f>$C1637*CA1636</f>
        <v/>
      </c>
      <c r="CB1637">
        <f>$C1637*CB1636</f>
        <v/>
      </c>
      <c r="CC1637">
        <f>$C1637*CC1636</f>
        <v/>
      </c>
      <c r="CD1637">
        <f>$C1637*CD1636</f>
        <v/>
      </c>
      <c r="CE1637">
        <f>$C1637*CE1636</f>
        <v/>
      </c>
      <c r="CF1637">
        <f>$C1637*CF1636</f>
        <v/>
      </c>
      <c r="CG1637">
        <f>$C1637*CG1636</f>
        <v/>
      </c>
      <c r="CH1637">
        <f>$C1637*CH1636</f>
        <v/>
      </c>
      <c r="CI1637">
        <f>$C1637*CI1636</f>
        <v/>
      </c>
      <c r="CJ1637">
        <f>$C1637*CJ1636</f>
        <v/>
      </c>
      <c r="CK1637">
        <f>$C1637*CK1636</f>
        <v/>
      </c>
      <c r="CL1637">
        <f>$C1637*CL1636</f>
        <v/>
      </c>
      <c r="CM1637">
        <f>$C1637*CM1636</f>
        <v/>
      </c>
      <c r="CN1637">
        <f>$C1637*CN1636</f>
        <v/>
      </c>
      <c r="CO1637">
        <f>$C1637*CO1636</f>
        <v/>
      </c>
      <c r="CP1637">
        <f>$C1637*CP1636</f>
        <v/>
      </c>
      <c r="CQ1637">
        <f>$C1637*CQ1636</f>
        <v/>
      </c>
      <c r="CR1637">
        <f>$C1637*CR1636</f>
        <v/>
      </c>
      <c r="CS1637">
        <f>$C1637*CS1636</f>
        <v/>
      </c>
      <c r="CT1637">
        <f>$C1637*CT1636</f>
        <v/>
      </c>
      <c r="CU1637">
        <f>$C1637*CU1636</f>
        <v/>
      </c>
      <c r="CV1637">
        <f>$C1637*CV1636</f>
        <v/>
      </c>
      <c r="CW1637">
        <f>$C1637*CW1636</f>
        <v/>
      </c>
      <c r="CX1637">
        <f>$C1637*CX1636</f>
        <v/>
      </c>
      <c r="CY1637">
        <f>$C1637*CY1636</f>
        <v/>
      </c>
      <c r="CZ1637">
        <f>$C1637*CZ1636</f>
        <v/>
      </c>
      <c r="DA1637">
        <f>$C1637*DA1636</f>
        <v/>
      </c>
      <c r="DB1637">
        <f>$C1637*DB1636</f>
        <v/>
      </c>
      <c r="DC1637">
        <f>$C1637*DC1636</f>
        <v/>
      </c>
      <c r="DD1637">
        <f>$C1637*DD1636</f>
        <v/>
      </c>
    </row>
    <row r="1638">
      <c r="B1638" t="inlineStr">
        <is>
          <t>TVS-833</t>
        </is>
      </c>
      <c r="C1638" t="inlineStr">
        <is>
          <t>No. of batches</t>
        </is>
      </c>
      <c r="D1638">
        <f>IFERROR(INDEX(E1638:DD1638,$F$1),"")</f>
        <v/>
      </c>
      <c r="E1638">
        <f>IFERROR(INDEX(PP_Grid[#Data],$DE1638,2),0)</f>
        <v/>
      </c>
      <c r="F1638">
        <f>IFERROR(INDEX(PP_Grid[#Data],$DE1638,3),0)</f>
        <v/>
      </c>
      <c r="G1638">
        <f>IFERROR(INDEX(PP_Grid[#Data],$DE1638,4),0)</f>
        <v/>
      </c>
      <c r="H1638">
        <f>IFERROR(INDEX(PP_Grid[#Data],$DE1638,5),0)</f>
        <v/>
      </c>
      <c r="I1638">
        <f>IFERROR(INDEX(PP_Grid[#Data],$DE1638,6),0)</f>
        <v/>
      </c>
      <c r="J1638">
        <f>IFERROR(INDEX(PP_Grid[#Data],$DE1638,7),0)</f>
        <v/>
      </c>
      <c r="K1638">
        <f>IFERROR(INDEX(PP_Grid[#Data],$DE1638,8),0)</f>
        <v/>
      </c>
      <c r="L1638">
        <f>IFERROR(INDEX(PP_Grid[#Data],$DE1638,9),0)</f>
        <v/>
      </c>
      <c r="M1638">
        <f>IFERROR(INDEX(PP_Grid[#Data],$DE1638,10),0)</f>
        <v/>
      </c>
      <c r="N1638">
        <f>IFERROR(INDEX(PP_Grid[#Data],$DE1638,11),0)</f>
        <v/>
      </c>
      <c r="O1638">
        <f>IFERROR(INDEX(PP_Grid[#Data],$DE1638,12),0)</f>
        <v/>
      </c>
      <c r="P1638">
        <f>IFERROR(INDEX(PP_Grid[#Data],$DE1638,13),0)</f>
        <v/>
      </c>
      <c r="Q1638">
        <f>IFERROR(INDEX(PP_Grid[#Data],$DE1638,14),0)</f>
        <v/>
      </c>
      <c r="R1638">
        <f>IFERROR(INDEX(PP_Grid[#Data],$DE1638,15),0)</f>
        <v/>
      </c>
      <c r="S1638">
        <f>IFERROR(INDEX(PP_Grid[#Data],$DE1638,16),0)</f>
        <v/>
      </c>
      <c r="T1638">
        <f>IFERROR(INDEX(PP_Grid[#Data],$DE1638,17),0)</f>
        <v/>
      </c>
      <c r="U1638">
        <f>IFERROR(INDEX(PP_Grid[#Data],$DE1638,18),0)</f>
        <v/>
      </c>
      <c r="V1638">
        <f>IFERROR(INDEX(PP_Grid[#Data],$DE1638,19),0)</f>
        <v/>
      </c>
      <c r="W1638">
        <f>IFERROR(INDEX(PP_Grid[#Data],$DE1638,20),0)</f>
        <v/>
      </c>
      <c r="X1638">
        <f>IFERROR(INDEX(PP_Grid[#Data],$DE1638,21),0)</f>
        <v/>
      </c>
      <c r="Y1638">
        <f>IFERROR(INDEX(PP_Grid[#Data],$DE1638,22),0)</f>
        <v/>
      </c>
      <c r="Z1638">
        <f>IFERROR(INDEX(PP_Grid[#Data],$DE1638,23),0)</f>
        <v/>
      </c>
      <c r="AA1638">
        <f>IFERROR(INDEX(PP_Grid[#Data],$DE1638,24),0)</f>
        <v/>
      </c>
      <c r="AB1638">
        <f>IFERROR(INDEX(PP_Grid[#Data],$DE1638,25),0)</f>
        <v/>
      </c>
      <c r="AC1638">
        <f>IFERROR(INDEX(PP_Grid[#Data],$DE1638,26),0)</f>
        <v/>
      </c>
      <c r="AD1638">
        <f>IFERROR(INDEX(PP_Grid[#Data],$DE1638,27),0)</f>
        <v/>
      </c>
      <c r="AE1638">
        <f>IFERROR(INDEX(PP_Grid[#Data],$DE1638,28),0)</f>
        <v/>
      </c>
      <c r="AF1638">
        <f>IFERROR(INDEX(PP_Grid[#Data],$DE1638,29),0)</f>
        <v/>
      </c>
      <c r="AG1638">
        <f>IFERROR(INDEX(PP_Grid[#Data],$DE1638,30),0)</f>
        <v/>
      </c>
      <c r="AH1638">
        <f>IFERROR(INDEX(PP_Grid[#Data],$DE1638,31),0)</f>
        <v/>
      </c>
      <c r="AI1638">
        <f>IFERROR(INDEX(PP_Grid[#Data],$DE1638,32),0)</f>
        <v/>
      </c>
      <c r="AJ1638">
        <f>IFERROR(INDEX(PP_Grid[#Data],$DE1638,33),0)</f>
        <v/>
      </c>
      <c r="AK1638">
        <f>IFERROR(INDEX(PP_Grid[#Data],$DE1638,34),0)</f>
        <v/>
      </c>
      <c r="AL1638">
        <f>IFERROR(INDEX(PP_Grid[#Data],$DE1638,35),0)</f>
        <v/>
      </c>
      <c r="AM1638">
        <f>IFERROR(INDEX(PP_Grid[#Data],$DE1638,36),0)</f>
        <v/>
      </c>
      <c r="AN1638">
        <f>IFERROR(INDEX(PP_Grid[#Data],$DE1638,37),0)</f>
        <v/>
      </c>
      <c r="AO1638">
        <f>IFERROR(INDEX(PP_Grid[#Data],$DE1638,38),0)</f>
        <v/>
      </c>
      <c r="AP1638">
        <f>IFERROR(INDEX(PP_Grid[#Data],$DE1638,39),0)</f>
        <v/>
      </c>
      <c r="AQ1638">
        <f>IFERROR(INDEX(PP_Grid[#Data],$DE1638,40),0)</f>
        <v/>
      </c>
      <c r="AR1638">
        <f>IFERROR(INDEX(PP_Grid[#Data],$DE1638,41),0)</f>
        <v/>
      </c>
      <c r="AS1638">
        <f>IFERROR(INDEX(PP_Grid[#Data],$DE1638,42),0)</f>
        <v/>
      </c>
      <c r="AT1638">
        <f>IFERROR(INDEX(PP_Grid[#Data],$DE1638,43),0)</f>
        <v/>
      </c>
      <c r="AU1638">
        <f>IFERROR(INDEX(PP_Grid[#Data],$DE1638,44),0)</f>
        <v/>
      </c>
      <c r="AV1638">
        <f>IFERROR(INDEX(PP_Grid[#Data],$DE1638,45),0)</f>
        <v/>
      </c>
      <c r="AW1638">
        <f>IFERROR(INDEX(PP_Grid[#Data],$DE1638,46),0)</f>
        <v/>
      </c>
      <c r="AX1638">
        <f>IFERROR(INDEX(PP_Grid[#Data],$DE1638,47),0)</f>
        <v/>
      </c>
      <c r="AY1638">
        <f>IFERROR(INDEX(PP_Grid[#Data],$DE1638,48),0)</f>
        <v/>
      </c>
      <c r="AZ1638">
        <f>IFERROR(INDEX(PP_Grid[#Data],$DE1638,49),0)</f>
        <v/>
      </c>
      <c r="BA1638">
        <f>IFERROR(INDEX(PP_Grid[#Data],$DE1638,50),0)</f>
        <v/>
      </c>
      <c r="BB1638">
        <f>IFERROR(INDEX(PP_Grid[#Data],$DE1638,51),0)</f>
        <v/>
      </c>
      <c r="BC1638">
        <f>IFERROR(INDEX(PP_Grid[#Data],$DE1638,52),0)</f>
        <v/>
      </c>
      <c r="BD1638">
        <f>IFERROR(INDEX(PP_Grid[#Data],$DE1638,53),0)</f>
        <v/>
      </c>
      <c r="BE1638">
        <f>IFERROR(INDEX(PP_Grid[#Data],$DE1638,54),0)</f>
        <v/>
      </c>
      <c r="BF1638">
        <f>IFERROR(INDEX(PP_Grid[#Data],$DE1638,55),0)</f>
        <v/>
      </c>
      <c r="BG1638">
        <f>IFERROR(INDEX(PP_Grid[#Data],$DE1638,56),0)</f>
        <v/>
      </c>
      <c r="BH1638">
        <f>IFERROR(INDEX(PP_Grid[#Data],$DE1638,57),0)</f>
        <v/>
      </c>
      <c r="BI1638">
        <f>IFERROR(INDEX(PP_Grid[#Data],$DE1638,58),0)</f>
        <v/>
      </c>
      <c r="BJ1638">
        <f>IFERROR(INDEX(PP_Grid[#Data],$DE1638,59),0)</f>
        <v/>
      </c>
      <c r="BK1638">
        <f>IFERROR(INDEX(PP_Grid[#Data],$DE1638,60),0)</f>
        <v/>
      </c>
      <c r="BL1638">
        <f>IFERROR(INDEX(PP_Grid[#Data],$DE1638,61),0)</f>
        <v/>
      </c>
      <c r="BM1638">
        <f>IFERROR(INDEX(PP_Grid[#Data],$DE1638,62),0)</f>
        <v/>
      </c>
      <c r="BN1638">
        <f>IFERROR(INDEX(PP_Grid[#Data],$DE1638,63),0)</f>
        <v/>
      </c>
      <c r="BO1638">
        <f>IFERROR(INDEX(PP_Grid[#Data],$DE1638,64),0)</f>
        <v/>
      </c>
      <c r="BP1638">
        <f>IFERROR(INDEX(PP_Grid[#Data],$DE1638,65),0)</f>
        <v/>
      </c>
      <c r="BQ1638">
        <f>IFERROR(INDEX(PP_Grid[#Data],$DE1638,66),0)</f>
        <v/>
      </c>
      <c r="BR1638">
        <f>IFERROR(INDEX(PP_Grid[#Data],$DE1638,67),0)</f>
        <v/>
      </c>
      <c r="BS1638">
        <f>IFERROR(INDEX(PP_Grid[#Data],$DE1638,68),0)</f>
        <v/>
      </c>
      <c r="BT1638">
        <f>IFERROR(INDEX(PP_Grid[#Data],$DE1638,69),0)</f>
        <v/>
      </c>
      <c r="BU1638">
        <f>IFERROR(INDEX(PP_Grid[#Data],$DE1638,70),0)</f>
        <v/>
      </c>
      <c r="BV1638">
        <f>IFERROR(INDEX(PP_Grid[#Data],$DE1638,71),0)</f>
        <v/>
      </c>
      <c r="BW1638">
        <f>IFERROR(INDEX(PP_Grid[#Data],$DE1638,72),0)</f>
        <v/>
      </c>
      <c r="BX1638">
        <f>IFERROR(INDEX(PP_Grid[#Data],$DE1638,73),0)</f>
        <v/>
      </c>
      <c r="BY1638">
        <f>IFERROR(INDEX(PP_Grid[#Data],$DE1638,74),0)</f>
        <v/>
      </c>
      <c r="BZ1638">
        <f>IFERROR(INDEX(PP_Grid[#Data],$DE1638,75),0)</f>
        <v/>
      </c>
      <c r="CA1638">
        <f>IFERROR(INDEX(PP_Grid[#Data],$DE1638,76),0)</f>
        <v/>
      </c>
      <c r="CB1638">
        <f>IFERROR(INDEX(PP_Grid[#Data],$DE1638,77),0)</f>
        <v/>
      </c>
      <c r="CC1638">
        <f>IFERROR(INDEX(PP_Grid[#Data],$DE1638,78),0)</f>
        <v/>
      </c>
      <c r="CD1638">
        <f>IFERROR(INDEX(PP_Grid[#Data],$DE1638,79),0)</f>
        <v/>
      </c>
      <c r="CE1638">
        <f>IFERROR(INDEX(PP_Grid[#Data],$DE1638,80),0)</f>
        <v/>
      </c>
      <c r="CF1638">
        <f>IFERROR(INDEX(PP_Grid[#Data],$DE1638,81),0)</f>
        <v/>
      </c>
      <c r="CG1638">
        <f>IFERROR(INDEX(PP_Grid[#Data],$DE1638,82),0)</f>
        <v/>
      </c>
      <c r="CH1638">
        <f>IFERROR(INDEX(PP_Grid[#Data],$DE1638,83),0)</f>
        <v/>
      </c>
      <c r="CI1638">
        <f>IFERROR(INDEX(PP_Grid[#Data],$DE1638,84),0)</f>
        <v/>
      </c>
      <c r="CJ1638">
        <f>IFERROR(INDEX(PP_Grid[#Data],$DE1638,85),0)</f>
        <v/>
      </c>
      <c r="CK1638">
        <f>IFERROR(INDEX(PP_Grid[#Data],$DE1638,86),0)</f>
        <v/>
      </c>
      <c r="CL1638">
        <f>IFERROR(INDEX(PP_Grid[#Data],$DE1638,87),0)</f>
        <v/>
      </c>
      <c r="CM1638">
        <f>IFERROR(INDEX(PP_Grid[#Data],$DE1638,88),0)</f>
        <v/>
      </c>
      <c r="CN1638">
        <f>IFERROR(INDEX(PP_Grid[#Data],$DE1638,89),0)</f>
        <v/>
      </c>
      <c r="CO1638">
        <f>IFERROR(INDEX(PP_Grid[#Data],$DE1638,90),0)</f>
        <v/>
      </c>
      <c r="CP1638">
        <f>IFERROR(INDEX(PP_Grid[#Data],$DE1638,91),0)</f>
        <v/>
      </c>
      <c r="CQ1638">
        <f>IFERROR(INDEX(PP_Grid[#Data],$DE1638,92),0)</f>
        <v/>
      </c>
      <c r="CR1638">
        <f>IFERROR(INDEX(PP_Grid[#Data],$DE1638,93),0)</f>
        <v/>
      </c>
      <c r="CS1638">
        <f>IFERROR(INDEX(PP_Grid[#Data],$DE1638,94),0)</f>
        <v/>
      </c>
      <c r="CT1638">
        <f>IFERROR(INDEX(PP_Grid[#Data],$DE1638,95),0)</f>
        <v/>
      </c>
      <c r="CU1638">
        <f>IFERROR(INDEX(PP_Grid[#Data],$DE1638,96),0)</f>
        <v/>
      </c>
      <c r="CV1638">
        <f>IFERROR(INDEX(PP_Grid[#Data],$DE1638,97),0)</f>
        <v/>
      </c>
      <c r="CW1638">
        <f>IFERROR(INDEX(PP_Grid[#Data],$DE1638,98),0)</f>
        <v/>
      </c>
      <c r="CX1638">
        <f>IFERROR(INDEX(PP_Grid[#Data],$DE1638,99),0)</f>
        <v/>
      </c>
      <c r="CY1638">
        <f>IFERROR(INDEX(PP_Grid[#Data],$DE1638,100),0)</f>
        <v/>
      </c>
      <c r="CZ1638">
        <f>IFERROR(INDEX(PP_Grid[#Data],$DE1638,101),0)</f>
        <v/>
      </c>
      <c r="DA1638">
        <f>IFERROR(INDEX(PP_Grid[#Data],$DE1638,102),0)</f>
        <v/>
      </c>
      <c r="DB1638">
        <f>IFERROR(INDEX(PP_Grid[#Data],$DE1638,103),0)</f>
        <v/>
      </c>
      <c r="DC1638">
        <f>IFERROR(INDEX(PP_Grid[#Data],$DE1638,104),0)</f>
        <v/>
      </c>
      <c r="DD1638">
        <f>IFERROR(INDEX(PP_Grid[#Data],$DE1638,105),0)</f>
        <v/>
      </c>
      <c r="DE1638" s="7">
        <f>IFERROR(MATCH($B1638,PP_Grid[Intermediate],0),99999)</f>
        <v/>
      </c>
    </row>
    <row r="1639">
      <c r="B1639" t="inlineStr">
        <is>
          <t>使用量(kg)</t>
        </is>
      </c>
      <c r="C1639">
        <f>SUMIFS(M_BOM[RM_Qty_Per_Batch],M_BOM[Intermediate],$B1638,M_BOM[RM_Code],$A1603)</f>
        <v/>
      </c>
      <c r="D1639">
        <f>IFERROR(INDEX(E1639:DD1639,$F$1),"")</f>
        <v/>
      </c>
      <c r="E1639">
        <f>$C1639*E1638</f>
        <v/>
      </c>
      <c r="F1639">
        <f>$C1639*F1638</f>
        <v/>
      </c>
      <c r="G1639">
        <f>$C1639*G1638</f>
        <v/>
      </c>
      <c r="H1639">
        <f>$C1639*H1638</f>
        <v/>
      </c>
      <c r="I1639">
        <f>$C1639*I1638</f>
        <v/>
      </c>
      <c r="J1639">
        <f>$C1639*J1638</f>
        <v/>
      </c>
      <c r="K1639">
        <f>$C1639*K1638</f>
        <v/>
      </c>
      <c r="L1639">
        <f>$C1639*L1638</f>
        <v/>
      </c>
      <c r="M1639">
        <f>$C1639*M1638</f>
        <v/>
      </c>
      <c r="N1639">
        <f>$C1639*N1638</f>
        <v/>
      </c>
      <c r="O1639">
        <f>$C1639*O1638</f>
        <v/>
      </c>
      <c r="P1639">
        <f>$C1639*P1638</f>
        <v/>
      </c>
      <c r="Q1639">
        <f>$C1639*Q1638</f>
        <v/>
      </c>
      <c r="R1639">
        <f>$C1639*R1638</f>
        <v/>
      </c>
      <c r="S1639">
        <f>$C1639*S1638</f>
        <v/>
      </c>
      <c r="T1639">
        <f>$C1639*T1638</f>
        <v/>
      </c>
      <c r="U1639">
        <f>$C1639*U1638</f>
        <v/>
      </c>
      <c r="V1639">
        <f>$C1639*V1638</f>
        <v/>
      </c>
      <c r="W1639">
        <f>$C1639*W1638</f>
        <v/>
      </c>
      <c r="X1639">
        <f>$C1639*X1638</f>
        <v/>
      </c>
      <c r="Y1639">
        <f>$C1639*Y1638</f>
        <v/>
      </c>
      <c r="Z1639">
        <f>$C1639*Z1638</f>
        <v/>
      </c>
      <c r="AA1639">
        <f>$C1639*AA1638</f>
        <v/>
      </c>
      <c r="AB1639">
        <f>$C1639*AB1638</f>
        <v/>
      </c>
      <c r="AC1639">
        <f>$C1639*AC1638</f>
        <v/>
      </c>
      <c r="AD1639">
        <f>$C1639*AD1638</f>
        <v/>
      </c>
      <c r="AE1639">
        <f>$C1639*AE1638</f>
        <v/>
      </c>
      <c r="AF1639">
        <f>$C1639*AF1638</f>
        <v/>
      </c>
      <c r="AG1639">
        <f>$C1639*AG1638</f>
        <v/>
      </c>
      <c r="AH1639">
        <f>$C1639*AH1638</f>
        <v/>
      </c>
      <c r="AI1639">
        <f>$C1639*AI1638</f>
        <v/>
      </c>
      <c r="AJ1639">
        <f>$C1639*AJ1638</f>
        <v/>
      </c>
      <c r="AK1639">
        <f>$C1639*AK1638</f>
        <v/>
      </c>
      <c r="AL1639">
        <f>$C1639*AL1638</f>
        <v/>
      </c>
      <c r="AM1639">
        <f>$C1639*AM1638</f>
        <v/>
      </c>
      <c r="AN1639">
        <f>$C1639*AN1638</f>
        <v/>
      </c>
      <c r="AO1639">
        <f>$C1639*AO1638</f>
        <v/>
      </c>
      <c r="AP1639">
        <f>$C1639*AP1638</f>
        <v/>
      </c>
      <c r="AQ1639">
        <f>$C1639*AQ1638</f>
        <v/>
      </c>
      <c r="AR1639">
        <f>$C1639*AR1638</f>
        <v/>
      </c>
      <c r="AS1639">
        <f>$C1639*AS1638</f>
        <v/>
      </c>
      <c r="AT1639">
        <f>$C1639*AT1638</f>
        <v/>
      </c>
      <c r="AU1639">
        <f>$C1639*AU1638</f>
        <v/>
      </c>
      <c r="AV1639">
        <f>$C1639*AV1638</f>
        <v/>
      </c>
      <c r="AW1639">
        <f>$C1639*AW1638</f>
        <v/>
      </c>
      <c r="AX1639">
        <f>$C1639*AX1638</f>
        <v/>
      </c>
      <c r="AY1639">
        <f>$C1639*AY1638</f>
        <v/>
      </c>
      <c r="AZ1639">
        <f>$C1639*AZ1638</f>
        <v/>
      </c>
      <c r="BA1639">
        <f>$C1639*BA1638</f>
        <v/>
      </c>
      <c r="BB1639">
        <f>$C1639*BB1638</f>
        <v/>
      </c>
      <c r="BC1639">
        <f>$C1639*BC1638</f>
        <v/>
      </c>
      <c r="BD1639">
        <f>$C1639*BD1638</f>
        <v/>
      </c>
      <c r="BE1639">
        <f>$C1639*BE1638</f>
        <v/>
      </c>
      <c r="BF1639">
        <f>$C1639*BF1638</f>
        <v/>
      </c>
      <c r="BG1639">
        <f>$C1639*BG1638</f>
        <v/>
      </c>
      <c r="BH1639">
        <f>$C1639*BH1638</f>
        <v/>
      </c>
      <c r="BI1639">
        <f>$C1639*BI1638</f>
        <v/>
      </c>
      <c r="BJ1639">
        <f>$C1639*BJ1638</f>
        <v/>
      </c>
      <c r="BK1639">
        <f>$C1639*BK1638</f>
        <v/>
      </c>
      <c r="BL1639">
        <f>$C1639*BL1638</f>
        <v/>
      </c>
      <c r="BM1639">
        <f>$C1639*BM1638</f>
        <v/>
      </c>
      <c r="BN1639">
        <f>$C1639*BN1638</f>
        <v/>
      </c>
      <c r="BO1639">
        <f>$C1639*BO1638</f>
        <v/>
      </c>
      <c r="BP1639">
        <f>$C1639*BP1638</f>
        <v/>
      </c>
      <c r="BQ1639">
        <f>$C1639*BQ1638</f>
        <v/>
      </c>
      <c r="BR1639">
        <f>$C1639*BR1638</f>
        <v/>
      </c>
      <c r="BS1639">
        <f>$C1639*BS1638</f>
        <v/>
      </c>
      <c r="BT1639">
        <f>$C1639*BT1638</f>
        <v/>
      </c>
      <c r="BU1639">
        <f>$C1639*BU1638</f>
        <v/>
      </c>
      <c r="BV1639">
        <f>$C1639*BV1638</f>
        <v/>
      </c>
      <c r="BW1639">
        <f>$C1639*BW1638</f>
        <v/>
      </c>
      <c r="BX1639">
        <f>$C1639*BX1638</f>
        <v/>
      </c>
      <c r="BY1639">
        <f>$C1639*BY1638</f>
        <v/>
      </c>
      <c r="BZ1639">
        <f>$C1639*BZ1638</f>
        <v/>
      </c>
      <c r="CA1639">
        <f>$C1639*CA1638</f>
        <v/>
      </c>
      <c r="CB1639">
        <f>$C1639*CB1638</f>
        <v/>
      </c>
      <c r="CC1639">
        <f>$C1639*CC1638</f>
        <v/>
      </c>
      <c r="CD1639">
        <f>$C1639*CD1638</f>
        <v/>
      </c>
      <c r="CE1639">
        <f>$C1639*CE1638</f>
        <v/>
      </c>
      <c r="CF1639">
        <f>$C1639*CF1638</f>
        <v/>
      </c>
      <c r="CG1639">
        <f>$C1639*CG1638</f>
        <v/>
      </c>
      <c r="CH1639">
        <f>$C1639*CH1638</f>
        <v/>
      </c>
      <c r="CI1639">
        <f>$C1639*CI1638</f>
        <v/>
      </c>
      <c r="CJ1639">
        <f>$C1639*CJ1638</f>
        <v/>
      </c>
      <c r="CK1639">
        <f>$C1639*CK1638</f>
        <v/>
      </c>
      <c r="CL1639">
        <f>$C1639*CL1638</f>
        <v/>
      </c>
      <c r="CM1639">
        <f>$C1639*CM1638</f>
        <v/>
      </c>
      <c r="CN1639">
        <f>$C1639*CN1638</f>
        <v/>
      </c>
      <c r="CO1639">
        <f>$C1639*CO1638</f>
        <v/>
      </c>
      <c r="CP1639">
        <f>$C1639*CP1638</f>
        <v/>
      </c>
      <c r="CQ1639">
        <f>$C1639*CQ1638</f>
        <v/>
      </c>
      <c r="CR1639">
        <f>$C1639*CR1638</f>
        <v/>
      </c>
      <c r="CS1639">
        <f>$C1639*CS1638</f>
        <v/>
      </c>
      <c r="CT1639">
        <f>$C1639*CT1638</f>
        <v/>
      </c>
      <c r="CU1639">
        <f>$C1639*CU1638</f>
        <v/>
      </c>
      <c r="CV1639">
        <f>$C1639*CV1638</f>
        <v/>
      </c>
      <c r="CW1639">
        <f>$C1639*CW1638</f>
        <v/>
      </c>
      <c r="CX1639">
        <f>$C1639*CX1638</f>
        <v/>
      </c>
      <c r="CY1639">
        <f>$C1639*CY1638</f>
        <v/>
      </c>
      <c r="CZ1639">
        <f>$C1639*CZ1638</f>
        <v/>
      </c>
      <c r="DA1639">
        <f>$C1639*DA1638</f>
        <v/>
      </c>
      <c r="DB1639">
        <f>$C1639*DB1638</f>
        <v/>
      </c>
      <c r="DC1639">
        <f>$C1639*DC1638</f>
        <v/>
      </c>
      <c r="DD1639">
        <f>$C1639*DD1638</f>
        <v/>
      </c>
    </row>
    <row r="1640">
      <c r="B1640" s="4" t="inlineStr">
        <is>
          <t>合計使用量(kg)/週</t>
        </is>
      </c>
      <c r="D1640" s="22">
        <f>IFERROR(INDEX(E1640:DD1640,$F$1),"")</f>
        <v/>
      </c>
      <c r="E1640">
        <f>'Grid_Requirement'!B19</f>
        <v/>
      </c>
      <c r="F1640">
        <f>'Grid_Requirement'!C19</f>
        <v/>
      </c>
      <c r="G1640">
        <f>'Grid_Requirement'!D19</f>
        <v/>
      </c>
      <c r="H1640">
        <f>'Grid_Requirement'!E19</f>
        <v/>
      </c>
      <c r="I1640">
        <f>'Grid_Requirement'!F19</f>
        <v/>
      </c>
      <c r="J1640">
        <f>'Grid_Requirement'!G19</f>
        <v/>
      </c>
      <c r="K1640">
        <f>'Grid_Requirement'!H19</f>
        <v/>
      </c>
      <c r="L1640">
        <f>'Grid_Requirement'!I19</f>
        <v/>
      </c>
      <c r="M1640">
        <f>'Grid_Requirement'!J19</f>
        <v/>
      </c>
      <c r="N1640">
        <f>'Grid_Requirement'!K19</f>
        <v/>
      </c>
      <c r="O1640">
        <f>'Grid_Requirement'!L19</f>
        <v/>
      </c>
      <c r="P1640">
        <f>'Grid_Requirement'!M19</f>
        <v/>
      </c>
      <c r="Q1640">
        <f>'Grid_Requirement'!N19</f>
        <v/>
      </c>
      <c r="R1640">
        <f>'Grid_Requirement'!O19</f>
        <v/>
      </c>
      <c r="S1640">
        <f>'Grid_Requirement'!P19</f>
        <v/>
      </c>
      <c r="T1640">
        <f>'Grid_Requirement'!Q19</f>
        <v/>
      </c>
      <c r="U1640">
        <f>'Grid_Requirement'!R19</f>
        <v/>
      </c>
      <c r="V1640">
        <f>'Grid_Requirement'!S19</f>
        <v/>
      </c>
      <c r="W1640">
        <f>'Grid_Requirement'!T19</f>
        <v/>
      </c>
      <c r="X1640">
        <f>'Grid_Requirement'!U19</f>
        <v/>
      </c>
      <c r="Y1640">
        <f>'Grid_Requirement'!V19</f>
        <v/>
      </c>
      <c r="Z1640">
        <f>'Grid_Requirement'!W19</f>
        <v/>
      </c>
      <c r="AA1640">
        <f>'Grid_Requirement'!X19</f>
        <v/>
      </c>
      <c r="AB1640">
        <f>'Grid_Requirement'!Y19</f>
        <v/>
      </c>
      <c r="AC1640">
        <f>'Grid_Requirement'!Z19</f>
        <v/>
      </c>
      <c r="AD1640">
        <f>'Grid_Requirement'!AA19</f>
        <v/>
      </c>
      <c r="AE1640">
        <f>'Grid_Requirement'!AB19</f>
        <v/>
      </c>
      <c r="AF1640">
        <f>'Grid_Requirement'!AC19</f>
        <v/>
      </c>
      <c r="AG1640">
        <f>'Grid_Requirement'!AD19</f>
        <v/>
      </c>
      <c r="AH1640">
        <f>'Grid_Requirement'!AE19</f>
        <v/>
      </c>
      <c r="AI1640">
        <f>'Grid_Requirement'!AF19</f>
        <v/>
      </c>
      <c r="AJ1640">
        <f>'Grid_Requirement'!AG19</f>
        <v/>
      </c>
      <c r="AK1640">
        <f>'Grid_Requirement'!AH19</f>
        <v/>
      </c>
      <c r="AL1640">
        <f>'Grid_Requirement'!AI19</f>
        <v/>
      </c>
      <c r="AM1640">
        <f>'Grid_Requirement'!AJ19</f>
        <v/>
      </c>
      <c r="AN1640">
        <f>'Grid_Requirement'!AK19</f>
        <v/>
      </c>
      <c r="AO1640">
        <f>'Grid_Requirement'!AL19</f>
        <v/>
      </c>
      <c r="AP1640">
        <f>'Grid_Requirement'!AM19</f>
        <v/>
      </c>
      <c r="AQ1640">
        <f>'Grid_Requirement'!AN19</f>
        <v/>
      </c>
      <c r="AR1640">
        <f>'Grid_Requirement'!AO19</f>
        <v/>
      </c>
      <c r="AS1640">
        <f>'Grid_Requirement'!AP19</f>
        <v/>
      </c>
      <c r="AT1640">
        <f>'Grid_Requirement'!AQ19</f>
        <v/>
      </c>
      <c r="AU1640">
        <f>'Grid_Requirement'!AR19</f>
        <v/>
      </c>
      <c r="AV1640">
        <f>'Grid_Requirement'!AS19</f>
        <v/>
      </c>
      <c r="AW1640">
        <f>'Grid_Requirement'!AT19</f>
        <v/>
      </c>
      <c r="AX1640">
        <f>'Grid_Requirement'!AU19</f>
        <v/>
      </c>
      <c r="AY1640">
        <f>'Grid_Requirement'!AV19</f>
        <v/>
      </c>
      <c r="AZ1640">
        <f>'Grid_Requirement'!AW19</f>
        <v/>
      </c>
      <c r="BA1640">
        <f>'Grid_Requirement'!AX19</f>
        <v/>
      </c>
      <c r="BB1640">
        <f>'Grid_Requirement'!AY19</f>
        <v/>
      </c>
      <c r="BC1640">
        <f>'Grid_Requirement'!AZ19</f>
        <v/>
      </c>
      <c r="BD1640">
        <f>'Grid_Requirement'!BA19</f>
        <v/>
      </c>
      <c r="BE1640">
        <f>'Grid_Requirement'!BB19</f>
        <v/>
      </c>
      <c r="BF1640">
        <f>'Grid_Requirement'!BC19</f>
        <v/>
      </c>
      <c r="BG1640">
        <f>'Grid_Requirement'!BD19</f>
        <v/>
      </c>
      <c r="BH1640">
        <f>'Grid_Requirement'!BE19</f>
        <v/>
      </c>
      <c r="BI1640">
        <f>'Grid_Requirement'!BF19</f>
        <v/>
      </c>
      <c r="BJ1640">
        <f>'Grid_Requirement'!BG19</f>
        <v/>
      </c>
      <c r="BK1640">
        <f>'Grid_Requirement'!BH19</f>
        <v/>
      </c>
      <c r="BL1640">
        <f>'Grid_Requirement'!BI19</f>
        <v/>
      </c>
      <c r="BM1640">
        <f>'Grid_Requirement'!BJ19</f>
        <v/>
      </c>
      <c r="BN1640">
        <f>'Grid_Requirement'!BK19</f>
        <v/>
      </c>
      <c r="BO1640">
        <f>'Grid_Requirement'!BL19</f>
        <v/>
      </c>
      <c r="BP1640">
        <f>'Grid_Requirement'!BM19</f>
        <v/>
      </c>
      <c r="BQ1640">
        <f>'Grid_Requirement'!BN19</f>
        <v/>
      </c>
      <c r="BR1640">
        <f>'Grid_Requirement'!BO19</f>
        <v/>
      </c>
      <c r="BS1640">
        <f>'Grid_Requirement'!BP19</f>
        <v/>
      </c>
      <c r="BT1640">
        <f>'Grid_Requirement'!BQ19</f>
        <v/>
      </c>
      <c r="BU1640">
        <f>'Grid_Requirement'!BR19</f>
        <v/>
      </c>
      <c r="BV1640">
        <f>'Grid_Requirement'!BS19</f>
        <v/>
      </c>
      <c r="BW1640">
        <f>'Grid_Requirement'!BT19</f>
        <v/>
      </c>
      <c r="BX1640">
        <f>'Grid_Requirement'!BU19</f>
        <v/>
      </c>
      <c r="BY1640">
        <f>'Grid_Requirement'!BV19</f>
        <v/>
      </c>
      <c r="BZ1640">
        <f>'Grid_Requirement'!BW19</f>
        <v/>
      </c>
      <c r="CA1640">
        <f>'Grid_Requirement'!BX19</f>
        <v/>
      </c>
      <c r="CB1640">
        <f>'Grid_Requirement'!BY19</f>
        <v/>
      </c>
      <c r="CC1640">
        <f>'Grid_Requirement'!BZ19</f>
        <v/>
      </c>
      <c r="CD1640">
        <f>'Grid_Requirement'!CA19</f>
        <v/>
      </c>
      <c r="CE1640">
        <f>'Grid_Requirement'!CB19</f>
        <v/>
      </c>
      <c r="CF1640">
        <f>'Grid_Requirement'!CC19</f>
        <v/>
      </c>
      <c r="CG1640">
        <f>'Grid_Requirement'!CD19</f>
        <v/>
      </c>
      <c r="CH1640">
        <f>'Grid_Requirement'!CE19</f>
        <v/>
      </c>
      <c r="CI1640">
        <f>'Grid_Requirement'!CF19</f>
        <v/>
      </c>
      <c r="CJ1640">
        <f>'Grid_Requirement'!CG19</f>
        <v/>
      </c>
      <c r="CK1640">
        <f>'Grid_Requirement'!CH19</f>
        <v/>
      </c>
      <c r="CL1640">
        <f>'Grid_Requirement'!CI19</f>
        <v/>
      </c>
      <c r="CM1640">
        <f>'Grid_Requirement'!CJ19</f>
        <v/>
      </c>
      <c r="CN1640">
        <f>'Grid_Requirement'!CK19</f>
        <v/>
      </c>
      <c r="CO1640">
        <f>'Grid_Requirement'!CL19</f>
        <v/>
      </c>
      <c r="CP1640">
        <f>'Grid_Requirement'!CM19</f>
        <v/>
      </c>
      <c r="CQ1640">
        <f>'Grid_Requirement'!CN19</f>
        <v/>
      </c>
      <c r="CR1640">
        <f>'Grid_Requirement'!CO19</f>
        <v/>
      </c>
      <c r="CS1640">
        <f>'Grid_Requirement'!CP19</f>
        <v/>
      </c>
      <c r="CT1640">
        <f>'Grid_Requirement'!CQ19</f>
        <v/>
      </c>
      <c r="CU1640">
        <f>'Grid_Requirement'!CR19</f>
        <v/>
      </c>
      <c r="CV1640">
        <f>'Grid_Requirement'!CS19</f>
        <v/>
      </c>
      <c r="CW1640">
        <f>'Grid_Requirement'!CT19</f>
        <v/>
      </c>
      <c r="CX1640">
        <f>'Grid_Requirement'!CU19</f>
        <v/>
      </c>
      <c r="CY1640">
        <f>'Grid_Requirement'!CV19</f>
        <v/>
      </c>
      <c r="CZ1640">
        <f>'Grid_Requirement'!CW19</f>
        <v/>
      </c>
      <c r="DA1640">
        <f>'Grid_Requirement'!CX19</f>
        <v/>
      </c>
      <c r="DB1640">
        <f>'Grid_Requirement'!CY19</f>
        <v/>
      </c>
      <c r="DC1640">
        <f>'Grid_Requirement'!CZ19</f>
        <v/>
      </c>
      <c r="DD1640">
        <f>'Grid_Requirement'!DA19</f>
        <v/>
      </c>
    </row>
    <row r="1641">
      <c r="B1641" s="23" t="inlineStr">
        <is>
          <t>（在庫・入荷予定はDashboard参照）</t>
        </is>
      </c>
    </row>
    <row r="1643">
      <c r="A1643" s="21" t="inlineStr">
        <is>
          <t>CHEM-1840</t>
        </is>
      </c>
      <c r="B1643" s="21" t="inlineStr">
        <is>
          <t>KAOCERA2020</t>
        </is>
      </c>
      <c r="C1643" s="21" t="n"/>
      <c r="D1643" s="21" t="n"/>
      <c r="E1643" s="21" t="n"/>
      <c r="F1643" s="21" t="n"/>
      <c r="G1643" s="21" t="n"/>
      <c r="H1643" s="21" t="n"/>
      <c r="I1643" s="21" t="n"/>
      <c r="J1643" s="21" t="n"/>
      <c r="K1643" s="21" t="n"/>
      <c r="L1643" s="21" t="n"/>
      <c r="M1643" s="21" t="n"/>
      <c r="N1643" s="21" t="n"/>
      <c r="O1643" s="21" t="n"/>
      <c r="P1643" s="21" t="n"/>
      <c r="Q1643" s="21" t="n"/>
      <c r="R1643" s="21" t="n"/>
      <c r="S1643" s="21" t="n"/>
      <c r="T1643" s="21" t="n"/>
      <c r="U1643" s="21" t="n"/>
      <c r="V1643" s="21" t="n"/>
      <c r="W1643" s="21" t="n"/>
      <c r="X1643" s="21" t="n"/>
      <c r="Y1643" s="21" t="n"/>
      <c r="Z1643" s="21" t="n"/>
      <c r="AA1643" s="21" t="n"/>
      <c r="AB1643" s="21" t="n"/>
      <c r="AC1643" s="21" t="n"/>
      <c r="AD1643" s="21" t="n"/>
      <c r="AE1643" s="21" t="n"/>
      <c r="AF1643" s="21" t="n"/>
      <c r="AG1643" s="21" t="n"/>
      <c r="AH1643" s="21" t="n"/>
      <c r="AI1643" s="21" t="n"/>
      <c r="AJ1643" s="21" t="n"/>
      <c r="AK1643" s="21" t="n"/>
      <c r="AL1643" s="21" t="n"/>
      <c r="AM1643" s="21" t="n"/>
      <c r="AN1643" s="21" t="n"/>
      <c r="AO1643" s="21" t="n"/>
      <c r="AP1643" s="21" t="n"/>
      <c r="AQ1643" s="21" t="n"/>
      <c r="AR1643" s="21" t="n"/>
      <c r="AS1643" s="21" t="n"/>
      <c r="AT1643" s="21" t="n"/>
      <c r="AU1643" s="21" t="n"/>
      <c r="AV1643" s="21" t="n"/>
      <c r="AW1643" s="21" t="n"/>
      <c r="AX1643" s="21" t="n"/>
      <c r="AY1643" s="21" t="n"/>
      <c r="AZ1643" s="21" t="n"/>
      <c r="BA1643" s="21" t="n"/>
      <c r="BB1643" s="21" t="n"/>
      <c r="BC1643" s="21" t="n"/>
      <c r="BD1643" s="21" t="n"/>
      <c r="BE1643" s="21" t="n"/>
      <c r="BF1643" s="21" t="n"/>
      <c r="BG1643" s="21" t="n"/>
      <c r="BH1643" s="21" t="n"/>
      <c r="BI1643" s="21" t="n"/>
      <c r="BJ1643" s="21" t="n"/>
      <c r="BK1643" s="21" t="n"/>
      <c r="BL1643" s="21" t="n"/>
      <c r="BM1643" s="21" t="n"/>
      <c r="BN1643" s="21" t="n"/>
      <c r="BO1643" s="21" t="n"/>
      <c r="BP1643" s="21" t="n"/>
      <c r="BQ1643" s="21" t="n"/>
      <c r="BR1643" s="21" t="n"/>
      <c r="BS1643" s="21" t="n"/>
      <c r="BT1643" s="21" t="n"/>
      <c r="BU1643" s="21" t="n"/>
      <c r="BV1643" s="21" t="n"/>
      <c r="BW1643" s="21" t="n"/>
      <c r="BX1643" s="21" t="n"/>
      <c r="BY1643" s="21" t="n"/>
      <c r="BZ1643" s="21" t="n"/>
      <c r="CA1643" s="21" t="n"/>
      <c r="CB1643" s="21" t="n"/>
      <c r="CC1643" s="21" t="n"/>
      <c r="CD1643" s="21" t="n"/>
      <c r="CE1643" s="21" t="n"/>
      <c r="CF1643" s="21" t="n"/>
      <c r="CG1643" s="21" t="n"/>
      <c r="CH1643" s="21" t="n"/>
      <c r="CI1643" s="21" t="n"/>
      <c r="CJ1643" s="21" t="n"/>
      <c r="CK1643" s="21" t="n"/>
      <c r="CL1643" s="21" t="n"/>
      <c r="CM1643" s="21" t="n"/>
      <c r="CN1643" s="21" t="n"/>
      <c r="CO1643" s="21" t="n"/>
      <c r="CP1643" s="21" t="n"/>
      <c r="CQ1643" s="21" t="n"/>
      <c r="CR1643" s="21" t="n"/>
      <c r="CS1643" s="21" t="n"/>
      <c r="CT1643" s="21" t="n"/>
      <c r="CU1643" s="21" t="n"/>
      <c r="CV1643" s="21" t="n"/>
      <c r="CW1643" s="21" t="n"/>
      <c r="CX1643" s="21" t="n"/>
      <c r="CY1643" s="21" t="n"/>
      <c r="CZ1643" s="21" t="n"/>
      <c r="DA1643" s="21" t="n"/>
      <c r="DB1643" s="21" t="n"/>
      <c r="DC1643" s="21" t="n"/>
      <c r="DD1643" s="21" t="n"/>
    </row>
    <row r="1644">
      <c r="B1644" t="inlineStr">
        <is>
          <t>TSP-1558</t>
        </is>
      </c>
      <c r="C1644" t="inlineStr">
        <is>
          <t>No. of batches</t>
        </is>
      </c>
      <c r="D1644">
        <f>IFERROR(INDEX(E1644:DD1644,$F$1),"")</f>
        <v/>
      </c>
      <c r="E1644">
        <f>IFERROR(INDEX(PP_Grid[#Data],$DE1644,2),0)</f>
        <v/>
      </c>
      <c r="F1644">
        <f>IFERROR(INDEX(PP_Grid[#Data],$DE1644,3),0)</f>
        <v/>
      </c>
      <c r="G1644">
        <f>IFERROR(INDEX(PP_Grid[#Data],$DE1644,4),0)</f>
        <v/>
      </c>
      <c r="H1644">
        <f>IFERROR(INDEX(PP_Grid[#Data],$DE1644,5),0)</f>
        <v/>
      </c>
      <c r="I1644">
        <f>IFERROR(INDEX(PP_Grid[#Data],$DE1644,6),0)</f>
        <v/>
      </c>
      <c r="J1644">
        <f>IFERROR(INDEX(PP_Grid[#Data],$DE1644,7),0)</f>
        <v/>
      </c>
      <c r="K1644">
        <f>IFERROR(INDEX(PP_Grid[#Data],$DE1644,8),0)</f>
        <v/>
      </c>
      <c r="L1644">
        <f>IFERROR(INDEX(PP_Grid[#Data],$DE1644,9),0)</f>
        <v/>
      </c>
      <c r="M1644">
        <f>IFERROR(INDEX(PP_Grid[#Data],$DE1644,10),0)</f>
        <v/>
      </c>
      <c r="N1644">
        <f>IFERROR(INDEX(PP_Grid[#Data],$DE1644,11),0)</f>
        <v/>
      </c>
      <c r="O1644">
        <f>IFERROR(INDEX(PP_Grid[#Data],$DE1644,12),0)</f>
        <v/>
      </c>
      <c r="P1644">
        <f>IFERROR(INDEX(PP_Grid[#Data],$DE1644,13),0)</f>
        <v/>
      </c>
      <c r="Q1644">
        <f>IFERROR(INDEX(PP_Grid[#Data],$DE1644,14),0)</f>
        <v/>
      </c>
      <c r="R1644">
        <f>IFERROR(INDEX(PP_Grid[#Data],$DE1644,15),0)</f>
        <v/>
      </c>
      <c r="S1644">
        <f>IFERROR(INDEX(PP_Grid[#Data],$DE1644,16),0)</f>
        <v/>
      </c>
      <c r="T1644">
        <f>IFERROR(INDEX(PP_Grid[#Data],$DE1644,17),0)</f>
        <v/>
      </c>
      <c r="U1644">
        <f>IFERROR(INDEX(PP_Grid[#Data],$DE1644,18),0)</f>
        <v/>
      </c>
      <c r="V1644">
        <f>IFERROR(INDEX(PP_Grid[#Data],$DE1644,19),0)</f>
        <v/>
      </c>
      <c r="W1644">
        <f>IFERROR(INDEX(PP_Grid[#Data],$DE1644,20),0)</f>
        <v/>
      </c>
      <c r="X1644">
        <f>IFERROR(INDEX(PP_Grid[#Data],$DE1644,21),0)</f>
        <v/>
      </c>
      <c r="Y1644">
        <f>IFERROR(INDEX(PP_Grid[#Data],$DE1644,22),0)</f>
        <v/>
      </c>
      <c r="Z1644">
        <f>IFERROR(INDEX(PP_Grid[#Data],$DE1644,23),0)</f>
        <v/>
      </c>
      <c r="AA1644">
        <f>IFERROR(INDEX(PP_Grid[#Data],$DE1644,24),0)</f>
        <v/>
      </c>
      <c r="AB1644">
        <f>IFERROR(INDEX(PP_Grid[#Data],$DE1644,25),0)</f>
        <v/>
      </c>
      <c r="AC1644">
        <f>IFERROR(INDEX(PP_Grid[#Data],$DE1644,26),0)</f>
        <v/>
      </c>
      <c r="AD1644">
        <f>IFERROR(INDEX(PP_Grid[#Data],$DE1644,27),0)</f>
        <v/>
      </c>
      <c r="AE1644">
        <f>IFERROR(INDEX(PP_Grid[#Data],$DE1644,28),0)</f>
        <v/>
      </c>
      <c r="AF1644">
        <f>IFERROR(INDEX(PP_Grid[#Data],$DE1644,29),0)</f>
        <v/>
      </c>
      <c r="AG1644">
        <f>IFERROR(INDEX(PP_Grid[#Data],$DE1644,30),0)</f>
        <v/>
      </c>
      <c r="AH1644">
        <f>IFERROR(INDEX(PP_Grid[#Data],$DE1644,31),0)</f>
        <v/>
      </c>
      <c r="AI1644">
        <f>IFERROR(INDEX(PP_Grid[#Data],$DE1644,32),0)</f>
        <v/>
      </c>
      <c r="AJ1644">
        <f>IFERROR(INDEX(PP_Grid[#Data],$DE1644,33),0)</f>
        <v/>
      </c>
      <c r="AK1644">
        <f>IFERROR(INDEX(PP_Grid[#Data],$DE1644,34),0)</f>
        <v/>
      </c>
      <c r="AL1644">
        <f>IFERROR(INDEX(PP_Grid[#Data],$DE1644,35),0)</f>
        <v/>
      </c>
      <c r="AM1644">
        <f>IFERROR(INDEX(PP_Grid[#Data],$DE1644,36),0)</f>
        <v/>
      </c>
      <c r="AN1644">
        <f>IFERROR(INDEX(PP_Grid[#Data],$DE1644,37),0)</f>
        <v/>
      </c>
      <c r="AO1644">
        <f>IFERROR(INDEX(PP_Grid[#Data],$DE1644,38),0)</f>
        <v/>
      </c>
      <c r="AP1644">
        <f>IFERROR(INDEX(PP_Grid[#Data],$DE1644,39),0)</f>
        <v/>
      </c>
      <c r="AQ1644">
        <f>IFERROR(INDEX(PP_Grid[#Data],$DE1644,40),0)</f>
        <v/>
      </c>
      <c r="AR1644">
        <f>IFERROR(INDEX(PP_Grid[#Data],$DE1644,41),0)</f>
        <v/>
      </c>
      <c r="AS1644">
        <f>IFERROR(INDEX(PP_Grid[#Data],$DE1644,42),0)</f>
        <v/>
      </c>
      <c r="AT1644">
        <f>IFERROR(INDEX(PP_Grid[#Data],$DE1644,43),0)</f>
        <v/>
      </c>
      <c r="AU1644">
        <f>IFERROR(INDEX(PP_Grid[#Data],$DE1644,44),0)</f>
        <v/>
      </c>
      <c r="AV1644">
        <f>IFERROR(INDEX(PP_Grid[#Data],$DE1644,45),0)</f>
        <v/>
      </c>
      <c r="AW1644">
        <f>IFERROR(INDEX(PP_Grid[#Data],$DE1644,46),0)</f>
        <v/>
      </c>
      <c r="AX1644">
        <f>IFERROR(INDEX(PP_Grid[#Data],$DE1644,47),0)</f>
        <v/>
      </c>
      <c r="AY1644">
        <f>IFERROR(INDEX(PP_Grid[#Data],$DE1644,48),0)</f>
        <v/>
      </c>
      <c r="AZ1644">
        <f>IFERROR(INDEX(PP_Grid[#Data],$DE1644,49),0)</f>
        <v/>
      </c>
      <c r="BA1644">
        <f>IFERROR(INDEX(PP_Grid[#Data],$DE1644,50),0)</f>
        <v/>
      </c>
      <c r="BB1644">
        <f>IFERROR(INDEX(PP_Grid[#Data],$DE1644,51),0)</f>
        <v/>
      </c>
      <c r="BC1644">
        <f>IFERROR(INDEX(PP_Grid[#Data],$DE1644,52),0)</f>
        <v/>
      </c>
      <c r="BD1644">
        <f>IFERROR(INDEX(PP_Grid[#Data],$DE1644,53),0)</f>
        <v/>
      </c>
      <c r="BE1644">
        <f>IFERROR(INDEX(PP_Grid[#Data],$DE1644,54),0)</f>
        <v/>
      </c>
      <c r="BF1644">
        <f>IFERROR(INDEX(PP_Grid[#Data],$DE1644,55),0)</f>
        <v/>
      </c>
      <c r="BG1644">
        <f>IFERROR(INDEX(PP_Grid[#Data],$DE1644,56),0)</f>
        <v/>
      </c>
      <c r="BH1644">
        <f>IFERROR(INDEX(PP_Grid[#Data],$DE1644,57),0)</f>
        <v/>
      </c>
      <c r="BI1644">
        <f>IFERROR(INDEX(PP_Grid[#Data],$DE1644,58),0)</f>
        <v/>
      </c>
      <c r="BJ1644">
        <f>IFERROR(INDEX(PP_Grid[#Data],$DE1644,59),0)</f>
        <v/>
      </c>
      <c r="BK1644">
        <f>IFERROR(INDEX(PP_Grid[#Data],$DE1644,60),0)</f>
        <v/>
      </c>
      <c r="BL1644">
        <f>IFERROR(INDEX(PP_Grid[#Data],$DE1644,61),0)</f>
        <v/>
      </c>
      <c r="BM1644">
        <f>IFERROR(INDEX(PP_Grid[#Data],$DE1644,62),0)</f>
        <v/>
      </c>
      <c r="BN1644">
        <f>IFERROR(INDEX(PP_Grid[#Data],$DE1644,63),0)</f>
        <v/>
      </c>
      <c r="BO1644">
        <f>IFERROR(INDEX(PP_Grid[#Data],$DE1644,64),0)</f>
        <v/>
      </c>
      <c r="BP1644">
        <f>IFERROR(INDEX(PP_Grid[#Data],$DE1644,65),0)</f>
        <v/>
      </c>
      <c r="BQ1644">
        <f>IFERROR(INDEX(PP_Grid[#Data],$DE1644,66),0)</f>
        <v/>
      </c>
      <c r="BR1644">
        <f>IFERROR(INDEX(PP_Grid[#Data],$DE1644,67),0)</f>
        <v/>
      </c>
      <c r="BS1644">
        <f>IFERROR(INDEX(PP_Grid[#Data],$DE1644,68),0)</f>
        <v/>
      </c>
      <c r="BT1644">
        <f>IFERROR(INDEX(PP_Grid[#Data],$DE1644,69),0)</f>
        <v/>
      </c>
      <c r="BU1644">
        <f>IFERROR(INDEX(PP_Grid[#Data],$DE1644,70),0)</f>
        <v/>
      </c>
      <c r="BV1644">
        <f>IFERROR(INDEX(PP_Grid[#Data],$DE1644,71),0)</f>
        <v/>
      </c>
      <c r="BW1644">
        <f>IFERROR(INDEX(PP_Grid[#Data],$DE1644,72),0)</f>
        <v/>
      </c>
      <c r="BX1644">
        <f>IFERROR(INDEX(PP_Grid[#Data],$DE1644,73),0)</f>
        <v/>
      </c>
      <c r="BY1644">
        <f>IFERROR(INDEX(PP_Grid[#Data],$DE1644,74),0)</f>
        <v/>
      </c>
      <c r="BZ1644">
        <f>IFERROR(INDEX(PP_Grid[#Data],$DE1644,75),0)</f>
        <v/>
      </c>
      <c r="CA1644">
        <f>IFERROR(INDEX(PP_Grid[#Data],$DE1644,76),0)</f>
        <v/>
      </c>
      <c r="CB1644">
        <f>IFERROR(INDEX(PP_Grid[#Data],$DE1644,77),0)</f>
        <v/>
      </c>
      <c r="CC1644">
        <f>IFERROR(INDEX(PP_Grid[#Data],$DE1644,78),0)</f>
        <v/>
      </c>
      <c r="CD1644">
        <f>IFERROR(INDEX(PP_Grid[#Data],$DE1644,79),0)</f>
        <v/>
      </c>
      <c r="CE1644">
        <f>IFERROR(INDEX(PP_Grid[#Data],$DE1644,80),0)</f>
        <v/>
      </c>
      <c r="CF1644">
        <f>IFERROR(INDEX(PP_Grid[#Data],$DE1644,81),0)</f>
        <v/>
      </c>
      <c r="CG1644">
        <f>IFERROR(INDEX(PP_Grid[#Data],$DE1644,82),0)</f>
        <v/>
      </c>
      <c r="CH1644">
        <f>IFERROR(INDEX(PP_Grid[#Data],$DE1644,83),0)</f>
        <v/>
      </c>
      <c r="CI1644">
        <f>IFERROR(INDEX(PP_Grid[#Data],$DE1644,84),0)</f>
        <v/>
      </c>
      <c r="CJ1644">
        <f>IFERROR(INDEX(PP_Grid[#Data],$DE1644,85),0)</f>
        <v/>
      </c>
      <c r="CK1644">
        <f>IFERROR(INDEX(PP_Grid[#Data],$DE1644,86),0)</f>
        <v/>
      </c>
      <c r="CL1644">
        <f>IFERROR(INDEX(PP_Grid[#Data],$DE1644,87),0)</f>
        <v/>
      </c>
      <c r="CM1644">
        <f>IFERROR(INDEX(PP_Grid[#Data],$DE1644,88),0)</f>
        <v/>
      </c>
      <c r="CN1644">
        <f>IFERROR(INDEX(PP_Grid[#Data],$DE1644,89),0)</f>
        <v/>
      </c>
      <c r="CO1644">
        <f>IFERROR(INDEX(PP_Grid[#Data],$DE1644,90),0)</f>
        <v/>
      </c>
      <c r="CP1644">
        <f>IFERROR(INDEX(PP_Grid[#Data],$DE1644,91),0)</f>
        <v/>
      </c>
      <c r="CQ1644">
        <f>IFERROR(INDEX(PP_Grid[#Data],$DE1644,92),0)</f>
        <v/>
      </c>
      <c r="CR1644">
        <f>IFERROR(INDEX(PP_Grid[#Data],$DE1644,93),0)</f>
        <v/>
      </c>
      <c r="CS1644">
        <f>IFERROR(INDEX(PP_Grid[#Data],$DE1644,94),0)</f>
        <v/>
      </c>
      <c r="CT1644">
        <f>IFERROR(INDEX(PP_Grid[#Data],$DE1644,95),0)</f>
        <v/>
      </c>
      <c r="CU1644">
        <f>IFERROR(INDEX(PP_Grid[#Data],$DE1644,96),0)</f>
        <v/>
      </c>
      <c r="CV1644">
        <f>IFERROR(INDEX(PP_Grid[#Data],$DE1644,97),0)</f>
        <v/>
      </c>
      <c r="CW1644">
        <f>IFERROR(INDEX(PP_Grid[#Data],$DE1644,98),0)</f>
        <v/>
      </c>
      <c r="CX1644">
        <f>IFERROR(INDEX(PP_Grid[#Data],$DE1644,99),0)</f>
        <v/>
      </c>
      <c r="CY1644">
        <f>IFERROR(INDEX(PP_Grid[#Data],$DE1644,100),0)</f>
        <v/>
      </c>
      <c r="CZ1644">
        <f>IFERROR(INDEX(PP_Grid[#Data],$DE1644,101),0)</f>
        <v/>
      </c>
      <c r="DA1644">
        <f>IFERROR(INDEX(PP_Grid[#Data],$DE1644,102),0)</f>
        <v/>
      </c>
      <c r="DB1644">
        <f>IFERROR(INDEX(PP_Grid[#Data],$DE1644,103),0)</f>
        <v/>
      </c>
      <c r="DC1644">
        <f>IFERROR(INDEX(PP_Grid[#Data],$DE1644,104),0)</f>
        <v/>
      </c>
      <c r="DD1644">
        <f>IFERROR(INDEX(PP_Grid[#Data],$DE1644,105),0)</f>
        <v/>
      </c>
      <c r="DE1644" s="7">
        <f>IFERROR(MATCH($B1644,PP_Grid[Intermediate],0),99999)</f>
        <v/>
      </c>
    </row>
    <row r="1645">
      <c r="B1645" t="inlineStr">
        <is>
          <t>使用量(kg)</t>
        </is>
      </c>
      <c r="C1645">
        <f>SUMIFS(M_BOM[RM_Qty_Per_Batch],M_BOM[Intermediate],$B1644,M_BOM[RM_Code],$A1643)</f>
        <v/>
      </c>
      <c r="D1645">
        <f>IFERROR(INDEX(E1645:DD1645,$F$1),"")</f>
        <v/>
      </c>
      <c r="E1645">
        <f>$C1645*E1644</f>
        <v/>
      </c>
      <c r="F1645">
        <f>$C1645*F1644</f>
        <v/>
      </c>
      <c r="G1645">
        <f>$C1645*G1644</f>
        <v/>
      </c>
      <c r="H1645">
        <f>$C1645*H1644</f>
        <v/>
      </c>
      <c r="I1645">
        <f>$C1645*I1644</f>
        <v/>
      </c>
      <c r="J1645">
        <f>$C1645*J1644</f>
        <v/>
      </c>
      <c r="K1645">
        <f>$C1645*K1644</f>
        <v/>
      </c>
      <c r="L1645">
        <f>$C1645*L1644</f>
        <v/>
      </c>
      <c r="M1645">
        <f>$C1645*M1644</f>
        <v/>
      </c>
      <c r="N1645">
        <f>$C1645*N1644</f>
        <v/>
      </c>
      <c r="O1645">
        <f>$C1645*O1644</f>
        <v/>
      </c>
      <c r="P1645">
        <f>$C1645*P1644</f>
        <v/>
      </c>
      <c r="Q1645">
        <f>$C1645*Q1644</f>
        <v/>
      </c>
      <c r="R1645">
        <f>$C1645*R1644</f>
        <v/>
      </c>
      <c r="S1645">
        <f>$C1645*S1644</f>
        <v/>
      </c>
      <c r="T1645">
        <f>$C1645*T1644</f>
        <v/>
      </c>
      <c r="U1645">
        <f>$C1645*U1644</f>
        <v/>
      </c>
      <c r="V1645">
        <f>$C1645*V1644</f>
        <v/>
      </c>
      <c r="W1645">
        <f>$C1645*W1644</f>
        <v/>
      </c>
      <c r="X1645">
        <f>$C1645*X1644</f>
        <v/>
      </c>
      <c r="Y1645">
        <f>$C1645*Y1644</f>
        <v/>
      </c>
      <c r="Z1645">
        <f>$C1645*Z1644</f>
        <v/>
      </c>
      <c r="AA1645">
        <f>$C1645*AA1644</f>
        <v/>
      </c>
      <c r="AB1645">
        <f>$C1645*AB1644</f>
        <v/>
      </c>
      <c r="AC1645">
        <f>$C1645*AC1644</f>
        <v/>
      </c>
      <c r="AD1645">
        <f>$C1645*AD1644</f>
        <v/>
      </c>
      <c r="AE1645">
        <f>$C1645*AE1644</f>
        <v/>
      </c>
      <c r="AF1645">
        <f>$C1645*AF1644</f>
        <v/>
      </c>
      <c r="AG1645">
        <f>$C1645*AG1644</f>
        <v/>
      </c>
      <c r="AH1645">
        <f>$C1645*AH1644</f>
        <v/>
      </c>
      <c r="AI1645">
        <f>$C1645*AI1644</f>
        <v/>
      </c>
      <c r="AJ1645">
        <f>$C1645*AJ1644</f>
        <v/>
      </c>
      <c r="AK1645">
        <f>$C1645*AK1644</f>
        <v/>
      </c>
      <c r="AL1645">
        <f>$C1645*AL1644</f>
        <v/>
      </c>
      <c r="AM1645">
        <f>$C1645*AM1644</f>
        <v/>
      </c>
      <c r="AN1645">
        <f>$C1645*AN1644</f>
        <v/>
      </c>
      <c r="AO1645">
        <f>$C1645*AO1644</f>
        <v/>
      </c>
      <c r="AP1645">
        <f>$C1645*AP1644</f>
        <v/>
      </c>
      <c r="AQ1645">
        <f>$C1645*AQ1644</f>
        <v/>
      </c>
      <c r="AR1645">
        <f>$C1645*AR1644</f>
        <v/>
      </c>
      <c r="AS1645">
        <f>$C1645*AS1644</f>
        <v/>
      </c>
      <c r="AT1645">
        <f>$C1645*AT1644</f>
        <v/>
      </c>
      <c r="AU1645">
        <f>$C1645*AU1644</f>
        <v/>
      </c>
      <c r="AV1645">
        <f>$C1645*AV1644</f>
        <v/>
      </c>
      <c r="AW1645">
        <f>$C1645*AW1644</f>
        <v/>
      </c>
      <c r="AX1645">
        <f>$C1645*AX1644</f>
        <v/>
      </c>
      <c r="AY1645">
        <f>$C1645*AY1644</f>
        <v/>
      </c>
      <c r="AZ1645">
        <f>$C1645*AZ1644</f>
        <v/>
      </c>
      <c r="BA1645">
        <f>$C1645*BA1644</f>
        <v/>
      </c>
      <c r="BB1645">
        <f>$C1645*BB1644</f>
        <v/>
      </c>
      <c r="BC1645">
        <f>$C1645*BC1644</f>
        <v/>
      </c>
      <c r="BD1645">
        <f>$C1645*BD1644</f>
        <v/>
      </c>
      <c r="BE1645">
        <f>$C1645*BE1644</f>
        <v/>
      </c>
      <c r="BF1645">
        <f>$C1645*BF1644</f>
        <v/>
      </c>
      <c r="BG1645">
        <f>$C1645*BG1644</f>
        <v/>
      </c>
      <c r="BH1645">
        <f>$C1645*BH1644</f>
        <v/>
      </c>
      <c r="BI1645">
        <f>$C1645*BI1644</f>
        <v/>
      </c>
      <c r="BJ1645">
        <f>$C1645*BJ1644</f>
        <v/>
      </c>
      <c r="BK1645">
        <f>$C1645*BK1644</f>
        <v/>
      </c>
      <c r="BL1645">
        <f>$C1645*BL1644</f>
        <v/>
      </c>
      <c r="BM1645">
        <f>$C1645*BM1644</f>
        <v/>
      </c>
      <c r="BN1645">
        <f>$C1645*BN1644</f>
        <v/>
      </c>
      <c r="BO1645">
        <f>$C1645*BO1644</f>
        <v/>
      </c>
      <c r="BP1645">
        <f>$C1645*BP1644</f>
        <v/>
      </c>
      <c r="BQ1645">
        <f>$C1645*BQ1644</f>
        <v/>
      </c>
      <c r="BR1645">
        <f>$C1645*BR1644</f>
        <v/>
      </c>
      <c r="BS1645">
        <f>$C1645*BS1644</f>
        <v/>
      </c>
      <c r="BT1645">
        <f>$C1645*BT1644</f>
        <v/>
      </c>
      <c r="BU1645">
        <f>$C1645*BU1644</f>
        <v/>
      </c>
      <c r="BV1645">
        <f>$C1645*BV1644</f>
        <v/>
      </c>
      <c r="BW1645">
        <f>$C1645*BW1644</f>
        <v/>
      </c>
      <c r="BX1645">
        <f>$C1645*BX1644</f>
        <v/>
      </c>
      <c r="BY1645">
        <f>$C1645*BY1644</f>
        <v/>
      </c>
      <c r="BZ1645">
        <f>$C1645*BZ1644</f>
        <v/>
      </c>
      <c r="CA1645">
        <f>$C1645*CA1644</f>
        <v/>
      </c>
      <c r="CB1645">
        <f>$C1645*CB1644</f>
        <v/>
      </c>
      <c r="CC1645">
        <f>$C1645*CC1644</f>
        <v/>
      </c>
      <c r="CD1645">
        <f>$C1645*CD1644</f>
        <v/>
      </c>
      <c r="CE1645">
        <f>$C1645*CE1644</f>
        <v/>
      </c>
      <c r="CF1645">
        <f>$C1645*CF1644</f>
        <v/>
      </c>
      <c r="CG1645">
        <f>$C1645*CG1644</f>
        <v/>
      </c>
      <c r="CH1645">
        <f>$C1645*CH1644</f>
        <v/>
      </c>
      <c r="CI1645">
        <f>$C1645*CI1644</f>
        <v/>
      </c>
      <c r="CJ1645">
        <f>$C1645*CJ1644</f>
        <v/>
      </c>
      <c r="CK1645">
        <f>$C1645*CK1644</f>
        <v/>
      </c>
      <c r="CL1645">
        <f>$C1645*CL1644</f>
        <v/>
      </c>
      <c r="CM1645">
        <f>$C1645*CM1644</f>
        <v/>
      </c>
      <c r="CN1645">
        <f>$C1645*CN1644</f>
        <v/>
      </c>
      <c r="CO1645">
        <f>$C1645*CO1644</f>
        <v/>
      </c>
      <c r="CP1645">
        <f>$C1645*CP1644</f>
        <v/>
      </c>
      <c r="CQ1645">
        <f>$C1645*CQ1644</f>
        <v/>
      </c>
      <c r="CR1645">
        <f>$C1645*CR1644</f>
        <v/>
      </c>
      <c r="CS1645">
        <f>$C1645*CS1644</f>
        <v/>
      </c>
      <c r="CT1645">
        <f>$C1645*CT1644</f>
        <v/>
      </c>
      <c r="CU1645">
        <f>$C1645*CU1644</f>
        <v/>
      </c>
      <c r="CV1645">
        <f>$C1645*CV1644</f>
        <v/>
      </c>
      <c r="CW1645">
        <f>$C1645*CW1644</f>
        <v/>
      </c>
      <c r="CX1645">
        <f>$C1645*CX1644</f>
        <v/>
      </c>
      <c r="CY1645">
        <f>$C1645*CY1644</f>
        <v/>
      </c>
      <c r="CZ1645">
        <f>$C1645*CZ1644</f>
        <v/>
      </c>
      <c r="DA1645">
        <f>$C1645*DA1644</f>
        <v/>
      </c>
      <c r="DB1645">
        <f>$C1645*DB1644</f>
        <v/>
      </c>
      <c r="DC1645">
        <f>$C1645*DC1644</f>
        <v/>
      </c>
      <c r="DD1645">
        <f>$C1645*DD1644</f>
        <v/>
      </c>
    </row>
    <row r="1646">
      <c r="B1646" t="inlineStr">
        <is>
          <t>TSP-1559</t>
        </is>
      </c>
      <c r="C1646" t="inlineStr">
        <is>
          <t>No. of batches</t>
        </is>
      </c>
      <c r="D1646">
        <f>IFERROR(INDEX(E1646:DD1646,$F$1),"")</f>
        <v/>
      </c>
      <c r="E1646">
        <f>IFERROR(INDEX(PP_Grid[#Data],$DE1646,2),0)</f>
        <v/>
      </c>
      <c r="F1646">
        <f>IFERROR(INDEX(PP_Grid[#Data],$DE1646,3),0)</f>
        <v/>
      </c>
      <c r="G1646">
        <f>IFERROR(INDEX(PP_Grid[#Data],$DE1646,4),0)</f>
        <v/>
      </c>
      <c r="H1646">
        <f>IFERROR(INDEX(PP_Grid[#Data],$DE1646,5),0)</f>
        <v/>
      </c>
      <c r="I1646">
        <f>IFERROR(INDEX(PP_Grid[#Data],$DE1646,6),0)</f>
        <v/>
      </c>
      <c r="J1646">
        <f>IFERROR(INDEX(PP_Grid[#Data],$DE1646,7),0)</f>
        <v/>
      </c>
      <c r="K1646">
        <f>IFERROR(INDEX(PP_Grid[#Data],$DE1646,8),0)</f>
        <v/>
      </c>
      <c r="L1646">
        <f>IFERROR(INDEX(PP_Grid[#Data],$DE1646,9),0)</f>
        <v/>
      </c>
      <c r="M1646">
        <f>IFERROR(INDEX(PP_Grid[#Data],$DE1646,10),0)</f>
        <v/>
      </c>
      <c r="N1646">
        <f>IFERROR(INDEX(PP_Grid[#Data],$DE1646,11),0)</f>
        <v/>
      </c>
      <c r="O1646">
        <f>IFERROR(INDEX(PP_Grid[#Data],$DE1646,12),0)</f>
        <v/>
      </c>
      <c r="P1646">
        <f>IFERROR(INDEX(PP_Grid[#Data],$DE1646,13),0)</f>
        <v/>
      </c>
      <c r="Q1646">
        <f>IFERROR(INDEX(PP_Grid[#Data],$DE1646,14),0)</f>
        <v/>
      </c>
      <c r="R1646">
        <f>IFERROR(INDEX(PP_Grid[#Data],$DE1646,15),0)</f>
        <v/>
      </c>
      <c r="S1646">
        <f>IFERROR(INDEX(PP_Grid[#Data],$DE1646,16),0)</f>
        <v/>
      </c>
      <c r="T1646">
        <f>IFERROR(INDEX(PP_Grid[#Data],$DE1646,17),0)</f>
        <v/>
      </c>
      <c r="U1646">
        <f>IFERROR(INDEX(PP_Grid[#Data],$DE1646,18),0)</f>
        <v/>
      </c>
      <c r="V1646">
        <f>IFERROR(INDEX(PP_Grid[#Data],$DE1646,19),0)</f>
        <v/>
      </c>
      <c r="W1646">
        <f>IFERROR(INDEX(PP_Grid[#Data],$DE1646,20),0)</f>
        <v/>
      </c>
      <c r="X1646">
        <f>IFERROR(INDEX(PP_Grid[#Data],$DE1646,21),0)</f>
        <v/>
      </c>
      <c r="Y1646">
        <f>IFERROR(INDEX(PP_Grid[#Data],$DE1646,22),0)</f>
        <v/>
      </c>
      <c r="Z1646">
        <f>IFERROR(INDEX(PP_Grid[#Data],$DE1646,23),0)</f>
        <v/>
      </c>
      <c r="AA1646">
        <f>IFERROR(INDEX(PP_Grid[#Data],$DE1646,24),0)</f>
        <v/>
      </c>
      <c r="AB1646">
        <f>IFERROR(INDEX(PP_Grid[#Data],$DE1646,25),0)</f>
        <v/>
      </c>
      <c r="AC1646">
        <f>IFERROR(INDEX(PP_Grid[#Data],$DE1646,26),0)</f>
        <v/>
      </c>
      <c r="AD1646">
        <f>IFERROR(INDEX(PP_Grid[#Data],$DE1646,27),0)</f>
        <v/>
      </c>
      <c r="AE1646">
        <f>IFERROR(INDEX(PP_Grid[#Data],$DE1646,28),0)</f>
        <v/>
      </c>
      <c r="AF1646">
        <f>IFERROR(INDEX(PP_Grid[#Data],$DE1646,29),0)</f>
        <v/>
      </c>
      <c r="AG1646">
        <f>IFERROR(INDEX(PP_Grid[#Data],$DE1646,30),0)</f>
        <v/>
      </c>
      <c r="AH1646">
        <f>IFERROR(INDEX(PP_Grid[#Data],$DE1646,31),0)</f>
        <v/>
      </c>
      <c r="AI1646">
        <f>IFERROR(INDEX(PP_Grid[#Data],$DE1646,32),0)</f>
        <v/>
      </c>
      <c r="AJ1646">
        <f>IFERROR(INDEX(PP_Grid[#Data],$DE1646,33),0)</f>
        <v/>
      </c>
      <c r="AK1646">
        <f>IFERROR(INDEX(PP_Grid[#Data],$DE1646,34),0)</f>
        <v/>
      </c>
      <c r="AL1646">
        <f>IFERROR(INDEX(PP_Grid[#Data],$DE1646,35),0)</f>
        <v/>
      </c>
      <c r="AM1646">
        <f>IFERROR(INDEX(PP_Grid[#Data],$DE1646,36),0)</f>
        <v/>
      </c>
      <c r="AN1646">
        <f>IFERROR(INDEX(PP_Grid[#Data],$DE1646,37),0)</f>
        <v/>
      </c>
      <c r="AO1646">
        <f>IFERROR(INDEX(PP_Grid[#Data],$DE1646,38),0)</f>
        <v/>
      </c>
      <c r="AP1646">
        <f>IFERROR(INDEX(PP_Grid[#Data],$DE1646,39),0)</f>
        <v/>
      </c>
      <c r="AQ1646">
        <f>IFERROR(INDEX(PP_Grid[#Data],$DE1646,40),0)</f>
        <v/>
      </c>
      <c r="AR1646">
        <f>IFERROR(INDEX(PP_Grid[#Data],$DE1646,41),0)</f>
        <v/>
      </c>
      <c r="AS1646">
        <f>IFERROR(INDEX(PP_Grid[#Data],$DE1646,42),0)</f>
        <v/>
      </c>
      <c r="AT1646">
        <f>IFERROR(INDEX(PP_Grid[#Data],$DE1646,43),0)</f>
        <v/>
      </c>
      <c r="AU1646">
        <f>IFERROR(INDEX(PP_Grid[#Data],$DE1646,44),0)</f>
        <v/>
      </c>
      <c r="AV1646">
        <f>IFERROR(INDEX(PP_Grid[#Data],$DE1646,45),0)</f>
        <v/>
      </c>
      <c r="AW1646">
        <f>IFERROR(INDEX(PP_Grid[#Data],$DE1646,46),0)</f>
        <v/>
      </c>
      <c r="AX1646">
        <f>IFERROR(INDEX(PP_Grid[#Data],$DE1646,47),0)</f>
        <v/>
      </c>
      <c r="AY1646">
        <f>IFERROR(INDEX(PP_Grid[#Data],$DE1646,48),0)</f>
        <v/>
      </c>
      <c r="AZ1646">
        <f>IFERROR(INDEX(PP_Grid[#Data],$DE1646,49),0)</f>
        <v/>
      </c>
      <c r="BA1646">
        <f>IFERROR(INDEX(PP_Grid[#Data],$DE1646,50),0)</f>
        <v/>
      </c>
      <c r="BB1646">
        <f>IFERROR(INDEX(PP_Grid[#Data],$DE1646,51),0)</f>
        <v/>
      </c>
      <c r="BC1646">
        <f>IFERROR(INDEX(PP_Grid[#Data],$DE1646,52),0)</f>
        <v/>
      </c>
      <c r="BD1646">
        <f>IFERROR(INDEX(PP_Grid[#Data],$DE1646,53),0)</f>
        <v/>
      </c>
      <c r="BE1646">
        <f>IFERROR(INDEX(PP_Grid[#Data],$DE1646,54),0)</f>
        <v/>
      </c>
      <c r="BF1646">
        <f>IFERROR(INDEX(PP_Grid[#Data],$DE1646,55),0)</f>
        <v/>
      </c>
      <c r="BG1646">
        <f>IFERROR(INDEX(PP_Grid[#Data],$DE1646,56),0)</f>
        <v/>
      </c>
      <c r="BH1646">
        <f>IFERROR(INDEX(PP_Grid[#Data],$DE1646,57),0)</f>
        <v/>
      </c>
      <c r="BI1646">
        <f>IFERROR(INDEX(PP_Grid[#Data],$DE1646,58),0)</f>
        <v/>
      </c>
      <c r="BJ1646">
        <f>IFERROR(INDEX(PP_Grid[#Data],$DE1646,59),0)</f>
        <v/>
      </c>
      <c r="BK1646">
        <f>IFERROR(INDEX(PP_Grid[#Data],$DE1646,60),0)</f>
        <v/>
      </c>
      <c r="BL1646">
        <f>IFERROR(INDEX(PP_Grid[#Data],$DE1646,61),0)</f>
        <v/>
      </c>
      <c r="BM1646">
        <f>IFERROR(INDEX(PP_Grid[#Data],$DE1646,62),0)</f>
        <v/>
      </c>
      <c r="BN1646">
        <f>IFERROR(INDEX(PP_Grid[#Data],$DE1646,63),0)</f>
        <v/>
      </c>
      <c r="BO1646">
        <f>IFERROR(INDEX(PP_Grid[#Data],$DE1646,64),0)</f>
        <v/>
      </c>
      <c r="BP1646">
        <f>IFERROR(INDEX(PP_Grid[#Data],$DE1646,65),0)</f>
        <v/>
      </c>
      <c r="BQ1646">
        <f>IFERROR(INDEX(PP_Grid[#Data],$DE1646,66),0)</f>
        <v/>
      </c>
      <c r="BR1646">
        <f>IFERROR(INDEX(PP_Grid[#Data],$DE1646,67),0)</f>
        <v/>
      </c>
      <c r="BS1646">
        <f>IFERROR(INDEX(PP_Grid[#Data],$DE1646,68),0)</f>
        <v/>
      </c>
      <c r="BT1646">
        <f>IFERROR(INDEX(PP_Grid[#Data],$DE1646,69),0)</f>
        <v/>
      </c>
      <c r="BU1646">
        <f>IFERROR(INDEX(PP_Grid[#Data],$DE1646,70),0)</f>
        <v/>
      </c>
      <c r="BV1646">
        <f>IFERROR(INDEX(PP_Grid[#Data],$DE1646,71),0)</f>
        <v/>
      </c>
      <c r="BW1646">
        <f>IFERROR(INDEX(PP_Grid[#Data],$DE1646,72),0)</f>
        <v/>
      </c>
      <c r="BX1646">
        <f>IFERROR(INDEX(PP_Grid[#Data],$DE1646,73),0)</f>
        <v/>
      </c>
      <c r="BY1646">
        <f>IFERROR(INDEX(PP_Grid[#Data],$DE1646,74),0)</f>
        <v/>
      </c>
      <c r="BZ1646">
        <f>IFERROR(INDEX(PP_Grid[#Data],$DE1646,75),0)</f>
        <v/>
      </c>
      <c r="CA1646">
        <f>IFERROR(INDEX(PP_Grid[#Data],$DE1646,76),0)</f>
        <v/>
      </c>
      <c r="CB1646">
        <f>IFERROR(INDEX(PP_Grid[#Data],$DE1646,77),0)</f>
        <v/>
      </c>
      <c r="CC1646">
        <f>IFERROR(INDEX(PP_Grid[#Data],$DE1646,78),0)</f>
        <v/>
      </c>
      <c r="CD1646">
        <f>IFERROR(INDEX(PP_Grid[#Data],$DE1646,79),0)</f>
        <v/>
      </c>
      <c r="CE1646">
        <f>IFERROR(INDEX(PP_Grid[#Data],$DE1646,80),0)</f>
        <v/>
      </c>
      <c r="CF1646">
        <f>IFERROR(INDEX(PP_Grid[#Data],$DE1646,81),0)</f>
        <v/>
      </c>
      <c r="CG1646">
        <f>IFERROR(INDEX(PP_Grid[#Data],$DE1646,82),0)</f>
        <v/>
      </c>
      <c r="CH1646">
        <f>IFERROR(INDEX(PP_Grid[#Data],$DE1646,83),0)</f>
        <v/>
      </c>
      <c r="CI1646">
        <f>IFERROR(INDEX(PP_Grid[#Data],$DE1646,84),0)</f>
        <v/>
      </c>
      <c r="CJ1646">
        <f>IFERROR(INDEX(PP_Grid[#Data],$DE1646,85),0)</f>
        <v/>
      </c>
      <c r="CK1646">
        <f>IFERROR(INDEX(PP_Grid[#Data],$DE1646,86),0)</f>
        <v/>
      </c>
      <c r="CL1646">
        <f>IFERROR(INDEX(PP_Grid[#Data],$DE1646,87),0)</f>
        <v/>
      </c>
      <c r="CM1646">
        <f>IFERROR(INDEX(PP_Grid[#Data],$DE1646,88),0)</f>
        <v/>
      </c>
      <c r="CN1646">
        <f>IFERROR(INDEX(PP_Grid[#Data],$DE1646,89),0)</f>
        <v/>
      </c>
      <c r="CO1646">
        <f>IFERROR(INDEX(PP_Grid[#Data],$DE1646,90),0)</f>
        <v/>
      </c>
      <c r="CP1646">
        <f>IFERROR(INDEX(PP_Grid[#Data],$DE1646,91),0)</f>
        <v/>
      </c>
      <c r="CQ1646">
        <f>IFERROR(INDEX(PP_Grid[#Data],$DE1646,92),0)</f>
        <v/>
      </c>
      <c r="CR1646">
        <f>IFERROR(INDEX(PP_Grid[#Data],$DE1646,93),0)</f>
        <v/>
      </c>
      <c r="CS1646">
        <f>IFERROR(INDEX(PP_Grid[#Data],$DE1646,94),0)</f>
        <v/>
      </c>
      <c r="CT1646">
        <f>IFERROR(INDEX(PP_Grid[#Data],$DE1646,95),0)</f>
        <v/>
      </c>
      <c r="CU1646">
        <f>IFERROR(INDEX(PP_Grid[#Data],$DE1646,96),0)</f>
        <v/>
      </c>
      <c r="CV1646">
        <f>IFERROR(INDEX(PP_Grid[#Data],$DE1646,97),0)</f>
        <v/>
      </c>
      <c r="CW1646">
        <f>IFERROR(INDEX(PP_Grid[#Data],$DE1646,98),0)</f>
        <v/>
      </c>
      <c r="CX1646">
        <f>IFERROR(INDEX(PP_Grid[#Data],$DE1646,99),0)</f>
        <v/>
      </c>
      <c r="CY1646">
        <f>IFERROR(INDEX(PP_Grid[#Data],$DE1646,100),0)</f>
        <v/>
      </c>
      <c r="CZ1646">
        <f>IFERROR(INDEX(PP_Grid[#Data],$DE1646,101),0)</f>
        <v/>
      </c>
      <c r="DA1646">
        <f>IFERROR(INDEX(PP_Grid[#Data],$DE1646,102),0)</f>
        <v/>
      </c>
      <c r="DB1646">
        <f>IFERROR(INDEX(PP_Grid[#Data],$DE1646,103),0)</f>
        <v/>
      </c>
      <c r="DC1646">
        <f>IFERROR(INDEX(PP_Grid[#Data],$DE1646,104),0)</f>
        <v/>
      </c>
      <c r="DD1646">
        <f>IFERROR(INDEX(PP_Grid[#Data],$DE1646,105),0)</f>
        <v/>
      </c>
      <c r="DE1646" s="7">
        <f>IFERROR(MATCH($B1646,PP_Grid[Intermediate],0),99999)</f>
        <v/>
      </c>
    </row>
    <row r="1647">
      <c r="B1647" t="inlineStr">
        <is>
          <t>使用量(kg)</t>
        </is>
      </c>
      <c r="C1647">
        <f>SUMIFS(M_BOM[RM_Qty_Per_Batch],M_BOM[Intermediate],$B1646,M_BOM[RM_Code],$A1643)</f>
        <v/>
      </c>
      <c r="D1647">
        <f>IFERROR(INDEX(E1647:DD1647,$F$1),"")</f>
        <v/>
      </c>
      <c r="E1647">
        <f>$C1647*E1646</f>
        <v/>
      </c>
      <c r="F1647">
        <f>$C1647*F1646</f>
        <v/>
      </c>
      <c r="G1647">
        <f>$C1647*G1646</f>
        <v/>
      </c>
      <c r="H1647">
        <f>$C1647*H1646</f>
        <v/>
      </c>
      <c r="I1647">
        <f>$C1647*I1646</f>
        <v/>
      </c>
      <c r="J1647">
        <f>$C1647*J1646</f>
        <v/>
      </c>
      <c r="K1647">
        <f>$C1647*K1646</f>
        <v/>
      </c>
      <c r="L1647">
        <f>$C1647*L1646</f>
        <v/>
      </c>
      <c r="M1647">
        <f>$C1647*M1646</f>
        <v/>
      </c>
      <c r="N1647">
        <f>$C1647*N1646</f>
        <v/>
      </c>
      <c r="O1647">
        <f>$C1647*O1646</f>
        <v/>
      </c>
      <c r="P1647">
        <f>$C1647*P1646</f>
        <v/>
      </c>
      <c r="Q1647">
        <f>$C1647*Q1646</f>
        <v/>
      </c>
      <c r="R1647">
        <f>$C1647*R1646</f>
        <v/>
      </c>
      <c r="S1647">
        <f>$C1647*S1646</f>
        <v/>
      </c>
      <c r="T1647">
        <f>$C1647*T1646</f>
        <v/>
      </c>
      <c r="U1647">
        <f>$C1647*U1646</f>
        <v/>
      </c>
      <c r="V1647">
        <f>$C1647*V1646</f>
        <v/>
      </c>
      <c r="W1647">
        <f>$C1647*W1646</f>
        <v/>
      </c>
      <c r="X1647">
        <f>$C1647*X1646</f>
        <v/>
      </c>
      <c r="Y1647">
        <f>$C1647*Y1646</f>
        <v/>
      </c>
      <c r="Z1647">
        <f>$C1647*Z1646</f>
        <v/>
      </c>
      <c r="AA1647">
        <f>$C1647*AA1646</f>
        <v/>
      </c>
      <c r="AB1647">
        <f>$C1647*AB1646</f>
        <v/>
      </c>
      <c r="AC1647">
        <f>$C1647*AC1646</f>
        <v/>
      </c>
      <c r="AD1647">
        <f>$C1647*AD1646</f>
        <v/>
      </c>
      <c r="AE1647">
        <f>$C1647*AE1646</f>
        <v/>
      </c>
      <c r="AF1647">
        <f>$C1647*AF1646</f>
        <v/>
      </c>
      <c r="AG1647">
        <f>$C1647*AG1646</f>
        <v/>
      </c>
      <c r="AH1647">
        <f>$C1647*AH1646</f>
        <v/>
      </c>
      <c r="AI1647">
        <f>$C1647*AI1646</f>
        <v/>
      </c>
      <c r="AJ1647">
        <f>$C1647*AJ1646</f>
        <v/>
      </c>
      <c r="AK1647">
        <f>$C1647*AK1646</f>
        <v/>
      </c>
      <c r="AL1647">
        <f>$C1647*AL1646</f>
        <v/>
      </c>
      <c r="AM1647">
        <f>$C1647*AM1646</f>
        <v/>
      </c>
      <c r="AN1647">
        <f>$C1647*AN1646</f>
        <v/>
      </c>
      <c r="AO1647">
        <f>$C1647*AO1646</f>
        <v/>
      </c>
      <c r="AP1647">
        <f>$C1647*AP1646</f>
        <v/>
      </c>
      <c r="AQ1647">
        <f>$C1647*AQ1646</f>
        <v/>
      </c>
      <c r="AR1647">
        <f>$C1647*AR1646</f>
        <v/>
      </c>
      <c r="AS1647">
        <f>$C1647*AS1646</f>
        <v/>
      </c>
      <c r="AT1647">
        <f>$C1647*AT1646</f>
        <v/>
      </c>
      <c r="AU1647">
        <f>$C1647*AU1646</f>
        <v/>
      </c>
      <c r="AV1647">
        <f>$C1647*AV1646</f>
        <v/>
      </c>
      <c r="AW1647">
        <f>$C1647*AW1646</f>
        <v/>
      </c>
      <c r="AX1647">
        <f>$C1647*AX1646</f>
        <v/>
      </c>
      <c r="AY1647">
        <f>$C1647*AY1646</f>
        <v/>
      </c>
      <c r="AZ1647">
        <f>$C1647*AZ1646</f>
        <v/>
      </c>
      <c r="BA1647">
        <f>$C1647*BA1646</f>
        <v/>
      </c>
      <c r="BB1647">
        <f>$C1647*BB1646</f>
        <v/>
      </c>
      <c r="BC1647">
        <f>$C1647*BC1646</f>
        <v/>
      </c>
      <c r="BD1647">
        <f>$C1647*BD1646</f>
        <v/>
      </c>
      <c r="BE1647">
        <f>$C1647*BE1646</f>
        <v/>
      </c>
      <c r="BF1647">
        <f>$C1647*BF1646</f>
        <v/>
      </c>
      <c r="BG1647">
        <f>$C1647*BG1646</f>
        <v/>
      </c>
      <c r="BH1647">
        <f>$C1647*BH1646</f>
        <v/>
      </c>
      <c r="BI1647">
        <f>$C1647*BI1646</f>
        <v/>
      </c>
      <c r="BJ1647">
        <f>$C1647*BJ1646</f>
        <v/>
      </c>
      <c r="BK1647">
        <f>$C1647*BK1646</f>
        <v/>
      </c>
      <c r="BL1647">
        <f>$C1647*BL1646</f>
        <v/>
      </c>
      <c r="BM1647">
        <f>$C1647*BM1646</f>
        <v/>
      </c>
      <c r="BN1647">
        <f>$C1647*BN1646</f>
        <v/>
      </c>
      <c r="BO1647">
        <f>$C1647*BO1646</f>
        <v/>
      </c>
      <c r="BP1647">
        <f>$C1647*BP1646</f>
        <v/>
      </c>
      <c r="BQ1647">
        <f>$C1647*BQ1646</f>
        <v/>
      </c>
      <c r="BR1647">
        <f>$C1647*BR1646</f>
        <v/>
      </c>
      <c r="BS1647">
        <f>$C1647*BS1646</f>
        <v/>
      </c>
      <c r="BT1647">
        <f>$C1647*BT1646</f>
        <v/>
      </c>
      <c r="BU1647">
        <f>$C1647*BU1646</f>
        <v/>
      </c>
      <c r="BV1647">
        <f>$C1647*BV1646</f>
        <v/>
      </c>
      <c r="BW1647">
        <f>$C1647*BW1646</f>
        <v/>
      </c>
      <c r="BX1647">
        <f>$C1647*BX1646</f>
        <v/>
      </c>
      <c r="BY1647">
        <f>$C1647*BY1646</f>
        <v/>
      </c>
      <c r="BZ1647">
        <f>$C1647*BZ1646</f>
        <v/>
      </c>
      <c r="CA1647">
        <f>$C1647*CA1646</f>
        <v/>
      </c>
      <c r="CB1647">
        <f>$C1647*CB1646</f>
        <v/>
      </c>
      <c r="CC1647">
        <f>$C1647*CC1646</f>
        <v/>
      </c>
      <c r="CD1647">
        <f>$C1647*CD1646</f>
        <v/>
      </c>
      <c r="CE1647">
        <f>$C1647*CE1646</f>
        <v/>
      </c>
      <c r="CF1647">
        <f>$C1647*CF1646</f>
        <v/>
      </c>
      <c r="CG1647">
        <f>$C1647*CG1646</f>
        <v/>
      </c>
      <c r="CH1647">
        <f>$C1647*CH1646</f>
        <v/>
      </c>
      <c r="CI1647">
        <f>$C1647*CI1646</f>
        <v/>
      </c>
      <c r="CJ1647">
        <f>$C1647*CJ1646</f>
        <v/>
      </c>
      <c r="CK1647">
        <f>$C1647*CK1646</f>
        <v/>
      </c>
      <c r="CL1647">
        <f>$C1647*CL1646</f>
        <v/>
      </c>
      <c r="CM1647">
        <f>$C1647*CM1646</f>
        <v/>
      </c>
      <c r="CN1647">
        <f>$C1647*CN1646</f>
        <v/>
      </c>
      <c r="CO1647">
        <f>$C1647*CO1646</f>
        <v/>
      </c>
      <c r="CP1647">
        <f>$C1647*CP1646</f>
        <v/>
      </c>
      <c r="CQ1647">
        <f>$C1647*CQ1646</f>
        <v/>
      </c>
      <c r="CR1647">
        <f>$C1647*CR1646</f>
        <v/>
      </c>
      <c r="CS1647">
        <f>$C1647*CS1646</f>
        <v/>
      </c>
      <c r="CT1647">
        <f>$C1647*CT1646</f>
        <v/>
      </c>
      <c r="CU1647">
        <f>$C1647*CU1646</f>
        <v/>
      </c>
      <c r="CV1647">
        <f>$C1647*CV1646</f>
        <v/>
      </c>
      <c r="CW1647">
        <f>$C1647*CW1646</f>
        <v/>
      </c>
      <c r="CX1647">
        <f>$C1647*CX1646</f>
        <v/>
      </c>
      <c r="CY1647">
        <f>$C1647*CY1646</f>
        <v/>
      </c>
      <c r="CZ1647">
        <f>$C1647*CZ1646</f>
        <v/>
      </c>
      <c r="DA1647">
        <f>$C1647*DA1646</f>
        <v/>
      </c>
      <c r="DB1647">
        <f>$C1647*DB1646</f>
        <v/>
      </c>
      <c r="DC1647">
        <f>$C1647*DC1646</f>
        <v/>
      </c>
      <c r="DD1647">
        <f>$C1647*DD1646</f>
        <v/>
      </c>
    </row>
    <row r="1648">
      <c r="B1648" s="4" t="inlineStr">
        <is>
          <t>合計使用量(kg)/週</t>
        </is>
      </c>
      <c r="D1648" s="22">
        <f>IFERROR(INDEX(E1648:DD1648,$F$1),"")</f>
        <v/>
      </c>
      <c r="E1648">
        <f>'Grid_Requirement'!B39</f>
        <v/>
      </c>
      <c r="F1648">
        <f>'Grid_Requirement'!C39</f>
        <v/>
      </c>
      <c r="G1648">
        <f>'Grid_Requirement'!D39</f>
        <v/>
      </c>
      <c r="H1648">
        <f>'Grid_Requirement'!E39</f>
        <v/>
      </c>
      <c r="I1648">
        <f>'Grid_Requirement'!F39</f>
        <v/>
      </c>
      <c r="J1648">
        <f>'Grid_Requirement'!G39</f>
        <v/>
      </c>
      <c r="K1648">
        <f>'Grid_Requirement'!H39</f>
        <v/>
      </c>
      <c r="L1648">
        <f>'Grid_Requirement'!I39</f>
        <v/>
      </c>
      <c r="M1648">
        <f>'Grid_Requirement'!J39</f>
        <v/>
      </c>
      <c r="N1648">
        <f>'Grid_Requirement'!K39</f>
        <v/>
      </c>
      <c r="O1648">
        <f>'Grid_Requirement'!L39</f>
        <v/>
      </c>
      <c r="P1648">
        <f>'Grid_Requirement'!M39</f>
        <v/>
      </c>
      <c r="Q1648">
        <f>'Grid_Requirement'!N39</f>
        <v/>
      </c>
      <c r="R1648">
        <f>'Grid_Requirement'!O39</f>
        <v/>
      </c>
      <c r="S1648">
        <f>'Grid_Requirement'!P39</f>
        <v/>
      </c>
      <c r="T1648">
        <f>'Grid_Requirement'!Q39</f>
        <v/>
      </c>
      <c r="U1648">
        <f>'Grid_Requirement'!R39</f>
        <v/>
      </c>
      <c r="V1648">
        <f>'Grid_Requirement'!S39</f>
        <v/>
      </c>
      <c r="W1648">
        <f>'Grid_Requirement'!T39</f>
        <v/>
      </c>
      <c r="X1648">
        <f>'Grid_Requirement'!U39</f>
        <v/>
      </c>
      <c r="Y1648">
        <f>'Grid_Requirement'!V39</f>
        <v/>
      </c>
      <c r="Z1648">
        <f>'Grid_Requirement'!W39</f>
        <v/>
      </c>
      <c r="AA1648">
        <f>'Grid_Requirement'!X39</f>
        <v/>
      </c>
      <c r="AB1648">
        <f>'Grid_Requirement'!Y39</f>
        <v/>
      </c>
      <c r="AC1648">
        <f>'Grid_Requirement'!Z39</f>
        <v/>
      </c>
      <c r="AD1648">
        <f>'Grid_Requirement'!AA39</f>
        <v/>
      </c>
      <c r="AE1648">
        <f>'Grid_Requirement'!AB39</f>
        <v/>
      </c>
      <c r="AF1648">
        <f>'Grid_Requirement'!AC39</f>
        <v/>
      </c>
      <c r="AG1648">
        <f>'Grid_Requirement'!AD39</f>
        <v/>
      </c>
      <c r="AH1648">
        <f>'Grid_Requirement'!AE39</f>
        <v/>
      </c>
      <c r="AI1648">
        <f>'Grid_Requirement'!AF39</f>
        <v/>
      </c>
      <c r="AJ1648">
        <f>'Grid_Requirement'!AG39</f>
        <v/>
      </c>
      <c r="AK1648">
        <f>'Grid_Requirement'!AH39</f>
        <v/>
      </c>
      <c r="AL1648">
        <f>'Grid_Requirement'!AI39</f>
        <v/>
      </c>
      <c r="AM1648">
        <f>'Grid_Requirement'!AJ39</f>
        <v/>
      </c>
      <c r="AN1648">
        <f>'Grid_Requirement'!AK39</f>
        <v/>
      </c>
      <c r="AO1648">
        <f>'Grid_Requirement'!AL39</f>
        <v/>
      </c>
      <c r="AP1648">
        <f>'Grid_Requirement'!AM39</f>
        <v/>
      </c>
      <c r="AQ1648">
        <f>'Grid_Requirement'!AN39</f>
        <v/>
      </c>
      <c r="AR1648">
        <f>'Grid_Requirement'!AO39</f>
        <v/>
      </c>
      <c r="AS1648">
        <f>'Grid_Requirement'!AP39</f>
        <v/>
      </c>
      <c r="AT1648">
        <f>'Grid_Requirement'!AQ39</f>
        <v/>
      </c>
      <c r="AU1648">
        <f>'Grid_Requirement'!AR39</f>
        <v/>
      </c>
      <c r="AV1648">
        <f>'Grid_Requirement'!AS39</f>
        <v/>
      </c>
      <c r="AW1648">
        <f>'Grid_Requirement'!AT39</f>
        <v/>
      </c>
      <c r="AX1648">
        <f>'Grid_Requirement'!AU39</f>
        <v/>
      </c>
      <c r="AY1648">
        <f>'Grid_Requirement'!AV39</f>
        <v/>
      </c>
      <c r="AZ1648">
        <f>'Grid_Requirement'!AW39</f>
        <v/>
      </c>
      <c r="BA1648">
        <f>'Grid_Requirement'!AX39</f>
        <v/>
      </c>
      <c r="BB1648">
        <f>'Grid_Requirement'!AY39</f>
        <v/>
      </c>
      <c r="BC1648">
        <f>'Grid_Requirement'!AZ39</f>
        <v/>
      </c>
      <c r="BD1648">
        <f>'Grid_Requirement'!BA39</f>
        <v/>
      </c>
      <c r="BE1648">
        <f>'Grid_Requirement'!BB39</f>
        <v/>
      </c>
      <c r="BF1648">
        <f>'Grid_Requirement'!BC39</f>
        <v/>
      </c>
      <c r="BG1648">
        <f>'Grid_Requirement'!BD39</f>
        <v/>
      </c>
      <c r="BH1648">
        <f>'Grid_Requirement'!BE39</f>
        <v/>
      </c>
      <c r="BI1648">
        <f>'Grid_Requirement'!BF39</f>
        <v/>
      </c>
      <c r="BJ1648">
        <f>'Grid_Requirement'!BG39</f>
        <v/>
      </c>
      <c r="BK1648">
        <f>'Grid_Requirement'!BH39</f>
        <v/>
      </c>
      <c r="BL1648">
        <f>'Grid_Requirement'!BI39</f>
        <v/>
      </c>
      <c r="BM1648">
        <f>'Grid_Requirement'!BJ39</f>
        <v/>
      </c>
      <c r="BN1648">
        <f>'Grid_Requirement'!BK39</f>
        <v/>
      </c>
      <c r="BO1648">
        <f>'Grid_Requirement'!BL39</f>
        <v/>
      </c>
      <c r="BP1648">
        <f>'Grid_Requirement'!BM39</f>
        <v/>
      </c>
      <c r="BQ1648">
        <f>'Grid_Requirement'!BN39</f>
        <v/>
      </c>
      <c r="BR1648">
        <f>'Grid_Requirement'!BO39</f>
        <v/>
      </c>
      <c r="BS1648">
        <f>'Grid_Requirement'!BP39</f>
        <v/>
      </c>
      <c r="BT1648">
        <f>'Grid_Requirement'!BQ39</f>
        <v/>
      </c>
      <c r="BU1648">
        <f>'Grid_Requirement'!BR39</f>
        <v/>
      </c>
      <c r="BV1648">
        <f>'Grid_Requirement'!BS39</f>
        <v/>
      </c>
      <c r="BW1648">
        <f>'Grid_Requirement'!BT39</f>
        <v/>
      </c>
      <c r="BX1648">
        <f>'Grid_Requirement'!BU39</f>
        <v/>
      </c>
      <c r="BY1648">
        <f>'Grid_Requirement'!BV39</f>
        <v/>
      </c>
      <c r="BZ1648">
        <f>'Grid_Requirement'!BW39</f>
        <v/>
      </c>
      <c r="CA1648">
        <f>'Grid_Requirement'!BX39</f>
        <v/>
      </c>
      <c r="CB1648">
        <f>'Grid_Requirement'!BY39</f>
        <v/>
      </c>
      <c r="CC1648">
        <f>'Grid_Requirement'!BZ39</f>
        <v/>
      </c>
      <c r="CD1648">
        <f>'Grid_Requirement'!CA39</f>
        <v/>
      </c>
      <c r="CE1648">
        <f>'Grid_Requirement'!CB39</f>
        <v/>
      </c>
      <c r="CF1648">
        <f>'Grid_Requirement'!CC39</f>
        <v/>
      </c>
      <c r="CG1648">
        <f>'Grid_Requirement'!CD39</f>
        <v/>
      </c>
      <c r="CH1648">
        <f>'Grid_Requirement'!CE39</f>
        <v/>
      </c>
      <c r="CI1648">
        <f>'Grid_Requirement'!CF39</f>
        <v/>
      </c>
      <c r="CJ1648">
        <f>'Grid_Requirement'!CG39</f>
        <v/>
      </c>
      <c r="CK1648">
        <f>'Grid_Requirement'!CH39</f>
        <v/>
      </c>
      <c r="CL1648">
        <f>'Grid_Requirement'!CI39</f>
        <v/>
      </c>
      <c r="CM1648">
        <f>'Grid_Requirement'!CJ39</f>
        <v/>
      </c>
      <c r="CN1648">
        <f>'Grid_Requirement'!CK39</f>
        <v/>
      </c>
      <c r="CO1648">
        <f>'Grid_Requirement'!CL39</f>
        <v/>
      </c>
      <c r="CP1648">
        <f>'Grid_Requirement'!CM39</f>
        <v/>
      </c>
      <c r="CQ1648">
        <f>'Grid_Requirement'!CN39</f>
        <v/>
      </c>
      <c r="CR1648">
        <f>'Grid_Requirement'!CO39</f>
        <v/>
      </c>
      <c r="CS1648">
        <f>'Grid_Requirement'!CP39</f>
        <v/>
      </c>
      <c r="CT1648">
        <f>'Grid_Requirement'!CQ39</f>
        <v/>
      </c>
      <c r="CU1648">
        <f>'Grid_Requirement'!CR39</f>
        <v/>
      </c>
      <c r="CV1648">
        <f>'Grid_Requirement'!CS39</f>
        <v/>
      </c>
      <c r="CW1648">
        <f>'Grid_Requirement'!CT39</f>
        <v/>
      </c>
      <c r="CX1648">
        <f>'Grid_Requirement'!CU39</f>
        <v/>
      </c>
      <c r="CY1648">
        <f>'Grid_Requirement'!CV39</f>
        <v/>
      </c>
      <c r="CZ1648">
        <f>'Grid_Requirement'!CW39</f>
        <v/>
      </c>
      <c r="DA1648">
        <f>'Grid_Requirement'!CX39</f>
        <v/>
      </c>
      <c r="DB1648">
        <f>'Grid_Requirement'!CY39</f>
        <v/>
      </c>
      <c r="DC1648">
        <f>'Grid_Requirement'!CZ39</f>
        <v/>
      </c>
      <c r="DD1648">
        <f>'Grid_Requirement'!DA39</f>
        <v/>
      </c>
    </row>
    <row r="1649">
      <c r="B1649" s="23" t="inlineStr">
        <is>
          <t>（在庫・入荷予定はDashboard参照）</t>
        </is>
      </c>
    </row>
    <row r="1651">
      <c r="A1651" s="21" t="inlineStr">
        <is>
          <t>CHEM-1850</t>
        </is>
      </c>
      <c r="B1651" s="21" t="inlineStr">
        <is>
          <t>TPP-1469</t>
        </is>
      </c>
      <c r="C1651" s="21" t="n"/>
      <c r="D1651" s="21" t="n"/>
      <c r="E1651" s="21" t="n"/>
      <c r="F1651" s="21" t="n"/>
      <c r="G1651" s="21" t="n"/>
      <c r="H1651" s="21" t="n"/>
      <c r="I1651" s="21" t="n"/>
      <c r="J1651" s="21" t="n"/>
      <c r="K1651" s="21" t="n"/>
      <c r="L1651" s="21" t="n"/>
      <c r="M1651" s="21" t="n"/>
      <c r="N1651" s="21" t="n"/>
      <c r="O1651" s="21" t="n"/>
      <c r="P1651" s="21" t="n"/>
      <c r="Q1651" s="21" t="n"/>
      <c r="R1651" s="21" t="n"/>
      <c r="S1651" s="21" t="n"/>
      <c r="T1651" s="21" t="n"/>
      <c r="U1651" s="21" t="n"/>
      <c r="V1651" s="21" t="n"/>
      <c r="W1651" s="21" t="n"/>
      <c r="X1651" s="21" t="n"/>
      <c r="Y1651" s="21" t="n"/>
      <c r="Z1651" s="21" t="n"/>
      <c r="AA1651" s="21" t="n"/>
      <c r="AB1651" s="21" t="n"/>
      <c r="AC1651" s="21" t="n"/>
      <c r="AD1651" s="21" t="n"/>
      <c r="AE1651" s="21" t="n"/>
      <c r="AF1651" s="21" t="n"/>
      <c r="AG1651" s="21" t="n"/>
      <c r="AH1651" s="21" t="n"/>
      <c r="AI1651" s="21" t="n"/>
      <c r="AJ1651" s="21" t="n"/>
      <c r="AK1651" s="21" t="n"/>
      <c r="AL1651" s="21" t="n"/>
      <c r="AM1651" s="21" t="n"/>
      <c r="AN1651" s="21" t="n"/>
      <c r="AO1651" s="21" t="n"/>
      <c r="AP1651" s="21" t="n"/>
      <c r="AQ1651" s="21" t="n"/>
      <c r="AR1651" s="21" t="n"/>
      <c r="AS1651" s="21" t="n"/>
      <c r="AT1651" s="21" t="n"/>
      <c r="AU1651" s="21" t="n"/>
      <c r="AV1651" s="21" t="n"/>
      <c r="AW1651" s="21" t="n"/>
      <c r="AX1651" s="21" t="n"/>
      <c r="AY1651" s="21" t="n"/>
      <c r="AZ1651" s="21" t="n"/>
      <c r="BA1651" s="21" t="n"/>
      <c r="BB1651" s="21" t="n"/>
      <c r="BC1651" s="21" t="n"/>
      <c r="BD1651" s="21" t="n"/>
      <c r="BE1651" s="21" t="n"/>
      <c r="BF1651" s="21" t="n"/>
      <c r="BG1651" s="21" t="n"/>
      <c r="BH1651" s="21" t="n"/>
      <c r="BI1651" s="21" t="n"/>
      <c r="BJ1651" s="21" t="n"/>
      <c r="BK1651" s="21" t="n"/>
      <c r="BL1651" s="21" t="n"/>
      <c r="BM1651" s="21" t="n"/>
      <c r="BN1651" s="21" t="n"/>
      <c r="BO1651" s="21" t="n"/>
      <c r="BP1651" s="21" t="n"/>
      <c r="BQ1651" s="21" t="n"/>
      <c r="BR1651" s="21" t="n"/>
      <c r="BS1651" s="21" t="n"/>
      <c r="BT1651" s="21" t="n"/>
      <c r="BU1651" s="21" t="n"/>
      <c r="BV1651" s="21" t="n"/>
      <c r="BW1651" s="21" t="n"/>
      <c r="BX1651" s="21" t="n"/>
      <c r="BY1651" s="21" t="n"/>
      <c r="BZ1651" s="21" t="n"/>
      <c r="CA1651" s="21" t="n"/>
      <c r="CB1651" s="21" t="n"/>
      <c r="CC1651" s="21" t="n"/>
      <c r="CD1651" s="21" t="n"/>
      <c r="CE1651" s="21" t="n"/>
      <c r="CF1651" s="21" t="n"/>
      <c r="CG1651" s="21" t="n"/>
      <c r="CH1651" s="21" t="n"/>
      <c r="CI1651" s="21" t="n"/>
      <c r="CJ1651" s="21" t="n"/>
      <c r="CK1651" s="21" t="n"/>
      <c r="CL1651" s="21" t="n"/>
      <c r="CM1651" s="21" t="n"/>
      <c r="CN1651" s="21" t="n"/>
      <c r="CO1651" s="21" t="n"/>
      <c r="CP1651" s="21" t="n"/>
      <c r="CQ1651" s="21" t="n"/>
      <c r="CR1651" s="21" t="n"/>
      <c r="CS1651" s="21" t="n"/>
      <c r="CT1651" s="21" t="n"/>
      <c r="CU1651" s="21" t="n"/>
      <c r="CV1651" s="21" t="n"/>
      <c r="CW1651" s="21" t="n"/>
      <c r="CX1651" s="21" t="n"/>
      <c r="CY1651" s="21" t="n"/>
      <c r="CZ1651" s="21" t="n"/>
      <c r="DA1651" s="21" t="n"/>
      <c r="DB1651" s="21" t="n"/>
      <c r="DC1651" s="21" t="n"/>
      <c r="DD1651" s="21" t="n"/>
    </row>
    <row r="1652">
      <c r="B1652" t="inlineStr">
        <is>
          <t>TSP-1558</t>
        </is>
      </c>
      <c r="C1652" t="inlineStr">
        <is>
          <t>No. of batches</t>
        </is>
      </c>
      <c r="D1652">
        <f>IFERROR(INDEX(E1652:DD1652,$F$1),"")</f>
        <v/>
      </c>
      <c r="E1652">
        <f>IFERROR(INDEX(PP_Grid[#Data],$DE1652,2),0)</f>
        <v/>
      </c>
      <c r="F1652">
        <f>IFERROR(INDEX(PP_Grid[#Data],$DE1652,3),0)</f>
        <v/>
      </c>
      <c r="G1652">
        <f>IFERROR(INDEX(PP_Grid[#Data],$DE1652,4),0)</f>
        <v/>
      </c>
      <c r="H1652">
        <f>IFERROR(INDEX(PP_Grid[#Data],$DE1652,5),0)</f>
        <v/>
      </c>
      <c r="I1652">
        <f>IFERROR(INDEX(PP_Grid[#Data],$DE1652,6),0)</f>
        <v/>
      </c>
      <c r="J1652">
        <f>IFERROR(INDEX(PP_Grid[#Data],$DE1652,7),0)</f>
        <v/>
      </c>
      <c r="K1652">
        <f>IFERROR(INDEX(PP_Grid[#Data],$DE1652,8),0)</f>
        <v/>
      </c>
      <c r="L1652">
        <f>IFERROR(INDEX(PP_Grid[#Data],$DE1652,9),0)</f>
        <v/>
      </c>
      <c r="M1652">
        <f>IFERROR(INDEX(PP_Grid[#Data],$DE1652,10),0)</f>
        <v/>
      </c>
      <c r="N1652">
        <f>IFERROR(INDEX(PP_Grid[#Data],$DE1652,11),0)</f>
        <v/>
      </c>
      <c r="O1652">
        <f>IFERROR(INDEX(PP_Grid[#Data],$DE1652,12),0)</f>
        <v/>
      </c>
      <c r="P1652">
        <f>IFERROR(INDEX(PP_Grid[#Data],$DE1652,13),0)</f>
        <v/>
      </c>
      <c r="Q1652">
        <f>IFERROR(INDEX(PP_Grid[#Data],$DE1652,14),0)</f>
        <v/>
      </c>
      <c r="R1652">
        <f>IFERROR(INDEX(PP_Grid[#Data],$DE1652,15),0)</f>
        <v/>
      </c>
      <c r="S1652">
        <f>IFERROR(INDEX(PP_Grid[#Data],$DE1652,16),0)</f>
        <v/>
      </c>
      <c r="T1652">
        <f>IFERROR(INDEX(PP_Grid[#Data],$DE1652,17),0)</f>
        <v/>
      </c>
      <c r="U1652">
        <f>IFERROR(INDEX(PP_Grid[#Data],$DE1652,18),0)</f>
        <v/>
      </c>
      <c r="V1652">
        <f>IFERROR(INDEX(PP_Grid[#Data],$DE1652,19),0)</f>
        <v/>
      </c>
      <c r="W1652">
        <f>IFERROR(INDEX(PP_Grid[#Data],$DE1652,20),0)</f>
        <v/>
      </c>
      <c r="X1652">
        <f>IFERROR(INDEX(PP_Grid[#Data],$DE1652,21),0)</f>
        <v/>
      </c>
      <c r="Y1652">
        <f>IFERROR(INDEX(PP_Grid[#Data],$DE1652,22),0)</f>
        <v/>
      </c>
      <c r="Z1652">
        <f>IFERROR(INDEX(PP_Grid[#Data],$DE1652,23),0)</f>
        <v/>
      </c>
      <c r="AA1652">
        <f>IFERROR(INDEX(PP_Grid[#Data],$DE1652,24),0)</f>
        <v/>
      </c>
      <c r="AB1652">
        <f>IFERROR(INDEX(PP_Grid[#Data],$DE1652,25),0)</f>
        <v/>
      </c>
      <c r="AC1652">
        <f>IFERROR(INDEX(PP_Grid[#Data],$DE1652,26),0)</f>
        <v/>
      </c>
      <c r="AD1652">
        <f>IFERROR(INDEX(PP_Grid[#Data],$DE1652,27),0)</f>
        <v/>
      </c>
      <c r="AE1652">
        <f>IFERROR(INDEX(PP_Grid[#Data],$DE1652,28),0)</f>
        <v/>
      </c>
      <c r="AF1652">
        <f>IFERROR(INDEX(PP_Grid[#Data],$DE1652,29),0)</f>
        <v/>
      </c>
      <c r="AG1652">
        <f>IFERROR(INDEX(PP_Grid[#Data],$DE1652,30),0)</f>
        <v/>
      </c>
      <c r="AH1652">
        <f>IFERROR(INDEX(PP_Grid[#Data],$DE1652,31),0)</f>
        <v/>
      </c>
      <c r="AI1652">
        <f>IFERROR(INDEX(PP_Grid[#Data],$DE1652,32),0)</f>
        <v/>
      </c>
      <c r="AJ1652">
        <f>IFERROR(INDEX(PP_Grid[#Data],$DE1652,33),0)</f>
        <v/>
      </c>
      <c r="AK1652">
        <f>IFERROR(INDEX(PP_Grid[#Data],$DE1652,34),0)</f>
        <v/>
      </c>
      <c r="AL1652">
        <f>IFERROR(INDEX(PP_Grid[#Data],$DE1652,35),0)</f>
        <v/>
      </c>
      <c r="AM1652">
        <f>IFERROR(INDEX(PP_Grid[#Data],$DE1652,36),0)</f>
        <v/>
      </c>
      <c r="AN1652">
        <f>IFERROR(INDEX(PP_Grid[#Data],$DE1652,37),0)</f>
        <v/>
      </c>
      <c r="AO1652">
        <f>IFERROR(INDEX(PP_Grid[#Data],$DE1652,38),0)</f>
        <v/>
      </c>
      <c r="AP1652">
        <f>IFERROR(INDEX(PP_Grid[#Data],$DE1652,39),0)</f>
        <v/>
      </c>
      <c r="AQ1652">
        <f>IFERROR(INDEX(PP_Grid[#Data],$DE1652,40),0)</f>
        <v/>
      </c>
      <c r="AR1652">
        <f>IFERROR(INDEX(PP_Grid[#Data],$DE1652,41),0)</f>
        <v/>
      </c>
      <c r="AS1652">
        <f>IFERROR(INDEX(PP_Grid[#Data],$DE1652,42),0)</f>
        <v/>
      </c>
      <c r="AT1652">
        <f>IFERROR(INDEX(PP_Grid[#Data],$DE1652,43),0)</f>
        <v/>
      </c>
      <c r="AU1652">
        <f>IFERROR(INDEX(PP_Grid[#Data],$DE1652,44),0)</f>
        <v/>
      </c>
      <c r="AV1652">
        <f>IFERROR(INDEX(PP_Grid[#Data],$DE1652,45),0)</f>
        <v/>
      </c>
      <c r="AW1652">
        <f>IFERROR(INDEX(PP_Grid[#Data],$DE1652,46),0)</f>
        <v/>
      </c>
      <c r="AX1652">
        <f>IFERROR(INDEX(PP_Grid[#Data],$DE1652,47),0)</f>
        <v/>
      </c>
      <c r="AY1652">
        <f>IFERROR(INDEX(PP_Grid[#Data],$DE1652,48),0)</f>
        <v/>
      </c>
      <c r="AZ1652">
        <f>IFERROR(INDEX(PP_Grid[#Data],$DE1652,49),0)</f>
        <v/>
      </c>
      <c r="BA1652">
        <f>IFERROR(INDEX(PP_Grid[#Data],$DE1652,50),0)</f>
        <v/>
      </c>
      <c r="BB1652">
        <f>IFERROR(INDEX(PP_Grid[#Data],$DE1652,51),0)</f>
        <v/>
      </c>
      <c r="BC1652">
        <f>IFERROR(INDEX(PP_Grid[#Data],$DE1652,52),0)</f>
        <v/>
      </c>
      <c r="BD1652">
        <f>IFERROR(INDEX(PP_Grid[#Data],$DE1652,53),0)</f>
        <v/>
      </c>
      <c r="BE1652">
        <f>IFERROR(INDEX(PP_Grid[#Data],$DE1652,54),0)</f>
        <v/>
      </c>
      <c r="BF1652">
        <f>IFERROR(INDEX(PP_Grid[#Data],$DE1652,55),0)</f>
        <v/>
      </c>
      <c r="BG1652">
        <f>IFERROR(INDEX(PP_Grid[#Data],$DE1652,56),0)</f>
        <v/>
      </c>
      <c r="BH1652">
        <f>IFERROR(INDEX(PP_Grid[#Data],$DE1652,57),0)</f>
        <v/>
      </c>
      <c r="BI1652">
        <f>IFERROR(INDEX(PP_Grid[#Data],$DE1652,58),0)</f>
        <v/>
      </c>
      <c r="BJ1652">
        <f>IFERROR(INDEX(PP_Grid[#Data],$DE1652,59),0)</f>
        <v/>
      </c>
      <c r="BK1652">
        <f>IFERROR(INDEX(PP_Grid[#Data],$DE1652,60),0)</f>
        <v/>
      </c>
      <c r="BL1652">
        <f>IFERROR(INDEX(PP_Grid[#Data],$DE1652,61),0)</f>
        <v/>
      </c>
      <c r="BM1652">
        <f>IFERROR(INDEX(PP_Grid[#Data],$DE1652,62),0)</f>
        <v/>
      </c>
      <c r="BN1652">
        <f>IFERROR(INDEX(PP_Grid[#Data],$DE1652,63),0)</f>
        <v/>
      </c>
      <c r="BO1652">
        <f>IFERROR(INDEX(PP_Grid[#Data],$DE1652,64),0)</f>
        <v/>
      </c>
      <c r="BP1652">
        <f>IFERROR(INDEX(PP_Grid[#Data],$DE1652,65),0)</f>
        <v/>
      </c>
      <c r="BQ1652">
        <f>IFERROR(INDEX(PP_Grid[#Data],$DE1652,66),0)</f>
        <v/>
      </c>
      <c r="BR1652">
        <f>IFERROR(INDEX(PP_Grid[#Data],$DE1652,67),0)</f>
        <v/>
      </c>
      <c r="BS1652">
        <f>IFERROR(INDEX(PP_Grid[#Data],$DE1652,68),0)</f>
        <v/>
      </c>
      <c r="BT1652">
        <f>IFERROR(INDEX(PP_Grid[#Data],$DE1652,69),0)</f>
        <v/>
      </c>
      <c r="BU1652">
        <f>IFERROR(INDEX(PP_Grid[#Data],$DE1652,70),0)</f>
        <v/>
      </c>
      <c r="BV1652">
        <f>IFERROR(INDEX(PP_Grid[#Data],$DE1652,71),0)</f>
        <v/>
      </c>
      <c r="BW1652">
        <f>IFERROR(INDEX(PP_Grid[#Data],$DE1652,72),0)</f>
        <v/>
      </c>
      <c r="BX1652">
        <f>IFERROR(INDEX(PP_Grid[#Data],$DE1652,73),0)</f>
        <v/>
      </c>
      <c r="BY1652">
        <f>IFERROR(INDEX(PP_Grid[#Data],$DE1652,74),0)</f>
        <v/>
      </c>
      <c r="BZ1652">
        <f>IFERROR(INDEX(PP_Grid[#Data],$DE1652,75),0)</f>
        <v/>
      </c>
      <c r="CA1652">
        <f>IFERROR(INDEX(PP_Grid[#Data],$DE1652,76),0)</f>
        <v/>
      </c>
      <c r="CB1652">
        <f>IFERROR(INDEX(PP_Grid[#Data],$DE1652,77),0)</f>
        <v/>
      </c>
      <c r="CC1652">
        <f>IFERROR(INDEX(PP_Grid[#Data],$DE1652,78),0)</f>
        <v/>
      </c>
      <c r="CD1652">
        <f>IFERROR(INDEX(PP_Grid[#Data],$DE1652,79),0)</f>
        <v/>
      </c>
      <c r="CE1652">
        <f>IFERROR(INDEX(PP_Grid[#Data],$DE1652,80),0)</f>
        <v/>
      </c>
      <c r="CF1652">
        <f>IFERROR(INDEX(PP_Grid[#Data],$DE1652,81),0)</f>
        <v/>
      </c>
      <c r="CG1652">
        <f>IFERROR(INDEX(PP_Grid[#Data],$DE1652,82),0)</f>
        <v/>
      </c>
      <c r="CH1652">
        <f>IFERROR(INDEX(PP_Grid[#Data],$DE1652,83),0)</f>
        <v/>
      </c>
      <c r="CI1652">
        <f>IFERROR(INDEX(PP_Grid[#Data],$DE1652,84),0)</f>
        <v/>
      </c>
      <c r="CJ1652">
        <f>IFERROR(INDEX(PP_Grid[#Data],$DE1652,85),0)</f>
        <v/>
      </c>
      <c r="CK1652">
        <f>IFERROR(INDEX(PP_Grid[#Data],$DE1652,86),0)</f>
        <v/>
      </c>
      <c r="CL1652">
        <f>IFERROR(INDEX(PP_Grid[#Data],$DE1652,87),0)</f>
        <v/>
      </c>
      <c r="CM1652">
        <f>IFERROR(INDEX(PP_Grid[#Data],$DE1652,88),0)</f>
        <v/>
      </c>
      <c r="CN1652">
        <f>IFERROR(INDEX(PP_Grid[#Data],$DE1652,89),0)</f>
        <v/>
      </c>
      <c r="CO1652">
        <f>IFERROR(INDEX(PP_Grid[#Data],$DE1652,90),0)</f>
        <v/>
      </c>
      <c r="CP1652">
        <f>IFERROR(INDEX(PP_Grid[#Data],$DE1652,91),0)</f>
        <v/>
      </c>
      <c r="CQ1652">
        <f>IFERROR(INDEX(PP_Grid[#Data],$DE1652,92),0)</f>
        <v/>
      </c>
      <c r="CR1652">
        <f>IFERROR(INDEX(PP_Grid[#Data],$DE1652,93),0)</f>
        <v/>
      </c>
      <c r="CS1652">
        <f>IFERROR(INDEX(PP_Grid[#Data],$DE1652,94),0)</f>
        <v/>
      </c>
      <c r="CT1652">
        <f>IFERROR(INDEX(PP_Grid[#Data],$DE1652,95),0)</f>
        <v/>
      </c>
      <c r="CU1652">
        <f>IFERROR(INDEX(PP_Grid[#Data],$DE1652,96),0)</f>
        <v/>
      </c>
      <c r="CV1652">
        <f>IFERROR(INDEX(PP_Grid[#Data],$DE1652,97),0)</f>
        <v/>
      </c>
      <c r="CW1652">
        <f>IFERROR(INDEX(PP_Grid[#Data],$DE1652,98),0)</f>
        <v/>
      </c>
      <c r="CX1652">
        <f>IFERROR(INDEX(PP_Grid[#Data],$DE1652,99),0)</f>
        <v/>
      </c>
      <c r="CY1652">
        <f>IFERROR(INDEX(PP_Grid[#Data],$DE1652,100),0)</f>
        <v/>
      </c>
      <c r="CZ1652">
        <f>IFERROR(INDEX(PP_Grid[#Data],$DE1652,101),0)</f>
        <v/>
      </c>
      <c r="DA1652">
        <f>IFERROR(INDEX(PP_Grid[#Data],$DE1652,102),0)</f>
        <v/>
      </c>
      <c r="DB1652">
        <f>IFERROR(INDEX(PP_Grid[#Data],$DE1652,103),0)</f>
        <v/>
      </c>
      <c r="DC1652">
        <f>IFERROR(INDEX(PP_Grid[#Data],$DE1652,104),0)</f>
        <v/>
      </c>
      <c r="DD1652">
        <f>IFERROR(INDEX(PP_Grid[#Data],$DE1652,105),0)</f>
        <v/>
      </c>
      <c r="DE1652" s="7">
        <f>IFERROR(MATCH($B1652,PP_Grid[Intermediate],0),99999)</f>
        <v/>
      </c>
    </row>
    <row r="1653">
      <c r="B1653" t="inlineStr">
        <is>
          <t>使用量(kg)</t>
        </is>
      </c>
      <c r="C1653">
        <f>SUMIFS(M_BOM[RM_Qty_Per_Batch],M_BOM[Intermediate],$B1652,M_BOM[RM_Code],$A1651)</f>
        <v/>
      </c>
      <c r="D1653">
        <f>IFERROR(INDEX(E1653:DD1653,$F$1),"")</f>
        <v/>
      </c>
      <c r="E1653">
        <f>$C1653*E1652</f>
        <v/>
      </c>
      <c r="F1653">
        <f>$C1653*F1652</f>
        <v/>
      </c>
      <c r="G1653">
        <f>$C1653*G1652</f>
        <v/>
      </c>
      <c r="H1653">
        <f>$C1653*H1652</f>
        <v/>
      </c>
      <c r="I1653">
        <f>$C1653*I1652</f>
        <v/>
      </c>
      <c r="J1653">
        <f>$C1653*J1652</f>
        <v/>
      </c>
      <c r="K1653">
        <f>$C1653*K1652</f>
        <v/>
      </c>
      <c r="L1653">
        <f>$C1653*L1652</f>
        <v/>
      </c>
      <c r="M1653">
        <f>$C1653*M1652</f>
        <v/>
      </c>
      <c r="N1653">
        <f>$C1653*N1652</f>
        <v/>
      </c>
      <c r="O1653">
        <f>$C1653*O1652</f>
        <v/>
      </c>
      <c r="P1653">
        <f>$C1653*P1652</f>
        <v/>
      </c>
      <c r="Q1653">
        <f>$C1653*Q1652</f>
        <v/>
      </c>
      <c r="R1653">
        <f>$C1653*R1652</f>
        <v/>
      </c>
      <c r="S1653">
        <f>$C1653*S1652</f>
        <v/>
      </c>
      <c r="T1653">
        <f>$C1653*T1652</f>
        <v/>
      </c>
      <c r="U1653">
        <f>$C1653*U1652</f>
        <v/>
      </c>
      <c r="V1653">
        <f>$C1653*V1652</f>
        <v/>
      </c>
      <c r="W1653">
        <f>$C1653*W1652</f>
        <v/>
      </c>
      <c r="X1653">
        <f>$C1653*X1652</f>
        <v/>
      </c>
      <c r="Y1653">
        <f>$C1653*Y1652</f>
        <v/>
      </c>
      <c r="Z1653">
        <f>$C1653*Z1652</f>
        <v/>
      </c>
      <c r="AA1653">
        <f>$C1653*AA1652</f>
        <v/>
      </c>
      <c r="AB1653">
        <f>$C1653*AB1652</f>
        <v/>
      </c>
      <c r="AC1653">
        <f>$C1653*AC1652</f>
        <v/>
      </c>
      <c r="AD1653">
        <f>$C1653*AD1652</f>
        <v/>
      </c>
      <c r="AE1653">
        <f>$C1653*AE1652</f>
        <v/>
      </c>
      <c r="AF1653">
        <f>$C1653*AF1652</f>
        <v/>
      </c>
      <c r="AG1653">
        <f>$C1653*AG1652</f>
        <v/>
      </c>
      <c r="AH1653">
        <f>$C1653*AH1652</f>
        <v/>
      </c>
      <c r="AI1653">
        <f>$C1653*AI1652</f>
        <v/>
      </c>
      <c r="AJ1653">
        <f>$C1653*AJ1652</f>
        <v/>
      </c>
      <c r="AK1653">
        <f>$C1653*AK1652</f>
        <v/>
      </c>
      <c r="AL1653">
        <f>$C1653*AL1652</f>
        <v/>
      </c>
      <c r="AM1653">
        <f>$C1653*AM1652</f>
        <v/>
      </c>
      <c r="AN1653">
        <f>$C1653*AN1652</f>
        <v/>
      </c>
      <c r="AO1653">
        <f>$C1653*AO1652</f>
        <v/>
      </c>
      <c r="AP1653">
        <f>$C1653*AP1652</f>
        <v/>
      </c>
      <c r="AQ1653">
        <f>$C1653*AQ1652</f>
        <v/>
      </c>
      <c r="AR1653">
        <f>$C1653*AR1652</f>
        <v/>
      </c>
      <c r="AS1653">
        <f>$C1653*AS1652</f>
        <v/>
      </c>
      <c r="AT1653">
        <f>$C1653*AT1652</f>
        <v/>
      </c>
      <c r="AU1653">
        <f>$C1653*AU1652</f>
        <v/>
      </c>
      <c r="AV1653">
        <f>$C1653*AV1652</f>
        <v/>
      </c>
      <c r="AW1653">
        <f>$C1653*AW1652</f>
        <v/>
      </c>
      <c r="AX1653">
        <f>$C1653*AX1652</f>
        <v/>
      </c>
      <c r="AY1653">
        <f>$C1653*AY1652</f>
        <v/>
      </c>
      <c r="AZ1653">
        <f>$C1653*AZ1652</f>
        <v/>
      </c>
      <c r="BA1653">
        <f>$C1653*BA1652</f>
        <v/>
      </c>
      <c r="BB1653">
        <f>$C1653*BB1652</f>
        <v/>
      </c>
      <c r="BC1653">
        <f>$C1653*BC1652</f>
        <v/>
      </c>
      <c r="BD1653">
        <f>$C1653*BD1652</f>
        <v/>
      </c>
      <c r="BE1653">
        <f>$C1653*BE1652</f>
        <v/>
      </c>
      <c r="BF1653">
        <f>$C1653*BF1652</f>
        <v/>
      </c>
      <c r="BG1653">
        <f>$C1653*BG1652</f>
        <v/>
      </c>
      <c r="BH1653">
        <f>$C1653*BH1652</f>
        <v/>
      </c>
      <c r="BI1653">
        <f>$C1653*BI1652</f>
        <v/>
      </c>
      <c r="BJ1653">
        <f>$C1653*BJ1652</f>
        <v/>
      </c>
      <c r="BK1653">
        <f>$C1653*BK1652</f>
        <v/>
      </c>
      <c r="BL1653">
        <f>$C1653*BL1652</f>
        <v/>
      </c>
      <c r="BM1653">
        <f>$C1653*BM1652</f>
        <v/>
      </c>
      <c r="BN1653">
        <f>$C1653*BN1652</f>
        <v/>
      </c>
      <c r="BO1653">
        <f>$C1653*BO1652</f>
        <v/>
      </c>
      <c r="BP1653">
        <f>$C1653*BP1652</f>
        <v/>
      </c>
      <c r="BQ1653">
        <f>$C1653*BQ1652</f>
        <v/>
      </c>
      <c r="BR1653">
        <f>$C1653*BR1652</f>
        <v/>
      </c>
      <c r="BS1653">
        <f>$C1653*BS1652</f>
        <v/>
      </c>
      <c r="BT1653">
        <f>$C1653*BT1652</f>
        <v/>
      </c>
      <c r="BU1653">
        <f>$C1653*BU1652</f>
        <v/>
      </c>
      <c r="BV1653">
        <f>$C1653*BV1652</f>
        <v/>
      </c>
      <c r="BW1653">
        <f>$C1653*BW1652</f>
        <v/>
      </c>
      <c r="BX1653">
        <f>$C1653*BX1652</f>
        <v/>
      </c>
      <c r="BY1653">
        <f>$C1653*BY1652</f>
        <v/>
      </c>
      <c r="BZ1653">
        <f>$C1653*BZ1652</f>
        <v/>
      </c>
      <c r="CA1653">
        <f>$C1653*CA1652</f>
        <v/>
      </c>
      <c r="CB1653">
        <f>$C1653*CB1652</f>
        <v/>
      </c>
      <c r="CC1653">
        <f>$C1653*CC1652</f>
        <v/>
      </c>
      <c r="CD1653">
        <f>$C1653*CD1652</f>
        <v/>
      </c>
      <c r="CE1653">
        <f>$C1653*CE1652</f>
        <v/>
      </c>
      <c r="CF1653">
        <f>$C1653*CF1652</f>
        <v/>
      </c>
      <c r="CG1653">
        <f>$C1653*CG1652</f>
        <v/>
      </c>
      <c r="CH1653">
        <f>$C1653*CH1652</f>
        <v/>
      </c>
      <c r="CI1653">
        <f>$C1653*CI1652</f>
        <v/>
      </c>
      <c r="CJ1653">
        <f>$C1653*CJ1652</f>
        <v/>
      </c>
      <c r="CK1653">
        <f>$C1653*CK1652</f>
        <v/>
      </c>
      <c r="CL1653">
        <f>$C1653*CL1652</f>
        <v/>
      </c>
      <c r="CM1653">
        <f>$C1653*CM1652</f>
        <v/>
      </c>
      <c r="CN1653">
        <f>$C1653*CN1652</f>
        <v/>
      </c>
      <c r="CO1653">
        <f>$C1653*CO1652</f>
        <v/>
      </c>
      <c r="CP1653">
        <f>$C1653*CP1652</f>
        <v/>
      </c>
      <c r="CQ1653">
        <f>$C1653*CQ1652</f>
        <v/>
      </c>
      <c r="CR1653">
        <f>$C1653*CR1652</f>
        <v/>
      </c>
      <c r="CS1653">
        <f>$C1653*CS1652</f>
        <v/>
      </c>
      <c r="CT1653">
        <f>$C1653*CT1652</f>
        <v/>
      </c>
      <c r="CU1653">
        <f>$C1653*CU1652</f>
        <v/>
      </c>
      <c r="CV1653">
        <f>$C1653*CV1652</f>
        <v/>
      </c>
      <c r="CW1653">
        <f>$C1653*CW1652</f>
        <v/>
      </c>
      <c r="CX1653">
        <f>$C1653*CX1652</f>
        <v/>
      </c>
      <c r="CY1653">
        <f>$C1653*CY1652</f>
        <v/>
      </c>
      <c r="CZ1653">
        <f>$C1653*CZ1652</f>
        <v/>
      </c>
      <c r="DA1653">
        <f>$C1653*DA1652</f>
        <v/>
      </c>
      <c r="DB1653">
        <f>$C1653*DB1652</f>
        <v/>
      </c>
      <c r="DC1653">
        <f>$C1653*DC1652</f>
        <v/>
      </c>
      <c r="DD1653">
        <f>$C1653*DD1652</f>
        <v/>
      </c>
    </row>
    <row r="1654">
      <c r="B1654" t="inlineStr">
        <is>
          <t>TSP-360</t>
        </is>
      </c>
      <c r="C1654" t="inlineStr">
        <is>
          <t>No. of batches</t>
        </is>
      </c>
      <c r="D1654">
        <f>IFERROR(INDEX(E1654:DD1654,$F$1),"")</f>
        <v/>
      </c>
      <c r="E1654">
        <f>IFERROR(INDEX(PP_Grid[#Data],$DE1654,2),0)</f>
        <v/>
      </c>
      <c r="F1654">
        <f>IFERROR(INDEX(PP_Grid[#Data],$DE1654,3),0)</f>
        <v/>
      </c>
      <c r="G1654">
        <f>IFERROR(INDEX(PP_Grid[#Data],$DE1654,4),0)</f>
        <v/>
      </c>
      <c r="H1654">
        <f>IFERROR(INDEX(PP_Grid[#Data],$DE1654,5),0)</f>
        <v/>
      </c>
      <c r="I1654">
        <f>IFERROR(INDEX(PP_Grid[#Data],$DE1654,6),0)</f>
        <v/>
      </c>
      <c r="J1654">
        <f>IFERROR(INDEX(PP_Grid[#Data],$DE1654,7),0)</f>
        <v/>
      </c>
      <c r="K1654">
        <f>IFERROR(INDEX(PP_Grid[#Data],$DE1654,8),0)</f>
        <v/>
      </c>
      <c r="L1654">
        <f>IFERROR(INDEX(PP_Grid[#Data],$DE1654,9),0)</f>
        <v/>
      </c>
      <c r="M1654">
        <f>IFERROR(INDEX(PP_Grid[#Data],$DE1654,10),0)</f>
        <v/>
      </c>
      <c r="N1654">
        <f>IFERROR(INDEX(PP_Grid[#Data],$DE1654,11),0)</f>
        <v/>
      </c>
      <c r="O1654">
        <f>IFERROR(INDEX(PP_Grid[#Data],$DE1654,12),0)</f>
        <v/>
      </c>
      <c r="P1654">
        <f>IFERROR(INDEX(PP_Grid[#Data],$DE1654,13),0)</f>
        <v/>
      </c>
      <c r="Q1654">
        <f>IFERROR(INDEX(PP_Grid[#Data],$DE1654,14),0)</f>
        <v/>
      </c>
      <c r="R1654">
        <f>IFERROR(INDEX(PP_Grid[#Data],$DE1654,15),0)</f>
        <v/>
      </c>
      <c r="S1654">
        <f>IFERROR(INDEX(PP_Grid[#Data],$DE1654,16),0)</f>
        <v/>
      </c>
      <c r="T1654">
        <f>IFERROR(INDEX(PP_Grid[#Data],$DE1654,17),0)</f>
        <v/>
      </c>
      <c r="U1654">
        <f>IFERROR(INDEX(PP_Grid[#Data],$DE1654,18),0)</f>
        <v/>
      </c>
      <c r="V1654">
        <f>IFERROR(INDEX(PP_Grid[#Data],$DE1654,19),0)</f>
        <v/>
      </c>
      <c r="W1654">
        <f>IFERROR(INDEX(PP_Grid[#Data],$DE1654,20),0)</f>
        <v/>
      </c>
      <c r="X1654">
        <f>IFERROR(INDEX(PP_Grid[#Data],$DE1654,21),0)</f>
        <v/>
      </c>
      <c r="Y1654">
        <f>IFERROR(INDEX(PP_Grid[#Data],$DE1654,22),0)</f>
        <v/>
      </c>
      <c r="Z1654">
        <f>IFERROR(INDEX(PP_Grid[#Data],$DE1654,23),0)</f>
        <v/>
      </c>
      <c r="AA1654">
        <f>IFERROR(INDEX(PP_Grid[#Data],$DE1654,24),0)</f>
        <v/>
      </c>
      <c r="AB1654">
        <f>IFERROR(INDEX(PP_Grid[#Data],$DE1654,25),0)</f>
        <v/>
      </c>
      <c r="AC1654">
        <f>IFERROR(INDEX(PP_Grid[#Data],$DE1654,26),0)</f>
        <v/>
      </c>
      <c r="AD1654">
        <f>IFERROR(INDEX(PP_Grid[#Data],$DE1654,27),0)</f>
        <v/>
      </c>
      <c r="AE1654">
        <f>IFERROR(INDEX(PP_Grid[#Data],$DE1654,28),0)</f>
        <v/>
      </c>
      <c r="AF1654">
        <f>IFERROR(INDEX(PP_Grid[#Data],$DE1654,29),0)</f>
        <v/>
      </c>
      <c r="AG1654">
        <f>IFERROR(INDEX(PP_Grid[#Data],$DE1654,30),0)</f>
        <v/>
      </c>
      <c r="AH1654">
        <f>IFERROR(INDEX(PP_Grid[#Data],$DE1654,31),0)</f>
        <v/>
      </c>
      <c r="AI1654">
        <f>IFERROR(INDEX(PP_Grid[#Data],$DE1654,32),0)</f>
        <v/>
      </c>
      <c r="AJ1654">
        <f>IFERROR(INDEX(PP_Grid[#Data],$DE1654,33),0)</f>
        <v/>
      </c>
      <c r="AK1654">
        <f>IFERROR(INDEX(PP_Grid[#Data],$DE1654,34),0)</f>
        <v/>
      </c>
      <c r="AL1654">
        <f>IFERROR(INDEX(PP_Grid[#Data],$DE1654,35),0)</f>
        <v/>
      </c>
      <c r="AM1654">
        <f>IFERROR(INDEX(PP_Grid[#Data],$DE1654,36),0)</f>
        <v/>
      </c>
      <c r="AN1654">
        <f>IFERROR(INDEX(PP_Grid[#Data],$DE1654,37),0)</f>
        <v/>
      </c>
      <c r="AO1654">
        <f>IFERROR(INDEX(PP_Grid[#Data],$DE1654,38),0)</f>
        <v/>
      </c>
      <c r="AP1654">
        <f>IFERROR(INDEX(PP_Grid[#Data],$DE1654,39),0)</f>
        <v/>
      </c>
      <c r="AQ1654">
        <f>IFERROR(INDEX(PP_Grid[#Data],$DE1654,40),0)</f>
        <v/>
      </c>
      <c r="AR1654">
        <f>IFERROR(INDEX(PP_Grid[#Data],$DE1654,41),0)</f>
        <v/>
      </c>
      <c r="AS1654">
        <f>IFERROR(INDEX(PP_Grid[#Data],$DE1654,42),0)</f>
        <v/>
      </c>
      <c r="AT1654">
        <f>IFERROR(INDEX(PP_Grid[#Data],$DE1654,43),0)</f>
        <v/>
      </c>
      <c r="AU1654">
        <f>IFERROR(INDEX(PP_Grid[#Data],$DE1654,44),0)</f>
        <v/>
      </c>
      <c r="AV1654">
        <f>IFERROR(INDEX(PP_Grid[#Data],$DE1654,45),0)</f>
        <v/>
      </c>
      <c r="AW1654">
        <f>IFERROR(INDEX(PP_Grid[#Data],$DE1654,46),0)</f>
        <v/>
      </c>
      <c r="AX1654">
        <f>IFERROR(INDEX(PP_Grid[#Data],$DE1654,47),0)</f>
        <v/>
      </c>
      <c r="AY1654">
        <f>IFERROR(INDEX(PP_Grid[#Data],$DE1654,48),0)</f>
        <v/>
      </c>
      <c r="AZ1654">
        <f>IFERROR(INDEX(PP_Grid[#Data],$DE1654,49),0)</f>
        <v/>
      </c>
      <c r="BA1654">
        <f>IFERROR(INDEX(PP_Grid[#Data],$DE1654,50),0)</f>
        <v/>
      </c>
      <c r="BB1654">
        <f>IFERROR(INDEX(PP_Grid[#Data],$DE1654,51),0)</f>
        <v/>
      </c>
      <c r="BC1654">
        <f>IFERROR(INDEX(PP_Grid[#Data],$DE1654,52),0)</f>
        <v/>
      </c>
      <c r="BD1654">
        <f>IFERROR(INDEX(PP_Grid[#Data],$DE1654,53),0)</f>
        <v/>
      </c>
      <c r="BE1654">
        <f>IFERROR(INDEX(PP_Grid[#Data],$DE1654,54),0)</f>
        <v/>
      </c>
      <c r="BF1654">
        <f>IFERROR(INDEX(PP_Grid[#Data],$DE1654,55),0)</f>
        <v/>
      </c>
      <c r="BG1654">
        <f>IFERROR(INDEX(PP_Grid[#Data],$DE1654,56),0)</f>
        <v/>
      </c>
      <c r="BH1654">
        <f>IFERROR(INDEX(PP_Grid[#Data],$DE1654,57),0)</f>
        <v/>
      </c>
      <c r="BI1654">
        <f>IFERROR(INDEX(PP_Grid[#Data],$DE1654,58),0)</f>
        <v/>
      </c>
      <c r="BJ1654">
        <f>IFERROR(INDEX(PP_Grid[#Data],$DE1654,59),0)</f>
        <v/>
      </c>
      <c r="BK1654">
        <f>IFERROR(INDEX(PP_Grid[#Data],$DE1654,60),0)</f>
        <v/>
      </c>
      <c r="BL1654">
        <f>IFERROR(INDEX(PP_Grid[#Data],$DE1654,61),0)</f>
        <v/>
      </c>
      <c r="BM1654">
        <f>IFERROR(INDEX(PP_Grid[#Data],$DE1654,62),0)</f>
        <v/>
      </c>
      <c r="BN1654">
        <f>IFERROR(INDEX(PP_Grid[#Data],$DE1654,63),0)</f>
        <v/>
      </c>
      <c r="BO1654">
        <f>IFERROR(INDEX(PP_Grid[#Data],$DE1654,64),0)</f>
        <v/>
      </c>
      <c r="BP1654">
        <f>IFERROR(INDEX(PP_Grid[#Data],$DE1654,65),0)</f>
        <v/>
      </c>
      <c r="BQ1654">
        <f>IFERROR(INDEX(PP_Grid[#Data],$DE1654,66),0)</f>
        <v/>
      </c>
      <c r="BR1654">
        <f>IFERROR(INDEX(PP_Grid[#Data],$DE1654,67),0)</f>
        <v/>
      </c>
      <c r="BS1654">
        <f>IFERROR(INDEX(PP_Grid[#Data],$DE1654,68),0)</f>
        <v/>
      </c>
      <c r="BT1654">
        <f>IFERROR(INDEX(PP_Grid[#Data],$DE1654,69),0)</f>
        <v/>
      </c>
      <c r="BU1654">
        <f>IFERROR(INDEX(PP_Grid[#Data],$DE1654,70),0)</f>
        <v/>
      </c>
      <c r="BV1654">
        <f>IFERROR(INDEX(PP_Grid[#Data],$DE1654,71),0)</f>
        <v/>
      </c>
      <c r="BW1654">
        <f>IFERROR(INDEX(PP_Grid[#Data],$DE1654,72),0)</f>
        <v/>
      </c>
      <c r="BX1654">
        <f>IFERROR(INDEX(PP_Grid[#Data],$DE1654,73),0)</f>
        <v/>
      </c>
      <c r="BY1654">
        <f>IFERROR(INDEX(PP_Grid[#Data],$DE1654,74),0)</f>
        <v/>
      </c>
      <c r="BZ1654">
        <f>IFERROR(INDEX(PP_Grid[#Data],$DE1654,75),0)</f>
        <v/>
      </c>
      <c r="CA1654">
        <f>IFERROR(INDEX(PP_Grid[#Data],$DE1654,76),0)</f>
        <v/>
      </c>
      <c r="CB1654">
        <f>IFERROR(INDEX(PP_Grid[#Data],$DE1654,77),0)</f>
        <v/>
      </c>
      <c r="CC1654">
        <f>IFERROR(INDEX(PP_Grid[#Data],$DE1654,78),0)</f>
        <v/>
      </c>
      <c r="CD1654">
        <f>IFERROR(INDEX(PP_Grid[#Data],$DE1654,79),0)</f>
        <v/>
      </c>
      <c r="CE1654">
        <f>IFERROR(INDEX(PP_Grid[#Data],$DE1654,80),0)</f>
        <v/>
      </c>
      <c r="CF1654">
        <f>IFERROR(INDEX(PP_Grid[#Data],$DE1654,81),0)</f>
        <v/>
      </c>
      <c r="CG1654">
        <f>IFERROR(INDEX(PP_Grid[#Data],$DE1654,82),0)</f>
        <v/>
      </c>
      <c r="CH1654">
        <f>IFERROR(INDEX(PP_Grid[#Data],$DE1654,83),0)</f>
        <v/>
      </c>
      <c r="CI1654">
        <f>IFERROR(INDEX(PP_Grid[#Data],$DE1654,84),0)</f>
        <v/>
      </c>
      <c r="CJ1654">
        <f>IFERROR(INDEX(PP_Grid[#Data],$DE1654,85),0)</f>
        <v/>
      </c>
      <c r="CK1654">
        <f>IFERROR(INDEX(PP_Grid[#Data],$DE1654,86),0)</f>
        <v/>
      </c>
      <c r="CL1654">
        <f>IFERROR(INDEX(PP_Grid[#Data],$DE1654,87),0)</f>
        <v/>
      </c>
      <c r="CM1654">
        <f>IFERROR(INDEX(PP_Grid[#Data],$DE1654,88),0)</f>
        <v/>
      </c>
      <c r="CN1654">
        <f>IFERROR(INDEX(PP_Grid[#Data],$DE1654,89),0)</f>
        <v/>
      </c>
      <c r="CO1654">
        <f>IFERROR(INDEX(PP_Grid[#Data],$DE1654,90),0)</f>
        <v/>
      </c>
      <c r="CP1654">
        <f>IFERROR(INDEX(PP_Grid[#Data],$DE1654,91),0)</f>
        <v/>
      </c>
      <c r="CQ1654">
        <f>IFERROR(INDEX(PP_Grid[#Data],$DE1654,92),0)</f>
        <v/>
      </c>
      <c r="CR1654">
        <f>IFERROR(INDEX(PP_Grid[#Data],$DE1654,93),0)</f>
        <v/>
      </c>
      <c r="CS1654">
        <f>IFERROR(INDEX(PP_Grid[#Data],$DE1654,94),0)</f>
        <v/>
      </c>
      <c r="CT1654">
        <f>IFERROR(INDEX(PP_Grid[#Data],$DE1654,95),0)</f>
        <v/>
      </c>
      <c r="CU1654">
        <f>IFERROR(INDEX(PP_Grid[#Data],$DE1654,96),0)</f>
        <v/>
      </c>
      <c r="CV1654">
        <f>IFERROR(INDEX(PP_Grid[#Data],$DE1654,97),0)</f>
        <v/>
      </c>
      <c r="CW1654">
        <f>IFERROR(INDEX(PP_Grid[#Data],$DE1654,98),0)</f>
        <v/>
      </c>
      <c r="CX1654">
        <f>IFERROR(INDEX(PP_Grid[#Data],$DE1654,99),0)</f>
        <v/>
      </c>
      <c r="CY1654">
        <f>IFERROR(INDEX(PP_Grid[#Data],$DE1654,100),0)</f>
        <v/>
      </c>
      <c r="CZ1654">
        <f>IFERROR(INDEX(PP_Grid[#Data],$DE1654,101),0)</f>
        <v/>
      </c>
      <c r="DA1654">
        <f>IFERROR(INDEX(PP_Grid[#Data],$DE1654,102),0)</f>
        <v/>
      </c>
      <c r="DB1654">
        <f>IFERROR(INDEX(PP_Grid[#Data],$DE1654,103),0)</f>
        <v/>
      </c>
      <c r="DC1654">
        <f>IFERROR(INDEX(PP_Grid[#Data],$DE1654,104),0)</f>
        <v/>
      </c>
      <c r="DD1654">
        <f>IFERROR(INDEX(PP_Grid[#Data],$DE1654,105),0)</f>
        <v/>
      </c>
      <c r="DE1654" s="7">
        <f>IFERROR(MATCH($B1654,PP_Grid[Intermediate],0),99999)</f>
        <v/>
      </c>
    </row>
    <row r="1655">
      <c r="B1655" t="inlineStr">
        <is>
          <t>使用量(kg)</t>
        </is>
      </c>
      <c r="C1655">
        <f>SUMIFS(M_BOM[RM_Qty_Per_Batch],M_BOM[Intermediate],$B1654,M_BOM[RM_Code],$A1651)</f>
        <v/>
      </c>
      <c r="D1655">
        <f>IFERROR(INDEX(E1655:DD1655,$F$1),"")</f>
        <v/>
      </c>
      <c r="E1655">
        <f>$C1655*E1654</f>
        <v/>
      </c>
      <c r="F1655">
        <f>$C1655*F1654</f>
        <v/>
      </c>
      <c r="G1655">
        <f>$C1655*G1654</f>
        <v/>
      </c>
      <c r="H1655">
        <f>$C1655*H1654</f>
        <v/>
      </c>
      <c r="I1655">
        <f>$C1655*I1654</f>
        <v/>
      </c>
      <c r="J1655">
        <f>$C1655*J1654</f>
        <v/>
      </c>
      <c r="K1655">
        <f>$C1655*K1654</f>
        <v/>
      </c>
      <c r="L1655">
        <f>$C1655*L1654</f>
        <v/>
      </c>
      <c r="M1655">
        <f>$C1655*M1654</f>
        <v/>
      </c>
      <c r="N1655">
        <f>$C1655*N1654</f>
        <v/>
      </c>
      <c r="O1655">
        <f>$C1655*O1654</f>
        <v/>
      </c>
      <c r="P1655">
        <f>$C1655*P1654</f>
        <v/>
      </c>
      <c r="Q1655">
        <f>$C1655*Q1654</f>
        <v/>
      </c>
      <c r="R1655">
        <f>$C1655*R1654</f>
        <v/>
      </c>
      <c r="S1655">
        <f>$C1655*S1654</f>
        <v/>
      </c>
      <c r="T1655">
        <f>$C1655*T1654</f>
        <v/>
      </c>
      <c r="U1655">
        <f>$C1655*U1654</f>
        <v/>
      </c>
      <c r="V1655">
        <f>$C1655*V1654</f>
        <v/>
      </c>
      <c r="W1655">
        <f>$C1655*W1654</f>
        <v/>
      </c>
      <c r="X1655">
        <f>$C1655*X1654</f>
        <v/>
      </c>
      <c r="Y1655">
        <f>$C1655*Y1654</f>
        <v/>
      </c>
      <c r="Z1655">
        <f>$C1655*Z1654</f>
        <v/>
      </c>
      <c r="AA1655">
        <f>$C1655*AA1654</f>
        <v/>
      </c>
      <c r="AB1655">
        <f>$C1655*AB1654</f>
        <v/>
      </c>
      <c r="AC1655">
        <f>$C1655*AC1654</f>
        <v/>
      </c>
      <c r="AD1655">
        <f>$C1655*AD1654</f>
        <v/>
      </c>
      <c r="AE1655">
        <f>$C1655*AE1654</f>
        <v/>
      </c>
      <c r="AF1655">
        <f>$C1655*AF1654</f>
        <v/>
      </c>
      <c r="AG1655">
        <f>$C1655*AG1654</f>
        <v/>
      </c>
      <c r="AH1655">
        <f>$C1655*AH1654</f>
        <v/>
      </c>
      <c r="AI1655">
        <f>$C1655*AI1654</f>
        <v/>
      </c>
      <c r="AJ1655">
        <f>$C1655*AJ1654</f>
        <v/>
      </c>
      <c r="AK1655">
        <f>$C1655*AK1654</f>
        <v/>
      </c>
      <c r="AL1655">
        <f>$C1655*AL1654</f>
        <v/>
      </c>
      <c r="AM1655">
        <f>$C1655*AM1654</f>
        <v/>
      </c>
      <c r="AN1655">
        <f>$C1655*AN1654</f>
        <v/>
      </c>
      <c r="AO1655">
        <f>$C1655*AO1654</f>
        <v/>
      </c>
      <c r="AP1655">
        <f>$C1655*AP1654</f>
        <v/>
      </c>
      <c r="AQ1655">
        <f>$C1655*AQ1654</f>
        <v/>
      </c>
      <c r="AR1655">
        <f>$C1655*AR1654</f>
        <v/>
      </c>
      <c r="AS1655">
        <f>$C1655*AS1654</f>
        <v/>
      </c>
      <c r="AT1655">
        <f>$C1655*AT1654</f>
        <v/>
      </c>
      <c r="AU1655">
        <f>$C1655*AU1654</f>
        <v/>
      </c>
      <c r="AV1655">
        <f>$C1655*AV1654</f>
        <v/>
      </c>
      <c r="AW1655">
        <f>$C1655*AW1654</f>
        <v/>
      </c>
      <c r="AX1655">
        <f>$C1655*AX1654</f>
        <v/>
      </c>
      <c r="AY1655">
        <f>$C1655*AY1654</f>
        <v/>
      </c>
      <c r="AZ1655">
        <f>$C1655*AZ1654</f>
        <v/>
      </c>
      <c r="BA1655">
        <f>$C1655*BA1654</f>
        <v/>
      </c>
      <c r="BB1655">
        <f>$C1655*BB1654</f>
        <v/>
      </c>
      <c r="BC1655">
        <f>$C1655*BC1654</f>
        <v/>
      </c>
      <c r="BD1655">
        <f>$C1655*BD1654</f>
        <v/>
      </c>
      <c r="BE1655">
        <f>$C1655*BE1654</f>
        <v/>
      </c>
      <c r="BF1655">
        <f>$C1655*BF1654</f>
        <v/>
      </c>
      <c r="BG1655">
        <f>$C1655*BG1654</f>
        <v/>
      </c>
      <c r="BH1655">
        <f>$C1655*BH1654</f>
        <v/>
      </c>
      <c r="BI1655">
        <f>$C1655*BI1654</f>
        <v/>
      </c>
      <c r="BJ1655">
        <f>$C1655*BJ1654</f>
        <v/>
      </c>
      <c r="BK1655">
        <f>$C1655*BK1654</f>
        <v/>
      </c>
      <c r="BL1655">
        <f>$C1655*BL1654</f>
        <v/>
      </c>
      <c r="BM1655">
        <f>$C1655*BM1654</f>
        <v/>
      </c>
      <c r="BN1655">
        <f>$C1655*BN1654</f>
        <v/>
      </c>
      <c r="BO1655">
        <f>$C1655*BO1654</f>
        <v/>
      </c>
      <c r="BP1655">
        <f>$C1655*BP1654</f>
        <v/>
      </c>
      <c r="BQ1655">
        <f>$C1655*BQ1654</f>
        <v/>
      </c>
      <c r="BR1655">
        <f>$C1655*BR1654</f>
        <v/>
      </c>
      <c r="BS1655">
        <f>$C1655*BS1654</f>
        <v/>
      </c>
      <c r="BT1655">
        <f>$C1655*BT1654</f>
        <v/>
      </c>
      <c r="BU1655">
        <f>$C1655*BU1654</f>
        <v/>
      </c>
      <c r="BV1655">
        <f>$C1655*BV1654</f>
        <v/>
      </c>
      <c r="BW1655">
        <f>$C1655*BW1654</f>
        <v/>
      </c>
      <c r="BX1655">
        <f>$C1655*BX1654</f>
        <v/>
      </c>
      <c r="BY1655">
        <f>$C1655*BY1654</f>
        <v/>
      </c>
      <c r="BZ1655">
        <f>$C1655*BZ1654</f>
        <v/>
      </c>
      <c r="CA1655">
        <f>$C1655*CA1654</f>
        <v/>
      </c>
      <c r="CB1655">
        <f>$C1655*CB1654</f>
        <v/>
      </c>
      <c r="CC1655">
        <f>$C1655*CC1654</f>
        <v/>
      </c>
      <c r="CD1655">
        <f>$C1655*CD1654</f>
        <v/>
      </c>
      <c r="CE1655">
        <f>$C1655*CE1654</f>
        <v/>
      </c>
      <c r="CF1655">
        <f>$C1655*CF1654</f>
        <v/>
      </c>
      <c r="CG1655">
        <f>$C1655*CG1654</f>
        <v/>
      </c>
      <c r="CH1655">
        <f>$C1655*CH1654</f>
        <v/>
      </c>
      <c r="CI1655">
        <f>$C1655*CI1654</f>
        <v/>
      </c>
      <c r="CJ1655">
        <f>$C1655*CJ1654</f>
        <v/>
      </c>
      <c r="CK1655">
        <f>$C1655*CK1654</f>
        <v/>
      </c>
      <c r="CL1655">
        <f>$C1655*CL1654</f>
        <v/>
      </c>
      <c r="CM1655">
        <f>$C1655*CM1654</f>
        <v/>
      </c>
      <c r="CN1655">
        <f>$C1655*CN1654</f>
        <v/>
      </c>
      <c r="CO1655">
        <f>$C1655*CO1654</f>
        <v/>
      </c>
      <c r="CP1655">
        <f>$C1655*CP1654</f>
        <v/>
      </c>
      <c r="CQ1655">
        <f>$C1655*CQ1654</f>
        <v/>
      </c>
      <c r="CR1655">
        <f>$C1655*CR1654</f>
        <v/>
      </c>
      <c r="CS1655">
        <f>$C1655*CS1654</f>
        <v/>
      </c>
      <c r="CT1655">
        <f>$C1655*CT1654</f>
        <v/>
      </c>
      <c r="CU1655">
        <f>$C1655*CU1654</f>
        <v/>
      </c>
      <c r="CV1655">
        <f>$C1655*CV1654</f>
        <v/>
      </c>
      <c r="CW1655">
        <f>$C1655*CW1654</f>
        <v/>
      </c>
      <c r="CX1655">
        <f>$C1655*CX1654</f>
        <v/>
      </c>
      <c r="CY1655">
        <f>$C1655*CY1654</f>
        <v/>
      </c>
      <c r="CZ1655">
        <f>$C1655*CZ1654</f>
        <v/>
      </c>
      <c r="DA1655">
        <f>$C1655*DA1654</f>
        <v/>
      </c>
      <c r="DB1655">
        <f>$C1655*DB1654</f>
        <v/>
      </c>
      <c r="DC1655">
        <f>$C1655*DC1654</f>
        <v/>
      </c>
      <c r="DD1655">
        <f>$C1655*DD1654</f>
        <v/>
      </c>
    </row>
    <row r="1656">
      <c r="B1656" t="inlineStr">
        <is>
          <t>TSP-367</t>
        </is>
      </c>
      <c r="C1656" t="inlineStr">
        <is>
          <t>No. of batches</t>
        </is>
      </c>
      <c r="D1656">
        <f>IFERROR(INDEX(E1656:DD1656,$F$1),"")</f>
        <v/>
      </c>
      <c r="E1656">
        <f>IFERROR(INDEX(PP_Grid[#Data],$DE1656,2),0)</f>
        <v/>
      </c>
      <c r="F1656">
        <f>IFERROR(INDEX(PP_Grid[#Data],$DE1656,3),0)</f>
        <v/>
      </c>
      <c r="G1656">
        <f>IFERROR(INDEX(PP_Grid[#Data],$DE1656,4),0)</f>
        <v/>
      </c>
      <c r="H1656">
        <f>IFERROR(INDEX(PP_Grid[#Data],$DE1656,5),0)</f>
        <v/>
      </c>
      <c r="I1656">
        <f>IFERROR(INDEX(PP_Grid[#Data],$DE1656,6),0)</f>
        <v/>
      </c>
      <c r="J1656">
        <f>IFERROR(INDEX(PP_Grid[#Data],$DE1656,7),0)</f>
        <v/>
      </c>
      <c r="K1656">
        <f>IFERROR(INDEX(PP_Grid[#Data],$DE1656,8),0)</f>
        <v/>
      </c>
      <c r="L1656">
        <f>IFERROR(INDEX(PP_Grid[#Data],$DE1656,9),0)</f>
        <v/>
      </c>
      <c r="M1656">
        <f>IFERROR(INDEX(PP_Grid[#Data],$DE1656,10),0)</f>
        <v/>
      </c>
      <c r="N1656">
        <f>IFERROR(INDEX(PP_Grid[#Data],$DE1656,11),0)</f>
        <v/>
      </c>
      <c r="O1656">
        <f>IFERROR(INDEX(PP_Grid[#Data],$DE1656,12),0)</f>
        <v/>
      </c>
      <c r="P1656">
        <f>IFERROR(INDEX(PP_Grid[#Data],$DE1656,13),0)</f>
        <v/>
      </c>
      <c r="Q1656">
        <f>IFERROR(INDEX(PP_Grid[#Data],$DE1656,14),0)</f>
        <v/>
      </c>
      <c r="R1656">
        <f>IFERROR(INDEX(PP_Grid[#Data],$DE1656,15),0)</f>
        <v/>
      </c>
      <c r="S1656">
        <f>IFERROR(INDEX(PP_Grid[#Data],$DE1656,16),0)</f>
        <v/>
      </c>
      <c r="T1656">
        <f>IFERROR(INDEX(PP_Grid[#Data],$DE1656,17),0)</f>
        <v/>
      </c>
      <c r="U1656">
        <f>IFERROR(INDEX(PP_Grid[#Data],$DE1656,18),0)</f>
        <v/>
      </c>
      <c r="V1656">
        <f>IFERROR(INDEX(PP_Grid[#Data],$DE1656,19),0)</f>
        <v/>
      </c>
      <c r="W1656">
        <f>IFERROR(INDEX(PP_Grid[#Data],$DE1656,20),0)</f>
        <v/>
      </c>
      <c r="X1656">
        <f>IFERROR(INDEX(PP_Grid[#Data],$DE1656,21),0)</f>
        <v/>
      </c>
      <c r="Y1656">
        <f>IFERROR(INDEX(PP_Grid[#Data],$DE1656,22),0)</f>
        <v/>
      </c>
      <c r="Z1656">
        <f>IFERROR(INDEX(PP_Grid[#Data],$DE1656,23),0)</f>
        <v/>
      </c>
      <c r="AA1656">
        <f>IFERROR(INDEX(PP_Grid[#Data],$DE1656,24),0)</f>
        <v/>
      </c>
      <c r="AB1656">
        <f>IFERROR(INDEX(PP_Grid[#Data],$DE1656,25),0)</f>
        <v/>
      </c>
      <c r="AC1656">
        <f>IFERROR(INDEX(PP_Grid[#Data],$DE1656,26),0)</f>
        <v/>
      </c>
      <c r="AD1656">
        <f>IFERROR(INDEX(PP_Grid[#Data],$DE1656,27),0)</f>
        <v/>
      </c>
      <c r="AE1656">
        <f>IFERROR(INDEX(PP_Grid[#Data],$DE1656,28),0)</f>
        <v/>
      </c>
      <c r="AF1656">
        <f>IFERROR(INDEX(PP_Grid[#Data],$DE1656,29),0)</f>
        <v/>
      </c>
      <c r="AG1656">
        <f>IFERROR(INDEX(PP_Grid[#Data],$DE1656,30),0)</f>
        <v/>
      </c>
      <c r="AH1656">
        <f>IFERROR(INDEX(PP_Grid[#Data],$DE1656,31),0)</f>
        <v/>
      </c>
      <c r="AI1656">
        <f>IFERROR(INDEX(PP_Grid[#Data],$DE1656,32),0)</f>
        <v/>
      </c>
      <c r="AJ1656">
        <f>IFERROR(INDEX(PP_Grid[#Data],$DE1656,33),0)</f>
        <v/>
      </c>
      <c r="AK1656">
        <f>IFERROR(INDEX(PP_Grid[#Data],$DE1656,34),0)</f>
        <v/>
      </c>
      <c r="AL1656">
        <f>IFERROR(INDEX(PP_Grid[#Data],$DE1656,35),0)</f>
        <v/>
      </c>
      <c r="AM1656">
        <f>IFERROR(INDEX(PP_Grid[#Data],$DE1656,36),0)</f>
        <v/>
      </c>
      <c r="AN1656">
        <f>IFERROR(INDEX(PP_Grid[#Data],$DE1656,37),0)</f>
        <v/>
      </c>
      <c r="AO1656">
        <f>IFERROR(INDEX(PP_Grid[#Data],$DE1656,38),0)</f>
        <v/>
      </c>
      <c r="AP1656">
        <f>IFERROR(INDEX(PP_Grid[#Data],$DE1656,39),0)</f>
        <v/>
      </c>
      <c r="AQ1656">
        <f>IFERROR(INDEX(PP_Grid[#Data],$DE1656,40),0)</f>
        <v/>
      </c>
      <c r="AR1656">
        <f>IFERROR(INDEX(PP_Grid[#Data],$DE1656,41),0)</f>
        <v/>
      </c>
      <c r="AS1656">
        <f>IFERROR(INDEX(PP_Grid[#Data],$DE1656,42),0)</f>
        <v/>
      </c>
      <c r="AT1656">
        <f>IFERROR(INDEX(PP_Grid[#Data],$DE1656,43),0)</f>
        <v/>
      </c>
      <c r="AU1656">
        <f>IFERROR(INDEX(PP_Grid[#Data],$DE1656,44),0)</f>
        <v/>
      </c>
      <c r="AV1656">
        <f>IFERROR(INDEX(PP_Grid[#Data],$DE1656,45),0)</f>
        <v/>
      </c>
      <c r="AW1656">
        <f>IFERROR(INDEX(PP_Grid[#Data],$DE1656,46),0)</f>
        <v/>
      </c>
      <c r="AX1656">
        <f>IFERROR(INDEX(PP_Grid[#Data],$DE1656,47),0)</f>
        <v/>
      </c>
      <c r="AY1656">
        <f>IFERROR(INDEX(PP_Grid[#Data],$DE1656,48),0)</f>
        <v/>
      </c>
      <c r="AZ1656">
        <f>IFERROR(INDEX(PP_Grid[#Data],$DE1656,49),0)</f>
        <v/>
      </c>
      <c r="BA1656">
        <f>IFERROR(INDEX(PP_Grid[#Data],$DE1656,50),0)</f>
        <v/>
      </c>
      <c r="BB1656">
        <f>IFERROR(INDEX(PP_Grid[#Data],$DE1656,51),0)</f>
        <v/>
      </c>
      <c r="BC1656">
        <f>IFERROR(INDEX(PP_Grid[#Data],$DE1656,52),0)</f>
        <v/>
      </c>
      <c r="BD1656">
        <f>IFERROR(INDEX(PP_Grid[#Data],$DE1656,53),0)</f>
        <v/>
      </c>
      <c r="BE1656">
        <f>IFERROR(INDEX(PP_Grid[#Data],$DE1656,54),0)</f>
        <v/>
      </c>
      <c r="BF1656">
        <f>IFERROR(INDEX(PP_Grid[#Data],$DE1656,55),0)</f>
        <v/>
      </c>
      <c r="BG1656">
        <f>IFERROR(INDEX(PP_Grid[#Data],$DE1656,56),0)</f>
        <v/>
      </c>
      <c r="BH1656">
        <f>IFERROR(INDEX(PP_Grid[#Data],$DE1656,57),0)</f>
        <v/>
      </c>
      <c r="BI1656">
        <f>IFERROR(INDEX(PP_Grid[#Data],$DE1656,58),0)</f>
        <v/>
      </c>
      <c r="BJ1656">
        <f>IFERROR(INDEX(PP_Grid[#Data],$DE1656,59),0)</f>
        <v/>
      </c>
      <c r="BK1656">
        <f>IFERROR(INDEX(PP_Grid[#Data],$DE1656,60),0)</f>
        <v/>
      </c>
      <c r="BL1656">
        <f>IFERROR(INDEX(PP_Grid[#Data],$DE1656,61),0)</f>
        <v/>
      </c>
      <c r="BM1656">
        <f>IFERROR(INDEX(PP_Grid[#Data],$DE1656,62),0)</f>
        <v/>
      </c>
      <c r="BN1656">
        <f>IFERROR(INDEX(PP_Grid[#Data],$DE1656,63),0)</f>
        <v/>
      </c>
      <c r="BO1656">
        <f>IFERROR(INDEX(PP_Grid[#Data],$DE1656,64),0)</f>
        <v/>
      </c>
      <c r="BP1656">
        <f>IFERROR(INDEX(PP_Grid[#Data],$DE1656,65),0)</f>
        <v/>
      </c>
      <c r="BQ1656">
        <f>IFERROR(INDEX(PP_Grid[#Data],$DE1656,66),0)</f>
        <v/>
      </c>
      <c r="BR1656">
        <f>IFERROR(INDEX(PP_Grid[#Data],$DE1656,67),0)</f>
        <v/>
      </c>
      <c r="BS1656">
        <f>IFERROR(INDEX(PP_Grid[#Data],$DE1656,68),0)</f>
        <v/>
      </c>
      <c r="BT1656">
        <f>IFERROR(INDEX(PP_Grid[#Data],$DE1656,69),0)</f>
        <v/>
      </c>
      <c r="BU1656">
        <f>IFERROR(INDEX(PP_Grid[#Data],$DE1656,70),0)</f>
        <v/>
      </c>
      <c r="BV1656">
        <f>IFERROR(INDEX(PP_Grid[#Data],$DE1656,71),0)</f>
        <v/>
      </c>
      <c r="BW1656">
        <f>IFERROR(INDEX(PP_Grid[#Data],$DE1656,72),0)</f>
        <v/>
      </c>
      <c r="BX1656">
        <f>IFERROR(INDEX(PP_Grid[#Data],$DE1656,73),0)</f>
        <v/>
      </c>
      <c r="BY1656">
        <f>IFERROR(INDEX(PP_Grid[#Data],$DE1656,74),0)</f>
        <v/>
      </c>
      <c r="BZ1656">
        <f>IFERROR(INDEX(PP_Grid[#Data],$DE1656,75),0)</f>
        <v/>
      </c>
      <c r="CA1656">
        <f>IFERROR(INDEX(PP_Grid[#Data],$DE1656,76),0)</f>
        <v/>
      </c>
      <c r="CB1656">
        <f>IFERROR(INDEX(PP_Grid[#Data],$DE1656,77),0)</f>
        <v/>
      </c>
      <c r="CC1656">
        <f>IFERROR(INDEX(PP_Grid[#Data],$DE1656,78),0)</f>
        <v/>
      </c>
      <c r="CD1656">
        <f>IFERROR(INDEX(PP_Grid[#Data],$DE1656,79),0)</f>
        <v/>
      </c>
      <c r="CE1656">
        <f>IFERROR(INDEX(PP_Grid[#Data],$DE1656,80),0)</f>
        <v/>
      </c>
      <c r="CF1656">
        <f>IFERROR(INDEX(PP_Grid[#Data],$DE1656,81),0)</f>
        <v/>
      </c>
      <c r="CG1656">
        <f>IFERROR(INDEX(PP_Grid[#Data],$DE1656,82),0)</f>
        <v/>
      </c>
      <c r="CH1656">
        <f>IFERROR(INDEX(PP_Grid[#Data],$DE1656,83),0)</f>
        <v/>
      </c>
      <c r="CI1656">
        <f>IFERROR(INDEX(PP_Grid[#Data],$DE1656,84),0)</f>
        <v/>
      </c>
      <c r="CJ1656">
        <f>IFERROR(INDEX(PP_Grid[#Data],$DE1656,85),0)</f>
        <v/>
      </c>
      <c r="CK1656">
        <f>IFERROR(INDEX(PP_Grid[#Data],$DE1656,86),0)</f>
        <v/>
      </c>
      <c r="CL1656">
        <f>IFERROR(INDEX(PP_Grid[#Data],$DE1656,87),0)</f>
        <v/>
      </c>
      <c r="CM1656">
        <f>IFERROR(INDEX(PP_Grid[#Data],$DE1656,88),0)</f>
        <v/>
      </c>
      <c r="CN1656">
        <f>IFERROR(INDEX(PP_Grid[#Data],$DE1656,89),0)</f>
        <v/>
      </c>
      <c r="CO1656">
        <f>IFERROR(INDEX(PP_Grid[#Data],$DE1656,90),0)</f>
        <v/>
      </c>
      <c r="CP1656">
        <f>IFERROR(INDEX(PP_Grid[#Data],$DE1656,91),0)</f>
        <v/>
      </c>
      <c r="CQ1656">
        <f>IFERROR(INDEX(PP_Grid[#Data],$DE1656,92),0)</f>
        <v/>
      </c>
      <c r="CR1656">
        <f>IFERROR(INDEX(PP_Grid[#Data],$DE1656,93),0)</f>
        <v/>
      </c>
      <c r="CS1656">
        <f>IFERROR(INDEX(PP_Grid[#Data],$DE1656,94),0)</f>
        <v/>
      </c>
      <c r="CT1656">
        <f>IFERROR(INDEX(PP_Grid[#Data],$DE1656,95),0)</f>
        <v/>
      </c>
      <c r="CU1656">
        <f>IFERROR(INDEX(PP_Grid[#Data],$DE1656,96),0)</f>
        <v/>
      </c>
      <c r="CV1656">
        <f>IFERROR(INDEX(PP_Grid[#Data],$DE1656,97),0)</f>
        <v/>
      </c>
      <c r="CW1656">
        <f>IFERROR(INDEX(PP_Grid[#Data],$DE1656,98),0)</f>
        <v/>
      </c>
      <c r="CX1656">
        <f>IFERROR(INDEX(PP_Grid[#Data],$DE1656,99),0)</f>
        <v/>
      </c>
      <c r="CY1656">
        <f>IFERROR(INDEX(PP_Grid[#Data],$DE1656,100),0)</f>
        <v/>
      </c>
      <c r="CZ1656">
        <f>IFERROR(INDEX(PP_Grid[#Data],$DE1656,101),0)</f>
        <v/>
      </c>
      <c r="DA1656">
        <f>IFERROR(INDEX(PP_Grid[#Data],$DE1656,102),0)</f>
        <v/>
      </c>
      <c r="DB1656">
        <f>IFERROR(INDEX(PP_Grid[#Data],$DE1656,103),0)</f>
        <v/>
      </c>
      <c r="DC1656">
        <f>IFERROR(INDEX(PP_Grid[#Data],$DE1656,104),0)</f>
        <v/>
      </c>
      <c r="DD1656">
        <f>IFERROR(INDEX(PP_Grid[#Data],$DE1656,105),0)</f>
        <v/>
      </c>
      <c r="DE1656" s="7">
        <f>IFERROR(MATCH($B1656,PP_Grid[Intermediate],0),99999)</f>
        <v/>
      </c>
    </row>
    <row r="1657">
      <c r="B1657" t="inlineStr">
        <is>
          <t>使用量(kg)</t>
        </is>
      </c>
      <c r="C1657">
        <f>SUMIFS(M_BOM[RM_Qty_Per_Batch],M_BOM[Intermediate],$B1656,M_BOM[RM_Code],$A1651)</f>
        <v/>
      </c>
      <c r="D1657">
        <f>IFERROR(INDEX(E1657:DD1657,$F$1),"")</f>
        <v/>
      </c>
      <c r="E1657">
        <f>$C1657*E1656</f>
        <v/>
      </c>
      <c r="F1657">
        <f>$C1657*F1656</f>
        <v/>
      </c>
      <c r="G1657">
        <f>$C1657*G1656</f>
        <v/>
      </c>
      <c r="H1657">
        <f>$C1657*H1656</f>
        <v/>
      </c>
      <c r="I1657">
        <f>$C1657*I1656</f>
        <v/>
      </c>
      <c r="J1657">
        <f>$C1657*J1656</f>
        <v/>
      </c>
      <c r="K1657">
        <f>$C1657*K1656</f>
        <v/>
      </c>
      <c r="L1657">
        <f>$C1657*L1656</f>
        <v/>
      </c>
      <c r="M1657">
        <f>$C1657*M1656</f>
        <v/>
      </c>
      <c r="N1657">
        <f>$C1657*N1656</f>
        <v/>
      </c>
      <c r="O1657">
        <f>$C1657*O1656</f>
        <v/>
      </c>
      <c r="P1657">
        <f>$C1657*P1656</f>
        <v/>
      </c>
      <c r="Q1657">
        <f>$C1657*Q1656</f>
        <v/>
      </c>
      <c r="R1657">
        <f>$C1657*R1656</f>
        <v/>
      </c>
      <c r="S1657">
        <f>$C1657*S1656</f>
        <v/>
      </c>
      <c r="T1657">
        <f>$C1657*T1656</f>
        <v/>
      </c>
      <c r="U1657">
        <f>$C1657*U1656</f>
        <v/>
      </c>
      <c r="V1657">
        <f>$C1657*V1656</f>
        <v/>
      </c>
      <c r="W1657">
        <f>$C1657*W1656</f>
        <v/>
      </c>
      <c r="X1657">
        <f>$C1657*X1656</f>
        <v/>
      </c>
      <c r="Y1657">
        <f>$C1657*Y1656</f>
        <v/>
      </c>
      <c r="Z1657">
        <f>$C1657*Z1656</f>
        <v/>
      </c>
      <c r="AA1657">
        <f>$C1657*AA1656</f>
        <v/>
      </c>
      <c r="AB1657">
        <f>$C1657*AB1656</f>
        <v/>
      </c>
      <c r="AC1657">
        <f>$C1657*AC1656</f>
        <v/>
      </c>
      <c r="AD1657">
        <f>$C1657*AD1656</f>
        <v/>
      </c>
      <c r="AE1657">
        <f>$C1657*AE1656</f>
        <v/>
      </c>
      <c r="AF1657">
        <f>$C1657*AF1656</f>
        <v/>
      </c>
      <c r="AG1657">
        <f>$C1657*AG1656</f>
        <v/>
      </c>
      <c r="AH1657">
        <f>$C1657*AH1656</f>
        <v/>
      </c>
      <c r="AI1657">
        <f>$C1657*AI1656</f>
        <v/>
      </c>
      <c r="AJ1657">
        <f>$C1657*AJ1656</f>
        <v/>
      </c>
      <c r="AK1657">
        <f>$C1657*AK1656</f>
        <v/>
      </c>
      <c r="AL1657">
        <f>$C1657*AL1656</f>
        <v/>
      </c>
      <c r="AM1657">
        <f>$C1657*AM1656</f>
        <v/>
      </c>
      <c r="AN1657">
        <f>$C1657*AN1656</f>
        <v/>
      </c>
      <c r="AO1657">
        <f>$C1657*AO1656</f>
        <v/>
      </c>
      <c r="AP1657">
        <f>$C1657*AP1656</f>
        <v/>
      </c>
      <c r="AQ1657">
        <f>$C1657*AQ1656</f>
        <v/>
      </c>
      <c r="AR1657">
        <f>$C1657*AR1656</f>
        <v/>
      </c>
      <c r="AS1657">
        <f>$C1657*AS1656</f>
        <v/>
      </c>
      <c r="AT1657">
        <f>$C1657*AT1656</f>
        <v/>
      </c>
      <c r="AU1657">
        <f>$C1657*AU1656</f>
        <v/>
      </c>
      <c r="AV1657">
        <f>$C1657*AV1656</f>
        <v/>
      </c>
      <c r="AW1657">
        <f>$C1657*AW1656</f>
        <v/>
      </c>
      <c r="AX1657">
        <f>$C1657*AX1656</f>
        <v/>
      </c>
      <c r="AY1657">
        <f>$C1657*AY1656</f>
        <v/>
      </c>
      <c r="AZ1657">
        <f>$C1657*AZ1656</f>
        <v/>
      </c>
      <c r="BA1657">
        <f>$C1657*BA1656</f>
        <v/>
      </c>
      <c r="BB1657">
        <f>$C1657*BB1656</f>
        <v/>
      </c>
      <c r="BC1657">
        <f>$C1657*BC1656</f>
        <v/>
      </c>
      <c r="BD1657">
        <f>$C1657*BD1656</f>
        <v/>
      </c>
      <c r="BE1657">
        <f>$C1657*BE1656</f>
        <v/>
      </c>
      <c r="BF1657">
        <f>$C1657*BF1656</f>
        <v/>
      </c>
      <c r="BG1657">
        <f>$C1657*BG1656</f>
        <v/>
      </c>
      <c r="BH1657">
        <f>$C1657*BH1656</f>
        <v/>
      </c>
      <c r="BI1657">
        <f>$C1657*BI1656</f>
        <v/>
      </c>
      <c r="BJ1657">
        <f>$C1657*BJ1656</f>
        <v/>
      </c>
      <c r="BK1657">
        <f>$C1657*BK1656</f>
        <v/>
      </c>
      <c r="BL1657">
        <f>$C1657*BL1656</f>
        <v/>
      </c>
      <c r="BM1657">
        <f>$C1657*BM1656</f>
        <v/>
      </c>
      <c r="BN1657">
        <f>$C1657*BN1656</f>
        <v/>
      </c>
      <c r="BO1657">
        <f>$C1657*BO1656</f>
        <v/>
      </c>
      <c r="BP1657">
        <f>$C1657*BP1656</f>
        <v/>
      </c>
      <c r="BQ1657">
        <f>$C1657*BQ1656</f>
        <v/>
      </c>
      <c r="BR1657">
        <f>$C1657*BR1656</f>
        <v/>
      </c>
      <c r="BS1657">
        <f>$C1657*BS1656</f>
        <v/>
      </c>
      <c r="BT1657">
        <f>$C1657*BT1656</f>
        <v/>
      </c>
      <c r="BU1657">
        <f>$C1657*BU1656</f>
        <v/>
      </c>
      <c r="BV1657">
        <f>$C1657*BV1656</f>
        <v/>
      </c>
      <c r="BW1657">
        <f>$C1657*BW1656</f>
        <v/>
      </c>
      <c r="BX1657">
        <f>$C1657*BX1656</f>
        <v/>
      </c>
      <c r="BY1657">
        <f>$C1657*BY1656</f>
        <v/>
      </c>
      <c r="BZ1657">
        <f>$C1657*BZ1656</f>
        <v/>
      </c>
      <c r="CA1657">
        <f>$C1657*CA1656</f>
        <v/>
      </c>
      <c r="CB1657">
        <f>$C1657*CB1656</f>
        <v/>
      </c>
      <c r="CC1657">
        <f>$C1657*CC1656</f>
        <v/>
      </c>
      <c r="CD1657">
        <f>$C1657*CD1656</f>
        <v/>
      </c>
      <c r="CE1657">
        <f>$C1657*CE1656</f>
        <v/>
      </c>
      <c r="CF1657">
        <f>$C1657*CF1656</f>
        <v/>
      </c>
      <c r="CG1657">
        <f>$C1657*CG1656</f>
        <v/>
      </c>
      <c r="CH1657">
        <f>$C1657*CH1656</f>
        <v/>
      </c>
      <c r="CI1657">
        <f>$C1657*CI1656</f>
        <v/>
      </c>
      <c r="CJ1657">
        <f>$C1657*CJ1656</f>
        <v/>
      </c>
      <c r="CK1657">
        <f>$C1657*CK1656</f>
        <v/>
      </c>
      <c r="CL1657">
        <f>$C1657*CL1656</f>
        <v/>
      </c>
      <c r="CM1657">
        <f>$C1657*CM1656</f>
        <v/>
      </c>
      <c r="CN1657">
        <f>$C1657*CN1656</f>
        <v/>
      </c>
      <c r="CO1657">
        <f>$C1657*CO1656</f>
        <v/>
      </c>
      <c r="CP1657">
        <f>$C1657*CP1656</f>
        <v/>
      </c>
      <c r="CQ1657">
        <f>$C1657*CQ1656</f>
        <v/>
      </c>
      <c r="CR1657">
        <f>$C1657*CR1656</f>
        <v/>
      </c>
      <c r="CS1657">
        <f>$C1657*CS1656</f>
        <v/>
      </c>
      <c r="CT1657">
        <f>$C1657*CT1656</f>
        <v/>
      </c>
      <c r="CU1657">
        <f>$C1657*CU1656</f>
        <v/>
      </c>
      <c r="CV1657">
        <f>$C1657*CV1656</f>
        <v/>
      </c>
      <c r="CW1657">
        <f>$C1657*CW1656</f>
        <v/>
      </c>
      <c r="CX1657">
        <f>$C1657*CX1656</f>
        <v/>
      </c>
      <c r="CY1657">
        <f>$C1657*CY1656</f>
        <v/>
      </c>
      <c r="CZ1657">
        <f>$C1657*CZ1656</f>
        <v/>
      </c>
      <c r="DA1657">
        <f>$C1657*DA1656</f>
        <v/>
      </c>
      <c r="DB1657">
        <f>$C1657*DB1656</f>
        <v/>
      </c>
      <c r="DC1657">
        <f>$C1657*DC1656</f>
        <v/>
      </c>
      <c r="DD1657">
        <f>$C1657*DD1656</f>
        <v/>
      </c>
    </row>
    <row r="1658">
      <c r="B1658" t="inlineStr">
        <is>
          <t>TSP-544</t>
        </is>
      </c>
      <c r="C1658" t="inlineStr">
        <is>
          <t>No. of batches</t>
        </is>
      </c>
      <c r="D1658">
        <f>IFERROR(INDEX(E1658:DD1658,$F$1),"")</f>
        <v/>
      </c>
      <c r="E1658">
        <f>IFERROR(INDEX(PP_Grid[#Data],$DE1658,2),0)</f>
        <v/>
      </c>
      <c r="F1658">
        <f>IFERROR(INDEX(PP_Grid[#Data],$DE1658,3),0)</f>
        <v/>
      </c>
      <c r="G1658">
        <f>IFERROR(INDEX(PP_Grid[#Data],$DE1658,4),0)</f>
        <v/>
      </c>
      <c r="H1658">
        <f>IFERROR(INDEX(PP_Grid[#Data],$DE1658,5),0)</f>
        <v/>
      </c>
      <c r="I1658">
        <f>IFERROR(INDEX(PP_Grid[#Data],$DE1658,6),0)</f>
        <v/>
      </c>
      <c r="J1658">
        <f>IFERROR(INDEX(PP_Grid[#Data],$DE1658,7),0)</f>
        <v/>
      </c>
      <c r="K1658">
        <f>IFERROR(INDEX(PP_Grid[#Data],$DE1658,8),0)</f>
        <v/>
      </c>
      <c r="L1658">
        <f>IFERROR(INDEX(PP_Grid[#Data],$DE1658,9),0)</f>
        <v/>
      </c>
      <c r="M1658">
        <f>IFERROR(INDEX(PP_Grid[#Data],$DE1658,10),0)</f>
        <v/>
      </c>
      <c r="N1658">
        <f>IFERROR(INDEX(PP_Grid[#Data],$DE1658,11),0)</f>
        <v/>
      </c>
      <c r="O1658">
        <f>IFERROR(INDEX(PP_Grid[#Data],$DE1658,12),0)</f>
        <v/>
      </c>
      <c r="P1658">
        <f>IFERROR(INDEX(PP_Grid[#Data],$DE1658,13),0)</f>
        <v/>
      </c>
      <c r="Q1658">
        <f>IFERROR(INDEX(PP_Grid[#Data],$DE1658,14),0)</f>
        <v/>
      </c>
      <c r="R1658">
        <f>IFERROR(INDEX(PP_Grid[#Data],$DE1658,15),0)</f>
        <v/>
      </c>
      <c r="S1658">
        <f>IFERROR(INDEX(PP_Grid[#Data],$DE1658,16),0)</f>
        <v/>
      </c>
      <c r="T1658">
        <f>IFERROR(INDEX(PP_Grid[#Data],$DE1658,17),0)</f>
        <v/>
      </c>
      <c r="U1658">
        <f>IFERROR(INDEX(PP_Grid[#Data],$DE1658,18),0)</f>
        <v/>
      </c>
      <c r="V1658">
        <f>IFERROR(INDEX(PP_Grid[#Data],$DE1658,19),0)</f>
        <v/>
      </c>
      <c r="W1658">
        <f>IFERROR(INDEX(PP_Grid[#Data],$DE1658,20),0)</f>
        <v/>
      </c>
      <c r="X1658">
        <f>IFERROR(INDEX(PP_Grid[#Data],$DE1658,21),0)</f>
        <v/>
      </c>
      <c r="Y1658">
        <f>IFERROR(INDEX(PP_Grid[#Data],$DE1658,22),0)</f>
        <v/>
      </c>
      <c r="Z1658">
        <f>IFERROR(INDEX(PP_Grid[#Data],$DE1658,23),0)</f>
        <v/>
      </c>
      <c r="AA1658">
        <f>IFERROR(INDEX(PP_Grid[#Data],$DE1658,24),0)</f>
        <v/>
      </c>
      <c r="AB1658">
        <f>IFERROR(INDEX(PP_Grid[#Data],$DE1658,25),0)</f>
        <v/>
      </c>
      <c r="AC1658">
        <f>IFERROR(INDEX(PP_Grid[#Data],$DE1658,26),0)</f>
        <v/>
      </c>
      <c r="AD1658">
        <f>IFERROR(INDEX(PP_Grid[#Data],$DE1658,27),0)</f>
        <v/>
      </c>
      <c r="AE1658">
        <f>IFERROR(INDEX(PP_Grid[#Data],$DE1658,28),0)</f>
        <v/>
      </c>
      <c r="AF1658">
        <f>IFERROR(INDEX(PP_Grid[#Data],$DE1658,29),0)</f>
        <v/>
      </c>
      <c r="AG1658">
        <f>IFERROR(INDEX(PP_Grid[#Data],$DE1658,30),0)</f>
        <v/>
      </c>
      <c r="AH1658">
        <f>IFERROR(INDEX(PP_Grid[#Data],$DE1658,31),0)</f>
        <v/>
      </c>
      <c r="AI1658">
        <f>IFERROR(INDEX(PP_Grid[#Data],$DE1658,32),0)</f>
        <v/>
      </c>
      <c r="AJ1658">
        <f>IFERROR(INDEX(PP_Grid[#Data],$DE1658,33),0)</f>
        <v/>
      </c>
      <c r="AK1658">
        <f>IFERROR(INDEX(PP_Grid[#Data],$DE1658,34),0)</f>
        <v/>
      </c>
      <c r="AL1658">
        <f>IFERROR(INDEX(PP_Grid[#Data],$DE1658,35),0)</f>
        <v/>
      </c>
      <c r="AM1658">
        <f>IFERROR(INDEX(PP_Grid[#Data],$DE1658,36),0)</f>
        <v/>
      </c>
      <c r="AN1658">
        <f>IFERROR(INDEX(PP_Grid[#Data],$DE1658,37),0)</f>
        <v/>
      </c>
      <c r="AO1658">
        <f>IFERROR(INDEX(PP_Grid[#Data],$DE1658,38),0)</f>
        <v/>
      </c>
      <c r="AP1658">
        <f>IFERROR(INDEX(PP_Grid[#Data],$DE1658,39),0)</f>
        <v/>
      </c>
      <c r="AQ1658">
        <f>IFERROR(INDEX(PP_Grid[#Data],$DE1658,40),0)</f>
        <v/>
      </c>
      <c r="AR1658">
        <f>IFERROR(INDEX(PP_Grid[#Data],$DE1658,41),0)</f>
        <v/>
      </c>
      <c r="AS1658">
        <f>IFERROR(INDEX(PP_Grid[#Data],$DE1658,42),0)</f>
        <v/>
      </c>
      <c r="AT1658">
        <f>IFERROR(INDEX(PP_Grid[#Data],$DE1658,43),0)</f>
        <v/>
      </c>
      <c r="AU1658">
        <f>IFERROR(INDEX(PP_Grid[#Data],$DE1658,44),0)</f>
        <v/>
      </c>
      <c r="AV1658">
        <f>IFERROR(INDEX(PP_Grid[#Data],$DE1658,45),0)</f>
        <v/>
      </c>
      <c r="AW1658">
        <f>IFERROR(INDEX(PP_Grid[#Data],$DE1658,46),0)</f>
        <v/>
      </c>
      <c r="AX1658">
        <f>IFERROR(INDEX(PP_Grid[#Data],$DE1658,47),0)</f>
        <v/>
      </c>
      <c r="AY1658">
        <f>IFERROR(INDEX(PP_Grid[#Data],$DE1658,48),0)</f>
        <v/>
      </c>
      <c r="AZ1658">
        <f>IFERROR(INDEX(PP_Grid[#Data],$DE1658,49),0)</f>
        <v/>
      </c>
      <c r="BA1658">
        <f>IFERROR(INDEX(PP_Grid[#Data],$DE1658,50),0)</f>
        <v/>
      </c>
      <c r="BB1658">
        <f>IFERROR(INDEX(PP_Grid[#Data],$DE1658,51),0)</f>
        <v/>
      </c>
      <c r="BC1658">
        <f>IFERROR(INDEX(PP_Grid[#Data],$DE1658,52),0)</f>
        <v/>
      </c>
      <c r="BD1658">
        <f>IFERROR(INDEX(PP_Grid[#Data],$DE1658,53),0)</f>
        <v/>
      </c>
      <c r="BE1658">
        <f>IFERROR(INDEX(PP_Grid[#Data],$DE1658,54),0)</f>
        <v/>
      </c>
      <c r="BF1658">
        <f>IFERROR(INDEX(PP_Grid[#Data],$DE1658,55),0)</f>
        <v/>
      </c>
      <c r="BG1658">
        <f>IFERROR(INDEX(PP_Grid[#Data],$DE1658,56),0)</f>
        <v/>
      </c>
      <c r="BH1658">
        <f>IFERROR(INDEX(PP_Grid[#Data],$DE1658,57),0)</f>
        <v/>
      </c>
      <c r="BI1658">
        <f>IFERROR(INDEX(PP_Grid[#Data],$DE1658,58),0)</f>
        <v/>
      </c>
      <c r="BJ1658">
        <f>IFERROR(INDEX(PP_Grid[#Data],$DE1658,59),0)</f>
        <v/>
      </c>
      <c r="BK1658">
        <f>IFERROR(INDEX(PP_Grid[#Data],$DE1658,60),0)</f>
        <v/>
      </c>
      <c r="BL1658">
        <f>IFERROR(INDEX(PP_Grid[#Data],$DE1658,61),0)</f>
        <v/>
      </c>
      <c r="BM1658">
        <f>IFERROR(INDEX(PP_Grid[#Data],$DE1658,62),0)</f>
        <v/>
      </c>
      <c r="BN1658">
        <f>IFERROR(INDEX(PP_Grid[#Data],$DE1658,63),0)</f>
        <v/>
      </c>
      <c r="BO1658">
        <f>IFERROR(INDEX(PP_Grid[#Data],$DE1658,64),0)</f>
        <v/>
      </c>
      <c r="BP1658">
        <f>IFERROR(INDEX(PP_Grid[#Data],$DE1658,65),0)</f>
        <v/>
      </c>
      <c r="BQ1658">
        <f>IFERROR(INDEX(PP_Grid[#Data],$DE1658,66),0)</f>
        <v/>
      </c>
      <c r="BR1658">
        <f>IFERROR(INDEX(PP_Grid[#Data],$DE1658,67),0)</f>
        <v/>
      </c>
      <c r="BS1658">
        <f>IFERROR(INDEX(PP_Grid[#Data],$DE1658,68),0)</f>
        <v/>
      </c>
      <c r="BT1658">
        <f>IFERROR(INDEX(PP_Grid[#Data],$DE1658,69),0)</f>
        <v/>
      </c>
      <c r="BU1658">
        <f>IFERROR(INDEX(PP_Grid[#Data],$DE1658,70),0)</f>
        <v/>
      </c>
      <c r="BV1658">
        <f>IFERROR(INDEX(PP_Grid[#Data],$DE1658,71),0)</f>
        <v/>
      </c>
      <c r="BW1658">
        <f>IFERROR(INDEX(PP_Grid[#Data],$DE1658,72),0)</f>
        <v/>
      </c>
      <c r="BX1658">
        <f>IFERROR(INDEX(PP_Grid[#Data],$DE1658,73),0)</f>
        <v/>
      </c>
      <c r="BY1658">
        <f>IFERROR(INDEX(PP_Grid[#Data],$DE1658,74),0)</f>
        <v/>
      </c>
      <c r="BZ1658">
        <f>IFERROR(INDEX(PP_Grid[#Data],$DE1658,75),0)</f>
        <v/>
      </c>
      <c r="CA1658">
        <f>IFERROR(INDEX(PP_Grid[#Data],$DE1658,76),0)</f>
        <v/>
      </c>
      <c r="CB1658">
        <f>IFERROR(INDEX(PP_Grid[#Data],$DE1658,77),0)</f>
        <v/>
      </c>
      <c r="CC1658">
        <f>IFERROR(INDEX(PP_Grid[#Data],$DE1658,78),0)</f>
        <v/>
      </c>
      <c r="CD1658">
        <f>IFERROR(INDEX(PP_Grid[#Data],$DE1658,79),0)</f>
        <v/>
      </c>
      <c r="CE1658">
        <f>IFERROR(INDEX(PP_Grid[#Data],$DE1658,80),0)</f>
        <v/>
      </c>
      <c r="CF1658">
        <f>IFERROR(INDEX(PP_Grid[#Data],$DE1658,81),0)</f>
        <v/>
      </c>
      <c r="CG1658">
        <f>IFERROR(INDEX(PP_Grid[#Data],$DE1658,82),0)</f>
        <v/>
      </c>
      <c r="CH1658">
        <f>IFERROR(INDEX(PP_Grid[#Data],$DE1658,83),0)</f>
        <v/>
      </c>
      <c r="CI1658">
        <f>IFERROR(INDEX(PP_Grid[#Data],$DE1658,84),0)</f>
        <v/>
      </c>
      <c r="CJ1658">
        <f>IFERROR(INDEX(PP_Grid[#Data],$DE1658,85),0)</f>
        <v/>
      </c>
      <c r="CK1658">
        <f>IFERROR(INDEX(PP_Grid[#Data],$DE1658,86),0)</f>
        <v/>
      </c>
      <c r="CL1658">
        <f>IFERROR(INDEX(PP_Grid[#Data],$DE1658,87),0)</f>
        <v/>
      </c>
      <c r="CM1658">
        <f>IFERROR(INDEX(PP_Grid[#Data],$DE1658,88),0)</f>
        <v/>
      </c>
      <c r="CN1658">
        <f>IFERROR(INDEX(PP_Grid[#Data],$DE1658,89),0)</f>
        <v/>
      </c>
      <c r="CO1658">
        <f>IFERROR(INDEX(PP_Grid[#Data],$DE1658,90),0)</f>
        <v/>
      </c>
      <c r="CP1658">
        <f>IFERROR(INDEX(PP_Grid[#Data],$DE1658,91),0)</f>
        <v/>
      </c>
      <c r="CQ1658">
        <f>IFERROR(INDEX(PP_Grid[#Data],$DE1658,92),0)</f>
        <v/>
      </c>
      <c r="CR1658">
        <f>IFERROR(INDEX(PP_Grid[#Data],$DE1658,93),0)</f>
        <v/>
      </c>
      <c r="CS1658">
        <f>IFERROR(INDEX(PP_Grid[#Data],$DE1658,94),0)</f>
        <v/>
      </c>
      <c r="CT1658">
        <f>IFERROR(INDEX(PP_Grid[#Data],$DE1658,95),0)</f>
        <v/>
      </c>
      <c r="CU1658">
        <f>IFERROR(INDEX(PP_Grid[#Data],$DE1658,96),0)</f>
        <v/>
      </c>
      <c r="CV1658">
        <f>IFERROR(INDEX(PP_Grid[#Data],$DE1658,97),0)</f>
        <v/>
      </c>
      <c r="CW1658">
        <f>IFERROR(INDEX(PP_Grid[#Data],$DE1658,98),0)</f>
        <v/>
      </c>
      <c r="CX1658">
        <f>IFERROR(INDEX(PP_Grid[#Data],$DE1658,99),0)</f>
        <v/>
      </c>
      <c r="CY1658">
        <f>IFERROR(INDEX(PP_Grid[#Data],$DE1658,100),0)</f>
        <v/>
      </c>
      <c r="CZ1658">
        <f>IFERROR(INDEX(PP_Grid[#Data],$DE1658,101),0)</f>
        <v/>
      </c>
      <c r="DA1658">
        <f>IFERROR(INDEX(PP_Grid[#Data],$DE1658,102),0)</f>
        <v/>
      </c>
      <c r="DB1658">
        <f>IFERROR(INDEX(PP_Grid[#Data],$DE1658,103),0)</f>
        <v/>
      </c>
      <c r="DC1658">
        <f>IFERROR(INDEX(PP_Grid[#Data],$DE1658,104),0)</f>
        <v/>
      </c>
      <c r="DD1658">
        <f>IFERROR(INDEX(PP_Grid[#Data],$DE1658,105),0)</f>
        <v/>
      </c>
      <c r="DE1658" s="7">
        <f>IFERROR(MATCH($B1658,PP_Grid[Intermediate],0),99999)</f>
        <v/>
      </c>
    </row>
    <row r="1659">
      <c r="B1659" t="inlineStr">
        <is>
          <t>使用量(kg)</t>
        </is>
      </c>
      <c r="C1659">
        <f>SUMIFS(M_BOM[RM_Qty_Per_Batch],M_BOM[Intermediate],$B1658,M_BOM[RM_Code],$A1651)</f>
        <v/>
      </c>
      <c r="D1659">
        <f>IFERROR(INDEX(E1659:DD1659,$F$1),"")</f>
        <v/>
      </c>
      <c r="E1659">
        <f>$C1659*E1658</f>
        <v/>
      </c>
      <c r="F1659">
        <f>$C1659*F1658</f>
        <v/>
      </c>
      <c r="G1659">
        <f>$C1659*G1658</f>
        <v/>
      </c>
      <c r="H1659">
        <f>$C1659*H1658</f>
        <v/>
      </c>
      <c r="I1659">
        <f>$C1659*I1658</f>
        <v/>
      </c>
      <c r="J1659">
        <f>$C1659*J1658</f>
        <v/>
      </c>
      <c r="K1659">
        <f>$C1659*K1658</f>
        <v/>
      </c>
      <c r="L1659">
        <f>$C1659*L1658</f>
        <v/>
      </c>
      <c r="M1659">
        <f>$C1659*M1658</f>
        <v/>
      </c>
      <c r="N1659">
        <f>$C1659*N1658</f>
        <v/>
      </c>
      <c r="O1659">
        <f>$C1659*O1658</f>
        <v/>
      </c>
      <c r="P1659">
        <f>$C1659*P1658</f>
        <v/>
      </c>
      <c r="Q1659">
        <f>$C1659*Q1658</f>
        <v/>
      </c>
      <c r="R1659">
        <f>$C1659*R1658</f>
        <v/>
      </c>
      <c r="S1659">
        <f>$C1659*S1658</f>
        <v/>
      </c>
      <c r="T1659">
        <f>$C1659*T1658</f>
        <v/>
      </c>
      <c r="U1659">
        <f>$C1659*U1658</f>
        <v/>
      </c>
      <c r="V1659">
        <f>$C1659*V1658</f>
        <v/>
      </c>
      <c r="W1659">
        <f>$C1659*W1658</f>
        <v/>
      </c>
      <c r="X1659">
        <f>$C1659*X1658</f>
        <v/>
      </c>
      <c r="Y1659">
        <f>$C1659*Y1658</f>
        <v/>
      </c>
      <c r="Z1659">
        <f>$C1659*Z1658</f>
        <v/>
      </c>
      <c r="AA1659">
        <f>$C1659*AA1658</f>
        <v/>
      </c>
      <c r="AB1659">
        <f>$C1659*AB1658</f>
        <v/>
      </c>
      <c r="AC1659">
        <f>$C1659*AC1658</f>
        <v/>
      </c>
      <c r="AD1659">
        <f>$C1659*AD1658</f>
        <v/>
      </c>
      <c r="AE1659">
        <f>$C1659*AE1658</f>
        <v/>
      </c>
      <c r="AF1659">
        <f>$C1659*AF1658</f>
        <v/>
      </c>
      <c r="AG1659">
        <f>$C1659*AG1658</f>
        <v/>
      </c>
      <c r="AH1659">
        <f>$C1659*AH1658</f>
        <v/>
      </c>
      <c r="AI1659">
        <f>$C1659*AI1658</f>
        <v/>
      </c>
      <c r="AJ1659">
        <f>$C1659*AJ1658</f>
        <v/>
      </c>
      <c r="AK1659">
        <f>$C1659*AK1658</f>
        <v/>
      </c>
      <c r="AL1659">
        <f>$C1659*AL1658</f>
        <v/>
      </c>
      <c r="AM1659">
        <f>$C1659*AM1658</f>
        <v/>
      </c>
      <c r="AN1659">
        <f>$C1659*AN1658</f>
        <v/>
      </c>
      <c r="AO1659">
        <f>$C1659*AO1658</f>
        <v/>
      </c>
      <c r="AP1659">
        <f>$C1659*AP1658</f>
        <v/>
      </c>
      <c r="AQ1659">
        <f>$C1659*AQ1658</f>
        <v/>
      </c>
      <c r="AR1659">
        <f>$C1659*AR1658</f>
        <v/>
      </c>
      <c r="AS1659">
        <f>$C1659*AS1658</f>
        <v/>
      </c>
      <c r="AT1659">
        <f>$C1659*AT1658</f>
        <v/>
      </c>
      <c r="AU1659">
        <f>$C1659*AU1658</f>
        <v/>
      </c>
      <c r="AV1659">
        <f>$C1659*AV1658</f>
        <v/>
      </c>
      <c r="AW1659">
        <f>$C1659*AW1658</f>
        <v/>
      </c>
      <c r="AX1659">
        <f>$C1659*AX1658</f>
        <v/>
      </c>
      <c r="AY1659">
        <f>$C1659*AY1658</f>
        <v/>
      </c>
      <c r="AZ1659">
        <f>$C1659*AZ1658</f>
        <v/>
      </c>
      <c r="BA1659">
        <f>$C1659*BA1658</f>
        <v/>
      </c>
      <c r="BB1659">
        <f>$C1659*BB1658</f>
        <v/>
      </c>
      <c r="BC1659">
        <f>$C1659*BC1658</f>
        <v/>
      </c>
      <c r="BD1659">
        <f>$C1659*BD1658</f>
        <v/>
      </c>
      <c r="BE1659">
        <f>$C1659*BE1658</f>
        <v/>
      </c>
      <c r="BF1659">
        <f>$C1659*BF1658</f>
        <v/>
      </c>
      <c r="BG1659">
        <f>$C1659*BG1658</f>
        <v/>
      </c>
      <c r="BH1659">
        <f>$C1659*BH1658</f>
        <v/>
      </c>
      <c r="BI1659">
        <f>$C1659*BI1658</f>
        <v/>
      </c>
      <c r="BJ1659">
        <f>$C1659*BJ1658</f>
        <v/>
      </c>
      <c r="BK1659">
        <f>$C1659*BK1658</f>
        <v/>
      </c>
      <c r="BL1659">
        <f>$C1659*BL1658</f>
        <v/>
      </c>
      <c r="BM1659">
        <f>$C1659*BM1658</f>
        <v/>
      </c>
      <c r="BN1659">
        <f>$C1659*BN1658</f>
        <v/>
      </c>
      <c r="BO1659">
        <f>$C1659*BO1658</f>
        <v/>
      </c>
      <c r="BP1659">
        <f>$C1659*BP1658</f>
        <v/>
      </c>
      <c r="BQ1659">
        <f>$C1659*BQ1658</f>
        <v/>
      </c>
      <c r="BR1659">
        <f>$C1659*BR1658</f>
        <v/>
      </c>
      <c r="BS1659">
        <f>$C1659*BS1658</f>
        <v/>
      </c>
      <c r="BT1659">
        <f>$C1659*BT1658</f>
        <v/>
      </c>
      <c r="BU1659">
        <f>$C1659*BU1658</f>
        <v/>
      </c>
      <c r="BV1659">
        <f>$C1659*BV1658</f>
        <v/>
      </c>
      <c r="BW1659">
        <f>$C1659*BW1658</f>
        <v/>
      </c>
      <c r="BX1659">
        <f>$C1659*BX1658</f>
        <v/>
      </c>
      <c r="BY1659">
        <f>$C1659*BY1658</f>
        <v/>
      </c>
      <c r="BZ1659">
        <f>$C1659*BZ1658</f>
        <v/>
      </c>
      <c r="CA1659">
        <f>$C1659*CA1658</f>
        <v/>
      </c>
      <c r="CB1659">
        <f>$C1659*CB1658</f>
        <v/>
      </c>
      <c r="CC1659">
        <f>$C1659*CC1658</f>
        <v/>
      </c>
      <c r="CD1659">
        <f>$C1659*CD1658</f>
        <v/>
      </c>
      <c r="CE1659">
        <f>$C1659*CE1658</f>
        <v/>
      </c>
      <c r="CF1659">
        <f>$C1659*CF1658</f>
        <v/>
      </c>
      <c r="CG1659">
        <f>$C1659*CG1658</f>
        <v/>
      </c>
      <c r="CH1659">
        <f>$C1659*CH1658</f>
        <v/>
      </c>
      <c r="CI1659">
        <f>$C1659*CI1658</f>
        <v/>
      </c>
      <c r="CJ1659">
        <f>$C1659*CJ1658</f>
        <v/>
      </c>
      <c r="CK1659">
        <f>$C1659*CK1658</f>
        <v/>
      </c>
      <c r="CL1659">
        <f>$C1659*CL1658</f>
        <v/>
      </c>
      <c r="CM1659">
        <f>$C1659*CM1658</f>
        <v/>
      </c>
      <c r="CN1659">
        <f>$C1659*CN1658</f>
        <v/>
      </c>
      <c r="CO1659">
        <f>$C1659*CO1658</f>
        <v/>
      </c>
      <c r="CP1659">
        <f>$C1659*CP1658</f>
        <v/>
      </c>
      <c r="CQ1659">
        <f>$C1659*CQ1658</f>
        <v/>
      </c>
      <c r="CR1659">
        <f>$C1659*CR1658</f>
        <v/>
      </c>
      <c r="CS1659">
        <f>$C1659*CS1658</f>
        <v/>
      </c>
      <c r="CT1659">
        <f>$C1659*CT1658</f>
        <v/>
      </c>
      <c r="CU1659">
        <f>$C1659*CU1658</f>
        <v/>
      </c>
      <c r="CV1659">
        <f>$C1659*CV1658</f>
        <v/>
      </c>
      <c r="CW1659">
        <f>$C1659*CW1658</f>
        <v/>
      </c>
      <c r="CX1659">
        <f>$C1659*CX1658</f>
        <v/>
      </c>
      <c r="CY1659">
        <f>$C1659*CY1658</f>
        <v/>
      </c>
      <c r="CZ1659">
        <f>$C1659*CZ1658</f>
        <v/>
      </c>
      <c r="DA1659">
        <f>$C1659*DA1658</f>
        <v/>
      </c>
      <c r="DB1659">
        <f>$C1659*DB1658</f>
        <v/>
      </c>
      <c r="DC1659">
        <f>$C1659*DC1658</f>
        <v/>
      </c>
      <c r="DD1659">
        <f>$C1659*DD1658</f>
        <v/>
      </c>
    </row>
    <row r="1660">
      <c r="B1660" t="inlineStr">
        <is>
          <t>TSP-710</t>
        </is>
      </c>
      <c r="C1660" t="inlineStr">
        <is>
          <t>No. of batches</t>
        </is>
      </c>
      <c r="D1660">
        <f>IFERROR(INDEX(E1660:DD1660,$F$1),"")</f>
        <v/>
      </c>
      <c r="E1660">
        <f>IFERROR(INDEX(PP_Grid[#Data],$DE1660,2),0)</f>
        <v/>
      </c>
      <c r="F1660">
        <f>IFERROR(INDEX(PP_Grid[#Data],$DE1660,3),0)</f>
        <v/>
      </c>
      <c r="G1660">
        <f>IFERROR(INDEX(PP_Grid[#Data],$DE1660,4),0)</f>
        <v/>
      </c>
      <c r="H1660">
        <f>IFERROR(INDEX(PP_Grid[#Data],$DE1660,5),0)</f>
        <v/>
      </c>
      <c r="I1660">
        <f>IFERROR(INDEX(PP_Grid[#Data],$DE1660,6),0)</f>
        <v/>
      </c>
      <c r="J1660">
        <f>IFERROR(INDEX(PP_Grid[#Data],$DE1660,7),0)</f>
        <v/>
      </c>
      <c r="K1660">
        <f>IFERROR(INDEX(PP_Grid[#Data],$DE1660,8),0)</f>
        <v/>
      </c>
      <c r="L1660">
        <f>IFERROR(INDEX(PP_Grid[#Data],$DE1660,9),0)</f>
        <v/>
      </c>
      <c r="M1660">
        <f>IFERROR(INDEX(PP_Grid[#Data],$DE1660,10),0)</f>
        <v/>
      </c>
      <c r="N1660">
        <f>IFERROR(INDEX(PP_Grid[#Data],$DE1660,11),0)</f>
        <v/>
      </c>
      <c r="O1660">
        <f>IFERROR(INDEX(PP_Grid[#Data],$DE1660,12),0)</f>
        <v/>
      </c>
      <c r="P1660">
        <f>IFERROR(INDEX(PP_Grid[#Data],$DE1660,13),0)</f>
        <v/>
      </c>
      <c r="Q1660">
        <f>IFERROR(INDEX(PP_Grid[#Data],$DE1660,14),0)</f>
        <v/>
      </c>
      <c r="R1660">
        <f>IFERROR(INDEX(PP_Grid[#Data],$DE1660,15),0)</f>
        <v/>
      </c>
      <c r="S1660">
        <f>IFERROR(INDEX(PP_Grid[#Data],$DE1660,16),0)</f>
        <v/>
      </c>
      <c r="T1660">
        <f>IFERROR(INDEX(PP_Grid[#Data],$DE1660,17),0)</f>
        <v/>
      </c>
      <c r="U1660">
        <f>IFERROR(INDEX(PP_Grid[#Data],$DE1660,18),0)</f>
        <v/>
      </c>
      <c r="V1660">
        <f>IFERROR(INDEX(PP_Grid[#Data],$DE1660,19),0)</f>
        <v/>
      </c>
      <c r="W1660">
        <f>IFERROR(INDEX(PP_Grid[#Data],$DE1660,20),0)</f>
        <v/>
      </c>
      <c r="X1660">
        <f>IFERROR(INDEX(PP_Grid[#Data],$DE1660,21),0)</f>
        <v/>
      </c>
      <c r="Y1660">
        <f>IFERROR(INDEX(PP_Grid[#Data],$DE1660,22),0)</f>
        <v/>
      </c>
      <c r="Z1660">
        <f>IFERROR(INDEX(PP_Grid[#Data],$DE1660,23),0)</f>
        <v/>
      </c>
      <c r="AA1660">
        <f>IFERROR(INDEX(PP_Grid[#Data],$DE1660,24),0)</f>
        <v/>
      </c>
      <c r="AB1660">
        <f>IFERROR(INDEX(PP_Grid[#Data],$DE1660,25),0)</f>
        <v/>
      </c>
      <c r="AC1660">
        <f>IFERROR(INDEX(PP_Grid[#Data],$DE1660,26),0)</f>
        <v/>
      </c>
      <c r="AD1660">
        <f>IFERROR(INDEX(PP_Grid[#Data],$DE1660,27),0)</f>
        <v/>
      </c>
      <c r="AE1660">
        <f>IFERROR(INDEX(PP_Grid[#Data],$DE1660,28),0)</f>
        <v/>
      </c>
      <c r="AF1660">
        <f>IFERROR(INDEX(PP_Grid[#Data],$DE1660,29),0)</f>
        <v/>
      </c>
      <c r="AG1660">
        <f>IFERROR(INDEX(PP_Grid[#Data],$DE1660,30),0)</f>
        <v/>
      </c>
      <c r="AH1660">
        <f>IFERROR(INDEX(PP_Grid[#Data],$DE1660,31),0)</f>
        <v/>
      </c>
      <c r="AI1660">
        <f>IFERROR(INDEX(PP_Grid[#Data],$DE1660,32),0)</f>
        <v/>
      </c>
      <c r="AJ1660">
        <f>IFERROR(INDEX(PP_Grid[#Data],$DE1660,33),0)</f>
        <v/>
      </c>
      <c r="AK1660">
        <f>IFERROR(INDEX(PP_Grid[#Data],$DE1660,34),0)</f>
        <v/>
      </c>
      <c r="AL1660">
        <f>IFERROR(INDEX(PP_Grid[#Data],$DE1660,35),0)</f>
        <v/>
      </c>
      <c r="AM1660">
        <f>IFERROR(INDEX(PP_Grid[#Data],$DE1660,36),0)</f>
        <v/>
      </c>
      <c r="AN1660">
        <f>IFERROR(INDEX(PP_Grid[#Data],$DE1660,37),0)</f>
        <v/>
      </c>
      <c r="AO1660">
        <f>IFERROR(INDEX(PP_Grid[#Data],$DE1660,38),0)</f>
        <v/>
      </c>
      <c r="AP1660">
        <f>IFERROR(INDEX(PP_Grid[#Data],$DE1660,39),0)</f>
        <v/>
      </c>
      <c r="AQ1660">
        <f>IFERROR(INDEX(PP_Grid[#Data],$DE1660,40),0)</f>
        <v/>
      </c>
      <c r="AR1660">
        <f>IFERROR(INDEX(PP_Grid[#Data],$DE1660,41),0)</f>
        <v/>
      </c>
      <c r="AS1660">
        <f>IFERROR(INDEX(PP_Grid[#Data],$DE1660,42),0)</f>
        <v/>
      </c>
      <c r="AT1660">
        <f>IFERROR(INDEX(PP_Grid[#Data],$DE1660,43),0)</f>
        <v/>
      </c>
      <c r="AU1660">
        <f>IFERROR(INDEX(PP_Grid[#Data],$DE1660,44),0)</f>
        <v/>
      </c>
      <c r="AV1660">
        <f>IFERROR(INDEX(PP_Grid[#Data],$DE1660,45),0)</f>
        <v/>
      </c>
      <c r="AW1660">
        <f>IFERROR(INDEX(PP_Grid[#Data],$DE1660,46),0)</f>
        <v/>
      </c>
      <c r="AX1660">
        <f>IFERROR(INDEX(PP_Grid[#Data],$DE1660,47),0)</f>
        <v/>
      </c>
      <c r="AY1660">
        <f>IFERROR(INDEX(PP_Grid[#Data],$DE1660,48),0)</f>
        <v/>
      </c>
      <c r="AZ1660">
        <f>IFERROR(INDEX(PP_Grid[#Data],$DE1660,49),0)</f>
        <v/>
      </c>
      <c r="BA1660">
        <f>IFERROR(INDEX(PP_Grid[#Data],$DE1660,50),0)</f>
        <v/>
      </c>
      <c r="BB1660">
        <f>IFERROR(INDEX(PP_Grid[#Data],$DE1660,51),0)</f>
        <v/>
      </c>
      <c r="BC1660">
        <f>IFERROR(INDEX(PP_Grid[#Data],$DE1660,52),0)</f>
        <v/>
      </c>
      <c r="BD1660">
        <f>IFERROR(INDEX(PP_Grid[#Data],$DE1660,53),0)</f>
        <v/>
      </c>
      <c r="BE1660">
        <f>IFERROR(INDEX(PP_Grid[#Data],$DE1660,54),0)</f>
        <v/>
      </c>
      <c r="BF1660">
        <f>IFERROR(INDEX(PP_Grid[#Data],$DE1660,55),0)</f>
        <v/>
      </c>
      <c r="BG1660">
        <f>IFERROR(INDEX(PP_Grid[#Data],$DE1660,56),0)</f>
        <v/>
      </c>
      <c r="BH1660">
        <f>IFERROR(INDEX(PP_Grid[#Data],$DE1660,57),0)</f>
        <v/>
      </c>
      <c r="BI1660">
        <f>IFERROR(INDEX(PP_Grid[#Data],$DE1660,58),0)</f>
        <v/>
      </c>
      <c r="BJ1660">
        <f>IFERROR(INDEX(PP_Grid[#Data],$DE1660,59),0)</f>
        <v/>
      </c>
      <c r="BK1660">
        <f>IFERROR(INDEX(PP_Grid[#Data],$DE1660,60),0)</f>
        <v/>
      </c>
      <c r="BL1660">
        <f>IFERROR(INDEX(PP_Grid[#Data],$DE1660,61),0)</f>
        <v/>
      </c>
      <c r="BM1660">
        <f>IFERROR(INDEX(PP_Grid[#Data],$DE1660,62),0)</f>
        <v/>
      </c>
      <c r="BN1660">
        <f>IFERROR(INDEX(PP_Grid[#Data],$DE1660,63),0)</f>
        <v/>
      </c>
      <c r="BO1660">
        <f>IFERROR(INDEX(PP_Grid[#Data],$DE1660,64),0)</f>
        <v/>
      </c>
      <c r="BP1660">
        <f>IFERROR(INDEX(PP_Grid[#Data],$DE1660,65),0)</f>
        <v/>
      </c>
      <c r="BQ1660">
        <f>IFERROR(INDEX(PP_Grid[#Data],$DE1660,66),0)</f>
        <v/>
      </c>
      <c r="BR1660">
        <f>IFERROR(INDEX(PP_Grid[#Data],$DE1660,67),0)</f>
        <v/>
      </c>
      <c r="BS1660">
        <f>IFERROR(INDEX(PP_Grid[#Data],$DE1660,68),0)</f>
        <v/>
      </c>
      <c r="BT1660">
        <f>IFERROR(INDEX(PP_Grid[#Data],$DE1660,69),0)</f>
        <v/>
      </c>
      <c r="BU1660">
        <f>IFERROR(INDEX(PP_Grid[#Data],$DE1660,70),0)</f>
        <v/>
      </c>
      <c r="BV1660">
        <f>IFERROR(INDEX(PP_Grid[#Data],$DE1660,71),0)</f>
        <v/>
      </c>
      <c r="BW1660">
        <f>IFERROR(INDEX(PP_Grid[#Data],$DE1660,72),0)</f>
        <v/>
      </c>
      <c r="BX1660">
        <f>IFERROR(INDEX(PP_Grid[#Data],$DE1660,73),0)</f>
        <v/>
      </c>
      <c r="BY1660">
        <f>IFERROR(INDEX(PP_Grid[#Data],$DE1660,74),0)</f>
        <v/>
      </c>
      <c r="BZ1660">
        <f>IFERROR(INDEX(PP_Grid[#Data],$DE1660,75),0)</f>
        <v/>
      </c>
      <c r="CA1660">
        <f>IFERROR(INDEX(PP_Grid[#Data],$DE1660,76),0)</f>
        <v/>
      </c>
      <c r="CB1660">
        <f>IFERROR(INDEX(PP_Grid[#Data],$DE1660,77),0)</f>
        <v/>
      </c>
      <c r="CC1660">
        <f>IFERROR(INDEX(PP_Grid[#Data],$DE1660,78),0)</f>
        <v/>
      </c>
      <c r="CD1660">
        <f>IFERROR(INDEX(PP_Grid[#Data],$DE1660,79),0)</f>
        <v/>
      </c>
      <c r="CE1660">
        <f>IFERROR(INDEX(PP_Grid[#Data],$DE1660,80),0)</f>
        <v/>
      </c>
      <c r="CF1660">
        <f>IFERROR(INDEX(PP_Grid[#Data],$DE1660,81),0)</f>
        <v/>
      </c>
      <c r="CG1660">
        <f>IFERROR(INDEX(PP_Grid[#Data],$DE1660,82),0)</f>
        <v/>
      </c>
      <c r="CH1660">
        <f>IFERROR(INDEX(PP_Grid[#Data],$DE1660,83),0)</f>
        <v/>
      </c>
      <c r="CI1660">
        <f>IFERROR(INDEX(PP_Grid[#Data],$DE1660,84),0)</f>
        <v/>
      </c>
      <c r="CJ1660">
        <f>IFERROR(INDEX(PP_Grid[#Data],$DE1660,85),0)</f>
        <v/>
      </c>
      <c r="CK1660">
        <f>IFERROR(INDEX(PP_Grid[#Data],$DE1660,86),0)</f>
        <v/>
      </c>
      <c r="CL1660">
        <f>IFERROR(INDEX(PP_Grid[#Data],$DE1660,87),0)</f>
        <v/>
      </c>
      <c r="CM1660">
        <f>IFERROR(INDEX(PP_Grid[#Data],$DE1660,88),0)</f>
        <v/>
      </c>
      <c r="CN1660">
        <f>IFERROR(INDEX(PP_Grid[#Data],$DE1660,89),0)</f>
        <v/>
      </c>
      <c r="CO1660">
        <f>IFERROR(INDEX(PP_Grid[#Data],$DE1660,90),0)</f>
        <v/>
      </c>
      <c r="CP1660">
        <f>IFERROR(INDEX(PP_Grid[#Data],$DE1660,91),0)</f>
        <v/>
      </c>
      <c r="CQ1660">
        <f>IFERROR(INDEX(PP_Grid[#Data],$DE1660,92),0)</f>
        <v/>
      </c>
      <c r="CR1660">
        <f>IFERROR(INDEX(PP_Grid[#Data],$DE1660,93),0)</f>
        <v/>
      </c>
      <c r="CS1660">
        <f>IFERROR(INDEX(PP_Grid[#Data],$DE1660,94),0)</f>
        <v/>
      </c>
      <c r="CT1660">
        <f>IFERROR(INDEX(PP_Grid[#Data],$DE1660,95),0)</f>
        <v/>
      </c>
      <c r="CU1660">
        <f>IFERROR(INDEX(PP_Grid[#Data],$DE1660,96),0)</f>
        <v/>
      </c>
      <c r="CV1660">
        <f>IFERROR(INDEX(PP_Grid[#Data],$DE1660,97),0)</f>
        <v/>
      </c>
      <c r="CW1660">
        <f>IFERROR(INDEX(PP_Grid[#Data],$DE1660,98),0)</f>
        <v/>
      </c>
      <c r="CX1660">
        <f>IFERROR(INDEX(PP_Grid[#Data],$DE1660,99),0)</f>
        <v/>
      </c>
      <c r="CY1660">
        <f>IFERROR(INDEX(PP_Grid[#Data],$DE1660,100),0)</f>
        <v/>
      </c>
      <c r="CZ1660">
        <f>IFERROR(INDEX(PP_Grid[#Data],$DE1660,101),0)</f>
        <v/>
      </c>
      <c r="DA1660">
        <f>IFERROR(INDEX(PP_Grid[#Data],$DE1660,102),0)</f>
        <v/>
      </c>
      <c r="DB1660">
        <f>IFERROR(INDEX(PP_Grid[#Data],$DE1660,103),0)</f>
        <v/>
      </c>
      <c r="DC1660">
        <f>IFERROR(INDEX(PP_Grid[#Data],$DE1660,104),0)</f>
        <v/>
      </c>
      <c r="DD1660">
        <f>IFERROR(INDEX(PP_Grid[#Data],$DE1660,105),0)</f>
        <v/>
      </c>
      <c r="DE1660" s="7">
        <f>IFERROR(MATCH($B1660,PP_Grid[Intermediate],0),99999)</f>
        <v/>
      </c>
    </row>
    <row r="1661">
      <c r="B1661" t="inlineStr">
        <is>
          <t>使用量(kg)</t>
        </is>
      </c>
      <c r="C1661">
        <f>SUMIFS(M_BOM[RM_Qty_Per_Batch],M_BOM[Intermediate],$B1660,M_BOM[RM_Code],$A1651)</f>
        <v/>
      </c>
      <c r="D1661">
        <f>IFERROR(INDEX(E1661:DD1661,$F$1),"")</f>
        <v/>
      </c>
      <c r="E1661">
        <f>$C1661*E1660</f>
        <v/>
      </c>
      <c r="F1661">
        <f>$C1661*F1660</f>
        <v/>
      </c>
      <c r="G1661">
        <f>$C1661*G1660</f>
        <v/>
      </c>
      <c r="H1661">
        <f>$C1661*H1660</f>
        <v/>
      </c>
      <c r="I1661">
        <f>$C1661*I1660</f>
        <v/>
      </c>
      <c r="J1661">
        <f>$C1661*J1660</f>
        <v/>
      </c>
      <c r="K1661">
        <f>$C1661*K1660</f>
        <v/>
      </c>
      <c r="L1661">
        <f>$C1661*L1660</f>
        <v/>
      </c>
      <c r="M1661">
        <f>$C1661*M1660</f>
        <v/>
      </c>
      <c r="N1661">
        <f>$C1661*N1660</f>
        <v/>
      </c>
      <c r="O1661">
        <f>$C1661*O1660</f>
        <v/>
      </c>
      <c r="P1661">
        <f>$C1661*P1660</f>
        <v/>
      </c>
      <c r="Q1661">
        <f>$C1661*Q1660</f>
        <v/>
      </c>
      <c r="R1661">
        <f>$C1661*R1660</f>
        <v/>
      </c>
      <c r="S1661">
        <f>$C1661*S1660</f>
        <v/>
      </c>
      <c r="T1661">
        <f>$C1661*T1660</f>
        <v/>
      </c>
      <c r="U1661">
        <f>$C1661*U1660</f>
        <v/>
      </c>
      <c r="V1661">
        <f>$C1661*V1660</f>
        <v/>
      </c>
      <c r="W1661">
        <f>$C1661*W1660</f>
        <v/>
      </c>
      <c r="X1661">
        <f>$C1661*X1660</f>
        <v/>
      </c>
      <c r="Y1661">
        <f>$C1661*Y1660</f>
        <v/>
      </c>
      <c r="Z1661">
        <f>$C1661*Z1660</f>
        <v/>
      </c>
      <c r="AA1661">
        <f>$C1661*AA1660</f>
        <v/>
      </c>
      <c r="AB1661">
        <f>$C1661*AB1660</f>
        <v/>
      </c>
      <c r="AC1661">
        <f>$C1661*AC1660</f>
        <v/>
      </c>
      <c r="AD1661">
        <f>$C1661*AD1660</f>
        <v/>
      </c>
      <c r="AE1661">
        <f>$C1661*AE1660</f>
        <v/>
      </c>
      <c r="AF1661">
        <f>$C1661*AF1660</f>
        <v/>
      </c>
      <c r="AG1661">
        <f>$C1661*AG1660</f>
        <v/>
      </c>
      <c r="AH1661">
        <f>$C1661*AH1660</f>
        <v/>
      </c>
      <c r="AI1661">
        <f>$C1661*AI1660</f>
        <v/>
      </c>
      <c r="AJ1661">
        <f>$C1661*AJ1660</f>
        <v/>
      </c>
      <c r="AK1661">
        <f>$C1661*AK1660</f>
        <v/>
      </c>
      <c r="AL1661">
        <f>$C1661*AL1660</f>
        <v/>
      </c>
      <c r="AM1661">
        <f>$C1661*AM1660</f>
        <v/>
      </c>
      <c r="AN1661">
        <f>$C1661*AN1660</f>
        <v/>
      </c>
      <c r="AO1661">
        <f>$C1661*AO1660</f>
        <v/>
      </c>
      <c r="AP1661">
        <f>$C1661*AP1660</f>
        <v/>
      </c>
      <c r="AQ1661">
        <f>$C1661*AQ1660</f>
        <v/>
      </c>
      <c r="AR1661">
        <f>$C1661*AR1660</f>
        <v/>
      </c>
      <c r="AS1661">
        <f>$C1661*AS1660</f>
        <v/>
      </c>
      <c r="AT1661">
        <f>$C1661*AT1660</f>
        <v/>
      </c>
      <c r="AU1661">
        <f>$C1661*AU1660</f>
        <v/>
      </c>
      <c r="AV1661">
        <f>$C1661*AV1660</f>
        <v/>
      </c>
      <c r="AW1661">
        <f>$C1661*AW1660</f>
        <v/>
      </c>
      <c r="AX1661">
        <f>$C1661*AX1660</f>
        <v/>
      </c>
      <c r="AY1661">
        <f>$C1661*AY1660</f>
        <v/>
      </c>
      <c r="AZ1661">
        <f>$C1661*AZ1660</f>
        <v/>
      </c>
      <c r="BA1661">
        <f>$C1661*BA1660</f>
        <v/>
      </c>
      <c r="BB1661">
        <f>$C1661*BB1660</f>
        <v/>
      </c>
      <c r="BC1661">
        <f>$C1661*BC1660</f>
        <v/>
      </c>
      <c r="BD1661">
        <f>$C1661*BD1660</f>
        <v/>
      </c>
      <c r="BE1661">
        <f>$C1661*BE1660</f>
        <v/>
      </c>
      <c r="BF1661">
        <f>$C1661*BF1660</f>
        <v/>
      </c>
      <c r="BG1661">
        <f>$C1661*BG1660</f>
        <v/>
      </c>
      <c r="BH1661">
        <f>$C1661*BH1660</f>
        <v/>
      </c>
      <c r="BI1661">
        <f>$C1661*BI1660</f>
        <v/>
      </c>
      <c r="BJ1661">
        <f>$C1661*BJ1660</f>
        <v/>
      </c>
      <c r="BK1661">
        <f>$C1661*BK1660</f>
        <v/>
      </c>
      <c r="BL1661">
        <f>$C1661*BL1660</f>
        <v/>
      </c>
      <c r="BM1661">
        <f>$C1661*BM1660</f>
        <v/>
      </c>
      <c r="BN1661">
        <f>$C1661*BN1660</f>
        <v/>
      </c>
      <c r="BO1661">
        <f>$C1661*BO1660</f>
        <v/>
      </c>
      <c r="BP1661">
        <f>$C1661*BP1660</f>
        <v/>
      </c>
      <c r="BQ1661">
        <f>$C1661*BQ1660</f>
        <v/>
      </c>
      <c r="BR1661">
        <f>$C1661*BR1660</f>
        <v/>
      </c>
      <c r="BS1661">
        <f>$C1661*BS1660</f>
        <v/>
      </c>
      <c r="BT1661">
        <f>$C1661*BT1660</f>
        <v/>
      </c>
      <c r="BU1661">
        <f>$C1661*BU1660</f>
        <v/>
      </c>
      <c r="BV1661">
        <f>$C1661*BV1660</f>
        <v/>
      </c>
      <c r="BW1661">
        <f>$C1661*BW1660</f>
        <v/>
      </c>
      <c r="BX1661">
        <f>$C1661*BX1660</f>
        <v/>
      </c>
      <c r="BY1661">
        <f>$C1661*BY1660</f>
        <v/>
      </c>
      <c r="BZ1661">
        <f>$C1661*BZ1660</f>
        <v/>
      </c>
      <c r="CA1661">
        <f>$C1661*CA1660</f>
        <v/>
      </c>
      <c r="CB1661">
        <f>$C1661*CB1660</f>
        <v/>
      </c>
      <c r="CC1661">
        <f>$C1661*CC1660</f>
        <v/>
      </c>
      <c r="CD1661">
        <f>$C1661*CD1660</f>
        <v/>
      </c>
      <c r="CE1661">
        <f>$C1661*CE1660</f>
        <v/>
      </c>
      <c r="CF1661">
        <f>$C1661*CF1660</f>
        <v/>
      </c>
      <c r="CG1661">
        <f>$C1661*CG1660</f>
        <v/>
      </c>
      <c r="CH1661">
        <f>$C1661*CH1660</f>
        <v/>
      </c>
      <c r="CI1661">
        <f>$C1661*CI1660</f>
        <v/>
      </c>
      <c r="CJ1661">
        <f>$C1661*CJ1660</f>
        <v/>
      </c>
      <c r="CK1661">
        <f>$C1661*CK1660</f>
        <v/>
      </c>
      <c r="CL1661">
        <f>$C1661*CL1660</f>
        <v/>
      </c>
      <c r="CM1661">
        <f>$C1661*CM1660</f>
        <v/>
      </c>
      <c r="CN1661">
        <f>$C1661*CN1660</f>
        <v/>
      </c>
      <c r="CO1661">
        <f>$C1661*CO1660</f>
        <v/>
      </c>
      <c r="CP1661">
        <f>$C1661*CP1660</f>
        <v/>
      </c>
      <c r="CQ1661">
        <f>$C1661*CQ1660</f>
        <v/>
      </c>
      <c r="CR1661">
        <f>$C1661*CR1660</f>
        <v/>
      </c>
      <c r="CS1661">
        <f>$C1661*CS1660</f>
        <v/>
      </c>
      <c r="CT1661">
        <f>$C1661*CT1660</f>
        <v/>
      </c>
      <c r="CU1661">
        <f>$C1661*CU1660</f>
        <v/>
      </c>
      <c r="CV1661">
        <f>$C1661*CV1660</f>
        <v/>
      </c>
      <c r="CW1661">
        <f>$C1661*CW1660</f>
        <v/>
      </c>
      <c r="CX1661">
        <f>$C1661*CX1660</f>
        <v/>
      </c>
      <c r="CY1661">
        <f>$C1661*CY1660</f>
        <v/>
      </c>
      <c r="CZ1661">
        <f>$C1661*CZ1660</f>
        <v/>
      </c>
      <c r="DA1661">
        <f>$C1661*DA1660</f>
        <v/>
      </c>
      <c r="DB1661">
        <f>$C1661*DB1660</f>
        <v/>
      </c>
      <c r="DC1661">
        <f>$C1661*DC1660</f>
        <v/>
      </c>
      <c r="DD1661">
        <f>$C1661*DD1660</f>
        <v/>
      </c>
    </row>
    <row r="1662">
      <c r="B1662" s="4" t="inlineStr">
        <is>
          <t>合計使用量(kg)/週</t>
        </is>
      </c>
      <c r="D1662" s="22">
        <f>IFERROR(INDEX(E1662:DD1662,$F$1),"")</f>
        <v/>
      </c>
      <c r="E1662">
        <f>'Grid_Requirement'!B58</f>
        <v/>
      </c>
      <c r="F1662">
        <f>'Grid_Requirement'!C58</f>
        <v/>
      </c>
      <c r="G1662">
        <f>'Grid_Requirement'!D58</f>
        <v/>
      </c>
      <c r="H1662">
        <f>'Grid_Requirement'!E58</f>
        <v/>
      </c>
      <c r="I1662">
        <f>'Grid_Requirement'!F58</f>
        <v/>
      </c>
      <c r="J1662">
        <f>'Grid_Requirement'!G58</f>
        <v/>
      </c>
      <c r="K1662">
        <f>'Grid_Requirement'!H58</f>
        <v/>
      </c>
      <c r="L1662">
        <f>'Grid_Requirement'!I58</f>
        <v/>
      </c>
      <c r="M1662">
        <f>'Grid_Requirement'!J58</f>
        <v/>
      </c>
      <c r="N1662">
        <f>'Grid_Requirement'!K58</f>
        <v/>
      </c>
      <c r="O1662">
        <f>'Grid_Requirement'!L58</f>
        <v/>
      </c>
      <c r="P1662">
        <f>'Grid_Requirement'!M58</f>
        <v/>
      </c>
      <c r="Q1662">
        <f>'Grid_Requirement'!N58</f>
        <v/>
      </c>
      <c r="R1662">
        <f>'Grid_Requirement'!O58</f>
        <v/>
      </c>
      <c r="S1662">
        <f>'Grid_Requirement'!P58</f>
        <v/>
      </c>
      <c r="T1662">
        <f>'Grid_Requirement'!Q58</f>
        <v/>
      </c>
      <c r="U1662">
        <f>'Grid_Requirement'!R58</f>
        <v/>
      </c>
      <c r="V1662">
        <f>'Grid_Requirement'!S58</f>
        <v/>
      </c>
      <c r="W1662">
        <f>'Grid_Requirement'!T58</f>
        <v/>
      </c>
      <c r="X1662">
        <f>'Grid_Requirement'!U58</f>
        <v/>
      </c>
      <c r="Y1662">
        <f>'Grid_Requirement'!V58</f>
        <v/>
      </c>
      <c r="Z1662">
        <f>'Grid_Requirement'!W58</f>
        <v/>
      </c>
      <c r="AA1662">
        <f>'Grid_Requirement'!X58</f>
        <v/>
      </c>
      <c r="AB1662">
        <f>'Grid_Requirement'!Y58</f>
        <v/>
      </c>
      <c r="AC1662">
        <f>'Grid_Requirement'!Z58</f>
        <v/>
      </c>
      <c r="AD1662">
        <f>'Grid_Requirement'!AA58</f>
        <v/>
      </c>
      <c r="AE1662">
        <f>'Grid_Requirement'!AB58</f>
        <v/>
      </c>
      <c r="AF1662">
        <f>'Grid_Requirement'!AC58</f>
        <v/>
      </c>
      <c r="AG1662">
        <f>'Grid_Requirement'!AD58</f>
        <v/>
      </c>
      <c r="AH1662">
        <f>'Grid_Requirement'!AE58</f>
        <v/>
      </c>
      <c r="AI1662">
        <f>'Grid_Requirement'!AF58</f>
        <v/>
      </c>
      <c r="AJ1662">
        <f>'Grid_Requirement'!AG58</f>
        <v/>
      </c>
      <c r="AK1662">
        <f>'Grid_Requirement'!AH58</f>
        <v/>
      </c>
      <c r="AL1662">
        <f>'Grid_Requirement'!AI58</f>
        <v/>
      </c>
      <c r="AM1662">
        <f>'Grid_Requirement'!AJ58</f>
        <v/>
      </c>
      <c r="AN1662">
        <f>'Grid_Requirement'!AK58</f>
        <v/>
      </c>
      <c r="AO1662">
        <f>'Grid_Requirement'!AL58</f>
        <v/>
      </c>
      <c r="AP1662">
        <f>'Grid_Requirement'!AM58</f>
        <v/>
      </c>
      <c r="AQ1662">
        <f>'Grid_Requirement'!AN58</f>
        <v/>
      </c>
      <c r="AR1662">
        <f>'Grid_Requirement'!AO58</f>
        <v/>
      </c>
      <c r="AS1662">
        <f>'Grid_Requirement'!AP58</f>
        <v/>
      </c>
      <c r="AT1662">
        <f>'Grid_Requirement'!AQ58</f>
        <v/>
      </c>
      <c r="AU1662">
        <f>'Grid_Requirement'!AR58</f>
        <v/>
      </c>
      <c r="AV1662">
        <f>'Grid_Requirement'!AS58</f>
        <v/>
      </c>
      <c r="AW1662">
        <f>'Grid_Requirement'!AT58</f>
        <v/>
      </c>
      <c r="AX1662">
        <f>'Grid_Requirement'!AU58</f>
        <v/>
      </c>
      <c r="AY1662">
        <f>'Grid_Requirement'!AV58</f>
        <v/>
      </c>
      <c r="AZ1662">
        <f>'Grid_Requirement'!AW58</f>
        <v/>
      </c>
      <c r="BA1662">
        <f>'Grid_Requirement'!AX58</f>
        <v/>
      </c>
      <c r="BB1662">
        <f>'Grid_Requirement'!AY58</f>
        <v/>
      </c>
      <c r="BC1662">
        <f>'Grid_Requirement'!AZ58</f>
        <v/>
      </c>
      <c r="BD1662">
        <f>'Grid_Requirement'!BA58</f>
        <v/>
      </c>
      <c r="BE1662">
        <f>'Grid_Requirement'!BB58</f>
        <v/>
      </c>
      <c r="BF1662">
        <f>'Grid_Requirement'!BC58</f>
        <v/>
      </c>
      <c r="BG1662">
        <f>'Grid_Requirement'!BD58</f>
        <v/>
      </c>
      <c r="BH1662">
        <f>'Grid_Requirement'!BE58</f>
        <v/>
      </c>
      <c r="BI1662">
        <f>'Grid_Requirement'!BF58</f>
        <v/>
      </c>
      <c r="BJ1662">
        <f>'Grid_Requirement'!BG58</f>
        <v/>
      </c>
      <c r="BK1662">
        <f>'Grid_Requirement'!BH58</f>
        <v/>
      </c>
      <c r="BL1662">
        <f>'Grid_Requirement'!BI58</f>
        <v/>
      </c>
      <c r="BM1662">
        <f>'Grid_Requirement'!BJ58</f>
        <v/>
      </c>
      <c r="BN1662">
        <f>'Grid_Requirement'!BK58</f>
        <v/>
      </c>
      <c r="BO1662">
        <f>'Grid_Requirement'!BL58</f>
        <v/>
      </c>
      <c r="BP1662">
        <f>'Grid_Requirement'!BM58</f>
        <v/>
      </c>
      <c r="BQ1662">
        <f>'Grid_Requirement'!BN58</f>
        <v/>
      </c>
      <c r="BR1662">
        <f>'Grid_Requirement'!BO58</f>
        <v/>
      </c>
      <c r="BS1662">
        <f>'Grid_Requirement'!BP58</f>
        <v/>
      </c>
      <c r="BT1662">
        <f>'Grid_Requirement'!BQ58</f>
        <v/>
      </c>
      <c r="BU1662">
        <f>'Grid_Requirement'!BR58</f>
        <v/>
      </c>
      <c r="BV1662">
        <f>'Grid_Requirement'!BS58</f>
        <v/>
      </c>
      <c r="BW1662">
        <f>'Grid_Requirement'!BT58</f>
        <v/>
      </c>
      <c r="BX1662">
        <f>'Grid_Requirement'!BU58</f>
        <v/>
      </c>
      <c r="BY1662">
        <f>'Grid_Requirement'!BV58</f>
        <v/>
      </c>
      <c r="BZ1662">
        <f>'Grid_Requirement'!BW58</f>
        <v/>
      </c>
      <c r="CA1662">
        <f>'Grid_Requirement'!BX58</f>
        <v/>
      </c>
      <c r="CB1662">
        <f>'Grid_Requirement'!BY58</f>
        <v/>
      </c>
      <c r="CC1662">
        <f>'Grid_Requirement'!BZ58</f>
        <v/>
      </c>
      <c r="CD1662">
        <f>'Grid_Requirement'!CA58</f>
        <v/>
      </c>
      <c r="CE1662">
        <f>'Grid_Requirement'!CB58</f>
        <v/>
      </c>
      <c r="CF1662">
        <f>'Grid_Requirement'!CC58</f>
        <v/>
      </c>
      <c r="CG1662">
        <f>'Grid_Requirement'!CD58</f>
        <v/>
      </c>
      <c r="CH1662">
        <f>'Grid_Requirement'!CE58</f>
        <v/>
      </c>
      <c r="CI1662">
        <f>'Grid_Requirement'!CF58</f>
        <v/>
      </c>
      <c r="CJ1662">
        <f>'Grid_Requirement'!CG58</f>
        <v/>
      </c>
      <c r="CK1662">
        <f>'Grid_Requirement'!CH58</f>
        <v/>
      </c>
      <c r="CL1662">
        <f>'Grid_Requirement'!CI58</f>
        <v/>
      </c>
      <c r="CM1662">
        <f>'Grid_Requirement'!CJ58</f>
        <v/>
      </c>
      <c r="CN1662">
        <f>'Grid_Requirement'!CK58</f>
        <v/>
      </c>
      <c r="CO1662">
        <f>'Grid_Requirement'!CL58</f>
        <v/>
      </c>
      <c r="CP1662">
        <f>'Grid_Requirement'!CM58</f>
        <v/>
      </c>
      <c r="CQ1662">
        <f>'Grid_Requirement'!CN58</f>
        <v/>
      </c>
      <c r="CR1662">
        <f>'Grid_Requirement'!CO58</f>
        <v/>
      </c>
      <c r="CS1662">
        <f>'Grid_Requirement'!CP58</f>
        <v/>
      </c>
      <c r="CT1662">
        <f>'Grid_Requirement'!CQ58</f>
        <v/>
      </c>
      <c r="CU1662">
        <f>'Grid_Requirement'!CR58</f>
        <v/>
      </c>
      <c r="CV1662">
        <f>'Grid_Requirement'!CS58</f>
        <v/>
      </c>
      <c r="CW1662">
        <f>'Grid_Requirement'!CT58</f>
        <v/>
      </c>
      <c r="CX1662">
        <f>'Grid_Requirement'!CU58</f>
        <v/>
      </c>
      <c r="CY1662">
        <f>'Grid_Requirement'!CV58</f>
        <v/>
      </c>
      <c r="CZ1662">
        <f>'Grid_Requirement'!CW58</f>
        <v/>
      </c>
      <c r="DA1662">
        <f>'Grid_Requirement'!CX58</f>
        <v/>
      </c>
      <c r="DB1662">
        <f>'Grid_Requirement'!CY58</f>
        <v/>
      </c>
      <c r="DC1662">
        <f>'Grid_Requirement'!CZ58</f>
        <v/>
      </c>
      <c r="DD1662">
        <f>'Grid_Requirement'!DA58</f>
        <v/>
      </c>
    </row>
    <row r="1663">
      <c r="B1663" s="23" t="inlineStr">
        <is>
          <t>（在庫・入荷予定はDashboard参照）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105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46223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31</v>
      </c>
    </row>
    <row r="8">
      <c r="B8" s="2" t="inlineStr">
        <is>
          <t>Chemicals : TTAF Supply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10" t="n"/>
      <c r="C11" s="10" t="n"/>
      <c r="D11" s="10" t="n"/>
      <c r="E11" s="10" t="n"/>
      <c r="F11" s="10" t="n"/>
      <c r="G11" s="10" t="n"/>
      <c r="H11" s="12">
        <f>INDEX(Cal_Weeks[WeekStart],$P$7+0)</f>
        <v/>
      </c>
      <c r="I11" s="12">
        <f>INDEX(Cal_Weeks[WeekStart],$P$7+1)</f>
        <v/>
      </c>
      <c r="J11" s="12">
        <f>INDEX(Cal_Weeks[WeekStart],$P$7+2)</f>
        <v/>
      </c>
      <c r="K11" s="12">
        <f>INDEX(Cal_Weeks[WeekStart],$P$7+3)</f>
        <v/>
      </c>
      <c r="L11" s="12">
        <f>INDEX(Cal_Weeks[WeekStart],$P$7+4)</f>
        <v/>
      </c>
      <c r="M11" s="12">
        <f>INDEX(Cal_Weeks[WeekStart],$P$7+5)</f>
        <v/>
      </c>
      <c r="N11" s="12">
        <f>INDEX(Cal_Weeks[WeekStart],$P$7+6)</f>
        <v/>
      </c>
      <c r="O11" s="12">
        <f>INDEX(Cal_Weeks[WeekStart],$P$7+7)</f>
        <v/>
      </c>
      <c r="P11" s="12">
        <f>INDEX(Cal_Weeks[WeekStart],$P$7+8)</f>
        <v/>
      </c>
      <c r="Q11" s="12">
        <f>INDEX(Cal_Weeks[WeekStart],$P$7+9)</f>
        <v/>
      </c>
      <c r="R11" s="12">
        <f>INDEX(Cal_Weeks[WeekStart],$P$7+10)</f>
        <v/>
      </c>
      <c r="S11" s="12">
        <f>INDEX(Cal_Weeks[WeekStart],$P$7+11)</f>
        <v/>
      </c>
      <c r="T11" s="12">
        <f>INDEX(Cal_Weeks[WeekStart],$P$7+12)</f>
        <v/>
      </c>
      <c r="U11" s="10" t="n"/>
    </row>
    <row r="12">
      <c r="B12" s="10" t="n"/>
      <c r="C12" s="10" t="n"/>
      <c r="D12" s="10" t="n"/>
      <c r="E12" s="10" t="n"/>
      <c r="F12" s="10" t="n"/>
      <c r="G12" s="10" t="n"/>
      <c r="H12" s="10">
        <f>INDEX(Cal_Weeks[WeekOfYear],$P$7+0)</f>
        <v/>
      </c>
      <c r="I12" s="10">
        <f>INDEX(Cal_Weeks[WeekOfYear],$P$7+1)</f>
        <v/>
      </c>
      <c r="J12" s="10">
        <f>INDEX(Cal_Weeks[WeekOfYear],$P$7+2)</f>
        <v/>
      </c>
      <c r="K12" s="10">
        <f>INDEX(Cal_Weeks[WeekOfYear],$P$7+3)</f>
        <v/>
      </c>
      <c r="L12" s="10">
        <f>INDEX(Cal_Weeks[WeekOfYear],$P$7+4)</f>
        <v/>
      </c>
      <c r="M12" s="10">
        <f>INDEX(Cal_Weeks[WeekOfYear],$P$7+5)</f>
        <v/>
      </c>
      <c r="N12" s="10">
        <f>INDEX(Cal_Weeks[WeekOfYear],$P$7+6)</f>
        <v/>
      </c>
      <c r="O12" s="10">
        <f>INDEX(Cal_Weeks[WeekOfYear],$P$7+7)</f>
        <v/>
      </c>
      <c r="P12" s="10">
        <f>INDEX(Cal_Weeks[WeekOfYear],$P$7+8)</f>
        <v/>
      </c>
      <c r="Q12" s="10">
        <f>INDEX(Cal_Weeks[WeekOfYear],$P$7+9)</f>
        <v/>
      </c>
      <c r="R12" s="10">
        <f>INDEX(Cal_Weeks[WeekOfYear],$P$7+10)</f>
        <v/>
      </c>
      <c r="S12" s="10">
        <f>INDEX(Cal_Weeks[WeekOfYear],$P$7+11)</f>
        <v/>
      </c>
      <c r="T12" s="10">
        <f>INDEX(Cal_Weeks[WeekOfYear],$P$7+12)</f>
        <v/>
      </c>
      <c r="U12" s="10" t="n"/>
    </row>
    <row r="13">
      <c r="B13" s="10" t="n"/>
      <c r="C13" s="10" t="n"/>
      <c r="D13" s="10" t="n"/>
      <c r="E13" s="10" t="n"/>
      <c r="F13" s="10" t="n"/>
      <c r="G13" s="10" t="n"/>
      <c r="H13" s="10">
        <f>IF(INDEX(Cal_Weeks[MonthYearLabel],$P$7+0)=INDEX(Cal_Weeks[MonthYearLabel],$P$7),"Firm","Forecast")</f>
        <v/>
      </c>
      <c r="I13" s="10">
        <f>IF(INDEX(Cal_Weeks[MonthYearLabel],$P$7+1)=INDEX(Cal_Weeks[MonthYearLabel],$P$7),"Firm","Forecast")</f>
        <v/>
      </c>
      <c r="J13" s="10">
        <f>IF(INDEX(Cal_Weeks[MonthYearLabel],$P$7+2)=INDEX(Cal_Weeks[MonthYearLabel],$P$7),"Firm","Forecast")</f>
        <v/>
      </c>
      <c r="K13" s="10">
        <f>IF(INDEX(Cal_Weeks[MonthYearLabel],$P$7+3)=INDEX(Cal_Weeks[MonthYearLabel],$P$7),"Firm","Forecast")</f>
        <v/>
      </c>
      <c r="L13" s="10">
        <f>IF(INDEX(Cal_Weeks[MonthYearLabel],$P$7+4)=INDEX(Cal_Weeks[MonthYearLabel],$P$7),"Firm","Forecast")</f>
        <v/>
      </c>
      <c r="M13" s="10">
        <f>IF(INDEX(Cal_Weeks[MonthYearLabel],$P$7+5)=INDEX(Cal_Weeks[MonthYearLabel],$P$7),"Firm","Forecast")</f>
        <v/>
      </c>
      <c r="N13" s="10">
        <f>IF(INDEX(Cal_Weeks[MonthYearLabel],$P$7+6)=INDEX(Cal_Weeks[MonthYearLabel],$P$7),"Firm","Forecast")</f>
        <v/>
      </c>
      <c r="O13" s="10">
        <f>IF(INDEX(Cal_Weeks[MonthYearLabel],$P$7+7)=INDEX(Cal_Weeks[MonthYearLabel],$P$7),"Firm","Forecast")</f>
        <v/>
      </c>
      <c r="P13" s="10">
        <f>IF(INDEX(Cal_Weeks[MonthYearLabel],$P$7+8)=INDEX(Cal_Weeks[MonthYearLabel],$P$7),"Firm","Forecast")</f>
        <v/>
      </c>
      <c r="Q13" s="10">
        <f>IF(INDEX(Cal_Weeks[MonthYearLabel],$P$7+9)=INDEX(Cal_Weeks[MonthYearLabel],$P$7),"Firm","Forecast")</f>
        <v/>
      </c>
      <c r="R13" s="10">
        <f>IF(INDEX(Cal_Weeks[MonthYearLabel],$P$7+10)=INDEX(Cal_Weeks[MonthYearLabel],$P$7),"Firm","Forecast")</f>
        <v/>
      </c>
      <c r="S13" s="10">
        <f>IF(INDEX(Cal_Weeks[MonthYearLabel],$P$7+11)=INDEX(Cal_Weeks[MonthYearLabel],$P$7),"Firm","Forecast")</f>
        <v/>
      </c>
      <c r="T13" s="10">
        <f>IF(INDEX(Cal_Weeks[MonthYearLabel],$P$7+12)=INDEX(Cal_Weeks[MonthYearLabel],$P$7),"Firm","Forecast")</f>
        <v/>
      </c>
      <c r="U13" s="10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5">
        <f>IFERROR(INDEX(M_RawMaterials[Description],MATCH("CHEM-1250",M_RawMaterials[RM_Code],0)),"")</f>
        <v/>
      </c>
      <c r="C15" s="15" t="inlineStr">
        <is>
          <t>71288614901</t>
        </is>
      </c>
      <c r="D15" s="15" t="inlineStr">
        <is>
          <t>CHEM-1250</t>
        </is>
      </c>
      <c r="E15" s="15" t="inlineStr">
        <is>
          <t>kg</t>
        </is>
      </c>
      <c r="F15" s="15">
        <f>IFERROR(INDEX(M_RawMaterials[SafetyStock_Qty_要入力],MATCH("CHEM-1250",M_RawMaterials[RM_Code],0)),0)</f>
        <v/>
      </c>
      <c r="G15" s="15">
        <f>INDEX(Grid_Stock[#Data],1,$P$7)</f>
        <v/>
      </c>
      <c r="H15" s="15">
        <f>MAX(0,$F15-INDEX(Grid_Stock[#Data],1,$P$7+0))</f>
        <v/>
      </c>
      <c r="I15" s="15">
        <f>MAX(0,$F15-INDEX(Grid_Stock[#Data],1,$P$7+1))</f>
        <v/>
      </c>
      <c r="J15" s="15">
        <f>MAX(0,$F15-INDEX(Grid_Stock[#Data],1,$P$7+2))</f>
        <v/>
      </c>
      <c r="K15" s="15">
        <f>MAX(0,$F15-INDEX(Grid_Stock[#Data],1,$P$7+3))</f>
        <v/>
      </c>
      <c r="L15" s="15">
        <f>MAX(0,$F15-INDEX(Grid_Stock[#Data],1,$P$7+4))</f>
        <v/>
      </c>
      <c r="M15" s="15">
        <f>MAX(0,$F15-INDEX(Grid_Stock[#Data],1,$P$7+5))</f>
        <v/>
      </c>
      <c r="N15" s="15">
        <f>MAX(0,$F15-INDEX(Grid_Stock[#Data],1,$P$7+6))</f>
        <v/>
      </c>
      <c r="O15" s="15">
        <f>MAX(0,$F15-INDEX(Grid_Stock[#Data],1,$P$7+7))</f>
        <v/>
      </c>
      <c r="P15" s="15">
        <f>MAX(0,$F15-INDEX(Grid_Stock[#Data],1,$P$7+8))</f>
        <v/>
      </c>
      <c r="Q15" s="15">
        <f>MAX(0,$F15-INDEX(Grid_Stock[#Data],1,$P$7+9))</f>
        <v/>
      </c>
      <c r="R15" s="15">
        <f>MAX(0,$F15-INDEX(Grid_Stock[#Data],1,$P$7+10))</f>
        <v/>
      </c>
      <c r="S15" s="15">
        <f>MAX(0,$F15-INDEX(Grid_Stock[#Data],1,$P$7+11))</f>
        <v/>
      </c>
      <c r="T15" s="15">
        <f>MAX(0,$F15-INDEX(Grid_Stock[#Data],1,$P$7+12))</f>
        <v/>
      </c>
      <c r="U15" s="15">
        <f>SUM(H15:T15)</f>
        <v/>
      </c>
    </row>
    <row r="16">
      <c r="B16" s="17">
        <f>IFERROR(INDEX(M_RawMaterials[Description],MATCH("CHEM-1670",M_RawMaterials[RM_Code],0)),"")</f>
        <v/>
      </c>
      <c r="C16" s="17" t="inlineStr">
        <is>
          <t>712886265</t>
        </is>
      </c>
      <c r="D16" s="17" t="inlineStr">
        <is>
          <t>CHEM-1670</t>
        </is>
      </c>
      <c r="E16" s="17" t="inlineStr">
        <is>
          <t>kg</t>
        </is>
      </c>
      <c r="F16" s="17">
        <f>IFERROR(INDEX(M_RawMaterials[SafetyStock_Qty_要入力],MATCH("CHEM-1670",M_RawMaterials[RM_Code],0)),0)</f>
        <v/>
      </c>
      <c r="G16" s="17">
        <f>INDEX(Grid_Stock[#Data],2,$P$7)</f>
        <v/>
      </c>
      <c r="H16" s="17">
        <f>MAX(0,$F16-INDEX(Grid_Stock[#Data],2,$P$7+0))</f>
        <v/>
      </c>
      <c r="I16" s="17">
        <f>MAX(0,$F16-INDEX(Grid_Stock[#Data],2,$P$7+1))</f>
        <v/>
      </c>
      <c r="J16" s="17">
        <f>MAX(0,$F16-INDEX(Grid_Stock[#Data],2,$P$7+2))</f>
        <v/>
      </c>
      <c r="K16" s="17">
        <f>MAX(0,$F16-INDEX(Grid_Stock[#Data],2,$P$7+3))</f>
        <v/>
      </c>
      <c r="L16" s="17">
        <f>MAX(0,$F16-INDEX(Grid_Stock[#Data],2,$P$7+4))</f>
        <v/>
      </c>
      <c r="M16" s="17">
        <f>MAX(0,$F16-INDEX(Grid_Stock[#Data],2,$P$7+5))</f>
        <v/>
      </c>
      <c r="N16" s="17">
        <f>MAX(0,$F16-INDEX(Grid_Stock[#Data],2,$P$7+6))</f>
        <v/>
      </c>
      <c r="O16" s="17">
        <f>MAX(0,$F16-INDEX(Grid_Stock[#Data],2,$P$7+7))</f>
        <v/>
      </c>
      <c r="P16" s="17">
        <f>MAX(0,$F16-INDEX(Grid_Stock[#Data],2,$P$7+8))</f>
        <v/>
      </c>
      <c r="Q16" s="17">
        <f>MAX(0,$F16-INDEX(Grid_Stock[#Data],2,$P$7+9))</f>
        <v/>
      </c>
      <c r="R16" s="17">
        <f>MAX(0,$F16-INDEX(Grid_Stock[#Data],2,$P$7+10))</f>
        <v/>
      </c>
      <c r="S16" s="17">
        <f>MAX(0,$F16-INDEX(Grid_Stock[#Data],2,$P$7+11))</f>
        <v/>
      </c>
      <c r="T16" s="17">
        <f>MAX(0,$F16-INDEX(Grid_Stock[#Data],2,$P$7+12))</f>
        <v/>
      </c>
      <c r="U16" s="17">
        <f>SUM(H16:T16)</f>
        <v/>
      </c>
    </row>
    <row r="17">
      <c r="B17" s="15">
        <f>IFERROR(INDEX(M_RawMaterials[Description],MATCH("CHEM-1700",M_RawMaterials[RM_Code],0)),"")</f>
        <v/>
      </c>
      <c r="C17" s="15" t="inlineStr">
        <is>
          <t>712886270</t>
        </is>
      </c>
      <c r="D17" s="15" t="inlineStr">
        <is>
          <t>CHEM-1700</t>
        </is>
      </c>
      <c r="E17" s="15" t="inlineStr">
        <is>
          <t>kg</t>
        </is>
      </c>
      <c r="F17" s="15">
        <f>IFERROR(INDEX(M_RawMaterials[SafetyStock_Qty_要入力],MATCH("CHEM-1700",M_RawMaterials[RM_Code],0)),0)</f>
        <v/>
      </c>
      <c r="G17" s="15">
        <f>INDEX(Grid_Stock[#Data],3,$P$7)</f>
        <v/>
      </c>
      <c r="H17" s="15">
        <f>MAX(0,$F17-INDEX(Grid_Stock[#Data],3,$P$7+0))</f>
        <v/>
      </c>
      <c r="I17" s="15">
        <f>MAX(0,$F17-INDEX(Grid_Stock[#Data],3,$P$7+1))</f>
        <v/>
      </c>
      <c r="J17" s="15">
        <f>MAX(0,$F17-INDEX(Grid_Stock[#Data],3,$P$7+2))</f>
        <v/>
      </c>
      <c r="K17" s="15">
        <f>MAX(0,$F17-INDEX(Grid_Stock[#Data],3,$P$7+3))</f>
        <v/>
      </c>
      <c r="L17" s="15">
        <f>MAX(0,$F17-INDEX(Grid_Stock[#Data],3,$P$7+4))</f>
        <v/>
      </c>
      <c r="M17" s="15">
        <f>MAX(0,$F17-INDEX(Grid_Stock[#Data],3,$P$7+5))</f>
        <v/>
      </c>
      <c r="N17" s="15">
        <f>MAX(0,$F17-INDEX(Grid_Stock[#Data],3,$P$7+6))</f>
        <v/>
      </c>
      <c r="O17" s="15">
        <f>MAX(0,$F17-INDEX(Grid_Stock[#Data],3,$P$7+7))</f>
        <v/>
      </c>
      <c r="P17" s="15">
        <f>MAX(0,$F17-INDEX(Grid_Stock[#Data],3,$P$7+8))</f>
        <v/>
      </c>
      <c r="Q17" s="15">
        <f>MAX(0,$F17-INDEX(Grid_Stock[#Data],3,$P$7+9))</f>
        <v/>
      </c>
      <c r="R17" s="15">
        <f>MAX(0,$F17-INDEX(Grid_Stock[#Data],3,$P$7+10))</f>
        <v/>
      </c>
      <c r="S17" s="15">
        <f>MAX(0,$F17-INDEX(Grid_Stock[#Data],3,$P$7+11))</f>
        <v/>
      </c>
      <c r="T17" s="15">
        <f>MAX(0,$F17-INDEX(Grid_Stock[#Data],3,$P$7+12))</f>
        <v/>
      </c>
      <c r="U17" s="15">
        <f>SUM(H17:T17)</f>
        <v/>
      </c>
    </row>
    <row r="18">
      <c r="B18" s="17">
        <f>IFERROR(INDEX(M_RawMaterials[Description],MATCH("CHEM-1420",M_RawMaterials[RM_Code],0)),"")</f>
        <v/>
      </c>
      <c r="C18" s="17" t="inlineStr">
        <is>
          <t>71288629601</t>
        </is>
      </c>
      <c r="D18" s="17" t="inlineStr">
        <is>
          <t>CHEM-1420</t>
        </is>
      </c>
      <c r="E18" s="17" t="inlineStr">
        <is>
          <t>kg</t>
        </is>
      </c>
      <c r="F18" s="17">
        <f>IFERROR(INDEX(M_RawMaterials[SafetyStock_Qty_要入力],MATCH("CHEM-1420",M_RawMaterials[RM_Code],0)),0)</f>
        <v/>
      </c>
      <c r="G18" s="17">
        <f>INDEX(Grid_Stock[#Data],4,$P$7)</f>
        <v/>
      </c>
      <c r="H18" s="17">
        <f>MAX(0,$F18-INDEX(Grid_Stock[#Data],4,$P$7+0))</f>
        <v/>
      </c>
      <c r="I18" s="17">
        <f>MAX(0,$F18-INDEX(Grid_Stock[#Data],4,$P$7+1))</f>
        <v/>
      </c>
      <c r="J18" s="17">
        <f>MAX(0,$F18-INDEX(Grid_Stock[#Data],4,$P$7+2))</f>
        <v/>
      </c>
      <c r="K18" s="17">
        <f>MAX(0,$F18-INDEX(Grid_Stock[#Data],4,$P$7+3))</f>
        <v/>
      </c>
      <c r="L18" s="17">
        <f>MAX(0,$F18-INDEX(Grid_Stock[#Data],4,$P$7+4))</f>
        <v/>
      </c>
      <c r="M18" s="17">
        <f>MAX(0,$F18-INDEX(Grid_Stock[#Data],4,$P$7+5))</f>
        <v/>
      </c>
      <c r="N18" s="17">
        <f>MAX(0,$F18-INDEX(Grid_Stock[#Data],4,$P$7+6))</f>
        <v/>
      </c>
      <c r="O18" s="17">
        <f>MAX(0,$F18-INDEX(Grid_Stock[#Data],4,$P$7+7))</f>
        <v/>
      </c>
      <c r="P18" s="17">
        <f>MAX(0,$F18-INDEX(Grid_Stock[#Data],4,$P$7+8))</f>
        <v/>
      </c>
      <c r="Q18" s="17">
        <f>MAX(0,$F18-INDEX(Grid_Stock[#Data],4,$P$7+9))</f>
        <v/>
      </c>
      <c r="R18" s="17">
        <f>MAX(0,$F18-INDEX(Grid_Stock[#Data],4,$P$7+10))</f>
        <v/>
      </c>
      <c r="S18" s="17">
        <f>MAX(0,$F18-INDEX(Grid_Stock[#Data],4,$P$7+11))</f>
        <v/>
      </c>
      <c r="T18" s="17">
        <f>MAX(0,$F18-INDEX(Grid_Stock[#Data],4,$P$7+12))</f>
        <v/>
      </c>
      <c r="U18" s="17">
        <f>SUM(H18:T18)</f>
        <v/>
      </c>
    </row>
    <row r="19">
      <c r="B19" s="15">
        <f>IFERROR(INDEX(M_RawMaterials[Description],MATCH("CHEM-1530",M_RawMaterials[RM_Code],0)),"")</f>
        <v/>
      </c>
      <c r="C19" s="15" t="inlineStr">
        <is>
          <t>71388003501</t>
        </is>
      </c>
      <c r="D19" s="15" t="inlineStr">
        <is>
          <t>CHEM-1530</t>
        </is>
      </c>
      <c r="E19" s="15" t="inlineStr">
        <is>
          <t>kg</t>
        </is>
      </c>
      <c r="F19" s="15">
        <f>IFERROR(INDEX(M_RawMaterials[SafetyStock_Qty_要入力],MATCH("CHEM-1530",M_RawMaterials[RM_Code],0)),0)</f>
        <v/>
      </c>
      <c r="G19" s="15">
        <f>INDEX(Grid_Stock[#Data],5,$P$7)</f>
        <v/>
      </c>
      <c r="H19" s="15">
        <f>MAX(0,$F19-INDEX(Grid_Stock[#Data],5,$P$7+0))</f>
        <v/>
      </c>
      <c r="I19" s="15">
        <f>MAX(0,$F19-INDEX(Grid_Stock[#Data],5,$P$7+1))</f>
        <v/>
      </c>
      <c r="J19" s="15">
        <f>MAX(0,$F19-INDEX(Grid_Stock[#Data],5,$P$7+2))</f>
        <v/>
      </c>
      <c r="K19" s="15">
        <f>MAX(0,$F19-INDEX(Grid_Stock[#Data],5,$P$7+3))</f>
        <v/>
      </c>
      <c r="L19" s="15">
        <f>MAX(0,$F19-INDEX(Grid_Stock[#Data],5,$P$7+4))</f>
        <v/>
      </c>
      <c r="M19" s="15">
        <f>MAX(0,$F19-INDEX(Grid_Stock[#Data],5,$P$7+5))</f>
        <v/>
      </c>
      <c r="N19" s="15">
        <f>MAX(0,$F19-INDEX(Grid_Stock[#Data],5,$P$7+6))</f>
        <v/>
      </c>
      <c r="O19" s="15">
        <f>MAX(0,$F19-INDEX(Grid_Stock[#Data],5,$P$7+7))</f>
        <v/>
      </c>
      <c r="P19" s="15">
        <f>MAX(0,$F19-INDEX(Grid_Stock[#Data],5,$P$7+8))</f>
        <v/>
      </c>
      <c r="Q19" s="15">
        <f>MAX(0,$F19-INDEX(Grid_Stock[#Data],5,$P$7+9))</f>
        <v/>
      </c>
      <c r="R19" s="15">
        <f>MAX(0,$F19-INDEX(Grid_Stock[#Data],5,$P$7+10))</f>
        <v/>
      </c>
      <c r="S19" s="15">
        <f>MAX(0,$F19-INDEX(Grid_Stock[#Data],5,$P$7+11))</f>
        <v/>
      </c>
      <c r="T19" s="15">
        <f>MAX(0,$F19-INDEX(Grid_Stock[#Data],5,$P$7+12))</f>
        <v/>
      </c>
      <c r="U19" s="15">
        <f>SUM(H19:T19)</f>
        <v/>
      </c>
    </row>
    <row r="20">
      <c r="B20" s="17">
        <f>IFERROR(INDEX(M_RawMaterials[Description],MATCH("CHEM-1540",M_RawMaterials[RM_Code],0)),"")</f>
        <v/>
      </c>
      <c r="C20" s="17" t="inlineStr">
        <is>
          <t>71388005801</t>
        </is>
      </c>
      <c r="D20" s="17" t="inlineStr">
        <is>
          <t>CHEM-1540</t>
        </is>
      </c>
      <c r="E20" s="17" t="inlineStr">
        <is>
          <t>kg</t>
        </is>
      </c>
      <c r="F20" s="17">
        <f>IFERROR(INDEX(M_RawMaterials[SafetyStock_Qty_要入力],MATCH("CHEM-1540",M_RawMaterials[RM_Code],0)),0)</f>
        <v/>
      </c>
      <c r="G20" s="17">
        <f>INDEX(Grid_Stock[#Data],6,$P$7)</f>
        <v/>
      </c>
      <c r="H20" s="17">
        <f>MAX(0,$F20-INDEX(Grid_Stock[#Data],6,$P$7+0))</f>
        <v/>
      </c>
      <c r="I20" s="17">
        <f>MAX(0,$F20-INDEX(Grid_Stock[#Data],6,$P$7+1))</f>
        <v/>
      </c>
      <c r="J20" s="17">
        <f>MAX(0,$F20-INDEX(Grid_Stock[#Data],6,$P$7+2))</f>
        <v/>
      </c>
      <c r="K20" s="17">
        <f>MAX(0,$F20-INDEX(Grid_Stock[#Data],6,$P$7+3))</f>
        <v/>
      </c>
      <c r="L20" s="17">
        <f>MAX(0,$F20-INDEX(Grid_Stock[#Data],6,$P$7+4))</f>
        <v/>
      </c>
      <c r="M20" s="17">
        <f>MAX(0,$F20-INDEX(Grid_Stock[#Data],6,$P$7+5))</f>
        <v/>
      </c>
      <c r="N20" s="17">
        <f>MAX(0,$F20-INDEX(Grid_Stock[#Data],6,$P$7+6))</f>
        <v/>
      </c>
      <c r="O20" s="17">
        <f>MAX(0,$F20-INDEX(Grid_Stock[#Data],6,$P$7+7))</f>
        <v/>
      </c>
      <c r="P20" s="17">
        <f>MAX(0,$F20-INDEX(Grid_Stock[#Data],6,$P$7+8))</f>
        <v/>
      </c>
      <c r="Q20" s="17">
        <f>MAX(0,$F20-INDEX(Grid_Stock[#Data],6,$P$7+9))</f>
        <v/>
      </c>
      <c r="R20" s="17">
        <f>MAX(0,$F20-INDEX(Grid_Stock[#Data],6,$P$7+10))</f>
        <v/>
      </c>
      <c r="S20" s="17">
        <f>MAX(0,$F20-INDEX(Grid_Stock[#Data],6,$P$7+11))</f>
        <v/>
      </c>
      <c r="T20" s="17">
        <f>MAX(0,$F20-INDEX(Grid_Stock[#Data],6,$P$7+12))</f>
        <v/>
      </c>
      <c r="U20" s="17">
        <f>SUM(H20:T20)</f>
        <v/>
      </c>
    </row>
    <row r="21">
      <c r="B21" s="15">
        <f>IFERROR(INDEX(M_RawMaterials[Description],MATCH("CHEM-1690",M_RawMaterials[RM_Code],0)),"")</f>
        <v/>
      </c>
      <c r="C21" s="15" t="inlineStr">
        <is>
          <t>734831040</t>
        </is>
      </c>
      <c r="D21" s="15" t="inlineStr">
        <is>
          <t>CHEM-1690</t>
        </is>
      </c>
      <c r="E21" s="15" t="inlineStr">
        <is>
          <t>kg</t>
        </is>
      </c>
      <c r="F21" s="15">
        <f>IFERROR(INDEX(M_RawMaterials[SafetyStock_Qty_要入力],MATCH("CHEM-1690",M_RawMaterials[RM_Code],0)),0)</f>
        <v/>
      </c>
      <c r="G21" s="15">
        <f>INDEX(Grid_Stock[#Data],7,$P$7)</f>
        <v/>
      </c>
      <c r="H21" s="15">
        <f>MAX(0,$F21-INDEX(Grid_Stock[#Data],7,$P$7+0))</f>
        <v/>
      </c>
      <c r="I21" s="15">
        <f>MAX(0,$F21-INDEX(Grid_Stock[#Data],7,$P$7+1))</f>
        <v/>
      </c>
      <c r="J21" s="15">
        <f>MAX(0,$F21-INDEX(Grid_Stock[#Data],7,$P$7+2))</f>
        <v/>
      </c>
      <c r="K21" s="15">
        <f>MAX(0,$F21-INDEX(Grid_Stock[#Data],7,$P$7+3))</f>
        <v/>
      </c>
      <c r="L21" s="15">
        <f>MAX(0,$F21-INDEX(Grid_Stock[#Data],7,$P$7+4))</f>
        <v/>
      </c>
      <c r="M21" s="15">
        <f>MAX(0,$F21-INDEX(Grid_Stock[#Data],7,$P$7+5))</f>
        <v/>
      </c>
      <c r="N21" s="15">
        <f>MAX(0,$F21-INDEX(Grid_Stock[#Data],7,$P$7+6))</f>
        <v/>
      </c>
      <c r="O21" s="15">
        <f>MAX(0,$F21-INDEX(Grid_Stock[#Data],7,$P$7+7))</f>
        <v/>
      </c>
      <c r="P21" s="15">
        <f>MAX(0,$F21-INDEX(Grid_Stock[#Data],7,$P$7+8))</f>
        <v/>
      </c>
      <c r="Q21" s="15">
        <f>MAX(0,$F21-INDEX(Grid_Stock[#Data],7,$P$7+9))</f>
        <v/>
      </c>
      <c r="R21" s="15">
        <f>MAX(0,$F21-INDEX(Grid_Stock[#Data],7,$P$7+10))</f>
        <v/>
      </c>
      <c r="S21" s="15">
        <f>MAX(0,$F21-INDEX(Grid_Stock[#Data],7,$P$7+11))</f>
        <v/>
      </c>
      <c r="T21" s="15">
        <f>MAX(0,$F21-INDEX(Grid_Stock[#Data],7,$P$7+12))</f>
        <v/>
      </c>
      <c r="U21" s="15">
        <f>SUM(H21:T21)</f>
        <v/>
      </c>
    </row>
    <row r="22">
      <c r="B22" s="17">
        <f>IFERROR(INDEX(M_RawMaterials[Description],MATCH("CHEM-1720",M_RawMaterials[RM_Code],0)),"")</f>
        <v/>
      </c>
      <c r="C22" s="17" t="inlineStr">
        <is>
          <t>734831050</t>
        </is>
      </c>
      <c r="D22" s="17" t="inlineStr">
        <is>
          <t>CHEM-1720</t>
        </is>
      </c>
      <c r="E22" s="17" t="inlineStr">
        <is>
          <t>kg</t>
        </is>
      </c>
      <c r="F22" s="17">
        <f>IFERROR(INDEX(M_RawMaterials[SafetyStock_Qty_要入力],MATCH("CHEM-1720",M_RawMaterials[RM_Code],0)),0)</f>
        <v/>
      </c>
      <c r="G22" s="17">
        <f>INDEX(Grid_Stock[#Data],8,$P$7)</f>
        <v/>
      </c>
      <c r="H22" s="17">
        <f>MAX(0,$F22-INDEX(Grid_Stock[#Data],8,$P$7+0))</f>
        <v/>
      </c>
      <c r="I22" s="17">
        <f>MAX(0,$F22-INDEX(Grid_Stock[#Data],8,$P$7+1))</f>
        <v/>
      </c>
      <c r="J22" s="17">
        <f>MAX(0,$F22-INDEX(Grid_Stock[#Data],8,$P$7+2))</f>
        <v/>
      </c>
      <c r="K22" s="17">
        <f>MAX(0,$F22-INDEX(Grid_Stock[#Data],8,$P$7+3))</f>
        <v/>
      </c>
      <c r="L22" s="17">
        <f>MAX(0,$F22-INDEX(Grid_Stock[#Data],8,$P$7+4))</f>
        <v/>
      </c>
      <c r="M22" s="17">
        <f>MAX(0,$F22-INDEX(Grid_Stock[#Data],8,$P$7+5))</f>
        <v/>
      </c>
      <c r="N22" s="17">
        <f>MAX(0,$F22-INDEX(Grid_Stock[#Data],8,$P$7+6))</f>
        <v/>
      </c>
      <c r="O22" s="17">
        <f>MAX(0,$F22-INDEX(Grid_Stock[#Data],8,$P$7+7))</f>
        <v/>
      </c>
      <c r="P22" s="17">
        <f>MAX(0,$F22-INDEX(Grid_Stock[#Data],8,$P$7+8))</f>
        <v/>
      </c>
      <c r="Q22" s="17">
        <f>MAX(0,$F22-INDEX(Grid_Stock[#Data],8,$P$7+9))</f>
        <v/>
      </c>
      <c r="R22" s="17">
        <f>MAX(0,$F22-INDEX(Grid_Stock[#Data],8,$P$7+10))</f>
        <v/>
      </c>
      <c r="S22" s="17">
        <f>MAX(0,$F22-INDEX(Grid_Stock[#Data],8,$P$7+11))</f>
        <v/>
      </c>
      <c r="T22" s="17">
        <f>MAX(0,$F22-INDEX(Grid_Stock[#Data],8,$P$7+12))</f>
        <v/>
      </c>
      <c r="U22" s="17">
        <f>SUM(H22:T22)</f>
        <v/>
      </c>
    </row>
    <row r="23">
      <c r="B23" s="15">
        <f>IFERROR(INDEX(M_RawMaterials[Description],MATCH("CHEM-1440",M_RawMaterials[RM_Code],0)),"")</f>
        <v/>
      </c>
      <c r="C23" s="15" t="inlineStr">
        <is>
          <t>83988005701</t>
        </is>
      </c>
      <c r="D23" s="15" t="inlineStr">
        <is>
          <t>CHEM-1440</t>
        </is>
      </c>
      <c r="E23" s="15" t="inlineStr">
        <is>
          <t>kg</t>
        </is>
      </c>
      <c r="F23" s="15">
        <f>IFERROR(INDEX(M_RawMaterials[SafetyStock_Qty_要入力],MATCH("CHEM-1440",M_RawMaterials[RM_Code],0)),0)</f>
        <v/>
      </c>
      <c r="G23" s="15">
        <f>INDEX(Grid_Stock[#Data],9,$P$7)</f>
        <v/>
      </c>
      <c r="H23" s="15">
        <f>MAX(0,$F23-INDEX(Grid_Stock[#Data],9,$P$7+0))</f>
        <v/>
      </c>
      <c r="I23" s="15">
        <f>MAX(0,$F23-INDEX(Grid_Stock[#Data],9,$P$7+1))</f>
        <v/>
      </c>
      <c r="J23" s="15">
        <f>MAX(0,$F23-INDEX(Grid_Stock[#Data],9,$P$7+2))</f>
        <v/>
      </c>
      <c r="K23" s="15">
        <f>MAX(0,$F23-INDEX(Grid_Stock[#Data],9,$P$7+3))</f>
        <v/>
      </c>
      <c r="L23" s="15">
        <f>MAX(0,$F23-INDEX(Grid_Stock[#Data],9,$P$7+4))</f>
        <v/>
      </c>
      <c r="M23" s="15">
        <f>MAX(0,$F23-INDEX(Grid_Stock[#Data],9,$P$7+5))</f>
        <v/>
      </c>
      <c r="N23" s="15">
        <f>MAX(0,$F23-INDEX(Grid_Stock[#Data],9,$P$7+6))</f>
        <v/>
      </c>
      <c r="O23" s="15">
        <f>MAX(0,$F23-INDEX(Grid_Stock[#Data],9,$P$7+7))</f>
        <v/>
      </c>
      <c r="P23" s="15">
        <f>MAX(0,$F23-INDEX(Grid_Stock[#Data],9,$P$7+8))</f>
        <v/>
      </c>
      <c r="Q23" s="15">
        <f>MAX(0,$F23-INDEX(Grid_Stock[#Data],9,$P$7+9))</f>
        <v/>
      </c>
      <c r="R23" s="15">
        <f>MAX(0,$F23-INDEX(Grid_Stock[#Data],9,$P$7+10))</f>
        <v/>
      </c>
      <c r="S23" s="15">
        <f>MAX(0,$F23-INDEX(Grid_Stock[#Data],9,$P$7+11))</f>
        <v/>
      </c>
      <c r="T23" s="15">
        <f>MAX(0,$F23-INDEX(Grid_Stock[#Data],9,$P$7+12))</f>
        <v/>
      </c>
      <c r="U23" s="15">
        <f>SUM(H23:T23)</f>
        <v/>
      </c>
    </row>
    <row r="24">
      <c r="B24" s="17">
        <f>IFERROR(INDEX(M_RawMaterials[Description],MATCH("PET FILM(900*1000)",M_RawMaterials[RM_Code],0)),"")</f>
        <v/>
      </c>
      <c r="C24" s="17" t="inlineStr">
        <is>
          <t>839884031</t>
        </is>
      </c>
      <c r="D24" s="17" t="inlineStr">
        <is>
          <t>PET FILM(900*1000)</t>
        </is>
      </c>
      <c r="E24" s="17" t="inlineStr">
        <is>
          <t>kg</t>
        </is>
      </c>
      <c r="F24" s="17">
        <f>IFERROR(INDEX(M_RawMaterials[SafetyStock_Qty_要入力],MATCH("PET FILM(900*1000)",M_RawMaterials[RM_Code],0)),0)</f>
        <v/>
      </c>
      <c r="G24" s="17">
        <f>INDEX(Grid_Stock[#Data],10,$P$7)</f>
        <v/>
      </c>
      <c r="H24" s="17">
        <f>MAX(0,$F24-INDEX(Grid_Stock[#Data],10,$P$7+0))</f>
        <v/>
      </c>
      <c r="I24" s="17">
        <f>MAX(0,$F24-INDEX(Grid_Stock[#Data],10,$P$7+1))</f>
        <v/>
      </c>
      <c r="J24" s="17">
        <f>MAX(0,$F24-INDEX(Grid_Stock[#Data],10,$P$7+2))</f>
        <v/>
      </c>
      <c r="K24" s="17">
        <f>MAX(0,$F24-INDEX(Grid_Stock[#Data],10,$P$7+3))</f>
        <v/>
      </c>
      <c r="L24" s="17">
        <f>MAX(0,$F24-INDEX(Grid_Stock[#Data],10,$P$7+4))</f>
        <v/>
      </c>
      <c r="M24" s="17">
        <f>MAX(0,$F24-INDEX(Grid_Stock[#Data],10,$P$7+5))</f>
        <v/>
      </c>
      <c r="N24" s="17">
        <f>MAX(0,$F24-INDEX(Grid_Stock[#Data],10,$P$7+6))</f>
        <v/>
      </c>
      <c r="O24" s="17">
        <f>MAX(0,$F24-INDEX(Grid_Stock[#Data],10,$P$7+7))</f>
        <v/>
      </c>
      <c r="P24" s="17">
        <f>MAX(0,$F24-INDEX(Grid_Stock[#Data],10,$P$7+8))</f>
        <v/>
      </c>
      <c r="Q24" s="17">
        <f>MAX(0,$F24-INDEX(Grid_Stock[#Data],10,$P$7+9))</f>
        <v/>
      </c>
      <c r="R24" s="17">
        <f>MAX(0,$F24-INDEX(Grid_Stock[#Data],10,$P$7+10))</f>
        <v/>
      </c>
      <c r="S24" s="17">
        <f>MAX(0,$F24-INDEX(Grid_Stock[#Data],10,$P$7+11))</f>
        <v/>
      </c>
      <c r="T24" s="17">
        <f>MAX(0,$F24-INDEX(Grid_Stock[#Data],10,$P$7+12))</f>
        <v/>
      </c>
      <c r="U24" s="17">
        <f>SUM(H24:T24)</f>
        <v/>
      </c>
    </row>
    <row r="25">
      <c r="B25" s="15">
        <f>IFERROR(INDEX(M_RawMaterials[Description],MATCH("4HL",M_RawMaterials[RM_Code],0)),"")</f>
        <v/>
      </c>
      <c r="C25" s="15" t="inlineStr">
        <is>
          <t>N60H27R08-JP</t>
        </is>
      </c>
      <c r="D25" s="15" t="inlineStr">
        <is>
          <t>4HL</t>
        </is>
      </c>
      <c r="E25" s="15" t="inlineStr">
        <is>
          <t>kg</t>
        </is>
      </c>
      <c r="F25" s="15">
        <f>IFERROR(INDEX(M_RawMaterials[SafetyStock_Qty_要入力],MATCH("4HL",M_RawMaterials[RM_Code],0)),0)</f>
        <v/>
      </c>
      <c r="G25" s="15">
        <f>INDEX(Grid_Stock[#Data],11,$P$7)</f>
        <v/>
      </c>
      <c r="H25" s="15">
        <f>MAX(0,$F25-INDEX(Grid_Stock[#Data],11,$P$7+0))</f>
        <v/>
      </c>
      <c r="I25" s="15">
        <f>MAX(0,$F25-INDEX(Grid_Stock[#Data],11,$P$7+1))</f>
        <v/>
      </c>
      <c r="J25" s="15">
        <f>MAX(0,$F25-INDEX(Grid_Stock[#Data],11,$P$7+2))</f>
        <v/>
      </c>
      <c r="K25" s="15">
        <f>MAX(0,$F25-INDEX(Grid_Stock[#Data],11,$P$7+3))</f>
        <v/>
      </c>
      <c r="L25" s="15">
        <f>MAX(0,$F25-INDEX(Grid_Stock[#Data],11,$P$7+4))</f>
        <v/>
      </c>
      <c r="M25" s="15">
        <f>MAX(0,$F25-INDEX(Grid_Stock[#Data],11,$P$7+5))</f>
        <v/>
      </c>
      <c r="N25" s="15">
        <f>MAX(0,$F25-INDEX(Grid_Stock[#Data],11,$P$7+6))</f>
        <v/>
      </c>
      <c r="O25" s="15">
        <f>MAX(0,$F25-INDEX(Grid_Stock[#Data],11,$P$7+7))</f>
        <v/>
      </c>
      <c r="P25" s="15">
        <f>MAX(0,$F25-INDEX(Grid_Stock[#Data],11,$P$7+8))</f>
        <v/>
      </c>
      <c r="Q25" s="15">
        <f>MAX(0,$F25-INDEX(Grid_Stock[#Data],11,$P$7+9))</f>
        <v/>
      </c>
      <c r="R25" s="15">
        <f>MAX(0,$F25-INDEX(Grid_Stock[#Data],11,$P$7+10))</f>
        <v/>
      </c>
      <c r="S25" s="15">
        <f>MAX(0,$F25-INDEX(Grid_Stock[#Data],11,$P$7+11))</f>
        <v/>
      </c>
      <c r="T25" s="15">
        <f>MAX(0,$F25-INDEX(Grid_Stock[#Data],11,$P$7+12))</f>
        <v/>
      </c>
      <c r="U25" s="15">
        <f>SUM(H25:T25)</f>
        <v/>
      </c>
    </row>
    <row r="26">
      <c r="B26" s="17">
        <f>IFERROR(INDEX(M_RawMaterials[Description],MATCH("1EK",M_RawMaterials[RM_Code],0)),"")</f>
        <v/>
      </c>
      <c r="C26" s="17" t="inlineStr">
        <is>
          <t>N60H29R08-JP</t>
        </is>
      </c>
      <c r="D26" s="17" t="inlineStr">
        <is>
          <t>1EK</t>
        </is>
      </c>
      <c r="E26" s="17" t="inlineStr">
        <is>
          <t>kg</t>
        </is>
      </c>
      <c r="F26" s="17">
        <f>IFERROR(INDEX(M_RawMaterials[SafetyStock_Qty_要入力],MATCH("1EK",M_RawMaterials[RM_Code],0)),0)</f>
        <v/>
      </c>
      <c r="G26" s="17">
        <f>INDEX(Grid_Stock[#Data],12,$P$7)</f>
        <v/>
      </c>
      <c r="H26" s="17">
        <f>MAX(0,$F26-INDEX(Grid_Stock[#Data],12,$P$7+0))</f>
        <v/>
      </c>
      <c r="I26" s="17">
        <f>MAX(0,$F26-INDEX(Grid_Stock[#Data],12,$P$7+1))</f>
        <v/>
      </c>
      <c r="J26" s="17">
        <f>MAX(0,$F26-INDEX(Grid_Stock[#Data],12,$P$7+2))</f>
        <v/>
      </c>
      <c r="K26" s="17">
        <f>MAX(0,$F26-INDEX(Grid_Stock[#Data],12,$P$7+3))</f>
        <v/>
      </c>
      <c r="L26" s="17">
        <f>MAX(0,$F26-INDEX(Grid_Stock[#Data],12,$P$7+4))</f>
        <v/>
      </c>
      <c r="M26" s="17">
        <f>MAX(0,$F26-INDEX(Grid_Stock[#Data],12,$P$7+5))</f>
        <v/>
      </c>
      <c r="N26" s="17">
        <f>MAX(0,$F26-INDEX(Grid_Stock[#Data],12,$P$7+6))</f>
        <v/>
      </c>
      <c r="O26" s="17">
        <f>MAX(0,$F26-INDEX(Grid_Stock[#Data],12,$P$7+7))</f>
        <v/>
      </c>
      <c r="P26" s="17">
        <f>MAX(0,$F26-INDEX(Grid_Stock[#Data],12,$P$7+8))</f>
        <v/>
      </c>
      <c r="Q26" s="17">
        <f>MAX(0,$F26-INDEX(Grid_Stock[#Data],12,$P$7+9))</f>
        <v/>
      </c>
      <c r="R26" s="17">
        <f>MAX(0,$F26-INDEX(Grid_Stock[#Data],12,$P$7+10))</f>
        <v/>
      </c>
      <c r="S26" s="17">
        <f>MAX(0,$F26-INDEX(Grid_Stock[#Data],12,$P$7+11))</f>
        <v/>
      </c>
      <c r="T26" s="17">
        <f>MAX(0,$F26-INDEX(Grid_Stock[#Data],12,$P$7+12))</f>
        <v/>
      </c>
      <c r="U26" s="17">
        <f>SUM(H26:T26)</f>
        <v/>
      </c>
    </row>
    <row r="27">
      <c r="B27" s="15">
        <f>IFERROR(INDEX(M_RawMaterials[Description],MATCH("7CL",M_RawMaterials[RM_Code],0)),"")</f>
        <v/>
      </c>
      <c r="C27" s="15" t="inlineStr">
        <is>
          <t>N75H28R08-JP</t>
        </is>
      </c>
      <c r="D27" s="15" t="inlineStr">
        <is>
          <t>7CL</t>
        </is>
      </c>
      <c r="E27" s="15" t="inlineStr">
        <is>
          <t>kg</t>
        </is>
      </c>
      <c r="F27" s="15">
        <f>IFERROR(INDEX(M_RawMaterials[SafetyStock_Qty_要入力],MATCH("7CL",M_RawMaterials[RM_Code],0)),0)</f>
        <v/>
      </c>
      <c r="G27" s="15">
        <f>INDEX(Grid_Stock[#Data],13,$P$7)</f>
        <v/>
      </c>
      <c r="H27" s="15">
        <f>MAX(0,$F27-INDEX(Grid_Stock[#Data],13,$P$7+0))</f>
        <v/>
      </c>
      <c r="I27" s="15">
        <f>MAX(0,$F27-INDEX(Grid_Stock[#Data],13,$P$7+1))</f>
        <v/>
      </c>
      <c r="J27" s="15">
        <f>MAX(0,$F27-INDEX(Grid_Stock[#Data],13,$P$7+2))</f>
        <v/>
      </c>
      <c r="K27" s="15">
        <f>MAX(0,$F27-INDEX(Grid_Stock[#Data],13,$P$7+3))</f>
        <v/>
      </c>
      <c r="L27" s="15">
        <f>MAX(0,$F27-INDEX(Grid_Stock[#Data],13,$P$7+4))</f>
        <v/>
      </c>
      <c r="M27" s="15">
        <f>MAX(0,$F27-INDEX(Grid_Stock[#Data],13,$P$7+5))</f>
        <v/>
      </c>
      <c r="N27" s="15">
        <f>MAX(0,$F27-INDEX(Grid_Stock[#Data],13,$P$7+6))</f>
        <v/>
      </c>
      <c r="O27" s="15">
        <f>MAX(0,$F27-INDEX(Grid_Stock[#Data],13,$P$7+7))</f>
        <v/>
      </c>
      <c r="P27" s="15">
        <f>MAX(0,$F27-INDEX(Grid_Stock[#Data],13,$P$7+8))</f>
        <v/>
      </c>
      <c r="Q27" s="15">
        <f>MAX(0,$F27-INDEX(Grid_Stock[#Data],13,$P$7+9))</f>
        <v/>
      </c>
      <c r="R27" s="15">
        <f>MAX(0,$F27-INDEX(Grid_Stock[#Data],13,$P$7+10))</f>
        <v/>
      </c>
      <c r="S27" s="15">
        <f>MAX(0,$F27-INDEX(Grid_Stock[#Data],13,$P$7+11))</f>
        <v/>
      </c>
      <c r="T27" s="15">
        <f>MAX(0,$F27-INDEX(Grid_Stock[#Data],13,$P$7+12))</f>
        <v/>
      </c>
      <c r="U27" s="15">
        <f>SUM(H27:T27)</f>
        <v/>
      </c>
    </row>
    <row r="28">
      <c r="B28" s="17">
        <f>IFERROR(INDEX(M_RawMaterials[Description],MATCH("F2290",M_RawMaterials[RM_Code],0)),"")</f>
        <v/>
      </c>
      <c r="C28" s="17" t="inlineStr">
        <is>
          <t>18465-F3010Z</t>
        </is>
      </c>
      <c r="D28" s="17" t="inlineStr">
        <is>
          <t>F2290</t>
        </is>
      </c>
      <c r="E28" s="17" t="inlineStr">
        <is>
          <t>kg</t>
        </is>
      </c>
      <c r="F28" s="17">
        <f>IFERROR(INDEX(M_RawMaterials[SafetyStock_Qty_要入力],MATCH("F2290",M_RawMaterials[RM_Code],0)),0)</f>
        <v/>
      </c>
      <c r="G28" s="17">
        <f>INDEX(Grid_Stock[#Data],16,$P$7)</f>
        <v/>
      </c>
      <c r="H28" s="17">
        <f>MAX(0,$F28-INDEX(Grid_Stock[#Data],16,$P$7+0))</f>
        <v/>
      </c>
      <c r="I28" s="17">
        <f>MAX(0,$F28-INDEX(Grid_Stock[#Data],16,$P$7+1))</f>
        <v/>
      </c>
      <c r="J28" s="17">
        <f>MAX(0,$F28-INDEX(Grid_Stock[#Data],16,$P$7+2))</f>
        <v/>
      </c>
      <c r="K28" s="17">
        <f>MAX(0,$F28-INDEX(Grid_Stock[#Data],16,$P$7+3))</f>
        <v/>
      </c>
      <c r="L28" s="17">
        <f>MAX(0,$F28-INDEX(Grid_Stock[#Data],16,$P$7+4))</f>
        <v/>
      </c>
      <c r="M28" s="17">
        <f>MAX(0,$F28-INDEX(Grid_Stock[#Data],16,$P$7+5))</f>
        <v/>
      </c>
      <c r="N28" s="17">
        <f>MAX(0,$F28-INDEX(Grid_Stock[#Data],16,$P$7+6))</f>
        <v/>
      </c>
      <c r="O28" s="17">
        <f>MAX(0,$F28-INDEX(Grid_Stock[#Data],16,$P$7+7))</f>
        <v/>
      </c>
      <c r="P28" s="17">
        <f>MAX(0,$F28-INDEX(Grid_Stock[#Data],16,$P$7+8))</f>
        <v/>
      </c>
      <c r="Q28" s="17">
        <f>MAX(0,$F28-INDEX(Grid_Stock[#Data],16,$P$7+9))</f>
        <v/>
      </c>
      <c r="R28" s="17">
        <f>MAX(0,$F28-INDEX(Grid_Stock[#Data],16,$P$7+10))</f>
        <v/>
      </c>
      <c r="S28" s="17">
        <f>MAX(0,$F28-INDEX(Grid_Stock[#Data],16,$P$7+11))</f>
        <v/>
      </c>
      <c r="T28" s="17">
        <f>MAX(0,$F28-INDEX(Grid_Stock[#Data],16,$P$7+12))</f>
        <v/>
      </c>
      <c r="U28" s="17">
        <f>SUM(H28:T28)</f>
        <v/>
      </c>
    </row>
    <row r="29">
      <c r="B29" s="15">
        <f>IFERROR(INDEX(M_RawMaterials[Description],MATCH("CHEM-1400",M_RawMaterials[RM_Code],0)),"")</f>
        <v/>
      </c>
      <c r="C29" s="15" t="inlineStr">
        <is>
          <t>71288617001</t>
        </is>
      </c>
      <c r="D29" s="15" t="inlineStr">
        <is>
          <t>CHEM-1400</t>
        </is>
      </c>
      <c r="E29" s="15" t="inlineStr">
        <is>
          <t>kg</t>
        </is>
      </c>
      <c r="F29" s="15">
        <f>IFERROR(INDEX(M_RawMaterials[SafetyStock_Qty_要入力],MATCH("CHEM-1400",M_RawMaterials[RM_Code],0)),0)</f>
        <v/>
      </c>
      <c r="G29" s="15">
        <f>INDEX(Grid_Stock[#Data],17,$P$7)</f>
        <v/>
      </c>
      <c r="H29" s="15">
        <f>MAX(0,$F29-INDEX(Grid_Stock[#Data],17,$P$7+0))</f>
        <v/>
      </c>
      <c r="I29" s="15">
        <f>MAX(0,$F29-INDEX(Grid_Stock[#Data],17,$P$7+1))</f>
        <v/>
      </c>
      <c r="J29" s="15">
        <f>MAX(0,$F29-INDEX(Grid_Stock[#Data],17,$P$7+2))</f>
        <v/>
      </c>
      <c r="K29" s="15">
        <f>MAX(0,$F29-INDEX(Grid_Stock[#Data],17,$P$7+3))</f>
        <v/>
      </c>
      <c r="L29" s="15">
        <f>MAX(0,$F29-INDEX(Grid_Stock[#Data],17,$P$7+4))</f>
        <v/>
      </c>
      <c r="M29" s="15">
        <f>MAX(0,$F29-INDEX(Grid_Stock[#Data],17,$P$7+5))</f>
        <v/>
      </c>
      <c r="N29" s="15">
        <f>MAX(0,$F29-INDEX(Grid_Stock[#Data],17,$P$7+6))</f>
        <v/>
      </c>
      <c r="O29" s="15">
        <f>MAX(0,$F29-INDEX(Grid_Stock[#Data],17,$P$7+7))</f>
        <v/>
      </c>
      <c r="P29" s="15">
        <f>MAX(0,$F29-INDEX(Grid_Stock[#Data],17,$P$7+8))</f>
        <v/>
      </c>
      <c r="Q29" s="15">
        <f>MAX(0,$F29-INDEX(Grid_Stock[#Data],17,$P$7+9))</f>
        <v/>
      </c>
      <c r="R29" s="15">
        <f>MAX(0,$F29-INDEX(Grid_Stock[#Data],17,$P$7+10))</f>
        <v/>
      </c>
      <c r="S29" s="15">
        <f>MAX(0,$F29-INDEX(Grid_Stock[#Data],17,$P$7+11))</f>
        <v/>
      </c>
      <c r="T29" s="15">
        <f>MAX(0,$F29-INDEX(Grid_Stock[#Data],17,$P$7+12))</f>
        <v/>
      </c>
      <c r="U29" s="15">
        <f>SUM(H29:T29)</f>
        <v/>
      </c>
    </row>
    <row r="30">
      <c r="B30" s="17">
        <f>IFERROR(INDEX(M_RawMaterials[Description],MATCH("CHEM-1570",M_RawMaterials[RM_Code],0)),"")</f>
        <v/>
      </c>
      <c r="C30" s="17" t="inlineStr">
        <is>
          <t>71288624802</t>
        </is>
      </c>
      <c r="D30" s="17" t="inlineStr">
        <is>
          <t>CHEM-1570</t>
        </is>
      </c>
      <c r="E30" s="17" t="inlineStr">
        <is>
          <t>kg</t>
        </is>
      </c>
      <c r="F30" s="17">
        <f>IFERROR(INDEX(M_RawMaterials[SafetyStock_Qty_要入力],MATCH("CHEM-1570",M_RawMaterials[RM_Code],0)),0)</f>
        <v/>
      </c>
      <c r="G30" s="17">
        <f>INDEX(Grid_Stock[#Data],18,$P$7)</f>
        <v/>
      </c>
      <c r="H30" s="17">
        <f>MAX(0,$F30-INDEX(Grid_Stock[#Data],18,$P$7+0))</f>
        <v/>
      </c>
      <c r="I30" s="17">
        <f>MAX(0,$F30-INDEX(Grid_Stock[#Data],18,$P$7+1))</f>
        <v/>
      </c>
      <c r="J30" s="17">
        <f>MAX(0,$F30-INDEX(Grid_Stock[#Data],18,$P$7+2))</f>
        <v/>
      </c>
      <c r="K30" s="17">
        <f>MAX(0,$F30-INDEX(Grid_Stock[#Data],18,$P$7+3))</f>
        <v/>
      </c>
      <c r="L30" s="17">
        <f>MAX(0,$F30-INDEX(Grid_Stock[#Data],18,$P$7+4))</f>
        <v/>
      </c>
      <c r="M30" s="17">
        <f>MAX(0,$F30-INDEX(Grid_Stock[#Data],18,$P$7+5))</f>
        <v/>
      </c>
      <c r="N30" s="17">
        <f>MAX(0,$F30-INDEX(Grid_Stock[#Data],18,$P$7+6))</f>
        <v/>
      </c>
      <c r="O30" s="17">
        <f>MAX(0,$F30-INDEX(Grid_Stock[#Data],18,$P$7+7))</f>
        <v/>
      </c>
      <c r="P30" s="17">
        <f>MAX(0,$F30-INDEX(Grid_Stock[#Data],18,$P$7+8))</f>
        <v/>
      </c>
      <c r="Q30" s="17">
        <f>MAX(0,$F30-INDEX(Grid_Stock[#Data],18,$P$7+9))</f>
        <v/>
      </c>
      <c r="R30" s="17">
        <f>MAX(0,$F30-INDEX(Grid_Stock[#Data],18,$P$7+10))</f>
        <v/>
      </c>
      <c r="S30" s="17">
        <f>MAX(0,$F30-INDEX(Grid_Stock[#Data],18,$P$7+11))</f>
        <v/>
      </c>
      <c r="T30" s="17">
        <f>MAX(0,$F30-INDEX(Grid_Stock[#Data],18,$P$7+12))</f>
        <v/>
      </c>
      <c r="U30" s="17">
        <f>SUM(H30:T30)</f>
        <v/>
      </c>
    </row>
    <row r="31">
      <c r="B31" s="15">
        <f>IFERROR(INDEX(M_RawMaterials[Description],MATCH("CHEM-1650",M_RawMaterials[RM_Code],0)),"")</f>
        <v/>
      </c>
      <c r="C31" s="15" t="inlineStr">
        <is>
          <t>712886256</t>
        </is>
      </c>
      <c r="D31" s="15" t="inlineStr">
        <is>
          <t>CHEM-1650</t>
        </is>
      </c>
      <c r="E31" s="15" t="inlineStr">
        <is>
          <t>kg</t>
        </is>
      </c>
      <c r="F31" s="15">
        <f>IFERROR(INDEX(M_RawMaterials[SafetyStock_Qty_要入力],MATCH("CHEM-1650",M_RawMaterials[RM_Code],0)),0)</f>
        <v/>
      </c>
      <c r="G31" s="15">
        <f>INDEX(Grid_Stock[#Data],19,$P$7)</f>
        <v/>
      </c>
      <c r="H31" s="15">
        <f>MAX(0,$F31-INDEX(Grid_Stock[#Data],19,$P$7+0))</f>
        <v/>
      </c>
      <c r="I31" s="15">
        <f>MAX(0,$F31-INDEX(Grid_Stock[#Data],19,$P$7+1))</f>
        <v/>
      </c>
      <c r="J31" s="15">
        <f>MAX(0,$F31-INDEX(Grid_Stock[#Data],19,$P$7+2))</f>
        <v/>
      </c>
      <c r="K31" s="15">
        <f>MAX(0,$F31-INDEX(Grid_Stock[#Data],19,$P$7+3))</f>
        <v/>
      </c>
      <c r="L31" s="15">
        <f>MAX(0,$F31-INDEX(Grid_Stock[#Data],19,$P$7+4))</f>
        <v/>
      </c>
      <c r="M31" s="15">
        <f>MAX(0,$F31-INDEX(Grid_Stock[#Data],19,$P$7+5))</f>
        <v/>
      </c>
      <c r="N31" s="15">
        <f>MAX(0,$F31-INDEX(Grid_Stock[#Data],19,$P$7+6))</f>
        <v/>
      </c>
      <c r="O31" s="15">
        <f>MAX(0,$F31-INDEX(Grid_Stock[#Data],19,$P$7+7))</f>
        <v/>
      </c>
      <c r="P31" s="15">
        <f>MAX(0,$F31-INDEX(Grid_Stock[#Data],19,$P$7+8))</f>
        <v/>
      </c>
      <c r="Q31" s="15">
        <f>MAX(0,$F31-INDEX(Grid_Stock[#Data],19,$P$7+9))</f>
        <v/>
      </c>
      <c r="R31" s="15">
        <f>MAX(0,$F31-INDEX(Grid_Stock[#Data],19,$P$7+10))</f>
        <v/>
      </c>
      <c r="S31" s="15">
        <f>MAX(0,$F31-INDEX(Grid_Stock[#Data],19,$P$7+11))</f>
        <v/>
      </c>
      <c r="T31" s="15">
        <f>MAX(0,$F31-INDEX(Grid_Stock[#Data],19,$P$7+12))</f>
        <v/>
      </c>
      <c r="U31" s="15">
        <f>SUM(H31:T31)</f>
        <v/>
      </c>
    </row>
    <row r="32">
      <c r="B32" s="17">
        <f>IFERROR(INDEX(M_RawMaterials[Description],MATCH("CHEM-1600",M_RawMaterials[RM_Code],0)),"")</f>
        <v/>
      </c>
      <c r="C32" s="17" t="inlineStr">
        <is>
          <t>71388005101</t>
        </is>
      </c>
      <c r="D32" s="17" t="inlineStr">
        <is>
          <t>CHEM-1600</t>
        </is>
      </c>
      <c r="E32" s="17" t="inlineStr">
        <is>
          <t>kg</t>
        </is>
      </c>
      <c r="F32" s="17">
        <f>IFERROR(INDEX(M_RawMaterials[SafetyStock_Qty_要入力],MATCH("CHEM-1600",M_RawMaterials[RM_Code],0)),0)</f>
        <v/>
      </c>
      <c r="G32" s="17">
        <f>INDEX(Grid_Stock[#Data],21,$P$7)</f>
        <v/>
      </c>
      <c r="H32" s="17">
        <f>MAX(0,$F32-INDEX(Grid_Stock[#Data],21,$P$7+0))</f>
        <v/>
      </c>
      <c r="I32" s="17">
        <f>MAX(0,$F32-INDEX(Grid_Stock[#Data],21,$P$7+1))</f>
        <v/>
      </c>
      <c r="J32" s="17">
        <f>MAX(0,$F32-INDEX(Grid_Stock[#Data],21,$P$7+2))</f>
        <v/>
      </c>
      <c r="K32" s="17">
        <f>MAX(0,$F32-INDEX(Grid_Stock[#Data],21,$P$7+3))</f>
        <v/>
      </c>
      <c r="L32" s="17">
        <f>MAX(0,$F32-INDEX(Grid_Stock[#Data],21,$P$7+4))</f>
        <v/>
      </c>
      <c r="M32" s="17">
        <f>MAX(0,$F32-INDEX(Grid_Stock[#Data],21,$P$7+5))</f>
        <v/>
      </c>
      <c r="N32" s="17">
        <f>MAX(0,$F32-INDEX(Grid_Stock[#Data],21,$P$7+6))</f>
        <v/>
      </c>
      <c r="O32" s="17">
        <f>MAX(0,$F32-INDEX(Grid_Stock[#Data],21,$P$7+7))</f>
        <v/>
      </c>
      <c r="P32" s="17">
        <f>MAX(0,$F32-INDEX(Grid_Stock[#Data],21,$P$7+8))</f>
        <v/>
      </c>
      <c r="Q32" s="17">
        <f>MAX(0,$F32-INDEX(Grid_Stock[#Data],21,$P$7+9))</f>
        <v/>
      </c>
      <c r="R32" s="17">
        <f>MAX(0,$F32-INDEX(Grid_Stock[#Data],21,$P$7+10))</f>
        <v/>
      </c>
      <c r="S32" s="17">
        <f>MAX(0,$F32-INDEX(Grid_Stock[#Data],21,$P$7+11))</f>
        <v/>
      </c>
      <c r="T32" s="17">
        <f>MAX(0,$F32-INDEX(Grid_Stock[#Data],21,$P$7+12))</f>
        <v/>
      </c>
      <c r="U32" s="17">
        <f>SUM(H32:T32)</f>
        <v/>
      </c>
    </row>
    <row r="33">
      <c r="B33" s="15">
        <f>IFERROR(INDEX(M_RawMaterials[Description],MATCH("CHEM-1240",M_RawMaterials[RM_Code],0)),"")</f>
        <v/>
      </c>
      <c r="C33" s="15" t="inlineStr">
        <is>
          <t>83988008101</t>
        </is>
      </c>
      <c r="D33" s="15" t="inlineStr">
        <is>
          <t>CHEM-1240</t>
        </is>
      </c>
      <c r="E33" s="15" t="inlineStr">
        <is>
          <t>kg</t>
        </is>
      </c>
      <c r="F33" s="15">
        <f>IFERROR(INDEX(M_RawMaterials[SafetyStock_Qty_要入力],MATCH("CHEM-1240",M_RawMaterials[RM_Code],0)),0)</f>
        <v/>
      </c>
      <c r="G33" s="15">
        <f>INDEX(Grid_Stock[#Data],23,$P$7)</f>
        <v/>
      </c>
      <c r="H33" s="15">
        <f>MAX(0,$F33-INDEX(Grid_Stock[#Data],23,$P$7+0))</f>
        <v/>
      </c>
      <c r="I33" s="15">
        <f>MAX(0,$F33-INDEX(Grid_Stock[#Data],23,$P$7+1))</f>
        <v/>
      </c>
      <c r="J33" s="15">
        <f>MAX(0,$F33-INDEX(Grid_Stock[#Data],23,$P$7+2))</f>
        <v/>
      </c>
      <c r="K33" s="15">
        <f>MAX(0,$F33-INDEX(Grid_Stock[#Data],23,$P$7+3))</f>
        <v/>
      </c>
      <c r="L33" s="15">
        <f>MAX(0,$F33-INDEX(Grid_Stock[#Data],23,$P$7+4))</f>
        <v/>
      </c>
      <c r="M33" s="15">
        <f>MAX(0,$F33-INDEX(Grid_Stock[#Data],23,$P$7+5))</f>
        <v/>
      </c>
      <c r="N33" s="15">
        <f>MAX(0,$F33-INDEX(Grid_Stock[#Data],23,$P$7+6))</f>
        <v/>
      </c>
      <c r="O33" s="15">
        <f>MAX(0,$F33-INDEX(Grid_Stock[#Data],23,$P$7+7))</f>
        <v/>
      </c>
      <c r="P33" s="15">
        <f>MAX(0,$F33-INDEX(Grid_Stock[#Data],23,$P$7+8))</f>
        <v/>
      </c>
      <c r="Q33" s="15">
        <f>MAX(0,$F33-INDEX(Grid_Stock[#Data],23,$P$7+9))</f>
        <v/>
      </c>
      <c r="R33" s="15">
        <f>MAX(0,$F33-INDEX(Grid_Stock[#Data],23,$P$7+10))</f>
        <v/>
      </c>
      <c r="S33" s="15">
        <f>MAX(0,$F33-INDEX(Grid_Stock[#Data],23,$P$7+11))</f>
        <v/>
      </c>
      <c r="T33" s="15">
        <f>MAX(0,$F33-INDEX(Grid_Stock[#Data],23,$P$7+12))</f>
        <v/>
      </c>
      <c r="U33" s="15">
        <f>SUM(H33:T33)</f>
        <v/>
      </c>
    </row>
    <row r="34">
      <c r="B34" s="17">
        <f>IFERROR(INDEX(M_RawMaterials[Description],MATCH("CHEM-1760",M_RawMaterials[RM_Code],0)),"")</f>
        <v/>
      </c>
      <c r="C34" s="17" t="inlineStr">
        <is>
          <t>713880079</t>
        </is>
      </c>
      <c r="D34" s="17" t="inlineStr">
        <is>
          <t>CHEM-1760</t>
        </is>
      </c>
      <c r="E34" s="17" t="inlineStr">
        <is>
          <t>kg</t>
        </is>
      </c>
      <c r="F34" s="17">
        <f>IFERROR(INDEX(M_RawMaterials[SafetyStock_Qty_要入力],MATCH("CHEM-1760",M_RawMaterials[RM_Code],0)),0)</f>
        <v/>
      </c>
      <c r="G34" s="17">
        <f>INDEX(Grid_Stock[#Data],25,$P$7)</f>
        <v/>
      </c>
      <c r="H34" s="17">
        <f>MAX(0,$F34-INDEX(Grid_Stock[#Data],25,$P$7+0))</f>
        <v/>
      </c>
      <c r="I34" s="17">
        <f>MAX(0,$F34-INDEX(Grid_Stock[#Data],25,$P$7+1))</f>
        <v/>
      </c>
      <c r="J34" s="17">
        <f>MAX(0,$F34-INDEX(Grid_Stock[#Data],25,$P$7+2))</f>
        <v/>
      </c>
      <c r="K34" s="17">
        <f>MAX(0,$F34-INDEX(Grid_Stock[#Data],25,$P$7+3))</f>
        <v/>
      </c>
      <c r="L34" s="17">
        <f>MAX(0,$F34-INDEX(Grid_Stock[#Data],25,$P$7+4))</f>
        <v/>
      </c>
      <c r="M34" s="17">
        <f>MAX(0,$F34-INDEX(Grid_Stock[#Data],25,$P$7+5))</f>
        <v/>
      </c>
      <c r="N34" s="17">
        <f>MAX(0,$F34-INDEX(Grid_Stock[#Data],25,$P$7+6))</f>
        <v/>
      </c>
      <c r="O34" s="17">
        <f>MAX(0,$F34-INDEX(Grid_Stock[#Data],25,$P$7+7))</f>
        <v/>
      </c>
      <c r="P34" s="17">
        <f>MAX(0,$F34-INDEX(Grid_Stock[#Data],25,$P$7+8))</f>
        <v/>
      </c>
      <c r="Q34" s="17">
        <f>MAX(0,$F34-INDEX(Grid_Stock[#Data],25,$P$7+9))</f>
        <v/>
      </c>
      <c r="R34" s="17">
        <f>MAX(0,$F34-INDEX(Grid_Stock[#Data],25,$P$7+10))</f>
        <v/>
      </c>
      <c r="S34" s="17">
        <f>MAX(0,$F34-INDEX(Grid_Stock[#Data],25,$P$7+11))</f>
        <v/>
      </c>
      <c r="T34" s="17">
        <f>MAX(0,$F34-INDEX(Grid_Stock[#Data],25,$P$7+12))</f>
        <v/>
      </c>
      <c r="U34" s="17">
        <f>SUM(H34:T34)</f>
        <v/>
      </c>
    </row>
    <row r="35">
      <c r="B35" s="15">
        <f>IFERROR(INDEX(M_RawMaterials[Description],MATCH("Original Towel",M_RawMaterials[RM_Code],0)),"")</f>
        <v/>
      </c>
      <c r="C35" s="15" t="inlineStr">
        <is>
          <t>859882220</t>
        </is>
      </c>
      <c r="D35" s="15" t="inlineStr">
        <is>
          <t>Original Towel</t>
        </is>
      </c>
      <c r="E35" s="15" t="inlineStr">
        <is>
          <t>kg</t>
        </is>
      </c>
      <c r="F35" s="15">
        <f>IFERROR(INDEX(M_RawMaterials[SafetyStock_Qty_要入力],MATCH("Original Towel",M_RawMaterials[RM_Code],0)),0)</f>
        <v/>
      </c>
      <c r="G35" s="15">
        <f>INDEX(Grid_Stock[#Data],26,$P$7)</f>
        <v/>
      </c>
      <c r="H35" s="15">
        <f>MAX(0,$F35-INDEX(Grid_Stock[#Data],26,$P$7+0))</f>
        <v/>
      </c>
      <c r="I35" s="15">
        <f>MAX(0,$F35-INDEX(Grid_Stock[#Data],26,$P$7+1))</f>
        <v/>
      </c>
      <c r="J35" s="15">
        <f>MAX(0,$F35-INDEX(Grid_Stock[#Data],26,$P$7+2))</f>
        <v/>
      </c>
      <c r="K35" s="15">
        <f>MAX(0,$F35-INDEX(Grid_Stock[#Data],26,$P$7+3))</f>
        <v/>
      </c>
      <c r="L35" s="15">
        <f>MAX(0,$F35-INDEX(Grid_Stock[#Data],26,$P$7+4))</f>
        <v/>
      </c>
      <c r="M35" s="15">
        <f>MAX(0,$F35-INDEX(Grid_Stock[#Data],26,$P$7+5))</f>
        <v/>
      </c>
      <c r="N35" s="15">
        <f>MAX(0,$F35-INDEX(Grid_Stock[#Data],26,$P$7+6))</f>
        <v/>
      </c>
      <c r="O35" s="15">
        <f>MAX(0,$F35-INDEX(Grid_Stock[#Data],26,$P$7+7))</f>
        <v/>
      </c>
      <c r="P35" s="15">
        <f>MAX(0,$F35-INDEX(Grid_Stock[#Data],26,$P$7+8))</f>
        <v/>
      </c>
      <c r="Q35" s="15">
        <f>MAX(0,$F35-INDEX(Grid_Stock[#Data],26,$P$7+9))</f>
        <v/>
      </c>
      <c r="R35" s="15">
        <f>MAX(0,$F35-INDEX(Grid_Stock[#Data],26,$P$7+10))</f>
        <v/>
      </c>
      <c r="S35" s="15">
        <f>MAX(0,$F35-INDEX(Grid_Stock[#Data],26,$P$7+11))</f>
        <v/>
      </c>
      <c r="T35" s="15">
        <f>MAX(0,$F35-INDEX(Grid_Stock[#Data],26,$P$7+12))</f>
        <v/>
      </c>
      <c r="U35" s="15">
        <f>SUM(H35:T35)</f>
        <v/>
      </c>
    </row>
    <row r="36">
      <c r="B36" s="17">
        <f>IFERROR(INDEX(M_RawMaterials[Description],MATCH("0LJ",M_RawMaterials[RM_Code],0)),"")</f>
        <v/>
      </c>
      <c r="C36" s="17" t="inlineStr">
        <is>
          <t>N60H39R08-JP</t>
        </is>
      </c>
      <c r="D36" s="17" t="inlineStr">
        <is>
          <t>0LJ</t>
        </is>
      </c>
      <c r="E36" s="17" t="inlineStr">
        <is>
          <t>kg</t>
        </is>
      </c>
      <c r="F36" s="17">
        <f>IFERROR(INDEX(M_RawMaterials[SafetyStock_Qty_要入力],MATCH("0LJ",M_RawMaterials[RM_Code],0)),0)</f>
        <v/>
      </c>
      <c r="G36" s="17">
        <f>INDEX(Grid_Stock[#Data],27,$P$7)</f>
        <v/>
      </c>
      <c r="H36" s="17">
        <f>MAX(0,$F36-INDEX(Grid_Stock[#Data],27,$P$7+0))</f>
        <v/>
      </c>
      <c r="I36" s="17">
        <f>MAX(0,$F36-INDEX(Grid_Stock[#Data],27,$P$7+1))</f>
        <v/>
      </c>
      <c r="J36" s="17">
        <f>MAX(0,$F36-INDEX(Grid_Stock[#Data],27,$P$7+2))</f>
        <v/>
      </c>
      <c r="K36" s="17">
        <f>MAX(0,$F36-INDEX(Grid_Stock[#Data],27,$P$7+3))</f>
        <v/>
      </c>
      <c r="L36" s="17">
        <f>MAX(0,$F36-INDEX(Grid_Stock[#Data],27,$P$7+4))</f>
        <v/>
      </c>
      <c r="M36" s="17">
        <f>MAX(0,$F36-INDEX(Grid_Stock[#Data],27,$P$7+5))</f>
        <v/>
      </c>
      <c r="N36" s="17">
        <f>MAX(0,$F36-INDEX(Grid_Stock[#Data],27,$P$7+6))</f>
        <v/>
      </c>
      <c r="O36" s="17">
        <f>MAX(0,$F36-INDEX(Grid_Stock[#Data],27,$P$7+7))</f>
        <v/>
      </c>
      <c r="P36" s="17">
        <f>MAX(0,$F36-INDEX(Grid_Stock[#Data],27,$P$7+8))</f>
        <v/>
      </c>
      <c r="Q36" s="17">
        <f>MAX(0,$F36-INDEX(Grid_Stock[#Data],27,$P$7+9))</f>
        <v/>
      </c>
      <c r="R36" s="17">
        <f>MAX(0,$F36-INDEX(Grid_Stock[#Data],27,$P$7+10))</f>
        <v/>
      </c>
      <c r="S36" s="17">
        <f>MAX(0,$F36-INDEX(Grid_Stock[#Data],27,$P$7+11))</f>
        <v/>
      </c>
      <c r="T36" s="17">
        <f>MAX(0,$F36-INDEX(Grid_Stock[#Data],27,$P$7+12))</f>
        <v/>
      </c>
      <c r="U36" s="17">
        <f>SUM(H36:T36)</f>
        <v/>
      </c>
    </row>
    <row r="37">
      <c r="B37" s="15">
        <f>IFERROR(INDEX(M_RawMaterials[Description],MATCH("PP FILM",M_RawMaterials[RM_Code],0)),"")</f>
        <v/>
      </c>
      <c r="C37" s="15" t="inlineStr">
        <is>
          <t>83988405701</t>
        </is>
      </c>
      <c r="D37" s="15" t="inlineStr">
        <is>
          <t>PP FILM</t>
        </is>
      </c>
      <c r="E37" s="15" t="inlineStr">
        <is>
          <t>kg</t>
        </is>
      </c>
      <c r="F37" s="15">
        <f>IFERROR(INDEX(M_RawMaterials[SafetyStock_Qty_要入力],MATCH("PP FILM",M_RawMaterials[RM_Code],0)),0)</f>
        <v/>
      </c>
      <c r="G37" s="15">
        <f>INDEX(Grid_Stock[#Data],28,$P$7)</f>
        <v/>
      </c>
      <c r="H37" s="15">
        <f>MAX(0,$F37-INDEX(Grid_Stock[#Data],28,$P$7+0))</f>
        <v/>
      </c>
      <c r="I37" s="15">
        <f>MAX(0,$F37-INDEX(Grid_Stock[#Data],28,$P$7+1))</f>
        <v/>
      </c>
      <c r="J37" s="15">
        <f>MAX(0,$F37-INDEX(Grid_Stock[#Data],28,$P$7+2))</f>
        <v/>
      </c>
      <c r="K37" s="15">
        <f>MAX(0,$F37-INDEX(Grid_Stock[#Data],28,$P$7+3))</f>
        <v/>
      </c>
      <c r="L37" s="15">
        <f>MAX(0,$F37-INDEX(Grid_Stock[#Data],28,$P$7+4))</f>
        <v/>
      </c>
      <c r="M37" s="15">
        <f>MAX(0,$F37-INDEX(Grid_Stock[#Data],28,$P$7+5))</f>
        <v/>
      </c>
      <c r="N37" s="15">
        <f>MAX(0,$F37-INDEX(Grid_Stock[#Data],28,$P$7+6))</f>
        <v/>
      </c>
      <c r="O37" s="15">
        <f>MAX(0,$F37-INDEX(Grid_Stock[#Data],28,$P$7+7))</f>
        <v/>
      </c>
      <c r="P37" s="15">
        <f>MAX(0,$F37-INDEX(Grid_Stock[#Data],28,$P$7+8))</f>
        <v/>
      </c>
      <c r="Q37" s="15">
        <f>MAX(0,$F37-INDEX(Grid_Stock[#Data],28,$P$7+9))</f>
        <v/>
      </c>
      <c r="R37" s="15">
        <f>MAX(0,$F37-INDEX(Grid_Stock[#Data],28,$P$7+10))</f>
        <v/>
      </c>
      <c r="S37" s="15">
        <f>MAX(0,$F37-INDEX(Grid_Stock[#Data],28,$P$7+11))</f>
        <v/>
      </c>
      <c r="T37" s="15">
        <f>MAX(0,$F37-INDEX(Grid_Stock[#Data],28,$P$7+12))</f>
        <v/>
      </c>
      <c r="U37" s="15">
        <f>SUM(H37:T37)</f>
        <v/>
      </c>
    </row>
    <row r="38">
      <c r="B38" s="17">
        <f>IFERROR(INDEX(M_RawMaterials[Description],MATCH("CHEM-1200",M_RawMaterials[RM_Code],0)),"")</f>
        <v/>
      </c>
      <c r="C38" s="17" t="inlineStr">
        <is>
          <t>839880012</t>
        </is>
      </c>
      <c r="D38" s="17" t="inlineStr">
        <is>
          <t>CHEM-1200</t>
        </is>
      </c>
      <c r="E38" s="17" t="inlineStr">
        <is>
          <t>kg</t>
        </is>
      </c>
      <c r="F38" s="17">
        <f>IFERROR(INDEX(M_RawMaterials[SafetyStock_Qty_要入力],MATCH("CHEM-1200",M_RawMaterials[RM_Code],0)),0)</f>
        <v/>
      </c>
      <c r="G38" s="17">
        <f>INDEX(Grid_Stock[#Data],29,$P$7)</f>
        <v/>
      </c>
      <c r="H38" s="17">
        <f>MAX(0,$F38-INDEX(Grid_Stock[#Data],29,$P$7+0))</f>
        <v/>
      </c>
      <c r="I38" s="17">
        <f>MAX(0,$F38-INDEX(Grid_Stock[#Data],29,$P$7+1))</f>
        <v/>
      </c>
      <c r="J38" s="17">
        <f>MAX(0,$F38-INDEX(Grid_Stock[#Data],29,$P$7+2))</f>
        <v/>
      </c>
      <c r="K38" s="17">
        <f>MAX(0,$F38-INDEX(Grid_Stock[#Data],29,$P$7+3))</f>
        <v/>
      </c>
      <c r="L38" s="17">
        <f>MAX(0,$F38-INDEX(Grid_Stock[#Data],29,$P$7+4))</f>
        <v/>
      </c>
      <c r="M38" s="17">
        <f>MAX(0,$F38-INDEX(Grid_Stock[#Data],29,$P$7+5))</f>
        <v/>
      </c>
      <c r="N38" s="17">
        <f>MAX(0,$F38-INDEX(Grid_Stock[#Data],29,$P$7+6))</f>
        <v/>
      </c>
      <c r="O38" s="17">
        <f>MAX(0,$F38-INDEX(Grid_Stock[#Data],29,$P$7+7))</f>
        <v/>
      </c>
      <c r="P38" s="17">
        <f>MAX(0,$F38-INDEX(Grid_Stock[#Data],29,$P$7+8))</f>
        <v/>
      </c>
      <c r="Q38" s="17">
        <f>MAX(0,$F38-INDEX(Grid_Stock[#Data],29,$P$7+9))</f>
        <v/>
      </c>
      <c r="R38" s="17">
        <f>MAX(0,$F38-INDEX(Grid_Stock[#Data],29,$P$7+10))</f>
        <v/>
      </c>
      <c r="S38" s="17">
        <f>MAX(0,$F38-INDEX(Grid_Stock[#Data],29,$P$7+11))</f>
        <v/>
      </c>
      <c r="T38" s="17">
        <f>MAX(0,$F38-INDEX(Grid_Stock[#Data],29,$P$7+12))</f>
        <v/>
      </c>
      <c r="U38" s="17">
        <f>SUM(H38:T38)</f>
        <v/>
      </c>
    </row>
    <row r="39">
      <c r="B39" s="15">
        <f>IFERROR(INDEX(M_RawMaterials[Description],MATCH("ABN",M_RawMaterials[RM_Code],0)),"")</f>
        <v/>
      </c>
      <c r="C39" s="15" t="inlineStr">
        <is>
          <t>18465F3050Z</t>
        </is>
      </c>
      <c r="D39" s="15" t="inlineStr">
        <is>
          <t>ABN</t>
        </is>
      </c>
      <c r="E39" s="15" t="inlineStr">
        <is>
          <t>kg</t>
        </is>
      </c>
      <c r="F39" s="15">
        <f>IFERROR(INDEX(M_RawMaterials[SafetyStock_Qty_要入力],MATCH("ABN",M_RawMaterials[RM_Code],0)),0)</f>
        <v/>
      </c>
      <c r="G39" s="15">
        <f>INDEX(Grid_Stock[#Data],30,$P$7)</f>
        <v/>
      </c>
      <c r="H39" s="15">
        <f>MAX(0,$F39-INDEX(Grid_Stock[#Data],30,$P$7+0))</f>
        <v/>
      </c>
      <c r="I39" s="15">
        <f>MAX(0,$F39-INDEX(Grid_Stock[#Data],30,$P$7+1))</f>
        <v/>
      </c>
      <c r="J39" s="15">
        <f>MAX(0,$F39-INDEX(Grid_Stock[#Data],30,$P$7+2))</f>
        <v/>
      </c>
      <c r="K39" s="15">
        <f>MAX(0,$F39-INDEX(Grid_Stock[#Data],30,$P$7+3))</f>
        <v/>
      </c>
      <c r="L39" s="15">
        <f>MAX(0,$F39-INDEX(Grid_Stock[#Data],30,$P$7+4))</f>
        <v/>
      </c>
      <c r="M39" s="15">
        <f>MAX(0,$F39-INDEX(Grid_Stock[#Data],30,$P$7+5))</f>
        <v/>
      </c>
      <c r="N39" s="15">
        <f>MAX(0,$F39-INDEX(Grid_Stock[#Data],30,$P$7+6))</f>
        <v/>
      </c>
      <c r="O39" s="15">
        <f>MAX(0,$F39-INDEX(Grid_Stock[#Data],30,$P$7+7))</f>
        <v/>
      </c>
      <c r="P39" s="15">
        <f>MAX(0,$F39-INDEX(Grid_Stock[#Data],30,$P$7+8))</f>
        <v/>
      </c>
      <c r="Q39" s="15">
        <f>MAX(0,$F39-INDEX(Grid_Stock[#Data],30,$P$7+9))</f>
        <v/>
      </c>
      <c r="R39" s="15">
        <f>MAX(0,$F39-INDEX(Grid_Stock[#Data],30,$P$7+10))</f>
        <v/>
      </c>
      <c r="S39" s="15">
        <f>MAX(0,$F39-INDEX(Grid_Stock[#Data],30,$P$7+11))</f>
        <v/>
      </c>
      <c r="T39" s="15">
        <f>MAX(0,$F39-INDEX(Grid_Stock[#Data],30,$P$7+12))</f>
        <v/>
      </c>
      <c r="U39" s="15">
        <f>SUM(H39:T39)</f>
        <v/>
      </c>
    </row>
    <row r="40">
      <c r="B40" s="17">
        <f>IFERROR(INDEX(M_RawMaterials[Description],MATCH("YAN",M_RawMaterials[RM_Code],0)),"")</f>
        <v/>
      </c>
      <c r="C40" s="17" t="inlineStr">
        <is>
          <t>18465F2100Z</t>
        </is>
      </c>
      <c r="D40" s="17" t="inlineStr">
        <is>
          <t>YAN</t>
        </is>
      </c>
      <c r="E40" s="17" t="inlineStr">
        <is>
          <t>kg</t>
        </is>
      </c>
      <c r="F40" s="17">
        <f>IFERROR(INDEX(M_RawMaterials[SafetyStock_Qty_要入力],MATCH("YAN",M_RawMaterials[RM_Code],0)),0)</f>
        <v/>
      </c>
      <c r="G40" s="17">
        <f>INDEX(Grid_Stock[#Data],31,$P$7)</f>
        <v/>
      </c>
      <c r="H40" s="17">
        <f>MAX(0,$F40-INDEX(Grid_Stock[#Data],31,$P$7+0))</f>
        <v/>
      </c>
      <c r="I40" s="17">
        <f>MAX(0,$F40-INDEX(Grid_Stock[#Data],31,$P$7+1))</f>
        <v/>
      </c>
      <c r="J40" s="17">
        <f>MAX(0,$F40-INDEX(Grid_Stock[#Data],31,$P$7+2))</f>
        <v/>
      </c>
      <c r="K40" s="17">
        <f>MAX(0,$F40-INDEX(Grid_Stock[#Data],31,$P$7+3))</f>
        <v/>
      </c>
      <c r="L40" s="17">
        <f>MAX(0,$F40-INDEX(Grid_Stock[#Data],31,$P$7+4))</f>
        <v/>
      </c>
      <c r="M40" s="17">
        <f>MAX(0,$F40-INDEX(Grid_Stock[#Data],31,$P$7+5))</f>
        <v/>
      </c>
      <c r="N40" s="17">
        <f>MAX(0,$F40-INDEX(Grid_Stock[#Data],31,$P$7+6))</f>
        <v/>
      </c>
      <c r="O40" s="17">
        <f>MAX(0,$F40-INDEX(Grid_Stock[#Data],31,$P$7+7))</f>
        <v/>
      </c>
      <c r="P40" s="17">
        <f>MAX(0,$F40-INDEX(Grid_Stock[#Data],31,$P$7+8))</f>
        <v/>
      </c>
      <c r="Q40" s="17">
        <f>MAX(0,$F40-INDEX(Grid_Stock[#Data],31,$P$7+9))</f>
        <v/>
      </c>
      <c r="R40" s="17">
        <f>MAX(0,$F40-INDEX(Grid_Stock[#Data],31,$P$7+10))</f>
        <v/>
      </c>
      <c r="S40" s="17">
        <f>MAX(0,$F40-INDEX(Grid_Stock[#Data],31,$P$7+11))</f>
        <v/>
      </c>
      <c r="T40" s="17">
        <f>MAX(0,$F40-INDEX(Grid_Stock[#Data],31,$P$7+12))</f>
        <v/>
      </c>
      <c r="U40" s="17">
        <f>SUM(H40:T40)</f>
        <v/>
      </c>
    </row>
    <row r="41">
      <c r="B41" s="15">
        <f>IFERROR(INDEX(M_RawMaterials[Description],MATCH("KEJ",M_RawMaterials[RM_Code],0)),"")</f>
        <v/>
      </c>
      <c r="C41" s="15" t="inlineStr">
        <is>
          <t>N90S27R08</t>
        </is>
      </c>
      <c r="D41" s="15" t="inlineStr">
        <is>
          <t>KEJ</t>
        </is>
      </c>
      <c r="E41" s="15" t="inlineStr">
        <is>
          <t>kg</t>
        </is>
      </c>
      <c r="F41" s="15">
        <f>IFERROR(INDEX(M_RawMaterials[SafetyStock_Qty_要入力],MATCH("KEJ",M_RawMaterials[RM_Code],0)),0)</f>
        <v/>
      </c>
      <c r="G41" s="15">
        <f>INDEX(Grid_Stock[#Data],32,$P$7)</f>
        <v/>
      </c>
      <c r="H41" s="15">
        <f>MAX(0,$F41-INDEX(Grid_Stock[#Data],32,$P$7+0))</f>
        <v/>
      </c>
      <c r="I41" s="15">
        <f>MAX(0,$F41-INDEX(Grid_Stock[#Data],32,$P$7+1))</f>
        <v/>
      </c>
      <c r="J41" s="15">
        <f>MAX(0,$F41-INDEX(Grid_Stock[#Data],32,$P$7+2))</f>
        <v/>
      </c>
      <c r="K41" s="15">
        <f>MAX(0,$F41-INDEX(Grid_Stock[#Data],32,$P$7+3))</f>
        <v/>
      </c>
      <c r="L41" s="15">
        <f>MAX(0,$F41-INDEX(Grid_Stock[#Data],32,$P$7+4))</f>
        <v/>
      </c>
      <c r="M41" s="15">
        <f>MAX(0,$F41-INDEX(Grid_Stock[#Data],32,$P$7+5))</f>
        <v/>
      </c>
      <c r="N41" s="15">
        <f>MAX(0,$F41-INDEX(Grid_Stock[#Data],32,$P$7+6))</f>
        <v/>
      </c>
      <c r="O41" s="15">
        <f>MAX(0,$F41-INDEX(Grid_Stock[#Data],32,$P$7+7))</f>
        <v/>
      </c>
      <c r="P41" s="15">
        <f>MAX(0,$F41-INDEX(Grid_Stock[#Data],32,$P$7+8))</f>
        <v/>
      </c>
      <c r="Q41" s="15">
        <f>MAX(0,$F41-INDEX(Grid_Stock[#Data],32,$P$7+9))</f>
        <v/>
      </c>
      <c r="R41" s="15">
        <f>MAX(0,$F41-INDEX(Grid_Stock[#Data],32,$P$7+10))</f>
        <v/>
      </c>
      <c r="S41" s="15">
        <f>MAX(0,$F41-INDEX(Grid_Stock[#Data],32,$P$7+11))</f>
        <v/>
      </c>
      <c r="T41" s="15">
        <f>MAX(0,$F41-INDEX(Grid_Stock[#Data],32,$P$7+12))</f>
        <v/>
      </c>
      <c r="U41" s="15">
        <f>SUM(H41:T41)</f>
        <v/>
      </c>
    </row>
    <row r="42">
      <c r="B42" s="17">
        <f>IFERROR(INDEX(M_RawMaterials[Description],MATCH("JEJ",M_RawMaterials[RM_Code],0)),"")</f>
        <v/>
      </c>
      <c r="C42" s="17" t="inlineStr">
        <is>
          <t>N90S29R08</t>
        </is>
      </c>
      <c r="D42" s="17" t="inlineStr">
        <is>
          <t>JEJ</t>
        </is>
      </c>
      <c r="E42" s="17" t="inlineStr">
        <is>
          <t>kg</t>
        </is>
      </c>
      <c r="F42" s="17">
        <f>IFERROR(INDEX(M_RawMaterials[SafetyStock_Qty_要入力],MATCH("JEJ",M_RawMaterials[RM_Code],0)),0)</f>
        <v/>
      </c>
      <c r="G42" s="17">
        <f>INDEX(Grid_Stock[#Data],33,$P$7)</f>
        <v/>
      </c>
      <c r="H42" s="17">
        <f>MAX(0,$F42-INDEX(Grid_Stock[#Data],33,$P$7+0))</f>
        <v/>
      </c>
      <c r="I42" s="17">
        <f>MAX(0,$F42-INDEX(Grid_Stock[#Data],33,$P$7+1))</f>
        <v/>
      </c>
      <c r="J42" s="17">
        <f>MAX(0,$F42-INDEX(Grid_Stock[#Data],33,$P$7+2))</f>
        <v/>
      </c>
      <c r="K42" s="17">
        <f>MAX(0,$F42-INDEX(Grid_Stock[#Data],33,$P$7+3))</f>
        <v/>
      </c>
      <c r="L42" s="17">
        <f>MAX(0,$F42-INDEX(Grid_Stock[#Data],33,$P$7+4))</f>
        <v/>
      </c>
      <c r="M42" s="17">
        <f>MAX(0,$F42-INDEX(Grid_Stock[#Data],33,$P$7+5))</f>
        <v/>
      </c>
      <c r="N42" s="17">
        <f>MAX(0,$F42-INDEX(Grid_Stock[#Data],33,$P$7+6))</f>
        <v/>
      </c>
      <c r="O42" s="17">
        <f>MAX(0,$F42-INDEX(Grid_Stock[#Data],33,$P$7+7))</f>
        <v/>
      </c>
      <c r="P42" s="17">
        <f>MAX(0,$F42-INDEX(Grid_Stock[#Data],33,$P$7+8))</f>
        <v/>
      </c>
      <c r="Q42" s="17">
        <f>MAX(0,$F42-INDEX(Grid_Stock[#Data],33,$P$7+9))</f>
        <v/>
      </c>
      <c r="R42" s="17">
        <f>MAX(0,$F42-INDEX(Grid_Stock[#Data],33,$P$7+10))</f>
        <v/>
      </c>
      <c r="S42" s="17">
        <f>MAX(0,$F42-INDEX(Grid_Stock[#Data],33,$P$7+11))</f>
        <v/>
      </c>
      <c r="T42" s="17">
        <f>MAX(0,$F42-INDEX(Grid_Stock[#Data],33,$P$7+12))</f>
        <v/>
      </c>
      <c r="U42" s="17">
        <f>SUM(H42:T42)</f>
        <v/>
      </c>
    </row>
    <row r="43">
      <c r="B43" s="15">
        <f>IFERROR(INDEX(M_RawMaterials[Description],MATCH("CHEM-1830",M_RawMaterials[RM_Code],0)),"")</f>
        <v/>
      </c>
      <c r="C43" s="15" t="inlineStr">
        <is>
          <t>713880083</t>
        </is>
      </c>
      <c r="D43" s="15" t="inlineStr">
        <is>
          <t>CHEM-1830</t>
        </is>
      </c>
      <c r="E43" s="15" t="inlineStr">
        <is>
          <t>kg</t>
        </is>
      </c>
      <c r="F43" s="15">
        <f>IFERROR(INDEX(M_RawMaterials[SafetyStock_Qty_要入力],MATCH("CHEM-1830",M_RawMaterials[RM_Code],0)),0)</f>
        <v/>
      </c>
      <c r="G43" s="15">
        <f>INDEX(Grid_Stock[#Data],34,$P$7)</f>
        <v/>
      </c>
      <c r="H43" s="15">
        <f>MAX(0,$F43-INDEX(Grid_Stock[#Data],34,$P$7+0))</f>
        <v/>
      </c>
      <c r="I43" s="15">
        <f>MAX(0,$F43-INDEX(Grid_Stock[#Data],34,$P$7+1))</f>
        <v/>
      </c>
      <c r="J43" s="15">
        <f>MAX(0,$F43-INDEX(Grid_Stock[#Data],34,$P$7+2))</f>
        <v/>
      </c>
      <c r="K43" s="15">
        <f>MAX(0,$F43-INDEX(Grid_Stock[#Data],34,$P$7+3))</f>
        <v/>
      </c>
      <c r="L43" s="15">
        <f>MAX(0,$F43-INDEX(Grid_Stock[#Data],34,$P$7+4))</f>
        <v/>
      </c>
      <c r="M43" s="15">
        <f>MAX(0,$F43-INDEX(Grid_Stock[#Data],34,$P$7+5))</f>
        <v/>
      </c>
      <c r="N43" s="15">
        <f>MAX(0,$F43-INDEX(Grid_Stock[#Data],34,$P$7+6))</f>
        <v/>
      </c>
      <c r="O43" s="15">
        <f>MAX(0,$F43-INDEX(Grid_Stock[#Data],34,$P$7+7))</f>
        <v/>
      </c>
      <c r="P43" s="15">
        <f>MAX(0,$F43-INDEX(Grid_Stock[#Data],34,$P$7+8))</f>
        <v/>
      </c>
      <c r="Q43" s="15">
        <f>MAX(0,$F43-INDEX(Grid_Stock[#Data],34,$P$7+9))</f>
        <v/>
      </c>
      <c r="R43" s="15">
        <f>MAX(0,$F43-INDEX(Grid_Stock[#Data],34,$P$7+10))</f>
        <v/>
      </c>
      <c r="S43" s="15">
        <f>MAX(0,$F43-INDEX(Grid_Stock[#Data],34,$P$7+11))</f>
        <v/>
      </c>
      <c r="T43" s="15">
        <f>MAX(0,$F43-INDEX(Grid_Stock[#Data],34,$P$7+12))</f>
        <v/>
      </c>
      <c r="U43" s="15">
        <f>SUM(H43:T43)</f>
        <v/>
      </c>
    </row>
    <row r="44">
      <c r="B44" s="17">
        <f>IFERROR(INDEX(M_RawMaterials[Description],MATCH("CHEM-1100",M_RawMaterials[RM_Code],0)),"")</f>
        <v/>
      </c>
      <c r="C44" s="17" t="inlineStr">
        <is>
          <t>839880191</t>
        </is>
      </c>
      <c r="D44" s="17" t="inlineStr">
        <is>
          <t>CHEM-1100</t>
        </is>
      </c>
      <c r="E44" s="17" t="inlineStr">
        <is>
          <t>kg</t>
        </is>
      </c>
      <c r="F44" s="17">
        <f>IFERROR(INDEX(M_RawMaterials[SafetyStock_Qty_要入力],MATCH("CHEM-1100",M_RawMaterials[RM_Code],0)),0)</f>
        <v/>
      </c>
      <c r="G44" s="17">
        <f>INDEX(Grid_Stock[#Data],35,$P$7)</f>
        <v/>
      </c>
      <c r="H44" s="17">
        <f>MAX(0,$F44-INDEX(Grid_Stock[#Data],35,$P$7+0))</f>
        <v/>
      </c>
      <c r="I44" s="17">
        <f>MAX(0,$F44-INDEX(Grid_Stock[#Data],35,$P$7+1))</f>
        <v/>
      </c>
      <c r="J44" s="17">
        <f>MAX(0,$F44-INDEX(Grid_Stock[#Data],35,$P$7+2))</f>
        <v/>
      </c>
      <c r="K44" s="17">
        <f>MAX(0,$F44-INDEX(Grid_Stock[#Data],35,$P$7+3))</f>
        <v/>
      </c>
      <c r="L44" s="17">
        <f>MAX(0,$F44-INDEX(Grid_Stock[#Data],35,$P$7+4))</f>
        <v/>
      </c>
      <c r="M44" s="17">
        <f>MAX(0,$F44-INDEX(Grid_Stock[#Data],35,$P$7+5))</f>
        <v/>
      </c>
      <c r="N44" s="17">
        <f>MAX(0,$F44-INDEX(Grid_Stock[#Data],35,$P$7+6))</f>
        <v/>
      </c>
      <c r="O44" s="17">
        <f>MAX(0,$F44-INDEX(Grid_Stock[#Data],35,$P$7+7))</f>
        <v/>
      </c>
      <c r="P44" s="17">
        <f>MAX(0,$F44-INDEX(Grid_Stock[#Data],35,$P$7+8))</f>
        <v/>
      </c>
      <c r="Q44" s="17">
        <f>MAX(0,$F44-INDEX(Grid_Stock[#Data],35,$P$7+9))</f>
        <v/>
      </c>
      <c r="R44" s="17">
        <f>MAX(0,$F44-INDEX(Grid_Stock[#Data],35,$P$7+10))</f>
        <v/>
      </c>
      <c r="S44" s="17">
        <f>MAX(0,$F44-INDEX(Grid_Stock[#Data],35,$P$7+11))</f>
        <v/>
      </c>
      <c r="T44" s="17">
        <f>MAX(0,$F44-INDEX(Grid_Stock[#Data],35,$P$7+12))</f>
        <v/>
      </c>
      <c r="U44" s="17">
        <f>SUM(H44:T44)</f>
        <v/>
      </c>
    </row>
    <row r="45">
      <c r="B45" s="15">
        <f>IFERROR(INDEX(M_RawMaterials[Description],MATCH("CHEM-1680",M_RawMaterials[RM_Code],0)),"")</f>
        <v/>
      </c>
      <c r="C45" s="15" t="inlineStr">
        <is>
          <t>713880069</t>
        </is>
      </c>
      <c r="D45" s="15" t="inlineStr">
        <is>
          <t>CHEM-1680</t>
        </is>
      </c>
      <c r="E45" s="15" t="inlineStr">
        <is>
          <t>kg</t>
        </is>
      </c>
      <c r="F45" s="15">
        <f>IFERROR(INDEX(M_RawMaterials[SafetyStock_Qty_要入力],MATCH("CHEM-1680",M_RawMaterials[RM_Code],0)),0)</f>
        <v/>
      </c>
      <c r="G45" s="15">
        <f>INDEX(Grid_Stock[#Data],36,$P$7)</f>
        <v/>
      </c>
      <c r="H45" s="15">
        <f>MAX(0,$F45-INDEX(Grid_Stock[#Data],36,$P$7+0))</f>
        <v/>
      </c>
      <c r="I45" s="15">
        <f>MAX(0,$F45-INDEX(Grid_Stock[#Data],36,$P$7+1))</f>
        <v/>
      </c>
      <c r="J45" s="15">
        <f>MAX(0,$F45-INDEX(Grid_Stock[#Data],36,$P$7+2))</f>
        <v/>
      </c>
      <c r="K45" s="15">
        <f>MAX(0,$F45-INDEX(Grid_Stock[#Data],36,$P$7+3))</f>
        <v/>
      </c>
      <c r="L45" s="15">
        <f>MAX(0,$F45-INDEX(Grid_Stock[#Data],36,$P$7+4))</f>
        <v/>
      </c>
      <c r="M45" s="15">
        <f>MAX(0,$F45-INDEX(Grid_Stock[#Data],36,$P$7+5))</f>
        <v/>
      </c>
      <c r="N45" s="15">
        <f>MAX(0,$F45-INDEX(Grid_Stock[#Data],36,$P$7+6))</f>
        <v/>
      </c>
      <c r="O45" s="15">
        <f>MAX(0,$F45-INDEX(Grid_Stock[#Data],36,$P$7+7))</f>
        <v/>
      </c>
      <c r="P45" s="15">
        <f>MAX(0,$F45-INDEX(Grid_Stock[#Data],36,$P$7+8))</f>
        <v/>
      </c>
      <c r="Q45" s="15">
        <f>MAX(0,$F45-INDEX(Grid_Stock[#Data],36,$P$7+9))</f>
        <v/>
      </c>
      <c r="R45" s="15">
        <f>MAX(0,$F45-INDEX(Grid_Stock[#Data],36,$P$7+10))</f>
        <v/>
      </c>
      <c r="S45" s="15">
        <f>MAX(0,$F45-INDEX(Grid_Stock[#Data],36,$P$7+11))</f>
        <v/>
      </c>
      <c r="T45" s="15">
        <f>MAX(0,$F45-INDEX(Grid_Stock[#Data],36,$P$7+12))</f>
        <v/>
      </c>
      <c r="U45" s="15">
        <f>SUM(H45:T45)</f>
        <v/>
      </c>
    </row>
    <row r="46">
      <c r="B46" s="17">
        <f>IFERROR(INDEX(M_RawMaterials[Description],MATCH("CHEM-1820",M_RawMaterials[RM_Code],0)),"")</f>
        <v/>
      </c>
      <c r="C46" s="17" t="inlineStr">
        <is>
          <t>713880091</t>
        </is>
      </c>
      <c r="D46" s="17" t="inlineStr">
        <is>
          <t>CHEM-1820</t>
        </is>
      </c>
      <c r="E46" s="17" t="inlineStr">
        <is>
          <t>kg</t>
        </is>
      </c>
      <c r="F46" s="17">
        <f>IFERROR(INDEX(M_RawMaterials[SafetyStock_Qty_要入力],MATCH("CHEM-1820",M_RawMaterials[RM_Code],0)),0)</f>
        <v/>
      </c>
      <c r="G46" s="17">
        <f>INDEX(Grid_Stock[#Data],37,$P$7)</f>
        <v/>
      </c>
      <c r="H46" s="17">
        <f>MAX(0,$F46-INDEX(Grid_Stock[#Data],37,$P$7+0))</f>
        <v/>
      </c>
      <c r="I46" s="17">
        <f>MAX(0,$F46-INDEX(Grid_Stock[#Data],37,$P$7+1))</f>
        <v/>
      </c>
      <c r="J46" s="17">
        <f>MAX(0,$F46-INDEX(Grid_Stock[#Data],37,$P$7+2))</f>
        <v/>
      </c>
      <c r="K46" s="17">
        <f>MAX(0,$F46-INDEX(Grid_Stock[#Data],37,$P$7+3))</f>
        <v/>
      </c>
      <c r="L46" s="17">
        <f>MAX(0,$F46-INDEX(Grid_Stock[#Data],37,$P$7+4))</f>
        <v/>
      </c>
      <c r="M46" s="17">
        <f>MAX(0,$F46-INDEX(Grid_Stock[#Data],37,$P$7+5))</f>
        <v/>
      </c>
      <c r="N46" s="17">
        <f>MAX(0,$F46-INDEX(Grid_Stock[#Data],37,$P$7+6))</f>
        <v/>
      </c>
      <c r="O46" s="17">
        <f>MAX(0,$F46-INDEX(Grid_Stock[#Data],37,$P$7+7))</f>
        <v/>
      </c>
      <c r="P46" s="17">
        <f>MAX(0,$F46-INDEX(Grid_Stock[#Data],37,$P$7+8))</f>
        <v/>
      </c>
      <c r="Q46" s="17">
        <f>MAX(0,$F46-INDEX(Grid_Stock[#Data],37,$P$7+9))</f>
        <v/>
      </c>
      <c r="R46" s="17">
        <f>MAX(0,$F46-INDEX(Grid_Stock[#Data],37,$P$7+10))</f>
        <v/>
      </c>
      <c r="S46" s="17">
        <f>MAX(0,$F46-INDEX(Grid_Stock[#Data],37,$P$7+11))</f>
        <v/>
      </c>
      <c r="T46" s="17">
        <f>MAX(0,$F46-INDEX(Grid_Stock[#Data],37,$P$7+12))</f>
        <v/>
      </c>
      <c r="U46" s="17">
        <f>SUM(H46:T46)</f>
        <v/>
      </c>
    </row>
    <row r="47">
      <c r="B47" s="15">
        <f>IFERROR(INDEX(M_RawMaterials[Description],MATCH("CHEM-1840",M_RawMaterials[RM_Code],0)),"")</f>
        <v/>
      </c>
      <c r="C47" s="15" t="inlineStr">
        <is>
          <t>712886281</t>
        </is>
      </c>
      <c r="D47" s="15" t="inlineStr">
        <is>
          <t>CHEM-1840</t>
        </is>
      </c>
      <c r="E47" s="15" t="inlineStr">
        <is>
          <t>kg</t>
        </is>
      </c>
      <c r="F47" s="15">
        <f>IFERROR(INDEX(M_RawMaterials[SafetyStock_Qty_要入力],MATCH("CHEM-1840",M_RawMaterials[RM_Code],0)),0)</f>
        <v/>
      </c>
      <c r="G47" s="15">
        <f>INDEX(Grid_Stock[#Data],38,$P$7)</f>
        <v/>
      </c>
      <c r="H47" s="15">
        <f>MAX(0,$F47-INDEX(Grid_Stock[#Data],38,$P$7+0))</f>
        <v/>
      </c>
      <c r="I47" s="15">
        <f>MAX(0,$F47-INDEX(Grid_Stock[#Data],38,$P$7+1))</f>
        <v/>
      </c>
      <c r="J47" s="15">
        <f>MAX(0,$F47-INDEX(Grid_Stock[#Data],38,$P$7+2))</f>
        <v/>
      </c>
      <c r="K47" s="15">
        <f>MAX(0,$F47-INDEX(Grid_Stock[#Data],38,$P$7+3))</f>
        <v/>
      </c>
      <c r="L47" s="15">
        <f>MAX(0,$F47-INDEX(Grid_Stock[#Data],38,$P$7+4))</f>
        <v/>
      </c>
      <c r="M47" s="15">
        <f>MAX(0,$F47-INDEX(Grid_Stock[#Data],38,$P$7+5))</f>
        <v/>
      </c>
      <c r="N47" s="15">
        <f>MAX(0,$F47-INDEX(Grid_Stock[#Data],38,$P$7+6))</f>
        <v/>
      </c>
      <c r="O47" s="15">
        <f>MAX(0,$F47-INDEX(Grid_Stock[#Data],38,$P$7+7))</f>
        <v/>
      </c>
      <c r="P47" s="15">
        <f>MAX(0,$F47-INDEX(Grid_Stock[#Data],38,$P$7+8))</f>
        <v/>
      </c>
      <c r="Q47" s="15">
        <f>MAX(0,$F47-INDEX(Grid_Stock[#Data],38,$P$7+9))</f>
        <v/>
      </c>
      <c r="R47" s="15">
        <f>MAX(0,$F47-INDEX(Grid_Stock[#Data],38,$P$7+10))</f>
        <v/>
      </c>
      <c r="S47" s="15">
        <f>MAX(0,$F47-INDEX(Grid_Stock[#Data],38,$P$7+11))</f>
        <v/>
      </c>
      <c r="T47" s="15">
        <f>MAX(0,$F47-INDEX(Grid_Stock[#Data],38,$P$7+12))</f>
        <v/>
      </c>
      <c r="U47" s="15">
        <f>SUM(H47:T47)</f>
        <v/>
      </c>
    </row>
    <row r="48">
      <c r="B48" s="17">
        <f>IFERROR(INDEX(M_RawMaterials[Description],MATCH("TPP-1469",M_RawMaterials[RM_Code],0)),"")</f>
        <v/>
      </c>
      <c r="C48" s="17" t="inlineStr">
        <is>
          <t>734832058</t>
        </is>
      </c>
      <c r="D48" s="17" t="inlineStr">
        <is>
          <t>TPP-1469</t>
        </is>
      </c>
      <c r="E48" s="17" t="inlineStr">
        <is>
          <t>kg</t>
        </is>
      </c>
      <c r="F48" s="17">
        <f>IFERROR(INDEX(M_RawMaterials[SafetyStock_Qty_要入力],MATCH("TPP-1469",M_RawMaterials[RM_Code],0)),0)</f>
        <v/>
      </c>
      <c r="G48" s="17">
        <f>INDEX(Grid_Stock[#Data],39,$P$7)</f>
        <v/>
      </c>
      <c r="H48" s="17">
        <f>MAX(0,$F48-INDEX(Grid_Stock[#Data],39,$P$7+0))</f>
        <v/>
      </c>
      <c r="I48" s="17">
        <f>MAX(0,$F48-INDEX(Grid_Stock[#Data],39,$P$7+1))</f>
        <v/>
      </c>
      <c r="J48" s="17">
        <f>MAX(0,$F48-INDEX(Grid_Stock[#Data],39,$P$7+2))</f>
        <v/>
      </c>
      <c r="K48" s="17">
        <f>MAX(0,$F48-INDEX(Grid_Stock[#Data],39,$P$7+3))</f>
        <v/>
      </c>
      <c r="L48" s="17">
        <f>MAX(0,$F48-INDEX(Grid_Stock[#Data],39,$P$7+4))</f>
        <v/>
      </c>
      <c r="M48" s="17">
        <f>MAX(0,$F48-INDEX(Grid_Stock[#Data],39,$P$7+5))</f>
        <v/>
      </c>
      <c r="N48" s="17">
        <f>MAX(0,$F48-INDEX(Grid_Stock[#Data],39,$P$7+6))</f>
        <v/>
      </c>
      <c r="O48" s="17">
        <f>MAX(0,$F48-INDEX(Grid_Stock[#Data],39,$P$7+7))</f>
        <v/>
      </c>
      <c r="P48" s="17">
        <f>MAX(0,$F48-INDEX(Grid_Stock[#Data],39,$P$7+8))</f>
        <v/>
      </c>
      <c r="Q48" s="17">
        <f>MAX(0,$F48-INDEX(Grid_Stock[#Data],39,$P$7+9))</f>
        <v/>
      </c>
      <c r="R48" s="17">
        <f>MAX(0,$F48-INDEX(Grid_Stock[#Data],39,$P$7+10))</f>
        <v/>
      </c>
      <c r="S48" s="17">
        <f>MAX(0,$F48-INDEX(Grid_Stock[#Data],39,$P$7+11))</f>
        <v/>
      </c>
      <c r="T48" s="17">
        <f>MAX(0,$F48-INDEX(Grid_Stock[#Data],39,$P$7+12))</f>
        <v/>
      </c>
      <c r="U48" s="17">
        <f>SUM(H48:T48)</f>
        <v/>
      </c>
    </row>
    <row r="49">
      <c r="B49" s="15">
        <f>IFERROR(INDEX(M_RawMaterials[Description],MATCH("CHEM-1730",M_RawMaterials[RM_Code],0)),"")</f>
        <v/>
      </c>
      <c r="C49" s="15" t="inlineStr">
        <is>
          <t>71388007701</t>
        </is>
      </c>
      <c r="D49" s="15" t="inlineStr">
        <is>
          <t>CHEM-1730</t>
        </is>
      </c>
      <c r="E49" s="15" t="inlineStr">
        <is>
          <t>kg</t>
        </is>
      </c>
      <c r="F49" s="15">
        <f>IFERROR(INDEX(M_RawMaterials[SafetyStock_Qty_要入力],MATCH("CHEM-1730",M_RawMaterials[RM_Code],0)),0)</f>
        <v/>
      </c>
      <c r="G49" s="15">
        <f>INDEX(Grid_Stock[#Data],41,$P$7)</f>
        <v/>
      </c>
      <c r="H49" s="15">
        <f>MAX(0,$F49-INDEX(Grid_Stock[#Data],41,$P$7+0))</f>
        <v/>
      </c>
      <c r="I49" s="15">
        <f>MAX(0,$F49-INDEX(Grid_Stock[#Data],41,$P$7+1))</f>
        <v/>
      </c>
      <c r="J49" s="15">
        <f>MAX(0,$F49-INDEX(Grid_Stock[#Data],41,$P$7+2))</f>
        <v/>
      </c>
      <c r="K49" s="15">
        <f>MAX(0,$F49-INDEX(Grid_Stock[#Data],41,$P$7+3))</f>
        <v/>
      </c>
      <c r="L49" s="15">
        <f>MAX(0,$F49-INDEX(Grid_Stock[#Data],41,$P$7+4))</f>
        <v/>
      </c>
      <c r="M49" s="15">
        <f>MAX(0,$F49-INDEX(Grid_Stock[#Data],41,$P$7+5))</f>
        <v/>
      </c>
      <c r="N49" s="15">
        <f>MAX(0,$F49-INDEX(Grid_Stock[#Data],41,$P$7+6))</f>
        <v/>
      </c>
      <c r="O49" s="15">
        <f>MAX(0,$F49-INDEX(Grid_Stock[#Data],41,$P$7+7))</f>
        <v/>
      </c>
      <c r="P49" s="15">
        <f>MAX(0,$F49-INDEX(Grid_Stock[#Data],41,$P$7+8))</f>
        <v/>
      </c>
      <c r="Q49" s="15">
        <f>MAX(0,$F49-INDEX(Grid_Stock[#Data],41,$P$7+9))</f>
        <v/>
      </c>
      <c r="R49" s="15">
        <f>MAX(0,$F49-INDEX(Grid_Stock[#Data],41,$P$7+10))</f>
        <v/>
      </c>
      <c r="S49" s="15">
        <f>MAX(0,$F49-INDEX(Grid_Stock[#Data],41,$P$7+11))</f>
        <v/>
      </c>
      <c r="T49" s="15">
        <f>MAX(0,$F49-INDEX(Grid_Stock[#Data],41,$P$7+12))</f>
        <v/>
      </c>
      <c r="U49" s="15">
        <f>SUM(H49:T49)</f>
        <v/>
      </c>
    </row>
    <row r="50">
      <c r="B50" s="17">
        <f>IFERROR(INDEX(M_RawMaterials[Description],MATCH("CHEM-1110",M_RawMaterials[RM_Code],0)),"")</f>
        <v/>
      </c>
      <c r="C50" s="17" t="inlineStr">
        <is>
          <t>Alumina Powder</t>
        </is>
      </c>
      <c r="D50" s="17" t="inlineStr">
        <is>
          <t>CHEM-1110</t>
        </is>
      </c>
      <c r="E50" s="17" t="inlineStr">
        <is>
          <t>kg</t>
        </is>
      </c>
      <c r="F50" s="17">
        <f>IFERROR(INDEX(M_RawMaterials[SafetyStock_Qty_要入力],MATCH("CHEM-1110",M_RawMaterials[RM_Code],0)),0)</f>
        <v/>
      </c>
      <c r="G50" s="17">
        <f>INDEX(Grid_Stock[#Data],42,$P$7)</f>
        <v/>
      </c>
      <c r="H50" s="17">
        <f>MAX(0,$F50-INDEX(Grid_Stock[#Data],42,$P$7+0))</f>
        <v/>
      </c>
      <c r="I50" s="17">
        <f>MAX(0,$F50-INDEX(Grid_Stock[#Data],42,$P$7+1))</f>
        <v/>
      </c>
      <c r="J50" s="17">
        <f>MAX(0,$F50-INDEX(Grid_Stock[#Data],42,$P$7+2))</f>
        <v/>
      </c>
      <c r="K50" s="17">
        <f>MAX(0,$F50-INDEX(Grid_Stock[#Data],42,$P$7+3))</f>
        <v/>
      </c>
      <c r="L50" s="17">
        <f>MAX(0,$F50-INDEX(Grid_Stock[#Data],42,$P$7+4))</f>
        <v/>
      </c>
      <c r="M50" s="17">
        <f>MAX(0,$F50-INDEX(Grid_Stock[#Data],42,$P$7+5))</f>
        <v/>
      </c>
      <c r="N50" s="17">
        <f>MAX(0,$F50-INDEX(Grid_Stock[#Data],42,$P$7+6))</f>
        <v/>
      </c>
      <c r="O50" s="17">
        <f>MAX(0,$F50-INDEX(Grid_Stock[#Data],42,$P$7+7))</f>
        <v/>
      </c>
      <c r="P50" s="17">
        <f>MAX(0,$F50-INDEX(Grid_Stock[#Data],42,$P$7+8))</f>
        <v/>
      </c>
      <c r="Q50" s="17">
        <f>MAX(0,$F50-INDEX(Grid_Stock[#Data],42,$P$7+9))</f>
        <v/>
      </c>
      <c r="R50" s="17">
        <f>MAX(0,$F50-INDEX(Grid_Stock[#Data],42,$P$7+10))</f>
        <v/>
      </c>
      <c r="S50" s="17">
        <f>MAX(0,$F50-INDEX(Grid_Stock[#Data],42,$P$7+11))</f>
        <v/>
      </c>
      <c r="T50" s="17">
        <f>MAX(0,$F50-INDEX(Grid_Stock[#Data],42,$P$7+12))</f>
        <v/>
      </c>
      <c r="U50" s="17">
        <f>SUM(H50:T50)</f>
        <v/>
      </c>
    </row>
    <row r="51">
      <c r="B51" s="15">
        <f>IFERROR(INDEX(M_RawMaterials[Description],MATCH("CHEM-1120",M_RawMaterials[RM_Code],0)),"")</f>
        <v/>
      </c>
      <c r="C51" s="15" t="inlineStr">
        <is>
          <t>712886120</t>
        </is>
      </c>
      <c r="D51" s="15" t="inlineStr">
        <is>
          <t>CHEM-1120</t>
        </is>
      </c>
      <c r="E51" s="15" t="inlineStr">
        <is>
          <t>kg</t>
        </is>
      </c>
      <c r="F51" s="15">
        <f>IFERROR(INDEX(M_RawMaterials[SafetyStock_Qty_要入力],MATCH("CHEM-1120",M_RawMaterials[RM_Code],0)),0)</f>
        <v/>
      </c>
      <c r="G51" s="15">
        <f>INDEX(Grid_Stock[#Data],43,$P$7)</f>
        <v/>
      </c>
      <c r="H51" s="15">
        <f>MAX(0,$F51-INDEX(Grid_Stock[#Data],43,$P$7+0))</f>
        <v/>
      </c>
      <c r="I51" s="15">
        <f>MAX(0,$F51-INDEX(Grid_Stock[#Data],43,$P$7+1))</f>
        <v/>
      </c>
      <c r="J51" s="15">
        <f>MAX(0,$F51-INDEX(Grid_Stock[#Data],43,$P$7+2))</f>
        <v/>
      </c>
      <c r="K51" s="15">
        <f>MAX(0,$F51-INDEX(Grid_Stock[#Data],43,$P$7+3))</f>
        <v/>
      </c>
      <c r="L51" s="15">
        <f>MAX(0,$F51-INDEX(Grid_Stock[#Data],43,$P$7+4))</f>
        <v/>
      </c>
      <c r="M51" s="15">
        <f>MAX(0,$F51-INDEX(Grid_Stock[#Data],43,$P$7+5))</f>
        <v/>
      </c>
      <c r="N51" s="15">
        <f>MAX(0,$F51-INDEX(Grid_Stock[#Data],43,$P$7+6))</f>
        <v/>
      </c>
      <c r="O51" s="15">
        <f>MAX(0,$F51-INDEX(Grid_Stock[#Data],43,$P$7+7))</f>
        <v/>
      </c>
      <c r="P51" s="15">
        <f>MAX(0,$F51-INDEX(Grid_Stock[#Data],43,$P$7+8))</f>
        <v/>
      </c>
      <c r="Q51" s="15">
        <f>MAX(0,$F51-INDEX(Grid_Stock[#Data],43,$P$7+9))</f>
        <v/>
      </c>
      <c r="R51" s="15">
        <f>MAX(0,$F51-INDEX(Grid_Stock[#Data],43,$P$7+10))</f>
        <v/>
      </c>
      <c r="S51" s="15">
        <f>MAX(0,$F51-INDEX(Grid_Stock[#Data],43,$P$7+11))</f>
        <v/>
      </c>
      <c r="T51" s="15">
        <f>MAX(0,$F51-INDEX(Grid_Stock[#Data],43,$P$7+12))</f>
        <v/>
      </c>
      <c r="U51" s="15">
        <f>SUM(H51:T51)</f>
        <v/>
      </c>
    </row>
    <row r="52">
      <c r="B52" s="17">
        <f>IFERROR(INDEX(M_RawMaterials[Description],MATCH("CHEM-1010",M_RawMaterials[RM_Code],0)),"")</f>
        <v/>
      </c>
      <c r="C52" s="17" t="inlineStr">
        <is>
          <t>Sodium Carbonate</t>
        </is>
      </c>
      <c r="D52" s="17" t="inlineStr">
        <is>
          <t>CHEM-1010</t>
        </is>
      </c>
      <c r="E52" s="17" t="inlineStr">
        <is>
          <t>kg</t>
        </is>
      </c>
      <c r="F52" s="17">
        <f>IFERROR(INDEX(M_RawMaterials[SafetyStock_Qty_要入力],MATCH("CHEM-1010",M_RawMaterials[RM_Code],0)),0)</f>
        <v/>
      </c>
      <c r="G52" s="17">
        <f>INDEX(Grid_Stock[#Data],44,$P$7)</f>
        <v/>
      </c>
      <c r="H52" s="17">
        <f>MAX(0,$F52-INDEX(Grid_Stock[#Data],44,$P$7+0))</f>
        <v/>
      </c>
      <c r="I52" s="17">
        <f>MAX(0,$F52-INDEX(Grid_Stock[#Data],44,$P$7+1))</f>
        <v/>
      </c>
      <c r="J52" s="17">
        <f>MAX(0,$F52-INDEX(Grid_Stock[#Data],44,$P$7+2))</f>
        <v/>
      </c>
      <c r="K52" s="17">
        <f>MAX(0,$F52-INDEX(Grid_Stock[#Data],44,$P$7+3))</f>
        <v/>
      </c>
      <c r="L52" s="17">
        <f>MAX(0,$F52-INDEX(Grid_Stock[#Data],44,$P$7+4))</f>
        <v/>
      </c>
      <c r="M52" s="17">
        <f>MAX(0,$F52-INDEX(Grid_Stock[#Data],44,$P$7+5))</f>
        <v/>
      </c>
      <c r="N52" s="17">
        <f>MAX(0,$F52-INDEX(Grid_Stock[#Data],44,$P$7+6))</f>
        <v/>
      </c>
      <c r="O52" s="17">
        <f>MAX(0,$F52-INDEX(Grid_Stock[#Data],44,$P$7+7))</f>
        <v/>
      </c>
      <c r="P52" s="17">
        <f>MAX(0,$F52-INDEX(Grid_Stock[#Data],44,$P$7+8))</f>
        <v/>
      </c>
      <c r="Q52" s="17">
        <f>MAX(0,$F52-INDEX(Grid_Stock[#Data],44,$P$7+9))</f>
        <v/>
      </c>
      <c r="R52" s="17">
        <f>MAX(0,$F52-INDEX(Grid_Stock[#Data],44,$P$7+10))</f>
        <v/>
      </c>
      <c r="S52" s="17">
        <f>MAX(0,$F52-INDEX(Grid_Stock[#Data],44,$P$7+11))</f>
        <v/>
      </c>
      <c r="T52" s="17">
        <f>MAX(0,$F52-INDEX(Grid_Stock[#Data],44,$P$7+12))</f>
        <v/>
      </c>
      <c r="U52" s="17">
        <f>SUM(H52:T52)</f>
        <v/>
      </c>
    </row>
    <row r="53">
      <c r="B53" s="15">
        <f>IFERROR(INDEX(M_RawMaterials[Description],MATCH("CHEM-1410",M_RawMaterials[RM_Code],0)),"")</f>
        <v/>
      </c>
      <c r="C53" s="15" t="inlineStr">
        <is>
          <t>71288623301</t>
        </is>
      </c>
      <c r="D53" s="15" t="inlineStr">
        <is>
          <t>CHEM-1410</t>
        </is>
      </c>
      <c r="E53" s="15" t="inlineStr">
        <is>
          <t>kg</t>
        </is>
      </c>
      <c r="F53" s="15">
        <f>IFERROR(INDEX(M_RawMaterials[SafetyStock_Qty_要入力],MATCH("CHEM-1410",M_RawMaterials[RM_Code],0)),0)</f>
        <v/>
      </c>
      <c r="G53" s="15">
        <f>INDEX(Grid_Stock[#Data],45,$P$7)</f>
        <v/>
      </c>
      <c r="H53" s="15">
        <f>MAX(0,$F53-INDEX(Grid_Stock[#Data],45,$P$7+0))</f>
        <v/>
      </c>
      <c r="I53" s="15">
        <f>MAX(0,$F53-INDEX(Grid_Stock[#Data],45,$P$7+1))</f>
        <v/>
      </c>
      <c r="J53" s="15">
        <f>MAX(0,$F53-INDEX(Grid_Stock[#Data],45,$P$7+2))</f>
        <v/>
      </c>
      <c r="K53" s="15">
        <f>MAX(0,$F53-INDEX(Grid_Stock[#Data],45,$P$7+3))</f>
        <v/>
      </c>
      <c r="L53" s="15">
        <f>MAX(0,$F53-INDEX(Grid_Stock[#Data],45,$P$7+4))</f>
        <v/>
      </c>
      <c r="M53" s="15">
        <f>MAX(0,$F53-INDEX(Grid_Stock[#Data],45,$P$7+5))</f>
        <v/>
      </c>
      <c r="N53" s="15">
        <f>MAX(0,$F53-INDEX(Grid_Stock[#Data],45,$P$7+6))</f>
        <v/>
      </c>
      <c r="O53" s="15">
        <f>MAX(0,$F53-INDEX(Grid_Stock[#Data],45,$P$7+7))</f>
        <v/>
      </c>
      <c r="P53" s="15">
        <f>MAX(0,$F53-INDEX(Grid_Stock[#Data],45,$P$7+8))</f>
        <v/>
      </c>
      <c r="Q53" s="15">
        <f>MAX(0,$F53-INDEX(Grid_Stock[#Data],45,$P$7+9))</f>
        <v/>
      </c>
      <c r="R53" s="15">
        <f>MAX(0,$F53-INDEX(Grid_Stock[#Data],45,$P$7+10))</f>
        <v/>
      </c>
      <c r="S53" s="15">
        <f>MAX(0,$F53-INDEX(Grid_Stock[#Data],45,$P$7+11))</f>
        <v/>
      </c>
      <c r="T53" s="15">
        <f>MAX(0,$F53-INDEX(Grid_Stock[#Data],45,$P$7+12))</f>
        <v/>
      </c>
      <c r="U53" s="15">
        <f>SUM(H53:T53)</f>
        <v/>
      </c>
    </row>
    <row r="54">
      <c r="B54" s="17">
        <f>IFERROR(INDEX(M_RawMaterials[Description],MATCH("CHEM-1430",M_RawMaterials[RM_Code],0)),"")</f>
        <v/>
      </c>
      <c r="C54" s="17" t="inlineStr">
        <is>
          <t>71388004301</t>
        </is>
      </c>
      <c r="D54" s="17" t="inlineStr">
        <is>
          <t>CHEM-1430</t>
        </is>
      </c>
      <c r="E54" s="17" t="inlineStr">
        <is>
          <t>kg</t>
        </is>
      </c>
      <c r="F54" s="17">
        <f>IFERROR(INDEX(M_RawMaterials[SafetyStock_Qty_要入力],MATCH("CHEM-1430",M_RawMaterials[RM_Code],0)),0)</f>
        <v/>
      </c>
      <c r="G54" s="17">
        <f>INDEX(Grid_Stock[#Data],46,$P$7)</f>
        <v/>
      </c>
      <c r="H54" s="17">
        <f>MAX(0,$F54-INDEX(Grid_Stock[#Data],46,$P$7+0))</f>
        <v/>
      </c>
      <c r="I54" s="17">
        <f>MAX(0,$F54-INDEX(Grid_Stock[#Data],46,$P$7+1))</f>
        <v/>
      </c>
      <c r="J54" s="17">
        <f>MAX(0,$F54-INDEX(Grid_Stock[#Data],46,$P$7+2))</f>
        <v/>
      </c>
      <c r="K54" s="17">
        <f>MAX(0,$F54-INDEX(Grid_Stock[#Data],46,$P$7+3))</f>
        <v/>
      </c>
      <c r="L54" s="17">
        <f>MAX(0,$F54-INDEX(Grid_Stock[#Data],46,$P$7+4))</f>
        <v/>
      </c>
      <c r="M54" s="17">
        <f>MAX(0,$F54-INDEX(Grid_Stock[#Data],46,$P$7+5))</f>
        <v/>
      </c>
      <c r="N54" s="17">
        <f>MAX(0,$F54-INDEX(Grid_Stock[#Data],46,$P$7+6))</f>
        <v/>
      </c>
      <c r="O54" s="17">
        <f>MAX(0,$F54-INDEX(Grid_Stock[#Data],46,$P$7+7))</f>
        <v/>
      </c>
      <c r="P54" s="17">
        <f>MAX(0,$F54-INDEX(Grid_Stock[#Data],46,$P$7+8))</f>
        <v/>
      </c>
      <c r="Q54" s="17">
        <f>MAX(0,$F54-INDEX(Grid_Stock[#Data],46,$P$7+9))</f>
        <v/>
      </c>
      <c r="R54" s="17">
        <f>MAX(0,$F54-INDEX(Grid_Stock[#Data],46,$P$7+10))</f>
        <v/>
      </c>
      <c r="S54" s="17">
        <f>MAX(0,$F54-INDEX(Grid_Stock[#Data],46,$P$7+11))</f>
        <v/>
      </c>
      <c r="T54" s="17">
        <f>MAX(0,$F54-INDEX(Grid_Stock[#Data],46,$P$7+12))</f>
        <v/>
      </c>
      <c r="U54" s="17">
        <f>SUM(H54:T54)</f>
        <v/>
      </c>
    </row>
    <row r="55">
      <c r="B55" s="15">
        <f>IFERROR(INDEX(M_RawMaterials[Description],MATCH("CHEM-1450",M_RawMaterials[RM_Code],0)),"")</f>
        <v/>
      </c>
      <c r="C55" s="15" t="inlineStr">
        <is>
          <t>Noptechs</t>
        </is>
      </c>
      <c r="D55" s="15" t="inlineStr">
        <is>
          <t>CHEM-1450</t>
        </is>
      </c>
      <c r="E55" s="15" t="inlineStr">
        <is>
          <t>kg</t>
        </is>
      </c>
      <c r="F55" s="15">
        <f>IFERROR(INDEX(M_RawMaterials[SafetyStock_Qty_要入力],MATCH("CHEM-1450",M_RawMaterials[RM_Code],0)),0)</f>
        <v/>
      </c>
      <c r="G55" s="15">
        <f>INDEX(Grid_Stock[#Data],47,$P$7)</f>
        <v/>
      </c>
      <c r="H55" s="15">
        <f>MAX(0,$F55-INDEX(Grid_Stock[#Data],47,$P$7+0))</f>
        <v/>
      </c>
      <c r="I55" s="15">
        <f>MAX(0,$F55-INDEX(Grid_Stock[#Data],47,$P$7+1))</f>
        <v/>
      </c>
      <c r="J55" s="15">
        <f>MAX(0,$F55-INDEX(Grid_Stock[#Data],47,$P$7+2))</f>
        <v/>
      </c>
      <c r="K55" s="15">
        <f>MAX(0,$F55-INDEX(Grid_Stock[#Data],47,$P$7+3))</f>
        <v/>
      </c>
      <c r="L55" s="15">
        <f>MAX(0,$F55-INDEX(Grid_Stock[#Data],47,$P$7+4))</f>
        <v/>
      </c>
      <c r="M55" s="15">
        <f>MAX(0,$F55-INDEX(Grid_Stock[#Data],47,$P$7+5))</f>
        <v/>
      </c>
      <c r="N55" s="15">
        <f>MAX(0,$F55-INDEX(Grid_Stock[#Data],47,$P$7+6))</f>
        <v/>
      </c>
      <c r="O55" s="15">
        <f>MAX(0,$F55-INDEX(Grid_Stock[#Data],47,$P$7+7))</f>
        <v/>
      </c>
      <c r="P55" s="15">
        <f>MAX(0,$F55-INDEX(Grid_Stock[#Data],47,$P$7+8))</f>
        <v/>
      </c>
      <c r="Q55" s="15">
        <f>MAX(0,$F55-INDEX(Grid_Stock[#Data],47,$P$7+9))</f>
        <v/>
      </c>
      <c r="R55" s="15">
        <f>MAX(0,$F55-INDEX(Grid_Stock[#Data],47,$P$7+10))</f>
        <v/>
      </c>
      <c r="S55" s="15">
        <f>MAX(0,$F55-INDEX(Grid_Stock[#Data],47,$P$7+11))</f>
        <v/>
      </c>
      <c r="T55" s="15">
        <f>MAX(0,$F55-INDEX(Grid_Stock[#Data],47,$P$7+12))</f>
        <v/>
      </c>
      <c r="U55" s="15">
        <f>SUM(H55:T55)</f>
        <v/>
      </c>
    </row>
    <row r="56">
      <c r="B56" s="17">
        <f>IFERROR(INDEX(M_RawMaterials[Description],MATCH("CHEM-1470",M_RawMaterials[RM_Code],0)),"")</f>
        <v/>
      </c>
      <c r="C56" s="17" t="inlineStr">
        <is>
          <t>SCFA100</t>
        </is>
      </c>
      <c r="D56" s="17" t="inlineStr">
        <is>
          <t>CHEM-1470</t>
        </is>
      </c>
      <c r="E56" s="17" t="inlineStr">
        <is>
          <t>kg</t>
        </is>
      </c>
      <c r="F56" s="17">
        <f>IFERROR(INDEX(M_RawMaterials[SafetyStock_Qty_要入力],MATCH("CHEM-1470",M_RawMaterials[RM_Code],0)),0)</f>
        <v/>
      </c>
      <c r="G56" s="17">
        <f>INDEX(Grid_Stock[#Data],48,$P$7)</f>
        <v/>
      </c>
      <c r="H56" s="17">
        <f>MAX(0,$F56-INDEX(Grid_Stock[#Data],48,$P$7+0))</f>
        <v/>
      </c>
      <c r="I56" s="17">
        <f>MAX(0,$F56-INDEX(Grid_Stock[#Data],48,$P$7+1))</f>
        <v/>
      </c>
      <c r="J56" s="17">
        <f>MAX(0,$F56-INDEX(Grid_Stock[#Data],48,$P$7+2))</f>
        <v/>
      </c>
      <c r="K56" s="17">
        <f>MAX(0,$F56-INDEX(Grid_Stock[#Data],48,$P$7+3))</f>
        <v/>
      </c>
      <c r="L56" s="17">
        <f>MAX(0,$F56-INDEX(Grid_Stock[#Data],48,$P$7+4))</f>
        <v/>
      </c>
      <c r="M56" s="17">
        <f>MAX(0,$F56-INDEX(Grid_Stock[#Data],48,$P$7+5))</f>
        <v/>
      </c>
      <c r="N56" s="17">
        <f>MAX(0,$F56-INDEX(Grid_Stock[#Data],48,$P$7+6))</f>
        <v/>
      </c>
      <c r="O56" s="17">
        <f>MAX(0,$F56-INDEX(Grid_Stock[#Data],48,$P$7+7))</f>
        <v/>
      </c>
      <c r="P56" s="17">
        <f>MAX(0,$F56-INDEX(Grid_Stock[#Data],48,$P$7+8))</f>
        <v/>
      </c>
      <c r="Q56" s="17">
        <f>MAX(0,$F56-INDEX(Grid_Stock[#Data],48,$P$7+9))</f>
        <v/>
      </c>
      <c r="R56" s="17">
        <f>MAX(0,$F56-INDEX(Grid_Stock[#Data],48,$P$7+10))</f>
        <v/>
      </c>
      <c r="S56" s="17">
        <f>MAX(0,$F56-INDEX(Grid_Stock[#Data],48,$P$7+11))</f>
        <v/>
      </c>
      <c r="T56" s="17">
        <f>MAX(0,$F56-INDEX(Grid_Stock[#Data],48,$P$7+12))</f>
        <v/>
      </c>
      <c r="U56" s="17">
        <f>SUM(H56:T56)</f>
        <v/>
      </c>
    </row>
    <row r="57">
      <c r="B57" s="15">
        <f>IFERROR(INDEX(M_RawMaterials[Description],MATCH("CHEM-1480",M_RawMaterials[RM_Code],0)),"")</f>
        <v/>
      </c>
      <c r="C57" s="15" t="inlineStr">
        <is>
          <t>NAT30</t>
        </is>
      </c>
      <c r="D57" s="15" t="inlineStr">
        <is>
          <t>CHEM-1480</t>
        </is>
      </c>
      <c r="E57" s="15" t="inlineStr">
        <is>
          <t>kg</t>
        </is>
      </c>
      <c r="F57" s="15">
        <f>IFERROR(INDEX(M_RawMaterials[SafetyStock_Qty_要入力],MATCH("CHEM-1480",M_RawMaterials[RM_Code],0)),0)</f>
        <v/>
      </c>
      <c r="G57" s="15">
        <f>INDEX(Grid_Stock[#Data],49,$P$7)</f>
        <v/>
      </c>
      <c r="H57" s="15">
        <f>MAX(0,$F57-INDEX(Grid_Stock[#Data],49,$P$7+0))</f>
        <v/>
      </c>
      <c r="I57" s="15">
        <f>MAX(0,$F57-INDEX(Grid_Stock[#Data],49,$P$7+1))</f>
        <v/>
      </c>
      <c r="J57" s="15">
        <f>MAX(0,$F57-INDEX(Grid_Stock[#Data],49,$P$7+2))</f>
        <v/>
      </c>
      <c r="K57" s="15">
        <f>MAX(0,$F57-INDEX(Grid_Stock[#Data],49,$P$7+3))</f>
        <v/>
      </c>
      <c r="L57" s="15">
        <f>MAX(0,$F57-INDEX(Grid_Stock[#Data],49,$P$7+4))</f>
        <v/>
      </c>
      <c r="M57" s="15">
        <f>MAX(0,$F57-INDEX(Grid_Stock[#Data],49,$P$7+5))</f>
        <v/>
      </c>
      <c r="N57" s="15">
        <f>MAX(0,$F57-INDEX(Grid_Stock[#Data],49,$P$7+6))</f>
        <v/>
      </c>
      <c r="O57" s="15">
        <f>MAX(0,$F57-INDEX(Grid_Stock[#Data],49,$P$7+7))</f>
        <v/>
      </c>
      <c r="P57" s="15">
        <f>MAX(0,$F57-INDEX(Grid_Stock[#Data],49,$P$7+8))</f>
        <v/>
      </c>
      <c r="Q57" s="15">
        <f>MAX(0,$F57-INDEX(Grid_Stock[#Data],49,$P$7+9))</f>
        <v/>
      </c>
      <c r="R57" s="15">
        <f>MAX(0,$F57-INDEX(Grid_Stock[#Data],49,$P$7+10))</f>
        <v/>
      </c>
      <c r="S57" s="15">
        <f>MAX(0,$F57-INDEX(Grid_Stock[#Data],49,$P$7+11))</f>
        <v/>
      </c>
      <c r="T57" s="15">
        <f>MAX(0,$F57-INDEX(Grid_Stock[#Data],49,$P$7+12))</f>
        <v/>
      </c>
      <c r="U57" s="15">
        <f>SUM(H57:T57)</f>
        <v/>
      </c>
    </row>
    <row r="58">
      <c r="B58" s="17">
        <f>IFERROR(INDEX(M_RawMaterials[Description],MATCH("CHEM-1560",M_RawMaterials[RM_Code],0)),"")</f>
        <v/>
      </c>
      <c r="C58" s="17" t="inlineStr">
        <is>
          <t>734831030</t>
        </is>
      </c>
      <c r="D58" s="17" t="inlineStr">
        <is>
          <t>CHEM-1560</t>
        </is>
      </c>
      <c r="E58" s="17" t="inlineStr">
        <is>
          <t>kg</t>
        </is>
      </c>
      <c r="F58" s="17">
        <f>IFERROR(INDEX(M_RawMaterials[SafetyStock_Qty_要入力],MATCH("CHEM-1560",M_RawMaterials[RM_Code],0)),0)</f>
        <v/>
      </c>
      <c r="G58" s="17">
        <f>INDEX(Grid_Stock[#Data],50,$P$7)</f>
        <v/>
      </c>
      <c r="H58" s="17">
        <f>MAX(0,$F58-INDEX(Grid_Stock[#Data],50,$P$7+0))</f>
        <v/>
      </c>
      <c r="I58" s="17">
        <f>MAX(0,$F58-INDEX(Grid_Stock[#Data],50,$P$7+1))</f>
        <v/>
      </c>
      <c r="J58" s="17">
        <f>MAX(0,$F58-INDEX(Grid_Stock[#Data],50,$P$7+2))</f>
        <v/>
      </c>
      <c r="K58" s="17">
        <f>MAX(0,$F58-INDEX(Grid_Stock[#Data],50,$P$7+3))</f>
        <v/>
      </c>
      <c r="L58" s="17">
        <f>MAX(0,$F58-INDEX(Grid_Stock[#Data],50,$P$7+4))</f>
        <v/>
      </c>
      <c r="M58" s="17">
        <f>MAX(0,$F58-INDEX(Grid_Stock[#Data],50,$P$7+5))</f>
        <v/>
      </c>
      <c r="N58" s="17">
        <f>MAX(0,$F58-INDEX(Grid_Stock[#Data],50,$P$7+6))</f>
        <v/>
      </c>
      <c r="O58" s="17">
        <f>MAX(0,$F58-INDEX(Grid_Stock[#Data],50,$P$7+7))</f>
        <v/>
      </c>
      <c r="P58" s="17">
        <f>MAX(0,$F58-INDEX(Grid_Stock[#Data],50,$P$7+8))</f>
        <v/>
      </c>
      <c r="Q58" s="17">
        <f>MAX(0,$F58-INDEX(Grid_Stock[#Data],50,$P$7+9))</f>
        <v/>
      </c>
      <c r="R58" s="17">
        <f>MAX(0,$F58-INDEX(Grid_Stock[#Data],50,$P$7+10))</f>
        <v/>
      </c>
      <c r="S58" s="17">
        <f>MAX(0,$F58-INDEX(Grid_Stock[#Data],50,$P$7+11))</f>
        <v/>
      </c>
      <c r="T58" s="17">
        <f>MAX(0,$F58-INDEX(Grid_Stock[#Data],50,$P$7+12))</f>
        <v/>
      </c>
      <c r="U58" s="17">
        <f>SUM(H58:T58)</f>
        <v/>
      </c>
    </row>
    <row r="59">
      <c r="B59" s="15">
        <f>IFERROR(INDEX(M_RawMaterials[Description],MATCH("CHEM-1520",M_RawMaterials[RM_Code],0)),"")</f>
        <v/>
      </c>
      <c r="C59" s="15" t="inlineStr">
        <is>
          <t>71388005301</t>
        </is>
      </c>
      <c r="D59" s="15" t="inlineStr">
        <is>
          <t>CHEM-1520</t>
        </is>
      </c>
      <c r="E59" s="15" t="inlineStr">
        <is>
          <t>kg</t>
        </is>
      </c>
      <c r="F59" s="15">
        <f>IFERROR(INDEX(M_RawMaterials[SafetyStock_Qty_要入力],MATCH("CHEM-1520",M_RawMaterials[RM_Code],0)),0)</f>
        <v/>
      </c>
      <c r="G59" s="15">
        <f>INDEX(Grid_Stock[#Data],51,$P$7)</f>
        <v/>
      </c>
      <c r="H59" s="15">
        <f>MAX(0,$F59-INDEX(Grid_Stock[#Data],51,$P$7+0))</f>
        <v/>
      </c>
      <c r="I59" s="15">
        <f>MAX(0,$F59-INDEX(Grid_Stock[#Data],51,$P$7+1))</f>
        <v/>
      </c>
      <c r="J59" s="15">
        <f>MAX(0,$F59-INDEX(Grid_Stock[#Data],51,$P$7+2))</f>
        <v/>
      </c>
      <c r="K59" s="15">
        <f>MAX(0,$F59-INDEX(Grid_Stock[#Data],51,$P$7+3))</f>
        <v/>
      </c>
      <c r="L59" s="15">
        <f>MAX(0,$F59-INDEX(Grid_Stock[#Data],51,$P$7+4))</f>
        <v/>
      </c>
      <c r="M59" s="15">
        <f>MAX(0,$F59-INDEX(Grid_Stock[#Data],51,$P$7+5))</f>
        <v/>
      </c>
      <c r="N59" s="15">
        <f>MAX(0,$F59-INDEX(Grid_Stock[#Data],51,$P$7+6))</f>
        <v/>
      </c>
      <c r="O59" s="15">
        <f>MAX(0,$F59-INDEX(Grid_Stock[#Data],51,$P$7+7))</f>
        <v/>
      </c>
      <c r="P59" s="15">
        <f>MAX(0,$F59-INDEX(Grid_Stock[#Data],51,$P$7+8))</f>
        <v/>
      </c>
      <c r="Q59" s="15">
        <f>MAX(0,$F59-INDEX(Grid_Stock[#Data],51,$P$7+9))</f>
        <v/>
      </c>
      <c r="R59" s="15">
        <f>MAX(0,$F59-INDEX(Grid_Stock[#Data],51,$P$7+10))</f>
        <v/>
      </c>
      <c r="S59" s="15">
        <f>MAX(0,$F59-INDEX(Grid_Stock[#Data],51,$P$7+11))</f>
        <v/>
      </c>
      <c r="T59" s="15">
        <f>MAX(0,$F59-INDEX(Grid_Stock[#Data],51,$P$7+12))</f>
        <v/>
      </c>
      <c r="U59" s="15">
        <f>SUM(H59:T59)</f>
        <v/>
      </c>
    </row>
    <row r="60">
      <c r="B60" s="17">
        <f>IFERROR(INDEX(M_RawMaterials[Description],MATCH("CHEM-1580",M_RawMaterials[RM_Code],0)),"")</f>
        <v/>
      </c>
      <c r="C60" s="17" t="inlineStr">
        <is>
          <t>71288614301</t>
        </is>
      </c>
      <c r="D60" s="17" t="inlineStr">
        <is>
          <t>CHEM-1580</t>
        </is>
      </c>
      <c r="E60" s="17" t="inlineStr">
        <is>
          <t>kg</t>
        </is>
      </c>
      <c r="F60" s="17">
        <f>IFERROR(INDEX(M_RawMaterials[SafetyStock_Qty_要入力],MATCH("CHEM-1580",M_RawMaterials[RM_Code],0)),0)</f>
        <v/>
      </c>
      <c r="G60" s="17">
        <f>INDEX(Grid_Stock[#Data],52,$P$7)</f>
        <v/>
      </c>
      <c r="H60" s="17">
        <f>MAX(0,$F60-INDEX(Grid_Stock[#Data],52,$P$7+0))</f>
        <v/>
      </c>
      <c r="I60" s="17">
        <f>MAX(0,$F60-INDEX(Grid_Stock[#Data],52,$P$7+1))</f>
        <v/>
      </c>
      <c r="J60" s="17">
        <f>MAX(0,$F60-INDEX(Grid_Stock[#Data],52,$P$7+2))</f>
        <v/>
      </c>
      <c r="K60" s="17">
        <f>MAX(0,$F60-INDEX(Grid_Stock[#Data],52,$P$7+3))</f>
        <v/>
      </c>
      <c r="L60" s="17">
        <f>MAX(0,$F60-INDEX(Grid_Stock[#Data],52,$P$7+4))</f>
        <v/>
      </c>
      <c r="M60" s="17">
        <f>MAX(0,$F60-INDEX(Grid_Stock[#Data],52,$P$7+5))</f>
        <v/>
      </c>
      <c r="N60" s="17">
        <f>MAX(0,$F60-INDEX(Grid_Stock[#Data],52,$P$7+6))</f>
        <v/>
      </c>
      <c r="O60" s="17">
        <f>MAX(0,$F60-INDEX(Grid_Stock[#Data],52,$P$7+7))</f>
        <v/>
      </c>
      <c r="P60" s="17">
        <f>MAX(0,$F60-INDEX(Grid_Stock[#Data],52,$P$7+8))</f>
        <v/>
      </c>
      <c r="Q60" s="17">
        <f>MAX(0,$F60-INDEX(Grid_Stock[#Data],52,$P$7+9))</f>
        <v/>
      </c>
      <c r="R60" s="17">
        <f>MAX(0,$F60-INDEX(Grid_Stock[#Data],52,$P$7+10))</f>
        <v/>
      </c>
      <c r="S60" s="17">
        <f>MAX(0,$F60-INDEX(Grid_Stock[#Data],52,$P$7+11))</f>
        <v/>
      </c>
      <c r="T60" s="17">
        <f>MAX(0,$F60-INDEX(Grid_Stock[#Data],52,$P$7+12))</f>
        <v/>
      </c>
      <c r="U60" s="17">
        <f>SUM(H60:T60)</f>
        <v/>
      </c>
    </row>
    <row r="61">
      <c r="B61" s="15">
        <f>IFERROR(INDEX(M_RawMaterials[Description],MATCH("CHEM-1550",M_RawMaterials[RM_Code],0)),"")</f>
        <v/>
      </c>
      <c r="C61" s="15" t="inlineStr">
        <is>
          <t>71288624901</t>
        </is>
      </c>
      <c r="D61" s="15" t="inlineStr">
        <is>
          <t>CHEM-1550</t>
        </is>
      </c>
      <c r="E61" s="15" t="inlineStr">
        <is>
          <t>kg</t>
        </is>
      </c>
      <c r="F61" s="15">
        <f>IFERROR(INDEX(M_RawMaterials[SafetyStock_Qty_要入力],MATCH("CHEM-1550",M_RawMaterials[RM_Code],0)),0)</f>
        <v/>
      </c>
      <c r="G61" s="15">
        <f>INDEX(Grid_Stock[#Data],53,$P$7)</f>
        <v/>
      </c>
      <c r="H61" s="15">
        <f>MAX(0,$F61-INDEX(Grid_Stock[#Data],53,$P$7+0))</f>
        <v/>
      </c>
      <c r="I61" s="15">
        <f>MAX(0,$F61-INDEX(Grid_Stock[#Data],53,$P$7+1))</f>
        <v/>
      </c>
      <c r="J61" s="15">
        <f>MAX(0,$F61-INDEX(Grid_Stock[#Data],53,$P$7+2))</f>
        <v/>
      </c>
      <c r="K61" s="15">
        <f>MAX(0,$F61-INDEX(Grid_Stock[#Data],53,$P$7+3))</f>
        <v/>
      </c>
      <c r="L61" s="15">
        <f>MAX(0,$F61-INDEX(Grid_Stock[#Data],53,$P$7+4))</f>
        <v/>
      </c>
      <c r="M61" s="15">
        <f>MAX(0,$F61-INDEX(Grid_Stock[#Data],53,$P$7+5))</f>
        <v/>
      </c>
      <c r="N61" s="15">
        <f>MAX(0,$F61-INDEX(Grid_Stock[#Data],53,$P$7+6))</f>
        <v/>
      </c>
      <c r="O61" s="15">
        <f>MAX(0,$F61-INDEX(Grid_Stock[#Data],53,$P$7+7))</f>
        <v/>
      </c>
      <c r="P61" s="15">
        <f>MAX(0,$F61-INDEX(Grid_Stock[#Data],53,$P$7+8))</f>
        <v/>
      </c>
      <c r="Q61" s="15">
        <f>MAX(0,$F61-INDEX(Grid_Stock[#Data],53,$P$7+9))</f>
        <v/>
      </c>
      <c r="R61" s="15">
        <f>MAX(0,$F61-INDEX(Grid_Stock[#Data],53,$P$7+10))</f>
        <v/>
      </c>
      <c r="S61" s="15">
        <f>MAX(0,$F61-INDEX(Grid_Stock[#Data],53,$P$7+11))</f>
        <v/>
      </c>
      <c r="T61" s="15">
        <f>MAX(0,$F61-INDEX(Grid_Stock[#Data],53,$P$7+12))</f>
        <v/>
      </c>
      <c r="U61" s="15">
        <f>SUM(H61:T61)</f>
        <v/>
      </c>
    </row>
    <row r="62">
      <c r="B62" s="17">
        <f>IFERROR(INDEX(M_RawMaterials[Description],MATCH("CHEM-1510",M_RawMaterials[RM_Code],0)),"")</f>
        <v/>
      </c>
      <c r="C62" s="17" t="inlineStr">
        <is>
          <t>71288625001</t>
        </is>
      </c>
      <c r="D62" s="17" t="inlineStr">
        <is>
          <t>CHEM-1510</t>
        </is>
      </c>
      <c r="E62" s="17" t="inlineStr">
        <is>
          <t>kg</t>
        </is>
      </c>
      <c r="F62" s="17">
        <f>IFERROR(INDEX(M_RawMaterials[SafetyStock_Qty_要入力],MATCH("CHEM-1510",M_RawMaterials[RM_Code],0)),0)</f>
        <v/>
      </c>
      <c r="G62" s="17">
        <f>INDEX(Grid_Stock[#Data],54,$P$7)</f>
        <v/>
      </c>
      <c r="H62" s="17">
        <f>MAX(0,$F62-INDEX(Grid_Stock[#Data],54,$P$7+0))</f>
        <v/>
      </c>
      <c r="I62" s="17">
        <f>MAX(0,$F62-INDEX(Grid_Stock[#Data],54,$P$7+1))</f>
        <v/>
      </c>
      <c r="J62" s="17">
        <f>MAX(0,$F62-INDEX(Grid_Stock[#Data],54,$P$7+2))</f>
        <v/>
      </c>
      <c r="K62" s="17">
        <f>MAX(0,$F62-INDEX(Grid_Stock[#Data],54,$P$7+3))</f>
        <v/>
      </c>
      <c r="L62" s="17">
        <f>MAX(0,$F62-INDEX(Grid_Stock[#Data],54,$P$7+4))</f>
        <v/>
      </c>
      <c r="M62" s="17">
        <f>MAX(0,$F62-INDEX(Grid_Stock[#Data],54,$P$7+5))</f>
        <v/>
      </c>
      <c r="N62" s="17">
        <f>MAX(0,$F62-INDEX(Grid_Stock[#Data],54,$P$7+6))</f>
        <v/>
      </c>
      <c r="O62" s="17">
        <f>MAX(0,$F62-INDEX(Grid_Stock[#Data],54,$P$7+7))</f>
        <v/>
      </c>
      <c r="P62" s="17">
        <f>MAX(0,$F62-INDEX(Grid_Stock[#Data],54,$P$7+8))</f>
        <v/>
      </c>
      <c r="Q62" s="17">
        <f>MAX(0,$F62-INDEX(Grid_Stock[#Data],54,$P$7+9))</f>
        <v/>
      </c>
      <c r="R62" s="17">
        <f>MAX(0,$F62-INDEX(Grid_Stock[#Data],54,$P$7+10))</f>
        <v/>
      </c>
      <c r="S62" s="17">
        <f>MAX(0,$F62-INDEX(Grid_Stock[#Data],54,$P$7+11))</f>
        <v/>
      </c>
      <c r="T62" s="17">
        <f>MAX(0,$F62-INDEX(Grid_Stock[#Data],54,$P$7+12))</f>
        <v/>
      </c>
      <c r="U62" s="17">
        <f>SUM(H62:T62)</f>
        <v/>
      </c>
    </row>
    <row r="63">
      <c r="B63" s="15">
        <f>IFERROR(INDEX(M_RawMaterials[Description],MATCH("CHEM-1080",M_RawMaterials[RM_Code],0)),"")</f>
        <v/>
      </c>
      <c r="C63" s="15" t="inlineStr">
        <is>
          <t>839880043</t>
        </is>
      </c>
      <c r="D63" s="15" t="inlineStr">
        <is>
          <t>CHEM-1080</t>
        </is>
      </c>
      <c r="E63" s="15" t="inlineStr">
        <is>
          <t>kg</t>
        </is>
      </c>
      <c r="F63" s="15">
        <f>IFERROR(INDEX(M_RawMaterials[SafetyStock_Qty_要入力],MATCH("CHEM-1080",M_RawMaterials[RM_Code],0)),0)</f>
        <v/>
      </c>
      <c r="G63" s="15">
        <f>INDEX(Grid_Stock[#Data],55,$P$7)</f>
        <v/>
      </c>
      <c r="H63" s="15">
        <f>MAX(0,$F63-INDEX(Grid_Stock[#Data],55,$P$7+0))</f>
        <v/>
      </c>
      <c r="I63" s="15">
        <f>MAX(0,$F63-INDEX(Grid_Stock[#Data],55,$P$7+1))</f>
        <v/>
      </c>
      <c r="J63" s="15">
        <f>MAX(0,$F63-INDEX(Grid_Stock[#Data],55,$P$7+2))</f>
        <v/>
      </c>
      <c r="K63" s="15">
        <f>MAX(0,$F63-INDEX(Grid_Stock[#Data],55,$P$7+3))</f>
        <v/>
      </c>
      <c r="L63" s="15">
        <f>MAX(0,$F63-INDEX(Grid_Stock[#Data],55,$P$7+4))</f>
        <v/>
      </c>
      <c r="M63" s="15">
        <f>MAX(0,$F63-INDEX(Grid_Stock[#Data],55,$P$7+5))</f>
        <v/>
      </c>
      <c r="N63" s="15">
        <f>MAX(0,$F63-INDEX(Grid_Stock[#Data],55,$P$7+6))</f>
        <v/>
      </c>
      <c r="O63" s="15">
        <f>MAX(0,$F63-INDEX(Grid_Stock[#Data],55,$P$7+7))</f>
        <v/>
      </c>
      <c r="P63" s="15">
        <f>MAX(0,$F63-INDEX(Grid_Stock[#Data],55,$P$7+8))</f>
        <v/>
      </c>
      <c r="Q63" s="15">
        <f>MAX(0,$F63-INDEX(Grid_Stock[#Data],55,$P$7+9))</f>
        <v/>
      </c>
      <c r="R63" s="15">
        <f>MAX(0,$F63-INDEX(Grid_Stock[#Data],55,$P$7+10))</f>
        <v/>
      </c>
      <c r="S63" s="15">
        <f>MAX(0,$F63-INDEX(Grid_Stock[#Data],55,$P$7+11))</f>
        <v/>
      </c>
      <c r="T63" s="15">
        <f>MAX(0,$F63-INDEX(Grid_Stock[#Data],55,$P$7+12))</f>
        <v/>
      </c>
      <c r="U63" s="15">
        <f>SUM(H63:T63)</f>
        <v/>
      </c>
    </row>
    <row r="64">
      <c r="B64" s="17">
        <f>IFERROR(INDEX(M_RawMaterials[Description],MATCH("CHEM-1770",M_RawMaterials[RM_Code],0)),"")</f>
        <v/>
      </c>
      <c r="C64" s="17" t="inlineStr">
        <is>
          <t>New</t>
        </is>
      </c>
      <c r="D64" s="17" t="inlineStr">
        <is>
          <t>CHEM-1770</t>
        </is>
      </c>
      <c r="E64" s="17" t="inlineStr">
        <is>
          <t>kg</t>
        </is>
      </c>
      <c r="F64" s="17">
        <f>IFERROR(INDEX(M_RawMaterials[SafetyStock_Qty_要入力],MATCH("CHEM-1770",M_RawMaterials[RM_Code],0)),0)</f>
        <v/>
      </c>
      <c r="G64" s="17">
        <f>INDEX(Grid_Stock[#Data],56,$P$7)</f>
        <v/>
      </c>
      <c r="H64" s="17">
        <f>MAX(0,$F64-INDEX(Grid_Stock[#Data],56,$P$7+0))</f>
        <v/>
      </c>
      <c r="I64" s="17">
        <f>MAX(0,$F64-INDEX(Grid_Stock[#Data],56,$P$7+1))</f>
        <v/>
      </c>
      <c r="J64" s="17">
        <f>MAX(0,$F64-INDEX(Grid_Stock[#Data],56,$P$7+2))</f>
        <v/>
      </c>
      <c r="K64" s="17">
        <f>MAX(0,$F64-INDEX(Grid_Stock[#Data],56,$P$7+3))</f>
        <v/>
      </c>
      <c r="L64" s="17">
        <f>MAX(0,$F64-INDEX(Grid_Stock[#Data],56,$P$7+4))</f>
        <v/>
      </c>
      <c r="M64" s="17">
        <f>MAX(0,$F64-INDEX(Grid_Stock[#Data],56,$P$7+5))</f>
        <v/>
      </c>
      <c r="N64" s="17">
        <f>MAX(0,$F64-INDEX(Grid_Stock[#Data],56,$P$7+6))</f>
        <v/>
      </c>
      <c r="O64" s="17">
        <f>MAX(0,$F64-INDEX(Grid_Stock[#Data],56,$P$7+7))</f>
        <v/>
      </c>
      <c r="P64" s="17">
        <f>MAX(0,$F64-INDEX(Grid_Stock[#Data],56,$P$7+8))</f>
        <v/>
      </c>
      <c r="Q64" s="17">
        <f>MAX(0,$F64-INDEX(Grid_Stock[#Data],56,$P$7+9))</f>
        <v/>
      </c>
      <c r="R64" s="17">
        <f>MAX(0,$F64-INDEX(Grid_Stock[#Data],56,$P$7+10))</f>
        <v/>
      </c>
      <c r="S64" s="17">
        <f>MAX(0,$F64-INDEX(Grid_Stock[#Data],56,$P$7+11))</f>
        <v/>
      </c>
      <c r="T64" s="17">
        <f>MAX(0,$F64-INDEX(Grid_Stock[#Data],56,$P$7+12))</f>
        <v/>
      </c>
      <c r="U64" s="17">
        <f>SUM(H64:T64)</f>
        <v/>
      </c>
    </row>
    <row r="65">
      <c r="B65" s="15">
        <f>IFERROR(INDEX(M_RawMaterials[Description],MATCH("CHEM-1850",M_RawMaterials[RM_Code],0)),"")</f>
        <v/>
      </c>
      <c r="C65" s="15" t="inlineStr">
        <is>
          <t>kg</t>
        </is>
      </c>
      <c r="D65" s="15" t="inlineStr">
        <is>
          <t>CHEM-1850</t>
        </is>
      </c>
      <c r="E65" s="15" t="inlineStr">
        <is>
          <t>kg</t>
        </is>
      </c>
      <c r="F65" s="15">
        <f>IFERROR(INDEX(M_RawMaterials[SafetyStock_Qty_要入力],MATCH("CHEM-1850",M_RawMaterials[RM_Code],0)),0)</f>
        <v/>
      </c>
      <c r="G65" s="15">
        <f>INDEX(Grid_Stock[#Data],57,$P$7)</f>
        <v/>
      </c>
      <c r="H65" s="15">
        <f>MAX(0,$F65-INDEX(Grid_Stock[#Data],57,$P$7+0))</f>
        <v/>
      </c>
      <c r="I65" s="15">
        <f>MAX(0,$F65-INDEX(Grid_Stock[#Data],57,$P$7+1))</f>
        <v/>
      </c>
      <c r="J65" s="15">
        <f>MAX(0,$F65-INDEX(Grid_Stock[#Data],57,$P$7+2))</f>
        <v/>
      </c>
      <c r="K65" s="15">
        <f>MAX(0,$F65-INDEX(Grid_Stock[#Data],57,$P$7+3))</f>
        <v/>
      </c>
      <c r="L65" s="15">
        <f>MAX(0,$F65-INDEX(Grid_Stock[#Data],57,$P$7+4))</f>
        <v/>
      </c>
      <c r="M65" s="15">
        <f>MAX(0,$F65-INDEX(Grid_Stock[#Data],57,$P$7+5))</f>
        <v/>
      </c>
      <c r="N65" s="15">
        <f>MAX(0,$F65-INDEX(Grid_Stock[#Data],57,$P$7+6))</f>
        <v/>
      </c>
      <c r="O65" s="15">
        <f>MAX(0,$F65-INDEX(Grid_Stock[#Data],57,$P$7+7))</f>
        <v/>
      </c>
      <c r="P65" s="15">
        <f>MAX(0,$F65-INDEX(Grid_Stock[#Data],57,$P$7+8))</f>
        <v/>
      </c>
      <c r="Q65" s="15">
        <f>MAX(0,$F65-INDEX(Grid_Stock[#Data],57,$P$7+9))</f>
        <v/>
      </c>
      <c r="R65" s="15">
        <f>MAX(0,$F65-INDEX(Grid_Stock[#Data],57,$P$7+10))</f>
        <v/>
      </c>
      <c r="S65" s="15">
        <f>MAX(0,$F65-INDEX(Grid_Stock[#Data],57,$P$7+11))</f>
        <v/>
      </c>
      <c r="T65" s="15">
        <f>MAX(0,$F65-INDEX(Grid_Stock[#Data],57,$P$7+12))</f>
        <v/>
      </c>
      <c r="U65" s="15">
        <f>SUM(H65:T65)</f>
        <v/>
      </c>
    </row>
    <row r="66">
      <c r="B66" s="17">
        <f>IFERROR(INDEX(M_RawMaterials[Description],MATCH("CHEM-1780",M_RawMaterials[RM_Code],0)),"")</f>
        <v/>
      </c>
      <c r="C66" s="17" t="inlineStr">
        <is>
          <t>New</t>
        </is>
      </c>
      <c r="D66" s="17" t="inlineStr">
        <is>
          <t>CHEM-1780</t>
        </is>
      </c>
      <c r="E66" s="17" t="inlineStr">
        <is>
          <t>kg</t>
        </is>
      </c>
      <c r="F66" s="17">
        <f>IFERROR(INDEX(M_RawMaterials[SafetyStock_Qty_要入力],MATCH("CHEM-1780",M_RawMaterials[RM_Code],0)),0)</f>
        <v/>
      </c>
      <c r="G66" s="17">
        <f>INDEX(Grid_Stock[#Data],58,$P$7)</f>
        <v/>
      </c>
      <c r="H66" s="17">
        <f>MAX(0,$F66-INDEX(Grid_Stock[#Data],58,$P$7+0))</f>
        <v/>
      </c>
      <c r="I66" s="17">
        <f>MAX(0,$F66-INDEX(Grid_Stock[#Data],58,$P$7+1))</f>
        <v/>
      </c>
      <c r="J66" s="17">
        <f>MAX(0,$F66-INDEX(Grid_Stock[#Data],58,$P$7+2))</f>
        <v/>
      </c>
      <c r="K66" s="17">
        <f>MAX(0,$F66-INDEX(Grid_Stock[#Data],58,$P$7+3))</f>
        <v/>
      </c>
      <c r="L66" s="17">
        <f>MAX(0,$F66-INDEX(Grid_Stock[#Data],58,$P$7+4))</f>
        <v/>
      </c>
      <c r="M66" s="17">
        <f>MAX(0,$F66-INDEX(Grid_Stock[#Data],58,$P$7+5))</f>
        <v/>
      </c>
      <c r="N66" s="17">
        <f>MAX(0,$F66-INDEX(Grid_Stock[#Data],58,$P$7+6))</f>
        <v/>
      </c>
      <c r="O66" s="17">
        <f>MAX(0,$F66-INDEX(Grid_Stock[#Data],58,$P$7+7))</f>
        <v/>
      </c>
      <c r="P66" s="17">
        <f>MAX(0,$F66-INDEX(Grid_Stock[#Data],58,$P$7+8))</f>
        <v/>
      </c>
      <c r="Q66" s="17">
        <f>MAX(0,$F66-INDEX(Grid_Stock[#Data],58,$P$7+9))</f>
        <v/>
      </c>
      <c r="R66" s="17">
        <f>MAX(0,$F66-INDEX(Grid_Stock[#Data],58,$P$7+10))</f>
        <v/>
      </c>
      <c r="S66" s="17">
        <f>MAX(0,$F66-INDEX(Grid_Stock[#Data],58,$P$7+11))</f>
        <v/>
      </c>
      <c r="T66" s="17">
        <f>MAX(0,$F66-INDEX(Grid_Stock[#Data],58,$P$7+12))</f>
        <v/>
      </c>
      <c r="U66" s="17">
        <f>SUM(H66:T66)</f>
        <v/>
      </c>
    </row>
    <row r="67">
      <c r="B67" s="15">
        <f>IFERROR(INDEX(M_RawMaterials[Description],MATCH("CHEM-1020",M_RawMaterials[RM_Code],0)),"")</f>
        <v/>
      </c>
      <c r="C67" s="15" t="inlineStr"/>
      <c r="D67" s="15" t="inlineStr">
        <is>
          <t>CHEM-1020</t>
        </is>
      </c>
      <c r="E67" s="15" t="inlineStr">
        <is>
          <t>kg</t>
        </is>
      </c>
      <c r="F67" s="15">
        <f>IFERROR(INDEX(M_RawMaterials[SafetyStock_Qty_要入力],MATCH("CHEM-1020",M_RawMaterials[RM_Code],0)),0)</f>
        <v/>
      </c>
      <c r="G67" s="15">
        <f>INDEX(Grid_Stock[#Data],59,$P$7)</f>
        <v/>
      </c>
      <c r="H67" s="15">
        <f>MAX(0,$F67-INDEX(Grid_Stock[#Data],59,$P$7+0))</f>
        <v/>
      </c>
      <c r="I67" s="15">
        <f>MAX(0,$F67-INDEX(Grid_Stock[#Data],59,$P$7+1))</f>
        <v/>
      </c>
      <c r="J67" s="15">
        <f>MAX(0,$F67-INDEX(Grid_Stock[#Data],59,$P$7+2))</f>
        <v/>
      </c>
      <c r="K67" s="15">
        <f>MAX(0,$F67-INDEX(Grid_Stock[#Data],59,$P$7+3))</f>
        <v/>
      </c>
      <c r="L67" s="15">
        <f>MAX(0,$F67-INDEX(Grid_Stock[#Data],59,$P$7+4))</f>
        <v/>
      </c>
      <c r="M67" s="15">
        <f>MAX(0,$F67-INDEX(Grid_Stock[#Data],59,$P$7+5))</f>
        <v/>
      </c>
      <c r="N67" s="15">
        <f>MAX(0,$F67-INDEX(Grid_Stock[#Data],59,$P$7+6))</f>
        <v/>
      </c>
      <c r="O67" s="15">
        <f>MAX(0,$F67-INDEX(Grid_Stock[#Data],59,$P$7+7))</f>
        <v/>
      </c>
      <c r="P67" s="15">
        <f>MAX(0,$F67-INDEX(Grid_Stock[#Data],59,$P$7+8))</f>
        <v/>
      </c>
      <c r="Q67" s="15">
        <f>MAX(0,$F67-INDEX(Grid_Stock[#Data],59,$P$7+9))</f>
        <v/>
      </c>
      <c r="R67" s="15">
        <f>MAX(0,$F67-INDEX(Grid_Stock[#Data],59,$P$7+10))</f>
        <v/>
      </c>
      <c r="S67" s="15">
        <f>MAX(0,$F67-INDEX(Grid_Stock[#Data],59,$P$7+11))</f>
        <v/>
      </c>
      <c r="T67" s="15">
        <f>MAX(0,$F67-INDEX(Grid_Stock[#Data],59,$P$7+12))</f>
        <v/>
      </c>
      <c r="U67" s="15">
        <f>SUM(H67:T67)</f>
        <v/>
      </c>
    </row>
    <row r="68">
      <c r="B68" s="17">
        <f>IFERROR(INDEX(M_RawMaterials[Description],MATCH("CSA Code",M_RawMaterials[RM_Code],0)),"")</f>
        <v/>
      </c>
      <c r="C68" s="17" t="inlineStr"/>
      <c r="D68" s="17" t="inlineStr">
        <is>
          <t>CSA Code</t>
        </is>
      </c>
      <c r="E68" s="17" t="inlineStr">
        <is>
          <t>kg</t>
        </is>
      </c>
      <c r="F68" s="17">
        <f>IFERROR(INDEX(M_RawMaterials[SafetyStock_Qty_要入力],MATCH("CSA Code",M_RawMaterials[RM_Code],0)),0)</f>
        <v/>
      </c>
      <c r="G68" s="17">
        <f>INDEX(Grid_Stock[#Data],60,$P$7)</f>
        <v/>
      </c>
      <c r="H68" s="17">
        <f>MAX(0,$F68-INDEX(Grid_Stock[#Data],60,$P$7+0))</f>
        <v/>
      </c>
      <c r="I68" s="17">
        <f>MAX(0,$F68-INDEX(Grid_Stock[#Data],60,$P$7+1))</f>
        <v/>
      </c>
      <c r="J68" s="17">
        <f>MAX(0,$F68-INDEX(Grid_Stock[#Data],60,$P$7+2))</f>
        <v/>
      </c>
      <c r="K68" s="17">
        <f>MAX(0,$F68-INDEX(Grid_Stock[#Data],60,$P$7+3))</f>
        <v/>
      </c>
      <c r="L68" s="17">
        <f>MAX(0,$F68-INDEX(Grid_Stock[#Data],60,$P$7+4))</f>
        <v/>
      </c>
      <c r="M68" s="17">
        <f>MAX(0,$F68-INDEX(Grid_Stock[#Data],60,$P$7+5))</f>
        <v/>
      </c>
      <c r="N68" s="17">
        <f>MAX(0,$F68-INDEX(Grid_Stock[#Data],60,$P$7+6))</f>
        <v/>
      </c>
      <c r="O68" s="17">
        <f>MAX(0,$F68-INDEX(Grid_Stock[#Data],60,$P$7+7))</f>
        <v/>
      </c>
      <c r="P68" s="17">
        <f>MAX(0,$F68-INDEX(Grid_Stock[#Data],60,$P$7+8))</f>
        <v/>
      </c>
      <c r="Q68" s="17">
        <f>MAX(0,$F68-INDEX(Grid_Stock[#Data],60,$P$7+9))</f>
        <v/>
      </c>
      <c r="R68" s="17">
        <f>MAX(0,$F68-INDEX(Grid_Stock[#Data],60,$P$7+10))</f>
        <v/>
      </c>
      <c r="S68" s="17">
        <f>MAX(0,$F68-INDEX(Grid_Stock[#Data],60,$P$7+11))</f>
        <v/>
      </c>
      <c r="T68" s="17">
        <f>MAX(0,$F68-INDEX(Grid_Stock[#Data],60,$P$7+12))</f>
        <v/>
      </c>
      <c r="U68" s="17">
        <f>SUM(H68:T68)</f>
        <v/>
      </c>
    </row>
    <row r="69">
      <c r="B69" s="15">
        <f>IFERROR(INDEX(M_RawMaterials[Description],MATCH("1JN",M_RawMaterials[RM_Code],0)),"")</f>
        <v/>
      </c>
      <c r="C69" s="15" t="inlineStr"/>
      <c r="D69" s="15" t="inlineStr">
        <is>
          <t>1JN</t>
        </is>
      </c>
      <c r="E69" s="15" t="inlineStr">
        <is>
          <t>kg</t>
        </is>
      </c>
      <c r="F69" s="15">
        <f>IFERROR(INDEX(M_RawMaterials[SafetyStock_Qty_要入力],MATCH("1JN",M_RawMaterials[RM_Code],0)),0)</f>
        <v/>
      </c>
      <c r="G69" s="15">
        <f>INDEX(Grid_Stock[#Data],64,$P$7)</f>
        <v/>
      </c>
      <c r="H69" s="15">
        <f>MAX(0,$F69-INDEX(Grid_Stock[#Data],64,$P$7+0))</f>
        <v/>
      </c>
      <c r="I69" s="15">
        <f>MAX(0,$F69-INDEX(Grid_Stock[#Data],64,$P$7+1))</f>
        <v/>
      </c>
      <c r="J69" s="15">
        <f>MAX(0,$F69-INDEX(Grid_Stock[#Data],64,$P$7+2))</f>
        <v/>
      </c>
      <c r="K69" s="15">
        <f>MAX(0,$F69-INDEX(Grid_Stock[#Data],64,$P$7+3))</f>
        <v/>
      </c>
      <c r="L69" s="15">
        <f>MAX(0,$F69-INDEX(Grid_Stock[#Data],64,$P$7+4))</f>
        <v/>
      </c>
      <c r="M69" s="15">
        <f>MAX(0,$F69-INDEX(Grid_Stock[#Data],64,$P$7+5))</f>
        <v/>
      </c>
      <c r="N69" s="15">
        <f>MAX(0,$F69-INDEX(Grid_Stock[#Data],64,$P$7+6))</f>
        <v/>
      </c>
      <c r="O69" s="15">
        <f>MAX(0,$F69-INDEX(Grid_Stock[#Data],64,$P$7+7))</f>
        <v/>
      </c>
      <c r="P69" s="15">
        <f>MAX(0,$F69-INDEX(Grid_Stock[#Data],64,$P$7+8))</f>
        <v/>
      </c>
      <c r="Q69" s="15">
        <f>MAX(0,$F69-INDEX(Grid_Stock[#Data],64,$P$7+9))</f>
        <v/>
      </c>
      <c r="R69" s="15">
        <f>MAX(0,$F69-INDEX(Grid_Stock[#Data],64,$P$7+10))</f>
        <v/>
      </c>
      <c r="S69" s="15">
        <f>MAX(0,$F69-INDEX(Grid_Stock[#Data],64,$P$7+11))</f>
        <v/>
      </c>
      <c r="T69" s="15">
        <f>MAX(0,$F69-INDEX(Grid_Stock[#Data],64,$P$7+12))</f>
        <v/>
      </c>
      <c r="U69" s="15">
        <f>SUM(H69:T69)</f>
        <v/>
      </c>
    </row>
    <row r="70">
      <c r="B70" s="17">
        <f>IFERROR(INDEX(M_RawMaterials[Description],MATCH("V03",M_RawMaterials[RM_Code],0)),"")</f>
        <v/>
      </c>
      <c r="C70" s="17" t="inlineStr"/>
      <c r="D70" s="17" t="inlineStr">
        <is>
          <t>V03</t>
        </is>
      </c>
      <c r="E70" s="17" t="inlineStr">
        <is>
          <t>kg</t>
        </is>
      </c>
      <c r="F70" s="17">
        <f>IFERROR(INDEX(M_RawMaterials[SafetyStock_Qty_要入力],MATCH("V03",M_RawMaterials[RM_Code],0)),0)</f>
        <v/>
      </c>
      <c r="G70" s="17">
        <f>INDEX(Grid_Stock[#Data],65,$P$7)</f>
        <v/>
      </c>
      <c r="H70" s="17">
        <f>MAX(0,$F70-INDEX(Grid_Stock[#Data],65,$P$7+0))</f>
        <v/>
      </c>
      <c r="I70" s="17">
        <f>MAX(0,$F70-INDEX(Grid_Stock[#Data],65,$P$7+1))</f>
        <v/>
      </c>
      <c r="J70" s="17">
        <f>MAX(0,$F70-INDEX(Grid_Stock[#Data],65,$P$7+2))</f>
        <v/>
      </c>
      <c r="K70" s="17">
        <f>MAX(0,$F70-INDEX(Grid_Stock[#Data],65,$P$7+3))</f>
        <v/>
      </c>
      <c r="L70" s="17">
        <f>MAX(0,$F70-INDEX(Grid_Stock[#Data],65,$P$7+4))</f>
        <v/>
      </c>
      <c r="M70" s="17">
        <f>MAX(0,$F70-INDEX(Grid_Stock[#Data],65,$P$7+5))</f>
        <v/>
      </c>
      <c r="N70" s="17">
        <f>MAX(0,$F70-INDEX(Grid_Stock[#Data],65,$P$7+6))</f>
        <v/>
      </c>
      <c r="O70" s="17">
        <f>MAX(0,$F70-INDEX(Grid_Stock[#Data],65,$P$7+7))</f>
        <v/>
      </c>
      <c r="P70" s="17">
        <f>MAX(0,$F70-INDEX(Grid_Stock[#Data],65,$P$7+8))</f>
        <v/>
      </c>
      <c r="Q70" s="17">
        <f>MAX(0,$F70-INDEX(Grid_Stock[#Data],65,$P$7+9))</f>
        <v/>
      </c>
      <c r="R70" s="17">
        <f>MAX(0,$F70-INDEX(Grid_Stock[#Data],65,$P$7+10))</f>
        <v/>
      </c>
      <c r="S70" s="17">
        <f>MAX(0,$F70-INDEX(Grid_Stock[#Data],65,$P$7+11))</f>
        <v/>
      </c>
      <c r="T70" s="17">
        <f>MAX(0,$F70-INDEX(Grid_Stock[#Data],65,$P$7+12))</f>
        <v/>
      </c>
      <c r="U70" s="17">
        <f>SUM(H70:T70)</f>
        <v/>
      </c>
    </row>
    <row r="71">
      <c r="B71" s="15">
        <f>IFERROR(INDEX(M_RawMaterials[Description],MATCH("V19",M_RawMaterials[RM_Code],0)),"")</f>
        <v/>
      </c>
      <c r="C71" s="15" t="inlineStr"/>
      <c r="D71" s="15" t="inlineStr">
        <is>
          <t>V19</t>
        </is>
      </c>
      <c r="E71" s="15" t="inlineStr">
        <is>
          <t>kg</t>
        </is>
      </c>
      <c r="F71" s="15">
        <f>IFERROR(INDEX(M_RawMaterials[SafetyStock_Qty_要入力],MATCH("V19",M_RawMaterials[RM_Code],0)),0)</f>
        <v/>
      </c>
      <c r="G71" s="15">
        <f>INDEX(Grid_Stock[#Data],66,$P$7)</f>
        <v/>
      </c>
      <c r="H71" s="15">
        <f>MAX(0,$F71-INDEX(Grid_Stock[#Data],66,$P$7+0))</f>
        <v/>
      </c>
      <c r="I71" s="15">
        <f>MAX(0,$F71-INDEX(Grid_Stock[#Data],66,$P$7+1))</f>
        <v/>
      </c>
      <c r="J71" s="15">
        <f>MAX(0,$F71-INDEX(Grid_Stock[#Data],66,$P$7+2))</f>
        <v/>
      </c>
      <c r="K71" s="15">
        <f>MAX(0,$F71-INDEX(Grid_Stock[#Data],66,$P$7+3))</f>
        <v/>
      </c>
      <c r="L71" s="15">
        <f>MAX(0,$F71-INDEX(Grid_Stock[#Data],66,$P$7+4))</f>
        <v/>
      </c>
      <c r="M71" s="15">
        <f>MAX(0,$F71-INDEX(Grid_Stock[#Data],66,$P$7+5))</f>
        <v/>
      </c>
      <c r="N71" s="15">
        <f>MAX(0,$F71-INDEX(Grid_Stock[#Data],66,$P$7+6))</f>
        <v/>
      </c>
      <c r="O71" s="15">
        <f>MAX(0,$F71-INDEX(Grid_Stock[#Data],66,$P$7+7))</f>
        <v/>
      </c>
      <c r="P71" s="15">
        <f>MAX(0,$F71-INDEX(Grid_Stock[#Data],66,$P$7+8))</f>
        <v/>
      </c>
      <c r="Q71" s="15">
        <f>MAX(0,$F71-INDEX(Grid_Stock[#Data],66,$P$7+9))</f>
        <v/>
      </c>
      <c r="R71" s="15">
        <f>MAX(0,$F71-INDEX(Grid_Stock[#Data],66,$P$7+10))</f>
        <v/>
      </c>
      <c r="S71" s="15">
        <f>MAX(0,$F71-INDEX(Grid_Stock[#Data],66,$P$7+11))</f>
        <v/>
      </c>
      <c r="T71" s="15">
        <f>MAX(0,$F71-INDEX(Grid_Stock[#Data],66,$P$7+12))</f>
        <v/>
      </c>
      <c r="U71" s="15">
        <f>SUM(H71:T71)</f>
        <v/>
      </c>
    </row>
    <row r="72">
      <c r="B72" s="17">
        <f>IFERROR(INDEX(M_RawMaterials[Description],MATCH("CHEM-1740",M_RawMaterials[RM_Code],0)),"")</f>
        <v/>
      </c>
      <c r="C72" s="17" t="inlineStr"/>
      <c r="D72" s="17" t="inlineStr">
        <is>
          <t>CHEM-1740</t>
        </is>
      </c>
      <c r="E72" s="17" t="inlineStr">
        <is>
          <t>kg</t>
        </is>
      </c>
      <c r="F72" s="17">
        <f>IFERROR(INDEX(M_RawMaterials[SafetyStock_Qty_要入力],MATCH("CHEM-1740",M_RawMaterials[RM_Code],0)),0)</f>
        <v/>
      </c>
      <c r="G72" s="17">
        <f>INDEX(Grid_Stock[#Data],68,$P$7)</f>
        <v/>
      </c>
      <c r="H72" s="17">
        <f>MAX(0,$F72-INDEX(Grid_Stock[#Data],68,$P$7+0))</f>
        <v/>
      </c>
      <c r="I72" s="17">
        <f>MAX(0,$F72-INDEX(Grid_Stock[#Data],68,$P$7+1))</f>
        <v/>
      </c>
      <c r="J72" s="17">
        <f>MAX(0,$F72-INDEX(Grid_Stock[#Data],68,$P$7+2))</f>
        <v/>
      </c>
      <c r="K72" s="17">
        <f>MAX(0,$F72-INDEX(Grid_Stock[#Data],68,$P$7+3))</f>
        <v/>
      </c>
      <c r="L72" s="17">
        <f>MAX(0,$F72-INDEX(Grid_Stock[#Data],68,$P$7+4))</f>
        <v/>
      </c>
      <c r="M72" s="17">
        <f>MAX(0,$F72-INDEX(Grid_Stock[#Data],68,$P$7+5))</f>
        <v/>
      </c>
      <c r="N72" s="17">
        <f>MAX(0,$F72-INDEX(Grid_Stock[#Data],68,$P$7+6))</f>
        <v/>
      </c>
      <c r="O72" s="17">
        <f>MAX(0,$F72-INDEX(Grid_Stock[#Data],68,$P$7+7))</f>
        <v/>
      </c>
      <c r="P72" s="17">
        <f>MAX(0,$F72-INDEX(Grid_Stock[#Data],68,$P$7+8))</f>
        <v/>
      </c>
      <c r="Q72" s="17">
        <f>MAX(0,$F72-INDEX(Grid_Stock[#Data],68,$P$7+9))</f>
        <v/>
      </c>
      <c r="R72" s="17">
        <f>MAX(0,$F72-INDEX(Grid_Stock[#Data],68,$P$7+10))</f>
        <v/>
      </c>
      <c r="S72" s="17">
        <f>MAX(0,$F72-INDEX(Grid_Stock[#Data],68,$P$7+11))</f>
        <v/>
      </c>
      <c r="T72" s="17">
        <f>MAX(0,$F72-INDEX(Grid_Stock[#Data],68,$P$7+12))</f>
        <v/>
      </c>
      <c r="U72" s="17">
        <f>SUM(H72:T72)</f>
        <v/>
      </c>
    </row>
    <row r="73">
      <c r="B73" s="15">
        <f>IFERROR(INDEX(M_RawMaterials[Description],MATCH("CHEM-1750",M_RawMaterials[RM_Code],0)),"")</f>
        <v/>
      </c>
      <c r="C73" s="15" t="inlineStr"/>
      <c r="D73" s="15" t="inlineStr">
        <is>
          <t>CHEM-1750</t>
        </is>
      </c>
      <c r="E73" s="15" t="inlineStr">
        <is>
          <t>kg</t>
        </is>
      </c>
      <c r="F73" s="15">
        <f>IFERROR(INDEX(M_RawMaterials[SafetyStock_Qty_要入力],MATCH("CHEM-1750",M_RawMaterials[RM_Code],0)),0)</f>
        <v/>
      </c>
      <c r="G73" s="15">
        <f>INDEX(Grid_Stock[#Data],69,$P$7)</f>
        <v/>
      </c>
      <c r="H73" s="15">
        <f>MAX(0,$F73-INDEX(Grid_Stock[#Data],69,$P$7+0))</f>
        <v/>
      </c>
      <c r="I73" s="15">
        <f>MAX(0,$F73-INDEX(Grid_Stock[#Data],69,$P$7+1))</f>
        <v/>
      </c>
      <c r="J73" s="15">
        <f>MAX(0,$F73-INDEX(Grid_Stock[#Data],69,$P$7+2))</f>
        <v/>
      </c>
      <c r="K73" s="15">
        <f>MAX(0,$F73-INDEX(Grid_Stock[#Data],69,$P$7+3))</f>
        <v/>
      </c>
      <c r="L73" s="15">
        <f>MAX(0,$F73-INDEX(Grid_Stock[#Data],69,$P$7+4))</f>
        <v/>
      </c>
      <c r="M73" s="15">
        <f>MAX(0,$F73-INDEX(Grid_Stock[#Data],69,$P$7+5))</f>
        <v/>
      </c>
      <c r="N73" s="15">
        <f>MAX(0,$F73-INDEX(Grid_Stock[#Data],69,$P$7+6))</f>
        <v/>
      </c>
      <c r="O73" s="15">
        <f>MAX(0,$F73-INDEX(Grid_Stock[#Data],69,$P$7+7))</f>
        <v/>
      </c>
      <c r="P73" s="15">
        <f>MAX(0,$F73-INDEX(Grid_Stock[#Data],69,$P$7+8))</f>
        <v/>
      </c>
      <c r="Q73" s="15">
        <f>MAX(0,$F73-INDEX(Grid_Stock[#Data],69,$P$7+9))</f>
        <v/>
      </c>
      <c r="R73" s="15">
        <f>MAX(0,$F73-INDEX(Grid_Stock[#Data],69,$P$7+10))</f>
        <v/>
      </c>
      <c r="S73" s="15">
        <f>MAX(0,$F73-INDEX(Grid_Stock[#Data],69,$P$7+11))</f>
        <v/>
      </c>
      <c r="T73" s="15">
        <f>MAX(0,$F73-INDEX(Grid_Stock[#Data],69,$P$7+12))</f>
        <v/>
      </c>
      <c r="U73" s="15">
        <f>SUM(H73:T73)</f>
        <v/>
      </c>
    </row>
    <row r="74">
      <c r="B74" s="17">
        <f>IFERROR(INDEX(M_RawMaterials[Description],MATCH("848530",M_RawMaterials[RM_Code],0)),"")</f>
        <v/>
      </c>
      <c r="C74" s="17" t="inlineStr"/>
      <c r="D74" s="17" t="inlineStr">
        <is>
          <t>848530</t>
        </is>
      </c>
      <c r="E74" s="17" t="inlineStr">
        <is>
          <t>kg</t>
        </is>
      </c>
      <c r="F74" s="17">
        <f>IFERROR(INDEX(M_RawMaterials[SafetyStock_Qty_要入力],MATCH("848530",M_RawMaterials[RM_Code],0)),0)</f>
        <v/>
      </c>
      <c r="G74" s="17">
        <f>INDEX(Grid_Stock[#Data],70,$P$7)</f>
        <v/>
      </c>
      <c r="H74" s="17">
        <f>MAX(0,$F74-INDEX(Grid_Stock[#Data],70,$P$7+0))</f>
        <v/>
      </c>
      <c r="I74" s="17">
        <f>MAX(0,$F74-INDEX(Grid_Stock[#Data],70,$P$7+1))</f>
        <v/>
      </c>
      <c r="J74" s="17">
        <f>MAX(0,$F74-INDEX(Grid_Stock[#Data],70,$P$7+2))</f>
        <v/>
      </c>
      <c r="K74" s="17">
        <f>MAX(0,$F74-INDEX(Grid_Stock[#Data],70,$P$7+3))</f>
        <v/>
      </c>
      <c r="L74" s="17">
        <f>MAX(0,$F74-INDEX(Grid_Stock[#Data],70,$P$7+4))</f>
        <v/>
      </c>
      <c r="M74" s="17">
        <f>MAX(0,$F74-INDEX(Grid_Stock[#Data],70,$P$7+5))</f>
        <v/>
      </c>
      <c r="N74" s="17">
        <f>MAX(0,$F74-INDEX(Grid_Stock[#Data],70,$P$7+6))</f>
        <v/>
      </c>
      <c r="O74" s="17">
        <f>MAX(0,$F74-INDEX(Grid_Stock[#Data],70,$P$7+7))</f>
        <v/>
      </c>
      <c r="P74" s="17">
        <f>MAX(0,$F74-INDEX(Grid_Stock[#Data],70,$P$7+8))</f>
        <v/>
      </c>
      <c r="Q74" s="17">
        <f>MAX(0,$F74-INDEX(Grid_Stock[#Data],70,$P$7+9))</f>
        <v/>
      </c>
      <c r="R74" s="17">
        <f>MAX(0,$F74-INDEX(Grid_Stock[#Data],70,$P$7+10))</f>
        <v/>
      </c>
      <c r="S74" s="17">
        <f>MAX(0,$F74-INDEX(Grid_Stock[#Data],70,$P$7+11))</f>
        <v/>
      </c>
      <c r="T74" s="17">
        <f>MAX(0,$F74-INDEX(Grid_Stock[#Data],70,$P$7+12))</f>
        <v/>
      </c>
      <c r="U74" s="17">
        <f>SUM(H74:T74)</f>
        <v/>
      </c>
    </row>
    <row r="75">
      <c r="B75" s="15">
        <f>IFERROR(INDEX(M_RawMaterials[Description],MATCH("848531",M_RawMaterials[RM_Code],0)),"")</f>
        <v/>
      </c>
      <c r="C75" s="15" t="inlineStr"/>
      <c r="D75" s="15" t="inlineStr">
        <is>
          <t>848531</t>
        </is>
      </c>
      <c r="E75" s="15" t="inlineStr">
        <is>
          <t>kg</t>
        </is>
      </c>
      <c r="F75" s="15">
        <f>IFERROR(INDEX(M_RawMaterials[SafetyStock_Qty_要入力],MATCH("848531",M_RawMaterials[RM_Code],0)),0)</f>
        <v/>
      </c>
      <c r="G75" s="15">
        <f>INDEX(Grid_Stock[#Data],71,$P$7)</f>
        <v/>
      </c>
      <c r="H75" s="15">
        <f>MAX(0,$F75-INDEX(Grid_Stock[#Data],71,$P$7+0))</f>
        <v/>
      </c>
      <c r="I75" s="15">
        <f>MAX(0,$F75-INDEX(Grid_Stock[#Data],71,$P$7+1))</f>
        <v/>
      </c>
      <c r="J75" s="15">
        <f>MAX(0,$F75-INDEX(Grid_Stock[#Data],71,$P$7+2))</f>
        <v/>
      </c>
      <c r="K75" s="15">
        <f>MAX(0,$F75-INDEX(Grid_Stock[#Data],71,$P$7+3))</f>
        <v/>
      </c>
      <c r="L75" s="15">
        <f>MAX(0,$F75-INDEX(Grid_Stock[#Data],71,$P$7+4))</f>
        <v/>
      </c>
      <c r="M75" s="15">
        <f>MAX(0,$F75-INDEX(Grid_Stock[#Data],71,$P$7+5))</f>
        <v/>
      </c>
      <c r="N75" s="15">
        <f>MAX(0,$F75-INDEX(Grid_Stock[#Data],71,$P$7+6))</f>
        <v/>
      </c>
      <c r="O75" s="15">
        <f>MAX(0,$F75-INDEX(Grid_Stock[#Data],71,$P$7+7))</f>
        <v/>
      </c>
      <c r="P75" s="15">
        <f>MAX(0,$F75-INDEX(Grid_Stock[#Data],71,$P$7+8))</f>
        <v/>
      </c>
      <c r="Q75" s="15">
        <f>MAX(0,$F75-INDEX(Grid_Stock[#Data],71,$P$7+9))</f>
        <v/>
      </c>
      <c r="R75" s="15">
        <f>MAX(0,$F75-INDEX(Grid_Stock[#Data],71,$P$7+10))</f>
        <v/>
      </c>
      <c r="S75" s="15">
        <f>MAX(0,$F75-INDEX(Grid_Stock[#Data],71,$P$7+11))</f>
        <v/>
      </c>
      <c r="T75" s="15">
        <f>MAX(0,$F75-INDEX(Grid_Stock[#Data],71,$P$7+12))</f>
        <v/>
      </c>
      <c r="U75" s="15">
        <f>SUM(H75:T75)</f>
        <v/>
      </c>
    </row>
    <row r="76">
      <c r="B76" s="17">
        <f>IFERROR(INDEX(M_RawMaterials[Description],MATCH("846227",M_RawMaterials[RM_Code],0)),"")</f>
        <v/>
      </c>
      <c r="C76" s="17" t="inlineStr"/>
      <c r="D76" s="17" t="inlineStr">
        <is>
          <t>846227</t>
        </is>
      </c>
      <c r="E76" s="17" t="inlineStr">
        <is>
          <t>kg</t>
        </is>
      </c>
      <c r="F76" s="17">
        <f>IFERROR(INDEX(M_RawMaterials[SafetyStock_Qty_要入力],MATCH("846227",M_RawMaterials[RM_Code],0)),0)</f>
        <v/>
      </c>
      <c r="G76" s="17">
        <f>INDEX(Grid_Stock[#Data],72,$P$7)</f>
        <v/>
      </c>
      <c r="H76" s="17">
        <f>MAX(0,$F76-INDEX(Grid_Stock[#Data],72,$P$7+0))</f>
        <v/>
      </c>
      <c r="I76" s="17">
        <f>MAX(0,$F76-INDEX(Grid_Stock[#Data],72,$P$7+1))</f>
        <v/>
      </c>
      <c r="J76" s="17">
        <f>MAX(0,$F76-INDEX(Grid_Stock[#Data],72,$P$7+2))</f>
        <v/>
      </c>
      <c r="K76" s="17">
        <f>MAX(0,$F76-INDEX(Grid_Stock[#Data],72,$P$7+3))</f>
        <v/>
      </c>
      <c r="L76" s="17">
        <f>MAX(0,$F76-INDEX(Grid_Stock[#Data],72,$P$7+4))</f>
        <v/>
      </c>
      <c r="M76" s="17">
        <f>MAX(0,$F76-INDEX(Grid_Stock[#Data],72,$P$7+5))</f>
        <v/>
      </c>
      <c r="N76" s="17">
        <f>MAX(0,$F76-INDEX(Grid_Stock[#Data],72,$P$7+6))</f>
        <v/>
      </c>
      <c r="O76" s="17">
        <f>MAX(0,$F76-INDEX(Grid_Stock[#Data],72,$P$7+7))</f>
        <v/>
      </c>
      <c r="P76" s="17">
        <f>MAX(0,$F76-INDEX(Grid_Stock[#Data],72,$P$7+8))</f>
        <v/>
      </c>
      <c r="Q76" s="17">
        <f>MAX(0,$F76-INDEX(Grid_Stock[#Data],72,$P$7+9))</f>
        <v/>
      </c>
      <c r="R76" s="17">
        <f>MAX(0,$F76-INDEX(Grid_Stock[#Data],72,$P$7+10))</f>
        <v/>
      </c>
      <c r="S76" s="17">
        <f>MAX(0,$F76-INDEX(Grid_Stock[#Data],72,$P$7+11))</f>
        <v/>
      </c>
      <c r="T76" s="17">
        <f>MAX(0,$F76-INDEX(Grid_Stock[#Data],72,$P$7+12))</f>
        <v/>
      </c>
      <c r="U76" s="17">
        <f>SUM(H76:T76)</f>
        <v/>
      </c>
    </row>
    <row r="77">
      <c r="B77" s="15">
        <f>IFERROR(INDEX(M_RawMaterials[Description],MATCH("OLJ",M_RawMaterials[RM_Code],0)),"")</f>
        <v/>
      </c>
      <c r="C77" s="15" t="inlineStr"/>
      <c r="D77" s="15" t="inlineStr">
        <is>
          <t>OLJ</t>
        </is>
      </c>
      <c r="E77" s="15" t="inlineStr">
        <is>
          <t>kg</t>
        </is>
      </c>
      <c r="F77" s="15">
        <f>IFERROR(INDEX(M_RawMaterials[SafetyStock_Qty_要入力],MATCH("OLJ",M_RawMaterials[RM_Code],0)),0)</f>
        <v/>
      </c>
      <c r="G77" s="15">
        <f>INDEX(Grid_Stock[#Data],73,$P$7)</f>
        <v/>
      </c>
      <c r="H77" s="15">
        <f>MAX(0,$F77-INDEX(Grid_Stock[#Data],73,$P$7+0))</f>
        <v/>
      </c>
      <c r="I77" s="15">
        <f>MAX(0,$F77-INDEX(Grid_Stock[#Data],73,$P$7+1))</f>
        <v/>
      </c>
      <c r="J77" s="15">
        <f>MAX(0,$F77-INDEX(Grid_Stock[#Data],73,$P$7+2))</f>
        <v/>
      </c>
      <c r="K77" s="15">
        <f>MAX(0,$F77-INDEX(Grid_Stock[#Data],73,$P$7+3))</f>
        <v/>
      </c>
      <c r="L77" s="15">
        <f>MAX(0,$F77-INDEX(Grid_Stock[#Data],73,$P$7+4))</f>
        <v/>
      </c>
      <c r="M77" s="15">
        <f>MAX(0,$F77-INDEX(Grid_Stock[#Data],73,$P$7+5))</f>
        <v/>
      </c>
      <c r="N77" s="15">
        <f>MAX(0,$F77-INDEX(Grid_Stock[#Data],73,$P$7+6))</f>
        <v/>
      </c>
      <c r="O77" s="15">
        <f>MAX(0,$F77-INDEX(Grid_Stock[#Data],73,$P$7+7))</f>
        <v/>
      </c>
      <c r="P77" s="15">
        <f>MAX(0,$F77-INDEX(Grid_Stock[#Data],73,$P$7+8))</f>
        <v/>
      </c>
      <c r="Q77" s="15">
        <f>MAX(0,$F77-INDEX(Grid_Stock[#Data],73,$P$7+9))</f>
        <v/>
      </c>
      <c r="R77" s="15">
        <f>MAX(0,$F77-INDEX(Grid_Stock[#Data],73,$P$7+10))</f>
        <v/>
      </c>
      <c r="S77" s="15">
        <f>MAX(0,$F77-INDEX(Grid_Stock[#Data],73,$P$7+11))</f>
        <v/>
      </c>
      <c r="T77" s="15">
        <f>MAX(0,$F77-INDEX(Grid_Stock[#Data],73,$P$7+12))</f>
        <v/>
      </c>
      <c r="U77" s="15">
        <f>SUM(H77:T77)</f>
        <v/>
      </c>
    </row>
    <row r="78">
      <c r="B78" s="17">
        <f>IFERROR(INDEX(M_RawMaterials[Description],MATCH("CHEM-1500",M_RawMaterials[RM_Code],0)),"")</f>
        <v/>
      </c>
      <c r="C78" s="17" t="inlineStr"/>
      <c r="D78" s="17" t="inlineStr">
        <is>
          <t>CHEM-1500</t>
        </is>
      </c>
      <c r="E78" s="17" t="inlineStr">
        <is>
          <t>kg</t>
        </is>
      </c>
      <c r="F78" s="17">
        <f>IFERROR(INDEX(M_RawMaterials[SafetyStock_Qty_要入力],MATCH("CHEM-1500",M_RawMaterials[RM_Code],0)),0)</f>
        <v/>
      </c>
      <c r="G78" s="17">
        <f>INDEX(Grid_Stock[#Data],74,$P$7)</f>
        <v/>
      </c>
      <c r="H78" s="17">
        <f>MAX(0,$F78-INDEX(Grid_Stock[#Data],74,$P$7+0))</f>
        <v/>
      </c>
      <c r="I78" s="17">
        <f>MAX(0,$F78-INDEX(Grid_Stock[#Data],74,$P$7+1))</f>
        <v/>
      </c>
      <c r="J78" s="17">
        <f>MAX(0,$F78-INDEX(Grid_Stock[#Data],74,$P$7+2))</f>
        <v/>
      </c>
      <c r="K78" s="17">
        <f>MAX(0,$F78-INDEX(Grid_Stock[#Data],74,$P$7+3))</f>
        <v/>
      </c>
      <c r="L78" s="17">
        <f>MAX(0,$F78-INDEX(Grid_Stock[#Data],74,$P$7+4))</f>
        <v/>
      </c>
      <c r="M78" s="17">
        <f>MAX(0,$F78-INDEX(Grid_Stock[#Data],74,$P$7+5))</f>
        <v/>
      </c>
      <c r="N78" s="17">
        <f>MAX(0,$F78-INDEX(Grid_Stock[#Data],74,$P$7+6))</f>
        <v/>
      </c>
      <c r="O78" s="17">
        <f>MAX(0,$F78-INDEX(Grid_Stock[#Data],74,$P$7+7))</f>
        <v/>
      </c>
      <c r="P78" s="17">
        <f>MAX(0,$F78-INDEX(Grid_Stock[#Data],74,$P$7+8))</f>
        <v/>
      </c>
      <c r="Q78" s="17">
        <f>MAX(0,$F78-INDEX(Grid_Stock[#Data],74,$P$7+9))</f>
        <v/>
      </c>
      <c r="R78" s="17">
        <f>MAX(0,$F78-INDEX(Grid_Stock[#Data],74,$P$7+10))</f>
        <v/>
      </c>
      <c r="S78" s="17">
        <f>MAX(0,$F78-INDEX(Grid_Stock[#Data],74,$P$7+11))</f>
        <v/>
      </c>
      <c r="T78" s="17">
        <f>MAX(0,$F78-INDEX(Grid_Stock[#Data],74,$P$7+12))</f>
        <v/>
      </c>
      <c r="U78" s="17">
        <f>SUM(H78:T78)</f>
        <v/>
      </c>
    </row>
    <row r="79">
      <c r="B79" s="15">
        <f>IFERROR(INDEX(M_RawMaterials[Description],MATCH("CHEM-1810",M_RawMaterials[RM_Code],0)),"")</f>
        <v/>
      </c>
      <c r="C79" s="15" t="inlineStr"/>
      <c r="D79" s="15" t="inlineStr">
        <is>
          <t>CHEM-1810</t>
        </is>
      </c>
      <c r="E79" s="15" t="inlineStr">
        <is>
          <t>kg</t>
        </is>
      </c>
      <c r="F79" s="15">
        <f>IFERROR(INDEX(M_RawMaterials[SafetyStock_Qty_要入力],MATCH("CHEM-1810",M_RawMaterials[RM_Code],0)),0)</f>
        <v/>
      </c>
      <c r="G79" s="15">
        <f>INDEX(Grid_Stock[#Data],75,$P$7)</f>
        <v/>
      </c>
      <c r="H79" s="15">
        <f>MAX(0,$F79-INDEX(Grid_Stock[#Data],75,$P$7+0))</f>
        <v/>
      </c>
      <c r="I79" s="15">
        <f>MAX(0,$F79-INDEX(Grid_Stock[#Data],75,$P$7+1))</f>
        <v/>
      </c>
      <c r="J79" s="15">
        <f>MAX(0,$F79-INDEX(Grid_Stock[#Data],75,$P$7+2))</f>
        <v/>
      </c>
      <c r="K79" s="15">
        <f>MAX(0,$F79-INDEX(Grid_Stock[#Data],75,$P$7+3))</f>
        <v/>
      </c>
      <c r="L79" s="15">
        <f>MAX(0,$F79-INDEX(Grid_Stock[#Data],75,$P$7+4))</f>
        <v/>
      </c>
      <c r="M79" s="15">
        <f>MAX(0,$F79-INDEX(Grid_Stock[#Data],75,$P$7+5))</f>
        <v/>
      </c>
      <c r="N79" s="15">
        <f>MAX(0,$F79-INDEX(Grid_Stock[#Data],75,$P$7+6))</f>
        <v/>
      </c>
      <c r="O79" s="15">
        <f>MAX(0,$F79-INDEX(Grid_Stock[#Data],75,$P$7+7))</f>
        <v/>
      </c>
      <c r="P79" s="15">
        <f>MAX(0,$F79-INDEX(Grid_Stock[#Data],75,$P$7+8))</f>
        <v/>
      </c>
      <c r="Q79" s="15">
        <f>MAX(0,$F79-INDEX(Grid_Stock[#Data],75,$P$7+9))</f>
        <v/>
      </c>
      <c r="R79" s="15">
        <f>MAX(0,$F79-INDEX(Grid_Stock[#Data],75,$P$7+10))</f>
        <v/>
      </c>
      <c r="S79" s="15">
        <f>MAX(0,$F79-INDEX(Grid_Stock[#Data],75,$P$7+11))</f>
        <v/>
      </c>
      <c r="T79" s="15">
        <f>MAX(0,$F79-INDEX(Grid_Stock[#Data],75,$P$7+12))</f>
        <v/>
      </c>
      <c r="U79" s="15">
        <f>SUM(H79:T79)</f>
        <v/>
      </c>
    </row>
    <row r="80">
      <c r="B80" s="17">
        <f>IFERROR(INDEX(M_RawMaterials[Description],MATCH("Chem-1220",M_RawMaterials[RM_Code],0)),"")</f>
        <v/>
      </c>
      <c r="C80" s="17" t="inlineStr"/>
      <c r="D80" s="17" t="inlineStr">
        <is>
          <t>Chem-1220</t>
        </is>
      </c>
      <c r="E80" s="17" t="inlineStr">
        <is>
          <t>kg</t>
        </is>
      </c>
      <c r="F80" s="17">
        <f>IFERROR(INDEX(M_RawMaterials[SafetyStock_Qty_要入力],MATCH("Chem-1220",M_RawMaterials[RM_Code],0)),0)</f>
        <v/>
      </c>
      <c r="G80" s="17">
        <f>INDEX(Grid_Stock[#Data],76,$P$7)</f>
        <v/>
      </c>
      <c r="H80" s="17">
        <f>MAX(0,$F80-INDEX(Grid_Stock[#Data],76,$P$7+0))</f>
        <v/>
      </c>
      <c r="I80" s="17">
        <f>MAX(0,$F80-INDEX(Grid_Stock[#Data],76,$P$7+1))</f>
        <v/>
      </c>
      <c r="J80" s="17">
        <f>MAX(0,$F80-INDEX(Grid_Stock[#Data],76,$P$7+2))</f>
        <v/>
      </c>
      <c r="K80" s="17">
        <f>MAX(0,$F80-INDEX(Grid_Stock[#Data],76,$P$7+3))</f>
        <v/>
      </c>
      <c r="L80" s="17">
        <f>MAX(0,$F80-INDEX(Grid_Stock[#Data],76,$P$7+4))</f>
        <v/>
      </c>
      <c r="M80" s="17">
        <f>MAX(0,$F80-INDEX(Grid_Stock[#Data],76,$P$7+5))</f>
        <v/>
      </c>
      <c r="N80" s="17">
        <f>MAX(0,$F80-INDEX(Grid_Stock[#Data],76,$P$7+6))</f>
        <v/>
      </c>
      <c r="O80" s="17">
        <f>MAX(0,$F80-INDEX(Grid_Stock[#Data],76,$P$7+7))</f>
        <v/>
      </c>
      <c r="P80" s="17">
        <f>MAX(0,$F80-INDEX(Grid_Stock[#Data],76,$P$7+8))</f>
        <v/>
      </c>
      <c r="Q80" s="17">
        <f>MAX(0,$F80-INDEX(Grid_Stock[#Data],76,$P$7+9))</f>
        <v/>
      </c>
      <c r="R80" s="17">
        <f>MAX(0,$F80-INDEX(Grid_Stock[#Data],76,$P$7+10))</f>
        <v/>
      </c>
      <c r="S80" s="17">
        <f>MAX(0,$F80-INDEX(Grid_Stock[#Data],76,$P$7+11))</f>
        <v/>
      </c>
      <c r="T80" s="17">
        <f>MAX(0,$F80-INDEX(Grid_Stock[#Data],76,$P$7+12))</f>
        <v/>
      </c>
      <c r="U80" s="17">
        <f>SUM(H80:T80)</f>
        <v/>
      </c>
    </row>
    <row r="81">
      <c r="B81" s="15">
        <f>IFERROR(INDEX(M_RawMaterials[Description],MATCH("Chem-1610",M_RawMaterials[RM_Code],0)),"")</f>
        <v/>
      </c>
      <c r="C81" s="15" t="inlineStr"/>
      <c r="D81" s="15" t="inlineStr">
        <is>
          <t>Chem-1610</t>
        </is>
      </c>
      <c r="E81" s="15" t="inlineStr">
        <is>
          <t>kg</t>
        </is>
      </c>
      <c r="F81" s="15">
        <f>IFERROR(INDEX(M_RawMaterials[SafetyStock_Qty_要入力],MATCH("Chem-1610",M_RawMaterials[RM_Code],0)),0)</f>
        <v/>
      </c>
      <c r="G81" s="15">
        <f>INDEX(Grid_Stock[#Data],77,$P$7)</f>
        <v/>
      </c>
      <c r="H81" s="15">
        <f>MAX(0,$F81-INDEX(Grid_Stock[#Data],77,$P$7+0))</f>
        <v/>
      </c>
      <c r="I81" s="15">
        <f>MAX(0,$F81-INDEX(Grid_Stock[#Data],77,$P$7+1))</f>
        <v/>
      </c>
      <c r="J81" s="15">
        <f>MAX(0,$F81-INDEX(Grid_Stock[#Data],77,$P$7+2))</f>
        <v/>
      </c>
      <c r="K81" s="15">
        <f>MAX(0,$F81-INDEX(Grid_Stock[#Data],77,$P$7+3))</f>
        <v/>
      </c>
      <c r="L81" s="15">
        <f>MAX(0,$F81-INDEX(Grid_Stock[#Data],77,$P$7+4))</f>
        <v/>
      </c>
      <c r="M81" s="15">
        <f>MAX(0,$F81-INDEX(Grid_Stock[#Data],77,$P$7+5))</f>
        <v/>
      </c>
      <c r="N81" s="15">
        <f>MAX(0,$F81-INDEX(Grid_Stock[#Data],77,$P$7+6))</f>
        <v/>
      </c>
      <c r="O81" s="15">
        <f>MAX(0,$F81-INDEX(Grid_Stock[#Data],77,$P$7+7))</f>
        <v/>
      </c>
      <c r="P81" s="15">
        <f>MAX(0,$F81-INDEX(Grid_Stock[#Data],77,$P$7+8))</f>
        <v/>
      </c>
      <c r="Q81" s="15">
        <f>MAX(0,$F81-INDEX(Grid_Stock[#Data],77,$P$7+9))</f>
        <v/>
      </c>
      <c r="R81" s="15">
        <f>MAX(0,$F81-INDEX(Grid_Stock[#Data],77,$P$7+10))</f>
        <v/>
      </c>
      <c r="S81" s="15">
        <f>MAX(0,$F81-INDEX(Grid_Stock[#Data],77,$P$7+11))</f>
        <v/>
      </c>
      <c r="T81" s="15">
        <f>MAX(0,$F81-INDEX(Grid_Stock[#Data],77,$P$7+12))</f>
        <v/>
      </c>
      <c r="U81" s="15">
        <f>SUM(H81:T81)</f>
        <v/>
      </c>
    </row>
    <row r="82">
      <c r="B82" s="17">
        <f>IFERROR(INDEX(M_RawMaterials[Description],MATCH("Chem-1490",M_RawMaterials[RM_Code],0)),"")</f>
        <v/>
      </c>
      <c r="C82" s="17" t="inlineStr"/>
      <c r="D82" s="17" t="inlineStr">
        <is>
          <t>Chem-1490</t>
        </is>
      </c>
      <c r="E82" s="17" t="inlineStr">
        <is>
          <t>kg</t>
        </is>
      </c>
      <c r="F82" s="17">
        <f>IFERROR(INDEX(M_RawMaterials[SafetyStock_Qty_要入力],MATCH("Chem-1490",M_RawMaterials[RM_Code],0)),0)</f>
        <v/>
      </c>
      <c r="G82" s="17">
        <f>INDEX(Grid_Stock[#Data],78,$P$7)</f>
        <v/>
      </c>
      <c r="H82" s="17">
        <f>MAX(0,$F82-INDEX(Grid_Stock[#Data],78,$P$7+0))</f>
        <v/>
      </c>
      <c r="I82" s="17">
        <f>MAX(0,$F82-INDEX(Grid_Stock[#Data],78,$P$7+1))</f>
        <v/>
      </c>
      <c r="J82" s="17">
        <f>MAX(0,$F82-INDEX(Grid_Stock[#Data],78,$P$7+2))</f>
        <v/>
      </c>
      <c r="K82" s="17">
        <f>MAX(0,$F82-INDEX(Grid_Stock[#Data],78,$P$7+3))</f>
        <v/>
      </c>
      <c r="L82" s="17">
        <f>MAX(0,$F82-INDEX(Grid_Stock[#Data],78,$P$7+4))</f>
        <v/>
      </c>
      <c r="M82" s="17">
        <f>MAX(0,$F82-INDEX(Grid_Stock[#Data],78,$P$7+5))</f>
        <v/>
      </c>
      <c r="N82" s="17">
        <f>MAX(0,$F82-INDEX(Grid_Stock[#Data],78,$P$7+6))</f>
        <v/>
      </c>
      <c r="O82" s="17">
        <f>MAX(0,$F82-INDEX(Grid_Stock[#Data],78,$P$7+7))</f>
        <v/>
      </c>
      <c r="P82" s="17">
        <f>MAX(0,$F82-INDEX(Grid_Stock[#Data],78,$P$7+8))</f>
        <v/>
      </c>
      <c r="Q82" s="17">
        <f>MAX(0,$F82-INDEX(Grid_Stock[#Data],78,$P$7+9))</f>
        <v/>
      </c>
      <c r="R82" s="17">
        <f>MAX(0,$F82-INDEX(Grid_Stock[#Data],78,$P$7+10))</f>
        <v/>
      </c>
      <c r="S82" s="17">
        <f>MAX(0,$F82-INDEX(Grid_Stock[#Data],78,$P$7+11))</f>
        <v/>
      </c>
      <c r="T82" s="17">
        <f>MAX(0,$F82-INDEX(Grid_Stock[#Data],78,$P$7+12))</f>
        <v/>
      </c>
      <c r="U82" s="17">
        <f>SUM(H82:T82)</f>
        <v/>
      </c>
    </row>
    <row r="83">
      <c r="B83" s="15">
        <f>IFERROR(INDEX(M_RawMaterials[Description],MATCH("Chem-1790",M_RawMaterials[RM_Code],0)),"")</f>
        <v/>
      </c>
      <c r="C83" s="15" t="inlineStr"/>
      <c r="D83" s="15" t="inlineStr">
        <is>
          <t>Chem-1790</t>
        </is>
      </c>
      <c r="E83" s="15" t="inlineStr">
        <is>
          <t>kg</t>
        </is>
      </c>
      <c r="F83" s="15">
        <f>IFERROR(INDEX(M_RawMaterials[SafetyStock_Qty_要入力],MATCH("Chem-1790",M_RawMaterials[RM_Code],0)),0)</f>
        <v/>
      </c>
      <c r="G83" s="15">
        <f>INDEX(Grid_Stock[#Data],79,$P$7)</f>
        <v/>
      </c>
      <c r="H83" s="15">
        <f>MAX(0,$F83-INDEX(Grid_Stock[#Data],79,$P$7+0))</f>
        <v/>
      </c>
      <c r="I83" s="15">
        <f>MAX(0,$F83-INDEX(Grid_Stock[#Data],79,$P$7+1))</f>
        <v/>
      </c>
      <c r="J83" s="15">
        <f>MAX(0,$F83-INDEX(Grid_Stock[#Data],79,$P$7+2))</f>
        <v/>
      </c>
      <c r="K83" s="15">
        <f>MAX(0,$F83-INDEX(Grid_Stock[#Data],79,$P$7+3))</f>
        <v/>
      </c>
      <c r="L83" s="15">
        <f>MAX(0,$F83-INDEX(Grid_Stock[#Data],79,$P$7+4))</f>
        <v/>
      </c>
      <c r="M83" s="15">
        <f>MAX(0,$F83-INDEX(Grid_Stock[#Data],79,$P$7+5))</f>
        <v/>
      </c>
      <c r="N83" s="15">
        <f>MAX(0,$F83-INDEX(Grid_Stock[#Data],79,$P$7+6))</f>
        <v/>
      </c>
      <c r="O83" s="15">
        <f>MAX(0,$F83-INDEX(Grid_Stock[#Data],79,$P$7+7))</f>
        <v/>
      </c>
      <c r="P83" s="15">
        <f>MAX(0,$F83-INDEX(Grid_Stock[#Data],79,$P$7+8))</f>
        <v/>
      </c>
      <c r="Q83" s="15">
        <f>MAX(0,$F83-INDEX(Grid_Stock[#Data],79,$P$7+9))</f>
        <v/>
      </c>
      <c r="R83" s="15">
        <f>MAX(0,$F83-INDEX(Grid_Stock[#Data],79,$P$7+10))</f>
        <v/>
      </c>
      <c r="S83" s="15">
        <f>MAX(0,$F83-INDEX(Grid_Stock[#Data],79,$P$7+11))</f>
        <v/>
      </c>
      <c r="T83" s="15">
        <f>MAX(0,$F83-INDEX(Grid_Stock[#Data],79,$P$7+12))</f>
        <v/>
      </c>
      <c r="U83" s="15">
        <f>SUM(H83:T83)</f>
        <v/>
      </c>
    </row>
    <row r="84">
      <c r="B84" s="17">
        <f>IFERROR(INDEX(M_RawMaterials[Description],MATCH("Chem-1800",M_RawMaterials[RM_Code],0)),"")</f>
        <v/>
      </c>
      <c r="C84" s="17" t="inlineStr"/>
      <c r="D84" s="17" t="inlineStr">
        <is>
          <t>Chem-1800</t>
        </is>
      </c>
      <c r="E84" s="17" t="inlineStr">
        <is>
          <t>kg</t>
        </is>
      </c>
      <c r="F84" s="17">
        <f>IFERROR(INDEX(M_RawMaterials[SafetyStock_Qty_要入力],MATCH("Chem-1800",M_RawMaterials[RM_Code],0)),0)</f>
        <v/>
      </c>
      <c r="G84" s="17">
        <f>INDEX(Grid_Stock[#Data],80,$P$7)</f>
        <v/>
      </c>
      <c r="H84" s="17">
        <f>MAX(0,$F84-INDEX(Grid_Stock[#Data],80,$P$7+0))</f>
        <v/>
      </c>
      <c r="I84" s="17">
        <f>MAX(0,$F84-INDEX(Grid_Stock[#Data],80,$P$7+1))</f>
        <v/>
      </c>
      <c r="J84" s="17">
        <f>MAX(0,$F84-INDEX(Grid_Stock[#Data],80,$P$7+2))</f>
        <v/>
      </c>
      <c r="K84" s="17">
        <f>MAX(0,$F84-INDEX(Grid_Stock[#Data],80,$P$7+3))</f>
        <v/>
      </c>
      <c r="L84" s="17">
        <f>MAX(0,$F84-INDEX(Grid_Stock[#Data],80,$P$7+4))</f>
        <v/>
      </c>
      <c r="M84" s="17">
        <f>MAX(0,$F84-INDEX(Grid_Stock[#Data],80,$P$7+5))</f>
        <v/>
      </c>
      <c r="N84" s="17">
        <f>MAX(0,$F84-INDEX(Grid_Stock[#Data],80,$P$7+6))</f>
        <v/>
      </c>
      <c r="O84" s="17">
        <f>MAX(0,$F84-INDEX(Grid_Stock[#Data],80,$P$7+7))</f>
        <v/>
      </c>
      <c r="P84" s="17">
        <f>MAX(0,$F84-INDEX(Grid_Stock[#Data],80,$P$7+8))</f>
        <v/>
      </c>
      <c r="Q84" s="17">
        <f>MAX(0,$F84-INDEX(Grid_Stock[#Data],80,$P$7+9))</f>
        <v/>
      </c>
      <c r="R84" s="17">
        <f>MAX(0,$F84-INDEX(Grid_Stock[#Data],80,$P$7+10))</f>
        <v/>
      </c>
      <c r="S84" s="17">
        <f>MAX(0,$F84-INDEX(Grid_Stock[#Data],80,$P$7+11))</f>
        <v/>
      </c>
      <c r="T84" s="17">
        <f>MAX(0,$F84-INDEX(Grid_Stock[#Data],80,$P$7+12))</f>
        <v/>
      </c>
      <c r="U84" s="17">
        <f>SUM(H84:T84)</f>
        <v/>
      </c>
    </row>
    <row r="85">
      <c r="B85" s="15">
        <f>IFERROR(INDEX(M_RawMaterials[Description],MATCH("A043",M_RawMaterials[RM_Code],0)),"")</f>
        <v/>
      </c>
      <c r="C85" s="15" t="inlineStr"/>
      <c r="D85" s="15" t="inlineStr">
        <is>
          <t>A043</t>
        </is>
      </c>
      <c r="E85" s="15" t="inlineStr">
        <is>
          <t>kg</t>
        </is>
      </c>
      <c r="F85" s="15">
        <f>IFERROR(INDEX(M_RawMaterials[SafetyStock_Qty_要入力],MATCH("A043",M_RawMaterials[RM_Code],0)),0)</f>
        <v/>
      </c>
      <c r="G85" s="15">
        <f>INDEX(Grid_Stock[#Data],81,$P$7)</f>
        <v/>
      </c>
      <c r="H85" s="15">
        <f>MAX(0,$F85-INDEX(Grid_Stock[#Data],81,$P$7+0))</f>
        <v/>
      </c>
      <c r="I85" s="15">
        <f>MAX(0,$F85-INDEX(Grid_Stock[#Data],81,$P$7+1))</f>
        <v/>
      </c>
      <c r="J85" s="15">
        <f>MAX(0,$F85-INDEX(Grid_Stock[#Data],81,$P$7+2))</f>
        <v/>
      </c>
      <c r="K85" s="15">
        <f>MAX(0,$F85-INDEX(Grid_Stock[#Data],81,$P$7+3))</f>
        <v/>
      </c>
      <c r="L85" s="15">
        <f>MAX(0,$F85-INDEX(Grid_Stock[#Data],81,$P$7+4))</f>
        <v/>
      </c>
      <c r="M85" s="15">
        <f>MAX(0,$F85-INDEX(Grid_Stock[#Data],81,$P$7+5))</f>
        <v/>
      </c>
      <c r="N85" s="15">
        <f>MAX(0,$F85-INDEX(Grid_Stock[#Data],81,$P$7+6))</f>
        <v/>
      </c>
      <c r="O85" s="15">
        <f>MAX(0,$F85-INDEX(Grid_Stock[#Data],81,$P$7+7))</f>
        <v/>
      </c>
      <c r="P85" s="15">
        <f>MAX(0,$F85-INDEX(Grid_Stock[#Data],81,$P$7+8))</f>
        <v/>
      </c>
      <c r="Q85" s="15">
        <f>MAX(0,$F85-INDEX(Grid_Stock[#Data],81,$P$7+9))</f>
        <v/>
      </c>
      <c r="R85" s="15">
        <f>MAX(0,$F85-INDEX(Grid_Stock[#Data],81,$P$7+10))</f>
        <v/>
      </c>
      <c r="S85" s="15">
        <f>MAX(0,$F85-INDEX(Grid_Stock[#Data],81,$P$7+11))</f>
        <v/>
      </c>
      <c r="T85" s="15">
        <f>MAX(0,$F85-INDEX(Grid_Stock[#Data],81,$P$7+12))</f>
        <v/>
      </c>
      <c r="U85" s="15">
        <f>SUM(H85:T85)</f>
        <v/>
      </c>
    </row>
    <row r="86">
      <c r="B86" s="17">
        <f>IFERROR(INDEX(M_RawMaterials[Description],MATCH("CHEM-1220",M_RawMaterials[RM_Code],0)),"")</f>
        <v/>
      </c>
      <c r="C86" s="17" t="inlineStr"/>
      <c r="D86" s="17" t="inlineStr">
        <is>
          <t>CHEM-1220</t>
        </is>
      </c>
      <c r="E86" s="17" t="inlineStr">
        <is>
          <t>kg</t>
        </is>
      </c>
      <c r="F86" s="17">
        <f>IFERROR(INDEX(M_RawMaterials[SafetyStock_Qty_要入力],MATCH("CHEM-1220",M_RawMaterials[RM_Code],0)),0)</f>
        <v/>
      </c>
      <c r="G86" s="17">
        <f>INDEX(Grid_Stock[#Data],82,$P$7)</f>
        <v/>
      </c>
      <c r="H86" s="17">
        <f>MAX(0,$F86-INDEX(Grid_Stock[#Data],82,$P$7+0))</f>
        <v/>
      </c>
      <c r="I86" s="17">
        <f>MAX(0,$F86-INDEX(Grid_Stock[#Data],82,$P$7+1))</f>
        <v/>
      </c>
      <c r="J86" s="17">
        <f>MAX(0,$F86-INDEX(Grid_Stock[#Data],82,$P$7+2))</f>
        <v/>
      </c>
      <c r="K86" s="17">
        <f>MAX(0,$F86-INDEX(Grid_Stock[#Data],82,$P$7+3))</f>
        <v/>
      </c>
      <c r="L86" s="17">
        <f>MAX(0,$F86-INDEX(Grid_Stock[#Data],82,$P$7+4))</f>
        <v/>
      </c>
      <c r="M86" s="17">
        <f>MAX(0,$F86-INDEX(Grid_Stock[#Data],82,$P$7+5))</f>
        <v/>
      </c>
      <c r="N86" s="17">
        <f>MAX(0,$F86-INDEX(Grid_Stock[#Data],82,$P$7+6))</f>
        <v/>
      </c>
      <c r="O86" s="17">
        <f>MAX(0,$F86-INDEX(Grid_Stock[#Data],82,$P$7+7))</f>
        <v/>
      </c>
      <c r="P86" s="17">
        <f>MAX(0,$F86-INDEX(Grid_Stock[#Data],82,$P$7+8))</f>
        <v/>
      </c>
      <c r="Q86" s="17">
        <f>MAX(0,$F86-INDEX(Grid_Stock[#Data],82,$P$7+9))</f>
        <v/>
      </c>
      <c r="R86" s="17">
        <f>MAX(0,$F86-INDEX(Grid_Stock[#Data],82,$P$7+10))</f>
        <v/>
      </c>
      <c r="S86" s="17">
        <f>MAX(0,$F86-INDEX(Grid_Stock[#Data],82,$P$7+11))</f>
        <v/>
      </c>
      <c r="T86" s="17">
        <f>MAX(0,$F86-INDEX(Grid_Stock[#Data],82,$P$7+12))</f>
        <v/>
      </c>
      <c r="U86" s="17">
        <f>SUM(H86:T86)</f>
        <v/>
      </c>
    </row>
    <row r="87">
      <c r="B87" s="15">
        <f>IFERROR(INDEX(M_RawMaterials[Description],MATCH("CHEM-1260",M_RawMaterials[RM_Code],0)),"")</f>
        <v/>
      </c>
      <c r="C87" s="15" t="inlineStr"/>
      <c r="D87" s="15" t="inlineStr">
        <is>
          <t>CHEM-1260</t>
        </is>
      </c>
      <c r="E87" s="15" t="inlineStr">
        <is>
          <t>kg</t>
        </is>
      </c>
      <c r="F87" s="15">
        <f>IFERROR(INDEX(M_RawMaterials[SafetyStock_Qty_要入力],MATCH("CHEM-1260",M_RawMaterials[RM_Code],0)),0)</f>
        <v/>
      </c>
      <c r="G87" s="15">
        <f>INDEX(Grid_Stock[#Data],83,$P$7)</f>
        <v/>
      </c>
      <c r="H87" s="15">
        <f>MAX(0,$F87-INDEX(Grid_Stock[#Data],83,$P$7+0))</f>
        <v/>
      </c>
      <c r="I87" s="15">
        <f>MAX(0,$F87-INDEX(Grid_Stock[#Data],83,$P$7+1))</f>
        <v/>
      </c>
      <c r="J87" s="15">
        <f>MAX(0,$F87-INDEX(Grid_Stock[#Data],83,$P$7+2))</f>
        <v/>
      </c>
      <c r="K87" s="15">
        <f>MAX(0,$F87-INDEX(Grid_Stock[#Data],83,$P$7+3))</f>
        <v/>
      </c>
      <c r="L87" s="15">
        <f>MAX(0,$F87-INDEX(Grid_Stock[#Data],83,$P$7+4))</f>
        <v/>
      </c>
      <c r="M87" s="15">
        <f>MAX(0,$F87-INDEX(Grid_Stock[#Data],83,$P$7+5))</f>
        <v/>
      </c>
      <c r="N87" s="15">
        <f>MAX(0,$F87-INDEX(Grid_Stock[#Data],83,$P$7+6))</f>
        <v/>
      </c>
      <c r="O87" s="15">
        <f>MAX(0,$F87-INDEX(Grid_Stock[#Data],83,$P$7+7))</f>
        <v/>
      </c>
      <c r="P87" s="15">
        <f>MAX(0,$F87-INDEX(Grid_Stock[#Data],83,$P$7+8))</f>
        <v/>
      </c>
      <c r="Q87" s="15">
        <f>MAX(0,$F87-INDEX(Grid_Stock[#Data],83,$P$7+9))</f>
        <v/>
      </c>
      <c r="R87" s="15">
        <f>MAX(0,$F87-INDEX(Grid_Stock[#Data],83,$P$7+10))</f>
        <v/>
      </c>
      <c r="S87" s="15">
        <f>MAX(0,$F87-INDEX(Grid_Stock[#Data],83,$P$7+11))</f>
        <v/>
      </c>
      <c r="T87" s="15">
        <f>MAX(0,$F87-INDEX(Grid_Stock[#Data],83,$P$7+12))</f>
        <v/>
      </c>
      <c r="U87" s="15">
        <f>SUM(H87:T87)</f>
        <v/>
      </c>
    </row>
    <row r="88">
      <c r="B88" s="17">
        <f>IFERROR(INDEX(M_RawMaterials[Description],MATCH("CHEM-1790",M_RawMaterials[RM_Code],0)),"")</f>
        <v/>
      </c>
      <c r="C88" s="17" t="inlineStr"/>
      <c r="D88" s="17" t="inlineStr">
        <is>
          <t>CHEM-1790</t>
        </is>
      </c>
      <c r="E88" s="17" t="inlineStr">
        <is>
          <t>kg</t>
        </is>
      </c>
      <c r="F88" s="17">
        <f>IFERROR(INDEX(M_RawMaterials[SafetyStock_Qty_要入力],MATCH("CHEM-1790",M_RawMaterials[RM_Code],0)),0)</f>
        <v/>
      </c>
      <c r="G88" s="17">
        <f>INDEX(Grid_Stock[#Data],84,$P$7)</f>
        <v/>
      </c>
      <c r="H88" s="17">
        <f>MAX(0,$F88-INDEX(Grid_Stock[#Data],84,$P$7+0))</f>
        <v/>
      </c>
      <c r="I88" s="17">
        <f>MAX(0,$F88-INDEX(Grid_Stock[#Data],84,$P$7+1))</f>
        <v/>
      </c>
      <c r="J88" s="17">
        <f>MAX(0,$F88-INDEX(Grid_Stock[#Data],84,$P$7+2))</f>
        <v/>
      </c>
      <c r="K88" s="17">
        <f>MAX(0,$F88-INDEX(Grid_Stock[#Data],84,$P$7+3))</f>
        <v/>
      </c>
      <c r="L88" s="17">
        <f>MAX(0,$F88-INDEX(Grid_Stock[#Data],84,$P$7+4))</f>
        <v/>
      </c>
      <c r="M88" s="17">
        <f>MAX(0,$F88-INDEX(Grid_Stock[#Data],84,$P$7+5))</f>
        <v/>
      </c>
      <c r="N88" s="17">
        <f>MAX(0,$F88-INDEX(Grid_Stock[#Data],84,$P$7+6))</f>
        <v/>
      </c>
      <c r="O88" s="17">
        <f>MAX(0,$F88-INDEX(Grid_Stock[#Data],84,$P$7+7))</f>
        <v/>
      </c>
      <c r="P88" s="17">
        <f>MAX(0,$F88-INDEX(Grid_Stock[#Data],84,$P$7+8))</f>
        <v/>
      </c>
      <c r="Q88" s="17">
        <f>MAX(0,$F88-INDEX(Grid_Stock[#Data],84,$P$7+9))</f>
        <v/>
      </c>
      <c r="R88" s="17">
        <f>MAX(0,$F88-INDEX(Grid_Stock[#Data],84,$P$7+10))</f>
        <v/>
      </c>
      <c r="S88" s="17">
        <f>MAX(0,$F88-INDEX(Grid_Stock[#Data],84,$P$7+11))</f>
        <v/>
      </c>
      <c r="T88" s="17">
        <f>MAX(0,$F88-INDEX(Grid_Stock[#Data],84,$P$7+12))</f>
        <v/>
      </c>
      <c r="U88" s="17">
        <f>SUM(H88:T88)</f>
        <v/>
      </c>
    </row>
    <row r="89">
      <c r="B89" s="15">
        <f>IFERROR(INDEX(M_RawMaterials[Description],MATCH("TSZ-616",M_RawMaterials[RM_Code],0)),"")</f>
        <v/>
      </c>
      <c r="C89" s="15" t="inlineStr"/>
      <c r="D89" s="15" t="inlineStr">
        <is>
          <t>TSZ-616</t>
        </is>
      </c>
      <c r="E89" s="15" t="inlineStr">
        <is>
          <t>kg</t>
        </is>
      </c>
      <c r="F89" s="15">
        <f>IFERROR(INDEX(M_RawMaterials[SafetyStock_Qty_要入力],MATCH("TSZ-616",M_RawMaterials[RM_Code],0)),0)</f>
        <v/>
      </c>
      <c r="G89" s="15">
        <f>INDEX(Grid_Stock[#Data],85,$P$7)</f>
        <v/>
      </c>
      <c r="H89" s="15">
        <f>MAX(0,$F89-INDEX(Grid_Stock[#Data],85,$P$7+0))</f>
        <v/>
      </c>
      <c r="I89" s="15">
        <f>MAX(0,$F89-INDEX(Grid_Stock[#Data],85,$P$7+1))</f>
        <v/>
      </c>
      <c r="J89" s="15">
        <f>MAX(0,$F89-INDEX(Grid_Stock[#Data],85,$P$7+2))</f>
        <v/>
      </c>
      <c r="K89" s="15">
        <f>MAX(0,$F89-INDEX(Grid_Stock[#Data],85,$P$7+3))</f>
        <v/>
      </c>
      <c r="L89" s="15">
        <f>MAX(0,$F89-INDEX(Grid_Stock[#Data],85,$P$7+4))</f>
        <v/>
      </c>
      <c r="M89" s="15">
        <f>MAX(0,$F89-INDEX(Grid_Stock[#Data],85,$P$7+5))</f>
        <v/>
      </c>
      <c r="N89" s="15">
        <f>MAX(0,$F89-INDEX(Grid_Stock[#Data],85,$P$7+6))</f>
        <v/>
      </c>
      <c r="O89" s="15">
        <f>MAX(0,$F89-INDEX(Grid_Stock[#Data],85,$P$7+7))</f>
        <v/>
      </c>
      <c r="P89" s="15">
        <f>MAX(0,$F89-INDEX(Grid_Stock[#Data],85,$P$7+8))</f>
        <v/>
      </c>
      <c r="Q89" s="15">
        <f>MAX(0,$F89-INDEX(Grid_Stock[#Data],85,$P$7+9))</f>
        <v/>
      </c>
      <c r="R89" s="15">
        <f>MAX(0,$F89-INDEX(Grid_Stock[#Data],85,$P$7+10))</f>
        <v/>
      </c>
      <c r="S89" s="15">
        <f>MAX(0,$F89-INDEX(Grid_Stock[#Data],85,$P$7+11))</f>
        <v/>
      </c>
      <c r="T89" s="15">
        <f>MAX(0,$F89-INDEX(Grid_Stock[#Data],85,$P$7+12))</f>
        <v/>
      </c>
      <c r="U89" s="15">
        <f>SUM(H89:T89)</f>
        <v/>
      </c>
    </row>
    <row r="90">
      <c r="B90" s="17">
        <f>IFERROR(INDEX(M_RawMaterials[Description],MATCH("CHEM-1180",M_RawMaterials[RM_Code],0)),"")</f>
        <v/>
      </c>
      <c r="C90" s="17" t="inlineStr"/>
      <c r="D90" s="17" t="inlineStr">
        <is>
          <t>CHEM-1180</t>
        </is>
      </c>
      <c r="E90" s="17" t="inlineStr">
        <is>
          <t>kg</t>
        </is>
      </c>
      <c r="F90" s="17">
        <f>IFERROR(INDEX(M_RawMaterials[SafetyStock_Qty_要入力],MATCH("CHEM-1180",M_RawMaterials[RM_Code],0)),0)</f>
        <v/>
      </c>
      <c r="G90" s="17">
        <f>INDEX(Grid_Stock[#Data],86,$P$7)</f>
        <v/>
      </c>
      <c r="H90" s="17">
        <f>MAX(0,$F90-INDEX(Grid_Stock[#Data],86,$P$7+0))</f>
        <v/>
      </c>
      <c r="I90" s="17">
        <f>MAX(0,$F90-INDEX(Grid_Stock[#Data],86,$P$7+1))</f>
        <v/>
      </c>
      <c r="J90" s="17">
        <f>MAX(0,$F90-INDEX(Grid_Stock[#Data],86,$P$7+2))</f>
        <v/>
      </c>
      <c r="K90" s="17">
        <f>MAX(0,$F90-INDEX(Grid_Stock[#Data],86,$P$7+3))</f>
        <v/>
      </c>
      <c r="L90" s="17">
        <f>MAX(0,$F90-INDEX(Grid_Stock[#Data],86,$P$7+4))</f>
        <v/>
      </c>
      <c r="M90" s="17">
        <f>MAX(0,$F90-INDEX(Grid_Stock[#Data],86,$P$7+5))</f>
        <v/>
      </c>
      <c r="N90" s="17">
        <f>MAX(0,$F90-INDEX(Grid_Stock[#Data],86,$P$7+6))</f>
        <v/>
      </c>
      <c r="O90" s="17">
        <f>MAX(0,$F90-INDEX(Grid_Stock[#Data],86,$P$7+7))</f>
        <v/>
      </c>
      <c r="P90" s="17">
        <f>MAX(0,$F90-INDEX(Grid_Stock[#Data],86,$P$7+8))</f>
        <v/>
      </c>
      <c r="Q90" s="17">
        <f>MAX(0,$F90-INDEX(Grid_Stock[#Data],86,$P$7+9))</f>
        <v/>
      </c>
      <c r="R90" s="17">
        <f>MAX(0,$F90-INDEX(Grid_Stock[#Data],86,$P$7+10))</f>
        <v/>
      </c>
      <c r="S90" s="17">
        <f>MAX(0,$F90-INDEX(Grid_Stock[#Data],86,$P$7+11))</f>
        <v/>
      </c>
      <c r="T90" s="17">
        <f>MAX(0,$F90-INDEX(Grid_Stock[#Data],86,$P$7+12))</f>
        <v/>
      </c>
      <c r="U90" s="17">
        <f>SUM(H90:T90)</f>
        <v/>
      </c>
    </row>
    <row r="91">
      <c r="B91" s="15">
        <f>IFERROR(INDEX(M_RawMaterials[Description],MATCH("TSZ-938",M_RawMaterials[RM_Code],0)),"")</f>
        <v/>
      </c>
      <c r="C91" s="15" t="inlineStr"/>
      <c r="D91" s="15" t="inlineStr">
        <is>
          <t>TSZ-938</t>
        </is>
      </c>
      <c r="E91" s="15" t="inlineStr">
        <is>
          <t>kg</t>
        </is>
      </c>
      <c r="F91" s="15">
        <f>IFERROR(INDEX(M_RawMaterials[SafetyStock_Qty_要入力],MATCH("TSZ-938",M_RawMaterials[RM_Code],0)),0)</f>
        <v/>
      </c>
      <c r="G91" s="15">
        <f>INDEX(Grid_Stock[#Data],87,$P$7)</f>
        <v/>
      </c>
      <c r="H91" s="15">
        <f>MAX(0,$F91-INDEX(Grid_Stock[#Data],87,$P$7+0))</f>
        <v/>
      </c>
      <c r="I91" s="15">
        <f>MAX(0,$F91-INDEX(Grid_Stock[#Data],87,$P$7+1))</f>
        <v/>
      </c>
      <c r="J91" s="15">
        <f>MAX(0,$F91-INDEX(Grid_Stock[#Data],87,$P$7+2))</f>
        <v/>
      </c>
      <c r="K91" s="15">
        <f>MAX(0,$F91-INDEX(Grid_Stock[#Data],87,$P$7+3))</f>
        <v/>
      </c>
      <c r="L91" s="15">
        <f>MAX(0,$F91-INDEX(Grid_Stock[#Data],87,$P$7+4))</f>
        <v/>
      </c>
      <c r="M91" s="15">
        <f>MAX(0,$F91-INDEX(Grid_Stock[#Data],87,$P$7+5))</f>
        <v/>
      </c>
      <c r="N91" s="15">
        <f>MAX(0,$F91-INDEX(Grid_Stock[#Data],87,$P$7+6))</f>
        <v/>
      </c>
      <c r="O91" s="15">
        <f>MAX(0,$F91-INDEX(Grid_Stock[#Data],87,$P$7+7))</f>
        <v/>
      </c>
      <c r="P91" s="15">
        <f>MAX(0,$F91-INDEX(Grid_Stock[#Data],87,$P$7+8))</f>
        <v/>
      </c>
      <c r="Q91" s="15">
        <f>MAX(0,$F91-INDEX(Grid_Stock[#Data],87,$P$7+9))</f>
        <v/>
      </c>
      <c r="R91" s="15">
        <f>MAX(0,$F91-INDEX(Grid_Stock[#Data],87,$P$7+10))</f>
        <v/>
      </c>
      <c r="S91" s="15">
        <f>MAX(0,$F91-INDEX(Grid_Stock[#Data],87,$P$7+11))</f>
        <v/>
      </c>
      <c r="T91" s="15">
        <f>MAX(0,$F91-INDEX(Grid_Stock[#Data],87,$P$7+12))</f>
        <v/>
      </c>
      <c r="U91" s="15">
        <f>SUM(H91:T91)</f>
        <v/>
      </c>
    </row>
    <row r="92">
      <c r="B92" s="17">
        <f>IFERROR(INDEX(M_RawMaterials[Description],MATCH("CHEM-1460",M_RawMaterials[RM_Code],0)),"")</f>
        <v/>
      </c>
      <c r="C92" s="17" t="inlineStr"/>
      <c r="D92" s="17" t="inlineStr">
        <is>
          <t>CHEM-1460</t>
        </is>
      </c>
      <c r="E92" s="17" t="inlineStr">
        <is>
          <t>kg</t>
        </is>
      </c>
      <c r="F92" s="17">
        <f>IFERROR(INDEX(M_RawMaterials[SafetyStock_Qty_要入力],MATCH("CHEM-1460",M_RawMaterials[RM_Code],0)),0)</f>
        <v/>
      </c>
      <c r="G92" s="17">
        <f>INDEX(Grid_Stock[#Data],88,$P$7)</f>
        <v/>
      </c>
      <c r="H92" s="17">
        <f>MAX(0,$F92-INDEX(Grid_Stock[#Data],88,$P$7+0))</f>
        <v/>
      </c>
      <c r="I92" s="17">
        <f>MAX(0,$F92-INDEX(Grid_Stock[#Data],88,$P$7+1))</f>
        <v/>
      </c>
      <c r="J92" s="17">
        <f>MAX(0,$F92-INDEX(Grid_Stock[#Data],88,$P$7+2))</f>
        <v/>
      </c>
      <c r="K92" s="17">
        <f>MAX(0,$F92-INDEX(Grid_Stock[#Data],88,$P$7+3))</f>
        <v/>
      </c>
      <c r="L92" s="17">
        <f>MAX(0,$F92-INDEX(Grid_Stock[#Data],88,$P$7+4))</f>
        <v/>
      </c>
      <c r="M92" s="17">
        <f>MAX(0,$F92-INDEX(Grid_Stock[#Data],88,$P$7+5))</f>
        <v/>
      </c>
      <c r="N92" s="17">
        <f>MAX(0,$F92-INDEX(Grid_Stock[#Data],88,$P$7+6))</f>
        <v/>
      </c>
      <c r="O92" s="17">
        <f>MAX(0,$F92-INDEX(Grid_Stock[#Data],88,$P$7+7))</f>
        <v/>
      </c>
      <c r="P92" s="17">
        <f>MAX(0,$F92-INDEX(Grid_Stock[#Data],88,$P$7+8))</f>
        <v/>
      </c>
      <c r="Q92" s="17">
        <f>MAX(0,$F92-INDEX(Grid_Stock[#Data],88,$P$7+9))</f>
        <v/>
      </c>
      <c r="R92" s="17">
        <f>MAX(0,$F92-INDEX(Grid_Stock[#Data],88,$P$7+10))</f>
        <v/>
      </c>
      <c r="S92" s="17">
        <f>MAX(0,$F92-INDEX(Grid_Stock[#Data],88,$P$7+11))</f>
        <v/>
      </c>
      <c r="T92" s="17">
        <f>MAX(0,$F92-INDEX(Grid_Stock[#Data],88,$P$7+12))</f>
        <v/>
      </c>
      <c r="U92" s="17">
        <f>SUM(H92:T92)</f>
        <v/>
      </c>
    </row>
    <row r="93">
      <c r="B93" s="15">
        <f>IFERROR(INDEX(M_RawMaterials[Description],MATCH("CHEM-1490",M_RawMaterials[RM_Code],0)),"")</f>
        <v/>
      </c>
      <c r="C93" s="15" t="inlineStr"/>
      <c r="D93" s="15" t="inlineStr">
        <is>
          <t>CHEM-1490</t>
        </is>
      </c>
      <c r="E93" s="15" t="inlineStr">
        <is>
          <t>kg</t>
        </is>
      </c>
      <c r="F93" s="15">
        <f>IFERROR(INDEX(M_RawMaterials[SafetyStock_Qty_要入力],MATCH("CHEM-1490",M_RawMaterials[RM_Code],0)),0)</f>
        <v/>
      </c>
      <c r="G93" s="15">
        <f>INDEX(Grid_Stock[#Data],89,$P$7)</f>
        <v/>
      </c>
      <c r="H93" s="15">
        <f>MAX(0,$F93-INDEX(Grid_Stock[#Data],89,$P$7+0))</f>
        <v/>
      </c>
      <c r="I93" s="15">
        <f>MAX(0,$F93-INDEX(Grid_Stock[#Data],89,$P$7+1))</f>
        <v/>
      </c>
      <c r="J93" s="15">
        <f>MAX(0,$F93-INDEX(Grid_Stock[#Data],89,$P$7+2))</f>
        <v/>
      </c>
      <c r="K93" s="15">
        <f>MAX(0,$F93-INDEX(Grid_Stock[#Data],89,$P$7+3))</f>
        <v/>
      </c>
      <c r="L93" s="15">
        <f>MAX(0,$F93-INDEX(Grid_Stock[#Data],89,$P$7+4))</f>
        <v/>
      </c>
      <c r="M93" s="15">
        <f>MAX(0,$F93-INDEX(Grid_Stock[#Data],89,$P$7+5))</f>
        <v/>
      </c>
      <c r="N93" s="15">
        <f>MAX(0,$F93-INDEX(Grid_Stock[#Data],89,$P$7+6))</f>
        <v/>
      </c>
      <c r="O93" s="15">
        <f>MAX(0,$F93-INDEX(Grid_Stock[#Data],89,$P$7+7))</f>
        <v/>
      </c>
      <c r="P93" s="15">
        <f>MAX(0,$F93-INDEX(Grid_Stock[#Data],89,$P$7+8))</f>
        <v/>
      </c>
      <c r="Q93" s="15">
        <f>MAX(0,$F93-INDEX(Grid_Stock[#Data],89,$P$7+9))</f>
        <v/>
      </c>
      <c r="R93" s="15">
        <f>MAX(0,$F93-INDEX(Grid_Stock[#Data],89,$P$7+10))</f>
        <v/>
      </c>
      <c r="S93" s="15">
        <f>MAX(0,$F93-INDEX(Grid_Stock[#Data],89,$P$7+11))</f>
        <v/>
      </c>
      <c r="T93" s="15">
        <f>MAX(0,$F93-INDEX(Grid_Stock[#Data],89,$P$7+12))</f>
        <v/>
      </c>
      <c r="U93" s="15">
        <f>SUM(H93:T93)</f>
        <v/>
      </c>
    </row>
    <row r="94">
      <c r="B94" s="17">
        <f>IFERROR(INDEX(M_RawMaterials[Description],MATCH("CHEM-1610",M_RawMaterials[RM_Code],0)),"")</f>
        <v/>
      </c>
      <c r="C94" s="17" t="inlineStr"/>
      <c r="D94" s="17" t="inlineStr">
        <is>
          <t>CHEM-1610</t>
        </is>
      </c>
      <c r="E94" s="17" t="inlineStr">
        <is>
          <t>kg</t>
        </is>
      </c>
      <c r="F94" s="17">
        <f>IFERROR(INDEX(M_RawMaterials[SafetyStock_Qty_要入力],MATCH("CHEM-1610",M_RawMaterials[RM_Code],0)),0)</f>
        <v/>
      </c>
      <c r="G94" s="17">
        <f>INDEX(Grid_Stock[#Data],90,$P$7)</f>
        <v/>
      </c>
      <c r="H94" s="17">
        <f>MAX(0,$F94-INDEX(Grid_Stock[#Data],90,$P$7+0))</f>
        <v/>
      </c>
      <c r="I94" s="17">
        <f>MAX(0,$F94-INDEX(Grid_Stock[#Data],90,$P$7+1))</f>
        <v/>
      </c>
      <c r="J94" s="17">
        <f>MAX(0,$F94-INDEX(Grid_Stock[#Data],90,$P$7+2))</f>
        <v/>
      </c>
      <c r="K94" s="17">
        <f>MAX(0,$F94-INDEX(Grid_Stock[#Data],90,$P$7+3))</f>
        <v/>
      </c>
      <c r="L94" s="17">
        <f>MAX(0,$F94-INDEX(Grid_Stock[#Data],90,$P$7+4))</f>
        <v/>
      </c>
      <c r="M94" s="17">
        <f>MAX(0,$F94-INDEX(Grid_Stock[#Data],90,$P$7+5))</f>
        <v/>
      </c>
      <c r="N94" s="17">
        <f>MAX(0,$F94-INDEX(Grid_Stock[#Data],90,$P$7+6))</f>
        <v/>
      </c>
      <c r="O94" s="17">
        <f>MAX(0,$F94-INDEX(Grid_Stock[#Data],90,$P$7+7))</f>
        <v/>
      </c>
      <c r="P94" s="17">
        <f>MAX(0,$F94-INDEX(Grid_Stock[#Data],90,$P$7+8))</f>
        <v/>
      </c>
      <c r="Q94" s="17">
        <f>MAX(0,$F94-INDEX(Grid_Stock[#Data],90,$P$7+9))</f>
        <v/>
      </c>
      <c r="R94" s="17">
        <f>MAX(0,$F94-INDEX(Grid_Stock[#Data],90,$P$7+10))</f>
        <v/>
      </c>
      <c r="S94" s="17">
        <f>MAX(0,$F94-INDEX(Grid_Stock[#Data],90,$P$7+11))</f>
        <v/>
      </c>
      <c r="T94" s="17">
        <f>MAX(0,$F94-INDEX(Grid_Stock[#Data],90,$P$7+12))</f>
        <v/>
      </c>
      <c r="U94" s="17">
        <f>SUM(H94:T94)</f>
        <v/>
      </c>
    </row>
    <row r="95">
      <c r="B95" s="15">
        <f>IFERROR(INDEX(M_RawMaterials[Description],MATCH("CHEM-1640",M_RawMaterials[RM_Code],0)),"")</f>
        <v/>
      </c>
      <c r="C95" s="15" t="inlineStr"/>
      <c r="D95" s="15" t="inlineStr">
        <is>
          <t>CHEM-1640</t>
        </is>
      </c>
      <c r="E95" s="15" t="inlineStr">
        <is>
          <t>kg</t>
        </is>
      </c>
      <c r="F95" s="15">
        <f>IFERROR(INDEX(M_RawMaterials[SafetyStock_Qty_要入力],MATCH("CHEM-1640",M_RawMaterials[RM_Code],0)),0)</f>
        <v/>
      </c>
      <c r="G95" s="15">
        <f>INDEX(Grid_Stock[#Data],91,$P$7)</f>
        <v/>
      </c>
      <c r="H95" s="15">
        <f>MAX(0,$F95-INDEX(Grid_Stock[#Data],91,$P$7+0))</f>
        <v/>
      </c>
      <c r="I95" s="15">
        <f>MAX(0,$F95-INDEX(Grid_Stock[#Data],91,$P$7+1))</f>
        <v/>
      </c>
      <c r="J95" s="15">
        <f>MAX(0,$F95-INDEX(Grid_Stock[#Data],91,$P$7+2))</f>
        <v/>
      </c>
      <c r="K95" s="15">
        <f>MAX(0,$F95-INDEX(Grid_Stock[#Data],91,$P$7+3))</f>
        <v/>
      </c>
      <c r="L95" s="15">
        <f>MAX(0,$F95-INDEX(Grid_Stock[#Data],91,$P$7+4))</f>
        <v/>
      </c>
      <c r="M95" s="15">
        <f>MAX(0,$F95-INDEX(Grid_Stock[#Data],91,$P$7+5))</f>
        <v/>
      </c>
      <c r="N95" s="15">
        <f>MAX(0,$F95-INDEX(Grid_Stock[#Data],91,$P$7+6))</f>
        <v/>
      </c>
      <c r="O95" s="15">
        <f>MAX(0,$F95-INDEX(Grid_Stock[#Data],91,$P$7+7))</f>
        <v/>
      </c>
      <c r="P95" s="15">
        <f>MAX(0,$F95-INDEX(Grid_Stock[#Data],91,$P$7+8))</f>
        <v/>
      </c>
      <c r="Q95" s="15">
        <f>MAX(0,$F95-INDEX(Grid_Stock[#Data],91,$P$7+9))</f>
        <v/>
      </c>
      <c r="R95" s="15">
        <f>MAX(0,$F95-INDEX(Grid_Stock[#Data],91,$P$7+10))</f>
        <v/>
      </c>
      <c r="S95" s="15">
        <f>MAX(0,$F95-INDEX(Grid_Stock[#Data],91,$P$7+11))</f>
        <v/>
      </c>
      <c r="T95" s="15">
        <f>MAX(0,$F95-INDEX(Grid_Stock[#Data],91,$P$7+12))</f>
        <v/>
      </c>
      <c r="U95" s="15">
        <f>SUM(H95:T95)</f>
        <v/>
      </c>
    </row>
    <row r="96">
      <c r="B96" s="17">
        <f>IFERROR(INDEX(M_RawMaterials[Description],MATCH("CHEM-1030",M_RawMaterials[RM_Code],0)),"")</f>
        <v/>
      </c>
      <c r="C96" s="17" t="inlineStr"/>
      <c r="D96" s="17" t="inlineStr">
        <is>
          <t>CHEM-1030</t>
        </is>
      </c>
      <c r="E96" s="17" t="inlineStr">
        <is>
          <t>kg</t>
        </is>
      </c>
      <c r="F96" s="17">
        <f>IFERROR(INDEX(M_RawMaterials[SafetyStock_Qty_要入力],MATCH("CHEM-1030",M_RawMaterials[RM_Code],0)),0)</f>
        <v/>
      </c>
      <c r="G96" s="17">
        <f>INDEX(Grid_Stock[#Data],92,$P$7)</f>
        <v/>
      </c>
      <c r="H96" s="17">
        <f>MAX(0,$F96-INDEX(Grid_Stock[#Data],92,$P$7+0))</f>
        <v/>
      </c>
      <c r="I96" s="17">
        <f>MAX(0,$F96-INDEX(Grid_Stock[#Data],92,$P$7+1))</f>
        <v/>
      </c>
      <c r="J96" s="17">
        <f>MAX(0,$F96-INDEX(Grid_Stock[#Data],92,$P$7+2))</f>
        <v/>
      </c>
      <c r="K96" s="17">
        <f>MAX(0,$F96-INDEX(Grid_Stock[#Data],92,$P$7+3))</f>
        <v/>
      </c>
      <c r="L96" s="17">
        <f>MAX(0,$F96-INDEX(Grid_Stock[#Data],92,$P$7+4))</f>
        <v/>
      </c>
      <c r="M96" s="17">
        <f>MAX(0,$F96-INDEX(Grid_Stock[#Data],92,$P$7+5))</f>
        <v/>
      </c>
      <c r="N96" s="17">
        <f>MAX(0,$F96-INDEX(Grid_Stock[#Data],92,$P$7+6))</f>
        <v/>
      </c>
      <c r="O96" s="17">
        <f>MAX(0,$F96-INDEX(Grid_Stock[#Data],92,$P$7+7))</f>
        <v/>
      </c>
      <c r="P96" s="17">
        <f>MAX(0,$F96-INDEX(Grid_Stock[#Data],92,$P$7+8))</f>
        <v/>
      </c>
      <c r="Q96" s="17">
        <f>MAX(0,$F96-INDEX(Grid_Stock[#Data],92,$P$7+9))</f>
        <v/>
      </c>
      <c r="R96" s="17">
        <f>MAX(0,$F96-INDEX(Grid_Stock[#Data],92,$P$7+10))</f>
        <v/>
      </c>
      <c r="S96" s="17">
        <f>MAX(0,$F96-INDEX(Grid_Stock[#Data],92,$P$7+11))</f>
        <v/>
      </c>
      <c r="T96" s="17">
        <f>MAX(0,$F96-INDEX(Grid_Stock[#Data],92,$P$7+12))</f>
        <v/>
      </c>
      <c r="U96" s="17">
        <f>SUM(H96:T96)</f>
        <v/>
      </c>
    </row>
    <row r="97">
      <c r="B97" s="15">
        <f>IFERROR(INDEX(M_RawMaterials[Description],MATCH("CHEM-1800",M_RawMaterials[RM_Code],0)),"")</f>
        <v/>
      </c>
      <c r="C97" s="15" t="inlineStr"/>
      <c r="D97" s="15" t="inlineStr">
        <is>
          <t>CHEM-1800</t>
        </is>
      </c>
      <c r="E97" s="15" t="inlineStr">
        <is>
          <t>kg</t>
        </is>
      </c>
      <c r="F97" s="15">
        <f>IFERROR(INDEX(M_RawMaterials[SafetyStock_Qty_要入力],MATCH("CHEM-1800",M_RawMaterials[RM_Code],0)),0)</f>
        <v/>
      </c>
      <c r="G97" s="15">
        <f>INDEX(Grid_Stock[#Data],93,$P$7)</f>
        <v/>
      </c>
      <c r="H97" s="15">
        <f>MAX(0,$F97-INDEX(Grid_Stock[#Data],93,$P$7+0))</f>
        <v/>
      </c>
      <c r="I97" s="15">
        <f>MAX(0,$F97-INDEX(Grid_Stock[#Data],93,$P$7+1))</f>
        <v/>
      </c>
      <c r="J97" s="15">
        <f>MAX(0,$F97-INDEX(Grid_Stock[#Data],93,$P$7+2))</f>
        <v/>
      </c>
      <c r="K97" s="15">
        <f>MAX(0,$F97-INDEX(Grid_Stock[#Data],93,$P$7+3))</f>
        <v/>
      </c>
      <c r="L97" s="15">
        <f>MAX(0,$F97-INDEX(Grid_Stock[#Data],93,$P$7+4))</f>
        <v/>
      </c>
      <c r="M97" s="15">
        <f>MAX(0,$F97-INDEX(Grid_Stock[#Data],93,$P$7+5))</f>
        <v/>
      </c>
      <c r="N97" s="15">
        <f>MAX(0,$F97-INDEX(Grid_Stock[#Data],93,$P$7+6))</f>
        <v/>
      </c>
      <c r="O97" s="15">
        <f>MAX(0,$F97-INDEX(Grid_Stock[#Data],93,$P$7+7))</f>
        <v/>
      </c>
      <c r="P97" s="15">
        <f>MAX(0,$F97-INDEX(Grid_Stock[#Data],93,$P$7+8))</f>
        <v/>
      </c>
      <c r="Q97" s="15">
        <f>MAX(0,$F97-INDEX(Grid_Stock[#Data],93,$P$7+9))</f>
        <v/>
      </c>
      <c r="R97" s="15">
        <f>MAX(0,$F97-INDEX(Grid_Stock[#Data],93,$P$7+10))</f>
        <v/>
      </c>
      <c r="S97" s="15">
        <f>MAX(0,$F97-INDEX(Grid_Stock[#Data],93,$P$7+11))</f>
        <v/>
      </c>
      <c r="T97" s="15">
        <f>MAX(0,$F97-INDEX(Grid_Stock[#Data],93,$P$7+12))</f>
        <v/>
      </c>
      <c r="U97" s="15">
        <f>SUM(H97:T97)</f>
        <v/>
      </c>
    </row>
    <row r="98">
      <c r="B98" s="17">
        <f>IFERROR(INDEX(M_RawMaterials[Description],MATCH("CHEM-1710",M_RawMaterials[RM_Code],0)),"")</f>
        <v/>
      </c>
      <c r="C98" s="17" t="inlineStr"/>
      <c r="D98" s="17" t="inlineStr">
        <is>
          <t>CHEM-1710</t>
        </is>
      </c>
      <c r="E98" s="17" t="inlineStr">
        <is>
          <t>kg</t>
        </is>
      </c>
      <c r="F98" s="17">
        <f>IFERROR(INDEX(M_RawMaterials[SafetyStock_Qty_要入力],MATCH("CHEM-1710",M_RawMaterials[RM_Code],0)),0)</f>
        <v/>
      </c>
      <c r="G98" s="17">
        <f>INDEX(Grid_Stock[#Data],94,$P$7)</f>
        <v/>
      </c>
      <c r="H98" s="17">
        <f>MAX(0,$F98-INDEX(Grid_Stock[#Data],94,$P$7+0))</f>
        <v/>
      </c>
      <c r="I98" s="17">
        <f>MAX(0,$F98-INDEX(Grid_Stock[#Data],94,$P$7+1))</f>
        <v/>
      </c>
      <c r="J98" s="17">
        <f>MAX(0,$F98-INDEX(Grid_Stock[#Data],94,$P$7+2))</f>
        <v/>
      </c>
      <c r="K98" s="17">
        <f>MAX(0,$F98-INDEX(Grid_Stock[#Data],94,$P$7+3))</f>
        <v/>
      </c>
      <c r="L98" s="17">
        <f>MAX(0,$F98-INDEX(Grid_Stock[#Data],94,$P$7+4))</f>
        <v/>
      </c>
      <c r="M98" s="17">
        <f>MAX(0,$F98-INDEX(Grid_Stock[#Data],94,$P$7+5))</f>
        <v/>
      </c>
      <c r="N98" s="17">
        <f>MAX(0,$F98-INDEX(Grid_Stock[#Data],94,$P$7+6))</f>
        <v/>
      </c>
      <c r="O98" s="17">
        <f>MAX(0,$F98-INDEX(Grid_Stock[#Data],94,$P$7+7))</f>
        <v/>
      </c>
      <c r="P98" s="17">
        <f>MAX(0,$F98-INDEX(Grid_Stock[#Data],94,$P$7+8))</f>
        <v/>
      </c>
      <c r="Q98" s="17">
        <f>MAX(0,$F98-INDEX(Grid_Stock[#Data],94,$P$7+9))</f>
        <v/>
      </c>
      <c r="R98" s="17">
        <f>MAX(0,$F98-INDEX(Grid_Stock[#Data],94,$P$7+10))</f>
        <v/>
      </c>
      <c r="S98" s="17">
        <f>MAX(0,$F98-INDEX(Grid_Stock[#Data],94,$P$7+11))</f>
        <v/>
      </c>
      <c r="T98" s="17">
        <f>MAX(0,$F98-INDEX(Grid_Stock[#Data],94,$P$7+12))</f>
        <v/>
      </c>
      <c r="U98" s="17">
        <f>SUM(H98:T98)</f>
        <v/>
      </c>
    </row>
    <row r="99">
      <c r="B99" s="15">
        <f>IFERROR(INDEX(M_RawMaterials[Description],MATCH("CHEM-1170",M_RawMaterials[RM_Code],0)),"")</f>
        <v/>
      </c>
      <c r="C99" s="15" t="inlineStr"/>
      <c r="D99" s="15" t="inlineStr">
        <is>
          <t>CHEM-1170</t>
        </is>
      </c>
      <c r="E99" s="15" t="inlineStr">
        <is>
          <t>kg</t>
        </is>
      </c>
      <c r="F99" s="15">
        <f>IFERROR(INDEX(M_RawMaterials[SafetyStock_Qty_要入力],MATCH("CHEM-1170",M_RawMaterials[RM_Code],0)),0)</f>
        <v/>
      </c>
      <c r="G99" s="15">
        <f>INDEX(Grid_Stock[#Data],95,$P$7)</f>
        <v/>
      </c>
      <c r="H99" s="15">
        <f>MAX(0,$F99-INDEX(Grid_Stock[#Data],95,$P$7+0))</f>
        <v/>
      </c>
      <c r="I99" s="15">
        <f>MAX(0,$F99-INDEX(Grid_Stock[#Data],95,$P$7+1))</f>
        <v/>
      </c>
      <c r="J99" s="15">
        <f>MAX(0,$F99-INDEX(Grid_Stock[#Data],95,$P$7+2))</f>
        <v/>
      </c>
      <c r="K99" s="15">
        <f>MAX(0,$F99-INDEX(Grid_Stock[#Data],95,$P$7+3))</f>
        <v/>
      </c>
      <c r="L99" s="15">
        <f>MAX(0,$F99-INDEX(Grid_Stock[#Data],95,$P$7+4))</f>
        <v/>
      </c>
      <c r="M99" s="15">
        <f>MAX(0,$F99-INDEX(Grid_Stock[#Data],95,$P$7+5))</f>
        <v/>
      </c>
      <c r="N99" s="15">
        <f>MAX(0,$F99-INDEX(Grid_Stock[#Data],95,$P$7+6))</f>
        <v/>
      </c>
      <c r="O99" s="15">
        <f>MAX(0,$F99-INDEX(Grid_Stock[#Data],95,$P$7+7))</f>
        <v/>
      </c>
      <c r="P99" s="15">
        <f>MAX(0,$F99-INDEX(Grid_Stock[#Data],95,$P$7+8))</f>
        <v/>
      </c>
      <c r="Q99" s="15">
        <f>MAX(0,$F99-INDEX(Grid_Stock[#Data],95,$P$7+9))</f>
        <v/>
      </c>
      <c r="R99" s="15">
        <f>MAX(0,$F99-INDEX(Grid_Stock[#Data],95,$P$7+10))</f>
        <v/>
      </c>
      <c r="S99" s="15">
        <f>MAX(0,$F99-INDEX(Grid_Stock[#Data],95,$P$7+11))</f>
        <v/>
      </c>
      <c r="T99" s="15">
        <f>MAX(0,$F99-INDEX(Grid_Stock[#Data],95,$P$7+12))</f>
        <v/>
      </c>
      <c r="U99" s="15">
        <f>SUM(H99:T99)</f>
        <v/>
      </c>
    </row>
    <row r="100">
      <c r="B100" s="17">
        <f>IFERROR(INDEX(M_RawMaterials[Description],MATCH("CHEM-1620",M_RawMaterials[RM_Code],0)),"")</f>
        <v/>
      </c>
      <c r="C100" s="17" t="inlineStr"/>
      <c r="D100" s="17" t="inlineStr">
        <is>
          <t>CHEM-1620</t>
        </is>
      </c>
      <c r="E100" s="17" t="inlineStr">
        <is>
          <t>kg</t>
        </is>
      </c>
      <c r="F100" s="17">
        <f>IFERROR(INDEX(M_RawMaterials[SafetyStock_Qty_要入力],MATCH("CHEM-1620",M_RawMaterials[RM_Code],0)),0)</f>
        <v/>
      </c>
      <c r="G100" s="17">
        <f>INDEX(Grid_Stock[#Data],96,$P$7)</f>
        <v/>
      </c>
      <c r="H100" s="17">
        <f>MAX(0,$F100-INDEX(Grid_Stock[#Data],96,$P$7+0))</f>
        <v/>
      </c>
      <c r="I100" s="17">
        <f>MAX(0,$F100-INDEX(Grid_Stock[#Data],96,$P$7+1))</f>
        <v/>
      </c>
      <c r="J100" s="17">
        <f>MAX(0,$F100-INDEX(Grid_Stock[#Data],96,$P$7+2))</f>
        <v/>
      </c>
      <c r="K100" s="17">
        <f>MAX(0,$F100-INDEX(Grid_Stock[#Data],96,$P$7+3))</f>
        <v/>
      </c>
      <c r="L100" s="17">
        <f>MAX(0,$F100-INDEX(Grid_Stock[#Data],96,$P$7+4))</f>
        <v/>
      </c>
      <c r="M100" s="17">
        <f>MAX(0,$F100-INDEX(Grid_Stock[#Data],96,$P$7+5))</f>
        <v/>
      </c>
      <c r="N100" s="17">
        <f>MAX(0,$F100-INDEX(Grid_Stock[#Data],96,$P$7+6))</f>
        <v/>
      </c>
      <c r="O100" s="17">
        <f>MAX(0,$F100-INDEX(Grid_Stock[#Data],96,$P$7+7))</f>
        <v/>
      </c>
      <c r="P100" s="17">
        <f>MAX(0,$F100-INDEX(Grid_Stock[#Data],96,$P$7+8))</f>
        <v/>
      </c>
      <c r="Q100" s="17">
        <f>MAX(0,$F100-INDEX(Grid_Stock[#Data],96,$P$7+9))</f>
        <v/>
      </c>
      <c r="R100" s="17">
        <f>MAX(0,$F100-INDEX(Grid_Stock[#Data],96,$P$7+10))</f>
        <v/>
      </c>
      <c r="S100" s="17">
        <f>MAX(0,$F100-INDEX(Grid_Stock[#Data],96,$P$7+11))</f>
        <v/>
      </c>
      <c r="T100" s="17">
        <f>MAX(0,$F100-INDEX(Grid_Stock[#Data],96,$P$7+12))</f>
        <v/>
      </c>
      <c r="U100" s="17">
        <f>SUM(H100:T100)</f>
        <v/>
      </c>
    </row>
    <row r="101">
      <c r="B101" s="15">
        <f>IFERROR(INDEX(M_RawMaterials[Description],MATCH("CHEM-1050",M_RawMaterials[RM_Code],0)),"")</f>
        <v/>
      </c>
      <c r="C101" s="15" t="inlineStr"/>
      <c r="D101" s="15" t="inlineStr">
        <is>
          <t>CHEM-1050</t>
        </is>
      </c>
      <c r="E101" s="15" t="inlineStr">
        <is>
          <t>kg</t>
        </is>
      </c>
      <c r="F101" s="15">
        <f>IFERROR(INDEX(M_RawMaterials[SafetyStock_Qty_要入力],MATCH("CHEM-1050",M_RawMaterials[RM_Code],0)),0)</f>
        <v/>
      </c>
      <c r="G101" s="15">
        <f>INDEX(Grid_Stock[#Data],97,$P$7)</f>
        <v/>
      </c>
      <c r="H101" s="15">
        <f>MAX(0,$F101-INDEX(Grid_Stock[#Data],97,$P$7+0))</f>
        <v/>
      </c>
      <c r="I101" s="15">
        <f>MAX(0,$F101-INDEX(Grid_Stock[#Data],97,$P$7+1))</f>
        <v/>
      </c>
      <c r="J101" s="15">
        <f>MAX(0,$F101-INDEX(Grid_Stock[#Data],97,$P$7+2))</f>
        <v/>
      </c>
      <c r="K101" s="15">
        <f>MAX(0,$F101-INDEX(Grid_Stock[#Data],97,$P$7+3))</f>
        <v/>
      </c>
      <c r="L101" s="15">
        <f>MAX(0,$F101-INDEX(Grid_Stock[#Data],97,$P$7+4))</f>
        <v/>
      </c>
      <c r="M101" s="15">
        <f>MAX(0,$F101-INDEX(Grid_Stock[#Data],97,$P$7+5))</f>
        <v/>
      </c>
      <c r="N101" s="15">
        <f>MAX(0,$F101-INDEX(Grid_Stock[#Data],97,$P$7+6))</f>
        <v/>
      </c>
      <c r="O101" s="15">
        <f>MAX(0,$F101-INDEX(Grid_Stock[#Data],97,$P$7+7))</f>
        <v/>
      </c>
      <c r="P101" s="15">
        <f>MAX(0,$F101-INDEX(Grid_Stock[#Data],97,$P$7+8))</f>
        <v/>
      </c>
      <c r="Q101" s="15">
        <f>MAX(0,$F101-INDEX(Grid_Stock[#Data],97,$P$7+9))</f>
        <v/>
      </c>
      <c r="R101" s="15">
        <f>MAX(0,$F101-INDEX(Grid_Stock[#Data],97,$P$7+10))</f>
        <v/>
      </c>
      <c r="S101" s="15">
        <f>MAX(0,$F101-INDEX(Grid_Stock[#Data],97,$P$7+11))</f>
        <v/>
      </c>
      <c r="T101" s="15">
        <f>MAX(0,$F101-INDEX(Grid_Stock[#Data],97,$P$7+12))</f>
        <v/>
      </c>
      <c r="U101" s="15">
        <f>SUM(H101:T101)</f>
        <v/>
      </c>
    </row>
    <row r="102">
      <c r="B102" s="17">
        <f>IFERROR(INDEX(M_RawMaterials[Description],MATCH("CHEM-1190",M_RawMaterials[RM_Code],0)),"")</f>
        <v/>
      </c>
      <c r="C102" s="17" t="inlineStr"/>
      <c r="D102" s="17" t="inlineStr">
        <is>
          <t>CHEM-1190</t>
        </is>
      </c>
      <c r="E102" s="17" t="inlineStr">
        <is>
          <t>kg</t>
        </is>
      </c>
      <c r="F102" s="17">
        <f>IFERROR(INDEX(M_RawMaterials[SafetyStock_Qty_要入力],MATCH("CHEM-1190",M_RawMaterials[RM_Code],0)),0)</f>
        <v/>
      </c>
      <c r="G102" s="17">
        <f>INDEX(Grid_Stock[#Data],98,$P$7)</f>
        <v/>
      </c>
      <c r="H102" s="17">
        <f>MAX(0,$F102-INDEX(Grid_Stock[#Data],98,$P$7+0))</f>
        <v/>
      </c>
      <c r="I102" s="17">
        <f>MAX(0,$F102-INDEX(Grid_Stock[#Data],98,$P$7+1))</f>
        <v/>
      </c>
      <c r="J102" s="17">
        <f>MAX(0,$F102-INDEX(Grid_Stock[#Data],98,$P$7+2))</f>
        <v/>
      </c>
      <c r="K102" s="17">
        <f>MAX(0,$F102-INDEX(Grid_Stock[#Data],98,$P$7+3))</f>
        <v/>
      </c>
      <c r="L102" s="17">
        <f>MAX(0,$F102-INDEX(Grid_Stock[#Data],98,$P$7+4))</f>
        <v/>
      </c>
      <c r="M102" s="17">
        <f>MAX(0,$F102-INDEX(Grid_Stock[#Data],98,$P$7+5))</f>
        <v/>
      </c>
      <c r="N102" s="17">
        <f>MAX(0,$F102-INDEX(Grid_Stock[#Data],98,$P$7+6))</f>
        <v/>
      </c>
      <c r="O102" s="17">
        <f>MAX(0,$F102-INDEX(Grid_Stock[#Data],98,$P$7+7))</f>
        <v/>
      </c>
      <c r="P102" s="17">
        <f>MAX(0,$F102-INDEX(Grid_Stock[#Data],98,$P$7+8))</f>
        <v/>
      </c>
      <c r="Q102" s="17">
        <f>MAX(0,$F102-INDEX(Grid_Stock[#Data],98,$P$7+9))</f>
        <v/>
      </c>
      <c r="R102" s="17">
        <f>MAX(0,$F102-INDEX(Grid_Stock[#Data],98,$P$7+10))</f>
        <v/>
      </c>
      <c r="S102" s="17">
        <f>MAX(0,$F102-INDEX(Grid_Stock[#Data],98,$P$7+11))</f>
        <v/>
      </c>
      <c r="T102" s="17">
        <f>MAX(0,$F102-INDEX(Grid_Stock[#Data],98,$P$7+12))</f>
        <v/>
      </c>
      <c r="U102" s="17">
        <f>SUM(H102:T102)</f>
        <v/>
      </c>
    </row>
    <row r="103">
      <c r="B103" s="15">
        <f>IFERROR(INDEX(M_RawMaterials[Description],MATCH("CHEM-1630",M_RawMaterials[RM_Code],0)),"")</f>
        <v/>
      </c>
      <c r="C103" s="15" t="inlineStr"/>
      <c r="D103" s="15" t="inlineStr">
        <is>
          <t>CHEM-1630</t>
        </is>
      </c>
      <c r="E103" s="15" t="inlineStr">
        <is>
          <t>kg</t>
        </is>
      </c>
      <c r="F103" s="15">
        <f>IFERROR(INDEX(M_RawMaterials[SafetyStock_Qty_要入力],MATCH("CHEM-1630",M_RawMaterials[RM_Code],0)),0)</f>
        <v/>
      </c>
      <c r="G103" s="15">
        <f>INDEX(Grid_Stock[#Data],99,$P$7)</f>
        <v/>
      </c>
      <c r="H103" s="15">
        <f>MAX(0,$F103-INDEX(Grid_Stock[#Data],99,$P$7+0))</f>
        <v/>
      </c>
      <c r="I103" s="15">
        <f>MAX(0,$F103-INDEX(Grid_Stock[#Data],99,$P$7+1))</f>
        <v/>
      </c>
      <c r="J103" s="15">
        <f>MAX(0,$F103-INDEX(Grid_Stock[#Data],99,$P$7+2))</f>
        <v/>
      </c>
      <c r="K103" s="15">
        <f>MAX(0,$F103-INDEX(Grid_Stock[#Data],99,$P$7+3))</f>
        <v/>
      </c>
      <c r="L103" s="15">
        <f>MAX(0,$F103-INDEX(Grid_Stock[#Data],99,$P$7+4))</f>
        <v/>
      </c>
      <c r="M103" s="15">
        <f>MAX(0,$F103-INDEX(Grid_Stock[#Data],99,$P$7+5))</f>
        <v/>
      </c>
      <c r="N103" s="15">
        <f>MAX(0,$F103-INDEX(Grid_Stock[#Data],99,$P$7+6))</f>
        <v/>
      </c>
      <c r="O103" s="15">
        <f>MAX(0,$F103-INDEX(Grid_Stock[#Data],99,$P$7+7))</f>
        <v/>
      </c>
      <c r="P103" s="15">
        <f>MAX(0,$F103-INDEX(Grid_Stock[#Data],99,$P$7+8))</f>
        <v/>
      </c>
      <c r="Q103" s="15">
        <f>MAX(0,$F103-INDEX(Grid_Stock[#Data],99,$P$7+9))</f>
        <v/>
      </c>
      <c r="R103" s="15">
        <f>MAX(0,$F103-INDEX(Grid_Stock[#Data],99,$P$7+10))</f>
        <v/>
      </c>
      <c r="S103" s="15">
        <f>MAX(0,$F103-INDEX(Grid_Stock[#Data],99,$P$7+11))</f>
        <v/>
      </c>
      <c r="T103" s="15">
        <f>MAX(0,$F103-INDEX(Grid_Stock[#Data],99,$P$7+12))</f>
        <v/>
      </c>
      <c r="U103" s="15">
        <f>SUM(H103:T103)</f>
        <v/>
      </c>
    </row>
    <row r="104">
      <c r="B104" s="17">
        <f>IFERROR(INDEX(M_RawMaterials[Description],MATCH("CHEM-1090",M_RawMaterials[RM_Code],0)),"")</f>
        <v/>
      </c>
      <c r="C104" s="17" t="inlineStr"/>
      <c r="D104" s="17" t="inlineStr">
        <is>
          <t>CHEM-1090</t>
        </is>
      </c>
      <c r="E104" s="17" t="inlineStr">
        <is>
          <t>kg</t>
        </is>
      </c>
      <c r="F104" s="17">
        <f>IFERROR(INDEX(M_RawMaterials[SafetyStock_Qty_要入力],MATCH("CHEM-1090",M_RawMaterials[RM_Code],0)),0)</f>
        <v/>
      </c>
      <c r="G104" s="17">
        <f>INDEX(Grid_Stock[#Data],100,$P$7)</f>
        <v/>
      </c>
      <c r="H104" s="17">
        <f>MAX(0,$F104-INDEX(Grid_Stock[#Data],100,$P$7+0))</f>
        <v/>
      </c>
      <c r="I104" s="17">
        <f>MAX(0,$F104-INDEX(Grid_Stock[#Data],100,$P$7+1))</f>
        <v/>
      </c>
      <c r="J104" s="17">
        <f>MAX(0,$F104-INDEX(Grid_Stock[#Data],100,$P$7+2))</f>
        <v/>
      </c>
      <c r="K104" s="17">
        <f>MAX(0,$F104-INDEX(Grid_Stock[#Data],100,$P$7+3))</f>
        <v/>
      </c>
      <c r="L104" s="17">
        <f>MAX(0,$F104-INDEX(Grid_Stock[#Data],100,$P$7+4))</f>
        <v/>
      </c>
      <c r="M104" s="17">
        <f>MAX(0,$F104-INDEX(Grid_Stock[#Data],100,$P$7+5))</f>
        <v/>
      </c>
      <c r="N104" s="17">
        <f>MAX(0,$F104-INDEX(Grid_Stock[#Data],100,$P$7+6))</f>
        <v/>
      </c>
      <c r="O104" s="17">
        <f>MAX(0,$F104-INDEX(Grid_Stock[#Data],100,$P$7+7))</f>
        <v/>
      </c>
      <c r="P104" s="17">
        <f>MAX(0,$F104-INDEX(Grid_Stock[#Data],100,$P$7+8))</f>
        <v/>
      </c>
      <c r="Q104" s="17">
        <f>MAX(0,$F104-INDEX(Grid_Stock[#Data],100,$P$7+9))</f>
        <v/>
      </c>
      <c r="R104" s="17">
        <f>MAX(0,$F104-INDEX(Grid_Stock[#Data],100,$P$7+10))</f>
        <v/>
      </c>
      <c r="S104" s="17">
        <f>MAX(0,$F104-INDEX(Grid_Stock[#Data],100,$P$7+11))</f>
        <v/>
      </c>
      <c r="T104" s="17">
        <f>MAX(0,$F104-INDEX(Grid_Stock[#Data],100,$P$7+12))</f>
        <v/>
      </c>
      <c r="U104" s="17">
        <f>SUM(H104:T104)</f>
        <v/>
      </c>
    </row>
    <row r="105">
      <c r="B105" s="15">
        <f>IFERROR(INDEX(M_RawMaterials[Description],MATCH("CHEM-1310",M_RawMaterials[RM_Code],0)),"")</f>
        <v/>
      </c>
      <c r="C105" s="15" t="inlineStr"/>
      <c r="D105" s="15" t="inlineStr">
        <is>
          <t>CHEM-1310</t>
        </is>
      </c>
      <c r="E105" s="15" t="inlineStr">
        <is>
          <t>kg</t>
        </is>
      </c>
      <c r="F105" s="15">
        <f>IFERROR(INDEX(M_RawMaterials[SafetyStock_Qty_要入力],MATCH("CHEM-1310",M_RawMaterials[RM_Code],0)),0)</f>
        <v/>
      </c>
      <c r="G105" s="15">
        <f>INDEX(Grid_Stock[#Data],101,$P$7)</f>
        <v/>
      </c>
      <c r="H105" s="15">
        <f>MAX(0,$F105-INDEX(Grid_Stock[#Data],101,$P$7+0))</f>
        <v/>
      </c>
      <c r="I105" s="15">
        <f>MAX(0,$F105-INDEX(Grid_Stock[#Data],101,$P$7+1))</f>
        <v/>
      </c>
      <c r="J105" s="15">
        <f>MAX(0,$F105-INDEX(Grid_Stock[#Data],101,$P$7+2))</f>
        <v/>
      </c>
      <c r="K105" s="15">
        <f>MAX(0,$F105-INDEX(Grid_Stock[#Data],101,$P$7+3))</f>
        <v/>
      </c>
      <c r="L105" s="15">
        <f>MAX(0,$F105-INDEX(Grid_Stock[#Data],101,$P$7+4))</f>
        <v/>
      </c>
      <c r="M105" s="15">
        <f>MAX(0,$F105-INDEX(Grid_Stock[#Data],101,$P$7+5))</f>
        <v/>
      </c>
      <c r="N105" s="15">
        <f>MAX(0,$F105-INDEX(Grid_Stock[#Data],101,$P$7+6))</f>
        <v/>
      </c>
      <c r="O105" s="15">
        <f>MAX(0,$F105-INDEX(Grid_Stock[#Data],101,$P$7+7))</f>
        <v/>
      </c>
      <c r="P105" s="15">
        <f>MAX(0,$F105-INDEX(Grid_Stock[#Data],101,$P$7+8))</f>
        <v/>
      </c>
      <c r="Q105" s="15">
        <f>MAX(0,$F105-INDEX(Grid_Stock[#Data],101,$P$7+9))</f>
        <v/>
      </c>
      <c r="R105" s="15">
        <f>MAX(0,$F105-INDEX(Grid_Stock[#Data],101,$P$7+10))</f>
        <v/>
      </c>
      <c r="S105" s="15">
        <f>MAX(0,$F105-INDEX(Grid_Stock[#Data],101,$P$7+11))</f>
        <v/>
      </c>
      <c r="T105" s="15">
        <f>MAX(0,$F105-INDEX(Grid_Stock[#Data],101,$P$7+12))</f>
        <v/>
      </c>
      <c r="U105" s="15">
        <f>SUM(H105:T105)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46223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31</v>
      </c>
    </row>
    <row r="8">
      <c r="B8" s="2" t="inlineStr">
        <is>
          <t>Hazardous Chemicals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10" t="n"/>
      <c r="C11" s="10" t="n"/>
      <c r="D11" s="10" t="n"/>
      <c r="E11" s="10" t="n"/>
      <c r="F11" s="10" t="n"/>
      <c r="G11" s="10" t="n"/>
      <c r="H11" s="12">
        <f>INDEX(Cal_Weeks[WeekStart],$P$7+0)</f>
        <v/>
      </c>
      <c r="I11" s="12">
        <f>INDEX(Cal_Weeks[WeekStart],$P$7+1)</f>
        <v/>
      </c>
      <c r="J11" s="12">
        <f>INDEX(Cal_Weeks[WeekStart],$P$7+2)</f>
        <v/>
      </c>
      <c r="K11" s="12">
        <f>INDEX(Cal_Weeks[WeekStart],$P$7+3)</f>
        <v/>
      </c>
      <c r="L11" s="12">
        <f>INDEX(Cal_Weeks[WeekStart],$P$7+4)</f>
        <v/>
      </c>
      <c r="M11" s="12">
        <f>INDEX(Cal_Weeks[WeekStart],$P$7+5)</f>
        <v/>
      </c>
      <c r="N11" s="12">
        <f>INDEX(Cal_Weeks[WeekStart],$P$7+6)</f>
        <v/>
      </c>
      <c r="O11" s="12">
        <f>INDEX(Cal_Weeks[WeekStart],$P$7+7)</f>
        <v/>
      </c>
      <c r="P11" s="12">
        <f>INDEX(Cal_Weeks[WeekStart],$P$7+8)</f>
        <v/>
      </c>
      <c r="Q11" s="12">
        <f>INDEX(Cal_Weeks[WeekStart],$P$7+9)</f>
        <v/>
      </c>
      <c r="R11" s="12">
        <f>INDEX(Cal_Weeks[WeekStart],$P$7+10)</f>
        <v/>
      </c>
      <c r="S11" s="12">
        <f>INDEX(Cal_Weeks[WeekStart],$P$7+11)</f>
        <v/>
      </c>
      <c r="T11" s="12">
        <f>INDEX(Cal_Weeks[WeekStart],$P$7+12)</f>
        <v/>
      </c>
      <c r="U11" s="10" t="n"/>
    </row>
    <row r="12">
      <c r="B12" s="10" t="n"/>
      <c r="C12" s="10" t="n"/>
      <c r="D12" s="10" t="n"/>
      <c r="E12" s="10" t="n"/>
      <c r="F12" s="10" t="n"/>
      <c r="G12" s="10" t="n"/>
      <c r="H12" s="10">
        <f>INDEX(Cal_Weeks[WeekOfYear],$P$7+0)</f>
        <v/>
      </c>
      <c r="I12" s="10">
        <f>INDEX(Cal_Weeks[WeekOfYear],$P$7+1)</f>
        <v/>
      </c>
      <c r="J12" s="10">
        <f>INDEX(Cal_Weeks[WeekOfYear],$P$7+2)</f>
        <v/>
      </c>
      <c r="K12" s="10">
        <f>INDEX(Cal_Weeks[WeekOfYear],$P$7+3)</f>
        <v/>
      </c>
      <c r="L12" s="10">
        <f>INDEX(Cal_Weeks[WeekOfYear],$P$7+4)</f>
        <v/>
      </c>
      <c r="M12" s="10">
        <f>INDEX(Cal_Weeks[WeekOfYear],$P$7+5)</f>
        <v/>
      </c>
      <c r="N12" s="10">
        <f>INDEX(Cal_Weeks[WeekOfYear],$P$7+6)</f>
        <v/>
      </c>
      <c r="O12" s="10">
        <f>INDEX(Cal_Weeks[WeekOfYear],$P$7+7)</f>
        <v/>
      </c>
      <c r="P12" s="10">
        <f>INDEX(Cal_Weeks[WeekOfYear],$P$7+8)</f>
        <v/>
      </c>
      <c r="Q12" s="10">
        <f>INDEX(Cal_Weeks[WeekOfYear],$P$7+9)</f>
        <v/>
      </c>
      <c r="R12" s="10">
        <f>INDEX(Cal_Weeks[WeekOfYear],$P$7+10)</f>
        <v/>
      </c>
      <c r="S12" s="10">
        <f>INDEX(Cal_Weeks[WeekOfYear],$P$7+11)</f>
        <v/>
      </c>
      <c r="T12" s="10">
        <f>INDEX(Cal_Weeks[WeekOfYear],$P$7+12)</f>
        <v/>
      </c>
      <c r="U12" s="10" t="n"/>
    </row>
    <row r="13">
      <c r="B13" s="10" t="n"/>
      <c r="C13" s="10" t="n"/>
      <c r="D13" s="10" t="n"/>
      <c r="E13" s="10" t="n"/>
      <c r="F13" s="10" t="n"/>
      <c r="G13" s="10" t="n"/>
      <c r="H13" s="10">
        <f>IF(INDEX(Cal_Weeks[MonthYearLabel],$P$7+0)=INDEX(Cal_Weeks[MonthYearLabel],$P$7),"Firm","Forecast")</f>
        <v/>
      </c>
      <c r="I13" s="10">
        <f>IF(INDEX(Cal_Weeks[MonthYearLabel],$P$7+1)=INDEX(Cal_Weeks[MonthYearLabel],$P$7),"Firm","Forecast")</f>
        <v/>
      </c>
      <c r="J13" s="10">
        <f>IF(INDEX(Cal_Weeks[MonthYearLabel],$P$7+2)=INDEX(Cal_Weeks[MonthYearLabel],$P$7),"Firm","Forecast")</f>
        <v/>
      </c>
      <c r="K13" s="10">
        <f>IF(INDEX(Cal_Weeks[MonthYearLabel],$P$7+3)=INDEX(Cal_Weeks[MonthYearLabel],$P$7),"Firm","Forecast")</f>
        <v/>
      </c>
      <c r="L13" s="10">
        <f>IF(INDEX(Cal_Weeks[MonthYearLabel],$P$7+4)=INDEX(Cal_Weeks[MonthYearLabel],$P$7),"Firm","Forecast")</f>
        <v/>
      </c>
      <c r="M13" s="10">
        <f>IF(INDEX(Cal_Weeks[MonthYearLabel],$P$7+5)=INDEX(Cal_Weeks[MonthYearLabel],$P$7),"Firm","Forecast")</f>
        <v/>
      </c>
      <c r="N13" s="10">
        <f>IF(INDEX(Cal_Weeks[MonthYearLabel],$P$7+6)=INDEX(Cal_Weeks[MonthYearLabel],$P$7),"Firm","Forecast")</f>
        <v/>
      </c>
      <c r="O13" s="10">
        <f>IF(INDEX(Cal_Weeks[MonthYearLabel],$P$7+7)=INDEX(Cal_Weeks[MonthYearLabel],$P$7),"Firm","Forecast")</f>
        <v/>
      </c>
      <c r="P13" s="10">
        <f>IF(INDEX(Cal_Weeks[MonthYearLabel],$P$7+8)=INDEX(Cal_Weeks[MonthYearLabel],$P$7),"Firm","Forecast")</f>
        <v/>
      </c>
      <c r="Q13" s="10">
        <f>IF(INDEX(Cal_Weeks[MonthYearLabel],$P$7+9)=INDEX(Cal_Weeks[MonthYearLabel],$P$7),"Firm","Forecast")</f>
        <v/>
      </c>
      <c r="R13" s="10">
        <f>IF(INDEX(Cal_Weeks[MonthYearLabel],$P$7+10)=INDEX(Cal_Weeks[MonthYearLabel],$P$7),"Firm","Forecast")</f>
        <v/>
      </c>
      <c r="S13" s="10">
        <f>IF(INDEX(Cal_Weeks[MonthYearLabel],$P$7+11)=INDEX(Cal_Weeks[MonthYearLabel],$P$7),"Firm","Forecast")</f>
        <v/>
      </c>
      <c r="T13" s="10">
        <f>IF(INDEX(Cal_Weeks[MonthYearLabel],$P$7+12)=INDEX(Cal_Weeks[MonthYearLabel],$P$7),"Firm","Forecast")</f>
        <v/>
      </c>
      <c r="U13" s="10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5">
        <f>IFERROR(INDEX(M_RawMaterials[Description],MATCH("CHEM-1660",M_RawMaterials[RM_Code],0)),"")</f>
        <v/>
      </c>
      <c r="C15" s="15" t="inlineStr">
        <is>
          <t>71288627101</t>
        </is>
      </c>
      <c r="D15" s="15" t="inlineStr">
        <is>
          <t>CHEM-1660</t>
        </is>
      </c>
      <c r="E15" s="15" t="inlineStr">
        <is>
          <t>kg</t>
        </is>
      </c>
      <c r="F15" s="15">
        <f>IFERROR(INDEX(M_RawMaterials[SafetyStock_Qty_要入力],MATCH("CHEM-1660",M_RawMaterials[RM_Code],0)),0)</f>
        <v/>
      </c>
      <c r="G15" s="15">
        <f>INDEX(Grid_Stock[#Data],20,$P$7)</f>
        <v/>
      </c>
      <c r="H15" s="15">
        <f>MAX(0,$F15-INDEX(Grid_Stock[#Data],20,$P$7+0))</f>
        <v/>
      </c>
      <c r="I15" s="15">
        <f>MAX(0,$F15-INDEX(Grid_Stock[#Data],20,$P$7+1))</f>
        <v/>
      </c>
      <c r="J15" s="15">
        <f>MAX(0,$F15-INDEX(Grid_Stock[#Data],20,$P$7+2))</f>
        <v/>
      </c>
      <c r="K15" s="15">
        <f>MAX(0,$F15-INDEX(Grid_Stock[#Data],20,$P$7+3))</f>
        <v/>
      </c>
      <c r="L15" s="15">
        <f>MAX(0,$F15-INDEX(Grid_Stock[#Data],20,$P$7+4))</f>
        <v/>
      </c>
      <c r="M15" s="15">
        <f>MAX(0,$F15-INDEX(Grid_Stock[#Data],20,$P$7+5))</f>
        <v/>
      </c>
      <c r="N15" s="15">
        <f>MAX(0,$F15-INDEX(Grid_Stock[#Data],20,$P$7+6))</f>
        <v/>
      </c>
      <c r="O15" s="15">
        <f>MAX(0,$F15-INDEX(Grid_Stock[#Data],20,$P$7+7))</f>
        <v/>
      </c>
      <c r="P15" s="15">
        <f>MAX(0,$F15-INDEX(Grid_Stock[#Data],20,$P$7+8))</f>
        <v/>
      </c>
      <c r="Q15" s="15">
        <f>MAX(0,$F15-INDEX(Grid_Stock[#Data],20,$P$7+9))</f>
        <v/>
      </c>
      <c r="R15" s="15">
        <f>MAX(0,$F15-INDEX(Grid_Stock[#Data],20,$P$7+10))</f>
        <v/>
      </c>
      <c r="S15" s="15">
        <f>MAX(0,$F15-INDEX(Grid_Stock[#Data],20,$P$7+11))</f>
        <v/>
      </c>
      <c r="T15" s="15">
        <f>MAX(0,$F15-INDEX(Grid_Stock[#Data],20,$P$7+12))</f>
        <v/>
      </c>
      <c r="U15" s="15">
        <f>SUM(H15:T15)</f>
        <v/>
      </c>
    </row>
    <row r="16">
      <c r="B16" s="17">
        <f>IFERROR(INDEX(M_RawMaterials[Description],MATCH("CHEM-1280",M_RawMaterials[RM_Code],0)),"")</f>
        <v/>
      </c>
      <c r="C16" s="17" t="inlineStr">
        <is>
          <t>83988002202</t>
        </is>
      </c>
      <c r="D16" s="17" t="inlineStr">
        <is>
          <t>CHEM-1280</t>
        </is>
      </c>
      <c r="E16" s="17" t="inlineStr">
        <is>
          <t>kg</t>
        </is>
      </c>
      <c r="F16" s="17">
        <f>IFERROR(INDEX(M_RawMaterials[SafetyStock_Qty_要入力],MATCH("CHEM-1280",M_RawMaterials[RM_Code],0)),0)</f>
        <v/>
      </c>
      <c r="G16" s="17">
        <f>INDEX(Grid_Stock[#Data],22,$P$7)</f>
        <v/>
      </c>
      <c r="H16" s="17">
        <f>MAX(0,$F16-INDEX(Grid_Stock[#Data],22,$P$7+0))</f>
        <v/>
      </c>
      <c r="I16" s="17">
        <f>MAX(0,$F16-INDEX(Grid_Stock[#Data],22,$P$7+1))</f>
        <v/>
      </c>
      <c r="J16" s="17">
        <f>MAX(0,$F16-INDEX(Grid_Stock[#Data],22,$P$7+2))</f>
        <v/>
      </c>
      <c r="K16" s="17">
        <f>MAX(0,$F16-INDEX(Grid_Stock[#Data],22,$P$7+3))</f>
        <v/>
      </c>
      <c r="L16" s="17">
        <f>MAX(0,$F16-INDEX(Grid_Stock[#Data],22,$P$7+4))</f>
        <v/>
      </c>
      <c r="M16" s="17">
        <f>MAX(0,$F16-INDEX(Grid_Stock[#Data],22,$P$7+5))</f>
        <v/>
      </c>
      <c r="N16" s="17">
        <f>MAX(0,$F16-INDEX(Grid_Stock[#Data],22,$P$7+6))</f>
        <v/>
      </c>
      <c r="O16" s="17">
        <f>MAX(0,$F16-INDEX(Grid_Stock[#Data],22,$P$7+7))</f>
        <v/>
      </c>
      <c r="P16" s="17">
        <f>MAX(0,$F16-INDEX(Grid_Stock[#Data],22,$P$7+8))</f>
        <v/>
      </c>
      <c r="Q16" s="17">
        <f>MAX(0,$F16-INDEX(Grid_Stock[#Data],22,$P$7+9))</f>
        <v/>
      </c>
      <c r="R16" s="17">
        <f>MAX(0,$F16-INDEX(Grid_Stock[#Data],22,$P$7+10))</f>
        <v/>
      </c>
      <c r="S16" s="17">
        <f>MAX(0,$F16-INDEX(Grid_Stock[#Data],22,$P$7+11))</f>
        <v/>
      </c>
      <c r="T16" s="17">
        <f>MAX(0,$F16-INDEX(Grid_Stock[#Data],22,$P$7+12))</f>
        <v/>
      </c>
      <c r="U16" s="17">
        <f>SUM(H16:T16)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2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46223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31</v>
      </c>
    </row>
    <row r="8">
      <c r="B8" s="2" t="inlineStr">
        <is>
          <t>Substrates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10" t="n"/>
      <c r="C11" s="10" t="n"/>
      <c r="D11" s="10" t="n"/>
      <c r="E11" s="10" t="n"/>
      <c r="F11" s="10" t="n"/>
      <c r="G11" s="10" t="n"/>
      <c r="H11" s="12">
        <f>INDEX(Cal_Weeks[WeekStart],$P$7+0)</f>
        <v/>
      </c>
      <c r="I11" s="12">
        <f>INDEX(Cal_Weeks[WeekStart],$P$7+1)</f>
        <v/>
      </c>
      <c r="J11" s="12">
        <f>INDEX(Cal_Weeks[WeekStart],$P$7+2)</f>
        <v/>
      </c>
      <c r="K11" s="12">
        <f>INDEX(Cal_Weeks[WeekStart],$P$7+3)</f>
        <v/>
      </c>
      <c r="L11" s="12">
        <f>INDEX(Cal_Weeks[WeekStart],$P$7+4)</f>
        <v/>
      </c>
      <c r="M11" s="12">
        <f>INDEX(Cal_Weeks[WeekStart],$P$7+5)</f>
        <v/>
      </c>
      <c r="N11" s="12">
        <f>INDEX(Cal_Weeks[WeekStart],$P$7+6)</f>
        <v/>
      </c>
      <c r="O11" s="12">
        <f>INDEX(Cal_Weeks[WeekStart],$P$7+7)</f>
        <v/>
      </c>
      <c r="P11" s="12">
        <f>INDEX(Cal_Weeks[WeekStart],$P$7+8)</f>
        <v/>
      </c>
      <c r="Q11" s="12">
        <f>INDEX(Cal_Weeks[WeekStart],$P$7+9)</f>
        <v/>
      </c>
      <c r="R11" s="12">
        <f>INDEX(Cal_Weeks[WeekStart],$P$7+10)</f>
        <v/>
      </c>
      <c r="S11" s="12">
        <f>INDEX(Cal_Weeks[WeekStart],$P$7+11)</f>
        <v/>
      </c>
      <c r="T11" s="12">
        <f>INDEX(Cal_Weeks[WeekStart],$P$7+12)</f>
        <v/>
      </c>
      <c r="U11" s="10" t="n"/>
    </row>
    <row r="12">
      <c r="B12" s="10" t="n"/>
      <c r="C12" s="10" t="n"/>
      <c r="D12" s="10" t="n"/>
      <c r="E12" s="10" t="n"/>
      <c r="F12" s="10" t="n"/>
      <c r="G12" s="10" t="n"/>
      <c r="H12" s="10">
        <f>INDEX(Cal_Weeks[WeekOfYear],$P$7+0)</f>
        <v/>
      </c>
      <c r="I12" s="10">
        <f>INDEX(Cal_Weeks[WeekOfYear],$P$7+1)</f>
        <v/>
      </c>
      <c r="J12" s="10">
        <f>INDEX(Cal_Weeks[WeekOfYear],$P$7+2)</f>
        <v/>
      </c>
      <c r="K12" s="10">
        <f>INDEX(Cal_Weeks[WeekOfYear],$P$7+3)</f>
        <v/>
      </c>
      <c r="L12" s="10">
        <f>INDEX(Cal_Weeks[WeekOfYear],$P$7+4)</f>
        <v/>
      </c>
      <c r="M12" s="10">
        <f>INDEX(Cal_Weeks[WeekOfYear],$P$7+5)</f>
        <v/>
      </c>
      <c r="N12" s="10">
        <f>INDEX(Cal_Weeks[WeekOfYear],$P$7+6)</f>
        <v/>
      </c>
      <c r="O12" s="10">
        <f>INDEX(Cal_Weeks[WeekOfYear],$P$7+7)</f>
        <v/>
      </c>
      <c r="P12" s="10">
        <f>INDEX(Cal_Weeks[WeekOfYear],$P$7+8)</f>
        <v/>
      </c>
      <c r="Q12" s="10">
        <f>INDEX(Cal_Weeks[WeekOfYear],$P$7+9)</f>
        <v/>
      </c>
      <c r="R12" s="10">
        <f>INDEX(Cal_Weeks[WeekOfYear],$P$7+10)</f>
        <v/>
      </c>
      <c r="S12" s="10">
        <f>INDEX(Cal_Weeks[WeekOfYear],$P$7+11)</f>
        <v/>
      </c>
      <c r="T12" s="10">
        <f>INDEX(Cal_Weeks[WeekOfYear],$P$7+12)</f>
        <v/>
      </c>
      <c r="U12" s="10" t="n"/>
    </row>
    <row r="13">
      <c r="B13" s="10" t="n"/>
      <c r="C13" s="10" t="n"/>
      <c r="D13" s="10" t="n"/>
      <c r="E13" s="10" t="n"/>
      <c r="F13" s="10" t="n"/>
      <c r="G13" s="10" t="n"/>
      <c r="H13" s="10">
        <f>IF(INDEX(Cal_Weeks[MonthYearLabel],$P$7+0)=INDEX(Cal_Weeks[MonthYearLabel],$P$7),"Firm","Forecast")</f>
        <v/>
      </c>
      <c r="I13" s="10">
        <f>IF(INDEX(Cal_Weeks[MonthYearLabel],$P$7+1)=INDEX(Cal_Weeks[MonthYearLabel],$P$7),"Firm","Forecast")</f>
        <v/>
      </c>
      <c r="J13" s="10">
        <f>IF(INDEX(Cal_Weeks[MonthYearLabel],$P$7+2)=INDEX(Cal_Weeks[MonthYearLabel],$P$7),"Firm","Forecast")</f>
        <v/>
      </c>
      <c r="K13" s="10">
        <f>IF(INDEX(Cal_Weeks[MonthYearLabel],$P$7+3)=INDEX(Cal_Weeks[MonthYearLabel],$P$7),"Firm","Forecast")</f>
        <v/>
      </c>
      <c r="L13" s="10">
        <f>IF(INDEX(Cal_Weeks[MonthYearLabel],$P$7+4)=INDEX(Cal_Weeks[MonthYearLabel],$P$7),"Firm","Forecast")</f>
        <v/>
      </c>
      <c r="M13" s="10">
        <f>IF(INDEX(Cal_Weeks[MonthYearLabel],$P$7+5)=INDEX(Cal_Weeks[MonthYearLabel],$P$7),"Firm","Forecast")</f>
        <v/>
      </c>
      <c r="N13" s="10">
        <f>IF(INDEX(Cal_Weeks[MonthYearLabel],$P$7+6)=INDEX(Cal_Weeks[MonthYearLabel],$P$7),"Firm","Forecast")</f>
        <v/>
      </c>
      <c r="O13" s="10">
        <f>IF(INDEX(Cal_Weeks[MonthYearLabel],$P$7+7)=INDEX(Cal_Weeks[MonthYearLabel],$P$7),"Firm","Forecast")</f>
        <v/>
      </c>
      <c r="P13" s="10">
        <f>IF(INDEX(Cal_Weeks[MonthYearLabel],$P$7+8)=INDEX(Cal_Weeks[MonthYearLabel],$P$7),"Firm","Forecast")</f>
        <v/>
      </c>
      <c r="Q13" s="10">
        <f>IF(INDEX(Cal_Weeks[MonthYearLabel],$P$7+9)=INDEX(Cal_Weeks[MonthYearLabel],$P$7),"Firm","Forecast")</f>
        <v/>
      </c>
      <c r="R13" s="10">
        <f>IF(INDEX(Cal_Weeks[MonthYearLabel],$P$7+10)=INDEX(Cal_Weeks[MonthYearLabel],$P$7),"Firm","Forecast")</f>
        <v/>
      </c>
      <c r="S13" s="10">
        <f>IF(INDEX(Cal_Weeks[MonthYearLabel],$P$7+11)=INDEX(Cal_Weeks[MonthYearLabel],$P$7),"Firm","Forecast")</f>
        <v/>
      </c>
      <c r="T13" s="10">
        <f>IF(INDEX(Cal_Weeks[MonthYearLabel],$P$7+12)=INDEX(Cal_Weeks[MonthYearLabel],$P$7),"Firm","Forecast")</f>
        <v/>
      </c>
      <c r="U13" s="10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5">
        <f>IFERROR(INDEX(M_RawMaterials[Description],MATCH("9RN",M_RawMaterials[RM_Code],0)),"")</f>
        <v/>
      </c>
      <c r="C15" s="15" t="inlineStr">
        <is>
          <t>1846515030 ( 4FK13117080Z)</t>
        </is>
      </c>
      <c r="D15" s="15" t="inlineStr">
        <is>
          <t>9RN</t>
        </is>
      </c>
      <c r="E15" s="15" t="inlineStr">
        <is>
          <t>kg</t>
        </is>
      </c>
      <c r="F15" s="15">
        <f>IFERROR(INDEX(M_RawMaterials[SafetyStock_Qty_要入力],MATCH("9RN",M_RawMaterials[RM_Code],0)),0)</f>
        <v/>
      </c>
      <c r="G15" s="15">
        <f>INDEX(Grid_Stock[#Data],14,$P$7)</f>
        <v/>
      </c>
      <c r="H15" s="15">
        <f>MAX(0,$F15-INDEX(Grid_Stock[#Data],14,$P$7+0))</f>
        <v/>
      </c>
      <c r="I15" s="15">
        <f>MAX(0,$F15-INDEX(Grid_Stock[#Data],14,$P$7+1))</f>
        <v/>
      </c>
      <c r="J15" s="15">
        <f>MAX(0,$F15-INDEX(Grid_Stock[#Data],14,$P$7+2))</f>
        <v/>
      </c>
      <c r="K15" s="15">
        <f>MAX(0,$F15-INDEX(Grid_Stock[#Data],14,$P$7+3))</f>
        <v/>
      </c>
      <c r="L15" s="15">
        <f>MAX(0,$F15-INDEX(Grid_Stock[#Data],14,$P$7+4))</f>
        <v/>
      </c>
      <c r="M15" s="15">
        <f>MAX(0,$F15-INDEX(Grid_Stock[#Data],14,$P$7+5))</f>
        <v/>
      </c>
      <c r="N15" s="15">
        <f>MAX(0,$F15-INDEX(Grid_Stock[#Data],14,$P$7+6))</f>
        <v/>
      </c>
      <c r="O15" s="15">
        <f>MAX(0,$F15-INDEX(Grid_Stock[#Data],14,$P$7+7))</f>
        <v/>
      </c>
      <c r="P15" s="15">
        <f>MAX(0,$F15-INDEX(Grid_Stock[#Data],14,$P$7+8))</f>
        <v/>
      </c>
      <c r="Q15" s="15">
        <f>MAX(0,$F15-INDEX(Grid_Stock[#Data],14,$P$7+9))</f>
        <v/>
      </c>
      <c r="R15" s="15">
        <f>MAX(0,$F15-INDEX(Grid_Stock[#Data],14,$P$7+10))</f>
        <v/>
      </c>
      <c r="S15" s="15">
        <f>MAX(0,$F15-INDEX(Grid_Stock[#Data],14,$P$7+11))</f>
        <v/>
      </c>
      <c r="T15" s="15">
        <f>MAX(0,$F15-INDEX(Grid_Stock[#Data],14,$P$7+12))</f>
        <v/>
      </c>
      <c r="U15" s="15">
        <f>SUM(H15:T15)</f>
        <v/>
      </c>
    </row>
    <row r="16">
      <c r="B16" s="17">
        <f>IFERROR(INDEX(M_RawMaterials[Description],MATCH("7EP",M_RawMaterials[RM_Code],0)),"")</f>
        <v/>
      </c>
      <c r="C16" s="17" t="inlineStr">
        <is>
          <t>1846540040 ( 4FK13093100Z)</t>
        </is>
      </c>
      <c r="D16" s="17" t="inlineStr">
        <is>
          <t>7EP</t>
        </is>
      </c>
      <c r="E16" s="17" t="inlineStr">
        <is>
          <t>kg</t>
        </is>
      </c>
      <c r="F16" s="17">
        <f>IFERROR(INDEX(M_RawMaterials[SafetyStock_Qty_要入力],MATCH("7EP",M_RawMaterials[RM_Code],0)),0)</f>
        <v/>
      </c>
      <c r="G16" s="17">
        <f>INDEX(Grid_Stock[#Data],15,$P$7)</f>
        <v/>
      </c>
      <c r="H16" s="17">
        <f>MAX(0,$F16-INDEX(Grid_Stock[#Data],15,$P$7+0))</f>
        <v/>
      </c>
      <c r="I16" s="17">
        <f>MAX(0,$F16-INDEX(Grid_Stock[#Data],15,$P$7+1))</f>
        <v/>
      </c>
      <c r="J16" s="17">
        <f>MAX(0,$F16-INDEX(Grid_Stock[#Data],15,$P$7+2))</f>
        <v/>
      </c>
      <c r="K16" s="17">
        <f>MAX(0,$F16-INDEX(Grid_Stock[#Data],15,$P$7+3))</f>
        <v/>
      </c>
      <c r="L16" s="17">
        <f>MAX(0,$F16-INDEX(Grid_Stock[#Data],15,$P$7+4))</f>
        <v/>
      </c>
      <c r="M16" s="17">
        <f>MAX(0,$F16-INDEX(Grid_Stock[#Data],15,$P$7+5))</f>
        <v/>
      </c>
      <c r="N16" s="17">
        <f>MAX(0,$F16-INDEX(Grid_Stock[#Data],15,$P$7+6))</f>
        <v/>
      </c>
      <c r="O16" s="17">
        <f>MAX(0,$F16-INDEX(Grid_Stock[#Data],15,$P$7+7))</f>
        <v/>
      </c>
      <c r="P16" s="17">
        <f>MAX(0,$F16-INDEX(Grid_Stock[#Data],15,$P$7+8))</f>
        <v/>
      </c>
      <c r="Q16" s="17">
        <f>MAX(0,$F16-INDEX(Grid_Stock[#Data],15,$P$7+9))</f>
        <v/>
      </c>
      <c r="R16" s="17">
        <f>MAX(0,$F16-INDEX(Grid_Stock[#Data],15,$P$7+10))</f>
        <v/>
      </c>
      <c r="S16" s="17">
        <f>MAX(0,$F16-INDEX(Grid_Stock[#Data],15,$P$7+11))</f>
        <v/>
      </c>
      <c r="T16" s="17">
        <f>MAX(0,$F16-INDEX(Grid_Stock[#Data],15,$P$7+12))</f>
        <v/>
      </c>
      <c r="U16" s="17">
        <f>SUM(H16:T16)</f>
        <v/>
      </c>
    </row>
    <row r="17">
      <c r="B17" s="15">
        <f>IFERROR(INDEX(M_RawMaterials[Description],MATCH("0JN",M_RawMaterials[RM_Code],0)),"")</f>
        <v/>
      </c>
      <c r="C17" s="15" t="inlineStr">
        <is>
          <t>KFD13117100</t>
        </is>
      </c>
      <c r="D17" s="15" t="inlineStr">
        <is>
          <t>0JN</t>
        </is>
      </c>
      <c r="E17" s="15" t="inlineStr">
        <is>
          <t>kg</t>
        </is>
      </c>
      <c r="F17" s="15">
        <f>IFERROR(INDEX(M_RawMaterials[SafetyStock_Qty_要入力],MATCH("0JN",M_RawMaterials[RM_Code],0)),0)</f>
        <v/>
      </c>
      <c r="G17" s="15">
        <f>INDEX(Grid_Stock[#Data],24,$P$7)</f>
        <v/>
      </c>
      <c r="H17" s="15">
        <f>MAX(0,$F17-INDEX(Grid_Stock[#Data],24,$P$7+0))</f>
        <v/>
      </c>
      <c r="I17" s="15">
        <f>MAX(0,$F17-INDEX(Grid_Stock[#Data],24,$P$7+1))</f>
        <v/>
      </c>
      <c r="J17" s="15">
        <f>MAX(0,$F17-INDEX(Grid_Stock[#Data],24,$P$7+2))</f>
        <v/>
      </c>
      <c r="K17" s="15">
        <f>MAX(0,$F17-INDEX(Grid_Stock[#Data],24,$P$7+3))</f>
        <v/>
      </c>
      <c r="L17" s="15">
        <f>MAX(0,$F17-INDEX(Grid_Stock[#Data],24,$P$7+4))</f>
        <v/>
      </c>
      <c r="M17" s="15">
        <f>MAX(0,$F17-INDEX(Grid_Stock[#Data],24,$P$7+5))</f>
        <v/>
      </c>
      <c r="N17" s="15">
        <f>MAX(0,$F17-INDEX(Grid_Stock[#Data],24,$P$7+6))</f>
        <v/>
      </c>
      <c r="O17" s="15">
        <f>MAX(0,$F17-INDEX(Grid_Stock[#Data],24,$P$7+7))</f>
        <v/>
      </c>
      <c r="P17" s="15">
        <f>MAX(0,$F17-INDEX(Grid_Stock[#Data],24,$P$7+8))</f>
        <v/>
      </c>
      <c r="Q17" s="15">
        <f>MAX(0,$F17-INDEX(Grid_Stock[#Data],24,$P$7+9))</f>
        <v/>
      </c>
      <c r="R17" s="15">
        <f>MAX(0,$F17-INDEX(Grid_Stock[#Data],24,$P$7+10))</f>
        <v/>
      </c>
      <c r="S17" s="15">
        <f>MAX(0,$F17-INDEX(Grid_Stock[#Data],24,$P$7+11))</f>
        <v/>
      </c>
      <c r="T17" s="15">
        <f>MAX(0,$F17-INDEX(Grid_Stock[#Data],24,$P$7+12))</f>
        <v/>
      </c>
      <c r="U17" s="15">
        <f>SUM(H17:T17)</f>
        <v/>
      </c>
    </row>
    <row r="18">
      <c r="B18" s="17">
        <f>IFERROR(INDEX(M_RawMaterials[Description],MATCH("TDJ",M_RawMaterials[RM_Code],0)),"")</f>
        <v/>
      </c>
      <c r="C18" s="17" t="inlineStr">
        <is>
          <t>1846537010</t>
        </is>
      </c>
      <c r="D18" s="17" t="inlineStr">
        <is>
          <t>TDJ</t>
        </is>
      </c>
      <c r="E18" s="17" t="inlineStr">
        <is>
          <t>kg</t>
        </is>
      </c>
      <c r="F18" s="17">
        <f>IFERROR(INDEX(M_RawMaterials[SafetyStock_Qty_要入力],MATCH("TDJ",M_RawMaterials[RM_Code],0)),0)</f>
        <v/>
      </c>
      <c r="G18" s="17">
        <f>INDEX(Grid_Stock[#Data],40,$P$7)</f>
        <v/>
      </c>
      <c r="H18" s="17">
        <f>MAX(0,$F18-INDEX(Grid_Stock[#Data],40,$P$7+0))</f>
        <v/>
      </c>
      <c r="I18" s="17">
        <f>MAX(0,$F18-INDEX(Grid_Stock[#Data],40,$P$7+1))</f>
        <v/>
      </c>
      <c r="J18" s="17">
        <f>MAX(0,$F18-INDEX(Grid_Stock[#Data],40,$P$7+2))</f>
        <v/>
      </c>
      <c r="K18" s="17">
        <f>MAX(0,$F18-INDEX(Grid_Stock[#Data],40,$P$7+3))</f>
        <v/>
      </c>
      <c r="L18" s="17">
        <f>MAX(0,$F18-INDEX(Grid_Stock[#Data],40,$P$7+4))</f>
        <v/>
      </c>
      <c r="M18" s="17">
        <f>MAX(0,$F18-INDEX(Grid_Stock[#Data],40,$P$7+5))</f>
        <v/>
      </c>
      <c r="N18" s="17">
        <f>MAX(0,$F18-INDEX(Grid_Stock[#Data],40,$P$7+6))</f>
        <v/>
      </c>
      <c r="O18" s="17">
        <f>MAX(0,$F18-INDEX(Grid_Stock[#Data],40,$P$7+7))</f>
        <v/>
      </c>
      <c r="P18" s="17">
        <f>MAX(0,$F18-INDEX(Grid_Stock[#Data],40,$P$7+8))</f>
        <v/>
      </c>
      <c r="Q18" s="17">
        <f>MAX(0,$F18-INDEX(Grid_Stock[#Data],40,$P$7+9))</f>
        <v/>
      </c>
      <c r="R18" s="17">
        <f>MAX(0,$F18-INDEX(Grid_Stock[#Data],40,$P$7+10))</f>
        <v/>
      </c>
      <c r="S18" s="17">
        <f>MAX(0,$F18-INDEX(Grid_Stock[#Data],40,$P$7+11))</f>
        <v/>
      </c>
      <c r="T18" s="17">
        <f>MAX(0,$F18-INDEX(Grid_Stock[#Data],40,$P$7+12))</f>
        <v/>
      </c>
      <c r="U18" s="17">
        <f>SUM(H18:T18)</f>
        <v/>
      </c>
    </row>
    <row r="19">
      <c r="B19" s="15">
        <f>IFERROR(INDEX(M_RawMaterials[Description],MATCH("Ester Film",M_RawMaterials[RM_Code],0)),"")</f>
        <v/>
      </c>
      <c r="C19" s="15" t="inlineStr"/>
      <c r="D19" s="15" t="inlineStr">
        <is>
          <t>Ester Film</t>
        </is>
      </c>
      <c r="E19" s="15" t="inlineStr">
        <is>
          <t>kg</t>
        </is>
      </c>
      <c r="F19" s="15">
        <f>IFERROR(INDEX(M_RawMaterials[SafetyStock_Qty_要入力],MATCH("Ester Film",M_RawMaterials[RM_Code],0)),0)</f>
        <v/>
      </c>
      <c r="G19" s="15">
        <f>INDEX(Grid_Stock[#Data],61,$P$7)</f>
        <v/>
      </c>
      <c r="H19" s="15">
        <f>MAX(0,$F19-INDEX(Grid_Stock[#Data],61,$P$7+0))</f>
        <v/>
      </c>
      <c r="I19" s="15">
        <f>MAX(0,$F19-INDEX(Grid_Stock[#Data],61,$P$7+1))</f>
        <v/>
      </c>
      <c r="J19" s="15">
        <f>MAX(0,$F19-INDEX(Grid_Stock[#Data],61,$P$7+2))</f>
        <v/>
      </c>
      <c r="K19" s="15">
        <f>MAX(0,$F19-INDEX(Grid_Stock[#Data],61,$P$7+3))</f>
        <v/>
      </c>
      <c r="L19" s="15">
        <f>MAX(0,$F19-INDEX(Grid_Stock[#Data],61,$P$7+4))</f>
        <v/>
      </c>
      <c r="M19" s="15">
        <f>MAX(0,$F19-INDEX(Grid_Stock[#Data],61,$P$7+5))</f>
        <v/>
      </c>
      <c r="N19" s="15">
        <f>MAX(0,$F19-INDEX(Grid_Stock[#Data],61,$P$7+6))</f>
        <v/>
      </c>
      <c r="O19" s="15">
        <f>MAX(0,$F19-INDEX(Grid_Stock[#Data],61,$P$7+7))</f>
        <v/>
      </c>
      <c r="P19" s="15">
        <f>MAX(0,$F19-INDEX(Grid_Stock[#Data],61,$P$7+8))</f>
        <v/>
      </c>
      <c r="Q19" s="15">
        <f>MAX(0,$F19-INDEX(Grid_Stock[#Data],61,$P$7+9))</f>
        <v/>
      </c>
      <c r="R19" s="15">
        <f>MAX(0,$F19-INDEX(Grid_Stock[#Data],61,$P$7+10))</f>
        <v/>
      </c>
      <c r="S19" s="15">
        <f>MAX(0,$F19-INDEX(Grid_Stock[#Data],61,$P$7+11))</f>
        <v/>
      </c>
      <c r="T19" s="15">
        <f>MAX(0,$F19-INDEX(Grid_Stock[#Data],61,$P$7+12))</f>
        <v/>
      </c>
      <c r="U19" s="15">
        <f>SUM(H19:T19)</f>
        <v/>
      </c>
    </row>
    <row r="20">
      <c r="B20" s="17">
        <f>IFERROR(INDEX(M_RawMaterials[Description],MATCH("PP Film",M_RawMaterials[RM_Code],0)),"")</f>
        <v/>
      </c>
      <c r="C20" s="17" t="inlineStr"/>
      <c r="D20" s="17" t="inlineStr">
        <is>
          <t>PP Film</t>
        </is>
      </c>
      <c r="E20" s="17" t="inlineStr">
        <is>
          <t>kg</t>
        </is>
      </c>
      <c r="F20" s="17">
        <f>IFERROR(INDEX(M_RawMaterials[SafetyStock_Qty_要入力],MATCH("PP Film",M_RawMaterials[RM_Code],0)),0)</f>
        <v/>
      </c>
      <c r="G20" s="17">
        <f>INDEX(Grid_Stock[#Data],62,$P$7)</f>
        <v/>
      </c>
      <c r="H20" s="17">
        <f>MAX(0,$F20-INDEX(Grid_Stock[#Data],62,$P$7+0))</f>
        <v/>
      </c>
      <c r="I20" s="17">
        <f>MAX(0,$F20-INDEX(Grid_Stock[#Data],62,$P$7+1))</f>
        <v/>
      </c>
      <c r="J20" s="17">
        <f>MAX(0,$F20-INDEX(Grid_Stock[#Data],62,$P$7+2))</f>
        <v/>
      </c>
      <c r="K20" s="17">
        <f>MAX(0,$F20-INDEX(Grid_Stock[#Data],62,$P$7+3))</f>
        <v/>
      </c>
      <c r="L20" s="17">
        <f>MAX(0,$F20-INDEX(Grid_Stock[#Data],62,$P$7+4))</f>
        <v/>
      </c>
      <c r="M20" s="17">
        <f>MAX(0,$F20-INDEX(Grid_Stock[#Data],62,$P$7+5))</f>
        <v/>
      </c>
      <c r="N20" s="17">
        <f>MAX(0,$F20-INDEX(Grid_Stock[#Data],62,$P$7+6))</f>
        <v/>
      </c>
      <c r="O20" s="17">
        <f>MAX(0,$F20-INDEX(Grid_Stock[#Data],62,$P$7+7))</f>
        <v/>
      </c>
      <c r="P20" s="17">
        <f>MAX(0,$F20-INDEX(Grid_Stock[#Data],62,$P$7+8))</f>
        <v/>
      </c>
      <c r="Q20" s="17">
        <f>MAX(0,$F20-INDEX(Grid_Stock[#Data],62,$P$7+9))</f>
        <v/>
      </c>
      <c r="R20" s="17">
        <f>MAX(0,$F20-INDEX(Grid_Stock[#Data],62,$P$7+10))</f>
        <v/>
      </c>
      <c r="S20" s="17">
        <f>MAX(0,$F20-INDEX(Grid_Stock[#Data],62,$P$7+11))</f>
        <v/>
      </c>
      <c r="T20" s="17">
        <f>MAX(0,$F20-INDEX(Grid_Stock[#Data],62,$P$7+12))</f>
        <v/>
      </c>
      <c r="U20" s="17">
        <f>SUM(H20:T20)</f>
        <v/>
      </c>
    </row>
    <row r="21">
      <c r="B21" s="15">
        <f>IFERROR(INDEX(M_RawMaterials[Description],MATCH("5SN",M_RawMaterials[RM_Code],0)),"")</f>
        <v/>
      </c>
      <c r="C21" s="15" t="inlineStr"/>
      <c r="D21" s="15" t="inlineStr">
        <is>
          <t>5SN</t>
        </is>
      </c>
      <c r="E21" s="15" t="inlineStr">
        <is>
          <t>kg</t>
        </is>
      </c>
      <c r="F21" s="15">
        <f>IFERROR(INDEX(M_RawMaterials[SafetyStock_Qty_要入力],MATCH("5SN",M_RawMaterials[RM_Code],0)),0)</f>
        <v/>
      </c>
      <c r="G21" s="15">
        <f>INDEX(Grid_Stock[#Data],63,$P$7)</f>
        <v/>
      </c>
      <c r="H21" s="15">
        <f>MAX(0,$F21-INDEX(Grid_Stock[#Data],63,$P$7+0))</f>
        <v/>
      </c>
      <c r="I21" s="15">
        <f>MAX(0,$F21-INDEX(Grid_Stock[#Data],63,$P$7+1))</f>
        <v/>
      </c>
      <c r="J21" s="15">
        <f>MAX(0,$F21-INDEX(Grid_Stock[#Data],63,$P$7+2))</f>
        <v/>
      </c>
      <c r="K21" s="15">
        <f>MAX(0,$F21-INDEX(Grid_Stock[#Data],63,$P$7+3))</f>
        <v/>
      </c>
      <c r="L21" s="15">
        <f>MAX(0,$F21-INDEX(Grid_Stock[#Data],63,$P$7+4))</f>
        <v/>
      </c>
      <c r="M21" s="15">
        <f>MAX(0,$F21-INDEX(Grid_Stock[#Data],63,$P$7+5))</f>
        <v/>
      </c>
      <c r="N21" s="15">
        <f>MAX(0,$F21-INDEX(Grid_Stock[#Data],63,$P$7+6))</f>
        <v/>
      </c>
      <c r="O21" s="15">
        <f>MAX(0,$F21-INDEX(Grid_Stock[#Data],63,$P$7+7))</f>
        <v/>
      </c>
      <c r="P21" s="15">
        <f>MAX(0,$F21-INDEX(Grid_Stock[#Data],63,$P$7+8))</f>
        <v/>
      </c>
      <c r="Q21" s="15">
        <f>MAX(0,$F21-INDEX(Grid_Stock[#Data],63,$P$7+9))</f>
        <v/>
      </c>
      <c r="R21" s="15">
        <f>MAX(0,$F21-INDEX(Grid_Stock[#Data],63,$P$7+10))</f>
        <v/>
      </c>
      <c r="S21" s="15">
        <f>MAX(0,$F21-INDEX(Grid_Stock[#Data],63,$P$7+11))</f>
        <v/>
      </c>
      <c r="T21" s="15">
        <f>MAX(0,$F21-INDEX(Grid_Stock[#Data],63,$P$7+12))</f>
        <v/>
      </c>
      <c r="U21" s="15">
        <f>SUM(H21:T21)</f>
        <v/>
      </c>
    </row>
    <row r="22">
      <c r="B22" s="17">
        <f>IFERROR(INDEX(M_RawMaterials[Description],MATCH("3TP",M_RawMaterials[RM_Code],0)),"")</f>
        <v/>
      </c>
      <c r="C22" s="17" t="inlineStr"/>
      <c r="D22" s="17" t="inlineStr">
        <is>
          <t>3TP</t>
        </is>
      </c>
      <c r="E22" s="17" t="inlineStr">
        <is>
          <t>kg</t>
        </is>
      </c>
      <c r="F22" s="17">
        <f>IFERROR(INDEX(M_RawMaterials[SafetyStock_Qty_要入力],MATCH("3TP",M_RawMaterials[RM_Code],0)),0)</f>
        <v/>
      </c>
      <c r="G22" s="17">
        <f>INDEX(Grid_Stock[#Data],67,$P$7)</f>
        <v/>
      </c>
      <c r="H22" s="17">
        <f>MAX(0,$F22-INDEX(Grid_Stock[#Data],67,$P$7+0))</f>
        <v/>
      </c>
      <c r="I22" s="17">
        <f>MAX(0,$F22-INDEX(Grid_Stock[#Data],67,$P$7+1))</f>
        <v/>
      </c>
      <c r="J22" s="17">
        <f>MAX(0,$F22-INDEX(Grid_Stock[#Data],67,$P$7+2))</f>
        <v/>
      </c>
      <c r="K22" s="17">
        <f>MAX(0,$F22-INDEX(Grid_Stock[#Data],67,$P$7+3))</f>
        <v/>
      </c>
      <c r="L22" s="17">
        <f>MAX(0,$F22-INDEX(Grid_Stock[#Data],67,$P$7+4))</f>
        <v/>
      </c>
      <c r="M22" s="17">
        <f>MAX(0,$F22-INDEX(Grid_Stock[#Data],67,$P$7+5))</f>
        <v/>
      </c>
      <c r="N22" s="17">
        <f>MAX(0,$F22-INDEX(Grid_Stock[#Data],67,$P$7+6))</f>
        <v/>
      </c>
      <c r="O22" s="17">
        <f>MAX(0,$F22-INDEX(Grid_Stock[#Data],67,$P$7+7))</f>
        <v/>
      </c>
      <c r="P22" s="17">
        <f>MAX(0,$F22-INDEX(Grid_Stock[#Data],67,$P$7+8))</f>
        <v/>
      </c>
      <c r="Q22" s="17">
        <f>MAX(0,$F22-INDEX(Grid_Stock[#Data],67,$P$7+9))</f>
        <v/>
      </c>
      <c r="R22" s="17">
        <f>MAX(0,$F22-INDEX(Grid_Stock[#Data],67,$P$7+10))</f>
        <v/>
      </c>
      <c r="S22" s="17">
        <f>MAX(0,$F22-INDEX(Grid_Stock[#Data],67,$P$7+11))</f>
        <v/>
      </c>
      <c r="T22" s="17">
        <f>MAX(0,$F22-INDEX(Grid_Stock[#Data],67,$P$7+12))</f>
        <v/>
      </c>
      <c r="U22" s="17">
        <f>SUM(H22:T22)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27" t="inlineStr">
        <is>
          <t>RM_Code</t>
        </is>
      </c>
      <c r="B1" s="27" t="inlineStr">
        <is>
          <t>PO_No</t>
        </is>
      </c>
      <c r="C1" s="27" t="inlineStr">
        <is>
          <t>Order_Date_発注日</t>
        </is>
      </c>
      <c r="D1" s="27" t="inlineStr">
        <is>
          <t>Confirmed_Qty</t>
        </is>
      </c>
      <c r="E1" s="27" t="inlineStr">
        <is>
          <t>Latest_ETA</t>
        </is>
      </c>
      <c r="F1" s="27" t="inlineStr">
        <is>
          <t>Received_Date</t>
        </is>
      </c>
      <c r="G1" s="27" t="inlineStr">
        <is>
          <t>Status</t>
        </is>
      </c>
      <c r="H1" s="27" t="inlineStr">
        <is>
          <t>Effective_Week</t>
        </is>
      </c>
    </row>
    <row r="2">
      <c r="A2" t="inlineStr">
        <is>
          <t>1EK</t>
        </is>
      </c>
      <c r="B2" t="inlineStr">
        <is>
          <t>PO065838</t>
        </is>
      </c>
      <c r="C2" s="28" t="n"/>
      <c r="D2" t="n">
        <v>9120</v>
      </c>
      <c r="E2" s="24" t="n">
        <v>45938</v>
      </c>
      <c r="G2" t="inlineStr">
        <is>
          <t>TTAF Stock</t>
        </is>
      </c>
      <c r="H2">
        <f>MAX(1,MIN(104,INT((IF(F2="",E2,F2)-DATE(2025,12,29))/7)+1))</f>
        <v/>
      </c>
    </row>
    <row r="3">
      <c r="A3" t="inlineStr">
        <is>
          <t>0JN</t>
        </is>
      </c>
      <c r="B3" t="inlineStr">
        <is>
          <t>PO066017</t>
        </is>
      </c>
      <c r="C3" s="28" t="n"/>
      <c r="D3" t="n">
        <v>10913</v>
      </c>
      <c r="E3" s="24" t="n">
        <v>45972</v>
      </c>
      <c r="G3" t="inlineStr">
        <is>
          <t>TTAF Stock</t>
        </is>
      </c>
      <c r="H3">
        <f>MAX(1,MIN(104,INT((IF(F3="",E3,F3)-DATE(2025,12,29))/7)+1))</f>
        <v/>
      </c>
    </row>
    <row r="4">
      <c r="A4" t="inlineStr">
        <is>
          <t>4HL</t>
        </is>
      </c>
      <c r="B4" t="inlineStr">
        <is>
          <t>PO066191</t>
        </is>
      </c>
      <c r="C4" s="28" t="n"/>
      <c r="D4" t="n">
        <v>960</v>
      </c>
      <c r="E4" s="24" t="n">
        <v>46007</v>
      </c>
      <c r="F4" s="24" t="n">
        <v>46028</v>
      </c>
      <c r="G4" t="inlineStr">
        <is>
          <t>TTAF Stock</t>
        </is>
      </c>
      <c r="H4">
        <f>MAX(1,MIN(104,INT((IF(F4="",E4,F4)-DATE(2025,12,29))/7)+1))</f>
        <v/>
      </c>
    </row>
    <row r="5">
      <c r="A5" t="inlineStr">
        <is>
          <t>4HL</t>
        </is>
      </c>
      <c r="B5" t="inlineStr">
        <is>
          <t>PO066191</t>
        </is>
      </c>
      <c r="C5" s="28" t="n"/>
      <c r="D5" t="n">
        <v>9600</v>
      </c>
      <c r="E5" s="24" t="n">
        <v>46008</v>
      </c>
      <c r="F5" s="24" t="n">
        <v>46022</v>
      </c>
      <c r="G5" t="inlineStr">
        <is>
          <t>TTAF Stock</t>
        </is>
      </c>
      <c r="H5">
        <f>MAX(1,MIN(104,INT((IF(F5="",E5,F5)-DATE(2025,12,29))/7)+1))</f>
        <v/>
      </c>
    </row>
    <row r="6">
      <c r="A6" t="inlineStr">
        <is>
          <t>4HL</t>
        </is>
      </c>
      <c r="B6" t="inlineStr">
        <is>
          <t>PO066191</t>
        </is>
      </c>
      <c r="C6" s="28" t="n"/>
      <c r="D6" t="n">
        <v>9600</v>
      </c>
      <c r="E6" s="24" t="n">
        <v>46007</v>
      </c>
      <c r="F6" s="24" t="n">
        <v>46028</v>
      </c>
      <c r="G6" t="inlineStr">
        <is>
          <t>TTAF Stock</t>
        </is>
      </c>
      <c r="H6">
        <f>MAX(1,MIN(104,INT((IF(F6="",E6,F6)-DATE(2025,12,29))/7)+1))</f>
        <v/>
      </c>
    </row>
    <row r="7">
      <c r="A7" t="inlineStr">
        <is>
          <t>4HL</t>
        </is>
      </c>
      <c r="B7" t="inlineStr">
        <is>
          <t>PO066191</t>
        </is>
      </c>
      <c r="C7" s="28" t="n"/>
      <c r="D7" t="n">
        <v>9120</v>
      </c>
      <c r="E7" s="24" t="n">
        <v>46012</v>
      </c>
      <c r="F7" s="24" t="n">
        <v>46022</v>
      </c>
      <c r="G7" t="inlineStr">
        <is>
          <t>TTAF Stock</t>
        </is>
      </c>
      <c r="H7">
        <f>MAX(1,MIN(104,INT((IF(F7="",E7,F7)-DATE(2025,12,29))/7)+1))</f>
        <v/>
      </c>
    </row>
    <row r="8">
      <c r="A8" t="inlineStr">
        <is>
          <t>1EK</t>
        </is>
      </c>
      <c r="B8" t="inlineStr">
        <is>
          <t>PO066191</t>
        </is>
      </c>
      <c r="C8" s="28" t="n"/>
      <c r="D8" t="n">
        <v>8160</v>
      </c>
      <c r="E8" s="24" t="n">
        <v>46007</v>
      </c>
      <c r="F8" s="24" t="n">
        <v>46028</v>
      </c>
      <c r="G8" t="inlineStr">
        <is>
          <t>TTAF Stock</t>
        </is>
      </c>
      <c r="H8">
        <f>MAX(1,MIN(104,INT((IF(F8="",E8,F8)-DATE(2025,12,29))/7)+1))</f>
        <v/>
      </c>
    </row>
    <row r="9">
      <c r="A9" t="inlineStr">
        <is>
          <t>CHEM-1250</t>
        </is>
      </c>
      <c r="B9" t="inlineStr">
        <is>
          <t>PO066524</t>
        </is>
      </c>
      <c r="C9" s="28" t="n"/>
      <c r="D9" t="n">
        <v>75</v>
      </c>
      <c r="E9" s="24" t="n">
        <v>46006</v>
      </c>
      <c r="F9" s="24" t="n">
        <v>46014</v>
      </c>
      <c r="G9" t="inlineStr">
        <is>
          <t>TTAF Stock</t>
        </is>
      </c>
      <c r="H9">
        <f>MAX(1,MIN(104,INT((IF(F9="",E9,F9)-DATE(2025,12,29))/7)+1))</f>
        <v/>
      </c>
    </row>
    <row r="10">
      <c r="A10" t="inlineStr">
        <is>
          <t>CHEM-1400</t>
        </is>
      </c>
      <c r="B10" t="inlineStr">
        <is>
          <t>PO066524</t>
        </is>
      </c>
      <c r="C10" s="28" t="n"/>
      <c r="D10" t="n">
        <v>400</v>
      </c>
      <c r="E10" s="24" t="n">
        <v>46006</v>
      </c>
      <c r="F10" s="24" t="n">
        <v>46014</v>
      </c>
      <c r="G10" t="inlineStr">
        <is>
          <t>TTAF Stock</t>
        </is>
      </c>
      <c r="H10">
        <f>MAX(1,MIN(104,INT((IF(F10="",E10,F10)-DATE(2025,12,29))/7)+1))</f>
        <v/>
      </c>
    </row>
    <row r="11">
      <c r="A11" t="inlineStr">
        <is>
          <t>CHEM-1570</t>
        </is>
      </c>
      <c r="B11" t="inlineStr">
        <is>
          <t>PO066524</t>
        </is>
      </c>
      <c r="C11" s="28" t="n"/>
      <c r="D11" t="n">
        <v>18</v>
      </c>
      <c r="E11" s="24" t="n">
        <v>46006</v>
      </c>
      <c r="F11" s="24" t="n">
        <v>46014</v>
      </c>
      <c r="G11" t="inlineStr">
        <is>
          <t>TTAF Stock</t>
        </is>
      </c>
      <c r="H11">
        <f>MAX(1,MIN(104,INT((IF(F11="",E11,F11)-DATE(2025,12,29))/7)+1))</f>
        <v/>
      </c>
    </row>
    <row r="12">
      <c r="A12" t="inlineStr">
        <is>
          <t>CHEM-1670</t>
        </is>
      </c>
      <c r="B12" t="inlineStr">
        <is>
          <t>PO066524</t>
        </is>
      </c>
      <c r="C12" s="28" t="n"/>
      <c r="D12" t="n">
        <v>360</v>
      </c>
      <c r="E12" s="24" t="n">
        <v>46006</v>
      </c>
      <c r="F12" s="24" t="n">
        <v>46014</v>
      </c>
      <c r="G12" t="inlineStr">
        <is>
          <t>TTAF Stock</t>
        </is>
      </c>
      <c r="H12">
        <f>MAX(1,MIN(104,INT((IF(F12="",E12,F12)-DATE(2025,12,29))/7)+1))</f>
        <v/>
      </c>
    </row>
    <row r="13">
      <c r="A13" t="inlineStr">
        <is>
          <t>CHEM-1700</t>
        </is>
      </c>
      <c r="B13" t="inlineStr">
        <is>
          <t>PO066524</t>
        </is>
      </c>
      <c r="C13" s="28" t="n"/>
      <c r="D13" t="n">
        <v>60</v>
      </c>
      <c r="E13" s="24" t="n">
        <v>46006</v>
      </c>
      <c r="F13" s="24" t="n">
        <v>46014</v>
      </c>
      <c r="G13" t="inlineStr">
        <is>
          <t>TTAF Stock</t>
        </is>
      </c>
      <c r="H13">
        <f>MAX(1,MIN(104,INT((IF(F13="",E13,F13)-DATE(2025,12,29))/7)+1))</f>
        <v/>
      </c>
    </row>
    <row r="14">
      <c r="A14" t="inlineStr">
        <is>
          <t>CHEM-1660</t>
        </is>
      </c>
      <c r="B14" t="inlineStr">
        <is>
          <t>PO066513</t>
        </is>
      </c>
      <c r="C14" s="28" t="n"/>
      <c r="D14" t="n">
        <v>135</v>
      </c>
      <c r="E14" s="24" t="n">
        <v>46006</v>
      </c>
      <c r="F14" s="24" t="n">
        <v>46010</v>
      </c>
      <c r="G14" t="inlineStr">
        <is>
          <t>TTAF Stock</t>
        </is>
      </c>
      <c r="H14">
        <f>MAX(1,MIN(104,INT((IF(F14="",E14,F14)-DATE(2025,12,29))/7)+1))</f>
        <v/>
      </c>
    </row>
    <row r="15">
      <c r="A15" t="inlineStr">
        <is>
          <t>CHEM-1420</t>
        </is>
      </c>
      <c r="B15" t="inlineStr">
        <is>
          <t>PO066524</t>
        </is>
      </c>
      <c r="C15" s="28" t="n"/>
      <c r="D15" t="n">
        <v>240</v>
      </c>
      <c r="E15" s="24" t="n">
        <v>46006</v>
      </c>
      <c r="F15" s="24" t="n">
        <v>46014</v>
      </c>
      <c r="G15" t="inlineStr">
        <is>
          <t>TTAF Stock</t>
        </is>
      </c>
      <c r="H15">
        <f>MAX(1,MIN(104,INT((IF(F15="",E15,F15)-DATE(2025,12,29))/7)+1))</f>
        <v/>
      </c>
    </row>
    <row r="16">
      <c r="A16" t="inlineStr">
        <is>
          <t>CHEM-1530</t>
        </is>
      </c>
      <c r="B16" t="inlineStr">
        <is>
          <t>PO066524</t>
        </is>
      </c>
      <c r="C16" s="28" t="n"/>
      <c r="D16" t="n">
        <v>2100</v>
      </c>
      <c r="E16" s="24" t="n">
        <v>46006</v>
      </c>
      <c r="F16" s="24" t="n">
        <v>46014</v>
      </c>
      <c r="G16" t="inlineStr">
        <is>
          <t>TTAF Stock</t>
        </is>
      </c>
      <c r="H16">
        <f>MAX(1,MIN(104,INT((IF(F16="",E16,F16)-DATE(2025,12,29))/7)+1))</f>
        <v/>
      </c>
    </row>
    <row r="17">
      <c r="A17" t="inlineStr">
        <is>
          <t>CHEM-1600</t>
        </is>
      </c>
      <c r="B17" t="inlineStr">
        <is>
          <t>PO066524</t>
        </is>
      </c>
      <c r="C17" s="28" t="n"/>
      <c r="D17" t="n">
        <v>425</v>
      </c>
      <c r="E17" s="24" t="n">
        <v>46006</v>
      </c>
      <c r="F17" s="24" t="n">
        <v>46014</v>
      </c>
      <c r="G17" t="inlineStr">
        <is>
          <t>TTAF Stock</t>
        </is>
      </c>
      <c r="H17">
        <f>MAX(1,MIN(104,INT((IF(F17="",E17,F17)-DATE(2025,12,29))/7)+1))</f>
        <v/>
      </c>
    </row>
    <row r="18">
      <c r="A18" t="inlineStr">
        <is>
          <t>CHEM-1540</t>
        </is>
      </c>
      <c r="B18" t="inlineStr">
        <is>
          <t>PO066524</t>
        </is>
      </c>
      <c r="C18" s="28" t="n"/>
      <c r="D18" t="n">
        <v>2500</v>
      </c>
      <c r="E18" s="24" t="n">
        <v>46006</v>
      </c>
      <c r="F18" s="24" t="n">
        <v>46014</v>
      </c>
      <c r="G18" t="inlineStr">
        <is>
          <t>TTAF Stock</t>
        </is>
      </c>
      <c r="H18">
        <f>MAX(1,MIN(104,INT((IF(F18="",E18,F18)-DATE(2025,12,29))/7)+1))</f>
        <v/>
      </c>
    </row>
    <row r="19">
      <c r="A19" t="inlineStr">
        <is>
          <t>CHEM-1720</t>
        </is>
      </c>
      <c r="B19" t="inlineStr">
        <is>
          <t>PO066524</t>
        </is>
      </c>
      <c r="C19" s="28" t="n"/>
      <c r="D19" t="n">
        <v>1200</v>
      </c>
      <c r="E19" s="24" t="n">
        <v>46006</v>
      </c>
      <c r="F19" s="24" t="n">
        <v>46014</v>
      </c>
      <c r="G19" t="inlineStr">
        <is>
          <t>TTAF Stock</t>
        </is>
      </c>
      <c r="H19">
        <f>MAX(1,MIN(104,INT((IF(F19="",E19,F19)-DATE(2025,12,29))/7)+1))</f>
        <v/>
      </c>
    </row>
    <row r="20">
      <c r="A20" t="inlineStr">
        <is>
          <t>CHEM-1280</t>
        </is>
      </c>
      <c r="B20" t="inlineStr">
        <is>
          <t>PO066513</t>
        </is>
      </c>
      <c r="C20" s="28" t="n"/>
      <c r="D20" t="n">
        <v>1000</v>
      </c>
      <c r="E20" s="24" t="n">
        <v>46006</v>
      </c>
      <c r="F20" s="24" t="n">
        <v>46010</v>
      </c>
      <c r="G20" t="inlineStr">
        <is>
          <t>TTAF Stock</t>
        </is>
      </c>
      <c r="H20">
        <f>MAX(1,MIN(104,INT((IF(F20="",E20,F20)-DATE(2025,12,29))/7)+1))</f>
        <v/>
      </c>
    </row>
    <row r="21">
      <c r="A21" t="inlineStr">
        <is>
          <t>CHEM-1440</t>
        </is>
      </c>
      <c r="B21" t="inlineStr">
        <is>
          <t>PO066524</t>
        </is>
      </c>
      <c r="C21" s="28" t="n"/>
      <c r="D21" t="n">
        <v>150</v>
      </c>
      <c r="E21" s="24" t="n">
        <v>46006</v>
      </c>
      <c r="F21" s="24" t="n">
        <v>46014</v>
      </c>
      <c r="G21" t="inlineStr">
        <is>
          <t>TTAF Stock</t>
        </is>
      </c>
      <c r="H21">
        <f>MAX(1,MIN(104,INT((IF(F21="",E21,F21)-DATE(2025,12,29))/7)+1))</f>
        <v/>
      </c>
    </row>
    <row r="22">
      <c r="A22" t="inlineStr">
        <is>
          <t>CHEM-1240</t>
        </is>
      </c>
      <c r="B22" t="inlineStr">
        <is>
          <t>PO066524</t>
        </is>
      </c>
      <c r="C22" s="28" t="n"/>
      <c r="D22" t="n">
        <v>440</v>
      </c>
      <c r="E22" s="24" t="n">
        <v>46006</v>
      </c>
      <c r="F22" s="24" t="n">
        <v>46014</v>
      </c>
      <c r="G22" t="inlineStr">
        <is>
          <t>TTAF Stock</t>
        </is>
      </c>
      <c r="H22">
        <f>MAX(1,MIN(104,INT((IF(F22="",E22,F22)-DATE(2025,12,29))/7)+1))</f>
        <v/>
      </c>
    </row>
    <row r="23">
      <c r="A23" t="inlineStr">
        <is>
          <t>4HL</t>
        </is>
      </c>
      <c r="B23" t="inlineStr">
        <is>
          <t>PO066428</t>
        </is>
      </c>
      <c r="C23" s="28" t="n"/>
      <c r="D23" t="n">
        <v>2400</v>
      </c>
      <c r="E23" s="24" t="n">
        <v>46035</v>
      </c>
      <c r="F23" s="24" t="n">
        <v>46043</v>
      </c>
      <c r="G23" t="inlineStr">
        <is>
          <t>TTAF Stock</t>
        </is>
      </c>
      <c r="H23">
        <f>MAX(1,MIN(104,INT((IF(F23="",E23,F23)-DATE(2025,12,29))/7)+1))</f>
        <v/>
      </c>
    </row>
    <row r="24">
      <c r="A24" t="inlineStr">
        <is>
          <t>4HL</t>
        </is>
      </c>
      <c r="B24" t="inlineStr">
        <is>
          <t>PO066428</t>
        </is>
      </c>
      <c r="C24" s="28" t="n"/>
      <c r="D24" t="n">
        <v>9120</v>
      </c>
      <c r="E24" s="24" t="n">
        <v>46019</v>
      </c>
      <c r="F24" s="24" t="n">
        <v>46030</v>
      </c>
      <c r="G24" t="inlineStr">
        <is>
          <t>TTAF Stock</t>
        </is>
      </c>
      <c r="H24">
        <f>MAX(1,MIN(104,INT((IF(F24="",E24,F24)-DATE(2025,12,29))/7)+1))</f>
        <v/>
      </c>
    </row>
    <row r="25">
      <c r="A25" t="inlineStr">
        <is>
          <t>4HL</t>
        </is>
      </c>
      <c r="B25" t="inlineStr">
        <is>
          <t>PO066428</t>
        </is>
      </c>
      <c r="C25" s="28" t="n"/>
      <c r="D25" t="n">
        <v>9600</v>
      </c>
      <c r="E25" s="24" t="n">
        <v>46035</v>
      </c>
      <c r="F25" s="24" t="n">
        <v>46042</v>
      </c>
      <c r="G25" t="inlineStr">
        <is>
          <t>TTAF Stock</t>
        </is>
      </c>
      <c r="H25">
        <f>MAX(1,MIN(104,INT((IF(F25="",E25,F25)-DATE(2025,12,29))/7)+1))</f>
        <v/>
      </c>
    </row>
    <row r="26">
      <c r="A26" t="inlineStr">
        <is>
          <t>4HL</t>
        </is>
      </c>
      <c r="B26" t="inlineStr">
        <is>
          <t>PO066428</t>
        </is>
      </c>
      <c r="C26" s="28" t="n"/>
      <c r="D26" t="n">
        <v>9600</v>
      </c>
      <c r="E26" s="24" t="n">
        <v>46042</v>
      </c>
      <c r="F26" s="24" t="n">
        <v>46049</v>
      </c>
      <c r="G26" t="inlineStr">
        <is>
          <t>TTAF Stock</t>
        </is>
      </c>
      <c r="H26">
        <f>MAX(1,MIN(104,INT((IF(F26="",E26,F26)-DATE(2025,12,29))/7)+1))</f>
        <v/>
      </c>
    </row>
    <row r="27">
      <c r="A27" t="inlineStr">
        <is>
          <t>4HL</t>
        </is>
      </c>
      <c r="B27" t="inlineStr">
        <is>
          <t>PO066428</t>
        </is>
      </c>
      <c r="C27" s="28" t="n"/>
      <c r="D27" t="n">
        <v>9600</v>
      </c>
      <c r="E27" s="24" t="n">
        <v>46029</v>
      </c>
      <c r="F27" s="24" t="n">
        <v>46031</v>
      </c>
      <c r="G27" t="inlineStr">
        <is>
          <t>TTAF Stock</t>
        </is>
      </c>
      <c r="H27">
        <f>MAX(1,MIN(104,INT((IF(F27="",E27,F27)-DATE(2025,12,29))/7)+1))</f>
        <v/>
      </c>
    </row>
    <row r="28">
      <c r="A28" t="inlineStr">
        <is>
          <t>1EK</t>
        </is>
      </c>
      <c r="B28" t="inlineStr">
        <is>
          <t>PO066428</t>
        </is>
      </c>
      <c r="C28" s="28" t="n"/>
      <c r="D28" t="n">
        <v>3840</v>
      </c>
      <c r="E28" s="24" t="n">
        <v>45982</v>
      </c>
      <c r="G28" t="inlineStr">
        <is>
          <t>TTAF Stock</t>
        </is>
      </c>
      <c r="H28">
        <f>MAX(1,MIN(104,INT((IF(F28="",E28,F28)-DATE(2025,12,29))/7)+1))</f>
        <v/>
      </c>
    </row>
    <row r="29">
      <c r="A29" t="inlineStr">
        <is>
          <t>1EK</t>
        </is>
      </c>
      <c r="B29" t="inlineStr">
        <is>
          <t>PO066428</t>
        </is>
      </c>
      <c r="C29" s="28" t="n"/>
      <c r="D29" t="n">
        <v>5760</v>
      </c>
      <c r="E29" s="24" t="n">
        <v>46035</v>
      </c>
      <c r="F29" s="24" t="n">
        <v>46042</v>
      </c>
      <c r="G29" t="inlineStr">
        <is>
          <t>TTAF Stock</t>
        </is>
      </c>
      <c r="H29">
        <f>MAX(1,MIN(104,INT((IF(F29="",E29,F29)-DATE(2025,12,29))/7)+1))</f>
        <v/>
      </c>
    </row>
    <row r="30">
      <c r="A30" t="inlineStr">
        <is>
          <t>1EK</t>
        </is>
      </c>
      <c r="B30" t="inlineStr">
        <is>
          <t>PO066428</t>
        </is>
      </c>
      <c r="C30" s="28" t="n"/>
      <c r="D30" t="n">
        <v>9600</v>
      </c>
      <c r="E30" s="24" t="n">
        <v>46021</v>
      </c>
      <c r="F30" s="24" t="n">
        <v>46032</v>
      </c>
      <c r="G30" t="inlineStr">
        <is>
          <t>TTAF Stock</t>
        </is>
      </c>
      <c r="H30">
        <f>MAX(1,MIN(104,INT((IF(F30="",E30,F30)-DATE(2025,12,29))/7)+1))</f>
        <v/>
      </c>
    </row>
    <row r="31">
      <c r="A31" t="inlineStr">
        <is>
          <t>1EK</t>
        </is>
      </c>
      <c r="B31" t="inlineStr">
        <is>
          <t>PO066428</t>
        </is>
      </c>
      <c r="C31" s="28" t="n"/>
      <c r="D31" t="n">
        <v>9600</v>
      </c>
      <c r="E31" s="24" t="n">
        <v>46029</v>
      </c>
      <c r="F31" s="24" t="n">
        <v>46031</v>
      </c>
      <c r="G31" t="inlineStr">
        <is>
          <t>TTAF Stock</t>
        </is>
      </c>
      <c r="H31">
        <f>MAX(1,MIN(104,INT((IF(F31="",E31,F31)-DATE(2025,12,29))/7)+1))</f>
        <v/>
      </c>
    </row>
    <row r="32">
      <c r="A32" t="inlineStr">
        <is>
          <t>1EK</t>
        </is>
      </c>
      <c r="B32" t="inlineStr">
        <is>
          <t>PO066428</t>
        </is>
      </c>
      <c r="C32" s="28" t="n"/>
      <c r="D32" t="n">
        <v>4800</v>
      </c>
      <c r="E32" s="24" t="n">
        <v>46050</v>
      </c>
      <c r="F32" s="24" t="n">
        <v>46056</v>
      </c>
      <c r="G32" t="inlineStr">
        <is>
          <t>TTAF Stock</t>
        </is>
      </c>
      <c r="H32">
        <f>MAX(1,MIN(104,INT((IF(F32="",E32,F32)-DATE(2025,12,29))/7)+1))</f>
        <v/>
      </c>
    </row>
    <row r="33">
      <c r="A33" t="inlineStr">
        <is>
          <t>7CL</t>
        </is>
      </c>
      <c r="B33" t="inlineStr">
        <is>
          <t>PO066428</t>
        </is>
      </c>
      <c r="C33" s="28" t="n"/>
      <c r="D33" t="n">
        <v>8100</v>
      </c>
      <c r="E33" s="24" t="n">
        <v>46035</v>
      </c>
      <c r="F33" s="24" t="n">
        <v>46043</v>
      </c>
      <c r="G33" t="inlineStr">
        <is>
          <t>TTAF Stock</t>
        </is>
      </c>
      <c r="H33">
        <f>MAX(1,MIN(104,INT((IF(F33="",E33,F33)-DATE(2025,12,29))/7)+1))</f>
        <v/>
      </c>
    </row>
    <row r="34">
      <c r="A34" t="inlineStr">
        <is>
          <t>9RN</t>
        </is>
      </c>
      <c r="B34" t="inlineStr">
        <is>
          <t>PO066528</t>
        </is>
      </c>
      <c r="C34" s="28" t="n"/>
      <c r="D34" t="n">
        <v>21274</v>
      </c>
      <c r="E34" s="24" t="n">
        <v>46018</v>
      </c>
      <c r="F34" s="24" t="n">
        <v>46030</v>
      </c>
      <c r="G34" t="inlineStr">
        <is>
          <t>TTAF Stock</t>
        </is>
      </c>
      <c r="H34">
        <f>MAX(1,MIN(104,INT((IF(F34="",E34,F34)-DATE(2025,12,29))/7)+1))</f>
        <v/>
      </c>
    </row>
    <row r="35">
      <c r="A35" t="inlineStr">
        <is>
          <t>9RN</t>
        </is>
      </c>
      <c r="B35" t="inlineStr">
        <is>
          <t>PO066528</t>
        </is>
      </c>
      <c r="C35" s="28" t="n"/>
      <c r="D35" t="n">
        <v>9702</v>
      </c>
      <c r="E35" s="24" t="n">
        <v>46018</v>
      </c>
      <c r="F35" s="24" t="n">
        <v>46030</v>
      </c>
      <c r="G35" t="inlineStr">
        <is>
          <t>TTAF Stock</t>
        </is>
      </c>
      <c r="H35">
        <f>MAX(1,MIN(104,INT((IF(F35="",E35,F35)-DATE(2025,12,29))/7)+1))</f>
        <v/>
      </c>
    </row>
    <row r="36">
      <c r="A36" t="inlineStr">
        <is>
          <t>0JN</t>
        </is>
      </c>
      <c r="B36" t="inlineStr">
        <is>
          <t>PO066525</t>
        </is>
      </c>
      <c r="C36" s="28" t="n"/>
      <c r="D36" t="n">
        <v>18609</v>
      </c>
      <c r="E36" s="24" t="n">
        <v>46023</v>
      </c>
      <c r="G36" t="inlineStr">
        <is>
          <t>TTAF Stock</t>
        </is>
      </c>
      <c r="H36">
        <f>MAX(1,MIN(104,INT((IF(F36="",E36,F36)-DATE(2025,12,29))/7)+1))</f>
        <v/>
      </c>
    </row>
    <row r="37">
      <c r="A37" t="inlineStr">
        <is>
          <t>CHEM-1250</t>
        </is>
      </c>
      <c r="B37" t="inlineStr">
        <is>
          <t>PO066734</t>
        </is>
      </c>
      <c r="C37" s="28" t="n"/>
      <c r="D37" t="n">
        <v>100</v>
      </c>
      <c r="E37" s="24" t="n">
        <v>46027</v>
      </c>
      <c r="F37" s="24" t="n">
        <v>46037</v>
      </c>
      <c r="G37" t="inlineStr">
        <is>
          <t>TTAF Stock</t>
        </is>
      </c>
      <c r="H37">
        <f>MAX(1,MIN(104,INT((IF(F37="",E37,F37)-DATE(2025,12,29))/7)+1))</f>
        <v/>
      </c>
    </row>
    <row r="38">
      <c r="A38" t="inlineStr">
        <is>
          <t>CHEM-1200</t>
        </is>
      </c>
      <c r="B38" t="inlineStr">
        <is>
          <t>PO066734</t>
        </is>
      </c>
      <c r="C38" s="28" t="n"/>
      <c r="D38" t="n">
        <v>25</v>
      </c>
      <c r="E38" s="24" t="n">
        <v>46027</v>
      </c>
      <c r="F38" s="24" t="n">
        <v>46037</v>
      </c>
      <c r="G38" t="inlineStr">
        <is>
          <t>TTAF Stock</t>
        </is>
      </c>
      <c r="H38">
        <f>MAX(1,MIN(104,INT((IF(F38="",E38,F38)-DATE(2025,12,29))/7)+1))</f>
        <v/>
      </c>
    </row>
    <row r="39">
      <c r="A39" t="inlineStr">
        <is>
          <t>CHEM-1570</t>
        </is>
      </c>
      <c r="B39" t="inlineStr">
        <is>
          <t>PO066734</t>
        </is>
      </c>
      <c r="C39" s="28" t="n"/>
      <c r="D39" t="n">
        <v>36</v>
      </c>
      <c r="E39" s="24" t="n">
        <v>46027</v>
      </c>
      <c r="F39" s="24" t="n">
        <v>46037</v>
      </c>
      <c r="G39" t="inlineStr">
        <is>
          <t>TTAF Stock</t>
        </is>
      </c>
      <c r="H39">
        <f>MAX(1,MIN(104,INT((IF(F39="",E39,F39)-DATE(2025,12,29))/7)+1))</f>
        <v/>
      </c>
    </row>
    <row r="40">
      <c r="A40" t="inlineStr">
        <is>
          <t>CHEM-1670</t>
        </is>
      </c>
      <c r="B40" t="inlineStr">
        <is>
          <t>PO066734</t>
        </is>
      </c>
      <c r="C40" s="28" t="n"/>
      <c r="D40" t="n">
        <v>180</v>
      </c>
      <c r="E40" s="24" t="n">
        <v>46027</v>
      </c>
      <c r="F40" s="24" t="n">
        <v>46037</v>
      </c>
      <c r="G40" t="inlineStr">
        <is>
          <t>TTAF Stock</t>
        </is>
      </c>
      <c r="H40">
        <f>MAX(1,MIN(104,INT((IF(F40="",E40,F40)-DATE(2025,12,29))/7)+1))</f>
        <v/>
      </c>
    </row>
    <row r="41">
      <c r="A41" t="inlineStr">
        <is>
          <t>CHEM-1700</t>
        </is>
      </c>
      <c r="B41" t="inlineStr">
        <is>
          <t>PO066734</t>
        </is>
      </c>
      <c r="C41" s="28" t="n"/>
      <c r="D41" t="n">
        <v>90</v>
      </c>
      <c r="E41" s="24" t="n">
        <v>46027</v>
      </c>
      <c r="F41" s="24" t="n">
        <v>46037</v>
      </c>
      <c r="G41" t="inlineStr">
        <is>
          <t>TTAF Stock</t>
        </is>
      </c>
      <c r="H41">
        <f>MAX(1,MIN(104,INT((IF(F41="",E41,F41)-DATE(2025,12,29))/7)+1))</f>
        <v/>
      </c>
    </row>
    <row r="42">
      <c r="A42" t="inlineStr">
        <is>
          <t>CHEM-1660</t>
        </is>
      </c>
      <c r="B42" t="inlineStr"/>
      <c r="C42" s="28" t="n"/>
      <c r="D42" t="n">
        <v>60</v>
      </c>
      <c r="E42" s="24" t="n">
        <v>46027</v>
      </c>
      <c r="F42" s="24" t="n">
        <v>46037</v>
      </c>
      <c r="G42" t="inlineStr">
        <is>
          <t>TTAF Stock</t>
        </is>
      </c>
      <c r="H42">
        <f>MAX(1,MIN(104,INT((IF(F42="",E42,F42)-DATE(2025,12,29))/7)+1))</f>
        <v/>
      </c>
    </row>
    <row r="43">
      <c r="A43" t="inlineStr">
        <is>
          <t>CHEM-1420</t>
        </is>
      </c>
      <c r="B43" t="inlineStr">
        <is>
          <t>PO066734</t>
        </is>
      </c>
      <c r="C43" s="28" t="n"/>
      <c r="D43" t="n">
        <v>240</v>
      </c>
      <c r="E43" s="24" t="n">
        <v>46027</v>
      </c>
      <c r="F43" s="24" t="n">
        <v>46037</v>
      </c>
      <c r="G43" t="inlineStr">
        <is>
          <t>TTAF Stock</t>
        </is>
      </c>
      <c r="H43">
        <f>MAX(1,MIN(104,INT((IF(F43="",E43,F43)-DATE(2025,12,29))/7)+1))</f>
        <v/>
      </c>
    </row>
    <row r="44">
      <c r="A44" t="inlineStr">
        <is>
          <t>CHEM-1530</t>
        </is>
      </c>
      <c r="B44" t="inlineStr">
        <is>
          <t>PO066734</t>
        </is>
      </c>
      <c r="C44" s="28" t="n"/>
      <c r="D44" t="n">
        <v>1400</v>
      </c>
      <c r="E44" s="24" t="n">
        <v>46027</v>
      </c>
      <c r="F44" s="24" t="n">
        <v>46037</v>
      </c>
      <c r="G44" t="inlineStr">
        <is>
          <t>TTAF Stock</t>
        </is>
      </c>
      <c r="H44">
        <f>MAX(1,MIN(104,INT((IF(F44="",E44,F44)-DATE(2025,12,29))/7)+1))</f>
        <v/>
      </c>
    </row>
    <row r="45">
      <c r="A45" t="inlineStr">
        <is>
          <t>CHEM-1600</t>
        </is>
      </c>
      <c r="B45" t="inlineStr">
        <is>
          <t>PO066734</t>
        </is>
      </c>
      <c r="C45" s="28" t="n"/>
      <c r="D45" t="n">
        <v>250</v>
      </c>
      <c r="E45" s="24" t="n">
        <v>46027</v>
      </c>
      <c r="F45" s="24" t="n">
        <v>46037</v>
      </c>
      <c r="G45" t="inlineStr">
        <is>
          <t>TTAF Stock</t>
        </is>
      </c>
      <c r="H45">
        <f>MAX(1,MIN(104,INT((IF(F45="",E45,F45)-DATE(2025,12,29))/7)+1))</f>
        <v/>
      </c>
    </row>
    <row r="46">
      <c r="A46" t="inlineStr">
        <is>
          <t>CHEM-1540</t>
        </is>
      </c>
      <c r="B46" t="inlineStr">
        <is>
          <t>PO066734</t>
        </is>
      </c>
      <c r="C46" s="28" t="n"/>
      <c r="D46" t="n">
        <v>5000</v>
      </c>
      <c r="E46" s="24" t="n">
        <v>46027</v>
      </c>
      <c r="F46" s="24" t="n">
        <v>46037</v>
      </c>
      <c r="G46" t="inlineStr">
        <is>
          <t>TTAF Stock</t>
        </is>
      </c>
      <c r="H46">
        <f>MAX(1,MIN(104,INT((IF(F46="",E46,F46)-DATE(2025,12,29))/7)+1))</f>
        <v/>
      </c>
    </row>
    <row r="47">
      <c r="A47" t="inlineStr">
        <is>
          <t>CHEM-1720</t>
        </is>
      </c>
      <c r="B47" t="inlineStr">
        <is>
          <t>PO066734</t>
        </is>
      </c>
      <c r="C47" s="28" t="n"/>
      <c r="D47" t="n">
        <v>1920</v>
      </c>
      <c r="E47" s="24" t="n">
        <v>46027</v>
      </c>
      <c r="F47" s="24" t="n">
        <v>46037</v>
      </c>
      <c r="G47" t="inlineStr">
        <is>
          <t>TTAF Stock</t>
        </is>
      </c>
      <c r="H47">
        <f>MAX(1,MIN(104,INT((IF(F47="",E47,F47)-DATE(2025,12,29))/7)+1))</f>
        <v/>
      </c>
    </row>
    <row r="48">
      <c r="A48" t="inlineStr">
        <is>
          <t>CHEM-1280</t>
        </is>
      </c>
      <c r="B48" t="inlineStr"/>
      <c r="C48" s="28" t="n"/>
      <c r="D48" t="n">
        <v>1000</v>
      </c>
      <c r="E48" s="24" t="n">
        <v>46027</v>
      </c>
      <c r="F48" s="24" t="n">
        <v>46037</v>
      </c>
      <c r="G48" t="inlineStr">
        <is>
          <t>TTAF Stock</t>
        </is>
      </c>
      <c r="H48">
        <f>MAX(1,MIN(104,INT((IF(F48="",E48,F48)-DATE(2025,12,29))/7)+1))</f>
        <v/>
      </c>
    </row>
    <row r="49">
      <c r="A49" t="inlineStr">
        <is>
          <t>CHEM-1440</t>
        </is>
      </c>
      <c r="B49" t="inlineStr">
        <is>
          <t>PO066734</t>
        </is>
      </c>
      <c r="C49" s="28" t="n"/>
      <c r="D49" t="n">
        <v>200</v>
      </c>
      <c r="E49" s="24" t="n">
        <v>46027</v>
      </c>
      <c r="F49" s="24" t="n">
        <v>46037</v>
      </c>
      <c r="G49" t="inlineStr">
        <is>
          <t>TTAF Stock</t>
        </is>
      </c>
      <c r="H49">
        <f>MAX(1,MIN(104,INT((IF(F49="",E49,F49)-DATE(2025,12,29))/7)+1))</f>
        <v/>
      </c>
    </row>
    <row r="50">
      <c r="A50" t="inlineStr">
        <is>
          <t>CHEM-1240</t>
        </is>
      </c>
      <c r="B50" t="inlineStr">
        <is>
          <t>PO066734</t>
        </is>
      </c>
      <c r="C50" s="28" t="n"/>
      <c r="D50" t="n">
        <v>660</v>
      </c>
      <c r="E50" s="24" t="n">
        <v>46027</v>
      </c>
      <c r="F50" s="24" t="n">
        <v>46037</v>
      </c>
      <c r="G50" t="inlineStr">
        <is>
          <t>TTAF Stock</t>
        </is>
      </c>
      <c r="H50">
        <f>MAX(1,MIN(104,INT((IF(F50="",E50,F50)-DATE(2025,12,29))/7)+1))</f>
        <v/>
      </c>
    </row>
    <row r="51">
      <c r="A51" t="inlineStr">
        <is>
          <t>CHEM-1830</t>
        </is>
      </c>
      <c r="B51" t="inlineStr">
        <is>
          <t>PO066761</t>
        </is>
      </c>
      <c r="C51" s="28" t="n"/>
      <c r="D51" t="n">
        <v>150</v>
      </c>
      <c r="E51" s="24" t="n">
        <v>46027</v>
      </c>
      <c r="F51" s="24" t="n">
        <v>46037</v>
      </c>
      <c r="G51" t="inlineStr">
        <is>
          <t>TTAF Stock</t>
        </is>
      </c>
      <c r="H51">
        <f>MAX(1,MIN(104,INT((IF(F51="",E51,F51)-DATE(2025,12,29))/7)+1))</f>
        <v/>
      </c>
    </row>
    <row r="52">
      <c r="A52" t="inlineStr">
        <is>
          <t>CHEM-1100</t>
        </is>
      </c>
      <c r="B52" t="inlineStr"/>
      <c r="C52" s="28" t="n"/>
      <c r="D52" t="n">
        <v>300</v>
      </c>
      <c r="E52" s="24" t="n">
        <v>46027</v>
      </c>
      <c r="F52" s="24" t="n">
        <v>46037</v>
      </c>
      <c r="G52" t="inlineStr">
        <is>
          <t>TTAF Stock</t>
        </is>
      </c>
      <c r="H52">
        <f>MAX(1,MIN(104,INT((IF(F52="",E52,F52)-DATE(2025,12,29))/7)+1))</f>
        <v/>
      </c>
    </row>
    <row r="53">
      <c r="A53" t="inlineStr">
        <is>
          <t>4HL</t>
        </is>
      </c>
      <c r="B53" t="inlineStr"/>
      <c r="C53" s="28" t="n"/>
      <c r="D53" t="n">
        <v>9600</v>
      </c>
      <c r="E53" s="24" t="n">
        <v>46048</v>
      </c>
      <c r="F53" s="24" t="n">
        <v>46051</v>
      </c>
      <c r="G53" t="inlineStr">
        <is>
          <t>TTAF Stock</t>
        </is>
      </c>
      <c r="H53">
        <f>MAX(1,MIN(104,INT((IF(F53="",E53,F53)-DATE(2025,12,29))/7)+1))</f>
        <v/>
      </c>
    </row>
    <row r="54">
      <c r="A54" t="inlineStr">
        <is>
          <t>4HL</t>
        </is>
      </c>
      <c r="B54" t="inlineStr"/>
      <c r="C54" s="28" t="n"/>
      <c r="D54" t="n">
        <v>17280</v>
      </c>
      <c r="E54" s="24" t="n">
        <v>46069</v>
      </c>
      <c r="F54" s="24" t="n">
        <v>46070</v>
      </c>
      <c r="G54" t="inlineStr">
        <is>
          <t>TTAF Stock</t>
        </is>
      </c>
      <c r="H54">
        <f>MAX(1,MIN(104,INT((IF(F54="",E54,F54)-DATE(2025,12,29))/7)+1))</f>
        <v/>
      </c>
    </row>
    <row r="55">
      <c r="A55" t="inlineStr">
        <is>
          <t>4HL</t>
        </is>
      </c>
      <c r="B55" t="inlineStr"/>
      <c r="C55" s="28" t="n"/>
      <c r="D55" t="n">
        <v>9600</v>
      </c>
      <c r="E55" s="24" t="n">
        <v>46056</v>
      </c>
      <c r="F55" s="24" t="n">
        <v>46062</v>
      </c>
      <c r="G55" t="inlineStr">
        <is>
          <t>TTAF Stock</t>
        </is>
      </c>
      <c r="H55">
        <f>MAX(1,MIN(104,INT((IF(F55="",E55,F55)-DATE(2025,12,29))/7)+1))</f>
        <v/>
      </c>
    </row>
    <row r="56">
      <c r="A56" t="inlineStr">
        <is>
          <t>4HL</t>
        </is>
      </c>
      <c r="B56" t="inlineStr"/>
      <c r="C56" s="28" t="n"/>
      <c r="D56" t="n">
        <v>1920</v>
      </c>
      <c r="E56" s="24" t="n">
        <v>46069</v>
      </c>
      <c r="F56" s="24" t="n">
        <v>46069</v>
      </c>
      <c r="G56" t="inlineStr">
        <is>
          <t>TTAF Stock</t>
        </is>
      </c>
      <c r="H56">
        <f>MAX(1,MIN(104,INT((IF(F56="",E56,F56)-DATE(2025,12,29))/7)+1))</f>
        <v/>
      </c>
    </row>
    <row r="57">
      <c r="A57" t="inlineStr">
        <is>
          <t>4HL</t>
        </is>
      </c>
      <c r="B57" t="inlineStr"/>
      <c r="C57" s="28" t="n"/>
      <c r="D57" t="n">
        <v>5280</v>
      </c>
      <c r="E57" s="24" t="n">
        <v>46087</v>
      </c>
      <c r="F57" s="24" t="n">
        <v>46092</v>
      </c>
      <c r="G57" t="inlineStr">
        <is>
          <t>TTAF Stock</t>
        </is>
      </c>
      <c r="H57">
        <f>MAX(1,MIN(104,INT((IF(F57="",E57,F57)-DATE(2025,12,29))/7)+1))</f>
        <v/>
      </c>
    </row>
    <row r="58">
      <c r="A58" t="inlineStr">
        <is>
          <t>4HL</t>
        </is>
      </c>
      <c r="B58" t="inlineStr"/>
      <c r="C58" s="28" t="n"/>
      <c r="D58" t="n">
        <v>365</v>
      </c>
      <c r="E58" s="24" t="n">
        <v>46069</v>
      </c>
      <c r="F58" s="24" t="n">
        <v>46070</v>
      </c>
      <c r="G58" t="inlineStr">
        <is>
          <t>TTAF Stock</t>
        </is>
      </c>
      <c r="H58">
        <f>MAX(1,MIN(104,INT((IF(F58="",E58,F58)-DATE(2025,12,29))/7)+1))</f>
        <v/>
      </c>
    </row>
    <row r="59">
      <c r="A59" t="inlineStr">
        <is>
          <t>1EK</t>
        </is>
      </c>
      <c r="B59" t="inlineStr"/>
      <c r="C59" s="28" t="n"/>
      <c r="D59" t="n">
        <v>7200</v>
      </c>
      <c r="E59" s="24" t="n">
        <v>46069</v>
      </c>
      <c r="F59" s="24" t="n">
        <v>46069</v>
      </c>
      <c r="G59" t="inlineStr">
        <is>
          <t>TTAF Stock</t>
        </is>
      </c>
      <c r="H59">
        <f>MAX(1,MIN(104,INT((IF(F59="",E59,F59)-DATE(2025,12,29))/7)+1))</f>
        <v/>
      </c>
    </row>
    <row r="60">
      <c r="A60" t="inlineStr">
        <is>
          <t>1EK</t>
        </is>
      </c>
      <c r="B60" t="inlineStr"/>
      <c r="C60" s="28" t="n"/>
      <c r="D60" t="n">
        <v>6720</v>
      </c>
      <c r="E60" s="24" t="n">
        <v>46087</v>
      </c>
      <c r="F60" s="24" t="n">
        <v>46092</v>
      </c>
      <c r="G60" t="inlineStr">
        <is>
          <t>TTAF Stock</t>
        </is>
      </c>
      <c r="H60">
        <f>MAX(1,MIN(104,INT((IF(F60="",E60,F60)-DATE(2025,12,29))/7)+1))</f>
        <v/>
      </c>
    </row>
    <row r="61">
      <c r="A61" t="inlineStr">
        <is>
          <t>1EK</t>
        </is>
      </c>
      <c r="B61" t="inlineStr"/>
      <c r="C61" s="28" t="n"/>
      <c r="D61" t="n">
        <v>160</v>
      </c>
      <c r="E61" s="24" t="n">
        <v>46069</v>
      </c>
      <c r="F61" s="24" t="n">
        <v>46069</v>
      </c>
      <c r="G61" t="inlineStr">
        <is>
          <t>TTAF Stock</t>
        </is>
      </c>
      <c r="H61">
        <f>MAX(1,MIN(104,INT((IF(F61="",E61,F61)-DATE(2025,12,29))/7)+1))</f>
        <v/>
      </c>
    </row>
    <row r="62">
      <c r="A62" t="inlineStr">
        <is>
          <t>1EK</t>
        </is>
      </c>
      <c r="B62" t="inlineStr"/>
      <c r="C62" s="28" t="n"/>
      <c r="D62" t="n">
        <v>474</v>
      </c>
      <c r="E62" s="24" t="n">
        <v>46087</v>
      </c>
      <c r="F62" s="24" t="n">
        <v>46092</v>
      </c>
      <c r="G62" t="inlineStr">
        <is>
          <t>TTAF Stock</t>
        </is>
      </c>
      <c r="H62">
        <f>MAX(1,MIN(104,INT((IF(F62="",E62,F62)-DATE(2025,12,29))/7)+1))</f>
        <v/>
      </c>
    </row>
    <row r="63">
      <c r="A63" t="inlineStr">
        <is>
          <t>7CL</t>
        </is>
      </c>
      <c r="B63" t="inlineStr"/>
      <c r="C63" s="28" t="n"/>
      <c r="D63" t="n">
        <v>1620</v>
      </c>
      <c r="E63" s="24" t="n">
        <v>46069</v>
      </c>
      <c r="F63" s="24" t="n">
        <v>46070</v>
      </c>
      <c r="G63" t="inlineStr">
        <is>
          <t>TTAF Stock</t>
        </is>
      </c>
      <c r="H63">
        <f>MAX(1,MIN(104,INT((IF(F63="",E63,F63)-DATE(2025,12,29))/7)+1))</f>
        <v/>
      </c>
    </row>
    <row r="64">
      <c r="A64" t="inlineStr">
        <is>
          <t>9RN</t>
        </is>
      </c>
      <c r="B64" t="inlineStr">
        <is>
          <t>PO066735</t>
        </is>
      </c>
      <c r="C64" s="28" t="n"/>
      <c r="D64" t="n">
        <v>19206</v>
      </c>
      <c r="E64" s="24" t="n">
        <v>46033</v>
      </c>
      <c r="F64" s="24" t="n">
        <v>46041</v>
      </c>
      <c r="G64" t="inlineStr">
        <is>
          <t>TTAF Stock</t>
        </is>
      </c>
      <c r="H64">
        <f>MAX(1,MIN(104,INT((IF(F64="",E64,F64)-DATE(2025,12,29))/7)+1))</f>
        <v/>
      </c>
    </row>
    <row r="65">
      <c r="A65" t="inlineStr">
        <is>
          <t>9RN</t>
        </is>
      </c>
      <c r="B65" t="inlineStr">
        <is>
          <t>PO066735</t>
        </is>
      </c>
      <c r="C65" s="28" t="n"/>
      <c r="D65" t="n">
        <v>15642</v>
      </c>
      <c r="E65" s="24" t="n">
        <v>46033</v>
      </c>
      <c r="F65" s="24" t="n">
        <v>46041</v>
      </c>
      <c r="G65" t="inlineStr">
        <is>
          <t>TTAF Stock</t>
        </is>
      </c>
      <c r="H65">
        <f>MAX(1,MIN(104,INT((IF(F65="",E65,F65)-DATE(2025,12,29))/7)+1))</f>
        <v/>
      </c>
    </row>
    <row r="66">
      <c r="A66" t="inlineStr">
        <is>
          <t>F2290</t>
        </is>
      </c>
      <c r="B66" t="inlineStr">
        <is>
          <t>PO066735</t>
        </is>
      </c>
      <c r="C66" s="28" t="n"/>
      <c r="D66" t="n">
        <v>1980</v>
      </c>
      <c r="E66" s="24" t="n">
        <v>46033</v>
      </c>
      <c r="F66" s="24" t="n">
        <v>46041</v>
      </c>
      <c r="G66" t="inlineStr">
        <is>
          <t>TTAF Stock</t>
        </is>
      </c>
      <c r="H66">
        <f>MAX(1,MIN(104,INT((IF(F66="",E66,F66)-DATE(2025,12,29))/7)+1))</f>
        <v/>
      </c>
    </row>
    <row r="67">
      <c r="A67" t="inlineStr">
        <is>
          <t>0JN</t>
        </is>
      </c>
      <c r="B67" t="inlineStr">
        <is>
          <t>PO066755</t>
        </is>
      </c>
      <c r="C67" s="28" t="n"/>
      <c r="D67" t="n">
        <v>1584</v>
      </c>
      <c r="E67" s="24" t="n">
        <v>46047</v>
      </c>
      <c r="F67" s="24" t="n">
        <v>46049</v>
      </c>
      <c r="G67" t="inlineStr">
        <is>
          <t>TTAF Stock</t>
        </is>
      </c>
      <c r="H67">
        <f>MAX(1,MIN(104,INT((IF(F67="",E67,F67)-DATE(2025,12,29))/7)+1))</f>
        <v/>
      </c>
    </row>
    <row r="68">
      <c r="A68" t="inlineStr">
        <is>
          <t>0JN</t>
        </is>
      </c>
      <c r="B68" t="inlineStr">
        <is>
          <t>PO066755</t>
        </is>
      </c>
      <c r="C68" s="28" t="n"/>
      <c r="D68" t="n">
        <v>18530</v>
      </c>
      <c r="E68" s="24" t="n">
        <v>46076</v>
      </c>
      <c r="F68" s="24" t="n">
        <v>46079</v>
      </c>
      <c r="G68" t="inlineStr">
        <is>
          <t>TTAF Stock</t>
        </is>
      </c>
      <c r="H68">
        <f>MAX(1,MIN(104,INT((IF(F68="",E68,F68)-DATE(2025,12,29))/7)+1))</f>
        <v/>
      </c>
    </row>
    <row r="69">
      <c r="A69" t="inlineStr">
        <is>
          <t>CHEM-1240</t>
        </is>
      </c>
      <c r="B69" t="inlineStr">
        <is>
          <t>PO066939</t>
        </is>
      </c>
      <c r="C69" s="28" t="n"/>
      <c r="D69" t="n">
        <v>880</v>
      </c>
      <c r="E69" s="24" t="n">
        <v>46068</v>
      </c>
      <c r="F69" s="24" t="n">
        <v>46072</v>
      </c>
      <c r="G69" t="inlineStr">
        <is>
          <t>TTAF Stock</t>
        </is>
      </c>
      <c r="H69">
        <f>MAX(1,MIN(104,INT((IF(F69="",E69,F69)-DATE(2025,12,29))/7)+1))</f>
        <v/>
      </c>
    </row>
    <row r="70">
      <c r="A70" t="inlineStr">
        <is>
          <t>CHEM-1250</t>
        </is>
      </c>
      <c r="B70" t="inlineStr">
        <is>
          <t>PO066939</t>
        </is>
      </c>
      <c r="C70" s="28" t="n"/>
      <c r="D70" t="n">
        <v>50</v>
      </c>
      <c r="E70" s="24" t="n">
        <v>46068</v>
      </c>
      <c r="F70" s="24" t="n">
        <v>46072</v>
      </c>
      <c r="G70" t="inlineStr">
        <is>
          <t>TTAF Stock</t>
        </is>
      </c>
      <c r="H70">
        <f>MAX(1,MIN(104,INT((IF(F70="",E70,F70)-DATE(2025,12,29))/7)+1))</f>
        <v/>
      </c>
    </row>
    <row r="71">
      <c r="A71" t="inlineStr">
        <is>
          <t>CHEM-1400</t>
        </is>
      </c>
      <c r="B71" t="inlineStr">
        <is>
          <t>PO066939</t>
        </is>
      </c>
      <c r="C71" s="28" t="n"/>
      <c r="D71" t="n">
        <v>250</v>
      </c>
      <c r="E71" s="24" t="n">
        <v>46068</v>
      </c>
      <c r="F71" s="24" t="n">
        <v>46072</v>
      </c>
      <c r="G71" t="inlineStr">
        <is>
          <t>TTAF Stock</t>
        </is>
      </c>
      <c r="H71">
        <f>MAX(1,MIN(104,INT((IF(F71="",E71,F71)-DATE(2025,12,29))/7)+1))</f>
        <v/>
      </c>
    </row>
    <row r="72">
      <c r="A72" t="inlineStr">
        <is>
          <t>CHEM-1420</t>
        </is>
      </c>
      <c r="B72" t="inlineStr">
        <is>
          <t>PO066939</t>
        </is>
      </c>
      <c r="C72" s="28" t="n"/>
      <c r="D72" t="n">
        <v>240</v>
      </c>
      <c r="E72" s="24" t="n">
        <v>46068</v>
      </c>
      <c r="F72" s="24" t="n">
        <v>46072</v>
      </c>
      <c r="G72" t="inlineStr">
        <is>
          <t>TTAF Stock</t>
        </is>
      </c>
      <c r="H72">
        <f>MAX(1,MIN(104,INT((IF(F72="",E72,F72)-DATE(2025,12,29))/7)+1))</f>
        <v/>
      </c>
    </row>
    <row r="73">
      <c r="A73" t="inlineStr">
        <is>
          <t>CHEM-1440</t>
        </is>
      </c>
      <c r="B73" t="inlineStr">
        <is>
          <t>PO066939</t>
        </is>
      </c>
      <c r="C73" s="28" t="n"/>
      <c r="D73" t="n">
        <v>200</v>
      </c>
      <c r="E73" s="24" t="n">
        <v>46068</v>
      </c>
      <c r="F73" s="24" t="n">
        <v>46072</v>
      </c>
      <c r="G73" t="inlineStr">
        <is>
          <t>TTAF Stock</t>
        </is>
      </c>
      <c r="H73">
        <f>MAX(1,MIN(104,INT((IF(F73="",E73,F73)-DATE(2025,12,29))/7)+1))</f>
        <v/>
      </c>
    </row>
    <row r="74">
      <c r="A74" t="inlineStr">
        <is>
          <t>CHEM-1540</t>
        </is>
      </c>
      <c r="B74" t="inlineStr">
        <is>
          <t>PO066939</t>
        </is>
      </c>
      <c r="C74" s="28" t="n"/>
      <c r="D74" t="n">
        <v>2500</v>
      </c>
      <c r="E74" s="24" t="n">
        <v>46068</v>
      </c>
      <c r="F74" s="24" t="n">
        <v>46072</v>
      </c>
      <c r="G74" t="inlineStr">
        <is>
          <t>TTAF Stock</t>
        </is>
      </c>
      <c r="H74">
        <f>MAX(1,MIN(104,INT((IF(F74="",E74,F74)-DATE(2025,12,29))/7)+1))</f>
        <v/>
      </c>
    </row>
    <row r="75">
      <c r="A75" t="inlineStr">
        <is>
          <t>CHEM-1530</t>
        </is>
      </c>
      <c r="B75" t="inlineStr">
        <is>
          <t>PO066939</t>
        </is>
      </c>
      <c r="C75" s="28" t="n"/>
      <c r="D75" t="n">
        <v>2100</v>
      </c>
      <c r="E75" s="24" t="n">
        <v>46068</v>
      </c>
      <c r="F75" s="24" t="n">
        <v>46072</v>
      </c>
      <c r="G75" t="inlineStr">
        <is>
          <t>TTAF Stock</t>
        </is>
      </c>
      <c r="H75">
        <f>MAX(1,MIN(104,INT((IF(F75="",E75,F75)-DATE(2025,12,29))/7)+1))</f>
        <v/>
      </c>
    </row>
    <row r="76">
      <c r="A76" t="inlineStr">
        <is>
          <t>CHEM-1600</t>
        </is>
      </c>
      <c r="B76" t="inlineStr">
        <is>
          <t>PO066939</t>
        </is>
      </c>
      <c r="C76" s="28" t="n"/>
      <c r="D76" t="n">
        <v>300</v>
      </c>
      <c r="E76" s="24" t="n">
        <v>46068</v>
      </c>
      <c r="F76" s="24" t="n">
        <v>46072</v>
      </c>
      <c r="G76" t="inlineStr">
        <is>
          <t>TTAF Stock</t>
        </is>
      </c>
      <c r="H76">
        <f>MAX(1,MIN(104,INT((IF(F76="",E76,F76)-DATE(2025,12,29))/7)+1))</f>
        <v/>
      </c>
    </row>
    <row r="77">
      <c r="A77" t="inlineStr">
        <is>
          <t>CHEM-1570</t>
        </is>
      </c>
      <c r="B77" t="inlineStr">
        <is>
          <t>PO066939</t>
        </is>
      </c>
      <c r="C77" s="28" t="n"/>
      <c r="D77" t="n">
        <v>36</v>
      </c>
      <c r="E77" s="24" t="n">
        <v>46068</v>
      </c>
      <c r="F77" s="24" t="n">
        <v>46072</v>
      </c>
      <c r="G77" t="inlineStr">
        <is>
          <t>TTAF Stock</t>
        </is>
      </c>
      <c r="H77">
        <f>MAX(1,MIN(104,INT((IF(F77="",E77,F77)-DATE(2025,12,29))/7)+1))</f>
        <v/>
      </c>
    </row>
    <row r="78">
      <c r="A78" t="inlineStr">
        <is>
          <t>CHEM-1670</t>
        </is>
      </c>
      <c r="B78" t="inlineStr">
        <is>
          <t>PO066939</t>
        </is>
      </c>
      <c r="C78" s="28" t="n"/>
      <c r="D78" t="n">
        <v>180</v>
      </c>
      <c r="E78" s="24" t="n">
        <v>46068</v>
      </c>
      <c r="F78" s="24" t="n">
        <v>46072</v>
      </c>
      <c r="G78" t="inlineStr">
        <is>
          <t>TTAF Stock</t>
        </is>
      </c>
      <c r="H78">
        <f>MAX(1,MIN(104,INT((IF(F78="",E78,F78)-DATE(2025,12,29))/7)+1))</f>
        <v/>
      </c>
    </row>
    <row r="79">
      <c r="A79" t="inlineStr">
        <is>
          <t>CHEM-1690</t>
        </is>
      </c>
      <c r="B79" t="inlineStr">
        <is>
          <t>PO066939</t>
        </is>
      </c>
      <c r="C79" s="28" t="n"/>
      <c r="D79" t="n">
        <v>135</v>
      </c>
      <c r="E79" s="24" t="n">
        <v>46068</v>
      </c>
      <c r="F79" s="24" t="n">
        <v>46072</v>
      </c>
      <c r="G79" t="inlineStr">
        <is>
          <t>TTAF Stock</t>
        </is>
      </c>
      <c r="H79">
        <f>MAX(1,MIN(104,INT((IF(F79="",E79,F79)-DATE(2025,12,29))/7)+1))</f>
        <v/>
      </c>
    </row>
    <row r="80">
      <c r="A80" t="inlineStr">
        <is>
          <t>CHEM-1700</t>
        </is>
      </c>
      <c r="B80" t="inlineStr">
        <is>
          <t>PO066939</t>
        </is>
      </c>
      <c r="C80" s="28" t="n"/>
      <c r="D80" t="n">
        <v>60</v>
      </c>
      <c r="E80" s="24" t="n">
        <v>46068</v>
      </c>
      <c r="F80" s="24" t="n">
        <v>46072</v>
      </c>
      <c r="G80" t="inlineStr">
        <is>
          <t>TTAF Stock</t>
        </is>
      </c>
      <c r="H80">
        <f>MAX(1,MIN(104,INT((IF(F80="",E80,F80)-DATE(2025,12,29))/7)+1))</f>
        <v/>
      </c>
    </row>
    <row r="81">
      <c r="A81" t="inlineStr">
        <is>
          <t>CHEM-1720</t>
        </is>
      </c>
      <c r="B81" t="inlineStr">
        <is>
          <t>PO066939</t>
        </is>
      </c>
      <c r="C81" s="28" t="n"/>
      <c r="D81" t="n">
        <v>2040</v>
      </c>
      <c r="E81" s="24" t="n">
        <v>46068</v>
      </c>
      <c r="F81" s="24" t="n">
        <v>46072</v>
      </c>
      <c r="G81" t="inlineStr">
        <is>
          <t>TTAF Stock</t>
        </is>
      </c>
      <c r="H81">
        <f>MAX(1,MIN(104,INT((IF(F81="",E81,F81)-DATE(2025,12,29))/7)+1))</f>
        <v/>
      </c>
    </row>
    <row r="82">
      <c r="A82" t="inlineStr">
        <is>
          <t>CHEM-1760</t>
        </is>
      </c>
      <c r="B82" t="inlineStr">
        <is>
          <t>PO066939</t>
        </is>
      </c>
      <c r="C82" s="28" t="n"/>
      <c r="D82" t="n">
        <v>17</v>
      </c>
      <c r="E82" s="24" t="n">
        <v>46068</v>
      </c>
      <c r="F82" s="24" t="n">
        <v>46072</v>
      </c>
      <c r="G82" t="inlineStr">
        <is>
          <t>TTAF Stock</t>
        </is>
      </c>
      <c r="H82">
        <f>MAX(1,MIN(104,INT((IF(F82="",E82,F82)-DATE(2025,12,29))/7)+1))</f>
        <v/>
      </c>
    </row>
    <row r="83">
      <c r="A83" t="inlineStr">
        <is>
          <t>CHEM-1200</t>
        </is>
      </c>
      <c r="B83" t="inlineStr">
        <is>
          <t>PO066939</t>
        </is>
      </c>
      <c r="C83" s="28" t="n"/>
      <c r="D83" t="n">
        <v>25</v>
      </c>
      <c r="E83" s="24" t="n">
        <v>46068</v>
      </c>
      <c r="F83" s="24" t="n">
        <v>46072</v>
      </c>
      <c r="G83" t="inlineStr">
        <is>
          <t>TTAF Stock</t>
        </is>
      </c>
      <c r="H83">
        <f>MAX(1,MIN(104,INT((IF(F83="",E83,F83)-DATE(2025,12,29))/7)+1))</f>
        <v/>
      </c>
    </row>
    <row r="84">
      <c r="A84" t="inlineStr">
        <is>
          <t>CHEM-1680</t>
        </is>
      </c>
      <c r="B84" t="inlineStr">
        <is>
          <t>PO066939</t>
        </is>
      </c>
      <c r="C84" s="28" t="n"/>
      <c r="D84" t="n">
        <v>200</v>
      </c>
      <c r="E84" s="24" t="n">
        <v>46068</v>
      </c>
      <c r="F84" s="24" t="n">
        <v>46072</v>
      </c>
      <c r="G84" t="inlineStr">
        <is>
          <t>TTAF Stock</t>
        </is>
      </c>
      <c r="H84">
        <f>MAX(1,MIN(104,INT((IF(F84="",E84,F84)-DATE(2025,12,29))/7)+1))</f>
        <v/>
      </c>
    </row>
    <row r="85">
      <c r="A85" t="inlineStr">
        <is>
          <t>CHEM-1660</t>
        </is>
      </c>
      <c r="B85" t="inlineStr">
        <is>
          <t>PO066949</t>
        </is>
      </c>
      <c r="C85" s="28" t="n"/>
      <c r="D85" t="n">
        <v>60</v>
      </c>
      <c r="E85" s="24" t="n">
        <v>46056</v>
      </c>
      <c r="G85" t="inlineStr">
        <is>
          <t>TTAF Stock</t>
        </is>
      </c>
      <c r="H85">
        <f>MAX(1,MIN(104,INT((IF(F85="",E85,F85)-DATE(2025,12,29))/7)+1))</f>
        <v/>
      </c>
    </row>
    <row r="86">
      <c r="A86" t="inlineStr">
        <is>
          <t>CHEM-1830</t>
        </is>
      </c>
      <c r="B86" t="inlineStr"/>
      <c r="C86" s="28" t="n"/>
      <c r="D86" t="n">
        <v>75</v>
      </c>
      <c r="E86" s="24" t="n">
        <v>46068</v>
      </c>
      <c r="F86" s="24" t="n">
        <v>46072</v>
      </c>
      <c r="G86" t="inlineStr">
        <is>
          <t>TTAF Stock</t>
        </is>
      </c>
      <c r="H86">
        <f>MAX(1,MIN(104,INT((IF(F86="",E86,F86)-DATE(2025,12,29))/7)+1))</f>
        <v/>
      </c>
    </row>
    <row r="87">
      <c r="A87" t="inlineStr">
        <is>
          <t>CHEM-1820</t>
        </is>
      </c>
      <c r="B87" t="inlineStr"/>
      <c r="C87" s="28" t="n"/>
      <c r="D87" t="n">
        <v>500</v>
      </c>
      <c r="E87" s="24" t="n">
        <v>46068</v>
      </c>
      <c r="F87" s="24" t="n">
        <v>46072</v>
      </c>
      <c r="G87" t="inlineStr">
        <is>
          <t>TTAF Stock</t>
        </is>
      </c>
      <c r="H87">
        <f>MAX(1,MIN(104,INT((IF(F87="",E87,F87)-DATE(2025,12,29))/7)+1))</f>
        <v/>
      </c>
    </row>
    <row r="88">
      <c r="A88" t="inlineStr">
        <is>
          <t>CHEM-1840</t>
        </is>
      </c>
      <c r="B88" t="inlineStr"/>
      <c r="C88" s="28" t="n"/>
      <c r="D88" t="n">
        <v>18</v>
      </c>
      <c r="E88" s="24" t="n">
        <v>46068</v>
      </c>
      <c r="F88" s="24" t="n">
        <v>46072</v>
      </c>
      <c r="G88" t="inlineStr">
        <is>
          <t>TTAF Stock</t>
        </is>
      </c>
      <c r="H88">
        <f>MAX(1,MIN(104,INT((IF(F88="",E88,F88)-DATE(2025,12,29))/7)+1))</f>
        <v/>
      </c>
    </row>
    <row r="89">
      <c r="A89" t="inlineStr">
        <is>
          <t>TPP-1469</t>
        </is>
      </c>
      <c r="B89" t="inlineStr"/>
      <c r="C89" s="28" t="n"/>
      <c r="D89" t="n">
        <v>18.64</v>
      </c>
      <c r="E89" s="24" t="n">
        <v>46068</v>
      </c>
      <c r="F89" s="24" t="n">
        <v>46072</v>
      </c>
      <c r="G89" t="inlineStr">
        <is>
          <t>TTAF Stock</t>
        </is>
      </c>
      <c r="H89">
        <f>MAX(1,MIN(104,INT((IF(F89="",E89,F89)-DATE(2025,12,29))/7)+1))</f>
        <v/>
      </c>
    </row>
    <row r="90">
      <c r="A90" t="inlineStr">
        <is>
          <t>4HL</t>
        </is>
      </c>
      <c r="B90" t="inlineStr"/>
      <c r="C90" s="28" t="n"/>
      <c r="D90" t="n">
        <v>9120</v>
      </c>
      <c r="E90" s="24" t="n">
        <v>46075</v>
      </c>
      <c r="F90" s="24" t="n">
        <v>46079</v>
      </c>
      <c r="G90" t="inlineStr">
        <is>
          <t>TTAF Stock</t>
        </is>
      </c>
      <c r="H90">
        <f>MAX(1,MIN(104,INT((IF(F90="",E90,F90)-DATE(2025,12,29))/7)+1))</f>
        <v/>
      </c>
    </row>
    <row r="91">
      <c r="A91" t="inlineStr">
        <is>
          <t>4HL</t>
        </is>
      </c>
      <c r="B91" t="inlineStr"/>
      <c r="C91" s="28" t="n"/>
      <c r="D91" t="n">
        <v>14400</v>
      </c>
      <c r="E91" s="24" t="n">
        <v>46097</v>
      </c>
      <c r="F91" s="24" t="n">
        <v>46102</v>
      </c>
      <c r="G91" t="inlineStr">
        <is>
          <t>TTAF Stock</t>
        </is>
      </c>
      <c r="H91">
        <f>MAX(1,MIN(104,INT((IF(F91="",E91,F91)-DATE(2025,12,29))/7)+1))</f>
        <v/>
      </c>
    </row>
    <row r="92">
      <c r="A92" t="inlineStr">
        <is>
          <t>4HL</t>
        </is>
      </c>
      <c r="B92" t="inlineStr"/>
      <c r="C92" s="28" t="n"/>
      <c r="D92" t="n">
        <v>14400</v>
      </c>
      <c r="E92" s="24" t="n">
        <v>46082</v>
      </c>
      <c r="F92" s="24" t="n">
        <v>46090</v>
      </c>
      <c r="G92" t="inlineStr">
        <is>
          <t>TTAF Stock</t>
        </is>
      </c>
      <c r="H92">
        <f>MAX(1,MIN(104,INT((IF(F92="",E92,F92)-DATE(2025,12,29))/7)+1))</f>
        <v/>
      </c>
    </row>
    <row r="93">
      <c r="A93" t="inlineStr">
        <is>
          <t>4HL</t>
        </is>
      </c>
      <c r="B93" t="inlineStr"/>
      <c r="C93" s="28" t="n"/>
      <c r="D93" t="n">
        <v>20640</v>
      </c>
      <c r="E93" s="24" t="n">
        <v>46092</v>
      </c>
      <c r="F93" s="24" t="n">
        <v>46098</v>
      </c>
      <c r="G93" t="inlineStr">
        <is>
          <t>TTAF Stock</t>
        </is>
      </c>
      <c r="H93">
        <f>MAX(1,MIN(104,INT((IF(F93="",E93,F93)-DATE(2025,12,29))/7)+1))</f>
        <v/>
      </c>
    </row>
    <row r="94">
      <c r="A94" t="inlineStr">
        <is>
          <t>4HL</t>
        </is>
      </c>
      <c r="B94" t="inlineStr"/>
      <c r="C94" s="28" t="n"/>
      <c r="D94" t="n">
        <v>16320</v>
      </c>
      <c r="E94" s="24" t="n">
        <v>46103</v>
      </c>
      <c r="F94" s="24" t="n">
        <v>46108</v>
      </c>
      <c r="G94" t="inlineStr">
        <is>
          <t>TTAF Stock</t>
        </is>
      </c>
      <c r="H94">
        <f>MAX(1,MIN(104,INT((IF(F94="",E94,F94)-DATE(2025,12,29))/7)+1))</f>
        <v/>
      </c>
    </row>
    <row r="95">
      <c r="A95" t="inlineStr">
        <is>
          <t>4HL</t>
        </is>
      </c>
      <c r="B95" t="inlineStr"/>
      <c r="C95" s="28" t="n"/>
      <c r="D95" t="n">
        <v>960</v>
      </c>
      <c r="E95" s="24" t="n">
        <v>46104</v>
      </c>
      <c r="F95" s="24" t="n">
        <v>46112</v>
      </c>
      <c r="G95" t="inlineStr">
        <is>
          <t>TTAF Stock</t>
        </is>
      </c>
      <c r="H95">
        <f>MAX(1,MIN(104,INT((IF(F95="",E95,F95)-DATE(2025,12,29))/7)+1))</f>
        <v/>
      </c>
    </row>
    <row r="96">
      <c r="A96" t="inlineStr">
        <is>
          <t>4HL</t>
        </is>
      </c>
      <c r="B96" t="inlineStr"/>
      <c r="C96" s="28" t="n"/>
      <c r="D96" t="n">
        <v>432</v>
      </c>
      <c r="E96" s="24" t="n">
        <v>46075</v>
      </c>
      <c r="F96" s="24" t="n">
        <v>46079</v>
      </c>
      <c r="G96" t="inlineStr">
        <is>
          <t>TTAF Stock</t>
        </is>
      </c>
      <c r="H96">
        <f>MAX(1,MIN(104,INT((IF(F96="",E96,F96)-DATE(2025,12,29))/7)+1))</f>
        <v/>
      </c>
    </row>
    <row r="97">
      <c r="A97" t="inlineStr">
        <is>
          <t>1EK</t>
        </is>
      </c>
      <c r="B97" t="inlineStr"/>
      <c r="C97" s="28" t="n"/>
      <c r="D97" t="n">
        <v>14400</v>
      </c>
      <c r="E97" s="24" t="n">
        <v>46075</v>
      </c>
      <c r="F97" s="24" t="n">
        <v>46079</v>
      </c>
      <c r="G97" t="inlineStr">
        <is>
          <t>TTAF Stock</t>
        </is>
      </c>
      <c r="H97">
        <f>MAX(1,MIN(104,INT((IF(F97="",E97,F97)-DATE(2025,12,29))/7)+1))</f>
        <v/>
      </c>
    </row>
    <row r="98">
      <c r="A98" t="inlineStr">
        <is>
          <t>1EK</t>
        </is>
      </c>
      <c r="B98" t="inlineStr"/>
      <c r="C98" s="28" t="n"/>
      <c r="D98" t="n">
        <v>14400</v>
      </c>
      <c r="E98" s="24" t="n">
        <v>46082</v>
      </c>
      <c r="F98" s="24" t="n">
        <v>46090</v>
      </c>
      <c r="G98" t="inlineStr">
        <is>
          <t>TTAF Stock</t>
        </is>
      </c>
      <c r="H98">
        <f>MAX(1,MIN(104,INT((IF(F98="",E98,F98)-DATE(2025,12,29))/7)+1))</f>
        <v/>
      </c>
    </row>
    <row r="99">
      <c r="A99" t="inlineStr">
        <is>
          <t>1EK</t>
        </is>
      </c>
      <c r="B99" t="inlineStr"/>
      <c r="C99" s="28" t="n"/>
      <c r="D99" t="n">
        <v>9120</v>
      </c>
      <c r="E99" s="24" t="n">
        <v>46092</v>
      </c>
      <c r="F99" s="24" t="n">
        <v>46098</v>
      </c>
      <c r="G99" t="inlineStr">
        <is>
          <t>TTAF Stock</t>
        </is>
      </c>
      <c r="H99">
        <f>MAX(1,MIN(104,INT((IF(F99="",E99,F99)-DATE(2025,12,29))/7)+1))</f>
        <v/>
      </c>
    </row>
    <row r="100">
      <c r="A100" t="inlineStr">
        <is>
          <t>TDJ</t>
        </is>
      </c>
      <c r="B100" t="inlineStr">
        <is>
          <t>PO066946</t>
        </is>
      </c>
      <c r="C100" s="28" t="n"/>
      <c r="D100" t="n">
        <v>784</v>
      </c>
      <c r="E100" s="24" t="n">
        <v>46112</v>
      </c>
      <c r="F100" s="24" t="n">
        <v>46114</v>
      </c>
      <c r="G100" t="inlineStr">
        <is>
          <t>TTAF Stock</t>
        </is>
      </c>
      <c r="H100">
        <f>MAX(1,MIN(104,INT((IF(F100="",E100,F100)-DATE(2025,12,29))/7)+1))</f>
        <v/>
      </c>
    </row>
    <row r="101">
      <c r="A101" t="inlineStr">
        <is>
          <t>9RN</t>
        </is>
      </c>
      <c r="B101" t="inlineStr">
        <is>
          <t>PO066934</t>
        </is>
      </c>
      <c r="C101" s="28" t="n"/>
      <c r="D101" t="n">
        <v>21780</v>
      </c>
      <c r="E101" s="24" t="n">
        <v>46068</v>
      </c>
      <c r="F101" s="24" t="n">
        <v>46072</v>
      </c>
      <c r="G101" t="inlineStr">
        <is>
          <t>TTAF Stock</t>
        </is>
      </c>
      <c r="H101">
        <f>MAX(1,MIN(104,INT((IF(F101="",E101,F101)-DATE(2025,12,29))/7)+1))</f>
        <v/>
      </c>
    </row>
    <row r="102">
      <c r="A102" t="inlineStr">
        <is>
          <t>0JN</t>
        </is>
      </c>
      <c r="B102" t="inlineStr">
        <is>
          <t>PO066940</t>
        </is>
      </c>
      <c r="C102" s="28" t="n"/>
      <c r="D102" t="n">
        <v>8243</v>
      </c>
      <c r="E102" s="24" t="n">
        <v>46095</v>
      </c>
      <c r="F102" s="24" t="n">
        <v>46099</v>
      </c>
      <c r="G102" t="inlineStr">
        <is>
          <t>TTAF Stock</t>
        </is>
      </c>
      <c r="H102">
        <f>MAX(1,MIN(104,INT((IF(F102="",E102,F102)-DATE(2025,12,29))/7)+1))</f>
        <v/>
      </c>
    </row>
    <row r="103">
      <c r="A103" t="inlineStr">
        <is>
          <t>CHEM-1240</t>
        </is>
      </c>
      <c r="B103" t="inlineStr">
        <is>
          <t>PO067067</t>
        </is>
      </c>
      <c r="C103" s="28" t="n"/>
      <c r="D103" t="n">
        <v>440</v>
      </c>
      <c r="E103" s="24" t="n">
        <v>46092</v>
      </c>
      <c r="F103" s="24" t="n">
        <v>46099</v>
      </c>
      <c r="G103" t="inlineStr">
        <is>
          <t>TTAF Stock</t>
        </is>
      </c>
      <c r="H103">
        <f>MAX(1,MIN(104,INT((IF(F103="",E103,F103)-DATE(2025,12,29))/7)+1))</f>
        <v/>
      </c>
    </row>
    <row r="104">
      <c r="A104" t="inlineStr">
        <is>
          <t>CHEM-1250</t>
        </is>
      </c>
      <c r="B104" t="inlineStr">
        <is>
          <t>PO067067</t>
        </is>
      </c>
      <c r="C104" s="28" t="n"/>
      <c r="D104" t="n">
        <v>100</v>
      </c>
      <c r="E104" s="24" t="n">
        <v>46092</v>
      </c>
      <c r="F104" s="24" t="n">
        <v>46099</v>
      </c>
      <c r="G104" t="inlineStr">
        <is>
          <t>TTAF Stock</t>
        </is>
      </c>
      <c r="H104">
        <f>MAX(1,MIN(104,INT((IF(F104="",E104,F104)-DATE(2025,12,29))/7)+1))</f>
        <v/>
      </c>
    </row>
    <row r="105">
      <c r="A105" t="inlineStr">
        <is>
          <t>CHEM-1400</t>
        </is>
      </c>
      <c r="B105" t="inlineStr">
        <is>
          <t>PO067067</t>
        </is>
      </c>
      <c r="C105" s="28" t="n"/>
      <c r="D105" t="n">
        <v>100</v>
      </c>
      <c r="E105" s="24" t="n">
        <v>46092</v>
      </c>
      <c r="F105" s="24" t="n">
        <v>46099</v>
      </c>
      <c r="G105" t="inlineStr">
        <is>
          <t>TTAF Stock</t>
        </is>
      </c>
      <c r="H105">
        <f>MAX(1,MIN(104,INT((IF(F105="",E105,F105)-DATE(2025,12,29))/7)+1))</f>
        <v/>
      </c>
    </row>
    <row r="106">
      <c r="A106" t="inlineStr">
        <is>
          <t>CHEM-1420</t>
        </is>
      </c>
      <c r="B106" t="inlineStr">
        <is>
          <t>PO067067</t>
        </is>
      </c>
      <c r="C106" s="28" t="n"/>
      <c r="D106" t="n">
        <v>160</v>
      </c>
      <c r="E106" s="24" t="n">
        <v>46092</v>
      </c>
      <c r="F106" s="24" t="n">
        <v>46099</v>
      </c>
      <c r="G106" t="inlineStr">
        <is>
          <t>TTAF Stock</t>
        </is>
      </c>
      <c r="H106">
        <f>MAX(1,MIN(104,INT((IF(F106="",E106,F106)-DATE(2025,12,29))/7)+1))</f>
        <v/>
      </c>
    </row>
    <row r="107">
      <c r="A107" t="inlineStr">
        <is>
          <t>CHEM-1440</t>
        </is>
      </c>
      <c r="B107" t="inlineStr">
        <is>
          <t>PO067067</t>
        </is>
      </c>
      <c r="C107" s="28" t="n"/>
      <c r="D107" t="n">
        <v>200</v>
      </c>
      <c r="E107" s="24" t="n">
        <v>46092</v>
      </c>
      <c r="F107" s="24" t="n">
        <v>46099</v>
      </c>
      <c r="G107" t="inlineStr">
        <is>
          <t>TTAF Stock</t>
        </is>
      </c>
      <c r="H107">
        <f>MAX(1,MIN(104,INT((IF(F107="",E107,F107)-DATE(2025,12,29))/7)+1))</f>
        <v/>
      </c>
    </row>
    <row r="108">
      <c r="A108" t="inlineStr">
        <is>
          <t>CHEM-1540</t>
        </is>
      </c>
      <c r="B108" t="inlineStr">
        <is>
          <t>PO067067</t>
        </is>
      </c>
      <c r="C108" s="28" t="n"/>
      <c r="D108" t="n">
        <v>3000</v>
      </c>
      <c r="E108" s="24" t="n">
        <v>46092</v>
      </c>
      <c r="F108" s="24" t="n">
        <v>46099</v>
      </c>
      <c r="G108" t="inlineStr">
        <is>
          <t>TTAF Stock</t>
        </is>
      </c>
      <c r="H108">
        <f>MAX(1,MIN(104,INT((IF(F108="",E108,F108)-DATE(2025,12,29))/7)+1))</f>
        <v/>
      </c>
    </row>
    <row r="109">
      <c r="A109" t="inlineStr">
        <is>
          <t>CHEM-1530</t>
        </is>
      </c>
      <c r="B109" t="inlineStr">
        <is>
          <t>PO067067</t>
        </is>
      </c>
      <c r="C109" s="28" t="n"/>
      <c r="D109" t="n">
        <v>2100</v>
      </c>
      <c r="E109" s="24" t="n">
        <v>46092</v>
      </c>
      <c r="F109" s="24" t="n">
        <v>46099</v>
      </c>
      <c r="G109" t="inlineStr">
        <is>
          <t>TTAF Stock</t>
        </is>
      </c>
      <c r="H109">
        <f>MAX(1,MIN(104,INT((IF(F109="",E109,F109)-DATE(2025,12,29))/7)+1))</f>
        <v/>
      </c>
    </row>
    <row r="110">
      <c r="A110" t="inlineStr">
        <is>
          <t>CHEM-1600</t>
        </is>
      </c>
      <c r="B110" t="inlineStr">
        <is>
          <t>PO067067</t>
        </is>
      </c>
      <c r="C110" s="28" t="n"/>
      <c r="D110" t="n">
        <v>100</v>
      </c>
      <c r="E110" s="24" t="n">
        <v>46092</v>
      </c>
      <c r="F110" s="24" t="n">
        <v>46099</v>
      </c>
      <c r="G110" t="inlineStr">
        <is>
          <t>TTAF Stock</t>
        </is>
      </c>
      <c r="H110">
        <f>MAX(1,MIN(104,INT((IF(F110="",E110,F110)-DATE(2025,12,29))/7)+1))</f>
        <v/>
      </c>
    </row>
    <row r="111">
      <c r="A111" t="inlineStr">
        <is>
          <t>CHEM-1570</t>
        </is>
      </c>
      <c r="B111" t="inlineStr">
        <is>
          <t>PO067067</t>
        </is>
      </c>
      <c r="C111" s="28" t="n"/>
      <c r="D111" t="n">
        <v>36</v>
      </c>
      <c r="E111" s="24" t="n">
        <v>46092</v>
      </c>
      <c r="F111" s="24" t="n">
        <v>46099</v>
      </c>
      <c r="G111" t="inlineStr">
        <is>
          <t>TTAF Stock</t>
        </is>
      </c>
      <c r="H111">
        <f>MAX(1,MIN(104,INT((IF(F111="",E111,F111)-DATE(2025,12,29))/7)+1))</f>
        <v/>
      </c>
    </row>
    <row r="112">
      <c r="A112" t="inlineStr">
        <is>
          <t>CHEM-1670</t>
        </is>
      </c>
      <c r="B112" t="inlineStr">
        <is>
          <t>PO067067</t>
        </is>
      </c>
      <c r="C112" s="28" t="n"/>
      <c r="D112" t="n">
        <v>180</v>
      </c>
      <c r="E112" s="24" t="n">
        <v>46092</v>
      </c>
      <c r="F112" s="24" t="n">
        <v>46099</v>
      </c>
      <c r="G112" t="inlineStr">
        <is>
          <t>TTAF Stock</t>
        </is>
      </c>
      <c r="H112">
        <f>MAX(1,MIN(104,INT((IF(F112="",E112,F112)-DATE(2025,12,29))/7)+1))</f>
        <v/>
      </c>
    </row>
    <row r="113">
      <c r="A113" t="inlineStr">
        <is>
          <t>CHEM-1700</t>
        </is>
      </c>
      <c r="B113" t="inlineStr">
        <is>
          <t>PO067067</t>
        </is>
      </c>
      <c r="C113" s="28" t="n"/>
      <c r="D113" t="n">
        <v>60</v>
      </c>
      <c r="E113" s="24" t="n">
        <v>46092</v>
      </c>
      <c r="F113" s="24" t="n">
        <v>46099</v>
      </c>
      <c r="G113" t="inlineStr">
        <is>
          <t>TTAF Stock</t>
        </is>
      </c>
      <c r="H113">
        <f>MAX(1,MIN(104,INT((IF(F113="",E113,F113)-DATE(2025,12,29))/7)+1))</f>
        <v/>
      </c>
    </row>
    <row r="114">
      <c r="A114" t="inlineStr">
        <is>
          <t>CHEM-1720</t>
        </is>
      </c>
      <c r="B114" t="inlineStr">
        <is>
          <t>PO067067</t>
        </is>
      </c>
      <c r="C114" s="28" t="n"/>
      <c r="D114" t="n">
        <v>720</v>
      </c>
      <c r="E114" s="24" t="n">
        <v>46092</v>
      </c>
      <c r="F114" s="24" t="n">
        <v>46099</v>
      </c>
      <c r="G114" t="inlineStr">
        <is>
          <t>TTAF Stock</t>
        </is>
      </c>
      <c r="H114">
        <f>MAX(1,MIN(104,INT((IF(F114="",E114,F114)-DATE(2025,12,29))/7)+1))</f>
        <v/>
      </c>
    </row>
    <row r="115">
      <c r="A115" t="inlineStr">
        <is>
          <t>PP FILM</t>
        </is>
      </c>
      <c r="B115" t="inlineStr">
        <is>
          <t>PO067067</t>
        </is>
      </c>
      <c r="C115" s="28" t="n"/>
      <c r="D115" t="n">
        <v>3000</v>
      </c>
      <c r="E115" s="24" t="n">
        <v>46092</v>
      </c>
      <c r="F115" s="24" t="n">
        <v>46099</v>
      </c>
      <c r="G115" t="inlineStr">
        <is>
          <t>TTAF Stock</t>
        </is>
      </c>
      <c r="H115">
        <f>MAX(1,MIN(104,INT((IF(F115="",E115,F115)-DATE(2025,12,29))/7)+1))</f>
        <v/>
      </c>
    </row>
    <row r="116">
      <c r="A116" t="inlineStr">
        <is>
          <t>CHEM-1650</t>
        </is>
      </c>
      <c r="B116" t="inlineStr">
        <is>
          <t>PO067067</t>
        </is>
      </c>
      <c r="C116" s="28" t="n"/>
      <c r="D116" t="n">
        <v>25</v>
      </c>
      <c r="E116" s="24" t="n">
        <v>46092</v>
      </c>
      <c r="F116" s="24" t="n">
        <v>46099</v>
      </c>
      <c r="G116" t="inlineStr">
        <is>
          <t>TTAF Stock</t>
        </is>
      </c>
      <c r="H116">
        <f>MAX(1,MIN(104,INT((IF(F116="",E116,F116)-DATE(2025,12,29))/7)+1))</f>
        <v/>
      </c>
    </row>
    <row r="117">
      <c r="A117" t="inlineStr">
        <is>
          <t>Original Towel</t>
        </is>
      </c>
      <c r="B117" t="inlineStr">
        <is>
          <t>PO067067</t>
        </is>
      </c>
      <c r="C117" s="28" t="n"/>
      <c r="D117" t="n">
        <v>10000</v>
      </c>
      <c r="E117" s="24" t="n">
        <v>46092</v>
      </c>
      <c r="F117" s="24" t="n">
        <v>46099</v>
      </c>
      <c r="G117" t="inlineStr">
        <is>
          <t>TTAF Stock</t>
        </is>
      </c>
      <c r="H117">
        <f>MAX(1,MIN(104,INT((IF(F117="",E117,F117)-DATE(2025,12,29))/7)+1))</f>
        <v/>
      </c>
    </row>
    <row r="118">
      <c r="A118" t="inlineStr">
        <is>
          <t>TPP-1469</t>
        </is>
      </c>
      <c r="B118" t="inlineStr"/>
      <c r="C118" s="28" t="n"/>
      <c r="D118" t="n">
        <v>18.7</v>
      </c>
      <c r="E118" s="24" t="n">
        <v>46092</v>
      </c>
      <c r="F118" s="24" t="n">
        <v>46099</v>
      </c>
      <c r="G118" t="inlineStr">
        <is>
          <t>TTAF Stock</t>
        </is>
      </c>
      <c r="H118">
        <f>MAX(1,MIN(104,INT((IF(F118="",E118,F118)-DATE(2025,12,29))/7)+1))</f>
        <v/>
      </c>
    </row>
    <row r="119">
      <c r="A119" t="inlineStr">
        <is>
          <t>CHEM-1660</t>
        </is>
      </c>
      <c r="B119" t="inlineStr">
        <is>
          <t>PO067070</t>
        </is>
      </c>
      <c r="C119" s="28" t="n"/>
      <c r="D119" t="n">
        <v>180</v>
      </c>
      <c r="E119" s="24" t="n">
        <v>46092</v>
      </c>
      <c r="F119" s="24" t="n">
        <v>46099</v>
      </c>
      <c r="G119" t="inlineStr">
        <is>
          <t>TTAF Stock</t>
        </is>
      </c>
      <c r="H119">
        <f>MAX(1,MIN(104,INT((IF(F119="",E119,F119)-DATE(2025,12,29))/7)+1))</f>
        <v/>
      </c>
    </row>
    <row r="120">
      <c r="A120" t="inlineStr">
        <is>
          <t>CHEM-1280</t>
        </is>
      </c>
      <c r="B120" t="inlineStr">
        <is>
          <t>PO067070</t>
        </is>
      </c>
      <c r="C120" s="28" t="n"/>
      <c r="D120" t="n">
        <v>1000</v>
      </c>
      <c r="E120" s="24" t="n">
        <v>46092</v>
      </c>
      <c r="F120" s="24" t="n">
        <v>46099</v>
      </c>
      <c r="G120" t="inlineStr">
        <is>
          <t>TTAF Stock</t>
        </is>
      </c>
      <c r="H120">
        <f>MAX(1,MIN(104,INT((IF(F120="",E120,F120)-DATE(2025,12,29))/7)+1))</f>
        <v/>
      </c>
    </row>
    <row r="121">
      <c r="A121" t="inlineStr">
        <is>
          <t>4HL</t>
        </is>
      </c>
      <c r="B121" t="inlineStr"/>
      <c r="C121" s="28" t="n"/>
      <c r="D121" t="n">
        <v>960</v>
      </c>
      <c r="E121" s="24" t="n">
        <v>46112</v>
      </c>
      <c r="F121" s="24" t="n">
        <v>46119</v>
      </c>
      <c r="G121" t="inlineStr">
        <is>
          <t>TTAF Stock</t>
        </is>
      </c>
      <c r="H121">
        <f>MAX(1,MIN(104,INT((IF(F121="",E121,F121)-DATE(2025,12,29))/7)+1))</f>
        <v/>
      </c>
    </row>
    <row r="122">
      <c r="A122" t="inlineStr">
        <is>
          <t>4HL</t>
        </is>
      </c>
      <c r="B122" t="inlineStr"/>
      <c r="C122" s="28" t="n"/>
      <c r="D122" t="n">
        <v>9600</v>
      </c>
      <c r="E122" s="24" t="n">
        <v>46120</v>
      </c>
      <c r="F122" s="24" t="n">
        <v>46128</v>
      </c>
      <c r="G122" t="inlineStr">
        <is>
          <t>TTAF Stock</t>
        </is>
      </c>
      <c r="H122">
        <f>MAX(1,MIN(104,INT((IF(F122="",E122,F122)-DATE(2025,12,29))/7)+1))</f>
        <v/>
      </c>
    </row>
    <row r="123">
      <c r="A123" t="inlineStr">
        <is>
          <t>4HL</t>
        </is>
      </c>
      <c r="B123" t="inlineStr"/>
      <c r="C123" s="28" t="n"/>
      <c r="D123" t="n">
        <v>4800</v>
      </c>
      <c r="E123" s="24" t="n">
        <v>46112</v>
      </c>
      <c r="F123" s="24" t="n">
        <v>46125</v>
      </c>
      <c r="G123" t="inlineStr">
        <is>
          <t>TTAF Stock</t>
        </is>
      </c>
      <c r="H123">
        <f>MAX(1,MIN(104,INT((IF(F123="",E123,F123)-DATE(2025,12,29))/7)+1))</f>
        <v/>
      </c>
    </row>
    <row r="124">
      <c r="A124" t="inlineStr">
        <is>
          <t>4HL</t>
        </is>
      </c>
      <c r="B124" t="inlineStr"/>
      <c r="C124" s="28" t="n"/>
      <c r="D124" t="n">
        <v>480</v>
      </c>
      <c r="E124" s="24" t="n">
        <v>46112</v>
      </c>
      <c r="F124" s="24" t="n">
        <v>46114</v>
      </c>
      <c r="G124" t="inlineStr">
        <is>
          <t>TTAF Stock</t>
        </is>
      </c>
      <c r="H124">
        <f>MAX(1,MIN(104,INT((IF(F124="",E124,F124)-DATE(2025,12,29))/7)+1))</f>
        <v/>
      </c>
    </row>
    <row r="125">
      <c r="A125" t="inlineStr">
        <is>
          <t>4HL</t>
        </is>
      </c>
      <c r="B125" t="inlineStr"/>
      <c r="C125" s="28" t="n"/>
      <c r="D125" t="n">
        <v>5760</v>
      </c>
      <c r="E125" s="24" t="n">
        <v>46125</v>
      </c>
      <c r="F125" s="24" t="n">
        <v>46132</v>
      </c>
      <c r="G125" t="inlineStr">
        <is>
          <t>TTAF Stock</t>
        </is>
      </c>
      <c r="H125">
        <f>MAX(1,MIN(104,INT((IF(F125="",E125,F125)-DATE(2025,12,29))/7)+1))</f>
        <v/>
      </c>
    </row>
    <row r="126">
      <c r="A126" t="inlineStr">
        <is>
          <t>4HL</t>
        </is>
      </c>
      <c r="B126" t="inlineStr"/>
      <c r="C126" s="28" t="n"/>
      <c r="D126" t="n">
        <v>156</v>
      </c>
      <c r="E126" s="24" t="n">
        <v>46112</v>
      </c>
      <c r="F126" s="24" t="n">
        <v>46114</v>
      </c>
      <c r="G126" t="inlineStr">
        <is>
          <t>TTAF Stock</t>
        </is>
      </c>
      <c r="H126">
        <f>MAX(1,MIN(104,INT((IF(F126="",E126,F126)-DATE(2025,12,29))/7)+1))</f>
        <v/>
      </c>
    </row>
    <row r="127">
      <c r="A127" t="inlineStr">
        <is>
          <t>4HL</t>
        </is>
      </c>
      <c r="B127" t="inlineStr"/>
      <c r="C127" s="28" t="n"/>
      <c r="D127" t="n">
        <v>144</v>
      </c>
      <c r="E127" s="24" t="n">
        <v>46112</v>
      </c>
      <c r="F127" s="24" t="n">
        <v>46126</v>
      </c>
      <c r="G127" t="inlineStr">
        <is>
          <t>TTAF Stock</t>
        </is>
      </c>
      <c r="H127">
        <f>MAX(1,MIN(104,INT((IF(F127="",E127,F127)-DATE(2025,12,29))/7)+1))</f>
        <v/>
      </c>
    </row>
    <row r="128">
      <c r="A128" t="inlineStr">
        <is>
          <t>1EK</t>
        </is>
      </c>
      <c r="B128" t="inlineStr"/>
      <c r="C128" s="28" t="n"/>
      <c r="D128" t="n">
        <v>4800</v>
      </c>
      <c r="E128" s="24" t="n">
        <v>46098</v>
      </c>
      <c r="F128" s="24" t="n">
        <v>46105</v>
      </c>
      <c r="G128" t="inlineStr">
        <is>
          <t>TTAF Stock</t>
        </is>
      </c>
      <c r="H128">
        <f>MAX(1,MIN(104,INT((IF(F128="",E128,F128)-DATE(2025,12,29))/7)+1))</f>
        <v/>
      </c>
    </row>
    <row r="129">
      <c r="A129" t="inlineStr">
        <is>
          <t>1EK</t>
        </is>
      </c>
      <c r="B129" t="inlineStr"/>
      <c r="C129" s="28" t="n"/>
      <c r="D129" t="n">
        <v>10080</v>
      </c>
      <c r="E129" s="24" t="n">
        <v>46112</v>
      </c>
      <c r="F129" s="24" t="n">
        <v>46115</v>
      </c>
      <c r="G129" t="inlineStr">
        <is>
          <t>TTAF Stock</t>
        </is>
      </c>
      <c r="H129">
        <f>MAX(1,MIN(104,INT((IF(F129="",E129,F129)-DATE(2025,12,29))/7)+1))</f>
        <v/>
      </c>
    </row>
    <row r="130">
      <c r="A130" t="inlineStr">
        <is>
          <t>1EK</t>
        </is>
      </c>
      <c r="B130" t="inlineStr"/>
      <c r="C130" s="28" t="n"/>
      <c r="D130" t="n">
        <v>1920</v>
      </c>
      <c r="E130" s="24" t="n">
        <v>46112</v>
      </c>
      <c r="F130" s="24" t="n">
        <v>46114</v>
      </c>
      <c r="G130" t="inlineStr">
        <is>
          <t>TTAF Stock</t>
        </is>
      </c>
      <c r="H130">
        <f>MAX(1,MIN(104,INT((IF(F130="",E130,F130)-DATE(2025,12,29))/7)+1))</f>
        <v/>
      </c>
    </row>
    <row r="131">
      <c r="A131" t="inlineStr">
        <is>
          <t>TDJ</t>
        </is>
      </c>
      <c r="B131" t="inlineStr">
        <is>
          <t>PO067121</t>
        </is>
      </c>
      <c r="C131" s="28" t="n"/>
      <c r="D131" t="n">
        <v>784</v>
      </c>
      <c r="E131" s="24" t="n">
        <v>46136</v>
      </c>
      <c r="F131" s="24" t="n">
        <v>46147</v>
      </c>
      <c r="G131" t="inlineStr">
        <is>
          <t>TTAF Stock</t>
        </is>
      </c>
      <c r="H131">
        <f>MAX(1,MIN(104,INT((IF(F131="",E131,F131)-DATE(2025,12,29))/7)+1))</f>
        <v/>
      </c>
    </row>
    <row r="132">
      <c r="A132" t="inlineStr">
        <is>
          <t>TDJ</t>
        </is>
      </c>
      <c r="B132" t="inlineStr">
        <is>
          <t>PO067121</t>
        </is>
      </c>
      <c r="C132" s="28" t="n"/>
      <c r="D132" t="n">
        <v>205</v>
      </c>
      <c r="E132" s="24" t="n">
        <v>46136</v>
      </c>
      <c r="F132" s="24" t="n">
        <v>46147</v>
      </c>
      <c r="G132" t="inlineStr">
        <is>
          <t>TTAF Stock</t>
        </is>
      </c>
      <c r="H132">
        <f>MAX(1,MIN(104,INT((IF(F132="",E132,F132)-DATE(2025,12,29))/7)+1))</f>
        <v/>
      </c>
    </row>
    <row r="133">
      <c r="A133" t="inlineStr">
        <is>
          <t>9RN</t>
        </is>
      </c>
      <c r="B133" t="inlineStr">
        <is>
          <t>PO067086</t>
        </is>
      </c>
      <c r="C133" s="28" t="n"/>
      <c r="D133" t="n">
        <v>22792</v>
      </c>
      <c r="E133" s="24" t="n">
        <v>46112</v>
      </c>
      <c r="F133" s="24" t="n">
        <v>46125</v>
      </c>
      <c r="G133" t="inlineStr">
        <is>
          <t>TTAF Stock</t>
        </is>
      </c>
      <c r="H133">
        <f>MAX(1,MIN(104,INT((IF(F133="",E133,F133)-DATE(2025,12,29))/7)+1))</f>
        <v/>
      </c>
    </row>
    <row r="134">
      <c r="A134" t="inlineStr">
        <is>
          <t>9RN</t>
        </is>
      </c>
      <c r="B134" t="inlineStr">
        <is>
          <t>PO067086</t>
        </is>
      </c>
      <c r="C134" s="28" t="n"/>
      <c r="D134" t="n">
        <v>4796</v>
      </c>
      <c r="E134" s="24" t="n">
        <v>46112</v>
      </c>
      <c r="F134" s="24" t="n">
        <v>46125</v>
      </c>
      <c r="G134" t="inlineStr">
        <is>
          <t>TTAF Stock</t>
        </is>
      </c>
      <c r="H134">
        <f>MAX(1,MIN(104,INT((IF(F134="",E134,F134)-DATE(2025,12,29))/7)+1))</f>
        <v/>
      </c>
    </row>
    <row r="135">
      <c r="A135" t="inlineStr">
        <is>
          <t>0JN</t>
        </is>
      </c>
      <c r="B135" t="inlineStr">
        <is>
          <t>PO067071</t>
        </is>
      </c>
      <c r="C135" s="28" t="n"/>
      <c r="D135" t="n">
        <v>18835</v>
      </c>
      <c r="E135" s="24" t="n">
        <v>46103</v>
      </c>
      <c r="F135" s="24" t="n">
        <v>46112</v>
      </c>
      <c r="G135" t="inlineStr">
        <is>
          <t>TTAF Stock</t>
        </is>
      </c>
      <c r="H135">
        <f>MAX(1,MIN(104,INT((IF(F135="",E135,F135)-DATE(2025,12,29))/7)+1))</f>
        <v/>
      </c>
    </row>
    <row r="136">
      <c r="A136" t="inlineStr">
        <is>
          <t>0JN</t>
        </is>
      </c>
      <c r="B136" t="inlineStr">
        <is>
          <t>PO067071</t>
        </is>
      </c>
      <c r="C136" s="28" t="n"/>
      <c r="D136" t="n">
        <v>9289</v>
      </c>
      <c r="E136" s="24" t="n">
        <v>46116</v>
      </c>
      <c r="F136" s="24" t="n">
        <v>46120</v>
      </c>
      <c r="G136" t="inlineStr">
        <is>
          <t>TTAF Stock</t>
        </is>
      </c>
      <c r="H136">
        <f>MAX(1,MIN(104,INT((IF(F136="",E136,F136)-DATE(2025,12,29))/7)+1))</f>
        <v/>
      </c>
    </row>
    <row r="137">
      <c r="A137" t="inlineStr">
        <is>
          <t>0JN</t>
        </is>
      </c>
      <c r="B137" t="inlineStr">
        <is>
          <t>PO067071</t>
        </is>
      </c>
      <c r="C137" s="28" t="n"/>
      <c r="D137" t="n">
        <v>11522</v>
      </c>
      <c r="E137" s="24" t="n">
        <v>46138</v>
      </c>
      <c r="F137" s="24" t="n">
        <v>46147</v>
      </c>
      <c r="G137" t="inlineStr">
        <is>
          <t>TTAF Stock</t>
        </is>
      </c>
      <c r="H137">
        <f>MAX(1,MIN(104,INT((IF(F137="",E137,F137)-DATE(2025,12,29))/7)+1))</f>
        <v/>
      </c>
    </row>
    <row r="138">
      <c r="A138" t="inlineStr">
        <is>
          <t>CHEM-1250</t>
        </is>
      </c>
      <c r="B138" t="inlineStr">
        <is>
          <t>PO067281</t>
        </is>
      </c>
      <c r="C138" s="28" t="n"/>
      <c r="D138" t="n">
        <v>150</v>
      </c>
      <c r="E138" s="24" t="n">
        <v>46117</v>
      </c>
      <c r="G138" t="inlineStr">
        <is>
          <t>TTAF Stock</t>
        </is>
      </c>
      <c r="H138">
        <f>MAX(1,MIN(104,INT((IF(F138="",E138,F138)-DATE(2025,12,29))/7)+1))</f>
        <v/>
      </c>
    </row>
    <row r="139">
      <c r="A139" t="inlineStr">
        <is>
          <t>CHEM-1400</t>
        </is>
      </c>
      <c r="B139" t="inlineStr">
        <is>
          <t>PO067281</t>
        </is>
      </c>
      <c r="C139" s="28" t="n"/>
      <c r="D139" t="n">
        <v>300</v>
      </c>
      <c r="E139" s="24" t="n">
        <v>46117</v>
      </c>
      <c r="G139" t="inlineStr">
        <is>
          <t>TTAF Stock</t>
        </is>
      </c>
      <c r="H139">
        <f>MAX(1,MIN(104,INT((IF(F139="",E139,F139)-DATE(2025,12,29))/7)+1))</f>
        <v/>
      </c>
    </row>
    <row r="140">
      <c r="A140" t="inlineStr">
        <is>
          <t>CHEM-1420</t>
        </is>
      </c>
      <c r="B140" t="inlineStr">
        <is>
          <t>PO067281</t>
        </is>
      </c>
      <c r="C140" s="28" t="n"/>
      <c r="D140" t="n">
        <v>240</v>
      </c>
      <c r="E140" s="24" t="n">
        <v>46117</v>
      </c>
      <c r="G140" t="inlineStr">
        <is>
          <t>TTAF Stock</t>
        </is>
      </c>
      <c r="H140">
        <f>MAX(1,MIN(104,INT((IF(F140="",E140,F140)-DATE(2025,12,29))/7)+1))</f>
        <v/>
      </c>
    </row>
    <row r="141">
      <c r="A141" t="inlineStr">
        <is>
          <t>CHEM-1440</t>
        </is>
      </c>
      <c r="B141" t="inlineStr">
        <is>
          <t>PO067281</t>
        </is>
      </c>
      <c r="C141" s="28" t="n"/>
      <c r="D141" t="n">
        <v>200</v>
      </c>
      <c r="E141" s="24" t="n">
        <v>46117</v>
      </c>
      <c r="G141" t="inlineStr">
        <is>
          <t>TTAF Stock</t>
        </is>
      </c>
      <c r="H141">
        <f>MAX(1,MIN(104,INT((IF(F141="",E141,F141)-DATE(2025,12,29))/7)+1))</f>
        <v/>
      </c>
    </row>
    <row r="142">
      <c r="A142" t="inlineStr">
        <is>
          <t>CHEM-1540</t>
        </is>
      </c>
      <c r="B142" t="inlineStr">
        <is>
          <t>PO067281</t>
        </is>
      </c>
      <c r="C142" s="28" t="n"/>
      <c r="D142" t="n">
        <v>2000</v>
      </c>
      <c r="E142" s="24" t="n">
        <v>46117</v>
      </c>
      <c r="G142" t="inlineStr">
        <is>
          <t>TTAF Stock</t>
        </is>
      </c>
      <c r="H142">
        <f>MAX(1,MIN(104,INT((IF(F142="",E142,F142)-DATE(2025,12,29))/7)+1))</f>
        <v/>
      </c>
    </row>
    <row r="143">
      <c r="A143" t="inlineStr">
        <is>
          <t>CHEM-1530</t>
        </is>
      </c>
      <c r="B143" t="inlineStr">
        <is>
          <t>PO067281</t>
        </is>
      </c>
      <c r="C143" s="28" t="n"/>
      <c r="D143" t="n">
        <v>2800</v>
      </c>
      <c r="E143" s="24" t="n">
        <v>46117</v>
      </c>
      <c r="G143" t="inlineStr">
        <is>
          <t>TTAF Stock</t>
        </is>
      </c>
      <c r="H143">
        <f>MAX(1,MIN(104,INT((IF(F143="",E143,F143)-DATE(2025,12,29))/7)+1))</f>
        <v/>
      </c>
    </row>
    <row r="144">
      <c r="A144" t="inlineStr">
        <is>
          <t>CHEM-1600</t>
        </is>
      </c>
      <c r="B144" t="inlineStr">
        <is>
          <t>PO067281</t>
        </is>
      </c>
      <c r="C144" s="28" t="n"/>
      <c r="D144" t="n">
        <v>250</v>
      </c>
      <c r="E144" s="24" t="n">
        <v>46117</v>
      </c>
      <c r="G144" t="inlineStr">
        <is>
          <t>TTAF Stock</t>
        </is>
      </c>
      <c r="H144">
        <f>MAX(1,MIN(104,INT((IF(F144="",E144,F144)-DATE(2025,12,29))/7)+1))</f>
        <v/>
      </c>
    </row>
    <row r="145">
      <c r="A145" t="inlineStr">
        <is>
          <t>CHEM-1570</t>
        </is>
      </c>
      <c r="B145" t="inlineStr">
        <is>
          <t>PO067281</t>
        </is>
      </c>
      <c r="C145" s="28" t="n"/>
      <c r="D145" t="n">
        <v>36</v>
      </c>
      <c r="E145" s="24" t="n">
        <v>46117</v>
      </c>
      <c r="G145" t="inlineStr">
        <is>
          <t>TTAF Stock</t>
        </is>
      </c>
      <c r="H145">
        <f>MAX(1,MIN(104,INT((IF(F145="",E145,F145)-DATE(2025,12,29))/7)+1))</f>
        <v/>
      </c>
    </row>
    <row r="146">
      <c r="A146" t="inlineStr">
        <is>
          <t>CHEM-1670</t>
        </is>
      </c>
      <c r="B146" t="inlineStr">
        <is>
          <t>PO067281</t>
        </is>
      </c>
      <c r="C146" s="28" t="n"/>
      <c r="D146" t="n">
        <v>180</v>
      </c>
      <c r="E146" s="24" t="n">
        <v>46117</v>
      </c>
      <c r="G146" t="inlineStr">
        <is>
          <t>TTAF Stock</t>
        </is>
      </c>
      <c r="H146">
        <f>MAX(1,MIN(104,INT((IF(F146="",E146,F146)-DATE(2025,12,29))/7)+1))</f>
        <v/>
      </c>
    </row>
    <row r="147">
      <c r="A147" t="inlineStr">
        <is>
          <t>CHEM-1690</t>
        </is>
      </c>
      <c r="B147" t="inlineStr">
        <is>
          <t>PO067281</t>
        </is>
      </c>
      <c r="C147" s="28" t="n"/>
      <c r="D147" t="n">
        <v>135</v>
      </c>
      <c r="E147" s="24" t="n">
        <v>46117</v>
      </c>
      <c r="G147" t="inlineStr">
        <is>
          <t>TTAF Stock</t>
        </is>
      </c>
      <c r="H147">
        <f>MAX(1,MIN(104,INT((IF(F147="",E147,F147)-DATE(2025,12,29))/7)+1))</f>
        <v/>
      </c>
    </row>
    <row r="148">
      <c r="A148" t="inlineStr">
        <is>
          <t>CHEM-1700</t>
        </is>
      </c>
      <c r="B148" t="inlineStr">
        <is>
          <t>PO067281</t>
        </is>
      </c>
      <c r="C148" s="28" t="n"/>
      <c r="D148" t="n">
        <v>60</v>
      </c>
      <c r="E148" s="24" t="n">
        <v>46117</v>
      </c>
      <c r="G148" t="inlineStr">
        <is>
          <t>TTAF Stock</t>
        </is>
      </c>
      <c r="H148">
        <f>MAX(1,MIN(104,INT((IF(F148="",E148,F148)-DATE(2025,12,29))/7)+1))</f>
        <v/>
      </c>
    </row>
    <row r="149">
      <c r="A149" t="inlineStr">
        <is>
          <t>CHEM-1720</t>
        </is>
      </c>
      <c r="B149" t="inlineStr">
        <is>
          <t>PO067281</t>
        </is>
      </c>
      <c r="C149" s="28" t="n"/>
      <c r="D149" t="n">
        <v>720</v>
      </c>
      <c r="E149" s="24" t="n">
        <v>46117</v>
      </c>
      <c r="G149" t="inlineStr">
        <is>
          <t>TTAF Stock</t>
        </is>
      </c>
      <c r="H149">
        <f>MAX(1,MIN(104,INT((IF(F149="",E149,F149)-DATE(2025,12,29))/7)+1))</f>
        <v/>
      </c>
    </row>
    <row r="150">
      <c r="A150" t="inlineStr">
        <is>
          <t>CHEM-1760</t>
        </is>
      </c>
      <c r="B150" t="inlineStr">
        <is>
          <t>PO067281</t>
        </is>
      </c>
      <c r="C150" s="28" t="n"/>
      <c r="D150" t="n">
        <v>17</v>
      </c>
      <c r="E150" s="24" t="n">
        <v>46117</v>
      </c>
      <c r="G150" t="inlineStr">
        <is>
          <t>TTAF Stock</t>
        </is>
      </c>
      <c r="H150">
        <f>MAX(1,MIN(104,INT((IF(F150="",E150,F150)-DATE(2025,12,29))/7)+1))</f>
        <v/>
      </c>
    </row>
    <row r="151">
      <c r="A151" t="inlineStr">
        <is>
          <t>CHEM-1200</t>
        </is>
      </c>
      <c r="B151" t="inlineStr">
        <is>
          <t>PO067281</t>
        </is>
      </c>
      <c r="C151" s="28" t="n"/>
      <c r="D151" t="n">
        <v>25</v>
      </c>
      <c r="E151" s="24" t="n">
        <v>46117</v>
      </c>
      <c r="G151" t="inlineStr">
        <is>
          <t>TTAF Stock</t>
        </is>
      </c>
      <c r="H151">
        <f>MAX(1,MIN(104,INT((IF(F151="",E151,F151)-DATE(2025,12,29))/7)+1))</f>
        <v/>
      </c>
    </row>
    <row r="152">
      <c r="A152" t="inlineStr">
        <is>
          <t>CHEM-1680</t>
        </is>
      </c>
      <c r="B152" t="inlineStr">
        <is>
          <t>PO067281</t>
        </is>
      </c>
      <c r="C152" s="28" t="n"/>
      <c r="D152" t="n">
        <v>200</v>
      </c>
      <c r="E152" s="24" t="n">
        <v>46117</v>
      </c>
      <c r="G152" t="inlineStr">
        <is>
          <t>TTAF Stock</t>
        </is>
      </c>
      <c r="H152">
        <f>MAX(1,MIN(104,INT((IF(F152="",E152,F152)-DATE(2025,12,29))/7)+1))</f>
        <v/>
      </c>
    </row>
    <row r="153">
      <c r="A153" t="inlineStr">
        <is>
          <t>CHEM-1660</t>
        </is>
      </c>
      <c r="B153" t="inlineStr">
        <is>
          <t>PO067274</t>
        </is>
      </c>
      <c r="C153" s="28" t="n"/>
      <c r="D153" t="n">
        <v>180</v>
      </c>
      <c r="E153" s="24" t="n">
        <v>46117</v>
      </c>
      <c r="G153" t="inlineStr">
        <is>
          <t>TTAF Stock</t>
        </is>
      </c>
      <c r="H153">
        <f>MAX(1,MIN(104,INT((IF(F153="",E153,F153)-DATE(2025,12,29))/7)+1))</f>
        <v/>
      </c>
    </row>
    <row r="154">
      <c r="A154" t="inlineStr">
        <is>
          <t>4HL</t>
        </is>
      </c>
      <c r="B154" t="inlineStr"/>
      <c r="C154" s="28" t="n"/>
      <c r="D154" t="n">
        <v>19200</v>
      </c>
      <c r="E154" s="24" t="n">
        <v>46131</v>
      </c>
      <c r="F154" s="24" t="n">
        <v>46135</v>
      </c>
      <c r="G154" t="inlineStr">
        <is>
          <t>TTAF Stock</t>
        </is>
      </c>
      <c r="H154">
        <f>MAX(1,MIN(104,INT((IF(F154="",E154,F154)-DATE(2025,12,29))/7)+1))</f>
        <v/>
      </c>
    </row>
    <row r="155">
      <c r="A155" t="inlineStr">
        <is>
          <t>4HL</t>
        </is>
      </c>
      <c r="B155" t="inlineStr"/>
      <c r="C155" s="28" t="n"/>
      <c r="D155" t="n">
        <v>19200</v>
      </c>
      <c r="E155" s="24" t="n">
        <v>46136</v>
      </c>
      <c r="F155" s="24" t="n">
        <v>46136</v>
      </c>
      <c r="G155" t="inlineStr">
        <is>
          <t>TTAF Stock</t>
        </is>
      </c>
      <c r="H155">
        <f>MAX(1,MIN(104,INT((IF(F155="",E155,F155)-DATE(2025,12,29))/7)+1))</f>
        <v/>
      </c>
    </row>
    <row r="156">
      <c r="A156" t="inlineStr">
        <is>
          <t>4HL</t>
        </is>
      </c>
      <c r="B156" t="inlineStr"/>
      <c r="C156" s="28" t="n"/>
      <c r="D156" t="n">
        <v>15840</v>
      </c>
      <c r="E156" s="24" t="n">
        <v>46155</v>
      </c>
      <c r="F156" s="24" t="n">
        <v>46161</v>
      </c>
      <c r="G156" t="inlineStr">
        <is>
          <t>TTAF Stock</t>
        </is>
      </c>
      <c r="H156">
        <f>MAX(1,MIN(104,INT((IF(F156="",E156,F156)-DATE(2025,12,29))/7)+1))</f>
        <v/>
      </c>
    </row>
    <row r="157">
      <c r="A157" t="inlineStr">
        <is>
          <t>4HL</t>
        </is>
      </c>
      <c r="B157" t="inlineStr"/>
      <c r="C157" s="28" t="n"/>
      <c r="D157" t="n">
        <v>5760</v>
      </c>
      <c r="E157" s="24" t="n">
        <v>46159</v>
      </c>
      <c r="F157" s="24" t="n">
        <v>46167</v>
      </c>
      <c r="G157" t="inlineStr">
        <is>
          <t>TTAF Stock</t>
        </is>
      </c>
      <c r="H157">
        <f>MAX(1,MIN(104,INT((IF(F157="",E157,F157)-DATE(2025,12,29))/7)+1))</f>
        <v/>
      </c>
    </row>
    <row r="158">
      <c r="A158" t="inlineStr">
        <is>
          <t>4HL</t>
        </is>
      </c>
      <c r="B158" t="inlineStr"/>
      <c r="C158" s="28" t="n"/>
      <c r="D158" t="n">
        <v>246</v>
      </c>
      <c r="E158" s="24" t="n">
        <v>46155</v>
      </c>
      <c r="F158" s="24" t="n">
        <v>46161</v>
      </c>
      <c r="G158" t="inlineStr">
        <is>
          <t>TTAF Stock</t>
        </is>
      </c>
      <c r="H158">
        <f>MAX(1,MIN(104,INT((IF(F158="",E158,F158)-DATE(2025,12,29))/7)+1))</f>
        <v/>
      </c>
    </row>
    <row r="159">
      <c r="A159" t="inlineStr">
        <is>
          <t>1EK</t>
        </is>
      </c>
      <c r="B159" t="inlineStr"/>
      <c r="C159" s="28" t="n"/>
      <c r="D159" t="n">
        <v>8640</v>
      </c>
      <c r="E159" s="24" t="n">
        <v>46146</v>
      </c>
      <c r="F159" s="24" t="n">
        <v>46150</v>
      </c>
      <c r="G159" t="inlineStr">
        <is>
          <t>TTAF Stock</t>
        </is>
      </c>
      <c r="H159">
        <f>MAX(1,MIN(104,INT((IF(F159="",E159,F159)-DATE(2025,12,29))/7)+1))</f>
        <v/>
      </c>
    </row>
    <row r="160">
      <c r="A160" t="inlineStr">
        <is>
          <t>1EK</t>
        </is>
      </c>
      <c r="B160" t="inlineStr"/>
      <c r="C160" s="28" t="n"/>
      <c r="D160" t="n">
        <v>9120</v>
      </c>
      <c r="E160" s="24" t="n">
        <v>46155</v>
      </c>
      <c r="F160" s="24" t="n">
        <v>46161</v>
      </c>
      <c r="G160" t="inlineStr">
        <is>
          <t>TTAF Stock</t>
        </is>
      </c>
      <c r="H160">
        <f>MAX(1,MIN(104,INT((IF(F160="",E160,F160)-DATE(2025,12,29))/7)+1))</f>
        <v/>
      </c>
    </row>
    <row r="161">
      <c r="A161" t="inlineStr">
        <is>
          <t>1EK</t>
        </is>
      </c>
      <c r="B161" t="inlineStr"/>
      <c r="C161" s="28" t="n"/>
      <c r="D161" t="n">
        <v>9600</v>
      </c>
      <c r="E161" s="24" t="n">
        <v>46151</v>
      </c>
      <c r="F161" s="24" t="n">
        <v>46161</v>
      </c>
      <c r="G161" t="inlineStr">
        <is>
          <t>TTAF Stock</t>
        </is>
      </c>
      <c r="H161">
        <f>MAX(1,MIN(104,INT((IF(F161="",E161,F161)-DATE(2025,12,29))/7)+1))</f>
        <v/>
      </c>
    </row>
    <row r="162">
      <c r="A162" t="inlineStr">
        <is>
          <t>1EK</t>
        </is>
      </c>
      <c r="B162" t="inlineStr"/>
      <c r="C162" s="28" t="n"/>
      <c r="D162" t="n">
        <v>2880</v>
      </c>
      <c r="E162" s="24" t="n">
        <v>46155</v>
      </c>
      <c r="F162" s="24" t="n">
        <v>46161</v>
      </c>
      <c r="G162" t="inlineStr">
        <is>
          <t>TTAF Stock</t>
        </is>
      </c>
      <c r="H162">
        <f>MAX(1,MIN(104,INT((IF(F162="",E162,F162)-DATE(2025,12,29))/7)+1))</f>
        <v/>
      </c>
    </row>
    <row r="163">
      <c r="A163" t="inlineStr">
        <is>
          <t>1EK</t>
        </is>
      </c>
      <c r="B163" t="inlineStr"/>
      <c r="C163" s="28" t="n"/>
      <c r="D163" t="n">
        <v>392</v>
      </c>
      <c r="E163" s="24" t="n">
        <v>46155</v>
      </c>
      <c r="F163" s="24" t="n">
        <v>46161</v>
      </c>
      <c r="G163" t="inlineStr">
        <is>
          <t>TTAF Stock</t>
        </is>
      </c>
      <c r="H163">
        <f>MAX(1,MIN(104,INT((IF(F163="",E163,F163)-DATE(2025,12,29))/7)+1))</f>
        <v/>
      </c>
    </row>
    <row r="164">
      <c r="A164" t="inlineStr">
        <is>
          <t>1EK</t>
        </is>
      </c>
      <c r="B164" t="inlineStr"/>
      <c r="C164" s="28" t="n"/>
      <c r="D164" t="n">
        <v>745</v>
      </c>
      <c r="E164" s="24" t="n">
        <v>46146</v>
      </c>
      <c r="F164" s="24" t="n">
        <v>46153</v>
      </c>
      <c r="G164" t="inlineStr">
        <is>
          <t>TTAF Stock</t>
        </is>
      </c>
      <c r="H164">
        <f>MAX(1,MIN(104,INT((IF(F164="",E164,F164)-DATE(2025,12,29))/7)+1))</f>
        <v/>
      </c>
    </row>
    <row r="165">
      <c r="A165" t="inlineStr">
        <is>
          <t>9RN</t>
        </is>
      </c>
      <c r="B165" t="inlineStr">
        <is>
          <t>PO067280</t>
        </is>
      </c>
      <c r="C165" s="28" t="n"/>
      <c r="D165" t="n">
        <v>22869</v>
      </c>
      <c r="E165" s="24" t="n">
        <v>46131</v>
      </c>
      <c r="F165" s="24" t="n">
        <v>46136</v>
      </c>
      <c r="G165" t="inlineStr">
        <is>
          <t>TTAF Stock</t>
        </is>
      </c>
      <c r="H165">
        <f>MAX(1,MIN(104,INT((IF(F165="",E165,F165)-DATE(2025,12,29))/7)+1))</f>
        <v/>
      </c>
    </row>
    <row r="166">
      <c r="A166" t="inlineStr">
        <is>
          <t>9RN</t>
        </is>
      </c>
      <c r="B166" t="inlineStr">
        <is>
          <t>PO067280</t>
        </is>
      </c>
      <c r="C166" s="28" t="n"/>
      <c r="D166" t="n">
        <v>18216</v>
      </c>
      <c r="E166" s="24" t="n">
        <v>46131</v>
      </c>
      <c r="F166" s="24" t="n">
        <v>46136</v>
      </c>
      <c r="G166" t="inlineStr">
        <is>
          <t>TTAF Stock</t>
        </is>
      </c>
      <c r="H166">
        <f>MAX(1,MIN(104,INT((IF(F166="",E166,F166)-DATE(2025,12,29))/7)+1))</f>
        <v/>
      </c>
    </row>
    <row r="167">
      <c r="A167" t="inlineStr">
        <is>
          <t>9RN</t>
        </is>
      </c>
      <c r="B167" t="inlineStr">
        <is>
          <t>PO067280</t>
        </is>
      </c>
      <c r="C167" s="28" t="n"/>
      <c r="D167" t="n">
        <v>19140</v>
      </c>
      <c r="E167" s="24" t="n">
        <v>46164</v>
      </c>
      <c r="F167" s="24" t="n">
        <v>46170</v>
      </c>
      <c r="G167" t="inlineStr">
        <is>
          <t>TTAF Stock</t>
        </is>
      </c>
      <c r="H167">
        <f>MAX(1,MIN(104,INT((IF(F167="",E167,F167)-DATE(2025,12,29))/7)+1))</f>
        <v/>
      </c>
    </row>
    <row r="168">
      <c r="A168" t="inlineStr">
        <is>
          <t>9RN</t>
        </is>
      </c>
      <c r="B168" t="inlineStr">
        <is>
          <t>PO067280</t>
        </is>
      </c>
      <c r="C168" s="28" t="n"/>
      <c r="D168" t="n">
        <v>14795</v>
      </c>
      <c r="E168" s="24" t="n">
        <v>46164</v>
      </c>
      <c r="F168" s="24" t="n">
        <v>46169</v>
      </c>
      <c r="G168" t="inlineStr">
        <is>
          <t>TTAF Stock</t>
        </is>
      </c>
      <c r="H168">
        <f>MAX(1,MIN(104,INT((IF(F168="",E168,F168)-DATE(2025,12,29))/7)+1))</f>
        <v/>
      </c>
    </row>
    <row r="169">
      <c r="A169" t="inlineStr">
        <is>
          <t>0JN</t>
        </is>
      </c>
      <c r="B169" t="inlineStr">
        <is>
          <t>PO067278</t>
        </is>
      </c>
      <c r="C169" s="28" t="n"/>
      <c r="D169" t="n">
        <v>7117</v>
      </c>
      <c r="E169" s="24" t="n">
        <v>46138</v>
      </c>
      <c r="F169" s="24" t="n">
        <v>46147</v>
      </c>
      <c r="G169" t="inlineStr">
        <is>
          <t>TTAF Stock</t>
        </is>
      </c>
      <c r="H169">
        <f>MAX(1,MIN(104,INT((IF(F169="",E169,F169)-DATE(2025,12,29))/7)+1))</f>
        <v/>
      </c>
    </row>
    <row r="170">
      <c r="A170" t="inlineStr">
        <is>
          <t>0JN</t>
        </is>
      </c>
      <c r="B170" t="inlineStr">
        <is>
          <t>PO067278</t>
        </is>
      </c>
      <c r="C170" s="28" t="n"/>
      <c r="D170" t="n">
        <v>12672</v>
      </c>
      <c r="E170" s="24" t="n">
        <v>46138</v>
      </c>
      <c r="F170" s="24" t="n">
        <v>46147</v>
      </c>
      <c r="G170" t="inlineStr">
        <is>
          <t>TTAF Stock</t>
        </is>
      </c>
      <c r="H170">
        <f>MAX(1,MIN(104,INT((IF(F170="",E170,F170)-DATE(2025,12,29))/7)+1))</f>
        <v/>
      </c>
    </row>
    <row r="171">
      <c r="A171" t="inlineStr">
        <is>
          <t>0JN</t>
        </is>
      </c>
      <c r="B171" t="inlineStr">
        <is>
          <t>PO067278</t>
        </is>
      </c>
      <c r="C171" s="28" t="n"/>
      <c r="D171" t="n">
        <v>18825</v>
      </c>
      <c r="E171" s="24" t="n">
        <v>46165</v>
      </c>
      <c r="F171" s="24" t="n">
        <v>46170</v>
      </c>
      <c r="G171" t="inlineStr">
        <is>
          <t>TTAF Stock</t>
        </is>
      </c>
      <c r="H171">
        <f>MAX(1,MIN(104,INT((IF(F171="",E171,F171)-DATE(2025,12,29))/7)+1))</f>
        <v/>
      </c>
    </row>
    <row r="172">
      <c r="A172" t="inlineStr">
        <is>
          <t>0JN</t>
        </is>
      </c>
      <c r="B172" t="inlineStr">
        <is>
          <t>PO067278</t>
        </is>
      </c>
      <c r="C172" s="28" t="n"/>
      <c r="D172" t="n">
        <v>1188</v>
      </c>
      <c r="E172" s="24" t="n">
        <v>46172</v>
      </c>
      <c r="G172" t="inlineStr">
        <is>
          <t>In-transit</t>
        </is>
      </c>
      <c r="H172">
        <f>MAX(1,MIN(104,INT((IF(F172="",E172,F172)-DATE(2025,12,29))/7)+1))</f>
        <v/>
      </c>
    </row>
    <row r="173">
      <c r="A173" t="inlineStr">
        <is>
          <t>CHEM-1240</t>
        </is>
      </c>
      <c r="B173" t="inlineStr">
        <is>
          <t>PO067529</t>
        </is>
      </c>
      <c r="C173" s="28" t="n"/>
      <c r="D173" t="n">
        <v>660</v>
      </c>
      <c r="E173" s="24" t="n">
        <v>46156</v>
      </c>
      <c r="F173" s="24" t="n">
        <v>46164</v>
      </c>
      <c r="G173" t="inlineStr">
        <is>
          <t>TTAF Stock</t>
        </is>
      </c>
      <c r="H173">
        <f>MAX(1,MIN(104,INT((IF(F173="",E173,F173)-DATE(2025,12,29))/7)+1))</f>
        <v/>
      </c>
    </row>
    <row r="174">
      <c r="A174" t="inlineStr">
        <is>
          <t>CHEM-1250</t>
        </is>
      </c>
      <c r="B174" t="inlineStr">
        <is>
          <t>PO067529</t>
        </is>
      </c>
      <c r="C174" s="28" t="n"/>
      <c r="D174" t="n">
        <v>150</v>
      </c>
      <c r="E174" s="24" t="n">
        <v>46156</v>
      </c>
      <c r="F174" s="24" t="n">
        <v>46164</v>
      </c>
      <c r="G174" t="inlineStr">
        <is>
          <t>TTAF Stock</t>
        </is>
      </c>
      <c r="H174">
        <f>MAX(1,MIN(104,INT((IF(F174="",E174,F174)-DATE(2025,12,29))/7)+1))</f>
        <v/>
      </c>
    </row>
    <row r="175">
      <c r="A175" t="inlineStr">
        <is>
          <t>CHEM-1400</t>
        </is>
      </c>
      <c r="B175" t="inlineStr">
        <is>
          <t>PO067529</t>
        </is>
      </c>
      <c r="C175" s="28" t="n"/>
      <c r="D175" t="n">
        <v>350</v>
      </c>
      <c r="E175" s="24" t="n">
        <v>46156</v>
      </c>
      <c r="F175" s="24" t="n">
        <v>46164</v>
      </c>
      <c r="G175" t="inlineStr">
        <is>
          <t>TTAF Stock</t>
        </is>
      </c>
      <c r="H175">
        <f>MAX(1,MIN(104,INT((IF(F175="",E175,F175)-DATE(2025,12,29))/7)+1))</f>
        <v/>
      </c>
    </row>
    <row r="176">
      <c r="A176" t="inlineStr">
        <is>
          <t>CHEM-1420</t>
        </is>
      </c>
      <c r="B176" t="inlineStr">
        <is>
          <t>PO067529</t>
        </is>
      </c>
      <c r="C176" s="28" t="n"/>
      <c r="D176" t="n">
        <v>320</v>
      </c>
      <c r="E176" s="24" t="n">
        <v>46156</v>
      </c>
      <c r="F176" s="24" t="n">
        <v>46164</v>
      </c>
      <c r="G176" t="inlineStr">
        <is>
          <t>TTAF Stock</t>
        </is>
      </c>
      <c r="H176">
        <f>MAX(1,MIN(104,INT((IF(F176="",E176,F176)-DATE(2025,12,29))/7)+1))</f>
        <v/>
      </c>
    </row>
    <row r="177">
      <c r="A177" t="inlineStr">
        <is>
          <t>CHEM-1440</t>
        </is>
      </c>
      <c r="B177" t="inlineStr">
        <is>
          <t>PO067529</t>
        </is>
      </c>
      <c r="C177" s="28" t="n"/>
      <c r="D177" t="n">
        <v>200</v>
      </c>
      <c r="E177" s="24" t="n">
        <v>46156</v>
      </c>
      <c r="F177" s="24" t="n">
        <v>46164</v>
      </c>
      <c r="G177" t="inlineStr">
        <is>
          <t>TTAF Stock</t>
        </is>
      </c>
      <c r="H177">
        <f>MAX(1,MIN(104,INT((IF(F177="",E177,F177)-DATE(2025,12,29))/7)+1))</f>
        <v/>
      </c>
    </row>
    <row r="178">
      <c r="A178" t="inlineStr">
        <is>
          <t>CHEM-1540</t>
        </is>
      </c>
      <c r="B178" t="inlineStr">
        <is>
          <t>PO067529</t>
        </is>
      </c>
      <c r="C178" s="28" t="n"/>
      <c r="D178" t="n">
        <v>2500</v>
      </c>
      <c r="E178" s="24" t="n">
        <v>46156</v>
      </c>
      <c r="F178" s="24" t="n">
        <v>46164</v>
      </c>
      <c r="G178" t="inlineStr">
        <is>
          <t>TTAF Stock</t>
        </is>
      </c>
      <c r="H178">
        <f>MAX(1,MIN(104,INT((IF(F178="",E178,F178)-DATE(2025,12,29))/7)+1))</f>
        <v/>
      </c>
    </row>
    <row r="179">
      <c r="A179" t="inlineStr">
        <is>
          <t>CHEM-1530</t>
        </is>
      </c>
      <c r="B179" t="inlineStr">
        <is>
          <t>PO067529</t>
        </is>
      </c>
      <c r="C179" s="28" t="n"/>
      <c r="D179" t="n">
        <v>3500</v>
      </c>
      <c r="E179" s="24" t="n">
        <v>46156</v>
      </c>
      <c r="F179" s="24" t="n">
        <v>46164</v>
      </c>
      <c r="G179" t="inlineStr">
        <is>
          <t>TTAF Stock</t>
        </is>
      </c>
      <c r="H179">
        <f>MAX(1,MIN(104,INT((IF(F179="",E179,F179)-DATE(2025,12,29))/7)+1))</f>
        <v/>
      </c>
    </row>
    <row r="180">
      <c r="A180" t="inlineStr">
        <is>
          <t>CHEM-1600</t>
        </is>
      </c>
      <c r="B180" t="inlineStr">
        <is>
          <t>PO067529</t>
        </is>
      </c>
      <c r="C180" s="28" t="n"/>
      <c r="D180" t="n">
        <v>350</v>
      </c>
      <c r="E180" s="24" t="n">
        <v>46156</v>
      </c>
      <c r="F180" s="24" t="n">
        <v>46164</v>
      </c>
      <c r="G180" t="inlineStr">
        <is>
          <t>TTAF Stock</t>
        </is>
      </c>
      <c r="H180">
        <f>MAX(1,MIN(104,INT((IF(F180="",E180,F180)-DATE(2025,12,29))/7)+1))</f>
        <v/>
      </c>
    </row>
    <row r="181">
      <c r="A181" t="inlineStr">
        <is>
          <t>CHEM-1570</t>
        </is>
      </c>
      <c r="B181" t="inlineStr">
        <is>
          <t>PO067529</t>
        </is>
      </c>
      <c r="C181" s="28" t="n"/>
      <c r="D181" t="n">
        <v>36</v>
      </c>
      <c r="E181" s="24" t="n">
        <v>46156</v>
      </c>
      <c r="F181" s="24" t="n">
        <v>46164</v>
      </c>
      <c r="G181" t="inlineStr">
        <is>
          <t>TTAF Stock</t>
        </is>
      </c>
      <c r="H181">
        <f>MAX(1,MIN(104,INT((IF(F181="",E181,F181)-DATE(2025,12,29))/7)+1))</f>
        <v/>
      </c>
    </row>
    <row r="182">
      <c r="A182" t="inlineStr">
        <is>
          <t>CHEM-1670</t>
        </is>
      </c>
      <c r="B182" t="inlineStr">
        <is>
          <t>PO067529</t>
        </is>
      </c>
      <c r="C182" s="28" t="n"/>
      <c r="D182" t="n">
        <v>180</v>
      </c>
      <c r="E182" s="24" t="n">
        <v>46156</v>
      </c>
      <c r="F182" s="24" t="n">
        <v>46164</v>
      </c>
      <c r="G182" t="inlineStr">
        <is>
          <t>TTAF Stock</t>
        </is>
      </c>
      <c r="H182">
        <f>MAX(1,MIN(104,INT((IF(F182="",E182,F182)-DATE(2025,12,29))/7)+1))</f>
        <v/>
      </c>
    </row>
    <row r="183">
      <c r="A183" t="inlineStr">
        <is>
          <t>CHEM-1690</t>
        </is>
      </c>
      <c r="B183" t="inlineStr">
        <is>
          <t>PO067529</t>
        </is>
      </c>
      <c r="C183" s="28" t="n"/>
      <c r="D183" t="n">
        <v>135</v>
      </c>
      <c r="E183" s="24" t="n">
        <v>46156</v>
      </c>
      <c r="F183" s="24" t="n">
        <v>46164</v>
      </c>
      <c r="G183" t="inlineStr">
        <is>
          <t>TTAF Stock</t>
        </is>
      </c>
      <c r="H183">
        <f>MAX(1,MIN(104,INT((IF(F183="",E183,F183)-DATE(2025,12,29))/7)+1))</f>
        <v/>
      </c>
    </row>
    <row r="184">
      <c r="A184" t="inlineStr">
        <is>
          <t>CHEM-1700</t>
        </is>
      </c>
      <c r="B184" t="inlineStr">
        <is>
          <t>PO067529</t>
        </is>
      </c>
      <c r="C184" s="28" t="n"/>
      <c r="D184" t="n">
        <v>60</v>
      </c>
      <c r="E184" s="24" t="n">
        <v>46156</v>
      </c>
      <c r="F184" s="24" t="n">
        <v>46164</v>
      </c>
      <c r="G184" t="inlineStr">
        <is>
          <t>TTAF Stock</t>
        </is>
      </c>
      <c r="H184">
        <f>MAX(1,MIN(104,INT((IF(F184="",E184,F184)-DATE(2025,12,29))/7)+1))</f>
        <v/>
      </c>
    </row>
    <row r="185">
      <c r="A185" t="inlineStr">
        <is>
          <t>CHEM-1720</t>
        </is>
      </c>
      <c r="B185" t="inlineStr">
        <is>
          <t>PO067529</t>
        </is>
      </c>
      <c r="C185" s="28" t="n"/>
      <c r="D185" t="n">
        <v>1080</v>
      </c>
      <c r="E185" s="24" t="n">
        <v>46156</v>
      </c>
      <c r="F185" s="24" t="n">
        <v>46164</v>
      </c>
      <c r="G185" t="inlineStr">
        <is>
          <t>TTAF Stock</t>
        </is>
      </c>
      <c r="H185">
        <f>MAX(1,MIN(104,INT((IF(F185="",E185,F185)-DATE(2025,12,29))/7)+1))</f>
        <v/>
      </c>
    </row>
    <row r="186">
      <c r="A186" t="inlineStr">
        <is>
          <t>CHEM-1680</t>
        </is>
      </c>
      <c r="B186" t="inlineStr">
        <is>
          <t>PO067529</t>
        </is>
      </c>
      <c r="C186" s="28" t="n"/>
      <c r="D186" t="n">
        <v>200</v>
      </c>
      <c r="E186" s="24" t="n">
        <v>46156</v>
      </c>
      <c r="F186" s="24" t="n">
        <v>46164</v>
      </c>
      <c r="G186" t="inlineStr">
        <is>
          <t>TTAF Stock</t>
        </is>
      </c>
      <c r="H186">
        <f>MAX(1,MIN(104,INT((IF(F186="",E186,F186)-DATE(2025,12,29))/7)+1))</f>
        <v/>
      </c>
    </row>
    <row r="187">
      <c r="A187" t="inlineStr">
        <is>
          <t>CHEM-1730</t>
        </is>
      </c>
      <c r="B187" t="inlineStr">
        <is>
          <t>PO067529</t>
        </is>
      </c>
      <c r="C187" s="28" t="n"/>
      <c r="D187" t="n">
        <v>200</v>
      </c>
      <c r="E187" s="24" t="n">
        <v>46156</v>
      </c>
      <c r="F187" s="24" t="n">
        <v>46164</v>
      </c>
      <c r="G187" t="inlineStr">
        <is>
          <t>TTAF Stock</t>
        </is>
      </c>
      <c r="H187">
        <f>MAX(1,MIN(104,INT((IF(F187="",E187,F187)-DATE(2025,12,29))/7)+1))</f>
        <v/>
      </c>
    </row>
    <row r="188">
      <c r="A188" t="inlineStr">
        <is>
          <t>CHEM-1660</t>
        </is>
      </c>
      <c r="B188" t="inlineStr">
        <is>
          <t>PO067514</t>
        </is>
      </c>
      <c r="C188" s="28" t="n"/>
      <c r="D188" t="n">
        <v>120</v>
      </c>
      <c r="E188" s="24" t="n">
        <v>46155</v>
      </c>
      <c r="F188" s="24" t="n">
        <v>46163</v>
      </c>
      <c r="G188" t="inlineStr">
        <is>
          <t>TTAF Stock</t>
        </is>
      </c>
      <c r="H188">
        <f>MAX(1,MIN(104,INT((IF(F188="",E188,F188)-DATE(2025,12,29))/7)+1))</f>
        <v/>
      </c>
    </row>
    <row r="189">
      <c r="A189" t="inlineStr">
        <is>
          <t>CHEM-1280</t>
        </is>
      </c>
      <c r="B189" t="inlineStr">
        <is>
          <t>PO067514</t>
        </is>
      </c>
      <c r="C189" s="28" t="n"/>
      <c r="D189" t="n">
        <v>1000</v>
      </c>
      <c r="E189" s="24" t="n">
        <v>46155</v>
      </c>
      <c r="F189" s="24" t="n">
        <v>46163</v>
      </c>
      <c r="G189" t="inlineStr">
        <is>
          <t>TTAF Stock</t>
        </is>
      </c>
      <c r="H189">
        <f>MAX(1,MIN(104,INT((IF(F189="",E189,F189)-DATE(2025,12,29))/7)+1))</f>
        <v/>
      </c>
    </row>
    <row r="190">
      <c r="A190" t="inlineStr">
        <is>
          <t>4HL</t>
        </is>
      </c>
      <c r="B190" t="inlineStr"/>
      <c r="C190" s="28" t="n"/>
      <c r="D190" t="n">
        <v>6720</v>
      </c>
      <c r="E190" s="24" t="n">
        <v>46164</v>
      </c>
      <c r="F190" s="24" t="n">
        <v>46169</v>
      </c>
      <c r="G190" t="inlineStr">
        <is>
          <t>TTAF Stock</t>
        </is>
      </c>
      <c r="H190">
        <f>MAX(1,MIN(104,INT((IF(F190="",E190,F190)-DATE(2025,12,29))/7)+1))</f>
        <v/>
      </c>
    </row>
    <row r="191">
      <c r="A191" t="inlineStr">
        <is>
          <t>4HL</t>
        </is>
      </c>
      <c r="B191" t="inlineStr"/>
      <c r="C191" s="28" t="n"/>
      <c r="D191" t="n">
        <v>14400</v>
      </c>
      <c r="E191" s="24" t="n">
        <v>46170</v>
      </c>
      <c r="G191" t="inlineStr">
        <is>
          <t>In-transit</t>
        </is>
      </c>
      <c r="H191">
        <f>MAX(1,MIN(104,INT((IF(F191="",E191,F191)-DATE(2025,12,29))/7)+1))</f>
        <v/>
      </c>
    </row>
    <row r="192">
      <c r="A192" t="inlineStr">
        <is>
          <t>4HL</t>
        </is>
      </c>
      <c r="B192" t="inlineStr"/>
      <c r="C192" s="28" t="n"/>
      <c r="D192" t="n">
        <v>9600</v>
      </c>
      <c r="E192" s="24" t="n">
        <v>46175</v>
      </c>
      <c r="G192" t="inlineStr">
        <is>
          <t>In-transit</t>
        </is>
      </c>
      <c r="H192">
        <f>MAX(1,MIN(104,INT((IF(F192="",E192,F192)-DATE(2025,12,29))/7)+1))</f>
        <v/>
      </c>
    </row>
    <row r="193">
      <c r="A193" t="inlineStr">
        <is>
          <t>4HL</t>
        </is>
      </c>
      <c r="B193" t="inlineStr"/>
      <c r="C193" s="28" t="n"/>
      <c r="D193" t="n">
        <v>13440</v>
      </c>
      <c r="E193" s="24" t="n">
        <v>46181</v>
      </c>
      <c r="G193" t="inlineStr">
        <is>
          <t>In-transit</t>
        </is>
      </c>
      <c r="H193">
        <f>MAX(1,MIN(104,INT((IF(F193="",E193,F193)-DATE(2025,12,29))/7)+1))</f>
        <v/>
      </c>
    </row>
    <row r="194">
      <c r="A194" t="inlineStr">
        <is>
          <t>4HL</t>
        </is>
      </c>
      <c r="B194" t="inlineStr"/>
      <c r="C194" s="28" t="n"/>
      <c r="D194" t="n">
        <v>11040</v>
      </c>
      <c r="E194" s="24" t="n">
        <v>46181</v>
      </c>
      <c r="G194" t="inlineStr">
        <is>
          <t>In-transit</t>
        </is>
      </c>
      <c r="H194">
        <f>MAX(1,MIN(104,INT((IF(F194="",E194,F194)-DATE(2025,12,29))/7)+1))</f>
        <v/>
      </c>
    </row>
    <row r="195">
      <c r="A195" t="inlineStr">
        <is>
          <t>4HL</t>
        </is>
      </c>
      <c r="B195" t="inlineStr"/>
      <c r="C195" s="28" t="n"/>
      <c r="D195" t="n">
        <v>346</v>
      </c>
      <c r="E195" s="24" t="n">
        <v>46164</v>
      </c>
      <c r="F195" s="24" t="n">
        <v>46169</v>
      </c>
      <c r="G195" t="inlineStr">
        <is>
          <t>TTAF Stock</t>
        </is>
      </c>
      <c r="H195">
        <f>MAX(1,MIN(104,INT((IF(F195="",E195,F195)-DATE(2025,12,29))/7)+1))</f>
        <v/>
      </c>
    </row>
    <row r="196">
      <c r="A196" t="inlineStr">
        <is>
          <t>1EK</t>
        </is>
      </c>
      <c r="B196" t="inlineStr"/>
      <c r="C196" s="28" t="n"/>
      <c r="D196" t="n">
        <v>4800</v>
      </c>
      <c r="E196" s="24" t="n">
        <v>46164</v>
      </c>
      <c r="F196" s="24" t="n">
        <v>46169</v>
      </c>
      <c r="G196" t="inlineStr">
        <is>
          <t>TTAF Stock</t>
        </is>
      </c>
      <c r="H196">
        <f>MAX(1,MIN(104,INT((IF(F196="",E196,F196)-DATE(2025,12,29))/7)+1))</f>
        <v/>
      </c>
    </row>
    <row r="197">
      <c r="A197" t="inlineStr">
        <is>
          <t>1EK</t>
        </is>
      </c>
      <c r="B197" t="inlineStr"/>
      <c r="C197" s="28" t="n"/>
      <c r="D197" t="n">
        <v>434</v>
      </c>
      <c r="E197" s="24" t="n">
        <v>46164</v>
      </c>
      <c r="F197" s="24" t="n">
        <v>46169</v>
      </c>
      <c r="G197" t="inlineStr">
        <is>
          <t>TTAF Stock</t>
        </is>
      </c>
      <c r="H197">
        <f>MAX(1,MIN(104,INT((IF(F197="",E197,F197)-DATE(2025,12,29))/7)+1))</f>
        <v/>
      </c>
    </row>
    <row r="198">
      <c r="A198" t="inlineStr">
        <is>
          <t>9RN</t>
        </is>
      </c>
      <c r="B198" t="inlineStr">
        <is>
          <t>PO067508</t>
        </is>
      </c>
      <c r="C198" s="28" t="n"/>
      <c r="D198" t="n">
        <v>15554</v>
      </c>
      <c r="E198" s="24" t="n">
        <v>46175</v>
      </c>
      <c r="G198" t="inlineStr">
        <is>
          <t>In-transit</t>
        </is>
      </c>
      <c r="H198">
        <f>MAX(1,MIN(104,INT((IF(F198="",E198,F198)-DATE(2025,12,29))/7)+1))</f>
        <v/>
      </c>
    </row>
    <row r="199">
      <c r="A199" t="inlineStr">
        <is>
          <t>9RN</t>
        </is>
      </c>
      <c r="B199" t="inlineStr">
        <is>
          <t>PO067508</t>
        </is>
      </c>
      <c r="C199" s="28" t="n"/>
      <c r="D199" t="n">
        <v>20746</v>
      </c>
      <c r="E199" s="24" t="n">
        <v>46188</v>
      </c>
      <c r="G199" t="inlineStr">
        <is>
          <t>In-transit</t>
        </is>
      </c>
      <c r="H199">
        <f>MAX(1,MIN(104,INT((IF(F199="",E199,F199)-DATE(2025,12,29))/7)+1))</f>
        <v/>
      </c>
    </row>
    <row r="200">
      <c r="A200" t="inlineStr">
        <is>
          <t>0JN</t>
        </is>
      </c>
      <c r="B200" t="inlineStr">
        <is>
          <t>PO067515</t>
        </is>
      </c>
      <c r="C200" s="28" t="n"/>
      <c r="D200" t="n">
        <v>7919</v>
      </c>
      <c r="E200" s="24" t="n">
        <v>46172</v>
      </c>
      <c r="G200" t="inlineStr">
        <is>
          <t>In-transit</t>
        </is>
      </c>
      <c r="H200">
        <f>MAX(1,MIN(104,INT((IF(F200="",E200,F200)-DATE(2025,12,29))/7)+1))</f>
        <v/>
      </c>
    </row>
    <row r="201">
      <c r="A201" t="inlineStr">
        <is>
          <t>CHEM-1240</t>
        </is>
      </c>
      <c r="B201" t="inlineStr">
        <is>
          <t>PO068015</t>
        </is>
      </c>
      <c r="C201" s="28" t="n"/>
      <c r="D201" t="n">
        <v>660</v>
      </c>
      <c r="E201" s="24" t="n">
        <v>46181</v>
      </c>
      <c r="G201" t="inlineStr">
        <is>
          <t>In-transit</t>
        </is>
      </c>
      <c r="H201">
        <f>MAX(1,MIN(104,INT((IF(F201="",E201,F201)-DATE(2025,12,29))/7)+1))</f>
        <v/>
      </c>
    </row>
    <row r="202">
      <c r="A202" t="inlineStr">
        <is>
          <t>CHEM-1250</t>
        </is>
      </c>
      <c r="B202" t="inlineStr">
        <is>
          <t>PO068015</t>
        </is>
      </c>
      <c r="C202" s="28" t="n"/>
      <c r="D202" t="n">
        <v>50</v>
      </c>
      <c r="E202" s="24" t="n">
        <v>46181</v>
      </c>
      <c r="G202" t="inlineStr">
        <is>
          <t>In-transit</t>
        </is>
      </c>
      <c r="H202">
        <f>MAX(1,MIN(104,INT((IF(F202="",E202,F202)-DATE(2025,12,29))/7)+1))</f>
        <v/>
      </c>
    </row>
    <row r="203">
      <c r="A203" t="inlineStr">
        <is>
          <t>CHEM-1400</t>
        </is>
      </c>
      <c r="B203" t="inlineStr">
        <is>
          <t>PO068015</t>
        </is>
      </c>
      <c r="C203" s="28" t="n"/>
      <c r="D203" t="n">
        <v>200</v>
      </c>
      <c r="E203" s="24" t="n">
        <v>46181</v>
      </c>
      <c r="G203" t="inlineStr">
        <is>
          <t>In-transit</t>
        </is>
      </c>
      <c r="H203">
        <f>MAX(1,MIN(104,INT((IF(F203="",E203,F203)-DATE(2025,12,29))/7)+1))</f>
        <v/>
      </c>
    </row>
    <row r="204">
      <c r="A204" t="inlineStr">
        <is>
          <t>CHEM-1420</t>
        </is>
      </c>
      <c r="B204" t="inlineStr">
        <is>
          <t>PO068015</t>
        </is>
      </c>
      <c r="C204" s="28" t="n"/>
      <c r="D204" t="n">
        <v>240</v>
      </c>
      <c r="E204" s="24" t="n">
        <v>46181</v>
      </c>
      <c r="G204" t="inlineStr">
        <is>
          <t>In-transit</t>
        </is>
      </c>
      <c r="H204">
        <f>MAX(1,MIN(104,INT((IF(F204="",E204,F204)-DATE(2025,12,29))/7)+1))</f>
        <v/>
      </c>
    </row>
    <row r="205">
      <c r="A205" t="inlineStr">
        <is>
          <t>CHEM-1540</t>
        </is>
      </c>
      <c r="B205" t="inlineStr">
        <is>
          <t>PO068015</t>
        </is>
      </c>
      <c r="C205" s="28" t="n"/>
      <c r="D205" t="n">
        <v>4500</v>
      </c>
      <c r="E205" s="24" t="n">
        <v>46181</v>
      </c>
      <c r="G205" t="inlineStr">
        <is>
          <t>In-transit</t>
        </is>
      </c>
      <c r="H205">
        <f>MAX(1,MIN(104,INT((IF(F205="",E205,F205)-DATE(2025,12,29))/7)+1))</f>
        <v/>
      </c>
    </row>
    <row r="206">
      <c r="A206" t="inlineStr">
        <is>
          <t>CHEM-1530</t>
        </is>
      </c>
      <c r="B206" t="inlineStr">
        <is>
          <t>PO068015</t>
        </is>
      </c>
      <c r="C206" s="28" t="n"/>
      <c r="D206" t="n">
        <v>2100</v>
      </c>
      <c r="E206" s="24" t="n">
        <v>46181</v>
      </c>
      <c r="G206" t="inlineStr">
        <is>
          <t>In-transit</t>
        </is>
      </c>
      <c r="H206">
        <f>MAX(1,MIN(104,INT((IF(F206="",E206,F206)-DATE(2025,12,29))/7)+1))</f>
        <v/>
      </c>
    </row>
    <row r="207">
      <c r="A207" t="inlineStr">
        <is>
          <t>CHEM-1570</t>
        </is>
      </c>
      <c r="B207" t="inlineStr">
        <is>
          <t>PO068015</t>
        </is>
      </c>
      <c r="C207" s="28" t="n"/>
      <c r="D207" t="n">
        <v>18</v>
      </c>
      <c r="E207" s="24" t="n">
        <v>46181</v>
      </c>
      <c r="G207" t="inlineStr">
        <is>
          <t>In-transit</t>
        </is>
      </c>
      <c r="H207">
        <f>MAX(1,MIN(104,INT((IF(F207="",E207,F207)-DATE(2025,12,29))/7)+1))</f>
        <v/>
      </c>
    </row>
    <row r="208">
      <c r="A208" t="inlineStr">
        <is>
          <t>CHEM-1670</t>
        </is>
      </c>
      <c r="B208" t="inlineStr">
        <is>
          <t>PO068015</t>
        </is>
      </c>
      <c r="C208" s="28" t="n"/>
      <c r="D208" t="n">
        <v>360</v>
      </c>
      <c r="E208" s="24" t="n">
        <v>46181</v>
      </c>
      <c r="G208" t="inlineStr">
        <is>
          <t>In-transit</t>
        </is>
      </c>
      <c r="H208">
        <f>MAX(1,MIN(104,INT((IF(F208="",E208,F208)-DATE(2025,12,29))/7)+1))</f>
        <v/>
      </c>
    </row>
    <row r="209">
      <c r="A209" t="inlineStr">
        <is>
          <t>CHEM-1690</t>
        </is>
      </c>
      <c r="B209" t="inlineStr">
        <is>
          <t>PO068015</t>
        </is>
      </c>
      <c r="C209" s="28" t="n"/>
      <c r="D209" t="n">
        <v>135</v>
      </c>
      <c r="E209" s="24" t="n">
        <v>46181</v>
      </c>
      <c r="G209" t="inlineStr">
        <is>
          <t>In-transit</t>
        </is>
      </c>
      <c r="H209">
        <f>MAX(1,MIN(104,INT((IF(F209="",E209,F209)-DATE(2025,12,29))/7)+1))</f>
        <v/>
      </c>
    </row>
    <row r="210">
      <c r="A210" t="inlineStr">
        <is>
          <t>CHEM-1700</t>
        </is>
      </c>
      <c r="B210" t="inlineStr">
        <is>
          <t>PO068015</t>
        </is>
      </c>
      <c r="C210" s="28" t="n"/>
      <c r="D210" t="n">
        <v>60</v>
      </c>
      <c r="E210" s="24" t="n">
        <v>46181</v>
      </c>
      <c r="G210" t="inlineStr">
        <is>
          <t>In-transit</t>
        </is>
      </c>
      <c r="H210">
        <f>MAX(1,MIN(104,INT((IF(F210="",E210,F210)-DATE(2025,12,29))/7)+1))</f>
        <v/>
      </c>
    </row>
    <row r="211">
      <c r="A211" t="inlineStr">
        <is>
          <t>CHEM-1720</t>
        </is>
      </c>
      <c r="B211" t="inlineStr">
        <is>
          <t>PO068015</t>
        </is>
      </c>
      <c r="C211" s="28" t="n"/>
      <c r="D211" t="n">
        <v>1320</v>
      </c>
      <c r="E211" s="24" t="n">
        <v>46181</v>
      </c>
      <c r="G211" t="inlineStr">
        <is>
          <t>In-transit</t>
        </is>
      </c>
      <c r="H211">
        <f>MAX(1,MIN(104,INT((IF(F211="",E211,F211)-DATE(2025,12,29))/7)+1))</f>
        <v/>
      </c>
    </row>
    <row r="212">
      <c r="A212" t="inlineStr">
        <is>
          <t>CHEM-1760</t>
        </is>
      </c>
      <c r="B212" t="inlineStr">
        <is>
          <t>PO068015</t>
        </is>
      </c>
      <c r="C212" s="28" t="n"/>
      <c r="D212" t="n">
        <v>17</v>
      </c>
      <c r="E212" s="24" t="n">
        <v>46181</v>
      </c>
      <c r="G212" t="inlineStr">
        <is>
          <t>In-transit</t>
        </is>
      </c>
      <c r="H212">
        <f>MAX(1,MIN(104,INT((IF(F212="",E212,F212)-DATE(2025,12,29))/7)+1))</f>
        <v/>
      </c>
    </row>
    <row r="213">
      <c r="A213" t="inlineStr">
        <is>
          <t>CHEM-1200</t>
        </is>
      </c>
      <c r="B213" t="inlineStr">
        <is>
          <t>PO068015</t>
        </is>
      </c>
      <c r="C213" s="28" t="n"/>
      <c r="D213" t="n">
        <v>25</v>
      </c>
      <c r="E213" s="24" t="n">
        <v>46181</v>
      </c>
      <c r="G213" t="inlineStr">
        <is>
          <t>In-transit</t>
        </is>
      </c>
      <c r="H213">
        <f>MAX(1,MIN(104,INT((IF(F213="",E213,F213)-DATE(2025,12,29))/7)+1))</f>
        <v/>
      </c>
    </row>
    <row r="214">
      <c r="A214" t="inlineStr">
        <is>
          <t>CHEM-1840</t>
        </is>
      </c>
      <c r="B214" t="inlineStr">
        <is>
          <t>PO068015</t>
        </is>
      </c>
      <c r="C214" s="28" t="n"/>
      <c r="D214" t="n">
        <v>18</v>
      </c>
      <c r="E214" s="24" t="n">
        <v>46181</v>
      </c>
      <c r="G214" t="inlineStr">
        <is>
          <t>In-transit</t>
        </is>
      </c>
      <c r="H214">
        <f>MAX(1,MIN(104,INT((IF(F214="",E214,F214)-DATE(2025,12,29))/7)+1))</f>
        <v/>
      </c>
    </row>
    <row r="215">
      <c r="A215" t="inlineStr">
        <is>
          <t>TPP-1469</t>
        </is>
      </c>
      <c r="B215" t="inlineStr"/>
      <c r="C215" s="28" t="n"/>
      <c r="D215" t="n">
        <v>74.56</v>
      </c>
      <c r="E215" s="24" t="n">
        <v>46181</v>
      </c>
      <c r="G215" t="inlineStr">
        <is>
          <t>In-transit</t>
        </is>
      </c>
      <c r="H215">
        <f>MAX(1,MIN(104,INT((IF(F215="",E215,F215)-DATE(2025,12,29))/7)+1))</f>
        <v/>
      </c>
    </row>
    <row r="216">
      <c r="A216" t="inlineStr">
        <is>
          <t>CHEM-1660</t>
        </is>
      </c>
      <c r="B216" t="inlineStr">
        <is>
          <t>PO067957</t>
        </is>
      </c>
      <c r="C216" s="28" t="n"/>
      <c r="D216" t="n">
        <v>180</v>
      </c>
      <c r="E216" s="24" t="n">
        <v>46181</v>
      </c>
      <c r="G216" t="inlineStr">
        <is>
          <t>In-transit</t>
        </is>
      </c>
      <c r="H216">
        <f>MAX(1,MIN(104,INT((IF(F216="",E216,F216)-DATE(2025,12,29))/7)+1))</f>
        <v/>
      </c>
    </row>
    <row r="217">
      <c r="A217" t="inlineStr">
        <is>
          <t>CHEM-1280</t>
        </is>
      </c>
      <c r="B217" t="inlineStr">
        <is>
          <t>PO067957</t>
        </is>
      </c>
      <c r="C217" s="28" t="n"/>
      <c r="D217" t="n">
        <v>1000</v>
      </c>
      <c r="E217" s="24" t="n">
        <v>46181</v>
      </c>
      <c r="G217" t="inlineStr">
        <is>
          <t>In-transit</t>
        </is>
      </c>
      <c r="H217">
        <f>MAX(1,MIN(104,INT((IF(F217="",E217,F217)-DATE(2025,12,29))/7)+1))</f>
        <v/>
      </c>
    </row>
    <row r="218">
      <c r="A218" t="inlineStr">
        <is>
          <t>4HL</t>
        </is>
      </c>
      <c r="B218" t="inlineStr"/>
      <c r="C218" s="28" t="n"/>
      <c r="D218" t="n">
        <v>12000</v>
      </c>
      <c r="E218" s="24" t="n">
        <v>46213</v>
      </c>
      <c r="G218" t="inlineStr">
        <is>
          <t>Unconfirmed</t>
        </is>
      </c>
      <c r="H218">
        <f>MAX(1,MIN(104,INT((IF(F218="",E218,F218)-DATE(2025,12,29))/7)+1))</f>
        <v/>
      </c>
    </row>
    <row r="219">
      <c r="A219" t="inlineStr">
        <is>
          <t>4HL</t>
        </is>
      </c>
      <c r="B219" t="inlineStr"/>
      <c r="C219" s="28" t="n"/>
      <c r="D219" t="n">
        <v>6240</v>
      </c>
      <c r="E219" s="24" t="n">
        <v>46215</v>
      </c>
      <c r="G219" t="inlineStr">
        <is>
          <t>Unconfirmed</t>
        </is>
      </c>
      <c r="H219">
        <f>MAX(1,MIN(104,INT((IF(F219="",E219,F219)-DATE(2025,12,29))/7)+1))</f>
        <v/>
      </c>
    </row>
    <row r="220">
      <c r="A220" t="inlineStr">
        <is>
          <t>4HL</t>
        </is>
      </c>
      <c r="B220" t="inlineStr"/>
      <c r="C220" s="28" t="n"/>
      <c r="D220" t="n">
        <v>6240</v>
      </c>
      <c r="E220" s="24" t="n">
        <v>46220</v>
      </c>
      <c r="G220" t="inlineStr">
        <is>
          <t>Unconfirmed</t>
        </is>
      </c>
      <c r="H220">
        <f>MAX(1,MIN(104,INT((IF(F220="",E220,F220)-DATE(2025,12,29))/7)+1))</f>
        <v/>
      </c>
    </row>
    <row r="221">
      <c r="A221" t="inlineStr">
        <is>
          <t>4HL</t>
        </is>
      </c>
      <c r="B221" t="inlineStr"/>
      <c r="C221" s="28" t="n"/>
      <c r="D221" t="n">
        <v>5972</v>
      </c>
      <c r="E221" s="24" t="n">
        <v>46222</v>
      </c>
      <c r="G221" t="inlineStr">
        <is>
          <t>Unconfirmed</t>
        </is>
      </c>
      <c r="H221">
        <f>MAX(1,MIN(104,INT((IF(F221="",E221,F221)-DATE(2025,12,29))/7)+1))</f>
        <v/>
      </c>
    </row>
    <row r="222">
      <c r="A222" t="inlineStr">
        <is>
          <t>4HL</t>
        </is>
      </c>
      <c r="B222" t="inlineStr"/>
      <c r="C222" s="28" t="n"/>
      <c r="D222" t="n">
        <v>5760</v>
      </c>
      <c r="E222" s="24" t="n">
        <v>46227</v>
      </c>
      <c r="G222" t="inlineStr">
        <is>
          <t>Unconfirmed</t>
        </is>
      </c>
      <c r="H222">
        <f>MAX(1,MIN(104,INT((IF(F222="",E222,F222)-DATE(2025,12,29))/7)+1))</f>
        <v/>
      </c>
    </row>
    <row r="223">
      <c r="A223" t="inlineStr">
        <is>
          <t>4HL</t>
        </is>
      </c>
      <c r="B223" t="inlineStr"/>
      <c r="C223" s="28" t="n"/>
      <c r="D223" t="n">
        <v>6240</v>
      </c>
      <c r="E223" s="24" t="n">
        <v>46229</v>
      </c>
      <c r="G223" t="inlineStr">
        <is>
          <t>Unconfirmed</t>
        </is>
      </c>
      <c r="H223">
        <f>MAX(1,MIN(104,INT((IF(F223="",E223,F223)-DATE(2025,12,29))/7)+1))</f>
        <v/>
      </c>
    </row>
    <row r="224">
      <c r="A224" t="inlineStr">
        <is>
          <t>4HL</t>
        </is>
      </c>
      <c r="B224" t="inlineStr"/>
      <c r="C224" s="28" t="n"/>
      <c r="D224" t="n">
        <v>5902</v>
      </c>
      <c r="E224" s="24" t="n">
        <v>46234</v>
      </c>
      <c r="G224" t="inlineStr">
        <is>
          <t>Unconfirmed</t>
        </is>
      </c>
      <c r="H224">
        <f>MAX(1,MIN(104,INT((IF(F224="",E224,F224)-DATE(2025,12,29))/7)+1))</f>
        <v/>
      </c>
    </row>
    <row r="225">
      <c r="A225" t="inlineStr">
        <is>
          <t>4HL</t>
        </is>
      </c>
      <c r="B225" t="inlineStr"/>
      <c r="C225" s="28" t="n"/>
      <c r="D225" t="n">
        <v>6240</v>
      </c>
      <c r="E225" s="24" t="n">
        <v>46236</v>
      </c>
      <c r="G225" t="inlineStr">
        <is>
          <t>Unconfirmed</t>
        </is>
      </c>
      <c r="H225">
        <f>MAX(1,MIN(104,INT((IF(F225="",E225,F225)-DATE(2025,12,29))/7)+1))</f>
        <v/>
      </c>
    </row>
    <row r="226">
      <c r="A226" t="inlineStr">
        <is>
          <t>4HL</t>
        </is>
      </c>
      <c r="B226" t="inlineStr"/>
      <c r="C226" s="28" t="n"/>
      <c r="D226" t="n">
        <v>5760</v>
      </c>
      <c r="E226" s="24" t="n">
        <v>46241</v>
      </c>
      <c r="G226" t="inlineStr">
        <is>
          <t>Unconfirmed</t>
        </is>
      </c>
      <c r="H226">
        <f>MAX(1,MIN(104,INT((IF(F226="",E226,F226)-DATE(2025,12,29))/7)+1))</f>
        <v/>
      </c>
    </row>
    <row r="227">
      <c r="A227" t="inlineStr">
        <is>
          <t>TDJ</t>
        </is>
      </c>
      <c r="B227" t="inlineStr"/>
      <c r="C227" s="28" t="n"/>
      <c r="D227" t="n">
        <v>392</v>
      </c>
      <c r="E227" s="24" t="n">
        <v>46222</v>
      </c>
      <c r="G227" t="inlineStr">
        <is>
          <t>Unconfirmed</t>
        </is>
      </c>
      <c r="H227">
        <f>MAX(1,MIN(104,INT((IF(F227="",E227,F227)-DATE(2025,12,29))/7)+1))</f>
        <v/>
      </c>
    </row>
    <row r="228">
      <c r="A228" t="inlineStr">
        <is>
          <t>TDJ</t>
        </is>
      </c>
      <c r="B228" t="inlineStr"/>
      <c r="C228" s="28" t="n"/>
      <c r="D228" t="n">
        <v>200</v>
      </c>
      <c r="E228" s="24" t="n">
        <v>46227</v>
      </c>
      <c r="G228" t="inlineStr">
        <is>
          <t>Unconfirmed</t>
        </is>
      </c>
      <c r="H228">
        <f>MAX(1,MIN(104,INT((IF(F228="",E228,F228)-DATE(2025,12,29))/7)+1))</f>
        <v/>
      </c>
    </row>
    <row r="229">
      <c r="A229" t="inlineStr">
        <is>
          <t>TDJ</t>
        </is>
      </c>
      <c r="B229" t="inlineStr"/>
      <c r="C229" s="28" t="n"/>
      <c r="D229" t="n">
        <v>392</v>
      </c>
      <c r="E229" s="24" t="n">
        <v>46229</v>
      </c>
      <c r="G229" t="inlineStr">
        <is>
          <t>Unconfirmed</t>
        </is>
      </c>
      <c r="H229">
        <f>MAX(1,MIN(104,INT((IF(F229="",E229,F229)-DATE(2025,12,29))/7)+1))</f>
        <v/>
      </c>
    </row>
    <row r="230">
      <c r="A230" t="inlineStr">
        <is>
          <t>TDJ</t>
        </is>
      </c>
      <c r="B230" t="inlineStr"/>
      <c r="C230" s="28" t="n"/>
      <c r="D230" t="n">
        <v>392</v>
      </c>
      <c r="E230" s="24" t="n">
        <v>46236</v>
      </c>
      <c r="G230" t="inlineStr">
        <is>
          <t>Unconfirmed</t>
        </is>
      </c>
      <c r="H230">
        <f>MAX(1,MIN(104,INT((IF(F230="",E230,F230)-DATE(2025,12,29))/7)+1))</f>
        <v/>
      </c>
    </row>
    <row r="231">
      <c r="A231" t="inlineStr">
        <is>
          <t>TDJ</t>
        </is>
      </c>
      <c r="B231" t="inlineStr"/>
      <c r="C231" s="28" t="n"/>
      <c r="D231" t="n">
        <v>392</v>
      </c>
      <c r="E231" s="24" t="n">
        <v>46241</v>
      </c>
      <c r="G231" t="inlineStr">
        <is>
          <t>Unconfirmed</t>
        </is>
      </c>
      <c r="H231">
        <f>MAX(1,MIN(104,INT((IF(F231="",E231,F231)-DATE(2025,12,29))/7)+1))</f>
        <v/>
      </c>
    </row>
    <row r="232">
      <c r="A232" t="inlineStr">
        <is>
          <t>0JN</t>
        </is>
      </c>
      <c r="B232" t="inlineStr">
        <is>
          <t>PO067815</t>
        </is>
      </c>
      <c r="C232" s="28" t="n"/>
      <c r="D232" t="n">
        <v>12672</v>
      </c>
      <c r="E232" s="24" t="n">
        <v>46203</v>
      </c>
      <c r="G232" t="inlineStr">
        <is>
          <t>Unconfirmed</t>
        </is>
      </c>
      <c r="H232">
        <f>MAX(1,MIN(104,INT((IF(F232="",E232,F232)-DATE(2025,12,29))/7)+1))</f>
        <v/>
      </c>
    </row>
    <row r="233">
      <c r="A233" t="inlineStr">
        <is>
          <t>CHEM-1240</t>
        </is>
      </c>
      <c r="B233" t="inlineStr">
        <is>
          <t>PO067960</t>
        </is>
      </c>
      <c r="C233" s="28" t="n"/>
      <c r="D233" t="n">
        <v>440</v>
      </c>
      <c r="E233" s="24" t="n">
        <v>46206</v>
      </c>
      <c r="G233" t="inlineStr">
        <is>
          <t>Unconfirmed</t>
        </is>
      </c>
      <c r="H233">
        <f>MAX(1,MIN(104,INT((IF(F233="",E233,F233)-DATE(2025,12,29))/7)+1))</f>
        <v/>
      </c>
    </row>
    <row r="234">
      <c r="A234" t="inlineStr">
        <is>
          <t>CHEM-1250</t>
        </is>
      </c>
      <c r="B234" t="inlineStr">
        <is>
          <t>PO067960</t>
        </is>
      </c>
      <c r="C234" s="28" t="n"/>
      <c r="D234" t="n">
        <v>125</v>
      </c>
      <c r="E234" s="24" t="n">
        <v>46206</v>
      </c>
      <c r="G234" t="inlineStr">
        <is>
          <t>Unconfirmed</t>
        </is>
      </c>
      <c r="H234">
        <f>MAX(1,MIN(104,INT((IF(F234="",E234,F234)-DATE(2025,12,29))/7)+1))</f>
        <v/>
      </c>
    </row>
    <row r="235">
      <c r="A235" t="inlineStr">
        <is>
          <t>CHEM-1400</t>
        </is>
      </c>
      <c r="B235" t="inlineStr">
        <is>
          <t>PO067960</t>
        </is>
      </c>
      <c r="C235" s="28" t="n"/>
      <c r="D235" t="n">
        <v>250</v>
      </c>
      <c r="E235" s="24" t="n">
        <v>46206</v>
      </c>
      <c r="G235" t="inlineStr">
        <is>
          <t>Unconfirmed</t>
        </is>
      </c>
      <c r="H235">
        <f>MAX(1,MIN(104,INT((IF(F235="",E235,F235)-DATE(2025,12,29))/7)+1))</f>
        <v/>
      </c>
    </row>
    <row r="236">
      <c r="A236" t="inlineStr">
        <is>
          <t>CHEM-1420</t>
        </is>
      </c>
      <c r="B236" t="inlineStr">
        <is>
          <t>PO067960</t>
        </is>
      </c>
      <c r="C236" s="28" t="n"/>
      <c r="D236" t="n">
        <v>240</v>
      </c>
      <c r="E236" s="24" t="n">
        <v>46206</v>
      </c>
      <c r="G236" t="inlineStr">
        <is>
          <t>Unconfirmed</t>
        </is>
      </c>
      <c r="H236">
        <f>MAX(1,MIN(104,INT((IF(F236="",E236,F236)-DATE(2025,12,29))/7)+1))</f>
        <v/>
      </c>
    </row>
    <row r="237">
      <c r="A237" t="inlineStr">
        <is>
          <t>CHEM-1440</t>
        </is>
      </c>
      <c r="B237" t="inlineStr">
        <is>
          <t>PO067960</t>
        </is>
      </c>
      <c r="C237" s="28" t="n"/>
      <c r="D237" t="n">
        <v>200</v>
      </c>
      <c r="E237" s="24" t="n">
        <v>46206</v>
      </c>
      <c r="G237" t="inlineStr">
        <is>
          <t>Unconfirmed</t>
        </is>
      </c>
      <c r="H237">
        <f>MAX(1,MIN(104,INT((IF(F237="",E237,F237)-DATE(2025,12,29))/7)+1))</f>
        <v/>
      </c>
    </row>
    <row r="238">
      <c r="A238" t="inlineStr">
        <is>
          <t>CHEM-1540</t>
        </is>
      </c>
      <c r="B238" t="inlineStr">
        <is>
          <t>PO067960</t>
        </is>
      </c>
      <c r="C238" s="28" t="n"/>
      <c r="D238" t="n">
        <v>2000</v>
      </c>
      <c r="E238" s="24" t="n">
        <v>46206</v>
      </c>
      <c r="G238" t="inlineStr">
        <is>
          <t>Unconfirmed</t>
        </is>
      </c>
      <c r="H238">
        <f>MAX(1,MIN(104,INT((IF(F238="",E238,F238)-DATE(2025,12,29))/7)+1))</f>
        <v/>
      </c>
    </row>
    <row r="239">
      <c r="A239" t="inlineStr">
        <is>
          <t>CHEM-1530</t>
        </is>
      </c>
      <c r="B239" t="inlineStr">
        <is>
          <t>PO067960</t>
        </is>
      </c>
      <c r="C239" s="28" t="n"/>
      <c r="D239" t="n">
        <v>2100</v>
      </c>
      <c r="E239" s="24" t="n">
        <v>46206</v>
      </c>
      <c r="G239" t="inlineStr">
        <is>
          <t>Unconfirmed</t>
        </is>
      </c>
      <c r="H239">
        <f>MAX(1,MIN(104,INT((IF(F239="",E239,F239)-DATE(2025,12,29))/7)+1))</f>
        <v/>
      </c>
    </row>
    <row r="240">
      <c r="A240" t="inlineStr">
        <is>
          <t>CHEM-1600</t>
        </is>
      </c>
      <c r="B240" t="inlineStr">
        <is>
          <t>PO067960</t>
        </is>
      </c>
      <c r="C240" s="28" t="n"/>
      <c r="D240" t="n">
        <v>300</v>
      </c>
      <c r="E240" s="24" t="n">
        <v>46206</v>
      </c>
      <c r="G240" t="inlineStr">
        <is>
          <t>Unconfirmed</t>
        </is>
      </c>
      <c r="H240">
        <f>MAX(1,MIN(104,INT((IF(F240="",E240,F240)-DATE(2025,12,29))/7)+1))</f>
        <v/>
      </c>
    </row>
    <row r="241">
      <c r="A241" t="inlineStr">
        <is>
          <t>CHEM-1570</t>
        </is>
      </c>
      <c r="B241" t="inlineStr">
        <is>
          <t>PO067960</t>
        </is>
      </c>
      <c r="C241" s="28" t="n"/>
      <c r="D241" t="n">
        <v>54</v>
      </c>
      <c r="E241" s="24" t="n">
        <v>46206</v>
      </c>
      <c r="G241" t="inlineStr">
        <is>
          <t>Unconfirmed</t>
        </is>
      </c>
      <c r="H241">
        <f>MAX(1,MIN(104,INT((IF(F241="",E241,F241)-DATE(2025,12,29))/7)+1))</f>
        <v/>
      </c>
    </row>
    <row r="242">
      <c r="A242" t="inlineStr">
        <is>
          <t>CHEM-1670</t>
        </is>
      </c>
      <c r="B242" t="inlineStr">
        <is>
          <t>PO067960</t>
        </is>
      </c>
      <c r="C242" s="28" t="n"/>
      <c r="D242" t="n">
        <v>180</v>
      </c>
      <c r="E242" s="24" t="n">
        <v>46206</v>
      </c>
      <c r="G242" t="inlineStr">
        <is>
          <t>Unconfirmed</t>
        </is>
      </c>
      <c r="H242">
        <f>MAX(1,MIN(104,INT((IF(F242="",E242,F242)-DATE(2025,12,29))/7)+1))</f>
        <v/>
      </c>
    </row>
    <row r="243">
      <c r="A243" t="inlineStr">
        <is>
          <t>CHEM-1700</t>
        </is>
      </c>
      <c r="B243" t="inlineStr">
        <is>
          <t>PO067960</t>
        </is>
      </c>
      <c r="C243" s="28" t="n"/>
      <c r="D243" t="n">
        <v>90</v>
      </c>
      <c r="E243" s="24" t="n">
        <v>46206</v>
      </c>
      <c r="G243" t="inlineStr">
        <is>
          <t>Unconfirmed</t>
        </is>
      </c>
      <c r="H243">
        <f>MAX(1,MIN(104,INT((IF(F243="",E243,F243)-DATE(2025,12,29))/7)+1))</f>
        <v/>
      </c>
    </row>
    <row r="244">
      <c r="A244" t="inlineStr">
        <is>
          <t>CHEM-1720</t>
        </is>
      </c>
      <c r="B244" t="inlineStr">
        <is>
          <t>PO067960</t>
        </is>
      </c>
      <c r="C244" s="28" t="n"/>
      <c r="D244" t="n">
        <v>960</v>
      </c>
      <c r="E244" s="24" t="n">
        <v>46206</v>
      </c>
      <c r="G244" t="inlineStr">
        <is>
          <t>Unconfirmed</t>
        </is>
      </c>
      <c r="H244">
        <f>MAX(1,MIN(104,INT((IF(F244="",E244,F244)-DATE(2025,12,29))/7)+1))</f>
        <v/>
      </c>
    </row>
    <row r="245">
      <c r="A245" t="inlineStr">
        <is>
          <t>CHEM-1200</t>
        </is>
      </c>
      <c r="B245" t="inlineStr">
        <is>
          <t>PO067960</t>
        </is>
      </c>
      <c r="C245" s="28" t="n"/>
      <c r="D245" t="n">
        <v>25</v>
      </c>
      <c r="E245" s="24" t="n">
        <v>46206</v>
      </c>
      <c r="G245" t="inlineStr">
        <is>
          <t>Unconfirmed</t>
        </is>
      </c>
      <c r="H245">
        <f>MAX(1,MIN(104,INT((IF(F245="",E245,F245)-DATE(2025,12,29))/7)+1))</f>
        <v/>
      </c>
    </row>
    <row r="246">
      <c r="A246" t="inlineStr">
        <is>
          <t>CHEM-1680</t>
        </is>
      </c>
      <c r="B246" t="inlineStr">
        <is>
          <t>PO067960</t>
        </is>
      </c>
      <c r="C246" s="28" t="n"/>
      <c r="D246" t="n">
        <v>100</v>
      </c>
      <c r="E246" s="24" t="n">
        <v>46206</v>
      </c>
      <c r="G246" t="inlineStr">
        <is>
          <t>Unconfirmed</t>
        </is>
      </c>
      <c r="H246">
        <f>MAX(1,MIN(104,INT((IF(F246="",E246,F246)-DATE(2025,12,29))/7)+1))</f>
        <v/>
      </c>
    </row>
    <row r="247">
      <c r="A247" t="inlineStr">
        <is>
          <t>CHEM-1840</t>
        </is>
      </c>
      <c r="B247" t="inlineStr">
        <is>
          <t>PO067960</t>
        </is>
      </c>
      <c r="C247" s="28" t="n"/>
      <c r="D247" t="n">
        <v>18</v>
      </c>
      <c r="E247" s="24" t="n">
        <v>46206</v>
      </c>
      <c r="G247" t="inlineStr">
        <is>
          <t>Unconfirmed</t>
        </is>
      </c>
      <c r="H247">
        <f>MAX(1,MIN(104,INT((IF(F247="",E247,F247)-DATE(2025,12,29))/7)+1))</f>
        <v/>
      </c>
    </row>
    <row r="248">
      <c r="A248" t="inlineStr">
        <is>
          <t>TPP-1469</t>
        </is>
      </c>
      <c r="B248" t="inlineStr"/>
      <c r="C248" s="28" t="n"/>
      <c r="D248" t="n">
        <v>37.28</v>
      </c>
      <c r="E248" s="24" t="n">
        <v>46206</v>
      </c>
      <c r="G248" t="inlineStr">
        <is>
          <t>Unconfirmed</t>
        </is>
      </c>
      <c r="H248">
        <f>MAX(1,MIN(104,INT((IF(F248="",E248,F248)-DATE(2025,12,29))/7)+1))</f>
        <v/>
      </c>
    </row>
    <row r="249">
      <c r="A249" t="inlineStr">
        <is>
          <t>CHEM-1660</t>
        </is>
      </c>
      <c r="B249" t="inlineStr">
        <is>
          <t>PO067957</t>
        </is>
      </c>
      <c r="C249" s="28" t="n"/>
      <c r="D249" t="n">
        <v>150</v>
      </c>
      <c r="E249" s="24" t="n">
        <v>46205</v>
      </c>
      <c r="G249" t="inlineStr">
        <is>
          <t>Unconfirmed</t>
        </is>
      </c>
      <c r="H249">
        <f>MAX(1,MIN(104,INT((IF(F249="",E249,F249)-DATE(2025,12,29))/7)+1))</f>
        <v/>
      </c>
    </row>
    <row r="250">
      <c r="A250" t="inlineStr">
        <is>
          <t>CHEM-1280</t>
        </is>
      </c>
      <c r="B250" t="inlineStr">
        <is>
          <t>PO067957</t>
        </is>
      </c>
      <c r="C250" s="28" t="n"/>
      <c r="D250" t="n">
        <v>1500</v>
      </c>
      <c r="E250" s="24" t="n">
        <v>46205</v>
      </c>
      <c r="G250" t="inlineStr">
        <is>
          <t>Unconfirmed</t>
        </is>
      </c>
      <c r="H250">
        <f>MAX(1,MIN(104,INT((IF(F250="",E250,F250)-DATE(2025,12,29))/7)+1))</f>
        <v/>
      </c>
    </row>
    <row r="251">
      <c r="A251" t="inlineStr">
        <is>
          <t>0JN</t>
        </is>
      </c>
      <c r="B251" t="inlineStr">
        <is>
          <t>PO067959</t>
        </is>
      </c>
      <c r="C251" s="28" t="n"/>
      <c r="D251" t="n">
        <v>18612</v>
      </c>
      <c r="E251" s="24" t="n">
        <v>46234</v>
      </c>
      <c r="G251" t="inlineStr">
        <is>
          <t>Unconfirmed</t>
        </is>
      </c>
      <c r="H251">
        <f>MAX(1,MIN(104,INT((IF(F251="",E251,F251)-DATE(2025,12,29))/7)+1))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2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27" t="inlineStr">
        <is>
          <t>RM_Code</t>
        </is>
      </c>
      <c r="B1" s="27" t="inlineStr">
        <is>
          <t>Opening_Qty_要入力</t>
        </is>
      </c>
      <c r="C1" s="27" t="inlineStr">
        <is>
          <t>AsOf</t>
        </is>
      </c>
    </row>
    <row r="2">
      <c r="A2" t="inlineStr">
        <is>
          <t>CHEM-1250</t>
        </is>
      </c>
      <c r="B2" s="28" t="n">
        <v>0</v>
      </c>
      <c r="C2" s="29" t="n">
        <v>46020</v>
      </c>
    </row>
    <row r="3">
      <c r="A3" t="inlineStr">
        <is>
          <t>CHEM-1670</t>
        </is>
      </c>
      <c r="B3" s="28" t="n">
        <v>0</v>
      </c>
      <c r="C3" s="29" t="n">
        <v>46020</v>
      </c>
    </row>
    <row r="4">
      <c r="A4" t="inlineStr">
        <is>
          <t>CHEM-1700</t>
        </is>
      </c>
      <c r="B4" s="28" t="n">
        <v>0</v>
      </c>
      <c r="C4" s="29" t="n">
        <v>46020</v>
      </c>
    </row>
    <row r="5">
      <c r="A5" t="inlineStr">
        <is>
          <t>CHEM-1420</t>
        </is>
      </c>
      <c r="B5" s="28" t="n">
        <v>0</v>
      </c>
      <c r="C5" s="29" t="n">
        <v>46020</v>
      </c>
    </row>
    <row r="6">
      <c r="A6" t="inlineStr">
        <is>
          <t>CHEM-1530</t>
        </is>
      </c>
      <c r="B6" s="28" t="n">
        <v>0</v>
      </c>
      <c r="C6" s="29" t="n">
        <v>46020</v>
      </c>
    </row>
    <row r="7">
      <c r="A7" t="inlineStr">
        <is>
          <t>CHEM-1540</t>
        </is>
      </c>
      <c r="B7" s="28" t="n">
        <v>0</v>
      </c>
      <c r="C7" s="29" t="n">
        <v>46020</v>
      </c>
    </row>
    <row r="8">
      <c r="A8" t="inlineStr">
        <is>
          <t>CHEM-1690</t>
        </is>
      </c>
      <c r="B8" s="28" t="n">
        <v>0</v>
      </c>
      <c r="C8" s="29" t="n">
        <v>46020</v>
      </c>
    </row>
    <row r="9">
      <c r="A9" t="inlineStr">
        <is>
          <t>CHEM-1720</t>
        </is>
      </c>
      <c r="B9" s="28" t="n">
        <v>0</v>
      </c>
      <c r="C9" s="29" t="n">
        <v>46020</v>
      </c>
    </row>
    <row r="10">
      <c r="A10" t="inlineStr">
        <is>
          <t>CHEM-1440</t>
        </is>
      </c>
      <c r="B10" s="28" t="n">
        <v>0</v>
      </c>
      <c r="C10" s="29" t="n">
        <v>46020</v>
      </c>
    </row>
    <row r="11">
      <c r="A11" t="inlineStr">
        <is>
          <t>PET FILM(900*1000)</t>
        </is>
      </c>
      <c r="B11" s="28" t="n">
        <v>0</v>
      </c>
      <c r="C11" s="29" t="n">
        <v>46020</v>
      </c>
    </row>
    <row r="12">
      <c r="A12" t="inlineStr">
        <is>
          <t>4HL</t>
        </is>
      </c>
      <c r="B12" s="28" t="n">
        <v>0</v>
      </c>
      <c r="C12" s="29" t="n">
        <v>46020</v>
      </c>
    </row>
    <row r="13">
      <c r="A13" t="inlineStr">
        <is>
          <t>1EK</t>
        </is>
      </c>
      <c r="B13" s="28" t="n">
        <v>0</v>
      </c>
      <c r="C13" s="29" t="n">
        <v>46020</v>
      </c>
    </row>
    <row r="14">
      <c r="A14" t="inlineStr">
        <is>
          <t>7CL</t>
        </is>
      </c>
      <c r="B14" s="28" t="n">
        <v>0</v>
      </c>
      <c r="C14" s="29" t="n">
        <v>46020</v>
      </c>
    </row>
    <row r="15">
      <c r="A15" t="inlineStr">
        <is>
          <t>9RN</t>
        </is>
      </c>
      <c r="B15" s="28" t="n">
        <v>0</v>
      </c>
      <c r="C15" s="29" t="n">
        <v>46020</v>
      </c>
    </row>
    <row r="16">
      <c r="A16" t="inlineStr">
        <is>
          <t>7EP</t>
        </is>
      </c>
      <c r="B16" s="28" t="n">
        <v>0</v>
      </c>
      <c r="C16" s="29" t="n">
        <v>46020</v>
      </c>
    </row>
    <row r="17">
      <c r="A17" t="inlineStr">
        <is>
          <t>F2290</t>
        </is>
      </c>
      <c r="B17" s="28" t="n">
        <v>0</v>
      </c>
      <c r="C17" s="29" t="n">
        <v>46020</v>
      </c>
    </row>
    <row r="18">
      <c r="A18" t="inlineStr">
        <is>
          <t>CHEM-1400</t>
        </is>
      </c>
      <c r="B18" s="28" t="n">
        <v>0</v>
      </c>
      <c r="C18" s="29" t="n">
        <v>46020</v>
      </c>
    </row>
    <row r="19">
      <c r="A19" t="inlineStr">
        <is>
          <t>CHEM-1570</t>
        </is>
      </c>
      <c r="B19" s="28" t="n">
        <v>0</v>
      </c>
      <c r="C19" s="29" t="n">
        <v>46020</v>
      </c>
    </row>
    <row r="20">
      <c r="A20" t="inlineStr">
        <is>
          <t>CHEM-1650</t>
        </is>
      </c>
      <c r="B20" s="28" t="n">
        <v>0</v>
      </c>
      <c r="C20" s="29" t="n">
        <v>46020</v>
      </c>
    </row>
    <row r="21">
      <c r="A21" t="inlineStr">
        <is>
          <t>CHEM-1660</t>
        </is>
      </c>
      <c r="B21" s="28" t="n">
        <v>0</v>
      </c>
      <c r="C21" s="29" t="n">
        <v>46020</v>
      </c>
    </row>
    <row r="22">
      <c r="A22" t="inlineStr">
        <is>
          <t>CHEM-1600</t>
        </is>
      </c>
      <c r="B22" s="28" t="n">
        <v>0</v>
      </c>
      <c r="C22" s="29" t="n">
        <v>46020</v>
      </c>
    </row>
    <row r="23">
      <c r="A23" t="inlineStr">
        <is>
          <t>CHEM-1280</t>
        </is>
      </c>
      <c r="B23" s="28" t="n">
        <v>0</v>
      </c>
      <c r="C23" s="29" t="n">
        <v>46020</v>
      </c>
    </row>
    <row r="24">
      <c r="A24" t="inlineStr">
        <is>
          <t>CHEM-1240</t>
        </is>
      </c>
      <c r="B24" s="28" t="n">
        <v>0</v>
      </c>
      <c r="C24" s="29" t="n">
        <v>46020</v>
      </c>
    </row>
    <row r="25">
      <c r="A25" t="inlineStr">
        <is>
          <t>0JN</t>
        </is>
      </c>
      <c r="B25" s="28" t="n">
        <v>0</v>
      </c>
      <c r="C25" s="29" t="n">
        <v>46020</v>
      </c>
    </row>
    <row r="26">
      <c r="A26" t="inlineStr">
        <is>
          <t>CHEM-1760</t>
        </is>
      </c>
      <c r="B26" s="28" t="n">
        <v>0</v>
      </c>
      <c r="C26" s="29" t="n">
        <v>46020</v>
      </c>
    </row>
    <row r="27">
      <c r="A27" t="inlineStr">
        <is>
          <t>Original Towel</t>
        </is>
      </c>
      <c r="B27" s="28" t="n">
        <v>0</v>
      </c>
      <c r="C27" s="29" t="n">
        <v>46020</v>
      </c>
    </row>
    <row r="28">
      <c r="A28" t="inlineStr">
        <is>
          <t>0LJ</t>
        </is>
      </c>
      <c r="B28" s="28" t="n">
        <v>0</v>
      </c>
      <c r="C28" s="29" t="n">
        <v>46020</v>
      </c>
    </row>
    <row r="29">
      <c r="A29" t="inlineStr">
        <is>
          <t>PP FILM</t>
        </is>
      </c>
      <c r="B29" s="28" t="n">
        <v>0</v>
      </c>
      <c r="C29" s="29" t="n">
        <v>46020</v>
      </c>
    </row>
    <row r="30">
      <c r="A30" t="inlineStr">
        <is>
          <t>CHEM-1200</t>
        </is>
      </c>
      <c r="B30" s="28" t="n">
        <v>0</v>
      </c>
      <c r="C30" s="29" t="n">
        <v>46020</v>
      </c>
    </row>
    <row r="31">
      <c r="A31" t="inlineStr">
        <is>
          <t>ABN</t>
        </is>
      </c>
      <c r="B31" s="28" t="n">
        <v>0</v>
      </c>
      <c r="C31" s="29" t="n">
        <v>46020</v>
      </c>
    </row>
    <row r="32">
      <c r="A32" t="inlineStr">
        <is>
          <t>YAN</t>
        </is>
      </c>
      <c r="B32" s="28" t="n">
        <v>0</v>
      </c>
      <c r="C32" s="29" t="n">
        <v>46020</v>
      </c>
    </row>
    <row r="33">
      <c r="A33" t="inlineStr">
        <is>
          <t>KEJ</t>
        </is>
      </c>
      <c r="B33" s="28" t="n">
        <v>0</v>
      </c>
      <c r="C33" s="29" t="n">
        <v>46020</v>
      </c>
    </row>
    <row r="34">
      <c r="A34" t="inlineStr">
        <is>
          <t>JEJ</t>
        </is>
      </c>
      <c r="B34" s="28" t="n">
        <v>0</v>
      </c>
      <c r="C34" s="29" t="n">
        <v>46020</v>
      </c>
    </row>
    <row r="35">
      <c r="A35" t="inlineStr">
        <is>
          <t>CHEM-1830</t>
        </is>
      </c>
      <c r="B35" s="28" t="n">
        <v>0</v>
      </c>
      <c r="C35" s="29" t="n">
        <v>46020</v>
      </c>
    </row>
    <row r="36">
      <c r="A36" t="inlineStr">
        <is>
          <t>CHEM-1100</t>
        </is>
      </c>
      <c r="B36" s="28" t="n">
        <v>0</v>
      </c>
      <c r="C36" s="29" t="n">
        <v>46020</v>
      </c>
    </row>
    <row r="37">
      <c r="A37" t="inlineStr">
        <is>
          <t>CHEM-1680</t>
        </is>
      </c>
      <c r="B37" s="28" t="n">
        <v>0</v>
      </c>
      <c r="C37" s="29" t="n">
        <v>46020</v>
      </c>
    </row>
    <row r="38">
      <c r="A38" t="inlineStr">
        <is>
          <t>CHEM-1820</t>
        </is>
      </c>
      <c r="B38" s="28" t="n">
        <v>0</v>
      </c>
      <c r="C38" s="29" t="n">
        <v>46020</v>
      </c>
    </row>
    <row r="39">
      <c r="A39" t="inlineStr">
        <is>
          <t>CHEM-1840</t>
        </is>
      </c>
      <c r="B39" s="28" t="n">
        <v>0</v>
      </c>
      <c r="C39" s="29" t="n">
        <v>46020</v>
      </c>
    </row>
    <row r="40">
      <c r="A40" t="inlineStr">
        <is>
          <t>TPP-1469</t>
        </is>
      </c>
      <c r="B40" s="28" t="n">
        <v>0</v>
      </c>
      <c r="C40" s="29" t="n">
        <v>46020</v>
      </c>
    </row>
    <row r="41">
      <c r="A41" t="inlineStr">
        <is>
          <t>TDJ</t>
        </is>
      </c>
      <c r="B41" s="28" t="n">
        <v>0</v>
      </c>
      <c r="C41" s="29" t="n">
        <v>46020</v>
      </c>
    </row>
    <row r="42">
      <c r="A42" t="inlineStr">
        <is>
          <t>CHEM-1730</t>
        </is>
      </c>
      <c r="B42" s="28" t="n">
        <v>0</v>
      </c>
      <c r="C42" s="29" t="n">
        <v>46020</v>
      </c>
    </row>
    <row r="43">
      <c r="A43" t="inlineStr">
        <is>
          <t>CHEM-1110</t>
        </is>
      </c>
      <c r="B43" s="28" t="n">
        <v>0</v>
      </c>
      <c r="C43" s="29" t="n">
        <v>46020</v>
      </c>
    </row>
    <row r="44">
      <c r="A44" t="inlineStr">
        <is>
          <t>CHEM-1120</t>
        </is>
      </c>
      <c r="B44" s="28" t="n">
        <v>0</v>
      </c>
      <c r="C44" s="29" t="n">
        <v>46020</v>
      </c>
    </row>
    <row r="45">
      <c r="A45" t="inlineStr">
        <is>
          <t>CHEM-1010</t>
        </is>
      </c>
      <c r="B45" s="28" t="n">
        <v>0</v>
      </c>
      <c r="C45" s="29" t="n">
        <v>46020</v>
      </c>
    </row>
    <row r="46">
      <c r="A46" t="inlineStr">
        <is>
          <t>CHEM-1410</t>
        </is>
      </c>
      <c r="B46" s="28" t="n">
        <v>0</v>
      </c>
      <c r="C46" s="29" t="n">
        <v>46020</v>
      </c>
    </row>
    <row r="47">
      <c r="A47" t="inlineStr">
        <is>
          <t>CHEM-1430</t>
        </is>
      </c>
      <c r="B47" s="28" t="n">
        <v>0</v>
      </c>
      <c r="C47" s="29" t="n">
        <v>46020</v>
      </c>
    </row>
    <row r="48">
      <c r="A48" t="inlineStr">
        <is>
          <t>CHEM-1450</t>
        </is>
      </c>
      <c r="B48" s="28" t="n">
        <v>0</v>
      </c>
      <c r="C48" s="29" t="n">
        <v>46020</v>
      </c>
    </row>
    <row r="49">
      <c r="A49" t="inlineStr">
        <is>
          <t>CHEM-1470</t>
        </is>
      </c>
      <c r="B49" s="28" t="n">
        <v>0</v>
      </c>
      <c r="C49" s="29" t="n">
        <v>46020</v>
      </c>
    </row>
    <row r="50">
      <c r="A50" t="inlineStr">
        <is>
          <t>CHEM-1480</t>
        </is>
      </c>
      <c r="B50" s="28" t="n">
        <v>0</v>
      </c>
      <c r="C50" s="29" t="n">
        <v>46020</v>
      </c>
    </row>
    <row r="51">
      <c r="A51" t="inlineStr">
        <is>
          <t>CHEM-1560</t>
        </is>
      </c>
      <c r="B51" s="28" t="n">
        <v>0</v>
      </c>
      <c r="C51" s="29" t="n">
        <v>46020</v>
      </c>
    </row>
    <row r="52">
      <c r="A52" t="inlineStr">
        <is>
          <t>CHEM-1520</t>
        </is>
      </c>
      <c r="B52" s="28" t="n">
        <v>0</v>
      </c>
      <c r="C52" s="29" t="n">
        <v>46020</v>
      </c>
    </row>
    <row r="53">
      <c r="A53" t="inlineStr">
        <is>
          <t>CHEM-1580</t>
        </is>
      </c>
      <c r="B53" s="28" t="n">
        <v>0</v>
      </c>
      <c r="C53" s="29" t="n">
        <v>46020</v>
      </c>
    </row>
    <row r="54">
      <c r="A54" t="inlineStr">
        <is>
          <t>CHEM-1550</t>
        </is>
      </c>
      <c r="B54" s="28" t="n">
        <v>0</v>
      </c>
      <c r="C54" s="29" t="n">
        <v>46020</v>
      </c>
    </row>
    <row r="55">
      <c r="A55" t="inlineStr">
        <is>
          <t>CHEM-1510</t>
        </is>
      </c>
      <c r="B55" s="28" t="n">
        <v>0</v>
      </c>
      <c r="C55" s="29" t="n">
        <v>46020</v>
      </c>
    </row>
    <row r="56">
      <c r="A56" t="inlineStr">
        <is>
          <t>CHEM-1080</t>
        </is>
      </c>
      <c r="B56" s="28" t="n">
        <v>0</v>
      </c>
      <c r="C56" s="29" t="n">
        <v>46020</v>
      </c>
    </row>
    <row r="57">
      <c r="A57" t="inlineStr">
        <is>
          <t>CHEM-1770</t>
        </is>
      </c>
      <c r="B57" s="28" t="n">
        <v>0</v>
      </c>
      <c r="C57" s="29" t="n">
        <v>46020</v>
      </c>
    </row>
    <row r="58">
      <c r="A58" t="inlineStr">
        <is>
          <t>CHEM-1850</t>
        </is>
      </c>
      <c r="B58" s="28" t="n">
        <v>0</v>
      </c>
      <c r="C58" s="29" t="n">
        <v>46020</v>
      </c>
    </row>
    <row r="59">
      <c r="A59" t="inlineStr">
        <is>
          <t>CHEM-1780</t>
        </is>
      </c>
      <c r="B59" s="28" t="n">
        <v>0</v>
      </c>
      <c r="C59" s="29" t="n">
        <v>46020</v>
      </c>
    </row>
    <row r="60">
      <c r="A60" t="inlineStr">
        <is>
          <t>CHEM-1020</t>
        </is>
      </c>
      <c r="B60" s="28" t="n">
        <v>0</v>
      </c>
      <c r="C60" s="29" t="n">
        <v>46020</v>
      </c>
    </row>
    <row r="61">
      <c r="A61" t="inlineStr">
        <is>
          <t>CSA Code</t>
        </is>
      </c>
      <c r="B61" s="28" t="n">
        <v>0</v>
      </c>
      <c r="C61" s="29" t="n">
        <v>46020</v>
      </c>
    </row>
    <row r="62">
      <c r="A62" t="inlineStr">
        <is>
          <t>Ester Film</t>
        </is>
      </c>
      <c r="B62" s="28" t="n">
        <v>0</v>
      </c>
      <c r="C62" s="29" t="n">
        <v>46020</v>
      </c>
    </row>
    <row r="63">
      <c r="A63" t="inlineStr">
        <is>
          <t>PP Film</t>
        </is>
      </c>
      <c r="B63" s="28" t="n">
        <v>0</v>
      </c>
      <c r="C63" s="29" t="n">
        <v>46020</v>
      </c>
    </row>
    <row r="64">
      <c r="A64" t="inlineStr">
        <is>
          <t>5SN</t>
        </is>
      </c>
      <c r="B64" s="28" t="n">
        <v>0</v>
      </c>
      <c r="C64" s="29" t="n">
        <v>46020</v>
      </c>
    </row>
    <row r="65">
      <c r="A65" t="inlineStr">
        <is>
          <t>1JN</t>
        </is>
      </c>
      <c r="B65" s="28" t="n">
        <v>0</v>
      </c>
      <c r="C65" s="29" t="n">
        <v>46020</v>
      </c>
    </row>
    <row r="66">
      <c r="A66" t="inlineStr">
        <is>
          <t>V03</t>
        </is>
      </c>
      <c r="B66" s="28" t="n">
        <v>0</v>
      </c>
      <c r="C66" s="29" t="n">
        <v>46020</v>
      </c>
    </row>
    <row r="67">
      <c r="A67" t="inlineStr">
        <is>
          <t>V19</t>
        </is>
      </c>
      <c r="B67" s="28" t="n">
        <v>0</v>
      </c>
      <c r="C67" s="29" t="n">
        <v>46020</v>
      </c>
    </row>
    <row r="68">
      <c r="A68" t="inlineStr">
        <is>
          <t>3TP</t>
        </is>
      </c>
      <c r="B68" s="28" t="n">
        <v>0</v>
      </c>
      <c r="C68" s="29" t="n">
        <v>46020</v>
      </c>
    </row>
    <row r="69">
      <c r="A69" t="inlineStr">
        <is>
          <t>CHEM-1740</t>
        </is>
      </c>
      <c r="B69" s="28" t="n">
        <v>0</v>
      </c>
      <c r="C69" s="29" t="n">
        <v>46020</v>
      </c>
    </row>
    <row r="70">
      <c r="A70" t="inlineStr">
        <is>
          <t>CHEM-1750</t>
        </is>
      </c>
      <c r="B70" s="28" t="n">
        <v>0</v>
      </c>
      <c r="C70" s="29" t="n">
        <v>46020</v>
      </c>
    </row>
    <row r="71">
      <c r="A71" t="inlineStr">
        <is>
          <t>848530</t>
        </is>
      </c>
      <c r="B71" s="28" t="n">
        <v>0</v>
      </c>
      <c r="C71" s="29" t="n">
        <v>46020</v>
      </c>
    </row>
    <row r="72">
      <c r="A72" t="inlineStr">
        <is>
          <t>848531</t>
        </is>
      </c>
      <c r="B72" s="28" t="n">
        <v>0</v>
      </c>
      <c r="C72" s="29" t="n">
        <v>46020</v>
      </c>
    </row>
    <row r="73">
      <c r="A73" t="inlineStr">
        <is>
          <t>846227</t>
        </is>
      </c>
      <c r="B73" s="28" t="n">
        <v>0</v>
      </c>
      <c r="C73" s="29" t="n">
        <v>46020</v>
      </c>
    </row>
    <row r="74">
      <c r="A74" t="inlineStr">
        <is>
          <t>OLJ</t>
        </is>
      </c>
      <c r="B74" s="28" t="n">
        <v>0</v>
      </c>
      <c r="C74" s="29" t="n">
        <v>46020</v>
      </c>
    </row>
    <row r="75">
      <c r="A75" t="inlineStr">
        <is>
          <t>CHEM-1500</t>
        </is>
      </c>
      <c r="B75" s="28" t="n">
        <v>0</v>
      </c>
      <c r="C75" s="29" t="n">
        <v>46020</v>
      </c>
    </row>
    <row r="76">
      <c r="A76" t="inlineStr">
        <is>
          <t>CHEM-1810</t>
        </is>
      </c>
      <c r="B76" s="28" t="n">
        <v>0</v>
      </c>
      <c r="C76" s="29" t="n">
        <v>46020</v>
      </c>
    </row>
    <row r="77">
      <c r="A77" t="inlineStr">
        <is>
          <t>Chem-1220</t>
        </is>
      </c>
      <c r="B77" s="28" t="n">
        <v>0</v>
      </c>
      <c r="C77" s="29" t="n">
        <v>46020</v>
      </c>
    </row>
    <row r="78">
      <c r="A78" t="inlineStr">
        <is>
          <t>Chem-1610</t>
        </is>
      </c>
      <c r="B78" s="28" t="n">
        <v>0</v>
      </c>
      <c r="C78" s="29" t="n">
        <v>46020</v>
      </c>
    </row>
    <row r="79">
      <c r="A79" t="inlineStr">
        <is>
          <t>Chem-1490</t>
        </is>
      </c>
      <c r="B79" s="28" t="n">
        <v>0</v>
      </c>
      <c r="C79" s="29" t="n">
        <v>46020</v>
      </c>
    </row>
    <row r="80">
      <c r="A80" t="inlineStr">
        <is>
          <t>Chem-1790</t>
        </is>
      </c>
      <c r="B80" s="28" t="n">
        <v>0</v>
      </c>
      <c r="C80" s="29" t="n">
        <v>46020</v>
      </c>
    </row>
    <row r="81">
      <c r="A81" t="inlineStr">
        <is>
          <t>Chem-1800</t>
        </is>
      </c>
      <c r="B81" s="28" t="n">
        <v>0</v>
      </c>
      <c r="C81" s="29" t="n">
        <v>46020</v>
      </c>
    </row>
    <row r="82">
      <c r="A82" t="inlineStr">
        <is>
          <t>A043</t>
        </is>
      </c>
      <c r="B82" s="28" t="n">
        <v>0</v>
      </c>
      <c r="C82" s="29" t="n">
        <v>46020</v>
      </c>
    </row>
    <row r="83">
      <c r="A83" t="inlineStr">
        <is>
          <t>CHEM-1220</t>
        </is>
      </c>
      <c r="B83" s="28" t="n">
        <v>0</v>
      </c>
      <c r="C83" s="29" t="n">
        <v>46020</v>
      </c>
    </row>
    <row r="84">
      <c r="A84" t="inlineStr">
        <is>
          <t>CHEM-1260</t>
        </is>
      </c>
      <c r="B84" s="28" t="n">
        <v>0</v>
      </c>
      <c r="C84" s="29" t="n">
        <v>46020</v>
      </c>
    </row>
    <row r="85">
      <c r="A85" t="inlineStr">
        <is>
          <t>CHEM-1790</t>
        </is>
      </c>
      <c r="B85" s="28" t="n">
        <v>0</v>
      </c>
      <c r="C85" s="29" t="n">
        <v>46020</v>
      </c>
    </row>
    <row r="86">
      <c r="A86" t="inlineStr">
        <is>
          <t>TSZ-616</t>
        </is>
      </c>
      <c r="B86" s="28" t="n">
        <v>0</v>
      </c>
      <c r="C86" s="29" t="n">
        <v>46020</v>
      </c>
    </row>
    <row r="87">
      <c r="A87" t="inlineStr">
        <is>
          <t>CHEM-1180</t>
        </is>
      </c>
      <c r="B87" s="28" t="n">
        <v>0</v>
      </c>
      <c r="C87" s="29" t="n">
        <v>46020</v>
      </c>
    </row>
    <row r="88">
      <c r="A88" t="inlineStr">
        <is>
          <t>TSZ-938</t>
        </is>
      </c>
      <c r="B88" s="28" t="n">
        <v>0</v>
      </c>
      <c r="C88" s="29" t="n">
        <v>46020</v>
      </c>
    </row>
    <row r="89">
      <c r="A89" t="inlineStr">
        <is>
          <t>CHEM-1460</t>
        </is>
      </c>
      <c r="B89" s="28" t="n">
        <v>0</v>
      </c>
      <c r="C89" s="29" t="n">
        <v>46020</v>
      </c>
    </row>
    <row r="90">
      <c r="A90" t="inlineStr">
        <is>
          <t>CHEM-1490</t>
        </is>
      </c>
      <c r="B90" s="28" t="n">
        <v>0</v>
      </c>
      <c r="C90" s="29" t="n">
        <v>46020</v>
      </c>
    </row>
    <row r="91">
      <c r="A91" t="inlineStr">
        <is>
          <t>CHEM-1610</t>
        </is>
      </c>
      <c r="B91" s="28" t="n">
        <v>0</v>
      </c>
      <c r="C91" s="29" t="n">
        <v>46020</v>
      </c>
    </row>
    <row r="92">
      <c r="A92" t="inlineStr">
        <is>
          <t>CHEM-1640</t>
        </is>
      </c>
      <c r="B92" s="28" t="n">
        <v>0</v>
      </c>
      <c r="C92" s="29" t="n">
        <v>46020</v>
      </c>
    </row>
    <row r="93">
      <c r="A93" t="inlineStr">
        <is>
          <t>CHEM-1030</t>
        </is>
      </c>
      <c r="B93" s="28" t="n">
        <v>0</v>
      </c>
      <c r="C93" s="29" t="n">
        <v>46020</v>
      </c>
    </row>
    <row r="94">
      <c r="A94" t="inlineStr">
        <is>
          <t>CHEM-1800</t>
        </is>
      </c>
      <c r="B94" s="28" t="n">
        <v>0</v>
      </c>
      <c r="C94" s="29" t="n">
        <v>46020</v>
      </c>
    </row>
    <row r="95">
      <c r="A95" t="inlineStr">
        <is>
          <t>CHEM-1710</t>
        </is>
      </c>
      <c r="B95" s="28" t="n">
        <v>0</v>
      </c>
      <c r="C95" s="29" t="n">
        <v>46020</v>
      </c>
    </row>
    <row r="96">
      <c r="A96" t="inlineStr">
        <is>
          <t>CHEM-1170</t>
        </is>
      </c>
      <c r="B96" s="28" t="n">
        <v>0</v>
      </c>
      <c r="C96" s="29" t="n">
        <v>46020</v>
      </c>
    </row>
    <row r="97">
      <c r="A97" t="inlineStr">
        <is>
          <t>CHEM-1620</t>
        </is>
      </c>
      <c r="B97" s="28" t="n">
        <v>0</v>
      </c>
      <c r="C97" s="29" t="n">
        <v>46020</v>
      </c>
    </row>
    <row r="98">
      <c r="A98" t="inlineStr">
        <is>
          <t>CHEM-1050</t>
        </is>
      </c>
      <c r="B98" s="28" t="n">
        <v>0</v>
      </c>
      <c r="C98" s="29" t="n">
        <v>46020</v>
      </c>
    </row>
    <row r="99">
      <c r="A99" t="inlineStr">
        <is>
          <t>CHEM-1190</t>
        </is>
      </c>
      <c r="B99" s="28" t="n">
        <v>0</v>
      </c>
      <c r="C99" s="29" t="n">
        <v>46020</v>
      </c>
    </row>
    <row r="100">
      <c r="A100" t="inlineStr">
        <is>
          <t>CHEM-1630</t>
        </is>
      </c>
      <c r="B100" s="28" t="n">
        <v>0</v>
      </c>
      <c r="C100" s="29" t="n">
        <v>46020</v>
      </c>
    </row>
    <row r="101">
      <c r="A101" t="inlineStr">
        <is>
          <t>CHEM-1090</t>
        </is>
      </c>
      <c r="B101" s="28" t="n">
        <v>0</v>
      </c>
      <c r="C101" s="29" t="n">
        <v>46020</v>
      </c>
    </row>
    <row r="102">
      <c r="A102" t="inlineStr">
        <is>
          <t>CHEM-1310</t>
        </is>
      </c>
      <c r="B102" s="28" t="n">
        <v>0</v>
      </c>
      <c r="C102" s="29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2" customWidth="1" min="3" max="3"/>
    <col width="30" customWidth="1" min="4" max="4"/>
  </cols>
  <sheetData>
    <row r="1">
      <c r="A1" s="27" t="inlineStr">
        <is>
          <t>RM_Code</t>
        </is>
      </c>
      <c r="B1" s="27" t="inlineStr">
        <is>
          <t>WeekIndex</t>
        </is>
      </c>
      <c r="C1" s="27" t="inlineStr">
        <is>
          <t>CountedQty</t>
        </is>
      </c>
      <c r="D1" s="27" t="inlineStr">
        <is>
          <t>Notes</t>
        </is>
      </c>
    </row>
    <row r="2">
      <c r="A2" t="inlineStr">
        <is>
          <t>(例) CHEM-1010</t>
        </is>
      </c>
      <c r="B2" t="n">
        <v>1</v>
      </c>
      <c r="C2" t="n">
        <v>0</v>
      </c>
      <c r="D2" t="inlineStr">
        <is>
          <t>棚卸実施時にこの行へ追記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2" customWidth="1" min="3" max="3"/>
    <col width="12" customWidth="1" min="4" max="4"/>
  </cols>
  <sheetData>
    <row r="1">
      <c r="A1" s="27" t="inlineStr">
        <is>
          <t>RM_Code</t>
        </is>
      </c>
      <c r="B1" s="27" t="inlineStr">
        <is>
          <t>WeekIndex</t>
        </is>
      </c>
      <c r="C1" s="27" t="inlineStr">
        <is>
          <t>Date</t>
        </is>
      </c>
      <c r="D1" s="27" t="inlineStr">
        <is>
          <t>Self_Qty</t>
        </is>
      </c>
    </row>
    <row r="2">
      <c r="A2" t="inlineStr">
        <is>
          <t>CHEM-1010</t>
        </is>
      </c>
      <c r="B2" t="n">
        <v>22</v>
      </c>
      <c r="C2" s="24" t="n">
        <v>46168</v>
      </c>
      <c r="D2" t="n">
        <v>0</v>
      </c>
    </row>
    <row r="3">
      <c r="A3" t="inlineStr">
        <is>
          <t>CHEM-1010</t>
        </is>
      </c>
      <c r="B3" t="n">
        <v>23</v>
      </c>
      <c r="C3" s="24" t="n">
        <v>46174</v>
      </c>
      <c r="D3" t="n">
        <v>0</v>
      </c>
    </row>
    <row r="4">
      <c r="A4" t="inlineStr">
        <is>
          <t>CHEM-1020</t>
        </is>
      </c>
      <c r="B4" t="n">
        <v>22</v>
      </c>
      <c r="C4" s="24" t="n">
        <v>46168</v>
      </c>
      <c r="D4" t="n">
        <v>0</v>
      </c>
    </row>
    <row r="5">
      <c r="A5" t="inlineStr">
        <is>
          <t>CHEM-1020</t>
        </is>
      </c>
      <c r="B5" t="n">
        <v>23</v>
      </c>
      <c r="C5" s="24" t="n">
        <v>46174</v>
      </c>
      <c r="D5" t="n">
        <v>0</v>
      </c>
    </row>
    <row r="6">
      <c r="A6" t="inlineStr">
        <is>
          <t>CHEM-1030</t>
        </is>
      </c>
      <c r="B6" t="n">
        <v>22</v>
      </c>
      <c r="C6" s="24" t="n">
        <v>46168</v>
      </c>
      <c r="D6" t="n">
        <v>168</v>
      </c>
    </row>
    <row r="7">
      <c r="A7" t="inlineStr">
        <is>
          <t>CHEM-1030</t>
        </is>
      </c>
      <c r="B7" t="n">
        <v>23</v>
      </c>
      <c r="C7" s="24" t="n">
        <v>46174</v>
      </c>
      <c r="D7" t="n">
        <v>168</v>
      </c>
    </row>
    <row r="8">
      <c r="A8" t="inlineStr">
        <is>
          <t>CHEM-1040</t>
        </is>
      </c>
      <c r="B8" t="n">
        <v>22</v>
      </c>
      <c r="C8" s="24" t="n">
        <v>46168</v>
      </c>
      <c r="D8" t="n">
        <v>160</v>
      </c>
    </row>
    <row r="9">
      <c r="A9" t="inlineStr">
        <is>
          <t>CHEM-1040</t>
        </is>
      </c>
      <c r="B9" t="n">
        <v>23</v>
      </c>
      <c r="C9" s="24" t="n">
        <v>46174</v>
      </c>
      <c r="D9" t="n">
        <v>160</v>
      </c>
    </row>
    <row r="10">
      <c r="A10" t="inlineStr">
        <is>
          <t>CHEM-1050</t>
        </is>
      </c>
      <c r="B10" t="n">
        <v>22</v>
      </c>
      <c r="C10" s="24" t="n">
        <v>46168</v>
      </c>
      <c r="D10" t="n">
        <v>306</v>
      </c>
    </row>
    <row r="11">
      <c r="A11" t="inlineStr">
        <is>
          <t>CHEM-1050</t>
        </is>
      </c>
      <c r="B11" t="n">
        <v>23</v>
      </c>
      <c r="C11" s="24" t="n">
        <v>46174</v>
      </c>
      <c r="D11" t="n">
        <v>272</v>
      </c>
    </row>
    <row r="12">
      <c r="A12" t="inlineStr">
        <is>
          <t>CHEM-1080</t>
        </is>
      </c>
      <c r="B12" t="n">
        <v>22</v>
      </c>
      <c r="C12" s="24" t="n">
        <v>46168</v>
      </c>
      <c r="D12" t="n">
        <v>0</v>
      </c>
    </row>
    <row r="13">
      <c r="A13" t="inlineStr">
        <is>
          <t>CHEM-1080</t>
        </is>
      </c>
      <c r="B13" t="n">
        <v>23</v>
      </c>
      <c r="C13" s="24" t="n">
        <v>46174</v>
      </c>
      <c r="D13" t="n">
        <v>0</v>
      </c>
    </row>
    <row r="14">
      <c r="A14" t="inlineStr">
        <is>
          <t>CHEM-1100</t>
        </is>
      </c>
      <c r="B14" t="n">
        <v>22</v>
      </c>
      <c r="C14" s="24" t="n">
        <v>46168</v>
      </c>
      <c r="D14" t="n">
        <v>365</v>
      </c>
    </row>
    <row r="15">
      <c r="A15" t="inlineStr">
        <is>
          <t>CHEM-1100</t>
        </is>
      </c>
      <c r="B15" t="n">
        <v>23</v>
      </c>
      <c r="C15" s="24" t="n">
        <v>46174</v>
      </c>
      <c r="D15" t="n">
        <v>365</v>
      </c>
    </row>
    <row r="16">
      <c r="A16" t="inlineStr">
        <is>
          <t>CHEM-1110</t>
        </is>
      </c>
      <c r="B16" t="n">
        <v>22</v>
      </c>
      <c r="C16" s="24" t="n">
        <v>46168</v>
      </c>
      <c r="D16" t="n">
        <v>250</v>
      </c>
    </row>
    <row r="17">
      <c r="A17" t="inlineStr">
        <is>
          <t>CHEM-1110</t>
        </is>
      </c>
      <c r="B17" t="n">
        <v>23</v>
      </c>
      <c r="C17" s="24" t="n">
        <v>46174</v>
      </c>
      <c r="D17" t="n">
        <v>250</v>
      </c>
    </row>
    <row r="18">
      <c r="A18" t="inlineStr">
        <is>
          <t>CHEM-1120</t>
        </is>
      </c>
      <c r="B18" t="n">
        <v>22</v>
      </c>
      <c r="C18" s="24" t="n">
        <v>46168</v>
      </c>
      <c r="D18" t="n">
        <v>5</v>
      </c>
    </row>
    <row r="19">
      <c r="A19" t="inlineStr">
        <is>
          <t>CHEM-1120</t>
        </is>
      </c>
      <c r="B19" t="n">
        <v>23</v>
      </c>
      <c r="C19" s="24" t="n">
        <v>46174</v>
      </c>
      <c r="D19" t="n">
        <v>5</v>
      </c>
    </row>
    <row r="20">
      <c r="A20" t="inlineStr">
        <is>
          <t>CHEM-1190</t>
        </is>
      </c>
      <c r="B20" t="n">
        <v>22</v>
      </c>
      <c r="C20" s="24" t="n">
        <v>46168</v>
      </c>
      <c r="D20" t="n">
        <v>12.5</v>
      </c>
    </row>
    <row r="21">
      <c r="A21" t="inlineStr">
        <is>
          <t>CHEM-1190</t>
        </is>
      </c>
      <c r="B21" t="n">
        <v>23</v>
      </c>
      <c r="C21" s="24" t="n">
        <v>46174</v>
      </c>
      <c r="D21" t="n">
        <v>10</v>
      </c>
    </row>
    <row r="22">
      <c r="A22" t="inlineStr">
        <is>
          <t>CHEM-1200</t>
        </is>
      </c>
      <c r="B22" t="n">
        <v>22</v>
      </c>
      <c r="C22" s="24" t="n">
        <v>46168</v>
      </c>
      <c r="D22" t="n">
        <v>5528</v>
      </c>
    </row>
    <row r="23">
      <c r="A23" t="inlineStr">
        <is>
          <t>CHEM-1200</t>
        </is>
      </c>
      <c r="B23" t="n">
        <v>23</v>
      </c>
      <c r="C23" s="24" t="n">
        <v>46174</v>
      </c>
      <c r="D23" t="n">
        <v>50000</v>
      </c>
    </row>
    <row r="24">
      <c r="A24" t="inlineStr">
        <is>
          <t>CHEM-1220</t>
        </is>
      </c>
      <c r="B24" t="n">
        <v>22</v>
      </c>
      <c r="C24" s="24" t="n">
        <v>46168</v>
      </c>
      <c r="D24" t="n">
        <v>465</v>
      </c>
    </row>
    <row r="25">
      <c r="A25" t="inlineStr">
        <is>
          <t>CHEM-1220</t>
        </is>
      </c>
      <c r="B25" t="n">
        <v>23</v>
      </c>
      <c r="C25" s="24" t="n">
        <v>46174</v>
      </c>
      <c r="D25" t="n">
        <v>465</v>
      </c>
    </row>
    <row r="26">
      <c r="A26" t="inlineStr">
        <is>
          <t>CHEM-1240</t>
        </is>
      </c>
      <c r="B26" t="n">
        <v>22</v>
      </c>
      <c r="C26" s="24" t="n">
        <v>46168</v>
      </c>
      <c r="D26" t="n">
        <v>440</v>
      </c>
    </row>
    <row r="27">
      <c r="A27" t="inlineStr">
        <is>
          <t>CHEM-1240</t>
        </is>
      </c>
      <c r="B27" t="n">
        <v>23</v>
      </c>
      <c r="C27" s="24" t="n">
        <v>46174</v>
      </c>
      <c r="D27" t="n">
        <v>620</v>
      </c>
    </row>
    <row r="28">
      <c r="A28" t="inlineStr">
        <is>
          <t>CHEM-1250</t>
        </is>
      </c>
      <c r="B28" t="n">
        <v>22</v>
      </c>
      <c r="C28" s="24" t="n">
        <v>46168</v>
      </c>
      <c r="D28" t="n">
        <v>275</v>
      </c>
    </row>
    <row r="29">
      <c r="A29" t="inlineStr">
        <is>
          <t>CHEM-1250</t>
        </is>
      </c>
      <c r="B29" t="n">
        <v>23</v>
      </c>
      <c r="C29" s="24" t="n">
        <v>46174</v>
      </c>
      <c r="D29" t="n">
        <v>250</v>
      </c>
    </row>
    <row r="30">
      <c r="A30" t="inlineStr">
        <is>
          <t>CHEM-1260</t>
        </is>
      </c>
      <c r="B30" t="n">
        <v>22</v>
      </c>
      <c r="C30" s="24" t="n">
        <v>46168</v>
      </c>
      <c r="D30" t="n">
        <v>360</v>
      </c>
    </row>
    <row r="31">
      <c r="A31" t="inlineStr">
        <is>
          <t>CHEM-1260</t>
        </is>
      </c>
      <c r="B31" t="n">
        <v>23</v>
      </c>
      <c r="C31" s="24" t="n">
        <v>46174</v>
      </c>
      <c r="D31" t="n">
        <v>280</v>
      </c>
    </row>
    <row r="32">
      <c r="A32" t="inlineStr">
        <is>
          <t>CHEM-1280</t>
        </is>
      </c>
      <c r="B32" t="n">
        <v>22</v>
      </c>
      <c r="C32" s="24" t="n">
        <v>46168</v>
      </c>
      <c r="D32" t="n">
        <v>1000</v>
      </c>
    </row>
    <row r="33">
      <c r="A33" t="inlineStr">
        <is>
          <t>CHEM-1280</t>
        </is>
      </c>
      <c r="B33" t="n">
        <v>23</v>
      </c>
      <c r="C33" s="24" t="n">
        <v>46174</v>
      </c>
      <c r="D33" t="n">
        <v>756</v>
      </c>
    </row>
    <row r="34">
      <c r="A34" t="inlineStr">
        <is>
          <t>CHEM-1310</t>
        </is>
      </c>
      <c r="B34" t="n">
        <v>22</v>
      </c>
      <c r="C34" s="24" t="n">
        <v>46168</v>
      </c>
      <c r="D34" t="n">
        <v>0</v>
      </c>
    </row>
    <row r="35">
      <c r="A35" t="inlineStr">
        <is>
          <t>CHEM-1310</t>
        </is>
      </c>
      <c r="B35" t="n">
        <v>23</v>
      </c>
      <c r="C35" s="24" t="n">
        <v>46174</v>
      </c>
      <c r="D35" t="n">
        <v>0</v>
      </c>
    </row>
    <row r="36">
      <c r="A36" t="inlineStr">
        <is>
          <t>CHEM-1400</t>
        </is>
      </c>
      <c r="B36" t="n">
        <v>22</v>
      </c>
      <c r="C36" s="24" t="n">
        <v>46168</v>
      </c>
      <c r="D36" t="n">
        <v>300</v>
      </c>
    </row>
    <row r="37">
      <c r="A37" t="inlineStr">
        <is>
          <t>CHEM-1400</t>
        </is>
      </c>
      <c r="B37" t="n">
        <v>23</v>
      </c>
      <c r="C37" s="24" t="n">
        <v>46174</v>
      </c>
      <c r="D37" t="n">
        <v>300</v>
      </c>
    </row>
    <row r="38">
      <c r="A38" t="inlineStr">
        <is>
          <t>CHEM-1410</t>
        </is>
      </c>
      <c r="B38" t="n">
        <v>22</v>
      </c>
      <c r="C38" s="24" t="n">
        <v>46168</v>
      </c>
      <c r="D38" t="n">
        <v>650</v>
      </c>
    </row>
    <row r="39">
      <c r="A39" t="inlineStr">
        <is>
          <t>CHEM-1410</t>
        </is>
      </c>
      <c r="B39" t="n">
        <v>23</v>
      </c>
      <c r="C39" s="24" t="n">
        <v>46174</v>
      </c>
      <c r="D39" t="n">
        <v>650</v>
      </c>
    </row>
    <row r="40">
      <c r="A40" t="inlineStr">
        <is>
          <t>CHEM-1420</t>
        </is>
      </c>
      <c r="B40" t="n">
        <v>22</v>
      </c>
      <c r="C40" s="24" t="n">
        <v>46168</v>
      </c>
      <c r="D40" t="n">
        <v>435</v>
      </c>
    </row>
    <row r="41">
      <c r="A41" t="inlineStr">
        <is>
          <t>CHEM-1420</t>
        </is>
      </c>
      <c r="B41" t="n">
        <v>23</v>
      </c>
      <c r="C41" s="24" t="n">
        <v>46174</v>
      </c>
      <c r="D41" t="n">
        <v>380</v>
      </c>
    </row>
    <row r="42">
      <c r="A42" t="inlineStr">
        <is>
          <t>CHEM-1430</t>
        </is>
      </c>
      <c r="B42" t="n">
        <v>22</v>
      </c>
      <c r="C42" s="24" t="n">
        <v>46168</v>
      </c>
      <c r="D42" t="n">
        <v>15</v>
      </c>
    </row>
    <row r="43">
      <c r="A43" t="inlineStr">
        <is>
          <t>CHEM-1430</t>
        </is>
      </c>
      <c r="B43" t="n">
        <v>23</v>
      </c>
      <c r="C43" s="24" t="n">
        <v>46174</v>
      </c>
      <c r="D43" t="n">
        <v>15</v>
      </c>
    </row>
    <row r="44">
      <c r="A44" t="inlineStr">
        <is>
          <t>CHEM-1440</t>
        </is>
      </c>
      <c r="B44" t="n">
        <v>22</v>
      </c>
      <c r="C44" s="24" t="n">
        <v>46168</v>
      </c>
      <c r="D44" t="n">
        <v>350</v>
      </c>
    </row>
    <row r="45">
      <c r="A45" t="inlineStr">
        <is>
          <t>CHEM-1440</t>
        </is>
      </c>
      <c r="B45" t="n">
        <v>23</v>
      </c>
      <c r="C45" s="24" t="n">
        <v>46174</v>
      </c>
      <c r="D45" t="n">
        <v>323</v>
      </c>
    </row>
    <row r="46">
      <c r="A46" t="inlineStr">
        <is>
          <t>CHEM-1450</t>
        </is>
      </c>
      <c r="B46" t="n">
        <v>22</v>
      </c>
      <c r="C46" s="24" t="n">
        <v>46168</v>
      </c>
      <c r="D46" t="n">
        <v>0</v>
      </c>
    </row>
    <row r="47">
      <c r="A47" t="inlineStr">
        <is>
          <t>CHEM-1450</t>
        </is>
      </c>
      <c r="B47" t="n">
        <v>23</v>
      </c>
      <c r="C47" s="24" t="n">
        <v>46174</v>
      </c>
      <c r="D47" t="n">
        <v>0</v>
      </c>
    </row>
    <row r="48">
      <c r="A48" t="inlineStr">
        <is>
          <t>CHEM-1460</t>
        </is>
      </c>
      <c r="B48" t="n">
        <v>22</v>
      </c>
      <c r="C48" s="24" t="n">
        <v>46168</v>
      </c>
      <c r="D48" t="n">
        <v>0</v>
      </c>
    </row>
    <row r="49">
      <c r="A49" t="inlineStr">
        <is>
          <t>CHEM-1460</t>
        </is>
      </c>
      <c r="B49" t="n">
        <v>23</v>
      </c>
      <c r="C49" s="24" t="n">
        <v>46174</v>
      </c>
      <c r="D49" t="n">
        <v>0</v>
      </c>
    </row>
    <row r="50">
      <c r="A50" t="inlineStr">
        <is>
          <t>CHEM-1470</t>
        </is>
      </c>
      <c r="B50" t="n">
        <v>22</v>
      </c>
      <c r="C50" s="24" t="n">
        <v>46168</v>
      </c>
      <c r="D50" t="n">
        <v>0</v>
      </c>
    </row>
    <row r="51">
      <c r="A51" t="inlineStr">
        <is>
          <t>CHEM-1470</t>
        </is>
      </c>
      <c r="B51" t="n">
        <v>23</v>
      </c>
      <c r="C51" s="24" t="n">
        <v>46174</v>
      </c>
      <c r="D51" t="n">
        <v>0</v>
      </c>
    </row>
    <row r="52">
      <c r="A52" t="inlineStr">
        <is>
          <t>CHEM-1480</t>
        </is>
      </c>
      <c r="B52" t="n">
        <v>22</v>
      </c>
      <c r="C52" s="24" t="n">
        <v>46168</v>
      </c>
      <c r="D52" t="n">
        <v>0</v>
      </c>
    </row>
    <row r="53">
      <c r="A53" t="inlineStr">
        <is>
          <t>CHEM-1480</t>
        </is>
      </c>
      <c r="B53" t="n">
        <v>23</v>
      </c>
      <c r="C53" s="24" t="n">
        <v>46174</v>
      </c>
      <c r="D53" t="n">
        <v>0</v>
      </c>
    </row>
    <row r="54">
      <c r="A54" t="inlineStr">
        <is>
          <t>CHEM-1490</t>
        </is>
      </c>
      <c r="B54" t="n">
        <v>22</v>
      </c>
      <c r="C54" s="24" t="n">
        <v>46168</v>
      </c>
      <c r="D54" t="n">
        <v>750</v>
      </c>
    </row>
    <row r="55">
      <c r="A55" t="inlineStr">
        <is>
          <t>CHEM-1490</t>
        </is>
      </c>
      <c r="B55" t="n">
        <v>23</v>
      </c>
      <c r="C55" s="24" t="n">
        <v>46174</v>
      </c>
      <c r="D55" t="n">
        <v>650</v>
      </c>
    </row>
    <row r="56">
      <c r="A56" t="inlineStr">
        <is>
          <t>CHEM-1500</t>
        </is>
      </c>
      <c r="B56" t="n">
        <v>22</v>
      </c>
      <c r="C56" s="24" t="n">
        <v>46168</v>
      </c>
      <c r="D56" t="n">
        <v>17.679</v>
      </c>
    </row>
    <row r="57">
      <c r="A57" t="inlineStr">
        <is>
          <t>CHEM-1500</t>
        </is>
      </c>
      <c r="B57" t="n">
        <v>23</v>
      </c>
      <c r="C57" s="24" t="n">
        <v>46174</v>
      </c>
      <c r="D57" t="n">
        <v>17.679</v>
      </c>
    </row>
    <row r="58">
      <c r="A58" t="inlineStr">
        <is>
          <t>CHEM-1510</t>
        </is>
      </c>
      <c r="B58" t="n">
        <v>22</v>
      </c>
      <c r="C58" s="24" t="n">
        <v>46168</v>
      </c>
      <c r="D58" t="n">
        <v>94</v>
      </c>
    </row>
    <row r="59">
      <c r="A59" t="inlineStr">
        <is>
          <t>CHEM-1510</t>
        </is>
      </c>
      <c r="B59" t="n">
        <v>23</v>
      </c>
      <c r="C59" s="24" t="n">
        <v>46174</v>
      </c>
      <c r="D59" t="n">
        <v>88</v>
      </c>
    </row>
    <row r="60">
      <c r="A60" t="inlineStr">
        <is>
          <t>CHEM-1520</t>
        </is>
      </c>
      <c r="B60" t="n">
        <v>22</v>
      </c>
      <c r="C60" s="24" t="n">
        <v>46168</v>
      </c>
      <c r="D60" t="n">
        <v>2200</v>
      </c>
    </row>
    <row r="61">
      <c r="A61" t="inlineStr">
        <is>
          <t>CHEM-1520</t>
        </is>
      </c>
      <c r="B61" t="n">
        <v>23</v>
      </c>
      <c r="C61" s="24" t="n">
        <v>46174</v>
      </c>
      <c r="D61" t="n">
        <v>1550</v>
      </c>
    </row>
    <row r="62">
      <c r="A62" t="inlineStr">
        <is>
          <t>CHEM-1530</t>
        </is>
      </c>
      <c r="B62" t="n">
        <v>22</v>
      </c>
      <c r="C62" s="24" t="n">
        <v>46168</v>
      </c>
      <c r="D62" t="n">
        <v>2600</v>
      </c>
    </row>
    <row r="63">
      <c r="A63" t="inlineStr">
        <is>
          <t>CHEM-1530</t>
        </is>
      </c>
      <c r="B63" t="n">
        <v>23</v>
      </c>
      <c r="C63" s="24" t="n">
        <v>46174</v>
      </c>
      <c r="D63" t="n">
        <v>3000</v>
      </c>
    </row>
    <row r="64">
      <c r="A64" t="inlineStr">
        <is>
          <t>CHEM-1540</t>
        </is>
      </c>
      <c r="B64" t="n">
        <v>22</v>
      </c>
      <c r="C64" s="24" t="n">
        <v>46168</v>
      </c>
      <c r="D64" t="n">
        <v>2300</v>
      </c>
    </row>
    <row r="65">
      <c r="A65" t="inlineStr">
        <is>
          <t>CHEM-1540</t>
        </is>
      </c>
      <c r="B65" t="n">
        <v>23</v>
      </c>
      <c r="C65" s="24" t="n">
        <v>46174</v>
      </c>
      <c r="D65" t="n">
        <v>2800</v>
      </c>
    </row>
    <row r="66">
      <c r="A66" t="inlineStr">
        <is>
          <t>CHEM-1550</t>
        </is>
      </c>
      <c r="B66" t="n">
        <v>22</v>
      </c>
      <c r="C66" s="24" t="n">
        <v>46168</v>
      </c>
      <c r="D66" t="n">
        <v>0</v>
      </c>
    </row>
    <row r="67">
      <c r="A67" t="inlineStr">
        <is>
          <t>CHEM-1550</t>
        </is>
      </c>
      <c r="B67" t="n">
        <v>23</v>
      </c>
      <c r="C67" s="24" t="n">
        <v>46174</v>
      </c>
      <c r="D67" t="n">
        <v>0</v>
      </c>
    </row>
    <row r="68">
      <c r="A68" t="inlineStr">
        <is>
          <t>CHEM-1560</t>
        </is>
      </c>
      <c r="B68" t="n">
        <v>22</v>
      </c>
      <c r="C68" s="24" t="n">
        <v>46168</v>
      </c>
      <c r="D68" t="n">
        <v>7</v>
      </c>
    </row>
    <row r="69">
      <c r="A69" t="inlineStr">
        <is>
          <t>CHEM-1560</t>
        </is>
      </c>
      <c r="B69" t="n">
        <v>23</v>
      </c>
      <c r="C69" s="24" t="n">
        <v>46174</v>
      </c>
      <c r="D69" t="n">
        <v>7</v>
      </c>
    </row>
    <row r="70">
      <c r="A70" t="inlineStr">
        <is>
          <t>CHEM-1570</t>
        </is>
      </c>
      <c r="B70" t="n">
        <v>22</v>
      </c>
      <c r="C70" s="24" t="n">
        <v>46168</v>
      </c>
      <c r="D70" t="n">
        <v>72</v>
      </c>
    </row>
    <row r="71">
      <c r="A71" t="inlineStr">
        <is>
          <t>CHEM-1570</t>
        </is>
      </c>
      <c r="B71" t="n">
        <v>23</v>
      </c>
      <c r="C71" s="24" t="n">
        <v>46174</v>
      </c>
      <c r="D71" t="n">
        <v>86</v>
      </c>
    </row>
    <row r="72">
      <c r="A72" t="inlineStr">
        <is>
          <t>CHEM-1580</t>
        </is>
      </c>
      <c r="B72" t="n">
        <v>22</v>
      </c>
      <c r="C72" s="24" t="n">
        <v>46168</v>
      </c>
      <c r="D72" t="n">
        <v>240</v>
      </c>
    </row>
    <row r="73">
      <c r="A73" t="inlineStr">
        <is>
          <t>CHEM-1580</t>
        </is>
      </c>
      <c r="B73" t="n">
        <v>23</v>
      </c>
      <c r="C73" s="24" t="n">
        <v>46174</v>
      </c>
      <c r="D73" t="n">
        <v>240</v>
      </c>
    </row>
    <row r="74">
      <c r="A74" t="inlineStr">
        <is>
          <t>CHEM-1600</t>
        </is>
      </c>
      <c r="B74" t="n">
        <v>22</v>
      </c>
      <c r="C74" s="24" t="n">
        <v>46168</v>
      </c>
      <c r="D74" t="n">
        <v>150</v>
      </c>
    </row>
    <row r="75">
      <c r="A75" t="inlineStr">
        <is>
          <t>CHEM-1600</t>
        </is>
      </c>
      <c r="B75" t="n">
        <v>23</v>
      </c>
      <c r="C75" s="24" t="n">
        <v>46174</v>
      </c>
      <c r="D75" t="n">
        <v>450</v>
      </c>
    </row>
    <row r="76">
      <c r="A76" t="inlineStr">
        <is>
          <t>CHEM-1610</t>
        </is>
      </c>
      <c r="B76" t="n">
        <v>22</v>
      </c>
      <c r="C76" s="24" t="n">
        <v>46168</v>
      </c>
      <c r="D76" t="n">
        <v>850</v>
      </c>
    </row>
    <row r="77">
      <c r="A77" t="inlineStr">
        <is>
          <t>CHEM-1610</t>
        </is>
      </c>
      <c r="B77" t="n">
        <v>23</v>
      </c>
      <c r="C77" s="24" t="n">
        <v>46174</v>
      </c>
      <c r="D77" t="n">
        <v>850</v>
      </c>
    </row>
    <row r="78">
      <c r="A78" t="inlineStr">
        <is>
          <t>CHEM-1620</t>
        </is>
      </c>
      <c r="B78" t="n">
        <v>22</v>
      </c>
      <c r="C78" s="24" t="n">
        <v>46168</v>
      </c>
      <c r="D78" t="n">
        <v>65</v>
      </c>
    </row>
    <row r="79">
      <c r="A79" t="inlineStr">
        <is>
          <t>CHEM-1620</t>
        </is>
      </c>
      <c r="B79" t="n">
        <v>23</v>
      </c>
      <c r="C79" s="24" t="n">
        <v>46174</v>
      </c>
      <c r="D79" t="n">
        <v>60</v>
      </c>
    </row>
    <row r="80">
      <c r="A80" t="inlineStr">
        <is>
          <t>CHEM-1650</t>
        </is>
      </c>
      <c r="B80" t="n">
        <v>22</v>
      </c>
      <c r="C80" s="24" t="n">
        <v>46168</v>
      </c>
      <c r="D80" t="n">
        <v>16.43</v>
      </c>
    </row>
    <row r="81">
      <c r="A81" t="inlineStr">
        <is>
          <t>CHEM-1650</t>
        </is>
      </c>
      <c r="B81" t="n">
        <v>23</v>
      </c>
      <c r="C81" s="24" t="n">
        <v>46174</v>
      </c>
      <c r="D81" t="n">
        <v>16.43</v>
      </c>
    </row>
    <row r="82">
      <c r="A82" t="inlineStr">
        <is>
          <t>CHEM-1660</t>
        </is>
      </c>
      <c r="B82" t="n">
        <v>22</v>
      </c>
      <c r="C82" s="24" t="n">
        <v>46168</v>
      </c>
      <c r="D82" t="n">
        <v>258</v>
      </c>
    </row>
    <row r="83">
      <c r="A83" t="inlineStr">
        <is>
          <t>CHEM-1660</t>
        </is>
      </c>
      <c r="B83" t="n">
        <v>23</v>
      </c>
      <c r="C83" s="24" t="n">
        <v>46174</v>
      </c>
      <c r="D83" t="n">
        <v>265</v>
      </c>
    </row>
    <row r="84">
      <c r="A84" t="inlineStr">
        <is>
          <t>CHEM-1670</t>
        </is>
      </c>
      <c r="B84" t="n">
        <v>22</v>
      </c>
      <c r="C84" s="24" t="n">
        <v>46168</v>
      </c>
      <c r="D84" t="n">
        <v>200</v>
      </c>
    </row>
    <row r="85">
      <c r="A85" t="inlineStr">
        <is>
          <t>CHEM-1670</t>
        </is>
      </c>
      <c r="B85" t="n">
        <v>23</v>
      </c>
      <c r="C85" s="24" t="n">
        <v>46174</v>
      </c>
      <c r="D85" t="n">
        <v>340</v>
      </c>
    </row>
    <row r="86">
      <c r="A86" t="inlineStr">
        <is>
          <t>CHEM-1680</t>
        </is>
      </c>
      <c r="B86" t="n">
        <v>22</v>
      </c>
      <c r="C86" s="24" t="n">
        <v>46168</v>
      </c>
      <c r="D86" t="n">
        <v>420</v>
      </c>
    </row>
    <row r="87">
      <c r="A87" t="inlineStr">
        <is>
          <t>CHEM-1680</t>
        </is>
      </c>
      <c r="B87" t="n">
        <v>23</v>
      </c>
      <c r="C87" s="24" t="n">
        <v>46174</v>
      </c>
      <c r="D87" t="n">
        <v>250</v>
      </c>
    </row>
    <row r="88">
      <c r="A88" t="inlineStr">
        <is>
          <t>CHEM-1690</t>
        </is>
      </c>
      <c r="B88" t="n">
        <v>22</v>
      </c>
      <c r="C88" s="24" t="n">
        <v>46168</v>
      </c>
      <c r="D88" t="n">
        <v>240</v>
      </c>
    </row>
    <row r="89">
      <c r="A89" t="inlineStr">
        <is>
          <t>CHEM-1690</t>
        </is>
      </c>
      <c r="B89" t="n">
        <v>23</v>
      </c>
      <c r="C89" s="24" t="n">
        <v>46174</v>
      </c>
      <c r="D89" t="n">
        <v>140</v>
      </c>
    </row>
    <row r="90">
      <c r="A90" t="inlineStr">
        <is>
          <t>CHEM-1700</t>
        </is>
      </c>
      <c r="B90" t="n">
        <v>22</v>
      </c>
      <c r="C90" s="24" t="n">
        <v>46168</v>
      </c>
      <c r="D90" t="n">
        <v>83</v>
      </c>
    </row>
    <row r="91">
      <c r="A91" t="inlineStr">
        <is>
          <t>CHEM-1700</t>
        </is>
      </c>
      <c r="B91" t="n">
        <v>23</v>
      </c>
      <c r="C91" s="24" t="n">
        <v>46174</v>
      </c>
      <c r="D91" t="n">
        <v>58</v>
      </c>
    </row>
    <row r="92">
      <c r="A92" t="inlineStr">
        <is>
          <t>CHEM-1710</t>
        </is>
      </c>
      <c r="B92" t="n">
        <v>22</v>
      </c>
      <c r="C92" s="24" t="n">
        <v>46168</v>
      </c>
      <c r="D92" t="n">
        <v>0</v>
      </c>
    </row>
    <row r="93">
      <c r="A93" t="inlineStr">
        <is>
          <t>CHEM-1710</t>
        </is>
      </c>
      <c r="B93" t="n">
        <v>23</v>
      </c>
      <c r="C93" s="24" t="n">
        <v>46174</v>
      </c>
      <c r="D93" t="n">
        <v>0</v>
      </c>
    </row>
    <row r="94">
      <c r="A94" t="inlineStr">
        <is>
          <t>CHEM-1720</t>
        </is>
      </c>
      <c r="B94" t="n">
        <v>22</v>
      </c>
      <c r="C94" s="24" t="n">
        <v>46168</v>
      </c>
      <c r="D94" t="n">
        <v>840</v>
      </c>
    </row>
    <row r="95">
      <c r="A95" t="inlineStr">
        <is>
          <t>CHEM-1720</t>
        </is>
      </c>
      <c r="B95" t="n">
        <v>23</v>
      </c>
      <c r="C95" s="24" t="n">
        <v>46174</v>
      </c>
      <c r="D95" t="n">
        <v>960</v>
      </c>
    </row>
    <row r="96">
      <c r="A96" t="inlineStr">
        <is>
          <t>CHEM-1730</t>
        </is>
      </c>
      <c r="B96" t="n">
        <v>22</v>
      </c>
      <c r="C96" s="24" t="n">
        <v>46168</v>
      </c>
      <c r="D96" t="n">
        <v>350</v>
      </c>
    </row>
    <row r="97">
      <c r="A97" t="inlineStr">
        <is>
          <t>CHEM-1730</t>
        </is>
      </c>
      <c r="B97" t="n">
        <v>23</v>
      </c>
      <c r="C97" s="24" t="n">
        <v>46174</v>
      </c>
      <c r="D97" t="n">
        <v>350</v>
      </c>
    </row>
    <row r="98">
      <c r="A98" t="inlineStr">
        <is>
          <t>CHEM-1740</t>
        </is>
      </c>
      <c r="B98" t="n">
        <v>22</v>
      </c>
      <c r="C98" s="24" t="n">
        <v>46168</v>
      </c>
      <c r="D98" t="n">
        <v>1000</v>
      </c>
    </row>
    <row r="99">
      <c r="A99" t="inlineStr">
        <is>
          <t>CHEM-1740</t>
        </is>
      </c>
      <c r="B99" t="n">
        <v>23</v>
      </c>
      <c r="C99" s="24" t="n">
        <v>46174</v>
      </c>
      <c r="D99" t="n">
        <v>1000</v>
      </c>
    </row>
    <row r="100">
      <c r="A100" t="inlineStr">
        <is>
          <t>CHEM-1750</t>
        </is>
      </c>
      <c r="B100" t="n">
        <v>22</v>
      </c>
      <c r="C100" s="24" t="n">
        <v>46168</v>
      </c>
      <c r="D100" t="n">
        <v>1510</v>
      </c>
    </row>
    <row r="101">
      <c r="A101" t="inlineStr">
        <is>
          <t>CHEM-1750</t>
        </is>
      </c>
      <c r="B101" t="n">
        <v>23</v>
      </c>
      <c r="C101" s="24" t="n">
        <v>46174</v>
      </c>
      <c r="D101" t="n">
        <v>1500</v>
      </c>
    </row>
    <row r="102">
      <c r="A102" t="inlineStr">
        <is>
          <t>CHEM-1760</t>
        </is>
      </c>
      <c r="B102" t="n">
        <v>22</v>
      </c>
      <c r="C102" s="24" t="n">
        <v>46168</v>
      </c>
      <c r="D102" t="n">
        <v>19.98</v>
      </c>
    </row>
    <row r="103">
      <c r="A103" t="inlineStr">
        <is>
          <t>CHEM-1760</t>
        </is>
      </c>
      <c r="B103" t="n">
        <v>23</v>
      </c>
      <c r="C103" s="24" t="n">
        <v>46174</v>
      </c>
      <c r="D103" t="n">
        <v>17.93</v>
      </c>
    </row>
    <row r="104">
      <c r="A104" t="inlineStr">
        <is>
          <t>CHEM-1770</t>
        </is>
      </c>
      <c r="B104" t="n">
        <v>22</v>
      </c>
      <c r="C104" s="24" t="n">
        <v>46168</v>
      </c>
      <c r="D104" t="n">
        <v>15</v>
      </c>
    </row>
    <row r="105">
      <c r="A105" t="inlineStr">
        <is>
          <t>CHEM-1770</t>
        </is>
      </c>
      <c r="B105" t="n">
        <v>23</v>
      </c>
      <c r="C105" s="24" t="n">
        <v>46174</v>
      </c>
      <c r="D105" t="n">
        <v>15</v>
      </c>
    </row>
    <row r="106">
      <c r="A106" t="inlineStr">
        <is>
          <t>CHEM-1780</t>
        </is>
      </c>
      <c r="B106" t="n">
        <v>22</v>
      </c>
      <c r="C106" s="24" t="n">
        <v>46168</v>
      </c>
      <c r="D106" t="n">
        <v>4</v>
      </c>
    </row>
    <row r="107">
      <c r="A107" t="inlineStr">
        <is>
          <t>CHEM-1780</t>
        </is>
      </c>
      <c r="B107" t="n">
        <v>23</v>
      </c>
      <c r="C107" s="24" t="n">
        <v>46174</v>
      </c>
      <c r="D107" t="n">
        <v>4</v>
      </c>
    </row>
    <row r="108">
      <c r="A108" t="inlineStr">
        <is>
          <t>CHEM-1790</t>
        </is>
      </c>
      <c r="B108" t="n">
        <v>22</v>
      </c>
      <c r="C108" s="24" t="n">
        <v>46168</v>
      </c>
      <c r="D108" t="n">
        <v>1950</v>
      </c>
    </row>
    <row r="109">
      <c r="A109" t="inlineStr">
        <is>
          <t>CHEM-1790</t>
        </is>
      </c>
      <c r="B109" t="n">
        <v>23</v>
      </c>
      <c r="C109" s="24" t="n">
        <v>46174</v>
      </c>
      <c r="D109" t="n">
        <v>1750</v>
      </c>
    </row>
    <row r="110">
      <c r="A110" t="inlineStr">
        <is>
          <t>CHEM-1800</t>
        </is>
      </c>
      <c r="B110" t="n">
        <v>22</v>
      </c>
      <c r="C110" s="24" t="n">
        <v>46168</v>
      </c>
      <c r="D110" t="n">
        <v>3900</v>
      </c>
    </row>
    <row r="111">
      <c r="A111" t="inlineStr">
        <is>
          <t>CHEM-1800</t>
        </is>
      </c>
      <c r="B111" t="n">
        <v>23</v>
      </c>
      <c r="C111" s="24" t="n">
        <v>46174</v>
      </c>
      <c r="D111" t="n">
        <v>3850</v>
      </c>
    </row>
    <row r="112">
      <c r="A112" t="inlineStr">
        <is>
          <t>CHEM-1810</t>
        </is>
      </c>
      <c r="B112" t="n">
        <v>22</v>
      </c>
      <c r="C112" s="24" t="n">
        <v>46168</v>
      </c>
      <c r="D112" t="n">
        <v>182.28</v>
      </c>
    </row>
    <row r="113">
      <c r="A113" t="inlineStr">
        <is>
          <t>CHEM-1810</t>
        </is>
      </c>
      <c r="B113" t="n">
        <v>23</v>
      </c>
      <c r="C113" s="24" t="n">
        <v>46174</v>
      </c>
      <c r="D113" t="n">
        <v>292.37</v>
      </c>
    </row>
    <row r="114">
      <c r="A114" t="inlineStr">
        <is>
          <t>CHEM-1820</t>
        </is>
      </c>
      <c r="B114" t="n">
        <v>22</v>
      </c>
      <c r="C114" s="24" t="n">
        <v>46168</v>
      </c>
      <c r="D114" t="n">
        <v>300</v>
      </c>
    </row>
    <row r="115">
      <c r="A115" t="inlineStr">
        <is>
          <t>CHEM-1820</t>
        </is>
      </c>
      <c r="B115" t="n">
        <v>23</v>
      </c>
      <c r="C115" s="24" t="n">
        <v>46174</v>
      </c>
      <c r="D115" t="n">
        <v>300</v>
      </c>
    </row>
    <row r="116">
      <c r="A116" t="inlineStr">
        <is>
          <t>CHEM-1830</t>
        </is>
      </c>
      <c r="B116" t="n">
        <v>22</v>
      </c>
      <c r="C116" s="24" t="n">
        <v>46168</v>
      </c>
      <c r="D116" t="n">
        <v>35</v>
      </c>
    </row>
    <row r="117">
      <c r="A117" t="inlineStr">
        <is>
          <t>CHEM-1830</t>
        </is>
      </c>
      <c r="B117" t="n">
        <v>23</v>
      </c>
      <c r="C117" s="24" t="n">
        <v>46174</v>
      </c>
      <c r="D117" t="n">
        <v>35</v>
      </c>
    </row>
    <row r="118">
      <c r="A118" t="inlineStr">
        <is>
          <t>CHEM-1840</t>
        </is>
      </c>
      <c r="B118" t="n">
        <v>22</v>
      </c>
      <c r="C118" s="24" t="n">
        <v>46168</v>
      </c>
      <c r="D118" t="n">
        <v>30</v>
      </c>
    </row>
    <row r="119">
      <c r="A119" t="inlineStr">
        <is>
          <t>CHEM-1840</t>
        </is>
      </c>
      <c r="B119" t="n">
        <v>23</v>
      </c>
      <c r="C119" s="24" t="n">
        <v>46174</v>
      </c>
      <c r="D119" t="n">
        <v>30</v>
      </c>
    </row>
    <row r="120">
      <c r="A120" t="inlineStr">
        <is>
          <t>CHEM-1850</t>
        </is>
      </c>
      <c r="B120" t="n">
        <v>22</v>
      </c>
      <c r="C120" s="24" t="n">
        <v>46168</v>
      </c>
      <c r="D120" t="n">
        <v>0</v>
      </c>
    </row>
    <row r="121">
      <c r="A121" t="inlineStr">
        <is>
          <t>CHEM-1850</t>
        </is>
      </c>
      <c r="B121" t="n">
        <v>23</v>
      </c>
      <c r="C121" s="24" t="n">
        <v>46174</v>
      </c>
      <c r="D121" t="n">
        <v>0</v>
      </c>
    </row>
    <row r="122">
      <c r="A122" t="inlineStr">
        <is>
          <t>CHEM-1870</t>
        </is>
      </c>
      <c r="B122" t="n">
        <v>22</v>
      </c>
      <c r="C122" s="24" t="n">
        <v>46168</v>
      </c>
      <c r="D122" t="n">
        <v>150</v>
      </c>
    </row>
    <row r="123">
      <c r="A123" t="inlineStr">
        <is>
          <t>CHEM-1870</t>
        </is>
      </c>
      <c r="B123" t="n">
        <v>23</v>
      </c>
      <c r="C123" s="24" t="n">
        <v>46174</v>
      </c>
      <c r="D123" t="n">
        <v>150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2" customWidth="1" min="3" max="3"/>
    <col width="12" customWidth="1" min="4" max="4"/>
  </cols>
  <sheetData>
    <row r="1">
      <c r="A1" s="27" t="inlineStr">
        <is>
          <t>RM_Code</t>
        </is>
      </c>
      <c r="B1" s="27" t="inlineStr">
        <is>
          <t>WeekIndex</t>
        </is>
      </c>
      <c r="C1" s="27" t="inlineStr">
        <is>
          <t>Date</t>
        </is>
      </c>
      <c r="D1" s="27" t="inlineStr">
        <is>
          <t>TTAF_Qty</t>
        </is>
      </c>
    </row>
    <row r="2">
      <c r="A2" t="inlineStr">
        <is>
          <t>CHEM-1010</t>
        </is>
      </c>
      <c r="B2" t="n">
        <v>22</v>
      </c>
      <c r="C2" s="24" t="n">
        <v>46171</v>
      </c>
      <c r="D2" t="n">
        <v>0</v>
      </c>
    </row>
    <row r="3">
      <c r="A3" t="inlineStr">
        <is>
          <t>CHEM-1020</t>
        </is>
      </c>
      <c r="B3" t="n">
        <v>22</v>
      </c>
      <c r="C3" s="24" t="n">
        <v>46171</v>
      </c>
      <c r="D3" t="n">
        <v>0</v>
      </c>
    </row>
    <row r="4">
      <c r="A4" t="inlineStr">
        <is>
          <t>CHEM-1080</t>
        </is>
      </c>
      <c r="B4" t="n">
        <v>22</v>
      </c>
      <c r="C4" s="24" t="n">
        <v>46171</v>
      </c>
      <c r="D4" t="n">
        <v>0</v>
      </c>
    </row>
    <row r="5">
      <c r="A5" t="inlineStr">
        <is>
          <t>CHEM-1100</t>
        </is>
      </c>
      <c r="B5" t="n">
        <v>22</v>
      </c>
      <c r="C5" s="24" t="n">
        <v>46171</v>
      </c>
      <c r="D5" t="n">
        <v>0</v>
      </c>
    </row>
    <row r="6">
      <c r="A6" t="inlineStr">
        <is>
          <t>CHEM-1110</t>
        </is>
      </c>
      <c r="B6" t="n">
        <v>22</v>
      </c>
      <c r="C6" s="24" t="n">
        <v>46171</v>
      </c>
      <c r="D6" t="n">
        <v>0</v>
      </c>
    </row>
    <row r="7">
      <c r="A7" t="inlineStr">
        <is>
          <t>CHEM-1120</t>
        </is>
      </c>
      <c r="B7" t="n">
        <v>22</v>
      </c>
      <c r="C7" s="24" t="n">
        <v>46171</v>
      </c>
      <c r="D7" t="n">
        <v>0</v>
      </c>
    </row>
    <row r="8">
      <c r="A8" t="inlineStr">
        <is>
          <t>CHEM-1130</t>
        </is>
      </c>
      <c r="B8" t="n">
        <v>22</v>
      </c>
      <c r="C8" s="24" t="n">
        <v>46171</v>
      </c>
      <c r="D8" t="n">
        <v>0</v>
      </c>
    </row>
    <row r="9">
      <c r="A9" t="inlineStr">
        <is>
          <t>CHEM-1200</t>
        </is>
      </c>
      <c r="B9" t="n">
        <v>22</v>
      </c>
      <c r="C9" s="24" t="n">
        <v>46171</v>
      </c>
      <c r="D9" t="n">
        <v>25</v>
      </c>
    </row>
    <row r="10">
      <c r="A10" t="inlineStr">
        <is>
          <t>CHEM-1240</t>
        </is>
      </c>
      <c r="B10" t="n">
        <v>22</v>
      </c>
      <c r="C10" s="24" t="n">
        <v>46171</v>
      </c>
      <c r="D10" t="n">
        <v>880</v>
      </c>
    </row>
    <row r="11">
      <c r="A11" t="inlineStr">
        <is>
          <t>CHEM-1250</t>
        </is>
      </c>
      <c r="B11" t="n">
        <v>22</v>
      </c>
      <c r="C11" s="24" t="n">
        <v>46171</v>
      </c>
      <c r="D11" t="n">
        <v>0</v>
      </c>
    </row>
    <row r="12">
      <c r="A12" t="inlineStr">
        <is>
          <t>CHEM-1280</t>
        </is>
      </c>
      <c r="B12" t="n">
        <v>22</v>
      </c>
      <c r="C12" s="24" t="n">
        <v>46171</v>
      </c>
      <c r="D12" t="n">
        <v>0</v>
      </c>
    </row>
    <row r="13">
      <c r="A13" t="inlineStr">
        <is>
          <t>CHEM-1400</t>
        </is>
      </c>
      <c r="B13" t="n">
        <v>22</v>
      </c>
      <c r="C13" s="24" t="n">
        <v>46171</v>
      </c>
      <c r="D13" t="n">
        <v>0</v>
      </c>
    </row>
    <row r="14">
      <c r="A14" t="inlineStr">
        <is>
          <t>CHEM-1410</t>
        </is>
      </c>
      <c r="B14" t="n">
        <v>22</v>
      </c>
      <c r="C14" s="24" t="n">
        <v>46171</v>
      </c>
      <c r="D14" t="n">
        <v>0</v>
      </c>
    </row>
    <row r="15">
      <c r="A15" t="inlineStr">
        <is>
          <t>CHEM-1420</t>
        </is>
      </c>
      <c r="B15" t="n">
        <v>22</v>
      </c>
      <c r="C15" s="24" t="n">
        <v>46171</v>
      </c>
      <c r="D15" t="n">
        <v>160</v>
      </c>
    </row>
    <row r="16">
      <c r="A16" t="inlineStr">
        <is>
          <t>CHEM-1430</t>
        </is>
      </c>
      <c r="B16" t="n">
        <v>22</v>
      </c>
      <c r="C16" s="24" t="n">
        <v>46171</v>
      </c>
      <c r="D16" t="n">
        <v>0</v>
      </c>
    </row>
    <row r="17">
      <c r="A17" t="inlineStr">
        <is>
          <t>CHEM-1440</t>
        </is>
      </c>
      <c r="B17" t="n">
        <v>22</v>
      </c>
      <c r="C17" s="24" t="n">
        <v>46171</v>
      </c>
      <c r="D17" t="n">
        <v>200</v>
      </c>
    </row>
    <row r="18">
      <c r="A18" t="inlineStr">
        <is>
          <t>CHEM-1450</t>
        </is>
      </c>
      <c r="B18" t="n">
        <v>22</v>
      </c>
      <c r="C18" s="24" t="n">
        <v>46171</v>
      </c>
      <c r="D18" t="n">
        <v>0</v>
      </c>
    </row>
    <row r="19">
      <c r="A19" t="inlineStr">
        <is>
          <t>CHEM-1470</t>
        </is>
      </c>
      <c r="B19" t="n">
        <v>22</v>
      </c>
      <c r="C19" s="24" t="n">
        <v>46171</v>
      </c>
      <c r="D19" t="n">
        <v>0</v>
      </c>
    </row>
    <row r="20">
      <c r="A20" t="inlineStr">
        <is>
          <t>CHEM-1480</t>
        </is>
      </c>
      <c r="B20" t="n">
        <v>22</v>
      </c>
      <c r="C20" s="24" t="n">
        <v>46171</v>
      </c>
      <c r="D20" t="n">
        <v>0</v>
      </c>
    </row>
    <row r="21">
      <c r="A21" t="inlineStr">
        <is>
          <t>CHEM-1500</t>
        </is>
      </c>
      <c r="B21" t="n">
        <v>22</v>
      </c>
      <c r="C21" s="24" t="n">
        <v>46171</v>
      </c>
      <c r="D21" t="n">
        <v>0</v>
      </c>
    </row>
    <row r="22">
      <c r="A22" t="inlineStr">
        <is>
          <t>CHEM-1510</t>
        </is>
      </c>
      <c r="B22" t="n">
        <v>22</v>
      </c>
      <c r="C22" s="24" t="n">
        <v>46171</v>
      </c>
      <c r="D22" t="n">
        <v>190</v>
      </c>
    </row>
    <row r="23">
      <c r="A23" t="inlineStr">
        <is>
          <t>CHEM-1520</t>
        </is>
      </c>
      <c r="B23" t="n">
        <v>22</v>
      </c>
      <c r="C23" s="24" t="n">
        <v>46171</v>
      </c>
      <c r="D23" t="n">
        <v>0</v>
      </c>
    </row>
    <row r="24">
      <c r="A24" t="inlineStr">
        <is>
          <t>CHEM-1530</t>
        </is>
      </c>
      <c r="B24" t="n">
        <v>22</v>
      </c>
      <c r="C24" s="24" t="n">
        <v>46171</v>
      </c>
      <c r="D24" t="n">
        <v>2100</v>
      </c>
    </row>
    <row r="25">
      <c r="A25" t="inlineStr">
        <is>
          <t>CHEM-1540</t>
        </is>
      </c>
      <c r="B25" t="n">
        <v>22</v>
      </c>
      <c r="C25" s="24" t="n">
        <v>46171</v>
      </c>
      <c r="D25" t="n">
        <v>3000</v>
      </c>
    </row>
    <row r="26">
      <c r="A26" t="inlineStr">
        <is>
          <t>CHEM-1550</t>
        </is>
      </c>
      <c r="B26" t="n">
        <v>22</v>
      </c>
      <c r="C26" s="24" t="n">
        <v>46171</v>
      </c>
      <c r="D26" t="n">
        <v>0</v>
      </c>
    </row>
    <row r="27">
      <c r="A27" t="inlineStr">
        <is>
          <t>CHEM-1560</t>
        </is>
      </c>
      <c r="B27" t="n">
        <v>22</v>
      </c>
      <c r="C27" s="24" t="n">
        <v>46171</v>
      </c>
      <c r="D27" t="n">
        <v>0</v>
      </c>
    </row>
    <row r="28">
      <c r="A28" t="inlineStr">
        <is>
          <t>CHEM-1570</t>
        </is>
      </c>
      <c r="B28" t="n">
        <v>22</v>
      </c>
      <c r="C28" s="24" t="n">
        <v>46171</v>
      </c>
      <c r="D28" t="n">
        <v>36</v>
      </c>
    </row>
    <row r="29">
      <c r="A29" t="inlineStr">
        <is>
          <t>CHEM-1580</t>
        </is>
      </c>
      <c r="B29" t="n">
        <v>22</v>
      </c>
      <c r="C29" s="24" t="n">
        <v>46171</v>
      </c>
      <c r="D29" t="n">
        <v>0</v>
      </c>
    </row>
    <row r="30">
      <c r="A30" t="inlineStr">
        <is>
          <t>CHEM-1600</t>
        </is>
      </c>
      <c r="B30" t="n">
        <v>22</v>
      </c>
      <c r="C30" s="24" t="n">
        <v>46171</v>
      </c>
      <c r="D30" t="n">
        <v>100</v>
      </c>
    </row>
    <row r="31">
      <c r="A31" t="inlineStr">
        <is>
          <t>CHEM-1650</t>
        </is>
      </c>
      <c r="B31" t="n">
        <v>22</v>
      </c>
      <c r="C31" s="24" t="n">
        <v>46171</v>
      </c>
      <c r="D31" t="n">
        <v>25</v>
      </c>
    </row>
    <row r="32">
      <c r="A32" t="inlineStr">
        <is>
          <t>CHEM-1660</t>
        </is>
      </c>
      <c r="B32" t="n">
        <v>22</v>
      </c>
      <c r="C32" s="24" t="n">
        <v>46171</v>
      </c>
      <c r="D32" t="n">
        <v>270</v>
      </c>
    </row>
    <row r="33">
      <c r="A33" t="inlineStr">
        <is>
          <t>CHEM-1670</t>
        </is>
      </c>
      <c r="B33" t="n">
        <v>22</v>
      </c>
      <c r="C33" s="24" t="n">
        <v>46171</v>
      </c>
      <c r="D33" t="n">
        <v>0</v>
      </c>
    </row>
    <row r="34">
      <c r="A34" t="inlineStr">
        <is>
          <t>CHEM-1680</t>
        </is>
      </c>
      <c r="B34" t="n">
        <v>22</v>
      </c>
      <c r="C34" s="24" t="n">
        <v>46171</v>
      </c>
      <c r="D34" t="n">
        <v>0</v>
      </c>
    </row>
    <row r="35">
      <c r="A35" t="inlineStr">
        <is>
          <t>CHEM-1690</t>
        </is>
      </c>
      <c r="B35" t="n">
        <v>22</v>
      </c>
      <c r="C35" s="24" t="n">
        <v>46171</v>
      </c>
      <c r="D35" t="n">
        <v>0</v>
      </c>
    </row>
    <row r="36">
      <c r="A36" t="inlineStr">
        <is>
          <t>CHEM-1700</t>
        </is>
      </c>
      <c r="B36" t="n">
        <v>22</v>
      </c>
      <c r="C36" s="24" t="n">
        <v>46171</v>
      </c>
      <c r="D36" t="n">
        <v>60</v>
      </c>
    </row>
    <row r="37">
      <c r="A37" t="inlineStr">
        <is>
          <t>CHEM-1720</t>
        </is>
      </c>
      <c r="B37" t="n">
        <v>22</v>
      </c>
      <c r="C37" s="24" t="n">
        <v>46171</v>
      </c>
      <c r="D37" t="n">
        <v>1440</v>
      </c>
    </row>
    <row r="38">
      <c r="A38" t="inlineStr">
        <is>
          <t>CHEM-1730</t>
        </is>
      </c>
      <c r="B38" t="n">
        <v>22</v>
      </c>
      <c r="C38" s="24" t="n">
        <v>46171</v>
      </c>
      <c r="D38" t="n">
        <v>100</v>
      </c>
    </row>
    <row r="39">
      <c r="A39" t="inlineStr">
        <is>
          <t>CHEM-1740</t>
        </is>
      </c>
      <c r="B39" t="n">
        <v>22</v>
      </c>
      <c r="C39" s="24" t="n">
        <v>46171</v>
      </c>
      <c r="D39" t="n">
        <v>0</v>
      </c>
    </row>
    <row r="40">
      <c r="A40" t="inlineStr">
        <is>
          <t>CHEM-1750</t>
        </is>
      </c>
      <c r="B40" t="n">
        <v>22</v>
      </c>
      <c r="C40" s="24" t="n">
        <v>46171</v>
      </c>
      <c r="D40" t="n">
        <v>0</v>
      </c>
    </row>
    <row r="41">
      <c r="A41" t="inlineStr">
        <is>
          <t>CHEM-1760</t>
        </is>
      </c>
      <c r="B41" t="n">
        <v>22</v>
      </c>
      <c r="C41" s="24" t="n">
        <v>46171</v>
      </c>
      <c r="D41" t="n">
        <v>17</v>
      </c>
    </row>
    <row r="42">
      <c r="A42" t="inlineStr">
        <is>
          <t>CHEM-1780</t>
        </is>
      </c>
      <c r="B42" t="n">
        <v>22</v>
      </c>
      <c r="C42" s="24" t="n">
        <v>46171</v>
      </c>
      <c r="D42" t="n">
        <v>20</v>
      </c>
    </row>
    <row r="43">
      <c r="A43" t="inlineStr">
        <is>
          <t>CHEM-1810</t>
        </is>
      </c>
      <c r="B43" t="n">
        <v>22</v>
      </c>
      <c r="C43" s="24" t="n">
        <v>46171</v>
      </c>
      <c r="D43" t="n">
        <v>636.5999999999999</v>
      </c>
    </row>
    <row r="44">
      <c r="A44" t="inlineStr">
        <is>
          <t>CHEM-1820</t>
        </is>
      </c>
      <c r="B44" t="n">
        <v>22</v>
      </c>
      <c r="C44" s="24" t="n">
        <v>46171</v>
      </c>
      <c r="D44" t="n">
        <v>500</v>
      </c>
    </row>
    <row r="45">
      <c r="A45" t="inlineStr">
        <is>
          <t>CHEM-1830</t>
        </is>
      </c>
      <c r="B45" t="n">
        <v>22</v>
      </c>
      <c r="C45" s="24" t="n">
        <v>46171</v>
      </c>
      <c r="D45" t="n">
        <v>225</v>
      </c>
    </row>
    <row r="46">
      <c r="A46" t="inlineStr">
        <is>
          <t>CHEM-1840</t>
        </is>
      </c>
      <c r="B46" t="n">
        <v>22</v>
      </c>
      <c r="C46" s="24" t="n">
        <v>46171</v>
      </c>
      <c r="D46" t="n">
        <v>18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20" customWidth="1" min="6" max="6"/>
    <col width="18" customWidth="1" min="7" max="7"/>
  </cols>
  <sheetData>
    <row r="1">
      <c r="A1" s="27" t="inlineStr">
        <is>
          <t>RM_Code</t>
        </is>
      </c>
      <c r="B1" s="27" t="inlineStr">
        <is>
          <t>Description</t>
        </is>
      </c>
      <c r="C1" s="27" t="inlineStr">
        <is>
          <t>Supplier</t>
        </is>
      </c>
      <c r="D1" s="27" t="inlineStr">
        <is>
          <t>Category</t>
        </is>
      </c>
      <c r="E1" s="27" t="inlineStr">
        <is>
          <t>UOM</t>
        </is>
      </c>
      <c r="F1" s="27" t="inlineStr">
        <is>
          <t>SafetyStock_Qty_要入力</t>
        </is>
      </c>
      <c r="G1" s="27" t="inlineStr">
        <is>
          <t>LeadTime_Weeks_要入力</t>
        </is>
      </c>
    </row>
    <row r="2">
      <c r="A2" t="inlineStr">
        <is>
          <t>CHEM-1250</t>
        </is>
      </c>
      <c r="B2" t="inlineStr">
        <is>
          <t>Barium Sulfate (B-55)</t>
        </is>
      </c>
      <c r="C2" t="inlineStr">
        <is>
          <t>Japan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4</v>
      </c>
    </row>
    <row r="3">
      <c r="A3" t="inlineStr">
        <is>
          <t>CHEM-1670</t>
        </is>
      </c>
      <c r="B3" t="inlineStr">
        <is>
          <t>ALESPER 1065</t>
        </is>
      </c>
      <c r="C3" t="inlineStr">
        <is>
          <t>Japan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4</v>
      </c>
    </row>
    <row r="4">
      <c r="A4" t="inlineStr">
        <is>
          <t>CHEM-1700</t>
        </is>
      </c>
      <c r="B4" t="inlineStr">
        <is>
          <t>TepyrusCT38</t>
        </is>
      </c>
      <c r="C4" t="inlineStr">
        <is>
          <t>Japan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4</v>
      </c>
    </row>
    <row r="5">
      <c r="A5" t="inlineStr">
        <is>
          <t>CHEM-1420</t>
        </is>
      </c>
      <c r="B5" t="inlineStr">
        <is>
          <t>HEC SE900</t>
        </is>
      </c>
      <c r="C5" t="inlineStr">
        <is>
          <t>Japan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4</v>
      </c>
    </row>
    <row r="6">
      <c r="A6" t="inlineStr">
        <is>
          <t>CHEM-1530</t>
        </is>
      </c>
      <c r="B6" t="inlineStr">
        <is>
          <t>JCK-97</t>
        </is>
      </c>
      <c r="C6" t="inlineStr">
        <is>
          <t>Japan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4</v>
      </c>
    </row>
    <row r="7">
      <c r="A7" t="inlineStr">
        <is>
          <t>CHEM-1540</t>
        </is>
      </c>
      <c r="B7" t="inlineStr">
        <is>
          <t>NAT35</t>
        </is>
      </c>
      <c r="C7" t="inlineStr">
        <is>
          <t>Japan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4</v>
      </c>
    </row>
    <row r="8">
      <c r="A8" t="inlineStr">
        <is>
          <t>CHEM-1690</t>
        </is>
      </c>
      <c r="B8" t="inlineStr">
        <is>
          <t>TPZ-560</t>
        </is>
      </c>
      <c r="C8" t="inlineStr">
        <is>
          <t>Japan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4</v>
      </c>
    </row>
    <row r="9">
      <c r="A9" t="inlineStr">
        <is>
          <t>CHEM-1720</t>
        </is>
      </c>
      <c r="B9" t="inlineStr">
        <is>
          <t>CeZr oxide(TPZ-868)</t>
        </is>
      </c>
      <c r="C9" t="inlineStr">
        <is>
          <t>Japan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4</v>
      </c>
    </row>
    <row r="10">
      <c r="A10" t="inlineStr">
        <is>
          <t>CHEM-1440</t>
        </is>
      </c>
      <c r="B10" t="inlineStr">
        <is>
          <t>CITRIC ACID</t>
        </is>
      </c>
      <c r="C10" t="inlineStr">
        <is>
          <t>Japan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4</v>
      </c>
    </row>
    <row r="11">
      <c r="A11" t="inlineStr">
        <is>
          <t>PET FILM(900*1000)</t>
        </is>
      </c>
      <c r="B11" t="inlineStr">
        <is>
          <t>PET FILM(900*1000)</t>
        </is>
      </c>
      <c r="C11" t="inlineStr">
        <is>
          <t>Japan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4</v>
      </c>
    </row>
    <row r="12">
      <c r="A12" t="inlineStr">
        <is>
          <t>4HL</t>
        </is>
      </c>
      <c r="B12" t="inlineStr">
        <is>
          <t>(7R-08) TP166-103-084</t>
        </is>
      </c>
      <c r="C12" t="inlineStr">
        <is>
          <t>New Japan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4</v>
      </c>
    </row>
    <row r="13">
      <c r="A13" t="inlineStr">
        <is>
          <t>1EK</t>
        </is>
      </c>
      <c r="B13" t="inlineStr">
        <is>
          <t>(9R-08) TP166-103-105*T1</t>
        </is>
      </c>
      <c r="C13" t="inlineStr">
        <is>
          <t>New Japan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4</v>
      </c>
    </row>
    <row r="14">
      <c r="A14" t="inlineStr">
        <is>
          <t>7CL</t>
        </is>
      </c>
      <c r="B14" t="inlineStr">
        <is>
          <t>(8R-08) TP167-103- 096*T4</t>
        </is>
      </c>
      <c r="C14" t="inlineStr">
        <is>
          <t>New Japan</t>
        </is>
      </c>
      <c r="D14" t="inlineStr">
        <is>
          <t>Chemical</t>
        </is>
      </c>
      <c r="E14" t="inlineStr">
        <is>
          <t>kg</t>
        </is>
      </c>
      <c r="F14" t="n">
        <v>0</v>
      </c>
      <c r="G14" t="n">
        <v>4</v>
      </c>
    </row>
    <row r="15">
      <c r="A15" t="inlineStr">
        <is>
          <t>9RN</t>
        </is>
      </c>
      <c r="B15" t="inlineStr">
        <is>
          <t>N30S89R11WF7  4FK13117080</t>
        </is>
      </c>
      <c r="C15" t="inlineStr">
        <is>
          <t>China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4</v>
      </c>
    </row>
    <row r="16">
      <c r="A16" t="inlineStr">
        <is>
          <t>7EP</t>
        </is>
      </c>
      <c r="B16" t="inlineStr">
        <is>
          <t>N30S7R07WF7 4FK13093100</t>
        </is>
      </c>
      <c r="C16" t="inlineStr">
        <is>
          <t>China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4</v>
      </c>
    </row>
    <row r="17">
      <c r="A17" t="inlineStr">
        <is>
          <t>F2290</t>
        </is>
      </c>
      <c r="B17" t="inlineStr">
        <is>
          <t>N30S/8-11R-11-WF7</t>
        </is>
      </c>
      <c r="C17" t="inlineStr">
        <is>
          <t>China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4</v>
      </c>
    </row>
    <row r="18">
      <c r="A18" t="inlineStr">
        <is>
          <t>CHEM-1400</t>
        </is>
      </c>
      <c r="B18" t="inlineStr">
        <is>
          <t>DISPAL 23N4-80</t>
        </is>
      </c>
      <c r="C18" t="inlineStr">
        <is>
          <t>Japan</t>
        </is>
      </c>
      <c r="D18" t="inlineStr">
        <is>
          <t>Chemical</t>
        </is>
      </c>
      <c r="E18" t="inlineStr">
        <is>
          <t>kg</t>
        </is>
      </c>
      <c r="F18" t="n">
        <v>0</v>
      </c>
      <c r="G18" t="n">
        <v>4</v>
      </c>
    </row>
    <row r="19">
      <c r="A19" t="inlineStr">
        <is>
          <t>CHEM-1570</t>
        </is>
      </c>
      <c r="B19" t="inlineStr">
        <is>
          <t>NOPAGOAL A</t>
        </is>
      </c>
      <c r="C19" t="inlineStr">
        <is>
          <t>Japan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4</v>
      </c>
    </row>
    <row r="20">
      <c r="A20" t="inlineStr">
        <is>
          <t>CHEM-1650</t>
        </is>
      </c>
      <c r="B20" t="inlineStr">
        <is>
          <t>DUASYN ACID BLUE AE-SF 30 LIQUID-SN</t>
        </is>
      </c>
      <c r="C20" t="inlineStr">
        <is>
          <t>Japan</t>
        </is>
      </c>
      <c r="D20" t="inlineStr">
        <is>
          <t>Chemical</t>
        </is>
      </c>
      <c r="E20" t="inlineStr">
        <is>
          <t>kg</t>
        </is>
      </c>
      <c r="F20" t="n">
        <v>0</v>
      </c>
      <c r="G20" t="n">
        <v>4</v>
      </c>
    </row>
    <row r="21">
      <c r="A21" t="inlineStr">
        <is>
          <t>CHEM-1660</t>
        </is>
      </c>
      <c r="B21" t="inlineStr">
        <is>
          <t>GW-3394</t>
        </is>
      </c>
      <c r="C21" t="inlineStr">
        <is>
          <t>Japan</t>
        </is>
      </c>
      <c r="D21" t="inlineStr">
        <is>
          <t>Hazardous Chemical</t>
        </is>
      </c>
      <c r="E21" t="inlineStr">
        <is>
          <t>kg</t>
        </is>
      </c>
      <c r="F21" t="n">
        <v>0</v>
      </c>
      <c r="G21" t="n">
        <v>4</v>
      </c>
    </row>
    <row r="22">
      <c r="A22" t="inlineStr">
        <is>
          <t>CHEM-1600</t>
        </is>
      </c>
      <c r="B22" t="inlineStr">
        <is>
          <t>BF-1P</t>
        </is>
      </c>
      <c r="C22" t="inlineStr">
        <is>
          <t>Japan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4</v>
      </c>
    </row>
    <row r="23">
      <c r="A23" t="inlineStr">
        <is>
          <t>CHEM-1280</t>
        </is>
      </c>
      <c r="B23" t="inlineStr">
        <is>
          <t>DODECYL TRIMETHYL AMMONIUM CHLORIDE</t>
        </is>
      </c>
      <c r="C23" t="inlineStr">
        <is>
          <t>Japan</t>
        </is>
      </c>
      <c r="D23" t="inlineStr">
        <is>
          <t>Hazardous Chemical</t>
        </is>
      </c>
      <c r="E23" t="inlineStr">
        <is>
          <t>kg</t>
        </is>
      </c>
      <c r="F23" t="n">
        <v>0</v>
      </c>
      <c r="G23" t="n">
        <v>4</v>
      </c>
    </row>
    <row r="24">
      <c r="A24" t="inlineStr">
        <is>
          <t>CHEM-1240</t>
        </is>
      </c>
      <c r="B24" t="inlineStr">
        <is>
          <t>Alumina SOL(AS200)</t>
        </is>
      </c>
      <c r="C24" t="inlineStr">
        <is>
          <t>Japan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4</v>
      </c>
    </row>
    <row r="25">
      <c r="A25" t="inlineStr">
        <is>
          <t>0JN</t>
        </is>
      </c>
      <c r="B25" t="inlineStr">
        <is>
          <t>N30S/10 : 11R-11 (F2090) Poland</t>
        </is>
      </c>
      <c r="C25" t="inlineStr">
        <is>
          <t>Poland</t>
        </is>
      </c>
      <c r="D25" t="inlineStr">
        <is>
          <t>Substrate</t>
        </is>
      </c>
      <c r="E25" t="inlineStr">
        <is>
          <t>kg</t>
        </is>
      </c>
      <c r="F25" t="n">
        <v>0</v>
      </c>
      <c r="G25" t="n">
        <v>4</v>
      </c>
    </row>
    <row r="26">
      <c r="A26" t="inlineStr">
        <is>
          <t>CHEM-1760</t>
        </is>
      </c>
      <c r="B26" t="inlineStr">
        <is>
          <t>Pigment(TC RED FD(A))</t>
        </is>
      </c>
      <c r="C26" t="inlineStr">
        <is>
          <t>Japan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4</v>
      </c>
    </row>
    <row r="27">
      <c r="A27" t="inlineStr">
        <is>
          <t>Original Towel</t>
        </is>
      </c>
      <c r="B27" t="inlineStr">
        <is>
          <t>Towel Paper</t>
        </is>
      </c>
      <c r="C27" t="inlineStr">
        <is>
          <t>Japan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4</v>
      </c>
    </row>
    <row r="28">
      <c r="A28" t="inlineStr">
        <is>
          <t>0LJ</t>
        </is>
      </c>
      <c r="B28" t="inlineStr">
        <is>
          <t xml:space="preserve">9R-08) N126-103-105 </t>
        </is>
      </c>
      <c r="C28" t="inlineStr">
        <is>
          <t>Japan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4</v>
      </c>
    </row>
    <row r="29">
      <c r="A29" t="inlineStr">
        <is>
          <t>PP FILM</t>
        </is>
      </c>
      <c r="B29" t="inlineStr">
        <is>
          <t>PP FILM</t>
        </is>
      </c>
      <c r="C29" t="inlineStr">
        <is>
          <t>Japan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4</v>
      </c>
    </row>
    <row r="30">
      <c r="A30" t="inlineStr">
        <is>
          <t>CHEM-1200</t>
        </is>
      </c>
      <c r="B30" t="inlineStr">
        <is>
          <t>Oxalic Acid</t>
        </is>
      </c>
      <c r="C30" t="inlineStr">
        <is>
          <t>Japan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4</v>
      </c>
    </row>
    <row r="31">
      <c r="A31" t="inlineStr">
        <is>
          <t>ABN</t>
        </is>
      </c>
      <c r="B31" t="inlineStr">
        <is>
          <t>N20S/9-11R-11-WF10</t>
        </is>
      </c>
      <c r="C31" t="inlineStr">
        <is>
          <t>China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4</v>
      </c>
    </row>
    <row r="32">
      <c r="A32" t="inlineStr">
        <is>
          <t>YAN</t>
        </is>
      </c>
      <c r="B32" t="inlineStr">
        <is>
          <t>N20S/9-13R-11-WF10</t>
        </is>
      </c>
      <c r="C32" t="inlineStr">
        <is>
          <t>China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4</v>
      </c>
    </row>
    <row r="33">
      <c r="A33" t="inlineStr">
        <is>
          <t>KEJ</t>
        </is>
      </c>
      <c r="B33" t="inlineStr">
        <is>
          <t>TP119-103-084</t>
        </is>
      </c>
      <c r="C33" t="inlineStr">
        <is>
          <t>Belgium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4</v>
      </c>
    </row>
    <row r="34">
      <c r="A34" t="inlineStr">
        <is>
          <t>JEJ</t>
        </is>
      </c>
      <c r="B34" t="inlineStr">
        <is>
          <t>TP119-103-105*T7</t>
        </is>
      </c>
      <c r="C34" t="inlineStr">
        <is>
          <t>Belgium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4</v>
      </c>
    </row>
    <row r="35">
      <c r="A35" t="inlineStr">
        <is>
          <t>CHEM-1830</t>
        </is>
      </c>
      <c r="B35" t="inlineStr">
        <is>
          <t>RCT-43</t>
        </is>
      </c>
      <c r="C35" t="inlineStr">
        <is>
          <t>Japan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4</v>
      </c>
    </row>
    <row r="36">
      <c r="A36" t="inlineStr">
        <is>
          <t>CHEM-1100</t>
        </is>
      </c>
      <c r="B36" t="inlineStr">
        <is>
          <t>SODIUM HYDROXIDE</t>
        </is>
      </c>
      <c r="C36" t="inlineStr">
        <is>
          <t>Japan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4</v>
      </c>
    </row>
    <row r="37">
      <c r="A37" t="inlineStr">
        <is>
          <t>CHEM-1680</t>
        </is>
      </c>
      <c r="B37" t="inlineStr">
        <is>
          <t>NAT38</t>
        </is>
      </c>
      <c r="C37" t="inlineStr">
        <is>
          <t>Japan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4</v>
      </c>
    </row>
    <row r="38">
      <c r="A38" t="inlineStr">
        <is>
          <t>CHEM-1820</t>
        </is>
      </c>
      <c r="B38" t="inlineStr">
        <is>
          <t>JCK-472</t>
        </is>
      </c>
      <c r="C38" t="inlineStr">
        <is>
          <t>Japan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4</v>
      </c>
    </row>
    <row r="39">
      <c r="A39" t="inlineStr">
        <is>
          <t>CHEM-1840</t>
        </is>
      </c>
      <c r="B39" t="inlineStr">
        <is>
          <t>KAOCERA2020</t>
        </is>
      </c>
      <c r="C39" t="inlineStr">
        <is>
          <t>Japan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4</v>
      </c>
    </row>
    <row r="40">
      <c r="A40" t="inlineStr">
        <is>
          <t>TPP-1469</t>
        </is>
      </c>
      <c r="B40" t="inlineStr">
        <is>
          <t>TPP-1469</t>
        </is>
      </c>
      <c r="C40" t="inlineStr">
        <is>
          <t>Japan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4</v>
      </c>
    </row>
    <row r="41">
      <c r="A41" t="inlineStr">
        <is>
          <t>TDJ</t>
        </is>
      </c>
      <c r="B41" t="inlineStr">
        <is>
          <t>(11R-08) TP156- 103-130*TG</t>
        </is>
      </c>
      <c r="C41" t="inlineStr">
        <is>
          <t>New Japan</t>
        </is>
      </c>
      <c r="D41" t="inlineStr">
        <is>
          <t>Substrate</t>
        </is>
      </c>
      <c r="E41" t="inlineStr">
        <is>
          <t>kg</t>
        </is>
      </c>
      <c r="F41" t="n">
        <v>0</v>
      </c>
      <c r="G41" t="n">
        <v>4</v>
      </c>
    </row>
    <row r="42">
      <c r="A42" t="inlineStr">
        <is>
          <t>CHEM-1730</t>
        </is>
      </c>
      <c r="B42" t="inlineStr">
        <is>
          <t>NAT-41</t>
        </is>
      </c>
      <c r="C42" t="inlineStr">
        <is>
          <t>Japan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4</v>
      </c>
    </row>
    <row r="43">
      <c r="A43" t="inlineStr">
        <is>
          <t>CHEM-1110</t>
        </is>
      </c>
      <c r="B43" t="inlineStr">
        <is>
          <t>Alumina Powder Mi-386</t>
        </is>
      </c>
      <c r="C43" t="inlineStr"/>
      <c r="D43" t="inlineStr">
        <is>
          <t>Chemical</t>
        </is>
      </c>
      <c r="E43" t="inlineStr">
        <is>
          <t>kg</t>
        </is>
      </c>
      <c r="F43" t="n">
        <v>0</v>
      </c>
      <c r="G43" t="n">
        <v>4</v>
      </c>
    </row>
    <row r="44">
      <c r="A44" t="inlineStr">
        <is>
          <t>CHEM-1120</t>
        </is>
      </c>
      <c r="B44" t="inlineStr">
        <is>
          <t>Catapal D</t>
        </is>
      </c>
      <c r="C44" t="inlineStr"/>
      <c r="D44" t="inlineStr">
        <is>
          <t>Chemical</t>
        </is>
      </c>
      <c r="E44" t="inlineStr">
        <is>
          <t>kg</t>
        </is>
      </c>
      <c r="F44" t="n">
        <v>0</v>
      </c>
      <c r="G44" t="n">
        <v>4</v>
      </c>
    </row>
    <row r="45">
      <c r="A45" t="inlineStr">
        <is>
          <t>CHEM-1010</t>
        </is>
      </c>
      <c r="B45" t="inlineStr">
        <is>
          <t>Sodium Carbonate Anhydrous</t>
        </is>
      </c>
      <c r="C45" t="inlineStr"/>
      <c r="D45" t="inlineStr">
        <is>
          <t>Chemical</t>
        </is>
      </c>
      <c r="E45" t="inlineStr">
        <is>
          <t>kg</t>
        </is>
      </c>
      <c r="F45" t="n">
        <v>0</v>
      </c>
      <c r="G45" t="n">
        <v>4</v>
      </c>
    </row>
    <row r="46">
      <c r="A46" t="inlineStr">
        <is>
          <t>CHEM-1410</t>
        </is>
      </c>
      <c r="B46" t="inlineStr">
        <is>
          <t>SCFa100L4</t>
        </is>
      </c>
      <c r="C46" t="inlineStr"/>
      <c r="D46" t="inlineStr">
        <is>
          <t>Chemical</t>
        </is>
      </c>
      <c r="E46" t="inlineStr">
        <is>
          <t>kg</t>
        </is>
      </c>
      <c r="F46" t="n">
        <v>0</v>
      </c>
      <c r="G46" t="n">
        <v>4</v>
      </c>
    </row>
    <row r="47">
      <c r="A47" t="inlineStr">
        <is>
          <t>CHEM-1430</t>
        </is>
      </c>
      <c r="B47" t="inlineStr">
        <is>
          <t>RCT22</t>
        </is>
      </c>
      <c r="C47" t="inlineStr"/>
      <c r="D47" t="inlineStr">
        <is>
          <t>Chemical</t>
        </is>
      </c>
      <c r="E47" t="inlineStr">
        <is>
          <t>kg</t>
        </is>
      </c>
      <c r="F47" t="n">
        <v>0</v>
      </c>
      <c r="G47" t="n">
        <v>4</v>
      </c>
    </row>
    <row r="48">
      <c r="A48" t="inlineStr">
        <is>
          <t>CHEM-1450</t>
        </is>
      </c>
      <c r="B48" t="inlineStr">
        <is>
          <t>Noptechs</t>
        </is>
      </c>
      <c r="C48" t="inlineStr"/>
      <c r="D48" t="inlineStr">
        <is>
          <t>Chemical</t>
        </is>
      </c>
      <c r="E48" t="inlineStr">
        <is>
          <t>kg</t>
        </is>
      </c>
      <c r="F48" t="n">
        <v>0</v>
      </c>
      <c r="G48" t="n">
        <v>4</v>
      </c>
    </row>
    <row r="49">
      <c r="A49" t="inlineStr">
        <is>
          <t>CHEM-1470</t>
        </is>
      </c>
      <c r="B49" t="inlineStr">
        <is>
          <t>SCFa-100</t>
        </is>
      </c>
      <c r="C49" t="inlineStr"/>
      <c r="D49" t="inlineStr">
        <is>
          <t>Chemical</t>
        </is>
      </c>
      <c r="E49" t="inlineStr">
        <is>
          <t>kg</t>
        </is>
      </c>
      <c r="F49" t="n">
        <v>0</v>
      </c>
      <c r="G49" t="n">
        <v>4</v>
      </c>
    </row>
    <row r="50">
      <c r="A50" t="inlineStr">
        <is>
          <t>CHEM-1480</t>
        </is>
      </c>
      <c r="B50" t="inlineStr">
        <is>
          <t>NAT-30</t>
        </is>
      </c>
      <c r="C50" t="inlineStr"/>
      <c r="D50" t="inlineStr">
        <is>
          <t>Chemical</t>
        </is>
      </c>
      <c r="E50" t="inlineStr">
        <is>
          <t>kg</t>
        </is>
      </c>
      <c r="F50" t="n">
        <v>0</v>
      </c>
      <c r="G50" t="n">
        <v>4</v>
      </c>
    </row>
    <row r="51">
      <c r="A51" t="inlineStr">
        <is>
          <t>CHEM-1560</t>
        </is>
      </c>
      <c r="B51" t="inlineStr">
        <is>
          <t>TPZ-511</t>
        </is>
      </c>
      <c r="C51" t="inlineStr"/>
      <c r="D51" t="inlineStr">
        <is>
          <t>Chemical</t>
        </is>
      </c>
      <c r="E51" t="inlineStr">
        <is>
          <t>kg</t>
        </is>
      </c>
      <c r="F51" t="n">
        <v>0</v>
      </c>
      <c r="G51" t="n">
        <v>4</v>
      </c>
    </row>
    <row r="52">
      <c r="A52" t="inlineStr">
        <is>
          <t>CHEM-1520</t>
        </is>
      </c>
      <c r="B52" t="inlineStr">
        <is>
          <t>Puralox TH100-100L1</t>
        </is>
      </c>
      <c r="C52" t="inlineStr"/>
      <c r="D52" t="inlineStr">
        <is>
          <t>Chemical</t>
        </is>
      </c>
      <c r="E52" t="inlineStr">
        <is>
          <t>kg</t>
        </is>
      </c>
      <c r="F52" t="n">
        <v>0</v>
      </c>
      <c r="G52" t="n">
        <v>4</v>
      </c>
    </row>
    <row r="53">
      <c r="A53" t="inlineStr">
        <is>
          <t>CHEM-1580</t>
        </is>
      </c>
      <c r="B53" t="inlineStr">
        <is>
          <t>Barium Acetate</t>
        </is>
      </c>
      <c r="C53" t="inlineStr"/>
      <c r="D53" t="inlineStr">
        <is>
          <t>Chemical</t>
        </is>
      </c>
      <c r="E53" t="inlineStr">
        <is>
          <t>kg</t>
        </is>
      </c>
      <c r="F53" t="n">
        <v>0</v>
      </c>
      <c r="G53" t="n">
        <v>4</v>
      </c>
    </row>
    <row r="54">
      <c r="A54" t="inlineStr">
        <is>
          <t>CHEM-1550</t>
        </is>
      </c>
      <c r="B54" t="inlineStr">
        <is>
          <t>Chupol CC-6</t>
        </is>
      </c>
      <c r="C54" t="inlineStr"/>
      <c r="D54" t="inlineStr">
        <is>
          <t>Chemical</t>
        </is>
      </c>
      <c r="E54" t="inlineStr">
        <is>
          <t>kg</t>
        </is>
      </c>
      <c r="F54" t="n">
        <v>0</v>
      </c>
      <c r="G54" t="n">
        <v>4</v>
      </c>
    </row>
    <row r="55">
      <c r="A55" t="inlineStr">
        <is>
          <t>CHEM-1510</t>
        </is>
      </c>
      <c r="B55" t="inlineStr">
        <is>
          <t>BA-070</t>
        </is>
      </c>
      <c r="C55" t="inlineStr"/>
      <c r="D55" t="inlineStr">
        <is>
          <t>Chemical</t>
        </is>
      </c>
      <c r="E55" t="inlineStr">
        <is>
          <t>kg</t>
        </is>
      </c>
      <c r="F55" t="n">
        <v>0</v>
      </c>
      <c r="G55" t="n">
        <v>4</v>
      </c>
    </row>
    <row r="56">
      <c r="A56" t="inlineStr">
        <is>
          <t>CHEM-1080</t>
        </is>
      </c>
      <c r="B56" t="inlineStr">
        <is>
          <t>Hydrazine Hydrate</t>
        </is>
      </c>
      <c r="C56" t="inlineStr"/>
      <c r="D56" t="inlineStr">
        <is>
          <t>Chemical</t>
        </is>
      </c>
      <c r="E56" t="inlineStr">
        <is>
          <t>kg</t>
        </is>
      </c>
      <c r="F56" t="n">
        <v>0</v>
      </c>
      <c r="G56" t="n">
        <v>4</v>
      </c>
    </row>
    <row r="57">
      <c r="A57" t="inlineStr">
        <is>
          <t>CHEM-1770</t>
        </is>
      </c>
      <c r="B57" t="inlineStr">
        <is>
          <t>RCT-39</t>
        </is>
      </c>
      <c r="C57" t="inlineStr"/>
      <c r="D57" t="inlineStr">
        <is>
          <t>Chemical</t>
        </is>
      </c>
      <c r="E57" t="inlineStr">
        <is>
          <t>kg</t>
        </is>
      </c>
      <c r="F57" t="n">
        <v>0</v>
      </c>
      <c r="G57" t="n">
        <v>4</v>
      </c>
    </row>
    <row r="58">
      <c r="A58" t="inlineStr">
        <is>
          <t>CHEM-1850</t>
        </is>
      </c>
      <c r="B58" t="inlineStr">
        <is>
          <t>TPP-1469</t>
        </is>
      </c>
      <c r="C58" t="inlineStr"/>
      <c r="D58" t="inlineStr">
        <is>
          <t>Chemical</t>
        </is>
      </c>
      <c r="E58" t="inlineStr">
        <is>
          <t>kg</t>
        </is>
      </c>
      <c r="F58" t="n">
        <v>0</v>
      </c>
      <c r="G58" t="n">
        <v>4</v>
      </c>
    </row>
    <row r="59">
      <c r="A59" t="inlineStr">
        <is>
          <t>CHEM-1780</t>
        </is>
      </c>
      <c r="B59" t="inlineStr">
        <is>
          <t>Diamonium Citrate</t>
        </is>
      </c>
      <c r="C59" t="inlineStr"/>
      <c r="D59" t="inlineStr">
        <is>
          <t>Chemical</t>
        </is>
      </c>
      <c r="E59" t="inlineStr">
        <is>
          <t>kg</t>
        </is>
      </c>
      <c r="F59" t="n">
        <v>0</v>
      </c>
      <c r="G59" t="n">
        <v>4</v>
      </c>
    </row>
    <row r="60">
      <c r="A60" t="inlineStr">
        <is>
          <t>CHEM-1020</t>
        </is>
      </c>
      <c r="B60" t="inlineStr">
        <is>
          <t>Sodium Nitrite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4</v>
      </c>
    </row>
    <row r="61">
      <c r="A61" t="inlineStr">
        <is>
          <t>CSA Code</t>
        </is>
      </c>
      <c r="B61" t="inlineStr">
        <is>
          <t>PART NAME</t>
        </is>
      </c>
      <c r="C61" t="inlineStr">
        <is>
          <t>Supplier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4</v>
      </c>
    </row>
    <row r="62">
      <c r="A62" t="inlineStr">
        <is>
          <t>Ester Film</t>
        </is>
      </c>
      <c r="B62" t="inlineStr">
        <is>
          <t>Ester Film</t>
        </is>
      </c>
      <c r="C62" t="inlineStr">
        <is>
          <t>TTAF</t>
        </is>
      </c>
      <c r="D62" t="inlineStr">
        <is>
          <t>Substrate</t>
        </is>
      </c>
      <c r="E62" t="inlineStr">
        <is>
          <t>kg</t>
        </is>
      </c>
      <c r="F62" t="n">
        <v>0</v>
      </c>
      <c r="G62" t="n">
        <v>4</v>
      </c>
    </row>
    <row r="63">
      <c r="A63" t="inlineStr">
        <is>
          <t>PP Film</t>
        </is>
      </c>
      <c r="B63" t="inlineStr">
        <is>
          <t>PP Film</t>
        </is>
      </c>
      <c r="C63" t="inlineStr">
        <is>
          <t>TTAF</t>
        </is>
      </c>
      <c r="D63" t="inlineStr">
        <is>
          <t>Substrate</t>
        </is>
      </c>
      <c r="E63" t="inlineStr">
        <is>
          <t>kg</t>
        </is>
      </c>
      <c r="F63" t="n">
        <v>0</v>
      </c>
      <c r="G63" t="n">
        <v>4</v>
      </c>
    </row>
    <row r="64">
      <c r="A64" t="inlineStr">
        <is>
          <t>5SN</t>
        </is>
      </c>
      <c r="B64" t="inlineStr">
        <is>
          <t>5SN</t>
        </is>
      </c>
      <c r="C64" t="inlineStr">
        <is>
          <t>TTAF</t>
        </is>
      </c>
      <c r="D64" t="inlineStr">
        <is>
          <t>Substrate</t>
        </is>
      </c>
      <c r="E64" t="inlineStr">
        <is>
          <t>kg</t>
        </is>
      </c>
      <c r="F64" t="n">
        <v>0</v>
      </c>
      <c r="G64" t="n">
        <v>4</v>
      </c>
    </row>
    <row r="65">
      <c r="A65" t="inlineStr">
        <is>
          <t>1JN</t>
        </is>
      </c>
      <c r="B65" t="inlineStr">
        <is>
          <t>1JN</t>
        </is>
      </c>
      <c r="C65" t="inlineStr">
        <is>
          <t>TTAF</t>
        </is>
      </c>
      <c r="D65" t="inlineStr">
        <is>
          <t>Chemical</t>
        </is>
      </c>
      <c r="E65" t="inlineStr">
        <is>
          <t>kg</t>
        </is>
      </c>
      <c r="F65" t="n">
        <v>0</v>
      </c>
      <c r="G65" t="n">
        <v>4</v>
      </c>
    </row>
    <row r="66">
      <c r="A66" t="inlineStr">
        <is>
          <t>V03</t>
        </is>
      </c>
      <c r="B66" t="inlineStr">
        <is>
          <t>V03</t>
        </is>
      </c>
      <c r="C66" t="inlineStr">
        <is>
          <t>TTAF</t>
        </is>
      </c>
      <c r="D66" t="inlineStr">
        <is>
          <t>Chemical</t>
        </is>
      </c>
      <c r="E66" t="inlineStr">
        <is>
          <t>kg</t>
        </is>
      </c>
      <c r="F66" t="n">
        <v>0</v>
      </c>
      <c r="G66" t="n">
        <v>4</v>
      </c>
    </row>
    <row r="67">
      <c r="A67" t="inlineStr">
        <is>
          <t>V19</t>
        </is>
      </c>
      <c r="B67" t="inlineStr">
        <is>
          <t>V19</t>
        </is>
      </c>
      <c r="C67" t="inlineStr">
        <is>
          <t>TTAF</t>
        </is>
      </c>
      <c r="D67" t="inlineStr">
        <is>
          <t>Chemical</t>
        </is>
      </c>
      <c r="E67" t="inlineStr">
        <is>
          <t>kg</t>
        </is>
      </c>
      <c r="F67" t="n">
        <v>0</v>
      </c>
      <c r="G67" t="n">
        <v>4</v>
      </c>
    </row>
    <row r="68">
      <c r="A68" t="inlineStr">
        <is>
          <t>3TP</t>
        </is>
      </c>
      <c r="B68" t="inlineStr">
        <is>
          <t>3TP</t>
        </is>
      </c>
      <c r="C68" t="inlineStr">
        <is>
          <t>TTAF</t>
        </is>
      </c>
      <c r="D68" t="inlineStr">
        <is>
          <t>Substrate</t>
        </is>
      </c>
      <c r="E68" t="inlineStr">
        <is>
          <t>kg</t>
        </is>
      </c>
      <c r="F68" t="n">
        <v>0</v>
      </c>
      <c r="G68" t="n">
        <v>4</v>
      </c>
    </row>
    <row r="69">
      <c r="A69" t="inlineStr">
        <is>
          <t>CHEM-1740</t>
        </is>
      </c>
      <c r="B69" t="inlineStr">
        <is>
          <t>Alumax GX-L1</t>
        </is>
      </c>
      <c r="C69" t="inlineStr">
        <is>
          <t>PIDC</t>
        </is>
      </c>
      <c r="D69" t="inlineStr">
        <is>
          <t>Chemical</t>
        </is>
      </c>
      <c r="E69" t="inlineStr">
        <is>
          <t>kg</t>
        </is>
      </c>
      <c r="F69" t="n">
        <v>0</v>
      </c>
      <c r="G69" t="n">
        <v>4</v>
      </c>
    </row>
    <row r="70">
      <c r="A70" t="inlineStr">
        <is>
          <t>CHEM-1750</t>
        </is>
      </c>
      <c r="B70" t="inlineStr">
        <is>
          <t>Alumax WDB-5</t>
        </is>
      </c>
      <c r="C70" t="inlineStr">
        <is>
          <t>PIDC</t>
        </is>
      </c>
      <c r="D70" t="inlineStr">
        <is>
          <t>Chemical</t>
        </is>
      </c>
      <c r="E70" t="inlineStr">
        <is>
          <t>kg</t>
        </is>
      </c>
      <c r="F70" t="n">
        <v>0</v>
      </c>
      <c r="G70" t="n">
        <v>4</v>
      </c>
    </row>
    <row r="71">
      <c r="A71" t="inlineStr">
        <is>
          <t>848530</t>
        </is>
      </c>
      <c r="B71" t="inlineStr">
        <is>
          <t>848530</t>
        </is>
      </c>
      <c r="C71" t="inlineStr">
        <is>
          <t>Corning</t>
        </is>
      </c>
      <c r="D71" t="inlineStr">
        <is>
          <t>Chemical</t>
        </is>
      </c>
      <c r="E71" t="inlineStr">
        <is>
          <t>kg</t>
        </is>
      </c>
      <c r="F71" t="n">
        <v>0</v>
      </c>
      <c r="G71" t="n">
        <v>4</v>
      </c>
    </row>
    <row r="72">
      <c r="A72" t="inlineStr">
        <is>
          <t>848531</t>
        </is>
      </c>
      <c r="B72" t="inlineStr">
        <is>
          <t>848531</t>
        </is>
      </c>
      <c r="C72" t="inlineStr">
        <is>
          <t>Corning</t>
        </is>
      </c>
      <c r="D72" t="inlineStr">
        <is>
          <t>Chemical</t>
        </is>
      </c>
      <c r="E72" t="inlineStr">
        <is>
          <t>kg</t>
        </is>
      </c>
      <c r="F72" t="n">
        <v>0</v>
      </c>
      <c r="G72" t="n">
        <v>4</v>
      </c>
    </row>
    <row r="73">
      <c r="A73" t="inlineStr">
        <is>
          <t>846227</t>
        </is>
      </c>
      <c r="B73" t="inlineStr">
        <is>
          <t>846227</t>
        </is>
      </c>
      <c r="C73" t="inlineStr">
        <is>
          <t>Corning</t>
        </is>
      </c>
      <c r="D73" t="inlineStr">
        <is>
          <t>Chemical</t>
        </is>
      </c>
      <c r="E73" t="inlineStr">
        <is>
          <t>kg</t>
        </is>
      </c>
      <c r="F73" t="n">
        <v>0</v>
      </c>
      <c r="G73" t="n">
        <v>4</v>
      </c>
    </row>
    <row r="74">
      <c r="A74" t="inlineStr">
        <is>
          <t>OLJ</t>
        </is>
      </c>
      <c r="B74" t="inlineStr">
        <is>
          <t>OLJ</t>
        </is>
      </c>
      <c r="C74" t="inlineStr">
        <is>
          <t>NGK Japan</t>
        </is>
      </c>
      <c r="D74" t="inlineStr">
        <is>
          <t>Chemical</t>
        </is>
      </c>
      <c r="E74" t="inlineStr">
        <is>
          <t>kg</t>
        </is>
      </c>
      <c r="F74" t="n">
        <v>0</v>
      </c>
      <c r="G74" t="n">
        <v>4</v>
      </c>
    </row>
    <row r="75">
      <c r="A75" t="inlineStr">
        <is>
          <t>CHEM-1500</t>
        </is>
      </c>
      <c r="B75" t="inlineStr">
        <is>
          <t>TMAH</t>
        </is>
      </c>
      <c r="C75" t="inlineStr">
        <is>
          <t>SACHEM</t>
        </is>
      </c>
      <c r="D75" t="inlineStr">
        <is>
          <t>Chemical</t>
        </is>
      </c>
      <c r="E75" t="inlineStr">
        <is>
          <t>kg</t>
        </is>
      </c>
      <c r="F75" t="n">
        <v>0</v>
      </c>
      <c r="G75" t="n">
        <v>4</v>
      </c>
    </row>
    <row r="76">
      <c r="A76" t="inlineStr">
        <is>
          <t>CHEM-1810</t>
        </is>
      </c>
      <c r="B76" t="inlineStr">
        <is>
          <t>TEAH</t>
        </is>
      </c>
      <c r="C76" t="inlineStr">
        <is>
          <t>SACHEM</t>
        </is>
      </c>
      <c r="D76" t="inlineStr">
        <is>
          <t>Chemical</t>
        </is>
      </c>
      <c r="E76" t="inlineStr">
        <is>
          <t>kg</t>
        </is>
      </c>
      <c r="F76" t="n">
        <v>0</v>
      </c>
      <c r="G76" t="n">
        <v>4</v>
      </c>
    </row>
    <row r="77">
      <c r="A77" t="inlineStr">
        <is>
          <t>Chem-1220</t>
        </is>
      </c>
      <c r="B77" t="inlineStr">
        <is>
          <t>Actalys Lisa</t>
        </is>
      </c>
      <c r="C77" t="inlineStr">
        <is>
          <t>Rhodia / Solvay</t>
        </is>
      </c>
      <c r="D77" t="inlineStr">
        <is>
          <t>Chemical</t>
        </is>
      </c>
      <c r="E77" t="inlineStr">
        <is>
          <t>kg</t>
        </is>
      </c>
      <c r="F77" t="n">
        <v>0</v>
      </c>
      <c r="G77" t="n">
        <v>4</v>
      </c>
    </row>
    <row r="78">
      <c r="A78" t="inlineStr">
        <is>
          <t>Chem-1610</t>
        </is>
      </c>
      <c r="B78" t="inlineStr">
        <is>
          <t>Optalys 138</t>
        </is>
      </c>
      <c r="C78" t="inlineStr">
        <is>
          <t>Rhodia / Solvay</t>
        </is>
      </c>
      <c r="D78" t="inlineStr">
        <is>
          <t>Chemical</t>
        </is>
      </c>
      <c r="E78" t="inlineStr">
        <is>
          <t>kg</t>
        </is>
      </c>
      <c r="F78" t="n">
        <v>0</v>
      </c>
      <c r="G78" t="n">
        <v>4</v>
      </c>
    </row>
    <row r="79">
      <c r="A79" t="inlineStr">
        <is>
          <t>Chem-1490</t>
        </is>
      </c>
      <c r="B79" t="inlineStr">
        <is>
          <t>Optalys 227</t>
        </is>
      </c>
      <c r="C79" t="inlineStr">
        <is>
          <t>Rhodia / Solvay</t>
        </is>
      </c>
      <c r="D79" t="inlineStr">
        <is>
          <t>Chemical</t>
        </is>
      </c>
      <c r="E79" t="inlineStr">
        <is>
          <t>kg</t>
        </is>
      </c>
      <c r="F79" t="n">
        <v>0</v>
      </c>
      <c r="G79" t="n">
        <v>4</v>
      </c>
    </row>
    <row r="80">
      <c r="A80" t="inlineStr">
        <is>
          <t>Chem-1790</t>
        </is>
      </c>
      <c r="B80" t="inlineStr">
        <is>
          <t>Optalys 466</t>
        </is>
      </c>
      <c r="C80" t="inlineStr">
        <is>
          <t>Rhodia / Solvay</t>
        </is>
      </c>
      <c r="D80" t="inlineStr">
        <is>
          <t>Chemical</t>
        </is>
      </c>
      <c r="E80" t="inlineStr">
        <is>
          <t>kg</t>
        </is>
      </c>
      <c r="F80" t="n">
        <v>0</v>
      </c>
      <c r="G80" t="n">
        <v>4</v>
      </c>
    </row>
    <row r="81">
      <c r="A81" t="inlineStr">
        <is>
          <t>Chem-1800</t>
        </is>
      </c>
      <c r="B81" t="inlineStr">
        <is>
          <t>Stabylis 392</t>
        </is>
      </c>
      <c r="C81" t="inlineStr">
        <is>
          <t>Rhodia / Solvay</t>
        </is>
      </c>
      <c r="D81" t="inlineStr">
        <is>
          <t>Chemical</t>
        </is>
      </c>
      <c r="E81" t="inlineStr">
        <is>
          <t>kg</t>
        </is>
      </c>
      <c r="F81" t="n">
        <v>0</v>
      </c>
      <c r="G81" t="n">
        <v>4</v>
      </c>
    </row>
    <row r="82">
      <c r="A82" t="inlineStr">
        <is>
          <t>A043</t>
        </is>
      </c>
      <c r="B82" t="inlineStr">
        <is>
          <t>TDJ</t>
        </is>
      </c>
      <c r="C82" t="inlineStr">
        <is>
          <t>TTAF</t>
        </is>
      </c>
      <c r="D82" t="inlineStr">
        <is>
          <t>Chemical</t>
        </is>
      </c>
      <c r="E82" t="inlineStr">
        <is>
          <t>kg</t>
        </is>
      </c>
      <c r="F82" t="n">
        <v>0</v>
      </c>
      <c r="G82" t="n">
        <v>4</v>
      </c>
    </row>
    <row r="83">
      <c r="A83" t="inlineStr">
        <is>
          <t>CHEM-1220</t>
        </is>
      </c>
      <c r="B83" t="inlineStr">
        <is>
          <t>Actalys Lisa</t>
        </is>
      </c>
      <c r="C83" t="inlineStr"/>
      <c r="D83" t="inlineStr">
        <is>
          <t>Chemical</t>
        </is>
      </c>
      <c r="E83" t="inlineStr">
        <is>
          <t>kg</t>
        </is>
      </c>
      <c r="F83" t="n">
        <v>0</v>
      </c>
      <c r="G83" t="n">
        <v>4</v>
      </c>
    </row>
    <row r="84">
      <c r="A84" t="inlineStr">
        <is>
          <t>CHEM-1260</t>
        </is>
      </c>
      <c r="B84" t="inlineStr">
        <is>
          <t>Acetic Acid 90% (25L)</t>
        </is>
      </c>
      <c r="C84" t="inlineStr"/>
      <c r="D84" t="inlineStr">
        <is>
          <t>Chemical</t>
        </is>
      </c>
      <c r="E84" t="inlineStr">
        <is>
          <t>kg</t>
        </is>
      </c>
      <c r="F84" t="n">
        <v>0</v>
      </c>
      <c r="G84" t="n">
        <v>4</v>
      </c>
    </row>
    <row r="85">
      <c r="A85" t="inlineStr">
        <is>
          <t>CHEM-1790</t>
        </is>
      </c>
      <c r="B85" t="inlineStr">
        <is>
          <t>Optalys 466</t>
        </is>
      </c>
      <c r="C85" t="inlineStr"/>
      <c r="D85" t="inlineStr">
        <is>
          <t>Chemical</t>
        </is>
      </c>
      <c r="E85" t="inlineStr">
        <is>
          <t>kg</t>
        </is>
      </c>
      <c r="F85" t="n">
        <v>0</v>
      </c>
      <c r="G85" t="n">
        <v>4</v>
      </c>
    </row>
    <row r="86">
      <c r="A86" t="inlineStr">
        <is>
          <t>TSZ-616</t>
        </is>
      </c>
      <c r="B86" t="inlineStr">
        <is>
          <t>TSZ-616 Slurry - NO PGM</t>
        </is>
      </c>
      <c r="C86" t="inlineStr"/>
      <c r="D86" t="inlineStr">
        <is>
          <t>Chemical</t>
        </is>
      </c>
      <c r="E86" t="inlineStr">
        <is>
          <t>kg</t>
        </is>
      </c>
      <c r="F86" t="n">
        <v>0</v>
      </c>
      <c r="G86" t="n">
        <v>4</v>
      </c>
    </row>
    <row r="87">
      <c r="A87" t="inlineStr">
        <is>
          <t>CHEM-1180</t>
        </is>
      </c>
      <c r="B87" t="inlineStr">
        <is>
          <t>Palladium DiNitrate (PDN) - TSAM</t>
        </is>
      </c>
      <c r="C87" t="inlineStr"/>
      <c r="D87" t="inlineStr">
        <is>
          <t>Chemical</t>
        </is>
      </c>
      <c r="E87" t="inlineStr">
        <is>
          <t>kg</t>
        </is>
      </c>
      <c r="F87" t="n">
        <v>0</v>
      </c>
      <c r="G87" t="n">
        <v>4</v>
      </c>
    </row>
    <row r="88">
      <c r="A88" t="inlineStr">
        <is>
          <t>TSZ-938</t>
        </is>
      </c>
      <c r="B88" t="inlineStr">
        <is>
          <t>TSZ-938 Slurry - NO PGM</t>
        </is>
      </c>
      <c r="C88" t="inlineStr"/>
      <c r="D88" t="inlineStr">
        <is>
          <t>Chemical</t>
        </is>
      </c>
      <c r="E88" t="inlineStr">
        <is>
          <t>kg</t>
        </is>
      </c>
      <c r="F88" t="n">
        <v>0</v>
      </c>
      <c r="G88" t="n">
        <v>4</v>
      </c>
    </row>
    <row r="89">
      <c r="A89" t="inlineStr">
        <is>
          <t>CHEM-1460</t>
        </is>
      </c>
      <c r="B89" t="inlineStr">
        <is>
          <t>Optalys 114</t>
        </is>
      </c>
      <c r="C89" t="inlineStr"/>
      <c r="D89" t="inlineStr">
        <is>
          <t>Chemical</t>
        </is>
      </c>
      <c r="E89" t="inlineStr">
        <is>
          <t>kg</t>
        </is>
      </c>
      <c r="F89" t="n">
        <v>0</v>
      </c>
      <c r="G89" t="n">
        <v>4</v>
      </c>
    </row>
    <row r="90">
      <c r="A90" t="inlineStr">
        <is>
          <t>CHEM-1490</t>
        </is>
      </c>
      <c r="B90" t="inlineStr">
        <is>
          <t>Optalys 227</t>
        </is>
      </c>
      <c r="C90" t="inlineStr"/>
      <c r="D90" t="inlineStr">
        <is>
          <t>Chemical</t>
        </is>
      </c>
      <c r="E90" t="inlineStr">
        <is>
          <t>kg</t>
        </is>
      </c>
      <c r="F90" t="n">
        <v>0</v>
      </c>
      <c r="G90" t="n">
        <v>4</v>
      </c>
    </row>
    <row r="91">
      <c r="A91" t="inlineStr">
        <is>
          <t>CHEM-1610</t>
        </is>
      </c>
      <c r="B91" t="inlineStr">
        <is>
          <t>Optalys 138</t>
        </is>
      </c>
      <c r="C91" t="inlineStr"/>
      <c r="D91" t="inlineStr">
        <is>
          <t>Chemical</t>
        </is>
      </c>
      <c r="E91" t="inlineStr">
        <is>
          <t>kg</t>
        </is>
      </c>
      <c r="F91" t="n">
        <v>0</v>
      </c>
      <c r="G91" t="n">
        <v>4</v>
      </c>
    </row>
    <row r="92">
      <c r="A92" t="inlineStr">
        <is>
          <t>CHEM-1640</t>
        </is>
      </c>
      <c r="B92" t="inlineStr">
        <is>
          <t>Palladium DiNitrate (PDN) - VW</t>
        </is>
      </c>
      <c r="C92" t="inlineStr"/>
      <c r="D92" t="inlineStr">
        <is>
          <t>Chemical</t>
        </is>
      </c>
      <c r="E92" t="inlineStr">
        <is>
          <t>kg</t>
        </is>
      </c>
      <c r="F92" t="n">
        <v>0</v>
      </c>
      <c r="G92" t="n">
        <v>4</v>
      </c>
    </row>
    <row r="93">
      <c r="A93" t="inlineStr">
        <is>
          <t>CHEM-1030</t>
        </is>
      </c>
      <c r="B93" t="inlineStr">
        <is>
          <t>Ammonium Hydroxide (25L)</t>
        </is>
      </c>
      <c r="C93" t="inlineStr"/>
      <c r="D93" t="inlineStr">
        <is>
          <t>Chemical</t>
        </is>
      </c>
      <c r="E93" t="inlineStr">
        <is>
          <t>kg</t>
        </is>
      </c>
      <c r="F93" t="n">
        <v>0</v>
      </c>
      <c r="G93" t="n">
        <v>4</v>
      </c>
    </row>
    <row r="94">
      <c r="A94" t="inlineStr">
        <is>
          <t>CHEM-1800</t>
        </is>
      </c>
      <c r="B94" t="inlineStr">
        <is>
          <t>Stabilys 392</t>
        </is>
      </c>
      <c r="C94" t="inlineStr"/>
      <c r="D94" t="inlineStr">
        <is>
          <t>Chemical</t>
        </is>
      </c>
      <c r="E94" t="inlineStr">
        <is>
          <t>kg</t>
        </is>
      </c>
      <c r="F94" t="n">
        <v>0</v>
      </c>
      <c r="G94" t="n">
        <v>4</v>
      </c>
    </row>
    <row r="95">
      <c r="A95" t="inlineStr">
        <is>
          <t>CHEM-1710</t>
        </is>
      </c>
      <c r="B95" t="inlineStr">
        <is>
          <t>Stabilys 308</t>
        </is>
      </c>
      <c r="C95" t="inlineStr"/>
      <c r="D95" t="inlineStr">
        <is>
          <t>Chemical</t>
        </is>
      </c>
      <c r="E95" t="inlineStr">
        <is>
          <t>kg</t>
        </is>
      </c>
      <c r="F95" t="n">
        <v>0</v>
      </c>
      <c r="G95" t="n">
        <v>4</v>
      </c>
    </row>
    <row r="96">
      <c r="A96" t="inlineStr">
        <is>
          <t>CHEM-1170</t>
        </is>
      </c>
      <c r="B96" t="inlineStr">
        <is>
          <t>Rhodium Trichloride (RTC) - TSAM</t>
        </is>
      </c>
      <c r="C96" t="inlineStr"/>
      <c r="D96" t="inlineStr">
        <is>
          <t>Chemical</t>
        </is>
      </c>
      <c r="E96" t="inlineStr">
        <is>
          <t>kg</t>
        </is>
      </c>
      <c r="F96" t="n">
        <v>0</v>
      </c>
      <c r="G96" t="n">
        <v>4</v>
      </c>
    </row>
    <row r="97">
      <c r="A97" t="inlineStr">
        <is>
          <t>CHEM-1620</t>
        </is>
      </c>
      <c r="B97" t="inlineStr">
        <is>
          <t>Ammonium Hydroxide (2.5L)</t>
        </is>
      </c>
      <c r="C97" t="inlineStr"/>
      <c r="D97" t="inlineStr">
        <is>
          <t>Chemical</t>
        </is>
      </c>
      <c r="E97" t="inlineStr">
        <is>
          <t>kg</t>
        </is>
      </c>
      <c r="F97" t="n">
        <v>0</v>
      </c>
      <c r="G97" t="n">
        <v>4</v>
      </c>
    </row>
    <row r="98">
      <c r="A98" t="inlineStr">
        <is>
          <t>CHEM-1050</t>
        </is>
      </c>
      <c r="B98" t="inlineStr">
        <is>
          <t>Nitric Acid</t>
        </is>
      </c>
      <c r="C98" t="inlineStr"/>
      <c r="D98" t="inlineStr">
        <is>
          <t>Chemical</t>
        </is>
      </c>
      <c r="E98" t="inlineStr">
        <is>
          <t>kg</t>
        </is>
      </c>
      <c r="F98" t="n">
        <v>0</v>
      </c>
      <c r="G98" t="n">
        <v>4</v>
      </c>
    </row>
    <row r="99">
      <c r="A99" t="inlineStr">
        <is>
          <t>CHEM-1190</t>
        </is>
      </c>
      <c r="B99" t="inlineStr">
        <is>
          <t>Hydrochloric Acid</t>
        </is>
      </c>
      <c r="C99" t="inlineStr"/>
      <c r="D99" t="inlineStr">
        <is>
          <t>Chemical</t>
        </is>
      </c>
      <c r="E99" t="inlineStr">
        <is>
          <t>kg</t>
        </is>
      </c>
      <c r="F99" t="n">
        <v>0</v>
      </c>
      <c r="G99" t="n">
        <v>4</v>
      </c>
    </row>
    <row r="100">
      <c r="A100" t="inlineStr">
        <is>
          <t>CHEM-1630</t>
        </is>
      </c>
      <c r="B100" t="inlineStr">
        <is>
          <t>Rhodium Trichloride (RTC) - VW</t>
        </is>
      </c>
      <c r="C100" t="inlineStr"/>
      <c r="D100" t="inlineStr">
        <is>
          <t>Chemical</t>
        </is>
      </c>
      <c r="E100" t="inlineStr">
        <is>
          <t>kg</t>
        </is>
      </c>
      <c r="F100" t="n">
        <v>0</v>
      </c>
      <c r="G100" t="n">
        <v>4</v>
      </c>
    </row>
    <row r="101">
      <c r="A101" t="inlineStr">
        <is>
          <t>CHEM-1090</t>
        </is>
      </c>
      <c r="B101" t="inlineStr">
        <is>
          <t>Chloro Platinic Acid (CPA) - TSAM</t>
        </is>
      </c>
      <c r="C101" t="inlineStr"/>
      <c r="D101" t="inlineStr">
        <is>
          <t>Chemical</t>
        </is>
      </c>
      <c r="E101" t="inlineStr">
        <is>
          <t>kg</t>
        </is>
      </c>
      <c r="F101" t="n">
        <v>0</v>
      </c>
      <c r="G101" t="n">
        <v>4</v>
      </c>
    </row>
    <row r="102">
      <c r="A102" t="inlineStr">
        <is>
          <t>CHEM-1310</t>
        </is>
      </c>
      <c r="B102" t="inlineStr">
        <is>
          <t>Monoethanol Amine</t>
        </is>
      </c>
      <c r="C102" t="inlineStr"/>
      <c r="D102" t="inlineStr">
        <is>
          <t>Chemical</t>
        </is>
      </c>
      <c r="E102" t="inlineStr">
        <is>
          <t>kg</t>
        </is>
      </c>
      <c r="F102" t="n">
        <v>0</v>
      </c>
      <c r="G102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27" t="inlineStr">
        <is>
          <t>Intermediate</t>
        </is>
      </c>
      <c r="B1" s="27" t="inlineStr">
        <is>
          <t>RM_Code</t>
        </is>
      </c>
      <c r="C1" s="27" t="inlineStr">
        <is>
          <t>RM_Qty_Per_Batch</t>
        </is>
      </c>
      <c r="D1" s="27" t="inlineStr">
        <is>
          <t>PPGridRow</t>
        </is>
      </c>
    </row>
    <row r="2">
      <c r="A2" t="inlineStr">
        <is>
          <t>TSP-049</t>
        </is>
      </c>
      <c r="B2" t="inlineStr">
        <is>
          <t>CHEM-1220</t>
        </is>
      </c>
      <c r="C2" t="n">
        <v>109.72</v>
      </c>
      <c r="D2">
        <f>IFERROR(MATCH($A2,PP_Grid[Intermediate],0),99999)</f>
        <v/>
      </c>
    </row>
    <row r="3">
      <c r="A3" t="inlineStr">
        <is>
          <t>TSP-049</t>
        </is>
      </c>
      <c r="B3" t="inlineStr">
        <is>
          <t>CHEM-1410</t>
        </is>
      </c>
      <c r="C3" t="n">
        <v>36.061</v>
      </c>
      <c r="D3">
        <f>IFERROR(MATCH($A3,PP_Grid[Intermediate],0),99999)</f>
        <v/>
      </c>
    </row>
    <row r="4">
      <c r="A4" t="inlineStr">
        <is>
          <t>TSP-049</t>
        </is>
      </c>
      <c r="B4" t="inlineStr">
        <is>
          <t>CHEM-1250</t>
        </is>
      </c>
      <c r="C4" t="n">
        <v>4.5569</v>
      </c>
      <c r="D4">
        <f>IFERROR(MATCH($A4,PP_Grid[Intermediate],0),99999)</f>
        <v/>
      </c>
    </row>
    <row r="5">
      <c r="A5" t="inlineStr">
        <is>
          <t>TSP-049</t>
        </is>
      </c>
      <c r="B5" t="inlineStr">
        <is>
          <t>CHEM-1120</t>
        </is>
      </c>
      <c r="C5" t="n">
        <v>6.181</v>
      </c>
      <c r="D5">
        <f>IFERROR(MATCH($A5,PP_Grid[Intermediate],0),99999)</f>
        <v/>
      </c>
    </row>
    <row r="6">
      <c r="A6" t="inlineStr">
        <is>
          <t>TSP-049</t>
        </is>
      </c>
      <c r="B6" t="inlineStr">
        <is>
          <t>CHEM-1260</t>
        </is>
      </c>
      <c r="C6" t="n">
        <v>1.438</v>
      </c>
      <c r="D6">
        <f>IFERROR(MATCH($A6,PP_Grid[Intermediate],0),99999)</f>
        <v/>
      </c>
    </row>
    <row r="7">
      <c r="A7" t="inlineStr">
        <is>
          <t>TSP-049</t>
        </is>
      </c>
      <c r="B7" t="inlineStr">
        <is>
          <t>CHEM-1420</t>
        </is>
      </c>
      <c r="C7" t="n">
        <v>0.307375</v>
      </c>
      <c r="D7">
        <f>IFERROR(MATCH($A7,PP_Grid[Intermediate],0),99999)</f>
        <v/>
      </c>
    </row>
    <row r="8">
      <c r="A8" t="inlineStr">
        <is>
          <t>TSP-049</t>
        </is>
      </c>
      <c r="B8" t="inlineStr">
        <is>
          <t>CHEM-1440</t>
        </is>
      </c>
      <c r="C8" t="n">
        <v>0.484115</v>
      </c>
      <c r="D8">
        <f>IFERROR(MATCH($A8,PP_Grid[Intermediate],0),99999)</f>
        <v/>
      </c>
    </row>
    <row r="9">
      <c r="A9" t="inlineStr">
        <is>
          <t>TSP-050</t>
        </is>
      </c>
      <c r="B9" t="inlineStr">
        <is>
          <t>CHEM-1410</t>
        </is>
      </c>
      <c r="C9" t="n">
        <v>28.157</v>
      </c>
      <c r="D9">
        <f>IFERROR(MATCH($A9,PP_Grid[Intermediate],0),99999)</f>
        <v/>
      </c>
    </row>
    <row r="10">
      <c r="A10" t="inlineStr">
        <is>
          <t>TSP-050</t>
        </is>
      </c>
      <c r="B10" t="inlineStr">
        <is>
          <t>CHEM-1400</t>
        </is>
      </c>
      <c r="C10" t="n">
        <v>7.39</v>
      </c>
      <c r="D10">
        <f>IFERROR(MATCH($A10,PP_Grid[Intermediate],0),99999)</f>
        <v/>
      </c>
    </row>
    <row r="11">
      <c r="A11" t="inlineStr">
        <is>
          <t>TSP-050</t>
        </is>
      </c>
      <c r="B11" t="inlineStr">
        <is>
          <t>CHEM-1430</t>
        </is>
      </c>
      <c r="C11" t="n">
        <v>68.2582</v>
      </c>
      <c r="D11">
        <f>IFERROR(MATCH($A11,PP_Grid[Intermediate],0),99999)</f>
        <v/>
      </c>
    </row>
    <row r="12">
      <c r="A12" t="inlineStr">
        <is>
          <t>TSP-050</t>
        </is>
      </c>
      <c r="B12" t="inlineStr">
        <is>
          <t>CHEM-1420</t>
        </is>
      </c>
      <c r="C12" t="n">
        <v>2.240105</v>
      </c>
      <c r="D12">
        <f>IFERROR(MATCH($A12,PP_Grid[Intermediate],0),99999)</f>
        <v/>
      </c>
    </row>
    <row r="13">
      <c r="A13" t="inlineStr">
        <is>
          <t>TSP-067</t>
        </is>
      </c>
      <c r="B13" t="inlineStr">
        <is>
          <t>CHEM-1220</t>
        </is>
      </c>
      <c r="C13" t="n">
        <v>30.54</v>
      </c>
      <c r="D13">
        <f>IFERROR(MATCH($A13,PP_Grid[Intermediate],0),99999)</f>
        <v/>
      </c>
    </row>
    <row r="14">
      <c r="A14" t="inlineStr">
        <is>
          <t>TSP-067</t>
        </is>
      </c>
      <c r="B14" t="inlineStr">
        <is>
          <t>CHEM-1410</t>
        </is>
      </c>
      <c r="C14" t="n">
        <v>63.76</v>
      </c>
      <c r="D14">
        <f>IFERROR(MATCH($A14,PP_Grid[Intermediate],0),99999)</f>
        <v/>
      </c>
    </row>
    <row r="15">
      <c r="A15" t="inlineStr">
        <is>
          <t>TSP-067</t>
        </is>
      </c>
      <c r="B15" t="inlineStr">
        <is>
          <t>CHEM-1250</t>
        </is>
      </c>
      <c r="C15" t="n">
        <v>10.211</v>
      </c>
      <c r="D15">
        <f>IFERROR(MATCH($A15,PP_Grid[Intermediate],0),99999)</f>
        <v/>
      </c>
    </row>
    <row r="16">
      <c r="A16" t="inlineStr">
        <is>
          <t>TSP-067</t>
        </is>
      </c>
      <c r="B16" t="inlineStr">
        <is>
          <t>CHEM-1120</t>
        </is>
      </c>
      <c r="C16" t="n">
        <v>4.17</v>
      </c>
      <c r="D16">
        <f>IFERROR(MATCH($A16,PP_Grid[Intermediate],0),99999)</f>
        <v/>
      </c>
    </row>
    <row r="17">
      <c r="A17" t="inlineStr">
        <is>
          <t>TSP-067</t>
        </is>
      </c>
      <c r="B17" t="inlineStr">
        <is>
          <t>CHEM-1260</t>
        </is>
      </c>
      <c r="C17" t="n">
        <v>3.02</v>
      </c>
      <c r="D17">
        <f>IFERROR(MATCH($A17,PP_Grid[Intermediate],0),99999)</f>
        <v/>
      </c>
    </row>
    <row r="18">
      <c r="A18" t="inlineStr">
        <is>
          <t>TSP-067</t>
        </is>
      </c>
      <c r="B18" t="inlineStr">
        <is>
          <t>CHEM-1420</t>
        </is>
      </c>
      <c r="C18" t="n">
        <v>0.5</v>
      </c>
      <c r="D18">
        <f>IFERROR(MATCH($A18,PP_Grid[Intermediate],0),99999)</f>
        <v/>
      </c>
    </row>
    <row r="19">
      <c r="A19" t="inlineStr">
        <is>
          <t>TSP-067</t>
        </is>
      </c>
      <c r="B19" t="inlineStr">
        <is>
          <t>CHEM-1440</t>
        </is>
      </c>
      <c r="C19" t="n">
        <v>0.5</v>
      </c>
      <c r="D19">
        <f>IFERROR(MATCH($A19,PP_Grid[Intermediate],0),99999)</f>
        <v/>
      </c>
    </row>
    <row r="20">
      <c r="A20" t="inlineStr">
        <is>
          <t>TSP-069</t>
        </is>
      </c>
      <c r="B20" t="inlineStr">
        <is>
          <t>CHEM-1220</t>
        </is>
      </c>
      <c r="C20" t="n">
        <v>31.78</v>
      </c>
      <c r="D20">
        <f>IFERROR(MATCH($A20,PP_Grid[Intermediate],0),99999)</f>
        <v/>
      </c>
    </row>
    <row r="21">
      <c r="A21" t="inlineStr">
        <is>
          <t>TSP-069</t>
        </is>
      </c>
      <c r="B21" t="inlineStr">
        <is>
          <t>CHEM-1410</t>
        </is>
      </c>
      <c r="C21" t="n">
        <v>59.54</v>
      </c>
      <c r="D21">
        <f>IFERROR(MATCH($A21,PP_Grid[Intermediate],0),99999)</f>
        <v/>
      </c>
    </row>
    <row r="22">
      <c r="A22" t="inlineStr">
        <is>
          <t>TSP-069</t>
        </is>
      </c>
      <c r="B22" t="inlineStr">
        <is>
          <t>CHEM-1250</t>
        </is>
      </c>
      <c r="C22" t="n">
        <v>10.5628</v>
      </c>
      <c r="D22">
        <f>IFERROR(MATCH($A22,PP_Grid[Intermediate],0),99999)</f>
        <v/>
      </c>
    </row>
    <row r="23">
      <c r="A23" t="inlineStr">
        <is>
          <t>TSP-069</t>
        </is>
      </c>
      <c r="B23" t="inlineStr">
        <is>
          <t>CHEM-1120</t>
        </is>
      </c>
      <c r="C23" t="n">
        <v>4.2976</v>
      </c>
      <c r="D23">
        <f>IFERROR(MATCH($A23,PP_Grid[Intermediate],0),99999)</f>
        <v/>
      </c>
    </row>
    <row r="24">
      <c r="A24" t="inlineStr">
        <is>
          <t>TSP-069</t>
        </is>
      </c>
      <c r="B24" t="inlineStr">
        <is>
          <t>CHEM-1260</t>
        </is>
      </c>
      <c r="C24" t="n">
        <v>3.7497</v>
      </c>
      <c r="D24">
        <f>IFERROR(MATCH($A24,PP_Grid[Intermediate],0),99999)</f>
        <v/>
      </c>
    </row>
    <row r="25">
      <c r="A25" t="inlineStr">
        <is>
          <t>TSP-069</t>
        </is>
      </c>
      <c r="B25" t="inlineStr">
        <is>
          <t>CHEM-1440</t>
        </is>
      </c>
      <c r="C25" t="n">
        <v>0.31561515</v>
      </c>
      <c r="D25">
        <f>IFERROR(MATCH($A25,PP_Grid[Intermediate],0),99999)</f>
        <v/>
      </c>
    </row>
    <row r="26">
      <c r="A26" t="inlineStr">
        <is>
          <t>TSP-069</t>
        </is>
      </c>
      <c r="B26" t="inlineStr">
        <is>
          <t>CHEM-1420</t>
        </is>
      </c>
      <c r="C26" t="n">
        <v>0.52602525</v>
      </c>
      <c r="D26">
        <f>IFERROR(MATCH($A26,PP_Grid[Intermediate],0),99999)</f>
        <v/>
      </c>
    </row>
    <row r="27">
      <c r="A27" t="inlineStr">
        <is>
          <t>TSP-070</t>
        </is>
      </c>
      <c r="B27" t="inlineStr">
        <is>
          <t>CHEM-1410</t>
        </is>
      </c>
      <c r="C27" t="n">
        <v>64.058895343</v>
      </c>
      <c r="D27">
        <f>IFERROR(MATCH($A27,PP_Grid[Intermediate],0),99999)</f>
        <v/>
      </c>
    </row>
    <row r="28">
      <c r="A28" t="inlineStr">
        <is>
          <t>TSP-077</t>
        </is>
      </c>
      <c r="B28" t="inlineStr">
        <is>
          <t>CHEM-1220</t>
        </is>
      </c>
      <c r="C28" t="n">
        <v>33.99</v>
      </c>
      <c r="D28">
        <f>IFERROR(MATCH($A28,PP_Grid[Intermediate],0),99999)</f>
        <v/>
      </c>
    </row>
    <row r="29">
      <c r="A29" t="inlineStr">
        <is>
          <t>TSP-077</t>
        </is>
      </c>
      <c r="B29" t="inlineStr">
        <is>
          <t>CHEM-1410</t>
        </is>
      </c>
      <c r="C29" t="n">
        <v>64.12</v>
      </c>
      <c r="D29">
        <f>IFERROR(MATCH($A29,PP_Grid[Intermediate],0),99999)</f>
        <v/>
      </c>
    </row>
    <row r="30">
      <c r="A30" t="inlineStr">
        <is>
          <t>TSP-077</t>
        </is>
      </c>
      <c r="B30" t="inlineStr">
        <is>
          <t>CHEM-1250</t>
        </is>
      </c>
      <c r="C30" t="n">
        <v>11.363</v>
      </c>
      <c r="D30">
        <f>IFERROR(MATCH($A30,PP_Grid[Intermediate],0),99999)</f>
        <v/>
      </c>
    </row>
    <row r="31">
      <c r="A31" t="inlineStr">
        <is>
          <t>TSP-077</t>
        </is>
      </c>
      <c r="B31" t="inlineStr">
        <is>
          <t>CHEM-1120</t>
        </is>
      </c>
      <c r="C31" t="n">
        <v>4.636</v>
      </c>
      <c r="D31">
        <f>IFERROR(MATCH($A31,PP_Grid[Intermediate],0),99999)</f>
        <v/>
      </c>
    </row>
    <row r="32">
      <c r="A32" t="inlineStr">
        <is>
          <t>TSP-077</t>
        </is>
      </c>
      <c r="B32" t="inlineStr">
        <is>
          <t>CHEM-1260</t>
        </is>
      </c>
      <c r="C32" t="n">
        <v>4.48</v>
      </c>
      <c r="D32">
        <f>IFERROR(MATCH($A32,PP_Grid[Intermediate],0),99999)</f>
        <v/>
      </c>
    </row>
    <row r="33">
      <c r="A33" t="inlineStr">
        <is>
          <t>TSP-077</t>
        </is>
      </c>
      <c r="B33" t="inlineStr">
        <is>
          <t>CHEM-1420</t>
        </is>
      </c>
      <c r="C33" t="n">
        <v>0.619961155</v>
      </c>
      <c r="D33">
        <f>IFERROR(MATCH($A33,PP_Grid[Intermediate],0),99999)</f>
        <v/>
      </c>
    </row>
    <row r="34">
      <c r="A34" t="inlineStr">
        <is>
          <t>TSP-077</t>
        </is>
      </c>
      <c r="B34" t="inlineStr">
        <is>
          <t>CHEM-1440</t>
        </is>
      </c>
      <c r="C34" t="n">
        <v>0.4508808400000001</v>
      </c>
      <c r="D34">
        <f>IFERROR(MATCH($A34,PP_Grid[Intermediate],0),99999)</f>
        <v/>
      </c>
    </row>
    <row r="35">
      <c r="A35" t="inlineStr">
        <is>
          <t>TSP-078</t>
        </is>
      </c>
      <c r="B35" t="inlineStr">
        <is>
          <t>CHEM-1410</t>
        </is>
      </c>
      <c r="C35" t="n">
        <v>41.81</v>
      </c>
      <c r="D35">
        <f>IFERROR(MATCH($A35,PP_Grid[Intermediate],0),99999)</f>
        <v/>
      </c>
    </row>
    <row r="36">
      <c r="A36" t="inlineStr">
        <is>
          <t>TSP-078</t>
        </is>
      </c>
      <c r="B36" t="inlineStr">
        <is>
          <t>CHEM-1400</t>
        </is>
      </c>
      <c r="C36" t="n">
        <v>10.91</v>
      </c>
      <c r="D36">
        <f>IFERROR(MATCH($A36,PP_Grid[Intermediate],0),99999)</f>
        <v/>
      </c>
    </row>
    <row r="37">
      <c r="A37" t="inlineStr">
        <is>
          <t>TSP-078</t>
        </is>
      </c>
      <c r="B37" t="inlineStr">
        <is>
          <t>CHEM-1430</t>
        </is>
      </c>
      <c r="C37" t="n">
        <v>16.91</v>
      </c>
      <c r="D37">
        <f>IFERROR(MATCH($A37,PP_Grid[Intermediate],0),99999)</f>
        <v/>
      </c>
    </row>
    <row r="38">
      <c r="A38" t="inlineStr">
        <is>
          <t>TSP-078</t>
        </is>
      </c>
      <c r="B38" t="inlineStr">
        <is>
          <t>CHEM-1420</t>
        </is>
      </c>
      <c r="C38" t="n">
        <v>3.00645</v>
      </c>
      <c r="D38">
        <f>IFERROR(MATCH($A38,PP_Grid[Intermediate],0),99999)</f>
        <v/>
      </c>
    </row>
    <row r="39">
      <c r="A39" t="inlineStr">
        <is>
          <t>TSP-080</t>
        </is>
      </c>
      <c r="B39" t="inlineStr">
        <is>
          <t>CHEM-1430</t>
        </is>
      </c>
      <c r="C39" t="n">
        <v>20.18</v>
      </c>
      <c r="D39">
        <f>IFERROR(MATCH($A39,PP_Grid[Intermediate],0),99999)</f>
        <v/>
      </c>
    </row>
    <row r="40">
      <c r="A40" t="inlineStr">
        <is>
          <t>TSP-080</t>
        </is>
      </c>
      <c r="B40" t="inlineStr">
        <is>
          <t>CHEM-1420</t>
        </is>
      </c>
      <c r="C40" t="n">
        <v>3.766116928</v>
      </c>
      <c r="D40">
        <f>IFERROR(MATCH($A40,PP_Grid[Intermediate],0),99999)</f>
        <v/>
      </c>
    </row>
    <row r="41">
      <c r="A41" t="inlineStr">
        <is>
          <t>TSP-088</t>
        </is>
      </c>
      <c r="B41" t="inlineStr">
        <is>
          <t>CHEM-1410</t>
        </is>
      </c>
      <c r="C41" t="n">
        <v>24.4890405424</v>
      </c>
      <c r="D41">
        <f>IFERROR(MATCH($A41,PP_Grid[Intermediate],0),99999)</f>
        <v/>
      </c>
    </row>
    <row r="42">
      <c r="A42" t="inlineStr">
        <is>
          <t>TSP-088</t>
        </is>
      </c>
      <c r="B42" t="inlineStr">
        <is>
          <t>CHEM-1430</t>
        </is>
      </c>
      <c r="C42" t="n">
        <v>9.43</v>
      </c>
      <c r="D42">
        <f>IFERROR(MATCH($A42,PP_Grid[Intermediate],0),99999)</f>
        <v/>
      </c>
    </row>
    <row r="43">
      <c r="A43" t="inlineStr">
        <is>
          <t>TSP-089</t>
        </is>
      </c>
      <c r="B43" t="inlineStr">
        <is>
          <t>CHEM-1410</t>
        </is>
      </c>
      <c r="C43" t="n">
        <v>23.5488</v>
      </c>
      <c r="D43">
        <f>IFERROR(MATCH($A43,PP_Grid[Intermediate],0),99999)</f>
        <v/>
      </c>
    </row>
    <row r="44">
      <c r="A44" t="inlineStr">
        <is>
          <t>TSP-089</t>
        </is>
      </c>
      <c r="B44" t="inlineStr">
        <is>
          <t>CHEM-1430</t>
        </is>
      </c>
      <c r="C44" t="n">
        <v>9.890000000000001</v>
      </c>
      <c r="D44">
        <f>IFERROR(MATCH($A44,PP_Grid[Intermediate],0),99999)</f>
        <v/>
      </c>
    </row>
    <row r="45">
      <c r="A45" t="inlineStr">
        <is>
          <t>TSP-089</t>
        </is>
      </c>
      <c r="B45" t="inlineStr">
        <is>
          <t>CHEM-1420</t>
        </is>
      </c>
      <c r="C45" t="n">
        <v>1.7541125616</v>
      </c>
      <c r="D45">
        <f>IFERROR(MATCH($A45,PP_Grid[Intermediate],0),99999)</f>
        <v/>
      </c>
    </row>
    <row r="46">
      <c r="A46" t="inlineStr">
        <is>
          <t>TSP-104</t>
        </is>
      </c>
      <c r="B46" t="inlineStr">
        <is>
          <t>CHEM-1250</t>
        </is>
      </c>
      <c r="C46" t="n">
        <v>9.9001</v>
      </c>
      <c r="D46">
        <f>IFERROR(MATCH($A46,PP_Grid[Intermediate],0),99999)</f>
        <v/>
      </c>
    </row>
    <row r="47">
      <c r="A47" t="inlineStr">
        <is>
          <t>TSP-104</t>
        </is>
      </c>
      <c r="B47" t="inlineStr">
        <is>
          <t>CHEM-1120</t>
        </is>
      </c>
      <c r="C47" t="n">
        <v>3.3566</v>
      </c>
      <c r="D47">
        <f>IFERROR(MATCH($A47,PP_Grid[Intermediate],0),99999)</f>
        <v/>
      </c>
    </row>
    <row r="48">
      <c r="A48" t="inlineStr">
        <is>
          <t>TSP-104</t>
        </is>
      </c>
      <c r="B48" t="inlineStr">
        <is>
          <t>CHEM-1260</t>
        </is>
      </c>
      <c r="C48" t="n">
        <v>2.05</v>
      </c>
      <c r="D48">
        <f>IFERROR(MATCH($A48,PP_Grid[Intermediate],0),99999)</f>
        <v/>
      </c>
    </row>
    <row r="49">
      <c r="A49" t="inlineStr">
        <is>
          <t>TSP-104</t>
        </is>
      </c>
      <c r="B49" t="inlineStr">
        <is>
          <t>CHEM-1420</t>
        </is>
      </c>
      <c r="C49" t="n">
        <v>0.307</v>
      </c>
      <c r="D49">
        <f>IFERROR(MATCH($A49,PP_Grid[Intermediate],0),99999)</f>
        <v/>
      </c>
    </row>
    <row r="50">
      <c r="A50" t="inlineStr">
        <is>
          <t>TSP-104</t>
        </is>
      </c>
      <c r="B50" t="inlineStr">
        <is>
          <t>CHEM-1440</t>
        </is>
      </c>
      <c r="C50" t="n">
        <v>0.982</v>
      </c>
      <c r="D50">
        <f>IFERROR(MATCH($A50,PP_Grid[Intermediate],0),99999)</f>
        <v/>
      </c>
    </row>
    <row r="51">
      <c r="A51" t="inlineStr">
        <is>
          <t>TSP-105</t>
        </is>
      </c>
      <c r="B51" t="inlineStr">
        <is>
          <t>CHEM-1410</t>
        </is>
      </c>
      <c r="C51" t="n">
        <v>23.57</v>
      </c>
      <c r="D51">
        <f>IFERROR(MATCH($A51,PP_Grid[Intermediate],0),99999)</f>
        <v/>
      </c>
    </row>
    <row r="52">
      <c r="A52" t="inlineStr">
        <is>
          <t>TSP-105</t>
        </is>
      </c>
      <c r="B52" t="inlineStr">
        <is>
          <t>CHEM-1400</t>
        </is>
      </c>
      <c r="C52" t="n">
        <v>3.43</v>
      </c>
      <c r="D52">
        <f>IFERROR(MATCH($A52,PP_Grid[Intermediate],0),99999)</f>
        <v/>
      </c>
    </row>
    <row r="53">
      <c r="A53" t="inlineStr">
        <is>
          <t>TSP-105</t>
        </is>
      </c>
      <c r="B53" t="inlineStr">
        <is>
          <t>CHEM-1430</t>
        </is>
      </c>
      <c r="C53" t="n">
        <v>70.41</v>
      </c>
      <c r="D53">
        <f>IFERROR(MATCH($A53,PP_Grid[Intermediate],0),99999)</f>
        <v/>
      </c>
    </row>
    <row r="54">
      <c r="A54" t="inlineStr">
        <is>
          <t>TSP-105</t>
        </is>
      </c>
      <c r="B54" t="inlineStr">
        <is>
          <t>CHEM-1420</t>
        </is>
      </c>
      <c r="C54" t="n">
        <v>1.60032</v>
      </c>
      <c r="D54">
        <f>IFERROR(MATCH($A54,PP_Grid[Intermediate],0),99999)</f>
        <v/>
      </c>
    </row>
    <row r="55">
      <c r="A55" t="inlineStr">
        <is>
          <t>TSP-199</t>
        </is>
      </c>
      <c r="B55" t="inlineStr">
        <is>
          <t>CHEM-1400</t>
        </is>
      </c>
      <c r="C55" t="n">
        <v>3.4253</v>
      </c>
      <c r="D55">
        <f>IFERROR(MATCH($A55,PP_Grid[Intermediate],0),99999)</f>
        <v/>
      </c>
    </row>
    <row r="56">
      <c r="A56" t="inlineStr">
        <is>
          <t>TSP-199</t>
        </is>
      </c>
      <c r="B56" t="inlineStr">
        <is>
          <t>CHEM-1250</t>
        </is>
      </c>
      <c r="C56" t="n">
        <v>5.3219</v>
      </c>
      <c r="D56">
        <f>IFERROR(MATCH($A56,PP_Grid[Intermediate],0),99999)</f>
        <v/>
      </c>
    </row>
    <row r="57">
      <c r="A57" t="inlineStr">
        <is>
          <t>TSP-199</t>
        </is>
      </c>
      <c r="B57" t="inlineStr">
        <is>
          <t>CHEM-1260</t>
        </is>
      </c>
      <c r="C57" t="n">
        <v>0.6297</v>
      </c>
      <c r="D57">
        <f>IFERROR(MATCH($A57,PP_Grid[Intermediate],0),99999)</f>
        <v/>
      </c>
    </row>
    <row r="58">
      <c r="A58" t="inlineStr">
        <is>
          <t>TSP-199</t>
        </is>
      </c>
      <c r="B58" t="inlineStr">
        <is>
          <t>CHEM-1420</t>
        </is>
      </c>
      <c r="C58" t="n">
        <v>0.784</v>
      </c>
      <c r="D58">
        <f>IFERROR(MATCH($A58,PP_Grid[Intermediate],0),99999)</f>
        <v/>
      </c>
    </row>
    <row r="59">
      <c r="A59" t="inlineStr">
        <is>
          <t>TSP-199</t>
        </is>
      </c>
      <c r="B59" t="inlineStr">
        <is>
          <t>CHEM-1440</t>
        </is>
      </c>
      <c r="C59" t="n">
        <v>1.254</v>
      </c>
      <c r="D59">
        <f>IFERROR(MATCH($A59,PP_Grid[Intermediate],0),99999)</f>
        <v/>
      </c>
    </row>
    <row r="60">
      <c r="A60" t="inlineStr">
        <is>
          <t>TSP-205</t>
        </is>
      </c>
      <c r="B60" t="inlineStr">
        <is>
          <t>CHEM-1400</t>
        </is>
      </c>
      <c r="C60" t="n">
        <v>5.08</v>
      </c>
      <c r="D60">
        <f>IFERROR(MATCH($A60,PP_Grid[Intermediate],0),99999)</f>
        <v/>
      </c>
    </row>
    <row r="61">
      <c r="A61" t="inlineStr">
        <is>
          <t>TSP-205</t>
        </is>
      </c>
      <c r="B61" t="inlineStr">
        <is>
          <t>CHEM-1250</t>
        </is>
      </c>
      <c r="C61" t="n">
        <v>7.8373</v>
      </c>
      <c r="D61">
        <f>IFERROR(MATCH($A61,PP_Grid[Intermediate],0),99999)</f>
        <v/>
      </c>
    </row>
    <row r="62">
      <c r="A62" t="inlineStr">
        <is>
          <t>TSP-205</t>
        </is>
      </c>
      <c r="B62" t="inlineStr">
        <is>
          <t>CHEM-1260</t>
        </is>
      </c>
      <c r="C62" t="n">
        <v>0.5023</v>
      </c>
      <c r="D62">
        <f>IFERROR(MATCH($A62,PP_Grid[Intermediate],0),99999)</f>
        <v/>
      </c>
    </row>
    <row r="63">
      <c r="A63" t="inlineStr">
        <is>
          <t>TSP-205</t>
        </is>
      </c>
      <c r="B63" t="inlineStr">
        <is>
          <t>CHEM-1420</t>
        </is>
      </c>
      <c r="C63" t="n">
        <v>0.463</v>
      </c>
      <c r="D63">
        <f>IFERROR(MATCH($A63,PP_Grid[Intermediate],0),99999)</f>
        <v/>
      </c>
    </row>
    <row r="64">
      <c r="A64" t="inlineStr">
        <is>
          <t>TSP-205</t>
        </is>
      </c>
      <c r="B64" t="inlineStr">
        <is>
          <t>CHEM-1440</t>
        </is>
      </c>
      <c r="C64" t="n">
        <v>0.3319681185</v>
      </c>
      <c r="D64">
        <f>IFERROR(MATCH($A64,PP_Grid[Intermediate],0),99999)</f>
        <v/>
      </c>
    </row>
    <row r="65">
      <c r="A65" t="inlineStr">
        <is>
          <t>TSP-206</t>
        </is>
      </c>
      <c r="B65" t="inlineStr">
        <is>
          <t>CHEM-1410</t>
        </is>
      </c>
      <c r="C65" t="n">
        <v>28.86</v>
      </c>
      <c r="D65">
        <f>IFERROR(MATCH($A65,PP_Grid[Intermediate],0),99999)</f>
        <v/>
      </c>
    </row>
    <row r="66">
      <c r="A66" t="inlineStr">
        <is>
          <t>TSP-206</t>
        </is>
      </c>
      <c r="B66" t="inlineStr">
        <is>
          <t>CHEM-1400</t>
        </is>
      </c>
      <c r="C66" t="n">
        <v>4.3015</v>
      </c>
      <c r="D66">
        <f>IFERROR(MATCH($A66,PP_Grid[Intermediate],0),99999)</f>
        <v/>
      </c>
    </row>
    <row r="67">
      <c r="A67" t="inlineStr">
        <is>
          <t>TSP-206</t>
        </is>
      </c>
      <c r="B67" t="inlineStr">
        <is>
          <t>CHEM-1480</t>
        </is>
      </c>
      <c r="C67" t="n">
        <v>47.5991</v>
      </c>
      <c r="D67">
        <f>IFERROR(MATCH($A67,PP_Grid[Intermediate],0),99999)</f>
        <v/>
      </c>
    </row>
    <row r="68">
      <c r="A68" t="inlineStr">
        <is>
          <t>TSP-206</t>
        </is>
      </c>
      <c r="B68" t="inlineStr">
        <is>
          <t>CHEM-1420</t>
        </is>
      </c>
      <c r="C68" t="n">
        <v>0.6176911500000001</v>
      </c>
      <c r="D68">
        <f>IFERROR(MATCH($A68,PP_Grid[Intermediate],0),99999)</f>
        <v/>
      </c>
    </row>
    <row r="69">
      <c r="A69" t="inlineStr">
        <is>
          <t>TSP-206</t>
        </is>
      </c>
      <c r="B69" t="inlineStr">
        <is>
          <t>CHEM-1440</t>
        </is>
      </c>
      <c r="C69" t="n">
        <v>1.56559455</v>
      </c>
      <c r="D69">
        <f>IFERROR(MATCH($A69,PP_Grid[Intermediate],0),99999)</f>
        <v/>
      </c>
    </row>
    <row r="70">
      <c r="A70" t="inlineStr">
        <is>
          <t>TSP-218</t>
        </is>
      </c>
      <c r="B70" t="inlineStr">
        <is>
          <t>CHEM-1520</t>
        </is>
      </c>
      <c r="C70" t="n">
        <v>22.52543558147613</v>
      </c>
      <c r="D70">
        <f>IFERROR(MATCH($A70,PP_Grid[Intermediate],0),99999)</f>
        <v/>
      </c>
    </row>
    <row r="71">
      <c r="A71" t="inlineStr">
        <is>
          <t>TSP-218</t>
        </is>
      </c>
      <c r="B71" t="inlineStr">
        <is>
          <t>CHEM-1400</t>
        </is>
      </c>
      <c r="C71" t="n">
        <v>1.180807044165801</v>
      </c>
      <c r="D71">
        <f>IFERROR(MATCH($A71,PP_Grid[Intermediate],0),99999)</f>
        <v/>
      </c>
    </row>
    <row r="72">
      <c r="A72" t="inlineStr">
        <is>
          <t>TSP-218</t>
        </is>
      </c>
      <c r="B72" t="inlineStr">
        <is>
          <t>CHEM-1260</t>
        </is>
      </c>
      <c r="C72" t="n">
        <v>1.077</v>
      </c>
      <c r="D72">
        <f>IFERROR(MATCH($A72,PP_Grid[Intermediate],0),99999)</f>
        <v/>
      </c>
    </row>
    <row r="73">
      <c r="A73" t="inlineStr">
        <is>
          <t>TSP-218</t>
        </is>
      </c>
      <c r="B73" t="inlineStr">
        <is>
          <t>CHEM-1670</t>
        </is>
      </c>
      <c r="C73" t="n">
        <v>5.563962792109256</v>
      </c>
      <c r="D73">
        <f>IFERROR(MATCH($A73,PP_Grid[Intermediate],0),99999)</f>
        <v/>
      </c>
    </row>
    <row r="74">
      <c r="A74" t="inlineStr">
        <is>
          <t>TSP-218</t>
        </is>
      </c>
      <c r="B74" t="inlineStr">
        <is>
          <t>CHEM-1420</t>
        </is>
      </c>
      <c r="C74" t="n">
        <v>0.947</v>
      </c>
      <c r="D74">
        <f>IFERROR(MATCH($A74,PP_Grid[Intermediate],0),99999)</f>
        <v/>
      </c>
    </row>
    <row r="75">
      <c r="A75" t="inlineStr">
        <is>
          <t>TSP-218</t>
        </is>
      </c>
      <c r="B75" t="inlineStr">
        <is>
          <t>CHEM-1450</t>
        </is>
      </c>
      <c r="C75" t="n">
        <v>0.274</v>
      </c>
      <c r="D75">
        <f>IFERROR(MATCH($A75,PP_Grid[Intermediate],0),99999)</f>
        <v/>
      </c>
    </row>
    <row r="76">
      <c r="A76" t="inlineStr">
        <is>
          <t>TSP-219</t>
        </is>
      </c>
      <c r="B76" t="inlineStr">
        <is>
          <t>CHEM-1410</t>
        </is>
      </c>
      <c r="C76" t="n">
        <v>34.96</v>
      </c>
      <c r="D76">
        <f>IFERROR(MATCH($A76,PP_Grid[Intermediate],0),99999)</f>
        <v/>
      </c>
    </row>
    <row r="77">
      <c r="A77" t="inlineStr">
        <is>
          <t>TSP-219</t>
        </is>
      </c>
      <c r="B77" t="inlineStr">
        <is>
          <t>CHEM-1400</t>
        </is>
      </c>
      <c r="C77" t="n">
        <v>3.544016061523803</v>
      </c>
      <c r="D77">
        <f>IFERROR(MATCH($A77,PP_Grid[Intermediate],0),99999)</f>
        <v/>
      </c>
    </row>
    <row r="78">
      <c r="A78" t="inlineStr">
        <is>
          <t>TSP-219</t>
        </is>
      </c>
      <c r="B78" t="inlineStr">
        <is>
          <t>CHEM-1610</t>
        </is>
      </c>
      <c r="C78" t="n">
        <v>94.63179496109029</v>
      </c>
      <c r="D78">
        <f>IFERROR(MATCH($A78,PP_Grid[Intermediate],0),99999)</f>
        <v/>
      </c>
    </row>
    <row r="79">
      <c r="A79" t="inlineStr">
        <is>
          <t>TSP-219</t>
        </is>
      </c>
      <c r="B79" t="inlineStr">
        <is>
          <t>CHEM-1600</t>
        </is>
      </c>
      <c r="C79" t="n">
        <v>17.53855461895246</v>
      </c>
      <c r="D79">
        <f>IFERROR(MATCH($A79,PP_Grid[Intermediate],0),99999)</f>
        <v/>
      </c>
    </row>
    <row r="80">
      <c r="A80" t="inlineStr">
        <is>
          <t>TSP-219</t>
        </is>
      </c>
      <c r="B80" t="inlineStr">
        <is>
          <t>CHEM-1510</t>
        </is>
      </c>
      <c r="C80" t="n">
        <v>7.476122094803825</v>
      </c>
      <c r="D80">
        <f>IFERROR(MATCH($A80,PP_Grid[Intermediate],0),99999)</f>
        <v/>
      </c>
    </row>
    <row r="81">
      <c r="A81" t="inlineStr">
        <is>
          <t>TSP-219</t>
        </is>
      </c>
      <c r="B81" t="inlineStr">
        <is>
          <t>0JN</t>
        </is>
      </c>
      <c r="C81" t="n">
        <v>17.09315586581044</v>
      </c>
      <c r="D81">
        <f>IFERROR(MATCH($A81,PP_Grid[Intermediate],0),99999)</f>
        <v/>
      </c>
    </row>
    <row r="82">
      <c r="A82" t="inlineStr">
        <is>
          <t>TSP-219</t>
        </is>
      </c>
      <c r="B82" t="inlineStr">
        <is>
          <t>CHEM-1420</t>
        </is>
      </c>
      <c r="C82" t="n">
        <v>0.522304420321911</v>
      </c>
      <c r="D82">
        <f>IFERROR(MATCH($A82,PP_Grid[Intermediate],0),99999)</f>
        <v/>
      </c>
    </row>
    <row r="83">
      <c r="A83" t="inlineStr">
        <is>
          <t>TSP-219</t>
        </is>
      </c>
      <c r="B83" t="inlineStr">
        <is>
          <t>CHEM-1660</t>
        </is>
      </c>
      <c r="C83" t="n">
        <v>1.536189471535033</v>
      </c>
      <c r="D83">
        <f>IFERROR(MATCH($A83,PP_Grid[Intermediate],0),99999)</f>
        <v/>
      </c>
    </row>
    <row r="84">
      <c r="A84" t="inlineStr">
        <is>
          <t>TSP-224</t>
        </is>
      </c>
      <c r="B84" t="inlineStr">
        <is>
          <t>CHEM-1470</t>
        </is>
      </c>
      <c r="C84" t="n">
        <v>27.44</v>
      </c>
      <c r="D84">
        <f>IFERROR(MATCH($A84,PP_Grid[Intermediate],0),99999)</f>
        <v/>
      </c>
    </row>
    <row r="85">
      <c r="A85" t="inlineStr">
        <is>
          <t>TSP-224</t>
        </is>
      </c>
      <c r="B85" t="inlineStr">
        <is>
          <t>CHEM-1460</t>
        </is>
      </c>
      <c r="C85" t="n">
        <v>75.45999999999999</v>
      </c>
      <c r="D85">
        <f>IFERROR(MATCH($A85,PP_Grid[Intermediate],0),99999)</f>
        <v/>
      </c>
    </row>
    <row r="86">
      <c r="A86" t="inlineStr">
        <is>
          <t>TSP-224</t>
        </is>
      </c>
      <c r="B86" t="inlineStr">
        <is>
          <t>CHEM-1260</t>
        </is>
      </c>
      <c r="C86" t="n">
        <v>1.11</v>
      </c>
      <c r="D86">
        <f>IFERROR(MATCH($A86,PP_Grid[Intermediate],0),99999)</f>
        <v/>
      </c>
    </row>
    <row r="87">
      <c r="A87" t="inlineStr">
        <is>
          <t>TSP-224</t>
        </is>
      </c>
      <c r="B87" t="inlineStr">
        <is>
          <t>CHEM-1240</t>
        </is>
      </c>
      <c r="C87" t="n">
        <v>57.38</v>
      </c>
      <c r="D87">
        <f>IFERROR(MATCH($A87,PP_Grid[Intermediate],0),99999)</f>
        <v/>
      </c>
    </row>
    <row r="88">
      <c r="A88" t="inlineStr">
        <is>
          <t>TSP-224</t>
        </is>
      </c>
      <c r="B88" t="inlineStr">
        <is>
          <t>CHEM-1420</t>
        </is>
      </c>
      <c r="C88" t="n">
        <v>0.97</v>
      </c>
      <c r="D88">
        <f>IFERROR(MATCH($A88,PP_Grid[Intermediate],0),99999)</f>
        <v/>
      </c>
    </row>
    <row r="89">
      <c r="A89" t="inlineStr">
        <is>
          <t>TSP-224</t>
        </is>
      </c>
      <c r="B89" t="inlineStr">
        <is>
          <t>CHEM-1440</t>
        </is>
      </c>
      <c r="C89" t="n">
        <v>0.86</v>
      </c>
      <c r="D89">
        <f>IFERROR(MATCH($A89,PP_Grid[Intermediate],0),99999)</f>
        <v/>
      </c>
    </row>
    <row r="90">
      <c r="A90" t="inlineStr">
        <is>
          <t>TSP-225</t>
        </is>
      </c>
      <c r="B90" t="inlineStr">
        <is>
          <t>CHEM-1400</t>
        </is>
      </c>
      <c r="C90" t="n">
        <v>5.53</v>
      </c>
      <c r="D90">
        <f>IFERROR(MATCH($A90,PP_Grid[Intermediate],0),99999)</f>
        <v/>
      </c>
    </row>
    <row r="91">
      <c r="A91" t="inlineStr">
        <is>
          <t>TSP-225</t>
        </is>
      </c>
      <c r="B91" t="inlineStr">
        <is>
          <t>CHEM-1470</t>
        </is>
      </c>
      <c r="C91" t="n">
        <v>66.09</v>
      </c>
      <c r="D91">
        <f>IFERROR(MATCH($A91,PP_Grid[Intermediate],0),99999)</f>
        <v/>
      </c>
    </row>
    <row r="92">
      <c r="A92" t="inlineStr">
        <is>
          <t>TSP-225</t>
        </is>
      </c>
      <c r="B92" t="inlineStr">
        <is>
          <t>CHEM-1430</t>
        </is>
      </c>
      <c r="C92" t="n">
        <v>14.18</v>
      </c>
      <c r="D92">
        <f>IFERROR(MATCH($A92,PP_Grid[Intermediate],0),99999)</f>
        <v/>
      </c>
    </row>
    <row r="93">
      <c r="A93" t="inlineStr">
        <is>
          <t>TSP-225</t>
        </is>
      </c>
      <c r="B93" t="inlineStr">
        <is>
          <t>CHEM-1420</t>
        </is>
      </c>
      <c r="C93" t="n">
        <v>2.53</v>
      </c>
      <c r="D93">
        <f>IFERROR(MATCH($A93,PP_Grid[Intermediate],0),99999)</f>
        <v/>
      </c>
    </row>
    <row r="94">
      <c r="A94" t="inlineStr">
        <is>
          <t>TSP-225</t>
        </is>
      </c>
      <c r="B94" t="inlineStr">
        <is>
          <t>CHEM-1450</t>
        </is>
      </c>
      <c r="C94" t="n">
        <v>0.78</v>
      </c>
      <c r="D94">
        <f>IFERROR(MATCH($A94,PP_Grid[Intermediate],0),99999)</f>
        <v/>
      </c>
    </row>
    <row r="95">
      <c r="A95" t="inlineStr">
        <is>
          <t>TSP-360</t>
        </is>
      </c>
      <c r="B95" t="inlineStr">
        <is>
          <t>CHEM-1410</t>
        </is>
      </c>
      <c r="C95" t="n">
        <v>7.567</v>
      </c>
      <c r="D95">
        <f>IFERROR(MATCH($A95,PP_Grid[Intermediate],0),99999)</f>
        <v/>
      </c>
    </row>
    <row r="96">
      <c r="A96" t="inlineStr">
        <is>
          <t>TSP-360</t>
        </is>
      </c>
      <c r="B96" t="inlineStr">
        <is>
          <t>CHEM-1400</t>
        </is>
      </c>
      <c r="C96" t="n">
        <v>2.975</v>
      </c>
      <c r="D96">
        <f>IFERROR(MATCH($A96,PP_Grid[Intermediate],0),99999)</f>
        <v/>
      </c>
    </row>
    <row r="97">
      <c r="A97" t="inlineStr">
        <is>
          <t>TSP-360</t>
        </is>
      </c>
      <c r="B97" t="inlineStr">
        <is>
          <t>CHEM-1560</t>
        </is>
      </c>
      <c r="C97" t="n">
        <v>3.768</v>
      </c>
      <c r="D97">
        <f>IFERROR(MATCH($A97,PP_Grid[Intermediate],0),99999)</f>
        <v/>
      </c>
    </row>
    <row r="98">
      <c r="A98" t="inlineStr">
        <is>
          <t>TSP-360</t>
        </is>
      </c>
      <c r="B98" t="inlineStr">
        <is>
          <t>CHEM-1260</t>
        </is>
      </c>
      <c r="C98" t="n">
        <v>1.356</v>
      </c>
      <c r="D98">
        <f>IFERROR(MATCH($A98,PP_Grid[Intermediate],0),99999)</f>
        <v/>
      </c>
    </row>
    <row r="99">
      <c r="A99" t="inlineStr">
        <is>
          <t>TSP-360</t>
        </is>
      </c>
      <c r="B99" t="inlineStr">
        <is>
          <t>CHEM-1510</t>
        </is>
      </c>
      <c r="C99" t="n">
        <v>9.044</v>
      </c>
      <c r="D99">
        <f>IFERROR(MATCH($A99,PP_Grid[Intermediate],0),99999)</f>
        <v/>
      </c>
    </row>
    <row r="100">
      <c r="A100" t="inlineStr">
        <is>
          <t>TSP-360</t>
        </is>
      </c>
      <c r="B100" t="inlineStr">
        <is>
          <t>CHEM-1420</t>
        </is>
      </c>
      <c r="C100" t="n">
        <v>0.278</v>
      </c>
      <c r="D100">
        <f>IFERROR(MATCH($A100,PP_Grid[Intermediate],0),99999)</f>
        <v/>
      </c>
    </row>
    <row r="101">
      <c r="A101" t="inlineStr">
        <is>
          <t>TSP-360</t>
        </is>
      </c>
      <c r="B101" t="inlineStr">
        <is>
          <t>CHEM-1580</t>
        </is>
      </c>
      <c r="C101" t="n">
        <v>16.71</v>
      </c>
      <c r="D101">
        <f>IFERROR(MATCH($A101,PP_Grid[Intermediate],0),99999)</f>
        <v/>
      </c>
    </row>
    <row r="102">
      <c r="A102" t="inlineStr">
        <is>
          <t>TSP-367</t>
        </is>
      </c>
      <c r="B102" t="inlineStr">
        <is>
          <t>CHEM-1400</t>
        </is>
      </c>
      <c r="C102" t="n">
        <v>3.62</v>
      </c>
      <c r="D102">
        <f>IFERROR(MATCH($A102,PP_Grid[Intermediate],0),99999)</f>
        <v/>
      </c>
    </row>
    <row r="103">
      <c r="A103" t="inlineStr">
        <is>
          <t>TSP-367</t>
        </is>
      </c>
      <c r="B103" t="inlineStr">
        <is>
          <t>CHEM-1260</t>
        </is>
      </c>
      <c r="C103" t="n">
        <v>1.101</v>
      </c>
      <c r="D103">
        <f>IFERROR(MATCH($A103,PP_Grid[Intermediate],0),99999)</f>
        <v/>
      </c>
    </row>
    <row r="104">
      <c r="A104" t="inlineStr">
        <is>
          <t>TSP-367</t>
        </is>
      </c>
      <c r="B104" t="inlineStr">
        <is>
          <t>CHEM-1510</t>
        </is>
      </c>
      <c r="C104" t="n">
        <v>4.866</v>
      </c>
      <c r="D104">
        <f>IFERROR(MATCH($A104,PP_Grid[Intermediate],0),99999)</f>
        <v/>
      </c>
    </row>
    <row r="105">
      <c r="A105" t="inlineStr">
        <is>
          <t>TSP-367</t>
        </is>
      </c>
      <c r="B105" t="inlineStr">
        <is>
          <t>CHEM-1420</t>
        </is>
      </c>
      <c r="C105" t="n">
        <v>1.17</v>
      </c>
      <c r="D105">
        <f>IFERROR(MATCH($A105,PP_Grid[Intermediate],0),99999)</f>
        <v/>
      </c>
    </row>
    <row r="106">
      <c r="A106" t="inlineStr">
        <is>
          <t>TSP-367</t>
        </is>
      </c>
      <c r="B106" t="inlineStr">
        <is>
          <t>CHEM-1440</t>
        </is>
      </c>
      <c r="C106" t="n">
        <v>1.009987983</v>
      </c>
      <c r="D106">
        <f>IFERROR(MATCH($A106,PP_Grid[Intermediate],0),99999)</f>
        <v/>
      </c>
    </row>
    <row r="107">
      <c r="A107" t="inlineStr">
        <is>
          <t>TSP-367</t>
        </is>
      </c>
      <c r="B107" t="inlineStr">
        <is>
          <t>CHEM-1580</t>
        </is>
      </c>
      <c r="C107" t="n">
        <v>24.55</v>
      </c>
      <c r="D107">
        <f>IFERROR(MATCH($A107,PP_Grid[Intermediate],0),99999)</f>
        <v/>
      </c>
    </row>
    <row r="108">
      <c r="A108" t="inlineStr">
        <is>
          <t>TSP-369</t>
        </is>
      </c>
      <c r="B108" t="inlineStr">
        <is>
          <t>CHEM-1520</t>
        </is>
      </c>
      <c r="C108" t="n">
        <v>24.71</v>
      </c>
      <c r="D108">
        <f>IFERROR(MATCH($A108,PP_Grid[Intermediate],0),99999)</f>
        <v/>
      </c>
    </row>
    <row r="109">
      <c r="A109" t="inlineStr">
        <is>
          <t>TSP-369</t>
        </is>
      </c>
      <c r="B109" t="inlineStr">
        <is>
          <t>CHEM-1400</t>
        </is>
      </c>
      <c r="C109" t="n">
        <v>3.889</v>
      </c>
      <c r="D109">
        <f>IFERROR(MATCH($A109,PP_Grid[Intermediate],0),99999)</f>
        <v/>
      </c>
    </row>
    <row r="110">
      <c r="A110" t="inlineStr">
        <is>
          <t>TSP-369</t>
        </is>
      </c>
      <c r="B110" t="inlineStr">
        <is>
          <t>CHEM-1260</t>
        </is>
      </c>
      <c r="C110" t="n">
        <v>0.916</v>
      </c>
      <c r="D110">
        <f>IFERROR(MATCH($A110,PP_Grid[Intermediate],0),99999)</f>
        <v/>
      </c>
    </row>
    <row r="111">
      <c r="A111" t="inlineStr">
        <is>
          <t>TSP-369</t>
        </is>
      </c>
      <c r="B111" t="inlineStr">
        <is>
          <t>CHEM-1420</t>
        </is>
      </c>
      <c r="C111" t="n">
        <v>1.286</v>
      </c>
      <c r="D111">
        <f>IFERROR(MATCH($A111,PP_Grid[Intermediate],0),99999)</f>
        <v/>
      </c>
    </row>
    <row r="112">
      <c r="A112" t="inlineStr">
        <is>
          <t>TSP-369</t>
        </is>
      </c>
      <c r="B112" t="inlineStr">
        <is>
          <t>CHEM-1440</t>
        </is>
      </c>
      <c r="C112" t="n">
        <v>1.744</v>
      </c>
      <c r="D112">
        <f>IFERROR(MATCH($A112,PP_Grid[Intermediate],0),99999)</f>
        <v/>
      </c>
    </row>
    <row r="113">
      <c r="A113" t="inlineStr">
        <is>
          <t>TSP-390</t>
        </is>
      </c>
      <c r="B113" t="inlineStr">
        <is>
          <t>CHEM-1490</t>
        </is>
      </c>
      <c r="C113" t="n">
        <v>47.004</v>
      </c>
      <c r="D113">
        <f>IFERROR(MATCH($A113,PP_Grid[Intermediate],0),99999)</f>
        <v/>
      </c>
    </row>
    <row r="114">
      <c r="A114" t="inlineStr">
        <is>
          <t>TSP-390</t>
        </is>
      </c>
      <c r="B114" t="inlineStr">
        <is>
          <t>CHEM-1250</t>
        </is>
      </c>
      <c r="C114" t="n">
        <v>14.029</v>
      </c>
      <c r="D114">
        <f>IFERROR(MATCH($A114,PP_Grid[Intermediate],0),99999)</f>
        <v/>
      </c>
    </row>
    <row r="115">
      <c r="A115" t="inlineStr">
        <is>
          <t>TSP-390</t>
        </is>
      </c>
      <c r="B115" t="inlineStr">
        <is>
          <t>CHEM-1260</t>
        </is>
      </c>
      <c r="C115" t="n">
        <v>0.922</v>
      </c>
      <c r="D115">
        <f>IFERROR(MATCH($A115,PP_Grid[Intermediate],0),99999)</f>
        <v/>
      </c>
    </row>
    <row r="116">
      <c r="A116" t="inlineStr">
        <is>
          <t>TSP-390</t>
        </is>
      </c>
      <c r="B116" t="inlineStr">
        <is>
          <t>CHEM-1240</t>
        </is>
      </c>
      <c r="C116" t="n">
        <v>17.907</v>
      </c>
      <c r="D116">
        <f>IFERROR(MATCH($A116,PP_Grid[Intermediate],0),99999)</f>
        <v/>
      </c>
    </row>
    <row r="117">
      <c r="A117" t="inlineStr">
        <is>
          <t>TSP-390</t>
        </is>
      </c>
      <c r="B117" t="inlineStr">
        <is>
          <t>CHEM-1420</t>
        </is>
      </c>
      <c r="C117" t="n">
        <v>0.903</v>
      </c>
      <c r="D117">
        <f>IFERROR(MATCH($A117,PP_Grid[Intermediate],0),99999)</f>
        <v/>
      </c>
    </row>
    <row r="118">
      <c r="A118" t="inlineStr">
        <is>
          <t>TSP-390</t>
        </is>
      </c>
      <c r="B118" t="inlineStr">
        <is>
          <t>CHEM-1440</t>
        </is>
      </c>
      <c r="C118" t="n">
        <v>0.852</v>
      </c>
      <c r="D118">
        <f>IFERROR(MATCH($A118,PP_Grid[Intermediate],0),99999)</f>
        <v/>
      </c>
    </row>
    <row r="119">
      <c r="A119" t="inlineStr">
        <is>
          <t>TSP-399</t>
        </is>
      </c>
      <c r="B119" t="inlineStr">
        <is>
          <t>CHEM-1490</t>
        </is>
      </c>
      <c r="C119" t="n">
        <v>47.077</v>
      </c>
      <c r="D119">
        <f>IFERROR(MATCH($A119,PP_Grid[Intermediate],0),99999)</f>
        <v/>
      </c>
    </row>
    <row r="120">
      <c r="A120" t="inlineStr">
        <is>
          <t>TSP-399</t>
        </is>
      </c>
      <c r="B120" t="inlineStr">
        <is>
          <t>CHEM-1250</t>
        </is>
      </c>
      <c r="C120" t="n">
        <v>14.051</v>
      </c>
      <c r="D120">
        <f>IFERROR(MATCH($A120,PP_Grid[Intermediate],0),99999)</f>
        <v/>
      </c>
    </row>
    <row r="121">
      <c r="A121" t="inlineStr">
        <is>
          <t>TSP-399</t>
        </is>
      </c>
      <c r="B121" t="inlineStr">
        <is>
          <t>CHEM-1260</t>
        </is>
      </c>
      <c r="C121" t="n">
        <v>0.923</v>
      </c>
      <c r="D121">
        <f>IFERROR(MATCH($A121,PP_Grid[Intermediate],0),99999)</f>
        <v/>
      </c>
    </row>
    <row r="122">
      <c r="A122" t="inlineStr">
        <is>
          <t>TSP-399</t>
        </is>
      </c>
      <c r="B122" t="inlineStr">
        <is>
          <t>CHEM-1240</t>
        </is>
      </c>
      <c r="C122" t="n">
        <v>17.935</v>
      </c>
      <c r="D122">
        <f>IFERROR(MATCH($A122,PP_Grid[Intermediate],0),99999)</f>
        <v/>
      </c>
    </row>
    <row r="123">
      <c r="A123" t="inlineStr">
        <is>
          <t>TSP-399</t>
        </is>
      </c>
      <c r="B123" t="inlineStr">
        <is>
          <t>CHEM-1420</t>
        </is>
      </c>
      <c r="C123" t="n">
        <v>0.895</v>
      </c>
      <c r="D123">
        <f>IFERROR(MATCH($A123,PP_Grid[Intermediate],0),99999)</f>
        <v/>
      </c>
    </row>
    <row r="124">
      <c r="A124" t="inlineStr">
        <is>
          <t>TSP-399</t>
        </is>
      </c>
      <c r="B124" t="inlineStr">
        <is>
          <t>CHEM-1440</t>
        </is>
      </c>
      <c r="C124" t="n">
        <v>0.858</v>
      </c>
      <c r="D124">
        <f>IFERROR(MATCH($A124,PP_Grid[Intermediate],0),99999)</f>
        <v/>
      </c>
    </row>
    <row r="125">
      <c r="A125" t="inlineStr">
        <is>
          <t>TSP-402</t>
        </is>
      </c>
      <c r="B125" t="inlineStr">
        <is>
          <t>CHEM-1520</t>
        </is>
      </c>
      <c r="C125" t="n">
        <v>38.5623</v>
      </c>
      <c r="D125">
        <f>IFERROR(MATCH($A125,PP_Grid[Intermediate],0),99999)</f>
        <v/>
      </c>
    </row>
    <row r="126">
      <c r="A126" t="inlineStr">
        <is>
          <t>TSP-402</t>
        </is>
      </c>
      <c r="B126" t="inlineStr">
        <is>
          <t>CHEM-1530</t>
        </is>
      </c>
      <c r="C126" t="n">
        <v>39.032</v>
      </c>
      <c r="D126">
        <f>IFERROR(MATCH($A126,PP_Grid[Intermediate],0),99999)</f>
        <v/>
      </c>
    </row>
    <row r="127">
      <c r="A127" t="inlineStr">
        <is>
          <t>TSP-402</t>
        </is>
      </c>
      <c r="B127" t="inlineStr">
        <is>
          <t>CHEM-1400</t>
        </is>
      </c>
      <c r="C127" t="n">
        <v>6.745</v>
      </c>
      <c r="D127">
        <f>IFERROR(MATCH($A127,PP_Grid[Intermediate],0),99999)</f>
        <v/>
      </c>
    </row>
    <row r="128">
      <c r="A128" t="inlineStr">
        <is>
          <t>TSP-402</t>
        </is>
      </c>
      <c r="B128" t="inlineStr">
        <is>
          <t>CHEM-1260</t>
        </is>
      </c>
      <c r="C128" t="n">
        <v>0.769</v>
      </c>
      <c r="D128">
        <f>IFERROR(MATCH($A128,PP_Grid[Intermediate],0),99999)</f>
        <v/>
      </c>
    </row>
    <row r="129">
      <c r="A129" t="inlineStr">
        <is>
          <t>TSP-402</t>
        </is>
      </c>
      <c r="B129" t="inlineStr">
        <is>
          <t>CHEM-1420</t>
        </is>
      </c>
      <c r="C129" t="n">
        <v>1.114</v>
      </c>
      <c r="D129">
        <f>IFERROR(MATCH($A129,PP_Grid[Intermediate],0),99999)</f>
        <v/>
      </c>
    </row>
    <row r="130">
      <c r="A130" t="inlineStr">
        <is>
          <t>TSP-402</t>
        </is>
      </c>
      <c r="B130" t="inlineStr">
        <is>
          <t>CHEM-1650</t>
        </is>
      </c>
      <c r="C130" t="n">
        <v>0.033</v>
      </c>
      <c r="D130">
        <f>IFERROR(MATCH($A130,PP_Grid[Intermediate],0),99999)</f>
        <v/>
      </c>
    </row>
    <row r="131">
      <c r="A131" t="inlineStr">
        <is>
          <t>TSP-402</t>
        </is>
      </c>
      <c r="B131" t="inlineStr">
        <is>
          <t>CHEM-1550</t>
        </is>
      </c>
      <c r="C131" t="n">
        <v>6.346</v>
      </c>
      <c r="D131">
        <f>IFERROR(MATCH($A131,PP_Grid[Intermediate],0),99999)</f>
        <v/>
      </c>
    </row>
    <row r="132">
      <c r="A132" t="inlineStr">
        <is>
          <t>TSP-403</t>
        </is>
      </c>
      <c r="B132" t="inlineStr">
        <is>
          <t>CHEM-1520</t>
        </is>
      </c>
      <c r="C132" t="n">
        <v>38.6013</v>
      </c>
      <c r="D132">
        <f>IFERROR(MATCH($A132,PP_Grid[Intermediate],0),99999)</f>
        <v/>
      </c>
    </row>
    <row r="133">
      <c r="A133" t="inlineStr">
        <is>
          <t>TSP-403</t>
        </is>
      </c>
      <c r="B133" t="inlineStr">
        <is>
          <t>CHEM-1530</t>
        </is>
      </c>
      <c r="C133" t="n">
        <v>39.513</v>
      </c>
      <c r="D133">
        <f>IFERROR(MATCH($A133,PP_Grid[Intermediate],0),99999)</f>
        <v/>
      </c>
    </row>
    <row r="134">
      <c r="A134" t="inlineStr">
        <is>
          <t>TSP-403</t>
        </is>
      </c>
      <c r="B134" t="inlineStr">
        <is>
          <t>CHEM-1400</t>
        </is>
      </c>
      <c r="C134" t="n">
        <v>6.752</v>
      </c>
      <c r="D134">
        <f>IFERROR(MATCH($A134,PP_Grid[Intermediate],0),99999)</f>
        <v/>
      </c>
    </row>
    <row r="135">
      <c r="A135" t="inlineStr">
        <is>
          <t>TSP-403</t>
        </is>
      </c>
      <c r="B135" t="inlineStr">
        <is>
          <t>CHEM-1260</t>
        </is>
      </c>
      <c r="C135" t="n">
        <v>0.9360000000000001</v>
      </c>
      <c r="D135">
        <f>IFERROR(MATCH($A135,PP_Grid[Intermediate],0),99999)</f>
        <v/>
      </c>
    </row>
    <row r="136">
      <c r="A136" t="inlineStr">
        <is>
          <t>TSP-403</t>
        </is>
      </c>
      <c r="B136" t="inlineStr">
        <is>
          <t>CHEM-1420</t>
        </is>
      </c>
      <c r="C136" t="n">
        <v>1.114</v>
      </c>
      <c r="D136">
        <f>IFERROR(MATCH($A136,PP_Grid[Intermediate],0),99999)</f>
        <v/>
      </c>
    </row>
    <row r="137">
      <c r="A137" t="inlineStr">
        <is>
          <t>TSP-403</t>
        </is>
      </c>
      <c r="B137" t="inlineStr">
        <is>
          <t>CHEM-1650</t>
        </is>
      </c>
      <c r="C137" t="n">
        <v>0.033</v>
      </c>
      <c r="D137">
        <f>IFERROR(MATCH($A137,PP_Grid[Intermediate],0),99999)</f>
        <v/>
      </c>
    </row>
    <row r="138">
      <c r="A138" t="inlineStr">
        <is>
          <t>TSP-403</t>
        </is>
      </c>
      <c r="B138" t="inlineStr">
        <is>
          <t>CHEM-1550</t>
        </is>
      </c>
      <c r="C138" t="n">
        <v>6.344</v>
      </c>
      <c r="D138">
        <f>IFERROR(MATCH($A138,PP_Grid[Intermediate],0),99999)</f>
        <v/>
      </c>
    </row>
    <row r="139">
      <c r="A139" t="inlineStr">
        <is>
          <t>TSP-404</t>
        </is>
      </c>
      <c r="B139" t="inlineStr">
        <is>
          <t>CHEM-1520</t>
        </is>
      </c>
      <c r="C139" t="n">
        <v>35.83</v>
      </c>
      <c r="D139">
        <f>IFERROR(MATCH($A139,PP_Grid[Intermediate],0),99999)</f>
        <v/>
      </c>
    </row>
    <row r="140">
      <c r="A140" t="inlineStr">
        <is>
          <t>TSP-404</t>
        </is>
      </c>
      <c r="B140" t="inlineStr">
        <is>
          <t>CHEM-1530</t>
        </is>
      </c>
      <c r="C140" t="n">
        <v>36.27</v>
      </c>
      <c r="D140">
        <f>IFERROR(MATCH($A140,PP_Grid[Intermediate],0),99999)</f>
        <v/>
      </c>
    </row>
    <row r="141">
      <c r="A141" t="inlineStr">
        <is>
          <t>TSP-404</t>
        </is>
      </c>
      <c r="B141" t="inlineStr">
        <is>
          <t>CHEM-1400</t>
        </is>
      </c>
      <c r="C141" t="n">
        <v>6.268</v>
      </c>
      <c r="D141">
        <f>IFERROR(MATCH($A141,PP_Grid[Intermediate],0),99999)</f>
        <v/>
      </c>
    </row>
    <row r="142">
      <c r="A142" t="inlineStr">
        <is>
          <t>TSP-404</t>
        </is>
      </c>
      <c r="B142" t="inlineStr">
        <is>
          <t>CHEM-1260</t>
        </is>
      </c>
      <c r="C142" t="n">
        <v>1.072</v>
      </c>
      <c r="D142">
        <f>IFERROR(MATCH($A142,PP_Grid[Intermediate],0),99999)</f>
        <v/>
      </c>
    </row>
    <row r="143">
      <c r="A143" t="inlineStr">
        <is>
          <t>TSP-404</t>
        </is>
      </c>
      <c r="B143" t="inlineStr">
        <is>
          <t>CHEM-1420</t>
        </is>
      </c>
      <c r="C143" t="n">
        <v>1.033</v>
      </c>
      <c r="D143">
        <f>IFERROR(MATCH($A143,PP_Grid[Intermediate],0),99999)</f>
        <v/>
      </c>
    </row>
    <row r="144">
      <c r="A144" t="inlineStr">
        <is>
          <t>TSP-404</t>
        </is>
      </c>
      <c r="B144" t="inlineStr">
        <is>
          <t>CHEM-1650</t>
        </is>
      </c>
      <c r="C144" t="n">
        <v>0.031</v>
      </c>
      <c r="D144">
        <f>IFERROR(MATCH($A144,PP_Grid[Intermediate],0),99999)</f>
        <v/>
      </c>
    </row>
    <row r="145">
      <c r="A145" t="inlineStr">
        <is>
          <t>TSP-404</t>
        </is>
      </c>
      <c r="B145" t="inlineStr">
        <is>
          <t>CHEM-1550</t>
        </is>
      </c>
      <c r="C145" t="n">
        <v>4.284</v>
      </c>
      <c r="D145">
        <f>IFERROR(MATCH($A145,PP_Grid[Intermediate],0),99999)</f>
        <v/>
      </c>
    </row>
    <row r="146">
      <c r="A146" t="inlineStr">
        <is>
          <t>TSP-405</t>
        </is>
      </c>
      <c r="B146" t="inlineStr">
        <is>
          <t>CHEM-1520</t>
        </is>
      </c>
      <c r="C146" t="n">
        <v>35.8636</v>
      </c>
      <c r="D146">
        <f>IFERROR(MATCH($A146,PP_Grid[Intermediate],0),99999)</f>
        <v/>
      </c>
    </row>
    <row r="147">
      <c r="A147" t="inlineStr">
        <is>
          <t>TSP-405</t>
        </is>
      </c>
      <c r="B147" t="inlineStr">
        <is>
          <t>CHEM-1530</t>
        </is>
      </c>
      <c r="C147" t="n">
        <v>36.301</v>
      </c>
      <c r="D147">
        <f>IFERROR(MATCH($A147,PP_Grid[Intermediate],0),99999)</f>
        <v/>
      </c>
    </row>
    <row r="148">
      <c r="A148" t="inlineStr">
        <is>
          <t>TSP-405</t>
        </is>
      </c>
      <c r="B148" t="inlineStr">
        <is>
          <t>CHEM-1400</t>
        </is>
      </c>
      <c r="C148" t="n">
        <v>6.273</v>
      </c>
      <c r="D148">
        <f>IFERROR(MATCH($A148,PP_Grid[Intermediate],0),99999)</f>
        <v/>
      </c>
    </row>
    <row r="149">
      <c r="A149" t="inlineStr">
        <is>
          <t>TSP-405</t>
        </is>
      </c>
      <c r="B149" t="inlineStr">
        <is>
          <t>CHEM-1260</t>
        </is>
      </c>
      <c r="C149" t="n">
        <v>1.192</v>
      </c>
      <c r="D149">
        <f>IFERROR(MATCH($A149,PP_Grid[Intermediate],0),99999)</f>
        <v/>
      </c>
    </row>
    <row r="150">
      <c r="A150" t="inlineStr">
        <is>
          <t>TSP-405</t>
        </is>
      </c>
      <c r="B150" t="inlineStr">
        <is>
          <t>CHEM-1420</t>
        </is>
      </c>
      <c r="C150" t="n">
        <v>1.033</v>
      </c>
      <c r="D150">
        <f>IFERROR(MATCH($A150,PP_Grid[Intermediate],0),99999)</f>
        <v/>
      </c>
    </row>
    <row r="151">
      <c r="A151" t="inlineStr">
        <is>
          <t>TSP-405</t>
        </is>
      </c>
      <c r="B151" t="inlineStr">
        <is>
          <t>CHEM-1650</t>
        </is>
      </c>
      <c r="C151" t="n">
        <v>0.031</v>
      </c>
      <c r="D151">
        <f>IFERROR(MATCH($A151,PP_Grid[Intermediate],0),99999)</f>
        <v/>
      </c>
    </row>
    <row r="152">
      <c r="A152" t="inlineStr">
        <is>
          <t>TSP-405</t>
        </is>
      </c>
      <c r="B152" t="inlineStr">
        <is>
          <t>CHEM-1550</t>
        </is>
      </c>
      <c r="C152" t="n">
        <v>4.284</v>
      </c>
      <c r="D152">
        <f>IFERROR(MATCH($A152,PP_Grid[Intermediate],0),99999)</f>
        <v/>
      </c>
    </row>
    <row r="153">
      <c r="A153" t="inlineStr">
        <is>
          <t>TSP-544</t>
        </is>
      </c>
      <c r="B153" t="inlineStr">
        <is>
          <t>CHEM-1410</t>
        </is>
      </c>
      <c r="C153" t="n">
        <v>9.914999999999999</v>
      </c>
      <c r="D153">
        <f>IFERROR(MATCH($A153,PP_Grid[Intermediate],0),99999)</f>
        <v/>
      </c>
    </row>
    <row r="154">
      <c r="A154" t="inlineStr">
        <is>
          <t>TSP-544</t>
        </is>
      </c>
      <c r="B154" t="inlineStr">
        <is>
          <t>CHEM-1400</t>
        </is>
      </c>
      <c r="C154" t="n">
        <v>1.299</v>
      </c>
      <c r="D154">
        <f>IFERROR(MATCH($A154,PP_Grid[Intermediate],0),99999)</f>
        <v/>
      </c>
    </row>
    <row r="155">
      <c r="A155" t="inlineStr">
        <is>
          <t>TSP-544</t>
        </is>
      </c>
      <c r="B155" t="inlineStr">
        <is>
          <t>CHEM-1560</t>
        </is>
      </c>
      <c r="C155" t="n">
        <v>4.938</v>
      </c>
      <c r="D155">
        <f>IFERROR(MATCH($A155,PP_Grid[Intermediate],0),99999)</f>
        <v/>
      </c>
    </row>
    <row r="156">
      <c r="A156" t="inlineStr">
        <is>
          <t>TSP-544</t>
        </is>
      </c>
      <c r="B156" t="inlineStr">
        <is>
          <t>CHEM-1260</t>
        </is>
      </c>
      <c r="C156" t="n">
        <v>1.481</v>
      </c>
      <c r="D156">
        <f>IFERROR(MATCH($A156,PP_Grid[Intermediate],0),99999)</f>
        <v/>
      </c>
    </row>
    <row r="157">
      <c r="A157" t="inlineStr">
        <is>
          <t>TSP-544</t>
        </is>
      </c>
      <c r="B157" t="inlineStr">
        <is>
          <t>CHEM-1510</t>
        </is>
      </c>
      <c r="C157" t="n">
        <v>9.875819999999999</v>
      </c>
      <c r="D157">
        <f>IFERROR(MATCH($A157,PP_Grid[Intermediate],0),99999)</f>
        <v/>
      </c>
    </row>
    <row r="158">
      <c r="A158" t="inlineStr">
        <is>
          <t>TSP-544</t>
        </is>
      </c>
      <c r="B158" t="inlineStr">
        <is>
          <t>CHEM-1420</t>
        </is>
      </c>
      <c r="C158" t="n">
        <v>0.267</v>
      </c>
      <c r="D158">
        <f>IFERROR(MATCH($A158,PP_Grid[Intermediate],0),99999)</f>
        <v/>
      </c>
    </row>
    <row r="159">
      <c r="A159" t="inlineStr">
        <is>
          <t>TSP-544</t>
        </is>
      </c>
      <c r="B159" t="inlineStr">
        <is>
          <t>CHEM-1440</t>
        </is>
      </c>
      <c r="C159" t="n">
        <v>0.731</v>
      </c>
      <c r="D159">
        <f>IFERROR(MATCH($A159,PP_Grid[Intermediate],0),99999)</f>
        <v/>
      </c>
    </row>
    <row r="160">
      <c r="A160" t="inlineStr">
        <is>
          <t>TSP-544</t>
        </is>
      </c>
      <c r="B160" t="inlineStr">
        <is>
          <t>CHEM-1580</t>
        </is>
      </c>
      <c r="C160" t="n">
        <v>13.227</v>
      </c>
      <c r="D160">
        <f>IFERROR(MATCH($A160,PP_Grid[Intermediate],0),99999)</f>
        <v/>
      </c>
    </row>
    <row r="161">
      <c r="A161" t="inlineStr">
        <is>
          <t>TSP-558</t>
        </is>
      </c>
      <c r="B161" t="inlineStr">
        <is>
          <t>CHEM-1520</t>
        </is>
      </c>
      <c r="C161" t="n">
        <v>22.525</v>
      </c>
      <c r="D161">
        <f>IFERROR(MATCH($A161,PP_Grid[Intermediate],0),99999)</f>
        <v/>
      </c>
    </row>
    <row r="162">
      <c r="A162" t="inlineStr">
        <is>
          <t>TSP-558</t>
        </is>
      </c>
      <c r="B162" t="inlineStr">
        <is>
          <t>CHEM-1400</t>
        </is>
      </c>
      <c r="C162" t="n">
        <v>1.181</v>
      </c>
      <c r="D162">
        <f>IFERROR(MATCH($A162,PP_Grid[Intermediate],0),99999)</f>
        <v/>
      </c>
    </row>
    <row r="163">
      <c r="A163" t="inlineStr">
        <is>
          <t>TSP-558</t>
        </is>
      </c>
      <c r="B163" t="inlineStr">
        <is>
          <t>CHEM-1260</t>
        </is>
      </c>
      <c r="C163" t="n">
        <v>1.0769</v>
      </c>
      <c r="D163">
        <f>IFERROR(MATCH($A163,PP_Grid[Intermediate],0),99999)</f>
        <v/>
      </c>
    </row>
    <row r="164">
      <c r="A164" t="inlineStr">
        <is>
          <t>TSP-558</t>
        </is>
      </c>
      <c r="B164" t="inlineStr">
        <is>
          <t>CHEM-1670</t>
        </is>
      </c>
      <c r="C164" t="n">
        <v>5.564</v>
      </c>
      <c r="D164">
        <f>IFERROR(MATCH($A164,PP_Grid[Intermediate],0),99999)</f>
        <v/>
      </c>
    </row>
    <row r="165">
      <c r="A165" t="inlineStr">
        <is>
          <t>TSP-558</t>
        </is>
      </c>
      <c r="B165" t="inlineStr">
        <is>
          <t>CHEM-1420</t>
        </is>
      </c>
      <c r="C165" t="n">
        <v>0.947</v>
      </c>
      <c r="D165">
        <f>IFERROR(MATCH($A165,PP_Grid[Intermediate],0),99999)</f>
        <v/>
      </c>
    </row>
    <row r="166">
      <c r="A166" t="inlineStr">
        <is>
          <t>TSP-558</t>
        </is>
      </c>
      <c r="B166" t="inlineStr">
        <is>
          <t>CHEM-1450</t>
        </is>
      </c>
      <c r="C166" t="n">
        <v>0.274</v>
      </c>
      <c r="D166">
        <f>IFERROR(MATCH($A166,PP_Grid[Intermediate],0),99999)</f>
        <v/>
      </c>
    </row>
    <row r="167">
      <c r="A167" t="inlineStr">
        <is>
          <t>TSP-618</t>
        </is>
      </c>
      <c r="B167" t="inlineStr">
        <is>
          <t>CHEM-1410</t>
        </is>
      </c>
      <c r="C167" t="n">
        <v>9.331</v>
      </c>
      <c r="D167">
        <f>IFERROR(MATCH($A167,PP_Grid[Intermediate],0),99999)</f>
        <v/>
      </c>
    </row>
    <row r="168">
      <c r="A168" t="inlineStr">
        <is>
          <t>TSP-618</t>
        </is>
      </c>
      <c r="B168" t="inlineStr">
        <is>
          <t>CHEM-1520</t>
        </is>
      </c>
      <c r="C168" t="n">
        <v>27.964</v>
      </c>
      <c r="D168">
        <f>IFERROR(MATCH($A168,PP_Grid[Intermediate],0),99999)</f>
        <v/>
      </c>
    </row>
    <row r="169">
      <c r="A169" t="inlineStr">
        <is>
          <t>TSP-618</t>
        </is>
      </c>
      <c r="B169" t="inlineStr">
        <is>
          <t>CHEM-1400</t>
        </is>
      </c>
      <c r="C169" t="n">
        <v>1.22</v>
      </c>
      <c r="D169">
        <f>IFERROR(MATCH($A169,PP_Grid[Intermediate],0),99999)</f>
        <v/>
      </c>
    </row>
    <row r="170">
      <c r="A170" t="inlineStr">
        <is>
          <t>TSP-618</t>
        </is>
      </c>
      <c r="B170" t="inlineStr">
        <is>
          <t>CHEM-1690</t>
        </is>
      </c>
      <c r="C170" t="n">
        <v>9.300000000000001</v>
      </c>
      <c r="D170">
        <f>IFERROR(MATCH($A170,PP_Grid[Intermediate],0),99999)</f>
        <v/>
      </c>
    </row>
    <row r="171">
      <c r="A171" t="inlineStr">
        <is>
          <t>TSP-618</t>
        </is>
      </c>
      <c r="B171" t="inlineStr">
        <is>
          <t>CHEM-1260</t>
        </is>
      </c>
      <c r="C171" t="n">
        <v>0.9293</v>
      </c>
      <c r="D171">
        <f>IFERROR(MATCH($A171,PP_Grid[Intermediate],0),99999)</f>
        <v/>
      </c>
    </row>
    <row r="172">
      <c r="A172" t="inlineStr">
        <is>
          <t>TSP-618</t>
        </is>
      </c>
      <c r="B172" t="inlineStr">
        <is>
          <t>TSZ-616</t>
        </is>
      </c>
      <c r="C172" t="n">
        <v>23.23</v>
      </c>
      <c r="D172">
        <f>IFERROR(MATCH($A172,PP_Grid[Intermediate],0),99999)</f>
        <v/>
      </c>
    </row>
    <row r="173">
      <c r="A173" t="inlineStr">
        <is>
          <t>TSP-618</t>
        </is>
      </c>
      <c r="B173" t="inlineStr">
        <is>
          <t>CHEM-1420</t>
        </is>
      </c>
      <c r="C173" t="n">
        <v>0.378</v>
      </c>
      <c r="D173">
        <f>IFERROR(MATCH($A173,PP_Grid[Intermediate],0),99999)</f>
        <v/>
      </c>
    </row>
    <row r="174">
      <c r="A174" t="inlineStr">
        <is>
          <t>TSP-618</t>
        </is>
      </c>
      <c r="B174" t="inlineStr">
        <is>
          <t>CHEM-1440</t>
        </is>
      </c>
      <c r="C174" t="n">
        <v>1.303</v>
      </c>
      <c r="D174">
        <f>IFERROR(MATCH($A174,PP_Grid[Intermediate],0),99999)</f>
        <v/>
      </c>
    </row>
    <row r="175">
      <c r="A175" t="inlineStr">
        <is>
          <t>TSP-620</t>
        </is>
      </c>
      <c r="B175" t="inlineStr">
        <is>
          <t>CHEM-1520</t>
        </is>
      </c>
      <c r="C175" t="n">
        <v>14.145</v>
      </c>
      <c r="D175">
        <f>IFERROR(MATCH($A175,PP_Grid[Intermediate],0),99999)</f>
        <v/>
      </c>
    </row>
    <row r="176">
      <c r="A176" t="inlineStr">
        <is>
          <t>TSP-620</t>
        </is>
      </c>
      <c r="B176" t="inlineStr">
        <is>
          <t>CHEM-1540</t>
        </is>
      </c>
      <c r="C176" t="n">
        <v>37.1545</v>
      </c>
      <c r="D176">
        <f>IFERROR(MATCH($A176,PP_Grid[Intermediate],0),99999)</f>
        <v/>
      </c>
    </row>
    <row r="177">
      <c r="A177" t="inlineStr">
        <is>
          <t>TSP-620</t>
        </is>
      </c>
      <c r="B177" t="inlineStr">
        <is>
          <t>CHEM-1400</t>
        </is>
      </c>
      <c r="C177" t="n">
        <v>1.06</v>
      </c>
      <c r="D177">
        <f>IFERROR(MATCH($A177,PP_Grid[Intermediate],0),99999)</f>
        <v/>
      </c>
    </row>
    <row r="178">
      <c r="A178" t="inlineStr">
        <is>
          <t>TSP-620</t>
        </is>
      </c>
      <c r="B178" t="inlineStr">
        <is>
          <t>CHEM-1260</t>
        </is>
      </c>
      <c r="C178" t="n">
        <v>0.705</v>
      </c>
      <c r="D178">
        <f>IFERROR(MATCH($A178,PP_Grid[Intermediate],0),99999)</f>
        <v/>
      </c>
    </row>
    <row r="179">
      <c r="A179" t="inlineStr">
        <is>
          <t>TSP-620</t>
        </is>
      </c>
      <c r="B179" t="inlineStr">
        <is>
          <t>CHEM-1420</t>
        </is>
      </c>
      <c r="C179" t="n">
        <v>0.759</v>
      </c>
      <c r="D179">
        <f>IFERROR(MATCH($A179,PP_Grid[Intermediate],0),99999)</f>
        <v/>
      </c>
    </row>
    <row r="180">
      <c r="A180" t="inlineStr">
        <is>
          <t>TSP-620</t>
        </is>
      </c>
      <c r="B180" t="inlineStr">
        <is>
          <t>CHEM-1440</t>
        </is>
      </c>
      <c r="C180" t="n">
        <v>0.534</v>
      </c>
      <c r="D180">
        <f>IFERROR(MATCH($A180,PP_Grid[Intermediate],0),99999)</f>
        <v/>
      </c>
    </row>
    <row r="181">
      <c r="A181" t="inlineStr">
        <is>
          <t>TSP-620</t>
        </is>
      </c>
      <c r="B181" t="inlineStr">
        <is>
          <t>CHEM-1650</t>
        </is>
      </c>
      <c r="C181" t="n">
        <v>0.055</v>
      </c>
      <c r="D181">
        <f>IFERROR(MATCH($A181,PP_Grid[Intermediate],0),99999)</f>
        <v/>
      </c>
    </row>
    <row r="182">
      <c r="A182" t="inlineStr">
        <is>
          <t>TSP-620</t>
        </is>
      </c>
      <c r="B182" t="inlineStr">
        <is>
          <t>CHEM-1010</t>
        </is>
      </c>
      <c r="C182" t="n">
        <v>0.856</v>
      </c>
      <c r="D182">
        <f>IFERROR(MATCH($A182,PP_Grid[Intermediate],0),99999)</f>
        <v/>
      </c>
    </row>
    <row r="183">
      <c r="A183" t="inlineStr">
        <is>
          <t>TSP-620</t>
        </is>
      </c>
      <c r="B183" t="inlineStr">
        <is>
          <t>CHEM-1080</t>
        </is>
      </c>
      <c r="C183" t="n">
        <v>0.856</v>
      </c>
      <c r="D183">
        <f>IFERROR(MATCH($A183,PP_Grid[Intermediate],0),99999)</f>
        <v/>
      </c>
    </row>
    <row r="184">
      <c r="A184" t="inlineStr">
        <is>
          <t>TSP-620</t>
        </is>
      </c>
      <c r="B184" t="inlineStr">
        <is>
          <t>CHEM-1700</t>
        </is>
      </c>
      <c r="C184" t="n">
        <v>0.856</v>
      </c>
      <c r="D184">
        <f>IFERROR(MATCH($A184,PP_Grid[Intermediate],0),99999)</f>
        <v/>
      </c>
    </row>
    <row r="185">
      <c r="A185" t="inlineStr">
        <is>
          <t>TSP-623</t>
        </is>
      </c>
      <c r="B185" t="inlineStr">
        <is>
          <t>CHEM-1520</t>
        </is>
      </c>
      <c r="C185" t="n">
        <v>14.161</v>
      </c>
      <c r="D185">
        <f>IFERROR(MATCH($A185,PP_Grid[Intermediate],0),99999)</f>
        <v/>
      </c>
    </row>
    <row r="186">
      <c r="A186" t="inlineStr">
        <is>
          <t>TSP-623</t>
        </is>
      </c>
      <c r="B186" t="inlineStr">
        <is>
          <t>CHEM-1540</t>
        </is>
      </c>
      <c r="C186" t="n">
        <v>36.855469056</v>
      </c>
      <c r="D186">
        <f>IFERROR(MATCH($A186,PP_Grid[Intermediate],0),99999)</f>
        <v/>
      </c>
    </row>
    <row r="187">
      <c r="A187" t="inlineStr">
        <is>
          <t>TSP-623</t>
        </is>
      </c>
      <c r="B187" t="inlineStr">
        <is>
          <t>CHEM-1400</t>
        </is>
      </c>
      <c r="C187" t="n">
        <v>1.062</v>
      </c>
      <c r="D187">
        <f>IFERROR(MATCH($A187,PP_Grid[Intermediate],0),99999)</f>
        <v/>
      </c>
    </row>
    <row r="188">
      <c r="A188" t="inlineStr">
        <is>
          <t>TSP-623</t>
        </is>
      </c>
      <c r="B188" t="inlineStr">
        <is>
          <t>CHEM-1260</t>
        </is>
      </c>
      <c r="C188" t="n">
        <v>0.706</v>
      </c>
      <c r="D188">
        <f>IFERROR(MATCH($A188,PP_Grid[Intermediate],0),99999)</f>
        <v/>
      </c>
    </row>
    <row r="189">
      <c r="A189" t="inlineStr">
        <is>
          <t>TSP-623</t>
        </is>
      </c>
      <c r="B189" t="inlineStr">
        <is>
          <t>CHEM-1420</t>
        </is>
      </c>
      <c r="C189" t="n">
        <v>0.759</v>
      </c>
      <c r="D189">
        <f>IFERROR(MATCH($A189,PP_Grid[Intermediate],0),99999)</f>
        <v/>
      </c>
    </row>
    <row r="190">
      <c r="A190" t="inlineStr">
        <is>
          <t>TSP-623</t>
        </is>
      </c>
      <c r="B190" t="inlineStr">
        <is>
          <t>CHEM-1440</t>
        </is>
      </c>
      <c r="C190" t="n">
        <v>0.534</v>
      </c>
      <c r="D190">
        <f>IFERROR(MATCH($A190,PP_Grid[Intermediate],0),99999)</f>
        <v/>
      </c>
    </row>
    <row r="191">
      <c r="A191" t="inlineStr">
        <is>
          <t>TSP-623</t>
        </is>
      </c>
      <c r="B191" t="inlineStr">
        <is>
          <t>CHEM-1650</t>
        </is>
      </c>
      <c r="C191" t="n">
        <v>0.055</v>
      </c>
      <c r="D191">
        <f>IFERROR(MATCH($A191,PP_Grid[Intermediate],0),99999)</f>
        <v/>
      </c>
    </row>
    <row r="192">
      <c r="A192" t="inlineStr">
        <is>
          <t>TSP-623</t>
        </is>
      </c>
      <c r="B192" t="inlineStr">
        <is>
          <t>CHEM-1010</t>
        </is>
      </c>
      <c r="C192" t="n">
        <v>0.857</v>
      </c>
      <c r="D192">
        <f>IFERROR(MATCH($A192,PP_Grid[Intermediate],0),99999)</f>
        <v/>
      </c>
    </row>
    <row r="193">
      <c r="A193" t="inlineStr">
        <is>
          <t>TSP-623</t>
        </is>
      </c>
      <c r="B193" t="inlineStr">
        <is>
          <t>CHEM-1080</t>
        </is>
      </c>
      <c r="C193" t="n">
        <v>0.857</v>
      </c>
      <c r="D193">
        <f>IFERROR(MATCH($A193,PP_Grid[Intermediate],0),99999)</f>
        <v/>
      </c>
    </row>
    <row r="194">
      <c r="A194" t="inlineStr">
        <is>
          <t>TSP-623</t>
        </is>
      </c>
      <c r="B194" t="inlineStr">
        <is>
          <t>CHEM-1700</t>
        </is>
      </c>
      <c r="C194" t="n">
        <v>0.857</v>
      </c>
      <c r="D194">
        <f>IFERROR(MATCH($A194,PP_Grid[Intermediate],0),99999)</f>
        <v/>
      </c>
    </row>
    <row r="195">
      <c r="A195" t="inlineStr">
        <is>
          <t>TSP-655</t>
        </is>
      </c>
      <c r="B195" t="inlineStr">
        <is>
          <t>CHEM-1530</t>
        </is>
      </c>
      <c r="C195" t="n">
        <v>55.046</v>
      </c>
      <c r="D195">
        <f>IFERROR(MATCH($A195,PP_Grid[Intermediate],0),99999)</f>
        <v/>
      </c>
    </row>
    <row r="196">
      <c r="A196" t="inlineStr">
        <is>
          <t>TSP-655</t>
        </is>
      </c>
      <c r="B196" t="inlineStr">
        <is>
          <t>CHEM-1400</t>
        </is>
      </c>
      <c r="C196" t="n">
        <v>3.136</v>
      </c>
      <c r="D196">
        <f>IFERROR(MATCH($A196,PP_Grid[Intermediate],0),99999)</f>
        <v/>
      </c>
    </row>
    <row r="197">
      <c r="A197" t="inlineStr">
        <is>
          <t>TSP-655</t>
        </is>
      </c>
      <c r="B197" t="inlineStr">
        <is>
          <t>CHEM-1260</t>
        </is>
      </c>
      <c r="C197" t="n">
        <v>1.43</v>
      </c>
      <c r="D197">
        <f>IFERROR(MATCH($A197,PP_Grid[Intermediate],0),99999)</f>
        <v/>
      </c>
    </row>
    <row r="198">
      <c r="A198" t="inlineStr">
        <is>
          <t>TSP-655</t>
        </is>
      </c>
      <c r="B198" t="inlineStr">
        <is>
          <t>CHEM-1420</t>
        </is>
      </c>
      <c r="C198" t="n">
        <v>0.894</v>
      </c>
      <c r="D198">
        <f>IFERROR(MATCH($A198,PP_Grid[Intermediate],0),99999)</f>
        <v/>
      </c>
    </row>
    <row r="199">
      <c r="A199" t="inlineStr">
        <is>
          <t>TSP-655</t>
        </is>
      </c>
      <c r="B199" t="inlineStr">
        <is>
          <t>CHEM-1650</t>
        </is>
      </c>
      <c r="C199" t="n">
        <v>0.031</v>
      </c>
      <c r="D199">
        <f>IFERROR(MATCH($A199,PP_Grid[Intermediate],0),99999)</f>
        <v/>
      </c>
    </row>
    <row r="200">
      <c r="A200" t="inlineStr">
        <is>
          <t>TSP-655</t>
        </is>
      </c>
      <c r="B200" t="inlineStr">
        <is>
          <t>CHEM-1660</t>
        </is>
      </c>
      <c r="C200" t="n">
        <v>7.746</v>
      </c>
      <c r="D200">
        <f>IFERROR(MATCH($A200,PP_Grid[Intermediate],0),99999)</f>
        <v/>
      </c>
    </row>
    <row r="201">
      <c r="A201" t="inlineStr">
        <is>
          <t>TSP-656</t>
        </is>
      </c>
      <c r="B201" t="inlineStr">
        <is>
          <t>CHEM-1400</t>
        </is>
      </c>
      <c r="C201" t="n">
        <v>2.813</v>
      </c>
      <c r="D201">
        <f>IFERROR(MATCH($A201,PP_Grid[Intermediate],0),99999)</f>
        <v/>
      </c>
    </row>
    <row r="202">
      <c r="A202" t="inlineStr">
        <is>
          <t>TSP-656</t>
        </is>
      </c>
      <c r="B202" t="inlineStr">
        <is>
          <t>CHEM-1250</t>
        </is>
      </c>
      <c r="C202" t="n">
        <v>5.783</v>
      </c>
      <c r="D202">
        <f>IFERROR(MATCH($A202,PP_Grid[Intermediate],0),99999)</f>
        <v/>
      </c>
    </row>
    <row r="203">
      <c r="A203" t="inlineStr">
        <is>
          <t>TSP-656</t>
        </is>
      </c>
      <c r="B203" t="inlineStr">
        <is>
          <t>CHEM-1260</t>
        </is>
      </c>
      <c r="C203" t="n">
        <v>1.14</v>
      </c>
      <c r="D203">
        <f>IFERROR(MATCH($A203,PP_Grid[Intermediate],0),99999)</f>
        <v/>
      </c>
    </row>
    <row r="204">
      <c r="A204" t="inlineStr">
        <is>
          <t>TSP-656</t>
        </is>
      </c>
      <c r="B204" t="inlineStr">
        <is>
          <t>CHEM-1420</t>
        </is>
      </c>
      <c r="C204" t="n">
        <v>0.991</v>
      </c>
      <c r="D204">
        <f>IFERROR(MATCH($A204,PP_Grid[Intermediate],0),99999)</f>
        <v/>
      </c>
    </row>
    <row r="205">
      <c r="A205" t="inlineStr">
        <is>
          <t>TSP-656</t>
        </is>
      </c>
      <c r="B205" t="inlineStr">
        <is>
          <t>CHEM-1660</t>
        </is>
      </c>
      <c r="C205" t="n">
        <v>6.557</v>
      </c>
      <c r="D205">
        <f>IFERROR(MATCH($A205,PP_Grid[Intermediate],0),99999)</f>
        <v/>
      </c>
    </row>
    <row r="206">
      <c r="A206" t="inlineStr">
        <is>
          <t>TSP-668</t>
        </is>
      </c>
      <c r="B206" t="inlineStr">
        <is>
          <t>CHEM-1490</t>
        </is>
      </c>
      <c r="C206" t="n">
        <v>64.626</v>
      </c>
      <c r="D206">
        <f>IFERROR(MATCH($A206,PP_Grid[Intermediate],0),99999)</f>
        <v/>
      </c>
    </row>
    <row r="207">
      <c r="A207" t="inlineStr">
        <is>
          <t>TSP-668</t>
        </is>
      </c>
      <c r="B207" t="inlineStr">
        <is>
          <t>CHEM-1250</t>
        </is>
      </c>
      <c r="C207" t="n">
        <v>19.289</v>
      </c>
      <c r="D207">
        <f>IFERROR(MATCH($A207,PP_Grid[Intermediate],0),99999)</f>
        <v/>
      </c>
    </row>
    <row r="208">
      <c r="A208" t="inlineStr">
        <is>
          <t>TSP-668</t>
        </is>
      </c>
      <c r="B208" t="inlineStr">
        <is>
          <t>CHEM-1260</t>
        </is>
      </c>
      <c r="C208" t="n">
        <v>1.242</v>
      </c>
      <c r="D208">
        <f>IFERROR(MATCH($A208,PP_Grid[Intermediate],0),99999)</f>
        <v/>
      </c>
    </row>
    <row r="209">
      <c r="A209" t="inlineStr">
        <is>
          <t>TSP-668</t>
        </is>
      </c>
      <c r="B209" t="inlineStr">
        <is>
          <t>CHEM-1240</t>
        </is>
      </c>
      <c r="C209" t="n">
        <v>24.62</v>
      </c>
      <c r="D209">
        <f>IFERROR(MATCH($A209,PP_Grid[Intermediate],0),99999)</f>
        <v/>
      </c>
    </row>
    <row r="210">
      <c r="A210" t="inlineStr">
        <is>
          <t>TSP-668</t>
        </is>
      </c>
      <c r="B210" t="inlineStr">
        <is>
          <t>CHEM-1420</t>
        </is>
      </c>
      <c r="C210" t="n">
        <v>1.115</v>
      </c>
      <c r="D210">
        <f>IFERROR(MATCH($A210,PP_Grid[Intermediate],0),99999)</f>
        <v/>
      </c>
    </row>
    <row r="211">
      <c r="A211" t="inlineStr">
        <is>
          <t>TSP-668</t>
        </is>
      </c>
      <c r="B211" t="inlineStr">
        <is>
          <t>CHEM-1440</t>
        </is>
      </c>
      <c r="C211" t="n">
        <v>1.901</v>
      </c>
      <c r="D211">
        <f>IFERROR(MATCH($A211,PP_Grid[Intermediate],0),99999)</f>
        <v/>
      </c>
    </row>
    <row r="212">
      <c r="A212" t="inlineStr">
        <is>
          <t>TSP-669</t>
        </is>
      </c>
      <c r="B212" t="inlineStr">
        <is>
          <t>CHEM-1490</t>
        </is>
      </c>
      <c r="C212" t="n">
        <v>60.03</v>
      </c>
      <c r="D212">
        <f>IFERROR(MATCH($A212,PP_Grid[Intermediate],0),99999)</f>
        <v/>
      </c>
    </row>
    <row r="213">
      <c r="A213" t="inlineStr">
        <is>
          <t>TSP-669</t>
        </is>
      </c>
      <c r="B213" t="inlineStr">
        <is>
          <t>CHEM-1250</t>
        </is>
      </c>
      <c r="C213" t="n">
        <v>17.92</v>
      </c>
      <c r="D213">
        <f>IFERROR(MATCH($A213,PP_Grid[Intermediate],0),99999)</f>
        <v/>
      </c>
    </row>
    <row r="214">
      <c r="A214" t="inlineStr">
        <is>
          <t>TSP-669</t>
        </is>
      </c>
      <c r="B214" t="inlineStr">
        <is>
          <t>CHEM-1260</t>
        </is>
      </c>
      <c r="C214" t="n">
        <v>1.15</v>
      </c>
      <c r="D214">
        <f>IFERROR(MATCH($A214,PP_Grid[Intermediate],0),99999)</f>
        <v/>
      </c>
    </row>
    <row r="215">
      <c r="A215" t="inlineStr">
        <is>
          <t>TSP-669</t>
        </is>
      </c>
      <c r="B215" t="inlineStr">
        <is>
          <t>CHEM-1240</t>
        </is>
      </c>
      <c r="C215" t="n">
        <v>22.87</v>
      </c>
      <c r="D215">
        <f>IFERROR(MATCH($A215,PP_Grid[Intermediate],0),99999)</f>
        <v/>
      </c>
    </row>
    <row r="216">
      <c r="A216" t="inlineStr">
        <is>
          <t>TSP-669</t>
        </is>
      </c>
      <c r="B216" t="inlineStr">
        <is>
          <t>CHEM-1420</t>
        </is>
      </c>
      <c r="C216" t="n">
        <v>1.154303001</v>
      </c>
      <c r="D216">
        <f>IFERROR(MATCH($A216,PP_Grid[Intermediate],0),99999)</f>
        <v/>
      </c>
    </row>
    <row r="217">
      <c r="A217" t="inlineStr">
        <is>
          <t>TSP-669</t>
        </is>
      </c>
      <c r="B217" t="inlineStr">
        <is>
          <t>CHEM-1440</t>
        </is>
      </c>
      <c r="C217" t="n">
        <v>1.412729046</v>
      </c>
      <c r="D217">
        <f>IFERROR(MATCH($A217,PP_Grid[Intermediate],0),99999)</f>
        <v/>
      </c>
    </row>
    <row r="218">
      <c r="A218" t="inlineStr">
        <is>
          <t>TSP-670</t>
        </is>
      </c>
      <c r="B218" t="inlineStr">
        <is>
          <t>CHEM-1490</t>
        </is>
      </c>
      <c r="C218" t="n">
        <v>61.303</v>
      </c>
      <c r="D218">
        <f>IFERROR(MATCH($A218,PP_Grid[Intermediate],0),99999)</f>
        <v/>
      </c>
    </row>
    <row r="219">
      <c r="A219" t="inlineStr">
        <is>
          <t>TSP-670</t>
        </is>
      </c>
      <c r="B219" t="inlineStr">
        <is>
          <t>CHEM-1250</t>
        </is>
      </c>
      <c r="C219" t="n">
        <v>18.297</v>
      </c>
      <c r="D219">
        <f>IFERROR(MATCH($A219,PP_Grid[Intermediate],0),99999)</f>
        <v/>
      </c>
    </row>
    <row r="220">
      <c r="A220" t="inlineStr">
        <is>
          <t>TSP-670</t>
        </is>
      </c>
      <c r="B220" t="inlineStr">
        <is>
          <t>CHEM-1260</t>
        </is>
      </c>
      <c r="C220" t="n">
        <v>1.166</v>
      </c>
      <c r="D220">
        <f>IFERROR(MATCH($A220,PP_Grid[Intermediate],0),99999)</f>
        <v/>
      </c>
    </row>
    <row r="221">
      <c r="A221" t="inlineStr">
        <is>
          <t>TSP-670</t>
        </is>
      </c>
      <c r="B221" t="inlineStr">
        <is>
          <t>CHEM-1240</t>
        </is>
      </c>
      <c r="C221" t="n">
        <v>23.354</v>
      </c>
      <c r="D221">
        <f>IFERROR(MATCH($A221,PP_Grid[Intermediate],0),99999)</f>
        <v/>
      </c>
    </row>
    <row r="222">
      <c r="A222" t="inlineStr">
        <is>
          <t>TSP-670</t>
        </is>
      </c>
      <c r="B222" t="inlineStr">
        <is>
          <t>CHEM-1420</t>
        </is>
      </c>
      <c r="C222" t="n">
        <v>1.286</v>
      </c>
      <c r="D222">
        <f>IFERROR(MATCH($A222,PP_Grid[Intermediate],0),99999)</f>
        <v/>
      </c>
    </row>
    <row r="223">
      <c r="A223" t="inlineStr">
        <is>
          <t>TSP-670</t>
        </is>
      </c>
      <c r="B223" t="inlineStr">
        <is>
          <t>CHEM-1440</t>
        </is>
      </c>
      <c r="C223" t="n">
        <v>1.407</v>
      </c>
      <c r="D223">
        <f>IFERROR(MATCH($A223,PP_Grid[Intermediate],0),99999)</f>
        <v/>
      </c>
    </row>
    <row r="224">
      <c r="A224" t="inlineStr">
        <is>
          <t>TSP-699</t>
        </is>
      </c>
      <c r="B224" t="inlineStr">
        <is>
          <t>CHEM-1490</t>
        </is>
      </c>
      <c r="C224" t="n">
        <v>60.033</v>
      </c>
      <c r="D224">
        <f>IFERROR(MATCH($A224,PP_Grid[Intermediate],0),99999)</f>
        <v/>
      </c>
    </row>
    <row r="225">
      <c r="A225" t="inlineStr">
        <is>
          <t>TSP-699</t>
        </is>
      </c>
      <c r="B225" t="inlineStr">
        <is>
          <t>CHEM-1250</t>
        </is>
      </c>
      <c r="C225" t="n">
        <v>17.918</v>
      </c>
      <c r="D225">
        <f>IFERROR(MATCH($A225,PP_Grid[Intermediate],0),99999)</f>
        <v/>
      </c>
    </row>
    <row r="226">
      <c r="A226" t="inlineStr">
        <is>
          <t>TSP-699</t>
        </is>
      </c>
      <c r="B226" t="inlineStr">
        <is>
          <t>CHEM-1260</t>
        </is>
      </c>
      <c r="C226" t="n">
        <v>1.154</v>
      </c>
      <c r="D226">
        <f>IFERROR(MATCH($A226,PP_Grid[Intermediate],0),99999)</f>
        <v/>
      </c>
    </row>
    <row r="227">
      <c r="A227" t="inlineStr">
        <is>
          <t>TSP-699</t>
        </is>
      </c>
      <c r="B227" t="inlineStr">
        <is>
          <t>CHEM-1240</t>
        </is>
      </c>
      <c r="C227" t="n">
        <v>22.871</v>
      </c>
      <c r="D227">
        <f>IFERROR(MATCH($A227,PP_Grid[Intermediate],0),99999)</f>
        <v/>
      </c>
    </row>
    <row r="228">
      <c r="A228" t="inlineStr">
        <is>
          <t>TSP-699</t>
        </is>
      </c>
      <c r="B228" t="inlineStr">
        <is>
          <t>CHEM-1420</t>
        </is>
      </c>
      <c r="C228" t="n">
        <v>1.154</v>
      </c>
      <c r="D228">
        <f>IFERROR(MATCH($A228,PP_Grid[Intermediate],0),99999)</f>
        <v/>
      </c>
    </row>
    <row r="229">
      <c r="A229" t="inlineStr">
        <is>
          <t>TSP-699</t>
        </is>
      </c>
      <c r="B229" t="inlineStr">
        <is>
          <t>CHEM-1440</t>
        </is>
      </c>
      <c r="C229" t="n">
        <v>1.413</v>
      </c>
      <c r="D229">
        <f>IFERROR(MATCH($A229,PP_Grid[Intermediate],0),99999)</f>
        <v/>
      </c>
    </row>
    <row r="230">
      <c r="A230" t="inlineStr">
        <is>
          <t>TSP-710</t>
        </is>
      </c>
      <c r="B230" t="inlineStr">
        <is>
          <t>CHEM-1410</t>
        </is>
      </c>
      <c r="C230" t="n">
        <v>9.065</v>
      </c>
      <c r="D230">
        <f>IFERROR(MATCH($A230,PP_Grid[Intermediate],0),99999)</f>
        <v/>
      </c>
    </row>
    <row r="231">
      <c r="A231" t="inlineStr">
        <is>
          <t>TSP-710</t>
        </is>
      </c>
      <c r="B231" t="inlineStr">
        <is>
          <t>CHEM-1400</t>
        </is>
      </c>
      <c r="C231" t="n">
        <v>3.564</v>
      </c>
      <c r="D231">
        <f>IFERROR(MATCH($A231,PP_Grid[Intermediate],0),99999)</f>
        <v/>
      </c>
    </row>
    <row r="232">
      <c r="A232" t="inlineStr">
        <is>
          <t>TSP-710</t>
        </is>
      </c>
      <c r="B232" t="inlineStr">
        <is>
          <t>CHEM-1560</t>
        </is>
      </c>
      <c r="C232" t="n">
        <v>4.514</v>
      </c>
      <c r="D232">
        <f>IFERROR(MATCH($A232,PP_Grid[Intermediate],0),99999)</f>
        <v/>
      </c>
    </row>
    <row r="233">
      <c r="A233" t="inlineStr">
        <is>
          <t>TSP-710</t>
        </is>
      </c>
      <c r="B233" t="inlineStr">
        <is>
          <t>CHEM-1260</t>
        </is>
      </c>
      <c r="C233" t="n">
        <v>1.625</v>
      </c>
      <c r="D233">
        <f>IFERROR(MATCH($A233,PP_Grid[Intermediate],0),99999)</f>
        <v/>
      </c>
    </row>
    <row r="234">
      <c r="A234" t="inlineStr">
        <is>
          <t>TSP-710</t>
        </is>
      </c>
      <c r="B234" t="inlineStr">
        <is>
          <t>CHEM-1510</t>
        </is>
      </c>
      <c r="C234" t="n">
        <v>4.334</v>
      </c>
      <c r="D234">
        <f>IFERROR(MATCH($A234,PP_Grid[Intermediate],0),99999)</f>
        <v/>
      </c>
    </row>
    <row r="235">
      <c r="A235" t="inlineStr">
        <is>
          <t>TSP-710</t>
        </is>
      </c>
      <c r="B235" t="inlineStr">
        <is>
          <t>CHEM-1420</t>
        </is>
      </c>
      <c r="C235" t="n">
        <v>0.502</v>
      </c>
      <c r="D235">
        <f>IFERROR(MATCH($A235,PP_Grid[Intermediate],0),99999)</f>
        <v/>
      </c>
    </row>
    <row r="236">
      <c r="A236" t="inlineStr">
        <is>
          <t>TSP-710</t>
        </is>
      </c>
      <c r="B236" t="inlineStr">
        <is>
          <t>CHEM-1440</t>
        </is>
      </c>
      <c r="C236" t="n">
        <v>0.359</v>
      </c>
      <c r="D236">
        <f>IFERROR(MATCH($A236,PP_Grid[Intermediate],0),99999)</f>
        <v/>
      </c>
    </row>
    <row r="237">
      <c r="A237" t="inlineStr">
        <is>
          <t>TSP-710</t>
        </is>
      </c>
      <c r="B237" t="inlineStr">
        <is>
          <t>CHEM-1580</t>
        </is>
      </c>
      <c r="C237" t="n">
        <v>20.155</v>
      </c>
      <c r="D237">
        <f>IFERROR(MATCH($A237,PP_Grid[Intermediate],0),99999)</f>
        <v/>
      </c>
    </row>
    <row r="238">
      <c r="A238" t="inlineStr">
        <is>
          <t>TSP-828</t>
        </is>
      </c>
      <c r="B238" t="inlineStr">
        <is>
          <t>CHEM-1410</t>
        </is>
      </c>
      <c r="C238" t="n">
        <v>5.903</v>
      </c>
      <c r="D238">
        <f>IFERROR(MATCH($A238,PP_Grid[Intermediate],0),99999)</f>
        <v/>
      </c>
    </row>
    <row r="239">
      <c r="A239" t="inlineStr">
        <is>
          <t>TSP-828</t>
        </is>
      </c>
      <c r="B239" t="inlineStr">
        <is>
          <t>CHEM-1490</t>
        </is>
      </c>
      <c r="C239" t="n">
        <v>48.436</v>
      </c>
      <c r="D239">
        <f>IFERROR(MATCH($A239,PP_Grid[Intermediate],0),99999)</f>
        <v/>
      </c>
    </row>
    <row r="240">
      <c r="A240" t="inlineStr">
        <is>
          <t>TSP-828</t>
        </is>
      </c>
      <c r="B240" t="inlineStr">
        <is>
          <t>CHEM-1400</t>
        </is>
      </c>
      <c r="C240" t="n">
        <v>3.103</v>
      </c>
      <c r="D240">
        <f>IFERROR(MATCH($A240,PP_Grid[Intermediate],0),99999)</f>
        <v/>
      </c>
    </row>
    <row r="241">
      <c r="A241" t="inlineStr">
        <is>
          <t>TSP-828</t>
        </is>
      </c>
      <c r="B241" t="inlineStr">
        <is>
          <t>CHEM-1600</t>
        </is>
      </c>
      <c r="C241" t="n">
        <v>3.607</v>
      </c>
      <c r="D241">
        <f>IFERROR(MATCH($A241,PP_Grid[Intermediate],0),99999)</f>
        <v/>
      </c>
    </row>
    <row r="242">
      <c r="A242" t="inlineStr">
        <is>
          <t>TSP-828</t>
        </is>
      </c>
      <c r="B242" t="inlineStr">
        <is>
          <t>CHEM-1260</t>
        </is>
      </c>
      <c r="C242" t="n">
        <v>1.297</v>
      </c>
      <c r="D242">
        <f>IFERROR(MATCH($A242,PP_Grid[Intermediate],0),99999)</f>
        <v/>
      </c>
    </row>
    <row r="243">
      <c r="A243" t="inlineStr">
        <is>
          <t>TSP-828</t>
        </is>
      </c>
      <c r="B243" t="inlineStr">
        <is>
          <t>CHEM-1420</t>
        </is>
      </c>
      <c r="C243" t="n">
        <v>0.837</v>
      </c>
      <c r="D243">
        <f>IFERROR(MATCH($A243,PP_Grid[Intermediate],0),99999)</f>
        <v/>
      </c>
    </row>
    <row r="244">
      <c r="A244" t="inlineStr">
        <is>
          <t>TSP-828</t>
        </is>
      </c>
      <c r="B244" t="inlineStr">
        <is>
          <t>CHEM-1440</t>
        </is>
      </c>
      <c r="C244" t="n">
        <v>0.707</v>
      </c>
      <c r="D244">
        <f>IFERROR(MATCH($A244,PP_Grid[Intermediate],0),99999)</f>
        <v/>
      </c>
    </row>
    <row r="245">
      <c r="A245" t="inlineStr">
        <is>
          <t>TSP-903</t>
        </is>
      </c>
      <c r="B245" t="inlineStr">
        <is>
          <t>CHEM-1520</t>
        </is>
      </c>
      <c r="C245" t="n">
        <v>21.81</v>
      </c>
      <c r="D245">
        <f>IFERROR(MATCH($A245,PP_Grid[Intermediate],0),99999)</f>
        <v/>
      </c>
    </row>
    <row r="246">
      <c r="A246" t="inlineStr">
        <is>
          <t>TSP-903</t>
        </is>
      </c>
      <c r="B246" t="inlineStr">
        <is>
          <t>CHEM-1530</t>
        </is>
      </c>
      <c r="C246" t="n">
        <v>13.09</v>
      </c>
      <c r="D246">
        <f>IFERROR(MATCH($A246,PP_Grid[Intermediate],0),99999)</f>
        <v/>
      </c>
    </row>
    <row r="247">
      <c r="A247" t="inlineStr">
        <is>
          <t>TSP-903</t>
        </is>
      </c>
      <c r="B247" t="inlineStr">
        <is>
          <t>CHEM-1400</t>
        </is>
      </c>
      <c r="C247" t="n">
        <v>3.444</v>
      </c>
      <c r="D247">
        <f>IFERROR(MATCH($A247,PP_Grid[Intermediate],0),99999)</f>
        <v/>
      </c>
    </row>
    <row r="248">
      <c r="A248" t="inlineStr">
        <is>
          <t>TSP-903</t>
        </is>
      </c>
      <c r="B248" t="inlineStr">
        <is>
          <t>CHEM-1690</t>
        </is>
      </c>
      <c r="C248" t="n">
        <v>8.734</v>
      </c>
      <c r="D248">
        <f>IFERROR(MATCH($A248,PP_Grid[Intermediate],0),99999)</f>
        <v/>
      </c>
    </row>
    <row r="249">
      <c r="A249" t="inlineStr">
        <is>
          <t>TSP-903</t>
        </is>
      </c>
      <c r="B249" t="inlineStr">
        <is>
          <t>CHEM-1670</t>
        </is>
      </c>
      <c r="C249" t="n">
        <v>3.002</v>
      </c>
      <c r="D249">
        <f>IFERROR(MATCH($A249,PP_Grid[Intermediate],0),99999)</f>
        <v/>
      </c>
    </row>
    <row r="250">
      <c r="A250" t="inlineStr">
        <is>
          <t>TSP-903</t>
        </is>
      </c>
      <c r="B250" t="inlineStr">
        <is>
          <t>CHEM-1420</t>
        </is>
      </c>
      <c r="C250" t="n">
        <v>0.179</v>
      </c>
      <c r="D250">
        <f>IFERROR(MATCH($A250,PP_Grid[Intermediate],0),99999)</f>
        <v/>
      </c>
    </row>
    <row r="251">
      <c r="A251" t="inlineStr">
        <is>
          <t>TSP-903</t>
        </is>
      </c>
      <c r="B251" t="inlineStr">
        <is>
          <t>CHEM-1440</t>
        </is>
      </c>
      <c r="C251" t="n">
        <v>0.524</v>
      </c>
      <c r="D251">
        <f>IFERROR(MATCH($A251,PP_Grid[Intermediate],0),99999)</f>
        <v/>
      </c>
    </row>
    <row r="252">
      <c r="A252" t="inlineStr">
        <is>
          <t>TSP-903</t>
        </is>
      </c>
      <c r="B252" t="inlineStr">
        <is>
          <t>CHEM-1650</t>
        </is>
      </c>
      <c r="C252" t="n">
        <v>0.036</v>
      </c>
      <c r="D252">
        <f>IFERROR(MATCH($A252,PP_Grid[Intermediate],0),99999)</f>
        <v/>
      </c>
    </row>
    <row r="253">
      <c r="A253" t="inlineStr">
        <is>
          <t>TSP-903</t>
        </is>
      </c>
      <c r="B253" t="inlineStr">
        <is>
          <t>CHEM-1780</t>
        </is>
      </c>
      <c r="C253" t="n">
        <v>0.051</v>
      </c>
      <c r="D253">
        <f>IFERROR(MATCH($A253,PP_Grid[Intermediate],0),99999)</f>
        <v/>
      </c>
    </row>
    <row r="254">
      <c r="A254" t="inlineStr">
        <is>
          <t>TSP-924</t>
        </is>
      </c>
      <c r="B254" t="inlineStr">
        <is>
          <t>CHEM-1410</t>
        </is>
      </c>
      <c r="C254" t="n">
        <v>38.664</v>
      </c>
      <c r="D254">
        <f>IFERROR(MATCH($A254,PP_Grid[Intermediate],0),99999)</f>
        <v/>
      </c>
    </row>
    <row r="255">
      <c r="A255" t="inlineStr">
        <is>
          <t>TSP-924</t>
        </is>
      </c>
      <c r="B255" t="inlineStr">
        <is>
          <t>CHEM-1750</t>
        </is>
      </c>
      <c r="C255" t="n">
        <v>8.032999999999999</v>
      </c>
      <c r="D255">
        <f>IFERROR(MATCH($A255,PP_Grid[Intermediate],0),99999)</f>
        <v/>
      </c>
    </row>
    <row r="256">
      <c r="A256" t="inlineStr">
        <is>
          <t>TSP-924</t>
        </is>
      </c>
      <c r="B256" t="inlineStr">
        <is>
          <t>CHEM-1260</t>
        </is>
      </c>
      <c r="C256" t="n">
        <v>4.953</v>
      </c>
      <c r="D256">
        <f>IFERROR(MATCH($A256,PP_Grid[Intermediate],0),99999)</f>
        <v/>
      </c>
    </row>
    <row r="257">
      <c r="A257" t="inlineStr">
        <is>
          <t>TSP-924</t>
        </is>
      </c>
      <c r="B257" t="inlineStr">
        <is>
          <t>TSZ-616</t>
        </is>
      </c>
      <c r="C257" t="n">
        <v>73.622</v>
      </c>
      <c r="D257">
        <f>IFERROR(MATCH($A257,PP_Grid[Intermediate],0),99999)</f>
        <v/>
      </c>
    </row>
    <row r="258">
      <c r="A258" t="inlineStr">
        <is>
          <t>TSP-924</t>
        </is>
      </c>
      <c r="B258" t="inlineStr">
        <is>
          <t>CHEM-1420</t>
        </is>
      </c>
      <c r="C258" t="n">
        <v>0.86</v>
      </c>
      <c r="D258">
        <f>IFERROR(MATCH($A258,PP_Grid[Intermediate],0),99999)</f>
        <v/>
      </c>
    </row>
    <row r="259">
      <c r="A259" t="inlineStr">
        <is>
          <t>TSP-924</t>
        </is>
      </c>
      <c r="B259" t="inlineStr">
        <is>
          <t>CHEM-1440</t>
        </is>
      </c>
      <c r="C259" t="n">
        <v>1.812</v>
      </c>
      <c r="D259">
        <f>IFERROR(MATCH($A259,PP_Grid[Intermediate],0),99999)</f>
        <v/>
      </c>
    </row>
    <row r="260">
      <c r="A260" t="inlineStr">
        <is>
          <t>TSP-925</t>
        </is>
      </c>
      <c r="B260" t="inlineStr">
        <is>
          <t>CHEM-1410</t>
        </is>
      </c>
      <c r="C260" t="n">
        <v>38.826</v>
      </c>
      <c r="D260">
        <f>IFERROR(MATCH($A260,PP_Grid[Intermediate],0),99999)</f>
        <v/>
      </c>
    </row>
    <row r="261">
      <c r="A261" t="inlineStr">
        <is>
          <t>TSP-925</t>
        </is>
      </c>
      <c r="B261" t="inlineStr">
        <is>
          <t>CHEM-1750</t>
        </is>
      </c>
      <c r="C261" t="n">
        <v>8.050000000000001</v>
      </c>
      <c r="D261">
        <f>IFERROR(MATCH($A261,PP_Grid[Intermediate],0),99999)</f>
        <v/>
      </c>
    </row>
    <row r="262">
      <c r="A262" t="inlineStr">
        <is>
          <t>TSP-925</t>
        </is>
      </c>
      <c r="B262" t="inlineStr">
        <is>
          <t>CHEM-1260</t>
        </is>
      </c>
      <c r="C262" t="n">
        <v>5.019</v>
      </c>
      <c r="D262">
        <f>IFERROR(MATCH($A262,PP_Grid[Intermediate],0),99999)</f>
        <v/>
      </c>
    </row>
    <row r="263">
      <c r="A263" t="inlineStr">
        <is>
          <t>TSP-925</t>
        </is>
      </c>
      <c r="B263" t="inlineStr">
        <is>
          <t>TSZ-616</t>
        </is>
      </c>
      <c r="C263" t="n">
        <v>74.152</v>
      </c>
      <c r="D263">
        <f>IFERROR(MATCH($A263,PP_Grid[Intermediate],0),99999)</f>
        <v/>
      </c>
    </row>
    <row r="264">
      <c r="A264" t="inlineStr">
        <is>
          <t>TSP-925</t>
        </is>
      </c>
      <c r="B264" t="inlineStr">
        <is>
          <t>CHEM-1420</t>
        </is>
      </c>
      <c r="C264" t="n">
        <v>0.867</v>
      </c>
      <c r="D264">
        <f>IFERROR(MATCH($A264,PP_Grid[Intermediate],0),99999)</f>
        <v/>
      </c>
    </row>
    <row r="265">
      <c r="A265" t="inlineStr">
        <is>
          <t>TSP-925</t>
        </is>
      </c>
      <c r="B265" t="inlineStr">
        <is>
          <t>CHEM-1440</t>
        </is>
      </c>
      <c r="C265" t="n">
        <v>1.825</v>
      </c>
      <c r="D265">
        <f>IFERROR(MATCH($A265,PP_Grid[Intermediate],0),99999)</f>
        <v/>
      </c>
    </row>
    <row r="266">
      <c r="A266" t="inlineStr">
        <is>
          <t>TSP-927</t>
        </is>
      </c>
      <c r="B266" t="inlineStr">
        <is>
          <t>CHEM-1540</t>
        </is>
      </c>
      <c r="C266" t="n">
        <v>63.66</v>
      </c>
      <c r="D266">
        <f>IFERROR(MATCH($A266,PP_Grid[Intermediate],0),99999)</f>
        <v/>
      </c>
    </row>
    <row r="267">
      <c r="A267" t="inlineStr">
        <is>
          <t>TSP-927</t>
        </is>
      </c>
      <c r="B267" t="inlineStr">
        <is>
          <t>CHEM-1740</t>
        </is>
      </c>
      <c r="C267" t="n">
        <v>29.71</v>
      </c>
      <c r="D267">
        <f>IFERROR(MATCH($A267,PP_Grid[Intermediate],0),99999)</f>
        <v/>
      </c>
    </row>
    <row r="268">
      <c r="A268" t="inlineStr">
        <is>
          <t>TSP-927</t>
        </is>
      </c>
      <c r="B268" t="inlineStr">
        <is>
          <t>CHEM-1750</t>
        </is>
      </c>
      <c r="C268" t="n">
        <v>2.32</v>
      </c>
      <c r="D268">
        <f>IFERROR(MATCH($A268,PP_Grid[Intermediate],0),99999)</f>
        <v/>
      </c>
    </row>
    <row r="269">
      <c r="A269" t="inlineStr">
        <is>
          <t>TSP-927</t>
        </is>
      </c>
      <c r="B269" t="inlineStr">
        <is>
          <t>CHEM-1720</t>
        </is>
      </c>
      <c r="C269" t="n">
        <v>6.79</v>
      </c>
      <c r="D269">
        <f>IFERROR(MATCH($A269,PP_Grid[Intermediate],0),99999)</f>
        <v/>
      </c>
    </row>
    <row r="270">
      <c r="A270" t="inlineStr">
        <is>
          <t>TSP-927</t>
        </is>
      </c>
      <c r="B270" t="inlineStr">
        <is>
          <t>CHEM-1420</t>
        </is>
      </c>
      <c r="C270" t="n">
        <v>0.382528</v>
      </c>
      <c r="D270">
        <f>IFERROR(MATCH($A270,PP_Grid[Intermediate],0),99999)</f>
        <v/>
      </c>
    </row>
    <row r="271">
      <c r="A271" t="inlineStr">
        <is>
          <t>TSP-927</t>
        </is>
      </c>
      <c r="B271" t="inlineStr">
        <is>
          <t>CHEM-1440</t>
        </is>
      </c>
      <c r="C271" t="n">
        <v>1.4434048232</v>
      </c>
      <c r="D271">
        <f>IFERROR(MATCH($A271,PP_Grid[Intermediate],0),99999)</f>
        <v/>
      </c>
    </row>
    <row r="272">
      <c r="A272" t="inlineStr">
        <is>
          <t>TSP-928</t>
        </is>
      </c>
      <c r="B272" t="inlineStr">
        <is>
          <t>CHEM-1540</t>
        </is>
      </c>
      <c r="C272" t="n">
        <v>64.483</v>
      </c>
      <c r="D272">
        <f>IFERROR(MATCH($A272,PP_Grid[Intermediate],0),99999)</f>
        <v/>
      </c>
    </row>
    <row r="273">
      <c r="A273" t="inlineStr">
        <is>
          <t>TSP-928</t>
        </is>
      </c>
      <c r="B273" t="inlineStr">
        <is>
          <t>CHEM-1740</t>
        </is>
      </c>
      <c r="C273" t="n">
        <v>29.939</v>
      </c>
      <c r="D273">
        <f>IFERROR(MATCH($A273,PP_Grid[Intermediate],0),99999)</f>
        <v/>
      </c>
    </row>
    <row r="274">
      <c r="A274" t="inlineStr">
        <is>
          <t>TSP-928</t>
        </is>
      </c>
      <c r="B274" t="inlineStr">
        <is>
          <t>CHEM-1750</t>
        </is>
      </c>
      <c r="C274" t="n">
        <v>2.38</v>
      </c>
      <c r="D274">
        <f>IFERROR(MATCH($A274,PP_Grid[Intermediate],0),99999)</f>
        <v/>
      </c>
    </row>
    <row r="275">
      <c r="A275" t="inlineStr">
        <is>
          <t>TSP-928</t>
        </is>
      </c>
      <c r="B275" t="inlineStr">
        <is>
          <t>CHEM-1720</t>
        </is>
      </c>
      <c r="C275" t="n">
        <v>6.719</v>
      </c>
      <c r="D275">
        <f>IFERROR(MATCH($A275,PP_Grid[Intermediate],0),99999)</f>
        <v/>
      </c>
    </row>
    <row r="276">
      <c r="A276" t="inlineStr">
        <is>
          <t>TSP-928</t>
        </is>
      </c>
      <c r="B276" t="inlineStr">
        <is>
          <t>CHEM-1260</t>
        </is>
      </c>
      <c r="C276" t="n">
        <v>5.202</v>
      </c>
      <c r="D276">
        <f>IFERROR(MATCH($A276,PP_Grid[Intermediate],0),99999)</f>
        <v/>
      </c>
    </row>
    <row r="277">
      <c r="A277" t="inlineStr">
        <is>
          <t>TSP-928</t>
        </is>
      </c>
      <c r="B277" t="inlineStr">
        <is>
          <t>CHEM-1420</t>
        </is>
      </c>
      <c r="C277" t="n">
        <v>0.377</v>
      </c>
      <c r="D277">
        <f>IFERROR(MATCH($A277,PP_Grid[Intermediate],0),99999)</f>
        <v/>
      </c>
    </row>
    <row r="278">
      <c r="A278" t="inlineStr">
        <is>
          <t>TSP-928</t>
        </is>
      </c>
      <c r="B278" t="inlineStr">
        <is>
          <t>CHEM-1440</t>
        </is>
      </c>
      <c r="C278" t="n">
        <v>1.258</v>
      </c>
      <c r="D278">
        <f>IFERROR(MATCH($A278,PP_Grid[Intermediate],0),99999)</f>
        <v/>
      </c>
    </row>
    <row r="279">
      <c r="A279" t="inlineStr">
        <is>
          <t>TSP-929</t>
        </is>
      </c>
      <c r="B279" t="inlineStr">
        <is>
          <t>CHEM-1540</t>
        </is>
      </c>
      <c r="C279" t="n">
        <v>64.509</v>
      </c>
      <c r="D279">
        <f>IFERROR(MATCH($A279,PP_Grid[Intermediate],0),99999)</f>
        <v/>
      </c>
    </row>
    <row r="280">
      <c r="A280" t="inlineStr">
        <is>
          <t>TSP-929</t>
        </is>
      </c>
      <c r="B280" t="inlineStr">
        <is>
          <t>CHEM-1740</t>
        </is>
      </c>
      <c r="C280" t="n">
        <v>29.951</v>
      </c>
      <c r="D280">
        <f>IFERROR(MATCH($A280,PP_Grid[Intermediate],0),99999)</f>
        <v/>
      </c>
    </row>
    <row r="281">
      <c r="A281" t="inlineStr">
        <is>
          <t>TSP-929</t>
        </is>
      </c>
      <c r="B281" t="inlineStr">
        <is>
          <t>CHEM-1750</t>
        </is>
      </c>
      <c r="C281" t="n">
        <v>2.381</v>
      </c>
      <c r="D281">
        <f>IFERROR(MATCH($A281,PP_Grid[Intermediate],0),99999)</f>
        <v/>
      </c>
    </row>
    <row r="282">
      <c r="A282" t="inlineStr">
        <is>
          <t>TSP-929</t>
        </is>
      </c>
      <c r="B282" t="inlineStr">
        <is>
          <t>CHEM-1720</t>
        </is>
      </c>
      <c r="C282" t="n">
        <v>6.722</v>
      </c>
      <c r="D282">
        <f>IFERROR(MATCH($A282,PP_Grid[Intermediate],0),99999)</f>
        <v/>
      </c>
    </row>
    <row r="283">
      <c r="A283" t="inlineStr">
        <is>
          <t>TSP-929</t>
        </is>
      </c>
      <c r="B283" t="inlineStr">
        <is>
          <t>CHEM-1260</t>
        </is>
      </c>
      <c r="C283" t="n">
        <v>5.204</v>
      </c>
      <c r="D283">
        <f>IFERROR(MATCH($A283,PP_Grid[Intermediate],0),99999)</f>
        <v/>
      </c>
    </row>
    <row r="284">
      <c r="A284" t="inlineStr">
        <is>
          <t>TSP-929</t>
        </is>
      </c>
      <c r="B284" t="inlineStr">
        <is>
          <t>CHEM-1420</t>
        </is>
      </c>
      <c r="C284" t="n">
        <v>0.377</v>
      </c>
      <c r="D284">
        <f>IFERROR(MATCH($A284,PP_Grid[Intermediate],0),99999)</f>
        <v/>
      </c>
    </row>
    <row r="285">
      <c r="A285" t="inlineStr">
        <is>
          <t>TSP-929</t>
        </is>
      </c>
      <c r="B285" t="inlineStr">
        <is>
          <t>CHEM-1440</t>
        </is>
      </c>
      <c r="C285" t="n">
        <v>1.259</v>
      </c>
      <c r="D285">
        <f>IFERROR(MATCH($A285,PP_Grid[Intermediate],0),99999)</f>
        <v/>
      </c>
    </row>
    <row r="286">
      <c r="A286" t="inlineStr">
        <is>
          <t>TSP-930</t>
        </is>
      </c>
      <c r="B286" t="inlineStr">
        <is>
          <t>CHEM-1540</t>
        </is>
      </c>
      <c r="C286" t="n">
        <v>65.589</v>
      </c>
      <c r="D286">
        <f>IFERROR(MATCH($A286,PP_Grid[Intermediate],0),99999)</f>
        <v/>
      </c>
    </row>
    <row r="287">
      <c r="A287" t="inlineStr">
        <is>
          <t>TSP-930</t>
        </is>
      </c>
      <c r="B287" t="inlineStr">
        <is>
          <t>CHEM-1740</t>
        </is>
      </c>
      <c r="C287" t="n">
        <v>30.67</v>
      </c>
      <c r="D287">
        <f>IFERROR(MATCH($A287,PP_Grid[Intermediate],0),99999)</f>
        <v/>
      </c>
    </row>
    <row r="288">
      <c r="A288" t="inlineStr">
        <is>
          <t>TSP-930</t>
        </is>
      </c>
      <c r="B288" t="inlineStr">
        <is>
          <t>CHEM-1750</t>
        </is>
      </c>
      <c r="C288" t="n">
        <v>2.438</v>
      </c>
      <c r="D288">
        <f>IFERROR(MATCH($A288,PP_Grid[Intermediate],0),99999)</f>
        <v/>
      </c>
    </row>
    <row r="289">
      <c r="A289" t="inlineStr">
        <is>
          <t>TSP-930</t>
        </is>
      </c>
      <c r="B289" t="inlineStr">
        <is>
          <t>CHEM-1720</t>
        </is>
      </c>
      <c r="C289" t="n">
        <v>6.884</v>
      </c>
      <c r="D289">
        <f>IFERROR(MATCH($A289,PP_Grid[Intermediate],0),99999)</f>
        <v/>
      </c>
    </row>
    <row r="290">
      <c r="A290" t="inlineStr">
        <is>
          <t>TSP-930</t>
        </is>
      </c>
      <c r="B290" t="inlineStr">
        <is>
          <t>CHEM-1260</t>
        </is>
      </c>
      <c r="C290" t="n">
        <v>5.329</v>
      </c>
      <c r="D290">
        <f>IFERROR(MATCH($A290,PP_Grid[Intermediate],0),99999)</f>
        <v/>
      </c>
    </row>
    <row r="291">
      <c r="A291" t="inlineStr">
        <is>
          <t>TSP-930</t>
        </is>
      </c>
      <c r="B291" t="inlineStr">
        <is>
          <t>CHEM-1420</t>
        </is>
      </c>
      <c r="C291" t="n">
        <v>0.386</v>
      </c>
      <c r="D291">
        <f>IFERROR(MATCH($A291,PP_Grid[Intermediate],0),99999)</f>
        <v/>
      </c>
    </row>
    <row r="292">
      <c r="A292" t="inlineStr">
        <is>
          <t>TSP-930</t>
        </is>
      </c>
      <c r="B292" t="inlineStr">
        <is>
          <t>CHEM-1440</t>
        </is>
      </c>
      <c r="C292" t="n">
        <v>1.461</v>
      </c>
      <c r="D292">
        <f>IFERROR(MATCH($A292,PP_Grid[Intermediate],0),99999)</f>
        <v/>
      </c>
    </row>
    <row r="293">
      <c r="A293" t="inlineStr">
        <is>
          <t>TSP-934</t>
        </is>
      </c>
      <c r="B293" t="inlineStr">
        <is>
          <t>CHEM-1540</t>
        </is>
      </c>
      <c r="C293" t="n">
        <v>39.967</v>
      </c>
      <c r="D293">
        <f>IFERROR(MATCH($A293,PP_Grid[Intermediate],0),99999)</f>
        <v/>
      </c>
    </row>
    <row r="294">
      <c r="A294" t="inlineStr">
        <is>
          <t>TSP-934</t>
        </is>
      </c>
      <c r="B294" t="inlineStr">
        <is>
          <t>CHEM-1750</t>
        </is>
      </c>
      <c r="C294" t="n">
        <v>1.333</v>
      </c>
      <c r="D294">
        <f>IFERROR(MATCH($A294,PP_Grid[Intermediate],0),99999)</f>
        <v/>
      </c>
    </row>
    <row r="295">
      <c r="A295" t="inlineStr">
        <is>
          <t>TSP-934</t>
        </is>
      </c>
      <c r="B295" t="inlineStr">
        <is>
          <t>CHEM-1720</t>
        </is>
      </c>
      <c r="C295" t="n">
        <v>6.273</v>
      </c>
      <c r="D295">
        <f>IFERROR(MATCH($A295,PP_Grid[Intermediate],0),99999)</f>
        <v/>
      </c>
    </row>
    <row r="296">
      <c r="A296" t="inlineStr">
        <is>
          <t>TSP-934</t>
        </is>
      </c>
      <c r="B296" t="inlineStr">
        <is>
          <t>CHEM-1260</t>
        </is>
      </c>
      <c r="C296" t="n">
        <v>1.566</v>
      </c>
      <c r="D296">
        <f>IFERROR(MATCH($A296,PP_Grid[Intermediate],0),99999)</f>
        <v/>
      </c>
    </row>
    <row r="297">
      <c r="A297" t="inlineStr">
        <is>
          <t>TSP-934</t>
        </is>
      </c>
      <c r="B297" t="inlineStr">
        <is>
          <t>TSZ-938</t>
        </is>
      </c>
      <c r="C297" t="n">
        <v>66.28400000000001</v>
      </c>
      <c r="D297">
        <f>IFERROR(MATCH($A297,PP_Grid[Intermediate],0),99999)</f>
        <v/>
      </c>
    </row>
    <row r="298">
      <c r="A298" t="inlineStr">
        <is>
          <t>TSP-934</t>
        </is>
      </c>
      <c r="B298" t="inlineStr">
        <is>
          <t>CHEM-1420</t>
        </is>
      </c>
      <c r="C298" t="n">
        <v>0.806</v>
      </c>
      <c r="D298">
        <f>IFERROR(MATCH($A298,PP_Grid[Intermediate],0),99999)</f>
        <v/>
      </c>
    </row>
    <row r="299">
      <c r="A299" t="inlineStr">
        <is>
          <t>TSP-934</t>
        </is>
      </c>
      <c r="B299" t="inlineStr">
        <is>
          <t>CHEM-1440</t>
        </is>
      </c>
      <c r="C299" t="n">
        <v>1.621</v>
      </c>
      <c r="D299">
        <f>IFERROR(MATCH($A299,PP_Grid[Intermediate],0),99999)</f>
        <v/>
      </c>
    </row>
    <row r="300">
      <c r="A300" t="inlineStr">
        <is>
          <t>TSP-934</t>
        </is>
      </c>
      <c r="B300" t="inlineStr">
        <is>
          <t>CHEM-1650</t>
        </is>
      </c>
      <c r="C300" t="n">
        <v>0.32</v>
      </c>
      <c r="D300">
        <f>IFERROR(MATCH($A300,PP_Grid[Intermediate],0),99999)</f>
        <v/>
      </c>
    </row>
    <row r="301">
      <c r="A301" t="inlineStr">
        <is>
          <t>TSP-934</t>
        </is>
      </c>
      <c r="B301" t="inlineStr">
        <is>
          <t>CHEM-1010</t>
        </is>
      </c>
      <c r="C301" t="n">
        <v>1.728</v>
      </c>
      <c r="D301">
        <f>IFERROR(MATCH($A301,PP_Grid[Intermediate],0),99999)</f>
        <v/>
      </c>
    </row>
    <row r="302">
      <c r="A302" t="inlineStr">
        <is>
          <t>TSP-934</t>
        </is>
      </c>
      <c r="B302" t="inlineStr">
        <is>
          <t>CHEM-1080</t>
        </is>
      </c>
      <c r="C302" t="n">
        <v>1.728</v>
      </c>
      <c r="D302">
        <f>IFERROR(MATCH($A302,PP_Grid[Intermediate],0),99999)</f>
        <v/>
      </c>
    </row>
    <row r="303">
      <c r="A303" t="inlineStr">
        <is>
          <t>TSP-934</t>
        </is>
      </c>
      <c r="B303" t="inlineStr">
        <is>
          <t>CHEM-1700</t>
        </is>
      </c>
      <c r="C303" t="n">
        <v>1.728</v>
      </c>
      <c r="D303">
        <f>IFERROR(MATCH($A303,PP_Grid[Intermediate],0),99999)</f>
        <v/>
      </c>
    </row>
    <row r="304">
      <c r="A304" t="inlineStr">
        <is>
          <t>TSP-935</t>
        </is>
      </c>
      <c r="B304" t="inlineStr">
        <is>
          <t>CHEM-1540</t>
        </is>
      </c>
      <c r="C304" t="n">
        <v>41.637</v>
      </c>
      <c r="D304">
        <f>IFERROR(MATCH($A304,PP_Grid[Intermediate],0),99999)</f>
        <v/>
      </c>
    </row>
    <row r="305">
      <c r="A305" t="inlineStr">
        <is>
          <t>TSP-935</t>
        </is>
      </c>
      <c r="B305" t="inlineStr">
        <is>
          <t>CHEM-1750</t>
        </is>
      </c>
      <c r="C305" t="n">
        <v>1.383</v>
      </c>
      <c r="D305">
        <f>IFERROR(MATCH($A305,PP_Grid[Intermediate],0),99999)</f>
        <v/>
      </c>
    </row>
    <row r="306">
      <c r="A306" t="inlineStr">
        <is>
          <t>TSP-935</t>
        </is>
      </c>
      <c r="B306" t="inlineStr">
        <is>
          <t>CHEM-1720</t>
        </is>
      </c>
      <c r="C306" t="n">
        <v>6.508</v>
      </c>
      <c r="D306">
        <f>IFERROR(MATCH($A306,PP_Grid[Intermediate],0),99999)</f>
        <v/>
      </c>
    </row>
    <row r="307">
      <c r="A307" t="inlineStr">
        <is>
          <t>TSP-935</t>
        </is>
      </c>
      <c r="B307" t="inlineStr">
        <is>
          <t>CHEM-1260</t>
        </is>
      </c>
      <c r="C307" t="n">
        <v>1.625</v>
      </c>
      <c r="D307">
        <f>IFERROR(MATCH($A307,PP_Grid[Intermediate],0),99999)</f>
        <v/>
      </c>
    </row>
    <row r="308">
      <c r="A308" t="inlineStr">
        <is>
          <t>TSP-935</t>
        </is>
      </c>
      <c r="B308" t="inlineStr">
        <is>
          <t>TSZ-938</t>
        </is>
      </c>
      <c r="C308" t="n">
        <v>68.77200000000001</v>
      </c>
      <c r="D308">
        <f>IFERROR(MATCH($A308,PP_Grid[Intermediate],0),99999)</f>
        <v/>
      </c>
    </row>
    <row r="309">
      <c r="A309" t="inlineStr">
        <is>
          <t>TSP-935</t>
        </is>
      </c>
      <c r="B309" t="inlineStr">
        <is>
          <t>CHEM-1420</t>
        </is>
      </c>
      <c r="C309" t="n">
        <v>0.837</v>
      </c>
      <c r="D309">
        <f>IFERROR(MATCH($A309,PP_Grid[Intermediate],0),99999)</f>
        <v/>
      </c>
    </row>
    <row r="310">
      <c r="A310" t="inlineStr">
        <is>
          <t>TSP-935</t>
        </is>
      </c>
      <c r="B310" t="inlineStr">
        <is>
          <t>CHEM-1440</t>
        </is>
      </c>
      <c r="C310" t="n">
        <v>1.682</v>
      </c>
      <c r="D310">
        <f>IFERROR(MATCH($A310,PP_Grid[Intermediate],0),99999)</f>
        <v/>
      </c>
    </row>
    <row r="311">
      <c r="A311" t="inlineStr">
        <is>
          <t>TSP-935</t>
        </is>
      </c>
      <c r="B311" t="inlineStr">
        <is>
          <t>CHEM-1650</t>
        </is>
      </c>
      <c r="C311" t="n">
        <v>0.033</v>
      </c>
      <c r="D311">
        <f>IFERROR(MATCH($A311,PP_Grid[Intermediate],0),99999)</f>
        <v/>
      </c>
    </row>
    <row r="312">
      <c r="A312" t="inlineStr">
        <is>
          <t>TSP-935</t>
        </is>
      </c>
      <c r="B312" t="inlineStr">
        <is>
          <t>CHEM-1010</t>
        </is>
      </c>
      <c r="C312" t="n">
        <v>1.788</v>
      </c>
      <c r="D312">
        <f>IFERROR(MATCH($A312,PP_Grid[Intermediate],0),99999)</f>
        <v/>
      </c>
    </row>
    <row r="313">
      <c r="A313" t="inlineStr">
        <is>
          <t>TSP-935</t>
        </is>
      </c>
      <c r="B313" t="inlineStr">
        <is>
          <t>CHEM-1080</t>
        </is>
      </c>
      <c r="C313" t="n">
        <v>1.788</v>
      </c>
      <c r="D313">
        <f>IFERROR(MATCH($A313,PP_Grid[Intermediate],0),99999)</f>
        <v/>
      </c>
    </row>
    <row r="314">
      <c r="A314" t="inlineStr">
        <is>
          <t>TSP-935</t>
        </is>
      </c>
      <c r="B314" t="inlineStr">
        <is>
          <t>CHEM-1700</t>
        </is>
      </c>
      <c r="C314" t="n">
        <v>1.788</v>
      </c>
      <c r="D314">
        <f>IFERROR(MATCH($A314,PP_Grid[Intermediate],0),99999)</f>
        <v/>
      </c>
    </row>
    <row r="315">
      <c r="A315" t="inlineStr">
        <is>
          <t>TSP-936</t>
        </is>
      </c>
      <c r="B315" t="inlineStr">
        <is>
          <t>CHEM-1540</t>
        </is>
      </c>
      <c r="C315" t="n">
        <v>41.439</v>
      </c>
      <c r="D315">
        <f>IFERROR(MATCH($A315,PP_Grid[Intermediate],0),99999)</f>
        <v/>
      </c>
    </row>
    <row r="316">
      <c r="A316" t="inlineStr">
        <is>
          <t>TSP-936</t>
        </is>
      </c>
      <c r="B316" t="inlineStr">
        <is>
          <t>CHEM-1750</t>
        </is>
      </c>
      <c r="C316" t="n">
        <v>1.386</v>
      </c>
      <c r="D316">
        <f>IFERROR(MATCH($A316,PP_Grid[Intermediate],0),99999)</f>
        <v/>
      </c>
    </row>
    <row r="317">
      <c r="A317" t="inlineStr">
        <is>
          <t>TSP-936</t>
        </is>
      </c>
      <c r="B317" t="inlineStr">
        <is>
          <t>CHEM-1720</t>
        </is>
      </c>
      <c r="C317" t="n">
        <v>6.524</v>
      </c>
      <c r="D317">
        <f>IFERROR(MATCH($A317,PP_Grid[Intermediate],0),99999)</f>
        <v/>
      </c>
    </row>
    <row r="318">
      <c r="A318" t="inlineStr">
        <is>
          <t>TSP-936</t>
        </is>
      </c>
      <c r="B318" t="inlineStr">
        <is>
          <t>CHEM-1260</t>
        </is>
      </c>
      <c r="C318" t="n">
        <v>1.629</v>
      </c>
      <c r="D318">
        <f>IFERROR(MATCH($A318,PP_Grid[Intermediate],0),99999)</f>
        <v/>
      </c>
    </row>
    <row r="319">
      <c r="A319" t="inlineStr">
        <is>
          <t>TSP-936</t>
        </is>
      </c>
      <c r="B319" t="inlineStr">
        <is>
          <t>TSZ-938</t>
        </is>
      </c>
      <c r="C319" t="n">
        <v>68.935</v>
      </c>
      <c r="D319">
        <f>IFERROR(MATCH($A319,PP_Grid[Intermediate],0),99999)</f>
        <v/>
      </c>
    </row>
    <row r="320">
      <c r="A320" t="inlineStr">
        <is>
          <t>TSP-936</t>
        </is>
      </c>
      <c r="B320" t="inlineStr">
        <is>
          <t>CHEM-1420</t>
        </is>
      </c>
      <c r="C320" t="n">
        <v>1.01</v>
      </c>
      <c r="D320">
        <f>IFERROR(MATCH($A320,PP_Grid[Intermediate],0),99999)</f>
        <v/>
      </c>
    </row>
    <row r="321">
      <c r="A321" t="inlineStr">
        <is>
          <t>TSP-936</t>
        </is>
      </c>
      <c r="B321" t="inlineStr">
        <is>
          <t>CHEM-1440</t>
        </is>
      </c>
      <c r="C321" t="n">
        <v>1.686</v>
      </c>
      <c r="D321">
        <f>IFERROR(MATCH($A321,PP_Grid[Intermediate],0),99999)</f>
        <v/>
      </c>
    </row>
    <row r="322">
      <c r="A322" t="inlineStr">
        <is>
          <t>TSP-936</t>
        </is>
      </c>
      <c r="B322" t="inlineStr">
        <is>
          <t>CHEM-1650</t>
        </is>
      </c>
      <c r="C322" t="n">
        <v>0.033</v>
      </c>
      <c r="D322">
        <f>IFERROR(MATCH($A322,PP_Grid[Intermediate],0),99999)</f>
        <v/>
      </c>
    </row>
    <row r="323">
      <c r="A323" t="inlineStr">
        <is>
          <t>TSP-936</t>
        </is>
      </c>
      <c r="B323" t="inlineStr">
        <is>
          <t>CHEM-1010</t>
        </is>
      </c>
      <c r="C323" t="n">
        <v>1.792</v>
      </c>
      <c r="D323">
        <f>IFERROR(MATCH($A323,PP_Grid[Intermediate],0),99999)</f>
        <v/>
      </c>
    </row>
    <row r="324">
      <c r="A324" t="inlineStr">
        <is>
          <t>TSP-936</t>
        </is>
      </c>
      <c r="B324" t="inlineStr">
        <is>
          <t>CHEM-1080</t>
        </is>
      </c>
      <c r="C324" t="n">
        <v>1.792</v>
      </c>
      <c r="D324">
        <f>IFERROR(MATCH($A324,PP_Grid[Intermediate],0),99999)</f>
        <v/>
      </c>
    </row>
    <row r="325">
      <c r="A325" t="inlineStr">
        <is>
          <t>TSP-936</t>
        </is>
      </c>
      <c r="B325" t="inlineStr">
        <is>
          <t>CHEM-1700</t>
        </is>
      </c>
      <c r="C325" t="n">
        <v>1.792</v>
      </c>
      <c r="D325">
        <f>IFERROR(MATCH($A325,PP_Grid[Intermediate],0),99999)</f>
        <v/>
      </c>
    </row>
    <row r="326">
      <c r="A326" t="inlineStr">
        <is>
          <t>TSP-937</t>
        </is>
      </c>
      <c r="B326" t="inlineStr">
        <is>
          <t>CHEM-1540</t>
        </is>
      </c>
      <c r="C326" t="n">
        <v>40.638</v>
      </c>
      <c r="D326">
        <f>IFERROR(MATCH($A326,PP_Grid[Intermediate],0),99999)</f>
        <v/>
      </c>
    </row>
    <row r="327">
      <c r="A327" t="inlineStr">
        <is>
          <t>TSP-937</t>
        </is>
      </c>
      <c r="B327" t="inlineStr">
        <is>
          <t>CHEM-1750</t>
        </is>
      </c>
      <c r="C327" t="n">
        <v>1.359</v>
      </c>
      <c r="D327">
        <f>IFERROR(MATCH($A327,PP_Grid[Intermediate],0),99999)</f>
        <v/>
      </c>
    </row>
    <row r="328">
      <c r="A328" t="inlineStr">
        <is>
          <t>TSP-937</t>
        </is>
      </c>
      <c r="B328" t="inlineStr">
        <is>
          <t>CHEM-1720</t>
        </is>
      </c>
      <c r="C328" t="n">
        <v>6.398</v>
      </c>
      <c r="D328">
        <f>IFERROR(MATCH($A328,PP_Grid[Intermediate],0),99999)</f>
        <v/>
      </c>
    </row>
    <row r="329">
      <c r="A329" t="inlineStr">
        <is>
          <t>TSP-937</t>
        </is>
      </c>
      <c r="B329" t="inlineStr">
        <is>
          <t>CHEM-1260</t>
        </is>
      </c>
      <c r="C329" t="n">
        <v>1.597</v>
      </c>
      <c r="D329">
        <f>IFERROR(MATCH($A329,PP_Grid[Intermediate],0),99999)</f>
        <v/>
      </c>
    </row>
    <row r="330">
      <c r="A330" t="inlineStr">
        <is>
          <t>TSP-937</t>
        </is>
      </c>
      <c r="B330" t="inlineStr">
        <is>
          <t>TSZ-938</t>
        </is>
      </c>
      <c r="C330" t="n">
        <v>67.60299999999999</v>
      </c>
      <c r="D330">
        <f>IFERROR(MATCH($A330,PP_Grid[Intermediate],0),99999)</f>
        <v/>
      </c>
    </row>
    <row r="331">
      <c r="A331" t="inlineStr">
        <is>
          <t>TSP-937</t>
        </is>
      </c>
      <c r="B331" t="inlineStr">
        <is>
          <t>CHEM-1420</t>
        </is>
      </c>
      <c r="C331" t="n">
        <v>0.99</v>
      </c>
      <c r="D331">
        <f>IFERROR(MATCH($A331,PP_Grid[Intermediate],0),99999)</f>
        <v/>
      </c>
    </row>
    <row r="332">
      <c r="A332" t="inlineStr">
        <is>
          <t>TSP-937</t>
        </is>
      </c>
      <c r="B332" t="inlineStr">
        <is>
          <t>CHEM-1440</t>
        </is>
      </c>
      <c r="C332" t="n">
        <v>1.653</v>
      </c>
      <c r="D332">
        <f>IFERROR(MATCH($A332,PP_Grid[Intermediate],0),99999)</f>
        <v/>
      </c>
    </row>
    <row r="333">
      <c r="A333" t="inlineStr">
        <is>
          <t>TSP-937</t>
        </is>
      </c>
      <c r="B333" t="inlineStr">
        <is>
          <t>CHEM-1650</t>
        </is>
      </c>
      <c r="C333" t="n">
        <v>0.032</v>
      </c>
      <c r="D333">
        <f>IFERROR(MATCH($A333,PP_Grid[Intermediate],0),99999)</f>
        <v/>
      </c>
    </row>
    <row r="334">
      <c r="A334" t="inlineStr">
        <is>
          <t>TSP-937</t>
        </is>
      </c>
      <c r="B334" t="inlineStr">
        <is>
          <t>CHEM-1010</t>
        </is>
      </c>
      <c r="C334" t="n">
        <v>1.756</v>
      </c>
      <c r="D334">
        <f>IFERROR(MATCH($A334,PP_Grid[Intermediate],0),99999)</f>
        <v/>
      </c>
    </row>
    <row r="335">
      <c r="A335" t="inlineStr">
        <is>
          <t>TSP-937</t>
        </is>
      </c>
      <c r="B335" t="inlineStr">
        <is>
          <t>CHEM-1080</t>
        </is>
      </c>
      <c r="C335" t="n">
        <v>1.756</v>
      </c>
      <c r="D335">
        <f>IFERROR(MATCH($A335,PP_Grid[Intermediate],0),99999)</f>
        <v/>
      </c>
    </row>
    <row r="336">
      <c r="A336" t="inlineStr">
        <is>
          <t>TSP-937</t>
        </is>
      </c>
      <c r="B336" t="inlineStr">
        <is>
          <t>CHEM-1700</t>
        </is>
      </c>
      <c r="C336" t="n">
        <v>1.756</v>
      </c>
      <c r="D336">
        <f>IFERROR(MATCH($A336,PP_Grid[Intermediate],0),99999)</f>
        <v/>
      </c>
    </row>
    <row r="337">
      <c r="A337" t="inlineStr">
        <is>
          <t>TSP-959</t>
        </is>
      </c>
      <c r="B337" t="inlineStr">
        <is>
          <t>CHEM-1530</t>
        </is>
      </c>
      <c r="C337" t="n">
        <v>57.3098</v>
      </c>
      <c r="D337">
        <f>IFERROR(MATCH($A337,PP_Grid[Intermediate],0),99999)</f>
        <v/>
      </c>
    </row>
    <row r="338">
      <c r="A338" t="inlineStr">
        <is>
          <t>TSP-959</t>
        </is>
      </c>
      <c r="B338" t="inlineStr">
        <is>
          <t>CHEM-1400</t>
        </is>
      </c>
      <c r="C338" t="n">
        <v>3.161</v>
      </c>
      <c r="D338">
        <f>IFERROR(MATCH($A338,PP_Grid[Intermediate],0),99999)</f>
        <v/>
      </c>
    </row>
    <row r="339">
      <c r="A339" t="inlineStr">
        <is>
          <t>TSP-959</t>
        </is>
      </c>
      <c r="B339" t="inlineStr">
        <is>
          <t>CHEM-1260</t>
        </is>
      </c>
      <c r="C339" t="n">
        <v>1.441</v>
      </c>
      <c r="D339">
        <f>IFERROR(MATCH($A339,PP_Grid[Intermediate],0),99999)</f>
        <v/>
      </c>
    </row>
    <row r="340">
      <c r="A340" t="inlineStr">
        <is>
          <t>TSP-959</t>
        </is>
      </c>
      <c r="B340" t="inlineStr">
        <is>
          <t>CHEM-1420</t>
        </is>
      </c>
      <c r="C340" t="n">
        <v>0.465</v>
      </c>
      <c r="D340">
        <f>IFERROR(MATCH($A340,PP_Grid[Intermediate],0),99999)</f>
        <v/>
      </c>
    </row>
    <row r="341">
      <c r="A341" t="inlineStr">
        <is>
          <t>TSP-959</t>
        </is>
      </c>
      <c r="B341" t="inlineStr">
        <is>
          <t>CHEM-1650</t>
        </is>
      </c>
      <c r="C341" t="n">
        <v>0.032</v>
      </c>
      <c r="D341">
        <f>IFERROR(MATCH($A341,PP_Grid[Intermediate],0),99999)</f>
        <v/>
      </c>
    </row>
    <row r="342">
      <c r="A342" t="inlineStr">
        <is>
          <t>TSP-966</t>
        </is>
      </c>
      <c r="B342" t="inlineStr">
        <is>
          <t>CHEM-1400</t>
        </is>
      </c>
      <c r="C342" t="n">
        <v>1.838</v>
      </c>
      <c r="D342">
        <f>IFERROR(MATCH($A342,PP_Grid[Intermediate],0),99999)</f>
        <v/>
      </c>
    </row>
    <row r="343">
      <c r="A343" t="inlineStr">
        <is>
          <t>TSP-966</t>
        </is>
      </c>
      <c r="B343" t="inlineStr">
        <is>
          <t>CHEM-1250</t>
        </is>
      </c>
      <c r="C343" t="n">
        <v>3.542</v>
      </c>
      <c r="D343">
        <f>IFERROR(MATCH($A343,PP_Grid[Intermediate],0),99999)</f>
        <v/>
      </c>
    </row>
    <row r="344">
      <c r="A344" t="inlineStr">
        <is>
          <t>TSP-966</t>
        </is>
      </c>
      <c r="B344" t="inlineStr">
        <is>
          <t>CHEM-1690</t>
        </is>
      </c>
      <c r="C344" t="n">
        <v>4.89</v>
      </c>
      <c r="D344">
        <f>IFERROR(MATCH($A344,PP_Grid[Intermediate],0),99999)</f>
        <v/>
      </c>
    </row>
    <row r="345">
      <c r="A345" t="inlineStr">
        <is>
          <t>TSP-966</t>
        </is>
      </c>
      <c r="B345" t="inlineStr">
        <is>
          <t>CHEM-1260</t>
        </is>
      </c>
      <c r="C345" t="n">
        <v>0.8100000000000001</v>
      </c>
      <c r="D345">
        <f>IFERROR(MATCH($A345,PP_Grid[Intermediate],0),99999)</f>
        <v/>
      </c>
    </row>
    <row r="346">
      <c r="A346" t="inlineStr">
        <is>
          <t>TSP-966</t>
        </is>
      </c>
      <c r="B346" t="inlineStr">
        <is>
          <t>CHEM-1420</t>
        </is>
      </c>
      <c r="C346" t="n">
        <v>0.546</v>
      </c>
      <c r="D346">
        <f>IFERROR(MATCH($A346,PP_Grid[Intermediate],0),99999)</f>
        <v/>
      </c>
    </row>
    <row r="347">
      <c r="A347" t="inlineStr">
        <is>
          <t>TSZ-616</t>
        </is>
      </c>
      <c r="B347" t="inlineStr">
        <is>
          <t>CHEM-1600</t>
        </is>
      </c>
      <c r="C347" t="n">
        <v>40.8163</v>
      </c>
      <c r="D347">
        <f>IFERROR(MATCH($A347,PP_Grid[Intermediate],0),99999)</f>
        <v/>
      </c>
    </row>
    <row r="348">
      <c r="A348" t="inlineStr">
        <is>
          <t>TSZ-616</t>
        </is>
      </c>
      <c r="B348" t="inlineStr">
        <is>
          <t>CHEM-1510</t>
        </is>
      </c>
      <c r="C348" t="n">
        <v>1.2</v>
      </c>
      <c r="D348">
        <f>IFERROR(MATCH($A348,PP_Grid[Intermediate],0),99999)</f>
        <v/>
      </c>
    </row>
    <row r="349">
      <c r="A349" t="inlineStr">
        <is>
          <t>TSZ-938</t>
        </is>
      </c>
      <c r="B349" t="inlineStr">
        <is>
          <t>CHEM-1260</t>
        </is>
      </c>
      <c r="C349" t="n">
        <v>5.023</v>
      </c>
      <c r="D349">
        <f>IFERROR(MATCH($A349,PP_Grid[Intermediate],0),99999)</f>
        <v/>
      </c>
    </row>
    <row r="350">
      <c r="A350" t="inlineStr">
        <is>
          <t>TVS-833</t>
        </is>
      </c>
      <c r="B350" t="inlineStr">
        <is>
          <t>0JN</t>
        </is>
      </c>
      <c r="C350" t="n">
        <v>1.0253</v>
      </c>
      <c r="D350">
        <f>IFERROR(MATCH($A350,PP_Grid[Intermediate],0),99999)</f>
        <v/>
      </c>
    </row>
    <row r="351">
      <c r="A351" t="inlineStr">
        <is>
          <t>TVS-833</t>
        </is>
      </c>
      <c r="B351" t="inlineStr">
        <is>
          <t>CHEM-1420</t>
        </is>
      </c>
      <c r="C351" t="n">
        <v>2.74785</v>
      </c>
      <c r="D351">
        <f>IFERROR(MATCH($A351,PP_Grid[Intermediate],0),99999)</f>
        <v/>
      </c>
    </row>
    <row r="352">
      <c r="A352" t="inlineStr">
        <is>
          <t>TVS-833</t>
        </is>
      </c>
      <c r="B352" t="inlineStr">
        <is>
          <t>CHEM-1760</t>
        </is>
      </c>
      <c r="C352" t="n">
        <v>0.17607</v>
      </c>
      <c r="D352">
        <f>IFERROR(MATCH($A352,PP_Grid[Intermediate],0),99999)</f>
        <v/>
      </c>
    </row>
    <row r="353">
      <c r="A353" t="inlineStr">
        <is>
          <t>TSP-1388</t>
        </is>
      </c>
      <c r="B353" t="inlineStr">
        <is>
          <t>CHEM-1410</t>
        </is>
      </c>
      <c r="C353" t="n">
        <v>24.288</v>
      </c>
      <c r="D353">
        <f>IFERROR(MATCH($A353,PP_Grid[Intermediate],0),99999)</f>
        <v/>
      </c>
    </row>
    <row r="354">
      <c r="A354" t="inlineStr">
        <is>
          <t>TSP-1388</t>
        </is>
      </c>
      <c r="B354" t="inlineStr">
        <is>
          <t>CHEM-1750</t>
        </is>
      </c>
      <c r="C354" t="n">
        <v>6.883</v>
      </c>
      <c r="D354">
        <f>IFERROR(MATCH($A354,PP_Grid[Intermediate],0),99999)</f>
        <v/>
      </c>
    </row>
    <row r="355">
      <c r="A355" t="inlineStr">
        <is>
          <t>TSP-1388</t>
        </is>
      </c>
      <c r="B355" t="inlineStr">
        <is>
          <t>CHEM-1260</t>
        </is>
      </c>
      <c r="C355" t="n">
        <v>0.232</v>
      </c>
      <c r="D355">
        <f>IFERROR(MATCH($A355,PP_Grid[Intermediate],0),99999)</f>
        <v/>
      </c>
    </row>
    <row r="356">
      <c r="A356" t="inlineStr">
        <is>
          <t>TSP-1388</t>
        </is>
      </c>
      <c r="B356" t="inlineStr">
        <is>
          <t>TSZ-616</t>
        </is>
      </c>
      <c r="C356" t="n">
        <v>63.088</v>
      </c>
      <c r="D356">
        <f>IFERROR(MATCH($A356,PP_Grid[Intermediate],0),99999)</f>
        <v/>
      </c>
    </row>
    <row r="357">
      <c r="A357" t="inlineStr">
        <is>
          <t>TSP-1388</t>
        </is>
      </c>
      <c r="B357" t="inlineStr">
        <is>
          <t>CHEM-1420</t>
        </is>
      </c>
      <c r="C357" t="n">
        <v>0.349</v>
      </c>
      <c r="D357">
        <f>IFERROR(MATCH($A357,PP_Grid[Intermediate],0),99999)</f>
        <v/>
      </c>
    </row>
    <row r="358">
      <c r="A358" t="inlineStr">
        <is>
          <t>TSP-1388</t>
        </is>
      </c>
      <c r="B358" t="inlineStr">
        <is>
          <t>CHEM-1440</t>
        </is>
      </c>
      <c r="C358" t="n">
        <v>0.805</v>
      </c>
      <c r="D358">
        <f>IFERROR(MATCH($A358,PP_Grid[Intermediate],0),99999)</f>
        <v/>
      </c>
    </row>
    <row r="359">
      <c r="A359" t="inlineStr">
        <is>
          <t>TSP-1388</t>
        </is>
      </c>
      <c r="B359" t="inlineStr">
        <is>
          <t>CHEM-1650</t>
        </is>
      </c>
      <c r="C359" t="n">
        <v>0.1</v>
      </c>
      <c r="D359">
        <f>IFERROR(MATCH($A359,PP_Grid[Intermediate],0),99999)</f>
        <v/>
      </c>
    </row>
    <row r="360">
      <c r="A360" t="inlineStr">
        <is>
          <t>TSP-1388</t>
        </is>
      </c>
      <c r="B360" t="inlineStr">
        <is>
          <t>CHEM-1700</t>
        </is>
      </c>
      <c r="C360" t="n">
        <v>1.732</v>
      </c>
      <c r="D360">
        <f>IFERROR(MATCH($A360,PP_Grid[Intermediate],0),99999)</f>
        <v/>
      </c>
    </row>
    <row r="361">
      <c r="A361" t="inlineStr">
        <is>
          <t>TSP-1388</t>
        </is>
      </c>
      <c r="B361" t="inlineStr">
        <is>
          <t>CHEM-1790</t>
        </is>
      </c>
      <c r="C361" t="n">
        <v>73.61799999999999</v>
      </c>
      <c r="D361">
        <f>IFERROR(MATCH($A361,PP_Grid[Intermediate],0),99999)</f>
        <v/>
      </c>
    </row>
    <row r="362">
      <c r="A362" t="inlineStr">
        <is>
          <t>TSP-1444</t>
        </is>
      </c>
      <c r="B362" t="inlineStr">
        <is>
          <t>CHEM-1520</t>
        </is>
      </c>
      <c r="C362" t="n">
        <v>30.512</v>
      </c>
      <c r="D362">
        <f>IFERROR(MATCH($A362,PP_Grid[Intermediate],0),99999)</f>
        <v/>
      </c>
    </row>
    <row r="363">
      <c r="A363" t="inlineStr">
        <is>
          <t>TSP-1444</t>
        </is>
      </c>
      <c r="B363" t="inlineStr">
        <is>
          <t>CHEM-1540</t>
        </is>
      </c>
      <c r="C363" t="n">
        <v>51.818</v>
      </c>
      <c r="D363">
        <f>IFERROR(MATCH($A363,PP_Grid[Intermediate],0),99999)</f>
        <v/>
      </c>
    </row>
    <row r="364">
      <c r="A364" t="inlineStr">
        <is>
          <t>TSP-1444</t>
        </is>
      </c>
      <c r="B364" t="inlineStr">
        <is>
          <t>CHEM-1750</t>
        </is>
      </c>
      <c r="C364" t="n">
        <v>2.508</v>
      </c>
      <c r="D364">
        <f>IFERROR(MATCH($A364,PP_Grid[Intermediate],0),99999)</f>
        <v/>
      </c>
    </row>
    <row r="365">
      <c r="A365" t="inlineStr">
        <is>
          <t>TSP-1444</t>
        </is>
      </c>
      <c r="B365" t="inlineStr">
        <is>
          <t>CHEM-1720</t>
        </is>
      </c>
      <c r="C365" t="n">
        <v>19.828</v>
      </c>
      <c r="D365">
        <f>IFERROR(MATCH($A365,PP_Grid[Intermediate],0),99999)</f>
        <v/>
      </c>
    </row>
    <row r="366">
      <c r="A366" t="inlineStr">
        <is>
          <t>TSP-1444</t>
        </is>
      </c>
      <c r="B366" t="inlineStr">
        <is>
          <t>CHEM-1260</t>
        </is>
      </c>
      <c r="C366" t="n">
        <v>3.891</v>
      </c>
      <c r="D366">
        <f>IFERROR(MATCH($A366,PP_Grid[Intermediate],0),99999)</f>
        <v/>
      </c>
    </row>
    <row r="367">
      <c r="A367" t="inlineStr">
        <is>
          <t>TSP-1444</t>
        </is>
      </c>
      <c r="B367" t="inlineStr">
        <is>
          <t>CHEM-1670</t>
        </is>
      </c>
      <c r="C367" t="n">
        <v>5.164</v>
      </c>
      <c r="D367">
        <f>IFERROR(MATCH($A367,PP_Grid[Intermediate],0),99999)</f>
        <v/>
      </c>
    </row>
    <row r="368">
      <c r="A368" t="inlineStr">
        <is>
          <t>TSP-1444</t>
        </is>
      </c>
      <c r="B368" t="inlineStr">
        <is>
          <t>CHEM-1420</t>
        </is>
      </c>
      <c r="C368" t="n">
        <v>0.389</v>
      </c>
      <c r="D368">
        <f>IFERROR(MATCH($A368,PP_Grid[Intermediate],0),99999)</f>
        <v/>
      </c>
    </row>
    <row r="369">
      <c r="A369" t="inlineStr">
        <is>
          <t>TSP-1444</t>
        </is>
      </c>
      <c r="B369" t="inlineStr">
        <is>
          <t>CHEM-1440</t>
        </is>
      </c>
      <c r="C369" t="n">
        <v>2.065</v>
      </c>
      <c r="D369">
        <f>IFERROR(MATCH($A369,PP_Grid[Intermediate],0),99999)</f>
        <v/>
      </c>
    </row>
    <row r="370">
      <c r="A370" t="inlineStr">
        <is>
          <t>TSP-1448</t>
        </is>
      </c>
      <c r="B370" t="inlineStr">
        <is>
          <t>CHEM-1540</t>
        </is>
      </c>
      <c r="C370" t="n">
        <v>14.5392</v>
      </c>
      <c r="D370">
        <f>IFERROR(MATCH($A370,PP_Grid[Intermediate],0),99999)</f>
        <v/>
      </c>
    </row>
    <row r="371">
      <c r="A371" t="inlineStr">
        <is>
          <t>TSP-1448</t>
        </is>
      </c>
      <c r="B371" t="inlineStr">
        <is>
          <t>CHEM-1720</t>
        </is>
      </c>
      <c r="C371" t="n">
        <v>8.583</v>
      </c>
      <c r="D371">
        <f>IFERROR(MATCH($A371,PP_Grid[Intermediate],0),99999)</f>
        <v/>
      </c>
    </row>
    <row r="372">
      <c r="A372" t="inlineStr">
        <is>
          <t>TSP-1448</t>
        </is>
      </c>
      <c r="B372" t="inlineStr">
        <is>
          <t>CHEM-1260</t>
        </is>
      </c>
      <c r="C372" t="n">
        <v>1.429</v>
      </c>
      <c r="D372">
        <f>IFERROR(MATCH($A372,PP_Grid[Intermediate],0),99999)</f>
        <v/>
      </c>
    </row>
    <row r="373">
      <c r="A373" t="inlineStr">
        <is>
          <t>TSP-1448</t>
        </is>
      </c>
      <c r="B373" t="inlineStr">
        <is>
          <t>CHEM-1240</t>
        </is>
      </c>
      <c r="C373" t="n">
        <v>18.682</v>
      </c>
      <c r="D373">
        <f>IFERROR(MATCH($A373,PP_Grid[Intermediate],0),99999)</f>
        <v/>
      </c>
    </row>
    <row r="374">
      <c r="A374" t="inlineStr">
        <is>
          <t>TSP-1448</t>
        </is>
      </c>
      <c r="B374" t="inlineStr">
        <is>
          <t>TSZ-938</t>
        </is>
      </c>
      <c r="C374" t="n">
        <v>73.292</v>
      </c>
      <c r="D374">
        <f>IFERROR(MATCH($A374,PP_Grid[Intermediate],0),99999)</f>
        <v/>
      </c>
    </row>
    <row r="375">
      <c r="A375" t="inlineStr">
        <is>
          <t>TSP-1448</t>
        </is>
      </c>
      <c r="B375" t="inlineStr">
        <is>
          <t>CHEM-1420</t>
        </is>
      </c>
      <c r="C375" t="n">
        <v>1.134</v>
      </c>
      <c r="D375">
        <f>IFERROR(MATCH($A375,PP_Grid[Intermediate],0),99999)</f>
        <v/>
      </c>
    </row>
    <row r="376">
      <c r="A376" t="inlineStr">
        <is>
          <t>TSP-1448</t>
        </is>
      </c>
      <c r="B376" t="inlineStr">
        <is>
          <t>CHEM-1440</t>
        </is>
      </c>
      <c r="C376" t="n">
        <v>1.638</v>
      </c>
      <c r="D376">
        <f>IFERROR(MATCH($A376,PP_Grid[Intermediate],0),99999)</f>
        <v/>
      </c>
    </row>
    <row r="377">
      <c r="A377" t="inlineStr">
        <is>
          <t>TSP-1448</t>
        </is>
      </c>
      <c r="B377" t="inlineStr">
        <is>
          <t>CHEM-1650</t>
        </is>
      </c>
      <c r="C377" t="n">
        <v>0.05</v>
      </c>
      <c r="D377">
        <f>IFERROR(MATCH($A377,PP_Grid[Intermediate],0),99999)</f>
        <v/>
      </c>
    </row>
    <row r="378">
      <c r="A378" t="inlineStr">
        <is>
          <t>TSP-1448</t>
        </is>
      </c>
      <c r="B378" t="inlineStr">
        <is>
          <t>CHEM-1700</t>
        </is>
      </c>
      <c r="C378" t="n">
        <v>1.26</v>
      </c>
      <c r="D378">
        <f>IFERROR(MATCH($A378,PP_Grid[Intermediate],0),99999)</f>
        <v/>
      </c>
    </row>
    <row r="379">
      <c r="A379" t="inlineStr">
        <is>
          <t>TSP-1445</t>
        </is>
      </c>
      <c r="B379" t="inlineStr">
        <is>
          <t>CHEM-1520</t>
        </is>
      </c>
      <c r="C379" t="n">
        <v>31.594</v>
      </c>
      <c r="D379">
        <f>IFERROR(MATCH($A379,PP_Grid[Intermediate],0),99999)</f>
        <v/>
      </c>
    </row>
    <row r="380">
      <c r="A380" t="inlineStr">
        <is>
          <t>TSP-1445</t>
        </is>
      </c>
      <c r="B380" t="inlineStr">
        <is>
          <t>CHEM-1540</t>
        </is>
      </c>
      <c r="C380" t="n">
        <v>53.656</v>
      </c>
      <c r="D380">
        <f>IFERROR(MATCH($A380,PP_Grid[Intermediate],0),99999)</f>
        <v/>
      </c>
    </row>
    <row r="381">
      <c r="A381" t="inlineStr">
        <is>
          <t>TSP-1445</t>
        </is>
      </c>
      <c r="B381" t="inlineStr">
        <is>
          <t>CHEM-1750</t>
        </is>
      </c>
      <c r="C381" t="n">
        <v>2.597</v>
      </c>
      <c r="D381">
        <f>IFERROR(MATCH($A381,PP_Grid[Intermediate],0),99999)</f>
        <v/>
      </c>
    </row>
    <row r="382">
      <c r="A382" t="inlineStr">
        <is>
          <t>TSP-1445</t>
        </is>
      </c>
      <c r="B382" t="inlineStr">
        <is>
          <t>CHEM-1720</t>
        </is>
      </c>
      <c r="C382" t="n">
        <v>20.532</v>
      </c>
      <c r="D382">
        <f>IFERROR(MATCH($A382,PP_Grid[Intermediate],0),99999)</f>
        <v/>
      </c>
    </row>
    <row r="383">
      <c r="A383" t="inlineStr">
        <is>
          <t>TSP-1445</t>
        </is>
      </c>
      <c r="B383" t="inlineStr">
        <is>
          <t>CHEM-1260</t>
        </is>
      </c>
      <c r="C383" t="n">
        <v>4.029</v>
      </c>
      <c r="D383">
        <f>IFERROR(MATCH($A383,PP_Grid[Intermediate],0),99999)</f>
        <v/>
      </c>
    </row>
    <row r="384">
      <c r="A384" t="inlineStr">
        <is>
          <t>TSP-1445</t>
        </is>
      </c>
      <c r="B384" t="inlineStr">
        <is>
          <t>CHEM-1670</t>
        </is>
      </c>
      <c r="C384" t="n">
        <v>5.347</v>
      </c>
      <c r="D384">
        <f>IFERROR(MATCH($A384,PP_Grid[Intermediate],0),99999)</f>
        <v/>
      </c>
    </row>
    <row r="385">
      <c r="A385" t="inlineStr">
        <is>
          <t>TSP-1445</t>
        </is>
      </c>
      <c r="B385" t="inlineStr">
        <is>
          <t>CHEM-1420</t>
        </is>
      </c>
      <c r="C385" t="n">
        <v>0.336</v>
      </c>
      <c r="D385">
        <f>IFERROR(MATCH($A385,PP_Grid[Intermediate],0),99999)</f>
        <v/>
      </c>
    </row>
    <row r="386">
      <c r="A386" t="inlineStr">
        <is>
          <t>TSP-1445</t>
        </is>
      </c>
      <c r="B386" t="inlineStr">
        <is>
          <t>CHEM-1440</t>
        </is>
      </c>
      <c r="C386" t="n">
        <v>2.139</v>
      </c>
      <c r="D386">
        <f>IFERROR(MATCH($A386,PP_Grid[Intermediate],0),99999)</f>
        <v/>
      </c>
    </row>
    <row r="387">
      <c r="A387" t="inlineStr">
        <is>
          <t>TSP-1446</t>
        </is>
      </c>
      <c r="B387" t="inlineStr">
        <is>
          <t>CHEM-1520</t>
        </is>
      </c>
      <c r="C387" t="n">
        <v>35.63</v>
      </c>
      <c r="D387">
        <f>IFERROR(MATCH($A387,PP_Grid[Intermediate],0),99999)</f>
        <v/>
      </c>
    </row>
    <row r="388">
      <c r="A388" t="inlineStr">
        <is>
          <t>TSP-1446</t>
        </is>
      </c>
      <c r="B388" t="inlineStr">
        <is>
          <t>CHEM-1540</t>
        </is>
      </c>
      <c r="C388" t="n">
        <v>60.509</v>
      </c>
      <c r="D388">
        <f>IFERROR(MATCH($A388,PP_Grid[Intermediate],0),99999)</f>
        <v/>
      </c>
    </row>
    <row r="389">
      <c r="A389" t="inlineStr">
        <is>
          <t>TSP-1446</t>
        </is>
      </c>
      <c r="B389" t="inlineStr">
        <is>
          <t>CHEM-1750</t>
        </is>
      </c>
      <c r="C389" t="n">
        <v>2.929</v>
      </c>
      <c r="D389">
        <f>IFERROR(MATCH($A389,PP_Grid[Intermediate],0),99999)</f>
        <v/>
      </c>
    </row>
    <row r="390">
      <c r="A390" t="inlineStr">
        <is>
          <t>TSP-1446</t>
        </is>
      </c>
      <c r="B390" t="inlineStr">
        <is>
          <t>CHEM-1720</t>
        </is>
      </c>
      <c r="C390" t="n">
        <v>23.154</v>
      </c>
      <c r="D390">
        <f>IFERROR(MATCH($A390,PP_Grid[Intermediate],0),99999)</f>
        <v/>
      </c>
    </row>
    <row r="391">
      <c r="A391" t="inlineStr">
        <is>
          <t>TSP-1446</t>
        </is>
      </c>
      <c r="B391" t="inlineStr">
        <is>
          <t>CHEM-1260</t>
        </is>
      </c>
      <c r="C391" t="n">
        <v>4.543</v>
      </c>
      <c r="D391">
        <f>IFERROR(MATCH($A391,PP_Grid[Intermediate],0),99999)</f>
        <v/>
      </c>
    </row>
    <row r="392">
      <c r="A392" t="inlineStr">
        <is>
          <t>TSP-1446</t>
        </is>
      </c>
      <c r="B392" t="inlineStr">
        <is>
          <t>CHEM-1670</t>
        </is>
      </c>
      <c r="C392" t="n">
        <v>6.03</v>
      </c>
      <c r="D392">
        <f>IFERROR(MATCH($A392,PP_Grid[Intermediate],0),99999)</f>
        <v/>
      </c>
    </row>
    <row r="393">
      <c r="A393" t="inlineStr">
        <is>
          <t>TSP-1446</t>
        </is>
      </c>
      <c r="B393" t="inlineStr">
        <is>
          <t>CHEM-1420</t>
        </is>
      </c>
      <c r="C393" t="n">
        <v>0.38</v>
      </c>
      <c r="D393">
        <f>IFERROR(MATCH($A393,PP_Grid[Intermediate],0),99999)</f>
        <v/>
      </c>
    </row>
    <row r="394">
      <c r="A394" t="inlineStr">
        <is>
          <t>TSP-1446</t>
        </is>
      </c>
      <c r="B394" t="inlineStr">
        <is>
          <t>CHEM-1440</t>
        </is>
      </c>
      <c r="C394" t="n">
        <v>2.412</v>
      </c>
      <c r="D394">
        <f>IFERROR(MATCH($A394,PP_Grid[Intermediate],0),99999)</f>
        <v/>
      </c>
    </row>
    <row r="395">
      <c r="A395" t="inlineStr">
        <is>
          <t>TSP-1449</t>
        </is>
      </c>
      <c r="B395" t="inlineStr">
        <is>
          <t>CHEM-1410</t>
        </is>
      </c>
      <c r="C395" t="n">
        <v>53.927</v>
      </c>
      <c r="D395">
        <f>IFERROR(MATCH($A395,PP_Grid[Intermediate],0),99999)</f>
        <v/>
      </c>
    </row>
    <row r="396">
      <c r="A396" t="inlineStr">
        <is>
          <t>TSP-1449</t>
        </is>
      </c>
      <c r="B396" t="inlineStr">
        <is>
          <t>CHEM-1400</t>
        </is>
      </c>
      <c r="C396" t="n">
        <v>6.596</v>
      </c>
      <c r="D396">
        <f>IFERROR(MATCH($A396,PP_Grid[Intermediate],0),99999)</f>
        <v/>
      </c>
    </row>
    <row r="397">
      <c r="A397" t="inlineStr">
        <is>
          <t>TSP-1449</t>
        </is>
      </c>
      <c r="B397" t="inlineStr">
        <is>
          <t>CHEM-1610</t>
        </is>
      </c>
      <c r="C397" t="n">
        <v>55.1448</v>
      </c>
      <c r="D397">
        <f>IFERROR(MATCH($A397,PP_Grid[Intermediate],0),99999)</f>
        <v/>
      </c>
    </row>
    <row r="398">
      <c r="A398" t="inlineStr">
        <is>
          <t>TSP-1449</t>
        </is>
      </c>
      <c r="B398" t="inlineStr">
        <is>
          <t>CHEM-1600</t>
        </is>
      </c>
      <c r="C398" t="n">
        <v>18.25</v>
      </c>
      <c r="D398">
        <f>IFERROR(MATCH($A398,PP_Grid[Intermediate],0),99999)</f>
        <v/>
      </c>
    </row>
    <row r="399">
      <c r="A399" t="inlineStr">
        <is>
          <t>TSP-1449</t>
        </is>
      </c>
      <c r="B399" t="inlineStr">
        <is>
          <t>CHEM-1260</t>
        </is>
      </c>
      <c r="C399" t="n">
        <v>1.79</v>
      </c>
      <c r="D399">
        <f>IFERROR(MATCH($A399,PP_Grid[Intermediate],0),99999)</f>
        <v/>
      </c>
    </row>
    <row r="400">
      <c r="A400" t="inlineStr">
        <is>
          <t>TSP-1449</t>
        </is>
      </c>
      <c r="B400" t="inlineStr">
        <is>
          <t>0JN</t>
        </is>
      </c>
      <c r="C400" t="n">
        <v>1.053</v>
      </c>
      <c r="D400">
        <f>IFERROR(MATCH($A400,PP_Grid[Intermediate],0),99999)</f>
        <v/>
      </c>
    </row>
    <row r="401">
      <c r="A401" t="inlineStr">
        <is>
          <t>TSP-1449</t>
        </is>
      </c>
      <c r="B401" t="inlineStr">
        <is>
          <t>CHEM-1420</t>
        </is>
      </c>
      <c r="C401" t="n">
        <v>1.045</v>
      </c>
      <c r="D401">
        <f>IFERROR(MATCH($A401,PP_Grid[Intermediate],0),99999)</f>
        <v/>
      </c>
    </row>
    <row r="402">
      <c r="A402" t="inlineStr">
        <is>
          <t>TSP-1449</t>
        </is>
      </c>
      <c r="B402" t="inlineStr">
        <is>
          <t>CHEM-1440</t>
        </is>
      </c>
      <c r="C402" t="n">
        <v>0.653</v>
      </c>
      <c r="D402">
        <f>IFERROR(MATCH($A402,PP_Grid[Intermediate],0),99999)</f>
        <v/>
      </c>
    </row>
    <row r="403">
      <c r="A403" t="inlineStr">
        <is>
          <t>VSP-567</t>
        </is>
      </c>
      <c r="B403" t="inlineStr">
        <is>
          <t>CHEM-1410</t>
        </is>
      </c>
      <c r="C403" t="n">
        <v>54.5315</v>
      </c>
      <c r="D403">
        <f>IFERROR(MATCH($A403,PP_Grid[Intermediate],0),99999)</f>
        <v/>
      </c>
    </row>
    <row r="404">
      <c r="A404" t="inlineStr">
        <is>
          <t>VSP-567</t>
        </is>
      </c>
      <c r="B404" t="inlineStr">
        <is>
          <t>CHEM-1530</t>
        </is>
      </c>
      <c r="C404" t="n">
        <v>55.14</v>
      </c>
      <c r="D404">
        <f>IFERROR(MATCH($A404,PP_Grid[Intermediate],0),99999)</f>
        <v/>
      </c>
    </row>
    <row r="405">
      <c r="A405" t="inlineStr">
        <is>
          <t>VSP-567</t>
        </is>
      </c>
      <c r="B405" t="inlineStr">
        <is>
          <t>CHEM-1400</t>
        </is>
      </c>
      <c r="C405" t="n">
        <v>4.574</v>
      </c>
      <c r="D405">
        <f>IFERROR(MATCH($A405,PP_Grid[Intermediate],0),99999)</f>
        <v/>
      </c>
    </row>
    <row r="406">
      <c r="A406" t="inlineStr">
        <is>
          <t>VSP-567</t>
        </is>
      </c>
      <c r="B406" t="inlineStr">
        <is>
          <t>CHEM-1600</t>
        </is>
      </c>
      <c r="C406" t="n">
        <v>11.076</v>
      </c>
      <c r="D406">
        <f>IFERROR(MATCH($A406,PP_Grid[Intermediate],0),99999)</f>
        <v/>
      </c>
    </row>
    <row r="407">
      <c r="A407" t="inlineStr">
        <is>
          <t>VSP-567</t>
        </is>
      </c>
      <c r="B407" t="inlineStr">
        <is>
          <t>CHEM-1260</t>
        </is>
      </c>
      <c r="C407" t="n">
        <v>2.173</v>
      </c>
      <c r="D407">
        <f>IFERROR(MATCH($A407,PP_Grid[Intermediate],0),99999)</f>
        <v/>
      </c>
    </row>
    <row r="408">
      <c r="A408" t="inlineStr">
        <is>
          <t>VSP-567</t>
        </is>
      </c>
      <c r="B408" t="inlineStr">
        <is>
          <t>CHEM-1420</t>
        </is>
      </c>
      <c r="C408" t="n">
        <v>1.6</v>
      </c>
      <c r="D408">
        <f>IFERROR(MATCH($A408,PP_Grid[Intermediate],0),99999)</f>
        <v/>
      </c>
    </row>
    <row r="409">
      <c r="A409" t="inlineStr">
        <is>
          <t>VSP-567</t>
        </is>
      </c>
      <c r="B409" t="inlineStr">
        <is>
          <t>CHEM-1440</t>
        </is>
      </c>
      <c r="C409" t="n">
        <v>0.554</v>
      </c>
      <c r="D409">
        <f>IFERROR(MATCH($A409,PP_Grid[Intermediate],0),99999)</f>
        <v/>
      </c>
    </row>
    <row r="410">
      <c r="A410" t="inlineStr">
        <is>
          <t>VSP-567</t>
        </is>
      </c>
      <c r="B410" t="inlineStr">
        <is>
          <t>CHEM-1650</t>
        </is>
      </c>
      <c r="C410" t="n">
        <v>0.049</v>
      </c>
      <c r="D410">
        <f>IFERROR(MATCH($A410,PP_Grid[Intermediate],0),99999)</f>
        <v/>
      </c>
    </row>
    <row r="411">
      <c r="A411" t="inlineStr">
        <is>
          <t>VSP-600</t>
        </is>
      </c>
      <c r="B411" t="inlineStr">
        <is>
          <t>CHEM-1410</t>
        </is>
      </c>
      <c r="C411" t="n">
        <v>32.991</v>
      </c>
      <c r="D411">
        <f>IFERROR(MATCH($A411,PP_Grid[Intermediate],0),99999)</f>
        <v/>
      </c>
    </row>
    <row r="412">
      <c r="A412" t="inlineStr">
        <is>
          <t>VSP-600</t>
        </is>
      </c>
      <c r="B412" t="inlineStr">
        <is>
          <t>CHEM-1400</t>
        </is>
      </c>
      <c r="C412" t="n">
        <v>6.053</v>
      </c>
      <c r="D412">
        <f>IFERROR(MATCH($A412,PP_Grid[Intermediate],0),99999)</f>
        <v/>
      </c>
    </row>
    <row r="413">
      <c r="A413" t="inlineStr">
        <is>
          <t>VSP-600</t>
        </is>
      </c>
      <c r="B413" t="inlineStr">
        <is>
          <t>CHEM-1610</t>
        </is>
      </c>
      <c r="C413" t="n">
        <v>59.0375</v>
      </c>
      <c r="D413">
        <f>IFERROR(MATCH($A413,PP_Grid[Intermediate],0),99999)</f>
        <v/>
      </c>
    </row>
    <row r="414">
      <c r="A414" t="inlineStr">
        <is>
          <t>VSP-600</t>
        </is>
      </c>
      <c r="B414" t="inlineStr">
        <is>
          <t>CHEM-1600</t>
        </is>
      </c>
      <c r="C414" t="n">
        <v>16.747</v>
      </c>
      <c r="D414">
        <f>IFERROR(MATCH($A414,PP_Grid[Intermediate],0),99999)</f>
        <v/>
      </c>
    </row>
    <row r="415">
      <c r="A415" t="inlineStr">
        <is>
          <t>VSP-600</t>
        </is>
      </c>
      <c r="B415" t="inlineStr">
        <is>
          <t>CHEM-1260</t>
        </is>
      </c>
      <c r="C415" t="n">
        <v>1.15</v>
      </c>
      <c r="D415">
        <f>IFERROR(MATCH($A415,PP_Grid[Intermediate],0),99999)</f>
        <v/>
      </c>
    </row>
    <row r="416">
      <c r="A416" t="inlineStr">
        <is>
          <t>VSP-600</t>
        </is>
      </c>
      <c r="B416" t="inlineStr">
        <is>
          <t>0JN</t>
        </is>
      </c>
      <c r="C416" t="n">
        <v>2.902</v>
      </c>
      <c r="D416">
        <f>IFERROR(MATCH($A416,PP_Grid[Intermediate],0),99999)</f>
        <v/>
      </c>
    </row>
    <row r="417">
      <c r="A417" t="inlineStr">
        <is>
          <t>VSP-600</t>
        </is>
      </c>
      <c r="B417" t="inlineStr">
        <is>
          <t>CHEM-1420</t>
        </is>
      </c>
      <c r="C417" t="n">
        <v>0.728</v>
      </c>
      <c r="D417">
        <f>IFERROR(MATCH($A417,PP_Grid[Intermediate],0),99999)</f>
        <v/>
      </c>
    </row>
    <row r="418">
      <c r="A418" t="inlineStr">
        <is>
          <t>VSP-600</t>
        </is>
      </c>
      <c r="B418" t="inlineStr">
        <is>
          <t>CHEM-1440</t>
        </is>
      </c>
      <c r="C418" t="n">
        <v>0.504</v>
      </c>
      <c r="D418">
        <f>IFERROR(MATCH($A418,PP_Grid[Intermediate],0),99999)</f>
        <v/>
      </c>
    </row>
    <row r="419">
      <c r="A419" t="inlineStr">
        <is>
          <t>VSP-601</t>
        </is>
      </c>
      <c r="B419" t="inlineStr">
        <is>
          <t>CHEM-1410</t>
        </is>
      </c>
      <c r="C419" t="n">
        <v>65.9123</v>
      </c>
      <c r="D419">
        <f>IFERROR(MATCH($A419,PP_Grid[Intermediate],0),99999)</f>
        <v/>
      </c>
    </row>
    <row r="420">
      <c r="A420" t="inlineStr">
        <is>
          <t>VSP-601</t>
        </is>
      </c>
      <c r="B420" t="inlineStr">
        <is>
          <t>CHEM-1400</t>
        </is>
      </c>
      <c r="C420" t="n">
        <v>6.047</v>
      </c>
      <c r="D420">
        <f>IFERROR(MATCH($A420,PP_Grid[Intermediate],0),99999)</f>
        <v/>
      </c>
    </row>
    <row r="421">
      <c r="A421" t="inlineStr">
        <is>
          <t>VSP-601</t>
        </is>
      </c>
      <c r="B421" t="inlineStr">
        <is>
          <t>CHEM-1610</t>
        </is>
      </c>
      <c r="C421" t="n">
        <v>16.85</v>
      </c>
      <c r="D421">
        <f>IFERROR(MATCH($A421,PP_Grid[Intermediate],0),99999)</f>
        <v/>
      </c>
    </row>
    <row r="422">
      <c r="A422" t="inlineStr">
        <is>
          <t>VSP-601</t>
        </is>
      </c>
      <c r="B422" t="inlineStr">
        <is>
          <t>CHEM-1600</t>
        </is>
      </c>
      <c r="C422" t="n">
        <v>16.73</v>
      </c>
      <c r="D422">
        <f>IFERROR(MATCH($A422,PP_Grid[Intermediate],0),99999)</f>
        <v/>
      </c>
    </row>
    <row r="423">
      <c r="A423" t="inlineStr">
        <is>
          <t>VSP-601</t>
        </is>
      </c>
      <c r="B423" t="inlineStr">
        <is>
          <t>CHEM-1260</t>
        </is>
      </c>
      <c r="C423" t="n">
        <v>2.134</v>
      </c>
      <c r="D423">
        <f>IFERROR(MATCH($A423,PP_Grid[Intermediate],0),99999)</f>
        <v/>
      </c>
    </row>
    <row r="424">
      <c r="A424" t="inlineStr">
        <is>
          <t>VSP-601</t>
        </is>
      </c>
      <c r="B424" t="inlineStr">
        <is>
          <t>0JN</t>
        </is>
      </c>
      <c r="C424" t="n">
        <v>8.698</v>
      </c>
      <c r="D424">
        <f>IFERROR(MATCH($A424,PP_Grid[Intermediate],0),99999)</f>
        <v/>
      </c>
    </row>
    <row r="425">
      <c r="A425" t="inlineStr">
        <is>
          <t>VSP-601</t>
        </is>
      </c>
      <c r="B425" t="inlineStr">
        <is>
          <t>CHEM-1420</t>
        </is>
      </c>
      <c r="C425" t="n">
        <v>0.629</v>
      </c>
      <c r="D425">
        <f>IFERROR(MATCH($A425,PP_Grid[Intermediate],0),99999)</f>
        <v/>
      </c>
    </row>
    <row r="426">
      <c r="A426" t="inlineStr">
        <is>
          <t>VSP-602</t>
        </is>
      </c>
      <c r="B426" t="inlineStr">
        <is>
          <t>CHEM-1410</t>
        </is>
      </c>
      <c r="C426" t="n">
        <v>6.183</v>
      </c>
      <c r="D426">
        <f>IFERROR(MATCH($A426,PP_Grid[Intermediate],0),99999)</f>
        <v/>
      </c>
    </row>
    <row r="427">
      <c r="A427" t="inlineStr">
        <is>
          <t>VSP-602</t>
        </is>
      </c>
      <c r="B427" t="inlineStr">
        <is>
          <t>CHEM-1520</t>
        </is>
      </c>
      <c r="C427" t="n">
        <v>43.765</v>
      </c>
      <c r="D427">
        <f>IFERROR(MATCH($A427,PP_Grid[Intermediate],0),99999)</f>
        <v/>
      </c>
    </row>
    <row r="428">
      <c r="A428" t="inlineStr">
        <is>
          <t>VSP-602</t>
        </is>
      </c>
      <c r="B428" t="inlineStr">
        <is>
          <t>CHEM-1530</t>
        </is>
      </c>
      <c r="C428" t="n">
        <v>50.015</v>
      </c>
      <c r="D428">
        <f>IFERROR(MATCH($A428,PP_Grid[Intermediate],0),99999)</f>
        <v/>
      </c>
    </row>
    <row r="429">
      <c r="A429" t="inlineStr">
        <is>
          <t>VSP-602</t>
        </is>
      </c>
      <c r="B429" t="inlineStr">
        <is>
          <t>CHEM-1400</t>
        </is>
      </c>
      <c r="C429" t="n">
        <v>9.074999999999999</v>
      </c>
      <c r="D429">
        <f>IFERROR(MATCH($A429,PP_Grid[Intermediate],0),99999)</f>
        <v/>
      </c>
    </row>
    <row r="430">
      <c r="A430" t="inlineStr">
        <is>
          <t>VSP-602</t>
        </is>
      </c>
      <c r="B430" t="inlineStr">
        <is>
          <t>CHEM-1260</t>
        </is>
      </c>
      <c r="C430" t="n">
        <v>1.232</v>
      </c>
      <c r="D430">
        <f>IFERROR(MATCH($A430,PP_Grid[Intermediate],0),99999)</f>
        <v/>
      </c>
    </row>
    <row r="431">
      <c r="A431" t="inlineStr">
        <is>
          <t>VSP-602</t>
        </is>
      </c>
      <c r="B431" t="inlineStr">
        <is>
          <t>CHEM-1420</t>
        </is>
      </c>
      <c r="C431" t="n">
        <v>1.69</v>
      </c>
      <c r="D431">
        <f>IFERROR(MATCH($A431,PP_Grid[Intermediate],0),99999)</f>
        <v/>
      </c>
    </row>
    <row r="432">
      <c r="A432" t="inlineStr">
        <is>
          <t>VSP-602</t>
        </is>
      </c>
      <c r="B432" t="inlineStr">
        <is>
          <t>CHEM-1440</t>
        </is>
      </c>
      <c r="C432" t="n">
        <v>1.267</v>
      </c>
      <c r="D432">
        <f>IFERROR(MATCH($A432,PP_Grid[Intermediate],0),99999)</f>
        <v/>
      </c>
    </row>
    <row r="433">
      <c r="A433" t="inlineStr">
        <is>
          <t>VSP-602</t>
        </is>
      </c>
      <c r="B433" t="inlineStr">
        <is>
          <t>CHEM-1650</t>
        </is>
      </c>
      <c r="C433" t="n">
        <v>0.042</v>
      </c>
      <c r="D433">
        <f>IFERROR(MATCH($A433,PP_Grid[Intermediate],0),99999)</f>
        <v/>
      </c>
    </row>
    <row r="434">
      <c r="A434" t="inlineStr">
        <is>
          <t>VSP-603</t>
        </is>
      </c>
      <c r="B434" t="inlineStr">
        <is>
          <t>CHEM-1410</t>
        </is>
      </c>
      <c r="C434" t="n">
        <v>22.589</v>
      </c>
      <c r="D434">
        <f>IFERROR(MATCH($A434,PP_Grid[Intermediate],0),99999)</f>
        <v/>
      </c>
    </row>
    <row r="435">
      <c r="A435" t="inlineStr">
        <is>
          <t>VSP-603</t>
        </is>
      </c>
      <c r="B435" t="inlineStr">
        <is>
          <t>CHEM-1400</t>
        </is>
      </c>
      <c r="C435" t="n">
        <v>5.5259</v>
      </c>
      <c r="D435">
        <f>IFERROR(MATCH($A435,PP_Grid[Intermediate],0),99999)</f>
        <v/>
      </c>
    </row>
    <row r="436">
      <c r="A436" t="inlineStr">
        <is>
          <t>VSP-603</t>
        </is>
      </c>
      <c r="B436" t="inlineStr">
        <is>
          <t>CHEM-1610</t>
        </is>
      </c>
      <c r="C436" t="n">
        <v>53.8976</v>
      </c>
      <c r="D436">
        <f>IFERROR(MATCH($A436,PP_Grid[Intermediate],0),99999)</f>
        <v/>
      </c>
    </row>
    <row r="437">
      <c r="A437" t="inlineStr">
        <is>
          <t>VSP-603</t>
        </is>
      </c>
      <c r="B437" t="inlineStr">
        <is>
          <t>CHEM-1600</t>
        </is>
      </c>
      <c r="C437" t="n">
        <v>11.4671</v>
      </c>
      <c r="D437">
        <f>IFERROR(MATCH($A437,PP_Grid[Intermediate],0),99999)</f>
        <v/>
      </c>
    </row>
    <row r="438">
      <c r="A438" t="inlineStr">
        <is>
          <t>VSP-603</t>
        </is>
      </c>
      <c r="B438" t="inlineStr">
        <is>
          <t>CHEM-1260</t>
        </is>
      </c>
      <c r="C438" t="n">
        <v>0.9</v>
      </c>
      <c r="D438">
        <f>IFERROR(MATCH($A438,PP_Grid[Intermediate],0),99999)</f>
        <v/>
      </c>
    </row>
    <row r="439">
      <c r="A439" t="inlineStr">
        <is>
          <t>VSP-603</t>
        </is>
      </c>
      <c r="B439" t="inlineStr">
        <is>
          <t>0JN</t>
        </is>
      </c>
      <c r="C439" t="n">
        <v>2.6495</v>
      </c>
      <c r="D439">
        <f>IFERROR(MATCH($A439,PP_Grid[Intermediate],0),99999)</f>
        <v/>
      </c>
    </row>
    <row r="440">
      <c r="A440" t="inlineStr">
        <is>
          <t>VSP-603</t>
        </is>
      </c>
      <c r="B440" t="inlineStr">
        <is>
          <t>CHEM-1420</t>
        </is>
      </c>
      <c r="C440" t="n">
        <v>0.592</v>
      </c>
      <c r="D440">
        <f>IFERROR(MATCH($A440,PP_Grid[Intermediate],0),99999)</f>
        <v/>
      </c>
    </row>
    <row r="441">
      <c r="A441" t="inlineStr">
        <is>
          <t>VSP-603</t>
        </is>
      </c>
      <c r="B441" t="inlineStr">
        <is>
          <t>CHEM-1440</t>
        </is>
      </c>
      <c r="C441" t="n">
        <v>0.546</v>
      </c>
      <c r="D441">
        <f>IFERROR(MATCH($A441,PP_Grid[Intermediate],0),99999)</f>
        <v/>
      </c>
    </row>
    <row r="442">
      <c r="A442" t="inlineStr">
        <is>
          <t>VSP-604</t>
        </is>
      </c>
      <c r="B442" t="inlineStr">
        <is>
          <t>CHEM-1410</t>
        </is>
      </c>
      <c r="C442" t="n">
        <v>44.851</v>
      </c>
      <c r="D442">
        <f>IFERROR(MATCH($A442,PP_Grid[Intermediate],0),99999)</f>
        <v/>
      </c>
    </row>
    <row r="443">
      <c r="A443" t="inlineStr">
        <is>
          <t>VSP-604</t>
        </is>
      </c>
      <c r="B443" t="inlineStr">
        <is>
          <t>CHEM-1400</t>
        </is>
      </c>
      <c r="C443" t="n">
        <v>4.389</v>
      </c>
      <c r="D443">
        <f>IFERROR(MATCH($A443,PP_Grid[Intermediate],0),99999)</f>
        <v/>
      </c>
    </row>
    <row r="444">
      <c r="A444" t="inlineStr">
        <is>
          <t>VSP-604</t>
        </is>
      </c>
      <c r="B444" t="inlineStr">
        <is>
          <t>CHEM-1610</t>
        </is>
      </c>
      <c r="C444" t="n">
        <v>11.466</v>
      </c>
      <c r="D444">
        <f>IFERROR(MATCH($A444,PP_Grid[Intermediate],0),99999)</f>
        <v/>
      </c>
    </row>
    <row r="445">
      <c r="A445" t="inlineStr">
        <is>
          <t>VSP-604</t>
        </is>
      </c>
      <c r="B445" t="inlineStr">
        <is>
          <t>CHEM-1600</t>
        </is>
      </c>
      <c r="C445" t="n">
        <v>11.384</v>
      </c>
      <c r="D445">
        <f>IFERROR(MATCH($A445,PP_Grid[Intermediate],0),99999)</f>
        <v/>
      </c>
    </row>
    <row r="446">
      <c r="A446" t="inlineStr">
        <is>
          <t>VSP-604</t>
        </is>
      </c>
      <c r="B446" t="inlineStr">
        <is>
          <t>CHEM-1260</t>
        </is>
      </c>
      <c r="C446" t="n">
        <v>0.357</v>
      </c>
      <c r="D446">
        <f>IFERROR(MATCH($A446,PP_Grid[Intermediate],0),99999)</f>
        <v/>
      </c>
    </row>
    <row r="447">
      <c r="A447" t="inlineStr">
        <is>
          <t>VSP-604</t>
        </is>
      </c>
      <c r="B447" t="inlineStr">
        <is>
          <t>0JN</t>
        </is>
      </c>
      <c r="C447" t="n">
        <v>1.65731</v>
      </c>
      <c r="D447">
        <f>IFERROR(MATCH($A447,PP_Grid[Intermediate],0),99999)</f>
        <v/>
      </c>
    </row>
    <row r="448">
      <c r="A448" t="inlineStr">
        <is>
          <t>VSP-604</t>
        </is>
      </c>
      <c r="B448" t="inlineStr">
        <is>
          <t>CHEM-1420</t>
        </is>
      </c>
      <c r="C448" t="n">
        <v>1.005</v>
      </c>
      <c r="D448">
        <f>IFERROR(MATCH($A448,PP_Grid[Intermediate],0),99999)</f>
        <v/>
      </c>
    </row>
    <row r="449">
      <c r="A449" t="inlineStr">
        <is>
          <t>VSP-605</t>
        </is>
      </c>
      <c r="B449" t="inlineStr">
        <is>
          <t>CHEM-1410</t>
        </is>
      </c>
      <c r="C449" t="n">
        <v>50.5726</v>
      </c>
      <c r="D449">
        <f>IFERROR(MATCH($A449,PP_Grid[Intermediate],0),99999)</f>
        <v/>
      </c>
    </row>
    <row r="450">
      <c r="A450" t="inlineStr">
        <is>
          <t>VSP-605</t>
        </is>
      </c>
      <c r="B450" t="inlineStr">
        <is>
          <t>CHEM-1530</t>
        </is>
      </c>
      <c r="C450" t="n">
        <v>51.715</v>
      </c>
      <c r="D450">
        <f>IFERROR(MATCH($A450,PP_Grid[Intermediate],0),99999)</f>
        <v/>
      </c>
    </row>
    <row r="451">
      <c r="A451" t="inlineStr">
        <is>
          <t>VSP-605</t>
        </is>
      </c>
      <c r="B451" t="inlineStr">
        <is>
          <t>CHEM-1400</t>
        </is>
      </c>
      <c r="C451" t="n">
        <v>9.897</v>
      </c>
      <c r="D451">
        <f>IFERROR(MATCH($A451,PP_Grid[Intermediate],0),99999)</f>
        <v/>
      </c>
    </row>
    <row r="452">
      <c r="A452" t="inlineStr">
        <is>
          <t>VSP-605</t>
        </is>
      </c>
      <c r="B452" t="inlineStr">
        <is>
          <t>CHEM-1260</t>
        </is>
      </c>
      <c r="C452" t="n">
        <v>1.091</v>
      </c>
      <c r="D452">
        <f>IFERROR(MATCH($A452,PP_Grid[Intermediate],0),99999)</f>
        <v/>
      </c>
    </row>
    <row r="453">
      <c r="A453" t="inlineStr">
        <is>
          <t>VSP-605</t>
        </is>
      </c>
      <c r="B453" t="inlineStr">
        <is>
          <t>CHEM-1420</t>
        </is>
      </c>
      <c r="C453" t="n">
        <v>2.604</v>
      </c>
      <c r="D453">
        <f>IFERROR(MATCH($A453,PP_Grid[Intermediate],0),99999)</f>
        <v/>
      </c>
    </row>
    <row r="454">
      <c r="A454" t="inlineStr">
        <is>
          <t>VSP-605</t>
        </is>
      </c>
      <c r="B454" t="inlineStr">
        <is>
          <t>CHEM-1440</t>
        </is>
      </c>
      <c r="C454" t="n">
        <v>1.41</v>
      </c>
      <c r="D454">
        <f>IFERROR(MATCH($A454,PP_Grid[Intermediate],0),99999)</f>
        <v/>
      </c>
    </row>
    <row r="455">
      <c r="A455" t="inlineStr">
        <is>
          <t>VSP-605</t>
        </is>
      </c>
      <c r="B455" t="inlineStr">
        <is>
          <t>CHEM-1650</t>
        </is>
      </c>
      <c r="C455" t="n">
        <v>0.042</v>
      </c>
      <c r="D455">
        <f>IFERROR(MATCH($A455,PP_Grid[Intermediate],0),99999)</f>
        <v/>
      </c>
    </row>
    <row r="456">
      <c r="A456" t="inlineStr">
        <is>
          <t>VSP-606</t>
        </is>
      </c>
      <c r="B456" t="inlineStr">
        <is>
          <t>CHEM-1410</t>
        </is>
      </c>
      <c r="C456" t="n">
        <v>65.203</v>
      </c>
      <c r="D456">
        <f>IFERROR(MATCH($A456,PP_Grid[Intermediate],0),99999)</f>
        <v/>
      </c>
    </row>
    <row r="457">
      <c r="A457" t="inlineStr">
        <is>
          <t>VSP-606</t>
        </is>
      </c>
      <c r="B457" t="inlineStr">
        <is>
          <t>CHEM-1400</t>
        </is>
      </c>
      <c r="C457" t="n">
        <v>7.973</v>
      </c>
      <c r="D457">
        <f>IFERROR(MATCH($A457,PP_Grid[Intermediate],0),99999)</f>
        <v/>
      </c>
    </row>
    <row r="458">
      <c r="A458" t="inlineStr">
        <is>
          <t>VSP-606</t>
        </is>
      </c>
      <c r="B458" t="inlineStr">
        <is>
          <t>CHEM-1610</t>
        </is>
      </c>
      <c r="C458" t="n">
        <v>66.6756</v>
      </c>
      <c r="D458">
        <f>IFERROR(MATCH($A458,PP_Grid[Intermediate],0),99999)</f>
        <v/>
      </c>
    </row>
    <row r="459">
      <c r="A459" t="inlineStr">
        <is>
          <t>VSP-606</t>
        </is>
      </c>
      <c r="B459" t="inlineStr">
        <is>
          <t>CHEM-1600</t>
        </is>
      </c>
      <c r="C459" t="n">
        <v>22.023</v>
      </c>
      <c r="D459">
        <f>IFERROR(MATCH($A459,PP_Grid[Intermediate],0),99999)</f>
        <v/>
      </c>
    </row>
    <row r="460">
      <c r="A460" t="inlineStr">
        <is>
          <t>VSP-606</t>
        </is>
      </c>
      <c r="B460" t="inlineStr">
        <is>
          <t>CHEM-1260</t>
        </is>
      </c>
      <c r="C460" t="n">
        <v>1.534</v>
      </c>
      <c r="D460">
        <f>IFERROR(MATCH($A460,PP_Grid[Intermediate],0),99999)</f>
        <v/>
      </c>
    </row>
    <row r="461">
      <c r="A461" t="inlineStr">
        <is>
          <t>VSP-606</t>
        </is>
      </c>
      <c r="B461" t="inlineStr">
        <is>
          <t>0JN</t>
        </is>
      </c>
      <c r="C461" t="n">
        <v>1.77</v>
      </c>
      <c r="D461">
        <f>IFERROR(MATCH($A461,PP_Grid[Intermediate],0),99999)</f>
        <v/>
      </c>
    </row>
    <row r="462">
      <c r="A462" t="inlineStr">
        <is>
          <t>VSP-606</t>
        </is>
      </c>
      <c r="B462" t="inlineStr">
        <is>
          <t>CHEM-1420</t>
        </is>
      </c>
      <c r="C462" t="n">
        <v>0.711</v>
      </c>
      <c r="D462">
        <f>IFERROR(MATCH($A462,PP_Grid[Intermediate],0),99999)</f>
        <v/>
      </c>
    </row>
    <row r="463">
      <c r="A463" t="inlineStr">
        <is>
          <t>VSP-606</t>
        </is>
      </c>
      <c r="B463" t="inlineStr">
        <is>
          <t>CHEM-1440</t>
        </is>
      </c>
      <c r="C463" t="n">
        <v>0.868</v>
      </c>
      <c r="D463">
        <f>IFERROR(MATCH($A463,PP_Grid[Intermediate],0),99999)</f>
        <v/>
      </c>
    </row>
    <row r="464">
      <c r="A464" t="inlineStr">
        <is>
          <t>VSP-607</t>
        </is>
      </c>
      <c r="B464" t="inlineStr">
        <is>
          <t>CHEM-1410</t>
        </is>
      </c>
      <c r="C464" t="n">
        <v>62.9163</v>
      </c>
      <c r="D464">
        <f>IFERROR(MATCH($A464,PP_Grid[Intermediate],0),99999)</f>
        <v/>
      </c>
    </row>
    <row r="465">
      <c r="A465" t="inlineStr">
        <is>
          <t>VSP-607</t>
        </is>
      </c>
      <c r="B465" t="inlineStr">
        <is>
          <t>CHEM-1530</t>
        </is>
      </c>
      <c r="C465" t="n">
        <v>63.619</v>
      </c>
      <c r="D465">
        <f>IFERROR(MATCH($A465,PP_Grid[Intermediate],0),99999)</f>
        <v/>
      </c>
    </row>
    <row r="466">
      <c r="A466" t="inlineStr">
        <is>
          <t>VSP-607</t>
        </is>
      </c>
      <c r="B466" t="inlineStr">
        <is>
          <t>CHEM-1400</t>
        </is>
      </c>
      <c r="C466" t="n">
        <v>5.27</v>
      </c>
      <c r="D466">
        <f>IFERROR(MATCH($A466,PP_Grid[Intermediate],0),99999)</f>
        <v/>
      </c>
    </row>
    <row r="467">
      <c r="A467" t="inlineStr">
        <is>
          <t>VSP-607</t>
        </is>
      </c>
      <c r="B467" t="inlineStr">
        <is>
          <t>CHEM-1600</t>
        </is>
      </c>
      <c r="C467" t="n">
        <v>12.806</v>
      </c>
      <c r="D467">
        <f>IFERROR(MATCH($A467,PP_Grid[Intermediate],0),99999)</f>
        <v/>
      </c>
    </row>
    <row r="468">
      <c r="A468" t="inlineStr">
        <is>
          <t>VSP-607</t>
        </is>
      </c>
      <c r="B468" t="inlineStr">
        <is>
          <t>CHEM-1260</t>
        </is>
      </c>
      <c r="C468" t="n">
        <v>1.921</v>
      </c>
      <c r="D468">
        <f>IFERROR(MATCH($A468,PP_Grid[Intermediate],0),99999)</f>
        <v/>
      </c>
    </row>
    <row r="469">
      <c r="A469" t="inlineStr">
        <is>
          <t>VSP-607</t>
        </is>
      </c>
      <c r="B469" t="inlineStr">
        <is>
          <t>0JN</t>
        </is>
      </c>
      <c r="C469" t="n">
        <v>15.26</v>
      </c>
      <c r="D469">
        <f>IFERROR(MATCH($A469,PP_Grid[Intermediate],0),99999)</f>
        <v/>
      </c>
    </row>
    <row r="470">
      <c r="A470" t="inlineStr">
        <is>
          <t>VSP-607</t>
        </is>
      </c>
      <c r="B470" t="inlineStr">
        <is>
          <t>CHEM-1420</t>
        </is>
      </c>
      <c r="C470" t="n">
        <v>2.131</v>
      </c>
      <c r="D470">
        <f>IFERROR(MATCH($A470,PP_Grid[Intermediate],0),99999)</f>
        <v/>
      </c>
    </row>
    <row r="471">
      <c r="A471" t="inlineStr">
        <is>
          <t>VSP-607</t>
        </is>
      </c>
      <c r="B471" t="inlineStr">
        <is>
          <t>CHEM-1440</t>
        </is>
      </c>
      <c r="C471" t="n">
        <v>0.569</v>
      </c>
      <c r="D471">
        <f>IFERROR(MATCH($A471,PP_Grid[Intermediate],0),99999)</f>
        <v/>
      </c>
    </row>
    <row r="472">
      <c r="A472" t="inlineStr">
        <is>
          <t>VSP-607</t>
        </is>
      </c>
      <c r="B472" t="inlineStr">
        <is>
          <t>CHEM-1650</t>
        </is>
      </c>
      <c r="C472" t="n">
        <v>0.056</v>
      </c>
      <c r="D472">
        <f>IFERROR(MATCH($A472,PP_Grid[Intermediate],0),99999)</f>
        <v/>
      </c>
    </row>
    <row r="473">
      <c r="A473" t="inlineStr">
        <is>
          <t>VSP-738</t>
        </is>
      </c>
      <c r="B473" t="inlineStr">
        <is>
          <t>CHEM-1410</t>
        </is>
      </c>
      <c r="C473" t="n">
        <v>24.69</v>
      </c>
      <c r="D473">
        <f>IFERROR(MATCH($A473,PP_Grid[Intermediate],0),99999)</f>
        <v/>
      </c>
    </row>
    <row r="474">
      <c r="A474" t="inlineStr">
        <is>
          <t>VSP-738</t>
        </is>
      </c>
      <c r="B474" t="inlineStr">
        <is>
          <t>CHEM-1400</t>
        </is>
      </c>
      <c r="C474" t="n">
        <v>4.548</v>
      </c>
      <c r="D474">
        <f>IFERROR(MATCH($A474,PP_Grid[Intermediate],0),99999)</f>
        <v/>
      </c>
    </row>
    <row r="475">
      <c r="A475" t="inlineStr">
        <is>
          <t>VSP-738</t>
        </is>
      </c>
      <c r="B475" t="inlineStr">
        <is>
          <t>CHEM-1610</t>
        </is>
      </c>
      <c r="C475" t="n">
        <v>44.3599</v>
      </c>
      <c r="D475">
        <f>IFERROR(MATCH($A475,PP_Grid[Intermediate],0),99999)</f>
        <v/>
      </c>
    </row>
    <row r="476">
      <c r="A476" t="inlineStr">
        <is>
          <t>VSP-738</t>
        </is>
      </c>
      <c r="B476" t="inlineStr">
        <is>
          <t>CHEM-1600</t>
        </is>
      </c>
      <c r="C476" t="n">
        <v>12.584</v>
      </c>
      <c r="D476">
        <f>IFERROR(MATCH($A476,PP_Grid[Intermediate],0),99999)</f>
        <v/>
      </c>
    </row>
    <row r="477">
      <c r="A477" t="inlineStr">
        <is>
          <t>VSP-738</t>
        </is>
      </c>
      <c r="B477" t="inlineStr">
        <is>
          <t>CHEM-1260</t>
        </is>
      </c>
      <c r="C477" t="n">
        <v>0.926</v>
      </c>
      <c r="D477">
        <f>IFERROR(MATCH($A477,PP_Grid[Intermediate],0),99999)</f>
        <v/>
      </c>
    </row>
    <row r="478">
      <c r="A478" t="inlineStr">
        <is>
          <t>VSP-738</t>
        </is>
      </c>
      <c r="B478" t="inlineStr">
        <is>
          <t>0JN</t>
        </is>
      </c>
      <c r="C478" t="n">
        <v>0.8993</v>
      </c>
      <c r="D478">
        <f>IFERROR(MATCH($A478,PP_Grid[Intermediate],0),99999)</f>
        <v/>
      </c>
    </row>
    <row r="479">
      <c r="A479" t="inlineStr">
        <is>
          <t>VSP-738</t>
        </is>
      </c>
      <c r="B479" t="inlineStr">
        <is>
          <t>CHEM-1420</t>
        </is>
      </c>
      <c r="C479" t="n">
        <v>0.338</v>
      </c>
      <c r="D479">
        <f>IFERROR(MATCH($A479,PP_Grid[Intermediate],0),99999)</f>
        <v/>
      </c>
    </row>
    <row r="480">
      <c r="A480" t="inlineStr">
        <is>
          <t>VSP-738</t>
        </is>
      </c>
      <c r="B480" t="inlineStr">
        <is>
          <t>CHEM-1650</t>
        </is>
      </c>
      <c r="C480" t="n">
        <v>0.034</v>
      </c>
      <c r="D480">
        <f>IFERROR(MATCH($A480,PP_Grid[Intermediate],0),99999)</f>
        <v/>
      </c>
    </row>
    <row r="481">
      <c r="A481" t="inlineStr">
        <is>
          <t>VSP-739</t>
        </is>
      </c>
      <c r="B481" t="inlineStr">
        <is>
          <t>CHEM-1410</t>
        </is>
      </c>
      <c r="C481" t="n">
        <v>49.4387</v>
      </c>
      <c r="D481">
        <f>IFERROR(MATCH($A481,PP_Grid[Intermediate],0),99999)</f>
        <v/>
      </c>
    </row>
    <row r="482">
      <c r="A482" t="inlineStr">
        <is>
          <t>VSP-739</t>
        </is>
      </c>
      <c r="B482" t="inlineStr">
        <is>
          <t>CHEM-1400</t>
        </is>
      </c>
      <c r="C482" t="n">
        <v>4.535</v>
      </c>
      <c r="D482">
        <f>IFERROR(MATCH($A482,PP_Grid[Intermediate],0),99999)</f>
        <v/>
      </c>
    </row>
    <row r="483">
      <c r="A483" t="inlineStr">
        <is>
          <t>VSP-739</t>
        </is>
      </c>
      <c r="B483" t="inlineStr">
        <is>
          <t>CHEM-1610</t>
        </is>
      </c>
      <c r="C483" t="n">
        <v>12.639</v>
      </c>
      <c r="D483">
        <f>IFERROR(MATCH($A483,PP_Grid[Intermediate],0),99999)</f>
        <v/>
      </c>
    </row>
    <row r="484">
      <c r="A484" t="inlineStr">
        <is>
          <t>VSP-739</t>
        </is>
      </c>
      <c r="B484" t="inlineStr">
        <is>
          <t>CHEM-1600</t>
        </is>
      </c>
      <c r="C484" t="n">
        <v>12.549</v>
      </c>
      <c r="D484">
        <f>IFERROR(MATCH($A484,PP_Grid[Intermediate],0),99999)</f>
        <v/>
      </c>
    </row>
    <row r="485">
      <c r="A485" t="inlineStr">
        <is>
          <t>VSP-739</t>
        </is>
      </c>
      <c r="B485" t="inlineStr">
        <is>
          <t>CHEM-1260</t>
        </is>
      </c>
      <c r="C485" t="n">
        <v>0.862</v>
      </c>
      <c r="D485">
        <f>IFERROR(MATCH($A485,PP_Grid[Intermediate],0),99999)</f>
        <v/>
      </c>
    </row>
    <row r="486">
      <c r="A486" t="inlineStr">
        <is>
          <t>VSP-739</t>
        </is>
      </c>
      <c r="B486" t="inlineStr">
        <is>
          <t>CHEM-1510</t>
        </is>
      </c>
      <c r="C486" t="n">
        <v>4.001</v>
      </c>
      <c r="D486">
        <f>IFERROR(MATCH($A486,PP_Grid[Intermediate],0),99999)</f>
        <v/>
      </c>
    </row>
    <row r="487">
      <c r="A487" t="inlineStr">
        <is>
          <t>VSP-739</t>
        </is>
      </c>
      <c r="B487" t="inlineStr">
        <is>
          <t>0JN</t>
        </is>
      </c>
      <c r="C487" t="n">
        <v>2.6904</v>
      </c>
      <c r="D487">
        <f>IFERROR(MATCH($A487,PP_Grid[Intermediate],0),99999)</f>
        <v/>
      </c>
    </row>
    <row r="488">
      <c r="A488" t="inlineStr">
        <is>
          <t>VSP-739</t>
        </is>
      </c>
      <c r="B488" t="inlineStr">
        <is>
          <t>CHEM-1420</t>
        </is>
      </c>
      <c r="C488" t="n">
        <v>0.339</v>
      </c>
      <c r="D488">
        <f>IFERROR(MATCH($A488,PP_Grid[Intermediate],0),99999)</f>
        <v/>
      </c>
    </row>
    <row r="489">
      <c r="A489" t="inlineStr">
        <is>
          <t>VSP-739</t>
        </is>
      </c>
      <c r="B489" t="inlineStr">
        <is>
          <t>CHEM-1440</t>
        </is>
      </c>
      <c r="C489" t="n">
        <v>0.16</v>
      </c>
      <c r="D489">
        <f>IFERROR(MATCH($A489,PP_Grid[Intermediate],0),99999)</f>
        <v/>
      </c>
    </row>
    <row r="490">
      <c r="A490" t="inlineStr">
        <is>
          <t>VSP-740</t>
        </is>
      </c>
      <c r="B490" t="inlineStr">
        <is>
          <t>CHEM-1410</t>
        </is>
      </c>
      <c r="C490" t="n">
        <v>3.675</v>
      </c>
      <c r="D490">
        <f>IFERROR(MATCH($A490,PP_Grid[Intermediate],0),99999)</f>
        <v/>
      </c>
    </row>
    <row r="491">
      <c r="A491" t="inlineStr">
        <is>
          <t>VSP-740</t>
        </is>
      </c>
      <c r="B491" t="inlineStr">
        <is>
          <t>CHEM-1520</t>
        </is>
      </c>
      <c r="C491" t="n">
        <v>25.702</v>
      </c>
      <c r="D491">
        <f>IFERROR(MATCH($A491,PP_Grid[Intermediate],0),99999)</f>
        <v/>
      </c>
    </row>
    <row r="492">
      <c r="A492" t="inlineStr">
        <is>
          <t>VSP-740</t>
        </is>
      </c>
      <c r="B492" t="inlineStr">
        <is>
          <t>CHEM-1530</t>
        </is>
      </c>
      <c r="C492" t="n">
        <v>29.732</v>
      </c>
      <c r="D492">
        <f>IFERROR(MATCH($A492,PP_Grid[Intermediate],0),99999)</f>
        <v/>
      </c>
    </row>
    <row r="493">
      <c r="A493" t="inlineStr">
        <is>
          <t>VSP-740</t>
        </is>
      </c>
      <c r="B493" t="inlineStr">
        <is>
          <t>CHEM-1400</t>
        </is>
      </c>
      <c r="C493" t="n">
        <v>5.395</v>
      </c>
      <c r="D493">
        <f>IFERROR(MATCH($A493,PP_Grid[Intermediate],0),99999)</f>
        <v/>
      </c>
    </row>
    <row r="494">
      <c r="A494" t="inlineStr">
        <is>
          <t>VSP-740</t>
        </is>
      </c>
      <c r="B494" t="inlineStr">
        <is>
          <t>CHEM-1260</t>
        </is>
      </c>
      <c r="C494" t="n">
        <v>0.417</v>
      </c>
      <c r="D494">
        <f>IFERROR(MATCH($A494,PP_Grid[Intermediate],0),99999)</f>
        <v/>
      </c>
    </row>
    <row r="495">
      <c r="A495" t="inlineStr">
        <is>
          <t>VSP-740</t>
        </is>
      </c>
      <c r="B495" t="inlineStr">
        <is>
          <t>CHEM-1420</t>
        </is>
      </c>
      <c r="C495" t="n">
        <v>0.879</v>
      </c>
      <c r="D495">
        <f>IFERROR(MATCH($A495,PP_Grid[Intermediate],0),99999)</f>
        <v/>
      </c>
    </row>
    <row r="496">
      <c r="A496" t="inlineStr">
        <is>
          <t>VSP-740</t>
        </is>
      </c>
      <c r="B496" t="inlineStr">
        <is>
          <t>CHEM-1440</t>
        </is>
      </c>
      <c r="C496" t="n">
        <v>0.754</v>
      </c>
      <c r="D496">
        <f>IFERROR(MATCH($A496,PP_Grid[Intermediate],0),99999)</f>
        <v/>
      </c>
    </row>
    <row r="497">
      <c r="A497" t="inlineStr">
        <is>
          <t>VSP-740</t>
        </is>
      </c>
      <c r="B497" t="inlineStr">
        <is>
          <t>CHEM-1650</t>
        </is>
      </c>
      <c r="C497" t="n">
        <v>0.025</v>
      </c>
      <c r="D497">
        <f>IFERROR(MATCH($A497,PP_Grid[Intermediate],0),99999)</f>
        <v/>
      </c>
    </row>
    <row r="498">
      <c r="A498" t="inlineStr">
        <is>
          <t>VSP-746</t>
        </is>
      </c>
      <c r="B498" t="inlineStr">
        <is>
          <t>CHEM-1410</t>
        </is>
      </c>
      <c r="C498" t="n">
        <v>34.6732</v>
      </c>
      <c r="D498">
        <f>IFERROR(MATCH($A498,PP_Grid[Intermediate],0),99999)</f>
        <v/>
      </c>
    </row>
    <row r="499">
      <c r="A499" t="inlineStr">
        <is>
          <t>VSP-746</t>
        </is>
      </c>
      <c r="B499" t="inlineStr">
        <is>
          <t>CHEM-1530</t>
        </is>
      </c>
      <c r="C499" t="n">
        <v>0.701</v>
      </c>
      <c r="D499">
        <f>IFERROR(MATCH($A499,PP_Grid[Intermediate],0),99999)</f>
        <v/>
      </c>
    </row>
    <row r="500">
      <c r="A500" t="inlineStr">
        <is>
          <t>VSP-746</t>
        </is>
      </c>
      <c r="B500" t="inlineStr">
        <is>
          <t>CHEM-1400</t>
        </is>
      </c>
      <c r="C500" t="n">
        <v>3.678</v>
      </c>
      <c r="D500">
        <f>IFERROR(MATCH($A500,PP_Grid[Intermediate],0),99999)</f>
        <v/>
      </c>
    </row>
    <row r="501">
      <c r="A501" t="inlineStr">
        <is>
          <t>VSP-746</t>
        </is>
      </c>
      <c r="B501" t="inlineStr">
        <is>
          <t>CHEM-1260</t>
        </is>
      </c>
      <c r="C501" t="n">
        <v>1.48</v>
      </c>
      <c r="D501">
        <f>IFERROR(MATCH($A501,PP_Grid[Intermediate],0),99999)</f>
        <v/>
      </c>
    </row>
    <row r="502">
      <c r="A502" t="inlineStr">
        <is>
          <t>VSP-746</t>
        </is>
      </c>
      <c r="B502" t="inlineStr">
        <is>
          <t>CHEM-1420</t>
        </is>
      </c>
      <c r="C502" t="n">
        <v>0.904</v>
      </c>
      <c r="D502">
        <f>IFERROR(MATCH($A502,PP_Grid[Intermediate],0),99999)</f>
        <v/>
      </c>
    </row>
    <row r="503">
      <c r="A503" t="inlineStr">
        <is>
          <t>VSP-746</t>
        </is>
      </c>
      <c r="B503" t="inlineStr">
        <is>
          <t>CHEM-1440</t>
        </is>
      </c>
      <c r="C503" t="n">
        <v>0.526</v>
      </c>
      <c r="D503">
        <f>IFERROR(MATCH($A503,PP_Grid[Intermediate],0),99999)</f>
        <v/>
      </c>
    </row>
    <row r="504">
      <c r="A504" t="inlineStr">
        <is>
          <t>VSP-746</t>
        </is>
      </c>
      <c r="B504" t="inlineStr">
        <is>
          <t>CHEM-1650</t>
        </is>
      </c>
      <c r="C504" t="n">
        <v>0.042</v>
      </c>
      <c r="D504">
        <f>IFERROR(MATCH($A504,PP_Grid[Intermediate],0),99999)</f>
        <v/>
      </c>
    </row>
    <row r="505">
      <c r="A505" t="inlineStr">
        <is>
          <t>VSP-820</t>
        </is>
      </c>
      <c r="B505" t="inlineStr">
        <is>
          <t>CHEM-1410</t>
        </is>
      </c>
      <c r="C505" t="n">
        <v>44.459</v>
      </c>
      <c r="D505">
        <f>IFERROR(MATCH($A505,PP_Grid[Intermediate],0),99999)</f>
        <v/>
      </c>
    </row>
    <row r="506">
      <c r="A506" t="inlineStr">
        <is>
          <t>VSP-820</t>
        </is>
      </c>
      <c r="B506" t="inlineStr">
        <is>
          <t>CHEM-1400</t>
        </is>
      </c>
      <c r="C506" t="n">
        <v>3.625</v>
      </c>
      <c r="D506">
        <f>IFERROR(MATCH($A506,PP_Grid[Intermediate],0),99999)</f>
        <v/>
      </c>
    </row>
    <row r="507">
      <c r="A507" t="inlineStr">
        <is>
          <t>VSP-820</t>
        </is>
      </c>
      <c r="B507" t="inlineStr">
        <is>
          <t>CHEM-1610</t>
        </is>
      </c>
      <c r="C507" t="n">
        <v>66.5076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CHEM-1600</t>
        </is>
      </c>
      <c r="C508" t="n">
        <v>20.069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CHEM-1510</t>
        </is>
      </c>
      <c r="C509" t="n">
        <v>6.79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0JN</t>
        </is>
      </c>
      <c r="C510" t="n">
        <v>3.4746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CHEM-1420</t>
        </is>
      </c>
      <c r="C511" t="n">
        <v>0.541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CHEM-1660</t>
        </is>
      </c>
      <c r="C512" t="n">
        <v>1.378</v>
      </c>
      <c r="D512">
        <f>IFERROR(MATCH($A512,PP_Grid[Intermediate],0),99999)</f>
        <v/>
      </c>
    </row>
    <row r="513">
      <c r="A513" t="inlineStr">
        <is>
          <t>VSP-822</t>
        </is>
      </c>
      <c r="B513" t="inlineStr">
        <is>
          <t>CHEM-1410</t>
        </is>
      </c>
      <c r="C513" t="n">
        <v>55.053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CHEM-1530</t>
        </is>
      </c>
      <c r="C514" t="n">
        <v>55.6681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CHEM-1400</t>
        </is>
      </c>
      <c r="C515" t="n">
        <v>5.05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CHEM-1260</t>
        </is>
      </c>
      <c r="C516" t="n">
        <v>2.742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CHEM-1420</t>
        </is>
      </c>
      <c r="C517" t="n">
        <v>1.707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CHEM-1440</t>
        </is>
      </c>
      <c r="C518" t="n">
        <v>1.028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0.041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1.094</v>
      </c>
      <c r="D520">
        <f>IFERROR(MATCH($A520,PP_Grid[Intermediate],0),99999)</f>
        <v/>
      </c>
    </row>
    <row r="521">
      <c r="A521" t="inlineStr">
        <is>
          <t>VSP-869</t>
        </is>
      </c>
      <c r="B521" t="inlineStr">
        <is>
          <t>CHEM-1410</t>
        </is>
      </c>
      <c r="C521" t="n">
        <v>94.6318</v>
      </c>
      <c r="D521">
        <f>IFERROR(MATCH($A521,PP_Grid[Intermediate],0),99999)</f>
        <v/>
      </c>
    </row>
    <row r="522">
      <c r="A522" t="inlineStr">
        <is>
          <t>VSP-869</t>
        </is>
      </c>
      <c r="B522" t="inlineStr">
        <is>
          <t>CHEM-1400</t>
        </is>
      </c>
      <c r="C522" t="n">
        <v>3.544</v>
      </c>
      <c r="D522">
        <f>IFERROR(MATCH($A522,PP_Grid[Intermediate],0),99999)</f>
        <v/>
      </c>
    </row>
    <row r="523">
      <c r="A523" t="inlineStr">
        <is>
          <t>VSP-869</t>
        </is>
      </c>
      <c r="B523" t="inlineStr">
        <is>
          <t>CHEM-1610</t>
        </is>
      </c>
      <c r="C523" t="n">
        <v>94.6318</v>
      </c>
      <c r="D523">
        <f>IFERROR(MATCH($A523,PP_Grid[Intermediate],0),99999)</f>
        <v/>
      </c>
    </row>
    <row r="524">
      <c r="A524" t="inlineStr">
        <is>
          <t>VSP-869</t>
        </is>
      </c>
      <c r="B524" t="inlineStr">
        <is>
          <t>CHEM-1600</t>
        </is>
      </c>
      <c r="C524" t="n">
        <v>17.539</v>
      </c>
      <c r="D524">
        <f>IFERROR(MATCH($A524,PP_Grid[Intermediate],0),99999)</f>
        <v/>
      </c>
    </row>
    <row r="525">
      <c r="A525" t="inlineStr">
        <is>
          <t>VSP-869</t>
        </is>
      </c>
      <c r="B525" t="inlineStr">
        <is>
          <t>CHEM-1510</t>
        </is>
      </c>
      <c r="C525" t="n">
        <v>7.476</v>
      </c>
      <c r="D525">
        <f>IFERROR(MATCH($A525,PP_Grid[Intermediate],0),99999)</f>
        <v/>
      </c>
    </row>
    <row r="526">
      <c r="A526" t="inlineStr">
        <is>
          <t>VSP-869</t>
        </is>
      </c>
      <c r="B526" t="inlineStr">
        <is>
          <t>0JN</t>
        </is>
      </c>
      <c r="C526" t="n">
        <v>3.58958</v>
      </c>
      <c r="D526">
        <f>IFERROR(MATCH($A526,PP_Grid[Intermediate],0),99999)</f>
        <v/>
      </c>
    </row>
    <row r="527">
      <c r="A527" t="inlineStr">
        <is>
          <t>VSP-869</t>
        </is>
      </c>
      <c r="B527" t="inlineStr">
        <is>
          <t>CHEM-1420</t>
        </is>
      </c>
      <c r="C527" t="n">
        <v>0.533</v>
      </c>
      <c r="D527">
        <f>IFERROR(MATCH($A527,PP_Grid[Intermediate],0),99999)</f>
        <v/>
      </c>
    </row>
    <row r="528">
      <c r="A528" t="inlineStr">
        <is>
          <t>VSP-869</t>
        </is>
      </c>
      <c r="B528" t="inlineStr">
        <is>
          <t>CHEM-1660</t>
        </is>
      </c>
      <c r="C528" t="n">
        <v>1.536</v>
      </c>
      <c r="D528">
        <f>IFERROR(MATCH($A528,PP_Grid[Intermediate],0),99999)</f>
        <v/>
      </c>
    </row>
    <row r="529">
      <c r="A529" t="inlineStr">
        <is>
          <t>VSP-870</t>
        </is>
      </c>
      <c r="B529" t="inlineStr">
        <is>
          <t>CHEM-1410</t>
        </is>
      </c>
      <c r="C529" t="n">
        <v>69.492</v>
      </c>
      <c r="D529">
        <f>IFERROR(MATCH($A529,PP_Grid[Intermediate],0),99999)</f>
        <v/>
      </c>
    </row>
    <row r="530">
      <c r="A530" t="inlineStr">
        <is>
          <t>VSP-870</t>
        </is>
      </c>
      <c r="B530" t="inlineStr">
        <is>
          <t>CHEM-1530</t>
        </is>
      </c>
      <c r="C530" t="n">
        <v>70.2684</v>
      </c>
      <c r="D530">
        <f>IFERROR(MATCH($A530,PP_Grid[Intermediate],0),99999)</f>
        <v/>
      </c>
    </row>
    <row r="531">
      <c r="A531" t="inlineStr">
        <is>
          <t>VSP-870</t>
        </is>
      </c>
      <c r="B531" t="inlineStr">
        <is>
          <t>CHEM-1400</t>
        </is>
      </c>
      <c r="C531" t="n">
        <v>6.384</v>
      </c>
      <c r="D531">
        <f>IFERROR(MATCH($A531,PP_Grid[Intermediate],0),99999)</f>
        <v/>
      </c>
    </row>
    <row r="532">
      <c r="A532" t="inlineStr">
        <is>
          <t>VSP-870</t>
        </is>
      </c>
      <c r="B532" t="inlineStr">
        <is>
          <t>CHEM-1260</t>
        </is>
      </c>
      <c r="C532" t="n">
        <v>2.239</v>
      </c>
      <c r="D532">
        <f>IFERROR(MATCH($A532,PP_Grid[Intermediate],0),99999)</f>
        <v/>
      </c>
    </row>
    <row r="533">
      <c r="A533" t="inlineStr">
        <is>
          <t>VSP-870</t>
        </is>
      </c>
      <c r="B533" t="inlineStr">
        <is>
          <t>CHEM-1420</t>
        </is>
      </c>
      <c r="C533" t="n">
        <v>1.359</v>
      </c>
      <c r="D533">
        <f>IFERROR(MATCH($A533,PP_Grid[Intermediate],0),99999)</f>
        <v/>
      </c>
    </row>
    <row r="534">
      <c r="A534" t="inlineStr">
        <is>
          <t>VSP-870</t>
        </is>
      </c>
      <c r="B534" t="inlineStr">
        <is>
          <t>CHEM-1440</t>
        </is>
      </c>
      <c r="C534" t="n">
        <v>1.239</v>
      </c>
      <c r="D534">
        <f>IFERROR(MATCH($A534,PP_Grid[Intermediate],0),99999)</f>
        <v/>
      </c>
    </row>
    <row r="535">
      <c r="A535" t="inlineStr">
        <is>
          <t>VSP-870</t>
        </is>
      </c>
      <c r="B535" t="inlineStr">
        <is>
          <t>CHEM-1650</t>
        </is>
      </c>
      <c r="C535" t="n">
        <v>0.045</v>
      </c>
      <c r="D535">
        <f>IFERROR(MATCH($A535,PP_Grid[Intermediate],0),99999)</f>
        <v/>
      </c>
    </row>
    <row r="536">
      <c r="A536" t="inlineStr">
        <is>
          <t>VSP-870</t>
        </is>
      </c>
      <c r="B536" t="inlineStr">
        <is>
          <t>CHEM-1660</t>
        </is>
      </c>
      <c r="C536" t="n">
        <v>1.433</v>
      </c>
      <c r="D536">
        <f>IFERROR(MATCH($A536,PP_Grid[Intermediate],0),99999)</f>
        <v/>
      </c>
    </row>
    <row r="537">
      <c r="A537" t="inlineStr">
        <is>
          <t>VSP-910</t>
        </is>
      </c>
      <c r="B537" t="inlineStr">
        <is>
          <t>CHEM-1410</t>
        </is>
      </c>
      <c r="C537" t="n">
        <v>44.163</v>
      </c>
      <c r="D537">
        <f>IFERROR(MATCH($A537,PP_Grid[Intermediate],0),99999)</f>
        <v/>
      </c>
    </row>
    <row r="538">
      <c r="A538" t="inlineStr">
        <is>
          <t>VSP-910</t>
        </is>
      </c>
      <c r="B538" t="inlineStr">
        <is>
          <t>CHEM-1530</t>
        </is>
      </c>
      <c r="C538" t="n">
        <v>44.609</v>
      </c>
      <c r="D538">
        <f>IFERROR(MATCH($A538,PP_Grid[Intermediate],0),99999)</f>
        <v/>
      </c>
    </row>
    <row r="539">
      <c r="A539" t="inlineStr">
        <is>
          <t>VSP-910</t>
        </is>
      </c>
      <c r="B539" t="inlineStr">
        <is>
          <t>CHEM-1400</t>
        </is>
      </c>
      <c r="C539" t="n">
        <v>4.051</v>
      </c>
      <c r="D539">
        <f>IFERROR(MATCH($A539,PP_Grid[Intermediate],0),99999)</f>
        <v/>
      </c>
    </row>
    <row r="540">
      <c r="A540" t="inlineStr">
        <is>
          <t>VSP-910</t>
        </is>
      </c>
      <c r="B540" t="inlineStr">
        <is>
          <t>CHEM-1260</t>
        </is>
      </c>
      <c r="C540" t="n">
        <v>1.54</v>
      </c>
      <c r="D540">
        <f>IFERROR(MATCH($A540,PP_Grid[Intermediate],0),99999)</f>
        <v/>
      </c>
    </row>
    <row r="541">
      <c r="A541" t="inlineStr">
        <is>
          <t>VSP-910</t>
        </is>
      </c>
      <c r="B541" t="inlineStr">
        <is>
          <t>CHEM-1420</t>
        </is>
      </c>
      <c r="C541" t="n">
        <v>1.43</v>
      </c>
      <c r="D541">
        <f>IFERROR(MATCH($A541,PP_Grid[Intermediate],0),99999)</f>
        <v/>
      </c>
    </row>
    <row r="542">
      <c r="A542" t="inlineStr">
        <is>
          <t>VSP-910</t>
        </is>
      </c>
      <c r="B542" t="inlineStr">
        <is>
          <t>CHEM-1440</t>
        </is>
      </c>
      <c r="C542" t="n">
        <v>1.012</v>
      </c>
      <c r="D542">
        <f>IFERROR(MATCH($A542,PP_Grid[Intermediate],0),99999)</f>
        <v/>
      </c>
    </row>
    <row r="543">
      <c r="A543" t="inlineStr">
        <is>
          <t>VSP-910</t>
        </is>
      </c>
      <c r="B543" t="inlineStr">
        <is>
          <t>CHEM-1660</t>
        </is>
      </c>
      <c r="C543" t="n">
        <v>0.913</v>
      </c>
      <c r="D543">
        <f>IFERROR(MATCH($A543,PP_Grid[Intermediate],0),99999)</f>
        <v/>
      </c>
    </row>
    <row r="544">
      <c r="A544" t="inlineStr">
        <is>
          <t>VSP-989</t>
        </is>
      </c>
      <c r="B544" t="inlineStr">
        <is>
          <t>CHEM-1410</t>
        </is>
      </c>
      <c r="C544" t="n">
        <v>39.966</v>
      </c>
      <c r="D544">
        <f>IFERROR(MATCH($A544,PP_Grid[Intermediate],0),99999)</f>
        <v/>
      </c>
    </row>
    <row r="545">
      <c r="A545" t="inlineStr">
        <is>
          <t>VSP-989</t>
        </is>
      </c>
      <c r="B545" t="inlineStr">
        <is>
          <t>CHEM-1400</t>
        </is>
      </c>
      <c r="C545" t="n">
        <v>2.198</v>
      </c>
      <c r="D545">
        <f>IFERROR(MATCH($A545,PP_Grid[Intermediate],0),99999)</f>
        <v/>
      </c>
    </row>
    <row r="546">
      <c r="A546" t="inlineStr">
        <is>
          <t>VSP-989</t>
        </is>
      </c>
      <c r="B546" t="inlineStr">
        <is>
          <t>CHEM-1610</t>
        </is>
      </c>
      <c r="C546" t="n">
        <v>43.1806</v>
      </c>
      <c r="D546">
        <f>IFERROR(MATCH($A546,PP_Grid[Intermediate],0),99999)</f>
        <v/>
      </c>
    </row>
    <row r="547">
      <c r="A547" t="inlineStr">
        <is>
          <t>VSP-989</t>
        </is>
      </c>
      <c r="B547" t="inlineStr">
        <is>
          <t>CHEM-1600</t>
        </is>
      </c>
      <c r="C547" t="n">
        <v>7.704</v>
      </c>
      <c r="D547">
        <f>IFERROR(MATCH($A547,PP_Grid[Intermediate],0),99999)</f>
        <v/>
      </c>
    </row>
    <row r="548">
      <c r="A548" t="inlineStr">
        <is>
          <t>VSP-989</t>
        </is>
      </c>
      <c r="B548" t="inlineStr">
        <is>
          <t>CHEM-1510</t>
        </is>
      </c>
      <c r="C548" t="n">
        <v>5.21</v>
      </c>
      <c r="D548">
        <f>IFERROR(MATCH($A548,PP_Grid[Intermediate],0),99999)</f>
        <v/>
      </c>
    </row>
    <row r="549">
      <c r="A549" t="inlineStr">
        <is>
          <t>VSP-989</t>
        </is>
      </c>
      <c r="B549" t="inlineStr">
        <is>
          <t>0JN</t>
        </is>
      </c>
      <c r="C549" t="n">
        <v>15.799</v>
      </c>
      <c r="D549">
        <f>IFERROR(MATCH($A549,PP_Grid[Intermediate],0),99999)</f>
        <v/>
      </c>
    </row>
    <row r="550">
      <c r="A550" t="inlineStr">
        <is>
          <t>VSP-989</t>
        </is>
      </c>
      <c r="B550" t="inlineStr">
        <is>
          <t>CHEM-1420</t>
        </is>
      </c>
      <c r="C550" t="n">
        <v>0.612</v>
      </c>
      <c r="D550">
        <f>IFERROR(MATCH($A550,PP_Grid[Intermediate],0),99999)</f>
        <v/>
      </c>
    </row>
    <row r="551">
      <c r="A551" t="inlineStr">
        <is>
          <t>VSP-989</t>
        </is>
      </c>
      <c r="B551" t="inlineStr">
        <is>
          <t>CHEM-1440</t>
        </is>
      </c>
      <c r="C551" t="n">
        <v>0.0907100544</v>
      </c>
      <c r="D551">
        <f>IFERROR(MATCH($A551,PP_Grid[Intermediate],0),99999)</f>
        <v/>
      </c>
    </row>
    <row r="552">
      <c r="A552" t="inlineStr">
        <is>
          <t>VSP-989</t>
        </is>
      </c>
      <c r="B552" t="inlineStr">
        <is>
          <t>CHEM-1660</t>
        </is>
      </c>
      <c r="C552" t="n">
        <v>0.907</v>
      </c>
      <c r="D552">
        <f>IFERROR(MATCH($A552,PP_Grid[Intermediate],0),99999)</f>
        <v/>
      </c>
    </row>
    <row r="553">
      <c r="A553" t="inlineStr">
        <is>
          <t>VSP-990</t>
        </is>
      </c>
      <c r="B553" t="inlineStr">
        <is>
          <t>CHEM-1410</t>
        </is>
      </c>
      <c r="C553" t="n">
        <v>38.98</v>
      </c>
      <c r="D553">
        <f>IFERROR(MATCH($A553,PP_Grid[Intermediate],0),99999)</f>
        <v/>
      </c>
    </row>
    <row r="554">
      <c r="A554" t="inlineStr">
        <is>
          <t>VSP-990</t>
        </is>
      </c>
      <c r="B554" t="inlineStr">
        <is>
          <t>CHEM-1530</t>
        </is>
      </c>
      <c r="C554" t="n">
        <v>39.4155</v>
      </c>
      <c r="D554">
        <f>IFERROR(MATCH($A554,PP_Grid[Intermediate],0),99999)</f>
        <v/>
      </c>
    </row>
    <row r="555">
      <c r="A555" t="inlineStr">
        <is>
          <t>VSP-990</t>
        </is>
      </c>
      <c r="B555" t="inlineStr">
        <is>
          <t>CHEM-1400</t>
        </is>
      </c>
      <c r="C555" t="n">
        <v>3.577</v>
      </c>
      <c r="D555">
        <f>IFERROR(MATCH($A555,PP_Grid[Intermediate],0),99999)</f>
        <v/>
      </c>
    </row>
    <row r="556">
      <c r="A556" t="inlineStr">
        <is>
          <t>VSP-990</t>
        </is>
      </c>
      <c r="B556" t="inlineStr">
        <is>
          <t>CHEM-1260</t>
        </is>
      </c>
      <c r="C556" t="n">
        <v>1.019</v>
      </c>
      <c r="D556">
        <f>IFERROR(MATCH($A556,PP_Grid[Intermediate],0),99999)</f>
        <v/>
      </c>
    </row>
    <row r="557">
      <c r="A557" t="inlineStr">
        <is>
          <t>VSP-990</t>
        </is>
      </c>
      <c r="B557" t="inlineStr">
        <is>
          <t>CHEM-1420</t>
        </is>
      </c>
      <c r="C557" t="n">
        <v>0.85</v>
      </c>
      <c r="D557">
        <f>IFERROR(MATCH($A557,PP_Grid[Intermediate],0),99999)</f>
        <v/>
      </c>
    </row>
    <row r="558">
      <c r="A558" t="inlineStr">
        <is>
          <t>VSP-990</t>
        </is>
      </c>
      <c r="B558" t="inlineStr">
        <is>
          <t>CHEM-1440</t>
        </is>
      </c>
      <c r="C558" t="n">
        <v>0.484</v>
      </c>
      <c r="D558">
        <f>IFERROR(MATCH($A558,PP_Grid[Intermediate],0),99999)</f>
        <v/>
      </c>
    </row>
    <row r="559">
      <c r="A559" t="inlineStr">
        <is>
          <t>VSP-990</t>
        </is>
      </c>
      <c r="B559" t="inlineStr">
        <is>
          <t>CHEM-1650</t>
        </is>
      </c>
      <c r="C559" t="n">
        <v>0.048</v>
      </c>
      <c r="D559">
        <f>IFERROR(MATCH($A559,PP_Grid[Intermediate],0),99999)</f>
        <v/>
      </c>
    </row>
    <row r="560">
      <c r="A560" t="inlineStr">
        <is>
          <t>VSP-990</t>
        </is>
      </c>
      <c r="B560" t="inlineStr">
        <is>
          <t>CHEM-1660</t>
        </is>
      </c>
      <c r="C560" t="n">
        <v>0.8070000000000001</v>
      </c>
      <c r="D560">
        <f>IFERROR(MATCH($A560,PP_Grid[Intermediate],0),99999)</f>
        <v/>
      </c>
    </row>
    <row r="561">
      <c r="A561" t="inlineStr">
        <is>
          <t>VSP-999</t>
        </is>
      </c>
      <c r="B561" t="inlineStr">
        <is>
          <t>CHEM-1410</t>
        </is>
      </c>
      <c r="C561" t="n">
        <v>63.37</v>
      </c>
      <c r="D561">
        <f>IFERROR(MATCH($A561,PP_Grid[Intermediate],0),99999)</f>
        <v/>
      </c>
    </row>
    <row r="562">
      <c r="A562" t="inlineStr">
        <is>
          <t>VSP-1000</t>
        </is>
      </c>
      <c r="B562" t="inlineStr">
        <is>
          <t>CHEM-1410</t>
        </is>
      </c>
      <c r="C562" t="n">
        <v>53.92</v>
      </c>
      <c r="D562">
        <f>IFERROR(MATCH($A562,PP_Grid[Intermediate],0),99999)</f>
        <v/>
      </c>
    </row>
    <row r="563">
      <c r="A563" t="inlineStr">
        <is>
          <t>20p</t>
        </is>
      </c>
      <c r="B563" t="inlineStr">
        <is>
          <t>CHEM-1010</t>
        </is>
      </c>
      <c r="C563" t="n">
        <v>4.6</v>
      </c>
      <c r="D563">
        <f>IFERROR(MATCH($A563,PP_Grid[Intermediate],0),99999)</f>
        <v/>
      </c>
    </row>
    <row r="564">
      <c r="A564" t="inlineStr">
        <is>
          <t>20p</t>
        </is>
      </c>
      <c r="B564" t="inlineStr">
        <is>
          <t>CHEM-1080</t>
        </is>
      </c>
      <c r="C564" t="n">
        <v>4.2</v>
      </c>
      <c r="D564">
        <f>IFERROR(MATCH($A564,PP_Grid[Intermediate],0),99999)</f>
        <v/>
      </c>
    </row>
    <row r="565">
      <c r="A565" t="inlineStr">
        <is>
          <t>VSZ-745</t>
        </is>
      </c>
      <c r="B565" t="inlineStr">
        <is>
          <t>CHEM-1410</t>
        </is>
      </c>
      <c r="C565" t="n">
        <v>63.511</v>
      </c>
      <c r="D565">
        <f>IFERROR(MATCH($A565,PP_Grid[Intermediate],0),99999)</f>
        <v/>
      </c>
    </row>
    <row r="566">
      <c r="A566" t="inlineStr">
        <is>
          <t>VSZ-745</t>
        </is>
      </c>
      <c r="B566" t="inlineStr">
        <is>
          <t>CHEM-1530</t>
        </is>
      </c>
      <c r="C566" t="n">
        <v>29.44</v>
      </c>
      <c r="D566">
        <f>IFERROR(MATCH($A566,PP_Grid[Intermediate],0),99999)</f>
        <v/>
      </c>
    </row>
    <row r="567">
      <c r="A567" t="inlineStr">
        <is>
          <t>VSZ-745</t>
        </is>
      </c>
      <c r="B567" t="inlineStr">
        <is>
          <t>CHEM-1400</t>
        </is>
      </c>
      <c r="C567" t="n">
        <v>7.171</v>
      </c>
      <c r="D567">
        <f>IFERROR(MATCH($A567,PP_Grid[Intermediate],0),99999)</f>
        <v/>
      </c>
    </row>
    <row r="568">
      <c r="A568" t="inlineStr">
        <is>
          <t>VSZ-745</t>
        </is>
      </c>
      <c r="B568" t="inlineStr">
        <is>
          <t>CHEM-1600</t>
        </is>
      </c>
      <c r="C568" t="n">
        <v>14.88</v>
      </c>
      <c r="D568">
        <f>IFERROR(MATCH($A568,PP_Grid[Intermediate],0),99999)</f>
        <v/>
      </c>
    </row>
    <row r="569">
      <c r="A569" t="inlineStr">
        <is>
          <t>VSZ-745</t>
        </is>
      </c>
      <c r="B569" t="inlineStr">
        <is>
          <t>CHEM-1260</t>
        </is>
      </c>
      <c r="C569" t="n">
        <v>2.92</v>
      </c>
      <c r="D569">
        <f>IFERROR(MATCH($A569,PP_Grid[Intermediate],0),99999)</f>
        <v/>
      </c>
    </row>
    <row r="570">
      <c r="A570" t="inlineStr">
        <is>
          <t>VSZ-745</t>
        </is>
      </c>
      <c r="B570" t="inlineStr">
        <is>
          <t>CHEM-1420</t>
        </is>
      </c>
      <c r="C570" t="n">
        <v>0.954</v>
      </c>
      <c r="D570">
        <f>IFERROR(MATCH($A570,PP_Grid[Intermediate],0),99999)</f>
        <v/>
      </c>
    </row>
    <row r="571">
      <c r="A571" t="inlineStr">
        <is>
          <t>VSZ-745</t>
        </is>
      </c>
      <c r="B571" t="inlineStr">
        <is>
          <t>CHEM-1440</t>
        </is>
      </c>
      <c r="C571" t="n">
        <v>0.389</v>
      </c>
      <c r="D571">
        <f>IFERROR(MATCH($A571,PP_Grid[Intermediate],0),99999)</f>
        <v/>
      </c>
    </row>
    <row r="572">
      <c r="A572" t="inlineStr">
        <is>
          <t>VSZ-745</t>
        </is>
      </c>
      <c r="B572" t="inlineStr">
        <is>
          <t>CHEM-1650</t>
        </is>
      </c>
      <c r="C572" t="n">
        <v>0.045</v>
      </c>
      <c r="D572">
        <f>IFERROR(MATCH($A572,PP_Grid[Intermediate],0),99999)</f>
        <v/>
      </c>
    </row>
    <row r="573">
      <c r="A573" t="inlineStr">
        <is>
          <t>TVS-267</t>
        </is>
      </c>
      <c r="B573" t="inlineStr">
        <is>
          <t>CHEM-1420</t>
        </is>
      </c>
      <c r="C573" t="n">
        <v>2.74402</v>
      </c>
      <c r="D573">
        <f>IFERROR(MATCH($A573,PP_Grid[Intermediate],0),99999)</f>
        <v/>
      </c>
    </row>
    <row r="574">
      <c r="A574" t="inlineStr">
        <is>
          <t>TVS-267</t>
        </is>
      </c>
      <c r="B574" t="inlineStr">
        <is>
          <t>CHEM-1760</t>
        </is>
      </c>
      <c r="C574" t="n">
        <v>0.18894</v>
      </c>
      <c r="D574">
        <f>IFERROR(MATCH($A574,PP_Grid[Intermediate],0),99999)</f>
        <v/>
      </c>
    </row>
    <row r="575">
      <c r="A575" t="inlineStr">
        <is>
          <t>TVS-500</t>
        </is>
      </c>
      <c r="B575" t="inlineStr">
        <is>
          <t>CHEM-1420</t>
        </is>
      </c>
      <c r="C575" t="n">
        <v>2.54073</v>
      </c>
      <c r="D575">
        <f>IFERROR(MATCH($A575,PP_Grid[Intermediate],0),99999)</f>
        <v/>
      </c>
    </row>
    <row r="576">
      <c r="A576" t="inlineStr">
        <is>
          <t>TVS-500</t>
        </is>
      </c>
      <c r="B576" t="inlineStr">
        <is>
          <t>CHEM-1760</t>
        </is>
      </c>
      <c r="C576" t="n">
        <v>0.164</v>
      </c>
      <c r="D576">
        <f>IFERROR(MATCH($A576,PP_Grid[Intermediate],0),99999)</f>
        <v/>
      </c>
    </row>
    <row r="577">
      <c r="A577" t="inlineStr">
        <is>
          <t>TPP-190</t>
        </is>
      </c>
      <c r="B577" t="inlineStr">
        <is>
          <t>CHEM-1460</t>
        </is>
      </c>
      <c r="C577" t="n">
        <v>54.09</v>
      </c>
      <c r="D577">
        <f>IFERROR(MATCH($A577,PP_Grid[Intermediate],0),99999)</f>
        <v/>
      </c>
    </row>
    <row r="578">
      <c r="A578" t="inlineStr">
        <is>
          <t>TPP-190</t>
        </is>
      </c>
      <c r="B578" t="inlineStr">
        <is>
          <t>CHEM-1410</t>
        </is>
      </c>
      <c r="C578" t="n">
        <v>18.51</v>
      </c>
      <c r="D578">
        <f>IFERROR(MATCH($A578,PP_Grid[Intermediate],0),99999)</f>
        <v/>
      </c>
    </row>
    <row r="579">
      <c r="A579" t="inlineStr">
        <is>
          <t>TPP-190</t>
        </is>
      </c>
      <c r="B579" t="inlineStr">
        <is>
          <t>0JN</t>
        </is>
      </c>
      <c r="C579" t="n">
        <v>3.397</v>
      </c>
      <c r="D579">
        <f>IFERROR(MATCH($A579,PP_Grid[Intermediate],0),99999)</f>
        <v/>
      </c>
    </row>
    <row r="580">
      <c r="A580" t="inlineStr">
        <is>
          <t>TPP-204</t>
        </is>
      </c>
      <c r="B580" t="inlineStr">
        <is>
          <t>CHEM-1220</t>
        </is>
      </c>
      <c r="C580" t="n">
        <v>13.66</v>
      </c>
      <c r="D580">
        <f>IFERROR(MATCH($A580,PP_Grid[Intermediate],0),99999)</f>
        <v/>
      </c>
    </row>
    <row r="581">
      <c r="A581" t="inlineStr">
        <is>
          <t>TPP-204</t>
        </is>
      </c>
      <c r="B581" t="inlineStr">
        <is>
          <t>CHEM-1410</t>
        </is>
      </c>
      <c r="C581" t="n">
        <v>29.84</v>
      </c>
      <c r="D581">
        <f>IFERROR(MATCH($A581,PP_Grid[Intermediate],0),99999)</f>
        <v/>
      </c>
    </row>
    <row r="582">
      <c r="A582" t="inlineStr">
        <is>
          <t>TPP-204</t>
        </is>
      </c>
      <c r="B582" t="inlineStr">
        <is>
          <t>0JN</t>
        </is>
      </c>
      <c r="C582" t="n">
        <v>3.68</v>
      </c>
      <c r="D582">
        <f>IFERROR(MATCH($A582,PP_Grid[Intermediate],0),99999)</f>
        <v/>
      </c>
    </row>
    <row r="583">
      <c r="A583" t="inlineStr">
        <is>
          <t>TPP-350</t>
        </is>
      </c>
      <c r="B583" t="inlineStr">
        <is>
          <t>CHEM-1490</t>
        </is>
      </c>
      <c r="C583" t="n">
        <v>53.921</v>
      </c>
      <c r="D583">
        <f>IFERROR(MATCH($A583,PP_Grid[Intermediate],0),99999)</f>
        <v/>
      </c>
    </row>
    <row r="584">
      <c r="A584" t="inlineStr">
        <is>
          <t>TPP-350</t>
        </is>
      </c>
      <c r="B584" t="inlineStr">
        <is>
          <t>CHEM-1520</t>
        </is>
      </c>
      <c r="C584" t="n">
        <v>49.52</v>
      </c>
      <c r="D584">
        <f>IFERROR(MATCH($A584,PP_Grid[Intermediate],0),99999)</f>
        <v/>
      </c>
    </row>
    <row r="585">
      <c r="A585" t="inlineStr">
        <is>
          <t>TPP-350</t>
        </is>
      </c>
      <c r="B585" t="inlineStr">
        <is>
          <t>0JN</t>
        </is>
      </c>
      <c r="C585" t="n">
        <v>4.31</v>
      </c>
      <c r="D585">
        <f>IFERROR(MATCH($A585,PP_Grid[Intermediate],0),99999)</f>
        <v/>
      </c>
    </row>
    <row r="586">
      <c r="A586" t="inlineStr">
        <is>
          <t>TPP-356</t>
        </is>
      </c>
      <c r="B586" t="inlineStr">
        <is>
          <t>CHEM-1220</t>
        </is>
      </c>
      <c r="C586" t="n">
        <v>46.4</v>
      </c>
      <c r="D586">
        <f>IFERROR(MATCH($A586,PP_Grid[Intermediate],0),99999)</f>
        <v/>
      </c>
    </row>
    <row r="587">
      <c r="A587" t="inlineStr">
        <is>
          <t>TPP-356</t>
        </is>
      </c>
      <c r="B587" t="inlineStr">
        <is>
          <t>CHEM-1410</t>
        </is>
      </c>
      <c r="C587" t="n">
        <v>41.34</v>
      </c>
      <c r="D587">
        <f>IFERROR(MATCH($A587,PP_Grid[Intermediate],0),99999)</f>
        <v/>
      </c>
    </row>
    <row r="588">
      <c r="A588" t="inlineStr">
        <is>
          <t>TPP-356</t>
        </is>
      </c>
      <c r="B588" t="inlineStr">
        <is>
          <t>0JN</t>
        </is>
      </c>
      <c r="C588" t="n">
        <v>11.11</v>
      </c>
      <c r="D588">
        <f>IFERROR(MATCH($A588,PP_Grid[Intermediate],0),99999)</f>
        <v/>
      </c>
    </row>
    <row r="589">
      <c r="A589" t="inlineStr">
        <is>
          <t>TPP-358</t>
        </is>
      </c>
      <c r="B589" t="inlineStr">
        <is>
          <t>CHEM-1540</t>
        </is>
      </c>
      <c r="C589" t="n">
        <v>65.95</v>
      </c>
      <c r="D589">
        <f>IFERROR(MATCH($A589,PP_Grid[Intermediate],0),99999)</f>
        <v/>
      </c>
    </row>
    <row r="590">
      <c r="A590" t="inlineStr">
        <is>
          <t>TPP-378</t>
        </is>
      </c>
      <c r="B590" t="inlineStr">
        <is>
          <t>CHEM-1520</t>
        </is>
      </c>
      <c r="C590" t="n">
        <v>28.93</v>
      </c>
      <c r="D590">
        <f>IFERROR(MATCH($A590,PP_Grid[Intermediate],0),99999)</f>
        <v/>
      </c>
    </row>
    <row r="591">
      <c r="A591" t="inlineStr">
        <is>
          <t>TPP-701</t>
        </is>
      </c>
      <c r="B591" t="inlineStr">
        <is>
          <t>CHEM-1410</t>
        </is>
      </c>
      <c r="C591" t="n">
        <v>36.16</v>
      </c>
      <c r="D591">
        <f>IFERROR(MATCH($A591,PP_Grid[Intermediate],0),99999)</f>
        <v/>
      </c>
    </row>
    <row r="592">
      <c r="A592" t="inlineStr">
        <is>
          <t>TPP-700</t>
        </is>
      </c>
      <c r="B592" t="inlineStr">
        <is>
          <t>CHEM-1410</t>
        </is>
      </c>
      <c r="C592" t="n">
        <v>35.42</v>
      </c>
      <c r="D592">
        <f>IFERROR(MATCH($A592,PP_Grid[Intermediate],0),99999)</f>
        <v/>
      </c>
    </row>
    <row r="593">
      <c r="A593" t="inlineStr">
        <is>
          <t>TPP-704</t>
        </is>
      </c>
      <c r="B593" t="inlineStr">
        <is>
          <t>CHEM-1410</t>
        </is>
      </c>
      <c r="C593" t="n">
        <v>58.78</v>
      </c>
      <c r="D593">
        <f>IFERROR(MATCH($A593,PP_Grid[Intermediate],0),99999)</f>
        <v/>
      </c>
    </row>
    <row r="594">
      <c r="A594" t="inlineStr">
        <is>
          <t>TPP-704</t>
        </is>
      </c>
      <c r="B594" t="inlineStr">
        <is>
          <t>CHEM-1490</t>
        </is>
      </c>
      <c r="C594" t="n">
        <v>64.45999999999999</v>
      </c>
      <c r="D594">
        <f>IFERROR(MATCH($A594,PP_Grid[Intermediate],0),99999)</f>
        <v/>
      </c>
    </row>
    <row r="595">
      <c r="A595" t="inlineStr">
        <is>
          <t>TPP-704</t>
        </is>
      </c>
      <c r="B595" t="inlineStr">
        <is>
          <t>0JN</t>
        </is>
      </c>
      <c r="C595" t="n">
        <v>5.706</v>
      </c>
      <c r="D595">
        <f>IFERROR(MATCH($A595,PP_Grid[Intermediate],0),99999)</f>
        <v/>
      </c>
    </row>
    <row r="596">
      <c r="A596" t="inlineStr">
        <is>
          <t>TPP-699</t>
        </is>
      </c>
      <c r="B596" t="inlineStr">
        <is>
          <t>CHEM-1410</t>
        </is>
      </c>
      <c r="C596" t="n">
        <v>38.13</v>
      </c>
      <c r="D596">
        <f>IFERROR(MATCH($A596,PP_Grid[Intermediate],0),99999)</f>
        <v/>
      </c>
    </row>
    <row r="597">
      <c r="A597" t="inlineStr">
        <is>
          <t>TPP-649</t>
        </is>
      </c>
      <c r="B597" t="inlineStr">
        <is>
          <t>CHEM-1410</t>
        </is>
      </c>
      <c r="C597" t="n">
        <v>20.91</v>
      </c>
      <c r="D597">
        <f>IFERROR(MATCH($A597,PP_Grid[Intermediate],0),99999)</f>
        <v/>
      </c>
    </row>
    <row r="598">
      <c r="A598" t="inlineStr">
        <is>
          <t>TPP-650</t>
        </is>
      </c>
      <c r="B598" t="inlineStr">
        <is>
          <t>CHEM-1410</t>
        </is>
      </c>
      <c r="C598" t="n">
        <v>20.69</v>
      </c>
      <c r="D598">
        <f>IFERROR(MATCH($A598,PP_Grid[Intermediate],0),99999)</f>
        <v/>
      </c>
    </row>
    <row r="599">
      <c r="A599" t="inlineStr">
        <is>
          <t>TPP-650</t>
        </is>
      </c>
      <c r="B599" t="inlineStr">
        <is>
          <t>CHEM-1530</t>
        </is>
      </c>
      <c r="C599" t="n">
        <v>36.07</v>
      </c>
      <c r="D599">
        <f>IFERROR(MATCH($A599,PP_Grid[Intermediate],0),99999)</f>
        <v/>
      </c>
    </row>
    <row r="600">
      <c r="A600" t="inlineStr">
        <is>
          <t>TPP-650</t>
        </is>
      </c>
      <c r="B600" t="inlineStr">
        <is>
          <t>0JN</t>
        </is>
      </c>
      <c r="C600" t="n">
        <v>8.832000000000001</v>
      </c>
      <c r="D600">
        <f>IFERROR(MATCH($A600,PP_Grid[Intermediate],0),99999)</f>
        <v/>
      </c>
    </row>
    <row r="601">
      <c r="A601" t="inlineStr">
        <is>
          <t>TPP-527</t>
        </is>
      </c>
      <c r="B601" t="inlineStr">
        <is>
          <t>CHEM-1490</t>
        </is>
      </c>
      <c r="C601" t="n">
        <v>50.32</v>
      </c>
      <c r="D601">
        <f>IFERROR(MATCH($A601,PP_Grid[Intermediate],0),99999)</f>
        <v/>
      </c>
    </row>
    <row r="602">
      <c r="A602" t="inlineStr">
        <is>
          <t>TPP-527</t>
        </is>
      </c>
      <c r="B602" t="inlineStr">
        <is>
          <t>CHEM-1520</t>
        </is>
      </c>
      <c r="C602" t="n">
        <v>32.21</v>
      </c>
      <c r="D602">
        <f>IFERROR(MATCH($A602,PP_Grid[Intermediate],0),99999)</f>
        <v/>
      </c>
    </row>
    <row r="603">
      <c r="A603" t="inlineStr">
        <is>
          <t>TPP-527</t>
        </is>
      </c>
      <c r="B603" t="inlineStr">
        <is>
          <t>0JN</t>
        </is>
      </c>
      <c r="C603" t="n">
        <v>2.184</v>
      </c>
      <c r="D603">
        <f>IFERROR(MATCH($A603,PP_Grid[Intermediate],0),99999)</f>
        <v/>
      </c>
    </row>
    <row r="604">
      <c r="A604" t="inlineStr">
        <is>
          <t>TPP-533(98%)</t>
        </is>
      </c>
      <c r="B604" t="inlineStr">
        <is>
          <t>CHEM-1540</t>
        </is>
      </c>
      <c r="C604" t="n">
        <v>58.87</v>
      </c>
      <c r="D604">
        <f>IFERROR(MATCH($A604,PP_Grid[Intermediate],0),99999)</f>
        <v/>
      </c>
    </row>
    <row r="605">
      <c r="A605" t="inlineStr">
        <is>
          <t>TPP-537</t>
        </is>
      </c>
      <c r="B605" t="inlineStr">
        <is>
          <t>CHEM-1490</t>
        </is>
      </c>
      <c r="C605" t="n">
        <v>36.2</v>
      </c>
      <c r="D605">
        <f>IFERROR(MATCH($A605,PP_Grid[Intermediate],0),99999)</f>
        <v/>
      </c>
    </row>
    <row r="606">
      <c r="A606" t="inlineStr">
        <is>
          <t>TPP-537</t>
        </is>
      </c>
      <c r="B606" t="inlineStr">
        <is>
          <t>0JN</t>
        </is>
      </c>
      <c r="C606" t="n">
        <v>0.5659999999999999</v>
      </c>
      <c r="D606">
        <f>IFERROR(MATCH($A606,PP_Grid[Intermediate],0),99999)</f>
        <v/>
      </c>
    </row>
    <row r="607">
      <c r="A607" t="inlineStr">
        <is>
          <t>TPP-609</t>
        </is>
      </c>
      <c r="B607" t="inlineStr">
        <is>
          <t>CHEM-1710</t>
        </is>
      </c>
      <c r="C607" t="n">
        <v>42.46</v>
      </c>
      <c r="D607">
        <f>IFERROR(MATCH($A607,PP_Grid[Intermediate],0),99999)</f>
        <v/>
      </c>
    </row>
    <row r="608">
      <c r="A608" t="inlineStr">
        <is>
          <t>TPP-609</t>
        </is>
      </c>
      <c r="B608" t="inlineStr">
        <is>
          <t>0JN</t>
        </is>
      </c>
      <c r="C608" t="n">
        <v>3.101</v>
      </c>
      <c r="D608">
        <f>IFERROR(MATCH($A608,PP_Grid[Intermediate],0),99999)</f>
        <v/>
      </c>
    </row>
    <row r="609">
      <c r="A609" t="inlineStr">
        <is>
          <t>TPP-611</t>
        </is>
      </c>
      <c r="B609" t="inlineStr">
        <is>
          <t>CHEM-1680</t>
        </is>
      </c>
      <c r="C609" t="n">
        <v>18.05</v>
      </c>
      <c r="D609">
        <f>IFERROR(MATCH($A609,PP_Grid[Intermediate],0),99999)</f>
        <v/>
      </c>
    </row>
    <row r="610">
      <c r="A610" t="inlineStr">
        <is>
          <t>TPP-613</t>
        </is>
      </c>
      <c r="B610" t="inlineStr">
        <is>
          <t>CHEM-1680</t>
        </is>
      </c>
      <c r="C610" t="n">
        <v>18.07</v>
      </c>
      <c r="D610">
        <f>IFERROR(MATCH($A610,PP_Grid[Intermediate],0),99999)</f>
        <v/>
      </c>
    </row>
    <row r="611">
      <c r="A611" t="inlineStr">
        <is>
          <t>TPP-915</t>
        </is>
      </c>
      <c r="B611" t="inlineStr">
        <is>
          <t>CHEM-1680</t>
        </is>
      </c>
      <c r="C611" t="n">
        <v>25.61</v>
      </c>
      <c r="D611">
        <f>IFERROR(MATCH($A611,PP_Grid[Intermediate],0),99999)</f>
        <v/>
      </c>
    </row>
    <row r="612">
      <c r="A612" t="inlineStr">
        <is>
          <t>TPP-920</t>
        </is>
      </c>
      <c r="B612" t="inlineStr">
        <is>
          <t>CHEM-1680</t>
        </is>
      </c>
      <c r="C612" t="n">
        <v>18.2</v>
      </c>
      <c r="D612">
        <f>IFERROR(MATCH($A612,PP_Grid[Intermediate],0),99999)</f>
        <v/>
      </c>
    </row>
    <row r="613">
      <c r="A613" t="inlineStr">
        <is>
          <t>TPP-911</t>
        </is>
      </c>
      <c r="B613" t="inlineStr">
        <is>
          <t>CHEM-1730</t>
        </is>
      </c>
      <c r="C613" t="n">
        <v>52.04</v>
      </c>
      <c r="D613">
        <f>IFERROR(MATCH($A613,PP_Grid[Intermediate],0),99999)</f>
        <v/>
      </c>
    </row>
    <row r="614">
      <c r="A614" t="inlineStr">
        <is>
          <t>TPP-911</t>
        </is>
      </c>
      <c r="B614" t="inlineStr">
        <is>
          <t>0JN</t>
        </is>
      </c>
      <c r="C614" t="n">
        <v>5.967</v>
      </c>
      <c r="D614">
        <f>IFERROR(MATCH($A614,PP_Grid[Intermediate],0),99999)</f>
        <v/>
      </c>
    </row>
    <row r="615">
      <c r="A615" t="inlineStr">
        <is>
          <t>TPP-533(A)</t>
        </is>
      </c>
      <c r="B615" t="inlineStr">
        <is>
          <t>CHEM-1540</t>
        </is>
      </c>
      <c r="C615" t="n">
        <v>18.64</v>
      </c>
      <c r="D615">
        <f>IFERROR(MATCH($A615,PP_Grid[Intermediate],0),99999)</f>
        <v/>
      </c>
    </row>
    <row r="616">
      <c r="A616" t="inlineStr">
        <is>
          <t>TPP-968</t>
        </is>
      </c>
      <c r="B616" t="inlineStr">
        <is>
          <t>CHEM-1520</t>
        </is>
      </c>
      <c r="C616" t="n">
        <v>22.27</v>
      </c>
      <c r="D616">
        <f>IFERROR(MATCH($A616,PP_Grid[Intermediate],0),99999)</f>
        <v/>
      </c>
    </row>
    <row r="617">
      <c r="A617" t="inlineStr">
        <is>
          <t>TPP-970</t>
        </is>
      </c>
      <c r="B617" t="inlineStr">
        <is>
          <t>CHEM-1490</t>
        </is>
      </c>
      <c r="C617" t="n">
        <v>24.44</v>
      </c>
      <c r="D617">
        <f>IFERROR(MATCH($A617,PP_Grid[Intermediate],0),99999)</f>
        <v/>
      </c>
    </row>
    <row r="618">
      <c r="A618" t="inlineStr">
        <is>
          <t>TPP-970</t>
        </is>
      </c>
      <c r="B618" t="inlineStr">
        <is>
          <t>CHEM-1520</t>
        </is>
      </c>
      <c r="C618" t="n">
        <v>13.63</v>
      </c>
      <c r="D618">
        <f>IFERROR(MATCH($A618,PP_Grid[Intermediate],0),99999)</f>
        <v/>
      </c>
    </row>
    <row r="619">
      <c r="A619" t="inlineStr">
        <is>
          <t>TPP-970</t>
        </is>
      </c>
      <c r="B619" t="inlineStr">
        <is>
          <t>0JN</t>
        </is>
      </c>
      <c r="C619" t="n">
        <v>6.331</v>
      </c>
      <c r="D619">
        <f>IFERROR(MATCH($A619,PP_Grid[Intermediate],0),99999)</f>
        <v/>
      </c>
    </row>
    <row r="620">
      <c r="A620" t="inlineStr">
        <is>
          <t>TPP-1367</t>
        </is>
      </c>
      <c r="B620" t="inlineStr">
        <is>
          <t>CHEM-1800</t>
        </is>
      </c>
      <c r="C620" t="n">
        <v>26.95</v>
      </c>
      <c r="D620">
        <f>IFERROR(MATCH($A620,PP_Grid[Intermediate],0),99999)</f>
        <v/>
      </c>
    </row>
    <row r="621">
      <c r="A621" t="inlineStr">
        <is>
          <t>TPP-1378</t>
        </is>
      </c>
      <c r="B621" t="inlineStr">
        <is>
          <t>CHEM-1800</t>
        </is>
      </c>
      <c r="C621" t="n">
        <v>21.935</v>
      </c>
      <c r="D621">
        <f>IFERROR(MATCH($A621,PP_Grid[Intermediate],0),99999)</f>
        <v/>
      </c>
    </row>
    <row r="622">
      <c r="A622" t="inlineStr">
        <is>
          <t>TPP-1369</t>
        </is>
      </c>
      <c r="B622" t="inlineStr">
        <is>
          <t>CHEM-1800</t>
        </is>
      </c>
      <c r="C622" t="n">
        <v>31.07</v>
      </c>
      <c r="D622">
        <f>IFERROR(MATCH($A622,PP_Grid[Intermediate],0),99999)</f>
        <v/>
      </c>
    </row>
    <row r="623">
      <c r="A623" t="inlineStr">
        <is>
          <t>TPP-1379</t>
        </is>
      </c>
      <c r="B623" t="inlineStr">
        <is>
          <t>CHEM-1800</t>
        </is>
      </c>
      <c r="C623" t="n">
        <v>20.31</v>
      </c>
      <c r="D623">
        <f>IFERROR(MATCH($A623,PP_Grid[Intermediate],0),99999)</f>
        <v/>
      </c>
    </row>
    <row r="624">
      <c r="A624" t="inlineStr">
        <is>
          <t>TPP-1368</t>
        </is>
      </c>
      <c r="B624" t="inlineStr">
        <is>
          <t>CHEM-1800</t>
        </is>
      </c>
      <c r="C624" t="n">
        <v>30.03</v>
      </c>
      <c r="D624">
        <f>IFERROR(MATCH($A624,PP_Grid[Intermediate],0),99999)</f>
        <v/>
      </c>
    </row>
    <row r="625">
      <c r="A625" t="inlineStr">
        <is>
          <t>TPP-914</t>
        </is>
      </c>
      <c r="B625" t="inlineStr">
        <is>
          <t>CHEM-1680</t>
        </is>
      </c>
      <c r="C625" t="n">
        <v>25.96</v>
      </c>
      <c r="D625">
        <f>IFERROR(MATCH($A625,PP_Grid[Intermediate],0),99999)</f>
        <v/>
      </c>
    </row>
    <row r="626">
      <c r="A626" t="inlineStr">
        <is>
          <t>TPP-919</t>
        </is>
      </c>
      <c r="B626" t="inlineStr">
        <is>
          <t>CHEM-1680</t>
        </is>
      </c>
      <c r="C626" t="n">
        <v>17.58</v>
      </c>
      <c r="D626">
        <f>IFERROR(MATCH($A626,PP_Grid[Intermediate],0),99999)</f>
        <v/>
      </c>
    </row>
    <row r="627">
      <c r="A627" t="inlineStr">
        <is>
          <t>TPP-635</t>
        </is>
      </c>
      <c r="B627" t="inlineStr">
        <is>
          <t>CHEM-1770</t>
        </is>
      </c>
      <c r="C627" t="n">
        <v>44.09</v>
      </c>
      <c r="D627">
        <f>IFERROR(MATCH($A627,PP_Grid[Intermediate],0),99999)</f>
        <v/>
      </c>
    </row>
    <row r="628">
      <c r="A628" t="inlineStr">
        <is>
          <t>TPP-825</t>
        </is>
      </c>
      <c r="B628" t="inlineStr">
        <is>
          <t>CHEM-1410</t>
        </is>
      </c>
      <c r="C628" t="n">
        <v>29.62</v>
      </c>
      <c r="D628">
        <f>IFERROR(MATCH($A628,PP_Grid[Intermediate],0),99999)</f>
        <v/>
      </c>
    </row>
    <row r="629">
      <c r="A629" t="inlineStr">
        <is>
          <t>TPP-912</t>
        </is>
      </c>
      <c r="B629" t="inlineStr">
        <is>
          <t>CHEM-1730</t>
        </is>
      </c>
      <c r="C629" t="n">
        <v>52.25</v>
      </c>
      <c r="D629">
        <f>IFERROR(MATCH($A629,PP_Grid[Intermediate],0),99999)</f>
        <v/>
      </c>
    </row>
    <row r="630">
      <c r="A630" t="inlineStr">
        <is>
          <t>TPP-912</t>
        </is>
      </c>
      <c r="B630" t="inlineStr">
        <is>
          <t>0JN</t>
        </is>
      </c>
      <c r="C630" t="n">
        <v>1.631</v>
      </c>
      <c r="D630">
        <f>IFERROR(MATCH($A630,PP_Grid[Intermediate],0),99999)</f>
        <v/>
      </c>
    </row>
    <row r="631">
      <c r="A631" t="inlineStr">
        <is>
          <t>TPP-916</t>
        </is>
      </c>
      <c r="B631" t="inlineStr">
        <is>
          <t>CHEM-1680</t>
        </is>
      </c>
      <c r="C631" t="n">
        <v>25.62</v>
      </c>
      <c r="D631">
        <f>IFERROR(MATCH($A631,PP_Grid[Intermediate],0),99999)</f>
        <v/>
      </c>
    </row>
    <row r="632">
      <c r="A632" t="inlineStr">
        <is>
          <t>TPP-917</t>
        </is>
      </c>
      <c r="B632" t="inlineStr">
        <is>
          <t>CHEM-1680</t>
        </is>
      </c>
      <c r="C632" t="n">
        <v>26.29</v>
      </c>
      <c r="D632">
        <f>IFERROR(MATCH($A632,PP_Grid[Intermediate],0),99999)</f>
        <v/>
      </c>
    </row>
    <row r="633">
      <c r="A633" t="inlineStr">
        <is>
          <t>TPP-922</t>
        </is>
      </c>
      <c r="B633" t="inlineStr">
        <is>
          <t>CHEM-1680</t>
        </is>
      </c>
      <c r="C633" t="n">
        <v>18.25</v>
      </c>
      <c r="D633">
        <f>IFERROR(MATCH($A633,PP_Grid[Intermediate],0),99999)</f>
        <v/>
      </c>
    </row>
    <row r="634">
      <c r="A634" t="inlineStr">
        <is>
          <t>TPP-923</t>
        </is>
      </c>
      <c r="B634" t="inlineStr">
        <is>
          <t>CHEM-1680</t>
        </is>
      </c>
      <c r="C634" t="n">
        <v>17.93</v>
      </c>
      <c r="D634">
        <f>IFERROR(MATCH($A634,PP_Grid[Intermediate],0),99999)</f>
        <v/>
      </c>
    </row>
    <row r="635">
      <c r="A635" t="inlineStr">
        <is>
          <t>No of times used</t>
        </is>
      </c>
      <c r="B635" t="inlineStr">
        <is>
          <t>CHEM-1220</t>
        </is>
      </c>
      <c r="C635" t="n">
        <v>3</v>
      </c>
      <c r="D635">
        <f>IFERROR(MATCH($A635,PP_Grid[Intermediate],0),99999)</f>
        <v/>
      </c>
    </row>
    <row r="636">
      <c r="A636" t="inlineStr">
        <is>
          <t>No of times used</t>
        </is>
      </c>
      <c r="B636" t="inlineStr">
        <is>
          <t>CHEM-1460</t>
        </is>
      </c>
      <c r="C636" t="n">
        <v>1</v>
      </c>
      <c r="D636">
        <f>IFERROR(MATCH($A636,PP_Grid[Intermediate],0),99999)</f>
        <v/>
      </c>
    </row>
    <row r="637">
      <c r="A637" t="inlineStr">
        <is>
          <t>No of times used</t>
        </is>
      </c>
      <c r="B637" t="inlineStr">
        <is>
          <t>CHEM-1410</t>
        </is>
      </c>
      <c r="C637" t="n">
        <v>10</v>
      </c>
      <c r="D637">
        <f>IFERROR(MATCH($A637,PP_Grid[Intermediate],0),99999)</f>
        <v/>
      </c>
    </row>
    <row r="638">
      <c r="A638" t="inlineStr">
        <is>
          <t>No of times used</t>
        </is>
      </c>
      <c r="B638" t="inlineStr">
        <is>
          <t>CHEM-1490</t>
        </is>
      </c>
      <c r="C638" t="n">
        <v>5</v>
      </c>
      <c r="D638">
        <f>IFERROR(MATCH($A638,PP_Grid[Intermediate],0),99999)</f>
        <v/>
      </c>
    </row>
    <row r="639">
      <c r="A639" t="inlineStr">
        <is>
          <t>No of times used</t>
        </is>
      </c>
      <c r="B639" t="inlineStr">
        <is>
          <t>CHEM-1520</t>
        </is>
      </c>
      <c r="C639" t="n">
        <v>5</v>
      </c>
      <c r="D639">
        <f>IFERROR(MATCH($A639,PP_Grid[Intermediate],0),99999)</f>
        <v/>
      </c>
    </row>
    <row r="640">
      <c r="A640" t="inlineStr">
        <is>
          <t>No of times used</t>
        </is>
      </c>
      <c r="B640" t="inlineStr">
        <is>
          <t>CHEM-1540</t>
        </is>
      </c>
      <c r="C640" t="n">
        <v>3</v>
      </c>
      <c r="D640">
        <f>IFERROR(MATCH($A640,PP_Grid[Intermediate],0),99999)</f>
        <v/>
      </c>
    </row>
    <row r="641">
      <c r="A641" t="inlineStr">
        <is>
          <t>No of times used</t>
        </is>
      </c>
      <c r="B641" t="inlineStr">
        <is>
          <t>CHEM-1530</t>
        </is>
      </c>
      <c r="C641" t="n">
        <v>1</v>
      </c>
      <c r="D641">
        <f>IFERROR(MATCH($A641,PP_Grid[Intermediate],0),99999)</f>
        <v/>
      </c>
    </row>
    <row r="642">
      <c r="A642" t="inlineStr">
        <is>
          <t>No of times used</t>
        </is>
      </c>
      <c r="B642" t="inlineStr">
        <is>
          <t>CHEM-1710</t>
        </is>
      </c>
      <c r="C642" t="n">
        <v>1</v>
      </c>
      <c r="D642">
        <f>IFERROR(MATCH($A642,PP_Grid[Intermediate],0),99999)</f>
        <v/>
      </c>
    </row>
    <row r="643">
      <c r="A643" t="inlineStr">
        <is>
          <t>No of times used</t>
        </is>
      </c>
      <c r="B643" t="inlineStr">
        <is>
          <t>CHEM-1110</t>
        </is>
      </c>
      <c r="C643" t="n">
        <v>1</v>
      </c>
      <c r="D643">
        <f>IFERROR(MATCH($A643,PP_Grid[Intermediate],0),99999)</f>
        <v/>
      </c>
    </row>
    <row r="644">
      <c r="A644" t="inlineStr">
        <is>
          <t>No of times used</t>
        </is>
      </c>
      <c r="B644" t="inlineStr">
        <is>
          <t>CHEM-1770</t>
        </is>
      </c>
      <c r="C644" t="n">
        <v>1</v>
      </c>
      <c r="D644">
        <f>IFERROR(MATCH($A644,PP_Grid[Intermediate],0),99999)</f>
        <v/>
      </c>
    </row>
    <row r="645">
      <c r="A645" t="inlineStr">
        <is>
          <t>No of times used</t>
        </is>
      </c>
      <c r="B645" t="inlineStr">
        <is>
          <t>CHEM-1730</t>
        </is>
      </c>
      <c r="C645" t="n">
        <v>2</v>
      </c>
      <c r="D645">
        <f>IFERROR(MATCH($A645,PP_Grid[Intermediate],0),99999)</f>
        <v/>
      </c>
    </row>
    <row r="646">
      <c r="A646" t="inlineStr">
        <is>
          <t>No of times used</t>
        </is>
      </c>
      <c r="B646" t="inlineStr">
        <is>
          <t>CHEM-1680</t>
        </is>
      </c>
      <c r="C646" t="n">
        <v>10</v>
      </c>
      <c r="D646">
        <f>IFERROR(MATCH($A646,PP_Grid[Intermediate],0),99999)</f>
        <v/>
      </c>
    </row>
    <row r="647">
      <c r="A647" t="inlineStr">
        <is>
          <t>No of times used</t>
        </is>
      </c>
      <c r="B647" t="inlineStr">
        <is>
          <t>0JN</t>
        </is>
      </c>
      <c r="C647" t="n">
        <v>13</v>
      </c>
      <c r="D647">
        <f>IFERROR(MATCH($A647,PP_Grid[Intermediate],0),99999)</f>
        <v/>
      </c>
    </row>
    <row r="648">
      <c r="A648" t="inlineStr">
        <is>
          <t>0Q110</t>
        </is>
      </c>
      <c r="B648" t="inlineStr">
        <is>
          <t>5SN</t>
        </is>
      </c>
      <c r="C648" t="n">
        <v>1</v>
      </c>
      <c r="D648">
        <f>IFERROR(MATCH($A648,PP_Grid[Intermediate],0),99999)</f>
        <v/>
      </c>
    </row>
    <row r="649">
      <c r="A649" t="inlineStr">
        <is>
          <t>0Q120</t>
        </is>
      </c>
      <c r="B649" t="inlineStr">
        <is>
          <t>7EP</t>
        </is>
      </c>
      <c r="C649" t="n">
        <v>1</v>
      </c>
      <c r="D649">
        <f>IFERROR(MATCH($A649,PP_Grid[Intermediate],0),99999)</f>
        <v/>
      </c>
    </row>
    <row r="650">
      <c r="A650" t="inlineStr">
        <is>
          <t>0TA30</t>
        </is>
      </c>
      <c r="B650" t="inlineStr">
        <is>
          <t>TDJ</t>
        </is>
      </c>
      <c r="C650" t="n">
        <v>1</v>
      </c>
      <c r="D650">
        <f>IFERROR(MATCH($A650,PP_Grid[Intermediate],0),99999)</f>
        <v/>
      </c>
    </row>
    <row r="651">
      <c r="A651" t="inlineStr">
        <is>
          <t>20p</t>
        </is>
      </c>
      <c r="B651" t="inlineStr">
        <is>
          <t>CHEM-1020</t>
        </is>
      </c>
      <c r="C651" t="n">
        <v>25</v>
      </c>
      <c r="D651">
        <f>IFERROR(MATCH($A651,PP_Grid[Intermediate],0),99999)</f>
        <v/>
      </c>
    </row>
    <row r="652">
      <c r="A652" t="inlineStr">
        <is>
          <t>Ester Film</t>
        </is>
      </c>
      <c r="B652" t="inlineStr">
        <is>
          <t>Ester Film</t>
        </is>
      </c>
      <c r="C652" t="n">
        <v>35</v>
      </c>
      <c r="D652">
        <f>IFERROR(MATCH($A652,PP_Grid[Intermediate],0),99999)</f>
        <v/>
      </c>
    </row>
    <row r="653">
      <c r="A653" t="inlineStr">
        <is>
          <t>F2090</t>
        </is>
      </c>
      <c r="B653" t="inlineStr">
        <is>
          <t>0JN</t>
        </is>
      </c>
      <c r="C653" t="n">
        <v>1</v>
      </c>
      <c r="D653">
        <f>IFERROR(MATCH($A653,PP_Grid[Intermediate],0),99999)</f>
        <v/>
      </c>
    </row>
    <row r="654">
      <c r="A654" t="inlineStr">
        <is>
          <t>F2290</t>
        </is>
      </c>
      <c r="B654" t="inlineStr">
        <is>
          <t>3TP</t>
        </is>
      </c>
      <c r="C654" t="n">
        <v>1</v>
      </c>
      <c r="D654">
        <f>IFERROR(MATCH($A654,PP_Grid[Intermediate],0),99999)</f>
        <v/>
      </c>
    </row>
    <row r="655">
      <c r="A655" t="inlineStr">
        <is>
          <t>K0050</t>
        </is>
      </c>
      <c r="B655" t="inlineStr">
        <is>
          <t>9RN</t>
        </is>
      </c>
      <c r="C655" t="n">
        <v>1</v>
      </c>
      <c r="D655">
        <f>IFERROR(MATCH($A655,PP_Grid[Intermediate],0),99999)</f>
        <v/>
      </c>
    </row>
    <row r="656">
      <c r="A656" t="inlineStr">
        <is>
          <t>PP Film</t>
        </is>
      </c>
      <c r="B656" t="inlineStr">
        <is>
          <t>PP Film</t>
        </is>
      </c>
      <c r="C656" t="n">
        <v>4</v>
      </c>
      <c r="D656">
        <f>IFERROR(MATCH($A656,PP_Grid[Intermediate],0),99999)</f>
        <v/>
      </c>
    </row>
    <row r="657">
      <c r="A657" t="inlineStr">
        <is>
          <t>TPP-103</t>
        </is>
      </c>
      <c r="B657" t="inlineStr">
        <is>
          <t>CHEM-1110</t>
        </is>
      </c>
      <c r="C657" t="n">
        <v>23.75</v>
      </c>
      <c r="D657">
        <f>IFERROR(MATCH($A657,PP_Grid[Intermediate],0),99999)</f>
        <v/>
      </c>
    </row>
    <row r="658">
      <c r="A658" t="inlineStr">
        <is>
          <t>TPP-1459</t>
        </is>
      </c>
      <c r="B658" t="inlineStr">
        <is>
          <t>CHEM-1820</t>
        </is>
      </c>
      <c r="C658" t="n">
        <v>32.63</v>
      </c>
      <c r="D658">
        <f>IFERROR(MATCH($A658,PP_Grid[Intermediate],0),99999)</f>
        <v/>
      </c>
    </row>
    <row r="659">
      <c r="A659" t="inlineStr">
        <is>
          <t>TPP-1466</t>
        </is>
      </c>
      <c r="B659" t="inlineStr">
        <is>
          <t>CHEM-1820</t>
        </is>
      </c>
      <c r="C659" t="n">
        <v>32.63</v>
      </c>
      <c r="D659">
        <f>IFERROR(MATCH($A659,PP_Grid[Intermediate],0),99999)</f>
        <v/>
      </c>
    </row>
    <row r="660">
      <c r="A660" t="inlineStr">
        <is>
          <t>TPP-2245</t>
        </is>
      </c>
      <c r="B660" t="inlineStr">
        <is>
          <t>CHEM-1830</t>
        </is>
      </c>
      <c r="C660" t="n">
        <v>0</v>
      </c>
      <c r="D660">
        <f>IFERROR(MATCH($A660,PP_Grid[Intermediate],0),99999)</f>
        <v/>
      </c>
    </row>
    <row r="661">
      <c r="A661" t="inlineStr">
        <is>
          <t>TSP-1388</t>
        </is>
      </c>
      <c r="B661" t="inlineStr">
        <is>
          <t>CHEM-1510</t>
        </is>
      </c>
      <c r="C661" t="n">
        <v>1.873</v>
      </c>
      <c r="D661">
        <f>IFERROR(MATCH($A661,PP_Grid[Intermediate],0),99999)</f>
        <v/>
      </c>
    </row>
    <row r="662">
      <c r="A662" t="inlineStr">
        <is>
          <t>TSP-1388</t>
        </is>
      </c>
      <c r="B662" t="inlineStr">
        <is>
          <t>CHEM-1570</t>
        </is>
      </c>
      <c r="C662" t="n">
        <v>0.231</v>
      </c>
      <c r="D662">
        <f>IFERROR(MATCH($A662,PP_Grid[Intermediate],0),99999)</f>
        <v/>
      </c>
    </row>
    <row r="663">
      <c r="A663" t="inlineStr">
        <is>
          <t>TSP-1388</t>
        </is>
      </c>
      <c r="B663" t="inlineStr">
        <is>
          <t>CHEM-1600</t>
        </is>
      </c>
      <c r="C663" t="n">
        <v>13</v>
      </c>
      <c r="D663">
        <f>IFERROR(MATCH($A663,PP_Grid[Intermediate],0),99999)</f>
        <v/>
      </c>
    </row>
    <row r="664">
      <c r="A664" t="inlineStr">
        <is>
          <t>TSP-1444</t>
        </is>
      </c>
      <c r="B664" t="inlineStr">
        <is>
          <t>CHEM-1570</t>
        </is>
      </c>
      <c r="C664" t="n">
        <v>0.259</v>
      </c>
      <c r="D664">
        <f>IFERROR(MATCH($A664,PP_Grid[Intermediate],0),99999)</f>
        <v/>
      </c>
    </row>
    <row r="665">
      <c r="A665" t="inlineStr">
        <is>
          <t>TSP-1445</t>
        </is>
      </c>
      <c r="B665" t="inlineStr">
        <is>
          <t>CHEM-1570</t>
        </is>
      </c>
      <c r="C665" t="n">
        <v>0.268</v>
      </c>
      <c r="D665">
        <f>IFERROR(MATCH($A665,PP_Grid[Intermediate],0),99999)</f>
        <v/>
      </c>
    </row>
    <row r="666">
      <c r="A666" t="inlineStr">
        <is>
          <t>TSP-1446</t>
        </is>
      </c>
      <c r="B666" t="inlineStr">
        <is>
          <t>CHEM-1570</t>
        </is>
      </c>
      <c r="C666" t="n">
        <v>0.302</v>
      </c>
      <c r="D666">
        <f>IFERROR(MATCH($A666,PP_Grid[Intermediate],0),99999)</f>
        <v/>
      </c>
    </row>
    <row r="667">
      <c r="A667" t="inlineStr">
        <is>
          <t>TSP-1448</t>
        </is>
      </c>
      <c r="B667" t="inlineStr">
        <is>
          <t>CHEM-1570</t>
        </is>
      </c>
      <c r="C667" t="n">
        <v>0.062</v>
      </c>
      <c r="D667">
        <f>IFERROR(MATCH($A667,PP_Grid[Intermediate],0),99999)</f>
        <v/>
      </c>
    </row>
    <row r="668">
      <c r="A668" t="inlineStr">
        <is>
          <t>TSP-1449</t>
        </is>
      </c>
      <c r="B668" t="inlineStr">
        <is>
          <t>CHEM-1240</t>
        </is>
      </c>
      <c r="C668" t="n">
        <v>20</v>
      </c>
      <c r="D668">
        <f>IFERROR(MATCH($A668,PP_Grid[Intermediate],0),99999)</f>
        <v/>
      </c>
    </row>
    <row r="669">
      <c r="A669" t="inlineStr">
        <is>
          <t>TSP-1449</t>
        </is>
      </c>
      <c r="B669" t="inlineStr">
        <is>
          <t>CHEM-1540</t>
        </is>
      </c>
      <c r="C669" t="n">
        <v>15</v>
      </c>
      <c r="D669">
        <f>IFERROR(MATCH($A669,PP_Grid[Intermediate],0),99999)</f>
        <v/>
      </c>
    </row>
    <row r="670">
      <c r="A670" t="inlineStr">
        <is>
          <t>TSP-1449</t>
        </is>
      </c>
      <c r="B670" t="inlineStr">
        <is>
          <t>CHEM-1570</t>
        </is>
      </c>
      <c r="C670" t="n">
        <v>0.12</v>
      </c>
      <c r="D670">
        <f>IFERROR(MATCH($A670,PP_Grid[Intermediate],0),99999)</f>
        <v/>
      </c>
    </row>
    <row r="671">
      <c r="A671" t="inlineStr">
        <is>
          <t>TSP-1449</t>
        </is>
      </c>
      <c r="B671" t="inlineStr">
        <is>
          <t>CHEM-1700</t>
        </is>
      </c>
      <c r="C671" t="n">
        <v>1.5</v>
      </c>
      <c r="D671">
        <f>IFERROR(MATCH($A671,PP_Grid[Intermediate],0),99999)</f>
        <v/>
      </c>
    </row>
    <row r="672">
      <c r="A672" t="inlineStr">
        <is>
          <t>TSP-1449</t>
        </is>
      </c>
      <c r="B672" t="inlineStr">
        <is>
          <t>CHEM-1720</t>
        </is>
      </c>
      <c r="C672" t="n">
        <v>10</v>
      </c>
      <c r="D672">
        <f>IFERROR(MATCH($A672,PP_Grid[Intermediate],0),99999)</f>
        <v/>
      </c>
    </row>
    <row r="673">
      <c r="A673" t="inlineStr">
        <is>
          <t>TSP-1499</t>
        </is>
      </c>
      <c r="B673" t="inlineStr">
        <is>
          <t>CHEM-1400</t>
        </is>
      </c>
      <c r="C673" t="n">
        <v>0.7</v>
      </c>
      <c r="D673">
        <f>IFERROR(MATCH($A673,PP_Grid[Intermediate],0),99999)</f>
        <v/>
      </c>
    </row>
    <row r="674">
      <c r="A674" t="inlineStr">
        <is>
          <t>TSP-1499</t>
        </is>
      </c>
      <c r="B674" t="inlineStr">
        <is>
          <t>CHEM-1420</t>
        </is>
      </c>
      <c r="C674" t="n">
        <v>0.2</v>
      </c>
      <c r="D674">
        <f>IFERROR(MATCH($A674,PP_Grid[Intermediate],0),99999)</f>
        <v/>
      </c>
    </row>
    <row r="675">
      <c r="A675" t="inlineStr">
        <is>
          <t>TSP-1499</t>
        </is>
      </c>
      <c r="B675" t="inlineStr">
        <is>
          <t>CHEM-1530</t>
        </is>
      </c>
      <c r="C675" t="n">
        <v>19.03</v>
      </c>
      <c r="D675">
        <f>IFERROR(MATCH($A675,PP_Grid[Intermediate],0),99999)</f>
        <v/>
      </c>
    </row>
    <row r="676">
      <c r="A676" t="inlineStr">
        <is>
          <t>TSP-1499</t>
        </is>
      </c>
      <c r="B676" t="inlineStr">
        <is>
          <t>CHEM-1570</t>
        </is>
      </c>
      <c r="C676" t="n">
        <v>0.08</v>
      </c>
      <c r="D676">
        <f>IFERROR(MATCH($A676,PP_Grid[Intermediate],0),99999)</f>
        <v/>
      </c>
    </row>
    <row r="677">
      <c r="A677" t="inlineStr">
        <is>
          <t>TSP-1499</t>
        </is>
      </c>
      <c r="B677" t="inlineStr">
        <is>
          <t>CHEM-1670</t>
        </is>
      </c>
      <c r="C677" t="n">
        <v>0.8</v>
      </c>
      <c r="D677">
        <f>IFERROR(MATCH($A677,PP_Grid[Intermediate],0),99999)</f>
        <v/>
      </c>
    </row>
    <row r="678">
      <c r="A678" t="inlineStr">
        <is>
          <t>TSP-1499</t>
        </is>
      </c>
      <c r="B678" t="inlineStr">
        <is>
          <t>CHEM-1700</t>
        </is>
      </c>
      <c r="C678" t="n">
        <v>0.79</v>
      </c>
      <c r="D678">
        <f>IFERROR(MATCH($A678,PP_Grid[Intermediate],0),99999)</f>
        <v/>
      </c>
    </row>
    <row r="679">
      <c r="A679" t="inlineStr">
        <is>
          <t>TSP-1499</t>
        </is>
      </c>
      <c r="B679" t="inlineStr">
        <is>
          <t>CHEM-1720</t>
        </is>
      </c>
      <c r="C679" t="n">
        <v>4.83</v>
      </c>
      <c r="D679">
        <f>IFERROR(MATCH($A679,PP_Grid[Intermediate],0),99999)</f>
        <v/>
      </c>
    </row>
    <row r="680">
      <c r="A680" t="inlineStr">
        <is>
          <t>TSP-1499</t>
        </is>
      </c>
      <c r="B680" t="inlineStr">
        <is>
          <t>CHEM-1780</t>
        </is>
      </c>
      <c r="C680" t="n">
        <v>0.2</v>
      </c>
      <c r="D680">
        <f>IFERROR(MATCH($A680,PP_Grid[Intermediate],0),99999)</f>
        <v/>
      </c>
    </row>
    <row r="681">
      <c r="A681" t="inlineStr">
        <is>
          <t>TSP-1558</t>
        </is>
      </c>
      <c r="B681" t="inlineStr">
        <is>
          <t>CHEM-1240</t>
        </is>
      </c>
      <c r="C681" t="n">
        <v>11.18</v>
      </c>
      <c r="D681">
        <f>IFERROR(MATCH($A681,PP_Grid[Intermediate],0),99999)</f>
        <v/>
      </c>
    </row>
    <row r="682">
      <c r="A682" t="inlineStr">
        <is>
          <t>TSP-1558</t>
        </is>
      </c>
      <c r="B682" t="inlineStr">
        <is>
          <t>CHEM-1420</t>
        </is>
      </c>
      <c r="C682" t="n">
        <v>0.31</v>
      </c>
      <c r="D682">
        <f>IFERROR(MATCH($A682,PP_Grid[Intermediate],0),99999)</f>
        <v/>
      </c>
    </row>
    <row r="683">
      <c r="A683" t="inlineStr">
        <is>
          <t>TSP-1558</t>
        </is>
      </c>
      <c r="B683" t="inlineStr">
        <is>
          <t>CHEM-1440</t>
        </is>
      </c>
      <c r="C683" t="n">
        <v>0.5</v>
      </c>
      <c r="D683">
        <f>IFERROR(MATCH($A683,PP_Grid[Intermediate],0),99999)</f>
        <v/>
      </c>
    </row>
    <row r="684">
      <c r="A684" t="inlineStr">
        <is>
          <t>TSP-1558</t>
        </is>
      </c>
      <c r="B684" t="inlineStr">
        <is>
          <t>CHEM-1570</t>
        </is>
      </c>
      <c r="C684" t="n">
        <v>0.17</v>
      </c>
      <c r="D684">
        <f>IFERROR(MATCH($A684,PP_Grid[Intermediate],0),99999)</f>
        <v/>
      </c>
    </row>
    <row r="685">
      <c r="A685" t="inlineStr">
        <is>
          <t>TSP-1558</t>
        </is>
      </c>
      <c r="B685" t="inlineStr">
        <is>
          <t>CHEM-1830</t>
        </is>
      </c>
      <c r="C685" t="n">
        <v>13.47</v>
      </c>
      <c r="D685">
        <f>IFERROR(MATCH($A685,PP_Grid[Intermediate],0),99999)</f>
        <v/>
      </c>
    </row>
    <row r="686">
      <c r="A686" t="inlineStr">
        <is>
          <t>TSP-1558</t>
        </is>
      </c>
      <c r="B686" t="inlineStr">
        <is>
          <t>CHEM-1840</t>
        </is>
      </c>
      <c r="C686" t="n">
        <v>1.99</v>
      </c>
      <c r="D686">
        <f>IFERROR(MATCH($A686,PP_Grid[Intermediate],0),99999)</f>
        <v/>
      </c>
    </row>
    <row r="687">
      <c r="A687" t="inlineStr">
        <is>
          <t>TSP-1558</t>
        </is>
      </c>
      <c r="B687" t="inlineStr">
        <is>
          <t>CHEM-1850</t>
        </is>
      </c>
      <c r="C687" t="n">
        <v>18.65</v>
      </c>
      <c r="D687">
        <f>IFERROR(MATCH($A687,PP_Grid[Intermediate],0),99999)</f>
        <v/>
      </c>
    </row>
    <row r="688">
      <c r="A688" t="inlineStr">
        <is>
          <t>TSP-1559</t>
        </is>
      </c>
      <c r="B688" t="inlineStr">
        <is>
          <t>CHEM-1830</t>
        </is>
      </c>
      <c r="C688" t="n">
        <v>0</v>
      </c>
      <c r="D688">
        <f>IFERROR(MATCH($A688,PP_Grid[Intermediate],0),99999)</f>
        <v/>
      </c>
    </row>
    <row r="689">
      <c r="A689" t="inlineStr">
        <is>
          <t>TSP-1559</t>
        </is>
      </c>
      <c r="B689" t="inlineStr">
        <is>
          <t>CHEM-1840</t>
        </is>
      </c>
      <c r="C689" t="n">
        <v>1.99</v>
      </c>
      <c r="D689">
        <f>IFERROR(MATCH($A689,PP_Grid[Intermediate],0),99999)</f>
        <v/>
      </c>
    </row>
    <row r="690">
      <c r="A690" t="inlineStr">
        <is>
          <t>TSP-2157</t>
        </is>
      </c>
      <c r="B690" t="inlineStr">
        <is>
          <t>CHEM-1830</t>
        </is>
      </c>
      <c r="C690" t="n">
        <v>0</v>
      </c>
      <c r="D690">
        <f>IFERROR(MATCH($A690,PP_Grid[Intermediate],0),99999)</f>
        <v/>
      </c>
    </row>
    <row r="691">
      <c r="A691" t="inlineStr">
        <is>
          <t>TSP-2168</t>
        </is>
      </c>
      <c r="B691" t="inlineStr">
        <is>
          <t>CHEM-1830</t>
        </is>
      </c>
      <c r="C691" t="n">
        <v>0</v>
      </c>
      <c r="D691">
        <f>IFERROR(MATCH($A691,PP_Grid[Intermediate],0),99999)</f>
        <v/>
      </c>
    </row>
    <row r="692">
      <c r="A692" t="inlineStr">
        <is>
          <t>TSP-219</t>
        </is>
      </c>
      <c r="B692" t="inlineStr">
        <is>
          <t>CHEM-1820</t>
        </is>
      </c>
      <c r="C692" t="n">
        <v>0</v>
      </c>
      <c r="D692">
        <f>IFERROR(MATCH($A692,PP_Grid[Intermediate],0),99999)</f>
        <v/>
      </c>
    </row>
    <row r="693">
      <c r="A693" t="inlineStr">
        <is>
          <t>TSP-360</t>
        </is>
      </c>
      <c r="B693" t="inlineStr">
        <is>
          <t>CHEM-1850</t>
        </is>
      </c>
      <c r="C693" t="n">
        <v>16.71</v>
      </c>
      <c r="D693">
        <f>IFERROR(MATCH($A693,PP_Grid[Intermediate],0),99999)</f>
        <v/>
      </c>
    </row>
    <row r="694">
      <c r="A694" t="inlineStr">
        <is>
          <t>TSP-367</t>
        </is>
      </c>
      <c r="B694" t="inlineStr">
        <is>
          <t>CHEM-1850</t>
        </is>
      </c>
      <c r="C694" t="n">
        <v>24.55</v>
      </c>
      <c r="D694">
        <f>IFERROR(MATCH($A694,PP_Grid[Intermediate],0),99999)</f>
        <v/>
      </c>
    </row>
    <row r="695">
      <c r="A695" t="inlineStr">
        <is>
          <t>TSP-544</t>
        </is>
      </c>
      <c r="B695" t="inlineStr">
        <is>
          <t>CHEM-1850</t>
        </is>
      </c>
      <c r="C695" t="n">
        <v>13.227</v>
      </c>
      <c r="D695">
        <f>IFERROR(MATCH($A695,PP_Grid[Intermediate],0),99999)</f>
        <v/>
      </c>
    </row>
    <row r="696">
      <c r="A696" t="inlineStr">
        <is>
          <t>TSP-655</t>
        </is>
      </c>
      <c r="B696" t="inlineStr">
        <is>
          <t>CHEM-1570</t>
        </is>
      </c>
      <c r="C696" t="n">
        <v>0.928</v>
      </c>
      <c r="D696">
        <f>IFERROR(MATCH($A696,PP_Grid[Intermediate],0),99999)</f>
        <v/>
      </c>
    </row>
    <row r="697">
      <c r="A697" t="inlineStr">
        <is>
          <t>TSP-656</t>
        </is>
      </c>
      <c r="B697" t="inlineStr">
        <is>
          <t>CHEM-1570</t>
        </is>
      </c>
      <c r="C697" t="n">
        <v>0.462</v>
      </c>
      <c r="D697">
        <f>IFERROR(MATCH($A697,PP_Grid[Intermediate],0),99999)</f>
        <v/>
      </c>
    </row>
    <row r="698">
      <c r="A698" t="inlineStr">
        <is>
          <t>TSP-710</t>
        </is>
      </c>
      <c r="B698" t="inlineStr">
        <is>
          <t>CHEM-1850</t>
        </is>
      </c>
      <c r="C698" t="n">
        <v>20.155</v>
      </c>
      <c r="D698">
        <f>IFERROR(MATCH($A698,PP_Grid[Intermediate],0),99999)</f>
        <v/>
      </c>
    </row>
    <row r="699">
      <c r="A699" t="inlineStr">
        <is>
          <t>TSP-903</t>
        </is>
      </c>
      <c r="B699" t="inlineStr">
        <is>
          <t>CHEM-1570</t>
        </is>
      </c>
      <c r="C699" t="n">
        <v>0.018</v>
      </c>
      <c r="D699">
        <f>IFERROR(MATCH($A699,PP_Grid[Intermediate],0),99999)</f>
        <v/>
      </c>
    </row>
    <row r="700">
      <c r="A700" t="inlineStr">
        <is>
          <t>TSP-924</t>
        </is>
      </c>
      <c r="B700" t="inlineStr">
        <is>
          <t>CHEM-1510</t>
        </is>
      </c>
      <c r="C700" t="n">
        <v>0.44</v>
      </c>
      <c r="D700">
        <f>IFERROR(MATCH($A700,PP_Grid[Intermediate],0),99999)</f>
        <v/>
      </c>
    </row>
    <row r="701">
      <c r="A701" t="inlineStr">
        <is>
          <t>TSP-924</t>
        </is>
      </c>
      <c r="B701" t="inlineStr">
        <is>
          <t>CHEM-1600</t>
        </is>
      </c>
      <c r="C701" t="n">
        <v>15.094</v>
      </c>
      <c r="D701">
        <f>IFERROR(MATCH($A701,PP_Grid[Intermediate],0),99999)</f>
        <v/>
      </c>
    </row>
    <row r="702">
      <c r="A702" t="inlineStr">
        <is>
          <t>TSP-925</t>
        </is>
      </c>
      <c r="B702" t="inlineStr">
        <is>
          <t>CHEM-1510</t>
        </is>
      </c>
      <c r="C702" t="n">
        <v>0.44</v>
      </c>
      <c r="D702">
        <f>IFERROR(MATCH($A702,PP_Grid[Intermediate],0),99999)</f>
        <v/>
      </c>
    </row>
    <row r="703">
      <c r="A703" t="inlineStr">
        <is>
          <t>TSP-925</t>
        </is>
      </c>
      <c r="B703" t="inlineStr">
        <is>
          <t>CHEM-1600</t>
        </is>
      </c>
      <c r="C703" t="n">
        <v>15.121</v>
      </c>
      <c r="D703">
        <f>IFERROR(MATCH($A703,PP_Grid[Intermediate],0),99999)</f>
        <v/>
      </c>
    </row>
    <row r="704">
      <c r="A704" t="inlineStr">
        <is>
          <t>TSP-935</t>
        </is>
      </c>
      <c r="B704" t="inlineStr">
        <is>
          <t>CHEM-1570</t>
        </is>
      </c>
      <c r="C704" t="n">
        <v>0.081</v>
      </c>
      <c r="D704">
        <f>IFERROR(MATCH($A704,PP_Grid[Intermediate],0),99999)</f>
        <v/>
      </c>
    </row>
    <row r="705">
      <c r="A705" t="inlineStr">
        <is>
          <t>TSP-937</t>
        </is>
      </c>
      <c r="B705" t="inlineStr">
        <is>
          <t>CHEM-1570</t>
        </is>
      </c>
      <c r="C705" t="n">
        <v>0.079</v>
      </c>
      <c r="D705">
        <f>IFERROR(MATCH($A705,PP_Grid[Intermediate],0),99999)</f>
        <v/>
      </c>
    </row>
    <row r="706">
      <c r="A706" t="inlineStr">
        <is>
          <t>TSP-959</t>
        </is>
      </c>
      <c r="B706" t="inlineStr">
        <is>
          <t>CHEM-1570</t>
        </is>
      </c>
      <c r="C706" t="n">
        <v>0.07099999999999999</v>
      </c>
      <c r="D706">
        <f>IFERROR(MATCH($A706,PP_Grid[Intermediate],0),99999)</f>
        <v/>
      </c>
    </row>
    <row r="707">
      <c r="A707" t="inlineStr">
        <is>
          <t>TSP-966</t>
        </is>
      </c>
      <c r="B707" t="inlineStr">
        <is>
          <t>CHEM-1570</t>
        </is>
      </c>
      <c r="C707" t="n">
        <v>0.0377</v>
      </c>
      <c r="D707">
        <f>IFERROR(MATCH($A707,PP_Grid[Intermediate],0),99999)</f>
        <v/>
      </c>
    </row>
    <row r="708">
      <c r="A708" t="inlineStr">
        <is>
          <t>TSP-WACZ</t>
        </is>
      </c>
      <c r="B708" t="inlineStr">
        <is>
          <t>CHEM-1110</t>
        </is>
      </c>
      <c r="C708" t="n">
        <v>0</v>
      </c>
      <c r="D708">
        <f>IFERROR(MATCH($A708,PP_Grid[Intermediate],0),99999)</f>
        <v/>
      </c>
    </row>
    <row r="709">
      <c r="A709" t="inlineStr">
        <is>
          <t>TSZ-616</t>
        </is>
      </c>
      <c r="B709" t="inlineStr">
        <is>
          <t>CHEM-1570</t>
        </is>
      </c>
      <c r="C709" t="n">
        <v>0.04</v>
      </c>
      <c r="D709">
        <f>IFERROR(MATCH($A709,PP_Grid[Intermediate],0),99999)</f>
        <v/>
      </c>
    </row>
    <row r="710">
      <c r="A710" t="inlineStr">
        <is>
          <t>TVS-267</t>
        </is>
      </c>
      <c r="B710" t="inlineStr">
        <is>
          <t>CHEM-1570</t>
        </is>
      </c>
      <c r="C710" t="n">
        <v>0.09032</v>
      </c>
      <c r="D710">
        <f>IFERROR(MATCH($A710,PP_Grid[Intermediate],0),99999)</f>
        <v/>
      </c>
    </row>
    <row r="711">
      <c r="A711" t="inlineStr">
        <is>
          <t>TVS-833</t>
        </is>
      </c>
      <c r="B711" t="inlineStr">
        <is>
          <t>CHEM-1570</t>
        </is>
      </c>
      <c r="C711" t="n">
        <v>0.17607</v>
      </c>
      <c r="D711">
        <f>IFERROR(MATCH($A711,PP_Grid[Intermediate],0),99999)</f>
        <v/>
      </c>
    </row>
    <row r="712">
      <c r="A712" t="inlineStr">
        <is>
          <t>VSP-600</t>
        </is>
      </c>
      <c r="B712" t="inlineStr">
        <is>
          <t>CHEM-1650</t>
        </is>
      </c>
      <c r="C712" t="n">
        <v>0.044845592</v>
      </c>
      <c r="D712">
        <f>IFERROR(MATCH($A712,PP_Grid[Intermediate],0),99999)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A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27" t="inlineStr">
        <is>
          <t>Intermediate</t>
        </is>
      </c>
      <c r="B1" s="27" t="inlineStr">
        <is>
          <t>2026-W01</t>
        </is>
      </c>
      <c r="C1" s="27" t="inlineStr">
        <is>
          <t>2026-W02</t>
        </is>
      </c>
      <c r="D1" s="27" t="inlineStr">
        <is>
          <t>2026-W03</t>
        </is>
      </c>
      <c r="E1" s="27" t="inlineStr">
        <is>
          <t>2026-W04</t>
        </is>
      </c>
      <c r="F1" s="27" t="inlineStr">
        <is>
          <t>2026-W05</t>
        </is>
      </c>
      <c r="G1" s="27" t="inlineStr">
        <is>
          <t>2026-W06</t>
        </is>
      </c>
      <c r="H1" s="27" t="inlineStr">
        <is>
          <t>2026-W07</t>
        </is>
      </c>
      <c r="I1" s="27" t="inlineStr">
        <is>
          <t>2026-W08</t>
        </is>
      </c>
      <c r="J1" s="27" t="inlineStr">
        <is>
          <t>2026-W09</t>
        </is>
      </c>
      <c r="K1" s="27" t="inlineStr">
        <is>
          <t>2026-W10</t>
        </is>
      </c>
      <c r="L1" s="27" t="inlineStr">
        <is>
          <t>2026-W11</t>
        </is>
      </c>
      <c r="M1" s="27" t="inlineStr">
        <is>
          <t>2026-W12</t>
        </is>
      </c>
      <c r="N1" s="27" t="inlineStr">
        <is>
          <t>2026-W13</t>
        </is>
      </c>
      <c r="O1" s="27" t="inlineStr">
        <is>
          <t>2026-W14</t>
        </is>
      </c>
      <c r="P1" s="27" t="inlineStr">
        <is>
          <t>2026-W15</t>
        </is>
      </c>
      <c r="Q1" s="27" t="inlineStr">
        <is>
          <t>2026-W16</t>
        </is>
      </c>
      <c r="R1" s="27" t="inlineStr">
        <is>
          <t>2026-W17</t>
        </is>
      </c>
      <c r="S1" s="27" t="inlineStr">
        <is>
          <t>2026-W18</t>
        </is>
      </c>
      <c r="T1" s="27" t="inlineStr">
        <is>
          <t>2026-W19</t>
        </is>
      </c>
      <c r="U1" s="27" t="inlineStr">
        <is>
          <t>2026-W20</t>
        </is>
      </c>
      <c r="V1" s="27" t="inlineStr">
        <is>
          <t>2026-W21</t>
        </is>
      </c>
      <c r="W1" s="27" t="inlineStr">
        <is>
          <t>2026-W22</t>
        </is>
      </c>
      <c r="X1" s="27" t="inlineStr">
        <is>
          <t>2026-W23</t>
        </is>
      </c>
      <c r="Y1" s="27" t="inlineStr">
        <is>
          <t>2026-W24</t>
        </is>
      </c>
      <c r="Z1" s="27" t="inlineStr">
        <is>
          <t>2026-W25</t>
        </is>
      </c>
      <c r="AA1" s="27" t="inlineStr">
        <is>
          <t>2026-W26</t>
        </is>
      </c>
      <c r="AB1" s="27" t="inlineStr">
        <is>
          <t>2026-W27</t>
        </is>
      </c>
      <c r="AC1" s="27" t="inlineStr">
        <is>
          <t>2026-W28</t>
        </is>
      </c>
      <c r="AD1" s="27" t="inlineStr">
        <is>
          <t>2026-W29</t>
        </is>
      </c>
      <c r="AE1" s="27" t="inlineStr">
        <is>
          <t>2026-W30</t>
        </is>
      </c>
      <c r="AF1" s="27" t="inlineStr">
        <is>
          <t>2026-W31</t>
        </is>
      </c>
      <c r="AG1" s="27" t="inlineStr">
        <is>
          <t>2026-W32</t>
        </is>
      </c>
      <c r="AH1" s="27" t="inlineStr">
        <is>
          <t>2026-W33</t>
        </is>
      </c>
      <c r="AI1" s="27" t="inlineStr">
        <is>
          <t>2026-W34</t>
        </is>
      </c>
      <c r="AJ1" s="27" t="inlineStr">
        <is>
          <t>2026-W35</t>
        </is>
      </c>
      <c r="AK1" s="27" t="inlineStr">
        <is>
          <t>2026-W36</t>
        </is>
      </c>
      <c r="AL1" s="27" t="inlineStr">
        <is>
          <t>2026-W37</t>
        </is>
      </c>
      <c r="AM1" s="27" t="inlineStr">
        <is>
          <t>2026-W38</t>
        </is>
      </c>
      <c r="AN1" s="27" t="inlineStr">
        <is>
          <t>2026-W39</t>
        </is>
      </c>
      <c r="AO1" s="27" t="inlineStr">
        <is>
          <t>2026-W40</t>
        </is>
      </c>
      <c r="AP1" s="27" t="inlineStr">
        <is>
          <t>2026-W41</t>
        </is>
      </c>
      <c r="AQ1" s="27" t="inlineStr">
        <is>
          <t>2026-W42</t>
        </is>
      </c>
      <c r="AR1" s="27" t="inlineStr">
        <is>
          <t>2026-W43</t>
        </is>
      </c>
      <c r="AS1" s="27" t="inlineStr">
        <is>
          <t>2026-W44</t>
        </is>
      </c>
      <c r="AT1" s="27" t="inlineStr">
        <is>
          <t>2026-W45</t>
        </is>
      </c>
      <c r="AU1" s="27" t="inlineStr">
        <is>
          <t>2026-W46</t>
        </is>
      </c>
      <c r="AV1" s="27" t="inlineStr">
        <is>
          <t>2026-W47</t>
        </is>
      </c>
      <c r="AW1" s="27" t="inlineStr">
        <is>
          <t>2026-W48</t>
        </is>
      </c>
      <c r="AX1" s="27" t="inlineStr">
        <is>
          <t>2026-W49</t>
        </is>
      </c>
      <c r="AY1" s="27" t="inlineStr">
        <is>
          <t>2026-W50</t>
        </is>
      </c>
      <c r="AZ1" s="27" t="inlineStr">
        <is>
          <t>2026-W51</t>
        </is>
      </c>
      <c r="BA1" s="27" t="inlineStr">
        <is>
          <t>2026-W52</t>
        </is>
      </c>
      <c r="BB1" s="27" t="inlineStr">
        <is>
          <t>2027-W01</t>
        </is>
      </c>
      <c r="BC1" s="27" t="inlineStr">
        <is>
          <t>2027-W02</t>
        </is>
      </c>
      <c r="BD1" s="27" t="inlineStr">
        <is>
          <t>2027-W03</t>
        </is>
      </c>
      <c r="BE1" s="27" t="inlineStr">
        <is>
          <t>2027-W04</t>
        </is>
      </c>
      <c r="BF1" s="27" t="inlineStr">
        <is>
          <t>2027-W05</t>
        </is>
      </c>
      <c r="BG1" s="27" t="inlineStr">
        <is>
          <t>2027-W06</t>
        </is>
      </c>
      <c r="BH1" s="27" t="inlineStr">
        <is>
          <t>2027-W07</t>
        </is>
      </c>
      <c r="BI1" s="27" t="inlineStr">
        <is>
          <t>2027-W08</t>
        </is>
      </c>
      <c r="BJ1" s="27" t="inlineStr">
        <is>
          <t>2027-W09</t>
        </is>
      </c>
      <c r="BK1" s="27" t="inlineStr">
        <is>
          <t>2027-W10</t>
        </is>
      </c>
      <c r="BL1" s="27" t="inlineStr">
        <is>
          <t>2027-W11</t>
        </is>
      </c>
      <c r="BM1" s="27" t="inlineStr">
        <is>
          <t>2027-W12</t>
        </is>
      </c>
      <c r="BN1" s="27" t="inlineStr">
        <is>
          <t>2027-W13</t>
        </is>
      </c>
      <c r="BO1" s="27" t="inlineStr">
        <is>
          <t>2027-W14</t>
        </is>
      </c>
      <c r="BP1" s="27" t="inlineStr">
        <is>
          <t>2027-W15</t>
        </is>
      </c>
      <c r="BQ1" s="27" t="inlineStr">
        <is>
          <t>2027-W16</t>
        </is>
      </c>
      <c r="BR1" s="27" t="inlineStr">
        <is>
          <t>2027-W17</t>
        </is>
      </c>
      <c r="BS1" s="27" t="inlineStr">
        <is>
          <t>2027-W18</t>
        </is>
      </c>
      <c r="BT1" s="27" t="inlineStr">
        <is>
          <t>2027-W19</t>
        </is>
      </c>
      <c r="BU1" s="27" t="inlineStr">
        <is>
          <t>2027-W20</t>
        </is>
      </c>
      <c r="BV1" s="27" t="inlineStr">
        <is>
          <t>2027-W21</t>
        </is>
      </c>
      <c r="BW1" s="27" t="inlineStr">
        <is>
          <t>2027-W22</t>
        </is>
      </c>
      <c r="BX1" s="27" t="inlineStr">
        <is>
          <t>2027-W23</t>
        </is>
      </c>
      <c r="BY1" s="27" t="inlineStr">
        <is>
          <t>2027-W24</t>
        </is>
      </c>
      <c r="BZ1" s="27" t="inlineStr">
        <is>
          <t>2027-W25</t>
        </is>
      </c>
      <c r="CA1" s="27" t="inlineStr">
        <is>
          <t>2027-W26</t>
        </is>
      </c>
      <c r="CB1" s="27" t="inlineStr">
        <is>
          <t>2027-W27</t>
        </is>
      </c>
      <c r="CC1" s="27" t="inlineStr">
        <is>
          <t>2027-W28</t>
        </is>
      </c>
      <c r="CD1" s="27" t="inlineStr">
        <is>
          <t>2027-W29</t>
        </is>
      </c>
      <c r="CE1" s="27" t="inlineStr">
        <is>
          <t>2027-W30</t>
        </is>
      </c>
      <c r="CF1" s="27" t="inlineStr">
        <is>
          <t>2027-W31</t>
        </is>
      </c>
      <c r="CG1" s="27" t="inlineStr">
        <is>
          <t>2027-W32</t>
        </is>
      </c>
      <c r="CH1" s="27" t="inlineStr">
        <is>
          <t>2027-W33</t>
        </is>
      </c>
      <c r="CI1" s="27" t="inlineStr">
        <is>
          <t>2027-W34</t>
        </is>
      </c>
      <c r="CJ1" s="27" t="inlineStr">
        <is>
          <t>2027-W35</t>
        </is>
      </c>
      <c r="CK1" s="27" t="inlineStr">
        <is>
          <t>2027-W36</t>
        </is>
      </c>
      <c r="CL1" s="27" t="inlineStr">
        <is>
          <t>2027-W37</t>
        </is>
      </c>
      <c r="CM1" s="27" t="inlineStr">
        <is>
          <t>2027-W38</t>
        </is>
      </c>
      <c r="CN1" s="27" t="inlineStr">
        <is>
          <t>2027-W39</t>
        </is>
      </c>
      <c r="CO1" s="27" t="inlineStr">
        <is>
          <t>2027-W40</t>
        </is>
      </c>
      <c r="CP1" s="27" t="inlineStr">
        <is>
          <t>2027-W41</t>
        </is>
      </c>
      <c r="CQ1" s="27" t="inlineStr">
        <is>
          <t>2027-W42</t>
        </is>
      </c>
      <c r="CR1" s="27" t="inlineStr">
        <is>
          <t>2027-W43</t>
        </is>
      </c>
      <c r="CS1" s="27" t="inlineStr">
        <is>
          <t>2027-W44</t>
        </is>
      </c>
      <c r="CT1" s="27" t="inlineStr">
        <is>
          <t>2027-W45</t>
        </is>
      </c>
      <c r="CU1" s="27" t="inlineStr">
        <is>
          <t>2027-W46</t>
        </is>
      </c>
      <c r="CV1" s="27" t="inlineStr">
        <is>
          <t>2027-W47</t>
        </is>
      </c>
      <c r="CW1" s="27" t="inlineStr">
        <is>
          <t>2027-W48</t>
        </is>
      </c>
      <c r="CX1" s="27" t="inlineStr">
        <is>
          <t>2027-W49</t>
        </is>
      </c>
      <c r="CY1" s="27" t="inlineStr">
        <is>
          <t>2027-W50</t>
        </is>
      </c>
      <c r="CZ1" s="27" t="inlineStr">
        <is>
          <t>2027-W51</t>
        </is>
      </c>
      <c r="DA1" s="27" t="inlineStr">
        <is>
          <t>2027-W52</t>
        </is>
      </c>
    </row>
    <row r="2">
      <c r="A2" t="inlineStr">
        <is>
          <t>TSP-049</t>
        </is>
      </c>
      <c r="B2" s="28" t="n">
        <v>0</v>
      </c>
      <c r="C2" s="28" t="n">
        <v>0</v>
      </c>
      <c r="D2" s="28" t="n">
        <v>0</v>
      </c>
      <c r="E2" s="28" t="n">
        <v>0</v>
      </c>
      <c r="F2" s="28" t="n">
        <v>0</v>
      </c>
      <c r="G2" s="28" t="n">
        <v>0</v>
      </c>
      <c r="H2" s="28" t="n">
        <v>0</v>
      </c>
      <c r="I2" s="28" t="n">
        <v>0</v>
      </c>
      <c r="J2" s="28" t="n">
        <v>0</v>
      </c>
      <c r="K2" s="28" t="n">
        <v>0</v>
      </c>
      <c r="L2" s="28" t="n">
        <v>0</v>
      </c>
      <c r="M2" s="28" t="n">
        <v>0</v>
      </c>
      <c r="N2" s="28" t="n">
        <v>0</v>
      </c>
      <c r="O2" s="28" t="n">
        <v>0</v>
      </c>
      <c r="P2" s="28" t="n">
        <v>0</v>
      </c>
      <c r="Q2" s="28" t="n">
        <v>0</v>
      </c>
      <c r="R2" s="28" t="n">
        <v>0</v>
      </c>
      <c r="S2" s="28" t="n">
        <v>0</v>
      </c>
      <c r="T2" s="28" t="n">
        <v>0</v>
      </c>
      <c r="U2" s="28" t="n">
        <v>0</v>
      </c>
      <c r="V2" s="28" t="n">
        <v>0</v>
      </c>
      <c r="W2" s="28" t="n">
        <v>0</v>
      </c>
      <c r="X2" s="28" t="n">
        <v>0</v>
      </c>
      <c r="Y2" s="28" t="n">
        <v>0</v>
      </c>
      <c r="Z2" s="28" t="n">
        <v>0</v>
      </c>
      <c r="AA2" s="28" t="n">
        <v>0</v>
      </c>
      <c r="AB2" s="28" t="n">
        <v>0</v>
      </c>
      <c r="AC2" s="28" t="n">
        <v>0</v>
      </c>
      <c r="AD2" s="28" t="n">
        <v>0</v>
      </c>
      <c r="AE2" s="28" t="n">
        <v>0</v>
      </c>
      <c r="AF2" s="28" t="n">
        <v>0</v>
      </c>
      <c r="AG2" s="28" t="n">
        <v>0</v>
      </c>
      <c r="AH2" s="28" t="n">
        <v>0</v>
      </c>
      <c r="AI2" s="28" t="n">
        <v>0</v>
      </c>
      <c r="AJ2" s="28" t="n">
        <v>0</v>
      </c>
      <c r="AK2" s="28" t="n">
        <v>0</v>
      </c>
      <c r="AL2" s="28" t="n">
        <v>0</v>
      </c>
      <c r="AM2" s="28" t="n">
        <v>0</v>
      </c>
      <c r="AN2" s="28" t="n">
        <v>0</v>
      </c>
      <c r="AO2" s="28" t="n">
        <v>0</v>
      </c>
      <c r="AP2" s="28" t="n">
        <v>0</v>
      </c>
      <c r="AQ2" s="28" t="n">
        <v>0</v>
      </c>
      <c r="AR2" s="28" t="n">
        <v>0</v>
      </c>
      <c r="AS2" s="28" t="n">
        <v>0</v>
      </c>
      <c r="AT2" s="28" t="n">
        <v>0</v>
      </c>
      <c r="AU2" s="28" t="n">
        <v>0</v>
      </c>
      <c r="AV2" s="28" t="n">
        <v>0</v>
      </c>
      <c r="AW2" s="28" t="n">
        <v>0</v>
      </c>
      <c r="AX2" s="28" t="n">
        <v>0</v>
      </c>
      <c r="AY2" s="28" t="n">
        <v>0</v>
      </c>
      <c r="AZ2" s="28" t="n">
        <v>0</v>
      </c>
      <c r="BA2" s="28" t="n">
        <v>0</v>
      </c>
      <c r="BB2" s="28" t="n">
        <v>0</v>
      </c>
      <c r="BC2" s="28" t="n">
        <v>0</v>
      </c>
      <c r="BD2" s="28" t="n">
        <v>0</v>
      </c>
      <c r="BE2" s="28" t="n">
        <v>0</v>
      </c>
      <c r="BF2" s="28" t="n">
        <v>0</v>
      </c>
      <c r="BG2" s="28" t="n">
        <v>0</v>
      </c>
      <c r="BH2" s="28" t="n">
        <v>0</v>
      </c>
      <c r="BI2" s="28" t="n">
        <v>0</v>
      </c>
      <c r="BJ2" s="28" t="n">
        <v>0</v>
      </c>
      <c r="BK2" s="28" t="n">
        <v>0</v>
      </c>
      <c r="BL2" s="28" t="n">
        <v>0</v>
      </c>
      <c r="BM2" s="28" t="n">
        <v>0</v>
      </c>
      <c r="BN2" s="28" t="n">
        <v>0</v>
      </c>
      <c r="BO2" s="28" t="n">
        <v>0</v>
      </c>
      <c r="BP2" s="28" t="n">
        <v>0</v>
      </c>
      <c r="BQ2" s="28" t="n">
        <v>0</v>
      </c>
      <c r="BR2" s="28" t="n">
        <v>0</v>
      </c>
      <c r="BS2" s="28" t="n">
        <v>0</v>
      </c>
      <c r="BT2" s="28" t="n">
        <v>0</v>
      </c>
      <c r="BU2" s="28" t="n">
        <v>0</v>
      </c>
      <c r="BV2" s="28" t="n">
        <v>0</v>
      </c>
      <c r="BW2" s="28" t="n">
        <v>0</v>
      </c>
      <c r="BX2" s="28" t="n">
        <v>0</v>
      </c>
      <c r="BY2" s="28" t="n">
        <v>0</v>
      </c>
      <c r="BZ2" s="28" t="n">
        <v>0</v>
      </c>
      <c r="CA2" s="28" t="n">
        <v>0</v>
      </c>
      <c r="CB2" s="28" t="n">
        <v>0</v>
      </c>
      <c r="CC2" s="28" t="n">
        <v>0</v>
      </c>
      <c r="CD2" s="28" t="n">
        <v>0</v>
      </c>
      <c r="CE2" s="28" t="n">
        <v>0</v>
      </c>
      <c r="CF2" s="28" t="n">
        <v>0</v>
      </c>
      <c r="CG2" s="28" t="n">
        <v>0</v>
      </c>
      <c r="CH2" s="28" t="n">
        <v>0</v>
      </c>
      <c r="CI2" s="28" t="n">
        <v>0</v>
      </c>
      <c r="CJ2" s="28" t="n">
        <v>0</v>
      </c>
      <c r="CK2" s="28" t="n">
        <v>0</v>
      </c>
      <c r="CL2" s="28" t="n">
        <v>0</v>
      </c>
      <c r="CM2" s="28" t="n">
        <v>0</v>
      </c>
      <c r="CN2" s="28" t="n">
        <v>0</v>
      </c>
      <c r="CO2" s="28" t="n">
        <v>0</v>
      </c>
      <c r="CP2" s="28" t="n">
        <v>0</v>
      </c>
      <c r="CQ2" s="28" t="n">
        <v>0</v>
      </c>
      <c r="CR2" s="28" t="n">
        <v>0</v>
      </c>
      <c r="CS2" s="28" t="n">
        <v>0</v>
      </c>
      <c r="CT2" s="28" t="n">
        <v>0</v>
      </c>
      <c r="CU2" s="28" t="n">
        <v>0</v>
      </c>
      <c r="CV2" s="28" t="n">
        <v>0</v>
      </c>
      <c r="CW2" s="28" t="n">
        <v>0</v>
      </c>
      <c r="CX2" s="28" t="n">
        <v>0</v>
      </c>
      <c r="CY2" s="28" t="n">
        <v>0</v>
      </c>
      <c r="CZ2" s="28" t="n">
        <v>0</v>
      </c>
      <c r="DA2" s="28" t="n">
        <v>0</v>
      </c>
    </row>
    <row r="3">
      <c r="A3" t="inlineStr">
        <is>
          <t>TSP-050</t>
        </is>
      </c>
      <c r="B3" s="28" t="n">
        <v>0</v>
      </c>
      <c r="C3" s="28" t="n">
        <v>0</v>
      </c>
      <c r="D3" s="28" t="n">
        <v>0</v>
      </c>
      <c r="E3" s="28" t="n">
        <v>0</v>
      </c>
      <c r="F3" s="28" t="n">
        <v>0</v>
      </c>
      <c r="G3" s="2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0</v>
      </c>
      <c r="P3" s="28" t="n">
        <v>0</v>
      </c>
      <c r="Q3" s="28" t="n">
        <v>0</v>
      </c>
      <c r="R3" s="28" t="n">
        <v>0</v>
      </c>
      <c r="S3" s="28" t="n">
        <v>0</v>
      </c>
      <c r="T3" s="28" t="n">
        <v>0</v>
      </c>
      <c r="U3" s="28" t="n">
        <v>0</v>
      </c>
      <c r="V3" s="28" t="n">
        <v>0</v>
      </c>
      <c r="W3" s="28" t="n">
        <v>0</v>
      </c>
      <c r="X3" s="28" t="n">
        <v>0</v>
      </c>
      <c r="Y3" s="28" t="n">
        <v>0</v>
      </c>
      <c r="Z3" s="28" t="n">
        <v>0</v>
      </c>
      <c r="AA3" s="28" t="n">
        <v>0</v>
      </c>
      <c r="AB3" s="28" t="n">
        <v>0</v>
      </c>
      <c r="AC3" s="28" t="n">
        <v>0</v>
      </c>
      <c r="AD3" s="28" t="n">
        <v>0</v>
      </c>
      <c r="AE3" s="28" t="n">
        <v>0</v>
      </c>
      <c r="AF3" s="28" t="n">
        <v>0</v>
      </c>
      <c r="AG3" s="28" t="n">
        <v>0</v>
      </c>
      <c r="AH3" s="28" t="n">
        <v>0</v>
      </c>
      <c r="AI3" s="28" t="n">
        <v>0</v>
      </c>
      <c r="AJ3" s="28" t="n">
        <v>0</v>
      </c>
      <c r="AK3" s="28" t="n">
        <v>0</v>
      </c>
      <c r="AL3" s="28" t="n">
        <v>0</v>
      </c>
      <c r="AM3" s="28" t="n">
        <v>0</v>
      </c>
      <c r="AN3" s="28" t="n">
        <v>0</v>
      </c>
      <c r="AO3" s="28" t="n">
        <v>0</v>
      </c>
      <c r="AP3" s="28" t="n">
        <v>0</v>
      </c>
      <c r="AQ3" s="28" t="n">
        <v>0</v>
      </c>
      <c r="AR3" s="28" t="n">
        <v>0</v>
      </c>
      <c r="AS3" s="28" t="n">
        <v>0</v>
      </c>
      <c r="AT3" s="28" t="n">
        <v>0</v>
      </c>
      <c r="AU3" s="28" t="n">
        <v>0</v>
      </c>
      <c r="AV3" s="28" t="n">
        <v>0</v>
      </c>
      <c r="AW3" s="28" t="n">
        <v>0</v>
      </c>
      <c r="AX3" s="28" t="n">
        <v>0</v>
      </c>
      <c r="AY3" s="28" t="n">
        <v>0</v>
      </c>
      <c r="AZ3" s="28" t="n">
        <v>0</v>
      </c>
      <c r="BA3" s="28" t="n">
        <v>0</v>
      </c>
      <c r="BB3" s="28" t="n">
        <v>0</v>
      </c>
      <c r="BC3" s="28" t="n">
        <v>0</v>
      </c>
      <c r="BD3" s="28" t="n">
        <v>0</v>
      </c>
      <c r="BE3" s="28" t="n">
        <v>0</v>
      </c>
      <c r="BF3" s="28" t="n">
        <v>0</v>
      </c>
      <c r="BG3" s="28" t="n">
        <v>0</v>
      </c>
      <c r="BH3" s="28" t="n">
        <v>0</v>
      </c>
      <c r="BI3" s="28" t="n">
        <v>0</v>
      </c>
      <c r="BJ3" s="28" t="n">
        <v>0</v>
      </c>
      <c r="BK3" s="28" t="n">
        <v>0</v>
      </c>
      <c r="BL3" s="28" t="n">
        <v>0</v>
      </c>
      <c r="BM3" s="28" t="n">
        <v>0</v>
      </c>
      <c r="BN3" s="28" t="n">
        <v>0</v>
      </c>
      <c r="BO3" s="28" t="n">
        <v>0</v>
      </c>
      <c r="BP3" s="28" t="n">
        <v>0</v>
      </c>
      <c r="BQ3" s="28" t="n">
        <v>0</v>
      </c>
      <c r="BR3" s="28" t="n">
        <v>0</v>
      </c>
      <c r="BS3" s="28" t="n">
        <v>0</v>
      </c>
      <c r="BT3" s="28" t="n">
        <v>0</v>
      </c>
      <c r="BU3" s="28" t="n">
        <v>0</v>
      </c>
      <c r="BV3" s="28" t="n">
        <v>0</v>
      </c>
      <c r="BW3" s="28" t="n">
        <v>0</v>
      </c>
      <c r="BX3" s="28" t="n">
        <v>0</v>
      </c>
      <c r="BY3" s="28" t="n">
        <v>0</v>
      </c>
      <c r="BZ3" s="28" t="n">
        <v>0</v>
      </c>
      <c r="CA3" s="28" t="n">
        <v>0</v>
      </c>
      <c r="CB3" s="28" t="n">
        <v>0</v>
      </c>
      <c r="CC3" s="28" t="n">
        <v>0</v>
      </c>
      <c r="CD3" s="28" t="n">
        <v>0</v>
      </c>
      <c r="CE3" s="28" t="n">
        <v>0</v>
      </c>
      <c r="CF3" s="28" t="n">
        <v>0</v>
      </c>
      <c r="CG3" s="28" t="n">
        <v>0</v>
      </c>
      <c r="CH3" s="28" t="n">
        <v>0</v>
      </c>
      <c r="CI3" s="28" t="n">
        <v>0</v>
      </c>
      <c r="CJ3" s="28" t="n">
        <v>0</v>
      </c>
      <c r="CK3" s="28" t="n">
        <v>0</v>
      </c>
      <c r="CL3" s="28" t="n">
        <v>0</v>
      </c>
      <c r="CM3" s="28" t="n">
        <v>0</v>
      </c>
      <c r="CN3" s="28" t="n">
        <v>0</v>
      </c>
      <c r="CO3" s="28" t="n">
        <v>0</v>
      </c>
      <c r="CP3" s="28" t="n">
        <v>0</v>
      </c>
      <c r="CQ3" s="28" t="n">
        <v>0</v>
      </c>
      <c r="CR3" s="28" t="n">
        <v>0</v>
      </c>
      <c r="CS3" s="28" t="n">
        <v>0</v>
      </c>
      <c r="CT3" s="28" t="n">
        <v>0</v>
      </c>
      <c r="CU3" s="28" t="n">
        <v>0</v>
      </c>
      <c r="CV3" s="28" t="n">
        <v>0</v>
      </c>
      <c r="CW3" s="28" t="n">
        <v>0</v>
      </c>
      <c r="CX3" s="28" t="n">
        <v>0</v>
      </c>
      <c r="CY3" s="28" t="n">
        <v>0</v>
      </c>
      <c r="CZ3" s="28" t="n">
        <v>0</v>
      </c>
      <c r="DA3" s="28" t="n">
        <v>0</v>
      </c>
    </row>
    <row r="4">
      <c r="A4" t="inlineStr">
        <is>
          <t>TSP-067</t>
        </is>
      </c>
      <c r="B4" s="28" t="n">
        <v>0</v>
      </c>
      <c r="C4" s="28" t="n">
        <v>0</v>
      </c>
      <c r="D4" s="28" t="n">
        <v>0</v>
      </c>
      <c r="E4" s="28" t="n">
        <v>0</v>
      </c>
      <c r="F4" s="28" t="n">
        <v>0</v>
      </c>
      <c r="G4" s="28" t="n">
        <v>0</v>
      </c>
      <c r="H4" s="28" t="n">
        <v>0</v>
      </c>
      <c r="I4" s="28" t="n">
        <v>0</v>
      </c>
      <c r="J4" s="28" t="n">
        <v>0</v>
      </c>
      <c r="K4" s="28" t="n">
        <v>0</v>
      </c>
      <c r="L4" s="28" t="n">
        <v>0</v>
      </c>
      <c r="M4" s="28" t="n">
        <v>0</v>
      </c>
      <c r="N4" s="28" t="n">
        <v>0</v>
      </c>
      <c r="O4" s="28" t="n">
        <v>0</v>
      </c>
      <c r="P4" s="28" t="n">
        <v>0</v>
      </c>
      <c r="Q4" s="28" t="n">
        <v>0</v>
      </c>
      <c r="R4" s="28" t="n">
        <v>0</v>
      </c>
      <c r="S4" s="28" t="n">
        <v>0</v>
      </c>
      <c r="T4" s="28" t="n">
        <v>0</v>
      </c>
      <c r="U4" s="28" t="n">
        <v>0</v>
      </c>
      <c r="V4" s="28" t="n">
        <v>0</v>
      </c>
      <c r="W4" s="28" t="n">
        <v>0</v>
      </c>
      <c r="X4" s="28" t="n">
        <v>0</v>
      </c>
      <c r="Y4" s="28" t="n">
        <v>0</v>
      </c>
      <c r="Z4" s="28" t="n">
        <v>0</v>
      </c>
      <c r="AA4" s="28" t="n">
        <v>0</v>
      </c>
      <c r="AB4" s="28" t="n">
        <v>0</v>
      </c>
      <c r="AC4" s="28" t="n">
        <v>0</v>
      </c>
      <c r="AD4" s="28" t="n">
        <v>0</v>
      </c>
      <c r="AE4" s="28" t="n">
        <v>0</v>
      </c>
      <c r="AF4" s="28" t="n">
        <v>0</v>
      </c>
      <c r="AG4" s="28" t="n">
        <v>0</v>
      </c>
      <c r="AH4" s="28" t="n">
        <v>0</v>
      </c>
      <c r="AI4" s="28" t="n">
        <v>0</v>
      </c>
      <c r="AJ4" s="28" t="n">
        <v>0</v>
      </c>
      <c r="AK4" s="28" t="n">
        <v>0</v>
      </c>
      <c r="AL4" s="28" t="n">
        <v>0</v>
      </c>
      <c r="AM4" s="28" t="n">
        <v>0</v>
      </c>
      <c r="AN4" s="28" t="n">
        <v>0</v>
      </c>
      <c r="AO4" s="28" t="n">
        <v>0</v>
      </c>
      <c r="AP4" s="28" t="n">
        <v>0</v>
      </c>
      <c r="AQ4" s="28" t="n">
        <v>0</v>
      </c>
      <c r="AR4" s="28" t="n">
        <v>0</v>
      </c>
      <c r="AS4" s="28" t="n">
        <v>0</v>
      </c>
      <c r="AT4" s="28" t="n">
        <v>0</v>
      </c>
      <c r="AU4" s="28" t="n">
        <v>0</v>
      </c>
      <c r="AV4" s="28" t="n">
        <v>0</v>
      </c>
      <c r="AW4" s="28" t="n">
        <v>0</v>
      </c>
      <c r="AX4" s="28" t="n">
        <v>0</v>
      </c>
      <c r="AY4" s="28" t="n">
        <v>0</v>
      </c>
      <c r="AZ4" s="28" t="n">
        <v>0</v>
      </c>
      <c r="BA4" s="28" t="n">
        <v>0</v>
      </c>
      <c r="BB4" s="28" t="n">
        <v>0</v>
      </c>
      <c r="BC4" s="28" t="n">
        <v>0</v>
      </c>
      <c r="BD4" s="28" t="n">
        <v>0</v>
      </c>
      <c r="BE4" s="28" t="n">
        <v>0</v>
      </c>
      <c r="BF4" s="28" t="n">
        <v>0</v>
      </c>
      <c r="BG4" s="28" t="n">
        <v>0</v>
      </c>
      <c r="BH4" s="28" t="n">
        <v>0</v>
      </c>
      <c r="BI4" s="28" t="n">
        <v>0</v>
      </c>
      <c r="BJ4" s="28" t="n">
        <v>0</v>
      </c>
      <c r="BK4" s="28" t="n">
        <v>0</v>
      </c>
      <c r="BL4" s="28" t="n">
        <v>0</v>
      </c>
      <c r="BM4" s="28" t="n">
        <v>0</v>
      </c>
      <c r="BN4" s="28" t="n">
        <v>0</v>
      </c>
      <c r="BO4" s="28" t="n">
        <v>0</v>
      </c>
      <c r="BP4" s="28" t="n">
        <v>0</v>
      </c>
      <c r="BQ4" s="28" t="n">
        <v>0</v>
      </c>
      <c r="BR4" s="28" t="n">
        <v>0</v>
      </c>
      <c r="BS4" s="28" t="n">
        <v>0</v>
      </c>
      <c r="BT4" s="28" t="n">
        <v>0</v>
      </c>
      <c r="BU4" s="28" t="n">
        <v>0</v>
      </c>
      <c r="BV4" s="28" t="n">
        <v>0</v>
      </c>
      <c r="BW4" s="28" t="n">
        <v>0</v>
      </c>
      <c r="BX4" s="28" t="n">
        <v>0</v>
      </c>
      <c r="BY4" s="28" t="n">
        <v>0</v>
      </c>
      <c r="BZ4" s="28" t="n">
        <v>0</v>
      </c>
      <c r="CA4" s="28" t="n">
        <v>0</v>
      </c>
      <c r="CB4" s="28" t="n">
        <v>0</v>
      </c>
      <c r="CC4" s="28" t="n">
        <v>0</v>
      </c>
      <c r="CD4" s="28" t="n">
        <v>0</v>
      </c>
      <c r="CE4" s="28" t="n">
        <v>0</v>
      </c>
      <c r="CF4" s="28" t="n">
        <v>0</v>
      </c>
      <c r="CG4" s="28" t="n">
        <v>0</v>
      </c>
      <c r="CH4" s="28" t="n">
        <v>0</v>
      </c>
      <c r="CI4" s="28" t="n">
        <v>0</v>
      </c>
      <c r="CJ4" s="28" t="n">
        <v>0</v>
      </c>
      <c r="CK4" s="28" t="n">
        <v>0</v>
      </c>
      <c r="CL4" s="28" t="n">
        <v>0</v>
      </c>
      <c r="CM4" s="28" t="n">
        <v>0</v>
      </c>
      <c r="CN4" s="28" t="n">
        <v>0</v>
      </c>
      <c r="CO4" s="28" t="n">
        <v>0</v>
      </c>
      <c r="CP4" s="28" t="n">
        <v>0</v>
      </c>
      <c r="CQ4" s="28" t="n">
        <v>0</v>
      </c>
      <c r="CR4" s="28" t="n">
        <v>0</v>
      </c>
      <c r="CS4" s="28" t="n">
        <v>0</v>
      </c>
      <c r="CT4" s="28" t="n">
        <v>0</v>
      </c>
      <c r="CU4" s="28" t="n">
        <v>0</v>
      </c>
      <c r="CV4" s="28" t="n">
        <v>0</v>
      </c>
      <c r="CW4" s="28" t="n">
        <v>0</v>
      </c>
      <c r="CX4" s="28" t="n">
        <v>0</v>
      </c>
      <c r="CY4" s="28" t="n">
        <v>0</v>
      </c>
      <c r="CZ4" s="28" t="n">
        <v>0</v>
      </c>
      <c r="DA4" s="28" t="n">
        <v>0</v>
      </c>
    </row>
    <row r="5">
      <c r="A5" t="inlineStr">
        <is>
          <t>TSP-069</t>
        </is>
      </c>
      <c r="B5" s="28" t="n">
        <v>0</v>
      </c>
      <c r="C5" s="28" t="n">
        <v>0</v>
      </c>
      <c r="D5" s="28" t="n">
        <v>0</v>
      </c>
      <c r="E5" s="28" t="n">
        <v>0</v>
      </c>
      <c r="F5" s="28" t="n">
        <v>0</v>
      </c>
      <c r="G5" s="28" t="n">
        <v>0</v>
      </c>
      <c r="H5" s="28" t="n">
        <v>0</v>
      </c>
      <c r="I5" s="28" t="n">
        <v>0</v>
      </c>
      <c r="J5" s="28" t="n">
        <v>0</v>
      </c>
      <c r="K5" s="28" t="n">
        <v>0</v>
      </c>
      <c r="L5" s="28" t="n">
        <v>0</v>
      </c>
      <c r="M5" s="28" t="n">
        <v>0</v>
      </c>
      <c r="N5" s="28" t="n">
        <v>0</v>
      </c>
      <c r="O5" s="28" t="n">
        <v>0</v>
      </c>
      <c r="P5" s="28" t="n">
        <v>0</v>
      </c>
      <c r="Q5" s="28" t="n">
        <v>0</v>
      </c>
      <c r="R5" s="28" t="n">
        <v>0</v>
      </c>
      <c r="S5" s="28" t="n">
        <v>0</v>
      </c>
      <c r="T5" s="28" t="n">
        <v>0</v>
      </c>
      <c r="U5" s="28" t="n">
        <v>0</v>
      </c>
      <c r="V5" s="28" t="n">
        <v>0</v>
      </c>
      <c r="W5" s="28" t="n">
        <v>0</v>
      </c>
      <c r="X5" s="28" t="n">
        <v>0</v>
      </c>
      <c r="Y5" s="28" t="n">
        <v>0</v>
      </c>
      <c r="Z5" s="28" t="n">
        <v>0</v>
      </c>
      <c r="AA5" s="28" t="n">
        <v>0</v>
      </c>
      <c r="AB5" s="28" t="n">
        <v>0</v>
      </c>
      <c r="AC5" s="28" t="n">
        <v>0</v>
      </c>
      <c r="AD5" s="28" t="n">
        <v>0</v>
      </c>
      <c r="AE5" s="28" t="n">
        <v>0</v>
      </c>
      <c r="AF5" s="28" t="n">
        <v>0</v>
      </c>
      <c r="AG5" s="28" t="n">
        <v>0</v>
      </c>
      <c r="AH5" s="28" t="n">
        <v>0</v>
      </c>
      <c r="AI5" s="28" t="n">
        <v>0</v>
      </c>
      <c r="AJ5" s="28" t="n">
        <v>0</v>
      </c>
      <c r="AK5" s="28" t="n">
        <v>0</v>
      </c>
      <c r="AL5" s="28" t="n">
        <v>0</v>
      </c>
      <c r="AM5" s="28" t="n">
        <v>0</v>
      </c>
      <c r="AN5" s="28" t="n">
        <v>0</v>
      </c>
      <c r="AO5" s="28" t="n">
        <v>0</v>
      </c>
      <c r="AP5" s="28" t="n">
        <v>0</v>
      </c>
      <c r="AQ5" s="28" t="n">
        <v>0</v>
      </c>
      <c r="AR5" s="28" t="n">
        <v>0</v>
      </c>
      <c r="AS5" s="28" t="n">
        <v>0</v>
      </c>
      <c r="AT5" s="28" t="n">
        <v>0</v>
      </c>
      <c r="AU5" s="28" t="n">
        <v>0</v>
      </c>
      <c r="AV5" s="28" t="n">
        <v>0</v>
      </c>
      <c r="AW5" s="28" t="n">
        <v>0</v>
      </c>
      <c r="AX5" s="28" t="n">
        <v>0</v>
      </c>
      <c r="AY5" s="28" t="n">
        <v>0</v>
      </c>
      <c r="AZ5" s="28" t="n">
        <v>0</v>
      </c>
      <c r="BA5" s="28" t="n">
        <v>0</v>
      </c>
      <c r="BB5" s="28" t="n">
        <v>0</v>
      </c>
      <c r="BC5" s="28" t="n">
        <v>0</v>
      </c>
      <c r="BD5" s="28" t="n">
        <v>0</v>
      </c>
      <c r="BE5" s="28" t="n">
        <v>0</v>
      </c>
      <c r="BF5" s="28" t="n">
        <v>0</v>
      </c>
      <c r="BG5" s="28" t="n">
        <v>0</v>
      </c>
      <c r="BH5" s="28" t="n">
        <v>0</v>
      </c>
      <c r="BI5" s="28" t="n">
        <v>0</v>
      </c>
      <c r="BJ5" s="28" t="n">
        <v>0</v>
      </c>
      <c r="BK5" s="28" t="n">
        <v>0</v>
      </c>
      <c r="BL5" s="28" t="n">
        <v>0</v>
      </c>
      <c r="BM5" s="28" t="n">
        <v>0</v>
      </c>
      <c r="BN5" s="28" t="n">
        <v>0</v>
      </c>
      <c r="BO5" s="28" t="n">
        <v>0</v>
      </c>
      <c r="BP5" s="28" t="n">
        <v>0</v>
      </c>
      <c r="BQ5" s="28" t="n">
        <v>0</v>
      </c>
      <c r="BR5" s="28" t="n">
        <v>0</v>
      </c>
      <c r="BS5" s="28" t="n">
        <v>0</v>
      </c>
      <c r="BT5" s="28" t="n">
        <v>0</v>
      </c>
      <c r="BU5" s="28" t="n">
        <v>0</v>
      </c>
      <c r="BV5" s="28" t="n">
        <v>0</v>
      </c>
      <c r="BW5" s="28" t="n">
        <v>0</v>
      </c>
      <c r="BX5" s="28" t="n">
        <v>0</v>
      </c>
      <c r="BY5" s="28" t="n">
        <v>0</v>
      </c>
      <c r="BZ5" s="28" t="n">
        <v>0</v>
      </c>
      <c r="CA5" s="28" t="n">
        <v>0</v>
      </c>
      <c r="CB5" s="28" t="n">
        <v>0</v>
      </c>
      <c r="CC5" s="28" t="n">
        <v>0</v>
      </c>
      <c r="CD5" s="28" t="n">
        <v>0</v>
      </c>
      <c r="CE5" s="28" t="n">
        <v>0</v>
      </c>
      <c r="CF5" s="28" t="n">
        <v>0</v>
      </c>
      <c r="CG5" s="28" t="n">
        <v>0</v>
      </c>
      <c r="CH5" s="28" t="n">
        <v>0</v>
      </c>
      <c r="CI5" s="28" t="n">
        <v>0</v>
      </c>
      <c r="CJ5" s="28" t="n">
        <v>0</v>
      </c>
      <c r="CK5" s="28" t="n">
        <v>0</v>
      </c>
      <c r="CL5" s="28" t="n">
        <v>0</v>
      </c>
      <c r="CM5" s="28" t="n">
        <v>0</v>
      </c>
      <c r="CN5" s="28" t="n">
        <v>0</v>
      </c>
      <c r="CO5" s="28" t="n">
        <v>0</v>
      </c>
      <c r="CP5" s="28" t="n">
        <v>0</v>
      </c>
      <c r="CQ5" s="28" t="n">
        <v>0</v>
      </c>
      <c r="CR5" s="28" t="n">
        <v>0</v>
      </c>
      <c r="CS5" s="28" t="n">
        <v>0</v>
      </c>
      <c r="CT5" s="28" t="n">
        <v>0</v>
      </c>
      <c r="CU5" s="28" t="n">
        <v>0</v>
      </c>
      <c r="CV5" s="28" t="n">
        <v>0</v>
      </c>
      <c r="CW5" s="28" t="n">
        <v>0</v>
      </c>
      <c r="CX5" s="28" t="n">
        <v>0</v>
      </c>
      <c r="CY5" s="28" t="n">
        <v>0</v>
      </c>
      <c r="CZ5" s="28" t="n">
        <v>0</v>
      </c>
      <c r="DA5" s="28" t="n">
        <v>0</v>
      </c>
    </row>
    <row r="6">
      <c r="A6" t="inlineStr">
        <is>
          <t>TSP-078</t>
        </is>
      </c>
      <c r="B6" s="28" t="n">
        <v>0</v>
      </c>
      <c r="C6" s="28" t="n">
        <v>0</v>
      </c>
      <c r="D6" s="28" t="n">
        <v>0</v>
      </c>
      <c r="E6" s="28" t="n">
        <v>0</v>
      </c>
      <c r="F6" s="28" t="n">
        <v>0</v>
      </c>
      <c r="G6" s="28" t="n">
        <v>0</v>
      </c>
      <c r="H6" s="28" t="n">
        <v>0</v>
      </c>
      <c r="I6" s="28" t="n">
        <v>0</v>
      </c>
      <c r="J6" s="28" t="n">
        <v>0</v>
      </c>
      <c r="K6" s="28" t="n">
        <v>0</v>
      </c>
      <c r="L6" s="28" t="n">
        <v>0</v>
      </c>
      <c r="M6" s="28" t="n">
        <v>0</v>
      </c>
      <c r="N6" s="28" t="n">
        <v>0</v>
      </c>
      <c r="O6" s="28" t="n">
        <v>0</v>
      </c>
      <c r="P6" s="28" t="n">
        <v>0</v>
      </c>
      <c r="Q6" s="28" t="n">
        <v>0</v>
      </c>
      <c r="R6" s="28" t="n">
        <v>0</v>
      </c>
      <c r="S6" s="28" t="n">
        <v>0</v>
      </c>
      <c r="T6" s="28" t="n">
        <v>0</v>
      </c>
      <c r="U6" s="28" t="n">
        <v>0</v>
      </c>
      <c r="V6" s="28" t="n">
        <v>0</v>
      </c>
      <c r="W6" s="28" t="n">
        <v>0</v>
      </c>
      <c r="X6" s="28" t="n">
        <v>0</v>
      </c>
      <c r="Y6" s="28" t="n">
        <v>0</v>
      </c>
      <c r="Z6" s="28" t="n">
        <v>0</v>
      </c>
      <c r="AA6" s="28" t="n">
        <v>0</v>
      </c>
      <c r="AB6" s="28" t="n">
        <v>0</v>
      </c>
      <c r="AC6" s="28" t="n">
        <v>0</v>
      </c>
      <c r="AD6" s="28" t="n">
        <v>0</v>
      </c>
      <c r="AE6" s="28" t="n">
        <v>0</v>
      </c>
      <c r="AF6" s="28" t="n">
        <v>0</v>
      </c>
      <c r="AG6" s="28" t="n">
        <v>0</v>
      </c>
      <c r="AH6" s="28" t="n">
        <v>0</v>
      </c>
      <c r="AI6" s="28" t="n">
        <v>0</v>
      </c>
      <c r="AJ6" s="28" t="n">
        <v>0</v>
      </c>
      <c r="AK6" s="28" t="n">
        <v>0</v>
      </c>
      <c r="AL6" s="28" t="n">
        <v>0</v>
      </c>
      <c r="AM6" s="28" t="n">
        <v>0</v>
      </c>
      <c r="AN6" s="28" t="n">
        <v>0</v>
      </c>
      <c r="AO6" s="28" t="n">
        <v>0</v>
      </c>
      <c r="AP6" s="28" t="n">
        <v>0</v>
      </c>
      <c r="AQ6" s="28" t="n">
        <v>0</v>
      </c>
      <c r="AR6" s="28" t="n">
        <v>0</v>
      </c>
      <c r="AS6" s="28" t="n">
        <v>0</v>
      </c>
      <c r="AT6" s="28" t="n">
        <v>0</v>
      </c>
      <c r="AU6" s="28" t="n">
        <v>0</v>
      </c>
      <c r="AV6" s="28" t="n">
        <v>0</v>
      </c>
      <c r="AW6" s="28" t="n">
        <v>0</v>
      </c>
      <c r="AX6" s="28" t="n">
        <v>0</v>
      </c>
      <c r="AY6" s="28" t="n">
        <v>0</v>
      </c>
      <c r="AZ6" s="28" t="n">
        <v>0</v>
      </c>
      <c r="BA6" s="28" t="n">
        <v>0</v>
      </c>
      <c r="BB6" s="28" t="n">
        <v>0</v>
      </c>
      <c r="BC6" s="28" t="n">
        <v>0</v>
      </c>
      <c r="BD6" s="28" t="n">
        <v>0</v>
      </c>
      <c r="BE6" s="28" t="n">
        <v>0</v>
      </c>
      <c r="BF6" s="28" t="n">
        <v>0</v>
      </c>
      <c r="BG6" s="28" t="n">
        <v>0</v>
      </c>
      <c r="BH6" s="28" t="n">
        <v>0</v>
      </c>
      <c r="BI6" s="28" t="n">
        <v>0</v>
      </c>
      <c r="BJ6" s="28" t="n">
        <v>0</v>
      </c>
      <c r="BK6" s="28" t="n">
        <v>0</v>
      </c>
      <c r="BL6" s="28" t="n">
        <v>0</v>
      </c>
      <c r="BM6" s="28" t="n">
        <v>0</v>
      </c>
      <c r="BN6" s="28" t="n">
        <v>0</v>
      </c>
      <c r="BO6" s="28" t="n">
        <v>0</v>
      </c>
      <c r="BP6" s="28" t="n">
        <v>0</v>
      </c>
      <c r="BQ6" s="28" t="n">
        <v>0</v>
      </c>
      <c r="BR6" s="28" t="n">
        <v>0</v>
      </c>
      <c r="BS6" s="28" t="n">
        <v>0</v>
      </c>
      <c r="BT6" s="28" t="n">
        <v>0</v>
      </c>
      <c r="BU6" s="28" t="n">
        <v>0</v>
      </c>
      <c r="BV6" s="28" t="n">
        <v>0</v>
      </c>
      <c r="BW6" s="28" t="n">
        <v>0</v>
      </c>
      <c r="BX6" s="28" t="n">
        <v>0</v>
      </c>
      <c r="BY6" s="28" t="n">
        <v>0</v>
      </c>
      <c r="BZ6" s="28" t="n">
        <v>0</v>
      </c>
      <c r="CA6" s="28" t="n">
        <v>0</v>
      </c>
      <c r="CB6" s="28" t="n">
        <v>0</v>
      </c>
      <c r="CC6" s="28" t="n">
        <v>0</v>
      </c>
      <c r="CD6" s="28" t="n">
        <v>0</v>
      </c>
      <c r="CE6" s="28" t="n">
        <v>0</v>
      </c>
      <c r="CF6" s="28" t="n">
        <v>0</v>
      </c>
      <c r="CG6" s="28" t="n">
        <v>0</v>
      </c>
      <c r="CH6" s="28" t="n">
        <v>0</v>
      </c>
      <c r="CI6" s="28" t="n">
        <v>0</v>
      </c>
      <c r="CJ6" s="28" t="n">
        <v>0</v>
      </c>
      <c r="CK6" s="28" t="n">
        <v>0</v>
      </c>
      <c r="CL6" s="28" t="n">
        <v>0</v>
      </c>
      <c r="CM6" s="28" t="n">
        <v>0</v>
      </c>
      <c r="CN6" s="28" t="n">
        <v>0</v>
      </c>
      <c r="CO6" s="28" t="n">
        <v>0</v>
      </c>
      <c r="CP6" s="28" t="n">
        <v>0</v>
      </c>
      <c r="CQ6" s="28" t="n">
        <v>0</v>
      </c>
      <c r="CR6" s="28" t="n">
        <v>0</v>
      </c>
      <c r="CS6" s="28" t="n">
        <v>0</v>
      </c>
      <c r="CT6" s="28" t="n">
        <v>0</v>
      </c>
      <c r="CU6" s="28" t="n">
        <v>0</v>
      </c>
      <c r="CV6" s="28" t="n">
        <v>0</v>
      </c>
      <c r="CW6" s="28" t="n">
        <v>0</v>
      </c>
      <c r="CX6" s="28" t="n">
        <v>0</v>
      </c>
      <c r="CY6" s="28" t="n">
        <v>0</v>
      </c>
      <c r="CZ6" s="28" t="n">
        <v>0</v>
      </c>
      <c r="DA6" s="28" t="n">
        <v>0</v>
      </c>
    </row>
    <row r="7">
      <c r="A7" t="inlineStr">
        <is>
          <t>TSP-080</t>
        </is>
      </c>
      <c r="B7" s="28" t="n">
        <v>0</v>
      </c>
      <c r="C7" s="28" t="n">
        <v>0</v>
      </c>
      <c r="D7" s="28" t="n">
        <v>0</v>
      </c>
      <c r="E7" s="28" t="n">
        <v>0</v>
      </c>
      <c r="F7" s="28" t="n">
        <v>0</v>
      </c>
      <c r="G7" s="28" t="n">
        <v>0</v>
      </c>
      <c r="H7" s="28" t="n">
        <v>0</v>
      </c>
      <c r="I7" s="28" t="n">
        <v>0</v>
      </c>
      <c r="J7" s="28" t="n">
        <v>0</v>
      </c>
      <c r="K7" s="28" t="n">
        <v>0</v>
      </c>
      <c r="L7" s="28" t="n">
        <v>0</v>
      </c>
      <c r="M7" s="28" t="n">
        <v>0</v>
      </c>
      <c r="N7" s="28" t="n">
        <v>0</v>
      </c>
      <c r="O7" s="28" t="n">
        <v>0</v>
      </c>
      <c r="P7" s="28" t="n">
        <v>0</v>
      </c>
      <c r="Q7" s="28" t="n">
        <v>0</v>
      </c>
      <c r="R7" s="28" t="n">
        <v>0</v>
      </c>
      <c r="S7" s="28" t="n">
        <v>0</v>
      </c>
      <c r="T7" s="28" t="n">
        <v>0</v>
      </c>
      <c r="U7" s="28" t="n">
        <v>0</v>
      </c>
      <c r="V7" s="28" t="n">
        <v>0</v>
      </c>
      <c r="W7" s="28" t="n">
        <v>0</v>
      </c>
      <c r="X7" s="28" t="n">
        <v>0</v>
      </c>
      <c r="Y7" s="28" t="n">
        <v>0</v>
      </c>
      <c r="Z7" s="28" t="n">
        <v>0</v>
      </c>
      <c r="AA7" s="28" t="n">
        <v>0</v>
      </c>
      <c r="AB7" s="28" t="n">
        <v>0</v>
      </c>
      <c r="AC7" s="28" t="n">
        <v>0</v>
      </c>
      <c r="AD7" s="28" t="n">
        <v>0</v>
      </c>
      <c r="AE7" s="28" t="n">
        <v>0</v>
      </c>
      <c r="AF7" s="28" t="n">
        <v>0</v>
      </c>
      <c r="AG7" s="28" t="n">
        <v>0</v>
      </c>
      <c r="AH7" s="28" t="n">
        <v>0</v>
      </c>
      <c r="AI7" s="28" t="n">
        <v>0</v>
      </c>
      <c r="AJ7" s="28" t="n">
        <v>0</v>
      </c>
      <c r="AK7" s="28" t="n">
        <v>0</v>
      </c>
      <c r="AL7" s="28" t="n">
        <v>0</v>
      </c>
      <c r="AM7" s="28" t="n">
        <v>0</v>
      </c>
      <c r="AN7" s="28" t="n">
        <v>0</v>
      </c>
      <c r="AO7" s="28" t="n">
        <v>0</v>
      </c>
      <c r="AP7" s="28" t="n">
        <v>0</v>
      </c>
      <c r="AQ7" s="28" t="n">
        <v>0</v>
      </c>
      <c r="AR7" s="28" t="n">
        <v>0</v>
      </c>
      <c r="AS7" s="28" t="n">
        <v>0</v>
      </c>
      <c r="AT7" s="28" t="n">
        <v>0</v>
      </c>
      <c r="AU7" s="28" t="n">
        <v>0</v>
      </c>
      <c r="AV7" s="28" t="n">
        <v>0</v>
      </c>
      <c r="AW7" s="28" t="n">
        <v>0</v>
      </c>
      <c r="AX7" s="28" t="n">
        <v>0</v>
      </c>
      <c r="AY7" s="28" t="n">
        <v>0</v>
      </c>
      <c r="AZ7" s="28" t="n">
        <v>0</v>
      </c>
      <c r="BA7" s="28" t="n">
        <v>0</v>
      </c>
      <c r="BB7" s="28" t="n">
        <v>0</v>
      </c>
      <c r="BC7" s="28" t="n">
        <v>0</v>
      </c>
      <c r="BD7" s="28" t="n">
        <v>0</v>
      </c>
      <c r="BE7" s="28" t="n">
        <v>0</v>
      </c>
      <c r="BF7" s="28" t="n">
        <v>0</v>
      </c>
      <c r="BG7" s="28" t="n">
        <v>0</v>
      </c>
      <c r="BH7" s="28" t="n">
        <v>0</v>
      </c>
      <c r="BI7" s="28" t="n">
        <v>0</v>
      </c>
      <c r="BJ7" s="28" t="n">
        <v>0</v>
      </c>
      <c r="BK7" s="28" t="n">
        <v>0</v>
      </c>
      <c r="BL7" s="28" t="n">
        <v>0</v>
      </c>
      <c r="BM7" s="28" t="n">
        <v>0</v>
      </c>
      <c r="BN7" s="28" t="n">
        <v>0</v>
      </c>
      <c r="BO7" s="28" t="n">
        <v>0</v>
      </c>
      <c r="BP7" s="28" t="n">
        <v>0</v>
      </c>
      <c r="BQ7" s="28" t="n">
        <v>0</v>
      </c>
      <c r="BR7" s="28" t="n">
        <v>0</v>
      </c>
      <c r="BS7" s="28" t="n">
        <v>0</v>
      </c>
      <c r="BT7" s="28" t="n">
        <v>0</v>
      </c>
      <c r="BU7" s="28" t="n">
        <v>0</v>
      </c>
      <c r="BV7" s="28" t="n">
        <v>0</v>
      </c>
      <c r="BW7" s="28" t="n">
        <v>0</v>
      </c>
      <c r="BX7" s="28" t="n">
        <v>0</v>
      </c>
      <c r="BY7" s="28" t="n">
        <v>0</v>
      </c>
      <c r="BZ7" s="28" t="n">
        <v>0</v>
      </c>
      <c r="CA7" s="28" t="n">
        <v>0</v>
      </c>
      <c r="CB7" s="28" t="n">
        <v>0</v>
      </c>
      <c r="CC7" s="28" t="n">
        <v>0</v>
      </c>
      <c r="CD7" s="28" t="n">
        <v>0</v>
      </c>
      <c r="CE7" s="28" t="n">
        <v>0</v>
      </c>
      <c r="CF7" s="28" t="n">
        <v>0</v>
      </c>
      <c r="CG7" s="28" t="n">
        <v>0</v>
      </c>
      <c r="CH7" s="28" t="n">
        <v>0</v>
      </c>
      <c r="CI7" s="28" t="n">
        <v>0</v>
      </c>
      <c r="CJ7" s="28" t="n">
        <v>0</v>
      </c>
      <c r="CK7" s="28" t="n">
        <v>0</v>
      </c>
      <c r="CL7" s="28" t="n">
        <v>0</v>
      </c>
      <c r="CM7" s="28" t="n">
        <v>0</v>
      </c>
      <c r="CN7" s="28" t="n">
        <v>0</v>
      </c>
      <c r="CO7" s="28" t="n">
        <v>0</v>
      </c>
      <c r="CP7" s="28" t="n">
        <v>0</v>
      </c>
      <c r="CQ7" s="28" t="n">
        <v>0</v>
      </c>
      <c r="CR7" s="28" t="n">
        <v>0</v>
      </c>
      <c r="CS7" s="28" t="n">
        <v>0</v>
      </c>
      <c r="CT7" s="28" t="n">
        <v>0</v>
      </c>
      <c r="CU7" s="28" t="n">
        <v>0</v>
      </c>
      <c r="CV7" s="28" t="n">
        <v>0</v>
      </c>
      <c r="CW7" s="28" t="n">
        <v>0</v>
      </c>
      <c r="CX7" s="28" t="n">
        <v>0</v>
      </c>
      <c r="CY7" s="28" t="n">
        <v>0</v>
      </c>
      <c r="CZ7" s="28" t="n">
        <v>0</v>
      </c>
      <c r="DA7" s="28" t="n">
        <v>0</v>
      </c>
    </row>
    <row r="8">
      <c r="A8" t="inlineStr">
        <is>
          <t>TSP-104</t>
        </is>
      </c>
      <c r="B8" s="28" t="n">
        <v>0</v>
      </c>
      <c r="C8" s="28" t="n">
        <v>0</v>
      </c>
      <c r="D8" s="28" t="n">
        <v>0</v>
      </c>
      <c r="E8" s="28" t="n">
        <v>0</v>
      </c>
      <c r="F8" s="28" t="n">
        <v>0</v>
      </c>
      <c r="G8" s="28" t="n">
        <v>0</v>
      </c>
      <c r="H8" s="28" t="n">
        <v>0</v>
      </c>
      <c r="I8" s="28" t="n">
        <v>0</v>
      </c>
      <c r="J8" s="28" t="n">
        <v>0</v>
      </c>
      <c r="K8" s="28" t="n">
        <v>0</v>
      </c>
      <c r="L8" s="28" t="n">
        <v>0</v>
      </c>
      <c r="M8" s="28" t="n">
        <v>0</v>
      </c>
      <c r="N8" s="28" t="n">
        <v>0</v>
      </c>
      <c r="O8" s="28" t="n">
        <v>0</v>
      </c>
      <c r="P8" s="28" t="n">
        <v>0</v>
      </c>
      <c r="Q8" s="28" t="n">
        <v>0</v>
      </c>
      <c r="R8" s="28" t="n">
        <v>0</v>
      </c>
      <c r="S8" s="28" t="n">
        <v>0</v>
      </c>
      <c r="T8" s="28" t="n">
        <v>0</v>
      </c>
      <c r="U8" s="28" t="n">
        <v>0</v>
      </c>
      <c r="V8" s="28" t="n">
        <v>0</v>
      </c>
      <c r="W8" s="28" t="n">
        <v>0</v>
      </c>
      <c r="X8" s="28" t="n">
        <v>0</v>
      </c>
      <c r="Y8" s="28" t="n">
        <v>0</v>
      </c>
      <c r="Z8" s="28" t="n">
        <v>0</v>
      </c>
      <c r="AA8" s="28" t="n">
        <v>0</v>
      </c>
      <c r="AB8" s="28" t="n">
        <v>0</v>
      </c>
      <c r="AC8" s="28" t="n">
        <v>0</v>
      </c>
      <c r="AD8" s="28" t="n">
        <v>0</v>
      </c>
      <c r="AE8" s="28" t="n">
        <v>0</v>
      </c>
      <c r="AF8" s="28" t="n">
        <v>0</v>
      </c>
      <c r="AG8" s="28" t="n">
        <v>0</v>
      </c>
      <c r="AH8" s="28" t="n">
        <v>0</v>
      </c>
      <c r="AI8" s="28" t="n">
        <v>0</v>
      </c>
      <c r="AJ8" s="28" t="n">
        <v>0</v>
      </c>
      <c r="AK8" s="28" t="n">
        <v>0</v>
      </c>
      <c r="AL8" s="28" t="n">
        <v>0</v>
      </c>
      <c r="AM8" s="28" t="n">
        <v>0</v>
      </c>
      <c r="AN8" s="28" t="n">
        <v>0</v>
      </c>
      <c r="AO8" s="28" t="n">
        <v>0</v>
      </c>
      <c r="AP8" s="28" t="n">
        <v>0</v>
      </c>
      <c r="AQ8" s="28" t="n">
        <v>0</v>
      </c>
      <c r="AR8" s="28" t="n">
        <v>0</v>
      </c>
      <c r="AS8" s="28" t="n">
        <v>0</v>
      </c>
      <c r="AT8" s="28" t="n">
        <v>0</v>
      </c>
      <c r="AU8" s="28" t="n">
        <v>0</v>
      </c>
      <c r="AV8" s="28" t="n">
        <v>0</v>
      </c>
      <c r="AW8" s="28" t="n">
        <v>0</v>
      </c>
      <c r="AX8" s="28" t="n">
        <v>0</v>
      </c>
      <c r="AY8" s="28" t="n">
        <v>0</v>
      </c>
      <c r="AZ8" s="28" t="n">
        <v>0</v>
      </c>
      <c r="BA8" s="28" t="n">
        <v>0</v>
      </c>
      <c r="BB8" s="28" t="n">
        <v>0</v>
      </c>
      <c r="BC8" s="28" t="n">
        <v>0</v>
      </c>
      <c r="BD8" s="28" t="n">
        <v>0</v>
      </c>
      <c r="BE8" s="28" t="n">
        <v>0</v>
      </c>
      <c r="BF8" s="28" t="n">
        <v>0</v>
      </c>
      <c r="BG8" s="28" t="n">
        <v>0</v>
      </c>
      <c r="BH8" s="28" t="n">
        <v>0</v>
      </c>
      <c r="BI8" s="28" t="n">
        <v>0</v>
      </c>
      <c r="BJ8" s="28" t="n">
        <v>0</v>
      </c>
      <c r="BK8" s="28" t="n">
        <v>0</v>
      </c>
      <c r="BL8" s="28" t="n">
        <v>0</v>
      </c>
      <c r="BM8" s="28" t="n">
        <v>0</v>
      </c>
      <c r="BN8" s="28" t="n">
        <v>0</v>
      </c>
      <c r="BO8" s="28" t="n">
        <v>0</v>
      </c>
      <c r="BP8" s="28" t="n">
        <v>0</v>
      </c>
      <c r="BQ8" s="28" t="n">
        <v>0</v>
      </c>
      <c r="BR8" s="28" t="n">
        <v>0</v>
      </c>
      <c r="BS8" s="28" t="n">
        <v>0</v>
      </c>
      <c r="BT8" s="28" t="n">
        <v>0</v>
      </c>
      <c r="BU8" s="28" t="n">
        <v>0</v>
      </c>
      <c r="BV8" s="28" t="n">
        <v>0</v>
      </c>
      <c r="BW8" s="28" t="n">
        <v>0</v>
      </c>
      <c r="BX8" s="28" t="n">
        <v>0</v>
      </c>
      <c r="BY8" s="28" t="n">
        <v>0</v>
      </c>
      <c r="BZ8" s="28" t="n">
        <v>0</v>
      </c>
      <c r="CA8" s="28" t="n">
        <v>0</v>
      </c>
      <c r="CB8" s="28" t="n">
        <v>0</v>
      </c>
      <c r="CC8" s="28" t="n">
        <v>0</v>
      </c>
      <c r="CD8" s="28" t="n">
        <v>0</v>
      </c>
      <c r="CE8" s="28" t="n">
        <v>0</v>
      </c>
      <c r="CF8" s="28" t="n">
        <v>0</v>
      </c>
      <c r="CG8" s="28" t="n">
        <v>0</v>
      </c>
      <c r="CH8" s="28" t="n">
        <v>0</v>
      </c>
      <c r="CI8" s="28" t="n">
        <v>0</v>
      </c>
      <c r="CJ8" s="28" t="n">
        <v>0</v>
      </c>
      <c r="CK8" s="28" t="n">
        <v>0</v>
      </c>
      <c r="CL8" s="28" t="n">
        <v>0</v>
      </c>
      <c r="CM8" s="28" t="n">
        <v>0</v>
      </c>
      <c r="CN8" s="28" t="n">
        <v>0</v>
      </c>
      <c r="CO8" s="28" t="n">
        <v>0</v>
      </c>
      <c r="CP8" s="28" t="n">
        <v>0</v>
      </c>
      <c r="CQ8" s="28" t="n">
        <v>0</v>
      </c>
      <c r="CR8" s="28" t="n">
        <v>0</v>
      </c>
      <c r="CS8" s="28" t="n">
        <v>0</v>
      </c>
      <c r="CT8" s="28" t="n">
        <v>0</v>
      </c>
      <c r="CU8" s="28" t="n">
        <v>0</v>
      </c>
      <c r="CV8" s="28" t="n">
        <v>0</v>
      </c>
      <c r="CW8" s="28" t="n">
        <v>0</v>
      </c>
      <c r="CX8" s="28" t="n">
        <v>0</v>
      </c>
      <c r="CY8" s="28" t="n">
        <v>0</v>
      </c>
      <c r="CZ8" s="28" t="n">
        <v>0</v>
      </c>
      <c r="DA8" s="28" t="n">
        <v>0</v>
      </c>
    </row>
    <row r="9">
      <c r="A9" t="inlineStr">
        <is>
          <t>TSP-105</t>
        </is>
      </c>
      <c r="B9" s="28" t="n">
        <v>0</v>
      </c>
      <c r="C9" s="28" t="n">
        <v>0</v>
      </c>
      <c r="D9" s="28" t="n">
        <v>0</v>
      </c>
      <c r="E9" s="28" t="n">
        <v>0</v>
      </c>
      <c r="F9" s="28" t="n">
        <v>0</v>
      </c>
      <c r="G9" s="28" t="n">
        <v>0</v>
      </c>
      <c r="H9" s="28" t="n">
        <v>0</v>
      </c>
      <c r="I9" s="28" t="n">
        <v>0</v>
      </c>
      <c r="J9" s="28" t="n">
        <v>0</v>
      </c>
      <c r="K9" s="28" t="n">
        <v>0</v>
      </c>
      <c r="L9" s="28" t="n">
        <v>0</v>
      </c>
      <c r="M9" s="28" t="n">
        <v>0</v>
      </c>
      <c r="N9" s="28" t="n">
        <v>0</v>
      </c>
      <c r="O9" s="28" t="n">
        <v>0</v>
      </c>
      <c r="P9" s="28" t="n">
        <v>0</v>
      </c>
      <c r="Q9" s="28" t="n">
        <v>0</v>
      </c>
      <c r="R9" s="28" t="n">
        <v>0</v>
      </c>
      <c r="S9" s="28" t="n">
        <v>0</v>
      </c>
      <c r="T9" s="28" t="n">
        <v>0</v>
      </c>
      <c r="U9" s="28" t="n">
        <v>0</v>
      </c>
      <c r="V9" s="28" t="n">
        <v>0</v>
      </c>
      <c r="W9" s="28" t="n">
        <v>0</v>
      </c>
      <c r="X9" s="28" t="n">
        <v>0</v>
      </c>
      <c r="Y9" s="28" t="n">
        <v>0</v>
      </c>
      <c r="Z9" s="28" t="n">
        <v>0</v>
      </c>
      <c r="AA9" s="28" t="n">
        <v>0</v>
      </c>
      <c r="AB9" s="28" t="n">
        <v>0</v>
      </c>
      <c r="AC9" s="28" t="n">
        <v>0</v>
      </c>
      <c r="AD9" s="28" t="n">
        <v>0</v>
      </c>
      <c r="AE9" s="28" t="n">
        <v>0</v>
      </c>
      <c r="AF9" s="28" t="n">
        <v>0</v>
      </c>
      <c r="AG9" s="28" t="n">
        <v>0</v>
      </c>
      <c r="AH9" s="28" t="n">
        <v>0</v>
      </c>
      <c r="AI9" s="28" t="n">
        <v>0</v>
      </c>
      <c r="AJ9" s="28" t="n">
        <v>0</v>
      </c>
      <c r="AK9" s="28" t="n">
        <v>0</v>
      </c>
      <c r="AL9" s="28" t="n">
        <v>0</v>
      </c>
      <c r="AM9" s="28" t="n">
        <v>0</v>
      </c>
      <c r="AN9" s="28" t="n">
        <v>0</v>
      </c>
      <c r="AO9" s="28" t="n">
        <v>0</v>
      </c>
      <c r="AP9" s="28" t="n">
        <v>0</v>
      </c>
      <c r="AQ9" s="28" t="n">
        <v>0</v>
      </c>
      <c r="AR9" s="28" t="n">
        <v>0</v>
      </c>
      <c r="AS9" s="28" t="n">
        <v>0</v>
      </c>
      <c r="AT9" s="28" t="n">
        <v>0</v>
      </c>
      <c r="AU9" s="28" t="n">
        <v>0</v>
      </c>
      <c r="AV9" s="28" t="n">
        <v>0</v>
      </c>
      <c r="AW9" s="28" t="n">
        <v>0</v>
      </c>
      <c r="AX9" s="28" t="n">
        <v>0</v>
      </c>
      <c r="AY9" s="28" t="n">
        <v>0</v>
      </c>
      <c r="AZ9" s="28" t="n">
        <v>0</v>
      </c>
      <c r="BA9" s="28" t="n">
        <v>0</v>
      </c>
      <c r="BB9" s="28" t="n">
        <v>0</v>
      </c>
      <c r="BC9" s="28" t="n">
        <v>0</v>
      </c>
      <c r="BD9" s="28" t="n">
        <v>0</v>
      </c>
      <c r="BE9" s="28" t="n">
        <v>0</v>
      </c>
      <c r="BF9" s="28" t="n">
        <v>0</v>
      </c>
      <c r="BG9" s="28" t="n">
        <v>0</v>
      </c>
      <c r="BH9" s="28" t="n">
        <v>0</v>
      </c>
      <c r="BI9" s="28" t="n">
        <v>0</v>
      </c>
      <c r="BJ9" s="28" t="n">
        <v>0</v>
      </c>
      <c r="BK9" s="28" t="n">
        <v>0</v>
      </c>
      <c r="BL9" s="28" t="n">
        <v>0</v>
      </c>
      <c r="BM9" s="28" t="n">
        <v>0</v>
      </c>
      <c r="BN9" s="28" t="n">
        <v>0</v>
      </c>
      <c r="BO9" s="28" t="n">
        <v>0</v>
      </c>
      <c r="BP9" s="28" t="n">
        <v>0</v>
      </c>
      <c r="BQ9" s="28" t="n">
        <v>0</v>
      </c>
      <c r="BR9" s="28" t="n">
        <v>0</v>
      </c>
      <c r="BS9" s="28" t="n">
        <v>0</v>
      </c>
      <c r="BT9" s="28" t="n">
        <v>0</v>
      </c>
      <c r="BU9" s="28" t="n">
        <v>0</v>
      </c>
      <c r="BV9" s="28" t="n">
        <v>0</v>
      </c>
      <c r="BW9" s="28" t="n">
        <v>0</v>
      </c>
      <c r="BX9" s="28" t="n">
        <v>0</v>
      </c>
      <c r="BY9" s="28" t="n">
        <v>0</v>
      </c>
      <c r="BZ9" s="28" t="n">
        <v>0</v>
      </c>
      <c r="CA9" s="28" t="n">
        <v>0</v>
      </c>
      <c r="CB9" s="28" t="n">
        <v>0</v>
      </c>
      <c r="CC9" s="28" t="n">
        <v>0</v>
      </c>
      <c r="CD9" s="28" t="n">
        <v>0</v>
      </c>
      <c r="CE9" s="28" t="n">
        <v>0</v>
      </c>
      <c r="CF9" s="28" t="n">
        <v>0</v>
      </c>
      <c r="CG9" s="28" t="n">
        <v>0</v>
      </c>
      <c r="CH9" s="28" t="n">
        <v>0</v>
      </c>
      <c r="CI9" s="28" t="n">
        <v>0</v>
      </c>
      <c r="CJ9" s="28" t="n">
        <v>0</v>
      </c>
      <c r="CK9" s="28" t="n">
        <v>0</v>
      </c>
      <c r="CL9" s="28" t="n">
        <v>0</v>
      </c>
      <c r="CM9" s="28" t="n">
        <v>0</v>
      </c>
      <c r="CN9" s="28" t="n">
        <v>0</v>
      </c>
      <c r="CO9" s="28" t="n">
        <v>0</v>
      </c>
      <c r="CP9" s="28" t="n">
        <v>0</v>
      </c>
      <c r="CQ9" s="28" t="n">
        <v>0</v>
      </c>
      <c r="CR9" s="28" t="n">
        <v>0</v>
      </c>
      <c r="CS9" s="28" t="n">
        <v>0</v>
      </c>
      <c r="CT9" s="28" t="n">
        <v>0</v>
      </c>
      <c r="CU9" s="28" t="n">
        <v>0</v>
      </c>
      <c r="CV9" s="28" t="n">
        <v>0</v>
      </c>
      <c r="CW9" s="28" t="n">
        <v>0</v>
      </c>
      <c r="CX9" s="28" t="n">
        <v>0</v>
      </c>
      <c r="CY9" s="28" t="n">
        <v>0</v>
      </c>
      <c r="CZ9" s="28" t="n">
        <v>0</v>
      </c>
      <c r="DA9" s="28" t="n">
        <v>0</v>
      </c>
    </row>
    <row r="10">
      <c r="A10" t="inlineStr">
        <is>
          <t>TSP-1388</t>
        </is>
      </c>
      <c r="B10" s="28" t="n">
        <v>0</v>
      </c>
      <c r="C10" s="28" t="n">
        <v>0</v>
      </c>
      <c r="D10" s="28" t="n">
        <v>0</v>
      </c>
      <c r="E10" s="28" t="n">
        <v>0</v>
      </c>
      <c r="F10" s="28" t="n">
        <v>0</v>
      </c>
      <c r="G10" s="28" t="n">
        <v>0</v>
      </c>
      <c r="H10" s="28" t="n">
        <v>0</v>
      </c>
      <c r="I10" s="28" t="n">
        <v>0</v>
      </c>
      <c r="J10" s="28" t="n">
        <v>0</v>
      </c>
      <c r="K10" s="28" t="n">
        <v>0</v>
      </c>
      <c r="L10" s="28" t="n">
        <v>0</v>
      </c>
      <c r="M10" s="28" t="n">
        <v>0</v>
      </c>
      <c r="N10" s="28" t="n">
        <v>0</v>
      </c>
      <c r="O10" s="28" t="n">
        <v>0</v>
      </c>
      <c r="P10" s="28" t="n">
        <v>0</v>
      </c>
      <c r="Q10" s="28" t="n">
        <v>0</v>
      </c>
      <c r="R10" s="28" t="n">
        <v>0</v>
      </c>
      <c r="S10" s="28" t="n">
        <v>0</v>
      </c>
      <c r="T10" s="28" t="n">
        <v>0</v>
      </c>
      <c r="U10" s="28" t="n">
        <v>0</v>
      </c>
      <c r="V10" s="28" t="n">
        <v>0</v>
      </c>
      <c r="W10" s="28" t="n">
        <v>0</v>
      </c>
      <c r="X10" s="28" t="n">
        <v>4.84752501513953</v>
      </c>
      <c r="Y10" s="28" t="n">
        <v>1.189476793284051</v>
      </c>
      <c r="Z10" s="28" t="n">
        <v>0</v>
      </c>
      <c r="AA10" s="28" t="n">
        <v>2.423762507569765</v>
      </c>
      <c r="AB10" s="28" t="n">
        <v>3.232471942097165</v>
      </c>
      <c r="AC10" s="28" t="n">
        <v>0</v>
      </c>
      <c r="AD10" s="28" t="n">
        <v>1.189476793284051</v>
      </c>
      <c r="AE10" s="28" t="n">
        <v>3.277280863098829</v>
      </c>
      <c r="AF10" s="28" t="n">
        <v>2.468571428571428</v>
      </c>
      <c r="AG10" s="28" t="n">
        <v>2.423762507569765</v>
      </c>
      <c r="AH10" s="28" t="n">
        <v>3.658048221855479</v>
      </c>
      <c r="AI10" s="28" t="n">
        <v>4.466757656382879</v>
      </c>
      <c r="AJ10" s="28" t="n">
        <v>2.468571428571428</v>
      </c>
      <c r="AK10" s="28" t="n">
        <v>2.468571428571428</v>
      </c>
      <c r="AL10" s="28" t="n">
        <v>2.423762507569765</v>
      </c>
      <c r="AM10" s="28" t="n">
        <v>2.468571428571428</v>
      </c>
      <c r="AN10" s="28" t="n">
        <v>3.232471942097165</v>
      </c>
      <c r="AO10" s="28" t="n">
        <v>1.234285714285714</v>
      </c>
      <c r="AP10" s="28" t="n">
        <v>3.658048221855479</v>
      </c>
      <c r="AQ10" s="28" t="n">
        <v>3.658048221855479</v>
      </c>
      <c r="AR10" s="28" t="n">
        <v>3.232471942097165</v>
      </c>
      <c r="AS10" s="28" t="n">
        <v>4.84752501513953</v>
      </c>
      <c r="AT10" s="28" t="n">
        <v>4.466757656382879</v>
      </c>
      <c r="AU10" s="28" t="n">
        <v>4.892333936141194</v>
      </c>
      <c r="AV10" s="28" t="n">
        <v>5.701043370668594</v>
      </c>
      <c r="AW10" s="28" t="n">
        <v>4.466757656382879</v>
      </c>
      <c r="AX10" s="28" t="n">
        <v>3.658048221855479</v>
      </c>
      <c r="AY10" s="28" t="n">
        <v>4.466757656382879</v>
      </c>
      <c r="AZ10" s="28" t="n">
        <v>1.234285714285714</v>
      </c>
      <c r="BA10" s="28" t="n">
        <v>0</v>
      </c>
      <c r="BB10" s="28" t="n">
        <v>0</v>
      </c>
      <c r="BC10" s="28" t="n">
        <v>1.234285714285714</v>
      </c>
      <c r="BD10" s="28" t="n">
        <v>2.468571428571428</v>
      </c>
      <c r="BE10" s="28" t="n">
        <v>3.658048221855479</v>
      </c>
      <c r="BF10" s="28" t="n">
        <v>4.466757656382879</v>
      </c>
      <c r="BG10" s="28" t="n">
        <v>2.423762507569765</v>
      </c>
      <c r="BH10" s="28" t="n">
        <v>3.658048221855479</v>
      </c>
      <c r="BI10" s="28" t="n">
        <v>2.423762507569765</v>
      </c>
      <c r="BJ10" s="28" t="n">
        <v>2.042995148813114</v>
      </c>
      <c r="BK10" s="28" t="n">
        <v>2.423762507569765</v>
      </c>
      <c r="BL10" s="28" t="n">
        <v>2.468571428571428</v>
      </c>
      <c r="BM10" s="28" t="n">
        <v>1.234285714285714</v>
      </c>
      <c r="BN10" s="28" t="n">
        <v>1.234285714285714</v>
      </c>
      <c r="BO10" s="28" t="n">
        <v>2.431624960405448</v>
      </c>
      <c r="BP10" s="28" t="n">
        <v>0</v>
      </c>
      <c r="BQ10" s="28" t="n">
        <v>1.234285714285714</v>
      </c>
      <c r="BR10" s="28" t="n">
        <v>1.234285714285714</v>
      </c>
      <c r="BS10" s="28" t="n">
        <v>1.234285714285714</v>
      </c>
      <c r="BT10" s="28" t="n">
        <v>0</v>
      </c>
      <c r="BU10" s="28" t="n">
        <v>1.234285714285714</v>
      </c>
      <c r="BV10" s="28" t="n">
        <v>0.9257142857142857</v>
      </c>
      <c r="BW10" s="28" t="n">
        <v>0</v>
      </c>
      <c r="BX10" s="28" t="n">
        <v>0</v>
      </c>
      <c r="BY10" s="28" t="n">
        <v>0</v>
      </c>
      <c r="BZ10" s="28" t="n">
        <v>0</v>
      </c>
      <c r="CA10" s="28" t="n">
        <v>0</v>
      </c>
      <c r="CB10" s="28" t="n">
        <v>0</v>
      </c>
      <c r="CC10" s="28" t="n">
        <v>0</v>
      </c>
      <c r="CD10" s="28" t="n">
        <v>0</v>
      </c>
      <c r="CE10" s="28" t="n">
        <v>0</v>
      </c>
      <c r="CF10" s="28" t="n">
        <v>0</v>
      </c>
      <c r="CG10" s="28" t="n">
        <v>0</v>
      </c>
      <c r="CH10" s="28" t="n">
        <v>0</v>
      </c>
      <c r="CI10" s="28" t="n">
        <v>0</v>
      </c>
      <c r="CJ10" s="28" t="n">
        <v>0</v>
      </c>
      <c r="CK10" s="28" t="n">
        <v>0</v>
      </c>
      <c r="CL10" s="28" t="n">
        <v>0</v>
      </c>
      <c r="CM10" s="28" t="n">
        <v>0</v>
      </c>
      <c r="CN10" s="28" t="n">
        <v>0</v>
      </c>
      <c r="CO10" s="28" t="n">
        <v>0</v>
      </c>
      <c r="CP10" s="28" t="n">
        <v>0</v>
      </c>
      <c r="CQ10" s="28" t="n">
        <v>0</v>
      </c>
      <c r="CR10" s="28" t="n">
        <v>0</v>
      </c>
      <c r="CS10" s="28" t="n">
        <v>0</v>
      </c>
      <c r="CT10" s="28" t="n">
        <v>0</v>
      </c>
      <c r="CU10" s="28" t="n">
        <v>0</v>
      </c>
      <c r="CV10" s="28" t="n">
        <v>0</v>
      </c>
      <c r="CW10" s="28" t="n">
        <v>0</v>
      </c>
      <c r="CX10" s="28" t="n">
        <v>0</v>
      </c>
      <c r="CY10" s="28" t="n">
        <v>0</v>
      </c>
      <c r="CZ10" s="28" t="n">
        <v>0</v>
      </c>
      <c r="DA10" s="28" t="n">
        <v>0</v>
      </c>
    </row>
    <row r="11">
      <c r="A11" t="inlineStr">
        <is>
          <t>TSP-1444</t>
        </is>
      </c>
      <c r="B11" s="28" t="n">
        <v>0</v>
      </c>
      <c r="C11" s="28" t="n">
        <v>0</v>
      </c>
      <c r="D11" s="28" t="n">
        <v>0</v>
      </c>
      <c r="E11" s="28" t="n">
        <v>0</v>
      </c>
      <c r="F11" s="28" t="n">
        <v>0</v>
      </c>
      <c r="G11" s="28" t="n">
        <v>0</v>
      </c>
      <c r="H11" s="28" t="n">
        <v>0</v>
      </c>
      <c r="I11" s="28" t="n">
        <v>0</v>
      </c>
      <c r="J11" s="28" t="n">
        <v>0</v>
      </c>
      <c r="K11" s="28" t="n">
        <v>0</v>
      </c>
      <c r="L11" s="28" t="n">
        <v>0</v>
      </c>
      <c r="M11" s="28" t="n">
        <v>0</v>
      </c>
      <c r="N11" s="28" t="n">
        <v>0</v>
      </c>
      <c r="O11" s="28" t="n">
        <v>0</v>
      </c>
      <c r="P11" s="28" t="n">
        <v>0</v>
      </c>
      <c r="Q11" s="28" t="n">
        <v>0</v>
      </c>
      <c r="R11" s="28" t="n">
        <v>0</v>
      </c>
      <c r="S11" s="28" t="n">
        <v>0</v>
      </c>
      <c r="T11" s="28" t="n">
        <v>0</v>
      </c>
      <c r="U11" s="28" t="n">
        <v>0</v>
      </c>
      <c r="V11" s="28" t="n">
        <v>0</v>
      </c>
      <c r="W11" s="28" t="n">
        <v>0</v>
      </c>
      <c r="X11" s="28" t="n">
        <v>7.458075052893359</v>
      </c>
      <c r="Y11" s="28" t="n">
        <v>0</v>
      </c>
      <c r="Z11" s="28" t="n">
        <v>0</v>
      </c>
      <c r="AA11" s="28" t="n">
        <v>3.72903752644668</v>
      </c>
      <c r="AB11" s="28" t="n">
        <v>6.098185949208053</v>
      </c>
      <c r="AC11" s="28" t="n">
        <v>0</v>
      </c>
      <c r="AD11" s="28" t="n">
        <v>0</v>
      </c>
      <c r="AE11" s="28" t="n">
        <v>9.827223475654733</v>
      </c>
      <c r="AF11" s="28" t="n">
        <v>7.458075052893359</v>
      </c>
      <c r="AG11" s="28" t="n">
        <v>3.72903752644668</v>
      </c>
      <c r="AH11" s="28" t="n">
        <v>7.458075052893359</v>
      </c>
      <c r="AI11" s="28" t="n">
        <v>9.827223475654733</v>
      </c>
      <c r="AJ11" s="28" t="n">
        <v>7.458075052893359</v>
      </c>
      <c r="AK11" s="28" t="n">
        <v>7.458075052893359</v>
      </c>
      <c r="AL11" s="28" t="n">
        <v>3.72903752644668</v>
      </c>
      <c r="AM11" s="28" t="n">
        <v>7.458075052893359</v>
      </c>
      <c r="AN11" s="28" t="n">
        <v>6.098185949208053</v>
      </c>
      <c r="AO11" s="28" t="n">
        <v>3.72903752644668</v>
      </c>
      <c r="AP11" s="28" t="n">
        <v>7.458075052893359</v>
      </c>
      <c r="AQ11" s="28" t="n">
        <v>7.458075052893359</v>
      </c>
      <c r="AR11" s="28" t="n">
        <v>6.098185949208053</v>
      </c>
      <c r="AS11" s="28" t="n">
        <v>7.458075052893359</v>
      </c>
      <c r="AT11" s="28" t="n">
        <v>9.827223475654733</v>
      </c>
      <c r="AU11" s="28" t="n">
        <v>11.18711257934004</v>
      </c>
      <c r="AV11" s="28" t="n">
        <v>13.55626100210141</v>
      </c>
      <c r="AW11" s="28" t="n">
        <v>9.827223475654733</v>
      </c>
      <c r="AX11" s="28" t="n">
        <v>7.458075052893359</v>
      </c>
      <c r="AY11" s="28" t="n">
        <v>9.827223475654733</v>
      </c>
      <c r="AZ11" s="28" t="n">
        <v>3.72903752644668</v>
      </c>
      <c r="BA11" s="28" t="n">
        <v>0</v>
      </c>
      <c r="BB11" s="28" t="n">
        <v>0</v>
      </c>
      <c r="BC11" s="28" t="n">
        <v>3.72903752644668</v>
      </c>
      <c r="BD11" s="28" t="n">
        <v>7.458075052893359</v>
      </c>
      <c r="BE11" s="28" t="n">
        <v>7.458075052893359</v>
      </c>
      <c r="BF11" s="28" t="n">
        <v>9.827223475654733</v>
      </c>
      <c r="BG11" s="28" t="n">
        <v>3.72903752644668</v>
      </c>
      <c r="BH11" s="28" t="n">
        <v>7.458075052893359</v>
      </c>
      <c r="BI11" s="28" t="n">
        <v>3.72903752644668</v>
      </c>
      <c r="BJ11" s="28" t="n">
        <v>6.098185949208053</v>
      </c>
      <c r="BK11" s="28" t="n">
        <v>3.72903752644668</v>
      </c>
      <c r="BL11" s="28" t="n">
        <v>7.458075052893359</v>
      </c>
      <c r="BM11" s="28" t="n">
        <v>3.72903752644668</v>
      </c>
      <c r="BN11" s="28" t="n">
        <v>3.72903752644668</v>
      </c>
      <c r="BO11" s="28" t="n">
        <v>4.913611737827367</v>
      </c>
      <c r="BP11" s="28" t="n">
        <v>0</v>
      </c>
      <c r="BQ11" s="28" t="n">
        <v>3.72903752644668</v>
      </c>
      <c r="BR11" s="28" t="n">
        <v>3.72903752644668</v>
      </c>
      <c r="BS11" s="28" t="n">
        <v>3.72903752644668</v>
      </c>
      <c r="BT11" s="28" t="n">
        <v>0</v>
      </c>
      <c r="BU11" s="28" t="n">
        <v>3.72903752644668</v>
      </c>
      <c r="BV11" s="28" t="n">
        <v>2.79677814483501</v>
      </c>
      <c r="BW11" s="28" t="n">
        <v>0</v>
      </c>
      <c r="BX11" s="28" t="n">
        <v>0</v>
      </c>
      <c r="BY11" s="28" t="n">
        <v>0</v>
      </c>
      <c r="BZ11" s="28" t="n">
        <v>0</v>
      </c>
      <c r="CA11" s="28" t="n">
        <v>0</v>
      </c>
      <c r="CB11" s="28" t="n">
        <v>0</v>
      </c>
      <c r="CC11" s="28" t="n">
        <v>0</v>
      </c>
      <c r="CD11" s="28" t="n">
        <v>0</v>
      </c>
      <c r="CE11" s="28" t="n">
        <v>0</v>
      </c>
      <c r="CF11" s="28" t="n">
        <v>0</v>
      </c>
      <c r="CG11" s="28" t="n">
        <v>0</v>
      </c>
      <c r="CH11" s="28" t="n">
        <v>0</v>
      </c>
      <c r="CI11" s="28" t="n">
        <v>0</v>
      </c>
      <c r="CJ11" s="28" t="n">
        <v>0</v>
      </c>
      <c r="CK11" s="28" t="n">
        <v>0</v>
      </c>
      <c r="CL11" s="28" t="n">
        <v>0</v>
      </c>
      <c r="CM11" s="28" t="n">
        <v>0</v>
      </c>
      <c r="CN11" s="28" t="n">
        <v>0</v>
      </c>
      <c r="CO11" s="28" t="n">
        <v>0</v>
      </c>
      <c r="CP11" s="28" t="n">
        <v>0</v>
      </c>
      <c r="CQ11" s="28" t="n">
        <v>0</v>
      </c>
      <c r="CR11" s="28" t="n">
        <v>0</v>
      </c>
      <c r="CS11" s="28" t="n">
        <v>0</v>
      </c>
      <c r="CT11" s="28" t="n">
        <v>0</v>
      </c>
      <c r="CU11" s="28" t="n">
        <v>0</v>
      </c>
      <c r="CV11" s="28" t="n">
        <v>0</v>
      </c>
      <c r="CW11" s="28" t="n">
        <v>0</v>
      </c>
      <c r="CX11" s="28" t="n">
        <v>0</v>
      </c>
      <c r="CY11" s="28" t="n">
        <v>0</v>
      </c>
      <c r="CZ11" s="28" t="n">
        <v>0</v>
      </c>
      <c r="DA11" s="28" t="n">
        <v>0</v>
      </c>
    </row>
    <row r="12">
      <c r="A12" t="inlineStr">
        <is>
          <t>TSP-1445</t>
        </is>
      </c>
      <c r="B12" s="28" t="n">
        <v>0</v>
      </c>
      <c r="C12" s="28" t="n">
        <v>0</v>
      </c>
      <c r="D12" s="28" t="n">
        <v>0</v>
      </c>
      <c r="E12" s="28" t="n">
        <v>0</v>
      </c>
      <c r="F12" s="28" t="n">
        <v>0</v>
      </c>
      <c r="G12" s="28" t="n">
        <v>0</v>
      </c>
      <c r="H12" s="28" t="n">
        <v>0</v>
      </c>
      <c r="I12" s="28" t="n">
        <v>0</v>
      </c>
      <c r="J12" s="28" t="n">
        <v>0</v>
      </c>
      <c r="K12" s="28" t="n">
        <v>0</v>
      </c>
      <c r="L12" s="28" t="n">
        <v>0</v>
      </c>
      <c r="M12" s="28" t="n">
        <v>0</v>
      </c>
      <c r="N12" s="28" t="n">
        <v>0</v>
      </c>
      <c r="O12" s="28" t="n">
        <v>0</v>
      </c>
      <c r="P12" s="28" t="n">
        <v>0</v>
      </c>
      <c r="Q12" s="28" t="n">
        <v>0</v>
      </c>
      <c r="R12" s="28" t="n">
        <v>0</v>
      </c>
      <c r="S12" s="28" t="n">
        <v>0</v>
      </c>
      <c r="T12" s="28" t="n">
        <v>0</v>
      </c>
      <c r="U12" s="28" t="n">
        <v>0</v>
      </c>
      <c r="V12" s="28" t="n">
        <v>0</v>
      </c>
      <c r="W12" s="28" t="n">
        <v>0</v>
      </c>
      <c r="X12" s="28" t="n">
        <v>6.689372517092537</v>
      </c>
      <c r="Y12" s="28" t="n">
        <v>3.344686258546269</v>
      </c>
      <c r="Z12" s="28" t="n">
        <v>0</v>
      </c>
      <c r="AA12" s="28" t="n">
        <v>3.344686258546269</v>
      </c>
      <c r="AB12" s="28" t="n">
        <v>3.344686258546269</v>
      </c>
      <c r="AC12" s="28" t="n">
        <v>0</v>
      </c>
      <c r="AD12" s="28" t="n">
        <v>3.344686258546269</v>
      </c>
      <c r="AE12" s="28" t="n">
        <v>0</v>
      </c>
      <c r="AF12" s="28" t="n">
        <v>1.114895419515423</v>
      </c>
      <c r="AG12" s="28" t="n">
        <v>3.344686258546269</v>
      </c>
      <c r="AH12" s="28" t="n">
        <v>3.344686258546269</v>
      </c>
      <c r="AI12" s="28" t="n">
        <v>3.344686258546269</v>
      </c>
      <c r="AJ12" s="28" t="n">
        <v>0</v>
      </c>
      <c r="AK12" s="28" t="n">
        <v>0</v>
      </c>
      <c r="AL12" s="28" t="n">
        <v>3.344686258546269</v>
      </c>
      <c r="AM12" s="28" t="n">
        <v>0</v>
      </c>
      <c r="AN12" s="28" t="n">
        <v>3.344686258546269</v>
      </c>
      <c r="AO12" s="28" t="n">
        <v>0</v>
      </c>
      <c r="AP12" s="28" t="n">
        <v>3.344686258546269</v>
      </c>
      <c r="AQ12" s="28" t="n">
        <v>3.344686258546269</v>
      </c>
      <c r="AR12" s="28" t="n">
        <v>3.344686258546269</v>
      </c>
      <c r="AS12" s="28" t="n">
        <v>7.80426793660796</v>
      </c>
      <c r="AT12" s="28" t="n">
        <v>3.344686258546269</v>
      </c>
      <c r="AU12" s="28" t="n">
        <v>3.344686258546269</v>
      </c>
      <c r="AV12" s="28" t="n">
        <v>3.344686258546269</v>
      </c>
      <c r="AW12" s="28" t="n">
        <v>3.344686258546269</v>
      </c>
      <c r="AX12" s="28" t="n">
        <v>3.344686258546269</v>
      </c>
      <c r="AY12" s="28" t="n">
        <v>3.344686258546269</v>
      </c>
      <c r="AZ12" s="28" t="n">
        <v>0</v>
      </c>
      <c r="BA12" s="28" t="n">
        <v>0</v>
      </c>
      <c r="BB12" s="28" t="n">
        <v>0</v>
      </c>
      <c r="BC12" s="28" t="n">
        <v>0</v>
      </c>
      <c r="BD12" s="28" t="n">
        <v>0</v>
      </c>
      <c r="BE12" s="28" t="n">
        <v>3.344686258546269</v>
      </c>
      <c r="BF12" s="28" t="n">
        <v>4.459581678061691</v>
      </c>
      <c r="BG12" s="28" t="n">
        <v>3.344686258546269</v>
      </c>
      <c r="BH12" s="28" t="n">
        <v>3.344686258546269</v>
      </c>
      <c r="BI12" s="28" t="n">
        <v>3.344686258546269</v>
      </c>
      <c r="BJ12" s="28" t="n">
        <v>0</v>
      </c>
      <c r="BK12" s="28" t="n">
        <v>3.344686258546269</v>
      </c>
      <c r="BL12" s="28" t="n">
        <v>1.114895419515423</v>
      </c>
      <c r="BM12" s="28" t="n">
        <v>0</v>
      </c>
      <c r="BN12" s="28" t="n">
        <v>0</v>
      </c>
      <c r="BO12" s="28" t="n">
        <v>2.229790839030846</v>
      </c>
      <c r="BP12" s="28" t="n">
        <v>1.114895419515423</v>
      </c>
      <c r="BQ12" s="28" t="n">
        <v>0</v>
      </c>
      <c r="BR12" s="28" t="n">
        <v>0</v>
      </c>
      <c r="BS12" s="28" t="n">
        <v>1.114895419515423</v>
      </c>
      <c r="BT12" s="28" t="n">
        <v>0</v>
      </c>
      <c r="BU12" s="28" t="n">
        <v>0</v>
      </c>
      <c r="BV12" s="28" t="n">
        <v>0</v>
      </c>
      <c r="BW12" s="28" t="n">
        <v>1.114895419515423</v>
      </c>
      <c r="BX12" s="28" t="n">
        <v>0</v>
      </c>
      <c r="BY12" s="28" t="n">
        <v>0</v>
      </c>
      <c r="BZ12" s="28" t="n">
        <v>0</v>
      </c>
      <c r="CA12" s="28" t="n">
        <v>0</v>
      </c>
      <c r="CB12" s="28" t="n">
        <v>0</v>
      </c>
      <c r="CC12" s="28" t="n">
        <v>0</v>
      </c>
      <c r="CD12" s="28" t="n">
        <v>0</v>
      </c>
      <c r="CE12" s="28" t="n">
        <v>0</v>
      </c>
      <c r="CF12" s="28" t="n">
        <v>0</v>
      </c>
      <c r="CG12" s="28" t="n">
        <v>0</v>
      </c>
      <c r="CH12" s="28" t="n">
        <v>0</v>
      </c>
      <c r="CI12" s="28" t="n">
        <v>0</v>
      </c>
      <c r="CJ12" s="28" t="n">
        <v>0</v>
      </c>
      <c r="CK12" s="28" t="n">
        <v>0</v>
      </c>
      <c r="CL12" s="28" t="n">
        <v>0</v>
      </c>
      <c r="CM12" s="28" t="n">
        <v>0</v>
      </c>
      <c r="CN12" s="28" t="n">
        <v>0</v>
      </c>
      <c r="CO12" s="28" t="n">
        <v>0</v>
      </c>
      <c r="CP12" s="28" t="n">
        <v>0</v>
      </c>
      <c r="CQ12" s="28" t="n">
        <v>0</v>
      </c>
      <c r="CR12" s="28" t="n">
        <v>0</v>
      </c>
      <c r="CS12" s="28" t="n">
        <v>0</v>
      </c>
      <c r="CT12" s="28" t="n">
        <v>0</v>
      </c>
      <c r="CU12" s="28" t="n">
        <v>0</v>
      </c>
      <c r="CV12" s="28" t="n">
        <v>0</v>
      </c>
      <c r="CW12" s="28" t="n">
        <v>0</v>
      </c>
      <c r="CX12" s="28" t="n">
        <v>0</v>
      </c>
      <c r="CY12" s="28" t="n">
        <v>0</v>
      </c>
      <c r="CZ12" s="28" t="n">
        <v>0</v>
      </c>
      <c r="DA12" s="28" t="n">
        <v>0</v>
      </c>
    </row>
    <row r="13">
      <c r="A13" t="inlineStr">
        <is>
          <t>TSP-1446</t>
        </is>
      </c>
      <c r="B13" s="28" t="n">
        <v>0</v>
      </c>
      <c r="C13" s="28" t="n">
        <v>0</v>
      </c>
      <c r="D13" s="28" t="n">
        <v>0</v>
      </c>
      <c r="E13" s="28" t="n">
        <v>0</v>
      </c>
      <c r="F13" s="28" t="n">
        <v>0</v>
      </c>
      <c r="G13" s="28" t="n">
        <v>0</v>
      </c>
      <c r="H13" s="28" t="n">
        <v>0</v>
      </c>
      <c r="I13" s="28" t="n">
        <v>0</v>
      </c>
      <c r="J13" s="28" t="n">
        <v>0</v>
      </c>
      <c r="K13" s="28" t="n">
        <v>0</v>
      </c>
      <c r="L13" s="28" t="n">
        <v>0</v>
      </c>
      <c r="M13" s="28" t="n">
        <v>0</v>
      </c>
      <c r="N13" s="28" t="n">
        <v>0</v>
      </c>
      <c r="O13" s="28" t="n">
        <v>0</v>
      </c>
      <c r="P13" s="28" t="n">
        <v>0</v>
      </c>
      <c r="Q13" s="28" t="n">
        <v>0</v>
      </c>
      <c r="R13" s="28" t="n">
        <v>0</v>
      </c>
      <c r="S13" s="28" t="n">
        <v>0</v>
      </c>
      <c r="T13" s="28" t="n">
        <v>0</v>
      </c>
      <c r="U13" s="28" t="n">
        <v>0</v>
      </c>
      <c r="V13" s="28" t="n">
        <v>0</v>
      </c>
      <c r="W13" s="28" t="n">
        <v>0</v>
      </c>
      <c r="X13" s="28" t="n">
        <v>0</v>
      </c>
      <c r="Y13" s="28" t="n">
        <v>0</v>
      </c>
      <c r="Z13" s="28" t="n">
        <v>0</v>
      </c>
      <c r="AA13" s="28" t="n">
        <v>0</v>
      </c>
      <c r="AB13" s="28" t="n">
        <v>0</v>
      </c>
      <c r="AC13" s="28" t="n">
        <v>0</v>
      </c>
      <c r="AD13" s="28" t="n">
        <v>0</v>
      </c>
      <c r="AE13" s="28" t="n">
        <v>0</v>
      </c>
      <c r="AF13" s="28" t="n">
        <v>0</v>
      </c>
      <c r="AG13" s="28" t="n">
        <v>0</v>
      </c>
      <c r="AH13" s="28" t="n">
        <v>0</v>
      </c>
      <c r="AI13" s="28" t="n">
        <v>0</v>
      </c>
      <c r="AJ13" s="28" t="n">
        <v>0</v>
      </c>
      <c r="AK13" s="28" t="n">
        <v>0</v>
      </c>
      <c r="AL13" s="28" t="n">
        <v>0</v>
      </c>
      <c r="AM13" s="28" t="n">
        <v>0</v>
      </c>
      <c r="AN13" s="28" t="n">
        <v>0</v>
      </c>
      <c r="AO13" s="28" t="n">
        <v>0</v>
      </c>
      <c r="AP13" s="28" t="n">
        <v>0</v>
      </c>
      <c r="AQ13" s="28" t="n">
        <v>0</v>
      </c>
      <c r="AR13" s="28" t="n">
        <v>0</v>
      </c>
      <c r="AS13" s="28" t="n">
        <v>0</v>
      </c>
      <c r="AT13" s="28" t="n">
        <v>0</v>
      </c>
      <c r="AU13" s="28" t="n">
        <v>0</v>
      </c>
      <c r="AV13" s="28" t="n">
        <v>0</v>
      </c>
      <c r="AW13" s="28" t="n">
        <v>0</v>
      </c>
      <c r="AX13" s="28" t="n">
        <v>0</v>
      </c>
      <c r="AY13" s="28" t="n">
        <v>0</v>
      </c>
      <c r="AZ13" s="28" t="n">
        <v>0</v>
      </c>
      <c r="BA13" s="28" t="n">
        <v>0</v>
      </c>
      <c r="BB13" s="28" t="n">
        <v>0</v>
      </c>
      <c r="BC13" s="28" t="n">
        <v>0</v>
      </c>
      <c r="BD13" s="28" t="n">
        <v>0</v>
      </c>
      <c r="BE13" s="28" t="n">
        <v>0</v>
      </c>
      <c r="BF13" s="28" t="n">
        <v>0</v>
      </c>
      <c r="BG13" s="28" t="n">
        <v>0</v>
      </c>
      <c r="BH13" s="28" t="n">
        <v>0</v>
      </c>
      <c r="BI13" s="28" t="n">
        <v>0</v>
      </c>
      <c r="BJ13" s="28" t="n">
        <v>0</v>
      </c>
      <c r="BK13" s="28" t="n">
        <v>0</v>
      </c>
      <c r="BL13" s="28" t="n">
        <v>0</v>
      </c>
      <c r="BM13" s="28" t="n">
        <v>0</v>
      </c>
      <c r="BN13" s="28" t="n">
        <v>0</v>
      </c>
      <c r="BO13" s="28" t="n">
        <v>0</v>
      </c>
      <c r="BP13" s="28" t="n">
        <v>0</v>
      </c>
      <c r="BQ13" s="28" t="n">
        <v>0</v>
      </c>
      <c r="BR13" s="28" t="n">
        <v>0</v>
      </c>
      <c r="BS13" s="28" t="n">
        <v>0</v>
      </c>
      <c r="BT13" s="28" t="n">
        <v>0</v>
      </c>
      <c r="BU13" s="28" t="n">
        <v>0</v>
      </c>
      <c r="BV13" s="28" t="n">
        <v>0</v>
      </c>
      <c r="BW13" s="28" t="n">
        <v>0</v>
      </c>
      <c r="BX13" s="28" t="n">
        <v>0</v>
      </c>
      <c r="BY13" s="28" t="n">
        <v>0</v>
      </c>
      <c r="BZ13" s="28" t="n">
        <v>0</v>
      </c>
      <c r="CA13" s="28" t="n">
        <v>0</v>
      </c>
      <c r="CB13" s="28" t="n">
        <v>0</v>
      </c>
      <c r="CC13" s="28" t="n">
        <v>0</v>
      </c>
      <c r="CD13" s="28" t="n">
        <v>0</v>
      </c>
      <c r="CE13" s="28" t="n">
        <v>0</v>
      </c>
      <c r="CF13" s="28" t="n">
        <v>0</v>
      </c>
      <c r="CG13" s="28" t="n">
        <v>0</v>
      </c>
      <c r="CH13" s="28" t="n">
        <v>0</v>
      </c>
      <c r="CI13" s="28" t="n">
        <v>0</v>
      </c>
      <c r="CJ13" s="28" t="n">
        <v>0</v>
      </c>
      <c r="CK13" s="28" t="n">
        <v>0</v>
      </c>
      <c r="CL13" s="28" t="n">
        <v>0</v>
      </c>
      <c r="CM13" s="28" t="n">
        <v>0</v>
      </c>
      <c r="CN13" s="28" t="n">
        <v>0</v>
      </c>
      <c r="CO13" s="28" t="n">
        <v>0</v>
      </c>
      <c r="CP13" s="28" t="n">
        <v>0</v>
      </c>
      <c r="CQ13" s="28" t="n">
        <v>0</v>
      </c>
      <c r="CR13" s="28" t="n">
        <v>0</v>
      </c>
      <c r="CS13" s="28" t="n">
        <v>0</v>
      </c>
      <c r="CT13" s="28" t="n">
        <v>0</v>
      </c>
      <c r="CU13" s="28" t="n">
        <v>0</v>
      </c>
      <c r="CV13" s="28" t="n">
        <v>0</v>
      </c>
      <c r="CW13" s="28" t="n">
        <v>0</v>
      </c>
      <c r="CX13" s="28" t="n">
        <v>0</v>
      </c>
      <c r="CY13" s="28" t="n">
        <v>0</v>
      </c>
      <c r="CZ13" s="28" t="n">
        <v>0</v>
      </c>
      <c r="DA13" s="28" t="n">
        <v>0</v>
      </c>
    </row>
    <row r="14">
      <c r="A14" t="inlineStr">
        <is>
          <t>TSP-1448</t>
        </is>
      </c>
      <c r="B14" s="28" t="n">
        <v>0</v>
      </c>
      <c r="C14" s="28" t="n">
        <v>0</v>
      </c>
      <c r="D14" s="28" t="n">
        <v>0</v>
      </c>
      <c r="E14" s="28" t="n">
        <v>0</v>
      </c>
      <c r="F14" s="28" t="n">
        <v>0</v>
      </c>
      <c r="G14" s="28" t="n">
        <v>0</v>
      </c>
      <c r="H14" s="28" t="n">
        <v>0</v>
      </c>
      <c r="I14" s="28" t="n">
        <v>0</v>
      </c>
      <c r="J14" s="28" t="n">
        <v>0</v>
      </c>
      <c r="K14" s="28" t="n">
        <v>0</v>
      </c>
      <c r="L14" s="28" t="n">
        <v>0</v>
      </c>
      <c r="M14" s="28" t="n">
        <v>0</v>
      </c>
      <c r="N14" s="28" t="n">
        <v>0</v>
      </c>
      <c r="O14" s="28" t="n">
        <v>0</v>
      </c>
      <c r="P14" s="28" t="n">
        <v>0</v>
      </c>
      <c r="Q14" s="28" t="n">
        <v>0</v>
      </c>
      <c r="R14" s="28" t="n">
        <v>0</v>
      </c>
      <c r="S14" s="28" t="n">
        <v>0</v>
      </c>
      <c r="T14" s="28" t="n">
        <v>0</v>
      </c>
      <c r="U14" s="28" t="n">
        <v>0</v>
      </c>
      <c r="V14" s="28" t="n">
        <v>0</v>
      </c>
      <c r="W14" s="28" t="n">
        <v>0</v>
      </c>
      <c r="X14" s="28" t="n">
        <v>4.629994301523985</v>
      </c>
      <c r="Y14" s="28" t="n">
        <v>0</v>
      </c>
      <c r="Z14" s="28" t="n">
        <v>0</v>
      </c>
      <c r="AA14" s="28" t="n">
        <v>2.314997150761993</v>
      </c>
      <c r="AB14" s="28" t="n">
        <v>3.81902062939158</v>
      </c>
      <c r="AC14" s="28" t="n">
        <v>0</v>
      </c>
      <c r="AD14" s="28" t="n">
        <v>0</v>
      </c>
      <c r="AE14" s="28" t="n">
        <v>6.134017780153573</v>
      </c>
      <c r="AF14" s="28" t="n">
        <v>4.629994301523985</v>
      </c>
      <c r="AG14" s="28" t="n">
        <v>2.314997150761993</v>
      </c>
      <c r="AH14" s="28" t="n">
        <v>4.629994301523985</v>
      </c>
      <c r="AI14" s="28" t="n">
        <v>6.134017780153573</v>
      </c>
      <c r="AJ14" s="28" t="n">
        <v>4.629994301523985</v>
      </c>
      <c r="AK14" s="28" t="n">
        <v>4.629994301523985</v>
      </c>
      <c r="AL14" s="28" t="n">
        <v>2.314997150761993</v>
      </c>
      <c r="AM14" s="28" t="n">
        <v>4.629994301523985</v>
      </c>
      <c r="AN14" s="28" t="n">
        <v>3.81902062939158</v>
      </c>
      <c r="AO14" s="28" t="n">
        <v>2.314997150761993</v>
      </c>
      <c r="AP14" s="28" t="n">
        <v>4.629994301523985</v>
      </c>
      <c r="AQ14" s="28" t="n">
        <v>4.629994301523985</v>
      </c>
      <c r="AR14" s="28" t="n">
        <v>3.81902062939158</v>
      </c>
      <c r="AS14" s="28" t="n">
        <v>4.629994301523985</v>
      </c>
      <c r="AT14" s="28" t="n">
        <v>6.134017780153573</v>
      </c>
      <c r="AU14" s="28" t="n">
        <v>6.944991452285977</v>
      </c>
      <c r="AV14" s="28" t="n">
        <v>8.449014930915565</v>
      </c>
      <c r="AW14" s="28" t="n">
        <v>6.134017780153573</v>
      </c>
      <c r="AX14" s="28" t="n">
        <v>4.629994301523985</v>
      </c>
      <c r="AY14" s="28" t="n">
        <v>6.134017780153573</v>
      </c>
      <c r="AZ14" s="28" t="n">
        <v>2.314997150761993</v>
      </c>
      <c r="BA14" s="28" t="n">
        <v>0</v>
      </c>
      <c r="BB14" s="28" t="n">
        <v>0</v>
      </c>
      <c r="BC14" s="28" t="n">
        <v>2.314997150761993</v>
      </c>
      <c r="BD14" s="28" t="n">
        <v>4.629994301523985</v>
      </c>
      <c r="BE14" s="28" t="n">
        <v>4.629994301523985</v>
      </c>
      <c r="BF14" s="28" t="n">
        <v>6.134017780153573</v>
      </c>
      <c r="BG14" s="28" t="n">
        <v>2.314997150761993</v>
      </c>
      <c r="BH14" s="28" t="n">
        <v>4.629994301523985</v>
      </c>
      <c r="BI14" s="28" t="n">
        <v>2.314997150761993</v>
      </c>
      <c r="BJ14" s="28" t="n">
        <v>3.81902062939158</v>
      </c>
      <c r="BK14" s="28" t="n">
        <v>2.314997150761993</v>
      </c>
      <c r="BL14" s="28" t="n">
        <v>4.629994301523985</v>
      </c>
      <c r="BM14" s="28" t="n">
        <v>2.314997150761993</v>
      </c>
      <c r="BN14" s="28" t="n">
        <v>2.314997150761993</v>
      </c>
      <c r="BO14" s="28" t="n">
        <v>3.067008890076786</v>
      </c>
      <c r="BP14" s="28" t="n">
        <v>0</v>
      </c>
      <c r="BQ14" s="28" t="n">
        <v>2.314997150761993</v>
      </c>
      <c r="BR14" s="28" t="n">
        <v>2.314997150761993</v>
      </c>
      <c r="BS14" s="28" t="n">
        <v>2.314997150761993</v>
      </c>
      <c r="BT14" s="28" t="n">
        <v>0</v>
      </c>
      <c r="BU14" s="28" t="n">
        <v>2.314997150761993</v>
      </c>
      <c r="BV14" s="28" t="n">
        <v>1.736247863071494</v>
      </c>
      <c r="BW14" s="28" t="n">
        <v>0</v>
      </c>
      <c r="BX14" s="28" t="n">
        <v>0</v>
      </c>
      <c r="BY14" s="28" t="n">
        <v>0</v>
      </c>
      <c r="BZ14" s="28" t="n">
        <v>0</v>
      </c>
      <c r="CA14" s="28" t="n">
        <v>0</v>
      </c>
      <c r="CB14" s="28" t="n">
        <v>0</v>
      </c>
      <c r="CC14" s="28" t="n">
        <v>0</v>
      </c>
      <c r="CD14" s="28" t="n">
        <v>0</v>
      </c>
      <c r="CE14" s="28" t="n">
        <v>0</v>
      </c>
      <c r="CF14" s="28" t="n">
        <v>0</v>
      </c>
      <c r="CG14" s="28" t="n">
        <v>0</v>
      </c>
      <c r="CH14" s="28" t="n">
        <v>0</v>
      </c>
      <c r="CI14" s="28" t="n">
        <v>0</v>
      </c>
      <c r="CJ14" s="28" t="n">
        <v>0</v>
      </c>
      <c r="CK14" s="28" t="n">
        <v>0</v>
      </c>
      <c r="CL14" s="28" t="n">
        <v>0</v>
      </c>
      <c r="CM14" s="28" t="n">
        <v>0</v>
      </c>
      <c r="CN14" s="28" t="n">
        <v>0</v>
      </c>
      <c r="CO14" s="28" t="n">
        <v>0</v>
      </c>
      <c r="CP14" s="28" t="n">
        <v>0</v>
      </c>
      <c r="CQ14" s="28" t="n">
        <v>0</v>
      </c>
      <c r="CR14" s="28" t="n">
        <v>0</v>
      </c>
      <c r="CS14" s="28" t="n">
        <v>0</v>
      </c>
      <c r="CT14" s="28" t="n">
        <v>0</v>
      </c>
      <c r="CU14" s="28" t="n">
        <v>0</v>
      </c>
      <c r="CV14" s="28" t="n">
        <v>0</v>
      </c>
      <c r="CW14" s="28" t="n">
        <v>0</v>
      </c>
      <c r="CX14" s="28" t="n">
        <v>0</v>
      </c>
      <c r="CY14" s="28" t="n">
        <v>0</v>
      </c>
      <c r="CZ14" s="28" t="n">
        <v>0</v>
      </c>
      <c r="DA14" s="28" t="n">
        <v>0</v>
      </c>
    </row>
    <row r="15">
      <c r="A15" t="inlineStr">
        <is>
          <t>TSP-1449</t>
        </is>
      </c>
      <c r="B15" s="28" t="n">
        <v>0</v>
      </c>
      <c r="C15" s="28" t="n">
        <v>0</v>
      </c>
      <c r="D15" s="28" t="n">
        <v>0</v>
      </c>
      <c r="E15" s="28" t="n">
        <v>0</v>
      </c>
      <c r="F15" s="28" t="n">
        <v>0</v>
      </c>
      <c r="G15" s="28" t="n">
        <v>0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  <c r="M15" s="28" t="n">
        <v>0</v>
      </c>
      <c r="N15" s="28" t="n">
        <v>0</v>
      </c>
      <c r="O15" s="28" t="n">
        <v>0</v>
      </c>
      <c r="P15" s="28" t="n">
        <v>0</v>
      </c>
      <c r="Q15" s="28" t="n">
        <v>0</v>
      </c>
      <c r="R15" s="28" t="n">
        <v>0</v>
      </c>
      <c r="S15" s="28" t="n">
        <v>0</v>
      </c>
      <c r="T15" s="28" t="n">
        <v>0</v>
      </c>
      <c r="U15" s="28" t="n">
        <v>0</v>
      </c>
      <c r="V15" s="28" t="n">
        <v>0</v>
      </c>
      <c r="W15" s="28" t="n">
        <v>0</v>
      </c>
      <c r="X15" s="28" t="n">
        <v>4.281174270692706</v>
      </c>
      <c r="Y15" s="28" t="n">
        <v>2.140587135346353</v>
      </c>
      <c r="Z15" s="28" t="n">
        <v>0</v>
      </c>
      <c r="AA15" s="28" t="n">
        <v>2.140587135346353</v>
      </c>
      <c r="AB15" s="28" t="n">
        <v>2.140587135346353</v>
      </c>
      <c r="AC15" s="28" t="n">
        <v>0</v>
      </c>
      <c r="AD15" s="28" t="n">
        <v>2.140587135346353</v>
      </c>
      <c r="AE15" s="28" t="n">
        <v>0</v>
      </c>
      <c r="AF15" s="28" t="n">
        <v>0.7135290451154509</v>
      </c>
      <c r="AG15" s="28" t="n">
        <v>2.140587135346353</v>
      </c>
      <c r="AH15" s="28" t="n">
        <v>2.140587135346353</v>
      </c>
      <c r="AI15" s="28" t="n">
        <v>2.140587135346353</v>
      </c>
      <c r="AJ15" s="28" t="n">
        <v>0</v>
      </c>
      <c r="AK15" s="28" t="n">
        <v>0</v>
      </c>
      <c r="AL15" s="28" t="n">
        <v>2.140587135346353</v>
      </c>
      <c r="AM15" s="28" t="n">
        <v>0</v>
      </c>
      <c r="AN15" s="28" t="n">
        <v>2.140587135346353</v>
      </c>
      <c r="AO15" s="28" t="n">
        <v>0</v>
      </c>
      <c r="AP15" s="28" t="n">
        <v>2.140587135346353</v>
      </c>
      <c r="AQ15" s="28" t="n">
        <v>2.140587135346353</v>
      </c>
      <c r="AR15" s="28" t="n">
        <v>2.140587135346353</v>
      </c>
      <c r="AS15" s="28" t="n">
        <v>4.994703315808157</v>
      </c>
      <c r="AT15" s="28" t="n">
        <v>2.140587135346353</v>
      </c>
      <c r="AU15" s="28" t="n">
        <v>2.140587135346353</v>
      </c>
      <c r="AV15" s="28" t="n">
        <v>2.140587135346353</v>
      </c>
      <c r="AW15" s="28" t="n">
        <v>2.140587135346353</v>
      </c>
      <c r="AX15" s="28" t="n">
        <v>2.140587135346353</v>
      </c>
      <c r="AY15" s="28" t="n">
        <v>2.140587135346353</v>
      </c>
      <c r="AZ15" s="28" t="n">
        <v>0</v>
      </c>
      <c r="BA15" s="28" t="n">
        <v>0</v>
      </c>
      <c r="BB15" s="28" t="n">
        <v>0</v>
      </c>
      <c r="BC15" s="28" t="n">
        <v>0</v>
      </c>
      <c r="BD15" s="28" t="n">
        <v>0</v>
      </c>
      <c r="BE15" s="28" t="n">
        <v>2.140587135346353</v>
      </c>
      <c r="BF15" s="28" t="n">
        <v>2.854116180461804</v>
      </c>
      <c r="BG15" s="28" t="n">
        <v>2.140587135346353</v>
      </c>
      <c r="BH15" s="28" t="n">
        <v>2.140587135346353</v>
      </c>
      <c r="BI15" s="28" t="n">
        <v>2.140587135346353</v>
      </c>
      <c r="BJ15" s="28" t="n">
        <v>0</v>
      </c>
      <c r="BK15" s="28" t="n">
        <v>2.140587135346353</v>
      </c>
      <c r="BL15" s="28" t="n">
        <v>0.7135290451154509</v>
      </c>
      <c r="BM15" s="28" t="n">
        <v>0</v>
      </c>
      <c r="BN15" s="28" t="n">
        <v>0</v>
      </c>
      <c r="BO15" s="28" t="n">
        <v>1.427058090230902</v>
      </c>
      <c r="BP15" s="28" t="n">
        <v>0.7135290451154509</v>
      </c>
      <c r="BQ15" s="28" t="n">
        <v>0</v>
      </c>
      <c r="BR15" s="28" t="n">
        <v>0</v>
      </c>
      <c r="BS15" s="28" t="n">
        <v>0.7135290451154509</v>
      </c>
      <c r="BT15" s="28" t="n">
        <v>0</v>
      </c>
      <c r="BU15" s="28" t="n">
        <v>0</v>
      </c>
      <c r="BV15" s="28" t="n">
        <v>0</v>
      </c>
      <c r="BW15" s="28" t="n">
        <v>0.7135290451154509</v>
      </c>
      <c r="BX15" s="28" t="n">
        <v>0</v>
      </c>
      <c r="BY15" s="28" t="n">
        <v>0</v>
      </c>
      <c r="BZ15" s="28" t="n">
        <v>0</v>
      </c>
      <c r="CA15" s="28" t="n">
        <v>0</v>
      </c>
      <c r="CB15" s="28" t="n">
        <v>0</v>
      </c>
      <c r="CC15" s="28" t="n">
        <v>0</v>
      </c>
      <c r="CD15" s="28" t="n">
        <v>0</v>
      </c>
      <c r="CE15" s="28" t="n">
        <v>0</v>
      </c>
      <c r="CF15" s="28" t="n">
        <v>0</v>
      </c>
      <c r="CG15" s="28" t="n">
        <v>0</v>
      </c>
      <c r="CH15" s="28" t="n">
        <v>0</v>
      </c>
      <c r="CI15" s="28" t="n">
        <v>0</v>
      </c>
      <c r="CJ15" s="28" t="n">
        <v>0</v>
      </c>
      <c r="CK15" s="28" t="n">
        <v>0</v>
      </c>
      <c r="CL15" s="28" t="n">
        <v>0</v>
      </c>
      <c r="CM15" s="28" t="n">
        <v>0</v>
      </c>
      <c r="CN15" s="28" t="n">
        <v>0</v>
      </c>
      <c r="CO15" s="28" t="n">
        <v>0</v>
      </c>
      <c r="CP15" s="28" t="n">
        <v>0</v>
      </c>
      <c r="CQ15" s="28" t="n">
        <v>0</v>
      </c>
      <c r="CR15" s="28" t="n">
        <v>0</v>
      </c>
      <c r="CS15" s="28" t="n">
        <v>0</v>
      </c>
      <c r="CT15" s="28" t="n">
        <v>0</v>
      </c>
      <c r="CU15" s="28" t="n">
        <v>0</v>
      </c>
      <c r="CV15" s="28" t="n">
        <v>0</v>
      </c>
      <c r="CW15" s="28" t="n">
        <v>0</v>
      </c>
      <c r="CX15" s="28" t="n">
        <v>0</v>
      </c>
      <c r="CY15" s="28" t="n">
        <v>0</v>
      </c>
      <c r="CZ15" s="28" t="n">
        <v>0</v>
      </c>
      <c r="DA15" s="28" t="n">
        <v>0</v>
      </c>
    </row>
    <row r="16">
      <c r="A16" t="inlineStr">
        <is>
          <t>TSP-199</t>
        </is>
      </c>
      <c r="B16" s="28" t="n">
        <v>0</v>
      </c>
      <c r="C16" s="28" t="n">
        <v>0</v>
      </c>
      <c r="D16" s="28" t="n">
        <v>0</v>
      </c>
      <c r="E16" s="28" t="n">
        <v>0</v>
      </c>
      <c r="F16" s="28" t="n">
        <v>0</v>
      </c>
      <c r="G16" s="28" t="n">
        <v>0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  <c r="M16" s="28" t="n">
        <v>0</v>
      </c>
      <c r="N16" s="28" t="n">
        <v>0</v>
      </c>
      <c r="O16" s="28" t="n">
        <v>0</v>
      </c>
      <c r="P16" s="28" t="n">
        <v>0</v>
      </c>
      <c r="Q16" s="28" t="n">
        <v>0</v>
      </c>
      <c r="R16" s="28" t="n">
        <v>0</v>
      </c>
      <c r="S16" s="28" t="n">
        <v>0</v>
      </c>
      <c r="T16" s="28" t="n">
        <v>0</v>
      </c>
      <c r="U16" s="28" t="n">
        <v>0</v>
      </c>
      <c r="V16" s="28" t="n">
        <v>0</v>
      </c>
      <c r="W16" s="28" t="n">
        <v>0</v>
      </c>
      <c r="X16" s="28" t="n">
        <v>0</v>
      </c>
      <c r="Y16" s="28" t="n">
        <v>0</v>
      </c>
      <c r="Z16" s="28" t="n">
        <v>0</v>
      </c>
      <c r="AA16" s="28" t="n">
        <v>0</v>
      </c>
      <c r="AB16" s="28" t="n">
        <v>0</v>
      </c>
      <c r="AC16" s="28" t="n">
        <v>0</v>
      </c>
      <c r="AD16" s="28" t="n">
        <v>0</v>
      </c>
      <c r="AE16" s="28" t="n">
        <v>0</v>
      </c>
      <c r="AF16" s="28" t="n">
        <v>0</v>
      </c>
      <c r="AG16" s="28" t="n">
        <v>0</v>
      </c>
      <c r="AH16" s="28" t="n">
        <v>0</v>
      </c>
      <c r="AI16" s="28" t="n">
        <v>0</v>
      </c>
      <c r="AJ16" s="28" t="n">
        <v>0</v>
      </c>
      <c r="AK16" s="28" t="n">
        <v>0</v>
      </c>
      <c r="AL16" s="28" t="n">
        <v>0</v>
      </c>
      <c r="AM16" s="28" t="n">
        <v>0</v>
      </c>
      <c r="AN16" s="28" t="n">
        <v>0</v>
      </c>
      <c r="AO16" s="28" t="n">
        <v>0</v>
      </c>
      <c r="AP16" s="28" t="n">
        <v>0</v>
      </c>
      <c r="AQ16" s="28" t="n">
        <v>0</v>
      </c>
      <c r="AR16" s="28" t="n">
        <v>0</v>
      </c>
      <c r="AS16" s="28" t="n">
        <v>0</v>
      </c>
      <c r="AT16" s="28" t="n">
        <v>0</v>
      </c>
      <c r="AU16" s="28" t="n">
        <v>0</v>
      </c>
      <c r="AV16" s="28" t="n">
        <v>0</v>
      </c>
      <c r="AW16" s="28" t="n">
        <v>0</v>
      </c>
      <c r="AX16" s="28" t="n">
        <v>0</v>
      </c>
      <c r="AY16" s="28" t="n">
        <v>0</v>
      </c>
      <c r="AZ16" s="28" t="n">
        <v>0</v>
      </c>
      <c r="BA16" s="28" t="n">
        <v>0</v>
      </c>
      <c r="BB16" s="28" t="n">
        <v>0</v>
      </c>
      <c r="BC16" s="28" t="n">
        <v>0</v>
      </c>
      <c r="BD16" s="28" t="n">
        <v>0</v>
      </c>
      <c r="BE16" s="28" t="n">
        <v>0</v>
      </c>
      <c r="BF16" s="28" t="n">
        <v>0</v>
      </c>
      <c r="BG16" s="28" t="n">
        <v>0</v>
      </c>
      <c r="BH16" s="28" t="n">
        <v>0</v>
      </c>
      <c r="BI16" s="28" t="n">
        <v>0</v>
      </c>
      <c r="BJ16" s="28" t="n">
        <v>0</v>
      </c>
      <c r="BK16" s="28" t="n">
        <v>0</v>
      </c>
      <c r="BL16" s="28" t="n">
        <v>0</v>
      </c>
      <c r="BM16" s="28" t="n">
        <v>0</v>
      </c>
      <c r="BN16" s="28" t="n">
        <v>0</v>
      </c>
      <c r="BO16" s="28" t="n">
        <v>0</v>
      </c>
      <c r="BP16" s="28" t="n">
        <v>0</v>
      </c>
      <c r="BQ16" s="28" t="n">
        <v>0</v>
      </c>
      <c r="BR16" s="28" t="n">
        <v>0</v>
      </c>
      <c r="BS16" s="28" t="n">
        <v>0</v>
      </c>
      <c r="BT16" s="28" t="n">
        <v>0</v>
      </c>
      <c r="BU16" s="28" t="n">
        <v>0</v>
      </c>
      <c r="BV16" s="28" t="n">
        <v>0</v>
      </c>
      <c r="BW16" s="28" t="n">
        <v>0</v>
      </c>
      <c r="BX16" s="28" t="n">
        <v>0</v>
      </c>
      <c r="BY16" s="28" t="n">
        <v>0</v>
      </c>
      <c r="BZ16" s="28" t="n">
        <v>0</v>
      </c>
      <c r="CA16" s="28" t="n">
        <v>0</v>
      </c>
      <c r="CB16" s="28" t="n">
        <v>0</v>
      </c>
      <c r="CC16" s="28" t="n">
        <v>0</v>
      </c>
      <c r="CD16" s="28" t="n">
        <v>0</v>
      </c>
      <c r="CE16" s="28" t="n">
        <v>0</v>
      </c>
      <c r="CF16" s="28" t="n">
        <v>0</v>
      </c>
      <c r="CG16" s="28" t="n">
        <v>0</v>
      </c>
      <c r="CH16" s="28" t="n">
        <v>0</v>
      </c>
      <c r="CI16" s="28" t="n">
        <v>0</v>
      </c>
      <c r="CJ16" s="28" t="n">
        <v>0</v>
      </c>
      <c r="CK16" s="28" t="n">
        <v>0</v>
      </c>
      <c r="CL16" s="28" t="n">
        <v>0</v>
      </c>
      <c r="CM16" s="28" t="n">
        <v>0</v>
      </c>
      <c r="CN16" s="28" t="n">
        <v>0</v>
      </c>
      <c r="CO16" s="28" t="n">
        <v>0</v>
      </c>
      <c r="CP16" s="28" t="n">
        <v>0</v>
      </c>
      <c r="CQ16" s="28" t="n">
        <v>0</v>
      </c>
      <c r="CR16" s="28" t="n">
        <v>0</v>
      </c>
      <c r="CS16" s="28" t="n">
        <v>0</v>
      </c>
      <c r="CT16" s="28" t="n">
        <v>0</v>
      </c>
      <c r="CU16" s="28" t="n">
        <v>0</v>
      </c>
      <c r="CV16" s="28" t="n">
        <v>0</v>
      </c>
      <c r="CW16" s="28" t="n">
        <v>0</v>
      </c>
      <c r="CX16" s="28" t="n">
        <v>0</v>
      </c>
      <c r="CY16" s="28" t="n">
        <v>0</v>
      </c>
      <c r="CZ16" s="28" t="n">
        <v>0</v>
      </c>
      <c r="DA16" s="28" t="n">
        <v>0</v>
      </c>
    </row>
    <row r="17">
      <c r="A17" t="inlineStr">
        <is>
          <t>TSP-205</t>
        </is>
      </c>
      <c r="B17" s="28" t="n">
        <v>0</v>
      </c>
      <c r="C17" s="28" t="n">
        <v>0</v>
      </c>
      <c r="D17" s="28" t="n">
        <v>0</v>
      </c>
      <c r="E17" s="28" t="n">
        <v>0</v>
      </c>
      <c r="F17" s="28" t="n">
        <v>0</v>
      </c>
      <c r="G17" s="28" t="n">
        <v>0</v>
      </c>
      <c r="H17" s="28" t="n">
        <v>0</v>
      </c>
      <c r="I17" s="28" t="n">
        <v>0</v>
      </c>
      <c r="J17" s="28" t="n">
        <v>0</v>
      </c>
      <c r="K17" s="28" t="n">
        <v>0</v>
      </c>
      <c r="L17" s="28" t="n">
        <v>0</v>
      </c>
      <c r="M17" s="28" t="n">
        <v>0</v>
      </c>
      <c r="N17" s="28" t="n">
        <v>0</v>
      </c>
      <c r="O17" s="28" t="n">
        <v>0</v>
      </c>
      <c r="P17" s="28" t="n">
        <v>0</v>
      </c>
      <c r="Q17" s="28" t="n">
        <v>0</v>
      </c>
      <c r="R17" s="28" t="n">
        <v>0</v>
      </c>
      <c r="S17" s="28" t="n">
        <v>0</v>
      </c>
      <c r="T17" s="28" t="n">
        <v>0</v>
      </c>
      <c r="U17" s="28" t="n">
        <v>0</v>
      </c>
      <c r="V17" s="28" t="n">
        <v>0</v>
      </c>
      <c r="W17" s="28" t="n">
        <v>0</v>
      </c>
      <c r="X17" s="28" t="n">
        <v>0</v>
      </c>
      <c r="Y17" s="28" t="n">
        <v>0</v>
      </c>
      <c r="Z17" s="28" t="n">
        <v>0</v>
      </c>
      <c r="AA17" s="28" t="n">
        <v>0</v>
      </c>
      <c r="AB17" s="28" t="n">
        <v>0</v>
      </c>
      <c r="AC17" s="28" t="n">
        <v>0</v>
      </c>
      <c r="AD17" s="28" t="n">
        <v>0</v>
      </c>
      <c r="AE17" s="28" t="n">
        <v>0</v>
      </c>
      <c r="AF17" s="28" t="n">
        <v>0</v>
      </c>
      <c r="AG17" s="28" t="n">
        <v>0</v>
      </c>
      <c r="AH17" s="28" t="n">
        <v>0</v>
      </c>
      <c r="AI17" s="28" t="n">
        <v>0</v>
      </c>
      <c r="AJ17" s="28" t="n">
        <v>0</v>
      </c>
      <c r="AK17" s="28" t="n">
        <v>0</v>
      </c>
      <c r="AL17" s="28" t="n">
        <v>0</v>
      </c>
      <c r="AM17" s="28" t="n">
        <v>0</v>
      </c>
      <c r="AN17" s="28" t="n">
        <v>0</v>
      </c>
      <c r="AO17" s="28" t="n">
        <v>0</v>
      </c>
      <c r="AP17" s="28" t="n">
        <v>0</v>
      </c>
      <c r="AQ17" s="28" t="n">
        <v>0</v>
      </c>
      <c r="AR17" s="28" t="n">
        <v>0</v>
      </c>
      <c r="AS17" s="28" t="n">
        <v>0</v>
      </c>
      <c r="AT17" s="28" t="n">
        <v>0</v>
      </c>
      <c r="AU17" s="28" t="n">
        <v>0</v>
      </c>
      <c r="AV17" s="28" t="n">
        <v>0</v>
      </c>
      <c r="AW17" s="28" t="n">
        <v>0</v>
      </c>
      <c r="AX17" s="28" t="n">
        <v>0</v>
      </c>
      <c r="AY17" s="28" t="n">
        <v>0</v>
      </c>
      <c r="AZ17" s="28" t="n">
        <v>0</v>
      </c>
      <c r="BA17" s="28" t="n">
        <v>0</v>
      </c>
      <c r="BB17" s="28" t="n">
        <v>0</v>
      </c>
      <c r="BC17" s="28" t="n">
        <v>0</v>
      </c>
      <c r="BD17" s="28" t="n">
        <v>0</v>
      </c>
      <c r="BE17" s="28" t="n">
        <v>0</v>
      </c>
      <c r="BF17" s="28" t="n">
        <v>0</v>
      </c>
      <c r="BG17" s="28" t="n">
        <v>0</v>
      </c>
      <c r="BH17" s="28" t="n">
        <v>0</v>
      </c>
      <c r="BI17" s="28" t="n">
        <v>0</v>
      </c>
      <c r="BJ17" s="28" t="n">
        <v>0</v>
      </c>
      <c r="BK17" s="28" t="n">
        <v>0</v>
      </c>
      <c r="BL17" s="28" t="n">
        <v>0</v>
      </c>
      <c r="BM17" s="28" t="n">
        <v>0</v>
      </c>
      <c r="BN17" s="28" t="n">
        <v>0</v>
      </c>
      <c r="BO17" s="28" t="n">
        <v>0</v>
      </c>
      <c r="BP17" s="28" t="n">
        <v>0</v>
      </c>
      <c r="BQ17" s="28" t="n">
        <v>0</v>
      </c>
      <c r="BR17" s="28" t="n">
        <v>0</v>
      </c>
      <c r="BS17" s="28" t="n">
        <v>0</v>
      </c>
      <c r="BT17" s="28" t="n">
        <v>0</v>
      </c>
      <c r="BU17" s="28" t="n">
        <v>0</v>
      </c>
      <c r="BV17" s="28" t="n">
        <v>0</v>
      </c>
      <c r="BW17" s="28" t="n">
        <v>0</v>
      </c>
      <c r="BX17" s="28" t="n">
        <v>0</v>
      </c>
      <c r="BY17" s="28" t="n">
        <v>0</v>
      </c>
      <c r="BZ17" s="28" t="n">
        <v>0</v>
      </c>
      <c r="CA17" s="28" t="n">
        <v>0</v>
      </c>
      <c r="CB17" s="28" t="n">
        <v>0</v>
      </c>
      <c r="CC17" s="28" t="n">
        <v>0</v>
      </c>
      <c r="CD17" s="28" t="n">
        <v>0</v>
      </c>
      <c r="CE17" s="28" t="n">
        <v>0</v>
      </c>
      <c r="CF17" s="28" t="n">
        <v>0</v>
      </c>
      <c r="CG17" s="28" t="n">
        <v>0</v>
      </c>
      <c r="CH17" s="28" t="n">
        <v>0</v>
      </c>
      <c r="CI17" s="28" t="n">
        <v>0</v>
      </c>
      <c r="CJ17" s="28" t="n">
        <v>0</v>
      </c>
      <c r="CK17" s="28" t="n">
        <v>0</v>
      </c>
      <c r="CL17" s="28" t="n">
        <v>0</v>
      </c>
      <c r="CM17" s="28" t="n">
        <v>0</v>
      </c>
      <c r="CN17" s="28" t="n">
        <v>0</v>
      </c>
      <c r="CO17" s="28" t="n">
        <v>0</v>
      </c>
      <c r="CP17" s="28" t="n">
        <v>0</v>
      </c>
      <c r="CQ17" s="28" t="n">
        <v>0</v>
      </c>
      <c r="CR17" s="28" t="n">
        <v>0</v>
      </c>
      <c r="CS17" s="28" t="n">
        <v>0</v>
      </c>
      <c r="CT17" s="28" t="n">
        <v>0</v>
      </c>
      <c r="CU17" s="28" t="n">
        <v>0</v>
      </c>
      <c r="CV17" s="28" t="n">
        <v>0</v>
      </c>
      <c r="CW17" s="28" t="n">
        <v>0</v>
      </c>
      <c r="CX17" s="28" t="n">
        <v>0</v>
      </c>
      <c r="CY17" s="28" t="n">
        <v>0</v>
      </c>
      <c r="CZ17" s="28" t="n">
        <v>0</v>
      </c>
      <c r="DA17" s="28" t="n">
        <v>0</v>
      </c>
    </row>
    <row r="18">
      <c r="A18" t="inlineStr">
        <is>
          <t>TSP-206</t>
        </is>
      </c>
      <c r="B18" s="28" t="n">
        <v>0</v>
      </c>
      <c r="C18" s="28" t="n">
        <v>0</v>
      </c>
      <c r="D18" s="28" t="n">
        <v>0</v>
      </c>
      <c r="E18" s="28" t="n">
        <v>0</v>
      </c>
      <c r="F18" s="28" t="n">
        <v>0</v>
      </c>
      <c r="G18" s="28" t="n">
        <v>0</v>
      </c>
      <c r="H18" s="28" t="n">
        <v>0</v>
      </c>
      <c r="I18" s="28" t="n">
        <v>0</v>
      </c>
      <c r="J18" s="28" t="n">
        <v>0</v>
      </c>
      <c r="K18" s="28" t="n">
        <v>0</v>
      </c>
      <c r="L18" s="28" t="n">
        <v>0</v>
      </c>
      <c r="M18" s="28" t="n">
        <v>0</v>
      </c>
      <c r="N18" s="28" t="n">
        <v>0</v>
      </c>
      <c r="O18" s="28" t="n">
        <v>0</v>
      </c>
      <c r="P18" s="28" t="n">
        <v>0</v>
      </c>
      <c r="Q18" s="28" t="n">
        <v>0</v>
      </c>
      <c r="R18" s="28" t="n">
        <v>0</v>
      </c>
      <c r="S18" s="28" t="n">
        <v>0</v>
      </c>
      <c r="T18" s="28" t="n">
        <v>0</v>
      </c>
      <c r="U18" s="28" t="n">
        <v>0</v>
      </c>
      <c r="V18" s="28" t="n">
        <v>0</v>
      </c>
      <c r="W18" s="28" t="n">
        <v>0</v>
      </c>
      <c r="X18" s="28" t="n">
        <v>0</v>
      </c>
      <c r="Y18" s="28" t="n">
        <v>0</v>
      </c>
      <c r="Z18" s="28" t="n">
        <v>0</v>
      </c>
      <c r="AA18" s="28" t="n">
        <v>0</v>
      </c>
      <c r="AB18" s="28" t="n">
        <v>0</v>
      </c>
      <c r="AC18" s="28" t="n">
        <v>0</v>
      </c>
      <c r="AD18" s="28" t="n">
        <v>0</v>
      </c>
      <c r="AE18" s="28" t="n">
        <v>0</v>
      </c>
      <c r="AF18" s="28" t="n">
        <v>0</v>
      </c>
      <c r="AG18" s="28" t="n">
        <v>0</v>
      </c>
      <c r="AH18" s="28" t="n">
        <v>0</v>
      </c>
      <c r="AI18" s="28" t="n">
        <v>0</v>
      </c>
      <c r="AJ18" s="28" t="n">
        <v>0</v>
      </c>
      <c r="AK18" s="28" t="n">
        <v>0</v>
      </c>
      <c r="AL18" s="28" t="n">
        <v>0</v>
      </c>
      <c r="AM18" s="28" t="n">
        <v>0</v>
      </c>
      <c r="AN18" s="28" t="n">
        <v>0</v>
      </c>
      <c r="AO18" s="28" t="n">
        <v>0</v>
      </c>
      <c r="AP18" s="28" t="n">
        <v>0</v>
      </c>
      <c r="AQ18" s="28" t="n">
        <v>0</v>
      </c>
      <c r="AR18" s="28" t="n">
        <v>0</v>
      </c>
      <c r="AS18" s="28" t="n">
        <v>0</v>
      </c>
      <c r="AT18" s="28" t="n">
        <v>0</v>
      </c>
      <c r="AU18" s="28" t="n">
        <v>0</v>
      </c>
      <c r="AV18" s="28" t="n">
        <v>0</v>
      </c>
      <c r="AW18" s="28" t="n">
        <v>0</v>
      </c>
      <c r="AX18" s="28" t="n">
        <v>0</v>
      </c>
      <c r="AY18" s="28" t="n">
        <v>0</v>
      </c>
      <c r="AZ18" s="28" t="n">
        <v>0</v>
      </c>
      <c r="BA18" s="28" t="n">
        <v>0</v>
      </c>
      <c r="BB18" s="28" t="n">
        <v>0</v>
      </c>
      <c r="BC18" s="28" t="n">
        <v>0</v>
      </c>
      <c r="BD18" s="28" t="n">
        <v>0</v>
      </c>
      <c r="BE18" s="28" t="n">
        <v>0</v>
      </c>
      <c r="BF18" s="28" t="n">
        <v>0</v>
      </c>
      <c r="BG18" s="28" t="n">
        <v>0</v>
      </c>
      <c r="BH18" s="28" t="n">
        <v>0</v>
      </c>
      <c r="BI18" s="28" t="n">
        <v>0</v>
      </c>
      <c r="BJ18" s="28" t="n">
        <v>0</v>
      </c>
      <c r="BK18" s="28" t="n">
        <v>0</v>
      </c>
      <c r="BL18" s="28" t="n">
        <v>0</v>
      </c>
      <c r="BM18" s="28" t="n">
        <v>0</v>
      </c>
      <c r="BN18" s="28" t="n">
        <v>0</v>
      </c>
      <c r="BO18" s="28" t="n">
        <v>0</v>
      </c>
      <c r="BP18" s="28" t="n">
        <v>0</v>
      </c>
      <c r="BQ18" s="28" t="n">
        <v>0</v>
      </c>
      <c r="BR18" s="28" t="n">
        <v>0</v>
      </c>
      <c r="BS18" s="28" t="n">
        <v>0</v>
      </c>
      <c r="BT18" s="28" t="n">
        <v>0</v>
      </c>
      <c r="BU18" s="28" t="n">
        <v>0</v>
      </c>
      <c r="BV18" s="28" t="n">
        <v>0</v>
      </c>
      <c r="BW18" s="28" t="n">
        <v>0</v>
      </c>
      <c r="BX18" s="28" t="n">
        <v>0</v>
      </c>
      <c r="BY18" s="28" t="n">
        <v>0</v>
      </c>
      <c r="BZ18" s="28" t="n">
        <v>0</v>
      </c>
      <c r="CA18" s="28" t="n">
        <v>0</v>
      </c>
      <c r="CB18" s="28" t="n">
        <v>0</v>
      </c>
      <c r="CC18" s="28" t="n">
        <v>0</v>
      </c>
      <c r="CD18" s="28" t="n">
        <v>0</v>
      </c>
      <c r="CE18" s="28" t="n">
        <v>0</v>
      </c>
      <c r="CF18" s="28" t="n">
        <v>0</v>
      </c>
      <c r="CG18" s="28" t="n">
        <v>0</v>
      </c>
      <c r="CH18" s="28" t="n">
        <v>0</v>
      </c>
      <c r="CI18" s="28" t="n">
        <v>0</v>
      </c>
      <c r="CJ18" s="28" t="n">
        <v>0</v>
      </c>
      <c r="CK18" s="28" t="n">
        <v>0</v>
      </c>
      <c r="CL18" s="28" t="n">
        <v>0</v>
      </c>
      <c r="CM18" s="28" t="n">
        <v>0</v>
      </c>
      <c r="CN18" s="28" t="n">
        <v>0</v>
      </c>
      <c r="CO18" s="28" t="n">
        <v>0</v>
      </c>
      <c r="CP18" s="28" t="n">
        <v>0</v>
      </c>
      <c r="CQ18" s="28" t="n">
        <v>0</v>
      </c>
      <c r="CR18" s="28" t="n">
        <v>0</v>
      </c>
      <c r="CS18" s="28" t="n">
        <v>0</v>
      </c>
      <c r="CT18" s="28" t="n">
        <v>0</v>
      </c>
      <c r="CU18" s="28" t="n">
        <v>0</v>
      </c>
      <c r="CV18" s="28" t="n">
        <v>0</v>
      </c>
      <c r="CW18" s="28" t="n">
        <v>0</v>
      </c>
      <c r="CX18" s="28" t="n">
        <v>0</v>
      </c>
      <c r="CY18" s="28" t="n">
        <v>0</v>
      </c>
      <c r="CZ18" s="28" t="n">
        <v>0</v>
      </c>
      <c r="DA18" s="28" t="n">
        <v>0</v>
      </c>
    </row>
    <row r="19">
      <c r="A19" t="inlineStr">
        <is>
          <t>TSP-224</t>
        </is>
      </c>
      <c r="B19" s="28" t="n">
        <v>0</v>
      </c>
      <c r="C19" s="28" t="n">
        <v>0</v>
      </c>
      <c r="D19" s="28" t="n">
        <v>0</v>
      </c>
      <c r="E19" s="28" t="n">
        <v>0</v>
      </c>
      <c r="F19" s="28" t="n">
        <v>0</v>
      </c>
      <c r="G19" s="28" t="n">
        <v>0</v>
      </c>
      <c r="H19" s="28" t="n">
        <v>0</v>
      </c>
      <c r="I19" s="28" t="n">
        <v>0</v>
      </c>
      <c r="J19" s="28" t="n">
        <v>0</v>
      </c>
      <c r="K19" s="28" t="n">
        <v>0</v>
      </c>
      <c r="L19" s="28" t="n">
        <v>0</v>
      </c>
      <c r="M19" s="28" t="n">
        <v>0</v>
      </c>
      <c r="N19" s="28" t="n">
        <v>0</v>
      </c>
      <c r="O19" s="28" t="n">
        <v>0</v>
      </c>
      <c r="P19" s="28" t="n">
        <v>0</v>
      </c>
      <c r="Q19" s="28" t="n">
        <v>0</v>
      </c>
      <c r="R19" s="28" t="n">
        <v>0</v>
      </c>
      <c r="S19" s="28" t="n">
        <v>0</v>
      </c>
      <c r="T19" s="28" t="n">
        <v>0</v>
      </c>
      <c r="U19" s="28" t="n">
        <v>0</v>
      </c>
      <c r="V19" s="28" t="n">
        <v>0</v>
      </c>
      <c r="W19" s="28" t="n">
        <v>0</v>
      </c>
      <c r="X19" s="28" t="n">
        <v>0</v>
      </c>
      <c r="Y19" s="28" t="n">
        <v>0</v>
      </c>
      <c r="Z19" s="28" t="n">
        <v>0</v>
      </c>
      <c r="AA19" s="28" t="n">
        <v>0</v>
      </c>
      <c r="AB19" s="28" t="n">
        <v>0</v>
      </c>
      <c r="AC19" s="28" t="n">
        <v>0</v>
      </c>
      <c r="AD19" s="28" t="n">
        <v>0</v>
      </c>
      <c r="AE19" s="28" t="n">
        <v>0</v>
      </c>
      <c r="AF19" s="28" t="n">
        <v>0</v>
      </c>
      <c r="AG19" s="28" t="n">
        <v>0</v>
      </c>
      <c r="AH19" s="28" t="n">
        <v>0</v>
      </c>
      <c r="AI19" s="28" t="n">
        <v>0</v>
      </c>
      <c r="AJ19" s="28" t="n">
        <v>0</v>
      </c>
      <c r="AK19" s="28" t="n">
        <v>0</v>
      </c>
      <c r="AL19" s="28" t="n">
        <v>0</v>
      </c>
      <c r="AM19" s="28" t="n">
        <v>0</v>
      </c>
      <c r="AN19" s="28" t="n">
        <v>0</v>
      </c>
      <c r="AO19" s="28" t="n">
        <v>0</v>
      </c>
      <c r="AP19" s="28" t="n">
        <v>0</v>
      </c>
      <c r="AQ19" s="28" t="n">
        <v>0</v>
      </c>
      <c r="AR19" s="28" t="n">
        <v>0</v>
      </c>
      <c r="AS19" s="28" t="n">
        <v>0</v>
      </c>
      <c r="AT19" s="28" t="n">
        <v>0</v>
      </c>
      <c r="AU19" s="28" t="n">
        <v>0</v>
      </c>
      <c r="AV19" s="28" t="n">
        <v>0</v>
      </c>
      <c r="AW19" s="28" t="n">
        <v>0</v>
      </c>
      <c r="AX19" s="28" t="n">
        <v>0</v>
      </c>
      <c r="AY19" s="28" t="n">
        <v>0</v>
      </c>
      <c r="AZ19" s="28" t="n">
        <v>0</v>
      </c>
      <c r="BA19" s="28" t="n">
        <v>0</v>
      </c>
      <c r="BB19" s="28" t="n">
        <v>0</v>
      </c>
      <c r="BC19" s="28" t="n">
        <v>0</v>
      </c>
      <c r="BD19" s="28" t="n">
        <v>0</v>
      </c>
      <c r="BE19" s="28" t="n">
        <v>0</v>
      </c>
      <c r="BF19" s="28" t="n">
        <v>0</v>
      </c>
      <c r="BG19" s="28" t="n">
        <v>0</v>
      </c>
      <c r="BH19" s="28" t="n">
        <v>0</v>
      </c>
      <c r="BI19" s="28" t="n">
        <v>0</v>
      </c>
      <c r="BJ19" s="28" t="n">
        <v>0</v>
      </c>
      <c r="BK19" s="28" t="n">
        <v>0</v>
      </c>
      <c r="BL19" s="28" t="n">
        <v>0</v>
      </c>
      <c r="BM19" s="28" t="n">
        <v>0</v>
      </c>
      <c r="BN19" s="28" t="n">
        <v>0</v>
      </c>
      <c r="BO19" s="28" t="n">
        <v>0</v>
      </c>
      <c r="BP19" s="28" t="n">
        <v>0</v>
      </c>
      <c r="BQ19" s="28" t="n">
        <v>0</v>
      </c>
      <c r="BR19" s="28" t="n">
        <v>0</v>
      </c>
      <c r="BS19" s="28" t="n">
        <v>0</v>
      </c>
      <c r="BT19" s="28" t="n">
        <v>0</v>
      </c>
      <c r="BU19" s="28" t="n">
        <v>0</v>
      </c>
      <c r="BV19" s="28" t="n">
        <v>0</v>
      </c>
      <c r="BW19" s="28" t="n">
        <v>0</v>
      </c>
      <c r="BX19" s="28" t="n">
        <v>0</v>
      </c>
      <c r="BY19" s="28" t="n">
        <v>0</v>
      </c>
      <c r="BZ19" s="28" t="n">
        <v>0</v>
      </c>
      <c r="CA19" s="28" t="n">
        <v>0</v>
      </c>
      <c r="CB19" s="28" t="n">
        <v>0</v>
      </c>
      <c r="CC19" s="28" t="n">
        <v>0</v>
      </c>
      <c r="CD19" s="28" t="n">
        <v>0</v>
      </c>
      <c r="CE19" s="28" t="n">
        <v>0</v>
      </c>
      <c r="CF19" s="28" t="n">
        <v>0</v>
      </c>
      <c r="CG19" s="28" t="n">
        <v>0</v>
      </c>
      <c r="CH19" s="28" t="n">
        <v>0</v>
      </c>
      <c r="CI19" s="28" t="n">
        <v>0</v>
      </c>
      <c r="CJ19" s="28" t="n">
        <v>0</v>
      </c>
      <c r="CK19" s="28" t="n">
        <v>0</v>
      </c>
      <c r="CL19" s="28" t="n">
        <v>0</v>
      </c>
      <c r="CM19" s="28" t="n">
        <v>0</v>
      </c>
      <c r="CN19" s="28" t="n">
        <v>0</v>
      </c>
      <c r="CO19" s="28" t="n">
        <v>0</v>
      </c>
      <c r="CP19" s="28" t="n">
        <v>0</v>
      </c>
      <c r="CQ19" s="28" t="n">
        <v>0</v>
      </c>
      <c r="CR19" s="28" t="n">
        <v>0</v>
      </c>
      <c r="CS19" s="28" t="n">
        <v>0</v>
      </c>
      <c r="CT19" s="28" t="n">
        <v>0</v>
      </c>
      <c r="CU19" s="28" t="n">
        <v>0</v>
      </c>
      <c r="CV19" s="28" t="n">
        <v>0</v>
      </c>
      <c r="CW19" s="28" t="n">
        <v>0</v>
      </c>
      <c r="CX19" s="28" t="n">
        <v>0</v>
      </c>
      <c r="CY19" s="28" t="n">
        <v>0</v>
      </c>
      <c r="CZ19" s="28" t="n">
        <v>0</v>
      </c>
      <c r="DA19" s="28" t="n">
        <v>0</v>
      </c>
    </row>
    <row r="20">
      <c r="A20" t="inlineStr">
        <is>
          <t>TSP-225</t>
        </is>
      </c>
      <c r="B20" s="28" t="n">
        <v>0</v>
      </c>
      <c r="C20" s="28" t="n">
        <v>0</v>
      </c>
      <c r="D20" s="28" t="n">
        <v>0</v>
      </c>
      <c r="E20" s="28" t="n">
        <v>0</v>
      </c>
      <c r="F20" s="28" t="n">
        <v>0</v>
      </c>
      <c r="G20" s="28" t="n">
        <v>0</v>
      </c>
      <c r="H20" s="28" t="n">
        <v>0</v>
      </c>
      <c r="I20" s="28" t="n">
        <v>0</v>
      </c>
      <c r="J20" s="28" t="n">
        <v>0</v>
      </c>
      <c r="K20" s="28" t="n">
        <v>0</v>
      </c>
      <c r="L20" s="28" t="n">
        <v>0</v>
      </c>
      <c r="M20" s="28" t="n">
        <v>0</v>
      </c>
      <c r="N20" s="28" t="n">
        <v>0</v>
      </c>
      <c r="O20" s="28" t="n">
        <v>0</v>
      </c>
      <c r="P20" s="28" t="n">
        <v>0</v>
      </c>
      <c r="Q20" s="28" t="n">
        <v>0</v>
      </c>
      <c r="R20" s="28" t="n">
        <v>0</v>
      </c>
      <c r="S20" s="28" t="n">
        <v>0</v>
      </c>
      <c r="T20" s="28" t="n">
        <v>0</v>
      </c>
      <c r="U20" s="28" t="n">
        <v>0</v>
      </c>
      <c r="V20" s="28" t="n">
        <v>0</v>
      </c>
      <c r="W20" s="28" t="n">
        <v>0</v>
      </c>
      <c r="X20" s="28" t="n">
        <v>0</v>
      </c>
      <c r="Y20" s="28" t="n">
        <v>0</v>
      </c>
      <c r="Z20" s="28" t="n">
        <v>0</v>
      </c>
      <c r="AA20" s="28" t="n">
        <v>0</v>
      </c>
      <c r="AB20" s="28" t="n">
        <v>0</v>
      </c>
      <c r="AC20" s="28" t="n">
        <v>0</v>
      </c>
      <c r="AD20" s="28" t="n">
        <v>0</v>
      </c>
      <c r="AE20" s="28" t="n">
        <v>0</v>
      </c>
      <c r="AF20" s="28" t="n">
        <v>0</v>
      </c>
      <c r="AG20" s="28" t="n">
        <v>0</v>
      </c>
      <c r="AH20" s="28" t="n">
        <v>0</v>
      </c>
      <c r="AI20" s="28" t="n">
        <v>0</v>
      </c>
      <c r="AJ20" s="28" t="n">
        <v>0</v>
      </c>
      <c r="AK20" s="28" t="n">
        <v>0</v>
      </c>
      <c r="AL20" s="28" t="n">
        <v>0</v>
      </c>
      <c r="AM20" s="28" t="n">
        <v>0</v>
      </c>
      <c r="AN20" s="28" t="n">
        <v>0</v>
      </c>
      <c r="AO20" s="28" t="n">
        <v>0</v>
      </c>
      <c r="AP20" s="28" t="n">
        <v>0</v>
      </c>
      <c r="AQ20" s="28" t="n">
        <v>0</v>
      </c>
      <c r="AR20" s="28" t="n">
        <v>0</v>
      </c>
      <c r="AS20" s="28" t="n">
        <v>0</v>
      </c>
      <c r="AT20" s="28" t="n">
        <v>0</v>
      </c>
      <c r="AU20" s="28" t="n">
        <v>0</v>
      </c>
      <c r="AV20" s="28" t="n">
        <v>0</v>
      </c>
      <c r="AW20" s="28" t="n">
        <v>0</v>
      </c>
      <c r="AX20" s="28" t="n">
        <v>0</v>
      </c>
      <c r="AY20" s="28" t="n">
        <v>0</v>
      </c>
      <c r="AZ20" s="28" t="n">
        <v>0</v>
      </c>
      <c r="BA20" s="28" t="n">
        <v>0</v>
      </c>
      <c r="BB20" s="28" t="n">
        <v>0</v>
      </c>
      <c r="BC20" s="28" t="n">
        <v>0</v>
      </c>
      <c r="BD20" s="28" t="n">
        <v>0</v>
      </c>
      <c r="BE20" s="28" t="n">
        <v>0</v>
      </c>
      <c r="BF20" s="28" t="n">
        <v>0</v>
      </c>
      <c r="BG20" s="28" t="n">
        <v>0</v>
      </c>
      <c r="BH20" s="28" t="n">
        <v>0</v>
      </c>
      <c r="BI20" s="28" t="n">
        <v>0</v>
      </c>
      <c r="BJ20" s="28" t="n">
        <v>0</v>
      </c>
      <c r="BK20" s="28" t="n">
        <v>0</v>
      </c>
      <c r="BL20" s="28" t="n">
        <v>0</v>
      </c>
      <c r="BM20" s="28" t="n">
        <v>0</v>
      </c>
      <c r="BN20" s="28" t="n">
        <v>0</v>
      </c>
      <c r="BO20" s="28" t="n">
        <v>0</v>
      </c>
      <c r="BP20" s="28" t="n">
        <v>0</v>
      </c>
      <c r="BQ20" s="28" t="n">
        <v>0</v>
      </c>
      <c r="BR20" s="28" t="n">
        <v>0</v>
      </c>
      <c r="BS20" s="28" t="n">
        <v>0</v>
      </c>
      <c r="BT20" s="28" t="n">
        <v>0</v>
      </c>
      <c r="BU20" s="28" t="n">
        <v>0</v>
      </c>
      <c r="BV20" s="28" t="n">
        <v>0</v>
      </c>
      <c r="BW20" s="28" t="n">
        <v>0</v>
      </c>
      <c r="BX20" s="28" t="n">
        <v>0</v>
      </c>
      <c r="BY20" s="28" t="n">
        <v>0</v>
      </c>
      <c r="BZ20" s="28" t="n">
        <v>0</v>
      </c>
      <c r="CA20" s="28" t="n">
        <v>0</v>
      </c>
      <c r="CB20" s="28" t="n">
        <v>0</v>
      </c>
      <c r="CC20" s="28" t="n">
        <v>0</v>
      </c>
      <c r="CD20" s="28" t="n">
        <v>0</v>
      </c>
      <c r="CE20" s="28" t="n">
        <v>0</v>
      </c>
      <c r="CF20" s="28" t="n">
        <v>0</v>
      </c>
      <c r="CG20" s="28" t="n">
        <v>0</v>
      </c>
      <c r="CH20" s="28" t="n">
        <v>0</v>
      </c>
      <c r="CI20" s="28" t="n">
        <v>0</v>
      </c>
      <c r="CJ20" s="28" t="n">
        <v>0</v>
      </c>
      <c r="CK20" s="28" t="n">
        <v>0</v>
      </c>
      <c r="CL20" s="28" t="n">
        <v>0</v>
      </c>
      <c r="CM20" s="28" t="n">
        <v>0</v>
      </c>
      <c r="CN20" s="28" t="n">
        <v>0</v>
      </c>
      <c r="CO20" s="28" t="n">
        <v>0</v>
      </c>
      <c r="CP20" s="28" t="n">
        <v>0</v>
      </c>
      <c r="CQ20" s="28" t="n">
        <v>0</v>
      </c>
      <c r="CR20" s="28" t="n">
        <v>0</v>
      </c>
      <c r="CS20" s="28" t="n">
        <v>0</v>
      </c>
      <c r="CT20" s="28" t="n">
        <v>0</v>
      </c>
      <c r="CU20" s="28" t="n">
        <v>0</v>
      </c>
      <c r="CV20" s="28" t="n">
        <v>0</v>
      </c>
      <c r="CW20" s="28" t="n">
        <v>0</v>
      </c>
      <c r="CX20" s="28" t="n">
        <v>0</v>
      </c>
      <c r="CY20" s="28" t="n">
        <v>0</v>
      </c>
      <c r="CZ20" s="28" t="n">
        <v>0</v>
      </c>
      <c r="DA20" s="28" t="n">
        <v>0</v>
      </c>
    </row>
    <row r="21">
      <c r="A21" t="inlineStr">
        <is>
          <t>TSP-360</t>
        </is>
      </c>
      <c r="B21" s="28" t="n">
        <v>0</v>
      </c>
      <c r="C21" s="28" t="n">
        <v>0</v>
      </c>
      <c r="D21" s="28" t="n">
        <v>0</v>
      </c>
      <c r="E21" s="28" t="n">
        <v>0</v>
      </c>
      <c r="F21" s="28" t="n">
        <v>0</v>
      </c>
      <c r="G21" s="28" t="n">
        <v>0</v>
      </c>
      <c r="H21" s="28" t="n">
        <v>0</v>
      </c>
      <c r="I21" s="28" t="n">
        <v>0</v>
      </c>
      <c r="J21" s="28" t="n">
        <v>0</v>
      </c>
      <c r="K21" s="28" t="n">
        <v>0</v>
      </c>
      <c r="L21" s="28" t="n">
        <v>0</v>
      </c>
      <c r="M21" s="28" t="n">
        <v>0</v>
      </c>
      <c r="N21" s="28" t="n">
        <v>0</v>
      </c>
      <c r="O21" s="28" t="n">
        <v>0</v>
      </c>
      <c r="P21" s="28" t="n">
        <v>0</v>
      </c>
      <c r="Q21" s="28" t="n">
        <v>0</v>
      </c>
      <c r="R21" s="28" t="n">
        <v>0</v>
      </c>
      <c r="S21" s="28" t="n">
        <v>0</v>
      </c>
      <c r="T21" s="28" t="n">
        <v>0</v>
      </c>
      <c r="U21" s="28" t="n">
        <v>0</v>
      </c>
      <c r="V21" s="28" t="n">
        <v>0</v>
      </c>
      <c r="W21" s="28" t="n">
        <v>0</v>
      </c>
      <c r="X21" s="28" t="n">
        <v>0</v>
      </c>
      <c r="Y21" s="28" t="n">
        <v>0</v>
      </c>
      <c r="Z21" s="28" t="n">
        <v>0</v>
      </c>
      <c r="AA21" s="28" t="n">
        <v>0</v>
      </c>
      <c r="AB21" s="28" t="n">
        <v>0</v>
      </c>
      <c r="AC21" s="28" t="n">
        <v>0</v>
      </c>
      <c r="AD21" s="28" t="n">
        <v>0</v>
      </c>
      <c r="AE21" s="28" t="n">
        <v>0</v>
      </c>
      <c r="AF21" s="28" t="n">
        <v>0</v>
      </c>
      <c r="AG21" s="28" t="n">
        <v>0</v>
      </c>
      <c r="AH21" s="28" t="n">
        <v>0</v>
      </c>
      <c r="AI21" s="28" t="n">
        <v>0</v>
      </c>
      <c r="AJ21" s="28" t="n">
        <v>0</v>
      </c>
      <c r="AK21" s="28" t="n">
        <v>0</v>
      </c>
      <c r="AL21" s="28" t="n">
        <v>0</v>
      </c>
      <c r="AM21" s="28" t="n">
        <v>0</v>
      </c>
      <c r="AN21" s="28" t="n">
        <v>0</v>
      </c>
      <c r="AO21" s="28" t="n">
        <v>0</v>
      </c>
      <c r="AP21" s="28" t="n">
        <v>0</v>
      </c>
      <c r="AQ21" s="28" t="n">
        <v>0</v>
      </c>
      <c r="AR21" s="28" t="n">
        <v>0</v>
      </c>
      <c r="AS21" s="28" t="n">
        <v>0</v>
      </c>
      <c r="AT21" s="28" t="n">
        <v>0</v>
      </c>
      <c r="AU21" s="28" t="n">
        <v>0</v>
      </c>
      <c r="AV21" s="28" t="n">
        <v>0</v>
      </c>
      <c r="AW21" s="28" t="n">
        <v>0</v>
      </c>
      <c r="AX21" s="28" t="n">
        <v>0</v>
      </c>
      <c r="AY21" s="28" t="n">
        <v>0</v>
      </c>
      <c r="AZ21" s="28" t="n">
        <v>0</v>
      </c>
      <c r="BA21" s="28" t="n">
        <v>0</v>
      </c>
      <c r="BB21" s="28" t="n">
        <v>0</v>
      </c>
      <c r="BC21" s="28" t="n">
        <v>0</v>
      </c>
      <c r="BD21" s="28" t="n">
        <v>0</v>
      </c>
      <c r="BE21" s="28" t="n">
        <v>0</v>
      </c>
      <c r="BF21" s="28" t="n">
        <v>0</v>
      </c>
      <c r="BG21" s="28" t="n">
        <v>0</v>
      </c>
      <c r="BH21" s="28" t="n">
        <v>0</v>
      </c>
      <c r="BI21" s="28" t="n">
        <v>0</v>
      </c>
      <c r="BJ21" s="28" t="n">
        <v>0</v>
      </c>
      <c r="BK21" s="28" t="n">
        <v>0</v>
      </c>
      <c r="BL21" s="28" t="n">
        <v>0</v>
      </c>
      <c r="BM21" s="28" t="n">
        <v>0</v>
      </c>
      <c r="BN21" s="28" t="n">
        <v>0</v>
      </c>
      <c r="BO21" s="28" t="n">
        <v>0</v>
      </c>
      <c r="BP21" s="28" t="n">
        <v>0</v>
      </c>
      <c r="BQ21" s="28" t="n">
        <v>0</v>
      </c>
      <c r="BR21" s="28" t="n">
        <v>0</v>
      </c>
      <c r="BS21" s="28" t="n">
        <v>0</v>
      </c>
      <c r="BT21" s="28" t="n">
        <v>0</v>
      </c>
      <c r="BU21" s="28" t="n">
        <v>0</v>
      </c>
      <c r="BV21" s="28" t="n">
        <v>0</v>
      </c>
      <c r="BW21" s="28" t="n">
        <v>0</v>
      </c>
      <c r="BX21" s="28" t="n">
        <v>0</v>
      </c>
      <c r="BY21" s="28" t="n">
        <v>0</v>
      </c>
      <c r="BZ21" s="28" t="n">
        <v>0</v>
      </c>
      <c r="CA21" s="28" t="n">
        <v>0</v>
      </c>
      <c r="CB21" s="28" t="n">
        <v>0</v>
      </c>
      <c r="CC21" s="28" t="n">
        <v>0</v>
      </c>
      <c r="CD21" s="28" t="n">
        <v>0</v>
      </c>
      <c r="CE21" s="28" t="n">
        <v>0</v>
      </c>
      <c r="CF21" s="28" t="n">
        <v>0</v>
      </c>
      <c r="CG21" s="28" t="n">
        <v>0</v>
      </c>
      <c r="CH21" s="28" t="n">
        <v>0</v>
      </c>
      <c r="CI21" s="28" t="n">
        <v>0</v>
      </c>
      <c r="CJ21" s="28" t="n">
        <v>0</v>
      </c>
      <c r="CK21" s="28" t="n">
        <v>0</v>
      </c>
      <c r="CL21" s="28" t="n">
        <v>0</v>
      </c>
      <c r="CM21" s="28" t="n">
        <v>0</v>
      </c>
      <c r="CN21" s="28" t="n">
        <v>0</v>
      </c>
      <c r="CO21" s="28" t="n">
        <v>0</v>
      </c>
      <c r="CP21" s="28" t="n">
        <v>0</v>
      </c>
      <c r="CQ21" s="28" t="n">
        <v>0</v>
      </c>
      <c r="CR21" s="28" t="n">
        <v>0</v>
      </c>
      <c r="CS21" s="28" t="n">
        <v>0</v>
      </c>
      <c r="CT21" s="28" t="n">
        <v>0</v>
      </c>
      <c r="CU21" s="28" t="n">
        <v>0</v>
      </c>
      <c r="CV21" s="28" t="n">
        <v>0</v>
      </c>
      <c r="CW21" s="28" t="n">
        <v>0</v>
      </c>
      <c r="CX21" s="28" t="n">
        <v>0</v>
      </c>
      <c r="CY21" s="28" t="n">
        <v>0</v>
      </c>
      <c r="CZ21" s="28" t="n">
        <v>0</v>
      </c>
      <c r="DA21" s="28" t="n">
        <v>0</v>
      </c>
    </row>
    <row r="22">
      <c r="A22" t="inlineStr">
        <is>
          <t>TSP-367</t>
        </is>
      </c>
      <c r="B22" s="28" t="n">
        <v>0</v>
      </c>
      <c r="C22" s="28" t="n">
        <v>0</v>
      </c>
      <c r="D22" s="28" t="n">
        <v>0</v>
      </c>
      <c r="E22" s="28" t="n">
        <v>0</v>
      </c>
      <c r="F22" s="28" t="n">
        <v>0</v>
      </c>
      <c r="G22" s="28" t="n">
        <v>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  <c r="M22" s="28" t="n">
        <v>0</v>
      </c>
      <c r="N22" s="28" t="n">
        <v>0</v>
      </c>
      <c r="O22" s="28" t="n">
        <v>0</v>
      </c>
      <c r="P22" s="28" t="n">
        <v>0</v>
      </c>
      <c r="Q22" s="28" t="n">
        <v>0</v>
      </c>
      <c r="R22" s="28" t="n">
        <v>0</v>
      </c>
      <c r="S22" s="28" t="n">
        <v>0</v>
      </c>
      <c r="T22" s="28" t="n">
        <v>0</v>
      </c>
      <c r="U22" s="28" t="n">
        <v>0</v>
      </c>
      <c r="V22" s="28" t="n">
        <v>0</v>
      </c>
      <c r="W22" s="28" t="n">
        <v>0</v>
      </c>
      <c r="X22" s="28" t="n">
        <v>0</v>
      </c>
      <c r="Y22" s="28" t="n">
        <v>0</v>
      </c>
      <c r="Z22" s="28" t="n">
        <v>0</v>
      </c>
      <c r="AA22" s="28" t="n">
        <v>0</v>
      </c>
      <c r="AB22" s="28" t="n">
        <v>0</v>
      </c>
      <c r="AC22" s="28" t="n">
        <v>0</v>
      </c>
      <c r="AD22" s="28" t="n">
        <v>0</v>
      </c>
      <c r="AE22" s="28" t="n">
        <v>0</v>
      </c>
      <c r="AF22" s="28" t="n">
        <v>0</v>
      </c>
      <c r="AG22" s="28" t="n">
        <v>0</v>
      </c>
      <c r="AH22" s="28" t="n">
        <v>0</v>
      </c>
      <c r="AI22" s="28" t="n">
        <v>0</v>
      </c>
      <c r="AJ22" s="28" t="n">
        <v>0</v>
      </c>
      <c r="AK22" s="28" t="n">
        <v>0</v>
      </c>
      <c r="AL22" s="28" t="n">
        <v>0</v>
      </c>
      <c r="AM22" s="28" t="n">
        <v>0</v>
      </c>
      <c r="AN22" s="28" t="n">
        <v>0</v>
      </c>
      <c r="AO22" s="28" t="n">
        <v>0</v>
      </c>
      <c r="AP22" s="28" t="n">
        <v>0</v>
      </c>
      <c r="AQ22" s="28" t="n">
        <v>0</v>
      </c>
      <c r="AR22" s="28" t="n">
        <v>0</v>
      </c>
      <c r="AS22" s="28" t="n">
        <v>0</v>
      </c>
      <c r="AT22" s="28" t="n">
        <v>0</v>
      </c>
      <c r="AU22" s="28" t="n">
        <v>0</v>
      </c>
      <c r="AV22" s="28" t="n">
        <v>0</v>
      </c>
      <c r="AW22" s="28" t="n">
        <v>0</v>
      </c>
      <c r="AX22" s="28" t="n">
        <v>0</v>
      </c>
      <c r="AY22" s="28" t="n">
        <v>0</v>
      </c>
      <c r="AZ22" s="28" t="n">
        <v>0</v>
      </c>
      <c r="BA22" s="28" t="n">
        <v>0</v>
      </c>
      <c r="BB22" s="28" t="n">
        <v>0</v>
      </c>
      <c r="BC22" s="28" t="n">
        <v>0</v>
      </c>
      <c r="BD22" s="28" t="n">
        <v>0</v>
      </c>
      <c r="BE22" s="28" t="n">
        <v>0</v>
      </c>
      <c r="BF22" s="28" t="n">
        <v>0</v>
      </c>
      <c r="BG22" s="28" t="n">
        <v>0</v>
      </c>
      <c r="BH22" s="28" t="n">
        <v>0</v>
      </c>
      <c r="BI22" s="28" t="n">
        <v>0</v>
      </c>
      <c r="BJ22" s="28" t="n">
        <v>0</v>
      </c>
      <c r="BK22" s="28" t="n">
        <v>0</v>
      </c>
      <c r="BL22" s="28" t="n">
        <v>0</v>
      </c>
      <c r="BM22" s="28" t="n">
        <v>0</v>
      </c>
      <c r="BN22" s="28" t="n">
        <v>0</v>
      </c>
      <c r="BO22" s="28" t="n">
        <v>0</v>
      </c>
      <c r="BP22" s="28" t="n">
        <v>0</v>
      </c>
      <c r="BQ22" s="28" t="n">
        <v>0</v>
      </c>
      <c r="BR22" s="28" t="n">
        <v>0</v>
      </c>
      <c r="BS22" s="28" t="n">
        <v>0</v>
      </c>
      <c r="BT22" s="28" t="n">
        <v>0</v>
      </c>
      <c r="BU22" s="28" t="n">
        <v>0</v>
      </c>
      <c r="BV22" s="28" t="n">
        <v>0</v>
      </c>
      <c r="BW22" s="28" t="n">
        <v>0</v>
      </c>
      <c r="BX22" s="28" t="n">
        <v>0</v>
      </c>
      <c r="BY22" s="28" t="n">
        <v>0</v>
      </c>
      <c r="BZ22" s="28" t="n">
        <v>0</v>
      </c>
      <c r="CA22" s="28" t="n">
        <v>0</v>
      </c>
      <c r="CB22" s="28" t="n">
        <v>0</v>
      </c>
      <c r="CC22" s="28" t="n">
        <v>0</v>
      </c>
      <c r="CD22" s="28" t="n">
        <v>0</v>
      </c>
      <c r="CE22" s="28" t="n">
        <v>0</v>
      </c>
      <c r="CF22" s="28" t="n">
        <v>0</v>
      </c>
      <c r="CG22" s="28" t="n">
        <v>0</v>
      </c>
      <c r="CH22" s="28" t="n">
        <v>0</v>
      </c>
      <c r="CI22" s="28" t="n">
        <v>0</v>
      </c>
      <c r="CJ22" s="28" t="n">
        <v>0</v>
      </c>
      <c r="CK22" s="28" t="n">
        <v>0</v>
      </c>
      <c r="CL22" s="28" t="n">
        <v>0</v>
      </c>
      <c r="CM22" s="28" t="n">
        <v>0</v>
      </c>
      <c r="CN22" s="28" t="n">
        <v>0</v>
      </c>
      <c r="CO22" s="28" t="n">
        <v>0</v>
      </c>
      <c r="CP22" s="28" t="n">
        <v>0</v>
      </c>
      <c r="CQ22" s="28" t="n">
        <v>0</v>
      </c>
      <c r="CR22" s="28" t="n">
        <v>0</v>
      </c>
      <c r="CS22" s="28" t="n">
        <v>0</v>
      </c>
      <c r="CT22" s="28" t="n">
        <v>0</v>
      </c>
      <c r="CU22" s="28" t="n">
        <v>0</v>
      </c>
      <c r="CV22" s="28" t="n">
        <v>0</v>
      </c>
      <c r="CW22" s="28" t="n">
        <v>0</v>
      </c>
      <c r="CX22" s="28" t="n">
        <v>0</v>
      </c>
      <c r="CY22" s="28" t="n">
        <v>0</v>
      </c>
      <c r="CZ22" s="28" t="n">
        <v>0</v>
      </c>
      <c r="DA22" s="28" t="n">
        <v>0</v>
      </c>
    </row>
    <row r="23">
      <c r="A23" t="inlineStr">
        <is>
          <t>TSP-369</t>
        </is>
      </c>
      <c r="B23" s="28" t="n">
        <v>0</v>
      </c>
      <c r="C23" s="28" t="n">
        <v>0</v>
      </c>
      <c r="D23" s="28" t="n">
        <v>0</v>
      </c>
      <c r="E23" s="28" t="n">
        <v>0</v>
      </c>
      <c r="F23" s="28" t="n">
        <v>0</v>
      </c>
      <c r="G23" s="2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0</v>
      </c>
      <c r="P23" s="28" t="n">
        <v>0</v>
      </c>
      <c r="Q23" s="28" t="n">
        <v>0</v>
      </c>
      <c r="R23" s="28" t="n">
        <v>0</v>
      </c>
      <c r="S23" s="28" t="n">
        <v>0</v>
      </c>
      <c r="T23" s="28" t="n">
        <v>0</v>
      </c>
      <c r="U23" s="28" t="n">
        <v>0</v>
      </c>
      <c r="V23" s="28" t="n">
        <v>0</v>
      </c>
      <c r="W23" s="28" t="n">
        <v>0</v>
      </c>
      <c r="X23" s="28" t="n">
        <v>0</v>
      </c>
      <c r="Y23" s="28" t="n">
        <v>0</v>
      </c>
      <c r="Z23" s="28" t="n">
        <v>0</v>
      </c>
      <c r="AA23" s="28" t="n">
        <v>0</v>
      </c>
      <c r="AB23" s="28" t="n">
        <v>0</v>
      </c>
      <c r="AC23" s="28" t="n">
        <v>0</v>
      </c>
      <c r="AD23" s="28" t="n">
        <v>0</v>
      </c>
      <c r="AE23" s="28" t="n">
        <v>0</v>
      </c>
      <c r="AF23" s="28" t="n">
        <v>0</v>
      </c>
      <c r="AG23" s="28" t="n">
        <v>0</v>
      </c>
      <c r="AH23" s="28" t="n">
        <v>0</v>
      </c>
      <c r="AI23" s="28" t="n">
        <v>0</v>
      </c>
      <c r="AJ23" s="28" t="n">
        <v>0</v>
      </c>
      <c r="AK23" s="28" t="n">
        <v>0</v>
      </c>
      <c r="AL23" s="28" t="n">
        <v>0</v>
      </c>
      <c r="AM23" s="28" t="n">
        <v>0</v>
      </c>
      <c r="AN23" s="28" t="n">
        <v>0</v>
      </c>
      <c r="AO23" s="28" t="n">
        <v>0</v>
      </c>
      <c r="AP23" s="28" t="n">
        <v>0</v>
      </c>
      <c r="AQ23" s="28" t="n">
        <v>0</v>
      </c>
      <c r="AR23" s="28" t="n">
        <v>0</v>
      </c>
      <c r="AS23" s="28" t="n">
        <v>0</v>
      </c>
      <c r="AT23" s="28" t="n">
        <v>0</v>
      </c>
      <c r="AU23" s="28" t="n">
        <v>0</v>
      </c>
      <c r="AV23" s="28" t="n">
        <v>0</v>
      </c>
      <c r="AW23" s="28" t="n">
        <v>0</v>
      </c>
      <c r="AX23" s="28" t="n">
        <v>0</v>
      </c>
      <c r="AY23" s="28" t="n">
        <v>0</v>
      </c>
      <c r="AZ23" s="28" t="n">
        <v>0</v>
      </c>
      <c r="BA23" s="28" t="n">
        <v>0</v>
      </c>
      <c r="BB23" s="28" t="n">
        <v>0</v>
      </c>
      <c r="BC23" s="28" t="n">
        <v>0</v>
      </c>
      <c r="BD23" s="28" t="n">
        <v>0</v>
      </c>
      <c r="BE23" s="28" t="n">
        <v>0</v>
      </c>
      <c r="BF23" s="28" t="n">
        <v>0</v>
      </c>
      <c r="BG23" s="28" t="n">
        <v>0</v>
      </c>
      <c r="BH23" s="28" t="n">
        <v>0</v>
      </c>
      <c r="BI23" s="28" t="n">
        <v>0</v>
      </c>
      <c r="BJ23" s="28" t="n">
        <v>0</v>
      </c>
      <c r="BK23" s="28" t="n">
        <v>0</v>
      </c>
      <c r="BL23" s="28" t="n">
        <v>0</v>
      </c>
      <c r="BM23" s="28" t="n">
        <v>0</v>
      </c>
      <c r="BN23" s="28" t="n">
        <v>0</v>
      </c>
      <c r="BO23" s="28" t="n">
        <v>0</v>
      </c>
      <c r="BP23" s="28" t="n">
        <v>0</v>
      </c>
      <c r="BQ23" s="28" t="n">
        <v>0</v>
      </c>
      <c r="BR23" s="28" t="n">
        <v>0</v>
      </c>
      <c r="BS23" s="28" t="n">
        <v>0</v>
      </c>
      <c r="BT23" s="28" t="n">
        <v>0</v>
      </c>
      <c r="BU23" s="28" t="n">
        <v>0</v>
      </c>
      <c r="BV23" s="28" t="n">
        <v>0</v>
      </c>
      <c r="BW23" s="28" t="n">
        <v>0</v>
      </c>
      <c r="BX23" s="28" t="n">
        <v>0</v>
      </c>
      <c r="BY23" s="28" t="n">
        <v>0</v>
      </c>
      <c r="BZ23" s="28" t="n">
        <v>0</v>
      </c>
      <c r="CA23" s="28" t="n">
        <v>0</v>
      </c>
      <c r="CB23" s="28" t="n">
        <v>0</v>
      </c>
      <c r="CC23" s="28" t="n">
        <v>0</v>
      </c>
      <c r="CD23" s="28" t="n">
        <v>0</v>
      </c>
      <c r="CE23" s="28" t="n">
        <v>0</v>
      </c>
      <c r="CF23" s="28" t="n">
        <v>0</v>
      </c>
      <c r="CG23" s="28" t="n">
        <v>0</v>
      </c>
      <c r="CH23" s="28" t="n">
        <v>0</v>
      </c>
      <c r="CI23" s="28" t="n">
        <v>0</v>
      </c>
      <c r="CJ23" s="28" t="n">
        <v>0</v>
      </c>
      <c r="CK23" s="28" t="n">
        <v>0</v>
      </c>
      <c r="CL23" s="28" t="n">
        <v>0</v>
      </c>
      <c r="CM23" s="28" t="n">
        <v>0</v>
      </c>
      <c r="CN23" s="28" t="n">
        <v>0</v>
      </c>
      <c r="CO23" s="28" t="n">
        <v>0</v>
      </c>
      <c r="CP23" s="28" t="n">
        <v>0</v>
      </c>
      <c r="CQ23" s="28" t="n">
        <v>0</v>
      </c>
      <c r="CR23" s="28" t="n">
        <v>0</v>
      </c>
      <c r="CS23" s="28" t="n">
        <v>0</v>
      </c>
      <c r="CT23" s="28" t="n">
        <v>0</v>
      </c>
      <c r="CU23" s="28" t="n">
        <v>0</v>
      </c>
      <c r="CV23" s="28" t="n">
        <v>0</v>
      </c>
      <c r="CW23" s="28" t="n">
        <v>0</v>
      </c>
      <c r="CX23" s="28" t="n">
        <v>0</v>
      </c>
      <c r="CY23" s="28" t="n">
        <v>0</v>
      </c>
      <c r="CZ23" s="28" t="n">
        <v>0</v>
      </c>
      <c r="DA23" s="28" t="n">
        <v>0</v>
      </c>
    </row>
    <row r="24">
      <c r="A24" t="inlineStr">
        <is>
          <t>TSP-402</t>
        </is>
      </c>
      <c r="B24" s="28" t="n">
        <v>0</v>
      </c>
      <c r="C24" s="28" t="n">
        <v>0</v>
      </c>
      <c r="D24" s="28" t="n">
        <v>0</v>
      </c>
      <c r="E24" s="28" t="n">
        <v>0</v>
      </c>
      <c r="F24" s="28" t="n">
        <v>0</v>
      </c>
      <c r="G24" s="28" t="n">
        <v>0</v>
      </c>
      <c r="H24" s="28" t="n">
        <v>0</v>
      </c>
      <c r="I24" s="28" t="n">
        <v>0</v>
      </c>
      <c r="J24" s="28" t="n">
        <v>0</v>
      </c>
      <c r="K24" s="28" t="n">
        <v>0</v>
      </c>
      <c r="L24" s="28" t="n">
        <v>0</v>
      </c>
      <c r="M24" s="28" t="n">
        <v>0</v>
      </c>
      <c r="N24" s="28" t="n">
        <v>0</v>
      </c>
      <c r="O24" s="28" t="n">
        <v>0</v>
      </c>
      <c r="P24" s="28" t="n">
        <v>0</v>
      </c>
      <c r="Q24" s="28" t="n">
        <v>0</v>
      </c>
      <c r="R24" s="28" t="n">
        <v>0</v>
      </c>
      <c r="S24" s="28" t="n">
        <v>0</v>
      </c>
      <c r="T24" s="28" t="n">
        <v>0</v>
      </c>
      <c r="U24" s="28" t="n">
        <v>0</v>
      </c>
      <c r="V24" s="28" t="n">
        <v>0</v>
      </c>
      <c r="W24" s="28" t="n">
        <v>0</v>
      </c>
      <c r="X24" s="28" t="n">
        <v>0</v>
      </c>
      <c r="Y24" s="28" t="n">
        <v>0</v>
      </c>
      <c r="Z24" s="28" t="n">
        <v>0</v>
      </c>
      <c r="AA24" s="28" t="n">
        <v>0</v>
      </c>
      <c r="AB24" s="28" t="n">
        <v>0</v>
      </c>
      <c r="AC24" s="28" t="n">
        <v>0</v>
      </c>
      <c r="AD24" s="28" t="n">
        <v>0</v>
      </c>
      <c r="AE24" s="28" t="n">
        <v>0</v>
      </c>
      <c r="AF24" s="28" t="n">
        <v>0</v>
      </c>
      <c r="AG24" s="28" t="n">
        <v>0</v>
      </c>
      <c r="AH24" s="28" t="n">
        <v>0</v>
      </c>
      <c r="AI24" s="28" t="n">
        <v>0</v>
      </c>
      <c r="AJ24" s="28" t="n">
        <v>0</v>
      </c>
      <c r="AK24" s="28" t="n">
        <v>0</v>
      </c>
      <c r="AL24" s="28" t="n">
        <v>0</v>
      </c>
      <c r="AM24" s="28" t="n">
        <v>0</v>
      </c>
      <c r="AN24" s="28" t="n">
        <v>0</v>
      </c>
      <c r="AO24" s="28" t="n">
        <v>0</v>
      </c>
      <c r="AP24" s="28" t="n">
        <v>0</v>
      </c>
      <c r="AQ24" s="28" t="n">
        <v>0</v>
      </c>
      <c r="AR24" s="28" t="n">
        <v>0</v>
      </c>
      <c r="AS24" s="28" t="n">
        <v>0</v>
      </c>
      <c r="AT24" s="28" t="n">
        <v>0</v>
      </c>
      <c r="AU24" s="28" t="n">
        <v>0</v>
      </c>
      <c r="AV24" s="28" t="n">
        <v>0</v>
      </c>
      <c r="AW24" s="28" t="n">
        <v>0</v>
      </c>
      <c r="AX24" s="28" t="n">
        <v>0</v>
      </c>
      <c r="AY24" s="28" t="n">
        <v>0</v>
      </c>
      <c r="AZ24" s="28" t="n">
        <v>0</v>
      </c>
      <c r="BA24" s="28" t="n">
        <v>0</v>
      </c>
      <c r="BB24" s="28" t="n">
        <v>0</v>
      </c>
      <c r="BC24" s="28" t="n">
        <v>0</v>
      </c>
      <c r="BD24" s="28" t="n">
        <v>0</v>
      </c>
      <c r="BE24" s="28" t="n">
        <v>0</v>
      </c>
      <c r="BF24" s="28" t="n">
        <v>0</v>
      </c>
      <c r="BG24" s="28" t="n">
        <v>0</v>
      </c>
      <c r="BH24" s="28" t="n">
        <v>0</v>
      </c>
      <c r="BI24" s="28" t="n">
        <v>0</v>
      </c>
      <c r="BJ24" s="28" t="n">
        <v>0</v>
      </c>
      <c r="BK24" s="28" t="n">
        <v>0</v>
      </c>
      <c r="BL24" s="28" t="n">
        <v>0</v>
      </c>
      <c r="BM24" s="28" t="n">
        <v>0</v>
      </c>
      <c r="BN24" s="28" t="n">
        <v>0</v>
      </c>
      <c r="BO24" s="28" t="n">
        <v>0</v>
      </c>
      <c r="BP24" s="28" t="n">
        <v>0</v>
      </c>
      <c r="BQ24" s="28" t="n">
        <v>0</v>
      </c>
      <c r="BR24" s="28" t="n">
        <v>0</v>
      </c>
      <c r="BS24" s="28" t="n">
        <v>0</v>
      </c>
      <c r="BT24" s="28" t="n">
        <v>0</v>
      </c>
      <c r="BU24" s="28" t="n">
        <v>0</v>
      </c>
      <c r="BV24" s="28" t="n">
        <v>0</v>
      </c>
      <c r="BW24" s="28" t="n">
        <v>0</v>
      </c>
      <c r="BX24" s="28" t="n">
        <v>0</v>
      </c>
      <c r="BY24" s="28" t="n">
        <v>0</v>
      </c>
      <c r="BZ24" s="28" t="n">
        <v>0</v>
      </c>
      <c r="CA24" s="28" t="n">
        <v>0</v>
      </c>
      <c r="CB24" s="28" t="n">
        <v>0</v>
      </c>
      <c r="CC24" s="28" t="n">
        <v>0</v>
      </c>
      <c r="CD24" s="28" t="n">
        <v>0</v>
      </c>
      <c r="CE24" s="28" t="n">
        <v>0</v>
      </c>
      <c r="CF24" s="28" t="n">
        <v>0</v>
      </c>
      <c r="CG24" s="28" t="n">
        <v>0</v>
      </c>
      <c r="CH24" s="28" t="n">
        <v>0</v>
      </c>
      <c r="CI24" s="28" t="n">
        <v>0</v>
      </c>
      <c r="CJ24" s="28" t="n">
        <v>0</v>
      </c>
      <c r="CK24" s="28" t="n">
        <v>0</v>
      </c>
      <c r="CL24" s="28" t="n">
        <v>0</v>
      </c>
      <c r="CM24" s="28" t="n">
        <v>0</v>
      </c>
      <c r="CN24" s="28" t="n">
        <v>0</v>
      </c>
      <c r="CO24" s="28" t="n">
        <v>0</v>
      </c>
      <c r="CP24" s="28" t="n">
        <v>0</v>
      </c>
      <c r="CQ24" s="28" t="n">
        <v>0</v>
      </c>
      <c r="CR24" s="28" t="n">
        <v>0</v>
      </c>
      <c r="CS24" s="28" t="n">
        <v>0</v>
      </c>
      <c r="CT24" s="28" t="n">
        <v>0</v>
      </c>
      <c r="CU24" s="28" t="n">
        <v>0</v>
      </c>
      <c r="CV24" s="28" t="n">
        <v>0</v>
      </c>
      <c r="CW24" s="28" t="n">
        <v>0</v>
      </c>
      <c r="CX24" s="28" t="n">
        <v>0</v>
      </c>
      <c r="CY24" s="28" t="n">
        <v>0</v>
      </c>
      <c r="CZ24" s="28" t="n">
        <v>0</v>
      </c>
      <c r="DA24" s="28" t="n">
        <v>0</v>
      </c>
    </row>
    <row r="25">
      <c r="A25" t="inlineStr">
        <is>
          <t>TSP-403</t>
        </is>
      </c>
      <c r="B25" s="28" t="n">
        <v>0</v>
      </c>
      <c r="C25" s="28" t="n">
        <v>0</v>
      </c>
      <c r="D25" s="28" t="n">
        <v>0</v>
      </c>
      <c r="E25" s="28" t="n">
        <v>0</v>
      </c>
      <c r="F25" s="28" t="n">
        <v>0</v>
      </c>
      <c r="G25" s="28" t="n">
        <v>0</v>
      </c>
      <c r="H25" s="28" t="n">
        <v>0</v>
      </c>
      <c r="I25" s="28" t="n">
        <v>0</v>
      </c>
      <c r="J25" s="28" t="n">
        <v>0</v>
      </c>
      <c r="K25" s="28" t="n">
        <v>0</v>
      </c>
      <c r="L25" s="28" t="n">
        <v>0</v>
      </c>
      <c r="M25" s="28" t="n">
        <v>0</v>
      </c>
      <c r="N25" s="28" t="n">
        <v>0</v>
      </c>
      <c r="O25" s="28" t="n">
        <v>0</v>
      </c>
      <c r="P25" s="28" t="n">
        <v>0</v>
      </c>
      <c r="Q25" s="28" t="n">
        <v>0</v>
      </c>
      <c r="R25" s="28" t="n">
        <v>0</v>
      </c>
      <c r="S25" s="28" t="n">
        <v>0</v>
      </c>
      <c r="T25" s="28" t="n">
        <v>0</v>
      </c>
      <c r="U25" s="28" t="n">
        <v>0</v>
      </c>
      <c r="V25" s="28" t="n">
        <v>0</v>
      </c>
      <c r="W25" s="28" t="n">
        <v>0</v>
      </c>
      <c r="X25" s="28" t="n">
        <v>0</v>
      </c>
      <c r="Y25" s="28" t="n">
        <v>0</v>
      </c>
      <c r="Z25" s="28" t="n">
        <v>0</v>
      </c>
      <c r="AA25" s="28" t="n">
        <v>0</v>
      </c>
      <c r="AB25" s="28" t="n">
        <v>0</v>
      </c>
      <c r="AC25" s="28" t="n">
        <v>0</v>
      </c>
      <c r="AD25" s="28" t="n">
        <v>0</v>
      </c>
      <c r="AE25" s="28" t="n">
        <v>0</v>
      </c>
      <c r="AF25" s="28" t="n">
        <v>0</v>
      </c>
      <c r="AG25" s="28" t="n">
        <v>0</v>
      </c>
      <c r="AH25" s="28" t="n">
        <v>0</v>
      </c>
      <c r="AI25" s="28" t="n">
        <v>0</v>
      </c>
      <c r="AJ25" s="28" t="n">
        <v>0</v>
      </c>
      <c r="AK25" s="28" t="n">
        <v>0</v>
      </c>
      <c r="AL25" s="28" t="n">
        <v>0</v>
      </c>
      <c r="AM25" s="28" t="n">
        <v>0</v>
      </c>
      <c r="AN25" s="28" t="n">
        <v>0</v>
      </c>
      <c r="AO25" s="28" t="n">
        <v>0</v>
      </c>
      <c r="AP25" s="28" t="n">
        <v>0</v>
      </c>
      <c r="AQ25" s="28" t="n">
        <v>0</v>
      </c>
      <c r="AR25" s="28" t="n">
        <v>0</v>
      </c>
      <c r="AS25" s="28" t="n">
        <v>0</v>
      </c>
      <c r="AT25" s="28" t="n">
        <v>0</v>
      </c>
      <c r="AU25" s="28" t="n">
        <v>0</v>
      </c>
      <c r="AV25" s="28" t="n">
        <v>0</v>
      </c>
      <c r="AW25" s="28" t="n">
        <v>0</v>
      </c>
      <c r="AX25" s="28" t="n">
        <v>0</v>
      </c>
      <c r="AY25" s="28" t="n">
        <v>0</v>
      </c>
      <c r="AZ25" s="28" t="n">
        <v>0</v>
      </c>
      <c r="BA25" s="28" t="n">
        <v>0</v>
      </c>
      <c r="BB25" s="28" t="n">
        <v>0</v>
      </c>
      <c r="BC25" s="28" t="n">
        <v>0</v>
      </c>
      <c r="BD25" s="28" t="n">
        <v>0</v>
      </c>
      <c r="BE25" s="28" t="n">
        <v>0</v>
      </c>
      <c r="BF25" s="28" t="n">
        <v>0</v>
      </c>
      <c r="BG25" s="28" t="n">
        <v>0</v>
      </c>
      <c r="BH25" s="28" t="n">
        <v>0</v>
      </c>
      <c r="BI25" s="28" t="n">
        <v>0</v>
      </c>
      <c r="BJ25" s="28" t="n">
        <v>0</v>
      </c>
      <c r="BK25" s="28" t="n">
        <v>0</v>
      </c>
      <c r="BL25" s="28" t="n">
        <v>0</v>
      </c>
      <c r="BM25" s="28" t="n">
        <v>0</v>
      </c>
      <c r="BN25" s="28" t="n">
        <v>0</v>
      </c>
      <c r="BO25" s="28" t="n">
        <v>0</v>
      </c>
      <c r="BP25" s="28" t="n">
        <v>0</v>
      </c>
      <c r="BQ25" s="28" t="n">
        <v>0</v>
      </c>
      <c r="BR25" s="28" t="n">
        <v>0</v>
      </c>
      <c r="BS25" s="28" t="n">
        <v>0</v>
      </c>
      <c r="BT25" s="28" t="n">
        <v>0</v>
      </c>
      <c r="BU25" s="28" t="n">
        <v>0</v>
      </c>
      <c r="BV25" s="28" t="n">
        <v>0</v>
      </c>
      <c r="BW25" s="28" t="n">
        <v>0</v>
      </c>
      <c r="BX25" s="28" t="n">
        <v>0</v>
      </c>
      <c r="BY25" s="28" t="n">
        <v>0</v>
      </c>
      <c r="BZ25" s="28" t="n">
        <v>0</v>
      </c>
      <c r="CA25" s="28" t="n">
        <v>0</v>
      </c>
      <c r="CB25" s="28" t="n">
        <v>0</v>
      </c>
      <c r="CC25" s="28" t="n">
        <v>0</v>
      </c>
      <c r="CD25" s="28" t="n">
        <v>0</v>
      </c>
      <c r="CE25" s="28" t="n">
        <v>0</v>
      </c>
      <c r="CF25" s="28" t="n">
        <v>0</v>
      </c>
      <c r="CG25" s="28" t="n">
        <v>0</v>
      </c>
      <c r="CH25" s="28" t="n">
        <v>0</v>
      </c>
      <c r="CI25" s="28" t="n">
        <v>0</v>
      </c>
      <c r="CJ25" s="28" t="n">
        <v>0</v>
      </c>
      <c r="CK25" s="28" t="n">
        <v>0</v>
      </c>
      <c r="CL25" s="28" t="n">
        <v>0</v>
      </c>
      <c r="CM25" s="28" t="n">
        <v>0</v>
      </c>
      <c r="CN25" s="28" t="n">
        <v>0</v>
      </c>
      <c r="CO25" s="28" t="n">
        <v>0</v>
      </c>
      <c r="CP25" s="28" t="n">
        <v>0</v>
      </c>
      <c r="CQ25" s="28" t="n">
        <v>0</v>
      </c>
      <c r="CR25" s="28" t="n">
        <v>0</v>
      </c>
      <c r="CS25" s="28" t="n">
        <v>0</v>
      </c>
      <c r="CT25" s="28" t="n">
        <v>0</v>
      </c>
      <c r="CU25" s="28" t="n">
        <v>0</v>
      </c>
      <c r="CV25" s="28" t="n">
        <v>0</v>
      </c>
      <c r="CW25" s="28" t="n">
        <v>0</v>
      </c>
      <c r="CX25" s="28" t="n">
        <v>0</v>
      </c>
      <c r="CY25" s="28" t="n">
        <v>0</v>
      </c>
      <c r="CZ25" s="28" t="n">
        <v>0</v>
      </c>
      <c r="DA25" s="28" t="n">
        <v>0</v>
      </c>
    </row>
    <row r="26">
      <c r="A26" t="inlineStr">
        <is>
          <t>TSP-404</t>
        </is>
      </c>
      <c r="B26" s="28" t="n">
        <v>0</v>
      </c>
      <c r="C26" s="28" t="n">
        <v>0</v>
      </c>
      <c r="D26" s="28" t="n">
        <v>0</v>
      </c>
      <c r="E26" s="28" t="n">
        <v>0</v>
      </c>
      <c r="F26" s="28" t="n">
        <v>0</v>
      </c>
      <c r="G26" s="28" t="n">
        <v>0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  <c r="M26" s="28" t="n">
        <v>0</v>
      </c>
      <c r="N26" s="28" t="n">
        <v>0</v>
      </c>
      <c r="O26" s="28" t="n">
        <v>0</v>
      </c>
      <c r="P26" s="28" t="n">
        <v>0</v>
      </c>
      <c r="Q26" s="28" t="n">
        <v>0</v>
      </c>
      <c r="R26" s="28" t="n">
        <v>0</v>
      </c>
      <c r="S26" s="28" t="n">
        <v>0</v>
      </c>
      <c r="T26" s="28" t="n">
        <v>0</v>
      </c>
      <c r="U26" s="28" t="n">
        <v>0</v>
      </c>
      <c r="V26" s="28" t="n">
        <v>0</v>
      </c>
      <c r="W26" s="28" t="n">
        <v>0</v>
      </c>
      <c r="X26" s="28" t="n">
        <v>0</v>
      </c>
      <c r="Y26" s="28" t="n">
        <v>0</v>
      </c>
      <c r="Z26" s="28" t="n">
        <v>0</v>
      </c>
      <c r="AA26" s="28" t="n">
        <v>0</v>
      </c>
      <c r="AB26" s="28" t="n">
        <v>0</v>
      </c>
      <c r="AC26" s="28" t="n">
        <v>0</v>
      </c>
      <c r="AD26" s="28" t="n">
        <v>0</v>
      </c>
      <c r="AE26" s="28" t="n">
        <v>0</v>
      </c>
      <c r="AF26" s="28" t="n">
        <v>0</v>
      </c>
      <c r="AG26" s="28" t="n">
        <v>0</v>
      </c>
      <c r="AH26" s="28" t="n">
        <v>0</v>
      </c>
      <c r="AI26" s="28" t="n">
        <v>0</v>
      </c>
      <c r="AJ26" s="28" t="n">
        <v>0</v>
      </c>
      <c r="AK26" s="28" t="n">
        <v>0</v>
      </c>
      <c r="AL26" s="28" t="n">
        <v>0</v>
      </c>
      <c r="AM26" s="28" t="n">
        <v>0</v>
      </c>
      <c r="AN26" s="28" t="n">
        <v>0</v>
      </c>
      <c r="AO26" s="28" t="n">
        <v>0</v>
      </c>
      <c r="AP26" s="28" t="n">
        <v>0</v>
      </c>
      <c r="AQ26" s="28" t="n">
        <v>0</v>
      </c>
      <c r="AR26" s="28" t="n">
        <v>0</v>
      </c>
      <c r="AS26" s="28" t="n">
        <v>0</v>
      </c>
      <c r="AT26" s="28" t="n">
        <v>0</v>
      </c>
      <c r="AU26" s="28" t="n">
        <v>0</v>
      </c>
      <c r="AV26" s="28" t="n">
        <v>0</v>
      </c>
      <c r="AW26" s="28" t="n">
        <v>0</v>
      </c>
      <c r="AX26" s="28" t="n">
        <v>0</v>
      </c>
      <c r="AY26" s="28" t="n">
        <v>0</v>
      </c>
      <c r="AZ26" s="28" t="n">
        <v>0</v>
      </c>
      <c r="BA26" s="28" t="n">
        <v>0</v>
      </c>
      <c r="BB26" s="28" t="n">
        <v>0</v>
      </c>
      <c r="BC26" s="28" t="n">
        <v>0</v>
      </c>
      <c r="BD26" s="28" t="n">
        <v>0</v>
      </c>
      <c r="BE26" s="28" t="n">
        <v>0</v>
      </c>
      <c r="BF26" s="28" t="n">
        <v>0</v>
      </c>
      <c r="BG26" s="28" t="n">
        <v>0</v>
      </c>
      <c r="BH26" s="28" t="n">
        <v>0</v>
      </c>
      <c r="BI26" s="28" t="n">
        <v>0</v>
      </c>
      <c r="BJ26" s="28" t="n">
        <v>0</v>
      </c>
      <c r="BK26" s="28" t="n">
        <v>0</v>
      </c>
      <c r="BL26" s="28" t="n">
        <v>0</v>
      </c>
      <c r="BM26" s="28" t="n">
        <v>0</v>
      </c>
      <c r="BN26" s="28" t="n">
        <v>0</v>
      </c>
      <c r="BO26" s="28" t="n">
        <v>0</v>
      </c>
      <c r="BP26" s="28" t="n">
        <v>0</v>
      </c>
      <c r="BQ26" s="28" t="n">
        <v>0</v>
      </c>
      <c r="BR26" s="28" t="n">
        <v>0</v>
      </c>
      <c r="BS26" s="28" t="n">
        <v>0</v>
      </c>
      <c r="BT26" s="28" t="n">
        <v>0</v>
      </c>
      <c r="BU26" s="28" t="n">
        <v>0</v>
      </c>
      <c r="BV26" s="28" t="n">
        <v>0</v>
      </c>
      <c r="BW26" s="28" t="n">
        <v>0</v>
      </c>
      <c r="BX26" s="28" t="n">
        <v>0</v>
      </c>
      <c r="BY26" s="28" t="n">
        <v>0</v>
      </c>
      <c r="BZ26" s="28" t="n">
        <v>0</v>
      </c>
      <c r="CA26" s="28" t="n">
        <v>0</v>
      </c>
      <c r="CB26" s="28" t="n">
        <v>0</v>
      </c>
      <c r="CC26" s="28" t="n">
        <v>0</v>
      </c>
      <c r="CD26" s="28" t="n">
        <v>0</v>
      </c>
      <c r="CE26" s="28" t="n">
        <v>0</v>
      </c>
      <c r="CF26" s="28" t="n">
        <v>0</v>
      </c>
      <c r="CG26" s="28" t="n">
        <v>0</v>
      </c>
      <c r="CH26" s="28" t="n">
        <v>0</v>
      </c>
      <c r="CI26" s="28" t="n">
        <v>0</v>
      </c>
      <c r="CJ26" s="28" t="n">
        <v>0</v>
      </c>
      <c r="CK26" s="28" t="n">
        <v>0</v>
      </c>
      <c r="CL26" s="28" t="n">
        <v>0</v>
      </c>
      <c r="CM26" s="28" t="n">
        <v>0</v>
      </c>
      <c r="CN26" s="28" t="n">
        <v>0</v>
      </c>
      <c r="CO26" s="28" t="n">
        <v>0</v>
      </c>
      <c r="CP26" s="28" t="n">
        <v>0</v>
      </c>
      <c r="CQ26" s="28" t="n">
        <v>0</v>
      </c>
      <c r="CR26" s="28" t="n">
        <v>0</v>
      </c>
      <c r="CS26" s="28" t="n">
        <v>0</v>
      </c>
      <c r="CT26" s="28" t="n">
        <v>0</v>
      </c>
      <c r="CU26" s="28" t="n">
        <v>0</v>
      </c>
      <c r="CV26" s="28" t="n">
        <v>0</v>
      </c>
      <c r="CW26" s="28" t="n">
        <v>0</v>
      </c>
      <c r="CX26" s="28" t="n">
        <v>0</v>
      </c>
      <c r="CY26" s="28" t="n">
        <v>0</v>
      </c>
      <c r="CZ26" s="28" t="n">
        <v>0</v>
      </c>
      <c r="DA26" s="28" t="n">
        <v>0</v>
      </c>
    </row>
    <row r="27">
      <c r="A27" t="inlineStr">
        <is>
          <t>TSP-405</t>
        </is>
      </c>
      <c r="B27" s="28" t="n">
        <v>0</v>
      </c>
      <c r="C27" s="28" t="n">
        <v>0</v>
      </c>
      <c r="D27" s="28" t="n">
        <v>0</v>
      </c>
      <c r="E27" s="28" t="n">
        <v>0</v>
      </c>
      <c r="F27" s="28" t="n">
        <v>0</v>
      </c>
      <c r="G27" s="28" t="n">
        <v>0</v>
      </c>
      <c r="H27" s="28" t="n">
        <v>0</v>
      </c>
      <c r="I27" s="28" t="n">
        <v>0</v>
      </c>
      <c r="J27" s="28" t="n">
        <v>0</v>
      </c>
      <c r="K27" s="28" t="n">
        <v>0</v>
      </c>
      <c r="L27" s="28" t="n">
        <v>0</v>
      </c>
      <c r="M27" s="28" t="n">
        <v>0</v>
      </c>
      <c r="N27" s="28" t="n">
        <v>0</v>
      </c>
      <c r="O27" s="28" t="n">
        <v>0</v>
      </c>
      <c r="P27" s="28" t="n">
        <v>0</v>
      </c>
      <c r="Q27" s="28" t="n">
        <v>0</v>
      </c>
      <c r="R27" s="28" t="n">
        <v>0</v>
      </c>
      <c r="S27" s="28" t="n">
        <v>0</v>
      </c>
      <c r="T27" s="28" t="n">
        <v>0</v>
      </c>
      <c r="U27" s="28" t="n">
        <v>0</v>
      </c>
      <c r="V27" s="28" t="n">
        <v>0</v>
      </c>
      <c r="W27" s="28" t="n">
        <v>0</v>
      </c>
      <c r="X27" s="28" t="n">
        <v>0</v>
      </c>
      <c r="Y27" s="28" t="n">
        <v>0</v>
      </c>
      <c r="Z27" s="28" t="n">
        <v>0</v>
      </c>
      <c r="AA27" s="28" t="n">
        <v>0</v>
      </c>
      <c r="AB27" s="28" t="n">
        <v>0</v>
      </c>
      <c r="AC27" s="28" t="n">
        <v>0</v>
      </c>
      <c r="AD27" s="28" t="n">
        <v>0</v>
      </c>
      <c r="AE27" s="28" t="n">
        <v>0</v>
      </c>
      <c r="AF27" s="28" t="n">
        <v>0</v>
      </c>
      <c r="AG27" s="28" t="n">
        <v>0</v>
      </c>
      <c r="AH27" s="28" t="n">
        <v>0</v>
      </c>
      <c r="AI27" s="28" t="n">
        <v>0</v>
      </c>
      <c r="AJ27" s="28" t="n">
        <v>0</v>
      </c>
      <c r="AK27" s="28" t="n">
        <v>0</v>
      </c>
      <c r="AL27" s="28" t="n">
        <v>0</v>
      </c>
      <c r="AM27" s="28" t="n">
        <v>0</v>
      </c>
      <c r="AN27" s="28" t="n">
        <v>0</v>
      </c>
      <c r="AO27" s="28" t="n">
        <v>0</v>
      </c>
      <c r="AP27" s="28" t="n">
        <v>0</v>
      </c>
      <c r="AQ27" s="28" t="n">
        <v>0</v>
      </c>
      <c r="AR27" s="28" t="n">
        <v>0</v>
      </c>
      <c r="AS27" s="28" t="n">
        <v>0</v>
      </c>
      <c r="AT27" s="28" t="n">
        <v>0</v>
      </c>
      <c r="AU27" s="28" t="n">
        <v>0</v>
      </c>
      <c r="AV27" s="28" t="n">
        <v>0</v>
      </c>
      <c r="AW27" s="28" t="n">
        <v>0</v>
      </c>
      <c r="AX27" s="28" t="n">
        <v>0</v>
      </c>
      <c r="AY27" s="28" t="n">
        <v>0</v>
      </c>
      <c r="AZ27" s="28" t="n">
        <v>0</v>
      </c>
      <c r="BA27" s="28" t="n">
        <v>0</v>
      </c>
      <c r="BB27" s="28" t="n">
        <v>0</v>
      </c>
      <c r="BC27" s="28" t="n">
        <v>0</v>
      </c>
      <c r="BD27" s="28" t="n">
        <v>0</v>
      </c>
      <c r="BE27" s="28" t="n">
        <v>0</v>
      </c>
      <c r="BF27" s="28" t="n">
        <v>0</v>
      </c>
      <c r="BG27" s="28" t="n">
        <v>0</v>
      </c>
      <c r="BH27" s="28" t="n">
        <v>0</v>
      </c>
      <c r="BI27" s="28" t="n">
        <v>0</v>
      </c>
      <c r="BJ27" s="28" t="n">
        <v>0</v>
      </c>
      <c r="BK27" s="28" t="n">
        <v>0</v>
      </c>
      <c r="BL27" s="28" t="n">
        <v>0</v>
      </c>
      <c r="BM27" s="28" t="n">
        <v>0</v>
      </c>
      <c r="BN27" s="28" t="n">
        <v>0</v>
      </c>
      <c r="BO27" s="28" t="n">
        <v>0</v>
      </c>
      <c r="BP27" s="28" t="n">
        <v>0</v>
      </c>
      <c r="BQ27" s="28" t="n">
        <v>0</v>
      </c>
      <c r="BR27" s="28" t="n">
        <v>0</v>
      </c>
      <c r="BS27" s="28" t="n">
        <v>0</v>
      </c>
      <c r="BT27" s="28" t="n">
        <v>0</v>
      </c>
      <c r="BU27" s="28" t="n">
        <v>0</v>
      </c>
      <c r="BV27" s="28" t="n">
        <v>0</v>
      </c>
      <c r="BW27" s="28" t="n">
        <v>0</v>
      </c>
      <c r="BX27" s="28" t="n">
        <v>0</v>
      </c>
      <c r="BY27" s="28" t="n">
        <v>0</v>
      </c>
      <c r="BZ27" s="28" t="n">
        <v>0</v>
      </c>
      <c r="CA27" s="28" t="n">
        <v>0</v>
      </c>
      <c r="CB27" s="28" t="n">
        <v>0</v>
      </c>
      <c r="CC27" s="28" t="n">
        <v>0</v>
      </c>
      <c r="CD27" s="28" t="n">
        <v>0</v>
      </c>
      <c r="CE27" s="28" t="n">
        <v>0</v>
      </c>
      <c r="CF27" s="28" t="n">
        <v>0</v>
      </c>
      <c r="CG27" s="28" t="n">
        <v>0</v>
      </c>
      <c r="CH27" s="28" t="n">
        <v>0</v>
      </c>
      <c r="CI27" s="28" t="n">
        <v>0</v>
      </c>
      <c r="CJ27" s="28" t="n">
        <v>0</v>
      </c>
      <c r="CK27" s="28" t="n">
        <v>0</v>
      </c>
      <c r="CL27" s="28" t="n">
        <v>0</v>
      </c>
      <c r="CM27" s="28" t="n">
        <v>0</v>
      </c>
      <c r="CN27" s="28" t="n">
        <v>0</v>
      </c>
      <c r="CO27" s="28" t="n">
        <v>0</v>
      </c>
      <c r="CP27" s="28" t="n">
        <v>0</v>
      </c>
      <c r="CQ27" s="28" t="n">
        <v>0</v>
      </c>
      <c r="CR27" s="28" t="n">
        <v>0</v>
      </c>
      <c r="CS27" s="28" t="n">
        <v>0</v>
      </c>
      <c r="CT27" s="28" t="n">
        <v>0</v>
      </c>
      <c r="CU27" s="28" t="n">
        <v>0</v>
      </c>
      <c r="CV27" s="28" t="n">
        <v>0</v>
      </c>
      <c r="CW27" s="28" t="n">
        <v>0</v>
      </c>
      <c r="CX27" s="28" t="n">
        <v>0</v>
      </c>
      <c r="CY27" s="28" t="n">
        <v>0</v>
      </c>
      <c r="CZ27" s="28" t="n">
        <v>0</v>
      </c>
      <c r="DA27" s="28" t="n">
        <v>0</v>
      </c>
    </row>
    <row r="28">
      <c r="A28" t="inlineStr">
        <is>
          <t>TSP-544</t>
        </is>
      </c>
      <c r="B28" s="28" t="n">
        <v>0</v>
      </c>
      <c r="C28" s="28" t="n">
        <v>0</v>
      </c>
      <c r="D28" s="28" t="n">
        <v>0</v>
      </c>
      <c r="E28" s="28" t="n">
        <v>0</v>
      </c>
      <c r="F28" s="28" t="n">
        <v>0</v>
      </c>
      <c r="G28" s="28" t="n">
        <v>0</v>
      </c>
      <c r="H28" s="28" t="n">
        <v>0</v>
      </c>
      <c r="I28" s="28" t="n">
        <v>0</v>
      </c>
      <c r="J28" s="28" t="n">
        <v>0</v>
      </c>
      <c r="K28" s="28" t="n">
        <v>0</v>
      </c>
      <c r="L28" s="28" t="n">
        <v>0</v>
      </c>
      <c r="M28" s="28" t="n">
        <v>0</v>
      </c>
      <c r="N28" s="28" t="n">
        <v>0</v>
      </c>
      <c r="O28" s="28" t="n">
        <v>0</v>
      </c>
      <c r="P28" s="28" t="n">
        <v>0</v>
      </c>
      <c r="Q28" s="28" t="n">
        <v>0</v>
      </c>
      <c r="R28" s="28" t="n">
        <v>0</v>
      </c>
      <c r="S28" s="28" t="n">
        <v>0</v>
      </c>
      <c r="T28" s="28" t="n">
        <v>0</v>
      </c>
      <c r="U28" s="28" t="n">
        <v>0</v>
      </c>
      <c r="V28" s="28" t="n">
        <v>0</v>
      </c>
      <c r="W28" s="28" t="n">
        <v>0</v>
      </c>
      <c r="X28" s="28" t="n">
        <v>0</v>
      </c>
      <c r="Y28" s="28" t="n">
        <v>0</v>
      </c>
      <c r="Z28" s="28" t="n">
        <v>0</v>
      </c>
      <c r="AA28" s="28" t="n">
        <v>0</v>
      </c>
      <c r="AB28" s="28" t="n">
        <v>0</v>
      </c>
      <c r="AC28" s="28" t="n">
        <v>0</v>
      </c>
      <c r="AD28" s="28" t="n">
        <v>0</v>
      </c>
      <c r="AE28" s="28" t="n">
        <v>0</v>
      </c>
      <c r="AF28" s="28" t="n">
        <v>0</v>
      </c>
      <c r="AG28" s="28" t="n">
        <v>0</v>
      </c>
      <c r="AH28" s="28" t="n">
        <v>0</v>
      </c>
      <c r="AI28" s="28" t="n">
        <v>0</v>
      </c>
      <c r="AJ28" s="28" t="n">
        <v>0</v>
      </c>
      <c r="AK28" s="28" t="n">
        <v>0</v>
      </c>
      <c r="AL28" s="28" t="n">
        <v>0</v>
      </c>
      <c r="AM28" s="28" t="n">
        <v>0</v>
      </c>
      <c r="AN28" s="28" t="n">
        <v>0</v>
      </c>
      <c r="AO28" s="28" t="n">
        <v>0</v>
      </c>
      <c r="AP28" s="28" t="n">
        <v>0</v>
      </c>
      <c r="AQ28" s="28" t="n">
        <v>0</v>
      </c>
      <c r="AR28" s="28" t="n">
        <v>0</v>
      </c>
      <c r="AS28" s="28" t="n">
        <v>0</v>
      </c>
      <c r="AT28" s="28" t="n">
        <v>0</v>
      </c>
      <c r="AU28" s="28" t="n">
        <v>0</v>
      </c>
      <c r="AV28" s="28" t="n">
        <v>0</v>
      </c>
      <c r="AW28" s="28" t="n">
        <v>0</v>
      </c>
      <c r="AX28" s="28" t="n">
        <v>0</v>
      </c>
      <c r="AY28" s="28" t="n">
        <v>0</v>
      </c>
      <c r="AZ28" s="28" t="n">
        <v>0</v>
      </c>
      <c r="BA28" s="28" t="n">
        <v>0</v>
      </c>
      <c r="BB28" s="28" t="n">
        <v>0</v>
      </c>
      <c r="BC28" s="28" t="n">
        <v>0</v>
      </c>
      <c r="BD28" s="28" t="n">
        <v>0</v>
      </c>
      <c r="BE28" s="28" t="n">
        <v>0</v>
      </c>
      <c r="BF28" s="28" t="n">
        <v>0</v>
      </c>
      <c r="BG28" s="28" t="n">
        <v>0</v>
      </c>
      <c r="BH28" s="28" t="n">
        <v>0</v>
      </c>
      <c r="BI28" s="28" t="n">
        <v>0</v>
      </c>
      <c r="BJ28" s="28" t="n">
        <v>0</v>
      </c>
      <c r="BK28" s="28" t="n">
        <v>0</v>
      </c>
      <c r="BL28" s="28" t="n">
        <v>0</v>
      </c>
      <c r="BM28" s="28" t="n">
        <v>0</v>
      </c>
      <c r="BN28" s="28" t="n">
        <v>0</v>
      </c>
      <c r="BO28" s="28" t="n">
        <v>0</v>
      </c>
      <c r="BP28" s="28" t="n">
        <v>0</v>
      </c>
      <c r="BQ28" s="28" t="n">
        <v>0</v>
      </c>
      <c r="BR28" s="28" t="n">
        <v>0</v>
      </c>
      <c r="BS28" s="28" t="n">
        <v>0</v>
      </c>
      <c r="BT28" s="28" t="n">
        <v>0</v>
      </c>
      <c r="BU28" s="28" t="n">
        <v>0</v>
      </c>
      <c r="BV28" s="28" t="n">
        <v>0</v>
      </c>
      <c r="BW28" s="28" t="n">
        <v>0</v>
      </c>
      <c r="BX28" s="28" t="n">
        <v>0</v>
      </c>
      <c r="BY28" s="28" t="n">
        <v>0</v>
      </c>
      <c r="BZ28" s="28" t="n">
        <v>0</v>
      </c>
      <c r="CA28" s="28" t="n">
        <v>0</v>
      </c>
      <c r="CB28" s="28" t="n">
        <v>0</v>
      </c>
      <c r="CC28" s="28" t="n">
        <v>0</v>
      </c>
      <c r="CD28" s="28" t="n">
        <v>0</v>
      </c>
      <c r="CE28" s="28" t="n">
        <v>0</v>
      </c>
      <c r="CF28" s="28" t="n">
        <v>0</v>
      </c>
      <c r="CG28" s="28" t="n">
        <v>0</v>
      </c>
      <c r="CH28" s="28" t="n">
        <v>0</v>
      </c>
      <c r="CI28" s="28" t="n">
        <v>0</v>
      </c>
      <c r="CJ28" s="28" t="n">
        <v>0</v>
      </c>
      <c r="CK28" s="28" t="n">
        <v>0</v>
      </c>
      <c r="CL28" s="28" t="n">
        <v>0</v>
      </c>
      <c r="CM28" s="28" t="n">
        <v>0</v>
      </c>
      <c r="CN28" s="28" t="n">
        <v>0</v>
      </c>
      <c r="CO28" s="28" t="n">
        <v>0</v>
      </c>
      <c r="CP28" s="28" t="n">
        <v>0</v>
      </c>
      <c r="CQ28" s="28" t="n">
        <v>0</v>
      </c>
      <c r="CR28" s="28" t="n">
        <v>0</v>
      </c>
      <c r="CS28" s="28" t="n">
        <v>0</v>
      </c>
      <c r="CT28" s="28" t="n">
        <v>0</v>
      </c>
      <c r="CU28" s="28" t="n">
        <v>0</v>
      </c>
      <c r="CV28" s="28" t="n">
        <v>0</v>
      </c>
      <c r="CW28" s="28" t="n">
        <v>0</v>
      </c>
      <c r="CX28" s="28" t="n">
        <v>0</v>
      </c>
      <c r="CY28" s="28" t="n">
        <v>0</v>
      </c>
      <c r="CZ28" s="28" t="n">
        <v>0</v>
      </c>
      <c r="DA28" s="28" t="n">
        <v>0</v>
      </c>
    </row>
    <row r="29">
      <c r="A29" t="inlineStr">
        <is>
          <t>TSP-558</t>
        </is>
      </c>
      <c r="B29" s="28" t="n">
        <v>0</v>
      </c>
      <c r="C29" s="28" t="n">
        <v>0</v>
      </c>
      <c r="D29" s="28" t="n">
        <v>0</v>
      </c>
      <c r="E29" s="28" t="n">
        <v>0</v>
      </c>
      <c r="F29" s="28" t="n">
        <v>0</v>
      </c>
      <c r="G29" s="28" t="n">
        <v>0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  <c r="M29" s="28" t="n">
        <v>0</v>
      </c>
      <c r="N29" s="28" t="n">
        <v>0</v>
      </c>
      <c r="O29" s="28" t="n">
        <v>0</v>
      </c>
      <c r="P29" s="28" t="n">
        <v>0</v>
      </c>
      <c r="Q29" s="28" t="n">
        <v>0</v>
      </c>
      <c r="R29" s="28" t="n">
        <v>0</v>
      </c>
      <c r="S29" s="28" t="n">
        <v>0</v>
      </c>
      <c r="T29" s="28" t="n">
        <v>0</v>
      </c>
      <c r="U29" s="28" t="n">
        <v>0</v>
      </c>
      <c r="V29" s="28" t="n">
        <v>0</v>
      </c>
      <c r="W29" s="28" t="n">
        <v>0</v>
      </c>
      <c r="X29" s="28" t="n">
        <v>0</v>
      </c>
      <c r="Y29" s="28" t="n">
        <v>0</v>
      </c>
      <c r="Z29" s="28" t="n">
        <v>0</v>
      </c>
      <c r="AA29" s="28" t="n">
        <v>0</v>
      </c>
      <c r="AB29" s="28" t="n">
        <v>0</v>
      </c>
      <c r="AC29" s="28" t="n">
        <v>0</v>
      </c>
      <c r="AD29" s="28" t="n">
        <v>0</v>
      </c>
      <c r="AE29" s="28" t="n">
        <v>0</v>
      </c>
      <c r="AF29" s="28" t="n">
        <v>0</v>
      </c>
      <c r="AG29" s="28" t="n">
        <v>0</v>
      </c>
      <c r="AH29" s="28" t="n">
        <v>0</v>
      </c>
      <c r="AI29" s="28" t="n">
        <v>0</v>
      </c>
      <c r="AJ29" s="28" t="n">
        <v>0</v>
      </c>
      <c r="AK29" s="28" t="n">
        <v>0</v>
      </c>
      <c r="AL29" s="28" t="n">
        <v>0</v>
      </c>
      <c r="AM29" s="28" t="n">
        <v>0</v>
      </c>
      <c r="AN29" s="28" t="n">
        <v>0</v>
      </c>
      <c r="AO29" s="28" t="n">
        <v>0</v>
      </c>
      <c r="AP29" s="28" t="n">
        <v>0</v>
      </c>
      <c r="AQ29" s="28" t="n">
        <v>0</v>
      </c>
      <c r="AR29" s="28" t="n">
        <v>0</v>
      </c>
      <c r="AS29" s="28" t="n">
        <v>0</v>
      </c>
      <c r="AT29" s="28" t="n">
        <v>0</v>
      </c>
      <c r="AU29" s="28" t="n">
        <v>0</v>
      </c>
      <c r="AV29" s="28" t="n">
        <v>0</v>
      </c>
      <c r="AW29" s="28" t="n">
        <v>0</v>
      </c>
      <c r="AX29" s="28" t="n">
        <v>0</v>
      </c>
      <c r="AY29" s="28" t="n">
        <v>0</v>
      </c>
      <c r="AZ29" s="28" t="n">
        <v>0</v>
      </c>
      <c r="BA29" s="28" t="n">
        <v>0</v>
      </c>
      <c r="BB29" s="28" t="n">
        <v>0</v>
      </c>
      <c r="BC29" s="28" t="n">
        <v>0</v>
      </c>
      <c r="BD29" s="28" t="n">
        <v>0</v>
      </c>
      <c r="BE29" s="28" t="n">
        <v>0</v>
      </c>
      <c r="BF29" s="28" t="n">
        <v>0</v>
      </c>
      <c r="BG29" s="28" t="n">
        <v>0</v>
      </c>
      <c r="BH29" s="28" t="n">
        <v>0</v>
      </c>
      <c r="BI29" s="28" t="n">
        <v>0</v>
      </c>
      <c r="BJ29" s="28" t="n">
        <v>0</v>
      </c>
      <c r="BK29" s="28" t="n">
        <v>0</v>
      </c>
      <c r="BL29" s="28" t="n">
        <v>0</v>
      </c>
      <c r="BM29" s="28" t="n">
        <v>0</v>
      </c>
      <c r="BN29" s="28" t="n">
        <v>0</v>
      </c>
      <c r="BO29" s="28" t="n">
        <v>0</v>
      </c>
      <c r="BP29" s="28" t="n">
        <v>0</v>
      </c>
      <c r="BQ29" s="28" t="n">
        <v>0</v>
      </c>
      <c r="BR29" s="28" t="n">
        <v>0</v>
      </c>
      <c r="BS29" s="28" t="n">
        <v>0</v>
      </c>
      <c r="BT29" s="28" t="n">
        <v>0</v>
      </c>
      <c r="BU29" s="28" t="n">
        <v>0</v>
      </c>
      <c r="BV29" s="28" t="n">
        <v>0</v>
      </c>
      <c r="BW29" s="28" t="n">
        <v>0</v>
      </c>
      <c r="BX29" s="28" t="n">
        <v>0</v>
      </c>
      <c r="BY29" s="28" t="n">
        <v>0</v>
      </c>
      <c r="BZ29" s="28" t="n">
        <v>0</v>
      </c>
      <c r="CA29" s="28" t="n">
        <v>0</v>
      </c>
      <c r="CB29" s="28" t="n">
        <v>0</v>
      </c>
      <c r="CC29" s="28" t="n">
        <v>0</v>
      </c>
      <c r="CD29" s="28" t="n">
        <v>0</v>
      </c>
      <c r="CE29" s="28" t="n">
        <v>0</v>
      </c>
      <c r="CF29" s="28" t="n">
        <v>0</v>
      </c>
      <c r="CG29" s="28" t="n">
        <v>0</v>
      </c>
      <c r="CH29" s="28" t="n">
        <v>0</v>
      </c>
      <c r="CI29" s="28" t="n">
        <v>0</v>
      </c>
      <c r="CJ29" s="28" t="n">
        <v>0</v>
      </c>
      <c r="CK29" s="28" t="n">
        <v>0</v>
      </c>
      <c r="CL29" s="28" t="n">
        <v>0</v>
      </c>
      <c r="CM29" s="28" t="n">
        <v>0</v>
      </c>
      <c r="CN29" s="28" t="n">
        <v>0</v>
      </c>
      <c r="CO29" s="28" t="n">
        <v>0</v>
      </c>
      <c r="CP29" s="28" t="n">
        <v>0</v>
      </c>
      <c r="CQ29" s="28" t="n">
        <v>0</v>
      </c>
      <c r="CR29" s="28" t="n">
        <v>0</v>
      </c>
      <c r="CS29" s="28" t="n">
        <v>0</v>
      </c>
      <c r="CT29" s="28" t="n">
        <v>0</v>
      </c>
      <c r="CU29" s="28" t="n">
        <v>0</v>
      </c>
      <c r="CV29" s="28" t="n">
        <v>0</v>
      </c>
      <c r="CW29" s="28" t="n">
        <v>0</v>
      </c>
      <c r="CX29" s="28" t="n">
        <v>0</v>
      </c>
      <c r="CY29" s="28" t="n">
        <v>0</v>
      </c>
      <c r="CZ29" s="28" t="n">
        <v>0</v>
      </c>
      <c r="DA29" s="28" t="n">
        <v>0</v>
      </c>
    </row>
    <row r="30">
      <c r="A30" t="inlineStr">
        <is>
          <t>TSP-618</t>
        </is>
      </c>
      <c r="B30" s="28" t="n">
        <v>0</v>
      </c>
      <c r="C30" s="28" t="n">
        <v>0</v>
      </c>
      <c r="D30" s="28" t="n">
        <v>0</v>
      </c>
      <c r="E30" s="28" t="n">
        <v>0</v>
      </c>
      <c r="F30" s="28" t="n">
        <v>0</v>
      </c>
      <c r="G30" s="28" t="n">
        <v>0</v>
      </c>
      <c r="H30" s="28" t="n">
        <v>0</v>
      </c>
      <c r="I30" s="28" t="n">
        <v>0</v>
      </c>
      <c r="J30" s="28" t="n">
        <v>0</v>
      </c>
      <c r="K30" s="28" t="n">
        <v>0</v>
      </c>
      <c r="L30" s="28" t="n">
        <v>0</v>
      </c>
      <c r="M30" s="28" t="n">
        <v>0</v>
      </c>
      <c r="N30" s="28" t="n">
        <v>0</v>
      </c>
      <c r="O30" s="28" t="n">
        <v>0</v>
      </c>
      <c r="P30" s="28" t="n">
        <v>0</v>
      </c>
      <c r="Q30" s="28" t="n">
        <v>0</v>
      </c>
      <c r="R30" s="28" t="n">
        <v>0</v>
      </c>
      <c r="S30" s="28" t="n">
        <v>0</v>
      </c>
      <c r="T30" s="28" t="n">
        <v>0</v>
      </c>
      <c r="U30" s="28" t="n">
        <v>0</v>
      </c>
      <c r="V30" s="28" t="n">
        <v>0</v>
      </c>
      <c r="W30" s="28" t="n">
        <v>0</v>
      </c>
      <c r="X30" s="28" t="n">
        <v>0</v>
      </c>
      <c r="Y30" s="28" t="n">
        <v>0</v>
      </c>
      <c r="Z30" s="28" t="n">
        <v>0</v>
      </c>
      <c r="AA30" s="28" t="n">
        <v>0</v>
      </c>
      <c r="AB30" s="28" t="n">
        <v>0</v>
      </c>
      <c r="AC30" s="28" t="n">
        <v>0</v>
      </c>
      <c r="AD30" s="28" t="n">
        <v>0</v>
      </c>
      <c r="AE30" s="28" t="n">
        <v>0</v>
      </c>
      <c r="AF30" s="28" t="n">
        <v>0</v>
      </c>
      <c r="AG30" s="28" t="n">
        <v>0</v>
      </c>
      <c r="AH30" s="28" t="n">
        <v>0</v>
      </c>
      <c r="AI30" s="28" t="n">
        <v>0</v>
      </c>
      <c r="AJ30" s="28" t="n">
        <v>0</v>
      </c>
      <c r="AK30" s="28" t="n">
        <v>0</v>
      </c>
      <c r="AL30" s="28" t="n">
        <v>0</v>
      </c>
      <c r="AM30" s="28" t="n">
        <v>0</v>
      </c>
      <c r="AN30" s="28" t="n">
        <v>0</v>
      </c>
      <c r="AO30" s="28" t="n">
        <v>0</v>
      </c>
      <c r="AP30" s="28" t="n">
        <v>0</v>
      </c>
      <c r="AQ30" s="28" t="n">
        <v>0</v>
      </c>
      <c r="AR30" s="28" t="n">
        <v>0</v>
      </c>
      <c r="AS30" s="28" t="n">
        <v>0</v>
      </c>
      <c r="AT30" s="28" t="n">
        <v>0</v>
      </c>
      <c r="AU30" s="28" t="n">
        <v>0</v>
      </c>
      <c r="AV30" s="28" t="n">
        <v>0</v>
      </c>
      <c r="AW30" s="28" t="n">
        <v>0</v>
      </c>
      <c r="AX30" s="28" t="n">
        <v>0</v>
      </c>
      <c r="AY30" s="28" t="n">
        <v>0</v>
      </c>
      <c r="AZ30" s="28" t="n">
        <v>0</v>
      </c>
      <c r="BA30" s="28" t="n">
        <v>0</v>
      </c>
      <c r="BB30" s="28" t="n">
        <v>0</v>
      </c>
      <c r="BC30" s="28" t="n">
        <v>0</v>
      </c>
      <c r="BD30" s="28" t="n">
        <v>0</v>
      </c>
      <c r="BE30" s="28" t="n">
        <v>0</v>
      </c>
      <c r="BF30" s="28" t="n">
        <v>0</v>
      </c>
      <c r="BG30" s="28" t="n">
        <v>0</v>
      </c>
      <c r="BH30" s="28" t="n">
        <v>0</v>
      </c>
      <c r="BI30" s="28" t="n">
        <v>0</v>
      </c>
      <c r="BJ30" s="28" t="n">
        <v>0</v>
      </c>
      <c r="BK30" s="28" t="n">
        <v>0</v>
      </c>
      <c r="BL30" s="28" t="n">
        <v>0</v>
      </c>
      <c r="BM30" s="28" t="n">
        <v>0</v>
      </c>
      <c r="BN30" s="28" t="n">
        <v>0</v>
      </c>
      <c r="BO30" s="28" t="n">
        <v>0</v>
      </c>
      <c r="BP30" s="28" t="n">
        <v>0</v>
      </c>
      <c r="BQ30" s="28" t="n">
        <v>0</v>
      </c>
      <c r="BR30" s="28" t="n">
        <v>0</v>
      </c>
      <c r="BS30" s="28" t="n">
        <v>0</v>
      </c>
      <c r="BT30" s="28" t="n">
        <v>0</v>
      </c>
      <c r="BU30" s="28" t="n">
        <v>0</v>
      </c>
      <c r="BV30" s="28" t="n">
        <v>0</v>
      </c>
      <c r="BW30" s="28" t="n">
        <v>0</v>
      </c>
      <c r="BX30" s="28" t="n">
        <v>0</v>
      </c>
      <c r="BY30" s="28" t="n">
        <v>0</v>
      </c>
      <c r="BZ30" s="28" t="n">
        <v>0</v>
      </c>
      <c r="CA30" s="28" t="n">
        <v>0</v>
      </c>
      <c r="CB30" s="28" t="n">
        <v>0</v>
      </c>
      <c r="CC30" s="28" t="n">
        <v>0</v>
      </c>
      <c r="CD30" s="28" t="n">
        <v>0</v>
      </c>
      <c r="CE30" s="28" t="n">
        <v>0</v>
      </c>
      <c r="CF30" s="28" t="n">
        <v>0</v>
      </c>
      <c r="CG30" s="28" t="n">
        <v>0</v>
      </c>
      <c r="CH30" s="28" t="n">
        <v>0</v>
      </c>
      <c r="CI30" s="28" t="n">
        <v>0</v>
      </c>
      <c r="CJ30" s="28" t="n">
        <v>0</v>
      </c>
      <c r="CK30" s="28" t="n">
        <v>0</v>
      </c>
      <c r="CL30" s="28" t="n">
        <v>0</v>
      </c>
      <c r="CM30" s="28" t="n">
        <v>0</v>
      </c>
      <c r="CN30" s="28" t="n">
        <v>0</v>
      </c>
      <c r="CO30" s="28" t="n">
        <v>0</v>
      </c>
      <c r="CP30" s="28" t="n">
        <v>0</v>
      </c>
      <c r="CQ30" s="28" t="n">
        <v>0</v>
      </c>
      <c r="CR30" s="28" t="n">
        <v>0</v>
      </c>
      <c r="CS30" s="28" t="n">
        <v>0</v>
      </c>
      <c r="CT30" s="28" t="n">
        <v>0</v>
      </c>
      <c r="CU30" s="28" t="n">
        <v>0</v>
      </c>
      <c r="CV30" s="28" t="n">
        <v>0</v>
      </c>
      <c r="CW30" s="28" t="n">
        <v>0</v>
      </c>
      <c r="CX30" s="28" t="n">
        <v>0</v>
      </c>
      <c r="CY30" s="28" t="n">
        <v>0</v>
      </c>
      <c r="CZ30" s="28" t="n">
        <v>0</v>
      </c>
      <c r="DA30" s="28" t="n">
        <v>0</v>
      </c>
    </row>
    <row r="31">
      <c r="A31" t="inlineStr">
        <is>
          <t>TSP-620</t>
        </is>
      </c>
      <c r="B31" s="28" t="n">
        <v>0</v>
      </c>
      <c r="C31" s="28" t="n">
        <v>0</v>
      </c>
      <c r="D31" s="28" t="n">
        <v>0</v>
      </c>
      <c r="E31" s="28" t="n">
        <v>0</v>
      </c>
      <c r="F31" s="28" t="n">
        <v>0</v>
      </c>
      <c r="G31" s="2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0</v>
      </c>
      <c r="P31" s="28" t="n">
        <v>0</v>
      </c>
      <c r="Q31" s="28" t="n">
        <v>0</v>
      </c>
      <c r="R31" s="28" t="n">
        <v>0</v>
      </c>
      <c r="S31" s="28" t="n">
        <v>0</v>
      </c>
      <c r="T31" s="28" t="n">
        <v>0</v>
      </c>
      <c r="U31" s="28" t="n">
        <v>0</v>
      </c>
      <c r="V31" s="28" t="n">
        <v>0</v>
      </c>
      <c r="W31" s="28" t="n">
        <v>0</v>
      </c>
      <c r="X31" s="28" t="n">
        <v>0</v>
      </c>
      <c r="Y31" s="28" t="n">
        <v>0</v>
      </c>
      <c r="Z31" s="28" t="n">
        <v>0</v>
      </c>
      <c r="AA31" s="28" t="n">
        <v>0</v>
      </c>
      <c r="AB31" s="28" t="n">
        <v>0</v>
      </c>
      <c r="AC31" s="28" t="n">
        <v>0</v>
      </c>
      <c r="AD31" s="28" t="n">
        <v>0</v>
      </c>
      <c r="AE31" s="28" t="n">
        <v>0</v>
      </c>
      <c r="AF31" s="28" t="n">
        <v>0</v>
      </c>
      <c r="AG31" s="28" t="n">
        <v>0</v>
      </c>
      <c r="AH31" s="28" t="n">
        <v>0</v>
      </c>
      <c r="AI31" s="28" t="n">
        <v>0</v>
      </c>
      <c r="AJ31" s="28" t="n">
        <v>0</v>
      </c>
      <c r="AK31" s="28" t="n">
        <v>0</v>
      </c>
      <c r="AL31" s="28" t="n">
        <v>0</v>
      </c>
      <c r="AM31" s="28" t="n">
        <v>0</v>
      </c>
      <c r="AN31" s="28" t="n">
        <v>0</v>
      </c>
      <c r="AO31" s="28" t="n">
        <v>0</v>
      </c>
      <c r="AP31" s="28" t="n">
        <v>0</v>
      </c>
      <c r="AQ31" s="28" t="n">
        <v>0</v>
      </c>
      <c r="AR31" s="28" t="n">
        <v>0</v>
      </c>
      <c r="AS31" s="28" t="n">
        <v>0</v>
      </c>
      <c r="AT31" s="28" t="n">
        <v>0</v>
      </c>
      <c r="AU31" s="28" t="n">
        <v>0</v>
      </c>
      <c r="AV31" s="28" t="n">
        <v>0</v>
      </c>
      <c r="AW31" s="28" t="n">
        <v>0</v>
      </c>
      <c r="AX31" s="28" t="n">
        <v>0</v>
      </c>
      <c r="AY31" s="28" t="n">
        <v>0</v>
      </c>
      <c r="AZ31" s="28" t="n">
        <v>0</v>
      </c>
      <c r="BA31" s="28" t="n">
        <v>0</v>
      </c>
      <c r="BB31" s="28" t="n">
        <v>0</v>
      </c>
      <c r="BC31" s="28" t="n">
        <v>0</v>
      </c>
      <c r="BD31" s="28" t="n">
        <v>0</v>
      </c>
      <c r="BE31" s="28" t="n">
        <v>0</v>
      </c>
      <c r="BF31" s="28" t="n">
        <v>0</v>
      </c>
      <c r="BG31" s="28" t="n">
        <v>0</v>
      </c>
      <c r="BH31" s="28" t="n">
        <v>0</v>
      </c>
      <c r="BI31" s="28" t="n">
        <v>0</v>
      </c>
      <c r="BJ31" s="28" t="n">
        <v>0</v>
      </c>
      <c r="BK31" s="28" t="n">
        <v>0</v>
      </c>
      <c r="BL31" s="28" t="n">
        <v>0</v>
      </c>
      <c r="BM31" s="28" t="n">
        <v>0</v>
      </c>
      <c r="BN31" s="28" t="n">
        <v>0</v>
      </c>
      <c r="BO31" s="28" t="n">
        <v>0</v>
      </c>
      <c r="BP31" s="28" t="n">
        <v>0</v>
      </c>
      <c r="BQ31" s="28" t="n">
        <v>0</v>
      </c>
      <c r="BR31" s="28" t="n">
        <v>0</v>
      </c>
      <c r="BS31" s="28" t="n">
        <v>0</v>
      </c>
      <c r="BT31" s="28" t="n">
        <v>0</v>
      </c>
      <c r="BU31" s="28" t="n">
        <v>0</v>
      </c>
      <c r="BV31" s="28" t="n">
        <v>0</v>
      </c>
      <c r="BW31" s="28" t="n">
        <v>0</v>
      </c>
      <c r="BX31" s="28" t="n">
        <v>0</v>
      </c>
      <c r="BY31" s="28" t="n">
        <v>0</v>
      </c>
      <c r="BZ31" s="28" t="n">
        <v>0</v>
      </c>
      <c r="CA31" s="28" t="n">
        <v>0</v>
      </c>
      <c r="CB31" s="28" t="n">
        <v>0</v>
      </c>
      <c r="CC31" s="28" t="n">
        <v>0</v>
      </c>
      <c r="CD31" s="28" t="n">
        <v>0</v>
      </c>
      <c r="CE31" s="28" t="n">
        <v>0</v>
      </c>
      <c r="CF31" s="28" t="n">
        <v>0</v>
      </c>
      <c r="CG31" s="28" t="n">
        <v>0</v>
      </c>
      <c r="CH31" s="28" t="n">
        <v>0</v>
      </c>
      <c r="CI31" s="28" t="n">
        <v>0</v>
      </c>
      <c r="CJ31" s="28" t="n">
        <v>0</v>
      </c>
      <c r="CK31" s="28" t="n">
        <v>0</v>
      </c>
      <c r="CL31" s="28" t="n">
        <v>0</v>
      </c>
      <c r="CM31" s="28" t="n">
        <v>0</v>
      </c>
      <c r="CN31" s="28" t="n">
        <v>0</v>
      </c>
      <c r="CO31" s="28" t="n">
        <v>0</v>
      </c>
      <c r="CP31" s="28" t="n">
        <v>0</v>
      </c>
      <c r="CQ31" s="28" t="n">
        <v>0</v>
      </c>
      <c r="CR31" s="28" t="n">
        <v>0</v>
      </c>
      <c r="CS31" s="28" t="n">
        <v>0</v>
      </c>
      <c r="CT31" s="28" t="n">
        <v>0</v>
      </c>
      <c r="CU31" s="28" t="n">
        <v>0</v>
      </c>
      <c r="CV31" s="28" t="n">
        <v>0</v>
      </c>
      <c r="CW31" s="28" t="n">
        <v>0</v>
      </c>
      <c r="CX31" s="28" t="n">
        <v>0</v>
      </c>
      <c r="CY31" s="28" t="n">
        <v>0</v>
      </c>
      <c r="CZ31" s="28" t="n">
        <v>0</v>
      </c>
      <c r="DA31" s="28" t="n">
        <v>0</v>
      </c>
    </row>
    <row r="32">
      <c r="A32" t="inlineStr">
        <is>
          <t>TSP-623</t>
        </is>
      </c>
      <c r="B32" s="28" t="n">
        <v>0</v>
      </c>
      <c r="C32" s="28" t="n">
        <v>0</v>
      </c>
      <c r="D32" s="28" t="n">
        <v>0</v>
      </c>
      <c r="E32" s="28" t="n">
        <v>0</v>
      </c>
      <c r="F32" s="28" t="n">
        <v>0</v>
      </c>
      <c r="G32" s="28" t="n">
        <v>0</v>
      </c>
      <c r="H32" s="28" t="n">
        <v>0</v>
      </c>
      <c r="I32" s="28" t="n">
        <v>0</v>
      </c>
      <c r="J32" s="28" t="n">
        <v>0</v>
      </c>
      <c r="K32" s="28" t="n">
        <v>0</v>
      </c>
      <c r="L32" s="28" t="n">
        <v>0</v>
      </c>
      <c r="M32" s="28" t="n">
        <v>0</v>
      </c>
      <c r="N32" s="28" t="n">
        <v>0</v>
      </c>
      <c r="O32" s="28" t="n">
        <v>0</v>
      </c>
      <c r="P32" s="28" t="n">
        <v>0</v>
      </c>
      <c r="Q32" s="28" t="n">
        <v>0</v>
      </c>
      <c r="R32" s="28" t="n">
        <v>0</v>
      </c>
      <c r="S32" s="28" t="n">
        <v>0</v>
      </c>
      <c r="T32" s="28" t="n">
        <v>0</v>
      </c>
      <c r="U32" s="28" t="n">
        <v>0</v>
      </c>
      <c r="V32" s="28" t="n">
        <v>0</v>
      </c>
      <c r="W32" s="28" t="n">
        <v>0</v>
      </c>
      <c r="X32" s="28" t="n">
        <v>0</v>
      </c>
      <c r="Y32" s="28" t="n">
        <v>0</v>
      </c>
      <c r="Z32" s="28" t="n">
        <v>0</v>
      </c>
      <c r="AA32" s="28" t="n">
        <v>0</v>
      </c>
      <c r="AB32" s="28" t="n">
        <v>0</v>
      </c>
      <c r="AC32" s="28" t="n">
        <v>0</v>
      </c>
      <c r="AD32" s="28" t="n">
        <v>0</v>
      </c>
      <c r="AE32" s="28" t="n">
        <v>0</v>
      </c>
      <c r="AF32" s="28" t="n">
        <v>0</v>
      </c>
      <c r="AG32" s="28" t="n">
        <v>0</v>
      </c>
      <c r="AH32" s="28" t="n">
        <v>0</v>
      </c>
      <c r="AI32" s="28" t="n">
        <v>0</v>
      </c>
      <c r="AJ32" s="28" t="n">
        <v>0</v>
      </c>
      <c r="AK32" s="28" t="n">
        <v>0</v>
      </c>
      <c r="AL32" s="28" t="n">
        <v>0</v>
      </c>
      <c r="AM32" s="28" t="n">
        <v>0</v>
      </c>
      <c r="AN32" s="28" t="n">
        <v>0</v>
      </c>
      <c r="AO32" s="28" t="n">
        <v>0</v>
      </c>
      <c r="AP32" s="28" t="n">
        <v>0</v>
      </c>
      <c r="AQ32" s="28" t="n">
        <v>0</v>
      </c>
      <c r="AR32" s="28" t="n">
        <v>0</v>
      </c>
      <c r="AS32" s="28" t="n">
        <v>0</v>
      </c>
      <c r="AT32" s="28" t="n">
        <v>0</v>
      </c>
      <c r="AU32" s="28" t="n">
        <v>0</v>
      </c>
      <c r="AV32" s="28" t="n">
        <v>0</v>
      </c>
      <c r="AW32" s="28" t="n">
        <v>0</v>
      </c>
      <c r="AX32" s="28" t="n">
        <v>0</v>
      </c>
      <c r="AY32" s="28" t="n">
        <v>0</v>
      </c>
      <c r="AZ32" s="28" t="n">
        <v>0</v>
      </c>
      <c r="BA32" s="28" t="n">
        <v>0</v>
      </c>
      <c r="BB32" s="28" t="n">
        <v>0</v>
      </c>
      <c r="BC32" s="28" t="n">
        <v>0</v>
      </c>
      <c r="BD32" s="28" t="n">
        <v>0</v>
      </c>
      <c r="BE32" s="28" t="n">
        <v>0</v>
      </c>
      <c r="BF32" s="28" t="n">
        <v>0</v>
      </c>
      <c r="BG32" s="28" t="n">
        <v>0</v>
      </c>
      <c r="BH32" s="28" t="n">
        <v>0</v>
      </c>
      <c r="BI32" s="28" t="n">
        <v>0</v>
      </c>
      <c r="BJ32" s="28" t="n">
        <v>0</v>
      </c>
      <c r="BK32" s="28" t="n">
        <v>0</v>
      </c>
      <c r="BL32" s="28" t="n">
        <v>0</v>
      </c>
      <c r="BM32" s="28" t="n">
        <v>0</v>
      </c>
      <c r="BN32" s="28" t="n">
        <v>0</v>
      </c>
      <c r="BO32" s="28" t="n">
        <v>0</v>
      </c>
      <c r="BP32" s="28" t="n">
        <v>0</v>
      </c>
      <c r="BQ32" s="28" t="n">
        <v>0</v>
      </c>
      <c r="BR32" s="28" t="n">
        <v>0</v>
      </c>
      <c r="BS32" s="28" t="n">
        <v>0</v>
      </c>
      <c r="BT32" s="28" t="n">
        <v>0</v>
      </c>
      <c r="BU32" s="28" t="n">
        <v>0</v>
      </c>
      <c r="BV32" s="28" t="n">
        <v>0</v>
      </c>
      <c r="BW32" s="28" t="n">
        <v>0</v>
      </c>
      <c r="BX32" s="28" t="n">
        <v>0</v>
      </c>
      <c r="BY32" s="28" t="n">
        <v>0</v>
      </c>
      <c r="BZ32" s="28" t="n">
        <v>0</v>
      </c>
      <c r="CA32" s="28" t="n">
        <v>0</v>
      </c>
      <c r="CB32" s="28" t="n">
        <v>0</v>
      </c>
      <c r="CC32" s="28" t="n">
        <v>0</v>
      </c>
      <c r="CD32" s="28" t="n">
        <v>0</v>
      </c>
      <c r="CE32" s="28" t="n">
        <v>0</v>
      </c>
      <c r="CF32" s="28" t="n">
        <v>0</v>
      </c>
      <c r="CG32" s="28" t="n">
        <v>0</v>
      </c>
      <c r="CH32" s="28" t="n">
        <v>0</v>
      </c>
      <c r="CI32" s="28" t="n">
        <v>0</v>
      </c>
      <c r="CJ32" s="28" t="n">
        <v>0</v>
      </c>
      <c r="CK32" s="28" t="n">
        <v>0</v>
      </c>
      <c r="CL32" s="28" t="n">
        <v>0</v>
      </c>
      <c r="CM32" s="28" t="n">
        <v>0</v>
      </c>
      <c r="CN32" s="28" t="n">
        <v>0</v>
      </c>
      <c r="CO32" s="28" t="n">
        <v>0</v>
      </c>
      <c r="CP32" s="28" t="n">
        <v>0</v>
      </c>
      <c r="CQ32" s="28" t="n">
        <v>0</v>
      </c>
      <c r="CR32" s="28" t="n">
        <v>0</v>
      </c>
      <c r="CS32" s="28" t="n">
        <v>0</v>
      </c>
      <c r="CT32" s="28" t="n">
        <v>0</v>
      </c>
      <c r="CU32" s="28" t="n">
        <v>0</v>
      </c>
      <c r="CV32" s="28" t="n">
        <v>0</v>
      </c>
      <c r="CW32" s="28" t="n">
        <v>0</v>
      </c>
      <c r="CX32" s="28" t="n">
        <v>0</v>
      </c>
      <c r="CY32" s="28" t="n">
        <v>0</v>
      </c>
      <c r="CZ32" s="28" t="n">
        <v>0</v>
      </c>
      <c r="DA32" s="28" t="n">
        <v>0</v>
      </c>
    </row>
    <row r="33">
      <c r="A33" t="inlineStr">
        <is>
          <t>TSP-655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 t="n">
        <v>0</v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10.0125317527519</v>
      </c>
      <c r="Z33" s="28" t="n">
        <v>0</v>
      </c>
      <c r="AA33" s="28" t="n">
        <v>5.006265876375952</v>
      </c>
      <c r="AB33" s="28" t="n">
        <v>3.754699407281964</v>
      </c>
      <c r="AC33" s="28" t="n">
        <v>5.006265876375952</v>
      </c>
      <c r="AD33" s="28" t="n">
        <v>3.754699407281964</v>
      </c>
      <c r="AE33" s="28" t="n">
        <v>5.006265876375952</v>
      </c>
      <c r="AF33" s="28" t="n">
        <v>3.754699407281964</v>
      </c>
      <c r="AG33" s="28" t="n">
        <v>3.754699407281964</v>
      </c>
      <c r="AH33" s="28" t="n">
        <v>0</v>
      </c>
      <c r="AI33" s="28" t="n">
        <v>3.754699407281964</v>
      </c>
      <c r="AJ33" s="28" t="n">
        <v>0</v>
      </c>
      <c r="AK33" s="28" t="n">
        <v>5.006265876375952</v>
      </c>
      <c r="AL33" s="28" t="n">
        <v>0</v>
      </c>
      <c r="AM33" s="28" t="n">
        <v>5.006265876375952</v>
      </c>
      <c r="AN33" s="28" t="n">
        <v>0</v>
      </c>
      <c r="AO33" s="28" t="n">
        <v>0</v>
      </c>
      <c r="AP33" s="28" t="n">
        <v>5.006265876375952</v>
      </c>
      <c r="AQ33" s="28" t="n">
        <v>0</v>
      </c>
      <c r="AR33" s="28" t="n">
        <v>5.006265876375952</v>
      </c>
      <c r="AS33" s="28" t="n">
        <v>0</v>
      </c>
      <c r="AT33" s="28" t="n">
        <v>5.006265876375952</v>
      </c>
      <c r="AU33" s="28" t="n">
        <v>5.006265876375952</v>
      </c>
      <c r="AV33" s="28" t="n">
        <v>5.006265876375952</v>
      </c>
      <c r="AW33" s="28" t="n">
        <v>5.006265876375952</v>
      </c>
      <c r="AX33" s="28" t="n">
        <v>5.006265876375952</v>
      </c>
      <c r="AY33" s="28" t="n">
        <v>0</v>
      </c>
      <c r="AZ33" s="28" t="n">
        <v>0</v>
      </c>
      <c r="BA33" s="28" t="n">
        <v>0</v>
      </c>
      <c r="BB33" s="28" t="n">
        <v>0</v>
      </c>
      <c r="BC33" s="28" t="n">
        <v>0</v>
      </c>
      <c r="BD33" s="28" t="n">
        <v>5.006265876375952</v>
      </c>
      <c r="BE33" s="28" t="n">
        <v>0</v>
      </c>
      <c r="BF33" s="28" t="n">
        <v>5.006265876375952</v>
      </c>
      <c r="BG33" s="28" t="n">
        <v>0</v>
      </c>
      <c r="BH33" s="28" t="n">
        <v>5.006265876375952</v>
      </c>
      <c r="BI33" s="28" t="n">
        <v>0</v>
      </c>
      <c r="BJ33" s="28" t="n">
        <v>0</v>
      </c>
      <c r="BK33" s="28" t="n">
        <v>5.006265876375952</v>
      </c>
      <c r="BL33" s="28" t="n">
        <v>0</v>
      </c>
      <c r="BM33" s="28" t="n">
        <v>0</v>
      </c>
      <c r="BN33" s="28" t="n">
        <v>2.503132938187976</v>
      </c>
      <c r="BO33" s="28" t="n">
        <v>0</v>
      </c>
      <c r="BP33" s="28" t="n">
        <v>0</v>
      </c>
      <c r="BQ33" s="28" t="n">
        <v>1.251566469093988</v>
      </c>
      <c r="BR33" s="28" t="n">
        <v>0</v>
      </c>
      <c r="BS33" s="28" t="n">
        <v>0</v>
      </c>
      <c r="BT33" s="28" t="n">
        <v>0</v>
      </c>
      <c r="BU33" s="28" t="n">
        <v>0</v>
      </c>
      <c r="BV33" s="28" t="n">
        <v>0</v>
      </c>
      <c r="BW33" s="28" t="n">
        <v>0</v>
      </c>
      <c r="BX33" s="28" t="n">
        <v>0</v>
      </c>
      <c r="BY33" s="28" t="n">
        <v>0</v>
      </c>
      <c r="BZ33" s="28" t="n">
        <v>0</v>
      </c>
      <c r="CA33" s="28" t="n">
        <v>0</v>
      </c>
      <c r="CB33" s="28" t="n">
        <v>0</v>
      </c>
      <c r="CC33" s="28" t="n">
        <v>0</v>
      </c>
      <c r="CD33" s="28" t="n">
        <v>0</v>
      </c>
      <c r="CE33" s="28" t="n">
        <v>0</v>
      </c>
      <c r="CF33" s="28" t="n">
        <v>0</v>
      </c>
      <c r="CG33" s="28" t="n">
        <v>0</v>
      </c>
      <c r="CH33" s="28" t="n">
        <v>0</v>
      </c>
      <c r="CI33" s="28" t="n">
        <v>0</v>
      </c>
      <c r="CJ33" s="28" t="n">
        <v>0</v>
      </c>
      <c r="CK33" s="28" t="n">
        <v>0</v>
      </c>
      <c r="CL33" s="28" t="n">
        <v>0</v>
      </c>
      <c r="CM33" s="28" t="n">
        <v>0</v>
      </c>
      <c r="CN33" s="28" t="n">
        <v>0</v>
      </c>
      <c r="CO33" s="28" t="n">
        <v>0</v>
      </c>
      <c r="CP33" s="28" t="n">
        <v>0</v>
      </c>
      <c r="CQ33" s="28" t="n">
        <v>0</v>
      </c>
      <c r="CR33" s="28" t="n">
        <v>0</v>
      </c>
      <c r="CS33" s="28" t="n">
        <v>0</v>
      </c>
      <c r="CT33" s="28" t="n">
        <v>0</v>
      </c>
      <c r="CU33" s="28" t="n">
        <v>0</v>
      </c>
      <c r="CV33" s="28" t="n">
        <v>0</v>
      </c>
      <c r="CW33" s="28" t="n">
        <v>0</v>
      </c>
      <c r="CX33" s="28" t="n">
        <v>0</v>
      </c>
      <c r="CY33" s="28" t="n">
        <v>0</v>
      </c>
      <c r="CZ33" s="28" t="n">
        <v>0</v>
      </c>
      <c r="DA33" s="28" t="n">
        <v>0</v>
      </c>
    </row>
    <row r="34">
      <c r="A34" t="inlineStr">
        <is>
          <t>TSP-656</t>
        </is>
      </c>
      <c r="B34" s="28" t="n">
        <v>0</v>
      </c>
      <c r="C34" s="28" t="n">
        <v>0</v>
      </c>
      <c r="D34" s="28" t="n">
        <v>0</v>
      </c>
      <c r="E34" s="28" t="n">
        <v>0</v>
      </c>
      <c r="F34" s="28" t="n">
        <v>0</v>
      </c>
      <c r="G34" s="28" t="n">
        <v>0</v>
      </c>
      <c r="H34" s="28" t="n">
        <v>0</v>
      </c>
      <c r="I34" s="28" t="n">
        <v>0</v>
      </c>
      <c r="J34" s="28" t="n">
        <v>0</v>
      </c>
      <c r="K34" s="28" t="n">
        <v>0</v>
      </c>
      <c r="L34" s="28" t="n">
        <v>0</v>
      </c>
      <c r="M34" s="28" t="n">
        <v>0</v>
      </c>
      <c r="N34" s="28" t="n">
        <v>0</v>
      </c>
      <c r="O34" s="28" t="n">
        <v>0</v>
      </c>
      <c r="P34" s="28" t="n">
        <v>0</v>
      </c>
      <c r="Q34" s="28" t="n">
        <v>0</v>
      </c>
      <c r="R34" s="28" t="n">
        <v>0</v>
      </c>
      <c r="S34" s="28" t="n">
        <v>0</v>
      </c>
      <c r="T34" s="28" t="n">
        <v>0</v>
      </c>
      <c r="U34" s="28" t="n">
        <v>0</v>
      </c>
      <c r="V34" s="28" t="n">
        <v>0</v>
      </c>
      <c r="W34" s="28" t="n">
        <v>0</v>
      </c>
      <c r="X34" s="28" t="n">
        <v>0</v>
      </c>
      <c r="Y34" s="28" t="n">
        <v>5.38754903782059</v>
      </c>
      <c r="Z34" s="28" t="n">
        <v>0</v>
      </c>
      <c r="AA34" s="28" t="n">
        <v>2.693774518910295</v>
      </c>
      <c r="AB34" s="28" t="n">
        <v>2.020330889182722</v>
      </c>
      <c r="AC34" s="28" t="n">
        <v>2.693774518910295</v>
      </c>
      <c r="AD34" s="28" t="n">
        <v>2.020330889182722</v>
      </c>
      <c r="AE34" s="28" t="n">
        <v>2.693774518910295</v>
      </c>
      <c r="AF34" s="28" t="n">
        <v>2.020330889182722</v>
      </c>
      <c r="AG34" s="28" t="n">
        <v>2.020330889182722</v>
      </c>
      <c r="AH34" s="28" t="n">
        <v>0</v>
      </c>
      <c r="AI34" s="28" t="n">
        <v>2.020330889182722</v>
      </c>
      <c r="AJ34" s="28" t="n">
        <v>0</v>
      </c>
      <c r="AK34" s="28" t="n">
        <v>2.693774518910295</v>
      </c>
      <c r="AL34" s="28" t="n">
        <v>0</v>
      </c>
      <c r="AM34" s="28" t="n">
        <v>2.693774518910295</v>
      </c>
      <c r="AN34" s="28" t="n">
        <v>0</v>
      </c>
      <c r="AO34" s="28" t="n">
        <v>0</v>
      </c>
      <c r="AP34" s="28" t="n">
        <v>2.693774518910295</v>
      </c>
      <c r="AQ34" s="28" t="n">
        <v>0</v>
      </c>
      <c r="AR34" s="28" t="n">
        <v>2.693774518910295</v>
      </c>
      <c r="AS34" s="28" t="n">
        <v>0</v>
      </c>
      <c r="AT34" s="28" t="n">
        <v>2.693774518910295</v>
      </c>
      <c r="AU34" s="28" t="n">
        <v>2.693774518910295</v>
      </c>
      <c r="AV34" s="28" t="n">
        <v>2.693774518910295</v>
      </c>
      <c r="AW34" s="28" t="n">
        <v>2.693774518910295</v>
      </c>
      <c r="AX34" s="28" t="n">
        <v>2.693774518910295</v>
      </c>
      <c r="AY34" s="28" t="n">
        <v>0</v>
      </c>
      <c r="AZ34" s="28" t="n">
        <v>0</v>
      </c>
      <c r="BA34" s="28" t="n">
        <v>0</v>
      </c>
      <c r="BB34" s="28" t="n">
        <v>0</v>
      </c>
      <c r="BC34" s="28" t="n">
        <v>0</v>
      </c>
      <c r="BD34" s="28" t="n">
        <v>2.693774518910295</v>
      </c>
      <c r="BE34" s="28" t="n">
        <v>0</v>
      </c>
      <c r="BF34" s="28" t="n">
        <v>2.693774518910295</v>
      </c>
      <c r="BG34" s="28" t="n">
        <v>0</v>
      </c>
      <c r="BH34" s="28" t="n">
        <v>2.693774518910295</v>
      </c>
      <c r="BI34" s="28" t="n">
        <v>0</v>
      </c>
      <c r="BJ34" s="28" t="n">
        <v>0</v>
      </c>
      <c r="BK34" s="28" t="n">
        <v>2.693774518910295</v>
      </c>
      <c r="BL34" s="28" t="n">
        <v>0</v>
      </c>
      <c r="BM34" s="28" t="n">
        <v>0</v>
      </c>
      <c r="BN34" s="28" t="n">
        <v>1.346887259455148</v>
      </c>
      <c r="BO34" s="28" t="n">
        <v>0</v>
      </c>
      <c r="BP34" s="28" t="n">
        <v>0</v>
      </c>
      <c r="BQ34" s="28" t="n">
        <v>0.6734436297275738</v>
      </c>
      <c r="BR34" s="28" t="n">
        <v>0</v>
      </c>
      <c r="BS34" s="28" t="n">
        <v>0</v>
      </c>
      <c r="BT34" s="28" t="n">
        <v>0</v>
      </c>
      <c r="BU34" s="28" t="n">
        <v>0</v>
      </c>
      <c r="BV34" s="28" t="n">
        <v>0</v>
      </c>
      <c r="BW34" s="28" t="n">
        <v>0</v>
      </c>
      <c r="BX34" s="28" t="n">
        <v>0</v>
      </c>
      <c r="BY34" s="28" t="n">
        <v>0</v>
      </c>
      <c r="BZ34" s="28" t="n">
        <v>0</v>
      </c>
      <c r="CA34" s="28" t="n">
        <v>0</v>
      </c>
      <c r="CB34" s="28" t="n">
        <v>0</v>
      </c>
      <c r="CC34" s="28" t="n">
        <v>0</v>
      </c>
      <c r="CD34" s="28" t="n">
        <v>0</v>
      </c>
      <c r="CE34" s="28" t="n">
        <v>0</v>
      </c>
      <c r="CF34" s="28" t="n">
        <v>0</v>
      </c>
      <c r="CG34" s="28" t="n">
        <v>0</v>
      </c>
      <c r="CH34" s="28" t="n">
        <v>0</v>
      </c>
      <c r="CI34" s="28" t="n">
        <v>0</v>
      </c>
      <c r="CJ34" s="28" t="n">
        <v>0</v>
      </c>
      <c r="CK34" s="28" t="n">
        <v>0</v>
      </c>
      <c r="CL34" s="28" t="n">
        <v>0</v>
      </c>
      <c r="CM34" s="28" t="n">
        <v>0</v>
      </c>
      <c r="CN34" s="28" t="n">
        <v>0</v>
      </c>
      <c r="CO34" s="28" t="n">
        <v>0</v>
      </c>
      <c r="CP34" s="28" t="n">
        <v>0</v>
      </c>
      <c r="CQ34" s="28" t="n">
        <v>0</v>
      </c>
      <c r="CR34" s="28" t="n">
        <v>0</v>
      </c>
      <c r="CS34" s="28" t="n">
        <v>0</v>
      </c>
      <c r="CT34" s="28" t="n">
        <v>0</v>
      </c>
      <c r="CU34" s="28" t="n">
        <v>0</v>
      </c>
      <c r="CV34" s="28" t="n">
        <v>0</v>
      </c>
      <c r="CW34" s="28" t="n">
        <v>0</v>
      </c>
      <c r="CX34" s="28" t="n">
        <v>0</v>
      </c>
      <c r="CY34" s="28" t="n">
        <v>0</v>
      </c>
      <c r="CZ34" s="28" t="n">
        <v>0</v>
      </c>
      <c r="DA34" s="28" t="n">
        <v>0</v>
      </c>
    </row>
    <row r="35">
      <c r="A35" t="inlineStr">
        <is>
          <t>TSP-668</t>
        </is>
      </c>
      <c r="B35" s="28" t="n">
        <v>0</v>
      </c>
      <c r="C35" s="28" t="n">
        <v>0</v>
      </c>
      <c r="D35" s="28" t="n">
        <v>0</v>
      </c>
      <c r="E35" s="28" t="n">
        <v>0</v>
      </c>
      <c r="F35" s="28" t="n">
        <v>0</v>
      </c>
      <c r="G35" s="28" t="n">
        <v>0</v>
      </c>
      <c r="H35" s="28" t="n">
        <v>0</v>
      </c>
      <c r="I35" s="28" t="n">
        <v>0</v>
      </c>
      <c r="J35" s="28" t="n">
        <v>0</v>
      </c>
      <c r="K35" s="28" t="n">
        <v>0</v>
      </c>
      <c r="L35" s="28" t="n">
        <v>0</v>
      </c>
      <c r="M35" s="28" t="n">
        <v>0</v>
      </c>
      <c r="N35" s="28" t="n">
        <v>0</v>
      </c>
      <c r="O35" s="28" t="n">
        <v>0</v>
      </c>
      <c r="P35" s="28" t="n">
        <v>0</v>
      </c>
      <c r="Q35" s="28" t="n">
        <v>0</v>
      </c>
      <c r="R35" s="28" t="n">
        <v>0</v>
      </c>
      <c r="S35" s="28" t="n">
        <v>0</v>
      </c>
      <c r="T35" s="28" t="n">
        <v>0</v>
      </c>
      <c r="U35" s="28" t="n">
        <v>0</v>
      </c>
      <c r="V35" s="28" t="n">
        <v>0</v>
      </c>
      <c r="W35" s="28" t="n">
        <v>0</v>
      </c>
      <c r="X35" s="28" t="n">
        <v>0</v>
      </c>
      <c r="Y35" s="28" t="n">
        <v>0</v>
      </c>
      <c r="Z35" s="28" t="n">
        <v>0</v>
      </c>
      <c r="AA35" s="28" t="n">
        <v>0</v>
      </c>
      <c r="AB35" s="28" t="n">
        <v>0</v>
      </c>
      <c r="AC35" s="28" t="n">
        <v>0</v>
      </c>
      <c r="AD35" s="28" t="n">
        <v>0</v>
      </c>
      <c r="AE35" s="28" t="n">
        <v>0</v>
      </c>
      <c r="AF35" s="28" t="n">
        <v>0</v>
      </c>
      <c r="AG35" s="28" t="n">
        <v>0</v>
      </c>
      <c r="AH35" s="28" t="n">
        <v>0</v>
      </c>
      <c r="AI35" s="28" t="n">
        <v>0</v>
      </c>
      <c r="AJ35" s="28" t="n">
        <v>0</v>
      </c>
      <c r="AK35" s="28" t="n">
        <v>0</v>
      </c>
      <c r="AL35" s="28" t="n">
        <v>0</v>
      </c>
      <c r="AM35" s="28" t="n">
        <v>0</v>
      </c>
      <c r="AN35" s="28" t="n">
        <v>0</v>
      </c>
      <c r="AO35" s="28" t="n">
        <v>0</v>
      </c>
      <c r="AP35" s="28" t="n">
        <v>0</v>
      </c>
      <c r="AQ35" s="28" t="n">
        <v>0</v>
      </c>
      <c r="AR35" s="28" t="n">
        <v>0</v>
      </c>
      <c r="AS35" s="28" t="n">
        <v>0</v>
      </c>
      <c r="AT35" s="28" t="n">
        <v>0</v>
      </c>
      <c r="AU35" s="28" t="n">
        <v>0</v>
      </c>
      <c r="AV35" s="28" t="n">
        <v>0</v>
      </c>
      <c r="AW35" s="28" t="n">
        <v>0</v>
      </c>
      <c r="AX35" s="28" t="n">
        <v>0</v>
      </c>
      <c r="AY35" s="28" t="n">
        <v>0</v>
      </c>
      <c r="AZ35" s="28" t="n">
        <v>0</v>
      </c>
      <c r="BA35" s="28" t="n">
        <v>0</v>
      </c>
      <c r="BB35" s="28" t="n">
        <v>0</v>
      </c>
      <c r="BC35" s="28" t="n">
        <v>0</v>
      </c>
      <c r="BD35" s="28" t="n">
        <v>0</v>
      </c>
      <c r="BE35" s="28" t="n">
        <v>0</v>
      </c>
      <c r="BF35" s="28" t="n">
        <v>0</v>
      </c>
      <c r="BG35" s="28" t="n">
        <v>0</v>
      </c>
      <c r="BH35" s="28" t="n">
        <v>0</v>
      </c>
      <c r="BI35" s="28" t="n">
        <v>0</v>
      </c>
      <c r="BJ35" s="28" t="n">
        <v>0</v>
      </c>
      <c r="BK35" s="28" t="n">
        <v>0</v>
      </c>
      <c r="BL35" s="28" t="n">
        <v>0</v>
      </c>
      <c r="BM35" s="28" t="n">
        <v>0</v>
      </c>
      <c r="BN35" s="28" t="n">
        <v>0</v>
      </c>
      <c r="BO35" s="28" t="n">
        <v>0</v>
      </c>
      <c r="BP35" s="28" t="n">
        <v>0</v>
      </c>
      <c r="BQ35" s="28" t="n">
        <v>0</v>
      </c>
      <c r="BR35" s="28" t="n">
        <v>0</v>
      </c>
      <c r="BS35" s="28" t="n">
        <v>0</v>
      </c>
      <c r="BT35" s="28" t="n">
        <v>0</v>
      </c>
      <c r="BU35" s="28" t="n">
        <v>0</v>
      </c>
      <c r="BV35" s="28" t="n">
        <v>0</v>
      </c>
      <c r="BW35" s="28" t="n">
        <v>0</v>
      </c>
      <c r="BX35" s="28" t="n">
        <v>0</v>
      </c>
      <c r="BY35" s="28" t="n">
        <v>0</v>
      </c>
      <c r="BZ35" s="28" t="n">
        <v>0</v>
      </c>
      <c r="CA35" s="28" t="n">
        <v>0</v>
      </c>
      <c r="CB35" s="28" t="n">
        <v>0</v>
      </c>
      <c r="CC35" s="28" t="n">
        <v>0</v>
      </c>
      <c r="CD35" s="28" t="n">
        <v>0</v>
      </c>
      <c r="CE35" s="28" t="n">
        <v>0</v>
      </c>
      <c r="CF35" s="28" t="n">
        <v>0</v>
      </c>
      <c r="CG35" s="28" t="n">
        <v>0</v>
      </c>
      <c r="CH35" s="28" t="n">
        <v>0</v>
      </c>
      <c r="CI35" s="28" t="n">
        <v>0</v>
      </c>
      <c r="CJ35" s="28" t="n">
        <v>0</v>
      </c>
      <c r="CK35" s="28" t="n">
        <v>0</v>
      </c>
      <c r="CL35" s="28" t="n">
        <v>0</v>
      </c>
      <c r="CM35" s="28" t="n">
        <v>0</v>
      </c>
      <c r="CN35" s="28" t="n">
        <v>0</v>
      </c>
      <c r="CO35" s="28" t="n">
        <v>0</v>
      </c>
      <c r="CP35" s="28" t="n">
        <v>0</v>
      </c>
      <c r="CQ35" s="28" t="n">
        <v>0</v>
      </c>
      <c r="CR35" s="28" t="n">
        <v>0</v>
      </c>
      <c r="CS35" s="28" t="n">
        <v>0</v>
      </c>
      <c r="CT35" s="28" t="n">
        <v>0</v>
      </c>
      <c r="CU35" s="28" t="n">
        <v>0</v>
      </c>
      <c r="CV35" s="28" t="n">
        <v>0</v>
      </c>
      <c r="CW35" s="28" t="n">
        <v>0</v>
      </c>
      <c r="CX35" s="28" t="n">
        <v>0</v>
      </c>
      <c r="CY35" s="28" t="n">
        <v>0</v>
      </c>
      <c r="CZ35" s="28" t="n">
        <v>0</v>
      </c>
      <c r="DA35" s="28" t="n">
        <v>0</v>
      </c>
    </row>
    <row r="36">
      <c r="A36" t="inlineStr">
        <is>
          <t>TSP-669</t>
        </is>
      </c>
      <c r="B36" s="28" t="n">
        <v>0</v>
      </c>
      <c r="C36" s="28" t="n">
        <v>0</v>
      </c>
      <c r="D36" s="28" t="n">
        <v>0</v>
      </c>
      <c r="E36" s="28" t="n">
        <v>0</v>
      </c>
      <c r="F36" s="28" t="n">
        <v>0</v>
      </c>
      <c r="G36" s="28" t="n">
        <v>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  <c r="M36" s="28" t="n">
        <v>0</v>
      </c>
      <c r="N36" s="28" t="n">
        <v>0</v>
      </c>
      <c r="O36" s="28" t="n">
        <v>0</v>
      </c>
      <c r="P36" s="28" t="n">
        <v>0</v>
      </c>
      <c r="Q36" s="28" t="n">
        <v>0</v>
      </c>
      <c r="R36" s="28" t="n">
        <v>0</v>
      </c>
      <c r="S36" s="28" t="n">
        <v>0</v>
      </c>
      <c r="T36" s="28" t="n">
        <v>0</v>
      </c>
      <c r="U36" s="28" t="n">
        <v>0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 t="n">
        <v>0</v>
      </c>
      <c r="AB36" s="28" t="n">
        <v>0</v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28" t="n">
        <v>0</v>
      </c>
      <c r="AJ36" s="28" t="n">
        <v>0</v>
      </c>
      <c r="AK36" s="28" t="n">
        <v>0</v>
      </c>
      <c r="AL36" s="28" t="n">
        <v>0</v>
      </c>
      <c r="AM36" s="28" t="n">
        <v>0</v>
      </c>
      <c r="AN36" s="28" t="n">
        <v>0</v>
      </c>
      <c r="AO36" s="28" t="n">
        <v>0</v>
      </c>
      <c r="AP36" s="28" t="n">
        <v>0</v>
      </c>
      <c r="AQ36" s="28" t="n">
        <v>0</v>
      </c>
      <c r="AR36" s="28" t="n">
        <v>0</v>
      </c>
      <c r="AS36" s="28" t="n">
        <v>0</v>
      </c>
      <c r="AT36" s="28" t="n">
        <v>0</v>
      </c>
      <c r="AU36" s="28" t="n">
        <v>0</v>
      </c>
      <c r="AV36" s="28" t="n">
        <v>0</v>
      </c>
      <c r="AW36" s="28" t="n">
        <v>0</v>
      </c>
      <c r="AX36" s="28" t="n">
        <v>0</v>
      </c>
      <c r="AY36" s="28" t="n">
        <v>0</v>
      </c>
      <c r="AZ36" s="28" t="n">
        <v>0</v>
      </c>
      <c r="BA36" s="28" t="n">
        <v>0</v>
      </c>
      <c r="BB36" s="28" t="n">
        <v>0</v>
      </c>
      <c r="BC36" s="28" t="n">
        <v>0</v>
      </c>
      <c r="BD36" s="28" t="n">
        <v>0</v>
      </c>
      <c r="BE36" s="28" t="n">
        <v>0</v>
      </c>
      <c r="BF36" s="28" t="n">
        <v>0</v>
      </c>
      <c r="BG36" s="28" t="n">
        <v>0</v>
      </c>
      <c r="BH36" s="28" t="n">
        <v>0</v>
      </c>
      <c r="BI36" s="28" t="n">
        <v>0</v>
      </c>
      <c r="BJ36" s="28" t="n">
        <v>0</v>
      </c>
      <c r="BK36" s="28" t="n">
        <v>0</v>
      </c>
      <c r="BL36" s="28" t="n">
        <v>0</v>
      </c>
      <c r="BM36" s="28" t="n">
        <v>0</v>
      </c>
      <c r="BN36" s="28" t="n">
        <v>0</v>
      </c>
      <c r="BO36" s="28" t="n">
        <v>0</v>
      </c>
      <c r="BP36" s="28" t="n">
        <v>0</v>
      </c>
      <c r="BQ36" s="28" t="n">
        <v>0</v>
      </c>
      <c r="BR36" s="28" t="n">
        <v>0</v>
      </c>
      <c r="BS36" s="28" t="n">
        <v>0</v>
      </c>
      <c r="BT36" s="28" t="n">
        <v>0</v>
      </c>
      <c r="BU36" s="28" t="n">
        <v>0</v>
      </c>
      <c r="BV36" s="28" t="n">
        <v>0</v>
      </c>
      <c r="BW36" s="28" t="n">
        <v>0</v>
      </c>
      <c r="BX36" s="28" t="n">
        <v>0</v>
      </c>
      <c r="BY36" s="28" t="n">
        <v>0</v>
      </c>
      <c r="BZ36" s="28" t="n">
        <v>0</v>
      </c>
      <c r="CA36" s="28" t="n">
        <v>0</v>
      </c>
      <c r="CB36" s="28" t="n">
        <v>0</v>
      </c>
      <c r="CC36" s="28" t="n">
        <v>0</v>
      </c>
      <c r="CD36" s="28" t="n">
        <v>0</v>
      </c>
      <c r="CE36" s="28" t="n">
        <v>0</v>
      </c>
      <c r="CF36" s="28" t="n">
        <v>0</v>
      </c>
      <c r="CG36" s="28" t="n">
        <v>0</v>
      </c>
      <c r="CH36" s="28" t="n">
        <v>0</v>
      </c>
      <c r="CI36" s="28" t="n">
        <v>0</v>
      </c>
      <c r="CJ36" s="28" t="n">
        <v>0</v>
      </c>
      <c r="CK36" s="28" t="n">
        <v>0</v>
      </c>
      <c r="CL36" s="28" t="n">
        <v>0</v>
      </c>
      <c r="CM36" s="28" t="n">
        <v>0</v>
      </c>
      <c r="CN36" s="28" t="n">
        <v>0</v>
      </c>
      <c r="CO36" s="28" t="n">
        <v>0</v>
      </c>
      <c r="CP36" s="28" t="n">
        <v>0</v>
      </c>
      <c r="CQ36" s="28" t="n">
        <v>0</v>
      </c>
      <c r="CR36" s="28" t="n">
        <v>0</v>
      </c>
      <c r="CS36" s="28" t="n">
        <v>0</v>
      </c>
      <c r="CT36" s="28" t="n">
        <v>0</v>
      </c>
      <c r="CU36" s="28" t="n">
        <v>0</v>
      </c>
      <c r="CV36" s="28" t="n">
        <v>0</v>
      </c>
      <c r="CW36" s="28" t="n">
        <v>0</v>
      </c>
      <c r="CX36" s="28" t="n">
        <v>0</v>
      </c>
      <c r="CY36" s="28" t="n">
        <v>0</v>
      </c>
      <c r="CZ36" s="28" t="n">
        <v>0</v>
      </c>
      <c r="DA36" s="28" t="n">
        <v>0</v>
      </c>
    </row>
    <row r="37">
      <c r="A37" t="inlineStr">
        <is>
          <t>TSP-670</t>
        </is>
      </c>
      <c r="B37" s="28" t="n">
        <v>0</v>
      </c>
      <c r="C37" s="28" t="n">
        <v>0</v>
      </c>
      <c r="D37" s="28" t="n">
        <v>0</v>
      </c>
      <c r="E37" s="28" t="n">
        <v>0</v>
      </c>
      <c r="F37" s="28" t="n">
        <v>0</v>
      </c>
      <c r="G37" s="28" t="n">
        <v>0</v>
      </c>
      <c r="H37" s="28" t="n">
        <v>0</v>
      </c>
      <c r="I37" s="28" t="n">
        <v>0</v>
      </c>
      <c r="J37" s="28" t="n">
        <v>0</v>
      </c>
      <c r="K37" s="28" t="n">
        <v>0</v>
      </c>
      <c r="L37" s="28" t="n">
        <v>0</v>
      </c>
      <c r="M37" s="28" t="n">
        <v>0</v>
      </c>
      <c r="N37" s="28" t="n">
        <v>0</v>
      </c>
      <c r="O37" s="28" t="n">
        <v>0</v>
      </c>
      <c r="P37" s="28" t="n">
        <v>0</v>
      </c>
      <c r="Q37" s="28" t="n">
        <v>0</v>
      </c>
      <c r="R37" s="28" t="n">
        <v>0</v>
      </c>
      <c r="S37" s="28" t="n">
        <v>0</v>
      </c>
      <c r="T37" s="28" t="n">
        <v>0</v>
      </c>
      <c r="U37" s="28" t="n">
        <v>0</v>
      </c>
      <c r="V37" s="28" t="n">
        <v>0</v>
      </c>
      <c r="W37" s="28" t="n">
        <v>0</v>
      </c>
      <c r="X37" s="28" t="n">
        <v>0</v>
      </c>
      <c r="Y37" s="28" t="n">
        <v>0</v>
      </c>
      <c r="Z37" s="28" t="n">
        <v>0</v>
      </c>
      <c r="AA37" s="28" t="n">
        <v>0</v>
      </c>
      <c r="AB37" s="28" t="n">
        <v>0</v>
      </c>
      <c r="AC37" s="28" t="n">
        <v>0</v>
      </c>
      <c r="AD37" s="28" t="n">
        <v>0</v>
      </c>
      <c r="AE37" s="28" t="n">
        <v>0</v>
      </c>
      <c r="AF37" s="28" t="n">
        <v>0</v>
      </c>
      <c r="AG37" s="28" t="n">
        <v>0</v>
      </c>
      <c r="AH37" s="28" t="n">
        <v>0</v>
      </c>
      <c r="AI37" s="28" t="n">
        <v>0</v>
      </c>
      <c r="AJ37" s="28" t="n">
        <v>0</v>
      </c>
      <c r="AK37" s="28" t="n">
        <v>0</v>
      </c>
      <c r="AL37" s="28" t="n">
        <v>0</v>
      </c>
      <c r="AM37" s="28" t="n">
        <v>0</v>
      </c>
      <c r="AN37" s="28" t="n">
        <v>0</v>
      </c>
      <c r="AO37" s="28" t="n">
        <v>0</v>
      </c>
      <c r="AP37" s="28" t="n">
        <v>0</v>
      </c>
      <c r="AQ37" s="28" t="n">
        <v>0</v>
      </c>
      <c r="AR37" s="28" t="n">
        <v>0</v>
      </c>
      <c r="AS37" s="28" t="n">
        <v>0</v>
      </c>
      <c r="AT37" s="28" t="n">
        <v>0</v>
      </c>
      <c r="AU37" s="28" t="n">
        <v>0</v>
      </c>
      <c r="AV37" s="28" t="n">
        <v>0</v>
      </c>
      <c r="AW37" s="28" t="n">
        <v>0</v>
      </c>
      <c r="AX37" s="28" t="n">
        <v>0</v>
      </c>
      <c r="AY37" s="28" t="n">
        <v>0</v>
      </c>
      <c r="AZ37" s="28" t="n">
        <v>0</v>
      </c>
      <c r="BA37" s="28" t="n">
        <v>0</v>
      </c>
      <c r="BB37" s="28" t="n">
        <v>0</v>
      </c>
      <c r="BC37" s="28" t="n">
        <v>0</v>
      </c>
      <c r="BD37" s="28" t="n">
        <v>0</v>
      </c>
      <c r="BE37" s="28" t="n">
        <v>0</v>
      </c>
      <c r="BF37" s="28" t="n">
        <v>0</v>
      </c>
      <c r="BG37" s="28" t="n">
        <v>0</v>
      </c>
      <c r="BH37" s="28" t="n">
        <v>0</v>
      </c>
      <c r="BI37" s="28" t="n">
        <v>0</v>
      </c>
      <c r="BJ37" s="28" t="n">
        <v>0</v>
      </c>
      <c r="BK37" s="28" t="n">
        <v>0</v>
      </c>
      <c r="BL37" s="28" t="n">
        <v>0</v>
      </c>
      <c r="BM37" s="28" t="n">
        <v>0</v>
      </c>
      <c r="BN37" s="28" t="n">
        <v>0</v>
      </c>
      <c r="BO37" s="28" t="n">
        <v>0</v>
      </c>
      <c r="BP37" s="28" t="n">
        <v>0</v>
      </c>
      <c r="BQ37" s="28" t="n">
        <v>0</v>
      </c>
      <c r="BR37" s="28" t="n">
        <v>0</v>
      </c>
      <c r="BS37" s="28" t="n">
        <v>0</v>
      </c>
      <c r="BT37" s="28" t="n">
        <v>0</v>
      </c>
      <c r="BU37" s="28" t="n">
        <v>0</v>
      </c>
      <c r="BV37" s="28" t="n">
        <v>0</v>
      </c>
      <c r="BW37" s="28" t="n">
        <v>0</v>
      </c>
      <c r="BX37" s="28" t="n">
        <v>0</v>
      </c>
      <c r="BY37" s="28" t="n">
        <v>0</v>
      </c>
      <c r="BZ37" s="28" t="n">
        <v>0</v>
      </c>
      <c r="CA37" s="28" t="n">
        <v>0</v>
      </c>
      <c r="CB37" s="28" t="n">
        <v>0</v>
      </c>
      <c r="CC37" s="28" t="n">
        <v>0</v>
      </c>
      <c r="CD37" s="28" t="n">
        <v>0</v>
      </c>
      <c r="CE37" s="28" t="n">
        <v>0</v>
      </c>
      <c r="CF37" s="28" t="n">
        <v>0</v>
      </c>
      <c r="CG37" s="28" t="n">
        <v>0</v>
      </c>
      <c r="CH37" s="28" t="n">
        <v>0</v>
      </c>
      <c r="CI37" s="28" t="n">
        <v>0</v>
      </c>
      <c r="CJ37" s="28" t="n">
        <v>0</v>
      </c>
      <c r="CK37" s="28" t="n">
        <v>0</v>
      </c>
      <c r="CL37" s="28" t="n">
        <v>0</v>
      </c>
      <c r="CM37" s="28" t="n">
        <v>0</v>
      </c>
      <c r="CN37" s="28" t="n">
        <v>0</v>
      </c>
      <c r="CO37" s="28" t="n">
        <v>0</v>
      </c>
      <c r="CP37" s="28" t="n">
        <v>0</v>
      </c>
      <c r="CQ37" s="28" t="n">
        <v>0</v>
      </c>
      <c r="CR37" s="28" t="n">
        <v>0</v>
      </c>
      <c r="CS37" s="28" t="n">
        <v>0</v>
      </c>
      <c r="CT37" s="28" t="n">
        <v>0</v>
      </c>
      <c r="CU37" s="28" t="n">
        <v>0</v>
      </c>
      <c r="CV37" s="28" t="n">
        <v>0</v>
      </c>
      <c r="CW37" s="28" t="n">
        <v>0</v>
      </c>
      <c r="CX37" s="28" t="n">
        <v>0</v>
      </c>
      <c r="CY37" s="28" t="n">
        <v>0</v>
      </c>
      <c r="CZ37" s="28" t="n">
        <v>0</v>
      </c>
      <c r="DA37" s="28" t="n">
        <v>0</v>
      </c>
    </row>
    <row r="38">
      <c r="A38" t="inlineStr">
        <is>
          <t>TSP-710</t>
        </is>
      </c>
      <c r="B38" s="28" t="n">
        <v>0</v>
      </c>
      <c r="C38" s="28" t="n">
        <v>0</v>
      </c>
      <c r="D38" s="28" t="n">
        <v>0</v>
      </c>
      <c r="E38" s="28" t="n">
        <v>0</v>
      </c>
      <c r="F38" s="28" t="n">
        <v>0</v>
      </c>
      <c r="G38" s="28" t="n">
        <v>0</v>
      </c>
      <c r="H38" s="28" t="n">
        <v>0</v>
      </c>
      <c r="I38" s="28" t="n">
        <v>0</v>
      </c>
      <c r="J38" s="28" t="n">
        <v>0</v>
      </c>
      <c r="K38" s="28" t="n">
        <v>0</v>
      </c>
      <c r="L38" s="28" t="n">
        <v>0</v>
      </c>
      <c r="M38" s="28" t="n">
        <v>0</v>
      </c>
      <c r="N38" s="28" t="n">
        <v>0</v>
      </c>
      <c r="O38" s="28" t="n">
        <v>0</v>
      </c>
      <c r="P38" s="28" t="n">
        <v>0</v>
      </c>
      <c r="Q38" s="28" t="n">
        <v>0</v>
      </c>
      <c r="R38" s="28" t="n">
        <v>0</v>
      </c>
      <c r="S38" s="28" t="n">
        <v>0</v>
      </c>
      <c r="T38" s="28" t="n">
        <v>0</v>
      </c>
      <c r="U38" s="28" t="n">
        <v>0</v>
      </c>
      <c r="V38" s="28" t="n">
        <v>0</v>
      </c>
      <c r="W38" s="28" t="n">
        <v>0</v>
      </c>
      <c r="X38" s="28" t="n">
        <v>0</v>
      </c>
      <c r="Y38" s="28" t="n">
        <v>0</v>
      </c>
      <c r="Z38" s="28" t="n">
        <v>0</v>
      </c>
      <c r="AA38" s="28" t="n">
        <v>0</v>
      </c>
      <c r="AB38" s="28" t="n">
        <v>0</v>
      </c>
      <c r="AC38" s="28" t="n">
        <v>0</v>
      </c>
      <c r="AD38" s="28" t="n">
        <v>0</v>
      </c>
      <c r="AE38" s="28" t="n">
        <v>0</v>
      </c>
      <c r="AF38" s="28" t="n">
        <v>0</v>
      </c>
      <c r="AG38" s="28" t="n">
        <v>0</v>
      </c>
      <c r="AH38" s="28" t="n">
        <v>0</v>
      </c>
      <c r="AI38" s="28" t="n">
        <v>0</v>
      </c>
      <c r="AJ38" s="28" t="n">
        <v>0</v>
      </c>
      <c r="AK38" s="28" t="n">
        <v>0</v>
      </c>
      <c r="AL38" s="28" t="n">
        <v>0</v>
      </c>
      <c r="AM38" s="28" t="n">
        <v>0</v>
      </c>
      <c r="AN38" s="28" t="n">
        <v>0</v>
      </c>
      <c r="AO38" s="28" t="n">
        <v>0</v>
      </c>
      <c r="AP38" s="28" t="n">
        <v>0</v>
      </c>
      <c r="AQ38" s="28" t="n">
        <v>0</v>
      </c>
      <c r="AR38" s="28" t="n">
        <v>0</v>
      </c>
      <c r="AS38" s="28" t="n">
        <v>0</v>
      </c>
      <c r="AT38" s="28" t="n">
        <v>0</v>
      </c>
      <c r="AU38" s="28" t="n">
        <v>0</v>
      </c>
      <c r="AV38" s="28" t="n">
        <v>0</v>
      </c>
      <c r="AW38" s="28" t="n">
        <v>0</v>
      </c>
      <c r="AX38" s="28" t="n">
        <v>0</v>
      </c>
      <c r="AY38" s="28" t="n">
        <v>0</v>
      </c>
      <c r="AZ38" s="28" t="n">
        <v>0</v>
      </c>
      <c r="BA38" s="28" t="n">
        <v>0</v>
      </c>
      <c r="BB38" s="28" t="n">
        <v>0</v>
      </c>
      <c r="BC38" s="28" t="n">
        <v>0</v>
      </c>
      <c r="BD38" s="28" t="n">
        <v>0</v>
      </c>
      <c r="BE38" s="28" t="n">
        <v>0</v>
      </c>
      <c r="BF38" s="28" t="n">
        <v>0</v>
      </c>
      <c r="BG38" s="28" t="n">
        <v>0</v>
      </c>
      <c r="BH38" s="28" t="n">
        <v>0</v>
      </c>
      <c r="BI38" s="28" t="n">
        <v>0</v>
      </c>
      <c r="BJ38" s="28" t="n">
        <v>0</v>
      </c>
      <c r="BK38" s="28" t="n">
        <v>0</v>
      </c>
      <c r="BL38" s="28" t="n">
        <v>0</v>
      </c>
      <c r="BM38" s="28" t="n">
        <v>0</v>
      </c>
      <c r="BN38" s="28" t="n">
        <v>0</v>
      </c>
      <c r="BO38" s="28" t="n">
        <v>0</v>
      </c>
      <c r="BP38" s="28" t="n">
        <v>0</v>
      </c>
      <c r="BQ38" s="28" t="n">
        <v>0</v>
      </c>
      <c r="BR38" s="28" t="n">
        <v>0</v>
      </c>
      <c r="BS38" s="28" t="n">
        <v>0</v>
      </c>
      <c r="BT38" s="28" t="n">
        <v>0</v>
      </c>
      <c r="BU38" s="28" t="n">
        <v>0</v>
      </c>
      <c r="BV38" s="28" t="n">
        <v>0</v>
      </c>
      <c r="BW38" s="28" t="n">
        <v>0</v>
      </c>
      <c r="BX38" s="28" t="n">
        <v>0</v>
      </c>
      <c r="BY38" s="28" t="n">
        <v>0</v>
      </c>
      <c r="BZ38" s="28" t="n">
        <v>0</v>
      </c>
      <c r="CA38" s="28" t="n">
        <v>0</v>
      </c>
      <c r="CB38" s="28" t="n">
        <v>0</v>
      </c>
      <c r="CC38" s="28" t="n">
        <v>0</v>
      </c>
      <c r="CD38" s="28" t="n">
        <v>0</v>
      </c>
      <c r="CE38" s="28" t="n">
        <v>0</v>
      </c>
      <c r="CF38" s="28" t="n">
        <v>0</v>
      </c>
      <c r="CG38" s="28" t="n">
        <v>0</v>
      </c>
      <c r="CH38" s="28" t="n">
        <v>0</v>
      </c>
      <c r="CI38" s="28" t="n">
        <v>0</v>
      </c>
      <c r="CJ38" s="28" t="n">
        <v>0</v>
      </c>
      <c r="CK38" s="28" t="n">
        <v>0</v>
      </c>
      <c r="CL38" s="28" t="n">
        <v>0</v>
      </c>
      <c r="CM38" s="28" t="n">
        <v>0</v>
      </c>
      <c r="CN38" s="28" t="n">
        <v>0</v>
      </c>
      <c r="CO38" s="28" t="n">
        <v>0</v>
      </c>
      <c r="CP38" s="28" t="n">
        <v>0</v>
      </c>
      <c r="CQ38" s="28" t="n">
        <v>0</v>
      </c>
      <c r="CR38" s="28" t="n">
        <v>0</v>
      </c>
      <c r="CS38" s="28" t="n">
        <v>0</v>
      </c>
      <c r="CT38" s="28" t="n">
        <v>0</v>
      </c>
      <c r="CU38" s="28" t="n">
        <v>0</v>
      </c>
      <c r="CV38" s="28" t="n">
        <v>0</v>
      </c>
      <c r="CW38" s="28" t="n">
        <v>0</v>
      </c>
      <c r="CX38" s="28" t="n">
        <v>0</v>
      </c>
      <c r="CY38" s="28" t="n">
        <v>0</v>
      </c>
      <c r="CZ38" s="28" t="n">
        <v>0</v>
      </c>
      <c r="DA38" s="28" t="n">
        <v>0</v>
      </c>
    </row>
    <row r="39">
      <c r="A39" t="inlineStr">
        <is>
          <t>TSP-828</t>
        </is>
      </c>
      <c r="B39" s="28" t="n">
        <v>0</v>
      </c>
      <c r="C39" s="28" t="n">
        <v>0</v>
      </c>
      <c r="D39" s="28" t="n">
        <v>0</v>
      </c>
      <c r="E39" s="28" t="n">
        <v>0</v>
      </c>
      <c r="F39" s="28" t="n">
        <v>0</v>
      </c>
      <c r="G39" s="28" t="n">
        <v>0</v>
      </c>
      <c r="H39" s="28" t="n">
        <v>0</v>
      </c>
      <c r="I39" s="28" t="n">
        <v>0</v>
      </c>
      <c r="J39" s="28" t="n">
        <v>0</v>
      </c>
      <c r="K39" s="28" t="n">
        <v>0</v>
      </c>
      <c r="L39" s="28" t="n">
        <v>0</v>
      </c>
      <c r="M39" s="28" t="n">
        <v>0</v>
      </c>
      <c r="N39" s="28" t="n">
        <v>0</v>
      </c>
      <c r="O39" s="28" t="n">
        <v>0</v>
      </c>
      <c r="P39" s="28" t="n">
        <v>0</v>
      </c>
      <c r="Q39" s="28" t="n">
        <v>0</v>
      </c>
      <c r="R39" s="28" t="n">
        <v>0</v>
      </c>
      <c r="S39" s="28" t="n">
        <v>0</v>
      </c>
      <c r="T39" s="28" t="n">
        <v>0</v>
      </c>
      <c r="U39" s="28" t="n">
        <v>0</v>
      </c>
      <c r="V39" s="28" t="n">
        <v>0</v>
      </c>
      <c r="W39" s="28" t="n">
        <v>0</v>
      </c>
      <c r="X39" s="28" t="n">
        <v>0</v>
      </c>
      <c r="Y39" s="28" t="n">
        <v>0</v>
      </c>
      <c r="Z39" s="28" t="n">
        <v>0</v>
      </c>
      <c r="AA39" s="28" t="n">
        <v>0</v>
      </c>
      <c r="AB39" s="28" t="n">
        <v>0</v>
      </c>
      <c r="AC39" s="28" t="n">
        <v>0</v>
      </c>
      <c r="AD39" s="28" t="n">
        <v>0</v>
      </c>
      <c r="AE39" s="28" t="n">
        <v>0</v>
      </c>
      <c r="AF39" s="28" t="n">
        <v>0</v>
      </c>
      <c r="AG39" s="28" t="n">
        <v>0</v>
      </c>
      <c r="AH39" s="28" t="n">
        <v>0</v>
      </c>
      <c r="AI39" s="28" t="n">
        <v>0</v>
      </c>
      <c r="AJ39" s="28" t="n">
        <v>0</v>
      </c>
      <c r="AK39" s="28" t="n">
        <v>0</v>
      </c>
      <c r="AL39" s="28" t="n">
        <v>0</v>
      </c>
      <c r="AM39" s="28" t="n">
        <v>0</v>
      </c>
      <c r="AN39" s="28" t="n">
        <v>0</v>
      </c>
      <c r="AO39" s="28" t="n">
        <v>0</v>
      </c>
      <c r="AP39" s="28" t="n">
        <v>0</v>
      </c>
      <c r="AQ39" s="28" t="n">
        <v>0</v>
      </c>
      <c r="AR39" s="28" t="n">
        <v>0</v>
      </c>
      <c r="AS39" s="28" t="n">
        <v>0</v>
      </c>
      <c r="AT39" s="28" t="n">
        <v>0</v>
      </c>
      <c r="AU39" s="28" t="n">
        <v>0</v>
      </c>
      <c r="AV39" s="28" t="n">
        <v>0</v>
      </c>
      <c r="AW39" s="28" t="n">
        <v>0</v>
      </c>
      <c r="AX39" s="28" t="n">
        <v>0</v>
      </c>
      <c r="AY39" s="28" t="n">
        <v>0</v>
      </c>
      <c r="AZ39" s="28" t="n">
        <v>0</v>
      </c>
      <c r="BA39" s="28" t="n">
        <v>0</v>
      </c>
      <c r="BB39" s="28" t="n">
        <v>0</v>
      </c>
      <c r="BC39" s="28" t="n">
        <v>0</v>
      </c>
      <c r="BD39" s="28" t="n">
        <v>0</v>
      </c>
      <c r="BE39" s="28" t="n">
        <v>0</v>
      </c>
      <c r="BF39" s="28" t="n">
        <v>0</v>
      </c>
      <c r="BG39" s="28" t="n">
        <v>0</v>
      </c>
      <c r="BH39" s="28" t="n">
        <v>0</v>
      </c>
      <c r="BI39" s="28" t="n">
        <v>0</v>
      </c>
      <c r="BJ39" s="28" t="n">
        <v>0</v>
      </c>
      <c r="BK39" s="28" t="n">
        <v>0</v>
      </c>
      <c r="BL39" s="28" t="n">
        <v>0</v>
      </c>
      <c r="BM39" s="28" t="n">
        <v>0</v>
      </c>
      <c r="BN39" s="28" t="n">
        <v>0</v>
      </c>
      <c r="BO39" s="28" t="n">
        <v>0</v>
      </c>
      <c r="BP39" s="28" t="n">
        <v>0</v>
      </c>
      <c r="BQ39" s="28" t="n">
        <v>0</v>
      </c>
      <c r="BR39" s="28" t="n">
        <v>0</v>
      </c>
      <c r="BS39" s="28" t="n">
        <v>0</v>
      </c>
      <c r="BT39" s="28" t="n">
        <v>0</v>
      </c>
      <c r="BU39" s="28" t="n">
        <v>0</v>
      </c>
      <c r="BV39" s="28" t="n">
        <v>0</v>
      </c>
      <c r="BW39" s="28" t="n">
        <v>0</v>
      </c>
      <c r="BX39" s="28" t="n">
        <v>0</v>
      </c>
      <c r="BY39" s="28" t="n">
        <v>0</v>
      </c>
      <c r="BZ39" s="28" t="n">
        <v>0</v>
      </c>
      <c r="CA39" s="28" t="n">
        <v>0</v>
      </c>
      <c r="CB39" s="28" t="n">
        <v>0</v>
      </c>
      <c r="CC39" s="28" t="n">
        <v>0</v>
      </c>
      <c r="CD39" s="28" t="n">
        <v>0</v>
      </c>
      <c r="CE39" s="28" t="n">
        <v>0</v>
      </c>
      <c r="CF39" s="28" t="n">
        <v>0</v>
      </c>
      <c r="CG39" s="28" t="n">
        <v>0</v>
      </c>
      <c r="CH39" s="28" t="n">
        <v>0</v>
      </c>
      <c r="CI39" s="28" t="n">
        <v>0</v>
      </c>
      <c r="CJ39" s="28" t="n">
        <v>0</v>
      </c>
      <c r="CK39" s="28" t="n">
        <v>0</v>
      </c>
      <c r="CL39" s="28" t="n">
        <v>0</v>
      </c>
      <c r="CM39" s="28" t="n">
        <v>0</v>
      </c>
      <c r="CN39" s="28" t="n">
        <v>0</v>
      </c>
      <c r="CO39" s="28" t="n">
        <v>0</v>
      </c>
      <c r="CP39" s="28" t="n">
        <v>0</v>
      </c>
      <c r="CQ39" s="28" t="n">
        <v>0</v>
      </c>
      <c r="CR39" s="28" t="n">
        <v>0</v>
      </c>
      <c r="CS39" s="28" t="n">
        <v>0</v>
      </c>
      <c r="CT39" s="28" t="n">
        <v>0</v>
      </c>
      <c r="CU39" s="28" t="n">
        <v>0</v>
      </c>
      <c r="CV39" s="28" t="n">
        <v>0</v>
      </c>
      <c r="CW39" s="28" t="n">
        <v>0</v>
      </c>
      <c r="CX39" s="28" t="n">
        <v>0</v>
      </c>
      <c r="CY39" s="28" t="n">
        <v>0</v>
      </c>
      <c r="CZ39" s="28" t="n">
        <v>0</v>
      </c>
      <c r="DA39" s="28" t="n">
        <v>0</v>
      </c>
    </row>
    <row r="40">
      <c r="A40" t="inlineStr">
        <is>
          <t>TSP-903</t>
        </is>
      </c>
      <c r="B40" s="28" t="n">
        <v>0</v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 t="n">
        <v>0</v>
      </c>
      <c r="O40" s="28" t="n">
        <v>0</v>
      </c>
      <c r="P40" s="28" t="n">
        <v>0</v>
      </c>
      <c r="Q40" s="28" t="n">
        <v>0</v>
      </c>
      <c r="R40" s="28" t="n">
        <v>0</v>
      </c>
      <c r="S40" s="28" t="n">
        <v>0</v>
      </c>
      <c r="T40" s="28" t="n">
        <v>0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 t="n">
        <v>0</v>
      </c>
      <c r="AB40" s="28" t="n">
        <v>0</v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28" t="n">
        <v>0</v>
      </c>
      <c r="AJ40" s="28" t="n">
        <v>0</v>
      </c>
      <c r="AK40" s="28" t="n">
        <v>0</v>
      </c>
      <c r="AL40" s="28" t="n">
        <v>0</v>
      </c>
      <c r="AM40" s="28" t="n">
        <v>0</v>
      </c>
      <c r="AN40" s="28" t="n">
        <v>0</v>
      </c>
      <c r="AO40" s="28" t="n">
        <v>0</v>
      </c>
      <c r="AP40" s="28" t="n">
        <v>0</v>
      </c>
      <c r="AQ40" s="28" t="n">
        <v>0</v>
      </c>
      <c r="AR40" s="28" t="n">
        <v>0</v>
      </c>
      <c r="AS40" s="28" t="n">
        <v>0</v>
      </c>
      <c r="AT40" s="28" t="n">
        <v>0</v>
      </c>
      <c r="AU40" s="28" t="n">
        <v>0</v>
      </c>
      <c r="AV40" s="28" t="n">
        <v>0</v>
      </c>
      <c r="AW40" s="28" t="n">
        <v>0</v>
      </c>
      <c r="AX40" s="28" t="n">
        <v>0</v>
      </c>
      <c r="AY40" s="28" t="n">
        <v>0</v>
      </c>
      <c r="AZ40" s="28" t="n">
        <v>0</v>
      </c>
      <c r="BA40" s="28" t="n">
        <v>0</v>
      </c>
      <c r="BB40" s="28" t="n">
        <v>0</v>
      </c>
      <c r="BC40" s="28" t="n">
        <v>0</v>
      </c>
      <c r="BD40" s="28" t="n">
        <v>0</v>
      </c>
      <c r="BE40" s="28" t="n">
        <v>0</v>
      </c>
      <c r="BF40" s="28" t="n">
        <v>0</v>
      </c>
      <c r="BG40" s="28" t="n">
        <v>0</v>
      </c>
      <c r="BH40" s="28" t="n">
        <v>0</v>
      </c>
      <c r="BI40" s="28" t="n">
        <v>0</v>
      </c>
      <c r="BJ40" s="28" t="n">
        <v>0</v>
      </c>
      <c r="BK40" s="28" t="n">
        <v>0</v>
      </c>
      <c r="BL40" s="28" t="n">
        <v>0</v>
      </c>
      <c r="BM40" s="28" t="n">
        <v>0</v>
      </c>
      <c r="BN40" s="28" t="n">
        <v>0</v>
      </c>
      <c r="BO40" s="28" t="n">
        <v>0</v>
      </c>
      <c r="BP40" s="28" t="n">
        <v>0</v>
      </c>
      <c r="BQ40" s="28" t="n">
        <v>0</v>
      </c>
      <c r="BR40" s="28" t="n">
        <v>0</v>
      </c>
      <c r="BS40" s="28" t="n">
        <v>0</v>
      </c>
      <c r="BT40" s="28" t="n">
        <v>0</v>
      </c>
      <c r="BU40" s="28" t="n">
        <v>0</v>
      </c>
      <c r="BV40" s="28" t="n">
        <v>0</v>
      </c>
      <c r="BW40" s="28" t="n">
        <v>0</v>
      </c>
      <c r="BX40" s="28" t="n">
        <v>0</v>
      </c>
      <c r="BY40" s="28" t="n">
        <v>0</v>
      </c>
      <c r="BZ40" s="28" t="n">
        <v>0</v>
      </c>
      <c r="CA40" s="28" t="n">
        <v>0</v>
      </c>
      <c r="CB40" s="28" t="n">
        <v>0</v>
      </c>
      <c r="CC40" s="28" t="n">
        <v>0</v>
      </c>
      <c r="CD40" s="28" t="n">
        <v>0</v>
      </c>
      <c r="CE40" s="28" t="n">
        <v>0</v>
      </c>
      <c r="CF40" s="28" t="n">
        <v>0</v>
      </c>
      <c r="CG40" s="28" t="n">
        <v>0</v>
      </c>
      <c r="CH40" s="28" t="n">
        <v>0</v>
      </c>
      <c r="CI40" s="28" t="n">
        <v>0</v>
      </c>
      <c r="CJ40" s="28" t="n">
        <v>0</v>
      </c>
      <c r="CK40" s="28" t="n">
        <v>0</v>
      </c>
      <c r="CL40" s="28" t="n">
        <v>0</v>
      </c>
      <c r="CM40" s="28" t="n">
        <v>0</v>
      </c>
      <c r="CN40" s="28" t="n">
        <v>0</v>
      </c>
      <c r="CO40" s="28" t="n">
        <v>0</v>
      </c>
      <c r="CP40" s="28" t="n">
        <v>0</v>
      </c>
      <c r="CQ40" s="28" t="n">
        <v>0</v>
      </c>
      <c r="CR40" s="28" t="n">
        <v>0</v>
      </c>
      <c r="CS40" s="28" t="n">
        <v>0</v>
      </c>
      <c r="CT40" s="28" t="n">
        <v>0</v>
      </c>
      <c r="CU40" s="28" t="n">
        <v>0</v>
      </c>
      <c r="CV40" s="28" t="n">
        <v>0</v>
      </c>
      <c r="CW40" s="28" t="n">
        <v>0</v>
      </c>
      <c r="CX40" s="28" t="n">
        <v>0</v>
      </c>
      <c r="CY40" s="28" t="n">
        <v>0</v>
      </c>
      <c r="CZ40" s="28" t="n">
        <v>0</v>
      </c>
      <c r="DA40" s="28" t="n">
        <v>0</v>
      </c>
    </row>
    <row r="41">
      <c r="A41" t="inlineStr">
        <is>
          <t>TSP-924</t>
        </is>
      </c>
      <c r="B41" s="28" t="n">
        <v>0</v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28" t="n">
        <v>0</v>
      </c>
      <c r="K41" s="28" t="n">
        <v>0</v>
      </c>
      <c r="L41" s="28" t="n">
        <v>0</v>
      </c>
      <c r="M41" s="28" t="n">
        <v>0</v>
      </c>
      <c r="N41" s="28" t="n">
        <v>0</v>
      </c>
      <c r="O41" s="28" t="n">
        <v>0</v>
      </c>
      <c r="P41" s="28" t="n">
        <v>0</v>
      </c>
      <c r="Q41" s="28" t="n">
        <v>0</v>
      </c>
      <c r="R41" s="28" t="n">
        <v>0</v>
      </c>
      <c r="S41" s="28" t="n">
        <v>0</v>
      </c>
      <c r="T41" s="28" t="n">
        <v>0</v>
      </c>
      <c r="U41" s="28" t="n">
        <v>0</v>
      </c>
      <c r="V41" s="28" t="n">
        <v>0</v>
      </c>
      <c r="W41" s="28" t="n">
        <v>0</v>
      </c>
      <c r="X41" s="28" t="n">
        <v>0</v>
      </c>
      <c r="Y41" s="28" t="n">
        <v>0</v>
      </c>
      <c r="Z41" s="28" t="n">
        <v>0</v>
      </c>
      <c r="AA41" s="28" t="n">
        <v>0</v>
      </c>
      <c r="AB41" s="28" t="n">
        <v>0</v>
      </c>
      <c r="AC41" s="28" t="n">
        <v>0</v>
      </c>
      <c r="AD41" s="28" t="n">
        <v>0</v>
      </c>
      <c r="AE41" s="28" t="n">
        <v>0</v>
      </c>
      <c r="AF41" s="28" t="n">
        <v>0.5132905723431526</v>
      </c>
      <c r="AG41" s="28" t="n">
        <v>0</v>
      </c>
      <c r="AH41" s="28" t="n">
        <v>0</v>
      </c>
      <c r="AI41" s="28" t="n">
        <v>0</v>
      </c>
      <c r="AJ41" s="28" t="n">
        <v>0</v>
      </c>
      <c r="AK41" s="28" t="n">
        <v>0.5132905723431526</v>
      </c>
      <c r="AL41" s="28" t="n">
        <v>0</v>
      </c>
      <c r="AM41" s="28" t="n">
        <v>0</v>
      </c>
      <c r="AN41" s="28" t="n">
        <v>0</v>
      </c>
      <c r="AO41" s="28" t="n">
        <v>0</v>
      </c>
      <c r="AP41" s="28" t="n">
        <v>0.5132905723431526</v>
      </c>
      <c r="AQ41" s="28" t="n">
        <v>0</v>
      </c>
      <c r="AR41" s="28" t="n">
        <v>0</v>
      </c>
      <c r="AS41" s="28" t="n">
        <v>0</v>
      </c>
      <c r="AT41" s="28" t="n">
        <v>0.5132905723431526</v>
      </c>
      <c r="AU41" s="28" t="n">
        <v>0</v>
      </c>
      <c r="AV41" s="28" t="n">
        <v>0</v>
      </c>
      <c r="AW41" s="28" t="n">
        <v>0</v>
      </c>
      <c r="AX41" s="28" t="n">
        <v>0.410632457874522</v>
      </c>
      <c r="AY41" s="28" t="n">
        <v>0</v>
      </c>
      <c r="AZ41" s="28" t="n">
        <v>0</v>
      </c>
      <c r="BA41" s="28" t="n">
        <v>0</v>
      </c>
      <c r="BB41" s="28" t="n">
        <v>0</v>
      </c>
      <c r="BC41" s="28" t="n">
        <v>0</v>
      </c>
      <c r="BD41" s="28" t="n">
        <v>0</v>
      </c>
      <c r="BE41" s="28" t="n">
        <v>0</v>
      </c>
      <c r="BF41" s="28" t="n">
        <v>0</v>
      </c>
      <c r="BG41" s="28" t="n">
        <v>0</v>
      </c>
      <c r="BH41" s="28" t="n">
        <v>0</v>
      </c>
      <c r="BI41" s="28" t="n">
        <v>0</v>
      </c>
      <c r="BJ41" s="28" t="n">
        <v>0</v>
      </c>
      <c r="BK41" s="28" t="n">
        <v>0</v>
      </c>
      <c r="BL41" s="28" t="n">
        <v>0</v>
      </c>
      <c r="BM41" s="28" t="n">
        <v>0</v>
      </c>
      <c r="BN41" s="28" t="n">
        <v>0</v>
      </c>
      <c r="BO41" s="28" t="n">
        <v>0</v>
      </c>
      <c r="BP41" s="28" t="n">
        <v>0</v>
      </c>
      <c r="BQ41" s="28" t="n">
        <v>0</v>
      </c>
      <c r="BR41" s="28" t="n">
        <v>0</v>
      </c>
      <c r="BS41" s="28" t="n">
        <v>0</v>
      </c>
      <c r="BT41" s="28" t="n">
        <v>0</v>
      </c>
      <c r="BU41" s="28" t="n">
        <v>0</v>
      </c>
      <c r="BV41" s="28" t="n">
        <v>0</v>
      </c>
      <c r="BW41" s="28" t="n">
        <v>0</v>
      </c>
      <c r="BX41" s="28" t="n">
        <v>0</v>
      </c>
      <c r="BY41" s="28" t="n">
        <v>0</v>
      </c>
      <c r="BZ41" s="28" t="n">
        <v>0</v>
      </c>
      <c r="CA41" s="28" t="n">
        <v>0</v>
      </c>
      <c r="CB41" s="28" t="n">
        <v>0</v>
      </c>
      <c r="CC41" s="28" t="n">
        <v>0</v>
      </c>
      <c r="CD41" s="28" t="n">
        <v>0</v>
      </c>
      <c r="CE41" s="28" t="n">
        <v>0</v>
      </c>
      <c r="CF41" s="28" t="n">
        <v>0</v>
      </c>
      <c r="CG41" s="28" t="n">
        <v>0</v>
      </c>
      <c r="CH41" s="28" t="n">
        <v>0</v>
      </c>
      <c r="CI41" s="28" t="n">
        <v>0</v>
      </c>
      <c r="CJ41" s="28" t="n">
        <v>0</v>
      </c>
      <c r="CK41" s="28" t="n">
        <v>0</v>
      </c>
      <c r="CL41" s="28" t="n">
        <v>0</v>
      </c>
      <c r="CM41" s="28" t="n">
        <v>0</v>
      </c>
      <c r="CN41" s="28" t="n">
        <v>0</v>
      </c>
      <c r="CO41" s="28" t="n">
        <v>0</v>
      </c>
      <c r="CP41" s="28" t="n">
        <v>0</v>
      </c>
      <c r="CQ41" s="28" t="n">
        <v>0</v>
      </c>
      <c r="CR41" s="28" t="n">
        <v>0</v>
      </c>
      <c r="CS41" s="28" t="n">
        <v>0</v>
      </c>
      <c r="CT41" s="28" t="n">
        <v>0</v>
      </c>
      <c r="CU41" s="28" t="n">
        <v>0</v>
      </c>
      <c r="CV41" s="28" t="n">
        <v>0</v>
      </c>
      <c r="CW41" s="28" t="n">
        <v>0</v>
      </c>
      <c r="CX41" s="28" t="n">
        <v>0</v>
      </c>
      <c r="CY41" s="28" t="n">
        <v>0</v>
      </c>
      <c r="CZ41" s="28" t="n">
        <v>0</v>
      </c>
      <c r="DA41" s="28" t="n">
        <v>0</v>
      </c>
    </row>
    <row r="42">
      <c r="A42" t="inlineStr">
        <is>
          <t>TSP-925</t>
        </is>
      </c>
      <c r="B42" s="28" t="n">
        <v>0</v>
      </c>
      <c r="C42" s="28" t="n">
        <v>0</v>
      </c>
      <c r="D42" s="28" t="n">
        <v>0</v>
      </c>
      <c r="E42" s="28" t="n">
        <v>0</v>
      </c>
      <c r="F42" s="28" t="n">
        <v>0</v>
      </c>
      <c r="G42" s="28" t="n">
        <v>0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</v>
      </c>
      <c r="M42" s="28" t="n">
        <v>0</v>
      </c>
      <c r="N42" s="28" t="n">
        <v>0</v>
      </c>
      <c r="O42" s="28" t="n">
        <v>0</v>
      </c>
      <c r="P42" s="28" t="n">
        <v>0</v>
      </c>
      <c r="Q42" s="28" t="n">
        <v>0</v>
      </c>
      <c r="R42" s="28" t="n">
        <v>0</v>
      </c>
      <c r="S42" s="28" t="n">
        <v>0</v>
      </c>
      <c r="T42" s="28" t="n">
        <v>0</v>
      </c>
      <c r="U42" s="28" t="n">
        <v>0</v>
      </c>
      <c r="V42" s="28" t="n">
        <v>0</v>
      </c>
      <c r="W42" s="28" t="n">
        <v>0</v>
      </c>
      <c r="X42" s="28" t="n">
        <v>0.3892207792207791</v>
      </c>
      <c r="Y42" s="28" t="n">
        <v>0</v>
      </c>
      <c r="Z42" s="28" t="n">
        <v>0</v>
      </c>
      <c r="AA42" s="28" t="n">
        <v>0</v>
      </c>
      <c r="AB42" s="28" t="n">
        <v>0</v>
      </c>
      <c r="AC42" s="28" t="n">
        <v>0</v>
      </c>
      <c r="AD42" s="28" t="n">
        <v>0.3892207792207791</v>
      </c>
      <c r="AE42" s="28" t="n">
        <v>0</v>
      </c>
      <c r="AF42" s="28" t="n">
        <v>0</v>
      </c>
      <c r="AG42" s="28" t="n">
        <v>0.3892207792207791</v>
      </c>
      <c r="AH42" s="28" t="n">
        <v>0</v>
      </c>
      <c r="AI42" s="28" t="n">
        <v>0</v>
      </c>
      <c r="AJ42" s="28" t="n">
        <v>0.3892207792207791</v>
      </c>
      <c r="AK42" s="28" t="n">
        <v>0</v>
      </c>
      <c r="AL42" s="28" t="n">
        <v>0</v>
      </c>
      <c r="AM42" s="28" t="n">
        <v>0</v>
      </c>
      <c r="AN42" s="28" t="n">
        <v>0</v>
      </c>
      <c r="AO42" s="28" t="n">
        <v>0.3892207792207791</v>
      </c>
      <c r="AP42" s="28" t="n">
        <v>0</v>
      </c>
      <c r="AQ42" s="28" t="n">
        <v>0</v>
      </c>
      <c r="AR42" s="28" t="n">
        <v>0</v>
      </c>
      <c r="AS42" s="28" t="n">
        <v>0.3892207792207791</v>
      </c>
      <c r="AT42" s="28" t="n">
        <v>0</v>
      </c>
      <c r="AU42" s="28" t="n">
        <v>0</v>
      </c>
      <c r="AV42" s="28" t="n">
        <v>0</v>
      </c>
      <c r="AW42" s="28" t="n">
        <v>0</v>
      </c>
      <c r="AX42" s="28" t="n">
        <v>0</v>
      </c>
      <c r="AY42" s="28" t="n">
        <v>0</v>
      </c>
      <c r="AZ42" s="28" t="n">
        <v>0</v>
      </c>
      <c r="BA42" s="28" t="n">
        <v>0</v>
      </c>
      <c r="BB42" s="28" t="n">
        <v>0</v>
      </c>
      <c r="BC42" s="28" t="n">
        <v>0</v>
      </c>
      <c r="BD42" s="28" t="n">
        <v>0</v>
      </c>
      <c r="BE42" s="28" t="n">
        <v>0</v>
      </c>
      <c r="BF42" s="28" t="n">
        <v>0</v>
      </c>
      <c r="BG42" s="28" t="n">
        <v>0</v>
      </c>
      <c r="BH42" s="28" t="n">
        <v>0</v>
      </c>
      <c r="BI42" s="28" t="n">
        <v>0</v>
      </c>
      <c r="BJ42" s="28" t="n">
        <v>0</v>
      </c>
      <c r="BK42" s="28" t="n">
        <v>0</v>
      </c>
      <c r="BL42" s="28" t="n">
        <v>0</v>
      </c>
      <c r="BM42" s="28" t="n">
        <v>0</v>
      </c>
      <c r="BN42" s="28" t="n">
        <v>0</v>
      </c>
      <c r="BO42" s="28" t="n">
        <v>0</v>
      </c>
      <c r="BP42" s="28" t="n">
        <v>0</v>
      </c>
      <c r="BQ42" s="28" t="n">
        <v>0</v>
      </c>
      <c r="BR42" s="28" t="n">
        <v>0</v>
      </c>
      <c r="BS42" s="28" t="n">
        <v>0</v>
      </c>
      <c r="BT42" s="28" t="n">
        <v>0</v>
      </c>
      <c r="BU42" s="28" t="n">
        <v>0</v>
      </c>
      <c r="BV42" s="28" t="n">
        <v>0</v>
      </c>
      <c r="BW42" s="28" t="n">
        <v>0</v>
      </c>
      <c r="BX42" s="28" t="n">
        <v>0</v>
      </c>
      <c r="BY42" s="28" t="n">
        <v>0</v>
      </c>
      <c r="BZ42" s="28" t="n">
        <v>0</v>
      </c>
      <c r="CA42" s="28" t="n">
        <v>0</v>
      </c>
      <c r="CB42" s="28" t="n">
        <v>0</v>
      </c>
      <c r="CC42" s="28" t="n">
        <v>0</v>
      </c>
      <c r="CD42" s="28" t="n">
        <v>0</v>
      </c>
      <c r="CE42" s="28" t="n">
        <v>0</v>
      </c>
      <c r="CF42" s="28" t="n">
        <v>0</v>
      </c>
      <c r="CG42" s="28" t="n">
        <v>0</v>
      </c>
      <c r="CH42" s="28" t="n">
        <v>0</v>
      </c>
      <c r="CI42" s="28" t="n">
        <v>0</v>
      </c>
      <c r="CJ42" s="28" t="n">
        <v>0</v>
      </c>
      <c r="CK42" s="28" t="n">
        <v>0</v>
      </c>
      <c r="CL42" s="28" t="n">
        <v>0</v>
      </c>
      <c r="CM42" s="28" t="n">
        <v>0</v>
      </c>
      <c r="CN42" s="28" t="n">
        <v>0</v>
      </c>
      <c r="CO42" s="28" t="n">
        <v>0</v>
      </c>
      <c r="CP42" s="28" t="n">
        <v>0</v>
      </c>
      <c r="CQ42" s="28" t="n">
        <v>0</v>
      </c>
      <c r="CR42" s="28" t="n">
        <v>0</v>
      </c>
      <c r="CS42" s="28" t="n">
        <v>0</v>
      </c>
      <c r="CT42" s="28" t="n">
        <v>0</v>
      </c>
      <c r="CU42" s="28" t="n">
        <v>0</v>
      </c>
      <c r="CV42" s="28" t="n">
        <v>0</v>
      </c>
      <c r="CW42" s="28" t="n">
        <v>0</v>
      </c>
      <c r="CX42" s="28" t="n">
        <v>0</v>
      </c>
      <c r="CY42" s="28" t="n">
        <v>0</v>
      </c>
      <c r="CZ42" s="28" t="n">
        <v>0</v>
      </c>
      <c r="DA42" s="28" t="n">
        <v>0</v>
      </c>
    </row>
    <row r="43">
      <c r="A43" t="inlineStr">
        <is>
          <t>TSP-927</t>
        </is>
      </c>
      <c r="B43" s="28" t="n">
        <v>0</v>
      </c>
      <c r="C43" s="28" t="n">
        <v>0</v>
      </c>
      <c r="D43" s="28" t="n">
        <v>0</v>
      </c>
      <c r="E43" s="28" t="n">
        <v>0</v>
      </c>
      <c r="F43" s="28" t="n">
        <v>0</v>
      </c>
      <c r="G43" s="28" t="n">
        <v>0</v>
      </c>
      <c r="H43" s="28" t="n">
        <v>0</v>
      </c>
      <c r="I43" s="28" t="n">
        <v>0</v>
      </c>
      <c r="J43" s="28" t="n">
        <v>0</v>
      </c>
      <c r="K43" s="28" t="n">
        <v>0</v>
      </c>
      <c r="L43" s="28" t="n">
        <v>0</v>
      </c>
      <c r="M43" s="28" t="n">
        <v>0</v>
      </c>
      <c r="N43" s="28" t="n">
        <v>0</v>
      </c>
      <c r="O43" s="28" t="n">
        <v>0</v>
      </c>
      <c r="P43" s="28" t="n">
        <v>0</v>
      </c>
      <c r="Q43" s="28" t="n">
        <v>0</v>
      </c>
      <c r="R43" s="28" t="n">
        <v>0</v>
      </c>
      <c r="S43" s="28" t="n">
        <v>0</v>
      </c>
      <c r="T43" s="28" t="n">
        <v>0</v>
      </c>
      <c r="U43" s="28" t="n">
        <v>0</v>
      </c>
      <c r="V43" s="28" t="n">
        <v>0</v>
      </c>
      <c r="W43" s="28" t="n">
        <v>0</v>
      </c>
      <c r="X43" s="28" t="n">
        <v>0</v>
      </c>
      <c r="Y43" s="28" t="n">
        <v>0</v>
      </c>
      <c r="Z43" s="28" t="n">
        <v>0</v>
      </c>
      <c r="AA43" s="28" t="n">
        <v>0</v>
      </c>
      <c r="AB43" s="28" t="n">
        <v>0</v>
      </c>
      <c r="AC43" s="28" t="n">
        <v>0</v>
      </c>
      <c r="AD43" s="28" t="n">
        <v>0</v>
      </c>
      <c r="AE43" s="28" t="n">
        <v>0</v>
      </c>
      <c r="AF43" s="28" t="n">
        <v>0</v>
      </c>
      <c r="AG43" s="28" t="n">
        <v>0</v>
      </c>
      <c r="AH43" s="28" t="n">
        <v>0</v>
      </c>
      <c r="AI43" s="28" t="n">
        <v>0</v>
      </c>
      <c r="AJ43" s="28" t="n">
        <v>0</v>
      </c>
      <c r="AK43" s="28" t="n">
        <v>0</v>
      </c>
      <c r="AL43" s="28" t="n">
        <v>0</v>
      </c>
      <c r="AM43" s="28" t="n">
        <v>0</v>
      </c>
      <c r="AN43" s="28" t="n">
        <v>0</v>
      </c>
      <c r="AO43" s="28" t="n">
        <v>0</v>
      </c>
      <c r="AP43" s="28" t="n">
        <v>0</v>
      </c>
      <c r="AQ43" s="28" t="n">
        <v>0</v>
      </c>
      <c r="AR43" s="28" t="n">
        <v>0</v>
      </c>
      <c r="AS43" s="28" t="n">
        <v>0</v>
      </c>
      <c r="AT43" s="28" t="n">
        <v>0</v>
      </c>
      <c r="AU43" s="28" t="n">
        <v>0</v>
      </c>
      <c r="AV43" s="28" t="n">
        <v>0</v>
      </c>
      <c r="AW43" s="28" t="n">
        <v>0</v>
      </c>
      <c r="AX43" s="28" t="n">
        <v>0</v>
      </c>
      <c r="AY43" s="28" t="n">
        <v>0</v>
      </c>
      <c r="AZ43" s="28" t="n">
        <v>0</v>
      </c>
      <c r="BA43" s="28" t="n">
        <v>0</v>
      </c>
      <c r="BB43" s="28" t="n">
        <v>0</v>
      </c>
      <c r="BC43" s="28" t="n">
        <v>0</v>
      </c>
      <c r="BD43" s="28" t="n">
        <v>0</v>
      </c>
      <c r="BE43" s="28" t="n">
        <v>0</v>
      </c>
      <c r="BF43" s="28" t="n">
        <v>0</v>
      </c>
      <c r="BG43" s="28" t="n">
        <v>0</v>
      </c>
      <c r="BH43" s="28" t="n">
        <v>0</v>
      </c>
      <c r="BI43" s="28" t="n">
        <v>0</v>
      </c>
      <c r="BJ43" s="28" t="n">
        <v>0</v>
      </c>
      <c r="BK43" s="28" t="n">
        <v>0</v>
      </c>
      <c r="BL43" s="28" t="n">
        <v>0</v>
      </c>
      <c r="BM43" s="28" t="n">
        <v>0</v>
      </c>
      <c r="BN43" s="28" t="n">
        <v>0</v>
      </c>
      <c r="BO43" s="28" t="n">
        <v>0</v>
      </c>
      <c r="BP43" s="28" t="n">
        <v>0</v>
      </c>
      <c r="BQ43" s="28" t="n">
        <v>0</v>
      </c>
      <c r="BR43" s="28" t="n">
        <v>0</v>
      </c>
      <c r="BS43" s="28" t="n">
        <v>0</v>
      </c>
      <c r="BT43" s="28" t="n">
        <v>0</v>
      </c>
      <c r="BU43" s="28" t="n">
        <v>0</v>
      </c>
      <c r="BV43" s="28" t="n">
        <v>0</v>
      </c>
      <c r="BW43" s="28" t="n">
        <v>0</v>
      </c>
      <c r="BX43" s="28" t="n">
        <v>0</v>
      </c>
      <c r="BY43" s="28" t="n">
        <v>0</v>
      </c>
      <c r="BZ43" s="28" t="n">
        <v>0</v>
      </c>
      <c r="CA43" s="28" t="n">
        <v>0</v>
      </c>
      <c r="CB43" s="28" t="n">
        <v>0</v>
      </c>
      <c r="CC43" s="28" t="n">
        <v>0</v>
      </c>
      <c r="CD43" s="28" t="n">
        <v>0</v>
      </c>
      <c r="CE43" s="28" t="n">
        <v>0</v>
      </c>
      <c r="CF43" s="28" t="n">
        <v>0</v>
      </c>
      <c r="CG43" s="28" t="n">
        <v>0</v>
      </c>
      <c r="CH43" s="28" t="n">
        <v>0</v>
      </c>
      <c r="CI43" s="28" t="n">
        <v>0</v>
      </c>
      <c r="CJ43" s="28" t="n">
        <v>0</v>
      </c>
      <c r="CK43" s="28" t="n">
        <v>0</v>
      </c>
      <c r="CL43" s="28" t="n">
        <v>0</v>
      </c>
      <c r="CM43" s="28" t="n">
        <v>0</v>
      </c>
      <c r="CN43" s="28" t="n">
        <v>0</v>
      </c>
      <c r="CO43" s="28" t="n">
        <v>0</v>
      </c>
      <c r="CP43" s="28" t="n">
        <v>0</v>
      </c>
      <c r="CQ43" s="28" t="n">
        <v>0</v>
      </c>
      <c r="CR43" s="28" t="n">
        <v>0</v>
      </c>
      <c r="CS43" s="28" t="n">
        <v>0</v>
      </c>
      <c r="CT43" s="28" t="n">
        <v>0</v>
      </c>
      <c r="CU43" s="28" t="n">
        <v>0</v>
      </c>
      <c r="CV43" s="28" t="n">
        <v>0</v>
      </c>
      <c r="CW43" s="28" t="n">
        <v>0</v>
      </c>
      <c r="CX43" s="28" t="n">
        <v>0</v>
      </c>
      <c r="CY43" s="28" t="n">
        <v>0</v>
      </c>
      <c r="CZ43" s="28" t="n">
        <v>0</v>
      </c>
      <c r="DA43" s="28" t="n">
        <v>0</v>
      </c>
    </row>
    <row r="44">
      <c r="A44" t="inlineStr">
        <is>
          <t>TSP-928</t>
        </is>
      </c>
      <c r="B44" s="28" t="n">
        <v>0</v>
      </c>
      <c r="C44" s="28" t="n">
        <v>0</v>
      </c>
      <c r="D44" s="28" t="n">
        <v>0</v>
      </c>
      <c r="E44" s="28" t="n">
        <v>0</v>
      </c>
      <c r="F44" s="28" t="n">
        <v>0</v>
      </c>
      <c r="G44" s="28" t="n">
        <v>0</v>
      </c>
      <c r="H44" s="28" t="n">
        <v>0</v>
      </c>
      <c r="I44" s="28" t="n">
        <v>0</v>
      </c>
      <c r="J44" s="28" t="n">
        <v>0</v>
      </c>
      <c r="K44" s="28" t="n">
        <v>0</v>
      </c>
      <c r="L44" s="28" t="n">
        <v>0</v>
      </c>
      <c r="M44" s="28" t="n">
        <v>0</v>
      </c>
      <c r="N44" s="28" t="n">
        <v>0</v>
      </c>
      <c r="O44" s="28" t="n">
        <v>0</v>
      </c>
      <c r="P44" s="28" t="n">
        <v>0</v>
      </c>
      <c r="Q44" s="28" t="n">
        <v>0</v>
      </c>
      <c r="R44" s="28" t="n">
        <v>0</v>
      </c>
      <c r="S44" s="28" t="n">
        <v>0</v>
      </c>
      <c r="T44" s="28" t="n">
        <v>0</v>
      </c>
      <c r="U44" s="28" t="n">
        <v>0</v>
      </c>
      <c r="V44" s="28" t="n">
        <v>0</v>
      </c>
      <c r="W44" s="28" t="n">
        <v>0</v>
      </c>
      <c r="X44" s="28" t="n">
        <v>0</v>
      </c>
      <c r="Y44" s="28" t="n">
        <v>0</v>
      </c>
      <c r="Z44" s="28" t="n">
        <v>0</v>
      </c>
      <c r="AA44" s="28" t="n">
        <v>0</v>
      </c>
      <c r="AB44" s="28" t="n">
        <v>0</v>
      </c>
      <c r="AC44" s="28" t="n">
        <v>0</v>
      </c>
      <c r="AD44" s="28" t="n">
        <v>0</v>
      </c>
      <c r="AE44" s="28" t="n">
        <v>0</v>
      </c>
      <c r="AF44" s="28" t="n">
        <v>1.595842200578393</v>
      </c>
      <c r="AG44" s="28" t="n">
        <v>0</v>
      </c>
      <c r="AH44" s="28" t="n">
        <v>0</v>
      </c>
      <c r="AI44" s="28" t="n">
        <v>0</v>
      </c>
      <c r="AJ44" s="28" t="n">
        <v>0</v>
      </c>
      <c r="AK44" s="28" t="n">
        <v>1.595842200578393</v>
      </c>
      <c r="AL44" s="28" t="n">
        <v>0</v>
      </c>
      <c r="AM44" s="28" t="n">
        <v>0</v>
      </c>
      <c r="AN44" s="28" t="n">
        <v>0</v>
      </c>
      <c r="AO44" s="28" t="n">
        <v>0</v>
      </c>
      <c r="AP44" s="28" t="n">
        <v>1.595842200578393</v>
      </c>
      <c r="AQ44" s="28" t="n">
        <v>0</v>
      </c>
      <c r="AR44" s="28" t="n">
        <v>0</v>
      </c>
      <c r="AS44" s="28" t="n">
        <v>0</v>
      </c>
      <c r="AT44" s="28" t="n">
        <v>1.595842200578393</v>
      </c>
      <c r="AU44" s="28" t="n">
        <v>0</v>
      </c>
      <c r="AV44" s="28" t="n">
        <v>0</v>
      </c>
      <c r="AW44" s="28" t="n">
        <v>0</v>
      </c>
      <c r="AX44" s="28" t="n">
        <v>1.276673760462714</v>
      </c>
      <c r="AY44" s="28" t="n">
        <v>0</v>
      </c>
      <c r="AZ44" s="28" t="n">
        <v>0</v>
      </c>
      <c r="BA44" s="28" t="n">
        <v>0</v>
      </c>
      <c r="BB44" s="28" t="n">
        <v>0</v>
      </c>
      <c r="BC44" s="28" t="n">
        <v>0</v>
      </c>
      <c r="BD44" s="28" t="n">
        <v>0</v>
      </c>
      <c r="BE44" s="28" t="n">
        <v>0</v>
      </c>
      <c r="BF44" s="28" t="n">
        <v>0</v>
      </c>
      <c r="BG44" s="28" t="n">
        <v>0</v>
      </c>
      <c r="BH44" s="28" t="n">
        <v>0</v>
      </c>
      <c r="BI44" s="28" t="n">
        <v>0</v>
      </c>
      <c r="BJ44" s="28" t="n">
        <v>0</v>
      </c>
      <c r="BK44" s="28" t="n">
        <v>0</v>
      </c>
      <c r="BL44" s="28" t="n">
        <v>0</v>
      </c>
      <c r="BM44" s="28" t="n">
        <v>0</v>
      </c>
      <c r="BN44" s="28" t="n">
        <v>0</v>
      </c>
      <c r="BO44" s="28" t="n">
        <v>0</v>
      </c>
      <c r="BP44" s="28" t="n">
        <v>0</v>
      </c>
      <c r="BQ44" s="28" t="n">
        <v>0</v>
      </c>
      <c r="BR44" s="28" t="n">
        <v>0</v>
      </c>
      <c r="BS44" s="28" t="n">
        <v>0</v>
      </c>
      <c r="BT44" s="28" t="n">
        <v>0</v>
      </c>
      <c r="BU44" s="28" t="n">
        <v>0</v>
      </c>
      <c r="BV44" s="28" t="n">
        <v>0</v>
      </c>
      <c r="BW44" s="28" t="n">
        <v>0</v>
      </c>
      <c r="BX44" s="28" t="n">
        <v>0</v>
      </c>
      <c r="BY44" s="28" t="n">
        <v>0</v>
      </c>
      <c r="BZ44" s="28" t="n">
        <v>0</v>
      </c>
      <c r="CA44" s="28" t="n">
        <v>0</v>
      </c>
      <c r="CB44" s="28" t="n">
        <v>0</v>
      </c>
      <c r="CC44" s="28" t="n">
        <v>0</v>
      </c>
      <c r="CD44" s="28" t="n">
        <v>0</v>
      </c>
      <c r="CE44" s="28" t="n">
        <v>0</v>
      </c>
      <c r="CF44" s="28" t="n">
        <v>0</v>
      </c>
      <c r="CG44" s="28" t="n">
        <v>0</v>
      </c>
      <c r="CH44" s="28" t="n">
        <v>0</v>
      </c>
      <c r="CI44" s="28" t="n">
        <v>0</v>
      </c>
      <c r="CJ44" s="28" t="n">
        <v>0</v>
      </c>
      <c r="CK44" s="28" t="n">
        <v>0</v>
      </c>
      <c r="CL44" s="28" t="n">
        <v>0</v>
      </c>
      <c r="CM44" s="28" t="n">
        <v>0</v>
      </c>
      <c r="CN44" s="28" t="n">
        <v>0</v>
      </c>
      <c r="CO44" s="28" t="n">
        <v>0</v>
      </c>
      <c r="CP44" s="28" t="n">
        <v>0</v>
      </c>
      <c r="CQ44" s="28" t="n">
        <v>0</v>
      </c>
      <c r="CR44" s="28" t="n">
        <v>0</v>
      </c>
      <c r="CS44" s="28" t="n">
        <v>0</v>
      </c>
      <c r="CT44" s="28" t="n">
        <v>0</v>
      </c>
      <c r="CU44" s="28" t="n">
        <v>0</v>
      </c>
      <c r="CV44" s="28" t="n">
        <v>0</v>
      </c>
      <c r="CW44" s="28" t="n">
        <v>0</v>
      </c>
      <c r="CX44" s="28" t="n">
        <v>0</v>
      </c>
      <c r="CY44" s="28" t="n">
        <v>0</v>
      </c>
      <c r="CZ44" s="28" t="n">
        <v>0</v>
      </c>
      <c r="DA44" s="28" t="n">
        <v>0</v>
      </c>
    </row>
    <row r="45">
      <c r="A45" t="inlineStr">
        <is>
          <t>TSP-929</t>
        </is>
      </c>
      <c r="B45" s="28" t="n">
        <v>0</v>
      </c>
      <c r="C45" s="28" t="n">
        <v>0</v>
      </c>
      <c r="D45" s="28" t="n">
        <v>0</v>
      </c>
      <c r="E45" s="28" t="n">
        <v>0</v>
      </c>
      <c r="F45" s="28" t="n">
        <v>0</v>
      </c>
      <c r="G45" s="28" t="n">
        <v>0</v>
      </c>
      <c r="H45" s="28" t="n">
        <v>0</v>
      </c>
      <c r="I45" s="28" t="n">
        <v>0</v>
      </c>
      <c r="J45" s="28" t="n">
        <v>0</v>
      </c>
      <c r="K45" s="28" t="n">
        <v>0</v>
      </c>
      <c r="L45" s="28" t="n">
        <v>0</v>
      </c>
      <c r="M45" s="28" t="n">
        <v>0</v>
      </c>
      <c r="N45" s="28" t="n">
        <v>0</v>
      </c>
      <c r="O45" s="28" t="n">
        <v>0</v>
      </c>
      <c r="P45" s="28" t="n">
        <v>0</v>
      </c>
      <c r="Q45" s="28" t="n">
        <v>0</v>
      </c>
      <c r="R45" s="28" t="n">
        <v>0</v>
      </c>
      <c r="S45" s="28" t="n">
        <v>0</v>
      </c>
      <c r="T45" s="28" t="n">
        <v>0</v>
      </c>
      <c r="U45" s="28" t="n">
        <v>0</v>
      </c>
      <c r="V45" s="28" t="n">
        <v>0</v>
      </c>
      <c r="W45" s="28" t="n">
        <v>0</v>
      </c>
      <c r="X45" s="28" t="n">
        <v>0</v>
      </c>
      <c r="Y45" s="28" t="n">
        <v>0</v>
      </c>
      <c r="Z45" s="28" t="n">
        <v>0</v>
      </c>
      <c r="AA45" s="28" t="n">
        <v>0</v>
      </c>
      <c r="AB45" s="28" t="n">
        <v>0</v>
      </c>
      <c r="AC45" s="28" t="n">
        <v>0</v>
      </c>
      <c r="AD45" s="28" t="n">
        <v>0</v>
      </c>
      <c r="AE45" s="28" t="n">
        <v>0</v>
      </c>
      <c r="AF45" s="28" t="n">
        <v>0</v>
      </c>
      <c r="AG45" s="28" t="n">
        <v>0</v>
      </c>
      <c r="AH45" s="28" t="n">
        <v>0</v>
      </c>
      <c r="AI45" s="28" t="n">
        <v>0</v>
      </c>
      <c r="AJ45" s="28" t="n">
        <v>0</v>
      </c>
      <c r="AK45" s="28" t="n">
        <v>0</v>
      </c>
      <c r="AL45" s="28" t="n">
        <v>0</v>
      </c>
      <c r="AM45" s="28" t="n">
        <v>0</v>
      </c>
      <c r="AN45" s="28" t="n">
        <v>0</v>
      </c>
      <c r="AO45" s="28" t="n">
        <v>0</v>
      </c>
      <c r="AP45" s="28" t="n">
        <v>0</v>
      </c>
      <c r="AQ45" s="28" t="n">
        <v>0</v>
      </c>
      <c r="AR45" s="28" t="n">
        <v>0</v>
      </c>
      <c r="AS45" s="28" t="n">
        <v>0</v>
      </c>
      <c r="AT45" s="28" t="n">
        <v>0</v>
      </c>
      <c r="AU45" s="28" t="n">
        <v>0</v>
      </c>
      <c r="AV45" s="28" t="n">
        <v>0</v>
      </c>
      <c r="AW45" s="28" t="n">
        <v>0</v>
      </c>
      <c r="AX45" s="28" t="n">
        <v>0</v>
      </c>
      <c r="AY45" s="28" t="n">
        <v>0</v>
      </c>
      <c r="AZ45" s="28" t="n">
        <v>0</v>
      </c>
      <c r="BA45" s="28" t="n">
        <v>0</v>
      </c>
      <c r="BB45" s="28" t="n">
        <v>0</v>
      </c>
      <c r="BC45" s="28" t="n">
        <v>0</v>
      </c>
      <c r="BD45" s="28" t="n">
        <v>0</v>
      </c>
      <c r="BE45" s="28" t="n">
        <v>0</v>
      </c>
      <c r="BF45" s="28" t="n">
        <v>0</v>
      </c>
      <c r="BG45" s="28" t="n">
        <v>0</v>
      </c>
      <c r="BH45" s="28" t="n">
        <v>0</v>
      </c>
      <c r="BI45" s="28" t="n">
        <v>0</v>
      </c>
      <c r="BJ45" s="28" t="n">
        <v>0</v>
      </c>
      <c r="BK45" s="28" t="n">
        <v>0</v>
      </c>
      <c r="BL45" s="28" t="n">
        <v>0</v>
      </c>
      <c r="BM45" s="28" t="n">
        <v>0</v>
      </c>
      <c r="BN45" s="28" t="n">
        <v>0</v>
      </c>
      <c r="BO45" s="28" t="n">
        <v>0</v>
      </c>
      <c r="BP45" s="28" t="n">
        <v>0</v>
      </c>
      <c r="BQ45" s="28" t="n">
        <v>0</v>
      </c>
      <c r="BR45" s="28" t="n">
        <v>0</v>
      </c>
      <c r="BS45" s="28" t="n">
        <v>0</v>
      </c>
      <c r="BT45" s="28" t="n">
        <v>0</v>
      </c>
      <c r="BU45" s="28" t="n">
        <v>0</v>
      </c>
      <c r="BV45" s="28" t="n">
        <v>0</v>
      </c>
      <c r="BW45" s="28" t="n">
        <v>0</v>
      </c>
      <c r="BX45" s="28" t="n">
        <v>0</v>
      </c>
      <c r="BY45" s="28" t="n">
        <v>0</v>
      </c>
      <c r="BZ45" s="28" t="n">
        <v>0</v>
      </c>
      <c r="CA45" s="28" t="n">
        <v>0</v>
      </c>
      <c r="CB45" s="28" t="n">
        <v>0</v>
      </c>
      <c r="CC45" s="28" t="n">
        <v>0</v>
      </c>
      <c r="CD45" s="28" t="n">
        <v>0</v>
      </c>
      <c r="CE45" s="28" t="n">
        <v>0</v>
      </c>
      <c r="CF45" s="28" t="n">
        <v>0</v>
      </c>
      <c r="CG45" s="28" t="n">
        <v>0</v>
      </c>
      <c r="CH45" s="28" t="n">
        <v>0</v>
      </c>
      <c r="CI45" s="28" t="n">
        <v>0</v>
      </c>
      <c r="CJ45" s="28" t="n">
        <v>0</v>
      </c>
      <c r="CK45" s="28" t="n">
        <v>0</v>
      </c>
      <c r="CL45" s="28" t="n">
        <v>0</v>
      </c>
      <c r="CM45" s="28" t="n">
        <v>0</v>
      </c>
      <c r="CN45" s="28" t="n">
        <v>0</v>
      </c>
      <c r="CO45" s="28" t="n">
        <v>0</v>
      </c>
      <c r="CP45" s="28" t="n">
        <v>0</v>
      </c>
      <c r="CQ45" s="28" t="n">
        <v>0</v>
      </c>
      <c r="CR45" s="28" t="n">
        <v>0</v>
      </c>
      <c r="CS45" s="28" t="n">
        <v>0</v>
      </c>
      <c r="CT45" s="28" t="n">
        <v>0</v>
      </c>
      <c r="CU45" s="28" t="n">
        <v>0</v>
      </c>
      <c r="CV45" s="28" t="n">
        <v>0</v>
      </c>
      <c r="CW45" s="28" t="n">
        <v>0</v>
      </c>
      <c r="CX45" s="28" t="n">
        <v>0</v>
      </c>
      <c r="CY45" s="28" t="n">
        <v>0</v>
      </c>
      <c r="CZ45" s="28" t="n">
        <v>0</v>
      </c>
      <c r="DA45" s="28" t="n">
        <v>0</v>
      </c>
    </row>
    <row r="46">
      <c r="A46" t="inlineStr">
        <is>
          <t>TSP-930</t>
        </is>
      </c>
      <c r="B46" s="28" t="n">
        <v>0</v>
      </c>
      <c r="C46" s="28" t="n">
        <v>0</v>
      </c>
      <c r="D46" s="28" t="n">
        <v>0</v>
      </c>
      <c r="E46" s="28" t="n">
        <v>0</v>
      </c>
      <c r="F46" s="28" t="n">
        <v>0</v>
      </c>
      <c r="G46" s="28" t="n">
        <v>0</v>
      </c>
      <c r="H46" s="28" t="n">
        <v>0</v>
      </c>
      <c r="I46" s="28" t="n">
        <v>0</v>
      </c>
      <c r="J46" s="28" t="n">
        <v>0</v>
      </c>
      <c r="K46" s="28" t="n">
        <v>0</v>
      </c>
      <c r="L46" s="28" t="n">
        <v>0</v>
      </c>
      <c r="M46" s="28" t="n">
        <v>0</v>
      </c>
      <c r="N46" s="28" t="n">
        <v>0</v>
      </c>
      <c r="O46" s="28" t="n">
        <v>0</v>
      </c>
      <c r="P46" s="28" t="n">
        <v>0</v>
      </c>
      <c r="Q46" s="28" t="n">
        <v>0</v>
      </c>
      <c r="R46" s="28" t="n">
        <v>0</v>
      </c>
      <c r="S46" s="28" t="n">
        <v>0</v>
      </c>
      <c r="T46" s="28" t="n">
        <v>0</v>
      </c>
      <c r="U46" s="28" t="n">
        <v>0</v>
      </c>
      <c r="V46" s="28" t="n">
        <v>0</v>
      </c>
      <c r="W46" s="28" t="n">
        <v>0</v>
      </c>
      <c r="X46" s="28" t="n">
        <v>1.20003066745039</v>
      </c>
      <c r="Y46" s="28" t="n">
        <v>0</v>
      </c>
      <c r="Z46" s="28" t="n">
        <v>0</v>
      </c>
      <c r="AA46" s="28" t="n">
        <v>0</v>
      </c>
      <c r="AB46" s="28" t="n">
        <v>0</v>
      </c>
      <c r="AC46" s="28" t="n">
        <v>0</v>
      </c>
      <c r="AD46" s="28" t="n">
        <v>1.20003066745039</v>
      </c>
      <c r="AE46" s="28" t="n">
        <v>0</v>
      </c>
      <c r="AF46" s="28" t="n">
        <v>0</v>
      </c>
      <c r="AG46" s="28" t="n">
        <v>1.20003066745039</v>
      </c>
      <c r="AH46" s="28" t="n">
        <v>0</v>
      </c>
      <c r="AI46" s="28" t="n">
        <v>0</v>
      </c>
      <c r="AJ46" s="28" t="n">
        <v>1.20003066745039</v>
      </c>
      <c r="AK46" s="28" t="n">
        <v>0</v>
      </c>
      <c r="AL46" s="28" t="n">
        <v>0</v>
      </c>
      <c r="AM46" s="28" t="n">
        <v>0</v>
      </c>
      <c r="AN46" s="28" t="n">
        <v>0</v>
      </c>
      <c r="AO46" s="28" t="n">
        <v>1.20003066745039</v>
      </c>
      <c r="AP46" s="28" t="n">
        <v>0</v>
      </c>
      <c r="AQ46" s="28" t="n">
        <v>0</v>
      </c>
      <c r="AR46" s="28" t="n">
        <v>0</v>
      </c>
      <c r="AS46" s="28" t="n">
        <v>1.20003066745039</v>
      </c>
      <c r="AT46" s="28" t="n">
        <v>0</v>
      </c>
      <c r="AU46" s="28" t="n">
        <v>0</v>
      </c>
      <c r="AV46" s="28" t="n">
        <v>0</v>
      </c>
      <c r="AW46" s="28" t="n">
        <v>0</v>
      </c>
      <c r="AX46" s="28" t="n">
        <v>0</v>
      </c>
      <c r="AY46" s="28" t="n">
        <v>0</v>
      </c>
      <c r="AZ46" s="28" t="n">
        <v>0</v>
      </c>
      <c r="BA46" s="28" t="n">
        <v>0</v>
      </c>
      <c r="BB46" s="28" t="n">
        <v>0</v>
      </c>
      <c r="BC46" s="28" t="n">
        <v>0</v>
      </c>
      <c r="BD46" s="28" t="n">
        <v>0</v>
      </c>
      <c r="BE46" s="28" t="n">
        <v>0</v>
      </c>
      <c r="BF46" s="28" t="n">
        <v>0</v>
      </c>
      <c r="BG46" s="28" t="n">
        <v>0</v>
      </c>
      <c r="BH46" s="28" t="n">
        <v>0</v>
      </c>
      <c r="BI46" s="28" t="n">
        <v>0</v>
      </c>
      <c r="BJ46" s="28" t="n">
        <v>0</v>
      </c>
      <c r="BK46" s="28" t="n">
        <v>0</v>
      </c>
      <c r="BL46" s="28" t="n">
        <v>0</v>
      </c>
      <c r="BM46" s="28" t="n">
        <v>0</v>
      </c>
      <c r="BN46" s="28" t="n">
        <v>0</v>
      </c>
      <c r="BO46" s="28" t="n">
        <v>0</v>
      </c>
      <c r="BP46" s="28" t="n">
        <v>0</v>
      </c>
      <c r="BQ46" s="28" t="n">
        <v>0</v>
      </c>
      <c r="BR46" s="28" t="n">
        <v>0</v>
      </c>
      <c r="BS46" s="28" t="n">
        <v>0</v>
      </c>
      <c r="BT46" s="28" t="n">
        <v>0</v>
      </c>
      <c r="BU46" s="28" t="n">
        <v>0</v>
      </c>
      <c r="BV46" s="28" t="n">
        <v>0</v>
      </c>
      <c r="BW46" s="28" t="n">
        <v>0</v>
      </c>
      <c r="BX46" s="28" t="n">
        <v>0</v>
      </c>
      <c r="BY46" s="28" t="n">
        <v>0</v>
      </c>
      <c r="BZ46" s="28" t="n">
        <v>0</v>
      </c>
      <c r="CA46" s="28" t="n">
        <v>0</v>
      </c>
      <c r="CB46" s="28" t="n">
        <v>0</v>
      </c>
      <c r="CC46" s="28" t="n">
        <v>0</v>
      </c>
      <c r="CD46" s="28" t="n">
        <v>0</v>
      </c>
      <c r="CE46" s="28" t="n">
        <v>0</v>
      </c>
      <c r="CF46" s="28" t="n">
        <v>0</v>
      </c>
      <c r="CG46" s="28" t="n">
        <v>0</v>
      </c>
      <c r="CH46" s="28" t="n">
        <v>0</v>
      </c>
      <c r="CI46" s="28" t="n">
        <v>0</v>
      </c>
      <c r="CJ46" s="28" t="n">
        <v>0</v>
      </c>
      <c r="CK46" s="28" t="n">
        <v>0</v>
      </c>
      <c r="CL46" s="28" t="n">
        <v>0</v>
      </c>
      <c r="CM46" s="28" t="n">
        <v>0</v>
      </c>
      <c r="CN46" s="28" t="n">
        <v>0</v>
      </c>
      <c r="CO46" s="28" t="n">
        <v>0</v>
      </c>
      <c r="CP46" s="28" t="n">
        <v>0</v>
      </c>
      <c r="CQ46" s="28" t="n">
        <v>0</v>
      </c>
      <c r="CR46" s="28" t="n">
        <v>0</v>
      </c>
      <c r="CS46" s="28" t="n">
        <v>0</v>
      </c>
      <c r="CT46" s="28" t="n">
        <v>0</v>
      </c>
      <c r="CU46" s="28" t="n">
        <v>0</v>
      </c>
      <c r="CV46" s="28" t="n">
        <v>0</v>
      </c>
      <c r="CW46" s="28" t="n">
        <v>0</v>
      </c>
      <c r="CX46" s="28" t="n">
        <v>0</v>
      </c>
      <c r="CY46" s="28" t="n">
        <v>0</v>
      </c>
      <c r="CZ46" s="28" t="n">
        <v>0</v>
      </c>
      <c r="DA46" s="28" t="n">
        <v>0</v>
      </c>
    </row>
    <row r="47">
      <c r="A47" t="inlineStr">
        <is>
          <t>TSP-934</t>
        </is>
      </c>
      <c r="B47" s="28" t="n">
        <v>0</v>
      </c>
      <c r="C47" s="28" t="n">
        <v>0</v>
      </c>
      <c r="D47" s="28" t="n">
        <v>0</v>
      </c>
      <c r="E47" s="28" t="n">
        <v>0</v>
      </c>
      <c r="F47" s="28" t="n">
        <v>0</v>
      </c>
      <c r="G47" s="28" t="n">
        <v>0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  <c r="M47" s="28" t="n">
        <v>0</v>
      </c>
      <c r="N47" s="28" t="n">
        <v>0</v>
      </c>
      <c r="O47" s="28" t="n">
        <v>0</v>
      </c>
      <c r="P47" s="28" t="n">
        <v>0</v>
      </c>
      <c r="Q47" s="28" t="n">
        <v>0</v>
      </c>
      <c r="R47" s="28" t="n">
        <v>0</v>
      </c>
      <c r="S47" s="28" t="n">
        <v>0</v>
      </c>
      <c r="T47" s="28" t="n">
        <v>0</v>
      </c>
      <c r="U47" s="28" t="n">
        <v>0</v>
      </c>
      <c r="V47" s="28" t="n">
        <v>0</v>
      </c>
      <c r="W47" s="28" t="n">
        <v>0</v>
      </c>
      <c r="X47" s="28" t="n">
        <v>0</v>
      </c>
      <c r="Y47" s="28" t="n">
        <v>0</v>
      </c>
      <c r="Z47" s="28" t="n">
        <v>0</v>
      </c>
      <c r="AA47" s="28" t="n">
        <v>0</v>
      </c>
      <c r="AB47" s="28" t="n">
        <v>0</v>
      </c>
      <c r="AC47" s="28" t="n">
        <v>0</v>
      </c>
      <c r="AD47" s="28" t="n">
        <v>0</v>
      </c>
      <c r="AE47" s="28" t="n">
        <v>0</v>
      </c>
      <c r="AF47" s="28" t="n">
        <v>0</v>
      </c>
      <c r="AG47" s="28" t="n">
        <v>0</v>
      </c>
      <c r="AH47" s="28" t="n">
        <v>0</v>
      </c>
      <c r="AI47" s="28" t="n">
        <v>0</v>
      </c>
      <c r="AJ47" s="28" t="n">
        <v>0</v>
      </c>
      <c r="AK47" s="28" t="n">
        <v>0</v>
      </c>
      <c r="AL47" s="28" t="n">
        <v>0</v>
      </c>
      <c r="AM47" s="28" t="n">
        <v>0</v>
      </c>
      <c r="AN47" s="28" t="n">
        <v>0</v>
      </c>
      <c r="AO47" s="28" t="n">
        <v>0</v>
      </c>
      <c r="AP47" s="28" t="n">
        <v>0</v>
      </c>
      <c r="AQ47" s="28" t="n">
        <v>0</v>
      </c>
      <c r="AR47" s="28" t="n">
        <v>0</v>
      </c>
      <c r="AS47" s="28" t="n">
        <v>0</v>
      </c>
      <c r="AT47" s="28" t="n">
        <v>0</v>
      </c>
      <c r="AU47" s="28" t="n">
        <v>0</v>
      </c>
      <c r="AV47" s="28" t="n">
        <v>0</v>
      </c>
      <c r="AW47" s="28" t="n">
        <v>0</v>
      </c>
      <c r="AX47" s="28" t="n">
        <v>0</v>
      </c>
      <c r="AY47" s="28" t="n">
        <v>0</v>
      </c>
      <c r="AZ47" s="28" t="n">
        <v>0</v>
      </c>
      <c r="BA47" s="28" t="n">
        <v>0</v>
      </c>
      <c r="BB47" s="28" t="n">
        <v>0</v>
      </c>
      <c r="BC47" s="28" t="n">
        <v>0</v>
      </c>
      <c r="BD47" s="28" t="n">
        <v>0</v>
      </c>
      <c r="BE47" s="28" t="n">
        <v>0</v>
      </c>
      <c r="BF47" s="28" t="n">
        <v>0</v>
      </c>
      <c r="BG47" s="28" t="n">
        <v>0</v>
      </c>
      <c r="BH47" s="28" t="n">
        <v>0</v>
      </c>
      <c r="BI47" s="28" t="n">
        <v>0</v>
      </c>
      <c r="BJ47" s="28" t="n">
        <v>0</v>
      </c>
      <c r="BK47" s="28" t="n">
        <v>0</v>
      </c>
      <c r="BL47" s="28" t="n">
        <v>0</v>
      </c>
      <c r="BM47" s="28" t="n">
        <v>0</v>
      </c>
      <c r="BN47" s="28" t="n">
        <v>0</v>
      </c>
      <c r="BO47" s="28" t="n">
        <v>0</v>
      </c>
      <c r="BP47" s="28" t="n">
        <v>0</v>
      </c>
      <c r="BQ47" s="28" t="n">
        <v>0</v>
      </c>
      <c r="BR47" s="28" t="n">
        <v>0</v>
      </c>
      <c r="BS47" s="28" t="n">
        <v>0</v>
      </c>
      <c r="BT47" s="28" t="n">
        <v>0</v>
      </c>
      <c r="BU47" s="28" t="n">
        <v>0</v>
      </c>
      <c r="BV47" s="28" t="n">
        <v>0</v>
      </c>
      <c r="BW47" s="28" t="n">
        <v>0</v>
      </c>
      <c r="BX47" s="28" t="n">
        <v>0</v>
      </c>
      <c r="BY47" s="28" t="n">
        <v>0</v>
      </c>
      <c r="BZ47" s="28" t="n">
        <v>0</v>
      </c>
      <c r="CA47" s="28" t="n">
        <v>0</v>
      </c>
      <c r="CB47" s="28" t="n">
        <v>0</v>
      </c>
      <c r="CC47" s="28" t="n">
        <v>0</v>
      </c>
      <c r="CD47" s="28" t="n">
        <v>0</v>
      </c>
      <c r="CE47" s="28" t="n">
        <v>0</v>
      </c>
      <c r="CF47" s="28" t="n">
        <v>0</v>
      </c>
      <c r="CG47" s="28" t="n">
        <v>0</v>
      </c>
      <c r="CH47" s="28" t="n">
        <v>0</v>
      </c>
      <c r="CI47" s="28" t="n">
        <v>0</v>
      </c>
      <c r="CJ47" s="28" t="n">
        <v>0</v>
      </c>
      <c r="CK47" s="28" t="n">
        <v>0</v>
      </c>
      <c r="CL47" s="28" t="n">
        <v>0</v>
      </c>
      <c r="CM47" s="28" t="n">
        <v>0</v>
      </c>
      <c r="CN47" s="28" t="n">
        <v>0</v>
      </c>
      <c r="CO47" s="28" t="n">
        <v>0</v>
      </c>
      <c r="CP47" s="28" t="n">
        <v>0</v>
      </c>
      <c r="CQ47" s="28" t="n">
        <v>0</v>
      </c>
      <c r="CR47" s="28" t="n">
        <v>0</v>
      </c>
      <c r="CS47" s="28" t="n">
        <v>0</v>
      </c>
      <c r="CT47" s="28" t="n">
        <v>0</v>
      </c>
      <c r="CU47" s="28" t="n">
        <v>0</v>
      </c>
      <c r="CV47" s="28" t="n">
        <v>0</v>
      </c>
      <c r="CW47" s="28" t="n">
        <v>0</v>
      </c>
      <c r="CX47" s="28" t="n">
        <v>0</v>
      </c>
      <c r="CY47" s="28" t="n">
        <v>0</v>
      </c>
      <c r="CZ47" s="28" t="n">
        <v>0</v>
      </c>
      <c r="DA47" s="28" t="n">
        <v>0</v>
      </c>
    </row>
    <row r="48">
      <c r="A48" t="inlineStr">
        <is>
          <t>TSP-935</t>
        </is>
      </c>
      <c r="B48" s="28" t="n">
        <v>0</v>
      </c>
      <c r="C48" s="28" t="n">
        <v>0</v>
      </c>
      <c r="D48" s="28" t="n">
        <v>0</v>
      </c>
      <c r="E48" s="28" t="n">
        <v>0</v>
      </c>
      <c r="F48" s="28" t="n">
        <v>0</v>
      </c>
      <c r="G48" s="28" t="n">
        <v>0</v>
      </c>
      <c r="H48" s="28" t="n">
        <v>0</v>
      </c>
      <c r="I48" s="28" t="n">
        <v>0</v>
      </c>
      <c r="J48" s="28" t="n">
        <v>0</v>
      </c>
      <c r="K48" s="28" t="n">
        <v>0</v>
      </c>
      <c r="L48" s="28" t="n">
        <v>0</v>
      </c>
      <c r="M48" s="28" t="n">
        <v>0</v>
      </c>
      <c r="N48" s="28" t="n">
        <v>0</v>
      </c>
      <c r="O48" s="28" t="n">
        <v>0</v>
      </c>
      <c r="P48" s="28" t="n">
        <v>0</v>
      </c>
      <c r="Q48" s="28" t="n">
        <v>0</v>
      </c>
      <c r="R48" s="28" t="n">
        <v>0</v>
      </c>
      <c r="S48" s="28" t="n">
        <v>0</v>
      </c>
      <c r="T48" s="28" t="n">
        <v>0</v>
      </c>
      <c r="U48" s="28" t="n">
        <v>0</v>
      </c>
      <c r="V48" s="28" t="n">
        <v>0</v>
      </c>
      <c r="W48" s="28" t="n">
        <v>0</v>
      </c>
      <c r="X48" s="28" t="n">
        <v>0</v>
      </c>
      <c r="Y48" s="28" t="n">
        <v>0</v>
      </c>
      <c r="Z48" s="28" t="n">
        <v>0</v>
      </c>
      <c r="AA48" s="28" t="n">
        <v>0</v>
      </c>
      <c r="AB48" s="28" t="n">
        <v>0</v>
      </c>
      <c r="AC48" s="28" t="n">
        <v>0</v>
      </c>
      <c r="AD48" s="28" t="n">
        <v>0</v>
      </c>
      <c r="AE48" s="28" t="n">
        <v>0</v>
      </c>
      <c r="AF48" s="28" t="n">
        <v>1.647732293074346</v>
      </c>
      <c r="AG48" s="28" t="n">
        <v>0</v>
      </c>
      <c r="AH48" s="28" t="n">
        <v>0</v>
      </c>
      <c r="AI48" s="28" t="n">
        <v>0</v>
      </c>
      <c r="AJ48" s="28" t="n">
        <v>0</v>
      </c>
      <c r="AK48" s="28" t="n">
        <v>1.647732293074346</v>
      </c>
      <c r="AL48" s="28" t="n">
        <v>0</v>
      </c>
      <c r="AM48" s="28" t="n">
        <v>0</v>
      </c>
      <c r="AN48" s="28" t="n">
        <v>0</v>
      </c>
      <c r="AO48" s="28" t="n">
        <v>0</v>
      </c>
      <c r="AP48" s="28" t="n">
        <v>1.647732293074346</v>
      </c>
      <c r="AQ48" s="28" t="n">
        <v>0</v>
      </c>
      <c r="AR48" s="28" t="n">
        <v>0</v>
      </c>
      <c r="AS48" s="28" t="n">
        <v>0</v>
      </c>
      <c r="AT48" s="28" t="n">
        <v>1.647732293074346</v>
      </c>
      <c r="AU48" s="28" t="n">
        <v>0</v>
      </c>
      <c r="AV48" s="28" t="n">
        <v>0</v>
      </c>
      <c r="AW48" s="28" t="n">
        <v>0</v>
      </c>
      <c r="AX48" s="28" t="n">
        <v>1.318185834459477</v>
      </c>
      <c r="AY48" s="28" t="n">
        <v>0</v>
      </c>
      <c r="AZ48" s="28" t="n">
        <v>0</v>
      </c>
      <c r="BA48" s="28" t="n">
        <v>0</v>
      </c>
      <c r="BB48" s="28" t="n">
        <v>0</v>
      </c>
      <c r="BC48" s="28" t="n">
        <v>0</v>
      </c>
      <c r="BD48" s="28" t="n">
        <v>0</v>
      </c>
      <c r="BE48" s="28" t="n">
        <v>0</v>
      </c>
      <c r="BF48" s="28" t="n">
        <v>0</v>
      </c>
      <c r="BG48" s="28" t="n">
        <v>0</v>
      </c>
      <c r="BH48" s="28" t="n">
        <v>0</v>
      </c>
      <c r="BI48" s="28" t="n">
        <v>0</v>
      </c>
      <c r="BJ48" s="28" t="n">
        <v>0</v>
      </c>
      <c r="BK48" s="28" t="n">
        <v>0</v>
      </c>
      <c r="BL48" s="28" t="n">
        <v>0</v>
      </c>
      <c r="BM48" s="28" t="n">
        <v>0</v>
      </c>
      <c r="BN48" s="28" t="n">
        <v>0</v>
      </c>
      <c r="BO48" s="28" t="n">
        <v>0</v>
      </c>
      <c r="BP48" s="28" t="n">
        <v>0</v>
      </c>
      <c r="BQ48" s="28" t="n">
        <v>0</v>
      </c>
      <c r="BR48" s="28" t="n">
        <v>0</v>
      </c>
      <c r="BS48" s="28" t="n">
        <v>0</v>
      </c>
      <c r="BT48" s="28" t="n">
        <v>0</v>
      </c>
      <c r="BU48" s="28" t="n">
        <v>0</v>
      </c>
      <c r="BV48" s="28" t="n">
        <v>0</v>
      </c>
      <c r="BW48" s="28" t="n">
        <v>0</v>
      </c>
      <c r="BX48" s="28" t="n">
        <v>0</v>
      </c>
      <c r="BY48" s="28" t="n">
        <v>0</v>
      </c>
      <c r="BZ48" s="28" t="n">
        <v>0</v>
      </c>
      <c r="CA48" s="28" t="n">
        <v>0</v>
      </c>
      <c r="CB48" s="28" t="n">
        <v>0</v>
      </c>
      <c r="CC48" s="28" t="n">
        <v>0</v>
      </c>
      <c r="CD48" s="28" t="n">
        <v>0</v>
      </c>
      <c r="CE48" s="28" t="n">
        <v>0</v>
      </c>
      <c r="CF48" s="28" t="n">
        <v>0</v>
      </c>
      <c r="CG48" s="28" t="n">
        <v>0</v>
      </c>
      <c r="CH48" s="28" t="n">
        <v>0</v>
      </c>
      <c r="CI48" s="28" t="n">
        <v>0</v>
      </c>
      <c r="CJ48" s="28" t="n">
        <v>0</v>
      </c>
      <c r="CK48" s="28" t="n">
        <v>0</v>
      </c>
      <c r="CL48" s="28" t="n">
        <v>0</v>
      </c>
      <c r="CM48" s="28" t="n">
        <v>0</v>
      </c>
      <c r="CN48" s="28" t="n">
        <v>0</v>
      </c>
      <c r="CO48" s="28" t="n">
        <v>0</v>
      </c>
      <c r="CP48" s="28" t="n">
        <v>0</v>
      </c>
      <c r="CQ48" s="28" t="n">
        <v>0</v>
      </c>
      <c r="CR48" s="28" t="n">
        <v>0</v>
      </c>
      <c r="CS48" s="28" t="n">
        <v>0</v>
      </c>
      <c r="CT48" s="28" t="n">
        <v>0</v>
      </c>
      <c r="CU48" s="28" t="n">
        <v>0</v>
      </c>
      <c r="CV48" s="28" t="n">
        <v>0</v>
      </c>
      <c r="CW48" s="28" t="n">
        <v>0</v>
      </c>
      <c r="CX48" s="28" t="n">
        <v>0</v>
      </c>
      <c r="CY48" s="28" t="n">
        <v>0</v>
      </c>
      <c r="CZ48" s="28" t="n">
        <v>0</v>
      </c>
      <c r="DA48" s="28" t="n">
        <v>0</v>
      </c>
    </row>
    <row r="49">
      <c r="A49" t="inlineStr">
        <is>
          <t>TSP-936</t>
        </is>
      </c>
      <c r="B49" s="28" t="n">
        <v>0</v>
      </c>
      <c r="C49" s="28" t="n">
        <v>0</v>
      </c>
      <c r="D49" s="28" t="n">
        <v>0</v>
      </c>
      <c r="E49" s="28" t="n">
        <v>0</v>
      </c>
      <c r="F49" s="28" t="n">
        <v>0</v>
      </c>
      <c r="G49" s="28" t="n">
        <v>0</v>
      </c>
      <c r="H49" s="28" t="n">
        <v>0</v>
      </c>
      <c r="I49" s="28" t="n">
        <v>0</v>
      </c>
      <c r="J49" s="28" t="n">
        <v>0</v>
      </c>
      <c r="K49" s="28" t="n">
        <v>0</v>
      </c>
      <c r="L49" s="28" t="n">
        <v>0</v>
      </c>
      <c r="M49" s="28" t="n">
        <v>0</v>
      </c>
      <c r="N49" s="28" t="n">
        <v>0</v>
      </c>
      <c r="O49" s="28" t="n">
        <v>0</v>
      </c>
      <c r="P49" s="28" t="n">
        <v>0</v>
      </c>
      <c r="Q49" s="28" t="n">
        <v>0</v>
      </c>
      <c r="R49" s="28" t="n">
        <v>0</v>
      </c>
      <c r="S49" s="28" t="n">
        <v>0</v>
      </c>
      <c r="T49" s="28" t="n">
        <v>0</v>
      </c>
      <c r="U49" s="28" t="n">
        <v>0</v>
      </c>
      <c r="V49" s="28" t="n">
        <v>0</v>
      </c>
      <c r="W49" s="28" t="n">
        <v>0</v>
      </c>
      <c r="X49" s="28" t="n">
        <v>0</v>
      </c>
      <c r="Y49" s="28" t="n">
        <v>0</v>
      </c>
      <c r="Z49" s="28" t="n">
        <v>0</v>
      </c>
      <c r="AA49" s="28" t="n">
        <v>0</v>
      </c>
      <c r="AB49" s="28" t="n">
        <v>0</v>
      </c>
      <c r="AC49" s="28" t="n">
        <v>0</v>
      </c>
      <c r="AD49" s="28" t="n">
        <v>0</v>
      </c>
      <c r="AE49" s="28" t="n">
        <v>0</v>
      </c>
      <c r="AF49" s="28" t="n">
        <v>0</v>
      </c>
      <c r="AG49" s="28" t="n">
        <v>0</v>
      </c>
      <c r="AH49" s="28" t="n">
        <v>0</v>
      </c>
      <c r="AI49" s="28" t="n">
        <v>0</v>
      </c>
      <c r="AJ49" s="28" t="n">
        <v>0</v>
      </c>
      <c r="AK49" s="28" t="n">
        <v>0</v>
      </c>
      <c r="AL49" s="28" t="n">
        <v>0</v>
      </c>
      <c r="AM49" s="28" t="n">
        <v>0</v>
      </c>
      <c r="AN49" s="28" t="n">
        <v>0</v>
      </c>
      <c r="AO49" s="28" t="n">
        <v>0</v>
      </c>
      <c r="AP49" s="28" t="n">
        <v>0</v>
      </c>
      <c r="AQ49" s="28" t="n">
        <v>0</v>
      </c>
      <c r="AR49" s="28" t="n">
        <v>0</v>
      </c>
      <c r="AS49" s="28" t="n">
        <v>0</v>
      </c>
      <c r="AT49" s="28" t="n">
        <v>0</v>
      </c>
      <c r="AU49" s="28" t="n">
        <v>0</v>
      </c>
      <c r="AV49" s="28" t="n">
        <v>0</v>
      </c>
      <c r="AW49" s="28" t="n">
        <v>0</v>
      </c>
      <c r="AX49" s="28" t="n">
        <v>0</v>
      </c>
      <c r="AY49" s="28" t="n">
        <v>0</v>
      </c>
      <c r="AZ49" s="28" t="n">
        <v>0</v>
      </c>
      <c r="BA49" s="28" t="n">
        <v>0</v>
      </c>
      <c r="BB49" s="28" t="n">
        <v>0</v>
      </c>
      <c r="BC49" s="28" t="n">
        <v>0</v>
      </c>
      <c r="BD49" s="28" t="n">
        <v>0</v>
      </c>
      <c r="BE49" s="28" t="n">
        <v>0</v>
      </c>
      <c r="BF49" s="28" t="n">
        <v>0</v>
      </c>
      <c r="BG49" s="28" t="n">
        <v>0</v>
      </c>
      <c r="BH49" s="28" t="n">
        <v>0</v>
      </c>
      <c r="BI49" s="28" t="n">
        <v>0</v>
      </c>
      <c r="BJ49" s="28" t="n">
        <v>0</v>
      </c>
      <c r="BK49" s="28" t="n">
        <v>0</v>
      </c>
      <c r="BL49" s="28" t="n">
        <v>0</v>
      </c>
      <c r="BM49" s="28" t="n">
        <v>0</v>
      </c>
      <c r="BN49" s="28" t="n">
        <v>0</v>
      </c>
      <c r="BO49" s="28" t="n">
        <v>0</v>
      </c>
      <c r="BP49" s="28" t="n">
        <v>0</v>
      </c>
      <c r="BQ49" s="28" t="n">
        <v>0</v>
      </c>
      <c r="BR49" s="28" t="n">
        <v>0</v>
      </c>
      <c r="BS49" s="28" t="n">
        <v>0</v>
      </c>
      <c r="BT49" s="28" t="n">
        <v>0</v>
      </c>
      <c r="BU49" s="28" t="n">
        <v>0</v>
      </c>
      <c r="BV49" s="28" t="n">
        <v>0</v>
      </c>
      <c r="BW49" s="28" t="n">
        <v>0</v>
      </c>
      <c r="BX49" s="28" t="n">
        <v>0</v>
      </c>
      <c r="BY49" s="28" t="n">
        <v>0</v>
      </c>
      <c r="BZ49" s="28" t="n">
        <v>0</v>
      </c>
      <c r="CA49" s="28" t="n">
        <v>0</v>
      </c>
      <c r="CB49" s="28" t="n">
        <v>0</v>
      </c>
      <c r="CC49" s="28" t="n">
        <v>0</v>
      </c>
      <c r="CD49" s="28" t="n">
        <v>0</v>
      </c>
      <c r="CE49" s="28" t="n">
        <v>0</v>
      </c>
      <c r="CF49" s="28" t="n">
        <v>0</v>
      </c>
      <c r="CG49" s="28" t="n">
        <v>0</v>
      </c>
      <c r="CH49" s="28" t="n">
        <v>0</v>
      </c>
      <c r="CI49" s="28" t="n">
        <v>0</v>
      </c>
      <c r="CJ49" s="28" t="n">
        <v>0</v>
      </c>
      <c r="CK49" s="28" t="n">
        <v>0</v>
      </c>
      <c r="CL49" s="28" t="n">
        <v>0</v>
      </c>
      <c r="CM49" s="28" t="n">
        <v>0</v>
      </c>
      <c r="CN49" s="28" t="n">
        <v>0</v>
      </c>
      <c r="CO49" s="28" t="n">
        <v>0</v>
      </c>
      <c r="CP49" s="28" t="n">
        <v>0</v>
      </c>
      <c r="CQ49" s="28" t="n">
        <v>0</v>
      </c>
      <c r="CR49" s="28" t="n">
        <v>0</v>
      </c>
      <c r="CS49" s="28" t="n">
        <v>0</v>
      </c>
      <c r="CT49" s="28" t="n">
        <v>0</v>
      </c>
      <c r="CU49" s="28" t="n">
        <v>0</v>
      </c>
      <c r="CV49" s="28" t="n">
        <v>0</v>
      </c>
      <c r="CW49" s="28" t="n">
        <v>0</v>
      </c>
      <c r="CX49" s="28" t="n">
        <v>0</v>
      </c>
      <c r="CY49" s="28" t="n">
        <v>0</v>
      </c>
      <c r="CZ49" s="28" t="n">
        <v>0</v>
      </c>
      <c r="DA49" s="28" t="n">
        <v>0</v>
      </c>
    </row>
    <row r="50">
      <c r="A50" t="inlineStr">
        <is>
          <t>TSP-937</t>
        </is>
      </c>
      <c r="B50" s="28" t="n">
        <v>0</v>
      </c>
      <c r="C50" s="28" t="n">
        <v>0</v>
      </c>
      <c r="D50" s="28" t="n">
        <v>0</v>
      </c>
      <c r="E50" s="28" t="n">
        <v>0</v>
      </c>
      <c r="F50" s="28" t="n">
        <v>0</v>
      </c>
      <c r="G50" s="28" t="n">
        <v>0</v>
      </c>
      <c r="H50" s="28" t="n">
        <v>0</v>
      </c>
      <c r="I50" s="28" t="n">
        <v>0</v>
      </c>
      <c r="J50" s="28" t="n">
        <v>0</v>
      </c>
      <c r="K50" s="28" t="n">
        <v>0</v>
      </c>
      <c r="L50" s="28" t="n">
        <v>0</v>
      </c>
      <c r="M50" s="28" t="n">
        <v>0</v>
      </c>
      <c r="N50" s="28" t="n">
        <v>0</v>
      </c>
      <c r="O50" s="28" t="n">
        <v>0</v>
      </c>
      <c r="P50" s="28" t="n">
        <v>0</v>
      </c>
      <c r="Q50" s="28" t="n">
        <v>0</v>
      </c>
      <c r="R50" s="28" t="n">
        <v>0</v>
      </c>
      <c r="S50" s="28" t="n">
        <v>0</v>
      </c>
      <c r="T50" s="28" t="n">
        <v>0</v>
      </c>
      <c r="U50" s="28" t="n">
        <v>0</v>
      </c>
      <c r="V50" s="28" t="n">
        <v>0</v>
      </c>
      <c r="W50" s="28" t="n">
        <v>0</v>
      </c>
      <c r="X50" s="28" t="n">
        <v>1.239039250313827</v>
      </c>
      <c r="Y50" s="28" t="n">
        <v>0</v>
      </c>
      <c r="Z50" s="28" t="n">
        <v>0</v>
      </c>
      <c r="AA50" s="28" t="n">
        <v>0</v>
      </c>
      <c r="AB50" s="28" t="n">
        <v>0</v>
      </c>
      <c r="AC50" s="28" t="n">
        <v>0</v>
      </c>
      <c r="AD50" s="28" t="n">
        <v>1.239039250313827</v>
      </c>
      <c r="AE50" s="28" t="n">
        <v>0</v>
      </c>
      <c r="AF50" s="28" t="n">
        <v>0</v>
      </c>
      <c r="AG50" s="28" t="n">
        <v>1.239039250313827</v>
      </c>
      <c r="AH50" s="28" t="n">
        <v>0</v>
      </c>
      <c r="AI50" s="28" t="n">
        <v>0</v>
      </c>
      <c r="AJ50" s="28" t="n">
        <v>1.239039250313827</v>
      </c>
      <c r="AK50" s="28" t="n">
        <v>0</v>
      </c>
      <c r="AL50" s="28" t="n">
        <v>0</v>
      </c>
      <c r="AM50" s="28" t="n">
        <v>0</v>
      </c>
      <c r="AN50" s="28" t="n">
        <v>0</v>
      </c>
      <c r="AO50" s="28" t="n">
        <v>1.239039250313827</v>
      </c>
      <c r="AP50" s="28" t="n">
        <v>0</v>
      </c>
      <c r="AQ50" s="28" t="n">
        <v>0</v>
      </c>
      <c r="AR50" s="28" t="n">
        <v>0</v>
      </c>
      <c r="AS50" s="28" t="n">
        <v>1.239039250313827</v>
      </c>
      <c r="AT50" s="28" t="n">
        <v>0</v>
      </c>
      <c r="AU50" s="28" t="n">
        <v>0</v>
      </c>
      <c r="AV50" s="28" t="n">
        <v>0</v>
      </c>
      <c r="AW50" s="28" t="n">
        <v>0</v>
      </c>
      <c r="AX50" s="28" t="n">
        <v>0</v>
      </c>
      <c r="AY50" s="28" t="n">
        <v>0</v>
      </c>
      <c r="AZ50" s="28" t="n">
        <v>0</v>
      </c>
      <c r="BA50" s="28" t="n">
        <v>0</v>
      </c>
      <c r="BB50" s="28" t="n">
        <v>0</v>
      </c>
      <c r="BC50" s="28" t="n">
        <v>0</v>
      </c>
      <c r="BD50" s="28" t="n">
        <v>0</v>
      </c>
      <c r="BE50" s="28" t="n">
        <v>0</v>
      </c>
      <c r="BF50" s="28" t="n">
        <v>0</v>
      </c>
      <c r="BG50" s="28" t="n">
        <v>0</v>
      </c>
      <c r="BH50" s="28" t="n">
        <v>0</v>
      </c>
      <c r="BI50" s="28" t="n">
        <v>0</v>
      </c>
      <c r="BJ50" s="28" t="n">
        <v>0</v>
      </c>
      <c r="BK50" s="28" t="n">
        <v>0</v>
      </c>
      <c r="BL50" s="28" t="n">
        <v>0</v>
      </c>
      <c r="BM50" s="28" t="n">
        <v>0</v>
      </c>
      <c r="BN50" s="28" t="n">
        <v>0</v>
      </c>
      <c r="BO50" s="28" t="n">
        <v>0</v>
      </c>
      <c r="BP50" s="28" t="n">
        <v>0</v>
      </c>
      <c r="BQ50" s="28" t="n">
        <v>0</v>
      </c>
      <c r="BR50" s="28" t="n">
        <v>0</v>
      </c>
      <c r="BS50" s="28" t="n">
        <v>0</v>
      </c>
      <c r="BT50" s="28" t="n">
        <v>0</v>
      </c>
      <c r="BU50" s="28" t="n">
        <v>0</v>
      </c>
      <c r="BV50" s="28" t="n">
        <v>0</v>
      </c>
      <c r="BW50" s="28" t="n">
        <v>0</v>
      </c>
      <c r="BX50" s="28" t="n">
        <v>0</v>
      </c>
      <c r="BY50" s="28" t="n">
        <v>0</v>
      </c>
      <c r="BZ50" s="28" t="n">
        <v>0</v>
      </c>
      <c r="CA50" s="28" t="n">
        <v>0</v>
      </c>
      <c r="CB50" s="28" t="n">
        <v>0</v>
      </c>
      <c r="CC50" s="28" t="n">
        <v>0</v>
      </c>
      <c r="CD50" s="28" t="n">
        <v>0</v>
      </c>
      <c r="CE50" s="28" t="n">
        <v>0</v>
      </c>
      <c r="CF50" s="28" t="n">
        <v>0</v>
      </c>
      <c r="CG50" s="28" t="n">
        <v>0</v>
      </c>
      <c r="CH50" s="28" t="n">
        <v>0</v>
      </c>
      <c r="CI50" s="28" t="n">
        <v>0</v>
      </c>
      <c r="CJ50" s="28" t="n">
        <v>0</v>
      </c>
      <c r="CK50" s="28" t="n">
        <v>0</v>
      </c>
      <c r="CL50" s="28" t="n">
        <v>0</v>
      </c>
      <c r="CM50" s="28" t="n">
        <v>0</v>
      </c>
      <c r="CN50" s="28" t="n">
        <v>0</v>
      </c>
      <c r="CO50" s="28" t="n">
        <v>0</v>
      </c>
      <c r="CP50" s="28" t="n">
        <v>0</v>
      </c>
      <c r="CQ50" s="28" t="n">
        <v>0</v>
      </c>
      <c r="CR50" s="28" t="n">
        <v>0</v>
      </c>
      <c r="CS50" s="28" t="n">
        <v>0</v>
      </c>
      <c r="CT50" s="28" t="n">
        <v>0</v>
      </c>
      <c r="CU50" s="28" t="n">
        <v>0</v>
      </c>
      <c r="CV50" s="28" t="n">
        <v>0</v>
      </c>
      <c r="CW50" s="28" t="n">
        <v>0</v>
      </c>
      <c r="CX50" s="28" t="n">
        <v>0</v>
      </c>
      <c r="CY50" s="28" t="n">
        <v>0</v>
      </c>
      <c r="CZ50" s="28" t="n">
        <v>0</v>
      </c>
      <c r="DA50" s="28" t="n">
        <v>0</v>
      </c>
    </row>
    <row r="51">
      <c r="A51" t="inlineStr">
        <is>
          <t>TSP-959</t>
        </is>
      </c>
      <c r="B51" s="28" t="n">
        <v>0</v>
      </c>
      <c r="C51" s="28" t="n">
        <v>0</v>
      </c>
      <c r="D51" s="28" t="n">
        <v>0</v>
      </c>
      <c r="E51" s="28" t="n">
        <v>0</v>
      </c>
      <c r="F51" s="28" t="n">
        <v>0</v>
      </c>
      <c r="G51" s="28" t="n">
        <v>0</v>
      </c>
      <c r="H51" s="28" t="n">
        <v>0</v>
      </c>
      <c r="I51" s="28" t="n">
        <v>0</v>
      </c>
      <c r="J51" s="28" t="n">
        <v>0</v>
      </c>
      <c r="K51" s="28" t="n">
        <v>0</v>
      </c>
      <c r="L51" s="28" t="n">
        <v>0</v>
      </c>
      <c r="M51" s="28" t="n">
        <v>0</v>
      </c>
      <c r="N51" s="28" t="n">
        <v>0</v>
      </c>
      <c r="O51" s="28" t="n">
        <v>0</v>
      </c>
      <c r="P51" s="28" t="n">
        <v>0</v>
      </c>
      <c r="Q51" s="28" t="n">
        <v>0</v>
      </c>
      <c r="R51" s="28" t="n">
        <v>0</v>
      </c>
      <c r="S51" s="28" t="n">
        <v>0</v>
      </c>
      <c r="T51" s="28" t="n">
        <v>0</v>
      </c>
      <c r="U51" s="28" t="n">
        <v>0</v>
      </c>
      <c r="V51" s="28" t="n">
        <v>0</v>
      </c>
      <c r="W51" s="28" t="n">
        <v>0</v>
      </c>
      <c r="X51" s="28" t="n">
        <v>4.682540897586271</v>
      </c>
      <c r="Y51" s="28" t="n">
        <v>4.682540897586271</v>
      </c>
      <c r="Z51" s="28" t="n">
        <v>0</v>
      </c>
      <c r="AA51" s="28" t="n">
        <v>5.619049077103525</v>
      </c>
      <c r="AB51" s="28" t="n">
        <v>3.746032718069016</v>
      </c>
      <c r="AC51" s="28" t="n">
        <v>4.682540897586271</v>
      </c>
      <c r="AD51" s="28" t="n">
        <v>4.682540897586271</v>
      </c>
      <c r="AE51" s="28" t="n">
        <v>2.341270448793135</v>
      </c>
      <c r="AF51" s="28" t="n">
        <v>2.341270448793135</v>
      </c>
      <c r="AG51" s="28" t="n">
        <v>4.682540897586271</v>
      </c>
      <c r="AH51" s="28" t="n">
        <v>4.682540897586271</v>
      </c>
      <c r="AI51" s="28" t="n">
        <v>4.682540897586271</v>
      </c>
      <c r="AJ51" s="28" t="n">
        <v>4.682540897586271</v>
      </c>
      <c r="AK51" s="28" t="n">
        <v>4.682540897586271</v>
      </c>
      <c r="AL51" s="28" t="n">
        <v>4.682540897586271</v>
      </c>
      <c r="AM51" s="28" t="n">
        <v>4.682540897586271</v>
      </c>
      <c r="AN51" s="28" t="n">
        <v>2.341270448793135</v>
      </c>
      <c r="AO51" s="28" t="n">
        <v>2.341270448793135</v>
      </c>
      <c r="AP51" s="28" t="n">
        <v>4.682540897586271</v>
      </c>
      <c r="AQ51" s="28" t="n">
        <v>4.682540897586271</v>
      </c>
      <c r="AR51" s="28" t="n">
        <v>4.682540897586271</v>
      </c>
      <c r="AS51" s="28" t="n">
        <v>4.682540897586271</v>
      </c>
      <c r="AT51" s="28" t="n">
        <v>7.023811346379405</v>
      </c>
      <c r="AU51" s="28" t="n">
        <v>7.023811346379405</v>
      </c>
      <c r="AV51" s="28" t="n">
        <v>7.023811346379405</v>
      </c>
      <c r="AW51" s="28" t="n">
        <v>7.023811346379405</v>
      </c>
      <c r="AX51" s="28" t="n">
        <v>4.682540897586271</v>
      </c>
      <c r="AY51" s="28" t="n">
        <v>4.682540897586271</v>
      </c>
      <c r="AZ51" s="28" t="n">
        <v>2.341270448793135</v>
      </c>
      <c r="BA51" s="28" t="n">
        <v>0</v>
      </c>
      <c r="BB51" s="28" t="n">
        <v>0</v>
      </c>
      <c r="BC51" s="28" t="n">
        <v>4.682540897586271</v>
      </c>
      <c r="BD51" s="28" t="n">
        <v>4.682540897586271</v>
      </c>
      <c r="BE51" s="28" t="n">
        <v>4.682540897586271</v>
      </c>
      <c r="BF51" s="28" t="n">
        <v>4.682540897586271</v>
      </c>
      <c r="BG51" s="28" t="n">
        <v>4.682540897586271</v>
      </c>
      <c r="BH51" s="28" t="n">
        <v>4.682540897586271</v>
      </c>
      <c r="BI51" s="28" t="n">
        <v>4.682540897586271</v>
      </c>
      <c r="BJ51" s="28" t="n">
        <v>4.682540897586271</v>
      </c>
      <c r="BK51" s="28" t="n">
        <v>4.682540897586271</v>
      </c>
      <c r="BL51" s="28" t="n">
        <v>0</v>
      </c>
      <c r="BM51" s="28" t="n">
        <v>4.682540897586271</v>
      </c>
      <c r="BN51" s="28" t="n">
        <v>0</v>
      </c>
      <c r="BO51" s="28" t="n">
        <v>2.341270448793135</v>
      </c>
      <c r="BP51" s="28" t="n">
        <v>2.341270448793135</v>
      </c>
      <c r="BQ51" s="28" t="n">
        <v>2.341270448793135</v>
      </c>
      <c r="BR51" s="28" t="n">
        <v>2.341270448793135</v>
      </c>
      <c r="BS51" s="28" t="n">
        <v>0</v>
      </c>
      <c r="BT51" s="28" t="n">
        <v>2.341270448793135</v>
      </c>
      <c r="BU51" s="28" t="n">
        <v>2.341270448793135</v>
      </c>
      <c r="BV51" s="28" t="n">
        <v>2.341270448793135</v>
      </c>
      <c r="BW51" s="28" t="n">
        <v>2.341270448793135</v>
      </c>
      <c r="BX51" s="28" t="n">
        <v>0</v>
      </c>
      <c r="BY51" s="28" t="n">
        <v>0</v>
      </c>
      <c r="BZ51" s="28" t="n">
        <v>0</v>
      </c>
      <c r="CA51" s="28" t="n">
        <v>0</v>
      </c>
      <c r="CB51" s="28" t="n">
        <v>0</v>
      </c>
      <c r="CC51" s="28" t="n">
        <v>0</v>
      </c>
      <c r="CD51" s="28" t="n">
        <v>0</v>
      </c>
      <c r="CE51" s="28" t="n">
        <v>0</v>
      </c>
      <c r="CF51" s="28" t="n">
        <v>0</v>
      </c>
      <c r="CG51" s="28" t="n">
        <v>0</v>
      </c>
      <c r="CH51" s="28" t="n">
        <v>0</v>
      </c>
      <c r="CI51" s="28" t="n">
        <v>0</v>
      </c>
      <c r="CJ51" s="28" t="n">
        <v>0</v>
      </c>
      <c r="CK51" s="28" t="n">
        <v>0</v>
      </c>
      <c r="CL51" s="28" t="n">
        <v>0</v>
      </c>
      <c r="CM51" s="28" t="n">
        <v>0</v>
      </c>
      <c r="CN51" s="28" t="n">
        <v>0</v>
      </c>
      <c r="CO51" s="28" t="n">
        <v>0</v>
      </c>
      <c r="CP51" s="28" t="n">
        <v>0</v>
      </c>
      <c r="CQ51" s="28" t="n">
        <v>0</v>
      </c>
      <c r="CR51" s="28" t="n">
        <v>0</v>
      </c>
      <c r="CS51" s="28" t="n">
        <v>0</v>
      </c>
      <c r="CT51" s="28" t="n">
        <v>0</v>
      </c>
      <c r="CU51" s="28" t="n">
        <v>0</v>
      </c>
      <c r="CV51" s="28" t="n">
        <v>0</v>
      </c>
      <c r="CW51" s="28" t="n">
        <v>0</v>
      </c>
      <c r="CX51" s="28" t="n">
        <v>0</v>
      </c>
      <c r="CY51" s="28" t="n">
        <v>0</v>
      </c>
      <c r="CZ51" s="28" t="n">
        <v>0</v>
      </c>
      <c r="DA51" s="28" t="n">
        <v>0</v>
      </c>
    </row>
    <row r="52">
      <c r="A52" t="inlineStr">
        <is>
          <t>TSP-966</t>
        </is>
      </c>
      <c r="B52" s="28" t="n">
        <v>0</v>
      </c>
      <c r="C52" s="28" t="n">
        <v>0</v>
      </c>
      <c r="D52" s="28" t="n">
        <v>0</v>
      </c>
      <c r="E52" s="28" t="n">
        <v>0</v>
      </c>
      <c r="F52" s="28" t="n">
        <v>0</v>
      </c>
      <c r="G52" s="28" t="n">
        <v>0</v>
      </c>
      <c r="H52" s="28" t="n">
        <v>0</v>
      </c>
      <c r="I52" s="28" t="n">
        <v>0</v>
      </c>
      <c r="J52" s="28" t="n">
        <v>0</v>
      </c>
      <c r="K52" s="28" t="n">
        <v>0</v>
      </c>
      <c r="L52" s="28" t="n">
        <v>0</v>
      </c>
      <c r="M52" s="28" t="n">
        <v>0</v>
      </c>
      <c r="N52" s="28" t="n">
        <v>0</v>
      </c>
      <c r="O52" s="28" t="n">
        <v>0</v>
      </c>
      <c r="P52" s="28" t="n">
        <v>0</v>
      </c>
      <c r="Q52" s="28" t="n">
        <v>0</v>
      </c>
      <c r="R52" s="28" t="n">
        <v>0</v>
      </c>
      <c r="S52" s="28" t="n">
        <v>0</v>
      </c>
      <c r="T52" s="28" t="n">
        <v>0</v>
      </c>
      <c r="U52" s="28" t="n">
        <v>0</v>
      </c>
      <c r="V52" s="28" t="n">
        <v>0</v>
      </c>
      <c r="W52" s="28" t="n">
        <v>0</v>
      </c>
      <c r="X52" s="28" t="n">
        <v>3.986454051712438</v>
      </c>
      <c r="Y52" s="28" t="n">
        <v>3.986454051712438</v>
      </c>
      <c r="Z52" s="28" t="n">
        <v>0</v>
      </c>
      <c r="AA52" s="28" t="n">
        <v>4.783744862054926</v>
      </c>
      <c r="AB52" s="28" t="n">
        <v>3.18916324136995</v>
      </c>
      <c r="AC52" s="28" t="n">
        <v>3.986454051712438</v>
      </c>
      <c r="AD52" s="28" t="n">
        <v>3.986454051712438</v>
      </c>
      <c r="AE52" s="28" t="n">
        <v>1.993227025856219</v>
      </c>
      <c r="AF52" s="28" t="n">
        <v>1.993227025856219</v>
      </c>
      <c r="AG52" s="28" t="n">
        <v>3.986454051712438</v>
      </c>
      <c r="AH52" s="28" t="n">
        <v>3.986454051712438</v>
      </c>
      <c r="AI52" s="28" t="n">
        <v>3.986454051712438</v>
      </c>
      <c r="AJ52" s="28" t="n">
        <v>3.986454051712438</v>
      </c>
      <c r="AK52" s="28" t="n">
        <v>3.986454051712438</v>
      </c>
      <c r="AL52" s="28" t="n">
        <v>3.986454051712438</v>
      </c>
      <c r="AM52" s="28" t="n">
        <v>3.986454051712438</v>
      </c>
      <c r="AN52" s="28" t="n">
        <v>1.993227025856219</v>
      </c>
      <c r="AO52" s="28" t="n">
        <v>1.993227025856219</v>
      </c>
      <c r="AP52" s="28" t="n">
        <v>3.986454051712438</v>
      </c>
      <c r="AQ52" s="28" t="n">
        <v>3.986454051712438</v>
      </c>
      <c r="AR52" s="28" t="n">
        <v>3.986454051712438</v>
      </c>
      <c r="AS52" s="28" t="n">
        <v>3.986454051712438</v>
      </c>
      <c r="AT52" s="28" t="n">
        <v>5.979681077568658</v>
      </c>
      <c r="AU52" s="28" t="n">
        <v>5.979681077568658</v>
      </c>
      <c r="AV52" s="28" t="n">
        <v>5.979681077568658</v>
      </c>
      <c r="AW52" s="28" t="n">
        <v>5.979681077568658</v>
      </c>
      <c r="AX52" s="28" t="n">
        <v>3.986454051712438</v>
      </c>
      <c r="AY52" s="28" t="n">
        <v>3.986454051712438</v>
      </c>
      <c r="AZ52" s="28" t="n">
        <v>1.993227025856219</v>
      </c>
      <c r="BA52" s="28" t="n">
        <v>0</v>
      </c>
      <c r="BB52" s="28" t="n">
        <v>0</v>
      </c>
      <c r="BC52" s="28" t="n">
        <v>3.986454051712438</v>
      </c>
      <c r="BD52" s="28" t="n">
        <v>3.986454051712438</v>
      </c>
      <c r="BE52" s="28" t="n">
        <v>3.986454051712438</v>
      </c>
      <c r="BF52" s="28" t="n">
        <v>3.986454051712438</v>
      </c>
      <c r="BG52" s="28" t="n">
        <v>3.986454051712438</v>
      </c>
      <c r="BH52" s="28" t="n">
        <v>3.986454051712438</v>
      </c>
      <c r="BI52" s="28" t="n">
        <v>3.986454051712438</v>
      </c>
      <c r="BJ52" s="28" t="n">
        <v>3.986454051712438</v>
      </c>
      <c r="BK52" s="28" t="n">
        <v>3.986454051712438</v>
      </c>
      <c r="BL52" s="28" t="n">
        <v>0</v>
      </c>
      <c r="BM52" s="28" t="n">
        <v>3.986454051712438</v>
      </c>
      <c r="BN52" s="28" t="n">
        <v>0</v>
      </c>
      <c r="BO52" s="28" t="n">
        <v>1.993227025856219</v>
      </c>
      <c r="BP52" s="28" t="n">
        <v>1.993227025856219</v>
      </c>
      <c r="BQ52" s="28" t="n">
        <v>1.993227025856219</v>
      </c>
      <c r="BR52" s="28" t="n">
        <v>1.993227025856219</v>
      </c>
      <c r="BS52" s="28" t="n">
        <v>0</v>
      </c>
      <c r="BT52" s="28" t="n">
        <v>1.993227025856219</v>
      </c>
      <c r="BU52" s="28" t="n">
        <v>1.993227025856219</v>
      </c>
      <c r="BV52" s="28" t="n">
        <v>1.993227025856219</v>
      </c>
      <c r="BW52" s="28" t="n">
        <v>1.993227025856219</v>
      </c>
      <c r="BX52" s="28" t="n">
        <v>0</v>
      </c>
      <c r="BY52" s="28" t="n">
        <v>0</v>
      </c>
      <c r="BZ52" s="28" t="n">
        <v>0</v>
      </c>
      <c r="CA52" s="28" t="n">
        <v>0</v>
      </c>
      <c r="CB52" s="28" t="n">
        <v>0</v>
      </c>
      <c r="CC52" s="28" t="n">
        <v>0</v>
      </c>
      <c r="CD52" s="28" t="n">
        <v>0</v>
      </c>
      <c r="CE52" s="28" t="n">
        <v>0</v>
      </c>
      <c r="CF52" s="28" t="n">
        <v>0</v>
      </c>
      <c r="CG52" s="28" t="n">
        <v>0</v>
      </c>
      <c r="CH52" s="28" t="n">
        <v>0</v>
      </c>
      <c r="CI52" s="28" t="n">
        <v>0</v>
      </c>
      <c r="CJ52" s="28" t="n">
        <v>0</v>
      </c>
      <c r="CK52" s="28" t="n">
        <v>0</v>
      </c>
      <c r="CL52" s="28" t="n">
        <v>0</v>
      </c>
      <c r="CM52" s="28" t="n">
        <v>0</v>
      </c>
      <c r="CN52" s="28" t="n">
        <v>0</v>
      </c>
      <c r="CO52" s="28" t="n">
        <v>0</v>
      </c>
      <c r="CP52" s="28" t="n">
        <v>0</v>
      </c>
      <c r="CQ52" s="28" t="n">
        <v>0</v>
      </c>
      <c r="CR52" s="28" t="n">
        <v>0</v>
      </c>
      <c r="CS52" s="28" t="n">
        <v>0</v>
      </c>
      <c r="CT52" s="28" t="n">
        <v>0</v>
      </c>
      <c r="CU52" s="28" t="n">
        <v>0</v>
      </c>
      <c r="CV52" s="28" t="n">
        <v>0</v>
      </c>
      <c r="CW52" s="28" t="n">
        <v>0</v>
      </c>
      <c r="CX52" s="28" t="n">
        <v>0</v>
      </c>
      <c r="CY52" s="28" t="n">
        <v>0</v>
      </c>
      <c r="CZ52" s="28" t="n">
        <v>0</v>
      </c>
      <c r="DA52" s="28" t="n">
        <v>0</v>
      </c>
    </row>
    <row r="53">
      <c r="A53" t="inlineStr">
        <is>
          <t>TSZ-616</t>
        </is>
      </c>
      <c r="B53" s="28" t="n">
        <v>0</v>
      </c>
      <c r="C53" s="28" t="n">
        <v>0</v>
      </c>
      <c r="D53" s="28" t="n">
        <v>0</v>
      </c>
      <c r="E53" s="28" t="n">
        <v>0</v>
      </c>
      <c r="F53" s="28" t="n">
        <v>0</v>
      </c>
      <c r="G53" s="28" t="n">
        <v>0</v>
      </c>
      <c r="H53" s="28" t="n">
        <v>0</v>
      </c>
      <c r="I53" s="28" t="n">
        <v>0</v>
      </c>
      <c r="J53" s="28" t="n">
        <v>0</v>
      </c>
      <c r="K53" s="28" t="n">
        <v>0</v>
      </c>
      <c r="L53" s="28" t="n">
        <v>0</v>
      </c>
      <c r="M53" s="28" t="n">
        <v>0</v>
      </c>
      <c r="N53" s="28" t="n">
        <v>0</v>
      </c>
      <c r="O53" s="28" t="n">
        <v>0</v>
      </c>
      <c r="P53" s="28" t="n">
        <v>0</v>
      </c>
      <c r="Q53" s="28" t="n">
        <v>0</v>
      </c>
      <c r="R53" s="28" t="n">
        <v>0</v>
      </c>
      <c r="S53" s="28" t="n">
        <v>0</v>
      </c>
      <c r="T53" s="28" t="n">
        <v>0</v>
      </c>
      <c r="U53" s="28" t="n">
        <v>0</v>
      </c>
      <c r="V53" s="28" t="n">
        <v>0</v>
      </c>
      <c r="W53" s="28" t="n">
        <v>0</v>
      </c>
      <c r="X53" s="28" t="n">
        <v>0</v>
      </c>
      <c r="Y53" s="28" t="n">
        <v>0</v>
      </c>
      <c r="Z53" s="28" t="n">
        <v>0</v>
      </c>
      <c r="AA53" s="28" t="n">
        <v>0</v>
      </c>
      <c r="AB53" s="28" t="n">
        <v>0</v>
      </c>
      <c r="AC53" s="28" t="n">
        <v>0</v>
      </c>
      <c r="AD53" s="28" t="n">
        <v>0</v>
      </c>
      <c r="AE53" s="28" t="n">
        <v>0</v>
      </c>
      <c r="AF53" s="28" t="n">
        <v>0</v>
      </c>
      <c r="AG53" s="28" t="n">
        <v>0</v>
      </c>
      <c r="AH53" s="28" t="n">
        <v>0</v>
      </c>
      <c r="AI53" s="28" t="n">
        <v>0</v>
      </c>
      <c r="AJ53" s="28" t="n">
        <v>0</v>
      </c>
      <c r="AK53" s="28" t="n">
        <v>0</v>
      </c>
      <c r="AL53" s="28" t="n">
        <v>0</v>
      </c>
      <c r="AM53" s="28" t="n">
        <v>0</v>
      </c>
      <c r="AN53" s="28" t="n">
        <v>0</v>
      </c>
      <c r="AO53" s="28" t="n">
        <v>0</v>
      </c>
      <c r="AP53" s="28" t="n">
        <v>0</v>
      </c>
      <c r="AQ53" s="28" t="n">
        <v>0</v>
      </c>
      <c r="AR53" s="28" t="n">
        <v>0</v>
      </c>
      <c r="AS53" s="28" t="n">
        <v>0</v>
      </c>
      <c r="AT53" s="28" t="n">
        <v>0</v>
      </c>
      <c r="AU53" s="28" t="n">
        <v>0</v>
      </c>
      <c r="AV53" s="28" t="n">
        <v>0</v>
      </c>
      <c r="AW53" s="28" t="n">
        <v>0</v>
      </c>
      <c r="AX53" s="28" t="n">
        <v>0</v>
      </c>
      <c r="AY53" s="28" t="n">
        <v>0</v>
      </c>
      <c r="AZ53" s="28" t="n">
        <v>0</v>
      </c>
      <c r="BA53" s="28" t="n">
        <v>0</v>
      </c>
      <c r="BB53" s="28" t="n">
        <v>0</v>
      </c>
      <c r="BC53" s="28" t="n">
        <v>0</v>
      </c>
      <c r="BD53" s="28" t="n">
        <v>0</v>
      </c>
      <c r="BE53" s="28" t="n">
        <v>0</v>
      </c>
      <c r="BF53" s="28" t="n">
        <v>0</v>
      </c>
      <c r="BG53" s="28" t="n">
        <v>0</v>
      </c>
      <c r="BH53" s="28" t="n">
        <v>0</v>
      </c>
      <c r="BI53" s="28" t="n">
        <v>0</v>
      </c>
      <c r="BJ53" s="28" t="n">
        <v>0</v>
      </c>
      <c r="BK53" s="28" t="n">
        <v>0</v>
      </c>
      <c r="BL53" s="28" t="n">
        <v>0</v>
      </c>
      <c r="BM53" s="28" t="n">
        <v>0</v>
      </c>
      <c r="BN53" s="28" t="n">
        <v>0</v>
      </c>
      <c r="BO53" s="28" t="n">
        <v>0</v>
      </c>
      <c r="BP53" s="28" t="n">
        <v>0</v>
      </c>
      <c r="BQ53" s="28" t="n">
        <v>0</v>
      </c>
      <c r="BR53" s="28" t="n">
        <v>0</v>
      </c>
      <c r="BS53" s="28" t="n">
        <v>0</v>
      </c>
      <c r="BT53" s="28" t="n">
        <v>0</v>
      </c>
      <c r="BU53" s="28" t="n">
        <v>0</v>
      </c>
      <c r="BV53" s="28" t="n">
        <v>0</v>
      </c>
      <c r="BW53" s="28" t="n">
        <v>0</v>
      </c>
      <c r="BX53" s="28" t="n">
        <v>0</v>
      </c>
      <c r="BY53" s="28" t="n">
        <v>0</v>
      </c>
      <c r="BZ53" s="28" t="n">
        <v>0</v>
      </c>
      <c r="CA53" s="28" t="n">
        <v>0</v>
      </c>
      <c r="CB53" s="28" t="n">
        <v>0</v>
      </c>
      <c r="CC53" s="28" t="n">
        <v>0</v>
      </c>
      <c r="CD53" s="28" t="n">
        <v>0</v>
      </c>
      <c r="CE53" s="28" t="n">
        <v>0</v>
      </c>
      <c r="CF53" s="28" t="n">
        <v>0</v>
      </c>
      <c r="CG53" s="28" t="n">
        <v>0</v>
      </c>
      <c r="CH53" s="28" t="n">
        <v>0</v>
      </c>
      <c r="CI53" s="28" t="n">
        <v>0</v>
      </c>
      <c r="CJ53" s="28" t="n">
        <v>0</v>
      </c>
      <c r="CK53" s="28" t="n">
        <v>0</v>
      </c>
      <c r="CL53" s="28" t="n">
        <v>0</v>
      </c>
      <c r="CM53" s="28" t="n">
        <v>0</v>
      </c>
      <c r="CN53" s="28" t="n">
        <v>0</v>
      </c>
      <c r="CO53" s="28" t="n">
        <v>0</v>
      </c>
      <c r="CP53" s="28" t="n">
        <v>0</v>
      </c>
      <c r="CQ53" s="28" t="n">
        <v>0</v>
      </c>
      <c r="CR53" s="28" t="n">
        <v>0</v>
      </c>
      <c r="CS53" s="28" t="n">
        <v>0</v>
      </c>
      <c r="CT53" s="28" t="n">
        <v>0</v>
      </c>
      <c r="CU53" s="28" t="n">
        <v>0</v>
      </c>
      <c r="CV53" s="28" t="n">
        <v>0</v>
      </c>
      <c r="CW53" s="28" t="n">
        <v>0</v>
      </c>
      <c r="CX53" s="28" t="n">
        <v>0</v>
      </c>
      <c r="CY53" s="28" t="n">
        <v>0</v>
      </c>
      <c r="CZ53" s="28" t="n">
        <v>0</v>
      </c>
      <c r="DA53" s="28" t="n">
        <v>0</v>
      </c>
    </row>
    <row r="54">
      <c r="A54" t="inlineStr">
        <is>
          <t>TSZ-938</t>
        </is>
      </c>
      <c r="B54" s="28" t="n">
        <v>0</v>
      </c>
      <c r="C54" s="28" t="n">
        <v>0</v>
      </c>
      <c r="D54" s="28" t="n">
        <v>0</v>
      </c>
      <c r="E54" s="28" t="n">
        <v>0</v>
      </c>
      <c r="F54" s="28" t="n">
        <v>0</v>
      </c>
      <c r="G54" s="28" t="n">
        <v>0</v>
      </c>
      <c r="H54" s="28" t="n">
        <v>0</v>
      </c>
      <c r="I54" s="28" t="n">
        <v>0</v>
      </c>
      <c r="J54" s="28" t="n">
        <v>0</v>
      </c>
      <c r="K54" s="28" t="n">
        <v>0</v>
      </c>
      <c r="L54" s="28" t="n">
        <v>0</v>
      </c>
      <c r="M54" s="28" t="n">
        <v>0</v>
      </c>
      <c r="N54" s="28" t="n">
        <v>0</v>
      </c>
      <c r="O54" s="28" t="n">
        <v>0</v>
      </c>
      <c r="P54" s="28" t="n">
        <v>0</v>
      </c>
      <c r="Q54" s="28" t="n">
        <v>0</v>
      </c>
      <c r="R54" s="28" t="n">
        <v>0</v>
      </c>
      <c r="S54" s="28" t="n">
        <v>0</v>
      </c>
      <c r="T54" s="28" t="n">
        <v>0</v>
      </c>
      <c r="U54" s="28" t="n">
        <v>0</v>
      </c>
      <c r="V54" s="28" t="n">
        <v>0</v>
      </c>
      <c r="W54" s="28" t="n">
        <v>0</v>
      </c>
      <c r="X54" s="28" t="n">
        <v>0</v>
      </c>
      <c r="Y54" s="28" t="n">
        <v>0</v>
      </c>
      <c r="Z54" s="28" t="n">
        <v>0</v>
      </c>
      <c r="AA54" s="28" t="n">
        <v>0</v>
      </c>
      <c r="AB54" s="28" t="n">
        <v>0</v>
      </c>
      <c r="AC54" s="28" t="n">
        <v>0</v>
      </c>
      <c r="AD54" s="28" t="n">
        <v>0</v>
      </c>
      <c r="AE54" s="28" t="n">
        <v>0</v>
      </c>
      <c r="AF54" s="28" t="n">
        <v>0</v>
      </c>
      <c r="AG54" s="28" t="n">
        <v>0</v>
      </c>
      <c r="AH54" s="28" t="n">
        <v>0</v>
      </c>
      <c r="AI54" s="28" t="n">
        <v>0</v>
      </c>
      <c r="AJ54" s="28" t="n">
        <v>0</v>
      </c>
      <c r="AK54" s="28" t="n">
        <v>0</v>
      </c>
      <c r="AL54" s="28" t="n">
        <v>0</v>
      </c>
      <c r="AM54" s="28" t="n">
        <v>0</v>
      </c>
      <c r="AN54" s="28" t="n">
        <v>0</v>
      </c>
      <c r="AO54" s="28" t="n">
        <v>0</v>
      </c>
      <c r="AP54" s="28" t="n">
        <v>0</v>
      </c>
      <c r="AQ54" s="28" t="n">
        <v>0</v>
      </c>
      <c r="AR54" s="28" t="n">
        <v>0</v>
      </c>
      <c r="AS54" s="28" t="n">
        <v>0</v>
      </c>
      <c r="AT54" s="28" t="n">
        <v>0</v>
      </c>
      <c r="AU54" s="28" t="n">
        <v>0</v>
      </c>
      <c r="AV54" s="28" t="n">
        <v>0</v>
      </c>
      <c r="AW54" s="28" t="n">
        <v>0</v>
      </c>
      <c r="AX54" s="28" t="n">
        <v>0</v>
      </c>
      <c r="AY54" s="28" t="n">
        <v>0</v>
      </c>
      <c r="AZ54" s="28" t="n">
        <v>0</v>
      </c>
      <c r="BA54" s="28" t="n">
        <v>0</v>
      </c>
      <c r="BB54" s="28" t="n">
        <v>0</v>
      </c>
      <c r="BC54" s="28" t="n">
        <v>0</v>
      </c>
      <c r="BD54" s="28" t="n">
        <v>0</v>
      </c>
      <c r="BE54" s="28" t="n">
        <v>0</v>
      </c>
      <c r="BF54" s="28" t="n">
        <v>0</v>
      </c>
      <c r="BG54" s="28" t="n">
        <v>0</v>
      </c>
      <c r="BH54" s="28" t="n">
        <v>0</v>
      </c>
      <c r="BI54" s="28" t="n">
        <v>0</v>
      </c>
      <c r="BJ54" s="28" t="n">
        <v>0</v>
      </c>
      <c r="BK54" s="28" t="n">
        <v>0</v>
      </c>
      <c r="BL54" s="28" t="n">
        <v>0</v>
      </c>
      <c r="BM54" s="28" t="n">
        <v>0</v>
      </c>
      <c r="BN54" s="28" t="n">
        <v>0</v>
      </c>
      <c r="BO54" s="28" t="n">
        <v>0</v>
      </c>
      <c r="BP54" s="28" t="n">
        <v>0</v>
      </c>
      <c r="BQ54" s="28" t="n">
        <v>0</v>
      </c>
      <c r="BR54" s="28" t="n">
        <v>0</v>
      </c>
      <c r="BS54" s="28" t="n">
        <v>0</v>
      </c>
      <c r="BT54" s="28" t="n">
        <v>0</v>
      </c>
      <c r="BU54" s="28" t="n">
        <v>0</v>
      </c>
      <c r="BV54" s="28" t="n">
        <v>0</v>
      </c>
      <c r="BW54" s="28" t="n">
        <v>0</v>
      </c>
      <c r="BX54" s="28" t="n">
        <v>0</v>
      </c>
      <c r="BY54" s="28" t="n">
        <v>0</v>
      </c>
      <c r="BZ54" s="28" t="n">
        <v>0</v>
      </c>
      <c r="CA54" s="28" t="n">
        <v>0</v>
      </c>
      <c r="CB54" s="28" t="n">
        <v>0</v>
      </c>
      <c r="CC54" s="28" t="n">
        <v>0</v>
      </c>
      <c r="CD54" s="28" t="n">
        <v>0</v>
      </c>
      <c r="CE54" s="28" t="n">
        <v>0</v>
      </c>
      <c r="CF54" s="28" t="n">
        <v>0</v>
      </c>
      <c r="CG54" s="28" t="n">
        <v>0</v>
      </c>
      <c r="CH54" s="28" t="n">
        <v>0</v>
      </c>
      <c r="CI54" s="28" t="n">
        <v>0</v>
      </c>
      <c r="CJ54" s="28" t="n">
        <v>0</v>
      </c>
      <c r="CK54" s="28" t="n">
        <v>0</v>
      </c>
      <c r="CL54" s="28" t="n">
        <v>0</v>
      </c>
      <c r="CM54" s="28" t="n">
        <v>0</v>
      </c>
      <c r="CN54" s="28" t="n">
        <v>0</v>
      </c>
      <c r="CO54" s="28" t="n">
        <v>0</v>
      </c>
      <c r="CP54" s="28" t="n">
        <v>0</v>
      </c>
      <c r="CQ54" s="28" t="n">
        <v>0</v>
      </c>
      <c r="CR54" s="28" t="n">
        <v>0</v>
      </c>
      <c r="CS54" s="28" t="n">
        <v>0</v>
      </c>
      <c r="CT54" s="28" t="n">
        <v>0</v>
      </c>
      <c r="CU54" s="28" t="n">
        <v>0</v>
      </c>
      <c r="CV54" s="28" t="n">
        <v>0</v>
      </c>
      <c r="CW54" s="28" t="n">
        <v>0</v>
      </c>
      <c r="CX54" s="28" t="n">
        <v>0</v>
      </c>
      <c r="CY54" s="28" t="n">
        <v>0</v>
      </c>
      <c r="CZ54" s="28" t="n">
        <v>0</v>
      </c>
      <c r="DA54" s="28" t="n">
        <v>0</v>
      </c>
    </row>
    <row r="55">
      <c r="A55" t="inlineStr">
        <is>
          <t>TVS-267</t>
        </is>
      </c>
      <c r="B55" s="28" t="n">
        <v>0</v>
      </c>
      <c r="C55" s="28" t="n">
        <v>0</v>
      </c>
      <c r="D55" s="28" t="n">
        <v>0</v>
      </c>
      <c r="E55" s="28" t="n">
        <v>0</v>
      </c>
      <c r="F55" s="28" t="n">
        <v>0</v>
      </c>
      <c r="G55" s="28" t="n">
        <v>0</v>
      </c>
      <c r="H55" s="28" t="n">
        <v>0</v>
      </c>
      <c r="I55" s="28" t="n">
        <v>0</v>
      </c>
      <c r="J55" s="28" t="n">
        <v>0</v>
      </c>
      <c r="K55" s="28" t="n">
        <v>0</v>
      </c>
      <c r="L55" s="28" t="n">
        <v>0</v>
      </c>
      <c r="M55" s="28" t="n">
        <v>0</v>
      </c>
      <c r="N55" s="28" t="n">
        <v>0</v>
      </c>
      <c r="O55" s="28" t="n">
        <v>0</v>
      </c>
      <c r="P55" s="28" t="n">
        <v>0</v>
      </c>
      <c r="Q55" s="28" t="n">
        <v>0</v>
      </c>
      <c r="R55" s="28" t="n">
        <v>0</v>
      </c>
      <c r="S55" s="28" t="n">
        <v>0</v>
      </c>
      <c r="T55" s="28" t="n">
        <v>0</v>
      </c>
      <c r="U55" s="28" t="n">
        <v>0</v>
      </c>
      <c r="V55" s="28" t="n">
        <v>0</v>
      </c>
      <c r="W55" s="28" t="n">
        <v>0</v>
      </c>
      <c r="X55" s="28" t="n">
        <v>1.039041627515491</v>
      </c>
      <c r="Y55" s="28" t="n">
        <v>0</v>
      </c>
      <c r="Z55" s="28" t="n">
        <v>0</v>
      </c>
      <c r="AA55" s="28" t="n">
        <v>0</v>
      </c>
      <c r="AB55" s="28" t="n">
        <v>0</v>
      </c>
      <c r="AC55" s="28" t="n">
        <v>0</v>
      </c>
      <c r="AD55" s="28" t="n">
        <v>1.039041627515491</v>
      </c>
      <c r="AE55" s="28" t="n">
        <v>0</v>
      </c>
      <c r="AF55" s="28" t="n">
        <v>0</v>
      </c>
      <c r="AG55" s="28" t="n">
        <v>1.039041627515491</v>
      </c>
      <c r="AH55" s="28" t="n">
        <v>0</v>
      </c>
      <c r="AI55" s="28" t="n">
        <v>0</v>
      </c>
      <c r="AJ55" s="28" t="n">
        <v>1.039041627515491</v>
      </c>
      <c r="AK55" s="28" t="n">
        <v>0</v>
      </c>
      <c r="AL55" s="28" t="n">
        <v>0</v>
      </c>
      <c r="AM55" s="28" t="n">
        <v>0</v>
      </c>
      <c r="AN55" s="28" t="n">
        <v>0</v>
      </c>
      <c r="AO55" s="28" t="n">
        <v>1.039041627515491</v>
      </c>
      <c r="AP55" s="28" t="n">
        <v>0</v>
      </c>
      <c r="AQ55" s="28" t="n">
        <v>0</v>
      </c>
      <c r="AR55" s="28" t="n">
        <v>0</v>
      </c>
      <c r="AS55" s="28" t="n">
        <v>1.039041627515491</v>
      </c>
      <c r="AT55" s="28" t="n">
        <v>0</v>
      </c>
      <c r="AU55" s="28" t="n">
        <v>0</v>
      </c>
      <c r="AV55" s="28" t="n">
        <v>0</v>
      </c>
      <c r="AW55" s="28" t="n">
        <v>0</v>
      </c>
      <c r="AX55" s="28" t="n">
        <v>0</v>
      </c>
      <c r="AY55" s="28" t="n">
        <v>0</v>
      </c>
      <c r="AZ55" s="28" t="n">
        <v>0</v>
      </c>
      <c r="BA55" s="28" t="n">
        <v>0</v>
      </c>
      <c r="BB55" s="28" t="n">
        <v>0</v>
      </c>
      <c r="BC55" s="28" t="n">
        <v>0</v>
      </c>
      <c r="BD55" s="28" t="n">
        <v>0</v>
      </c>
      <c r="BE55" s="28" t="n">
        <v>0</v>
      </c>
      <c r="BF55" s="28" t="n">
        <v>0</v>
      </c>
      <c r="BG55" s="28" t="n">
        <v>0</v>
      </c>
      <c r="BH55" s="28" t="n">
        <v>0</v>
      </c>
      <c r="BI55" s="28" t="n">
        <v>0</v>
      </c>
      <c r="BJ55" s="28" t="n">
        <v>0</v>
      </c>
      <c r="BK55" s="28" t="n">
        <v>0</v>
      </c>
      <c r="BL55" s="28" t="n">
        <v>0</v>
      </c>
      <c r="BM55" s="28" t="n">
        <v>0</v>
      </c>
      <c r="BN55" s="28" t="n">
        <v>0</v>
      </c>
      <c r="BO55" s="28" t="n">
        <v>0</v>
      </c>
      <c r="BP55" s="28" t="n">
        <v>0</v>
      </c>
      <c r="BQ55" s="28" t="n">
        <v>0</v>
      </c>
      <c r="BR55" s="28" t="n">
        <v>0</v>
      </c>
      <c r="BS55" s="28" t="n">
        <v>0</v>
      </c>
      <c r="BT55" s="28" t="n">
        <v>0</v>
      </c>
      <c r="BU55" s="28" t="n">
        <v>0</v>
      </c>
      <c r="BV55" s="28" t="n">
        <v>0</v>
      </c>
      <c r="BW55" s="28" t="n">
        <v>0</v>
      </c>
      <c r="BX55" s="28" t="n">
        <v>0</v>
      </c>
      <c r="BY55" s="28" t="n">
        <v>0</v>
      </c>
      <c r="BZ55" s="28" t="n">
        <v>0</v>
      </c>
      <c r="CA55" s="28" t="n">
        <v>0</v>
      </c>
      <c r="CB55" s="28" t="n">
        <v>0</v>
      </c>
      <c r="CC55" s="28" t="n">
        <v>0</v>
      </c>
      <c r="CD55" s="28" t="n">
        <v>0</v>
      </c>
      <c r="CE55" s="28" t="n">
        <v>0</v>
      </c>
      <c r="CF55" s="28" t="n">
        <v>0</v>
      </c>
      <c r="CG55" s="28" t="n">
        <v>0</v>
      </c>
      <c r="CH55" s="28" t="n">
        <v>0</v>
      </c>
      <c r="CI55" s="28" t="n">
        <v>0</v>
      </c>
      <c r="CJ55" s="28" t="n">
        <v>0</v>
      </c>
      <c r="CK55" s="28" t="n">
        <v>0</v>
      </c>
      <c r="CL55" s="28" t="n">
        <v>0</v>
      </c>
      <c r="CM55" s="28" t="n">
        <v>0</v>
      </c>
      <c r="CN55" s="28" t="n">
        <v>0</v>
      </c>
      <c r="CO55" s="28" t="n">
        <v>0</v>
      </c>
      <c r="CP55" s="28" t="n">
        <v>0</v>
      </c>
      <c r="CQ55" s="28" t="n">
        <v>0</v>
      </c>
      <c r="CR55" s="28" t="n">
        <v>0</v>
      </c>
      <c r="CS55" s="28" t="n">
        <v>0</v>
      </c>
      <c r="CT55" s="28" t="n">
        <v>0</v>
      </c>
      <c r="CU55" s="28" t="n">
        <v>0</v>
      </c>
      <c r="CV55" s="28" t="n">
        <v>0</v>
      </c>
      <c r="CW55" s="28" t="n">
        <v>0</v>
      </c>
      <c r="CX55" s="28" t="n">
        <v>0</v>
      </c>
      <c r="CY55" s="28" t="n">
        <v>0</v>
      </c>
      <c r="CZ55" s="28" t="n">
        <v>0</v>
      </c>
      <c r="DA55" s="28" t="n">
        <v>0</v>
      </c>
    </row>
    <row r="56">
      <c r="A56" t="inlineStr">
        <is>
          <t>TVS-500</t>
        </is>
      </c>
      <c r="B56" s="28" t="n">
        <v>0</v>
      </c>
      <c r="C56" s="28" t="n">
        <v>0</v>
      </c>
      <c r="D56" s="28" t="n">
        <v>0</v>
      </c>
      <c r="E56" s="28" t="n">
        <v>0</v>
      </c>
      <c r="F56" s="28" t="n">
        <v>0</v>
      </c>
      <c r="G56" s="28" t="n">
        <v>0</v>
      </c>
      <c r="H56" s="28" t="n">
        <v>0</v>
      </c>
      <c r="I56" s="28" t="n">
        <v>0</v>
      </c>
      <c r="J56" s="28" t="n">
        <v>0</v>
      </c>
      <c r="K56" s="28" t="n">
        <v>0</v>
      </c>
      <c r="L56" s="28" t="n">
        <v>0</v>
      </c>
      <c r="M56" s="28" t="n">
        <v>0</v>
      </c>
      <c r="N56" s="28" t="n">
        <v>0</v>
      </c>
      <c r="O56" s="28" t="n">
        <v>0</v>
      </c>
      <c r="P56" s="28" t="n">
        <v>0</v>
      </c>
      <c r="Q56" s="28" t="n">
        <v>0</v>
      </c>
      <c r="R56" s="28" t="n">
        <v>0</v>
      </c>
      <c r="S56" s="28" t="n">
        <v>0</v>
      </c>
      <c r="T56" s="28" t="n">
        <v>0</v>
      </c>
      <c r="U56" s="28" t="n">
        <v>0</v>
      </c>
      <c r="V56" s="28" t="n">
        <v>0</v>
      </c>
      <c r="W56" s="28" t="n">
        <v>0</v>
      </c>
      <c r="X56" s="28" t="n">
        <v>0</v>
      </c>
      <c r="Y56" s="28" t="n">
        <v>0</v>
      </c>
      <c r="Z56" s="28" t="n">
        <v>0</v>
      </c>
      <c r="AA56" s="28" t="n">
        <v>0</v>
      </c>
      <c r="AB56" s="28" t="n">
        <v>0</v>
      </c>
      <c r="AC56" s="28" t="n">
        <v>0</v>
      </c>
      <c r="AD56" s="28" t="n">
        <v>0</v>
      </c>
      <c r="AE56" s="28" t="n">
        <v>0</v>
      </c>
      <c r="AF56" s="28" t="n">
        <v>0</v>
      </c>
      <c r="AG56" s="28" t="n">
        <v>0</v>
      </c>
      <c r="AH56" s="28" t="n">
        <v>0</v>
      </c>
      <c r="AI56" s="28" t="n">
        <v>0</v>
      </c>
      <c r="AJ56" s="28" t="n">
        <v>0</v>
      </c>
      <c r="AK56" s="28" t="n">
        <v>0</v>
      </c>
      <c r="AL56" s="28" t="n">
        <v>0</v>
      </c>
      <c r="AM56" s="28" t="n">
        <v>0</v>
      </c>
      <c r="AN56" s="28" t="n">
        <v>0</v>
      </c>
      <c r="AO56" s="28" t="n">
        <v>0</v>
      </c>
      <c r="AP56" s="28" t="n">
        <v>0</v>
      </c>
      <c r="AQ56" s="28" t="n">
        <v>0</v>
      </c>
      <c r="AR56" s="28" t="n">
        <v>0</v>
      </c>
      <c r="AS56" s="28" t="n">
        <v>0</v>
      </c>
      <c r="AT56" s="28" t="n">
        <v>0</v>
      </c>
      <c r="AU56" s="28" t="n">
        <v>0</v>
      </c>
      <c r="AV56" s="28" t="n">
        <v>0</v>
      </c>
      <c r="AW56" s="28" t="n">
        <v>0</v>
      </c>
      <c r="AX56" s="28" t="n">
        <v>0</v>
      </c>
      <c r="AY56" s="28" t="n">
        <v>0</v>
      </c>
      <c r="AZ56" s="28" t="n">
        <v>0</v>
      </c>
      <c r="BA56" s="28" t="n">
        <v>0</v>
      </c>
      <c r="BB56" s="28" t="n">
        <v>0</v>
      </c>
      <c r="BC56" s="28" t="n">
        <v>0</v>
      </c>
      <c r="BD56" s="28" t="n">
        <v>0</v>
      </c>
      <c r="BE56" s="28" t="n">
        <v>0</v>
      </c>
      <c r="BF56" s="28" t="n">
        <v>0</v>
      </c>
      <c r="BG56" s="28" t="n">
        <v>0</v>
      </c>
      <c r="BH56" s="28" t="n">
        <v>0</v>
      </c>
      <c r="BI56" s="28" t="n">
        <v>0</v>
      </c>
      <c r="BJ56" s="28" t="n">
        <v>0</v>
      </c>
      <c r="BK56" s="28" t="n">
        <v>0</v>
      </c>
      <c r="BL56" s="28" t="n">
        <v>0</v>
      </c>
      <c r="BM56" s="28" t="n">
        <v>0</v>
      </c>
      <c r="BN56" s="28" t="n">
        <v>0</v>
      </c>
      <c r="BO56" s="28" t="n">
        <v>0</v>
      </c>
      <c r="BP56" s="28" t="n">
        <v>0</v>
      </c>
      <c r="BQ56" s="28" t="n">
        <v>0</v>
      </c>
      <c r="BR56" s="28" t="n">
        <v>0</v>
      </c>
      <c r="BS56" s="28" t="n">
        <v>0</v>
      </c>
      <c r="BT56" s="28" t="n">
        <v>0</v>
      </c>
      <c r="BU56" s="28" t="n">
        <v>0</v>
      </c>
      <c r="BV56" s="28" t="n">
        <v>0</v>
      </c>
      <c r="BW56" s="28" t="n">
        <v>0</v>
      </c>
      <c r="BX56" s="28" t="n">
        <v>0</v>
      </c>
      <c r="BY56" s="28" t="n">
        <v>0</v>
      </c>
      <c r="BZ56" s="28" t="n">
        <v>0</v>
      </c>
      <c r="CA56" s="28" t="n">
        <v>0</v>
      </c>
      <c r="CB56" s="28" t="n">
        <v>0</v>
      </c>
      <c r="CC56" s="28" t="n">
        <v>0</v>
      </c>
      <c r="CD56" s="28" t="n">
        <v>0</v>
      </c>
      <c r="CE56" s="28" t="n">
        <v>0</v>
      </c>
      <c r="CF56" s="28" t="n">
        <v>0</v>
      </c>
      <c r="CG56" s="28" t="n">
        <v>0</v>
      </c>
      <c r="CH56" s="28" t="n">
        <v>0</v>
      </c>
      <c r="CI56" s="28" t="n">
        <v>0</v>
      </c>
      <c r="CJ56" s="28" t="n">
        <v>0</v>
      </c>
      <c r="CK56" s="28" t="n">
        <v>0</v>
      </c>
      <c r="CL56" s="28" t="n">
        <v>0</v>
      </c>
      <c r="CM56" s="28" t="n">
        <v>0</v>
      </c>
      <c r="CN56" s="28" t="n">
        <v>0</v>
      </c>
      <c r="CO56" s="28" t="n">
        <v>0</v>
      </c>
      <c r="CP56" s="28" t="n">
        <v>0</v>
      </c>
      <c r="CQ56" s="28" t="n">
        <v>0</v>
      </c>
      <c r="CR56" s="28" t="n">
        <v>0</v>
      </c>
      <c r="CS56" s="28" t="n">
        <v>0</v>
      </c>
      <c r="CT56" s="28" t="n">
        <v>0</v>
      </c>
      <c r="CU56" s="28" t="n">
        <v>0</v>
      </c>
      <c r="CV56" s="28" t="n">
        <v>0</v>
      </c>
      <c r="CW56" s="28" t="n">
        <v>0</v>
      </c>
      <c r="CX56" s="28" t="n">
        <v>0</v>
      </c>
      <c r="CY56" s="28" t="n">
        <v>0</v>
      </c>
      <c r="CZ56" s="28" t="n">
        <v>0</v>
      </c>
      <c r="DA56" s="28" t="n">
        <v>0</v>
      </c>
    </row>
    <row r="57">
      <c r="A57" t="inlineStr">
        <is>
          <t>TVS-664</t>
        </is>
      </c>
      <c r="B57" s="28" t="n">
        <v>0</v>
      </c>
      <c r="C57" s="28" t="n">
        <v>0</v>
      </c>
      <c r="D57" s="28" t="n">
        <v>0</v>
      </c>
      <c r="E57" s="28" t="n">
        <v>0</v>
      </c>
      <c r="F57" s="28" t="n">
        <v>0</v>
      </c>
      <c r="G57" s="28" t="n">
        <v>0</v>
      </c>
      <c r="H57" s="28" t="n">
        <v>0</v>
      </c>
      <c r="I57" s="28" t="n">
        <v>0</v>
      </c>
      <c r="J57" s="28" t="n">
        <v>0</v>
      </c>
      <c r="K57" s="28" t="n">
        <v>0</v>
      </c>
      <c r="L57" s="28" t="n">
        <v>0</v>
      </c>
      <c r="M57" s="28" t="n">
        <v>0</v>
      </c>
      <c r="N57" s="28" t="n">
        <v>0</v>
      </c>
      <c r="O57" s="28" t="n">
        <v>0</v>
      </c>
      <c r="P57" s="28" t="n">
        <v>0</v>
      </c>
      <c r="Q57" s="28" t="n">
        <v>0</v>
      </c>
      <c r="R57" s="28" t="n">
        <v>0</v>
      </c>
      <c r="S57" s="28" t="n">
        <v>0</v>
      </c>
      <c r="T57" s="28" t="n">
        <v>0</v>
      </c>
      <c r="U57" s="28" t="n">
        <v>0</v>
      </c>
      <c r="V57" s="28" t="n">
        <v>0</v>
      </c>
      <c r="W57" s="28" t="n">
        <v>0</v>
      </c>
      <c r="X57" s="28" t="n">
        <v>0</v>
      </c>
      <c r="Y57" s="28" t="n">
        <v>0</v>
      </c>
      <c r="Z57" s="28" t="n">
        <v>0</v>
      </c>
      <c r="AA57" s="28" t="n">
        <v>0</v>
      </c>
      <c r="AB57" s="28" t="n">
        <v>0</v>
      </c>
      <c r="AC57" s="28" t="n">
        <v>0</v>
      </c>
      <c r="AD57" s="28" t="n">
        <v>0</v>
      </c>
      <c r="AE57" s="28" t="n">
        <v>0</v>
      </c>
      <c r="AF57" s="28" t="n">
        <v>0</v>
      </c>
      <c r="AG57" s="28" t="n">
        <v>0</v>
      </c>
      <c r="AH57" s="28" t="n">
        <v>0</v>
      </c>
      <c r="AI57" s="28" t="n">
        <v>0</v>
      </c>
      <c r="AJ57" s="28" t="n">
        <v>0</v>
      </c>
      <c r="AK57" s="28" t="n">
        <v>0</v>
      </c>
      <c r="AL57" s="28" t="n">
        <v>0</v>
      </c>
      <c r="AM57" s="28" t="n">
        <v>0</v>
      </c>
      <c r="AN57" s="28" t="n">
        <v>0</v>
      </c>
      <c r="AO57" s="28" t="n">
        <v>0</v>
      </c>
      <c r="AP57" s="28" t="n">
        <v>0</v>
      </c>
      <c r="AQ57" s="28" t="n">
        <v>0</v>
      </c>
      <c r="AR57" s="28" t="n">
        <v>0</v>
      </c>
      <c r="AS57" s="28" t="n">
        <v>0</v>
      </c>
      <c r="AT57" s="28" t="n">
        <v>0</v>
      </c>
      <c r="AU57" s="28" t="n">
        <v>0</v>
      </c>
      <c r="AV57" s="28" t="n">
        <v>0</v>
      </c>
      <c r="AW57" s="28" t="n">
        <v>0</v>
      </c>
      <c r="AX57" s="28" t="n">
        <v>0</v>
      </c>
      <c r="AY57" s="28" t="n">
        <v>0</v>
      </c>
      <c r="AZ57" s="28" t="n">
        <v>0</v>
      </c>
      <c r="BA57" s="28" t="n">
        <v>0</v>
      </c>
      <c r="BB57" s="28" t="n">
        <v>0</v>
      </c>
      <c r="BC57" s="28" t="n">
        <v>0</v>
      </c>
      <c r="BD57" s="28" t="n">
        <v>0</v>
      </c>
      <c r="BE57" s="28" t="n">
        <v>0</v>
      </c>
      <c r="BF57" s="28" t="n">
        <v>0</v>
      </c>
      <c r="BG57" s="28" t="n">
        <v>0</v>
      </c>
      <c r="BH57" s="28" t="n">
        <v>0</v>
      </c>
      <c r="BI57" s="28" t="n">
        <v>0</v>
      </c>
      <c r="BJ57" s="28" t="n">
        <v>0</v>
      </c>
      <c r="BK57" s="28" t="n">
        <v>0</v>
      </c>
      <c r="BL57" s="28" t="n">
        <v>0</v>
      </c>
      <c r="BM57" s="28" t="n">
        <v>0</v>
      </c>
      <c r="BN57" s="28" t="n">
        <v>0</v>
      </c>
      <c r="BO57" s="28" t="n">
        <v>0</v>
      </c>
      <c r="BP57" s="28" t="n">
        <v>0</v>
      </c>
      <c r="BQ57" s="28" t="n">
        <v>0</v>
      </c>
      <c r="BR57" s="28" t="n">
        <v>0</v>
      </c>
      <c r="BS57" s="28" t="n">
        <v>0</v>
      </c>
      <c r="BT57" s="28" t="n">
        <v>0</v>
      </c>
      <c r="BU57" s="28" t="n">
        <v>0</v>
      </c>
      <c r="BV57" s="28" t="n">
        <v>0</v>
      </c>
      <c r="BW57" s="28" t="n">
        <v>0</v>
      </c>
      <c r="BX57" s="28" t="n">
        <v>0</v>
      </c>
      <c r="BY57" s="28" t="n">
        <v>0</v>
      </c>
      <c r="BZ57" s="28" t="n">
        <v>0</v>
      </c>
      <c r="CA57" s="28" t="n">
        <v>0</v>
      </c>
      <c r="CB57" s="28" t="n">
        <v>0</v>
      </c>
      <c r="CC57" s="28" t="n">
        <v>0</v>
      </c>
      <c r="CD57" s="28" t="n">
        <v>0</v>
      </c>
      <c r="CE57" s="28" t="n">
        <v>0</v>
      </c>
      <c r="CF57" s="28" t="n">
        <v>0</v>
      </c>
      <c r="CG57" s="28" t="n">
        <v>0</v>
      </c>
      <c r="CH57" s="28" t="n">
        <v>0</v>
      </c>
      <c r="CI57" s="28" t="n">
        <v>0</v>
      </c>
      <c r="CJ57" s="28" t="n">
        <v>0</v>
      </c>
      <c r="CK57" s="28" t="n">
        <v>0</v>
      </c>
      <c r="CL57" s="28" t="n">
        <v>0</v>
      </c>
      <c r="CM57" s="28" t="n">
        <v>0</v>
      </c>
      <c r="CN57" s="28" t="n">
        <v>0</v>
      </c>
      <c r="CO57" s="28" t="n">
        <v>0</v>
      </c>
      <c r="CP57" s="28" t="n">
        <v>0</v>
      </c>
      <c r="CQ57" s="28" t="n">
        <v>0</v>
      </c>
      <c r="CR57" s="28" t="n">
        <v>0</v>
      </c>
      <c r="CS57" s="28" t="n">
        <v>0</v>
      </c>
      <c r="CT57" s="28" t="n">
        <v>0</v>
      </c>
      <c r="CU57" s="28" t="n">
        <v>0</v>
      </c>
      <c r="CV57" s="28" t="n">
        <v>0</v>
      </c>
      <c r="CW57" s="28" t="n">
        <v>0</v>
      </c>
      <c r="CX57" s="28" t="n">
        <v>0</v>
      </c>
      <c r="CY57" s="28" t="n">
        <v>0</v>
      </c>
      <c r="CZ57" s="28" t="n">
        <v>0</v>
      </c>
      <c r="DA57" s="28" t="n">
        <v>0</v>
      </c>
    </row>
    <row r="58">
      <c r="A58" t="inlineStr">
        <is>
          <t>TVS-833</t>
        </is>
      </c>
      <c r="B58" s="28" t="n">
        <v>0</v>
      </c>
      <c r="C58" s="28" t="n">
        <v>0</v>
      </c>
      <c r="D58" s="28" t="n">
        <v>0</v>
      </c>
      <c r="E58" s="28" t="n">
        <v>0</v>
      </c>
      <c r="F58" s="28" t="n">
        <v>0</v>
      </c>
      <c r="G58" s="28" t="n">
        <v>0</v>
      </c>
      <c r="H58" s="28" t="n">
        <v>0</v>
      </c>
      <c r="I58" s="28" t="n">
        <v>0</v>
      </c>
      <c r="J58" s="28" t="n">
        <v>0</v>
      </c>
      <c r="K58" s="28" t="n">
        <v>0</v>
      </c>
      <c r="L58" s="28" t="n">
        <v>0</v>
      </c>
      <c r="M58" s="28" t="n">
        <v>0</v>
      </c>
      <c r="N58" s="28" t="n">
        <v>0</v>
      </c>
      <c r="O58" s="28" t="n">
        <v>0</v>
      </c>
      <c r="P58" s="28" t="n">
        <v>0</v>
      </c>
      <c r="Q58" s="28" t="n">
        <v>0</v>
      </c>
      <c r="R58" s="28" t="n">
        <v>0</v>
      </c>
      <c r="S58" s="28" t="n">
        <v>0</v>
      </c>
      <c r="T58" s="28" t="n">
        <v>0</v>
      </c>
      <c r="U58" s="28" t="n">
        <v>0</v>
      </c>
      <c r="V58" s="28" t="n">
        <v>0</v>
      </c>
      <c r="W58" s="28" t="n">
        <v>0</v>
      </c>
      <c r="X58" s="28" t="n">
        <v>13.66098314386007</v>
      </c>
      <c r="Y58" s="28" t="n">
        <v>2.818518711832559</v>
      </c>
      <c r="Z58" s="28" t="n">
        <v>0</v>
      </c>
      <c r="AA58" s="28" t="n">
        <v>6.830491571930034</v>
      </c>
      <c r="AB58" s="28" t="n">
        <v>8.769229800140572</v>
      </c>
      <c r="AC58" s="28" t="n">
        <v>0</v>
      </c>
      <c r="AD58" s="28" t="n">
        <v>2.818518711832559</v>
      </c>
      <c r="AE58" s="28" t="n">
        <v>9.962683948405489</v>
      </c>
      <c r="AF58" s="28" t="n">
        <v>9.024958164669282</v>
      </c>
      <c r="AG58" s="28" t="n">
        <v>6.830491571930034</v>
      </c>
      <c r="AH58" s="28" t="n">
        <v>10.84246443202751</v>
      </c>
      <c r="AI58" s="28" t="n">
        <v>12.78120266023805</v>
      </c>
      <c r="AJ58" s="28" t="n">
        <v>8.02394572019495</v>
      </c>
      <c r="AK58" s="28" t="n">
        <v>9.024958164669282</v>
      </c>
      <c r="AL58" s="28" t="n">
        <v>6.830491571930034</v>
      </c>
      <c r="AM58" s="28" t="n">
        <v>8.02394572019495</v>
      </c>
      <c r="AN58" s="28" t="n">
        <v>8.769229800140572</v>
      </c>
      <c r="AO58" s="28" t="n">
        <v>4.011972860097475</v>
      </c>
      <c r="AP58" s="28" t="n">
        <v>11.84347687650184</v>
      </c>
      <c r="AQ58" s="28" t="n">
        <v>10.84246443202751</v>
      </c>
      <c r="AR58" s="28" t="n">
        <v>8.769229800140572</v>
      </c>
      <c r="AS58" s="28" t="n">
        <v>13.66098314386007</v>
      </c>
      <c r="AT58" s="28" t="n">
        <v>13.78221510471238</v>
      </c>
      <c r="AU58" s="28" t="n">
        <v>14.85443729212498</v>
      </c>
      <c r="AV58" s="28" t="n">
        <v>16.79317552033552</v>
      </c>
      <c r="AW58" s="28" t="n">
        <v>12.78120266023805</v>
      </c>
      <c r="AX58" s="28" t="n">
        <v>11.64327438760697</v>
      </c>
      <c r="AY58" s="28" t="n">
        <v>12.78120266023805</v>
      </c>
      <c r="AZ58" s="28" t="n">
        <v>4.011972860097475</v>
      </c>
      <c r="BA58" s="28" t="n">
        <v>0</v>
      </c>
      <c r="BB58" s="28" t="n">
        <v>0</v>
      </c>
      <c r="BC58" s="28" t="n">
        <v>4.011972860097475</v>
      </c>
      <c r="BD58" s="28" t="n">
        <v>8.02394572019495</v>
      </c>
      <c r="BE58" s="28" t="n">
        <v>10.84246443202751</v>
      </c>
      <c r="BF58" s="28" t="n">
        <v>12.78120266023805</v>
      </c>
      <c r="BG58" s="28" t="n">
        <v>6.830491571930034</v>
      </c>
      <c r="BH58" s="28" t="n">
        <v>10.84246443202751</v>
      </c>
      <c r="BI58" s="28" t="n">
        <v>6.830491571930034</v>
      </c>
      <c r="BJ58" s="28" t="n">
        <v>5.950711088308013</v>
      </c>
      <c r="BK58" s="28" t="n">
        <v>6.830491571930034</v>
      </c>
      <c r="BL58" s="28" t="n">
        <v>8.02394572019495</v>
      </c>
      <c r="BM58" s="28" t="n">
        <v>4.011972860097475</v>
      </c>
      <c r="BN58" s="28" t="n">
        <v>4.011972860097475</v>
      </c>
      <c r="BO58" s="28" t="n">
        <v>6.860354448757784</v>
      </c>
      <c r="BP58" s="28" t="n">
        <v>0</v>
      </c>
      <c r="BQ58" s="28" t="n">
        <v>4.011972860097475</v>
      </c>
      <c r="BR58" s="28" t="n">
        <v>4.011972860097475</v>
      </c>
      <c r="BS58" s="28" t="n">
        <v>4.011972860097475</v>
      </c>
      <c r="BT58" s="28" t="n">
        <v>0</v>
      </c>
      <c r="BU58" s="28" t="n">
        <v>4.011972860097475</v>
      </c>
      <c r="BV58" s="28" t="n">
        <v>3.008979645073107</v>
      </c>
      <c r="BW58" s="28" t="n">
        <v>0</v>
      </c>
      <c r="BX58" s="28" t="n">
        <v>0</v>
      </c>
      <c r="BY58" s="28" t="n">
        <v>0</v>
      </c>
      <c r="BZ58" s="28" t="n">
        <v>0</v>
      </c>
      <c r="CA58" s="28" t="n">
        <v>0</v>
      </c>
      <c r="CB58" s="28" t="n">
        <v>0</v>
      </c>
      <c r="CC58" s="28" t="n">
        <v>0</v>
      </c>
      <c r="CD58" s="28" t="n">
        <v>0</v>
      </c>
      <c r="CE58" s="28" t="n">
        <v>0</v>
      </c>
      <c r="CF58" s="28" t="n">
        <v>0</v>
      </c>
      <c r="CG58" s="28" t="n">
        <v>0</v>
      </c>
      <c r="CH58" s="28" t="n">
        <v>0</v>
      </c>
      <c r="CI58" s="28" t="n">
        <v>0</v>
      </c>
      <c r="CJ58" s="28" t="n">
        <v>0</v>
      </c>
      <c r="CK58" s="28" t="n">
        <v>0</v>
      </c>
      <c r="CL58" s="28" t="n">
        <v>0</v>
      </c>
      <c r="CM58" s="28" t="n">
        <v>0</v>
      </c>
      <c r="CN58" s="28" t="n">
        <v>0</v>
      </c>
      <c r="CO58" s="28" t="n">
        <v>0</v>
      </c>
      <c r="CP58" s="28" t="n">
        <v>0</v>
      </c>
      <c r="CQ58" s="28" t="n">
        <v>0</v>
      </c>
      <c r="CR58" s="28" t="n">
        <v>0</v>
      </c>
      <c r="CS58" s="28" t="n">
        <v>0</v>
      </c>
      <c r="CT58" s="28" t="n">
        <v>0</v>
      </c>
      <c r="CU58" s="28" t="n">
        <v>0</v>
      </c>
      <c r="CV58" s="28" t="n">
        <v>0</v>
      </c>
      <c r="CW58" s="28" t="n">
        <v>0</v>
      </c>
      <c r="CX58" s="28" t="n">
        <v>0</v>
      </c>
      <c r="CY58" s="28" t="n">
        <v>0</v>
      </c>
      <c r="CZ58" s="28" t="n">
        <v>0</v>
      </c>
      <c r="DA58" s="28" t="n">
        <v>0</v>
      </c>
    </row>
    <row r="59">
      <c r="A59" t="inlineStr">
        <is>
          <t>VSP-600</t>
        </is>
      </c>
      <c r="B59" s="28" t="n">
        <v>0</v>
      </c>
      <c r="C59" s="28" t="n">
        <v>0</v>
      </c>
      <c r="D59" s="28" t="n">
        <v>0</v>
      </c>
      <c r="E59" s="28" t="n">
        <v>0</v>
      </c>
      <c r="F59" s="28" t="n">
        <v>0</v>
      </c>
      <c r="G59" s="28" t="n">
        <v>0</v>
      </c>
      <c r="H59" s="28" t="n">
        <v>0</v>
      </c>
      <c r="I59" s="28" t="n">
        <v>0</v>
      </c>
      <c r="J59" s="28" t="n">
        <v>0</v>
      </c>
      <c r="K59" s="28" t="n">
        <v>0</v>
      </c>
      <c r="L59" s="28" t="n">
        <v>0</v>
      </c>
      <c r="M59" s="28" t="n">
        <v>0</v>
      </c>
      <c r="N59" s="28" t="n">
        <v>0</v>
      </c>
      <c r="O59" s="28" t="n">
        <v>0</v>
      </c>
      <c r="P59" s="28" t="n">
        <v>0</v>
      </c>
      <c r="Q59" s="28" t="n">
        <v>0</v>
      </c>
      <c r="R59" s="28" t="n">
        <v>0</v>
      </c>
      <c r="S59" s="28" t="n">
        <v>0</v>
      </c>
      <c r="T59" s="28" t="n">
        <v>0</v>
      </c>
      <c r="U59" s="28" t="n">
        <v>0</v>
      </c>
      <c r="V59" s="28" t="n">
        <v>0</v>
      </c>
      <c r="W59" s="28" t="n">
        <v>0</v>
      </c>
      <c r="X59" s="28" t="n">
        <v>0</v>
      </c>
      <c r="Y59" s="28" t="n">
        <v>3.840891207323119</v>
      </c>
      <c r="Z59" s="28" t="n">
        <v>0</v>
      </c>
      <c r="AA59" s="28" t="n">
        <v>0</v>
      </c>
      <c r="AB59" s="28" t="n">
        <v>0</v>
      </c>
      <c r="AC59" s="28" t="n">
        <v>3.840891207323119</v>
      </c>
      <c r="AD59" s="28" t="n">
        <v>0</v>
      </c>
      <c r="AE59" s="28" t="n">
        <v>0</v>
      </c>
      <c r="AF59" s="28" t="n">
        <v>0</v>
      </c>
      <c r="AG59" s="28" t="n">
        <v>0</v>
      </c>
      <c r="AH59" s="28" t="n">
        <v>3.840891207323119</v>
      </c>
      <c r="AI59" s="28" t="n">
        <v>0</v>
      </c>
      <c r="AJ59" s="28" t="n">
        <v>0</v>
      </c>
      <c r="AK59" s="28" t="n">
        <v>3.840891207323119</v>
      </c>
      <c r="AL59" s="28" t="n">
        <v>0</v>
      </c>
      <c r="AM59" s="28" t="n">
        <v>0</v>
      </c>
      <c r="AN59" s="28" t="n">
        <v>0</v>
      </c>
      <c r="AO59" s="28" t="n">
        <v>0</v>
      </c>
      <c r="AP59" s="28" t="n">
        <v>0</v>
      </c>
      <c r="AQ59" s="28" t="n">
        <v>0</v>
      </c>
      <c r="AR59" s="28" t="n">
        <v>3.840891207323119</v>
      </c>
      <c r="AS59" s="28" t="n">
        <v>0</v>
      </c>
      <c r="AT59" s="28" t="n">
        <v>0</v>
      </c>
      <c r="AU59" s="28" t="n">
        <v>0</v>
      </c>
      <c r="AV59" s="28" t="n">
        <v>0</v>
      </c>
      <c r="AW59" s="28" t="n">
        <v>0</v>
      </c>
      <c r="AX59" s="28" t="n">
        <v>3.840891207323119</v>
      </c>
      <c r="AY59" s="28" t="n">
        <v>0</v>
      </c>
      <c r="AZ59" s="28" t="n">
        <v>0</v>
      </c>
      <c r="BA59" s="28" t="n">
        <v>0</v>
      </c>
      <c r="BB59" s="28" t="n">
        <v>0</v>
      </c>
      <c r="BC59" s="28" t="n">
        <v>0</v>
      </c>
      <c r="BD59" s="28" t="n">
        <v>0</v>
      </c>
      <c r="BE59" s="28" t="n">
        <v>3.840891207323119</v>
      </c>
      <c r="BF59" s="28" t="n">
        <v>0</v>
      </c>
      <c r="BG59" s="28" t="n">
        <v>0</v>
      </c>
      <c r="BH59" s="28" t="n">
        <v>0</v>
      </c>
      <c r="BI59" s="28" t="n">
        <v>3.840891207323119</v>
      </c>
      <c r="BJ59" s="28" t="n">
        <v>0</v>
      </c>
      <c r="BK59" s="28" t="n">
        <v>0</v>
      </c>
      <c r="BL59" s="28" t="n">
        <v>0</v>
      </c>
      <c r="BM59" s="28" t="n">
        <v>0</v>
      </c>
      <c r="BN59" s="28" t="n">
        <v>0</v>
      </c>
      <c r="BO59" s="28" t="n">
        <v>0</v>
      </c>
      <c r="BP59" s="28" t="n">
        <v>0</v>
      </c>
      <c r="BQ59" s="28" t="n">
        <v>0</v>
      </c>
      <c r="BR59" s="28" t="n">
        <v>0</v>
      </c>
      <c r="BS59" s="28" t="n">
        <v>0</v>
      </c>
      <c r="BT59" s="28" t="n">
        <v>0</v>
      </c>
      <c r="BU59" s="28" t="n">
        <v>0</v>
      </c>
      <c r="BV59" s="28" t="n">
        <v>0</v>
      </c>
      <c r="BW59" s="28" t="n">
        <v>0</v>
      </c>
      <c r="BX59" s="28" t="n">
        <v>0</v>
      </c>
      <c r="BY59" s="28" t="n">
        <v>0</v>
      </c>
      <c r="BZ59" s="28" t="n">
        <v>0</v>
      </c>
      <c r="CA59" s="28" t="n">
        <v>0</v>
      </c>
      <c r="CB59" s="28" t="n">
        <v>0</v>
      </c>
      <c r="CC59" s="28" t="n">
        <v>0</v>
      </c>
      <c r="CD59" s="28" t="n">
        <v>0</v>
      </c>
      <c r="CE59" s="28" t="n">
        <v>0</v>
      </c>
      <c r="CF59" s="28" t="n">
        <v>0</v>
      </c>
      <c r="CG59" s="28" t="n">
        <v>0</v>
      </c>
      <c r="CH59" s="28" t="n">
        <v>0</v>
      </c>
      <c r="CI59" s="28" t="n">
        <v>0</v>
      </c>
      <c r="CJ59" s="28" t="n">
        <v>0</v>
      </c>
      <c r="CK59" s="28" t="n">
        <v>0</v>
      </c>
      <c r="CL59" s="28" t="n">
        <v>0</v>
      </c>
      <c r="CM59" s="28" t="n">
        <v>0</v>
      </c>
      <c r="CN59" s="28" t="n">
        <v>0</v>
      </c>
      <c r="CO59" s="28" t="n">
        <v>0</v>
      </c>
      <c r="CP59" s="28" t="n">
        <v>0</v>
      </c>
      <c r="CQ59" s="28" t="n">
        <v>0</v>
      </c>
      <c r="CR59" s="28" t="n">
        <v>0</v>
      </c>
      <c r="CS59" s="28" t="n">
        <v>0</v>
      </c>
      <c r="CT59" s="28" t="n">
        <v>0</v>
      </c>
      <c r="CU59" s="28" t="n">
        <v>0</v>
      </c>
      <c r="CV59" s="28" t="n">
        <v>0</v>
      </c>
      <c r="CW59" s="28" t="n">
        <v>0</v>
      </c>
      <c r="CX59" s="28" t="n">
        <v>0</v>
      </c>
      <c r="CY59" s="28" t="n">
        <v>0</v>
      </c>
      <c r="CZ59" s="28" t="n">
        <v>0</v>
      </c>
      <c r="DA59" s="28" t="n">
        <v>0</v>
      </c>
    </row>
    <row r="60">
      <c r="A60" t="inlineStr">
        <is>
          <t>VSP-601</t>
        </is>
      </c>
      <c r="B60" s="28" t="n">
        <v>0</v>
      </c>
      <c r="C60" s="28" t="n">
        <v>0</v>
      </c>
      <c r="D60" s="28" t="n">
        <v>0</v>
      </c>
      <c r="E60" s="28" t="n">
        <v>0</v>
      </c>
      <c r="F60" s="28" t="n">
        <v>0</v>
      </c>
      <c r="G60" s="28" t="n">
        <v>0</v>
      </c>
      <c r="H60" s="28" t="n">
        <v>0</v>
      </c>
      <c r="I60" s="28" t="n">
        <v>0</v>
      </c>
      <c r="J60" s="28" t="n">
        <v>0</v>
      </c>
      <c r="K60" s="28" t="n">
        <v>0</v>
      </c>
      <c r="L60" s="28" t="n">
        <v>0</v>
      </c>
      <c r="M60" s="28" t="n">
        <v>0</v>
      </c>
      <c r="N60" s="28" t="n">
        <v>0</v>
      </c>
      <c r="O60" s="28" t="n">
        <v>0</v>
      </c>
      <c r="P60" s="28" t="n">
        <v>0</v>
      </c>
      <c r="Q60" s="28" t="n">
        <v>0</v>
      </c>
      <c r="R60" s="28" t="n">
        <v>0</v>
      </c>
      <c r="S60" s="28" t="n">
        <v>0</v>
      </c>
      <c r="T60" s="28" t="n">
        <v>0</v>
      </c>
      <c r="U60" s="28" t="n">
        <v>0</v>
      </c>
      <c r="V60" s="28" t="n">
        <v>0</v>
      </c>
      <c r="W60" s="28" t="n">
        <v>0</v>
      </c>
      <c r="X60" s="28" t="n">
        <v>0</v>
      </c>
      <c r="Y60" s="28" t="n">
        <v>3.844512359077455</v>
      </c>
      <c r="Z60" s="28" t="n">
        <v>0</v>
      </c>
      <c r="AA60" s="28" t="n">
        <v>0</v>
      </c>
      <c r="AB60" s="28" t="n">
        <v>0</v>
      </c>
      <c r="AC60" s="28" t="n">
        <v>3.844512359077455</v>
      </c>
      <c r="AD60" s="28" t="n">
        <v>0</v>
      </c>
      <c r="AE60" s="28" t="n">
        <v>0</v>
      </c>
      <c r="AF60" s="28" t="n">
        <v>0</v>
      </c>
      <c r="AG60" s="28" t="n">
        <v>0</v>
      </c>
      <c r="AH60" s="28" t="n">
        <v>3.844512359077455</v>
      </c>
      <c r="AI60" s="28" t="n">
        <v>0</v>
      </c>
      <c r="AJ60" s="28" t="n">
        <v>0</v>
      </c>
      <c r="AK60" s="28" t="n">
        <v>3.844512359077455</v>
      </c>
      <c r="AL60" s="28" t="n">
        <v>0</v>
      </c>
      <c r="AM60" s="28" t="n">
        <v>0</v>
      </c>
      <c r="AN60" s="28" t="n">
        <v>0</v>
      </c>
      <c r="AO60" s="28" t="n">
        <v>0</v>
      </c>
      <c r="AP60" s="28" t="n">
        <v>0</v>
      </c>
      <c r="AQ60" s="28" t="n">
        <v>0</v>
      </c>
      <c r="AR60" s="28" t="n">
        <v>3.844512359077455</v>
      </c>
      <c r="AS60" s="28" t="n">
        <v>0</v>
      </c>
      <c r="AT60" s="28" t="n">
        <v>0</v>
      </c>
      <c r="AU60" s="28" t="n">
        <v>0</v>
      </c>
      <c r="AV60" s="28" t="n">
        <v>0</v>
      </c>
      <c r="AW60" s="28" t="n">
        <v>0</v>
      </c>
      <c r="AX60" s="28" t="n">
        <v>3.844512359077455</v>
      </c>
      <c r="AY60" s="28" t="n">
        <v>0</v>
      </c>
      <c r="AZ60" s="28" t="n">
        <v>0</v>
      </c>
      <c r="BA60" s="28" t="n">
        <v>0</v>
      </c>
      <c r="BB60" s="28" t="n">
        <v>0</v>
      </c>
      <c r="BC60" s="28" t="n">
        <v>0</v>
      </c>
      <c r="BD60" s="28" t="n">
        <v>0</v>
      </c>
      <c r="BE60" s="28" t="n">
        <v>3.844512359077455</v>
      </c>
      <c r="BF60" s="28" t="n">
        <v>0</v>
      </c>
      <c r="BG60" s="28" t="n">
        <v>0</v>
      </c>
      <c r="BH60" s="28" t="n">
        <v>0</v>
      </c>
      <c r="BI60" s="28" t="n">
        <v>3.844512359077455</v>
      </c>
      <c r="BJ60" s="28" t="n">
        <v>0</v>
      </c>
      <c r="BK60" s="28" t="n">
        <v>0</v>
      </c>
      <c r="BL60" s="28" t="n">
        <v>0</v>
      </c>
      <c r="BM60" s="28" t="n">
        <v>0</v>
      </c>
      <c r="BN60" s="28" t="n">
        <v>0</v>
      </c>
      <c r="BO60" s="28" t="n">
        <v>0</v>
      </c>
      <c r="BP60" s="28" t="n">
        <v>0</v>
      </c>
      <c r="BQ60" s="28" t="n">
        <v>0</v>
      </c>
      <c r="BR60" s="28" t="n">
        <v>0</v>
      </c>
      <c r="BS60" s="28" t="n">
        <v>0</v>
      </c>
      <c r="BT60" s="28" t="n">
        <v>0</v>
      </c>
      <c r="BU60" s="28" t="n">
        <v>0</v>
      </c>
      <c r="BV60" s="28" t="n">
        <v>0</v>
      </c>
      <c r="BW60" s="28" t="n">
        <v>0</v>
      </c>
      <c r="BX60" s="28" t="n">
        <v>0</v>
      </c>
      <c r="BY60" s="28" t="n">
        <v>0</v>
      </c>
      <c r="BZ60" s="28" t="n">
        <v>0</v>
      </c>
      <c r="CA60" s="28" t="n">
        <v>0</v>
      </c>
      <c r="CB60" s="28" t="n">
        <v>0</v>
      </c>
      <c r="CC60" s="28" t="n">
        <v>0</v>
      </c>
      <c r="CD60" s="28" t="n">
        <v>0</v>
      </c>
      <c r="CE60" s="28" t="n">
        <v>0</v>
      </c>
      <c r="CF60" s="28" t="n">
        <v>0</v>
      </c>
      <c r="CG60" s="28" t="n">
        <v>0</v>
      </c>
      <c r="CH60" s="28" t="n">
        <v>0</v>
      </c>
      <c r="CI60" s="28" t="n">
        <v>0</v>
      </c>
      <c r="CJ60" s="28" t="n">
        <v>0</v>
      </c>
      <c r="CK60" s="28" t="n">
        <v>0</v>
      </c>
      <c r="CL60" s="28" t="n">
        <v>0</v>
      </c>
      <c r="CM60" s="28" t="n">
        <v>0</v>
      </c>
      <c r="CN60" s="28" t="n">
        <v>0</v>
      </c>
      <c r="CO60" s="28" t="n">
        <v>0</v>
      </c>
      <c r="CP60" s="28" t="n">
        <v>0</v>
      </c>
      <c r="CQ60" s="28" t="n">
        <v>0</v>
      </c>
      <c r="CR60" s="28" t="n">
        <v>0</v>
      </c>
      <c r="CS60" s="28" t="n">
        <v>0</v>
      </c>
      <c r="CT60" s="28" t="n">
        <v>0</v>
      </c>
      <c r="CU60" s="28" t="n">
        <v>0</v>
      </c>
      <c r="CV60" s="28" t="n">
        <v>0</v>
      </c>
      <c r="CW60" s="28" t="n">
        <v>0</v>
      </c>
      <c r="CX60" s="28" t="n">
        <v>0</v>
      </c>
      <c r="CY60" s="28" t="n">
        <v>0</v>
      </c>
      <c r="CZ60" s="28" t="n">
        <v>0</v>
      </c>
      <c r="DA60" s="28" t="n">
        <v>0</v>
      </c>
    </row>
    <row r="61">
      <c r="A61" t="inlineStr">
        <is>
          <t>VSP-602</t>
        </is>
      </c>
      <c r="B61" s="28" t="n">
        <v>0</v>
      </c>
      <c r="C61" s="28" t="n">
        <v>0</v>
      </c>
      <c r="D61" s="28" t="n">
        <v>0</v>
      </c>
      <c r="E61" s="28" t="n">
        <v>0</v>
      </c>
      <c r="F61" s="28" t="n">
        <v>0</v>
      </c>
      <c r="G61" s="28" t="n">
        <v>0</v>
      </c>
      <c r="H61" s="28" t="n">
        <v>0</v>
      </c>
      <c r="I61" s="28" t="n">
        <v>0</v>
      </c>
      <c r="J61" s="28" t="n">
        <v>0</v>
      </c>
      <c r="K61" s="28" t="n">
        <v>0</v>
      </c>
      <c r="L61" s="28" t="n">
        <v>0</v>
      </c>
      <c r="M61" s="28" t="n">
        <v>0</v>
      </c>
      <c r="N61" s="28" t="n">
        <v>0</v>
      </c>
      <c r="O61" s="28" t="n">
        <v>0</v>
      </c>
      <c r="P61" s="28" t="n">
        <v>0</v>
      </c>
      <c r="Q61" s="28" t="n">
        <v>0</v>
      </c>
      <c r="R61" s="28" t="n">
        <v>0</v>
      </c>
      <c r="S61" s="28" t="n">
        <v>0</v>
      </c>
      <c r="T61" s="28" t="n">
        <v>0</v>
      </c>
      <c r="U61" s="28" t="n">
        <v>0</v>
      </c>
      <c r="V61" s="28" t="n">
        <v>0</v>
      </c>
      <c r="W61" s="28" t="n">
        <v>0</v>
      </c>
      <c r="X61" s="28" t="n">
        <v>0</v>
      </c>
      <c r="Y61" s="28" t="n">
        <v>3.845278475612647</v>
      </c>
      <c r="Z61" s="28" t="n">
        <v>0</v>
      </c>
      <c r="AA61" s="28" t="n">
        <v>0</v>
      </c>
      <c r="AB61" s="28" t="n">
        <v>0</v>
      </c>
      <c r="AC61" s="28" t="n">
        <v>3.845278475612647</v>
      </c>
      <c r="AD61" s="28" t="n">
        <v>0</v>
      </c>
      <c r="AE61" s="28" t="n">
        <v>0</v>
      </c>
      <c r="AF61" s="28" t="n">
        <v>0</v>
      </c>
      <c r="AG61" s="28" t="n">
        <v>0</v>
      </c>
      <c r="AH61" s="28" t="n">
        <v>3.845278475612647</v>
      </c>
      <c r="AI61" s="28" t="n">
        <v>0</v>
      </c>
      <c r="AJ61" s="28" t="n">
        <v>0</v>
      </c>
      <c r="AK61" s="28" t="n">
        <v>3.845278475612647</v>
      </c>
      <c r="AL61" s="28" t="n">
        <v>0</v>
      </c>
      <c r="AM61" s="28" t="n">
        <v>0</v>
      </c>
      <c r="AN61" s="28" t="n">
        <v>0</v>
      </c>
      <c r="AO61" s="28" t="n">
        <v>0</v>
      </c>
      <c r="AP61" s="28" t="n">
        <v>0</v>
      </c>
      <c r="AQ61" s="28" t="n">
        <v>0</v>
      </c>
      <c r="AR61" s="28" t="n">
        <v>3.845278475612647</v>
      </c>
      <c r="AS61" s="28" t="n">
        <v>0</v>
      </c>
      <c r="AT61" s="28" t="n">
        <v>0</v>
      </c>
      <c r="AU61" s="28" t="n">
        <v>0</v>
      </c>
      <c r="AV61" s="28" t="n">
        <v>0</v>
      </c>
      <c r="AW61" s="28" t="n">
        <v>0</v>
      </c>
      <c r="AX61" s="28" t="n">
        <v>3.845278475612647</v>
      </c>
      <c r="AY61" s="28" t="n">
        <v>0</v>
      </c>
      <c r="AZ61" s="28" t="n">
        <v>0</v>
      </c>
      <c r="BA61" s="28" t="n">
        <v>0</v>
      </c>
      <c r="BB61" s="28" t="n">
        <v>0</v>
      </c>
      <c r="BC61" s="28" t="n">
        <v>0</v>
      </c>
      <c r="BD61" s="28" t="n">
        <v>0</v>
      </c>
      <c r="BE61" s="28" t="n">
        <v>3.845278475612647</v>
      </c>
      <c r="BF61" s="28" t="n">
        <v>0</v>
      </c>
      <c r="BG61" s="28" t="n">
        <v>0</v>
      </c>
      <c r="BH61" s="28" t="n">
        <v>0</v>
      </c>
      <c r="BI61" s="28" t="n">
        <v>3.845278475612647</v>
      </c>
      <c r="BJ61" s="28" t="n">
        <v>0</v>
      </c>
      <c r="BK61" s="28" t="n">
        <v>0</v>
      </c>
      <c r="BL61" s="28" t="n">
        <v>0</v>
      </c>
      <c r="BM61" s="28" t="n">
        <v>0</v>
      </c>
      <c r="BN61" s="28" t="n">
        <v>0</v>
      </c>
      <c r="BO61" s="28" t="n">
        <v>0</v>
      </c>
      <c r="BP61" s="28" t="n">
        <v>0</v>
      </c>
      <c r="BQ61" s="28" t="n">
        <v>0</v>
      </c>
      <c r="BR61" s="28" t="n">
        <v>0</v>
      </c>
      <c r="BS61" s="28" t="n">
        <v>0</v>
      </c>
      <c r="BT61" s="28" t="n">
        <v>0</v>
      </c>
      <c r="BU61" s="28" t="n">
        <v>0</v>
      </c>
      <c r="BV61" s="28" t="n">
        <v>0</v>
      </c>
      <c r="BW61" s="28" t="n">
        <v>0</v>
      </c>
      <c r="BX61" s="28" t="n">
        <v>0</v>
      </c>
      <c r="BY61" s="28" t="n">
        <v>0</v>
      </c>
      <c r="BZ61" s="28" t="n">
        <v>0</v>
      </c>
      <c r="CA61" s="28" t="n">
        <v>0</v>
      </c>
      <c r="CB61" s="28" t="n">
        <v>0</v>
      </c>
      <c r="CC61" s="28" t="n">
        <v>0</v>
      </c>
      <c r="CD61" s="28" t="n">
        <v>0</v>
      </c>
      <c r="CE61" s="28" t="n">
        <v>0</v>
      </c>
      <c r="CF61" s="28" t="n">
        <v>0</v>
      </c>
      <c r="CG61" s="28" t="n">
        <v>0</v>
      </c>
      <c r="CH61" s="28" t="n">
        <v>0</v>
      </c>
      <c r="CI61" s="28" t="n">
        <v>0</v>
      </c>
      <c r="CJ61" s="28" t="n">
        <v>0</v>
      </c>
      <c r="CK61" s="28" t="n">
        <v>0</v>
      </c>
      <c r="CL61" s="28" t="n">
        <v>0</v>
      </c>
      <c r="CM61" s="28" t="n">
        <v>0</v>
      </c>
      <c r="CN61" s="28" t="n">
        <v>0</v>
      </c>
      <c r="CO61" s="28" t="n">
        <v>0</v>
      </c>
      <c r="CP61" s="28" t="n">
        <v>0</v>
      </c>
      <c r="CQ61" s="28" t="n">
        <v>0</v>
      </c>
      <c r="CR61" s="28" t="n">
        <v>0</v>
      </c>
      <c r="CS61" s="28" t="n">
        <v>0</v>
      </c>
      <c r="CT61" s="28" t="n">
        <v>0</v>
      </c>
      <c r="CU61" s="28" t="n">
        <v>0</v>
      </c>
      <c r="CV61" s="28" t="n">
        <v>0</v>
      </c>
      <c r="CW61" s="28" t="n">
        <v>0</v>
      </c>
      <c r="CX61" s="28" t="n">
        <v>0</v>
      </c>
      <c r="CY61" s="28" t="n">
        <v>0</v>
      </c>
      <c r="CZ61" s="28" t="n">
        <v>0</v>
      </c>
      <c r="DA61" s="28" t="n">
        <v>0</v>
      </c>
    </row>
    <row r="62">
      <c r="A62" t="inlineStr">
        <is>
          <t>VSP-820</t>
        </is>
      </c>
      <c r="B62" s="28" t="n">
        <v>0</v>
      </c>
      <c r="C62" s="28" t="n">
        <v>0</v>
      </c>
      <c r="D62" s="28" t="n">
        <v>0</v>
      </c>
      <c r="E62" s="28" t="n">
        <v>0</v>
      </c>
      <c r="F62" s="28" t="n">
        <v>0</v>
      </c>
      <c r="G62" s="28" t="n">
        <v>0</v>
      </c>
      <c r="H62" s="28" t="n">
        <v>0</v>
      </c>
      <c r="I62" s="28" t="n">
        <v>0</v>
      </c>
      <c r="J62" s="28" t="n">
        <v>0</v>
      </c>
      <c r="K62" s="28" t="n">
        <v>0</v>
      </c>
      <c r="L62" s="28" t="n">
        <v>0</v>
      </c>
      <c r="M62" s="28" t="n">
        <v>0</v>
      </c>
      <c r="N62" s="28" t="n">
        <v>0</v>
      </c>
      <c r="O62" s="28" t="n">
        <v>0</v>
      </c>
      <c r="P62" s="28" t="n">
        <v>0</v>
      </c>
      <c r="Q62" s="28" t="n">
        <v>0</v>
      </c>
      <c r="R62" s="28" t="n">
        <v>0</v>
      </c>
      <c r="S62" s="28" t="n">
        <v>0</v>
      </c>
      <c r="T62" s="28" t="n">
        <v>0</v>
      </c>
      <c r="U62" s="28" t="n">
        <v>0</v>
      </c>
      <c r="V62" s="28" t="n">
        <v>0</v>
      </c>
      <c r="W62" s="28" t="n">
        <v>0</v>
      </c>
      <c r="X62" s="28" t="n">
        <v>0</v>
      </c>
      <c r="Y62" s="28" t="n">
        <v>0</v>
      </c>
      <c r="Z62" s="28" t="n">
        <v>0</v>
      </c>
      <c r="AA62" s="28" t="n">
        <v>0</v>
      </c>
      <c r="AB62" s="28" t="n">
        <v>0</v>
      </c>
      <c r="AC62" s="28" t="n">
        <v>0</v>
      </c>
      <c r="AD62" s="28" t="n">
        <v>0</v>
      </c>
      <c r="AE62" s="28" t="n">
        <v>0</v>
      </c>
      <c r="AF62" s="28" t="n">
        <v>0</v>
      </c>
      <c r="AG62" s="28" t="n">
        <v>0</v>
      </c>
      <c r="AH62" s="28" t="n">
        <v>0</v>
      </c>
      <c r="AI62" s="28" t="n">
        <v>0</v>
      </c>
      <c r="AJ62" s="28" t="n">
        <v>0</v>
      </c>
      <c r="AK62" s="28" t="n">
        <v>0</v>
      </c>
      <c r="AL62" s="28" t="n">
        <v>0</v>
      </c>
      <c r="AM62" s="28" t="n">
        <v>0</v>
      </c>
      <c r="AN62" s="28" t="n">
        <v>0</v>
      </c>
      <c r="AO62" s="28" t="n">
        <v>0</v>
      </c>
      <c r="AP62" s="28" t="n">
        <v>0</v>
      </c>
      <c r="AQ62" s="28" t="n">
        <v>0</v>
      </c>
      <c r="AR62" s="28" t="n">
        <v>0</v>
      </c>
      <c r="AS62" s="28" t="n">
        <v>0</v>
      </c>
      <c r="AT62" s="28" t="n">
        <v>0</v>
      </c>
      <c r="AU62" s="28" t="n">
        <v>0</v>
      </c>
      <c r="AV62" s="28" t="n">
        <v>0</v>
      </c>
      <c r="AW62" s="28" t="n">
        <v>0</v>
      </c>
      <c r="AX62" s="28" t="n">
        <v>0</v>
      </c>
      <c r="AY62" s="28" t="n">
        <v>0</v>
      </c>
      <c r="AZ62" s="28" t="n">
        <v>0</v>
      </c>
      <c r="BA62" s="28" t="n">
        <v>0</v>
      </c>
      <c r="BB62" s="28" t="n">
        <v>0</v>
      </c>
      <c r="BC62" s="28" t="n">
        <v>0</v>
      </c>
      <c r="BD62" s="28" t="n">
        <v>0</v>
      </c>
      <c r="BE62" s="28" t="n">
        <v>0</v>
      </c>
      <c r="BF62" s="28" t="n">
        <v>0</v>
      </c>
      <c r="BG62" s="28" t="n">
        <v>0</v>
      </c>
      <c r="BH62" s="28" t="n">
        <v>0</v>
      </c>
      <c r="BI62" s="28" t="n">
        <v>0</v>
      </c>
      <c r="BJ62" s="28" t="n">
        <v>0</v>
      </c>
      <c r="BK62" s="28" t="n">
        <v>0</v>
      </c>
      <c r="BL62" s="28" t="n">
        <v>0</v>
      </c>
      <c r="BM62" s="28" t="n">
        <v>0</v>
      </c>
      <c r="BN62" s="28" t="n">
        <v>0</v>
      </c>
      <c r="BO62" s="28" t="n">
        <v>0</v>
      </c>
      <c r="BP62" s="28" t="n">
        <v>0</v>
      </c>
      <c r="BQ62" s="28" t="n">
        <v>0</v>
      </c>
      <c r="BR62" s="28" t="n">
        <v>0</v>
      </c>
      <c r="BS62" s="28" t="n">
        <v>0</v>
      </c>
      <c r="BT62" s="28" t="n">
        <v>0</v>
      </c>
      <c r="BU62" s="28" t="n">
        <v>0</v>
      </c>
      <c r="BV62" s="28" t="n">
        <v>0</v>
      </c>
      <c r="BW62" s="28" t="n">
        <v>0</v>
      </c>
      <c r="BX62" s="28" t="n">
        <v>0</v>
      </c>
      <c r="BY62" s="28" t="n">
        <v>0</v>
      </c>
      <c r="BZ62" s="28" t="n">
        <v>0</v>
      </c>
      <c r="CA62" s="28" t="n">
        <v>0</v>
      </c>
      <c r="CB62" s="28" t="n">
        <v>0</v>
      </c>
      <c r="CC62" s="28" t="n">
        <v>0</v>
      </c>
      <c r="CD62" s="28" t="n">
        <v>0</v>
      </c>
      <c r="CE62" s="28" t="n">
        <v>0</v>
      </c>
      <c r="CF62" s="28" t="n">
        <v>0</v>
      </c>
      <c r="CG62" s="28" t="n">
        <v>0</v>
      </c>
      <c r="CH62" s="28" t="n">
        <v>0</v>
      </c>
      <c r="CI62" s="28" t="n">
        <v>0</v>
      </c>
      <c r="CJ62" s="28" t="n">
        <v>0</v>
      </c>
      <c r="CK62" s="28" t="n">
        <v>0</v>
      </c>
      <c r="CL62" s="28" t="n">
        <v>0</v>
      </c>
      <c r="CM62" s="28" t="n">
        <v>0</v>
      </c>
      <c r="CN62" s="28" t="n">
        <v>0</v>
      </c>
      <c r="CO62" s="28" t="n">
        <v>0</v>
      </c>
      <c r="CP62" s="28" t="n">
        <v>0</v>
      </c>
      <c r="CQ62" s="28" t="n">
        <v>0</v>
      </c>
      <c r="CR62" s="28" t="n">
        <v>0</v>
      </c>
      <c r="CS62" s="28" t="n">
        <v>0</v>
      </c>
      <c r="CT62" s="28" t="n">
        <v>0</v>
      </c>
      <c r="CU62" s="28" t="n">
        <v>0</v>
      </c>
      <c r="CV62" s="28" t="n">
        <v>0</v>
      </c>
      <c r="CW62" s="28" t="n">
        <v>0</v>
      </c>
      <c r="CX62" s="28" t="n">
        <v>0</v>
      </c>
      <c r="CY62" s="28" t="n">
        <v>0</v>
      </c>
      <c r="CZ62" s="28" t="n">
        <v>0</v>
      </c>
      <c r="DA62" s="28" t="n">
        <v>0</v>
      </c>
    </row>
    <row r="63">
      <c r="A63" t="inlineStr">
        <is>
          <t>VSP-822</t>
        </is>
      </c>
      <c r="B63" s="28" t="n">
        <v>0</v>
      </c>
      <c r="C63" s="28" t="n">
        <v>0</v>
      </c>
      <c r="D63" s="28" t="n">
        <v>0</v>
      </c>
      <c r="E63" s="28" t="n">
        <v>0</v>
      </c>
      <c r="F63" s="28" t="n">
        <v>0</v>
      </c>
      <c r="G63" s="28" t="n">
        <v>0</v>
      </c>
      <c r="H63" s="28" t="n">
        <v>0</v>
      </c>
      <c r="I63" s="28" t="n">
        <v>0</v>
      </c>
      <c r="J63" s="28" t="n">
        <v>0</v>
      </c>
      <c r="K63" s="28" t="n">
        <v>0</v>
      </c>
      <c r="L63" s="28" t="n">
        <v>0</v>
      </c>
      <c r="M63" s="28" t="n">
        <v>0</v>
      </c>
      <c r="N63" s="28" t="n">
        <v>0</v>
      </c>
      <c r="O63" s="28" t="n">
        <v>0</v>
      </c>
      <c r="P63" s="28" t="n">
        <v>0</v>
      </c>
      <c r="Q63" s="28" t="n">
        <v>0</v>
      </c>
      <c r="R63" s="28" t="n">
        <v>0</v>
      </c>
      <c r="S63" s="28" t="n">
        <v>0</v>
      </c>
      <c r="T63" s="28" t="n">
        <v>0</v>
      </c>
      <c r="U63" s="28" t="n">
        <v>0</v>
      </c>
      <c r="V63" s="28" t="n">
        <v>0</v>
      </c>
      <c r="W63" s="28" t="n">
        <v>0</v>
      </c>
      <c r="X63" s="28" t="n">
        <v>0</v>
      </c>
      <c r="Y63" s="28" t="n">
        <v>0</v>
      </c>
      <c r="Z63" s="28" t="n">
        <v>0</v>
      </c>
      <c r="AA63" s="28" t="n">
        <v>0</v>
      </c>
      <c r="AB63" s="28" t="n">
        <v>0</v>
      </c>
      <c r="AC63" s="28" t="n">
        <v>0</v>
      </c>
      <c r="AD63" s="28" t="n">
        <v>0</v>
      </c>
      <c r="AE63" s="28" t="n">
        <v>0</v>
      </c>
      <c r="AF63" s="28" t="n">
        <v>0</v>
      </c>
      <c r="AG63" s="28" t="n">
        <v>0</v>
      </c>
      <c r="AH63" s="28" t="n">
        <v>0</v>
      </c>
      <c r="AI63" s="28" t="n">
        <v>0</v>
      </c>
      <c r="AJ63" s="28" t="n">
        <v>0</v>
      </c>
      <c r="AK63" s="28" t="n">
        <v>0</v>
      </c>
      <c r="AL63" s="28" t="n">
        <v>0</v>
      </c>
      <c r="AM63" s="28" t="n">
        <v>0</v>
      </c>
      <c r="AN63" s="28" t="n">
        <v>0</v>
      </c>
      <c r="AO63" s="28" t="n">
        <v>0</v>
      </c>
      <c r="AP63" s="28" t="n">
        <v>0</v>
      </c>
      <c r="AQ63" s="28" t="n">
        <v>0</v>
      </c>
      <c r="AR63" s="28" t="n">
        <v>0</v>
      </c>
      <c r="AS63" s="28" t="n">
        <v>0</v>
      </c>
      <c r="AT63" s="28" t="n">
        <v>0</v>
      </c>
      <c r="AU63" s="28" t="n">
        <v>0</v>
      </c>
      <c r="AV63" s="28" t="n">
        <v>0</v>
      </c>
      <c r="AW63" s="28" t="n">
        <v>0</v>
      </c>
      <c r="AX63" s="28" t="n">
        <v>0</v>
      </c>
      <c r="AY63" s="28" t="n">
        <v>0</v>
      </c>
      <c r="AZ63" s="28" t="n">
        <v>0</v>
      </c>
      <c r="BA63" s="28" t="n">
        <v>0</v>
      </c>
      <c r="BB63" s="28" t="n">
        <v>0</v>
      </c>
      <c r="BC63" s="28" t="n">
        <v>0</v>
      </c>
      <c r="BD63" s="28" t="n">
        <v>0</v>
      </c>
      <c r="BE63" s="28" t="n">
        <v>0</v>
      </c>
      <c r="BF63" s="28" t="n">
        <v>0</v>
      </c>
      <c r="BG63" s="28" t="n">
        <v>0</v>
      </c>
      <c r="BH63" s="28" t="n">
        <v>0</v>
      </c>
      <c r="BI63" s="28" t="n">
        <v>0</v>
      </c>
      <c r="BJ63" s="28" t="n">
        <v>0</v>
      </c>
      <c r="BK63" s="28" t="n">
        <v>0</v>
      </c>
      <c r="BL63" s="28" t="n">
        <v>0</v>
      </c>
      <c r="BM63" s="28" t="n">
        <v>0</v>
      </c>
      <c r="BN63" s="28" t="n">
        <v>0</v>
      </c>
      <c r="BO63" s="28" t="n">
        <v>0</v>
      </c>
      <c r="BP63" s="28" t="n">
        <v>0</v>
      </c>
      <c r="BQ63" s="28" t="n">
        <v>0</v>
      </c>
      <c r="BR63" s="28" t="n">
        <v>0</v>
      </c>
      <c r="BS63" s="28" t="n">
        <v>0</v>
      </c>
      <c r="BT63" s="28" t="n">
        <v>0</v>
      </c>
      <c r="BU63" s="28" t="n">
        <v>0</v>
      </c>
      <c r="BV63" s="28" t="n">
        <v>0</v>
      </c>
      <c r="BW63" s="28" t="n">
        <v>0</v>
      </c>
      <c r="BX63" s="28" t="n">
        <v>0</v>
      </c>
      <c r="BY63" s="28" t="n">
        <v>0</v>
      </c>
      <c r="BZ63" s="28" t="n">
        <v>0</v>
      </c>
      <c r="CA63" s="28" t="n">
        <v>0</v>
      </c>
      <c r="CB63" s="28" t="n">
        <v>0</v>
      </c>
      <c r="CC63" s="28" t="n">
        <v>0</v>
      </c>
      <c r="CD63" s="28" t="n">
        <v>0</v>
      </c>
      <c r="CE63" s="28" t="n">
        <v>0</v>
      </c>
      <c r="CF63" s="28" t="n">
        <v>0</v>
      </c>
      <c r="CG63" s="28" t="n">
        <v>0</v>
      </c>
      <c r="CH63" s="28" t="n">
        <v>0</v>
      </c>
      <c r="CI63" s="28" t="n">
        <v>0</v>
      </c>
      <c r="CJ63" s="28" t="n">
        <v>0</v>
      </c>
      <c r="CK63" s="28" t="n">
        <v>0</v>
      </c>
      <c r="CL63" s="28" t="n">
        <v>0</v>
      </c>
      <c r="CM63" s="28" t="n">
        <v>0</v>
      </c>
      <c r="CN63" s="28" t="n">
        <v>0</v>
      </c>
      <c r="CO63" s="28" t="n">
        <v>0</v>
      </c>
      <c r="CP63" s="28" t="n">
        <v>0</v>
      </c>
      <c r="CQ63" s="28" t="n">
        <v>0</v>
      </c>
      <c r="CR63" s="28" t="n">
        <v>0</v>
      </c>
      <c r="CS63" s="28" t="n">
        <v>0</v>
      </c>
      <c r="CT63" s="28" t="n">
        <v>0</v>
      </c>
      <c r="CU63" s="28" t="n">
        <v>0</v>
      </c>
      <c r="CV63" s="28" t="n">
        <v>0</v>
      </c>
      <c r="CW63" s="28" t="n">
        <v>0</v>
      </c>
      <c r="CX63" s="28" t="n">
        <v>0</v>
      </c>
      <c r="CY63" s="28" t="n">
        <v>0</v>
      </c>
      <c r="CZ63" s="28" t="n">
        <v>0</v>
      </c>
      <c r="DA63" s="28" t="n">
        <v>0</v>
      </c>
    </row>
    <row r="64">
      <c r="A64" t="inlineStr">
        <is>
          <t>VSP-910</t>
        </is>
      </c>
      <c r="B64" s="28" t="n">
        <v>0</v>
      </c>
      <c r="C64" s="28" t="n">
        <v>0</v>
      </c>
      <c r="D64" s="28" t="n">
        <v>0</v>
      </c>
      <c r="E64" s="28" t="n">
        <v>0</v>
      </c>
      <c r="F64" s="28" t="n">
        <v>0</v>
      </c>
      <c r="G64" s="28" t="n">
        <v>0</v>
      </c>
      <c r="H64" s="28" t="n">
        <v>0</v>
      </c>
      <c r="I64" s="28" t="n">
        <v>0</v>
      </c>
      <c r="J64" s="28" t="n">
        <v>0</v>
      </c>
      <c r="K64" s="28" t="n">
        <v>0</v>
      </c>
      <c r="L64" s="28" t="n">
        <v>0</v>
      </c>
      <c r="M64" s="28" t="n">
        <v>0</v>
      </c>
      <c r="N64" s="28" t="n">
        <v>0</v>
      </c>
      <c r="O64" s="28" t="n">
        <v>0</v>
      </c>
      <c r="P64" s="28" t="n">
        <v>0</v>
      </c>
      <c r="Q64" s="28" t="n">
        <v>0</v>
      </c>
      <c r="R64" s="28" t="n">
        <v>0</v>
      </c>
      <c r="S64" s="28" t="n">
        <v>0</v>
      </c>
      <c r="T64" s="28" t="n">
        <v>0</v>
      </c>
      <c r="U64" s="28" t="n">
        <v>0</v>
      </c>
      <c r="V64" s="28" t="n">
        <v>0</v>
      </c>
      <c r="W64" s="28" t="n">
        <v>0</v>
      </c>
      <c r="X64" s="28" t="n">
        <v>0</v>
      </c>
      <c r="Y64" s="28" t="n">
        <v>0</v>
      </c>
      <c r="Z64" s="28" t="n">
        <v>0</v>
      </c>
      <c r="AA64" s="28" t="n">
        <v>0</v>
      </c>
      <c r="AB64" s="28" t="n">
        <v>0</v>
      </c>
      <c r="AC64" s="28" t="n">
        <v>0</v>
      </c>
      <c r="AD64" s="28" t="n">
        <v>0</v>
      </c>
      <c r="AE64" s="28" t="n">
        <v>0</v>
      </c>
      <c r="AF64" s="28" t="n">
        <v>0</v>
      </c>
      <c r="AG64" s="28" t="n">
        <v>0</v>
      </c>
      <c r="AH64" s="28" t="n">
        <v>0</v>
      </c>
      <c r="AI64" s="28" t="n">
        <v>0</v>
      </c>
      <c r="AJ64" s="28" t="n">
        <v>0</v>
      </c>
      <c r="AK64" s="28" t="n">
        <v>0</v>
      </c>
      <c r="AL64" s="28" t="n">
        <v>0</v>
      </c>
      <c r="AM64" s="28" t="n">
        <v>0</v>
      </c>
      <c r="AN64" s="28" t="n">
        <v>0</v>
      </c>
      <c r="AO64" s="28" t="n">
        <v>0</v>
      </c>
      <c r="AP64" s="28" t="n">
        <v>0</v>
      </c>
      <c r="AQ64" s="28" t="n">
        <v>0</v>
      </c>
      <c r="AR64" s="28" t="n">
        <v>0</v>
      </c>
      <c r="AS64" s="28" t="n">
        <v>0</v>
      </c>
      <c r="AT64" s="28" t="n">
        <v>0</v>
      </c>
      <c r="AU64" s="28" t="n">
        <v>0</v>
      </c>
      <c r="AV64" s="28" t="n">
        <v>0</v>
      </c>
      <c r="AW64" s="28" t="n">
        <v>0</v>
      </c>
      <c r="AX64" s="28" t="n">
        <v>0</v>
      </c>
      <c r="AY64" s="28" t="n">
        <v>0</v>
      </c>
      <c r="AZ64" s="28" t="n">
        <v>0</v>
      </c>
      <c r="BA64" s="28" t="n">
        <v>0</v>
      </c>
      <c r="BB64" s="28" t="n">
        <v>0</v>
      </c>
      <c r="BC64" s="28" t="n">
        <v>0</v>
      </c>
      <c r="BD64" s="28" t="n">
        <v>0</v>
      </c>
      <c r="BE64" s="28" t="n">
        <v>0</v>
      </c>
      <c r="BF64" s="28" t="n">
        <v>0</v>
      </c>
      <c r="BG64" s="28" t="n">
        <v>0</v>
      </c>
      <c r="BH64" s="28" t="n">
        <v>0</v>
      </c>
      <c r="BI64" s="28" t="n">
        <v>0</v>
      </c>
      <c r="BJ64" s="28" t="n">
        <v>0</v>
      </c>
      <c r="BK64" s="28" t="n">
        <v>0</v>
      </c>
      <c r="BL64" s="28" t="n">
        <v>0</v>
      </c>
      <c r="BM64" s="28" t="n">
        <v>0</v>
      </c>
      <c r="BN64" s="28" t="n">
        <v>0</v>
      </c>
      <c r="BO64" s="28" t="n">
        <v>0</v>
      </c>
      <c r="BP64" s="28" t="n">
        <v>0</v>
      </c>
      <c r="BQ64" s="28" t="n">
        <v>0</v>
      </c>
      <c r="BR64" s="28" t="n">
        <v>0</v>
      </c>
      <c r="BS64" s="28" t="n">
        <v>0</v>
      </c>
      <c r="BT64" s="28" t="n">
        <v>0</v>
      </c>
      <c r="BU64" s="28" t="n">
        <v>0</v>
      </c>
      <c r="BV64" s="28" t="n">
        <v>0</v>
      </c>
      <c r="BW64" s="28" t="n">
        <v>0</v>
      </c>
      <c r="BX64" s="28" t="n">
        <v>0</v>
      </c>
      <c r="BY64" s="28" t="n">
        <v>0</v>
      </c>
      <c r="BZ64" s="28" t="n">
        <v>0</v>
      </c>
      <c r="CA64" s="28" t="n">
        <v>0</v>
      </c>
      <c r="CB64" s="28" t="n">
        <v>0</v>
      </c>
      <c r="CC64" s="28" t="n">
        <v>0</v>
      </c>
      <c r="CD64" s="28" t="n">
        <v>0</v>
      </c>
      <c r="CE64" s="28" t="n">
        <v>0</v>
      </c>
      <c r="CF64" s="28" t="n">
        <v>0</v>
      </c>
      <c r="CG64" s="28" t="n">
        <v>0</v>
      </c>
      <c r="CH64" s="28" t="n">
        <v>0</v>
      </c>
      <c r="CI64" s="28" t="n">
        <v>0</v>
      </c>
      <c r="CJ64" s="28" t="n">
        <v>0</v>
      </c>
      <c r="CK64" s="28" t="n">
        <v>0</v>
      </c>
      <c r="CL64" s="28" t="n">
        <v>0</v>
      </c>
      <c r="CM64" s="28" t="n">
        <v>0</v>
      </c>
      <c r="CN64" s="28" t="n">
        <v>0</v>
      </c>
      <c r="CO64" s="28" t="n">
        <v>0</v>
      </c>
      <c r="CP64" s="28" t="n">
        <v>0</v>
      </c>
      <c r="CQ64" s="28" t="n">
        <v>0</v>
      </c>
      <c r="CR64" s="28" t="n">
        <v>0</v>
      </c>
      <c r="CS64" s="28" t="n">
        <v>0</v>
      </c>
      <c r="CT64" s="28" t="n">
        <v>0</v>
      </c>
      <c r="CU64" s="28" t="n">
        <v>0</v>
      </c>
      <c r="CV64" s="28" t="n">
        <v>0</v>
      </c>
      <c r="CW64" s="28" t="n">
        <v>0</v>
      </c>
      <c r="CX64" s="28" t="n">
        <v>0</v>
      </c>
      <c r="CY64" s="28" t="n">
        <v>0</v>
      </c>
      <c r="CZ64" s="28" t="n">
        <v>0</v>
      </c>
      <c r="DA64" s="28" t="n">
        <v>0</v>
      </c>
    </row>
    <row r="65">
      <c r="A65" t="inlineStr">
        <is>
          <t>VSP-989</t>
        </is>
      </c>
      <c r="B65" s="28" t="n">
        <v>0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0</v>
      </c>
      <c r="H65" s="28" t="n">
        <v>0</v>
      </c>
      <c r="I65" s="28" t="n">
        <v>0</v>
      </c>
      <c r="J65" s="28" t="n">
        <v>0</v>
      </c>
      <c r="K65" s="28" t="n">
        <v>0</v>
      </c>
      <c r="L65" s="28" t="n">
        <v>0</v>
      </c>
      <c r="M65" s="28" t="n">
        <v>0</v>
      </c>
      <c r="N65" s="28" t="n">
        <v>0</v>
      </c>
      <c r="O65" s="28" t="n">
        <v>0</v>
      </c>
      <c r="P65" s="28" t="n">
        <v>0</v>
      </c>
      <c r="Q65" s="28" t="n">
        <v>0</v>
      </c>
      <c r="R65" s="28" t="n">
        <v>0</v>
      </c>
      <c r="S65" s="28" t="n">
        <v>0</v>
      </c>
      <c r="T65" s="28" t="n">
        <v>0</v>
      </c>
      <c r="U65" s="28" t="n">
        <v>0</v>
      </c>
      <c r="V65" s="28" t="n">
        <v>0</v>
      </c>
      <c r="W65" s="28" t="n">
        <v>0</v>
      </c>
      <c r="X65" s="28" t="n">
        <v>0</v>
      </c>
      <c r="Y65" s="28" t="n">
        <v>0</v>
      </c>
      <c r="Z65" s="28" t="n">
        <v>0</v>
      </c>
      <c r="AA65" s="28" t="n">
        <v>0</v>
      </c>
      <c r="AB65" s="28" t="n">
        <v>0</v>
      </c>
      <c r="AC65" s="28" t="n">
        <v>0</v>
      </c>
      <c r="AD65" s="28" t="n">
        <v>0</v>
      </c>
      <c r="AE65" s="28" t="n">
        <v>0</v>
      </c>
      <c r="AF65" s="28" t="n">
        <v>0</v>
      </c>
      <c r="AG65" s="28" t="n">
        <v>0</v>
      </c>
      <c r="AH65" s="28" t="n">
        <v>0</v>
      </c>
      <c r="AI65" s="28" t="n">
        <v>0</v>
      </c>
      <c r="AJ65" s="28" t="n">
        <v>0</v>
      </c>
      <c r="AK65" s="28" t="n">
        <v>0</v>
      </c>
      <c r="AL65" s="28" t="n">
        <v>0</v>
      </c>
      <c r="AM65" s="28" t="n">
        <v>0</v>
      </c>
      <c r="AN65" s="28" t="n">
        <v>0</v>
      </c>
      <c r="AO65" s="28" t="n">
        <v>0</v>
      </c>
      <c r="AP65" s="28" t="n">
        <v>0</v>
      </c>
      <c r="AQ65" s="28" t="n">
        <v>0</v>
      </c>
      <c r="AR65" s="28" t="n">
        <v>0</v>
      </c>
      <c r="AS65" s="28" t="n">
        <v>0</v>
      </c>
      <c r="AT65" s="28" t="n">
        <v>0</v>
      </c>
      <c r="AU65" s="28" t="n">
        <v>0</v>
      </c>
      <c r="AV65" s="28" t="n">
        <v>0</v>
      </c>
      <c r="AW65" s="28" t="n">
        <v>0</v>
      </c>
      <c r="AX65" s="28" t="n">
        <v>0</v>
      </c>
      <c r="AY65" s="28" t="n">
        <v>0</v>
      </c>
      <c r="AZ65" s="28" t="n">
        <v>0</v>
      </c>
      <c r="BA65" s="28" t="n">
        <v>0</v>
      </c>
      <c r="BB65" s="28" t="n">
        <v>0</v>
      </c>
      <c r="BC65" s="28" t="n">
        <v>0</v>
      </c>
      <c r="BD65" s="28" t="n">
        <v>0</v>
      </c>
      <c r="BE65" s="28" t="n">
        <v>0</v>
      </c>
      <c r="BF65" s="28" t="n">
        <v>0</v>
      </c>
      <c r="BG65" s="28" t="n">
        <v>0</v>
      </c>
      <c r="BH65" s="28" t="n">
        <v>0</v>
      </c>
      <c r="BI65" s="28" t="n">
        <v>0</v>
      </c>
      <c r="BJ65" s="28" t="n">
        <v>0</v>
      </c>
      <c r="BK65" s="28" t="n">
        <v>0</v>
      </c>
      <c r="BL65" s="28" t="n">
        <v>0</v>
      </c>
      <c r="BM65" s="28" t="n">
        <v>0</v>
      </c>
      <c r="BN65" s="28" t="n">
        <v>0</v>
      </c>
      <c r="BO65" s="28" t="n">
        <v>0</v>
      </c>
      <c r="BP65" s="28" t="n">
        <v>0</v>
      </c>
      <c r="BQ65" s="28" t="n">
        <v>0</v>
      </c>
      <c r="BR65" s="28" t="n">
        <v>0</v>
      </c>
      <c r="BS65" s="28" t="n">
        <v>0</v>
      </c>
      <c r="BT65" s="28" t="n">
        <v>0</v>
      </c>
      <c r="BU65" s="28" t="n">
        <v>0</v>
      </c>
      <c r="BV65" s="28" t="n">
        <v>0</v>
      </c>
      <c r="BW65" s="28" t="n">
        <v>0</v>
      </c>
      <c r="BX65" s="28" t="n">
        <v>0</v>
      </c>
      <c r="BY65" s="28" t="n">
        <v>0</v>
      </c>
      <c r="BZ65" s="28" t="n">
        <v>0</v>
      </c>
      <c r="CA65" s="28" t="n">
        <v>0</v>
      </c>
      <c r="CB65" s="28" t="n">
        <v>0</v>
      </c>
      <c r="CC65" s="28" t="n">
        <v>0</v>
      </c>
      <c r="CD65" s="28" t="n">
        <v>0</v>
      </c>
      <c r="CE65" s="28" t="n">
        <v>0</v>
      </c>
      <c r="CF65" s="28" t="n">
        <v>0</v>
      </c>
      <c r="CG65" s="28" t="n">
        <v>0</v>
      </c>
      <c r="CH65" s="28" t="n">
        <v>0</v>
      </c>
      <c r="CI65" s="28" t="n">
        <v>0</v>
      </c>
      <c r="CJ65" s="28" t="n">
        <v>0</v>
      </c>
      <c r="CK65" s="28" t="n">
        <v>0</v>
      </c>
      <c r="CL65" s="28" t="n">
        <v>0</v>
      </c>
      <c r="CM65" s="28" t="n">
        <v>0</v>
      </c>
      <c r="CN65" s="28" t="n">
        <v>0</v>
      </c>
      <c r="CO65" s="28" t="n">
        <v>0</v>
      </c>
      <c r="CP65" s="28" t="n">
        <v>0</v>
      </c>
      <c r="CQ65" s="28" t="n">
        <v>0</v>
      </c>
      <c r="CR65" s="28" t="n">
        <v>0</v>
      </c>
      <c r="CS65" s="28" t="n">
        <v>0</v>
      </c>
      <c r="CT65" s="28" t="n">
        <v>0</v>
      </c>
      <c r="CU65" s="28" t="n">
        <v>0</v>
      </c>
      <c r="CV65" s="28" t="n">
        <v>0</v>
      </c>
      <c r="CW65" s="28" t="n">
        <v>0</v>
      </c>
      <c r="CX65" s="28" t="n">
        <v>0</v>
      </c>
      <c r="CY65" s="28" t="n">
        <v>0</v>
      </c>
      <c r="CZ65" s="28" t="n">
        <v>0</v>
      </c>
      <c r="DA65" s="28" t="n">
        <v>0</v>
      </c>
    </row>
    <row r="66">
      <c r="A66" t="inlineStr">
        <is>
          <t>VSP-990</t>
        </is>
      </c>
      <c r="B66" s="28" t="n">
        <v>0</v>
      </c>
      <c r="C66" s="28" t="n">
        <v>0</v>
      </c>
      <c r="D66" s="28" t="n">
        <v>0</v>
      </c>
      <c r="E66" s="28" t="n">
        <v>0</v>
      </c>
      <c r="F66" s="28" t="n">
        <v>0</v>
      </c>
      <c r="G66" s="28" t="n">
        <v>0</v>
      </c>
      <c r="H66" s="28" t="n">
        <v>0</v>
      </c>
      <c r="I66" s="28" t="n">
        <v>0</v>
      </c>
      <c r="J66" s="28" t="n">
        <v>0</v>
      </c>
      <c r="K66" s="28" t="n">
        <v>0</v>
      </c>
      <c r="L66" s="28" t="n">
        <v>0</v>
      </c>
      <c r="M66" s="28" t="n">
        <v>0</v>
      </c>
      <c r="N66" s="28" t="n">
        <v>0</v>
      </c>
      <c r="O66" s="28" t="n">
        <v>0</v>
      </c>
      <c r="P66" s="28" t="n">
        <v>0</v>
      </c>
      <c r="Q66" s="28" t="n">
        <v>0</v>
      </c>
      <c r="R66" s="28" t="n">
        <v>0</v>
      </c>
      <c r="S66" s="28" t="n">
        <v>0</v>
      </c>
      <c r="T66" s="28" t="n">
        <v>0</v>
      </c>
      <c r="U66" s="28" t="n">
        <v>0</v>
      </c>
      <c r="V66" s="28" t="n">
        <v>0</v>
      </c>
      <c r="W66" s="28" t="n">
        <v>0</v>
      </c>
      <c r="X66" s="28" t="n">
        <v>0</v>
      </c>
      <c r="Y66" s="28" t="n">
        <v>0</v>
      </c>
      <c r="Z66" s="28" t="n">
        <v>0</v>
      </c>
      <c r="AA66" s="28" t="n">
        <v>0</v>
      </c>
      <c r="AB66" s="28" t="n">
        <v>0</v>
      </c>
      <c r="AC66" s="28" t="n">
        <v>0</v>
      </c>
      <c r="AD66" s="28" t="n">
        <v>0</v>
      </c>
      <c r="AE66" s="28" t="n">
        <v>0</v>
      </c>
      <c r="AF66" s="28" t="n">
        <v>0</v>
      </c>
      <c r="AG66" s="28" t="n">
        <v>0</v>
      </c>
      <c r="AH66" s="28" t="n">
        <v>0</v>
      </c>
      <c r="AI66" s="28" t="n">
        <v>0</v>
      </c>
      <c r="AJ66" s="28" t="n">
        <v>0</v>
      </c>
      <c r="AK66" s="28" t="n">
        <v>0</v>
      </c>
      <c r="AL66" s="28" t="n">
        <v>0</v>
      </c>
      <c r="AM66" s="28" t="n">
        <v>0</v>
      </c>
      <c r="AN66" s="28" t="n">
        <v>0</v>
      </c>
      <c r="AO66" s="28" t="n">
        <v>0</v>
      </c>
      <c r="AP66" s="28" t="n">
        <v>0</v>
      </c>
      <c r="AQ66" s="28" t="n">
        <v>0</v>
      </c>
      <c r="AR66" s="28" t="n">
        <v>0</v>
      </c>
      <c r="AS66" s="28" t="n">
        <v>0</v>
      </c>
      <c r="AT66" s="28" t="n">
        <v>0</v>
      </c>
      <c r="AU66" s="28" t="n">
        <v>0</v>
      </c>
      <c r="AV66" s="28" t="n">
        <v>0</v>
      </c>
      <c r="AW66" s="28" t="n">
        <v>0</v>
      </c>
      <c r="AX66" s="28" t="n">
        <v>0</v>
      </c>
      <c r="AY66" s="28" t="n">
        <v>0</v>
      </c>
      <c r="AZ66" s="28" t="n">
        <v>0</v>
      </c>
      <c r="BA66" s="28" t="n">
        <v>0</v>
      </c>
      <c r="BB66" s="28" t="n">
        <v>0</v>
      </c>
      <c r="BC66" s="28" t="n">
        <v>0</v>
      </c>
      <c r="BD66" s="28" t="n">
        <v>0</v>
      </c>
      <c r="BE66" s="28" t="n">
        <v>0</v>
      </c>
      <c r="BF66" s="28" t="n">
        <v>0</v>
      </c>
      <c r="BG66" s="28" t="n">
        <v>0</v>
      </c>
      <c r="BH66" s="28" t="n">
        <v>0</v>
      </c>
      <c r="BI66" s="28" t="n">
        <v>0</v>
      </c>
      <c r="BJ66" s="28" t="n">
        <v>0</v>
      </c>
      <c r="BK66" s="28" t="n">
        <v>0</v>
      </c>
      <c r="BL66" s="28" t="n">
        <v>0</v>
      </c>
      <c r="BM66" s="28" t="n">
        <v>0</v>
      </c>
      <c r="BN66" s="28" t="n">
        <v>0</v>
      </c>
      <c r="BO66" s="28" t="n">
        <v>0</v>
      </c>
      <c r="BP66" s="28" t="n">
        <v>0</v>
      </c>
      <c r="BQ66" s="28" t="n">
        <v>0</v>
      </c>
      <c r="BR66" s="28" t="n">
        <v>0</v>
      </c>
      <c r="BS66" s="28" t="n">
        <v>0</v>
      </c>
      <c r="BT66" s="28" t="n">
        <v>0</v>
      </c>
      <c r="BU66" s="28" t="n">
        <v>0</v>
      </c>
      <c r="BV66" s="28" t="n">
        <v>0</v>
      </c>
      <c r="BW66" s="28" t="n">
        <v>0</v>
      </c>
      <c r="BX66" s="28" t="n">
        <v>0</v>
      </c>
      <c r="BY66" s="28" t="n">
        <v>0</v>
      </c>
      <c r="BZ66" s="28" t="n">
        <v>0</v>
      </c>
      <c r="CA66" s="28" t="n">
        <v>0</v>
      </c>
      <c r="CB66" s="28" t="n">
        <v>0</v>
      </c>
      <c r="CC66" s="28" t="n">
        <v>0</v>
      </c>
      <c r="CD66" s="28" t="n">
        <v>0</v>
      </c>
      <c r="CE66" s="28" t="n">
        <v>0</v>
      </c>
      <c r="CF66" s="28" t="n">
        <v>0</v>
      </c>
      <c r="CG66" s="28" t="n">
        <v>0</v>
      </c>
      <c r="CH66" s="28" t="n">
        <v>0</v>
      </c>
      <c r="CI66" s="28" t="n">
        <v>0</v>
      </c>
      <c r="CJ66" s="28" t="n">
        <v>0</v>
      </c>
      <c r="CK66" s="28" t="n">
        <v>0</v>
      </c>
      <c r="CL66" s="28" t="n">
        <v>0</v>
      </c>
      <c r="CM66" s="28" t="n">
        <v>0</v>
      </c>
      <c r="CN66" s="28" t="n">
        <v>0</v>
      </c>
      <c r="CO66" s="28" t="n">
        <v>0</v>
      </c>
      <c r="CP66" s="28" t="n">
        <v>0</v>
      </c>
      <c r="CQ66" s="28" t="n">
        <v>0</v>
      </c>
      <c r="CR66" s="28" t="n">
        <v>0</v>
      </c>
      <c r="CS66" s="28" t="n">
        <v>0</v>
      </c>
      <c r="CT66" s="28" t="n">
        <v>0</v>
      </c>
      <c r="CU66" s="28" t="n">
        <v>0</v>
      </c>
      <c r="CV66" s="28" t="n">
        <v>0</v>
      </c>
      <c r="CW66" s="28" t="n">
        <v>0</v>
      </c>
      <c r="CX66" s="28" t="n">
        <v>0</v>
      </c>
      <c r="CY66" s="28" t="n">
        <v>0</v>
      </c>
      <c r="CZ66" s="28" t="n">
        <v>0</v>
      </c>
      <c r="DA66" s="28" t="n">
        <v>0</v>
      </c>
    </row>
    <row r="67">
      <c r="A67" t="inlineStr">
        <is>
          <t>TPP-103</t>
        </is>
      </c>
      <c r="B67" s="28" t="n">
        <v>0</v>
      </c>
      <c r="C67" s="28" t="n">
        <v>0</v>
      </c>
      <c r="D67" s="28" t="n">
        <v>0</v>
      </c>
      <c r="E67" s="28" t="n">
        <v>0</v>
      </c>
      <c r="F67" s="28" t="n">
        <v>0</v>
      </c>
      <c r="G67" s="28" t="n">
        <v>0</v>
      </c>
      <c r="H67" s="28" t="n">
        <v>0</v>
      </c>
      <c r="I67" s="28" t="n">
        <v>0</v>
      </c>
      <c r="J67" s="28" t="n">
        <v>0</v>
      </c>
      <c r="K67" s="28" t="n">
        <v>0</v>
      </c>
      <c r="L67" s="28" t="n">
        <v>0</v>
      </c>
      <c r="M67" s="28" t="n">
        <v>0</v>
      </c>
      <c r="N67" s="28" t="n">
        <v>0</v>
      </c>
      <c r="O67" s="28" t="n">
        <v>0</v>
      </c>
      <c r="P67" s="28" t="n">
        <v>0</v>
      </c>
      <c r="Q67" s="28" t="n">
        <v>0</v>
      </c>
      <c r="R67" s="28" t="n">
        <v>0</v>
      </c>
      <c r="S67" s="28" t="n">
        <v>0</v>
      </c>
      <c r="T67" s="28" t="n">
        <v>0</v>
      </c>
      <c r="U67" s="28" t="n">
        <v>0</v>
      </c>
      <c r="V67" s="28" t="n">
        <v>0</v>
      </c>
      <c r="W67" s="28" t="n">
        <v>0</v>
      </c>
      <c r="X67" s="28" t="n">
        <v>0</v>
      </c>
      <c r="Y67" s="28" t="n">
        <v>0</v>
      </c>
      <c r="Z67" s="28" t="n">
        <v>0</v>
      </c>
      <c r="AA67" s="28" t="n">
        <v>0</v>
      </c>
      <c r="AB67" s="28" t="n">
        <v>0</v>
      </c>
      <c r="AC67" s="28" t="n">
        <v>0</v>
      </c>
      <c r="AD67" s="28" t="n">
        <v>0</v>
      </c>
      <c r="AE67" s="28" t="n">
        <v>0</v>
      </c>
      <c r="AF67" s="28" t="n">
        <v>0</v>
      </c>
      <c r="AG67" s="28" t="n">
        <v>0</v>
      </c>
      <c r="AH67" s="28" t="n">
        <v>0</v>
      </c>
      <c r="AI67" s="28" t="n">
        <v>0</v>
      </c>
      <c r="AJ67" s="28" t="n">
        <v>0</v>
      </c>
      <c r="AK67" s="28" t="n">
        <v>0</v>
      </c>
      <c r="AL67" s="28" t="n">
        <v>0</v>
      </c>
      <c r="AM67" s="28" t="n">
        <v>0</v>
      </c>
      <c r="AN67" s="28" t="n">
        <v>0</v>
      </c>
      <c r="AO67" s="28" t="n">
        <v>0</v>
      </c>
      <c r="AP67" s="28" t="n">
        <v>0</v>
      </c>
      <c r="AQ67" s="28" t="n">
        <v>0</v>
      </c>
      <c r="AR67" s="28" t="n">
        <v>0</v>
      </c>
      <c r="AS67" s="28" t="n">
        <v>0</v>
      </c>
      <c r="AT67" s="28" t="n">
        <v>0</v>
      </c>
      <c r="AU67" s="28" t="n">
        <v>0</v>
      </c>
      <c r="AV67" s="28" t="n">
        <v>0</v>
      </c>
      <c r="AW67" s="28" t="n">
        <v>0</v>
      </c>
      <c r="AX67" s="28" t="n">
        <v>0</v>
      </c>
      <c r="AY67" s="28" t="n">
        <v>0</v>
      </c>
      <c r="AZ67" s="28" t="n">
        <v>0</v>
      </c>
      <c r="BA67" s="28" t="n">
        <v>0</v>
      </c>
      <c r="BB67" s="28" t="n">
        <v>0</v>
      </c>
      <c r="BC67" s="28" t="n">
        <v>0</v>
      </c>
      <c r="BD67" s="28" t="n">
        <v>0</v>
      </c>
      <c r="BE67" s="28" t="n">
        <v>0</v>
      </c>
      <c r="BF67" s="28" t="n">
        <v>0</v>
      </c>
      <c r="BG67" s="28" t="n">
        <v>0</v>
      </c>
      <c r="BH67" s="28" t="n">
        <v>0</v>
      </c>
      <c r="BI67" s="28" t="n">
        <v>0</v>
      </c>
      <c r="BJ67" s="28" t="n">
        <v>0</v>
      </c>
      <c r="BK67" s="28" t="n">
        <v>0</v>
      </c>
      <c r="BL67" s="28" t="n">
        <v>0</v>
      </c>
      <c r="BM67" s="28" t="n">
        <v>0</v>
      </c>
      <c r="BN67" s="28" t="n">
        <v>0</v>
      </c>
      <c r="BO67" s="28" t="n">
        <v>0</v>
      </c>
      <c r="BP67" s="28" t="n">
        <v>0</v>
      </c>
      <c r="BQ67" s="28" t="n">
        <v>0</v>
      </c>
      <c r="BR67" s="28" t="n">
        <v>0</v>
      </c>
      <c r="BS67" s="28" t="n">
        <v>0</v>
      </c>
      <c r="BT67" s="28" t="n">
        <v>0</v>
      </c>
      <c r="BU67" s="28" t="n">
        <v>0</v>
      </c>
      <c r="BV67" s="28" t="n">
        <v>0</v>
      </c>
      <c r="BW67" s="28" t="n">
        <v>0</v>
      </c>
      <c r="BX67" s="28" t="n">
        <v>0</v>
      </c>
      <c r="BY67" s="28" t="n">
        <v>0</v>
      </c>
      <c r="BZ67" s="28" t="n">
        <v>0</v>
      </c>
      <c r="CA67" s="28" t="n">
        <v>0</v>
      </c>
      <c r="CB67" s="28" t="n">
        <v>0</v>
      </c>
      <c r="CC67" s="28" t="n">
        <v>0</v>
      </c>
      <c r="CD67" s="28" t="n">
        <v>0</v>
      </c>
      <c r="CE67" s="28" t="n">
        <v>0</v>
      </c>
      <c r="CF67" s="28" t="n">
        <v>0</v>
      </c>
      <c r="CG67" s="28" t="n">
        <v>0</v>
      </c>
      <c r="CH67" s="28" t="n">
        <v>0</v>
      </c>
      <c r="CI67" s="28" t="n">
        <v>0</v>
      </c>
      <c r="CJ67" s="28" t="n">
        <v>0</v>
      </c>
      <c r="CK67" s="28" t="n">
        <v>0</v>
      </c>
      <c r="CL67" s="28" t="n">
        <v>0</v>
      </c>
      <c r="CM67" s="28" t="n">
        <v>0</v>
      </c>
      <c r="CN67" s="28" t="n">
        <v>0</v>
      </c>
      <c r="CO67" s="28" t="n">
        <v>0</v>
      </c>
      <c r="CP67" s="28" t="n">
        <v>0</v>
      </c>
      <c r="CQ67" s="28" t="n">
        <v>0</v>
      </c>
      <c r="CR67" s="28" t="n">
        <v>0</v>
      </c>
      <c r="CS67" s="28" t="n">
        <v>0</v>
      </c>
      <c r="CT67" s="28" t="n">
        <v>0</v>
      </c>
      <c r="CU67" s="28" t="n">
        <v>0</v>
      </c>
      <c r="CV67" s="28" t="n">
        <v>0</v>
      </c>
      <c r="CW67" s="28" t="n">
        <v>0</v>
      </c>
      <c r="CX67" s="28" t="n">
        <v>0</v>
      </c>
      <c r="CY67" s="28" t="n">
        <v>0</v>
      </c>
      <c r="CZ67" s="28" t="n">
        <v>0</v>
      </c>
      <c r="DA67" s="28" t="n">
        <v>0</v>
      </c>
    </row>
    <row r="68">
      <c r="A68" t="inlineStr">
        <is>
          <t>TPP-1367</t>
        </is>
      </c>
      <c r="B68" s="28" t="n">
        <v>0</v>
      </c>
      <c r="C68" s="28" t="n">
        <v>0</v>
      </c>
      <c r="D68" s="28" t="n">
        <v>0</v>
      </c>
      <c r="E68" s="28" t="n">
        <v>0</v>
      </c>
      <c r="F68" s="28" t="n">
        <v>0</v>
      </c>
      <c r="G68" s="28" t="n">
        <v>0</v>
      </c>
      <c r="H68" s="28" t="n">
        <v>0</v>
      </c>
      <c r="I68" s="28" t="n">
        <v>0</v>
      </c>
      <c r="J68" s="28" t="n">
        <v>0</v>
      </c>
      <c r="K68" s="28" t="n">
        <v>0</v>
      </c>
      <c r="L68" s="28" t="n">
        <v>0</v>
      </c>
      <c r="M68" s="28" t="n">
        <v>0</v>
      </c>
      <c r="N68" s="28" t="n">
        <v>0</v>
      </c>
      <c r="O68" s="28" t="n">
        <v>0</v>
      </c>
      <c r="P68" s="28" t="n">
        <v>0</v>
      </c>
      <c r="Q68" s="28" t="n">
        <v>0</v>
      </c>
      <c r="R68" s="28" t="n">
        <v>0</v>
      </c>
      <c r="S68" s="28" t="n">
        <v>0</v>
      </c>
      <c r="T68" s="28" t="n">
        <v>0</v>
      </c>
      <c r="U68" s="28" t="n">
        <v>0</v>
      </c>
      <c r="V68" s="28" t="n">
        <v>0</v>
      </c>
      <c r="W68" s="28" t="n">
        <v>0</v>
      </c>
      <c r="X68" s="28" t="n">
        <v>0</v>
      </c>
      <c r="Y68" s="28" t="n">
        <v>0</v>
      </c>
      <c r="Z68" s="28" t="n">
        <v>0</v>
      </c>
      <c r="AA68" s="28" t="n">
        <v>0</v>
      </c>
      <c r="AB68" s="28" t="n">
        <v>0</v>
      </c>
      <c r="AC68" s="28" t="n">
        <v>0</v>
      </c>
      <c r="AD68" s="28" t="n">
        <v>0</v>
      </c>
      <c r="AE68" s="28" t="n">
        <v>0</v>
      </c>
      <c r="AF68" s="28" t="n">
        <v>0</v>
      </c>
      <c r="AG68" s="28" t="n">
        <v>0</v>
      </c>
      <c r="AH68" s="28" t="n">
        <v>0</v>
      </c>
      <c r="AI68" s="28" t="n">
        <v>0</v>
      </c>
      <c r="AJ68" s="28" t="n">
        <v>0</v>
      </c>
      <c r="AK68" s="28" t="n">
        <v>0</v>
      </c>
      <c r="AL68" s="28" t="n">
        <v>0</v>
      </c>
      <c r="AM68" s="28" t="n">
        <v>0</v>
      </c>
      <c r="AN68" s="28" t="n">
        <v>0</v>
      </c>
      <c r="AO68" s="28" t="n">
        <v>0</v>
      </c>
      <c r="AP68" s="28" t="n">
        <v>0</v>
      </c>
      <c r="AQ68" s="28" t="n">
        <v>0</v>
      </c>
      <c r="AR68" s="28" t="n">
        <v>0</v>
      </c>
      <c r="AS68" s="28" t="n">
        <v>0</v>
      </c>
      <c r="AT68" s="28" t="n">
        <v>0</v>
      </c>
      <c r="AU68" s="28" t="n">
        <v>0</v>
      </c>
      <c r="AV68" s="28" t="n">
        <v>0</v>
      </c>
      <c r="AW68" s="28" t="n">
        <v>0</v>
      </c>
      <c r="AX68" s="28" t="n">
        <v>0</v>
      </c>
      <c r="AY68" s="28" t="n">
        <v>0</v>
      </c>
      <c r="AZ68" s="28" t="n">
        <v>0</v>
      </c>
      <c r="BA68" s="28" t="n">
        <v>0</v>
      </c>
      <c r="BB68" s="28" t="n">
        <v>0</v>
      </c>
      <c r="BC68" s="28" t="n">
        <v>0</v>
      </c>
      <c r="BD68" s="28" t="n">
        <v>0</v>
      </c>
      <c r="BE68" s="28" t="n">
        <v>0</v>
      </c>
      <c r="BF68" s="28" t="n">
        <v>0</v>
      </c>
      <c r="BG68" s="28" t="n">
        <v>0</v>
      </c>
      <c r="BH68" s="28" t="n">
        <v>0</v>
      </c>
      <c r="BI68" s="28" t="n">
        <v>0</v>
      </c>
      <c r="BJ68" s="28" t="n">
        <v>0</v>
      </c>
      <c r="BK68" s="28" t="n">
        <v>0</v>
      </c>
      <c r="BL68" s="28" t="n">
        <v>0</v>
      </c>
      <c r="BM68" s="28" t="n">
        <v>0</v>
      </c>
      <c r="BN68" s="28" t="n">
        <v>0</v>
      </c>
      <c r="BO68" s="28" t="n">
        <v>0</v>
      </c>
      <c r="BP68" s="28" t="n">
        <v>0</v>
      </c>
      <c r="BQ68" s="28" t="n">
        <v>0</v>
      </c>
      <c r="BR68" s="28" t="n">
        <v>0</v>
      </c>
      <c r="BS68" s="28" t="n">
        <v>0</v>
      </c>
      <c r="BT68" s="28" t="n">
        <v>0</v>
      </c>
      <c r="BU68" s="28" t="n">
        <v>0</v>
      </c>
      <c r="BV68" s="28" t="n">
        <v>0</v>
      </c>
      <c r="BW68" s="28" t="n">
        <v>0</v>
      </c>
      <c r="BX68" s="28" t="n">
        <v>0</v>
      </c>
      <c r="BY68" s="28" t="n">
        <v>0</v>
      </c>
      <c r="BZ68" s="28" t="n">
        <v>0</v>
      </c>
      <c r="CA68" s="28" t="n">
        <v>0</v>
      </c>
      <c r="CB68" s="28" t="n">
        <v>0</v>
      </c>
      <c r="CC68" s="28" t="n">
        <v>0</v>
      </c>
      <c r="CD68" s="28" t="n">
        <v>0</v>
      </c>
      <c r="CE68" s="28" t="n">
        <v>0</v>
      </c>
      <c r="CF68" s="28" t="n">
        <v>0</v>
      </c>
      <c r="CG68" s="28" t="n">
        <v>0</v>
      </c>
      <c r="CH68" s="28" t="n">
        <v>0</v>
      </c>
      <c r="CI68" s="28" t="n">
        <v>0</v>
      </c>
      <c r="CJ68" s="28" t="n">
        <v>0</v>
      </c>
      <c r="CK68" s="28" t="n">
        <v>0</v>
      </c>
      <c r="CL68" s="28" t="n">
        <v>0</v>
      </c>
      <c r="CM68" s="28" t="n">
        <v>0</v>
      </c>
      <c r="CN68" s="28" t="n">
        <v>0</v>
      </c>
      <c r="CO68" s="28" t="n">
        <v>0</v>
      </c>
      <c r="CP68" s="28" t="n">
        <v>0</v>
      </c>
      <c r="CQ68" s="28" t="n">
        <v>0</v>
      </c>
      <c r="CR68" s="28" t="n">
        <v>0</v>
      </c>
      <c r="CS68" s="28" t="n">
        <v>0</v>
      </c>
      <c r="CT68" s="28" t="n">
        <v>0</v>
      </c>
      <c r="CU68" s="28" t="n">
        <v>0</v>
      </c>
      <c r="CV68" s="28" t="n">
        <v>0</v>
      </c>
      <c r="CW68" s="28" t="n">
        <v>0</v>
      </c>
      <c r="CX68" s="28" t="n">
        <v>0</v>
      </c>
      <c r="CY68" s="28" t="n">
        <v>0</v>
      </c>
      <c r="CZ68" s="28" t="n">
        <v>0</v>
      </c>
      <c r="DA68" s="28" t="n">
        <v>0</v>
      </c>
    </row>
    <row r="69">
      <c r="A69" t="inlineStr">
        <is>
          <t>TPP-1368</t>
        </is>
      </c>
      <c r="B69" s="28" t="n">
        <v>0</v>
      </c>
      <c r="C69" s="28" t="n">
        <v>0</v>
      </c>
      <c r="D69" s="28" t="n">
        <v>0</v>
      </c>
      <c r="E69" s="28" t="n">
        <v>0</v>
      </c>
      <c r="F69" s="28" t="n">
        <v>0</v>
      </c>
      <c r="G69" s="28" t="n">
        <v>0</v>
      </c>
      <c r="H69" s="28" t="n">
        <v>0</v>
      </c>
      <c r="I69" s="28" t="n">
        <v>0</v>
      </c>
      <c r="J69" s="28" t="n">
        <v>0</v>
      </c>
      <c r="K69" s="28" t="n">
        <v>0</v>
      </c>
      <c r="L69" s="28" t="n">
        <v>0</v>
      </c>
      <c r="M69" s="28" t="n">
        <v>0</v>
      </c>
      <c r="N69" s="28" t="n">
        <v>0</v>
      </c>
      <c r="O69" s="28" t="n">
        <v>0</v>
      </c>
      <c r="P69" s="28" t="n">
        <v>0</v>
      </c>
      <c r="Q69" s="28" t="n">
        <v>0</v>
      </c>
      <c r="R69" s="28" t="n">
        <v>0</v>
      </c>
      <c r="S69" s="28" t="n">
        <v>0</v>
      </c>
      <c r="T69" s="28" t="n">
        <v>0</v>
      </c>
      <c r="U69" s="28" t="n">
        <v>0</v>
      </c>
      <c r="V69" s="28" t="n">
        <v>0</v>
      </c>
      <c r="W69" s="28" t="n">
        <v>0</v>
      </c>
      <c r="X69" s="28" t="n">
        <v>0</v>
      </c>
      <c r="Y69" s="28" t="n">
        <v>0</v>
      </c>
      <c r="Z69" s="28" t="n">
        <v>0</v>
      </c>
      <c r="AA69" s="28" t="n">
        <v>0</v>
      </c>
      <c r="AB69" s="28" t="n">
        <v>0</v>
      </c>
      <c r="AC69" s="28" t="n">
        <v>0</v>
      </c>
      <c r="AD69" s="28" t="n">
        <v>0</v>
      </c>
      <c r="AE69" s="28" t="n">
        <v>0</v>
      </c>
      <c r="AF69" s="28" t="n">
        <v>0</v>
      </c>
      <c r="AG69" s="28" t="n">
        <v>0</v>
      </c>
      <c r="AH69" s="28" t="n">
        <v>0</v>
      </c>
      <c r="AI69" s="28" t="n">
        <v>0</v>
      </c>
      <c r="AJ69" s="28" t="n">
        <v>0</v>
      </c>
      <c r="AK69" s="28" t="n">
        <v>0</v>
      </c>
      <c r="AL69" s="28" t="n">
        <v>0</v>
      </c>
      <c r="AM69" s="28" t="n">
        <v>0</v>
      </c>
      <c r="AN69" s="28" t="n">
        <v>0</v>
      </c>
      <c r="AO69" s="28" t="n">
        <v>0</v>
      </c>
      <c r="AP69" s="28" t="n">
        <v>0</v>
      </c>
      <c r="AQ69" s="28" t="n">
        <v>0</v>
      </c>
      <c r="AR69" s="28" t="n">
        <v>0</v>
      </c>
      <c r="AS69" s="28" t="n">
        <v>0</v>
      </c>
      <c r="AT69" s="28" t="n">
        <v>0</v>
      </c>
      <c r="AU69" s="28" t="n">
        <v>0</v>
      </c>
      <c r="AV69" s="28" t="n">
        <v>0</v>
      </c>
      <c r="AW69" s="28" t="n">
        <v>0</v>
      </c>
      <c r="AX69" s="28" t="n">
        <v>0</v>
      </c>
      <c r="AY69" s="28" t="n">
        <v>0</v>
      </c>
      <c r="AZ69" s="28" t="n">
        <v>0</v>
      </c>
      <c r="BA69" s="28" t="n">
        <v>0</v>
      </c>
      <c r="BB69" s="28" t="n">
        <v>0</v>
      </c>
      <c r="BC69" s="28" t="n">
        <v>0</v>
      </c>
      <c r="BD69" s="28" t="n">
        <v>0</v>
      </c>
      <c r="BE69" s="28" t="n">
        <v>0</v>
      </c>
      <c r="BF69" s="28" t="n">
        <v>0</v>
      </c>
      <c r="BG69" s="28" t="n">
        <v>0</v>
      </c>
      <c r="BH69" s="28" t="n">
        <v>0</v>
      </c>
      <c r="BI69" s="28" t="n">
        <v>0</v>
      </c>
      <c r="BJ69" s="28" t="n">
        <v>0</v>
      </c>
      <c r="BK69" s="28" t="n">
        <v>0</v>
      </c>
      <c r="BL69" s="28" t="n">
        <v>0</v>
      </c>
      <c r="BM69" s="28" t="n">
        <v>0</v>
      </c>
      <c r="BN69" s="28" t="n">
        <v>0</v>
      </c>
      <c r="BO69" s="28" t="n">
        <v>0</v>
      </c>
      <c r="BP69" s="28" t="n">
        <v>0</v>
      </c>
      <c r="BQ69" s="28" t="n">
        <v>0</v>
      </c>
      <c r="BR69" s="28" t="n">
        <v>0</v>
      </c>
      <c r="BS69" s="28" t="n">
        <v>0</v>
      </c>
      <c r="BT69" s="28" t="n">
        <v>0</v>
      </c>
      <c r="BU69" s="28" t="n">
        <v>0</v>
      </c>
      <c r="BV69" s="28" t="n">
        <v>0</v>
      </c>
      <c r="BW69" s="28" t="n">
        <v>0</v>
      </c>
      <c r="BX69" s="28" t="n">
        <v>0</v>
      </c>
      <c r="BY69" s="28" t="n">
        <v>0</v>
      </c>
      <c r="BZ69" s="28" t="n">
        <v>0</v>
      </c>
      <c r="CA69" s="28" t="n">
        <v>0</v>
      </c>
      <c r="CB69" s="28" t="n">
        <v>0</v>
      </c>
      <c r="CC69" s="28" t="n">
        <v>0</v>
      </c>
      <c r="CD69" s="28" t="n">
        <v>0</v>
      </c>
      <c r="CE69" s="28" t="n">
        <v>0</v>
      </c>
      <c r="CF69" s="28" t="n">
        <v>0</v>
      </c>
      <c r="CG69" s="28" t="n">
        <v>0</v>
      </c>
      <c r="CH69" s="28" t="n">
        <v>0</v>
      </c>
      <c r="CI69" s="28" t="n">
        <v>0</v>
      </c>
      <c r="CJ69" s="28" t="n">
        <v>0</v>
      </c>
      <c r="CK69" s="28" t="n">
        <v>0</v>
      </c>
      <c r="CL69" s="28" t="n">
        <v>0</v>
      </c>
      <c r="CM69" s="28" t="n">
        <v>0</v>
      </c>
      <c r="CN69" s="28" t="n">
        <v>0</v>
      </c>
      <c r="CO69" s="28" t="n">
        <v>0</v>
      </c>
      <c r="CP69" s="28" t="n">
        <v>0</v>
      </c>
      <c r="CQ69" s="28" t="n">
        <v>0</v>
      </c>
      <c r="CR69" s="28" t="n">
        <v>0</v>
      </c>
      <c r="CS69" s="28" t="n">
        <v>0</v>
      </c>
      <c r="CT69" s="28" t="n">
        <v>0</v>
      </c>
      <c r="CU69" s="28" t="n">
        <v>0</v>
      </c>
      <c r="CV69" s="28" t="n">
        <v>0</v>
      </c>
      <c r="CW69" s="28" t="n">
        <v>0</v>
      </c>
      <c r="CX69" s="28" t="n">
        <v>0</v>
      </c>
      <c r="CY69" s="28" t="n">
        <v>0</v>
      </c>
      <c r="CZ69" s="28" t="n">
        <v>0</v>
      </c>
      <c r="DA69" s="28" t="n">
        <v>0</v>
      </c>
    </row>
    <row r="70">
      <c r="A70" t="inlineStr">
        <is>
          <t>TPP-1369</t>
        </is>
      </c>
      <c r="B70" s="28" t="n">
        <v>0</v>
      </c>
      <c r="C70" s="28" t="n">
        <v>0</v>
      </c>
      <c r="D70" s="28" t="n">
        <v>0</v>
      </c>
      <c r="E70" s="28" t="n">
        <v>0</v>
      </c>
      <c r="F70" s="28" t="n">
        <v>0</v>
      </c>
      <c r="G70" s="28" t="n">
        <v>0</v>
      </c>
      <c r="H70" s="28" t="n">
        <v>0</v>
      </c>
      <c r="I70" s="28" t="n">
        <v>0</v>
      </c>
      <c r="J70" s="28" t="n">
        <v>0</v>
      </c>
      <c r="K70" s="28" t="n">
        <v>0</v>
      </c>
      <c r="L70" s="28" t="n">
        <v>0</v>
      </c>
      <c r="M70" s="28" t="n">
        <v>0</v>
      </c>
      <c r="N70" s="28" t="n">
        <v>0</v>
      </c>
      <c r="O70" s="28" t="n">
        <v>0</v>
      </c>
      <c r="P70" s="28" t="n">
        <v>0</v>
      </c>
      <c r="Q70" s="28" t="n">
        <v>0</v>
      </c>
      <c r="R70" s="28" t="n">
        <v>0</v>
      </c>
      <c r="S70" s="28" t="n">
        <v>0</v>
      </c>
      <c r="T70" s="28" t="n">
        <v>0</v>
      </c>
      <c r="U70" s="28" t="n">
        <v>0</v>
      </c>
      <c r="V70" s="28" t="n">
        <v>0</v>
      </c>
      <c r="W70" s="28" t="n">
        <v>0</v>
      </c>
      <c r="X70" s="28" t="n">
        <v>0</v>
      </c>
      <c r="Y70" s="28" t="n">
        <v>0</v>
      </c>
      <c r="Z70" s="28" t="n">
        <v>0</v>
      </c>
      <c r="AA70" s="28" t="n">
        <v>0</v>
      </c>
      <c r="AB70" s="28" t="n">
        <v>0</v>
      </c>
      <c r="AC70" s="28" t="n">
        <v>0</v>
      </c>
      <c r="AD70" s="28" t="n">
        <v>0</v>
      </c>
      <c r="AE70" s="28" t="n">
        <v>0</v>
      </c>
      <c r="AF70" s="28" t="n">
        <v>0</v>
      </c>
      <c r="AG70" s="28" t="n">
        <v>0</v>
      </c>
      <c r="AH70" s="28" t="n">
        <v>0</v>
      </c>
      <c r="AI70" s="28" t="n">
        <v>0</v>
      </c>
      <c r="AJ70" s="28" t="n">
        <v>0</v>
      </c>
      <c r="AK70" s="28" t="n">
        <v>0</v>
      </c>
      <c r="AL70" s="28" t="n">
        <v>0</v>
      </c>
      <c r="AM70" s="28" t="n">
        <v>0</v>
      </c>
      <c r="AN70" s="28" t="n">
        <v>0</v>
      </c>
      <c r="AO70" s="28" t="n">
        <v>0</v>
      </c>
      <c r="AP70" s="28" t="n">
        <v>0</v>
      </c>
      <c r="AQ70" s="28" t="n">
        <v>0</v>
      </c>
      <c r="AR70" s="28" t="n">
        <v>0</v>
      </c>
      <c r="AS70" s="28" t="n">
        <v>0</v>
      </c>
      <c r="AT70" s="28" t="n">
        <v>0</v>
      </c>
      <c r="AU70" s="28" t="n">
        <v>0</v>
      </c>
      <c r="AV70" s="28" t="n">
        <v>0</v>
      </c>
      <c r="AW70" s="28" t="n">
        <v>0</v>
      </c>
      <c r="AX70" s="28" t="n">
        <v>0</v>
      </c>
      <c r="AY70" s="28" t="n">
        <v>0</v>
      </c>
      <c r="AZ70" s="28" t="n">
        <v>0</v>
      </c>
      <c r="BA70" s="28" t="n">
        <v>0</v>
      </c>
      <c r="BB70" s="28" t="n">
        <v>0</v>
      </c>
      <c r="BC70" s="28" t="n">
        <v>0</v>
      </c>
      <c r="BD70" s="28" t="n">
        <v>0</v>
      </c>
      <c r="BE70" s="28" t="n">
        <v>0</v>
      </c>
      <c r="BF70" s="28" t="n">
        <v>0</v>
      </c>
      <c r="BG70" s="28" t="n">
        <v>0</v>
      </c>
      <c r="BH70" s="28" t="n">
        <v>0</v>
      </c>
      <c r="BI70" s="28" t="n">
        <v>0</v>
      </c>
      <c r="BJ70" s="28" t="n">
        <v>0</v>
      </c>
      <c r="BK70" s="28" t="n">
        <v>0</v>
      </c>
      <c r="BL70" s="28" t="n">
        <v>0</v>
      </c>
      <c r="BM70" s="28" t="n">
        <v>0</v>
      </c>
      <c r="BN70" s="28" t="n">
        <v>0</v>
      </c>
      <c r="BO70" s="28" t="n">
        <v>0</v>
      </c>
      <c r="BP70" s="28" t="n">
        <v>0</v>
      </c>
      <c r="BQ70" s="28" t="n">
        <v>0</v>
      </c>
      <c r="BR70" s="28" t="n">
        <v>0</v>
      </c>
      <c r="BS70" s="28" t="n">
        <v>0</v>
      </c>
      <c r="BT70" s="28" t="n">
        <v>0</v>
      </c>
      <c r="BU70" s="28" t="n">
        <v>0</v>
      </c>
      <c r="BV70" s="28" t="n">
        <v>0</v>
      </c>
      <c r="BW70" s="28" t="n">
        <v>0</v>
      </c>
      <c r="BX70" s="28" t="n">
        <v>0</v>
      </c>
      <c r="BY70" s="28" t="n">
        <v>0</v>
      </c>
      <c r="BZ70" s="28" t="n">
        <v>0</v>
      </c>
      <c r="CA70" s="28" t="n">
        <v>0</v>
      </c>
      <c r="CB70" s="28" t="n">
        <v>0</v>
      </c>
      <c r="CC70" s="28" t="n">
        <v>0</v>
      </c>
      <c r="CD70" s="28" t="n">
        <v>0</v>
      </c>
      <c r="CE70" s="28" t="n">
        <v>0</v>
      </c>
      <c r="CF70" s="28" t="n">
        <v>0</v>
      </c>
      <c r="CG70" s="28" t="n">
        <v>0</v>
      </c>
      <c r="CH70" s="28" t="n">
        <v>0</v>
      </c>
      <c r="CI70" s="28" t="n">
        <v>0</v>
      </c>
      <c r="CJ70" s="28" t="n">
        <v>0</v>
      </c>
      <c r="CK70" s="28" t="n">
        <v>0</v>
      </c>
      <c r="CL70" s="28" t="n">
        <v>0</v>
      </c>
      <c r="CM70" s="28" t="n">
        <v>0</v>
      </c>
      <c r="CN70" s="28" t="n">
        <v>0</v>
      </c>
      <c r="CO70" s="28" t="n">
        <v>0</v>
      </c>
      <c r="CP70" s="28" t="n">
        <v>0</v>
      </c>
      <c r="CQ70" s="28" t="n">
        <v>0</v>
      </c>
      <c r="CR70" s="28" t="n">
        <v>0</v>
      </c>
      <c r="CS70" s="28" t="n">
        <v>0</v>
      </c>
      <c r="CT70" s="28" t="n">
        <v>0</v>
      </c>
      <c r="CU70" s="28" t="n">
        <v>0</v>
      </c>
      <c r="CV70" s="28" t="n">
        <v>0</v>
      </c>
      <c r="CW70" s="28" t="n">
        <v>0</v>
      </c>
      <c r="CX70" s="28" t="n">
        <v>0</v>
      </c>
      <c r="CY70" s="28" t="n">
        <v>0</v>
      </c>
      <c r="CZ70" s="28" t="n">
        <v>0</v>
      </c>
      <c r="DA70" s="28" t="n">
        <v>0</v>
      </c>
    </row>
    <row r="71">
      <c r="A71" t="inlineStr">
        <is>
          <t>TPP-1378</t>
        </is>
      </c>
      <c r="B71" s="28" t="n">
        <v>0</v>
      </c>
      <c r="C71" s="28" t="n">
        <v>0</v>
      </c>
      <c r="D71" s="28" t="n">
        <v>0</v>
      </c>
      <c r="E71" s="28" t="n">
        <v>0</v>
      </c>
      <c r="F71" s="28" t="n">
        <v>0</v>
      </c>
      <c r="G71" s="28" t="n">
        <v>0</v>
      </c>
      <c r="H71" s="28" t="n">
        <v>0</v>
      </c>
      <c r="I71" s="28" t="n">
        <v>0</v>
      </c>
      <c r="J71" s="28" t="n">
        <v>0</v>
      </c>
      <c r="K71" s="28" t="n">
        <v>0</v>
      </c>
      <c r="L71" s="28" t="n">
        <v>0</v>
      </c>
      <c r="M71" s="28" t="n">
        <v>0</v>
      </c>
      <c r="N71" s="28" t="n">
        <v>0</v>
      </c>
      <c r="O71" s="28" t="n">
        <v>0</v>
      </c>
      <c r="P71" s="28" t="n">
        <v>0</v>
      </c>
      <c r="Q71" s="28" t="n">
        <v>0</v>
      </c>
      <c r="R71" s="28" t="n">
        <v>0</v>
      </c>
      <c r="S71" s="28" t="n">
        <v>0</v>
      </c>
      <c r="T71" s="28" t="n">
        <v>0</v>
      </c>
      <c r="U71" s="28" t="n">
        <v>0</v>
      </c>
      <c r="V71" s="28" t="n">
        <v>0</v>
      </c>
      <c r="W71" s="28" t="n">
        <v>0</v>
      </c>
      <c r="X71" s="28" t="n">
        <v>0</v>
      </c>
      <c r="Y71" s="28" t="n">
        <v>0</v>
      </c>
      <c r="Z71" s="28" t="n">
        <v>0</v>
      </c>
      <c r="AA71" s="28" t="n">
        <v>0</v>
      </c>
      <c r="AB71" s="28" t="n">
        <v>0</v>
      </c>
      <c r="AC71" s="28" t="n">
        <v>0</v>
      </c>
      <c r="AD71" s="28" t="n">
        <v>0</v>
      </c>
      <c r="AE71" s="28" t="n">
        <v>0</v>
      </c>
      <c r="AF71" s="28" t="n">
        <v>0</v>
      </c>
      <c r="AG71" s="28" t="n">
        <v>0</v>
      </c>
      <c r="AH71" s="28" t="n">
        <v>0</v>
      </c>
      <c r="AI71" s="28" t="n">
        <v>0</v>
      </c>
      <c r="AJ71" s="28" t="n">
        <v>0</v>
      </c>
      <c r="AK71" s="28" t="n">
        <v>0</v>
      </c>
      <c r="AL71" s="28" t="n">
        <v>0</v>
      </c>
      <c r="AM71" s="28" t="n">
        <v>0</v>
      </c>
      <c r="AN71" s="28" t="n">
        <v>0</v>
      </c>
      <c r="AO71" s="28" t="n">
        <v>0</v>
      </c>
      <c r="AP71" s="28" t="n">
        <v>0</v>
      </c>
      <c r="AQ71" s="28" t="n">
        <v>0</v>
      </c>
      <c r="AR71" s="28" t="n">
        <v>0</v>
      </c>
      <c r="AS71" s="28" t="n">
        <v>0</v>
      </c>
      <c r="AT71" s="28" t="n">
        <v>0</v>
      </c>
      <c r="AU71" s="28" t="n">
        <v>0</v>
      </c>
      <c r="AV71" s="28" t="n">
        <v>0</v>
      </c>
      <c r="AW71" s="28" t="n">
        <v>0</v>
      </c>
      <c r="AX71" s="28" t="n">
        <v>0</v>
      </c>
      <c r="AY71" s="28" t="n">
        <v>0</v>
      </c>
      <c r="AZ71" s="28" t="n">
        <v>0</v>
      </c>
      <c r="BA71" s="28" t="n">
        <v>0</v>
      </c>
      <c r="BB71" s="28" t="n">
        <v>0</v>
      </c>
      <c r="BC71" s="28" t="n">
        <v>0</v>
      </c>
      <c r="BD71" s="28" t="n">
        <v>0</v>
      </c>
      <c r="BE71" s="28" t="n">
        <v>0</v>
      </c>
      <c r="BF71" s="28" t="n">
        <v>0</v>
      </c>
      <c r="BG71" s="28" t="n">
        <v>0</v>
      </c>
      <c r="BH71" s="28" t="n">
        <v>0</v>
      </c>
      <c r="BI71" s="28" t="n">
        <v>0</v>
      </c>
      <c r="BJ71" s="28" t="n">
        <v>0</v>
      </c>
      <c r="BK71" s="28" t="n">
        <v>0</v>
      </c>
      <c r="BL71" s="28" t="n">
        <v>0</v>
      </c>
      <c r="BM71" s="28" t="n">
        <v>0</v>
      </c>
      <c r="BN71" s="28" t="n">
        <v>0</v>
      </c>
      <c r="BO71" s="28" t="n">
        <v>0</v>
      </c>
      <c r="BP71" s="28" t="n">
        <v>0</v>
      </c>
      <c r="BQ71" s="28" t="n">
        <v>0</v>
      </c>
      <c r="BR71" s="28" t="n">
        <v>0</v>
      </c>
      <c r="BS71" s="28" t="n">
        <v>0</v>
      </c>
      <c r="BT71" s="28" t="n">
        <v>0</v>
      </c>
      <c r="BU71" s="28" t="n">
        <v>0</v>
      </c>
      <c r="BV71" s="28" t="n">
        <v>0</v>
      </c>
      <c r="BW71" s="28" t="n">
        <v>0</v>
      </c>
      <c r="BX71" s="28" t="n">
        <v>0</v>
      </c>
      <c r="BY71" s="28" t="n">
        <v>0</v>
      </c>
      <c r="BZ71" s="28" t="n">
        <v>0</v>
      </c>
      <c r="CA71" s="28" t="n">
        <v>0</v>
      </c>
      <c r="CB71" s="28" t="n">
        <v>0</v>
      </c>
      <c r="CC71" s="28" t="n">
        <v>0</v>
      </c>
      <c r="CD71" s="28" t="n">
        <v>0</v>
      </c>
      <c r="CE71" s="28" t="n">
        <v>0</v>
      </c>
      <c r="CF71" s="28" t="n">
        <v>0</v>
      </c>
      <c r="CG71" s="28" t="n">
        <v>0</v>
      </c>
      <c r="CH71" s="28" t="n">
        <v>0</v>
      </c>
      <c r="CI71" s="28" t="n">
        <v>0</v>
      </c>
      <c r="CJ71" s="28" t="n">
        <v>0</v>
      </c>
      <c r="CK71" s="28" t="n">
        <v>0</v>
      </c>
      <c r="CL71" s="28" t="n">
        <v>0</v>
      </c>
      <c r="CM71" s="28" t="n">
        <v>0</v>
      </c>
      <c r="CN71" s="28" t="n">
        <v>0</v>
      </c>
      <c r="CO71" s="28" t="n">
        <v>0</v>
      </c>
      <c r="CP71" s="28" t="n">
        <v>0</v>
      </c>
      <c r="CQ71" s="28" t="n">
        <v>0</v>
      </c>
      <c r="CR71" s="28" t="n">
        <v>0</v>
      </c>
      <c r="CS71" s="28" t="n">
        <v>0</v>
      </c>
      <c r="CT71" s="28" t="n">
        <v>0</v>
      </c>
      <c r="CU71" s="28" t="n">
        <v>0</v>
      </c>
      <c r="CV71" s="28" t="n">
        <v>0</v>
      </c>
      <c r="CW71" s="28" t="n">
        <v>0</v>
      </c>
      <c r="CX71" s="28" t="n">
        <v>0</v>
      </c>
      <c r="CY71" s="28" t="n">
        <v>0</v>
      </c>
      <c r="CZ71" s="28" t="n">
        <v>0</v>
      </c>
      <c r="DA71" s="28" t="n">
        <v>0</v>
      </c>
    </row>
    <row r="72">
      <c r="A72" t="inlineStr">
        <is>
          <t>TPP-1379</t>
        </is>
      </c>
      <c r="B72" s="28" t="n">
        <v>0</v>
      </c>
      <c r="C72" s="28" t="n">
        <v>0</v>
      </c>
      <c r="D72" s="28" t="n">
        <v>0</v>
      </c>
      <c r="E72" s="28" t="n">
        <v>0</v>
      </c>
      <c r="F72" s="28" t="n">
        <v>0</v>
      </c>
      <c r="G72" s="28" t="n">
        <v>0</v>
      </c>
      <c r="H72" s="28" t="n">
        <v>0</v>
      </c>
      <c r="I72" s="28" t="n">
        <v>0</v>
      </c>
      <c r="J72" s="28" t="n">
        <v>0</v>
      </c>
      <c r="K72" s="28" t="n">
        <v>0</v>
      </c>
      <c r="L72" s="28" t="n">
        <v>0</v>
      </c>
      <c r="M72" s="28" t="n">
        <v>0</v>
      </c>
      <c r="N72" s="28" t="n">
        <v>0</v>
      </c>
      <c r="O72" s="28" t="n">
        <v>0</v>
      </c>
      <c r="P72" s="28" t="n">
        <v>0</v>
      </c>
      <c r="Q72" s="28" t="n">
        <v>0</v>
      </c>
      <c r="R72" s="28" t="n">
        <v>0</v>
      </c>
      <c r="S72" s="28" t="n">
        <v>0</v>
      </c>
      <c r="T72" s="28" t="n">
        <v>0</v>
      </c>
      <c r="U72" s="28" t="n">
        <v>0</v>
      </c>
      <c r="V72" s="28" t="n">
        <v>0</v>
      </c>
      <c r="W72" s="28" t="n">
        <v>0</v>
      </c>
      <c r="X72" s="28" t="n">
        <v>0</v>
      </c>
      <c r="Y72" s="28" t="n">
        <v>0</v>
      </c>
      <c r="Z72" s="28" t="n">
        <v>0</v>
      </c>
      <c r="AA72" s="28" t="n">
        <v>0</v>
      </c>
      <c r="AB72" s="28" t="n">
        <v>0</v>
      </c>
      <c r="AC72" s="28" t="n">
        <v>0</v>
      </c>
      <c r="AD72" s="28" t="n">
        <v>0</v>
      </c>
      <c r="AE72" s="28" t="n">
        <v>0</v>
      </c>
      <c r="AF72" s="28" t="n">
        <v>0</v>
      </c>
      <c r="AG72" s="28" t="n">
        <v>0</v>
      </c>
      <c r="AH72" s="28" t="n">
        <v>0</v>
      </c>
      <c r="AI72" s="28" t="n">
        <v>0</v>
      </c>
      <c r="AJ72" s="28" t="n">
        <v>0</v>
      </c>
      <c r="AK72" s="28" t="n">
        <v>0</v>
      </c>
      <c r="AL72" s="28" t="n">
        <v>0</v>
      </c>
      <c r="AM72" s="28" t="n">
        <v>0</v>
      </c>
      <c r="AN72" s="28" t="n">
        <v>0</v>
      </c>
      <c r="AO72" s="28" t="n">
        <v>0</v>
      </c>
      <c r="AP72" s="28" t="n">
        <v>0</v>
      </c>
      <c r="AQ72" s="28" t="n">
        <v>0</v>
      </c>
      <c r="AR72" s="28" t="n">
        <v>0</v>
      </c>
      <c r="AS72" s="28" t="n">
        <v>0</v>
      </c>
      <c r="AT72" s="28" t="n">
        <v>0</v>
      </c>
      <c r="AU72" s="28" t="n">
        <v>0</v>
      </c>
      <c r="AV72" s="28" t="n">
        <v>0</v>
      </c>
      <c r="AW72" s="28" t="n">
        <v>0</v>
      </c>
      <c r="AX72" s="28" t="n">
        <v>0</v>
      </c>
      <c r="AY72" s="28" t="n">
        <v>0</v>
      </c>
      <c r="AZ72" s="28" t="n">
        <v>0</v>
      </c>
      <c r="BA72" s="28" t="n">
        <v>0</v>
      </c>
      <c r="BB72" s="28" t="n">
        <v>0</v>
      </c>
      <c r="BC72" s="28" t="n">
        <v>0</v>
      </c>
      <c r="BD72" s="28" t="n">
        <v>0</v>
      </c>
      <c r="BE72" s="28" t="n">
        <v>0</v>
      </c>
      <c r="BF72" s="28" t="n">
        <v>0</v>
      </c>
      <c r="BG72" s="28" t="n">
        <v>0</v>
      </c>
      <c r="BH72" s="28" t="n">
        <v>0</v>
      </c>
      <c r="BI72" s="28" t="n">
        <v>0</v>
      </c>
      <c r="BJ72" s="28" t="n">
        <v>0</v>
      </c>
      <c r="BK72" s="28" t="n">
        <v>0</v>
      </c>
      <c r="BL72" s="28" t="n">
        <v>0</v>
      </c>
      <c r="BM72" s="28" t="n">
        <v>0</v>
      </c>
      <c r="BN72" s="28" t="n">
        <v>0</v>
      </c>
      <c r="BO72" s="28" t="n">
        <v>0</v>
      </c>
      <c r="BP72" s="28" t="n">
        <v>0</v>
      </c>
      <c r="BQ72" s="28" t="n">
        <v>0</v>
      </c>
      <c r="BR72" s="28" t="n">
        <v>0</v>
      </c>
      <c r="BS72" s="28" t="n">
        <v>0</v>
      </c>
      <c r="BT72" s="28" t="n">
        <v>0</v>
      </c>
      <c r="BU72" s="28" t="n">
        <v>0</v>
      </c>
      <c r="BV72" s="28" t="n">
        <v>0</v>
      </c>
      <c r="BW72" s="28" t="n">
        <v>0</v>
      </c>
      <c r="BX72" s="28" t="n">
        <v>0</v>
      </c>
      <c r="BY72" s="28" t="n">
        <v>0</v>
      </c>
      <c r="BZ72" s="28" t="n">
        <v>0</v>
      </c>
      <c r="CA72" s="28" t="n">
        <v>0</v>
      </c>
      <c r="CB72" s="28" t="n">
        <v>0</v>
      </c>
      <c r="CC72" s="28" t="n">
        <v>0</v>
      </c>
      <c r="CD72" s="28" t="n">
        <v>0</v>
      </c>
      <c r="CE72" s="28" t="n">
        <v>0</v>
      </c>
      <c r="CF72" s="28" t="n">
        <v>0</v>
      </c>
      <c r="CG72" s="28" t="n">
        <v>0</v>
      </c>
      <c r="CH72" s="28" t="n">
        <v>0</v>
      </c>
      <c r="CI72" s="28" t="n">
        <v>0</v>
      </c>
      <c r="CJ72" s="28" t="n">
        <v>0</v>
      </c>
      <c r="CK72" s="28" t="n">
        <v>0</v>
      </c>
      <c r="CL72" s="28" t="n">
        <v>0</v>
      </c>
      <c r="CM72" s="28" t="n">
        <v>0</v>
      </c>
      <c r="CN72" s="28" t="n">
        <v>0</v>
      </c>
      <c r="CO72" s="28" t="n">
        <v>0</v>
      </c>
      <c r="CP72" s="28" t="n">
        <v>0</v>
      </c>
      <c r="CQ72" s="28" t="n">
        <v>0</v>
      </c>
      <c r="CR72" s="28" t="n">
        <v>0</v>
      </c>
      <c r="CS72" s="28" t="n">
        <v>0</v>
      </c>
      <c r="CT72" s="28" t="n">
        <v>0</v>
      </c>
      <c r="CU72" s="28" t="n">
        <v>0</v>
      </c>
      <c r="CV72" s="28" t="n">
        <v>0</v>
      </c>
      <c r="CW72" s="28" t="n">
        <v>0</v>
      </c>
      <c r="CX72" s="28" t="n">
        <v>0</v>
      </c>
      <c r="CY72" s="28" t="n">
        <v>0</v>
      </c>
      <c r="CZ72" s="28" t="n">
        <v>0</v>
      </c>
      <c r="DA72" s="28" t="n">
        <v>0</v>
      </c>
    </row>
    <row r="73">
      <c r="A73" t="inlineStr">
        <is>
          <t>TPP-190</t>
        </is>
      </c>
      <c r="B73" s="28" t="n">
        <v>0</v>
      </c>
      <c r="C73" s="28" t="n">
        <v>0</v>
      </c>
      <c r="D73" s="28" t="n">
        <v>0</v>
      </c>
      <c r="E73" s="28" t="n">
        <v>0</v>
      </c>
      <c r="F73" s="28" t="n">
        <v>0</v>
      </c>
      <c r="G73" s="28" t="n">
        <v>0</v>
      </c>
      <c r="H73" s="28" t="n">
        <v>0</v>
      </c>
      <c r="I73" s="28" t="n">
        <v>0</v>
      </c>
      <c r="J73" s="28" t="n">
        <v>0</v>
      </c>
      <c r="K73" s="28" t="n">
        <v>0</v>
      </c>
      <c r="L73" s="28" t="n">
        <v>0</v>
      </c>
      <c r="M73" s="28" t="n">
        <v>0</v>
      </c>
      <c r="N73" s="28" t="n">
        <v>0</v>
      </c>
      <c r="O73" s="28" t="n">
        <v>0</v>
      </c>
      <c r="P73" s="28" t="n">
        <v>0</v>
      </c>
      <c r="Q73" s="28" t="n">
        <v>0</v>
      </c>
      <c r="R73" s="28" t="n">
        <v>0</v>
      </c>
      <c r="S73" s="28" t="n">
        <v>0</v>
      </c>
      <c r="T73" s="28" t="n">
        <v>0</v>
      </c>
      <c r="U73" s="28" t="n">
        <v>0</v>
      </c>
      <c r="V73" s="28" t="n">
        <v>0</v>
      </c>
      <c r="W73" s="28" t="n">
        <v>0</v>
      </c>
      <c r="X73" s="28" t="n">
        <v>0</v>
      </c>
      <c r="Y73" s="28" t="n">
        <v>0</v>
      </c>
      <c r="Z73" s="28" t="n">
        <v>0</v>
      </c>
      <c r="AA73" s="28" t="n">
        <v>0</v>
      </c>
      <c r="AB73" s="28" t="n">
        <v>0</v>
      </c>
      <c r="AC73" s="28" t="n">
        <v>0</v>
      </c>
      <c r="AD73" s="28" t="n">
        <v>0</v>
      </c>
      <c r="AE73" s="28" t="n">
        <v>0</v>
      </c>
      <c r="AF73" s="28" t="n">
        <v>0</v>
      </c>
      <c r="AG73" s="28" t="n">
        <v>0</v>
      </c>
      <c r="AH73" s="28" t="n">
        <v>0</v>
      </c>
      <c r="AI73" s="28" t="n">
        <v>0</v>
      </c>
      <c r="AJ73" s="28" t="n">
        <v>0</v>
      </c>
      <c r="AK73" s="28" t="n">
        <v>0</v>
      </c>
      <c r="AL73" s="28" t="n">
        <v>0</v>
      </c>
      <c r="AM73" s="28" t="n">
        <v>0</v>
      </c>
      <c r="AN73" s="28" t="n">
        <v>0</v>
      </c>
      <c r="AO73" s="28" t="n">
        <v>0</v>
      </c>
      <c r="AP73" s="28" t="n">
        <v>0</v>
      </c>
      <c r="AQ73" s="28" t="n">
        <v>0</v>
      </c>
      <c r="AR73" s="28" t="n">
        <v>0</v>
      </c>
      <c r="AS73" s="28" t="n">
        <v>0</v>
      </c>
      <c r="AT73" s="28" t="n">
        <v>0</v>
      </c>
      <c r="AU73" s="28" t="n">
        <v>0</v>
      </c>
      <c r="AV73" s="28" t="n">
        <v>0</v>
      </c>
      <c r="AW73" s="28" t="n">
        <v>0</v>
      </c>
      <c r="AX73" s="28" t="n">
        <v>0</v>
      </c>
      <c r="AY73" s="28" t="n">
        <v>0</v>
      </c>
      <c r="AZ73" s="28" t="n">
        <v>0</v>
      </c>
      <c r="BA73" s="28" t="n">
        <v>0</v>
      </c>
      <c r="BB73" s="28" t="n">
        <v>0</v>
      </c>
      <c r="BC73" s="28" t="n">
        <v>0</v>
      </c>
      <c r="BD73" s="28" t="n">
        <v>0</v>
      </c>
      <c r="BE73" s="28" t="n">
        <v>0</v>
      </c>
      <c r="BF73" s="28" t="n">
        <v>0</v>
      </c>
      <c r="BG73" s="28" t="n">
        <v>0</v>
      </c>
      <c r="BH73" s="28" t="n">
        <v>0</v>
      </c>
      <c r="BI73" s="28" t="n">
        <v>0</v>
      </c>
      <c r="BJ73" s="28" t="n">
        <v>0</v>
      </c>
      <c r="BK73" s="28" t="n">
        <v>0</v>
      </c>
      <c r="BL73" s="28" t="n">
        <v>0</v>
      </c>
      <c r="BM73" s="28" t="n">
        <v>0</v>
      </c>
      <c r="BN73" s="28" t="n">
        <v>0</v>
      </c>
      <c r="BO73" s="28" t="n">
        <v>0</v>
      </c>
      <c r="BP73" s="28" t="n">
        <v>0</v>
      </c>
      <c r="BQ73" s="28" t="n">
        <v>0</v>
      </c>
      <c r="BR73" s="28" t="n">
        <v>0</v>
      </c>
      <c r="BS73" s="28" t="n">
        <v>0</v>
      </c>
      <c r="BT73" s="28" t="n">
        <v>0</v>
      </c>
      <c r="BU73" s="28" t="n">
        <v>0</v>
      </c>
      <c r="BV73" s="28" t="n">
        <v>0</v>
      </c>
      <c r="BW73" s="28" t="n">
        <v>0</v>
      </c>
      <c r="BX73" s="28" t="n">
        <v>0</v>
      </c>
      <c r="BY73" s="28" t="n">
        <v>0</v>
      </c>
      <c r="BZ73" s="28" t="n">
        <v>0</v>
      </c>
      <c r="CA73" s="28" t="n">
        <v>0</v>
      </c>
      <c r="CB73" s="28" t="n">
        <v>0</v>
      </c>
      <c r="CC73" s="28" t="n">
        <v>0</v>
      </c>
      <c r="CD73" s="28" t="n">
        <v>0</v>
      </c>
      <c r="CE73" s="28" t="n">
        <v>0</v>
      </c>
      <c r="CF73" s="28" t="n">
        <v>0</v>
      </c>
      <c r="CG73" s="28" t="n">
        <v>0</v>
      </c>
      <c r="CH73" s="28" t="n">
        <v>0</v>
      </c>
      <c r="CI73" s="28" t="n">
        <v>0</v>
      </c>
      <c r="CJ73" s="28" t="n">
        <v>0</v>
      </c>
      <c r="CK73" s="28" t="n">
        <v>0</v>
      </c>
      <c r="CL73" s="28" t="n">
        <v>0</v>
      </c>
      <c r="CM73" s="28" t="n">
        <v>0</v>
      </c>
      <c r="CN73" s="28" t="n">
        <v>0</v>
      </c>
      <c r="CO73" s="28" t="n">
        <v>0</v>
      </c>
      <c r="CP73" s="28" t="n">
        <v>0</v>
      </c>
      <c r="CQ73" s="28" t="n">
        <v>0</v>
      </c>
      <c r="CR73" s="28" t="n">
        <v>0</v>
      </c>
      <c r="CS73" s="28" t="n">
        <v>0</v>
      </c>
      <c r="CT73" s="28" t="n">
        <v>0</v>
      </c>
      <c r="CU73" s="28" t="n">
        <v>0</v>
      </c>
      <c r="CV73" s="28" t="n">
        <v>0</v>
      </c>
      <c r="CW73" s="28" t="n">
        <v>0</v>
      </c>
      <c r="CX73" s="28" t="n">
        <v>0</v>
      </c>
      <c r="CY73" s="28" t="n">
        <v>0</v>
      </c>
      <c r="CZ73" s="28" t="n">
        <v>0</v>
      </c>
      <c r="DA73" s="28" t="n">
        <v>0</v>
      </c>
    </row>
    <row r="74">
      <c r="A74" t="inlineStr">
        <is>
          <t>TPP-204</t>
        </is>
      </c>
      <c r="B74" s="28" t="n">
        <v>0</v>
      </c>
      <c r="C74" s="28" t="n">
        <v>0</v>
      </c>
      <c r="D74" s="28" t="n">
        <v>0</v>
      </c>
      <c r="E74" s="28" t="n">
        <v>0</v>
      </c>
      <c r="F74" s="28" t="n">
        <v>0</v>
      </c>
      <c r="G74" s="28" t="n">
        <v>0</v>
      </c>
      <c r="H74" s="28" t="n">
        <v>0</v>
      </c>
      <c r="I74" s="28" t="n">
        <v>0</v>
      </c>
      <c r="J74" s="28" t="n">
        <v>0</v>
      </c>
      <c r="K74" s="28" t="n">
        <v>0</v>
      </c>
      <c r="L74" s="28" t="n">
        <v>0</v>
      </c>
      <c r="M74" s="28" t="n">
        <v>0</v>
      </c>
      <c r="N74" s="28" t="n">
        <v>0</v>
      </c>
      <c r="O74" s="28" t="n">
        <v>0</v>
      </c>
      <c r="P74" s="28" t="n">
        <v>0</v>
      </c>
      <c r="Q74" s="28" t="n">
        <v>0</v>
      </c>
      <c r="R74" s="28" t="n">
        <v>0</v>
      </c>
      <c r="S74" s="28" t="n">
        <v>0</v>
      </c>
      <c r="T74" s="28" t="n">
        <v>0</v>
      </c>
      <c r="U74" s="28" t="n">
        <v>0</v>
      </c>
      <c r="V74" s="28" t="n">
        <v>0</v>
      </c>
      <c r="W74" s="28" t="n">
        <v>0</v>
      </c>
      <c r="X74" s="28" t="n">
        <v>0</v>
      </c>
      <c r="Y74" s="28" t="n">
        <v>0</v>
      </c>
      <c r="Z74" s="28" t="n">
        <v>0</v>
      </c>
      <c r="AA74" s="28" t="n">
        <v>0</v>
      </c>
      <c r="AB74" s="28" t="n">
        <v>0</v>
      </c>
      <c r="AC74" s="28" t="n">
        <v>0</v>
      </c>
      <c r="AD74" s="28" t="n">
        <v>0</v>
      </c>
      <c r="AE74" s="28" t="n">
        <v>0</v>
      </c>
      <c r="AF74" s="28" t="n">
        <v>0</v>
      </c>
      <c r="AG74" s="28" t="n">
        <v>0</v>
      </c>
      <c r="AH74" s="28" t="n">
        <v>0</v>
      </c>
      <c r="AI74" s="28" t="n">
        <v>0</v>
      </c>
      <c r="AJ74" s="28" t="n">
        <v>0</v>
      </c>
      <c r="AK74" s="28" t="n">
        <v>0</v>
      </c>
      <c r="AL74" s="28" t="n">
        <v>0</v>
      </c>
      <c r="AM74" s="28" t="n">
        <v>0</v>
      </c>
      <c r="AN74" s="28" t="n">
        <v>0</v>
      </c>
      <c r="AO74" s="28" t="n">
        <v>0</v>
      </c>
      <c r="AP74" s="28" t="n">
        <v>0</v>
      </c>
      <c r="AQ74" s="28" t="n">
        <v>0</v>
      </c>
      <c r="AR74" s="28" t="n">
        <v>0</v>
      </c>
      <c r="AS74" s="28" t="n">
        <v>0</v>
      </c>
      <c r="AT74" s="28" t="n">
        <v>0</v>
      </c>
      <c r="AU74" s="28" t="n">
        <v>0</v>
      </c>
      <c r="AV74" s="28" t="n">
        <v>0</v>
      </c>
      <c r="AW74" s="28" t="n">
        <v>0</v>
      </c>
      <c r="AX74" s="28" t="n">
        <v>0</v>
      </c>
      <c r="AY74" s="28" t="n">
        <v>0</v>
      </c>
      <c r="AZ74" s="28" t="n">
        <v>0</v>
      </c>
      <c r="BA74" s="28" t="n">
        <v>0</v>
      </c>
      <c r="BB74" s="28" t="n">
        <v>0</v>
      </c>
      <c r="BC74" s="28" t="n">
        <v>0</v>
      </c>
      <c r="BD74" s="28" t="n">
        <v>0</v>
      </c>
      <c r="BE74" s="28" t="n">
        <v>0</v>
      </c>
      <c r="BF74" s="28" t="n">
        <v>0</v>
      </c>
      <c r="BG74" s="28" t="n">
        <v>0</v>
      </c>
      <c r="BH74" s="28" t="n">
        <v>0</v>
      </c>
      <c r="BI74" s="28" t="n">
        <v>0</v>
      </c>
      <c r="BJ74" s="28" t="n">
        <v>0</v>
      </c>
      <c r="BK74" s="28" t="n">
        <v>0</v>
      </c>
      <c r="BL74" s="28" t="n">
        <v>0</v>
      </c>
      <c r="BM74" s="28" t="n">
        <v>0</v>
      </c>
      <c r="BN74" s="28" t="n">
        <v>0</v>
      </c>
      <c r="BO74" s="28" t="n">
        <v>0</v>
      </c>
      <c r="BP74" s="28" t="n">
        <v>0</v>
      </c>
      <c r="BQ74" s="28" t="n">
        <v>0</v>
      </c>
      <c r="BR74" s="28" t="n">
        <v>0</v>
      </c>
      <c r="BS74" s="28" t="n">
        <v>0</v>
      </c>
      <c r="BT74" s="28" t="n">
        <v>0</v>
      </c>
      <c r="BU74" s="28" t="n">
        <v>0</v>
      </c>
      <c r="BV74" s="28" t="n">
        <v>0</v>
      </c>
      <c r="BW74" s="28" t="n">
        <v>0</v>
      </c>
      <c r="BX74" s="28" t="n">
        <v>0</v>
      </c>
      <c r="BY74" s="28" t="n">
        <v>0</v>
      </c>
      <c r="BZ74" s="28" t="n">
        <v>0</v>
      </c>
      <c r="CA74" s="28" t="n">
        <v>0</v>
      </c>
      <c r="CB74" s="28" t="n">
        <v>0</v>
      </c>
      <c r="CC74" s="28" t="n">
        <v>0</v>
      </c>
      <c r="CD74" s="28" t="n">
        <v>0</v>
      </c>
      <c r="CE74" s="28" t="n">
        <v>0</v>
      </c>
      <c r="CF74" s="28" t="n">
        <v>0</v>
      </c>
      <c r="CG74" s="28" t="n">
        <v>0</v>
      </c>
      <c r="CH74" s="28" t="n">
        <v>0</v>
      </c>
      <c r="CI74" s="28" t="n">
        <v>0</v>
      </c>
      <c r="CJ74" s="28" t="n">
        <v>0</v>
      </c>
      <c r="CK74" s="28" t="n">
        <v>0</v>
      </c>
      <c r="CL74" s="28" t="n">
        <v>0</v>
      </c>
      <c r="CM74" s="28" t="n">
        <v>0</v>
      </c>
      <c r="CN74" s="28" t="n">
        <v>0</v>
      </c>
      <c r="CO74" s="28" t="n">
        <v>0</v>
      </c>
      <c r="CP74" s="28" t="n">
        <v>0</v>
      </c>
      <c r="CQ74" s="28" t="n">
        <v>0</v>
      </c>
      <c r="CR74" s="28" t="n">
        <v>0</v>
      </c>
      <c r="CS74" s="28" t="n">
        <v>0</v>
      </c>
      <c r="CT74" s="28" t="n">
        <v>0</v>
      </c>
      <c r="CU74" s="28" t="n">
        <v>0</v>
      </c>
      <c r="CV74" s="28" t="n">
        <v>0</v>
      </c>
      <c r="CW74" s="28" t="n">
        <v>0</v>
      </c>
      <c r="CX74" s="28" t="n">
        <v>0</v>
      </c>
      <c r="CY74" s="28" t="n">
        <v>0</v>
      </c>
      <c r="CZ74" s="28" t="n">
        <v>0</v>
      </c>
      <c r="DA74" s="28" t="n">
        <v>0</v>
      </c>
    </row>
    <row r="75">
      <c r="A75" t="inlineStr">
        <is>
          <t>TPP-350</t>
        </is>
      </c>
      <c r="B75" s="28" t="n">
        <v>0</v>
      </c>
      <c r="C75" s="28" t="n">
        <v>0</v>
      </c>
      <c r="D75" s="28" t="n">
        <v>0</v>
      </c>
      <c r="E75" s="28" t="n">
        <v>0</v>
      </c>
      <c r="F75" s="28" t="n">
        <v>0</v>
      </c>
      <c r="G75" s="28" t="n">
        <v>0</v>
      </c>
      <c r="H75" s="28" t="n">
        <v>0</v>
      </c>
      <c r="I75" s="28" t="n">
        <v>0</v>
      </c>
      <c r="J75" s="28" t="n">
        <v>0</v>
      </c>
      <c r="K75" s="28" t="n">
        <v>0</v>
      </c>
      <c r="L75" s="28" t="n">
        <v>0</v>
      </c>
      <c r="M75" s="28" t="n">
        <v>0</v>
      </c>
      <c r="N75" s="28" t="n">
        <v>0</v>
      </c>
      <c r="O75" s="28" t="n">
        <v>0</v>
      </c>
      <c r="P75" s="28" t="n">
        <v>0</v>
      </c>
      <c r="Q75" s="28" t="n">
        <v>0</v>
      </c>
      <c r="R75" s="28" t="n">
        <v>0</v>
      </c>
      <c r="S75" s="28" t="n">
        <v>0</v>
      </c>
      <c r="T75" s="28" t="n">
        <v>0</v>
      </c>
      <c r="U75" s="28" t="n">
        <v>0</v>
      </c>
      <c r="V75" s="28" t="n">
        <v>0</v>
      </c>
      <c r="W75" s="28" t="n">
        <v>0</v>
      </c>
      <c r="X75" s="28" t="n">
        <v>0</v>
      </c>
      <c r="Y75" s="28" t="n">
        <v>0</v>
      </c>
      <c r="Z75" s="28" t="n">
        <v>0</v>
      </c>
      <c r="AA75" s="28" t="n">
        <v>0</v>
      </c>
      <c r="AB75" s="28" t="n">
        <v>0</v>
      </c>
      <c r="AC75" s="28" t="n">
        <v>0</v>
      </c>
      <c r="AD75" s="28" t="n">
        <v>0</v>
      </c>
      <c r="AE75" s="28" t="n">
        <v>0</v>
      </c>
      <c r="AF75" s="28" t="n">
        <v>0</v>
      </c>
      <c r="AG75" s="28" t="n">
        <v>0</v>
      </c>
      <c r="AH75" s="28" t="n">
        <v>0</v>
      </c>
      <c r="AI75" s="28" t="n">
        <v>0</v>
      </c>
      <c r="AJ75" s="28" t="n">
        <v>0</v>
      </c>
      <c r="AK75" s="28" t="n">
        <v>0</v>
      </c>
      <c r="AL75" s="28" t="n">
        <v>0</v>
      </c>
      <c r="AM75" s="28" t="n">
        <v>0</v>
      </c>
      <c r="AN75" s="28" t="n">
        <v>0</v>
      </c>
      <c r="AO75" s="28" t="n">
        <v>0</v>
      </c>
      <c r="AP75" s="28" t="n">
        <v>0</v>
      </c>
      <c r="AQ75" s="28" t="n">
        <v>0</v>
      </c>
      <c r="AR75" s="28" t="n">
        <v>0</v>
      </c>
      <c r="AS75" s="28" t="n">
        <v>0</v>
      </c>
      <c r="AT75" s="28" t="n">
        <v>0</v>
      </c>
      <c r="AU75" s="28" t="n">
        <v>0</v>
      </c>
      <c r="AV75" s="28" t="n">
        <v>0</v>
      </c>
      <c r="AW75" s="28" t="n">
        <v>0</v>
      </c>
      <c r="AX75" s="28" t="n">
        <v>0</v>
      </c>
      <c r="AY75" s="28" t="n">
        <v>0</v>
      </c>
      <c r="AZ75" s="28" t="n">
        <v>0</v>
      </c>
      <c r="BA75" s="28" t="n">
        <v>0</v>
      </c>
      <c r="BB75" s="28" t="n">
        <v>0</v>
      </c>
      <c r="BC75" s="28" t="n">
        <v>0</v>
      </c>
      <c r="BD75" s="28" t="n">
        <v>0</v>
      </c>
      <c r="BE75" s="28" t="n">
        <v>0</v>
      </c>
      <c r="BF75" s="28" t="n">
        <v>0</v>
      </c>
      <c r="BG75" s="28" t="n">
        <v>0</v>
      </c>
      <c r="BH75" s="28" t="n">
        <v>0</v>
      </c>
      <c r="BI75" s="28" t="n">
        <v>0</v>
      </c>
      <c r="BJ75" s="28" t="n">
        <v>0</v>
      </c>
      <c r="BK75" s="28" t="n">
        <v>0</v>
      </c>
      <c r="BL75" s="28" t="n">
        <v>0</v>
      </c>
      <c r="BM75" s="28" t="n">
        <v>0</v>
      </c>
      <c r="BN75" s="28" t="n">
        <v>0</v>
      </c>
      <c r="BO75" s="28" t="n">
        <v>0</v>
      </c>
      <c r="BP75" s="28" t="n">
        <v>0</v>
      </c>
      <c r="BQ75" s="28" t="n">
        <v>0</v>
      </c>
      <c r="BR75" s="28" t="n">
        <v>0</v>
      </c>
      <c r="BS75" s="28" t="n">
        <v>0</v>
      </c>
      <c r="BT75" s="28" t="n">
        <v>0</v>
      </c>
      <c r="BU75" s="28" t="n">
        <v>0</v>
      </c>
      <c r="BV75" s="28" t="n">
        <v>0</v>
      </c>
      <c r="BW75" s="28" t="n">
        <v>0</v>
      </c>
      <c r="BX75" s="28" t="n">
        <v>0</v>
      </c>
      <c r="BY75" s="28" t="n">
        <v>0</v>
      </c>
      <c r="BZ75" s="28" t="n">
        <v>0</v>
      </c>
      <c r="CA75" s="28" t="n">
        <v>0</v>
      </c>
      <c r="CB75" s="28" t="n">
        <v>0</v>
      </c>
      <c r="CC75" s="28" t="n">
        <v>0</v>
      </c>
      <c r="CD75" s="28" t="n">
        <v>0</v>
      </c>
      <c r="CE75" s="28" t="n">
        <v>0</v>
      </c>
      <c r="CF75" s="28" t="n">
        <v>0</v>
      </c>
      <c r="CG75" s="28" t="n">
        <v>0</v>
      </c>
      <c r="CH75" s="28" t="n">
        <v>0</v>
      </c>
      <c r="CI75" s="28" t="n">
        <v>0</v>
      </c>
      <c r="CJ75" s="28" t="n">
        <v>0</v>
      </c>
      <c r="CK75" s="28" t="n">
        <v>0</v>
      </c>
      <c r="CL75" s="28" t="n">
        <v>0</v>
      </c>
      <c r="CM75" s="28" t="n">
        <v>0</v>
      </c>
      <c r="CN75" s="28" t="n">
        <v>0</v>
      </c>
      <c r="CO75" s="28" t="n">
        <v>0</v>
      </c>
      <c r="CP75" s="28" t="n">
        <v>0</v>
      </c>
      <c r="CQ75" s="28" t="n">
        <v>0</v>
      </c>
      <c r="CR75" s="28" t="n">
        <v>0</v>
      </c>
      <c r="CS75" s="28" t="n">
        <v>0</v>
      </c>
      <c r="CT75" s="28" t="n">
        <v>0</v>
      </c>
      <c r="CU75" s="28" t="n">
        <v>0</v>
      </c>
      <c r="CV75" s="28" t="n">
        <v>0</v>
      </c>
      <c r="CW75" s="28" t="n">
        <v>0</v>
      </c>
      <c r="CX75" s="28" t="n">
        <v>0</v>
      </c>
      <c r="CY75" s="28" t="n">
        <v>0</v>
      </c>
      <c r="CZ75" s="28" t="n">
        <v>0</v>
      </c>
      <c r="DA75" s="28" t="n">
        <v>0</v>
      </c>
    </row>
    <row r="76">
      <c r="A76" t="inlineStr">
        <is>
          <t>TPP-356</t>
        </is>
      </c>
      <c r="B76" s="28" t="n">
        <v>0</v>
      </c>
      <c r="C76" s="28" t="n">
        <v>0</v>
      </c>
      <c r="D76" s="28" t="n">
        <v>0</v>
      </c>
      <c r="E76" s="28" t="n">
        <v>0</v>
      </c>
      <c r="F76" s="28" t="n">
        <v>0</v>
      </c>
      <c r="G76" s="28" t="n">
        <v>0</v>
      </c>
      <c r="H76" s="28" t="n">
        <v>0</v>
      </c>
      <c r="I76" s="28" t="n">
        <v>0</v>
      </c>
      <c r="J76" s="28" t="n">
        <v>0</v>
      </c>
      <c r="K76" s="28" t="n">
        <v>0</v>
      </c>
      <c r="L76" s="28" t="n">
        <v>0</v>
      </c>
      <c r="M76" s="28" t="n">
        <v>0</v>
      </c>
      <c r="N76" s="28" t="n">
        <v>0</v>
      </c>
      <c r="O76" s="28" t="n">
        <v>0</v>
      </c>
      <c r="P76" s="28" t="n">
        <v>0</v>
      </c>
      <c r="Q76" s="28" t="n">
        <v>0</v>
      </c>
      <c r="R76" s="28" t="n">
        <v>0</v>
      </c>
      <c r="S76" s="28" t="n">
        <v>0</v>
      </c>
      <c r="T76" s="28" t="n">
        <v>0</v>
      </c>
      <c r="U76" s="28" t="n">
        <v>0</v>
      </c>
      <c r="V76" s="28" t="n">
        <v>0</v>
      </c>
      <c r="W76" s="28" t="n">
        <v>0</v>
      </c>
      <c r="X76" s="28" t="n">
        <v>0</v>
      </c>
      <c r="Y76" s="28" t="n">
        <v>0</v>
      </c>
      <c r="Z76" s="28" t="n">
        <v>0</v>
      </c>
      <c r="AA76" s="28" t="n">
        <v>0</v>
      </c>
      <c r="AB76" s="28" t="n">
        <v>0</v>
      </c>
      <c r="AC76" s="28" t="n">
        <v>0</v>
      </c>
      <c r="AD76" s="28" t="n">
        <v>0</v>
      </c>
      <c r="AE76" s="28" t="n">
        <v>0</v>
      </c>
      <c r="AF76" s="28" t="n">
        <v>0</v>
      </c>
      <c r="AG76" s="28" t="n">
        <v>0</v>
      </c>
      <c r="AH76" s="28" t="n">
        <v>0</v>
      </c>
      <c r="AI76" s="28" t="n">
        <v>0</v>
      </c>
      <c r="AJ76" s="28" t="n">
        <v>0</v>
      </c>
      <c r="AK76" s="28" t="n">
        <v>0</v>
      </c>
      <c r="AL76" s="28" t="n">
        <v>0</v>
      </c>
      <c r="AM76" s="28" t="n">
        <v>0</v>
      </c>
      <c r="AN76" s="28" t="n">
        <v>0</v>
      </c>
      <c r="AO76" s="28" t="n">
        <v>0</v>
      </c>
      <c r="AP76" s="28" t="n">
        <v>0</v>
      </c>
      <c r="AQ76" s="28" t="n">
        <v>0</v>
      </c>
      <c r="AR76" s="28" t="n">
        <v>0</v>
      </c>
      <c r="AS76" s="28" t="n">
        <v>0</v>
      </c>
      <c r="AT76" s="28" t="n">
        <v>0</v>
      </c>
      <c r="AU76" s="28" t="n">
        <v>0</v>
      </c>
      <c r="AV76" s="28" t="n">
        <v>0</v>
      </c>
      <c r="AW76" s="28" t="n">
        <v>0</v>
      </c>
      <c r="AX76" s="28" t="n">
        <v>0</v>
      </c>
      <c r="AY76" s="28" t="n">
        <v>0</v>
      </c>
      <c r="AZ76" s="28" t="n">
        <v>0</v>
      </c>
      <c r="BA76" s="28" t="n">
        <v>0</v>
      </c>
      <c r="BB76" s="28" t="n">
        <v>0</v>
      </c>
      <c r="BC76" s="28" t="n">
        <v>0</v>
      </c>
      <c r="BD76" s="28" t="n">
        <v>0</v>
      </c>
      <c r="BE76" s="28" t="n">
        <v>0</v>
      </c>
      <c r="BF76" s="28" t="n">
        <v>0</v>
      </c>
      <c r="BG76" s="28" t="n">
        <v>0</v>
      </c>
      <c r="BH76" s="28" t="n">
        <v>0</v>
      </c>
      <c r="BI76" s="28" t="n">
        <v>0</v>
      </c>
      <c r="BJ76" s="28" t="n">
        <v>0</v>
      </c>
      <c r="BK76" s="28" t="n">
        <v>0</v>
      </c>
      <c r="BL76" s="28" t="n">
        <v>0</v>
      </c>
      <c r="BM76" s="28" t="n">
        <v>0</v>
      </c>
      <c r="BN76" s="28" t="n">
        <v>0</v>
      </c>
      <c r="BO76" s="28" t="n">
        <v>0</v>
      </c>
      <c r="BP76" s="28" t="n">
        <v>0</v>
      </c>
      <c r="BQ76" s="28" t="n">
        <v>0</v>
      </c>
      <c r="BR76" s="28" t="n">
        <v>0</v>
      </c>
      <c r="BS76" s="28" t="n">
        <v>0</v>
      </c>
      <c r="BT76" s="28" t="n">
        <v>0</v>
      </c>
      <c r="BU76" s="28" t="n">
        <v>0</v>
      </c>
      <c r="BV76" s="28" t="n">
        <v>0</v>
      </c>
      <c r="BW76" s="28" t="n">
        <v>0</v>
      </c>
      <c r="BX76" s="28" t="n">
        <v>0</v>
      </c>
      <c r="BY76" s="28" t="n">
        <v>0</v>
      </c>
      <c r="BZ76" s="28" t="n">
        <v>0</v>
      </c>
      <c r="CA76" s="28" t="n">
        <v>0</v>
      </c>
      <c r="CB76" s="28" t="n">
        <v>0</v>
      </c>
      <c r="CC76" s="28" t="n">
        <v>0</v>
      </c>
      <c r="CD76" s="28" t="n">
        <v>0</v>
      </c>
      <c r="CE76" s="28" t="n">
        <v>0</v>
      </c>
      <c r="CF76" s="28" t="n">
        <v>0</v>
      </c>
      <c r="CG76" s="28" t="n">
        <v>0</v>
      </c>
      <c r="CH76" s="28" t="n">
        <v>0</v>
      </c>
      <c r="CI76" s="28" t="n">
        <v>0</v>
      </c>
      <c r="CJ76" s="28" t="n">
        <v>0</v>
      </c>
      <c r="CK76" s="28" t="n">
        <v>0</v>
      </c>
      <c r="CL76" s="28" t="n">
        <v>0</v>
      </c>
      <c r="CM76" s="28" t="n">
        <v>0</v>
      </c>
      <c r="CN76" s="28" t="n">
        <v>0</v>
      </c>
      <c r="CO76" s="28" t="n">
        <v>0</v>
      </c>
      <c r="CP76" s="28" t="n">
        <v>0</v>
      </c>
      <c r="CQ76" s="28" t="n">
        <v>0</v>
      </c>
      <c r="CR76" s="28" t="n">
        <v>0</v>
      </c>
      <c r="CS76" s="28" t="n">
        <v>0</v>
      </c>
      <c r="CT76" s="28" t="n">
        <v>0</v>
      </c>
      <c r="CU76" s="28" t="n">
        <v>0</v>
      </c>
      <c r="CV76" s="28" t="n">
        <v>0</v>
      </c>
      <c r="CW76" s="28" t="n">
        <v>0</v>
      </c>
      <c r="CX76" s="28" t="n">
        <v>0</v>
      </c>
      <c r="CY76" s="28" t="n">
        <v>0</v>
      </c>
      <c r="CZ76" s="28" t="n">
        <v>0</v>
      </c>
      <c r="DA76" s="28" t="n">
        <v>0</v>
      </c>
    </row>
    <row r="77">
      <c r="A77" t="inlineStr">
        <is>
          <t>TPP-358</t>
        </is>
      </c>
      <c r="B77" s="28" t="n">
        <v>0</v>
      </c>
      <c r="C77" s="28" t="n">
        <v>0</v>
      </c>
      <c r="D77" s="28" t="n">
        <v>0</v>
      </c>
      <c r="E77" s="28" t="n">
        <v>0</v>
      </c>
      <c r="F77" s="28" t="n">
        <v>0</v>
      </c>
      <c r="G77" s="28" t="n">
        <v>0</v>
      </c>
      <c r="H77" s="28" t="n">
        <v>0</v>
      </c>
      <c r="I77" s="28" t="n">
        <v>0</v>
      </c>
      <c r="J77" s="28" t="n">
        <v>0</v>
      </c>
      <c r="K77" s="28" t="n">
        <v>0</v>
      </c>
      <c r="L77" s="28" t="n">
        <v>0</v>
      </c>
      <c r="M77" s="28" t="n">
        <v>0</v>
      </c>
      <c r="N77" s="28" t="n">
        <v>0</v>
      </c>
      <c r="O77" s="28" t="n">
        <v>0</v>
      </c>
      <c r="P77" s="28" t="n">
        <v>0</v>
      </c>
      <c r="Q77" s="28" t="n">
        <v>0</v>
      </c>
      <c r="R77" s="28" t="n">
        <v>0</v>
      </c>
      <c r="S77" s="28" t="n">
        <v>0</v>
      </c>
      <c r="T77" s="28" t="n">
        <v>0</v>
      </c>
      <c r="U77" s="28" t="n">
        <v>0</v>
      </c>
      <c r="V77" s="28" t="n">
        <v>0</v>
      </c>
      <c r="W77" s="28" t="n">
        <v>0</v>
      </c>
      <c r="X77" s="28" t="n">
        <v>0</v>
      </c>
      <c r="Y77" s="28" t="n">
        <v>0</v>
      </c>
      <c r="Z77" s="28" t="n">
        <v>0</v>
      </c>
      <c r="AA77" s="28" t="n">
        <v>0</v>
      </c>
      <c r="AB77" s="28" t="n">
        <v>0</v>
      </c>
      <c r="AC77" s="28" t="n">
        <v>0</v>
      </c>
      <c r="AD77" s="28" t="n">
        <v>0</v>
      </c>
      <c r="AE77" s="28" t="n">
        <v>0</v>
      </c>
      <c r="AF77" s="28" t="n">
        <v>0</v>
      </c>
      <c r="AG77" s="28" t="n">
        <v>0</v>
      </c>
      <c r="AH77" s="28" t="n">
        <v>0</v>
      </c>
      <c r="AI77" s="28" t="n">
        <v>0</v>
      </c>
      <c r="AJ77" s="28" t="n">
        <v>0</v>
      </c>
      <c r="AK77" s="28" t="n">
        <v>0</v>
      </c>
      <c r="AL77" s="28" t="n">
        <v>0</v>
      </c>
      <c r="AM77" s="28" t="n">
        <v>0</v>
      </c>
      <c r="AN77" s="28" t="n">
        <v>0</v>
      </c>
      <c r="AO77" s="28" t="n">
        <v>0</v>
      </c>
      <c r="AP77" s="28" t="n">
        <v>0</v>
      </c>
      <c r="AQ77" s="28" t="n">
        <v>0</v>
      </c>
      <c r="AR77" s="28" t="n">
        <v>0</v>
      </c>
      <c r="AS77" s="28" t="n">
        <v>0</v>
      </c>
      <c r="AT77" s="28" t="n">
        <v>0</v>
      </c>
      <c r="AU77" s="28" t="n">
        <v>0</v>
      </c>
      <c r="AV77" s="28" t="n">
        <v>0</v>
      </c>
      <c r="AW77" s="28" t="n">
        <v>0</v>
      </c>
      <c r="AX77" s="28" t="n">
        <v>0</v>
      </c>
      <c r="AY77" s="28" t="n">
        <v>0</v>
      </c>
      <c r="AZ77" s="28" t="n">
        <v>0</v>
      </c>
      <c r="BA77" s="28" t="n">
        <v>0</v>
      </c>
      <c r="BB77" s="28" t="n">
        <v>0</v>
      </c>
      <c r="BC77" s="28" t="n">
        <v>0</v>
      </c>
      <c r="BD77" s="28" t="n">
        <v>0</v>
      </c>
      <c r="BE77" s="28" t="n">
        <v>0</v>
      </c>
      <c r="BF77" s="28" t="n">
        <v>0</v>
      </c>
      <c r="BG77" s="28" t="n">
        <v>0</v>
      </c>
      <c r="BH77" s="28" t="n">
        <v>0</v>
      </c>
      <c r="BI77" s="28" t="n">
        <v>0</v>
      </c>
      <c r="BJ77" s="28" t="n">
        <v>0</v>
      </c>
      <c r="BK77" s="28" t="n">
        <v>0</v>
      </c>
      <c r="BL77" s="28" t="n">
        <v>0</v>
      </c>
      <c r="BM77" s="28" t="n">
        <v>0</v>
      </c>
      <c r="BN77" s="28" t="n">
        <v>0</v>
      </c>
      <c r="BO77" s="28" t="n">
        <v>0</v>
      </c>
      <c r="BP77" s="28" t="n">
        <v>0</v>
      </c>
      <c r="BQ77" s="28" t="n">
        <v>0</v>
      </c>
      <c r="BR77" s="28" t="n">
        <v>0</v>
      </c>
      <c r="BS77" s="28" t="n">
        <v>0</v>
      </c>
      <c r="BT77" s="28" t="n">
        <v>0</v>
      </c>
      <c r="BU77" s="28" t="n">
        <v>0</v>
      </c>
      <c r="BV77" s="28" t="n">
        <v>0</v>
      </c>
      <c r="BW77" s="28" t="n">
        <v>0</v>
      </c>
      <c r="BX77" s="28" t="n">
        <v>0</v>
      </c>
      <c r="BY77" s="28" t="n">
        <v>0</v>
      </c>
      <c r="BZ77" s="28" t="n">
        <v>0</v>
      </c>
      <c r="CA77" s="28" t="n">
        <v>0</v>
      </c>
      <c r="CB77" s="28" t="n">
        <v>0</v>
      </c>
      <c r="CC77" s="28" t="n">
        <v>0</v>
      </c>
      <c r="CD77" s="28" t="n">
        <v>0</v>
      </c>
      <c r="CE77" s="28" t="n">
        <v>0</v>
      </c>
      <c r="CF77" s="28" t="n">
        <v>0</v>
      </c>
      <c r="CG77" s="28" t="n">
        <v>0</v>
      </c>
      <c r="CH77" s="28" t="n">
        <v>0</v>
      </c>
      <c r="CI77" s="28" t="n">
        <v>0</v>
      </c>
      <c r="CJ77" s="28" t="n">
        <v>0</v>
      </c>
      <c r="CK77" s="28" t="n">
        <v>0</v>
      </c>
      <c r="CL77" s="28" t="n">
        <v>0</v>
      </c>
      <c r="CM77" s="28" t="n">
        <v>0</v>
      </c>
      <c r="CN77" s="28" t="n">
        <v>0</v>
      </c>
      <c r="CO77" s="28" t="n">
        <v>0</v>
      </c>
      <c r="CP77" s="28" t="n">
        <v>0</v>
      </c>
      <c r="CQ77" s="28" t="n">
        <v>0</v>
      </c>
      <c r="CR77" s="28" t="n">
        <v>0</v>
      </c>
      <c r="CS77" s="28" t="n">
        <v>0</v>
      </c>
      <c r="CT77" s="28" t="n">
        <v>0</v>
      </c>
      <c r="CU77" s="28" t="n">
        <v>0</v>
      </c>
      <c r="CV77" s="28" t="n">
        <v>0</v>
      </c>
      <c r="CW77" s="28" t="n">
        <v>0</v>
      </c>
      <c r="CX77" s="28" t="n">
        <v>0</v>
      </c>
      <c r="CY77" s="28" t="n">
        <v>0</v>
      </c>
      <c r="CZ77" s="28" t="n">
        <v>0</v>
      </c>
      <c r="DA77" s="28" t="n">
        <v>0</v>
      </c>
    </row>
    <row r="78">
      <c r="A78" t="inlineStr">
        <is>
          <t>TPP-527</t>
        </is>
      </c>
      <c r="B78" s="28" t="n">
        <v>0</v>
      </c>
      <c r="C78" s="28" t="n">
        <v>0</v>
      </c>
      <c r="D78" s="28" t="n">
        <v>0</v>
      </c>
      <c r="E78" s="28" t="n">
        <v>0</v>
      </c>
      <c r="F78" s="28" t="n">
        <v>0</v>
      </c>
      <c r="G78" s="28" t="n">
        <v>0</v>
      </c>
      <c r="H78" s="28" t="n">
        <v>0</v>
      </c>
      <c r="I78" s="28" t="n">
        <v>0</v>
      </c>
      <c r="J78" s="28" t="n">
        <v>0</v>
      </c>
      <c r="K78" s="28" t="n">
        <v>0</v>
      </c>
      <c r="L78" s="28" t="n">
        <v>0</v>
      </c>
      <c r="M78" s="28" t="n">
        <v>0</v>
      </c>
      <c r="N78" s="28" t="n">
        <v>0</v>
      </c>
      <c r="O78" s="28" t="n">
        <v>0</v>
      </c>
      <c r="P78" s="28" t="n">
        <v>0</v>
      </c>
      <c r="Q78" s="28" t="n">
        <v>0</v>
      </c>
      <c r="R78" s="28" t="n">
        <v>0</v>
      </c>
      <c r="S78" s="28" t="n">
        <v>0</v>
      </c>
      <c r="T78" s="28" t="n">
        <v>0</v>
      </c>
      <c r="U78" s="28" t="n">
        <v>0</v>
      </c>
      <c r="V78" s="28" t="n">
        <v>0</v>
      </c>
      <c r="W78" s="28" t="n">
        <v>0</v>
      </c>
      <c r="X78" s="28" t="n">
        <v>0</v>
      </c>
      <c r="Y78" s="28" t="n">
        <v>0</v>
      </c>
      <c r="Z78" s="28" t="n">
        <v>0</v>
      </c>
      <c r="AA78" s="28" t="n">
        <v>0</v>
      </c>
      <c r="AB78" s="28" t="n">
        <v>0</v>
      </c>
      <c r="AC78" s="28" t="n">
        <v>0</v>
      </c>
      <c r="AD78" s="28" t="n">
        <v>0</v>
      </c>
      <c r="AE78" s="28" t="n">
        <v>0</v>
      </c>
      <c r="AF78" s="28" t="n">
        <v>0</v>
      </c>
      <c r="AG78" s="28" t="n">
        <v>0</v>
      </c>
      <c r="AH78" s="28" t="n">
        <v>0</v>
      </c>
      <c r="AI78" s="28" t="n">
        <v>0</v>
      </c>
      <c r="AJ78" s="28" t="n">
        <v>0</v>
      </c>
      <c r="AK78" s="28" t="n">
        <v>0</v>
      </c>
      <c r="AL78" s="28" t="n">
        <v>0</v>
      </c>
      <c r="AM78" s="28" t="n">
        <v>0</v>
      </c>
      <c r="AN78" s="28" t="n">
        <v>0</v>
      </c>
      <c r="AO78" s="28" t="n">
        <v>0</v>
      </c>
      <c r="AP78" s="28" t="n">
        <v>0</v>
      </c>
      <c r="AQ78" s="28" t="n">
        <v>0</v>
      </c>
      <c r="AR78" s="28" t="n">
        <v>0</v>
      </c>
      <c r="AS78" s="28" t="n">
        <v>0</v>
      </c>
      <c r="AT78" s="28" t="n">
        <v>0</v>
      </c>
      <c r="AU78" s="28" t="n">
        <v>0</v>
      </c>
      <c r="AV78" s="28" t="n">
        <v>0</v>
      </c>
      <c r="AW78" s="28" t="n">
        <v>0</v>
      </c>
      <c r="AX78" s="28" t="n">
        <v>0</v>
      </c>
      <c r="AY78" s="28" t="n">
        <v>0</v>
      </c>
      <c r="AZ78" s="28" t="n">
        <v>0</v>
      </c>
      <c r="BA78" s="28" t="n">
        <v>0</v>
      </c>
      <c r="BB78" s="28" t="n">
        <v>0</v>
      </c>
      <c r="BC78" s="28" t="n">
        <v>0</v>
      </c>
      <c r="BD78" s="28" t="n">
        <v>0</v>
      </c>
      <c r="BE78" s="28" t="n">
        <v>0</v>
      </c>
      <c r="BF78" s="28" t="n">
        <v>0</v>
      </c>
      <c r="BG78" s="28" t="n">
        <v>0</v>
      </c>
      <c r="BH78" s="28" t="n">
        <v>0</v>
      </c>
      <c r="BI78" s="28" t="n">
        <v>0</v>
      </c>
      <c r="BJ78" s="28" t="n">
        <v>0</v>
      </c>
      <c r="BK78" s="28" t="n">
        <v>0</v>
      </c>
      <c r="BL78" s="28" t="n">
        <v>0</v>
      </c>
      <c r="BM78" s="28" t="n">
        <v>0</v>
      </c>
      <c r="BN78" s="28" t="n">
        <v>0</v>
      </c>
      <c r="BO78" s="28" t="n">
        <v>0</v>
      </c>
      <c r="BP78" s="28" t="n">
        <v>0</v>
      </c>
      <c r="BQ78" s="28" t="n">
        <v>0</v>
      </c>
      <c r="BR78" s="28" t="n">
        <v>0</v>
      </c>
      <c r="BS78" s="28" t="n">
        <v>0</v>
      </c>
      <c r="BT78" s="28" t="n">
        <v>0</v>
      </c>
      <c r="BU78" s="28" t="n">
        <v>0</v>
      </c>
      <c r="BV78" s="28" t="n">
        <v>0</v>
      </c>
      <c r="BW78" s="28" t="n">
        <v>0</v>
      </c>
      <c r="BX78" s="28" t="n">
        <v>0</v>
      </c>
      <c r="BY78" s="28" t="n">
        <v>0</v>
      </c>
      <c r="BZ78" s="28" t="n">
        <v>0</v>
      </c>
      <c r="CA78" s="28" t="n">
        <v>0</v>
      </c>
      <c r="CB78" s="28" t="n">
        <v>0</v>
      </c>
      <c r="CC78" s="28" t="n">
        <v>0</v>
      </c>
      <c r="CD78" s="28" t="n">
        <v>0</v>
      </c>
      <c r="CE78" s="28" t="n">
        <v>0</v>
      </c>
      <c r="CF78" s="28" t="n">
        <v>0</v>
      </c>
      <c r="CG78" s="28" t="n">
        <v>0</v>
      </c>
      <c r="CH78" s="28" t="n">
        <v>0</v>
      </c>
      <c r="CI78" s="28" t="n">
        <v>0</v>
      </c>
      <c r="CJ78" s="28" t="n">
        <v>0</v>
      </c>
      <c r="CK78" s="28" t="n">
        <v>0</v>
      </c>
      <c r="CL78" s="28" t="n">
        <v>0</v>
      </c>
      <c r="CM78" s="28" t="n">
        <v>0</v>
      </c>
      <c r="CN78" s="28" t="n">
        <v>0</v>
      </c>
      <c r="CO78" s="28" t="n">
        <v>0</v>
      </c>
      <c r="CP78" s="28" t="n">
        <v>0</v>
      </c>
      <c r="CQ78" s="28" t="n">
        <v>0</v>
      </c>
      <c r="CR78" s="28" t="n">
        <v>0</v>
      </c>
      <c r="CS78" s="28" t="n">
        <v>0</v>
      </c>
      <c r="CT78" s="28" t="n">
        <v>0</v>
      </c>
      <c r="CU78" s="28" t="n">
        <v>0</v>
      </c>
      <c r="CV78" s="28" t="n">
        <v>0</v>
      </c>
      <c r="CW78" s="28" t="n">
        <v>0</v>
      </c>
      <c r="CX78" s="28" t="n">
        <v>0</v>
      </c>
      <c r="CY78" s="28" t="n">
        <v>0</v>
      </c>
      <c r="CZ78" s="28" t="n">
        <v>0</v>
      </c>
      <c r="DA78" s="28" t="n">
        <v>0</v>
      </c>
    </row>
    <row r="79">
      <c r="A79" t="inlineStr">
        <is>
          <t>TPP-533</t>
        </is>
      </c>
      <c r="B79" s="28" t="n">
        <v>0</v>
      </c>
      <c r="C79" s="28" t="n">
        <v>0</v>
      </c>
      <c r="D79" s="28" t="n">
        <v>0</v>
      </c>
      <c r="E79" s="28" t="n">
        <v>0</v>
      </c>
      <c r="F79" s="28" t="n">
        <v>0</v>
      </c>
      <c r="G79" s="28" t="n">
        <v>0</v>
      </c>
      <c r="H79" s="28" t="n">
        <v>0</v>
      </c>
      <c r="I79" s="28" t="n">
        <v>0</v>
      </c>
      <c r="J79" s="28" t="n">
        <v>0</v>
      </c>
      <c r="K79" s="28" t="n">
        <v>0</v>
      </c>
      <c r="L79" s="28" t="n">
        <v>0</v>
      </c>
      <c r="M79" s="28" t="n">
        <v>0</v>
      </c>
      <c r="N79" s="28" t="n">
        <v>0</v>
      </c>
      <c r="O79" s="28" t="n">
        <v>0</v>
      </c>
      <c r="P79" s="28" t="n">
        <v>0</v>
      </c>
      <c r="Q79" s="28" t="n">
        <v>0</v>
      </c>
      <c r="R79" s="28" t="n">
        <v>0</v>
      </c>
      <c r="S79" s="28" t="n">
        <v>0</v>
      </c>
      <c r="T79" s="28" t="n">
        <v>0</v>
      </c>
      <c r="U79" s="28" t="n">
        <v>0</v>
      </c>
      <c r="V79" s="28" t="n">
        <v>0</v>
      </c>
      <c r="W79" s="28" t="n">
        <v>0</v>
      </c>
      <c r="X79" s="28" t="n">
        <v>0</v>
      </c>
      <c r="Y79" s="28" t="n">
        <v>0</v>
      </c>
      <c r="Z79" s="28" t="n">
        <v>0</v>
      </c>
      <c r="AA79" s="28" t="n">
        <v>0</v>
      </c>
      <c r="AB79" s="28" t="n">
        <v>0</v>
      </c>
      <c r="AC79" s="28" t="n">
        <v>0</v>
      </c>
      <c r="AD79" s="28" t="n">
        <v>0</v>
      </c>
      <c r="AE79" s="28" t="n">
        <v>0</v>
      </c>
      <c r="AF79" s="28" t="n">
        <v>0</v>
      </c>
      <c r="AG79" s="28" t="n">
        <v>0</v>
      </c>
      <c r="AH79" s="28" t="n">
        <v>0</v>
      </c>
      <c r="AI79" s="28" t="n">
        <v>0</v>
      </c>
      <c r="AJ79" s="28" t="n">
        <v>0</v>
      </c>
      <c r="AK79" s="28" t="n">
        <v>0</v>
      </c>
      <c r="AL79" s="28" t="n">
        <v>0</v>
      </c>
      <c r="AM79" s="28" t="n">
        <v>0</v>
      </c>
      <c r="AN79" s="28" t="n">
        <v>0</v>
      </c>
      <c r="AO79" s="28" t="n">
        <v>0</v>
      </c>
      <c r="AP79" s="28" t="n">
        <v>0</v>
      </c>
      <c r="AQ79" s="28" t="n">
        <v>0</v>
      </c>
      <c r="AR79" s="28" t="n">
        <v>0</v>
      </c>
      <c r="AS79" s="28" t="n">
        <v>0</v>
      </c>
      <c r="AT79" s="28" t="n">
        <v>0</v>
      </c>
      <c r="AU79" s="28" t="n">
        <v>0</v>
      </c>
      <c r="AV79" s="28" t="n">
        <v>0</v>
      </c>
      <c r="AW79" s="28" t="n">
        <v>0</v>
      </c>
      <c r="AX79" s="28" t="n">
        <v>0</v>
      </c>
      <c r="AY79" s="28" t="n">
        <v>0</v>
      </c>
      <c r="AZ79" s="28" t="n">
        <v>0</v>
      </c>
      <c r="BA79" s="28" t="n">
        <v>0</v>
      </c>
      <c r="BB79" s="28" t="n">
        <v>0</v>
      </c>
      <c r="BC79" s="28" t="n">
        <v>0</v>
      </c>
      <c r="BD79" s="28" t="n">
        <v>0</v>
      </c>
      <c r="BE79" s="28" t="n">
        <v>0</v>
      </c>
      <c r="BF79" s="28" t="n">
        <v>0</v>
      </c>
      <c r="BG79" s="28" t="n">
        <v>0</v>
      </c>
      <c r="BH79" s="28" t="n">
        <v>0</v>
      </c>
      <c r="BI79" s="28" t="n">
        <v>0</v>
      </c>
      <c r="BJ79" s="28" t="n">
        <v>0</v>
      </c>
      <c r="BK79" s="28" t="n">
        <v>0</v>
      </c>
      <c r="BL79" s="28" t="n">
        <v>0</v>
      </c>
      <c r="BM79" s="28" t="n">
        <v>0</v>
      </c>
      <c r="BN79" s="28" t="n">
        <v>0</v>
      </c>
      <c r="BO79" s="28" t="n">
        <v>0</v>
      </c>
      <c r="BP79" s="28" t="n">
        <v>0</v>
      </c>
      <c r="BQ79" s="28" t="n">
        <v>0</v>
      </c>
      <c r="BR79" s="28" t="n">
        <v>0</v>
      </c>
      <c r="BS79" s="28" t="n">
        <v>0</v>
      </c>
      <c r="BT79" s="28" t="n">
        <v>0</v>
      </c>
      <c r="BU79" s="28" t="n">
        <v>0</v>
      </c>
      <c r="BV79" s="28" t="n">
        <v>0</v>
      </c>
      <c r="BW79" s="28" t="n">
        <v>0</v>
      </c>
      <c r="BX79" s="28" t="n">
        <v>0</v>
      </c>
      <c r="BY79" s="28" t="n">
        <v>0</v>
      </c>
      <c r="BZ79" s="28" t="n">
        <v>0</v>
      </c>
      <c r="CA79" s="28" t="n">
        <v>0</v>
      </c>
      <c r="CB79" s="28" t="n">
        <v>0</v>
      </c>
      <c r="CC79" s="28" t="n">
        <v>0</v>
      </c>
      <c r="CD79" s="28" t="n">
        <v>0</v>
      </c>
      <c r="CE79" s="28" t="n">
        <v>0</v>
      </c>
      <c r="CF79" s="28" t="n">
        <v>0</v>
      </c>
      <c r="CG79" s="28" t="n">
        <v>0</v>
      </c>
      <c r="CH79" s="28" t="n">
        <v>0</v>
      </c>
      <c r="CI79" s="28" t="n">
        <v>0</v>
      </c>
      <c r="CJ79" s="28" t="n">
        <v>0</v>
      </c>
      <c r="CK79" s="28" t="n">
        <v>0</v>
      </c>
      <c r="CL79" s="28" t="n">
        <v>0</v>
      </c>
      <c r="CM79" s="28" t="n">
        <v>0</v>
      </c>
      <c r="CN79" s="28" t="n">
        <v>0</v>
      </c>
      <c r="CO79" s="28" t="n">
        <v>0</v>
      </c>
      <c r="CP79" s="28" t="n">
        <v>0</v>
      </c>
      <c r="CQ79" s="28" t="n">
        <v>0</v>
      </c>
      <c r="CR79" s="28" t="n">
        <v>0</v>
      </c>
      <c r="CS79" s="28" t="n">
        <v>0</v>
      </c>
      <c r="CT79" s="28" t="n">
        <v>0</v>
      </c>
      <c r="CU79" s="28" t="n">
        <v>0</v>
      </c>
      <c r="CV79" s="28" t="n">
        <v>0</v>
      </c>
      <c r="CW79" s="28" t="n">
        <v>0</v>
      </c>
      <c r="CX79" s="28" t="n">
        <v>0</v>
      </c>
      <c r="CY79" s="28" t="n">
        <v>0</v>
      </c>
      <c r="CZ79" s="28" t="n">
        <v>0</v>
      </c>
      <c r="DA79" s="28" t="n">
        <v>0</v>
      </c>
    </row>
    <row r="80">
      <c r="A80" t="inlineStr">
        <is>
          <t>TPP-537</t>
        </is>
      </c>
      <c r="B80" s="28" t="n">
        <v>0</v>
      </c>
      <c r="C80" s="28" t="n">
        <v>0</v>
      </c>
      <c r="D80" s="28" t="n">
        <v>0</v>
      </c>
      <c r="E80" s="28" t="n">
        <v>0</v>
      </c>
      <c r="F80" s="28" t="n">
        <v>0</v>
      </c>
      <c r="G80" s="28" t="n">
        <v>0</v>
      </c>
      <c r="H80" s="28" t="n">
        <v>0</v>
      </c>
      <c r="I80" s="28" t="n">
        <v>0</v>
      </c>
      <c r="J80" s="28" t="n">
        <v>0</v>
      </c>
      <c r="K80" s="28" t="n">
        <v>0</v>
      </c>
      <c r="L80" s="28" t="n">
        <v>0</v>
      </c>
      <c r="M80" s="28" t="n">
        <v>0</v>
      </c>
      <c r="N80" s="28" t="n">
        <v>0</v>
      </c>
      <c r="O80" s="28" t="n">
        <v>0</v>
      </c>
      <c r="P80" s="28" t="n">
        <v>0</v>
      </c>
      <c r="Q80" s="28" t="n">
        <v>0</v>
      </c>
      <c r="R80" s="28" t="n">
        <v>0</v>
      </c>
      <c r="S80" s="28" t="n">
        <v>0</v>
      </c>
      <c r="T80" s="28" t="n">
        <v>0</v>
      </c>
      <c r="U80" s="28" t="n">
        <v>0</v>
      </c>
      <c r="V80" s="28" t="n">
        <v>0</v>
      </c>
      <c r="W80" s="28" t="n">
        <v>0</v>
      </c>
      <c r="X80" s="28" t="n">
        <v>0</v>
      </c>
      <c r="Y80" s="28" t="n">
        <v>0</v>
      </c>
      <c r="Z80" s="28" t="n">
        <v>0</v>
      </c>
      <c r="AA80" s="28" t="n">
        <v>0</v>
      </c>
      <c r="AB80" s="28" t="n">
        <v>0</v>
      </c>
      <c r="AC80" s="28" t="n">
        <v>0</v>
      </c>
      <c r="AD80" s="28" t="n">
        <v>0</v>
      </c>
      <c r="AE80" s="28" t="n">
        <v>0</v>
      </c>
      <c r="AF80" s="28" t="n">
        <v>0</v>
      </c>
      <c r="AG80" s="28" t="n">
        <v>0</v>
      </c>
      <c r="AH80" s="28" t="n">
        <v>0</v>
      </c>
      <c r="AI80" s="28" t="n">
        <v>0</v>
      </c>
      <c r="AJ80" s="28" t="n">
        <v>0</v>
      </c>
      <c r="AK80" s="28" t="n">
        <v>0</v>
      </c>
      <c r="AL80" s="28" t="n">
        <v>0</v>
      </c>
      <c r="AM80" s="28" t="n">
        <v>0</v>
      </c>
      <c r="AN80" s="28" t="n">
        <v>0</v>
      </c>
      <c r="AO80" s="28" t="n">
        <v>0</v>
      </c>
      <c r="AP80" s="28" t="n">
        <v>0</v>
      </c>
      <c r="AQ80" s="28" t="n">
        <v>0</v>
      </c>
      <c r="AR80" s="28" t="n">
        <v>0</v>
      </c>
      <c r="AS80" s="28" t="n">
        <v>0</v>
      </c>
      <c r="AT80" s="28" t="n">
        <v>0</v>
      </c>
      <c r="AU80" s="28" t="n">
        <v>0</v>
      </c>
      <c r="AV80" s="28" t="n">
        <v>0</v>
      </c>
      <c r="AW80" s="28" t="n">
        <v>0</v>
      </c>
      <c r="AX80" s="28" t="n">
        <v>0</v>
      </c>
      <c r="AY80" s="28" t="n">
        <v>0</v>
      </c>
      <c r="AZ80" s="28" t="n">
        <v>0</v>
      </c>
      <c r="BA80" s="28" t="n">
        <v>0</v>
      </c>
      <c r="BB80" s="28" t="n">
        <v>0</v>
      </c>
      <c r="BC80" s="28" t="n">
        <v>0</v>
      </c>
      <c r="BD80" s="28" t="n">
        <v>0</v>
      </c>
      <c r="BE80" s="28" t="n">
        <v>0</v>
      </c>
      <c r="BF80" s="28" t="n">
        <v>0</v>
      </c>
      <c r="BG80" s="28" t="n">
        <v>0</v>
      </c>
      <c r="BH80" s="28" t="n">
        <v>0</v>
      </c>
      <c r="BI80" s="28" t="n">
        <v>0</v>
      </c>
      <c r="BJ80" s="28" t="n">
        <v>0</v>
      </c>
      <c r="BK80" s="28" t="n">
        <v>0</v>
      </c>
      <c r="BL80" s="28" t="n">
        <v>0</v>
      </c>
      <c r="BM80" s="28" t="n">
        <v>0</v>
      </c>
      <c r="BN80" s="28" t="n">
        <v>0</v>
      </c>
      <c r="BO80" s="28" t="n">
        <v>0</v>
      </c>
      <c r="BP80" s="28" t="n">
        <v>0</v>
      </c>
      <c r="BQ80" s="28" t="n">
        <v>0</v>
      </c>
      <c r="BR80" s="28" t="n">
        <v>0</v>
      </c>
      <c r="BS80" s="28" t="n">
        <v>0</v>
      </c>
      <c r="BT80" s="28" t="n">
        <v>0</v>
      </c>
      <c r="BU80" s="28" t="n">
        <v>0</v>
      </c>
      <c r="BV80" s="28" t="n">
        <v>0</v>
      </c>
      <c r="BW80" s="28" t="n">
        <v>0</v>
      </c>
      <c r="BX80" s="28" t="n">
        <v>0</v>
      </c>
      <c r="BY80" s="28" t="n">
        <v>0</v>
      </c>
      <c r="BZ80" s="28" t="n">
        <v>0</v>
      </c>
      <c r="CA80" s="28" t="n">
        <v>0</v>
      </c>
      <c r="CB80" s="28" t="n">
        <v>0</v>
      </c>
      <c r="CC80" s="28" t="n">
        <v>0</v>
      </c>
      <c r="CD80" s="28" t="n">
        <v>0</v>
      </c>
      <c r="CE80" s="28" t="n">
        <v>0</v>
      </c>
      <c r="CF80" s="28" t="n">
        <v>0</v>
      </c>
      <c r="CG80" s="28" t="n">
        <v>0</v>
      </c>
      <c r="CH80" s="28" t="n">
        <v>0</v>
      </c>
      <c r="CI80" s="28" t="n">
        <v>0</v>
      </c>
      <c r="CJ80" s="28" t="n">
        <v>0</v>
      </c>
      <c r="CK80" s="28" t="n">
        <v>0</v>
      </c>
      <c r="CL80" s="28" t="n">
        <v>0</v>
      </c>
      <c r="CM80" s="28" t="n">
        <v>0</v>
      </c>
      <c r="CN80" s="28" t="n">
        <v>0</v>
      </c>
      <c r="CO80" s="28" t="n">
        <v>0</v>
      </c>
      <c r="CP80" s="28" t="n">
        <v>0</v>
      </c>
      <c r="CQ80" s="28" t="n">
        <v>0</v>
      </c>
      <c r="CR80" s="28" t="n">
        <v>0</v>
      </c>
      <c r="CS80" s="28" t="n">
        <v>0</v>
      </c>
      <c r="CT80" s="28" t="n">
        <v>0</v>
      </c>
      <c r="CU80" s="28" t="n">
        <v>0</v>
      </c>
      <c r="CV80" s="28" t="n">
        <v>0</v>
      </c>
      <c r="CW80" s="28" t="n">
        <v>0</v>
      </c>
      <c r="CX80" s="28" t="n">
        <v>0</v>
      </c>
      <c r="CY80" s="28" t="n">
        <v>0</v>
      </c>
      <c r="CZ80" s="28" t="n">
        <v>0</v>
      </c>
      <c r="DA80" s="28" t="n">
        <v>0</v>
      </c>
    </row>
    <row r="81">
      <c r="A81" t="inlineStr">
        <is>
          <t>TPP-609</t>
        </is>
      </c>
      <c r="B81" s="28" t="n">
        <v>0</v>
      </c>
      <c r="C81" s="28" t="n">
        <v>0</v>
      </c>
      <c r="D81" s="28" t="n">
        <v>0</v>
      </c>
      <c r="E81" s="28" t="n">
        <v>0</v>
      </c>
      <c r="F81" s="28" t="n">
        <v>0</v>
      </c>
      <c r="G81" s="28" t="n">
        <v>0</v>
      </c>
      <c r="H81" s="28" t="n">
        <v>0</v>
      </c>
      <c r="I81" s="28" t="n">
        <v>0</v>
      </c>
      <c r="J81" s="28" t="n">
        <v>0</v>
      </c>
      <c r="K81" s="28" t="n">
        <v>0</v>
      </c>
      <c r="L81" s="28" t="n">
        <v>0</v>
      </c>
      <c r="M81" s="28" t="n">
        <v>0</v>
      </c>
      <c r="N81" s="28" t="n">
        <v>0</v>
      </c>
      <c r="O81" s="28" t="n">
        <v>0</v>
      </c>
      <c r="P81" s="28" t="n">
        <v>0</v>
      </c>
      <c r="Q81" s="28" t="n">
        <v>0</v>
      </c>
      <c r="R81" s="28" t="n">
        <v>0</v>
      </c>
      <c r="S81" s="28" t="n">
        <v>0</v>
      </c>
      <c r="T81" s="28" t="n">
        <v>0</v>
      </c>
      <c r="U81" s="28" t="n">
        <v>0</v>
      </c>
      <c r="V81" s="28" t="n">
        <v>0</v>
      </c>
      <c r="W81" s="28" t="n">
        <v>0</v>
      </c>
      <c r="X81" s="28" t="n">
        <v>0</v>
      </c>
      <c r="Y81" s="28" t="n">
        <v>0</v>
      </c>
      <c r="Z81" s="28" t="n">
        <v>0</v>
      </c>
      <c r="AA81" s="28" t="n">
        <v>0</v>
      </c>
      <c r="AB81" s="28" t="n">
        <v>0</v>
      </c>
      <c r="AC81" s="28" t="n">
        <v>0</v>
      </c>
      <c r="AD81" s="28" t="n">
        <v>0</v>
      </c>
      <c r="AE81" s="28" t="n">
        <v>0</v>
      </c>
      <c r="AF81" s="28" t="n">
        <v>0</v>
      </c>
      <c r="AG81" s="28" t="n">
        <v>0</v>
      </c>
      <c r="AH81" s="28" t="n">
        <v>0</v>
      </c>
      <c r="AI81" s="28" t="n">
        <v>0</v>
      </c>
      <c r="AJ81" s="28" t="n">
        <v>0</v>
      </c>
      <c r="AK81" s="28" t="n">
        <v>0</v>
      </c>
      <c r="AL81" s="28" t="n">
        <v>0</v>
      </c>
      <c r="AM81" s="28" t="n">
        <v>0</v>
      </c>
      <c r="AN81" s="28" t="n">
        <v>0</v>
      </c>
      <c r="AO81" s="28" t="n">
        <v>0</v>
      </c>
      <c r="AP81" s="28" t="n">
        <v>0</v>
      </c>
      <c r="AQ81" s="28" t="n">
        <v>0</v>
      </c>
      <c r="AR81" s="28" t="n">
        <v>0</v>
      </c>
      <c r="AS81" s="28" t="n">
        <v>0</v>
      </c>
      <c r="AT81" s="28" t="n">
        <v>0</v>
      </c>
      <c r="AU81" s="28" t="n">
        <v>0</v>
      </c>
      <c r="AV81" s="28" t="n">
        <v>0</v>
      </c>
      <c r="AW81" s="28" t="n">
        <v>0</v>
      </c>
      <c r="AX81" s="28" t="n">
        <v>0</v>
      </c>
      <c r="AY81" s="28" t="n">
        <v>0</v>
      </c>
      <c r="AZ81" s="28" t="n">
        <v>0</v>
      </c>
      <c r="BA81" s="28" t="n">
        <v>0</v>
      </c>
      <c r="BB81" s="28" t="n">
        <v>0</v>
      </c>
      <c r="BC81" s="28" t="n">
        <v>0</v>
      </c>
      <c r="BD81" s="28" t="n">
        <v>0</v>
      </c>
      <c r="BE81" s="28" t="n">
        <v>0</v>
      </c>
      <c r="BF81" s="28" t="n">
        <v>0</v>
      </c>
      <c r="BG81" s="28" t="n">
        <v>0</v>
      </c>
      <c r="BH81" s="28" t="n">
        <v>0</v>
      </c>
      <c r="BI81" s="28" t="n">
        <v>0</v>
      </c>
      <c r="BJ81" s="28" t="n">
        <v>0</v>
      </c>
      <c r="BK81" s="28" t="n">
        <v>0</v>
      </c>
      <c r="BL81" s="28" t="n">
        <v>0</v>
      </c>
      <c r="BM81" s="28" t="n">
        <v>0</v>
      </c>
      <c r="BN81" s="28" t="n">
        <v>0</v>
      </c>
      <c r="BO81" s="28" t="n">
        <v>0</v>
      </c>
      <c r="BP81" s="28" t="n">
        <v>0</v>
      </c>
      <c r="BQ81" s="28" t="n">
        <v>0</v>
      </c>
      <c r="BR81" s="28" t="n">
        <v>0</v>
      </c>
      <c r="BS81" s="28" t="n">
        <v>0</v>
      </c>
      <c r="BT81" s="28" t="n">
        <v>0</v>
      </c>
      <c r="BU81" s="28" t="n">
        <v>0</v>
      </c>
      <c r="BV81" s="28" t="n">
        <v>0</v>
      </c>
      <c r="BW81" s="28" t="n">
        <v>0</v>
      </c>
      <c r="BX81" s="28" t="n">
        <v>0</v>
      </c>
      <c r="BY81" s="28" t="n">
        <v>0</v>
      </c>
      <c r="BZ81" s="28" t="n">
        <v>0</v>
      </c>
      <c r="CA81" s="28" t="n">
        <v>0</v>
      </c>
      <c r="CB81" s="28" t="n">
        <v>0</v>
      </c>
      <c r="CC81" s="28" t="n">
        <v>0</v>
      </c>
      <c r="CD81" s="28" t="n">
        <v>0</v>
      </c>
      <c r="CE81" s="28" t="n">
        <v>0</v>
      </c>
      <c r="CF81" s="28" t="n">
        <v>0</v>
      </c>
      <c r="CG81" s="28" t="n">
        <v>0</v>
      </c>
      <c r="CH81" s="28" t="n">
        <v>0</v>
      </c>
      <c r="CI81" s="28" t="n">
        <v>0</v>
      </c>
      <c r="CJ81" s="28" t="n">
        <v>0</v>
      </c>
      <c r="CK81" s="28" t="n">
        <v>0</v>
      </c>
      <c r="CL81" s="28" t="n">
        <v>0</v>
      </c>
      <c r="CM81" s="28" t="n">
        <v>0</v>
      </c>
      <c r="CN81" s="28" t="n">
        <v>0</v>
      </c>
      <c r="CO81" s="28" t="n">
        <v>0</v>
      </c>
      <c r="CP81" s="28" t="n">
        <v>0</v>
      </c>
      <c r="CQ81" s="28" t="n">
        <v>0</v>
      </c>
      <c r="CR81" s="28" t="n">
        <v>0</v>
      </c>
      <c r="CS81" s="28" t="n">
        <v>0</v>
      </c>
      <c r="CT81" s="28" t="n">
        <v>0</v>
      </c>
      <c r="CU81" s="28" t="n">
        <v>0</v>
      </c>
      <c r="CV81" s="28" t="n">
        <v>0</v>
      </c>
      <c r="CW81" s="28" t="n">
        <v>0</v>
      </c>
      <c r="CX81" s="28" t="n">
        <v>0</v>
      </c>
      <c r="CY81" s="28" t="n">
        <v>0</v>
      </c>
      <c r="CZ81" s="28" t="n">
        <v>0</v>
      </c>
      <c r="DA81" s="28" t="n">
        <v>0</v>
      </c>
    </row>
    <row r="82">
      <c r="A82" t="inlineStr">
        <is>
          <t>TPP-611</t>
        </is>
      </c>
      <c r="B82" s="28" t="n">
        <v>0</v>
      </c>
      <c r="C82" s="28" t="n">
        <v>0</v>
      </c>
      <c r="D82" s="28" t="n">
        <v>0</v>
      </c>
      <c r="E82" s="28" t="n">
        <v>0</v>
      </c>
      <c r="F82" s="28" t="n">
        <v>0</v>
      </c>
      <c r="G82" s="28" t="n">
        <v>0</v>
      </c>
      <c r="H82" s="28" t="n">
        <v>0</v>
      </c>
      <c r="I82" s="28" t="n">
        <v>0</v>
      </c>
      <c r="J82" s="28" t="n">
        <v>0</v>
      </c>
      <c r="K82" s="28" t="n">
        <v>0</v>
      </c>
      <c r="L82" s="28" t="n">
        <v>0</v>
      </c>
      <c r="M82" s="28" t="n">
        <v>0</v>
      </c>
      <c r="N82" s="28" t="n">
        <v>0</v>
      </c>
      <c r="O82" s="28" t="n">
        <v>0</v>
      </c>
      <c r="P82" s="28" t="n">
        <v>0</v>
      </c>
      <c r="Q82" s="28" t="n">
        <v>0</v>
      </c>
      <c r="R82" s="28" t="n">
        <v>0</v>
      </c>
      <c r="S82" s="28" t="n">
        <v>0</v>
      </c>
      <c r="T82" s="28" t="n">
        <v>0</v>
      </c>
      <c r="U82" s="28" t="n">
        <v>0</v>
      </c>
      <c r="V82" s="28" t="n">
        <v>0</v>
      </c>
      <c r="W82" s="28" t="n">
        <v>0</v>
      </c>
      <c r="X82" s="28" t="n">
        <v>0</v>
      </c>
      <c r="Y82" s="28" t="n">
        <v>0</v>
      </c>
      <c r="Z82" s="28" t="n">
        <v>0</v>
      </c>
      <c r="AA82" s="28" t="n">
        <v>0</v>
      </c>
      <c r="AB82" s="28" t="n">
        <v>0</v>
      </c>
      <c r="AC82" s="28" t="n">
        <v>0</v>
      </c>
      <c r="AD82" s="28" t="n">
        <v>0</v>
      </c>
      <c r="AE82" s="28" t="n">
        <v>0</v>
      </c>
      <c r="AF82" s="28" t="n">
        <v>0</v>
      </c>
      <c r="AG82" s="28" t="n">
        <v>0</v>
      </c>
      <c r="AH82" s="28" t="n">
        <v>0</v>
      </c>
      <c r="AI82" s="28" t="n">
        <v>0</v>
      </c>
      <c r="AJ82" s="28" t="n">
        <v>0</v>
      </c>
      <c r="AK82" s="28" t="n">
        <v>0</v>
      </c>
      <c r="AL82" s="28" t="n">
        <v>0</v>
      </c>
      <c r="AM82" s="28" t="n">
        <v>0</v>
      </c>
      <c r="AN82" s="28" t="n">
        <v>0</v>
      </c>
      <c r="AO82" s="28" t="n">
        <v>0</v>
      </c>
      <c r="AP82" s="28" t="n">
        <v>0</v>
      </c>
      <c r="AQ82" s="28" t="n">
        <v>0</v>
      </c>
      <c r="AR82" s="28" t="n">
        <v>0</v>
      </c>
      <c r="AS82" s="28" t="n">
        <v>0</v>
      </c>
      <c r="AT82" s="28" t="n">
        <v>0</v>
      </c>
      <c r="AU82" s="28" t="n">
        <v>0</v>
      </c>
      <c r="AV82" s="28" t="n">
        <v>0</v>
      </c>
      <c r="AW82" s="28" t="n">
        <v>0</v>
      </c>
      <c r="AX82" s="28" t="n">
        <v>0</v>
      </c>
      <c r="AY82" s="28" t="n">
        <v>0</v>
      </c>
      <c r="AZ82" s="28" t="n">
        <v>0</v>
      </c>
      <c r="BA82" s="28" t="n">
        <v>0</v>
      </c>
      <c r="BB82" s="28" t="n">
        <v>0</v>
      </c>
      <c r="BC82" s="28" t="n">
        <v>0</v>
      </c>
      <c r="BD82" s="28" t="n">
        <v>0</v>
      </c>
      <c r="BE82" s="28" t="n">
        <v>0</v>
      </c>
      <c r="BF82" s="28" t="n">
        <v>0</v>
      </c>
      <c r="BG82" s="28" t="n">
        <v>0</v>
      </c>
      <c r="BH82" s="28" t="n">
        <v>0</v>
      </c>
      <c r="BI82" s="28" t="n">
        <v>0</v>
      </c>
      <c r="BJ82" s="28" t="n">
        <v>0</v>
      </c>
      <c r="BK82" s="28" t="n">
        <v>0</v>
      </c>
      <c r="BL82" s="28" t="n">
        <v>0</v>
      </c>
      <c r="BM82" s="28" t="n">
        <v>0</v>
      </c>
      <c r="BN82" s="28" t="n">
        <v>0</v>
      </c>
      <c r="BO82" s="28" t="n">
        <v>0</v>
      </c>
      <c r="BP82" s="28" t="n">
        <v>0</v>
      </c>
      <c r="BQ82" s="28" t="n">
        <v>0</v>
      </c>
      <c r="BR82" s="28" t="n">
        <v>0</v>
      </c>
      <c r="BS82" s="28" t="n">
        <v>0</v>
      </c>
      <c r="BT82" s="28" t="n">
        <v>0</v>
      </c>
      <c r="BU82" s="28" t="n">
        <v>0</v>
      </c>
      <c r="BV82" s="28" t="n">
        <v>0</v>
      </c>
      <c r="BW82" s="28" t="n">
        <v>0</v>
      </c>
      <c r="BX82" s="28" t="n">
        <v>0</v>
      </c>
      <c r="BY82" s="28" t="n">
        <v>0</v>
      </c>
      <c r="BZ82" s="28" t="n">
        <v>0</v>
      </c>
      <c r="CA82" s="28" t="n">
        <v>0</v>
      </c>
      <c r="CB82" s="28" t="n">
        <v>0</v>
      </c>
      <c r="CC82" s="28" t="n">
        <v>0</v>
      </c>
      <c r="CD82" s="28" t="n">
        <v>0</v>
      </c>
      <c r="CE82" s="28" t="n">
        <v>0</v>
      </c>
      <c r="CF82" s="28" t="n">
        <v>0</v>
      </c>
      <c r="CG82" s="28" t="n">
        <v>0</v>
      </c>
      <c r="CH82" s="28" t="n">
        <v>0</v>
      </c>
      <c r="CI82" s="28" t="n">
        <v>0</v>
      </c>
      <c r="CJ82" s="28" t="n">
        <v>0</v>
      </c>
      <c r="CK82" s="28" t="n">
        <v>0</v>
      </c>
      <c r="CL82" s="28" t="n">
        <v>0</v>
      </c>
      <c r="CM82" s="28" t="n">
        <v>0</v>
      </c>
      <c r="CN82" s="28" t="n">
        <v>0</v>
      </c>
      <c r="CO82" s="28" t="n">
        <v>0</v>
      </c>
      <c r="CP82" s="28" t="n">
        <v>0</v>
      </c>
      <c r="CQ82" s="28" t="n">
        <v>0</v>
      </c>
      <c r="CR82" s="28" t="n">
        <v>0</v>
      </c>
      <c r="CS82" s="28" t="n">
        <v>0</v>
      </c>
      <c r="CT82" s="28" t="n">
        <v>0</v>
      </c>
      <c r="CU82" s="28" t="n">
        <v>0</v>
      </c>
      <c r="CV82" s="28" t="n">
        <v>0</v>
      </c>
      <c r="CW82" s="28" t="n">
        <v>0</v>
      </c>
      <c r="CX82" s="28" t="n">
        <v>0</v>
      </c>
      <c r="CY82" s="28" t="n">
        <v>0</v>
      </c>
      <c r="CZ82" s="28" t="n">
        <v>0</v>
      </c>
      <c r="DA82" s="28" t="n">
        <v>0</v>
      </c>
    </row>
    <row r="83">
      <c r="A83" t="inlineStr">
        <is>
          <t>TPP-613</t>
        </is>
      </c>
      <c r="B83" s="28" t="n">
        <v>0</v>
      </c>
      <c r="C83" s="28" t="n">
        <v>0</v>
      </c>
      <c r="D83" s="28" t="n">
        <v>0</v>
      </c>
      <c r="E83" s="28" t="n">
        <v>0</v>
      </c>
      <c r="F83" s="28" t="n">
        <v>0</v>
      </c>
      <c r="G83" s="28" t="n">
        <v>0</v>
      </c>
      <c r="H83" s="28" t="n">
        <v>0</v>
      </c>
      <c r="I83" s="28" t="n">
        <v>0</v>
      </c>
      <c r="J83" s="28" t="n">
        <v>0</v>
      </c>
      <c r="K83" s="28" t="n">
        <v>0</v>
      </c>
      <c r="L83" s="28" t="n">
        <v>0</v>
      </c>
      <c r="M83" s="28" t="n">
        <v>0</v>
      </c>
      <c r="N83" s="28" t="n">
        <v>0</v>
      </c>
      <c r="O83" s="28" t="n">
        <v>0</v>
      </c>
      <c r="P83" s="28" t="n">
        <v>0</v>
      </c>
      <c r="Q83" s="28" t="n">
        <v>0</v>
      </c>
      <c r="R83" s="28" t="n">
        <v>0</v>
      </c>
      <c r="S83" s="28" t="n">
        <v>0</v>
      </c>
      <c r="T83" s="28" t="n">
        <v>0</v>
      </c>
      <c r="U83" s="28" t="n">
        <v>0</v>
      </c>
      <c r="V83" s="28" t="n">
        <v>0</v>
      </c>
      <c r="W83" s="28" t="n">
        <v>0</v>
      </c>
      <c r="X83" s="28" t="n">
        <v>0</v>
      </c>
      <c r="Y83" s="28" t="n">
        <v>0</v>
      </c>
      <c r="Z83" s="28" t="n">
        <v>0</v>
      </c>
      <c r="AA83" s="28" t="n">
        <v>0</v>
      </c>
      <c r="AB83" s="28" t="n">
        <v>0</v>
      </c>
      <c r="AC83" s="28" t="n">
        <v>0</v>
      </c>
      <c r="AD83" s="28" t="n">
        <v>0</v>
      </c>
      <c r="AE83" s="28" t="n">
        <v>0</v>
      </c>
      <c r="AF83" s="28" t="n">
        <v>0</v>
      </c>
      <c r="AG83" s="28" t="n">
        <v>0</v>
      </c>
      <c r="AH83" s="28" t="n">
        <v>0</v>
      </c>
      <c r="AI83" s="28" t="n">
        <v>0</v>
      </c>
      <c r="AJ83" s="28" t="n">
        <v>0</v>
      </c>
      <c r="AK83" s="28" t="n">
        <v>0</v>
      </c>
      <c r="AL83" s="28" t="n">
        <v>0</v>
      </c>
      <c r="AM83" s="28" t="n">
        <v>0</v>
      </c>
      <c r="AN83" s="28" t="n">
        <v>0</v>
      </c>
      <c r="AO83" s="28" t="n">
        <v>0</v>
      </c>
      <c r="AP83" s="28" t="n">
        <v>0</v>
      </c>
      <c r="AQ83" s="28" t="n">
        <v>0</v>
      </c>
      <c r="AR83" s="28" t="n">
        <v>0</v>
      </c>
      <c r="AS83" s="28" t="n">
        <v>0</v>
      </c>
      <c r="AT83" s="28" t="n">
        <v>0</v>
      </c>
      <c r="AU83" s="28" t="n">
        <v>0</v>
      </c>
      <c r="AV83" s="28" t="n">
        <v>0</v>
      </c>
      <c r="AW83" s="28" t="n">
        <v>0</v>
      </c>
      <c r="AX83" s="28" t="n">
        <v>0</v>
      </c>
      <c r="AY83" s="28" t="n">
        <v>0</v>
      </c>
      <c r="AZ83" s="28" t="n">
        <v>0</v>
      </c>
      <c r="BA83" s="28" t="n">
        <v>0</v>
      </c>
      <c r="BB83" s="28" t="n">
        <v>0</v>
      </c>
      <c r="BC83" s="28" t="n">
        <v>0</v>
      </c>
      <c r="BD83" s="28" t="n">
        <v>0</v>
      </c>
      <c r="BE83" s="28" t="n">
        <v>0</v>
      </c>
      <c r="BF83" s="28" t="n">
        <v>0</v>
      </c>
      <c r="BG83" s="28" t="n">
        <v>0</v>
      </c>
      <c r="BH83" s="28" t="n">
        <v>0</v>
      </c>
      <c r="BI83" s="28" t="n">
        <v>0</v>
      </c>
      <c r="BJ83" s="28" t="n">
        <v>0</v>
      </c>
      <c r="BK83" s="28" t="n">
        <v>0</v>
      </c>
      <c r="BL83" s="28" t="n">
        <v>0</v>
      </c>
      <c r="BM83" s="28" t="n">
        <v>0</v>
      </c>
      <c r="BN83" s="28" t="n">
        <v>0</v>
      </c>
      <c r="BO83" s="28" t="n">
        <v>0</v>
      </c>
      <c r="BP83" s="28" t="n">
        <v>0</v>
      </c>
      <c r="BQ83" s="28" t="n">
        <v>0</v>
      </c>
      <c r="BR83" s="28" t="n">
        <v>0</v>
      </c>
      <c r="BS83" s="28" t="n">
        <v>0</v>
      </c>
      <c r="BT83" s="28" t="n">
        <v>0</v>
      </c>
      <c r="BU83" s="28" t="n">
        <v>0</v>
      </c>
      <c r="BV83" s="28" t="n">
        <v>0</v>
      </c>
      <c r="BW83" s="28" t="n">
        <v>0</v>
      </c>
      <c r="BX83" s="28" t="n">
        <v>0</v>
      </c>
      <c r="BY83" s="28" t="n">
        <v>0</v>
      </c>
      <c r="BZ83" s="28" t="n">
        <v>0</v>
      </c>
      <c r="CA83" s="28" t="n">
        <v>0</v>
      </c>
      <c r="CB83" s="28" t="n">
        <v>0</v>
      </c>
      <c r="CC83" s="28" t="n">
        <v>0</v>
      </c>
      <c r="CD83" s="28" t="n">
        <v>0</v>
      </c>
      <c r="CE83" s="28" t="n">
        <v>0</v>
      </c>
      <c r="CF83" s="28" t="n">
        <v>0</v>
      </c>
      <c r="CG83" s="28" t="n">
        <v>0</v>
      </c>
      <c r="CH83" s="28" t="n">
        <v>0</v>
      </c>
      <c r="CI83" s="28" t="n">
        <v>0</v>
      </c>
      <c r="CJ83" s="28" t="n">
        <v>0</v>
      </c>
      <c r="CK83" s="28" t="n">
        <v>0</v>
      </c>
      <c r="CL83" s="28" t="n">
        <v>0</v>
      </c>
      <c r="CM83" s="28" t="n">
        <v>0</v>
      </c>
      <c r="CN83" s="28" t="n">
        <v>0</v>
      </c>
      <c r="CO83" s="28" t="n">
        <v>0</v>
      </c>
      <c r="CP83" s="28" t="n">
        <v>0</v>
      </c>
      <c r="CQ83" s="28" t="n">
        <v>0</v>
      </c>
      <c r="CR83" s="28" t="n">
        <v>0</v>
      </c>
      <c r="CS83" s="28" t="n">
        <v>0</v>
      </c>
      <c r="CT83" s="28" t="n">
        <v>0</v>
      </c>
      <c r="CU83" s="28" t="n">
        <v>0</v>
      </c>
      <c r="CV83" s="28" t="n">
        <v>0</v>
      </c>
      <c r="CW83" s="28" t="n">
        <v>0</v>
      </c>
      <c r="CX83" s="28" t="n">
        <v>0</v>
      </c>
      <c r="CY83" s="28" t="n">
        <v>0</v>
      </c>
      <c r="CZ83" s="28" t="n">
        <v>0</v>
      </c>
      <c r="DA83" s="28" t="n">
        <v>0</v>
      </c>
    </row>
    <row r="84">
      <c r="A84" t="inlineStr">
        <is>
          <t>TPP-635</t>
        </is>
      </c>
      <c r="B84" s="28" t="n">
        <v>0</v>
      </c>
      <c r="C84" s="28" t="n">
        <v>0</v>
      </c>
      <c r="D84" s="28" t="n">
        <v>0</v>
      </c>
      <c r="E84" s="28" t="n">
        <v>0</v>
      </c>
      <c r="F84" s="28" t="n">
        <v>0</v>
      </c>
      <c r="G84" s="28" t="n">
        <v>0</v>
      </c>
      <c r="H84" s="28" t="n">
        <v>0</v>
      </c>
      <c r="I84" s="28" t="n">
        <v>0</v>
      </c>
      <c r="J84" s="28" t="n">
        <v>0</v>
      </c>
      <c r="K84" s="28" t="n">
        <v>0</v>
      </c>
      <c r="L84" s="28" t="n">
        <v>0</v>
      </c>
      <c r="M84" s="28" t="n">
        <v>0</v>
      </c>
      <c r="N84" s="28" t="n">
        <v>0</v>
      </c>
      <c r="O84" s="28" t="n">
        <v>0</v>
      </c>
      <c r="P84" s="28" t="n">
        <v>0</v>
      </c>
      <c r="Q84" s="28" t="n">
        <v>0</v>
      </c>
      <c r="R84" s="28" t="n">
        <v>0</v>
      </c>
      <c r="S84" s="28" t="n">
        <v>0</v>
      </c>
      <c r="T84" s="28" t="n">
        <v>0</v>
      </c>
      <c r="U84" s="28" t="n">
        <v>0</v>
      </c>
      <c r="V84" s="28" t="n">
        <v>0</v>
      </c>
      <c r="W84" s="28" t="n">
        <v>0</v>
      </c>
      <c r="X84" s="28" t="n">
        <v>0</v>
      </c>
      <c r="Y84" s="28" t="n">
        <v>0</v>
      </c>
      <c r="Z84" s="28" t="n">
        <v>0</v>
      </c>
      <c r="AA84" s="28" t="n">
        <v>0</v>
      </c>
      <c r="AB84" s="28" t="n">
        <v>0</v>
      </c>
      <c r="AC84" s="28" t="n">
        <v>0</v>
      </c>
      <c r="AD84" s="28" t="n">
        <v>0</v>
      </c>
      <c r="AE84" s="28" t="n">
        <v>0</v>
      </c>
      <c r="AF84" s="28" t="n">
        <v>0</v>
      </c>
      <c r="AG84" s="28" t="n">
        <v>0</v>
      </c>
      <c r="AH84" s="28" t="n">
        <v>0</v>
      </c>
      <c r="AI84" s="28" t="n">
        <v>0</v>
      </c>
      <c r="AJ84" s="28" t="n">
        <v>0</v>
      </c>
      <c r="AK84" s="28" t="n">
        <v>0</v>
      </c>
      <c r="AL84" s="28" t="n">
        <v>0</v>
      </c>
      <c r="AM84" s="28" t="n">
        <v>0</v>
      </c>
      <c r="AN84" s="28" t="n">
        <v>0</v>
      </c>
      <c r="AO84" s="28" t="n">
        <v>0</v>
      </c>
      <c r="AP84" s="28" t="n">
        <v>0</v>
      </c>
      <c r="AQ84" s="28" t="n">
        <v>0</v>
      </c>
      <c r="AR84" s="28" t="n">
        <v>0</v>
      </c>
      <c r="AS84" s="28" t="n">
        <v>0</v>
      </c>
      <c r="AT84" s="28" t="n">
        <v>0</v>
      </c>
      <c r="AU84" s="28" t="n">
        <v>0</v>
      </c>
      <c r="AV84" s="28" t="n">
        <v>0</v>
      </c>
      <c r="AW84" s="28" t="n">
        <v>0</v>
      </c>
      <c r="AX84" s="28" t="n">
        <v>0</v>
      </c>
      <c r="AY84" s="28" t="n">
        <v>0</v>
      </c>
      <c r="AZ84" s="28" t="n">
        <v>0</v>
      </c>
      <c r="BA84" s="28" t="n">
        <v>0</v>
      </c>
      <c r="BB84" s="28" t="n">
        <v>0</v>
      </c>
      <c r="BC84" s="28" t="n">
        <v>0</v>
      </c>
      <c r="BD84" s="28" t="n">
        <v>0</v>
      </c>
      <c r="BE84" s="28" t="n">
        <v>0</v>
      </c>
      <c r="BF84" s="28" t="n">
        <v>0</v>
      </c>
      <c r="BG84" s="28" t="n">
        <v>0</v>
      </c>
      <c r="BH84" s="28" t="n">
        <v>0</v>
      </c>
      <c r="BI84" s="28" t="n">
        <v>0</v>
      </c>
      <c r="BJ84" s="28" t="n">
        <v>0</v>
      </c>
      <c r="BK84" s="28" t="n">
        <v>0</v>
      </c>
      <c r="BL84" s="28" t="n">
        <v>0</v>
      </c>
      <c r="BM84" s="28" t="n">
        <v>0</v>
      </c>
      <c r="BN84" s="28" t="n">
        <v>0</v>
      </c>
      <c r="BO84" s="28" t="n">
        <v>0</v>
      </c>
      <c r="BP84" s="28" t="n">
        <v>0</v>
      </c>
      <c r="BQ84" s="28" t="n">
        <v>0</v>
      </c>
      <c r="BR84" s="28" t="n">
        <v>0</v>
      </c>
      <c r="BS84" s="28" t="n">
        <v>0</v>
      </c>
      <c r="BT84" s="28" t="n">
        <v>0</v>
      </c>
      <c r="BU84" s="28" t="n">
        <v>0</v>
      </c>
      <c r="BV84" s="28" t="n">
        <v>0</v>
      </c>
      <c r="BW84" s="28" t="n">
        <v>0</v>
      </c>
      <c r="BX84" s="28" t="n">
        <v>0</v>
      </c>
      <c r="BY84" s="28" t="n">
        <v>0</v>
      </c>
      <c r="BZ84" s="28" t="n">
        <v>0</v>
      </c>
      <c r="CA84" s="28" t="n">
        <v>0</v>
      </c>
      <c r="CB84" s="28" t="n">
        <v>0</v>
      </c>
      <c r="CC84" s="28" t="n">
        <v>0</v>
      </c>
      <c r="CD84" s="28" t="n">
        <v>0</v>
      </c>
      <c r="CE84" s="28" t="n">
        <v>0</v>
      </c>
      <c r="CF84" s="28" t="n">
        <v>0</v>
      </c>
      <c r="CG84" s="28" t="n">
        <v>0</v>
      </c>
      <c r="CH84" s="28" t="n">
        <v>0</v>
      </c>
      <c r="CI84" s="28" t="n">
        <v>0</v>
      </c>
      <c r="CJ84" s="28" t="n">
        <v>0</v>
      </c>
      <c r="CK84" s="28" t="n">
        <v>0</v>
      </c>
      <c r="CL84" s="28" t="n">
        <v>0</v>
      </c>
      <c r="CM84" s="28" t="n">
        <v>0</v>
      </c>
      <c r="CN84" s="28" t="n">
        <v>0</v>
      </c>
      <c r="CO84" s="28" t="n">
        <v>0</v>
      </c>
      <c r="CP84" s="28" t="n">
        <v>0</v>
      </c>
      <c r="CQ84" s="28" t="n">
        <v>0</v>
      </c>
      <c r="CR84" s="28" t="n">
        <v>0</v>
      </c>
      <c r="CS84" s="28" t="n">
        <v>0</v>
      </c>
      <c r="CT84" s="28" t="n">
        <v>0</v>
      </c>
      <c r="CU84" s="28" t="n">
        <v>0</v>
      </c>
      <c r="CV84" s="28" t="n">
        <v>0</v>
      </c>
      <c r="CW84" s="28" t="n">
        <v>0</v>
      </c>
      <c r="CX84" s="28" t="n">
        <v>0</v>
      </c>
      <c r="CY84" s="28" t="n">
        <v>0</v>
      </c>
      <c r="CZ84" s="28" t="n">
        <v>0</v>
      </c>
      <c r="DA84" s="28" t="n">
        <v>0</v>
      </c>
    </row>
    <row r="85">
      <c r="A85" t="inlineStr">
        <is>
          <t>TPP-649</t>
        </is>
      </c>
      <c r="B85" s="28" t="n">
        <v>0</v>
      </c>
      <c r="C85" s="28" t="n">
        <v>0</v>
      </c>
      <c r="D85" s="28" t="n">
        <v>0</v>
      </c>
      <c r="E85" s="28" t="n">
        <v>0</v>
      </c>
      <c r="F85" s="28" t="n">
        <v>0</v>
      </c>
      <c r="G85" s="28" t="n">
        <v>0</v>
      </c>
      <c r="H85" s="28" t="n">
        <v>0</v>
      </c>
      <c r="I85" s="28" t="n">
        <v>0</v>
      </c>
      <c r="J85" s="28" t="n">
        <v>0</v>
      </c>
      <c r="K85" s="28" t="n">
        <v>0</v>
      </c>
      <c r="L85" s="28" t="n">
        <v>0</v>
      </c>
      <c r="M85" s="28" t="n">
        <v>0</v>
      </c>
      <c r="N85" s="28" t="n">
        <v>0</v>
      </c>
      <c r="O85" s="28" t="n">
        <v>0</v>
      </c>
      <c r="P85" s="28" t="n">
        <v>0</v>
      </c>
      <c r="Q85" s="28" t="n">
        <v>0</v>
      </c>
      <c r="R85" s="28" t="n">
        <v>0</v>
      </c>
      <c r="S85" s="28" t="n">
        <v>0</v>
      </c>
      <c r="T85" s="28" t="n">
        <v>0</v>
      </c>
      <c r="U85" s="28" t="n">
        <v>0</v>
      </c>
      <c r="V85" s="28" t="n">
        <v>0</v>
      </c>
      <c r="W85" s="28" t="n">
        <v>0</v>
      </c>
      <c r="X85" s="28" t="n">
        <v>0</v>
      </c>
      <c r="Y85" s="28" t="n">
        <v>0</v>
      </c>
      <c r="Z85" s="28" t="n">
        <v>0</v>
      </c>
      <c r="AA85" s="28" t="n">
        <v>0</v>
      </c>
      <c r="AB85" s="28" t="n">
        <v>0</v>
      </c>
      <c r="AC85" s="28" t="n">
        <v>0</v>
      </c>
      <c r="AD85" s="28" t="n">
        <v>0</v>
      </c>
      <c r="AE85" s="28" t="n">
        <v>0</v>
      </c>
      <c r="AF85" s="28" t="n">
        <v>0</v>
      </c>
      <c r="AG85" s="28" t="n">
        <v>0</v>
      </c>
      <c r="AH85" s="28" t="n">
        <v>0</v>
      </c>
      <c r="AI85" s="28" t="n">
        <v>0</v>
      </c>
      <c r="AJ85" s="28" t="n">
        <v>0</v>
      </c>
      <c r="AK85" s="28" t="n">
        <v>0</v>
      </c>
      <c r="AL85" s="28" t="n">
        <v>0</v>
      </c>
      <c r="AM85" s="28" t="n">
        <v>0</v>
      </c>
      <c r="AN85" s="28" t="n">
        <v>0</v>
      </c>
      <c r="AO85" s="28" t="n">
        <v>0</v>
      </c>
      <c r="AP85" s="28" t="n">
        <v>0</v>
      </c>
      <c r="AQ85" s="28" t="n">
        <v>0</v>
      </c>
      <c r="AR85" s="28" t="n">
        <v>0</v>
      </c>
      <c r="AS85" s="28" t="n">
        <v>0</v>
      </c>
      <c r="AT85" s="28" t="n">
        <v>0</v>
      </c>
      <c r="AU85" s="28" t="n">
        <v>0</v>
      </c>
      <c r="AV85" s="28" t="n">
        <v>0</v>
      </c>
      <c r="AW85" s="28" t="n">
        <v>0</v>
      </c>
      <c r="AX85" s="28" t="n">
        <v>0</v>
      </c>
      <c r="AY85" s="28" t="n">
        <v>0</v>
      </c>
      <c r="AZ85" s="28" t="n">
        <v>0</v>
      </c>
      <c r="BA85" s="28" t="n">
        <v>0</v>
      </c>
      <c r="BB85" s="28" t="n">
        <v>0</v>
      </c>
      <c r="BC85" s="28" t="n">
        <v>0</v>
      </c>
      <c r="BD85" s="28" t="n">
        <v>0</v>
      </c>
      <c r="BE85" s="28" t="n">
        <v>0</v>
      </c>
      <c r="BF85" s="28" t="n">
        <v>0</v>
      </c>
      <c r="BG85" s="28" t="n">
        <v>0</v>
      </c>
      <c r="BH85" s="28" t="n">
        <v>0</v>
      </c>
      <c r="BI85" s="28" t="n">
        <v>0</v>
      </c>
      <c r="BJ85" s="28" t="n">
        <v>0</v>
      </c>
      <c r="BK85" s="28" t="n">
        <v>0</v>
      </c>
      <c r="BL85" s="28" t="n">
        <v>0</v>
      </c>
      <c r="BM85" s="28" t="n">
        <v>0</v>
      </c>
      <c r="BN85" s="28" t="n">
        <v>0</v>
      </c>
      <c r="BO85" s="28" t="n">
        <v>0</v>
      </c>
      <c r="BP85" s="28" t="n">
        <v>0</v>
      </c>
      <c r="BQ85" s="28" t="n">
        <v>0</v>
      </c>
      <c r="BR85" s="28" t="n">
        <v>0</v>
      </c>
      <c r="BS85" s="28" t="n">
        <v>0</v>
      </c>
      <c r="BT85" s="28" t="n">
        <v>0</v>
      </c>
      <c r="BU85" s="28" t="n">
        <v>0</v>
      </c>
      <c r="BV85" s="28" t="n">
        <v>0</v>
      </c>
      <c r="BW85" s="28" t="n">
        <v>0</v>
      </c>
      <c r="BX85" s="28" t="n">
        <v>0</v>
      </c>
      <c r="BY85" s="28" t="n">
        <v>0</v>
      </c>
      <c r="BZ85" s="28" t="n">
        <v>0</v>
      </c>
      <c r="CA85" s="28" t="n">
        <v>0</v>
      </c>
      <c r="CB85" s="28" t="n">
        <v>0</v>
      </c>
      <c r="CC85" s="28" t="n">
        <v>0</v>
      </c>
      <c r="CD85" s="28" t="n">
        <v>0</v>
      </c>
      <c r="CE85" s="28" t="n">
        <v>0</v>
      </c>
      <c r="CF85" s="28" t="n">
        <v>0</v>
      </c>
      <c r="CG85" s="28" t="n">
        <v>0</v>
      </c>
      <c r="CH85" s="28" t="n">
        <v>0</v>
      </c>
      <c r="CI85" s="28" t="n">
        <v>0</v>
      </c>
      <c r="CJ85" s="28" t="n">
        <v>0</v>
      </c>
      <c r="CK85" s="28" t="n">
        <v>0</v>
      </c>
      <c r="CL85" s="28" t="n">
        <v>0</v>
      </c>
      <c r="CM85" s="28" t="n">
        <v>0</v>
      </c>
      <c r="CN85" s="28" t="n">
        <v>0</v>
      </c>
      <c r="CO85" s="28" t="n">
        <v>0</v>
      </c>
      <c r="CP85" s="28" t="n">
        <v>0</v>
      </c>
      <c r="CQ85" s="28" t="n">
        <v>0</v>
      </c>
      <c r="CR85" s="28" t="n">
        <v>0</v>
      </c>
      <c r="CS85" s="28" t="n">
        <v>0</v>
      </c>
      <c r="CT85" s="28" t="n">
        <v>0</v>
      </c>
      <c r="CU85" s="28" t="n">
        <v>0</v>
      </c>
      <c r="CV85" s="28" t="n">
        <v>0</v>
      </c>
      <c r="CW85" s="28" t="n">
        <v>0</v>
      </c>
      <c r="CX85" s="28" t="n">
        <v>0</v>
      </c>
      <c r="CY85" s="28" t="n">
        <v>0</v>
      </c>
      <c r="CZ85" s="28" t="n">
        <v>0</v>
      </c>
      <c r="DA85" s="28" t="n">
        <v>0</v>
      </c>
    </row>
    <row r="86">
      <c r="A86" t="inlineStr">
        <is>
          <t>TPP-650</t>
        </is>
      </c>
      <c r="B86" s="28" t="n">
        <v>0</v>
      </c>
      <c r="C86" s="28" t="n">
        <v>0</v>
      </c>
      <c r="D86" s="28" t="n">
        <v>0</v>
      </c>
      <c r="E86" s="28" t="n">
        <v>0</v>
      </c>
      <c r="F86" s="28" t="n">
        <v>0</v>
      </c>
      <c r="G86" s="28" t="n">
        <v>0</v>
      </c>
      <c r="H86" s="28" t="n">
        <v>0</v>
      </c>
      <c r="I86" s="28" t="n">
        <v>0</v>
      </c>
      <c r="J86" s="28" t="n">
        <v>0</v>
      </c>
      <c r="K86" s="28" t="n">
        <v>0</v>
      </c>
      <c r="L86" s="28" t="n">
        <v>0</v>
      </c>
      <c r="M86" s="28" t="n">
        <v>0</v>
      </c>
      <c r="N86" s="28" t="n">
        <v>0</v>
      </c>
      <c r="O86" s="28" t="n">
        <v>0</v>
      </c>
      <c r="P86" s="28" t="n">
        <v>0</v>
      </c>
      <c r="Q86" s="28" t="n">
        <v>0</v>
      </c>
      <c r="R86" s="28" t="n">
        <v>0</v>
      </c>
      <c r="S86" s="28" t="n">
        <v>0</v>
      </c>
      <c r="T86" s="28" t="n">
        <v>0</v>
      </c>
      <c r="U86" s="28" t="n">
        <v>0</v>
      </c>
      <c r="V86" s="28" t="n">
        <v>0</v>
      </c>
      <c r="W86" s="28" t="n">
        <v>0</v>
      </c>
      <c r="X86" s="28" t="n">
        <v>0</v>
      </c>
      <c r="Y86" s="28" t="n">
        <v>2</v>
      </c>
      <c r="Z86" s="28" t="n">
        <v>0</v>
      </c>
      <c r="AA86" s="28" t="n">
        <v>4</v>
      </c>
      <c r="AB86" s="28" t="n">
        <v>4</v>
      </c>
      <c r="AC86" s="28" t="n">
        <v>4</v>
      </c>
      <c r="AD86" s="28" t="n">
        <v>2</v>
      </c>
      <c r="AE86" s="28" t="n">
        <v>4</v>
      </c>
      <c r="AF86" s="28" t="n">
        <v>0</v>
      </c>
      <c r="AG86" s="28" t="n">
        <v>4</v>
      </c>
      <c r="AH86" s="28" t="n">
        <v>0</v>
      </c>
      <c r="AI86" s="28" t="n">
        <v>0</v>
      </c>
      <c r="AJ86" s="28" t="n">
        <v>4</v>
      </c>
      <c r="AK86" s="28" t="n">
        <v>2</v>
      </c>
      <c r="AL86" s="28" t="n">
        <v>2</v>
      </c>
      <c r="AM86" s="28" t="n">
        <v>2</v>
      </c>
      <c r="AN86" s="28" t="n">
        <v>0</v>
      </c>
      <c r="AO86" s="28" t="n">
        <v>0</v>
      </c>
      <c r="AP86" s="28" t="n">
        <v>0</v>
      </c>
      <c r="AQ86" s="28" t="n">
        <v>2</v>
      </c>
      <c r="AR86" s="28" t="n">
        <v>4</v>
      </c>
      <c r="AS86" s="28" t="n">
        <v>2</v>
      </c>
      <c r="AT86" s="28" t="n">
        <v>2</v>
      </c>
      <c r="AU86" s="28" t="n">
        <v>2</v>
      </c>
      <c r="AV86" s="28" t="n">
        <v>2</v>
      </c>
      <c r="AW86" s="28" t="n">
        <v>4</v>
      </c>
      <c r="AX86" s="28" t="n">
        <v>0</v>
      </c>
      <c r="AY86" s="28" t="n">
        <v>0</v>
      </c>
      <c r="AZ86" s="28" t="n">
        <v>0</v>
      </c>
      <c r="BA86" s="28" t="n">
        <v>0</v>
      </c>
      <c r="BB86" s="28" t="n">
        <v>0</v>
      </c>
      <c r="BC86" s="28" t="n">
        <v>4</v>
      </c>
      <c r="BD86" s="28" t="n">
        <v>2</v>
      </c>
      <c r="BE86" s="28" t="n">
        <v>0</v>
      </c>
      <c r="BF86" s="28" t="n">
        <v>4</v>
      </c>
      <c r="BG86" s="28" t="n">
        <v>0</v>
      </c>
      <c r="BH86" s="28" t="n">
        <v>0</v>
      </c>
      <c r="BI86" s="28" t="n">
        <v>2</v>
      </c>
      <c r="BJ86" s="28" t="n">
        <v>0</v>
      </c>
      <c r="BK86" s="28" t="n">
        <v>0</v>
      </c>
      <c r="BL86" s="28" t="n">
        <v>2</v>
      </c>
      <c r="BM86" s="28" t="n">
        <v>0</v>
      </c>
      <c r="BN86" s="28" t="n">
        <v>0</v>
      </c>
      <c r="BO86" s="28" t="n">
        <v>0</v>
      </c>
      <c r="BP86" s="28" t="n">
        <v>0</v>
      </c>
      <c r="BQ86" s="28" t="n">
        <v>0</v>
      </c>
      <c r="BR86" s="28" t="n">
        <v>0</v>
      </c>
      <c r="BS86" s="28" t="n">
        <v>0</v>
      </c>
      <c r="BT86" s="28" t="n">
        <v>0</v>
      </c>
      <c r="BU86" s="28" t="n">
        <v>0</v>
      </c>
      <c r="BV86" s="28" t="n">
        <v>0</v>
      </c>
      <c r="BW86" s="28" t="n">
        <v>0</v>
      </c>
      <c r="BX86" s="28" t="n">
        <v>0</v>
      </c>
      <c r="BY86" s="28" t="n">
        <v>0</v>
      </c>
      <c r="BZ86" s="28" t="n">
        <v>0</v>
      </c>
      <c r="CA86" s="28" t="n">
        <v>0</v>
      </c>
      <c r="CB86" s="28" t="n">
        <v>0</v>
      </c>
      <c r="CC86" s="28" t="n">
        <v>0</v>
      </c>
      <c r="CD86" s="28" t="n">
        <v>0</v>
      </c>
      <c r="CE86" s="28" t="n">
        <v>0</v>
      </c>
      <c r="CF86" s="28" t="n">
        <v>0</v>
      </c>
      <c r="CG86" s="28" t="n">
        <v>0</v>
      </c>
      <c r="CH86" s="28" t="n">
        <v>0</v>
      </c>
      <c r="CI86" s="28" t="n">
        <v>0</v>
      </c>
      <c r="CJ86" s="28" t="n">
        <v>0</v>
      </c>
      <c r="CK86" s="28" t="n">
        <v>0</v>
      </c>
      <c r="CL86" s="28" t="n">
        <v>0</v>
      </c>
      <c r="CM86" s="28" t="n">
        <v>0</v>
      </c>
      <c r="CN86" s="28" t="n">
        <v>0</v>
      </c>
      <c r="CO86" s="28" t="n">
        <v>0</v>
      </c>
      <c r="CP86" s="28" t="n">
        <v>0</v>
      </c>
      <c r="CQ86" s="28" t="n">
        <v>0</v>
      </c>
      <c r="CR86" s="28" t="n">
        <v>0</v>
      </c>
      <c r="CS86" s="28" t="n">
        <v>0</v>
      </c>
      <c r="CT86" s="28" t="n">
        <v>0</v>
      </c>
      <c r="CU86" s="28" t="n">
        <v>0</v>
      </c>
      <c r="CV86" s="28" t="n">
        <v>0</v>
      </c>
      <c r="CW86" s="28" t="n">
        <v>0</v>
      </c>
      <c r="CX86" s="28" t="n">
        <v>0</v>
      </c>
      <c r="CY86" s="28" t="n">
        <v>0</v>
      </c>
      <c r="CZ86" s="28" t="n">
        <v>0</v>
      </c>
      <c r="DA86" s="28" t="n">
        <v>0</v>
      </c>
    </row>
    <row r="87">
      <c r="A87" t="inlineStr">
        <is>
          <t>TPP-699</t>
        </is>
      </c>
      <c r="B87" s="28" t="n">
        <v>0</v>
      </c>
      <c r="C87" s="28" t="n">
        <v>0</v>
      </c>
      <c r="D87" s="28" t="n">
        <v>0</v>
      </c>
      <c r="E87" s="28" t="n">
        <v>0</v>
      </c>
      <c r="F87" s="28" t="n">
        <v>0</v>
      </c>
      <c r="G87" s="28" t="n">
        <v>0</v>
      </c>
      <c r="H87" s="28" t="n">
        <v>0</v>
      </c>
      <c r="I87" s="28" t="n">
        <v>0</v>
      </c>
      <c r="J87" s="28" t="n">
        <v>0</v>
      </c>
      <c r="K87" s="28" t="n">
        <v>0</v>
      </c>
      <c r="L87" s="28" t="n">
        <v>0</v>
      </c>
      <c r="M87" s="28" t="n">
        <v>0</v>
      </c>
      <c r="N87" s="28" t="n">
        <v>0</v>
      </c>
      <c r="O87" s="28" t="n">
        <v>0</v>
      </c>
      <c r="P87" s="28" t="n">
        <v>0</v>
      </c>
      <c r="Q87" s="28" t="n">
        <v>0</v>
      </c>
      <c r="R87" s="28" t="n">
        <v>0</v>
      </c>
      <c r="S87" s="28" t="n">
        <v>0</v>
      </c>
      <c r="T87" s="28" t="n">
        <v>0</v>
      </c>
      <c r="U87" s="28" t="n">
        <v>0</v>
      </c>
      <c r="V87" s="28" t="n">
        <v>0</v>
      </c>
      <c r="W87" s="28" t="n">
        <v>0</v>
      </c>
      <c r="X87" s="28" t="n">
        <v>0</v>
      </c>
      <c r="Y87" s="28" t="n">
        <v>0</v>
      </c>
      <c r="Z87" s="28" t="n">
        <v>0</v>
      </c>
      <c r="AA87" s="28" t="n">
        <v>0</v>
      </c>
      <c r="AB87" s="28" t="n">
        <v>0</v>
      </c>
      <c r="AC87" s="28" t="n">
        <v>0</v>
      </c>
      <c r="AD87" s="28" t="n">
        <v>0</v>
      </c>
      <c r="AE87" s="28" t="n">
        <v>0</v>
      </c>
      <c r="AF87" s="28" t="n">
        <v>0</v>
      </c>
      <c r="AG87" s="28" t="n">
        <v>0</v>
      </c>
      <c r="AH87" s="28" t="n">
        <v>0</v>
      </c>
      <c r="AI87" s="28" t="n">
        <v>0</v>
      </c>
      <c r="AJ87" s="28" t="n">
        <v>0</v>
      </c>
      <c r="AK87" s="28" t="n">
        <v>0</v>
      </c>
      <c r="AL87" s="28" t="n">
        <v>0</v>
      </c>
      <c r="AM87" s="28" t="n">
        <v>0</v>
      </c>
      <c r="AN87" s="28" t="n">
        <v>0</v>
      </c>
      <c r="AO87" s="28" t="n">
        <v>0</v>
      </c>
      <c r="AP87" s="28" t="n">
        <v>0</v>
      </c>
      <c r="AQ87" s="28" t="n">
        <v>0</v>
      </c>
      <c r="AR87" s="28" t="n">
        <v>0</v>
      </c>
      <c r="AS87" s="28" t="n">
        <v>0</v>
      </c>
      <c r="AT87" s="28" t="n">
        <v>0</v>
      </c>
      <c r="AU87" s="28" t="n">
        <v>0</v>
      </c>
      <c r="AV87" s="28" t="n">
        <v>0</v>
      </c>
      <c r="AW87" s="28" t="n">
        <v>0</v>
      </c>
      <c r="AX87" s="28" t="n">
        <v>0</v>
      </c>
      <c r="AY87" s="28" t="n">
        <v>0</v>
      </c>
      <c r="AZ87" s="28" t="n">
        <v>0</v>
      </c>
      <c r="BA87" s="28" t="n">
        <v>0</v>
      </c>
      <c r="BB87" s="28" t="n">
        <v>0</v>
      </c>
      <c r="BC87" s="28" t="n">
        <v>0</v>
      </c>
      <c r="BD87" s="28" t="n">
        <v>0</v>
      </c>
      <c r="BE87" s="28" t="n">
        <v>0</v>
      </c>
      <c r="BF87" s="28" t="n">
        <v>0</v>
      </c>
      <c r="BG87" s="28" t="n">
        <v>0</v>
      </c>
      <c r="BH87" s="28" t="n">
        <v>0</v>
      </c>
      <c r="BI87" s="28" t="n">
        <v>0</v>
      </c>
      <c r="BJ87" s="28" t="n">
        <v>0</v>
      </c>
      <c r="BK87" s="28" t="n">
        <v>0</v>
      </c>
      <c r="BL87" s="28" t="n">
        <v>0</v>
      </c>
      <c r="BM87" s="28" t="n">
        <v>0</v>
      </c>
      <c r="BN87" s="28" t="n">
        <v>0</v>
      </c>
      <c r="BO87" s="28" t="n">
        <v>0</v>
      </c>
      <c r="BP87" s="28" t="n">
        <v>0</v>
      </c>
      <c r="BQ87" s="28" t="n">
        <v>0</v>
      </c>
      <c r="BR87" s="28" t="n">
        <v>0</v>
      </c>
      <c r="BS87" s="28" t="n">
        <v>0</v>
      </c>
      <c r="BT87" s="28" t="n">
        <v>0</v>
      </c>
      <c r="BU87" s="28" t="n">
        <v>0</v>
      </c>
      <c r="BV87" s="28" t="n">
        <v>0</v>
      </c>
      <c r="BW87" s="28" t="n">
        <v>0</v>
      </c>
      <c r="BX87" s="28" t="n">
        <v>0</v>
      </c>
      <c r="BY87" s="28" t="n">
        <v>0</v>
      </c>
      <c r="BZ87" s="28" t="n">
        <v>0</v>
      </c>
      <c r="CA87" s="28" t="n">
        <v>0</v>
      </c>
      <c r="CB87" s="28" t="n">
        <v>0</v>
      </c>
      <c r="CC87" s="28" t="n">
        <v>0</v>
      </c>
      <c r="CD87" s="28" t="n">
        <v>0</v>
      </c>
      <c r="CE87" s="28" t="n">
        <v>0</v>
      </c>
      <c r="CF87" s="28" t="n">
        <v>0</v>
      </c>
      <c r="CG87" s="28" t="n">
        <v>0</v>
      </c>
      <c r="CH87" s="28" t="n">
        <v>0</v>
      </c>
      <c r="CI87" s="28" t="n">
        <v>0</v>
      </c>
      <c r="CJ87" s="28" t="n">
        <v>0</v>
      </c>
      <c r="CK87" s="28" t="n">
        <v>0</v>
      </c>
      <c r="CL87" s="28" t="n">
        <v>0</v>
      </c>
      <c r="CM87" s="28" t="n">
        <v>0</v>
      </c>
      <c r="CN87" s="28" t="n">
        <v>0</v>
      </c>
      <c r="CO87" s="28" t="n">
        <v>0</v>
      </c>
      <c r="CP87" s="28" t="n">
        <v>0</v>
      </c>
      <c r="CQ87" s="28" t="n">
        <v>0</v>
      </c>
      <c r="CR87" s="28" t="n">
        <v>0</v>
      </c>
      <c r="CS87" s="28" t="n">
        <v>0</v>
      </c>
      <c r="CT87" s="28" t="n">
        <v>0</v>
      </c>
      <c r="CU87" s="28" t="n">
        <v>0</v>
      </c>
      <c r="CV87" s="28" t="n">
        <v>0</v>
      </c>
      <c r="CW87" s="28" t="n">
        <v>0</v>
      </c>
      <c r="CX87" s="28" t="n">
        <v>0</v>
      </c>
      <c r="CY87" s="28" t="n">
        <v>0</v>
      </c>
      <c r="CZ87" s="28" t="n">
        <v>0</v>
      </c>
      <c r="DA87" s="28" t="n">
        <v>0</v>
      </c>
    </row>
    <row r="88">
      <c r="A88" t="inlineStr">
        <is>
          <t>TPP-700</t>
        </is>
      </c>
      <c r="B88" s="28" t="n">
        <v>0</v>
      </c>
      <c r="C88" s="28" t="n">
        <v>0</v>
      </c>
      <c r="D88" s="28" t="n">
        <v>0</v>
      </c>
      <c r="E88" s="28" t="n">
        <v>0</v>
      </c>
      <c r="F88" s="28" t="n">
        <v>0</v>
      </c>
      <c r="G88" s="28" t="n">
        <v>0</v>
      </c>
      <c r="H88" s="28" t="n">
        <v>0</v>
      </c>
      <c r="I88" s="28" t="n">
        <v>0</v>
      </c>
      <c r="J88" s="28" t="n">
        <v>0</v>
      </c>
      <c r="K88" s="28" t="n">
        <v>0</v>
      </c>
      <c r="L88" s="28" t="n">
        <v>0</v>
      </c>
      <c r="M88" s="28" t="n">
        <v>0</v>
      </c>
      <c r="N88" s="28" t="n">
        <v>0</v>
      </c>
      <c r="O88" s="28" t="n">
        <v>0</v>
      </c>
      <c r="P88" s="28" t="n">
        <v>0</v>
      </c>
      <c r="Q88" s="28" t="n">
        <v>0</v>
      </c>
      <c r="R88" s="28" t="n">
        <v>0</v>
      </c>
      <c r="S88" s="28" t="n">
        <v>0</v>
      </c>
      <c r="T88" s="28" t="n">
        <v>0</v>
      </c>
      <c r="U88" s="28" t="n">
        <v>0</v>
      </c>
      <c r="V88" s="28" t="n">
        <v>0</v>
      </c>
      <c r="W88" s="28" t="n">
        <v>0</v>
      </c>
      <c r="X88" s="28" t="n">
        <v>0</v>
      </c>
      <c r="Y88" s="28" t="n">
        <v>0</v>
      </c>
      <c r="Z88" s="28" t="n">
        <v>0</v>
      </c>
      <c r="AA88" s="28" t="n">
        <v>0</v>
      </c>
      <c r="AB88" s="28" t="n">
        <v>0</v>
      </c>
      <c r="AC88" s="28" t="n">
        <v>0</v>
      </c>
      <c r="AD88" s="28" t="n">
        <v>0</v>
      </c>
      <c r="AE88" s="28" t="n">
        <v>0</v>
      </c>
      <c r="AF88" s="28" t="n">
        <v>0</v>
      </c>
      <c r="AG88" s="28" t="n">
        <v>0</v>
      </c>
      <c r="AH88" s="28" t="n">
        <v>0</v>
      </c>
      <c r="AI88" s="28" t="n">
        <v>0</v>
      </c>
      <c r="AJ88" s="28" t="n">
        <v>0</v>
      </c>
      <c r="AK88" s="28" t="n">
        <v>0</v>
      </c>
      <c r="AL88" s="28" t="n">
        <v>0</v>
      </c>
      <c r="AM88" s="28" t="n">
        <v>0</v>
      </c>
      <c r="AN88" s="28" t="n">
        <v>0</v>
      </c>
      <c r="AO88" s="28" t="n">
        <v>0</v>
      </c>
      <c r="AP88" s="28" t="n">
        <v>0</v>
      </c>
      <c r="AQ88" s="28" t="n">
        <v>0</v>
      </c>
      <c r="AR88" s="28" t="n">
        <v>0</v>
      </c>
      <c r="AS88" s="28" t="n">
        <v>0</v>
      </c>
      <c r="AT88" s="28" t="n">
        <v>0</v>
      </c>
      <c r="AU88" s="28" t="n">
        <v>0</v>
      </c>
      <c r="AV88" s="28" t="n">
        <v>0</v>
      </c>
      <c r="AW88" s="28" t="n">
        <v>0</v>
      </c>
      <c r="AX88" s="28" t="n">
        <v>0</v>
      </c>
      <c r="AY88" s="28" t="n">
        <v>0</v>
      </c>
      <c r="AZ88" s="28" t="n">
        <v>0</v>
      </c>
      <c r="BA88" s="28" t="n">
        <v>0</v>
      </c>
      <c r="BB88" s="28" t="n">
        <v>0</v>
      </c>
      <c r="BC88" s="28" t="n">
        <v>0</v>
      </c>
      <c r="BD88" s="28" t="n">
        <v>0</v>
      </c>
      <c r="BE88" s="28" t="n">
        <v>0</v>
      </c>
      <c r="BF88" s="28" t="n">
        <v>0</v>
      </c>
      <c r="BG88" s="28" t="n">
        <v>0</v>
      </c>
      <c r="BH88" s="28" t="n">
        <v>0</v>
      </c>
      <c r="BI88" s="28" t="n">
        <v>0</v>
      </c>
      <c r="BJ88" s="28" t="n">
        <v>0</v>
      </c>
      <c r="BK88" s="28" t="n">
        <v>0</v>
      </c>
      <c r="BL88" s="28" t="n">
        <v>0</v>
      </c>
      <c r="BM88" s="28" t="n">
        <v>0</v>
      </c>
      <c r="BN88" s="28" t="n">
        <v>0</v>
      </c>
      <c r="BO88" s="28" t="n">
        <v>0</v>
      </c>
      <c r="BP88" s="28" t="n">
        <v>0</v>
      </c>
      <c r="BQ88" s="28" t="n">
        <v>0</v>
      </c>
      <c r="BR88" s="28" t="n">
        <v>0</v>
      </c>
      <c r="BS88" s="28" t="n">
        <v>0</v>
      </c>
      <c r="BT88" s="28" t="n">
        <v>0</v>
      </c>
      <c r="BU88" s="28" t="n">
        <v>0</v>
      </c>
      <c r="BV88" s="28" t="n">
        <v>0</v>
      </c>
      <c r="BW88" s="28" t="n">
        <v>0</v>
      </c>
      <c r="BX88" s="28" t="n">
        <v>0</v>
      </c>
      <c r="BY88" s="28" t="n">
        <v>0</v>
      </c>
      <c r="BZ88" s="28" t="n">
        <v>0</v>
      </c>
      <c r="CA88" s="28" t="n">
        <v>0</v>
      </c>
      <c r="CB88" s="28" t="n">
        <v>0</v>
      </c>
      <c r="CC88" s="28" t="n">
        <v>0</v>
      </c>
      <c r="CD88" s="28" t="n">
        <v>0</v>
      </c>
      <c r="CE88" s="28" t="n">
        <v>0</v>
      </c>
      <c r="CF88" s="28" t="n">
        <v>0</v>
      </c>
      <c r="CG88" s="28" t="n">
        <v>0</v>
      </c>
      <c r="CH88" s="28" t="n">
        <v>0</v>
      </c>
      <c r="CI88" s="28" t="n">
        <v>0</v>
      </c>
      <c r="CJ88" s="28" t="n">
        <v>0</v>
      </c>
      <c r="CK88" s="28" t="n">
        <v>0</v>
      </c>
      <c r="CL88" s="28" t="n">
        <v>0</v>
      </c>
      <c r="CM88" s="28" t="n">
        <v>0</v>
      </c>
      <c r="CN88" s="28" t="n">
        <v>0</v>
      </c>
      <c r="CO88" s="28" t="n">
        <v>0</v>
      </c>
      <c r="CP88" s="28" t="n">
        <v>0</v>
      </c>
      <c r="CQ88" s="28" t="n">
        <v>0</v>
      </c>
      <c r="CR88" s="28" t="n">
        <v>0</v>
      </c>
      <c r="CS88" s="28" t="n">
        <v>0</v>
      </c>
      <c r="CT88" s="28" t="n">
        <v>0</v>
      </c>
      <c r="CU88" s="28" t="n">
        <v>0</v>
      </c>
      <c r="CV88" s="28" t="n">
        <v>0</v>
      </c>
      <c r="CW88" s="28" t="n">
        <v>0</v>
      </c>
      <c r="CX88" s="28" t="n">
        <v>0</v>
      </c>
      <c r="CY88" s="28" t="n">
        <v>0</v>
      </c>
      <c r="CZ88" s="28" t="n">
        <v>0</v>
      </c>
      <c r="DA88" s="28" t="n">
        <v>0</v>
      </c>
    </row>
    <row r="89">
      <c r="A89" t="inlineStr">
        <is>
          <t>TPP-701</t>
        </is>
      </c>
      <c r="B89" s="28" t="n">
        <v>0</v>
      </c>
      <c r="C89" s="28" t="n">
        <v>0</v>
      </c>
      <c r="D89" s="28" t="n">
        <v>0</v>
      </c>
      <c r="E89" s="28" t="n">
        <v>0</v>
      </c>
      <c r="F89" s="28" t="n">
        <v>0</v>
      </c>
      <c r="G89" s="28" t="n">
        <v>0</v>
      </c>
      <c r="H89" s="28" t="n">
        <v>0</v>
      </c>
      <c r="I89" s="28" t="n">
        <v>0</v>
      </c>
      <c r="J89" s="28" t="n">
        <v>0</v>
      </c>
      <c r="K89" s="28" t="n">
        <v>0</v>
      </c>
      <c r="L89" s="28" t="n">
        <v>0</v>
      </c>
      <c r="M89" s="28" t="n">
        <v>0</v>
      </c>
      <c r="N89" s="28" t="n">
        <v>0</v>
      </c>
      <c r="O89" s="28" t="n">
        <v>0</v>
      </c>
      <c r="P89" s="28" t="n">
        <v>0</v>
      </c>
      <c r="Q89" s="28" t="n">
        <v>0</v>
      </c>
      <c r="R89" s="28" t="n">
        <v>0</v>
      </c>
      <c r="S89" s="28" t="n">
        <v>0</v>
      </c>
      <c r="T89" s="28" t="n">
        <v>0</v>
      </c>
      <c r="U89" s="28" t="n">
        <v>0</v>
      </c>
      <c r="V89" s="28" t="n">
        <v>0</v>
      </c>
      <c r="W89" s="28" t="n">
        <v>0</v>
      </c>
      <c r="X89" s="28" t="n">
        <v>0</v>
      </c>
      <c r="Y89" s="28" t="n">
        <v>0</v>
      </c>
      <c r="Z89" s="28" t="n">
        <v>0</v>
      </c>
      <c r="AA89" s="28" t="n">
        <v>0</v>
      </c>
      <c r="AB89" s="28" t="n">
        <v>0</v>
      </c>
      <c r="AC89" s="28" t="n">
        <v>0</v>
      </c>
      <c r="AD89" s="28" t="n">
        <v>0</v>
      </c>
      <c r="AE89" s="28" t="n">
        <v>0</v>
      </c>
      <c r="AF89" s="28" t="n">
        <v>0</v>
      </c>
      <c r="AG89" s="28" t="n">
        <v>0</v>
      </c>
      <c r="AH89" s="28" t="n">
        <v>0</v>
      </c>
      <c r="AI89" s="28" t="n">
        <v>0</v>
      </c>
      <c r="AJ89" s="28" t="n">
        <v>0</v>
      </c>
      <c r="AK89" s="28" t="n">
        <v>0</v>
      </c>
      <c r="AL89" s="28" t="n">
        <v>0</v>
      </c>
      <c r="AM89" s="28" t="n">
        <v>0</v>
      </c>
      <c r="AN89" s="28" t="n">
        <v>0</v>
      </c>
      <c r="AO89" s="28" t="n">
        <v>0</v>
      </c>
      <c r="AP89" s="28" t="n">
        <v>0</v>
      </c>
      <c r="AQ89" s="28" t="n">
        <v>0</v>
      </c>
      <c r="AR89" s="28" t="n">
        <v>0</v>
      </c>
      <c r="AS89" s="28" t="n">
        <v>0</v>
      </c>
      <c r="AT89" s="28" t="n">
        <v>0</v>
      </c>
      <c r="AU89" s="28" t="n">
        <v>0</v>
      </c>
      <c r="AV89" s="28" t="n">
        <v>0</v>
      </c>
      <c r="AW89" s="28" t="n">
        <v>0</v>
      </c>
      <c r="AX89" s="28" t="n">
        <v>0</v>
      </c>
      <c r="AY89" s="28" t="n">
        <v>0</v>
      </c>
      <c r="AZ89" s="28" t="n">
        <v>0</v>
      </c>
      <c r="BA89" s="28" t="n">
        <v>0</v>
      </c>
      <c r="BB89" s="28" t="n">
        <v>0</v>
      </c>
      <c r="BC89" s="28" t="n">
        <v>0</v>
      </c>
      <c r="BD89" s="28" t="n">
        <v>0</v>
      </c>
      <c r="BE89" s="28" t="n">
        <v>0</v>
      </c>
      <c r="BF89" s="28" t="n">
        <v>0</v>
      </c>
      <c r="BG89" s="28" t="n">
        <v>0</v>
      </c>
      <c r="BH89" s="28" t="n">
        <v>0</v>
      </c>
      <c r="BI89" s="28" t="n">
        <v>0</v>
      </c>
      <c r="BJ89" s="28" t="n">
        <v>0</v>
      </c>
      <c r="BK89" s="28" t="n">
        <v>0</v>
      </c>
      <c r="BL89" s="28" t="n">
        <v>0</v>
      </c>
      <c r="BM89" s="28" t="n">
        <v>0</v>
      </c>
      <c r="BN89" s="28" t="n">
        <v>0</v>
      </c>
      <c r="BO89" s="28" t="n">
        <v>0</v>
      </c>
      <c r="BP89" s="28" t="n">
        <v>0</v>
      </c>
      <c r="BQ89" s="28" t="n">
        <v>0</v>
      </c>
      <c r="BR89" s="28" t="n">
        <v>0</v>
      </c>
      <c r="BS89" s="28" t="n">
        <v>0</v>
      </c>
      <c r="BT89" s="28" t="n">
        <v>0</v>
      </c>
      <c r="BU89" s="28" t="n">
        <v>0</v>
      </c>
      <c r="BV89" s="28" t="n">
        <v>0</v>
      </c>
      <c r="BW89" s="28" t="n">
        <v>0</v>
      </c>
      <c r="BX89" s="28" t="n">
        <v>0</v>
      </c>
      <c r="BY89" s="28" t="n">
        <v>0</v>
      </c>
      <c r="BZ89" s="28" t="n">
        <v>0</v>
      </c>
      <c r="CA89" s="28" t="n">
        <v>0</v>
      </c>
      <c r="CB89" s="28" t="n">
        <v>0</v>
      </c>
      <c r="CC89" s="28" t="n">
        <v>0</v>
      </c>
      <c r="CD89" s="28" t="n">
        <v>0</v>
      </c>
      <c r="CE89" s="28" t="n">
        <v>0</v>
      </c>
      <c r="CF89" s="28" t="n">
        <v>0</v>
      </c>
      <c r="CG89" s="28" t="n">
        <v>0</v>
      </c>
      <c r="CH89" s="28" t="n">
        <v>0</v>
      </c>
      <c r="CI89" s="28" t="n">
        <v>0</v>
      </c>
      <c r="CJ89" s="28" t="n">
        <v>0</v>
      </c>
      <c r="CK89" s="28" t="n">
        <v>0</v>
      </c>
      <c r="CL89" s="28" t="n">
        <v>0</v>
      </c>
      <c r="CM89" s="28" t="n">
        <v>0</v>
      </c>
      <c r="CN89" s="28" t="n">
        <v>0</v>
      </c>
      <c r="CO89" s="28" t="n">
        <v>0</v>
      </c>
      <c r="CP89" s="28" t="n">
        <v>0</v>
      </c>
      <c r="CQ89" s="28" t="n">
        <v>0</v>
      </c>
      <c r="CR89" s="28" t="n">
        <v>0</v>
      </c>
      <c r="CS89" s="28" t="n">
        <v>0</v>
      </c>
      <c r="CT89" s="28" t="n">
        <v>0</v>
      </c>
      <c r="CU89" s="28" t="n">
        <v>0</v>
      </c>
      <c r="CV89" s="28" t="n">
        <v>0</v>
      </c>
      <c r="CW89" s="28" t="n">
        <v>0</v>
      </c>
      <c r="CX89" s="28" t="n">
        <v>0</v>
      </c>
      <c r="CY89" s="28" t="n">
        <v>0</v>
      </c>
      <c r="CZ89" s="28" t="n">
        <v>0</v>
      </c>
      <c r="DA89" s="28" t="n">
        <v>0</v>
      </c>
    </row>
    <row r="90">
      <c r="A90" t="inlineStr">
        <is>
          <t>TPP-704</t>
        </is>
      </c>
      <c r="B90" s="28" t="n">
        <v>0</v>
      </c>
      <c r="C90" s="28" t="n">
        <v>0</v>
      </c>
      <c r="D90" s="28" t="n">
        <v>0</v>
      </c>
      <c r="E90" s="28" t="n">
        <v>0</v>
      </c>
      <c r="F90" s="28" t="n">
        <v>0</v>
      </c>
      <c r="G90" s="28" t="n">
        <v>0</v>
      </c>
      <c r="H90" s="28" t="n">
        <v>0</v>
      </c>
      <c r="I90" s="28" t="n">
        <v>0</v>
      </c>
      <c r="J90" s="28" t="n">
        <v>0</v>
      </c>
      <c r="K90" s="28" t="n">
        <v>0</v>
      </c>
      <c r="L90" s="28" t="n">
        <v>0</v>
      </c>
      <c r="M90" s="28" t="n">
        <v>0</v>
      </c>
      <c r="N90" s="28" t="n">
        <v>0</v>
      </c>
      <c r="O90" s="28" t="n">
        <v>0</v>
      </c>
      <c r="P90" s="28" t="n">
        <v>0</v>
      </c>
      <c r="Q90" s="28" t="n">
        <v>0</v>
      </c>
      <c r="R90" s="28" t="n">
        <v>0</v>
      </c>
      <c r="S90" s="28" t="n">
        <v>0</v>
      </c>
      <c r="T90" s="28" t="n">
        <v>0</v>
      </c>
      <c r="U90" s="28" t="n">
        <v>0</v>
      </c>
      <c r="V90" s="28" t="n">
        <v>0</v>
      </c>
      <c r="W90" s="28" t="n">
        <v>0</v>
      </c>
      <c r="X90" s="28" t="n">
        <v>0</v>
      </c>
      <c r="Y90" s="28" t="n">
        <v>0</v>
      </c>
      <c r="Z90" s="28" t="n">
        <v>0</v>
      </c>
      <c r="AA90" s="28" t="n">
        <v>0</v>
      </c>
      <c r="AB90" s="28" t="n">
        <v>0</v>
      </c>
      <c r="AC90" s="28" t="n">
        <v>0</v>
      </c>
      <c r="AD90" s="28" t="n">
        <v>0</v>
      </c>
      <c r="AE90" s="28" t="n">
        <v>0</v>
      </c>
      <c r="AF90" s="28" t="n">
        <v>0</v>
      </c>
      <c r="AG90" s="28" t="n">
        <v>0</v>
      </c>
      <c r="AH90" s="28" t="n">
        <v>0</v>
      </c>
      <c r="AI90" s="28" t="n">
        <v>0</v>
      </c>
      <c r="AJ90" s="28" t="n">
        <v>0</v>
      </c>
      <c r="AK90" s="28" t="n">
        <v>0</v>
      </c>
      <c r="AL90" s="28" t="n">
        <v>0</v>
      </c>
      <c r="AM90" s="28" t="n">
        <v>0</v>
      </c>
      <c r="AN90" s="28" t="n">
        <v>0</v>
      </c>
      <c r="AO90" s="28" t="n">
        <v>0</v>
      </c>
      <c r="AP90" s="28" t="n">
        <v>0</v>
      </c>
      <c r="AQ90" s="28" t="n">
        <v>0</v>
      </c>
      <c r="AR90" s="28" t="n">
        <v>0</v>
      </c>
      <c r="AS90" s="28" t="n">
        <v>0</v>
      </c>
      <c r="AT90" s="28" t="n">
        <v>0</v>
      </c>
      <c r="AU90" s="28" t="n">
        <v>0</v>
      </c>
      <c r="AV90" s="28" t="n">
        <v>0</v>
      </c>
      <c r="AW90" s="28" t="n">
        <v>0</v>
      </c>
      <c r="AX90" s="28" t="n">
        <v>0</v>
      </c>
      <c r="AY90" s="28" t="n">
        <v>0</v>
      </c>
      <c r="AZ90" s="28" t="n">
        <v>0</v>
      </c>
      <c r="BA90" s="28" t="n">
        <v>0</v>
      </c>
      <c r="BB90" s="28" t="n">
        <v>0</v>
      </c>
      <c r="BC90" s="28" t="n">
        <v>0</v>
      </c>
      <c r="BD90" s="28" t="n">
        <v>0</v>
      </c>
      <c r="BE90" s="28" t="n">
        <v>0</v>
      </c>
      <c r="BF90" s="28" t="n">
        <v>0</v>
      </c>
      <c r="BG90" s="28" t="n">
        <v>0</v>
      </c>
      <c r="BH90" s="28" t="n">
        <v>0</v>
      </c>
      <c r="BI90" s="28" t="n">
        <v>0</v>
      </c>
      <c r="BJ90" s="28" t="n">
        <v>0</v>
      </c>
      <c r="BK90" s="28" t="n">
        <v>0</v>
      </c>
      <c r="BL90" s="28" t="n">
        <v>0</v>
      </c>
      <c r="BM90" s="28" t="n">
        <v>0</v>
      </c>
      <c r="BN90" s="28" t="n">
        <v>0</v>
      </c>
      <c r="BO90" s="28" t="n">
        <v>0</v>
      </c>
      <c r="BP90" s="28" t="n">
        <v>0</v>
      </c>
      <c r="BQ90" s="28" t="n">
        <v>0</v>
      </c>
      <c r="BR90" s="28" t="n">
        <v>0</v>
      </c>
      <c r="BS90" s="28" t="n">
        <v>0</v>
      </c>
      <c r="BT90" s="28" t="n">
        <v>0</v>
      </c>
      <c r="BU90" s="28" t="n">
        <v>0</v>
      </c>
      <c r="BV90" s="28" t="n">
        <v>0</v>
      </c>
      <c r="BW90" s="28" t="n">
        <v>0</v>
      </c>
      <c r="BX90" s="28" t="n">
        <v>0</v>
      </c>
      <c r="BY90" s="28" t="n">
        <v>0</v>
      </c>
      <c r="BZ90" s="28" t="n">
        <v>0</v>
      </c>
      <c r="CA90" s="28" t="n">
        <v>0</v>
      </c>
      <c r="CB90" s="28" t="n">
        <v>0</v>
      </c>
      <c r="CC90" s="28" t="n">
        <v>0</v>
      </c>
      <c r="CD90" s="28" t="n">
        <v>0</v>
      </c>
      <c r="CE90" s="28" t="n">
        <v>0</v>
      </c>
      <c r="CF90" s="28" t="n">
        <v>0</v>
      </c>
      <c r="CG90" s="28" t="n">
        <v>0</v>
      </c>
      <c r="CH90" s="28" t="n">
        <v>0</v>
      </c>
      <c r="CI90" s="28" t="n">
        <v>0</v>
      </c>
      <c r="CJ90" s="28" t="n">
        <v>0</v>
      </c>
      <c r="CK90" s="28" t="n">
        <v>0</v>
      </c>
      <c r="CL90" s="28" t="n">
        <v>0</v>
      </c>
      <c r="CM90" s="28" t="n">
        <v>0</v>
      </c>
      <c r="CN90" s="28" t="n">
        <v>0</v>
      </c>
      <c r="CO90" s="28" t="n">
        <v>0</v>
      </c>
      <c r="CP90" s="28" t="n">
        <v>0</v>
      </c>
      <c r="CQ90" s="28" t="n">
        <v>0</v>
      </c>
      <c r="CR90" s="28" t="n">
        <v>0</v>
      </c>
      <c r="CS90" s="28" t="n">
        <v>0</v>
      </c>
      <c r="CT90" s="28" t="n">
        <v>0</v>
      </c>
      <c r="CU90" s="28" t="n">
        <v>0</v>
      </c>
      <c r="CV90" s="28" t="n">
        <v>0</v>
      </c>
      <c r="CW90" s="28" t="n">
        <v>0</v>
      </c>
      <c r="CX90" s="28" t="n">
        <v>0</v>
      </c>
      <c r="CY90" s="28" t="n">
        <v>0</v>
      </c>
      <c r="CZ90" s="28" t="n">
        <v>0</v>
      </c>
      <c r="DA90" s="28" t="n">
        <v>0</v>
      </c>
    </row>
    <row r="91">
      <c r="A91" t="inlineStr">
        <is>
          <t>TPP-825</t>
        </is>
      </c>
      <c r="B91" s="28" t="n">
        <v>0</v>
      </c>
      <c r="C91" s="28" t="n">
        <v>0</v>
      </c>
      <c r="D91" s="28" t="n">
        <v>0</v>
      </c>
      <c r="E91" s="28" t="n">
        <v>0</v>
      </c>
      <c r="F91" s="28" t="n">
        <v>0</v>
      </c>
      <c r="G91" s="28" t="n">
        <v>0</v>
      </c>
      <c r="H91" s="28" t="n">
        <v>0</v>
      </c>
      <c r="I91" s="28" t="n">
        <v>0</v>
      </c>
      <c r="J91" s="28" t="n">
        <v>0</v>
      </c>
      <c r="K91" s="28" t="n">
        <v>0</v>
      </c>
      <c r="L91" s="28" t="n">
        <v>0</v>
      </c>
      <c r="M91" s="28" t="n">
        <v>0</v>
      </c>
      <c r="N91" s="28" t="n">
        <v>0</v>
      </c>
      <c r="O91" s="28" t="n">
        <v>0</v>
      </c>
      <c r="P91" s="28" t="n">
        <v>0</v>
      </c>
      <c r="Q91" s="28" t="n">
        <v>0</v>
      </c>
      <c r="R91" s="28" t="n">
        <v>0</v>
      </c>
      <c r="S91" s="28" t="n">
        <v>0</v>
      </c>
      <c r="T91" s="28" t="n">
        <v>0</v>
      </c>
      <c r="U91" s="28" t="n">
        <v>0</v>
      </c>
      <c r="V91" s="28" t="n">
        <v>0</v>
      </c>
      <c r="W91" s="28" t="n">
        <v>0</v>
      </c>
      <c r="X91" s="28" t="n">
        <v>0</v>
      </c>
      <c r="Y91" s="28" t="n">
        <v>0</v>
      </c>
      <c r="Z91" s="28" t="n">
        <v>0</v>
      </c>
      <c r="AA91" s="28" t="n">
        <v>0</v>
      </c>
      <c r="AB91" s="28" t="n">
        <v>0</v>
      </c>
      <c r="AC91" s="28" t="n">
        <v>0</v>
      </c>
      <c r="AD91" s="28" t="n">
        <v>0</v>
      </c>
      <c r="AE91" s="28" t="n">
        <v>0</v>
      </c>
      <c r="AF91" s="28" t="n">
        <v>0</v>
      </c>
      <c r="AG91" s="28" t="n">
        <v>0</v>
      </c>
      <c r="AH91" s="28" t="n">
        <v>0</v>
      </c>
      <c r="AI91" s="28" t="n">
        <v>0</v>
      </c>
      <c r="AJ91" s="28" t="n">
        <v>0</v>
      </c>
      <c r="AK91" s="28" t="n">
        <v>0</v>
      </c>
      <c r="AL91" s="28" t="n">
        <v>0</v>
      </c>
      <c r="AM91" s="28" t="n">
        <v>0</v>
      </c>
      <c r="AN91" s="28" t="n">
        <v>0</v>
      </c>
      <c r="AO91" s="28" t="n">
        <v>0</v>
      </c>
      <c r="AP91" s="28" t="n">
        <v>0</v>
      </c>
      <c r="AQ91" s="28" t="n">
        <v>0</v>
      </c>
      <c r="AR91" s="28" t="n">
        <v>0</v>
      </c>
      <c r="AS91" s="28" t="n">
        <v>0</v>
      </c>
      <c r="AT91" s="28" t="n">
        <v>0</v>
      </c>
      <c r="AU91" s="28" t="n">
        <v>0</v>
      </c>
      <c r="AV91" s="28" t="n">
        <v>0</v>
      </c>
      <c r="AW91" s="28" t="n">
        <v>0</v>
      </c>
      <c r="AX91" s="28" t="n">
        <v>0</v>
      </c>
      <c r="AY91" s="28" t="n">
        <v>0</v>
      </c>
      <c r="AZ91" s="28" t="n">
        <v>0</v>
      </c>
      <c r="BA91" s="28" t="n">
        <v>0</v>
      </c>
      <c r="BB91" s="28" t="n">
        <v>0</v>
      </c>
      <c r="BC91" s="28" t="n">
        <v>0</v>
      </c>
      <c r="BD91" s="28" t="n">
        <v>0</v>
      </c>
      <c r="BE91" s="28" t="n">
        <v>0</v>
      </c>
      <c r="BF91" s="28" t="n">
        <v>0</v>
      </c>
      <c r="BG91" s="28" t="n">
        <v>0</v>
      </c>
      <c r="BH91" s="28" t="n">
        <v>0</v>
      </c>
      <c r="BI91" s="28" t="n">
        <v>0</v>
      </c>
      <c r="BJ91" s="28" t="n">
        <v>0</v>
      </c>
      <c r="BK91" s="28" t="n">
        <v>0</v>
      </c>
      <c r="BL91" s="28" t="n">
        <v>0</v>
      </c>
      <c r="BM91" s="28" t="n">
        <v>0</v>
      </c>
      <c r="BN91" s="28" t="n">
        <v>0</v>
      </c>
      <c r="BO91" s="28" t="n">
        <v>0</v>
      </c>
      <c r="BP91" s="28" t="n">
        <v>0</v>
      </c>
      <c r="BQ91" s="28" t="n">
        <v>0</v>
      </c>
      <c r="BR91" s="28" t="n">
        <v>0</v>
      </c>
      <c r="BS91" s="28" t="n">
        <v>0</v>
      </c>
      <c r="BT91" s="28" t="n">
        <v>0</v>
      </c>
      <c r="BU91" s="28" t="n">
        <v>0</v>
      </c>
      <c r="BV91" s="28" t="n">
        <v>0</v>
      </c>
      <c r="BW91" s="28" t="n">
        <v>0</v>
      </c>
      <c r="BX91" s="28" t="n">
        <v>0</v>
      </c>
      <c r="BY91" s="28" t="n">
        <v>0</v>
      </c>
      <c r="BZ91" s="28" t="n">
        <v>0</v>
      </c>
      <c r="CA91" s="28" t="n">
        <v>0</v>
      </c>
      <c r="CB91" s="28" t="n">
        <v>0</v>
      </c>
      <c r="CC91" s="28" t="n">
        <v>0</v>
      </c>
      <c r="CD91" s="28" t="n">
        <v>0</v>
      </c>
      <c r="CE91" s="28" t="n">
        <v>0</v>
      </c>
      <c r="CF91" s="28" t="n">
        <v>0</v>
      </c>
      <c r="CG91" s="28" t="n">
        <v>0</v>
      </c>
      <c r="CH91" s="28" t="n">
        <v>0</v>
      </c>
      <c r="CI91" s="28" t="n">
        <v>0</v>
      </c>
      <c r="CJ91" s="28" t="n">
        <v>0</v>
      </c>
      <c r="CK91" s="28" t="n">
        <v>0</v>
      </c>
      <c r="CL91" s="28" t="n">
        <v>0</v>
      </c>
      <c r="CM91" s="28" t="n">
        <v>0</v>
      </c>
      <c r="CN91" s="28" t="n">
        <v>0</v>
      </c>
      <c r="CO91" s="28" t="n">
        <v>0</v>
      </c>
      <c r="CP91" s="28" t="n">
        <v>0</v>
      </c>
      <c r="CQ91" s="28" t="n">
        <v>0</v>
      </c>
      <c r="CR91" s="28" t="n">
        <v>0</v>
      </c>
      <c r="CS91" s="28" t="n">
        <v>0</v>
      </c>
      <c r="CT91" s="28" t="n">
        <v>0</v>
      </c>
      <c r="CU91" s="28" t="n">
        <v>0</v>
      </c>
      <c r="CV91" s="28" t="n">
        <v>0</v>
      </c>
      <c r="CW91" s="28" t="n">
        <v>0</v>
      </c>
      <c r="CX91" s="28" t="n">
        <v>0</v>
      </c>
      <c r="CY91" s="28" t="n">
        <v>0</v>
      </c>
      <c r="CZ91" s="28" t="n">
        <v>0</v>
      </c>
      <c r="DA91" s="28" t="n">
        <v>0</v>
      </c>
    </row>
    <row r="92">
      <c r="A92" t="inlineStr">
        <is>
          <t>TPP-911</t>
        </is>
      </c>
      <c r="B92" s="28" t="n">
        <v>0</v>
      </c>
      <c r="C92" s="28" t="n">
        <v>0</v>
      </c>
      <c r="D92" s="28" t="n">
        <v>0</v>
      </c>
      <c r="E92" s="28" t="n">
        <v>0</v>
      </c>
      <c r="F92" s="28" t="n">
        <v>0</v>
      </c>
      <c r="G92" s="28" t="n">
        <v>0</v>
      </c>
      <c r="H92" s="28" t="n">
        <v>0</v>
      </c>
      <c r="I92" s="28" t="n">
        <v>0</v>
      </c>
      <c r="J92" s="28" t="n">
        <v>0</v>
      </c>
      <c r="K92" s="28" t="n">
        <v>0</v>
      </c>
      <c r="L92" s="28" t="n">
        <v>0</v>
      </c>
      <c r="M92" s="28" t="n">
        <v>0</v>
      </c>
      <c r="N92" s="28" t="n">
        <v>0</v>
      </c>
      <c r="O92" s="28" t="n">
        <v>0</v>
      </c>
      <c r="P92" s="28" t="n">
        <v>0</v>
      </c>
      <c r="Q92" s="28" t="n">
        <v>0</v>
      </c>
      <c r="R92" s="28" t="n">
        <v>0</v>
      </c>
      <c r="S92" s="28" t="n">
        <v>0</v>
      </c>
      <c r="T92" s="28" t="n">
        <v>0</v>
      </c>
      <c r="U92" s="28" t="n">
        <v>0</v>
      </c>
      <c r="V92" s="28" t="n">
        <v>0</v>
      </c>
      <c r="W92" s="28" t="n">
        <v>0</v>
      </c>
      <c r="X92" s="28" t="n">
        <v>0</v>
      </c>
      <c r="Y92" s="28" t="n">
        <v>0</v>
      </c>
      <c r="Z92" s="28" t="n">
        <v>0</v>
      </c>
      <c r="AA92" s="28" t="n">
        <v>0</v>
      </c>
      <c r="AB92" s="28" t="n">
        <v>0</v>
      </c>
      <c r="AC92" s="28" t="n">
        <v>0</v>
      </c>
      <c r="AD92" s="28" t="n">
        <v>0</v>
      </c>
      <c r="AE92" s="28" t="n">
        <v>0</v>
      </c>
      <c r="AF92" s="28" t="n">
        <v>0</v>
      </c>
      <c r="AG92" s="28" t="n">
        <v>0</v>
      </c>
      <c r="AH92" s="28" t="n">
        <v>0</v>
      </c>
      <c r="AI92" s="28" t="n">
        <v>0</v>
      </c>
      <c r="AJ92" s="28" t="n">
        <v>0</v>
      </c>
      <c r="AK92" s="28" t="n">
        <v>0</v>
      </c>
      <c r="AL92" s="28" t="n">
        <v>0</v>
      </c>
      <c r="AM92" s="28" t="n">
        <v>0</v>
      </c>
      <c r="AN92" s="28" t="n">
        <v>3</v>
      </c>
      <c r="AO92" s="28" t="n">
        <v>0</v>
      </c>
      <c r="AP92" s="28" t="n">
        <v>0</v>
      </c>
      <c r="AQ92" s="28" t="n">
        <v>0</v>
      </c>
      <c r="AR92" s="28" t="n">
        <v>0</v>
      </c>
      <c r="AS92" s="28" t="n">
        <v>0</v>
      </c>
      <c r="AT92" s="28" t="n">
        <v>0</v>
      </c>
      <c r="AU92" s="28" t="n">
        <v>0</v>
      </c>
      <c r="AV92" s="28" t="n">
        <v>0</v>
      </c>
      <c r="AW92" s="28" t="n">
        <v>0</v>
      </c>
      <c r="AX92" s="28" t="n">
        <v>0</v>
      </c>
      <c r="AY92" s="28" t="n">
        <v>0</v>
      </c>
      <c r="AZ92" s="28" t="n">
        <v>0</v>
      </c>
      <c r="BA92" s="28" t="n">
        <v>0</v>
      </c>
      <c r="BB92" s="28" t="n">
        <v>0</v>
      </c>
      <c r="BC92" s="28" t="n">
        <v>0</v>
      </c>
      <c r="BD92" s="28" t="n">
        <v>0</v>
      </c>
      <c r="BE92" s="28" t="n">
        <v>0</v>
      </c>
      <c r="BF92" s="28" t="n">
        <v>0</v>
      </c>
      <c r="BG92" s="28" t="n">
        <v>0</v>
      </c>
      <c r="BH92" s="28" t="n">
        <v>0</v>
      </c>
      <c r="BI92" s="28" t="n">
        <v>0</v>
      </c>
      <c r="BJ92" s="28" t="n">
        <v>0</v>
      </c>
      <c r="BK92" s="28" t="n">
        <v>0</v>
      </c>
      <c r="BL92" s="28" t="n">
        <v>0</v>
      </c>
      <c r="BM92" s="28" t="n">
        <v>0</v>
      </c>
      <c r="BN92" s="28" t="n">
        <v>0</v>
      </c>
      <c r="BO92" s="28" t="n">
        <v>0</v>
      </c>
      <c r="BP92" s="28" t="n">
        <v>0</v>
      </c>
      <c r="BQ92" s="28" t="n">
        <v>0</v>
      </c>
      <c r="BR92" s="28" t="n">
        <v>0</v>
      </c>
      <c r="BS92" s="28" t="n">
        <v>0</v>
      </c>
      <c r="BT92" s="28" t="n">
        <v>0</v>
      </c>
      <c r="BU92" s="28" t="n">
        <v>0</v>
      </c>
      <c r="BV92" s="28" t="n">
        <v>0</v>
      </c>
      <c r="BW92" s="28" t="n">
        <v>0</v>
      </c>
      <c r="BX92" s="28" t="n">
        <v>0</v>
      </c>
      <c r="BY92" s="28" t="n">
        <v>0</v>
      </c>
      <c r="BZ92" s="28" t="n">
        <v>0</v>
      </c>
      <c r="CA92" s="28" t="n">
        <v>0</v>
      </c>
      <c r="CB92" s="28" t="n">
        <v>0</v>
      </c>
      <c r="CC92" s="28" t="n">
        <v>0</v>
      </c>
      <c r="CD92" s="28" t="n">
        <v>0</v>
      </c>
      <c r="CE92" s="28" t="n">
        <v>0</v>
      </c>
      <c r="CF92" s="28" t="n">
        <v>0</v>
      </c>
      <c r="CG92" s="28" t="n">
        <v>0</v>
      </c>
      <c r="CH92" s="28" t="n">
        <v>0</v>
      </c>
      <c r="CI92" s="28" t="n">
        <v>0</v>
      </c>
      <c r="CJ92" s="28" t="n">
        <v>0</v>
      </c>
      <c r="CK92" s="28" t="n">
        <v>0</v>
      </c>
      <c r="CL92" s="28" t="n">
        <v>0</v>
      </c>
      <c r="CM92" s="28" t="n">
        <v>0</v>
      </c>
      <c r="CN92" s="28" t="n">
        <v>0</v>
      </c>
      <c r="CO92" s="28" t="n">
        <v>0</v>
      </c>
      <c r="CP92" s="28" t="n">
        <v>0</v>
      </c>
      <c r="CQ92" s="28" t="n">
        <v>0</v>
      </c>
      <c r="CR92" s="28" t="n">
        <v>0</v>
      </c>
      <c r="CS92" s="28" t="n">
        <v>0</v>
      </c>
      <c r="CT92" s="28" t="n">
        <v>0</v>
      </c>
      <c r="CU92" s="28" t="n">
        <v>0</v>
      </c>
      <c r="CV92" s="28" t="n">
        <v>0</v>
      </c>
      <c r="CW92" s="28" t="n">
        <v>0</v>
      </c>
      <c r="CX92" s="28" t="n">
        <v>0</v>
      </c>
      <c r="CY92" s="28" t="n">
        <v>0</v>
      </c>
      <c r="CZ92" s="28" t="n">
        <v>0</v>
      </c>
      <c r="DA92" s="28" t="n">
        <v>0</v>
      </c>
    </row>
    <row r="93">
      <c r="A93" t="inlineStr">
        <is>
          <t>TPP-912</t>
        </is>
      </c>
      <c r="B93" s="28" t="n">
        <v>0</v>
      </c>
      <c r="C93" s="28" t="n">
        <v>0</v>
      </c>
      <c r="D93" s="28" t="n">
        <v>0</v>
      </c>
      <c r="E93" s="28" t="n">
        <v>0</v>
      </c>
      <c r="F93" s="28" t="n">
        <v>0</v>
      </c>
      <c r="G93" s="28" t="n">
        <v>0</v>
      </c>
      <c r="H93" s="28" t="n">
        <v>0</v>
      </c>
      <c r="I93" s="28" t="n">
        <v>0</v>
      </c>
      <c r="J93" s="28" t="n">
        <v>0</v>
      </c>
      <c r="K93" s="28" t="n">
        <v>0</v>
      </c>
      <c r="L93" s="28" t="n">
        <v>0</v>
      </c>
      <c r="M93" s="28" t="n">
        <v>0</v>
      </c>
      <c r="N93" s="28" t="n">
        <v>0</v>
      </c>
      <c r="O93" s="28" t="n">
        <v>0</v>
      </c>
      <c r="P93" s="28" t="n">
        <v>0</v>
      </c>
      <c r="Q93" s="28" t="n">
        <v>0</v>
      </c>
      <c r="R93" s="28" t="n">
        <v>0</v>
      </c>
      <c r="S93" s="28" t="n">
        <v>0</v>
      </c>
      <c r="T93" s="28" t="n">
        <v>0</v>
      </c>
      <c r="U93" s="28" t="n">
        <v>0</v>
      </c>
      <c r="V93" s="28" t="n">
        <v>0</v>
      </c>
      <c r="W93" s="28" t="n">
        <v>0</v>
      </c>
      <c r="X93" s="28" t="n">
        <v>0</v>
      </c>
      <c r="Y93" s="28" t="n">
        <v>0</v>
      </c>
      <c r="Z93" s="28" t="n">
        <v>0</v>
      </c>
      <c r="AA93" s="28" t="n">
        <v>0</v>
      </c>
      <c r="AB93" s="28" t="n">
        <v>0</v>
      </c>
      <c r="AC93" s="28" t="n">
        <v>2</v>
      </c>
      <c r="AD93" s="28" t="n">
        <v>0</v>
      </c>
      <c r="AE93" s="28" t="n">
        <v>0</v>
      </c>
      <c r="AF93" s="28" t="n">
        <v>0</v>
      </c>
      <c r="AG93" s="28" t="n">
        <v>0</v>
      </c>
      <c r="AH93" s="28" t="n">
        <v>0</v>
      </c>
      <c r="AI93" s="28" t="n">
        <v>2</v>
      </c>
      <c r="AJ93" s="28" t="n">
        <v>0</v>
      </c>
      <c r="AK93" s="28" t="n">
        <v>0</v>
      </c>
      <c r="AL93" s="28" t="n">
        <v>0</v>
      </c>
      <c r="AM93" s="28" t="n">
        <v>0</v>
      </c>
      <c r="AN93" s="28" t="n">
        <v>0</v>
      </c>
      <c r="AO93" s="28" t="n">
        <v>0</v>
      </c>
      <c r="AP93" s="28" t="n">
        <v>0</v>
      </c>
      <c r="AQ93" s="28" t="n">
        <v>0</v>
      </c>
      <c r="AR93" s="28" t="n">
        <v>0</v>
      </c>
      <c r="AS93" s="28" t="n">
        <v>0</v>
      </c>
      <c r="AT93" s="28" t="n">
        <v>0</v>
      </c>
      <c r="AU93" s="28" t="n">
        <v>0</v>
      </c>
      <c r="AV93" s="28" t="n">
        <v>0</v>
      </c>
      <c r="AW93" s="28" t="n">
        <v>0</v>
      </c>
      <c r="AX93" s="28" t="n">
        <v>0</v>
      </c>
      <c r="AY93" s="28" t="n">
        <v>0</v>
      </c>
      <c r="AZ93" s="28" t="n">
        <v>0</v>
      </c>
      <c r="BA93" s="28" t="n">
        <v>0</v>
      </c>
      <c r="BB93" s="28" t="n">
        <v>0</v>
      </c>
      <c r="BC93" s="28" t="n">
        <v>0</v>
      </c>
      <c r="BD93" s="28" t="n">
        <v>0</v>
      </c>
      <c r="BE93" s="28" t="n">
        <v>0</v>
      </c>
      <c r="BF93" s="28" t="n">
        <v>0</v>
      </c>
      <c r="BG93" s="28" t="n">
        <v>0</v>
      </c>
      <c r="BH93" s="28" t="n">
        <v>0</v>
      </c>
      <c r="BI93" s="28" t="n">
        <v>0</v>
      </c>
      <c r="BJ93" s="28" t="n">
        <v>0</v>
      </c>
      <c r="BK93" s="28" t="n">
        <v>0</v>
      </c>
      <c r="BL93" s="28" t="n">
        <v>0</v>
      </c>
      <c r="BM93" s="28" t="n">
        <v>0</v>
      </c>
      <c r="BN93" s="28" t="n">
        <v>0</v>
      </c>
      <c r="BO93" s="28" t="n">
        <v>0</v>
      </c>
      <c r="BP93" s="28" t="n">
        <v>0</v>
      </c>
      <c r="BQ93" s="28" t="n">
        <v>0</v>
      </c>
      <c r="BR93" s="28" t="n">
        <v>0</v>
      </c>
      <c r="BS93" s="28" t="n">
        <v>0</v>
      </c>
      <c r="BT93" s="28" t="n">
        <v>0</v>
      </c>
      <c r="BU93" s="28" t="n">
        <v>0</v>
      </c>
      <c r="BV93" s="28" t="n">
        <v>0</v>
      </c>
      <c r="BW93" s="28" t="n">
        <v>0</v>
      </c>
      <c r="BX93" s="28" t="n">
        <v>0</v>
      </c>
      <c r="BY93" s="28" t="n">
        <v>0</v>
      </c>
      <c r="BZ93" s="28" t="n">
        <v>0</v>
      </c>
      <c r="CA93" s="28" t="n">
        <v>0</v>
      </c>
      <c r="CB93" s="28" t="n">
        <v>0</v>
      </c>
      <c r="CC93" s="28" t="n">
        <v>0</v>
      </c>
      <c r="CD93" s="28" t="n">
        <v>0</v>
      </c>
      <c r="CE93" s="28" t="n">
        <v>0</v>
      </c>
      <c r="CF93" s="28" t="n">
        <v>0</v>
      </c>
      <c r="CG93" s="28" t="n">
        <v>0</v>
      </c>
      <c r="CH93" s="28" t="n">
        <v>0</v>
      </c>
      <c r="CI93" s="28" t="n">
        <v>0</v>
      </c>
      <c r="CJ93" s="28" t="n">
        <v>0</v>
      </c>
      <c r="CK93" s="28" t="n">
        <v>0</v>
      </c>
      <c r="CL93" s="28" t="n">
        <v>0</v>
      </c>
      <c r="CM93" s="28" t="n">
        <v>0</v>
      </c>
      <c r="CN93" s="28" t="n">
        <v>0</v>
      </c>
      <c r="CO93" s="28" t="n">
        <v>0</v>
      </c>
      <c r="CP93" s="28" t="n">
        <v>0</v>
      </c>
      <c r="CQ93" s="28" t="n">
        <v>0</v>
      </c>
      <c r="CR93" s="28" t="n">
        <v>0</v>
      </c>
      <c r="CS93" s="28" t="n">
        <v>0</v>
      </c>
      <c r="CT93" s="28" t="n">
        <v>0</v>
      </c>
      <c r="CU93" s="28" t="n">
        <v>0</v>
      </c>
      <c r="CV93" s="28" t="n">
        <v>0</v>
      </c>
      <c r="CW93" s="28" t="n">
        <v>0</v>
      </c>
      <c r="CX93" s="28" t="n">
        <v>0</v>
      </c>
      <c r="CY93" s="28" t="n">
        <v>0</v>
      </c>
      <c r="CZ93" s="28" t="n">
        <v>0</v>
      </c>
      <c r="DA93" s="28" t="n">
        <v>0</v>
      </c>
    </row>
    <row r="94">
      <c r="A94" t="inlineStr">
        <is>
          <t>TPP-914</t>
        </is>
      </c>
      <c r="B94" s="28" t="n">
        <v>0</v>
      </c>
      <c r="C94" s="28" t="n">
        <v>0</v>
      </c>
      <c r="D94" s="28" t="n">
        <v>0</v>
      </c>
      <c r="E94" s="28" t="n">
        <v>0</v>
      </c>
      <c r="F94" s="28" t="n">
        <v>0</v>
      </c>
      <c r="G94" s="28" t="n">
        <v>0</v>
      </c>
      <c r="H94" s="28" t="n">
        <v>0</v>
      </c>
      <c r="I94" s="28" t="n">
        <v>0</v>
      </c>
      <c r="J94" s="28" t="n">
        <v>0</v>
      </c>
      <c r="K94" s="28" t="n">
        <v>0</v>
      </c>
      <c r="L94" s="28" t="n">
        <v>0</v>
      </c>
      <c r="M94" s="28" t="n">
        <v>0</v>
      </c>
      <c r="N94" s="28" t="n">
        <v>0</v>
      </c>
      <c r="O94" s="28" t="n">
        <v>0</v>
      </c>
      <c r="P94" s="28" t="n">
        <v>0</v>
      </c>
      <c r="Q94" s="28" t="n">
        <v>0</v>
      </c>
      <c r="R94" s="28" t="n">
        <v>0</v>
      </c>
      <c r="S94" s="28" t="n">
        <v>0</v>
      </c>
      <c r="T94" s="28" t="n">
        <v>0</v>
      </c>
      <c r="U94" s="28" t="n">
        <v>0</v>
      </c>
      <c r="V94" s="28" t="n">
        <v>0</v>
      </c>
      <c r="W94" s="28" t="n">
        <v>0</v>
      </c>
      <c r="X94" s="28" t="n">
        <v>0</v>
      </c>
      <c r="Y94" s="28" t="n">
        <v>0</v>
      </c>
      <c r="Z94" s="28" t="n">
        <v>0</v>
      </c>
      <c r="AA94" s="28" t="n">
        <v>0</v>
      </c>
      <c r="AB94" s="28" t="n">
        <v>0</v>
      </c>
      <c r="AC94" s="28" t="n">
        <v>0</v>
      </c>
      <c r="AD94" s="28" t="n">
        <v>0</v>
      </c>
      <c r="AE94" s="28" t="n">
        <v>0</v>
      </c>
      <c r="AF94" s="28" t="n">
        <v>0</v>
      </c>
      <c r="AG94" s="28" t="n">
        <v>0</v>
      </c>
      <c r="AH94" s="28" t="n">
        <v>0</v>
      </c>
      <c r="AI94" s="28" t="n">
        <v>0</v>
      </c>
      <c r="AJ94" s="28" t="n">
        <v>0</v>
      </c>
      <c r="AK94" s="28" t="n">
        <v>0</v>
      </c>
      <c r="AL94" s="28" t="n">
        <v>0</v>
      </c>
      <c r="AM94" s="28" t="n">
        <v>0</v>
      </c>
      <c r="AN94" s="28" t="n">
        <v>0</v>
      </c>
      <c r="AO94" s="28" t="n">
        <v>0</v>
      </c>
      <c r="AP94" s="28" t="n">
        <v>0</v>
      </c>
      <c r="AQ94" s="28" t="n">
        <v>0</v>
      </c>
      <c r="AR94" s="28" t="n">
        <v>0</v>
      </c>
      <c r="AS94" s="28" t="n">
        <v>0</v>
      </c>
      <c r="AT94" s="28" t="n">
        <v>0</v>
      </c>
      <c r="AU94" s="28" t="n">
        <v>0</v>
      </c>
      <c r="AV94" s="28" t="n">
        <v>0</v>
      </c>
      <c r="AW94" s="28" t="n">
        <v>0</v>
      </c>
      <c r="AX94" s="28" t="n">
        <v>0</v>
      </c>
      <c r="AY94" s="28" t="n">
        <v>0</v>
      </c>
      <c r="AZ94" s="28" t="n">
        <v>0</v>
      </c>
      <c r="BA94" s="28" t="n">
        <v>0</v>
      </c>
      <c r="BB94" s="28" t="n">
        <v>0</v>
      </c>
      <c r="BC94" s="28" t="n">
        <v>0</v>
      </c>
      <c r="BD94" s="28" t="n">
        <v>0</v>
      </c>
      <c r="BE94" s="28" t="n">
        <v>0</v>
      </c>
      <c r="BF94" s="28" t="n">
        <v>0</v>
      </c>
      <c r="BG94" s="28" t="n">
        <v>0</v>
      </c>
      <c r="BH94" s="28" t="n">
        <v>0</v>
      </c>
      <c r="BI94" s="28" t="n">
        <v>0</v>
      </c>
      <c r="BJ94" s="28" t="n">
        <v>0</v>
      </c>
      <c r="BK94" s="28" t="n">
        <v>0</v>
      </c>
      <c r="BL94" s="28" t="n">
        <v>0</v>
      </c>
      <c r="BM94" s="28" t="n">
        <v>0</v>
      </c>
      <c r="BN94" s="28" t="n">
        <v>0</v>
      </c>
      <c r="BO94" s="28" t="n">
        <v>0</v>
      </c>
      <c r="BP94" s="28" t="n">
        <v>0</v>
      </c>
      <c r="BQ94" s="28" t="n">
        <v>0</v>
      </c>
      <c r="BR94" s="28" t="n">
        <v>0</v>
      </c>
      <c r="BS94" s="28" t="n">
        <v>0</v>
      </c>
      <c r="BT94" s="28" t="n">
        <v>0</v>
      </c>
      <c r="BU94" s="28" t="n">
        <v>0</v>
      </c>
      <c r="BV94" s="28" t="n">
        <v>0</v>
      </c>
      <c r="BW94" s="28" t="n">
        <v>0</v>
      </c>
      <c r="BX94" s="28" t="n">
        <v>0</v>
      </c>
      <c r="BY94" s="28" t="n">
        <v>0</v>
      </c>
      <c r="BZ94" s="28" t="n">
        <v>0</v>
      </c>
      <c r="CA94" s="28" t="n">
        <v>0</v>
      </c>
      <c r="CB94" s="28" t="n">
        <v>0</v>
      </c>
      <c r="CC94" s="28" t="n">
        <v>0</v>
      </c>
      <c r="CD94" s="28" t="n">
        <v>0</v>
      </c>
      <c r="CE94" s="28" t="n">
        <v>0</v>
      </c>
      <c r="CF94" s="28" t="n">
        <v>0</v>
      </c>
      <c r="CG94" s="28" t="n">
        <v>0</v>
      </c>
      <c r="CH94" s="28" t="n">
        <v>0</v>
      </c>
      <c r="CI94" s="28" t="n">
        <v>0</v>
      </c>
      <c r="CJ94" s="28" t="n">
        <v>0</v>
      </c>
      <c r="CK94" s="28" t="n">
        <v>0</v>
      </c>
      <c r="CL94" s="28" t="n">
        <v>0</v>
      </c>
      <c r="CM94" s="28" t="n">
        <v>0</v>
      </c>
      <c r="CN94" s="28" t="n">
        <v>0</v>
      </c>
      <c r="CO94" s="28" t="n">
        <v>0</v>
      </c>
      <c r="CP94" s="28" t="n">
        <v>0</v>
      </c>
      <c r="CQ94" s="28" t="n">
        <v>0</v>
      </c>
      <c r="CR94" s="28" t="n">
        <v>0</v>
      </c>
      <c r="CS94" s="28" t="n">
        <v>0</v>
      </c>
      <c r="CT94" s="28" t="n">
        <v>0</v>
      </c>
      <c r="CU94" s="28" t="n">
        <v>0</v>
      </c>
      <c r="CV94" s="28" t="n">
        <v>0</v>
      </c>
      <c r="CW94" s="28" t="n">
        <v>0</v>
      </c>
      <c r="CX94" s="28" t="n">
        <v>0</v>
      </c>
      <c r="CY94" s="28" t="n">
        <v>0</v>
      </c>
      <c r="CZ94" s="28" t="n">
        <v>0</v>
      </c>
      <c r="DA94" s="28" t="n">
        <v>0</v>
      </c>
    </row>
    <row r="95">
      <c r="A95" t="inlineStr">
        <is>
          <t>TPP-915</t>
        </is>
      </c>
      <c r="B95" s="28" t="n">
        <v>0</v>
      </c>
      <c r="C95" s="28" t="n">
        <v>0</v>
      </c>
      <c r="D95" s="28" t="n">
        <v>0</v>
      </c>
      <c r="E95" s="28" t="n">
        <v>0</v>
      </c>
      <c r="F95" s="28" t="n">
        <v>0</v>
      </c>
      <c r="G95" s="28" t="n">
        <v>0</v>
      </c>
      <c r="H95" s="28" t="n">
        <v>0</v>
      </c>
      <c r="I95" s="28" t="n">
        <v>0</v>
      </c>
      <c r="J95" s="28" t="n">
        <v>0</v>
      </c>
      <c r="K95" s="28" t="n">
        <v>0</v>
      </c>
      <c r="L95" s="28" t="n">
        <v>0</v>
      </c>
      <c r="M95" s="28" t="n">
        <v>0</v>
      </c>
      <c r="N95" s="28" t="n">
        <v>0</v>
      </c>
      <c r="O95" s="28" t="n">
        <v>0</v>
      </c>
      <c r="P95" s="28" t="n">
        <v>0</v>
      </c>
      <c r="Q95" s="28" t="n">
        <v>0</v>
      </c>
      <c r="R95" s="28" t="n">
        <v>0</v>
      </c>
      <c r="S95" s="28" t="n">
        <v>0</v>
      </c>
      <c r="T95" s="28" t="n">
        <v>0</v>
      </c>
      <c r="U95" s="28" t="n">
        <v>0</v>
      </c>
      <c r="V95" s="28" t="n">
        <v>0</v>
      </c>
      <c r="W95" s="28" t="n">
        <v>0</v>
      </c>
      <c r="X95" s="28" t="n">
        <v>0</v>
      </c>
      <c r="Y95" s="28" t="n">
        <v>0</v>
      </c>
      <c r="Z95" s="28" t="n">
        <v>0</v>
      </c>
      <c r="AA95" s="28" t="n">
        <v>0</v>
      </c>
      <c r="AB95" s="28" t="n">
        <v>0</v>
      </c>
      <c r="AC95" s="28" t="n">
        <v>0</v>
      </c>
      <c r="AD95" s="28" t="n">
        <v>0</v>
      </c>
      <c r="AE95" s="28" t="n">
        <v>0</v>
      </c>
      <c r="AF95" s="28" t="n">
        <v>0</v>
      </c>
      <c r="AG95" s="28" t="n">
        <v>2</v>
      </c>
      <c r="AH95" s="28" t="n">
        <v>0</v>
      </c>
      <c r="AI95" s="28" t="n">
        <v>0</v>
      </c>
      <c r="AJ95" s="28" t="n">
        <v>0</v>
      </c>
      <c r="AK95" s="28" t="n">
        <v>0</v>
      </c>
      <c r="AL95" s="28" t="n">
        <v>0</v>
      </c>
      <c r="AM95" s="28" t="n">
        <v>2</v>
      </c>
      <c r="AN95" s="28" t="n">
        <v>0</v>
      </c>
      <c r="AO95" s="28" t="n">
        <v>0</v>
      </c>
      <c r="AP95" s="28" t="n">
        <v>0</v>
      </c>
      <c r="AQ95" s="28" t="n">
        <v>0</v>
      </c>
      <c r="AR95" s="28" t="n">
        <v>3</v>
      </c>
      <c r="AS95" s="28" t="n">
        <v>0</v>
      </c>
      <c r="AT95" s="28" t="n">
        <v>0</v>
      </c>
      <c r="AU95" s="28" t="n">
        <v>0</v>
      </c>
      <c r="AV95" s="28" t="n">
        <v>0</v>
      </c>
      <c r="AW95" s="28" t="n">
        <v>0</v>
      </c>
      <c r="AX95" s="28" t="n">
        <v>0</v>
      </c>
      <c r="AY95" s="28" t="n">
        <v>0</v>
      </c>
      <c r="AZ95" s="28" t="n">
        <v>0</v>
      </c>
      <c r="BA95" s="28" t="n">
        <v>0</v>
      </c>
      <c r="BB95" s="28" t="n">
        <v>0</v>
      </c>
      <c r="BC95" s="28" t="n">
        <v>0</v>
      </c>
      <c r="BD95" s="28" t="n">
        <v>0</v>
      </c>
      <c r="BE95" s="28" t="n">
        <v>0</v>
      </c>
      <c r="BF95" s="28" t="n">
        <v>0</v>
      </c>
      <c r="BG95" s="28" t="n">
        <v>0</v>
      </c>
      <c r="BH95" s="28" t="n">
        <v>0</v>
      </c>
      <c r="BI95" s="28" t="n">
        <v>0</v>
      </c>
      <c r="BJ95" s="28" t="n">
        <v>0</v>
      </c>
      <c r="BK95" s="28" t="n">
        <v>0</v>
      </c>
      <c r="BL95" s="28" t="n">
        <v>0</v>
      </c>
      <c r="BM95" s="28" t="n">
        <v>0</v>
      </c>
      <c r="BN95" s="28" t="n">
        <v>0</v>
      </c>
      <c r="BO95" s="28" t="n">
        <v>0</v>
      </c>
      <c r="BP95" s="28" t="n">
        <v>0</v>
      </c>
      <c r="BQ95" s="28" t="n">
        <v>0</v>
      </c>
      <c r="BR95" s="28" t="n">
        <v>0</v>
      </c>
      <c r="BS95" s="28" t="n">
        <v>0</v>
      </c>
      <c r="BT95" s="28" t="n">
        <v>0</v>
      </c>
      <c r="BU95" s="28" t="n">
        <v>0</v>
      </c>
      <c r="BV95" s="28" t="n">
        <v>0</v>
      </c>
      <c r="BW95" s="28" t="n">
        <v>0</v>
      </c>
      <c r="BX95" s="28" t="n">
        <v>0</v>
      </c>
      <c r="BY95" s="28" t="n">
        <v>0</v>
      </c>
      <c r="BZ95" s="28" t="n">
        <v>0</v>
      </c>
      <c r="CA95" s="28" t="n">
        <v>0</v>
      </c>
      <c r="CB95" s="28" t="n">
        <v>0</v>
      </c>
      <c r="CC95" s="28" t="n">
        <v>0</v>
      </c>
      <c r="CD95" s="28" t="n">
        <v>0</v>
      </c>
      <c r="CE95" s="28" t="n">
        <v>0</v>
      </c>
      <c r="CF95" s="28" t="n">
        <v>0</v>
      </c>
      <c r="CG95" s="28" t="n">
        <v>0</v>
      </c>
      <c r="CH95" s="28" t="n">
        <v>0</v>
      </c>
      <c r="CI95" s="28" t="n">
        <v>0</v>
      </c>
      <c r="CJ95" s="28" t="n">
        <v>0</v>
      </c>
      <c r="CK95" s="28" t="n">
        <v>0</v>
      </c>
      <c r="CL95" s="28" t="n">
        <v>0</v>
      </c>
      <c r="CM95" s="28" t="n">
        <v>0</v>
      </c>
      <c r="CN95" s="28" t="n">
        <v>0</v>
      </c>
      <c r="CO95" s="28" t="n">
        <v>0</v>
      </c>
      <c r="CP95" s="28" t="n">
        <v>0</v>
      </c>
      <c r="CQ95" s="28" t="n">
        <v>0</v>
      </c>
      <c r="CR95" s="28" t="n">
        <v>0</v>
      </c>
      <c r="CS95" s="28" t="n">
        <v>0</v>
      </c>
      <c r="CT95" s="28" t="n">
        <v>0</v>
      </c>
      <c r="CU95" s="28" t="n">
        <v>0</v>
      </c>
      <c r="CV95" s="28" t="n">
        <v>0</v>
      </c>
      <c r="CW95" s="28" t="n">
        <v>0</v>
      </c>
      <c r="CX95" s="28" t="n">
        <v>0</v>
      </c>
      <c r="CY95" s="28" t="n">
        <v>0</v>
      </c>
      <c r="CZ95" s="28" t="n">
        <v>0</v>
      </c>
      <c r="DA95" s="28" t="n">
        <v>0</v>
      </c>
    </row>
    <row r="96">
      <c r="A96" t="inlineStr">
        <is>
          <t>TPP-916</t>
        </is>
      </c>
      <c r="B96" s="28" t="n">
        <v>0</v>
      </c>
      <c r="C96" s="28" t="n">
        <v>0</v>
      </c>
      <c r="D96" s="28" t="n">
        <v>0</v>
      </c>
      <c r="E96" s="28" t="n">
        <v>0</v>
      </c>
      <c r="F96" s="28" t="n">
        <v>0</v>
      </c>
      <c r="G96" s="28" t="n">
        <v>0</v>
      </c>
      <c r="H96" s="28" t="n">
        <v>0</v>
      </c>
      <c r="I96" s="28" t="n">
        <v>0</v>
      </c>
      <c r="J96" s="28" t="n">
        <v>0</v>
      </c>
      <c r="K96" s="28" t="n">
        <v>0</v>
      </c>
      <c r="L96" s="28" t="n">
        <v>0</v>
      </c>
      <c r="M96" s="28" t="n">
        <v>0</v>
      </c>
      <c r="N96" s="28" t="n">
        <v>0</v>
      </c>
      <c r="O96" s="28" t="n">
        <v>0</v>
      </c>
      <c r="P96" s="28" t="n">
        <v>0</v>
      </c>
      <c r="Q96" s="28" t="n">
        <v>0</v>
      </c>
      <c r="R96" s="28" t="n">
        <v>0</v>
      </c>
      <c r="S96" s="28" t="n">
        <v>0</v>
      </c>
      <c r="T96" s="28" t="n">
        <v>0</v>
      </c>
      <c r="U96" s="28" t="n">
        <v>0</v>
      </c>
      <c r="V96" s="28" t="n">
        <v>0</v>
      </c>
      <c r="W96" s="28" t="n">
        <v>0</v>
      </c>
      <c r="X96" s="28" t="n">
        <v>0</v>
      </c>
      <c r="Y96" s="28" t="n">
        <v>0</v>
      </c>
      <c r="Z96" s="28" t="n">
        <v>0</v>
      </c>
      <c r="AA96" s="28" t="n">
        <v>0</v>
      </c>
      <c r="AB96" s="28" t="n">
        <v>0</v>
      </c>
      <c r="AC96" s="28" t="n">
        <v>0</v>
      </c>
      <c r="AD96" s="28" t="n">
        <v>0</v>
      </c>
      <c r="AE96" s="28" t="n">
        <v>0</v>
      </c>
      <c r="AF96" s="28" t="n">
        <v>0</v>
      </c>
      <c r="AG96" s="28" t="n">
        <v>0</v>
      </c>
      <c r="AH96" s="28" t="n">
        <v>0</v>
      </c>
      <c r="AI96" s="28" t="n">
        <v>0</v>
      </c>
      <c r="AJ96" s="28" t="n">
        <v>0</v>
      </c>
      <c r="AK96" s="28" t="n">
        <v>0</v>
      </c>
      <c r="AL96" s="28" t="n">
        <v>0</v>
      </c>
      <c r="AM96" s="28" t="n">
        <v>0</v>
      </c>
      <c r="AN96" s="28" t="n">
        <v>0</v>
      </c>
      <c r="AO96" s="28" t="n">
        <v>0</v>
      </c>
      <c r="AP96" s="28" t="n">
        <v>0</v>
      </c>
      <c r="AQ96" s="28" t="n">
        <v>0</v>
      </c>
      <c r="AR96" s="28" t="n">
        <v>0</v>
      </c>
      <c r="AS96" s="28" t="n">
        <v>0</v>
      </c>
      <c r="AT96" s="28" t="n">
        <v>0</v>
      </c>
      <c r="AU96" s="28" t="n">
        <v>0</v>
      </c>
      <c r="AV96" s="28" t="n">
        <v>0</v>
      </c>
      <c r="AW96" s="28" t="n">
        <v>0</v>
      </c>
      <c r="AX96" s="28" t="n">
        <v>0</v>
      </c>
      <c r="AY96" s="28" t="n">
        <v>0</v>
      </c>
      <c r="AZ96" s="28" t="n">
        <v>0</v>
      </c>
      <c r="BA96" s="28" t="n">
        <v>0</v>
      </c>
      <c r="BB96" s="28" t="n">
        <v>0</v>
      </c>
      <c r="BC96" s="28" t="n">
        <v>0</v>
      </c>
      <c r="BD96" s="28" t="n">
        <v>0</v>
      </c>
      <c r="BE96" s="28" t="n">
        <v>0</v>
      </c>
      <c r="BF96" s="28" t="n">
        <v>0</v>
      </c>
      <c r="BG96" s="28" t="n">
        <v>0</v>
      </c>
      <c r="BH96" s="28" t="n">
        <v>0</v>
      </c>
      <c r="BI96" s="28" t="n">
        <v>0</v>
      </c>
      <c r="BJ96" s="28" t="n">
        <v>0</v>
      </c>
      <c r="BK96" s="28" t="n">
        <v>0</v>
      </c>
      <c r="BL96" s="28" t="n">
        <v>0</v>
      </c>
      <c r="BM96" s="28" t="n">
        <v>0</v>
      </c>
      <c r="BN96" s="28" t="n">
        <v>0</v>
      </c>
      <c r="BO96" s="28" t="n">
        <v>0</v>
      </c>
      <c r="BP96" s="28" t="n">
        <v>0</v>
      </c>
      <c r="BQ96" s="28" t="n">
        <v>0</v>
      </c>
      <c r="BR96" s="28" t="n">
        <v>0</v>
      </c>
      <c r="BS96" s="28" t="n">
        <v>0</v>
      </c>
      <c r="BT96" s="28" t="n">
        <v>0</v>
      </c>
      <c r="BU96" s="28" t="n">
        <v>0</v>
      </c>
      <c r="BV96" s="28" t="n">
        <v>0</v>
      </c>
      <c r="BW96" s="28" t="n">
        <v>0</v>
      </c>
      <c r="BX96" s="28" t="n">
        <v>0</v>
      </c>
      <c r="BY96" s="28" t="n">
        <v>0</v>
      </c>
      <c r="BZ96" s="28" t="n">
        <v>0</v>
      </c>
      <c r="CA96" s="28" t="n">
        <v>0</v>
      </c>
      <c r="CB96" s="28" t="n">
        <v>0</v>
      </c>
      <c r="CC96" s="28" t="n">
        <v>0</v>
      </c>
      <c r="CD96" s="28" t="n">
        <v>0</v>
      </c>
      <c r="CE96" s="28" t="n">
        <v>0</v>
      </c>
      <c r="CF96" s="28" t="n">
        <v>0</v>
      </c>
      <c r="CG96" s="28" t="n">
        <v>0</v>
      </c>
      <c r="CH96" s="28" t="n">
        <v>0</v>
      </c>
      <c r="CI96" s="28" t="n">
        <v>0</v>
      </c>
      <c r="CJ96" s="28" t="n">
        <v>0</v>
      </c>
      <c r="CK96" s="28" t="n">
        <v>0</v>
      </c>
      <c r="CL96" s="28" t="n">
        <v>0</v>
      </c>
      <c r="CM96" s="28" t="n">
        <v>0</v>
      </c>
      <c r="CN96" s="28" t="n">
        <v>0</v>
      </c>
      <c r="CO96" s="28" t="n">
        <v>0</v>
      </c>
      <c r="CP96" s="28" t="n">
        <v>0</v>
      </c>
      <c r="CQ96" s="28" t="n">
        <v>0</v>
      </c>
      <c r="CR96" s="28" t="n">
        <v>0</v>
      </c>
      <c r="CS96" s="28" t="n">
        <v>0</v>
      </c>
      <c r="CT96" s="28" t="n">
        <v>0</v>
      </c>
      <c r="CU96" s="28" t="n">
        <v>0</v>
      </c>
      <c r="CV96" s="28" t="n">
        <v>0</v>
      </c>
      <c r="CW96" s="28" t="n">
        <v>0</v>
      </c>
      <c r="CX96" s="28" t="n">
        <v>0</v>
      </c>
      <c r="CY96" s="28" t="n">
        <v>0</v>
      </c>
      <c r="CZ96" s="28" t="n">
        <v>0</v>
      </c>
      <c r="DA96" s="28" t="n">
        <v>0</v>
      </c>
    </row>
    <row r="97">
      <c r="A97" t="inlineStr">
        <is>
          <t>TPP-917</t>
        </is>
      </c>
      <c r="B97" s="28" t="n">
        <v>0</v>
      </c>
      <c r="C97" s="28" t="n">
        <v>0</v>
      </c>
      <c r="D97" s="28" t="n">
        <v>0</v>
      </c>
      <c r="E97" s="28" t="n">
        <v>0</v>
      </c>
      <c r="F97" s="28" t="n">
        <v>0</v>
      </c>
      <c r="G97" s="28" t="n">
        <v>0</v>
      </c>
      <c r="H97" s="28" t="n">
        <v>0</v>
      </c>
      <c r="I97" s="28" t="n">
        <v>0</v>
      </c>
      <c r="J97" s="28" t="n">
        <v>0</v>
      </c>
      <c r="K97" s="28" t="n">
        <v>0</v>
      </c>
      <c r="L97" s="28" t="n">
        <v>0</v>
      </c>
      <c r="M97" s="28" t="n">
        <v>0</v>
      </c>
      <c r="N97" s="28" t="n">
        <v>0</v>
      </c>
      <c r="O97" s="28" t="n">
        <v>0</v>
      </c>
      <c r="P97" s="28" t="n">
        <v>0</v>
      </c>
      <c r="Q97" s="28" t="n">
        <v>0</v>
      </c>
      <c r="R97" s="28" t="n">
        <v>0</v>
      </c>
      <c r="S97" s="28" t="n">
        <v>0</v>
      </c>
      <c r="T97" s="28" t="n">
        <v>0</v>
      </c>
      <c r="U97" s="28" t="n">
        <v>0</v>
      </c>
      <c r="V97" s="28" t="n">
        <v>0</v>
      </c>
      <c r="W97" s="28" t="n">
        <v>0</v>
      </c>
      <c r="X97" s="28" t="n">
        <v>0</v>
      </c>
      <c r="Y97" s="28" t="n">
        <v>0</v>
      </c>
      <c r="Z97" s="28" t="n">
        <v>0</v>
      </c>
      <c r="AA97" s="28" t="n">
        <v>0</v>
      </c>
      <c r="AB97" s="28" t="n">
        <v>0</v>
      </c>
      <c r="AC97" s="28" t="n">
        <v>0</v>
      </c>
      <c r="AD97" s="28" t="n">
        <v>0</v>
      </c>
      <c r="AE97" s="28" t="n">
        <v>4</v>
      </c>
      <c r="AF97" s="28" t="n">
        <v>0</v>
      </c>
      <c r="AG97" s="28" t="n">
        <v>0</v>
      </c>
      <c r="AH97" s="28" t="n">
        <v>0</v>
      </c>
      <c r="AI97" s="28" t="n">
        <v>0</v>
      </c>
      <c r="AJ97" s="28" t="n">
        <v>0</v>
      </c>
      <c r="AK97" s="28" t="n">
        <v>0</v>
      </c>
      <c r="AL97" s="28" t="n">
        <v>0</v>
      </c>
      <c r="AM97" s="28" t="n">
        <v>0</v>
      </c>
      <c r="AN97" s="28" t="n">
        <v>3</v>
      </c>
      <c r="AO97" s="28" t="n">
        <v>0</v>
      </c>
      <c r="AP97" s="28" t="n">
        <v>0</v>
      </c>
      <c r="AQ97" s="28" t="n">
        <v>0</v>
      </c>
      <c r="AR97" s="28" t="n">
        <v>0</v>
      </c>
      <c r="AS97" s="28" t="n">
        <v>0</v>
      </c>
      <c r="AT97" s="28" t="n">
        <v>0</v>
      </c>
      <c r="AU97" s="28" t="n">
        <v>0</v>
      </c>
      <c r="AV97" s="28" t="n">
        <v>0</v>
      </c>
      <c r="AW97" s="28" t="n">
        <v>0</v>
      </c>
      <c r="AX97" s="28" t="n">
        <v>0</v>
      </c>
      <c r="AY97" s="28" t="n">
        <v>0</v>
      </c>
      <c r="AZ97" s="28" t="n">
        <v>0</v>
      </c>
      <c r="BA97" s="28" t="n">
        <v>0</v>
      </c>
      <c r="BB97" s="28" t="n">
        <v>0</v>
      </c>
      <c r="BC97" s="28" t="n">
        <v>0</v>
      </c>
      <c r="BD97" s="28" t="n">
        <v>0</v>
      </c>
      <c r="BE97" s="28" t="n">
        <v>0</v>
      </c>
      <c r="BF97" s="28" t="n">
        <v>0</v>
      </c>
      <c r="BG97" s="28" t="n">
        <v>0</v>
      </c>
      <c r="BH97" s="28" t="n">
        <v>0</v>
      </c>
      <c r="BI97" s="28" t="n">
        <v>0</v>
      </c>
      <c r="BJ97" s="28" t="n">
        <v>0</v>
      </c>
      <c r="BK97" s="28" t="n">
        <v>0</v>
      </c>
      <c r="BL97" s="28" t="n">
        <v>0</v>
      </c>
      <c r="BM97" s="28" t="n">
        <v>0</v>
      </c>
      <c r="BN97" s="28" t="n">
        <v>0</v>
      </c>
      <c r="BO97" s="28" t="n">
        <v>0</v>
      </c>
      <c r="BP97" s="28" t="n">
        <v>0</v>
      </c>
      <c r="BQ97" s="28" t="n">
        <v>0</v>
      </c>
      <c r="BR97" s="28" t="n">
        <v>0</v>
      </c>
      <c r="BS97" s="28" t="n">
        <v>0</v>
      </c>
      <c r="BT97" s="28" t="n">
        <v>0</v>
      </c>
      <c r="BU97" s="28" t="n">
        <v>0</v>
      </c>
      <c r="BV97" s="28" t="n">
        <v>0</v>
      </c>
      <c r="BW97" s="28" t="n">
        <v>0</v>
      </c>
      <c r="BX97" s="28" t="n">
        <v>0</v>
      </c>
      <c r="BY97" s="28" t="n">
        <v>0</v>
      </c>
      <c r="BZ97" s="28" t="n">
        <v>0</v>
      </c>
      <c r="CA97" s="28" t="n">
        <v>0</v>
      </c>
      <c r="CB97" s="28" t="n">
        <v>0</v>
      </c>
      <c r="CC97" s="28" t="n">
        <v>0</v>
      </c>
      <c r="CD97" s="28" t="n">
        <v>0</v>
      </c>
      <c r="CE97" s="28" t="n">
        <v>0</v>
      </c>
      <c r="CF97" s="28" t="n">
        <v>0</v>
      </c>
      <c r="CG97" s="28" t="n">
        <v>0</v>
      </c>
      <c r="CH97" s="28" t="n">
        <v>0</v>
      </c>
      <c r="CI97" s="28" t="n">
        <v>0</v>
      </c>
      <c r="CJ97" s="28" t="n">
        <v>0</v>
      </c>
      <c r="CK97" s="28" t="n">
        <v>0</v>
      </c>
      <c r="CL97" s="28" t="n">
        <v>0</v>
      </c>
      <c r="CM97" s="28" t="n">
        <v>0</v>
      </c>
      <c r="CN97" s="28" t="n">
        <v>0</v>
      </c>
      <c r="CO97" s="28" t="n">
        <v>0</v>
      </c>
      <c r="CP97" s="28" t="n">
        <v>0</v>
      </c>
      <c r="CQ97" s="28" t="n">
        <v>0</v>
      </c>
      <c r="CR97" s="28" t="n">
        <v>0</v>
      </c>
      <c r="CS97" s="28" t="n">
        <v>0</v>
      </c>
      <c r="CT97" s="28" t="n">
        <v>0</v>
      </c>
      <c r="CU97" s="28" t="n">
        <v>0</v>
      </c>
      <c r="CV97" s="28" t="n">
        <v>0</v>
      </c>
      <c r="CW97" s="28" t="n">
        <v>0</v>
      </c>
      <c r="CX97" s="28" t="n">
        <v>0</v>
      </c>
      <c r="CY97" s="28" t="n">
        <v>0</v>
      </c>
      <c r="CZ97" s="28" t="n">
        <v>0</v>
      </c>
      <c r="DA97" s="28" t="n">
        <v>0</v>
      </c>
    </row>
    <row r="98">
      <c r="A98" t="inlineStr">
        <is>
          <t>TPP-919</t>
        </is>
      </c>
      <c r="B98" s="28" t="n">
        <v>0</v>
      </c>
      <c r="C98" s="28" t="n">
        <v>0</v>
      </c>
      <c r="D98" s="28" t="n">
        <v>0</v>
      </c>
      <c r="E98" s="28" t="n">
        <v>0</v>
      </c>
      <c r="F98" s="28" t="n">
        <v>0</v>
      </c>
      <c r="G98" s="28" t="n">
        <v>0</v>
      </c>
      <c r="H98" s="28" t="n">
        <v>0</v>
      </c>
      <c r="I98" s="28" t="n">
        <v>0</v>
      </c>
      <c r="J98" s="28" t="n">
        <v>0</v>
      </c>
      <c r="K98" s="28" t="n">
        <v>0</v>
      </c>
      <c r="L98" s="28" t="n">
        <v>0</v>
      </c>
      <c r="M98" s="28" t="n">
        <v>0</v>
      </c>
      <c r="N98" s="28" t="n">
        <v>0</v>
      </c>
      <c r="O98" s="28" t="n">
        <v>0</v>
      </c>
      <c r="P98" s="28" t="n">
        <v>0</v>
      </c>
      <c r="Q98" s="28" t="n">
        <v>0</v>
      </c>
      <c r="R98" s="28" t="n">
        <v>0</v>
      </c>
      <c r="S98" s="28" t="n">
        <v>0</v>
      </c>
      <c r="T98" s="28" t="n">
        <v>0</v>
      </c>
      <c r="U98" s="28" t="n">
        <v>0</v>
      </c>
      <c r="V98" s="28" t="n">
        <v>0</v>
      </c>
      <c r="W98" s="28" t="n">
        <v>0</v>
      </c>
      <c r="X98" s="28" t="n">
        <v>0</v>
      </c>
      <c r="Y98" s="28" t="n">
        <v>0</v>
      </c>
      <c r="Z98" s="28" t="n">
        <v>0</v>
      </c>
      <c r="AA98" s="28" t="n">
        <v>0</v>
      </c>
      <c r="AB98" s="28" t="n">
        <v>0</v>
      </c>
      <c r="AC98" s="28" t="n">
        <v>0</v>
      </c>
      <c r="AD98" s="28" t="n">
        <v>0</v>
      </c>
      <c r="AE98" s="28" t="n">
        <v>0</v>
      </c>
      <c r="AF98" s="28" t="n">
        <v>0</v>
      </c>
      <c r="AG98" s="28" t="n">
        <v>0</v>
      </c>
      <c r="AH98" s="28" t="n">
        <v>0</v>
      </c>
      <c r="AI98" s="28" t="n">
        <v>0</v>
      </c>
      <c r="AJ98" s="28" t="n">
        <v>0</v>
      </c>
      <c r="AK98" s="28" t="n">
        <v>0</v>
      </c>
      <c r="AL98" s="28" t="n">
        <v>0</v>
      </c>
      <c r="AM98" s="28" t="n">
        <v>0</v>
      </c>
      <c r="AN98" s="28" t="n">
        <v>0</v>
      </c>
      <c r="AO98" s="28" t="n">
        <v>0</v>
      </c>
      <c r="AP98" s="28" t="n">
        <v>0</v>
      </c>
      <c r="AQ98" s="28" t="n">
        <v>0</v>
      </c>
      <c r="AR98" s="28" t="n">
        <v>0</v>
      </c>
      <c r="AS98" s="28" t="n">
        <v>0</v>
      </c>
      <c r="AT98" s="28" t="n">
        <v>0</v>
      </c>
      <c r="AU98" s="28" t="n">
        <v>0</v>
      </c>
      <c r="AV98" s="28" t="n">
        <v>0</v>
      </c>
      <c r="AW98" s="28" t="n">
        <v>0</v>
      </c>
      <c r="AX98" s="28" t="n">
        <v>0</v>
      </c>
      <c r="AY98" s="28" t="n">
        <v>0</v>
      </c>
      <c r="AZ98" s="28" t="n">
        <v>0</v>
      </c>
      <c r="BA98" s="28" t="n">
        <v>0</v>
      </c>
      <c r="BB98" s="28" t="n">
        <v>0</v>
      </c>
      <c r="BC98" s="28" t="n">
        <v>0</v>
      </c>
      <c r="BD98" s="28" t="n">
        <v>0</v>
      </c>
      <c r="BE98" s="28" t="n">
        <v>0</v>
      </c>
      <c r="BF98" s="28" t="n">
        <v>0</v>
      </c>
      <c r="BG98" s="28" t="n">
        <v>0</v>
      </c>
      <c r="BH98" s="28" t="n">
        <v>0</v>
      </c>
      <c r="BI98" s="28" t="n">
        <v>0</v>
      </c>
      <c r="BJ98" s="28" t="n">
        <v>0</v>
      </c>
      <c r="BK98" s="28" t="n">
        <v>0</v>
      </c>
      <c r="BL98" s="28" t="n">
        <v>0</v>
      </c>
      <c r="BM98" s="28" t="n">
        <v>0</v>
      </c>
      <c r="BN98" s="28" t="n">
        <v>0</v>
      </c>
      <c r="BO98" s="28" t="n">
        <v>0</v>
      </c>
      <c r="BP98" s="28" t="n">
        <v>0</v>
      </c>
      <c r="BQ98" s="28" t="n">
        <v>0</v>
      </c>
      <c r="BR98" s="28" t="n">
        <v>0</v>
      </c>
      <c r="BS98" s="28" t="n">
        <v>0</v>
      </c>
      <c r="BT98" s="28" t="n">
        <v>0</v>
      </c>
      <c r="BU98" s="28" t="n">
        <v>0</v>
      </c>
      <c r="BV98" s="28" t="n">
        <v>0</v>
      </c>
      <c r="BW98" s="28" t="n">
        <v>0</v>
      </c>
      <c r="BX98" s="28" t="n">
        <v>0</v>
      </c>
      <c r="BY98" s="28" t="n">
        <v>0</v>
      </c>
      <c r="BZ98" s="28" t="n">
        <v>0</v>
      </c>
      <c r="CA98" s="28" t="n">
        <v>0</v>
      </c>
      <c r="CB98" s="28" t="n">
        <v>0</v>
      </c>
      <c r="CC98" s="28" t="n">
        <v>0</v>
      </c>
      <c r="CD98" s="28" t="n">
        <v>0</v>
      </c>
      <c r="CE98" s="28" t="n">
        <v>0</v>
      </c>
      <c r="CF98" s="28" t="n">
        <v>0</v>
      </c>
      <c r="CG98" s="28" t="n">
        <v>0</v>
      </c>
      <c r="CH98" s="28" t="n">
        <v>0</v>
      </c>
      <c r="CI98" s="28" t="n">
        <v>0</v>
      </c>
      <c r="CJ98" s="28" t="n">
        <v>0</v>
      </c>
      <c r="CK98" s="28" t="n">
        <v>0</v>
      </c>
      <c r="CL98" s="28" t="n">
        <v>0</v>
      </c>
      <c r="CM98" s="28" t="n">
        <v>0</v>
      </c>
      <c r="CN98" s="28" t="n">
        <v>0</v>
      </c>
      <c r="CO98" s="28" t="n">
        <v>0</v>
      </c>
      <c r="CP98" s="28" t="n">
        <v>0</v>
      </c>
      <c r="CQ98" s="28" t="n">
        <v>0</v>
      </c>
      <c r="CR98" s="28" t="n">
        <v>0</v>
      </c>
      <c r="CS98" s="28" t="n">
        <v>0</v>
      </c>
      <c r="CT98" s="28" t="n">
        <v>0</v>
      </c>
      <c r="CU98" s="28" t="n">
        <v>0</v>
      </c>
      <c r="CV98" s="28" t="n">
        <v>0</v>
      </c>
      <c r="CW98" s="28" t="n">
        <v>0</v>
      </c>
      <c r="CX98" s="28" t="n">
        <v>0</v>
      </c>
      <c r="CY98" s="28" t="n">
        <v>0</v>
      </c>
      <c r="CZ98" s="28" t="n">
        <v>0</v>
      </c>
      <c r="DA98" s="28" t="n">
        <v>0</v>
      </c>
    </row>
    <row r="99">
      <c r="A99" t="inlineStr">
        <is>
          <t>TPP-920</t>
        </is>
      </c>
      <c r="B99" s="28" t="n">
        <v>0</v>
      </c>
      <c r="C99" s="28" t="n">
        <v>0</v>
      </c>
      <c r="D99" s="28" t="n">
        <v>0</v>
      </c>
      <c r="E99" s="28" t="n">
        <v>0</v>
      </c>
      <c r="F99" s="28" t="n">
        <v>0</v>
      </c>
      <c r="G99" s="28" t="n">
        <v>0</v>
      </c>
      <c r="H99" s="28" t="n">
        <v>0</v>
      </c>
      <c r="I99" s="28" t="n">
        <v>0</v>
      </c>
      <c r="J99" s="28" t="n">
        <v>0</v>
      </c>
      <c r="K99" s="28" t="n">
        <v>0</v>
      </c>
      <c r="L99" s="28" t="n">
        <v>0</v>
      </c>
      <c r="M99" s="28" t="n">
        <v>0</v>
      </c>
      <c r="N99" s="28" t="n">
        <v>0</v>
      </c>
      <c r="O99" s="28" t="n">
        <v>0</v>
      </c>
      <c r="P99" s="28" t="n">
        <v>0</v>
      </c>
      <c r="Q99" s="28" t="n">
        <v>0</v>
      </c>
      <c r="R99" s="28" t="n">
        <v>0</v>
      </c>
      <c r="S99" s="28" t="n">
        <v>0</v>
      </c>
      <c r="T99" s="28" t="n">
        <v>0</v>
      </c>
      <c r="U99" s="28" t="n">
        <v>0</v>
      </c>
      <c r="V99" s="28" t="n">
        <v>0</v>
      </c>
      <c r="W99" s="28" t="n">
        <v>0</v>
      </c>
      <c r="X99" s="28" t="n">
        <v>0</v>
      </c>
      <c r="Y99" s="28" t="n">
        <v>0</v>
      </c>
      <c r="Z99" s="28" t="n">
        <v>0</v>
      </c>
      <c r="AA99" s="28" t="n">
        <v>0</v>
      </c>
      <c r="AB99" s="28" t="n">
        <v>0</v>
      </c>
      <c r="AC99" s="28" t="n">
        <v>0</v>
      </c>
      <c r="AD99" s="28" t="n">
        <v>0</v>
      </c>
      <c r="AE99" s="28" t="n">
        <v>0</v>
      </c>
      <c r="AF99" s="28" t="n">
        <v>0</v>
      </c>
      <c r="AG99" s="28" t="n">
        <v>0</v>
      </c>
      <c r="AH99" s="28" t="n">
        <v>0</v>
      </c>
      <c r="AI99" s="28" t="n">
        <v>3</v>
      </c>
      <c r="AJ99" s="28" t="n">
        <v>0</v>
      </c>
      <c r="AK99" s="28" t="n">
        <v>0</v>
      </c>
      <c r="AL99" s="28" t="n">
        <v>0</v>
      </c>
      <c r="AM99" s="28" t="n">
        <v>0</v>
      </c>
      <c r="AN99" s="28" t="n">
        <v>0</v>
      </c>
      <c r="AO99" s="28" t="n">
        <v>2</v>
      </c>
      <c r="AP99" s="28" t="n">
        <v>0</v>
      </c>
      <c r="AQ99" s="28" t="n">
        <v>0</v>
      </c>
      <c r="AR99" s="28" t="n">
        <v>0</v>
      </c>
      <c r="AS99" s="28" t="n">
        <v>2</v>
      </c>
      <c r="AT99" s="28" t="n">
        <v>0</v>
      </c>
      <c r="AU99" s="28" t="n">
        <v>0</v>
      </c>
      <c r="AV99" s="28" t="n">
        <v>0</v>
      </c>
      <c r="AW99" s="28" t="n">
        <v>0</v>
      </c>
      <c r="AX99" s="28" t="n">
        <v>0</v>
      </c>
      <c r="AY99" s="28" t="n">
        <v>0</v>
      </c>
      <c r="AZ99" s="28" t="n">
        <v>0</v>
      </c>
      <c r="BA99" s="28" t="n">
        <v>0</v>
      </c>
      <c r="BB99" s="28" t="n">
        <v>0</v>
      </c>
      <c r="BC99" s="28" t="n">
        <v>0</v>
      </c>
      <c r="BD99" s="28" t="n">
        <v>0</v>
      </c>
      <c r="BE99" s="28" t="n">
        <v>0</v>
      </c>
      <c r="BF99" s="28" t="n">
        <v>0</v>
      </c>
      <c r="BG99" s="28" t="n">
        <v>0</v>
      </c>
      <c r="BH99" s="28" t="n">
        <v>0</v>
      </c>
      <c r="BI99" s="28" t="n">
        <v>0</v>
      </c>
      <c r="BJ99" s="28" t="n">
        <v>0</v>
      </c>
      <c r="BK99" s="28" t="n">
        <v>0</v>
      </c>
      <c r="BL99" s="28" t="n">
        <v>0</v>
      </c>
      <c r="BM99" s="28" t="n">
        <v>0</v>
      </c>
      <c r="BN99" s="28" t="n">
        <v>0</v>
      </c>
      <c r="BO99" s="28" t="n">
        <v>0</v>
      </c>
      <c r="BP99" s="28" t="n">
        <v>0</v>
      </c>
      <c r="BQ99" s="28" t="n">
        <v>0</v>
      </c>
      <c r="BR99" s="28" t="n">
        <v>0</v>
      </c>
      <c r="BS99" s="28" t="n">
        <v>0</v>
      </c>
      <c r="BT99" s="28" t="n">
        <v>0</v>
      </c>
      <c r="BU99" s="28" t="n">
        <v>0</v>
      </c>
      <c r="BV99" s="28" t="n">
        <v>0</v>
      </c>
      <c r="BW99" s="28" t="n">
        <v>0</v>
      </c>
      <c r="BX99" s="28" t="n">
        <v>0</v>
      </c>
      <c r="BY99" s="28" t="n">
        <v>0</v>
      </c>
      <c r="BZ99" s="28" t="n">
        <v>0</v>
      </c>
      <c r="CA99" s="28" t="n">
        <v>0</v>
      </c>
      <c r="CB99" s="28" t="n">
        <v>0</v>
      </c>
      <c r="CC99" s="28" t="n">
        <v>0</v>
      </c>
      <c r="CD99" s="28" t="n">
        <v>0</v>
      </c>
      <c r="CE99" s="28" t="n">
        <v>0</v>
      </c>
      <c r="CF99" s="28" t="n">
        <v>0</v>
      </c>
      <c r="CG99" s="28" t="n">
        <v>0</v>
      </c>
      <c r="CH99" s="28" t="n">
        <v>0</v>
      </c>
      <c r="CI99" s="28" t="n">
        <v>0</v>
      </c>
      <c r="CJ99" s="28" t="n">
        <v>0</v>
      </c>
      <c r="CK99" s="28" t="n">
        <v>0</v>
      </c>
      <c r="CL99" s="28" t="n">
        <v>0</v>
      </c>
      <c r="CM99" s="28" t="n">
        <v>0</v>
      </c>
      <c r="CN99" s="28" t="n">
        <v>0</v>
      </c>
      <c r="CO99" s="28" t="n">
        <v>0</v>
      </c>
      <c r="CP99" s="28" t="n">
        <v>0</v>
      </c>
      <c r="CQ99" s="28" t="n">
        <v>0</v>
      </c>
      <c r="CR99" s="28" t="n">
        <v>0</v>
      </c>
      <c r="CS99" s="28" t="n">
        <v>0</v>
      </c>
      <c r="CT99" s="28" t="n">
        <v>0</v>
      </c>
      <c r="CU99" s="28" t="n">
        <v>0</v>
      </c>
      <c r="CV99" s="28" t="n">
        <v>0</v>
      </c>
      <c r="CW99" s="28" t="n">
        <v>0</v>
      </c>
      <c r="CX99" s="28" t="n">
        <v>0</v>
      </c>
      <c r="CY99" s="28" t="n">
        <v>0</v>
      </c>
      <c r="CZ99" s="28" t="n">
        <v>0</v>
      </c>
      <c r="DA99" s="28" t="n">
        <v>0</v>
      </c>
    </row>
    <row r="100">
      <c r="A100" t="inlineStr">
        <is>
          <t>TPP-922</t>
        </is>
      </c>
      <c r="B100" s="28" t="n">
        <v>0</v>
      </c>
      <c r="C100" s="28" t="n">
        <v>0</v>
      </c>
      <c r="D100" s="28" t="n">
        <v>0</v>
      </c>
      <c r="E100" s="28" t="n">
        <v>0</v>
      </c>
      <c r="F100" s="28" t="n">
        <v>0</v>
      </c>
      <c r="G100" s="28" t="n">
        <v>0</v>
      </c>
      <c r="H100" s="28" t="n">
        <v>0</v>
      </c>
      <c r="I100" s="28" t="n">
        <v>0</v>
      </c>
      <c r="J100" s="28" t="n">
        <v>0</v>
      </c>
      <c r="K100" s="28" t="n">
        <v>0</v>
      </c>
      <c r="L100" s="28" t="n">
        <v>0</v>
      </c>
      <c r="M100" s="28" t="n">
        <v>0</v>
      </c>
      <c r="N100" s="28" t="n">
        <v>0</v>
      </c>
      <c r="O100" s="28" t="n">
        <v>0</v>
      </c>
      <c r="P100" s="28" t="n">
        <v>0</v>
      </c>
      <c r="Q100" s="28" t="n">
        <v>0</v>
      </c>
      <c r="R100" s="28" t="n">
        <v>0</v>
      </c>
      <c r="S100" s="28" t="n">
        <v>0</v>
      </c>
      <c r="T100" s="28" t="n">
        <v>0</v>
      </c>
      <c r="U100" s="28" t="n">
        <v>0</v>
      </c>
      <c r="V100" s="28" t="n">
        <v>0</v>
      </c>
      <c r="W100" s="28" t="n">
        <v>0</v>
      </c>
      <c r="X100" s="28" t="n">
        <v>0</v>
      </c>
      <c r="Y100" s="28" t="n">
        <v>0</v>
      </c>
      <c r="Z100" s="28" t="n">
        <v>0</v>
      </c>
      <c r="AA100" s="28" t="n">
        <v>0</v>
      </c>
      <c r="AB100" s="28" t="n">
        <v>0</v>
      </c>
      <c r="AC100" s="28" t="n">
        <v>0</v>
      </c>
      <c r="AD100" s="28" t="n">
        <v>0</v>
      </c>
      <c r="AE100" s="28" t="n">
        <v>0</v>
      </c>
      <c r="AF100" s="28" t="n">
        <v>0</v>
      </c>
      <c r="AG100" s="28" t="n">
        <v>0</v>
      </c>
      <c r="AH100" s="28" t="n">
        <v>0</v>
      </c>
      <c r="AI100" s="28" t="n">
        <v>0</v>
      </c>
      <c r="AJ100" s="28" t="n">
        <v>0</v>
      </c>
      <c r="AK100" s="28" t="n">
        <v>0</v>
      </c>
      <c r="AL100" s="28" t="n">
        <v>0</v>
      </c>
      <c r="AM100" s="28" t="n">
        <v>0</v>
      </c>
      <c r="AN100" s="28" t="n">
        <v>0</v>
      </c>
      <c r="AO100" s="28" t="n">
        <v>0</v>
      </c>
      <c r="AP100" s="28" t="n">
        <v>0</v>
      </c>
      <c r="AQ100" s="28" t="n">
        <v>0</v>
      </c>
      <c r="AR100" s="28" t="n">
        <v>0</v>
      </c>
      <c r="AS100" s="28" t="n">
        <v>0</v>
      </c>
      <c r="AT100" s="28" t="n">
        <v>0</v>
      </c>
      <c r="AU100" s="28" t="n">
        <v>0</v>
      </c>
      <c r="AV100" s="28" t="n">
        <v>0</v>
      </c>
      <c r="AW100" s="28" t="n">
        <v>0</v>
      </c>
      <c r="AX100" s="28" t="n">
        <v>0</v>
      </c>
      <c r="AY100" s="28" t="n">
        <v>0</v>
      </c>
      <c r="AZ100" s="28" t="n">
        <v>0</v>
      </c>
      <c r="BA100" s="28" t="n">
        <v>0</v>
      </c>
      <c r="BB100" s="28" t="n">
        <v>0</v>
      </c>
      <c r="BC100" s="28" t="n">
        <v>0</v>
      </c>
      <c r="BD100" s="28" t="n">
        <v>0</v>
      </c>
      <c r="BE100" s="28" t="n">
        <v>0</v>
      </c>
      <c r="BF100" s="28" t="n">
        <v>0</v>
      </c>
      <c r="BG100" s="28" t="n">
        <v>0</v>
      </c>
      <c r="BH100" s="28" t="n">
        <v>0</v>
      </c>
      <c r="BI100" s="28" t="n">
        <v>0</v>
      </c>
      <c r="BJ100" s="28" t="n">
        <v>0</v>
      </c>
      <c r="BK100" s="28" t="n">
        <v>0</v>
      </c>
      <c r="BL100" s="28" t="n">
        <v>0</v>
      </c>
      <c r="BM100" s="28" t="n">
        <v>0</v>
      </c>
      <c r="BN100" s="28" t="n">
        <v>0</v>
      </c>
      <c r="BO100" s="28" t="n">
        <v>0</v>
      </c>
      <c r="BP100" s="28" t="n">
        <v>0</v>
      </c>
      <c r="BQ100" s="28" t="n">
        <v>0</v>
      </c>
      <c r="BR100" s="28" t="n">
        <v>0</v>
      </c>
      <c r="BS100" s="28" t="n">
        <v>0</v>
      </c>
      <c r="BT100" s="28" t="n">
        <v>0</v>
      </c>
      <c r="BU100" s="28" t="n">
        <v>0</v>
      </c>
      <c r="BV100" s="28" t="n">
        <v>0</v>
      </c>
      <c r="BW100" s="28" t="n">
        <v>0</v>
      </c>
      <c r="BX100" s="28" t="n">
        <v>0</v>
      </c>
      <c r="BY100" s="28" t="n">
        <v>0</v>
      </c>
      <c r="BZ100" s="28" t="n">
        <v>0</v>
      </c>
      <c r="CA100" s="28" t="n">
        <v>0</v>
      </c>
      <c r="CB100" s="28" t="n">
        <v>0</v>
      </c>
      <c r="CC100" s="28" t="n">
        <v>0</v>
      </c>
      <c r="CD100" s="28" t="n">
        <v>0</v>
      </c>
      <c r="CE100" s="28" t="n">
        <v>0</v>
      </c>
      <c r="CF100" s="28" t="n">
        <v>0</v>
      </c>
      <c r="CG100" s="28" t="n">
        <v>0</v>
      </c>
      <c r="CH100" s="28" t="n">
        <v>0</v>
      </c>
      <c r="CI100" s="28" t="n">
        <v>0</v>
      </c>
      <c r="CJ100" s="28" t="n">
        <v>0</v>
      </c>
      <c r="CK100" s="28" t="n">
        <v>0</v>
      </c>
      <c r="CL100" s="28" t="n">
        <v>0</v>
      </c>
      <c r="CM100" s="28" t="n">
        <v>0</v>
      </c>
      <c r="CN100" s="28" t="n">
        <v>0</v>
      </c>
      <c r="CO100" s="28" t="n">
        <v>0</v>
      </c>
      <c r="CP100" s="28" t="n">
        <v>0</v>
      </c>
      <c r="CQ100" s="28" t="n">
        <v>0</v>
      </c>
      <c r="CR100" s="28" t="n">
        <v>0</v>
      </c>
      <c r="CS100" s="28" t="n">
        <v>0</v>
      </c>
      <c r="CT100" s="28" t="n">
        <v>0</v>
      </c>
      <c r="CU100" s="28" t="n">
        <v>0</v>
      </c>
      <c r="CV100" s="28" t="n">
        <v>0</v>
      </c>
      <c r="CW100" s="28" t="n">
        <v>0</v>
      </c>
      <c r="CX100" s="28" t="n">
        <v>0</v>
      </c>
      <c r="CY100" s="28" t="n">
        <v>0</v>
      </c>
      <c r="CZ100" s="28" t="n">
        <v>0</v>
      </c>
      <c r="DA100" s="28" t="n">
        <v>0</v>
      </c>
    </row>
    <row r="101">
      <c r="A101" t="inlineStr">
        <is>
          <t>TPP-923</t>
        </is>
      </c>
      <c r="B101" s="28" t="n">
        <v>0</v>
      </c>
      <c r="C101" s="28" t="n">
        <v>0</v>
      </c>
      <c r="D101" s="28" t="n">
        <v>0</v>
      </c>
      <c r="E101" s="28" t="n">
        <v>0</v>
      </c>
      <c r="F101" s="28" t="n">
        <v>0</v>
      </c>
      <c r="G101" s="28" t="n">
        <v>0</v>
      </c>
      <c r="H101" s="28" t="n">
        <v>0</v>
      </c>
      <c r="I101" s="28" t="n">
        <v>0</v>
      </c>
      <c r="J101" s="28" t="n">
        <v>0</v>
      </c>
      <c r="K101" s="28" t="n">
        <v>0</v>
      </c>
      <c r="L101" s="28" t="n">
        <v>0</v>
      </c>
      <c r="M101" s="28" t="n">
        <v>0</v>
      </c>
      <c r="N101" s="28" t="n">
        <v>0</v>
      </c>
      <c r="O101" s="28" t="n">
        <v>0</v>
      </c>
      <c r="P101" s="28" t="n">
        <v>0</v>
      </c>
      <c r="Q101" s="28" t="n">
        <v>0</v>
      </c>
      <c r="R101" s="28" t="n">
        <v>0</v>
      </c>
      <c r="S101" s="28" t="n">
        <v>0</v>
      </c>
      <c r="T101" s="28" t="n">
        <v>0</v>
      </c>
      <c r="U101" s="28" t="n">
        <v>0</v>
      </c>
      <c r="V101" s="28" t="n">
        <v>0</v>
      </c>
      <c r="W101" s="28" t="n">
        <v>0</v>
      </c>
      <c r="X101" s="28" t="n">
        <v>0</v>
      </c>
      <c r="Y101" s="28" t="n">
        <v>0</v>
      </c>
      <c r="Z101" s="28" t="n">
        <v>0</v>
      </c>
      <c r="AA101" s="28" t="n">
        <v>0</v>
      </c>
      <c r="AB101" s="28" t="n">
        <v>0</v>
      </c>
      <c r="AC101" s="28" t="n">
        <v>0</v>
      </c>
      <c r="AD101" s="28" t="n">
        <v>0</v>
      </c>
      <c r="AE101" s="28" t="n">
        <v>0</v>
      </c>
      <c r="AF101" s="28" t="n">
        <v>0</v>
      </c>
      <c r="AG101" s="28" t="n">
        <v>0</v>
      </c>
      <c r="AH101" s="28" t="n">
        <v>0</v>
      </c>
      <c r="AI101" s="28" t="n">
        <v>4</v>
      </c>
      <c r="AJ101" s="28" t="n">
        <v>0</v>
      </c>
      <c r="AK101" s="28" t="n">
        <v>0</v>
      </c>
      <c r="AL101" s="28" t="n">
        <v>0</v>
      </c>
      <c r="AM101" s="28" t="n">
        <v>0</v>
      </c>
      <c r="AN101" s="28" t="n">
        <v>0</v>
      </c>
      <c r="AO101" s="28" t="n">
        <v>0</v>
      </c>
      <c r="AP101" s="28" t="n">
        <v>0</v>
      </c>
      <c r="AQ101" s="28" t="n">
        <v>0</v>
      </c>
      <c r="AR101" s="28" t="n">
        <v>2</v>
      </c>
      <c r="AS101" s="28" t="n">
        <v>0</v>
      </c>
      <c r="AT101" s="28" t="n">
        <v>0</v>
      </c>
      <c r="AU101" s="28" t="n">
        <v>0</v>
      </c>
      <c r="AV101" s="28" t="n">
        <v>0</v>
      </c>
      <c r="AW101" s="28" t="n">
        <v>0</v>
      </c>
      <c r="AX101" s="28" t="n">
        <v>0</v>
      </c>
      <c r="AY101" s="28" t="n">
        <v>0</v>
      </c>
      <c r="AZ101" s="28" t="n">
        <v>0</v>
      </c>
      <c r="BA101" s="28" t="n">
        <v>0</v>
      </c>
      <c r="BB101" s="28" t="n">
        <v>0</v>
      </c>
      <c r="BC101" s="28" t="n">
        <v>0</v>
      </c>
      <c r="BD101" s="28" t="n">
        <v>0</v>
      </c>
      <c r="BE101" s="28" t="n">
        <v>0</v>
      </c>
      <c r="BF101" s="28" t="n">
        <v>0</v>
      </c>
      <c r="BG101" s="28" t="n">
        <v>0</v>
      </c>
      <c r="BH101" s="28" t="n">
        <v>0</v>
      </c>
      <c r="BI101" s="28" t="n">
        <v>0</v>
      </c>
      <c r="BJ101" s="28" t="n">
        <v>0</v>
      </c>
      <c r="BK101" s="28" t="n">
        <v>0</v>
      </c>
      <c r="BL101" s="28" t="n">
        <v>0</v>
      </c>
      <c r="BM101" s="28" t="n">
        <v>0</v>
      </c>
      <c r="BN101" s="28" t="n">
        <v>0</v>
      </c>
      <c r="BO101" s="28" t="n">
        <v>0</v>
      </c>
      <c r="BP101" s="28" t="n">
        <v>0</v>
      </c>
      <c r="BQ101" s="28" t="n">
        <v>0</v>
      </c>
      <c r="BR101" s="28" t="n">
        <v>0</v>
      </c>
      <c r="BS101" s="28" t="n">
        <v>0</v>
      </c>
      <c r="BT101" s="28" t="n">
        <v>0</v>
      </c>
      <c r="BU101" s="28" t="n">
        <v>0</v>
      </c>
      <c r="BV101" s="28" t="n">
        <v>0</v>
      </c>
      <c r="BW101" s="28" t="n">
        <v>0</v>
      </c>
      <c r="BX101" s="28" t="n">
        <v>0</v>
      </c>
      <c r="BY101" s="28" t="n">
        <v>0</v>
      </c>
      <c r="BZ101" s="28" t="n">
        <v>0</v>
      </c>
      <c r="CA101" s="28" t="n">
        <v>0</v>
      </c>
      <c r="CB101" s="28" t="n">
        <v>0</v>
      </c>
      <c r="CC101" s="28" t="n">
        <v>0</v>
      </c>
      <c r="CD101" s="28" t="n">
        <v>0</v>
      </c>
      <c r="CE101" s="28" t="n">
        <v>0</v>
      </c>
      <c r="CF101" s="28" t="n">
        <v>0</v>
      </c>
      <c r="CG101" s="28" t="n">
        <v>0</v>
      </c>
      <c r="CH101" s="28" t="n">
        <v>0</v>
      </c>
      <c r="CI101" s="28" t="n">
        <v>0</v>
      </c>
      <c r="CJ101" s="28" t="n">
        <v>0</v>
      </c>
      <c r="CK101" s="28" t="n">
        <v>0</v>
      </c>
      <c r="CL101" s="28" t="n">
        <v>0</v>
      </c>
      <c r="CM101" s="28" t="n">
        <v>0</v>
      </c>
      <c r="CN101" s="28" t="n">
        <v>0</v>
      </c>
      <c r="CO101" s="28" t="n">
        <v>0</v>
      </c>
      <c r="CP101" s="28" t="n">
        <v>0</v>
      </c>
      <c r="CQ101" s="28" t="n">
        <v>0</v>
      </c>
      <c r="CR101" s="28" t="n">
        <v>0</v>
      </c>
      <c r="CS101" s="28" t="n">
        <v>0</v>
      </c>
      <c r="CT101" s="28" t="n">
        <v>0</v>
      </c>
      <c r="CU101" s="28" t="n">
        <v>0</v>
      </c>
      <c r="CV101" s="28" t="n">
        <v>0</v>
      </c>
      <c r="CW101" s="28" t="n">
        <v>0</v>
      </c>
      <c r="CX101" s="28" t="n">
        <v>0</v>
      </c>
      <c r="CY101" s="28" t="n">
        <v>0</v>
      </c>
      <c r="CZ101" s="28" t="n">
        <v>0</v>
      </c>
      <c r="DA101" s="28" t="n">
        <v>0</v>
      </c>
    </row>
    <row r="102">
      <c r="A102" t="inlineStr">
        <is>
          <t>TPP-968</t>
        </is>
      </c>
      <c r="B102" s="28" t="n">
        <v>0</v>
      </c>
      <c r="C102" s="28" t="n">
        <v>0</v>
      </c>
      <c r="D102" s="28" t="n">
        <v>0</v>
      </c>
      <c r="E102" s="28" t="n">
        <v>0</v>
      </c>
      <c r="F102" s="28" t="n">
        <v>0</v>
      </c>
      <c r="G102" s="28" t="n">
        <v>0</v>
      </c>
      <c r="H102" s="28" t="n">
        <v>0</v>
      </c>
      <c r="I102" s="28" t="n">
        <v>0</v>
      </c>
      <c r="J102" s="28" t="n">
        <v>0</v>
      </c>
      <c r="K102" s="28" t="n">
        <v>0</v>
      </c>
      <c r="L102" s="28" t="n">
        <v>0</v>
      </c>
      <c r="M102" s="28" t="n">
        <v>0</v>
      </c>
      <c r="N102" s="28" t="n">
        <v>0</v>
      </c>
      <c r="O102" s="28" t="n">
        <v>0</v>
      </c>
      <c r="P102" s="28" t="n">
        <v>0</v>
      </c>
      <c r="Q102" s="28" t="n">
        <v>0</v>
      </c>
      <c r="R102" s="28" t="n">
        <v>0</v>
      </c>
      <c r="S102" s="28" t="n">
        <v>0</v>
      </c>
      <c r="T102" s="28" t="n">
        <v>0</v>
      </c>
      <c r="U102" s="28" t="n">
        <v>0</v>
      </c>
      <c r="V102" s="28" t="n">
        <v>0</v>
      </c>
      <c r="W102" s="28" t="n">
        <v>0</v>
      </c>
      <c r="X102" s="28" t="n">
        <v>0</v>
      </c>
      <c r="Y102" s="28" t="n">
        <v>0</v>
      </c>
      <c r="Z102" s="28" t="n">
        <v>0</v>
      </c>
      <c r="AA102" s="28" t="n">
        <v>0</v>
      </c>
      <c r="AB102" s="28" t="n">
        <v>0</v>
      </c>
      <c r="AC102" s="28" t="n">
        <v>0</v>
      </c>
      <c r="AD102" s="28" t="n">
        <v>0</v>
      </c>
      <c r="AE102" s="28" t="n">
        <v>0</v>
      </c>
      <c r="AF102" s="28" t="n">
        <v>0</v>
      </c>
      <c r="AG102" s="28" t="n">
        <v>0</v>
      </c>
      <c r="AH102" s="28" t="n">
        <v>0</v>
      </c>
      <c r="AI102" s="28" t="n">
        <v>0</v>
      </c>
      <c r="AJ102" s="28" t="n">
        <v>0</v>
      </c>
      <c r="AK102" s="28" t="n">
        <v>0</v>
      </c>
      <c r="AL102" s="28" t="n">
        <v>0</v>
      </c>
      <c r="AM102" s="28" t="n">
        <v>0</v>
      </c>
      <c r="AN102" s="28" t="n">
        <v>0</v>
      </c>
      <c r="AO102" s="28" t="n">
        <v>0</v>
      </c>
      <c r="AP102" s="28" t="n">
        <v>0</v>
      </c>
      <c r="AQ102" s="28" t="n">
        <v>0</v>
      </c>
      <c r="AR102" s="28" t="n">
        <v>0</v>
      </c>
      <c r="AS102" s="28" t="n">
        <v>0</v>
      </c>
      <c r="AT102" s="28" t="n">
        <v>0</v>
      </c>
      <c r="AU102" s="28" t="n">
        <v>0</v>
      </c>
      <c r="AV102" s="28" t="n">
        <v>0</v>
      </c>
      <c r="AW102" s="28" t="n">
        <v>0</v>
      </c>
      <c r="AX102" s="28" t="n">
        <v>0</v>
      </c>
      <c r="AY102" s="28" t="n">
        <v>0</v>
      </c>
      <c r="AZ102" s="28" t="n">
        <v>0</v>
      </c>
      <c r="BA102" s="28" t="n">
        <v>0</v>
      </c>
      <c r="BB102" s="28" t="n">
        <v>0</v>
      </c>
      <c r="BC102" s="28" t="n">
        <v>0</v>
      </c>
      <c r="BD102" s="28" t="n">
        <v>0</v>
      </c>
      <c r="BE102" s="28" t="n">
        <v>0</v>
      </c>
      <c r="BF102" s="28" t="n">
        <v>0</v>
      </c>
      <c r="BG102" s="28" t="n">
        <v>0</v>
      </c>
      <c r="BH102" s="28" t="n">
        <v>0</v>
      </c>
      <c r="BI102" s="28" t="n">
        <v>0</v>
      </c>
      <c r="BJ102" s="28" t="n">
        <v>0</v>
      </c>
      <c r="BK102" s="28" t="n">
        <v>0</v>
      </c>
      <c r="BL102" s="28" t="n">
        <v>0</v>
      </c>
      <c r="BM102" s="28" t="n">
        <v>0</v>
      </c>
      <c r="BN102" s="28" t="n">
        <v>0</v>
      </c>
      <c r="BO102" s="28" t="n">
        <v>0</v>
      </c>
      <c r="BP102" s="28" t="n">
        <v>0</v>
      </c>
      <c r="BQ102" s="28" t="n">
        <v>0</v>
      </c>
      <c r="BR102" s="28" t="n">
        <v>0</v>
      </c>
      <c r="BS102" s="28" t="n">
        <v>0</v>
      </c>
      <c r="BT102" s="28" t="n">
        <v>0</v>
      </c>
      <c r="BU102" s="28" t="n">
        <v>0</v>
      </c>
      <c r="BV102" s="28" t="n">
        <v>0</v>
      </c>
      <c r="BW102" s="28" t="n">
        <v>0</v>
      </c>
      <c r="BX102" s="28" t="n">
        <v>0</v>
      </c>
      <c r="BY102" s="28" t="n">
        <v>0</v>
      </c>
      <c r="BZ102" s="28" t="n">
        <v>0</v>
      </c>
      <c r="CA102" s="28" t="n">
        <v>0</v>
      </c>
      <c r="CB102" s="28" t="n">
        <v>0</v>
      </c>
      <c r="CC102" s="28" t="n">
        <v>0</v>
      </c>
      <c r="CD102" s="28" t="n">
        <v>0</v>
      </c>
      <c r="CE102" s="28" t="n">
        <v>0</v>
      </c>
      <c r="CF102" s="28" t="n">
        <v>0</v>
      </c>
      <c r="CG102" s="28" t="n">
        <v>0</v>
      </c>
      <c r="CH102" s="28" t="n">
        <v>0</v>
      </c>
      <c r="CI102" s="28" t="n">
        <v>0</v>
      </c>
      <c r="CJ102" s="28" t="n">
        <v>0</v>
      </c>
      <c r="CK102" s="28" t="n">
        <v>0</v>
      </c>
      <c r="CL102" s="28" t="n">
        <v>0</v>
      </c>
      <c r="CM102" s="28" t="n">
        <v>0</v>
      </c>
      <c r="CN102" s="28" t="n">
        <v>0</v>
      </c>
      <c r="CO102" s="28" t="n">
        <v>0</v>
      </c>
      <c r="CP102" s="28" t="n">
        <v>0</v>
      </c>
      <c r="CQ102" s="28" t="n">
        <v>0</v>
      </c>
      <c r="CR102" s="28" t="n">
        <v>0</v>
      </c>
      <c r="CS102" s="28" t="n">
        <v>0</v>
      </c>
      <c r="CT102" s="28" t="n">
        <v>0</v>
      </c>
      <c r="CU102" s="28" t="n">
        <v>0</v>
      </c>
      <c r="CV102" s="28" t="n">
        <v>0</v>
      </c>
      <c r="CW102" s="28" t="n">
        <v>0</v>
      </c>
      <c r="CX102" s="28" t="n">
        <v>0</v>
      </c>
      <c r="CY102" s="28" t="n">
        <v>0</v>
      </c>
      <c r="CZ102" s="28" t="n">
        <v>0</v>
      </c>
      <c r="DA102" s="28" t="n">
        <v>0</v>
      </c>
    </row>
    <row r="103">
      <c r="A103" t="inlineStr">
        <is>
          <t>TPP-970</t>
        </is>
      </c>
      <c r="B103" s="28" t="n">
        <v>0</v>
      </c>
      <c r="C103" s="28" t="n">
        <v>0</v>
      </c>
      <c r="D103" s="28" t="n">
        <v>0</v>
      </c>
      <c r="E103" s="28" t="n">
        <v>0</v>
      </c>
      <c r="F103" s="28" t="n">
        <v>0</v>
      </c>
      <c r="G103" s="28" t="n">
        <v>0</v>
      </c>
      <c r="H103" s="28" t="n">
        <v>0</v>
      </c>
      <c r="I103" s="28" t="n">
        <v>0</v>
      </c>
      <c r="J103" s="28" t="n">
        <v>0</v>
      </c>
      <c r="K103" s="28" t="n">
        <v>0</v>
      </c>
      <c r="L103" s="28" t="n">
        <v>0</v>
      </c>
      <c r="M103" s="28" t="n">
        <v>0</v>
      </c>
      <c r="N103" s="28" t="n">
        <v>0</v>
      </c>
      <c r="O103" s="28" t="n">
        <v>0</v>
      </c>
      <c r="P103" s="28" t="n">
        <v>0</v>
      </c>
      <c r="Q103" s="28" t="n">
        <v>0</v>
      </c>
      <c r="R103" s="28" t="n">
        <v>0</v>
      </c>
      <c r="S103" s="28" t="n">
        <v>0</v>
      </c>
      <c r="T103" s="28" t="n">
        <v>0</v>
      </c>
      <c r="U103" s="28" t="n">
        <v>0</v>
      </c>
      <c r="V103" s="28" t="n">
        <v>0</v>
      </c>
      <c r="W103" s="28" t="n">
        <v>0</v>
      </c>
      <c r="X103" s="28" t="n">
        <v>0</v>
      </c>
      <c r="Y103" s="28" t="n">
        <v>0</v>
      </c>
      <c r="Z103" s="28" t="n">
        <v>0</v>
      </c>
      <c r="AA103" s="28" t="n">
        <v>0</v>
      </c>
      <c r="AB103" s="28" t="n">
        <v>0</v>
      </c>
      <c r="AC103" s="28" t="n">
        <v>0</v>
      </c>
      <c r="AD103" s="28" t="n">
        <v>0</v>
      </c>
      <c r="AE103" s="28" t="n">
        <v>0</v>
      </c>
      <c r="AF103" s="28" t="n">
        <v>0</v>
      </c>
      <c r="AG103" s="28" t="n">
        <v>0</v>
      </c>
      <c r="AH103" s="28" t="n">
        <v>0</v>
      </c>
      <c r="AI103" s="28" t="n">
        <v>0</v>
      </c>
      <c r="AJ103" s="28" t="n">
        <v>0</v>
      </c>
      <c r="AK103" s="28" t="n">
        <v>0</v>
      </c>
      <c r="AL103" s="28" t="n">
        <v>0</v>
      </c>
      <c r="AM103" s="28" t="n">
        <v>0</v>
      </c>
      <c r="AN103" s="28" t="n">
        <v>0</v>
      </c>
      <c r="AO103" s="28" t="n">
        <v>0</v>
      </c>
      <c r="AP103" s="28" t="n">
        <v>0</v>
      </c>
      <c r="AQ103" s="28" t="n">
        <v>0</v>
      </c>
      <c r="AR103" s="28" t="n">
        <v>0</v>
      </c>
      <c r="AS103" s="28" t="n">
        <v>0</v>
      </c>
      <c r="AT103" s="28" t="n">
        <v>0</v>
      </c>
      <c r="AU103" s="28" t="n">
        <v>0</v>
      </c>
      <c r="AV103" s="28" t="n">
        <v>0</v>
      </c>
      <c r="AW103" s="28" t="n">
        <v>0</v>
      </c>
      <c r="AX103" s="28" t="n">
        <v>0</v>
      </c>
      <c r="AY103" s="28" t="n">
        <v>0</v>
      </c>
      <c r="AZ103" s="28" t="n">
        <v>0</v>
      </c>
      <c r="BA103" s="28" t="n">
        <v>0</v>
      </c>
      <c r="BB103" s="28" t="n">
        <v>0</v>
      </c>
      <c r="BC103" s="28" t="n">
        <v>0</v>
      </c>
      <c r="BD103" s="28" t="n">
        <v>0</v>
      </c>
      <c r="BE103" s="28" t="n">
        <v>0</v>
      </c>
      <c r="BF103" s="28" t="n">
        <v>0</v>
      </c>
      <c r="BG103" s="28" t="n">
        <v>0</v>
      </c>
      <c r="BH103" s="28" t="n">
        <v>0</v>
      </c>
      <c r="BI103" s="28" t="n">
        <v>0</v>
      </c>
      <c r="BJ103" s="28" t="n">
        <v>0</v>
      </c>
      <c r="BK103" s="28" t="n">
        <v>0</v>
      </c>
      <c r="BL103" s="28" t="n">
        <v>0</v>
      </c>
      <c r="BM103" s="28" t="n">
        <v>0</v>
      </c>
      <c r="BN103" s="28" t="n">
        <v>0</v>
      </c>
      <c r="BO103" s="28" t="n">
        <v>0</v>
      </c>
      <c r="BP103" s="28" t="n">
        <v>0</v>
      </c>
      <c r="BQ103" s="28" t="n">
        <v>0</v>
      </c>
      <c r="BR103" s="28" t="n">
        <v>0</v>
      </c>
      <c r="BS103" s="28" t="n">
        <v>0</v>
      </c>
      <c r="BT103" s="28" t="n">
        <v>0</v>
      </c>
      <c r="BU103" s="28" t="n">
        <v>0</v>
      </c>
      <c r="BV103" s="28" t="n">
        <v>0</v>
      </c>
      <c r="BW103" s="28" t="n">
        <v>0</v>
      </c>
      <c r="BX103" s="28" t="n">
        <v>0</v>
      </c>
      <c r="BY103" s="28" t="n">
        <v>0</v>
      </c>
      <c r="BZ103" s="28" t="n">
        <v>0</v>
      </c>
      <c r="CA103" s="28" t="n">
        <v>0</v>
      </c>
      <c r="CB103" s="28" t="n">
        <v>0</v>
      </c>
      <c r="CC103" s="28" t="n">
        <v>0</v>
      </c>
      <c r="CD103" s="28" t="n">
        <v>0</v>
      </c>
      <c r="CE103" s="28" t="n">
        <v>0</v>
      </c>
      <c r="CF103" s="28" t="n">
        <v>0</v>
      </c>
      <c r="CG103" s="28" t="n">
        <v>0</v>
      </c>
      <c r="CH103" s="28" t="n">
        <v>0</v>
      </c>
      <c r="CI103" s="28" t="n">
        <v>0</v>
      </c>
      <c r="CJ103" s="28" t="n">
        <v>0</v>
      </c>
      <c r="CK103" s="28" t="n">
        <v>0</v>
      </c>
      <c r="CL103" s="28" t="n">
        <v>0</v>
      </c>
      <c r="CM103" s="28" t="n">
        <v>0</v>
      </c>
      <c r="CN103" s="28" t="n">
        <v>0</v>
      </c>
      <c r="CO103" s="28" t="n">
        <v>0</v>
      </c>
      <c r="CP103" s="28" t="n">
        <v>0</v>
      </c>
      <c r="CQ103" s="28" t="n">
        <v>0</v>
      </c>
      <c r="CR103" s="28" t="n">
        <v>0</v>
      </c>
      <c r="CS103" s="28" t="n">
        <v>0</v>
      </c>
      <c r="CT103" s="28" t="n">
        <v>0</v>
      </c>
      <c r="CU103" s="28" t="n">
        <v>0</v>
      </c>
      <c r="CV103" s="28" t="n">
        <v>0</v>
      </c>
      <c r="CW103" s="28" t="n">
        <v>0</v>
      </c>
      <c r="CX103" s="28" t="n">
        <v>0</v>
      </c>
      <c r="CY103" s="28" t="n">
        <v>0</v>
      </c>
      <c r="CZ103" s="28" t="n">
        <v>0</v>
      </c>
      <c r="DA103" s="28" t="n">
        <v>0</v>
      </c>
    </row>
    <row r="104">
      <c r="A104" t="inlineStr">
        <is>
          <t>SOL-10H</t>
        </is>
      </c>
      <c r="B104" s="28" t="n">
        <v>0</v>
      </c>
      <c r="C104" s="28" t="n">
        <v>0</v>
      </c>
      <c r="D104" s="28" t="n">
        <v>0</v>
      </c>
      <c r="E104" s="28" t="n">
        <v>0</v>
      </c>
      <c r="F104" s="28" t="n">
        <v>0</v>
      </c>
      <c r="G104" s="28" t="n">
        <v>0</v>
      </c>
      <c r="H104" s="28" t="n">
        <v>0</v>
      </c>
      <c r="I104" s="28" t="n">
        <v>0</v>
      </c>
      <c r="J104" s="28" t="n">
        <v>0</v>
      </c>
      <c r="K104" s="28" t="n">
        <v>0</v>
      </c>
      <c r="L104" s="28" t="n">
        <v>0</v>
      </c>
      <c r="M104" s="28" t="n">
        <v>0</v>
      </c>
      <c r="N104" s="28" t="n">
        <v>0</v>
      </c>
      <c r="O104" s="28" t="n">
        <v>0</v>
      </c>
      <c r="P104" s="28" t="n">
        <v>0</v>
      </c>
      <c r="Q104" s="28" t="n">
        <v>0</v>
      </c>
      <c r="R104" s="28" t="n">
        <v>0</v>
      </c>
      <c r="S104" s="28" t="n">
        <v>0</v>
      </c>
      <c r="T104" s="28" t="n">
        <v>0</v>
      </c>
      <c r="U104" s="28" t="n">
        <v>0</v>
      </c>
      <c r="V104" s="28" t="n">
        <v>0</v>
      </c>
      <c r="W104" s="28" t="n">
        <v>0</v>
      </c>
      <c r="X104" s="28" t="n">
        <v>0</v>
      </c>
      <c r="Y104" s="28" t="n">
        <v>0</v>
      </c>
      <c r="Z104" s="28" t="n">
        <v>1</v>
      </c>
      <c r="AA104" s="28" t="n">
        <v>2</v>
      </c>
      <c r="AB104" s="28" t="n">
        <v>3</v>
      </c>
      <c r="AC104" s="28" t="n">
        <v>3</v>
      </c>
      <c r="AD104" s="28" t="n">
        <v>2</v>
      </c>
      <c r="AE104" s="28" t="n">
        <v>1</v>
      </c>
      <c r="AF104" s="28" t="n">
        <v>2</v>
      </c>
      <c r="AG104" s="28" t="n">
        <v>1</v>
      </c>
      <c r="AH104" s="28" t="n">
        <v>1</v>
      </c>
      <c r="AI104" s="28" t="n">
        <v>2</v>
      </c>
      <c r="AJ104" s="28" t="n">
        <v>2</v>
      </c>
      <c r="AK104" s="28" t="n">
        <v>2</v>
      </c>
      <c r="AL104" s="28" t="n">
        <v>1</v>
      </c>
      <c r="AM104" s="28" t="n">
        <v>1</v>
      </c>
      <c r="AN104" s="28" t="n">
        <v>1</v>
      </c>
      <c r="AO104" s="28" t="n">
        <v>2</v>
      </c>
      <c r="AP104" s="28" t="n">
        <v>2</v>
      </c>
      <c r="AQ104" s="28" t="n">
        <v>1</v>
      </c>
      <c r="AR104" s="28" t="n">
        <v>2</v>
      </c>
      <c r="AS104" s="28" t="n">
        <v>2</v>
      </c>
      <c r="AT104" s="28" t="n">
        <v>3</v>
      </c>
      <c r="AU104" s="28" t="n">
        <v>2</v>
      </c>
      <c r="AV104" s="28" t="n">
        <v>2</v>
      </c>
      <c r="AW104" s="28" t="n">
        <v>1</v>
      </c>
      <c r="AX104" s="28" t="n">
        <v>1</v>
      </c>
      <c r="AY104" s="28" t="n">
        <v>0</v>
      </c>
      <c r="AZ104" s="28" t="n">
        <v>0</v>
      </c>
      <c r="BA104" s="28" t="n">
        <v>0</v>
      </c>
      <c r="BB104" s="28" t="n">
        <v>2</v>
      </c>
      <c r="BC104" s="28" t="n">
        <v>1</v>
      </c>
      <c r="BD104" s="28" t="n">
        <v>1</v>
      </c>
      <c r="BE104" s="28" t="n">
        <v>2</v>
      </c>
      <c r="BF104" s="28" t="n">
        <v>2</v>
      </c>
      <c r="BG104" s="28" t="n">
        <v>0</v>
      </c>
      <c r="BH104" s="28" t="n">
        <v>2</v>
      </c>
      <c r="BI104" s="28" t="n">
        <v>1</v>
      </c>
      <c r="BJ104" s="28" t="n">
        <v>1</v>
      </c>
      <c r="BK104" s="28" t="n">
        <v>1</v>
      </c>
      <c r="BL104" s="28" t="n">
        <v>0</v>
      </c>
      <c r="BM104" s="28" t="n">
        <v>0</v>
      </c>
      <c r="BN104" s="28" t="n">
        <v>1</v>
      </c>
      <c r="BO104" s="28" t="n">
        <v>0</v>
      </c>
      <c r="BP104" s="28" t="n">
        <v>1</v>
      </c>
      <c r="BQ104" s="28" t="n">
        <v>0</v>
      </c>
      <c r="BR104" s="28" t="n">
        <v>0</v>
      </c>
      <c r="BS104" s="28" t="n">
        <v>1</v>
      </c>
      <c r="BT104" s="28" t="n">
        <v>0</v>
      </c>
      <c r="BU104" s="28" t="n">
        <v>1</v>
      </c>
      <c r="BV104" s="28" t="n">
        <v>0</v>
      </c>
      <c r="BW104" s="28" t="n">
        <v>0</v>
      </c>
      <c r="BX104" s="28" t="n">
        <v>0</v>
      </c>
      <c r="BY104" s="28" t="n">
        <v>0</v>
      </c>
      <c r="BZ104" s="28" t="n">
        <v>0</v>
      </c>
      <c r="CA104" s="28" t="n">
        <v>0</v>
      </c>
      <c r="CB104" s="28" t="n">
        <v>0</v>
      </c>
      <c r="CC104" s="28" t="n">
        <v>0</v>
      </c>
      <c r="CD104" s="28" t="n">
        <v>0</v>
      </c>
      <c r="CE104" s="28" t="n">
        <v>0</v>
      </c>
      <c r="CF104" s="28" t="n">
        <v>0</v>
      </c>
      <c r="CG104" s="28" t="n">
        <v>0</v>
      </c>
      <c r="CH104" s="28" t="n">
        <v>0</v>
      </c>
      <c r="CI104" s="28" t="n">
        <v>0</v>
      </c>
      <c r="CJ104" s="28" t="n">
        <v>0</v>
      </c>
      <c r="CK104" s="28" t="n">
        <v>0</v>
      </c>
      <c r="CL104" s="28" t="n">
        <v>0</v>
      </c>
      <c r="CM104" s="28" t="n">
        <v>0</v>
      </c>
      <c r="CN104" s="28" t="n">
        <v>0</v>
      </c>
      <c r="CO104" s="28" t="n">
        <v>0</v>
      </c>
      <c r="CP104" s="28" t="n">
        <v>0</v>
      </c>
      <c r="CQ104" s="28" t="n">
        <v>0</v>
      </c>
      <c r="CR104" s="28" t="n">
        <v>0</v>
      </c>
      <c r="CS104" s="28" t="n">
        <v>0</v>
      </c>
      <c r="CT104" s="28" t="n">
        <v>0</v>
      </c>
      <c r="CU104" s="28" t="n">
        <v>0</v>
      </c>
      <c r="CV104" s="28" t="n">
        <v>0</v>
      </c>
      <c r="CW104" s="28" t="n">
        <v>0</v>
      </c>
      <c r="CX104" s="28" t="n">
        <v>0</v>
      </c>
      <c r="CY104" s="28" t="n">
        <v>0</v>
      </c>
      <c r="CZ104" s="28" t="n">
        <v>0</v>
      </c>
      <c r="DA104" s="28" t="n">
        <v>0</v>
      </c>
    </row>
    <row r="105">
      <c r="A105" t="inlineStr">
        <is>
          <t>SOL-10H VW</t>
        </is>
      </c>
      <c r="B105" s="28" t="n">
        <v>0</v>
      </c>
      <c r="C105" s="28" t="n">
        <v>0</v>
      </c>
      <c r="D105" s="28" t="n">
        <v>0</v>
      </c>
      <c r="E105" s="28" t="n">
        <v>0</v>
      </c>
      <c r="F105" s="28" t="n">
        <v>0</v>
      </c>
      <c r="G105" s="28" t="n">
        <v>0</v>
      </c>
      <c r="H105" s="28" t="n">
        <v>0</v>
      </c>
      <c r="I105" s="28" t="n">
        <v>0</v>
      </c>
      <c r="J105" s="28" t="n">
        <v>0</v>
      </c>
      <c r="K105" s="28" t="n">
        <v>0</v>
      </c>
      <c r="L105" s="28" t="n">
        <v>0</v>
      </c>
      <c r="M105" s="28" t="n">
        <v>0</v>
      </c>
      <c r="N105" s="28" t="n">
        <v>0</v>
      </c>
      <c r="O105" s="28" t="n">
        <v>0</v>
      </c>
      <c r="P105" s="28" t="n">
        <v>0</v>
      </c>
      <c r="Q105" s="28" t="n">
        <v>0</v>
      </c>
      <c r="R105" s="28" t="n">
        <v>0</v>
      </c>
      <c r="S105" s="28" t="n">
        <v>0</v>
      </c>
      <c r="T105" s="28" t="n">
        <v>0</v>
      </c>
      <c r="U105" s="28" t="n">
        <v>0</v>
      </c>
      <c r="V105" s="28" t="n">
        <v>0</v>
      </c>
      <c r="W105" s="28" t="n">
        <v>0</v>
      </c>
      <c r="X105" s="28" t="n">
        <v>0</v>
      </c>
      <c r="Y105" s="28" t="n">
        <v>0</v>
      </c>
      <c r="Z105" s="28" t="n">
        <v>0</v>
      </c>
      <c r="AA105" s="28" t="n">
        <v>0</v>
      </c>
      <c r="AB105" s="28" t="n">
        <v>1</v>
      </c>
      <c r="AC105" s="28" t="n">
        <v>0</v>
      </c>
      <c r="AD105" s="28" t="n">
        <v>0</v>
      </c>
      <c r="AE105" s="28" t="n">
        <v>0</v>
      </c>
      <c r="AF105" s="28" t="n">
        <v>0</v>
      </c>
      <c r="AG105" s="28" t="n">
        <v>0</v>
      </c>
      <c r="AH105" s="28" t="n">
        <v>0</v>
      </c>
      <c r="AI105" s="28" t="n">
        <v>0</v>
      </c>
      <c r="AJ105" s="28" t="n">
        <v>0</v>
      </c>
      <c r="AK105" s="28" t="n">
        <v>0</v>
      </c>
      <c r="AL105" s="28" t="n">
        <v>0</v>
      </c>
      <c r="AM105" s="28" t="n">
        <v>0</v>
      </c>
      <c r="AN105" s="28" t="n">
        <v>0</v>
      </c>
      <c r="AO105" s="28" t="n">
        <v>0</v>
      </c>
      <c r="AP105" s="28" t="n">
        <v>0</v>
      </c>
      <c r="AQ105" s="28" t="n">
        <v>0</v>
      </c>
      <c r="AR105" s="28" t="n">
        <v>0</v>
      </c>
      <c r="AS105" s="28" t="n">
        <v>0</v>
      </c>
      <c r="AT105" s="28" t="n">
        <v>0</v>
      </c>
      <c r="AU105" s="28" t="n">
        <v>0</v>
      </c>
      <c r="AV105" s="28" t="n">
        <v>0</v>
      </c>
      <c r="AW105" s="28" t="n">
        <v>1</v>
      </c>
      <c r="AX105" s="28" t="n">
        <v>0</v>
      </c>
      <c r="AY105" s="28" t="n">
        <v>0</v>
      </c>
      <c r="AZ105" s="28" t="n">
        <v>0</v>
      </c>
      <c r="BA105" s="28" t="n">
        <v>0</v>
      </c>
      <c r="BB105" s="28" t="n">
        <v>0</v>
      </c>
      <c r="BC105" s="28" t="n">
        <v>0</v>
      </c>
      <c r="BD105" s="28" t="n">
        <v>0</v>
      </c>
      <c r="BE105" s="28" t="n">
        <v>0</v>
      </c>
      <c r="BF105" s="28" t="n">
        <v>0</v>
      </c>
      <c r="BG105" s="28" t="n">
        <v>0</v>
      </c>
      <c r="BH105" s="28" t="n">
        <v>0</v>
      </c>
      <c r="BI105" s="28" t="n">
        <v>0</v>
      </c>
      <c r="BJ105" s="28" t="n">
        <v>0</v>
      </c>
      <c r="BK105" s="28" t="n">
        <v>0</v>
      </c>
      <c r="BL105" s="28" t="n">
        <v>0</v>
      </c>
      <c r="BM105" s="28" t="n">
        <v>0</v>
      </c>
      <c r="BN105" s="28" t="n">
        <v>0</v>
      </c>
      <c r="BO105" s="28" t="n">
        <v>0</v>
      </c>
      <c r="BP105" s="28" t="n">
        <v>0</v>
      </c>
      <c r="BQ105" s="28" t="n">
        <v>0</v>
      </c>
      <c r="BR105" s="28" t="n">
        <v>0</v>
      </c>
      <c r="BS105" s="28" t="n">
        <v>0</v>
      </c>
      <c r="BT105" s="28" t="n">
        <v>0</v>
      </c>
      <c r="BU105" s="28" t="n">
        <v>0</v>
      </c>
      <c r="BV105" s="28" t="n">
        <v>0</v>
      </c>
      <c r="BW105" s="28" t="n">
        <v>0</v>
      </c>
      <c r="BX105" s="28" t="n">
        <v>0</v>
      </c>
      <c r="BY105" s="28" t="n">
        <v>0</v>
      </c>
      <c r="BZ105" s="28" t="n">
        <v>0</v>
      </c>
      <c r="CA105" s="28" t="n">
        <v>0</v>
      </c>
      <c r="CB105" s="28" t="n">
        <v>0</v>
      </c>
      <c r="CC105" s="28" t="n">
        <v>0</v>
      </c>
      <c r="CD105" s="28" t="n">
        <v>0</v>
      </c>
      <c r="CE105" s="28" t="n">
        <v>0</v>
      </c>
      <c r="CF105" s="28" t="n">
        <v>0</v>
      </c>
      <c r="CG105" s="28" t="n">
        <v>0</v>
      </c>
      <c r="CH105" s="28" t="n">
        <v>0</v>
      </c>
      <c r="CI105" s="28" t="n">
        <v>0</v>
      </c>
      <c r="CJ105" s="28" t="n">
        <v>0</v>
      </c>
      <c r="CK105" s="28" t="n">
        <v>0</v>
      </c>
      <c r="CL105" s="28" t="n">
        <v>0</v>
      </c>
      <c r="CM105" s="28" t="n">
        <v>0</v>
      </c>
      <c r="CN105" s="28" t="n">
        <v>0</v>
      </c>
      <c r="CO105" s="28" t="n">
        <v>0</v>
      </c>
      <c r="CP105" s="28" t="n">
        <v>0</v>
      </c>
      <c r="CQ105" s="28" t="n">
        <v>0</v>
      </c>
      <c r="CR105" s="28" t="n">
        <v>0</v>
      </c>
      <c r="CS105" s="28" t="n">
        <v>0</v>
      </c>
      <c r="CT105" s="28" t="n">
        <v>0</v>
      </c>
      <c r="CU105" s="28" t="n">
        <v>0</v>
      </c>
      <c r="CV105" s="28" t="n">
        <v>0</v>
      </c>
      <c r="CW105" s="28" t="n">
        <v>0</v>
      </c>
      <c r="CX105" s="28" t="n">
        <v>0</v>
      </c>
      <c r="CY105" s="28" t="n">
        <v>0</v>
      </c>
      <c r="CZ105" s="28" t="n">
        <v>0</v>
      </c>
      <c r="DA105" s="28" t="n">
        <v>0</v>
      </c>
    </row>
    <row r="106">
      <c r="A106" t="inlineStr">
        <is>
          <t>SOL-20P</t>
        </is>
      </c>
      <c r="B106" s="28" t="n">
        <v>0</v>
      </c>
      <c r="C106" s="28" t="n">
        <v>0</v>
      </c>
      <c r="D106" s="28" t="n">
        <v>0</v>
      </c>
      <c r="E106" s="28" t="n">
        <v>0</v>
      </c>
      <c r="F106" s="28" t="n">
        <v>0</v>
      </c>
      <c r="G106" s="28" t="n">
        <v>0</v>
      </c>
      <c r="H106" s="28" t="n">
        <v>0</v>
      </c>
      <c r="I106" s="28" t="n">
        <v>0</v>
      </c>
      <c r="J106" s="28" t="n">
        <v>0</v>
      </c>
      <c r="K106" s="28" t="n">
        <v>0</v>
      </c>
      <c r="L106" s="28" t="n">
        <v>0</v>
      </c>
      <c r="M106" s="28" t="n">
        <v>0</v>
      </c>
      <c r="N106" s="28" t="n">
        <v>0</v>
      </c>
      <c r="O106" s="28" t="n">
        <v>0</v>
      </c>
      <c r="P106" s="28" t="n">
        <v>0</v>
      </c>
      <c r="Q106" s="28" t="n">
        <v>0</v>
      </c>
      <c r="R106" s="28" t="n">
        <v>0</v>
      </c>
      <c r="S106" s="28" t="n">
        <v>0</v>
      </c>
      <c r="T106" s="28" t="n">
        <v>0</v>
      </c>
      <c r="U106" s="28" t="n">
        <v>0</v>
      </c>
      <c r="V106" s="28" t="n">
        <v>0</v>
      </c>
      <c r="W106" s="28" t="n">
        <v>0</v>
      </c>
      <c r="X106" s="28" t="n">
        <v>0</v>
      </c>
      <c r="Y106" s="28" t="n">
        <v>0</v>
      </c>
      <c r="Z106" s="28" t="n">
        <v>0</v>
      </c>
      <c r="AA106" s="28" t="n">
        <v>0</v>
      </c>
      <c r="AB106" s="28" t="n">
        <v>0</v>
      </c>
      <c r="AC106" s="28" t="n">
        <v>0</v>
      </c>
      <c r="AD106" s="28" t="n">
        <v>0</v>
      </c>
      <c r="AE106" s="28" t="n">
        <v>0</v>
      </c>
      <c r="AF106" s="28" t="n">
        <v>0</v>
      </c>
      <c r="AG106" s="28" t="n">
        <v>0</v>
      </c>
      <c r="AH106" s="28" t="n">
        <v>0</v>
      </c>
      <c r="AI106" s="28" t="n">
        <v>0</v>
      </c>
      <c r="AJ106" s="28" t="n">
        <v>0</v>
      </c>
      <c r="AK106" s="28" t="n">
        <v>0</v>
      </c>
      <c r="AL106" s="28" t="n">
        <v>0</v>
      </c>
      <c r="AM106" s="28" t="n">
        <v>0</v>
      </c>
      <c r="AN106" s="28" t="n">
        <v>0</v>
      </c>
      <c r="AO106" s="28" t="n">
        <v>0</v>
      </c>
      <c r="AP106" s="28" t="n">
        <v>0</v>
      </c>
      <c r="AQ106" s="28" t="n">
        <v>0</v>
      </c>
      <c r="AR106" s="28" t="n">
        <v>0</v>
      </c>
      <c r="AS106" s="28" t="n">
        <v>0</v>
      </c>
      <c r="AT106" s="28" t="n">
        <v>0</v>
      </c>
      <c r="AU106" s="28" t="n">
        <v>0</v>
      </c>
      <c r="AV106" s="28" t="n">
        <v>0</v>
      </c>
      <c r="AW106" s="28" t="n">
        <v>0</v>
      </c>
      <c r="AX106" s="28" t="n">
        <v>0</v>
      </c>
      <c r="AY106" s="28" t="n">
        <v>0</v>
      </c>
      <c r="AZ106" s="28" t="n">
        <v>0</v>
      </c>
      <c r="BA106" s="28" t="n">
        <v>0</v>
      </c>
      <c r="BB106" s="28" t="n">
        <v>0</v>
      </c>
      <c r="BC106" s="28" t="n">
        <v>0</v>
      </c>
      <c r="BD106" s="28" t="n">
        <v>0</v>
      </c>
      <c r="BE106" s="28" t="n">
        <v>0</v>
      </c>
      <c r="BF106" s="28" t="n">
        <v>0</v>
      </c>
      <c r="BG106" s="28" t="n">
        <v>0</v>
      </c>
      <c r="BH106" s="28" t="n">
        <v>0</v>
      </c>
      <c r="BI106" s="28" t="n">
        <v>0</v>
      </c>
      <c r="BJ106" s="28" t="n">
        <v>0</v>
      </c>
      <c r="BK106" s="28" t="n">
        <v>0</v>
      </c>
      <c r="BL106" s="28" t="n">
        <v>0</v>
      </c>
      <c r="BM106" s="28" t="n">
        <v>0</v>
      </c>
      <c r="BN106" s="28" t="n">
        <v>0</v>
      </c>
      <c r="BO106" s="28" t="n">
        <v>0</v>
      </c>
      <c r="BP106" s="28" t="n">
        <v>0</v>
      </c>
      <c r="BQ106" s="28" t="n">
        <v>0</v>
      </c>
      <c r="BR106" s="28" t="n">
        <v>0</v>
      </c>
      <c r="BS106" s="28" t="n">
        <v>0</v>
      </c>
      <c r="BT106" s="28" t="n">
        <v>0</v>
      </c>
      <c r="BU106" s="28" t="n">
        <v>0</v>
      </c>
      <c r="BV106" s="28" t="n">
        <v>0</v>
      </c>
      <c r="BW106" s="28" t="n">
        <v>0</v>
      </c>
      <c r="BX106" s="28" t="n">
        <v>0</v>
      </c>
      <c r="BY106" s="28" t="n">
        <v>0</v>
      </c>
      <c r="BZ106" s="28" t="n">
        <v>0</v>
      </c>
      <c r="CA106" s="28" t="n">
        <v>0</v>
      </c>
      <c r="CB106" s="28" t="n">
        <v>0</v>
      </c>
      <c r="CC106" s="28" t="n">
        <v>0</v>
      </c>
      <c r="CD106" s="28" t="n">
        <v>0</v>
      </c>
      <c r="CE106" s="28" t="n">
        <v>0</v>
      </c>
      <c r="CF106" s="28" t="n">
        <v>0</v>
      </c>
      <c r="CG106" s="28" t="n">
        <v>0</v>
      </c>
      <c r="CH106" s="28" t="n">
        <v>0</v>
      </c>
      <c r="CI106" s="28" t="n">
        <v>0</v>
      </c>
      <c r="CJ106" s="28" t="n">
        <v>0</v>
      </c>
      <c r="CK106" s="28" t="n">
        <v>0</v>
      </c>
      <c r="CL106" s="28" t="n">
        <v>0</v>
      </c>
      <c r="CM106" s="28" t="n">
        <v>0</v>
      </c>
      <c r="CN106" s="28" t="n">
        <v>0</v>
      </c>
      <c r="CO106" s="28" t="n">
        <v>0</v>
      </c>
      <c r="CP106" s="28" t="n">
        <v>0</v>
      </c>
      <c r="CQ106" s="28" t="n">
        <v>0</v>
      </c>
      <c r="CR106" s="28" t="n">
        <v>0</v>
      </c>
      <c r="CS106" s="28" t="n">
        <v>0</v>
      </c>
      <c r="CT106" s="28" t="n">
        <v>0</v>
      </c>
      <c r="CU106" s="28" t="n">
        <v>0</v>
      </c>
      <c r="CV106" s="28" t="n">
        <v>0</v>
      </c>
      <c r="CW106" s="28" t="n">
        <v>0</v>
      </c>
      <c r="CX106" s="28" t="n">
        <v>0</v>
      </c>
      <c r="CY106" s="28" t="n">
        <v>0</v>
      </c>
      <c r="CZ106" s="28" t="n">
        <v>0</v>
      </c>
      <c r="DA106" s="28" t="n">
        <v>0</v>
      </c>
    </row>
    <row r="107">
      <c r="A107" t="inlineStr">
        <is>
          <t>SOL-250D</t>
        </is>
      </c>
      <c r="B107" s="28" t="n">
        <v>0</v>
      </c>
      <c r="C107" s="28" t="n">
        <v>0</v>
      </c>
      <c r="D107" s="28" t="n">
        <v>0</v>
      </c>
      <c r="E107" s="28" t="n">
        <v>0</v>
      </c>
      <c r="F107" s="28" t="n">
        <v>0</v>
      </c>
      <c r="G107" s="28" t="n">
        <v>0</v>
      </c>
      <c r="H107" s="28" t="n">
        <v>0</v>
      </c>
      <c r="I107" s="28" t="n">
        <v>0</v>
      </c>
      <c r="J107" s="28" t="n">
        <v>0</v>
      </c>
      <c r="K107" s="28" t="n">
        <v>0</v>
      </c>
      <c r="L107" s="28" t="n">
        <v>0</v>
      </c>
      <c r="M107" s="28" t="n">
        <v>0</v>
      </c>
      <c r="N107" s="28" t="n">
        <v>0</v>
      </c>
      <c r="O107" s="28" t="n">
        <v>0</v>
      </c>
      <c r="P107" s="28" t="n">
        <v>0</v>
      </c>
      <c r="Q107" s="28" t="n">
        <v>0</v>
      </c>
      <c r="R107" s="28" t="n">
        <v>0</v>
      </c>
      <c r="S107" s="28" t="n">
        <v>0</v>
      </c>
      <c r="T107" s="28" t="n">
        <v>0</v>
      </c>
      <c r="U107" s="28" t="n">
        <v>0</v>
      </c>
      <c r="V107" s="28" t="n">
        <v>0</v>
      </c>
      <c r="W107" s="28" t="n">
        <v>0</v>
      </c>
      <c r="X107" s="28" t="n">
        <v>0</v>
      </c>
      <c r="Y107" s="28" t="n">
        <v>0</v>
      </c>
      <c r="Z107" s="28" t="n">
        <v>0</v>
      </c>
      <c r="AA107" s="28" t="n">
        <v>0</v>
      </c>
      <c r="AB107" s="28" t="n">
        <v>0</v>
      </c>
      <c r="AC107" s="28" t="n">
        <v>0</v>
      </c>
      <c r="AD107" s="28" t="n">
        <v>0</v>
      </c>
      <c r="AE107" s="28" t="n">
        <v>0</v>
      </c>
      <c r="AF107" s="28" t="n">
        <v>0</v>
      </c>
      <c r="AG107" s="28" t="n">
        <v>0</v>
      </c>
      <c r="AH107" s="28" t="n">
        <v>0</v>
      </c>
      <c r="AI107" s="28" t="n">
        <v>0</v>
      </c>
      <c r="AJ107" s="28" t="n">
        <v>0</v>
      </c>
      <c r="AK107" s="28" t="n">
        <v>0</v>
      </c>
      <c r="AL107" s="28" t="n">
        <v>0</v>
      </c>
      <c r="AM107" s="28" t="n">
        <v>0</v>
      </c>
      <c r="AN107" s="28" t="n">
        <v>0</v>
      </c>
      <c r="AO107" s="28" t="n">
        <v>0</v>
      </c>
      <c r="AP107" s="28" t="n">
        <v>0</v>
      </c>
      <c r="AQ107" s="28" t="n">
        <v>0</v>
      </c>
      <c r="AR107" s="28" t="n">
        <v>0</v>
      </c>
      <c r="AS107" s="28" t="n">
        <v>0</v>
      </c>
      <c r="AT107" s="28" t="n">
        <v>0</v>
      </c>
      <c r="AU107" s="28" t="n">
        <v>0</v>
      </c>
      <c r="AV107" s="28" t="n">
        <v>0</v>
      </c>
      <c r="AW107" s="28" t="n">
        <v>0</v>
      </c>
      <c r="AX107" s="28" t="n">
        <v>0</v>
      </c>
      <c r="AY107" s="28" t="n">
        <v>0</v>
      </c>
      <c r="AZ107" s="28" t="n">
        <v>0</v>
      </c>
      <c r="BA107" s="28" t="n">
        <v>0</v>
      </c>
      <c r="BB107" s="28" t="n">
        <v>0</v>
      </c>
      <c r="BC107" s="28" t="n">
        <v>0</v>
      </c>
      <c r="BD107" s="28" t="n">
        <v>0</v>
      </c>
      <c r="BE107" s="28" t="n">
        <v>0</v>
      </c>
      <c r="BF107" s="28" t="n">
        <v>0</v>
      </c>
      <c r="BG107" s="28" t="n">
        <v>0</v>
      </c>
      <c r="BH107" s="28" t="n">
        <v>0</v>
      </c>
      <c r="BI107" s="28" t="n">
        <v>0</v>
      </c>
      <c r="BJ107" s="28" t="n">
        <v>0</v>
      </c>
      <c r="BK107" s="28" t="n">
        <v>0</v>
      </c>
      <c r="BL107" s="28" t="n">
        <v>0</v>
      </c>
      <c r="BM107" s="28" t="n">
        <v>0</v>
      </c>
      <c r="BN107" s="28" t="n">
        <v>0</v>
      </c>
      <c r="BO107" s="28" t="n">
        <v>0</v>
      </c>
      <c r="BP107" s="28" t="n">
        <v>0</v>
      </c>
      <c r="BQ107" s="28" t="n">
        <v>0</v>
      </c>
      <c r="BR107" s="28" t="n">
        <v>0</v>
      </c>
      <c r="BS107" s="28" t="n">
        <v>0</v>
      </c>
      <c r="BT107" s="28" t="n">
        <v>0</v>
      </c>
      <c r="BU107" s="28" t="n">
        <v>0</v>
      </c>
      <c r="BV107" s="28" t="n">
        <v>0</v>
      </c>
      <c r="BW107" s="28" t="n">
        <v>0</v>
      </c>
      <c r="BX107" s="28" t="n">
        <v>0</v>
      </c>
      <c r="BY107" s="28" t="n">
        <v>0</v>
      </c>
      <c r="BZ107" s="28" t="n">
        <v>0</v>
      </c>
      <c r="CA107" s="28" t="n">
        <v>0</v>
      </c>
      <c r="CB107" s="28" t="n">
        <v>0</v>
      </c>
      <c r="CC107" s="28" t="n">
        <v>0</v>
      </c>
      <c r="CD107" s="28" t="n">
        <v>0</v>
      </c>
      <c r="CE107" s="28" t="n">
        <v>0</v>
      </c>
      <c r="CF107" s="28" t="n">
        <v>0</v>
      </c>
      <c r="CG107" s="28" t="n">
        <v>0</v>
      </c>
      <c r="CH107" s="28" t="n">
        <v>0</v>
      </c>
      <c r="CI107" s="28" t="n">
        <v>0</v>
      </c>
      <c r="CJ107" s="28" t="n">
        <v>0</v>
      </c>
      <c r="CK107" s="28" t="n">
        <v>0</v>
      </c>
      <c r="CL107" s="28" t="n">
        <v>0</v>
      </c>
      <c r="CM107" s="28" t="n">
        <v>0</v>
      </c>
      <c r="CN107" s="28" t="n">
        <v>0</v>
      </c>
      <c r="CO107" s="28" t="n">
        <v>0</v>
      </c>
      <c r="CP107" s="28" t="n">
        <v>0</v>
      </c>
      <c r="CQ107" s="28" t="n">
        <v>0</v>
      </c>
      <c r="CR107" s="28" t="n">
        <v>0</v>
      </c>
      <c r="CS107" s="28" t="n">
        <v>0</v>
      </c>
      <c r="CT107" s="28" t="n">
        <v>0</v>
      </c>
      <c r="CU107" s="28" t="n">
        <v>0</v>
      </c>
      <c r="CV107" s="28" t="n">
        <v>0</v>
      </c>
      <c r="CW107" s="28" t="n">
        <v>0</v>
      </c>
      <c r="CX107" s="28" t="n">
        <v>0</v>
      </c>
      <c r="CY107" s="28" t="n">
        <v>0</v>
      </c>
      <c r="CZ107" s="28" t="n">
        <v>0</v>
      </c>
      <c r="DA107" s="28" t="n">
        <v>0</v>
      </c>
    </row>
    <row r="108">
      <c r="A108" t="inlineStr">
        <is>
          <t>SOL-85D</t>
        </is>
      </c>
      <c r="B108" s="28" t="n">
        <v>0</v>
      </c>
      <c r="C108" s="28" t="n">
        <v>0</v>
      </c>
      <c r="D108" s="28" t="n">
        <v>0</v>
      </c>
      <c r="E108" s="28" t="n">
        <v>0</v>
      </c>
      <c r="F108" s="28" t="n">
        <v>0</v>
      </c>
      <c r="G108" s="28" t="n">
        <v>0</v>
      </c>
      <c r="H108" s="28" t="n">
        <v>0</v>
      </c>
      <c r="I108" s="28" t="n">
        <v>0</v>
      </c>
      <c r="J108" s="28" t="n">
        <v>0</v>
      </c>
      <c r="K108" s="28" t="n">
        <v>0</v>
      </c>
      <c r="L108" s="28" t="n">
        <v>0</v>
      </c>
      <c r="M108" s="28" t="n">
        <v>0</v>
      </c>
      <c r="N108" s="28" t="n">
        <v>0</v>
      </c>
      <c r="O108" s="28" t="n">
        <v>0</v>
      </c>
      <c r="P108" s="28" t="n">
        <v>0</v>
      </c>
      <c r="Q108" s="28" t="n">
        <v>0</v>
      </c>
      <c r="R108" s="28" t="n">
        <v>0</v>
      </c>
      <c r="S108" s="28" t="n">
        <v>0</v>
      </c>
      <c r="T108" s="28" t="n">
        <v>0</v>
      </c>
      <c r="U108" s="28" t="n">
        <v>0</v>
      </c>
      <c r="V108" s="28" t="n">
        <v>0</v>
      </c>
      <c r="W108" s="28" t="n">
        <v>0</v>
      </c>
      <c r="X108" s="28" t="n">
        <v>0</v>
      </c>
      <c r="Y108" s="28" t="n">
        <v>0</v>
      </c>
      <c r="Z108" s="28" t="n">
        <v>1</v>
      </c>
      <c r="AA108" s="28" t="n">
        <v>0</v>
      </c>
      <c r="AB108" s="28" t="n">
        <v>0</v>
      </c>
      <c r="AC108" s="28" t="n">
        <v>0</v>
      </c>
      <c r="AD108" s="28" t="n">
        <v>1</v>
      </c>
      <c r="AE108" s="28" t="n">
        <v>1</v>
      </c>
      <c r="AF108" s="28" t="n">
        <v>0</v>
      </c>
      <c r="AG108" s="28" t="n">
        <v>1</v>
      </c>
      <c r="AH108" s="28" t="n">
        <v>1</v>
      </c>
      <c r="AI108" s="28" t="n">
        <v>0</v>
      </c>
      <c r="AJ108" s="28" t="n">
        <v>2</v>
      </c>
      <c r="AK108" s="28" t="n">
        <v>0</v>
      </c>
      <c r="AL108" s="28" t="n">
        <v>1</v>
      </c>
      <c r="AM108" s="28" t="n">
        <v>0</v>
      </c>
      <c r="AN108" s="28" t="n">
        <v>1</v>
      </c>
      <c r="AO108" s="28" t="n">
        <v>0</v>
      </c>
      <c r="AP108" s="28" t="n">
        <v>1</v>
      </c>
      <c r="AQ108" s="28" t="n">
        <v>1</v>
      </c>
      <c r="AR108" s="28" t="n">
        <v>1</v>
      </c>
      <c r="AS108" s="28" t="n">
        <v>1</v>
      </c>
      <c r="AT108" s="28" t="n">
        <v>1</v>
      </c>
      <c r="AU108" s="28" t="n">
        <v>1</v>
      </c>
      <c r="AV108" s="28" t="n">
        <v>1</v>
      </c>
      <c r="AW108" s="28" t="n">
        <v>0</v>
      </c>
      <c r="AX108" s="28" t="n">
        <v>1</v>
      </c>
      <c r="AY108" s="28" t="n">
        <v>1</v>
      </c>
      <c r="AZ108" s="28" t="n">
        <v>0</v>
      </c>
      <c r="BA108" s="28" t="n">
        <v>0</v>
      </c>
      <c r="BB108" s="28" t="n">
        <v>0</v>
      </c>
      <c r="BC108" s="28" t="n">
        <v>0</v>
      </c>
      <c r="BD108" s="28" t="n">
        <v>1</v>
      </c>
      <c r="BE108" s="28" t="n">
        <v>1</v>
      </c>
      <c r="BF108" s="28" t="n">
        <v>0</v>
      </c>
      <c r="BG108" s="28" t="n">
        <v>1</v>
      </c>
      <c r="BH108" s="28" t="n">
        <v>1</v>
      </c>
      <c r="BI108" s="28" t="n">
        <v>0</v>
      </c>
      <c r="BJ108" s="28" t="n">
        <v>0</v>
      </c>
      <c r="BK108" s="28" t="n">
        <v>1</v>
      </c>
      <c r="BL108" s="28" t="n">
        <v>0</v>
      </c>
      <c r="BM108" s="28" t="n">
        <v>1</v>
      </c>
      <c r="BN108" s="28" t="n">
        <v>0</v>
      </c>
      <c r="BO108" s="28" t="n">
        <v>0</v>
      </c>
      <c r="BP108" s="28" t="n">
        <v>0</v>
      </c>
      <c r="BQ108" s="28" t="n">
        <v>1</v>
      </c>
      <c r="BR108" s="28" t="n">
        <v>0</v>
      </c>
      <c r="BS108" s="28" t="n">
        <v>0</v>
      </c>
      <c r="BT108" s="28" t="n">
        <v>0</v>
      </c>
      <c r="BU108" s="28" t="n">
        <v>0</v>
      </c>
      <c r="BV108" s="28" t="n">
        <v>0</v>
      </c>
      <c r="BW108" s="28" t="n">
        <v>0</v>
      </c>
      <c r="BX108" s="28" t="n">
        <v>0</v>
      </c>
      <c r="BY108" s="28" t="n">
        <v>0</v>
      </c>
      <c r="BZ108" s="28" t="n">
        <v>0</v>
      </c>
      <c r="CA108" s="28" t="n">
        <v>0</v>
      </c>
      <c r="CB108" s="28" t="n">
        <v>0</v>
      </c>
      <c r="CC108" s="28" t="n">
        <v>0</v>
      </c>
      <c r="CD108" s="28" t="n">
        <v>0</v>
      </c>
      <c r="CE108" s="28" t="n">
        <v>0</v>
      </c>
      <c r="CF108" s="28" t="n">
        <v>0</v>
      </c>
      <c r="CG108" s="28" t="n">
        <v>0</v>
      </c>
      <c r="CH108" s="28" t="n">
        <v>0</v>
      </c>
      <c r="CI108" s="28" t="n">
        <v>0</v>
      </c>
      <c r="CJ108" s="28" t="n">
        <v>0</v>
      </c>
      <c r="CK108" s="28" t="n">
        <v>0</v>
      </c>
      <c r="CL108" s="28" t="n">
        <v>0</v>
      </c>
      <c r="CM108" s="28" t="n">
        <v>0</v>
      </c>
      <c r="CN108" s="28" t="n">
        <v>0</v>
      </c>
      <c r="CO108" s="28" t="n">
        <v>0</v>
      </c>
      <c r="CP108" s="28" t="n">
        <v>0</v>
      </c>
      <c r="CQ108" s="28" t="n">
        <v>0</v>
      </c>
      <c r="CR108" s="28" t="n">
        <v>0</v>
      </c>
      <c r="CS108" s="28" t="n">
        <v>0</v>
      </c>
      <c r="CT108" s="28" t="n">
        <v>0</v>
      </c>
      <c r="CU108" s="28" t="n">
        <v>0</v>
      </c>
      <c r="CV108" s="28" t="n">
        <v>0</v>
      </c>
      <c r="CW108" s="28" t="n">
        <v>0</v>
      </c>
      <c r="CX108" s="28" t="n">
        <v>0</v>
      </c>
      <c r="CY108" s="28" t="n">
        <v>0</v>
      </c>
      <c r="CZ108" s="28" t="n">
        <v>0</v>
      </c>
      <c r="DA108" s="28" t="n">
        <v>0</v>
      </c>
    </row>
    <row r="109">
      <c r="A109" t="inlineStr">
        <is>
          <t>SOL-SCH</t>
        </is>
      </c>
      <c r="B109" s="28" t="n">
        <v>0</v>
      </c>
      <c r="C109" s="28" t="n">
        <v>0</v>
      </c>
      <c r="D109" s="28" t="n">
        <v>0</v>
      </c>
      <c r="E109" s="28" t="n">
        <v>0</v>
      </c>
      <c r="F109" s="28" t="n">
        <v>0</v>
      </c>
      <c r="G109" s="28" t="n">
        <v>0</v>
      </c>
      <c r="H109" s="28" t="n">
        <v>0</v>
      </c>
      <c r="I109" s="28" t="n">
        <v>0</v>
      </c>
      <c r="J109" s="28" t="n">
        <v>0</v>
      </c>
      <c r="K109" s="28" t="n">
        <v>0</v>
      </c>
      <c r="L109" s="28" t="n">
        <v>0</v>
      </c>
      <c r="M109" s="28" t="n">
        <v>0</v>
      </c>
      <c r="N109" s="28" t="n">
        <v>0</v>
      </c>
      <c r="O109" s="28" t="n">
        <v>0</v>
      </c>
      <c r="P109" s="28" t="n">
        <v>0</v>
      </c>
      <c r="Q109" s="28" t="n">
        <v>0</v>
      </c>
      <c r="R109" s="28" t="n">
        <v>0</v>
      </c>
      <c r="S109" s="28" t="n">
        <v>0</v>
      </c>
      <c r="T109" s="28" t="n">
        <v>0</v>
      </c>
      <c r="U109" s="28" t="n">
        <v>0</v>
      </c>
      <c r="V109" s="28" t="n">
        <v>0</v>
      </c>
      <c r="W109" s="28" t="n">
        <v>0</v>
      </c>
      <c r="X109" s="28" t="n">
        <v>0</v>
      </c>
      <c r="Y109" s="28" t="n">
        <v>0</v>
      </c>
      <c r="Z109" s="28" t="n">
        <v>0</v>
      </c>
      <c r="AA109" s="28" t="n">
        <v>0</v>
      </c>
      <c r="AB109" s="28" t="n">
        <v>0</v>
      </c>
      <c r="AC109" s="28" t="n">
        <v>0</v>
      </c>
      <c r="AD109" s="28" t="n">
        <v>0</v>
      </c>
      <c r="AE109" s="28" t="n">
        <v>0</v>
      </c>
      <c r="AF109" s="28" t="n">
        <v>0</v>
      </c>
      <c r="AG109" s="28" t="n">
        <v>0</v>
      </c>
      <c r="AH109" s="28" t="n">
        <v>0</v>
      </c>
      <c r="AI109" s="28" t="n">
        <v>0</v>
      </c>
      <c r="AJ109" s="28" t="n">
        <v>0</v>
      </c>
      <c r="AK109" s="28" t="n">
        <v>0</v>
      </c>
      <c r="AL109" s="28" t="n">
        <v>0</v>
      </c>
      <c r="AM109" s="28" t="n">
        <v>0</v>
      </c>
      <c r="AN109" s="28" t="n">
        <v>0</v>
      </c>
      <c r="AO109" s="28" t="n">
        <v>0</v>
      </c>
      <c r="AP109" s="28" t="n">
        <v>0</v>
      </c>
      <c r="AQ109" s="28" t="n">
        <v>0</v>
      </c>
      <c r="AR109" s="28" t="n">
        <v>0</v>
      </c>
      <c r="AS109" s="28" t="n">
        <v>0</v>
      </c>
      <c r="AT109" s="28" t="n">
        <v>0</v>
      </c>
      <c r="AU109" s="28" t="n">
        <v>0</v>
      </c>
      <c r="AV109" s="28" t="n">
        <v>0</v>
      </c>
      <c r="AW109" s="28" t="n">
        <v>0</v>
      </c>
      <c r="AX109" s="28" t="n">
        <v>0</v>
      </c>
      <c r="AY109" s="28" t="n">
        <v>0</v>
      </c>
      <c r="AZ109" s="28" t="n">
        <v>0</v>
      </c>
      <c r="BA109" s="28" t="n">
        <v>0</v>
      </c>
      <c r="BB109" s="28" t="n">
        <v>0</v>
      </c>
      <c r="BC109" s="28" t="n">
        <v>0</v>
      </c>
      <c r="BD109" s="28" t="n">
        <v>0</v>
      </c>
      <c r="BE109" s="28" t="n">
        <v>0</v>
      </c>
      <c r="BF109" s="28" t="n">
        <v>0</v>
      </c>
      <c r="BG109" s="28" t="n">
        <v>0</v>
      </c>
      <c r="BH109" s="28" t="n">
        <v>0</v>
      </c>
      <c r="BI109" s="28" t="n">
        <v>0</v>
      </c>
      <c r="BJ109" s="28" t="n">
        <v>0</v>
      </c>
      <c r="BK109" s="28" t="n">
        <v>0</v>
      </c>
      <c r="BL109" s="28" t="n">
        <v>0</v>
      </c>
      <c r="BM109" s="28" t="n">
        <v>0</v>
      </c>
      <c r="BN109" s="28" t="n">
        <v>0</v>
      </c>
      <c r="BO109" s="28" t="n">
        <v>0</v>
      </c>
      <c r="BP109" s="28" t="n">
        <v>0</v>
      </c>
      <c r="BQ109" s="28" t="n">
        <v>0</v>
      </c>
      <c r="BR109" s="28" t="n">
        <v>0</v>
      </c>
      <c r="BS109" s="28" t="n">
        <v>0</v>
      </c>
      <c r="BT109" s="28" t="n">
        <v>0</v>
      </c>
      <c r="BU109" s="28" t="n">
        <v>0</v>
      </c>
      <c r="BV109" s="28" t="n">
        <v>0</v>
      </c>
      <c r="BW109" s="28" t="n">
        <v>0</v>
      </c>
      <c r="BX109" s="28" t="n">
        <v>0</v>
      </c>
      <c r="BY109" s="28" t="n">
        <v>0</v>
      </c>
      <c r="BZ109" s="28" t="n">
        <v>0</v>
      </c>
      <c r="CA109" s="28" t="n">
        <v>0</v>
      </c>
      <c r="CB109" s="28" t="n">
        <v>0</v>
      </c>
      <c r="CC109" s="28" t="n">
        <v>0</v>
      </c>
      <c r="CD109" s="28" t="n">
        <v>0</v>
      </c>
      <c r="CE109" s="28" t="n">
        <v>0</v>
      </c>
      <c r="CF109" s="28" t="n">
        <v>0</v>
      </c>
      <c r="CG109" s="28" t="n">
        <v>0</v>
      </c>
      <c r="CH109" s="28" t="n">
        <v>0</v>
      </c>
      <c r="CI109" s="28" t="n">
        <v>0</v>
      </c>
      <c r="CJ109" s="28" t="n">
        <v>0</v>
      </c>
      <c r="CK109" s="28" t="n">
        <v>0</v>
      </c>
      <c r="CL109" s="28" t="n">
        <v>0</v>
      </c>
      <c r="CM109" s="28" t="n">
        <v>0</v>
      </c>
      <c r="CN109" s="28" t="n">
        <v>0</v>
      </c>
      <c r="CO109" s="28" t="n">
        <v>0</v>
      </c>
      <c r="CP109" s="28" t="n">
        <v>0</v>
      </c>
      <c r="CQ109" s="28" t="n">
        <v>0</v>
      </c>
      <c r="CR109" s="28" t="n">
        <v>0</v>
      </c>
      <c r="CS109" s="28" t="n">
        <v>0</v>
      </c>
      <c r="CT109" s="28" t="n">
        <v>0</v>
      </c>
      <c r="CU109" s="28" t="n">
        <v>0</v>
      </c>
      <c r="CV109" s="28" t="n">
        <v>0</v>
      </c>
      <c r="CW109" s="28" t="n">
        <v>0</v>
      </c>
      <c r="CX109" s="28" t="n">
        <v>0</v>
      </c>
      <c r="CY109" s="28" t="n">
        <v>0</v>
      </c>
      <c r="CZ109" s="28" t="n">
        <v>0</v>
      </c>
      <c r="DA109" s="28" t="n">
        <v>0</v>
      </c>
    </row>
    <row r="110">
      <c r="A110" t="inlineStr">
        <is>
          <t>SOL-SH</t>
        </is>
      </c>
      <c r="B110" s="28" t="n">
        <v>0</v>
      </c>
      <c r="C110" s="28" t="n">
        <v>0</v>
      </c>
      <c r="D110" s="28" t="n">
        <v>0</v>
      </c>
      <c r="E110" s="28" t="n">
        <v>0</v>
      </c>
      <c r="F110" s="28" t="n">
        <v>0</v>
      </c>
      <c r="G110" s="28" t="n">
        <v>0</v>
      </c>
      <c r="H110" s="28" t="n">
        <v>0</v>
      </c>
      <c r="I110" s="28" t="n">
        <v>0</v>
      </c>
      <c r="J110" s="28" t="n">
        <v>0</v>
      </c>
      <c r="K110" s="28" t="n">
        <v>0</v>
      </c>
      <c r="L110" s="28" t="n">
        <v>0</v>
      </c>
      <c r="M110" s="28" t="n">
        <v>0</v>
      </c>
      <c r="N110" s="28" t="n">
        <v>0</v>
      </c>
      <c r="O110" s="28" t="n">
        <v>0</v>
      </c>
      <c r="P110" s="28" t="n">
        <v>0</v>
      </c>
      <c r="Q110" s="28" t="n">
        <v>0</v>
      </c>
      <c r="R110" s="28" t="n">
        <v>0</v>
      </c>
      <c r="S110" s="28" t="n">
        <v>0</v>
      </c>
      <c r="T110" s="28" t="n">
        <v>0</v>
      </c>
      <c r="U110" s="28" t="n">
        <v>0</v>
      </c>
      <c r="V110" s="28" t="n">
        <v>0</v>
      </c>
      <c r="W110" s="28" t="n">
        <v>0</v>
      </c>
      <c r="X110" s="28" t="n">
        <v>0</v>
      </c>
      <c r="Y110" s="28" t="n">
        <v>0</v>
      </c>
      <c r="Z110" s="28" t="n">
        <v>0</v>
      </c>
      <c r="AA110" s="28" t="n">
        <v>0</v>
      </c>
      <c r="AB110" s="28" t="n">
        <v>0</v>
      </c>
      <c r="AC110" s="28" t="n">
        <v>0</v>
      </c>
      <c r="AD110" s="28" t="n">
        <v>0</v>
      </c>
      <c r="AE110" s="28" t="n">
        <v>0</v>
      </c>
      <c r="AF110" s="28" t="n">
        <v>0</v>
      </c>
      <c r="AG110" s="28" t="n">
        <v>0</v>
      </c>
      <c r="AH110" s="28" t="n">
        <v>0</v>
      </c>
      <c r="AI110" s="28" t="n">
        <v>0</v>
      </c>
      <c r="AJ110" s="28" t="n">
        <v>0</v>
      </c>
      <c r="AK110" s="28" t="n">
        <v>0</v>
      </c>
      <c r="AL110" s="28" t="n">
        <v>0</v>
      </c>
      <c r="AM110" s="28" t="n">
        <v>0</v>
      </c>
      <c r="AN110" s="28" t="n">
        <v>0</v>
      </c>
      <c r="AO110" s="28" t="n">
        <v>0</v>
      </c>
      <c r="AP110" s="28" t="n">
        <v>0</v>
      </c>
      <c r="AQ110" s="28" t="n">
        <v>0</v>
      </c>
      <c r="AR110" s="28" t="n">
        <v>0</v>
      </c>
      <c r="AS110" s="28" t="n">
        <v>0</v>
      </c>
      <c r="AT110" s="28" t="n">
        <v>0</v>
      </c>
      <c r="AU110" s="28" t="n">
        <v>0</v>
      </c>
      <c r="AV110" s="28" t="n">
        <v>0</v>
      </c>
      <c r="AW110" s="28" t="n">
        <v>0</v>
      </c>
      <c r="AX110" s="28" t="n">
        <v>0</v>
      </c>
      <c r="AY110" s="28" t="n">
        <v>0</v>
      </c>
      <c r="AZ110" s="28" t="n">
        <v>0</v>
      </c>
      <c r="BA110" s="28" t="n">
        <v>0</v>
      </c>
      <c r="BB110" s="28" t="n">
        <v>0</v>
      </c>
      <c r="BC110" s="28" t="n">
        <v>0</v>
      </c>
      <c r="BD110" s="28" t="n">
        <v>0</v>
      </c>
      <c r="BE110" s="28" t="n">
        <v>0</v>
      </c>
      <c r="BF110" s="28" t="n">
        <v>0</v>
      </c>
      <c r="BG110" s="28" t="n">
        <v>0</v>
      </c>
      <c r="BH110" s="28" t="n">
        <v>0</v>
      </c>
      <c r="BI110" s="28" t="n">
        <v>0</v>
      </c>
      <c r="BJ110" s="28" t="n">
        <v>0</v>
      </c>
      <c r="BK110" s="28" t="n">
        <v>0</v>
      </c>
      <c r="BL110" s="28" t="n">
        <v>0</v>
      </c>
      <c r="BM110" s="28" t="n">
        <v>0</v>
      </c>
      <c r="BN110" s="28" t="n">
        <v>0</v>
      </c>
      <c r="BO110" s="28" t="n">
        <v>0</v>
      </c>
      <c r="BP110" s="28" t="n">
        <v>0</v>
      </c>
      <c r="BQ110" s="28" t="n">
        <v>0</v>
      </c>
      <c r="BR110" s="28" t="n">
        <v>0</v>
      </c>
      <c r="BS110" s="28" t="n">
        <v>0</v>
      </c>
      <c r="BT110" s="28" t="n">
        <v>0</v>
      </c>
      <c r="BU110" s="28" t="n">
        <v>0</v>
      </c>
      <c r="BV110" s="28" t="n">
        <v>0</v>
      </c>
      <c r="BW110" s="28" t="n">
        <v>0</v>
      </c>
      <c r="BX110" s="28" t="n">
        <v>0</v>
      </c>
      <c r="BY110" s="28" t="n">
        <v>0</v>
      </c>
      <c r="BZ110" s="28" t="n">
        <v>0</v>
      </c>
      <c r="CA110" s="28" t="n">
        <v>0</v>
      </c>
      <c r="CB110" s="28" t="n">
        <v>0</v>
      </c>
      <c r="CC110" s="28" t="n">
        <v>0</v>
      </c>
      <c r="CD110" s="28" t="n">
        <v>0</v>
      </c>
      <c r="CE110" s="28" t="n">
        <v>0</v>
      </c>
      <c r="CF110" s="28" t="n">
        <v>0</v>
      </c>
      <c r="CG110" s="28" t="n">
        <v>0</v>
      </c>
      <c r="CH110" s="28" t="n">
        <v>0</v>
      </c>
      <c r="CI110" s="28" t="n">
        <v>0</v>
      </c>
      <c r="CJ110" s="28" t="n">
        <v>0</v>
      </c>
      <c r="CK110" s="28" t="n">
        <v>0</v>
      </c>
      <c r="CL110" s="28" t="n">
        <v>0</v>
      </c>
      <c r="CM110" s="28" t="n">
        <v>0</v>
      </c>
      <c r="CN110" s="28" t="n">
        <v>0</v>
      </c>
      <c r="CO110" s="28" t="n">
        <v>0</v>
      </c>
      <c r="CP110" s="28" t="n">
        <v>0</v>
      </c>
      <c r="CQ110" s="28" t="n">
        <v>0</v>
      </c>
      <c r="CR110" s="28" t="n">
        <v>0</v>
      </c>
      <c r="CS110" s="28" t="n">
        <v>0</v>
      </c>
      <c r="CT110" s="28" t="n">
        <v>0</v>
      </c>
      <c r="CU110" s="28" t="n">
        <v>0</v>
      </c>
      <c r="CV110" s="28" t="n">
        <v>0</v>
      </c>
      <c r="CW110" s="28" t="n">
        <v>0</v>
      </c>
      <c r="CX110" s="28" t="n">
        <v>0</v>
      </c>
      <c r="CY110" s="28" t="n">
        <v>0</v>
      </c>
      <c r="CZ110" s="28" t="n">
        <v>0</v>
      </c>
      <c r="DA110" s="28" t="n">
        <v>0</v>
      </c>
    </row>
    <row r="111">
      <c r="A111" t="inlineStr">
        <is>
          <t>20p</t>
        </is>
      </c>
      <c r="B111" s="28" t="n">
        <v>0</v>
      </c>
      <c r="C111" s="28" t="n">
        <v>0</v>
      </c>
      <c r="D111" s="28" t="n">
        <v>0</v>
      </c>
      <c r="E111" s="28" t="n">
        <v>0</v>
      </c>
      <c r="F111" s="28" t="n">
        <v>0</v>
      </c>
      <c r="G111" s="28" t="n">
        <v>0</v>
      </c>
      <c r="H111" s="28" t="n">
        <v>0</v>
      </c>
      <c r="I111" s="28" t="n">
        <v>0</v>
      </c>
      <c r="J111" s="28" t="n">
        <v>0</v>
      </c>
      <c r="K111" s="28" t="n">
        <v>0</v>
      </c>
      <c r="L111" s="28" t="n">
        <v>0</v>
      </c>
      <c r="M111" s="28" t="n">
        <v>0</v>
      </c>
      <c r="N111" s="28" t="n">
        <v>0</v>
      </c>
      <c r="O111" s="28" t="n">
        <v>0</v>
      </c>
      <c r="P111" s="28" t="n">
        <v>0</v>
      </c>
      <c r="Q111" s="28" t="n">
        <v>0</v>
      </c>
      <c r="R111" s="28" t="n">
        <v>0</v>
      </c>
      <c r="S111" s="28" t="n">
        <v>0</v>
      </c>
      <c r="T111" s="28" t="n">
        <v>0</v>
      </c>
      <c r="U111" s="28" t="n">
        <v>0</v>
      </c>
      <c r="V111" s="28" t="n">
        <v>0</v>
      </c>
      <c r="W111" s="28" t="n">
        <v>0</v>
      </c>
      <c r="X111" s="28" t="n">
        <v>0</v>
      </c>
      <c r="Y111" s="28" t="n">
        <v>0</v>
      </c>
      <c r="Z111" s="28" t="n">
        <v>0</v>
      </c>
      <c r="AA111" s="28" t="n">
        <v>0</v>
      </c>
      <c r="AB111" s="28" t="n">
        <v>0</v>
      </c>
      <c r="AC111" s="28" t="n">
        <v>0</v>
      </c>
      <c r="AD111" s="28" t="n">
        <v>0</v>
      </c>
      <c r="AE111" s="28" t="n">
        <v>0</v>
      </c>
      <c r="AF111" s="28" t="n">
        <v>0</v>
      </c>
      <c r="AG111" s="28" t="n">
        <v>0</v>
      </c>
      <c r="AH111" s="28" t="n">
        <v>0</v>
      </c>
      <c r="AI111" s="28" t="n">
        <v>0</v>
      </c>
      <c r="AJ111" s="28" t="n">
        <v>0</v>
      </c>
      <c r="AK111" s="28" t="n">
        <v>0</v>
      </c>
      <c r="AL111" s="28" t="n">
        <v>0</v>
      </c>
      <c r="AM111" s="28" t="n">
        <v>0</v>
      </c>
      <c r="AN111" s="28" t="n">
        <v>0</v>
      </c>
      <c r="AO111" s="28" t="n">
        <v>0</v>
      </c>
      <c r="AP111" s="28" t="n">
        <v>0</v>
      </c>
      <c r="AQ111" s="28" t="n">
        <v>0</v>
      </c>
      <c r="AR111" s="28" t="n">
        <v>0</v>
      </c>
      <c r="AS111" s="28" t="n">
        <v>0</v>
      </c>
      <c r="AT111" s="28" t="n">
        <v>0</v>
      </c>
      <c r="AU111" s="28" t="n">
        <v>0</v>
      </c>
      <c r="AV111" s="28" t="n">
        <v>0</v>
      </c>
      <c r="AW111" s="28" t="n">
        <v>0</v>
      </c>
      <c r="AX111" s="28" t="n">
        <v>0</v>
      </c>
      <c r="AY111" s="28" t="n">
        <v>0</v>
      </c>
      <c r="AZ111" s="28" t="n">
        <v>0</v>
      </c>
      <c r="BA111" s="28" t="n">
        <v>0</v>
      </c>
      <c r="BB111" s="28" t="n">
        <v>0</v>
      </c>
      <c r="BC111" s="28" t="n">
        <v>0</v>
      </c>
      <c r="BD111" s="28" t="n">
        <v>0</v>
      </c>
      <c r="BE111" s="28" t="n">
        <v>0</v>
      </c>
      <c r="BF111" s="28" t="n">
        <v>0</v>
      </c>
      <c r="BG111" s="28" t="n">
        <v>0</v>
      </c>
      <c r="BH111" s="28" t="n">
        <v>0</v>
      </c>
      <c r="BI111" s="28" t="n">
        <v>0</v>
      </c>
      <c r="BJ111" s="28" t="n">
        <v>0</v>
      </c>
      <c r="BK111" s="28" t="n">
        <v>0</v>
      </c>
      <c r="BL111" s="28" t="n">
        <v>0</v>
      </c>
      <c r="BM111" s="28" t="n">
        <v>0</v>
      </c>
      <c r="BN111" s="28" t="n">
        <v>0</v>
      </c>
      <c r="BO111" s="28" t="n">
        <v>0</v>
      </c>
      <c r="BP111" s="28" t="n">
        <v>0</v>
      </c>
      <c r="BQ111" s="28" t="n">
        <v>0</v>
      </c>
      <c r="BR111" s="28" t="n">
        <v>0</v>
      </c>
      <c r="BS111" s="28" t="n">
        <v>0</v>
      </c>
      <c r="BT111" s="28" t="n">
        <v>0</v>
      </c>
      <c r="BU111" s="28" t="n">
        <v>0</v>
      </c>
      <c r="BV111" s="28" t="n">
        <v>0</v>
      </c>
      <c r="BW111" s="28" t="n">
        <v>0</v>
      </c>
      <c r="BX111" s="28" t="n">
        <v>0</v>
      </c>
      <c r="BY111" s="28" t="n">
        <v>0</v>
      </c>
      <c r="BZ111" s="28" t="n">
        <v>0</v>
      </c>
      <c r="CA111" s="28" t="n">
        <v>0</v>
      </c>
      <c r="CB111" s="28" t="n">
        <v>0</v>
      </c>
      <c r="CC111" s="28" t="n">
        <v>0</v>
      </c>
      <c r="CD111" s="28" t="n">
        <v>0</v>
      </c>
      <c r="CE111" s="28" t="n">
        <v>0</v>
      </c>
      <c r="CF111" s="28" t="n">
        <v>0</v>
      </c>
      <c r="CG111" s="28" t="n">
        <v>0</v>
      </c>
      <c r="CH111" s="28" t="n">
        <v>0</v>
      </c>
      <c r="CI111" s="28" t="n">
        <v>0</v>
      </c>
      <c r="CJ111" s="28" t="n">
        <v>0</v>
      </c>
      <c r="CK111" s="28" t="n">
        <v>0</v>
      </c>
      <c r="CL111" s="28" t="n">
        <v>0</v>
      </c>
      <c r="CM111" s="28" t="n">
        <v>0</v>
      </c>
      <c r="CN111" s="28" t="n">
        <v>0</v>
      </c>
      <c r="CO111" s="28" t="n">
        <v>0</v>
      </c>
      <c r="CP111" s="28" t="n">
        <v>0</v>
      </c>
      <c r="CQ111" s="28" t="n">
        <v>0</v>
      </c>
      <c r="CR111" s="28" t="n">
        <v>0</v>
      </c>
      <c r="CS111" s="28" t="n">
        <v>0</v>
      </c>
      <c r="CT111" s="28" t="n">
        <v>0</v>
      </c>
      <c r="CU111" s="28" t="n">
        <v>0</v>
      </c>
      <c r="CV111" s="28" t="n">
        <v>0</v>
      </c>
      <c r="CW111" s="28" t="n">
        <v>0</v>
      </c>
      <c r="CX111" s="28" t="n">
        <v>0</v>
      </c>
      <c r="CY111" s="28" t="n">
        <v>0</v>
      </c>
      <c r="CZ111" s="28" t="n">
        <v>0</v>
      </c>
      <c r="DA111" s="28" t="n">
        <v>0</v>
      </c>
    </row>
    <row r="112">
      <c r="A112" t="inlineStr">
        <is>
          <t>TPP-1459</t>
        </is>
      </c>
      <c r="B112" s="28" t="n">
        <v>0</v>
      </c>
      <c r="C112" s="28" t="n">
        <v>0</v>
      </c>
      <c r="D112" s="28" t="n">
        <v>0</v>
      </c>
      <c r="E112" s="28" t="n">
        <v>0</v>
      </c>
      <c r="F112" s="28" t="n">
        <v>0</v>
      </c>
      <c r="G112" s="28" t="n">
        <v>0</v>
      </c>
      <c r="H112" s="28" t="n">
        <v>0</v>
      </c>
      <c r="I112" s="28" t="n">
        <v>0</v>
      </c>
      <c r="J112" s="28" t="n">
        <v>0</v>
      </c>
      <c r="K112" s="28" t="n">
        <v>0</v>
      </c>
      <c r="L112" s="28" t="n">
        <v>0</v>
      </c>
      <c r="M112" s="28" t="n">
        <v>0</v>
      </c>
      <c r="N112" s="28" t="n">
        <v>0</v>
      </c>
      <c r="O112" s="28" t="n">
        <v>0</v>
      </c>
      <c r="P112" s="28" t="n">
        <v>0</v>
      </c>
      <c r="Q112" s="28" t="n">
        <v>0</v>
      </c>
      <c r="R112" s="28" t="n">
        <v>0</v>
      </c>
      <c r="S112" s="28" t="n">
        <v>0</v>
      </c>
      <c r="T112" s="28" t="n">
        <v>0</v>
      </c>
      <c r="U112" s="28" t="n">
        <v>0</v>
      </c>
      <c r="V112" s="28" t="n">
        <v>0</v>
      </c>
      <c r="W112" s="28" t="n">
        <v>0</v>
      </c>
      <c r="X112" s="28" t="n">
        <v>0</v>
      </c>
      <c r="Y112" s="28" t="n">
        <v>3</v>
      </c>
      <c r="Z112" s="28" t="n">
        <v>0</v>
      </c>
      <c r="AA112" s="28" t="n">
        <v>2</v>
      </c>
      <c r="AB112" s="28" t="n">
        <v>0</v>
      </c>
      <c r="AC112" s="28" t="n">
        <v>0</v>
      </c>
      <c r="AD112" s="28" t="n">
        <v>0</v>
      </c>
      <c r="AE112" s="28" t="n">
        <v>0</v>
      </c>
      <c r="AF112" s="28" t="n">
        <v>4</v>
      </c>
      <c r="AG112" s="28" t="n">
        <v>0</v>
      </c>
      <c r="AH112" s="28" t="n">
        <v>0</v>
      </c>
      <c r="AI112" s="28" t="n">
        <v>0</v>
      </c>
      <c r="AJ112" s="28" t="n">
        <v>2</v>
      </c>
      <c r="AK112" s="28" t="n">
        <v>0</v>
      </c>
      <c r="AL112" s="28" t="n">
        <v>2</v>
      </c>
      <c r="AM112" s="28" t="n">
        <v>0</v>
      </c>
      <c r="AN112" s="28" t="n">
        <v>0</v>
      </c>
      <c r="AO112" s="28" t="n">
        <v>1</v>
      </c>
      <c r="AP112" s="28" t="n">
        <v>0</v>
      </c>
      <c r="AQ112" s="28" t="n">
        <v>0</v>
      </c>
      <c r="AR112" s="28" t="n">
        <v>2</v>
      </c>
      <c r="AS112" s="28" t="n">
        <v>1</v>
      </c>
      <c r="AT112" s="28" t="n">
        <v>0</v>
      </c>
      <c r="AU112" s="28" t="n">
        <v>0</v>
      </c>
      <c r="AV112" s="28" t="n">
        <v>4</v>
      </c>
      <c r="AW112" s="28" t="n">
        <v>0</v>
      </c>
      <c r="AX112" s="28" t="n">
        <v>0</v>
      </c>
      <c r="AY112" s="28" t="n">
        <v>0</v>
      </c>
      <c r="AZ112" s="28" t="n">
        <v>0</v>
      </c>
      <c r="BA112" s="28" t="n">
        <v>0</v>
      </c>
      <c r="BB112" s="28" t="n">
        <v>0</v>
      </c>
      <c r="BC112" s="28" t="n">
        <v>0</v>
      </c>
      <c r="BD112" s="28" t="n">
        <v>0</v>
      </c>
      <c r="BE112" s="28" t="n">
        <v>2</v>
      </c>
      <c r="BF112" s="28" t="n">
        <v>0</v>
      </c>
      <c r="BG112" s="28" t="n">
        <v>0</v>
      </c>
      <c r="BH112" s="28" t="n">
        <v>0</v>
      </c>
      <c r="BI112" s="28" t="n">
        <v>4</v>
      </c>
      <c r="BJ112" s="28" t="n">
        <v>0</v>
      </c>
      <c r="BK112" s="28" t="n">
        <v>0</v>
      </c>
      <c r="BL112" s="28" t="n">
        <v>0</v>
      </c>
      <c r="BM112" s="28" t="n">
        <v>2</v>
      </c>
      <c r="BN112" s="28" t="n">
        <v>0</v>
      </c>
      <c r="BO112" s="28" t="n">
        <v>0</v>
      </c>
      <c r="BP112" s="28" t="n">
        <v>2</v>
      </c>
      <c r="BQ112" s="28" t="n">
        <v>4</v>
      </c>
      <c r="BR112" s="28" t="n">
        <v>4</v>
      </c>
      <c r="BS112" s="28" t="n">
        <v>0</v>
      </c>
      <c r="BT112" s="28" t="n">
        <v>2</v>
      </c>
      <c r="BU112" s="28" t="n">
        <v>4</v>
      </c>
      <c r="BV112" s="28" t="n">
        <v>0</v>
      </c>
      <c r="BW112" s="28" t="n">
        <v>0</v>
      </c>
      <c r="BX112" s="28" t="n">
        <v>0</v>
      </c>
      <c r="BY112" s="28" t="n">
        <v>0</v>
      </c>
      <c r="BZ112" s="28" t="n">
        <v>0</v>
      </c>
      <c r="CA112" s="28" t="n">
        <v>0</v>
      </c>
      <c r="CB112" s="28" t="n">
        <v>0</v>
      </c>
      <c r="CC112" s="28" t="n">
        <v>0</v>
      </c>
      <c r="CD112" s="28" t="n">
        <v>0</v>
      </c>
      <c r="CE112" s="28" t="n">
        <v>0</v>
      </c>
      <c r="CF112" s="28" t="n">
        <v>0</v>
      </c>
      <c r="CG112" s="28" t="n">
        <v>0</v>
      </c>
      <c r="CH112" s="28" t="n">
        <v>0</v>
      </c>
      <c r="CI112" s="28" t="n">
        <v>0</v>
      </c>
      <c r="CJ112" s="28" t="n">
        <v>0</v>
      </c>
      <c r="CK112" s="28" t="n">
        <v>0</v>
      </c>
      <c r="CL112" s="28" t="n">
        <v>0</v>
      </c>
      <c r="CM112" s="28" t="n">
        <v>0</v>
      </c>
      <c r="CN112" s="28" t="n">
        <v>0</v>
      </c>
      <c r="CO112" s="28" t="n">
        <v>0</v>
      </c>
      <c r="CP112" s="28" t="n">
        <v>0</v>
      </c>
      <c r="CQ112" s="28" t="n">
        <v>0</v>
      </c>
      <c r="CR112" s="28" t="n">
        <v>0</v>
      </c>
      <c r="CS112" s="28" t="n">
        <v>0</v>
      </c>
      <c r="CT112" s="28" t="n">
        <v>0</v>
      </c>
      <c r="CU112" s="28" t="n">
        <v>0</v>
      </c>
      <c r="CV112" s="28" t="n">
        <v>0</v>
      </c>
      <c r="CW112" s="28" t="n">
        <v>0</v>
      </c>
      <c r="CX112" s="28" t="n">
        <v>0</v>
      </c>
      <c r="CY112" s="28" t="n">
        <v>0</v>
      </c>
      <c r="CZ112" s="28" t="n">
        <v>0</v>
      </c>
      <c r="DA112" s="28" t="n">
        <v>0</v>
      </c>
    </row>
    <row r="113">
      <c r="A113" t="inlineStr">
        <is>
          <t>TPP-1466</t>
        </is>
      </c>
      <c r="B113" s="28" t="n">
        <v>0</v>
      </c>
      <c r="C113" s="28" t="n">
        <v>0</v>
      </c>
      <c r="D113" s="28" t="n">
        <v>0</v>
      </c>
      <c r="E113" s="28" t="n">
        <v>0</v>
      </c>
      <c r="F113" s="28" t="n">
        <v>0</v>
      </c>
      <c r="G113" s="28" t="n">
        <v>0</v>
      </c>
      <c r="H113" s="28" t="n">
        <v>0</v>
      </c>
      <c r="I113" s="28" t="n">
        <v>0</v>
      </c>
      <c r="J113" s="28" t="n">
        <v>0</v>
      </c>
      <c r="K113" s="28" t="n">
        <v>0</v>
      </c>
      <c r="L113" s="28" t="n">
        <v>0</v>
      </c>
      <c r="M113" s="28" t="n">
        <v>0</v>
      </c>
      <c r="N113" s="28" t="n">
        <v>0</v>
      </c>
      <c r="O113" s="28" t="n">
        <v>0</v>
      </c>
      <c r="P113" s="28" t="n">
        <v>0</v>
      </c>
      <c r="Q113" s="28" t="n">
        <v>0</v>
      </c>
      <c r="R113" s="28" t="n">
        <v>0</v>
      </c>
      <c r="S113" s="28" t="n">
        <v>0</v>
      </c>
      <c r="T113" s="28" t="n">
        <v>0</v>
      </c>
      <c r="U113" s="28" t="n">
        <v>0</v>
      </c>
      <c r="V113" s="28" t="n">
        <v>0</v>
      </c>
      <c r="W113" s="28" t="n">
        <v>0</v>
      </c>
      <c r="X113" s="28" t="n">
        <v>0</v>
      </c>
      <c r="Y113" s="28" t="n">
        <v>0</v>
      </c>
      <c r="Z113" s="28" t="n">
        <v>0</v>
      </c>
      <c r="AA113" s="28" t="n">
        <v>0</v>
      </c>
      <c r="AB113" s="28" t="n">
        <v>0</v>
      </c>
      <c r="AC113" s="28" t="n">
        <v>0</v>
      </c>
      <c r="AD113" s="28" t="n">
        <v>0</v>
      </c>
      <c r="AE113" s="28" t="n">
        <v>0</v>
      </c>
      <c r="AF113" s="28" t="n">
        <v>0</v>
      </c>
      <c r="AG113" s="28" t="n">
        <v>0</v>
      </c>
      <c r="AH113" s="28" t="n">
        <v>0</v>
      </c>
      <c r="AI113" s="28" t="n">
        <v>0</v>
      </c>
      <c r="AJ113" s="28" t="n">
        <v>0</v>
      </c>
      <c r="AK113" s="28" t="n">
        <v>0</v>
      </c>
      <c r="AL113" s="28" t="n">
        <v>0</v>
      </c>
      <c r="AM113" s="28" t="n">
        <v>0</v>
      </c>
      <c r="AN113" s="28" t="n">
        <v>0</v>
      </c>
      <c r="AO113" s="28" t="n">
        <v>0</v>
      </c>
      <c r="AP113" s="28" t="n">
        <v>0</v>
      </c>
      <c r="AQ113" s="28" t="n">
        <v>0</v>
      </c>
      <c r="AR113" s="28" t="n">
        <v>0</v>
      </c>
      <c r="AS113" s="28" t="n">
        <v>0</v>
      </c>
      <c r="AT113" s="28" t="n">
        <v>0</v>
      </c>
      <c r="AU113" s="28" t="n">
        <v>0</v>
      </c>
      <c r="AV113" s="28" t="n">
        <v>0</v>
      </c>
      <c r="AW113" s="28" t="n">
        <v>0</v>
      </c>
      <c r="AX113" s="28" t="n">
        <v>0</v>
      </c>
      <c r="AY113" s="28" t="n">
        <v>0</v>
      </c>
      <c r="AZ113" s="28" t="n">
        <v>0</v>
      </c>
      <c r="BA113" s="28" t="n">
        <v>0</v>
      </c>
      <c r="BB113" s="28" t="n">
        <v>0</v>
      </c>
      <c r="BC113" s="28" t="n">
        <v>0</v>
      </c>
      <c r="BD113" s="28" t="n">
        <v>0</v>
      </c>
      <c r="BE113" s="28" t="n">
        <v>0</v>
      </c>
      <c r="BF113" s="28" t="n">
        <v>0</v>
      </c>
      <c r="BG113" s="28" t="n">
        <v>0</v>
      </c>
      <c r="BH113" s="28" t="n">
        <v>0</v>
      </c>
      <c r="BI113" s="28" t="n">
        <v>0</v>
      </c>
      <c r="BJ113" s="28" t="n">
        <v>0</v>
      </c>
      <c r="BK113" s="28" t="n">
        <v>0</v>
      </c>
      <c r="BL113" s="28" t="n">
        <v>0</v>
      </c>
      <c r="BM113" s="28" t="n">
        <v>0</v>
      </c>
      <c r="BN113" s="28" t="n">
        <v>0</v>
      </c>
      <c r="BO113" s="28" t="n">
        <v>0</v>
      </c>
      <c r="BP113" s="28" t="n">
        <v>0</v>
      </c>
      <c r="BQ113" s="28" t="n">
        <v>0</v>
      </c>
      <c r="BR113" s="28" t="n">
        <v>0</v>
      </c>
      <c r="BS113" s="28" t="n">
        <v>0</v>
      </c>
      <c r="BT113" s="28" t="n">
        <v>0</v>
      </c>
      <c r="BU113" s="28" t="n">
        <v>0</v>
      </c>
      <c r="BV113" s="28" t="n">
        <v>0</v>
      </c>
      <c r="BW113" s="28" t="n">
        <v>0</v>
      </c>
      <c r="BX113" s="28" t="n">
        <v>0</v>
      </c>
      <c r="BY113" s="28" t="n">
        <v>0</v>
      </c>
      <c r="BZ113" s="28" t="n">
        <v>0</v>
      </c>
      <c r="CA113" s="28" t="n">
        <v>0</v>
      </c>
      <c r="CB113" s="28" t="n">
        <v>0</v>
      </c>
      <c r="CC113" s="28" t="n">
        <v>0</v>
      </c>
      <c r="CD113" s="28" t="n">
        <v>0</v>
      </c>
      <c r="CE113" s="28" t="n">
        <v>0</v>
      </c>
      <c r="CF113" s="28" t="n">
        <v>0</v>
      </c>
      <c r="CG113" s="28" t="n">
        <v>0</v>
      </c>
      <c r="CH113" s="28" t="n">
        <v>0</v>
      </c>
      <c r="CI113" s="28" t="n">
        <v>0</v>
      </c>
      <c r="CJ113" s="28" t="n">
        <v>0</v>
      </c>
      <c r="CK113" s="28" t="n">
        <v>0</v>
      </c>
      <c r="CL113" s="28" t="n">
        <v>0</v>
      </c>
      <c r="CM113" s="28" t="n">
        <v>0</v>
      </c>
      <c r="CN113" s="28" t="n">
        <v>0</v>
      </c>
      <c r="CO113" s="28" t="n">
        <v>0</v>
      </c>
      <c r="CP113" s="28" t="n">
        <v>0</v>
      </c>
      <c r="CQ113" s="28" t="n">
        <v>0</v>
      </c>
      <c r="CR113" s="28" t="n">
        <v>0</v>
      </c>
      <c r="CS113" s="28" t="n">
        <v>0</v>
      </c>
      <c r="CT113" s="28" t="n">
        <v>0</v>
      </c>
      <c r="CU113" s="28" t="n">
        <v>0</v>
      </c>
      <c r="CV113" s="28" t="n">
        <v>0</v>
      </c>
      <c r="CW113" s="28" t="n">
        <v>0</v>
      </c>
      <c r="CX113" s="28" t="n">
        <v>0</v>
      </c>
      <c r="CY113" s="28" t="n">
        <v>0</v>
      </c>
      <c r="CZ113" s="28" t="n">
        <v>0</v>
      </c>
      <c r="DA113" s="28" t="n">
        <v>0</v>
      </c>
    </row>
    <row r="114">
      <c r="A114" t="inlineStr">
        <is>
          <t>TPP-2245</t>
        </is>
      </c>
      <c r="B114" s="28" t="n">
        <v>0</v>
      </c>
      <c r="C114" s="28" t="n">
        <v>0</v>
      </c>
      <c r="D114" s="28" t="n">
        <v>0</v>
      </c>
      <c r="E114" s="28" t="n">
        <v>0</v>
      </c>
      <c r="F114" s="28" t="n">
        <v>0</v>
      </c>
      <c r="G114" s="28" t="n">
        <v>0</v>
      </c>
      <c r="H114" s="28" t="n">
        <v>0</v>
      </c>
      <c r="I114" s="28" t="n">
        <v>0</v>
      </c>
      <c r="J114" s="28" t="n">
        <v>0</v>
      </c>
      <c r="K114" s="28" t="n">
        <v>0</v>
      </c>
      <c r="L114" s="28" t="n">
        <v>0</v>
      </c>
      <c r="M114" s="28" t="n">
        <v>0</v>
      </c>
      <c r="N114" s="28" t="n">
        <v>0</v>
      </c>
      <c r="O114" s="28" t="n">
        <v>0</v>
      </c>
      <c r="P114" s="28" t="n">
        <v>0</v>
      </c>
      <c r="Q114" s="28" t="n">
        <v>0</v>
      </c>
      <c r="R114" s="28" t="n">
        <v>0</v>
      </c>
      <c r="S114" s="28" t="n">
        <v>0</v>
      </c>
      <c r="T114" s="28" t="n">
        <v>0</v>
      </c>
      <c r="U114" s="28" t="n">
        <v>0</v>
      </c>
      <c r="V114" s="28" t="n">
        <v>0</v>
      </c>
      <c r="W114" s="28" t="n">
        <v>0</v>
      </c>
      <c r="X114" s="28" t="n">
        <v>0</v>
      </c>
      <c r="Y114" s="28" t="n">
        <v>0</v>
      </c>
      <c r="Z114" s="28" t="n">
        <v>0</v>
      </c>
      <c r="AA114" s="28" t="n">
        <v>0</v>
      </c>
      <c r="AB114" s="28" t="n">
        <v>0</v>
      </c>
      <c r="AC114" s="28" t="n">
        <v>0</v>
      </c>
      <c r="AD114" s="28" t="n">
        <v>0</v>
      </c>
      <c r="AE114" s="28" t="n">
        <v>0</v>
      </c>
      <c r="AF114" s="28" t="n">
        <v>0</v>
      </c>
      <c r="AG114" s="28" t="n">
        <v>0</v>
      </c>
      <c r="AH114" s="28" t="n">
        <v>0</v>
      </c>
      <c r="AI114" s="28" t="n">
        <v>0</v>
      </c>
      <c r="AJ114" s="28" t="n">
        <v>0</v>
      </c>
      <c r="AK114" s="28" t="n">
        <v>0</v>
      </c>
      <c r="AL114" s="28" t="n">
        <v>0</v>
      </c>
      <c r="AM114" s="28" t="n">
        <v>0</v>
      </c>
      <c r="AN114" s="28" t="n">
        <v>0</v>
      </c>
      <c r="AO114" s="28" t="n">
        <v>0</v>
      </c>
      <c r="AP114" s="28" t="n">
        <v>0</v>
      </c>
      <c r="AQ114" s="28" t="n">
        <v>0</v>
      </c>
      <c r="AR114" s="28" t="n">
        <v>0</v>
      </c>
      <c r="AS114" s="28" t="n">
        <v>0</v>
      </c>
      <c r="AT114" s="28" t="n">
        <v>0</v>
      </c>
      <c r="AU114" s="28" t="n">
        <v>0</v>
      </c>
      <c r="AV114" s="28" t="n">
        <v>0</v>
      </c>
      <c r="AW114" s="28" t="n">
        <v>0</v>
      </c>
      <c r="AX114" s="28" t="n">
        <v>0</v>
      </c>
      <c r="AY114" s="28" t="n">
        <v>0</v>
      </c>
      <c r="AZ114" s="28" t="n">
        <v>0</v>
      </c>
      <c r="BA114" s="28" t="n">
        <v>0</v>
      </c>
      <c r="BB114" s="28" t="n">
        <v>0</v>
      </c>
      <c r="BC114" s="28" t="n">
        <v>0</v>
      </c>
      <c r="BD114" s="28" t="n">
        <v>0</v>
      </c>
      <c r="BE114" s="28" t="n">
        <v>0</v>
      </c>
      <c r="BF114" s="28" t="n">
        <v>0</v>
      </c>
      <c r="BG114" s="28" t="n">
        <v>0</v>
      </c>
      <c r="BH114" s="28" t="n">
        <v>0</v>
      </c>
      <c r="BI114" s="28" t="n">
        <v>0</v>
      </c>
      <c r="BJ114" s="28" t="n">
        <v>0</v>
      </c>
      <c r="BK114" s="28" t="n">
        <v>0</v>
      </c>
      <c r="BL114" s="28" t="n">
        <v>0</v>
      </c>
      <c r="BM114" s="28" t="n">
        <v>0</v>
      </c>
      <c r="BN114" s="28" t="n">
        <v>0</v>
      </c>
      <c r="BO114" s="28" t="n">
        <v>0</v>
      </c>
      <c r="BP114" s="28" t="n">
        <v>0</v>
      </c>
      <c r="BQ114" s="28" t="n">
        <v>0</v>
      </c>
      <c r="BR114" s="28" t="n">
        <v>0</v>
      </c>
      <c r="BS114" s="28" t="n">
        <v>0</v>
      </c>
      <c r="BT114" s="28" t="n">
        <v>0</v>
      </c>
      <c r="BU114" s="28" t="n">
        <v>0</v>
      </c>
      <c r="BV114" s="28" t="n">
        <v>0</v>
      </c>
      <c r="BW114" s="28" t="n">
        <v>0</v>
      </c>
      <c r="BX114" s="28" t="n">
        <v>0</v>
      </c>
      <c r="BY114" s="28" t="n">
        <v>0</v>
      </c>
      <c r="BZ114" s="28" t="n">
        <v>0</v>
      </c>
      <c r="CA114" s="28" t="n">
        <v>0</v>
      </c>
      <c r="CB114" s="28" t="n">
        <v>0</v>
      </c>
      <c r="CC114" s="28" t="n">
        <v>0</v>
      </c>
      <c r="CD114" s="28" t="n">
        <v>0</v>
      </c>
      <c r="CE114" s="28" t="n">
        <v>0</v>
      </c>
      <c r="CF114" s="28" t="n">
        <v>0</v>
      </c>
      <c r="CG114" s="28" t="n">
        <v>0</v>
      </c>
      <c r="CH114" s="28" t="n">
        <v>0</v>
      </c>
      <c r="CI114" s="28" t="n">
        <v>0</v>
      </c>
      <c r="CJ114" s="28" t="n">
        <v>0</v>
      </c>
      <c r="CK114" s="28" t="n">
        <v>0</v>
      </c>
      <c r="CL114" s="28" t="n">
        <v>0</v>
      </c>
      <c r="CM114" s="28" t="n">
        <v>0</v>
      </c>
      <c r="CN114" s="28" t="n">
        <v>0</v>
      </c>
      <c r="CO114" s="28" t="n">
        <v>0</v>
      </c>
      <c r="CP114" s="28" t="n">
        <v>0</v>
      </c>
      <c r="CQ114" s="28" t="n">
        <v>0</v>
      </c>
      <c r="CR114" s="28" t="n">
        <v>0</v>
      </c>
      <c r="CS114" s="28" t="n">
        <v>0</v>
      </c>
      <c r="CT114" s="28" t="n">
        <v>0</v>
      </c>
      <c r="CU114" s="28" t="n">
        <v>0</v>
      </c>
      <c r="CV114" s="28" t="n">
        <v>0</v>
      </c>
      <c r="CW114" s="28" t="n">
        <v>0</v>
      </c>
      <c r="CX114" s="28" t="n">
        <v>0</v>
      </c>
      <c r="CY114" s="28" t="n">
        <v>0</v>
      </c>
      <c r="CZ114" s="28" t="n">
        <v>0</v>
      </c>
      <c r="DA114" s="28" t="n">
        <v>0</v>
      </c>
    </row>
    <row r="115">
      <c r="A115" t="inlineStr">
        <is>
          <t>TPP-378</t>
        </is>
      </c>
      <c r="B115" s="28" t="n">
        <v>0</v>
      </c>
      <c r="C115" s="28" t="n">
        <v>0</v>
      </c>
      <c r="D115" s="28" t="n">
        <v>0</v>
      </c>
      <c r="E115" s="28" t="n">
        <v>0</v>
      </c>
      <c r="F115" s="28" t="n">
        <v>0</v>
      </c>
      <c r="G115" s="28" t="n">
        <v>0</v>
      </c>
      <c r="H115" s="28" t="n">
        <v>0</v>
      </c>
      <c r="I115" s="28" t="n">
        <v>0</v>
      </c>
      <c r="J115" s="28" t="n">
        <v>0</v>
      </c>
      <c r="K115" s="28" t="n">
        <v>0</v>
      </c>
      <c r="L115" s="28" t="n">
        <v>0</v>
      </c>
      <c r="M115" s="28" t="n">
        <v>0</v>
      </c>
      <c r="N115" s="28" t="n">
        <v>0</v>
      </c>
      <c r="O115" s="28" t="n">
        <v>0</v>
      </c>
      <c r="P115" s="28" t="n">
        <v>0</v>
      </c>
      <c r="Q115" s="28" t="n">
        <v>0</v>
      </c>
      <c r="R115" s="28" t="n">
        <v>0</v>
      </c>
      <c r="S115" s="28" t="n">
        <v>0</v>
      </c>
      <c r="T115" s="28" t="n">
        <v>0</v>
      </c>
      <c r="U115" s="28" t="n">
        <v>0</v>
      </c>
      <c r="V115" s="28" t="n">
        <v>0</v>
      </c>
      <c r="W115" s="28" t="n">
        <v>0</v>
      </c>
      <c r="X115" s="28" t="n">
        <v>0</v>
      </c>
      <c r="Y115" s="28" t="n">
        <v>0</v>
      </c>
      <c r="Z115" s="28" t="n">
        <v>0</v>
      </c>
      <c r="AA115" s="28" t="n">
        <v>0</v>
      </c>
      <c r="AB115" s="28" t="n">
        <v>0</v>
      </c>
      <c r="AC115" s="28" t="n">
        <v>0</v>
      </c>
      <c r="AD115" s="28" t="n">
        <v>0</v>
      </c>
      <c r="AE115" s="28" t="n">
        <v>0</v>
      </c>
      <c r="AF115" s="28" t="n">
        <v>0</v>
      </c>
      <c r="AG115" s="28" t="n">
        <v>0</v>
      </c>
      <c r="AH115" s="28" t="n">
        <v>0</v>
      </c>
      <c r="AI115" s="28" t="n">
        <v>0</v>
      </c>
      <c r="AJ115" s="28" t="n">
        <v>0</v>
      </c>
      <c r="AK115" s="28" t="n">
        <v>0</v>
      </c>
      <c r="AL115" s="28" t="n">
        <v>0</v>
      </c>
      <c r="AM115" s="28" t="n">
        <v>0</v>
      </c>
      <c r="AN115" s="28" t="n">
        <v>0</v>
      </c>
      <c r="AO115" s="28" t="n">
        <v>0</v>
      </c>
      <c r="AP115" s="28" t="n">
        <v>0</v>
      </c>
      <c r="AQ115" s="28" t="n">
        <v>0</v>
      </c>
      <c r="AR115" s="28" t="n">
        <v>0</v>
      </c>
      <c r="AS115" s="28" t="n">
        <v>0</v>
      </c>
      <c r="AT115" s="28" t="n">
        <v>0</v>
      </c>
      <c r="AU115" s="28" t="n">
        <v>0</v>
      </c>
      <c r="AV115" s="28" t="n">
        <v>0</v>
      </c>
      <c r="AW115" s="28" t="n">
        <v>0</v>
      </c>
      <c r="AX115" s="28" t="n">
        <v>0</v>
      </c>
      <c r="AY115" s="28" t="n">
        <v>0</v>
      </c>
      <c r="AZ115" s="28" t="n">
        <v>0</v>
      </c>
      <c r="BA115" s="28" t="n">
        <v>0</v>
      </c>
      <c r="BB115" s="28" t="n">
        <v>0</v>
      </c>
      <c r="BC115" s="28" t="n">
        <v>0</v>
      </c>
      <c r="BD115" s="28" t="n">
        <v>0</v>
      </c>
      <c r="BE115" s="28" t="n">
        <v>0</v>
      </c>
      <c r="BF115" s="28" t="n">
        <v>0</v>
      </c>
      <c r="BG115" s="28" t="n">
        <v>0</v>
      </c>
      <c r="BH115" s="28" t="n">
        <v>0</v>
      </c>
      <c r="BI115" s="28" t="n">
        <v>0</v>
      </c>
      <c r="BJ115" s="28" t="n">
        <v>0</v>
      </c>
      <c r="BK115" s="28" t="n">
        <v>0</v>
      </c>
      <c r="BL115" s="28" t="n">
        <v>0</v>
      </c>
      <c r="BM115" s="28" t="n">
        <v>0</v>
      </c>
      <c r="BN115" s="28" t="n">
        <v>0</v>
      </c>
      <c r="BO115" s="28" t="n">
        <v>0</v>
      </c>
      <c r="BP115" s="28" t="n">
        <v>0</v>
      </c>
      <c r="BQ115" s="28" t="n">
        <v>0</v>
      </c>
      <c r="BR115" s="28" t="n">
        <v>0</v>
      </c>
      <c r="BS115" s="28" t="n">
        <v>0</v>
      </c>
      <c r="BT115" s="28" t="n">
        <v>0</v>
      </c>
      <c r="BU115" s="28" t="n">
        <v>0</v>
      </c>
      <c r="BV115" s="28" t="n">
        <v>0</v>
      </c>
      <c r="BW115" s="28" t="n">
        <v>0</v>
      </c>
      <c r="BX115" s="28" t="n">
        <v>0</v>
      </c>
      <c r="BY115" s="28" t="n">
        <v>0</v>
      </c>
      <c r="BZ115" s="28" t="n">
        <v>0</v>
      </c>
      <c r="CA115" s="28" t="n">
        <v>0</v>
      </c>
      <c r="CB115" s="28" t="n">
        <v>0</v>
      </c>
      <c r="CC115" s="28" t="n">
        <v>0</v>
      </c>
      <c r="CD115" s="28" t="n">
        <v>0</v>
      </c>
      <c r="CE115" s="28" t="n">
        <v>0</v>
      </c>
      <c r="CF115" s="28" t="n">
        <v>0</v>
      </c>
      <c r="CG115" s="28" t="n">
        <v>0</v>
      </c>
      <c r="CH115" s="28" t="n">
        <v>0</v>
      </c>
      <c r="CI115" s="28" t="n">
        <v>0</v>
      </c>
      <c r="CJ115" s="28" t="n">
        <v>0</v>
      </c>
      <c r="CK115" s="28" t="n">
        <v>0</v>
      </c>
      <c r="CL115" s="28" t="n">
        <v>0</v>
      </c>
      <c r="CM115" s="28" t="n">
        <v>0</v>
      </c>
      <c r="CN115" s="28" t="n">
        <v>0</v>
      </c>
      <c r="CO115" s="28" t="n">
        <v>0</v>
      </c>
      <c r="CP115" s="28" t="n">
        <v>0</v>
      </c>
      <c r="CQ115" s="28" t="n">
        <v>0</v>
      </c>
      <c r="CR115" s="28" t="n">
        <v>0</v>
      </c>
      <c r="CS115" s="28" t="n">
        <v>0</v>
      </c>
      <c r="CT115" s="28" t="n">
        <v>0</v>
      </c>
      <c r="CU115" s="28" t="n">
        <v>0</v>
      </c>
      <c r="CV115" s="28" t="n">
        <v>0</v>
      </c>
      <c r="CW115" s="28" t="n">
        <v>0</v>
      </c>
      <c r="CX115" s="28" t="n">
        <v>0</v>
      </c>
      <c r="CY115" s="28" t="n">
        <v>0</v>
      </c>
      <c r="CZ115" s="28" t="n">
        <v>0</v>
      </c>
      <c r="DA115" s="28" t="n">
        <v>0</v>
      </c>
    </row>
    <row r="116">
      <c r="A116" t="inlineStr">
        <is>
          <t>TPP-533(98%)</t>
        </is>
      </c>
      <c r="B116" s="28" t="n">
        <v>0</v>
      </c>
      <c r="C116" s="28" t="n">
        <v>0</v>
      </c>
      <c r="D116" s="28" t="n">
        <v>0</v>
      </c>
      <c r="E116" s="28" t="n">
        <v>0</v>
      </c>
      <c r="F116" s="28" t="n">
        <v>0</v>
      </c>
      <c r="G116" s="28" t="n">
        <v>0</v>
      </c>
      <c r="H116" s="28" t="n">
        <v>0</v>
      </c>
      <c r="I116" s="28" t="n">
        <v>0</v>
      </c>
      <c r="J116" s="28" t="n">
        <v>0</v>
      </c>
      <c r="K116" s="28" t="n">
        <v>0</v>
      </c>
      <c r="L116" s="28" t="n">
        <v>0</v>
      </c>
      <c r="M116" s="28" t="n">
        <v>0</v>
      </c>
      <c r="N116" s="28" t="n">
        <v>0</v>
      </c>
      <c r="O116" s="28" t="n">
        <v>0</v>
      </c>
      <c r="P116" s="28" t="n">
        <v>0</v>
      </c>
      <c r="Q116" s="28" t="n">
        <v>0</v>
      </c>
      <c r="R116" s="28" t="n">
        <v>0</v>
      </c>
      <c r="S116" s="28" t="n">
        <v>0</v>
      </c>
      <c r="T116" s="28" t="n">
        <v>0</v>
      </c>
      <c r="U116" s="28" t="n">
        <v>0</v>
      </c>
      <c r="V116" s="28" t="n">
        <v>0</v>
      </c>
      <c r="W116" s="28" t="n">
        <v>0</v>
      </c>
      <c r="X116" s="28" t="n">
        <v>0</v>
      </c>
      <c r="Y116" s="28" t="n">
        <v>0</v>
      </c>
      <c r="Z116" s="28" t="n">
        <v>0</v>
      </c>
      <c r="AA116" s="28" t="n">
        <v>0</v>
      </c>
      <c r="AB116" s="28" t="n">
        <v>0</v>
      </c>
      <c r="AC116" s="28" t="n">
        <v>0</v>
      </c>
      <c r="AD116" s="28" t="n">
        <v>0</v>
      </c>
      <c r="AE116" s="28" t="n">
        <v>0</v>
      </c>
      <c r="AF116" s="28" t="n">
        <v>0</v>
      </c>
      <c r="AG116" s="28" t="n">
        <v>0</v>
      </c>
      <c r="AH116" s="28" t="n">
        <v>0</v>
      </c>
      <c r="AI116" s="28" t="n">
        <v>0</v>
      </c>
      <c r="AJ116" s="28" t="n">
        <v>0</v>
      </c>
      <c r="AK116" s="28" t="n">
        <v>0</v>
      </c>
      <c r="AL116" s="28" t="n">
        <v>0</v>
      </c>
      <c r="AM116" s="28" t="n">
        <v>0</v>
      </c>
      <c r="AN116" s="28" t="n">
        <v>0</v>
      </c>
      <c r="AO116" s="28" t="n">
        <v>0</v>
      </c>
      <c r="AP116" s="28" t="n">
        <v>0</v>
      </c>
      <c r="AQ116" s="28" t="n">
        <v>0</v>
      </c>
      <c r="AR116" s="28" t="n">
        <v>0</v>
      </c>
      <c r="AS116" s="28" t="n">
        <v>0</v>
      </c>
      <c r="AT116" s="28" t="n">
        <v>0</v>
      </c>
      <c r="AU116" s="28" t="n">
        <v>0</v>
      </c>
      <c r="AV116" s="28" t="n">
        <v>0</v>
      </c>
      <c r="AW116" s="28" t="n">
        <v>0</v>
      </c>
      <c r="AX116" s="28" t="n">
        <v>0</v>
      </c>
      <c r="AY116" s="28" t="n">
        <v>0</v>
      </c>
      <c r="AZ116" s="28" t="n">
        <v>0</v>
      </c>
      <c r="BA116" s="28" t="n">
        <v>0</v>
      </c>
      <c r="BB116" s="28" t="n">
        <v>0</v>
      </c>
      <c r="BC116" s="28" t="n">
        <v>0</v>
      </c>
      <c r="BD116" s="28" t="n">
        <v>0</v>
      </c>
      <c r="BE116" s="28" t="n">
        <v>0</v>
      </c>
      <c r="BF116" s="28" t="n">
        <v>0</v>
      </c>
      <c r="BG116" s="28" t="n">
        <v>0</v>
      </c>
      <c r="BH116" s="28" t="n">
        <v>0</v>
      </c>
      <c r="BI116" s="28" t="n">
        <v>0</v>
      </c>
      <c r="BJ116" s="28" t="n">
        <v>0</v>
      </c>
      <c r="BK116" s="28" t="n">
        <v>0</v>
      </c>
      <c r="BL116" s="28" t="n">
        <v>0</v>
      </c>
      <c r="BM116" s="28" t="n">
        <v>0</v>
      </c>
      <c r="BN116" s="28" t="n">
        <v>0</v>
      </c>
      <c r="BO116" s="28" t="n">
        <v>0</v>
      </c>
      <c r="BP116" s="28" t="n">
        <v>0</v>
      </c>
      <c r="BQ116" s="28" t="n">
        <v>0</v>
      </c>
      <c r="BR116" s="28" t="n">
        <v>0</v>
      </c>
      <c r="BS116" s="28" t="n">
        <v>0</v>
      </c>
      <c r="BT116" s="28" t="n">
        <v>0</v>
      </c>
      <c r="BU116" s="28" t="n">
        <v>0</v>
      </c>
      <c r="BV116" s="28" t="n">
        <v>0</v>
      </c>
      <c r="BW116" s="28" t="n">
        <v>0</v>
      </c>
      <c r="BX116" s="28" t="n">
        <v>0</v>
      </c>
      <c r="BY116" s="28" t="n">
        <v>0</v>
      </c>
      <c r="BZ116" s="28" t="n">
        <v>0</v>
      </c>
      <c r="CA116" s="28" t="n">
        <v>0</v>
      </c>
      <c r="CB116" s="28" t="n">
        <v>0</v>
      </c>
      <c r="CC116" s="28" t="n">
        <v>0</v>
      </c>
      <c r="CD116" s="28" t="n">
        <v>0</v>
      </c>
      <c r="CE116" s="28" t="n">
        <v>0</v>
      </c>
      <c r="CF116" s="28" t="n">
        <v>0</v>
      </c>
      <c r="CG116" s="28" t="n">
        <v>0</v>
      </c>
      <c r="CH116" s="28" t="n">
        <v>0</v>
      </c>
      <c r="CI116" s="28" t="n">
        <v>0</v>
      </c>
      <c r="CJ116" s="28" t="n">
        <v>0</v>
      </c>
      <c r="CK116" s="28" t="n">
        <v>0</v>
      </c>
      <c r="CL116" s="28" t="n">
        <v>0</v>
      </c>
      <c r="CM116" s="28" t="n">
        <v>0</v>
      </c>
      <c r="CN116" s="28" t="n">
        <v>0</v>
      </c>
      <c r="CO116" s="28" t="n">
        <v>0</v>
      </c>
      <c r="CP116" s="28" t="n">
        <v>0</v>
      </c>
      <c r="CQ116" s="28" t="n">
        <v>0</v>
      </c>
      <c r="CR116" s="28" t="n">
        <v>0</v>
      </c>
      <c r="CS116" s="28" t="n">
        <v>0</v>
      </c>
      <c r="CT116" s="28" t="n">
        <v>0</v>
      </c>
      <c r="CU116" s="28" t="n">
        <v>0</v>
      </c>
      <c r="CV116" s="28" t="n">
        <v>0</v>
      </c>
      <c r="CW116" s="28" t="n">
        <v>0</v>
      </c>
      <c r="CX116" s="28" t="n">
        <v>0</v>
      </c>
      <c r="CY116" s="28" t="n">
        <v>0</v>
      </c>
      <c r="CZ116" s="28" t="n">
        <v>0</v>
      </c>
      <c r="DA116" s="28" t="n">
        <v>0</v>
      </c>
    </row>
    <row r="117">
      <c r="A117" t="inlineStr">
        <is>
          <t>TPP-533(A)</t>
        </is>
      </c>
      <c r="B117" s="28" t="n">
        <v>0</v>
      </c>
      <c r="C117" s="28" t="n">
        <v>0</v>
      </c>
      <c r="D117" s="28" t="n">
        <v>0</v>
      </c>
      <c r="E117" s="28" t="n">
        <v>0</v>
      </c>
      <c r="F117" s="28" t="n">
        <v>0</v>
      </c>
      <c r="G117" s="28" t="n">
        <v>0</v>
      </c>
      <c r="H117" s="28" t="n">
        <v>0</v>
      </c>
      <c r="I117" s="28" t="n">
        <v>0</v>
      </c>
      <c r="J117" s="28" t="n">
        <v>0</v>
      </c>
      <c r="K117" s="28" t="n">
        <v>0</v>
      </c>
      <c r="L117" s="28" t="n">
        <v>0</v>
      </c>
      <c r="M117" s="28" t="n">
        <v>0</v>
      </c>
      <c r="N117" s="28" t="n">
        <v>0</v>
      </c>
      <c r="O117" s="28" t="n">
        <v>0</v>
      </c>
      <c r="P117" s="28" t="n">
        <v>0</v>
      </c>
      <c r="Q117" s="28" t="n">
        <v>0</v>
      </c>
      <c r="R117" s="28" t="n">
        <v>0</v>
      </c>
      <c r="S117" s="28" t="n">
        <v>0</v>
      </c>
      <c r="T117" s="28" t="n">
        <v>0</v>
      </c>
      <c r="U117" s="28" t="n">
        <v>0</v>
      </c>
      <c r="V117" s="28" t="n">
        <v>0</v>
      </c>
      <c r="W117" s="28" t="n">
        <v>0</v>
      </c>
      <c r="X117" s="28" t="n">
        <v>0</v>
      </c>
      <c r="Y117" s="28" t="n">
        <v>0</v>
      </c>
      <c r="Z117" s="28" t="n">
        <v>0</v>
      </c>
      <c r="AA117" s="28" t="n">
        <v>0</v>
      </c>
      <c r="AB117" s="28" t="n">
        <v>0</v>
      </c>
      <c r="AC117" s="28" t="n">
        <v>0</v>
      </c>
      <c r="AD117" s="28" t="n">
        <v>0</v>
      </c>
      <c r="AE117" s="28" t="n">
        <v>0</v>
      </c>
      <c r="AF117" s="28" t="n">
        <v>0</v>
      </c>
      <c r="AG117" s="28" t="n">
        <v>0</v>
      </c>
      <c r="AH117" s="28" t="n">
        <v>0</v>
      </c>
      <c r="AI117" s="28" t="n">
        <v>0</v>
      </c>
      <c r="AJ117" s="28" t="n">
        <v>0</v>
      </c>
      <c r="AK117" s="28" t="n">
        <v>0</v>
      </c>
      <c r="AL117" s="28" t="n">
        <v>0</v>
      </c>
      <c r="AM117" s="28" t="n">
        <v>0</v>
      </c>
      <c r="AN117" s="28" t="n">
        <v>0</v>
      </c>
      <c r="AO117" s="28" t="n">
        <v>0</v>
      </c>
      <c r="AP117" s="28" t="n">
        <v>0</v>
      </c>
      <c r="AQ117" s="28" t="n">
        <v>0</v>
      </c>
      <c r="AR117" s="28" t="n">
        <v>0</v>
      </c>
      <c r="AS117" s="28" t="n">
        <v>0</v>
      </c>
      <c r="AT117" s="28" t="n">
        <v>0</v>
      </c>
      <c r="AU117" s="28" t="n">
        <v>0</v>
      </c>
      <c r="AV117" s="28" t="n">
        <v>0</v>
      </c>
      <c r="AW117" s="28" t="n">
        <v>0</v>
      </c>
      <c r="AX117" s="28" t="n">
        <v>0</v>
      </c>
      <c r="AY117" s="28" t="n">
        <v>0</v>
      </c>
      <c r="AZ117" s="28" t="n">
        <v>0</v>
      </c>
      <c r="BA117" s="28" t="n">
        <v>0</v>
      </c>
      <c r="BB117" s="28" t="n">
        <v>0</v>
      </c>
      <c r="BC117" s="28" t="n">
        <v>0</v>
      </c>
      <c r="BD117" s="28" t="n">
        <v>0</v>
      </c>
      <c r="BE117" s="28" t="n">
        <v>0</v>
      </c>
      <c r="BF117" s="28" t="n">
        <v>0</v>
      </c>
      <c r="BG117" s="28" t="n">
        <v>0</v>
      </c>
      <c r="BH117" s="28" t="n">
        <v>0</v>
      </c>
      <c r="BI117" s="28" t="n">
        <v>0</v>
      </c>
      <c r="BJ117" s="28" t="n">
        <v>0</v>
      </c>
      <c r="BK117" s="28" t="n">
        <v>0</v>
      </c>
      <c r="BL117" s="28" t="n">
        <v>0</v>
      </c>
      <c r="BM117" s="28" t="n">
        <v>0</v>
      </c>
      <c r="BN117" s="28" t="n">
        <v>0</v>
      </c>
      <c r="BO117" s="28" t="n">
        <v>0</v>
      </c>
      <c r="BP117" s="28" t="n">
        <v>0</v>
      </c>
      <c r="BQ117" s="28" t="n">
        <v>0</v>
      </c>
      <c r="BR117" s="28" t="n">
        <v>0</v>
      </c>
      <c r="BS117" s="28" t="n">
        <v>0</v>
      </c>
      <c r="BT117" s="28" t="n">
        <v>0</v>
      </c>
      <c r="BU117" s="28" t="n">
        <v>0</v>
      </c>
      <c r="BV117" s="28" t="n">
        <v>0</v>
      </c>
      <c r="BW117" s="28" t="n">
        <v>0</v>
      </c>
      <c r="BX117" s="28" t="n">
        <v>0</v>
      </c>
      <c r="BY117" s="28" t="n">
        <v>0</v>
      </c>
      <c r="BZ117" s="28" t="n">
        <v>0</v>
      </c>
      <c r="CA117" s="28" t="n">
        <v>0</v>
      </c>
      <c r="CB117" s="28" t="n">
        <v>0</v>
      </c>
      <c r="CC117" s="28" t="n">
        <v>0</v>
      </c>
      <c r="CD117" s="28" t="n">
        <v>0</v>
      </c>
      <c r="CE117" s="28" t="n">
        <v>0</v>
      </c>
      <c r="CF117" s="28" t="n">
        <v>0</v>
      </c>
      <c r="CG117" s="28" t="n">
        <v>0</v>
      </c>
      <c r="CH117" s="28" t="n">
        <v>0</v>
      </c>
      <c r="CI117" s="28" t="n">
        <v>0</v>
      </c>
      <c r="CJ117" s="28" t="n">
        <v>0</v>
      </c>
      <c r="CK117" s="28" t="n">
        <v>0</v>
      </c>
      <c r="CL117" s="28" t="n">
        <v>0</v>
      </c>
      <c r="CM117" s="28" t="n">
        <v>0</v>
      </c>
      <c r="CN117" s="28" t="n">
        <v>0</v>
      </c>
      <c r="CO117" s="28" t="n">
        <v>0</v>
      </c>
      <c r="CP117" s="28" t="n">
        <v>0</v>
      </c>
      <c r="CQ117" s="28" t="n">
        <v>0</v>
      </c>
      <c r="CR117" s="28" t="n">
        <v>0</v>
      </c>
      <c r="CS117" s="28" t="n">
        <v>0</v>
      </c>
      <c r="CT117" s="28" t="n">
        <v>0</v>
      </c>
      <c r="CU117" s="28" t="n">
        <v>0</v>
      </c>
      <c r="CV117" s="28" t="n">
        <v>0</v>
      </c>
      <c r="CW117" s="28" t="n">
        <v>0</v>
      </c>
      <c r="CX117" s="28" t="n">
        <v>0</v>
      </c>
      <c r="CY117" s="28" t="n">
        <v>0</v>
      </c>
      <c r="CZ117" s="28" t="n">
        <v>0</v>
      </c>
      <c r="DA117" s="28" t="n">
        <v>0</v>
      </c>
    </row>
    <row r="118">
      <c r="A118" t="inlineStr">
        <is>
          <t>TSP-070</t>
        </is>
      </c>
      <c r="B118" s="28" t="n">
        <v>0</v>
      </c>
      <c r="C118" s="28" t="n">
        <v>0</v>
      </c>
      <c r="D118" s="28" t="n">
        <v>0</v>
      </c>
      <c r="E118" s="28" t="n">
        <v>0</v>
      </c>
      <c r="F118" s="28" t="n">
        <v>0</v>
      </c>
      <c r="G118" s="28" t="n">
        <v>0</v>
      </c>
      <c r="H118" s="28" t="n">
        <v>0</v>
      </c>
      <c r="I118" s="28" t="n">
        <v>0</v>
      </c>
      <c r="J118" s="28" t="n">
        <v>0</v>
      </c>
      <c r="K118" s="28" t="n">
        <v>0</v>
      </c>
      <c r="L118" s="28" t="n">
        <v>0</v>
      </c>
      <c r="M118" s="28" t="n">
        <v>0</v>
      </c>
      <c r="N118" s="28" t="n">
        <v>0</v>
      </c>
      <c r="O118" s="28" t="n">
        <v>0</v>
      </c>
      <c r="P118" s="28" t="n">
        <v>0</v>
      </c>
      <c r="Q118" s="28" t="n">
        <v>0</v>
      </c>
      <c r="R118" s="28" t="n">
        <v>0</v>
      </c>
      <c r="S118" s="28" t="n">
        <v>0</v>
      </c>
      <c r="T118" s="28" t="n">
        <v>0</v>
      </c>
      <c r="U118" s="28" t="n">
        <v>0</v>
      </c>
      <c r="V118" s="28" t="n">
        <v>0</v>
      </c>
      <c r="W118" s="28" t="n">
        <v>0</v>
      </c>
      <c r="X118" s="28" t="n">
        <v>0</v>
      </c>
      <c r="Y118" s="28" t="n">
        <v>0</v>
      </c>
      <c r="Z118" s="28" t="n">
        <v>0</v>
      </c>
      <c r="AA118" s="28" t="n">
        <v>0</v>
      </c>
      <c r="AB118" s="28" t="n">
        <v>0</v>
      </c>
      <c r="AC118" s="28" t="n">
        <v>0</v>
      </c>
      <c r="AD118" s="28" t="n">
        <v>0</v>
      </c>
      <c r="AE118" s="28" t="n">
        <v>0</v>
      </c>
      <c r="AF118" s="28" t="n">
        <v>0</v>
      </c>
      <c r="AG118" s="28" t="n">
        <v>0</v>
      </c>
      <c r="AH118" s="28" t="n">
        <v>0</v>
      </c>
      <c r="AI118" s="28" t="n">
        <v>0</v>
      </c>
      <c r="AJ118" s="28" t="n">
        <v>0</v>
      </c>
      <c r="AK118" s="28" t="n">
        <v>0</v>
      </c>
      <c r="AL118" s="28" t="n">
        <v>0</v>
      </c>
      <c r="AM118" s="28" t="n">
        <v>0</v>
      </c>
      <c r="AN118" s="28" t="n">
        <v>0</v>
      </c>
      <c r="AO118" s="28" t="n">
        <v>0</v>
      </c>
      <c r="AP118" s="28" t="n">
        <v>0</v>
      </c>
      <c r="AQ118" s="28" t="n">
        <v>0</v>
      </c>
      <c r="AR118" s="28" t="n">
        <v>0</v>
      </c>
      <c r="AS118" s="28" t="n">
        <v>0</v>
      </c>
      <c r="AT118" s="28" t="n">
        <v>0</v>
      </c>
      <c r="AU118" s="28" t="n">
        <v>0</v>
      </c>
      <c r="AV118" s="28" t="n">
        <v>0</v>
      </c>
      <c r="AW118" s="28" t="n">
        <v>0</v>
      </c>
      <c r="AX118" s="28" t="n">
        <v>0</v>
      </c>
      <c r="AY118" s="28" t="n">
        <v>0</v>
      </c>
      <c r="AZ118" s="28" t="n">
        <v>0</v>
      </c>
      <c r="BA118" s="28" t="n">
        <v>0</v>
      </c>
      <c r="BB118" s="28" t="n">
        <v>0</v>
      </c>
      <c r="BC118" s="28" t="n">
        <v>0</v>
      </c>
      <c r="BD118" s="28" t="n">
        <v>0</v>
      </c>
      <c r="BE118" s="28" t="n">
        <v>0</v>
      </c>
      <c r="BF118" s="28" t="n">
        <v>0</v>
      </c>
      <c r="BG118" s="28" t="n">
        <v>0</v>
      </c>
      <c r="BH118" s="28" t="n">
        <v>0</v>
      </c>
      <c r="BI118" s="28" t="n">
        <v>0</v>
      </c>
      <c r="BJ118" s="28" t="n">
        <v>0</v>
      </c>
      <c r="BK118" s="28" t="n">
        <v>0</v>
      </c>
      <c r="BL118" s="28" t="n">
        <v>0</v>
      </c>
      <c r="BM118" s="28" t="n">
        <v>0</v>
      </c>
      <c r="BN118" s="28" t="n">
        <v>0</v>
      </c>
      <c r="BO118" s="28" t="n">
        <v>0</v>
      </c>
      <c r="BP118" s="28" t="n">
        <v>0</v>
      </c>
      <c r="BQ118" s="28" t="n">
        <v>0</v>
      </c>
      <c r="BR118" s="28" t="n">
        <v>0</v>
      </c>
      <c r="BS118" s="28" t="n">
        <v>0</v>
      </c>
      <c r="BT118" s="28" t="n">
        <v>0</v>
      </c>
      <c r="BU118" s="28" t="n">
        <v>0</v>
      </c>
      <c r="BV118" s="28" t="n">
        <v>0</v>
      </c>
      <c r="BW118" s="28" t="n">
        <v>0</v>
      </c>
      <c r="BX118" s="28" t="n">
        <v>0</v>
      </c>
      <c r="BY118" s="28" t="n">
        <v>0</v>
      </c>
      <c r="BZ118" s="28" t="n">
        <v>0</v>
      </c>
      <c r="CA118" s="28" t="n">
        <v>0</v>
      </c>
      <c r="CB118" s="28" t="n">
        <v>0</v>
      </c>
      <c r="CC118" s="28" t="n">
        <v>0</v>
      </c>
      <c r="CD118" s="28" t="n">
        <v>0</v>
      </c>
      <c r="CE118" s="28" t="n">
        <v>0</v>
      </c>
      <c r="CF118" s="28" t="n">
        <v>0</v>
      </c>
      <c r="CG118" s="28" t="n">
        <v>0</v>
      </c>
      <c r="CH118" s="28" t="n">
        <v>0</v>
      </c>
      <c r="CI118" s="28" t="n">
        <v>0</v>
      </c>
      <c r="CJ118" s="28" t="n">
        <v>0</v>
      </c>
      <c r="CK118" s="28" t="n">
        <v>0</v>
      </c>
      <c r="CL118" s="28" t="n">
        <v>0</v>
      </c>
      <c r="CM118" s="28" t="n">
        <v>0</v>
      </c>
      <c r="CN118" s="28" t="n">
        <v>0</v>
      </c>
      <c r="CO118" s="28" t="n">
        <v>0</v>
      </c>
      <c r="CP118" s="28" t="n">
        <v>0</v>
      </c>
      <c r="CQ118" s="28" t="n">
        <v>0</v>
      </c>
      <c r="CR118" s="28" t="n">
        <v>0</v>
      </c>
      <c r="CS118" s="28" t="n">
        <v>0</v>
      </c>
      <c r="CT118" s="28" t="n">
        <v>0</v>
      </c>
      <c r="CU118" s="28" t="n">
        <v>0</v>
      </c>
      <c r="CV118" s="28" t="n">
        <v>0</v>
      </c>
      <c r="CW118" s="28" t="n">
        <v>0</v>
      </c>
      <c r="CX118" s="28" t="n">
        <v>0</v>
      </c>
      <c r="CY118" s="28" t="n">
        <v>0</v>
      </c>
      <c r="CZ118" s="28" t="n">
        <v>0</v>
      </c>
      <c r="DA118" s="28" t="n">
        <v>0</v>
      </c>
    </row>
    <row r="119">
      <c r="A119" t="inlineStr">
        <is>
          <t>TSP-077</t>
        </is>
      </c>
      <c r="B119" s="28" t="n">
        <v>0</v>
      </c>
      <c r="C119" s="28" t="n">
        <v>0</v>
      </c>
      <c r="D119" s="28" t="n">
        <v>0</v>
      </c>
      <c r="E119" s="28" t="n">
        <v>0</v>
      </c>
      <c r="F119" s="28" t="n">
        <v>0</v>
      </c>
      <c r="G119" s="28" t="n">
        <v>0</v>
      </c>
      <c r="H119" s="28" t="n">
        <v>0</v>
      </c>
      <c r="I119" s="28" t="n">
        <v>0</v>
      </c>
      <c r="J119" s="28" t="n">
        <v>0</v>
      </c>
      <c r="K119" s="28" t="n">
        <v>0</v>
      </c>
      <c r="L119" s="28" t="n">
        <v>0</v>
      </c>
      <c r="M119" s="28" t="n">
        <v>0</v>
      </c>
      <c r="N119" s="28" t="n">
        <v>0</v>
      </c>
      <c r="O119" s="28" t="n">
        <v>0</v>
      </c>
      <c r="P119" s="28" t="n">
        <v>0</v>
      </c>
      <c r="Q119" s="28" t="n">
        <v>0</v>
      </c>
      <c r="R119" s="28" t="n">
        <v>0</v>
      </c>
      <c r="S119" s="28" t="n">
        <v>0</v>
      </c>
      <c r="T119" s="28" t="n">
        <v>0</v>
      </c>
      <c r="U119" s="28" t="n">
        <v>0</v>
      </c>
      <c r="V119" s="28" t="n">
        <v>0</v>
      </c>
      <c r="W119" s="28" t="n">
        <v>0</v>
      </c>
      <c r="X119" s="28" t="n">
        <v>0</v>
      </c>
      <c r="Y119" s="28" t="n">
        <v>0</v>
      </c>
      <c r="Z119" s="28" t="n">
        <v>0</v>
      </c>
      <c r="AA119" s="28" t="n">
        <v>0</v>
      </c>
      <c r="AB119" s="28" t="n">
        <v>0</v>
      </c>
      <c r="AC119" s="28" t="n">
        <v>0</v>
      </c>
      <c r="AD119" s="28" t="n">
        <v>0</v>
      </c>
      <c r="AE119" s="28" t="n">
        <v>0</v>
      </c>
      <c r="AF119" s="28" t="n">
        <v>0</v>
      </c>
      <c r="AG119" s="28" t="n">
        <v>0</v>
      </c>
      <c r="AH119" s="28" t="n">
        <v>0</v>
      </c>
      <c r="AI119" s="28" t="n">
        <v>0</v>
      </c>
      <c r="AJ119" s="28" t="n">
        <v>0</v>
      </c>
      <c r="AK119" s="28" t="n">
        <v>0</v>
      </c>
      <c r="AL119" s="28" t="n">
        <v>0</v>
      </c>
      <c r="AM119" s="28" t="n">
        <v>0</v>
      </c>
      <c r="AN119" s="28" t="n">
        <v>0</v>
      </c>
      <c r="AO119" s="28" t="n">
        <v>0</v>
      </c>
      <c r="AP119" s="28" t="n">
        <v>0</v>
      </c>
      <c r="AQ119" s="28" t="n">
        <v>0</v>
      </c>
      <c r="AR119" s="28" t="n">
        <v>0</v>
      </c>
      <c r="AS119" s="28" t="n">
        <v>0</v>
      </c>
      <c r="AT119" s="28" t="n">
        <v>0</v>
      </c>
      <c r="AU119" s="28" t="n">
        <v>0</v>
      </c>
      <c r="AV119" s="28" t="n">
        <v>0</v>
      </c>
      <c r="AW119" s="28" t="n">
        <v>0</v>
      </c>
      <c r="AX119" s="28" t="n">
        <v>0</v>
      </c>
      <c r="AY119" s="28" t="n">
        <v>0</v>
      </c>
      <c r="AZ119" s="28" t="n">
        <v>0</v>
      </c>
      <c r="BA119" s="28" t="n">
        <v>0</v>
      </c>
      <c r="BB119" s="28" t="n">
        <v>0</v>
      </c>
      <c r="BC119" s="28" t="n">
        <v>0</v>
      </c>
      <c r="BD119" s="28" t="n">
        <v>0</v>
      </c>
      <c r="BE119" s="28" t="n">
        <v>0</v>
      </c>
      <c r="BF119" s="28" t="n">
        <v>0</v>
      </c>
      <c r="BG119" s="28" t="n">
        <v>0</v>
      </c>
      <c r="BH119" s="28" t="n">
        <v>0</v>
      </c>
      <c r="BI119" s="28" t="n">
        <v>0</v>
      </c>
      <c r="BJ119" s="28" t="n">
        <v>0</v>
      </c>
      <c r="BK119" s="28" t="n">
        <v>0</v>
      </c>
      <c r="BL119" s="28" t="n">
        <v>0</v>
      </c>
      <c r="BM119" s="28" t="n">
        <v>0</v>
      </c>
      <c r="BN119" s="28" t="n">
        <v>0</v>
      </c>
      <c r="BO119" s="28" t="n">
        <v>0</v>
      </c>
      <c r="BP119" s="28" t="n">
        <v>0</v>
      </c>
      <c r="BQ119" s="28" t="n">
        <v>0</v>
      </c>
      <c r="BR119" s="28" t="n">
        <v>0</v>
      </c>
      <c r="BS119" s="28" t="n">
        <v>0</v>
      </c>
      <c r="BT119" s="28" t="n">
        <v>0</v>
      </c>
      <c r="BU119" s="28" t="n">
        <v>0</v>
      </c>
      <c r="BV119" s="28" t="n">
        <v>0</v>
      </c>
      <c r="BW119" s="28" t="n">
        <v>0</v>
      </c>
      <c r="BX119" s="28" t="n">
        <v>0</v>
      </c>
      <c r="BY119" s="28" t="n">
        <v>0</v>
      </c>
      <c r="BZ119" s="28" t="n">
        <v>0</v>
      </c>
      <c r="CA119" s="28" t="n">
        <v>0</v>
      </c>
      <c r="CB119" s="28" t="n">
        <v>0</v>
      </c>
      <c r="CC119" s="28" t="n">
        <v>0</v>
      </c>
      <c r="CD119" s="28" t="n">
        <v>0</v>
      </c>
      <c r="CE119" s="28" t="n">
        <v>0</v>
      </c>
      <c r="CF119" s="28" t="n">
        <v>0</v>
      </c>
      <c r="CG119" s="28" t="n">
        <v>0</v>
      </c>
      <c r="CH119" s="28" t="n">
        <v>0</v>
      </c>
      <c r="CI119" s="28" t="n">
        <v>0</v>
      </c>
      <c r="CJ119" s="28" t="n">
        <v>0</v>
      </c>
      <c r="CK119" s="28" t="n">
        <v>0</v>
      </c>
      <c r="CL119" s="28" t="n">
        <v>0</v>
      </c>
      <c r="CM119" s="28" t="n">
        <v>0</v>
      </c>
      <c r="CN119" s="28" t="n">
        <v>0</v>
      </c>
      <c r="CO119" s="28" t="n">
        <v>0</v>
      </c>
      <c r="CP119" s="28" t="n">
        <v>0</v>
      </c>
      <c r="CQ119" s="28" t="n">
        <v>0</v>
      </c>
      <c r="CR119" s="28" t="n">
        <v>0</v>
      </c>
      <c r="CS119" s="28" t="n">
        <v>0</v>
      </c>
      <c r="CT119" s="28" t="n">
        <v>0</v>
      </c>
      <c r="CU119" s="28" t="n">
        <v>0</v>
      </c>
      <c r="CV119" s="28" t="n">
        <v>0</v>
      </c>
      <c r="CW119" s="28" t="n">
        <v>0</v>
      </c>
      <c r="CX119" s="28" t="n">
        <v>0</v>
      </c>
      <c r="CY119" s="28" t="n">
        <v>0</v>
      </c>
      <c r="CZ119" s="28" t="n">
        <v>0</v>
      </c>
      <c r="DA119" s="28" t="n">
        <v>0</v>
      </c>
    </row>
    <row r="120">
      <c r="A120" t="inlineStr">
        <is>
          <t>TSP-088</t>
        </is>
      </c>
      <c r="B120" s="28" t="n">
        <v>0</v>
      </c>
      <c r="C120" s="28" t="n">
        <v>0</v>
      </c>
      <c r="D120" s="28" t="n">
        <v>0</v>
      </c>
      <c r="E120" s="28" t="n">
        <v>0</v>
      </c>
      <c r="F120" s="28" t="n">
        <v>0</v>
      </c>
      <c r="G120" s="28" t="n">
        <v>0</v>
      </c>
      <c r="H120" s="28" t="n">
        <v>0</v>
      </c>
      <c r="I120" s="28" t="n">
        <v>0</v>
      </c>
      <c r="J120" s="28" t="n">
        <v>0</v>
      </c>
      <c r="K120" s="28" t="n">
        <v>0</v>
      </c>
      <c r="L120" s="28" t="n">
        <v>0</v>
      </c>
      <c r="M120" s="28" t="n">
        <v>0</v>
      </c>
      <c r="N120" s="28" t="n">
        <v>0</v>
      </c>
      <c r="O120" s="28" t="n">
        <v>0</v>
      </c>
      <c r="P120" s="28" t="n">
        <v>0</v>
      </c>
      <c r="Q120" s="28" t="n">
        <v>0</v>
      </c>
      <c r="R120" s="28" t="n">
        <v>0</v>
      </c>
      <c r="S120" s="28" t="n">
        <v>0</v>
      </c>
      <c r="T120" s="28" t="n">
        <v>0</v>
      </c>
      <c r="U120" s="28" t="n">
        <v>0</v>
      </c>
      <c r="V120" s="28" t="n">
        <v>0</v>
      </c>
      <c r="W120" s="28" t="n">
        <v>0</v>
      </c>
      <c r="X120" s="28" t="n">
        <v>0</v>
      </c>
      <c r="Y120" s="28" t="n">
        <v>0</v>
      </c>
      <c r="Z120" s="28" t="n">
        <v>0</v>
      </c>
      <c r="AA120" s="28" t="n">
        <v>0</v>
      </c>
      <c r="AB120" s="28" t="n">
        <v>0</v>
      </c>
      <c r="AC120" s="28" t="n">
        <v>0</v>
      </c>
      <c r="AD120" s="28" t="n">
        <v>0</v>
      </c>
      <c r="AE120" s="28" t="n">
        <v>0</v>
      </c>
      <c r="AF120" s="28" t="n">
        <v>0</v>
      </c>
      <c r="AG120" s="28" t="n">
        <v>0</v>
      </c>
      <c r="AH120" s="28" t="n">
        <v>0</v>
      </c>
      <c r="AI120" s="28" t="n">
        <v>0</v>
      </c>
      <c r="AJ120" s="28" t="n">
        <v>0</v>
      </c>
      <c r="AK120" s="28" t="n">
        <v>0</v>
      </c>
      <c r="AL120" s="28" t="n">
        <v>0</v>
      </c>
      <c r="AM120" s="28" t="n">
        <v>0</v>
      </c>
      <c r="AN120" s="28" t="n">
        <v>0</v>
      </c>
      <c r="AO120" s="28" t="n">
        <v>0</v>
      </c>
      <c r="AP120" s="28" t="n">
        <v>0</v>
      </c>
      <c r="AQ120" s="28" t="n">
        <v>0</v>
      </c>
      <c r="AR120" s="28" t="n">
        <v>0</v>
      </c>
      <c r="AS120" s="28" t="n">
        <v>0</v>
      </c>
      <c r="AT120" s="28" t="n">
        <v>0</v>
      </c>
      <c r="AU120" s="28" t="n">
        <v>0</v>
      </c>
      <c r="AV120" s="28" t="n">
        <v>0</v>
      </c>
      <c r="AW120" s="28" t="n">
        <v>0</v>
      </c>
      <c r="AX120" s="28" t="n">
        <v>0</v>
      </c>
      <c r="AY120" s="28" t="n">
        <v>0</v>
      </c>
      <c r="AZ120" s="28" t="n">
        <v>0</v>
      </c>
      <c r="BA120" s="28" t="n">
        <v>0</v>
      </c>
      <c r="BB120" s="28" t="n">
        <v>0</v>
      </c>
      <c r="BC120" s="28" t="n">
        <v>0</v>
      </c>
      <c r="BD120" s="28" t="n">
        <v>0</v>
      </c>
      <c r="BE120" s="28" t="n">
        <v>0</v>
      </c>
      <c r="BF120" s="28" t="n">
        <v>0</v>
      </c>
      <c r="BG120" s="28" t="n">
        <v>0</v>
      </c>
      <c r="BH120" s="28" t="n">
        <v>0</v>
      </c>
      <c r="BI120" s="28" t="n">
        <v>0</v>
      </c>
      <c r="BJ120" s="28" t="n">
        <v>0</v>
      </c>
      <c r="BK120" s="28" t="n">
        <v>0</v>
      </c>
      <c r="BL120" s="28" t="n">
        <v>0</v>
      </c>
      <c r="BM120" s="28" t="n">
        <v>0</v>
      </c>
      <c r="BN120" s="28" t="n">
        <v>0</v>
      </c>
      <c r="BO120" s="28" t="n">
        <v>0</v>
      </c>
      <c r="BP120" s="28" t="n">
        <v>0</v>
      </c>
      <c r="BQ120" s="28" t="n">
        <v>0</v>
      </c>
      <c r="BR120" s="28" t="n">
        <v>0</v>
      </c>
      <c r="BS120" s="28" t="n">
        <v>0</v>
      </c>
      <c r="BT120" s="28" t="n">
        <v>0</v>
      </c>
      <c r="BU120" s="28" t="n">
        <v>0</v>
      </c>
      <c r="BV120" s="28" t="n">
        <v>0</v>
      </c>
      <c r="BW120" s="28" t="n">
        <v>0</v>
      </c>
      <c r="BX120" s="28" t="n">
        <v>0</v>
      </c>
      <c r="BY120" s="28" t="n">
        <v>0</v>
      </c>
      <c r="BZ120" s="28" t="n">
        <v>0</v>
      </c>
      <c r="CA120" s="28" t="n">
        <v>0</v>
      </c>
      <c r="CB120" s="28" t="n">
        <v>0</v>
      </c>
      <c r="CC120" s="28" t="n">
        <v>0</v>
      </c>
      <c r="CD120" s="28" t="n">
        <v>0</v>
      </c>
      <c r="CE120" s="28" t="n">
        <v>0</v>
      </c>
      <c r="CF120" s="28" t="n">
        <v>0</v>
      </c>
      <c r="CG120" s="28" t="n">
        <v>0</v>
      </c>
      <c r="CH120" s="28" t="n">
        <v>0</v>
      </c>
      <c r="CI120" s="28" t="n">
        <v>0</v>
      </c>
      <c r="CJ120" s="28" t="n">
        <v>0</v>
      </c>
      <c r="CK120" s="28" t="n">
        <v>0</v>
      </c>
      <c r="CL120" s="28" t="n">
        <v>0</v>
      </c>
      <c r="CM120" s="28" t="n">
        <v>0</v>
      </c>
      <c r="CN120" s="28" t="n">
        <v>0</v>
      </c>
      <c r="CO120" s="28" t="n">
        <v>0</v>
      </c>
      <c r="CP120" s="28" t="n">
        <v>0</v>
      </c>
      <c r="CQ120" s="28" t="n">
        <v>0</v>
      </c>
      <c r="CR120" s="28" t="n">
        <v>0</v>
      </c>
      <c r="CS120" s="28" t="n">
        <v>0</v>
      </c>
      <c r="CT120" s="28" t="n">
        <v>0</v>
      </c>
      <c r="CU120" s="28" t="n">
        <v>0</v>
      </c>
      <c r="CV120" s="28" t="n">
        <v>0</v>
      </c>
      <c r="CW120" s="28" t="n">
        <v>0</v>
      </c>
      <c r="CX120" s="28" t="n">
        <v>0</v>
      </c>
      <c r="CY120" s="28" t="n">
        <v>0</v>
      </c>
      <c r="CZ120" s="28" t="n">
        <v>0</v>
      </c>
      <c r="DA120" s="28" t="n">
        <v>0</v>
      </c>
    </row>
    <row r="121">
      <c r="A121" t="inlineStr">
        <is>
          <t>TSP-089</t>
        </is>
      </c>
      <c r="B121" s="28" t="n">
        <v>0</v>
      </c>
      <c r="C121" s="28" t="n">
        <v>0</v>
      </c>
      <c r="D121" s="28" t="n">
        <v>0</v>
      </c>
      <c r="E121" s="28" t="n">
        <v>0</v>
      </c>
      <c r="F121" s="28" t="n">
        <v>0</v>
      </c>
      <c r="G121" s="28" t="n">
        <v>0</v>
      </c>
      <c r="H121" s="28" t="n">
        <v>0</v>
      </c>
      <c r="I121" s="28" t="n">
        <v>0</v>
      </c>
      <c r="J121" s="28" t="n">
        <v>0</v>
      </c>
      <c r="K121" s="28" t="n">
        <v>0</v>
      </c>
      <c r="L121" s="28" t="n">
        <v>0</v>
      </c>
      <c r="M121" s="28" t="n">
        <v>0</v>
      </c>
      <c r="N121" s="28" t="n">
        <v>0</v>
      </c>
      <c r="O121" s="28" t="n">
        <v>0</v>
      </c>
      <c r="P121" s="28" t="n">
        <v>0</v>
      </c>
      <c r="Q121" s="28" t="n">
        <v>0</v>
      </c>
      <c r="R121" s="28" t="n">
        <v>0</v>
      </c>
      <c r="S121" s="28" t="n">
        <v>0</v>
      </c>
      <c r="T121" s="28" t="n">
        <v>0</v>
      </c>
      <c r="U121" s="28" t="n">
        <v>0</v>
      </c>
      <c r="V121" s="28" t="n">
        <v>0</v>
      </c>
      <c r="W121" s="28" t="n">
        <v>0</v>
      </c>
      <c r="X121" s="28" t="n">
        <v>0</v>
      </c>
      <c r="Y121" s="28" t="n">
        <v>0</v>
      </c>
      <c r="Z121" s="28" t="n">
        <v>0</v>
      </c>
      <c r="AA121" s="28" t="n">
        <v>0</v>
      </c>
      <c r="AB121" s="28" t="n">
        <v>0</v>
      </c>
      <c r="AC121" s="28" t="n">
        <v>0</v>
      </c>
      <c r="AD121" s="28" t="n">
        <v>0</v>
      </c>
      <c r="AE121" s="28" t="n">
        <v>0</v>
      </c>
      <c r="AF121" s="28" t="n">
        <v>0</v>
      </c>
      <c r="AG121" s="28" t="n">
        <v>0</v>
      </c>
      <c r="AH121" s="28" t="n">
        <v>0</v>
      </c>
      <c r="AI121" s="28" t="n">
        <v>0</v>
      </c>
      <c r="AJ121" s="28" t="n">
        <v>0</v>
      </c>
      <c r="AK121" s="28" t="n">
        <v>0</v>
      </c>
      <c r="AL121" s="28" t="n">
        <v>0</v>
      </c>
      <c r="AM121" s="28" t="n">
        <v>0</v>
      </c>
      <c r="AN121" s="28" t="n">
        <v>0</v>
      </c>
      <c r="AO121" s="28" t="n">
        <v>0</v>
      </c>
      <c r="AP121" s="28" t="n">
        <v>0</v>
      </c>
      <c r="AQ121" s="28" t="n">
        <v>0</v>
      </c>
      <c r="AR121" s="28" t="n">
        <v>0</v>
      </c>
      <c r="AS121" s="28" t="n">
        <v>0</v>
      </c>
      <c r="AT121" s="28" t="n">
        <v>0</v>
      </c>
      <c r="AU121" s="28" t="n">
        <v>0</v>
      </c>
      <c r="AV121" s="28" t="n">
        <v>0</v>
      </c>
      <c r="AW121" s="28" t="n">
        <v>0</v>
      </c>
      <c r="AX121" s="28" t="n">
        <v>0</v>
      </c>
      <c r="AY121" s="28" t="n">
        <v>0</v>
      </c>
      <c r="AZ121" s="28" t="n">
        <v>0</v>
      </c>
      <c r="BA121" s="28" t="n">
        <v>0</v>
      </c>
      <c r="BB121" s="28" t="n">
        <v>0</v>
      </c>
      <c r="BC121" s="28" t="n">
        <v>0</v>
      </c>
      <c r="BD121" s="28" t="n">
        <v>0</v>
      </c>
      <c r="BE121" s="28" t="n">
        <v>0</v>
      </c>
      <c r="BF121" s="28" t="n">
        <v>0</v>
      </c>
      <c r="BG121" s="28" t="n">
        <v>0</v>
      </c>
      <c r="BH121" s="28" t="n">
        <v>0</v>
      </c>
      <c r="BI121" s="28" t="n">
        <v>0</v>
      </c>
      <c r="BJ121" s="28" t="n">
        <v>0</v>
      </c>
      <c r="BK121" s="28" t="n">
        <v>0</v>
      </c>
      <c r="BL121" s="28" t="n">
        <v>0</v>
      </c>
      <c r="BM121" s="28" t="n">
        <v>0</v>
      </c>
      <c r="BN121" s="28" t="n">
        <v>0</v>
      </c>
      <c r="BO121" s="28" t="n">
        <v>0</v>
      </c>
      <c r="BP121" s="28" t="n">
        <v>0</v>
      </c>
      <c r="BQ121" s="28" t="n">
        <v>0</v>
      </c>
      <c r="BR121" s="28" t="n">
        <v>0</v>
      </c>
      <c r="BS121" s="28" t="n">
        <v>0</v>
      </c>
      <c r="BT121" s="28" t="n">
        <v>0</v>
      </c>
      <c r="BU121" s="28" t="n">
        <v>0</v>
      </c>
      <c r="BV121" s="28" t="n">
        <v>0</v>
      </c>
      <c r="BW121" s="28" t="n">
        <v>0</v>
      </c>
      <c r="BX121" s="28" t="n">
        <v>0</v>
      </c>
      <c r="BY121" s="28" t="n">
        <v>0</v>
      </c>
      <c r="BZ121" s="28" t="n">
        <v>0</v>
      </c>
      <c r="CA121" s="28" t="n">
        <v>0</v>
      </c>
      <c r="CB121" s="28" t="n">
        <v>0</v>
      </c>
      <c r="CC121" s="28" t="n">
        <v>0</v>
      </c>
      <c r="CD121" s="28" t="n">
        <v>0</v>
      </c>
      <c r="CE121" s="28" t="n">
        <v>0</v>
      </c>
      <c r="CF121" s="28" t="n">
        <v>0</v>
      </c>
      <c r="CG121" s="28" t="n">
        <v>0</v>
      </c>
      <c r="CH121" s="28" t="n">
        <v>0</v>
      </c>
      <c r="CI121" s="28" t="n">
        <v>0</v>
      </c>
      <c r="CJ121" s="28" t="n">
        <v>0</v>
      </c>
      <c r="CK121" s="28" t="n">
        <v>0</v>
      </c>
      <c r="CL121" s="28" t="n">
        <v>0</v>
      </c>
      <c r="CM121" s="28" t="n">
        <v>0</v>
      </c>
      <c r="CN121" s="28" t="n">
        <v>0</v>
      </c>
      <c r="CO121" s="28" t="n">
        <v>0</v>
      </c>
      <c r="CP121" s="28" t="n">
        <v>0</v>
      </c>
      <c r="CQ121" s="28" t="n">
        <v>0</v>
      </c>
      <c r="CR121" s="28" t="n">
        <v>0</v>
      </c>
      <c r="CS121" s="28" t="n">
        <v>0</v>
      </c>
      <c r="CT121" s="28" t="n">
        <v>0</v>
      </c>
      <c r="CU121" s="28" t="n">
        <v>0</v>
      </c>
      <c r="CV121" s="28" t="n">
        <v>0</v>
      </c>
      <c r="CW121" s="28" t="n">
        <v>0</v>
      </c>
      <c r="CX121" s="28" t="n">
        <v>0</v>
      </c>
      <c r="CY121" s="28" t="n">
        <v>0</v>
      </c>
      <c r="CZ121" s="28" t="n">
        <v>0</v>
      </c>
      <c r="DA121" s="28" t="n">
        <v>0</v>
      </c>
    </row>
    <row r="122">
      <c r="A122" t="inlineStr">
        <is>
          <t>TSP-1499</t>
        </is>
      </c>
      <c r="B122" s="28" t="n">
        <v>0</v>
      </c>
      <c r="C122" s="28" t="n">
        <v>0</v>
      </c>
      <c r="D122" s="28" t="n">
        <v>0</v>
      </c>
      <c r="E122" s="28" t="n">
        <v>0</v>
      </c>
      <c r="F122" s="28" t="n">
        <v>0</v>
      </c>
      <c r="G122" s="28" t="n">
        <v>0</v>
      </c>
      <c r="H122" s="28" t="n">
        <v>0</v>
      </c>
      <c r="I122" s="28" t="n">
        <v>0</v>
      </c>
      <c r="J122" s="28" t="n">
        <v>0</v>
      </c>
      <c r="K122" s="28" t="n">
        <v>0</v>
      </c>
      <c r="L122" s="28" t="n">
        <v>0</v>
      </c>
      <c r="M122" s="28" t="n">
        <v>0</v>
      </c>
      <c r="N122" s="28" t="n">
        <v>0</v>
      </c>
      <c r="O122" s="28" t="n">
        <v>0</v>
      </c>
      <c r="P122" s="28" t="n">
        <v>0</v>
      </c>
      <c r="Q122" s="28" t="n">
        <v>0</v>
      </c>
      <c r="R122" s="28" t="n">
        <v>0</v>
      </c>
      <c r="S122" s="28" t="n">
        <v>0</v>
      </c>
      <c r="T122" s="28" t="n">
        <v>0</v>
      </c>
      <c r="U122" s="28" t="n">
        <v>0</v>
      </c>
      <c r="V122" s="28" t="n">
        <v>0</v>
      </c>
      <c r="W122" s="28" t="n">
        <v>0</v>
      </c>
      <c r="X122" s="28" t="n">
        <v>0</v>
      </c>
      <c r="Y122" s="28" t="n">
        <v>0</v>
      </c>
      <c r="Z122" s="28" t="n">
        <v>0</v>
      </c>
      <c r="AA122" s="28" t="n">
        <v>0</v>
      </c>
      <c r="AB122" s="28" t="n">
        <v>5.999999999999999</v>
      </c>
      <c r="AC122" s="28" t="n">
        <v>0</v>
      </c>
      <c r="AD122" s="28" t="n">
        <v>0</v>
      </c>
      <c r="AE122" s="28" t="n">
        <v>0</v>
      </c>
      <c r="AF122" s="28" t="n">
        <v>0</v>
      </c>
      <c r="AG122" s="28" t="n">
        <v>3</v>
      </c>
      <c r="AH122" s="28" t="n">
        <v>0</v>
      </c>
      <c r="AI122" s="28" t="n">
        <v>0</v>
      </c>
      <c r="AJ122" s="28" t="n">
        <v>0</v>
      </c>
      <c r="AK122" s="28" t="n">
        <v>3</v>
      </c>
      <c r="AL122" s="28" t="n">
        <v>0</v>
      </c>
      <c r="AM122" s="28" t="n">
        <v>0</v>
      </c>
      <c r="AN122" s="28" t="n">
        <v>0</v>
      </c>
      <c r="AO122" s="28" t="n">
        <v>0</v>
      </c>
      <c r="AP122" s="28" t="n">
        <v>3</v>
      </c>
      <c r="AQ122" s="28" t="n">
        <v>0</v>
      </c>
      <c r="AR122" s="28" t="n">
        <v>0</v>
      </c>
      <c r="AS122" s="28" t="n">
        <v>0</v>
      </c>
      <c r="AT122" s="28" t="n">
        <v>3</v>
      </c>
      <c r="AU122" s="28" t="n">
        <v>0</v>
      </c>
      <c r="AV122" s="28" t="n">
        <v>0</v>
      </c>
      <c r="AW122" s="28" t="n">
        <v>0</v>
      </c>
      <c r="AX122" s="28" t="n">
        <v>3</v>
      </c>
      <c r="AY122" s="28" t="n">
        <v>0</v>
      </c>
      <c r="AZ122" s="28" t="n">
        <v>0</v>
      </c>
      <c r="BA122" s="28" t="n">
        <v>0</v>
      </c>
      <c r="BB122" s="28" t="n">
        <v>0</v>
      </c>
      <c r="BC122" s="28" t="n">
        <v>0</v>
      </c>
      <c r="BD122" s="28" t="n">
        <v>0</v>
      </c>
      <c r="BE122" s="28" t="n">
        <v>0</v>
      </c>
      <c r="BF122" s="28" t="n">
        <v>3</v>
      </c>
      <c r="BG122" s="28" t="n">
        <v>0</v>
      </c>
      <c r="BH122" s="28" t="n">
        <v>0</v>
      </c>
      <c r="BI122" s="28" t="n">
        <v>0</v>
      </c>
      <c r="BJ122" s="28" t="n">
        <v>3</v>
      </c>
      <c r="BK122" s="28" t="n">
        <v>0</v>
      </c>
      <c r="BL122" s="28" t="n">
        <v>0</v>
      </c>
      <c r="BM122" s="28" t="n">
        <v>0</v>
      </c>
      <c r="BN122" s="28" t="n">
        <v>3</v>
      </c>
      <c r="BO122" s="28" t="n">
        <v>0</v>
      </c>
      <c r="BP122" s="28" t="n">
        <v>0</v>
      </c>
      <c r="BQ122" s="28" t="n">
        <v>0</v>
      </c>
      <c r="BR122" s="28" t="n">
        <v>3</v>
      </c>
      <c r="BS122" s="28" t="n">
        <v>3</v>
      </c>
      <c r="BT122" s="28" t="n">
        <v>3</v>
      </c>
      <c r="BU122" s="28" t="n">
        <v>3</v>
      </c>
      <c r="BV122" s="28" t="n">
        <v>0</v>
      </c>
      <c r="BW122" s="28" t="n">
        <v>3</v>
      </c>
      <c r="BX122" s="28" t="n">
        <v>0</v>
      </c>
      <c r="BY122" s="28" t="n">
        <v>0</v>
      </c>
      <c r="BZ122" s="28" t="n">
        <v>0</v>
      </c>
      <c r="CA122" s="28" t="n">
        <v>0</v>
      </c>
      <c r="CB122" s="28" t="n">
        <v>0</v>
      </c>
      <c r="CC122" s="28" t="n">
        <v>0</v>
      </c>
      <c r="CD122" s="28" t="n">
        <v>0</v>
      </c>
      <c r="CE122" s="28" t="n">
        <v>0</v>
      </c>
      <c r="CF122" s="28" t="n">
        <v>0</v>
      </c>
      <c r="CG122" s="28" t="n">
        <v>0</v>
      </c>
      <c r="CH122" s="28" t="n">
        <v>0</v>
      </c>
      <c r="CI122" s="28" t="n">
        <v>0</v>
      </c>
      <c r="CJ122" s="28" t="n">
        <v>0</v>
      </c>
      <c r="CK122" s="28" t="n">
        <v>0</v>
      </c>
      <c r="CL122" s="28" t="n">
        <v>0</v>
      </c>
      <c r="CM122" s="28" t="n">
        <v>0</v>
      </c>
      <c r="CN122" s="28" t="n">
        <v>0</v>
      </c>
      <c r="CO122" s="28" t="n">
        <v>0</v>
      </c>
      <c r="CP122" s="28" t="n">
        <v>0</v>
      </c>
      <c r="CQ122" s="28" t="n">
        <v>0</v>
      </c>
      <c r="CR122" s="28" t="n">
        <v>0</v>
      </c>
      <c r="CS122" s="28" t="n">
        <v>0</v>
      </c>
      <c r="CT122" s="28" t="n">
        <v>0</v>
      </c>
      <c r="CU122" s="28" t="n">
        <v>0</v>
      </c>
      <c r="CV122" s="28" t="n">
        <v>0</v>
      </c>
      <c r="CW122" s="28" t="n">
        <v>0</v>
      </c>
      <c r="CX122" s="28" t="n">
        <v>0</v>
      </c>
      <c r="CY122" s="28" t="n">
        <v>0</v>
      </c>
      <c r="CZ122" s="28" t="n">
        <v>0</v>
      </c>
      <c r="DA122" s="28" t="n">
        <v>0</v>
      </c>
    </row>
    <row r="123">
      <c r="A123" t="inlineStr">
        <is>
          <t>TSP-1558</t>
        </is>
      </c>
      <c r="B123" s="28" t="n">
        <v>0</v>
      </c>
      <c r="C123" s="28" t="n">
        <v>0</v>
      </c>
      <c r="D123" s="28" t="n">
        <v>0</v>
      </c>
      <c r="E123" s="28" t="n">
        <v>0</v>
      </c>
      <c r="F123" s="28" t="n">
        <v>0</v>
      </c>
      <c r="G123" s="28" t="n">
        <v>0</v>
      </c>
      <c r="H123" s="28" t="n">
        <v>0</v>
      </c>
      <c r="I123" s="28" t="n">
        <v>0</v>
      </c>
      <c r="J123" s="28" t="n">
        <v>0</v>
      </c>
      <c r="K123" s="28" t="n">
        <v>0</v>
      </c>
      <c r="L123" s="28" t="n">
        <v>0</v>
      </c>
      <c r="M123" s="28" t="n">
        <v>0</v>
      </c>
      <c r="N123" s="28" t="n">
        <v>0</v>
      </c>
      <c r="O123" s="28" t="n">
        <v>0</v>
      </c>
      <c r="P123" s="28" t="n">
        <v>0</v>
      </c>
      <c r="Q123" s="28" t="n">
        <v>0</v>
      </c>
      <c r="R123" s="28" t="n">
        <v>0</v>
      </c>
      <c r="S123" s="28" t="n">
        <v>0</v>
      </c>
      <c r="T123" s="28" t="n">
        <v>0</v>
      </c>
      <c r="U123" s="28" t="n">
        <v>0</v>
      </c>
      <c r="V123" s="28" t="n">
        <v>0</v>
      </c>
      <c r="W123" s="28" t="n">
        <v>0</v>
      </c>
      <c r="X123" s="28" t="n">
        <v>0</v>
      </c>
      <c r="Y123" s="28" t="n">
        <v>0</v>
      </c>
      <c r="Z123" s="28" t="n">
        <v>0</v>
      </c>
      <c r="AA123" s="28" t="n">
        <v>0</v>
      </c>
      <c r="AB123" s="28" t="n">
        <v>4</v>
      </c>
      <c r="AC123" s="28" t="n">
        <v>0</v>
      </c>
      <c r="AD123" s="28" t="n">
        <v>0</v>
      </c>
      <c r="AE123" s="28" t="n">
        <v>0</v>
      </c>
      <c r="AF123" s="28" t="n">
        <v>0</v>
      </c>
      <c r="AG123" s="28" t="n">
        <v>2</v>
      </c>
      <c r="AH123" s="28" t="n">
        <v>0</v>
      </c>
      <c r="AI123" s="28" t="n">
        <v>0</v>
      </c>
      <c r="AJ123" s="28" t="n">
        <v>0</v>
      </c>
      <c r="AK123" s="28" t="n">
        <v>2</v>
      </c>
      <c r="AL123" s="28" t="n">
        <v>0</v>
      </c>
      <c r="AM123" s="28" t="n">
        <v>0</v>
      </c>
      <c r="AN123" s="28" t="n">
        <v>0</v>
      </c>
      <c r="AO123" s="28" t="n">
        <v>0</v>
      </c>
      <c r="AP123" s="28" t="n">
        <v>2</v>
      </c>
      <c r="AQ123" s="28" t="n">
        <v>0</v>
      </c>
      <c r="AR123" s="28" t="n">
        <v>0</v>
      </c>
      <c r="AS123" s="28" t="n">
        <v>0</v>
      </c>
      <c r="AT123" s="28" t="n">
        <v>2</v>
      </c>
      <c r="AU123" s="28" t="n">
        <v>0</v>
      </c>
      <c r="AV123" s="28" t="n">
        <v>0</v>
      </c>
      <c r="AW123" s="28" t="n">
        <v>0</v>
      </c>
      <c r="AX123" s="28" t="n">
        <v>2</v>
      </c>
      <c r="AY123" s="28" t="n">
        <v>0</v>
      </c>
      <c r="AZ123" s="28" t="n">
        <v>0</v>
      </c>
      <c r="BA123" s="28" t="n">
        <v>0</v>
      </c>
      <c r="BB123" s="28" t="n">
        <v>0</v>
      </c>
      <c r="BC123" s="28" t="n">
        <v>0</v>
      </c>
      <c r="BD123" s="28" t="n">
        <v>0</v>
      </c>
      <c r="BE123" s="28" t="n">
        <v>0</v>
      </c>
      <c r="BF123" s="28" t="n">
        <v>2</v>
      </c>
      <c r="BG123" s="28" t="n">
        <v>0</v>
      </c>
      <c r="BH123" s="28" t="n">
        <v>0</v>
      </c>
      <c r="BI123" s="28" t="n">
        <v>0</v>
      </c>
      <c r="BJ123" s="28" t="n">
        <v>2</v>
      </c>
      <c r="BK123" s="28" t="n">
        <v>0</v>
      </c>
      <c r="BL123" s="28" t="n">
        <v>0</v>
      </c>
      <c r="BM123" s="28" t="n">
        <v>0</v>
      </c>
      <c r="BN123" s="28" t="n">
        <v>2</v>
      </c>
      <c r="BO123" s="28" t="n">
        <v>0</v>
      </c>
      <c r="BP123" s="28" t="n">
        <v>0</v>
      </c>
      <c r="BQ123" s="28" t="n">
        <v>0</v>
      </c>
      <c r="BR123" s="28" t="n">
        <v>2</v>
      </c>
      <c r="BS123" s="28" t="n">
        <v>2</v>
      </c>
      <c r="BT123" s="28" t="n">
        <v>2</v>
      </c>
      <c r="BU123" s="28" t="n">
        <v>2</v>
      </c>
      <c r="BV123" s="28" t="n">
        <v>0</v>
      </c>
      <c r="BW123" s="28" t="n">
        <v>2</v>
      </c>
      <c r="BX123" s="28" t="n">
        <v>0</v>
      </c>
      <c r="BY123" s="28" t="n">
        <v>0</v>
      </c>
      <c r="BZ123" s="28" t="n">
        <v>0</v>
      </c>
      <c r="CA123" s="28" t="n">
        <v>0</v>
      </c>
      <c r="CB123" s="28" t="n">
        <v>0</v>
      </c>
      <c r="CC123" s="28" t="n">
        <v>0</v>
      </c>
      <c r="CD123" s="28" t="n">
        <v>0</v>
      </c>
      <c r="CE123" s="28" t="n">
        <v>0</v>
      </c>
      <c r="CF123" s="28" t="n">
        <v>0</v>
      </c>
      <c r="CG123" s="28" t="n">
        <v>0</v>
      </c>
      <c r="CH123" s="28" t="n">
        <v>0</v>
      </c>
      <c r="CI123" s="28" t="n">
        <v>0</v>
      </c>
      <c r="CJ123" s="28" t="n">
        <v>0</v>
      </c>
      <c r="CK123" s="28" t="n">
        <v>0</v>
      </c>
      <c r="CL123" s="28" t="n">
        <v>0</v>
      </c>
      <c r="CM123" s="28" t="n">
        <v>0</v>
      </c>
      <c r="CN123" s="28" t="n">
        <v>0</v>
      </c>
      <c r="CO123" s="28" t="n">
        <v>0</v>
      </c>
      <c r="CP123" s="28" t="n">
        <v>0</v>
      </c>
      <c r="CQ123" s="28" t="n">
        <v>0</v>
      </c>
      <c r="CR123" s="28" t="n">
        <v>0</v>
      </c>
      <c r="CS123" s="28" t="n">
        <v>0</v>
      </c>
      <c r="CT123" s="28" t="n">
        <v>0</v>
      </c>
      <c r="CU123" s="28" t="n">
        <v>0</v>
      </c>
      <c r="CV123" s="28" t="n">
        <v>0</v>
      </c>
      <c r="CW123" s="28" t="n">
        <v>0</v>
      </c>
      <c r="CX123" s="28" t="n">
        <v>0</v>
      </c>
      <c r="CY123" s="28" t="n">
        <v>0</v>
      </c>
      <c r="CZ123" s="28" t="n">
        <v>0</v>
      </c>
      <c r="DA123" s="28" t="n">
        <v>0</v>
      </c>
    </row>
    <row r="124">
      <c r="A124" t="inlineStr">
        <is>
          <t>TSP-1559</t>
        </is>
      </c>
      <c r="B124" s="28" t="n">
        <v>0</v>
      </c>
      <c r="C124" s="28" t="n">
        <v>0</v>
      </c>
      <c r="D124" s="28" t="n">
        <v>0</v>
      </c>
      <c r="E124" s="28" t="n">
        <v>0</v>
      </c>
      <c r="F124" s="28" t="n">
        <v>0</v>
      </c>
      <c r="G124" s="28" t="n">
        <v>0</v>
      </c>
      <c r="H124" s="28" t="n">
        <v>0</v>
      </c>
      <c r="I124" s="28" t="n">
        <v>0</v>
      </c>
      <c r="J124" s="28" t="n">
        <v>0</v>
      </c>
      <c r="K124" s="28" t="n">
        <v>0</v>
      </c>
      <c r="L124" s="28" t="n">
        <v>0</v>
      </c>
      <c r="M124" s="28" t="n">
        <v>0</v>
      </c>
      <c r="N124" s="28" t="n">
        <v>0</v>
      </c>
      <c r="O124" s="28" t="n">
        <v>0</v>
      </c>
      <c r="P124" s="28" t="n">
        <v>0</v>
      </c>
      <c r="Q124" s="28" t="n">
        <v>0</v>
      </c>
      <c r="R124" s="28" t="n">
        <v>0</v>
      </c>
      <c r="S124" s="28" t="n">
        <v>0</v>
      </c>
      <c r="T124" s="28" t="n">
        <v>0</v>
      </c>
      <c r="U124" s="28" t="n">
        <v>0</v>
      </c>
      <c r="V124" s="28" t="n">
        <v>0</v>
      </c>
      <c r="W124" s="28" t="n">
        <v>0</v>
      </c>
      <c r="X124" s="28" t="n">
        <v>0</v>
      </c>
      <c r="Y124" s="28" t="n">
        <v>0</v>
      </c>
      <c r="Z124" s="28" t="n">
        <v>0</v>
      </c>
      <c r="AA124" s="28" t="n">
        <v>0</v>
      </c>
      <c r="AB124" s="28" t="n">
        <v>0</v>
      </c>
      <c r="AC124" s="28" t="n">
        <v>0</v>
      </c>
      <c r="AD124" s="28" t="n">
        <v>0</v>
      </c>
      <c r="AE124" s="28" t="n">
        <v>0</v>
      </c>
      <c r="AF124" s="28" t="n">
        <v>0</v>
      </c>
      <c r="AG124" s="28" t="n">
        <v>0</v>
      </c>
      <c r="AH124" s="28" t="n">
        <v>0</v>
      </c>
      <c r="AI124" s="28" t="n">
        <v>0</v>
      </c>
      <c r="AJ124" s="28" t="n">
        <v>0</v>
      </c>
      <c r="AK124" s="28" t="n">
        <v>0</v>
      </c>
      <c r="AL124" s="28" t="n">
        <v>0</v>
      </c>
      <c r="AM124" s="28" t="n">
        <v>0</v>
      </c>
      <c r="AN124" s="28" t="n">
        <v>0</v>
      </c>
      <c r="AO124" s="28" t="n">
        <v>0</v>
      </c>
      <c r="AP124" s="28" t="n">
        <v>0</v>
      </c>
      <c r="AQ124" s="28" t="n">
        <v>0</v>
      </c>
      <c r="AR124" s="28" t="n">
        <v>0</v>
      </c>
      <c r="AS124" s="28" t="n">
        <v>0</v>
      </c>
      <c r="AT124" s="28" t="n">
        <v>0</v>
      </c>
      <c r="AU124" s="28" t="n">
        <v>0</v>
      </c>
      <c r="AV124" s="28" t="n">
        <v>0</v>
      </c>
      <c r="AW124" s="28" t="n">
        <v>0</v>
      </c>
      <c r="AX124" s="28" t="n">
        <v>0</v>
      </c>
      <c r="AY124" s="28" t="n">
        <v>0</v>
      </c>
      <c r="AZ124" s="28" t="n">
        <v>0</v>
      </c>
      <c r="BA124" s="28" t="n">
        <v>0</v>
      </c>
      <c r="BB124" s="28" t="n">
        <v>0</v>
      </c>
      <c r="BC124" s="28" t="n">
        <v>0</v>
      </c>
      <c r="BD124" s="28" t="n">
        <v>0</v>
      </c>
      <c r="BE124" s="28" t="n">
        <v>0</v>
      </c>
      <c r="BF124" s="28" t="n">
        <v>0</v>
      </c>
      <c r="BG124" s="28" t="n">
        <v>0</v>
      </c>
      <c r="BH124" s="28" t="n">
        <v>0</v>
      </c>
      <c r="BI124" s="28" t="n">
        <v>0</v>
      </c>
      <c r="BJ124" s="28" t="n">
        <v>0</v>
      </c>
      <c r="BK124" s="28" t="n">
        <v>0</v>
      </c>
      <c r="BL124" s="28" t="n">
        <v>0</v>
      </c>
      <c r="BM124" s="28" t="n">
        <v>0</v>
      </c>
      <c r="BN124" s="28" t="n">
        <v>0</v>
      </c>
      <c r="BO124" s="28" t="n">
        <v>0</v>
      </c>
      <c r="BP124" s="28" t="n">
        <v>0</v>
      </c>
      <c r="BQ124" s="28" t="n">
        <v>0</v>
      </c>
      <c r="BR124" s="28" t="n">
        <v>0</v>
      </c>
      <c r="BS124" s="28" t="n">
        <v>0</v>
      </c>
      <c r="BT124" s="28" t="n">
        <v>0</v>
      </c>
      <c r="BU124" s="28" t="n">
        <v>0</v>
      </c>
      <c r="BV124" s="28" t="n">
        <v>0</v>
      </c>
      <c r="BW124" s="28" t="n">
        <v>0</v>
      </c>
      <c r="BX124" s="28" t="n">
        <v>0</v>
      </c>
      <c r="BY124" s="28" t="n">
        <v>0</v>
      </c>
      <c r="BZ124" s="28" t="n">
        <v>0</v>
      </c>
      <c r="CA124" s="28" t="n">
        <v>0</v>
      </c>
      <c r="CB124" s="28" t="n">
        <v>0</v>
      </c>
      <c r="CC124" s="28" t="n">
        <v>0</v>
      </c>
      <c r="CD124" s="28" t="n">
        <v>0</v>
      </c>
      <c r="CE124" s="28" t="n">
        <v>0</v>
      </c>
      <c r="CF124" s="28" t="n">
        <v>0</v>
      </c>
      <c r="CG124" s="28" t="n">
        <v>0</v>
      </c>
      <c r="CH124" s="28" t="n">
        <v>0</v>
      </c>
      <c r="CI124" s="28" t="n">
        <v>0</v>
      </c>
      <c r="CJ124" s="28" t="n">
        <v>0</v>
      </c>
      <c r="CK124" s="28" t="n">
        <v>0</v>
      </c>
      <c r="CL124" s="28" t="n">
        <v>0</v>
      </c>
      <c r="CM124" s="28" t="n">
        <v>0</v>
      </c>
      <c r="CN124" s="28" t="n">
        <v>0</v>
      </c>
      <c r="CO124" s="28" t="n">
        <v>0</v>
      </c>
      <c r="CP124" s="28" t="n">
        <v>0</v>
      </c>
      <c r="CQ124" s="28" t="n">
        <v>0</v>
      </c>
      <c r="CR124" s="28" t="n">
        <v>0</v>
      </c>
      <c r="CS124" s="28" t="n">
        <v>0</v>
      </c>
      <c r="CT124" s="28" t="n">
        <v>0</v>
      </c>
      <c r="CU124" s="28" t="n">
        <v>0</v>
      </c>
      <c r="CV124" s="28" t="n">
        <v>0</v>
      </c>
      <c r="CW124" s="28" t="n">
        <v>0</v>
      </c>
      <c r="CX124" s="28" t="n">
        <v>0</v>
      </c>
      <c r="CY124" s="28" t="n">
        <v>0</v>
      </c>
      <c r="CZ124" s="28" t="n">
        <v>0</v>
      </c>
      <c r="DA124" s="28" t="n">
        <v>0</v>
      </c>
    </row>
    <row r="125">
      <c r="A125" t="inlineStr">
        <is>
          <t>TSP-2157</t>
        </is>
      </c>
      <c r="B125" s="28" t="n">
        <v>0</v>
      </c>
      <c r="C125" s="28" t="n">
        <v>0</v>
      </c>
      <c r="D125" s="28" t="n">
        <v>0</v>
      </c>
      <c r="E125" s="28" t="n">
        <v>0</v>
      </c>
      <c r="F125" s="28" t="n">
        <v>0</v>
      </c>
      <c r="G125" s="28" t="n">
        <v>0</v>
      </c>
      <c r="H125" s="28" t="n">
        <v>0</v>
      </c>
      <c r="I125" s="28" t="n">
        <v>0</v>
      </c>
      <c r="J125" s="28" t="n">
        <v>0</v>
      </c>
      <c r="K125" s="28" t="n">
        <v>0</v>
      </c>
      <c r="L125" s="28" t="n">
        <v>0</v>
      </c>
      <c r="M125" s="28" t="n">
        <v>0</v>
      </c>
      <c r="N125" s="28" t="n">
        <v>0</v>
      </c>
      <c r="O125" s="28" t="n">
        <v>0</v>
      </c>
      <c r="P125" s="28" t="n">
        <v>0</v>
      </c>
      <c r="Q125" s="28" t="n">
        <v>0</v>
      </c>
      <c r="R125" s="28" t="n">
        <v>0</v>
      </c>
      <c r="S125" s="28" t="n">
        <v>0</v>
      </c>
      <c r="T125" s="28" t="n">
        <v>0</v>
      </c>
      <c r="U125" s="28" t="n">
        <v>0</v>
      </c>
      <c r="V125" s="28" t="n">
        <v>0</v>
      </c>
      <c r="W125" s="28" t="n">
        <v>0</v>
      </c>
      <c r="X125" s="28" t="n">
        <v>0</v>
      </c>
      <c r="Y125" s="28" t="n">
        <v>0</v>
      </c>
      <c r="Z125" s="28" t="n">
        <v>0</v>
      </c>
      <c r="AA125" s="28" t="n">
        <v>0</v>
      </c>
      <c r="AB125" s="28" t="n">
        <v>0</v>
      </c>
      <c r="AC125" s="28" t="n">
        <v>0</v>
      </c>
      <c r="AD125" s="28" t="n">
        <v>0</v>
      </c>
      <c r="AE125" s="28" t="n">
        <v>0</v>
      </c>
      <c r="AF125" s="28" t="n">
        <v>0</v>
      </c>
      <c r="AG125" s="28" t="n">
        <v>0</v>
      </c>
      <c r="AH125" s="28" t="n">
        <v>0</v>
      </c>
      <c r="AI125" s="28" t="n">
        <v>0</v>
      </c>
      <c r="AJ125" s="28" t="n">
        <v>0</v>
      </c>
      <c r="AK125" s="28" t="n">
        <v>0</v>
      </c>
      <c r="AL125" s="28" t="n">
        <v>0</v>
      </c>
      <c r="AM125" s="28" t="n">
        <v>0</v>
      </c>
      <c r="AN125" s="28" t="n">
        <v>0</v>
      </c>
      <c r="AO125" s="28" t="n">
        <v>0</v>
      </c>
      <c r="AP125" s="28" t="n">
        <v>0</v>
      </c>
      <c r="AQ125" s="28" t="n">
        <v>0</v>
      </c>
      <c r="AR125" s="28" t="n">
        <v>0</v>
      </c>
      <c r="AS125" s="28" t="n">
        <v>0</v>
      </c>
      <c r="AT125" s="28" t="n">
        <v>0</v>
      </c>
      <c r="AU125" s="28" t="n">
        <v>0</v>
      </c>
      <c r="AV125" s="28" t="n">
        <v>0</v>
      </c>
      <c r="AW125" s="28" t="n">
        <v>0</v>
      </c>
      <c r="AX125" s="28" t="n">
        <v>0</v>
      </c>
      <c r="AY125" s="28" t="n">
        <v>0</v>
      </c>
      <c r="AZ125" s="28" t="n">
        <v>0</v>
      </c>
      <c r="BA125" s="28" t="n">
        <v>0</v>
      </c>
      <c r="BB125" s="28" t="n">
        <v>0</v>
      </c>
      <c r="BC125" s="28" t="n">
        <v>0</v>
      </c>
      <c r="BD125" s="28" t="n">
        <v>0</v>
      </c>
      <c r="BE125" s="28" t="n">
        <v>0</v>
      </c>
      <c r="BF125" s="28" t="n">
        <v>0</v>
      </c>
      <c r="BG125" s="28" t="n">
        <v>0</v>
      </c>
      <c r="BH125" s="28" t="n">
        <v>0</v>
      </c>
      <c r="BI125" s="28" t="n">
        <v>0</v>
      </c>
      <c r="BJ125" s="28" t="n">
        <v>0</v>
      </c>
      <c r="BK125" s="28" t="n">
        <v>0</v>
      </c>
      <c r="BL125" s="28" t="n">
        <v>0</v>
      </c>
      <c r="BM125" s="28" t="n">
        <v>0</v>
      </c>
      <c r="BN125" s="28" t="n">
        <v>0</v>
      </c>
      <c r="BO125" s="28" t="n">
        <v>0</v>
      </c>
      <c r="BP125" s="28" t="n">
        <v>0</v>
      </c>
      <c r="BQ125" s="28" t="n">
        <v>0</v>
      </c>
      <c r="BR125" s="28" t="n">
        <v>0</v>
      </c>
      <c r="BS125" s="28" t="n">
        <v>0</v>
      </c>
      <c r="BT125" s="28" t="n">
        <v>0</v>
      </c>
      <c r="BU125" s="28" t="n">
        <v>0</v>
      </c>
      <c r="BV125" s="28" t="n">
        <v>0</v>
      </c>
      <c r="BW125" s="28" t="n">
        <v>0</v>
      </c>
      <c r="BX125" s="28" t="n">
        <v>0</v>
      </c>
      <c r="BY125" s="28" t="n">
        <v>0</v>
      </c>
      <c r="BZ125" s="28" t="n">
        <v>0</v>
      </c>
      <c r="CA125" s="28" t="n">
        <v>0</v>
      </c>
      <c r="CB125" s="28" t="n">
        <v>0</v>
      </c>
      <c r="CC125" s="28" t="n">
        <v>0</v>
      </c>
      <c r="CD125" s="28" t="n">
        <v>0</v>
      </c>
      <c r="CE125" s="28" t="n">
        <v>0</v>
      </c>
      <c r="CF125" s="28" t="n">
        <v>0</v>
      </c>
      <c r="CG125" s="28" t="n">
        <v>0</v>
      </c>
      <c r="CH125" s="28" t="n">
        <v>0</v>
      </c>
      <c r="CI125" s="28" t="n">
        <v>0</v>
      </c>
      <c r="CJ125" s="28" t="n">
        <v>0</v>
      </c>
      <c r="CK125" s="28" t="n">
        <v>0</v>
      </c>
      <c r="CL125" s="28" t="n">
        <v>0</v>
      </c>
      <c r="CM125" s="28" t="n">
        <v>0</v>
      </c>
      <c r="CN125" s="28" t="n">
        <v>0</v>
      </c>
      <c r="CO125" s="28" t="n">
        <v>0</v>
      </c>
      <c r="CP125" s="28" t="n">
        <v>0</v>
      </c>
      <c r="CQ125" s="28" t="n">
        <v>0</v>
      </c>
      <c r="CR125" s="28" t="n">
        <v>0</v>
      </c>
      <c r="CS125" s="28" t="n">
        <v>0</v>
      </c>
      <c r="CT125" s="28" t="n">
        <v>0</v>
      </c>
      <c r="CU125" s="28" t="n">
        <v>0</v>
      </c>
      <c r="CV125" s="28" t="n">
        <v>0</v>
      </c>
      <c r="CW125" s="28" t="n">
        <v>0</v>
      </c>
      <c r="CX125" s="28" t="n">
        <v>0</v>
      </c>
      <c r="CY125" s="28" t="n">
        <v>0</v>
      </c>
      <c r="CZ125" s="28" t="n">
        <v>0</v>
      </c>
      <c r="DA125" s="28" t="n">
        <v>0</v>
      </c>
    </row>
    <row r="126">
      <c r="A126" t="inlineStr">
        <is>
          <t>TSP-2168</t>
        </is>
      </c>
      <c r="B126" s="28" t="n">
        <v>0</v>
      </c>
      <c r="C126" s="28" t="n">
        <v>0</v>
      </c>
      <c r="D126" s="28" t="n">
        <v>0</v>
      </c>
      <c r="E126" s="28" t="n">
        <v>0</v>
      </c>
      <c r="F126" s="28" t="n">
        <v>0</v>
      </c>
      <c r="G126" s="28" t="n">
        <v>0</v>
      </c>
      <c r="H126" s="28" t="n">
        <v>0</v>
      </c>
      <c r="I126" s="28" t="n">
        <v>0</v>
      </c>
      <c r="J126" s="28" t="n">
        <v>0</v>
      </c>
      <c r="K126" s="28" t="n">
        <v>0</v>
      </c>
      <c r="L126" s="28" t="n">
        <v>0</v>
      </c>
      <c r="M126" s="28" t="n">
        <v>0</v>
      </c>
      <c r="N126" s="28" t="n">
        <v>0</v>
      </c>
      <c r="O126" s="28" t="n">
        <v>0</v>
      </c>
      <c r="P126" s="28" t="n">
        <v>0</v>
      </c>
      <c r="Q126" s="28" t="n">
        <v>0</v>
      </c>
      <c r="R126" s="28" t="n">
        <v>0</v>
      </c>
      <c r="S126" s="28" t="n">
        <v>0</v>
      </c>
      <c r="T126" s="28" t="n">
        <v>0</v>
      </c>
      <c r="U126" s="28" t="n">
        <v>0</v>
      </c>
      <c r="V126" s="28" t="n">
        <v>0</v>
      </c>
      <c r="W126" s="28" t="n">
        <v>0</v>
      </c>
      <c r="X126" s="28" t="n">
        <v>0</v>
      </c>
      <c r="Y126" s="28" t="n">
        <v>0</v>
      </c>
      <c r="Z126" s="28" t="n">
        <v>0</v>
      </c>
      <c r="AA126" s="28" t="n">
        <v>0</v>
      </c>
      <c r="AB126" s="28" t="n">
        <v>0</v>
      </c>
      <c r="AC126" s="28" t="n">
        <v>0</v>
      </c>
      <c r="AD126" s="28" t="n">
        <v>0</v>
      </c>
      <c r="AE126" s="28" t="n">
        <v>0</v>
      </c>
      <c r="AF126" s="28" t="n">
        <v>0</v>
      </c>
      <c r="AG126" s="28" t="n">
        <v>0</v>
      </c>
      <c r="AH126" s="28" t="n">
        <v>0</v>
      </c>
      <c r="AI126" s="28" t="n">
        <v>0</v>
      </c>
      <c r="AJ126" s="28" t="n">
        <v>0</v>
      </c>
      <c r="AK126" s="28" t="n">
        <v>0</v>
      </c>
      <c r="AL126" s="28" t="n">
        <v>0</v>
      </c>
      <c r="AM126" s="28" t="n">
        <v>0</v>
      </c>
      <c r="AN126" s="28" t="n">
        <v>0</v>
      </c>
      <c r="AO126" s="28" t="n">
        <v>0</v>
      </c>
      <c r="AP126" s="28" t="n">
        <v>0</v>
      </c>
      <c r="AQ126" s="28" t="n">
        <v>0</v>
      </c>
      <c r="AR126" s="28" t="n">
        <v>0</v>
      </c>
      <c r="AS126" s="28" t="n">
        <v>0</v>
      </c>
      <c r="AT126" s="28" t="n">
        <v>0</v>
      </c>
      <c r="AU126" s="28" t="n">
        <v>0</v>
      </c>
      <c r="AV126" s="28" t="n">
        <v>0</v>
      </c>
      <c r="AW126" s="28" t="n">
        <v>0</v>
      </c>
      <c r="AX126" s="28" t="n">
        <v>0</v>
      </c>
      <c r="AY126" s="28" t="n">
        <v>0</v>
      </c>
      <c r="AZ126" s="28" t="n">
        <v>0</v>
      </c>
      <c r="BA126" s="28" t="n">
        <v>0</v>
      </c>
      <c r="BB126" s="28" t="n">
        <v>0</v>
      </c>
      <c r="BC126" s="28" t="n">
        <v>0</v>
      </c>
      <c r="BD126" s="28" t="n">
        <v>0</v>
      </c>
      <c r="BE126" s="28" t="n">
        <v>0</v>
      </c>
      <c r="BF126" s="28" t="n">
        <v>0</v>
      </c>
      <c r="BG126" s="28" t="n">
        <v>0</v>
      </c>
      <c r="BH126" s="28" t="n">
        <v>0</v>
      </c>
      <c r="BI126" s="28" t="n">
        <v>0</v>
      </c>
      <c r="BJ126" s="28" t="n">
        <v>0</v>
      </c>
      <c r="BK126" s="28" t="n">
        <v>0</v>
      </c>
      <c r="BL126" s="28" t="n">
        <v>0</v>
      </c>
      <c r="BM126" s="28" t="n">
        <v>0</v>
      </c>
      <c r="BN126" s="28" t="n">
        <v>0</v>
      </c>
      <c r="BO126" s="28" t="n">
        <v>0</v>
      </c>
      <c r="BP126" s="28" t="n">
        <v>0</v>
      </c>
      <c r="BQ126" s="28" t="n">
        <v>0</v>
      </c>
      <c r="BR126" s="28" t="n">
        <v>0</v>
      </c>
      <c r="BS126" s="28" t="n">
        <v>0</v>
      </c>
      <c r="BT126" s="28" t="n">
        <v>0</v>
      </c>
      <c r="BU126" s="28" t="n">
        <v>0</v>
      </c>
      <c r="BV126" s="28" t="n">
        <v>0</v>
      </c>
      <c r="BW126" s="28" t="n">
        <v>0</v>
      </c>
      <c r="BX126" s="28" t="n">
        <v>0</v>
      </c>
      <c r="BY126" s="28" t="n">
        <v>0</v>
      </c>
      <c r="BZ126" s="28" t="n">
        <v>0</v>
      </c>
      <c r="CA126" s="28" t="n">
        <v>0</v>
      </c>
      <c r="CB126" s="28" t="n">
        <v>0</v>
      </c>
      <c r="CC126" s="28" t="n">
        <v>0</v>
      </c>
      <c r="CD126" s="28" t="n">
        <v>0</v>
      </c>
      <c r="CE126" s="28" t="n">
        <v>0</v>
      </c>
      <c r="CF126" s="28" t="n">
        <v>0</v>
      </c>
      <c r="CG126" s="28" t="n">
        <v>0</v>
      </c>
      <c r="CH126" s="28" t="n">
        <v>0</v>
      </c>
      <c r="CI126" s="28" t="n">
        <v>0</v>
      </c>
      <c r="CJ126" s="28" t="n">
        <v>0</v>
      </c>
      <c r="CK126" s="28" t="n">
        <v>0</v>
      </c>
      <c r="CL126" s="28" t="n">
        <v>0</v>
      </c>
      <c r="CM126" s="28" t="n">
        <v>0</v>
      </c>
      <c r="CN126" s="28" t="n">
        <v>0</v>
      </c>
      <c r="CO126" s="28" t="n">
        <v>0</v>
      </c>
      <c r="CP126" s="28" t="n">
        <v>0</v>
      </c>
      <c r="CQ126" s="28" t="n">
        <v>0</v>
      </c>
      <c r="CR126" s="28" t="n">
        <v>0</v>
      </c>
      <c r="CS126" s="28" t="n">
        <v>0</v>
      </c>
      <c r="CT126" s="28" t="n">
        <v>0</v>
      </c>
      <c r="CU126" s="28" t="n">
        <v>0</v>
      </c>
      <c r="CV126" s="28" t="n">
        <v>0</v>
      </c>
      <c r="CW126" s="28" t="n">
        <v>0</v>
      </c>
      <c r="CX126" s="28" t="n">
        <v>0</v>
      </c>
      <c r="CY126" s="28" t="n">
        <v>0</v>
      </c>
      <c r="CZ126" s="28" t="n">
        <v>0</v>
      </c>
      <c r="DA126" s="28" t="n">
        <v>0</v>
      </c>
    </row>
    <row r="127">
      <c r="A127" t="inlineStr">
        <is>
          <t>TSP-218</t>
        </is>
      </c>
      <c r="B127" s="28" t="n">
        <v>0</v>
      </c>
      <c r="C127" s="28" t="n">
        <v>0</v>
      </c>
      <c r="D127" s="28" t="n">
        <v>0</v>
      </c>
      <c r="E127" s="28" t="n">
        <v>0</v>
      </c>
      <c r="F127" s="28" t="n">
        <v>0</v>
      </c>
      <c r="G127" s="28" t="n">
        <v>0</v>
      </c>
      <c r="H127" s="28" t="n">
        <v>0</v>
      </c>
      <c r="I127" s="28" t="n">
        <v>0</v>
      </c>
      <c r="J127" s="28" t="n">
        <v>0</v>
      </c>
      <c r="K127" s="28" t="n">
        <v>0</v>
      </c>
      <c r="L127" s="28" t="n">
        <v>0</v>
      </c>
      <c r="M127" s="28" t="n">
        <v>0</v>
      </c>
      <c r="N127" s="28" t="n">
        <v>0</v>
      </c>
      <c r="O127" s="28" t="n">
        <v>0</v>
      </c>
      <c r="P127" s="28" t="n">
        <v>0</v>
      </c>
      <c r="Q127" s="28" t="n">
        <v>0</v>
      </c>
      <c r="R127" s="28" t="n">
        <v>0</v>
      </c>
      <c r="S127" s="28" t="n">
        <v>0</v>
      </c>
      <c r="T127" s="28" t="n">
        <v>0</v>
      </c>
      <c r="U127" s="28" t="n">
        <v>0</v>
      </c>
      <c r="V127" s="28" t="n">
        <v>0</v>
      </c>
      <c r="W127" s="28" t="n">
        <v>0</v>
      </c>
      <c r="X127" s="28" t="n">
        <v>0</v>
      </c>
      <c r="Y127" s="28" t="n">
        <v>0</v>
      </c>
      <c r="Z127" s="28" t="n">
        <v>0</v>
      </c>
      <c r="AA127" s="28" t="n">
        <v>0</v>
      </c>
      <c r="AB127" s="28" t="n">
        <v>0</v>
      </c>
      <c r="AC127" s="28" t="n">
        <v>0</v>
      </c>
      <c r="AD127" s="28" t="n">
        <v>0</v>
      </c>
      <c r="AE127" s="28" t="n">
        <v>0</v>
      </c>
      <c r="AF127" s="28" t="n">
        <v>0</v>
      </c>
      <c r="AG127" s="28" t="n">
        <v>0</v>
      </c>
      <c r="AH127" s="28" t="n">
        <v>0</v>
      </c>
      <c r="AI127" s="28" t="n">
        <v>0</v>
      </c>
      <c r="AJ127" s="28" t="n">
        <v>0</v>
      </c>
      <c r="AK127" s="28" t="n">
        <v>0</v>
      </c>
      <c r="AL127" s="28" t="n">
        <v>0</v>
      </c>
      <c r="AM127" s="28" t="n">
        <v>0</v>
      </c>
      <c r="AN127" s="28" t="n">
        <v>0</v>
      </c>
      <c r="AO127" s="28" t="n">
        <v>0</v>
      </c>
      <c r="AP127" s="28" t="n">
        <v>0</v>
      </c>
      <c r="AQ127" s="28" t="n">
        <v>0</v>
      </c>
      <c r="AR127" s="28" t="n">
        <v>0</v>
      </c>
      <c r="AS127" s="28" t="n">
        <v>0</v>
      </c>
      <c r="AT127" s="28" t="n">
        <v>0</v>
      </c>
      <c r="AU127" s="28" t="n">
        <v>0</v>
      </c>
      <c r="AV127" s="28" t="n">
        <v>0</v>
      </c>
      <c r="AW127" s="28" t="n">
        <v>0</v>
      </c>
      <c r="AX127" s="28" t="n">
        <v>0</v>
      </c>
      <c r="AY127" s="28" t="n">
        <v>0</v>
      </c>
      <c r="AZ127" s="28" t="n">
        <v>0</v>
      </c>
      <c r="BA127" s="28" t="n">
        <v>0</v>
      </c>
      <c r="BB127" s="28" t="n">
        <v>0</v>
      </c>
      <c r="BC127" s="28" t="n">
        <v>0</v>
      </c>
      <c r="BD127" s="28" t="n">
        <v>0</v>
      </c>
      <c r="BE127" s="28" t="n">
        <v>0</v>
      </c>
      <c r="BF127" s="28" t="n">
        <v>0</v>
      </c>
      <c r="BG127" s="28" t="n">
        <v>0</v>
      </c>
      <c r="BH127" s="28" t="n">
        <v>0</v>
      </c>
      <c r="BI127" s="28" t="n">
        <v>0</v>
      </c>
      <c r="BJ127" s="28" t="n">
        <v>0</v>
      </c>
      <c r="BK127" s="28" t="n">
        <v>0</v>
      </c>
      <c r="BL127" s="28" t="n">
        <v>0</v>
      </c>
      <c r="BM127" s="28" t="n">
        <v>0</v>
      </c>
      <c r="BN127" s="28" t="n">
        <v>0</v>
      </c>
      <c r="BO127" s="28" t="n">
        <v>0</v>
      </c>
      <c r="BP127" s="28" t="n">
        <v>0</v>
      </c>
      <c r="BQ127" s="28" t="n">
        <v>0</v>
      </c>
      <c r="BR127" s="28" t="n">
        <v>0</v>
      </c>
      <c r="BS127" s="28" t="n">
        <v>0</v>
      </c>
      <c r="BT127" s="28" t="n">
        <v>0</v>
      </c>
      <c r="BU127" s="28" t="n">
        <v>0</v>
      </c>
      <c r="BV127" s="28" t="n">
        <v>0</v>
      </c>
      <c r="BW127" s="28" t="n">
        <v>0</v>
      </c>
      <c r="BX127" s="28" t="n">
        <v>0</v>
      </c>
      <c r="BY127" s="28" t="n">
        <v>0</v>
      </c>
      <c r="BZ127" s="28" t="n">
        <v>0</v>
      </c>
      <c r="CA127" s="28" t="n">
        <v>0</v>
      </c>
      <c r="CB127" s="28" t="n">
        <v>0</v>
      </c>
      <c r="CC127" s="28" t="n">
        <v>0</v>
      </c>
      <c r="CD127" s="28" t="n">
        <v>0</v>
      </c>
      <c r="CE127" s="28" t="n">
        <v>0</v>
      </c>
      <c r="CF127" s="28" t="n">
        <v>0</v>
      </c>
      <c r="CG127" s="28" t="n">
        <v>0</v>
      </c>
      <c r="CH127" s="28" t="n">
        <v>0</v>
      </c>
      <c r="CI127" s="28" t="n">
        <v>0</v>
      </c>
      <c r="CJ127" s="28" t="n">
        <v>0</v>
      </c>
      <c r="CK127" s="28" t="n">
        <v>0</v>
      </c>
      <c r="CL127" s="28" t="n">
        <v>0</v>
      </c>
      <c r="CM127" s="28" t="n">
        <v>0</v>
      </c>
      <c r="CN127" s="28" t="n">
        <v>0</v>
      </c>
      <c r="CO127" s="28" t="n">
        <v>0</v>
      </c>
      <c r="CP127" s="28" t="n">
        <v>0</v>
      </c>
      <c r="CQ127" s="28" t="n">
        <v>0</v>
      </c>
      <c r="CR127" s="28" t="n">
        <v>0</v>
      </c>
      <c r="CS127" s="28" t="n">
        <v>0</v>
      </c>
      <c r="CT127" s="28" t="n">
        <v>0</v>
      </c>
      <c r="CU127" s="28" t="n">
        <v>0</v>
      </c>
      <c r="CV127" s="28" t="n">
        <v>0</v>
      </c>
      <c r="CW127" s="28" t="n">
        <v>0</v>
      </c>
      <c r="CX127" s="28" t="n">
        <v>0</v>
      </c>
      <c r="CY127" s="28" t="n">
        <v>0</v>
      </c>
      <c r="CZ127" s="28" t="n">
        <v>0</v>
      </c>
      <c r="DA127" s="28" t="n">
        <v>0</v>
      </c>
    </row>
    <row r="128">
      <c r="A128" t="inlineStr">
        <is>
          <t>TSP-219</t>
        </is>
      </c>
      <c r="B128" s="28" t="n">
        <v>0</v>
      </c>
      <c r="C128" s="28" t="n">
        <v>0</v>
      </c>
      <c r="D128" s="28" t="n">
        <v>0</v>
      </c>
      <c r="E128" s="28" t="n">
        <v>0</v>
      </c>
      <c r="F128" s="28" t="n">
        <v>0</v>
      </c>
      <c r="G128" s="28" t="n">
        <v>0</v>
      </c>
      <c r="H128" s="28" t="n">
        <v>0</v>
      </c>
      <c r="I128" s="28" t="n">
        <v>0</v>
      </c>
      <c r="J128" s="28" t="n">
        <v>0</v>
      </c>
      <c r="K128" s="28" t="n">
        <v>0</v>
      </c>
      <c r="L128" s="28" t="n">
        <v>0</v>
      </c>
      <c r="M128" s="28" t="n">
        <v>0</v>
      </c>
      <c r="N128" s="28" t="n">
        <v>0</v>
      </c>
      <c r="O128" s="28" t="n">
        <v>0</v>
      </c>
      <c r="P128" s="28" t="n">
        <v>0</v>
      </c>
      <c r="Q128" s="28" t="n">
        <v>0</v>
      </c>
      <c r="R128" s="28" t="n">
        <v>0</v>
      </c>
      <c r="S128" s="28" t="n">
        <v>0</v>
      </c>
      <c r="T128" s="28" t="n">
        <v>0</v>
      </c>
      <c r="U128" s="28" t="n">
        <v>0</v>
      </c>
      <c r="V128" s="28" t="n">
        <v>0</v>
      </c>
      <c r="W128" s="28" t="n">
        <v>0</v>
      </c>
      <c r="X128" s="28" t="n">
        <v>0</v>
      </c>
      <c r="Y128" s="28" t="n">
        <v>0</v>
      </c>
      <c r="Z128" s="28" t="n">
        <v>0</v>
      </c>
      <c r="AA128" s="28" t="n">
        <v>0</v>
      </c>
      <c r="AB128" s="28" t="n">
        <v>0</v>
      </c>
      <c r="AC128" s="28" t="n">
        <v>0</v>
      </c>
      <c r="AD128" s="28" t="n">
        <v>0</v>
      </c>
      <c r="AE128" s="28" t="n">
        <v>0</v>
      </c>
      <c r="AF128" s="28" t="n">
        <v>0</v>
      </c>
      <c r="AG128" s="28" t="n">
        <v>0</v>
      </c>
      <c r="AH128" s="28" t="n">
        <v>0</v>
      </c>
      <c r="AI128" s="28" t="n">
        <v>0</v>
      </c>
      <c r="AJ128" s="28" t="n">
        <v>0</v>
      </c>
      <c r="AK128" s="28" t="n">
        <v>0</v>
      </c>
      <c r="AL128" s="28" t="n">
        <v>0</v>
      </c>
      <c r="AM128" s="28" t="n">
        <v>0</v>
      </c>
      <c r="AN128" s="28" t="n">
        <v>0</v>
      </c>
      <c r="AO128" s="28" t="n">
        <v>0</v>
      </c>
      <c r="AP128" s="28" t="n">
        <v>0</v>
      </c>
      <c r="AQ128" s="28" t="n">
        <v>0</v>
      </c>
      <c r="AR128" s="28" t="n">
        <v>0</v>
      </c>
      <c r="AS128" s="28" t="n">
        <v>0</v>
      </c>
      <c r="AT128" s="28" t="n">
        <v>0</v>
      </c>
      <c r="AU128" s="28" t="n">
        <v>0</v>
      </c>
      <c r="AV128" s="28" t="n">
        <v>0</v>
      </c>
      <c r="AW128" s="28" t="n">
        <v>0</v>
      </c>
      <c r="AX128" s="28" t="n">
        <v>0</v>
      </c>
      <c r="AY128" s="28" t="n">
        <v>0</v>
      </c>
      <c r="AZ128" s="28" t="n">
        <v>0</v>
      </c>
      <c r="BA128" s="28" t="n">
        <v>0</v>
      </c>
      <c r="BB128" s="28" t="n">
        <v>0</v>
      </c>
      <c r="BC128" s="28" t="n">
        <v>0</v>
      </c>
      <c r="BD128" s="28" t="n">
        <v>0</v>
      </c>
      <c r="BE128" s="28" t="n">
        <v>0</v>
      </c>
      <c r="BF128" s="28" t="n">
        <v>0</v>
      </c>
      <c r="BG128" s="28" t="n">
        <v>0</v>
      </c>
      <c r="BH128" s="28" t="n">
        <v>0</v>
      </c>
      <c r="BI128" s="28" t="n">
        <v>0</v>
      </c>
      <c r="BJ128" s="28" t="n">
        <v>0</v>
      </c>
      <c r="BK128" s="28" t="n">
        <v>0</v>
      </c>
      <c r="BL128" s="28" t="n">
        <v>0</v>
      </c>
      <c r="BM128" s="28" t="n">
        <v>0</v>
      </c>
      <c r="BN128" s="28" t="n">
        <v>0</v>
      </c>
      <c r="BO128" s="28" t="n">
        <v>0</v>
      </c>
      <c r="BP128" s="28" t="n">
        <v>0</v>
      </c>
      <c r="BQ128" s="28" t="n">
        <v>0</v>
      </c>
      <c r="BR128" s="28" t="n">
        <v>0</v>
      </c>
      <c r="BS128" s="28" t="n">
        <v>0</v>
      </c>
      <c r="BT128" s="28" t="n">
        <v>0</v>
      </c>
      <c r="BU128" s="28" t="n">
        <v>0</v>
      </c>
      <c r="BV128" s="28" t="n">
        <v>0</v>
      </c>
      <c r="BW128" s="28" t="n">
        <v>0</v>
      </c>
      <c r="BX128" s="28" t="n">
        <v>0</v>
      </c>
      <c r="BY128" s="28" t="n">
        <v>0</v>
      </c>
      <c r="BZ128" s="28" t="n">
        <v>0</v>
      </c>
      <c r="CA128" s="28" t="n">
        <v>0</v>
      </c>
      <c r="CB128" s="28" t="n">
        <v>0</v>
      </c>
      <c r="CC128" s="28" t="n">
        <v>0</v>
      </c>
      <c r="CD128" s="28" t="n">
        <v>0</v>
      </c>
      <c r="CE128" s="28" t="n">
        <v>0</v>
      </c>
      <c r="CF128" s="28" t="n">
        <v>0</v>
      </c>
      <c r="CG128" s="28" t="n">
        <v>0</v>
      </c>
      <c r="CH128" s="28" t="n">
        <v>0</v>
      </c>
      <c r="CI128" s="28" t="n">
        <v>0</v>
      </c>
      <c r="CJ128" s="28" t="n">
        <v>0</v>
      </c>
      <c r="CK128" s="28" t="n">
        <v>0</v>
      </c>
      <c r="CL128" s="28" t="n">
        <v>0</v>
      </c>
      <c r="CM128" s="28" t="n">
        <v>0</v>
      </c>
      <c r="CN128" s="28" t="n">
        <v>0</v>
      </c>
      <c r="CO128" s="28" t="n">
        <v>0</v>
      </c>
      <c r="CP128" s="28" t="n">
        <v>0</v>
      </c>
      <c r="CQ128" s="28" t="n">
        <v>0</v>
      </c>
      <c r="CR128" s="28" t="n">
        <v>0</v>
      </c>
      <c r="CS128" s="28" t="n">
        <v>0</v>
      </c>
      <c r="CT128" s="28" t="n">
        <v>0</v>
      </c>
      <c r="CU128" s="28" t="n">
        <v>0</v>
      </c>
      <c r="CV128" s="28" t="n">
        <v>0</v>
      </c>
      <c r="CW128" s="28" t="n">
        <v>0</v>
      </c>
      <c r="CX128" s="28" t="n">
        <v>0</v>
      </c>
      <c r="CY128" s="28" t="n">
        <v>0</v>
      </c>
      <c r="CZ128" s="28" t="n">
        <v>0</v>
      </c>
      <c r="DA128" s="28" t="n">
        <v>0</v>
      </c>
    </row>
    <row r="129">
      <c r="A129" t="inlineStr">
        <is>
          <t>TSP-390</t>
        </is>
      </c>
      <c r="B129" s="28" t="n">
        <v>0</v>
      </c>
      <c r="C129" s="28" t="n">
        <v>0</v>
      </c>
      <c r="D129" s="28" t="n">
        <v>0</v>
      </c>
      <c r="E129" s="28" t="n">
        <v>0</v>
      </c>
      <c r="F129" s="28" t="n">
        <v>0</v>
      </c>
      <c r="G129" s="28" t="n">
        <v>0</v>
      </c>
      <c r="H129" s="28" t="n">
        <v>0</v>
      </c>
      <c r="I129" s="28" t="n">
        <v>0</v>
      </c>
      <c r="J129" s="28" t="n">
        <v>0</v>
      </c>
      <c r="K129" s="28" t="n">
        <v>0</v>
      </c>
      <c r="L129" s="28" t="n">
        <v>0</v>
      </c>
      <c r="M129" s="28" t="n">
        <v>0</v>
      </c>
      <c r="N129" s="28" t="n">
        <v>0</v>
      </c>
      <c r="O129" s="28" t="n">
        <v>0</v>
      </c>
      <c r="P129" s="28" t="n">
        <v>0</v>
      </c>
      <c r="Q129" s="28" t="n">
        <v>0</v>
      </c>
      <c r="R129" s="28" t="n">
        <v>0</v>
      </c>
      <c r="S129" s="28" t="n">
        <v>0</v>
      </c>
      <c r="T129" s="28" t="n">
        <v>0</v>
      </c>
      <c r="U129" s="28" t="n">
        <v>0</v>
      </c>
      <c r="V129" s="28" t="n">
        <v>0</v>
      </c>
      <c r="W129" s="28" t="n">
        <v>0</v>
      </c>
      <c r="X129" s="28" t="n">
        <v>0</v>
      </c>
      <c r="Y129" s="28" t="n">
        <v>0</v>
      </c>
      <c r="Z129" s="28" t="n">
        <v>0</v>
      </c>
      <c r="AA129" s="28" t="n">
        <v>0</v>
      </c>
      <c r="AB129" s="28" t="n">
        <v>0</v>
      </c>
      <c r="AC129" s="28" t="n">
        <v>0</v>
      </c>
      <c r="AD129" s="28" t="n">
        <v>0</v>
      </c>
      <c r="AE129" s="28" t="n">
        <v>0</v>
      </c>
      <c r="AF129" s="28" t="n">
        <v>0</v>
      </c>
      <c r="AG129" s="28" t="n">
        <v>0</v>
      </c>
      <c r="AH129" s="28" t="n">
        <v>0</v>
      </c>
      <c r="AI129" s="28" t="n">
        <v>0</v>
      </c>
      <c r="AJ129" s="28" t="n">
        <v>0</v>
      </c>
      <c r="AK129" s="28" t="n">
        <v>0</v>
      </c>
      <c r="AL129" s="28" t="n">
        <v>0</v>
      </c>
      <c r="AM129" s="28" t="n">
        <v>0</v>
      </c>
      <c r="AN129" s="28" t="n">
        <v>0</v>
      </c>
      <c r="AO129" s="28" t="n">
        <v>0</v>
      </c>
      <c r="AP129" s="28" t="n">
        <v>0</v>
      </c>
      <c r="AQ129" s="28" t="n">
        <v>0</v>
      </c>
      <c r="AR129" s="28" t="n">
        <v>0</v>
      </c>
      <c r="AS129" s="28" t="n">
        <v>0</v>
      </c>
      <c r="AT129" s="28" t="n">
        <v>0</v>
      </c>
      <c r="AU129" s="28" t="n">
        <v>0</v>
      </c>
      <c r="AV129" s="28" t="n">
        <v>0</v>
      </c>
      <c r="AW129" s="28" t="n">
        <v>0</v>
      </c>
      <c r="AX129" s="28" t="n">
        <v>0</v>
      </c>
      <c r="AY129" s="28" t="n">
        <v>0</v>
      </c>
      <c r="AZ129" s="28" t="n">
        <v>0</v>
      </c>
      <c r="BA129" s="28" t="n">
        <v>0</v>
      </c>
      <c r="BB129" s="28" t="n">
        <v>0</v>
      </c>
      <c r="BC129" s="28" t="n">
        <v>0</v>
      </c>
      <c r="BD129" s="28" t="n">
        <v>0</v>
      </c>
      <c r="BE129" s="28" t="n">
        <v>0</v>
      </c>
      <c r="BF129" s="28" t="n">
        <v>0</v>
      </c>
      <c r="BG129" s="28" t="n">
        <v>0</v>
      </c>
      <c r="BH129" s="28" t="n">
        <v>0</v>
      </c>
      <c r="BI129" s="28" t="n">
        <v>0</v>
      </c>
      <c r="BJ129" s="28" t="n">
        <v>0</v>
      </c>
      <c r="BK129" s="28" t="n">
        <v>0</v>
      </c>
      <c r="BL129" s="28" t="n">
        <v>0</v>
      </c>
      <c r="BM129" s="28" t="n">
        <v>0</v>
      </c>
      <c r="BN129" s="28" t="n">
        <v>0</v>
      </c>
      <c r="BO129" s="28" t="n">
        <v>0</v>
      </c>
      <c r="BP129" s="28" t="n">
        <v>0</v>
      </c>
      <c r="BQ129" s="28" t="n">
        <v>0</v>
      </c>
      <c r="BR129" s="28" t="n">
        <v>0</v>
      </c>
      <c r="BS129" s="28" t="n">
        <v>0</v>
      </c>
      <c r="BT129" s="28" t="n">
        <v>0</v>
      </c>
      <c r="BU129" s="28" t="n">
        <v>0</v>
      </c>
      <c r="BV129" s="28" t="n">
        <v>0</v>
      </c>
      <c r="BW129" s="28" t="n">
        <v>0</v>
      </c>
      <c r="BX129" s="28" t="n">
        <v>0</v>
      </c>
      <c r="BY129" s="28" t="n">
        <v>0</v>
      </c>
      <c r="BZ129" s="28" t="n">
        <v>0</v>
      </c>
      <c r="CA129" s="28" t="n">
        <v>0</v>
      </c>
      <c r="CB129" s="28" t="n">
        <v>0</v>
      </c>
      <c r="CC129" s="28" t="n">
        <v>0</v>
      </c>
      <c r="CD129" s="28" t="n">
        <v>0</v>
      </c>
      <c r="CE129" s="28" t="n">
        <v>0</v>
      </c>
      <c r="CF129" s="28" t="n">
        <v>0</v>
      </c>
      <c r="CG129" s="28" t="n">
        <v>0</v>
      </c>
      <c r="CH129" s="28" t="n">
        <v>0</v>
      </c>
      <c r="CI129" s="28" t="n">
        <v>0</v>
      </c>
      <c r="CJ129" s="28" t="n">
        <v>0</v>
      </c>
      <c r="CK129" s="28" t="n">
        <v>0</v>
      </c>
      <c r="CL129" s="28" t="n">
        <v>0</v>
      </c>
      <c r="CM129" s="28" t="n">
        <v>0</v>
      </c>
      <c r="CN129" s="28" t="n">
        <v>0</v>
      </c>
      <c r="CO129" s="28" t="n">
        <v>0</v>
      </c>
      <c r="CP129" s="28" t="n">
        <v>0</v>
      </c>
      <c r="CQ129" s="28" t="n">
        <v>0</v>
      </c>
      <c r="CR129" s="28" t="n">
        <v>0</v>
      </c>
      <c r="CS129" s="28" t="n">
        <v>0</v>
      </c>
      <c r="CT129" s="28" t="n">
        <v>0</v>
      </c>
      <c r="CU129" s="28" t="n">
        <v>0</v>
      </c>
      <c r="CV129" s="28" t="n">
        <v>0</v>
      </c>
      <c r="CW129" s="28" t="n">
        <v>0</v>
      </c>
      <c r="CX129" s="28" t="n">
        <v>0</v>
      </c>
      <c r="CY129" s="28" t="n">
        <v>0</v>
      </c>
      <c r="CZ129" s="28" t="n">
        <v>0</v>
      </c>
      <c r="DA129" s="28" t="n">
        <v>0</v>
      </c>
    </row>
    <row r="130">
      <c r="A130" t="inlineStr">
        <is>
          <t>TSP-399</t>
        </is>
      </c>
      <c r="B130" s="28" t="n">
        <v>0</v>
      </c>
      <c r="C130" s="28" t="n">
        <v>0</v>
      </c>
      <c r="D130" s="28" t="n">
        <v>0</v>
      </c>
      <c r="E130" s="28" t="n">
        <v>0</v>
      </c>
      <c r="F130" s="28" t="n">
        <v>0</v>
      </c>
      <c r="G130" s="28" t="n">
        <v>0</v>
      </c>
      <c r="H130" s="28" t="n">
        <v>0</v>
      </c>
      <c r="I130" s="28" t="n">
        <v>0</v>
      </c>
      <c r="J130" s="28" t="n">
        <v>0</v>
      </c>
      <c r="K130" s="28" t="n">
        <v>0</v>
      </c>
      <c r="L130" s="28" t="n">
        <v>0</v>
      </c>
      <c r="M130" s="28" t="n">
        <v>0</v>
      </c>
      <c r="N130" s="28" t="n">
        <v>0</v>
      </c>
      <c r="O130" s="28" t="n">
        <v>0</v>
      </c>
      <c r="P130" s="28" t="n">
        <v>0</v>
      </c>
      <c r="Q130" s="28" t="n">
        <v>0</v>
      </c>
      <c r="R130" s="28" t="n">
        <v>0</v>
      </c>
      <c r="S130" s="28" t="n">
        <v>0</v>
      </c>
      <c r="T130" s="28" t="n">
        <v>0</v>
      </c>
      <c r="U130" s="28" t="n">
        <v>0</v>
      </c>
      <c r="V130" s="28" t="n">
        <v>0</v>
      </c>
      <c r="W130" s="28" t="n">
        <v>0</v>
      </c>
      <c r="X130" s="28" t="n">
        <v>0</v>
      </c>
      <c r="Y130" s="28" t="n">
        <v>0</v>
      </c>
      <c r="Z130" s="28" t="n">
        <v>0</v>
      </c>
      <c r="AA130" s="28" t="n">
        <v>0</v>
      </c>
      <c r="AB130" s="28" t="n">
        <v>0</v>
      </c>
      <c r="AC130" s="28" t="n">
        <v>0</v>
      </c>
      <c r="AD130" s="28" t="n">
        <v>0</v>
      </c>
      <c r="AE130" s="28" t="n">
        <v>0</v>
      </c>
      <c r="AF130" s="28" t="n">
        <v>0</v>
      </c>
      <c r="AG130" s="28" t="n">
        <v>0</v>
      </c>
      <c r="AH130" s="28" t="n">
        <v>0</v>
      </c>
      <c r="AI130" s="28" t="n">
        <v>0</v>
      </c>
      <c r="AJ130" s="28" t="n">
        <v>0</v>
      </c>
      <c r="AK130" s="28" t="n">
        <v>0</v>
      </c>
      <c r="AL130" s="28" t="n">
        <v>0</v>
      </c>
      <c r="AM130" s="28" t="n">
        <v>0</v>
      </c>
      <c r="AN130" s="28" t="n">
        <v>0</v>
      </c>
      <c r="AO130" s="28" t="n">
        <v>0</v>
      </c>
      <c r="AP130" s="28" t="n">
        <v>0</v>
      </c>
      <c r="AQ130" s="28" t="n">
        <v>0</v>
      </c>
      <c r="AR130" s="28" t="n">
        <v>0</v>
      </c>
      <c r="AS130" s="28" t="n">
        <v>0</v>
      </c>
      <c r="AT130" s="28" t="n">
        <v>0</v>
      </c>
      <c r="AU130" s="28" t="n">
        <v>0</v>
      </c>
      <c r="AV130" s="28" t="n">
        <v>0</v>
      </c>
      <c r="AW130" s="28" t="n">
        <v>0</v>
      </c>
      <c r="AX130" s="28" t="n">
        <v>0</v>
      </c>
      <c r="AY130" s="28" t="n">
        <v>0</v>
      </c>
      <c r="AZ130" s="28" t="n">
        <v>0</v>
      </c>
      <c r="BA130" s="28" t="n">
        <v>0</v>
      </c>
      <c r="BB130" s="28" t="n">
        <v>0</v>
      </c>
      <c r="BC130" s="28" t="n">
        <v>0</v>
      </c>
      <c r="BD130" s="28" t="n">
        <v>0</v>
      </c>
      <c r="BE130" s="28" t="n">
        <v>0</v>
      </c>
      <c r="BF130" s="28" t="n">
        <v>0</v>
      </c>
      <c r="BG130" s="28" t="n">
        <v>0</v>
      </c>
      <c r="BH130" s="28" t="n">
        <v>0</v>
      </c>
      <c r="BI130" s="28" t="n">
        <v>0</v>
      </c>
      <c r="BJ130" s="28" t="n">
        <v>0</v>
      </c>
      <c r="BK130" s="28" t="n">
        <v>0</v>
      </c>
      <c r="BL130" s="28" t="n">
        <v>0</v>
      </c>
      <c r="BM130" s="28" t="n">
        <v>0</v>
      </c>
      <c r="BN130" s="28" t="n">
        <v>0</v>
      </c>
      <c r="BO130" s="28" t="n">
        <v>0</v>
      </c>
      <c r="BP130" s="28" t="n">
        <v>0</v>
      </c>
      <c r="BQ130" s="28" t="n">
        <v>0</v>
      </c>
      <c r="BR130" s="28" t="n">
        <v>0</v>
      </c>
      <c r="BS130" s="28" t="n">
        <v>0</v>
      </c>
      <c r="BT130" s="28" t="n">
        <v>0</v>
      </c>
      <c r="BU130" s="28" t="n">
        <v>0</v>
      </c>
      <c r="BV130" s="28" t="n">
        <v>0</v>
      </c>
      <c r="BW130" s="28" t="n">
        <v>0</v>
      </c>
      <c r="BX130" s="28" t="n">
        <v>0</v>
      </c>
      <c r="BY130" s="28" t="n">
        <v>0</v>
      </c>
      <c r="BZ130" s="28" t="n">
        <v>0</v>
      </c>
      <c r="CA130" s="28" t="n">
        <v>0</v>
      </c>
      <c r="CB130" s="28" t="n">
        <v>0</v>
      </c>
      <c r="CC130" s="28" t="n">
        <v>0</v>
      </c>
      <c r="CD130" s="28" t="n">
        <v>0</v>
      </c>
      <c r="CE130" s="28" t="n">
        <v>0</v>
      </c>
      <c r="CF130" s="28" t="n">
        <v>0</v>
      </c>
      <c r="CG130" s="28" t="n">
        <v>0</v>
      </c>
      <c r="CH130" s="28" t="n">
        <v>0</v>
      </c>
      <c r="CI130" s="28" t="n">
        <v>0</v>
      </c>
      <c r="CJ130" s="28" t="n">
        <v>0</v>
      </c>
      <c r="CK130" s="28" t="n">
        <v>0</v>
      </c>
      <c r="CL130" s="28" t="n">
        <v>0</v>
      </c>
      <c r="CM130" s="28" t="n">
        <v>0</v>
      </c>
      <c r="CN130" s="28" t="n">
        <v>0</v>
      </c>
      <c r="CO130" s="28" t="n">
        <v>0</v>
      </c>
      <c r="CP130" s="28" t="n">
        <v>0</v>
      </c>
      <c r="CQ130" s="28" t="n">
        <v>0</v>
      </c>
      <c r="CR130" s="28" t="n">
        <v>0</v>
      </c>
      <c r="CS130" s="28" t="n">
        <v>0</v>
      </c>
      <c r="CT130" s="28" t="n">
        <v>0</v>
      </c>
      <c r="CU130" s="28" t="n">
        <v>0</v>
      </c>
      <c r="CV130" s="28" t="n">
        <v>0</v>
      </c>
      <c r="CW130" s="28" t="n">
        <v>0</v>
      </c>
      <c r="CX130" s="28" t="n">
        <v>0</v>
      </c>
      <c r="CY130" s="28" t="n">
        <v>0</v>
      </c>
      <c r="CZ130" s="28" t="n">
        <v>0</v>
      </c>
      <c r="DA130" s="28" t="n">
        <v>0</v>
      </c>
    </row>
    <row r="131">
      <c r="A131" t="inlineStr">
        <is>
          <t>TSP-699</t>
        </is>
      </c>
      <c r="B131" s="28" t="n">
        <v>0</v>
      </c>
      <c r="C131" s="28" t="n">
        <v>0</v>
      </c>
      <c r="D131" s="28" t="n">
        <v>0</v>
      </c>
      <c r="E131" s="28" t="n">
        <v>0</v>
      </c>
      <c r="F131" s="28" t="n">
        <v>0</v>
      </c>
      <c r="G131" s="28" t="n">
        <v>0</v>
      </c>
      <c r="H131" s="28" t="n">
        <v>0</v>
      </c>
      <c r="I131" s="28" t="n">
        <v>0</v>
      </c>
      <c r="J131" s="28" t="n">
        <v>0</v>
      </c>
      <c r="K131" s="28" t="n">
        <v>0</v>
      </c>
      <c r="L131" s="28" t="n">
        <v>0</v>
      </c>
      <c r="M131" s="28" t="n">
        <v>0</v>
      </c>
      <c r="N131" s="28" t="n">
        <v>0</v>
      </c>
      <c r="O131" s="28" t="n">
        <v>0</v>
      </c>
      <c r="P131" s="28" t="n">
        <v>0</v>
      </c>
      <c r="Q131" s="28" t="n">
        <v>0</v>
      </c>
      <c r="R131" s="28" t="n">
        <v>0</v>
      </c>
      <c r="S131" s="28" t="n">
        <v>0</v>
      </c>
      <c r="T131" s="28" t="n">
        <v>0</v>
      </c>
      <c r="U131" s="28" t="n">
        <v>0</v>
      </c>
      <c r="V131" s="28" t="n">
        <v>0</v>
      </c>
      <c r="W131" s="28" t="n">
        <v>0</v>
      </c>
      <c r="X131" s="28" t="n">
        <v>0</v>
      </c>
      <c r="Y131" s="28" t="n">
        <v>0</v>
      </c>
      <c r="Z131" s="28" t="n">
        <v>0</v>
      </c>
      <c r="AA131" s="28" t="n">
        <v>0</v>
      </c>
      <c r="AB131" s="28" t="n">
        <v>0</v>
      </c>
      <c r="AC131" s="28" t="n">
        <v>0</v>
      </c>
      <c r="AD131" s="28" t="n">
        <v>0</v>
      </c>
      <c r="AE131" s="28" t="n">
        <v>0</v>
      </c>
      <c r="AF131" s="28" t="n">
        <v>0</v>
      </c>
      <c r="AG131" s="28" t="n">
        <v>0</v>
      </c>
      <c r="AH131" s="28" t="n">
        <v>0</v>
      </c>
      <c r="AI131" s="28" t="n">
        <v>0</v>
      </c>
      <c r="AJ131" s="28" t="n">
        <v>0</v>
      </c>
      <c r="AK131" s="28" t="n">
        <v>0</v>
      </c>
      <c r="AL131" s="28" t="n">
        <v>0</v>
      </c>
      <c r="AM131" s="28" t="n">
        <v>0</v>
      </c>
      <c r="AN131" s="28" t="n">
        <v>0</v>
      </c>
      <c r="AO131" s="28" t="n">
        <v>0</v>
      </c>
      <c r="AP131" s="28" t="n">
        <v>0</v>
      </c>
      <c r="AQ131" s="28" t="n">
        <v>0</v>
      </c>
      <c r="AR131" s="28" t="n">
        <v>0</v>
      </c>
      <c r="AS131" s="28" t="n">
        <v>0</v>
      </c>
      <c r="AT131" s="28" t="n">
        <v>0</v>
      </c>
      <c r="AU131" s="28" t="n">
        <v>0</v>
      </c>
      <c r="AV131" s="28" t="n">
        <v>0</v>
      </c>
      <c r="AW131" s="28" t="n">
        <v>0</v>
      </c>
      <c r="AX131" s="28" t="n">
        <v>0</v>
      </c>
      <c r="AY131" s="28" t="n">
        <v>0</v>
      </c>
      <c r="AZ131" s="28" t="n">
        <v>0</v>
      </c>
      <c r="BA131" s="28" t="n">
        <v>0</v>
      </c>
      <c r="BB131" s="28" t="n">
        <v>0</v>
      </c>
      <c r="BC131" s="28" t="n">
        <v>0</v>
      </c>
      <c r="BD131" s="28" t="n">
        <v>0</v>
      </c>
      <c r="BE131" s="28" t="n">
        <v>0</v>
      </c>
      <c r="BF131" s="28" t="n">
        <v>0</v>
      </c>
      <c r="BG131" s="28" t="n">
        <v>0</v>
      </c>
      <c r="BH131" s="28" t="n">
        <v>0</v>
      </c>
      <c r="BI131" s="28" t="n">
        <v>0</v>
      </c>
      <c r="BJ131" s="28" t="n">
        <v>0</v>
      </c>
      <c r="BK131" s="28" t="n">
        <v>0</v>
      </c>
      <c r="BL131" s="28" t="n">
        <v>0</v>
      </c>
      <c r="BM131" s="28" t="n">
        <v>0</v>
      </c>
      <c r="BN131" s="28" t="n">
        <v>0</v>
      </c>
      <c r="BO131" s="28" t="n">
        <v>0</v>
      </c>
      <c r="BP131" s="28" t="n">
        <v>0</v>
      </c>
      <c r="BQ131" s="28" t="n">
        <v>0</v>
      </c>
      <c r="BR131" s="28" t="n">
        <v>0</v>
      </c>
      <c r="BS131" s="28" t="n">
        <v>0</v>
      </c>
      <c r="BT131" s="28" t="n">
        <v>0</v>
      </c>
      <c r="BU131" s="28" t="n">
        <v>0</v>
      </c>
      <c r="BV131" s="28" t="n">
        <v>0</v>
      </c>
      <c r="BW131" s="28" t="n">
        <v>0</v>
      </c>
      <c r="BX131" s="28" t="n">
        <v>0</v>
      </c>
      <c r="BY131" s="28" t="n">
        <v>0</v>
      </c>
      <c r="BZ131" s="28" t="n">
        <v>0</v>
      </c>
      <c r="CA131" s="28" t="n">
        <v>0</v>
      </c>
      <c r="CB131" s="28" t="n">
        <v>0</v>
      </c>
      <c r="CC131" s="28" t="n">
        <v>0</v>
      </c>
      <c r="CD131" s="28" t="n">
        <v>0</v>
      </c>
      <c r="CE131" s="28" t="n">
        <v>0</v>
      </c>
      <c r="CF131" s="28" t="n">
        <v>0</v>
      </c>
      <c r="CG131" s="28" t="n">
        <v>0</v>
      </c>
      <c r="CH131" s="28" t="n">
        <v>0</v>
      </c>
      <c r="CI131" s="28" t="n">
        <v>0</v>
      </c>
      <c r="CJ131" s="28" t="n">
        <v>0</v>
      </c>
      <c r="CK131" s="28" t="n">
        <v>0</v>
      </c>
      <c r="CL131" s="28" t="n">
        <v>0</v>
      </c>
      <c r="CM131" s="28" t="n">
        <v>0</v>
      </c>
      <c r="CN131" s="28" t="n">
        <v>0</v>
      </c>
      <c r="CO131" s="28" t="n">
        <v>0</v>
      </c>
      <c r="CP131" s="28" t="n">
        <v>0</v>
      </c>
      <c r="CQ131" s="28" t="n">
        <v>0</v>
      </c>
      <c r="CR131" s="28" t="n">
        <v>0</v>
      </c>
      <c r="CS131" s="28" t="n">
        <v>0</v>
      </c>
      <c r="CT131" s="28" t="n">
        <v>0</v>
      </c>
      <c r="CU131" s="28" t="n">
        <v>0</v>
      </c>
      <c r="CV131" s="28" t="n">
        <v>0</v>
      </c>
      <c r="CW131" s="28" t="n">
        <v>0</v>
      </c>
      <c r="CX131" s="28" t="n">
        <v>0</v>
      </c>
      <c r="CY131" s="28" t="n">
        <v>0</v>
      </c>
      <c r="CZ131" s="28" t="n">
        <v>0</v>
      </c>
      <c r="DA131" s="28" t="n">
        <v>0</v>
      </c>
    </row>
    <row r="132">
      <c r="A132" t="inlineStr">
        <is>
          <t>TSP-WACZ</t>
        </is>
      </c>
      <c r="B132" s="28" t="n">
        <v>0</v>
      </c>
      <c r="C132" s="28" t="n">
        <v>0</v>
      </c>
      <c r="D132" s="28" t="n">
        <v>0</v>
      </c>
      <c r="E132" s="28" t="n">
        <v>0</v>
      </c>
      <c r="F132" s="28" t="n">
        <v>0</v>
      </c>
      <c r="G132" s="28" t="n">
        <v>0</v>
      </c>
      <c r="H132" s="28" t="n">
        <v>0</v>
      </c>
      <c r="I132" s="28" t="n">
        <v>0</v>
      </c>
      <c r="J132" s="28" t="n">
        <v>0</v>
      </c>
      <c r="K132" s="28" t="n">
        <v>0</v>
      </c>
      <c r="L132" s="28" t="n">
        <v>0</v>
      </c>
      <c r="M132" s="28" t="n">
        <v>0</v>
      </c>
      <c r="N132" s="28" t="n">
        <v>0</v>
      </c>
      <c r="O132" s="28" t="n">
        <v>0</v>
      </c>
      <c r="P132" s="28" t="n">
        <v>0</v>
      </c>
      <c r="Q132" s="28" t="n">
        <v>0</v>
      </c>
      <c r="R132" s="28" t="n">
        <v>0</v>
      </c>
      <c r="S132" s="28" t="n">
        <v>0</v>
      </c>
      <c r="T132" s="28" t="n">
        <v>0</v>
      </c>
      <c r="U132" s="28" t="n">
        <v>0</v>
      </c>
      <c r="V132" s="28" t="n">
        <v>0</v>
      </c>
      <c r="W132" s="28" t="n">
        <v>0</v>
      </c>
      <c r="X132" s="28" t="n">
        <v>0</v>
      </c>
      <c r="Y132" s="28" t="n">
        <v>0</v>
      </c>
      <c r="Z132" s="28" t="n">
        <v>0</v>
      </c>
      <c r="AA132" s="28" t="n">
        <v>0</v>
      </c>
      <c r="AB132" s="28" t="n">
        <v>0</v>
      </c>
      <c r="AC132" s="28" t="n">
        <v>0</v>
      </c>
      <c r="AD132" s="28" t="n">
        <v>0</v>
      </c>
      <c r="AE132" s="28" t="n">
        <v>0</v>
      </c>
      <c r="AF132" s="28" t="n">
        <v>0</v>
      </c>
      <c r="AG132" s="28" t="n">
        <v>0</v>
      </c>
      <c r="AH132" s="28" t="n">
        <v>0</v>
      </c>
      <c r="AI132" s="28" t="n">
        <v>0</v>
      </c>
      <c r="AJ132" s="28" t="n">
        <v>0</v>
      </c>
      <c r="AK132" s="28" t="n">
        <v>0</v>
      </c>
      <c r="AL132" s="28" t="n">
        <v>0</v>
      </c>
      <c r="AM132" s="28" t="n">
        <v>0</v>
      </c>
      <c r="AN132" s="28" t="n">
        <v>0</v>
      </c>
      <c r="AO132" s="28" t="n">
        <v>0</v>
      </c>
      <c r="AP132" s="28" t="n">
        <v>0</v>
      </c>
      <c r="AQ132" s="28" t="n">
        <v>0</v>
      </c>
      <c r="AR132" s="28" t="n">
        <v>0</v>
      </c>
      <c r="AS132" s="28" t="n">
        <v>0</v>
      </c>
      <c r="AT132" s="28" t="n">
        <v>0</v>
      </c>
      <c r="AU132" s="28" t="n">
        <v>0</v>
      </c>
      <c r="AV132" s="28" t="n">
        <v>0</v>
      </c>
      <c r="AW132" s="28" t="n">
        <v>0</v>
      </c>
      <c r="AX132" s="28" t="n">
        <v>0</v>
      </c>
      <c r="AY132" s="28" t="n">
        <v>0</v>
      </c>
      <c r="AZ132" s="28" t="n">
        <v>0</v>
      </c>
      <c r="BA132" s="28" t="n">
        <v>0</v>
      </c>
      <c r="BB132" s="28" t="n">
        <v>0</v>
      </c>
      <c r="BC132" s="28" t="n">
        <v>0</v>
      </c>
      <c r="BD132" s="28" t="n">
        <v>0</v>
      </c>
      <c r="BE132" s="28" t="n">
        <v>0</v>
      </c>
      <c r="BF132" s="28" t="n">
        <v>0</v>
      </c>
      <c r="BG132" s="28" t="n">
        <v>0</v>
      </c>
      <c r="BH132" s="28" t="n">
        <v>0</v>
      </c>
      <c r="BI132" s="28" t="n">
        <v>0</v>
      </c>
      <c r="BJ132" s="28" t="n">
        <v>0</v>
      </c>
      <c r="BK132" s="28" t="n">
        <v>0</v>
      </c>
      <c r="BL132" s="28" t="n">
        <v>0</v>
      </c>
      <c r="BM132" s="28" t="n">
        <v>0</v>
      </c>
      <c r="BN132" s="28" t="n">
        <v>0</v>
      </c>
      <c r="BO132" s="28" t="n">
        <v>0</v>
      </c>
      <c r="BP132" s="28" t="n">
        <v>0</v>
      </c>
      <c r="BQ132" s="28" t="n">
        <v>0</v>
      </c>
      <c r="BR132" s="28" t="n">
        <v>0</v>
      </c>
      <c r="BS132" s="28" t="n">
        <v>0</v>
      </c>
      <c r="BT132" s="28" t="n">
        <v>0</v>
      </c>
      <c r="BU132" s="28" t="n">
        <v>0</v>
      </c>
      <c r="BV132" s="28" t="n">
        <v>0</v>
      </c>
      <c r="BW132" s="28" t="n">
        <v>0</v>
      </c>
      <c r="BX132" s="28" t="n">
        <v>0</v>
      </c>
      <c r="BY132" s="28" t="n">
        <v>0</v>
      </c>
      <c r="BZ132" s="28" t="n">
        <v>0</v>
      </c>
      <c r="CA132" s="28" t="n">
        <v>0</v>
      </c>
      <c r="CB132" s="28" t="n">
        <v>0</v>
      </c>
      <c r="CC132" s="28" t="n">
        <v>0</v>
      </c>
      <c r="CD132" s="28" t="n">
        <v>0</v>
      </c>
      <c r="CE132" s="28" t="n">
        <v>0</v>
      </c>
      <c r="CF132" s="28" t="n">
        <v>0</v>
      </c>
      <c r="CG132" s="28" t="n">
        <v>0</v>
      </c>
      <c r="CH132" s="28" t="n">
        <v>0</v>
      </c>
      <c r="CI132" s="28" t="n">
        <v>0</v>
      </c>
      <c r="CJ132" s="28" t="n">
        <v>0</v>
      </c>
      <c r="CK132" s="28" t="n">
        <v>0</v>
      </c>
      <c r="CL132" s="28" t="n">
        <v>0</v>
      </c>
      <c r="CM132" s="28" t="n">
        <v>0</v>
      </c>
      <c r="CN132" s="28" t="n">
        <v>0</v>
      </c>
      <c r="CO132" s="28" t="n">
        <v>0</v>
      </c>
      <c r="CP132" s="28" t="n">
        <v>0</v>
      </c>
      <c r="CQ132" s="28" t="n">
        <v>0</v>
      </c>
      <c r="CR132" s="28" t="n">
        <v>0</v>
      </c>
      <c r="CS132" s="28" t="n">
        <v>0</v>
      </c>
      <c r="CT132" s="28" t="n">
        <v>0</v>
      </c>
      <c r="CU132" s="28" t="n">
        <v>0</v>
      </c>
      <c r="CV132" s="28" t="n">
        <v>0</v>
      </c>
      <c r="CW132" s="28" t="n">
        <v>0</v>
      </c>
      <c r="CX132" s="28" t="n">
        <v>0</v>
      </c>
      <c r="CY132" s="28" t="n">
        <v>0</v>
      </c>
      <c r="CZ132" s="28" t="n">
        <v>0</v>
      </c>
      <c r="DA132" s="28" t="n">
        <v>0</v>
      </c>
    </row>
    <row r="133">
      <c r="A133" t="inlineStr">
        <is>
          <t>VSP-1000</t>
        </is>
      </c>
      <c r="B133" s="28" t="n">
        <v>0</v>
      </c>
      <c r="C133" s="28" t="n">
        <v>0</v>
      </c>
      <c r="D133" s="28" t="n">
        <v>0</v>
      </c>
      <c r="E133" s="28" t="n">
        <v>0</v>
      </c>
      <c r="F133" s="28" t="n">
        <v>0</v>
      </c>
      <c r="G133" s="28" t="n">
        <v>0</v>
      </c>
      <c r="H133" s="28" t="n">
        <v>0</v>
      </c>
      <c r="I133" s="28" t="n">
        <v>0</v>
      </c>
      <c r="J133" s="28" t="n">
        <v>0</v>
      </c>
      <c r="K133" s="28" t="n">
        <v>0</v>
      </c>
      <c r="L133" s="28" t="n">
        <v>0</v>
      </c>
      <c r="M133" s="28" t="n">
        <v>0</v>
      </c>
      <c r="N133" s="28" t="n">
        <v>0</v>
      </c>
      <c r="O133" s="28" t="n">
        <v>0</v>
      </c>
      <c r="P133" s="28" t="n">
        <v>0</v>
      </c>
      <c r="Q133" s="28" t="n">
        <v>0</v>
      </c>
      <c r="R133" s="28" t="n">
        <v>0</v>
      </c>
      <c r="S133" s="28" t="n">
        <v>0</v>
      </c>
      <c r="T133" s="28" t="n">
        <v>0</v>
      </c>
      <c r="U133" s="28" t="n">
        <v>0</v>
      </c>
      <c r="V133" s="28" t="n">
        <v>0</v>
      </c>
      <c r="W133" s="28" t="n">
        <v>0</v>
      </c>
      <c r="X133" s="28" t="n">
        <v>0</v>
      </c>
      <c r="Y133" s="28" t="n">
        <v>0</v>
      </c>
      <c r="Z133" s="28" t="n">
        <v>0</v>
      </c>
      <c r="AA133" s="28" t="n">
        <v>0</v>
      </c>
      <c r="AB133" s="28" t="n">
        <v>0</v>
      </c>
      <c r="AC133" s="28" t="n">
        <v>0</v>
      </c>
      <c r="AD133" s="28" t="n">
        <v>0</v>
      </c>
      <c r="AE133" s="28" t="n">
        <v>0</v>
      </c>
      <c r="AF133" s="28" t="n">
        <v>0</v>
      </c>
      <c r="AG133" s="28" t="n">
        <v>0</v>
      </c>
      <c r="AH133" s="28" t="n">
        <v>0</v>
      </c>
      <c r="AI133" s="28" t="n">
        <v>0</v>
      </c>
      <c r="AJ133" s="28" t="n">
        <v>0</v>
      </c>
      <c r="AK133" s="28" t="n">
        <v>0</v>
      </c>
      <c r="AL133" s="28" t="n">
        <v>0</v>
      </c>
      <c r="AM133" s="28" t="n">
        <v>0</v>
      </c>
      <c r="AN133" s="28" t="n">
        <v>0</v>
      </c>
      <c r="AO133" s="28" t="n">
        <v>0</v>
      </c>
      <c r="AP133" s="28" t="n">
        <v>0</v>
      </c>
      <c r="AQ133" s="28" t="n">
        <v>0</v>
      </c>
      <c r="AR133" s="28" t="n">
        <v>0</v>
      </c>
      <c r="AS133" s="28" t="n">
        <v>0</v>
      </c>
      <c r="AT133" s="28" t="n">
        <v>0</v>
      </c>
      <c r="AU133" s="28" t="n">
        <v>0</v>
      </c>
      <c r="AV133" s="28" t="n">
        <v>0</v>
      </c>
      <c r="AW133" s="28" t="n">
        <v>0</v>
      </c>
      <c r="AX133" s="28" t="n">
        <v>0</v>
      </c>
      <c r="AY133" s="28" t="n">
        <v>0</v>
      </c>
      <c r="AZ133" s="28" t="n">
        <v>0</v>
      </c>
      <c r="BA133" s="28" t="n">
        <v>0</v>
      </c>
      <c r="BB133" s="28" t="n">
        <v>0</v>
      </c>
      <c r="BC133" s="28" t="n">
        <v>0</v>
      </c>
      <c r="BD133" s="28" t="n">
        <v>0</v>
      </c>
      <c r="BE133" s="28" t="n">
        <v>0</v>
      </c>
      <c r="BF133" s="28" t="n">
        <v>0</v>
      </c>
      <c r="BG133" s="28" t="n">
        <v>0</v>
      </c>
      <c r="BH133" s="28" t="n">
        <v>0</v>
      </c>
      <c r="BI133" s="28" t="n">
        <v>0</v>
      </c>
      <c r="BJ133" s="28" t="n">
        <v>0</v>
      </c>
      <c r="BK133" s="28" t="n">
        <v>0</v>
      </c>
      <c r="BL133" s="28" t="n">
        <v>0</v>
      </c>
      <c r="BM133" s="28" t="n">
        <v>0</v>
      </c>
      <c r="BN133" s="28" t="n">
        <v>0</v>
      </c>
      <c r="BO133" s="28" t="n">
        <v>0</v>
      </c>
      <c r="BP133" s="28" t="n">
        <v>0</v>
      </c>
      <c r="BQ133" s="28" t="n">
        <v>0</v>
      </c>
      <c r="BR133" s="28" t="n">
        <v>0</v>
      </c>
      <c r="BS133" s="28" t="n">
        <v>0</v>
      </c>
      <c r="BT133" s="28" t="n">
        <v>0</v>
      </c>
      <c r="BU133" s="28" t="n">
        <v>0</v>
      </c>
      <c r="BV133" s="28" t="n">
        <v>0</v>
      </c>
      <c r="BW133" s="28" t="n">
        <v>0</v>
      </c>
      <c r="BX133" s="28" t="n">
        <v>0</v>
      </c>
      <c r="BY133" s="28" t="n">
        <v>0</v>
      </c>
      <c r="BZ133" s="28" t="n">
        <v>0</v>
      </c>
      <c r="CA133" s="28" t="n">
        <v>0</v>
      </c>
      <c r="CB133" s="28" t="n">
        <v>0</v>
      </c>
      <c r="CC133" s="28" t="n">
        <v>0</v>
      </c>
      <c r="CD133" s="28" t="n">
        <v>0</v>
      </c>
      <c r="CE133" s="28" t="n">
        <v>0</v>
      </c>
      <c r="CF133" s="28" t="n">
        <v>0</v>
      </c>
      <c r="CG133" s="28" t="n">
        <v>0</v>
      </c>
      <c r="CH133" s="28" t="n">
        <v>0</v>
      </c>
      <c r="CI133" s="28" t="n">
        <v>0</v>
      </c>
      <c r="CJ133" s="28" t="n">
        <v>0</v>
      </c>
      <c r="CK133" s="28" t="n">
        <v>0</v>
      </c>
      <c r="CL133" s="28" t="n">
        <v>0</v>
      </c>
      <c r="CM133" s="28" t="n">
        <v>0</v>
      </c>
      <c r="CN133" s="28" t="n">
        <v>0</v>
      </c>
      <c r="CO133" s="28" t="n">
        <v>0</v>
      </c>
      <c r="CP133" s="28" t="n">
        <v>0</v>
      </c>
      <c r="CQ133" s="28" t="n">
        <v>0</v>
      </c>
      <c r="CR133" s="28" t="n">
        <v>0</v>
      </c>
      <c r="CS133" s="28" t="n">
        <v>0</v>
      </c>
      <c r="CT133" s="28" t="n">
        <v>0</v>
      </c>
      <c r="CU133" s="28" t="n">
        <v>0</v>
      </c>
      <c r="CV133" s="28" t="n">
        <v>0</v>
      </c>
      <c r="CW133" s="28" t="n">
        <v>0</v>
      </c>
      <c r="CX133" s="28" t="n">
        <v>0</v>
      </c>
      <c r="CY133" s="28" t="n">
        <v>0</v>
      </c>
      <c r="CZ133" s="28" t="n">
        <v>0</v>
      </c>
      <c r="DA133" s="28" t="n">
        <v>0</v>
      </c>
    </row>
    <row r="134">
      <c r="A134" t="inlineStr">
        <is>
          <t>VSP-567</t>
        </is>
      </c>
      <c r="B134" s="28" t="n">
        <v>0</v>
      </c>
      <c r="C134" s="28" t="n">
        <v>0</v>
      </c>
      <c r="D134" s="28" t="n">
        <v>0</v>
      </c>
      <c r="E134" s="28" t="n">
        <v>0</v>
      </c>
      <c r="F134" s="28" t="n">
        <v>0</v>
      </c>
      <c r="G134" s="28" t="n">
        <v>0</v>
      </c>
      <c r="H134" s="28" t="n">
        <v>0</v>
      </c>
      <c r="I134" s="28" t="n">
        <v>0</v>
      </c>
      <c r="J134" s="28" t="n">
        <v>0</v>
      </c>
      <c r="K134" s="28" t="n">
        <v>0</v>
      </c>
      <c r="L134" s="28" t="n">
        <v>0</v>
      </c>
      <c r="M134" s="28" t="n">
        <v>0</v>
      </c>
      <c r="N134" s="28" t="n">
        <v>0</v>
      </c>
      <c r="O134" s="28" t="n">
        <v>0</v>
      </c>
      <c r="P134" s="28" t="n">
        <v>0</v>
      </c>
      <c r="Q134" s="28" t="n">
        <v>0</v>
      </c>
      <c r="R134" s="28" t="n">
        <v>0</v>
      </c>
      <c r="S134" s="28" t="n">
        <v>0</v>
      </c>
      <c r="T134" s="28" t="n">
        <v>0</v>
      </c>
      <c r="U134" s="28" t="n">
        <v>0</v>
      </c>
      <c r="V134" s="28" t="n">
        <v>0</v>
      </c>
      <c r="W134" s="28" t="n">
        <v>0</v>
      </c>
      <c r="X134" s="28" t="n">
        <v>0</v>
      </c>
      <c r="Y134" s="28" t="n">
        <v>0</v>
      </c>
      <c r="Z134" s="28" t="n">
        <v>0</v>
      </c>
      <c r="AA134" s="28" t="n">
        <v>0</v>
      </c>
      <c r="AB134" s="28" t="n">
        <v>0</v>
      </c>
      <c r="AC134" s="28" t="n">
        <v>0</v>
      </c>
      <c r="AD134" s="28" t="n">
        <v>0</v>
      </c>
      <c r="AE134" s="28" t="n">
        <v>0</v>
      </c>
      <c r="AF134" s="28" t="n">
        <v>0</v>
      </c>
      <c r="AG134" s="28" t="n">
        <v>0</v>
      </c>
      <c r="AH134" s="28" t="n">
        <v>0</v>
      </c>
      <c r="AI134" s="28" t="n">
        <v>0</v>
      </c>
      <c r="AJ134" s="28" t="n">
        <v>0</v>
      </c>
      <c r="AK134" s="28" t="n">
        <v>0</v>
      </c>
      <c r="AL134" s="28" t="n">
        <v>0</v>
      </c>
      <c r="AM134" s="28" t="n">
        <v>0</v>
      </c>
      <c r="AN134" s="28" t="n">
        <v>0</v>
      </c>
      <c r="AO134" s="28" t="n">
        <v>0</v>
      </c>
      <c r="AP134" s="28" t="n">
        <v>0</v>
      </c>
      <c r="AQ134" s="28" t="n">
        <v>0</v>
      </c>
      <c r="AR134" s="28" t="n">
        <v>0</v>
      </c>
      <c r="AS134" s="28" t="n">
        <v>0</v>
      </c>
      <c r="AT134" s="28" t="n">
        <v>0</v>
      </c>
      <c r="AU134" s="28" t="n">
        <v>0</v>
      </c>
      <c r="AV134" s="28" t="n">
        <v>0</v>
      </c>
      <c r="AW134" s="28" t="n">
        <v>0</v>
      </c>
      <c r="AX134" s="28" t="n">
        <v>0</v>
      </c>
      <c r="AY134" s="28" t="n">
        <v>0</v>
      </c>
      <c r="AZ134" s="28" t="n">
        <v>0</v>
      </c>
      <c r="BA134" s="28" t="n">
        <v>0</v>
      </c>
      <c r="BB134" s="28" t="n">
        <v>0</v>
      </c>
      <c r="BC134" s="28" t="n">
        <v>0</v>
      </c>
      <c r="BD134" s="28" t="n">
        <v>0</v>
      </c>
      <c r="BE134" s="28" t="n">
        <v>0</v>
      </c>
      <c r="BF134" s="28" t="n">
        <v>0</v>
      </c>
      <c r="BG134" s="28" t="n">
        <v>0</v>
      </c>
      <c r="BH134" s="28" t="n">
        <v>0</v>
      </c>
      <c r="BI134" s="28" t="n">
        <v>0</v>
      </c>
      <c r="BJ134" s="28" t="n">
        <v>0</v>
      </c>
      <c r="BK134" s="28" t="n">
        <v>0</v>
      </c>
      <c r="BL134" s="28" t="n">
        <v>0</v>
      </c>
      <c r="BM134" s="28" t="n">
        <v>0</v>
      </c>
      <c r="BN134" s="28" t="n">
        <v>0</v>
      </c>
      <c r="BO134" s="28" t="n">
        <v>0</v>
      </c>
      <c r="BP134" s="28" t="n">
        <v>0</v>
      </c>
      <c r="BQ134" s="28" t="n">
        <v>0</v>
      </c>
      <c r="BR134" s="28" t="n">
        <v>0</v>
      </c>
      <c r="BS134" s="28" t="n">
        <v>0</v>
      </c>
      <c r="BT134" s="28" t="n">
        <v>0</v>
      </c>
      <c r="BU134" s="28" t="n">
        <v>0</v>
      </c>
      <c r="BV134" s="28" t="n">
        <v>0</v>
      </c>
      <c r="BW134" s="28" t="n">
        <v>0</v>
      </c>
      <c r="BX134" s="28" t="n">
        <v>0</v>
      </c>
      <c r="BY134" s="28" t="n">
        <v>0</v>
      </c>
      <c r="BZ134" s="28" t="n">
        <v>0</v>
      </c>
      <c r="CA134" s="28" t="n">
        <v>0</v>
      </c>
      <c r="CB134" s="28" t="n">
        <v>0</v>
      </c>
      <c r="CC134" s="28" t="n">
        <v>0</v>
      </c>
      <c r="CD134" s="28" t="n">
        <v>0</v>
      </c>
      <c r="CE134" s="28" t="n">
        <v>0</v>
      </c>
      <c r="CF134" s="28" t="n">
        <v>0</v>
      </c>
      <c r="CG134" s="28" t="n">
        <v>0</v>
      </c>
      <c r="CH134" s="28" t="n">
        <v>0</v>
      </c>
      <c r="CI134" s="28" t="n">
        <v>0</v>
      </c>
      <c r="CJ134" s="28" t="n">
        <v>0</v>
      </c>
      <c r="CK134" s="28" t="n">
        <v>0</v>
      </c>
      <c r="CL134" s="28" t="n">
        <v>0</v>
      </c>
      <c r="CM134" s="28" t="n">
        <v>0</v>
      </c>
      <c r="CN134" s="28" t="n">
        <v>0</v>
      </c>
      <c r="CO134" s="28" t="n">
        <v>0</v>
      </c>
      <c r="CP134" s="28" t="n">
        <v>0</v>
      </c>
      <c r="CQ134" s="28" t="n">
        <v>0</v>
      </c>
      <c r="CR134" s="28" t="n">
        <v>0</v>
      </c>
      <c r="CS134" s="28" t="n">
        <v>0</v>
      </c>
      <c r="CT134" s="28" t="n">
        <v>0</v>
      </c>
      <c r="CU134" s="28" t="n">
        <v>0</v>
      </c>
      <c r="CV134" s="28" t="n">
        <v>0</v>
      </c>
      <c r="CW134" s="28" t="n">
        <v>0</v>
      </c>
      <c r="CX134" s="28" t="n">
        <v>0</v>
      </c>
      <c r="CY134" s="28" t="n">
        <v>0</v>
      </c>
      <c r="CZ134" s="28" t="n">
        <v>0</v>
      </c>
      <c r="DA134" s="28" t="n">
        <v>0</v>
      </c>
    </row>
    <row r="135">
      <c r="A135" t="inlineStr">
        <is>
          <t>VSP-603</t>
        </is>
      </c>
      <c r="B135" s="28" t="n">
        <v>0</v>
      </c>
      <c r="C135" s="28" t="n">
        <v>0</v>
      </c>
      <c r="D135" s="28" t="n">
        <v>0</v>
      </c>
      <c r="E135" s="28" t="n">
        <v>0</v>
      </c>
      <c r="F135" s="28" t="n">
        <v>0</v>
      </c>
      <c r="G135" s="28" t="n">
        <v>0</v>
      </c>
      <c r="H135" s="28" t="n">
        <v>0</v>
      </c>
      <c r="I135" s="28" t="n">
        <v>0</v>
      </c>
      <c r="J135" s="28" t="n">
        <v>0</v>
      </c>
      <c r="K135" s="28" t="n">
        <v>0</v>
      </c>
      <c r="L135" s="28" t="n">
        <v>0</v>
      </c>
      <c r="M135" s="28" t="n">
        <v>0</v>
      </c>
      <c r="N135" s="28" t="n">
        <v>0</v>
      </c>
      <c r="O135" s="28" t="n">
        <v>0</v>
      </c>
      <c r="P135" s="28" t="n">
        <v>0</v>
      </c>
      <c r="Q135" s="28" t="n">
        <v>0</v>
      </c>
      <c r="R135" s="28" t="n">
        <v>0</v>
      </c>
      <c r="S135" s="28" t="n">
        <v>0</v>
      </c>
      <c r="T135" s="28" t="n">
        <v>0</v>
      </c>
      <c r="U135" s="28" t="n">
        <v>0</v>
      </c>
      <c r="V135" s="28" t="n">
        <v>0</v>
      </c>
      <c r="W135" s="28" t="n">
        <v>0</v>
      </c>
      <c r="X135" s="28" t="n">
        <v>0</v>
      </c>
      <c r="Y135" s="28" t="n">
        <v>0</v>
      </c>
      <c r="Z135" s="28" t="n">
        <v>0</v>
      </c>
      <c r="AA135" s="28" t="n">
        <v>0</v>
      </c>
      <c r="AB135" s="28" t="n">
        <v>0</v>
      </c>
      <c r="AC135" s="28" t="n">
        <v>0</v>
      </c>
      <c r="AD135" s="28" t="n">
        <v>0</v>
      </c>
      <c r="AE135" s="28" t="n">
        <v>0</v>
      </c>
      <c r="AF135" s="28" t="n">
        <v>0</v>
      </c>
      <c r="AG135" s="28" t="n">
        <v>0</v>
      </c>
      <c r="AH135" s="28" t="n">
        <v>0</v>
      </c>
      <c r="AI135" s="28" t="n">
        <v>0</v>
      </c>
      <c r="AJ135" s="28" t="n">
        <v>0</v>
      </c>
      <c r="AK135" s="28" t="n">
        <v>0</v>
      </c>
      <c r="AL135" s="28" t="n">
        <v>0</v>
      </c>
      <c r="AM135" s="28" t="n">
        <v>0</v>
      </c>
      <c r="AN135" s="28" t="n">
        <v>0</v>
      </c>
      <c r="AO135" s="28" t="n">
        <v>0</v>
      </c>
      <c r="AP135" s="28" t="n">
        <v>0</v>
      </c>
      <c r="AQ135" s="28" t="n">
        <v>0</v>
      </c>
      <c r="AR135" s="28" t="n">
        <v>0</v>
      </c>
      <c r="AS135" s="28" t="n">
        <v>0</v>
      </c>
      <c r="AT135" s="28" t="n">
        <v>0</v>
      </c>
      <c r="AU135" s="28" t="n">
        <v>0</v>
      </c>
      <c r="AV135" s="28" t="n">
        <v>0</v>
      </c>
      <c r="AW135" s="28" t="n">
        <v>0</v>
      </c>
      <c r="AX135" s="28" t="n">
        <v>0</v>
      </c>
      <c r="AY135" s="28" t="n">
        <v>0</v>
      </c>
      <c r="AZ135" s="28" t="n">
        <v>0</v>
      </c>
      <c r="BA135" s="28" t="n">
        <v>0</v>
      </c>
      <c r="BB135" s="28" t="n">
        <v>0</v>
      </c>
      <c r="BC135" s="28" t="n">
        <v>0</v>
      </c>
      <c r="BD135" s="28" t="n">
        <v>0</v>
      </c>
      <c r="BE135" s="28" t="n">
        <v>0</v>
      </c>
      <c r="BF135" s="28" t="n">
        <v>0</v>
      </c>
      <c r="BG135" s="28" t="n">
        <v>0</v>
      </c>
      <c r="BH135" s="28" t="n">
        <v>0</v>
      </c>
      <c r="BI135" s="28" t="n">
        <v>0</v>
      </c>
      <c r="BJ135" s="28" t="n">
        <v>0</v>
      </c>
      <c r="BK135" s="28" t="n">
        <v>0</v>
      </c>
      <c r="BL135" s="28" t="n">
        <v>0</v>
      </c>
      <c r="BM135" s="28" t="n">
        <v>0</v>
      </c>
      <c r="BN135" s="28" t="n">
        <v>0</v>
      </c>
      <c r="BO135" s="28" t="n">
        <v>0</v>
      </c>
      <c r="BP135" s="28" t="n">
        <v>0</v>
      </c>
      <c r="BQ135" s="28" t="n">
        <v>0</v>
      </c>
      <c r="BR135" s="28" t="n">
        <v>0</v>
      </c>
      <c r="BS135" s="28" t="n">
        <v>0</v>
      </c>
      <c r="BT135" s="28" t="n">
        <v>0</v>
      </c>
      <c r="BU135" s="28" t="n">
        <v>0</v>
      </c>
      <c r="BV135" s="28" t="n">
        <v>0</v>
      </c>
      <c r="BW135" s="28" t="n">
        <v>0</v>
      </c>
      <c r="BX135" s="28" t="n">
        <v>0</v>
      </c>
      <c r="BY135" s="28" t="n">
        <v>0</v>
      </c>
      <c r="BZ135" s="28" t="n">
        <v>0</v>
      </c>
      <c r="CA135" s="28" t="n">
        <v>0</v>
      </c>
      <c r="CB135" s="28" t="n">
        <v>0</v>
      </c>
      <c r="CC135" s="28" t="n">
        <v>0</v>
      </c>
      <c r="CD135" s="28" t="n">
        <v>0</v>
      </c>
      <c r="CE135" s="28" t="n">
        <v>0</v>
      </c>
      <c r="CF135" s="28" t="n">
        <v>0</v>
      </c>
      <c r="CG135" s="28" t="n">
        <v>0</v>
      </c>
      <c r="CH135" s="28" t="n">
        <v>0</v>
      </c>
      <c r="CI135" s="28" t="n">
        <v>0</v>
      </c>
      <c r="CJ135" s="28" t="n">
        <v>0</v>
      </c>
      <c r="CK135" s="28" t="n">
        <v>0</v>
      </c>
      <c r="CL135" s="28" t="n">
        <v>0</v>
      </c>
      <c r="CM135" s="28" t="n">
        <v>0</v>
      </c>
      <c r="CN135" s="28" t="n">
        <v>0</v>
      </c>
      <c r="CO135" s="28" t="n">
        <v>0</v>
      </c>
      <c r="CP135" s="28" t="n">
        <v>0</v>
      </c>
      <c r="CQ135" s="28" t="n">
        <v>0</v>
      </c>
      <c r="CR135" s="28" t="n">
        <v>0</v>
      </c>
      <c r="CS135" s="28" t="n">
        <v>0</v>
      </c>
      <c r="CT135" s="28" t="n">
        <v>0</v>
      </c>
      <c r="CU135" s="28" t="n">
        <v>0</v>
      </c>
      <c r="CV135" s="28" t="n">
        <v>0</v>
      </c>
      <c r="CW135" s="28" t="n">
        <v>0</v>
      </c>
      <c r="CX135" s="28" t="n">
        <v>0</v>
      </c>
      <c r="CY135" s="28" t="n">
        <v>0</v>
      </c>
      <c r="CZ135" s="28" t="n">
        <v>0</v>
      </c>
      <c r="DA135" s="28" t="n">
        <v>0</v>
      </c>
    </row>
    <row r="136">
      <c r="A136" t="inlineStr">
        <is>
          <t>VSP-604</t>
        </is>
      </c>
      <c r="B136" s="28" t="n">
        <v>0</v>
      </c>
      <c r="C136" s="28" t="n">
        <v>0</v>
      </c>
      <c r="D136" s="28" t="n">
        <v>0</v>
      </c>
      <c r="E136" s="28" t="n">
        <v>0</v>
      </c>
      <c r="F136" s="28" t="n">
        <v>0</v>
      </c>
      <c r="G136" s="28" t="n">
        <v>0</v>
      </c>
      <c r="H136" s="28" t="n">
        <v>0</v>
      </c>
      <c r="I136" s="28" t="n">
        <v>0</v>
      </c>
      <c r="J136" s="28" t="n">
        <v>0</v>
      </c>
      <c r="K136" s="28" t="n">
        <v>0</v>
      </c>
      <c r="L136" s="28" t="n">
        <v>0</v>
      </c>
      <c r="M136" s="28" t="n">
        <v>0</v>
      </c>
      <c r="N136" s="28" t="n">
        <v>0</v>
      </c>
      <c r="O136" s="28" t="n">
        <v>0</v>
      </c>
      <c r="P136" s="28" t="n">
        <v>0</v>
      </c>
      <c r="Q136" s="28" t="n">
        <v>0</v>
      </c>
      <c r="R136" s="28" t="n">
        <v>0</v>
      </c>
      <c r="S136" s="28" t="n">
        <v>0</v>
      </c>
      <c r="T136" s="28" t="n">
        <v>0</v>
      </c>
      <c r="U136" s="28" t="n">
        <v>0</v>
      </c>
      <c r="V136" s="28" t="n">
        <v>0</v>
      </c>
      <c r="W136" s="28" t="n">
        <v>0</v>
      </c>
      <c r="X136" s="28" t="n">
        <v>0</v>
      </c>
      <c r="Y136" s="28" t="n">
        <v>0</v>
      </c>
      <c r="Z136" s="28" t="n">
        <v>0</v>
      </c>
      <c r="AA136" s="28" t="n">
        <v>0</v>
      </c>
      <c r="AB136" s="28" t="n">
        <v>0</v>
      </c>
      <c r="AC136" s="28" t="n">
        <v>0</v>
      </c>
      <c r="AD136" s="28" t="n">
        <v>0</v>
      </c>
      <c r="AE136" s="28" t="n">
        <v>0</v>
      </c>
      <c r="AF136" s="28" t="n">
        <v>0</v>
      </c>
      <c r="AG136" s="28" t="n">
        <v>0</v>
      </c>
      <c r="AH136" s="28" t="n">
        <v>0</v>
      </c>
      <c r="AI136" s="28" t="n">
        <v>0</v>
      </c>
      <c r="AJ136" s="28" t="n">
        <v>0</v>
      </c>
      <c r="AK136" s="28" t="n">
        <v>0</v>
      </c>
      <c r="AL136" s="28" t="n">
        <v>0</v>
      </c>
      <c r="AM136" s="28" t="n">
        <v>0</v>
      </c>
      <c r="AN136" s="28" t="n">
        <v>0</v>
      </c>
      <c r="AO136" s="28" t="n">
        <v>0</v>
      </c>
      <c r="AP136" s="28" t="n">
        <v>0</v>
      </c>
      <c r="AQ136" s="28" t="n">
        <v>0</v>
      </c>
      <c r="AR136" s="28" t="n">
        <v>0</v>
      </c>
      <c r="AS136" s="28" t="n">
        <v>0</v>
      </c>
      <c r="AT136" s="28" t="n">
        <v>0</v>
      </c>
      <c r="AU136" s="28" t="n">
        <v>0</v>
      </c>
      <c r="AV136" s="28" t="n">
        <v>0</v>
      </c>
      <c r="AW136" s="28" t="n">
        <v>0</v>
      </c>
      <c r="AX136" s="28" t="n">
        <v>0</v>
      </c>
      <c r="AY136" s="28" t="n">
        <v>0</v>
      </c>
      <c r="AZ136" s="28" t="n">
        <v>0</v>
      </c>
      <c r="BA136" s="28" t="n">
        <v>0</v>
      </c>
      <c r="BB136" s="28" t="n">
        <v>0</v>
      </c>
      <c r="BC136" s="28" t="n">
        <v>0</v>
      </c>
      <c r="BD136" s="28" t="n">
        <v>0</v>
      </c>
      <c r="BE136" s="28" t="n">
        <v>0</v>
      </c>
      <c r="BF136" s="28" t="n">
        <v>0</v>
      </c>
      <c r="BG136" s="28" t="n">
        <v>0</v>
      </c>
      <c r="BH136" s="28" t="n">
        <v>0</v>
      </c>
      <c r="BI136" s="28" t="n">
        <v>0</v>
      </c>
      <c r="BJ136" s="28" t="n">
        <v>0</v>
      </c>
      <c r="BK136" s="28" t="n">
        <v>0</v>
      </c>
      <c r="BL136" s="28" t="n">
        <v>0</v>
      </c>
      <c r="BM136" s="28" t="n">
        <v>0</v>
      </c>
      <c r="BN136" s="28" t="n">
        <v>0</v>
      </c>
      <c r="BO136" s="28" t="n">
        <v>0</v>
      </c>
      <c r="BP136" s="28" t="n">
        <v>0</v>
      </c>
      <c r="BQ136" s="28" t="n">
        <v>0</v>
      </c>
      <c r="BR136" s="28" t="n">
        <v>0</v>
      </c>
      <c r="BS136" s="28" t="n">
        <v>0</v>
      </c>
      <c r="BT136" s="28" t="n">
        <v>0</v>
      </c>
      <c r="BU136" s="28" t="n">
        <v>0</v>
      </c>
      <c r="BV136" s="28" t="n">
        <v>0</v>
      </c>
      <c r="BW136" s="28" t="n">
        <v>0</v>
      </c>
      <c r="BX136" s="28" t="n">
        <v>0</v>
      </c>
      <c r="BY136" s="28" t="n">
        <v>0</v>
      </c>
      <c r="BZ136" s="28" t="n">
        <v>0</v>
      </c>
      <c r="CA136" s="28" t="n">
        <v>0</v>
      </c>
      <c r="CB136" s="28" t="n">
        <v>0</v>
      </c>
      <c r="CC136" s="28" t="n">
        <v>0</v>
      </c>
      <c r="CD136" s="28" t="n">
        <v>0</v>
      </c>
      <c r="CE136" s="28" t="n">
        <v>0</v>
      </c>
      <c r="CF136" s="28" t="n">
        <v>0</v>
      </c>
      <c r="CG136" s="28" t="n">
        <v>0</v>
      </c>
      <c r="CH136" s="28" t="n">
        <v>0</v>
      </c>
      <c r="CI136" s="28" t="n">
        <v>0</v>
      </c>
      <c r="CJ136" s="28" t="n">
        <v>0</v>
      </c>
      <c r="CK136" s="28" t="n">
        <v>0</v>
      </c>
      <c r="CL136" s="28" t="n">
        <v>0</v>
      </c>
      <c r="CM136" s="28" t="n">
        <v>0</v>
      </c>
      <c r="CN136" s="28" t="n">
        <v>0</v>
      </c>
      <c r="CO136" s="28" t="n">
        <v>0</v>
      </c>
      <c r="CP136" s="28" t="n">
        <v>0</v>
      </c>
      <c r="CQ136" s="28" t="n">
        <v>0</v>
      </c>
      <c r="CR136" s="28" t="n">
        <v>0</v>
      </c>
      <c r="CS136" s="28" t="n">
        <v>0</v>
      </c>
      <c r="CT136" s="28" t="n">
        <v>0</v>
      </c>
      <c r="CU136" s="28" t="n">
        <v>0</v>
      </c>
      <c r="CV136" s="28" t="n">
        <v>0</v>
      </c>
      <c r="CW136" s="28" t="n">
        <v>0</v>
      </c>
      <c r="CX136" s="28" t="n">
        <v>0</v>
      </c>
      <c r="CY136" s="28" t="n">
        <v>0</v>
      </c>
      <c r="CZ136" s="28" t="n">
        <v>0</v>
      </c>
      <c r="DA136" s="28" t="n">
        <v>0</v>
      </c>
    </row>
    <row r="137">
      <c r="A137" t="inlineStr">
        <is>
          <t>VSP-605</t>
        </is>
      </c>
      <c r="B137" s="28" t="n">
        <v>0</v>
      </c>
      <c r="C137" s="28" t="n">
        <v>0</v>
      </c>
      <c r="D137" s="28" t="n">
        <v>0</v>
      </c>
      <c r="E137" s="28" t="n">
        <v>0</v>
      </c>
      <c r="F137" s="28" t="n">
        <v>0</v>
      </c>
      <c r="G137" s="28" t="n">
        <v>0</v>
      </c>
      <c r="H137" s="28" t="n">
        <v>0</v>
      </c>
      <c r="I137" s="28" t="n">
        <v>0</v>
      </c>
      <c r="J137" s="28" t="n">
        <v>0</v>
      </c>
      <c r="K137" s="28" t="n">
        <v>0</v>
      </c>
      <c r="L137" s="28" t="n">
        <v>0</v>
      </c>
      <c r="M137" s="28" t="n">
        <v>0</v>
      </c>
      <c r="N137" s="28" t="n">
        <v>0</v>
      </c>
      <c r="O137" s="28" t="n">
        <v>0</v>
      </c>
      <c r="P137" s="28" t="n">
        <v>0</v>
      </c>
      <c r="Q137" s="28" t="n">
        <v>0</v>
      </c>
      <c r="R137" s="28" t="n">
        <v>0</v>
      </c>
      <c r="S137" s="28" t="n">
        <v>0</v>
      </c>
      <c r="T137" s="28" t="n">
        <v>0</v>
      </c>
      <c r="U137" s="28" t="n">
        <v>0</v>
      </c>
      <c r="V137" s="28" t="n">
        <v>0</v>
      </c>
      <c r="W137" s="28" t="n">
        <v>0</v>
      </c>
      <c r="X137" s="28" t="n">
        <v>0</v>
      </c>
      <c r="Y137" s="28" t="n">
        <v>0</v>
      </c>
      <c r="Z137" s="28" t="n">
        <v>0</v>
      </c>
      <c r="AA137" s="28" t="n">
        <v>0</v>
      </c>
      <c r="AB137" s="28" t="n">
        <v>0</v>
      </c>
      <c r="AC137" s="28" t="n">
        <v>0</v>
      </c>
      <c r="AD137" s="28" t="n">
        <v>0</v>
      </c>
      <c r="AE137" s="28" t="n">
        <v>0</v>
      </c>
      <c r="AF137" s="28" t="n">
        <v>0</v>
      </c>
      <c r="AG137" s="28" t="n">
        <v>0</v>
      </c>
      <c r="AH137" s="28" t="n">
        <v>0</v>
      </c>
      <c r="AI137" s="28" t="n">
        <v>0</v>
      </c>
      <c r="AJ137" s="28" t="n">
        <v>0</v>
      </c>
      <c r="AK137" s="28" t="n">
        <v>0</v>
      </c>
      <c r="AL137" s="28" t="n">
        <v>0</v>
      </c>
      <c r="AM137" s="28" t="n">
        <v>0</v>
      </c>
      <c r="AN137" s="28" t="n">
        <v>0</v>
      </c>
      <c r="AO137" s="28" t="n">
        <v>0</v>
      </c>
      <c r="AP137" s="28" t="n">
        <v>0</v>
      </c>
      <c r="AQ137" s="28" t="n">
        <v>0</v>
      </c>
      <c r="AR137" s="28" t="n">
        <v>0</v>
      </c>
      <c r="AS137" s="28" t="n">
        <v>0</v>
      </c>
      <c r="AT137" s="28" t="n">
        <v>0</v>
      </c>
      <c r="AU137" s="28" t="n">
        <v>0</v>
      </c>
      <c r="AV137" s="28" t="n">
        <v>0</v>
      </c>
      <c r="AW137" s="28" t="n">
        <v>0</v>
      </c>
      <c r="AX137" s="28" t="n">
        <v>0</v>
      </c>
      <c r="AY137" s="28" t="n">
        <v>0</v>
      </c>
      <c r="AZ137" s="28" t="n">
        <v>0</v>
      </c>
      <c r="BA137" s="28" t="n">
        <v>0</v>
      </c>
      <c r="BB137" s="28" t="n">
        <v>0</v>
      </c>
      <c r="BC137" s="28" t="n">
        <v>0</v>
      </c>
      <c r="BD137" s="28" t="n">
        <v>0</v>
      </c>
      <c r="BE137" s="28" t="n">
        <v>0</v>
      </c>
      <c r="BF137" s="28" t="n">
        <v>0</v>
      </c>
      <c r="BG137" s="28" t="n">
        <v>0</v>
      </c>
      <c r="BH137" s="28" t="n">
        <v>0</v>
      </c>
      <c r="BI137" s="28" t="n">
        <v>0</v>
      </c>
      <c r="BJ137" s="28" t="n">
        <v>0</v>
      </c>
      <c r="BK137" s="28" t="n">
        <v>0</v>
      </c>
      <c r="BL137" s="28" t="n">
        <v>0</v>
      </c>
      <c r="BM137" s="28" t="n">
        <v>0</v>
      </c>
      <c r="BN137" s="28" t="n">
        <v>0</v>
      </c>
      <c r="BO137" s="28" t="n">
        <v>0</v>
      </c>
      <c r="BP137" s="28" t="n">
        <v>0</v>
      </c>
      <c r="BQ137" s="28" t="n">
        <v>0</v>
      </c>
      <c r="BR137" s="28" t="n">
        <v>0</v>
      </c>
      <c r="BS137" s="28" t="n">
        <v>0</v>
      </c>
      <c r="BT137" s="28" t="n">
        <v>0</v>
      </c>
      <c r="BU137" s="28" t="n">
        <v>0</v>
      </c>
      <c r="BV137" s="28" t="n">
        <v>0</v>
      </c>
      <c r="BW137" s="28" t="n">
        <v>0</v>
      </c>
      <c r="BX137" s="28" t="n">
        <v>0</v>
      </c>
      <c r="BY137" s="28" t="n">
        <v>0</v>
      </c>
      <c r="BZ137" s="28" t="n">
        <v>0</v>
      </c>
      <c r="CA137" s="28" t="n">
        <v>0</v>
      </c>
      <c r="CB137" s="28" t="n">
        <v>0</v>
      </c>
      <c r="CC137" s="28" t="n">
        <v>0</v>
      </c>
      <c r="CD137" s="28" t="n">
        <v>0</v>
      </c>
      <c r="CE137" s="28" t="n">
        <v>0</v>
      </c>
      <c r="CF137" s="28" t="n">
        <v>0</v>
      </c>
      <c r="CG137" s="28" t="n">
        <v>0</v>
      </c>
      <c r="CH137" s="28" t="n">
        <v>0</v>
      </c>
      <c r="CI137" s="28" t="n">
        <v>0</v>
      </c>
      <c r="CJ137" s="28" t="n">
        <v>0</v>
      </c>
      <c r="CK137" s="28" t="n">
        <v>0</v>
      </c>
      <c r="CL137" s="28" t="n">
        <v>0</v>
      </c>
      <c r="CM137" s="28" t="n">
        <v>0</v>
      </c>
      <c r="CN137" s="28" t="n">
        <v>0</v>
      </c>
      <c r="CO137" s="28" t="n">
        <v>0</v>
      </c>
      <c r="CP137" s="28" t="n">
        <v>0</v>
      </c>
      <c r="CQ137" s="28" t="n">
        <v>0</v>
      </c>
      <c r="CR137" s="28" t="n">
        <v>0</v>
      </c>
      <c r="CS137" s="28" t="n">
        <v>0</v>
      </c>
      <c r="CT137" s="28" t="n">
        <v>0</v>
      </c>
      <c r="CU137" s="28" t="n">
        <v>0</v>
      </c>
      <c r="CV137" s="28" t="n">
        <v>0</v>
      </c>
      <c r="CW137" s="28" t="n">
        <v>0</v>
      </c>
      <c r="CX137" s="28" t="n">
        <v>0</v>
      </c>
      <c r="CY137" s="28" t="n">
        <v>0</v>
      </c>
      <c r="CZ137" s="28" t="n">
        <v>0</v>
      </c>
      <c r="DA137" s="28" t="n">
        <v>0</v>
      </c>
    </row>
    <row r="138">
      <c r="A138" t="inlineStr">
        <is>
          <t>VSP-606</t>
        </is>
      </c>
      <c r="B138" s="28" t="n">
        <v>0</v>
      </c>
      <c r="C138" s="28" t="n">
        <v>0</v>
      </c>
      <c r="D138" s="28" t="n">
        <v>0</v>
      </c>
      <c r="E138" s="28" t="n">
        <v>0</v>
      </c>
      <c r="F138" s="28" t="n">
        <v>0</v>
      </c>
      <c r="G138" s="28" t="n">
        <v>0</v>
      </c>
      <c r="H138" s="28" t="n">
        <v>0</v>
      </c>
      <c r="I138" s="28" t="n">
        <v>0</v>
      </c>
      <c r="J138" s="28" t="n">
        <v>0</v>
      </c>
      <c r="K138" s="28" t="n">
        <v>0</v>
      </c>
      <c r="L138" s="28" t="n">
        <v>0</v>
      </c>
      <c r="M138" s="28" t="n">
        <v>0</v>
      </c>
      <c r="N138" s="28" t="n">
        <v>0</v>
      </c>
      <c r="O138" s="28" t="n">
        <v>0</v>
      </c>
      <c r="P138" s="28" t="n">
        <v>0</v>
      </c>
      <c r="Q138" s="28" t="n">
        <v>0</v>
      </c>
      <c r="R138" s="28" t="n">
        <v>0</v>
      </c>
      <c r="S138" s="28" t="n">
        <v>0</v>
      </c>
      <c r="T138" s="28" t="n">
        <v>0</v>
      </c>
      <c r="U138" s="28" t="n">
        <v>0</v>
      </c>
      <c r="V138" s="28" t="n">
        <v>0</v>
      </c>
      <c r="W138" s="28" t="n">
        <v>0</v>
      </c>
      <c r="X138" s="28" t="n">
        <v>0</v>
      </c>
      <c r="Y138" s="28" t="n">
        <v>0</v>
      </c>
      <c r="Z138" s="28" t="n">
        <v>0</v>
      </c>
      <c r="AA138" s="28" t="n">
        <v>0</v>
      </c>
      <c r="AB138" s="28" t="n">
        <v>0</v>
      </c>
      <c r="AC138" s="28" t="n">
        <v>0</v>
      </c>
      <c r="AD138" s="28" t="n">
        <v>0</v>
      </c>
      <c r="AE138" s="28" t="n">
        <v>0</v>
      </c>
      <c r="AF138" s="28" t="n">
        <v>0</v>
      </c>
      <c r="AG138" s="28" t="n">
        <v>0</v>
      </c>
      <c r="AH138" s="28" t="n">
        <v>0</v>
      </c>
      <c r="AI138" s="28" t="n">
        <v>0</v>
      </c>
      <c r="AJ138" s="28" t="n">
        <v>0</v>
      </c>
      <c r="AK138" s="28" t="n">
        <v>0</v>
      </c>
      <c r="AL138" s="28" t="n">
        <v>0</v>
      </c>
      <c r="AM138" s="28" t="n">
        <v>0</v>
      </c>
      <c r="AN138" s="28" t="n">
        <v>0</v>
      </c>
      <c r="AO138" s="28" t="n">
        <v>0</v>
      </c>
      <c r="AP138" s="28" t="n">
        <v>0</v>
      </c>
      <c r="AQ138" s="28" t="n">
        <v>0</v>
      </c>
      <c r="AR138" s="28" t="n">
        <v>0</v>
      </c>
      <c r="AS138" s="28" t="n">
        <v>0</v>
      </c>
      <c r="AT138" s="28" t="n">
        <v>0</v>
      </c>
      <c r="AU138" s="28" t="n">
        <v>0</v>
      </c>
      <c r="AV138" s="28" t="n">
        <v>0</v>
      </c>
      <c r="AW138" s="28" t="n">
        <v>0</v>
      </c>
      <c r="AX138" s="28" t="n">
        <v>0</v>
      </c>
      <c r="AY138" s="28" t="n">
        <v>0</v>
      </c>
      <c r="AZ138" s="28" t="n">
        <v>0</v>
      </c>
      <c r="BA138" s="28" t="n">
        <v>0</v>
      </c>
      <c r="BB138" s="28" t="n">
        <v>0</v>
      </c>
      <c r="BC138" s="28" t="n">
        <v>0</v>
      </c>
      <c r="BD138" s="28" t="n">
        <v>0</v>
      </c>
      <c r="BE138" s="28" t="n">
        <v>0</v>
      </c>
      <c r="BF138" s="28" t="n">
        <v>0</v>
      </c>
      <c r="BG138" s="28" t="n">
        <v>0</v>
      </c>
      <c r="BH138" s="28" t="n">
        <v>0</v>
      </c>
      <c r="BI138" s="28" t="n">
        <v>0</v>
      </c>
      <c r="BJ138" s="28" t="n">
        <v>0</v>
      </c>
      <c r="BK138" s="28" t="n">
        <v>0</v>
      </c>
      <c r="BL138" s="28" t="n">
        <v>0</v>
      </c>
      <c r="BM138" s="28" t="n">
        <v>0</v>
      </c>
      <c r="BN138" s="28" t="n">
        <v>0</v>
      </c>
      <c r="BO138" s="28" t="n">
        <v>0</v>
      </c>
      <c r="BP138" s="28" t="n">
        <v>0</v>
      </c>
      <c r="BQ138" s="28" t="n">
        <v>0</v>
      </c>
      <c r="BR138" s="28" t="n">
        <v>0</v>
      </c>
      <c r="BS138" s="28" t="n">
        <v>0</v>
      </c>
      <c r="BT138" s="28" t="n">
        <v>0</v>
      </c>
      <c r="BU138" s="28" t="n">
        <v>0</v>
      </c>
      <c r="BV138" s="28" t="n">
        <v>0</v>
      </c>
      <c r="BW138" s="28" t="n">
        <v>0</v>
      </c>
      <c r="BX138" s="28" t="n">
        <v>0</v>
      </c>
      <c r="BY138" s="28" t="n">
        <v>0</v>
      </c>
      <c r="BZ138" s="28" t="n">
        <v>0</v>
      </c>
      <c r="CA138" s="28" t="n">
        <v>0</v>
      </c>
      <c r="CB138" s="28" t="n">
        <v>0</v>
      </c>
      <c r="CC138" s="28" t="n">
        <v>0</v>
      </c>
      <c r="CD138" s="28" t="n">
        <v>0</v>
      </c>
      <c r="CE138" s="28" t="n">
        <v>0</v>
      </c>
      <c r="CF138" s="28" t="n">
        <v>0</v>
      </c>
      <c r="CG138" s="28" t="n">
        <v>0</v>
      </c>
      <c r="CH138" s="28" t="n">
        <v>0</v>
      </c>
      <c r="CI138" s="28" t="n">
        <v>0</v>
      </c>
      <c r="CJ138" s="28" t="n">
        <v>0</v>
      </c>
      <c r="CK138" s="28" t="n">
        <v>0</v>
      </c>
      <c r="CL138" s="28" t="n">
        <v>0</v>
      </c>
      <c r="CM138" s="28" t="n">
        <v>0</v>
      </c>
      <c r="CN138" s="28" t="n">
        <v>0</v>
      </c>
      <c r="CO138" s="28" t="n">
        <v>0</v>
      </c>
      <c r="CP138" s="28" t="n">
        <v>0</v>
      </c>
      <c r="CQ138" s="28" t="n">
        <v>0</v>
      </c>
      <c r="CR138" s="28" t="n">
        <v>0</v>
      </c>
      <c r="CS138" s="28" t="n">
        <v>0</v>
      </c>
      <c r="CT138" s="28" t="n">
        <v>0</v>
      </c>
      <c r="CU138" s="28" t="n">
        <v>0</v>
      </c>
      <c r="CV138" s="28" t="n">
        <v>0</v>
      </c>
      <c r="CW138" s="28" t="n">
        <v>0</v>
      </c>
      <c r="CX138" s="28" t="n">
        <v>0</v>
      </c>
      <c r="CY138" s="28" t="n">
        <v>0</v>
      </c>
      <c r="CZ138" s="28" t="n">
        <v>0</v>
      </c>
      <c r="DA138" s="28" t="n">
        <v>0</v>
      </c>
    </row>
    <row r="139">
      <c r="A139" t="inlineStr">
        <is>
          <t>VSP-607</t>
        </is>
      </c>
      <c r="B139" s="28" t="n">
        <v>0</v>
      </c>
      <c r="C139" s="28" t="n">
        <v>0</v>
      </c>
      <c r="D139" s="28" t="n">
        <v>0</v>
      </c>
      <c r="E139" s="28" t="n">
        <v>0</v>
      </c>
      <c r="F139" s="28" t="n">
        <v>0</v>
      </c>
      <c r="G139" s="28" t="n">
        <v>0</v>
      </c>
      <c r="H139" s="28" t="n">
        <v>0</v>
      </c>
      <c r="I139" s="28" t="n">
        <v>0</v>
      </c>
      <c r="J139" s="28" t="n">
        <v>0</v>
      </c>
      <c r="K139" s="28" t="n">
        <v>0</v>
      </c>
      <c r="L139" s="28" t="n">
        <v>0</v>
      </c>
      <c r="M139" s="28" t="n">
        <v>0</v>
      </c>
      <c r="N139" s="28" t="n">
        <v>0</v>
      </c>
      <c r="O139" s="28" t="n">
        <v>0</v>
      </c>
      <c r="P139" s="28" t="n">
        <v>0</v>
      </c>
      <c r="Q139" s="28" t="n">
        <v>0</v>
      </c>
      <c r="R139" s="28" t="n">
        <v>0</v>
      </c>
      <c r="S139" s="28" t="n">
        <v>0</v>
      </c>
      <c r="T139" s="28" t="n">
        <v>0</v>
      </c>
      <c r="U139" s="28" t="n">
        <v>0</v>
      </c>
      <c r="V139" s="28" t="n">
        <v>0</v>
      </c>
      <c r="W139" s="28" t="n">
        <v>0</v>
      </c>
      <c r="X139" s="28" t="n">
        <v>0</v>
      </c>
      <c r="Y139" s="28" t="n">
        <v>0</v>
      </c>
      <c r="Z139" s="28" t="n">
        <v>0</v>
      </c>
      <c r="AA139" s="28" t="n">
        <v>0</v>
      </c>
      <c r="AB139" s="28" t="n">
        <v>0</v>
      </c>
      <c r="AC139" s="28" t="n">
        <v>0</v>
      </c>
      <c r="AD139" s="28" t="n">
        <v>0</v>
      </c>
      <c r="AE139" s="28" t="n">
        <v>0</v>
      </c>
      <c r="AF139" s="28" t="n">
        <v>0</v>
      </c>
      <c r="AG139" s="28" t="n">
        <v>0</v>
      </c>
      <c r="AH139" s="28" t="n">
        <v>0</v>
      </c>
      <c r="AI139" s="28" t="n">
        <v>0</v>
      </c>
      <c r="AJ139" s="28" t="n">
        <v>0</v>
      </c>
      <c r="AK139" s="28" t="n">
        <v>0</v>
      </c>
      <c r="AL139" s="28" t="n">
        <v>0</v>
      </c>
      <c r="AM139" s="28" t="n">
        <v>0</v>
      </c>
      <c r="AN139" s="28" t="n">
        <v>0</v>
      </c>
      <c r="AO139" s="28" t="n">
        <v>0</v>
      </c>
      <c r="AP139" s="28" t="n">
        <v>0</v>
      </c>
      <c r="AQ139" s="28" t="n">
        <v>0</v>
      </c>
      <c r="AR139" s="28" t="n">
        <v>0</v>
      </c>
      <c r="AS139" s="28" t="n">
        <v>0</v>
      </c>
      <c r="AT139" s="28" t="n">
        <v>0</v>
      </c>
      <c r="AU139" s="28" t="n">
        <v>0</v>
      </c>
      <c r="AV139" s="28" t="n">
        <v>0</v>
      </c>
      <c r="AW139" s="28" t="n">
        <v>0</v>
      </c>
      <c r="AX139" s="28" t="n">
        <v>0</v>
      </c>
      <c r="AY139" s="28" t="n">
        <v>0</v>
      </c>
      <c r="AZ139" s="28" t="n">
        <v>0</v>
      </c>
      <c r="BA139" s="28" t="n">
        <v>0</v>
      </c>
      <c r="BB139" s="28" t="n">
        <v>0</v>
      </c>
      <c r="BC139" s="28" t="n">
        <v>0</v>
      </c>
      <c r="BD139" s="28" t="n">
        <v>0</v>
      </c>
      <c r="BE139" s="28" t="n">
        <v>0</v>
      </c>
      <c r="BF139" s="28" t="n">
        <v>0</v>
      </c>
      <c r="BG139" s="28" t="n">
        <v>0</v>
      </c>
      <c r="BH139" s="28" t="n">
        <v>0</v>
      </c>
      <c r="BI139" s="28" t="n">
        <v>0</v>
      </c>
      <c r="BJ139" s="28" t="n">
        <v>0</v>
      </c>
      <c r="BK139" s="28" t="n">
        <v>0</v>
      </c>
      <c r="BL139" s="28" t="n">
        <v>0</v>
      </c>
      <c r="BM139" s="28" t="n">
        <v>0</v>
      </c>
      <c r="BN139" s="28" t="n">
        <v>0</v>
      </c>
      <c r="BO139" s="28" t="n">
        <v>0</v>
      </c>
      <c r="BP139" s="28" t="n">
        <v>0</v>
      </c>
      <c r="BQ139" s="28" t="n">
        <v>0</v>
      </c>
      <c r="BR139" s="28" t="n">
        <v>0</v>
      </c>
      <c r="BS139" s="28" t="n">
        <v>0</v>
      </c>
      <c r="BT139" s="28" t="n">
        <v>0</v>
      </c>
      <c r="BU139" s="28" t="n">
        <v>0</v>
      </c>
      <c r="BV139" s="28" t="n">
        <v>0</v>
      </c>
      <c r="BW139" s="28" t="n">
        <v>0</v>
      </c>
      <c r="BX139" s="28" t="n">
        <v>0</v>
      </c>
      <c r="BY139" s="28" t="n">
        <v>0</v>
      </c>
      <c r="BZ139" s="28" t="n">
        <v>0</v>
      </c>
      <c r="CA139" s="28" t="n">
        <v>0</v>
      </c>
      <c r="CB139" s="28" t="n">
        <v>0</v>
      </c>
      <c r="CC139" s="28" t="n">
        <v>0</v>
      </c>
      <c r="CD139" s="28" t="n">
        <v>0</v>
      </c>
      <c r="CE139" s="28" t="n">
        <v>0</v>
      </c>
      <c r="CF139" s="28" t="n">
        <v>0</v>
      </c>
      <c r="CG139" s="28" t="n">
        <v>0</v>
      </c>
      <c r="CH139" s="28" t="n">
        <v>0</v>
      </c>
      <c r="CI139" s="28" t="n">
        <v>0</v>
      </c>
      <c r="CJ139" s="28" t="n">
        <v>0</v>
      </c>
      <c r="CK139" s="28" t="n">
        <v>0</v>
      </c>
      <c r="CL139" s="28" t="n">
        <v>0</v>
      </c>
      <c r="CM139" s="28" t="n">
        <v>0</v>
      </c>
      <c r="CN139" s="28" t="n">
        <v>0</v>
      </c>
      <c r="CO139" s="28" t="n">
        <v>0</v>
      </c>
      <c r="CP139" s="28" t="n">
        <v>0</v>
      </c>
      <c r="CQ139" s="28" t="n">
        <v>0</v>
      </c>
      <c r="CR139" s="28" t="n">
        <v>0</v>
      </c>
      <c r="CS139" s="28" t="n">
        <v>0</v>
      </c>
      <c r="CT139" s="28" t="n">
        <v>0</v>
      </c>
      <c r="CU139" s="28" t="n">
        <v>0</v>
      </c>
      <c r="CV139" s="28" t="n">
        <v>0</v>
      </c>
      <c r="CW139" s="28" t="n">
        <v>0</v>
      </c>
      <c r="CX139" s="28" t="n">
        <v>0</v>
      </c>
      <c r="CY139" s="28" t="n">
        <v>0</v>
      </c>
      <c r="CZ139" s="28" t="n">
        <v>0</v>
      </c>
      <c r="DA139" s="28" t="n">
        <v>0</v>
      </c>
    </row>
    <row r="140">
      <c r="A140" t="inlineStr">
        <is>
          <t>VSP-738</t>
        </is>
      </c>
      <c r="B140" s="28" t="n">
        <v>0</v>
      </c>
      <c r="C140" s="28" t="n">
        <v>0</v>
      </c>
      <c r="D140" s="28" t="n">
        <v>0</v>
      </c>
      <c r="E140" s="28" t="n">
        <v>0</v>
      </c>
      <c r="F140" s="28" t="n">
        <v>0</v>
      </c>
      <c r="G140" s="28" t="n">
        <v>0</v>
      </c>
      <c r="H140" s="28" t="n">
        <v>0</v>
      </c>
      <c r="I140" s="28" t="n">
        <v>0</v>
      </c>
      <c r="J140" s="28" t="n">
        <v>0</v>
      </c>
      <c r="K140" s="28" t="n">
        <v>0</v>
      </c>
      <c r="L140" s="28" t="n">
        <v>0</v>
      </c>
      <c r="M140" s="28" t="n">
        <v>0</v>
      </c>
      <c r="N140" s="28" t="n">
        <v>0</v>
      </c>
      <c r="O140" s="28" t="n">
        <v>0</v>
      </c>
      <c r="P140" s="28" t="n">
        <v>0</v>
      </c>
      <c r="Q140" s="28" t="n">
        <v>0</v>
      </c>
      <c r="R140" s="28" t="n">
        <v>0</v>
      </c>
      <c r="S140" s="28" t="n">
        <v>0</v>
      </c>
      <c r="T140" s="28" t="n">
        <v>0</v>
      </c>
      <c r="U140" s="28" t="n">
        <v>0</v>
      </c>
      <c r="V140" s="28" t="n">
        <v>0</v>
      </c>
      <c r="W140" s="28" t="n">
        <v>0</v>
      </c>
      <c r="X140" s="28" t="n">
        <v>0</v>
      </c>
      <c r="Y140" s="28" t="n">
        <v>0</v>
      </c>
      <c r="Z140" s="28" t="n">
        <v>0</v>
      </c>
      <c r="AA140" s="28" t="n">
        <v>0</v>
      </c>
      <c r="AB140" s="28" t="n">
        <v>0</v>
      </c>
      <c r="AC140" s="28" t="n">
        <v>0</v>
      </c>
      <c r="AD140" s="28" t="n">
        <v>0</v>
      </c>
      <c r="AE140" s="28" t="n">
        <v>0</v>
      </c>
      <c r="AF140" s="28" t="n">
        <v>0</v>
      </c>
      <c r="AG140" s="28" t="n">
        <v>0</v>
      </c>
      <c r="AH140" s="28" t="n">
        <v>0</v>
      </c>
      <c r="AI140" s="28" t="n">
        <v>0</v>
      </c>
      <c r="AJ140" s="28" t="n">
        <v>0</v>
      </c>
      <c r="AK140" s="28" t="n">
        <v>0</v>
      </c>
      <c r="AL140" s="28" t="n">
        <v>0</v>
      </c>
      <c r="AM140" s="28" t="n">
        <v>0</v>
      </c>
      <c r="AN140" s="28" t="n">
        <v>0</v>
      </c>
      <c r="AO140" s="28" t="n">
        <v>0</v>
      </c>
      <c r="AP140" s="28" t="n">
        <v>0</v>
      </c>
      <c r="AQ140" s="28" t="n">
        <v>0</v>
      </c>
      <c r="AR140" s="28" t="n">
        <v>0</v>
      </c>
      <c r="AS140" s="28" t="n">
        <v>0</v>
      </c>
      <c r="AT140" s="28" t="n">
        <v>0</v>
      </c>
      <c r="AU140" s="28" t="n">
        <v>0</v>
      </c>
      <c r="AV140" s="28" t="n">
        <v>0</v>
      </c>
      <c r="AW140" s="28" t="n">
        <v>0</v>
      </c>
      <c r="AX140" s="28" t="n">
        <v>0</v>
      </c>
      <c r="AY140" s="28" t="n">
        <v>0</v>
      </c>
      <c r="AZ140" s="28" t="n">
        <v>0</v>
      </c>
      <c r="BA140" s="28" t="n">
        <v>0</v>
      </c>
      <c r="BB140" s="28" t="n">
        <v>0</v>
      </c>
      <c r="BC140" s="28" t="n">
        <v>0</v>
      </c>
      <c r="BD140" s="28" t="n">
        <v>0</v>
      </c>
      <c r="BE140" s="28" t="n">
        <v>0</v>
      </c>
      <c r="BF140" s="28" t="n">
        <v>0</v>
      </c>
      <c r="BG140" s="28" t="n">
        <v>0</v>
      </c>
      <c r="BH140" s="28" t="n">
        <v>0</v>
      </c>
      <c r="BI140" s="28" t="n">
        <v>0</v>
      </c>
      <c r="BJ140" s="28" t="n">
        <v>0</v>
      </c>
      <c r="BK140" s="28" t="n">
        <v>0</v>
      </c>
      <c r="BL140" s="28" t="n">
        <v>0</v>
      </c>
      <c r="BM140" s="28" t="n">
        <v>0</v>
      </c>
      <c r="BN140" s="28" t="n">
        <v>0</v>
      </c>
      <c r="BO140" s="28" t="n">
        <v>0</v>
      </c>
      <c r="BP140" s="28" t="n">
        <v>0</v>
      </c>
      <c r="BQ140" s="28" t="n">
        <v>0</v>
      </c>
      <c r="BR140" s="28" t="n">
        <v>0</v>
      </c>
      <c r="BS140" s="28" t="n">
        <v>0</v>
      </c>
      <c r="BT140" s="28" t="n">
        <v>0</v>
      </c>
      <c r="BU140" s="28" t="n">
        <v>0</v>
      </c>
      <c r="BV140" s="28" t="n">
        <v>0</v>
      </c>
      <c r="BW140" s="28" t="n">
        <v>0</v>
      </c>
      <c r="BX140" s="28" t="n">
        <v>0</v>
      </c>
      <c r="BY140" s="28" t="n">
        <v>0</v>
      </c>
      <c r="BZ140" s="28" t="n">
        <v>0</v>
      </c>
      <c r="CA140" s="28" t="n">
        <v>0</v>
      </c>
      <c r="CB140" s="28" t="n">
        <v>0</v>
      </c>
      <c r="CC140" s="28" t="n">
        <v>0</v>
      </c>
      <c r="CD140" s="28" t="n">
        <v>0</v>
      </c>
      <c r="CE140" s="28" t="n">
        <v>0</v>
      </c>
      <c r="CF140" s="28" t="n">
        <v>0</v>
      </c>
      <c r="CG140" s="28" t="n">
        <v>0</v>
      </c>
      <c r="CH140" s="28" t="n">
        <v>0</v>
      </c>
      <c r="CI140" s="28" t="n">
        <v>0</v>
      </c>
      <c r="CJ140" s="28" t="n">
        <v>0</v>
      </c>
      <c r="CK140" s="28" t="n">
        <v>0</v>
      </c>
      <c r="CL140" s="28" t="n">
        <v>0</v>
      </c>
      <c r="CM140" s="28" t="n">
        <v>0</v>
      </c>
      <c r="CN140" s="28" t="n">
        <v>0</v>
      </c>
      <c r="CO140" s="28" t="n">
        <v>0</v>
      </c>
      <c r="CP140" s="28" t="n">
        <v>0</v>
      </c>
      <c r="CQ140" s="28" t="n">
        <v>0</v>
      </c>
      <c r="CR140" s="28" t="n">
        <v>0</v>
      </c>
      <c r="CS140" s="28" t="n">
        <v>0</v>
      </c>
      <c r="CT140" s="28" t="n">
        <v>0</v>
      </c>
      <c r="CU140" s="28" t="n">
        <v>0</v>
      </c>
      <c r="CV140" s="28" t="n">
        <v>0</v>
      </c>
      <c r="CW140" s="28" t="n">
        <v>0</v>
      </c>
      <c r="CX140" s="28" t="n">
        <v>0</v>
      </c>
      <c r="CY140" s="28" t="n">
        <v>0</v>
      </c>
      <c r="CZ140" s="28" t="n">
        <v>0</v>
      </c>
      <c r="DA140" s="28" t="n">
        <v>0</v>
      </c>
    </row>
    <row r="141">
      <c r="A141" t="inlineStr">
        <is>
          <t>VSP-739</t>
        </is>
      </c>
      <c r="B141" s="28" t="n">
        <v>0</v>
      </c>
      <c r="C141" s="28" t="n">
        <v>0</v>
      </c>
      <c r="D141" s="28" t="n">
        <v>0</v>
      </c>
      <c r="E141" s="28" t="n">
        <v>0</v>
      </c>
      <c r="F141" s="28" t="n">
        <v>0</v>
      </c>
      <c r="G141" s="28" t="n">
        <v>0</v>
      </c>
      <c r="H141" s="28" t="n">
        <v>0</v>
      </c>
      <c r="I141" s="28" t="n">
        <v>0</v>
      </c>
      <c r="J141" s="28" t="n">
        <v>0</v>
      </c>
      <c r="K141" s="28" t="n">
        <v>0</v>
      </c>
      <c r="L141" s="28" t="n">
        <v>0</v>
      </c>
      <c r="M141" s="28" t="n">
        <v>0</v>
      </c>
      <c r="N141" s="28" t="n">
        <v>0</v>
      </c>
      <c r="O141" s="28" t="n">
        <v>0</v>
      </c>
      <c r="P141" s="28" t="n">
        <v>0</v>
      </c>
      <c r="Q141" s="28" t="n">
        <v>0</v>
      </c>
      <c r="R141" s="28" t="n">
        <v>0</v>
      </c>
      <c r="S141" s="28" t="n">
        <v>0</v>
      </c>
      <c r="T141" s="28" t="n">
        <v>0</v>
      </c>
      <c r="U141" s="28" t="n">
        <v>0</v>
      </c>
      <c r="V141" s="28" t="n">
        <v>0</v>
      </c>
      <c r="W141" s="28" t="n">
        <v>0</v>
      </c>
      <c r="X141" s="28" t="n">
        <v>0</v>
      </c>
      <c r="Y141" s="28" t="n">
        <v>0</v>
      </c>
      <c r="Z141" s="28" t="n">
        <v>0</v>
      </c>
      <c r="AA141" s="28" t="n">
        <v>0</v>
      </c>
      <c r="AB141" s="28" t="n">
        <v>0</v>
      </c>
      <c r="AC141" s="28" t="n">
        <v>0</v>
      </c>
      <c r="AD141" s="28" t="n">
        <v>0</v>
      </c>
      <c r="AE141" s="28" t="n">
        <v>0</v>
      </c>
      <c r="AF141" s="28" t="n">
        <v>0</v>
      </c>
      <c r="AG141" s="28" t="n">
        <v>0</v>
      </c>
      <c r="AH141" s="28" t="n">
        <v>0</v>
      </c>
      <c r="AI141" s="28" t="n">
        <v>0</v>
      </c>
      <c r="AJ141" s="28" t="n">
        <v>0</v>
      </c>
      <c r="AK141" s="28" t="n">
        <v>0</v>
      </c>
      <c r="AL141" s="28" t="n">
        <v>0</v>
      </c>
      <c r="AM141" s="28" t="n">
        <v>0</v>
      </c>
      <c r="AN141" s="28" t="n">
        <v>0</v>
      </c>
      <c r="AO141" s="28" t="n">
        <v>0</v>
      </c>
      <c r="AP141" s="28" t="n">
        <v>0</v>
      </c>
      <c r="AQ141" s="28" t="n">
        <v>0</v>
      </c>
      <c r="AR141" s="28" t="n">
        <v>0</v>
      </c>
      <c r="AS141" s="28" t="n">
        <v>0</v>
      </c>
      <c r="AT141" s="28" t="n">
        <v>0</v>
      </c>
      <c r="AU141" s="28" t="n">
        <v>0</v>
      </c>
      <c r="AV141" s="28" t="n">
        <v>0</v>
      </c>
      <c r="AW141" s="28" t="n">
        <v>0</v>
      </c>
      <c r="AX141" s="28" t="n">
        <v>0</v>
      </c>
      <c r="AY141" s="28" t="n">
        <v>0</v>
      </c>
      <c r="AZ141" s="28" t="n">
        <v>0</v>
      </c>
      <c r="BA141" s="28" t="n">
        <v>0</v>
      </c>
      <c r="BB141" s="28" t="n">
        <v>0</v>
      </c>
      <c r="BC141" s="28" t="n">
        <v>0</v>
      </c>
      <c r="BD141" s="28" t="n">
        <v>0</v>
      </c>
      <c r="BE141" s="28" t="n">
        <v>0</v>
      </c>
      <c r="BF141" s="28" t="n">
        <v>0</v>
      </c>
      <c r="BG141" s="28" t="n">
        <v>0</v>
      </c>
      <c r="BH141" s="28" t="n">
        <v>0</v>
      </c>
      <c r="BI141" s="28" t="n">
        <v>0</v>
      </c>
      <c r="BJ141" s="28" t="n">
        <v>0</v>
      </c>
      <c r="BK141" s="28" t="n">
        <v>0</v>
      </c>
      <c r="BL141" s="28" t="n">
        <v>0</v>
      </c>
      <c r="BM141" s="28" t="n">
        <v>0</v>
      </c>
      <c r="BN141" s="28" t="n">
        <v>0</v>
      </c>
      <c r="BO141" s="28" t="n">
        <v>0</v>
      </c>
      <c r="BP141" s="28" t="n">
        <v>0</v>
      </c>
      <c r="BQ141" s="28" t="n">
        <v>0</v>
      </c>
      <c r="BR141" s="28" t="n">
        <v>0</v>
      </c>
      <c r="BS141" s="28" t="n">
        <v>0</v>
      </c>
      <c r="BT141" s="28" t="n">
        <v>0</v>
      </c>
      <c r="BU141" s="28" t="n">
        <v>0</v>
      </c>
      <c r="BV141" s="28" t="n">
        <v>0</v>
      </c>
      <c r="BW141" s="28" t="n">
        <v>0</v>
      </c>
      <c r="BX141" s="28" t="n">
        <v>0</v>
      </c>
      <c r="BY141" s="28" t="n">
        <v>0</v>
      </c>
      <c r="BZ141" s="28" t="n">
        <v>0</v>
      </c>
      <c r="CA141" s="28" t="n">
        <v>0</v>
      </c>
      <c r="CB141" s="28" t="n">
        <v>0</v>
      </c>
      <c r="CC141" s="28" t="n">
        <v>0</v>
      </c>
      <c r="CD141" s="28" t="n">
        <v>0</v>
      </c>
      <c r="CE141" s="28" t="n">
        <v>0</v>
      </c>
      <c r="CF141" s="28" t="n">
        <v>0</v>
      </c>
      <c r="CG141" s="28" t="n">
        <v>0</v>
      </c>
      <c r="CH141" s="28" t="n">
        <v>0</v>
      </c>
      <c r="CI141" s="28" t="n">
        <v>0</v>
      </c>
      <c r="CJ141" s="28" t="n">
        <v>0</v>
      </c>
      <c r="CK141" s="28" t="n">
        <v>0</v>
      </c>
      <c r="CL141" s="28" t="n">
        <v>0</v>
      </c>
      <c r="CM141" s="28" t="n">
        <v>0</v>
      </c>
      <c r="CN141" s="28" t="n">
        <v>0</v>
      </c>
      <c r="CO141" s="28" t="n">
        <v>0</v>
      </c>
      <c r="CP141" s="28" t="n">
        <v>0</v>
      </c>
      <c r="CQ141" s="28" t="n">
        <v>0</v>
      </c>
      <c r="CR141" s="28" t="n">
        <v>0</v>
      </c>
      <c r="CS141" s="28" t="n">
        <v>0</v>
      </c>
      <c r="CT141" s="28" t="n">
        <v>0</v>
      </c>
      <c r="CU141" s="28" t="n">
        <v>0</v>
      </c>
      <c r="CV141" s="28" t="n">
        <v>0</v>
      </c>
      <c r="CW141" s="28" t="n">
        <v>0</v>
      </c>
      <c r="CX141" s="28" t="n">
        <v>0</v>
      </c>
      <c r="CY141" s="28" t="n">
        <v>0</v>
      </c>
      <c r="CZ141" s="28" t="n">
        <v>0</v>
      </c>
      <c r="DA141" s="28" t="n">
        <v>0</v>
      </c>
    </row>
    <row r="142">
      <c r="A142" t="inlineStr">
        <is>
          <t>VSP-740</t>
        </is>
      </c>
      <c r="B142" s="28" t="n">
        <v>0</v>
      </c>
      <c r="C142" s="28" t="n">
        <v>0</v>
      </c>
      <c r="D142" s="28" t="n">
        <v>0</v>
      </c>
      <c r="E142" s="28" t="n">
        <v>0</v>
      </c>
      <c r="F142" s="28" t="n">
        <v>0</v>
      </c>
      <c r="G142" s="28" t="n">
        <v>0</v>
      </c>
      <c r="H142" s="28" t="n">
        <v>0</v>
      </c>
      <c r="I142" s="28" t="n">
        <v>0</v>
      </c>
      <c r="J142" s="28" t="n">
        <v>0</v>
      </c>
      <c r="K142" s="28" t="n">
        <v>0</v>
      </c>
      <c r="L142" s="28" t="n">
        <v>0</v>
      </c>
      <c r="M142" s="28" t="n">
        <v>0</v>
      </c>
      <c r="N142" s="28" t="n">
        <v>0</v>
      </c>
      <c r="O142" s="28" t="n">
        <v>0</v>
      </c>
      <c r="P142" s="28" t="n">
        <v>0</v>
      </c>
      <c r="Q142" s="28" t="n">
        <v>0</v>
      </c>
      <c r="R142" s="28" t="n">
        <v>0</v>
      </c>
      <c r="S142" s="28" t="n">
        <v>0</v>
      </c>
      <c r="T142" s="28" t="n">
        <v>0</v>
      </c>
      <c r="U142" s="28" t="n">
        <v>0</v>
      </c>
      <c r="V142" s="28" t="n">
        <v>0</v>
      </c>
      <c r="W142" s="28" t="n">
        <v>0</v>
      </c>
      <c r="X142" s="28" t="n">
        <v>0</v>
      </c>
      <c r="Y142" s="28" t="n">
        <v>0</v>
      </c>
      <c r="Z142" s="28" t="n">
        <v>0</v>
      </c>
      <c r="AA142" s="28" t="n">
        <v>0</v>
      </c>
      <c r="AB142" s="28" t="n">
        <v>0</v>
      </c>
      <c r="AC142" s="28" t="n">
        <v>0</v>
      </c>
      <c r="AD142" s="28" t="n">
        <v>0</v>
      </c>
      <c r="AE142" s="28" t="n">
        <v>0</v>
      </c>
      <c r="AF142" s="28" t="n">
        <v>0</v>
      </c>
      <c r="AG142" s="28" t="n">
        <v>0</v>
      </c>
      <c r="AH142" s="28" t="n">
        <v>0</v>
      </c>
      <c r="AI142" s="28" t="n">
        <v>0</v>
      </c>
      <c r="AJ142" s="28" t="n">
        <v>0</v>
      </c>
      <c r="AK142" s="28" t="n">
        <v>0</v>
      </c>
      <c r="AL142" s="28" t="n">
        <v>0</v>
      </c>
      <c r="AM142" s="28" t="n">
        <v>0</v>
      </c>
      <c r="AN142" s="28" t="n">
        <v>0</v>
      </c>
      <c r="AO142" s="28" t="n">
        <v>0</v>
      </c>
      <c r="AP142" s="28" t="n">
        <v>0</v>
      </c>
      <c r="AQ142" s="28" t="n">
        <v>0</v>
      </c>
      <c r="AR142" s="28" t="n">
        <v>0</v>
      </c>
      <c r="AS142" s="28" t="n">
        <v>0</v>
      </c>
      <c r="AT142" s="28" t="n">
        <v>0</v>
      </c>
      <c r="AU142" s="28" t="n">
        <v>0</v>
      </c>
      <c r="AV142" s="28" t="n">
        <v>0</v>
      </c>
      <c r="AW142" s="28" t="n">
        <v>0</v>
      </c>
      <c r="AX142" s="28" t="n">
        <v>0</v>
      </c>
      <c r="AY142" s="28" t="n">
        <v>0</v>
      </c>
      <c r="AZ142" s="28" t="n">
        <v>0</v>
      </c>
      <c r="BA142" s="28" t="n">
        <v>0</v>
      </c>
      <c r="BB142" s="28" t="n">
        <v>0</v>
      </c>
      <c r="BC142" s="28" t="n">
        <v>0</v>
      </c>
      <c r="BD142" s="28" t="n">
        <v>0</v>
      </c>
      <c r="BE142" s="28" t="n">
        <v>0</v>
      </c>
      <c r="BF142" s="28" t="n">
        <v>0</v>
      </c>
      <c r="BG142" s="28" t="n">
        <v>0</v>
      </c>
      <c r="BH142" s="28" t="n">
        <v>0</v>
      </c>
      <c r="BI142" s="28" t="n">
        <v>0</v>
      </c>
      <c r="BJ142" s="28" t="n">
        <v>0</v>
      </c>
      <c r="BK142" s="28" t="n">
        <v>0</v>
      </c>
      <c r="BL142" s="28" t="n">
        <v>0</v>
      </c>
      <c r="BM142" s="28" t="n">
        <v>0</v>
      </c>
      <c r="BN142" s="28" t="n">
        <v>0</v>
      </c>
      <c r="BO142" s="28" t="n">
        <v>0</v>
      </c>
      <c r="BP142" s="28" t="n">
        <v>0</v>
      </c>
      <c r="BQ142" s="28" t="n">
        <v>0</v>
      </c>
      <c r="BR142" s="28" t="n">
        <v>0</v>
      </c>
      <c r="BS142" s="28" t="n">
        <v>0</v>
      </c>
      <c r="BT142" s="28" t="n">
        <v>0</v>
      </c>
      <c r="BU142" s="28" t="n">
        <v>0</v>
      </c>
      <c r="BV142" s="28" t="n">
        <v>0</v>
      </c>
      <c r="BW142" s="28" t="n">
        <v>0</v>
      </c>
      <c r="BX142" s="28" t="n">
        <v>0</v>
      </c>
      <c r="BY142" s="28" t="n">
        <v>0</v>
      </c>
      <c r="BZ142" s="28" t="n">
        <v>0</v>
      </c>
      <c r="CA142" s="28" t="n">
        <v>0</v>
      </c>
      <c r="CB142" s="28" t="n">
        <v>0</v>
      </c>
      <c r="CC142" s="28" t="n">
        <v>0</v>
      </c>
      <c r="CD142" s="28" t="n">
        <v>0</v>
      </c>
      <c r="CE142" s="28" t="n">
        <v>0</v>
      </c>
      <c r="CF142" s="28" t="n">
        <v>0</v>
      </c>
      <c r="CG142" s="28" t="n">
        <v>0</v>
      </c>
      <c r="CH142" s="28" t="n">
        <v>0</v>
      </c>
      <c r="CI142" s="28" t="n">
        <v>0</v>
      </c>
      <c r="CJ142" s="28" t="n">
        <v>0</v>
      </c>
      <c r="CK142" s="28" t="n">
        <v>0</v>
      </c>
      <c r="CL142" s="28" t="n">
        <v>0</v>
      </c>
      <c r="CM142" s="28" t="n">
        <v>0</v>
      </c>
      <c r="CN142" s="28" t="n">
        <v>0</v>
      </c>
      <c r="CO142" s="28" t="n">
        <v>0</v>
      </c>
      <c r="CP142" s="28" t="n">
        <v>0</v>
      </c>
      <c r="CQ142" s="28" t="n">
        <v>0</v>
      </c>
      <c r="CR142" s="28" t="n">
        <v>0</v>
      </c>
      <c r="CS142" s="28" t="n">
        <v>0</v>
      </c>
      <c r="CT142" s="28" t="n">
        <v>0</v>
      </c>
      <c r="CU142" s="28" t="n">
        <v>0</v>
      </c>
      <c r="CV142" s="28" t="n">
        <v>0</v>
      </c>
      <c r="CW142" s="28" t="n">
        <v>0</v>
      </c>
      <c r="CX142" s="28" t="n">
        <v>0</v>
      </c>
      <c r="CY142" s="28" t="n">
        <v>0</v>
      </c>
      <c r="CZ142" s="28" t="n">
        <v>0</v>
      </c>
      <c r="DA142" s="28" t="n">
        <v>0</v>
      </c>
    </row>
    <row r="143">
      <c r="A143" t="inlineStr">
        <is>
          <t>VSP-746</t>
        </is>
      </c>
      <c r="B143" s="28" t="n">
        <v>0</v>
      </c>
      <c r="C143" s="28" t="n">
        <v>0</v>
      </c>
      <c r="D143" s="28" t="n">
        <v>0</v>
      </c>
      <c r="E143" s="28" t="n">
        <v>0</v>
      </c>
      <c r="F143" s="28" t="n">
        <v>0</v>
      </c>
      <c r="G143" s="28" t="n">
        <v>0</v>
      </c>
      <c r="H143" s="28" t="n">
        <v>0</v>
      </c>
      <c r="I143" s="28" t="n">
        <v>0</v>
      </c>
      <c r="J143" s="28" t="n">
        <v>0</v>
      </c>
      <c r="K143" s="28" t="n">
        <v>0</v>
      </c>
      <c r="L143" s="28" t="n">
        <v>0</v>
      </c>
      <c r="M143" s="28" t="n">
        <v>0</v>
      </c>
      <c r="N143" s="28" t="n">
        <v>0</v>
      </c>
      <c r="O143" s="28" t="n">
        <v>0</v>
      </c>
      <c r="P143" s="28" t="n">
        <v>0</v>
      </c>
      <c r="Q143" s="28" t="n">
        <v>0</v>
      </c>
      <c r="R143" s="28" t="n">
        <v>0</v>
      </c>
      <c r="S143" s="28" t="n">
        <v>0</v>
      </c>
      <c r="T143" s="28" t="n">
        <v>0</v>
      </c>
      <c r="U143" s="28" t="n">
        <v>0</v>
      </c>
      <c r="V143" s="28" t="n">
        <v>0</v>
      </c>
      <c r="W143" s="28" t="n">
        <v>0</v>
      </c>
      <c r="X143" s="28" t="n">
        <v>0</v>
      </c>
      <c r="Y143" s="28" t="n">
        <v>0</v>
      </c>
      <c r="Z143" s="28" t="n">
        <v>0</v>
      </c>
      <c r="AA143" s="28" t="n">
        <v>0</v>
      </c>
      <c r="AB143" s="28" t="n">
        <v>0</v>
      </c>
      <c r="AC143" s="28" t="n">
        <v>0</v>
      </c>
      <c r="AD143" s="28" t="n">
        <v>0</v>
      </c>
      <c r="AE143" s="28" t="n">
        <v>0</v>
      </c>
      <c r="AF143" s="28" t="n">
        <v>0</v>
      </c>
      <c r="AG143" s="28" t="n">
        <v>0</v>
      </c>
      <c r="AH143" s="28" t="n">
        <v>0</v>
      </c>
      <c r="AI143" s="28" t="n">
        <v>0</v>
      </c>
      <c r="AJ143" s="28" t="n">
        <v>0</v>
      </c>
      <c r="AK143" s="28" t="n">
        <v>0</v>
      </c>
      <c r="AL143" s="28" t="n">
        <v>0</v>
      </c>
      <c r="AM143" s="28" t="n">
        <v>0</v>
      </c>
      <c r="AN143" s="28" t="n">
        <v>0</v>
      </c>
      <c r="AO143" s="28" t="n">
        <v>0</v>
      </c>
      <c r="AP143" s="28" t="n">
        <v>0</v>
      </c>
      <c r="AQ143" s="28" t="n">
        <v>0</v>
      </c>
      <c r="AR143" s="28" t="n">
        <v>0</v>
      </c>
      <c r="AS143" s="28" t="n">
        <v>0</v>
      </c>
      <c r="AT143" s="28" t="n">
        <v>0</v>
      </c>
      <c r="AU143" s="28" t="n">
        <v>0</v>
      </c>
      <c r="AV143" s="28" t="n">
        <v>0</v>
      </c>
      <c r="AW143" s="28" t="n">
        <v>0</v>
      </c>
      <c r="AX143" s="28" t="n">
        <v>0</v>
      </c>
      <c r="AY143" s="28" t="n">
        <v>0</v>
      </c>
      <c r="AZ143" s="28" t="n">
        <v>0</v>
      </c>
      <c r="BA143" s="28" t="n">
        <v>0</v>
      </c>
      <c r="BB143" s="28" t="n">
        <v>0</v>
      </c>
      <c r="BC143" s="28" t="n">
        <v>0</v>
      </c>
      <c r="BD143" s="28" t="n">
        <v>0</v>
      </c>
      <c r="BE143" s="28" t="n">
        <v>0</v>
      </c>
      <c r="BF143" s="28" t="n">
        <v>0</v>
      </c>
      <c r="BG143" s="28" t="n">
        <v>0</v>
      </c>
      <c r="BH143" s="28" t="n">
        <v>0</v>
      </c>
      <c r="BI143" s="28" t="n">
        <v>0</v>
      </c>
      <c r="BJ143" s="28" t="n">
        <v>0</v>
      </c>
      <c r="BK143" s="28" t="n">
        <v>0</v>
      </c>
      <c r="BL143" s="28" t="n">
        <v>0</v>
      </c>
      <c r="BM143" s="28" t="n">
        <v>0</v>
      </c>
      <c r="BN143" s="28" t="n">
        <v>0</v>
      </c>
      <c r="BO143" s="28" t="n">
        <v>0</v>
      </c>
      <c r="BP143" s="28" t="n">
        <v>0</v>
      </c>
      <c r="BQ143" s="28" t="n">
        <v>0</v>
      </c>
      <c r="BR143" s="28" t="n">
        <v>0</v>
      </c>
      <c r="BS143" s="28" t="n">
        <v>0</v>
      </c>
      <c r="BT143" s="28" t="n">
        <v>0</v>
      </c>
      <c r="BU143" s="28" t="n">
        <v>0</v>
      </c>
      <c r="BV143" s="28" t="n">
        <v>0</v>
      </c>
      <c r="BW143" s="28" t="n">
        <v>0</v>
      </c>
      <c r="BX143" s="28" t="n">
        <v>0</v>
      </c>
      <c r="BY143" s="28" t="n">
        <v>0</v>
      </c>
      <c r="BZ143" s="28" t="n">
        <v>0</v>
      </c>
      <c r="CA143" s="28" t="n">
        <v>0</v>
      </c>
      <c r="CB143" s="28" t="n">
        <v>0</v>
      </c>
      <c r="CC143" s="28" t="n">
        <v>0</v>
      </c>
      <c r="CD143" s="28" t="n">
        <v>0</v>
      </c>
      <c r="CE143" s="28" t="n">
        <v>0</v>
      </c>
      <c r="CF143" s="28" t="n">
        <v>0</v>
      </c>
      <c r="CG143" s="28" t="n">
        <v>0</v>
      </c>
      <c r="CH143" s="28" t="n">
        <v>0</v>
      </c>
      <c r="CI143" s="28" t="n">
        <v>0</v>
      </c>
      <c r="CJ143" s="28" t="n">
        <v>0</v>
      </c>
      <c r="CK143" s="28" t="n">
        <v>0</v>
      </c>
      <c r="CL143" s="28" t="n">
        <v>0</v>
      </c>
      <c r="CM143" s="28" t="n">
        <v>0</v>
      </c>
      <c r="CN143" s="28" t="n">
        <v>0</v>
      </c>
      <c r="CO143" s="28" t="n">
        <v>0</v>
      </c>
      <c r="CP143" s="28" t="n">
        <v>0</v>
      </c>
      <c r="CQ143" s="28" t="n">
        <v>0</v>
      </c>
      <c r="CR143" s="28" t="n">
        <v>0</v>
      </c>
      <c r="CS143" s="28" t="n">
        <v>0</v>
      </c>
      <c r="CT143" s="28" t="n">
        <v>0</v>
      </c>
      <c r="CU143" s="28" t="n">
        <v>0</v>
      </c>
      <c r="CV143" s="28" t="n">
        <v>0</v>
      </c>
      <c r="CW143" s="28" t="n">
        <v>0</v>
      </c>
      <c r="CX143" s="28" t="n">
        <v>0</v>
      </c>
      <c r="CY143" s="28" t="n">
        <v>0</v>
      </c>
      <c r="CZ143" s="28" t="n">
        <v>0</v>
      </c>
      <c r="DA143" s="28" t="n">
        <v>0</v>
      </c>
    </row>
    <row r="144">
      <c r="A144" t="inlineStr">
        <is>
          <t>VSP-869</t>
        </is>
      </c>
      <c r="B144" s="28" t="n">
        <v>0</v>
      </c>
      <c r="C144" s="28" t="n">
        <v>0</v>
      </c>
      <c r="D144" s="28" t="n">
        <v>0</v>
      </c>
      <c r="E144" s="28" t="n">
        <v>0</v>
      </c>
      <c r="F144" s="28" t="n">
        <v>0</v>
      </c>
      <c r="G144" s="28" t="n">
        <v>0</v>
      </c>
      <c r="H144" s="28" t="n">
        <v>0</v>
      </c>
      <c r="I144" s="28" t="n">
        <v>0</v>
      </c>
      <c r="J144" s="28" t="n">
        <v>0</v>
      </c>
      <c r="K144" s="28" t="n">
        <v>0</v>
      </c>
      <c r="L144" s="28" t="n">
        <v>0</v>
      </c>
      <c r="M144" s="28" t="n">
        <v>0</v>
      </c>
      <c r="N144" s="28" t="n">
        <v>0</v>
      </c>
      <c r="O144" s="28" t="n">
        <v>0</v>
      </c>
      <c r="P144" s="28" t="n">
        <v>0</v>
      </c>
      <c r="Q144" s="28" t="n">
        <v>0</v>
      </c>
      <c r="R144" s="28" t="n">
        <v>0</v>
      </c>
      <c r="S144" s="28" t="n">
        <v>0</v>
      </c>
      <c r="T144" s="28" t="n">
        <v>0</v>
      </c>
      <c r="U144" s="28" t="n">
        <v>0</v>
      </c>
      <c r="V144" s="28" t="n">
        <v>0</v>
      </c>
      <c r="W144" s="28" t="n">
        <v>0</v>
      </c>
      <c r="X144" s="28" t="n">
        <v>0</v>
      </c>
      <c r="Y144" s="28" t="n">
        <v>0</v>
      </c>
      <c r="Z144" s="28" t="n">
        <v>0</v>
      </c>
      <c r="AA144" s="28" t="n">
        <v>0</v>
      </c>
      <c r="AB144" s="28" t="n">
        <v>0</v>
      </c>
      <c r="AC144" s="28" t="n">
        <v>0</v>
      </c>
      <c r="AD144" s="28" t="n">
        <v>0</v>
      </c>
      <c r="AE144" s="28" t="n">
        <v>0</v>
      </c>
      <c r="AF144" s="28" t="n">
        <v>0</v>
      </c>
      <c r="AG144" s="28" t="n">
        <v>0</v>
      </c>
      <c r="AH144" s="28" t="n">
        <v>0</v>
      </c>
      <c r="AI144" s="28" t="n">
        <v>0</v>
      </c>
      <c r="AJ144" s="28" t="n">
        <v>0</v>
      </c>
      <c r="AK144" s="28" t="n">
        <v>0</v>
      </c>
      <c r="AL144" s="28" t="n">
        <v>0</v>
      </c>
      <c r="AM144" s="28" t="n">
        <v>0</v>
      </c>
      <c r="AN144" s="28" t="n">
        <v>0</v>
      </c>
      <c r="AO144" s="28" t="n">
        <v>0</v>
      </c>
      <c r="AP144" s="28" t="n">
        <v>0</v>
      </c>
      <c r="AQ144" s="28" t="n">
        <v>0</v>
      </c>
      <c r="AR144" s="28" t="n">
        <v>0</v>
      </c>
      <c r="AS144" s="28" t="n">
        <v>0</v>
      </c>
      <c r="AT144" s="28" t="n">
        <v>0</v>
      </c>
      <c r="AU144" s="28" t="n">
        <v>0</v>
      </c>
      <c r="AV144" s="28" t="n">
        <v>0</v>
      </c>
      <c r="AW144" s="28" t="n">
        <v>0</v>
      </c>
      <c r="AX144" s="28" t="n">
        <v>0</v>
      </c>
      <c r="AY144" s="28" t="n">
        <v>0</v>
      </c>
      <c r="AZ144" s="28" t="n">
        <v>0</v>
      </c>
      <c r="BA144" s="28" t="n">
        <v>0</v>
      </c>
      <c r="BB144" s="28" t="n">
        <v>0</v>
      </c>
      <c r="BC144" s="28" t="n">
        <v>0</v>
      </c>
      <c r="BD144" s="28" t="n">
        <v>0</v>
      </c>
      <c r="BE144" s="28" t="n">
        <v>0</v>
      </c>
      <c r="BF144" s="28" t="n">
        <v>0</v>
      </c>
      <c r="BG144" s="28" t="n">
        <v>0</v>
      </c>
      <c r="BH144" s="28" t="n">
        <v>0</v>
      </c>
      <c r="BI144" s="28" t="n">
        <v>0</v>
      </c>
      <c r="BJ144" s="28" t="n">
        <v>0</v>
      </c>
      <c r="BK144" s="28" t="n">
        <v>0</v>
      </c>
      <c r="BL144" s="28" t="n">
        <v>0</v>
      </c>
      <c r="BM144" s="28" t="n">
        <v>0</v>
      </c>
      <c r="BN144" s="28" t="n">
        <v>0</v>
      </c>
      <c r="BO144" s="28" t="n">
        <v>0</v>
      </c>
      <c r="BP144" s="28" t="n">
        <v>0</v>
      </c>
      <c r="BQ144" s="28" t="n">
        <v>0</v>
      </c>
      <c r="BR144" s="28" t="n">
        <v>0</v>
      </c>
      <c r="BS144" s="28" t="n">
        <v>0</v>
      </c>
      <c r="BT144" s="28" t="n">
        <v>0</v>
      </c>
      <c r="BU144" s="28" t="n">
        <v>0</v>
      </c>
      <c r="BV144" s="28" t="n">
        <v>0</v>
      </c>
      <c r="BW144" s="28" t="n">
        <v>0</v>
      </c>
      <c r="BX144" s="28" t="n">
        <v>0</v>
      </c>
      <c r="BY144" s="28" t="n">
        <v>0</v>
      </c>
      <c r="BZ144" s="28" t="n">
        <v>0</v>
      </c>
      <c r="CA144" s="28" t="n">
        <v>0</v>
      </c>
      <c r="CB144" s="28" t="n">
        <v>0</v>
      </c>
      <c r="CC144" s="28" t="n">
        <v>0</v>
      </c>
      <c r="CD144" s="28" t="n">
        <v>0</v>
      </c>
      <c r="CE144" s="28" t="n">
        <v>0</v>
      </c>
      <c r="CF144" s="28" t="n">
        <v>0</v>
      </c>
      <c r="CG144" s="28" t="n">
        <v>0</v>
      </c>
      <c r="CH144" s="28" t="n">
        <v>0</v>
      </c>
      <c r="CI144" s="28" t="n">
        <v>0</v>
      </c>
      <c r="CJ144" s="28" t="n">
        <v>0</v>
      </c>
      <c r="CK144" s="28" t="n">
        <v>0</v>
      </c>
      <c r="CL144" s="28" t="n">
        <v>0</v>
      </c>
      <c r="CM144" s="28" t="n">
        <v>0</v>
      </c>
      <c r="CN144" s="28" t="n">
        <v>0</v>
      </c>
      <c r="CO144" s="28" t="n">
        <v>0</v>
      </c>
      <c r="CP144" s="28" t="n">
        <v>0</v>
      </c>
      <c r="CQ144" s="28" t="n">
        <v>0</v>
      </c>
      <c r="CR144" s="28" t="n">
        <v>0</v>
      </c>
      <c r="CS144" s="28" t="n">
        <v>0</v>
      </c>
      <c r="CT144" s="28" t="n">
        <v>0</v>
      </c>
      <c r="CU144" s="28" t="n">
        <v>0</v>
      </c>
      <c r="CV144" s="28" t="n">
        <v>0</v>
      </c>
      <c r="CW144" s="28" t="n">
        <v>0</v>
      </c>
      <c r="CX144" s="28" t="n">
        <v>0</v>
      </c>
      <c r="CY144" s="28" t="n">
        <v>0</v>
      </c>
      <c r="CZ144" s="28" t="n">
        <v>0</v>
      </c>
      <c r="DA144" s="28" t="n">
        <v>0</v>
      </c>
    </row>
    <row r="145">
      <c r="A145" t="inlineStr">
        <is>
          <t>VSP-870</t>
        </is>
      </c>
      <c r="B145" s="28" t="n">
        <v>0</v>
      </c>
      <c r="C145" s="28" t="n">
        <v>0</v>
      </c>
      <c r="D145" s="28" t="n">
        <v>0</v>
      </c>
      <c r="E145" s="28" t="n">
        <v>0</v>
      </c>
      <c r="F145" s="28" t="n">
        <v>0</v>
      </c>
      <c r="G145" s="28" t="n">
        <v>0</v>
      </c>
      <c r="H145" s="28" t="n">
        <v>0</v>
      </c>
      <c r="I145" s="28" t="n">
        <v>0</v>
      </c>
      <c r="J145" s="28" t="n">
        <v>0</v>
      </c>
      <c r="K145" s="28" t="n">
        <v>0</v>
      </c>
      <c r="L145" s="28" t="n">
        <v>0</v>
      </c>
      <c r="M145" s="28" t="n">
        <v>0</v>
      </c>
      <c r="N145" s="28" t="n">
        <v>0</v>
      </c>
      <c r="O145" s="28" t="n">
        <v>0</v>
      </c>
      <c r="P145" s="28" t="n">
        <v>0</v>
      </c>
      <c r="Q145" s="28" t="n">
        <v>0</v>
      </c>
      <c r="R145" s="28" t="n">
        <v>0</v>
      </c>
      <c r="S145" s="28" t="n">
        <v>0</v>
      </c>
      <c r="T145" s="28" t="n">
        <v>0</v>
      </c>
      <c r="U145" s="28" t="n">
        <v>0</v>
      </c>
      <c r="V145" s="28" t="n">
        <v>0</v>
      </c>
      <c r="W145" s="28" t="n">
        <v>0</v>
      </c>
      <c r="X145" s="28" t="n">
        <v>0</v>
      </c>
      <c r="Y145" s="28" t="n">
        <v>0</v>
      </c>
      <c r="Z145" s="28" t="n">
        <v>0</v>
      </c>
      <c r="AA145" s="28" t="n">
        <v>0</v>
      </c>
      <c r="AB145" s="28" t="n">
        <v>0</v>
      </c>
      <c r="AC145" s="28" t="n">
        <v>0</v>
      </c>
      <c r="AD145" s="28" t="n">
        <v>0</v>
      </c>
      <c r="AE145" s="28" t="n">
        <v>0</v>
      </c>
      <c r="AF145" s="28" t="n">
        <v>0</v>
      </c>
      <c r="AG145" s="28" t="n">
        <v>0</v>
      </c>
      <c r="AH145" s="28" t="n">
        <v>0</v>
      </c>
      <c r="AI145" s="28" t="n">
        <v>0</v>
      </c>
      <c r="AJ145" s="28" t="n">
        <v>0</v>
      </c>
      <c r="AK145" s="28" t="n">
        <v>0</v>
      </c>
      <c r="AL145" s="28" t="n">
        <v>0</v>
      </c>
      <c r="AM145" s="28" t="n">
        <v>0</v>
      </c>
      <c r="AN145" s="28" t="n">
        <v>0</v>
      </c>
      <c r="AO145" s="28" t="n">
        <v>0</v>
      </c>
      <c r="AP145" s="28" t="n">
        <v>0</v>
      </c>
      <c r="AQ145" s="28" t="n">
        <v>0</v>
      </c>
      <c r="AR145" s="28" t="n">
        <v>0</v>
      </c>
      <c r="AS145" s="28" t="n">
        <v>0</v>
      </c>
      <c r="AT145" s="28" t="n">
        <v>0</v>
      </c>
      <c r="AU145" s="28" t="n">
        <v>0</v>
      </c>
      <c r="AV145" s="28" t="n">
        <v>0</v>
      </c>
      <c r="AW145" s="28" t="n">
        <v>0</v>
      </c>
      <c r="AX145" s="28" t="n">
        <v>0</v>
      </c>
      <c r="AY145" s="28" t="n">
        <v>0</v>
      </c>
      <c r="AZ145" s="28" t="n">
        <v>0</v>
      </c>
      <c r="BA145" s="28" t="n">
        <v>0</v>
      </c>
      <c r="BB145" s="28" t="n">
        <v>0</v>
      </c>
      <c r="BC145" s="28" t="n">
        <v>0</v>
      </c>
      <c r="BD145" s="28" t="n">
        <v>0</v>
      </c>
      <c r="BE145" s="28" t="n">
        <v>0</v>
      </c>
      <c r="BF145" s="28" t="n">
        <v>0</v>
      </c>
      <c r="BG145" s="28" t="n">
        <v>0</v>
      </c>
      <c r="BH145" s="28" t="n">
        <v>0</v>
      </c>
      <c r="BI145" s="28" t="n">
        <v>0</v>
      </c>
      <c r="BJ145" s="28" t="n">
        <v>0</v>
      </c>
      <c r="BK145" s="28" t="n">
        <v>0</v>
      </c>
      <c r="BL145" s="28" t="n">
        <v>0</v>
      </c>
      <c r="BM145" s="28" t="n">
        <v>0</v>
      </c>
      <c r="BN145" s="28" t="n">
        <v>0</v>
      </c>
      <c r="BO145" s="28" t="n">
        <v>0</v>
      </c>
      <c r="BP145" s="28" t="n">
        <v>0</v>
      </c>
      <c r="BQ145" s="28" t="n">
        <v>0</v>
      </c>
      <c r="BR145" s="28" t="n">
        <v>0</v>
      </c>
      <c r="BS145" s="28" t="n">
        <v>0</v>
      </c>
      <c r="BT145" s="28" t="n">
        <v>0</v>
      </c>
      <c r="BU145" s="28" t="n">
        <v>0</v>
      </c>
      <c r="BV145" s="28" t="n">
        <v>0</v>
      </c>
      <c r="BW145" s="28" t="n">
        <v>0</v>
      </c>
      <c r="BX145" s="28" t="n">
        <v>0</v>
      </c>
      <c r="BY145" s="28" t="n">
        <v>0</v>
      </c>
      <c r="BZ145" s="28" t="n">
        <v>0</v>
      </c>
      <c r="CA145" s="28" t="n">
        <v>0</v>
      </c>
      <c r="CB145" s="28" t="n">
        <v>0</v>
      </c>
      <c r="CC145" s="28" t="n">
        <v>0</v>
      </c>
      <c r="CD145" s="28" t="n">
        <v>0</v>
      </c>
      <c r="CE145" s="28" t="n">
        <v>0</v>
      </c>
      <c r="CF145" s="28" t="n">
        <v>0</v>
      </c>
      <c r="CG145" s="28" t="n">
        <v>0</v>
      </c>
      <c r="CH145" s="28" t="n">
        <v>0</v>
      </c>
      <c r="CI145" s="28" t="n">
        <v>0</v>
      </c>
      <c r="CJ145" s="28" t="n">
        <v>0</v>
      </c>
      <c r="CK145" s="28" t="n">
        <v>0</v>
      </c>
      <c r="CL145" s="28" t="n">
        <v>0</v>
      </c>
      <c r="CM145" s="28" t="n">
        <v>0</v>
      </c>
      <c r="CN145" s="28" t="n">
        <v>0</v>
      </c>
      <c r="CO145" s="28" t="n">
        <v>0</v>
      </c>
      <c r="CP145" s="28" t="n">
        <v>0</v>
      </c>
      <c r="CQ145" s="28" t="n">
        <v>0</v>
      </c>
      <c r="CR145" s="28" t="n">
        <v>0</v>
      </c>
      <c r="CS145" s="28" t="n">
        <v>0</v>
      </c>
      <c r="CT145" s="28" t="n">
        <v>0</v>
      </c>
      <c r="CU145" s="28" t="n">
        <v>0</v>
      </c>
      <c r="CV145" s="28" t="n">
        <v>0</v>
      </c>
      <c r="CW145" s="28" t="n">
        <v>0</v>
      </c>
      <c r="CX145" s="28" t="n">
        <v>0</v>
      </c>
      <c r="CY145" s="28" t="n">
        <v>0</v>
      </c>
      <c r="CZ145" s="28" t="n">
        <v>0</v>
      </c>
      <c r="DA145" s="28" t="n">
        <v>0</v>
      </c>
    </row>
    <row r="146">
      <c r="A146" t="inlineStr">
        <is>
          <t>VSP-999</t>
        </is>
      </c>
      <c r="B146" s="28" t="n">
        <v>0</v>
      </c>
      <c r="C146" s="28" t="n">
        <v>0</v>
      </c>
      <c r="D146" s="28" t="n">
        <v>0</v>
      </c>
      <c r="E146" s="28" t="n">
        <v>0</v>
      </c>
      <c r="F146" s="28" t="n">
        <v>0</v>
      </c>
      <c r="G146" s="28" t="n">
        <v>0</v>
      </c>
      <c r="H146" s="28" t="n">
        <v>0</v>
      </c>
      <c r="I146" s="28" t="n">
        <v>0</v>
      </c>
      <c r="J146" s="28" t="n">
        <v>0</v>
      </c>
      <c r="K146" s="28" t="n">
        <v>0</v>
      </c>
      <c r="L146" s="28" t="n">
        <v>0</v>
      </c>
      <c r="M146" s="28" t="n">
        <v>0</v>
      </c>
      <c r="N146" s="28" t="n">
        <v>0</v>
      </c>
      <c r="O146" s="28" t="n">
        <v>0</v>
      </c>
      <c r="P146" s="28" t="n">
        <v>0</v>
      </c>
      <c r="Q146" s="28" t="n">
        <v>0</v>
      </c>
      <c r="R146" s="28" t="n">
        <v>0</v>
      </c>
      <c r="S146" s="28" t="n">
        <v>0</v>
      </c>
      <c r="T146" s="28" t="n">
        <v>0</v>
      </c>
      <c r="U146" s="28" t="n">
        <v>0</v>
      </c>
      <c r="V146" s="28" t="n">
        <v>0</v>
      </c>
      <c r="W146" s="28" t="n">
        <v>0</v>
      </c>
      <c r="X146" s="28" t="n">
        <v>0</v>
      </c>
      <c r="Y146" s="28" t="n">
        <v>0</v>
      </c>
      <c r="Z146" s="28" t="n">
        <v>0</v>
      </c>
      <c r="AA146" s="28" t="n">
        <v>0</v>
      </c>
      <c r="AB146" s="28" t="n">
        <v>0</v>
      </c>
      <c r="AC146" s="28" t="n">
        <v>0</v>
      </c>
      <c r="AD146" s="28" t="n">
        <v>0</v>
      </c>
      <c r="AE146" s="28" t="n">
        <v>0</v>
      </c>
      <c r="AF146" s="28" t="n">
        <v>0</v>
      </c>
      <c r="AG146" s="28" t="n">
        <v>0</v>
      </c>
      <c r="AH146" s="28" t="n">
        <v>0</v>
      </c>
      <c r="AI146" s="28" t="n">
        <v>0</v>
      </c>
      <c r="AJ146" s="28" t="n">
        <v>0</v>
      </c>
      <c r="AK146" s="28" t="n">
        <v>0</v>
      </c>
      <c r="AL146" s="28" t="n">
        <v>0</v>
      </c>
      <c r="AM146" s="28" t="n">
        <v>0</v>
      </c>
      <c r="AN146" s="28" t="n">
        <v>0</v>
      </c>
      <c r="AO146" s="28" t="n">
        <v>0</v>
      </c>
      <c r="AP146" s="28" t="n">
        <v>0</v>
      </c>
      <c r="AQ146" s="28" t="n">
        <v>0</v>
      </c>
      <c r="AR146" s="28" t="n">
        <v>0</v>
      </c>
      <c r="AS146" s="28" t="n">
        <v>0</v>
      </c>
      <c r="AT146" s="28" t="n">
        <v>0</v>
      </c>
      <c r="AU146" s="28" t="n">
        <v>0</v>
      </c>
      <c r="AV146" s="28" t="n">
        <v>0</v>
      </c>
      <c r="AW146" s="28" t="n">
        <v>0</v>
      </c>
      <c r="AX146" s="28" t="n">
        <v>0</v>
      </c>
      <c r="AY146" s="28" t="n">
        <v>0</v>
      </c>
      <c r="AZ146" s="28" t="n">
        <v>0</v>
      </c>
      <c r="BA146" s="28" t="n">
        <v>0</v>
      </c>
      <c r="BB146" s="28" t="n">
        <v>0</v>
      </c>
      <c r="BC146" s="28" t="n">
        <v>0</v>
      </c>
      <c r="BD146" s="28" t="n">
        <v>0</v>
      </c>
      <c r="BE146" s="28" t="n">
        <v>0</v>
      </c>
      <c r="BF146" s="28" t="n">
        <v>0</v>
      </c>
      <c r="BG146" s="28" t="n">
        <v>0</v>
      </c>
      <c r="BH146" s="28" t="n">
        <v>0</v>
      </c>
      <c r="BI146" s="28" t="n">
        <v>0</v>
      </c>
      <c r="BJ146" s="28" t="n">
        <v>0</v>
      </c>
      <c r="BK146" s="28" t="n">
        <v>0</v>
      </c>
      <c r="BL146" s="28" t="n">
        <v>0</v>
      </c>
      <c r="BM146" s="28" t="n">
        <v>0</v>
      </c>
      <c r="BN146" s="28" t="n">
        <v>0</v>
      </c>
      <c r="BO146" s="28" t="n">
        <v>0</v>
      </c>
      <c r="BP146" s="28" t="n">
        <v>0</v>
      </c>
      <c r="BQ146" s="28" t="n">
        <v>0</v>
      </c>
      <c r="BR146" s="28" t="n">
        <v>0</v>
      </c>
      <c r="BS146" s="28" t="n">
        <v>0</v>
      </c>
      <c r="BT146" s="28" t="n">
        <v>0</v>
      </c>
      <c r="BU146" s="28" t="n">
        <v>0</v>
      </c>
      <c r="BV146" s="28" t="n">
        <v>0</v>
      </c>
      <c r="BW146" s="28" t="n">
        <v>0</v>
      </c>
      <c r="BX146" s="28" t="n">
        <v>0</v>
      </c>
      <c r="BY146" s="28" t="n">
        <v>0</v>
      </c>
      <c r="BZ146" s="28" t="n">
        <v>0</v>
      </c>
      <c r="CA146" s="28" t="n">
        <v>0</v>
      </c>
      <c r="CB146" s="28" t="n">
        <v>0</v>
      </c>
      <c r="CC146" s="28" t="n">
        <v>0</v>
      </c>
      <c r="CD146" s="28" t="n">
        <v>0</v>
      </c>
      <c r="CE146" s="28" t="n">
        <v>0</v>
      </c>
      <c r="CF146" s="28" t="n">
        <v>0</v>
      </c>
      <c r="CG146" s="28" t="n">
        <v>0</v>
      </c>
      <c r="CH146" s="28" t="n">
        <v>0</v>
      </c>
      <c r="CI146" s="28" t="n">
        <v>0</v>
      </c>
      <c r="CJ146" s="28" t="n">
        <v>0</v>
      </c>
      <c r="CK146" s="28" t="n">
        <v>0</v>
      </c>
      <c r="CL146" s="28" t="n">
        <v>0</v>
      </c>
      <c r="CM146" s="28" t="n">
        <v>0</v>
      </c>
      <c r="CN146" s="28" t="n">
        <v>0</v>
      </c>
      <c r="CO146" s="28" t="n">
        <v>0</v>
      </c>
      <c r="CP146" s="28" t="n">
        <v>0</v>
      </c>
      <c r="CQ146" s="28" t="n">
        <v>0</v>
      </c>
      <c r="CR146" s="28" t="n">
        <v>0</v>
      </c>
      <c r="CS146" s="28" t="n">
        <v>0</v>
      </c>
      <c r="CT146" s="28" t="n">
        <v>0</v>
      </c>
      <c r="CU146" s="28" t="n">
        <v>0</v>
      </c>
      <c r="CV146" s="28" t="n">
        <v>0</v>
      </c>
      <c r="CW146" s="28" t="n">
        <v>0</v>
      </c>
      <c r="CX146" s="28" t="n">
        <v>0</v>
      </c>
      <c r="CY146" s="28" t="n">
        <v>0</v>
      </c>
      <c r="CZ146" s="28" t="n">
        <v>0</v>
      </c>
      <c r="DA146" s="28" t="n">
        <v>0</v>
      </c>
    </row>
    <row r="147">
      <c r="A147" t="inlineStr">
        <is>
          <t>VSZ-745</t>
        </is>
      </c>
      <c r="B147" s="28" t="n">
        <v>0</v>
      </c>
      <c r="C147" s="28" t="n">
        <v>0</v>
      </c>
      <c r="D147" s="28" t="n">
        <v>0</v>
      </c>
      <c r="E147" s="28" t="n">
        <v>0</v>
      </c>
      <c r="F147" s="28" t="n">
        <v>0</v>
      </c>
      <c r="G147" s="2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0</v>
      </c>
      <c r="P147" s="28" t="n">
        <v>0</v>
      </c>
      <c r="Q147" s="28" t="n">
        <v>0</v>
      </c>
      <c r="R147" s="28" t="n">
        <v>0</v>
      </c>
      <c r="S147" s="28" t="n">
        <v>0</v>
      </c>
      <c r="T147" s="28" t="n">
        <v>0</v>
      </c>
      <c r="U147" s="28" t="n">
        <v>0</v>
      </c>
      <c r="V147" s="28" t="n">
        <v>0</v>
      </c>
      <c r="W147" s="28" t="n">
        <v>0</v>
      </c>
      <c r="X147" s="28" t="n">
        <v>0</v>
      </c>
      <c r="Y147" s="28" t="n">
        <v>0</v>
      </c>
      <c r="Z147" s="28" t="n">
        <v>0</v>
      </c>
      <c r="AA147" s="28" t="n">
        <v>0</v>
      </c>
      <c r="AB147" s="28" t="n">
        <v>0</v>
      </c>
      <c r="AC147" s="28" t="n">
        <v>0</v>
      </c>
      <c r="AD147" s="28" t="n">
        <v>0</v>
      </c>
      <c r="AE147" s="28" t="n">
        <v>0</v>
      </c>
      <c r="AF147" s="28" t="n">
        <v>0</v>
      </c>
      <c r="AG147" s="28" t="n">
        <v>0</v>
      </c>
      <c r="AH147" s="28" t="n">
        <v>0</v>
      </c>
      <c r="AI147" s="28" t="n">
        <v>0</v>
      </c>
      <c r="AJ147" s="28" t="n">
        <v>0</v>
      </c>
      <c r="AK147" s="28" t="n">
        <v>0</v>
      </c>
      <c r="AL147" s="28" t="n">
        <v>0</v>
      </c>
      <c r="AM147" s="28" t="n">
        <v>0</v>
      </c>
      <c r="AN147" s="28" t="n">
        <v>0</v>
      </c>
      <c r="AO147" s="28" t="n">
        <v>0</v>
      </c>
      <c r="AP147" s="28" t="n">
        <v>0</v>
      </c>
      <c r="AQ147" s="28" t="n">
        <v>0</v>
      </c>
      <c r="AR147" s="28" t="n">
        <v>0</v>
      </c>
      <c r="AS147" s="28" t="n">
        <v>0</v>
      </c>
      <c r="AT147" s="28" t="n">
        <v>0</v>
      </c>
      <c r="AU147" s="28" t="n">
        <v>0</v>
      </c>
      <c r="AV147" s="28" t="n">
        <v>0</v>
      </c>
      <c r="AW147" s="28" t="n">
        <v>0</v>
      </c>
      <c r="AX147" s="28" t="n">
        <v>0</v>
      </c>
      <c r="AY147" s="28" t="n">
        <v>0</v>
      </c>
      <c r="AZ147" s="28" t="n">
        <v>0</v>
      </c>
      <c r="BA147" s="28" t="n">
        <v>0</v>
      </c>
      <c r="BB147" s="28" t="n">
        <v>0</v>
      </c>
      <c r="BC147" s="28" t="n">
        <v>0</v>
      </c>
      <c r="BD147" s="28" t="n">
        <v>0</v>
      </c>
      <c r="BE147" s="28" t="n">
        <v>0</v>
      </c>
      <c r="BF147" s="28" t="n">
        <v>0</v>
      </c>
      <c r="BG147" s="28" t="n">
        <v>0</v>
      </c>
      <c r="BH147" s="28" t="n">
        <v>0</v>
      </c>
      <c r="BI147" s="28" t="n">
        <v>0</v>
      </c>
      <c r="BJ147" s="28" t="n">
        <v>0</v>
      </c>
      <c r="BK147" s="28" t="n">
        <v>0</v>
      </c>
      <c r="BL147" s="28" t="n">
        <v>0</v>
      </c>
      <c r="BM147" s="28" t="n">
        <v>0</v>
      </c>
      <c r="BN147" s="28" t="n">
        <v>0</v>
      </c>
      <c r="BO147" s="28" t="n">
        <v>0</v>
      </c>
      <c r="BP147" s="28" t="n">
        <v>0</v>
      </c>
      <c r="BQ147" s="28" t="n">
        <v>0</v>
      </c>
      <c r="BR147" s="28" t="n">
        <v>0</v>
      </c>
      <c r="BS147" s="28" t="n">
        <v>0</v>
      </c>
      <c r="BT147" s="28" t="n">
        <v>0</v>
      </c>
      <c r="BU147" s="28" t="n">
        <v>0</v>
      </c>
      <c r="BV147" s="28" t="n">
        <v>0</v>
      </c>
      <c r="BW147" s="28" t="n">
        <v>0</v>
      </c>
      <c r="BX147" s="28" t="n">
        <v>0</v>
      </c>
      <c r="BY147" s="28" t="n">
        <v>0</v>
      </c>
      <c r="BZ147" s="28" t="n">
        <v>0</v>
      </c>
      <c r="CA147" s="28" t="n">
        <v>0</v>
      </c>
      <c r="CB147" s="28" t="n">
        <v>0</v>
      </c>
      <c r="CC147" s="28" t="n">
        <v>0</v>
      </c>
      <c r="CD147" s="28" t="n">
        <v>0</v>
      </c>
      <c r="CE147" s="28" t="n">
        <v>0</v>
      </c>
      <c r="CF147" s="28" t="n">
        <v>0</v>
      </c>
      <c r="CG147" s="28" t="n">
        <v>0</v>
      </c>
      <c r="CH147" s="28" t="n">
        <v>0</v>
      </c>
      <c r="CI147" s="28" t="n">
        <v>0</v>
      </c>
      <c r="CJ147" s="28" t="n">
        <v>0</v>
      </c>
      <c r="CK147" s="28" t="n">
        <v>0</v>
      </c>
      <c r="CL147" s="28" t="n">
        <v>0</v>
      </c>
      <c r="CM147" s="28" t="n">
        <v>0</v>
      </c>
      <c r="CN147" s="28" t="n">
        <v>0</v>
      </c>
      <c r="CO147" s="28" t="n">
        <v>0</v>
      </c>
      <c r="CP147" s="28" t="n">
        <v>0</v>
      </c>
      <c r="CQ147" s="28" t="n">
        <v>0</v>
      </c>
      <c r="CR147" s="28" t="n">
        <v>0</v>
      </c>
      <c r="CS147" s="28" t="n">
        <v>0</v>
      </c>
      <c r="CT147" s="28" t="n">
        <v>0</v>
      </c>
      <c r="CU147" s="28" t="n">
        <v>0</v>
      </c>
      <c r="CV147" s="28" t="n">
        <v>0</v>
      </c>
      <c r="CW147" s="28" t="n">
        <v>0</v>
      </c>
      <c r="CX147" s="28" t="n">
        <v>0</v>
      </c>
      <c r="CY147" s="28" t="n">
        <v>0</v>
      </c>
      <c r="CZ147" s="28" t="n">
        <v>0</v>
      </c>
      <c r="DA147" s="28" t="n">
        <v>0</v>
      </c>
    </row>
    <row r="148">
      <c r="A148" t="inlineStr">
        <is>
          <t>0Q110</t>
        </is>
      </c>
      <c r="B148" s="28" t="n">
        <v>0</v>
      </c>
      <c r="C148" s="28" t="n">
        <v>0</v>
      </c>
      <c r="D148" s="28" t="n">
        <v>0</v>
      </c>
      <c r="E148" s="28" t="n">
        <v>0</v>
      </c>
      <c r="F148" s="28" t="n">
        <v>0</v>
      </c>
      <c r="G148" s="28" t="n">
        <v>0</v>
      </c>
      <c r="H148" s="28" t="n">
        <v>0</v>
      </c>
      <c r="I148" s="28" t="n">
        <v>0</v>
      </c>
      <c r="J148" s="28" t="n">
        <v>0</v>
      </c>
      <c r="K148" s="28" t="n">
        <v>0</v>
      </c>
      <c r="L148" s="28" t="n">
        <v>0</v>
      </c>
      <c r="M148" s="28" t="n">
        <v>0</v>
      </c>
      <c r="N148" s="28" t="n">
        <v>0</v>
      </c>
      <c r="O148" s="28" t="n">
        <v>0</v>
      </c>
      <c r="P148" s="28" t="n">
        <v>0</v>
      </c>
      <c r="Q148" s="28" t="n">
        <v>0</v>
      </c>
      <c r="R148" s="28" t="n">
        <v>0</v>
      </c>
      <c r="S148" s="28" t="n">
        <v>0</v>
      </c>
      <c r="T148" s="28" t="n">
        <v>0</v>
      </c>
      <c r="U148" s="28" t="n">
        <v>0</v>
      </c>
      <c r="V148" s="28" t="n">
        <v>0</v>
      </c>
      <c r="W148" s="28" t="n">
        <v>0</v>
      </c>
      <c r="X148" s="28" t="n">
        <v>0</v>
      </c>
      <c r="Y148" s="28" t="n">
        <v>0</v>
      </c>
      <c r="Z148" s="28" t="n">
        <v>0</v>
      </c>
      <c r="AA148" s="28" t="n">
        <v>0</v>
      </c>
      <c r="AB148" s="28" t="n">
        <v>0</v>
      </c>
      <c r="AC148" s="28" t="n">
        <v>0</v>
      </c>
      <c r="AD148" s="28" t="n">
        <v>0</v>
      </c>
      <c r="AE148" s="28" t="n">
        <v>0</v>
      </c>
      <c r="AF148" s="28" t="n">
        <v>0</v>
      </c>
      <c r="AG148" s="28" t="n">
        <v>0</v>
      </c>
      <c r="AH148" s="28" t="n">
        <v>0</v>
      </c>
      <c r="AI148" s="28" t="n">
        <v>0</v>
      </c>
      <c r="AJ148" s="28" t="n">
        <v>0</v>
      </c>
      <c r="AK148" s="28" t="n">
        <v>0</v>
      </c>
      <c r="AL148" s="28" t="n">
        <v>0</v>
      </c>
      <c r="AM148" s="28" t="n">
        <v>0</v>
      </c>
      <c r="AN148" s="28" t="n">
        <v>0</v>
      </c>
      <c r="AO148" s="28" t="n">
        <v>0</v>
      </c>
      <c r="AP148" s="28" t="n">
        <v>0</v>
      </c>
      <c r="AQ148" s="28" t="n">
        <v>0</v>
      </c>
      <c r="AR148" s="28" t="n">
        <v>0</v>
      </c>
      <c r="AS148" s="28" t="n">
        <v>0</v>
      </c>
      <c r="AT148" s="28" t="n">
        <v>0</v>
      </c>
      <c r="AU148" s="28" t="n">
        <v>0</v>
      </c>
      <c r="AV148" s="28" t="n">
        <v>0</v>
      </c>
      <c r="AW148" s="28" t="n">
        <v>0</v>
      </c>
      <c r="AX148" s="28" t="n">
        <v>0</v>
      </c>
      <c r="AY148" s="28" t="n">
        <v>0</v>
      </c>
      <c r="AZ148" s="28" t="n">
        <v>0</v>
      </c>
      <c r="BA148" s="28" t="n">
        <v>0</v>
      </c>
      <c r="BB148" s="28" t="n">
        <v>0</v>
      </c>
      <c r="BC148" s="28" t="n">
        <v>0</v>
      </c>
      <c r="BD148" s="28" t="n">
        <v>0</v>
      </c>
      <c r="BE148" s="28" t="n">
        <v>0</v>
      </c>
      <c r="BF148" s="28" t="n">
        <v>0</v>
      </c>
      <c r="BG148" s="28" t="n">
        <v>0</v>
      </c>
      <c r="BH148" s="28" t="n">
        <v>0</v>
      </c>
      <c r="BI148" s="28" t="n">
        <v>0</v>
      </c>
      <c r="BJ148" s="28" t="n">
        <v>0</v>
      </c>
      <c r="BK148" s="28" t="n">
        <v>0</v>
      </c>
      <c r="BL148" s="28" t="n">
        <v>0</v>
      </c>
      <c r="BM148" s="28" t="n">
        <v>0</v>
      </c>
      <c r="BN148" s="28" t="n">
        <v>0</v>
      </c>
      <c r="BO148" s="28" t="n">
        <v>0</v>
      </c>
      <c r="BP148" s="28" t="n">
        <v>0</v>
      </c>
      <c r="BQ148" s="28" t="n">
        <v>0</v>
      </c>
      <c r="BR148" s="28" t="n">
        <v>0</v>
      </c>
      <c r="BS148" s="28" t="n">
        <v>0</v>
      </c>
      <c r="BT148" s="28" t="n">
        <v>0</v>
      </c>
      <c r="BU148" s="28" t="n">
        <v>0</v>
      </c>
      <c r="BV148" s="28" t="n">
        <v>0</v>
      </c>
      <c r="BW148" s="28" t="n">
        <v>0</v>
      </c>
      <c r="BX148" s="28" t="n">
        <v>0</v>
      </c>
      <c r="BY148" s="28" t="n">
        <v>0</v>
      </c>
      <c r="BZ148" s="28" t="n">
        <v>0</v>
      </c>
      <c r="CA148" s="28" t="n">
        <v>0</v>
      </c>
      <c r="CB148" s="28" t="n">
        <v>0</v>
      </c>
      <c r="CC148" s="28" t="n">
        <v>0</v>
      </c>
      <c r="CD148" s="28" t="n">
        <v>0</v>
      </c>
      <c r="CE148" s="28" t="n">
        <v>0</v>
      </c>
      <c r="CF148" s="28" t="n">
        <v>0</v>
      </c>
      <c r="CG148" s="28" t="n">
        <v>0</v>
      </c>
      <c r="CH148" s="28" t="n">
        <v>0</v>
      </c>
      <c r="CI148" s="28" t="n">
        <v>0</v>
      </c>
      <c r="CJ148" s="28" t="n">
        <v>0</v>
      </c>
      <c r="CK148" s="28" t="n">
        <v>0</v>
      </c>
      <c r="CL148" s="28" t="n">
        <v>0</v>
      </c>
      <c r="CM148" s="28" t="n">
        <v>0</v>
      </c>
      <c r="CN148" s="28" t="n">
        <v>0</v>
      </c>
      <c r="CO148" s="28" t="n">
        <v>0</v>
      </c>
      <c r="CP148" s="28" t="n">
        <v>0</v>
      </c>
      <c r="CQ148" s="28" t="n">
        <v>0</v>
      </c>
      <c r="CR148" s="28" t="n">
        <v>0</v>
      </c>
      <c r="CS148" s="28" t="n">
        <v>0</v>
      </c>
      <c r="CT148" s="28" t="n">
        <v>0</v>
      </c>
      <c r="CU148" s="28" t="n">
        <v>0</v>
      </c>
      <c r="CV148" s="28" t="n">
        <v>0</v>
      </c>
      <c r="CW148" s="28" t="n">
        <v>0</v>
      </c>
      <c r="CX148" s="28" t="n">
        <v>0</v>
      </c>
      <c r="CY148" s="28" t="n">
        <v>0</v>
      </c>
      <c r="CZ148" s="28" t="n">
        <v>0</v>
      </c>
      <c r="DA148" s="28" t="n">
        <v>0</v>
      </c>
    </row>
    <row r="149">
      <c r="A149" t="inlineStr">
        <is>
          <t>0Q120</t>
        </is>
      </c>
      <c r="B149" s="28" t="n">
        <v>0</v>
      </c>
      <c r="C149" s="28" t="n">
        <v>0</v>
      </c>
      <c r="D149" s="28" t="n">
        <v>0</v>
      </c>
      <c r="E149" s="28" t="n">
        <v>0</v>
      </c>
      <c r="F149" s="28" t="n">
        <v>0</v>
      </c>
      <c r="G149" s="28" t="n">
        <v>0</v>
      </c>
      <c r="H149" s="28" t="n">
        <v>0</v>
      </c>
      <c r="I149" s="28" t="n">
        <v>0</v>
      </c>
      <c r="J149" s="28" t="n">
        <v>0</v>
      </c>
      <c r="K149" s="28" t="n">
        <v>0</v>
      </c>
      <c r="L149" s="28" t="n">
        <v>0</v>
      </c>
      <c r="M149" s="28" t="n">
        <v>0</v>
      </c>
      <c r="N149" s="28" t="n">
        <v>0</v>
      </c>
      <c r="O149" s="28" t="n">
        <v>0</v>
      </c>
      <c r="P149" s="28" t="n">
        <v>0</v>
      </c>
      <c r="Q149" s="28" t="n">
        <v>0</v>
      </c>
      <c r="R149" s="28" t="n">
        <v>0</v>
      </c>
      <c r="S149" s="28" t="n">
        <v>0</v>
      </c>
      <c r="T149" s="28" t="n">
        <v>0</v>
      </c>
      <c r="U149" s="28" t="n">
        <v>0</v>
      </c>
      <c r="V149" s="28" t="n">
        <v>0</v>
      </c>
      <c r="W149" s="28" t="n">
        <v>0</v>
      </c>
      <c r="X149" s="28" t="n">
        <v>0</v>
      </c>
      <c r="Y149" s="28" t="n">
        <v>0</v>
      </c>
      <c r="Z149" s="28" t="n">
        <v>0</v>
      </c>
      <c r="AA149" s="28" t="n">
        <v>0</v>
      </c>
      <c r="AB149" s="28" t="n">
        <v>0</v>
      </c>
      <c r="AC149" s="28" t="n">
        <v>0</v>
      </c>
      <c r="AD149" s="28" t="n">
        <v>0</v>
      </c>
      <c r="AE149" s="28" t="n">
        <v>0</v>
      </c>
      <c r="AF149" s="28" t="n">
        <v>0</v>
      </c>
      <c r="AG149" s="28" t="n">
        <v>0</v>
      </c>
      <c r="AH149" s="28" t="n">
        <v>0</v>
      </c>
      <c r="AI149" s="28" t="n">
        <v>0</v>
      </c>
      <c r="AJ149" s="28" t="n">
        <v>0</v>
      </c>
      <c r="AK149" s="28" t="n">
        <v>0</v>
      </c>
      <c r="AL149" s="28" t="n">
        <v>0</v>
      </c>
      <c r="AM149" s="28" t="n">
        <v>0</v>
      </c>
      <c r="AN149" s="28" t="n">
        <v>0</v>
      </c>
      <c r="AO149" s="28" t="n">
        <v>0</v>
      </c>
      <c r="AP149" s="28" t="n">
        <v>0</v>
      </c>
      <c r="AQ149" s="28" t="n">
        <v>0</v>
      </c>
      <c r="AR149" s="28" t="n">
        <v>0</v>
      </c>
      <c r="AS149" s="28" t="n">
        <v>0</v>
      </c>
      <c r="AT149" s="28" t="n">
        <v>0</v>
      </c>
      <c r="AU149" s="28" t="n">
        <v>0</v>
      </c>
      <c r="AV149" s="28" t="n">
        <v>0</v>
      </c>
      <c r="AW149" s="28" t="n">
        <v>0</v>
      </c>
      <c r="AX149" s="28" t="n">
        <v>0</v>
      </c>
      <c r="AY149" s="28" t="n">
        <v>0</v>
      </c>
      <c r="AZ149" s="28" t="n">
        <v>0</v>
      </c>
      <c r="BA149" s="28" t="n">
        <v>0</v>
      </c>
      <c r="BB149" s="28" t="n">
        <v>0</v>
      </c>
      <c r="BC149" s="28" t="n">
        <v>0</v>
      </c>
      <c r="BD149" s="28" t="n">
        <v>0</v>
      </c>
      <c r="BE149" s="28" t="n">
        <v>0</v>
      </c>
      <c r="BF149" s="28" t="n">
        <v>0</v>
      </c>
      <c r="BG149" s="28" t="n">
        <v>0</v>
      </c>
      <c r="BH149" s="28" t="n">
        <v>0</v>
      </c>
      <c r="BI149" s="28" t="n">
        <v>0</v>
      </c>
      <c r="BJ149" s="28" t="n">
        <v>0</v>
      </c>
      <c r="BK149" s="28" t="n">
        <v>0</v>
      </c>
      <c r="BL149" s="28" t="n">
        <v>0</v>
      </c>
      <c r="BM149" s="28" t="n">
        <v>0</v>
      </c>
      <c r="BN149" s="28" t="n">
        <v>0</v>
      </c>
      <c r="BO149" s="28" t="n">
        <v>0</v>
      </c>
      <c r="BP149" s="28" t="n">
        <v>0</v>
      </c>
      <c r="BQ149" s="28" t="n">
        <v>0</v>
      </c>
      <c r="BR149" s="28" t="n">
        <v>0</v>
      </c>
      <c r="BS149" s="28" t="n">
        <v>0</v>
      </c>
      <c r="BT149" s="28" t="n">
        <v>0</v>
      </c>
      <c r="BU149" s="28" t="n">
        <v>0</v>
      </c>
      <c r="BV149" s="28" t="n">
        <v>0</v>
      </c>
      <c r="BW149" s="28" t="n">
        <v>0</v>
      </c>
      <c r="BX149" s="28" t="n">
        <v>0</v>
      </c>
      <c r="BY149" s="28" t="n">
        <v>0</v>
      </c>
      <c r="BZ149" s="28" t="n">
        <v>0</v>
      </c>
      <c r="CA149" s="28" t="n">
        <v>0</v>
      </c>
      <c r="CB149" s="28" t="n">
        <v>0</v>
      </c>
      <c r="CC149" s="28" t="n">
        <v>0</v>
      </c>
      <c r="CD149" s="28" t="n">
        <v>0</v>
      </c>
      <c r="CE149" s="28" t="n">
        <v>0</v>
      </c>
      <c r="CF149" s="28" t="n">
        <v>0</v>
      </c>
      <c r="CG149" s="28" t="n">
        <v>0</v>
      </c>
      <c r="CH149" s="28" t="n">
        <v>0</v>
      </c>
      <c r="CI149" s="28" t="n">
        <v>0</v>
      </c>
      <c r="CJ149" s="28" t="n">
        <v>0</v>
      </c>
      <c r="CK149" s="28" t="n">
        <v>0</v>
      </c>
      <c r="CL149" s="28" t="n">
        <v>0</v>
      </c>
      <c r="CM149" s="28" t="n">
        <v>0</v>
      </c>
      <c r="CN149" s="28" t="n">
        <v>0</v>
      </c>
      <c r="CO149" s="28" t="n">
        <v>0</v>
      </c>
      <c r="CP149" s="28" t="n">
        <v>0</v>
      </c>
      <c r="CQ149" s="28" t="n">
        <v>0</v>
      </c>
      <c r="CR149" s="28" t="n">
        <v>0</v>
      </c>
      <c r="CS149" s="28" t="n">
        <v>0</v>
      </c>
      <c r="CT149" s="28" t="n">
        <v>0</v>
      </c>
      <c r="CU149" s="28" t="n">
        <v>0</v>
      </c>
      <c r="CV149" s="28" t="n">
        <v>0</v>
      </c>
      <c r="CW149" s="28" t="n">
        <v>0</v>
      </c>
      <c r="CX149" s="28" t="n">
        <v>0</v>
      </c>
      <c r="CY149" s="28" t="n">
        <v>0</v>
      </c>
      <c r="CZ149" s="28" t="n">
        <v>0</v>
      </c>
      <c r="DA149" s="28" t="n">
        <v>0</v>
      </c>
    </row>
    <row r="150">
      <c r="A150" t="inlineStr">
        <is>
          <t>0TA30</t>
        </is>
      </c>
      <c r="B150" s="28" t="n">
        <v>0</v>
      </c>
      <c r="C150" s="28" t="n">
        <v>0</v>
      </c>
      <c r="D150" s="28" t="n">
        <v>0</v>
      </c>
      <c r="E150" s="28" t="n">
        <v>0</v>
      </c>
      <c r="F150" s="28" t="n">
        <v>0</v>
      </c>
      <c r="G150" s="28" t="n">
        <v>0</v>
      </c>
      <c r="H150" s="28" t="n">
        <v>0</v>
      </c>
      <c r="I150" s="28" t="n">
        <v>0</v>
      </c>
      <c r="J150" s="28" t="n">
        <v>0</v>
      </c>
      <c r="K150" s="28" t="n">
        <v>0</v>
      </c>
      <c r="L150" s="28" t="n">
        <v>0</v>
      </c>
      <c r="M150" s="28" t="n">
        <v>0</v>
      </c>
      <c r="N150" s="28" t="n">
        <v>0</v>
      </c>
      <c r="O150" s="28" t="n">
        <v>0</v>
      </c>
      <c r="P150" s="28" t="n">
        <v>0</v>
      </c>
      <c r="Q150" s="28" t="n">
        <v>0</v>
      </c>
      <c r="R150" s="28" t="n">
        <v>0</v>
      </c>
      <c r="S150" s="28" t="n">
        <v>0</v>
      </c>
      <c r="T150" s="28" t="n">
        <v>0</v>
      </c>
      <c r="U150" s="28" t="n">
        <v>0</v>
      </c>
      <c r="V150" s="28" t="n">
        <v>0</v>
      </c>
      <c r="W150" s="28" t="n">
        <v>0</v>
      </c>
      <c r="X150" s="28" t="n">
        <v>0</v>
      </c>
      <c r="Y150" s="28" t="n">
        <v>0</v>
      </c>
      <c r="Z150" s="28" t="n">
        <v>0</v>
      </c>
      <c r="AA150" s="28" t="n">
        <v>0</v>
      </c>
      <c r="AB150" s="28" t="n">
        <v>2352</v>
      </c>
      <c r="AC150" s="28" t="n">
        <v>0</v>
      </c>
      <c r="AD150" s="28" t="n">
        <v>0</v>
      </c>
      <c r="AE150" s="28" t="n">
        <v>0</v>
      </c>
      <c r="AF150" s="28" t="n">
        <v>0</v>
      </c>
      <c r="AG150" s="28" t="n">
        <v>1176</v>
      </c>
      <c r="AH150" s="28" t="n">
        <v>0</v>
      </c>
      <c r="AI150" s="28" t="n">
        <v>0</v>
      </c>
      <c r="AJ150" s="28" t="n">
        <v>0</v>
      </c>
      <c r="AK150" s="28" t="n">
        <v>1176</v>
      </c>
      <c r="AL150" s="28" t="n">
        <v>0</v>
      </c>
      <c r="AM150" s="28" t="n">
        <v>0</v>
      </c>
      <c r="AN150" s="28" t="n">
        <v>0</v>
      </c>
      <c r="AO150" s="28" t="n">
        <v>0</v>
      </c>
      <c r="AP150" s="28" t="n">
        <v>1176</v>
      </c>
      <c r="AQ150" s="28" t="n">
        <v>0</v>
      </c>
      <c r="AR150" s="28" t="n">
        <v>0</v>
      </c>
      <c r="AS150" s="28" t="n">
        <v>0</v>
      </c>
      <c r="AT150" s="28" t="n">
        <v>1176</v>
      </c>
      <c r="AU150" s="28" t="n">
        <v>0</v>
      </c>
      <c r="AV150" s="28" t="n">
        <v>0</v>
      </c>
      <c r="AW150" s="28" t="n">
        <v>0</v>
      </c>
      <c r="AX150" s="28" t="n">
        <v>1176</v>
      </c>
      <c r="AY150" s="28" t="n">
        <v>0</v>
      </c>
      <c r="AZ150" s="28" t="n">
        <v>0</v>
      </c>
      <c r="BA150" s="28" t="n">
        <v>0</v>
      </c>
      <c r="BB150" s="28" t="n">
        <v>0</v>
      </c>
      <c r="BC150" s="28" t="n">
        <v>0</v>
      </c>
      <c r="BD150" s="28" t="n">
        <v>0</v>
      </c>
      <c r="BE150" s="28" t="n">
        <v>0</v>
      </c>
      <c r="BF150" s="28" t="n">
        <v>1176</v>
      </c>
      <c r="BG150" s="28" t="n">
        <v>0</v>
      </c>
      <c r="BH150" s="28" t="n">
        <v>0</v>
      </c>
      <c r="BI150" s="28" t="n">
        <v>0</v>
      </c>
      <c r="BJ150" s="28" t="n">
        <v>1176</v>
      </c>
      <c r="BK150" s="28" t="n">
        <v>0</v>
      </c>
      <c r="BL150" s="28" t="n">
        <v>0</v>
      </c>
      <c r="BM150" s="28" t="n">
        <v>0</v>
      </c>
      <c r="BN150" s="28" t="n">
        <v>1176</v>
      </c>
      <c r="BO150" s="28" t="n">
        <v>0</v>
      </c>
      <c r="BP150" s="28" t="n">
        <v>0</v>
      </c>
      <c r="BQ150" s="28" t="n">
        <v>0</v>
      </c>
      <c r="BR150" s="28" t="n">
        <v>1176</v>
      </c>
      <c r="BS150" s="28" t="n">
        <v>1176</v>
      </c>
      <c r="BT150" s="28" t="n">
        <v>1176</v>
      </c>
      <c r="BU150" s="28" t="n">
        <v>1176</v>
      </c>
      <c r="BV150" s="28" t="n">
        <v>0</v>
      </c>
      <c r="BW150" s="28" t="n">
        <v>1176</v>
      </c>
      <c r="BX150" s="28" t="n">
        <v>0</v>
      </c>
      <c r="BY150" s="28" t="n">
        <v>0</v>
      </c>
      <c r="BZ150" s="28" t="n">
        <v>0</v>
      </c>
      <c r="CA150" s="28" t="n">
        <v>0</v>
      </c>
      <c r="CB150" s="28" t="n">
        <v>0</v>
      </c>
      <c r="CC150" s="28" t="n">
        <v>0</v>
      </c>
      <c r="CD150" s="28" t="n">
        <v>0</v>
      </c>
      <c r="CE150" s="28" t="n">
        <v>0</v>
      </c>
      <c r="CF150" s="28" t="n">
        <v>0</v>
      </c>
      <c r="CG150" s="28" t="n">
        <v>0</v>
      </c>
      <c r="CH150" s="28" t="n">
        <v>0</v>
      </c>
      <c r="CI150" s="28" t="n">
        <v>0</v>
      </c>
      <c r="CJ150" s="28" t="n">
        <v>0</v>
      </c>
      <c r="CK150" s="28" t="n">
        <v>0</v>
      </c>
      <c r="CL150" s="28" t="n">
        <v>0</v>
      </c>
      <c r="CM150" s="28" t="n">
        <v>0</v>
      </c>
      <c r="CN150" s="28" t="n">
        <v>0</v>
      </c>
      <c r="CO150" s="28" t="n">
        <v>0</v>
      </c>
      <c r="CP150" s="28" t="n">
        <v>0</v>
      </c>
      <c r="CQ150" s="28" t="n">
        <v>0</v>
      </c>
      <c r="CR150" s="28" t="n">
        <v>0</v>
      </c>
      <c r="CS150" s="28" t="n">
        <v>0</v>
      </c>
      <c r="CT150" s="28" t="n">
        <v>0</v>
      </c>
      <c r="CU150" s="28" t="n">
        <v>0</v>
      </c>
      <c r="CV150" s="28" t="n">
        <v>0</v>
      </c>
      <c r="CW150" s="28" t="n">
        <v>0</v>
      </c>
      <c r="CX150" s="28" t="n">
        <v>0</v>
      </c>
      <c r="CY150" s="28" t="n">
        <v>0</v>
      </c>
      <c r="CZ150" s="28" t="n">
        <v>0</v>
      </c>
      <c r="DA150" s="28" t="n">
        <v>0</v>
      </c>
    </row>
    <row r="151">
      <c r="A151" t="inlineStr">
        <is>
          <t>Ester Film</t>
        </is>
      </c>
      <c r="B151" s="28" t="n">
        <v>0</v>
      </c>
      <c r="C151" s="28" t="n">
        <v>0</v>
      </c>
      <c r="D151" s="28" t="n">
        <v>0</v>
      </c>
      <c r="E151" s="28" t="n">
        <v>0</v>
      </c>
      <c r="F151" s="28" t="n">
        <v>0</v>
      </c>
      <c r="G151" s="28" t="n">
        <v>0</v>
      </c>
      <c r="H151" s="28" t="n">
        <v>0</v>
      </c>
      <c r="I151" s="28" t="n">
        <v>0</v>
      </c>
      <c r="J151" s="28" t="n">
        <v>0</v>
      </c>
      <c r="K151" s="28" t="n">
        <v>0</v>
      </c>
      <c r="L151" s="28" t="n">
        <v>0</v>
      </c>
      <c r="M151" s="28" t="n">
        <v>0</v>
      </c>
      <c r="N151" s="28" t="n">
        <v>0</v>
      </c>
      <c r="O151" s="28" t="n">
        <v>0</v>
      </c>
      <c r="P151" s="28" t="n">
        <v>0</v>
      </c>
      <c r="Q151" s="28" t="n">
        <v>0</v>
      </c>
      <c r="R151" s="28" t="n">
        <v>0</v>
      </c>
      <c r="S151" s="28" t="n">
        <v>0</v>
      </c>
      <c r="T151" s="28" t="n">
        <v>0</v>
      </c>
      <c r="U151" s="28" t="n">
        <v>0</v>
      </c>
      <c r="V151" s="28" t="n">
        <v>0</v>
      </c>
      <c r="W151" s="28" t="n">
        <v>0</v>
      </c>
      <c r="X151" s="28" t="n">
        <v>5</v>
      </c>
      <c r="Y151" s="28" t="n">
        <v>5</v>
      </c>
      <c r="Z151" s="28" t="n">
        <v>5</v>
      </c>
      <c r="AA151" s="28" t="n">
        <v>5</v>
      </c>
      <c r="AB151" s="28" t="n">
        <v>5</v>
      </c>
      <c r="AC151" s="28" t="n">
        <v>5</v>
      </c>
      <c r="AD151" s="28" t="n">
        <v>5</v>
      </c>
      <c r="AE151" s="28" t="n">
        <v>5</v>
      </c>
      <c r="AF151" s="28" t="n">
        <v>5</v>
      </c>
      <c r="AG151" s="28" t="n">
        <v>5</v>
      </c>
      <c r="AH151" s="28" t="n">
        <v>5</v>
      </c>
      <c r="AI151" s="28" t="n">
        <v>5</v>
      </c>
      <c r="AJ151" s="28" t="n">
        <v>5</v>
      </c>
      <c r="AK151" s="28" t="n">
        <v>5</v>
      </c>
      <c r="AL151" s="28" t="n">
        <v>5</v>
      </c>
      <c r="AM151" s="28" t="n">
        <v>5</v>
      </c>
      <c r="AN151" s="28" t="n">
        <v>5</v>
      </c>
      <c r="AO151" s="28" t="n">
        <v>5</v>
      </c>
      <c r="AP151" s="28" t="n">
        <v>5</v>
      </c>
      <c r="AQ151" s="28" t="n">
        <v>5</v>
      </c>
      <c r="AR151" s="28" t="n">
        <v>5</v>
      </c>
      <c r="AS151" s="28" t="n">
        <v>5</v>
      </c>
      <c r="AT151" s="28" t="n">
        <v>5</v>
      </c>
      <c r="AU151" s="28" t="n">
        <v>5</v>
      </c>
      <c r="AV151" s="28" t="n">
        <v>5</v>
      </c>
      <c r="AW151" s="28" t="n">
        <v>5</v>
      </c>
      <c r="AX151" s="28" t="n">
        <v>5</v>
      </c>
      <c r="AY151" s="28" t="n">
        <v>5</v>
      </c>
      <c r="AZ151" s="28" t="n">
        <v>5</v>
      </c>
      <c r="BA151" s="28" t="n">
        <v>5</v>
      </c>
      <c r="BB151" s="28" t="n">
        <v>5</v>
      </c>
      <c r="BC151" s="28" t="n">
        <v>5</v>
      </c>
      <c r="BD151" s="28" t="n">
        <v>5</v>
      </c>
      <c r="BE151" s="28" t="n">
        <v>5</v>
      </c>
      <c r="BF151" s="28" t="n">
        <v>5</v>
      </c>
      <c r="BG151" s="28" t="n">
        <v>5</v>
      </c>
      <c r="BH151" s="28" t="n">
        <v>5</v>
      </c>
      <c r="BI151" s="28" t="n">
        <v>5</v>
      </c>
      <c r="BJ151" s="28" t="n">
        <v>5</v>
      </c>
      <c r="BK151" s="28" t="n">
        <v>5</v>
      </c>
      <c r="BL151" s="28" t="n">
        <v>5</v>
      </c>
      <c r="BM151" s="28" t="n">
        <v>5</v>
      </c>
      <c r="BN151" s="28" t="n">
        <v>5</v>
      </c>
      <c r="BO151" s="28" t="n">
        <v>5</v>
      </c>
      <c r="BP151" s="28" t="n">
        <v>5</v>
      </c>
      <c r="BQ151" s="28" t="n">
        <v>5</v>
      </c>
      <c r="BR151" s="28" t="n">
        <v>5</v>
      </c>
      <c r="BS151" s="28" t="n">
        <v>5</v>
      </c>
      <c r="BT151" s="28" t="n">
        <v>5</v>
      </c>
      <c r="BU151" s="28" t="n">
        <v>5</v>
      </c>
      <c r="BV151" s="28" t="n">
        <v>5</v>
      </c>
      <c r="BW151" s="28" t="n">
        <v>5</v>
      </c>
      <c r="BX151" s="28" t="n">
        <v>0</v>
      </c>
      <c r="BY151" s="28" t="n">
        <v>0</v>
      </c>
      <c r="BZ151" s="28" t="n">
        <v>0</v>
      </c>
      <c r="CA151" s="28" t="n">
        <v>0</v>
      </c>
      <c r="CB151" s="28" t="n">
        <v>0</v>
      </c>
      <c r="CC151" s="28" t="n">
        <v>0</v>
      </c>
      <c r="CD151" s="28" t="n">
        <v>0</v>
      </c>
      <c r="CE151" s="28" t="n">
        <v>0</v>
      </c>
      <c r="CF151" s="28" t="n">
        <v>0</v>
      </c>
      <c r="CG151" s="28" t="n">
        <v>0</v>
      </c>
      <c r="CH151" s="28" t="n">
        <v>0</v>
      </c>
      <c r="CI151" s="28" t="n">
        <v>0</v>
      </c>
      <c r="CJ151" s="28" t="n">
        <v>0</v>
      </c>
      <c r="CK151" s="28" t="n">
        <v>0</v>
      </c>
      <c r="CL151" s="28" t="n">
        <v>0</v>
      </c>
      <c r="CM151" s="28" t="n">
        <v>0</v>
      </c>
      <c r="CN151" s="28" t="n">
        <v>0</v>
      </c>
      <c r="CO151" s="28" t="n">
        <v>0</v>
      </c>
      <c r="CP151" s="28" t="n">
        <v>0</v>
      </c>
      <c r="CQ151" s="28" t="n">
        <v>0</v>
      </c>
      <c r="CR151" s="28" t="n">
        <v>0</v>
      </c>
      <c r="CS151" s="28" t="n">
        <v>0</v>
      </c>
      <c r="CT151" s="28" t="n">
        <v>0</v>
      </c>
      <c r="CU151" s="28" t="n">
        <v>0</v>
      </c>
      <c r="CV151" s="28" t="n">
        <v>0</v>
      </c>
      <c r="CW151" s="28" t="n">
        <v>0</v>
      </c>
      <c r="CX151" s="28" t="n">
        <v>0</v>
      </c>
      <c r="CY151" s="28" t="n">
        <v>0</v>
      </c>
      <c r="CZ151" s="28" t="n">
        <v>0</v>
      </c>
      <c r="DA151" s="28" t="n">
        <v>0</v>
      </c>
    </row>
    <row r="152">
      <c r="A152" t="inlineStr">
        <is>
          <t>F2090</t>
        </is>
      </c>
      <c r="B152" s="28" t="n">
        <v>0</v>
      </c>
      <c r="C152" s="28" t="n">
        <v>0</v>
      </c>
      <c r="D152" s="28" t="n">
        <v>0</v>
      </c>
      <c r="E152" s="28" t="n">
        <v>0</v>
      </c>
      <c r="F152" s="28" t="n">
        <v>0</v>
      </c>
      <c r="G152" s="28" t="n">
        <v>0</v>
      </c>
      <c r="H152" s="28" t="n">
        <v>0</v>
      </c>
      <c r="I152" s="28" t="n">
        <v>0</v>
      </c>
      <c r="J152" s="28" t="n">
        <v>0</v>
      </c>
      <c r="K152" s="28" t="n">
        <v>0</v>
      </c>
      <c r="L152" s="28" t="n">
        <v>0</v>
      </c>
      <c r="M152" s="28" t="n">
        <v>0</v>
      </c>
      <c r="N152" s="28" t="n">
        <v>0</v>
      </c>
      <c r="O152" s="28" t="n">
        <v>0</v>
      </c>
      <c r="P152" s="28" t="n">
        <v>0</v>
      </c>
      <c r="Q152" s="28" t="n">
        <v>0</v>
      </c>
      <c r="R152" s="28" t="n">
        <v>0</v>
      </c>
      <c r="S152" s="28" t="n">
        <v>0</v>
      </c>
      <c r="T152" s="28" t="n">
        <v>0</v>
      </c>
      <c r="U152" s="28" t="n">
        <v>0</v>
      </c>
      <c r="V152" s="28" t="n">
        <v>0</v>
      </c>
      <c r="W152" s="28" t="n">
        <v>0</v>
      </c>
      <c r="X152" s="28" t="n">
        <v>0</v>
      </c>
      <c r="Y152" s="28" t="n">
        <v>15840</v>
      </c>
      <c r="Z152" s="28" t="n">
        <v>0</v>
      </c>
      <c r="AA152" s="28" t="n">
        <v>7920</v>
      </c>
      <c r="AB152" s="28" t="n">
        <v>5940</v>
      </c>
      <c r="AC152" s="28" t="n">
        <v>7920</v>
      </c>
      <c r="AD152" s="28" t="n">
        <v>5940</v>
      </c>
      <c r="AE152" s="28" t="n">
        <v>7920</v>
      </c>
      <c r="AF152" s="28" t="n">
        <v>5940</v>
      </c>
      <c r="AG152" s="28" t="n">
        <v>5940</v>
      </c>
      <c r="AH152" s="28" t="n">
        <v>0</v>
      </c>
      <c r="AI152" s="28" t="n">
        <v>5940</v>
      </c>
      <c r="AJ152" s="28" t="n">
        <v>0</v>
      </c>
      <c r="AK152" s="28" t="n">
        <v>7920</v>
      </c>
      <c r="AL152" s="28" t="n">
        <v>0</v>
      </c>
      <c r="AM152" s="28" t="n">
        <v>7920</v>
      </c>
      <c r="AN152" s="28" t="n">
        <v>0</v>
      </c>
      <c r="AO152" s="28" t="n">
        <v>0</v>
      </c>
      <c r="AP152" s="28" t="n">
        <v>7920</v>
      </c>
      <c r="AQ152" s="28" t="n">
        <v>0</v>
      </c>
      <c r="AR152" s="28" t="n">
        <v>7920</v>
      </c>
      <c r="AS152" s="28" t="n">
        <v>0</v>
      </c>
      <c r="AT152" s="28" t="n">
        <v>7920</v>
      </c>
      <c r="AU152" s="28" t="n">
        <v>7920</v>
      </c>
      <c r="AV152" s="28" t="n">
        <v>7920</v>
      </c>
      <c r="AW152" s="28" t="n">
        <v>7920</v>
      </c>
      <c r="AX152" s="28" t="n">
        <v>7920</v>
      </c>
      <c r="AY152" s="28" t="n">
        <v>0</v>
      </c>
      <c r="AZ152" s="28" t="n">
        <v>0</v>
      </c>
      <c r="BA152" s="28" t="n">
        <v>0</v>
      </c>
      <c r="BB152" s="28" t="n">
        <v>0</v>
      </c>
      <c r="BC152" s="28" t="n">
        <v>0</v>
      </c>
      <c r="BD152" s="28" t="n">
        <v>7920</v>
      </c>
      <c r="BE152" s="28" t="n">
        <v>0</v>
      </c>
      <c r="BF152" s="28" t="n">
        <v>7920</v>
      </c>
      <c r="BG152" s="28" t="n">
        <v>0</v>
      </c>
      <c r="BH152" s="28" t="n">
        <v>7920</v>
      </c>
      <c r="BI152" s="28" t="n">
        <v>0</v>
      </c>
      <c r="BJ152" s="28" t="n">
        <v>0</v>
      </c>
      <c r="BK152" s="28" t="n">
        <v>7920</v>
      </c>
      <c r="BL152" s="28" t="n">
        <v>0</v>
      </c>
      <c r="BM152" s="28" t="n">
        <v>0</v>
      </c>
      <c r="BN152" s="28" t="n">
        <v>3960</v>
      </c>
      <c r="BO152" s="28" t="n">
        <v>0</v>
      </c>
      <c r="BP152" s="28" t="n">
        <v>0</v>
      </c>
      <c r="BQ152" s="28" t="n">
        <v>1980</v>
      </c>
      <c r="BR152" s="28" t="n">
        <v>0</v>
      </c>
      <c r="BS152" s="28" t="n">
        <v>0</v>
      </c>
      <c r="BT152" s="28" t="n">
        <v>0</v>
      </c>
      <c r="BU152" s="28" t="n">
        <v>0</v>
      </c>
      <c r="BV152" s="28" t="n">
        <v>0</v>
      </c>
      <c r="BW152" s="28" t="n">
        <v>0</v>
      </c>
      <c r="BX152" s="28" t="n">
        <v>0</v>
      </c>
      <c r="BY152" s="28" t="n">
        <v>0</v>
      </c>
      <c r="BZ152" s="28" t="n">
        <v>0</v>
      </c>
      <c r="CA152" s="28" t="n">
        <v>0</v>
      </c>
      <c r="CB152" s="28" t="n">
        <v>0</v>
      </c>
      <c r="CC152" s="28" t="n">
        <v>0</v>
      </c>
      <c r="CD152" s="28" t="n">
        <v>0</v>
      </c>
      <c r="CE152" s="28" t="n">
        <v>0</v>
      </c>
      <c r="CF152" s="28" t="n">
        <v>0</v>
      </c>
      <c r="CG152" s="28" t="n">
        <v>0</v>
      </c>
      <c r="CH152" s="28" t="n">
        <v>0</v>
      </c>
      <c r="CI152" s="28" t="n">
        <v>0</v>
      </c>
      <c r="CJ152" s="28" t="n">
        <v>0</v>
      </c>
      <c r="CK152" s="28" t="n">
        <v>0</v>
      </c>
      <c r="CL152" s="28" t="n">
        <v>0</v>
      </c>
      <c r="CM152" s="28" t="n">
        <v>0</v>
      </c>
      <c r="CN152" s="28" t="n">
        <v>0</v>
      </c>
      <c r="CO152" s="28" t="n">
        <v>0</v>
      </c>
      <c r="CP152" s="28" t="n">
        <v>0</v>
      </c>
      <c r="CQ152" s="28" t="n">
        <v>0</v>
      </c>
      <c r="CR152" s="28" t="n">
        <v>0</v>
      </c>
      <c r="CS152" s="28" t="n">
        <v>0</v>
      </c>
      <c r="CT152" s="28" t="n">
        <v>0</v>
      </c>
      <c r="CU152" s="28" t="n">
        <v>0</v>
      </c>
      <c r="CV152" s="28" t="n">
        <v>0</v>
      </c>
      <c r="CW152" s="28" t="n">
        <v>0</v>
      </c>
      <c r="CX152" s="28" t="n">
        <v>0</v>
      </c>
      <c r="CY152" s="28" t="n">
        <v>0</v>
      </c>
      <c r="CZ152" s="28" t="n">
        <v>0</v>
      </c>
      <c r="DA152" s="28" t="n">
        <v>0</v>
      </c>
    </row>
    <row r="153">
      <c r="A153" t="inlineStr">
        <is>
          <t>F2290</t>
        </is>
      </c>
      <c r="B153" s="28" t="n">
        <v>0</v>
      </c>
      <c r="C153" s="28" t="n">
        <v>0</v>
      </c>
      <c r="D153" s="28" t="n">
        <v>0</v>
      </c>
      <c r="E153" s="28" t="n">
        <v>0</v>
      </c>
      <c r="F153" s="28" t="n">
        <v>0</v>
      </c>
      <c r="G153" s="28" t="n">
        <v>0</v>
      </c>
      <c r="H153" s="28" t="n">
        <v>0</v>
      </c>
      <c r="I153" s="28" t="n">
        <v>0</v>
      </c>
      <c r="J153" s="28" t="n">
        <v>0</v>
      </c>
      <c r="K153" s="28" t="n">
        <v>0</v>
      </c>
      <c r="L153" s="28" t="n">
        <v>0</v>
      </c>
      <c r="M153" s="28" t="n">
        <v>0</v>
      </c>
      <c r="N153" s="28" t="n">
        <v>0</v>
      </c>
      <c r="O153" s="28" t="n">
        <v>0</v>
      </c>
      <c r="P153" s="28" t="n">
        <v>0</v>
      </c>
      <c r="Q153" s="28" t="n">
        <v>0</v>
      </c>
      <c r="R153" s="28" t="n">
        <v>0</v>
      </c>
      <c r="S153" s="28" t="n">
        <v>0</v>
      </c>
      <c r="T153" s="28" t="n">
        <v>0</v>
      </c>
      <c r="U153" s="28" t="n">
        <v>0</v>
      </c>
      <c r="V153" s="28" t="n">
        <v>0</v>
      </c>
      <c r="W153" s="28" t="n">
        <v>0</v>
      </c>
      <c r="X153" s="28" t="n">
        <v>0</v>
      </c>
      <c r="Y153" s="28" t="n">
        <v>0</v>
      </c>
      <c r="Z153" s="28" t="n">
        <v>0</v>
      </c>
      <c r="AA153" s="28" t="n">
        <v>0</v>
      </c>
      <c r="AB153" s="28" t="n">
        <v>0</v>
      </c>
      <c r="AC153" s="28" t="n">
        <v>0</v>
      </c>
      <c r="AD153" s="28" t="n">
        <v>0</v>
      </c>
      <c r="AE153" s="28" t="n">
        <v>0</v>
      </c>
      <c r="AF153" s="28" t="n">
        <v>1920</v>
      </c>
      <c r="AG153" s="28" t="n">
        <v>0</v>
      </c>
      <c r="AH153" s="28" t="n">
        <v>0</v>
      </c>
      <c r="AI153" s="28" t="n">
        <v>0</v>
      </c>
      <c r="AJ153" s="28" t="n">
        <v>0</v>
      </c>
      <c r="AK153" s="28" t="n">
        <v>0</v>
      </c>
      <c r="AL153" s="28" t="n">
        <v>0</v>
      </c>
      <c r="AM153" s="28" t="n">
        <v>1980</v>
      </c>
      <c r="AN153" s="28" t="n">
        <v>0</v>
      </c>
      <c r="AO153" s="28" t="n">
        <v>0</v>
      </c>
      <c r="AP153" s="28" t="n">
        <v>1980</v>
      </c>
      <c r="AQ153" s="28" t="n">
        <v>0</v>
      </c>
      <c r="AR153" s="28" t="n">
        <v>0</v>
      </c>
      <c r="AS153" s="28" t="n">
        <v>3960</v>
      </c>
      <c r="AT153" s="28" t="n">
        <v>0</v>
      </c>
      <c r="AU153" s="28" t="n">
        <v>0</v>
      </c>
      <c r="AV153" s="28" t="n">
        <v>0</v>
      </c>
      <c r="AW153" s="28" t="n">
        <v>0</v>
      </c>
      <c r="AX153" s="28" t="n">
        <v>3960</v>
      </c>
      <c r="AY153" s="28" t="n">
        <v>0</v>
      </c>
      <c r="AZ153" s="28" t="n">
        <v>0</v>
      </c>
      <c r="BA153" s="28" t="n">
        <v>0</v>
      </c>
      <c r="BB153" s="28" t="n">
        <v>0</v>
      </c>
      <c r="BC153" s="28" t="n">
        <v>0</v>
      </c>
      <c r="BD153" s="28" t="n">
        <v>0</v>
      </c>
      <c r="BE153" s="28" t="n">
        <v>0</v>
      </c>
      <c r="BF153" s="28" t="n">
        <v>0</v>
      </c>
      <c r="BG153" s="28" t="n">
        <v>1980</v>
      </c>
      <c r="BH153" s="28" t="n">
        <v>0</v>
      </c>
      <c r="BI153" s="28" t="n">
        <v>0</v>
      </c>
      <c r="BJ153" s="28" t="n">
        <v>0</v>
      </c>
      <c r="BK153" s="28" t="n">
        <v>1188</v>
      </c>
      <c r="BL153" s="28" t="n">
        <v>0</v>
      </c>
      <c r="BM153" s="28" t="n">
        <v>0</v>
      </c>
      <c r="BN153" s="28" t="n">
        <v>0</v>
      </c>
      <c r="BO153" s="28" t="n">
        <v>0</v>
      </c>
      <c r="BP153" s="28" t="n">
        <v>0</v>
      </c>
      <c r="BQ153" s="28" t="n">
        <v>0</v>
      </c>
      <c r="BR153" s="28" t="n">
        <v>0</v>
      </c>
      <c r="BS153" s="28" t="n">
        <v>0</v>
      </c>
      <c r="BT153" s="28" t="n">
        <v>0</v>
      </c>
      <c r="BU153" s="28" t="n">
        <v>0</v>
      </c>
      <c r="BV153" s="28" t="n">
        <v>0</v>
      </c>
      <c r="BW153" s="28" t="n">
        <v>0</v>
      </c>
      <c r="BX153" s="28" t="n">
        <v>0</v>
      </c>
      <c r="BY153" s="28" t="n">
        <v>0</v>
      </c>
      <c r="BZ153" s="28" t="n">
        <v>0</v>
      </c>
      <c r="CA153" s="28" t="n">
        <v>0</v>
      </c>
      <c r="CB153" s="28" t="n">
        <v>0</v>
      </c>
      <c r="CC153" s="28" t="n">
        <v>0</v>
      </c>
      <c r="CD153" s="28" t="n">
        <v>0</v>
      </c>
      <c r="CE153" s="28" t="n">
        <v>0</v>
      </c>
      <c r="CF153" s="28" t="n">
        <v>0</v>
      </c>
      <c r="CG153" s="28" t="n">
        <v>0</v>
      </c>
      <c r="CH153" s="28" t="n">
        <v>0</v>
      </c>
      <c r="CI153" s="28" t="n">
        <v>0</v>
      </c>
      <c r="CJ153" s="28" t="n">
        <v>0</v>
      </c>
      <c r="CK153" s="28" t="n">
        <v>0</v>
      </c>
      <c r="CL153" s="28" t="n">
        <v>0</v>
      </c>
      <c r="CM153" s="28" t="n">
        <v>0</v>
      </c>
      <c r="CN153" s="28" t="n">
        <v>0</v>
      </c>
      <c r="CO153" s="28" t="n">
        <v>0</v>
      </c>
      <c r="CP153" s="28" t="n">
        <v>0</v>
      </c>
      <c r="CQ153" s="28" t="n">
        <v>0</v>
      </c>
      <c r="CR153" s="28" t="n">
        <v>0</v>
      </c>
      <c r="CS153" s="28" t="n">
        <v>0</v>
      </c>
      <c r="CT153" s="28" t="n">
        <v>0</v>
      </c>
      <c r="CU153" s="28" t="n">
        <v>0</v>
      </c>
      <c r="CV153" s="28" t="n">
        <v>0</v>
      </c>
      <c r="CW153" s="28" t="n">
        <v>0</v>
      </c>
      <c r="CX153" s="28" t="n">
        <v>0</v>
      </c>
      <c r="CY153" s="28" t="n">
        <v>0</v>
      </c>
      <c r="CZ153" s="28" t="n">
        <v>0</v>
      </c>
      <c r="DA153" s="28" t="n">
        <v>0</v>
      </c>
    </row>
    <row r="154">
      <c r="A154" t="inlineStr">
        <is>
          <t>K0050</t>
        </is>
      </c>
      <c r="B154" s="28" t="n">
        <v>0</v>
      </c>
      <c r="C154" s="28" t="n">
        <v>0</v>
      </c>
      <c r="D154" s="28" t="n">
        <v>0</v>
      </c>
      <c r="E154" s="28" t="n">
        <v>0</v>
      </c>
      <c r="F154" s="28" t="n">
        <v>0</v>
      </c>
      <c r="G154" s="28" t="n">
        <v>0</v>
      </c>
      <c r="H154" s="28" t="n">
        <v>0</v>
      </c>
      <c r="I154" s="28" t="n">
        <v>0</v>
      </c>
      <c r="J154" s="28" t="n">
        <v>0</v>
      </c>
      <c r="K154" s="28" t="n">
        <v>0</v>
      </c>
      <c r="L154" s="28" t="n">
        <v>0</v>
      </c>
      <c r="M154" s="28" t="n">
        <v>0</v>
      </c>
      <c r="N154" s="28" t="n">
        <v>0</v>
      </c>
      <c r="O154" s="28" t="n">
        <v>0</v>
      </c>
      <c r="P154" s="28" t="n">
        <v>0</v>
      </c>
      <c r="Q154" s="28" t="n">
        <v>0</v>
      </c>
      <c r="R154" s="28" t="n">
        <v>0</v>
      </c>
      <c r="S154" s="28" t="n">
        <v>0</v>
      </c>
      <c r="T154" s="28" t="n">
        <v>0</v>
      </c>
      <c r="U154" s="28" t="n">
        <v>0</v>
      </c>
      <c r="V154" s="28" t="n">
        <v>0</v>
      </c>
      <c r="W154" s="28" t="n">
        <v>0</v>
      </c>
      <c r="X154" s="28" t="n">
        <v>9680</v>
      </c>
      <c r="Y154" s="28" t="n">
        <v>9680</v>
      </c>
      <c r="Z154" s="28" t="n">
        <v>0</v>
      </c>
      <c r="AA154" s="28" t="n">
        <v>11616</v>
      </c>
      <c r="AB154" s="28" t="n">
        <v>7744</v>
      </c>
      <c r="AC154" s="28" t="n">
        <v>9680</v>
      </c>
      <c r="AD154" s="28" t="n">
        <v>9680</v>
      </c>
      <c r="AE154" s="28" t="n">
        <v>4840</v>
      </c>
      <c r="AF154" s="28" t="n">
        <v>4840</v>
      </c>
      <c r="AG154" s="28" t="n">
        <v>9680</v>
      </c>
      <c r="AH154" s="28" t="n">
        <v>9680</v>
      </c>
      <c r="AI154" s="28" t="n">
        <v>9680</v>
      </c>
      <c r="AJ154" s="28" t="n">
        <v>9680</v>
      </c>
      <c r="AK154" s="28" t="n">
        <v>9680</v>
      </c>
      <c r="AL154" s="28" t="n">
        <v>9680</v>
      </c>
      <c r="AM154" s="28" t="n">
        <v>9680</v>
      </c>
      <c r="AN154" s="28" t="n">
        <v>4840</v>
      </c>
      <c r="AO154" s="28" t="n">
        <v>4840</v>
      </c>
      <c r="AP154" s="28" t="n">
        <v>9680</v>
      </c>
      <c r="AQ154" s="28" t="n">
        <v>9680</v>
      </c>
      <c r="AR154" s="28" t="n">
        <v>9680</v>
      </c>
      <c r="AS154" s="28" t="n">
        <v>9680</v>
      </c>
      <c r="AT154" s="28" t="n">
        <v>14520</v>
      </c>
      <c r="AU154" s="28" t="n">
        <v>14520</v>
      </c>
      <c r="AV154" s="28" t="n">
        <v>14520</v>
      </c>
      <c r="AW154" s="28" t="n">
        <v>14520</v>
      </c>
      <c r="AX154" s="28" t="n">
        <v>9680</v>
      </c>
      <c r="AY154" s="28" t="n">
        <v>9680</v>
      </c>
      <c r="AZ154" s="28" t="n">
        <v>4840</v>
      </c>
      <c r="BA154" s="28" t="n">
        <v>0</v>
      </c>
      <c r="BB154" s="28" t="n">
        <v>0</v>
      </c>
      <c r="BC154" s="28" t="n">
        <v>9680</v>
      </c>
      <c r="BD154" s="28" t="n">
        <v>9680</v>
      </c>
      <c r="BE154" s="28" t="n">
        <v>9680</v>
      </c>
      <c r="BF154" s="28" t="n">
        <v>9680</v>
      </c>
      <c r="BG154" s="28" t="n">
        <v>9680</v>
      </c>
      <c r="BH154" s="28" t="n">
        <v>9680</v>
      </c>
      <c r="BI154" s="28" t="n">
        <v>9680</v>
      </c>
      <c r="BJ154" s="28" t="n">
        <v>9680</v>
      </c>
      <c r="BK154" s="28" t="n">
        <v>9680</v>
      </c>
      <c r="BL154" s="28" t="n">
        <v>0</v>
      </c>
      <c r="BM154" s="28" t="n">
        <v>9680</v>
      </c>
      <c r="BN154" s="28" t="n">
        <v>0</v>
      </c>
      <c r="BO154" s="28" t="n">
        <v>4840</v>
      </c>
      <c r="BP154" s="28" t="n">
        <v>4840</v>
      </c>
      <c r="BQ154" s="28" t="n">
        <v>4840</v>
      </c>
      <c r="BR154" s="28" t="n">
        <v>4840</v>
      </c>
      <c r="BS154" s="28" t="n">
        <v>0</v>
      </c>
      <c r="BT154" s="28" t="n">
        <v>4840</v>
      </c>
      <c r="BU154" s="28" t="n">
        <v>4840</v>
      </c>
      <c r="BV154" s="28" t="n">
        <v>4840</v>
      </c>
      <c r="BW154" s="28" t="n">
        <v>4840</v>
      </c>
      <c r="BX154" s="28" t="n">
        <v>0</v>
      </c>
      <c r="BY154" s="28" t="n">
        <v>0</v>
      </c>
      <c r="BZ154" s="28" t="n">
        <v>0</v>
      </c>
      <c r="CA154" s="28" t="n">
        <v>0</v>
      </c>
      <c r="CB154" s="28" t="n">
        <v>0</v>
      </c>
      <c r="CC154" s="28" t="n">
        <v>0</v>
      </c>
      <c r="CD154" s="28" t="n">
        <v>0</v>
      </c>
      <c r="CE154" s="28" t="n">
        <v>0</v>
      </c>
      <c r="CF154" s="28" t="n">
        <v>0</v>
      </c>
      <c r="CG154" s="28" t="n">
        <v>0</v>
      </c>
      <c r="CH154" s="28" t="n">
        <v>0</v>
      </c>
      <c r="CI154" s="28" t="n">
        <v>0</v>
      </c>
      <c r="CJ154" s="28" t="n">
        <v>0</v>
      </c>
      <c r="CK154" s="28" t="n">
        <v>0</v>
      </c>
      <c r="CL154" s="28" t="n">
        <v>0</v>
      </c>
      <c r="CM154" s="28" t="n">
        <v>0</v>
      </c>
      <c r="CN154" s="28" t="n">
        <v>0</v>
      </c>
      <c r="CO154" s="28" t="n">
        <v>0</v>
      </c>
      <c r="CP154" s="28" t="n">
        <v>0</v>
      </c>
      <c r="CQ154" s="28" t="n">
        <v>0</v>
      </c>
      <c r="CR154" s="28" t="n">
        <v>0</v>
      </c>
      <c r="CS154" s="28" t="n">
        <v>0</v>
      </c>
      <c r="CT154" s="28" t="n">
        <v>0</v>
      </c>
      <c r="CU154" s="28" t="n">
        <v>0</v>
      </c>
      <c r="CV154" s="28" t="n">
        <v>0</v>
      </c>
      <c r="CW154" s="28" t="n">
        <v>0</v>
      </c>
      <c r="CX154" s="28" t="n">
        <v>0</v>
      </c>
      <c r="CY154" s="28" t="n">
        <v>0</v>
      </c>
      <c r="CZ154" s="28" t="n">
        <v>0</v>
      </c>
      <c r="DA154" s="28" t="n">
        <v>0</v>
      </c>
    </row>
    <row r="155">
      <c r="A155" t="inlineStr">
        <is>
          <t>PP Film</t>
        </is>
      </c>
      <c r="B155" s="28" t="n">
        <v>0</v>
      </c>
      <c r="C155" s="28" t="n">
        <v>0</v>
      </c>
      <c r="D155" s="28" t="n">
        <v>0</v>
      </c>
      <c r="E155" s="28" t="n">
        <v>0</v>
      </c>
      <c r="F155" s="28" t="n">
        <v>0</v>
      </c>
      <c r="G155" s="28" t="n">
        <v>0</v>
      </c>
      <c r="H155" s="28" t="n">
        <v>0</v>
      </c>
      <c r="I155" s="28" t="n">
        <v>0</v>
      </c>
      <c r="J155" s="28" t="n">
        <v>0</v>
      </c>
      <c r="K155" s="28" t="n">
        <v>0</v>
      </c>
      <c r="L155" s="28" t="n">
        <v>0</v>
      </c>
      <c r="M155" s="28" t="n">
        <v>0</v>
      </c>
      <c r="N155" s="28" t="n">
        <v>0</v>
      </c>
      <c r="O155" s="28" t="n">
        <v>0</v>
      </c>
      <c r="P155" s="28" t="n">
        <v>0</v>
      </c>
      <c r="Q155" s="28" t="n">
        <v>0</v>
      </c>
      <c r="R155" s="28" t="n">
        <v>0</v>
      </c>
      <c r="S155" s="28" t="n">
        <v>0</v>
      </c>
      <c r="T155" s="28" t="n">
        <v>0</v>
      </c>
      <c r="U155" s="28" t="n">
        <v>0</v>
      </c>
      <c r="V155" s="28" t="n">
        <v>0</v>
      </c>
      <c r="W155" s="28" t="n">
        <v>0</v>
      </c>
      <c r="X155" s="28" t="n">
        <v>21</v>
      </c>
      <c r="Y155" s="28" t="n">
        <v>18</v>
      </c>
      <c r="Z155" s="28" t="n">
        <v>0</v>
      </c>
      <c r="AA155" s="28" t="n">
        <v>4</v>
      </c>
      <c r="AB155" s="28" t="n">
        <v>15</v>
      </c>
      <c r="AC155" s="28" t="n">
        <v>9</v>
      </c>
      <c r="AD155" s="28" t="n">
        <v>12</v>
      </c>
      <c r="AE155" s="28" t="n">
        <v>16</v>
      </c>
      <c r="AF155" s="28" t="n">
        <v>16</v>
      </c>
      <c r="AG155" s="28" t="n">
        <v>20</v>
      </c>
      <c r="AH155" s="28" t="n">
        <v>17</v>
      </c>
      <c r="AI155" s="28" t="n">
        <v>6</v>
      </c>
      <c r="AJ155" s="28" t="n">
        <v>12</v>
      </c>
      <c r="AK155" s="28" t="n">
        <v>7</v>
      </c>
      <c r="AL155" s="28" t="n">
        <v>13</v>
      </c>
      <c r="AM155" s="28" t="n">
        <v>19</v>
      </c>
      <c r="AN155" s="28" t="n">
        <v>16</v>
      </c>
      <c r="AO155" s="28" t="n">
        <v>16</v>
      </c>
      <c r="AP155" s="28" t="n">
        <v>18</v>
      </c>
      <c r="AQ155" s="28" t="n">
        <v>19</v>
      </c>
      <c r="AR155" s="28" t="n">
        <v>18</v>
      </c>
      <c r="AS155" s="28" t="n">
        <v>23</v>
      </c>
      <c r="AT155" s="28" t="n">
        <v>26</v>
      </c>
      <c r="AU155" s="28" t="n">
        <v>26</v>
      </c>
      <c r="AV155" s="28" t="n">
        <v>26</v>
      </c>
      <c r="AW155" s="28" t="n">
        <v>19</v>
      </c>
      <c r="AX155" s="28" t="n">
        <v>23</v>
      </c>
      <c r="AY155" s="28" t="n">
        <v>10</v>
      </c>
      <c r="AZ155" s="28" t="n">
        <v>10</v>
      </c>
      <c r="BA155" s="28" t="n">
        <v>0</v>
      </c>
      <c r="BB155" s="28" t="n">
        <v>0</v>
      </c>
      <c r="BC155" s="28" t="n">
        <v>13</v>
      </c>
      <c r="BD155" s="28" t="n">
        <v>16</v>
      </c>
      <c r="BE155" s="28" t="n">
        <v>24</v>
      </c>
      <c r="BF155" s="28" t="n">
        <v>16</v>
      </c>
      <c r="BG155" s="28" t="n">
        <v>19</v>
      </c>
      <c r="BH155" s="28" t="n">
        <v>15</v>
      </c>
      <c r="BI155" s="28" t="n">
        <v>10</v>
      </c>
      <c r="BJ155" s="28" t="n">
        <v>16</v>
      </c>
      <c r="BK155" s="28" t="n">
        <v>16</v>
      </c>
      <c r="BL155" s="28" t="n">
        <v>6</v>
      </c>
      <c r="BM155" s="28" t="n">
        <v>9</v>
      </c>
      <c r="BN155" s="28" t="n">
        <v>13</v>
      </c>
      <c r="BO155" s="28" t="n">
        <v>3</v>
      </c>
      <c r="BP155" s="28" t="n">
        <v>6</v>
      </c>
      <c r="BQ155" s="28" t="n">
        <v>9</v>
      </c>
      <c r="BR155" s="28" t="n">
        <v>11</v>
      </c>
      <c r="BS155" s="28" t="n">
        <v>0</v>
      </c>
      <c r="BT155" s="28" t="n">
        <v>5</v>
      </c>
      <c r="BU155" s="28" t="n">
        <v>0</v>
      </c>
      <c r="BV155" s="28" t="n">
        <v>0</v>
      </c>
      <c r="BW155" s="28" t="n">
        <v>0</v>
      </c>
      <c r="BX155" s="28" t="n">
        <v>0</v>
      </c>
      <c r="BY155" s="28" t="n">
        <v>0</v>
      </c>
      <c r="BZ155" s="28" t="n">
        <v>0</v>
      </c>
      <c r="CA155" s="28" t="n">
        <v>0</v>
      </c>
      <c r="CB155" s="28" t="n">
        <v>0</v>
      </c>
      <c r="CC155" s="28" t="n">
        <v>0</v>
      </c>
      <c r="CD155" s="28" t="n">
        <v>0</v>
      </c>
      <c r="CE155" s="28" t="n">
        <v>0</v>
      </c>
      <c r="CF155" s="28" t="n">
        <v>0</v>
      </c>
      <c r="CG155" s="28" t="n">
        <v>0</v>
      </c>
      <c r="CH155" s="28" t="n">
        <v>0</v>
      </c>
      <c r="CI155" s="28" t="n">
        <v>0</v>
      </c>
      <c r="CJ155" s="28" t="n">
        <v>0</v>
      </c>
      <c r="CK155" s="28" t="n">
        <v>0</v>
      </c>
      <c r="CL155" s="28" t="n">
        <v>0</v>
      </c>
      <c r="CM155" s="28" t="n">
        <v>0</v>
      </c>
      <c r="CN155" s="28" t="n">
        <v>0</v>
      </c>
      <c r="CO155" s="28" t="n">
        <v>0</v>
      </c>
      <c r="CP155" s="28" t="n">
        <v>0</v>
      </c>
      <c r="CQ155" s="28" t="n">
        <v>0</v>
      </c>
      <c r="CR155" s="28" t="n">
        <v>0</v>
      </c>
      <c r="CS155" s="28" t="n">
        <v>0</v>
      </c>
      <c r="CT155" s="28" t="n">
        <v>0</v>
      </c>
      <c r="CU155" s="28" t="n">
        <v>0</v>
      </c>
      <c r="CV155" s="28" t="n">
        <v>0</v>
      </c>
      <c r="CW155" s="28" t="n">
        <v>0</v>
      </c>
      <c r="CX155" s="28" t="n">
        <v>0</v>
      </c>
      <c r="CY155" s="28" t="n">
        <v>0</v>
      </c>
      <c r="CZ155" s="28" t="n">
        <v>0</v>
      </c>
      <c r="DA155" s="28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4" t="inlineStr">
        <is>
          <t>AnchorYear</t>
        </is>
      </c>
      <c r="B1" s="28" t="n">
        <v>2026</v>
      </c>
    </row>
    <row r="3">
      <c r="A3" s="27" t="inlineStr">
        <is>
          <t>WeekIndex</t>
        </is>
      </c>
      <c r="B3" s="27" t="inlineStr">
        <is>
          <t>WeekStart</t>
        </is>
      </c>
      <c r="C3" s="27" t="inlineStr">
        <is>
          <t>Year</t>
        </is>
      </c>
      <c r="D3" s="27" t="inlineStr">
        <is>
          <t>WeekOfYear</t>
        </is>
      </c>
      <c r="E3" s="27" t="inlineStr">
        <is>
          <t>Label</t>
        </is>
      </c>
      <c r="F3" s="27" t="inlineStr">
        <is>
          <t>WeekEnd</t>
        </is>
      </c>
      <c r="G3" s="27" t="inlineStr">
        <is>
          <t>MonthYearLabel</t>
        </is>
      </c>
    </row>
    <row r="4">
      <c r="A4" t="n">
        <v>1</v>
      </c>
      <c r="B4" s="24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4">
        <f>B4+6</f>
        <v/>
      </c>
      <c r="G4">
        <f>TEXT(B4,"mmm-yy")</f>
        <v/>
      </c>
    </row>
    <row r="5">
      <c r="A5" t="n">
        <v>2</v>
      </c>
      <c r="B5" s="24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4">
        <f>B5+6</f>
        <v/>
      </c>
      <c r="G5">
        <f>TEXT(B5,"mmm-yy")</f>
        <v/>
      </c>
    </row>
    <row r="6">
      <c r="A6" t="n">
        <v>3</v>
      </c>
      <c r="B6" s="24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4">
        <f>B6+6</f>
        <v/>
      </c>
      <c r="G6">
        <f>TEXT(B6,"mmm-yy")</f>
        <v/>
      </c>
    </row>
    <row r="7">
      <c r="A7" t="n">
        <v>4</v>
      </c>
      <c r="B7" s="24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4">
        <f>B7+6</f>
        <v/>
      </c>
      <c r="G7">
        <f>TEXT(B7,"mmm-yy")</f>
        <v/>
      </c>
    </row>
    <row r="8">
      <c r="A8" t="n">
        <v>5</v>
      </c>
      <c r="B8" s="24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4">
        <f>B8+6</f>
        <v/>
      </c>
      <c r="G8">
        <f>TEXT(B8,"mmm-yy")</f>
        <v/>
      </c>
    </row>
    <row r="9">
      <c r="A9" t="n">
        <v>6</v>
      </c>
      <c r="B9" s="24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4">
        <f>B9+6</f>
        <v/>
      </c>
      <c r="G9">
        <f>TEXT(B9,"mmm-yy")</f>
        <v/>
      </c>
    </row>
    <row r="10">
      <c r="A10" t="n">
        <v>7</v>
      </c>
      <c r="B10" s="24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4">
        <f>B10+6</f>
        <v/>
      </c>
      <c r="G10">
        <f>TEXT(B10,"mmm-yy")</f>
        <v/>
      </c>
    </row>
    <row r="11">
      <c r="A11" t="n">
        <v>8</v>
      </c>
      <c r="B11" s="24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4">
        <f>B11+6</f>
        <v/>
      </c>
      <c r="G11">
        <f>TEXT(B11,"mmm-yy")</f>
        <v/>
      </c>
    </row>
    <row r="12">
      <c r="A12" t="n">
        <v>9</v>
      </c>
      <c r="B12" s="24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4">
        <f>B12+6</f>
        <v/>
      </c>
      <c r="G12">
        <f>TEXT(B12,"mmm-yy")</f>
        <v/>
      </c>
    </row>
    <row r="13">
      <c r="A13" t="n">
        <v>10</v>
      </c>
      <c r="B13" s="24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4">
        <f>B13+6</f>
        <v/>
      </c>
      <c r="G13">
        <f>TEXT(B13,"mmm-yy")</f>
        <v/>
      </c>
    </row>
    <row r="14">
      <c r="A14" t="n">
        <v>11</v>
      </c>
      <c r="B14" s="24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4">
        <f>B14+6</f>
        <v/>
      </c>
      <c r="G14">
        <f>TEXT(B14,"mmm-yy")</f>
        <v/>
      </c>
    </row>
    <row r="15">
      <c r="A15" t="n">
        <v>12</v>
      </c>
      <c r="B15" s="24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4">
        <f>B15+6</f>
        <v/>
      </c>
      <c r="G15">
        <f>TEXT(B15,"mmm-yy")</f>
        <v/>
      </c>
    </row>
    <row r="16">
      <c r="A16" t="n">
        <v>13</v>
      </c>
      <c r="B16" s="24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4">
        <f>B16+6</f>
        <v/>
      </c>
      <c r="G16">
        <f>TEXT(B16,"mmm-yy")</f>
        <v/>
      </c>
    </row>
    <row r="17">
      <c r="A17" t="n">
        <v>14</v>
      </c>
      <c r="B17" s="24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4">
        <f>B17+6</f>
        <v/>
      </c>
      <c r="G17">
        <f>TEXT(B17,"mmm-yy")</f>
        <v/>
      </c>
    </row>
    <row r="18">
      <c r="A18" t="n">
        <v>15</v>
      </c>
      <c r="B18" s="24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4">
        <f>B18+6</f>
        <v/>
      </c>
      <c r="G18">
        <f>TEXT(B18,"mmm-yy")</f>
        <v/>
      </c>
    </row>
    <row r="19">
      <c r="A19" t="n">
        <v>16</v>
      </c>
      <c r="B19" s="24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4">
        <f>B19+6</f>
        <v/>
      </c>
      <c r="G19">
        <f>TEXT(B19,"mmm-yy")</f>
        <v/>
      </c>
    </row>
    <row r="20">
      <c r="A20" t="n">
        <v>17</v>
      </c>
      <c r="B20" s="24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4">
        <f>B20+6</f>
        <v/>
      </c>
      <c r="G20">
        <f>TEXT(B20,"mmm-yy")</f>
        <v/>
      </c>
    </row>
    <row r="21">
      <c r="A21" t="n">
        <v>18</v>
      </c>
      <c r="B21" s="24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4">
        <f>B21+6</f>
        <v/>
      </c>
      <c r="G21">
        <f>TEXT(B21,"mmm-yy")</f>
        <v/>
      </c>
    </row>
    <row r="22">
      <c r="A22" t="n">
        <v>19</v>
      </c>
      <c r="B22" s="24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4">
        <f>B22+6</f>
        <v/>
      </c>
      <c r="G22">
        <f>TEXT(B22,"mmm-yy")</f>
        <v/>
      </c>
    </row>
    <row r="23">
      <c r="A23" t="n">
        <v>20</v>
      </c>
      <c r="B23" s="24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4">
        <f>B23+6</f>
        <v/>
      </c>
      <c r="G23">
        <f>TEXT(B23,"mmm-yy")</f>
        <v/>
      </c>
    </row>
    <row r="24">
      <c r="A24" t="n">
        <v>21</v>
      </c>
      <c r="B24" s="24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4">
        <f>B24+6</f>
        <v/>
      </c>
      <c r="G24">
        <f>TEXT(B24,"mmm-yy")</f>
        <v/>
      </c>
    </row>
    <row r="25">
      <c r="A25" t="n">
        <v>22</v>
      </c>
      <c r="B25" s="24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4">
        <f>B25+6</f>
        <v/>
      </c>
      <c r="G25">
        <f>TEXT(B25,"mmm-yy")</f>
        <v/>
      </c>
    </row>
    <row r="26">
      <c r="A26" t="n">
        <v>23</v>
      </c>
      <c r="B26" s="24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4">
        <f>B26+6</f>
        <v/>
      </c>
      <c r="G26">
        <f>TEXT(B26,"mmm-yy")</f>
        <v/>
      </c>
    </row>
    <row r="27">
      <c r="A27" t="n">
        <v>24</v>
      </c>
      <c r="B27" s="24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4">
        <f>B27+6</f>
        <v/>
      </c>
      <c r="G27">
        <f>TEXT(B27,"mmm-yy")</f>
        <v/>
      </c>
    </row>
    <row r="28">
      <c r="A28" t="n">
        <v>25</v>
      </c>
      <c r="B28" s="24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4">
        <f>B28+6</f>
        <v/>
      </c>
      <c r="G28">
        <f>TEXT(B28,"mmm-yy")</f>
        <v/>
      </c>
    </row>
    <row r="29">
      <c r="A29" t="n">
        <v>26</v>
      </c>
      <c r="B29" s="24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4">
        <f>B29+6</f>
        <v/>
      </c>
      <c r="G29">
        <f>TEXT(B29,"mmm-yy")</f>
        <v/>
      </c>
    </row>
    <row r="30">
      <c r="A30" t="n">
        <v>27</v>
      </c>
      <c r="B30" s="24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4">
        <f>B30+6</f>
        <v/>
      </c>
      <c r="G30">
        <f>TEXT(B30,"mmm-yy")</f>
        <v/>
      </c>
    </row>
    <row r="31">
      <c r="A31" t="n">
        <v>28</v>
      </c>
      <c r="B31" s="24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4">
        <f>B31+6</f>
        <v/>
      </c>
      <c r="G31">
        <f>TEXT(B31,"mmm-yy")</f>
        <v/>
      </c>
    </row>
    <row r="32">
      <c r="A32" t="n">
        <v>29</v>
      </c>
      <c r="B32" s="24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4">
        <f>B32+6</f>
        <v/>
      </c>
      <c r="G32">
        <f>TEXT(B32,"mmm-yy")</f>
        <v/>
      </c>
    </row>
    <row r="33">
      <c r="A33" t="n">
        <v>30</v>
      </c>
      <c r="B33" s="24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4">
        <f>B33+6</f>
        <v/>
      </c>
      <c r="G33">
        <f>TEXT(B33,"mmm-yy")</f>
        <v/>
      </c>
    </row>
    <row r="34">
      <c r="A34" t="n">
        <v>31</v>
      </c>
      <c r="B34" s="24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4">
        <f>B34+6</f>
        <v/>
      </c>
      <c r="G34">
        <f>TEXT(B34,"mmm-yy")</f>
        <v/>
      </c>
    </row>
    <row r="35">
      <c r="A35" t="n">
        <v>32</v>
      </c>
      <c r="B35" s="24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4">
        <f>B35+6</f>
        <v/>
      </c>
      <c r="G35">
        <f>TEXT(B35,"mmm-yy")</f>
        <v/>
      </c>
    </row>
    <row r="36">
      <c r="A36" t="n">
        <v>33</v>
      </c>
      <c r="B36" s="24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4">
        <f>B36+6</f>
        <v/>
      </c>
      <c r="G36">
        <f>TEXT(B36,"mmm-yy")</f>
        <v/>
      </c>
    </row>
    <row r="37">
      <c r="A37" t="n">
        <v>34</v>
      </c>
      <c r="B37" s="24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4">
        <f>B37+6</f>
        <v/>
      </c>
      <c r="G37">
        <f>TEXT(B37,"mmm-yy")</f>
        <v/>
      </c>
    </row>
    <row r="38">
      <c r="A38" t="n">
        <v>35</v>
      </c>
      <c r="B38" s="24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4">
        <f>B38+6</f>
        <v/>
      </c>
      <c r="G38">
        <f>TEXT(B38,"mmm-yy")</f>
        <v/>
      </c>
    </row>
    <row r="39">
      <c r="A39" t="n">
        <v>36</v>
      </c>
      <c r="B39" s="24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4">
        <f>B39+6</f>
        <v/>
      </c>
      <c r="G39">
        <f>TEXT(B39,"mmm-yy")</f>
        <v/>
      </c>
    </row>
    <row r="40">
      <c r="A40" t="n">
        <v>37</v>
      </c>
      <c r="B40" s="24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4">
        <f>B40+6</f>
        <v/>
      </c>
      <c r="G40">
        <f>TEXT(B40,"mmm-yy")</f>
        <v/>
      </c>
    </row>
    <row r="41">
      <c r="A41" t="n">
        <v>38</v>
      </c>
      <c r="B41" s="24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4">
        <f>B41+6</f>
        <v/>
      </c>
      <c r="G41">
        <f>TEXT(B41,"mmm-yy")</f>
        <v/>
      </c>
    </row>
    <row r="42">
      <c r="A42" t="n">
        <v>39</v>
      </c>
      <c r="B42" s="24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4">
        <f>B42+6</f>
        <v/>
      </c>
      <c r="G42">
        <f>TEXT(B42,"mmm-yy")</f>
        <v/>
      </c>
    </row>
    <row r="43">
      <c r="A43" t="n">
        <v>40</v>
      </c>
      <c r="B43" s="24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4">
        <f>B43+6</f>
        <v/>
      </c>
      <c r="G43">
        <f>TEXT(B43,"mmm-yy")</f>
        <v/>
      </c>
    </row>
    <row r="44">
      <c r="A44" t="n">
        <v>41</v>
      </c>
      <c r="B44" s="24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4">
        <f>B44+6</f>
        <v/>
      </c>
      <c r="G44">
        <f>TEXT(B44,"mmm-yy")</f>
        <v/>
      </c>
    </row>
    <row r="45">
      <c r="A45" t="n">
        <v>42</v>
      </c>
      <c r="B45" s="24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4">
        <f>B45+6</f>
        <v/>
      </c>
      <c r="G45">
        <f>TEXT(B45,"mmm-yy")</f>
        <v/>
      </c>
    </row>
    <row r="46">
      <c r="A46" t="n">
        <v>43</v>
      </c>
      <c r="B46" s="24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4">
        <f>B46+6</f>
        <v/>
      </c>
      <c r="G46">
        <f>TEXT(B46,"mmm-yy")</f>
        <v/>
      </c>
    </row>
    <row r="47">
      <c r="A47" t="n">
        <v>44</v>
      </c>
      <c r="B47" s="24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4">
        <f>B47+6</f>
        <v/>
      </c>
      <c r="G47">
        <f>TEXT(B47,"mmm-yy")</f>
        <v/>
      </c>
    </row>
    <row r="48">
      <c r="A48" t="n">
        <v>45</v>
      </c>
      <c r="B48" s="24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4">
        <f>B48+6</f>
        <v/>
      </c>
      <c r="G48">
        <f>TEXT(B48,"mmm-yy")</f>
        <v/>
      </c>
    </row>
    <row r="49">
      <c r="A49" t="n">
        <v>46</v>
      </c>
      <c r="B49" s="24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4">
        <f>B49+6</f>
        <v/>
      </c>
      <c r="G49">
        <f>TEXT(B49,"mmm-yy")</f>
        <v/>
      </c>
    </row>
    <row r="50">
      <c r="A50" t="n">
        <v>47</v>
      </c>
      <c r="B50" s="24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4">
        <f>B50+6</f>
        <v/>
      </c>
      <c r="G50">
        <f>TEXT(B50,"mmm-yy")</f>
        <v/>
      </c>
    </row>
    <row r="51">
      <c r="A51" t="n">
        <v>48</v>
      </c>
      <c r="B51" s="24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4">
        <f>B51+6</f>
        <v/>
      </c>
      <c r="G51">
        <f>TEXT(B51,"mmm-yy")</f>
        <v/>
      </c>
    </row>
    <row r="52">
      <c r="A52" t="n">
        <v>49</v>
      </c>
      <c r="B52" s="24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4">
        <f>B52+6</f>
        <v/>
      </c>
      <c r="G52">
        <f>TEXT(B52,"mmm-yy")</f>
        <v/>
      </c>
    </row>
    <row r="53">
      <c r="A53" t="n">
        <v>50</v>
      </c>
      <c r="B53" s="24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4">
        <f>B53+6</f>
        <v/>
      </c>
      <c r="G53">
        <f>TEXT(B53,"mmm-yy")</f>
        <v/>
      </c>
    </row>
    <row r="54">
      <c r="A54" t="n">
        <v>51</v>
      </c>
      <c r="B54" s="24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4">
        <f>B54+6</f>
        <v/>
      </c>
      <c r="G54">
        <f>TEXT(B54,"mmm-yy")</f>
        <v/>
      </c>
    </row>
    <row r="55">
      <c r="A55" t="n">
        <v>52</v>
      </c>
      <c r="B55" s="24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4">
        <f>B55+6</f>
        <v/>
      </c>
      <c r="G55">
        <f>TEXT(B55,"mmm-yy")</f>
        <v/>
      </c>
    </row>
    <row r="56">
      <c r="A56" t="n">
        <v>53</v>
      </c>
      <c r="B56" s="24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4">
        <f>B56+6</f>
        <v/>
      </c>
      <c r="G56">
        <f>TEXT(B56,"mmm-yy")</f>
        <v/>
      </c>
    </row>
    <row r="57">
      <c r="A57" t="n">
        <v>54</v>
      </c>
      <c r="B57" s="24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4">
        <f>B57+6</f>
        <v/>
      </c>
      <c r="G57">
        <f>TEXT(B57,"mmm-yy")</f>
        <v/>
      </c>
    </row>
    <row r="58">
      <c r="A58" t="n">
        <v>55</v>
      </c>
      <c r="B58" s="24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4">
        <f>B58+6</f>
        <v/>
      </c>
      <c r="G58">
        <f>TEXT(B58,"mmm-yy")</f>
        <v/>
      </c>
    </row>
    <row r="59">
      <c r="A59" t="n">
        <v>56</v>
      </c>
      <c r="B59" s="24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4">
        <f>B59+6</f>
        <v/>
      </c>
      <c r="G59">
        <f>TEXT(B59,"mmm-yy")</f>
        <v/>
      </c>
    </row>
    <row r="60">
      <c r="A60" t="n">
        <v>57</v>
      </c>
      <c r="B60" s="24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4">
        <f>B60+6</f>
        <v/>
      </c>
      <c r="G60">
        <f>TEXT(B60,"mmm-yy")</f>
        <v/>
      </c>
    </row>
    <row r="61">
      <c r="A61" t="n">
        <v>58</v>
      </c>
      <c r="B61" s="24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4">
        <f>B61+6</f>
        <v/>
      </c>
      <c r="G61">
        <f>TEXT(B61,"mmm-yy")</f>
        <v/>
      </c>
    </row>
    <row r="62">
      <c r="A62" t="n">
        <v>59</v>
      </c>
      <c r="B62" s="24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4">
        <f>B62+6</f>
        <v/>
      </c>
      <c r="G62">
        <f>TEXT(B62,"mmm-yy")</f>
        <v/>
      </c>
    </row>
    <row r="63">
      <c r="A63" t="n">
        <v>60</v>
      </c>
      <c r="B63" s="24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4">
        <f>B63+6</f>
        <v/>
      </c>
      <c r="G63">
        <f>TEXT(B63,"mmm-yy")</f>
        <v/>
      </c>
    </row>
    <row r="64">
      <c r="A64" t="n">
        <v>61</v>
      </c>
      <c r="B64" s="24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4">
        <f>B64+6</f>
        <v/>
      </c>
      <c r="G64">
        <f>TEXT(B64,"mmm-yy")</f>
        <v/>
      </c>
    </row>
    <row r="65">
      <c r="A65" t="n">
        <v>62</v>
      </c>
      <c r="B65" s="24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4">
        <f>B65+6</f>
        <v/>
      </c>
      <c r="G65">
        <f>TEXT(B65,"mmm-yy")</f>
        <v/>
      </c>
    </row>
    <row r="66">
      <c r="A66" t="n">
        <v>63</v>
      </c>
      <c r="B66" s="24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4">
        <f>B66+6</f>
        <v/>
      </c>
      <c r="G66">
        <f>TEXT(B66,"mmm-yy")</f>
        <v/>
      </c>
    </row>
    <row r="67">
      <c r="A67" t="n">
        <v>64</v>
      </c>
      <c r="B67" s="24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4">
        <f>B67+6</f>
        <v/>
      </c>
      <c r="G67">
        <f>TEXT(B67,"mmm-yy")</f>
        <v/>
      </c>
    </row>
    <row r="68">
      <c r="A68" t="n">
        <v>65</v>
      </c>
      <c r="B68" s="24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4">
        <f>B68+6</f>
        <v/>
      </c>
      <c r="G68">
        <f>TEXT(B68,"mmm-yy")</f>
        <v/>
      </c>
    </row>
    <row r="69">
      <c r="A69" t="n">
        <v>66</v>
      </c>
      <c r="B69" s="24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4">
        <f>B69+6</f>
        <v/>
      </c>
      <c r="G69">
        <f>TEXT(B69,"mmm-yy")</f>
        <v/>
      </c>
    </row>
    <row r="70">
      <c r="A70" t="n">
        <v>67</v>
      </c>
      <c r="B70" s="24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4">
        <f>B70+6</f>
        <v/>
      </c>
      <c r="G70">
        <f>TEXT(B70,"mmm-yy")</f>
        <v/>
      </c>
    </row>
    <row r="71">
      <c r="A71" t="n">
        <v>68</v>
      </c>
      <c r="B71" s="24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4">
        <f>B71+6</f>
        <v/>
      </c>
      <c r="G71">
        <f>TEXT(B71,"mmm-yy")</f>
        <v/>
      </c>
    </row>
    <row r="72">
      <c r="A72" t="n">
        <v>69</v>
      </c>
      <c r="B72" s="24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4">
        <f>B72+6</f>
        <v/>
      </c>
      <c r="G72">
        <f>TEXT(B72,"mmm-yy")</f>
        <v/>
      </c>
    </row>
    <row r="73">
      <c r="A73" t="n">
        <v>70</v>
      </c>
      <c r="B73" s="24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4">
        <f>B73+6</f>
        <v/>
      </c>
      <c r="G73">
        <f>TEXT(B73,"mmm-yy")</f>
        <v/>
      </c>
    </row>
    <row r="74">
      <c r="A74" t="n">
        <v>71</v>
      </c>
      <c r="B74" s="24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4">
        <f>B74+6</f>
        <v/>
      </c>
      <c r="G74">
        <f>TEXT(B74,"mmm-yy")</f>
        <v/>
      </c>
    </row>
    <row r="75">
      <c r="A75" t="n">
        <v>72</v>
      </c>
      <c r="B75" s="24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4">
        <f>B75+6</f>
        <v/>
      </c>
      <c r="G75">
        <f>TEXT(B75,"mmm-yy")</f>
        <v/>
      </c>
    </row>
    <row r="76">
      <c r="A76" t="n">
        <v>73</v>
      </c>
      <c r="B76" s="24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4">
        <f>B76+6</f>
        <v/>
      </c>
      <c r="G76">
        <f>TEXT(B76,"mmm-yy")</f>
        <v/>
      </c>
    </row>
    <row r="77">
      <c r="A77" t="n">
        <v>74</v>
      </c>
      <c r="B77" s="24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4">
        <f>B77+6</f>
        <v/>
      </c>
      <c r="G77">
        <f>TEXT(B77,"mmm-yy")</f>
        <v/>
      </c>
    </row>
    <row r="78">
      <c r="A78" t="n">
        <v>75</v>
      </c>
      <c r="B78" s="24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4">
        <f>B78+6</f>
        <v/>
      </c>
      <c r="G78">
        <f>TEXT(B78,"mmm-yy")</f>
        <v/>
      </c>
    </row>
    <row r="79">
      <c r="A79" t="n">
        <v>76</v>
      </c>
      <c r="B79" s="24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4">
        <f>B79+6</f>
        <v/>
      </c>
      <c r="G79">
        <f>TEXT(B79,"mmm-yy")</f>
        <v/>
      </c>
    </row>
    <row r="80">
      <c r="A80" t="n">
        <v>77</v>
      </c>
      <c r="B80" s="24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4">
        <f>B80+6</f>
        <v/>
      </c>
      <c r="G80">
        <f>TEXT(B80,"mmm-yy")</f>
        <v/>
      </c>
    </row>
    <row r="81">
      <c r="A81" t="n">
        <v>78</v>
      </c>
      <c r="B81" s="24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4">
        <f>B81+6</f>
        <v/>
      </c>
      <c r="G81">
        <f>TEXT(B81,"mmm-yy")</f>
        <v/>
      </c>
    </row>
    <row r="82">
      <c r="A82" t="n">
        <v>79</v>
      </c>
      <c r="B82" s="24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4">
        <f>B82+6</f>
        <v/>
      </c>
      <c r="G82">
        <f>TEXT(B82,"mmm-yy")</f>
        <v/>
      </c>
    </row>
    <row r="83">
      <c r="A83" t="n">
        <v>80</v>
      </c>
      <c r="B83" s="24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4">
        <f>B83+6</f>
        <v/>
      </c>
      <c r="G83">
        <f>TEXT(B83,"mmm-yy")</f>
        <v/>
      </c>
    </row>
    <row r="84">
      <c r="A84" t="n">
        <v>81</v>
      </c>
      <c r="B84" s="24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4">
        <f>B84+6</f>
        <v/>
      </c>
      <c r="G84">
        <f>TEXT(B84,"mmm-yy")</f>
        <v/>
      </c>
    </row>
    <row r="85">
      <c r="A85" t="n">
        <v>82</v>
      </c>
      <c r="B85" s="24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4">
        <f>B85+6</f>
        <v/>
      </c>
      <c r="G85">
        <f>TEXT(B85,"mmm-yy")</f>
        <v/>
      </c>
    </row>
    <row r="86">
      <c r="A86" t="n">
        <v>83</v>
      </c>
      <c r="B86" s="24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4">
        <f>B86+6</f>
        <v/>
      </c>
      <c r="G86">
        <f>TEXT(B86,"mmm-yy")</f>
        <v/>
      </c>
    </row>
    <row r="87">
      <c r="A87" t="n">
        <v>84</v>
      </c>
      <c r="B87" s="24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4">
        <f>B87+6</f>
        <v/>
      </c>
      <c r="G87">
        <f>TEXT(B87,"mmm-yy")</f>
        <v/>
      </c>
    </row>
    <row r="88">
      <c r="A88" t="n">
        <v>85</v>
      </c>
      <c r="B88" s="24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4">
        <f>B88+6</f>
        <v/>
      </c>
      <c r="G88">
        <f>TEXT(B88,"mmm-yy")</f>
        <v/>
      </c>
    </row>
    <row r="89">
      <c r="A89" t="n">
        <v>86</v>
      </c>
      <c r="B89" s="24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4">
        <f>B89+6</f>
        <v/>
      </c>
      <c r="G89">
        <f>TEXT(B89,"mmm-yy")</f>
        <v/>
      </c>
    </row>
    <row r="90">
      <c r="A90" t="n">
        <v>87</v>
      </c>
      <c r="B90" s="24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4">
        <f>B90+6</f>
        <v/>
      </c>
      <c r="G90">
        <f>TEXT(B90,"mmm-yy")</f>
        <v/>
      </c>
    </row>
    <row r="91">
      <c r="A91" t="n">
        <v>88</v>
      </c>
      <c r="B91" s="24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4">
        <f>B91+6</f>
        <v/>
      </c>
      <c r="G91">
        <f>TEXT(B91,"mmm-yy")</f>
        <v/>
      </c>
    </row>
    <row r="92">
      <c r="A92" t="n">
        <v>89</v>
      </c>
      <c r="B92" s="24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4">
        <f>B92+6</f>
        <v/>
      </c>
      <c r="G92">
        <f>TEXT(B92,"mmm-yy")</f>
        <v/>
      </c>
    </row>
    <row r="93">
      <c r="A93" t="n">
        <v>90</v>
      </c>
      <c r="B93" s="24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4">
        <f>B93+6</f>
        <v/>
      </c>
      <c r="G93">
        <f>TEXT(B93,"mmm-yy")</f>
        <v/>
      </c>
    </row>
    <row r="94">
      <c r="A94" t="n">
        <v>91</v>
      </c>
      <c r="B94" s="24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4">
        <f>B94+6</f>
        <v/>
      </c>
      <c r="G94">
        <f>TEXT(B94,"mmm-yy")</f>
        <v/>
      </c>
    </row>
    <row r="95">
      <c r="A95" t="n">
        <v>92</v>
      </c>
      <c r="B95" s="24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4">
        <f>B95+6</f>
        <v/>
      </c>
      <c r="G95">
        <f>TEXT(B95,"mmm-yy")</f>
        <v/>
      </c>
    </row>
    <row r="96">
      <c r="A96" t="n">
        <v>93</v>
      </c>
      <c r="B96" s="24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4">
        <f>B96+6</f>
        <v/>
      </c>
      <c r="G96">
        <f>TEXT(B96,"mmm-yy")</f>
        <v/>
      </c>
    </row>
    <row r="97">
      <c r="A97" t="n">
        <v>94</v>
      </c>
      <c r="B97" s="24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4">
        <f>B97+6</f>
        <v/>
      </c>
      <c r="G97">
        <f>TEXT(B97,"mmm-yy")</f>
        <v/>
      </c>
    </row>
    <row r="98">
      <c r="A98" t="n">
        <v>95</v>
      </c>
      <c r="B98" s="24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4">
        <f>B98+6</f>
        <v/>
      </c>
      <c r="G98">
        <f>TEXT(B98,"mmm-yy")</f>
        <v/>
      </c>
    </row>
    <row r="99">
      <c r="A99" t="n">
        <v>96</v>
      </c>
      <c r="B99" s="24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4">
        <f>B99+6</f>
        <v/>
      </c>
      <c r="G99">
        <f>TEXT(B99,"mmm-yy")</f>
        <v/>
      </c>
    </row>
    <row r="100">
      <c r="A100" t="n">
        <v>97</v>
      </c>
      <c r="B100" s="24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4">
        <f>B100+6</f>
        <v/>
      </c>
      <c r="G100">
        <f>TEXT(B100,"mmm-yy")</f>
        <v/>
      </c>
    </row>
    <row r="101">
      <c r="A101" t="n">
        <v>98</v>
      </c>
      <c r="B101" s="24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4">
        <f>B101+6</f>
        <v/>
      </c>
      <c r="G101">
        <f>TEXT(B101,"mmm-yy")</f>
        <v/>
      </c>
    </row>
    <row r="102">
      <c r="A102" t="n">
        <v>99</v>
      </c>
      <c r="B102" s="24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4">
        <f>B102+6</f>
        <v/>
      </c>
      <c r="G102">
        <f>TEXT(B102,"mmm-yy")</f>
        <v/>
      </c>
    </row>
    <row r="103">
      <c r="A103" t="n">
        <v>100</v>
      </c>
      <c r="B103" s="24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4">
        <f>B103+6</f>
        <v/>
      </c>
      <c r="G103">
        <f>TEXT(B103,"mmm-yy")</f>
        <v/>
      </c>
    </row>
    <row r="104">
      <c r="A104" t="n">
        <v>101</v>
      </c>
      <c r="B104" s="24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4">
        <f>B104+6</f>
        <v/>
      </c>
      <c r="G104">
        <f>TEXT(B104,"mmm-yy")</f>
        <v/>
      </c>
    </row>
    <row r="105">
      <c r="A105" t="n">
        <v>102</v>
      </c>
      <c r="B105" s="24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4">
        <f>B105+6</f>
        <v/>
      </c>
      <c r="G105">
        <f>TEXT(B105,"mmm-yy")</f>
        <v/>
      </c>
    </row>
    <row r="106">
      <c r="A106" t="n">
        <v>103</v>
      </c>
      <c r="B106" s="24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4">
        <f>B106+6</f>
        <v/>
      </c>
      <c r="G106">
        <f>TEXT(B106,"mmm-yy")</f>
        <v/>
      </c>
    </row>
    <row r="107">
      <c r="A107" t="n">
        <v>104</v>
      </c>
      <c r="B107" s="24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4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27" t="inlineStr">
        <is>
          <t>Intermediate</t>
        </is>
      </c>
      <c r="B1" s="27" t="inlineStr">
        <is>
          <t>Type</t>
        </is>
      </c>
      <c r="C1" s="27" t="inlineStr">
        <is>
          <t>PGM</t>
        </is>
      </c>
      <c r="D1" s="27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TPP-190</t>
        </is>
      </c>
      <c r="B73" t="inlineStr">
        <is>
          <t>Powder</t>
        </is>
      </c>
      <c r="C73" t="inlineStr">
        <is>
          <t>Pd</t>
        </is>
      </c>
      <c r="D73" t="n">
        <v>72.05</v>
      </c>
    </row>
    <row r="74">
      <c r="A74" t="inlineStr">
        <is>
          <t>TPP-204</t>
        </is>
      </c>
      <c r="B74" t="inlineStr">
        <is>
          <t>Powder</t>
        </is>
      </c>
      <c r="C74" t="inlineStr">
        <is>
          <t>Pd</t>
        </is>
      </c>
      <c r="D74" t="n">
        <v>44.05</v>
      </c>
    </row>
    <row r="75">
      <c r="A75" t="inlineStr">
        <is>
          <t>TPP-350</t>
        </is>
      </c>
      <c r="B75" t="inlineStr">
        <is>
          <t>Powder</t>
        </is>
      </c>
      <c r="C75" t="inlineStr">
        <is>
          <t>Pd</t>
        </is>
      </c>
      <c r="D75" t="n">
        <v>102.71</v>
      </c>
    </row>
    <row r="76">
      <c r="A76" t="inlineStr">
        <is>
          <t>TPP-356</t>
        </is>
      </c>
      <c r="B76" t="inlineStr">
        <is>
          <t>Powder</t>
        </is>
      </c>
      <c r="C76" t="inlineStr">
        <is>
          <t>Pd</t>
        </is>
      </c>
      <c r="D76" t="n">
        <v>89.3</v>
      </c>
    </row>
    <row r="77">
      <c r="A77" t="inlineStr">
        <is>
          <t>TPP-358</t>
        </is>
      </c>
      <c r="B77" t="inlineStr">
        <is>
          <t>Powder</t>
        </is>
      </c>
      <c r="C77" t="inlineStr">
        <is>
          <t>Rh</t>
        </is>
      </c>
      <c r="D77" t="n">
        <v>64.40000000000001</v>
      </c>
    </row>
    <row r="78">
      <c r="A78" t="inlineStr">
        <is>
          <t>TPP-527</t>
        </is>
      </c>
      <c r="B78" t="inlineStr">
        <is>
          <t>Powder</t>
        </is>
      </c>
      <c r="C78" t="inlineStr">
        <is>
          <t>Pd</t>
        </is>
      </c>
      <c r="D78" t="n">
        <v>114.45</v>
      </c>
    </row>
    <row r="79">
      <c r="A79" t="inlineStr">
        <is>
          <t>TPP-533</t>
        </is>
      </c>
      <c r="B79" t="inlineStr">
        <is>
          <t>Powder</t>
        </is>
      </c>
      <c r="C79" t="inlineStr">
        <is>
          <t>Rh</t>
        </is>
      </c>
      <c r="D79" t="n">
        <v>58.6938775510204</v>
      </c>
    </row>
    <row r="80">
      <c r="A80" t="inlineStr">
        <is>
          <t>TPP-537</t>
        </is>
      </c>
      <c r="B80" t="inlineStr">
        <is>
          <t>Powder</t>
        </is>
      </c>
      <c r="C80" t="inlineStr">
        <is>
          <t>Pd</t>
        </is>
      </c>
      <c r="D80" t="n">
        <v>35.58</v>
      </c>
    </row>
    <row r="81">
      <c r="A81" t="inlineStr">
        <is>
          <t>TPP-609</t>
        </is>
      </c>
      <c r="B81" t="inlineStr">
        <is>
          <t>Powder</t>
        </is>
      </c>
      <c r="C81" t="inlineStr">
        <is>
          <t>Pd</t>
        </is>
      </c>
      <c r="D81" t="n">
        <v>42.52</v>
      </c>
    </row>
    <row r="82">
      <c r="A82" t="inlineStr">
        <is>
          <t>TPP-611</t>
        </is>
      </c>
      <c r="B82" t="inlineStr">
        <is>
          <t>Powder</t>
        </is>
      </c>
      <c r="C82" t="inlineStr">
        <is>
          <t>Rh</t>
        </is>
      </c>
      <c r="D82" t="n">
        <v>17.88</v>
      </c>
    </row>
    <row r="83">
      <c r="A83" t="inlineStr">
        <is>
          <t>TPP-613</t>
        </is>
      </c>
      <c r="B83" t="inlineStr">
        <is>
          <t>Powder</t>
        </is>
      </c>
      <c r="C83" t="inlineStr">
        <is>
          <t>Rh</t>
        </is>
      </c>
      <c r="D83" t="n">
        <v>17.82</v>
      </c>
    </row>
    <row r="84">
      <c r="A84" t="inlineStr">
        <is>
          <t>TPP-635</t>
        </is>
      </c>
      <c r="B84" t="inlineStr">
        <is>
          <t>Powder</t>
        </is>
      </c>
      <c r="C84" t="inlineStr">
        <is>
          <t>Rh</t>
        </is>
      </c>
      <c r="D84" t="n">
        <v>44.26</v>
      </c>
    </row>
    <row r="85">
      <c r="A85" t="inlineStr">
        <is>
          <t>TPP-649</t>
        </is>
      </c>
      <c r="B85" t="inlineStr">
        <is>
          <t>Powder</t>
        </is>
      </c>
      <c r="C85" t="inlineStr">
        <is>
          <t>Rh</t>
        </is>
      </c>
      <c r="D85" t="n">
        <v>32.24</v>
      </c>
    </row>
    <row r="86">
      <c r="A86" t="inlineStr">
        <is>
          <t>TPP-650</t>
        </is>
      </c>
      <c r="B86" t="inlineStr">
        <is>
          <t>Powder</t>
        </is>
      </c>
      <c r="C86" t="inlineStr">
        <is>
          <t>Pd</t>
        </is>
      </c>
      <c r="D86" t="n">
        <v>58.21</v>
      </c>
    </row>
    <row r="87">
      <c r="A87" t="inlineStr">
        <is>
          <t>TPP-699</t>
        </is>
      </c>
      <c r="B87" t="inlineStr">
        <is>
          <t>Powder</t>
        </is>
      </c>
      <c r="C87" t="inlineStr">
        <is>
          <t>Pt</t>
        </is>
      </c>
      <c r="D87" t="n">
        <v>38.85</v>
      </c>
    </row>
    <row r="88">
      <c r="A88" t="inlineStr">
        <is>
          <t>TPP-700</t>
        </is>
      </c>
      <c r="B88" t="inlineStr">
        <is>
          <t>Powder</t>
        </is>
      </c>
      <c r="C88" t="inlineStr">
        <is>
          <t>Pt</t>
        </is>
      </c>
      <c r="D88" t="n">
        <v>36.03</v>
      </c>
    </row>
    <row r="89">
      <c r="A89" t="inlineStr">
        <is>
          <t>TPP-701</t>
        </is>
      </c>
      <c r="B89" t="inlineStr">
        <is>
          <t>Powder</t>
        </is>
      </c>
      <c r="C89" t="inlineStr">
        <is>
          <t>Pt</t>
        </is>
      </c>
      <c r="D89" t="n">
        <v>36.61</v>
      </c>
    </row>
    <row r="90">
      <c r="A90" t="inlineStr">
        <is>
          <t>TPP-704</t>
        </is>
      </c>
      <c r="B90" t="inlineStr">
        <is>
          <t>Powder</t>
        </is>
      </c>
      <c r="C90" t="inlineStr">
        <is>
          <t>Pd</t>
        </is>
      </c>
      <c r="D90" t="n">
        <v>123.03</v>
      </c>
    </row>
    <row r="91">
      <c r="A91" t="inlineStr">
        <is>
          <t>TPP-825</t>
        </is>
      </c>
      <c r="B91" t="inlineStr">
        <is>
          <t>Powder</t>
        </is>
      </c>
      <c r="C91" t="inlineStr">
        <is>
          <t>Pt</t>
        </is>
      </c>
      <c r="D91" t="n">
        <v>29.82</v>
      </c>
    </row>
    <row r="92">
      <c r="A92" t="inlineStr">
        <is>
          <t>TPP-911</t>
        </is>
      </c>
      <c r="B92" t="inlineStr">
        <is>
          <t>Powder</t>
        </is>
      </c>
      <c r="C92" t="inlineStr">
        <is>
          <t>Pd</t>
        </is>
      </c>
      <c r="D92" t="n">
        <v>52.15</v>
      </c>
    </row>
    <row r="93">
      <c r="A93" t="inlineStr">
        <is>
          <t>TPP-912</t>
        </is>
      </c>
      <c r="B93" t="inlineStr">
        <is>
          <t>Powder</t>
        </is>
      </c>
      <c r="C93" t="inlineStr">
        <is>
          <t>Pd</t>
        </is>
      </c>
      <c r="D93" t="n">
        <v>51.73</v>
      </c>
    </row>
    <row r="94">
      <c r="A94" t="inlineStr">
        <is>
          <t>TPP-914</t>
        </is>
      </c>
      <c r="B94" t="inlineStr">
        <is>
          <t>Powder</t>
        </is>
      </c>
      <c r="C94" t="inlineStr">
        <is>
          <t>Rh</t>
        </is>
      </c>
      <c r="D94" t="n">
        <v>25.69</v>
      </c>
    </row>
    <row r="95">
      <c r="A95" t="inlineStr">
        <is>
          <t>TPP-915</t>
        </is>
      </c>
      <c r="B95" t="inlineStr">
        <is>
          <t>Powder</t>
        </is>
      </c>
      <c r="C95" t="inlineStr">
        <is>
          <t>Rh</t>
        </is>
      </c>
      <c r="D95" t="n">
        <v>25.35</v>
      </c>
    </row>
    <row r="96">
      <c r="A96" t="inlineStr">
        <is>
          <t>TPP-916</t>
        </is>
      </c>
      <c r="B96" t="inlineStr">
        <is>
          <t>Powder</t>
        </is>
      </c>
      <c r="C96" t="inlineStr">
        <is>
          <t>Rh</t>
        </is>
      </c>
      <c r="D96" t="n">
        <v>25.91</v>
      </c>
    </row>
    <row r="97">
      <c r="A97" t="inlineStr">
        <is>
          <t>TPP-917</t>
        </is>
      </c>
      <c r="B97" t="inlineStr">
        <is>
          <t>Powder</t>
        </is>
      </c>
      <c r="C97" t="inlineStr">
        <is>
          <t>Rh</t>
        </is>
      </c>
      <c r="D97" t="n">
        <v>25.89</v>
      </c>
    </row>
    <row r="98">
      <c r="A98" t="inlineStr">
        <is>
          <t>TPP-919</t>
        </is>
      </c>
      <c r="B98" t="inlineStr">
        <is>
          <t>Powder</t>
        </is>
      </c>
      <c r="C98" t="inlineStr">
        <is>
          <t>Rh</t>
        </is>
      </c>
      <c r="D98" t="n">
        <v>17.44</v>
      </c>
    </row>
    <row r="99">
      <c r="A99" t="inlineStr">
        <is>
          <t>TPP-920</t>
        </is>
      </c>
      <c r="B99" t="inlineStr">
        <is>
          <t>Powder</t>
        </is>
      </c>
      <c r="C99" t="inlineStr">
        <is>
          <t>Rh</t>
        </is>
      </c>
      <c r="D99" t="n">
        <v>18.05</v>
      </c>
    </row>
    <row r="100">
      <c r="A100" t="inlineStr">
        <is>
          <t>TPP-922</t>
        </is>
      </c>
      <c r="B100" t="inlineStr">
        <is>
          <t>Powder</t>
        </is>
      </c>
      <c r="C100" t="inlineStr">
        <is>
          <t>Rh</t>
        </is>
      </c>
      <c r="D100" t="n">
        <v>17.69</v>
      </c>
    </row>
    <row r="101">
      <c r="A101" t="inlineStr">
        <is>
          <t>TPP-923</t>
        </is>
      </c>
      <c r="B101" t="inlineStr">
        <is>
          <t>Powder</t>
        </is>
      </c>
      <c r="C101" t="inlineStr">
        <is>
          <t>Rh</t>
        </is>
      </c>
      <c r="D101" t="n">
        <v>17.67</v>
      </c>
    </row>
    <row r="102">
      <c r="A102" t="inlineStr">
        <is>
          <t>TPP-968</t>
        </is>
      </c>
      <c r="B102" t="inlineStr">
        <is>
          <t>Powder</t>
        </is>
      </c>
      <c r="C102" t="inlineStr">
        <is>
          <t>Rh</t>
        </is>
      </c>
      <c r="D102" t="n">
        <v>22.38</v>
      </c>
    </row>
    <row r="103">
      <c r="A103" t="inlineStr">
        <is>
          <t>TPP-970</t>
        </is>
      </c>
      <c r="B103" t="inlineStr">
        <is>
          <t>Powder</t>
        </is>
      </c>
      <c r="C103" t="inlineStr">
        <is>
          <t>Pd</t>
        </is>
      </c>
      <c r="D103" t="n">
        <v>38.27</v>
      </c>
    </row>
    <row r="104">
      <c r="A104" t="inlineStr">
        <is>
          <t>SOL-10H</t>
        </is>
      </c>
      <c r="B104" t="inlineStr">
        <is>
          <t>Solution</t>
        </is>
      </c>
      <c r="C104" t="inlineStr">
        <is>
          <t>Rh</t>
        </is>
      </c>
      <c r="D104" t="n">
        <v>250</v>
      </c>
    </row>
    <row r="105">
      <c r="A105" t="inlineStr">
        <is>
          <t>SOL-10H VW</t>
        </is>
      </c>
      <c r="B105" t="inlineStr">
        <is>
          <t>Solution</t>
        </is>
      </c>
      <c r="C105" t="inlineStr">
        <is>
          <t>Rh</t>
        </is>
      </c>
      <c r="D105" t="n">
        <v>250</v>
      </c>
    </row>
    <row r="106">
      <c r="A106" t="inlineStr">
        <is>
          <t>SOL-20P</t>
        </is>
      </c>
      <c r="B106" t="inlineStr">
        <is>
          <t>Solution</t>
        </is>
      </c>
      <c r="C106" t="inlineStr">
        <is>
          <t>Pt</t>
        </is>
      </c>
      <c r="D106" t="n">
        <v>200</v>
      </c>
    </row>
    <row r="107">
      <c r="A107" t="inlineStr">
        <is>
          <t>SOL-250D</t>
        </is>
      </c>
      <c r="B107" t="inlineStr">
        <is>
          <t>Solution</t>
        </is>
      </c>
      <c r="C107" t="inlineStr">
        <is>
          <t>Pd</t>
        </is>
      </c>
      <c r="D107" t="n">
        <v>69.2300023753583</v>
      </c>
    </row>
    <row r="108">
      <c r="A108" t="inlineStr">
        <is>
          <t>SOL-85D</t>
        </is>
      </c>
      <c r="B108" t="inlineStr">
        <is>
          <t>Solution</t>
        </is>
      </c>
      <c r="C108" t="inlineStr">
        <is>
          <t>Pd</t>
        </is>
      </c>
      <c r="D108" t="n">
        <v>115.380000184608</v>
      </c>
    </row>
    <row r="109">
      <c r="A109" t="inlineStr">
        <is>
          <t>SOL-SCH</t>
        </is>
      </c>
      <c r="B109" t="inlineStr">
        <is>
          <t>Solution</t>
        </is>
      </c>
      <c r="C109" t="inlineStr">
        <is>
          <t>Rh</t>
        </is>
      </c>
      <c r="D109" t="n">
        <v>300</v>
      </c>
    </row>
    <row r="110">
      <c r="A110" t="inlineStr">
        <is>
          <t>SOL-SH</t>
        </is>
      </c>
      <c r="B110" t="inlineStr">
        <is>
          <t>Solution</t>
        </is>
      </c>
      <c r="C110" t="inlineStr">
        <is>
          <t>Rh</t>
        </is>
      </c>
      <c r="D110" t="n">
        <v>113.2110930266873</v>
      </c>
    </row>
    <row r="111">
      <c r="A111" t="inlineStr">
        <is>
          <t>20p</t>
        </is>
      </c>
      <c r="B111" t="inlineStr">
        <is>
          <t>Unknown</t>
        </is>
      </c>
      <c r="C111" t="inlineStr"/>
      <c r="D111" t="n">
        <v>1</v>
      </c>
    </row>
    <row r="112">
      <c r="A112" t="inlineStr">
        <is>
          <t>TPP-1459</t>
        </is>
      </c>
      <c r="B112" t="inlineStr">
        <is>
          <t>Powder</t>
        </is>
      </c>
      <c r="C112" t="inlineStr"/>
      <c r="D112" t="n">
        <v>1</v>
      </c>
    </row>
    <row r="113">
      <c r="A113" t="inlineStr">
        <is>
          <t>TPP-1466</t>
        </is>
      </c>
      <c r="B113" t="inlineStr">
        <is>
          <t>Powder</t>
        </is>
      </c>
      <c r="C113" t="inlineStr"/>
      <c r="D113" t="n">
        <v>1</v>
      </c>
    </row>
    <row r="114">
      <c r="A114" t="inlineStr">
        <is>
          <t>TPP-2245</t>
        </is>
      </c>
      <c r="B114" t="inlineStr">
        <is>
          <t>Powder</t>
        </is>
      </c>
      <c r="C114" t="inlineStr"/>
      <c r="D114" t="n">
        <v>1</v>
      </c>
    </row>
    <row r="115">
      <c r="A115" t="inlineStr">
        <is>
          <t>TPP-378</t>
        </is>
      </c>
      <c r="B115" t="inlineStr">
        <is>
          <t>Powder</t>
        </is>
      </c>
      <c r="C115" t="inlineStr"/>
      <c r="D115" t="n">
        <v>1</v>
      </c>
    </row>
    <row r="116">
      <c r="A116" t="inlineStr">
        <is>
          <t>TPP-533(98%)</t>
        </is>
      </c>
      <c r="B116" t="inlineStr">
        <is>
          <t>Powder</t>
        </is>
      </c>
      <c r="C116" t="inlineStr"/>
      <c r="D116" t="n">
        <v>1</v>
      </c>
    </row>
    <row r="117">
      <c r="A117" t="inlineStr">
        <is>
          <t>TPP-533(A)</t>
        </is>
      </c>
      <c r="B117" t="inlineStr">
        <is>
          <t>Powder</t>
        </is>
      </c>
      <c r="C117" t="inlineStr"/>
      <c r="D117" t="n">
        <v>1</v>
      </c>
    </row>
    <row r="118">
      <c r="A118" t="inlineStr">
        <is>
          <t>TSP-070</t>
        </is>
      </c>
      <c r="B118" t="inlineStr">
        <is>
          <t>Slurry</t>
        </is>
      </c>
      <c r="C118" t="inlineStr"/>
      <c r="D118" t="n">
        <v>1</v>
      </c>
    </row>
    <row r="119">
      <c r="A119" t="inlineStr">
        <is>
          <t>TSP-077</t>
        </is>
      </c>
      <c r="B119" t="inlineStr">
        <is>
          <t>Slurry</t>
        </is>
      </c>
      <c r="C119" t="inlineStr"/>
      <c r="D119" t="n">
        <v>1</v>
      </c>
    </row>
    <row r="120">
      <c r="A120" t="inlineStr">
        <is>
          <t>TSP-088</t>
        </is>
      </c>
      <c r="B120" t="inlineStr">
        <is>
          <t>Slurry</t>
        </is>
      </c>
      <c r="C120" t="inlineStr"/>
      <c r="D120" t="n">
        <v>1</v>
      </c>
    </row>
    <row r="121">
      <c r="A121" t="inlineStr">
        <is>
          <t>TSP-089</t>
        </is>
      </c>
      <c r="B121" t="inlineStr">
        <is>
          <t>Slurry</t>
        </is>
      </c>
      <c r="C121" t="inlineStr"/>
      <c r="D121" t="n">
        <v>1</v>
      </c>
    </row>
    <row r="122">
      <c r="A122" t="inlineStr">
        <is>
          <t>TSP-1499</t>
        </is>
      </c>
      <c r="B122" t="inlineStr">
        <is>
          <t>Slurry</t>
        </is>
      </c>
      <c r="C122" t="inlineStr"/>
      <c r="D122" t="n">
        <v>1</v>
      </c>
    </row>
    <row r="123">
      <c r="A123" t="inlineStr">
        <is>
          <t>TSP-1558</t>
        </is>
      </c>
      <c r="B123" t="inlineStr">
        <is>
          <t>Slurry</t>
        </is>
      </c>
      <c r="C123" t="inlineStr"/>
      <c r="D123" t="n">
        <v>1</v>
      </c>
    </row>
    <row r="124">
      <c r="A124" t="inlineStr">
        <is>
          <t>TSP-1559</t>
        </is>
      </c>
      <c r="B124" t="inlineStr">
        <is>
          <t>Slurry</t>
        </is>
      </c>
      <c r="C124" t="inlineStr"/>
      <c r="D124" t="n">
        <v>1</v>
      </c>
    </row>
    <row r="125">
      <c r="A125" t="inlineStr">
        <is>
          <t>TSP-2157</t>
        </is>
      </c>
      <c r="B125" t="inlineStr">
        <is>
          <t>Slurry</t>
        </is>
      </c>
      <c r="C125" t="inlineStr"/>
      <c r="D125" t="n">
        <v>1</v>
      </c>
    </row>
    <row r="126">
      <c r="A126" t="inlineStr">
        <is>
          <t>TSP-2168</t>
        </is>
      </c>
      <c r="B126" t="inlineStr">
        <is>
          <t>Slurry</t>
        </is>
      </c>
      <c r="C126" t="inlineStr"/>
      <c r="D126" t="n">
        <v>1</v>
      </c>
    </row>
    <row r="127">
      <c r="A127" t="inlineStr">
        <is>
          <t>TSP-218</t>
        </is>
      </c>
      <c r="B127" t="inlineStr">
        <is>
          <t>Slurry</t>
        </is>
      </c>
      <c r="C127" t="inlineStr"/>
      <c r="D127" t="n">
        <v>1</v>
      </c>
    </row>
    <row r="128">
      <c r="A128" t="inlineStr">
        <is>
          <t>TSP-219</t>
        </is>
      </c>
      <c r="B128" t="inlineStr">
        <is>
          <t>Slurry</t>
        </is>
      </c>
      <c r="C128" t="inlineStr"/>
      <c r="D128" t="n">
        <v>1</v>
      </c>
    </row>
    <row r="129">
      <c r="A129" t="inlineStr">
        <is>
          <t>TSP-390</t>
        </is>
      </c>
      <c r="B129" t="inlineStr">
        <is>
          <t>Slurry</t>
        </is>
      </c>
      <c r="C129" t="inlineStr"/>
      <c r="D129" t="n">
        <v>1</v>
      </c>
    </row>
    <row r="130">
      <c r="A130" t="inlineStr">
        <is>
          <t>TSP-399</t>
        </is>
      </c>
      <c r="B130" t="inlineStr">
        <is>
          <t>Slurry</t>
        </is>
      </c>
      <c r="C130" t="inlineStr"/>
      <c r="D130" t="n">
        <v>1</v>
      </c>
    </row>
    <row r="131">
      <c r="A131" t="inlineStr">
        <is>
          <t>TSP-699</t>
        </is>
      </c>
      <c r="B131" t="inlineStr">
        <is>
          <t>Slurry</t>
        </is>
      </c>
      <c r="C131" t="inlineStr"/>
      <c r="D131" t="n">
        <v>1</v>
      </c>
    </row>
    <row r="132">
      <c r="A132" t="inlineStr">
        <is>
          <t>TSP-WACZ</t>
        </is>
      </c>
      <c r="B132" t="inlineStr">
        <is>
          <t>Slurry</t>
        </is>
      </c>
      <c r="C132" t="inlineStr"/>
      <c r="D132" t="n">
        <v>1</v>
      </c>
    </row>
    <row r="133">
      <c r="A133" t="inlineStr">
        <is>
          <t>VSP-1000</t>
        </is>
      </c>
      <c r="B133" t="inlineStr">
        <is>
          <t>Unknown</t>
        </is>
      </c>
      <c r="C133" t="inlineStr"/>
      <c r="D133" t="n">
        <v>1</v>
      </c>
    </row>
    <row r="134">
      <c r="A134" t="inlineStr">
        <is>
          <t>VSP-567</t>
        </is>
      </c>
      <c r="B134" t="inlineStr">
        <is>
          <t>Unknown</t>
        </is>
      </c>
      <c r="C134" t="inlineStr"/>
      <c r="D134" t="n">
        <v>1</v>
      </c>
    </row>
    <row r="135">
      <c r="A135" t="inlineStr">
        <is>
          <t>VSP-603</t>
        </is>
      </c>
      <c r="B135" t="inlineStr">
        <is>
          <t>Unknown</t>
        </is>
      </c>
      <c r="C135" t="inlineStr"/>
      <c r="D135" t="n">
        <v>1</v>
      </c>
    </row>
    <row r="136">
      <c r="A136" t="inlineStr">
        <is>
          <t>VSP-604</t>
        </is>
      </c>
      <c r="B136" t="inlineStr">
        <is>
          <t>Unknown</t>
        </is>
      </c>
      <c r="C136" t="inlineStr"/>
      <c r="D136" t="n">
        <v>1</v>
      </c>
    </row>
    <row r="137">
      <c r="A137" t="inlineStr">
        <is>
          <t>VSP-605</t>
        </is>
      </c>
      <c r="B137" t="inlineStr">
        <is>
          <t>Unknown</t>
        </is>
      </c>
      <c r="C137" t="inlineStr"/>
      <c r="D137" t="n">
        <v>1</v>
      </c>
    </row>
    <row r="138">
      <c r="A138" t="inlineStr">
        <is>
          <t>VSP-606</t>
        </is>
      </c>
      <c r="B138" t="inlineStr">
        <is>
          <t>Unknown</t>
        </is>
      </c>
      <c r="C138" t="inlineStr"/>
      <c r="D138" t="n">
        <v>1</v>
      </c>
    </row>
    <row r="139">
      <c r="A139" t="inlineStr">
        <is>
          <t>VSP-607</t>
        </is>
      </c>
      <c r="B139" t="inlineStr">
        <is>
          <t>Unknown</t>
        </is>
      </c>
      <c r="C139" t="inlineStr"/>
      <c r="D139" t="n">
        <v>1</v>
      </c>
    </row>
    <row r="140">
      <c r="A140" t="inlineStr">
        <is>
          <t>VSP-738</t>
        </is>
      </c>
      <c r="B140" t="inlineStr">
        <is>
          <t>Unknown</t>
        </is>
      </c>
      <c r="C140" t="inlineStr"/>
      <c r="D140" t="n">
        <v>1</v>
      </c>
    </row>
    <row r="141">
      <c r="A141" t="inlineStr">
        <is>
          <t>VSP-739</t>
        </is>
      </c>
      <c r="B141" t="inlineStr">
        <is>
          <t>Unknown</t>
        </is>
      </c>
      <c r="C141" t="inlineStr"/>
      <c r="D141" t="n">
        <v>1</v>
      </c>
    </row>
    <row r="142">
      <c r="A142" t="inlineStr">
        <is>
          <t>VSP-740</t>
        </is>
      </c>
      <c r="B142" t="inlineStr">
        <is>
          <t>Unknown</t>
        </is>
      </c>
      <c r="C142" t="inlineStr"/>
      <c r="D142" t="n">
        <v>1</v>
      </c>
    </row>
    <row r="143">
      <c r="A143" t="inlineStr">
        <is>
          <t>VSP-746</t>
        </is>
      </c>
      <c r="B143" t="inlineStr">
        <is>
          <t>Unknown</t>
        </is>
      </c>
      <c r="C143" t="inlineStr"/>
      <c r="D143" t="n">
        <v>1</v>
      </c>
    </row>
    <row r="144">
      <c r="A144" t="inlineStr">
        <is>
          <t>VSP-869</t>
        </is>
      </c>
      <c r="B144" t="inlineStr">
        <is>
          <t>Unknown</t>
        </is>
      </c>
      <c r="C144" t="inlineStr"/>
      <c r="D144" t="n">
        <v>1</v>
      </c>
    </row>
    <row r="145">
      <c r="A145" t="inlineStr">
        <is>
          <t>VSP-870</t>
        </is>
      </c>
      <c r="B145" t="inlineStr">
        <is>
          <t>Unknown</t>
        </is>
      </c>
      <c r="C145" t="inlineStr"/>
      <c r="D145" t="n">
        <v>1</v>
      </c>
    </row>
    <row r="146">
      <c r="A146" t="inlineStr">
        <is>
          <t>VSP-999</t>
        </is>
      </c>
      <c r="B146" t="inlineStr">
        <is>
          <t>Unknown</t>
        </is>
      </c>
      <c r="C146" t="inlineStr"/>
      <c r="D146" t="n">
        <v>1</v>
      </c>
    </row>
    <row r="147">
      <c r="A147" t="inlineStr">
        <is>
          <t>VSZ-745</t>
        </is>
      </c>
      <c r="B147" t="inlineStr">
        <is>
          <t>Unknown</t>
        </is>
      </c>
      <c r="C147" t="inlineStr"/>
      <c r="D147" t="n">
        <v>1</v>
      </c>
    </row>
    <row r="148">
      <c r="A148" t="inlineStr">
        <is>
          <t>0Q110</t>
        </is>
      </c>
      <c r="B148" t="inlineStr">
        <is>
          <t>Cat</t>
        </is>
      </c>
      <c r="C148" t="inlineStr"/>
      <c r="D148" t="n">
        <v>1</v>
      </c>
    </row>
    <row r="149">
      <c r="A149" t="inlineStr">
        <is>
          <t>0Q120</t>
        </is>
      </c>
      <c r="B149" t="inlineStr">
        <is>
          <t>Cat</t>
        </is>
      </c>
      <c r="C149" t="inlineStr"/>
      <c r="D149" t="n">
        <v>1</v>
      </c>
    </row>
    <row r="150">
      <c r="A150" t="inlineStr">
        <is>
          <t>0TA30</t>
        </is>
      </c>
      <c r="B150" t="inlineStr">
        <is>
          <t>Cat</t>
        </is>
      </c>
      <c r="C150" t="inlineStr"/>
      <c r="D150" t="n">
        <v>1</v>
      </c>
    </row>
    <row r="151">
      <c r="A151" t="inlineStr">
        <is>
          <t>Ester Film</t>
        </is>
      </c>
      <c r="B151" t="inlineStr">
        <is>
          <t>Cat</t>
        </is>
      </c>
      <c r="C151" t="inlineStr"/>
      <c r="D151" t="n">
        <v>1</v>
      </c>
    </row>
    <row r="152">
      <c r="A152" t="inlineStr">
        <is>
          <t>F2090</t>
        </is>
      </c>
      <c r="B152" t="inlineStr">
        <is>
          <t>Cat</t>
        </is>
      </c>
      <c r="C152" t="inlineStr"/>
      <c r="D152" t="n">
        <v>1</v>
      </c>
    </row>
    <row r="153">
      <c r="A153" t="inlineStr">
        <is>
          <t>F2290</t>
        </is>
      </c>
      <c r="B153" t="inlineStr">
        <is>
          <t>Cat</t>
        </is>
      </c>
      <c r="C153" t="inlineStr"/>
      <c r="D153" t="n">
        <v>1</v>
      </c>
    </row>
    <row r="154">
      <c r="A154" t="inlineStr">
        <is>
          <t>K0050</t>
        </is>
      </c>
      <c r="B154" t="inlineStr">
        <is>
          <t>Cat</t>
        </is>
      </c>
      <c r="C154" t="inlineStr"/>
      <c r="D154" t="n">
        <v>1</v>
      </c>
    </row>
    <row r="155">
      <c r="A155" t="inlineStr">
        <is>
          <t>PP Film</t>
        </is>
      </c>
      <c r="B155" t="inlineStr">
        <is>
          <t>Cat</t>
        </is>
      </c>
      <c r="C155" t="inlineStr"/>
      <c r="D155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27" t="inlineStr">
        <is>
          <t>Intermediate</t>
        </is>
      </c>
      <c r="B1" s="27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TPP-190</t>
        </is>
      </c>
      <c r="B3" t="inlineStr">
        <is>
          <t>0W780</t>
        </is>
      </c>
    </row>
    <row r="4">
      <c r="A4" t="inlineStr">
        <is>
          <t>TPP-204</t>
        </is>
      </c>
      <c r="B4" t="inlineStr">
        <is>
          <t>0W780</t>
        </is>
      </c>
    </row>
    <row r="5">
      <c r="A5" t="inlineStr">
        <is>
          <t>TPP-350</t>
        </is>
      </c>
      <c r="B5" t="inlineStr">
        <is>
          <t>0T490</t>
        </is>
      </c>
    </row>
    <row r="6">
      <c r="A6" t="inlineStr">
        <is>
          <t>TPP-350</t>
        </is>
      </c>
      <c r="B6" t="inlineStr">
        <is>
          <t>0T500</t>
        </is>
      </c>
    </row>
    <row r="7">
      <c r="A7" t="inlineStr">
        <is>
          <t>TPP-356</t>
        </is>
      </c>
      <c r="B7" t="inlineStr">
        <is>
          <t>0T420</t>
        </is>
      </c>
    </row>
    <row r="8">
      <c r="A8" t="inlineStr">
        <is>
          <t>TPP-356</t>
        </is>
      </c>
      <c r="B8" t="inlineStr">
        <is>
          <t>0T470</t>
        </is>
      </c>
    </row>
    <row r="9">
      <c r="A9" t="inlineStr">
        <is>
          <t>TPP-356</t>
        </is>
      </c>
      <c r="B9" t="inlineStr">
        <is>
          <t>0T480</t>
        </is>
      </c>
    </row>
    <row r="10">
      <c r="A10" t="inlineStr">
        <is>
          <t>TPP-356</t>
        </is>
      </c>
      <c r="B10" t="inlineStr">
        <is>
          <t>0T490</t>
        </is>
      </c>
    </row>
    <row r="11">
      <c r="A11" t="inlineStr">
        <is>
          <t>TPP-356</t>
        </is>
      </c>
      <c r="B11" t="inlineStr">
        <is>
          <t>0T500</t>
        </is>
      </c>
    </row>
    <row r="12">
      <c r="A12" t="inlineStr">
        <is>
          <t>TPP-358</t>
        </is>
      </c>
      <c r="B12" t="inlineStr">
        <is>
          <t>0T420</t>
        </is>
      </c>
    </row>
    <row r="13">
      <c r="A13" t="inlineStr">
        <is>
          <t>TPP-358</t>
        </is>
      </c>
      <c r="B13" t="inlineStr">
        <is>
          <t>0T470</t>
        </is>
      </c>
    </row>
    <row r="14">
      <c r="A14" t="inlineStr">
        <is>
          <t>TPP-358</t>
        </is>
      </c>
      <c r="B14" t="inlineStr">
        <is>
          <t>0T490</t>
        </is>
      </c>
    </row>
    <row r="15">
      <c r="A15" t="inlineStr">
        <is>
          <t>TPP-358</t>
        </is>
      </c>
      <c r="B15" t="inlineStr">
        <is>
          <t>0T500</t>
        </is>
      </c>
    </row>
    <row r="16">
      <c r="A16" t="inlineStr">
        <is>
          <t>TPP-527</t>
        </is>
      </c>
      <c r="B16" t="inlineStr">
        <is>
          <t>0T480</t>
        </is>
      </c>
    </row>
    <row r="17">
      <c r="A17" t="inlineStr">
        <is>
          <t>TPP-533</t>
        </is>
      </c>
      <c r="B17" t="inlineStr">
        <is>
          <t>0T480</t>
        </is>
      </c>
    </row>
    <row r="18">
      <c r="A18" t="inlineStr">
        <is>
          <t>TPP-537</t>
        </is>
      </c>
      <c r="B18" t="inlineStr">
        <is>
          <t>0T480</t>
        </is>
      </c>
    </row>
    <row r="19">
      <c r="A19" t="inlineStr">
        <is>
          <t>TPP-609</t>
        </is>
      </c>
      <c r="B19" t="inlineStr">
        <is>
          <t>F0220</t>
        </is>
      </c>
    </row>
    <row r="20">
      <c r="A20" t="inlineStr">
        <is>
          <t>TPP-609</t>
        </is>
      </c>
      <c r="B20" t="inlineStr">
        <is>
          <t>F2100</t>
        </is>
      </c>
    </row>
    <row r="21">
      <c r="A21" t="inlineStr">
        <is>
          <t>TPP-611</t>
        </is>
      </c>
      <c r="B21" t="inlineStr">
        <is>
          <t>F2100</t>
        </is>
      </c>
    </row>
    <row r="22">
      <c r="A22" t="inlineStr">
        <is>
          <t>TPP-613</t>
        </is>
      </c>
      <c r="B22" t="inlineStr">
        <is>
          <t>F0220</t>
        </is>
      </c>
    </row>
    <row r="23">
      <c r="A23" t="inlineStr">
        <is>
          <t>TPP-635</t>
        </is>
      </c>
      <c r="B23" t="inlineStr">
        <is>
          <t>0T730</t>
        </is>
      </c>
    </row>
    <row r="24">
      <c r="A24" t="inlineStr">
        <is>
          <t>TPP-649</t>
        </is>
      </c>
      <c r="B24" t="inlineStr">
        <is>
          <t>0Q110</t>
        </is>
      </c>
    </row>
    <row r="25">
      <c r="A25" t="inlineStr">
        <is>
          <t>TPP-649</t>
        </is>
      </c>
      <c r="B25" t="inlineStr">
        <is>
          <t>0Y460</t>
        </is>
      </c>
    </row>
    <row r="26">
      <c r="A26" t="inlineStr">
        <is>
          <t>TPP-649</t>
        </is>
      </c>
      <c r="B26" t="inlineStr">
        <is>
          <t>F2090</t>
        </is>
      </c>
    </row>
    <row r="27">
      <c r="A27" t="inlineStr">
        <is>
          <t>TPP-650</t>
        </is>
      </c>
      <c r="B27" t="inlineStr">
        <is>
          <t>0Q110</t>
        </is>
      </c>
    </row>
    <row r="28">
      <c r="A28" t="inlineStr">
        <is>
          <t>TPP-650</t>
        </is>
      </c>
      <c r="B28" t="inlineStr">
        <is>
          <t>0Y460</t>
        </is>
      </c>
    </row>
    <row r="29">
      <c r="A29" t="inlineStr">
        <is>
          <t>TPP-650</t>
        </is>
      </c>
      <c r="B29" t="inlineStr">
        <is>
          <t>F2090</t>
        </is>
      </c>
    </row>
    <row r="30">
      <c r="A30" t="inlineStr">
        <is>
          <t>TPP-699</t>
        </is>
      </c>
      <c r="B30" t="inlineStr">
        <is>
          <t>0T510</t>
        </is>
      </c>
    </row>
    <row r="31">
      <c r="A31" t="inlineStr">
        <is>
          <t>TPP-699</t>
        </is>
      </c>
      <c r="B31" t="inlineStr">
        <is>
          <t>0T520</t>
        </is>
      </c>
    </row>
    <row r="32">
      <c r="A32" t="inlineStr">
        <is>
          <t>TPP-700</t>
        </is>
      </c>
      <c r="B32" t="inlineStr">
        <is>
          <t>0T430</t>
        </is>
      </c>
    </row>
    <row r="33">
      <c r="A33" t="inlineStr">
        <is>
          <t>TPP-701</t>
        </is>
      </c>
      <c r="B33" t="inlineStr">
        <is>
          <t>0Y230</t>
        </is>
      </c>
    </row>
    <row r="34">
      <c r="A34" t="inlineStr">
        <is>
          <t>TPP-704</t>
        </is>
      </c>
      <c r="B34" t="inlineStr">
        <is>
          <t>0T420</t>
        </is>
      </c>
    </row>
    <row r="35">
      <c r="A35" t="inlineStr">
        <is>
          <t>TPP-704</t>
        </is>
      </c>
      <c r="B35" t="inlineStr">
        <is>
          <t>0T470</t>
        </is>
      </c>
    </row>
    <row r="36">
      <c r="A36" t="inlineStr">
        <is>
          <t>TPP-825</t>
        </is>
      </c>
      <c r="B36" t="inlineStr">
        <is>
          <t>0T730</t>
        </is>
      </c>
    </row>
    <row r="37">
      <c r="A37" t="inlineStr">
        <is>
          <t>TPP-911</t>
        </is>
      </c>
      <c r="B37" t="inlineStr">
        <is>
          <t>K0030</t>
        </is>
      </c>
    </row>
    <row r="38">
      <c r="A38" t="inlineStr">
        <is>
          <t>TPP-911</t>
        </is>
      </c>
      <c r="B38" t="inlineStr">
        <is>
          <t>0T690</t>
        </is>
      </c>
    </row>
    <row r="39">
      <c r="A39" t="inlineStr">
        <is>
          <t>TPP-911</t>
        </is>
      </c>
      <c r="B39" t="inlineStr">
        <is>
          <t>0T720</t>
        </is>
      </c>
    </row>
    <row r="40">
      <c r="A40" t="inlineStr">
        <is>
          <t>TPP-911</t>
        </is>
      </c>
      <c r="B40" t="inlineStr">
        <is>
          <t>0T740</t>
        </is>
      </c>
    </row>
    <row r="41">
      <c r="A41" t="inlineStr">
        <is>
          <t>TPP-911</t>
        </is>
      </c>
      <c r="B41" t="inlineStr">
        <is>
          <t>F2180</t>
        </is>
      </c>
    </row>
    <row r="42">
      <c r="A42" t="inlineStr">
        <is>
          <t>TPP-911</t>
        </is>
      </c>
      <c r="B42" t="inlineStr">
        <is>
          <t>F2210</t>
        </is>
      </c>
    </row>
    <row r="43">
      <c r="A43" t="inlineStr">
        <is>
          <t>TPP-912</t>
        </is>
      </c>
      <c r="B43" t="inlineStr">
        <is>
          <t>0T750</t>
        </is>
      </c>
    </row>
    <row r="44">
      <c r="A44" t="inlineStr">
        <is>
          <t>TPP-914</t>
        </is>
      </c>
      <c r="B44" t="inlineStr">
        <is>
          <t>F2180</t>
        </is>
      </c>
    </row>
    <row r="45">
      <c r="A45" t="inlineStr">
        <is>
          <t>TPP-914</t>
        </is>
      </c>
      <c r="B45" t="inlineStr">
        <is>
          <t>F2210</t>
        </is>
      </c>
    </row>
    <row r="46">
      <c r="A46" t="inlineStr">
        <is>
          <t>TPP-915</t>
        </is>
      </c>
      <c r="B46" t="inlineStr">
        <is>
          <t>K0030</t>
        </is>
      </c>
    </row>
    <row r="47">
      <c r="A47" t="inlineStr">
        <is>
          <t>TPP-915</t>
        </is>
      </c>
      <c r="B47" t="inlineStr">
        <is>
          <t>0T690</t>
        </is>
      </c>
    </row>
    <row r="48">
      <c r="A48" t="inlineStr">
        <is>
          <t>TPP-915</t>
        </is>
      </c>
      <c r="B48" t="inlineStr">
        <is>
          <t>0T720</t>
        </is>
      </c>
    </row>
    <row r="49">
      <c r="A49" t="inlineStr">
        <is>
          <t>TPP-916</t>
        </is>
      </c>
      <c r="B49" t="inlineStr">
        <is>
          <t>0T740</t>
        </is>
      </c>
    </row>
    <row r="50">
      <c r="A50" t="inlineStr">
        <is>
          <t>TPP-917</t>
        </is>
      </c>
      <c r="B50" t="inlineStr">
        <is>
          <t>0T750</t>
        </is>
      </c>
    </row>
    <row r="51">
      <c r="A51" t="inlineStr">
        <is>
          <t>TPP-919</t>
        </is>
      </c>
      <c r="B51" t="inlineStr">
        <is>
          <t>F2180</t>
        </is>
      </c>
    </row>
    <row r="52">
      <c r="A52" t="inlineStr">
        <is>
          <t>TPP-919</t>
        </is>
      </c>
      <c r="B52" t="inlineStr">
        <is>
          <t>F2210</t>
        </is>
      </c>
    </row>
    <row r="53">
      <c r="A53" t="inlineStr">
        <is>
          <t>TPP-920</t>
        </is>
      </c>
      <c r="B53" t="inlineStr">
        <is>
          <t>K0030</t>
        </is>
      </c>
    </row>
    <row r="54">
      <c r="A54" t="inlineStr">
        <is>
          <t>TPP-920</t>
        </is>
      </c>
      <c r="B54" t="inlineStr">
        <is>
          <t>0T690</t>
        </is>
      </c>
    </row>
    <row r="55">
      <c r="A55" t="inlineStr">
        <is>
          <t>TPP-920</t>
        </is>
      </c>
      <c r="B55" t="inlineStr">
        <is>
          <t>0T720</t>
        </is>
      </c>
    </row>
    <row r="56">
      <c r="A56" t="inlineStr">
        <is>
          <t>TPP-922</t>
        </is>
      </c>
      <c r="B56" t="inlineStr">
        <is>
          <t>0T740</t>
        </is>
      </c>
    </row>
    <row r="57">
      <c r="A57" t="inlineStr">
        <is>
          <t>TPP-923</t>
        </is>
      </c>
      <c r="B57" t="inlineStr">
        <is>
          <t>0T750</t>
        </is>
      </c>
    </row>
    <row r="58">
      <c r="A58" t="inlineStr">
        <is>
          <t>TPP-968</t>
        </is>
      </c>
      <c r="B58" t="inlineStr">
        <is>
          <t>K0050</t>
        </is>
      </c>
    </row>
    <row r="59">
      <c r="A59" t="inlineStr">
        <is>
          <t>TPP-968</t>
        </is>
      </c>
      <c r="B59" t="inlineStr">
        <is>
          <t>0Q120</t>
        </is>
      </c>
    </row>
    <row r="60">
      <c r="A60" t="inlineStr">
        <is>
          <t>TPP-970</t>
        </is>
      </c>
      <c r="B60" t="inlineStr">
        <is>
          <t>K0050</t>
        </is>
      </c>
    </row>
    <row r="61">
      <c r="A61" t="inlineStr">
        <is>
          <t>TPP-970</t>
        </is>
      </c>
      <c r="B61" t="inlineStr">
        <is>
          <t>0Q120</t>
        </is>
      </c>
    </row>
    <row r="62">
      <c r="A62" t="inlineStr">
        <is>
          <t>TPP-1367</t>
        </is>
      </c>
      <c r="B62" t="inlineStr">
        <is>
          <t>F3060</t>
        </is>
      </c>
    </row>
    <row r="63">
      <c r="A63" t="inlineStr">
        <is>
          <t>TPP-1367</t>
        </is>
      </c>
      <c r="B63" t="inlineStr">
        <is>
          <t>F2350</t>
        </is>
      </c>
    </row>
    <row r="64">
      <c r="A64" t="inlineStr">
        <is>
          <t>TPP-1378</t>
        </is>
      </c>
      <c r="B64" t="inlineStr">
        <is>
          <t>F3060</t>
        </is>
      </c>
    </row>
    <row r="65">
      <c r="A65" t="inlineStr">
        <is>
          <t>TPP-1378</t>
        </is>
      </c>
      <c r="B65" t="inlineStr">
        <is>
          <t>F2350</t>
        </is>
      </c>
    </row>
    <row r="66">
      <c r="A66" t="inlineStr">
        <is>
          <t>TPP-1378</t>
        </is>
      </c>
      <c r="B66" t="inlineStr">
        <is>
          <t>A045</t>
        </is>
      </c>
    </row>
    <row r="67">
      <c r="A67" t="inlineStr">
        <is>
          <t>TPP-1369</t>
        </is>
      </c>
      <c r="B67" t="inlineStr">
        <is>
          <t>F3060</t>
        </is>
      </c>
    </row>
    <row r="68">
      <c r="A68" t="inlineStr">
        <is>
          <t>TPP-1369</t>
        </is>
      </c>
      <c r="B68" t="inlineStr">
        <is>
          <t>OT880</t>
        </is>
      </c>
    </row>
    <row r="69">
      <c r="A69" t="inlineStr">
        <is>
          <t>TPP-1379</t>
        </is>
      </c>
      <c r="B69" t="inlineStr">
        <is>
          <t>F3060</t>
        </is>
      </c>
    </row>
    <row r="70">
      <c r="A70" t="inlineStr">
        <is>
          <t>TPP-1379</t>
        </is>
      </c>
      <c r="B70" t="inlineStr">
        <is>
          <t>OT860</t>
        </is>
      </c>
    </row>
    <row r="71">
      <c r="A71" t="inlineStr">
        <is>
          <t>TPP-1379</t>
        </is>
      </c>
      <c r="B71" t="inlineStr">
        <is>
          <t>OT870</t>
        </is>
      </c>
    </row>
    <row r="72">
      <c r="A72" t="inlineStr">
        <is>
          <t>TPP-1379</t>
        </is>
      </c>
      <c r="B72" t="inlineStr">
        <is>
          <t>OT880</t>
        </is>
      </c>
    </row>
    <row r="73">
      <c r="A73" t="inlineStr">
        <is>
          <t>TPP-1368</t>
        </is>
      </c>
      <c r="B73" t="inlineStr">
        <is>
          <t>F3060</t>
        </is>
      </c>
    </row>
    <row r="74">
      <c r="A74" t="inlineStr">
        <is>
          <t>TPP-1368</t>
        </is>
      </c>
      <c r="B74" t="inlineStr">
        <is>
          <t>OT860</t>
        </is>
      </c>
    </row>
    <row r="75">
      <c r="A75" t="inlineStr">
        <is>
          <t>TPP-1368</t>
        </is>
      </c>
      <c r="B75" t="inlineStr">
        <is>
          <t>OT870</t>
        </is>
      </c>
    </row>
    <row r="76">
      <c r="A76" t="inlineStr">
        <is>
          <t>TPP-1368</t>
        </is>
      </c>
      <c r="B76" t="inlineStr">
        <is>
          <t>A045</t>
        </is>
      </c>
    </row>
    <row r="77">
      <c r="A77" t="inlineStr">
        <is>
          <t>TSP-049</t>
        </is>
      </c>
      <c r="B77" t="inlineStr">
        <is>
          <t>0T180</t>
        </is>
      </c>
    </row>
    <row r="78">
      <c r="A78" t="inlineStr">
        <is>
          <t>TSP-049</t>
        </is>
      </c>
      <c r="B78" t="inlineStr">
        <is>
          <t>0T410</t>
        </is>
      </c>
    </row>
    <row r="79">
      <c r="A79" t="inlineStr">
        <is>
          <t>TSP-049</t>
        </is>
      </c>
      <c r="B79" t="inlineStr">
        <is>
          <t>0W750</t>
        </is>
      </c>
    </row>
    <row r="80">
      <c r="A80" t="inlineStr">
        <is>
          <t>TSP-050</t>
        </is>
      </c>
      <c r="B80" t="inlineStr">
        <is>
          <t>0T180</t>
        </is>
      </c>
    </row>
    <row r="81">
      <c r="A81" t="inlineStr">
        <is>
          <t>TSP-050</t>
        </is>
      </c>
      <c r="B81" t="inlineStr">
        <is>
          <t>0T410</t>
        </is>
      </c>
    </row>
    <row r="82">
      <c r="A82" t="inlineStr">
        <is>
          <t>TSP-050</t>
        </is>
      </c>
      <c r="B82" t="inlineStr">
        <is>
          <t>0W750</t>
        </is>
      </c>
    </row>
    <row r="83">
      <c r="A83" t="inlineStr">
        <is>
          <t>TSP-067</t>
        </is>
      </c>
      <c r="B83" t="inlineStr">
        <is>
          <t>0T160</t>
        </is>
      </c>
    </row>
    <row r="84">
      <c r="A84" t="inlineStr">
        <is>
          <t>TSP-069</t>
        </is>
      </c>
      <c r="B84" t="inlineStr">
        <is>
          <t>0W770</t>
        </is>
      </c>
    </row>
    <row r="85">
      <c r="A85" t="inlineStr">
        <is>
          <t>TSP-077</t>
        </is>
      </c>
      <c r="B85" t="inlineStr">
        <is>
          <t>0T190</t>
        </is>
      </c>
    </row>
    <row r="86">
      <c r="A86" t="inlineStr">
        <is>
          <t>TSP-078</t>
        </is>
      </c>
      <c r="B86" t="inlineStr">
        <is>
          <t>0T160</t>
        </is>
      </c>
    </row>
    <row r="87">
      <c r="A87" t="inlineStr">
        <is>
          <t>TSP-080</t>
        </is>
      </c>
      <c r="B87" t="inlineStr">
        <is>
          <t>0W770</t>
        </is>
      </c>
    </row>
    <row r="88">
      <c r="A88" t="inlineStr">
        <is>
          <t>TSP-089</t>
        </is>
      </c>
      <c r="B88" t="inlineStr">
        <is>
          <t>0T190</t>
        </is>
      </c>
    </row>
    <row r="89">
      <c r="A89" t="inlineStr">
        <is>
          <t>TSP-104</t>
        </is>
      </c>
      <c r="B89" t="inlineStr">
        <is>
          <t>0T150</t>
        </is>
      </c>
    </row>
    <row r="90">
      <c r="A90" t="inlineStr">
        <is>
          <t>TSP-105</t>
        </is>
      </c>
      <c r="B90" t="inlineStr">
        <is>
          <t>0T150</t>
        </is>
      </c>
    </row>
    <row r="91">
      <c r="A91" t="inlineStr">
        <is>
          <t>TSP-199</t>
        </is>
      </c>
      <c r="B91" t="inlineStr">
        <is>
          <t>0W780</t>
        </is>
      </c>
    </row>
    <row r="92">
      <c r="A92" t="inlineStr">
        <is>
          <t>TSP-205</t>
        </is>
      </c>
      <c r="B92" t="inlineStr">
        <is>
          <t>0W780</t>
        </is>
      </c>
    </row>
    <row r="93">
      <c r="A93" t="inlineStr">
        <is>
          <t>TSP-206</t>
        </is>
      </c>
      <c r="B93" t="inlineStr">
        <is>
          <t>0W780</t>
        </is>
      </c>
    </row>
    <row r="94">
      <c r="A94" t="inlineStr">
        <is>
          <t>TSP-224</t>
        </is>
      </c>
      <c r="B94" t="inlineStr">
        <is>
          <t>0M060</t>
        </is>
      </c>
    </row>
    <row r="95">
      <c r="A95" t="inlineStr">
        <is>
          <t>TSP-224</t>
        </is>
      </c>
      <c r="B95" t="inlineStr">
        <is>
          <t>0P340</t>
        </is>
      </c>
    </row>
    <row r="96">
      <c r="A96" t="inlineStr">
        <is>
          <t>TSP-224</t>
        </is>
      </c>
      <c r="B96" t="inlineStr">
        <is>
          <t>0V250</t>
        </is>
      </c>
    </row>
    <row r="97">
      <c r="A97" t="inlineStr">
        <is>
          <t>TSP-225</t>
        </is>
      </c>
      <c r="B97" t="inlineStr">
        <is>
          <t>0M060</t>
        </is>
      </c>
    </row>
    <row r="98">
      <c r="A98" t="inlineStr">
        <is>
          <t>TSP-225</t>
        </is>
      </c>
      <c r="B98" t="inlineStr">
        <is>
          <t>0P340</t>
        </is>
      </c>
    </row>
    <row r="99">
      <c r="A99" t="inlineStr">
        <is>
          <t>TSP-225</t>
        </is>
      </c>
      <c r="B99" t="inlineStr">
        <is>
          <t>0V250</t>
        </is>
      </c>
    </row>
    <row r="100">
      <c r="A100" t="inlineStr">
        <is>
          <t>TSP-360</t>
        </is>
      </c>
      <c r="B100" t="inlineStr">
        <is>
          <t>0T490</t>
        </is>
      </c>
    </row>
    <row r="101">
      <c r="A101" t="inlineStr">
        <is>
          <t>TSP-360</t>
        </is>
      </c>
      <c r="B101" t="inlineStr">
        <is>
          <t>0T500</t>
        </is>
      </c>
    </row>
    <row r="102">
      <c r="A102" t="inlineStr">
        <is>
          <t>TSP-367</t>
        </is>
      </c>
      <c r="B102" t="inlineStr">
        <is>
          <t>0T420</t>
        </is>
      </c>
    </row>
    <row r="103">
      <c r="A103" t="inlineStr">
        <is>
          <t>TSP-367</t>
        </is>
      </c>
      <c r="B103" t="inlineStr">
        <is>
          <t>0T470</t>
        </is>
      </c>
    </row>
    <row r="104">
      <c r="A104" t="inlineStr">
        <is>
          <t>TSP-367</t>
        </is>
      </c>
      <c r="B104" t="inlineStr">
        <is>
          <t>0T480</t>
        </is>
      </c>
    </row>
    <row r="105">
      <c r="A105" t="inlineStr">
        <is>
          <t>TSP-367</t>
        </is>
      </c>
      <c r="B105" t="inlineStr">
        <is>
          <t>0T490</t>
        </is>
      </c>
    </row>
    <row r="106">
      <c r="A106" t="inlineStr">
        <is>
          <t>TSP-367</t>
        </is>
      </c>
      <c r="B106" t="inlineStr">
        <is>
          <t>0T500</t>
        </is>
      </c>
    </row>
    <row r="107">
      <c r="A107" t="inlineStr">
        <is>
          <t>TSP-369</t>
        </is>
      </c>
      <c r="B107" t="inlineStr">
        <is>
          <t>0T420</t>
        </is>
      </c>
    </row>
    <row r="108">
      <c r="A108" t="inlineStr">
        <is>
          <t>TSP-369</t>
        </is>
      </c>
      <c r="B108" t="inlineStr">
        <is>
          <t>0T470</t>
        </is>
      </c>
    </row>
    <row r="109">
      <c r="A109" t="inlineStr">
        <is>
          <t>TSP-369</t>
        </is>
      </c>
      <c r="B109" t="inlineStr">
        <is>
          <t>0T490</t>
        </is>
      </c>
    </row>
    <row r="110">
      <c r="A110" t="inlineStr">
        <is>
          <t>TSP-369</t>
        </is>
      </c>
      <c r="B110" t="inlineStr">
        <is>
          <t>0T500</t>
        </is>
      </c>
    </row>
    <row r="111">
      <c r="A111" t="inlineStr">
        <is>
          <t>TSP-399</t>
        </is>
      </c>
      <c r="B111" t="inlineStr">
        <is>
          <t>0P390</t>
        </is>
      </c>
    </row>
    <row r="112">
      <c r="A112" t="inlineStr">
        <is>
          <t>TSP-402</t>
        </is>
      </c>
      <c r="B112" t="inlineStr">
        <is>
          <t>0T520</t>
        </is>
      </c>
    </row>
    <row r="113">
      <c r="A113" t="inlineStr">
        <is>
          <t>TSP-403</t>
        </is>
      </c>
      <c r="B113" t="inlineStr">
        <is>
          <t>0T510</t>
        </is>
      </c>
    </row>
    <row r="114">
      <c r="A114" t="inlineStr">
        <is>
          <t>TSP-404</t>
        </is>
      </c>
      <c r="B114" t="inlineStr">
        <is>
          <t>0T430</t>
        </is>
      </c>
    </row>
    <row r="115">
      <c r="A115" t="inlineStr">
        <is>
          <t>TSP-405</t>
        </is>
      </c>
      <c r="B115" t="inlineStr">
        <is>
          <t>0P390</t>
        </is>
      </c>
    </row>
    <row r="116">
      <c r="A116" t="inlineStr">
        <is>
          <t>TSP-405</t>
        </is>
      </c>
      <c r="B116" t="inlineStr">
        <is>
          <t>0Y230</t>
        </is>
      </c>
    </row>
    <row r="117">
      <c r="A117" t="inlineStr">
        <is>
          <t>TSP-544</t>
        </is>
      </c>
      <c r="B117" t="inlineStr">
        <is>
          <t>0T480</t>
        </is>
      </c>
    </row>
    <row r="118">
      <c r="A118" t="inlineStr">
        <is>
          <t>TSP-558</t>
        </is>
      </c>
      <c r="B118" t="inlineStr">
        <is>
          <t>0T480</t>
        </is>
      </c>
    </row>
    <row r="119">
      <c r="A119" t="inlineStr">
        <is>
          <t>TSP-618</t>
        </is>
      </c>
      <c r="B119" t="inlineStr">
        <is>
          <t>F0220</t>
        </is>
      </c>
    </row>
    <row r="120">
      <c r="A120" t="inlineStr">
        <is>
          <t>TSP-618</t>
        </is>
      </c>
      <c r="B120" t="inlineStr">
        <is>
          <t>F2100</t>
        </is>
      </c>
    </row>
    <row r="121">
      <c r="A121" t="inlineStr">
        <is>
          <t>TSP-620</t>
        </is>
      </c>
      <c r="B121" t="inlineStr">
        <is>
          <t>F2100</t>
        </is>
      </c>
    </row>
    <row r="122">
      <c r="A122" t="inlineStr">
        <is>
          <t>TSP-623</t>
        </is>
      </c>
      <c r="B122" t="inlineStr">
        <is>
          <t>F0220</t>
        </is>
      </c>
    </row>
    <row r="123">
      <c r="A123" t="inlineStr">
        <is>
          <t>TSP-655</t>
        </is>
      </c>
      <c r="B123" t="inlineStr">
        <is>
          <t>0Q110</t>
        </is>
      </c>
    </row>
    <row r="124">
      <c r="A124" t="inlineStr">
        <is>
          <t>TSP-655</t>
        </is>
      </c>
      <c r="B124" t="inlineStr">
        <is>
          <t>0Y460</t>
        </is>
      </c>
    </row>
    <row r="125">
      <c r="A125" t="inlineStr">
        <is>
          <t>TSP-655</t>
        </is>
      </c>
      <c r="B125" t="inlineStr">
        <is>
          <t>F2090</t>
        </is>
      </c>
    </row>
    <row r="126">
      <c r="A126" t="inlineStr">
        <is>
          <t>TSP-656</t>
        </is>
      </c>
      <c r="B126" t="inlineStr">
        <is>
          <t>0Q110</t>
        </is>
      </c>
    </row>
    <row r="127">
      <c r="A127" t="inlineStr">
        <is>
          <t>TSP-656</t>
        </is>
      </c>
      <c r="B127" t="inlineStr">
        <is>
          <t>0Y460</t>
        </is>
      </c>
    </row>
    <row r="128">
      <c r="A128" t="inlineStr">
        <is>
          <t>TSP-656</t>
        </is>
      </c>
      <c r="B128" t="inlineStr">
        <is>
          <t>F2090</t>
        </is>
      </c>
    </row>
    <row r="129">
      <c r="A129" t="inlineStr">
        <is>
          <t>TSP-665</t>
        </is>
      </c>
      <c r="B129" t="inlineStr">
        <is>
          <t>F0220</t>
        </is>
      </c>
    </row>
    <row r="130">
      <c r="A130" t="inlineStr">
        <is>
          <t>TSP-668</t>
        </is>
      </c>
      <c r="B130" t="inlineStr">
        <is>
          <t>0T510</t>
        </is>
      </c>
    </row>
    <row r="131">
      <c r="A131" t="inlineStr">
        <is>
          <t>TSP-668</t>
        </is>
      </c>
      <c r="B131" t="inlineStr">
        <is>
          <t>0T520</t>
        </is>
      </c>
    </row>
    <row r="132">
      <c r="A132" t="inlineStr">
        <is>
          <t>TSP-669</t>
        </is>
      </c>
      <c r="B132" t="inlineStr">
        <is>
          <t>0T430</t>
        </is>
      </c>
    </row>
    <row r="133">
      <c r="A133" t="inlineStr">
        <is>
          <t>TSP-670</t>
        </is>
      </c>
      <c r="B133" t="inlineStr">
        <is>
          <t>0Y230</t>
        </is>
      </c>
    </row>
    <row r="134">
      <c r="A134" t="inlineStr">
        <is>
          <t>TSP-710</t>
        </is>
      </c>
      <c r="B134" t="inlineStr">
        <is>
          <t>0T420</t>
        </is>
      </c>
    </row>
    <row r="135">
      <c r="A135" t="inlineStr">
        <is>
          <t>TSP-710</t>
        </is>
      </c>
      <c r="B135" t="inlineStr">
        <is>
          <t>0T470</t>
        </is>
      </c>
    </row>
    <row r="136">
      <c r="A136" t="inlineStr">
        <is>
          <t>TSP-828</t>
        </is>
      </c>
      <c r="B136" t="inlineStr">
        <is>
          <t>0T730</t>
        </is>
      </c>
    </row>
    <row r="137">
      <c r="A137" t="inlineStr">
        <is>
          <t>TSP-903</t>
        </is>
      </c>
      <c r="B137" t="inlineStr">
        <is>
          <t>0T730</t>
        </is>
      </c>
    </row>
    <row r="138">
      <c r="A138" t="inlineStr">
        <is>
          <t>TSP-924</t>
        </is>
      </c>
      <c r="B138" t="inlineStr">
        <is>
          <t>0T720</t>
        </is>
      </c>
    </row>
    <row r="139">
      <c r="A139" t="inlineStr">
        <is>
          <t>TSP-924</t>
        </is>
      </c>
      <c r="B139" t="inlineStr">
        <is>
          <t>0T740</t>
        </is>
      </c>
    </row>
    <row r="140">
      <c r="A140" t="inlineStr">
        <is>
          <t>TSP-924</t>
        </is>
      </c>
      <c r="B140" t="inlineStr">
        <is>
          <t>F2180</t>
        </is>
      </c>
    </row>
    <row r="141">
      <c r="A141" t="inlineStr">
        <is>
          <t>TSP-924</t>
        </is>
      </c>
      <c r="B141" t="inlineStr">
        <is>
          <t>F2210</t>
        </is>
      </c>
    </row>
    <row r="142">
      <c r="A142" t="inlineStr">
        <is>
          <t>TSP-924</t>
        </is>
      </c>
      <c r="B142" t="inlineStr">
        <is>
          <t>K0030</t>
        </is>
      </c>
    </row>
    <row r="143">
      <c r="A143" t="inlineStr">
        <is>
          <t>TSP-925</t>
        </is>
      </c>
      <c r="B143" t="inlineStr">
        <is>
          <t>0T750</t>
        </is>
      </c>
    </row>
    <row r="144">
      <c r="A144" t="inlineStr">
        <is>
          <t>TSP-927</t>
        </is>
      </c>
      <c r="B144" t="inlineStr">
        <is>
          <t>F2180</t>
        </is>
      </c>
    </row>
    <row r="145">
      <c r="A145" t="inlineStr">
        <is>
          <t>TSP-927</t>
        </is>
      </c>
      <c r="B145" t="inlineStr">
        <is>
          <t>F2210</t>
        </is>
      </c>
    </row>
    <row r="146">
      <c r="A146" t="inlineStr">
        <is>
          <t>TSP-928</t>
        </is>
      </c>
      <c r="B146" t="inlineStr">
        <is>
          <t>K0030</t>
        </is>
      </c>
    </row>
    <row r="147">
      <c r="A147" t="inlineStr">
        <is>
          <t>TSP-928</t>
        </is>
      </c>
      <c r="B147" t="inlineStr">
        <is>
          <t>0T720</t>
        </is>
      </c>
    </row>
    <row r="148">
      <c r="A148" t="inlineStr">
        <is>
          <t>TSP-928</t>
        </is>
      </c>
      <c r="B148" t="inlineStr">
        <is>
          <t>OT690</t>
        </is>
      </c>
    </row>
    <row r="149">
      <c r="A149" t="inlineStr">
        <is>
          <t>TSP-929</t>
        </is>
      </c>
      <c r="B149" t="inlineStr">
        <is>
          <t>0T740</t>
        </is>
      </c>
    </row>
    <row r="150">
      <c r="A150" t="inlineStr">
        <is>
          <t>TSP-930</t>
        </is>
      </c>
      <c r="B150" t="inlineStr">
        <is>
          <t>0T750</t>
        </is>
      </c>
    </row>
    <row r="151">
      <c r="A151" t="inlineStr">
        <is>
          <t>TSP-934</t>
        </is>
      </c>
      <c r="B151" t="inlineStr">
        <is>
          <t>F2180</t>
        </is>
      </c>
    </row>
    <row r="152">
      <c r="A152" t="inlineStr">
        <is>
          <t>TSP-934</t>
        </is>
      </c>
      <c r="B152" t="inlineStr">
        <is>
          <t>F2210</t>
        </is>
      </c>
    </row>
    <row r="153">
      <c r="A153" t="inlineStr">
        <is>
          <t>TSP-934</t>
        </is>
      </c>
      <c r="B153" t="inlineStr">
        <is>
          <t>OT690</t>
        </is>
      </c>
    </row>
    <row r="154">
      <c r="A154" t="inlineStr">
        <is>
          <t>TSP-935</t>
        </is>
      </c>
      <c r="B154" t="inlineStr">
        <is>
          <t>0T720</t>
        </is>
      </c>
    </row>
    <row r="155">
      <c r="A155" t="inlineStr">
        <is>
          <t>TSP-935</t>
        </is>
      </c>
      <c r="B155" t="inlineStr">
        <is>
          <t>K0030</t>
        </is>
      </c>
    </row>
    <row r="156">
      <c r="A156" t="inlineStr">
        <is>
          <t>TSP-936</t>
        </is>
      </c>
      <c r="B156" t="inlineStr">
        <is>
          <t>0T740</t>
        </is>
      </c>
    </row>
    <row r="157">
      <c r="A157" t="inlineStr">
        <is>
          <t>TSP-937</t>
        </is>
      </c>
      <c r="B157" t="inlineStr">
        <is>
          <t>0T750</t>
        </is>
      </c>
    </row>
    <row r="158">
      <c r="A158" t="inlineStr">
        <is>
          <t>TSP-959</t>
        </is>
      </c>
      <c r="B158" t="inlineStr">
        <is>
          <t>0Q120</t>
        </is>
      </c>
    </row>
    <row r="159">
      <c r="A159" t="inlineStr">
        <is>
          <t>TSP-959</t>
        </is>
      </c>
      <c r="B159" t="inlineStr">
        <is>
          <t>K0050</t>
        </is>
      </c>
    </row>
    <row r="160">
      <c r="A160" t="inlineStr">
        <is>
          <t>TSP-966</t>
        </is>
      </c>
      <c r="B160" t="inlineStr">
        <is>
          <t>0Q120</t>
        </is>
      </c>
    </row>
    <row r="161">
      <c r="A161" t="inlineStr">
        <is>
          <t>TSP-966</t>
        </is>
      </c>
      <c r="B161" t="inlineStr">
        <is>
          <t>K0050</t>
        </is>
      </c>
    </row>
    <row r="162">
      <c r="A162" t="inlineStr">
        <is>
          <t>TSP-1388</t>
        </is>
      </c>
      <c r="B162" t="inlineStr">
        <is>
          <t>0T860</t>
        </is>
      </c>
    </row>
    <row r="163">
      <c r="A163" t="inlineStr">
        <is>
          <t>TSP-1388</t>
        </is>
      </c>
      <c r="B163" t="inlineStr">
        <is>
          <t>F2350</t>
        </is>
      </c>
    </row>
    <row r="164">
      <c r="A164" t="inlineStr">
        <is>
          <t>TSP-1388</t>
        </is>
      </c>
      <c r="B164" t="inlineStr">
        <is>
          <t>F3060</t>
        </is>
      </c>
    </row>
    <row r="165">
      <c r="A165" t="inlineStr">
        <is>
          <t>TSP-1444</t>
        </is>
      </c>
      <c r="B165" t="inlineStr">
        <is>
          <t>F2350</t>
        </is>
      </c>
    </row>
    <row r="166">
      <c r="A166" t="inlineStr">
        <is>
          <t>TSP-1444</t>
        </is>
      </c>
      <c r="B166" t="inlineStr">
        <is>
          <t>F3060</t>
        </is>
      </c>
    </row>
    <row r="167">
      <c r="A167" t="inlineStr">
        <is>
          <t>TSP-1448</t>
        </is>
      </c>
      <c r="B167" t="inlineStr">
        <is>
          <t>F2350</t>
        </is>
      </c>
    </row>
    <row r="168">
      <c r="A168" t="inlineStr">
        <is>
          <t>TSP-1448</t>
        </is>
      </c>
      <c r="B168" t="inlineStr">
        <is>
          <t>F3060</t>
        </is>
      </c>
    </row>
    <row r="169">
      <c r="A169" t="inlineStr">
        <is>
          <t>TSP-1445</t>
        </is>
      </c>
      <c r="B169" t="inlineStr">
        <is>
          <t>0T860</t>
        </is>
      </c>
    </row>
    <row r="170">
      <c r="A170" t="inlineStr">
        <is>
          <t>TSP-1446</t>
        </is>
      </c>
      <c r="B170" t="inlineStr">
        <is>
          <t>0T880</t>
        </is>
      </c>
    </row>
    <row r="171">
      <c r="A171" t="inlineStr">
        <is>
          <t>TSP-1449</t>
        </is>
      </c>
      <c r="B171" t="inlineStr">
        <is>
          <t>0T880</t>
        </is>
      </c>
    </row>
    <row r="172">
      <c r="A172" t="inlineStr">
        <is>
          <t>TSP-1449</t>
        </is>
      </c>
      <c r="B172" t="inlineStr">
        <is>
          <t>0T860</t>
        </is>
      </c>
    </row>
    <row r="173">
      <c r="A173" t="inlineStr">
        <is>
          <t>TVS-267</t>
        </is>
      </c>
      <c r="B173" t="inlineStr">
        <is>
          <t>0T750</t>
        </is>
      </c>
    </row>
    <row r="174">
      <c r="A174" t="inlineStr">
        <is>
          <t>TVS-500</t>
        </is>
      </c>
      <c r="B174" t="inlineStr">
        <is>
          <t>0T740</t>
        </is>
      </c>
    </row>
    <row r="175">
      <c r="A175" t="inlineStr">
        <is>
          <t>TVS-664</t>
        </is>
      </c>
      <c r="B175" t="inlineStr">
        <is>
          <t>F2180</t>
        </is>
      </c>
    </row>
    <row r="176">
      <c r="A176" t="inlineStr">
        <is>
          <t>TVS-664</t>
        </is>
      </c>
      <c r="B176" t="inlineStr">
        <is>
          <t>F2210</t>
        </is>
      </c>
    </row>
    <row r="177">
      <c r="A177" t="inlineStr">
        <is>
          <t>TVS-664</t>
        </is>
      </c>
      <c r="B177" t="inlineStr">
        <is>
          <t>K0030</t>
        </is>
      </c>
    </row>
    <row r="178">
      <c r="A178" t="inlineStr">
        <is>
          <t>TVS-833</t>
        </is>
      </c>
      <c r="B178" t="inlineStr">
        <is>
          <t>0T720</t>
        </is>
      </c>
    </row>
    <row r="179">
      <c r="A179" t="inlineStr">
        <is>
          <t>VSP-566</t>
        </is>
      </c>
      <c r="B179" t="inlineStr">
        <is>
          <t>V03</t>
        </is>
      </c>
    </row>
    <row r="180">
      <c r="A180" t="inlineStr">
        <is>
          <t>VSP-567</t>
        </is>
      </c>
      <c r="B180" t="inlineStr">
        <is>
          <t>V03</t>
        </is>
      </c>
    </row>
    <row r="181">
      <c r="A181" t="inlineStr">
        <is>
          <t>VSP-600</t>
        </is>
      </c>
      <c r="B181" t="inlineStr">
        <is>
          <t>V02</t>
        </is>
      </c>
    </row>
    <row r="182">
      <c r="A182" t="inlineStr">
        <is>
          <t>VSP-601</t>
        </is>
      </c>
      <c r="B182" t="inlineStr">
        <is>
          <t>V02</t>
        </is>
      </c>
    </row>
    <row r="183">
      <c r="A183" t="inlineStr">
        <is>
          <t>VSP-602</t>
        </is>
      </c>
      <c r="B183" t="inlineStr">
        <is>
          <t>V02</t>
        </is>
      </c>
    </row>
    <row r="184">
      <c r="A184" t="inlineStr">
        <is>
          <t>VSP-603</t>
        </is>
      </c>
      <c r="B184" t="inlineStr">
        <is>
          <t>V04</t>
        </is>
      </c>
    </row>
    <row r="185">
      <c r="A185" t="inlineStr">
        <is>
          <t>VSP-604</t>
        </is>
      </c>
      <c r="B185" t="inlineStr">
        <is>
          <t>V04</t>
        </is>
      </c>
    </row>
    <row r="186">
      <c r="A186" t="inlineStr">
        <is>
          <t>VSP-605</t>
        </is>
      </c>
      <c r="B186" t="inlineStr">
        <is>
          <t>V04</t>
        </is>
      </c>
    </row>
    <row r="187">
      <c r="A187" t="inlineStr">
        <is>
          <t>VSP-606</t>
        </is>
      </c>
      <c r="B187" t="inlineStr">
        <is>
          <t>V05</t>
        </is>
      </c>
    </row>
    <row r="188">
      <c r="A188" t="inlineStr">
        <is>
          <t>VSP-607</t>
        </is>
      </c>
      <c r="B188" t="inlineStr">
        <is>
          <t>V05</t>
        </is>
      </c>
    </row>
    <row r="189">
      <c r="A189" t="inlineStr">
        <is>
          <t>VSP-738</t>
        </is>
      </c>
      <c r="B189" t="inlineStr">
        <is>
          <t>V11</t>
        </is>
      </c>
    </row>
    <row r="190">
      <c r="A190" t="inlineStr">
        <is>
          <t>VSP-739</t>
        </is>
      </c>
      <c r="B190" t="inlineStr">
        <is>
          <t>V11</t>
        </is>
      </c>
    </row>
    <row r="191">
      <c r="A191" t="inlineStr">
        <is>
          <t>VSP-740</t>
        </is>
      </c>
      <c r="B191" t="inlineStr">
        <is>
          <t>V11</t>
        </is>
      </c>
    </row>
    <row r="192">
      <c r="A192" t="inlineStr">
        <is>
          <t>VSP-746</t>
        </is>
      </c>
      <c r="B192" t="inlineStr">
        <is>
          <t>V07</t>
        </is>
      </c>
    </row>
    <row r="193">
      <c r="A193" t="inlineStr">
        <is>
          <t>VSP-820</t>
        </is>
      </c>
      <c r="B193" t="inlineStr">
        <is>
          <t>V14</t>
        </is>
      </c>
    </row>
    <row r="194">
      <c r="A194" t="inlineStr">
        <is>
          <t>VSP-820</t>
        </is>
      </c>
      <c r="B194" t="inlineStr">
        <is>
          <t>V17</t>
        </is>
      </c>
    </row>
    <row r="195">
      <c r="A195" t="inlineStr">
        <is>
          <t>VSP-822</t>
        </is>
      </c>
      <c r="B195" t="inlineStr">
        <is>
          <t>V14</t>
        </is>
      </c>
    </row>
    <row r="196">
      <c r="A196" t="inlineStr">
        <is>
          <t>VSP-869</t>
        </is>
      </c>
      <c r="B196" t="inlineStr">
        <is>
          <t>V13</t>
        </is>
      </c>
    </row>
    <row r="197">
      <c r="A197" t="inlineStr">
        <is>
          <t>VSP-870</t>
        </is>
      </c>
      <c r="B197" t="inlineStr">
        <is>
          <t>V13</t>
        </is>
      </c>
    </row>
    <row r="198">
      <c r="A198" t="inlineStr">
        <is>
          <t>VSP-910</t>
        </is>
      </c>
      <c r="B198" t="inlineStr">
        <is>
          <t>V17</t>
        </is>
      </c>
    </row>
    <row r="199">
      <c r="A199" t="inlineStr">
        <is>
          <t>VSP-989</t>
        </is>
      </c>
      <c r="B199" t="inlineStr">
        <is>
          <t>V18</t>
        </is>
      </c>
    </row>
    <row r="200">
      <c r="A200" t="inlineStr">
        <is>
          <t>VSP-990</t>
        </is>
      </c>
      <c r="B200" t="inlineStr">
        <is>
          <t>V18</t>
        </is>
      </c>
    </row>
    <row r="201">
      <c r="A201" t="inlineStr">
        <is>
          <t>VSZ-745</t>
        </is>
      </c>
      <c r="B201" t="inlineStr">
        <is>
          <t>V07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A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7" t="inlineStr">
        <is>
          <t>RM_Code</t>
        </is>
      </c>
      <c r="B1" s="27" t="inlineStr">
        <is>
          <t>2026-W01</t>
        </is>
      </c>
      <c r="C1" s="27" t="inlineStr">
        <is>
          <t>2026-W02</t>
        </is>
      </c>
      <c r="D1" s="27" t="inlineStr">
        <is>
          <t>2026-W03</t>
        </is>
      </c>
      <c r="E1" s="27" t="inlineStr">
        <is>
          <t>2026-W04</t>
        </is>
      </c>
      <c r="F1" s="27" t="inlineStr">
        <is>
          <t>2026-W05</t>
        </is>
      </c>
      <c r="G1" s="27" t="inlineStr">
        <is>
          <t>2026-W06</t>
        </is>
      </c>
      <c r="H1" s="27" t="inlineStr">
        <is>
          <t>2026-W07</t>
        </is>
      </c>
      <c r="I1" s="27" t="inlineStr">
        <is>
          <t>2026-W08</t>
        </is>
      </c>
      <c r="J1" s="27" t="inlineStr">
        <is>
          <t>2026-W09</t>
        </is>
      </c>
      <c r="K1" s="27" t="inlineStr">
        <is>
          <t>2026-W10</t>
        </is>
      </c>
      <c r="L1" s="27" t="inlineStr">
        <is>
          <t>2026-W11</t>
        </is>
      </c>
      <c r="M1" s="27" t="inlineStr">
        <is>
          <t>2026-W12</t>
        </is>
      </c>
      <c r="N1" s="27" t="inlineStr">
        <is>
          <t>2026-W13</t>
        </is>
      </c>
      <c r="O1" s="27" t="inlineStr">
        <is>
          <t>2026-W14</t>
        </is>
      </c>
      <c r="P1" s="27" t="inlineStr">
        <is>
          <t>2026-W15</t>
        </is>
      </c>
      <c r="Q1" s="27" t="inlineStr">
        <is>
          <t>2026-W16</t>
        </is>
      </c>
      <c r="R1" s="27" t="inlineStr">
        <is>
          <t>2026-W17</t>
        </is>
      </c>
      <c r="S1" s="27" t="inlineStr">
        <is>
          <t>2026-W18</t>
        </is>
      </c>
      <c r="T1" s="27" t="inlineStr">
        <is>
          <t>2026-W19</t>
        </is>
      </c>
      <c r="U1" s="27" t="inlineStr">
        <is>
          <t>2026-W20</t>
        </is>
      </c>
      <c r="V1" s="27" t="inlineStr">
        <is>
          <t>2026-W21</t>
        </is>
      </c>
      <c r="W1" s="27" t="inlineStr">
        <is>
          <t>2026-W22</t>
        </is>
      </c>
      <c r="X1" s="27" t="inlineStr">
        <is>
          <t>2026-W23</t>
        </is>
      </c>
      <c r="Y1" s="27" t="inlineStr">
        <is>
          <t>2026-W24</t>
        </is>
      </c>
      <c r="Z1" s="27" t="inlineStr">
        <is>
          <t>2026-W25</t>
        </is>
      </c>
      <c r="AA1" s="27" t="inlineStr">
        <is>
          <t>2026-W26</t>
        </is>
      </c>
      <c r="AB1" s="27" t="inlineStr">
        <is>
          <t>2026-W27</t>
        </is>
      </c>
      <c r="AC1" s="27" t="inlineStr">
        <is>
          <t>2026-W28</t>
        </is>
      </c>
      <c r="AD1" s="27" t="inlineStr">
        <is>
          <t>2026-W29</t>
        </is>
      </c>
      <c r="AE1" s="27" t="inlineStr">
        <is>
          <t>2026-W30</t>
        </is>
      </c>
      <c r="AF1" s="27" t="inlineStr">
        <is>
          <t>2026-W31</t>
        </is>
      </c>
      <c r="AG1" s="27" t="inlineStr">
        <is>
          <t>2026-W32</t>
        </is>
      </c>
      <c r="AH1" s="27" t="inlineStr">
        <is>
          <t>2026-W33</t>
        </is>
      </c>
      <c r="AI1" s="27" t="inlineStr">
        <is>
          <t>2026-W34</t>
        </is>
      </c>
      <c r="AJ1" s="27" t="inlineStr">
        <is>
          <t>2026-W35</t>
        </is>
      </c>
      <c r="AK1" s="27" t="inlineStr">
        <is>
          <t>2026-W36</t>
        </is>
      </c>
      <c r="AL1" s="27" t="inlineStr">
        <is>
          <t>2026-W37</t>
        </is>
      </c>
      <c r="AM1" s="27" t="inlineStr">
        <is>
          <t>2026-W38</t>
        </is>
      </c>
      <c r="AN1" s="27" t="inlineStr">
        <is>
          <t>2026-W39</t>
        </is>
      </c>
      <c r="AO1" s="27" t="inlineStr">
        <is>
          <t>2026-W40</t>
        </is>
      </c>
      <c r="AP1" s="27" t="inlineStr">
        <is>
          <t>2026-W41</t>
        </is>
      </c>
      <c r="AQ1" s="27" t="inlineStr">
        <is>
          <t>2026-W42</t>
        </is>
      </c>
      <c r="AR1" s="27" t="inlineStr">
        <is>
          <t>2026-W43</t>
        </is>
      </c>
      <c r="AS1" s="27" t="inlineStr">
        <is>
          <t>2026-W44</t>
        </is>
      </c>
      <c r="AT1" s="27" t="inlineStr">
        <is>
          <t>2026-W45</t>
        </is>
      </c>
      <c r="AU1" s="27" t="inlineStr">
        <is>
          <t>2026-W46</t>
        </is>
      </c>
      <c r="AV1" s="27" t="inlineStr">
        <is>
          <t>2026-W47</t>
        </is>
      </c>
      <c r="AW1" s="27" t="inlineStr">
        <is>
          <t>2026-W48</t>
        </is>
      </c>
      <c r="AX1" s="27" t="inlineStr">
        <is>
          <t>2026-W49</t>
        </is>
      </c>
      <c r="AY1" s="27" t="inlineStr">
        <is>
          <t>2026-W50</t>
        </is>
      </c>
      <c r="AZ1" s="27" t="inlineStr">
        <is>
          <t>2026-W51</t>
        </is>
      </c>
      <c r="BA1" s="27" t="inlineStr">
        <is>
          <t>2026-W52</t>
        </is>
      </c>
      <c r="BB1" s="27" t="inlineStr">
        <is>
          <t>2027-W01</t>
        </is>
      </c>
      <c r="BC1" s="27" t="inlineStr">
        <is>
          <t>2027-W02</t>
        </is>
      </c>
      <c r="BD1" s="27" t="inlineStr">
        <is>
          <t>2027-W03</t>
        </is>
      </c>
      <c r="BE1" s="27" t="inlineStr">
        <is>
          <t>2027-W04</t>
        </is>
      </c>
      <c r="BF1" s="27" t="inlineStr">
        <is>
          <t>2027-W05</t>
        </is>
      </c>
      <c r="BG1" s="27" t="inlineStr">
        <is>
          <t>2027-W06</t>
        </is>
      </c>
      <c r="BH1" s="27" t="inlineStr">
        <is>
          <t>2027-W07</t>
        </is>
      </c>
      <c r="BI1" s="27" t="inlineStr">
        <is>
          <t>2027-W08</t>
        </is>
      </c>
      <c r="BJ1" s="27" t="inlineStr">
        <is>
          <t>2027-W09</t>
        </is>
      </c>
      <c r="BK1" s="27" t="inlineStr">
        <is>
          <t>2027-W10</t>
        </is>
      </c>
      <c r="BL1" s="27" t="inlineStr">
        <is>
          <t>2027-W11</t>
        </is>
      </c>
      <c r="BM1" s="27" t="inlineStr">
        <is>
          <t>2027-W12</t>
        </is>
      </c>
      <c r="BN1" s="27" t="inlineStr">
        <is>
          <t>2027-W13</t>
        </is>
      </c>
      <c r="BO1" s="27" t="inlineStr">
        <is>
          <t>2027-W14</t>
        </is>
      </c>
      <c r="BP1" s="27" t="inlineStr">
        <is>
          <t>2027-W15</t>
        </is>
      </c>
      <c r="BQ1" s="27" t="inlineStr">
        <is>
          <t>2027-W16</t>
        </is>
      </c>
      <c r="BR1" s="27" t="inlineStr">
        <is>
          <t>2027-W17</t>
        </is>
      </c>
      <c r="BS1" s="27" t="inlineStr">
        <is>
          <t>2027-W18</t>
        </is>
      </c>
      <c r="BT1" s="27" t="inlineStr">
        <is>
          <t>2027-W19</t>
        </is>
      </c>
      <c r="BU1" s="27" t="inlineStr">
        <is>
          <t>2027-W20</t>
        </is>
      </c>
      <c r="BV1" s="27" t="inlineStr">
        <is>
          <t>2027-W21</t>
        </is>
      </c>
      <c r="BW1" s="27" t="inlineStr">
        <is>
          <t>2027-W22</t>
        </is>
      </c>
      <c r="BX1" s="27" t="inlineStr">
        <is>
          <t>2027-W23</t>
        </is>
      </c>
      <c r="BY1" s="27" t="inlineStr">
        <is>
          <t>2027-W24</t>
        </is>
      </c>
      <c r="BZ1" s="27" t="inlineStr">
        <is>
          <t>2027-W25</t>
        </is>
      </c>
      <c r="CA1" s="27" t="inlineStr">
        <is>
          <t>2027-W26</t>
        </is>
      </c>
      <c r="CB1" s="27" t="inlineStr">
        <is>
          <t>2027-W27</t>
        </is>
      </c>
      <c r="CC1" s="27" t="inlineStr">
        <is>
          <t>2027-W28</t>
        </is>
      </c>
      <c r="CD1" s="27" t="inlineStr">
        <is>
          <t>2027-W29</t>
        </is>
      </c>
      <c r="CE1" s="27" t="inlineStr">
        <is>
          <t>2027-W30</t>
        </is>
      </c>
      <c r="CF1" s="27" t="inlineStr">
        <is>
          <t>2027-W31</t>
        </is>
      </c>
      <c r="CG1" s="27" t="inlineStr">
        <is>
          <t>2027-W32</t>
        </is>
      </c>
      <c r="CH1" s="27" t="inlineStr">
        <is>
          <t>2027-W33</t>
        </is>
      </c>
      <c r="CI1" s="27" t="inlineStr">
        <is>
          <t>2027-W34</t>
        </is>
      </c>
      <c r="CJ1" s="27" t="inlineStr">
        <is>
          <t>2027-W35</t>
        </is>
      </c>
      <c r="CK1" s="27" t="inlineStr">
        <is>
          <t>2027-W36</t>
        </is>
      </c>
      <c r="CL1" s="27" t="inlineStr">
        <is>
          <t>2027-W37</t>
        </is>
      </c>
      <c r="CM1" s="27" t="inlineStr">
        <is>
          <t>2027-W38</t>
        </is>
      </c>
      <c r="CN1" s="27" t="inlineStr">
        <is>
          <t>2027-W39</t>
        </is>
      </c>
      <c r="CO1" s="27" t="inlineStr">
        <is>
          <t>2027-W40</t>
        </is>
      </c>
      <c r="CP1" s="27" t="inlineStr">
        <is>
          <t>2027-W41</t>
        </is>
      </c>
      <c r="CQ1" s="27" t="inlineStr">
        <is>
          <t>2027-W42</t>
        </is>
      </c>
      <c r="CR1" s="27" t="inlineStr">
        <is>
          <t>2027-W43</t>
        </is>
      </c>
      <c r="CS1" s="27" t="inlineStr">
        <is>
          <t>2027-W44</t>
        </is>
      </c>
      <c r="CT1" s="27" t="inlineStr">
        <is>
          <t>2027-W45</t>
        </is>
      </c>
      <c r="CU1" s="27" t="inlineStr">
        <is>
          <t>2027-W46</t>
        </is>
      </c>
      <c r="CV1" s="27" t="inlineStr">
        <is>
          <t>2027-W47</t>
        </is>
      </c>
      <c r="CW1" s="27" t="inlineStr">
        <is>
          <t>2027-W48</t>
        </is>
      </c>
      <c r="CX1" s="27" t="inlineStr">
        <is>
          <t>2027-W49</t>
        </is>
      </c>
      <c r="CY1" s="27" t="inlineStr">
        <is>
          <t>2027-W50</t>
        </is>
      </c>
      <c r="CZ1" s="27" t="inlineStr">
        <is>
          <t>2027-W51</t>
        </is>
      </c>
      <c r="DA1" s="27" t="inlineStr">
        <is>
          <t>2027-W52</t>
        </is>
      </c>
    </row>
    <row r="2">
      <c r="A2" t="inlineStr">
        <is>
          <t>CHEM-1250</t>
        </is>
      </c>
      <c r="B2">
        <f>SUMPRODUCT((M_BOM[RM_Code]=$A2)*M_BOM[RM_Qty_Per_Batch]*IFERROR(INDEX(PP_Grid[#Data],M_BOM[PPGridRow],2),0))</f>
        <v/>
      </c>
      <c r="C2">
        <f>SUMPRODUCT((M_BOM[RM_Code]=$A2)*M_BOM[RM_Qty_Per_Batch]*IFERROR(INDEX(PP_Grid[#Data],M_BOM[PPGridRow],3),0))</f>
        <v/>
      </c>
      <c r="D2">
        <f>SUMPRODUCT((M_BOM[RM_Code]=$A2)*M_BOM[RM_Qty_Per_Batch]*IFERROR(INDEX(PP_Grid[#Data],M_BOM[PPGridRow],4),0))</f>
        <v/>
      </c>
      <c r="E2">
        <f>SUMPRODUCT((M_BOM[RM_Code]=$A2)*M_BOM[RM_Qty_Per_Batch]*IFERROR(INDEX(PP_Grid[#Data],M_BOM[PPGridRow],5),0))</f>
        <v/>
      </c>
      <c r="F2">
        <f>SUMPRODUCT((M_BOM[RM_Code]=$A2)*M_BOM[RM_Qty_Per_Batch]*IFERROR(INDEX(PP_Grid[#Data],M_BOM[PPGridRow],6),0))</f>
        <v/>
      </c>
      <c r="G2">
        <f>SUMPRODUCT((M_BOM[RM_Code]=$A2)*M_BOM[RM_Qty_Per_Batch]*IFERROR(INDEX(PP_Grid[#Data],M_BOM[PPGridRow],7),0))</f>
        <v/>
      </c>
      <c r="H2">
        <f>SUMPRODUCT((M_BOM[RM_Code]=$A2)*M_BOM[RM_Qty_Per_Batch]*IFERROR(INDEX(PP_Grid[#Data],M_BOM[PPGridRow],8),0))</f>
        <v/>
      </c>
      <c r="I2">
        <f>SUMPRODUCT((M_BOM[RM_Code]=$A2)*M_BOM[RM_Qty_Per_Batch]*IFERROR(INDEX(PP_Grid[#Data],M_BOM[PPGridRow],9),0))</f>
        <v/>
      </c>
      <c r="J2">
        <f>SUMPRODUCT((M_BOM[RM_Code]=$A2)*M_BOM[RM_Qty_Per_Batch]*IFERROR(INDEX(PP_Grid[#Data],M_BOM[PPGridRow],10),0))</f>
        <v/>
      </c>
      <c r="K2">
        <f>SUMPRODUCT((M_BOM[RM_Code]=$A2)*M_BOM[RM_Qty_Per_Batch]*IFERROR(INDEX(PP_Grid[#Data],M_BOM[PPGridRow],11),0))</f>
        <v/>
      </c>
      <c r="L2">
        <f>SUMPRODUCT((M_BOM[RM_Code]=$A2)*M_BOM[RM_Qty_Per_Batch]*IFERROR(INDEX(PP_Grid[#Data],M_BOM[PPGridRow],12),0))</f>
        <v/>
      </c>
      <c r="M2">
        <f>SUMPRODUCT((M_BOM[RM_Code]=$A2)*M_BOM[RM_Qty_Per_Batch]*IFERROR(INDEX(PP_Grid[#Data],M_BOM[PPGridRow],13),0))</f>
        <v/>
      </c>
      <c r="N2">
        <f>SUMPRODUCT((M_BOM[RM_Code]=$A2)*M_BOM[RM_Qty_Per_Batch]*IFERROR(INDEX(PP_Grid[#Data],M_BOM[PPGridRow],14),0))</f>
        <v/>
      </c>
      <c r="O2">
        <f>SUMPRODUCT((M_BOM[RM_Code]=$A2)*M_BOM[RM_Qty_Per_Batch]*IFERROR(INDEX(PP_Grid[#Data],M_BOM[PPGridRow],15),0))</f>
        <v/>
      </c>
      <c r="P2">
        <f>SUMPRODUCT((M_BOM[RM_Code]=$A2)*M_BOM[RM_Qty_Per_Batch]*IFERROR(INDEX(PP_Grid[#Data],M_BOM[PPGridRow],16),0))</f>
        <v/>
      </c>
      <c r="Q2">
        <f>SUMPRODUCT((M_BOM[RM_Code]=$A2)*M_BOM[RM_Qty_Per_Batch]*IFERROR(INDEX(PP_Grid[#Data],M_BOM[PPGridRow],17),0))</f>
        <v/>
      </c>
      <c r="R2">
        <f>SUMPRODUCT((M_BOM[RM_Code]=$A2)*M_BOM[RM_Qty_Per_Batch]*IFERROR(INDEX(PP_Grid[#Data],M_BOM[PPGridRow],18),0))</f>
        <v/>
      </c>
      <c r="S2">
        <f>SUMPRODUCT((M_BOM[RM_Code]=$A2)*M_BOM[RM_Qty_Per_Batch]*IFERROR(INDEX(PP_Grid[#Data],M_BOM[PPGridRow],19),0))</f>
        <v/>
      </c>
      <c r="T2">
        <f>SUMPRODUCT((M_BOM[RM_Code]=$A2)*M_BOM[RM_Qty_Per_Batch]*IFERROR(INDEX(PP_Grid[#Data],M_BOM[PPGridRow],20),0))</f>
        <v/>
      </c>
      <c r="U2">
        <f>SUMPRODUCT((M_BOM[RM_Code]=$A2)*M_BOM[RM_Qty_Per_Batch]*IFERROR(INDEX(PP_Grid[#Data],M_BOM[PPGridRow],21),0))</f>
        <v/>
      </c>
      <c r="V2">
        <f>SUMPRODUCT((M_BOM[RM_Code]=$A2)*M_BOM[RM_Qty_Per_Batch]*IFERROR(INDEX(PP_Grid[#Data],M_BOM[PPGridRow],22),0))</f>
        <v/>
      </c>
      <c r="W2">
        <f>SUMPRODUCT((M_BOM[RM_Code]=$A2)*M_BOM[RM_Qty_Per_Batch]*IFERROR(INDEX(PP_Grid[#Data],M_BOM[PPGridRow],23),0))</f>
        <v/>
      </c>
      <c r="X2">
        <f>SUMPRODUCT((M_BOM[RM_Code]=$A2)*M_BOM[RM_Qty_Per_Batch]*IFERROR(INDEX(PP_Grid[#Data],M_BOM[PPGridRow],24),0))</f>
        <v/>
      </c>
      <c r="Y2">
        <f>SUMPRODUCT((M_BOM[RM_Code]=$A2)*M_BOM[RM_Qty_Per_Batch]*IFERROR(INDEX(PP_Grid[#Data],M_BOM[PPGridRow],25),0))</f>
        <v/>
      </c>
      <c r="Z2">
        <f>SUMPRODUCT((M_BOM[RM_Code]=$A2)*M_BOM[RM_Qty_Per_Batch]*IFERROR(INDEX(PP_Grid[#Data],M_BOM[PPGridRow],26),0))</f>
        <v/>
      </c>
      <c r="AA2">
        <f>SUMPRODUCT((M_BOM[RM_Code]=$A2)*M_BOM[RM_Qty_Per_Batch]*IFERROR(INDEX(PP_Grid[#Data],M_BOM[PPGridRow],27),0))</f>
        <v/>
      </c>
      <c r="AB2">
        <f>SUMPRODUCT((M_BOM[RM_Code]=$A2)*M_BOM[RM_Qty_Per_Batch]*IFERROR(INDEX(PP_Grid[#Data],M_BOM[PPGridRow],28),0))</f>
        <v/>
      </c>
      <c r="AC2">
        <f>SUMPRODUCT((M_BOM[RM_Code]=$A2)*M_BOM[RM_Qty_Per_Batch]*IFERROR(INDEX(PP_Grid[#Data],M_BOM[PPGridRow],29),0))</f>
        <v/>
      </c>
      <c r="AD2">
        <f>SUMPRODUCT((M_BOM[RM_Code]=$A2)*M_BOM[RM_Qty_Per_Batch]*IFERROR(INDEX(PP_Grid[#Data],M_BOM[PPGridRow],30),0))</f>
        <v/>
      </c>
      <c r="AE2">
        <f>SUMPRODUCT((M_BOM[RM_Code]=$A2)*M_BOM[RM_Qty_Per_Batch]*IFERROR(INDEX(PP_Grid[#Data],M_BOM[PPGridRow],31),0))</f>
        <v/>
      </c>
      <c r="AF2">
        <f>SUMPRODUCT((M_BOM[RM_Code]=$A2)*M_BOM[RM_Qty_Per_Batch]*IFERROR(INDEX(PP_Grid[#Data],M_BOM[PPGridRow],32),0))</f>
        <v/>
      </c>
      <c r="AG2">
        <f>SUMPRODUCT((M_BOM[RM_Code]=$A2)*M_BOM[RM_Qty_Per_Batch]*IFERROR(INDEX(PP_Grid[#Data],M_BOM[PPGridRow],33),0))</f>
        <v/>
      </c>
      <c r="AH2">
        <f>SUMPRODUCT((M_BOM[RM_Code]=$A2)*M_BOM[RM_Qty_Per_Batch]*IFERROR(INDEX(PP_Grid[#Data],M_BOM[PPGridRow],34),0))</f>
        <v/>
      </c>
      <c r="AI2">
        <f>SUMPRODUCT((M_BOM[RM_Code]=$A2)*M_BOM[RM_Qty_Per_Batch]*IFERROR(INDEX(PP_Grid[#Data],M_BOM[PPGridRow],35),0))</f>
        <v/>
      </c>
      <c r="AJ2">
        <f>SUMPRODUCT((M_BOM[RM_Code]=$A2)*M_BOM[RM_Qty_Per_Batch]*IFERROR(INDEX(PP_Grid[#Data],M_BOM[PPGridRow],36),0))</f>
        <v/>
      </c>
      <c r="AK2">
        <f>SUMPRODUCT((M_BOM[RM_Code]=$A2)*M_BOM[RM_Qty_Per_Batch]*IFERROR(INDEX(PP_Grid[#Data],M_BOM[PPGridRow],37),0))</f>
        <v/>
      </c>
      <c r="AL2">
        <f>SUMPRODUCT((M_BOM[RM_Code]=$A2)*M_BOM[RM_Qty_Per_Batch]*IFERROR(INDEX(PP_Grid[#Data],M_BOM[PPGridRow],38),0))</f>
        <v/>
      </c>
      <c r="AM2">
        <f>SUMPRODUCT((M_BOM[RM_Code]=$A2)*M_BOM[RM_Qty_Per_Batch]*IFERROR(INDEX(PP_Grid[#Data],M_BOM[PPGridRow],39),0))</f>
        <v/>
      </c>
      <c r="AN2">
        <f>SUMPRODUCT((M_BOM[RM_Code]=$A2)*M_BOM[RM_Qty_Per_Batch]*IFERROR(INDEX(PP_Grid[#Data],M_BOM[PPGridRow],40),0))</f>
        <v/>
      </c>
      <c r="AO2">
        <f>SUMPRODUCT((M_BOM[RM_Code]=$A2)*M_BOM[RM_Qty_Per_Batch]*IFERROR(INDEX(PP_Grid[#Data],M_BOM[PPGridRow],41),0))</f>
        <v/>
      </c>
      <c r="AP2">
        <f>SUMPRODUCT((M_BOM[RM_Code]=$A2)*M_BOM[RM_Qty_Per_Batch]*IFERROR(INDEX(PP_Grid[#Data],M_BOM[PPGridRow],42),0))</f>
        <v/>
      </c>
      <c r="AQ2">
        <f>SUMPRODUCT((M_BOM[RM_Code]=$A2)*M_BOM[RM_Qty_Per_Batch]*IFERROR(INDEX(PP_Grid[#Data],M_BOM[PPGridRow],43),0))</f>
        <v/>
      </c>
      <c r="AR2">
        <f>SUMPRODUCT((M_BOM[RM_Code]=$A2)*M_BOM[RM_Qty_Per_Batch]*IFERROR(INDEX(PP_Grid[#Data],M_BOM[PPGridRow],44),0))</f>
        <v/>
      </c>
      <c r="AS2">
        <f>SUMPRODUCT((M_BOM[RM_Code]=$A2)*M_BOM[RM_Qty_Per_Batch]*IFERROR(INDEX(PP_Grid[#Data],M_BOM[PPGridRow],45),0))</f>
        <v/>
      </c>
      <c r="AT2">
        <f>SUMPRODUCT((M_BOM[RM_Code]=$A2)*M_BOM[RM_Qty_Per_Batch]*IFERROR(INDEX(PP_Grid[#Data],M_BOM[PPGridRow],46),0))</f>
        <v/>
      </c>
      <c r="AU2">
        <f>SUMPRODUCT((M_BOM[RM_Code]=$A2)*M_BOM[RM_Qty_Per_Batch]*IFERROR(INDEX(PP_Grid[#Data],M_BOM[PPGridRow],47),0))</f>
        <v/>
      </c>
      <c r="AV2">
        <f>SUMPRODUCT((M_BOM[RM_Code]=$A2)*M_BOM[RM_Qty_Per_Batch]*IFERROR(INDEX(PP_Grid[#Data],M_BOM[PPGridRow],48),0))</f>
        <v/>
      </c>
      <c r="AW2">
        <f>SUMPRODUCT((M_BOM[RM_Code]=$A2)*M_BOM[RM_Qty_Per_Batch]*IFERROR(INDEX(PP_Grid[#Data],M_BOM[PPGridRow],49),0))</f>
        <v/>
      </c>
      <c r="AX2">
        <f>SUMPRODUCT((M_BOM[RM_Code]=$A2)*M_BOM[RM_Qty_Per_Batch]*IFERROR(INDEX(PP_Grid[#Data],M_BOM[PPGridRow],50),0))</f>
        <v/>
      </c>
      <c r="AY2">
        <f>SUMPRODUCT((M_BOM[RM_Code]=$A2)*M_BOM[RM_Qty_Per_Batch]*IFERROR(INDEX(PP_Grid[#Data],M_BOM[PPGridRow],51),0))</f>
        <v/>
      </c>
      <c r="AZ2">
        <f>SUMPRODUCT((M_BOM[RM_Code]=$A2)*M_BOM[RM_Qty_Per_Batch]*IFERROR(INDEX(PP_Grid[#Data],M_BOM[PPGridRow],52),0))</f>
        <v/>
      </c>
      <c r="BA2">
        <f>SUMPRODUCT((M_BOM[RM_Code]=$A2)*M_BOM[RM_Qty_Per_Batch]*IFERROR(INDEX(PP_Grid[#Data],M_BOM[PPGridRow],53),0))</f>
        <v/>
      </c>
      <c r="BB2">
        <f>SUMPRODUCT((M_BOM[RM_Code]=$A2)*M_BOM[RM_Qty_Per_Batch]*IFERROR(INDEX(PP_Grid[#Data],M_BOM[PPGridRow],54),0))</f>
        <v/>
      </c>
      <c r="BC2">
        <f>SUMPRODUCT((M_BOM[RM_Code]=$A2)*M_BOM[RM_Qty_Per_Batch]*IFERROR(INDEX(PP_Grid[#Data],M_BOM[PPGridRow],55),0))</f>
        <v/>
      </c>
      <c r="BD2">
        <f>SUMPRODUCT((M_BOM[RM_Code]=$A2)*M_BOM[RM_Qty_Per_Batch]*IFERROR(INDEX(PP_Grid[#Data],M_BOM[PPGridRow],56),0))</f>
        <v/>
      </c>
      <c r="BE2">
        <f>SUMPRODUCT((M_BOM[RM_Code]=$A2)*M_BOM[RM_Qty_Per_Batch]*IFERROR(INDEX(PP_Grid[#Data],M_BOM[PPGridRow],57),0))</f>
        <v/>
      </c>
      <c r="BF2">
        <f>SUMPRODUCT((M_BOM[RM_Code]=$A2)*M_BOM[RM_Qty_Per_Batch]*IFERROR(INDEX(PP_Grid[#Data],M_BOM[PPGridRow],58),0))</f>
        <v/>
      </c>
      <c r="BG2">
        <f>SUMPRODUCT((M_BOM[RM_Code]=$A2)*M_BOM[RM_Qty_Per_Batch]*IFERROR(INDEX(PP_Grid[#Data],M_BOM[PPGridRow],59),0))</f>
        <v/>
      </c>
      <c r="BH2">
        <f>SUMPRODUCT((M_BOM[RM_Code]=$A2)*M_BOM[RM_Qty_Per_Batch]*IFERROR(INDEX(PP_Grid[#Data],M_BOM[PPGridRow],60),0))</f>
        <v/>
      </c>
      <c r="BI2">
        <f>SUMPRODUCT((M_BOM[RM_Code]=$A2)*M_BOM[RM_Qty_Per_Batch]*IFERROR(INDEX(PP_Grid[#Data],M_BOM[PPGridRow],61),0))</f>
        <v/>
      </c>
      <c r="BJ2">
        <f>SUMPRODUCT((M_BOM[RM_Code]=$A2)*M_BOM[RM_Qty_Per_Batch]*IFERROR(INDEX(PP_Grid[#Data],M_BOM[PPGridRow],62),0))</f>
        <v/>
      </c>
      <c r="BK2">
        <f>SUMPRODUCT((M_BOM[RM_Code]=$A2)*M_BOM[RM_Qty_Per_Batch]*IFERROR(INDEX(PP_Grid[#Data],M_BOM[PPGridRow],63),0))</f>
        <v/>
      </c>
      <c r="BL2">
        <f>SUMPRODUCT((M_BOM[RM_Code]=$A2)*M_BOM[RM_Qty_Per_Batch]*IFERROR(INDEX(PP_Grid[#Data],M_BOM[PPGridRow],64),0))</f>
        <v/>
      </c>
      <c r="BM2">
        <f>SUMPRODUCT((M_BOM[RM_Code]=$A2)*M_BOM[RM_Qty_Per_Batch]*IFERROR(INDEX(PP_Grid[#Data],M_BOM[PPGridRow],65),0))</f>
        <v/>
      </c>
      <c r="BN2">
        <f>SUMPRODUCT((M_BOM[RM_Code]=$A2)*M_BOM[RM_Qty_Per_Batch]*IFERROR(INDEX(PP_Grid[#Data],M_BOM[PPGridRow],66),0))</f>
        <v/>
      </c>
      <c r="BO2">
        <f>SUMPRODUCT((M_BOM[RM_Code]=$A2)*M_BOM[RM_Qty_Per_Batch]*IFERROR(INDEX(PP_Grid[#Data],M_BOM[PPGridRow],67),0))</f>
        <v/>
      </c>
      <c r="BP2">
        <f>SUMPRODUCT((M_BOM[RM_Code]=$A2)*M_BOM[RM_Qty_Per_Batch]*IFERROR(INDEX(PP_Grid[#Data],M_BOM[PPGridRow],68),0))</f>
        <v/>
      </c>
      <c r="BQ2">
        <f>SUMPRODUCT((M_BOM[RM_Code]=$A2)*M_BOM[RM_Qty_Per_Batch]*IFERROR(INDEX(PP_Grid[#Data],M_BOM[PPGridRow],69),0))</f>
        <v/>
      </c>
      <c r="BR2">
        <f>SUMPRODUCT((M_BOM[RM_Code]=$A2)*M_BOM[RM_Qty_Per_Batch]*IFERROR(INDEX(PP_Grid[#Data],M_BOM[PPGridRow],70),0))</f>
        <v/>
      </c>
      <c r="BS2">
        <f>SUMPRODUCT((M_BOM[RM_Code]=$A2)*M_BOM[RM_Qty_Per_Batch]*IFERROR(INDEX(PP_Grid[#Data],M_BOM[PPGridRow],71),0))</f>
        <v/>
      </c>
      <c r="BT2">
        <f>SUMPRODUCT((M_BOM[RM_Code]=$A2)*M_BOM[RM_Qty_Per_Batch]*IFERROR(INDEX(PP_Grid[#Data],M_BOM[PPGridRow],72),0))</f>
        <v/>
      </c>
      <c r="BU2">
        <f>SUMPRODUCT((M_BOM[RM_Code]=$A2)*M_BOM[RM_Qty_Per_Batch]*IFERROR(INDEX(PP_Grid[#Data],M_BOM[PPGridRow],73),0))</f>
        <v/>
      </c>
      <c r="BV2">
        <f>SUMPRODUCT((M_BOM[RM_Code]=$A2)*M_BOM[RM_Qty_Per_Batch]*IFERROR(INDEX(PP_Grid[#Data],M_BOM[PPGridRow],74),0))</f>
        <v/>
      </c>
      <c r="BW2">
        <f>SUMPRODUCT((M_BOM[RM_Code]=$A2)*M_BOM[RM_Qty_Per_Batch]*IFERROR(INDEX(PP_Grid[#Data],M_BOM[PPGridRow],75),0))</f>
        <v/>
      </c>
      <c r="BX2">
        <f>SUMPRODUCT((M_BOM[RM_Code]=$A2)*M_BOM[RM_Qty_Per_Batch]*IFERROR(INDEX(PP_Grid[#Data],M_BOM[PPGridRow],76),0))</f>
        <v/>
      </c>
      <c r="BY2">
        <f>SUMPRODUCT((M_BOM[RM_Code]=$A2)*M_BOM[RM_Qty_Per_Batch]*IFERROR(INDEX(PP_Grid[#Data],M_BOM[PPGridRow],77),0))</f>
        <v/>
      </c>
      <c r="BZ2">
        <f>SUMPRODUCT((M_BOM[RM_Code]=$A2)*M_BOM[RM_Qty_Per_Batch]*IFERROR(INDEX(PP_Grid[#Data],M_BOM[PPGridRow],78),0))</f>
        <v/>
      </c>
      <c r="CA2">
        <f>SUMPRODUCT((M_BOM[RM_Code]=$A2)*M_BOM[RM_Qty_Per_Batch]*IFERROR(INDEX(PP_Grid[#Data],M_BOM[PPGridRow],79),0))</f>
        <v/>
      </c>
      <c r="CB2">
        <f>SUMPRODUCT((M_BOM[RM_Code]=$A2)*M_BOM[RM_Qty_Per_Batch]*IFERROR(INDEX(PP_Grid[#Data],M_BOM[PPGridRow],80),0))</f>
        <v/>
      </c>
      <c r="CC2">
        <f>SUMPRODUCT((M_BOM[RM_Code]=$A2)*M_BOM[RM_Qty_Per_Batch]*IFERROR(INDEX(PP_Grid[#Data],M_BOM[PPGridRow],81),0))</f>
        <v/>
      </c>
      <c r="CD2">
        <f>SUMPRODUCT((M_BOM[RM_Code]=$A2)*M_BOM[RM_Qty_Per_Batch]*IFERROR(INDEX(PP_Grid[#Data],M_BOM[PPGridRow],82),0))</f>
        <v/>
      </c>
      <c r="CE2">
        <f>SUMPRODUCT((M_BOM[RM_Code]=$A2)*M_BOM[RM_Qty_Per_Batch]*IFERROR(INDEX(PP_Grid[#Data],M_BOM[PPGridRow],83),0))</f>
        <v/>
      </c>
      <c r="CF2">
        <f>SUMPRODUCT((M_BOM[RM_Code]=$A2)*M_BOM[RM_Qty_Per_Batch]*IFERROR(INDEX(PP_Grid[#Data],M_BOM[PPGridRow],84),0))</f>
        <v/>
      </c>
      <c r="CG2">
        <f>SUMPRODUCT((M_BOM[RM_Code]=$A2)*M_BOM[RM_Qty_Per_Batch]*IFERROR(INDEX(PP_Grid[#Data],M_BOM[PPGridRow],85),0))</f>
        <v/>
      </c>
      <c r="CH2">
        <f>SUMPRODUCT((M_BOM[RM_Code]=$A2)*M_BOM[RM_Qty_Per_Batch]*IFERROR(INDEX(PP_Grid[#Data],M_BOM[PPGridRow],86),0))</f>
        <v/>
      </c>
      <c r="CI2">
        <f>SUMPRODUCT((M_BOM[RM_Code]=$A2)*M_BOM[RM_Qty_Per_Batch]*IFERROR(INDEX(PP_Grid[#Data],M_BOM[PPGridRow],87),0))</f>
        <v/>
      </c>
      <c r="CJ2">
        <f>SUMPRODUCT((M_BOM[RM_Code]=$A2)*M_BOM[RM_Qty_Per_Batch]*IFERROR(INDEX(PP_Grid[#Data],M_BOM[PPGridRow],88),0))</f>
        <v/>
      </c>
      <c r="CK2">
        <f>SUMPRODUCT((M_BOM[RM_Code]=$A2)*M_BOM[RM_Qty_Per_Batch]*IFERROR(INDEX(PP_Grid[#Data],M_BOM[PPGridRow],89),0))</f>
        <v/>
      </c>
      <c r="CL2">
        <f>SUMPRODUCT((M_BOM[RM_Code]=$A2)*M_BOM[RM_Qty_Per_Batch]*IFERROR(INDEX(PP_Grid[#Data],M_BOM[PPGridRow],90),0))</f>
        <v/>
      </c>
      <c r="CM2">
        <f>SUMPRODUCT((M_BOM[RM_Code]=$A2)*M_BOM[RM_Qty_Per_Batch]*IFERROR(INDEX(PP_Grid[#Data],M_BOM[PPGridRow],91),0))</f>
        <v/>
      </c>
      <c r="CN2">
        <f>SUMPRODUCT((M_BOM[RM_Code]=$A2)*M_BOM[RM_Qty_Per_Batch]*IFERROR(INDEX(PP_Grid[#Data],M_BOM[PPGridRow],92),0))</f>
        <v/>
      </c>
      <c r="CO2">
        <f>SUMPRODUCT((M_BOM[RM_Code]=$A2)*M_BOM[RM_Qty_Per_Batch]*IFERROR(INDEX(PP_Grid[#Data],M_BOM[PPGridRow],93),0))</f>
        <v/>
      </c>
      <c r="CP2">
        <f>SUMPRODUCT((M_BOM[RM_Code]=$A2)*M_BOM[RM_Qty_Per_Batch]*IFERROR(INDEX(PP_Grid[#Data],M_BOM[PPGridRow],94),0))</f>
        <v/>
      </c>
      <c r="CQ2">
        <f>SUMPRODUCT((M_BOM[RM_Code]=$A2)*M_BOM[RM_Qty_Per_Batch]*IFERROR(INDEX(PP_Grid[#Data],M_BOM[PPGridRow],95),0))</f>
        <v/>
      </c>
      <c r="CR2">
        <f>SUMPRODUCT((M_BOM[RM_Code]=$A2)*M_BOM[RM_Qty_Per_Batch]*IFERROR(INDEX(PP_Grid[#Data],M_BOM[PPGridRow],96),0))</f>
        <v/>
      </c>
      <c r="CS2">
        <f>SUMPRODUCT((M_BOM[RM_Code]=$A2)*M_BOM[RM_Qty_Per_Batch]*IFERROR(INDEX(PP_Grid[#Data],M_BOM[PPGridRow],97),0))</f>
        <v/>
      </c>
      <c r="CT2">
        <f>SUMPRODUCT((M_BOM[RM_Code]=$A2)*M_BOM[RM_Qty_Per_Batch]*IFERROR(INDEX(PP_Grid[#Data],M_BOM[PPGridRow],98),0))</f>
        <v/>
      </c>
      <c r="CU2">
        <f>SUMPRODUCT((M_BOM[RM_Code]=$A2)*M_BOM[RM_Qty_Per_Batch]*IFERROR(INDEX(PP_Grid[#Data],M_BOM[PPGridRow],99),0))</f>
        <v/>
      </c>
      <c r="CV2">
        <f>SUMPRODUCT((M_BOM[RM_Code]=$A2)*M_BOM[RM_Qty_Per_Batch]*IFERROR(INDEX(PP_Grid[#Data],M_BOM[PPGridRow],100),0))</f>
        <v/>
      </c>
      <c r="CW2">
        <f>SUMPRODUCT((M_BOM[RM_Code]=$A2)*M_BOM[RM_Qty_Per_Batch]*IFERROR(INDEX(PP_Grid[#Data],M_BOM[PPGridRow],101),0))</f>
        <v/>
      </c>
      <c r="CX2">
        <f>SUMPRODUCT((M_BOM[RM_Code]=$A2)*M_BOM[RM_Qty_Per_Batch]*IFERROR(INDEX(PP_Grid[#Data],M_BOM[PPGridRow],102),0))</f>
        <v/>
      </c>
      <c r="CY2">
        <f>SUMPRODUCT((M_BOM[RM_Code]=$A2)*M_BOM[RM_Qty_Per_Batch]*IFERROR(INDEX(PP_Grid[#Data],M_BOM[PPGridRow],103),0))</f>
        <v/>
      </c>
      <c r="CZ2">
        <f>SUMPRODUCT((M_BOM[RM_Code]=$A2)*M_BOM[RM_Qty_Per_Batch]*IFERROR(INDEX(PP_Grid[#Data],M_BOM[PPGridRow],104),0))</f>
        <v/>
      </c>
      <c r="DA2">
        <f>SUMPRODUCT((M_BOM[RM_Code]=$A2)*M_BOM[RM_Qty_Per_Batch]*IFERROR(INDEX(PP_Grid[#Data],M_BOM[PPGridRow],105),0))</f>
        <v/>
      </c>
    </row>
    <row r="3">
      <c r="A3" t="inlineStr">
        <is>
          <t>CHEM-1670</t>
        </is>
      </c>
      <c r="B3">
        <f>SUMPRODUCT((M_BOM[RM_Code]=$A3)*M_BOM[RM_Qty_Per_Batch]*IFERROR(INDEX(PP_Grid[#Data],M_BOM[PPGridRow],2),0))</f>
        <v/>
      </c>
      <c r="C3">
        <f>SUMPRODUCT((M_BOM[RM_Code]=$A3)*M_BOM[RM_Qty_Per_Batch]*IFERROR(INDEX(PP_Grid[#Data],M_BOM[PPGridRow],3),0))</f>
        <v/>
      </c>
      <c r="D3">
        <f>SUMPRODUCT((M_BOM[RM_Code]=$A3)*M_BOM[RM_Qty_Per_Batch]*IFERROR(INDEX(PP_Grid[#Data],M_BOM[PPGridRow],4),0))</f>
        <v/>
      </c>
      <c r="E3">
        <f>SUMPRODUCT((M_BOM[RM_Code]=$A3)*M_BOM[RM_Qty_Per_Batch]*IFERROR(INDEX(PP_Grid[#Data],M_BOM[PPGridRow],5),0))</f>
        <v/>
      </c>
      <c r="F3">
        <f>SUMPRODUCT((M_BOM[RM_Code]=$A3)*M_BOM[RM_Qty_Per_Batch]*IFERROR(INDEX(PP_Grid[#Data],M_BOM[PPGridRow],6),0))</f>
        <v/>
      </c>
      <c r="G3">
        <f>SUMPRODUCT((M_BOM[RM_Code]=$A3)*M_BOM[RM_Qty_Per_Batch]*IFERROR(INDEX(PP_Grid[#Data],M_BOM[PPGridRow],7),0))</f>
        <v/>
      </c>
      <c r="H3">
        <f>SUMPRODUCT((M_BOM[RM_Code]=$A3)*M_BOM[RM_Qty_Per_Batch]*IFERROR(INDEX(PP_Grid[#Data],M_BOM[PPGridRow],8),0))</f>
        <v/>
      </c>
      <c r="I3">
        <f>SUMPRODUCT((M_BOM[RM_Code]=$A3)*M_BOM[RM_Qty_Per_Batch]*IFERROR(INDEX(PP_Grid[#Data],M_BOM[PPGridRow],9),0))</f>
        <v/>
      </c>
      <c r="J3">
        <f>SUMPRODUCT((M_BOM[RM_Code]=$A3)*M_BOM[RM_Qty_Per_Batch]*IFERROR(INDEX(PP_Grid[#Data],M_BOM[PPGridRow],10),0))</f>
        <v/>
      </c>
      <c r="K3">
        <f>SUMPRODUCT((M_BOM[RM_Code]=$A3)*M_BOM[RM_Qty_Per_Batch]*IFERROR(INDEX(PP_Grid[#Data],M_BOM[PPGridRow],11),0))</f>
        <v/>
      </c>
      <c r="L3">
        <f>SUMPRODUCT((M_BOM[RM_Code]=$A3)*M_BOM[RM_Qty_Per_Batch]*IFERROR(INDEX(PP_Grid[#Data],M_BOM[PPGridRow],12),0))</f>
        <v/>
      </c>
      <c r="M3">
        <f>SUMPRODUCT((M_BOM[RM_Code]=$A3)*M_BOM[RM_Qty_Per_Batch]*IFERROR(INDEX(PP_Grid[#Data],M_BOM[PPGridRow],13),0))</f>
        <v/>
      </c>
      <c r="N3">
        <f>SUMPRODUCT((M_BOM[RM_Code]=$A3)*M_BOM[RM_Qty_Per_Batch]*IFERROR(INDEX(PP_Grid[#Data],M_BOM[PPGridRow],14),0))</f>
        <v/>
      </c>
      <c r="O3">
        <f>SUMPRODUCT((M_BOM[RM_Code]=$A3)*M_BOM[RM_Qty_Per_Batch]*IFERROR(INDEX(PP_Grid[#Data],M_BOM[PPGridRow],15),0))</f>
        <v/>
      </c>
      <c r="P3">
        <f>SUMPRODUCT((M_BOM[RM_Code]=$A3)*M_BOM[RM_Qty_Per_Batch]*IFERROR(INDEX(PP_Grid[#Data],M_BOM[PPGridRow],16),0))</f>
        <v/>
      </c>
      <c r="Q3">
        <f>SUMPRODUCT((M_BOM[RM_Code]=$A3)*M_BOM[RM_Qty_Per_Batch]*IFERROR(INDEX(PP_Grid[#Data],M_BOM[PPGridRow],17),0))</f>
        <v/>
      </c>
      <c r="R3">
        <f>SUMPRODUCT((M_BOM[RM_Code]=$A3)*M_BOM[RM_Qty_Per_Batch]*IFERROR(INDEX(PP_Grid[#Data],M_BOM[PPGridRow],18),0))</f>
        <v/>
      </c>
      <c r="S3">
        <f>SUMPRODUCT((M_BOM[RM_Code]=$A3)*M_BOM[RM_Qty_Per_Batch]*IFERROR(INDEX(PP_Grid[#Data],M_BOM[PPGridRow],19),0))</f>
        <v/>
      </c>
      <c r="T3">
        <f>SUMPRODUCT((M_BOM[RM_Code]=$A3)*M_BOM[RM_Qty_Per_Batch]*IFERROR(INDEX(PP_Grid[#Data],M_BOM[PPGridRow],20),0))</f>
        <v/>
      </c>
      <c r="U3">
        <f>SUMPRODUCT((M_BOM[RM_Code]=$A3)*M_BOM[RM_Qty_Per_Batch]*IFERROR(INDEX(PP_Grid[#Data],M_BOM[PPGridRow],21),0))</f>
        <v/>
      </c>
      <c r="V3">
        <f>SUMPRODUCT((M_BOM[RM_Code]=$A3)*M_BOM[RM_Qty_Per_Batch]*IFERROR(INDEX(PP_Grid[#Data],M_BOM[PPGridRow],22),0))</f>
        <v/>
      </c>
      <c r="W3">
        <f>SUMPRODUCT((M_BOM[RM_Code]=$A3)*M_BOM[RM_Qty_Per_Batch]*IFERROR(INDEX(PP_Grid[#Data],M_BOM[PPGridRow],23),0))</f>
        <v/>
      </c>
      <c r="X3">
        <f>SUMPRODUCT((M_BOM[RM_Code]=$A3)*M_BOM[RM_Qty_Per_Batch]*IFERROR(INDEX(PP_Grid[#Data],M_BOM[PPGridRow],24),0))</f>
        <v/>
      </c>
      <c r="Y3">
        <f>SUMPRODUCT((M_BOM[RM_Code]=$A3)*M_BOM[RM_Qty_Per_Batch]*IFERROR(INDEX(PP_Grid[#Data],M_BOM[PPGridRow],25),0))</f>
        <v/>
      </c>
      <c r="Z3">
        <f>SUMPRODUCT((M_BOM[RM_Code]=$A3)*M_BOM[RM_Qty_Per_Batch]*IFERROR(INDEX(PP_Grid[#Data],M_BOM[PPGridRow],26),0))</f>
        <v/>
      </c>
      <c r="AA3">
        <f>SUMPRODUCT((M_BOM[RM_Code]=$A3)*M_BOM[RM_Qty_Per_Batch]*IFERROR(INDEX(PP_Grid[#Data],M_BOM[PPGridRow],27),0))</f>
        <v/>
      </c>
      <c r="AB3">
        <f>SUMPRODUCT((M_BOM[RM_Code]=$A3)*M_BOM[RM_Qty_Per_Batch]*IFERROR(INDEX(PP_Grid[#Data],M_BOM[PPGridRow],28),0))</f>
        <v/>
      </c>
      <c r="AC3">
        <f>SUMPRODUCT((M_BOM[RM_Code]=$A3)*M_BOM[RM_Qty_Per_Batch]*IFERROR(INDEX(PP_Grid[#Data],M_BOM[PPGridRow],29),0))</f>
        <v/>
      </c>
      <c r="AD3">
        <f>SUMPRODUCT((M_BOM[RM_Code]=$A3)*M_BOM[RM_Qty_Per_Batch]*IFERROR(INDEX(PP_Grid[#Data],M_BOM[PPGridRow],30),0))</f>
        <v/>
      </c>
      <c r="AE3">
        <f>SUMPRODUCT((M_BOM[RM_Code]=$A3)*M_BOM[RM_Qty_Per_Batch]*IFERROR(INDEX(PP_Grid[#Data],M_BOM[PPGridRow],31),0))</f>
        <v/>
      </c>
      <c r="AF3">
        <f>SUMPRODUCT((M_BOM[RM_Code]=$A3)*M_BOM[RM_Qty_Per_Batch]*IFERROR(INDEX(PP_Grid[#Data],M_BOM[PPGridRow],32),0))</f>
        <v/>
      </c>
      <c r="AG3">
        <f>SUMPRODUCT((M_BOM[RM_Code]=$A3)*M_BOM[RM_Qty_Per_Batch]*IFERROR(INDEX(PP_Grid[#Data],M_BOM[PPGridRow],33),0))</f>
        <v/>
      </c>
      <c r="AH3">
        <f>SUMPRODUCT((M_BOM[RM_Code]=$A3)*M_BOM[RM_Qty_Per_Batch]*IFERROR(INDEX(PP_Grid[#Data],M_BOM[PPGridRow],34),0))</f>
        <v/>
      </c>
      <c r="AI3">
        <f>SUMPRODUCT((M_BOM[RM_Code]=$A3)*M_BOM[RM_Qty_Per_Batch]*IFERROR(INDEX(PP_Grid[#Data],M_BOM[PPGridRow],35),0))</f>
        <v/>
      </c>
      <c r="AJ3">
        <f>SUMPRODUCT((M_BOM[RM_Code]=$A3)*M_BOM[RM_Qty_Per_Batch]*IFERROR(INDEX(PP_Grid[#Data],M_BOM[PPGridRow],36),0))</f>
        <v/>
      </c>
      <c r="AK3">
        <f>SUMPRODUCT((M_BOM[RM_Code]=$A3)*M_BOM[RM_Qty_Per_Batch]*IFERROR(INDEX(PP_Grid[#Data],M_BOM[PPGridRow],37),0))</f>
        <v/>
      </c>
      <c r="AL3">
        <f>SUMPRODUCT((M_BOM[RM_Code]=$A3)*M_BOM[RM_Qty_Per_Batch]*IFERROR(INDEX(PP_Grid[#Data],M_BOM[PPGridRow],38),0))</f>
        <v/>
      </c>
      <c r="AM3">
        <f>SUMPRODUCT((M_BOM[RM_Code]=$A3)*M_BOM[RM_Qty_Per_Batch]*IFERROR(INDEX(PP_Grid[#Data],M_BOM[PPGridRow],39),0))</f>
        <v/>
      </c>
      <c r="AN3">
        <f>SUMPRODUCT((M_BOM[RM_Code]=$A3)*M_BOM[RM_Qty_Per_Batch]*IFERROR(INDEX(PP_Grid[#Data],M_BOM[PPGridRow],40),0))</f>
        <v/>
      </c>
      <c r="AO3">
        <f>SUMPRODUCT((M_BOM[RM_Code]=$A3)*M_BOM[RM_Qty_Per_Batch]*IFERROR(INDEX(PP_Grid[#Data],M_BOM[PPGridRow],41),0))</f>
        <v/>
      </c>
      <c r="AP3">
        <f>SUMPRODUCT((M_BOM[RM_Code]=$A3)*M_BOM[RM_Qty_Per_Batch]*IFERROR(INDEX(PP_Grid[#Data],M_BOM[PPGridRow],42),0))</f>
        <v/>
      </c>
      <c r="AQ3">
        <f>SUMPRODUCT((M_BOM[RM_Code]=$A3)*M_BOM[RM_Qty_Per_Batch]*IFERROR(INDEX(PP_Grid[#Data],M_BOM[PPGridRow],43),0))</f>
        <v/>
      </c>
      <c r="AR3">
        <f>SUMPRODUCT((M_BOM[RM_Code]=$A3)*M_BOM[RM_Qty_Per_Batch]*IFERROR(INDEX(PP_Grid[#Data],M_BOM[PPGridRow],44),0))</f>
        <v/>
      </c>
      <c r="AS3">
        <f>SUMPRODUCT((M_BOM[RM_Code]=$A3)*M_BOM[RM_Qty_Per_Batch]*IFERROR(INDEX(PP_Grid[#Data],M_BOM[PPGridRow],45),0))</f>
        <v/>
      </c>
      <c r="AT3">
        <f>SUMPRODUCT((M_BOM[RM_Code]=$A3)*M_BOM[RM_Qty_Per_Batch]*IFERROR(INDEX(PP_Grid[#Data],M_BOM[PPGridRow],46),0))</f>
        <v/>
      </c>
      <c r="AU3">
        <f>SUMPRODUCT((M_BOM[RM_Code]=$A3)*M_BOM[RM_Qty_Per_Batch]*IFERROR(INDEX(PP_Grid[#Data],M_BOM[PPGridRow],47),0))</f>
        <v/>
      </c>
      <c r="AV3">
        <f>SUMPRODUCT((M_BOM[RM_Code]=$A3)*M_BOM[RM_Qty_Per_Batch]*IFERROR(INDEX(PP_Grid[#Data],M_BOM[PPGridRow],48),0))</f>
        <v/>
      </c>
      <c r="AW3">
        <f>SUMPRODUCT((M_BOM[RM_Code]=$A3)*M_BOM[RM_Qty_Per_Batch]*IFERROR(INDEX(PP_Grid[#Data],M_BOM[PPGridRow],49),0))</f>
        <v/>
      </c>
      <c r="AX3">
        <f>SUMPRODUCT((M_BOM[RM_Code]=$A3)*M_BOM[RM_Qty_Per_Batch]*IFERROR(INDEX(PP_Grid[#Data],M_BOM[PPGridRow],50),0))</f>
        <v/>
      </c>
      <c r="AY3">
        <f>SUMPRODUCT((M_BOM[RM_Code]=$A3)*M_BOM[RM_Qty_Per_Batch]*IFERROR(INDEX(PP_Grid[#Data],M_BOM[PPGridRow],51),0))</f>
        <v/>
      </c>
      <c r="AZ3">
        <f>SUMPRODUCT((M_BOM[RM_Code]=$A3)*M_BOM[RM_Qty_Per_Batch]*IFERROR(INDEX(PP_Grid[#Data],M_BOM[PPGridRow],52),0))</f>
        <v/>
      </c>
      <c r="BA3">
        <f>SUMPRODUCT((M_BOM[RM_Code]=$A3)*M_BOM[RM_Qty_Per_Batch]*IFERROR(INDEX(PP_Grid[#Data],M_BOM[PPGridRow],53),0))</f>
        <v/>
      </c>
      <c r="BB3">
        <f>SUMPRODUCT((M_BOM[RM_Code]=$A3)*M_BOM[RM_Qty_Per_Batch]*IFERROR(INDEX(PP_Grid[#Data],M_BOM[PPGridRow],54),0))</f>
        <v/>
      </c>
      <c r="BC3">
        <f>SUMPRODUCT((M_BOM[RM_Code]=$A3)*M_BOM[RM_Qty_Per_Batch]*IFERROR(INDEX(PP_Grid[#Data],M_BOM[PPGridRow],55),0))</f>
        <v/>
      </c>
      <c r="BD3">
        <f>SUMPRODUCT((M_BOM[RM_Code]=$A3)*M_BOM[RM_Qty_Per_Batch]*IFERROR(INDEX(PP_Grid[#Data],M_BOM[PPGridRow],56),0))</f>
        <v/>
      </c>
      <c r="BE3">
        <f>SUMPRODUCT((M_BOM[RM_Code]=$A3)*M_BOM[RM_Qty_Per_Batch]*IFERROR(INDEX(PP_Grid[#Data],M_BOM[PPGridRow],57),0))</f>
        <v/>
      </c>
      <c r="BF3">
        <f>SUMPRODUCT((M_BOM[RM_Code]=$A3)*M_BOM[RM_Qty_Per_Batch]*IFERROR(INDEX(PP_Grid[#Data],M_BOM[PPGridRow],58),0))</f>
        <v/>
      </c>
      <c r="BG3">
        <f>SUMPRODUCT((M_BOM[RM_Code]=$A3)*M_BOM[RM_Qty_Per_Batch]*IFERROR(INDEX(PP_Grid[#Data],M_BOM[PPGridRow],59),0))</f>
        <v/>
      </c>
      <c r="BH3">
        <f>SUMPRODUCT((M_BOM[RM_Code]=$A3)*M_BOM[RM_Qty_Per_Batch]*IFERROR(INDEX(PP_Grid[#Data],M_BOM[PPGridRow],60),0))</f>
        <v/>
      </c>
      <c r="BI3">
        <f>SUMPRODUCT((M_BOM[RM_Code]=$A3)*M_BOM[RM_Qty_Per_Batch]*IFERROR(INDEX(PP_Grid[#Data],M_BOM[PPGridRow],61),0))</f>
        <v/>
      </c>
      <c r="BJ3">
        <f>SUMPRODUCT((M_BOM[RM_Code]=$A3)*M_BOM[RM_Qty_Per_Batch]*IFERROR(INDEX(PP_Grid[#Data],M_BOM[PPGridRow],62),0))</f>
        <v/>
      </c>
      <c r="BK3">
        <f>SUMPRODUCT((M_BOM[RM_Code]=$A3)*M_BOM[RM_Qty_Per_Batch]*IFERROR(INDEX(PP_Grid[#Data],M_BOM[PPGridRow],63),0))</f>
        <v/>
      </c>
      <c r="BL3">
        <f>SUMPRODUCT((M_BOM[RM_Code]=$A3)*M_BOM[RM_Qty_Per_Batch]*IFERROR(INDEX(PP_Grid[#Data],M_BOM[PPGridRow],64),0))</f>
        <v/>
      </c>
      <c r="BM3">
        <f>SUMPRODUCT((M_BOM[RM_Code]=$A3)*M_BOM[RM_Qty_Per_Batch]*IFERROR(INDEX(PP_Grid[#Data],M_BOM[PPGridRow],65),0))</f>
        <v/>
      </c>
      <c r="BN3">
        <f>SUMPRODUCT((M_BOM[RM_Code]=$A3)*M_BOM[RM_Qty_Per_Batch]*IFERROR(INDEX(PP_Grid[#Data],M_BOM[PPGridRow],66),0))</f>
        <v/>
      </c>
      <c r="BO3">
        <f>SUMPRODUCT((M_BOM[RM_Code]=$A3)*M_BOM[RM_Qty_Per_Batch]*IFERROR(INDEX(PP_Grid[#Data],M_BOM[PPGridRow],67),0))</f>
        <v/>
      </c>
      <c r="BP3">
        <f>SUMPRODUCT((M_BOM[RM_Code]=$A3)*M_BOM[RM_Qty_Per_Batch]*IFERROR(INDEX(PP_Grid[#Data],M_BOM[PPGridRow],68),0))</f>
        <v/>
      </c>
      <c r="BQ3">
        <f>SUMPRODUCT((M_BOM[RM_Code]=$A3)*M_BOM[RM_Qty_Per_Batch]*IFERROR(INDEX(PP_Grid[#Data],M_BOM[PPGridRow],69),0))</f>
        <v/>
      </c>
      <c r="BR3">
        <f>SUMPRODUCT((M_BOM[RM_Code]=$A3)*M_BOM[RM_Qty_Per_Batch]*IFERROR(INDEX(PP_Grid[#Data],M_BOM[PPGridRow],70),0))</f>
        <v/>
      </c>
      <c r="BS3">
        <f>SUMPRODUCT((M_BOM[RM_Code]=$A3)*M_BOM[RM_Qty_Per_Batch]*IFERROR(INDEX(PP_Grid[#Data],M_BOM[PPGridRow],71),0))</f>
        <v/>
      </c>
      <c r="BT3">
        <f>SUMPRODUCT((M_BOM[RM_Code]=$A3)*M_BOM[RM_Qty_Per_Batch]*IFERROR(INDEX(PP_Grid[#Data],M_BOM[PPGridRow],72),0))</f>
        <v/>
      </c>
      <c r="BU3">
        <f>SUMPRODUCT((M_BOM[RM_Code]=$A3)*M_BOM[RM_Qty_Per_Batch]*IFERROR(INDEX(PP_Grid[#Data],M_BOM[PPGridRow],73),0))</f>
        <v/>
      </c>
      <c r="BV3">
        <f>SUMPRODUCT((M_BOM[RM_Code]=$A3)*M_BOM[RM_Qty_Per_Batch]*IFERROR(INDEX(PP_Grid[#Data],M_BOM[PPGridRow],74),0))</f>
        <v/>
      </c>
      <c r="BW3">
        <f>SUMPRODUCT((M_BOM[RM_Code]=$A3)*M_BOM[RM_Qty_Per_Batch]*IFERROR(INDEX(PP_Grid[#Data],M_BOM[PPGridRow],75),0))</f>
        <v/>
      </c>
      <c r="BX3">
        <f>SUMPRODUCT((M_BOM[RM_Code]=$A3)*M_BOM[RM_Qty_Per_Batch]*IFERROR(INDEX(PP_Grid[#Data],M_BOM[PPGridRow],76),0))</f>
        <v/>
      </c>
      <c r="BY3">
        <f>SUMPRODUCT((M_BOM[RM_Code]=$A3)*M_BOM[RM_Qty_Per_Batch]*IFERROR(INDEX(PP_Grid[#Data],M_BOM[PPGridRow],77),0))</f>
        <v/>
      </c>
      <c r="BZ3">
        <f>SUMPRODUCT((M_BOM[RM_Code]=$A3)*M_BOM[RM_Qty_Per_Batch]*IFERROR(INDEX(PP_Grid[#Data],M_BOM[PPGridRow],78),0))</f>
        <v/>
      </c>
      <c r="CA3">
        <f>SUMPRODUCT((M_BOM[RM_Code]=$A3)*M_BOM[RM_Qty_Per_Batch]*IFERROR(INDEX(PP_Grid[#Data],M_BOM[PPGridRow],79),0))</f>
        <v/>
      </c>
      <c r="CB3">
        <f>SUMPRODUCT((M_BOM[RM_Code]=$A3)*M_BOM[RM_Qty_Per_Batch]*IFERROR(INDEX(PP_Grid[#Data],M_BOM[PPGridRow],80),0))</f>
        <v/>
      </c>
      <c r="CC3">
        <f>SUMPRODUCT((M_BOM[RM_Code]=$A3)*M_BOM[RM_Qty_Per_Batch]*IFERROR(INDEX(PP_Grid[#Data],M_BOM[PPGridRow],81),0))</f>
        <v/>
      </c>
      <c r="CD3">
        <f>SUMPRODUCT((M_BOM[RM_Code]=$A3)*M_BOM[RM_Qty_Per_Batch]*IFERROR(INDEX(PP_Grid[#Data],M_BOM[PPGridRow],82),0))</f>
        <v/>
      </c>
      <c r="CE3">
        <f>SUMPRODUCT((M_BOM[RM_Code]=$A3)*M_BOM[RM_Qty_Per_Batch]*IFERROR(INDEX(PP_Grid[#Data],M_BOM[PPGridRow],83),0))</f>
        <v/>
      </c>
      <c r="CF3">
        <f>SUMPRODUCT((M_BOM[RM_Code]=$A3)*M_BOM[RM_Qty_Per_Batch]*IFERROR(INDEX(PP_Grid[#Data],M_BOM[PPGridRow],84),0))</f>
        <v/>
      </c>
      <c r="CG3">
        <f>SUMPRODUCT((M_BOM[RM_Code]=$A3)*M_BOM[RM_Qty_Per_Batch]*IFERROR(INDEX(PP_Grid[#Data],M_BOM[PPGridRow],85),0))</f>
        <v/>
      </c>
      <c r="CH3">
        <f>SUMPRODUCT((M_BOM[RM_Code]=$A3)*M_BOM[RM_Qty_Per_Batch]*IFERROR(INDEX(PP_Grid[#Data],M_BOM[PPGridRow],86),0))</f>
        <v/>
      </c>
      <c r="CI3">
        <f>SUMPRODUCT((M_BOM[RM_Code]=$A3)*M_BOM[RM_Qty_Per_Batch]*IFERROR(INDEX(PP_Grid[#Data],M_BOM[PPGridRow],87),0))</f>
        <v/>
      </c>
      <c r="CJ3">
        <f>SUMPRODUCT((M_BOM[RM_Code]=$A3)*M_BOM[RM_Qty_Per_Batch]*IFERROR(INDEX(PP_Grid[#Data],M_BOM[PPGridRow],88),0))</f>
        <v/>
      </c>
      <c r="CK3">
        <f>SUMPRODUCT((M_BOM[RM_Code]=$A3)*M_BOM[RM_Qty_Per_Batch]*IFERROR(INDEX(PP_Grid[#Data],M_BOM[PPGridRow],89),0))</f>
        <v/>
      </c>
      <c r="CL3">
        <f>SUMPRODUCT((M_BOM[RM_Code]=$A3)*M_BOM[RM_Qty_Per_Batch]*IFERROR(INDEX(PP_Grid[#Data],M_BOM[PPGridRow],90),0))</f>
        <v/>
      </c>
      <c r="CM3">
        <f>SUMPRODUCT((M_BOM[RM_Code]=$A3)*M_BOM[RM_Qty_Per_Batch]*IFERROR(INDEX(PP_Grid[#Data],M_BOM[PPGridRow],91),0))</f>
        <v/>
      </c>
      <c r="CN3">
        <f>SUMPRODUCT((M_BOM[RM_Code]=$A3)*M_BOM[RM_Qty_Per_Batch]*IFERROR(INDEX(PP_Grid[#Data],M_BOM[PPGridRow],92),0))</f>
        <v/>
      </c>
      <c r="CO3">
        <f>SUMPRODUCT((M_BOM[RM_Code]=$A3)*M_BOM[RM_Qty_Per_Batch]*IFERROR(INDEX(PP_Grid[#Data],M_BOM[PPGridRow],93),0))</f>
        <v/>
      </c>
      <c r="CP3">
        <f>SUMPRODUCT((M_BOM[RM_Code]=$A3)*M_BOM[RM_Qty_Per_Batch]*IFERROR(INDEX(PP_Grid[#Data],M_BOM[PPGridRow],94),0))</f>
        <v/>
      </c>
      <c r="CQ3">
        <f>SUMPRODUCT((M_BOM[RM_Code]=$A3)*M_BOM[RM_Qty_Per_Batch]*IFERROR(INDEX(PP_Grid[#Data],M_BOM[PPGridRow],95),0))</f>
        <v/>
      </c>
      <c r="CR3">
        <f>SUMPRODUCT((M_BOM[RM_Code]=$A3)*M_BOM[RM_Qty_Per_Batch]*IFERROR(INDEX(PP_Grid[#Data],M_BOM[PPGridRow],96),0))</f>
        <v/>
      </c>
      <c r="CS3">
        <f>SUMPRODUCT((M_BOM[RM_Code]=$A3)*M_BOM[RM_Qty_Per_Batch]*IFERROR(INDEX(PP_Grid[#Data],M_BOM[PPGridRow],97),0))</f>
        <v/>
      </c>
      <c r="CT3">
        <f>SUMPRODUCT((M_BOM[RM_Code]=$A3)*M_BOM[RM_Qty_Per_Batch]*IFERROR(INDEX(PP_Grid[#Data],M_BOM[PPGridRow],98),0))</f>
        <v/>
      </c>
      <c r="CU3">
        <f>SUMPRODUCT((M_BOM[RM_Code]=$A3)*M_BOM[RM_Qty_Per_Batch]*IFERROR(INDEX(PP_Grid[#Data],M_BOM[PPGridRow],99),0))</f>
        <v/>
      </c>
      <c r="CV3">
        <f>SUMPRODUCT((M_BOM[RM_Code]=$A3)*M_BOM[RM_Qty_Per_Batch]*IFERROR(INDEX(PP_Grid[#Data],M_BOM[PPGridRow],100),0))</f>
        <v/>
      </c>
      <c r="CW3">
        <f>SUMPRODUCT((M_BOM[RM_Code]=$A3)*M_BOM[RM_Qty_Per_Batch]*IFERROR(INDEX(PP_Grid[#Data],M_BOM[PPGridRow],101),0))</f>
        <v/>
      </c>
      <c r="CX3">
        <f>SUMPRODUCT((M_BOM[RM_Code]=$A3)*M_BOM[RM_Qty_Per_Batch]*IFERROR(INDEX(PP_Grid[#Data],M_BOM[PPGridRow],102),0))</f>
        <v/>
      </c>
      <c r="CY3">
        <f>SUMPRODUCT((M_BOM[RM_Code]=$A3)*M_BOM[RM_Qty_Per_Batch]*IFERROR(INDEX(PP_Grid[#Data],M_BOM[PPGridRow],103),0))</f>
        <v/>
      </c>
      <c r="CZ3">
        <f>SUMPRODUCT((M_BOM[RM_Code]=$A3)*M_BOM[RM_Qty_Per_Batch]*IFERROR(INDEX(PP_Grid[#Data],M_BOM[PPGridRow],104),0))</f>
        <v/>
      </c>
      <c r="DA3">
        <f>SUMPRODUCT((M_BOM[RM_Code]=$A3)*M_BOM[RM_Qty_Per_Batch]*IFERROR(INDEX(PP_Grid[#Data],M_BOM[PPGridRow],105),0))</f>
        <v/>
      </c>
    </row>
    <row r="4">
      <c r="A4" t="inlineStr">
        <is>
          <t>CHEM-1700</t>
        </is>
      </c>
      <c r="B4">
        <f>SUMPRODUCT((M_BOM[RM_Code]=$A4)*M_BOM[RM_Qty_Per_Batch]*IFERROR(INDEX(PP_Grid[#Data],M_BOM[PPGridRow],2),0))</f>
        <v/>
      </c>
      <c r="C4">
        <f>SUMPRODUCT((M_BOM[RM_Code]=$A4)*M_BOM[RM_Qty_Per_Batch]*IFERROR(INDEX(PP_Grid[#Data],M_BOM[PPGridRow],3),0))</f>
        <v/>
      </c>
      <c r="D4">
        <f>SUMPRODUCT((M_BOM[RM_Code]=$A4)*M_BOM[RM_Qty_Per_Batch]*IFERROR(INDEX(PP_Grid[#Data],M_BOM[PPGridRow],4),0))</f>
        <v/>
      </c>
      <c r="E4">
        <f>SUMPRODUCT((M_BOM[RM_Code]=$A4)*M_BOM[RM_Qty_Per_Batch]*IFERROR(INDEX(PP_Grid[#Data],M_BOM[PPGridRow],5),0))</f>
        <v/>
      </c>
      <c r="F4">
        <f>SUMPRODUCT((M_BOM[RM_Code]=$A4)*M_BOM[RM_Qty_Per_Batch]*IFERROR(INDEX(PP_Grid[#Data],M_BOM[PPGridRow],6),0))</f>
        <v/>
      </c>
      <c r="G4">
        <f>SUMPRODUCT((M_BOM[RM_Code]=$A4)*M_BOM[RM_Qty_Per_Batch]*IFERROR(INDEX(PP_Grid[#Data],M_BOM[PPGridRow],7),0))</f>
        <v/>
      </c>
      <c r="H4">
        <f>SUMPRODUCT((M_BOM[RM_Code]=$A4)*M_BOM[RM_Qty_Per_Batch]*IFERROR(INDEX(PP_Grid[#Data],M_BOM[PPGridRow],8),0))</f>
        <v/>
      </c>
      <c r="I4">
        <f>SUMPRODUCT((M_BOM[RM_Code]=$A4)*M_BOM[RM_Qty_Per_Batch]*IFERROR(INDEX(PP_Grid[#Data],M_BOM[PPGridRow],9),0))</f>
        <v/>
      </c>
      <c r="J4">
        <f>SUMPRODUCT((M_BOM[RM_Code]=$A4)*M_BOM[RM_Qty_Per_Batch]*IFERROR(INDEX(PP_Grid[#Data],M_BOM[PPGridRow],10),0))</f>
        <v/>
      </c>
      <c r="K4">
        <f>SUMPRODUCT((M_BOM[RM_Code]=$A4)*M_BOM[RM_Qty_Per_Batch]*IFERROR(INDEX(PP_Grid[#Data],M_BOM[PPGridRow],11),0))</f>
        <v/>
      </c>
      <c r="L4">
        <f>SUMPRODUCT((M_BOM[RM_Code]=$A4)*M_BOM[RM_Qty_Per_Batch]*IFERROR(INDEX(PP_Grid[#Data],M_BOM[PPGridRow],12),0))</f>
        <v/>
      </c>
      <c r="M4">
        <f>SUMPRODUCT((M_BOM[RM_Code]=$A4)*M_BOM[RM_Qty_Per_Batch]*IFERROR(INDEX(PP_Grid[#Data],M_BOM[PPGridRow],13),0))</f>
        <v/>
      </c>
      <c r="N4">
        <f>SUMPRODUCT((M_BOM[RM_Code]=$A4)*M_BOM[RM_Qty_Per_Batch]*IFERROR(INDEX(PP_Grid[#Data],M_BOM[PPGridRow],14),0))</f>
        <v/>
      </c>
      <c r="O4">
        <f>SUMPRODUCT((M_BOM[RM_Code]=$A4)*M_BOM[RM_Qty_Per_Batch]*IFERROR(INDEX(PP_Grid[#Data],M_BOM[PPGridRow],15),0))</f>
        <v/>
      </c>
      <c r="P4">
        <f>SUMPRODUCT((M_BOM[RM_Code]=$A4)*M_BOM[RM_Qty_Per_Batch]*IFERROR(INDEX(PP_Grid[#Data],M_BOM[PPGridRow],16),0))</f>
        <v/>
      </c>
      <c r="Q4">
        <f>SUMPRODUCT((M_BOM[RM_Code]=$A4)*M_BOM[RM_Qty_Per_Batch]*IFERROR(INDEX(PP_Grid[#Data],M_BOM[PPGridRow],17),0))</f>
        <v/>
      </c>
      <c r="R4">
        <f>SUMPRODUCT((M_BOM[RM_Code]=$A4)*M_BOM[RM_Qty_Per_Batch]*IFERROR(INDEX(PP_Grid[#Data],M_BOM[PPGridRow],18),0))</f>
        <v/>
      </c>
      <c r="S4">
        <f>SUMPRODUCT((M_BOM[RM_Code]=$A4)*M_BOM[RM_Qty_Per_Batch]*IFERROR(INDEX(PP_Grid[#Data],M_BOM[PPGridRow],19),0))</f>
        <v/>
      </c>
      <c r="T4">
        <f>SUMPRODUCT((M_BOM[RM_Code]=$A4)*M_BOM[RM_Qty_Per_Batch]*IFERROR(INDEX(PP_Grid[#Data],M_BOM[PPGridRow],20),0))</f>
        <v/>
      </c>
      <c r="U4">
        <f>SUMPRODUCT((M_BOM[RM_Code]=$A4)*M_BOM[RM_Qty_Per_Batch]*IFERROR(INDEX(PP_Grid[#Data],M_BOM[PPGridRow],21),0))</f>
        <v/>
      </c>
      <c r="V4">
        <f>SUMPRODUCT((M_BOM[RM_Code]=$A4)*M_BOM[RM_Qty_Per_Batch]*IFERROR(INDEX(PP_Grid[#Data],M_BOM[PPGridRow],22),0))</f>
        <v/>
      </c>
      <c r="W4">
        <f>SUMPRODUCT((M_BOM[RM_Code]=$A4)*M_BOM[RM_Qty_Per_Batch]*IFERROR(INDEX(PP_Grid[#Data],M_BOM[PPGridRow],23),0))</f>
        <v/>
      </c>
      <c r="X4">
        <f>SUMPRODUCT((M_BOM[RM_Code]=$A4)*M_BOM[RM_Qty_Per_Batch]*IFERROR(INDEX(PP_Grid[#Data],M_BOM[PPGridRow],24),0))</f>
        <v/>
      </c>
      <c r="Y4">
        <f>SUMPRODUCT((M_BOM[RM_Code]=$A4)*M_BOM[RM_Qty_Per_Batch]*IFERROR(INDEX(PP_Grid[#Data],M_BOM[PPGridRow],25),0))</f>
        <v/>
      </c>
      <c r="Z4">
        <f>SUMPRODUCT((M_BOM[RM_Code]=$A4)*M_BOM[RM_Qty_Per_Batch]*IFERROR(INDEX(PP_Grid[#Data],M_BOM[PPGridRow],26),0))</f>
        <v/>
      </c>
      <c r="AA4">
        <f>SUMPRODUCT((M_BOM[RM_Code]=$A4)*M_BOM[RM_Qty_Per_Batch]*IFERROR(INDEX(PP_Grid[#Data],M_BOM[PPGridRow],27),0))</f>
        <v/>
      </c>
      <c r="AB4">
        <f>SUMPRODUCT((M_BOM[RM_Code]=$A4)*M_BOM[RM_Qty_Per_Batch]*IFERROR(INDEX(PP_Grid[#Data],M_BOM[PPGridRow],28),0))</f>
        <v/>
      </c>
      <c r="AC4">
        <f>SUMPRODUCT((M_BOM[RM_Code]=$A4)*M_BOM[RM_Qty_Per_Batch]*IFERROR(INDEX(PP_Grid[#Data],M_BOM[PPGridRow],29),0))</f>
        <v/>
      </c>
      <c r="AD4">
        <f>SUMPRODUCT((M_BOM[RM_Code]=$A4)*M_BOM[RM_Qty_Per_Batch]*IFERROR(INDEX(PP_Grid[#Data],M_BOM[PPGridRow],30),0))</f>
        <v/>
      </c>
      <c r="AE4">
        <f>SUMPRODUCT((M_BOM[RM_Code]=$A4)*M_BOM[RM_Qty_Per_Batch]*IFERROR(INDEX(PP_Grid[#Data],M_BOM[PPGridRow],31),0))</f>
        <v/>
      </c>
      <c r="AF4">
        <f>SUMPRODUCT((M_BOM[RM_Code]=$A4)*M_BOM[RM_Qty_Per_Batch]*IFERROR(INDEX(PP_Grid[#Data],M_BOM[PPGridRow],32),0))</f>
        <v/>
      </c>
      <c r="AG4">
        <f>SUMPRODUCT((M_BOM[RM_Code]=$A4)*M_BOM[RM_Qty_Per_Batch]*IFERROR(INDEX(PP_Grid[#Data],M_BOM[PPGridRow],33),0))</f>
        <v/>
      </c>
      <c r="AH4">
        <f>SUMPRODUCT((M_BOM[RM_Code]=$A4)*M_BOM[RM_Qty_Per_Batch]*IFERROR(INDEX(PP_Grid[#Data],M_BOM[PPGridRow],34),0))</f>
        <v/>
      </c>
      <c r="AI4">
        <f>SUMPRODUCT((M_BOM[RM_Code]=$A4)*M_BOM[RM_Qty_Per_Batch]*IFERROR(INDEX(PP_Grid[#Data],M_BOM[PPGridRow],35),0))</f>
        <v/>
      </c>
      <c r="AJ4">
        <f>SUMPRODUCT((M_BOM[RM_Code]=$A4)*M_BOM[RM_Qty_Per_Batch]*IFERROR(INDEX(PP_Grid[#Data],M_BOM[PPGridRow],36),0))</f>
        <v/>
      </c>
      <c r="AK4">
        <f>SUMPRODUCT((M_BOM[RM_Code]=$A4)*M_BOM[RM_Qty_Per_Batch]*IFERROR(INDEX(PP_Grid[#Data],M_BOM[PPGridRow],37),0))</f>
        <v/>
      </c>
      <c r="AL4">
        <f>SUMPRODUCT((M_BOM[RM_Code]=$A4)*M_BOM[RM_Qty_Per_Batch]*IFERROR(INDEX(PP_Grid[#Data],M_BOM[PPGridRow],38),0))</f>
        <v/>
      </c>
      <c r="AM4">
        <f>SUMPRODUCT((M_BOM[RM_Code]=$A4)*M_BOM[RM_Qty_Per_Batch]*IFERROR(INDEX(PP_Grid[#Data],M_BOM[PPGridRow],39),0))</f>
        <v/>
      </c>
      <c r="AN4">
        <f>SUMPRODUCT((M_BOM[RM_Code]=$A4)*M_BOM[RM_Qty_Per_Batch]*IFERROR(INDEX(PP_Grid[#Data],M_BOM[PPGridRow],40),0))</f>
        <v/>
      </c>
      <c r="AO4">
        <f>SUMPRODUCT((M_BOM[RM_Code]=$A4)*M_BOM[RM_Qty_Per_Batch]*IFERROR(INDEX(PP_Grid[#Data],M_BOM[PPGridRow],41),0))</f>
        <v/>
      </c>
      <c r="AP4">
        <f>SUMPRODUCT((M_BOM[RM_Code]=$A4)*M_BOM[RM_Qty_Per_Batch]*IFERROR(INDEX(PP_Grid[#Data],M_BOM[PPGridRow],42),0))</f>
        <v/>
      </c>
      <c r="AQ4">
        <f>SUMPRODUCT((M_BOM[RM_Code]=$A4)*M_BOM[RM_Qty_Per_Batch]*IFERROR(INDEX(PP_Grid[#Data],M_BOM[PPGridRow],43),0))</f>
        <v/>
      </c>
      <c r="AR4">
        <f>SUMPRODUCT((M_BOM[RM_Code]=$A4)*M_BOM[RM_Qty_Per_Batch]*IFERROR(INDEX(PP_Grid[#Data],M_BOM[PPGridRow],44),0))</f>
        <v/>
      </c>
      <c r="AS4">
        <f>SUMPRODUCT((M_BOM[RM_Code]=$A4)*M_BOM[RM_Qty_Per_Batch]*IFERROR(INDEX(PP_Grid[#Data],M_BOM[PPGridRow],45),0))</f>
        <v/>
      </c>
      <c r="AT4">
        <f>SUMPRODUCT((M_BOM[RM_Code]=$A4)*M_BOM[RM_Qty_Per_Batch]*IFERROR(INDEX(PP_Grid[#Data],M_BOM[PPGridRow],46),0))</f>
        <v/>
      </c>
      <c r="AU4">
        <f>SUMPRODUCT((M_BOM[RM_Code]=$A4)*M_BOM[RM_Qty_Per_Batch]*IFERROR(INDEX(PP_Grid[#Data],M_BOM[PPGridRow],47),0))</f>
        <v/>
      </c>
      <c r="AV4">
        <f>SUMPRODUCT((M_BOM[RM_Code]=$A4)*M_BOM[RM_Qty_Per_Batch]*IFERROR(INDEX(PP_Grid[#Data],M_BOM[PPGridRow],48),0))</f>
        <v/>
      </c>
      <c r="AW4">
        <f>SUMPRODUCT((M_BOM[RM_Code]=$A4)*M_BOM[RM_Qty_Per_Batch]*IFERROR(INDEX(PP_Grid[#Data],M_BOM[PPGridRow],49),0))</f>
        <v/>
      </c>
      <c r="AX4">
        <f>SUMPRODUCT((M_BOM[RM_Code]=$A4)*M_BOM[RM_Qty_Per_Batch]*IFERROR(INDEX(PP_Grid[#Data],M_BOM[PPGridRow],50),0))</f>
        <v/>
      </c>
      <c r="AY4">
        <f>SUMPRODUCT((M_BOM[RM_Code]=$A4)*M_BOM[RM_Qty_Per_Batch]*IFERROR(INDEX(PP_Grid[#Data],M_BOM[PPGridRow],51),0))</f>
        <v/>
      </c>
      <c r="AZ4">
        <f>SUMPRODUCT((M_BOM[RM_Code]=$A4)*M_BOM[RM_Qty_Per_Batch]*IFERROR(INDEX(PP_Grid[#Data],M_BOM[PPGridRow],52),0))</f>
        <v/>
      </c>
      <c r="BA4">
        <f>SUMPRODUCT((M_BOM[RM_Code]=$A4)*M_BOM[RM_Qty_Per_Batch]*IFERROR(INDEX(PP_Grid[#Data],M_BOM[PPGridRow],53),0))</f>
        <v/>
      </c>
      <c r="BB4">
        <f>SUMPRODUCT((M_BOM[RM_Code]=$A4)*M_BOM[RM_Qty_Per_Batch]*IFERROR(INDEX(PP_Grid[#Data],M_BOM[PPGridRow],54),0))</f>
        <v/>
      </c>
      <c r="BC4">
        <f>SUMPRODUCT((M_BOM[RM_Code]=$A4)*M_BOM[RM_Qty_Per_Batch]*IFERROR(INDEX(PP_Grid[#Data],M_BOM[PPGridRow],55),0))</f>
        <v/>
      </c>
      <c r="BD4">
        <f>SUMPRODUCT((M_BOM[RM_Code]=$A4)*M_BOM[RM_Qty_Per_Batch]*IFERROR(INDEX(PP_Grid[#Data],M_BOM[PPGridRow],56),0))</f>
        <v/>
      </c>
      <c r="BE4">
        <f>SUMPRODUCT((M_BOM[RM_Code]=$A4)*M_BOM[RM_Qty_Per_Batch]*IFERROR(INDEX(PP_Grid[#Data],M_BOM[PPGridRow],57),0))</f>
        <v/>
      </c>
      <c r="BF4">
        <f>SUMPRODUCT((M_BOM[RM_Code]=$A4)*M_BOM[RM_Qty_Per_Batch]*IFERROR(INDEX(PP_Grid[#Data],M_BOM[PPGridRow],58),0))</f>
        <v/>
      </c>
      <c r="BG4">
        <f>SUMPRODUCT((M_BOM[RM_Code]=$A4)*M_BOM[RM_Qty_Per_Batch]*IFERROR(INDEX(PP_Grid[#Data],M_BOM[PPGridRow],59),0))</f>
        <v/>
      </c>
      <c r="BH4">
        <f>SUMPRODUCT((M_BOM[RM_Code]=$A4)*M_BOM[RM_Qty_Per_Batch]*IFERROR(INDEX(PP_Grid[#Data],M_BOM[PPGridRow],60),0))</f>
        <v/>
      </c>
      <c r="BI4">
        <f>SUMPRODUCT((M_BOM[RM_Code]=$A4)*M_BOM[RM_Qty_Per_Batch]*IFERROR(INDEX(PP_Grid[#Data],M_BOM[PPGridRow],61),0))</f>
        <v/>
      </c>
      <c r="BJ4">
        <f>SUMPRODUCT((M_BOM[RM_Code]=$A4)*M_BOM[RM_Qty_Per_Batch]*IFERROR(INDEX(PP_Grid[#Data],M_BOM[PPGridRow],62),0))</f>
        <v/>
      </c>
      <c r="BK4">
        <f>SUMPRODUCT((M_BOM[RM_Code]=$A4)*M_BOM[RM_Qty_Per_Batch]*IFERROR(INDEX(PP_Grid[#Data],M_BOM[PPGridRow],63),0))</f>
        <v/>
      </c>
      <c r="BL4">
        <f>SUMPRODUCT((M_BOM[RM_Code]=$A4)*M_BOM[RM_Qty_Per_Batch]*IFERROR(INDEX(PP_Grid[#Data],M_BOM[PPGridRow],64),0))</f>
        <v/>
      </c>
      <c r="BM4">
        <f>SUMPRODUCT((M_BOM[RM_Code]=$A4)*M_BOM[RM_Qty_Per_Batch]*IFERROR(INDEX(PP_Grid[#Data],M_BOM[PPGridRow],65),0))</f>
        <v/>
      </c>
      <c r="BN4">
        <f>SUMPRODUCT((M_BOM[RM_Code]=$A4)*M_BOM[RM_Qty_Per_Batch]*IFERROR(INDEX(PP_Grid[#Data],M_BOM[PPGridRow],66),0))</f>
        <v/>
      </c>
      <c r="BO4">
        <f>SUMPRODUCT((M_BOM[RM_Code]=$A4)*M_BOM[RM_Qty_Per_Batch]*IFERROR(INDEX(PP_Grid[#Data],M_BOM[PPGridRow],67),0))</f>
        <v/>
      </c>
      <c r="BP4">
        <f>SUMPRODUCT((M_BOM[RM_Code]=$A4)*M_BOM[RM_Qty_Per_Batch]*IFERROR(INDEX(PP_Grid[#Data],M_BOM[PPGridRow],68),0))</f>
        <v/>
      </c>
      <c r="BQ4">
        <f>SUMPRODUCT((M_BOM[RM_Code]=$A4)*M_BOM[RM_Qty_Per_Batch]*IFERROR(INDEX(PP_Grid[#Data],M_BOM[PPGridRow],69),0))</f>
        <v/>
      </c>
      <c r="BR4">
        <f>SUMPRODUCT((M_BOM[RM_Code]=$A4)*M_BOM[RM_Qty_Per_Batch]*IFERROR(INDEX(PP_Grid[#Data],M_BOM[PPGridRow],70),0))</f>
        <v/>
      </c>
      <c r="BS4">
        <f>SUMPRODUCT((M_BOM[RM_Code]=$A4)*M_BOM[RM_Qty_Per_Batch]*IFERROR(INDEX(PP_Grid[#Data],M_BOM[PPGridRow],71),0))</f>
        <v/>
      </c>
      <c r="BT4">
        <f>SUMPRODUCT((M_BOM[RM_Code]=$A4)*M_BOM[RM_Qty_Per_Batch]*IFERROR(INDEX(PP_Grid[#Data],M_BOM[PPGridRow],72),0))</f>
        <v/>
      </c>
      <c r="BU4">
        <f>SUMPRODUCT((M_BOM[RM_Code]=$A4)*M_BOM[RM_Qty_Per_Batch]*IFERROR(INDEX(PP_Grid[#Data],M_BOM[PPGridRow],73),0))</f>
        <v/>
      </c>
      <c r="BV4">
        <f>SUMPRODUCT((M_BOM[RM_Code]=$A4)*M_BOM[RM_Qty_Per_Batch]*IFERROR(INDEX(PP_Grid[#Data],M_BOM[PPGridRow],74),0))</f>
        <v/>
      </c>
      <c r="BW4">
        <f>SUMPRODUCT((M_BOM[RM_Code]=$A4)*M_BOM[RM_Qty_Per_Batch]*IFERROR(INDEX(PP_Grid[#Data],M_BOM[PPGridRow],75),0))</f>
        <v/>
      </c>
      <c r="BX4">
        <f>SUMPRODUCT((M_BOM[RM_Code]=$A4)*M_BOM[RM_Qty_Per_Batch]*IFERROR(INDEX(PP_Grid[#Data],M_BOM[PPGridRow],76),0))</f>
        <v/>
      </c>
      <c r="BY4">
        <f>SUMPRODUCT((M_BOM[RM_Code]=$A4)*M_BOM[RM_Qty_Per_Batch]*IFERROR(INDEX(PP_Grid[#Data],M_BOM[PPGridRow],77),0))</f>
        <v/>
      </c>
      <c r="BZ4">
        <f>SUMPRODUCT((M_BOM[RM_Code]=$A4)*M_BOM[RM_Qty_Per_Batch]*IFERROR(INDEX(PP_Grid[#Data],M_BOM[PPGridRow],78),0))</f>
        <v/>
      </c>
      <c r="CA4">
        <f>SUMPRODUCT((M_BOM[RM_Code]=$A4)*M_BOM[RM_Qty_Per_Batch]*IFERROR(INDEX(PP_Grid[#Data],M_BOM[PPGridRow],79),0))</f>
        <v/>
      </c>
      <c r="CB4">
        <f>SUMPRODUCT((M_BOM[RM_Code]=$A4)*M_BOM[RM_Qty_Per_Batch]*IFERROR(INDEX(PP_Grid[#Data],M_BOM[PPGridRow],80),0))</f>
        <v/>
      </c>
      <c r="CC4">
        <f>SUMPRODUCT((M_BOM[RM_Code]=$A4)*M_BOM[RM_Qty_Per_Batch]*IFERROR(INDEX(PP_Grid[#Data],M_BOM[PPGridRow],81),0))</f>
        <v/>
      </c>
      <c r="CD4">
        <f>SUMPRODUCT((M_BOM[RM_Code]=$A4)*M_BOM[RM_Qty_Per_Batch]*IFERROR(INDEX(PP_Grid[#Data],M_BOM[PPGridRow],82),0))</f>
        <v/>
      </c>
      <c r="CE4">
        <f>SUMPRODUCT((M_BOM[RM_Code]=$A4)*M_BOM[RM_Qty_Per_Batch]*IFERROR(INDEX(PP_Grid[#Data],M_BOM[PPGridRow],83),0))</f>
        <v/>
      </c>
      <c r="CF4">
        <f>SUMPRODUCT((M_BOM[RM_Code]=$A4)*M_BOM[RM_Qty_Per_Batch]*IFERROR(INDEX(PP_Grid[#Data],M_BOM[PPGridRow],84),0))</f>
        <v/>
      </c>
      <c r="CG4">
        <f>SUMPRODUCT((M_BOM[RM_Code]=$A4)*M_BOM[RM_Qty_Per_Batch]*IFERROR(INDEX(PP_Grid[#Data],M_BOM[PPGridRow],85),0))</f>
        <v/>
      </c>
      <c r="CH4">
        <f>SUMPRODUCT((M_BOM[RM_Code]=$A4)*M_BOM[RM_Qty_Per_Batch]*IFERROR(INDEX(PP_Grid[#Data],M_BOM[PPGridRow],86),0))</f>
        <v/>
      </c>
      <c r="CI4">
        <f>SUMPRODUCT((M_BOM[RM_Code]=$A4)*M_BOM[RM_Qty_Per_Batch]*IFERROR(INDEX(PP_Grid[#Data],M_BOM[PPGridRow],87),0))</f>
        <v/>
      </c>
      <c r="CJ4">
        <f>SUMPRODUCT((M_BOM[RM_Code]=$A4)*M_BOM[RM_Qty_Per_Batch]*IFERROR(INDEX(PP_Grid[#Data],M_BOM[PPGridRow],88),0))</f>
        <v/>
      </c>
      <c r="CK4">
        <f>SUMPRODUCT((M_BOM[RM_Code]=$A4)*M_BOM[RM_Qty_Per_Batch]*IFERROR(INDEX(PP_Grid[#Data],M_BOM[PPGridRow],89),0))</f>
        <v/>
      </c>
      <c r="CL4">
        <f>SUMPRODUCT((M_BOM[RM_Code]=$A4)*M_BOM[RM_Qty_Per_Batch]*IFERROR(INDEX(PP_Grid[#Data],M_BOM[PPGridRow],90),0))</f>
        <v/>
      </c>
      <c r="CM4">
        <f>SUMPRODUCT((M_BOM[RM_Code]=$A4)*M_BOM[RM_Qty_Per_Batch]*IFERROR(INDEX(PP_Grid[#Data],M_BOM[PPGridRow],91),0))</f>
        <v/>
      </c>
      <c r="CN4">
        <f>SUMPRODUCT((M_BOM[RM_Code]=$A4)*M_BOM[RM_Qty_Per_Batch]*IFERROR(INDEX(PP_Grid[#Data],M_BOM[PPGridRow],92),0))</f>
        <v/>
      </c>
      <c r="CO4">
        <f>SUMPRODUCT((M_BOM[RM_Code]=$A4)*M_BOM[RM_Qty_Per_Batch]*IFERROR(INDEX(PP_Grid[#Data],M_BOM[PPGridRow],93),0))</f>
        <v/>
      </c>
      <c r="CP4">
        <f>SUMPRODUCT((M_BOM[RM_Code]=$A4)*M_BOM[RM_Qty_Per_Batch]*IFERROR(INDEX(PP_Grid[#Data],M_BOM[PPGridRow],94),0))</f>
        <v/>
      </c>
      <c r="CQ4">
        <f>SUMPRODUCT((M_BOM[RM_Code]=$A4)*M_BOM[RM_Qty_Per_Batch]*IFERROR(INDEX(PP_Grid[#Data],M_BOM[PPGridRow],95),0))</f>
        <v/>
      </c>
      <c r="CR4">
        <f>SUMPRODUCT((M_BOM[RM_Code]=$A4)*M_BOM[RM_Qty_Per_Batch]*IFERROR(INDEX(PP_Grid[#Data],M_BOM[PPGridRow],96),0))</f>
        <v/>
      </c>
      <c r="CS4">
        <f>SUMPRODUCT((M_BOM[RM_Code]=$A4)*M_BOM[RM_Qty_Per_Batch]*IFERROR(INDEX(PP_Grid[#Data],M_BOM[PPGridRow],97),0))</f>
        <v/>
      </c>
      <c r="CT4">
        <f>SUMPRODUCT((M_BOM[RM_Code]=$A4)*M_BOM[RM_Qty_Per_Batch]*IFERROR(INDEX(PP_Grid[#Data],M_BOM[PPGridRow],98),0))</f>
        <v/>
      </c>
      <c r="CU4">
        <f>SUMPRODUCT((M_BOM[RM_Code]=$A4)*M_BOM[RM_Qty_Per_Batch]*IFERROR(INDEX(PP_Grid[#Data],M_BOM[PPGridRow],99),0))</f>
        <v/>
      </c>
      <c r="CV4">
        <f>SUMPRODUCT((M_BOM[RM_Code]=$A4)*M_BOM[RM_Qty_Per_Batch]*IFERROR(INDEX(PP_Grid[#Data],M_BOM[PPGridRow],100),0))</f>
        <v/>
      </c>
      <c r="CW4">
        <f>SUMPRODUCT((M_BOM[RM_Code]=$A4)*M_BOM[RM_Qty_Per_Batch]*IFERROR(INDEX(PP_Grid[#Data],M_BOM[PPGridRow],101),0))</f>
        <v/>
      </c>
      <c r="CX4">
        <f>SUMPRODUCT((M_BOM[RM_Code]=$A4)*M_BOM[RM_Qty_Per_Batch]*IFERROR(INDEX(PP_Grid[#Data],M_BOM[PPGridRow],102),0))</f>
        <v/>
      </c>
      <c r="CY4">
        <f>SUMPRODUCT((M_BOM[RM_Code]=$A4)*M_BOM[RM_Qty_Per_Batch]*IFERROR(INDEX(PP_Grid[#Data],M_BOM[PPGridRow],103),0))</f>
        <v/>
      </c>
      <c r="CZ4">
        <f>SUMPRODUCT((M_BOM[RM_Code]=$A4)*M_BOM[RM_Qty_Per_Batch]*IFERROR(INDEX(PP_Grid[#Data],M_BOM[PPGridRow],104),0))</f>
        <v/>
      </c>
      <c r="DA4">
        <f>SUMPRODUCT((M_BOM[RM_Code]=$A4)*M_BOM[RM_Qty_Per_Batch]*IFERROR(INDEX(PP_Grid[#Data],M_BOM[PPGridRow],105),0))</f>
        <v/>
      </c>
    </row>
    <row r="5">
      <c r="A5" t="inlineStr">
        <is>
          <t>CHEM-1420</t>
        </is>
      </c>
      <c r="B5">
        <f>SUMPRODUCT((M_BOM[RM_Code]=$A5)*M_BOM[RM_Qty_Per_Batch]*IFERROR(INDEX(PP_Grid[#Data],M_BOM[PPGridRow],2),0))</f>
        <v/>
      </c>
      <c r="C5">
        <f>SUMPRODUCT((M_BOM[RM_Code]=$A5)*M_BOM[RM_Qty_Per_Batch]*IFERROR(INDEX(PP_Grid[#Data],M_BOM[PPGridRow],3),0))</f>
        <v/>
      </c>
      <c r="D5">
        <f>SUMPRODUCT((M_BOM[RM_Code]=$A5)*M_BOM[RM_Qty_Per_Batch]*IFERROR(INDEX(PP_Grid[#Data],M_BOM[PPGridRow],4),0))</f>
        <v/>
      </c>
      <c r="E5">
        <f>SUMPRODUCT((M_BOM[RM_Code]=$A5)*M_BOM[RM_Qty_Per_Batch]*IFERROR(INDEX(PP_Grid[#Data],M_BOM[PPGridRow],5),0))</f>
        <v/>
      </c>
      <c r="F5">
        <f>SUMPRODUCT((M_BOM[RM_Code]=$A5)*M_BOM[RM_Qty_Per_Batch]*IFERROR(INDEX(PP_Grid[#Data],M_BOM[PPGridRow],6),0))</f>
        <v/>
      </c>
      <c r="G5">
        <f>SUMPRODUCT((M_BOM[RM_Code]=$A5)*M_BOM[RM_Qty_Per_Batch]*IFERROR(INDEX(PP_Grid[#Data],M_BOM[PPGridRow],7),0))</f>
        <v/>
      </c>
      <c r="H5">
        <f>SUMPRODUCT((M_BOM[RM_Code]=$A5)*M_BOM[RM_Qty_Per_Batch]*IFERROR(INDEX(PP_Grid[#Data],M_BOM[PPGridRow],8),0))</f>
        <v/>
      </c>
      <c r="I5">
        <f>SUMPRODUCT((M_BOM[RM_Code]=$A5)*M_BOM[RM_Qty_Per_Batch]*IFERROR(INDEX(PP_Grid[#Data],M_BOM[PPGridRow],9),0))</f>
        <v/>
      </c>
      <c r="J5">
        <f>SUMPRODUCT((M_BOM[RM_Code]=$A5)*M_BOM[RM_Qty_Per_Batch]*IFERROR(INDEX(PP_Grid[#Data],M_BOM[PPGridRow],10),0))</f>
        <v/>
      </c>
      <c r="K5">
        <f>SUMPRODUCT((M_BOM[RM_Code]=$A5)*M_BOM[RM_Qty_Per_Batch]*IFERROR(INDEX(PP_Grid[#Data],M_BOM[PPGridRow],11),0))</f>
        <v/>
      </c>
      <c r="L5">
        <f>SUMPRODUCT((M_BOM[RM_Code]=$A5)*M_BOM[RM_Qty_Per_Batch]*IFERROR(INDEX(PP_Grid[#Data],M_BOM[PPGridRow],12),0))</f>
        <v/>
      </c>
      <c r="M5">
        <f>SUMPRODUCT((M_BOM[RM_Code]=$A5)*M_BOM[RM_Qty_Per_Batch]*IFERROR(INDEX(PP_Grid[#Data],M_BOM[PPGridRow],13),0))</f>
        <v/>
      </c>
      <c r="N5">
        <f>SUMPRODUCT((M_BOM[RM_Code]=$A5)*M_BOM[RM_Qty_Per_Batch]*IFERROR(INDEX(PP_Grid[#Data],M_BOM[PPGridRow],14),0))</f>
        <v/>
      </c>
      <c r="O5">
        <f>SUMPRODUCT((M_BOM[RM_Code]=$A5)*M_BOM[RM_Qty_Per_Batch]*IFERROR(INDEX(PP_Grid[#Data],M_BOM[PPGridRow],15),0))</f>
        <v/>
      </c>
      <c r="P5">
        <f>SUMPRODUCT((M_BOM[RM_Code]=$A5)*M_BOM[RM_Qty_Per_Batch]*IFERROR(INDEX(PP_Grid[#Data],M_BOM[PPGridRow],16),0))</f>
        <v/>
      </c>
      <c r="Q5">
        <f>SUMPRODUCT((M_BOM[RM_Code]=$A5)*M_BOM[RM_Qty_Per_Batch]*IFERROR(INDEX(PP_Grid[#Data],M_BOM[PPGridRow],17),0))</f>
        <v/>
      </c>
      <c r="R5">
        <f>SUMPRODUCT((M_BOM[RM_Code]=$A5)*M_BOM[RM_Qty_Per_Batch]*IFERROR(INDEX(PP_Grid[#Data],M_BOM[PPGridRow],18),0))</f>
        <v/>
      </c>
      <c r="S5">
        <f>SUMPRODUCT((M_BOM[RM_Code]=$A5)*M_BOM[RM_Qty_Per_Batch]*IFERROR(INDEX(PP_Grid[#Data],M_BOM[PPGridRow],19),0))</f>
        <v/>
      </c>
      <c r="T5">
        <f>SUMPRODUCT((M_BOM[RM_Code]=$A5)*M_BOM[RM_Qty_Per_Batch]*IFERROR(INDEX(PP_Grid[#Data],M_BOM[PPGridRow],20),0))</f>
        <v/>
      </c>
      <c r="U5">
        <f>SUMPRODUCT((M_BOM[RM_Code]=$A5)*M_BOM[RM_Qty_Per_Batch]*IFERROR(INDEX(PP_Grid[#Data],M_BOM[PPGridRow],21),0))</f>
        <v/>
      </c>
      <c r="V5">
        <f>SUMPRODUCT((M_BOM[RM_Code]=$A5)*M_BOM[RM_Qty_Per_Batch]*IFERROR(INDEX(PP_Grid[#Data],M_BOM[PPGridRow],22),0))</f>
        <v/>
      </c>
      <c r="W5">
        <f>SUMPRODUCT((M_BOM[RM_Code]=$A5)*M_BOM[RM_Qty_Per_Batch]*IFERROR(INDEX(PP_Grid[#Data],M_BOM[PPGridRow],23),0))</f>
        <v/>
      </c>
      <c r="X5">
        <f>SUMPRODUCT((M_BOM[RM_Code]=$A5)*M_BOM[RM_Qty_Per_Batch]*IFERROR(INDEX(PP_Grid[#Data],M_BOM[PPGridRow],24),0))</f>
        <v/>
      </c>
      <c r="Y5">
        <f>SUMPRODUCT((M_BOM[RM_Code]=$A5)*M_BOM[RM_Qty_Per_Batch]*IFERROR(INDEX(PP_Grid[#Data],M_BOM[PPGridRow],25),0))</f>
        <v/>
      </c>
      <c r="Z5">
        <f>SUMPRODUCT((M_BOM[RM_Code]=$A5)*M_BOM[RM_Qty_Per_Batch]*IFERROR(INDEX(PP_Grid[#Data],M_BOM[PPGridRow],26),0))</f>
        <v/>
      </c>
      <c r="AA5">
        <f>SUMPRODUCT((M_BOM[RM_Code]=$A5)*M_BOM[RM_Qty_Per_Batch]*IFERROR(INDEX(PP_Grid[#Data],M_BOM[PPGridRow],27),0))</f>
        <v/>
      </c>
      <c r="AB5">
        <f>SUMPRODUCT((M_BOM[RM_Code]=$A5)*M_BOM[RM_Qty_Per_Batch]*IFERROR(INDEX(PP_Grid[#Data],M_BOM[PPGridRow],28),0))</f>
        <v/>
      </c>
      <c r="AC5">
        <f>SUMPRODUCT((M_BOM[RM_Code]=$A5)*M_BOM[RM_Qty_Per_Batch]*IFERROR(INDEX(PP_Grid[#Data],M_BOM[PPGridRow],29),0))</f>
        <v/>
      </c>
      <c r="AD5">
        <f>SUMPRODUCT((M_BOM[RM_Code]=$A5)*M_BOM[RM_Qty_Per_Batch]*IFERROR(INDEX(PP_Grid[#Data],M_BOM[PPGridRow],30),0))</f>
        <v/>
      </c>
      <c r="AE5">
        <f>SUMPRODUCT((M_BOM[RM_Code]=$A5)*M_BOM[RM_Qty_Per_Batch]*IFERROR(INDEX(PP_Grid[#Data],M_BOM[PPGridRow],31),0))</f>
        <v/>
      </c>
      <c r="AF5">
        <f>SUMPRODUCT((M_BOM[RM_Code]=$A5)*M_BOM[RM_Qty_Per_Batch]*IFERROR(INDEX(PP_Grid[#Data],M_BOM[PPGridRow],32),0))</f>
        <v/>
      </c>
      <c r="AG5">
        <f>SUMPRODUCT((M_BOM[RM_Code]=$A5)*M_BOM[RM_Qty_Per_Batch]*IFERROR(INDEX(PP_Grid[#Data],M_BOM[PPGridRow],33),0))</f>
        <v/>
      </c>
      <c r="AH5">
        <f>SUMPRODUCT((M_BOM[RM_Code]=$A5)*M_BOM[RM_Qty_Per_Batch]*IFERROR(INDEX(PP_Grid[#Data],M_BOM[PPGridRow],34),0))</f>
        <v/>
      </c>
      <c r="AI5">
        <f>SUMPRODUCT((M_BOM[RM_Code]=$A5)*M_BOM[RM_Qty_Per_Batch]*IFERROR(INDEX(PP_Grid[#Data],M_BOM[PPGridRow],35),0))</f>
        <v/>
      </c>
      <c r="AJ5">
        <f>SUMPRODUCT((M_BOM[RM_Code]=$A5)*M_BOM[RM_Qty_Per_Batch]*IFERROR(INDEX(PP_Grid[#Data],M_BOM[PPGridRow],36),0))</f>
        <v/>
      </c>
      <c r="AK5">
        <f>SUMPRODUCT((M_BOM[RM_Code]=$A5)*M_BOM[RM_Qty_Per_Batch]*IFERROR(INDEX(PP_Grid[#Data],M_BOM[PPGridRow],37),0))</f>
        <v/>
      </c>
      <c r="AL5">
        <f>SUMPRODUCT((M_BOM[RM_Code]=$A5)*M_BOM[RM_Qty_Per_Batch]*IFERROR(INDEX(PP_Grid[#Data],M_BOM[PPGridRow],38),0))</f>
        <v/>
      </c>
      <c r="AM5">
        <f>SUMPRODUCT((M_BOM[RM_Code]=$A5)*M_BOM[RM_Qty_Per_Batch]*IFERROR(INDEX(PP_Grid[#Data],M_BOM[PPGridRow],39),0))</f>
        <v/>
      </c>
      <c r="AN5">
        <f>SUMPRODUCT((M_BOM[RM_Code]=$A5)*M_BOM[RM_Qty_Per_Batch]*IFERROR(INDEX(PP_Grid[#Data],M_BOM[PPGridRow],40),0))</f>
        <v/>
      </c>
      <c r="AO5">
        <f>SUMPRODUCT((M_BOM[RM_Code]=$A5)*M_BOM[RM_Qty_Per_Batch]*IFERROR(INDEX(PP_Grid[#Data],M_BOM[PPGridRow],41),0))</f>
        <v/>
      </c>
      <c r="AP5">
        <f>SUMPRODUCT((M_BOM[RM_Code]=$A5)*M_BOM[RM_Qty_Per_Batch]*IFERROR(INDEX(PP_Grid[#Data],M_BOM[PPGridRow],42),0))</f>
        <v/>
      </c>
      <c r="AQ5">
        <f>SUMPRODUCT((M_BOM[RM_Code]=$A5)*M_BOM[RM_Qty_Per_Batch]*IFERROR(INDEX(PP_Grid[#Data],M_BOM[PPGridRow],43),0))</f>
        <v/>
      </c>
      <c r="AR5">
        <f>SUMPRODUCT((M_BOM[RM_Code]=$A5)*M_BOM[RM_Qty_Per_Batch]*IFERROR(INDEX(PP_Grid[#Data],M_BOM[PPGridRow],44),0))</f>
        <v/>
      </c>
      <c r="AS5">
        <f>SUMPRODUCT((M_BOM[RM_Code]=$A5)*M_BOM[RM_Qty_Per_Batch]*IFERROR(INDEX(PP_Grid[#Data],M_BOM[PPGridRow],45),0))</f>
        <v/>
      </c>
      <c r="AT5">
        <f>SUMPRODUCT((M_BOM[RM_Code]=$A5)*M_BOM[RM_Qty_Per_Batch]*IFERROR(INDEX(PP_Grid[#Data],M_BOM[PPGridRow],46),0))</f>
        <v/>
      </c>
      <c r="AU5">
        <f>SUMPRODUCT((M_BOM[RM_Code]=$A5)*M_BOM[RM_Qty_Per_Batch]*IFERROR(INDEX(PP_Grid[#Data],M_BOM[PPGridRow],47),0))</f>
        <v/>
      </c>
      <c r="AV5">
        <f>SUMPRODUCT((M_BOM[RM_Code]=$A5)*M_BOM[RM_Qty_Per_Batch]*IFERROR(INDEX(PP_Grid[#Data],M_BOM[PPGridRow],48),0))</f>
        <v/>
      </c>
      <c r="AW5">
        <f>SUMPRODUCT((M_BOM[RM_Code]=$A5)*M_BOM[RM_Qty_Per_Batch]*IFERROR(INDEX(PP_Grid[#Data],M_BOM[PPGridRow],49),0))</f>
        <v/>
      </c>
      <c r="AX5">
        <f>SUMPRODUCT((M_BOM[RM_Code]=$A5)*M_BOM[RM_Qty_Per_Batch]*IFERROR(INDEX(PP_Grid[#Data],M_BOM[PPGridRow],50),0))</f>
        <v/>
      </c>
      <c r="AY5">
        <f>SUMPRODUCT((M_BOM[RM_Code]=$A5)*M_BOM[RM_Qty_Per_Batch]*IFERROR(INDEX(PP_Grid[#Data],M_BOM[PPGridRow],51),0))</f>
        <v/>
      </c>
      <c r="AZ5">
        <f>SUMPRODUCT((M_BOM[RM_Code]=$A5)*M_BOM[RM_Qty_Per_Batch]*IFERROR(INDEX(PP_Grid[#Data],M_BOM[PPGridRow],52),0))</f>
        <v/>
      </c>
      <c r="BA5">
        <f>SUMPRODUCT((M_BOM[RM_Code]=$A5)*M_BOM[RM_Qty_Per_Batch]*IFERROR(INDEX(PP_Grid[#Data],M_BOM[PPGridRow],53),0))</f>
        <v/>
      </c>
      <c r="BB5">
        <f>SUMPRODUCT((M_BOM[RM_Code]=$A5)*M_BOM[RM_Qty_Per_Batch]*IFERROR(INDEX(PP_Grid[#Data],M_BOM[PPGridRow],54),0))</f>
        <v/>
      </c>
      <c r="BC5">
        <f>SUMPRODUCT((M_BOM[RM_Code]=$A5)*M_BOM[RM_Qty_Per_Batch]*IFERROR(INDEX(PP_Grid[#Data],M_BOM[PPGridRow],55),0))</f>
        <v/>
      </c>
      <c r="BD5">
        <f>SUMPRODUCT((M_BOM[RM_Code]=$A5)*M_BOM[RM_Qty_Per_Batch]*IFERROR(INDEX(PP_Grid[#Data],M_BOM[PPGridRow],56),0))</f>
        <v/>
      </c>
      <c r="BE5">
        <f>SUMPRODUCT((M_BOM[RM_Code]=$A5)*M_BOM[RM_Qty_Per_Batch]*IFERROR(INDEX(PP_Grid[#Data],M_BOM[PPGridRow],57),0))</f>
        <v/>
      </c>
      <c r="BF5">
        <f>SUMPRODUCT((M_BOM[RM_Code]=$A5)*M_BOM[RM_Qty_Per_Batch]*IFERROR(INDEX(PP_Grid[#Data],M_BOM[PPGridRow],58),0))</f>
        <v/>
      </c>
      <c r="BG5">
        <f>SUMPRODUCT((M_BOM[RM_Code]=$A5)*M_BOM[RM_Qty_Per_Batch]*IFERROR(INDEX(PP_Grid[#Data],M_BOM[PPGridRow],59),0))</f>
        <v/>
      </c>
      <c r="BH5">
        <f>SUMPRODUCT((M_BOM[RM_Code]=$A5)*M_BOM[RM_Qty_Per_Batch]*IFERROR(INDEX(PP_Grid[#Data],M_BOM[PPGridRow],60),0))</f>
        <v/>
      </c>
      <c r="BI5">
        <f>SUMPRODUCT((M_BOM[RM_Code]=$A5)*M_BOM[RM_Qty_Per_Batch]*IFERROR(INDEX(PP_Grid[#Data],M_BOM[PPGridRow],61),0))</f>
        <v/>
      </c>
      <c r="BJ5">
        <f>SUMPRODUCT((M_BOM[RM_Code]=$A5)*M_BOM[RM_Qty_Per_Batch]*IFERROR(INDEX(PP_Grid[#Data],M_BOM[PPGridRow],62),0))</f>
        <v/>
      </c>
      <c r="BK5">
        <f>SUMPRODUCT((M_BOM[RM_Code]=$A5)*M_BOM[RM_Qty_Per_Batch]*IFERROR(INDEX(PP_Grid[#Data],M_BOM[PPGridRow],63),0))</f>
        <v/>
      </c>
      <c r="BL5">
        <f>SUMPRODUCT((M_BOM[RM_Code]=$A5)*M_BOM[RM_Qty_Per_Batch]*IFERROR(INDEX(PP_Grid[#Data],M_BOM[PPGridRow],64),0))</f>
        <v/>
      </c>
      <c r="BM5">
        <f>SUMPRODUCT((M_BOM[RM_Code]=$A5)*M_BOM[RM_Qty_Per_Batch]*IFERROR(INDEX(PP_Grid[#Data],M_BOM[PPGridRow],65),0))</f>
        <v/>
      </c>
      <c r="BN5">
        <f>SUMPRODUCT((M_BOM[RM_Code]=$A5)*M_BOM[RM_Qty_Per_Batch]*IFERROR(INDEX(PP_Grid[#Data],M_BOM[PPGridRow],66),0))</f>
        <v/>
      </c>
      <c r="BO5">
        <f>SUMPRODUCT((M_BOM[RM_Code]=$A5)*M_BOM[RM_Qty_Per_Batch]*IFERROR(INDEX(PP_Grid[#Data],M_BOM[PPGridRow],67),0))</f>
        <v/>
      </c>
      <c r="BP5">
        <f>SUMPRODUCT((M_BOM[RM_Code]=$A5)*M_BOM[RM_Qty_Per_Batch]*IFERROR(INDEX(PP_Grid[#Data],M_BOM[PPGridRow],68),0))</f>
        <v/>
      </c>
      <c r="BQ5">
        <f>SUMPRODUCT((M_BOM[RM_Code]=$A5)*M_BOM[RM_Qty_Per_Batch]*IFERROR(INDEX(PP_Grid[#Data],M_BOM[PPGridRow],69),0))</f>
        <v/>
      </c>
      <c r="BR5">
        <f>SUMPRODUCT((M_BOM[RM_Code]=$A5)*M_BOM[RM_Qty_Per_Batch]*IFERROR(INDEX(PP_Grid[#Data],M_BOM[PPGridRow],70),0))</f>
        <v/>
      </c>
      <c r="BS5">
        <f>SUMPRODUCT((M_BOM[RM_Code]=$A5)*M_BOM[RM_Qty_Per_Batch]*IFERROR(INDEX(PP_Grid[#Data],M_BOM[PPGridRow],71),0))</f>
        <v/>
      </c>
      <c r="BT5">
        <f>SUMPRODUCT((M_BOM[RM_Code]=$A5)*M_BOM[RM_Qty_Per_Batch]*IFERROR(INDEX(PP_Grid[#Data],M_BOM[PPGridRow],72),0))</f>
        <v/>
      </c>
      <c r="BU5">
        <f>SUMPRODUCT((M_BOM[RM_Code]=$A5)*M_BOM[RM_Qty_Per_Batch]*IFERROR(INDEX(PP_Grid[#Data],M_BOM[PPGridRow],73),0))</f>
        <v/>
      </c>
      <c r="BV5">
        <f>SUMPRODUCT((M_BOM[RM_Code]=$A5)*M_BOM[RM_Qty_Per_Batch]*IFERROR(INDEX(PP_Grid[#Data],M_BOM[PPGridRow],74),0))</f>
        <v/>
      </c>
      <c r="BW5">
        <f>SUMPRODUCT((M_BOM[RM_Code]=$A5)*M_BOM[RM_Qty_Per_Batch]*IFERROR(INDEX(PP_Grid[#Data],M_BOM[PPGridRow],75),0))</f>
        <v/>
      </c>
      <c r="BX5">
        <f>SUMPRODUCT((M_BOM[RM_Code]=$A5)*M_BOM[RM_Qty_Per_Batch]*IFERROR(INDEX(PP_Grid[#Data],M_BOM[PPGridRow],76),0))</f>
        <v/>
      </c>
      <c r="BY5">
        <f>SUMPRODUCT((M_BOM[RM_Code]=$A5)*M_BOM[RM_Qty_Per_Batch]*IFERROR(INDEX(PP_Grid[#Data],M_BOM[PPGridRow],77),0))</f>
        <v/>
      </c>
      <c r="BZ5">
        <f>SUMPRODUCT((M_BOM[RM_Code]=$A5)*M_BOM[RM_Qty_Per_Batch]*IFERROR(INDEX(PP_Grid[#Data],M_BOM[PPGridRow],78),0))</f>
        <v/>
      </c>
      <c r="CA5">
        <f>SUMPRODUCT((M_BOM[RM_Code]=$A5)*M_BOM[RM_Qty_Per_Batch]*IFERROR(INDEX(PP_Grid[#Data],M_BOM[PPGridRow],79),0))</f>
        <v/>
      </c>
      <c r="CB5">
        <f>SUMPRODUCT((M_BOM[RM_Code]=$A5)*M_BOM[RM_Qty_Per_Batch]*IFERROR(INDEX(PP_Grid[#Data],M_BOM[PPGridRow],80),0))</f>
        <v/>
      </c>
      <c r="CC5">
        <f>SUMPRODUCT((M_BOM[RM_Code]=$A5)*M_BOM[RM_Qty_Per_Batch]*IFERROR(INDEX(PP_Grid[#Data],M_BOM[PPGridRow],81),0))</f>
        <v/>
      </c>
      <c r="CD5">
        <f>SUMPRODUCT((M_BOM[RM_Code]=$A5)*M_BOM[RM_Qty_Per_Batch]*IFERROR(INDEX(PP_Grid[#Data],M_BOM[PPGridRow],82),0))</f>
        <v/>
      </c>
      <c r="CE5">
        <f>SUMPRODUCT((M_BOM[RM_Code]=$A5)*M_BOM[RM_Qty_Per_Batch]*IFERROR(INDEX(PP_Grid[#Data],M_BOM[PPGridRow],83),0))</f>
        <v/>
      </c>
      <c r="CF5">
        <f>SUMPRODUCT((M_BOM[RM_Code]=$A5)*M_BOM[RM_Qty_Per_Batch]*IFERROR(INDEX(PP_Grid[#Data],M_BOM[PPGridRow],84),0))</f>
        <v/>
      </c>
      <c r="CG5">
        <f>SUMPRODUCT((M_BOM[RM_Code]=$A5)*M_BOM[RM_Qty_Per_Batch]*IFERROR(INDEX(PP_Grid[#Data],M_BOM[PPGridRow],85),0))</f>
        <v/>
      </c>
      <c r="CH5">
        <f>SUMPRODUCT((M_BOM[RM_Code]=$A5)*M_BOM[RM_Qty_Per_Batch]*IFERROR(INDEX(PP_Grid[#Data],M_BOM[PPGridRow],86),0))</f>
        <v/>
      </c>
      <c r="CI5">
        <f>SUMPRODUCT((M_BOM[RM_Code]=$A5)*M_BOM[RM_Qty_Per_Batch]*IFERROR(INDEX(PP_Grid[#Data],M_BOM[PPGridRow],87),0))</f>
        <v/>
      </c>
      <c r="CJ5">
        <f>SUMPRODUCT((M_BOM[RM_Code]=$A5)*M_BOM[RM_Qty_Per_Batch]*IFERROR(INDEX(PP_Grid[#Data],M_BOM[PPGridRow],88),0))</f>
        <v/>
      </c>
      <c r="CK5">
        <f>SUMPRODUCT((M_BOM[RM_Code]=$A5)*M_BOM[RM_Qty_Per_Batch]*IFERROR(INDEX(PP_Grid[#Data],M_BOM[PPGridRow],89),0))</f>
        <v/>
      </c>
      <c r="CL5">
        <f>SUMPRODUCT((M_BOM[RM_Code]=$A5)*M_BOM[RM_Qty_Per_Batch]*IFERROR(INDEX(PP_Grid[#Data],M_BOM[PPGridRow],90),0))</f>
        <v/>
      </c>
      <c r="CM5">
        <f>SUMPRODUCT((M_BOM[RM_Code]=$A5)*M_BOM[RM_Qty_Per_Batch]*IFERROR(INDEX(PP_Grid[#Data],M_BOM[PPGridRow],91),0))</f>
        <v/>
      </c>
      <c r="CN5">
        <f>SUMPRODUCT((M_BOM[RM_Code]=$A5)*M_BOM[RM_Qty_Per_Batch]*IFERROR(INDEX(PP_Grid[#Data],M_BOM[PPGridRow],92),0))</f>
        <v/>
      </c>
      <c r="CO5">
        <f>SUMPRODUCT((M_BOM[RM_Code]=$A5)*M_BOM[RM_Qty_Per_Batch]*IFERROR(INDEX(PP_Grid[#Data],M_BOM[PPGridRow],93),0))</f>
        <v/>
      </c>
      <c r="CP5">
        <f>SUMPRODUCT((M_BOM[RM_Code]=$A5)*M_BOM[RM_Qty_Per_Batch]*IFERROR(INDEX(PP_Grid[#Data],M_BOM[PPGridRow],94),0))</f>
        <v/>
      </c>
      <c r="CQ5">
        <f>SUMPRODUCT((M_BOM[RM_Code]=$A5)*M_BOM[RM_Qty_Per_Batch]*IFERROR(INDEX(PP_Grid[#Data],M_BOM[PPGridRow],95),0))</f>
        <v/>
      </c>
      <c r="CR5">
        <f>SUMPRODUCT((M_BOM[RM_Code]=$A5)*M_BOM[RM_Qty_Per_Batch]*IFERROR(INDEX(PP_Grid[#Data],M_BOM[PPGridRow],96),0))</f>
        <v/>
      </c>
      <c r="CS5">
        <f>SUMPRODUCT((M_BOM[RM_Code]=$A5)*M_BOM[RM_Qty_Per_Batch]*IFERROR(INDEX(PP_Grid[#Data],M_BOM[PPGridRow],97),0))</f>
        <v/>
      </c>
      <c r="CT5">
        <f>SUMPRODUCT((M_BOM[RM_Code]=$A5)*M_BOM[RM_Qty_Per_Batch]*IFERROR(INDEX(PP_Grid[#Data],M_BOM[PPGridRow],98),0))</f>
        <v/>
      </c>
      <c r="CU5">
        <f>SUMPRODUCT((M_BOM[RM_Code]=$A5)*M_BOM[RM_Qty_Per_Batch]*IFERROR(INDEX(PP_Grid[#Data],M_BOM[PPGridRow],99),0))</f>
        <v/>
      </c>
      <c r="CV5">
        <f>SUMPRODUCT((M_BOM[RM_Code]=$A5)*M_BOM[RM_Qty_Per_Batch]*IFERROR(INDEX(PP_Grid[#Data],M_BOM[PPGridRow],100),0))</f>
        <v/>
      </c>
      <c r="CW5">
        <f>SUMPRODUCT((M_BOM[RM_Code]=$A5)*M_BOM[RM_Qty_Per_Batch]*IFERROR(INDEX(PP_Grid[#Data],M_BOM[PPGridRow],101),0))</f>
        <v/>
      </c>
      <c r="CX5">
        <f>SUMPRODUCT((M_BOM[RM_Code]=$A5)*M_BOM[RM_Qty_Per_Batch]*IFERROR(INDEX(PP_Grid[#Data],M_BOM[PPGridRow],102),0))</f>
        <v/>
      </c>
      <c r="CY5">
        <f>SUMPRODUCT((M_BOM[RM_Code]=$A5)*M_BOM[RM_Qty_Per_Batch]*IFERROR(INDEX(PP_Grid[#Data],M_BOM[PPGridRow],103),0))</f>
        <v/>
      </c>
      <c r="CZ5">
        <f>SUMPRODUCT((M_BOM[RM_Code]=$A5)*M_BOM[RM_Qty_Per_Batch]*IFERROR(INDEX(PP_Grid[#Data],M_BOM[PPGridRow],104),0))</f>
        <v/>
      </c>
      <c r="DA5">
        <f>SUMPRODUCT((M_BOM[RM_Code]=$A5)*M_BOM[RM_Qty_Per_Batch]*IFERROR(INDEX(PP_Grid[#Data],M_BOM[PPGridRow],105),0))</f>
        <v/>
      </c>
    </row>
    <row r="6">
      <c r="A6" t="inlineStr">
        <is>
          <t>CHEM-1530</t>
        </is>
      </c>
      <c r="B6">
        <f>SUMPRODUCT((M_BOM[RM_Code]=$A6)*M_BOM[RM_Qty_Per_Batch]*IFERROR(INDEX(PP_Grid[#Data],M_BOM[PPGridRow],2),0))</f>
        <v/>
      </c>
      <c r="C6">
        <f>SUMPRODUCT((M_BOM[RM_Code]=$A6)*M_BOM[RM_Qty_Per_Batch]*IFERROR(INDEX(PP_Grid[#Data],M_BOM[PPGridRow],3),0))</f>
        <v/>
      </c>
      <c r="D6">
        <f>SUMPRODUCT((M_BOM[RM_Code]=$A6)*M_BOM[RM_Qty_Per_Batch]*IFERROR(INDEX(PP_Grid[#Data],M_BOM[PPGridRow],4),0))</f>
        <v/>
      </c>
      <c r="E6">
        <f>SUMPRODUCT((M_BOM[RM_Code]=$A6)*M_BOM[RM_Qty_Per_Batch]*IFERROR(INDEX(PP_Grid[#Data],M_BOM[PPGridRow],5),0))</f>
        <v/>
      </c>
      <c r="F6">
        <f>SUMPRODUCT((M_BOM[RM_Code]=$A6)*M_BOM[RM_Qty_Per_Batch]*IFERROR(INDEX(PP_Grid[#Data],M_BOM[PPGridRow],6),0))</f>
        <v/>
      </c>
      <c r="G6">
        <f>SUMPRODUCT((M_BOM[RM_Code]=$A6)*M_BOM[RM_Qty_Per_Batch]*IFERROR(INDEX(PP_Grid[#Data],M_BOM[PPGridRow],7),0))</f>
        <v/>
      </c>
      <c r="H6">
        <f>SUMPRODUCT((M_BOM[RM_Code]=$A6)*M_BOM[RM_Qty_Per_Batch]*IFERROR(INDEX(PP_Grid[#Data],M_BOM[PPGridRow],8),0))</f>
        <v/>
      </c>
      <c r="I6">
        <f>SUMPRODUCT((M_BOM[RM_Code]=$A6)*M_BOM[RM_Qty_Per_Batch]*IFERROR(INDEX(PP_Grid[#Data],M_BOM[PPGridRow],9),0))</f>
        <v/>
      </c>
      <c r="J6">
        <f>SUMPRODUCT((M_BOM[RM_Code]=$A6)*M_BOM[RM_Qty_Per_Batch]*IFERROR(INDEX(PP_Grid[#Data],M_BOM[PPGridRow],10),0))</f>
        <v/>
      </c>
      <c r="K6">
        <f>SUMPRODUCT((M_BOM[RM_Code]=$A6)*M_BOM[RM_Qty_Per_Batch]*IFERROR(INDEX(PP_Grid[#Data],M_BOM[PPGridRow],11),0))</f>
        <v/>
      </c>
      <c r="L6">
        <f>SUMPRODUCT((M_BOM[RM_Code]=$A6)*M_BOM[RM_Qty_Per_Batch]*IFERROR(INDEX(PP_Grid[#Data],M_BOM[PPGridRow],12),0))</f>
        <v/>
      </c>
      <c r="M6">
        <f>SUMPRODUCT((M_BOM[RM_Code]=$A6)*M_BOM[RM_Qty_Per_Batch]*IFERROR(INDEX(PP_Grid[#Data],M_BOM[PPGridRow],13),0))</f>
        <v/>
      </c>
      <c r="N6">
        <f>SUMPRODUCT((M_BOM[RM_Code]=$A6)*M_BOM[RM_Qty_Per_Batch]*IFERROR(INDEX(PP_Grid[#Data],M_BOM[PPGridRow],14),0))</f>
        <v/>
      </c>
      <c r="O6">
        <f>SUMPRODUCT((M_BOM[RM_Code]=$A6)*M_BOM[RM_Qty_Per_Batch]*IFERROR(INDEX(PP_Grid[#Data],M_BOM[PPGridRow],15),0))</f>
        <v/>
      </c>
      <c r="P6">
        <f>SUMPRODUCT((M_BOM[RM_Code]=$A6)*M_BOM[RM_Qty_Per_Batch]*IFERROR(INDEX(PP_Grid[#Data],M_BOM[PPGridRow],16),0))</f>
        <v/>
      </c>
      <c r="Q6">
        <f>SUMPRODUCT((M_BOM[RM_Code]=$A6)*M_BOM[RM_Qty_Per_Batch]*IFERROR(INDEX(PP_Grid[#Data],M_BOM[PPGridRow],17),0))</f>
        <v/>
      </c>
      <c r="R6">
        <f>SUMPRODUCT((M_BOM[RM_Code]=$A6)*M_BOM[RM_Qty_Per_Batch]*IFERROR(INDEX(PP_Grid[#Data],M_BOM[PPGridRow],18),0))</f>
        <v/>
      </c>
      <c r="S6">
        <f>SUMPRODUCT((M_BOM[RM_Code]=$A6)*M_BOM[RM_Qty_Per_Batch]*IFERROR(INDEX(PP_Grid[#Data],M_BOM[PPGridRow],19),0))</f>
        <v/>
      </c>
      <c r="T6">
        <f>SUMPRODUCT((M_BOM[RM_Code]=$A6)*M_BOM[RM_Qty_Per_Batch]*IFERROR(INDEX(PP_Grid[#Data],M_BOM[PPGridRow],20),0))</f>
        <v/>
      </c>
      <c r="U6">
        <f>SUMPRODUCT((M_BOM[RM_Code]=$A6)*M_BOM[RM_Qty_Per_Batch]*IFERROR(INDEX(PP_Grid[#Data],M_BOM[PPGridRow],21),0))</f>
        <v/>
      </c>
      <c r="V6">
        <f>SUMPRODUCT((M_BOM[RM_Code]=$A6)*M_BOM[RM_Qty_Per_Batch]*IFERROR(INDEX(PP_Grid[#Data],M_BOM[PPGridRow],22),0))</f>
        <v/>
      </c>
      <c r="W6">
        <f>SUMPRODUCT((M_BOM[RM_Code]=$A6)*M_BOM[RM_Qty_Per_Batch]*IFERROR(INDEX(PP_Grid[#Data],M_BOM[PPGridRow],23),0))</f>
        <v/>
      </c>
      <c r="X6">
        <f>SUMPRODUCT((M_BOM[RM_Code]=$A6)*M_BOM[RM_Qty_Per_Batch]*IFERROR(INDEX(PP_Grid[#Data],M_BOM[PPGridRow],24),0))</f>
        <v/>
      </c>
      <c r="Y6">
        <f>SUMPRODUCT((M_BOM[RM_Code]=$A6)*M_BOM[RM_Qty_Per_Batch]*IFERROR(INDEX(PP_Grid[#Data],M_BOM[PPGridRow],25),0))</f>
        <v/>
      </c>
      <c r="Z6">
        <f>SUMPRODUCT((M_BOM[RM_Code]=$A6)*M_BOM[RM_Qty_Per_Batch]*IFERROR(INDEX(PP_Grid[#Data],M_BOM[PPGridRow],26),0))</f>
        <v/>
      </c>
      <c r="AA6">
        <f>SUMPRODUCT((M_BOM[RM_Code]=$A6)*M_BOM[RM_Qty_Per_Batch]*IFERROR(INDEX(PP_Grid[#Data],M_BOM[PPGridRow],27),0))</f>
        <v/>
      </c>
      <c r="AB6">
        <f>SUMPRODUCT((M_BOM[RM_Code]=$A6)*M_BOM[RM_Qty_Per_Batch]*IFERROR(INDEX(PP_Grid[#Data],M_BOM[PPGridRow],28),0))</f>
        <v/>
      </c>
      <c r="AC6">
        <f>SUMPRODUCT((M_BOM[RM_Code]=$A6)*M_BOM[RM_Qty_Per_Batch]*IFERROR(INDEX(PP_Grid[#Data],M_BOM[PPGridRow],29),0))</f>
        <v/>
      </c>
      <c r="AD6">
        <f>SUMPRODUCT((M_BOM[RM_Code]=$A6)*M_BOM[RM_Qty_Per_Batch]*IFERROR(INDEX(PP_Grid[#Data],M_BOM[PPGridRow],30),0))</f>
        <v/>
      </c>
      <c r="AE6">
        <f>SUMPRODUCT((M_BOM[RM_Code]=$A6)*M_BOM[RM_Qty_Per_Batch]*IFERROR(INDEX(PP_Grid[#Data],M_BOM[PPGridRow],31),0))</f>
        <v/>
      </c>
      <c r="AF6">
        <f>SUMPRODUCT((M_BOM[RM_Code]=$A6)*M_BOM[RM_Qty_Per_Batch]*IFERROR(INDEX(PP_Grid[#Data],M_BOM[PPGridRow],32),0))</f>
        <v/>
      </c>
      <c r="AG6">
        <f>SUMPRODUCT((M_BOM[RM_Code]=$A6)*M_BOM[RM_Qty_Per_Batch]*IFERROR(INDEX(PP_Grid[#Data],M_BOM[PPGridRow],33),0))</f>
        <v/>
      </c>
      <c r="AH6">
        <f>SUMPRODUCT((M_BOM[RM_Code]=$A6)*M_BOM[RM_Qty_Per_Batch]*IFERROR(INDEX(PP_Grid[#Data],M_BOM[PPGridRow],34),0))</f>
        <v/>
      </c>
      <c r="AI6">
        <f>SUMPRODUCT((M_BOM[RM_Code]=$A6)*M_BOM[RM_Qty_Per_Batch]*IFERROR(INDEX(PP_Grid[#Data],M_BOM[PPGridRow],35),0))</f>
        <v/>
      </c>
      <c r="AJ6">
        <f>SUMPRODUCT((M_BOM[RM_Code]=$A6)*M_BOM[RM_Qty_Per_Batch]*IFERROR(INDEX(PP_Grid[#Data],M_BOM[PPGridRow],36),0))</f>
        <v/>
      </c>
      <c r="AK6">
        <f>SUMPRODUCT((M_BOM[RM_Code]=$A6)*M_BOM[RM_Qty_Per_Batch]*IFERROR(INDEX(PP_Grid[#Data],M_BOM[PPGridRow],37),0))</f>
        <v/>
      </c>
      <c r="AL6">
        <f>SUMPRODUCT((M_BOM[RM_Code]=$A6)*M_BOM[RM_Qty_Per_Batch]*IFERROR(INDEX(PP_Grid[#Data],M_BOM[PPGridRow],38),0))</f>
        <v/>
      </c>
      <c r="AM6">
        <f>SUMPRODUCT((M_BOM[RM_Code]=$A6)*M_BOM[RM_Qty_Per_Batch]*IFERROR(INDEX(PP_Grid[#Data],M_BOM[PPGridRow],39),0))</f>
        <v/>
      </c>
      <c r="AN6">
        <f>SUMPRODUCT((M_BOM[RM_Code]=$A6)*M_BOM[RM_Qty_Per_Batch]*IFERROR(INDEX(PP_Grid[#Data],M_BOM[PPGridRow],40),0))</f>
        <v/>
      </c>
      <c r="AO6">
        <f>SUMPRODUCT((M_BOM[RM_Code]=$A6)*M_BOM[RM_Qty_Per_Batch]*IFERROR(INDEX(PP_Grid[#Data],M_BOM[PPGridRow],41),0))</f>
        <v/>
      </c>
      <c r="AP6">
        <f>SUMPRODUCT((M_BOM[RM_Code]=$A6)*M_BOM[RM_Qty_Per_Batch]*IFERROR(INDEX(PP_Grid[#Data],M_BOM[PPGridRow],42),0))</f>
        <v/>
      </c>
      <c r="AQ6">
        <f>SUMPRODUCT((M_BOM[RM_Code]=$A6)*M_BOM[RM_Qty_Per_Batch]*IFERROR(INDEX(PP_Grid[#Data],M_BOM[PPGridRow],43),0))</f>
        <v/>
      </c>
      <c r="AR6">
        <f>SUMPRODUCT((M_BOM[RM_Code]=$A6)*M_BOM[RM_Qty_Per_Batch]*IFERROR(INDEX(PP_Grid[#Data],M_BOM[PPGridRow],44),0))</f>
        <v/>
      </c>
      <c r="AS6">
        <f>SUMPRODUCT((M_BOM[RM_Code]=$A6)*M_BOM[RM_Qty_Per_Batch]*IFERROR(INDEX(PP_Grid[#Data],M_BOM[PPGridRow],45),0))</f>
        <v/>
      </c>
      <c r="AT6">
        <f>SUMPRODUCT((M_BOM[RM_Code]=$A6)*M_BOM[RM_Qty_Per_Batch]*IFERROR(INDEX(PP_Grid[#Data],M_BOM[PPGridRow],46),0))</f>
        <v/>
      </c>
      <c r="AU6">
        <f>SUMPRODUCT((M_BOM[RM_Code]=$A6)*M_BOM[RM_Qty_Per_Batch]*IFERROR(INDEX(PP_Grid[#Data],M_BOM[PPGridRow],47),0))</f>
        <v/>
      </c>
      <c r="AV6">
        <f>SUMPRODUCT((M_BOM[RM_Code]=$A6)*M_BOM[RM_Qty_Per_Batch]*IFERROR(INDEX(PP_Grid[#Data],M_BOM[PPGridRow],48),0))</f>
        <v/>
      </c>
      <c r="AW6">
        <f>SUMPRODUCT((M_BOM[RM_Code]=$A6)*M_BOM[RM_Qty_Per_Batch]*IFERROR(INDEX(PP_Grid[#Data],M_BOM[PPGridRow],49),0))</f>
        <v/>
      </c>
      <c r="AX6">
        <f>SUMPRODUCT((M_BOM[RM_Code]=$A6)*M_BOM[RM_Qty_Per_Batch]*IFERROR(INDEX(PP_Grid[#Data],M_BOM[PPGridRow],50),0))</f>
        <v/>
      </c>
      <c r="AY6">
        <f>SUMPRODUCT((M_BOM[RM_Code]=$A6)*M_BOM[RM_Qty_Per_Batch]*IFERROR(INDEX(PP_Grid[#Data],M_BOM[PPGridRow],51),0))</f>
        <v/>
      </c>
      <c r="AZ6">
        <f>SUMPRODUCT((M_BOM[RM_Code]=$A6)*M_BOM[RM_Qty_Per_Batch]*IFERROR(INDEX(PP_Grid[#Data],M_BOM[PPGridRow],52),0))</f>
        <v/>
      </c>
      <c r="BA6">
        <f>SUMPRODUCT((M_BOM[RM_Code]=$A6)*M_BOM[RM_Qty_Per_Batch]*IFERROR(INDEX(PP_Grid[#Data],M_BOM[PPGridRow],53),0))</f>
        <v/>
      </c>
      <c r="BB6">
        <f>SUMPRODUCT((M_BOM[RM_Code]=$A6)*M_BOM[RM_Qty_Per_Batch]*IFERROR(INDEX(PP_Grid[#Data],M_BOM[PPGridRow],54),0))</f>
        <v/>
      </c>
      <c r="BC6">
        <f>SUMPRODUCT((M_BOM[RM_Code]=$A6)*M_BOM[RM_Qty_Per_Batch]*IFERROR(INDEX(PP_Grid[#Data],M_BOM[PPGridRow],55),0))</f>
        <v/>
      </c>
      <c r="BD6">
        <f>SUMPRODUCT((M_BOM[RM_Code]=$A6)*M_BOM[RM_Qty_Per_Batch]*IFERROR(INDEX(PP_Grid[#Data],M_BOM[PPGridRow],56),0))</f>
        <v/>
      </c>
      <c r="BE6">
        <f>SUMPRODUCT((M_BOM[RM_Code]=$A6)*M_BOM[RM_Qty_Per_Batch]*IFERROR(INDEX(PP_Grid[#Data],M_BOM[PPGridRow],57),0))</f>
        <v/>
      </c>
      <c r="BF6">
        <f>SUMPRODUCT((M_BOM[RM_Code]=$A6)*M_BOM[RM_Qty_Per_Batch]*IFERROR(INDEX(PP_Grid[#Data],M_BOM[PPGridRow],58),0))</f>
        <v/>
      </c>
      <c r="BG6">
        <f>SUMPRODUCT((M_BOM[RM_Code]=$A6)*M_BOM[RM_Qty_Per_Batch]*IFERROR(INDEX(PP_Grid[#Data],M_BOM[PPGridRow],59),0))</f>
        <v/>
      </c>
      <c r="BH6">
        <f>SUMPRODUCT((M_BOM[RM_Code]=$A6)*M_BOM[RM_Qty_Per_Batch]*IFERROR(INDEX(PP_Grid[#Data],M_BOM[PPGridRow],60),0))</f>
        <v/>
      </c>
      <c r="BI6">
        <f>SUMPRODUCT((M_BOM[RM_Code]=$A6)*M_BOM[RM_Qty_Per_Batch]*IFERROR(INDEX(PP_Grid[#Data],M_BOM[PPGridRow],61),0))</f>
        <v/>
      </c>
      <c r="BJ6">
        <f>SUMPRODUCT((M_BOM[RM_Code]=$A6)*M_BOM[RM_Qty_Per_Batch]*IFERROR(INDEX(PP_Grid[#Data],M_BOM[PPGridRow],62),0))</f>
        <v/>
      </c>
      <c r="BK6">
        <f>SUMPRODUCT((M_BOM[RM_Code]=$A6)*M_BOM[RM_Qty_Per_Batch]*IFERROR(INDEX(PP_Grid[#Data],M_BOM[PPGridRow],63),0))</f>
        <v/>
      </c>
      <c r="BL6">
        <f>SUMPRODUCT((M_BOM[RM_Code]=$A6)*M_BOM[RM_Qty_Per_Batch]*IFERROR(INDEX(PP_Grid[#Data],M_BOM[PPGridRow],64),0))</f>
        <v/>
      </c>
      <c r="BM6">
        <f>SUMPRODUCT((M_BOM[RM_Code]=$A6)*M_BOM[RM_Qty_Per_Batch]*IFERROR(INDEX(PP_Grid[#Data],M_BOM[PPGridRow],65),0))</f>
        <v/>
      </c>
      <c r="BN6">
        <f>SUMPRODUCT((M_BOM[RM_Code]=$A6)*M_BOM[RM_Qty_Per_Batch]*IFERROR(INDEX(PP_Grid[#Data],M_BOM[PPGridRow],66),0))</f>
        <v/>
      </c>
      <c r="BO6">
        <f>SUMPRODUCT((M_BOM[RM_Code]=$A6)*M_BOM[RM_Qty_Per_Batch]*IFERROR(INDEX(PP_Grid[#Data],M_BOM[PPGridRow],67),0))</f>
        <v/>
      </c>
      <c r="BP6">
        <f>SUMPRODUCT((M_BOM[RM_Code]=$A6)*M_BOM[RM_Qty_Per_Batch]*IFERROR(INDEX(PP_Grid[#Data],M_BOM[PPGridRow],68),0))</f>
        <v/>
      </c>
      <c r="BQ6">
        <f>SUMPRODUCT((M_BOM[RM_Code]=$A6)*M_BOM[RM_Qty_Per_Batch]*IFERROR(INDEX(PP_Grid[#Data],M_BOM[PPGridRow],69),0))</f>
        <v/>
      </c>
      <c r="BR6">
        <f>SUMPRODUCT((M_BOM[RM_Code]=$A6)*M_BOM[RM_Qty_Per_Batch]*IFERROR(INDEX(PP_Grid[#Data],M_BOM[PPGridRow],70),0))</f>
        <v/>
      </c>
      <c r="BS6">
        <f>SUMPRODUCT((M_BOM[RM_Code]=$A6)*M_BOM[RM_Qty_Per_Batch]*IFERROR(INDEX(PP_Grid[#Data],M_BOM[PPGridRow],71),0))</f>
        <v/>
      </c>
      <c r="BT6">
        <f>SUMPRODUCT((M_BOM[RM_Code]=$A6)*M_BOM[RM_Qty_Per_Batch]*IFERROR(INDEX(PP_Grid[#Data],M_BOM[PPGridRow],72),0))</f>
        <v/>
      </c>
      <c r="BU6">
        <f>SUMPRODUCT((M_BOM[RM_Code]=$A6)*M_BOM[RM_Qty_Per_Batch]*IFERROR(INDEX(PP_Grid[#Data],M_BOM[PPGridRow],73),0))</f>
        <v/>
      </c>
      <c r="BV6">
        <f>SUMPRODUCT((M_BOM[RM_Code]=$A6)*M_BOM[RM_Qty_Per_Batch]*IFERROR(INDEX(PP_Grid[#Data],M_BOM[PPGridRow],74),0))</f>
        <v/>
      </c>
      <c r="BW6">
        <f>SUMPRODUCT((M_BOM[RM_Code]=$A6)*M_BOM[RM_Qty_Per_Batch]*IFERROR(INDEX(PP_Grid[#Data],M_BOM[PPGridRow],75),0))</f>
        <v/>
      </c>
      <c r="BX6">
        <f>SUMPRODUCT((M_BOM[RM_Code]=$A6)*M_BOM[RM_Qty_Per_Batch]*IFERROR(INDEX(PP_Grid[#Data],M_BOM[PPGridRow],76),0))</f>
        <v/>
      </c>
      <c r="BY6">
        <f>SUMPRODUCT((M_BOM[RM_Code]=$A6)*M_BOM[RM_Qty_Per_Batch]*IFERROR(INDEX(PP_Grid[#Data],M_BOM[PPGridRow],77),0))</f>
        <v/>
      </c>
      <c r="BZ6">
        <f>SUMPRODUCT((M_BOM[RM_Code]=$A6)*M_BOM[RM_Qty_Per_Batch]*IFERROR(INDEX(PP_Grid[#Data],M_BOM[PPGridRow],78),0))</f>
        <v/>
      </c>
      <c r="CA6">
        <f>SUMPRODUCT((M_BOM[RM_Code]=$A6)*M_BOM[RM_Qty_Per_Batch]*IFERROR(INDEX(PP_Grid[#Data],M_BOM[PPGridRow],79),0))</f>
        <v/>
      </c>
      <c r="CB6">
        <f>SUMPRODUCT((M_BOM[RM_Code]=$A6)*M_BOM[RM_Qty_Per_Batch]*IFERROR(INDEX(PP_Grid[#Data],M_BOM[PPGridRow],80),0))</f>
        <v/>
      </c>
      <c r="CC6">
        <f>SUMPRODUCT((M_BOM[RM_Code]=$A6)*M_BOM[RM_Qty_Per_Batch]*IFERROR(INDEX(PP_Grid[#Data],M_BOM[PPGridRow],81),0))</f>
        <v/>
      </c>
      <c r="CD6">
        <f>SUMPRODUCT((M_BOM[RM_Code]=$A6)*M_BOM[RM_Qty_Per_Batch]*IFERROR(INDEX(PP_Grid[#Data],M_BOM[PPGridRow],82),0))</f>
        <v/>
      </c>
      <c r="CE6">
        <f>SUMPRODUCT((M_BOM[RM_Code]=$A6)*M_BOM[RM_Qty_Per_Batch]*IFERROR(INDEX(PP_Grid[#Data],M_BOM[PPGridRow],83),0))</f>
        <v/>
      </c>
      <c r="CF6">
        <f>SUMPRODUCT((M_BOM[RM_Code]=$A6)*M_BOM[RM_Qty_Per_Batch]*IFERROR(INDEX(PP_Grid[#Data],M_BOM[PPGridRow],84),0))</f>
        <v/>
      </c>
      <c r="CG6">
        <f>SUMPRODUCT((M_BOM[RM_Code]=$A6)*M_BOM[RM_Qty_Per_Batch]*IFERROR(INDEX(PP_Grid[#Data],M_BOM[PPGridRow],85),0))</f>
        <v/>
      </c>
      <c r="CH6">
        <f>SUMPRODUCT((M_BOM[RM_Code]=$A6)*M_BOM[RM_Qty_Per_Batch]*IFERROR(INDEX(PP_Grid[#Data],M_BOM[PPGridRow],86),0))</f>
        <v/>
      </c>
      <c r="CI6">
        <f>SUMPRODUCT((M_BOM[RM_Code]=$A6)*M_BOM[RM_Qty_Per_Batch]*IFERROR(INDEX(PP_Grid[#Data],M_BOM[PPGridRow],87),0))</f>
        <v/>
      </c>
      <c r="CJ6">
        <f>SUMPRODUCT((M_BOM[RM_Code]=$A6)*M_BOM[RM_Qty_Per_Batch]*IFERROR(INDEX(PP_Grid[#Data],M_BOM[PPGridRow],88),0))</f>
        <v/>
      </c>
      <c r="CK6">
        <f>SUMPRODUCT((M_BOM[RM_Code]=$A6)*M_BOM[RM_Qty_Per_Batch]*IFERROR(INDEX(PP_Grid[#Data],M_BOM[PPGridRow],89),0))</f>
        <v/>
      </c>
      <c r="CL6">
        <f>SUMPRODUCT((M_BOM[RM_Code]=$A6)*M_BOM[RM_Qty_Per_Batch]*IFERROR(INDEX(PP_Grid[#Data],M_BOM[PPGridRow],90),0))</f>
        <v/>
      </c>
      <c r="CM6">
        <f>SUMPRODUCT((M_BOM[RM_Code]=$A6)*M_BOM[RM_Qty_Per_Batch]*IFERROR(INDEX(PP_Grid[#Data],M_BOM[PPGridRow],91),0))</f>
        <v/>
      </c>
      <c r="CN6">
        <f>SUMPRODUCT((M_BOM[RM_Code]=$A6)*M_BOM[RM_Qty_Per_Batch]*IFERROR(INDEX(PP_Grid[#Data],M_BOM[PPGridRow],92),0))</f>
        <v/>
      </c>
      <c r="CO6">
        <f>SUMPRODUCT((M_BOM[RM_Code]=$A6)*M_BOM[RM_Qty_Per_Batch]*IFERROR(INDEX(PP_Grid[#Data],M_BOM[PPGridRow],93),0))</f>
        <v/>
      </c>
      <c r="CP6">
        <f>SUMPRODUCT((M_BOM[RM_Code]=$A6)*M_BOM[RM_Qty_Per_Batch]*IFERROR(INDEX(PP_Grid[#Data],M_BOM[PPGridRow],94),0))</f>
        <v/>
      </c>
      <c r="CQ6">
        <f>SUMPRODUCT((M_BOM[RM_Code]=$A6)*M_BOM[RM_Qty_Per_Batch]*IFERROR(INDEX(PP_Grid[#Data],M_BOM[PPGridRow],95),0))</f>
        <v/>
      </c>
      <c r="CR6">
        <f>SUMPRODUCT((M_BOM[RM_Code]=$A6)*M_BOM[RM_Qty_Per_Batch]*IFERROR(INDEX(PP_Grid[#Data],M_BOM[PPGridRow],96),0))</f>
        <v/>
      </c>
      <c r="CS6">
        <f>SUMPRODUCT((M_BOM[RM_Code]=$A6)*M_BOM[RM_Qty_Per_Batch]*IFERROR(INDEX(PP_Grid[#Data],M_BOM[PPGridRow],97),0))</f>
        <v/>
      </c>
      <c r="CT6">
        <f>SUMPRODUCT((M_BOM[RM_Code]=$A6)*M_BOM[RM_Qty_Per_Batch]*IFERROR(INDEX(PP_Grid[#Data],M_BOM[PPGridRow],98),0))</f>
        <v/>
      </c>
      <c r="CU6">
        <f>SUMPRODUCT((M_BOM[RM_Code]=$A6)*M_BOM[RM_Qty_Per_Batch]*IFERROR(INDEX(PP_Grid[#Data],M_BOM[PPGridRow],99),0))</f>
        <v/>
      </c>
      <c r="CV6">
        <f>SUMPRODUCT((M_BOM[RM_Code]=$A6)*M_BOM[RM_Qty_Per_Batch]*IFERROR(INDEX(PP_Grid[#Data],M_BOM[PPGridRow],100),0))</f>
        <v/>
      </c>
      <c r="CW6">
        <f>SUMPRODUCT((M_BOM[RM_Code]=$A6)*M_BOM[RM_Qty_Per_Batch]*IFERROR(INDEX(PP_Grid[#Data],M_BOM[PPGridRow],101),0))</f>
        <v/>
      </c>
      <c r="CX6">
        <f>SUMPRODUCT((M_BOM[RM_Code]=$A6)*M_BOM[RM_Qty_Per_Batch]*IFERROR(INDEX(PP_Grid[#Data],M_BOM[PPGridRow],102),0))</f>
        <v/>
      </c>
      <c r="CY6">
        <f>SUMPRODUCT((M_BOM[RM_Code]=$A6)*M_BOM[RM_Qty_Per_Batch]*IFERROR(INDEX(PP_Grid[#Data],M_BOM[PPGridRow],103),0))</f>
        <v/>
      </c>
      <c r="CZ6">
        <f>SUMPRODUCT((M_BOM[RM_Code]=$A6)*M_BOM[RM_Qty_Per_Batch]*IFERROR(INDEX(PP_Grid[#Data],M_BOM[PPGridRow],104),0))</f>
        <v/>
      </c>
      <c r="DA6">
        <f>SUMPRODUCT((M_BOM[RM_Code]=$A6)*M_BOM[RM_Qty_Per_Batch]*IFERROR(INDEX(PP_Grid[#Data],M_BOM[PPGridRow],105),0))</f>
        <v/>
      </c>
    </row>
    <row r="7">
      <c r="A7" t="inlineStr">
        <is>
          <t>CHEM-1540</t>
        </is>
      </c>
      <c r="B7">
        <f>SUMPRODUCT((M_BOM[RM_Code]=$A7)*M_BOM[RM_Qty_Per_Batch]*IFERROR(INDEX(PP_Grid[#Data],M_BOM[PPGridRow],2),0))</f>
        <v/>
      </c>
      <c r="C7">
        <f>SUMPRODUCT((M_BOM[RM_Code]=$A7)*M_BOM[RM_Qty_Per_Batch]*IFERROR(INDEX(PP_Grid[#Data],M_BOM[PPGridRow],3),0))</f>
        <v/>
      </c>
      <c r="D7">
        <f>SUMPRODUCT((M_BOM[RM_Code]=$A7)*M_BOM[RM_Qty_Per_Batch]*IFERROR(INDEX(PP_Grid[#Data],M_BOM[PPGridRow],4),0))</f>
        <v/>
      </c>
      <c r="E7">
        <f>SUMPRODUCT((M_BOM[RM_Code]=$A7)*M_BOM[RM_Qty_Per_Batch]*IFERROR(INDEX(PP_Grid[#Data],M_BOM[PPGridRow],5),0))</f>
        <v/>
      </c>
      <c r="F7">
        <f>SUMPRODUCT((M_BOM[RM_Code]=$A7)*M_BOM[RM_Qty_Per_Batch]*IFERROR(INDEX(PP_Grid[#Data],M_BOM[PPGridRow],6),0))</f>
        <v/>
      </c>
      <c r="G7">
        <f>SUMPRODUCT((M_BOM[RM_Code]=$A7)*M_BOM[RM_Qty_Per_Batch]*IFERROR(INDEX(PP_Grid[#Data],M_BOM[PPGridRow],7),0))</f>
        <v/>
      </c>
      <c r="H7">
        <f>SUMPRODUCT((M_BOM[RM_Code]=$A7)*M_BOM[RM_Qty_Per_Batch]*IFERROR(INDEX(PP_Grid[#Data],M_BOM[PPGridRow],8),0))</f>
        <v/>
      </c>
      <c r="I7">
        <f>SUMPRODUCT((M_BOM[RM_Code]=$A7)*M_BOM[RM_Qty_Per_Batch]*IFERROR(INDEX(PP_Grid[#Data],M_BOM[PPGridRow],9),0))</f>
        <v/>
      </c>
      <c r="J7">
        <f>SUMPRODUCT((M_BOM[RM_Code]=$A7)*M_BOM[RM_Qty_Per_Batch]*IFERROR(INDEX(PP_Grid[#Data],M_BOM[PPGridRow],10),0))</f>
        <v/>
      </c>
      <c r="K7">
        <f>SUMPRODUCT((M_BOM[RM_Code]=$A7)*M_BOM[RM_Qty_Per_Batch]*IFERROR(INDEX(PP_Grid[#Data],M_BOM[PPGridRow],11),0))</f>
        <v/>
      </c>
      <c r="L7">
        <f>SUMPRODUCT((M_BOM[RM_Code]=$A7)*M_BOM[RM_Qty_Per_Batch]*IFERROR(INDEX(PP_Grid[#Data],M_BOM[PPGridRow],12),0))</f>
        <v/>
      </c>
      <c r="M7">
        <f>SUMPRODUCT((M_BOM[RM_Code]=$A7)*M_BOM[RM_Qty_Per_Batch]*IFERROR(INDEX(PP_Grid[#Data],M_BOM[PPGridRow],13),0))</f>
        <v/>
      </c>
      <c r="N7">
        <f>SUMPRODUCT((M_BOM[RM_Code]=$A7)*M_BOM[RM_Qty_Per_Batch]*IFERROR(INDEX(PP_Grid[#Data],M_BOM[PPGridRow],14),0))</f>
        <v/>
      </c>
      <c r="O7">
        <f>SUMPRODUCT((M_BOM[RM_Code]=$A7)*M_BOM[RM_Qty_Per_Batch]*IFERROR(INDEX(PP_Grid[#Data],M_BOM[PPGridRow],15),0))</f>
        <v/>
      </c>
      <c r="P7">
        <f>SUMPRODUCT((M_BOM[RM_Code]=$A7)*M_BOM[RM_Qty_Per_Batch]*IFERROR(INDEX(PP_Grid[#Data],M_BOM[PPGridRow],16),0))</f>
        <v/>
      </c>
      <c r="Q7">
        <f>SUMPRODUCT((M_BOM[RM_Code]=$A7)*M_BOM[RM_Qty_Per_Batch]*IFERROR(INDEX(PP_Grid[#Data],M_BOM[PPGridRow],17),0))</f>
        <v/>
      </c>
      <c r="R7">
        <f>SUMPRODUCT((M_BOM[RM_Code]=$A7)*M_BOM[RM_Qty_Per_Batch]*IFERROR(INDEX(PP_Grid[#Data],M_BOM[PPGridRow],18),0))</f>
        <v/>
      </c>
      <c r="S7">
        <f>SUMPRODUCT((M_BOM[RM_Code]=$A7)*M_BOM[RM_Qty_Per_Batch]*IFERROR(INDEX(PP_Grid[#Data],M_BOM[PPGridRow],19),0))</f>
        <v/>
      </c>
      <c r="T7">
        <f>SUMPRODUCT((M_BOM[RM_Code]=$A7)*M_BOM[RM_Qty_Per_Batch]*IFERROR(INDEX(PP_Grid[#Data],M_BOM[PPGridRow],20),0))</f>
        <v/>
      </c>
      <c r="U7">
        <f>SUMPRODUCT((M_BOM[RM_Code]=$A7)*M_BOM[RM_Qty_Per_Batch]*IFERROR(INDEX(PP_Grid[#Data],M_BOM[PPGridRow],21),0))</f>
        <v/>
      </c>
      <c r="V7">
        <f>SUMPRODUCT((M_BOM[RM_Code]=$A7)*M_BOM[RM_Qty_Per_Batch]*IFERROR(INDEX(PP_Grid[#Data],M_BOM[PPGridRow],22),0))</f>
        <v/>
      </c>
      <c r="W7">
        <f>SUMPRODUCT((M_BOM[RM_Code]=$A7)*M_BOM[RM_Qty_Per_Batch]*IFERROR(INDEX(PP_Grid[#Data],M_BOM[PPGridRow],23),0))</f>
        <v/>
      </c>
      <c r="X7">
        <f>SUMPRODUCT((M_BOM[RM_Code]=$A7)*M_BOM[RM_Qty_Per_Batch]*IFERROR(INDEX(PP_Grid[#Data],M_BOM[PPGridRow],24),0))</f>
        <v/>
      </c>
      <c r="Y7">
        <f>SUMPRODUCT((M_BOM[RM_Code]=$A7)*M_BOM[RM_Qty_Per_Batch]*IFERROR(INDEX(PP_Grid[#Data],M_BOM[PPGridRow],25),0))</f>
        <v/>
      </c>
      <c r="Z7">
        <f>SUMPRODUCT((M_BOM[RM_Code]=$A7)*M_BOM[RM_Qty_Per_Batch]*IFERROR(INDEX(PP_Grid[#Data],M_BOM[PPGridRow],26),0))</f>
        <v/>
      </c>
      <c r="AA7">
        <f>SUMPRODUCT((M_BOM[RM_Code]=$A7)*M_BOM[RM_Qty_Per_Batch]*IFERROR(INDEX(PP_Grid[#Data],M_BOM[PPGridRow],27),0))</f>
        <v/>
      </c>
      <c r="AB7">
        <f>SUMPRODUCT((M_BOM[RM_Code]=$A7)*M_BOM[RM_Qty_Per_Batch]*IFERROR(INDEX(PP_Grid[#Data],M_BOM[PPGridRow],28),0))</f>
        <v/>
      </c>
      <c r="AC7">
        <f>SUMPRODUCT((M_BOM[RM_Code]=$A7)*M_BOM[RM_Qty_Per_Batch]*IFERROR(INDEX(PP_Grid[#Data],M_BOM[PPGridRow],29),0))</f>
        <v/>
      </c>
      <c r="AD7">
        <f>SUMPRODUCT((M_BOM[RM_Code]=$A7)*M_BOM[RM_Qty_Per_Batch]*IFERROR(INDEX(PP_Grid[#Data],M_BOM[PPGridRow],30),0))</f>
        <v/>
      </c>
      <c r="AE7">
        <f>SUMPRODUCT((M_BOM[RM_Code]=$A7)*M_BOM[RM_Qty_Per_Batch]*IFERROR(INDEX(PP_Grid[#Data],M_BOM[PPGridRow],31),0))</f>
        <v/>
      </c>
      <c r="AF7">
        <f>SUMPRODUCT((M_BOM[RM_Code]=$A7)*M_BOM[RM_Qty_Per_Batch]*IFERROR(INDEX(PP_Grid[#Data],M_BOM[PPGridRow],32),0))</f>
        <v/>
      </c>
      <c r="AG7">
        <f>SUMPRODUCT((M_BOM[RM_Code]=$A7)*M_BOM[RM_Qty_Per_Batch]*IFERROR(INDEX(PP_Grid[#Data],M_BOM[PPGridRow],33),0))</f>
        <v/>
      </c>
      <c r="AH7">
        <f>SUMPRODUCT((M_BOM[RM_Code]=$A7)*M_BOM[RM_Qty_Per_Batch]*IFERROR(INDEX(PP_Grid[#Data],M_BOM[PPGridRow],34),0))</f>
        <v/>
      </c>
      <c r="AI7">
        <f>SUMPRODUCT((M_BOM[RM_Code]=$A7)*M_BOM[RM_Qty_Per_Batch]*IFERROR(INDEX(PP_Grid[#Data],M_BOM[PPGridRow],35),0))</f>
        <v/>
      </c>
      <c r="AJ7">
        <f>SUMPRODUCT((M_BOM[RM_Code]=$A7)*M_BOM[RM_Qty_Per_Batch]*IFERROR(INDEX(PP_Grid[#Data],M_BOM[PPGridRow],36),0))</f>
        <v/>
      </c>
      <c r="AK7">
        <f>SUMPRODUCT((M_BOM[RM_Code]=$A7)*M_BOM[RM_Qty_Per_Batch]*IFERROR(INDEX(PP_Grid[#Data],M_BOM[PPGridRow],37),0))</f>
        <v/>
      </c>
      <c r="AL7">
        <f>SUMPRODUCT((M_BOM[RM_Code]=$A7)*M_BOM[RM_Qty_Per_Batch]*IFERROR(INDEX(PP_Grid[#Data],M_BOM[PPGridRow],38),0))</f>
        <v/>
      </c>
      <c r="AM7">
        <f>SUMPRODUCT((M_BOM[RM_Code]=$A7)*M_BOM[RM_Qty_Per_Batch]*IFERROR(INDEX(PP_Grid[#Data],M_BOM[PPGridRow],39),0))</f>
        <v/>
      </c>
      <c r="AN7">
        <f>SUMPRODUCT((M_BOM[RM_Code]=$A7)*M_BOM[RM_Qty_Per_Batch]*IFERROR(INDEX(PP_Grid[#Data],M_BOM[PPGridRow],40),0))</f>
        <v/>
      </c>
      <c r="AO7">
        <f>SUMPRODUCT((M_BOM[RM_Code]=$A7)*M_BOM[RM_Qty_Per_Batch]*IFERROR(INDEX(PP_Grid[#Data],M_BOM[PPGridRow],41),0))</f>
        <v/>
      </c>
      <c r="AP7">
        <f>SUMPRODUCT((M_BOM[RM_Code]=$A7)*M_BOM[RM_Qty_Per_Batch]*IFERROR(INDEX(PP_Grid[#Data],M_BOM[PPGridRow],42),0))</f>
        <v/>
      </c>
      <c r="AQ7">
        <f>SUMPRODUCT((M_BOM[RM_Code]=$A7)*M_BOM[RM_Qty_Per_Batch]*IFERROR(INDEX(PP_Grid[#Data],M_BOM[PPGridRow],43),0))</f>
        <v/>
      </c>
      <c r="AR7">
        <f>SUMPRODUCT((M_BOM[RM_Code]=$A7)*M_BOM[RM_Qty_Per_Batch]*IFERROR(INDEX(PP_Grid[#Data],M_BOM[PPGridRow],44),0))</f>
        <v/>
      </c>
      <c r="AS7">
        <f>SUMPRODUCT((M_BOM[RM_Code]=$A7)*M_BOM[RM_Qty_Per_Batch]*IFERROR(INDEX(PP_Grid[#Data],M_BOM[PPGridRow],45),0))</f>
        <v/>
      </c>
      <c r="AT7">
        <f>SUMPRODUCT((M_BOM[RM_Code]=$A7)*M_BOM[RM_Qty_Per_Batch]*IFERROR(INDEX(PP_Grid[#Data],M_BOM[PPGridRow],46),0))</f>
        <v/>
      </c>
      <c r="AU7">
        <f>SUMPRODUCT((M_BOM[RM_Code]=$A7)*M_BOM[RM_Qty_Per_Batch]*IFERROR(INDEX(PP_Grid[#Data],M_BOM[PPGridRow],47),0))</f>
        <v/>
      </c>
      <c r="AV7">
        <f>SUMPRODUCT((M_BOM[RM_Code]=$A7)*M_BOM[RM_Qty_Per_Batch]*IFERROR(INDEX(PP_Grid[#Data],M_BOM[PPGridRow],48),0))</f>
        <v/>
      </c>
      <c r="AW7">
        <f>SUMPRODUCT((M_BOM[RM_Code]=$A7)*M_BOM[RM_Qty_Per_Batch]*IFERROR(INDEX(PP_Grid[#Data],M_BOM[PPGridRow],49),0))</f>
        <v/>
      </c>
      <c r="AX7">
        <f>SUMPRODUCT((M_BOM[RM_Code]=$A7)*M_BOM[RM_Qty_Per_Batch]*IFERROR(INDEX(PP_Grid[#Data],M_BOM[PPGridRow],50),0))</f>
        <v/>
      </c>
      <c r="AY7">
        <f>SUMPRODUCT((M_BOM[RM_Code]=$A7)*M_BOM[RM_Qty_Per_Batch]*IFERROR(INDEX(PP_Grid[#Data],M_BOM[PPGridRow],51),0))</f>
        <v/>
      </c>
      <c r="AZ7">
        <f>SUMPRODUCT((M_BOM[RM_Code]=$A7)*M_BOM[RM_Qty_Per_Batch]*IFERROR(INDEX(PP_Grid[#Data],M_BOM[PPGridRow],52),0))</f>
        <v/>
      </c>
      <c r="BA7">
        <f>SUMPRODUCT((M_BOM[RM_Code]=$A7)*M_BOM[RM_Qty_Per_Batch]*IFERROR(INDEX(PP_Grid[#Data],M_BOM[PPGridRow],53),0))</f>
        <v/>
      </c>
      <c r="BB7">
        <f>SUMPRODUCT((M_BOM[RM_Code]=$A7)*M_BOM[RM_Qty_Per_Batch]*IFERROR(INDEX(PP_Grid[#Data],M_BOM[PPGridRow],54),0))</f>
        <v/>
      </c>
      <c r="BC7">
        <f>SUMPRODUCT((M_BOM[RM_Code]=$A7)*M_BOM[RM_Qty_Per_Batch]*IFERROR(INDEX(PP_Grid[#Data],M_BOM[PPGridRow],55),0))</f>
        <v/>
      </c>
      <c r="BD7">
        <f>SUMPRODUCT((M_BOM[RM_Code]=$A7)*M_BOM[RM_Qty_Per_Batch]*IFERROR(INDEX(PP_Grid[#Data],M_BOM[PPGridRow],56),0))</f>
        <v/>
      </c>
      <c r="BE7">
        <f>SUMPRODUCT((M_BOM[RM_Code]=$A7)*M_BOM[RM_Qty_Per_Batch]*IFERROR(INDEX(PP_Grid[#Data],M_BOM[PPGridRow],57),0))</f>
        <v/>
      </c>
      <c r="BF7">
        <f>SUMPRODUCT((M_BOM[RM_Code]=$A7)*M_BOM[RM_Qty_Per_Batch]*IFERROR(INDEX(PP_Grid[#Data],M_BOM[PPGridRow],58),0))</f>
        <v/>
      </c>
      <c r="BG7">
        <f>SUMPRODUCT((M_BOM[RM_Code]=$A7)*M_BOM[RM_Qty_Per_Batch]*IFERROR(INDEX(PP_Grid[#Data],M_BOM[PPGridRow],59),0))</f>
        <v/>
      </c>
      <c r="BH7">
        <f>SUMPRODUCT((M_BOM[RM_Code]=$A7)*M_BOM[RM_Qty_Per_Batch]*IFERROR(INDEX(PP_Grid[#Data],M_BOM[PPGridRow],60),0))</f>
        <v/>
      </c>
      <c r="BI7">
        <f>SUMPRODUCT((M_BOM[RM_Code]=$A7)*M_BOM[RM_Qty_Per_Batch]*IFERROR(INDEX(PP_Grid[#Data],M_BOM[PPGridRow],61),0))</f>
        <v/>
      </c>
      <c r="BJ7">
        <f>SUMPRODUCT((M_BOM[RM_Code]=$A7)*M_BOM[RM_Qty_Per_Batch]*IFERROR(INDEX(PP_Grid[#Data],M_BOM[PPGridRow],62),0))</f>
        <v/>
      </c>
      <c r="BK7">
        <f>SUMPRODUCT((M_BOM[RM_Code]=$A7)*M_BOM[RM_Qty_Per_Batch]*IFERROR(INDEX(PP_Grid[#Data],M_BOM[PPGridRow],63),0))</f>
        <v/>
      </c>
      <c r="BL7">
        <f>SUMPRODUCT((M_BOM[RM_Code]=$A7)*M_BOM[RM_Qty_Per_Batch]*IFERROR(INDEX(PP_Grid[#Data],M_BOM[PPGridRow],64),0))</f>
        <v/>
      </c>
      <c r="BM7">
        <f>SUMPRODUCT((M_BOM[RM_Code]=$A7)*M_BOM[RM_Qty_Per_Batch]*IFERROR(INDEX(PP_Grid[#Data],M_BOM[PPGridRow],65),0))</f>
        <v/>
      </c>
      <c r="BN7">
        <f>SUMPRODUCT((M_BOM[RM_Code]=$A7)*M_BOM[RM_Qty_Per_Batch]*IFERROR(INDEX(PP_Grid[#Data],M_BOM[PPGridRow],66),0))</f>
        <v/>
      </c>
      <c r="BO7">
        <f>SUMPRODUCT((M_BOM[RM_Code]=$A7)*M_BOM[RM_Qty_Per_Batch]*IFERROR(INDEX(PP_Grid[#Data],M_BOM[PPGridRow],67),0))</f>
        <v/>
      </c>
      <c r="BP7">
        <f>SUMPRODUCT((M_BOM[RM_Code]=$A7)*M_BOM[RM_Qty_Per_Batch]*IFERROR(INDEX(PP_Grid[#Data],M_BOM[PPGridRow],68),0))</f>
        <v/>
      </c>
      <c r="BQ7">
        <f>SUMPRODUCT((M_BOM[RM_Code]=$A7)*M_BOM[RM_Qty_Per_Batch]*IFERROR(INDEX(PP_Grid[#Data],M_BOM[PPGridRow],69),0))</f>
        <v/>
      </c>
      <c r="BR7">
        <f>SUMPRODUCT((M_BOM[RM_Code]=$A7)*M_BOM[RM_Qty_Per_Batch]*IFERROR(INDEX(PP_Grid[#Data],M_BOM[PPGridRow],70),0))</f>
        <v/>
      </c>
      <c r="BS7">
        <f>SUMPRODUCT((M_BOM[RM_Code]=$A7)*M_BOM[RM_Qty_Per_Batch]*IFERROR(INDEX(PP_Grid[#Data],M_BOM[PPGridRow],71),0))</f>
        <v/>
      </c>
      <c r="BT7">
        <f>SUMPRODUCT((M_BOM[RM_Code]=$A7)*M_BOM[RM_Qty_Per_Batch]*IFERROR(INDEX(PP_Grid[#Data],M_BOM[PPGridRow],72),0))</f>
        <v/>
      </c>
      <c r="BU7">
        <f>SUMPRODUCT((M_BOM[RM_Code]=$A7)*M_BOM[RM_Qty_Per_Batch]*IFERROR(INDEX(PP_Grid[#Data],M_BOM[PPGridRow],73),0))</f>
        <v/>
      </c>
      <c r="BV7">
        <f>SUMPRODUCT((M_BOM[RM_Code]=$A7)*M_BOM[RM_Qty_Per_Batch]*IFERROR(INDEX(PP_Grid[#Data],M_BOM[PPGridRow],74),0))</f>
        <v/>
      </c>
      <c r="BW7">
        <f>SUMPRODUCT((M_BOM[RM_Code]=$A7)*M_BOM[RM_Qty_Per_Batch]*IFERROR(INDEX(PP_Grid[#Data],M_BOM[PPGridRow],75),0))</f>
        <v/>
      </c>
      <c r="BX7">
        <f>SUMPRODUCT((M_BOM[RM_Code]=$A7)*M_BOM[RM_Qty_Per_Batch]*IFERROR(INDEX(PP_Grid[#Data],M_BOM[PPGridRow],76),0))</f>
        <v/>
      </c>
      <c r="BY7">
        <f>SUMPRODUCT((M_BOM[RM_Code]=$A7)*M_BOM[RM_Qty_Per_Batch]*IFERROR(INDEX(PP_Grid[#Data],M_BOM[PPGridRow],77),0))</f>
        <v/>
      </c>
      <c r="BZ7">
        <f>SUMPRODUCT((M_BOM[RM_Code]=$A7)*M_BOM[RM_Qty_Per_Batch]*IFERROR(INDEX(PP_Grid[#Data],M_BOM[PPGridRow],78),0))</f>
        <v/>
      </c>
      <c r="CA7">
        <f>SUMPRODUCT((M_BOM[RM_Code]=$A7)*M_BOM[RM_Qty_Per_Batch]*IFERROR(INDEX(PP_Grid[#Data],M_BOM[PPGridRow],79),0))</f>
        <v/>
      </c>
      <c r="CB7">
        <f>SUMPRODUCT((M_BOM[RM_Code]=$A7)*M_BOM[RM_Qty_Per_Batch]*IFERROR(INDEX(PP_Grid[#Data],M_BOM[PPGridRow],80),0))</f>
        <v/>
      </c>
      <c r="CC7">
        <f>SUMPRODUCT((M_BOM[RM_Code]=$A7)*M_BOM[RM_Qty_Per_Batch]*IFERROR(INDEX(PP_Grid[#Data],M_BOM[PPGridRow],81),0))</f>
        <v/>
      </c>
      <c r="CD7">
        <f>SUMPRODUCT((M_BOM[RM_Code]=$A7)*M_BOM[RM_Qty_Per_Batch]*IFERROR(INDEX(PP_Grid[#Data],M_BOM[PPGridRow],82),0))</f>
        <v/>
      </c>
      <c r="CE7">
        <f>SUMPRODUCT((M_BOM[RM_Code]=$A7)*M_BOM[RM_Qty_Per_Batch]*IFERROR(INDEX(PP_Grid[#Data],M_BOM[PPGridRow],83),0))</f>
        <v/>
      </c>
      <c r="CF7">
        <f>SUMPRODUCT((M_BOM[RM_Code]=$A7)*M_BOM[RM_Qty_Per_Batch]*IFERROR(INDEX(PP_Grid[#Data],M_BOM[PPGridRow],84),0))</f>
        <v/>
      </c>
      <c r="CG7">
        <f>SUMPRODUCT((M_BOM[RM_Code]=$A7)*M_BOM[RM_Qty_Per_Batch]*IFERROR(INDEX(PP_Grid[#Data],M_BOM[PPGridRow],85),0))</f>
        <v/>
      </c>
      <c r="CH7">
        <f>SUMPRODUCT((M_BOM[RM_Code]=$A7)*M_BOM[RM_Qty_Per_Batch]*IFERROR(INDEX(PP_Grid[#Data],M_BOM[PPGridRow],86),0))</f>
        <v/>
      </c>
      <c r="CI7">
        <f>SUMPRODUCT((M_BOM[RM_Code]=$A7)*M_BOM[RM_Qty_Per_Batch]*IFERROR(INDEX(PP_Grid[#Data],M_BOM[PPGridRow],87),0))</f>
        <v/>
      </c>
      <c r="CJ7">
        <f>SUMPRODUCT((M_BOM[RM_Code]=$A7)*M_BOM[RM_Qty_Per_Batch]*IFERROR(INDEX(PP_Grid[#Data],M_BOM[PPGridRow],88),0))</f>
        <v/>
      </c>
      <c r="CK7">
        <f>SUMPRODUCT((M_BOM[RM_Code]=$A7)*M_BOM[RM_Qty_Per_Batch]*IFERROR(INDEX(PP_Grid[#Data],M_BOM[PPGridRow],89),0))</f>
        <v/>
      </c>
      <c r="CL7">
        <f>SUMPRODUCT((M_BOM[RM_Code]=$A7)*M_BOM[RM_Qty_Per_Batch]*IFERROR(INDEX(PP_Grid[#Data],M_BOM[PPGridRow],90),0))</f>
        <v/>
      </c>
      <c r="CM7">
        <f>SUMPRODUCT((M_BOM[RM_Code]=$A7)*M_BOM[RM_Qty_Per_Batch]*IFERROR(INDEX(PP_Grid[#Data],M_BOM[PPGridRow],91),0))</f>
        <v/>
      </c>
      <c r="CN7">
        <f>SUMPRODUCT((M_BOM[RM_Code]=$A7)*M_BOM[RM_Qty_Per_Batch]*IFERROR(INDEX(PP_Grid[#Data],M_BOM[PPGridRow],92),0))</f>
        <v/>
      </c>
      <c r="CO7">
        <f>SUMPRODUCT((M_BOM[RM_Code]=$A7)*M_BOM[RM_Qty_Per_Batch]*IFERROR(INDEX(PP_Grid[#Data],M_BOM[PPGridRow],93),0))</f>
        <v/>
      </c>
      <c r="CP7">
        <f>SUMPRODUCT((M_BOM[RM_Code]=$A7)*M_BOM[RM_Qty_Per_Batch]*IFERROR(INDEX(PP_Grid[#Data],M_BOM[PPGridRow],94),0))</f>
        <v/>
      </c>
      <c r="CQ7">
        <f>SUMPRODUCT((M_BOM[RM_Code]=$A7)*M_BOM[RM_Qty_Per_Batch]*IFERROR(INDEX(PP_Grid[#Data],M_BOM[PPGridRow],95),0))</f>
        <v/>
      </c>
      <c r="CR7">
        <f>SUMPRODUCT((M_BOM[RM_Code]=$A7)*M_BOM[RM_Qty_Per_Batch]*IFERROR(INDEX(PP_Grid[#Data],M_BOM[PPGridRow],96),0))</f>
        <v/>
      </c>
      <c r="CS7">
        <f>SUMPRODUCT((M_BOM[RM_Code]=$A7)*M_BOM[RM_Qty_Per_Batch]*IFERROR(INDEX(PP_Grid[#Data],M_BOM[PPGridRow],97),0))</f>
        <v/>
      </c>
      <c r="CT7">
        <f>SUMPRODUCT((M_BOM[RM_Code]=$A7)*M_BOM[RM_Qty_Per_Batch]*IFERROR(INDEX(PP_Grid[#Data],M_BOM[PPGridRow],98),0))</f>
        <v/>
      </c>
      <c r="CU7">
        <f>SUMPRODUCT((M_BOM[RM_Code]=$A7)*M_BOM[RM_Qty_Per_Batch]*IFERROR(INDEX(PP_Grid[#Data],M_BOM[PPGridRow],99),0))</f>
        <v/>
      </c>
      <c r="CV7">
        <f>SUMPRODUCT((M_BOM[RM_Code]=$A7)*M_BOM[RM_Qty_Per_Batch]*IFERROR(INDEX(PP_Grid[#Data],M_BOM[PPGridRow],100),0))</f>
        <v/>
      </c>
      <c r="CW7">
        <f>SUMPRODUCT((M_BOM[RM_Code]=$A7)*M_BOM[RM_Qty_Per_Batch]*IFERROR(INDEX(PP_Grid[#Data],M_BOM[PPGridRow],101),0))</f>
        <v/>
      </c>
      <c r="CX7">
        <f>SUMPRODUCT((M_BOM[RM_Code]=$A7)*M_BOM[RM_Qty_Per_Batch]*IFERROR(INDEX(PP_Grid[#Data],M_BOM[PPGridRow],102),0))</f>
        <v/>
      </c>
      <c r="CY7">
        <f>SUMPRODUCT((M_BOM[RM_Code]=$A7)*M_BOM[RM_Qty_Per_Batch]*IFERROR(INDEX(PP_Grid[#Data],M_BOM[PPGridRow],103),0))</f>
        <v/>
      </c>
      <c r="CZ7">
        <f>SUMPRODUCT((M_BOM[RM_Code]=$A7)*M_BOM[RM_Qty_Per_Batch]*IFERROR(INDEX(PP_Grid[#Data],M_BOM[PPGridRow],104),0))</f>
        <v/>
      </c>
      <c r="DA7">
        <f>SUMPRODUCT((M_BOM[RM_Code]=$A7)*M_BOM[RM_Qty_Per_Batch]*IFERROR(INDEX(PP_Grid[#Data],M_BOM[PPGridRow],105),0))</f>
        <v/>
      </c>
    </row>
    <row r="8">
      <c r="A8" t="inlineStr">
        <is>
          <t>CHEM-1690</t>
        </is>
      </c>
      <c r="B8">
        <f>SUMPRODUCT((M_BOM[RM_Code]=$A8)*M_BOM[RM_Qty_Per_Batch]*IFERROR(INDEX(PP_Grid[#Data],M_BOM[PPGridRow],2),0))</f>
        <v/>
      </c>
      <c r="C8">
        <f>SUMPRODUCT((M_BOM[RM_Code]=$A8)*M_BOM[RM_Qty_Per_Batch]*IFERROR(INDEX(PP_Grid[#Data],M_BOM[PPGridRow],3),0))</f>
        <v/>
      </c>
      <c r="D8">
        <f>SUMPRODUCT((M_BOM[RM_Code]=$A8)*M_BOM[RM_Qty_Per_Batch]*IFERROR(INDEX(PP_Grid[#Data],M_BOM[PPGridRow],4),0))</f>
        <v/>
      </c>
      <c r="E8">
        <f>SUMPRODUCT((M_BOM[RM_Code]=$A8)*M_BOM[RM_Qty_Per_Batch]*IFERROR(INDEX(PP_Grid[#Data],M_BOM[PPGridRow],5),0))</f>
        <v/>
      </c>
      <c r="F8">
        <f>SUMPRODUCT((M_BOM[RM_Code]=$A8)*M_BOM[RM_Qty_Per_Batch]*IFERROR(INDEX(PP_Grid[#Data],M_BOM[PPGridRow],6),0))</f>
        <v/>
      </c>
      <c r="G8">
        <f>SUMPRODUCT((M_BOM[RM_Code]=$A8)*M_BOM[RM_Qty_Per_Batch]*IFERROR(INDEX(PP_Grid[#Data],M_BOM[PPGridRow],7),0))</f>
        <v/>
      </c>
      <c r="H8">
        <f>SUMPRODUCT((M_BOM[RM_Code]=$A8)*M_BOM[RM_Qty_Per_Batch]*IFERROR(INDEX(PP_Grid[#Data],M_BOM[PPGridRow],8),0))</f>
        <v/>
      </c>
      <c r="I8">
        <f>SUMPRODUCT((M_BOM[RM_Code]=$A8)*M_BOM[RM_Qty_Per_Batch]*IFERROR(INDEX(PP_Grid[#Data],M_BOM[PPGridRow],9),0))</f>
        <v/>
      </c>
      <c r="J8">
        <f>SUMPRODUCT((M_BOM[RM_Code]=$A8)*M_BOM[RM_Qty_Per_Batch]*IFERROR(INDEX(PP_Grid[#Data],M_BOM[PPGridRow],10),0))</f>
        <v/>
      </c>
      <c r="K8">
        <f>SUMPRODUCT((M_BOM[RM_Code]=$A8)*M_BOM[RM_Qty_Per_Batch]*IFERROR(INDEX(PP_Grid[#Data],M_BOM[PPGridRow],11),0))</f>
        <v/>
      </c>
      <c r="L8">
        <f>SUMPRODUCT((M_BOM[RM_Code]=$A8)*M_BOM[RM_Qty_Per_Batch]*IFERROR(INDEX(PP_Grid[#Data],M_BOM[PPGridRow],12),0))</f>
        <v/>
      </c>
      <c r="M8">
        <f>SUMPRODUCT((M_BOM[RM_Code]=$A8)*M_BOM[RM_Qty_Per_Batch]*IFERROR(INDEX(PP_Grid[#Data],M_BOM[PPGridRow],13),0))</f>
        <v/>
      </c>
      <c r="N8">
        <f>SUMPRODUCT((M_BOM[RM_Code]=$A8)*M_BOM[RM_Qty_Per_Batch]*IFERROR(INDEX(PP_Grid[#Data],M_BOM[PPGridRow],14),0))</f>
        <v/>
      </c>
      <c r="O8">
        <f>SUMPRODUCT((M_BOM[RM_Code]=$A8)*M_BOM[RM_Qty_Per_Batch]*IFERROR(INDEX(PP_Grid[#Data],M_BOM[PPGridRow],15),0))</f>
        <v/>
      </c>
      <c r="P8">
        <f>SUMPRODUCT((M_BOM[RM_Code]=$A8)*M_BOM[RM_Qty_Per_Batch]*IFERROR(INDEX(PP_Grid[#Data],M_BOM[PPGridRow],16),0))</f>
        <v/>
      </c>
      <c r="Q8">
        <f>SUMPRODUCT((M_BOM[RM_Code]=$A8)*M_BOM[RM_Qty_Per_Batch]*IFERROR(INDEX(PP_Grid[#Data],M_BOM[PPGridRow],17),0))</f>
        <v/>
      </c>
      <c r="R8">
        <f>SUMPRODUCT((M_BOM[RM_Code]=$A8)*M_BOM[RM_Qty_Per_Batch]*IFERROR(INDEX(PP_Grid[#Data],M_BOM[PPGridRow],18),0))</f>
        <v/>
      </c>
      <c r="S8">
        <f>SUMPRODUCT((M_BOM[RM_Code]=$A8)*M_BOM[RM_Qty_Per_Batch]*IFERROR(INDEX(PP_Grid[#Data],M_BOM[PPGridRow],19),0))</f>
        <v/>
      </c>
      <c r="T8">
        <f>SUMPRODUCT((M_BOM[RM_Code]=$A8)*M_BOM[RM_Qty_Per_Batch]*IFERROR(INDEX(PP_Grid[#Data],M_BOM[PPGridRow],20),0))</f>
        <v/>
      </c>
      <c r="U8">
        <f>SUMPRODUCT((M_BOM[RM_Code]=$A8)*M_BOM[RM_Qty_Per_Batch]*IFERROR(INDEX(PP_Grid[#Data],M_BOM[PPGridRow],21),0))</f>
        <v/>
      </c>
      <c r="V8">
        <f>SUMPRODUCT((M_BOM[RM_Code]=$A8)*M_BOM[RM_Qty_Per_Batch]*IFERROR(INDEX(PP_Grid[#Data],M_BOM[PPGridRow],22),0))</f>
        <v/>
      </c>
      <c r="W8">
        <f>SUMPRODUCT((M_BOM[RM_Code]=$A8)*M_BOM[RM_Qty_Per_Batch]*IFERROR(INDEX(PP_Grid[#Data],M_BOM[PPGridRow],23),0))</f>
        <v/>
      </c>
      <c r="X8">
        <f>SUMPRODUCT((M_BOM[RM_Code]=$A8)*M_BOM[RM_Qty_Per_Batch]*IFERROR(INDEX(PP_Grid[#Data],M_BOM[PPGridRow],24),0))</f>
        <v/>
      </c>
      <c r="Y8">
        <f>SUMPRODUCT((M_BOM[RM_Code]=$A8)*M_BOM[RM_Qty_Per_Batch]*IFERROR(INDEX(PP_Grid[#Data],M_BOM[PPGridRow],25),0))</f>
        <v/>
      </c>
      <c r="Z8">
        <f>SUMPRODUCT((M_BOM[RM_Code]=$A8)*M_BOM[RM_Qty_Per_Batch]*IFERROR(INDEX(PP_Grid[#Data],M_BOM[PPGridRow],26),0))</f>
        <v/>
      </c>
      <c r="AA8">
        <f>SUMPRODUCT((M_BOM[RM_Code]=$A8)*M_BOM[RM_Qty_Per_Batch]*IFERROR(INDEX(PP_Grid[#Data],M_BOM[PPGridRow],27),0))</f>
        <v/>
      </c>
      <c r="AB8">
        <f>SUMPRODUCT((M_BOM[RM_Code]=$A8)*M_BOM[RM_Qty_Per_Batch]*IFERROR(INDEX(PP_Grid[#Data],M_BOM[PPGridRow],28),0))</f>
        <v/>
      </c>
      <c r="AC8">
        <f>SUMPRODUCT((M_BOM[RM_Code]=$A8)*M_BOM[RM_Qty_Per_Batch]*IFERROR(INDEX(PP_Grid[#Data],M_BOM[PPGridRow],29),0))</f>
        <v/>
      </c>
      <c r="AD8">
        <f>SUMPRODUCT((M_BOM[RM_Code]=$A8)*M_BOM[RM_Qty_Per_Batch]*IFERROR(INDEX(PP_Grid[#Data],M_BOM[PPGridRow],30),0))</f>
        <v/>
      </c>
      <c r="AE8">
        <f>SUMPRODUCT((M_BOM[RM_Code]=$A8)*M_BOM[RM_Qty_Per_Batch]*IFERROR(INDEX(PP_Grid[#Data],M_BOM[PPGridRow],31),0))</f>
        <v/>
      </c>
      <c r="AF8">
        <f>SUMPRODUCT((M_BOM[RM_Code]=$A8)*M_BOM[RM_Qty_Per_Batch]*IFERROR(INDEX(PP_Grid[#Data],M_BOM[PPGridRow],32),0))</f>
        <v/>
      </c>
      <c r="AG8">
        <f>SUMPRODUCT((M_BOM[RM_Code]=$A8)*M_BOM[RM_Qty_Per_Batch]*IFERROR(INDEX(PP_Grid[#Data],M_BOM[PPGridRow],33),0))</f>
        <v/>
      </c>
      <c r="AH8">
        <f>SUMPRODUCT((M_BOM[RM_Code]=$A8)*M_BOM[RM_Qty_Per_Batch]*IFERROR(INDEX(PP_Grid[#Data],M_BOM[PPGridRow],34),0))</f>
        <v/>
      </c>
      <c r="AI8">
        <f>SUMPRODUCT((M_BOM[RM_Code]=$A8)*M_BOM[RM_Qty_Per_Batch]*IFERROR(INDEX(PP_Grid[#Data],M_BOM[PPGridRow],35),0))</f>
        <v/>
      </c>
      <c r="AJ8">
        <f>SUMPRODUCT((M_BOM[RM_Code]=$A8)*M_BOM[RM_Qty_Per_Batch]*IFERROR(INDEX(PP_Grid[#Data],M_BOM[PPGridRow],36),0))</f>
        <v/>
      </c>
      <c r="AK8">
        <f>SUMPRODUCT((M_BOM[RM_Code]=$A8)*M_BOM[RM_Qty_Per_Batch]*IFERROR(INDEX(PP_Grid[#Data],M_BOM[PPGridRow],37),0))</f>
        <v/>
      </c>
      <c r="AL8">
        <f>SUMPRODUCT((M_BOM[RM_Code]=$A8)*M_BOM[RM_Qty_Per_Batch]*IFERROR(INDEX(PP_Grid[#Data],M_BOM[PPGridRow],38),0))</f>
        <v/>
      </c>
      <c r="AM8">
        <f>SUMPRODUCT((M_BOM[RM_Code]=$A8)*M_BOM[RM_Qty_Per_Batch]*IFERROR(INDEX(PP_Grid[#Data],M_BOM[PPGridRow],39),0))</f>
        <v/>
      </c>
      <c r="AN8">
        <f>SUMPRODUCT((M_BOM[RM_Code]=$A8)*M_BOM[RM_Qty_Per_Batch]*IFERROR(INDEX(PP_Grid[#Data],M_BOM[PPGridRow],40),0))</f>
        <v/>
      </c>
      <c r="AO8">
        <f>SUMPRODUCT((M_BOM[RM_Code]=$A8)*M_BOM[RM_Qty_Per_Batch]*IFERROR(INDEX(PP_Grid[#Data],M_BOM[PPGridRow],41),0))</f>
        <v/>
      </c>
      <c r="AP8">
        <f>SUMPRODUCT((M_BOM[RM_Code]=$A8)*M_BOM[RM_Qty_Per_Batch]*IFERROR(INDEX(PP_Grid[#Data],M_BOM[PPGridRow],42),0))</f>
        <v/>
      </c>
      <c r="AQ8">
        <f>SUMPRODUCT((M_BOM[RM_Code]=$A8)*M_BOM[RM_Qty_Per_Batch]*IFERROR(INDEX(PP_Grid[#Data],M_BOM[PPGridRow],43),0))</f>
        <v/>
      </c>
      <c r="AR8">
        <f>SUMPRODUCT((M_BOM[RM_Code]=$A8)*M_BOM[RM_Qty_Per_Batch]*IFERROR(INDEX(PP_Grid[#Data],M_BOM[PPGridRow],44),0))</f>
        <v/>
      </c>
      <c r="AS8">
        <f>SUMPRODUCT((M_BOM[RM_Code]=$A8)*M_BOM[RM_Qty_Per_Batch]*IFERROR(INDEX(PP_Grid[#Data],M_BOM[PPGridRow],45),0))</f>
        <v/>
      </c>
      <c r="AT8">
        <f>SUMPRODUCT((M_BOM[RM_Code]=$A8)*M_BOM[RM_Qty_Per_Batch]*IFERROR(INDEX(PP_Grid[#Data],M_BOM[PPGridRow],46),0))</f>
        <v/>
      </c>
      <c r="AU8">
        <f>SUMPRODUCT((M_BOM[RM_Code]=$A8)*M_BOM[RM_Qty_Per_Batch]*IFERROR(INDEX(PP_Grid[#Data],M_BOM[PPGridRow],47),0))</f>
        <v/>
      </c>
      <c r="AV8">
        <f>SUMPRODUCT((M_BOM[RM_Code]=$A8)*M_BOM[RM_Qty_Per_Batch]*IFERROR(INDEX(PP_Grid[#Data],M_BOM[PPGridRow],48),0))</f>
        <v/>
      </c>
      <c r="AW8">
        <f>SUMPRODUCT((M_BOM[RM_Code]=$A8)*M_BOM[RM_Qty_Per_Batch]*IFERROR(INDEX(PP_Grid[#Data],M_BOM[PPGridRow],49),0))</f>
        <v/>
      </c>
      <c r="AX8">
        <f>SUMPRODUCT((M_BOM[RM_Code]=$A8)*M_BOM[RM_Qty_Per_Batch]*IFERROR(INDEX(PP_Grid[#Data],M_BOM[PPGridRow],50),0))</f>
        <v/>
      </c>
      <c r="AY8">
        <f>SUMPRODUCT((M_BOM[RM_Code]=$A8)*M_BOM[RM_Qty_Per_Batch]*IFERROR(INDEX(PP_Grid[#Data],M_BOM[PPGridRow],51),0))</f>
        <v/>
      </c>
      <c r="AZ8">
        <f>SUMPRODUCT((M_BOM[RM_Code]=$A8)*M_BOM[RM_Qty_Per_Batch]*IFERROR(INDEX(PP_Grid[#Data],M_BOM[PPGridRow],52),0))</f>
        <v/>
      </c>
      <c r="BA8">
        <f>SUMPRODUCT((M_BOM[RM_Code]=$A8)*M_BOM[RM_Qty_Per_Batch]*IFERROR(INDEX(PP_Grid[#Data],M_BOM[PPGridRow],53),0))</f>
        <v/>
      </c>
      <c r="BB8">
        <f>SUMPRODUCT((M_BOM[RM_Code]=$A8)*M_BOM[RM_Qty_Per_Batch]*IFERROR(INDEX(PP_Grid[#Data],M_BOM[PPGridRow],54),0))</f>
        <v/>
      </c>
      <c r="BC8">
        <f>SUMPRODUCT((M_BOM[RM_Code]=$A8)*M_BOM[RM_Qty_Per_Batch]*IFERROR(INDEX(PP_Grid[#Data],M_BOM[PPGridRow],55),0))</f>
        <v/>
      </c>
      <c r="BD8">
        <f>SUMPRODUCT((M_BOM[RM_Code]=$A8)*M_BOM[RM_Qty_Per_Batch]*IFERROR(INDEX(PP_Grid[#Data],M_BOM[PPGridRow],56),0))</f>
        <v/>
      </c>
      <c r="BE8">
        <f>SUMPRODUCT((M_BOM[RM_Code]=$A8)*M_BOM[RM_Qty_Per_Batch]*IFERROR(INDEX(PP_Grid[#Data],M_BOM[PPGridRow],57),0))</f>
        <v/>
      </c>
      <c r="BF8">
        <f>SUMPRODUCT((M_BOM[RM_Code]=$A8)*M_BOM[RM_Qty_Per_Batch]*IFERROR(INDEX(PP_Grid[#Data],M_BOM[PPGridRow],58),0))</f>
        <v/>
      </c>
      <c r="BG8">
        <f>SUMPRODUCT((M_BOM[RM_Code]=$A8)*M_BOM[RM_Qty_Per_Batch]*IFERROR(INDEX(PP_Grid[#Data],M_BOM[PPGridRow],59),0))</f>
        <v/>
      </c>
      <c r="BH8">
        <f>SUMPRODUCT((M_BOM[RM_Code]=$A8)*M_BOM[RM_Qty_Per_Batch]*IFERROR(INDEX(PP_Grid[#Data],M_BOM[PPGridRow],60),0))</f>
        <v/>
      </c>
      <c r="BI8">
        <f>SUMPRODUCT((M_BOM[RM_Code]=$A8)*M_BOM[RM_Qty_Per_Batch]*IFERROR(INDEX(PP_Grid[#Data],M_BOM[PPGridRow],61),0))</f>
        <v/>
      </c>
      <c r="BJ8">
        <f>SUMPRODUCT((M_BOM[RM_Code]=$A8)*M_BOM[RM_Qty_Per_Batch]*IFERROR(INDEX(PP_Grid[#Data],M_BOM[PPGridRow],62),0))</f>
        <v/>
      </c>
      <c r="BK8">
        <f>SUMPRODUCT((M_BOM[RM_Code]=$A8)*M_BOM[RM_Qty_Per_Batch]*IFERROR(INDEX(PP_Grid[#Data],M_BOM[PPGridRow],63),0))</f>
        <v/>
      </c>
      <c r="BL8">
        <f>SUMPRODUCT((M_BOM[RM_Code]=$A8)*M_BOM[RM_Qty_Per_Batch]*IFERROR(INDEX(PP_Grid[#Data],M_BOM[PPGridRow],64),0))</f>
        <v/>
      </c>
      <c r="BM8">
        <f>SUMPRODUCT((M_BOM[RM_Code]=$A8)*M_BOM[RM_Qty_Per_Batch]*IFERROR(INDEX(PP_Grid[#Data],M_BOM[PPGridRow],65),0))</f>
        <v/>
      </c>
      <c r="BN8">
        <f>SUMPRODUCT((M_BOM[RM_Code]=$A8)*M_BOM[RM_Qty_Per_Batch]*IFERROR(INDEX(PP_Grid[#Data],M_BOM[PPGridRow],66),0))</f>
        <v/>
      </c>
      <c r="BO8">
        <f>SUMPRODUCT((M_BOM[RM_Code]=$A8)*M_BOM[RM_Qty_Per_Batch]*IFERROR(INDEX(PP_Grid[#Data],M_BOM[PPGridRow],67),0))</f>
        <v/>
      </c>
      <c r="BP8">
        <f>SUMPRODUCT((M_BOM[RM_Code]=$A8)*M_BOM[RM_Qty_Per_Batch]*IFERROR(INDEX(PP_Grid[#Data],M_BOM[PPGridRow],68),0))</f>
        <v/>
      </c>
      <c r="BQ8">
        <f>SUMPRODUCT((M_BOM[RM_Code]=$A8)*M_BOM[RM_Qty_Per_Batch]*IFERROR(INDEX(PP_Grid[#Data],M_BOM[PPGridRow],69),0))</f>
        <v/>
      </c>
      <c r="BR8">
        <f>SUMPRODUCT((M_BOM[RM_Code]=$A8)*M_BOM[RM_Qty_Per_Batch]*IFERROR(INDEX(PP_Grid[#Data],M_BOM[PPGridRow],70),0))</f>
        <v/>
      </c>
      <c r="BS8">
        <f>SUMPRODUCT((M_BOM[RM_Code]=$A8)*M_BOM[RM_Qty_Per_Batch]*IFERROR(INDEX(PP_Grid[#Data],M_BOM[PPGridRow],71),0))</f>
        <v/>
      </c>
      <c r="BT8">
        <f>SUMPRODUCT((M_BOM[RM_Code]=$A8)*M_BOM[RM_Qty_Per_Batch]*IFERROR(INDEX(PP_Grid[#Data],M_BOM[PPGridRow],72),0))</f>
        <v/>
      </c>
      <c r="BU8">
        <f>SUMPRODUCT((M_BOM[RM_Code]=$A8)*M_BOM[RM_Qty_Per_Batch]*IFERROR(INDEX(PP_Grid[#Data],M_BOM[PPGridRow],73),0))</f>
        <v/>
      </c>
      <c r="BV8">
        <f>SUMPRODUCT((M_BOM[RM_Code]=$A8)*M_BOM[RM_Qty_Per_Batch]*IFERROR(INDEX(PP_Grid[#Data],M_BOM[PPGridRow],74),0))</f>
        <v/>
      </c>
      <c r="BW8">
        <f>SUMPRODUCT((M_BOM[RM_Code]=$A8)*M_BOM[RM_Qty_Per_Batch]*IFERROR(INDEX(PP_Grid[#Data],M_BOM[PPGridRow],75),0))</f>
        <v/>
      </c>
      <c r="BX8">
        <f>SUMPRODUCT((M_BOM[RM_Code]=$A8)*M_BOM[RM_Qty_Per_Batch]*IFERROR(INDEX(PP_Grid[#Data],M_BOM[PPGridRow],76),0))</f>
        <v/>
      </c>
      <c r="BY8">
        <f>SUMPRODUCT((M_BOM[RM_Code]=$A8)*M_BOM[RM_Qty_Per_Batch]*IFERROR(INDEX(PP_Grid[#Data],M_BOM[PPGridRow],77),0))</f>
        <v/>
      </c>
      <c r="BZ8">
        <f>SUMPRODUCT((M_BOM[RM_Code]=$A8)*M_BOM[RM_Qty_Per_Batch]*IFERROR(INDEX(PP_Grid[#Data],M_BOM[PPGridRow],78),0))</f>
        <v/>
      </c>
      <c r="CA8">
        <f>SUMPRODUCT((M_BOM[RM_Code]=$A8)*M_BOM[RM_Qty_Per_Batch]*IFERROR(INDEX(PP_Grid[#Data],M_BOM[PPGridRow],79),0))</f>
        <v/>
      </c>
      <c r="CB8">
        <f>SUMPRODUCT((M_BOM[RM_Code]=$A8)*M_BOM[RM_Qty_Per_Batch]*IFERROR(INDEX(PP_Grid[#Data],M_BOM[PPGridRow],80),0))</f>
        <v/>
      </c>
      <c r="CC8">
        <f>SUMPRODUCT((M_BOM[RM_Code]=$A8)*M_BOM[RM_Qty_Per_Batch]*IFERROR(INDEX(PP_Grid[#Data],M_BOM[PPGridRow],81),0))</f>
        <v/>
      </c>
      <c r="CD8">
        <f>SUMPRODUCT((M_BOM[RM_Code]=$A8)*M_BOM[RM_Qty_Per_Batch]*IFERROR(INDEX(PP_Grid[#Data],M_BOM[PPGridRow],82),0))</f>
        <v/>
      </c>
      <c r="CE8">
        <f>SUMPRODUCT((M_BOM[RM_Code]=$A8)*M_BOM[RM_Qty_Per_Batch]*IFERROR(INDEX(PP_Grid[#Data],M_BOM[PPGridRow],83),0))</f>
        <v/>
      </c>
      <c r="CF8">
        <f>SUMPRODUCT((M_BOM[RM_Code]=$A8)*M_BOM[RM_Qty_Per_Batch]*IFERROR(INDEX(PP_Grid[#Data],M_BOM[PPGridRow],84),0))</f>
        <v/>
      </c>
      <c r="CG8">
        <f>SUMPRODUCT((M_BOM[RM_Code]=$A8)*M_BOM[RM_Qty_Per_Batch]*IFERROR(INDEX(PP_Grid[#Data],M_BOM[PPGridRow],85),0))</f>
        <v/>
      </c>
      <c r="CH8">
        <f>SUMPRODUCT((M_BOM[RM_Code]=$A8)*M_BOM[RM_Qty_Per_Batch]*IFERROR(INDEX(PP_Grid[#Data],M_BOM[PPGridRow],86),0))</f>
        <v/>
      </c>
      <c r="CI8">
        <f>SUMPRODUCT((M_BOM[RM_Code]=$A8)*M_BOM[RM_Qty_Per_Batch]*IFERROR(INDEX(PP_Grid[#Data],M_BOM[PPGridRow],87),0))</f>
        <v/>
      </c>
      <c r="CJ8">
        <f>SUMPRODUCT((M_BOM[RM_Code]=$A8)*M_BOM[RM_Qty_Per_Batch]*IFERROR(INDEX(PP_Grid[#Data],M_BOM[PPGridRow],88),0))</f>
        <v/>
      </c>
      <c r="CK8">
        <f>SUMPRODUCT((M_BOM[RM_Code]=$A8)*M_BOM[RM_Qty_Per_Batch]*IFERROR(INDEX(PP_Grid[#Data],M_BOM[PPGridRow],89),0))</f>
        <v/>
      </c>
      <c r="CL8">
        <f>SUMPRODUCT((M_BOM[RM_Code]=$A8)*M_BOM[RM_Qty_Per_Batch]*IFERROR(INDEX(PP_Grid[#Data],M_BOM[PPGridRow],90),0))</f>
        <v/>
      </c>
      <c r="CM8">
        <f>SUMPRODUCT((M_BOM[RM_Code]=$A8)*M_BOM[RM_Qty_Per_Batch]*IFERROR(INDEX(PP_Grid[#Data],M_BOM[PPGridRow],91),0))</f>
        <v/>
      </c>
      <c r="CN8">
        <f>SUMPRODUCT((M_BOM[RM_Code]=$A8)*M_BOM[RM_Qty_Per_Batch]*IFERROR(INDEX(PP_Grid[#Data],M_BOM[PPGridRow],92),0))</f>
        <v/>
      </c>
      <c r="CO8">
        <f>SUMPRODUCT((M_BOM[RM_Code]=$A8)*M_BOM[RM_Qty_Per_Batch]*IFERROR(INDEX(PP_Grid[#Data],M_BOM[PPGridRow],93),0))</f>
        <v/>
      </c>
      <c r="CP8">
        <f>SUMPRODUCT((M_BOM[RM_Code]=$A8)*M_BOM[RM_Qty_Per_Batch]*IFERROR(INDEX(PP_Grid[#Data],M_BOM[PPGridRow],94),0))</f>
        <v/>
      </c>
      <c r="CQ8">
        <f>SUMPRODUCT((M_BOM[RM_Code]=$A8)*M_BOM[RM_Qty_Per_Batch]*IFERROR(INDEX(PP_Grid[#Data],M_BOM[PPGridRow],95),0))</f>
        <v/>
      </c>
      <c r="CR8">
        <f>SUMPRODUCT((M_BOM[RM_Code]=$A8)*M_BOM[RM_Qty_Per_Batch]*IFERROR(INDEX(PP_Grid[#Data],M_BOM[PPGridRow],96),0))</f>
        <v/>
      </c>
      <c r="CS8">
        <f>SUMPRODUCT((M_BOM[RM_Code]=$A8)*M_BOM[RM_Qty_Per_Batch]*IFERROR(INDEX(PP_Grid[#Data],M_BOM[PPGridRow],97),0))</f>
        <v/>
      </c>
      <c r="CT8">
        <f>SUMPRODUCT((M_BOM[RM_Code]=$A8)*M_BOM[RM_Qty_Per_Batch]*IFERROR(INDEX(PP_Grid[#Data],M_BOM[PPGridRow],98),0))</f>
        <v/>
      </c>
      <c r="CU8">
        <f>SUMPRODUCT((M_BOM[RM_Code]=$A8)*M_BOM[RM_Qty_Per_Batch]*IFERROR(INDEX(PP_Grid[#Data],M_BOM[PPGridRow],99),0))</f>
        <v/>
      </c>
      <c r="CV8">
        <f>SUMPRODUCT((M_BOM[RM_Code]=$A8)*M_BOM[RM_Qty_Per_Batch]*IFERROR(INDEX(PP_Grid[#Data],M_BOM[PPGridRow],100),0))</f>
        <v/>
      </c>
      <c r="CW8">
        <f>SUMPRODUCT((M_BOM[RM_Code]=$A8)*M_BOM[RM_Qty_Per_Batch]*IFERROR(INDEX(PP_Grid[#Data],M_BOM[PPGridRow],101),0))</f>
        <v/>
      </c>
      <c r="CX8">
        <f>SUMPRODUCT((M_BOM[RM_Code]=$A8)*M_BOM[RM_Qty_Per_Batch]*IFERROR(INDEX(PP_Grid[#Data],M_BOM[PPGridRow],102),0))</f>
        <v/>
      </c>
      <c r="CY8">
        <f>SUMPRODUCT((M_BOM[RM_Code]=$A8)*M_BOM[RM_Qty_Per_Batch]*IFERROR(INDEX(PP_Grid[#Data],M_BOM[PPGridRow],103),0))</f>
        <v/>
      </c>
      <c r="CZ8">
        <f>SUMPRODUCT((M_BOM[RM_Code]=$A8)*M_BOM[RM_Qty_Per_Batch]*IFERROR(INDEX(PP_Grid[#Data],M_BOM[PPGridRow],104),0))</f>
        <v/>
      </c>
      <c r="DA8">
        <f>SUMPRODUCT((M_BOM[RM_Code]=$A8)*M_BOM[RM_Qty_Per_Batch]*IFERROR(INDEX(PP_Grid[#Data],M_BOM[PPGridRow],105),0))</f>
        <v/>
      </c>
    </row>
    <row r="9">
      <c r="A9" t="inlineStr">
        <is>
          <t>CHEM-1720</t>
        </is>
      </c>
      <c r="B9">
        <f>SUMPRODUCT((M_BOM[RM_Code]=$A9)*M_BOM[RM_Qty_Per_Batch]*IFERROR(INDEX(PP_Grid[#Data],M_BOM[PPGridRow],2),0))</f>
        <v/>
      </c>
      <c r="C9">
        <f>SUMPRODUCT((M_BOM[RM_Code]=$A9)*M_BOM[RM_Qty_Per_Batch]*IFERROR(INDEX(PP_Grid[#Data],M_BOM[PPGridRow],3),0))</f>
        <v/>
      </c>
      <c r="D9">
        <f>SUMPRODUCT((M_BOM[RM_Code]=$A9)*M_BOM[RM_Qty_Per_Batch]*IFERROR(INDEX(PP_Grid[#Data],M_BOM[PPGridRow],4),0))</f>
        <v/>
      </c>
      <c r="E9">
        <f>SUMPRODUCT((M_BOM[RM_Code]=$A9)*M_BOM[RM_Qty_Per_Batch]*IFERROR(INDEX(PP_Grid[#Data],M_BOM[PPGridRow],5),0))</f>
        <v/>
      </c>
      <c r="F9">
        <f>SUMPRODUCT((M_BOM[RM_Code]=$A9)*M_BOM[RM_Qty_Per_Batch]*IFERROR(INDEX(PP_Grid[#Data],M_BOM[PPGridRow],6),0))</f>
        <v/>
      </c>
      <c r="G9">
        <f>SUMPRODUCT((M_BOM[RM_Code]=$A9)*M_BOM[RM_Qty_Per_Batch]*IFERROR(INDEX(PP_Grid[#Data],M_BOM[PPGridRow],7),0))</f>
        <v/>
      </c>
      <c r="H9">
        <f>SUMPRODUCT((M_BOM[RM_Code]=$A9)*M_BOM[RM_Qty_Per_Batch]*IFERROR(INDEX(PP_Grid[#Data],M_BOM[PPGridRow],8),0))</f>
        <v/>
      </c>
      <c r="I9">
        <f>SUMPRODUCT((M_BOM[RM_Code]=$A9)*M_BOM[RM_Qty_Per_Batch]*IFERROR(INDEX(PP_Grid[#Data],M_BOM[PPGridRow],9),0))</f>
        <v/>
      </c>
      <c r="J9">
        <f>SUMPRODUCT((M_BOM[RM_Code]=$A9)*M_BOM[RM_Qty_Per_Batch]*IFERROR(INDEX(PP_Grid[#Data],M_BOM[PPGridRow],10),0))</f>
        <v/>
      </c>
      <c r="K9">
        <f>SUMPRODUCT((M_BOM[RM_Code]=$A9)*M_BOM[RM_Qty_Per_Batch]*IFERROR(INDEX(PP_Grid[#Data],M_BOM[PPGridRow],11),0))</f>
        <v/>
      </c>
      <c r="L9">
        <f>SUMPRODUCT((M_BOM[RM_Code]=$A9)*M_BOM[RM_Qty_Per_Batch]*IFERROR(INDEX(PP_Grid[#Data],M_BOM[PPGridRow],12),0))</f>
        <v/>
      </c>
      <c r="M9">
        <f>SUMPRODUCT((M_BOM[RM_Code]=$A9)*M_BOM[RM_Qty_Per_Batch]*IFERROR(INDEX(PP_Grid[#Data],M_BOM[PPGridRow],13),0))</f>
        <v/>
      </c>
      <c r="N9">
        <f>SUMPRODUCT((M_BOM[RM_Code]=$A9)*M_BOM[RM_Qty_Per_Batch]*IFERROR(INDEX(PP_Grid[#Data],M_BOM[PPGridRow],14),0))</f>
        <v/>
      </c>
      <c r="O9">
        <f>SUMPRODUCT((M_BOM[RM_Code]=$A9)*M_BOM[RM_Qty_Per_Batch]*IFERROR(INDEX(PP_Grid[#Data],M_BOM[PPGridRow],15),0))</f>
        <v/>
      </c>
      <c r="P9">
        <f>SUMPRODUCT((M_BOM[RM_Code]=$A9)*M_BOM[RM_Qty_Per_Batch]*IFERROR(INDEX(PP_Grid[#Data],M_BOM[PPGridRow],16),0))</f>
        <v/>
      </c>
      <c r="Q9">
        <f>SUMPRODUCT((M_BOM[RM_Code]=$A9)*M_BOM[RM_Qty_Per_Batch]*IFERROR(INDEX(PP_Grid[#Data],M_BOM[PPGridRow],17),0))</f>
        <v/>
      </c>
      <c r="R9">
        <f>SUMPRODUCT((M_BOM[RM_Code]=$A9)*M_BOM[RM_Qty_Per_Batch]*IFERROR(INDEX(PP_Grid[#Data],M_BOM[PPGridRow],18),0))</f>
        <v/>
      </c>
      <c r="S9">
        <f>SUMPRODUCT((M_BOM[RM_Code]=$A9)*M_BOM[RM_Qty_Per_Batch]*IFERROR(INDEX(PP_Grid[#Data],M_BOM[PPGridRow],19),0))</f>
        <v/>
      </c>
      <c r="T9">
        <f>SUMPRODUCT((M_BOM[RM_Code]=$A9)*M_BOM[RM_Qty_Per_Batch]*IFERROR(INDEX(PP_Grid[#Data],M_BOM[PPGridRow],20),0))</f>
        <v/>
      </c>
      <c r="U9">
        <f>SUMPRODUCT((M_BOM[RM_Code]=$A9)*M_BOM[RM_Qty_Per_Batch]*IFERROR(INDEX(PP_Grid[#Data],M_BOM[PPGridRow],21),0))</f>
        <v/>
      </c>
      <c r="V9">
        <f>SUMPRODUCT((M_BOM[RM_Code]=$A9)*M_BOM[RM_Qty_Per_Batch]*IFERROR(INDEX(PP_Grid[#Data],M_BOM[PPGridRow],22),0))</f>
        <v/>
      </c>
      <c r="W9">
        <f>SUMPRODUCT((M_BOM[RM_Code]=$A9)*M_BOM[RM_Qty_Per_Batch]*IFERROR(INDEX(PP_Grid[#Data],M_BOM[PPGridRow],23),0))</f>
        <v/>
      </c>
      <c r="X9">
        <f>SUMPRODUCT((M_BOM[RM_Code]=$A9)*M_BOM[RM_Qty_Per_Batch]*IFERROR(INDEX(PP_Grid[#Data],M_BOM[PPGridRow],24),0))</f>
        <v/>
      </c>
      <c r="Y9">
        <f>SUMPRODUCT((M_BOM[RM_Code]=$A9)*M_BOM[RM_Qty_Per_Batch]*IFERROR(INDEX(PP_Grid[#Data],M_BOM[PPGridRow],25),0))</f>
        <v/>
      </c>
      <c r="Z9">
        <f>SUMPRODUCT((M_BOM[RM_Code]=$A9)*M_BOM[RM_Qty_Per_Batch]*IFERROR(INDEX(PP_Grid[#Data],M_BOM[PPGridRow],26),0))</f>
        <v/>
      </c>
      <c r="AA9">
        <f>SUMPRODUCT((M_BOM[RM_Code]=$A9)*M_BOM[RM_Qty_Per_Batch]*IFERROR(INDEX(PP_Grid[#Data],M_BOM[PPGridRow],27),0))</f>
        <v/>
      </c>
      <c r="AB9">
        <f>SUMPRODUCT((M_BOM[RM_Code]=$A9)*M_BOM[RM_Qty_Per_Batch]*IFERROR(INDEX(PP_Grid[#Data],M_BOM[PPGridRow],28),0))</f>
        <v/>
      </c>
      <c r="AC9">
        <f>SUMPRODUCT((M_BOM[RM_Code]=$A9)*M_BOM[RM_Qty_Per_Batch]*IFERROR(INDEX(PP_Grid[#Data],M_BOM[PPGridRow],29),0))</f>
        <v/>
      </c>
      <c r="AD9">
        <f>SUMPRODUCT((M_BOM[RM_Code]=$A9)*M_BOM[RM_Qty_Per_Batch]*IFERROR(INDEX(PP_Grid[#Data],M_BOM[PPGridRow],30),0))</f>
        <v/>
      </c>
      <c r="AE9">
        <f>SUMPRODUCT((M_BOM[RM_Code]=$A9)*M_BOM[RM_Qty_Per_Batch]*IFERROR(INDEX(PP_Grid[#Data],M_BOM[PPGridRow],31),0))</f>
        <v/>
      </c>
      <c r="AF9">
        <f>SUMPRODUCT((M_BOM[RM_Code]=$A9)*M_BOM[RM_Qty_Per_Batch]*IFERROR(INDEX(PP_Grid[#Data],M_BOM[PPGridRow],32),0))</f>
        <v/>
      </c>
      <c r="AG9">
        <f>SUMPRODUCT((M_BOM[RM_Code]=$A9)*M_BOM[RM_Qty_Per_Batch]*IFERROR(INDEX(PP_Grid[#Data],M_BOM[PPGridRow],33),0))</f>
        <v/>
      </c>
      <c r="AH9">
        <f>SUMPRODUCT((M_BOM[RM_Code]=$A9)*M_BOM[RM_Qty_Per_Batch]*IFERROR(INDEX(PP_Grid[#Data],M_BOM[PPGridRow],34),0))</f>
        <v/>
      </c>
      <c r="AI9">
        <f>SUMPRODUCT((M_BOM[RM_Code]=$A9)*M_BOM[RM_Qty_Per_Batch]*IFERROR(INDEX(PP_Grid[#Data],M_BOM[PPGridRow],35),0))</f>
        <v/>
      </c>
      <c r="AJ9">
        <f>SUMPRODUCT((M_BOM[RM_Code]=$A9)*M_BOM[RM_Qty_Per_Batch]*IFERROR(INDEX(PP_Grid[#Data],M_BOM[PPGridRow],36),0))</f>
        <v/>
      </c>
      <c r="AK9">
        <f>SUMPRODUCT((M_BOM[RM_Code]=$A9)*M_BOM[RM_Qty_Per_Batch]*IFERROR(INDEX(PP_Grid[#Data],M_BOM[PPGridRow],37),0))</f>
        <v/>
      </c>
      <c r="AL9">
        <f>SUMPRODUCT((M_BOM[RM_Code]=$A9)*M_BOM[RM_Qty_Per_Batch]*IFERROR(INDEX(PP_Grid[#Data],M_BOM[PPGridRow],38),0))</f>
        <v/>
      </c>
      <c r="AM9">
        <f>SUMPRODUCT((M_BOM[RM_Code]=$A9)*M_BOM[RM_Qty_Per_Batch]*IFERROR(INDEX(PP_Grid[#Data],M_BOM[PPGridRow],39),0))</f>
        <v/>
      </c>
      <c r="AN9">
        <f>SUMPRODUCT((M_BOM[RM_Code]=$A9)*M_BOM[RM_Qty_Per_Batch]*IFERROR(INDEX(PP_Grid[#Data],M_BOM[PPGridRow],40),0))</f>
        <v/>
      </c>
      <c r="AO9">
        <f>SUMPRODUCT((M_BOM[RM_Code]=$A9)*M_BOM[RM_Qty_Per_Batch]*IFERROR(INDEX(PP_Grid[#Data],M_BOM[PPGridRow],41),0))</f>
        <v/>
      </c>
      <c r="AP9">
        <f>SUMPRODUCT((M_BOM[RM_Code]=$A9)*M_BOM[RM_Qty_Per_Batch]*IFERROR(INDEX(PP_Grid[#Data],M_BOM[PPGridRow],42),0))</f>
        <v/>
      </c>
      <c r="AQ9">
        <f>SUMPRODUCT((M_BOM[RM_Code]=$A9)*M_BOM[RM_Qty_Per_Batch]*IFERROR(INDEX(PP_Grid[#Data],M_BOM[PPGridRow],43),0))</f>
        <v/>
      </c>
      <c r="AR9">
        <f>SUMPRODUCT((M_BOM[RM_Code]=$A9)*M_BOM[RM_Qty_Per_Batch]*IFERROR(INDEX(PP_Grid[#Data],M_BOM[PPGridRow],44),0))</f>
        <v/>
      </c>
      <c r="AS9">
        <f>SUMPRODUCT((M_BOM[RM_Code]=$A9)*M_BOM[RM_Qty_Per_Batch]*IFERROR(INDEX(PP_Grid[#Data],M_BOM[PPGridRow],45),0))</f>
        <v/>
      </c>
      <c r="AT9">
        <f>SUMPRODUCT((M_BOM[RM_Code]=$A9)*M_BOM[RM_Qty_Per_Batch]*IFERROR(INDEX(PP_Grid[#Data],M_BOM[PPGridRow],46),0))</f>
        <v/>
      </c>
      <c r="AU9">
        <f>SUMPRODUCT((M_BOM[RM_Code]=$A9)*M_BOM[RM_Qty_Per_Batch]*IFERROR(INDEX(PP_Grid[#Data],M_BOM[PPGridRow],47),0))</f>
        <v/>
      </c>
      <c r="AV9">
        <f>SUMPRODUCT((M_BOM[RM_Code]=$A9)*M_BOM[RM_Qty_Per_Batch]*IFERROR(INDEX(PP_Grid[#Data],M_BOM[PPGridRow],48),0))</f>
        <v/>
      </c>
      <c r="AW9">
        <f>SUMPRODUCT((M_BOM[RM_Code]=$A9)*M_BOM[RM_Qty_Per_Batch]*IFERROR(INDEX(PP_Grid[#Data],M_BOM[PPGridRow],49),0))</f>
        <v/>
      </c>
      <c r="AX9">
        <f>SUMPRODUCT((M_BOM[RM_Code]=$A9)*M_BOM[RM_Qty_Per_Batch]*IFERROR(INDEX(PP_Grid[#Data],M_BOM[PPGridRow],50),0))</f>
        <v/>
      </c>
      <c r="AY9">
        <f>SUMPRODUCT((M_BOM[RM_Code]=$A9)*M_BOM[RM_Qty_Per_Batch]*IFERROR(INDEX(PP_Grid[#Data],M_BOM[PPGridRow],51),0))</f>
        <v/>
      </c>
      <c r="AZ9">
        <f>SUMPRODUCT((M_BOM[RM_Code]=$A9)*M_BOM[RM_Qty_Per_Batch]*IFERROR(INDEX(PP_Grid[#Data],M_BOM[PPGridRow],52),0))</f>
        <v/>
      </c>
      <c r="BA9">
        <f>SUMPRODUCT((M_BOM[RM_Code]=$A9)*M_BOM[RM_Qty_Per_Batch]*IFERROR(INDEX(PP_Grid[#Data],M_BOM[PPGridRow],53),0))</f>
        <v/>
      </c>
      <c r="BB9">
        <f>SUMPRODUCT((M_BOM[RM_Code]=$A9)*M_BOM[RM_Qty_Per_Batch]*IFERROR(INDEX(PP_Grid[#Data],M_BOM[PPGridRow],54),0))</f>
        <v/>
      </c>
      <c r="BC9">
        <f>SUMPRODUCT((M_BOM[RM_Code]=$A9)*M_BOM[RM_Qty_Per_Batch]*IFERROR(INDEX(PP_Grid[#Data],M_BOM[PPGridRow],55),0))</f>
        <v/>
      </c>
      <c r="BD9">
        <f>SUMPRODUCT((M_BOM[RM_Code]=$A9)*M_BOM[RM_Qty_Per_Batch]*IFERROR(INDEX(PP_Grid[#Data],M_BOM[PPGridRow],56),0))</f>
        <v/>
      </c>
      <c r="BE9">
        <f>SUMPRODUCT((M_BOM[RM_Code]=$A9)*M_BOM[RM_Qty_Per_Batch]*IFERROR(INDEX(PP_Grid[#Data],M_BOM[PPGridRow],57),0))</f>
        <v/>
      </c>
      <c r="BF9">
        <f>SUMPRODUCT((M_BOM[RM_Code]=$A9)*M_BOM[RM_Qty_Per_Batch]*IFERROR(INDEX(PP_Grid[#Data],M_BOM[PPGridRow],58),0))</f>
        <v/>
      </c>
      <c r="BG9">
        <f>SUMPRODUCT((M_BOM[RM_Code]=$A9)*M_BOM[RM_Qty_Per_Batch]*IFERROR(INDEX(PP_Grid[#Data],M_BOM[PPGridRow],59),0))</f>
        <v/>
      </c>
      <c r="BH9">
        <f>SUMPRODUCT((M_BOM[RM_Code]=$A9)*M_BOM[RM_Qty_Per_Batch]*IFERROR(INDEX(PP_Grid[#Data],M_BOM[PPGridRow],60),0))</f>
        <v/>
      </c>
      <c r="BI9">
        <f>SUMPRODUCT((M_BOM[RM_Code]=$A9)*M_BOM[RM_Qty_Per_Batch]*IFERROR(INDEX(PP_Grid[#Data],M_BOM[PPGridRow],61),0))</f>
        <v/>
      </c>
      <c r="BJ9">
        <f>SUMPRODUCT((M_BOM[RM_Code]=$A9)*M_BOM[RM_Qty_Per_Batch]*IFERROR(INDEX(PP_Grid[#Data],M_BOM[PPGridRow],62),0))</f>
        <v/>
      </c>
      <c r="BK9">
        <f>SUMPRODUCT((M_BOM[RM_Code]=$A9)*M_BOM[RM_Qty_Per_Batch]*IFERROR(INDEX(PP_Grid[#Data],M_BOM[PPGridRow],63),0))</f>
        <v/>
      </c>
      <c r="BL9">
        <f>SUMPRODUCT((M_BOM[RM_Code]=$A9)*M_BOM[RM_Qty_Per_Batch]*IFERROR(INDEX(PP_Grid[#Data],M_BOM[PPGridRow],64),0))</f>
        <v/>
      </c>
      <c r="BM9">
        <f>SUMPRODUCT((M_BOM[RM_Code]=$A9)*M_BOM[RM_Qty_Per_Batch]*IFERROR(INDEX(PP_Grid[#Data],M_BOM[PPGridRow],65),0))</f>
        <v/>
      </c>
      <c r="BN9">
        <f>SUMPRODUCT((M_BOM[RM_Code]=$A9)*M_BOM[RM_Qty_Per_Batch]*IFERROR(INDEX(PP_Grid[#Data],M_BOM[PPGridRow],66),0))</f>
        <v/>
      </c>
      <c r="BO9">
        <f>SUMPRODUCT((M_BOM[RM_Code]=$A9)*M_BOM[RM_Qty_Per_Batch]*IFERROR(INDEX(PP_Grid[#Data],M_BOM[PPGridRow],67),0))</f>
        <v/>
      </c>
      <c r="BP9">
        <f>SUMPRODUCT((M_BOM[RM_Code]=$A9)*M_BOM[RM_Qty_Per_Batch]*IFERROR(INDEX(PP_Grid[#Data],M_BOM[PPGridRow],68),0))</f>
        <v/>
      </c>
      <c r="BQ9">
        <f>SUMPRODUCT((M_BOM[RM_Code]=$A9)*M_BOM[RM_Qty_Per_Batch]*IFERROR(INDEX(PP_Grid[#Data],M_BOM[PPGridRow],69),0))</f>
        <v/>
      </c>
      <c r="BR9">
        <f>SUMPRODUCT((M_BOM[RM_Code]=$A9)*M_BOM[RM_Qty_Per_Batch]*IFERROR(INDEX(PP_Grid[#Data],M_BOM[PPGridRow],70),0))</f>
        <v/>
      </c>
      <c r="BS9">
        <f>SUMPRODUCT((M_BOM[RM_Code]=$A9)*M_BOM[RM_Qty_Per_Batch]*IFERROR(INDEX(PP_Grid[#Data],M_BOM[PPGridRow],71),0))</f>
        <v/>
      </c>
      <c r="BT9">
        <f>SUMPRODUCT((M_BOM[RM_Code]=$A9)*M_BOM[RM_Qty_Per_Batch]*IFERROR(INDEX(PP_Grid[#Data],M_BOM[PPGridRow],72),0))</f>
        <v/>
      </c>
      <c r="BU9">
        <f>SUMPRODUCT((M_BOM[RM_Code]=$A9)*M_BOM[RM_Qty_Per_Batch]*IFERROR(INDEX(PP_Grid[#Data],M_BOM[PPGridRow],73),0))</f>
        <v/>
      </c>
      <c r="BV9">
        <f>SUMPRODUCT((M_BOM[RM_Code]=$A9)*M_BOM[RM_Qty_Per_Batch]*IFERROR(INDEX(PP_Grid[#Data],M_BOM[PPGridRow],74),0))</f>
        <v/>
      </c>
      <c r="BW9">
        <f>SUMPRODUCT((M_BOM[RM_Code]=$A9)*M_BOM[RM_Qty_Per_Batch]*IFERROR(INDEX(PP_Grid[#Data],M_BOM[PPGridRow],75),0))</f>
        <v/>
      </c>
      <c r="BX9">
        <f>SUMPRODUCT((M_BOM[RM_Code]=$A9)*M_BOM[RM_Qty_Per_Batch]*IFERROR(INDEX(PP_Grid[#Data],M_BOM[PPGridRow],76),0))</f>
        <v/>
      </c>
      <c r="BY9">
        <f>SUMPRODUCT((M_BOM[RM_Code]=$A9)*M_BOM[RM_Qty_Per_Batch]*IFERROR(INDEX(PP_Grid[#Data],M_BOM[PPGridRow],77),0))</f>
        <v/>
      </c>
      <c r="BZ9">
        <f>SUMPRODUCT((M_BOM[RM_Code]=$A9)*M_BOM[RM_Qty_Per_Batch]*IFERROR(INDEX(PP_Grid[#Data],M_BOM[PPGridRow],78),0))</f>
        <v/>
      </c>
      <c r="CA9">
        <f>SUMPRODUCT((M_BOM[RM_Code]=$A9)*M_BOM[RM_Qty_Per_Batch]*IFERROR(INDEX(PP_Grid[#Data],M_BOM[PPGridRow],79),0))</f>
        <v/>
      </c>
      <c r="CB9">
        <f>SUMPRODUCT((M_BOM[RM_Code]=$A9)*M_BOM[RM_Qty_Per_Batch]*IFERROR(INDEX(PP_Grid[#Data],M_BOM[PPGridRow],80),0))</f>
        <v/>
      </c>
      <c r="CC9">
        <f>SUMPRODUCT((M_BOM[RM_Code]=$A9)*M_BOM[RM_Qty_Per_Batch]*IFERROR(INDEX(PP_Grid[#Data],M_BOM[PPGridRow],81),0))</f>
        <v/>
      </c>
      <c r="CD9">
        <f>SUMPRODUCT((M_BOM[RM_Code]=$A9)*M_BOM[RM_Qty_Per_Batch]*IFERROR(INDEX(PP_Grid[#Data],M_BOM[PPGridRow],82),0))</f>
        <v/>
      </c>
      <c r="CE9">
        <f>SUMPRODUCT((M_BOM[RM_Code]=$A9)*M_BOM[RM_Qty_Per_Batch]*IFERROR(INDEX(PP_Grid[#Data],M_BOM[PPGridRow],83),0))</f>
        <v/>
      </c>
      <c r="CF9">
        <f>SUMPRODUCT((M_BOM[RM_Code]=$A9)*M_BOM[RM_Qty_Per_Batch]*IFERROR(INDEX(PP_Grid[#Data],M_BOM[PPGridRow],84),0))</f>
        <v/>
      </c>
      <c r="CG9">
        <f>SUMPRODUCT((M_BOM[RM_Code]=$A9)*M_BOM[RM_Qty_Per_Batch]*IFERROR(INDEX(PP_Grid[#Data],M_BOM[PPGridRow],85),0))</f>
        <v/>
      </c>
      <c r="CH9">
        <f>SUMPRODUCT((M_BOM[RM_Code]=$A9)*M_BOM[RM_Qty_Per_Batch]*IFERROR(INDEX(PP_Grid[#Data],M_BOM[PPGridRow],86),0))</f>
        <v/>
      </c>
      <c r="CI9">
        <f>SUMPRODUCT((M_BOM[RM_Code]=$A9)*M_BOM[RM_Qty_Per_Batch]*IFERROR(INDEX(PP_Grid[#Data],M_BOM[PPGridRow],87),0))</f>
        <v/>
      </c>
      <c r="CJ9">
        <f>SUMPRODUCT((M_BOM[RM_Code]=$A9)*M_BOM[RM_Qty_Per_Batch]*IFERROR(INDEX(PP_Grid[#Data],M_BOM[PPGridRow],88),0))</f>
        <v/>
      </c>
      <c r="CK9">
        <f>SUMPRODUCT((M_BOM[RM_Code]=$A9)*M_BOM[RM_Qty_Per_Batch]*IFERROR(INDEX(PP_Grid[#Data],M_BOM[PPGridRow],89),0))</f>
        <v/>
      </c>
      <c r="CL9">
        <f>SUMPRODUCT((M_BOM[RM_Code]=$A9)*M_BOM[RM_Qty_Per_Batch]*IFERROR(INDEX(PP_Grid[#Data],M_BOM[PPGridRow],90),0))</f>
        <v/>
      </c>
      <c r="CM9">
        <f>SUMPRODUCT((M_BOM[RM_Code]=$A9)*M_BOM[RM_Qty_Per_Batch]*IFERROR(INDEX(PP_Grid[#Data],M_BOM[PPGridRow],91),0))</f>
        <v/>
      </c>
      <c r="CN9">
        <f>SUMPRODUCT((M_BOM[RM_Code]=$A9)*M_BOM[RM_Qty_Per_Batch]*IFERROR(INDEX(PP_Grid[#Data],M_BOM[PPGridRow],92),0))</f>
        <v/>
      </c>
      <c r="CO9">
        <f>SUMPRODUCT((M_BOM[RM_Code]=$A9)*M_BOM[RM_Qty_Per_Batch]*IFERROR(INDEX(PP_Grid[#Data],M_BOM[PPGridRow],93),0))</f>
        <v/>
      </c>
      <c r="CP9">
        <f>SUMPRODUCT((M_BOM[RM_Code]=$A9)*M_BOM[RM_Qty_Per_Batch]*IFERROR(INDEX(PP_Grid[#Data],M_BOM[PPGridRow],94),0))</f>
        <v/>
      </c>
      <c r="CQ9">
        <f>SUMPRODUCT((M_BOM[RM_Code]=$A9)*M_BOM[RM_Qty_Per_Batch]*IFERROR(INDEX(PP_Grid[#Data],M_BOM[PPGridRow],95),0))</f>
        <v/>
      </c>
      <c r="CR9">
        <f>SUMPRODUCT((M_BOM[RM_Code]=$A9)*M_BOM[RM_Qty_Per_Batch]*IFERROR(INDEX(PP_Grid[#Data],M_BOM[PPGridRow],96),0))</f>
        <v/>
      </c>
      <c r="CS9">
        <f>SUMPRODUCT((M_BOM[RM_Code]=$A9)*M_BOM[RM_Qty_Per_Batch]*IFERROR(INDEX(PP_Grid[#Data],M_BOM[PPGridRow],97),0))</f>
        <v/>
      </c>
      <c r="CT9">
        <f>SUMPRODUCT((M_BOM[RM_Code]=$A9)*M_BOM[RM_Qty_Per_Batch]*IFERROR(INDEX(PP_Grid[#Data],M_BOM[PPGridRow],98),0))</f>
        <v/>
      </c>
      <c r="CU9">
        <f>SUMPRODUCT((M_BOM[RM_Code]=$A9)*M_BOM[RM_Qty_Per_Batch]*IFERROR(INDEX(PP_Grid[#Data],M_BOM[PPGridRow],99),0))</f>
        <v/>
      </c>
      <c r="CV9">
        <f>SUMPRODUCT((M_BOM[RM_Code]=$A9)*M_BOM[RM_Qty_Per_Batch]*IFERROR(INDEX(PP_Grid[#Data],M_BOM[PPGridRow],100),0))</f>
        <v/>
      </c>
      <c r="CW9">
        <f>SUMPRODUCT((M_BOM[RM_Code]=$A9)*M_BOM[RM_Qty_Per_Batch]*IFERROR(INDEX(PP_Grid[#Data],M_BOM[PPGridRow],101),0))</f>
        <v/>
      </c>
      <c r="CX9">
        <f>SUMPRODUCT((M_BOM[RM_Code]=$A9)*M_BOM[RM_Qty_Per_Batch]*IFERROR(INDEX(PP_Grid[#Data],M_BOM[PPGridRow],102),0))</f>
        <v/>
      </c>
      <c r="CY9">
        <f>SUMPRODUCT((M_BOM[RM_Code]=$A9)*M_BOM[RM_Qty_Per_Batch]*IFERROR(INDEX(PP_Grid[#Data],M_BOM[PPGridRow],103),0))</f>
        <v/>
      </c>
      <c r="CZ9">
        <f>SUMPRODUCT((M_BOM[RM_Code]=$A9)*M_BOM[RM_Qty_Per_Batch]*IFERROR(INDEX(PP_Grid[#Data],M_BOM[PPGridRow],104),0))</f>
        <v/>
      </c>
      <c r="DA9">
        <f>SUMPRODUCT((M_BOM[RM_Code]=$A9)*M_BOM[RM_Qty_Per_Batch]*IFERROR(INDEX(PP_Grid[#Data],M_BOM[PPGridRow],105),0))</f>
        <v/>
      </c>
    </row>
    <row r="10">
      <c r="A10" t="inlineStr">
        <is>
          <t>CHEM-1440</t>
        </is>
      </c>
      <c r="B10">
        <f>SUMPRODUCT((M_BOM[RM_Code]=$A10)*M_BOM[RM_Qty_Per_Batch]*IFERROR(INDEX(PP_Grid[#Data],M_BOM[PPGridRow],2),0))</f>
        <v/>
      </c>
      <c r="C10">
        <f>SUMPRODUCT((M_BOM[RM_Code]=$A10)*M_BOM[RM_Qty_Per_Batch]*IFERROR(INDEX(PP_Grid[#Data],M_BOM[PPGridRow],3),0))</f>
        <v/>
      </c>
      <c r="D10">
        <f>SUMPRODUCT((M_BOM[RM_Code]=$A10)*M_BOM[RM_Qty_Per_Batch]*IFERROR(INDEX(PP_Grid[#Data],M_BOM[PPGridRow],4),0))</f>
        <v/>
      </c>
      <c r="E10">
        <f>SUMPRODUCT((M_BOM[RM_Code]=$A10)*M_BOM[RM_Qty_Per_Batch]*IFERROR(INDEX(PP_Grid[#Data],M_BOM[PPGridRow],5),0))</f>
        <v/>
      </c>
      <c r="F10">
        <f>SUMPRODUCT((M_BOM[RM_Code]=$A10)*M_BOM[RM_Qty_Per_Batch]*IFERROR(INDEX(PP_Grid[#Data],M_BOM[PPGridRow],6),0))</f>
        <v/>
      </c>
      <c r="G10">
        <f>SUMPRODUCT((M_BOM[RM_Code]=$A10)*M_BOM[RM_Qty_Per_Batch]*IFERROR(INDEX(PP_Grid[#Data],M_BOM[PPGridRow],7),0))</f>
        <v/>
      </c>
      <c r="H10">
        <f>SUMPRODUCT((M_BOM[RM_Code]=$A10)*M_BOM[RM_Qty_Per_Batch]*IFERROR(INDEX(PP_Grid[#Data],M_BOM[PPGridRow],8),0))</f>
        <v/>
      </c>
      <c r="I10">
        <f>SUMPRODUCT((M_BOM[RM_Code]=$A10)*M_BOM[RM_Qty_Per_Batch]*IFERROR(INDEX(PP_Grid[#Data],M_BOM[PPGridRow],9),0))</f>
        <v/>
      </c>
      <c r="J10">
        <f>SUMPRODUCT((M_BOM[RM_Code]=$A10)*M_BOM[RM_Qty_Per_Batch]*IFERROR(INDEX(PP_Grid[#Data],M_BOM[PPGridRow],10),0))</f>
        <v/>
      </c>
      <c r="K10">
        <f>SUMPRODUCT((M_BOM[RM_Code]=$A10)*M_BOM[RM_Qty_Per_Batch]*IFERROR(INDEX(PP_Grid[#Data],M_BOM[PPGridRow],11),0))</f>
        <v/>
      </c>
      <c r="L10">
        <f>SUMPRODUCT((M_BOM[RM_Code]=$A10)*M_BOM[RM_Qty_Per_Batch]*IFERROR(INDEX(PP_Grid[#Data],M_BOM[PPGridRow],12),0))</f>
        <v/>
      </c>
      <c r="M10">
        <f>SUMPRODUCT((M_BOM[RM_Code]=$A10)*M_BOM[RM_Qty_Per_Batch]*IFERROR(INDEX(PP_Grid[#Data],M_BOM[PPGridRow],13),0))</f>
        <v/>
      </c>
      <c r="N10">
        <f>SUMPRODUCT((M_BOM[RM_Code]=$A10)*M_BOM[RM_Qty_Per_Batch]*IFERROR(INDEX(PP_Grid[#Data],M_BOM[PPGridRow],14),0))</f>
        <v/>
      </c>
      <c r="O10">
        <f>SUMPRODUCT((M_BOM[RM_Code]=$A10)*M_BOM[RM_Qty_Per_Batch]*IFERROR(INDEX(PP_Grid[#Data],M_BOM[PPGridRow],15),0))</f>
        <v/>
      </c>
      <c r="P10">
        <f>SUMPRODUCT((M_BOM[RM_Code]=$A10)*M_BOM[RM_Qty_Per_Batch]*IFERROR(INDEX(PP_Grid[#Data],M_BOM[PPGridRow],16),0))</f>
        <v/>
      </c>
      <c r="Q10">
        <f>SUMPRODUCT((M_BOM[RM_Code]=$A10)*M_BOM[RM_Qty_Per_Batch]*IFERROR(INDEX(PP_Grid[#Data],M_BOM[PPGridRow],17),0))</f>
        <v/>
      </c>
      <c r="R10">
        <f>SUMPRODUCT((M_BOM[RM_Code]=$A10)*M_BOM[RM_Qty_Per_Batch]*IFERROR(INDEX(PP_Grid[#Data],M_BOM[PPGridRow],18),0))</f>
        <v/>
      </c>
      <c r="S10">
        <f>SUMPRODUCT((M_BOM[RM_Code]=$A10)*M_BOM[RM_Qty_Per_Batch]*IFERROR(INDEX(PP_Grid[#Data],M_BOM[PPGridRow],19),0))</f>
        <v/>
      </c>
      <c r="T10">
        <f>SUMPRODUCT((M_BOM[RM_Code]=$A10)*M_BOM[RM_Qty_Per_Batch]*IFERROR(INDEX(PP_Grid[#Data],M_BOM[PPGridRow],20),0))</f>
        <v/>
      </c>
      <c r="U10">
        <f>SUMPRODUCT((M_BOM[RM_Code]=$A10)*M_BOM[RM_Qty_Per_Batch]*IFERROR(INDEX(PP_Grid[#Data],M_BOM[PPGridRow],21),0))</f>
        <v/>
      </c>
      <c r="V10">
        <f>SUMPRODUCT((M_BOM[RM_Code]=$A10)*M_BOM[RM_Qty_Per_Batch]*IFERROR(INDEX(PP_Grid[#Data],M_BOM[PPGridRow],22),0))</f>
        <v/>
      </c>
      <c r="W10">
        <f>SUMPRODUCT((M_BOM[RM_Code]=$A10)*M_BOM[RM_Qty_Per_Batch]*IFERROR(INDEX(PP_Grid[#Data],M_BOM[PPGridRow],23),0))</f>
        <v/>
      </c>
      <c r="X10">
        <f>SUMPRODUCT((M_BOM[RM_Code]=$A10)*M_BOM[RM_Qty_Per_Batch]*IFERROR(INDEX(PP_Grid[#Data],M_BOM[PPGridRow],24),0))</f>
        <v/>
      </c>
      <c r="Y10">
        <f>SUMPRODUCT((M_BOM[RM_Code]=$A10)*M_BOM[RM_Qty_Per_Batch]*IFERROR(INDEX(PP_Grid[#Data],M_BOM[PPGridRow],25),0))</f>
        <v/>
      </c>
      <c r="Z10">
        <f>SUMPRODUCT((M_BOM[RM_Code]=$A10)*M_BOM[RM_Qty_Per_Batch]*IFERROR(INDEX(PP_Grid[#Data],M_BOM[PPGridRow],26),0))</f>
        <v/>
      </c>
      <c r="AA10">
        <f>SUMPRODUCT((M_BOM[RM_Code]=$A10)*M_BOM[RM_Qty_Per_Batch]*IFERROR(INDEX(PP_Grid[#Data],M_BOM[PPGridRow],27),0))</f>
        <v/>
      </c>
      <c r="AB10">
        <f>SUMPRODUCT((M_BOM[RM_Code]=$A10)*M_BOM[RM_Qty_Per_Batch]*IFERROR(INDEX(PP_Grid[#Data],M_BOM[PPGridRow],28),0))</f>
        <v/>
      </c>
      <c r="AC10">
        <f>SUMPRODUCT((M_BOM[RM_Code]=$A10)*M_BOM[RM_Qty_Per_Batch]*IFERROR(INDEX(PP_Grid[#Data],M_BOM[PPGridRow],29),0))</f>
        <v/>
      </c>
      <c r="AD10">
        <f>SUMPRODUCT((M_BOM[RM_Code]=$A10)*M_BOM[RM_Qty_Per_Batch]*IFERROR(INDEX(PP_Grid[#Data],M_BOM[PPGridRow],30),0))</f>
        <v/>
      </c>
      <c r="AE10">
        <f>SUMPRODUCT((M_BOM[RM_Code]=$A10)*M_BOM[RM_Qty_Per_Batch]*IFERROR(INDEX(PP_Grid[#Data],M_BOM[PPGridRow],31),0))</f>
        <v/>
      </c>
      <c r="AF10">
        <f>SUMPRODUCT((M_BOM[RM_Code]=$A10)*M_BOM[RM_Qty_Per_Batch]*IFERROR(INDEX(PP_Grid[#Data],M_BOM[PPGridRow],32),0))</f>
        <v/>
      </c>
      <c r="AG10">
        <f>SUMPRODUCT((M_BOM[RM_Code]=$A10)*M_BOM[RM_Qty_Per_Batch]*IFERROR(INDEX(PP_Grid[#Data],M_BOM[PPGridRow],33),0))</f>
        <v/>
      </c>
      <c r="AH10">
        <f>SUMPRODUCT((M_BOM[RM_Code]=$A10)*M_BOM[RM_Qty_Per_Batch]*IFERROR(INDEX(PP_Grid[#Data],M_BOM[PPGridRow],34),0))</f>
        <v/>
      </c>
      <c r="AI10">
        <f>SUMPRODUCT((M_BOM[RM_Code]=$A10)*M_BOM[RM_Qty_Per_Batch]*IFERROR(INDEX(PP_Grid[#Data],M_BOM[PPGridRow],35),0))</f>
        <v/>
      </c>
      <c r="AJ10">
        <f>SUMPRODUCT((M_BOM[RM_Code]=$A10)*M_BOM[RM_Qty_Per_Batch]*IFERROR(INDEX(PP_Grid[#Data],M_BOM[PPGridRow],36),0))</f>
        <v/>
      </c>
      <c r="AK10">
        <f>SUMPRODUCT((M_BOM[RM_Code]=$A10)*M_BOM[RM_Qty_Per_Batch]*IFERROR(INDEX(PP_Grid[#Data],M_BOM[PPGridRow],37),0))</f>
        <v/>
      </c>
      <c r="AL10">
        <f>SUMPRODUCT((M_BOM[RM_Code]=$A10)*M_BOM[RM_Qty_Per_Batch]*IFERROR(INDEX(PP_Grid[#Data],M_BOM[PPGridRow],38),0))</f>
        <v/>
      </c>
      <c r="AM10">
        <f>SUMPRODUCT((M_BOM[RM_Code]=$A10)*M_BOM[RM_Qty_Per_Batch]*IFERROR(INDEX(PP_Grid[#Data],M_BOM[PPGridRow],39),0))</f>
        <v/>
      </c>
      <c r="AN10">
        <f>SUMPRODUCT((M_BOM[RM_Code]=$A10)*M_BOM[RM_Qty_Per_Batch]*IFERROR(INDEX(PP_Grid[#Data],M_BOM[PPGridRow],40),0))</f>
        <v/>
      </c>
      <c r="AO10">
        <f>SUMPRODUCT((M_BOM[RM_Code]=$A10)*M_BOM[RM_Qty_Per_Batch]*IFERROR(INDEX(PP_Grid[#Data],M_BOM[PPGridRow],41),0))</f>
        <v/>
      </c>
      <c r="AP10">
        <f>SUMPRODUCT((M_BOM[RM_Code]=$A10)*M_BOM[RM_Qty_Per_Batch]*IFERROR(INDEX(PP_Grid[#Data],M_BOM[PPGridRow],42),0))</f>
        <v/>
      </c>
      <c r="AQ10">
        <f>SUMPRODUCT((M_BOM[RM_Code]=$A10)*M_BOM[RM_Qty_Per_Batch]*IFERROR(INDEX(PP_Grid[#Data],M_BOM[PPGridRow],43),0))</f>
        <v/>
      </c>
      <c r="AR10">
        <f>SUMPRODUCT((M_BOM[RM_Code]=$A10)*M_BOM[RM_Qty_Per_Batch]*IFERROR(INDEX(PP_Grid[#Data],M_BOM[PPGridRow],44),0))</f>
        <v/>
      </c>
      <c r="AS10">
        <f>SUMPRODUCT((M_BOM[RM_Code]=$A10)*M_BOM[RM_Qty_Per_Batch]*IFERROR(INDEX(PP_Grid[#Data],M_BOM[PPGridRow],45),0))</f>
        <v/>
      </c>
      <c r="AT10">
        <f>SUMPRODUCT((M_BOM[RM_Code]=$A10)*M_BOM[RM_Qty_Per_Batch]*IFERROR(INDEX(PP_Grid[#Data],M_BOM[PPGridRow],46),0))</f>
        <v/>
      </c>
      <c r="AU10">
        <f>SUMPRODUCT((M_BOM[RM_Code]=$A10)*M_BOM[RM_Qty_Per_Batch]*IFERROR(INDEX(PP_Grid[#Data],M_BOM[PPGridRow],47),0))</f>
        <v/>
      </c>
      <c r="AV10">
        <f>SUMPRODUCT((M_BOM[RM_Code]=$A10)*M_BOM[RM_Qty_Per_Batch]*IFERROR(INDEX(PP_Grid[#Data],M_BOM[PPGridRow],48),0))</f>
        <v/>
      </c>
      <c r="AW10">
        <f>SUMPRODUCT((M_BOM[RM_Code]=$A10)*M_BOM[RM_Qty_Per_Batch]*IFERROR(INDEX(PP_Grid[#Data],M_BOM[PPGridRow],49),0))</f>
        <v/>
      </c>
      <c r="AX10">
        <f>SUMPRODUCT((M_BOM[RM_Code]=$A10)*M_BOM[RM_Qty_Per_Batch]*IFERROR(INDEX(PP_Grid[#Data],M_BOM[PPGridRow],50),0))</f>
        <v/>
      </c>
      <c r="AY10">
        <f>SUMPRODUCT((M_BOM[RM_Code]=$A10)*M_BOM[RM_Qty_Per_Batch]*IFERROR(INDEX(PP_Grid[#Data],M_BOM[PPGridRow],51),0))</f>
        <v/>
      </c>
      <c r="AZ10">
        <f>SUMPRODUCT((M_BOM[RM_Code]=$A10)*M_BOM[RM_Qty_Per_Batch]*IFERROR(INDEX(PP_Grid[#Data],M_BOM[PPGridRow],52),0))</f>
        <v/>
      </c>
      <c r="BA10">
        <f>SUMPRODUCT((M_BOM[RM_Code]=$A10)*M_BOM[RM_Qty_Per_Batch]*IFERROR(INDEX(PP_Grid[#Data],M_BOM[PPGridRow],53),0))</f>
        <v/>
      </c>
      <c r="BB10">
        <f>SUMPRODUCT((M_BOM[RM_Code]=$A10)*M_BOM[RM_Qty_Per_Batch]*IFERROR(INDEX(PP_Grid[#Data],M_BOM[PPGridRow],54),0))</f>
        <v/>
      </c>
      <c r="BC10">
        <f>SUMPRODUCT((M_BOM[RM_Code]=$A10)*M_BOM[RM_Qty_Per_Batch]*IFERROR(INDEX(PP_Grid[#Data],M_BOM[PPGridRow],55),0))</f>
        <v/>
      </c>
      <c r="BD10">
        <f>SUMPRODUCT((M_BOM[RM_Code]=$A10)*M_BOM[RM_Qty_Per_Batch]*IFERROR(INDEX(PP_Grid[#Data],M_BOM[PPGridRow],56),0))</f>
        <v/>
      </c>
      <c r="BE10">
        <f>SUMPRODUCT((M_BOM[RM_Code]=$A10)*M_BOM[RM_Qty_Per_Batch]*IFERROR(INDEX(PP_Grid[#Data],M_BOM[PPGridRow],57),0))</f>
        <v/>
      </c>
      <c r="BF10">
        <f>SUMPRODUCT((M_BOM[RM_Code]=$A10)*M_BOM[RM_Qty_Per_Batch]*IFERROR(INDEX(PP_Grid[#Data],M_BOM[PPGridRow],58),0))</f>
        <v/>
      </c>
      <c r="BG10">
        <f>SUMPRODUCT((M_BOM[RM_Code]=$A10)*M_BOM[RM_Qty_Per_Batch]*IFERROR(INDEX(PP_Grid[#Data],M_BOM[PPGridRow],59),0))</f>
        <v/>
      </c>
      <c r="BH10">
        <f>SUMPRODUCT((M_BOM[RM_Code]=$A10)*M_BOM[RM_Qty_Per_Batch]*IFERROR(INDEX(PP_Grid[#Data],M_BOM[PPGridRow],60),0))</f>
        <v/>
      </c>
      <c r="BI10">
        <f>SUMPRODUCT((M_BOM[RM_Code]=$A10)*M_BOM[RM_Qty_Per_Batch]*IFERROR(INDEX(PP_Grid[#Data],M_BOM[PPGridRow],61),0))</f>
        <v/>
      </c>
      <c r="BJ10">
        <f>SUMPRODUCT((M_BOM[RM_Code]=$A10)*M_BOM[RM_Qty_Per_Batch]*IFERROR(INDEX(PP_Grid[#Data],M_BOM[PPGridRow],62),0))</f>
        <v/>
      </c>
      <c r="BK10">
        <f>SUMPRODUCT((M_BOM[RM_Code]=$A10)*M_BOM[RM_Qty_Per_Batch]*IFERROR(INDEX(PP_Grid[#Data],M_BOM[PPGridRow],63),0))</f>
        <v/>
      </c>
      <c r="BL10">
        <f>SUMPRODUCT((M_BOM[RM_Code]=$A10)*M_BOM[RM_Qty_Per_Batch]*IFERROR(INDEX(PP_Grid[#Data],M_BOM[PPGridRow],64),0))</f>
        <v/>
      </c>
      <c r="BM10">
        <f>SUMPRODUCT((M_BOM[RM_Code]=$A10)*M_BOM[RM_Qty_Per_Batch]*IFERROR(INDEX(PP_Grid[#Data],M_BOM[PPGridRow],65),0))</f>
        <v/>
      </c>
      <c r="BN10">
        <f>SUMPRODUCT((M_BOM[RM_Code]=$A10)*M_BOM[RM_Qty_Per_Batch]*IFERROR(INDEX(PP_Grid[#Data],M_BOM[PPGridRow],66),0))</f>
        <v/>
      </c>
      <c r="BO10">
        <f>SUMPRODUCT((M_BOM[RM_Code]=$A10)*M_BOM[RM_Qty_Per_Batch]*IFERROR(INDEX(PP_Grid[#Data],M_BOM[PPGridRow],67),0))</f>
        <v/>
      </c>
      <c r="BP10">
        <f>SUMPRODUCT((M_BOM[RM_Code]=$A10)*M_BOM[RM_Qty_Per_Batch]*IFERROR(INDEX(PP_Grid[#Data],M_BOM[PPGridRow],68),0))</f>
        <v/>
      </c>
      <c r="BQ10">
        <f>SUMPRODUCT((M_BOM[RM_Code]=$A10)*M_BOM[RM_Qty_Per_Batch]*IFERROR(INDEX(PP_Grid[#Data],M_BOM[PPGridRow],69),0))</f>
        <v/>
      </c>
      <c r="BR10">
        <f>SUMPRODUCT((M_BOM[RM_Code]=$A10)*M_BOM[RM_Qty_Per_Batch]*IFERROR(INDEX(PP_Grid[#Data],M_BOM[PPGridRow],70),0))</f>
        <v/>
      </c>
      <c r="BS10">
        <f>SUMPRODUCT((M_BOM[RM_Code]=$A10)*M_BOM[RM_Qty_Per_Batch]*IFERROR(INDEX(PP_Grid[#Data],M_BOM[PPGridRow],71),0))</f>
        <v/>
      </c>
      <c r="BT10">
        <f>SUMPRODUCT((M_BOM[RM_Code]=$A10)*M_BOM[RM_Qty_Per_Batch]*IFERROR(INDEX(PP_Grid[#Data],M_BOM[PPGridRow],72),0))</f>
        <v/>
      </c>
      <c r="BU10">
        <f>SUMPRODUCT((M_BOM[RM_Code]=$A10)*M_BOM[RM_Qty_Per_Batch]*IFERROR(INDEX(PP_Grid[#Data],M_BOM[PPGridRow],73),0))</f>
        <v/>
      </c>
      <c r="BV10">
        <f>SUMPRODUCT((M_BOM[RM_Code]=$A10)*M_BOM[RM_Qty_Per_Batch]*IFERROR(INDEX(PP_Grid[#Data],M_BOM[PPGridRow],74),0))</f>
        <v/>
      </c>
      <c r="BW10">
        <f>SUMPRODUCT((M_BOM[RM_Code]=$A10)*M_BOM[RM_Qty_Per_Batch]*IFERROR(INDEX(PP_Grid[#Data],M_BOM[PPGridRow],75),0))</f>
        <v/>
      </c>
      <c r="BX10">
        <f>SUMPRODUCT((M_BOM[RM_Code]=$A10)*M_BOM[RM_Qty_Per_Batch]*IFERROR(INDEX(PP_Grid[#Data],M_BOM[PPGridRow],76),0))</f>
        <v/>
      </c>
      <c r="BY10">
        <f>SUMPRODUCT((M_BOM[RM_Code]=$A10)*M_BOM[RM_Qty_Per_Batch]*IFERROR(INDEX(PP_Grid[#Data],M_BOM[PPGridRow],77),0))</f>
        <v/>
      </c>
      <c r="BZ10">
        <f>SUMPRODUCT((M_BOM[RM_Code]=$A10)*M_BOM[RM_Qty_Per_Batch]*IFERROR(INDEX(PP_Grid[#Data],M_BOM[PPGridRow],78),0))</f>
        <v/>
      </c>
      <c r="CA10">
        <f>SUMPRODUCT((M_BOM[RM_Code]=$A10)*M_BOM[RM_Qty_Per_Batch]*IFERROR(INDEX(PP_Grid[#Data],M_BOM[PPGridRow],79),0))</f>
        <v/>
      </c>
      <c r="CB10">
        <f>SUMPRODUCT((M_BOM[RM_Code]=$A10)*M_BOM[RM_Qty_Per_Batch]*IFERROR(INDEX(PP_Grid[#Data],M_BOM[PPGridRow],80),0))</f>
        <v/>
      </c>
      <c r="CC10">
        <f>SUMPRODUCT((M_BOM[RM_Code]=$A10)*M_BOM[RM_Qty_Per_Batch]*IFERROR(INDEX(PP_Grid[#Data],M_BOM[PPGridRow],81),0))</f>
        <v/>
      </c>
      <c r="CD10">
        <f>SUMPRODUCT((M_BOM[RM_Code]=$A10)*M_BOM[RM_Qty_Per_Batch]*IFERROR(INDEX(PP_Grid[#Data],M_BOM[PPGridRow],82),0))</f>
        <v/>
      </c>
      <c r="CE10">
        <f>SUMPRODUCT((M_BOM[RM_Code]=$A10)*M_BOM[RM_Qty_Per_Batch]*IFERROR(INDEX(PP_Grid[#Data],M_BOM[PPGridRow],83),0))</f>
        <v/>
      </c>
      <c r="CF10">
        <f>SUMPRODUCT((M_BOM[RM_Code]=$A10)*M_BOM[RM_Qty_Per_Batch]*IFERROR(INDEX(PP_Grid[#Data],M_BOM[PPGridRow],84),0))</f>
        <v/>
      </c>
      <c r="CG10">
        <f>SUMPRODUCT((M_BOM[RM_Code]=$A10)*M_BOM[RM_Qty_Per_Batch]*IFERROR(INDEX(PP_Grid[#Data],M_BOM[PPGridRow],85),0))</f>
        <v/>
      </c>
      <c r="CH10">
        <f>SUMPRODUCT((M_BOM[RM_Code]=$A10)*M_BOM[RM_Qty_Per_Batch]*IFERROR(INDEX(PP_Grid[#Data],M_BOM[PPGridRow],86),0))</f>
        <v/>
      </c>
      <c r="CI10">
        <f>SUMPRODUCT((M_BOM[RM_Code]=$A10)*M_BOM[RM_Qty_Per_Batch]*IFERROR(INDEX(PP_Grid[#Data],M_BOM[PPGridRow],87),0))</f>
        <v/>
      </c>
      <c r="CJ10">
        <f>SUMPRODUCT((M_BOM[RM_Code]=$A10)*M_BOM[RM_Qty_Per_Batch]*IFERROR(INDEX(PP_Grid[#Data],M_BOM[PPGridRow],88),0))</f>
        <v/>
      </c>
      <c r="CK10">
        <f>SUMPRODUCT((M_BOM[RM_Code]=$A10)*M_BOM[RM_Qty_Per_Batch]*IFERROR(INDEX(PP_Grid[#Data],M_BOM[PPGridRow],89),0))</f>
        <v/>
      </c>
      <c r="CL10">
        <f>SUMPRODUCT((M_BOM[RM_Code]=$A10)*M_BOM[RM_Qty_Per_Batch]*IFERROR(INDEX(PP_Grid[#Data],M_BOM[PPGridRow],90),0))</f>
        <v/>
      </c>
      <c r="CM10">
        <f>SUMPRODUCT((M_BOM[RM_Code]=$A10)*M_BOM[RM_Qty_Per_Batch]*IFERROR(INDEX(PP_Grid[#Data],M_BOM[PPGridRow],91),0))</f>
        <v/>
      </c>
      <c r="CN10">
        <f>SUMPRODUCT((M_BOM[RM_Code]=$A10)*M_BOM[RM_Qty_Per_Batch]*IFERROR(INDEX(PP_Grid[#Data],M_BOM[PPGridRow],92),0))</f>
        <v/>
      </c>
      <c r="CO10">
        <f>SUMPRODUCT((M_BOM[RM_Code]=$A10)*M_BOM[RM_Qty_Per_Batch]*IFERROR(INDEX(PP_Grid[#Data],M_BOM[PPGridRow],93),0))</f>
        <v/>
      </c>
      <c r="CP10">
        <f>SUMPRODUCT((M_BOM[RM_Code]=$A10)*M_BOM[RM_Qty_Per_Batch]*IFERROR(INDEX(PP_Grid[#Data],M_BOM[PPGridRow],94),0))</f>
        <v/>
      </c>
      <c r="CQ10">
        <f>SUMPRODUCT((M_BOM[RM_Code]=$A10)*M_BOM[RM_Qty_Per_Batch]*IFERROR(INDEX(PP_Grid[#Data],M_BOM[PPGridRow],95),0))</f>
        <v/>
      </c>
      <c r="CR10">
        <f>SUMPRODUCT((M_BOM[RM_Code]=$A10)*M_BOM[RM_Qty_Per_Batch]*IFERROR(INDEX(PP_Grid[#Data],M_BOM[PPGridRow],96),0))</f>
        <v/>
      </c>
      <c r="CS10">
        <f>SUMPRODUCT((M_BOM[RM_Code]=$A10)*M_BOM[RM_Qty_Per_Batch]*IFERROR(INDEX(PP_Grid[#Data],M_BOM[PPGridRow],97),0))</f>
        <v/>
      </c>
      <c r="CT10">
        <f>SUMPRODUCT((M_BOM[RM_Code]=$A10)*M_BOM[RM_Qty_Per_Batch]*IFERROR(INDEX(PP_Grid[#Data],M_BOM[PPGridRow],98),0))</f>
        <v/>
      </c>
      <c r="CU10">
        <f>SUMPRODUCT((M_BOM[RM_Code]=$A10)*M_BOM[RM_Qty_Per_Batch]*IFERROR(INDEX(PP_Grid[#Data],M_BOM[PPGridRow],99),0))</f>
        <v/>
      </c>
      <c r="CV10">
        <f>SUMPRODUCT((M_BOM[RM_Code]=$A10)*M_BOM[RM_Qty_Per_Batch]*IFERROR(INDEX(PP_Grid[#Data],M_BOM[PPGridRow],100),0))</f>
        <v/>
      </c>
      <c r="CW10">
        <f>SUMPRODUCT((M_BOM[RM_Code]=$A10)*M_BOM[RM_Qty_Per_Batch]*IFERROR(INDEX(PP_Grid[#Data],M_BOM[PPGridRow],101),0))</f>
        <v/>
      </c>
      <c r="CX10">
        <f>SUMPRODUCT((M_BOM[RM_Code]=$A10)*M_BOM[RM_Qty_Per_Batch]*IFERROR(INDEX(PP_Grid[#Data],M_BOM[PPGridRow],102),0))</f>
        <v/>
      </c>
      <c r="CY10">
        <f>SUMPRODUCT((M_BOM[RM_Code]=$A10)*M_BOM[RM_Qty_Per_Batch]*IFERROR(INDEX(PP_Grid[#Data],M_BOM[PPGridRow],103),0))</f>
        <v/>
      </c>
      <c r="CZ10">
        <f>SUMPRODUCT((M_BOM[RM_Code]=$A10)*M_BOM[RM_Qty_Per_Batch]*IFERROR(INDEX(PP_Grid[#Data],M_BOM[PPGridRow],104),0))</f>
        <v/>
      </c>
      <c r="DA10">
        <f>SUMPRODUCT((M_BOM[RM_Code]=$A10)*M_BOM[RM_Qty_Per_Batch]*IFERROR(INDEX(PP_Grid[#Data],M_BOM[PPGridRow],105),0))</f>
        <v/>
      </c>
    </row>
    <row r="11">
      <c r="A11" t="inlineStr">
        <is>
          <t>PET FILM(900*1000)</t>
        </is>
      </c>
      <c r="B11">
        <f>SUMPRODUCT((M_BOM[RM_Code]=$A11)*M_BOM[RM_Qty_Per_Batch]*IFERROR(INDEX(PP_Grid[#Data],M_BOM[PPGridRow],2),0))</f>
        <v/>
      </c>
      <c r="C11">
        <f>SUMPRODUCT((M_BOM[RM_Code]=$A11)*M_BOM[RM_Qty_Per_Batch]*IFERROR(INDEX(PP_Grid[#Data],M_BOM[PPGridRow],3),0))</f>
        <v/>
      </c>
      <c r="D11">
        <f>SUMPRODUCT((M_BOM[RM_Code]=$A11)*M_BOM[RM_Qty_Per_Batch]*IFERROR(INDEX(PP_Grid[#Data],M_BOM[PPGridRow],4),0))</f>
        <v/>
      </c>
      <c r="E11">
        <f>SUMPRODUCT((M_BOM[RM_Code]=$A11)*M_BOM[RM_Qty_Per_Batch]*IFERROR(INDEX(PP_Grid[#Data],M_BOM[PPGridRow],5),0))</f>
        <v/>
      </c>
      <c r="F11">
        <f>SUMPRODUCT((M_BOM[RM_Code]=$A11)*M_BOM[RM_Qty_Per_Batch]*IFERROR(INDEX(PP_Grid[#Data],M_BOM[PPGridRow],6),0))</f>
        <v/>
      </c>
      <c r="G11">
        <f>SUMPRODUCT((M_BOM[RM_Code]=$A11)*M_BOM[RM_Qty_Per_Batch]*IFERROR(INDEX(PP_Grid[#Data],M_BOM[PPGridRow],7),0))</f>
        <v/>
      </c>
      <c r="H11">
        <f>SUMPRODUCT((M_BOM[RM_Code]=$A11)*M_BOM[RM_Qty_Per_Batch]*IFERROR(INDEX(PP_Grid[#Data],M_BOM[PPGridRow],8),0))</f>
        <v/>
      </c>
      <c r="I11">
        <f>SUMPRODUCT((M_BOM[RM_Code]=$A11)*M_BOM[RM_Qty_Per_Batch]*IFERROR(INDEX(PP_Grid[#Data],M_BOM[PPGridRow],9),0))</f>
        <v/>
      </c>
      <c r="J11">
        <f>SUMPRODUCT((M_BOM[RM_Code]=$A11)*M_BOM[RM_Qty_Per_Batch]*IFERROR(INDEX(PP_Grid[#Data],M_BOM[PPGridRow],10),0))</f>
        <v/>
      </c>
      <c r="K11">
        <f>SUMPRODUCT((M_BOM[RM_Code]=$A11)*M_BOM[RM_Qty_Per_Batch]*IFERROR(INDEX(PP_Grid[#Data],M_BOM[PPGridRow],11),0))</f>
        <v/>
      </c>
      <c r="L11">
        <f>SUMPRODUCT((M_BOM[RM_Code]=$A11)*M_BOM[RM_Qty_Per_Batch]*IFERROR(INDEX(PP_Grid[#Data],M_BOM[PPGridRow],12),0))</f>
        <v/>
      </c>
      <c r="M11">
        <f>SUMPRODUCT((M_BOM[RM_Code]=$A11)*M_BOM[RM_Qty_Per_Batch]*IFERROR(INDEX(PP_Grid[#Data],M_BOM[PPGridRow],13),0))</f>
        <v/>
      </c>
      <c r="N11">
        <f>SUMPRODUCT((M_BOM[RM_Code]=$A11)*M_BOM[RM_Qty_Per_Batch]*IFERROR(INDEX(PP_Grid[#Data],M_BOM[PPGridRow],14),0))</f>
        <v/>
      </c>
      <c r="O11">
        <f>SUMPRODUCT((M_BOM[RM_Code]=$A11)*M_BOM[RM_Qty_Per_Batch]*IFERROR(INDEX(PP_Grid[#Data],M_BOM[PPGridRow],15),0))</f>
        <v/>
      </c>
      <c r="P11">
        <f>SUMPRODUCT((M_BOM[RM_Code]=$A11)*M_BOM[RM_Qty_Per_Batch]*IFERROR(INDEX(PP_Grid[#Data],M_BOM[PPGridRow],16),0))</f>
        <v/>
      </c>
      <c r="Q11">
        <f>SUMPRODUCT((M_BOM[RM_Code]=$A11)*M_BOM[RM_Qty_Per_Batch]*IFERROR(INDEX(PP_Grid[#Data],M_BOM[PPGridRow],17),0))</f>
        <v/>
      </c>
      <c r="R11">
        <f>SUMPRODUCT((M_BOM[RM_Code]=$A11)*M_BOM[RM_Qty_Per_Batch]*IFERROR(INDEX(PP_Grid[#Data],M_BOM[PPGridRow],18),0))</f>
        <v/>
      </c>
      <c r="S11">
        <f>SUMPRODUCT((M_BOM[RM_Code]=$A11)*M_BOM[RM_Qty_Per_Batch]*IFERROR(INDEX(PP_Grid[#Data],M_BOM[PPGridRow],19),0))</f>
        <v/>
      </c>
      <c r="T11">
        <f>SUMPRODUCT((M_BOM[RM_Code]=$A11)*M_BOM[RM_Qty_Per_Batch]*IFERROR(INDEX(PP_Grid[#Data],M_BOM[PPGridRow],20),0))</f>
        <v/>
      </c>
      <c r="U11">
        <f>SUMPRODUCT((M_BOM[RM_Code]=$A11)*M_BOM[RM_Qty_Per_Batch]*IFERROR(INDEX(PP_Grid[#Data],M_BOM[PPGridRow],21),0))</f>
        <v/>
      </c>
      <c r="V11">
        <f>SUMPRODUCT((M_BOM[RM_Code]=$A11)*M_BOM[RM_Qty_Per_Batch]*IFERROR(INDEX(PP_Grid[#Data],M_BOM[PPGridRow],22),0))</f>
        <v/>
      </c>
      <c r="W11">
        <f>SUMPRODUCT((M_BOM[RM_Code]=$A11)*M_BOM[RM_Qty_Per_Batch]*IFERROR(INDEX(PP_Grid[#Data],M_BOM[PPGridRow],23),0))</f>
        <v/>
      </c>
      <c r="X11">
        <f>SUMPRODUCT((M_BOM[RM_Code]=$A11)*M_BOM[RM_Qty_Per_Batch]*IFERROR(INDEX(PP_Grid[#Data],M_BOM[PPGridRow],24),0))</f>
        <v/>
      </c>
      <c r="Y11">
        <f>SUMPRODUCT((M_BOM[RM_Code]=$A11)*M_BOM[RM_Qty_Per_Batch]*IFERROR(INDEX(PP_Grid[#Data],M_BOM[PPGridRow],25),0))</f>
        <v/>
      </c>
      <c r="Z11">
        <f>SUMPRODUCT((M_BOM[RM_Code]=$A11)*M_BOM[RM_Qty_Per_Batch]*IFERROR(INDEX(PP_Grid[#Data],M_BOM[PPGridRow],26),0))</f>
        <v/>
      </c>
      <c r="AA11">
        <f>SUMPRODUCT((M_BOM[RM_Code]=$A11)*M_BOM[RM_Qty_Per_Batch]*IFERROR(INDEX(PP_Grid[#Data],M_BOM[PPGridRow],27),0))</f>
        <v/>
      </c>
      <c r="AB11">
        <f>SUMPRODUCT((M_BOM[RM_Code]=$A11)*M_BOM[RM_Qty_Per_Batch]*IFERROR(INDEX(PP_Grid[#Data],M_BOM[PPGridRow],28),0))</f>
        <v/>
      </c>
      <c r="AC11">
        <f>SUMPRODUCT((M_BOM[RM_Code]=$A11)*M_BOM[RM_Qty_Per_Batch]*IFERROR(INDEX(PP_Grid[#Data],M_BOM[PPGridRow],29),0))</f>
        <v/>
      </c>
      <c r="AD11">
        <f>SUMPRODUCT((M_BOM[RM_Code]=$A11)*M_BOM[RM_Qty_Per_Batch]*IFERROR(INDEX(PP_Grid[#Data],M_BOM[PPGridRow],30),0))</f>
        <v/>
      </c>
      <c r="AE11">
        <f>SUMPRODUCT((M_BOM[RM_Code]=$A11)*M_BOM[RM_Qty_Per_Batch]*IFERROR(INDEX(PP_Grid[#Data],M_BOM[PPGridRow],31),0))</f>
        <v/>
      </c>
      <c r="AF11">
        <f>SUMPRODUCT((M_BOM[RM_Code]=$A11)*M_BOM[RM_Qty_Per_Batch]*IFERROR(INDEX(PP_Grid[#Data],M_BOM[PPGridRow],32),0))</f>
        <v/>
      </c>
      <c r="AG11">
        <f>SUMPRODUCT((M_BOM[RM_Code]=$A11)*M_BOM[RM_Qty_Per_Batch]*IFERROR(INDEX(PP_Grid[#Data],M_BOM[PPGridRow],33),0))</f>
        <v/>
      </c>
      <c r="AH11">
        <f>SUMPRODUCT((M_BOM[RM_Code]=$A11)*M_BOM[RM_Qty_Per_Batch]*IFERROR(INDEX(PP_Grid[#Data],M_BOM[PPGridRow],34),0))</f>
        <v/>
      </c>
      <c r="AI11">
        <f>SUMPRODUCT((M_BOM[RM_Code]=$A11)*M_BOM[RM_Qty_Per_Batch]*IFERROR(INDEX(PP_Grid[#Data],M_BOM[PPGridRow],35),0))</f>
        <v/>
      </c>
      <c r="AJ11">
        <f>SUMPRODUCT((M_BOM[RM_Code]=$A11)*M_BOM[RM_Qty_Per_Batch]*IFERROR(INDEX(PP_Grid[#Data],M_BOM[PPGridRow],36),0))</f>
        <v/>
      </c>
      <c r="AK11">
        <f>SUMPRODUCT((M_BOM[RM_Code]=$A11)*M_BOM[RM_Qty_Per_Batch]*IFERROR(INDEX(PP_Grid[#Data],M_BOM[PPGridRow],37),0))</f>
        <v/>
      </c>
      <c r="AL11">
        <f>SUMPRODUCT((M_BOM[RM_Code]=$A11)*M_BOM[RM_Qty_Per_Batch]*IFERROR(INDEX(PP_Grid[#Data],M_BOM[PPGridRow],38),0))</f>
        <v/>
      </c>
      <c r="AM11">
        <f>SUMPRODUCT((M_BOM[RM_Code]=$A11)*M_BOM[RM_Qty_Per_Batch]*IFERROR(INDEX(PP_Grid[#Data],M_BOM[PPGridRow],39),0))</f>
        <v/>
      </c>
      <c r="AN11">
        <f>SUMPRODUCT((M_BOM[RM_Code]=$A11)*M_BOM[RM_Qty_Per_Batch]*IFERROR(INDEX(PP_Grid[#Data],M_BOM[PPGridRow],40),0))</f>
        <v/>
      </c>
      <c r="AO11">
        <f>SUMPRODUCT((M_BOM[RM_Code]=$A11)*M_BOM[RM_Qty_Per_Batch]*IFERROR(INDEX(PP_Grid[#Data],M_BOM[PPGridRow],41),0))</f>
        <v/>
      </c>
      <c r="AP11">
        <f>SUMPRODUCT((M_BOM[RM_Code]=$A11)*M_BOM[RM_Qty_Per_Batch]*IFERROR(INDEX(PP_Grid[#Data],M_BOM[PPGridRow],42),0))</f>
        <v/>
      </c>
      <c r="AQ11">
        <f>SUMPRODUCT((M_BOM[RM_Code]=$A11)*M_BOM[RM_Qty_Per_Batch]*IFERROR(INDEX(PP_Grid[#Data],M_BOM[PPGridRow],43),0))</f>
        <v/>
      </c>
      <c r="AR11">
        <f>SUMPRODUCT((M_BOM[RM_Code]=$A11)*M_BOM[RM_Qty_Per_Batch]*IFERROR(INDEX(PP_Grid[#Data],M_BOM[PPGridRow],44),0))</f>
        <v/>
      </c>
      <c r="AS11">
        <f>SUMPRODUCT((M_BOM[RM_Code]=$A11)*M_BOM[RM_Qty_Per_Batch]*IFERROR(INDEX(PP_Grid[#Data],M_BOM[PPGridRow],45),0))</f>
        <v/>
      </c>
      <c r="AT11">
        <f>SUMPRODUCT((M_BOM[RM_Code]=$A11)*M_BOM[RM_Qty_Per_Batch]*IFERROR(INDEX(PP_Grid[#Data],M_BOM[PPGridRow],46),0))</f>
        <v/>
      </c>
      <c r="AU11">
        <f>SUMPRODUCT((M_BOM[RM_Code]=$A11)*M_BOM[RM_Qty_Per_Batch]*IFERROR(INDEX(PP_Grid[#Data],M_BOM[PPGridRow],47),0))</f>
        <v/>
      </c>
      <c r="AV11">
        <f>SUMPRODUCT((M_BOM[RM_Code]=$A11)*M_BOM[RM_Qty_Per_Batch]*IFERROR(INDEX(PP_Grid[#Data],M_BOM[PPGridRow],48),0))</f>
        <v/>
      </c>
      <c r="AW11">
        <f>SUMPRODUCT((M_BOM[RM_Code]=$A11)*M_BOM[RM_Qty_Per_Batch]*IFERROR(INDEX(PP_Grid[#Data],M_BOM[PPGridRow],49),0))</f>
        <v/>
      </c>
      <c r="AX11">
        <f>SUMPRODUCT((M_BOM[RM_Code]=$A11)*M_BOM[RM_Qty_Per_Batch]*IFERROR(INDEX(PP_Grid[#Data],M_BOM[PPGridRow],50),0))</f>
        <v/>
      </c>
      <c r="AY11">
        <f>SUMPRODUCT((M_BOM[RM_Code]=$A11)*M_BOM[RM_Qty_Per_Batch]*IFERROR(INDEX(PP_Grid[#Data],M_BOM[PPGridRow],51),0))</f>
        <v/>
      </c>
      <c r="AZ11">
        <f>SUMPRODUCT((M_BOM[RM_Code]=$A11)*M_BOM[RM_Qty_Per_Batch]*IFERROR(INDEX(PP_Grid[#Data],M_BOM[PPGridRow],52),0))</f>
        <v/>
      </c>
      <c r="BA11">
        <f>SUMPRODUCT((M_BOM[RM_Code]=$A11)*M_BOM[RM_Qty_Per_Batch]*IFERROR(INDEX(PP_Grid[#Data],M_BOM[PPGridRow],53),0))</f>
        <v/>
      </c>
      <c r="BB11">
        <f>SUMPRODUCT((M_BOM[RM_Code]=$A11)*M_BOM[RM_Qty_Per_Batch]*IFERROR(INDEX(PP_Grid[#Data],M_BOM[PPGridRow],54),0))</f>
        <v/>
      </c>
      <c r="BC11">
        <f>SUMPRODUCT((M_BOM[RM_Code]=$A11)*M_BOM[RM_Qty_Per_Batch]*IFERROR(INDEX(PP_Grid[#Data],M_BOM[PPGridRow],55),0))</f>
        <v/>
      </c>
      <c r="BD11">
        <f>SUMPRODUCT((M_BOM[RM_Code]=$A11)*M_BOM[RM_Qty_Per_Batch]*IFERROR(INDEX(PP_Grid[#Data],M_BOM[PPGridRow],56),0))</f>
        <v/>
      </c>
      <c r="BE11">
        <f>SUMPRODUCT((M_BOM[RM_Code]=$A11)*M_BOM[RM_Qty_Per_Batch]*IFERROR(INDEX(PP_Grid[#Data],M_BOM[PPGridRow],57),0))</f>
        <v/>
      </c>
      <c r="BF11">
        <f>SUMPRODUCT((M_BOM[RM_Code]=$A11)*M_BOM[RM_Qty_Per_Batch]*IFERROR(INDEX(PP_Grid[#Data],M_BOM[PPGridRow],58),0))</f>
        <v/>
      </c>
      <c r="BG11">
        <f>SUMPRODUCT((M_BOM[RM_Code]=$A11)*M_BOM[RM_Qty_Per_Batch]*IFERROR(INDEX(PP_Grid[#Data],M_BOM[PPGridRow],59),0))</f>
        <v/>
      </c>
      <c r="BH11">
        <f>SUMPRODUCT((M_BOM[RM_Code]=$A11)*M_BOM[RM_Qty_Per_Batch]*IFERROR(INDEX(PP_Grid[#Data],M_BOM[PPGridRow],60),0))</f>
        <v/>
      </c>
      <c r="BI11">
        <f>SUMPRODUCT((M_BOM[RM_Code]=$A11)*M_BOM[RM_Qty_Per_Batch]*IFERROR(INDEX(PP_Grid[#Data],M_BOM[PPGridRow],61),0))</f>
        <v/>
      </c>
      <c r="BJ11">
        <f>SUMPRODUCT((M_BOM[RM_Code]=$A11)*M_BOM[RM_Qty_Per_Batch]*IFERROR(INDEX(PP_Grid[#Data],M_BOM[PPGridRow],62),0))</f>
        <v/>
      </c>
      <c r="BK11">
        <f>SUMPRODUCT((M_BOM[RM_Code]=$A11)*M_BOM[RM_Qty_Per_Batch]*IFERROR(INDEX(PP_Grid[#Data],M_BOM[PPGridRow],63),0))</f>
        <v/>
      </c>
      <c r="BL11">
        <f>SUMPRODUCT((M_BOM[RM_Code]=$A11)*M_BOM[RM_Qty_Per_Batch]*IFERROR(INDEX(PP_Grid[#Data],M_BOM[PPGridRow],64),0))</f>
        <v/>
      </c>
      <c r="BM11">
        <f>SUMPRODUCT((M_BOM[RM_Code]=$A11)*M_BOM[RM_Qty_Per_Batch]*IFERROR(INDEX(PP_Grid[#Data],M_BOM[PPGridRow],65),0))</f>
        <v/>
      </c>
      <c r="BN11">
        <f>SUMPRODUCT((M_BOM[RM_Code]=$A11)*M_BOM[RM_Qty_Per_Batch]*IFERROR(INDEX(PP_Grid[#Data],M_BOM[PPGridRow],66),0))</f>
        <v/>
      </c>
      <c r="BO11">
        <f>SUMPRODUCT((M_BOM[RM_Code]=$A11)*M_BOM[RM_Qty_Per_Batch]*IFERROR(INDEX(PP_Grid[#Data],M_BOM[PPGridRow],67),0))</f>
        <v/>
      </c>
      <c r="BP11">
        <f>SUMPRODUCT((M_BOM[RM_Code]=$A11)*M_BOM[RM_Qty_Per_Batch]*IFERROR(INDEX(PP_Grid[#Data],M_BOM[PPGridRow],68),0))</f>
        <v/>
      </c>
      <c r="BQ11">
        <f>SUMPRODUCT((M_BOM[RM_Code]=$A11)*M_BOM[RM_Qty_Per_Batch]*IFERROR(INDEX(PP_Grid[#Data],M_BOM[PPGridRow],69),0))</f>
        <v/>
      </c>
      <c r="BR11">
        <f>SUMPRODUCT((M_BOM[RM_Code]=$A11)*M_BOM[RM_Qty_Per_Batch]*IFERROR(INDEX(PP_Grid[#Data],M_BOM[PPGridRow],70),0))</f>
        <v/>
      </c>
      <c r="BS11">
        <f>SUMPRODUCT((M_BOM[RM_Code]=$A11)*M_BOM[RM_Qty_Per_Batch]*IFERROR(INDEX(PP_Grid[#Data],M_BOM[PPGridRow],71),0))</f>
        <v/>
      </c>
      <c r="BT11">
        <f>SUMPRODUCT((M_BOM[RM_Code]=$A11)*M_BOM[RM_Qty_Per_Batch]*IFERROR(INDEX(PP_Grid[#Data],M_BOM[PPGridRow],72),0))</f>
        <v/>
      </c>
      <c r="BU11">
        <f>SUMPRODUCT((M_BOM[RM_Code]=$A11)*M_BOM[RM_Qty_Per_Batch]*IFERROR(INDEX(PP_Grid[#Data],M_BOM[PPGridRow],73),0))</f>
        <v/>
      </c>
      <c r="BV11">
        <f>SUMPRODUCT((M_BOM[RM_Code]=$A11)*M_BOM[RM_Qty_Per_Batch]*IFERROR(INDEX(PP_Grid[#Data],M_BOM[PPGridRow],74),0))</f>
        <v/>
      </c>
      <c r="BW11">
        <f>SUMPRODUCT((M_BOM[RM_Code]=$A11)*M_BOM[RM_Qty_Per_Batch]*IFERROR(INDEX(PP_Grid[#Data],M_BOM[PPGridRow],75),0))</f>
        <v/>
      </c>
      <c r="BX11">
        <f>SUMPRODUCT((M_BOM[RM_Code]=$A11)*M_BOM[RM_Qty_Per_Batch]*IFERROR(INDEX(PP_Grid[#Data],M_BOM[PPGridRow],76),0))</f>
        <v/>
      </c>
      <c r="BY11">
        <f>SUMPRODUCT((M_BOM[RM_Code]=$A11)*M_BOM[RM_Qty_Per_Batch]*IFERROR(INDEX(PP_Grid[#Data],M_BOM[PPGridRow],77),0))</f>
        <v/>
      </c>
      <c r="BZ11">
        <f>SUMPRODUCT((M_BOM[RM_Code]=$A11)*M_BOM[RM_Qty_Per_Batch]*IFERROR(INDEX(PP_Grid[#Data],M_BOM[PPGridRow],78),0))</f>
        <v/>
      </c>
      <c r="CA11">
        <f>SUMPRODUCT((M_BOM[RM_Code]=$A11)*M_BOM[RM_Qty_Per_Batch]*IFERROR(INDEX(PP_Grid[#Data],M_BOM[PPGridRow],79),0))</f>
        <v/>
      </c>
      <c r="CB11">
        <f>SUMPRODUCT((M_BOM[RM_Code]=$A11)*M_BOM[RM_Qty_Per_Batch]*IFERROR(INDEX(PP_Grid[#Data],M_BOM[PPGridRow],80),0))</f>
        <v/>
      </c>
      <c r="CC11">
        <f>SUMPRODUCT((M_BOM[RM_Code]=$A11)*M_BOM[RM_Qty_Per_Batch]*IFERROR(INDEX(PP_Grid[#Data],M_BOM[PPGridRow],81),0))</f>
        <v/>
      </c>
      <c r="CD11">
        <f>SUMPRODUCT((M_BOM[RM_Code]=$A11)*M_BOM[RM_Qty_Per_Batch]*IFERROR(INDEX(PP_Grid[#Data],M_BOM[PPGridRow],82),0))</f>
        <v/>
      </c>
      <c r="CE11">
        <f>SUMPRODUCT((M_BOM[RM_Code]=$A11)*M_BOM[RM_Qty_Per_Batch]*IFERROR(INDEX(PP_Grid[#Data],M_BOM[PPGridRow],83),0))</f>
        <v/>
      </c>
      <c r="CF11">
        <f>SUMPRODUCT((M_BOM[RM_Code]=$A11)*M_BOM[RM_Qty_Per_Batch]*IFERROR(INDEX(PP_Grid[#Data],M_BOM[PPGridRow],84),0))</f>
        <v/>
      </c>
      <c r="CG11">
        <f>SUMPRODUCT((M_BOM[RM_Code]=$A11)*M_BOM[RM_Qty_Per_Batch]*IFERROR(INDEX(PP_Grid[#Data],M_BOM[PPGridRow],85),0))</f>
        <v/>
      </c>
      <c r="CH11">
        <f>SUMPRODUCT((M_BOM[RM_Code]=$A11)*M_BOM[RM_Qty_Per_Batch]*IFERROR(INDEX(PP_Grid[#Data],M_BOM[PPGridRow],86),0))</f>
        <v/>
      </c>
      <c r="CI11">
        <f>SUMPRODUCT((M_BOM[RM_Code]=$A11)*M_BOM[RM_Qty_Per_Batch]*IFERROR(INDEX(PP_Grid[#Data],M_BOM[PPGridRow],87),0))</f>
        <v/>
      </c>
      <c r="CJ11">
        <f>SUMPRODUCT((M_BOM[RM_Code]=$A11)*M_BOM[RM_Qty_Per_Batch]*IFERROR(INDEX(PP_Grid[#Data],M_BOM[PPGridRow],88),0))</f>
        <v/>
      </c>
      <c r="CK11">
        <f>SUMPRODUCT((M_BOM[RM_Code]=$A11)*M_BOM[RM_Qty_Per_Batch]*IFERROR(INDEX(PP_Grid[#Data],M_BOM[PPGridRow],89),0))</f>
        <v/>
      </c>
      <c r="CL11">
        <f>SUMPRODUCT((M_BOM[RM_Code]=$A11)*M_BOM[RM_Qty_Per_Batch]*IFERROR(INDEX(PP_Grid[#Data],M_BOM[PPGridRow],90),0))</f>
        <v/>
      </c>
      <c r="CM11">
        <f>SUMPRODUCT((M_BOM[RM_Code]=$A11)*M_BOM[RM_Qty_Per_Batch]*IFERROR(INDEX(PP_Grid[#Data],M_BOM[PPGridRow],91),0))</f>
        <v/>
      </c>
      <c r="CN11">
        <f>SUMPRODUCT((M_BOM[RM_Code]=$A11)*M_BOM[RM_Qty_Per_Batch]*IFERROR(INDEX(PP_Grid[#Data],M_BOM[PPGridRow],92),0))</f>
        <v/>
      </c>
      <c r="CO11">
        <f>SUMPRODUCT((M_BOM[RM_Code]=$A11)*M_BOM[RM_Qty_Per_Batch]*IFERROR(INDEX(PP_Grid[#Data],M_BOM[PPGridRow],93),0))</f>
        <v/>
      </c>
      <c r="CP11">
        <f>SUMPRODUCT((M_BOM[RM_Code]=$A11)*M_BOM[RM_Qty_Per_Batch]*IFERROR(INDEX(PP_Grid[#Data],M_BOM[PPGridRow],94),0))</f>
        <v/>
      </c>
      <c r="CQ11">
        <f>SUMPRODUCT((M_BOM[RM_Code]=$A11)*M_BOM[RM_Qty_Per_Batch]*IFERROR(INDEX(PP_Grid[#Data],M_BOM[PPGridRow],95),0))</f>
        <v/>
      </c>
      <c r="CR11">
        <f>SUMPRODUCT((M_BOM[RM_Code]=$A11)*M_BOM[RM_Qty_Per_Batch]*IFERROR(INDEX(PP_Grid[#Data],M_BOM[PPGridRow],96),0))</f>
        <v/>
      </c>
      <c r="CS11">
        <f>SUMPRODUCT((M_BOM[RM_Code]=$A11)*M_BOM[RM_Qty_Per_Batch]*IFERROR(INDEX(PP_Grid[#Data],M_BOM[PPGridRow],97),0))</f>
        <v/>
      </c>
      <c r="CT11">
        <f>SUMPRODUCT((M_BOM[RM_Code]=$A11)*M_BOM[RM_Qty_Per_Batch]*IFERROR(INDEX(PP_Grid[#Data],M_BOM[PPGridRow],98),0))</f>
        <v/>
      </c>
      <c r="CU11">
        <f>SUMPRODUCT((M_BOM[RM_Code]=$A11)*M_BOM[RM_Qty_Per_Batch]*IFERROR(INDEX(PP_Grid[#Data],M_BOM[PPGridRow],99),0))</f>
        <v/>
      </c>
      <c r="CV11">
        <f>SUMPRODUCT((M_BOM[RM_Code]=$A11)*M_BOM[RM_Qty_Per_Batch]*IFERROR(INDEX(PP_Grid[#Data],M_BOM[PPGridRow],100),0))</f>
        <v/>
      </c>
      <c r="CW11">
        <f>SUMPRODUCT((M_BOM[RM_Code]=$A11)*M_BOM[RM_Qty_Per_Batch]*IFERROR(INDEX(PP_Grid[#Data],M_BOM[PPGridRow],101),0))</f>
        <v/>
      </c>
      <c r="CX11">
        <f>SUMPRODUCT((M_BOM[RM_Code]=$A11)*M_BOM[RM_Qty_Per_Batch]*IFERROR(INDEX(PP_Grid[#Data],M_BOM[PPGridRow],102),0))</f>
        <v/>
      </c>
      <c r="CY11">
        <f>SUMPRODUCT((M_BOM[RM_Code]=$A11)*M_BOM[RM_Qty_Per_Batch]*IFERROR(INDEX(PP_Grid[#Data],M_BOM[PPGridRow],103),0))</f>
        <v/>
      </c>
      <c r="CZ11">
        <f>SUMPRODUCT((M_BOM[RM_Code]=$A11)*M_BOM[RM_Qty_Per_Batch]*IFERROR(INDEX(PP_Grid[#Data],M_BOM[PPGridRow],104),0))</f>
        <v/>
      </c>
      <c r="DA11">
        <f>SUMPRODUCT((M_BOM[RM_Code]=$A11)*M_BOM[RM_Qty_Per_Batch]*IFERROR(INDEX(PP_Grid[#Data],M_BOM[PPGridRow],105),0))</f>
        <v/>
      </c>
    </row>
    <row r="12">
      <c r="A12" t="inlineStr">
        <is>
          <t>4HL</t>
        </is>
      </c>
      <c r="B12">
        <f>SUMPRODUCT((M_BOM[RM_Code]=$A12)*M_BOM[RM_Qty_Per_Batch]*IFERROR(INDEX(PP_Grid[#Data],M_BOM[PPGridRow],2),0))</f>
        <v/>
      </c>
      <c r="C12">
        <f>SUMPRODUCT((M_BOM[RM_Code]=$A12)*M_BOM[RM_Qty_Per_Batch]*IFERROR(INDEX(PP_Grid[#Data],M_BOM[PPGridRow],3),0))</f>
        <v/>
      </c>
      <c r="D12">
        <f>SUMPRODUCT((M_BOM[RM_Code]=$A12)*M_BOM[RM_Qty_Per_Batch]*IFERROR(INDEX(PP_Grid[#Data],M_BOM[PPGridRow],4),0))</f>
        <v/>
      </c>
      <c r="E12">
        <f>SUMPRODUCT((M_BOM[RM_Code]=$A12)*M_BOM[RM_Qty_Per_Batch]*IFERROR(INDEX(PP_Grid[#Data],M_BOM[PPGridRow],5),0))</f>
        <v/>
      </c>
      <c r="F12">
        <f>SUMPRODUCT((M_BOM[RM_Code]=$A12)*M_BOM[RM_Qty_Per_Batch]*IFERROR(INDEX(PP_Grid[#Data],M_BOM[PPGridRow],6),0))</f>
        <v/>
      </c>
      <c r="G12">
        <f>SUMPRODUCT((M_BOM[RM_Code]=$A12)*M_BOM[RM_Qty_Per_Batch]*IFERROR(INDEX(PP_Grid[#Data],M_BOM[PPGridRow],7),0))</f>
        <v/>
      </c>
      <c r="H12">
        <f>SUMPRODUCT((M_BOM[RM_Code]=$A12)*M_BOM[RM_Qty_Per_Batch]*IFERROR(INDEX(PP_Grid[#Data],M_BOM[PPGridRow],8),0))</f>
        <v/>
      </c>
      <c r="I12">
        <f>SUMPRODUCT((M_BOM[RM_Code]=$A12)*M_BOM[RM_Qty_Per_Batch]*IFERROR(INDEX(PP_Grid[#Data],M_BOM[PPGridRow],9),0))</f>
        <v/>
      </c>
      <c r="J12">
        <f>SUMPRODUCT((M_BOM[RM_Code]=$A12)*M_BOM[RM_Qty_Per_Batch]*IFERROR(INDEX(PP_Grid[#Data],M_BOM[PPGridRow],10),0))</f>
        <v/>
      </c>
      <c r="K12">
        <f>SUMPRODUCT((M_BOM[RM_Code]=$A12)*M_BOM[RM_Qty_Per_Batch]*IFERROR(INDEX(PP_Grid[#Data],M_BOM[PPGridRow],11),0))</f>
        <v/>
      </c>
      <c r="L12">
        <f>SUMPRODUCT((M_BOM[RM_Code]=$A12)*M_BOM[RM_Qty_Per_Batch]*IFERROR(INDEX(PP_Grid[#Data],M_BOM[PPGridRow],12),0))</f>
        <v/>
      </c>
      <c r="M12">
        <f>SUMPRODUCT((M_BOM[RM_Code]=$A12)*M_BOM[RM_Qty_Per_Batch]*IFERROR(INDEX(PP_Grid[#Data],M_BOM[PPGridRow],13),0))</f>
        <v/>
      </c>
      <c r="N12">
        <f>SUMPRODUCT((M_BOM[RM_Code]=$A12)*M_BOM[RM_Qty_Per_Batch]*IFERROR(INDEX(PP_Grid[#Data],M_BOM[PPGridRow],14),0))</f>
        <v/>
      </c>
      <c r="O12">
        <f>SUMPRODUCT((M_BOM[RM_Code]=$A12)*M_BOM[RM_Qty_Per_Batch]*IFERROR(INDEX(PP_Grid[#Data],M_BOM[PPGridRow],15),0))</f>
        <v/>
      </c>
      <c r="P12">
        <f>SUMPRODUCT((M_BOM[RM_Code]=$A12)*M_BOM[RM_Qty_Per_Batch]*IFERROR(INDEX(PP_Grid[#Data],M_BOM[PPGridRow],16),0))</f>
        <v/>
      </c>
      <c r="Q12">
        <f>SUMPRODUCT((M_BOM[RM_Code]=$A12)*M_BOM[RM_Qty_Per_Batch]*IFERROR(INDEX(PP_Grid[#Data],M_BOM[PPGridRow],17),0))</f>
        <v/>
      </c>
      <c r="R12">
        <f>SUMPRODUCT((M_BOM[RM_Code]=$A12)*M_BOM[RM_Qty_Per_Batch]*IFERROR(INDEX(PP_Grid[#Data],M_BOM[PPGridRow],18),0))</f>
        <v/>
      </c>
      <c r="S12">
        <f>SUMPRODUCT((M_BOM[RM_Code]=$A12)*M_BOM[RM_Qty_Per_Batch]*IFERROR(INDEX(PP_Grid[#Data],M_BOM[PPGridRow],19),0))</f>
        <v/>
      </c>
      <c r="T12">
        <f>SUMPRODUCT((M_BOM[RM_Code]=$A12)*M_BOM[RM_Qty_Per_Batch]*IFERROR(INDEX(PP_Grid[#Data],M_BOM[PPGridRow],20),0))</f>
        <v/>
      </c>
      <c r="U12">
        <f>SUMPRODUCT((M_BOM[RM_Code]=$A12)*M_BOM[RM_Qty_Per_Batch]*IFERROR(INDEX(PP_Grid[#Data],M_BOM[PPGridRow],21),0))</f>
        <v/>
      </c>
      <c r="V12">
        <f>SUMPRODUCT((M_BOM[RM_Code]=$A12)*M_BOM[RM_Qty_Per_Batch]*IFERROR(INDEX(PP_Grid[#Data],M_BOM[PPGridRow],22),0))</f>
        <v/>
      </c>
      <c r="W12">
        <f>SUMPRODUCT((M_BOM[RM_Code]=$A12)*M_BOM[RM_Qty_Per_Batch]*IFERROR(INDEX(PP_Grid[#Data],M_BOM[PPGridRow],23),0))</f>
        <v/>
      </c>
      <c r="X12">
        <f>SUMPRODUCT((M_BOM[RM_Code]=$A12)*M_BOM[RM_Qty_Per_Batch]*IFERROR(INDEX(PP_Grid[#Data],M_BOM[PPGridRow],24),0))</f>
        <v/>
      </c>
      <c r="Y12">
        <f>SUMPRODUCT((M_BOM[RM_Code]=$A12)*M_BOM[RM_Qty_Per_Batch]*IFERROR(INDEX(PP_Grid[#Data],M_BOM[PPGridRow],25),0))</f>
        <v/>
      </c>
      <c r="Z12">
        <f>SUMPRODUCT((M_BOM[RM_Code]=$A12)*M_BOM[RM_Qty_Per_Batch]*IFERROR(INDEX(PP_Grid[#Data],M_BOM[PPGridRow],26),0))</f>
        <v/>
      </c>
      <c r="AA12">
        <f>SUMPRODUCT((M_BOM[RM_Code]=$A12)*M_BOM[RM_Qty_Per_Batch]*IFERROR(INDEX(PP_Grid[#Data],M_BOM[PPGridRow],27),0))</f>
        <v/>
      </c>
      <c r="AB12">
        <f>SUMPRODUCT((M_BOM[RM_Code]=$A12)*M_BOM[RM_Qty_Per_Batch]*IFERROR(INDEX(PP_Grid[#Data],M_BOM[PPGridRow],28),0))</f>
        <v/>
      </c>
      <c r="AC12">
        <f>SUMPRODUCT((M_BOM[RM_Code]=$A12)*M_BOM[RM_Qty_Per_Batch]*IFERROR(INDEX(PP_Grid[#Data],M_BOM[PPGridRow],29),0))</f>
        <v/>
      </c>
      <c r="AD12">
        <f>SUMPRODUCT((M_BOM[RM_Code]=$A12)*M_BOM[RM_Qty_Per_Batch]*IFERROR(INDEX(PP_Grid[#Data],M_BOM[PPGridRow],30),0))</f>
        <v/>
      </c>
      <c r="AE12">
        <f>SUMPRODUCT((M_BOM[RM_Code]=$A12)*M_BOM[RM_Qty_Per_Batch]*IFERROR(INDEX(PP_Grid[#Data],M_BOM[PPGridRow],31),0))</f>
        <v/>
      </c>
      <c r="AF12">
        <f>SUMPRODUCT((M_BOM[RM_Code]=$A12)*M_BOM[RM_Qty_Per_Batch]*IFERROR(INDEX(PP_Grid[#Data],M_BOM[PPGridRow],32),0))</f>
        <v/>
      </c>
      <c r="AG12">
        <f>SUMPRODUCT((M_BOM[RM_Code]=$A12)*M_BOM[RM_Qty_Per_Batch]*IFERROR(INDEX(PP_Grid[#Data],M_BOM[PPGridRow],33),0))</f>
        <v/>
      </c>
      <c r="AH12">
        <f>SUMPRODUCT((M_BOM[RM_Code]=$A12)*M_BOM[RM_Qty_Per_Batch]*IFERROR(INDEX(PP_Grid[#Data],M_BOM[PPGridRow],34),0))</f>
        <v/>
      </c>
      <c r="AI12">
        <f>SUMPRODUCT((M_BOM[RM_Code]=$A12)*M_BOM[RM_Qty_Per_Batch]*IFERROR(INDEX(PP_Grid[#Data],M_BOM[PPGridRow],35),0))</f>
        <v/>
      </c>
      <c r="AJ12">
        <f>SUMPRODUCT((M_BOM[RM_Code]=$A12)*M_BOM[RM_Qty_Per_Batch]*IFERROR(INDEX(PP_Grid[#Data],M_BOM[PPGridRow],36),0))</f>
        <v/>
      </c>
      <c r="AK12">
        <f>SUMPRODUCT((M_BOM[RM_Code]=$A12)*M_BOM[RM_Qty_Per_Batch]*IFERROR(INDEX(PP_Grid[#Data],M_BOM[PPGridRow],37),0))</f>
        <v/>
      </c>
      <c r="AL12">
        <f>SUMPRODUCT((M_BOM[RM_Code]=$A12)*M_BOM[RM_Qty_Per_Batch]*IFERROR(INDEX(PP_Grid[#Data],M_BOM[PPGridRow],38),0))</f>
        <v/>
      </c>
      <c r="AM12">
        <f>SUMPRODUCT((M_BOM[RM_Code]=$A12)*M_BOM[RM_Qty_Per_Batch]*IFERROR(INDEX(PP_Grid[#Data],M_BOM[PPGridRow],39),0))</f>
        <v/>
      </c>
      <c r="AN12">
        <f>SUMPRODUCT((M_BOM[RM_Code]=$A12)*M_BOM[RM_Qty_Per_Batch]*IFERROR(INDEX(PP_Grid[#Data],M_BOM[PPGridRow],40),0))</f>
        <v/>
      </c>
      <c r="AO12">
        <f>SUMPRODUCT((M_BOM[RM_Code]=$A12)*M_BOM[RM_Qty_Per_Batch]*IFERROR(INDEX(PP_Grid[#Data],M_BOM[PPGridRow],41),0))</f>
        <v/>
      </c>
      <c r="AP12">
        <f>SUMPRODUCT((M_BOM[RM_Code]=$A12)*M_BOM[RM_Qty_Per_Batch]*IFERROR(INDEX(PP_Grid[#Data],M_BOM[PPGridRow],42),0))</f>
        <v/>
      </c>
      <c r="AQ12">
        <f>SUMPRODUCT((M_BOM[RM_Code]=$A12)*M_BOM[RM_Qty_Per_Batch]*IFERROR(INDEX(PP_Grid[#Data],M_BOM[PPGridRow],43),0))</f>
        <v/>
      </c>
      <c r="AR12">
        <f>SUMPRODUCT((M_BOM[RM_Code]=$A12)*M_BOM[RM_Qty_Per_Batch]*IFERROR(INDEX(PP_Grid[#Data],M_BOM[PPGridRow],44),0))</f>
        <v/>
      </c>
      <c r="AS12">
        <f>SUMPRODUCT((M_BOM[RM_Code]=$A12)*M_BOM[RM_Qty_Per_Batch]*IFERROR(INDEX(PP_Grid[#Data],M_BOM[PPGridRow],45),0))</f>
        <v/>
      </c>
      <c r="AT12">
        <f>SUMPRODUCT((M_BOM[RM_Code]=$A12)*M_BOM[RM_Qty_Per_Batch]*IFERROR(INDEX(PP_Grid[#Data],M_BOM[PPGridRow],46),0))</f>
        <v/>
      </c>
      <c r="AU12">
        <f>SUMPRODUCT((M_BOM[RM_Code]=$A12)*M_BOM[RM_Qty_Per_Batch]*IFERROR(INDEX(PP_Grid[#Data],M_BOM[PPGridRow],47),0))</f>
        <v/>
      </c>
      <c r="AV12">
        <f>SUMPRODUCT((M_BOM[RM_Code]=$A12)*M_BOM[RM_Qty_Per_Batch]*IFERROR(INDEX(PP_Grid[#Data],M_BOM[PPGridRow],48),0))</f>
        <v/>
      </c>
      <c r="AW12">
        <f>SUMPRODUCT((M_BOM[RM_Code]=$A12)*M_BOM[RM_Qty_Per_Batch]*IFERROR(INDEX(PP_Grid[#Data],M_BOM[PPGridRow],49),0))</f>
        <v/>
      </c>
      <c r="AX12">
        <f>SUMPRODUCT((M_BOM[RM_Code]=$A12)*M_BOM[RM_Qty_Per_Batch]*IFERROR(INDEX(PP_Grid[#Data],M_BOM[PPGridRow],50),0))</f>
        <v/>
      </c>
      <c r="AY12">
        <f>SUMPRODUCT((M_BOM[RM_Code]=$A12)*M_BOM[RM_Qty_Per_Batch]*IFERROR(INDEX(PP_Grid[#Data],M_BOM[PPGridRow],51),0))</f>
        <v/>
      </c>
      <c r="AZ12">
        <f>SUMPRODUCT((M_BOM[RM_Code]=$A12)*M_BOM[RM_Qty_Per_Batch]*IFERROR(INDEX(PP_Grid[#Data],M_BOM[PPGridRow],52),0))</f>
        <v/>
      </c>
      <c r="BA12">
        <f>SUMPRODUCT((M_BOM[RM_Code]=$A12)*M_BOM[RM_Qty_Per_Batch]*IFERROR(INDEX(PP_Grid[#Data],M_BOM[PPGridRow],53),0))</f>
        <v/>
      </c>
      <c r="BB12">
        <f>SUMPRODUCT((M_BOM[RM_Code]=$A12)*M_BOM[RM_Qty_Per_Batch]*IFERROR(INDEX(PP_Grid[#Data],M_BOM[PPGridRow],54),0))</f>
        <v/>
      </c>
      <c r="BC12">
        <f>SUMPRODUCT((M_BOM[RM_Code]=$A12)*M_BOM[RM_Qty_Per_Batch]*IFERROR(INDEX(PP_Grid[#Data],M_BOM[PPGridRow],55),0))</f>
        <v/>
      </c>
      <c r="BD12">
        <f>SUMPRODUCT((M_BOM[RM_Code]=$A12)*M_BOM[RM_Qty_Per_Batch]*IFERROR(INDEX(PP_Grid[#Data],M_BOM[PPGridRow],56),0))</f>
        <v/>
      </c>
      <c r="BE12">
        <f>SUMPRODUCT((M_BOM[RM_Code]=$A12)*M_BOM[RM_Qty_Per_Batch]*IFERROR(INDEX(PP_Grid[#Data],M_BOM[PPGridRow],57),0))</f>
        <v/>
      </c>
      <c r="BF12">
        <f>SUMPRODUCT((M_BOM[RM_Code]=$A12)*M_BOM[RM_Qty_Per_Batch]*IFERROR(INDEX(PP_Grid[#Data],M_BOM[PPGridRow],58),0))</f>
        <v/>
      </c>
      <c r="BG12">
        <f>SUMPRODUCT((M_BOM[RM_Code]=$A12)*M_BOM[RM_Qty_Per_Batch]*IFERROR(INDEX(PP_Grid[#Data],M_BOM[PPGridRow],59),0))</f>
        <v/>
      </c>
      <c r="BH12">
        <f>SUMPRODUCT((M_BOM[RM_Code]=$A12)*M_BOM[RM_Qty_Per_Batch]*IFERROR(INDEX(PP_Grid[#Data],M_BOM[PPGridRow],60),0))</f>
        <v/>
      </c>
      <c r="BI12">
        <f>SUMPRODUCT((M_BOM[RM_Code]=$A12)*M_BOM[RM_Qty_Per_Batch]*IFERROR(INDEX(PP_Grid[#Data],M_BOM[PPGridRow],61),0))</f>
        <v/>
      </c>
      <c r="BJ12">
        <f>SUMPRODUCT((M_BOM[RM_Code]=$A12)*M_BOM[RM_Qty_Per_Batch]*IFERROR(INDEX(PP_Grid[#Data],M_BOM[PPGridRow],62),0))</f>
        <v/>
      </c>
      <c r="BK12">
        <f>SUMPRODUCT((M_BOM[RM_Code]=$A12)*M_BOM[RM_Qty_Per_Batch]*IFERROR(INDEX(PP_Grid[#Data],M_BOM[PPGridRow],63),0))</f>
        <v/>
      </c>
      <c r="BL12">
        <f>SUMPRODUCT((M_BOM[RM_Code]=$A12)*M_BOM[RM_Qty_Per_Batch]*IFERROR(INDEX(PP_Grid[#Data],M_BOM[PPGridRow],64),0))</f>
        <v/>
      </c>
      <c r="BM12">
        <f>SUMPRODUCT((M_BOM[RM_Code]=$A12)*M_BOM[RM_Qty_Per_Batch]*IFERROR(INDEX(PP_Grid[#Data],M_BOM[PPGridRow],65),0))</f>
        <v/>
      </c>
      <c r="BN12">
        <f>SUMPRODUCT((M_BOM[RM_Code]=$A12)*M_BOM[RM_Qty_Per_Batch]*IFERROR(INDEX(PP_Grid[#Data],M_BOM[PPGridRow],66),0))</f>
        <v/>
      </c>
      <c r="BO12">
        <f>SUMPRODUCT((M_BOM[RM_Code]=$A12)*M_BOM[RM_Qty_Per_Batch]*IFERROR(INDEX(PP_Grid[#Data],M_BOM[PPGridRow],67),0))</f>
        <v/>
      </c>
      <c r="BP12">
        <f>SUMPRODUCT((M_BOM[RM_Code]=$A12)*M_BOM[RM_Qty_Per_Batch]*IFERROR(INDEX(PP_Grid[#Data],M_BOM[PPGridRow],68),0))</f>
        <v/>
      </c>
      <c r="BQ12">
        <f>SUMPRODUCT((M_BOM[RM_Code]=$A12)*M_BOM[RM_Qty_Per_Batch]*IFERROR(INDEX(PP_Grid[#Data],M_BOM[PPGridRow],69),0))</f>
        <v/>
      </c>
      <c r="BR12">
        <f>SUMPRODUCT((M_BOM[RM_Code]=$A12)*M_BOM[RM_Qty_Per_Batch]*IFERROR(INDEX(PP_Grid[#Data],M_BOM[PPGridRow],70),0))</f>
        <v/>
      </c>
      <c r="BS12">
        <f>SUMPRODUCT((M_BOM[RM_Code]=$A12)*M_BOM[RM_Qty_Per_Batch]*IFERROR(INDEX(PP_Grid[#Data],M_BOM[PPGridRow],71),0))</f>
        <v/>
      </c>
      <c r="BT12">
        <f>SUMPRODUCT((M_BOM[RM_Code]=$A12)*M_BOM[RM_Qty_Per_Batch]*IFERROR(INDEX(PP_Grid[#Data],M_BOM[PPGridRow],72),0))</f>
        <v/>
      </c>
      <c r="BU12">
        <f>SUMPRODUCT((M_BOM[RM_Code]=$A12)*M_BOM[RM_Qty_Per_Batch]*IFERROR(INDEX(PP_Grid[#Data],M_BOM[PPGridRow],73),0))</f>
        <v/>
      </c>
      <c r="BV12">
        <f>SUMPRODUCT((M_BOM[RM_Code]=$A12)*M_BOM[RM_Qty_Per_Batch]*IFERROR(INDEX(PP_Grid[#Data],M_BOM[PPGridRow],74),0))</f>
        <v/>
      </c>
      <c r="BW12">
        <f>SUMPRODUCT((M_BOM[RM_Code]=$A12)*M_BOM[RM_Qty_Per_Batch]*IFERROR(INDEX(PP_Grid[#Data],M_BOM[PPGridRow],75),0))</f>
        <v/>
      </c>
      <c r="BX12">
        <f>SUMPRODUCT((M_BOM[RM_Code]=$A12)*M_BOM[RM_Qty_Per_Batch]*IFERROR(INDEX(PP_Grid[#Data],M_BOM[PPGridRow],76),0))</f>
        <v/>
      </c>
      <c r="BY12">
        <f>SUMPRODUCT((M_BOM[RM_Code]=$A12)*M_BOM[RM_Qty_Per_Batch]*IFERROR(INDEX(PP_Grid[#Data],M_BOM[PPGridRow],77),0))</f>
        <v/>
      </c>
      <c r="BZ12">
        <f>SUMPRODUCT((M_BOM[RM_Code]=$A12)*M_BOM[RM_Qty_Per_Batch]*IFERROR(INDEX(PP_Grid[#Data],M_BOM[PPGridRow],78),0))</f>
        <v/>
      </c>
      <c r="CA12">
        <f>SUMPRODUCT((M_BOM[RM_Code]=$A12)*M_BOM[RM_Qty_Per_Batch]*IFERROR(INDEX(PP_Grid[#Data],M_BOM[PPGridRow],79),0))</f>
        <v/>
      </c>
      <c r="CB12">
        <f>SUMPRODUCT((M_BOM[RM_Code]=$A12)*M_BOM[RM_Qty_Per_Batch]*IFERROR(INDEX(PP_Grid[#Data],M_BOM[PPGridRow],80),0))</f>
        <v/>
      </c>
      <c r="CC12">
        <f>SUMPRODUCT((M_BOM[RM_Code]=$A12)*M_BOM[RM_Qty_Per_Batch]*IFERROR(INDEX(PP_Grid[#Data],M_BOM[PPGridRow],81),0))</f>
        <v/>
      </c>
      <c r="CD12">
        <f>SUMPRODUCT((M_BOM[RM_Code]=$A12)*M_BOM[RM_Qty_Per_Batch]*IFERROR(INDEX(PP_Grid[#Data],M_BOM[PPGridRow],82),0))</f>
        <v/>
      </c>
      <c r="CE12">
        <f>SUMPRODUCT((M_BOM[RM_Code]=$A12)*M_BOM[RM_Qty_Per_Batch]*IFERROR(INDEX(PP_Grid[#Data],M_BOM[PPGridRow],83),0))</f>
        <v/>
      </c>
      <c r="CF12">
        <f>SUMPRODUCT((M_BOM[RM_Code]=$A12)*M_BOM[RM_Qty_Per_Batch]*IFERROR(INDEX(PP_Grid[#Data],M_BOM[PPGridRow],84),0))</f>
        <v/>
      </c>
      <c r="CG12">
        <f>SUMPRODUCT((M_BOM[RM_Code]=$A12)*M_BOM[RM_Qty_Per_Batch]*IFERROR(INDEX(PP_Grid[#Data],M_BOM[PPGridRow],85),0))</f>
        <v/>
      </c>
      <c r="CH12">
        <f>SUMPRODUCT((M_BOM[RM_Code]=$A12)*M_BOM[RM_Qty_Per_Batch]*IFERROR(INDEX(PP_Grid[#Data],M_BOM[PPGridRow],86),0))</f>
        <v/>
      </c>
      <c r="CI12">
        <f>SUMPRODUCT((M_BOM[RM_Code]=$A12)*M_BOM[RM_Qty_Per_Batch]*IFERROR(INDEX(PP_Grid[#Data],M_BOM[PPGridRow],87),0))</f>
        <v/>
      </c>
      <c r="CJ12">
        <f>SUMPRODUCT((M_BOM[RM_Code]=$A12)*M_BOM[RM_Qty_Per_Batch]*IFERROR(INDEX(PP_Grid[#Data],M_BOM[PPGridRow],88),0))</f>
        <v/>
      </c>
      <c r="CK12">
        <f>SUMPRODUCT((M_BOM[RM_Code]=$A12)*M_BOM[RM_Qty_Per_Batch]*IFERROR(INDEX(PP_Grid[#Data],M_BOM[PPGridRow],89),0))</f>
        <v/>
      </c>
      <c r="CL12">
        <f>SUMPRODUCT((M_BOM[RM_Code]=$A12)*M_BOM[RM_Qty_Per_Batch]*IFERROR(INDEX(PP_Grid[#Data],M_BOM[PPGridRow],90),0))</f>
        <v/>
      </c>
      <c r="CM12">
        <f>SUMPRODUCT((M_BOM[RM_Code]=$A12)*M_BOM[RM_Qty_Per_Batch]*IFERROR(INDEX(PP_Grid[#Data],M_BOM[PPGridRow],91),0))</f>
        <v/>
      </c>
      <c r="CN12">
        <f>SUMPRODUCT((M_BOM[RM_Code]=$A12)*M_BOM[RM_Qty_Per_Batch]*IFERROR(INDEX(PP_Grid[#Data],M_BOM[PPGridRow],92),0))</f>
        <v/>
      </c>
      <c r="CO12">
        <f>SUMPRODUCT((M_BOM[RM_Code]=$A12)*M_BOM[RM_Qty_Per_Batch]*IFERROR(INDEX(PP_Grid[#Data],M_BOM[PPGridRow],93),0))</f>
        <v/>
      </c>
      <c r="CP12">
        <f>SUMPRODUCT((M_BOM[RM_Code]=$A12)*M_BOM[RM_Qty_Per_Batch]*IFERROR(INDEX(PP_Grid[#Data],M_BOM[PPGridRow],94),0))</f>
        <v/>
      </c>
      <c r="CQ12">
        <f>SUMPRODUCT((M_BOM[RM_Code]=$A12)*M_BOM[RM_Qty_Per_Batch]*IFERROR(INDEX(PP_Grid[#Data],M_BOM[PPGridRow],95),0))</f>
        <v/>
      </c>
      <c r="CR12">
        <f>SUMPRODUCT((M_BOM[RM_Code]=$A12)*M_BOM[RM_Qty_Per_Batch]*IFERROR(INDEX(PP_Grid[#Data],M_BOM[PPGridRow],96),0))</f>
        <v/>
      </c>
      <c r="CS12">
        <f>SUMPRODUCT((M_BOM[RM_Code]=$A12)*M_BOM[RM_Qty_Per_Batch]*IFERROR(INDEX(PP_Grid[#Data],M_BOM[PPGridRow],97),0))</f>
        <v/>
      </c>
      <c r="CT12">
        <f>SUMPRODUCT((M_BOM[RM_Code]=$A12)*M_BOM[RM_Qty_Per_Batch]*IFERROR(INDEX(PP_Grid[#Data],M_BOM[PPGridRow],98),0))</f>
        <v/>
      </c>
      <c r="CU12">
        <f>SUMPRODUCT((M_BOM[RM_Code]=$A12)*M_BOM[RM_Qty_Per_Batch]*IFERROR(INDEX(PP_Grid[#Data],M_BOM[PPGridRow],99),0))</f>
        <v/>
      </c>
      <c r="CV12">
        <f>SUMPRODUCT((M_BOM[RM_Code]=$A12)*M_BOM[RM_Qty_Per_Batch]*IFERROR(INDEX(PP_Grid[#Data],M_BOM[PPGridRow],100),0))</f>
        <v/>
      </c>
      <c r="CW12">
        <f>SUMPRODUCT((M_BOM[RM_Code]=$A12)*M_BOM[RM_Qty_Per_Batch]*IFERROR(INDEX(PP_Grid[#Data],M_BOM[PPGridRow],101),0))</f>
        <v/>
      </c>
      <c r="CX12">
        <f>SUMPRODUCT((M_BOM[RM_Code]=$A12)*M_BOM[RM_Qty_Per_Batch]*IFERROR(INDEX(PP_Grid[#Data],M_BOM[PPGridRow],102),0))</f>
        <v/>
      </c>
      <c r="CY12">
        <f>SUMPRODUCT((M_BOM[RM_Code]=$A12)*M_BOM[RM_Qty_Per_Batch]*IFERROR(INDEX(PP_Grid[#Data],M_BOM[PPGridRow],103),0))</f>
        <v/>
      </c>
      <c r="CZ12">
        <f>SUMPRODUCT((M_BOM[RM_Code]=$A12)*M_BOM[RM_Qty_Per_Batch]*IFERROR(INDEX(PP_Grid[#Data],M_BOM[PPGridRow],104),0))</f>
        <v/>
      </c>
      <c r="DA12">
        <f>SUMPRODUCT((M_BOM[RM_Code]=$A12)*M_BOM[RM_Qty_Per_Batch]*IFERROR(INDEX(PP_Grid[#Data],M_BOM[PPGridRow],105),0))</f>
        <v/>
      </c>
    </row>
    <row r="13">
      <c r="A13" t="inlineStr">
        <is>
          <t>1EK</t>
        </is>
      </c>
      <c r="B13">
        <f>SUMPRODUCT((M_BOM[RM_Code]=$A13)*M_BOM[RM_Qty_Per_Batch]*IFERROR(INDEX(PP_Grid[#Data],M_BOM[PPGridRow],2),0))</f>
        <v/>
      </c>
      <c r="C13">
        <f>SUMPRODUCT((M_BOM[RM_Code]=$A13)*M_BOM[RM_Qty_Per_Batch]*IFERROR(INDEX(PP_Grid[#Data],M_BOM[PPGridRow],3),0))</f>
        <v/>
      </c>
      <c r="D13">
        <f>SUMPRODUCT((M_BOM[RM_Code]=$A13)*M_BOM[RM_Qty_Per_Batch]*IFERROR(INDEX(PP_Grid[#Data],M_BOM[PPGridRow],4),0))</f>
        <v/>
      </c>
      <c r="E13">
        <f>SUMPRODUCT((M_BOM[RM_Code]=$A13)*M_BOM[RM_Qty_Per_Batch]*IFERROR(INDEX(PP_Grid[#Data],M_BOM[PPGridRow],5),0))</f>
        <v/>
      </c>
      <c r="F13">
        <f>SUMPRODUCT((M_BOM[RM_Code]=$A13)*M_BOM[RM_Qty_Per_Batch]*IFERROR(INDEX(PP_Grid[#Data],M_BOM[PPGridRow],6),0))</f>
        <v/>
      </c>
      <c r="G13">
        <f>SUMPRODUCT((M_BOM[RM_Code]=$A13)*M_BOM[RM_Qty_Per_Batch]*IFERROR(INDEX(PP_Grid[#Data],M_BOM[PPGridRow],7),0))</f>
        <v/>
      </c>
      <c r="H13">
        <f>SUMPRODUCT((M_BOM[RM_Code]=$A13)*M_BOM[RM_Qty_Per_Batch]*IFERROR(INDEX(PP_Grid[#Data],M_BOM[PPGridRow],8),0))</f>
        <v/>
      </c>
      <c r="I13">
        <f>SUMPRODUCT((M_BOM[RM_Code]=$A13)*M_BOM[RM_Qty_Per_Batch]*IFERROR(INDEX(PP_Grid[#Data],M_BOM[PPGridRow],9),0))</f>
        <v/>
      </c>
      <c r="J13">
        <f>SUMPRODUCT((M_BOM[RM_Code]=$A13)*M_BOM[RM_Qty_Per_Batch]*IFERROR(INDEX(PP_Grid[#Data],M_BOM[PPGridRow],10),0))</f>
        <v/>
      </c>
      <c r="K13">
        <f>SUMPRODUCT((M_BOM[RM_Code]=$A13)*M_BOM[RM_Qty_Per_Batch]*IFERROR(INDEX(PP_Grid[#Data],M_BOM[PPGridRow],11),0))</f>
        <v/>
      </c>
      <c r="L13">
        <f>SUMPRODUCT((M_BOM[RM_Code]=$A13)*M_BOM[RM_Qty_Per_Batch]*IFERROR(INDEX(PP_Grid[#Data],M_BOM[PPGridRow],12),0))</f>
        <v/>
      </c>
      <c r="M13">
        <f>SUMPRODUCT((M_BOM[RM_Code]=$A13)*M_BOM[RM_Qty_Per_Batch]*IFERROR(INDEX(PP_Grid[#Data],M_BOM[PPGridRow],13),0))</f>
        <v/>
      </c>
      <c r="N13">
        <f>SUMPRODUCT((M_BOM[RM_Code]=$A13)*M_BOM[RM_Qty_Per_Batch]*IFERROR(INDEX(PP_Grid[#Data],M_BOM[PPGridRow],14),0))</f>
        <v/>
      </c>
      <c r="O13">
        <f>SUMPRODUCT((M_BOM[RM_Code]=$A13)*M_BOM[RM_Qty_Per_Batch]*IFERROR(INDEX(PP_Grid[#Data],M_BOM[PPGridRow],15),0))</f>
        <v/>
      </c>
      <c r="P13">
        <f>SUMPRODUCT((M_BOM[RM_Code]=$A13)*M_BOM[RM_Qty_Per_Batch]*IFERROR(INDEX(PP_Grid[#Data],M_BOM[PPGridRow],16),0))</f>
        <v/>
      </c>
      <c r="Q13">
        <f>SUMPRODUCT((M_BOM[RM_Code]=$A13)*M_BOM[RM_Qty_Per_Batch]*IFERROR(INDEX(PP_Grid[#Data],M_BOM[PPGridRow],17),0))</f>
        <v/>
      </c>
      <c r="R13">
        <f>SUMPRODUCT((M_BOM[RM_Code]=$A13)*M_BOM[RM_Qty_Per_Batch]*IFERROR(INDEX(PP_Grid[#Data],M_BOM[PPGridRow],18),0))</f>
        <v/>
      </c>
      <c r="S13">
        <f>SUMPRODUCT((M_BOM[RM_Code]=$A13)*M_BOM[RM_Qty_Per_Batch]*IFERROR(INDEX(PP_Grid[#Data],M_BOM[PPGridRow],19),0))</f>
        <v/>
      </c>
      <c r="T13">
        <f>SUMPRODUCT((M_BOM[RM_Code]=$A13)*M_BOM[RM_Qty_Per_Batch]*IFERROR(INDEX(PP_Grid[#Data],M_BOM[PPGridRow],20),0))</f>
        <v/>
      </c>
      <c r="U13">
        <f>SUMPRODUCT((M_BOM[RM_Code]=$A13)*M_BOM[RM_Qty_Per_Batch]*IFERROR(INDEX(PP_Grid[#Data],M_BOM[PPGridRow],21),0))</f>
        <v/>
      </c>
      <c r="V13">
        <f>SUMPRODUCT((M_BOM[RM_Code]=$A13)*M_BOM[RM_Qty_Per_Batch]*IFERROR(INDEX(PP_Grid[#Data],M_BOM[PPGridRow],22),0))</f>
        <v/>
      </c>
      <c r="W13">
        <f>SUMPRODUCT((M_BOM[RM_Code]=$A13)*M_BOM[RM_Qty_Per_Batch]*IFERROR(INDEX(PP_Grid[#Data],M_BOM[PPGridRow],23),0))</f>
        <v/>
      </c>
      <c r="X13">
        <f>SUMPRODUCT((M_BOM[RM_Code]=$A13)*M_BOM[RM_Qty_Per_Batch]*IFERROR(INDEX(PP_Grid[#Data],M_BOM[PPGridRow],24),0))</f>
        <v/>
      </c>
      <c r="Y13">
        <f>SUMPRODUCT((M_BOM[RM_Code]=$A13)*M_BOM[RM_Qty_Per_Batch]*IFERROR(INDEX(PP_Grid[#Data],M_BOM[PPGridRow],25),0))</f>
        <v/>
      </c>
      <c r="Z13">
        <f>SUMPRODUCT((M_BOM[RM_Code]=$A13)*M_BOM[RM_Qty_Per_Batch]*IFERROR(INDEX(PP_Grid[#Data],M_BOM[PPGridRow],26),0))</f>
        <v/>
      </c>
      <c r="AA13">
        <f>SUMPRODUCT((M_BOM[RM_Code]=$A13)*M_BOM[RM_Qty_Per_Batch]*IFERROR(INDEX(PP_Grid[#Data],M_BOM[PPGridRow],27),0))</f>
        <v/>
      </c>
      <c r="AB13">
        <f>SUMPRODUCT((M_BOM[RM_Code]=$A13)*M_BOM[RM_Qty_Per_Batch]*IFERROR(INDEX(PP_Grid[#Data],M_BOM[PPGridRow],28),0))</f>
        <v/>
      </c>
      <c r="AC13">
        <f>SUMPRODUCT((M_BOM[RM_Code]=$A13)*M_BOM[RM_Qty_Per_Batch]*IFERROR(INDEX(PP_Grid[#Data],M_BOM[PPGridRow],29),0))</f>
        <v/>
      </c>
      <c r="AD13">
        <f>SUMPRODUCT((M_BOM[RM_Code]=$A13)*M_BOM[RM_Qty_Per_Batch]*IFERROR(INDEX(PP_Grid[#Data],M_BOM[PPGridRow],30),0))</f>
        <v/>
      </c>
      <c r="AE13">
        <f>SUMPRODUCT((M_BOM[RM_Code]=$A13)*M_BOM[RM_Qty_Per_Batch]*IFERROR(INDEX(PP_Grid[#Data],M_BOM[PPGridRow],31),0))</f>
        <v/>
      </c>
      <c r="AF13">
        <f>SUMPRODUCT((M_BOM[RM_Code]=$A13)*M_BOM[RM_Qty_Per_Batch]*IFERROR(INDEX(PP_Grid[#Data],M_BOM[PPGridRow],32),0))</f>
        <v/>
      </c>
      <c r="AG13">
        <f>SUMPRODUCT((M_BOM[RM_Code]=$A13)*M_BOM[RM_Qty_Per_Batch]*IFERROR(INDEX(PP_Grid[#Data],M_BOM[PPGridRow],33),0))</f>
        <v/>
      </c>
      <c r="AH13">
        <f>SUMPRODUCT((M_BOM[RM_Code]=$A13)*M_BOM[RM_Qty_Per_Batch]*IFERROR(INDEX(PP_Grid[#Data],M_BOM[PPGridRow],34),0))</f>
        <v/>
      </c>
      <c r="AI13">
        <f>SUMPRODUCT((M_BOM[RM_Code]=$A13)*M_BOM[RM_Qty_Per_Batch]*IFERROR(INDEX(PP_Grid[#Data],M_BOM[PPGridRow],35),0))</f>
        <v/>
      </c>
      <c r="AJ13">
        <f>SUMPRODUCT((M_BOM[RM_Code]=$A13)*M_BOM[RM_Qty_Per_Batch]*IFERROR(INDEX(PP_Grid[#Data],M_BOM[PPGridRow],36),0))</f>
        <v/>
      </c>
      <c r="AK13">
        <f>SUMPRODUCT((M_BOM[RM_Code]=$A13)*M_BOM[RM_Qty_Per_Batch]*IFERROR(INDEX(PP_Grid[#Data],M_BOM[PPGridRow],37),0))</f>
        <v/>
      </c>
      <c r="AL13">
        <f>SUMPRODUCT((M_BOM[RM_Code]=$A13)*M_BOM[RM_Qty_Per_Batch]*IFERROR(INDEX(PP_Grid[#Data],M_BOM[PPGridRow],38),0))</f>
        <v/>
      </c>
      <c r="AM13">
        <f>SUMPRODUCT((M_BOM[RM_Code]=$A13)*M_BOM[RM_Qty_Per_Batch]*IFERROR(INDEX(PP_Grid[#Data],M_BOM[PPGridRow],39),0))</f>
        <v/>
      </c>
      <c r="AN13">
        <f>SUMPRODUCT((M_BOM[RM_Code]=$A13)*M_BOM[RM_Qty_Per_Batch]*IFERROR(INDEX(PP_Grid[#Data],M_BOM[PPGridRow],40),0))</f>
        <v/>
      </c>
      <c r="AO13">
        <f>SUMPRODUCT((M_BOM[RM_Code]=$A13)*M_BOM[RM_Qty_Per_Batch]*IFERROR(INDEX(PP_Grid[#Data],M_BOM[PPGridRow],41),0))</f>
        <v/>
      </c>
      <c r="AP13">
        <f>SUMPRODUCT((M_BOM[RM_Code]=$A13)*M_BOM[RM_Qty_Per_Batch]*IFERROR(INDEX(PP_Grid[#Data],M_BOM[PPGridRow],42),0))</f>
        <v/>
      </c>
      <c r="AQ13">
        <f>SUMPRODUCT((M_BOM[RM_Code]=$A13)*M_BOM[RM_Qty_Per_Batch]*IFERROR(INDEX(PP_Grid[#Data],M_BOM[PPGridRow],43),0))</f>
        <v/>
      </c>
      <c r="AR13">
        <f>SUMPRODUCT((M_BOM[RM_Code]=$A13)*M_BOM[RM_Qty_Per_Batch]*IFERROR(INDEX(PP_Grid[#Data],M_BOM[PPGridRow],44),0))</f>
        <v/>
      </c>
      <c r="AS13">
        <f>SUMPRODUCT((M_BOM[RM_Code]=$A13)*M_BOM[RM_Qty_Per_Batch]*IFERROR(INDEX(PP_Grid[#Data],M_BOM[PPGridRow],45),0))</f>
        <v/>
      </c>
      <c r="AT13">
        <f>SUMPRODUCT((M_BOM[RM_Code]=$A13)*M_BOM[RM_Qty_Per_Batch]*IFERROR(INDEX(PP_Grid[#Data],M_BOM[PPGridRow],46),0))</f>
        <v/>
      </c>
      <c r="AU13">
        <f>SUMPRODUCT((M_BOM[RM_Code]=$A13)*M_BOM[RM_Qty_Per_Batch]*IFERROR(INDEX(PP_Grid[#Data],M_BOM[PPGridRow],47),0))</f>
        <v/>
      </c>
      <c r="AV13">
        <f>SUMPRODUCT((M_BOM[RM_Code]=$A13)*M_BOM[RM_Qty_Per_Batch]*IFERROR(INDEX(PP_Grid[#Data],M_BOM[PPGridRow],48),0))</f>
        <v/>
      </c>
      <c r="AW13">
        <f>SUMPRODUCT((M_BOM[RM_Code]=$A13)*M_BOM[RM_Qty_Per_Batch]*IFERROR(INDEX(PP_Grid[#Data],M_BOM[PPGridRow],49),0))</f>
        <v/>
      </c>
      <c r="AX13">
        <f>SUMPRODUCT((M_BOM[RM_Code]=$A13)*M_BOM[RM_Qty_Per_Batch]*IFERROR(INDEX(PP_Grid[#Data],M_BOM[PPGridRow],50),0))</f>
        <v/>
      </c>
      <c r="AY13">
        <f>SUMPRODUCT((M_BOM[RM_Code]=$A13)*M_BOM[RM_Qty_Per_Batch]*IFERROR(INDEX(PP_Grid[#Data],M_BOM[PPGridRow],51),0))</f>
        <v/>
      </c>
      <c r="AZ13">
        <f>SUMPRODUCT((M_BOM[RM_Code]=$A13)*M_BOM[RM_Qty_Per_Batch]*IFERROR(INDEX(PP_Grid[#Data],M_BOM[PPGridRow],52),0))</f>
        <v/>
      </c>
      <c r="BA13">
        <f>SUMPRODUCT((M_BOM[RM_Code]=$A13)*M_BOM[RM_Qty_Per_Batch]*IFERROR(INDEX(PP_Grid[#Data],M_BOM[PPGridRow],53),0))</f>
        <v/>
      </c>
      <c r="BB13">
        <f>SUMPRODUCT((M_BOM[RM_Code]=$A13)*M_BOM[RM_Qty_Per_Batch]*IFERROR(INDEX(PP_Grid[#Data],M_BOM[PPGridRow],54),0))</f>
        <v/>
      </c>
      <c r="BC13">
        <f>SUMPRODUCT((M_BOM[RM_Code]=$A13)*M_BOM[RM_Qty_Per_Batch]*IFERROR(INDEX(PP_Grid[#Data],M_BOM[PPGridRow],55),0))</f>
        <v/>
      </c>
      <c r="BD13">
        <f>SUMPRODUCT((M_BOM[RM_Code]=$A13)*M_BOM[RM_Qty_Per_Batch]*IFERROR(INDEX(PP_Grid[#Data],M_BOM[PPGridRow],56),0))</f>
        <v/>
      </c>
      <c r="BE13">
        <f>SUMPRODUCT((M_BOM[RM_Code]=$A13)*M_BOM[RM_Qty_Per_Batch]*IFERROR(INDEX(PP_Grid[#Data],M_BOM[PPGridRow],57),0))</f>
        <v/>
      </c>
      <c r="BF13">
        <f>SUMPRODUCT((M_BOM[RM_Code]=$A13)*M_BOM[RM_Qty_Per_Batch]*IFERROR(INDEX(PP_Grid[#Data],M_BOM[PPGridRow],58),0))</f>
        <v/>
      </c>
      <c r="BG13">
        <f>SUMPRODUCT((M_BOM[RM_Code]=$A13)*M_BOM[RM_Qty_Per_Batch]*IFERROR(INDEX(PP_Grid[#Data],M_BOM[PPGridRow],59),0))</f>
        <v/>
      </c>
      <c r="BH13">
        <f>SUMPRODUCT((M_BOM[RM_Code]=$A13)*M_BOM[RM_Qty_Per_Batch]*IFERROR(INDEX(PP_Grid[#Data],M_BOM[PPGridRow],60),0))</f>
        <v/>
      </c>
      <c r="BI13">
        <f>SUMPRODUCT((M_BOM[RM_Code]=$A13)*M_BOM[RM_Qty_Per_Batch]*IFERROR(INDEX(PP_Grid[#Data],M_BOM[PPGridRow],61),0))</f>
        <v/>
      </c>
      <c r="BJ13">
        <f>SUMPRODUCT((M_BOM[RM_Code]=$A13)*M_BOM[RM_Qty_Per_Batch]*IFERROR(INDEX(PP_Grid[#Data],M_BOM[PPGridRow],62),0))</f>
        <v/>
      </c>
      <c r="BK13">
        <f>SUMPRODUCT((M_BOM[RM_Code]=$A13)*M_BOM[RM_Qty_Per_Batch]*IFERROR(INDEX(PP_Grid[#Data],M_BOM[PPGridRow],63),0))</f>
        <v/>
      </c>
      <c r="BL13">
        <f>SUMPRODUCT((M_BOM[RM_Code]=$A13)*M_BOM[RM_Qty_Per_Batch]*IFERROR(INDEX(PP_Grid[#Data],M_BOM[PPGridRow],64),0))</f>
        <v/>
      </c>
      <c r="BM13">
        <f>SUMPRODUCT((M_BOM[RM_Code]=$A13)*M_BOM[RM_Qty_Per_Batch]*IFERROR(INDEX(PP_Grid[#Data],M_BOM[PPGridRow],65),0))</f>
        <v/>
      </c>
      <c r="BN13">
        <f>SUMPRODUCT((M_BOM[RM_Code]=$A13)*M_BOM[RM_Qty_Per_Batch]*IFERROR(INDEX(PP_Grid[#Data],M_BOM[PPGridRow],66),0))</f>
        <v/>
      </c>
      <c r="BO13">
        <f>SUMPRODUCT((M_BOM[RM_Code]=$A13)*M_BOM[RM_Qty_Per_Batch]*IFERROR(INDEX(PP_Grid[#Data],M_BOM[PPGridRow],67),0))</f>
        <v/>
      </c>
      <c r="BP13">
        <f>SUMPRODUCT((M_BOM[RM_Code]=$A13)*M_BOM[RM_Qty_Per_Batch]*IFERROR(INDEX(PP_Grid[#Data],M_BOM[PPGridRow],68),0))</f>
        <v/>
      </c>
      <c r="BQ13">
        <f>SUMPRODUCT((M_BOM[RM_Code]=$A13)*M_BOM[RM_Qty_Per_Batch]*IFERROR(INDEX(PP_Grid[#Data],M_BOM[PPGridRow],69),0))</f>
        <v/>
      </c>
      <c r="BR13">
        <f>SUMPRODUCT((M_BOM[RM_Code]=$A13)*M_BOM[RM_Qty_Per_Batch]*IFERROR(INDEX(PP_Grid[#Data],M_BOM[PPGridRow],70),0))</f>
        <v/>
      </c>
      <c r="BS13">
        <f>SUMPRODUCT((M_BOM[RM_Code]=$A13)*M_BOM[RM_Qty_Per_Batch]*IFERROR(INDEX(PP_Grid[#Data],M_BOM[PPGridRow],71),0))</f>
        <v/>
      </c>
      <c r="BT13">
        <f>SUMPRODUCT((M_BOM[RM_Code]=$A13)*M_BOM[RM_Qty_Per_Batch]*IFERROR(INDEX(PP_Grid[#Data],M_BOM[PPGridRow],72),0))</f>
        <v/>
      </c>
      <c r="BU13">
        <f>SUMPRODUCT((M_BOM[RM_Code]=$A13)*M_BOM[RM_Qty_Per_Batch]*IFERROR(INDEX(PP_Grid[#Data],M_BOM[PPGridRow],73),0))</f>
        <v/>
      </c>
      <c r="BV13">
        <f>SUMPRODUCT((M_BOM[RM_Code]=$A13)*M_BOM[RM_Qty_Per_Batch]*IFERROR(INDEX(PP_Grid[#Data],M_BOM[PPGridRow],74),0))</f>
        <v/>
      </c>
      <c r="BW13">
        <f>SUMPRODUCT((M_BOM[RM_Code]=$A13)*M_BOM[RM_Qty_Per_Batch]*IFERROR(INDEX(PP_Grid[#Data],M_BOM[PPGridRow],75),0))</f>
        <v/>
      </c>
      <c r="BX13">
        <f>SUMPRODUCT((M_BOM[RM_Code]=$A13)*M_BOM[RM_Qty_Per_Batch]*IFERROR(INDEX(PP_Grid[#Data],M_BOM[PPGridRow],76),0))</f>
        <v/>
      </c>
      <c r="BY13">
        <f>SUMPRODUCT((M_BOM[RM_Code]=$A13)*M_BOM[RM_Qty_Per_Batch]*IFERROR(INDEX(PP_Grid[#Data],M_BOM[PPGridRow],77),0))</f>
        <v/>
      </c>
      <c r="BZ13">
        <f>SUMPRODUCT((M_BOM[RM_Code]=$A13)*M_BOM[RM_Qty_Per_Batch]*IFERROR(INDEX(PP_Grid[#Data],M_BOM[PPGridRow],78),0))</f>
        <v/>
      </c>
      <c r="CA13">
        <f>SUMPRODUCT((M_BOM[RM_Code]=$A13)*M_BOM[RM_Qty_Per_Batch]*IFERROR(INDEX(PP_Grid[#Data],M_BOM[PPGridRow],79),0))</f>
        <v/>
      </c>
      <c r="CB13">
        <f>SUMPRODUCT((M_BOM[RM_Code]=$A13)*M_BOM[RM_Qty_Per_Batch]*IFERROR(INDEX(PP_Grid[#Data],M_BOM[PPGridRow],80),0))</f>
        <v/>
      </c>
      <c r="CC13">
        <f>SUMPRODUCT((M_BOM[RM_Code]=$A13)*M_BOM[RM_Qty_Per_Batch]*IFERROR(INDEX(PP_Grid[#Data],M_BOM[PPGridRow],81),0))</f>
        <v/>
      </c>
      <c r="CD13">
        <f>SUMPRODUCT((M_BOM[RM_Code]=$A13)*M_BOM[RM_Qty_Per_Batch]*IFERROR(INDEX(PP_Grid[#Data],M_BOM[PPGridRow],82),0))</f>
        <v/>
      </c>
      <c r="CE13">
        <f>SUMPRODUCT((M_BOM[RM_Code]=$A13)*M_BOM[RM_Qty_Per_Batch]*IFERROR(INDEX(PP_Grid[#Data],M_BOM[PPGridRow],83),0))</f>
        <v/>
      </c>
      <c r="CF13">
        <f>SUMPRODUCT((M_BOM[RM_Code]=$A13)*M_BOM[RM_Qty_Per_Batch]*IFERROR(INDEX(PP_Grid[#Data],M_BOM[PPGridRow],84),0))</f>
        <v/>
      </c>
      <c r="CG13">
        <f>SUMPRODUCT((M_BOM[RM_Code]=$A13)*M_BOM[RM_Qty_Per_Batch]*IFERROR(INDEX(PP_Grid[#Data],M_BOM[PPGridRow],85),0))</f>
        <v/>
      </c>
      <c r="CH13">
        <f>SUMPRODUCT((M_BOM[RM_Code]=$A13)*M_BOM[RM_Qty_Per_Batch]*IFERROR(INDEX(PP_Grid[#Data],M_BOM[PPGridRow],86),0))</f>
        <v/>
      </c>
      <c r="CI13">
        <f>SUMPRODUCT((M_BOM[RM_Code]=$A13)*M_BOM[RM_Qty_Per_Batch]*IFERROR(INDEX(PP_Grid[#Data],M_BOM[PPGridRow],87),0))</f>
        <v/>
      </c>
      <c r="CJ13">
        <f>SUMPRODUCT((M_BOM[RM_Code]=$A13)*M_BOM[RM_Qty_Per_Batch]*IFERROR(INDEX(PP_Grid[#Data],M_BOM[PPGridRow],88),0))</f>
        <v/>
      </c>
      <c r="CK13">
        <f>SUMPRODUCT((M_BOM[RM_Code]=$A13)*M_BOM[RM_Qty_Per_Batch]*IFERROR(INDEX(PP_Grid[#Data],M_BOM[PPGridRow],89),0))</f>
        <v/>
      </c>
      <c r="CL13">
        <f>SUMPRODUCT((M_BOM[RM_Code]=$A13)*M_BOM[RM_Qty_Per_Batch]*IFERROR(INDEX(PP_Grid[#Data],M_BOM[PPGridRow],90),0))</f>
        <v/>
      </c>
      <c r="CM13">
        <f>SUMPRODUCT((M_BOM[RM_Code]=$A13)*M_BOM[RM_Qty_Per_Batch]*IFERROR(INDEX(PP_Grid[#Data],M_BOM[PPGridRow],91),0))</f>
        <v/>
      </c>
      <c r="CN13">
        <f>SUMPRODUCT((M_BOM[RM_Code]=$A13)*M_BOM[RM_Qty_Per_Batch]*IFERROR(INDEX(PP_Grid[#Data],M_BOM[PPGridRow],92),0))</f>
        <v/>
      </c>
      <c r="CO13">
        <f>SUMPRODUCT((M_BOM[RM_Code]=$A13)*M_BOM[RM_Qty_Per_Batch]*IFERROR(INDEX(PP_Grid[#Data],M_BOM[PPGridRow],93),0))</f>
        <v/>
      </c>
      <c r="CP13">
        <f>SUMPRODUCT((M_BOM[RM_Code]=$A13)*M_BOM[RM_Qty_Per_Batch]*IFERROR(INDEX(PP_Grid[#Data],M_BOM[PPGridRow],94),0))</f>
        <v/>
      </c>
      <c r="CQ13">
        <f>SUMPRODUCT((M_BOM[RM_Code]=$A13)*M_BOM[RM_Qty_Per_Batch]*IFERROR(INDEX(PP_Grid[#Data],M_BOM[PPGridRow],95),0))</f>
        <v/>
      </c>
      <c r="CR13">
        <f>SUMPRODUCT((M_BOM[RM_Code]=$A13)*M_BOM[RM_Qty_Per_Batch]*IFERROR(INDEX(PP_Grid[#Data],M_BOM[PPGridRow],96),0))</f>
        <v/>
      </c>
      <c r="CS13">
        <f>SUMPRODUCT((M_BOM[RM_Code]=$A13)*M_BOM[RM_Qty_Per_Batch]*IFERROR(INDEX(PP_Grid[#Data],M_BOM[PPGridRow],97),0))</f>
        <v/>
      </c>
      <c r="CT13">
        <f>SUMPRODUCT((M_BOM[RM_Code]=$A13)*M_BOM[RM_Qty_Per_Batch]*IFERROR(INDEX(PP_Grid[#Data],M_BOM[PPGridRow],98),0))</f>
        <v/>
      </c>
      <c r="CU13">
        <f>SUMPRODUCT((M_BOM[RM_Code]=$A13)*M_BOM[RM_Qty_Per_Batch]*IFERROR(INDEX(PP_Grid[#Data],M_BOM[PPGridRow],99),0))</f>
        <v/>
      </c>
      <c r="CV13">
        <f>SUMPRODUCT((M_BOM[RM_Code]=$A13)*M_BOM[RM_Qty_Per_Batch]*IFERROR(INDEX(PP_Grid[#Data],M_BOM[PPGridRow],100),0))</f>
        <v/>
      </c>
      <c r="CW13">
        <f>SUMPRODUCT((M_BOM[RM_Code]=$A13)*M_BOM[RM_Qty_Per_Batch]*IFERROR(INDEX(PP_Grid[#Data],M_BOM[PPGridRow],101),0))</f>
        <v/>
      </c>
      <c r="CX13">
        <f>SUMPRODUCT((M_BOM[RM_Code]=$A13)*M_BOM[RM_Qty_Per_Batch]*IFERROR(INDEX(PP_Grid[#Data],M_BOM[PPGridRow],102),0))</f>
        <v/>
      </c>
      <c r="CY13">
        <f>SUMPRODUCT((M_BOM[RM_Code]=$A13)*M_BOM[RM_Qty_Per_Batch]*IFERROR(INDEX(PP_Grid[#Data],M_BOM[PPGridRow],103),0))</f>
        <v/>
      </c>
      <c r="CZ13">
        <f>SUMPRODUCT((M_BOM[RM_Code]=$A13)*M_BOM[RM_Qty_Per_Batch]*IFERROR(INDEX(PP_Grid[#Data],M_BOM[PPGridRow],104),0))</f>
        <v/>
      </c>
      <c r="DA13">
        <f>SUMPRODUCT((M_BOM[RM_Code]=$A13)*M_BOM[RM_Qty_Per_Batch]*IFERROR(INDEX(PP_Grid[#Data],M_BOM[PPGridRow],105),0))</f>
        <v/>
      </c>
    </row>
    <row r="14">
      <c r="A14" t="inlineStr">
        <is>
          <t>7CL</t>
        </is>
      </c>
      <c r="B14">
        <f>SUMPRODUCT((M_BOM[RM_Code]=$A14)*M_BOM[RM_Qty_Per_Batch]*IFERROR(INDEX(PP_Grid[#Data],M_BOM[PPGridRow],2),0))</f>
        <v/>
      </c>
      <c r="C14">
        <f>SUMPRODUCT((M_BOM[RM_Code]=$A14)*M_BOM[RM_Qty_Per_Batch]*IFERROR(INDEX(PP_Grid[#Data],M_BOM[PPGridRow],3),0))</f>
        <v/>
      </c>
      <c r="D14">
        <f>SUMPRODUCT((M_BOM[RM_Code]=$A14)*M_BOM[RM_Qty_Per_Batch]*IFERROR(INDEX(PP_Grid[#Data],M_BOM[PPGridRow],4),0))</f>
        <v/>
      </c>
      <c r="E14">
        <f>SUMPRODUCT((M_BOM[RM_Code]=$A14)*M_BOM[RM_Qty_Per_Batch]*IFERROR(INDEX(PP_Grid[#Data],M_BOM[PPGridRow],5),0))</f>
        <v/>
      </c>
      <c r="F14">
        <f>SUMPRODUCT((M_BOM[RM_Code]=$A14)*M_BOM[RM_Qty_Per_Batch]*IFERROR(INDEX(PP_Grid[#Data],M_BOM[PPGridRow],6),0))</f>
        <v/>
      </c>
      <c r="G14">
        <f>SUMPRODUCT((M_BOM[RM_Code]=$A14)*M_BOM[RM_Qty_Per_Batch]*IFERROR(INDEX(PP_Grid[#Data],M_BOM[PPGridRow],7),0))</f>
        <v/>
      </c>
      <c r="H14">
        <f>SUMPRODUCT((M_BOM[RM_Code]=$A14)*M_BOM[RM_Qty_Per_Batch]*IFERROR(INDEX(PP_Grid[#Data],M_BOM[PPGridRow],8),0))</f>
        <v/>
      </c>
      <c r="I14">
        <f>SUMPRODUCT((M_BOM[RM_Code]=$A14)*M_BOM[RM_Qty_Per_Batch]*IFERROR(INDEX(PP_Grid[#Data],M_BOM[PPGridRow],9),0))</f>
        <v/>
      </c>
      <c r="J14">
        <f>SUMPRODUCT((M_BOM[RM_Code]=$A14)*M_BOM[RM_Qty_Per_Batch]*IFERROR(INDEX(PP_Grid[#Data],M_BOM[PPGridRow],10),0))</f>
        <v/>
      </c>
      <c r="K14">
        <f>SUMPRODUCT((M_BOM[RM_Code]=$A14)*M_BOM[RM_Qty_Per_Batch]*IFERROR(INDEX(PP_Grid[#Data],M_BOM[PPGridRow],11),0))</f>
        <v/>
      </c>
      <c r="L14">
        <f>SUMPRODUCT((M_BOM[RM_Code]=$A14)*M_BOM[RM_Qty_Per_Batch]*IFERROR(INDEX(PP_Grid[#Data],M_BOM[PPGridRow],12),0))</f>
        <v/>
      </c>
      <c r="M14">
        <f>SUMPRODUCT((M_BOM[RM_Code]=$A14)*M_BOM[RM_Qty_Per_Batch]*IFERROR(INDEX(PP_Grid[#Data],M_BOM[PPGridRow],13),0))</f>
        <v/>
      </c>
      <c r="N14">
        <f>SUMPRODUCT((M_BOM[RM_Code]=$A14)*M_BOM[RM_Qty_Per_Batch]*IFERROR(INDEX(PP_Grid[#Data],M_BOM[PPGridRow],14),0))</f>
        <v/>
      </c>
      <c r="O14">
        <f>SUMPRODUCT((M_BOM[RM_Code]=$A14)*M_BOM[RM_Qty_Per_Batch]*IFERROR(INDEX(PP_Grid[#Data],M_BOM[PPGridRow],15),0))</f>
        <v/>
      </c>
      <c r="P14">
        <f>SUMPRODUCT((M_BOM[RM_Code]=$A14)*M_BOM[RM_Qty_Per_Batch]*IFERROR(INDEX(PP_Grid[#Data],M_BOM[PPGridRow],16),0))</f>
        <v/>
      </c>
      <c r="Q14">
        <f>SUMPRODUCT((M_BOM[RM_Code]=$A14)*M_BOM[RM_Qty_Per_Batch]*IFERROR(INDEX(PP_Grid[#Data],M_BOM[PPGridRow],17),0))</f>
        <v/>
      </c>
      <c r="R14">
        <f>SUMPRODUCT((M_BOM[RM_Code]=$A14)*M_BOM[RM_Qty_Per_Batch]*IFERROR(INDEX(PP_Grid[#Data],M_BOM[PPGridRow],18),0))</f>
        <v/>
      </c>
      <c r="S14">
        <f>SUMPRODUCT((M_BOM[RM_Code]=$A14)*M_BOM[RM_Qty_Per_Batch]*IFERROR(INDEX(PP_Grid[#Data],M_BOM[PPGridRow],19),0))</f>
        <v/>
      </c>
      <c r="T14">
        <f>SUMPRODUCT((M_BOM[RM_Code]=$A14)*M_BOM[RM_Qty_Per_Batch]*IFERROR(INDEX(PP_Grid[#Data],M_BOM[PPGridRow],20),0))</f>
        <v/>
      </c>
      <c r="U14">
        <f>SUMPRODUCT((M_BOM[RM_Code]=$A14)*M_BOM[RM_Qty_Per_Batch]*IFERROR(INDEX(PP_Grid[#Data],M_BOM[PPGridRow],21),0))</f>
        <v/>
      </c>
      <c r="V14">
        <f>SUMPRODUCT((M_BOM[RM_Code]=$A14)*M_BOM[RM_Qty_Per_Batch]*IFERROR(INDEX(PP_Grid[#Data],M_BOM[PPGridRow],22),0))</f>
        <v/>
      </c>
      <c r="W14">
        <f>SUMPRODUCT((M_BOM[RM_Code]=$A14)*M_BOM[RM_Qty_Per_Batch]*IFERROR(INDEX(PP_Grid[#Data],M_BOM[PPGridRow],23),0))</f>
        <v/>
      </c>
      <c r="X14">
        <f>SUMPRODUCT((M_BOM[RM_Code]=$A14)*M_BOM[RM_Qty_Per_Batch]*IFERROR(INDEX(PP_Grid[#Data],M_BOM[PPGridRow],24),0))</f>
        <v/>
      </c>
      <c r="Y14">
        <f>SUMPRODUCT((M_BOM[RM_Code]=$A14)*M_BOM[RM_Qty_Per_Batch]*IFERROR(INDEX(PP_Grid[#Data],M_BOM[PPGridRow],25),0))</f>
        <v/>
      </c>
      <c r="Z14">
        <f>SUMPRODUCT((M_BOM[RM_Code]=$A14)*M_BOM[RM_Qty_Per_Batch]*IFERROR(INDEX(PP_Grid[#Data],M_BOM[PPGridRow],26),0))</f>
        <v/>
      </c>
      <c r="AA14">
        <f>SUMPRODUCT((M_BOM[RM_Code]=$A14)*M_BOM[RM_Qty_Per_Batch]*IFERROR(INDEX(PP_Grid[#Data],M_BOM[PPGridRow],27),0))</f>
        <v/>
      </c>
      <c r="AB14">
        <f>SUMPRODUCT((M_BOM[RM_Code]=$A14)*M_BOM[RM_Qty_Per_Batch]*IFERROR(INDEX(PP_Grid[#Data],M_BOM[PPGridRow],28),0))</f>
        <v/>
      </c>
      <c r="AC14">
        <f>SUMPRODUCT((M_BOM[RM_Code]=$A14)*M_BOM[RM_Qty_Per_Batch]*IFERROR(INDEX(PP_Grid[#Data],M_BOM[PPGridRow],29),0))</f>
        <v/>
      </c>
      <c r="AD14">
        <f>SUMPRODUCT((M_BOM[RM_Code]=$A14)*M_BOM[RM_Qty_Per_Batch]*IFERROR(INDEX(PP_Grid[#Data],M_BOM[PPGridRow],30),0))</f>
        <v/>
      </c>
      <c r="AE14">
        <f>SUMPRODUCT((M_BOM[RM_Code]=$A14)*M_BOM[RM_Qty_Per_Batch]*IFERROR(INDEX(PP_Grid[#Data],M_BOM[PPGridRow],31),0))</f>
        <v/>
      </c>
      <c r="AF14">
        <f>SUMPRODUCT((M_BOM[RM_Code]=$A14)*M_BOM[RM_Qty_Per_Batch]*IFERROR(INDEX(PP_Grid[#Data],M_BOM[PPGridRow],32),0))</f>
        <v/>
      </c>
      <c r="AG14">
        <f>SUMPRODUCT((M_BOM[RM_Code]=$A14)*M_BOM[RM_Qty_Per_Batch]*IFERROR(INDEX(PP_Grid[#Data],M_BOM[PPGridRow],33),0))</f>
        <v/>
      </c>
      <c r="AH14">
        <f>SUMPRODUCT((M_BOM[RM_Code]=$A14)*M_BOM[RM_Qty_Per_Batch]*IFERROR(INDEX(PP_Grid[#Data],M_BOM[PPGridRow],34),0))</f>
        <v/>
      </c>
      <c r="AI14">
        <f>SUMPRODUCT((M_BOM[RM_Code]=$A14)*M_BOM[RM_Qty_Per_Batch]*IFERROR(INDEX(PP_Grid[#Data],M_BOM[PPGridRow],35),0))</f>
        <v/>
      </c>
      <c r="AJ14">
        <f>SUMPRODUCT((M_BOM[RM_Code]=$A14)*M_BOM[RM_Qty_Per_Batch]*IFERROR(INDEX(PP_Grid[#Data],M_BOM[PPGridRow],36),0))</f>
        <v/>
      </c>
      <c r="AK14">
        <f>SUMPRODUCT((M_BOM[RM_Code]=$A14)*M_BOM[RM_Qty_Per_Batch]*IFERROR(INDEX(PP_Grid[#Data],M_BOM[PPGridRow],37),0))</f>
        <v/>
      </c>
      <c r="AL14">
        <f>SUMPRODUCT((M_BOM[RM_Code]=$A14)*M_BOM[RM_Qty_Per_Batch]*IFERROR(INDEX(PP_Grid[#Data],M_BOM[PPGridRow],38),0))</f>
        <v/>
      </c>
      <c r="AM14">
        <f>SUMPRODUCT((M_BOM[RM_Code]=$A14)*M_BOM[RM_Qty_Per_Batch]*IFERROR(INDEX(PP_Grid[#Data],M_BOM[PPGridRow],39),0))</f>
        <v/>
      </c>
      <c r="AN14">
        <f>SUMPRODUCT((M_BOM[RM_Code]=$A14)*M_BOM[RM_Qty_Per_Batch]*IFERROR(INDEX(PP_Grid[#Data],M_BOM[PPGridRow],40),0))</f>
        <v/>
      </c>
      <c r="AO14">
        <f>SUMPRODUCT((M_BOM[RM_Code]=$A14)*M_BOM[RM_Qty_Per_Batch]*IFERROR(INDEX(PP_Grid[#Data],M_BOM[PPGridRow],41),0))</f>
        <v/>
      </c>
      <c r="AP14">
        <f>SUMPRODUCT((M_BOM[RM_Code]=$A14)*M_BOM[RM_Qty_Per_Batch]*IFERROR(INDEX(PP_Grid[#Data],M_BOM[PPGridRow],42),0))</f>
        <v/>
      </c>
      <c r="AQ14">
        <f>SUMPRODUCT((M_BOM[RM_Code]=$A14)*M_BOM[RM_Qty_Per_Batch]*IFERROR(INDEX(PP_Grid[#Data],M_BOM[PPGridRow],43),0))</f>
        <v/>
      </c>
      <c r="AR14">
        <f>SUMPRODUCT((M_BOM[RM_Code]=$A14)*M_BOM[RM_Qty_Per_Batch]*IFERROR(INDEX(PP_Grid[#Data],M_BOM[PPGridRow],44),0))</f>
        <v/>
      </c>
      <c r="AS14">
        <f>SUMPRODUCT((M_BOM[RM_Code]=$A14)*M_BOM[RM_Qty_Per_Batch]*IFERROR(INDEX(PP_Grid[#Data],M_BOM[PPGridRow],45),0))</f>
        <v/>
      </c>
      <c r="AT14">
        <f>SUMPRODUCT((M_BOM[RM_Code]=$A14)*M_BOM[RM_Qty_Per_Batch]*IFERROR(INDEX(PP_Grid[#Data],M_BOM[PPGridRow],46),0))</f>
        <v/>
      </c>
      <c r="AU14">
        <f>SUMPRODUCT((M_BOM[RM_Code]=$A14)*M_BOM[RM_Qty_Per_Batch]*IFERROR(INDEX(PP_Grid[#Data],M_BOM[PPGridRow],47),0))</f>
        <v/>
      </c>
      <c r="AV14">
        <f>SUMPRODUCT((M_BOM[RM_Code]=$A14)*M_BOM[RM_Qty_Per_Batch]*IFERROR(INDEX(PP_Grid[#Data],M_BOM[PPGridRow],48),0))</f>
        <v/>
      </c>
      <c r="AW14">
        <f>SUMPRODUCT((M_BOM[RM_Code]=$A14)*M_BOM[RM_Qty_Per_Batch]*IFERROR(INDEX(PP_Grid[#Data],M_BOM[PPGridRow],49),0))</f>
        <v/>
      </c>
      <c r="AX14">
        <f>SUMPRODUCT((M_BOM[RM_Code]=$A14)*M_BOM[RM_Qty_Per_Batch]*IFERROR(INDEX(PP_Grid[#Data],M_BOM[PPGridRow],50),0))</f>
        <v/>
      </c>
      <c r="AY14">
        <f>SUMPRODUCT((M_BOM[RM_Code]=$A14)*M_BOM[RM_Qty_Per_Batch]*IFERROR(INDEX(PP_Grid[#Data],M_BOM[PPGridRow],51),0))</f>
        <v/>
      </c>
      <c r="AZ14">
        <f>SUMPRODUCT((M_BOM[RM_Code]=$A14)*M_BOM[RM_Qty_Per_Batch]*IFERROR(INDEX(PP_Grid[#Data],M_BOM[PPGridRow],52),0))</f>
        <v/>
      </c>
      <c r="BA14">
        <f>SUMPRODUCT((M_BOM[RM_Code]=$A14)*M_BOM[RM_Qty_Per_Batch]*IFERROR(INDEX(PP_Grid[#Data],M_BOM[PPGridRow],53),0))</f>
        <v/>
      </c>
      <c r="BB14">
        <f>SUMPRODUCT((M_BOM[RM_Code]=$A14)*M_BOM[RM_Qty_Per_Batch]*IFERROR(INDEX(PP_Grid[#Data],M_BOM[PPGridRow],54),0))</f>
        <v/>
      </c>
      <c r="BC14">
        <f>SUMPRODUCT((M_BOM[RM_Code]=$A14)*M_BOM[RM_Qty_Per_Batch]*IFERROR(INDEX(PP_Grid[#Data],M_BOM[PPGridRow],55),0))</f>
        <v/>
      </c>
      <c r="BD14">
        <f>SUMPRODUCT((M_BOM[RM_Code]=$A14)*M_BOM[RM_Qty_Per_Batch]*IFERROR(INDEX(PP_Grid[#Data],M_BOM[PPGridRow],56),0))</f>
        <v/>
      </c>
      <c r="BE14">
        <f>SUMPRODUCT((M_BOM[RM_Code]=$A14)*M_BOM[RM_Qty_Per_Batch]*IFERROR(INDEX(PP_Grid[#Data],M_BOM[PPGridRow],57),0))</f>
        <v/>
      </c>
      <c r="BF14">
        <f>SUMPRODUCT((M_BOM[RM_Code]=$A14)*M_BOM[RM_Qty_Per_Batch]*IFERROR(INDEX(PP_Grid[#Data],M_BOM[PPGridRow],58),0))</f>
        <v/>
      </c>
      <c r="BG14">
        <f>SUMPRODUCT((M_BOM[RM_Code]=$A14)*M_BOM[RM_Qty_Per_Batch]*IFERROR(INDEX(PP_Grid[#Data],M_BOM[PPGridRow],59),0))</f>
        <v/>
      </c>
      <c r="BH14">
        <f>SUMPRODUCT((M_BOM[RM_Code]=$A14)*M_BOM[RM_Qty_Per_Batch]*IFERROR(INDEX(PP_Grid[#Data],M_BOM[PPGridRow],60),0))</f>
        <v/>
      </c>
      <c r="BI14">
        <f>SUMPRODUCT((M_BOM[RM_Code]=$A14)*M_BOM[RM_Qty_Per_Batch]*IFERROR(INDEX(PP_Grid[#Data],M_BOM[PPGridRow],61),0))</f>
        <v/>
      </c>
      <c r="BJ14">
        <f>SUMPRODUCT((M_BOM[RM_Code]=$A14)*M_BOM[RM_Qty_Per_Batch]*IFERROR(INDEX(PP_Grid[#Data],M_BOM[PPGridRow],62),0))</f>
        <v/>
      </c>
      <c r="BK14">
        <f>SUMPRODUCT((M_BOM[RM_Code]=$A14)*M_BOM[RM_Qty_Per_Batch]*IFERROR(INDEX(PP_Grid[#Data],M_BOM[PPGridRow],63),0))</f>
        <v/>
      </c>
      <c r="BL14">
        <f>SUMPRODUCT((M_BOM[RM_Code]=$A14)*M_BOM[RM_Qty_Per_Batch]*IFERROR(INDEX(PP_Grid[#Data],M_BOM[PPGridRow],64),0))</f>
        <v/>
      </c>
      <c r="BM14">
        <f>SUMPRODUCT((M_BOM[RM_Code]=$A14)*M_BOM[RM_Qty_Per_Batch]*IFERROR(INDEX(PP_Grid[#Data],M_BOM[PPGridRow],65),0))</f>
        <v/>
      </c>
      <c r="BN14">
        <f>SUMPRODUCT((M_BOM[RM_Code]=$A14)*M_BOM[RM_Qty_Per_Batch]*IFERROR(INDEX(PP_Grid[#Data],M_BOM[PPGridRow],66),0))</f>
        <v/>
      </c>
      <c r="BO14">
        <f>SUMPRODUCT((M_BOM[RM_Code]=$A14)*M_BOM[RM_Qty_Per_Batch]*IFERROR(INDEX(PP_Grid[#Data],M_BOM[PPGridRow],67),0))</f>
        <v/>
      </c>
      <c r="BP14">
        <f>SUMPRODUCT((M_BOM[RM_Code]=$A14)*M_BOM[RM_Qty_Per_Batch]*IFERROR(INDEX(PP_Grid[#Data],M_BOM[PPGridRow],68),0))</f>
        <v/>
      </c>
      <c r="BQ14">
        <f>SUMPRODUCT((M_BOM[RM_Code]=$A14)*M_BOM[RM_Qty_Per_Batch]*IFERROR(INDEX(PP_Grid[#Data],M_BOM[PPGridRow],69),0))</f>
        <v/>
      </c>
      <c r="BR14">
        <f>SUMPRODUCT((M_BOM[RM_Code]=$A14)*M_BOM[RM_Qty_Per_Batch]*IFERROR(INDEX(PP_Grid[#Data],M_BOM[PPGridRow],70),0))</f>
        <v/>
      </c>
      <c r="BS14">
        <f>SUMPRODUCT((M_BOM[RM_Code]=$A14)*M_BOM[RM_Qty_Per_Batch]*IFERROR(INDEX(PP_Grid[#Data],M_BOM[PPGridRow],71),0))</f>
        <v/>
      </c>
      <c r="BT14">
        <f>SUMPRODUCT((M_BOM[RM_Code]=$A14)*M_BOM[RM_Qty_Per_Batch]*IFERROR(INDEX(PP_Grid[#Data],M_BOM[PPGridRow],72),0))</f>
        <v/>
      </c>
      <c r="BU14">
        <f>SUMPRODUCT((M_BOM[RM_Code]=$A14)*M_BOM[RM_Qty_Per_Batch]*IFERROR(INDEX(PP_Grid[#Data],M_BOM[PPGridRow],73),0))</f>
        <v/>
      </c>
      <c r="BV14">
        <f>SUMPRODUCT((M_BOM[RM_Code]=$A14)*M_BOM[RM_Qty_Per_Batch]*IFERROR(INDEX(PP_Grid[#Data],M_BOM[PPGridRow],74),0))</f>
        <v/>
      </c>
      <c r="BW14">
        <f>SUMPRODUCT((M_BOM[RM_Code]=$A14)*M_BOM[RM_Qty_Per_Batch]*IFERROR(INDEX(PP_Grid[#Data],M_BOM[PPGridRow],75),0))</f>
        <v/>
      </c>
      <c r="BX14">
        <f>SUMPRODUCT((M_BOM[RM_Code]=$A14)*M_BOM[RM_Qty_Per_Batch]*IFERROR(INDEX(PP_Grid[#Data],M_BOM[PPGridRow],76),0))</f>
        <v/>
      </c>
      <c r="BY14">
        <f>SUMPRODUCT((M_BOM[RM_Code]=$A14)*M_BOM[RM_Qty_Per_Batch]*IFERROR(INDEX(PP_Grid[#Data],M_BOM[PPGridRow],77),0))</f>
        <v/>
      </c>
      <c r="BZ14">
        <f>SUMPRODUCT((M_BOM[RM_Code]=$A14)*M_BOM[RM_Qty_Per_Batch]*IFERROR(INDEX(PP_Grid[#Data],M_BOM[PPGridRow],78),0))</f>
        <v/>
      </c>
      <c r="CA14">
        <f>SUMPRODUCT((M_BOM[RM_Code]=$A14)*M_BOM[RM_Qty_Per_Batch]*IFERROR(INDEX(PP_Grid[#Data],M_BOM[PPGridRow],79),0))</f>
        <v/>
      </c>
      <c r="CB14">
        <f>SUMPRODUCT((M_BOM[RM_Code]=$A14)*M_BOM[RM_Qty_Per_Batch]*IFERROR(INDEX(PP_Grid[#Data],M_BOM[PPGridRow],80),0))</f>
        <v/>
      </c>
      <c r="CC14">
        <f>SUMPRODUCT((M_BOM[RM_Code]=$A14)*M_BOM[RM_Qty_Per_Batch]*IFERROR(INDEX(PP_Grid[#Data],M_BOM[PPGridRow],81),0))</f>
        <v/>
      </c>
      <c r="CD14">
        <f>SUMPRODUCT((M_BOM[RM_Code]=$A14)*M_BOM[RM_Qty_Per_Batch]*IFERROR(INDEX(PP_Grid[#Data],M_BOM[PPGridRow],82),0))</f>
        <v/>
      </c>
      <c r="CE14">
        <f>SUMPRODUCT((M_BOM[RM_Code]=$A14)*M_BOM[RM_Qty_Per_Batch]*IFERROR(INDEX(PP_Grid[#Data],M_BOM[PPGridRow],83),0))</f>
        <v/>
      </c>
      <c r="CF14">
        <f>SUMPRODUCT((M_BOM[RM_Code]=$A14)*M_BOM[RM_Qty_Per_Batch]*IFERROR(INDEX(PP_Grid[#Data],M_BOM[PPGridRow],84),0))</f>
        <v/>
      </c>
      <c r="CG14">
        <f>SUMPRODUCT((M_BOM[RM_Code]=$A14)*M_BOM[RM_Qty_Per_Batch]*IFERROR(INDEX(PP_Grid[#Data],M_BOM[PPGridRow],85),0))</f>
        <v/>
      </c>
      <c r="CH14">
        <f>SUMPRODUCT((M_BOM[RM_Code]=$A14)*M_BOM[RM_Qty_Per_Batch]*IFERROR(INDEX(PP_Grid[#Data],M_BOM[PPGridRow],86),0))</f>
        <v/>
      </c>
      <c r="CI14">
        <f>SUMPRODUCT((M_BOM[RM_Code]=$A14)*M_BOM[RM_Qty_Per_Batch]*IFERROR(INDEX(PP_Grid[#Data],M_BOM[PPGridRow],87),0))</f>
        <v/>
      </c>
      <c r="CJ14">
        <f>SUMPRODUCT((M_BOM[RM_Code]=$A14)*M_BOM[RM_Qty_Per_Batch]*IFERROR(INDEX(PP_Grid[#Data],M_BOM[PPGridRow],88),0))</f>
        <v/>
      </c>
      <c r="CK14">
        <f>SUMPRODUCT((M_BOM[RM_Code]=$A14)*M_BOM[RM_Qty_Per_Batch]*IFERROR(INDEX(PP_Grid[#Data],M_BOM[PPGridRow],89),0))</f>
        <v/>
      </c>
      <c r="CL14">
        <f>SUMPRODUCT((M_BOM[RM_Code]=$A14)*M_BOM[RM_Qty_Per_Batch]*IFERROR(INDEX(PP_Grid[#Data],M_BOM[PPGridRow],90),0))</f>
        <v/>
      </c>
      <c r="CM14">
        <f>SUMPRODUCT((M_BOM[RM_Code]=$A14)*M_BOM[RM_Qty_Per_Batch]*IFERROR(INDEX(PP_Grid[#Data],M_BOM[PPGridRow],91),0))</f>
        <v/>
      </c>
      <c r="CN14">
        <f>SUMPRODUCT((M_BOM[RM_Code]=$A14)*M_BOM[RM_Qty_Per_Batch]*IFERROR(INDEX(PP_Grid[#Data],M_BOM[PPGridRow],92),0))</f>
        <v/>
      </c>
      <c r="CO14">
        <f>SUMPRODUCT((M_BOM[RM_Code]=$A14)*M_BOM[RM_Qty_Per_Batch]*IFERROR(INDEX(PP_Grid[#Data],M_BOM[PPGridRow],93),0))</f>
        <v/>
      </c>
      <c r="CP14">
        <f>SUMPRODUCT((M_BOM[RM_Code]=$A14)*M_BOM[RM_Qty_Per_Batch]*IFERROR(INDEX(PP_Grid[#Data],M_BOM[PPGridRow],94),0))</f>
        <v/>
      </c>
      <c r="CQ14">
        <f>SUMPRODUCT((M_BOM[RM_Code]=$A14)*M_BOM[RM_Qty_Per_Batch]*IFERROR(INDEX(PP_Grid[#Data],M_BOM[PPGridRow],95),0))</f>
        <v/>
      </c>
      <c r="CR14">
        <f>SUMPRODUCT((M_BOM[RM_Code]=$A14)*M_BOM[RM_Qty_Per_Batch]*IFERROR(INDEX(PP_Grid[#Data],M_BOM[PPGridRow],96),0))</f>
        <v/>
      </c>
      <c r="CS14">
        <f>SUMPRODUCT((M_BOM[RM_Code]=$A14)*M_BOM[RM_Qty_Per_Batch]*IFERROR(INDEX(PP_Grid[#Data],M_BOM[PPGridRow],97),0))</f>
        <v/>
      </c>
      <c r="CT14">
        <f>SUMPRODUCT((M_BOM[RM_Code]=$A14)*M_BOM[RM_Qty_Per_Batch]*IFERROR(INDEX(PP_Grid[#Data],M_BOM[PPGridRow],98),0))</f>
        <v/>
      </c>
      <c r="CU14">
        <f>SUMPRODUCT((M_BOM[RM_Code]=$A14)*M_BOM[RM_Qty_Per_Batch]*IFERROR(INDEX(PP_Grid[#Data],M_BOM[PPGridRow],99),0))</f>
        <v/>
      </c>
      <c r="CV14">
        <f>SUMPRODUCT((M_BOM[RM_Code]=$A14)*M_BOM[RM_Qty_Per_Batch]*IFERROR(INDEX(PP_Grid[#Data],M_BOM[PPGridRow],100),0))</f>
        <v/>
      </c>
      <c r="CW14">
        <f>SUMPRODUCT((M_BOM[RM_Code]=$A14)*M_BOM[RM_Qty_Per_Batch]*IFERROR(INDEX(PP_Grid[#Data],M_BOM[PPGridRow],101),0))</f>
        <v/>
      </c>
      <c r="CX14">
        <f>SUMPRODUCT((M_BOM[RM_Code]=$A14)*M_BOM[RM_Qty_Per_Batch]*IFERROR(INDEX(PP_Grid[#Data],M_BOM[PPGridRow],102),0))</f>
        <v/>
      </c>
      <c r="CY14">
        <f>SUMPRODUCT((M_BOM[RM_Code]=$A14)*M_BOM[RM_Qty_Per_Batch]*IFERROR(INDEX(PP_Grid[#Data],M_BOM[PPGridRow],103),0))</f>
        <v/>
      </c>
      <c r="CZ14">
        <f>SUMPRODUCT((M_BOM[RM_Code]=$A14)*M_BOM[RM_Qty_Per_Batch]*IFERROR(INDEX(PP_Grid[#Data],M_BOM[PPGridRow],104),0))</f>
        <v/>
      </c>
      <c r="DA14">
        <f>SUMPRODUCT((M_BOM[RM_Code]=$A14)*M_BOM[RM_Qty_Per_Batch]*IFERROR(INDEX(PP_Grid[#Data],M_BOM[PPGridRow],105),0))</f>
        <v/>
      </c>
    </row>
    <row r="15">
      <c r="A15" t="inlineStr">
        <is>
          <t>9RN</t>
        </is>
      </c>
      <c r="B15">
        <f>SUMPRODUCT((M_BOM[RM_Code]=$A15)*M_BOM[RM_Qty_Per_Batch]*IFERROR(INDEX(PP_Grid[#Data],M_BOM[PPGridRow],2),0))</f>
        <v/>
      </c>
      <c r="C15">
        <f>SUMPRODUCT((M_BOM[RM_Code]=$A15)*M_BOM[RM_Qty_Per_Batch]*IFERROR(INDEX(PP_Grid[#Data],M_BOM[PPGridRow],3),0))</f>
        <v/>
      </c>
      <c r="D15">
        <f>SUMPRODUCT((M_BOM[RM_Code]=$A15)*M_BOM[RM_Qty_Per_Batch]*IFERROR(INDEX(PP_Grid[#Data],M_BOM[PPGridRow],4),0))</f>
        <v/>
      </c>
      <c r="E15">
        <f>SUMPRODUCT((M_BOM[RM_Code]=$A15)*M_BOM[RM_Qty_Per_Batch]*IFERROR(INDEX(PP_Grid[#Data],M_BOM[PPGridRow],5),0))</f>
        <v/>
      </c>
      <c r="F15">
        <f>SUMPRODUCT((M_BOM[RM_Code]=$A15)*M_BOM[RM_Qty_Per_Batch]*IFERROR(INDEX(PP_Grid[#Data],M_BOM[PPGridRow],6),0))</f>
        <v/>
      </c>
      <c r="G15">
        <f>SUMPRODUCT((M_BOM[RM_Code]=$A15)*M_BOM[RM_Qty_Per_Batch]*IFERROR(INDEX(PP_Grid[#Data],M_BOM[PPGridRow],7),0))</f>
        <v/>
      </c>
      <c r="H15">
        <f>SUMPRODUCT((M_BOM[RM_Code]=$A15)*M_BOM[RM_Qty_Per_Batch]*IFERROR(INDEX(PP_Grid[#Data],M_BOM[PPGridRow],8),0))</f>
        <v/>
      </c>
      <c r="I15">
        <f>SUMPRODUCT((M_BOM[RM_Code]=$A15)*M_BOM[RM_Qty_Per_Batch]*IFERROR(INDEX(PP_Grid[#Data],M_BOM[PPGridRow],9),0))</f>
        <v/>
      </c>
      <c r="J15">
        <f>SUMPRODUCT((M_BOM[RM_Code]=$A15)*M_BOM[RM_Qty_Per_Batch]*IFERROR(INDEX(PP_Grid[#Data],M_BOM[PPGridRow],10),0))</f>
        <v/>
      </c>
      <c r="K15">
        <f>SUMPRODUCT((M_BOM[RM_Code]=$A15)*M_BOM[RM_Qty_Per_Batch]*IFERROR(INDEX(PP_Grid[#Data],M_BOM[PPGridRow],11),0))</f>
        <v/>
      </c>
      <c r="L15">
        <f>SUMPRODUCT((M_BOM[RM_Code]=$A15)*M_BOM[RM_Qty_Per_Batch]*IFERROR(INDEX(PP_Grid[#Data],M_BOM[PPGridRow],12),0))</f>
        <v/>
      </c>
      <c r="M15">
        <f>SUMPRODUCT((M_BOM[RM_Code]=$A15)*M_BOM[RM_Qty_Per_Batch]*IFERROR(INDEX(PP_Grid[#Data],M_BOM[PPGridRow],13),0))</f>
        <v/>
      </c>
      <c r="N15">
        <f>SUMPRODUCT((M_BOM[RM_Code]=$A15)*M_BOM[RM_Qty_Per_Batch]*IFERROR(INDEX(PP_Grid[#Data],M_BOM[PPGridRow],14),0))</f>
        <v/>
      </c>
      <c r="O15">
        <f>SUMPRODUCT((M_BOM[RM_Code]=$A15)*M_BOM[RM_Qty_Per_Batch]*IFERROR(INDEX(PP_Grid[#Data],M_BOM[PPGridRow],15),0))</f>
        <v/>
      </c>
      <c r="P15">
        <f>SUMPRODUCT((M_BOM[RM_Code]=$A15)*M_BOM[RM_Qty_Per_Batch]*IFERROR(INDEX(PP_Grid[#Data],M_BOM[PPGridRow],16),0))</f>
        <v/>
      </c>
      <c r="Q15">
        <f>SUMPRODUCT((M_BOM[RM_Code]=$A15)*M_BOM[RM_Qty_Per_Batch]*IFERROR(INDEX(PP_Grid[#Data],M_BOM[PPGridRow],17),0))</f>
        <v/>
      </c>
      <c r="R15">
        <f>SUMPRODUCT((M_BOM[RM_Code]=$A15)*M_BOM[RM_Qty_Per_Batch]*IFERROR(INDEX(PP_Grid[#Data],M_BOM[PPGridRow],18),0))</f>
        <v/>
      </c>
      <c r="S15">
        <f>SUMPRODUCT((M_BOM[RM_Code]=$A15)*M_BOM[RM_Qty_Per_Batch]*IFERROR(INDEX(PP_Grid[#Data],M_BOM[PPGridRow],19),0))</f>
        <v/>
      </c>
      <c r="T15">
        <f>SUMPRODUCT((M_BOM[RM_Code]=$A15)*M_BOM[RM_Qty_Per_Batch]*IFERROR(INDEX(PP_Grid[#Data],M_BOM[PPGridRow],20),0))</f>
        <v/>
      </c>
      <c r="U15">
        <f>SUMPRODUCT((M_BOM[RM_Code]=$A15)*M_BOM[RM_Qty_Per_Batch]*IFERROR(INDEX(PP_Grid[#Data],M_BOM[PPGridRow],21),0))</f>
        <v/>
      </c>
      <c r="V15">
        <f>SUMPRODUCT((M_BOM[RM_Code]=$A15)*M_BOM[RM_Qty_Per_Batch]*IFERROR(INDEX(PP_Grid[#Data],M_BOM[PPGridRow],22),0))</f>
        <v/>
      </c>
      <c r="W15">
        <f>SUMPRODUCT((M_BOM[RM_Code]=$A15)*M_BOM[RM_Qty_Per_Batch]*IFERROR(INDEX(PP_Grid[#Data],M_BOM[PPGridRow],23),0))</f>
        <v/>
      </c>
      <c r="X15">
        <f>SUMPRODUCT((M_BOM[RM_Code]=$A15)*M_BOM[RM_Qty_Per_Batch]*IFERROR(INDEX(PP_Grid[#Data],M_BOM[PPGridRow],24),0))</f>
        <v/>
      </c>
      <c r="Y15">
        <f>SUMPRODUCT((M_BOM[RM_Code]=$A15)*M_BOM[RM_Qty_Per_Batch]*IFERROR(INDEX(PP_Grid[#Data],M_BOM[PPGridRow],25),0))</f>
        <v/>
      </c>
      <c r="Z15">
        <f>SUMPRODUCT((M_BOM[RM_Code]=$A15)*M_BOM[RM_Qty_Per_Batch]*IFERROR(INDEX(PP_Grid[#Data],M_BOM[PPGridRow],26),0))</f>
        <v/>
      </c>
      <c r="AA15">
        <f>SUMPRODUCT((M_BOM[RM_Code]=$A15)*M_BOM[RM_Qty_Per_Batch]*IFERROR(INDEX(PP_Grid[#Data],M_BOM[PPGridRow],27),0))</f>
        <v/>
      </c>
      <c r="AB15">
        <f>SUMPRODUCT((M_BOM[RM_Code]=$A15)*M_BOM[RM_Qty_Per_Batch]*IFERROR(INDEX(PP_Grid[#Data],M_BOM[PPGridRow],28),0))</f>
        <v/>
      </c>
      <c r="AC15">
        <f>SUMPRODUCT((M_BOM[RM_Code]=$A15)*M_BOM[RM_Qty_Per_Batch]*IFERROR(INDEX(PP_Grid[#Data],M_BOM[PPGridRow],29),0))</f>
        <v/>
      </c>
      <c r="AD15">
        <f>SUMPRODUCT((M_BOM[RM_Code]=$A15)*M_BOM[RM_Qty_Per_Batch]*IFERROR(INDEX(PP_Grid[#Data],M_BOM[PPGridRow],30),0))</f>
        <v/>
      </c>
      <c r="AE15">
        <f>SUMPRODUCT((M_BOM[RM_Code]=$A15)*M_BOM[RM_Qty_Per_Batch]*IFERROR(INDEX(PP_Grid[#Data],M_BOM[PPGridRow],31),0))</f>
        <v/>
      </c>
      <c r="AF15">
        <f>SUMPRODUCT((M_BOM[RM_Code]=$A15)*M_BOM[RM_Qty_Per_Batch]*IFERROR(INDEX(PP_Grid[#Data],M_BOM[PPGridRow],32),0))</f>
        <v/>
      </c>
      <c r="AG15">
        <f>SUMPRODUCT((M_BOM[RM_Code]=$A15)*M_BOM[RM_Qty_Per_Batch]*IFERROR(INDEX(PP_Grid[#Data],M_BOM[PPGridRow],33),0))</f>
        <v/>
      </c>
      <c r="AH15">
        <f>SUMPRODUCT((M_BOM[RM_Code]=$A15)*M_BOM[RM_Qty_Per_Batch]*IFERROR(INDEX(PP_Grid[#Data],M_BOM[PPGridRow],34),0))</f>
        <v/>
      </c>
      <c r="AI15">
        <f>SUMPRODUCT((M_BOM[RM_Code]=$A15)*M_BOM[RM_Qty_Per_Batch]*IFERROR(INDEX(PP_Grid[#Data],M_BOM[PPGridRow],35),0))</f>
        <v/>
      </c>
      <c r="AJ15">
        <f>SUMPRODUCT((M_BOM[RM_Code]=$A15)*M_BOM[RM_Qty_Per_Batch]*IFERROR(INDEX(PP_Grid[#Data],M_BOM[PPGridRow],36),0))</f>
        <v/>
      </c>
      <c r="AK15">
        <f>SUMPRODUCT((M_BOM[RM_Code]=$A15)*M_BOM[RM_Qty_Per_Batch]*IFERROR(INDEX(PP_Grid[#Data],M_BOM[PPGridRow],37),0))</f>
        <v/>
      </c>
      <c r="AL15">
        <f>SUMPRODUCT((M_BOM[RM_Code]=$A15)*M_BOM[RM_Qty_Per_Batch]*IFERROR(INDEX(PP_Grid[#Data],M_BOM[PPGridRow],38),0))</f>
        <v/>
      </c>
      <c r="AM15">
        <f>SUMPRODUCT((M_BOM[RM_Code]=$A15)*M_BOM[RM_Qty_Per_Batch]*IFERROR(INDEX(PP_Grid[#Data],M_BOM[PPGridRow],39),0))</f>
        <v/>
      </c>
      <c r="AN15">
        <f>SUMPRODUCT((M_BOM[RM_Code]=$A15)*M_BOM[RM_Qty_Per_Batch]*IFERROR(INDEX(PP_Grid[#Data],M_BOM[PPGridRow],40),0))</f>
        <v/>
      </c>
      <c r="AO15">
        <f>SUMPRODUCT((M_BOM[RM_Code]=$A15)*M_BOM[RM_Qty_Per_Batch]*IFERROR(INDEX(PP_Grid[#Data],M_BOM[PPGridRow],41),0))</f>
        <v/>
      </c>
      <c r="AP15">
        <f>SUMPRODUCT((M_BOM[RM_Code]=$A15)*M_BOM[RM_Qty_Per_Batch]*IFERROR(INDEX(PP_Grid[#Data],M_BOM[PPGridRow],42),0))</f>
        <v/>
      </c>
      <c r="AQ15">
        <f>SUMPRODUCT((M_BOM[RM_Code]=$A15)*M_BOM[RM_Qty_Per_Batch]*IFERROR(INDEX(PP_Grid[#Data],M_BOM[PPGridRow],43),0))</f>
        <v/>
      </c>
      <c r="AR15">
        <f>SUMPRODUCT((M_BOM[RM_Code]=$A15)*M_BOM[RM_Qty_Per_Batch]*IFERROR(INDEX(PP_Grid[#Data],M_BOM[PPGridRow],44),0))</f>
        <v/>
      </c>
      <c r="AS15">
        <f>SUMPRODUCT((M_BOM[RM_Code]=$A15)*M_BOM[RM_Qty_Per_Batch]*IFERROR(INDEX(PP_Grid[#Data],M_BOM[PPGridRow],45),0))</f>
        <v/>
      </c>
      <c r="AT15">
        <f>SUMPRODUCT((M_BOM[RM_Code]=$A15)*M_BOM[RM_Qty_Per_Batch]*IFERROR(INDEX(PP_Grid[#Data],M_BOM[PPGridRow],46),0))</f>
        <v/>
      </c>
      <c r="AU15">
        <f>SUMPRODUCT((M_BOM[RM_Code]=$A15)*M_BOM[RM_Qty_Per_Batch]*IFERROR(INDEX(PP_Grid[#Data],M_BOM[PPGridRow],47),0))</f>
        <v/>
      </c>
      <c r="AV15">
        <f>SUMPRODUCT((M_BOM[RM_Code]=$A15)*M_BOM[RM_Qty_Per_Batch]*IFERROR(INDEX(PP_Grid[#Data],M_BOM[PPGridRow],48),0))</f>
        <v/>
      </c>
      <c r="AW15">
        <f>SUMPRODUCT((M_BOM[RM_Code]=$A15)*M_BOM[RM_Qty_Per_Batch]*IFERROR(INDEX(PP_Grid[#Data],M_BOM[PPGridRow],49),0))</f>
        <v/>
      </c>
      <c r="AX15">
        <f>SUMPRODUCT((M_BOM[RM_Code]=$A15)*M_BOM[RM_Qty_Per_Batch]*IFERROR(INDEX(PP_Grid[#Data],M_BOM[PPGridRow],50),0))</f>
        <v/>
      </c>
      <c r="AY15">
        <f>SUMPRODUCT((M_BOM[RM_Code]=$A15)*M_BOM[RM_Qty_Per_Batch]*IFERROR(INDEX(PP_Grid[#Data],M_BOM[PPGridRow],51),0))</f>
        <v/>
      </c>
      <c r="AZ15">
        <f>SUMPRODUCT((M_BOM[RM_Code]=$A15)*M_BOM[RM_Qty_Per_Batch]*IFERROR(INDEX(PP_Grid[#Data],M_BOM[PPGridRow],52),0))</f>
        <v/>
      </c>
      <c r="BA15">
        <f>SUMPRODUCT((M_BOM[RM_Code]=$A15)*M_BOM[RM_Qty_Per_Batch]*IFERROR(INDEX(PP_Grid[#Data],M_BOM[PPGridRow],53),0))</f>
        <v/>
      </c>
      <c r="BB15">
        <f>SUMPRODUCT((M_BOM[RM_Code]=$A15)*M_BOM[RM_Qty_Per_Batch]*IFERROR(INDEX(PP_Grid[#Data],M_BOM[PPGridRow],54),0))</f>
        <v/>
      </c>
      <c r="BC15">
        <f>SUMPRODUCT((M_BOM[RM_Code]=$A15)*M_BOM[RM_Qty_Per_Batch]*IFERROR(INDEX(PP_Grid[#Data],M_BOM[PPGridRow],55),0))</f>
        <v/>
      </c>
      <c r="BD15">
        <f>SUMPRODUCT((M_BOM[RM_Code]=$A15)*M_BOM[RM_Qty_Per_Batch]*IFERROR(INDEX(PP_Grid[#Data],M_BOM[PPGridRow],56),0))</f>
        <v/>
      </c>
      <c r="BE15">
        <f>SUMPRODUCT((M_BOM[RM_Code]=$A15)*M_BOM[RM_Qty_Per_Batch]*IFERROR(INDEX(PP_Grid[#Data],M_BOM[PPGridRow],57),0))</f>
        <v/>
      </c>
      <c r="BF15">
        <f>SUMPRODUCT((M_BOM[RM_Code]=$A15)*M_BOM[RM_Qty_Per_Batch]*IFERROR(INDEX(PP_Grid[#Data],M_BOM[PPGridRow],58),0))</f>
        <v/>
      </c>
      <c r="BG15">
        <f>SUMPRODUCT((M_BOM[RM_Code]=$A15)*M_BOM[RM_Qty_Per_Batch]*IFERROR(INDEX(PP_Grid[#Data],M_BOM[PPGridRow],59),0))</f>
        <v/>
      </c>
      <c r="BH15">
        <f>SUMPRODUCT((M_BOM[RM_Code]=$A15)*M_BOM[RM_Qty_Per_Batch]*IFERROR(INDEX(PP_Grid[#Data],M_BOM[PPGridRow],60),0))</f>
        <v/>
      </c>
      <c r="BI15">
        <f>SUMPRODUCT((M_BOM[RM_Code]=$A15)*M_BOM[RM_Qty_Per_Batch]*IFERROR(INDEX(PP_Grid[#Data],M_BOM[PPGridRow],61),0))</f>
        <v/>
      </c>
      <c r="BJ15">
        <f>SUMPRODUCT((M_BOM[RM_Code]=$A15)*M_BOM[RM_Qty_Per_Batch]*IFERROR(INDEX(PP_Grid[#Data],M_BOM[PPGridRow],62),0))</f>
        <v/>
      </c>
      <c r="BK15">
        <f>SUMPRODUCT((M_BOM[RM_Code]=$A15)*M_BOM[RM_Qty_Per_Batch]*IFERROR(INDEX(PP_Grid[#Data],M_BOM[PPGridRow],63),0))</f>
        <v/>
      </c>
      <c r="BL15">
        <f>SUMPRODUCT((M_BOM[RM_Code]=$A15)*M_BOM[RM_Qty_Per_Batch]*IFERROR(INDEX(PP_Grid[#Data],M_BOM[PPGridRow],64),0))</f>
        <v/>
      </c>
      <c r="BM15">
        <f>SUMPRODUCT((M_BOM[RM_Code]=$A15)*M_BOM[RM_Qty_Per_Batch]*IFERROR(INDEX(PP_Grid[#Data],M_BOM[PPGridRow],65),0))</f>
        <v/>
      </c>
      <c r="BN15">
        <f>SUMPRODUCT((M_BOM[RM_Code]=$A15)*M_BOM[RM_Qty_Per_Batch]*IFERROR(INDEX(PP_Grid[#Data],M_BOM[PPGridRow],66),0))</f>
        <v/>
      </c>
      <c r="BO15">
        <f>SUMPRODUCT((M_BOM[RM_Code]=$A15)*M_BOM[RM_Qty_Per_Batch]*IFERROR(INDEX(PP_Grid[#Data],M_BOM[PPGridRow],67),0))</f>
        <v/>
      </c>
      <c r="BP15">
        <f>SUMPRODUCT((M_BOM[RM_Code]=$A15)*M_BOM[RM_Qty_Per_Batch]*IFERROR(INDEX(PP_Grid[#Data],M_BOM[PPGridRow],68),0))</f>
        <v/>
      </c>
      <c r="BQ15">
        <f>SUMPRODUCT((M_BOM[RM_Code]=$A15)*M_BOM[RM_Qty_Per_Batch]*IFERROR(INDEX(PP_Grid[#Data],M_BOM[PPGridRow],69),0))</f>
        <v/>
      </c>
      <c r="BR15">
        <f>SUMPRODUCT((M_BOM[RM_Code]=$A15)*M_BOM[RM_Qty_Per_Batch]*IFERROR(INDEX(PP_Grid[#Data],M_BOM[PPGridRow],70),0))</f>
        <v/>
      </c>
      <c r="BS15">
        <f>SUMPRODUCT((M_BOM[RM_Code]=$A15)*M_BOM[RM_Qty_Per_Batch]*IFERROR(INDEX(PP_Grid[#Data],M_BOM[PPGridRow],71),0))</f>
        <v/>
      </c>
      <c r="BT15">
        <f>SUMPRODUCT((M_BOM[RM_Code]=$A15)*M_BOM[RM_Qty_Per_Batch]*IFERROR(INDEX(PP_Grid[#Data],M_BOM[PPGridRow],72),0))</f>
        <v/>
      </c>
      <c r="BU15">
        <f>SUMPRODUCT((M_BOM[RM_Code]=$A15)*M_BOM[RM_Qty_Per_Batch]*IFERROR(INDEX(PP_Grid[#Data],M_BOM[PPGridRow],73),0))</f>
        <v/>
      </c>
      <c r="BV15">
        <f>SUMPRODUCT((M_BOM[RM_Code]=$A15)*M_BOM[RM_Qty_Per_Batch]*IFERROR(INDEX(PP_Grid[#Data],M_BOM[PPGridRow],74),0))</f>
        <v/>
      </c>
      <c r="BW15">
        <f>SUMPRODUCT((M_BOM[RM_Code]=$A15)*M_BOM[RM_Qty_Per_Batch]*IFERROR(INDEX(PP_Grid[#Data],M_BOM[PPGridRow],75),0))</f>
        <v/>
      </c>
      <c r="BX15">
        <f>SUMPRODUCT((M_BOM[RM_Code]=$A15)*M_BOM[RM_Qty_Per_Batch]*IFERROR(INDEX(PP_Grid[#Data],M_BOM[PPGridRow],76),0))</f>
        <v/>
      </c>
      <c r="BY15">
        <f>SUMPRODUCT((M_BOM[RM_Code]=$A15)*M_BOM[RM_Qty_Per_Batch]*IFERROR(INDEX(PP_Grid[#Data],M_BOM[PPGridRow],77),0))</f>
        <v/>
      </c>
      <c r="BZ15">
        <f>SUMPRODUCT((M_BOM[RM_Code]=$A15)*M_BOM[RM_Qty_Per_Batch]*IFERROR(INDEX(PP_Grid[#Data],M_BOM[PPGridRow],78),0))</f>
        <v/>
      </c>
      <c r="CA15">
        <f>SUMPRODUCT((M_BOM[RM_Code]=$A15)*M_BOM[RM_Qty_Per_Batch]*IFERROR(INDEX(PP_Grid[#Data],M_BOM[PPGridRow],79),0))</f>
        <v/>
      </c>
      <c r="CB15">
        <f>SUMPRODUCT((M_BOM[RM_Code]=$A15)*M_BOM[RM_Qty_Per_Batch]*IFERROR(INDEX(PP_Grid[#Data],M_BOM[PPGridRow],80),0))</f>
        <v/>
      </c>
      <c r="CC15">
        <f>SUMPRODUCT((M_BOM[RM_Code]=$A15)*M_BOM[RM_Qty_Per_Batch]*IFERROR(INDEX(PP_Grid[#Data],M_BOM[PPGridRow],81),0))</f>
        <v/>
      </c>
      <c r="CD15">
        <f>SUMPRODUCT((M_BOM[RM_Code]=$A15)*M_BOM[RM_Qty_Per_Batch]*IFERROR(INDEX(PP_Grid[#Data],M_BOM[PPGridRow],82),0))</f>
        <v/>
      </c>
      <c r="CE15">
        <f>SUMPRODUCT((M_BOM[RM_Code]=$A15)*M_BOM[RM_Qty_Per_Batch]*IFERROR(INDEX(PP_Grid[#Data],M_BOM[PPGridRow],83),0))</f>
        <v/>
      </c>
      <c r="CF15">
        <f>SUMPRODUCT((M_BOM[RM_Code]=$A15)*M_BOM[RM_Qty_Per_Batch]*IFERROR(INDEX(PP_Grid[#Data],M_BOM[PPGridRow],84),0))</f>
        <v/>
      </c>
      <c r="CG15">
        <f>SUMPRODUCT((M_BOM[RM_Code]=$A15)*M_BOM[RM_Qty_Per_Batch]*IFERROR(INDEX(PP_Grid[#Data],M_BOM[PPGridRow],85),0))</f>
        <v/>
      </c>
      <c r="CH15">
        <f>SUMPRODUCT((M_BOM[RM_Code]=$A15)*M_BOM[RM_Qty_Per_Batch]*IFERROR(INDEX(PP_Grid[#Data],M_BOM[PPGridRow],86),0))</f>
        <v/>
      </c>
      <c r="CI15">
        <f>SUMPRODUCT((M_BOM[RM_Code]=$A15)*M_BOM[RM_Qty_Per_Batch]*IFERROR(INDEX(PP_Grid[#Data],M_BOM[PPGridRow],87),0))</f>
        <v/>
      </c>
      <c r="CJ15">
        <f>SUMPRODUCT((M_BOM[RM_Code]=$A15)*M_BOM[RM_Qty_Per_Batch]*IFERROR(INDEX(PP_Grid[#Data],M_BOM[PPGridRow],88),0))</f>
        <v/>
      </c>
      <c r="CK15">
        <f>SUMPRODUCT((M_BOM[RM_Code]=$A15)*M_BOM[RM_Qty_Per_Batch]*IFERROR(INDEX(PP_Grid[#Data],M_BOM[PPGridRow],89),0))</f>
        <v/>
      </c>
      <c r="CL15">
        <f>SUMPRODUCT((M_BOM[RM_Code]=$A15)*M_BOM[RM_Qty_Per_Batch]*IFERROR(INDEX(PP_Grid[#Data],M_BOM[PPGridRow],90),0))</f>
        <v/>
      </c>
      <c r="CM15">
        <f>SUMPRODUCT((M_BOM[RM_Code]=$A15)*M_BOM[RM_Qty_Per_Batch]*IFERROR(INDEX(PP_Grid[#Data],M_BOM[PPGridRow],91),0))</f>
        <v/>
      </c>
      <c r="CN15">
        <f>SUMPRODUCT((M_BOM[RM_Code]=$A15)*M_BOM[RM_Qty_Per_Batch]*IFERROR(INDEX(PP_Grid[#Data],M_BOM[PPGridRow],92),0))</f>
        <v/>
      </c>
      <c r="CO15">
        <f>SUMPRODUCT((M_BOM[RM_Code]=$A15)*M_BOM[RM_Qty_Per_Batch]*IFERROR(INDEX(PP_Grid[#Data],M_BOM[PPGridRow],93),0))</f>
        <v/>
      </c>
      <c r="CP15">
        <f>SUMPRODUCT((M_BOM[RM_Code]=$A15)*M_BOM[RM_Qty_Per_Batch]*IFERROR(INDEX(PP_Grid[#Data],M_BOM[PPGridRow],94),0))</f>
        <v/>
      </c>
      <c r="CQ15">
        <f>SUMPRODUCT((M_BOM[RM_Code]=$A15)*M_BOM[RM_Qty_Per_Batch]*IFERROR(INDEX(PP_Grid[#Data],M_BOM[PPGridRow],95),0))</f>
        <v/>
      </c>
      <c r="CR15">
        <f>SUMPRODUCT((M_BOM[RM_Code]=$A15)*M_BOM[RM_Qty_Per_Batch]*IFERROR(INDEX(PP_Grid[#Data],M_BOM[PPGridRow],96),0))</f>
        <v/>
      </c>
      <c r="CS15">
        <f>SUMPRODUCT((M_BOM[RM_Code]=$A15)*M_BOM[RM_Qty_Per_Batch]*IFERROR(INDEX(PP_Grid[#Data],M_BOM[PPGridRow],97),0))</f>
        <v/>
      </c>
      <c r="CT15">
        <f>SUMPRODUCT((M_BOM[RM_Code]=$A15)*M_BOM[RM_Qty_Per_Batch]*IFERROR(INDEX(PP_Grid[#Data],M_BOM[PPGridRow],98),0))</f>
        <v/>
      </c>
      <c r="CU15">
        <f>SUMPRODUCT((M_BOM[RM_Code]=$A15)*M_BOM[RM_Qty_Per_Batch]*IFERROR(INDEX(PP_Grid[#Data],M_BOM[PPGridRow],99),0))</f>
        <v/>
      </c>
      <c r="CV15">
        <f>SUMPRODUCT((M_BOM[RM_Code]=$A15)*M_BOM[RM_Qty_Per_Batch]*IFERROR(INDEX(PP_Grid[#Data],M_BOM[PPGridRow],100),0))</f>
        <v/>
      </c>
      <c r="CW15">
        <f>SUMPRODUCT((M_BOM[RM_Code]=$A15)*M_BOM[RM_Qty_Per_Batch]*IFERROR(INDEX(PP_Grid[#Data],M_BOM[PPGridRow],101),0))</f>
        <v/>
      </c>
      <c r="CX15">
        <f>SUMPRODUCT((M_BOM[RM_Code]=$A15)*M_BOM[RM_Qty_Per_Batch]*IFERROR(INDEX(PP_Grid[#Data],M_BOM[PPGridRow],102),0))</f>
        <v/>
      </c>
      <c r="CY15">
        <f>SUMPRODUCT((M_BOM[RM_Code]=$A15)*M_BOM[RM_Qty_Per_Batch]*IFERROR(INDEX(PP_Grid[#Data],M_BOM[PPGridRow],103),0))</f>
        <v/>
      </c>
      <c r="CZ15">
        <f>SUMPRODUCT((M_BOM[RM_Code]=$A15)*M_BOM[RM_Qty_Per_Batch]*IFERROR(INDEX(PP_Grid[#Data],M_BOM[PPGridRow],104),0))</f>
        <v/>
      </c>
      <c r="DA15">
        <f>SUMPRODUCT((M_BOM[RM_Code]=$A15)*M_BOM[RM_Qty_Per_Batch]*IFERROR(INDEX(PP_Grid[#Data],M_BOM[PPGridRow],105),0))</f>
        <v/>
      </c>
    </row>
    <row r="16">
      <c r="A16" t="inlineStr">
        <is>
          <t>7EP</t>
        </is>
      </c>
      <c r="B16">
        <f>SUMPRODUCT((M_BOM[RM_Code]=$A16)*M_BOM[RM_Qty_Per_Batch]*IFERROR(INDEX(PP_Grid[#Data],M_BOM[PPGridRow],2),0))</f>
        <v/>
      </c>
      <c r="C16">
        <f>SUMPRODUCT((M_BOM[RM_Code]=$A16)*M_BOM[RM_Qty_Per_Batch]*IFERROR(INDEX(PP_Grid[#Data],M_BOM[PPGridRow],3),0))</f>
        <v/>
      </c>
      <c r="D16">
        <f>SUMPRODUCT((M_BOM[RM_Code]=$A16)*M_BOM[RM_Qty_Per_Batch]*IFERROR(INDEX(PP_Grid[#Data],M_BOM[PPGridRow],4),0))</f>
        <v/>
      </c>
      <c r="E16">
        <f>SUMPRODUCT((M_BOM[RM_Code]=$A16)*M_BOM[RM_Qty_Per_Batch]*IFERROR(INDEX(PP_Grid[#Data],M_BOM[PPGridRow],5),0))</f>
        <v/>
      </c>
      <c r="F16">
        <f>SUMPRODUCT((M_BOM[RM_Code]=$A16)*M_BOM[RM_Qty_Per_Batch]*IFERROR(INDEX(PP_Grid[#Data],M_BOM[PPGridRow],6),0))</f>
        <v/>
      </c>
      <c r="G16">
        <f>SUMPRODUCT((M_BOM[RM_Code]=$A16)*M_BOM[RM_Qty_Per_Batch]*IFERROR(INDEX(PP_Grid[#Data],M_BOM[PPGridRow],7),0))</f>
        <v/>
      </c>
      <c r="H16">
        <f>SUMPRODUCT((M_BOM[RM_Code]=$A16)*M_BOM[RM_Qty_Per_Batch]*IFERROR(INDEX(PP_Grid[#Data],M_BOM[PPGridRow],8),0))</f>
        <v/>
      </c>
      <c r="I16">
        <f>SUMPRODUCT((M_BOM[RM_Code]=$A16)*M_BOM[RM_Qty_Per_Batch]*IFERROR(INDEX(PP_Grid[#Data],M_BOM[PPGridRow],9),0))</f>
        <v/>
      </c>
      <c r="J16">
        <f>SUMPRODUCT((M_BOM[RM_Code]=$A16)*M_BOM[RM_Qty_Per_Batch]*IFERROR(INDEX(PP_Grid[#Data],M_BOM[PPGridRow],10),0))</f>
        <v/>
      </c>
      <c r="K16">
        <f>SUMPRODUCT((M_BOM[RM_Code]=$A16)*M_BOM[RM_Qty_Per_Batch]*IFERROR(INDEX(PP_Grid[#Data],M_BOM[PPGridRow],11),0))</f>
        <v/>
      </c>
      <c r="L16">
        <f>SUMPRODUCT((M_BOM[RM_Code]=$A16)*M_BOM[RM_Qty_Per_Batch]*IFERROR(INDEX(PP_Grid[#Data],M_BOM[PPGridRow],12),0))</f>
        <v/>
      </c>
      <c r="M16">
        <f>SUMPRODUCT((M_BOM[RM_Code]=$A16)*M_BOM[RM_Qty_Per_Batch]*IFERROR(INDEX(PP_Grid[#Data],M_BOM[PPGridRow],13),0))</f>
        <v/>
      </c>
      <c r="N16">
        <f>SUMPRODUCT((M_BOM[RM_Code]=$A16)*M_BOM[RM_Qty_Per_Batch]*IFERROR(INDEX(PP_Grid[#Data],M_BOM[PPGridRow],14),0))</f>
        <v/>
      </c>
      <c r="O16">
        <f>SUMPRODUCT((M_BOM[RM_Code]=$A16)*M_BOM[RM_Qty_Per_Batch]*IFERROR(INDEX(PP_Grid[#Data],M_BOM[PPGridRow],15),0))</f>
        <v/>
      </c>
      <c r="P16">
        <f>SUMPRODUCT((M_BOM[RM_Code]=$A16)*M_BOM[RM_Qty_Per_Batch]*IFERROR(INDEX(PP_Grid[#Data],M_BOM[PPGridRow],16),0))</f>
        <v/>
      </c>
      <c r="Q16">
        <f>SUMPRODUCT((M_BOM[RM_Code]=$A16)*M_BOM[RM_Qty_Per_Batch]*IFERROR(INDEX(PP_Grid[#Data],M_BOM[PPGridRow],17),0))</f>
        <v/>
      </c>
      <c r="R16">
        <f>SUMPRODUCT((M_BOM[RM_Code]=$A16)*M_BOM[RM_Qty_Per_Batch]*IFERROR(INDEX(PP_Grid[#Data],M_BOM[PPGridRow],18),0))</f>
        <v/>
      </c>
      <c r="S16">
        <f>SUMPRODUCT((M_BOM[RM_Code]=$A16)*M_BOM[RM_Qty_Per_Batch]*IFERROR(INDEX(PP_Grid[#Data],M_BOM[PPGridRow],19),0))</f>
        <v/>
      </c>
      <c r="T16">
        <f>SUMPRODUCT((M_BOM[RM_Code]=$A16)*M_BOM[RM_Qty_Per_Batch]*IFERROR(INDEX(PP_Grid[#Data],M_BOM[PPGridRow],20),0))</f>
        <v/>
      </c>
      <c r="U16">
        <f>SUMPRODUCT((M_BOM[RM_Code]=$A16)*M_BOM[RM_Qty_Per_Batch]*IFERROR(INDEX(PP_Grid[#Data],M_BOM[PPGridRow],21),0))</f>
        <v/>
      </c>
      <c r="V16">
        <f>SUMPRODUCT((M_BOM[RM_Code]=$A16)*M_BOM[RM_Qty_Per_Batch]*IFERROR(INDEX(PP_Grid[#Data],M_BOM[PPGridRow],22),0))</f>
        <v/>
      </c>
      <c r="W16">
        <f>SUMPRODUCT((M_BOM[RM_Code]=$A16)*M_BOM[RM_Qty_Per_Batch]*IFERROR(INDEX(PP_Grid[#Data],M_BOM[PPGridRow],23),0))</f>
        <v/>
      </c>
      <c r="X16">
        <f>SUMPRODUCT((M_BOM[RM_Code]=$A16)*M_BOM[RM_Qty_Per_Batch]*IFERROR(INDEX(PP_Grid[#Data],M_BOM[PPGridRow],24),0))</f>
        <v/>
      </c>
      <c r="Y16">
        <f>SUMPRODUCT((M_BOM[RM_Code]=$A16)*M_BOM[RM_Qty_Per_Batch]*IFERROR(INDEX(PP_Grid[#Data],M_BOM[PPGridRow],25),0))</f>
        <v/>
      </c>
      <c r="Z16">
        <f>SUMPRODUCT((M_BOM[RM_Code]=$A16)*M_BOM[RM_Qty_Per_Batch]*IFERROR(INDEX(PP_Grid[#Data],M_BOM[PPGridRow],26),0))</f>
        <v/>
      </c>
      <c r="AA16">
        <f>SUMPRODUCT((M_BOM[RM_Code]=$A16)*M_BOM[RM_Qty_Per_Batch]*IFERROR(INDEX(PP_Grid[#Data],M_BOM[PPGridRow],27),0))</f>
        <v/>
      </c>
      <c r="AB16">
        <f>SUMPRODUCT((M_BOM[RM_Code]=$A16)*M_BOM[RM_Qty_Per_Batch]*IFERROR(INDEX(PP_Grid[#Data],M_BOM[PPGridRow],28),0))</f>
        <v/>
      </c>
      <c r="AC16">
        <f>SUMPRODUCT((M_BOM[RM_Code]=$A16)*M_BOM[RM_Qty_Per_Batch]*IFERROR(INDEX(PP_Grid[#Data],M_BOM[PPGridRow],29),0))</f>
        <v/>
      </c>
      <c r="AD16">
        <f>SUMPRODUCT((M_BOM[RM_Code]=$A16)*M_BOM[RM_Qty_Per_Batch]*IFERROR(INDEX(PP_Grid[#Data],M_BOM[PPGridRow],30),0))</f>
        <v/>
      </c>
      <c r="AE16">
        <f>SUMPRODUCT((M_BOM[RM_Code]=$A16)*M_BOM[RM_Qty_Per_Batch]*IFERROR(INDEX(PP_Grid[#Data],M_BOM[PPGridRow],31),0))</f>
        <v/>
      </c>
      <c r="AF16">
        <f>SUMPRODUCT((M_BOM[RM_Code]=$A16)*M_BOM[RM_Qty_Per_Batch]*IFERROR(INDEX(PP_Grid[#Data],M_BOM[PPGridRow],32),0))</f>
        <v/>
      </c>
      <c r="AG16">
        <f>SUMPRODUCT((M_BOM[RM_Code]=$A16)*M_BOM[RM_Qty_Per_Batch]*IFERROR(INDEX(PP_Grid[#Data],M_BOM[PPGridRow],33),0))</f>
        <v/>
      </c>
      <c r="AH16">
        <f>SUMPRODUCT((M_BOM[RM_Code]=$A16)*M_BOM[RM_Qty_Per_Batch]*IFERROR(INDEX(PP_Grid[#Data],M_BOM[PPGridRow],34),0))</f>
        <v/>
      </c>
      <c r="AI16">
        <f>SUMPRODUCT((M_BOM[RM_Code]=$A16)*M_BOM[RM_Qty_Per_Batch]*IFERROR(INDEX(PP_Grid[#Data],M_BOM[PPGridRow],35),0))</f>
        <v/>
      </c>
      <c r="AJ16">
        <f>SUMPRODUCT((M_BOM[RM_Code]=$A16)*M_BOM[RM_Qty_Per_Batch]*IFERROR(INDEX(PP_Grid[#Data],M_BOM[PPGridRow],36),0))</f>
        <v/>
      </c>
      <c r="AK16">
        <f>SUMPRODUCT((M_BOM[RM_Code]=$A16)*M_BOM[RM_Qty_Per_Batch]*IFERROR(INDEX(PP_Grid[#Data],M_BOM[PPGridRow],37),0))</f>
        <v/>
      </c>
      <c r="AL16">
        <f>SUMPRODUCT((M_BOM[RM_Code]=$A16)*M_BOM[RM_Qty_Per_Batch]*IFERROR(INDEX(PP_Grid[#Data],M_BOM[PPGridRow],38),0))</f>
        <v/>
      </c>
      <c r="AM16">
        <f>SUMPRODUCT((M_BOM[RM_Code]=$A16)*M_BOM[RM_Qty_Per_Batch]*IFERROR(INDEX(PP_Grid[#Data],M_BOM[PPGridRow],39),0))</f>
        <v/>
      </c>
      <c r="AN16">
        <f>SUMPRODUCT((M_BOM[RM_Code]=$A16)*M_BOM[RM_Qty_Per_Batch]*IFERROR(INDEX(PP_Grid[#Data],M_BOM[PPGridRow],40),0))</f>
        <v/>
      </c>
      <c r="AO16">
        <f>SUMPRODUCT((M_BOM[RM_Code]=$A16)*M_BOM[RM_Qty_Per_Batch]*IFERROR(INDEX(PP_Grid[#Data],M_BOM[PPGridRow],41),0))</f>
        <v/>
      </c>
      <c r="AP16">
        <f>SUMPRODUCT((M_BOM[RM_Code]=$A16)*M_BOM[RM_Qty_Per_Batch]*IFERROR(INDEX(PP_Grid[#Data],M_BOM[PPGridRow],42),0))</f>
        <v/>
      </c>
      <c r="AQ16">
        <f>SUMPRODUCT((M_BOM[RM_Code]=$A16)*M_BOM[RM_Qty_Per_Batch]*IFERROR(INDEX(PP_Grid[#Data],M_BOM[PPGridRow],43),0))</f>
        <v/>
      </c>
      <c r="AR16">
        <f>SUMPRODUCT((M_BOM[RM_Code]=$A16)*M_BOM[RM_Qty_Per_Batch]*IFERROR(INDEX(PP_Grid[#Data],M_BOM[PPGridRow],44),0))</f>
        <v/>
      </c>
      <c r="AS16">
        <f>SUMPRODUCT((M_BOM[RM_Code]=$A16)*M_BOM[RM_Qty_Per_Batch]*IFERROR(INDEX(PP_Grid[#Data],M_BOM[PPGridRow],45),0))</f>
        <v/>
      </c>
      <c r="AT16">
        <f>SUMPRODUCT((M_BOM[RM_Code]=$A16)*M_BOM[RM_Qty_Per_Batch]*IFERROR(INDEX(PP_Grid[#Data],M_BOM[PPGridRow],46),0))</f>
        <v/>
      </c>
      <c r="AU16">
        <f>SUMPRODUCT((M_BOM[RM_Code]=$A16)*M_BOM[RM_Qty_Per_Batch]*IFERROR(INDEX(PP_Grid[#Data],M_BOM[PPGridRow],47),0))</f>
        <v/>
      </c>
      <c r="AV16">
        <f>SUMPRODUCT((M_BOM[RM_Code]=$A16)*M_BOM[RM_Qty_Per_Batch]*IFERROR(INDEX(PP_Grid[#Data],M_BOM[PPGridRow],48),0))</f>
        <v/>
      </c>
      <c r="AW16">
        <f>SUMPRODUCT((M_BOM[RM_Code]=$A16)*M_BOM[RM_Qty_Per_Batch]*IFERROR(INDEX(PP_Grid[#Data],M_BOM[PPGridRow],49),0))</f>
        <v/>
      </c>
      <c r="AX16">
        <f>SUMPRODUCT((M_BOM[RM_Code]=$A16)*M_BOM[RM_Qty_Per_Batch]*IFERROR(INDEX(PP_Grid[#Data],M_BOM[PPGridRow],50),0))</f>
        <v/>
      </c>
      <c r="AY16">
        <f>SUMPRODUCT((M_BOM[RM_Code]=$A16)*M_BOM[RM_Qty_Per_Batch]*IFERROR(INDEX(PP_Grid[#Data],M_BOM[PPGridRow],51),0))</f>
        <v/>
      </c>
      <c r="AZ16">
        <f>SUMPRODUCT((M_BOM[RM_Code]=$A16)*M_BOM[RM_Qty_Per_Batch]*IFERROR(INDEX(PP_Grid[#Data],M_BOM[PPGridRow],52),0))</f>
        <v/>
      </c>
      <c r="BA16">
        <f>SUMPRODUCT((M_BOM[RM_Code]=$A16)*M_BOM[RM_Qty_Per_Batch]*IFERROR(INDEX(PP_Grid[#Data],M_BOM[PPGridRow],53),0))</f>
        <v/>
      </c>
      <c r="BB16">
        <f>SUMPRODUCT((M_BOM[RM_Code]=$A16)*M_BOM[RM_Qty_Per_Batch]*IFERROR(INDEX(PP_Grid[#Data],M_BOM[PPGridRow],54),0))</f>
        <v/>
      </c>
      <c r="BC16">
        <f>SUMPRODUCT((M_BOM[RM_Code]=$A16)*M_BOM[RM_Qty_Per_Batch]*IFERROR(INDEX(PP_Grid[#Data],M_BOM[PPGridRow],55),0))</f>
        <v/>
      </c>
      <c r="BD16">
        <f>SUMPRODUCT((M_BOM[RM_Code]=$A16)*M_BOM[RM_Qty_Per_Batch]*IFERROR(INDEX(PP_Grid[#Data],M_BOM[PPGridRow],56),0))</f>
        <v/>
      </c>
      <c r="BE16">
        <f>SUMPRODUCT((M_BOM[RM_Code]=$A16)*M_BOM[RM_Qty_Per_Batch]*IFERROR(INDEX(PP_Grid[#Data],M_BOM[PPGridRow],57),0))</f>
        <v/>
      </c>
      <c r="BF16">
        <f>SUMPRODUCT((M_BOM[RM_Code]=$A16)*M_BOM[RM_Qty_Per_Batch]*IFERROR(INDEX(PP_Grid[#Data],M_BOM[PPGridRow],58),0))</f>
        <v/>
      </c>
      <c r="BG16">
        <f>SUMPRODUCT((M_BOM[RM_Code]=$A16)*M_BOM[RM_Qty_Per_Batch]*IFERROR(INDEX(PP_Grid[#Data],M_BOM[PPGridRow],59),0))</f>
        <v/>
      </c>
      <c r="BH16">
        <f>SUMPRODUCT((M_BOM[RM_Code]=$A16)*M_BOM[RM_Qty_Per_Batch]*IFERROR(INDEX(PP_Grid[#Data],M_BOM[PPGridRow],60),0))</f>
        <v/>
      </c>
      <c r="BI16">
        <f>SUMPRODUCT((M_BOM[RM_Code]=$A16)*M_BOM[RM_Qty_Per_Batch]*IFERROR(INDEX(PP_Grid[#Data],M_BOM[PPGridRow],61),0))</f>
        <v/>
      </c>
      <c r="BJ16">
        <f>SUMPRODUCT((M_BOM[RM_Code]=$A16)*M_BOM[RM_Qty_Per_Batch]*IFERROR(INDEX(PP_Grid[#Data],M_BOM[PPGridRow],62),0))</f>
        <v/>
      </c>
      <c r="BK16">
        <f>SUMPRODUCT((M_BOM[RM_Code]=$A16)*M_BOM[RM_Qty_Per_Batch]*IFERROR(INDEX(PP_Grid[#Data],M_BOM[PPGridRow],63),0))</f>
        <v/>
      </c>
      <c r="BL16">
        <f>SUMPRODUCT((M_BOM[RM_Code]=$A16)*M_BOM[RM_Qty_Per_Batch]*IFERROR(INDEX(PP_Grid[#Data],M_BOM[PPGridRow],64),0))</f>
        <v/>
      </c>
      <c r="BM16">
        <f>SUMPRODUCT((M_BOM[RM_Code]=$A16)*M_BOM[RM_Qty_Per_Batch]*IFERROR(INDEX(PP_Grid[#Data],M_BOM[PPGridRow],65),0))</f>
        <v/>
      </c>
      <c r="BN16">
        <f>SUMPRODUCT((M_BOM[RM_Code]=$A16)*M_BOM[RM_Qty_Per_Batch]*IFERROR(INDEX(PP_Grid[#Data],M_BOM[PPGridRow],66),0))</f>
        <v/>
      </c>
      <c r="BO16">
        <f>SUMPRODUCT((M_BOM[RM_Code]=$A16)*M_BOM[RM_Qty_Per_Batch]*IFERROR(INDEX(PP_Grid[#Data],M_BOM[PPGridRow],67),0))</f>
        <v/>
      </c>
      <c r="BP16">
        <f>SUMPRODUCT((M_BOM[RM_Code]=$A16)*M_BOM[RM_Qty_Per_Batch]*IFERROR(INDEX(PP_Grid[#Data],M_BOM[PPGridRow],68),0))</f>
        <v/>
      </c>
      <c r="BQ16">
        <f>SUMPRODUCT((M_BOM[RM_Code]=$A16)*M_BOM[RM_Qty_Per_Batch]*IFERROR(INDEX(PP_Grid[#Data],M_BOM[PPGridRow],69),0))</f>
        <v/>
      </c>
      <c r="BR16">
        <f>SUMPRODUCT((M_BOM[RM_Code]=$A16)*M_BOM[RM_Qty_Per_Batch]*IFERROR(INDEX(PP_Grid[#Data],M_BOM[PPGridRow],70),0))</f>
        <v/>
      </c>
      <c r="BS16">
        <f>SUMPRODUCT((M_BOM[RM_Code]=$A16)*M_BOM[RM_Qty_Per_Batch]*IFERROR(INDEX(PP_Grid[#Data],M_BOM[PPGridRow],71),0))</f>
        <v/>
      </c>
      <c r="BT16">
        <f>SUMPRODUCT((M_BOM[RM_Code]=$A16)*M_BOM[RM_Qty_Per_Batch]*IFERROR(INDEX(PP_Grid[#Data],M_BOM[PPGridRow],72),0))</f>
        <v/>
      </c>
      <c r="BU16">
        <f>SUMPRODUCT((M_BOM[RM_Code]=$A16)*M_BOM[RM_Qty_Per_Batch]*IFERROR(INDEX(PP_Grid[#Data],M_BOM[PPGridRow],73),0))</f>
        <v/>
      </c>
      <c r="BV16">
        <f>SUMPRODUCT((M_BOM[RM_Code]=$A16)*M_BOM[RM_Qty_Per_Batch]*IFERROR(INDEX(PP_Grid[#Data],M_BOM[PPGridRow],74),0))</f>
        <v/>
      </c>
      <c r="BW16">
        <f>SUMPRODUCT((M_BOM[RM_Code]=$A16)*M_BOM[RM_Qty_Per_Batch]*IFERROR(INDEX(PP_Grid[#Data],M_BOM[PPGridRow],75),0))</f>
        <v/>
      </c>
      <c r="BX16">
        <f>SUMPRODUCT((M_BOM[RM_Code]=$A16)*M_BOM[RM_Qty_Per_Batch]*IFERROR(INDEX(PP_Grid[#Data],M_BOM[PPGridRow],76),0))</f>
        <v/>
      </c>
      <c r="BY16">
        <f>SUMPRODUCT((M_BOM[RM_Code]=$A16)*M_BOM[RM_Qty_Per_Batch]*IFERROR(INDEX(PP_Grid[#Data],M_BOM[PPGridRow],77),0))</f>
        <v/>
      </c>
      <c r="BZ16">
        <f>SUMPRODUCT((M_BOM[RM_Code]=$A16)*M_BOM[RM_Qty_Per_Batch]*IFERROR(INDEX(PP_Grid[#Data],M_BOM[PPGridRow],78),0))</f>
        <v/>
      </c>
      <c r="CA16">
        <f>SUMPRODUCT((M_BOM[RM_Code]=$A16)*M_BOM[RM_Qty_Per_Batch]*IFERROR(INDEX(PP_Grid[#Data],M_BOM[PPGridRow],79),0))</f>
        <v/>
      </c>
      <c r="CB16">
        <f>SUMPRODUCT((M_BOM[RM_Code]=$A16)*M_BOM[RM_Qty_Per_Batch]*IFERROR(INDEX(PP_Grid[#Data],M_BOM[PPGridRow],80),0))</f>
        <v/>
      </c>
      <c r="CC16">
        <f>SUMPRODUCT((M_BOM[RM_Code]=$A16)*M_BOM[RM_Qty_Per_Batch]*IFERROR(INDEX(PP_Grid[#Data],M_BOM[PPGridRow],81),0))</f>
        <v/>
      </c>
      <c r="CD16">
        <f>SUMPRODUCT((M_BOM[RM_Code]=$A16)*M_BOM[RM_Qty_Per_Batch]*IFERROR(INDEX(PP_Grid[#Data],M_BOM[PPGridRow],82),0))</f>
        <v/>
      </c>
      <c r="CE16">
        <f>SUMPRODUCT((M_BOM[RM_Code]=$A16)*M_BOM[RM_Qty_Per_Batch]*IFERROR(INDEX(PP_Grid[#Data],M_BOM[PPGridRow],83),0))</f>
        <v/>
      </c>
      <c r="CF16">
        <f>SUMPRODUCT((M_BOM[RM_Code]=$A16)*M_BOM[RM_Qty_Per_Batch]*IFERROR(INDEX(PP_Grid[#Data],M_BOM[PPGridRow],84),0))</f>
        <v/>
      </c>
      <c r="CG16">
        <f>SUMPRODUCT((M_BOM[RM_Code]=$A16)*M_BOM[RM_Qty_Per_Batch]*IFERROR(INDEX(PP_Grid[#Data],M_BOM[PPGridRow],85),0))</f>
        <v/>
      </c>
      <c r="CH16">
        <f>SUMPRODUCT((M_BOM[RM_Code]=$A16)*M_BOM[RM_Qty_Per_Batch]*IFERROR(INDEX(PP_Grid[#Data],M_BOM[PPGridRow],86),0))</f>
        <v/>
      </c>
      <c r="CI16">
        <f>SUMPRODUCT((M_BOM[RM_Code]=$A16)*M_BOM[RM_Qty_Per_Batch]*IFERROR(INDEX(PP_Grid[#Data],M_BOM[PPGridRow],87),0))</f>
        <v/>
      </c>
      <c r="CJ16">
        <f>SUMPRODUCT((M_BOM[RM_Code]=$A16)*M_BOM[RM_Qty_Per_Batch]*IFERROR(INDEX(PP_Grid[#Data],M_BOM[PPGridRow],88),0))</f>
        <v/>
      </c>
      <c r="CK16">
        <f>SUMPRODUCT((M_BOM[RM_Code]=$A16)*M_BOM[RM_Qty_Per_Batch]*IFERROR(INDEX(PP_Grid[#Data],M_BOM[PPGridRow],89),0))</f>
        <v/>
      </c>
      <c r="CL16">
        <f>SUMPRODUCT((M_BOM[RM_Code]=$A16)*M_BOM[RM_Qty_Per_Batch]*IFERROR(INDEX(PP_Grid[#Data],M_BOM[PPGridRow],90),0))</f>
        <v/>
      </c>
      <c r="CM16">
        <f>SUMPRODUCT((M_BOM[RM_Code]=$A16)*M_BOM[RM_Qty_Per_Batch]*IFERROR(INDEX(PP_Grid[#Data],M_BOM[PPGridRow],91),0))</f>
        <v/>
      </c>
      <c r="CN16">
        <f>SUMPRODUCT((M_BOM[RM_Code]=$A16)*M_BOM[RM_Qty_Per_Batch]*IFERROR(INDEX(PP_Grid[#Data],M_BOM[PPGridRow],92),0))</f>
        <v/>
      </c>
      <c r="CO16">
        <f>SUMPRODUCT((M_BOM[RM_Code]=$A16)*M_BOM[RM_Qty_Per_Batch]*IFERROR(INDEX(PP_Grid[#Data],M_BOM[PPGridRow],93),0))</f>
        <v/>
      </c>
      <c r="CP16">
        <f>SUMPRODUCT((M_BOM[RM_Code]=$A16)*M_BOM[RM_Qty_Per_Batch]*IFERROR(INDEX(PP_Grid[#Data],M_BOM[PPGridRow],94),0))</f>
        <v/>
      </c>
      <c r="CQ16">
        <f>SUMPRODUCT((M_BOM[RM_Code]=$A16)*M_BOM[RM_Qty_Per_Batch]*IFERROR(INDEX(PP_Grid[#Data],M_BOM[PPGridRow],95),0))</f>
        <v/>
      </c>
      <c r="CR16">
        <f>SUMPRODUCT((M_BOM[RM_Code]=$A16)*M_BOM[RM_Qty_Per_Batch]*IFERROR(INDEX(PP_Grid[#Data],M_BOM[PPGridRow],96),0))</f>
        <v/>
      </c>
      <c r="CS16">
        <f>SUMPRODUCT((M_BOM[RM_Code]=$A16)*M_BOM[RM_Qty_Per_Batch]*IFERROR(INDEX(PP_Grid[#Data],M_BOM[PPGridRow],97),0))</f>
        <v/>
      </c>
      <c r="CT16">
        <f>SUMPRODUCT((M_BOM[RM_Code]=$A16)*M_BOM[RM_Qty_Per_Batch]*IFERROR(INDEX(PP_Grid[#Data],M_BOM[PPGridRow],98),0))</f>
        <v/>
      </c>
      <c r="CU16">
        <f>SUMPRODUCT((M_BOM[RM_Code]=$A16)*M_BOM[RM_Qty_Per_Batch]*IFERROR(INDEX(PP_Grid[#Data],M_BOM[PPGridRow],99),0))</f>
        <v/>
      </c>
      <c r="CV16">
        <f>SUMPRODUCT((M_BOM[RM_Code]=$A16)*M_BOM[RM_Qty_Per_Batch]*IFERROR(INDEX(PP_Grid[#Data],M_BOM[PPGridRow],100),0))</f>
        <v/>
      </c>
      <c r="CW16">
        <f>SUMPRODUCT((M_BOM[RM_Code]=$A16)*M_BOM[RM_Qty_Per_Batch]*IFERROR(INDEX(PP_Grid[#Data],M_BOM[PPGridRow],101),0))</f>
        <v/>
      </c>
      <c r="CX16">
        <f>SUMPRODUCT((M_BOM[RM_Code]=$A16)*M_BOM[RM_Qty_Per_Batch]*IFERROR(INDEX(PP_Grid[#Data],M_BOM[PPGridRow],102),0))</f>
        <v/>
      </c>
      <c r="CY16">
        <f>SUMPRODUCT((M_BOM[RM_Code]=$A16)*M_BOM[RM_Qty_Per_Batch]*IFERROR(INDEX(PP_Grid[#Data],M_BOM[PPGridRow],103),0))</f>
        <v/>
      </c>
      <c r="CZ16">
        <f>SUMPRODUCT((M_BOM[RM_Code]=$A16)*M_BOM[RM_Qty_Per_Batch]*IFERROR(INDEX(PP_Grid[#Data],M_BOM[PPGridRow],104),0))</f>
        <v/>
      </c>
      <c r="DA16">
        <f>SUMPRODUCT((M_BOM[RM_Code]=$A16)*M_BOM[RM_Qty_Per_Batch]*IFERROR(INDEX(PP_Grid[#Data],M_BOM[PPGridRow],105),0))</f>
        <v/>
      </c>
    </row>
    <row r="17">
      <c r="A17" t="inlineStr">
        <is>
          <t>F2290</t>
        </is>
      </c>
      <c r="B17">
        <f>SUMPRODUCT((M_BOM[RM_Code]=$A17)*M_BOM[RM_Qty_Per_Batch]*IFERROR(INDEX(PP_Grid[#Data],M_BOM[PPGridRow],2),0))</f>
        <v/>
      </c>
      <c r="C17">
        <f>SUMPRODUCT((M_BOM[RM_Code]=$A17)*M_BOM[RM_Qty_Per_Batch]*IFERROR(INDEX(PP_Grid[#Data],M_BOM[PPGridRow],3),0))</f>
        <v/>
      </c>
      <c r="D17">
        <f>SUMPRODUCT((M_BOM[RM_Code]=$A17)*M_BOM[RM_Qty_Per_Batch]*IFERROR(INDEX(PP_Grid[#Data],M_BOM[PPGridRow],4),0))</f>
        <v/>
      </c>
      <c r="E17">
        <f>SUMPRODUCT((M_BOM[RM_Code]=$A17)*M_BOM[RM_Qty_Per_Batch]*IFERROR(INDEX(PP_Grid[#Data],M_BOM[PPGridRow],5),0))</f>
        <v/>
      </c>
      <c r="F17">
        <f>SUMPRODUCT((M_BOM[RM_Code]=$A17)*M_BOM[RM_Qty_Per_Batch]*IFERROR(INDEX(PP_Grid[#Data],M_BOM[PPGridRow],6),0))</f>
        <v/>
      </c>
      <c r="G17">
        <f>SUMPRODUCT((M_BOM[RM_Code]=$A17)*M_BOM[RM_Qty_Per_Batch]*IFERROR(INDEX(PP_Grid[#Data],M_BOM[PPGridRow],7),0))</f>
        <v/>
      </c>
      <c r="H17">
        <f>SUMPRODUCT((M_BOM[RM_Code]=$A17)*M_BOM[RM_Qty_Per_Batch]*IFERROR(INDEX(PP_Grid[#Data],M_BOM[PPGridRow],8),0))</f>
        <v/>
      </c>
      <c r="I17">
        <f>SUMPRODUCT((M_BOM[RM_Code]=$A17)*M_BOM[RM_Qty_Per_Batch]*IFERROR(INDEX(PP_Grid[#Data],M_BOM[PPGridRow],9),0))</f>
        <v/>
      </c>
      <c r="J17">
        <f>SUMPRODUCT((M_BOM[RM_Code]=$A17)*M_BOM[RM_Qty_Per_Batch]*IFERROR(INDEX(PP_Grid[#Data],M_BOM[PPGridRow],10),0))</f>
        <v/>
      </c>
      <c r="K17">
        <f>SUMPRODUCT((M_BOM[RM_Code]=$A17)*M_BOM[RM_Qty_Per_Batch]*IFERROR(INDEX(PP_Grid[#Data],M_BOM[PPGridRow],11),0))</f>
        <v/>
      </c>
      <c r="L17">
        <f>SUMPRODUCT((M_BOM[RM_Code]=$A17)*M_BOM[RM_Qty_Per_Batch]*IFERROR(INDEX(PP_Grid[#Data],M_BOM[PPGridRow],12),0))</f>
        <v/>
      </c>
      <c r="M17">
        <f>SUMPRODUCT((M_BOM[RM_Code]=$A17)*M_BOM[RM_Qty_Per_Batch]*IFERROR(INDEX(PP_Grid[#Data],M_BOM[PPGridRow],13),0))</f>
        <v/>
      </c>
      <c r="N17">
        <f>SUMPRODUCT((M_BOM[RM_Code]=$A17)*M_BOM[RM_Qty_Per_Batch]*IFERROR(INDEX(PP_Grid[#Data],M_BOM[PPGridRow],14),0))</f>
        <v/>
      </c>
      <c r="O17">
        <f>SUMPRODUCT((M_BOM[RM_Code]=$A17)*M_BOM[RM_Qty_Per_Batch]*IFERROR(INDEX(PP_Grid[#Data],M_BOM[PPGridRow],15),0))</f>
        <v/>
      </c>
      <c r="P17">
        <f>SUMPRODUCT((M_BOM[RM_Code]=$A17)*M_BOM[RM_Qty_Per_Batch]*IFERROR(INDEX(PP_Grid[#Data],M_BOM[PPGridRow],16),0))</f>
        <v/>
      </c>
      <c r="Q17">
        <f>SUMPRODUCT((M_BOM[RM_Code]=$A17)*M_BOM[RM_Qty_Per_Batch]*IFERROR(INDEX(PP_Grid[#Data],M_BOM[PPGridRow],17),0))</f>
        <v/>
      </c>
      <c r="R17">
        <f>SUMPRODUCT((M_BOM[RM_Code]=$A17)*M_BOM[RM_Qty_Per_Batch]*IFERROR(INDEX(PP_Grid[#Data],M_BOM[PPGridRow],18),0))</f>
        <v/>
      </c>
      <c r="S17">
        <f>SUMPRODUCT((M_BOM[RM_Code]=$A17)*M_BOM[RM_Qty_Per_Batch]*IFERROR(INDEX(PP_Grid[#Data],M_BOM[PPGridRow],19),0))</f>
        <v/>
      </c>
      <c r="T17">
        <f>SUMPRODUCT((M_BOM[RM_Code]=$A17)*M_BOM[RM_Qty_Per_Batch]*IFERROR(INDEX(PP_Grid[#Data],M_BOM[PPGridRow],20),0))</f>
        <v/>
      </c>
      <c r="U17">
        <f>SUMPRODUCT((M_BOM[RM_Code]=$A17)*M_BOM[RM_Qty_Per_Batch]*IFERROR(INDEX(PP_Grid[#Data],M_BOM[PPGridRow],21),0))</f>
        <v/>
      </c>
      <c r="V17">
        <f>SUMPRODUCT((M_BOM[RM_Code]=$A17)*M_BOM[RM_Qty_Per_Batch]*IFERROR(INDEX(PP_Grid[#Data],M_BOM[PPGridRow],22),0))</f>
        <v/>
      </c>
      <c r="W17">
        <f>SUMPRODUCT((M_BOM[RM_Code]=$A17)*M_BOM[RM_Qty_Per_Batch]*IFERROR(INDEX(PP_Grid[#Data],M_BOM[PPGridRow],23),0))</f>
        <v/>
      </c>
      <c r="X17">
        <f>SUMPRODUCT((M_BOM[RM_Code]=$A17)*M_BOM[RM_Qty_Per_Batch]*IFERROR(INDEX(PP_Grid[#Data],M_BOM[PPGridRow],24),0))</f>
        <v/>
      </c>
      <c r="Y17">
        <f>SUMPRODUCT((M_BOM[RM_Code]=$A17)*M_BOM[RM_Qty_Per_Batch]*IFERROR(INDEX(PP_Grid[#Data],M_BOM[PPGridRow],25),0))</f>
        <v/>
      </c>
      <c r="Z17">
        <f>SUMPRODUCT((M_BOM[RM_Code]=$A17)*M_BOM[RM_Qty_Per_Batch]*IFERROR(INDEX(PP_Grid[#Data],M_BOM[PPGridRow],26),0))</f>
        <v/>
      </c>
      <c r="AA17">
        <f>SUMPRODUCT((M_BOM[RM_Code]=$A17)*M_BOM[RM_Qty_Per_Batch]*IFERROR(INDEX(PP_Grid[#Data],M_BOM[PPGridRow],27),0))</f>
        <v/>
      </c>
      <c r="AB17">
        <f>SUMPRODUCT((M_BOM[RM_Code]=$A17)*M_BOM[RM_Qty_Per_Batch]*IFERROR(INDEX(PP_Grid[#Data],M_BOM[PPGridRow],28),0))</f>
        <v/>
      </c>
      <c r="AC17">
        <f>SUMPRODUCT((M_BOM[RM_Code]=$A17)*M_BOM[RM_Qty_Per_Batch]*IFERROR(INDEX(PP_Grid[#Data],M_BOM[PPGridRow],29),0))</f>
        <v/>
      </c>
      <c r="AD17">
        <f>SUMPRODUCT((M_BOM[RM_Code]=$A17)*M_BOM[RM_Qty_Per_Batch]*IFERROR(INDEX(PP_Grid[#Data],M_BOM[PPGridRow],30),0))</f>
        <v/>
      </c>
      <c r="AE17">
        <f>SUMPRODUCT((M_BOM[RM_Code]=$A17)*M_BOM[RM_Qty_Per_Batch]*IFERROR(INDEX(PP_Grid[#Data],M_BOM[PPGridRow],31),0))</f>
        <v/>
      </c>
      <c r="AF17">
        <f>SUMPRODUCT((M_BOM[RM_Code]=$A17)*M_BOM[RM_Qty_Per_Batch]*IFERROR(INDEX(PP_Grid[#Data],M_BOM[PPGridRow],32),0))</f>
        <v/>
      </c>
      <c r="AG17">
        <f>SUMPRODUCT((M_BOM[RM_Code]=$A17)*M_BOM[RM_Qty_Per_Batch]*IFERROR(INDEX(PP_Grid[#Data],M_BOM[PPGridRow],33),0))</f>
        <v/>
      </c>
      <c r="AH17">
        <f>SUMPRODUCT((M_BOM[RM_Code]=$A17)*M_BOM[RM_Qty_Per_Batch]*IFERROR(INDEX(PP_Grid[#Data],M_BOM[PPGridRow],34),0))</f>
        <v/>
      </c>
      <c r="AI17">
        <f>SUMPRODUCT((M_BOM[RM_Code]=$A17)*M_BOM[RM_Qty_Per_Batch]*IFERROR(INDEX(PP_Grid[#Data],M_BOM[PPGridRow],35),0))</f>
        <v/>
      </c>
      <c r="AJ17">
        <f>SUMPRODUCT((M_BOM[RM_Code]=$A17)*M_BOM[RM_Qty_Per_Batch]*IFERROR(INDEX(PP_Grid[#Data],M_BOM[PPGridRow],36),0))</f>
        <v/>
      </c>
      <c r="AK17">
        <f>SUMPRODUCT((M_BOM[RM_Code]=$A17)*M_BOM[RM_Qty_Per_Batch]*IFERROR(INDEX(PP_Grid[#Data],M_BOM[PPGridRow],37),0))</f>
        <v/>
      </c>
      <c r="AL17">
        <f>SUMPRODUCT((M_BOM[RM_Code]=$A17)*M_BOM[RM_Qty_Per_Batch]*IFERROR(INDEX(PP_Grid[#Data],M_BOM[PPGridRow],38),0))</f>
        <v/>
      </c>
      <c r="AM17">
        <f>SUMPRODUCT((M_BOM[RM_Code]=$A17)*M_BOM[RM_Qty_Per_Batch]*IFERROR(INDEX(PP_Grid[#Data],M_BOM[PPGridRow],39),0))</f>
        <v/>
      </c>
      <c r="AN17">
        <f>SUMPRODUCT((M_BOM[RM_Code]=$A17)*M_BOM[RM_Qty_Per_Batch]*IFERROR(INDEX(PP_Grid[#Data],M_BOM[PPGridRow],40),0))</f>
        <v/>
      </c>
      <c r="AO17">
        <f>SUMPRODUCT((M_BOM[RM_Code]=$A17)*M_BOM[RM_Qty_Per_Batch]*IFERROR(INDEX(PP_Grid[#Data],M_BOM[PPGridRow],41),0))</f>
        <v/>
      </c>
      <c r="AP17">
        <f>SUMPRODUCT((M_BOM[RM_Code]=$A17)*M_BOM[RM_Qty_Per_Batch]*IFERROR(INDEX(PP_Grid[#Data],M_BOM[PPGridRow],42),0))</f>
        <v/>
      </c>
      <c r="AQ17">
        <f>SUMPRODUCT((M_BOM[RM_Code]=$A17)*M_BOM[RM_Qty_Per_Batch]*IFERROR(INDEX(PP_Grid[#Data],M_BOM[PPGridRow],43),0))</f>
        <v/>
      </c>
      <c r="AR17">
        <f>SUMPRODUCT((M_BOM[RM_Code]=$A17)*M_BOM[RM_Qty_Per_Batch]*IFERROR(INDEX(PP_Grid[#Data],M_BOM[PPGridRow],44),0))</f>
        <v/>
      </c>
      <c r="AS17">
        <f>SUMPRODUCT((M_BOM[RM_Code]=$A17)*M_BOM[RM_Qty_Per_Batch]*IFERROR(INDEX(PP_Grid[#Data],M_BOM[PPGridRow],45),0))</f>
        <v/>
      </c>
      <c r="AT17">
        <f>SUMPRODUCT((M_BOM[RM_Code]=$A17)*M_BOM[RM_Qty_Per_Batch]*IFERROR(INDEX(PP_Grid[#Data],M_BOM[PPGridRow],46),0))</f>
        <v/>
      </c>
      <c r="AU17">
        <f>SUMPRODUCT((M_BOM[RM_Code]=$A17)*M_BOM[RM_Qty_Per_Batch]*IFERROR(INDEX(PP_Grid[#Data],M_BOM[PPGridRow],47),0))</f>
        <v/>
      </c>
      <c r="AV17">
        <f>SUMPRODUCT((M_BOM[RM_Code]=$A17)*M_BOM[RM_Qty_Per_Batch]*IFERROR(INDEX(PP_Grid[#Data],M_BOM[PPGridRow],48),0))</f>
        <v/>
      </c>
      <c r="AW17">
        <f>SUMPRODUCT((M_BOM[RM_Code]=$A17)*M_BOM[RM_Qty_Per_Batch]*IFERROR(INDEX(PP_Grid[#Data],M_BOM[PPGridRow],49),0))</f>
        <v/>
      </c>
      <c r="AX17">
        <f>SUMPRODUCT((M_BOM[RM_Code]=$A17)*M_BOM[RM_Qty_Per_Batch]*IFERROR(INDEX(PP_Grid[#Data],M_BOM[PPGridRow],50),0))</f>
        <v/>
      </c>
      <c r="AY17">
        <f>SUMPRODUCT((M_BOM[RM_Code]=$A17)*M_BOM[RM_Qty_Per_Batch]*IFERROR(INDEX(PP_Grid[#Data],M_BOM[PPGridRow],51),0))</f>
        <v/>
      </c>
      <c r="AZ17">
        <f>SUMPRODUCT((M_BOM[RM_Code]=$A17)*M_BOM[RM_Qty_Per_Batch]*IFERROR(INDEX(PP_Grid[#Data],M_BOM[PPGridRow],52),0))</f>
        <v/>
      </c>
      <c r="BA17">
        <f>SUMPRODUCT((M_BOM[RM_Code]=$A17)*M_BOM[RM_Qty_Per_Batch]*IFERROR(INDEX(PP_Grid[#Data],M_BOM[PPGridRow],53),0))</f>
        <v/>
      </c>
      <c r="BB17">
        <f>SUMPRODUCT((M_BOM[RM_Code]=$A17)*M_BOM[RM_Qty_Per_Batch]*IFERROR(INDEX(PP_Grid[#Data],M_BOM[PPGridRow],54),0))</f>
        <v/>
      </c>
      <c r="BC17">
        <f>SUMPRODUCT((M_BOM[RM_Code]=$A17)*M_BOM[RM_Qty_Per_Batch]*IFERROR(INDEX(PP_Grid[#Data],M_BOM[PPGridRow],55),0))</f>
        <v/>
      </c>
      <c r="BD17">
        <f>SUMPRODUCT((M_BOM[RM_Code]=$A17)*M_BOM[RM_Qty_Per_Batch]*IFERROR(INDEX(PP_Grid[#Data],M_BOM[PPGridRow],56),0))</f>
        <v/>
      </c>
      <c r="BE17">
        <f>SUMPRODUCT((M_BOM[RM_Code]=$A17)*M_BOM[RM_Qty_Per_Batch]*IFERROR(INDEX(PP_Grid[#Data],M_BOM[PPGridRow],57),0))</f>
        <v/>
      </c>
      <c r="BF17">
        <f>SUMPRODUCT((M_BOM[RM_Code]=$A17)*M_BOM[RM_Qty_Per_Batch]*IFERROR(INDEX(PP_Grid[#Data],M_BOM[PPGridRow],58),0))</f>
        <v/>
      </c>
      <c r="BG17">
        <f>SUMPRODUCT((M_BOM[RM_Code]=$A17)*M_BOM[RM_Qty_Per_Batch]*IFERROR(INDEX(PP_Grid[#Data],M_BOM[PPGridRow],59),0))</f>
        <v/>
      </c>
      <c r="BH17">
        <f>SUMPRODUCT((M_BOM[RM_Code]=$A17)*M_BOM[RM_Qty_Per_Batch]*IFERROR(INDEX(PP_Grid[#Data],M_BOM[PPGridRow],60),0))</f>
        <v/>
      </c>
      <c r="BI17">
        <f>SUMPRODUCT((M_BOM[RM_Code]=$A17)*M_BOM[RM_Qty_Per_Batch]*IFERROR(INDEX(PP_Grid[#Data],M_BOM[PPGridRow],61),0))</f>
        <v/>
      </c>
      <c r="BJ17">
        <f>SUMPRODUCT((M_BOM[RM_Code]=$A17)*M_BOM[RM_Qty_Per_Batch]*IFERROR(INDEX(PP_Grid[#Data],M_BOM[PPGridRow],62),0))</f>
        <v/>
      </c>
      <c r="BK17">
        <f>SUMPRODUCT((M_BOM[RM_Code]=$A17)*M_BOM[RM_Qty_Per_Batch]*IFERROR(INDEX(PP_Grid[#Data],M_BOM[PPGridRow],63),0))</f>
        <v/>
      </c>
      <c r="BL17">
        <f>SUMPRODUCT((M_BOM[RM_Code]=$A17)*M_BOM[RM_Qty_Per_Batch]*IFERROR(INDEX(PP_Grid[#Data],M_BOM[PPGridRow],64),0))</f>
        <v/>
      </c>
      <c r="BM17">
        <f>SUMPRODUCT((M_BOM[RM_Code]=$A17)*M_BOM[RM_Qty_Per_Batch]*IFERROR(INDEX(PP_Grid[#Data],M_BOM[PPGridRow],65),0))</f>
        <v/>
      </c>
      <c r="BN17">
        <f>SUMPRODUCT((M_BOM[RM_Code]=$A17)*M_BOM[RM_Qty_Per_Batch]*IFERROR(INDEX(PP_Grid[#Data],M_BOM[PPGridRow],66),0))</f>
        <v/>
      </c>
      <c r="BO17">
        <f>SUMPRODUCT((M_BOM[RM_Code]=$A17)*M_BOM[RM_Qty_Per_Batch]*IFERROR(INDEX(PP_Grid[#Data],M_BOM[PPGridRow],67),0))</f>
        <v/>
      </c>
      <c r="BP17">
        <f>SUMPRODUCT((M_BOM[RM_Code]=$A17)*M_BOM[RM_Qty_Per_Batch]*IFERROR(INDEX(PP_Grid[#Data],M_BOM[PPGridRow],68),0))</f>
        <v/>
      </c>
      <c r="BQ17">
        <f>SUMPRODUCT((M_BOM[RM_Code]=$A17)*M_BOM[RM_Qty_Per_Batch]*IFERROR(INDEX(PP_Grid[#Data],M_BOM[PPGridRow],69),0))</f>
        <v/>
      </c>
      <c r="BR17">
        <f>SUMPRODUCT((M_BOM[RM_Code]=$A17)*M_BOM[RM_Qty_Per_Batch]*IFERROR(INDEX(PP_Grid[#Data],M_BOM[PPGridRow],70),0))</f>
        <v/>
      </c>
      <c r="BS17">
        <f>SUMPRODUCT((M_BOM[RM_Code]=$A17)*M_BOM[RM_Qty_Per_Batch]*IFERROR(INDEX(PP_Grid[#Data],M_BOM[PPGridRow],71),0))</f>
        <v/>
      </c>
      <c r="BT17">
        <f>SUMPRODUCT((M_BOM[RM_Code]=$A17)*M_BOM[RM_Qty_Per_Batch]*IFERROR(INDEX(PP_Grid[#Data],M_BOM[PPGridRow],72),0))</f>
        <v/>
      </c>
      <c r="BU17">
        <f>SUMPRODUCT((M_BOM[RM_Code]=$A17)*M_BOM[RM_Qty_Per_Batch]*IFERROR(INDEX(PP_Grid[#Data],M_BOM[PPGridRow],73),0))</f>
        <v/>
      </c>
      <c r="BV17">
        <f>SUMPRODUCT((M_BOM[RM_Code]=$A17)*M_BOM[RM_Qty_Per_Batch]*IFERROR(INDEX(PP_Grid[#Data],M_BOM[PPGridRow],74),0))</f>
        <v/>
      </c>
      <c r="BW17">
        <f>SUMPRODUCT((M_BOM[RM_Code]=$A17)*M_BOM[RM_Qty_Per_Batch]*IFERROR(INDEX(PP_Grid[#Data],M_BOM[PPGridRow],75),0))</f>
        <v/>
      </c>
      <c r="BX17">
        <f>SUMPRODUCT((M_BOM[RM_Code]=$A17)*M_BOM[RM_Qty_Per_Batch]*IFERROR(INDEX(PP_Grid[#Data],M_BOM[PPGridRow],76),0))</f>
        <v/>
      </c>
      <c r="BY17">
        <f>SUMPRODUCT((M_BOM[RM_Code]=$A17)*M_BOM[RM_Qty_Per_Batch]*IFERROR(INDEX(PP_Grid[#Data],M_BOM[PPGridRow],77),0))</f>
        <v/>
      </c>
      <c r="BZ17">
        <f>SUMPRODUCT((M_BOM[RM_Code]=$A17)*M_BOM[RM_Qty_Per_Batch]*IFERROR(INDEX(PP_Grid[#Data],M_BOM[PPGridRow],78),0))</f>
        <v/>
      </c>
      <c r="CA17">
        <f>SUMPRODUCT((M_BOM[RM_Code]=$A17)*M_BOM[RM_Qty_Per_Batch]*IFERROR(INDEX(PP_Grid[#Data],M_BOM[PPGridRow],79),0))</f>
        <v/>
      </c>
      <c r="CB17">
        <f>SUMPRODUCT((M_BOM[RM_Code]=$A17)*M_BOM[RM_Qty_Per_Batch]*IFERROR(INDEX(PP_Grid[#Data],M_BOM[PPGridRow],80),0))</f>
        <v/>
      </c>
      <c r="CC17">
        <f>SUMPRODUCT((M_BOM[RM_Code]=$A17)*M_BOM[RM_Qty_Per_Batch]*IFERROR(INDEX(PP_Grid[#Data],M_BOM[PPGridRow],81),0))</f>
        <v/>
      </c>
      <c r="CD17">
        <f>SUMPRODUCT((M_BOM[RM_Code]=$A17)*M_BOM[RM_Qty_Per_Batch]*IFERROR(INDEX(PP_Grid[#Data],M_BOM[PPGridRow],82),0))</f>
        <v/>
      </c>
      <c r="CE17">
        <f>SUMPRODUCT((M_BOM[RM_Code]=$A17)*M_BOM[RM_Qty_Per_Batch]*IFERROR(INDEX(PP_Grid[#Data],M_BOM[PPGridRow],83),0))</f>
        <v/>
      </c>
      <c r="CF17">
        <f>SUMPRODUCT((M_BOM[RM_Code]=$A17)*M_BOM[RM_Qty_Per_Batch]*IFERROR(INDEX(PP_Grid[#Data],M_BOM[PPGridRow],84),0))</f>
        <v/>
      </c>
      <c r="CG17">
        <f>SUMPRODUCT((M_BOM[RM_Code]=$A17)*M_BOM[RM_Qty_Per_Batch]*IFERROR(INDEX(PP_Grid[#Data],M_BOM[PPGridRow],85),0))</f>
        <v/>
      </c>
      <c r="CH17">
        <f>SUMPRODUCT((M_BOM[RM_Code]=$A17)*M_BOM[RM_Qty_Per_Batch]*IFERROR(INDEX(PP_Grid[#Data],M_BOM[PPGridRow],86),0))</f>
        <v/>
      </c>
      <c r="CI17">
        <f>SUMPRODUCT((M_BOM[RM_Code]=$A17)*M_BOM[RM_Qty_Per_Batch]*IFERROR(INDEX(PP_Grid[#Data],M_BOM[PPGridRow],87),0))</f>
        <v/>
      </c>
      <c r="CJ17">
        <f>SUMPRODUCT((M_BOM[RM_Code]=$A17)*M_BOM[RM_Qty_Per_Batch]*IFERROR(INDEX(PP_Grid[#Data],M_BOM[PPGridRow],88),0))</f>
        <v/>
      </c>
      <c r="CK17">
        <f>SUMPRODUCT((M_BOM[RM_Code]=$A17)*M_BOM[RM_Qty_Per_Batch]*IFERROR(INDEX(PP_Grid[#Data],M_BOM[PPGridRow],89),0))</f>
        <v/>
      </c>
      <c r="CL17">
        <f>SUMPRODUCT((M_BOM[RM_Code]=$A17)*M_BOM[RM_Qty_Per_Batch]*IFERROR(INDEX(PP_Grid[#Data],M_BOM[PPGridRow],90),0))</f>
        <v/>
      </c>
      <c r="CM17">
        <f>SUMPRODUCT((M_BOM[RM_Code]=$A17)*M_BOM[RM_Qty_Per_Batch]*IFERROR(INDEX(PP_Grid[#Data],M_BOM[PPGridRow],91),0))</f>
        <v/>
      </c>
      <c r="CN17">
        <f>SUMPRODUCT((M_BOM[RM_Code]=$A17)*M_BOM[RM_Qty_Per_Batch]*IFERROR(INDEX(PP_Grid[#Data],M_BOM[PPGridRow],92),0))</f>
        <v/>
      </c>
      <c r="CO17">
        <f>SUMPRODUCT((M_BOM[RM_Code]=$A17)*M_BOM[RM_Qty_Per_Batch]*IFERROR(INDEX(PP_Grid[#Data],M_BOM[PPGridRow],93),0))</f>
        <v/>
      </c>
      <c r="CP17">
        <f>SUMPRODUCT((M_BOM[RM_Code]=$A17)*M_BOM[RM_Qty_Per_Batch]*IFERROR(INDEX(PP_Grid[#Data],M_BOM[PPGridRow],94),0))</f>
        <v/>
      </c>
      <c r="CQ17">
        <f>SUMPRODUCT((M_BOM[RM_Code]=$A17)*M_BOM[RM_Qty_Per_Batch]*IFERROR(INDEX(PP_Grid[#Data],M_BOM[PPGridRow],95),0))</f>
        <v/>
      </c>
      <c r="CR17">
        <f>SUMPRODUCT((M_BOM[RM_Code]=$A17)*M_BOM[RM_Qty_Per_Batch]*IFERROR(INDEX(PP_Grid[#Data],M_BOM[PPGridRow],96),0))</f>
        <v/>
      </c>
      <c r="CS17">
        <f>SUMPRODUCT((M_BOM[RM_Code]=$A17)*M_BOM[RM_Qty_Per_Batch]*IFERROR(INDEX(PP_Grid[#Data],M_BOM[PPGridRow],97),0))</f>
        <v/>
      </c>
      <c r="CT17">
        <f>SUMPRODUCT((M_BOM[RM_Code]=$A17)*M_BOM[RM_Qty_Per_Batch]*IFERROR(INDEX(PP_Grid[#Data],M_BOM[PPGridRow],98),0))</f>
        <v/>
      </c>
      <c r="CU17">
        <f>SUMPRODUCT((M_BOM[RM_Code]=$A17)*M_BOM[RM_Qty_Per_Batch]*IFERROR(INDEX(PP_Grid[#Data],M_BOM[PPGridRow],99),0))</f>
        <v/>
      </c>
      <c r="CV17">
        <f>SUMPRODUCT((M_BOM[RM_Code]=$A17)*M_BOM[RM_Qty_Per_Batch]*IFERROR(INDEX(PP_Grid[#Data],M_BOM[PPGridRow],100),0))</f>
        <v/>
      </c>
      <c r="CW17">
        <f>SUMPRODUCT((M_BOM[RM_Code]=$A17)*M_BOM[RM_Qty_Per_Batch]*IFERROR(INDEX(PP_Grid[#Data],M_BOM[PPGridRow],101),0))</f>
        <v/>
      </c>
      <c r="CX17">
        <f>SUMPRODUCT((M_BOM[RM_Code]=$A17)*M_BOM[RM_Qty_Per_Batch]*IFERROR(INDEX(PP_Grid[#Data],M_BOM[PPGridRow],102),0))</f>
        <v/>
      </c>
      <c r="CY17">
        <f>SUMPRODUCT((M_BOM[RM_Code]=$A17)*M_BOM[RM_Qty_Per_Batch]*IFERROR(INDEX(PP_Grid[#Data],M_BOM[PPGridRow],103),0))</f>
        <v/>
      </c>
      <c r="CZ17">
        <f>SUMPRODUCT((M_BOM[RM_Code]=$A17)*M_BOM[RM_Qty_Per_Batch]*IFERROR(INDEX(PP_Grid[#Data],M_BOM[PPGridRow],104),0))</f>
        <v/>
      </c>
      <c r="DA17">
        <f>SUMPRODUCT((M_BOM[RM_Code]=$A17)*M_BOM[RM_Qty_Per_Batch]*IFERROR(INDEX(PP_Grid[#Data],M_BOM[PPGridRow],105),0))</f>
        <v/>
      </c>
    </row>
    <row r="18">
      <c r="A18" t="inlineStr">
        <is>
          <t>CHEM-1400</t>
        </is>
      </c>
      <c r="B18">
        <f>SUMPRODUCT((M_BOM[RM_Code]=$A18)*M_BOM[RM_Qty_Per_Batch]*IFERROR(INDEX(PP_Grid[#Data],M_BOM[PPGridRow],2),0))</f>
        <v/>
      </c>
      <c r="C18">
        <f>SUMPRODUCT((M_BOM[RM_Code]=$A18)*M_BOM[RM_Qty_Per_Batch]*IFERROR(INDEX(PP_Grid[#Data],M_BOM[PPGridRow],3),0))</f>
        <v/>
      </c>
      <c r="D18">
        <f>SUMPRODUCT((M_BOM[RM_Code]=$A18)*M_BOM[RM_Qty_Per_Batch]*IFERROR(INDEX(PP_Grid[#Data],M_BOM[PPGridRow],4),0))</f>
        <v/>
      </c>
      <c r="E18">
        <f>SUMPRODUCT((M_BOM[RM_Code]=$A18)*M_BOM[RM_Qty_Per_Batch]*IFERROR(INDEX(PP_Grid[#Data],M_BOM[PPGridRow],5),0))</f>
        <v/>
      </c>
      <c r="F18">
        <f>SUMPRODUCT((M_BOM[RM_Code]=$A18)*M_BOM[RM_Qty_Per_Batch]*IFERROR(INDEX(PP_Grid[#Data],M_BOM[PPGridRow],6),0))</f>
        <v/>
      </c>
      <c r="G18">
        <f>SUMPRODUCT((M_BOM[RM_Code]=$A18)*M_BOM[RM_Qty_Per_Batch]*IFERROR(INDEX(PP_Grid[#Data],M_BOM[PPGridRow],7),0))</f>
        <v/>
      </c>
      <c r="H18">
        <f>SUMPRODUCT((M_BOM[RM_Code]=$A18)*M_BOM[RM_Qty_Per_Batch]*IFERROR(INDEX(PP_Grid[#Data],M_BOM[PPGridRow],8),0))</f>
        <v/>
      </c>
      <c r="I18">
        <f>SUMPRODUCT((M_BOM[RM_Code]=$A18)*M_BOM[RM_Qty_Per_Batch]*IFERROR(INDEX(PP_Grid[#Data],M_BOM[PPGridRow],9),0))</f>
        <v/>
      </c>
      <c r="J18">
        <f>SUMPRODUCT((M_BOM[RM_Code]=$A18)*M_BOM[RM_Qty_Per_Batch]*IFERROR(INDEX(PP_Grid[#Data],M_BOM[PPGridRow],10),0))</f>
        <v/>
      </c>
      <c r="K18">
        <f>SUMPRODUCT((M_BOM[RM_Code]=$A18)*M_BOM[RM_Qty_Per_Batch]*IFERROR(INDEX(PP_Grid[#Data],M_BOM[PPGridRow],11),0))</f>
        <v/>
      </c>
      <c r="L18">
        <f>SUMPRODUCT((M_BOM[RM_Code]=$A18)*M_BOM[RM_Qty_Per_Batch]*IFERROR(INDEX(PP_Grid[#Data],M_BOM[PPGridRow],12),0))</f>
        <v/>
      </c>
      <c r="M18">
        <f>SUMPRODUCT((M_BOM[RM_Code]=$A18)*M_BOM[RM_Qty_Per_Batch]*IFERROR(INDEX(PP_Grid[#Data],M_BOM[PPGridRow],13),0))</f>
        <v/>
      </c>
      <c r="N18">
        <f>SUMPRODUCT((M_BOM[RM_Code]=$A18)*M_BOM[RM_Qty_Per_Batch]*IFERROR(INDEX(PP_Grid[#Data],M_BOM[PPGridRow],14),0))</f>
        <v/>
      </c>
      <c r="O18">
        <f>SUMPRODUCT((M_BOM[RM_Code]=$A18)*M_BOM[RM_Qty_Per_Batch]*IFERROR(INDEX(PP_Grid[#Data],M_BOM[PPGridRow],15),0))</f>
        <v/>
      </c>
      <c r="P18">
        <f>SUMPRODUCT((M_BOM[RM_Code]=$A18)*M_BOM[RM_Qty_Per_Batch]*IFERROR(INDEX(PP_Grid[#Data],M_BOM[PPGridRow],16),0))</f>
        <v/>
      </c>
      <c r="Q18">
        <f>SUMPRODUCT((M_BOM[RM_Code]=$A18)*M_BOM[RM_Qty_Per_Batch]*IFERROR(INDEX(PP_Grid[#Data],M_BOM[PPGridRow],17),0))</f>
        <v/>
      </c>
      <c r="R18">
        <f>SUMPRODUCT((M_BOM[RM_Code]=$A18)*M_BOM[RM_Qty_Per_Batch]*IFERROR(INDEX(PP_Grid[#Data],M_BOM[PPGridRow],18),0))</f>
        <v/>
      </c>
      <c r="S18">
        <f>SUMPRODUCT((M_BOM[RM_Code]=$A18)*M_BOM[RM_Qty_Per_Batch]*IFERROR(INDEX(PP_Grid[#Data],M_BOM[PPGridRow],19),0))</f>
        <v/>
      </c>
      <c r="T18">
        <f>SUMPRODUCT((M_BOM[RM_Code]=$A18)*M_BOM[RM_Qty_Per_Batch]*IFERROR(INDEX(PP_Grid[#Data],M_BOM[PPGridRow],20),0))</f>
        <v/>
      </c>
      <c r="U18">
        <f>SUMPRODUCT((M_BOM[RM_Code]=$A18)*M_BOM[RM_Qty_Per_Batch]*IFERROR(INDEX(PP_Grid[#Data],M_BOM[PPGridRow],21),0))</f>
        <v/>
      </c>
      <c r="V18">
        <f>SUMPRODUCT((M_BOM[RM_Code]=$A18)*M_BOM[RM_Qty_Per_Batch]*IFERROR(INDEX(PP_Grid[#Data],M_BOM[PPGridRow],22),0))</f>
        <v/>
      </c>
      <c r="W18">
        <f>SUMPRODUCT((M_BOM[RM_Code]=$A18)*M_BOM[RM_Qty_Per_Batch]*IFERROR(INDEX(PP_Grid[#Data],M_BOM[PPGridRow],23),0))</f>
        <v/>
      </c>
      <c r="X18">
        <f>SUMPRODUCT((M_BOM[RM_Code]=$A18)*M_BOM[RM_Qty_Per_Batch]*IFERROR(INDEX(PP_Grid[#Data],M_BOM[PPGridRow],24),0))</f>
        <v/>
      </c>
      <c r="Y18">
        <f>SUMPRODUCT((M_BOM[RM_Code]=$A18)*M_BOM[RM_Qty_Per_Batch]*IFERROR(INDEX(PP_Grid[#Data],M_BOM[PPGridRow],25),0))</f>
        <v/>
      </c>
      <c r="Z18">
        <f>SUMPRODUCT((M_BOM[RM_Code]=$A18)*M_BOM[RM_Qty_Per_Batch]*IFERROR(INDEX(PP_Grid[#Data],M_BOM[PPGridRow],26),0))</f>
        <v/>
      </c>
      <c r="AA18">
        <f>SUMPRODUCT((M_BOM[RM_Code]=$A18)*M_BOM[RM_Qty_Per_Batch]*IFERROR(INDEX(PP_Grid[#Data],M_BOM[PPGridRow],27),0))</f>
        <v/>
      </c>
      <c r="AB18">
        <f>SUMPRODUCT((M_BOM[RM_Code]=$A18)*M_BOM[RM_Qty_Per_Batch]*IFERROR(INDEX(PP_Grid[#Data],M_BOM[PPGridRow],28),0))</f>
        <v/>
      </c>
      <c r="AC18">
        <f>SUMPRODUCT((M_BOM[RM_Code]=$A18)*M_BOM[RM_Qty_Per_Batch]*IFERROR(INDEX(PP_Grid[#Data],M_BOM[PPGridRow],29),0))</f>
        <v/>
      </c>
      <c r="AD18">
        <f>SUMPRODUCT((M_BOM[RM_Code]=$A18)*M_BOM[RM_Qty_Per_Batch]*IFERROR(INDEX(PP_Grid[#Data],M_BOM[PPGridRow],30),0))</f>
        <v/>
      </c>
      <c r="AE18">
        <f>SUMPRODUCT((M_BOM[RM_Code]=$A18)*M_BOM[RM_Qty_Per_Batch]*IFERROR(INDEX(PP_Grid[#Data],M_BOM[PPGridRow],31),0))</f>
        <v/>
      </c>
      <c r="AF18">
        <f>SUMPRODUCT((M_BOM[RM_Code]=$A18)*M_BOM[RM_Qty_Per_Batch]*IFERROR(INDEX(PP_Grid[#Data],M_BOM[PPGridRow],32),0))</f>
        <v/>
      </c>
      <c r="AG18">
        <f>SUMPRODUCT((M_BOM[RM_Code]=$A18)*M_BOM[RM_Qty_Per_Batch]*IFERROR(INDEX(PP_Grid[#Data],M_BOM[PPGridRow],33),0))</f>
        <v/>
      </c>
      <c r="AH18">
        <f>SUMPRODUCT((M_BOM[RM_Code]=$A18)*M_BOM[RM_Qty_Per_Batch]*IFERROR(INDEX(PP_Grid[#Data],M_BOM[PPGridRow],34),0))</f>
        <v/>
      </c>
      <c r="AI18">
        <f>SUMPRODUCT((M_BOM[RM_Code]=$A18)*M_BOM[RM_Qty_Per_Batch]*IFERROR(INDEX(PP_Grid[#Data],M_BOM[PPGridRow],35),0))</f>
        <v/>
      </c>
      <c r="AJ18">
        <f>SUMPRODUCT((M_BOM[RM_Code]=$A18)*M_BOM[RM_Qty_Per_Batch]*IFERROR(INDEX(PP_Grid[#Data],M_BOM[PPGridRow],36),0))</f>
        <v/>
      </c>
      <c r="AK18">
        <f>SUMPRODUCT((M_BOM[RM_Code]=$A18)*M_BOM[RM_Qty_Per_Batch]*IFERROR(INDEX(PP_Grid[#Data],M_BOM[PPGridRow],37),0))</f>
        <v/>
      </c>
      <c r="AL18">
        <f>SUMPRODUCT((M_BOM[RM_Code]=$A18)*M_BOM[RM_Qty_Per_Batch]*IFERROR(INDEX(PP_Grid[#Data],M_BOM[PPGridRow],38),0))</f>
        <v/>
      </c>
      <c r="AM18">
        <f>SUMPRODUCT((M_BOM[RM_Code]=$A18)*M_BOM[RM_Qty_Per_Batch]*IFERROR(INDEX(PP_Grid[#Data],M_BOM[PPGridRow],39),0))</f>
        <v/>
      </c>
      <c r="AN18">
        <f>SUMPRODUCT((M_BOM[RM_Code]=$A18)*M_BOM[RM_Qty_Per_Batch]*IFERROR(INDEX(PP_Grid[#Data],M_BOM[PPGridRow],40),0))</f>
        <v/>
      </c>
      <c r="AO18">
        <f>SUMPRODUCT((M_BOM[RM_Code]=$A18)*M_BOM[RM_Qty_Per_Batch]*IFERROR(INDEX(PP_Grid[#Data],M_BOM[PPGridRow],41),0))</f>
        <v/>
      </c>
      <c r="AP18">
        <f>SUMPRODUCT((M_BOM[RM_Code]=$A18)*M_BOM[RM_Qty_Per_Batch]*IFERROR(INDEX(PP_Grid[#Data],M_BOM[PPGridRow],42),0))</f>
        <v/>
      </c>
      <c r="AQ18">
        <f>SUMPRODUCT((M_BOM[RM_Code]=$A18)*M_BOM[RM_Qty_Per_Batch]*IFERROR(INDEX(PP_Grid[#Data],M_BOM[PPGridRow],43),0))</f>
        <v/>
      </c>
      <c r="AR18">
        <f>SUMPRODUCT((M_BOM[RM_Code]=$A18)*M_BOM[RM_Qty_Per_Batch]*IFERROR(INDEX(PP_Grid[#Data],M_BOM[PPGridRow],44),0))</f>
        <v/>
      </c>
      <c r="AS18">
        <f>SUMPRODUCT((M_BOM[RM_Code]=$A18)*M_BOM[RM_Qty_Per_Batch]*IFERROR(INDEX(PP_Grid[#Data],M_BOM[PPGridRow],45),0))</f>
        <v/>
      </c>
      <c r="AT18">
        <f>SUMPRODUCT((M_BOM[RM_Code]=$A18)*M_BOM[RM_Qty_Per_Batch]*IFERROR(INDEX(PP_Grid[#Data],M_BOM[PPGridRow],46),0))</f>
        <v/>
      </c>
      <c r="AU18">
        <f>SUMPRODUCT((M_BOM[RM_Code]=$A18)*M_BOM[RM_Qty_Per_Batch]*IFERROR(INDEX(PP_Grid[#Data],M_BOM[PPGridRow],47),0))</f>
        <v/>
      </c>
      <c r="AV18">
        <f>SUMPRODUCT((M_BOM[RM_Code]=$A18)*M_BOM[RM_Qty_Per_Batch]*IFERROR(INDEX(PP_Grid[#Data],M_BOM[PPGridRow],48),0))</f>
        <v/>
      </c>
      <c r="AW18">
        <f>SUMPRODUCT((M_BOM[RM_Code]=$A18)*M_BOM[RM_Qty_Per_Batch]*IFERROR(INDEX(PP_Grid[#Data],M_BOM[PPGridRow],49),0))</f>
        <v/>
      </c>
      <c r="AX18">
        <f>SUMPRODUCT((M_BOM[RM_Code]=$A18)*M_BOM[RM_Qty_Per_Batch]*IFERROR(INDEX(PP_Grid[#Data],M_BOM[PPGridRow],50),0))</f>
        <v/>
      </c>
      <c r="AY18">
        <f>SUMPRODUCT((M_BOM[RM_Code]=$A18)*M_BOM[RM_Qty_Per_Batch]*IFERROR(INDEX(PP_Grid[#Data],M_BOM[PPGridRow],51),0))</f>
        <v/>
      </c>
      <c r="AZ18">
        <f>SUMPRODUCT((M_BOM[RM_Code]=$A18)*M_BOM[RM_Qty_Per_Batch]*IFERROR(INDEX(PP_Grid[#Data],M_BOM[PPGridRow],52),0))</f>
        <v/>
      </c>
      <c r="BA18">
        <f>SUMPRODUCT((M_BOM[RM_Code]=$A18)*M_BOM[RM_Qty_Per_Batch]*IFERROR(INDEX(PP_Grid[#Data],M_BOM[PPGridRow],53),0))</f>
        <v/>
      </c>
      <c r="BB18">
        <f>SUMPRODUCT((M_BOM[RM_Code]=$A18)*M_BOM[RM_Qty_Per_Batch]*IFERROR(INDEX(PP_Grid[#Data],M_BOM[PPGridRow],54),0))</f>
        <v/>
      </c>
      <c r="BC18">
        <f>SUMPRODUCT((M_BOM[RM_Code]=$A18)*M_BOM[RM_Qty_Per_Batch]*IFERROR(INDEX(PP_Grid[#Data],M_BOM[PPGridRow],55),0))</f>
        <v/>
      </c>
      <c r="BD18">
        <f>SUMPRODUCT((M_BOM[RM_Code]=$A18)*M_BOM[RM_Qty_Per_Batch]*IFERROR(INDEX(PP_Grid[#Data],M_BOM[PPGridRow],56),0))</f>
        <v/>
      </c>
      <c r="BE18">
        <f>SUMPRODUCT((M_BOM[RM_Code]=$A18)*M_BOM[RM_Qty_Per_Batch]*IFERROR(INDEX(PP_Grid[#Data],M_BOM[PPGridRow],57),0))</f>
        <v/>
      </c>
      <c r="BF18">
        <f>SUMPRODUCT((M_BOM[RM_Code]=$A18)*M_BOM[RM_Qty_Per_Batch]*IFERROR(INDEX(PP_Grid[#Data],M_BOM[PPGridRow],58),0))</f>
        <v/>
      </c>
      <c r="BG18">
        <f>SUMPRODUCT((M_BOM[RM_Code]=$A18)*M_BOM[RM_Qty_Per_Batch]*IFERROR(INDEX(PP_Grid[#Data],M_BOM[PPGridRow],59),0))</f>
        <v/>
      </c>
      <c r="BH18">
        <f>SUMPRODUCT((M_BOM[RM_Code]=$A18)*M_BOM[RM_Qty_Per_Batch]*IFERROR(INDEX(PP_Grid[#Data],M_BOM[PPGridRow],60),0))</f>
        <v/>
      </c>
      <c r="BI18">
        <f>SUMPRODUCT((M_BOM[RM_Code]=$A18)*M_BOM[RM_Qty_Per_Batch]*IFERROR(INDEX(PP_Grid[#Data],M_BOM[PPGridRow],61),0))</f>
        <v/>
      </c>
      <c r="BJ18">
        <f>SUMPRODUCT((M_BOM[RM_Code]=$A18)*M_BOM[RM_Qty_Per_Batch]*IFERROR(INDEX(PP_Grid[#Data],M_BOM[PPGridRow],62),0))</f>
        <v/>
      </c>
      <c r="BK18">
        <f>SUMPRODUCT((M_BOM[RM_Code]=$A18)*M_BOM[RM_Qty_Per_Batch]*IFERROR(INDEX(PP_Grid[#Data],M_BOM[PPGridRow],63),0))</f>
        <v/>
      </c>
      <c r="BL18">
        <f>SUMPRODUCT((M_BOM[RM_Code]=$A18)*M_BOM[RM_Qty_Per_Batch]*IFERROR(INDEX(PP_Grid[#Data],M_BOM[PPGridRow],64),0))</f>
        <v/>
      </c>
      <c r="BM18">
        <f>SUMPRODUCT((M_BOM[RM_Code]=$A18)*M_BOM[RM_Qty_Per_Batch]*IFERROR(INDEX(PP_Grid[#Data],M_BOM[PPGridRow],65),0))</f>
        <v/>
      </c>
      <c r="BN18">
        <f>SUMPRODUCT((M_BOM[RM_Code]=$A18)*M_BOM[RM_Qty_Per_Batch]*IFERROR(INDEX(PP_Grid[#Data],M_BOM[PPGridRow],66),0))</f>
        <v/>
      </c>
      <c r="BO18">
        <f>SUMPRODUCT((M_BOM[RM_Code]=$A18)*M_BOM[RM_Qty_Per_Batch]*IFERROR(INDEX(PP_Grid[#Data],M_BOM[PPGridRow],67),0))</f>
        <v/>
      </c>
      <c r="BP18">
        <f>SUMPRODUCT((M_BOM[RM_Code]=$A18)*M_BOM[RM_Qty_Per_Batch]*IFERROR(INDEX(PP_Grid[#Data],M_BOM[PPGridRow],68),0))</f>
        <v/>
      </c>
      <c r="BQ18">
        <f>SUMPRODUCT((M_BOM[RM_Code]=$A18)*M_BOM[RM_Qty_Per_Batch]*IFERROR(INDEX(PP_Grid[#Data],M_BOM[PPGridRow],69),0))</f>
        <v/>
      </c>
      <c r="BR18">
        <f>SUMPRODUCT((M_BOM[RM_Code]=$A18)*M_BOM[RM_Qty_Per_Batch]*IFERROR(INDEX(PP_Grid[#Data],M_BOM[PPGridRow],70),0))</f>
        <v/>
      </c>
      <c r="BS18">
        <f>SUMPRODUCT((M_BOM[RM_Code]=$A18)*M_BOM[RM_Qty_Per_Batch]*IFERROR(INDEX(PP_Grid[#Data],M_BOM[PPGridRow],71),0))</f>
        <v/>
      </c>
      <c r="BT18">
        <f>SUMPRODUCT((M_BOM[RM_Code]=$A18)*M_BOM[RM_Qty_Per_Batch]*IFERROR(INDEX(PP_Grid[#Data],M_BOM[PPGridRow],72),0))</f>
        <v/>
      </c>
      <c r="BU18">
        <f>SUMPRODUCT((M_BOM[RM_Code]=$A18)*M_BOM[RM_Qty_Per_Batch]*IFERROR(INDEX(PP_Grid[#Data],M_BOM[PPGridRow],73),0))</f>
        <v/>
      </c>
      <c r="BV18">
        <f>SUMPRODUCT((M_BOM[RM_Code]=$A18)*M_BOM[RM_Qty_Per_Batch]*IFERROR(INDEX(PP_Grid[#Data],M_BOM[PPGridRow],74),0))</f>
        <v/>
      </c>
      <c r="BW18">
        <f>SUMPRODUCT((M_BOM[RM_Code]=$A18)*M_BOM[RM_Qty_Per_Batch]*IFERROR(INDEX(PP_Grid[#Data],M_BOM[PPGridRow],75),0))</f>
        <v/>
      </c>
      <c r="BX18">
        <f>SUMPRODUCT((M_BOM[RM_Code]=$A18)*M_BOM[RM_Qty_Per_Batch]*IFERROR(INDEX(PP_Grid[#Data],M_BOM[PPGridRow],76),0))</f>
        <v/>
      </c>
      <c r="BY18">
        <f>SUMPRODUCT((M_BOM[RM_Code]=$A18)*M_BOM[RM_Qty_Per_Batch]*IFERROR(INDEX(PP_Grid[#Data],M_BOM[PPGridRow],77),0))</f>
        <v/>
      </c>
      <c r="BZ18">
        <f>SUMPRODUCT((M_BOM[RM_Code]=$A18)*M_BOM[RM_Qty_Per_Batch]*IFERROR(INDEX(PP_Grid[#Data],M_BOM[PPGridRow],78),0))</f>
        <v/>
      </c>
      <c r="CA18">
        <f>SUMPRODUCT((M_BOM[RM_Code]=$A18)*M_BOM[RM_Qty_Per_Batch]*IFERROR(INDEX(PP_Grid[#Data],M_BOM[PPGridRow],79),0))</f>
        <v/>
      </c>
      <c r="CB18">
        <f>SUMPRODUCT((M_BOM[RM_Code]=$A18)*M_BOM[RM_Qty_Per_Batch]*IFERROR(INDEX(PP_Grid[#Data],M_BOM[PPGridRow],80),0))</f>
        <v/>
      </c>
      <c r="CC18">
        <f>SUMPRODUCT((M_BOM[RM_Code]=$A18)*M_BOM[RM_Qty_Per_Batch]*IFERROR(INDEX(PP_Grid[#Data],M_BOM[PPGridRow],81),0))</f>
        <v/>
      </c>
      <c r="CD18">
        <f>SUMPRODUCT((M_BOM[RM_Code]=$A18)*M_BOM[RM_Qty_Per_Batch]*IFERROR(INDEX(PP_Grid[#Data],M_BOM[PPGridRow],82),0))</f>
        <v/>
      </c>
      <c r="CE18">
        <f>SUMPRODUCT((M_BOM[RM_Code]=$A18)*M_BOM[RM_Qty_Per_Batch]*IFERROR(INDEX(PP_Grid[#Data],M_BOM[PPGridRow],83),0))</f>
        <v/>
      </c>
      <c r="CF18">
        <f>SUMPRODUCT((M_BOM[RM_Code]=$A18)*M_BOM[RM_Qty_Per_Batch]*IFERROR(INDEX(PP_Grid[#Data],M_BOM[PPGridRow],84),0))</f>
        <v/>
      </c>
      <c r="CG18">
        <f>SUMPRODUCT((M_BOM[RM_Code]=$A18)*M_BOM[RM_Qty_Per_Batch]*IFERROR(INDEX(PP_Grid[#Data],M_BOM[PPGridRow],85),0))</f>
        <v/>
      </c>
      <c r="CH18">
        <f>SUMPRODUCT((M_BOM[RM_Code]=$A18)*M_BOM[RM_Qty_Per_Batch]*IFERROR(INDEX(PP_Grid[#Data],M_BOM[PPGridRow],86),0))</f>
        <v/>
      </c>
      <c r="CI18">
        <f>SUMPRODUCT((M_BOM[RM_Code]=$A18)*M_BOM[RM_Qty_Per_Batch]*IFERROR(INDEX(PP_Grid[#Data],M_BOM[PPGridRow],87),0))</f>
        <v/>
      </c>
      <c r="CJ18">
        <f>SUMPRODUCT((M_BOM[RM_Code]=$A18)*M_BOM[RM_Qty_Per_Batch]*IFERROR(INDEX(PP_Grid[#Data],M_BOM[PPGridRow],88),0))</f>
        <v/>
      </c>
      <c r="CK18">
        <f>SUMPRODUCT((M_BOM[RM_Code]=$A18)*M_BOM[RM_Qty_Per_Batch]*IFERROR(INDEX(PP_Grid[#Data],M_BOM[PPGridRow],89),0))</f>
        <v/>
      </c>
      <c r="CL18">
        <f>SUMPRODUCT((M_BOM[RM_Code]=$A18)*M_BOM[RM_Qty_Per_Batch]*IFERROR(INDEX(PP_Grid[#Data],M_BOM[PPGridRow],90),0))</f>
        <v/>
      </c>
      <c r="CM18">
        <f>SUMPRODUCT((M_BOM[RM_Code]=$A18)*M_BOM[RM_Qty_Per_Batch]*IFERROR(INDEX(PP_Grid[#Data],M_BOM[PPGridRow],91),0))</f>
        <v/>
      </c>
      <c r="CN18">
        <f>SUMPRODUCT((M_BOM[RM_Code]=$A18)*M_BOM[RM_Qty_Per_Batch]*IFERROR(INDEX(PP_Grid[#Data],M_BOM[PPGridRow],92),0))</f>
        <v/>
      </c>
      <c r="CO18">
        <f>SUMPRODUCT((M_BOM[RM_Code]=$A18)*M_BOM[RM_Qty_Per_Batch]*IFERROR(INDEX(PP_Grid[#Data],M_BOM[PPGridRow],93),0))</f>
        <v/>
      </c>
      <c r="CP18">
        <f>SUMPRODUCT((M_BOM[RM_Code]=$A18)*M_BOM[RM_Qty_Per_Batch]*IFERROR(INDEX(PP_Grid[#Data],M_BOM[PPGridRow],94),0))</f>
        <v/>
      </c>
      <c r="CQ18">
        <f>SUMPRODUCT((M_BOM[RM_Code]=$A18)*M_BOM[RM_Qty_Per_Batch]*IFERROR(INDEX(PP_Grid[#Data],M_BOM[PPGridRow],95),0))</f>
        <v/>
      </c>
      <c r="CR18">
        <f>SUMPRODUCT((M_BOM[RM_Code]=$A18)*M_BOM[RM_Qty_Per_Batch]*IFERROR(INDEX(PP_Grid[#Data],M_BOM[PPGridRow],96),0))</f>
        <v/>
      </c>
      <c r="CS18">
        <f>SUMPRODUCT((M_BOM[RM_Code]=$A18)*M_BOM[RM_Qty_Per_Batch]*IFERROR(INDEX(PP_Grid[#Data],M_BOM[PPGridRow],97),0))</f>
        <v/>
      </c>
      <c r="CT18">
        <f>SUMPRODUCT((M_BOM[RM_Code]=$A18)*M_BOM[RM_Qty_Per_Batch]*IFERROR(INDEX(PP_Grid[#Data],M_BOM[PPGridRow],98),0))</f>
        <v/>
      </c>
      <c r="CU18">
        <f>SUMPRODUCT((M_BOM[RM_Code]=$A18)*M_BOM[RM_Qty_Per_Batch]*IFERROR(INDEX(PP_Grid[#Data],M_BOM[PPGridRow],99),0))</f>
        <v/>
      </c>
      <c r="CV18">
        <f>SUMPRODUCT((M_BOM[RM_Code]=$A18)*M_BOM[RM_Qty_Per_Batch]*IFERROR(INDEX(PP_Grid[#Data],M_BOM[PPGridRow],100),0))</f>
        <v/>
      </c>
      <c r="CW18">
        <f>SUMPRODUCT((M_BOM[RM_Code]=$A18)*M_BOM[RM_Qty_Per_Batch]*IFERROR(INDEX(PP_Grid[#Data],M_BOM[PPGridRow],101),0))</f>
        <v/>
      </c>
      <c r="CX18">
        <f>SUMPRODUCT((M_BOM[RM_Code]=$A18)*M_BOM[RM_Qty_Per_Batch]*IFERROR(INDEX(PP_Grid[#Data],M_BOM[PPGridRow],102),0))</f>
        <v/>
      </c>
      <c r="CY18">
        <f>SUMPRODUCT((M_BOM[RM_Code]=$A18)*M_BOM[RM_Qty_Per_Batch]*IFERROR(INDEX(PP_Grid[#Data],M_BOM[PPGridRow],103),0))</f>
        <v/>
      </c>
      <c r="CZ18">
        <f>SUMPRODUCT((M_BOM[RM_Code]=$A18)*M_BOM[RM_Qty_Per_Batch]*IFERROR(INDEX(PP_Grid[#Data],M_BOM[PPGridRow],104),0))</f>
        <v/>
      </c>
      <c r="DA18">
        <f>SUMPRODUCT((M_BOM[RM_Code]=$A18)*M_BOM[RM_Qty_Per_Batch]*IFERROR(INDEX(PP_Grid[#Data],M_BOM[PPGridRow],105),0))</f>
        <v/>
      </c>
    </row>
    <row r="19">
      <c r="A19" t="inlineStr">
        <is>
          <t>CHEM-1570</t>
        </is>
      </c>
      <c r="B19">
        <f>SUMPRODUCT((M_BOM[RM_Code]=$A19)*M_BOM[RM_Qty_Per_Batch]*IFERROR(INDEX(PP_Grid[#Data],M_BOM[PPGridRow],2),0))</f>
        <v/>
      </c>
      <c r="C19">
        <f>SUMPRODUCT((M_BOM[RM_Code]=$A19)*M_BOM[RM_Qty_Per_Batch]*IFERROR(INDEX(PP_Grid[#Data],M_BOM[PPGridRow],3),0))</f>
        <v/>
      </c>
      <c r="D19">
        <f>SUMPRODUCT((M_BOM[RM_Code]=$A19)*M_BOM[RM_Qty_Per_Batch]*IFERROR(INDEX(PP_Grid[#Data],M_BOM[PPGridRow],4),0))</f>
        <v/>
      </c>
      <c r="E19">
        <f>SUMPRODUCT((M_BOM[RM_Code]=$A19)*M_BOM[RM_Qty_Per_Batch]*IFERROR(INDEX(PP_Grid[#Data],M_BOM[PPGridRow],5),0))</f>
        <v/>
      </c>
      <c r="F19">
        <f>SUMPRODUCT((M_BOM[RM_Code]=$A19)*M_BOM[RM_Qty_Per_Batch]*IFERROR(INDEX(PP_Grid[#Data],M_BOM[PPGridRow],6),0))</f>
        <v/>
      </c>
      <c r="G19">
        <f>SUMPRODUCT((M_BOM[RM_Code]=$A19)*M_BOM[RM_Qty_Per_Batch]*IFERROR(INDEX(PP_Grid[#Data],M_BOM[PPGridRow],7),0))</f>
        <v/>
      </c>
      <c r="H19">
        <f>SUMPRODUCT((M_BOM[RM_Code]=$A19)*M_BOM[RM_Qty_Per_Batch]*IFERROR(INDEX(PP_Grid[#Data],M_BOM[PPGridRow],8),0))</f>
        <v/>
      </c>
      <c r="I19">
        <f>SUMPRODUCT((M_BOM[RM_Code]=$A19)*M_BOM[RM_Qty_Per_Batch]*IFERROR(INDEX(PP_Grid[#Data],M_BOM[PPGridRow],9),0))</f>
        <v/>
      </c>
      <c r="J19">
        <f>SUMPRODUCT((M_BOM[RM_Code]=$A19)*M_BOM[RM_Qty_Per_Batch]*IFERROR(INDEX(PP_Grid[#Data],M_BOM[PPGridRow],10),0))</f>
        <v/>
      </c>
      <c r="K19">
        <f>SUMPRODUCT((M_BOM[RM_Code]=$A19)*M_BOM[RM_Qty_Per_Batch]*IFERROR(INDEX(PP_Grid[#Data],M_BOM[PPGridRow],11),0))</f>
        <v/>
      </c>
      <c r="L19">
        <f>SUMPRODUCT((M_BOM[RM_Code]=$A19)*M_BOM[RM_Qty_Per_Batch]*IFERROR(INDEX(PP_Grid[#Data],M_BOM[PPGridRow],12),0))</f>
        <v/>
      </c>
      <c r="M19">
        <f>SUMPRODUCT((M_BOM[RM_Code]=$A19)*M_BOM[RM_Qty_Per_Batch]*IFERROR(INDEX(PP_Grid[#Data],M_BOM[PPGridRow],13),0))</f>
        <v/>
      </c>
      <c r="N19">
        <f>SUMPRODUCT((M_BOM[RM_Code]=$A19)*M_BOM[RM_Qty_Per_Batch]*IFERROR(INDEX(PP_Grid[#Data],M_BOM[PPGridRow],14),0))</f>
        <v/>
      </c>
      <c r="O19">
        <f>SUMPRODUCT((M_BOM[RM_Code]=$A19)*M_BOM[RM_Qty_Per_Batch]*IFERROR(INDEX(PP_Grid[#Data],M_BOM[PPGridRow],15),0))</f>
        <v/>
      </c>
      <c r="P19">
        <f>SUMPRODUCT((M_BOM[RM_Code]=$A19)*M_BOM[RM_Qty_Per_Batch]*IFERROR(INDEX(PP_Grid[#Data],M_BOM[PPGridRow],16),0))</f>
        <v/>
      </c>
      <c r="Q19">
        <f>SUMPRODUCT((M_BOM[RM_Code]=$A19)*M_BOM[RM_Qty_Per_Batch]*IFERROR(INDEX(PP_Grid[#Data],M_BOM[PPGridRow],17),0))</f>
        <v/>
      </c>
      <c r="R19">
        <f>SUMPRODUCT((M_BOM[RM_Code]=$A19)*M_BOM[RM_Qty_Per_Batch]*IFERROR(INDEX(PP_Grid[#Data],M_BOM[PPGridRow],18),0))</f>
        <v/>
      </c>
      <c r="S19">
        <f>SUMPRODUCT((M_BOM[RM_Code]=$A19)*M_BOM[RM_Qty_Per_Batch]*IFERROR(INDEX(PP_Grid[#Data],M_BOM[PPGridRow],19),0))</f>
        <v/>
      </c>
      <c r="T19">
        <f>SUMPRODUCT((M_BOM[RM_Code]=$A19)*M_BOM[RM_Qty_Per_Batch]*IFERROR(INDEX(PP_Grid[#Data],M_BOM[PPGridRow],20),0))</f>
        <v/>
      </c>
      <c r="U19">
        <f>SUMPRODUCT((M_BOM[RM_Code]=$A19)*M_BOM[RM_Qty_Per_Batch]*IFERROR(INDEX(PP_Grid[#Data],M_BOM[PPGridRow],21),0))</f>
        <v/>
      </c>
      <c r="V19">
        <f>SUMPRODUCT((M_BOM[RM_Code]=$A19)*M_BOM[RM_Qty_Per_Batch]*IFERROR(INDEX(PP_Grid[#Data],M_BOM[PPGridRow],22),0))</f>
        <v/>
      </c>
      <c r="W19">
        <f>SUMPRODUCT((M_BOM[RM_Code]=$A19)*M_BOM[RM_Qty_Per_Batch]*IFERROR(INDEX(PP_Grid[#Data],M_BOM[PPGridRow],23),0))</f>
        <v/>
      </c>
      <c r="X19">
        <f>SUMPRODUCT((M_BOM[RM_Code]=$A19)*M_BOM[RM_Qty_Per_Batch]*IFERROR(INDEX(PP_Grid[#Data],M_BOM[PPGridRow],24),0))</f>
        <v/>
      </c>
      <c r="Y19">
        <f>SUMPRODUCT((M_BOM[RM_Code]=$A19)*M_BOM[RM_Qty_Per_Batch]*IFERROR(INDEX(PP_Grid[#Data],M_BOM[PPGridRow],25),0))</f>
        <v/>
      </c>
      <c r="Z19">
        <f>SUMPRODUCT((M_BOM[RM_Code]=$A19)*M_BOM[RM_Qty_Per_Batch]*IFERROR(INDEX(PP_Grid[#Data],M_BOM[PPGridRow],26),0))</f>
        <v/>
      </c>
      <c r="AA19">
        <f>SUMPRODUCT((M_BOM[RM_Code]=$A19)*M_BOM[RM_Qty_Per_Batch]*IFERROR(INDEX(PP_Grid[#Data],M_BOM[PPGridRow],27),0))</f>
        <v/>
      </c>
      <c r="AB19">
        <f>SUMPRODUCT((M_BOM[RM_Code]=$A19)*M_BOM[RM_Qty_Per_Batch]*IFERROR(INDEX(PP_Grid[#Data],M_BOM[PPGridRow],28),0))</f>
        <v/>
      </c>
      <c r="AC19">
        <f>SUMPRODUCT((M_BOM[RM_Code]=$A19)*M_BOM[RM_Qty_Per_Batch]*IFERROR(INDEX(PP_Grid[#Data],M_BOM[PPGridRow],29),0))</f>
        <v/>
      </c>
      <c r="AD19">
        <f>SUMPRODUCT((M_BOM[RM_Code]=$A19)*M_BOM[RM_Qty_Per_Batch]*IFERROR(INDEX(PP_Grid[#Data],M_BOM[PPGridRow],30),0))</f>
        <v/>
      </c>
      <c r="AE19">
        <f>SUMPRODUCT((M_BOM[RM_Code]=$A19)*M_BOM[RM_Qty_Per_Batch]*IFERROR(INDEX(PP_Grid[#Data],M_BOM[PPGridRow],31),0))</f>
        <v/>
      </c>
      <c r="AF19">
        <f>SUMPRODUCT((M_BOM[RM_Code]=$A19)*M_BOM[RM_Qty_Per_Batch]*IFERROR(INDEX(PP_Grid[#Data],M_BOM[PPGridRow],32),0))</f>
        <v/>
      </c>
      <c r="AG19">
        <f>SUMPRODUCT((M_BOM[RM_Code]=$A19)*M_BOM[RM_Qty_Per_Batch]*IFERROR(INDEX(PP_Grid[#Data],M_BOM[PPGridRow],33),0))</f>
        <v/>
      </c>
      <c r="AH19">
        <f>SUMPRODUCT((M_BOM[RM_Code]=$A19)*M_BOM[RM_Qty_Per_Batch]*IFERROR(INDEX(PP_Grid[#Data],M_BOM[PPGridRow],34),0))</f>
        <v/>
      </c>
      <c r="AI19">
        <f>SUMPRODUCT((M_BOM[RM_Code]=$A19)*M_BOM[RM_Qty_Per_Batch]*IFERROR(INDEX(PP_Grid[#Data],M_BOM[PPGridRow],35),0))</f>
        <v/>
      </c>
      <c r="AJ19">
        <f>SUMPRODUCT((M_BOM[RM_Code]=$A19)*M_BOM[RM_Qty_Per_Batch]*IFERROR(INDEX(PP_Grid[#Data],M_BOM[PPGridRow],36),0))</f>
        <v/>
      </c>
      <c r="AK19">
        <f>SUMPRODUCT((M_BOM[RM_Code]=$A19)*M_BOM[RM_Qty_Per_Batch]*IFERROR(INDEX(PP_Grid[#Data],M_BOM[PPGridRow],37),0))</f>
        <v/>
      </c>
      <c r="AL19">
        <f>SUMPRODUCT((M_BOM[RM_Code]=$A19)*M_BOM[RM_Qty_Per_Batch]*IFERROR(INDEX(PP_Grid[#Data],M_BOM[PPGridRow],38),0))</f>
        <v/>
      </c>
      <c r="AM19">
        <f>SUMPRODUCT((M_BOM[RM_Code]=$A19)*M_BOM[RM_Qty_Per_Batch]*IFERROR(INDEX(PP_Grid[#Data],M_BOM[PPGridRow],39),0))</f>
        <v/>
      </c>
      <c r="AN19">
        <f>SUMPRODUCT((M_BOM[RM_Code]=$A19)*M_BOM[RM_Qty_Per_Batch]*IFERROR(INDEX(PP_Grid[#Data],M_BOM[PPGridRow],40),0))</f>
        <v/>
      </c>
      <c r="AO19">
        <f>SUMPRODUCT((M_BOM[RM_Code]=$A19)*M_BOM[RM_Qty_Per_Batch]*IFERROR(INDEX(PP_Grid[#Data],M_BOM[PPGridRow],41),0))</f>
        <v/>
      </c>
      <c r="AP19">
        <f>SUMPRODUCT((M_BOM[RM_Code]=$A19)*M_BOM[RM_Qty_Per_Batch]*IFERROR(INDEX(PP_Grid[#Data],M_BOM[PPGridRow],42),0))</f>
        <v/>
      </c>
      <c r="AQ19">
        <f>SUMPRODUCT((M_BOM[RM_Code]=$A19)*M_BOM[RM_Qty_Per_Batch]*IFERROR(INDEX(PP_Grid[#Data],M_BOM[PPGridRow],43),0))</f>
        <v/>
      </c>
      <c r="AR19">
        <f>SUMPRODUCT((M_BOM[RM_Code]=$A19)*M_BOM[RM_Qty_Per_Batch]*IFERROR(INDEX(PP_Grid[#Data],M_BOM[PPGridRow],44),0))</f>
        <v/>
      </c>
      <c r="AS19">
        <f>SUMPRODUCT((M_BOM[RM_Code]=$A19)*M_BOM[RM_Qty_Per_Batch]*IFERROR(INDEX(PP_Grid[#Data],M_BOM[PPGridRow],45),0))</f>
        <v/>
      </c>
      <c r="AT19">
        <f>SUMPRODUCT((M_BOM[RM_Code]=$A19)*M_BOM[RM_Qty_Per_Batch]*IFERROR(INDEX(PP_Grid[#Data],M_BOM[PPGridRow],46),0))</f>
        <v/>
      </c>
      <c r="AU19">
        <f>SUMPRODUCT((M_BOM[RM_Code]=$A19)*M_BOM[RM_Qty_Per_Batch]*IFERROR(INDEX(PP_Grid[#Data],M_BOM[PPGridRow],47),0))</f>
        <v/>
      </c>
      <c r="AV19">
        <f>SUMPRODUCT((M_BOM[RM_Code]=$A19)*M_BOM[RM_Qty_Per_Batch]*IFERROR(INDEX(PP_Grid[#Data],M_BOM[PPGridRow],48),0))</f>
        <v/>
      </c>
      <c r="AW19">
        <f>SUMPRODUCT((M_BOM[RM_Code]=$A19)*M_BOM[RM_Qty_Per_Batch]*IFERROR(INDEX(PP_Grid[#Data],M_BOM[PPGridRow],49),0))</f>
        <v/>
      </c>
      <c r="AX19">
        <f>SUMPRODUCT((M_BOM[RM_Code]=$A19)*M_BOM[RM_Qty_Per_Batch]*IFERROR(INDEX(PP_Grid[#Data],M_BOM[PPGridRow],50),0))</f>
        <v/>
      </c>
      <c r="AY19">
        <f>SUMPRODUCT((M_BOM[RM_Code]=$A19)*M_BOM[RM_Qty_Per_Batch]*IFERROR(INDEX(PP_Grid[#Data],M_BOM[PPGridRow],51),0))</f>
        <v/>
      </c>
      <c r="AZ19">
        <f>SUMPRODUCT((M_BOM[RM_Code]=$A19)*M_BOM[RM_Qty_Per_Batch]*IFERROR(INDEX(PP_Grid[#Data],M_BOM[PPGridRow],52),0))</f>
        <v/>
      </c>
      <c r="BA19">
        <f>SUMPRODUCT((M_BOM[RM_Code]=$A19)*M_BOM[RM_Qty_Per_Batch]*IFERROR(INDEX(PP_Grid[#Data],M_BOM[PPGridRow],53),0))</f>
        <v/>
      </c>
      <c r="BB19">
        <f>SUMPRODUCT((M_BOM[RM_Code]=$A19)*M_BOM[RM_Qty_Per_Batch]*IFERROR(INDEX(PP_Grid[#Data],M_BOM[PPGridRow],54),0))</f>
        <v/>
      </c>
      <c r="BC19">
        <f>SUMPRODUCT((M_BOM[RM_Code]=$A19)*M_BOM[RM_Qty_Per_Batch]*IFERROR(INDEX(PP_Grid[#Data],M_BOM[PPGridRow],55),0))</f>
        <v/>
      </c>
      <c r="BD19">
        <f>SUMPRODUCT((M_BOM[RM_Code]=$A19)*M_BOM[RM_Qty_Per_Batch]*IFERROR(INDEX(PP_Grid[#Data],M_BOM[PPGridRow],56),0))</f>
        <v/>
      </c>
      <c r="BE19">
        <f>SUMPRODUCT((M_BOM[RM_Code]=$A19)*M_BOM[RM_Qty_Per_Batch]*IFERROR(INDEX(PP_Grid[#Data],M_BOM[PPGridRow],57),0))</f>
        <v/>
      </c>
      <c r="BF19">
        <f>SUMPRODUCT((M_BOM[RM_Code]=$A19)*M_BOM[RM_Qty_Per_Batch]*IFERROR(INDEX(PP_Grid[#Data],M_BOM[PPGridRow],58),0))</f>
        <v/>
      </c>
      <c r="BG19">
        <f>SUMPRODUCT((M_BOM[RM_Code]=$A19)*M_BOM[RM_Qty_Per_Batch]*IFERROR(INDEX(PP_Grid[#Data],M_BOM[PPGridRow],59),0))</f>
        <v/>
      </c>
      <c r="BH19">
        <f>SUMPRODUCT((M_BOM[RM_Code]=$A19)*M_BOM[RM_Qty_Per_Batch]*IFERROR(INDEX(PP_Grid[#Data],M_BOM[PPGridRow],60),0))</f>
        <v/>
      </c>
      <c r="BI19">
        <f>SUMPRODUCT((M_BOM[RM_Code]=$A19)*M_BOM[RM_Qty_Per_Batch]*IFERROR(INDEX(PP_Grid[#Data],M_BOM[PPGridRow],61),0))</f>
        <v/>
      </c>
      <c r="BJ19">
        <f>SUMPRODUCT((M_BOM[RM_Code]=$A19)*M_BOM[RM_Qty_Per_Batch]*IFERROR(INDEX(PP_Grid[#Data],M_BOM[PPGridRow],62),0))</f>
        <v/>
      </c>
      <c r="BK19">
        <f>SUMPRODUCT((M_BOM[RM_Code]=$A19)*M_BOM[RM_Qty_Per_Batch]*IFERROR(INDEX(PP_Grid[#Data],M_BOM[PPGridRow],63),0))</f>
        <v/>
      </c>
      <c r="BL19">
        <f>SUMPRODUCT((M_BOM[RM_Code]=$A19)*M_BOM[RM_Qty_Per_Batch]*IFERROR(INDEX(PP_Grid[#Data],M_BOM[PPGridRow],64),0))</f>
        <v/>
      </c>
      <c r="BM19">
        <f>SUMPRODUCT((M_BOM[RM_Code]=$A19)*M_BOM[RM_Qty_Per_Batch]*IFERROR(INDEX(PP_Grid[#Data],M_BOM[PPGridRow],65),0))</f>
        <v/>
      </c>
      <c r="BN19">
        <f>SUMPRODUCT((M_BOM[RM_Code]=$A19)*M_BOM[RM_Qty_Per_Batch]*IFERROR(INDEX(PP_Grid[#Data],M_BOM[PPGridRow],66),0))</f>
        <v/>
      </c>
      <c r="BO19">
        <f>SUMPRODUCT((M_BOM[RM_Code]=$A19)*M_BOM[RM_Qty_Per_Batch]*IFERROR(INDEX(PP_Grid[#Data],M_BOM[PPGridRow],67),0))</f>
        <v/>
      </c>
      <c r="BP19">
        <f>SUMPRODUCT((M_BOM[RM_Code]=$A19)*M_BOM[RM_Qty_Per_Batch]*IFERROR(INDEX(PP_Grid[#Data],M_BOM[PPGridRow],68),0))</f>
        <v/>
      </c>
      <c r="BQ19">
        <f>SUMPRODUCT((M_BOM[RM_Code]=$A19)*M_BOM[RM_Qty_Per_Batch]*IFERROR(INDEX(PP_Grid[#Data],M_BOM[PPGridRow],69),0))</f>
        <v/>
      </c>
      <c r="BR19">
        <f>SUMPRODUCT((M_BOM[RM_Code]=$A19)*M_BOM[RM_Qty_Per_Batch]*IFERROR(INDEX(PP_Grid[#Data],M_BOM[PPGridRow],70),0))</f>
        <v/>
      </c>
      <c r="BS19">
        <f>SUMPRODUCT((M_BOM[RM_Code]=$A19)*M_BOM[RM_Qty_Per_Batch]*IFERROR(INDEX(PP_Grid[#Data],M_BOM[PPGridRow],71),0))</f>
        <v/>
      </c>
      <c r="BT19">
        <f>SUMPRODUCT((M_BOM[RM_Code]=$A19)*M_BOM[RM_Qty_Per_Batch]*IFERROR(INDEX(PP_Grid[#Data],M_BOM[PPGridRow],72),0))</f>
        <v/>
      </c>
      <c r="BU19">
        <f>SUMPRODUCT((M_BOM[RM_Code]=$A19)*M_BOM[RM_Qty_Per_Batch]*IFERROR(INDEX(PP_Grid[#Data],M_BOM[PPGridRow],73),0))</f>
        <v/>
      </c>
      <c r="BV19">
        <f>SUMPRODUCT((M_BOM[RM_Code]=$A19)*M_BOM[RM_Qty_Per_Batch]*IFERROR(INDEX(PP_Grid[#Data],M_BOM[PPGridRow],74),0))</f>
        <v/>
      </c>
      <c r="BW19">
        <f>SUMPRODUCT((M_BOM[RM_Code]=$A19)*M_BOM[RM_Qty_Per_Batch]*IFERROR(INDEX(PP_Grid[#Data],M_BOM[PPGridRow],75),0))</f>
        <v/>
      </c>
      <c r="BX19">
        <f>SUMPRODUCT((M_BOM[RM_Code]=$A19)*M_BOM[RM_Qty_Per_Batch]*IFERROR(INDEX(PP_Grid[#Data],M_BOM[PPGridRow],76),0))</f>
        <v/>
      </c>
      <c r="BY19">
        <f>SUMPRODUCT((M_BOM[RM_Code]=$A19)*M_BOM[RM_Qty_Per_Batch]*IFERROR(INDEX(PP_Grid[#Data],M_BOM[PPGridRow],77),0))</f>
        <v/>
      </c>
      <c r="BZ19">
        <f>SUMPRODUCT((M_BOM[RM_Code]=$A19)*M_BOM[RM_Qty_Per_Batch]*IFERROR(INDEX(PP_Grid[#Data],M_BOM[PPGridRow],78),0))</f>
        <v/>
      </c>
      <c r="CA19">
        <f>SUMPRODUCT((M_BOM[RM_Code]=$A19)*M_BOM[RM_Qty_Per_Batch]*IFERROR(INDEX(PP_Grid[#Data],M_BOM[PPGridRow],79),0))</f>
        <v/>
      </c>
      <c r="CB19">
        <f>SUMPRODUCT((M_BOM[RM_Code]=$A19)*M_BOM[RM_Qty_Per_Batch]*IFERROR(INDEX(PP_Grid[#Data],M_BOM[PPGridRow],80),0))</f>
        <v/>
      </c>
      <c r="CC19">
        <f>SUMPRODUCT((M_BOM[RM_Code]=$A19)*M_BOM[RM_Qty_Per_Batch]*IFERROR(INDEX(PP_Grid[#Data],M_BOM[PPGridRow],81),0))</f>
        <v/>
      </c>
      <c r="CD19">
        <f>SUMPRODUCT((M_BOM[RM_Code]=$A19)*M_BOM[RM_Qty_Per_Batch]*IFERROR(INDEX(PP_Grid[#Data],M_BOM[PPGridRow],82),0))</f>
        <v/>
      </c>
      <c r="CE19">
        <f>SUMPRODUCT((M_BOM[RM_Code]=$A19)*M_BOM[RM_Qty_Per_Batch]*IFERROR(INDEX(PP_Grid[#Data],M_BOM[PPGridRow],83),0))</f>
        <v/>
      </c>
      <c r="CF19">
        <f>SUMPRODUCT((M_BOM[RM_Code]=$A19)*M_BOM[RM_Qty_Per_Batch]*IFERROR(INDEX(PP_Grid[#Data],M_BOM[PPGridRow],84),0))</f>
        <v/>
      </c>
      <c r="CG19">
        <f>SUMPRODUCT((M_BOM[RM_Code]=$A19)*M_BOM[RM_Qty_Per_Batch]*IFERROR(INDEX(PP_Grid[#Data],M_BOM[PPGridRow],85),0))</f>
        <v/>
      </c>
      <c r="CH19">
        <f>SUMPRODUCT((M_BOM[RM_Code]=$A19)*M_BOM[RM_Qty_Per_Batch]*IFERROR(INDEX(PP_Grid[#Data],M_BOM[PPGridRow],86),0))</f>
        <v/>
      </c>
      <c r="CI19">
        <f>SUMPRODUCT((M_BOM[RM_Code]=$A19)*M_BOM[RM_Qty_Per_Batch]*IFERROR(INDEX(PP_Grid[#Data],M_BOM[PPGridRow],87),0))</f>
        <v/>
      </c>
      <c r="CJ19">
        <f>SUMPRODUCT((M_BOM[RM_Code]=$A19)*M_BOM[RM_Qty_Per_Batch]*IFERROR(INDEX(PP_Grid[#Data],M_BOM[PPGridRow],88),0))</f>
        <v/>
      </c>
      <c r="CK19">
        <f>SUMPRODUCT((M_BOM[RM_Code]=$A19)*M_BOM[RM_Qty_Per_Batch]*IFERROR(INDEX(PP_Grid[#Data],M_BOM[PPGridRow],89),0))</f>
        <v/>
      </c>
      <c r="CL19">
        <f>SUMPRODUCT((M_BOM[RM_Code]=$A19)*M_BOM[RM_Qty_Per_Batch]*IFERROR(INDEX(PP_Grid[#Data],M_BOM[PPGridRow],90),0))</f>
        <v/>
      </c>
      <c r="CM19">
        <f>SUMPRODUCT((M_BOM[RM_Code]=$A19)*M_BOM[RM_Qty_Per_Batch]*IFERROR(INDEX(PP_Grid[#Data],M_BOM[PPGridRow],91),0))</f>
        <v/>
      </c>
      <c r="CN19">
        <f>SUMPRODUCT((M_BOM[RM_Code]=$A19)*M_BOM[RM_Qty_Per_Batch]*IFERROR(INDEX(PP_Grid[#Data],M_BOM[PPGridRow],92),0))</f>
        <v/>
      </c>
      <c r="CO19">
        <f>SUMPRODUCT((M_BOM[RM_Code]=$A19)*M_BOM[RM_Qty_Per_Batch]*IFERROR(INDEX(PP_Grid[#Data],M_BOM[PPGridRow],93),0))</f>
        <v/>
      </c>
      <c r="CP19">
        <f>SUMPRODUCT((M_BOM[RM_Code]=$A19)*M_BOM[RM_Qty_Per_Batch]*IFERROR(INDEX(PP_Grid[#Data],M_BOM[PPGridRow],94),0))</f>
        <v/>
      </c>
      <c r="CQ19">
        <f>SUMPRODUCT((M_BOM[RM_Code]=$A19)*M_BOM[RM_Qty_Per_Batch]*IFERROR(INDEX(PP_Grid[#Data],M_BOM[PPGridRow],95),0))</f>
        <v/>
      </c>
      <c r="CR19">
        <f>SUMPRODUCT((M_BOM[RM_Code]=$A19)*M_BOM[RM_Qty_Per_Batch]*IFERROR(INDEX(PP_Grid[#Data],M_BOM[PPGridRow],96),0))</f>
        <v/>
      </c>
      <c r="CS19">
        <f>SUMPRODUCT((M_BOM[RM_Code]=$A19)*M_BOM[RM_Qty_Per_Batch]*IFERROR(INDEX(PP_Grid[#Data],M_BOM[PPGridRow],97),0))</f>
        <v/>
      </c>
      <c r="CT19">
        <f>SUMPRODUCT((M_BOM[RM_Code]=$A19)*M_BOM[RM_Qty_Per_Batch]*IFERROR(INDEX(PP_Grid[#Data],M_BOM[PPGridRow],98),0))</f>
        <v/>
      </c>
      <c r="CU19">
        <f>SUMPRODUCT((M_BOM[RM_Code]=$A19)*M_BOM[RM_Qty_Per_Batch]*IFERROR(INDEX(PP_Grid[#Data],M_BOM[PPGridRow],99),0))</f>
        <v/>
      </c>
      <c r="CV19">
        <f>SUMPRODUCT((M_BOM[RM_Code]=$A19)*M_BOM[RM_Qty_Per_Batch]*IFERROR(INDEX(PP_Grid[#Data],M_BOM[PPGridRow],100),0))</f>
        <v/>
      </c>
      <c r="CW19">
        <f>SUMPRODUCT((M_BOM[RM_Code]=$A19)*M_BOM[RM_Qty_Per_Batch]*IFERROR(INDEX(PP_Grid[#Data],M_BOM[PPGridRow],101),0))</f>
        <v/>
      </c>
      <c r="CX19">
        <f>SUMPRODUCT((M_BOM[RM_Code]=$A19)*M_BOM[RM_Qty_Per_Batch]*IFERROR(INDEX(PP_Grid[#Data],M_BOM[PPGridRow],102),0))</f>
        <v/>
      </c>
      <c r="CY19">
        <f>SUMPRODUCT((M_BOM[RM_Code]=$A19)*M_BOM[RM_Qty_Per_Batch]*IFERROR(INDEX(PP_Grid[#Data],M_BOM[PPGridRow],103),0))</f>
        <v/>
      </c>
      <c r="CZ19">
        <f>SUMPRODUCT((M_BOM[RM_Code]=$A19)*M_BOM[RM_Qty_Per_Batch]*IFERROR(INDEX(PP_Grid[#Data],M_BOM[PPGridRow],104),0))</f>
        <v/>
      </c>
      <c r="DA19">
        <f>SUMPRODUCT((M_BOM[RM_Code]=$A19)*M_BOM[RM_Qty_Per_Batch]*IFERROR(INDEX(PP_Grid[#Data],M_BOM[PPGridRow],105),0))</f>
        <v/>
      </c>
    </row>
    <row r="20">
      <c r="A20" t="inlineStr">
        <is>
          <t>CHEM-1650</t>
        </is>
      </c>
      <c r="B20">
        <f>SUMPRODUCT((M_BOM[RM_Code]=$A20)*M_BOM[RM_Qty_Per_Batch]*IFERROR(INDEX(PP_Grid[#Data],M_BOM[PPGridRow],2),0))</f>
        <v/>
      </c>
      <c r="C20">
        <f>SUMPRODUCT((M_BOM[RM_Code]=$A20)*M_BOM[RM_Qty_Per_Batch]*IFERROR(INDEX(PP_Grid[#Data],M_BOM[PPGridRow],3),0))</f>
        <v/>
      </c>
      <c r="D20">
        <f>SUMPRODUCT((M_BOM[RM_Code]=$A20)*M_BOM[RM_Qty_Per_Batch]*IFERROR(INDEX(PP_Grid[#Data],M_BOM[PPGridRow],4),0))</f>
        <v/>
      </c>
      <c r="E20">
        <f>SUMPRODUCT((M_BOM[RM_Code]=$A20)*M_BOM[RM_Qty_Per_Batch]*IFERROR(INDEX(PP_Grid[#Data],M_BOM[PPGridRow],5),0))</f>
        <v/>
      </c>
      <c r="F20">
        <f>SUMPRODUCT((M_BOM[RM_Code]=$A20)*M_BOM[RM_Qty_Per_Batch]*IFERROR(INDEX(PP_Grid[#Data],M_BOM[PPGridRow],6),0))</f>
        <v/>
      </c>
      <c r="G20">
        <f>SUMPRODUCT((M_BOM[RM_Code]=$A20)*M_BOM[RM_Qty_Per_Batch]*IFERROR(INDEX(PP_Grid[#Data],M_BOM[PPGridRow],7),0))</f>
        <v/>
      </c>
      <c r="H20">
        <f>SUMPRODUCT((M_BOM[RM_Code]=$A20)*M_BOM[RM_Qty_Per_Batch]*IFERROR(INDEX(PP_Grid[#Data],M_BOM[PPGridRow],8),0))</f>
        <v/>
      </c>
      <c r="I20">
        <f>SUMPRODUCT((M_BOM[RM_Code]=$A20)*M_BOM[RM_Qty_Per_Batch]*IFERROR(INDEX(PP_Grid[#Data],M_BOM[PPGridRow],9),0))</f>
        <v/>
      </c>
      <c r="J20">
        <f>SUMPRODUCT((M_BOM[RM_Code]=$A20)*M_BOM[RM_Qty_Per_Batch]*IFERROR(INDEX(PP_Grid[#Data],M_BOM[PPGridRow],10),0))</f>
        <v/>
      </c>
      <c r="K20">
        <f>SUMPRODUCT((M_BOM[RM_Code]=$A20)*M_BOM[RM_Qty_Per_Batch]*IFERROR(INDEX(PP_Grid[#Data],M_BOM[PPGridRow],11),0))</f>
        <v/>
      </c>
      <c r="L20">
        <f>SUMPRODUCT((M_BOM[RM_Code]=$A20)*M_BOM[RM_Qty_Per_Batch]*IFERROR(INDEX(PP_Grid[#Data],M_BOM[PPGridRow],12),0))</f>
        <v/>
      </c>
      <c r="M20">
        <f>SUMPRODUCT((M_BOM[RM_Code]=$A20)*M_BOM[RM_Qty_Per_Batch]*IFERROR(INDEX(PP_Grid[#Data],M_BOM[PPGridRow],13),0))</f>
        <v/>
      </c>
      <c r="N20">
        <f>SUMPRODUCT((M_BOM[RM_Code]=$A20)*M_BOM[RM_Qty_Per_Batch]*IFERROR(INDEX(PP_Grid[#Data],M_BOM[PPGridRow],14),0))</f>
        <v/>
      </c>
      <c r="O20">
        <f>SUMPRODUCT((M_BOM[RM_Code]=$A20)*M_BOM[RM_Qty_Per_Batch]*IFERROR(INDEX(PP_Grid[#Data],M_BOM[PPGridRow],15),0))</f>
        <v/>
      </c>
      <c r="P20">
        <f>SUMPRODUCT((M_BOM[RM_Code]=$A20)*M_BOM[RM_Qty_Per_Batch]*IFERROR(INDEX(PP_Grid[#Data],M_BOM[PPGridRow],16),0))</f>
        <v/>
      </c>
      <c r="Q20">
        <f>SUMPRODUCT((M_BOM[RM_Code]=$A20)*M_BOM[RM_Qty_Per_Batch]*IFERROR(INDEX(PP_Grid[#Data],M_BOM[PPGridRow],17),0))</f>
        <v/>
      </c>
      <c r="R20">
        <f>SUMPRODUCT((M_BOM[RM_Code]=$A20)*M_BOM[RM_Qty_Per_Batch]*IFERROR(INDEX(PP_Grid[#Data],M_BOM[PPGridRow],18),0))</f>
        <v/>
      </c>
      <c r="S20">
        <f>SUMPRODUCT((M_BOM[RM_Code]=$A20)*M_BOM[RM_Qty_Per_Batch]*IFERROR(INDEX(PP_Grid[#Data],M_BOM[PPGridRow],19),0))</f>
        <v/>
      </c>
      <c r="T20">
        <f>SUMPRODUCT((M_BOM[RM_Code]=$A20)*M_BOM[RM_Qty_Per_Batch]*IFERROR(INDEX(PP_Grid[#Data],M_BOM[PPGridRow],20),0))</f>
        <v/>
      </c>
      <c r="U20">
        <f>SUMPRODUCT((M_BOM[RM_Code]=$A20)*M_BOM[RM_Qty_Per_Batch]*IFERROR(INDEX(PP_Grid[#Data],M_BOM[PPGridRow],21),0))</f>
        <v/>
      </c>
      <c r="V20">
        <f>SUMPRODUCT((M_BOM[RM_Code]=$A20)*M_BOM[RM_Qty_Per_Batch]*IFERROR(INDEX(PP_Grid[#Data],M_BOM[PPGridRow],22),0))</f>
        <v/>
      </c>
      <c r="W20">
        <f>SUMPRODUCT((M_BOM[RM_Code]=$A20)*M_BOM[RM_Qty_Per_Batch]*IFERROR(INDEX(PP_Grid[#Data],M_BOM[PPGridRow],23),0))</f>
        <v/>
      </c>
      <c r="X20">
        <f>SUMPRODUCT((M_BOM[RM_Code]=$A20)*M_BOM[RM_Qty_Per_Batch]*IFERROR(INDEX(PP_Grid[#Data],M_BOM[PPGridRow],24),0))</f>
        <v/>
      </c>
      <c r="Y20">
        <f>SUMPRODUCT((M_BOM[RM_Code]=$A20)*M_BOM[RM_Qty_Per_Batch]*IFERROR(INDEX(PP_Grid[#Data],M_BOM[PPGridRow],25),0))</f>
        <v/>
      </c>
      <c r="Z20">
        <f>SUMPRODUCT((M_BOM[RM_Code]=$A20)*M_BOM[RM_Qty_Per_Batch]*IFERROR(INDEX(PP_Grid[#Data],M_BOM[PPGridRow],26),0))</f>
        <v/>
      </c>
      <c r="AA20">
        <f>SUMPRODUCT((M_BOM[RM_Code]=$A20)*M_BOM[RM_Qty_Per_Batch]*IFERROR(INDEX(PP_Grid[#Data],M_BOM[PPGridRow],27),0))</f>
        <v/>
      </c>
      <c r="AB20">
        <f>SUMPRODUCT((M_BOM[RM_Code]=$A20)*M_BOM[RM_Qty_Per_Batch]*IFERROR(INDEX(PP_Grid[#Data],M_BOM[PPGridRow],28),0))</f>
        <v/>
      </c>
      <c r="AC20">
        <f>SUMPRODUCT((M_BOM[RM_Code]=$A20)*M_BOM[RM_Qty_Per_Batch]*IFERROR(INDEX(PP_Grid[#Data],M_BOM[PPGridRow],29),0))</f>
        <v/>
      </c>
      <c r="AD20">
        <f>SUMPRODUCT((M_BOM[RM_Code]=$A20)*M_BOM[RM_Qty_Per_Batch]*IFERROR(INDEX(PP_Grid[#Data],M_BOM[PPGridRow],30),0))</f>
        <v/>
      </c>
      <c r="AE20">
        <f>SUMPRODUCT((M_BOM[RM_Code]=$A20)*M_BOM[RM_Qty_Per_Batch]*IFERROR(INDEX(PP_Grid[#Data],M_BOM[PPGridRow],31),0))</f>
        <v/>
      </c>
      <c r="AF20">
        <f>SUMPRODUCT((M_BOM[RM_Code]=$A20)*M_BOM[RM_Qty_Per_Batch]*IFERROR(INDEX(PP_Grid[#Data],M_BOM[PPGridRow],32),0))</f>
        <v/>
      </c>
      <c r="AG20">
        <f>SUMPRODUCT((M_BOM[RM_Code]=$A20)*M_BOM[RM_Qty_Per_Batch]*IFERROR(INDEX(PP_Grid[#Data],M_BOM[PPGridRow],33),0))</f>
        <v/>
      </c>
      <c r="AH20">
        <f>SUMPRODUCT((M_BOM[RM_Code]=$A20)*M_BOM[RM_Qty_Per_Batch]*IFERROR(INDEX(PP_Grid[#Data],M_BOM[PPGridRow],34),0))</f>
        <v/>
      </c>
      <c r="AI20">
        <f>SUMPRODUCT((M_BOM[RM_Code]=$A20)*M_BOM[RM_Qty_Per_Batch]*IFERROR(INDEX(PP_Grid[#Data],M_BOM[PPGridRow],35),0))</f>
        <v/>
      </c>
      <c r="AJ20">
        <f>SUMPRODUCT((M_BOM[RM_Code]=$A20)*M_BOM[RM_Qty_Per_Batch]*IFERROR(INDEX(PP_Grid[#Data],M_BOM[PPGridRow],36),0))</f>
        <v/>
      </c>
      <c r="AK20">
        <f>SUMPRODUCT((M_BOM[RM_Code]=$A20)*M_BOM[RM_Qty_Per_Batch]*IFERROR(INDEX(PP_Grid[#Data],M_BOM[PPGridRow],37),0))</f>
        <v/>
      </c>
      <c r="AL20">
        <f>SUMPRODUCT((M_BOM[RM_Code]=$A20)*M_BOM[RM_Qty_Per_Batch]*IFERROR(INDEX(PP_Grid[#Data],M_BOM[PPGridRow],38),0))</f>
        <v/>
      </c>
      <c r="AM20">
        <f>SUMPRODUCT((M_BOM[RM_Code]=$A20)*M_BOM[RM_Qty_Per_Batch]*IFERROR(INDEX(PP_Grid[#Data],M_BOM[PPGridRow],39),0))</f>
        <v/>
      </c>
      <c r="AN20">
        <f>SUMPRODUCT((M_BOM[RM_Code]=$A20)*M_BOM[RM_Qty_Per_Batch]*IFERROR(INDEX(PP_Grid[#Data],M_BOM[PPGridRow],40),0))</f>
        <v/>
      </c>
      <c r="AO20">
        <f>SUMPRODUCT((M_BOM[RM_Code]=$A20)*M_BOM[RM_Qty_Per_Batch]*IFERROR(INDEX(PP_Grid[#Data],M_BOM[PPGridRow],41),0))</f>
        <v/>
      </c>
      <c r="AP20">
        <f>SUMPRODUCT((M_BOM[RM_Code]=$A20)*M_BOM[RM_Qty_Per_Batch]*IFERROR(INDEX(PP_Grid[#Data],M_BOM[PPGridRow],42),0))</f>
        <v/>
      </c>
      <c r="AQ20">
        <f>SUMPRODUCT((M_BOM[RM_Code]=$A20)*M_BOM[RM_Qty_Per_Batch]*IFERROR(INDEX(PP_Grid[#Data],M_BOM[PPGridRow],43),0))</f>
        <v/>
      </c>
      <c r="AR20">
        <f>SUMPRODUCT((M_BOM[RM_Code]=$A20)*M_BOM[RM_Qty_Per_Batch]*IFERROR(INDEX(PP_Grid[#Data],M_BOM[PPGridRow],44),0))</f>
        <v/>
      </c>
      <c r="AS20">
        <f>SUMPRODUCT((M_BOM[RM_Code]=$A20)*M_BOM[RM_Qty_Per_Batch]*IFERROR(INDEX(PP_Grid[#Data],M_BOM[PPGridRow],45),0))</f>
        <v/>
      </c>
      <c r="AT20">
        <f>SUMPRODUCT((M_BOM[RM_Code]=$A20)*M_BOM[RM_Qty_Per_Batch]*IFERROR(INDEX(PP_Grid[#Data],M_BOM[PPGridRow],46),0))</f>
        <v/>
      </c>
      <c r="AU20">
        <f>SUMPRODUCT((M_BOM[RM_Code]=$A20)*M_BOM[RM_Qty_Per_Batch]*IFERROR(INDEX(PP_Grid[#Data],M_BOM[PPGridRow],47),0))</f>
        <v/>
      </c>
      <c r="AV20">
        <f>SUMPRODUCT((M_BOM[RM_Code]=$A20)*M_BOM[RM_Qty_Per_Batch]*IFERROR(INDEX(PP_Grid[#Data],M_BOM[PPGridRow],48),0))</f>
        <v/>
      </c>
      <c r="AW20">
        <f>SUMPRODUCT((M_BOM[RM_Code]=$A20)*M_BOM[RM_Qty_Per_Batch]*IFERROR(INDEX(PP_Grid[#Data],M_BOM[PPGridRow],49),0))</f>
        <v/>
      </c>
      <c r="AX20">
        <f>SUMPRODUCT((M_BOM[RM_Code]=$A20)*M_BOM[RM_Qty_Per_Batch]*IFERROR(INDEX(PP_Grid[#Data],M_BOM[PPGridRow],50),0))</f>
        <v/>
      </c>
      <c r="AY20">
        <f>SUMPRODUCT((M_BOM[RM_Code]=$A20)*M_BOM[RM_Qty_Per_Batch]*IFERROR(INDEX(PP_Grid[#Data],M_BOM[PPGridRow],51),0))</f>
        <v/>
      </c>
      <c r="AZ20">
        <f>SUMPRODUCT((M_BOM[RM_Code]=$A20)*M_BOM[RM_Qty_Per_Batch]*IFERROR(INDEX(PP_Grid[#Data],M_BOM[PPGridRow],52),0))</f>
        <v/>
      </c>
      <c r="BA20">
        <f>SUMPRODUCT((M_BOM[RM_Code]=$A20)*M_BOM[RM_Qty_Per_Batch]*IFERROR(INDEX(PP_Grid[#Data],M_BOM[PPGridRow],53),0))</f>
        <v/>
      </c>
      <c r="BB20">
        <f>SUMPRODUCT((M_BOM[RM_Code]=$A20)*M_BOM[RM_Qty_Per_Batch]*IFERROR(INDEX(PP_Grid[#Data],M_BOM[PPGridRow],54),0))</f>
        <v/>
      </c>
      <c r="BC20">
        <f>SUMPRODUCT((M_BOM[RM_Code]=$A20)*M_BOM[RM_Qty_Per_Batch]*IFERROR(INDEX(PP_Grid[#Data],M_BOM[PPGridRow],55),0))</f>
        <v/>
      </c>
      <c r="BD20">
        <f>SUMPRODUCT((M_BOM[RM_Code]=$A20)*M_BOM[RM_Qty_Per_Batch]*IFERROR(INDEX(PP_Grid[#Data],M_BOM[PPGridRow],56),0))</f>
        <v/>
      </c>
      <c r="BE20">
        <f>SUMPRODUCT((M_BOM[RM_Code]=$A20)*M_BOM[RM_Qty_Per_Batch]*IFERROR(INDEX(PP_Grid[#Data],M_BOM[PPGridRow],57),0))</f>
        <v/>
      </c>
      <c r="BF20">
        <f>SUMPRODUCT((M_BOM[RM_Code]=$A20)*M_BOM[RM_Qty_Per_Batch]*IFERROR(INDEX(PP_Grid[#Data],M_BOM[PPGridRow],58),0))</f>
        <v/>
      </c>
      <c r="BG20">
        <f>SUMPRODUCT((M_BOM[RM_Code]=$A20)*M_BOM[RM_Qty_Per_Batch]*IFERROR(INDEX(PP_Grid[#Data],M_BOM[PPGridRow],59),0))</f>
        <v/>
      </c>
      <c r="BH20">
        <f>SUMPRODUCT((M_BOM[RM_Code]=$A20)*M_BOM[RM_Qty_Per_Batch]*IFERROR(INDEX(PP_Grid[#Data],M_BOM[PPGridRow],60),0))</f>
        <v/>
      </c>
      <c r="BI20">
        <f>SUMPRODUCT((M_BOM[RM_Code]=$A20)*M_BOM[RM_Qty_Per_Batch]*IFERROR(INDEX(PP_Grid[#Data],M_BOM[PPGridRow],61),0))</f>
        <v/>
      </c>
      <c r="BJ20">
        <f>SUMPRODUCT((M_BOM[RM_Code]=$A20)*M_BOM[RM_Qty_Per_Batch]*IFERROR(INDEX(PP_Grid[#Data],M_BOM[PPGridRow],62),0))</f>
        <v/>
      </c>
      <c r="BK20">
        <f>SUMPRODUCT((M_BOM[RM_Code]=$A20)*M_BOM[RM_Qty_Per_Batch]*IFERROR(INDEX(PP_Grid[#Data],M_BOM[PPGridRow],63),0))</f>
        <v/>
      </c>
      <c r="BL20">
        <f>SUMPRODUCT((M_BOM[RM_Code]=$A20)*M_BOM[RM_Qty_Per_Batch]*IFERROR(INDEX(PP_Grid[#Data],M_BOM[PPGridRow],64),0))</f>
        <v/>
      </c>
      <c r="BM20">
        <f>SUMPRODUCT((M_BOM[RM_Code]=$A20)*M_BOM[RM_Qty_Per_Batch]*IFERROR(INDEX(PP_Grid[#Data],M_BOM[PPGridRow],65),0))</f>
        <v/>
      </c>
      <c r="BN20">
        <f>SUMPRODUCT((M_BOM[RM_Code]=$A20)*M_BOM[RM_Qty_Per_Batch]*IFERROR(INDEX(PP_Grid[#Data],M_BOM[PPGridRow],66),0))</f>
        <v/>
      </c>
      <c r="BO20">
        <f>SUMPRODUCT((M_BOM[RM_Code]=$A20)*M_BOM[RM_Qty_Per_Batch]*IFERROR(INDEX(PP_Grid[#Data],M_BOM[PPGridRow],67),0))</f>
        <v/>
      </c>
      <c r="BP20">
        <f>SUMPRODUCT((M_BOM[RM_Code]=$A20)*M_BOM[RM_Qty_Per_Batch]*IFERROR(INDEX(PP_Grid[#Data],M_BOM[PPGridRow],68),0))</f>
        <v/>
      </c>
      <c r="BQ20">
        <f>SUMPRODUCT((M_BOM[RM_Code]=$A20)*M_BOM[RM_Qty_Per_Batch]*IFERROR(INDEX(PP_Grid[#Data],M_BOM[PPGridRow],69),0))</f>
        <v/>
      </c>
      <c r="BR20">
        <f>SUMPRODUCT((M_BOM[RM_Code]=$A20)*M_BOM[RM_Qty_Per_Batch]*IFERROR(INDEX(PP_Grid[#Data],M_BOM[PPGridRow],70),0))</f>
        <v/>
      </c>
      <c r="BS20">
        <f>SUMPRODUCT((M_BOM[RM_Code]=$A20)*M_BOM[RM_Qty_Per_Batch]*IFERROR(INDEX(PP_Grid[#Data],M_BOM[PPGridRow],71),0))</f>
        <v/>
      </c>
      <c r="BT20">
        <f>SUMPRODUCT((M_BOM[RM_Code]=$A20)*M_BOM[RM_Qty_Per_Batch]*IFERROR(INDEX(PP_Grid[#Data],M_BOM[PPGridRow],72),0))</f>
        <v/>
      </c>
      <c r="BU20">
        <f>SUMPRODUCT((M_BOM[RM_Code]=$A20)*M_BOM[RM_Qty_Per_Batch]*IFERROR(INDEX(PP_Grid[#Data],M_BOM[PPGridRow],73),0))</f>
        <v/>
      </c>
      <c r="BV20">
        <f>SUMPRODUCT((M_BOM[RM_Code]=$A20)*M_BOM[RM_Qty_Per_Batch]*IFERROR(INDEX(PP_Grid[#Data],M_BOM[PPGridRow],74),0))</f>
        <v/>
      </c>
      <c r="BW20">
        <f>SUMPRODUCT((M_BOM[RM_Code]=$A20)*M_BOM[RM_Qty_Per_Batch]*IFERROR(INDEX(PP_Grid[#Data],M_BOM[PPGridRow],75),0))</f>
        <v/>
      </c>
      <c r="BX20">
        <f>SUMPRODUCT((M_BOM[RM_Code]=$A20)*M_BOM[RM_Qty_Per_Batch]*IFERROR(INDEX(PP_Grid[#Data],M_BOM[PPGridRow],76),0))</f>
        <v/>
      </c>
      <c r="BY20">
        <f>SUMPRODUCT((M_BOM[RM_Code]=$A20)*M_BOM[RM_Qty_Per_Batch]*IFERROR(INDEX(PP_Grid[#Data],M_BOM[PPGridRow],77),0))</f>
        <v/>
      </c>
      <c r="BZ20">
        <f>SUMPRODUCT((M_BOM[RM_Code]=$A20)*M_BOM[RM_Qty_Per_Batch]*IFERROR(INDEX(PP_Grid[#Data],M_BOM[PPGridRow],78),0))</f>
        <v/>
      </c>
      <c r="CA20">
        <f>SUMPRODUCT((M_BOM[RM_Code]=$A20)*M_BOM[RM_Qty_Per_Batch]*IFERROR(INDEX(PP_Grid[#Data],M_BOM[PPGridRow],79),0))</f>
        <v/>
      </c>
      <c r="CB20">
        <f>SUMPRODUCT((M_BOM[RM_Code]=$A20)*M_BOM[RM_Qty_Per_Batch]*IFERROR(INDEX(PP_Grid[#Data],M_BOM[PPGridRow],80),0))</f>
        <v/>
      </c>
      <c r="CC20">
        <f>SUMPRODUCT((M_BOM[RM_Code]=$A20)*M_BOM[RM_Qty_Per_Batch]*IFERROR(INDEX(PP_Grid[#Data],M_BOM[PPGridRow],81),0))</f>
        <v/>
      </c>
      <c r="CD20">
        <f>SUMPRODUCT((M_BOM[RM_Code]=$A20)*M_BOM[RM_Qty_Per_Batch]*IFERROR(INDEX(PP_Grid[#Data],M_BOM[PPGridRow],82),0))</f>
        <v/>
      </c>
      <c r="CE20">
        <f>SUMPRODUCT((M_BOM[RM_Code]=$A20)*M_BOM[RM_Qty_Per_Batch]*IFERROR(INDEX(PP_Grid[#Data],M_BOM[PPGridRow],83),0))</f>
        <v/>
      </c>
      <c r="CF20">
        <f>SUMPRODUCT((M_BOM[RM_Code]=$A20)*M_BOM[RM_Qty_Per_Batch]*IFERROR(INDEX(PP_Grid[#Data],M_BOM[PPGridRow],84),0))</f>
        <v/>
      </c>
      <c r="CG20">
        <f>SUMPRODUCT((M_BOM[RM_Code]=$A20)*M_BOM[RM_Qty_Per_Batch]*IFERROR(INDEX(PP_Grid[#Data],M_BOM[PPGridRow],85),0))</f>
        <v/>
      </c>
      <c r="CH20">
        <f>SUMPRODUCT((M_BOM[RM_Code]=$A20)*M_BOM[RM_Qty_Per_Batch]*IFERROR(INDEX(PP_Grid[#Data],M_BOM[PPGridRow],86),0))</f>
        <v/>
      </c>
      <c r="CI20">
        <f>SUMPRODUCT((M_BOM[RM_Code]=$A20)*M_BOM[RM_Qty_Per_Batch]*IFERROR(INDEX(PP_Grid[#Data],M_BOM[PPGridRow],87),0))</f>
        <v/>
      </c>
      <c r="CJ20">
        <f>SUMPRODUCT((M_BOM[RM_Code]=$A20)*M_BOM[RM_Qty_Per_Batch]*IFERROR(INDEX(PP_Grid[#Data],M_BOM[PPGridRow],88),0))</f>
        <v/>
      </c>
      <c r="CK20">
        <f>SUMPRODUCT((M_BOM[RM_Code]=$A20)*M_BOM[RM_Qty_Per_Batch]*IFERROR(INDEX(PP_Grid[#Data],M_BOM[PPGridRow],89),0))</f>
        <v/>
      </c>
      <c r="CL20">
        <f>SUMPRODUCT((M_BOM[RM_Code]=$A20)*M_BOM[RM_Qty_Per_Batch]*IFERROR(INDEX(PP_Grid[#Data],M_BOM[PPGridRow],90),0))</f>
        <v/>
      </c>
      <c r="CM20">
        <f>SUMPRODUCT((M_BOM[RM_Code]=$A20)*M_BOM[RM_Qty_Per_Batch]*IFERROR(INDEX(PP_Grid[#Data],M_BOM[PPGridRow],91),0))</f>
        <v/>
      </c>
      <c r="CN20">
        <f>SUMPRODUCT((M_BOM[RM_Code]=$A20)*M_BOM[RM_Qty_Per_Batch]*IFERROR(INDEX(PP_Grid[#Data],M_BOM[PPGridRow],92),0))</f>
        <v/>
      </c>
      <c r="CO20">
        <f>SUMPRODUCT((M_BOM[RM_Code]=$A20)*M_BOM[RM_Qty_Per_Batch]*IFERROR(INDEX(PP_Grid[#Data],M_BOM[PPGridRow],93),0))</f>
        <v/>
      </c>
      <c r="CP20">
        <f>SUMPRODUCT((M_BOM[RM_Code]=$A20)*M_BOM[RM_Qty_Per_Batch]*IFERROR(INDEX(PP_Grid[#Data],M_BOM[PPGridRow],94),0))</f>
        <v/>
      </c>
      <c r="CQ20">
        <f>SUMPRODUCT((M_BOM[RM_Code]=$A20)*M_BOM[RM_Qty_Per_Batch]*IFERROR(INDEX(PP_Grid[#Data],M_BOM[PPGridRow],95),0))</f>
        <v/>
      </c>
      <c r="CR20">
        <f>SUMPRODUCT((M_BOM[RM_Code]=$A20)*M_BOM[RM_Qty_Per_Batch]*IFERROR(INDEX(PP_Grid[#Data],M_BOM[PPGridRow],96),0))</f>
        <v/>
      </c>
      <c r="CS20">
        <f>SUMPRODUCT((M_BOM[RM_Code]=$A20)*M_BOM[RM_Qty_Per_Batch]*IFERROR(INDEX(PP_Grid[#Data],M_BOM[PPGridRow],97),0))</f>
        <v/>
      </c>
      <c r="CT20">
        <f>SUMPRODUCT((M_BOM[RM_Code]=$A20)*M_BOM[RM_Qty_Per_Batch]*IFERROR(INDEX(PP_Grid[#Data],M_BOM[PPGridRow],98),0))</f>
        <v/>
      </c>
      <c r="CU20">
        <f>SUMPRODUCT((M_BOM[RM_Code]=$A20)*M_BOM[RM_Qty_Per_Batch]*IFERROR(INDEX(PP_Grid[#Data],M_BOM[PPGridRow],99),0))</f>
        <v/>
      </c>
      <c r="CV20">
        <f>SUMPRODUCT((M_BOM[RM_Code]=$A20)*M_BOM[RM_Qty_Per_Batch]*IFERROR(INDEX(PP_Grid[#Data],M_BOM[PPGridRow],100),0))</f>
        <v/>
      </c>
      <c r="CW20">
        <f>SUMPRODUCT((M_BOM[RM_Code]=$A20)*M_BOM[RM_Qty_Per_Batch]*IFERROR(INDEX(PP_Grid[#Data],M_BOM[PPGridRow],101),0))</f>
        <v/>
      </c>
      <c r="CX20">
        <f>SUMPRODUCT((M_BOM[RM_Code]=$A20)*M_BOM[RM_Qty_Per_Batch]*IFERROR(INDEX(PP_Grid[#Data],M_BOM[PPGridRow],102),0))</f>
        <v/>
      </c>
      <c r="CY20">
        <f>SUMPRODUCT((M_BOM[RM_Code]=$A20)*M_BOM[RM_Qty_Per_Batch]*IFERROR(INDEX(PP_Grid[#Data],M_BOM[PPGridRow],103),0))</f>
        <v/>
      </c>
      <c r="CZ20">
        <f>SUMPRODUCT((M_BOM[RM_Code]=$A20)*M_BOM[RM_Qty_Per_Batch]*IFERROR(INDEX(PP_Grid[#Data],M_BOM[PPGridRow],104),0))</f>
        <v/>
      </c>
      <c r="DA20">
        <f>SUMPRODUCT((M_BOM[RM_Code]=$A20)*M_BOM[RM_Qty_Per_Batch]*IFERROR(INDEX(PP_Grid[#Data],M_BOM[PPGridRow],105),0))</f>
        <v/>
      </c>
    </row>
    <row r="21">
      <c r="A21" t="inlineStr">
        <is>
          <t>CHEM-1660</t>
        </is>
      </c>
      <c r="B21">
        <f>SUMPRODUCT((M_BOM[RM_Code]=$A21)*M_BOM[RM_Qty_Per_Batch]*IFERROR(INDEX(PP_Grid[#Data],M_BOM[PPGridRow],2),0))</f>
        <v/>
      </c>
      <c r="C21">
        <f>SUMPRODUCT((M_BOM[RM_Code]=$A21)*M_BOM[RM_Qty_Per_Batch]*IFERROR(INDEX(PP_Grid[#Data],M_BOM[PPGridRow],3),0))</f>
        <v/>
      </c>
      <c r="D21">
        <f>SUMPRODUCT((M_BOM[RM_Code]=$A21)*M_BOM[RM_Qty_Per_Batch]*IFERROR(INDEX(PP_Grid[#Data],M_BOM[PPGridRow],4),0))</f>
        <v/>
      </c>
      <c r="E21">
        <f>SUMPRODUCT((M_BOM[RM_Code]=$A21)*M_BOM[RM_Qty_Per_Batch]*IFERROR(INDEX(PP_Grid[#Data],M_BOM[PPGridRow],5),0))</f>
        <v/>
      </c>
      <c r="F21">
        <f>SUMPRODUCT((M_BOM[RM_Code]=$A21)*M_BOM[RM_Qty_Per_Batch]*IFERROR(INDEX(PP_Grid[#Data],M_BOM[PPGridRow],6),0))</f>
        <v/>
      </c>
      <c r="G21">
        <f>SUMPRODUCT((M_BOM[RM_Code]=$A21)*M_BOM[RM_Qty_Per_Batch]*IFERROR(INDEX(PP_Grid[#Data],M_BOM[PPGridRow],7),0))</f>
        <v/>
      </c>
      <c r="H21">
        <f>SUMPRODUCT((M_BOM[RM_Code]=$A21)*M_BOM[RM_Qty_Per_Batch]*IFERROR(INDEX(PP_Grid[#Data],M_BOM[PPGridRow],8),0))</f>
        <v/>
      </c>
      <c r="I21">
        <f>SUMPRODUCT((M_BOM[RM_Code]=$A21)*M_BOM[RM_Qty_Per_Batch]*IFERROR(INDEX(PP_Grid[#Data],M_BOM[PPGridRow],9),0))</f>
        <v/>
      </c>
      <c r="J21">
        <f>SUMPRODUCT((M_BOM[RM_Code]=$A21)*M_BOM[RM_Qty_Per_Batch]*IFERROR(INDEX(PP_Grid[#Data],M_BOM[PPGridRow],10),0))</f>
        <v/>
      </c>
      <c r="K21">
        <f>SUMPRODUCT((M_BOM[RM_Code]=$A21)*M_BOM[RM_Qty_Per_Batch]*IFERROR(INDEX(PP_Grid[#Data],M_BOM[PPGridRow],11),0))</f>
        <v/>
      </c>
      <c r="L21">
        <f>SUMPRODUCT((M_BOM[RM_Code]=$A21)*M_BOM[RM_Qty_Per_Batch]*IFERROR(INDEX(PP_Grid[#Data],M_BOM[PPGridRow],12),0))</f>
        <v/>
      </c>
      <c r="M21">
        <f>SUMPRODUCT((M_BOM[RM_Code]=$A21)*M_BOM[RM_Qty_Per_Batch]*IFERROR(INDEX(PP_Grid[#Data],M_BOM[PPGridRow],13),0))</f>
        <v/>
      </c>
      <c r="N21">
        <f>SUMPRODUCT((M_BOM[RM_Code]=$A21)*M_BOM[RM_Qty_Per_Batch]*IFERROR(INDEX(PP_Grid[#Data],M_BOM[PPGridRow],14),0))</f>
        <v/>
      </c>
      <c r="O21">
        <f>SUMPRODUCT((M_BOM[RM_Code]=$A21)*M_BOM[RM_Qty_Per_Batch]*IFERROR(INDEX(PP_Grid[#Data],M_BOM[PPGridRow],15),0))</f>
        <v/>
      </c>
      <c r="P21">
        <f>SUMPRODUCT((M_BOM[RM_Code]=$A21)*M_BOM[RM_Qty_Per_Batch]*IFERROR(INDEX(PP_Grid[#Data],M_BOM[PPGridRow],16),0))</f>
        <v/>
      </c>
      <c r="Q21">
        <f>SUMPRODUCT((M_BOM[RM_Code]=$A21)*M_BOM[RM_Qty_Per_Batch]*IFERROR(INDEX(PP_Grid[#Data],M_BOM[PPGridRow],17),0))</f>
        <v/>
      </c>
      <c r="R21">
        <f>SUMPRODUCT((M_BOM[RM_Code]=$A21)*M_BOM[RM_Qty_Per_Batch]*IFERROR(INDEX(PP_Grid[#Data],M_BOM[PPGridRow],18),0))</f>
        <v/>
      </c>
      <c r="S21">
        <f>SUMPRODUCT((M_BOM[RM_Code]=$A21)*M_BOM[RM_Qty_Per_Batch]*IFERROR(INDEX(PP_Grid[#Data],M_BOM[PPGridRow],19),0))</f>
        <v/>
      </c>
      <c r="T21">
        <f>SUMPRODUCT((M_BOM[RM_Code]=$A21)*M_BOM[RM_Qty_Per_Batch]*IFERROR(INDEX(PP_Grid[#Data],M_BOM[PPGridRow],20),0))</f>
        <v/>
      </c>
      <c r="U21">
        <f>SUMPRODUCT((M_BOM[RM_Code]=$A21)*M_BOM[RM_Qty_Per_Batch]*IFERROR(INDEX(PP_Grid[#Data],M_BOM[PPGridRow],21),0))</f>
        <v/>
      </c>
      <c r="V21">
        <f>SUMPRODUCT((M_BOM[RM_Code]=$A21)*M_BOM[RM_Qty_Per_Batch]*IFERROR(INDEX(PP_Grid[#Data],M_BOM[PPGridRow],22),0))</f>
        <v/>
      </c>
      <c r="W21">
        <f>SUMPRODUCT((M_BOM[RM_Code]=$A21)*M_BOM[RM_Qty_Per_Batch]*IFERROR(INDEX(PP_Grid[#Data],M_BOM[PPGridRow],23),0))</f>
        <v/>
      </c>
      <c r="X21">
        <f>SUMPRODUCT((M_BOM[RM_Code]=$A21)*M_BOM[RM_Qty_Per_Batch]*IFERROR(INDEX(PP_Grid[#Data],M_BOM[PPGridRow],24),0))</f>
        <v/>
      </c>
      <c r="Y21">
        <f>SUMPRODUCT((M_BOM[RM_Code]=$A21)*M_BOM[RM_Qty_Per_Batch]*IFERROR(INDEX(PP_Grid[#Data],M_BOM[PPGridRow],25),0))</f>
        <v/>
      </c>
      <c r="Z21">
        <f>SUMPRODUCT((M_BOM[RM_Code]=$A21)*M_BOM[RM_Qty_Per_Batch]*IFERROR(INDEX(PP_Grid[#Data],M_BOM[PPGridRow],26),0))</f>
        <v/>
      </c>
      <c r="AA21">
        <f>SUMPRODUCT((M_BOM[RM_Code]=$A21)*M_BOM[RM_Qty_Per_Batch]*IFERROR(INDEX(PP_Grid[#Data],M_BOM[PPGridRow],27),0))</f>
        <v/>
      </c>
      <c r="AB21">
        <f>SUMPRODUCT((M_BOM[RM_Code]=$A21)*M_BOM[RM_Qty_Per_Batch]*IFERROR(INDEX(PP_Grid[#Data],M_BOM[PPGridRow],28),0))</f>
        <v/>
      </c>
      <c r="AC21">
        <f>SUMPRODUCT((M_BOM[RM_Code]=$A21)*M_BOM[RM_Qty_Per_Batch]*IFERROR(INDEX(PP_Grid[#Data],M_BOM[PPGridRow],29),0))</f>
        <v/>
      </c>
      <c r="AD21">
        <f>SUMPRODUCT((M_BOM[RM_Code]=$A21)*M_BOM[RM_Qty_Per_Batch]*IFERROR(INDEX(PP_Grid[#Data],M_BOM[PPGridRow],30),0))</f>
        <v/>
      </c>
      <c r="AE21">
        <f>SUMPRODUCT((M_BOM[RM_Code]=$A21)*M_BOM[RM_Qty_Per_Batch]*IFERROR(INDEX(PP_Grid[#Data],M_BOM[PPGridRow],31),0))</f>
        <v/>
      </c>
      <c r="AF21">
        <f>SUMPRODUCT((M_BOM[RM_Code]=$A21)*M_BOM[RM_Qty_Per_Batch]*IFERROR(INDEX(PP_Grid[#Data],M_BOM[PPGridRow],32),0))</f>
        <v/>
      </c>
      <c r="AG21">
        <f>SUMPRODUCT((M_BOM[RM_Code]=$A21)*M_BOM[RM_Qty_Per_Batch]*IFERROR(INDEX(PP_Grid[#Data],M_BOM[PPGridRow],33),0))</f>
        <v/>
      </c>
      <c r="AH21">
        <f>SUMPRODUCT((M_BOM[RM_Code]=$A21)*M_BOM[RM_Qty_Per_Batch]*IFERROR(INDEX(PP_Grid[#Data],M_BOM[PPGridRow],34),0))</f>
        <v/>
      </c>
      <c r="AI21">
        <f>SUMPRODUCT((M_BOM[RM_Code]=$A21)*M_BOM[RM_Qty_Per_Batch]*IFERROR(INDEX(PP_Grid[#Data],M_BOM[PPGridRow],35),0))</f>
        <v/>
      </c>
      <c r="AJ21">
        <f>SUMPRODUCT((M_BOM[RM_Code]=$A21)*M_BOM[RM_Qty_Per_Batch]*IFERROR(INDEX(PP_Grid[#Data],M_BOM[PPGridRow],36),0))</f>
        <v/>
      </c>
      <c r="AK21">
        <f>SUMPRODUCT((M_BOM[RM_Code]=$A21)*M_BOM[RM_Qty_Per_Batch]*IFERROR(INDEX(PP_Grid[#Data],M_BOM[PPGridRow],37),0))</f>
        <v/>
      </c>
      <c r="AL21">
        <f>SUMPRODUCT((M_BOM[RM_Code]=$A21)*M_BOM[RM_Qty_Per_Batch]*IFERROR(INDEX(PP_Grid[#Data],M_BOM[PPGridRow],38),0))</f>
        <v/>
      </c>
      <c r="AM21">
        <f>SUMPRODUCT((M_BOM[RM_Code]=$A21)*M_BOM[RM_Qty_Per_Batch]*IFERROR(INDEX(PP_Grid[#Data],M_BOM[PPGridRow],39),0))</f>
        <v/>
      </c>
      <c r="AN21">
        <f>SUMPRODUCT((M_BOM[RM_Code]=$A21)*M_BOM[RM_Qty_Per_Batch]*IFERROR(INDEX(PP_Grid[#Data],M_BOM[PPGridRow],40),0))</f>
        <v/>
      </c>
      <c r="AO21">
        <f>SUMPRODUCT((M_BOM[RM_Code]=$A21)*M_BOM[RM_Qty_Per_Batch]*IFERROR(INDEX(PP_Grid[#Data],M_BOM[PPGridRow],41),0))</f>
        <v/>
      </c>
      <c r="AP21">
        <f>SUMPRODUCT((M_BOM[RM_Code]=$A21)*M_BOM[RM_Qty_Per_Batch]*IFERROR(INDEX(PP_Grid[#Data],M_BOM[PPGridRow],42),0))</f>
        <v/>
      </c>
      <c r="AQ21">
        <f>SUMPRODUCT((M_BOM[RM_Code]=$A21)*M_BOM[RM_Qty_Per_Batch]*IFERROR(INDEX(PP_Grid[#Data],M_BOM[PPGridRow],43),0))</f>
        <v/>
      </c>
      <c r="AR21">
        <f>SUMPRODUCT((M_BOM[RM_Code]=$A21)*M_BOM[RM_Qty_Per_Batch]*IFERROR(INDEX(PP_Grid[#Data],M_BOM[PPGridRow],44),0))</f>
        <v/>
      </c>
      <c r="AS21">
        <f>SUMPRODUCT((M_BOM[RM_Code]=$A21)*M_BOM[RM_Qty_Per_Batch]*IFERROR(INDEX(PP_Grid[#Data],M_BOM[PPGridRow],45),0))</f>
        <v/>
      </c>
      <c r="AT21">
        <f>SUMPRODUCT((M_BOM[RM_Code]=$A21)*M_BOM[RM_Qty_Per_Batch]*IFERROR(INDEX(PP_Grid[#Data],M_BOM[PPGridRow],46),0))</f>
        <v/>
      </c>
      <c r="AU21">
        <f>SUMPRODUCT((M_BOM[RM_Code]=$A21)*M_BOM[RM_Qty_Per_Batch]*IFERROR(INDEX(PP_Grid[#Data],M_BOM[PPGridRow],47),0))</f>
        <v/>
      </c>
      <c r="AV21">
        <f>SUMPRODUCT((M_BOM[RM_Code]=$A21)*M_BOM[RM_Qty_Per_Batch]*IFERROR(INDEX(PP_Grid[#Data],M_BOM[PPGridRow],48),0))</f>
        <v/>
      </c>
      <c r="AW21">
        <f>SUMPRODUCT((M_BOM[RM_Code]=$A21)*M_BOM[RM_Qty_Per_Batch]*IFERROR(INDEX(PP_Grid[#Data],M_BOM[PPGridRow],49),0))</f>
        <v/>
      </c>
      <c r="AX21">
        <f>SUMPRODUCT((M_BOM[RM_Code]=$A21)*M_BOM[RM_Qty_Per_Batch]*IFERROR(INDEX(PP_Grid[#Data],M_BOM[PPGridRow],50),0))</f>
        <v/>
      </c>
      <c r="AY21">
        <f>SUMPRODUCT((M_BOM[RM_Code]=$A21)*M_BOM[RM_Qty_Per_Batch]*IFERROR(INDEX(PP_Grid[#Data],M_BOM[PPGridRow],51),0))</f>
        <v/>
      </c>
      <c r="AZ21">
        <f>SUMPRODUCT((M_BOM[RM_Code]=$A21)*M_BOM[RM_Qty_Per_Batch]*IFERROR(INDEX(PP_Grid[#Data],M_BOM[PPGridRow],52),0))</f>
        <v/>
      </c>
      <c r="BA21">
        <f>SUMPRODUCT((M_BOM[RM_Code]=$A21)*M_BOM[RM_Qty_Per_Batch]*IFERROR(INDEX(PP_Grid[#Data],M_BOM[PPGridRow],53),0))</f>
        <v/>
      </c>
      <c r="BB21">
        <f>SUMPRODUCT((M_BOM[RM_Code]=$A21)*M_BOM[RM_Qty_Per_Batch]*IFERROR(INDEX(PP_Grid[#Data],M_BOM[PPGridRow],54),0))</f>
        <v/>
      </c>
      <c r="BC21">
        <f>SUMPRODUCT((M_BOM[RM_Code]=$A21)*M_BOM[RM_Qty_Per_Batch]*IFERROR(INDEX(PP_Grid[#Data],M_BOM[PPGridRow],55),0))</f>
        <v/>
      </c>
      <c r="BD21">
        <f>SUMPRODUCT((M_BOM[RM_Code]=$A21)*M_BOM[RM_Qty_Per_Batch]*IFERROR(INDEX(PP_Grid[#Data],M_BOM[PPGridRow],56),0))</f>
        <v/>
      </c>
      <c r="BE21">
        <f>SUMPRODUCT((M_BOM[RM_Code]=$A21)*M_BOM[RM_Qty_Per_Batch]*IFERROR(INDEX(PP_Grid[#Data],M_BOM[PPGridRow],57),0))</f>
        <v/>
      </c>
      <c r="BF21">
        <f>SUMPRODUCT((M_BOM[RM_Code]=$A21)*M_BOM[RM_Qty_Per_Batch]*IFERROR(INDEX(PP_Grid[#Data],M_BOM[PPGridRow],58),0))</f>
        <v/>
      </c>
      <c r="BG21">
        <f>SUMPRODUCT((M_BOM[RM_Code]=$A21)*M_BOM[RM_Qty_Per_Batch]*IFERROR(INDEX(PP_Grid[#Data],M_BOM[PPGridRow],59),0))</f>
        <v/>
      </c>
      <c r="BH21">
        <f>SUMPRODUCT((M_BOM[RM_Code]=$A21)*M_BOM[RM_Qty_Per_Batch]*IFERROR(INDEX(PP_Grid[#Data],M_BOM[PPGridRow],60),0))</f>
        <v/>
      </c>
      <c r="BI21">
        <f>SUMPRODUCT((M_BOM[RM_Code]=$A21)*M_BOM[RM_Qty_Per_Batch]*IFERROR(INDEX(PP_Grid[#Data],M_BOM[PPGridRow],61),0))</f>
        <v/>
      </c>
      <c r="BJ21">
        <f>SUMPRODUCT((M_BOM[RM_Code]=$A21)*M_BOM[RM_Qty_Per_Batch]*IFERROR(INDEX(PP_Grid[#Data],M_BOM[PPGridRow],62),0))</f>
        <v/>
      </c>
      <c r="BK21">
        <f>SUMPRODUCT((M_BOM[RM_Code]=$A21)*M_BOM[RM_Qty_Per_Batch]*IFERROR(INDEX(PP_Grid[#Data],M_BOM[PPGridRow],63),0))</f>
        <v/>
      </c>
      <c r="BL21">
        <f>SUMPRODUCT((M_BOM[RM_Code]=$A21)*M_BOM[RM_Qty_Per_Batch]*IFERROR(INDEX(PP_Grid[#Data],M_BOM[PPGridRow],64),0))</f>
        <v/>
      </c>
      <c r="BM21">
        <f>SUMPRODUCT((M_BOM[RM_Code]=$A21)*M_BOM[RM_Qty_Per_Batch]*IFERROR(INDEX(PP_Grid[#Data],M_BOM[PPGridRow],65),0))</f>
        <v/>
      </c>
      <c r="BN21">
        <f>SUMPRODUCT((M_BOM[RM_Code]=$A21)*M_BOM[RM_Qty_Per_Batch]*IFERROR(INDEX(PP_Grid[#Data],M_BOM[PPGridRow],66),0))</f>
        <v/>
      </c>
      <c r="BO21">
        <f>SUMPRODUCT((M_BOM[RM_Code]=$A21)*M_BOM[RM_Qty_Per_Batch]*IFERROR(INDEX(PP_Grid[#Data],M_BOM[PPGridRow],67),0))</f>
        <v/>
      </c>
      <c r="BP21">
        <f>SUMPRODUCT((M_BOM[RM_Code]=$A21)*M_BOM[RM_Qty_Per_Batch]*IFERROR(INDEX(PP_Grid[#Data],M_BOM[PPGridRow],68),0))</f>
        <v/>
      </c>
      <c r="BQ21">
        <f>SUMPRODUCT((M_BOM[RM_Code]=$A21)*M_BOM[RM_Qty_Per_Batch]*IFERROR(INDEX(PP_Grid[#Data],M_BOM[PPGridRow],69),0))</f>
        <v/>
      </c>
      <c r="BR21">
        <f>SUMPRODUCT((M_BOM[RM_Code]=$A21)*M_BOM[RM_Qty_Per_Batch]*IFERROR(INDEX(PP_Grid[#Data],M_BOM[PPGridRow],70),0))</f>
        <v/>
      </c>
      <c r="BS21">
        <f>SUMPRODUCT((M_BOM[RM_Code]=$A21)*M_BOM[RM_Qty_Per_Batch]*IFERROR(INDEX(PP_Grid[#Data],M_BOM[PPGridRow],71),0))</f>
        <v/>
      </c>
      <c r="BT21">
        <f>SUMPRODUCT((M_BOM[RM_Code]=$A21)*M_BOM[RM_Qty_Per_Batch]*IFERROR(INDEX(PP_Grid[#Data],M_BOM[PPGridRow],72),0))</f>
        <v/>
      </c>
      <c r="BU21">
        <f>SUMPRODUCT((M_BOM[RM_Code]=$A21)*M_BOM[RM_Qty_Per_Batch]*IFERROR(INDEX(PP_Grid[#Data],M_BOM[PPGridRow],73),0))</f>
        <v/>
      </c>
      <c r="BV21">
        <f>SUMPRODUCT((M_BOM[RM_Code]=$A21)*M_BOM[RM_Qty_Per_Batch]*IFERROR(INDEX(PP_Grid[#Data],M_BOM[PPGridRow],74),0))</f>
        <v/>
      </c>
      <c r="BW21">
        <f>SUMPRODUCT((M_BOM[RM_Code]=$A21)*M_BOM[RM_Qty_Per_Batch]*IFERROR(INDEX(PP_Grid[#Data],M_BOM[PPGridRow],75),0))</f>
        <v/>
      </c>
      <c r="BX21">
        <f>SUMPRODUCT((M_BOM[RM_Code]=$A21)*M_BOM[RM_Qty_Per_Batch]*IFERROR(INDEX(PP_Grid[#Data],M_BOM[PPGridRow],76),0))</f>
        <v/>
      </c>
      <c r="BY21">
        <f>SUMPRODUCT((M_BOM[RM_Code]=$A21)*M_BOM[RM_Qty_Per_Batch]*IFERROR(INDEX(PP_Grid[#Data],M_BOM[PPGridRow],77),0))</f>
        <v/>
      </c>
      <c r="BZ21">
        <f>SUMPRODUCT((M_BOM[RM_Code]=$A21)*M_BOM[RM_Qty_Per_Batch]*IFERROR(INDEX(PP_Grid[#Data],M_BOM[PPGridRow],78),0))</f>
        <v/>
      </c>
      <c r="CA21">
        <f>SUMPRODUCT((M_BOM[RM_Code]=$A21)*M_BOM[RM_Qty_Per_Batch]*IFERROR(INDEX(PP_Grid[#Data],M_BOM[PPGridRow],79),0))</f>
        <v/>
      </c>
      <c r="CB21">
        <f>SUMPRODUCT((M_BOM[RM_Code]=$A21)*M_BOM[RM_Qty_Per_Batch]*IFERROR(INDEX(PP_Grid[#Data],M_BOM[PPGridRow],80),0))</f>
        <v/>
      </c>
      <c r="CC21">
        <f>SUMPRODUCT((M_BOM[RM_Code]=$A21)*M_BOM[RM_Qty_Per_Batch]*IFERROR(INDEX(PP_Grid[#Data],M_BOM[PPGridRow],81),0))</f>
        <v/>
      </c>
      <c r="CD21">
        <f>SUMPRODUCT((M_BOM[RM_Code]=$A21)*M_BOM[RM_Qty_Per_Batch]*IFERROR(INDEX(PP_Grid[#Data],M_BOM[PPGridRow],82),0))</f>
        <v/>
      </c>
      <c r="CE21">
        <f>SUMPRODUCT((M_BOM[RM_Code]=$A21)*M_BOM[RM_Qty_Per_Batch]*IFERROR(INDEX(PP_Grid[#Data],M_BOM[PPGridRow],83),0))</f>
        <v/>
      </c>
      <c r="CF21">
        <f>SUMPRODUCT((M_BOM[RM_Code]=$A21)*M_BOM[RM_Qty_Per_Batch]*IFERROR(INDEX(PP_Grid[#Data],M_BOM[PPGridRow],84),0))</f>
        <v/>
      </c>
      <c r="CG21">
        <f>SUMPRODUCT((M_BOM[RM_Code]=$A21)*M_BOM[RM_Qty_Per_Batch]*IFERROR(INDEX(PP_Grid[#Data],M_BOM[PPGridRow],85),0))</f>
        <v/>
      </c>
      <c r="CH21">
        <f>SUMPRODUCT((M_BOM[RM_Code]=$A21)*M_BOM[RM_Qty_Per_Batch]*IFERROR(INDEX(PP_Grid[#Data],M_BOM[PPGridRow],86),0))</f>
        <v/>
      </c>
      <c r="CI21">
        <f>SUMPRODUCT((M_BOM[RM_Code]=$A21)*M_BOM[RM_Qty_Per_Batch]*IFERROR(INDEX(PP_Grid[#Data],M_BOM[PPGridRow],87),0))</f>
        <v/>
      </c>
      <c r="CJ21">
        <f>SUMPRODUCT((M_BOM[RM_Code]=$A21)*M_BOM[RM_Qty_Per_Batch]*IFERROR(INDEX(PP_Grid[#Data],M_BOM[PPGridRow],88),0))</f>
        <v/>
      </c>
      <c r="CK21">
        <f>SUMPRODUCT((M_BOM[RM_Code]=$A21)*M_BOM[RM_Qty_Per_Batch]*IFERROR(INDEX(PP_Grid[#Data],M_BOM[PPGridRow],89),0))</f>
        <v/>
      </c>
      <c r="CL21">
        <f>SUMPRODUCT((M_BOM[RM_Code]=$A21)*M_BOM[RM_Qty_Per_Batch]*IFERROR(INDEX(PP_Grid[#Data],M_BOM[PPGridRow],90),0))</f>
        <v/>
      </c>
      <c r="CM21">
        <f>SUMPRODUCT((M_BOM[RM_Code]=$A21)*M_BOM[RM_Qty_Per_Batch]*IFERROR(INDEX(PP_Grid[#Data],M_BOM[PPGridRow],91),0))</f>
        <v/>
      </c>
      <c r="CN21">
        <f>SUMPRODUCT((M_BOM[RM_Code]=$A21)*M_BOM[RM_Qty_Per_Batch]*IFERROR(INDEX(PP_Grid[#Data],M_BOM[PPGridRow],92),0))</f>
        <v/>
      </c>
      <c r="CO21">
        <f>SUMPRODUCT((M_BOM[RM_Code]=$A21)*M_BOM[RM_Qty_Per_Batch]*IFERROR(INDEX(PP_Grid[#Data],M_BOM[PPGridRow],93),0))</f>
        <v/>
      </c>
      <c r="CP21">
        <f>SUMPRODUCT((M_BOM[RM_Code]=$A21)*M_BOM[RM_Qty_Per_Batch]*IFERROR(INDEX(PP_Grid[#Data],M_BOM[PPGridRow],94),0))</f>
        <v/>
      </c>
      <c r="CQ21">
        <f>SUMPRODUCT((M_BOM[RM_Code]=$A21)*M_BOM[RM_Qty_Per_Batch]*IFERROR(INDEX(PP_Grid[#Data],M_BOM[PPGridRow],95),0))</f>
        <v/>
      </c>
      <c r="CR21">
        <f>SUMPRODUCT((M_BOM[RM_Code]=$A21)*M_BOM[RM_Qty_Per_Batch]*IFERROR(INDEX(PP_Grid[#Data],M_BOM[PPGridRow],96),0))</f>
        <v/>
      </c>
      <c r="CS21">
        <f>SUMPRODUCT((M_BOM[RM_Code]=$A21)*M_BOM[RM_Qty_Per_Batch]*IFERROR(INDEX(PP_Grid[#Data],M_BOM[PPGridRow],97),0))</f>
        <v/>
      </c>
      <c r="CT21">
        <f>SUMPRODUCT((M_BOM[RM_Code]=$A21)*M_BOM[RM_Qty_Per_Batch]*IFERROR(INDEX(PP_Grid[#Data],M_BOM[PPGridRow],98),0))</f>
        <v/>
      </c>
      <c r="CU21">
        <f>SUMPRODUCT((M_BOM[RM_Code]=$A21)*M_BOM[RM_Qty_Per_Batch]*IFERROR(INDEX(PP_Grid[#Data],M_BOM[PPGridRow],99),0))</f>
        <v/>
      </c>
      <c r="CV21">
        <f>SUMPRODUCT((M_BOM[RM_Code]=$A21)*M_BOM[RM_Qty_Per_Batch]*IFERROR(INDEX(PP_Grid[#Data],M_BOM[PPGridRow],100),0))</f>
        <v/>
      </c>
      <c r="CW21">
        <f>SUMPRODUCT((M_BOM[RM_Code]=$A21)*M_BOM[RM_Qty_Per_Batch]*IFERROR(INDEX(PP_Grid[#Data],M_BOM[PPGridRow],101),0))</f>
        <v/>
      </c>
      <c r="CX21">
        <f>SUMPRODUCT((M_BOM[RM_Code]=$A21)*M_BOM[RM_Qty_Per_Batch]*IFERROR(INDEX(PP_Grid[#Data],M_BOM[PPGridRow],102),0))</f>
        <v/>
      </c>
      <c r="CY21">
        <f>SUMPRODUCT((M_BOM[RM_Code]=$A21)*M_BOM[RM_Qty_Per_Batch]*IFERROR(INDEX(PP_Grid[#Data],M_BOM[PPGridRow],103),0))</f>
        <v/>
      </c>
      <c r="CZ21">
        <f>SUMPRODUCT((M_BOM[RM_Code]=$A21)*M_BOM[RM_Qty_Per_Batch]*IFERROR(INDEX(PP_Grid[#Data],M_BOM[PPGridRow],104),0))</f>
        <v/>
      </c>
      <c r="DA21">
        <f>SUMPRODUCT((M_BOM[RM_Code]=$A21)*M_BOM[RM_Qty_Per_Batch]*IFERROR(INDEX(PP_Grid[#Data],M_BOM[PPGridRow],105),0))</f>
        <v/>
      </c>
    </row>
    <row r="22">
      <c r="A22" t="inlineStr">
        <is>
          <t>CHEM-1600</t>
        </is>
      </c>
      <c r="B22">
        <f>SUMPRODUCT((M_BOM[RM_Code]=$A22)*M_BOM[RM_Qty_Per_Batch]*IFERROR(INDEX(PP_Grid[#Data],M_BOM[PPGridRow],2),0))</f>
        <v/>
      </c>
      <c r="C22">
        <f>SUMPRODUCT((M_BOM[RM_Code]=$A22)*M_BOM[RM_Qty_Per_Batch]*IFERROR(INDEX(PP_Grid[#Data],M_BOM[PPGridRow],3),0))</f>
        <v/>
      </c>
      <c r="D22">
        <f>SUMPRODUCT((M_BOM[RM_Code]=$A22)*M_BOM[RM_Qty_Per_Batch]*IFERROR(INDEX(PP_Grid[#Data],M_BOM[PPGridRow],4),0))</f>
        <v/>
      </c>
      <c r="E22">
        <f>SUMPRODUCT((M_BOM[RM_Code]=$A22)*M_BOM[RM_Qty_Per_Batch]*IFERROR(INDEX(PP_Grid[#Data],M_BOM[PPGridRow],5),0))</f>
        <v/>
      </c>
      <c r="F22">
        <f>SUMPRODUCT((M_BOM[RM_Code]=$A22)*M_BOM[RM_Qty_Per_Batch]*IFERROR(INDEX(PP_Grid[#Data],M_BOM[PPGridRow],6),0))</f>
        <v/>
      </c>
      <c r="G22">
        <f>SUMPRODUCT((M_BOM[RM_Code]=$A22)*M_BOM[RM_Qty_Per_Batch]*IFERROR(INDEX(PP_Grid[#Data],M_BOM[PPGridRow],7),0))</f>
        <v/>
      </c>
      <c r="H22">
        <f>SUMPRODUCT((M_BOM[RM_Code]=$A22)*M_BOM[RM_Qty_Per_Batch]*IFERROR(INDEX(PP_Grid[#Data],M_BOM[PPGridRow],8),0))</f>
        <v/>
      </c>
      <c r="I22">
        <f>SUMPRODUCT((M_BOM[RM_Code]=$A22)*M_BOM[RM_Qty_Per_Batch]*IFERROR(INDEX(PP_Grid[#Data],M_BOM[PPGridRow],9),0))</f>
        <v/>
      </c>
      <c r="J22">
        <f>SUMPRODUCT((M_BOM[RM_Code]=$A22)*M_BOM[RM_Qty_Per_Batch]*IFERROR(INDEX(PP_Grid[#Data],M_BOM[PPGridRow],10),0))</f>
        <v/>
      </c>
      <c r="K22">
        <f>SUMPRODUCT((M_BOM[RM_Code]=$A22)*M_BOM[RM_Qty_Per_Batch]*IFERROR(INDEX(PP_Grid[#Data],M_BOM[PPGridRow],11),0))</f>
        <v/>
      </c>
      <c r="L22">
        <f>SUMPRODUCT((M_BOM[RM_Code]=$A22)*M_BOM[RM_Qty_Per_Batch]*IFERROR(INDEX(PP_Grid[#Data],M_BOM[PPGridRow],12),0))</f>
        <v/>
      </c>
      <c r="M22">
        <f>SUMPRODUCT((M_BOM[RM_Code]=$A22)*M_BOM[RM_Qty_Per_Batch]*IFERROR(INDEX(PP_Grid[#Data],M_BOM[PPGridRow],13),0))</f>
        <v/>
      </c>
      <c r="N22">
        <f>SUMPRODUCT((M_BOM[RM_Code]=$A22)*M_BOM[RM_Qty_Per_Batch]*IFERROR(INDEX(PP_Grid[#Data],M_BOM[PPGridRow],14),0))</f>
        <v/>
      </c>
      <c r="O22">
        <f>SUMPRODUCT((M_BOM[RM_Code]=$A22)*M_BOM[RM_Qty_Per_Batch]*IFERROR(INDEX(PP_Grid[#Data],M_BOM[PPGridRow],15),0))</f>
        <v/>
      </c>
      <c r="P22">
        <f>SUMPRODUCT((M_BOM[RM_Code]=$A22)*M_BOM[RM_Qty_Per_Batch]*IFERROR(INDEX(PP_Grid[#Data],M_BOM[PPGridRow],16),0))</f>
        <v/>
      </c>
      <c r="Q22">
        <f>SUMPRODUCT((M_BOM[RM_Code]=$A22)*M_BOM[RM_Qty_Per_Batch]*IFERROR(INDEX(PP_Grid[#Data],M_BOM[PPGridRow],17),0))</f>
        <v/>
      </c>
      <c r="R22">
        <f>SUMPRODUCT((M_BOM[RM_Code]=$A22)*M_BOM[RM_Qty_Per_Batch]*IFERROR(INDEX(PP_Grid[#Data],M_BOM[PPGridRow],18),0))</f>
        <v/>
      </c>
      <c r="S22">
        <f>SUMPRODUCT((M_BOM[RM_Code]=$A22)*M_BOM[RM_Qty_Per_Batch]*IFERROR(INDEX(PP_Grid[#Data],M_BOM[PPGridRow],19),0))</f>
        <v/>
      </c>
      <c r="T22">
        <f>SUMPRODUCT((M_BOM[RM_Code]=$A22)*M_BOM[RM_Qty_Per_Batch]*IFERROR(INDEX(PP_Grid[#Data],M_BOM[PPGridRow],20),0))</f>
        <v/>
      </c>
      <c r="U22">
        <f>SUMPRODUCT((M_BOM[RM_Code]=$A22)*M_BOM[RM_Qty_Per_Batch]*IFERROR(INDEX(PP_Grid[#Data],M_BOM[PPGridRow],21),0))</f>
        <v/>
      </c>
      <c r="V22">
        <f>SUMPRODUCT((M_BOM[RM_Code]=$A22)*M_BOM[RM_Qty_Per_Batch]*IFERROR(INDEX(PP_Grid[#Data],M_BOM[PPGridRow],22),0))</f>
        <v/>
      </c>
      <c r="W22">
        <f>SUMPRODUCT((M_BOM[RM_Code]=$A22)*M_BOM[RM_Qty_Per_Batch]*IFERROR(INDEX(PP_Grid[#Data],M_BOM[PPGridRow],23),0))</f>
        <v/>
      </c>
      <c r="X22">
        <f>SUMPRODUCT((M_BOM[RM_Code]=$A22)*M_BOM[RM_Qty_Per_Batch]*IFERROR(INDEX(PP_Grid[#Data],M_BOM[PPGridRow],24),0))</f>
        <v/>
      </c>
      <c r="Y22">
        <f>SUMPRODUCT((M_BOM[RM_Code]=$A22)*M_BOM[RM_Qty_Per_Batch]*IFERROR(INDEX(PP_Grid[#Data],M_BOM[PPGridRow],25),0))</f>
        <v/>
      </c>
      <c r="Z22">
        <f>SUMPRODUCT((M_BOM[RM_Code]=$A22)*M_BOM[RM_Qty_Per_Batch]*IFERROR(INDEX(PP_Grid[#Data],M_BOM[PPGridRow],26),0))</f>
        <v/>
      </c>
      <c r="AA22">
        <f>SUMPRODUCT((M_BOM[RM_Code]=$A22)*M_BOM[RM_Qty_Per_Batch]*IFERROR(INDEX(PP_Grid[#Data],M_BOM[PPGridRow],27),0))</f>
        <v/>
      </c>
      <c r="AB22">
        <f>SUMPRODUCT((M_BOM[RM_Code]=$A22)*M_BOM[RM_Qty_Per_Batch]*IFERROR(INDEX(PP_Grid[#Data],M_BOM[PPGridRow],28),0))</f>
        <v/>
      </c>
      <c r="AC22">
        <f>SUMPRODUCT((M_BOM[RM_Code]=$A22)*M_BOM[RM_Qty_Per_Batch]*IFERROR(INDEX(PP_Grid[#Data],M_BOM[PPGridRow],29),0))</f>
        <v/>
      </c>
      <c r="AD22">
        <f>SUMPRODUCT((M_BOM[RM_Code]=$A22)*M_BOM[RM_Qty_Per_Batch]*IFERROR(INDEX(PP_Grid[#Data],M_BOM[PPGridRow],30),0))</f>
        <v/>
      </c>
      <c r="AE22">
        <f>SUMPRODUCT((M_BOM[RM_Code]=$A22)*M_BOM[RM_Qty_Per_Batch]*IFERROR(INDEX(PP_Grid[#Data],M_BOM[PPGridRow],31),0))</f>
        <v/>
      </c>
      <c r="AF22">
        <f>SUMPRODUCT((M_BOM[RM_Code]=$A22)*M_BOM[RM_Qty_Per_Batch]*IFERROR(INDEX(PP_Grid[#Data],M_BOM[PPGridRow],32),0))</f>
        <v/>
      </c>
      <c r="AG22">
        <f>SUMPRODUCT((M_BOM[RM_Code]=$A22)*M_BOM[RM_Qty_Per_Batch]*IFERROR(INDEX(PP_Grid[#Data],M_BOM[PPGridRow],33),0))</f>
        <v/>
      </c>
      <c r="AH22">
        <f>SUMPRODUCT((M_BOM[RM_Code]=$A22)*M_BOM[RM_Qty_Per_Batch]*IFERROR(INDEX(PP_Grid[#Data],M_BOM[PPGridRow],34),0))</f>
        <v/>
      </c>
      <c r="AI22">
        <f>SUMPRODUCT((M_BOM[RM_Code]=$A22)*M_BOM[RM_Qty_Per_Batch]*IFERROR(INDEX(PP_Grid[#Data],M_BOM[PPGridRow],35),0))</f>
        <v/>
      </c>
      <c r="AJ22">
        <f>SUMPRODUCT((M_BOM[RM_Code]=$A22)*M_BOM[RM_Qty_Per_Batch]*IFERROR(INDEX(PP_Grid[#Data],M_BOM[PPGridRow],36),0))</f>
        <v/>
      </c>
      <c r="AK22">
        <f>SUMPRODUCT((M_BOM[RM_Code]=$A22)*M_BOM[RM_Qty_Per_Batch]*IFERROR(INDEX(PP_Grid[#Data],M_BOM[PPGridRow],37),0))</f>
        <v/>
      </c>
      <c r="AL22">
        <f>SUMPRODUCT((M_BOM[RM_Code]=$A22)*M_BOM[RM_Qty_Per_Batch]*IFERROR(INDEX(PP_Grid[#Data],M_BOM[PPGridRow],38),0))</f>
        <v/>
      </c>
      <c r="AM22">
        <f>SUMPRODUCT((M_BOM[RM_Code]=$A22)*M_BOM[RM_Qty_Per_Batch]*IFERROR(INDEX(PP_Grid[#Data],M_BOM[PPGridRow],39),0))</f>
        <v/>
      </c>
      <c r="AN22">
        <f>SUMPRODUCT((M_BOM[RM_Code]=$A22)*M_BOM[RM_Qty_Per_Batch]*IFERROR(INDEX(PP_Grid[#Data],M_BOM[PPGridRow],40),0))</f>
        <v/>
      </c>
      <c r="AO22">
        <f>SUMPRODUCT((M_BOM[RM_Code]=$A22)*M_BOM[RM_Qty_Per_Batch]*IFERROR(INDEX(PP_Grid[#Data],M_BOM[PPGridRow],41),0))</f>
        <v/>
      </c>
      <c r="AP22">
        <f>SUMPRODUCT((M_BOM[RM_Code]=$A22)*M_BOM[RM_Qty_Per_Batch]*IFERROR(INDEX(PP_Grid[#Data],M_BOM[PPGridRow],42),0))</f>
        <v/>
      </c>
      <c r="AQ22">
        <f>SUMPRODUCT((M_BOM[RM_Code]=$A22)*M_BOM[RM_Qty_Per_Batch]*IFERROR(INDEX(PP_Grid[#Data],M_BOM[PPGridRow],43),0))</f>
        <v/>
      </c>
      <c r="AR22">
        <f>SUMPRODUCT((M_BOM[RM_Code]=$A22)*M_BOM[RM_Qty_Per_Batch]*IFERROR(INDEX(PP_Grid[#Data],M_BOM[PPGridRow],44),0))</f>
        <v/>
      </c>
      <c r="AS22">
        <f>SUMPRODUCT((M_BOM[RM_Code]=$A22)*M_BOM[RM_Qty_Per_Batch]*IFERROR(INDEX(PP_Grid[#Data],M_BOM[PPGridRow],45),0))</f>
        <v/>
      </c>
      <c r="AT22">
        <f>SUMPRODUCT((M_BOM[RM_Code]=$A22)*M_BOM[RM_Qty_Per_Batch]*IFERROR(INDEX(PP_Grid[#Data],M_BOM[PPGridRow],46),0))</f>
        <v/>
      </c>
      <c r="AU22">
        <f>SUMPRODUCT((M_BOM[RM_Code]=$A22)*M_BOM[RM_Qty_Per_Batch]*IFERROR(INDEX(PP_Grid[#Data],M_BOM[PPGridRow],47),0))</f>
        <v/>
      </c>
      <c r="AV22">
        <f>SUMPRODUCT((M_BOM[RM_Code]=$A22)*M_BOM[RM_Qty_Per_Batch]*IFERROR(INDEX(PP_Grid[#Data],M_BOM[PPGridRow],48),0))</f>
        <v/>
      </c>
      <c r="AW22">
        <f>SUMPRODUCT((M_BOM[RM_Code]=$A22)*M_BOM[RM_Qty_Per_Batch]*IFERROR(INDEX(PP_Grid[#Data],M_BOM[PPGridRow],49),0))</f>
        <v/>
      </c>
      <c r="AX22">
        <f>SUMPRODUCT((M_BOM[RM_Code]=$A22)*M_BOM[RM_Qty_Per_Batch]*IFERROR(INDEX(PP_Grid[#Data],M_BOM[PPGridRow],50),0))</f>
        <v/>
      </c>
      <c r="AY22">
        <f>SUMPRODUCT((M_BOM[RM_Code]=$A22)*M_BOM[RM_Qty_Per_Batch]*IFERROR(INDEX(PP_Grid[#Data],M_BOM[PPGridRow],51),0))</f>
        <v/>
      </c>
      <c r="AZ22">
        <f>SUMPRODUCT((M_BOM[RM_Code]=$A22)*M_BOM[RM_Qty_Per_Batch]*IFERROR(INDEX(PP_Grid[#Data],M_BOM[PPGridRow],52),0))</f>
        <v/>
      </c>
      <c r="BA22">
        <f>SUMPRODUCT((M_BOM[RM_Code]=$A22)*M_BOM[RM_Qty_Per_Batch]*IFERROR(INDEX(PP_Grid[#Data],M_BOM[PPGridRow],53),0))</f>
        <v/>
      </c>
      <c r="BB22">
        <f>SUMPRODUCT((M_BOM[RM_Code]=$A22)*M_BOM[RM_Qty_Per_Batch]*IFERROR(INDEX(PP_Grid[#Data],M_BOM[PPGridRow],54),0))</f>
        <v/>
      </c>
      <c r="BC22">
        <f>SUMPRODUCT((M_BOM[RM_Code]=$A22)*M_BOM[RM_Qty_Per_Batch]*IFERROR(INDEX(PP_Grid[#Data],M_BOM[PPGridRow],55),0))</f>
        <v/>
      </c>
      <c r="BD22">
        <f>SUMPRODUCT((M_BOM[RM_Code]=$A22)*M_BOM[RM_Qty_Per_Batch]*IFERROR(INDEX(PP_Grid[#Data],M_BOM[PPGridRow],56),0))</f>
        <v/>
      </c>
      <c r="BE22">
        <f>SUMPRODUCT((M_BOM[RM_Code]=$A22)*M_BOM[RM_Qty_Per_Batch]*IFERROR(INDEX(PP_Grid[#Data],M_BOM[PPGridRow],57),0))</f>
        <v/>
      </c>
      <c r="BF22">
        <f>SUMPRODUCT((M_BOM[RM_Code]=$A22)*M_BOM[RM_Qty_Per_Batch]*IFERROR(INDEX(PP_Grid[#Data],M_BOM[PPGridRow],58),0))</f>
        <v/>
      </c>
      <c r="BG22">
        <f>SUMPRODUCT((M_BOM[RM_Code]=$A22)*M_BOM[RM_Qty_Per_Batch]*IFERROR(INDEX(PP_Grid[#Data],M_BOM[PPGridRow],59),0))</f>
        <v/>
      </c>
      <c r="BH22">
        <f>SUMPRODUCT((M_BOM[RM_Code]=$A22)*M_BOM[RM_Qty_Per_Batch]*IFERROR(INDEX(PP_Grid[#Data],M_BOM[PPGridRow],60),0))</f>
        <v/>
      </c>
      <c r="BI22">
        <f>SUMPRODUCT((M_BOM[RM_Code]=$A22)*M_BOM[RM_Qty_Per_Batch]*IFERROR(INDEX(PP_Grid[#Data],M_BOM[PPGridRow],61),0))</f>
        <v/>
      </c>
      <c r="BJ22">
        <f>SUMPRODUCT((M_BOM[RM_Code]=$A22)*M_BOM[RM_Qty_Per_Batch]*IFERROR(INDEX(PP_Grid[#Data],M_BOM[PPGridRow],62),0))</f>
        <v/>
      </c>
      <c r="BK22">
        <f>SUMPRODUCT((M_BOM[RM_Code]=$A22)*M_BOM[RM_Qty_Per_Batch]*IFERROR(INDEX(PP_Grid[#Data],M_BOM[PPGridRow],63),0))</f>
        <v/>
      </c>
      <c r="BL22">
        <f>SUMPRODUCT((M_BOM[RM_Code]=$A22)*M_BOM[RM_Qty_Per_Batch]*IFERROR(INDEX(PP_Grid[#Data],M_BOM[PPGridRow],64),0))</f>
        <v/>
      </c>
      <c r="BM22">
        <f>SUMPRODUCT((M_BOM[RM_Code]=$A22)*M_BOM[RM_Qty_Per_Batch]*IFERROR(INDEX(PP_Grid[#Data],M_BOM[PPGridRow],65),0))</f>
        <v/>
      </c>
      <c r="BN22">
        <f>SUMPRODUCT((M_BOM[RM_Code]=$A22)*M_BOM[RM_Qty_Per_Batch]*IFERROR(INDEX(PP_Grid[#Data],M_BOM[PPGridRow],66),0))</f>
        <v/>
      </c>
      <c r="BO22">
        <f>SUMPRODUCT((M_BOM[RM_Code]=$A22)*M_BOM[RM_Qty_Per_Batch]*IFERROR(INDEX(PP_Grid[#Data],M_BOM[PPGridRow],67),0))</f>
        <v/>
      </c>
      <c r="BP22">
        <f>SUMPRODUCT((M_BOM[RM_Code]=$A22)*M_BOM[RM_Qty_Per_Batch]*IFERROR(INDEX(PP_Grid[#Data],M_BOM[PPGridRow],68),0))</f>
        <v/>
      </c>
      <c r="BQ22">
        <f>SUMPRODUCT((M_BOM[RM_Code]=$A22)*M_BOM[RM_Qty_Per_Batch]*IFERROR(INDEX(PP_Grid[#Data],M_BOM[PPGridRow],69),0))</f>
        <v/>
      </c>
      <c r="BR22">
        <f>SUMPRODUCT((M_BOM[RM_Code]=$A22)*M_BOM[RM_Qty_Per_Batch]*IFERROR(INDEX(PP_Grid[#Data],M_BOM[PPGridRow],70),0))</f>
        <v/>
      </c>
      <c r="BS22">
        <f>SUMPRODUCT((M_BOM[RM_Code]=$A22)*M_BOM[RM_Qty_Per_Batch]*IFERROR(INDEX(PP_Grid[#Data],M_BOM[PPGridRow],71),0))</f>
        <v/>
      </c>
      <c r="BT22">
        <f>SUMPRODUCT((M_BOM[RM_Code]=$A22)*M_BOM[RM_Qty_Per_Batch]*IFERROR(INDEX(PP_Grid[#Data],M_BOM[PPGridRow],72),0))</f>
        <v/>
      </c>
      <c r="BU22">
        <f>SUMPRODUCT((M_BOM[RM_Code]=$A22)*M_BOM[RM_Qty_Per_Batch]*IFERROR(INDEX(PP_Grid[#Data],M_BOM[PPGridRow],73),0))</f>
        <v/>
      </c>
      <c r="BV22">
        <f>SUMPRODUCT((M_BOM[RM_Code]=$A22)*M_BOM[RM_Qty_Per_Batch]*IFERROR(INDEX(PP_Grid[#Data],M_BOM[PPGridRow],74),0))</f>
        <v/>
      </c>
      <c r="BW22">
        <f>SUMPRODUCT((M_BOM[RM_Code]=$A22)*M_BOM[RM_Qty_Per_Batch]*IFERROR(INDEX(PP_Grid[#Data],M_BOM[PPGridRow],75),0))</f>
        <v/>
      </c>
      <c r="BX22">
        <f>SUMPRODUCT((M_BOM[RM_Code]=$A22)*M_BOM[RM_Qty_Per_Batch]*IFERROR(INDEX(PP_Grid[#Data],M_BOM[PPGridRow],76),0))</f>
        <v/>
      </c>
      <c r="BY22">
        <f>SUMPRODUCT((M_BOM[RM_Code]=$A22)*M_BOM[RM_Qty_Per_Batch]*IFERROR(INDEX(PP_Grid[#Data],M_BOM[PPGridRow],77),0))</f>
        <v/>
      </c>
      <c r="BZ22">
        <f>SUMPRODUCT((M_BOM[RM_Code]=$A22)*M_BOM[RM_Qty_Per_Batch]*IFERROR(INDEX(PP_Grid[#Data],M_BOM[PPGridRow],78),0))</f>
        <v/>
      </c>
      <c r="CA22">
        <f>SUMPRODUCT((M_BOM[RM_Code]=$A22)*M_BOM[RM_Qty_Per_Batch]*IFERROR(INDEX(PP_Grid[#Data],M_BOM[PPGridRow],79),0))</f>
        <v/>
      </c>
      <c r="CB22">
        <f>SUMPRODUCT((M_BOM[RM_Code]=$A22)*M_BOM[RM_Qty_Per_Batch]*IFERROR(INDEX(PP_Grid[#Data],M_BOM[PPGridRow],80),0))</f>
        <v/>
      </c>
      <c r="CC22">
        <f>SUMPRODUCT((M_BOM[RM_Code]=$A22)*M_BOM[RM_Qty_Per_Batch]*IFERROR(INDEX(PP_Grid[#Data],M_BOM[PPGridRow],81),0))</f>
        <v/>
      </c>
      <c r="CD22">
        <f>SUMPRODUCT((M_BOM[RM_Code]=$A22)*M_BOM[RM_Qty_Per_Batch]*IFERROR(INDEX(PP_Grid[#Data],M_BOM[PPGridRow],82),0))</f>
        <v/>
      </c>
      <c r="CE22">
        <f>SUMPRODUCT((M_BOM[RM_Code]=$A22)*M_BOM[RM_Qty_Per_Batch]*IFERROR(INDEX(PP_Grid[#Data],M_BOM[PPGridRow],83),0))</f>
        <v/>
      </c>
      <c r="CF22">
        <f>SUMPRODUCT((M_BOM[RM_Code]=$A22)*M_BOM[RM_Qty_Per_Batch]*IFERROR(INDEX(PP_Grid[#Data],M_BOM[PPGridRow],84),0))</f>
        <v/>
      </c>
      <c r="CG22">
        <f>SUMPRODUCT((M_BOM[RM_Code]=$A22)*M_BOM[RM_Qty_Per_Batch]*IFERROR(INDEX(PP_Grid[#Data],M_BOM[PPGridRow],85),0))</f>
        <v/>
      </c>
      <c r="CH22">
        <f>SUMPRODUCT((M_BOM[RM_Code]=$A22)*M_BOM[RM_Qty_Per_Batch]*IFERROR(INDEX(PP_Grid[#Data],M_BOM[PPGridRow],86),0))</f>
        <v/>
      </c>
      <c r="CI22">
        <f>SUMPRODUCT((M_BOM[RM_Code]=$A22)*M_BOM[RM_Qty_Per_Batch]*IFERROR(INDEX(PP_Grid[#Data],M_BOM[PPGridRow],87),0))</f>
        <v/>
      </c>
      <c r="CJ22">
        <f>SUMPRODUCT((M_BOM[RM_Code]=$A22)*M_BOM[RM_Qty_Per_Batch]*IFERROR(INDEX(PP_Grid[#Data],M_BOM[PPGridRow],88),0))</f>
        <v/>
      </c>
      <c r="CK22">
        <f>SUMPRODUCT((M_BOM[RM_Code]=$A22)*M_BOM[RM_Qty_Per_Batch]*IFERROR(INDEX(PP_Grid[#Data],M_BOM[PPGridRow],89),0))</f>
        <v/>
      </c>
      <c r="CL22">
        <f>SUMPRODUCT((M_BOM[RM_Code]=$A22)*M_BOM[RM_Qty_Per_Batch]*IFERROR(INDEX(PP_Grid[#Data],M_BOM[PPGridRow],90),0))</f>
        <v/>
      </c>
      <c r="CM22">
        <f>SUMPRODUCT((M_BOM[RM_Code]=$A22)*M_BOM[RM_Qty_Per_Batch]*IFERROR(INDEX(PP_Grid[#Data],M_BOM[PPGridRow],91),0))</f>
        <v/>
      </c>
      <c r="CN22">
        <f>SUMPRODUCT((M_BOM[RM_Code]=$A22)*M_BOM[RM_Qty_Per_Batch]*IFERROR(INDEX(PP_Grid[#Data],M_BOM[PPGridRow],92),0))</f>
        <v/>
      </c>
      <c r="CO22">
        <f>SUMPRODUCT((M_BOM[RM_Code]=$A22)*M_BOM[RM_Qty_Per_Batch]*IFERROR(INDEX(PP_Grid[#Data],M_BOM[PPGridRow],93),0))</f>
        <v/>
      </c>
      <c r="CP22">
        <f>SUMPRODUCT((M_BOM[RM_Code]=$A22)*M_BOM[RM_Qty_Per_Batch]*IFERROR(INDEX(PP_Grid[#Data],M_BOM[PPGridRow],94),0))</f>
        <v/>
      </c>
      <c r="CQ22">
        <f>SUMPRODUCT((M_BOM[RM_Code]=$A22)*M_BOM[RM_Qty_Per_Batch]*IFERROR(INDEX(PP_Grid[#Data],M_BOM[PPGridRow],95),0))</f>
        <v/>
      </c>
      <c r="CR22">
        <f>SUMPRODUCT((M_BOM[RM_Code]=$A22)*M_BOM[RM_Qty_Per_Batch]*IFERROR(INDEX(PP_Grid[#Data],M_BOM[PPGridRow],96),0))</f>
        <v/>
      </c>
      <c r="CS22">
        <f>SUMPRODUCT((M_BOM[RM_Code]=$A22)*M_BOM[RM_Qty_Per_Batch]*IFERROR(INDEX(PP_Grid[#Data],M_BOM[PPGridRow],97),0))</f>
        <v/>
      </c>
      <c r="CT22">
        <f>SUMPRODUCT((M_BOM[RM_Code]=$A22)*M_BOM[RM_Qty_Per_Batch]*IFERROR(INDEX(PP_Grid[#Data],M_BOM[PPGridRow],98),0))</f>
        <v/>
      </c>
      <c r="CU22">
        <f>SUMPRODUCT((M_BOM[RM_Code]=$A22)*M_BOM[RM_Qty_Per_Batch]*IFERROR(INDEX(PP_Grid[#Data],M_BOM[PPGridRow],99),0))</f>
        <v/>
      </c>
      <c r="CV22">
        <f>SUMPRODUCT((M_BOM[RM_Code]=$A22)*M_BOM[RM_Qty_Per_Batch]*IFERROR(INDEX(PP_Grid[#Data],M_BOM[PPGridRow],100),0))</f>
        <v/>
      </c>
      <c r="CW22">
        <f>SUMPRODUCT((M_BOM[RM_Code]=$A22)*M_BOM[RM_Qty_Per_Batch]*IFERROR(INDEX(PP_Grid[#Data],M_BOM[PPGridRow],101),0))</f>
        <v/>
      </c>
      <c r="CX22">
        <f>SUMPRODUCT((M_BOM[RM_Code]=$A22)*M_BOM[RM_Qty_Per_Batch]*IFERROR(INDEX(PP_Grid[#Data],M_BOM[PPGridRow],102),0))</f>
        <v/>
      </c>
      <c r="CY22">
        <f>SUMPRODUCT((M_BOM[RM_Code]=$A22)*M_BOM[RM_Qty_Per_Batch]*IFERROR(INDEX(PP_Grid[#Data],M_BOM[PPGridRow],103),0))</f>
        <v/>
      </c>
      <c r="CZ22">
        <f>SUMPRODUCT((M_BOM[RM_Code]=$A22)*M_BOM[RM_Qty_Per_Batch]*IFERROR(INDEX(PP_Grid[#Data],M_BOM[PPGridRow],104),0))</f>
        <v/>
      </c>
      <c r="DA22">
        <f>SUMPRODUCT((M_BOM[RM_Code]=$A22)*M_BOM[RM_Qty_Per_Batch]*IFERROR(INDEX(PP_Grid[#Data],M_BOM[PPGridRow],105),0))</f>
        <v/>
      </c>
    </row>
    <row r="23">
      <c r="A23" t="inlineStr">
        <is>
          <t>CHEM-1280</t>
        </is>
      </c>
      <c r="B23">
        <f>SUMPRODUCT((M_BOM[RM_Code]=$A23)*M_BOM[RM_Qty_Per_Batch]*IFERROR(INDEX(PP_Grid[#Data],M_BOM[PPGridRow],2),0))</f>
        <v/>
      </c>
      <c r="C23">
        <f>SUMPRODUCT((M_BOM[RM_Code]=$A23)*M_BOM[RM_Qty_Per_Batch]*IFERROR(INDEX(PP_Grid[#Data],M_BOM[PPGridRow],3),0))</f>
        <v/>
      </c>
      <c r="D23">
        <f>SUMPRODUCT((M_BOM[RM_Code]=$A23)*M_BOM[RM_Qty_Per_Batch]*IFERROR(INDEX(PP_Grid[#Data],M_BOM[PPGridRow],4),0))</f>
        <v/>
      </c>
      <c r="E23">
        <f>SUMPRODUCT((M_BOM[RM_Code]=$A23)*M_BOM[RM_Qty_Per_Batch]*IFERROR(INDEX(PP_Grid[#Data],M_BOM[PPGridRow],5),0))</f>
        <v/>
      </c>
      <c r="F23">
        <f>SUMPRODUCT((M_BOM[RM_Code]=$A23)*M_BOM[RM_Qty_Per_Batch]*IFERROR(INDEX(PP_Grid[#Data],M_BOM[PPGridRow],6),0))</f>
        <v/>
      </c>
      <c r="G23">
        <f>SUMPRODUCT((M_BOM[RM_Code]=$A23)*M_BOM[RM_Qty_Per_Batch]*IFERROR(INDEX(PP_Grid[#Data],M_BOM[PPGridRow],7),0))</f>
        <v/>
      </c>
      <c r="H23">
        <f>SUMPRODUCT((M_BOM[RM_Code]=$A23)*M_BOM[RM_Qty_Per_Batch]*IFERROR(INDEX(PP_Grid[#Data],M_BOM[PPGridRow],8),0))</f>
        <v/>
      </c>
      <c r="I23">
        <f>SUMPRODUCT((M_BOM[RM_Code]=$A23)*M_BOM[RM_Qty_Per_Batch]*IFERROR(INDEX(PP_Grid[#Data],M_BOM[PPGridRow],9),0))</f>
        <v/>
      </c>
      <c r="J23">
        <f>SUMPRODUCT((M_BOM[RM_Code]=$A23)*M_BOM[RM_Qty_Per_Batch]*IFERROR(INDEX(PP_Grid[#Data],M_BOM[PPGridRow],10),0))</f>
        <v/>
      </c>
      <c r="K23">
        <f>SUMPRODUCT((M_BOM[RM_Code]=$A23)*M_BOM[RM_Qty_Per_Batch]*IFERROR(INDEX(PP_Grid[#Data],M_BOM[PPGridRow],11),0))</f>
        <v/>
      </c>
      <c r="L23">
        <f>SUMPRODUCT((M_BOM[RM_Code]=$A23)*M_BOM[RM_Qty_Per_Batch]*IFERROR(INDEX(PP_Grid[#Data],M_BOM[PPGridRow],12),0))</f>
        <v/>
      </c>
      <c r="M23">
        <f>SUMPRODUCT((M_BOM[RM_Code]=$A23)*M_BOM[RM_Qty_Per_Batch]*IFERROR(INDEX(PP_Grid[#Data],M_BOM[PPGridRow],13),0))</f>
        <v/>
      </c>
      <c r="N23">
        <f>SUMPRODUCT((M_BOM[RM_Code]=$A23)*M_BOM[RM_Qty_Per_Batch]*IFERROR(INDEX(PP_Grid[#Data],M_BOM[PPGridRow],14),0))</f>
        <v/>
      </c>
      <c r="O23">
        <f>SUMPRODUCT((M_BOM[RM_Code]=$A23)*M_BOM[RM_Qty_Per_Batch]*IFERROR(INDEX(PP_Grid[#Data],M_BOM[PPGridRow],15),0))</f>
        <v/>
      </c>
      <c r="P23">
        <f>SUMPRODUCT((M_BOM[RM_Code]=$A23)*M_BOM[RM_Qty_Per_Batch]*IFERROR(INDEX(PP_Grid[#Data],M_BOM[PPGridRow],16),0))</f>
        <v/>
      </c>
      <c r="Q23">
        <f>SUMPRODUCT((M_BOM[RM_Code]=$A23)*M_BOM[RM_Qty_Per_Batch]*IFERROR(INDEX(PP_Grid[#Data],M_BOM[PPGridRow],17),0))</f>
        <v/>
      </c>
      <c r="R23">
        <f>SUMPRODUCT((M_BOM[RM_Code]=$A23)*M_BOM[RM_Qty_Per_Batch]*IFERROR(INDEX(PP_Grid[#Data],M_BOM[PPGridRow],18),0))</f>
        <v/>
      </c>
      <c r="S23">
        <f>SUMPRODUCT((M_BOM[RM_Code]=$A23)*M_BOM[RM_Qty_Per_Batch]*IFERROR(INDEX(PP_Grid[#Data],M_BOM[PPGridRow],19),0))</f>
        <v/>
      </c>
      <c r="T23">
        <f>SUMPRODUCT((M_BOM[RM_Code]=$A23)*M_BOM[RM_Qty_Per_Batch]*IFERROR(INDEX(PP_Grid[#Data],M_BOM[PPGridRow],20),0))</f>
        <v/>
      </c>
      <c r="U23">
        <f>SUMPRODUCT((M_BOM[RM_Code]=$A23)*M_BOM[RM_Qty_Per_Batch]*IFERROR(INDEX(PP_Grid[#Data],M_BOM[PPGridRow],21),0))</f>
        <v/>
      </c>
      <c r="V23">
        <f>SUMPRODUCT((M_BOM[RM_Code]=$A23)*M_BOM[RM_Qty_Per_Batch]*IFERROR(INDEX(PP_Grid[#Data],M_BOM[PPGridRow],22),0))</f>
        <v/>
      </c>
      <c r="W23">
        <f>SUMPRODUCT((M_BOM[RM_Code]=$A23)*M_BOM[RM_Qty_Per_Batch]*IFERROR(INDEX(PP_Grid[#Data],M_BOM[PPGridRow],23),0))</f>
        <v/>
      </c>
      <c r="X23">
        <f>SUMPRODUCT((M_BOM[RM_Code]=$A23)*M_BOM[RM_Qty_Per_Batch]*IFERROR(INDEX(PP_Grid[#Data],M_BOM[PPGridRow],24),0))</f>
        <v/>
      </c>
      <c r="Y23">
        <f>SUMPRODUCT((M_BOM[RM_Code]=$A23)*M_BOM[RM_Qty_Per_Batch]*IFERROR(INDEX(PP_Grid[#Data],M_BOM[PPGridRow],25),0))</f>
        <v/>
      </c>
      <c r="Z23">
        <f>SUMPRODUCT((M_BOM[RM_Code]=$A23)*M_BOM[RM_Qty_Per_Batch]*IFERROR(INDEX(PP_Grid[#Data],M_BOM[PPGridRow],26),0))</f>
        <v/>
      </c>
      <c r="AA23">
        <f>SUMPRODUCT((M_BOM[RM_Code]=$A23)*M_BOM[RM_Qty_Per_Batch]*IFERROR(INDEX(PP_Grid[#Data],M_BOM[PPGridRow],27),0))</f>
        <v/>
      </c>
      <c r="AB23">
        <f>SUMPRODUCT((M_BOM[RM_Code]=$A23)*M_BOM[RM_Qty_Per_Batch]*IFERROR(INDEX(PP_Grid[#Data],M_BOM[PPGridRow],28),0))</f>
        <v/>
      </c>
      <c r="AC23">
        <f>SUMPRODUCT((M_BOM[RM_Code]=$A23)*M_BOM[RM_Qty_Per_Batch]*IFERROR(INDEX(PP_Grid[#Data],M_BOM[PPGridRow],29),0))</f>
        <v/>
      </c>
      <c r="AD23">
        <f>SUMPRODUCT((M_BOM[RM_Code]=$A23)*M_BOM[RM_Qty_Per_Batch]*IFERROR(INDEX(PP_Grid[#Data],M_BOM[PPGridRow],30),0))</f>
        <v/>
      </c>
      <c r="AE23">
        <f>SUMPRODUCT((M_BOM[RM_Code]=$A23)*M_BOM[RM_Qty_Per_Batch]*IFERROR(INDEX(PP_Grid[#Data],M_BOM[PPGridRow],31),0))</f>
        <v/>
      </c>
      <c r="AF23">
        <f>SUMPRODUCT((M_BOM[RM_Code]=$A23)*M_BOM[RM_Qty_Per_Batch]*IFERROR(INDEX(PP_Grid[#Data],M_BOM[PPGridRow],32),0))</f>
        <v/>
      </c>
      <c r="AG23">
        <f>SUMPRODUCT((M_BOM[RM_Code]=$A23)*M_BOM[RM_Qty_Per_Batch]*IFERROR(INDEX(PP_Grid[#Data],M_BOM[PPGridRow],33),0))</f>
        <v/>
      </c>
      <c r="AH23">
        <f>SUMPRODUCT((M_BOM[RM_Code]=$A23)*M_BOM[RM_Qty_Per_Batch]*IFERROR(INDEX(PP_Grid[#Data],M_BOM[PPGridRow],34),0))</f>
        <v/>
      </c>
      <c r="AI23">
        <f>SUMPRODUCT((M_BOM[RM_Code]=$A23)*M_BOM[RM_Qty_Per_Batch]*IFERROR(INDEX(PP_Grid[#Data],M_BOM[PPGridRow],35),0))</f>
        <v/>
      </c>
      <c r="AJ23">
        <f>SUMPRODUCT((M_BOM[RM_Code]=$A23)*M_BOM[RM_Qty_Per_Batch]*IFERROR(INDEX(PP_Grid[#Data],M_BOM[PPGridRow],36),0))</f>
        <v/>
      </c>
      <c r="AK23">
        <f>SUMPRODUCT((M_BOM[RM_Code]=$A23)*M_BOM[RM_Qty_Per_Batch]*IFERROR(INDEX(PP_Grid[#Data],M_BOM[PPGridRow],37),0))</f>
        <v/>
      </c>
      <c r="AL23">
        <f>SUMPRODUCT((M_BOM[RM_Code]=$A23)*M_BOM[RM_Qty_Per_Batch]*IFERROR(INDEX(PP_Grid[#Data],M_BOM[PPGridRow],38),0))</f>
        <v/>
      </c>
      <c r="AM23">
        <f>SUMPRODUCT((M_BOM[RM_Code]=$A23)*M_BOM[RM_Qty_Per_Batch]*IFERROR(INDEX(PP_Grid[#Data],M_BOM[PPGridRow],39),0))</f>
        <v/>
      </c>
      <c r="AN23">
        <f>SUMPRODUCT((M_BOM[RM_Code]=$A23)*M_BOM[RM_Qty_Per_Batch]*IFERROR(INDEX(PP_Grid[#Data],M_BOM[PPGridRow],40),0))</f>
        <v/>
      </c>
      <c r="AO23">
        <f>SUMPRODUCT((M_BOM[RM_Code]=$A23)*M_BOM[RM_Qty_Per_Batch]*IFERROR(INDEX(PP_Grid[#Data],M_BOM[PPGridRow],41),0))</f>
        <v/>
      </c>
      <c r="AP23">
        <f>SUMPRODUCT((M_BOM[RM_Code]=$A23)*M_BOM[RM_Qty_Per_Batch]*IFERROR(INDEX(PP_Grid[#Data],M_BOM[PPGridRow],42),0))</f>
        <v/>
      </c>
      <c r="AQ23">
        <f>SUMPRODUCT((M_BOM[RM_Code]=$A23)*M_BOM[RM_Qty_Per_Batch]*IFERROR(INDEX(PP_Grid[#Data],M_BOM[PPGridRow],43),0))</f>
        <v/>
      </c>
      <c r="AR23">
        <f>SUMPRODUCT((M_BOM[RM_Code]=$A23)*M_BOM[RM_Qty_Per_Batch]*IFERROR(INDEX(PP_Grid[#Data],M_BOM[PPGridRow],44),0))</f>
        <v/>
      </c>
      <c r="AS23">
        <f>SUMPRODUCT((M_BOM[RM_Code]=$A23)*M_BOM[RM_Qty_Per_Batch]*IFERROR(INDEX(PP_Grid[#Data],M_BOM[PPGridRow],45),0))</f>
        <v/>
      </c>
      <c r="AT23">
        <f>SUMPRODUCT((M_BOM[RM_Code]=$A23)*M_BOM[RM_Qty_Per_Batch]*IFERROR(INDEX(PP_Grid[#Data],M_BOM[PPGridRow],46),0))</f>
        <v/>
      </c>
      <c r="AU23">
        <f>SUMPRODUCT((M_BOM[RM_Code]=$A23)*M_BOM[RM_Qty_Per_Batch]*IFERROR(INDEX(PP_Grid[#Data],M_BOM[PPGridRow],47),0))</f>
        <v/>
      </c>
      <c r="AV23">
        <f>SUMPRODUCT((M_BOM[RM_Code]=$A23)*M_BOM[RM_Qty_Per_Batch]*IFERROR(INDEX(PP_Grid[#Data],M_BOM[PPGridRow],48),0))</f>
        <v/>
      </c>
      <c r="AW23">
        <f>SUMPRODUCT((M_BOM[RM_Code]=$A23)*M_BOM[RM_Qty_Per_Batch]*IFERROR(INDEX(PP_Grid[#Data],M_BOM[PPGridRow],49),0))</f>
        <v/>
      </c>
      <c r="AX23">
        <f>SUMPRODUCT((M_BOM[RM_Code]=$A23)*M_BOM[RM_Qty_Per_Batch]*IFERROR(INDEX(PP_Grid[#Data],M_BOM[PPGridRow],50),0))</f>
        <v/>
      </c>
      <c r="AY23">
        <f>SUMPRODUCT((M_BOM[RM_Code]=$A23)*M_BOM[RM_Qty_Per_Batch]*IFERROR(INDEX(PP_Grid[#Data],M_BOM[PPGridRow],51),0))</f>
        <v/>
      </c>
      <c r="AZ23">
        <f>SUMPRODUCT((M_BOM[RM_Code]=$A23)*M_BOM[RM_Qty_Per_Batch]*IFERROR(INDEX(PP_Grid[#Data],M_BOM[PPGridRow],52),0))</f>
        <v/>
      </c>
      <c r="BA23">
        <f>SUMPRODUCT((M_BOM[RM_Code]=$A23)*M_BOM[RM_Qty_Per_Batch]*IFERROR(INDEX(PP_Grid[#Data],M_BOM[PPGridRow],53),0))</f>
        <v/>
      </c>
      <c r="BB23">
        <f>SUMPRODUCT((M_BOM[RM_Code]=$A23)*M_BOM[RM_Qty_Per_Batch]*IFERROR(INDEX(PP_Grid[#Data],M_BOM[PPGridRow],54),0))</f>
        <v/>
      </c>
      <c r="BC23">
        <f>SUMPRODUCT((M_BOM[RM_Code]=$A23)*M_BOM[RM_Qty_Per_Batch]*IFERROR(INDEX(PP_Grid[#Data],M_BOM[PPGridRow],55),0))</f>
        <v/>
      </c>
      <c r="BD23">
        <f>SUMPRODUCT((M_BOM[RM_Code]=$A23)*M_BOM[RM_Qty_Per_Batch]*IFERROR(INDEX(PP_Grid[#Data],M_BOM[PPGridRow],56),0))</f>
        <v/>
      </c>
      <c r="BE23">
        <f>SUMPRODUCT((M_BOM[RM_Code]=$A23)*M_BOM[RM_Qty_Per_Batch]*IFERROR(INDEX(PP_Grid[#Data],M_BOM[PPGridRow],57),0))</f>
        <v/>
      </c>
      <c r="BF23">
        <f>SUMPRODUCT((M_BOM[RM_Code]=$A23)*M_BOM[RM_Qty_Per_Batch]*IFERROR(INDEX(PP_Grid[#Data],M_BOM[PPGridRow],58),0))</f>
        <v/>
      </c>
      <c r="BG23">
        <f>SUMPRODUCT((M_BOM[RM_Code]=$A23)*M_BOM[RM_Qty_Per_Batch]*IFERROR(INDEX(PP_Grid[#Data],M_BOM[PPGridRow],59),0))</f>
        <v/>
      </c>
      <c r="BH23">
        <f>SUMPRODUCT((M_BOM[RM_Code]=$A23)*M_BOM[RM_Qty_Per_Batch]*IFERROR(INDEX(PP_Grid[#Data],M_BOM[PPGridRow],60),0))</f>
        <v/>
      </c>
      <c r="BI23">
        <f>SUMPRODUCT((M_BOM[RM_Code]=$A23)*M_BOM[RM_Qty_Per_Batch]*IFERROR(INDEX(PP_Grid[#Data],M_BOM[PPGridRow],61),0))</f>
        <v/>
      </c>
      <c r="BJ23">
        <f>SUMPRODUCT((M_BOM[RM_Code]=$A23)*M_BOM[RM_Qty_Per_Batch]*IFERROR(INDEX(PP_Grid[#Data],M_BOM[PPGridRow],62),0))</f>
        <v/>
      </c>
      <c r="BK23">
        <f>SUMPRODUCT((M_BOM[RM_Code]=$A23)*M_BOM[RM_Qty_Per_Batch]*IFERROR(INDEX(PP_Grid[#Data],M_BOM[PPGridRow],63),0))</f>
        <v/>
      </c>
      <c r="BL23">
        <f>SUMPRODUCT((M_BOM[RM_Code]=$A23)*M_BOM[RM_Qty_Per_Batch]*IFERROR(INDEX(PP_Grid[#Data],M_BOM[PPGridRow],64),0))</f>
        <v/>
      </c>
      <c r="BM23">
        <f>SUMPRODUCT((M_BOM[RM_Code]=$A23)*M_BOM[RM_Qty_Per_Batch]*IFERROR(INDEX(PP_Grid[#Data],M_BOM[PPGridRow],65),0))</f>
        <v/>
      </c>
      <c r="BN23">
        <f>SUMPRODUCT((M_BOM[RM_Code]=$A23)*M_BOM[RM_Qty_Per_Batch]*IFERROR(INDEX(PP_Grid[#Data],M_BOM[PPGridRow],66),0))</f>
        <v/>
      </c>
      <c r="BO23">
        <f>SUMPRODUCT((M_BOM[RM_Code]=$A23)*M_BOM[RM_Qty_Per_Batch]*IFERROR(INDEX(PP_Grid[#Data],M_BOM[PPGridRow],67),0))</f>
        <v/>
      </c>
      <c r="BP23">
        <f>SUMPRODUCT((M_BOM[RM_Code]=$A23)*M_BOM[RM_Qty_Per_Batch]*IFERROR(INDEX(PP_Grid[#Data],M_BOM[PPGridRow],68),0))</f>
        <v/>
      </c>
      <c r="BQ23">
        <f>SUMPRODUCT((M_BOM[RM_Code]=$A23)*M_BOM[RM_Qty_Per_Batch]*IFERROR(INDEX(PP_Grid[#Data],M_BOM[PPGridRow],69),0))</f>
        <v/>
      </c>
      <c r="BR23">
        <f>SUMPRODUCT((M_BOM[RM_Code]=$A23)*M_BOM[RM_Qty_Per_Batch]*IFERROR(INDEX(PP_Grid[#Data],M_BOM[PPGridRow],70),0))</f>
        <v/>
      </c>
      <c r="BS23">
        <f>SUMPRODUCT((M_BOM[RM_Code]=$A23)*M_BOM[RM_Qty_Per_Batch]*IFERROR(INDEX(PP_Grid[#Data],M_BOM[PPGridRow],71),0))</f>
        <v/>
      </c>
      <c r="BT23">
        <f>SUMPRODUCT((M_BOM[RM_Code]=$A23)*M_BOM[RM_Qty_Per_Batch]*IFERROR(INDEX(PP_Grid[#Data],M_BOM[PPGridRow],72),0))</f>
        <v/>
      </c>
      <c r="BU23">
        <f>SUMPRODUCT((M_BOM[RM_Code]=$A23)*M_BOM[RM_Qty_Per_Batch]*IFERROR(INDEX(PP_Grid[#Data],M_BOM[PPGridRow],73),0))</f>
        <v/>
      </c>
      <c r="BV23">
        <f>SUMPRODUCT((M_BOM[RM_Code]=$A23)*M_BOM[RM_Qty_Per_Batch]*IFERROR(INDEX(PP_Grid[#Data],M_BOM[PPGridRow],74),0))</f>
        <v/>
      </c>
      <c r="BW23">
        <f>SUMPRODUCT((M_BOM[RM_Code]=$A23)*M_BOM[RM_Qty_Per_Batch]*IFERROR(INDEX(PP_Grid[#Data],M_BOM[PPGridRow],75),0))</f>
        <v/>
      </c>
      <c r="BX23">
        <f>SUMPRODUCT((M_BOM[RM_Code]=$A23)*M_BOM[RM_Qty_Per_Batch]*IFERROR(INDEX(PP_Grid[#Data],M_BOM[PPGridRow],76),0))</f>
        <v/>
      </c>
      <c r="BY23">
        <f>SUMPRODUCT((M_BOM[RM_Code]=$A23)*M_BOM[RM_Qty_Per_Batch]*IFERROR(INDEX(PP_Grid[#Data],M_BOM[PPGridRow],77),0))</f>
        <v/>
      </c>
      <c r="BZ23">
        <f>SUMPRODUCT((M_BOM[RM_Code]=$A23)*M_BOM[RM_Qty_Per_Batch]*IFERROR(INDEX(PP_Grid[#Data],M_BOM[PPGridRow],78),0))</f>
        <v/>
      </c>
      <c r="CA23">
        <f>SUMPRODUCT((M_BOM[RM_Code]=$A23)*M_BOM[RM_Qty_Per_Batch]*IFERROR(INDEX(PP_Grid[#Data],M_BOM[PPGridRow],79),0))</f>
        <v/>
      </c>
      <c r="CB23">
        <f>SUMPRODUCT((M_BOM[RM_Code]=$A23)*M_BOM[RM_Qty_Per_Batch]*IFERROR(INDEX(PP_Grid[#Data],M_BOM[PPGridRow],80),0))</f>
        <v/>
      </c>
      <c r="CC23">
        <f>SUMPRODUCT((M_BOM[RM_Code]=$A23)*M_BOM[RM_Qty_Per_Batch]*IFERROR(INDEX(PP_Grid[#Data],M_BOM[PPGridRow],81),0))</f>
        <v/>
      </c>
      <c r="CD23">
        <f>SUMPRODUCT((M_BOM[RM_Code]=$A23)*M_BOM[RM_Qty_Per_Batch]*IFERROR(INDEX(PP_Grid[#Data],M_BOM[PPGridRow],82),0))</f>
        <v/>
      </c>
      <c r="CE23">
        <f>SUMPRODUCT((M_BOM[RM_Code]=$A23)*M_BOM[RM_Qty_Per_Batch]*IFERROR(INDEX(PP_Grid[#Data],M_BOM[PPGridRow],83),0))</f>
        <v/>
      </c>
      <c r="CF23">
        <f>SUMPRODUCT((M_BOM[RM_Code]=$A23)*M_BOM[RM_Qty_Per_Batch]*IFERROR(INDEX(PP_Grid[#Data],M_BOM[PPGridRow],84),0))</f>
        <v/>
      </c>
      <c r="CG23">
        <f>SUMPRODUCT((M_BOM[RM_Code]=$A23)*M_BOM[RM_Qty_Per_Batch]*IFERROR(INDEX(PP_Grid[#Data],M_BOM[PPGridRow],85),0))</f>
        <v/>
      </c>
      <c r="CH23">
        <f>SUMPRODUCT((M_BOM[RM_Code]=$A23)*M_BOM[RM_Qty_Per_Batch]*IFERROR(INDEX(PP_Grid[#Data],M_BOM[PPGridRow],86),0))</f>
        <v/>
      </c>
      <c r="CI23">
        <f>SUMPRODUCT((M_BOM[RM_Code]=$A23)*M_BOM[RM_Qty_Per_Batch]*IFERROR(INDEX(PP_Grid[#Data],M_BOM[PPGridRow],87),0))</f>
        <v/>
      </c>
      <c r="CJ23">
        <f>SUMPRODUCT((M_BOM[RM_Code]=$A23)*M_BOM[RM_Qty_Per_Batch]*IFERROR(INDEX(PP_Grid[#Data],M_BOM[PPGridRow],88),0))</f>
        <v/>
      </c>
      <c r="CK23">
        <f>SUMPRODUCT((M_BOM[RM_Code]=$A23)*M_BOM[RM_Qty_Per_Batch]*IFERROR(INDEX(PP_Grid[#Data],M_BOM[PPGridRow],89),0))</f>
        <v/>
      </c>
      <c r="CL23">
        <f>SUMPRODUCT((M_BOM[RM_Code]=$A23)*M_BOM[RM_Qty_Per_Batch]*IFERROR(INDEX(PP_Grid[#Data],M_BOM[PPGridRow],90),0))</f>
        <v/>
      </c>
      <c r="CM23">
        <f>SUMPRODUCT((M_BOM[RM_Code]=$A23)*M_BOM[RM_Qty_Per_Batch]*IFERROR(INDEX(PP_Grid[#Data],M_BOM[PPGridRow],91),0))</f>
        <v/>
      </c>
      <c r="CN23">
        <f>SUMPRODUCT((M_BOM[RM_Code]=$A23)*M_BOM[RM_Qty_Per_Batch]*IFERROR(INDEX(PP_Grid[#Data],M_BOM[PPGridRow],92),0))</f>
        <v/>
      </c>
      <c r="CO23">
        <f>SUMPRODUCT((M_BOM[RM_Code]=$A23)*M_BOM[RM_Qty_Per_Batch]*IFERROR(INDEX(PP_Grid[#Data],M_BOM[PPGridRow],93),0))</f>
        <v/>
      </c>
      <c r="CP23">
        <f>SUMPRODUCT((M_BOM[RM_Code]=$A23)*M_BOM[RM_Qty_Per_Batch]*IFERROR(INDEX(PP_Grid[#Data],M_BOM[PPGridRow],94),0))</f>
        <v/>
      </c>
      <c r="CQ23">
        <f>SUMPRODUCT((M_BOM[RM_Code]=$A23)*M_BOM[RM_Qty_Per_Batch]*IFERROR(INDEX(PP_Grid[#Data],M_BOM[PPGridRow],95),0))</f>
        <v/>
      </c>
      <c r="CR23">
        <f>SUMPRODUCT((M_BOM[RM_Code]=$A23)*M_BOM[RM_Qty_Per_Batch]*IFERROR(INDEX(PP_Grid[#Data],M_BOM[PPGridRow],96),0))</f>
        <v/>
      </c>
      <c r="CS23">
        <f>SUMPRODUCT((M_BOM[RM_Code]=$A23)*M_BOM[RM_Qty_Per_Batch]*IFERROR(INDEX(PP_Grid[#Data],M_BOM[PPGridRow],97),0))</f>
        <v/>
      </c>
      <c r="CT23">
        <f>SUMPRODUCT((M_BOM[RM_Code]=$A23)*M_BOM[RM_Qty_Per_Batch]*IFERROR(INDEX(PP_Grid[#Data],M_BOM[PPGridRow],98),0))</f>
        <v/>
      </c>
      <c r="CU23">
        <f>SUMPRODUCT((M_BOM[RM_Code]=$A23)*M_BOM[RM_Qty_Per_Batch]*IFERROR(INDEX(PP_Grid[#Data],M_BOM[PPGridRow],99),0))</f>
        <v/>
      </c>
      <c r="CV23">
        <f>SUMPRODUCT((M_BOM[RM_Code]=$A23)*M_BOM[RM_Qty_Per_Batch]*IFERROR(INDEX(PP_Grid[#Data],M_BOM[PPGridRow],100),0))</f>
        <v/>
      </c>
      <c r="CW23">
        <f>SUMPRODUCT((M_BOM[RM_Code]=$A23)*M_BOM[RM_Qty_Per_Batch]*IFERROR(INDEX(PP_Grid[#Data],M_BOM[PPGridRow],101),0))</f>
        <v/>
      </c>
      <c r="CX23">
        <f>SUMPRODUCT((M_BOM[RM_Code]=$A23)*M_BOM[RM_Qty_Per_Batch]*IFERROR(INDEX(PP_Grid[#Data],M_BOM[PPGridRow],102),0))</f>
        <v/>
      </c>
      <c r="CY23">
        <f>SUMPRODUCT((M_BOM[RM_Code]=$A23)*M_BOM[RM_Qty_Per_Batch]*IFERROR(INDEX(PP_Grid[#Data],M_BOM[PPGridRow],103),0))</f>
        <v/>
      </c>
      <c r="CZ23">
        <f>SUMPRODUCT((M_BOM[RM_Code]=$A23)*M_BOM[RM_Qty_Per_Batch]*IFERROR(INDEX(PP_Grid[#Data],M_BOM[PPGridRow],104),0))</f>
        <v/>
      </c>
      <c r="DA23">
        <f>SUMPRODUCT((M_BOM[RM_Code]=$A23)*M_BOM[RM_Qty_Per_Batch]*IFERROR(INDEX(PP_Grid[#Data],M_BOM[PPGridRow],105),0))</f>
        <v/>
      </c>
    </row>
    <row r="24">
      <c r="A24" t="inlineStr">
        <is>
          <t>CHEM-1240</t>
        </is>
      </c>
      <c r="B24">
        <f>SUMPRODUCT((M_BOM[RM_Code]=$A24)*M_BOM[RM_Qty_Per_Batch]*IFERROR(INDEX(PP_Grid[#Data],M_BOM[PPGridRow],2),0))</f>
        <v/>
      </c>
      <c r="C24">
        <f>SUMPRODUCT((M_BOM[RM_Code]=$A24)*M_BOM[RM_Qty_Per_Batch]*IFERROR(INDEX(PP_Grid[#Data],M_BOM[PPGridRow],3),0))</f>
        <v/>
      </c>
      <c r="D24">
        <f>SUMPRODUCT((M_BOM[RM_Code]=$A24)*M_BOM[RM_Qty_Per_Batch]*IFERROR(INDEX(PP_Grid[#Data],M_BOM[PPGridRow],4),0))</f>
        <v/>
      </c>
      <c r="E24">
        <f>SUMPRODUCT((M_BOM[RM_Code]=$A24)*M_BOM[RM_Qty_Per_Batch]*IFERROR(INDEX(PP_Grid[#Data],M_BOM[PPGridRow],5),0))</f>
        <v/>
      </c>
      <c r="F24">
        <f>SUMPRODUCT((M_BOM[RM_Code]=$A24)*M_BOM[RM_Qty_Per_Batch]*IFERROR(INDEX(PP_Grid[#Data],M_BOM[PPGridRow],6),0))</f>
        <v/>
      </c>
      <c r="G24">
        <f>SUMPRODUCT((M_BOM[RM_Code]=$A24)*M_BOM[RM_Qty_Per_Batch]*IFERROR(INDEX(PP_Grid[#Data],M_BOM[PPGridRow],7),0))</f>
        <v/>
      </c>
      <c r="H24">
        <f>SUMPRODUCT((M_BOM[RM_Code]=$A24)*M_BOM[RM_Qty_Per_Batch]*IFERROR(INDEX(PP_Grid[#Data],M_BOM[PPGridRow],8),0))</f>
        <v/>
      </c>
      <c r="I24">
        <f>SUMPRODUCT((M_BOM[RM_Code]=$A24)*M_BOM[RM_Qty_Per_Batch]*IFERROR(INDEX(PP_Grid[#Data],M_BOM[PPGridRow],9),0))</f>
        <v/>
      </c>
      <c r="J24">
        <f>SUMPRODUCT((M_BOM[RM_Code]=$A24)*M_BOM[RM_Qty_Per_Batch]*IFERROR(INDEX(PP_Grid[#Data],M_BOM[PPGridRow],10),0))</f>
        <v/>
      </c>
      <c r="K24">
        <f>SUMPRODUCT((M_BOM[RM_Code]=$A24)*M_BOM[RM_Qty_Per_Batch]*IFERROR(INDEX(PP_Grid[#Data],M_BOM[PPGridRow],11),0))</f>
        <v/>
      </c>
      <c r="L24">
        <f>SUMPRODUCT((M_BOM[RM_Code]=$A24)*M_BOM[RM_Qty_Per_Batch]*IFERROR(INDEX(PP_Grid[#Data],M_BOM[PPGridRow],12),0))</f>
        <v/>
      </c>
      <c r="M24">
        <f>SUMPRODUCT((M_BOM[RM_Code]=$A24)*M_BOM[RM_Qty_Per_Batch]*IFERROR(INDEX(PP_Grid[#Data],M_BOM[PPGridRow],13),0))</f>
        <v/>
      </c>
      <c r="N24">
        <f>SUMPRODUCT((M_BOM[RM_Code]=$A24)*M_BOM[RM_Qty_Per_Batch]*IFERROR(INDEX(PP_Grid[#Data],M_BOM[PPGridRow],14),0))</f>
        <v/>
      </c>
      <c r="O24">
        <f>SUMPRODUCT((M_BOM[RM_Code]=$A24)*M_BOM[RM_Qty_Per_Batch]*IFERROR(INDEX(PP_Grid[#Data],M_BOM[PPGridRow],15),0))</f>
        <v/>
      </c>
      <c r="P24">
        <f>SUMPRODUCT((M_BOM[RM_Code]=$A24)*M_BOM[RM_Qty_Per_Batch]*IFERROR(INDEX(PP_Grid[#Data],M_BOM[PPGridRow],16),0))</f>
        <v/>
      </c>
      <c r="Q24">
        <f>SUMPRODUCT((M_BOM[RM_Code]=$A24)*M_BOM[RM_Qty_Per_Batch]*IFERROR(INDEX(PP_Grid[#Data],M_BOM[PPGridRow],17),0))</f>
        <v/>
      </c>
      <c r="R24">
        <f>SUMPRODUCT((M_BOM[RM_Code]=$A24)*M_BOM[RM_Qty_Per_Batch]*IFERROR(INDEX(PP_Grid[#Data],M_BOM[PPGridRow],18),0))</f>
        <v/>
      </c>
      <c r="S24">
        <f>SUMPRODUCT((M_BOM[RM_Code]=$A24)*M_BOM[RM_Qty_Per_Batch]*IFERROR(INDEX(PP_Grid[#Data],M_BOM[PPGridRow],19),0))</f>
        <v/>
      </c>
      <c r="T24">
        <f>SUMPRODUCT((M_BOM[RM_Code]=$A24)*M_BOM[RM_Qty_Per_Batch]*IFERROR(INDEX(PP_Grid[#Data],M_BOM[PPGridRow],20),0))</f>
        <v/>
      </c>
      <c r="U24">
        <f>SUMPRODUCT((M_BOM[RM_Code]=$A24)*M_BOM[RM_Qty_Per_Batch]*IFERROR(INDEX(PP_Grid[#Data],M_BOM[PPGridRow],21),0))</f>
        <v/>
      </c>
      <c r="V24">
        <f>SUMPRODUCT((M_BOM[RM_Code]=$A24)*M_BOM[RM_Qty_Per_Batch]*IFERROR(INDEX(PP_Grid[#Data],M_BOM[PPGridRow],22),0))</f>
        <v/>
      </c>
      <c r="W24">
        <f>SUMPRODUCT((M_BOM[RM_Code]=$A24)*M_BOM[RM_Qty_Per_Batch]*IFERROR(INDEX(PP_Grid[#Data],M_BOM[PPGridRow],23),0))</f>
        <v/>
      </c>
      <c r="X24">
        <f>SUMPRODUCT((M_BOM[RM_Code]=$A24)*M_BOM[RM_Qty_Per_Batch]*IFERROR(INDEX(PP_Grid[#Data],M_BOM[PPGridRow],24),0))</f>
        <v/>
      </c>
      <c r="Y24">
        <f>SUMPRODUCT((M_BOM[RM_Code]=$A24)*M_BOM[RM_Qty_Per_Batch]*IFERROR(INDEX(PP_Grid[#Data],M_BOM[PPGridRow],25),0))</f>
        <v/>
      </c>
      <c r="Z24">
        <f>SUMPRODUCT((M_BOM[RM_Code]=$A24)*M_BOM[RM_Qty_Per_Batch]*IFERROR(INDEX(PP_Grid[#Data],M_BOM[PPGridRow],26),0))</f>
        <v/>
      </c>
      <c r="AA24">
        <f>SUMPRODUCT((M_BOM[RM_Code]=$A24)*M_BOM[RM_Qty_Per_Batch]*IFERROR(INDEX(PP_Grid[#Data],M_BOM[PPGridRow],27),0))</f>
        <v/>
      </c>
      <c r="AB24">
        <f>SUMPRODUCT((M_BOM[RM_Code]=$A24)*M_BOM[RM_Qty_Per_Batch]*IFERROR(INDEX(PP_Grid[#Data],M_BOM[PPGridRow],28),0))</f>
        <v/>
      </c>
      <c r="AC24">
        <f>SUMPRODUCT((M_BOM[RM_Code]=$A24)*M_BOM[RM_Qty_Per_Batch]*IFERROR(INDEX(PP_Grid[#Data],M_BOM[PPGridRow],29),0))</f>
        <v/>
      </c>
      <c r="AD24">
        <f>SUMPRODUCT((M_BOM[RM_Code]=$A24)*M_BOM[RM_Qty_Per_Batch]*IFERROR(INDEX(PP_Grid[#Data],M_BOM[PPGridRow],30),0))</f>
        <v/>
      </c>
      <c r="AE24">
        <f>SUMPRODUCT((M_BOM[RM_Code]=$A24)*M_BOM[RM_Qty_Per_Batch]*IFERROR(INDEX(PP_Grid[#Data],M_BOM[PPGridRow],31),0))</f>
        <v/>
      </c>
      <c r="AF24">
        <f>SUMPRODUCT((M_BOM[RM_Code]=$A24)*M_BOM[RM_Qty_Per_Batch]*IFERROR(INDEX(PP_Grid[#Data],M_BOM[PPGridRow],32),0))</f>
        <v/>
      </c>
      <c r="AG24">
        <f>SUMPRODUCT((M_BOM[RM_Code]=$A24)*M_BOM[RM_Qty_Per_Batch]*IFERROR(INDEX(PP_Grid[#Data],M_BOM[PPGridRow],33),0))</f>
        <v/>
      </c>
      <c r="AH24">
        <f>SUMPRODUCT((M_BOM[RM_Code]=$A24)*M_BOM[RM_Qty_Per_Batch]*IFERROR(INDEX(PP_Grid[#Data],M_BOM[PPGridRow],34),0))</f>
        <v/>
      </c>
      <c r="AI24">
        <f>SUMPRODUCT((M_BOM[RM_Code]=$A24)*M_BOM[RM_Qty_Per_Batch]*IFERROR(INDEX(PP_Grid[#Data],M_BOM[PPGridRow],35),0))</f>
        <v/>
      </c>
      <c r="AJ24">
        <f>SUMPRODUCT((M_BOM[RM_Code]=$A24)*M_BOM[RM_Qty_Per_Batch]*IFERROR(INDEX(PP_Grid[#Data],M_BOM[PPGridRow],36),0))</f>
        <v/>
      </c>
      <c r="AK24">
        <f>SUMPRODUCT((M_BOM[RM_Code]=$A24)*M_BOM[RM_Qty_Per_Batch]*IFERROR(INDEX(PP_Grid[#Data],M_BOM[PPGridRow],37),0))</f>
        <v/>
      </c>
      <c r="AL24">
        <f>SUMPRODUCT((M_BOM[RM_Code]=$A24)*M_BOM[RM_Qty_Per_Batch]*IFERROR(INDEX(PP_Grid[#Data],M_BOM[PPGridRow],38),0))</f>
        <v/>
      </c>
      <c r="AM24">
        <f>SUMPRODUCT((M_BOM[RM_Code]=$A24)*M_BOM[RM_Qty_Per_Batch]*IFERROR(INDEX(PP_Grid[#Data],M_BOM[PPGridRow],39),0))</f>
        <v/>
      </c>
      <c r="AN24">
        <f>SUMPRODUCT((M_BOM[RM_Code]=$A24)*M_BOM[RM_Qty_Per_Batch]*IFERROR(INDEX(PP_Grid[#Data],M_BOM[PPGridRow],40),0))</f>
        <v/>
      </c>
      <c r="AO24">
        <f>SUMPRODUCT((M_BOM[RM_Code]=$A24)*M_BOM[RM_Qty_Per_Batch]*IFERROR(INDEX(PP_Grid[#Data],M_BOM[PPGridRow],41),0))</f>
        <v/>
      </c>
      <c r="AP24">
        <f>SUMPRODUCT((M_BOM[RM_Code]=$A24)*M_BOM[RM_Qty_Per_Batch]*IFERROR(INDEX(PP_Grid[#Data],M_BOM[PPGridRow],42),0))</f>
        <v/>
      </c>
      <c r="AQ24">
        <f>SUMPRODUCT((M_BOM[RM_Code]=$A24)*M_BOM[RM_Qty_Per_Batch]*IFERROR(INDEX(PP_Grid[#Data],M_BOM[PPGridRow],43),0))</f>
        <v/>
      </c>
      <c r="AR24">
        <f>SUMPRODUCT((M_BOM[RM_Code]=$A24)*M_BOM[RM_Qty_Per_Batch]*IFERROR(INDEX(PP_Grid[#Data],M_BOM[PPGridRow],44),0))</f>
        <v/>
      </c>
      <c r="AS24">
        <f>SUMPRODUCT((M_BOM[RM_Code]=$A24)*M_BOM[RM_Qty_Per_Batch]*IFERROR(INDEX(PP_Grid[#Data],M_BOM[PPGridRow],45),0))</f>
        <v/>
      </c>
      <c r="AT24">
        <f>SUMPRODUCT((M_BOM[RM_Code]=$A24)*M_BOM[RM_Qty_Per_Batch]*IFERROR(INDEX(PP_Grid[#Data],M_BOM[PPGridRow],46),0))</f>
        <v/>
      </c>
      <c r="AU24">
        <f>SUMPRODUCT((M_BOM[RM_Code]=$A24)*M_BOM[RM_Qty_Per_Batch]*IFERROR(INDEX(PP_Grid[#Data],M_BOM[PPGridRow],47),0))</f>
        <v/>
      </c>
      <c r="AV24">
        <f>SUMPRODUCT((M_BOM[RM_Code]=$A24)*M_BOM[RM_Qty_Per_Batch]*IFERROR(INDEX(PP_Grid[#Data],M_BOM[PPGridRow],48),0))</f>
        <v/>
      </c>
      <c r="AW24">
        <f>SUMPRODUCT((M_BOM[RM_Code]=$A24)*M_BOM[RM_Qty_Per_Batch]*IFERROR(INDEX(PP_Grid[#Data],M_BOM[PPGridRow],49),0))</f>
        <v/>
      </c>
      <c r="AX24">
        <f>SUMPRODUCT((M_BOM[RM_Code]=$A24)*M_BOM[RM_Qty_Per_Batch]*IFERROR(INDEX(PP_Grid[#Data],M_BOM[PPGridRow],50),0))</f>
        <v/>
      </c>
      <c r="AY24">
        <f>SUMPRODUCT((M_BOM[RM_Code]=$A24)*M_BOM[RM_Qty_Per_Batch]*IFERROR(INDEX(PP_Grid[#Data],M_BOM[PPGridRow],51),0))</f>
        <v/>
      </c>
      <c r="AZ24">
        <f>SUMPRODUCT((M_BOM[RM_Code]=$A24)*M_BOM[RM_Qty_Per_Batch]*IFERROR(INDEX(PP_Grid[#Data],M_BOM[PPGridRow],52),0))</f>
        <v/>
      </c>
      <c r="BA24">
        <f>SUMPRODUCT((M_BOM[RM_Code]=$A24)*M_BOM[RM_Qty_Per_Batch]*IFERROR(INDEX(PP_Grid[#Data],M_BOM[PPGridRow],53),0))</f>
        <v/>
      </c>
      <c r="BB24">
        <f>SUMPRODUCT((M_BOM[RM_Code]=$A24)*M_BOM[RM_Qty_Per_Batch]*IFERROR(INDEX(PP_Grid[#Data],M_BOM[PPGridRow],54),0))</f>
        <v/>
      </c>
      <c r="BC24">
        <f>SUMPRODUCT((M_BOM[RM_Code]=$A24)*M_BOM[RM_Qty_Per_Batch]*IFERROR(INDEX(PP_Grid[#Data],M_BOM[PPGridRow],55),0))</f>
        <v/>
      </c>
      <c r="BD24">
        <f>SUMPRODUCT((M_BOM[RM_Code]=$A24)*M_BOM[RM_Qty_Per_Batch]*IFERROR(INDEX(PP_Grid[#Data],M_BOM[PPGridRow],56),0))</f>
        <v/>
      </c>
      <c r="BE24">
        <f>SUMPRODUCT((M_BOM[RM_Code]=$A24)*M_BOM[RM_Qty_Per_Batch]*IFERROR(INDEX(PP_Grid[#Data],M_BOM[PPGridRow],57),0))</f>
        <v/>
      </c>
      <c r="BF24">
        <f>SUMPRODUCT((M_BOM[RM_Code]=$A24)*M_BOM[RM_Qty_Per_Batch]*IFERROR(INDEX(PP_Grid[#Data],M_BOM[PPGridRow],58),0))</f>
        <v/>
      </c>
      <c r="BG24">
        <f>SUMPRODUCT((M_BOM[RM_Code]=$A24)*M_BOM[RM_Qty_Per_Batch]*IFERROR(INDEX(PP_Grid[#Data],M_BOM[PPGridRow],59),0))</f>
        <v/>
      </c>
      <c r="BH24">
        <f>SUMPRODUCT((M_BOM[RM_Code]=$A24)*M_BOM[RM_Qty_Per_Batch]*IFERROR(INDEX(PP_Grid[#Data],M_BOM[PPGridRow],60),0))</f>
        <v/>
      </c>
      <c r="BI24">
        <f>SUMPRODUCT((M_BOM[RM_Code]=$A24)*M_BOM[RM_Qty_Per_Batch]*IFERROR(INDEX(PP_Grid[#Data],M_BOM[PPGridRow],61),0))</f>
        <v/>
      </c>
      <c r="BJ24">
        <f>SUMPRODUCT((M_BOM[RM_Code]=$A24)*M_BOM[RM_Qty_Per_Batch]*IFERROR(INDEX(PP_Grid[#Data],M_BOM[PPGridRow],62),0))</f>
        <v/>
      </c>
      <c r="BK24">
        <f>SUMPRODUCT((M_BOM[RM_Code]=$A24)*M_BOM[RM_Qty_Per_Batch]*IFERROR(INDEX(PP_Grid[#Data],M_BOM[PPGridRow],63),0))</f>
        <v/>
      </c>
      <c r="BL24">
        <f>SUMPRODUCT((M_BOM[RM_Code]=$A24)*M_BOM[RM_Qty_Per_Batch]*IFERROR(INDEX(PP_Grid[#Data],M_BOM[PPGridRow],64),0))</f>
        <v/>
      </c>
      <c r="BM24">
        <f>SUMPRODUCT((M_BOM[RM_Code]=$A24)*M_BOM[RM_Qty_Per_Batch]*IFERROR(INDEX(PP_Grid[#Data],M_BOM[PPGridRow],65),0))</f>
        <v/>
      </c>
      <c r="BN24">
        <f>SUMPRODUCT((M_BOM[RM_Code]=$A24)*M_BOM[RM_Qty_Per_Batch]*IFERROR(INDEX(PP_Grid[#Data],M_BOM[PPGridRow],66),0))</f>
        <v/>
      </c>
      <c r="BO24">
        <f>SUMPRODUCT((M_BOM[RM_Code]=$A24)*M_BOM[RM_Qty_Per_Batch]*IFERROR(INDEX(PP_Grid[#Data],M_BOM[PPGridRow],67),0))</f>
        <v/>
      </c>
      <c r="BP24">
        <f>SUMPRODUCT((M_BOM[RM_Code]=$A24)*M_BOM[RM_Qty_Per_Batch]*IFERROR(INDEX(PP_Grid[#Data],M_BOM[PPGridRow],68),0))</f>
        <v/>
      </c>
      <c r="BQ24">
        <f>SUMPRODUCT((M_BOM[RM_Code]=$A24)*M_BOM[RM_Qty_Per_Batch]*IFERROR(INDEX(PP_Grid[#Data],M_BOM[PPGridRow],69),0))</f>
        <v/>
      </c>
      <c r="BR24">
        <f>SUMPRODUCT((M_BOM[RM_Code]=$A24)*M_BOM[RM_Qty_Per_Batch]*IFERROR(INDEX(PP_Grid[#Data],M_BOM[PPGridRow],70),0))</f>
        <v/>
      </c>
      <c r="BS24">
        <f>SUMPRODUCT((M_BOM[RM_Code]=$A24)*M_BOM[RM_Qty_Per_Batch]*IFERROR(INDEX(PP_Grid[#Data],M_BOM[PPGridRow],71),0))</f>
        <v/>
      </c>
      <c r="BT24">
        <f>SUMPRODUCT((M_BOM[RM_Code]=$A24)*M_BOM[RM_Qty_Per_Batch]*IFERROR(INDEX(PP_Grid[#Data],M_BOM[PPGridRow],72),0))</f>
        <v/>
      </c>
      <c r="BU24">
        <f>SUMPRODUCT((M_BOM[RM_Code]=$A24)*M_BOM[RM_Qty_Per_Batch]*IFERROR(INDEX(PP_Grid[#Data],M_BOM[PPGridRow],73),0))</f>
        <v/>
      </c>
      <c r="BV24">
        <f>SUMPRODUCT((M_BOM[RM_Code]=$A24)*M_BOM[RM_Qty_Per_Batch]*IFERROR(INDEX(PP_Grid[#Data],M_BOM[PPGridRow],74),0))</f>
        <v/>
      </c>
      <c r="BW24">
        <f>SUMPRODUCT((M_BOM[RM_Code]=$A24)*M_BOM[RM_Qty_Per_Batch]*IFERROR(INDEX(PP_Grid[#Data],M_BOM[PPGridRow],75),0))</f>
        <v/>
      </c>
      <c r="BX24">
        <f>SUMPRODUCT((M_BOM[RM_Code]=$A24)*M_BOM[RM_Qty_Per_Batch]*IFERROR(INDEX(PP_Grid[#Data],M_BOM[PPGridRow],76),0))</f>
        <v/>
      </c>
      <c r="BY24">
        <f>SUMPRODUCT((M_BOM[RM_Code]=$A24)*M_BOM[RM_Qty_Per_Batch]*IFERROR(INDEX(PP_Grid[#Data],M_BOM[PPGridRow],77),0))</f>
        <v/>
      </c>
      <c r="BZ24">
        <f>SUMPRODUCT((M_BOM[RM_Code]=$A24)*M_BOM[RM_Qty_Per_Batch]*IFERROR(INDEX(PP_Grid[#Data],M_BOM[PPGridRow],78),0))</f>
        <v/>
      </c>
      <c r="CA24">
        <f>SUMPRODUCT((M_BOM[RM_Code]=$A24)*M_BOM[RM_Qty_Per_Batch]*IFERROR(INDEX(PP_Grid[#Data],M_BOM[PPGridRow],79),0))</f>
        <v/>
      </c>
      <c r="CB24">
        <f>SUMPRODUCT((M_BOM[RM_Code]=$A24)*M_BOM[RM_Qty_Per_Batch]*IFERROR(INDEX(PP_Grid[#Data],M_BOM[PPGridRow],80),0))</f>
        <v/>
      </c>
      <c r="CC24">
        <f>SUMPRODUCT((M_BOM[RM_Code]=$A24)*M_BOM[RM_Qty_Per_Batch]*IFERROR(INDEX(PP_Grid[#Data],M_BOM[PPGridRow],81),0))</f>
        <v/>
      </c>
      <c r="CD24">
        <f>SUMPRODUCT((M_BOM[RM_Code]=$A24)*M_BOM[RM_Qty_Per_Batch]*IFERROR(INDEX(PP_Grid[#Data],M_BOM[PPGridRow],82),0))</f>
        <v/>
      </c>
      <c r="CE24">
        <f>SUMPRODUCT((M_BOM[RM_Code]=$A24)*M_BOM[RM_Qty_Per_Batch]*IFERROR(INDEX(PP_Grid[#Data],M_BOM[PPGridRow],83),0))</f>
        <v/>
      </c>
      <c r="CF24">
        <f>SUMPRODUCT((M_BOM[RM_Code]=$A24)*M_BOM[RM_Qty_Per_Batch]*IFERROR(INDEX(PP_Grid[#Data],M_BOM[PPGridRow],84),0))</f>
        <v/>
      </c>
      <c r="CG24">
        <f>SUMPRODUCT((M_BOM[RM_Code]=$A24)*M_BOM[RM_Qty_Per_Batch]*IFERROR(INDEX(PP_Grid[#Data],M_BOM[PPGridRow],85),0))</f>
        <v/>
      </c>
      <c r="CH24">
        <f>SUMPRODUCT((M_BOM[RM_Code]=$A24)*M_BOM[RM_Qty_Per_Batch]*IFERROR(INDEX(PP_Grid[#Data],M_BOM[PPGridRow],86),0))</f>
        <v/>
      </c>
      <c r="CI24">
        <f>SUMPRODUCT((M_BOM[RM_Code]=$A24)*M_BOM[RM_Qty_Per_Batch]*IFERROR(INDEX(PP_Grid[#Data],M_BOM[PPGridRow],87),0))</f>
        <v/>
      </c>
      <c r="CJ24">
        <f>SUMPRODUCT((M_BOM[RM_Code]=$A24)*M_BOM[RM_Qty_Per_Batch]*IFERROR(INDEX(PP_Grid[#Data],M_BOM[PPGridRow],88),0))</f>
        <v/>
      </c>
      <c r="CK24">
        <f>SUMPRODUCT((M_BOM[RM_Code]=$A24)*M_BOM[RM_Qty_Per_Batch]*IFERROR(INDEX(PP_Grid[#Data],M_BOM[PPGridRow],89),0))</f>
        <v/>
      </c>
      <c r="CL24">
        <f>SUMPRODUCT((M_BOM[RM_Code]=$A24)*M_BOM[RM_Qty_Per_Batch]*IFERROR(INDEX(PP_Grid[#Data],M_BOM[PPGridRow],90),0))</f>
        <v/>
      </c>
      <c r="CM24">
        <f>SUMPRODUCT((M_BOM[RM_Code]=$A24)*M_BOM[RM_Qty_Per_Batch]*IFERROR(INDEX(PP_Grid[#Data],M_BOM[PPGridRow],91),0))</f>
        <v/>
      </c>
      <c r="CN24">
        <f>SUMPRODUCT((M_BOM[RM_Code]=$A24)*M_BOM[RM_Qty_Per_Batch]*IFERROR(INDEX(PP_Grid[#Data],M_BOM[PPGridRow],92),0))</f>
        <v/>
      </c>
      <c r="CO24">
        <f>SUMPRODUCT((M_BOM[RM_Code]=$A24)*M_BOM[RM_Qty_Per_Batch]*IFERROR(INDEX(PP_Grid[#Data],M_BOM[PPGridRow],93),0))</f>
        <v/>
      </c>
      <c r="CP24">
        <f>SUMPRODUCT((M_BOM[RM_Code]=$A24)*M_BOM[RM_Qty_Per_Batch]*IFERROR(INDEX(PP_Grid[#Data],M_BOM[PPGridRow],94),0))</f>
        <v/>
      </c>
      <c r="CQ24">
        <f>SUMPRODUCT((M_BOM[RM_Code]=$A24)*M_BOM[RM_Qty_Per_Batch]*IFERROR(INDEX(PP_Grid[#Data],M_BOM[PPGridRow],95),0))</f>
        <v/>
      </c>
      <c r="CR24">
        <f>SUMPRODUCT((M_BOM[RM_Code]=$A24)*M_BOM[RM_Qty_Per_Batch]*IFERROR(INDEX(PP_Grid[#Data],M_BOM[PPGridRow],96),0))</f>
        <v/>
      </c>
      <c r="CS24">
        <f>SUMPRODUCT((M_BOM[RM_Code]=$A24)*M_BOM[RM_Qty_Per_Batch]*IFERROR(INDEX(PP_Grid[#Data],M_BOM[PPGridRow],97),0))</f>
        <v/>
      </c>
      <c r="CT24">
        <f>SUMPRODUCT((M_BOM[RM_Code]=$A24)*M_BOM[RM_Qty_Per_Batch]*IFERROR(INDEX(PP_Grid[#Data],M_BOM[PPGridRow],98),0))</f>
        <v/>
      </c>
      <c r="CU24">
        <f>SUMPRODUCT((M_BOM[RM_Code]=$A24)*M_BOM[RM_Qty_Per_Batch]*IFERROR(INDEX(PP_Grid[#Data],M_BOM[PPGridRow],99),0))</f>
        <v/>
      </c>
      <c r="CV24">
        <f>SUMPRODUCT((M_BOM[RM_Code]=$A24)*M_BOM[RM_Qty_Per_Batch]*IFERROR(INDEX(PP_Grid[#Data],M_BOM[PPGridRow],100),0))</f>
        <v/>
      </c>
      <c r="CW24">
        <f>SUMPRODUCT((M_BOM[RM_Code]=$A24)*M_BOM[RM_Qty_Per_Batch]*IFERROR(INDEX(PP_Grid[#Data],M_BOM[PPGridRow],101),0))</f>
        <v/>
      </c>
      <c r="CX24">
        <f>SUMPRODUCT((M_BOM[RM_Code]=$A24)*M_BOM[RM_Qty_Per_Batch]*IFERROR(INDEX(PP_Grid[#Data],M_BOM[PPGridRow],102),0))</f>
        <v/>
      </c>
      <c r="CY24">
        <f>SUMPRODUCT((M_BOM[RM_Code]=$A24)*M_BOM[RM_Qty_Per_Batch]*IFERROR(INDEX(PP_Grid[#Data],M_BOM[PPGridRow],103),0))</f>
        <v/>
      </c>
      <c r="CZ24">
        <f>SUMPRODUCT((M_BOM[RM_Code]=$A24)*M_BOM[RM_Qty_Per_Batch]*IFERROR(INDEX(PP_Grid[#Data],M_BOM[PPGridRow],104),0))</f>
        <v/>
      </c>
      <c r="DA24">
        <f>SUMPRODUCT((M_BOM[RM_Code]=$A24)*M_BOM[RM_Qty_Per_Batch]*IFERROR(INDEX(PP_Grid[#Data],M_BOM[PPGridRow],105),0))</f>
        <v/>
      </c>
    </row>
    <row r="25">
      <c r="A25" t="inlineStr">
        <is>
          <t>0JN</t>
        </is>
      </c>
      <c r="B25">
        <f>SUMPRODUCT((M_BOM[RM_Code]=$A25)*M_BOM[RM_Qty_Per_Batch]*IFERROR(INDEX(PP_Grid[#Data],M_BOM[PPGridRow],2),0))</f>
        <v/>
      </c>
      <c r="C25">
        <f>SUMPRODUCT((M_BOM[RM_Code]=$A25)*M_BOM[RM_Qty_Per_Batch]*IFERROR(INDEX(PP_Grid[#Data],M_BOM[PPGridRow],3),0))</f>
        <v/>
      </c>
      <c r="D25">
        <f>SUMPRODUCT((M_BOM[RM_Code]=$A25)*M_BOM[RM_Qty_Per_Batch]*IFERROR(INDEX(PP_Grid[#Data],M_BOM[PPGridRow],4),0))</f>
        <v/>
      </c>
      <c r="E25">
        <f>SUMPRODUCT((M_BOM[RM_Code]=$A25)*M_BOM[RM_Qty_Per_Batch]*IFERROR(INDEX(PP_Grid[#Data],M_BOM[PPGridRow],5),0))</f>
        <v/>
      </c>
      <c r="F25">
        <f>SUMPRODUCT((M_BOM[RM_Code]=$A25)*M_BOM[RM_Qty_Per_Batch]*IFERROR(INDEX(PP_Grid[#Data],M_BOM[PPGridRow],6),0))</f>
        <v/>
      </c>
      <c r="G25">
        <f>SUMPRODUCT((M_BOM[RM_Code]=$A25)*M_BOM[RM_Qty_Per_Batch]*IFERROR(INDEX(PP_Grid[#Data],M_BOM[PPGridRow],7),0))</f>
        <v/>
      </c>
      <c r="H25">
        <f>SUMPRODUCT((M_BOM[RM_Code]=$A25)*M_BOM[RM_Qty_Per_Batch]*IFERROR(INDEX(PP_Grid[#Data],M_BOM[PPGridRow],8),0))</f>
        <v/>
      </c>
      <c r="I25">
        <f>SUMPRODUCT((M_BOM[RM_Code]=$A25)*M_BOM[RM_Qty_Per_Batch]*IFERROR(INDEX(PP_Grid[#Data],M_BOM[PPGridRow],9),0))</f>
        <v/>
      </c>
      <c r="J25">
        <f>SUMPRODUCT((M_BOM[RM_Code]=$A25)*M_BOM[RM_Qty_Per_Batch]*IFERROR(INDEX(PP_Grid[#Data],M_BOM[PPGridRow],10),0))</f>
        <v/>
      </c>
      <c r="K25">
        <f>SUMPRODUCT((M_BOM[RM_Code]=$A25)*M_BOM[RM_Qty_Per_Batch]*IFERROR(INDEX(PP_Grid[#Data],M_BOM[PPGridRow],11),0))</f>
        <v/>
      </c>
      <c r="L25">
        <f>SUMPRODUCT((M_BOM[RM_Code]=$A25)*M_BOM[RM_Qty_Per_Batch]*IFERROR(INDEX(PP_Grid[#Data],M_BOM[PPGridRow],12),0))</f>
        <v/>
      </c>
      <c r="M25">
        <f>SUMPRODUCT((M_BOM[RM_Code]=$A25)*M_BOM[RM_Qty_Per_Batch]*IFERROR(INDEX(PP_Grid[#Data],M_BOM[PPGridRow],13),0))</f>
        <v/>
      </c>
      <c r="N25">
        <f>SUMPRODUCT((M_BOM[RM_Code]=$A25)*M_BOM[RM_Qty_Per_Batch]*IFERROR(INDEX(PP_Grid[#Data],M_BOM[PPGridRow],14),0))</f>
        <v/>
      </c>
      <c r="O25">
        <f>SUMPRODUCT((M_BOM[RM_Code]=$A25)*M_BOM[RM_Qty_Per_Batch]*IFERROR(INDEX(PP_Grid[#Data],M_BOM[PPGridRow],15),0))</f>
        <v/>
      </c>
      <c r="P25">
        <f>SUMPRODUCT((M_BOM[RM_Code]=$A25)*M_BOM[RM_Qty_Per_Batch]*IFERROR(INDEX(PP_Grid[#Data],M_BOM[PPGridRow],16),0))</f>
        <v/>
      </c>
      <c r="Q25">
        <f>SUMPRODUCT((M_BOM[RM_Code]=$A25)*M_BOM[RM_Qty_Per_Batch]*IFERROR(INDEX(PP_Grid[#Data],M_BOM[PPGridRow],17),0))</f>
        <v/>
      </c>
      <c r="R25">
        <f>SUMPRODUCT((M_BOM[RM_Code]=$A25)*M_BOM[RM_Qty_Per_Batch]*IFERROR(INDEX(PP_Grid[#Data],M_BOM[PPGridRow],18),0))</f>
        <v/>
      </c>
      <c r="S25">
        <f>SUMPRODUCT((M_BOM[RM_Code]=$A25)*M_BOM[RM_Qty_Per_Batch]*IFERROR(INDEX(PP_Grid[#Data],M_BOM[PPGridRow],19),0))</f>
        <v/>
      </c>
      <c r="T25">
        <f>SUMPRODUCT((M_BOM[RM_Code]=$A25)*M_BOM[RM_Qty_Per_Batch]*IFERROR(INDEX(PP_Grid[#Data],M_BOM[PPGridRow],20),0))</f>
        <v/>
      </c>
      <c r="U25">
        <f>SUMPRODUCT((M_BOM[RM_Code]=$A25)*M_BOM[RM_Qty_Per_Batch]*IFERROR(INDEX(PP_Grid[#Data],M_BOM[PPGridRow],21),0))</f>
        <v/>
      </c>
      <c r="V25">
        <f>SUMPRODUCT((M_BOM[RM_Code]=$A25)*M_BOM[RM_Qty_Per_Batch]*IFERROR(INDEX(PP_Grid[#Data],M_BOM[PPGridRow],22),0))</f>
        <v/>
      </c>
      <c r="W25">
        <f>SUMPRODUCT((M_BOM[RM_Code]=$A25)*M_BOM[RM_Qty_Per_Batch]*IFERROR(INDEX(PP_Grid[#Data],M_BOM[PPGridRow],23),0))</f>
        <v/>
      </c>
      <c r="X25">
        <f>SUMPRODUCT((M_BOM[RM_Code]=$A25)*M_BOM[RM_Qty_Per_Batch]*IFERROR(INDEX(PP_Grid[#Data],M_BOM[PPGridRow],24),0))</f>
        <v/>
      </c>
      <c r="Y25">
        <f>SUMPRODUCT((M_BOM[RM_Code]=$A25)*M_BOM[RM_Qty_Per_Batch]*IFERROR(INDEX(PP_Grid[#Data],M_BOM[PPGridRow],25),0))</f>
        <v/>
      </c>
      <c r="Z25">
        <f>SUMPRODUCT((M_BOM[RM_Code]=$A25)*M_BOM[RM_Qty_Per_Batch]*IFERROR(INDEX(PP_Grid[#Data],M_BOM[PPGridRow],26),0))</f>
        <v/>
      </c>
      <c r="AA25">
        <f>SUMPRODUCT((M_BOM[RM_Code]=$A25)*M_BOM[RM_Qty_Per_Batch]*IFERROR(INDEX(PP_Grid[#Data],M_BOM[PPGridRow],27),0))</f>
        <v/>
      </c>
      <c r="AB25">
        <f>SUMPRODUCT((M_BOM[RM_Code]=$A25)*M_BOM[RM_Qty_Per_Batch]*IFERROR(INDEX(PP_Grid[#Data],M_BOM[PPGridRow],28),0))</f>
        <v/>
      </c>
      <c r="AC25">
        <f>SUMPRODUCT((M_BOM[RM_Code]=$A25)*M_BOM[RM_Qty_Per_Batch]*IFERROR(INDEX(PP_Grid[#Data],M_BOM[PPGridRow],29),0))</f>
        <v/>
      </c>
      <c r="AD25">
        <f>SUMPRODUCT((M_BOM[RM_Code]=$A25)*M_BOM[RM_Qty_Per_Batch]*IFERROR(INDEX(PP_Grid[#Data],M_BOM[PPGridRow],30),0))</f>
        <v/>
      </c>
      <c r="AE25">
        <f>SUMPRODUCT((M_BOM[RM_Code]=$A25)*M_BOM[RM_Qty_Per_Batch]*IFERROR(INDEX(PP_Grid[#Data],M_BOM[PPGridRow],31),0))</f>
        <v/>
      </c>
      <c r="AF25">
        <f>SUMPRODUCT((M_BOM[RM_Code]=$A25)*M_BOM[RM_Qty_Per_Batch]*IFERROR(INDEX(PP_Grid[#Data],M_BOM[PPGridRow],32),0))</f>
        <v/>
      </c>
      <c r="AG25">
        <f>SUMPRODUCT((M_BOM[RM_Code]=$A25)*M_BOM[RM_Qty_Per_Batch]*IFERROR(INDEX(PP_Grid[#Data],M_BOM[PPGridRow],33),0))</f>
        <v/>
      </c>
      <c r="AH25">
        <f>SUMPRODUCT((M_BOM[RM_Code]=$A25)*M_BOM[RM_Qty_Per_Batch]*IFERROR(INDEX(PP_Grid[#Data],M_BOM[PPGridRow],34),0))</f>
        <v/>
      </c>
      <c r="AI25">
        <f>SUMPRODUCT((M_BOM[RM_Code]=$A25)*M_BOM[RM_Qty_Per_Batch]*IFERROR(INDEX(PP_Grid[#Data],M_BOM[PPGridRow],35),0))</f>
        <v/>
      </c>
      <c r="AJ25">
        <f>SUMPRODUCT((M_BOM[RM_Code]=$A25)*M_BOM[RM_Qty_Per_Batch]*IFERROR(INDEX(PP_Grid[#Data],M_BOM[PPGridRow],36),0))</f>
        <v/>
      </c>
      <c r="AK25">
        <f>SUMPRODUCT((M_BOM[RM_Code]=$A25)*M_BOM[RM_Qty_Per_Batch]*IFERROR(INDEX(PP_Grid[#Data],M_BOM[PPGridRow],37),0))</f>
        <v/>
      </c>
      <c r="AL25">
        <f>SUMPRODUCT((M_BOM[RM_Code]=$A25)*M_BOM[RM_Qty_Per_Batch]*IFERROR(INDEX(PP_Grid[#Data],M_BOM[PPGridRow],38),0))</f>
        <v/>
      </c>
      <c r="AM25">
        <f>SUMPRODUCT((M_BOM[RM_Code]=$A25)*M_BOM[RM_Qty_Per_Batch]*IFERROR(INDEX(PP_Grid[#Data],M_BOM[PPGridRow],39),0))</f>
        <v/>
      </c>
      <c r="AN25">
        <f>SUMPRODUCT((M_BOM[RM_Code]=$A25)*M_BOM[RM_Qty_Per_Batch]*IFERROR(INDEX(PP_Grid[#Data],M_BOM[PPGridRow],40),0))</f>
        <v/>
      </c>
      <c r="AO25">
        <f>SUMPRODUCT((M_BOM[RM_Code]=$A25)*M_BOM[RM_Qty_Per_Batch]*IFERROR(INDEX(PP_Grid[#Data],M_BOM[PPGridRow],41),0))</f>
        <v/>
      </c>
      <c r="AP25">
        <f>SUMPRODUCT((M_BOM[RM_Code]=$A25)*M_BOM[RM_Qty_Per_Batch]*IFERROR(INDEX(PP_Grid[#Data],M_BOM[PPGridRow],42),0))</f>
        <v/>
      </c>
      <c r="AQ25">
        <f>SUMPRODUCT((M_BOM[RM_Code]=$A25)*M_BOM[RM_Qty_Per_Batch]*IFERROR(INDEX(PP_Grid[#Data],M_BOM[PPGridRow],43),0))</f>
        <v/>
      </c>
      <c r="AR25">
        <f>SUMPRODUCT((M_BOM[RM_Code]=$A25)*M_BOM[RM_Qty_Per_Batch]*IFERROR(INDEX(PP_Grid[#Data],M_BOM[PPGridRow],44),0))</f>
        <v/>
      </c>
      <c r="AS25">
        <f>SUMPRODUCT((M_BOM[RM_Code]=$A25)*M_BOM[RM_Qty_Per_Batch]*IFERROR(INDEX(PP_Grid[#Data],M_BOM[PPGridRow],45),0))</f>
        <v/>
      </c>
      <c r="AT25">
        <f>SUMPRODUCT((M_BOM[RM_Code]=$A25)*M_BOM[RM_Qty_Per_Batch]*IFERROR(INDEX(PP_Grid[#Data],M_BOM[PPGridRow],46),0))</f>
        <v/>
      </c>
      <c r="AU25">
        <f>SUMPRODUCT((M_BOM[RM_Code]=$A25)*M_BOM[RM_Qty_Per_Batch]*IFERROR(INDEX(PP_Grid[#Data],M_BOM[PPGridRow],47),0))</f>
        <v/>
      </c>
      <c r="AV25">
        <f>SUMPRODUCT((M_BOM[RM_Code]=$A25)*M_BOM[RM_Qty_Per_Batch]*IFERROR(INDEX(PP_Grid[#Data],M_BOM[PPGridRow],48),0))</f>
        <v/>
      </c>
      <c r="AW25">
        <f>SUMPRODUCT((M_BOM[RM_Code]=$A25)*M_BOM[RM_Qty_Per_Batch]*IFERROR(INDEX(PP_Grid[#Data],M_BOM[PPGridRow],49),0))</f>
        <v/>
      </c>
      <c r="AX25">
        <f>SUMPRODUCT((M_BOM[RM_Code]=$A25)*M_BOM[RM_Qty_Per_Batch]*IFERROR(INDEX(PP_Grid[#Data],M_BOM[PPGridRow],50),0))</f>
        <v/>
      </c>
      <c r="AY25">
        <f>SUMPRODUCT((M_BOM[RM_Code]=$A25)*M_BOM[RM_Qty_Per_Batch]*IFERROR(INDEX(PP_Grid[#Data],M_BOM[PPGridRow],51),0))</f>
        <v/>
      </c>
      <c r="AZ25">
        <f>SUMPRODUCT((M_BOM[RM_Code]=$A25)*M_BOM[RM_Qty_Per_Batch]*IFERROR(INDEX(PP_Grid[#Data],M_BOM[PPGridRow],52),0))</f>
        <v/>
      </c>
      <c r="BA25">
        <f>SUMPRODUCT((M_BOM[RM_Code]=$A25)*M_BOM[RM_Qty_Per_Batch]*IFERROR(INDEX(PP_Grid[#Data],M_BOM[PPGridRow],53),0))</f>
        <v/>
      </c>
      <c r="BB25">
        <f>SUMPRODUCT((M_BOM[RM_Code]=$A25)*M_BOM[RM_Qty_Per_Batch]*IFERROR(INDEX(PP_Grid[#Data],M_BOM[PPGridRow],54),0))</f>
        <v/>
      </c>
      <c r="BC25">
        <f>SUMPRODUCT((M_BOM[RM_Code]=$A25)*M_BOM[RM_Qty_Per_Batch]*IFERROR(INDEX(PP_Grid[#Data],M_BOM[PPGridRow],55),0))</f>
        <v/>
      </c>
      <c r="BD25">
        <f>SUMPRODUCT((M_BOM[RM_Code]=$A25)*M_BOM[RM_Qty_Per_Batch]*IFERROR(INDEX(PP_Grid[#Data],M_BOM[PPGridRow],56),0))</f>
        <v/>
      </c>
      <c r="BE25">
        <f>SUMPRODUCT((M_BOM[RM_Code]=$A25)*M_BOM[RM_Qty_Per_Batch]*IFERROR(INDEX(PP_Grid[#Data],M_BOM[PPGridRow],57),0))</f>
        <v/>
      </c>
      <c r="BF25">
        <f>SUMPRODUCT((M_BOM[RM_Code]=$A25)*M_BOM[RM_Qty_Per_Batch]*IFERROR(INDEX(PP_Grid[#Data],M_BOM[PPGridRow],58),0))</f>
        <v/>
      </c>
      <c r="BG25">
        <f>SUMPRODUCT((M_BOM[RM_Code]=$A25)*M_BOM[RM_Qty_Per_Batch]*IFERROR(INDEX(PP_Grid[#Data],M_BOM[PPGridRow],59),0))</f>
        <v/>
      </c>
      <c r="BH25">
        <f>SUMPRODUCT((M_BOM[RM_Code]=$A25)*M_BOM[RM_Qty_Per_Batch]*IFERROR(INDEX(PP_Grid[#Data],M_BOM[PPGridRow],60),0))</f>
        <v/>
      </c>
      <c r="BI25">
        <f>SUMPRODUCT((M_BOM[RM_Code]=$A25)*M_BOM[RM_Qty_Per_Batch]*IFERROR(INDEX(PP_Grid[#Data],M_BOM[PPGridRow],61),0))</f>
        <v/>
      </c>
      <c r="BJ25">
        <f>SUMPRODUCT((M_BOM[RM_Code]=$A25)*M_BOM[RM_Qty_Per_Batch]*IFERROR(INDEX(PP_Grid[#Data],M_BOM[PPGridRow],62),0))</f>
        <v/>
      </c>
      <c r="BK25">
        <f>SUMPRODUCT((M_BOM[RM_Code]=$A25)*M_BOM[RM_Qty_Per_Batch]*IFERROR(INDEX(PP_Grid[#Data],M_BOM[PPGridRow],63),0))</f>
        <v/>
      </c>
      <c r="BL25">
        <f>SUMPRODUCT((M_BOM[RM_Code]=$A25)*M_BOM[RM_Qty_Per_Batch]*IFERROR(INDEX(PP_Grid[#Data],M_BOM[PPGridRow],64),0))</f>
        <v/>
      </c>
      <c r="BM25">
        <f>SUMPRODUCT((M_BOM[RM_Code]=$A25)*M_BOM[RM_Qty_Per_Batch]*IFERROR(INDEX(PP_Grid[#Data],M_BOM[PPGridRow],65),0))</f>
        <v/>
      </c>
      <c r="BN25">
        <f>SUMPRODUCT((M_BOM[RM_Code]=$A25)*M_BOM[RM_Qty_Per_Batch]*IFERROR(INDEX(PP_Grid[#Data],M_BOM[PPGridRow],66),0))</f>
        <v/>
      </c>
      <c r="BO25">
        <f>SUMPRODUCT((M_BOM[RM_Code]=$A25)*M_BOM[RM_Qty_Per_Batch]*IFERROR(INDEX(PP_Grid[#Data],M_BOM[PPGridRow],67),0))</f>
        <v/>
      </c>
      <c r="BP25">
        <f>SUMPRODUCT((M_BOM[RM_Code]=$A25)*M_BOM[RM_Qty_Per_Batch]*IFERROR(INDEX(PP_Grid[#Data],M_BOM[PPGridRow],68),0))</f>
        <v/>
      </c>
      <c r="BQ25">
        <f>SUMPRODUCT((M_BOM[RM_Code]=$A25)*M_BOM[RM_Qty_Per_Batch]*IFERROR(INDEX(PP_Grid[#Data],M_BOM[PPGridRow],69),0))</f>
        <v/>
      </c>
      <c r="BR25">
        <f>SUMPRODUCT((M_BOM[RM_Code]=$A25)*M_BOM[RM_Qty_Per_Batch]*IFERROR(INDEX(PP_Grid[#Data],M_BOM[PPGridRow],70),0))</f>
        <v/>
      </c>
      <c r="BS25">
        <f>SUMPRODUCT((M_BOM[RM_Code]=$A25)*M_BOM[RM_Qty_Per_Batch]*IFERROR(INDEX(PP_Grid[#Data],M_BOM[PPGridRow],71),0))</f>
        <v/>
      </c>
      <c r="BT25">
        <f>SUMPRODUCT((M_BOM[RM_Code]=$A25)*M_BOM[RM_Qty_Per_Batch]*IFERROR(INDEX(PP_Grid[#Data],M_BOM[PPGridRow],72),0))</f>
        <v/>
      </c>
      <c r="BU25">
        <f>SUMPRODUCT((M_BOM[RM_Code]=$A25)*M_BOM[RM_Qty_Per_Batch]*IFERROR(INDEX(PP_Grid[#Data],M_BOM[PPGridRow],73),0))</f>
        <v/>
      </c>
      <c r="BV25">
        <f>SUMPRODUCT((M_BOM[RM_Code]=$A25)*M_BOM[RM_Qty_Per_Batch]*IFERROR(INDEX(PP_Grid[#Data],M_BOM[PPGridRow],74),0))</f>
        <v/>
      </c>
      <c r="BW25">
        <f>SUMPRODUCT((M_BOM[RM_Code]=$A25)*M_BOM[RM_Qty_Per_Batch]*IFERROR(INDEX(PP_Grid[#Data],M_BOM[PPGridRow],75),0))</f>
        <v/>
      </c>
      <c r="BX25">
        <f>SUMPRODUCT((M_BOM[RM_Code]=$A25)*M_BOM[RM_Qty_Per_Batch]*IFERROR(INDEX(PP_Grid[#Data],M_BOM[PPGridRow],76),0))</f>
        <v/>
      </c>
      <c r="BY25">
        <f>SUMPRODUCT((M_BOM[RM_Code]=$A25)*M_BOM[RM_Qty_Per_Batch]*IFERROR(INDEX(PP_Grid[#Data],M_BOM[PPGridRow],77),0))</f>
        <v/>
      </c>
      <c r="BZ25">
        <f>SUMPRODUCT((M_BOM[RM_Code]=$A25)*M_BOM[RM_Qty_Per_Batch]*IFERROR(INDEX(PP_Grid[#Data],M_BOM[PPGridRow],78),0))</f>
        <v/>
      </c>
      <c r="CA25">
        <f>SUMPRODUCT((M_BOM[RM_Code]=$A25)*M_BOM[RM_Qty_Per_Batch]*IFERROR(INDEX(PP_Grid[#Data],M_BOM[PPGridRow],79),0))</f>
        <v/>
      </c>
      <c r="CB25">
        <f>SUMPRODUCT((M_BOM[RM_Code]=$A25)*M_BOM[RM_Qty_Per_Batch]*IFERROR(INDEX(PP_Grid[#Data],M_BOM[PPGridRow],80),0))</f>
        <v/>
      </c>
      <c r="CC25">
        <f>SUMPRODUCT((M_BOM[RM_Code]=$A25)*M_BOM[RM_Qty_Per_Batch]*IFERROR(INDEX(PP_Grid[#Data],M_BOM[PPGridRow],81),0))</f>
        <v/>
      </c>
      <c r="CD25">
        <f>SUMPRODUCT((M_BOM[RM_Code]=$A25)*M_BOM[RM_Qty_Per_Batch]*IFERROR(INDEX(PP_Grid[#Data],M_BOM[PPGridRow],82),0))</f>
        <v/>
      </c>
      <c r="CE25">
        <f>SUMPRODUCT((M_BOM[RM_Code]=$A25)*M_BOM[RM_Qty_Per_Batch]*IFERROR(INDEX(PP_Grid[#Data],M_BOM[PPGridRow],83),0))</f>
        <v/>
      </c>
      <c r="CF25">
        <f>SUMPRODUCT((M_BOM[RM_Code]=$A25)*M_BOM[RM_Qty_Per_Batch]*IFERROR(INDEX(PP_Grid[#Data],M_BOM[PPGridRow],84),0))</f>
        <v/>
      </c>
      <c r="CG25">
        <f>SUMPRODUCT((M_BOM[RM_Code]=$A25)*M_BOM[RM_Qty_Per_Batch]*IFERROR(INDEX(PP_Grid[#Data],M_BOM[PPGridRow],85),0))</f>
        <v/>
      </c>
      <c r="CH25">
        <f>SUMPRODUCT((M_BOM[RM_Code]=$A25)*M_BOM[RM_Qty_Per_Batch]*IFERROR(INDEX(PP_Grid[#Data],M_BOM[PPGridRow],86),0))</f>
        <v/>
      </c>
      <c r="CI25">
        <f>SUMPRODUCT((M_BOM[RM_Code]=$A25)*M_BOM[RM_Qty_Per_Batch]*IFERROR(INDEX(PP_Grid[#Data],M_BOM[PPGridRow],87),0))</f>
        <v/>
      </c>
      <c r="CJ25">
        <f>SUMPRODUCT((M_BOM[RM_Code]=$A25)*M_BOM[RM_Qty_Per_Batch]*IFERROR(INDEX(PP_Grid[#Data],M_BOM[PPGridRow],88),0))</f>
        <v/>
      </c>
      <c r="CK25">
        <f>SUMPRODUCT((M_BOM[RM_Code]=$A25)*M_BOM[RM_Qty_Per_Batch]*IFERROR(INDEX(PP_Grid[#Data],M_BOM[PPGridRow],89),0))</f>
        <v/>
      </c>
      <c r="CL25">
        <f>SUMPRODUCT((M_BOM[RM_Code]=$A25)*M_BOM[RM_Qty_Per_Batch]*IFERROR(INDEX(PP_Grid[#Data],M_BOM[PPGridRow],90),0))</f>
        <v/>
      </c>
      <c r="CM25">
        <f>SUMPRODUCT((M_BOM[RM_Code]=$A25)*M_BOM[RM_Qty_Per_Batch]*IFERROR(INDEX(PP_Grid[#Data],M_BOM[PPGridRow],91),0))</f>
        <v/>
      </c>
      <c r="CN25">
        <f>SUMPRODUCT((M_BOM[RM_Code]=$A25)*M_BOM[RM_Qty_Per_Batch]*IFERROR(INDEX(PP_Grid[#Data],M_BOM[PPGridRow],92),0))</f>
        <v/>
      </c>
      <c r="CO25">
        <f>SUMPRODUCT((M_BOM[RM_Code]=$A25)*M_BOM[RM_Qty_Per_Batch]*IFERROR(INDEX(PP_Grid[#Data],M_BOM[PPGridRow],93),0))</f>
        <v/>
      </c>
      <c r="CP25">
        <f>SUMPRODUCT((M_BOM[RM_Code]=$A25)*M_BOM[RM_Qty_Per_Batch]*IFERROR(INDEX(PP_Grid[#Data],M_BOM[PPGridRow],94),0))</f>
        <v/>
      </c>
      <c r="CQ25">
        <f>SUMPRODUCT((M_BOM[RM_Code]=$A25)*M_BOM[RM_Qty_Per_Batch]*IFERROR(INDEX(PP_Grid[#Data],M_BOM[PPGridRow],95),0))</f>
        <v/>
      </c>
      <c r="CR25">
        <f>SUMPRODUCT((M_BOM[RM_Code]=$A25)*M_BOM[RM_Qty_Per_Batch]*IFERROR(INDEX(PP_Grid[#Data],M_BOM[PPGridRow],96),0))</f>
        <v/>
      </c>
      <c r="CS25">
        <f>SUMPRODUCT((M_BOM[RM_Code]=$A25)*M_BOM[RM_Qty_Per_Batch]*IFERROR(INDEX(PP_Grid[#Data],M_BOM[PPGridRow],97),0))</f>
        <v/>
      </c>
      <c r="CT25">
        <f>SUMPRODUCT((M_BOM[RM_Code]=$A25)*M_BOM[RM_Qty_Per_Batch]*IFERROR(INDEX(PP_Grid[#Data],M_BOM[PPGridRow],98),0))</f>
        <v/>
      </c>
      <c r="CU25">
        <f>SUMPRODUCT((M_BOM[RM_Code]=$A25)*M_BOM[RM_Qty_Per_Batch]*IFERROR(INDEX(PP_Grid[#Data],M_BOM[PPGridRow],99),0))</f>
        <v/>
      </c>
      <c r="CV25">
        <f>SUMPRODUCT((M_BOM[RM_Code]=$A25)*M_BOM[RM_Qty_Per_Batch]*IFERROR(INDEX(PP_Grid[#Data],M_BOM[PPGridRow],100),0))</f>
        <v/>
      </c>
      <c r="CW25">
        <f>SUMPRODUCT((M_BOM[RM_Code]=$A25)*M_BOM[RM_Qty_Per_Batch]*IFERROR(INDEX(PP_Grid[#Data],M_BOM[PPGridRow],101),0))</f>
        <v/>
      </c>
      <c r="CX25">
        <f>SUMPRODUCT((M_BOM[RM_Code]=$A25)*M_BOM[RM_Qty_Per_Batch]*IFERROR(INDEX(PP_Grid[#Data],M_BOM[PPGridRow],102),0))</f>
        <v/>
      </c>
      <c r="CY25">
        <f>SUMPRODUCT((M_BOM[RM_Code]=$A25)*M_BOM[RM_Qty_Per_Batch]*IFERROR(INDEX(PP_Grid[#Data],M_BOM[PPGridRow],103),0))</f>
        <v/>
      </c>
      <c r="CZ25">
        <f>SUMPRODUCT((M_BOM[RM_Code]=$A25)*M_BOM[RM_Qty_Per_Batch]*IFERROR(INDEX(PP_Grid[#Data],M_BOM[PPGridRow],104),0))</f>
        <v/>
      </c>
      <c r="DA25">
        <f>SUMPRODUCT((M_BOM[RM_Code]=$A25)*M_BOM[RM_Qty_Per_Batch]*IFERROR(INDEX(PP_Grid[#Data],M_BOM[PPGridRow],105),0))</f>
        <v/>
      </c>
    </row>
    <row r="26">
      <c r="A26" t="inlineStr">
        <is>
          <t>CHEM-1760</t>
        </is>
      </c>
      <c r="B26">
        <f>SUMPRODUCT((M_BOM[RM_Code]=$A26)*M_BOM[RM_Qty_Per_Batch]*IFERROR(INDEX(PP_Grid[#Data],M_BOM[PPGridRow],2),0))</f>
        <v/>
      </c>
      <c r="C26">
        <f>SUMPRODUCT((M_BOM[RM_Code]=$A26)*M_BOM[RM_Qty_Per_Batch]*IFERROR(INDEX(PP_Grid[#Data],M_BOM[PPGridRow],3),0))</f>
        <v/>
      </c>
      <c r="D26">
        <f>SUMPRODUCT((M_BOM[RM_Code]=$A26)*M_BOM[RM_Qty_Per_Batch]*IFERROR(INDEX(PP_Grid[#Data],M_BOM[PPGridRow],4),0))</f>
        <v/>
      </c>
      <c r="E26">
        <f>SUMPRODUCT((M_BOM[RM_Code]=$A26)*M_BOM[RM_Qty_Per_Batch]*IFERROR(INDEX(PP_Grid[#Data],M_BOM[PPGridRow],5),0))</f>
        <v/>
      </c>
      <c r="F26">
        <f>SUMPRODUCT((M_BOM[RM_Code]=$A26)*M_BOM[RM_Qty_Per_Batch]*IFERROR(INDEX(PP_Grid[#Data],M_BOM[PPGridRow],6),0))</f>
        <v/>
      </c>
      <c r="G26">
        <f>SUMPRODUCT((M_BOM[RM_Code]=$A26)*M_BOM[RM_Qty_Per_Batch]*IFERROR(INDEX(PP_Grid[#Data],M_BOM[PPGridRow],7),0))</f>
        <v/>
      </c>
      <c r="H26">
        <f>SUMPRODUCT((M_BOM[RM_Code]=$A26)*M_BOM[RM_Qty_Per_Batch]*IFERROR(INDEX(PP_Grid[#Data],M_BOM[PPGridRow],8),0))</f>
        <v/>
      </c>
      <c r="I26">
        <f>SUMPRODUCT((M_BOM[RM_Code]=$A26)*M_BOM[RM_Qty_Per_Batch]*IFERROR(INDEX(PP_Grid[#Data],M_BOM[PPGridRow],9),0))</f>
        <v/>
      </c>
      <c r="J26">
        <f>SUMPRODUCT((M_BOM[RM_Code]=$A26)*M_BOM[RM_Qty_Per_Batch]*IFERROR(INDEX(PP_Grid[#Data],M_BOM[PPGridRow],10),0))</f>
        <v/>
      </c>
      <c r="K26">
        <f>SUMPRODUCT((M_BOM[RM_Code]=$A26)*M_BOM[RM_Qty_Per_Batch]*IFERROR(INDEX(PP_Grid[#Data],M_BOM[PPGridRow],11),0))</f>
        <v/>
      </c>
      <c r="L26">
        <f>SUMPRODUCT((M_BOM[RM_Code]=$A26)*M_BOM[RM_Qty_Per_Batch]*IFERROR(INDEX(PP_Grid[#Data],M_BOM[PPGridRow],12),0))</f>
        <v/>
      </c>
      <c r="M26">
        <f>SUMPRODUCT((M_BOM[RM_Code]=$A26)*M_BOM[RM_Qty_Per_Batch]*IFERROR(INDEX(PP_Grid[#Data],M_BOM[PPGridRow],13),0))</f>
        <v/>
      </c>
      <c r="N26">
        <f>SUMPRODUCT((M_BOM[RM_Code]=$A26)*M_BOM[RM_Qty_Per_Batch]*IFERROR(INDEX(PP_Grid[#Data],M_BOM[PPGridRow],14),0))</f>
        <v/>
      </c>
      <c r="O26">
        <f>SUMPRODUCT((M_BOM[RM_Code]=$A26)*M_BOM[RM_Qty_Per_Batch]*IFERROR(INDEX(PP_Grid[#Data],M_BOM[PPGridRow],15),0))</f>
        <v/>
      </c>
      <c r="P26">
        <f>SUMPRODUCT((M_BOM[RM_Code]=$A26)*M_BOM[RM_Qty_Per_Batch]*IFERROR(INDEX(PP_Grid[#Data],M_BOM[PPGridRow],16),0))</f>
        <v/>
      </c>
      <c r="Q26">
        <f>SUMPRODUCT((M_BOM[RM_Code]=$A26)*M_BOM[RM_Qty_Per_Batch]*IFERROR(INDEX(PP_Grid[#Data],M_BOM[PPGridRow],17),0))</f>
        <v/>
      </c>
      <c r="R26">
        <f>SUMPRODUCT((M_BOM[RM_Code]=$A26)*M_BOM[RM_Qty_Per_Batch]*IFERROR(INDEX(PP_Grid[#Data],M_BOM[PPGridRow],18),0))</f>
        <v/>
      </c>
      <c r="S26">
        <f>SUMPRODUCT((M_BOM[RM_Code]=$A26)*M_BOM[RM_Qty_Per_Batch]*IFERROR(INDEX(PP_Grid[#Data],M_BOM[PPGridRow],19),0))</f>
        <v/>
      </c>
      <c r="T26">
        <f>SUMPRODUCT((M_BOM[RM_Code]=$A26)*M_BOM[RM_Qty_Per_Batch]*IFERROR(INDEX(PP_Grid[#Data],M_BOM[PPGridRow],20),0))</f>
        <v/>
      </c>
      <c r="U26">
        <f>SUMPRODUCT((M_BOM[RM_Code]=$A26)*M_BOM[RM_Qty_Per_Batch]*IFERROR(INDEX(PP_Grid[#Data],M_BOM[PPGridRow],21),0))</f>
        <v/>
      </c>
      <c r="V26">
        <f>SUMPRODUCT((M_BOM[RM_Code]=$A26)*M_BOM[RM_Qty_Per_Batch]*IFERROR(INDEX(PP_Grid[#Data],M_BOM[PPGridRow],22),0))</f>
        <v/>
      </c>
      <c r="W26">
        <f>SUMPRODUCT((M_BOM[RM_Code]=$A26)*M_BOM[RM_Qty_Per_Batch]*IFERROR(INDEX(PP_Grid[#Data],M_BOM[PPGridRow],23),0))</f>
        <v/>
      </c>
      <c r="X26">
        <f>SUMPRODUCT((M_BOM[RM_Code]=$A26)*M_BOM[RM_Qty_Per_Batch]*IFERROR(INDEX(PP_Grid[#Data],M_BOM[PPGridRow],24),0))</f>
        <v/>
      </c>
      <c r="Y26">
        <f>SUMPRODUCT((M_BOM[RM_Code]=$A26)*M_BOM[RM_Qty_Per_Batch]*IFERROR(INDEX(PP_Grid[#Data],M_BOM[PPGridRow],25),0))</f>
        <v/>
      </c>
      <c r="Z26">
        <f>SUMPRODUCT((M_BOM[RM_Code]=$A26)*M_BOM[RM_Qty_Per_Batch]*IFERROR(INDEX(PP_Grid[#Data],M_BOM[PPGridRow],26),0))</f>
        <v/>
      </c>
      <c r="AA26">
        <f>SUMPRODUCT((M_BOM[RM_Code]=$A26)*M_BOM[RM_Qty_Per_Batch]*IFERROR(INDEX(PP_Grid[#Data],M_BOM[PPGridRow],27),0))</f>
        <v/>
      </c>
      <c r="AB26">
        <f>SUMPRODUCT((M_BOM[RM_Code]=$A26)*M_BOM[RM_Qty_Per_Batch]*IFERROR(INDEX(PP_Grid[#Data],M_BOM[PPGridRow],28),0))</f>
        <v/>
      </c>
      <c r="AC26">
        <f>SUMPRODUCT((M_BOM[RM_Code]=$A26)*M_BOM[RM_Qty_Per_Batch]*IFERROR(INDEX(PP_Grid[#Data],M_BOM[PPGridRow],29),0))</f>
        <v/>
      </c>
      <c r="AD26">
        <f>SUMPRODUCT((M_BOM[RM_Code]=$A26)*M_BOM[RM_Qty_Per_Batch]*IFERROR(INDEX(PP_Grid[#Data],M_BOM[PPGridRow],30),0))</f>
        <v/>
      </c>
      <c r="AE26">
        <f>SUMPRODUCT((M_BOM[RM_Code]=$A26)*M_BOM[RM_Qty_Per_Batch]*IFERROR(INDEX(PP_Grid[#Data],M_BOM[PPGridRow],31),0))</f>
        <v/>
      </c>
      <c r="AF26">
        <f>SUMPRODUCT((M_BOM[RM_Code]=$A26)*M_BOM[RM_Qty_Per_Batch]*IFERROR(INDEX(PP_Grid[#Data],M_BOM[PPGridRow],32),0))</f>
        <v/>
      </c>
      <c r="AG26">
        <f>SUMPRODUCT((M_BOM[RM_Code]=$A26)*M_BOM[RM_Qty_Per_Batch]*IFERROR(INDEX(PP_Grid[#Data],M_BOM[PPGridRow],33),0))</f>
        <v/>
      </c>
      <c r="AH26">
        <f>SUMPRODUCT((M_BOM[RM_Code]=$A26)*M_BOM[RM_Qty_Per_Batch]*IFERROR(INDEX(PP_Grid[#Data],M_BOM[PPGridRow],34),0))</f>
        <v/>
      </c>
      <c r="AI26">
        <f>SUMPRODUCT((M_BOM[RM_Code]=$A26)*M_BOM[RM_Qty_Per_Batch]*IFERROR(INDEX(PP_Grid[#Data],M_BOM[PPGridRow],35),0))</f>
        <v/>
      </c>
      <c r="AJ26">
        <f>SUMPRODUCT((M_BOM[RM_Code]=$A26)*M_BOM[RM_Qty_Per_Batch]*IFERROR(INDEX(PP_Grid[#Data],M_BOM[PPGridRow],36),0))</f>
        <v/>
      </c>
      <c r="AK26">
        <f>SUMPRODUCT((M_BOM[RM_Code]=$A26)*M_BOM[RM_Qty_Per_Batch]*IFERROR(INDEX(PP_Grid[#Data],M_BOM[PPGridRow],37),0))</f>
        <v/>
      </c>
      <c r="AL26">
        <f>SUMPRODUCT((M_BOM[RM_Code]=$A26)*M_BOM[RM_Qty_Per_Batch]*IFERROR(INDEX(PP_Grid[#Data],M_BOM[PPGridRow],38),0))</f>
        <v/>
      </c>
      <c r="AM26">
        <f>SUMPRODUCT((M_BOM[RM_Code]=$A26)*M_BOM[RM_Qty_Per_Batch]*IFERROR(INDEX(PP_Grid[#Data],M_BOM[PPGridRow],39),0))</f>
        <v/>
      </c>
      <c r="AN26">
        <f>SUMPRODUCT((M_BOM[RM_Code]=$A26)*M_BOM[RM_Qty_Per_Batch]*IFERROR(INDEX(PP_Grid[#Data],M_BOM[PPGridRow],40),0))</f>
        <v/>
      </c>
      <c r="AO26">
        <f>SUMPRODUCT((M_BOM[RM_Code]=$A26)*M_BOM[RM_Qty_Per_Batch]*IFERROR(INDEX(PP_Grid[#Data],M_BOM[PPGridRow],41),0))</f>
        <v/>
      </c>
      <c r="AP26">
        <f>SUMPRODUCT((M_BOM[RM_Code]=$A26)*M_BOM[RM_Qty_Per_Batch]*IFERROR(INDEX(PP_Grid[#Data],M_BOM[PPGridRow],42),0))</f>
        <v/>
      </c>
      <c r="AQ26">
        <f>SUMPRODUCT((M_BOM[RM_Code]=$A26)*M_BOM[RM_Qty_Per_Batch]*IFERROR(INDEX(PP_Grid[#Data],M_BOM[PPGridRow],43),0))</f>
        <v/>
      </c>
      <c r="AR26">
        <f>SUMPRODUCT((M_BOM[RM_Code]=$A26)*M_BOM[RM_Qty_Per_Batch]*IFERROR(INDEX(PP_Grid[#Data],M_BOM[PPGridRow],44),0))</f>
        <v/>
      </c>
      <c r="AS26">
        <f>SUMPRODUCT((M_BOM[RM_Code]=$A26)*M_BOM[RM_Qty_Per_Batch]*IFERROR(INDEX(PP_Grid[#Data],M_BOM[PPGridRow],45),0))</f>
        <v/>
      </c>
      <c r="AT26">
        <f>SUMPRODUCT((M_BOM[RM_Code]=$A26)*M_BOM[RM_Qty_Per_Batch]*IFERROR(INDEX(PP_Grid[#Data],M_BOM[PPGridRow],46),0))</f>
        <v/>
      </c>
      <c r="AU26">
        <f>SUMPRODUCT((M_BOM[RM_Code]=$A26)*M_BOM[RM_Qty_Per_Batch]*IFERROR(INDEX(PP_Grid[#Data],M_BOM[PPGridRow],47),0))</f>
        <v/>
      </c>
      <c r="AV26">
        <f>SUMPRODUCT((M_BOM[RM_Code]=$A26)*M_BOM[RM_Qty_Per_Batch]*IFERROR(INDEX(PP_Grid[#Data],M_BOM[PPGridRow],48),0))</f>
        <v/>
      </c>
      <c r="AW26">
        <f>SUMPRODUCT((M_BOM[RM_Code]=$A26)*M_BOM[RM_Qty_Per_Batch]*IFERROR(INDEX(PP_Grid[#Data],M_BOM[PPGridRow],49),0))</f>
        <v/>
      </c>
      <c r="AX26">
        <f>SUMPRODUCT((M_BOM[RM_Code]=$A26)*M_BOM[RM_Qty_Per_Batch]*IFERROR(INDEX(PP_Grid[#Data],M_BOM[PPGridRow],50),0))</f>
        <v/>
      </c>
      <c r="AY26">
        <f>SUMPRODUCT((M_BOM[RM_Code]=$A26)*M_BOM[RM_Qty_Per_Batch]*IFERROR(INDEX(PP_Grid[#Data],M_BOM[PPGridRow],51),0))</f>
        <v/>
      </c>
      <c r="AZ26">
        <f>SUMPRODUCT((M_BOM[RM_Code]=$A26)*M_BOM[RM_Qty_Per_Batch]*IFERROR(INDEX(PP_Grid[#Data],M_BOM[PPGridRow],52),0))</f>
        <v/>
      </c>
      <c r="BA26">
        <f>SUMPRODUCT((M_BOM[RM_Code]=$A26)*M_BOM[RM_Qty_Per_Batch]*IFERROR(INDEX(PP_Grid[#Data],M_BOM[PPGridRow],53),0))</f>
        <v/>
      </c>
      <c r="BB26">
        <f>SUMPRODUCT((M_BOM[RM_Code]=$A26)*M_BOM[RM_Qty_Per_Batch]*IFERROR(INDEX(PP_Grid[#Data],M_BOM[PPGridRow],54),0))</f>
        <v/>
      </c>
      <c r="BC26">
        <f>SUMPRODUCT((M_BOM[RM_Code]=$A26)*M_BOM[RM_Qty_Per_Batch]*IFERROR(INDEX(PP_Grid[#Data],M_BOM[PPGridRow],55),0))</f>
        <v/>
      </c>
      <c r="BD26">
        <f>SUMPRODUCT((M_BOM[RM_Code]=$A26)*M_BOM[RM_Qty_Per_Batch]*IFERROR(INDEX(PP_Grid[#Data],M_BOM[PPGridRow],56),0))</f>
        <v/>
      </c>
      <c r="BE26">
        <f>SUMPRODUCT((M_BOM[RM_Code]=$A26)*M_BOM[RM_Qty_Per_Batch]*IFERROR(INDEX(PP_Grid[#Data],M_BOM[PPGridRow],57),0))</f>
        <v/>
      </c>
      <c r="BF26">
        <f>SUMPRODUCT((M_BOM[RM_Code]=$A26)*M_BOM[RM_Qty_Per_Batch]*IFERROR(INDEX(PP_Grid[#Data],M_BOM[PPGridRow],58),0))</f>
        <v/>
      </c>
      <c r="BG26">
        <f>SUMPRODUCT((M_BOM[RM_Code]=$A26)*M_BOM[RM_Qty_Per_Batch]*IFERROR(INDEX(PP_Grid[#Data],M_BOM[PPGridRow],59),0))</f>
        <v/>
      </c>
      <c r="BH26">
        <f>SUMPRODUCT((M_BOM[RM_Code]=$A26)*M_BOM[RM_Qty_Per_Batch]*IFERROR(INDEX(PP_Grid[#Data],M_BOM[PPGridRow],60),0))</f>
        <v/>
      </c>
      <c r="BI26">
        <f>SUMPRODUCT((M_BOM[RM_Code]=$A26)*M_BOM[RM_Qty_Per_Batch]*IFERROR(INDEX(PP_Grid[#Data],M_BOM[PPGridRow],61),0))</f>
        <v/>
      </c>
      <c r="BJ26">
        <f>SUMPRODUCT((M_BOM[RM_Code]=$A26)*M_BOM[RM_Qty_Per_Batch]*IFERROR(INDEX(PP_Grid[#Data],M_BOM[PPGridRow],62),0))</f>
        <v/>
      </c>
      <c r="BK26">
        <f>SUMPRODUCT((M_BOM[RM_Code]=$A26)*M_BOM[RM_Qty_Per_Batch]*IFERROR(INDEX(PP_Grid[#Data],M_BOM[PPGridRow],63),0))</f>
        <v/>
      </c>
      <c r="BL26">
        <f>SUMPRODUCT((M_BOM[RM_Code]=$A26)*M_BOM[RM_Qty_Per_Batch]*IFERROR(INDEX(PP_Grid[#Data],M_BOM[PPGridRow],64),0))</f>
        <v/>
      </c>
      <c r="BM26">
        <f>SUMPRODUCT((M_BOM[RM_Code]=$A26)*M_BOM[RM_Qty_Per_Batch]*IFERROR(INDEX(PP_Grid[#Data],M_BOM[PPGridRow],65),0))</f>
        <v/>
      </c>
      <c r="BN26">
        <f>SUMPRODUCT((M_BOM[RM_Code]=$A26)*M_BOM[RM_Qty_Per_Batch]*IFERROR(INDEX(PP_Grid[#Data],M_BOM[PPGridRow],66),0))</f>
        <v/>
      </c>
      <c r="BO26">
        <f>SUMPRODUCT((M_BOM[RM_Code]=$A26)*M_BOM[RM_Qty_Per_Batch]*IFERROR(INDEX(PP_Grid[#Data],M_BOM[PPGridRow],67),0))</f>
        <v/>
      </c>
      <c r="BP26">
        <f>SUMPRODUCT((M_BOM[RM_Code]=$A26)*M_BOM[RM_Qty_Per_Batch]*IFERROR(INDEX(PP_Grid[#Data],M_BOM[PPGridRow],68),0))</f>
        <v/>
      </c>
      <c r="BQ26">
        <f>SUMPRODUCT((M_BOM[RM_Code]=$A26)*M_BOM[RM_Qty_Per_Batch]*IFERROR(INDEX(PP_Grid[#Data],M_BOM[PPGridRow],69),0))</f>
        <v/>
      </c>
      <c r="BR26">
        <f>SUMPRODUCT((M_BOM[RM_Code]=$A26)*M_BOM[RM_Qty_Per_Batch]*IFERROR(INDEX(PP_Grid[#Data],M_BOM[PPGridRow],70),0))</f>
        <v/>
      </c>
      <c r="BS26">
        <f>SUMPRODUCT((M_BOM[RM_Code]=$A26)*M_BOM[RM_Qty_Per_Batch]*IFERROR(INDEX(PP_Grid[#Data],M_BOM[PPGridRow],71),0))</f>
        <v/>
      </c>
      <c r="BT26">
        <f>SUMPRODUCT((M_BOM[RM_Code]=$A26)*M_BOM[RM_Qty_Per_Batch]*IFERROR(INDEX(PP_Grid[#Data],M_BOM[PPGridRow],72),0))</f>
        <v/>
      </c>
      <c r="BU26">
        <f>SUMPRODUCT((M_BOM[RM_Code]=$A26)*M_BOM[RM_Qty_Per_Batch]*IFERROR(INDEX(PP_Grid[#Data],M_BOM[PPGridRow],73),0))</f>
        <v/>
      </c>
      <c r="BV26">
        <f>SUMPRODUCT((M_BOM[RM_Code]=$A26)*M_BOM[RM_Qty_Per_Batch]*IFERROR(INDEX(PP_Grid[#Data],M_BOM[PPGridRow],74),0))</f>
        <v/>
      </c>
      <c r="BW26">
        <f>SUMPRODUCT((M_BOM[RM_Code]=$A26)*M_BOM[RM_Qty_Per_Batch]*IFERROR(INDEX(PP_Grid[#Data],M_BOM[PPGridRow],75),0))</f>
        <v/>
      </c>
      <c r="BX26">
        <f>SUMPRODUCT((M_BOM[RM_Code]=$A26)*M_BOM[RM_Qty_Per_Batch]*IFERROR(INDEX(PP_Grid[#Data],M_BOM[PPGridRow],76),0))</f>
        <v/>
      </c>
      <c r="BY26">
        <f>SUMPRODUCT((M_BOM[RM_Code]=$A26)*M_BOM[RM_Qty_Per_Batch]*IFERROR(INDEX(PP_Grid[#Data],M_BOM[PPGridRow],77),0))</f>
        <v/>
      </c>
      <c r="BZ26">
        <f>SUMPRODUCT((M_BOM[RM_Code]=$A26)*M_BOM[RM_Qty_Per_Batch]*IFERROR(INDEX(PP_Grid[#Data],M_BOM[PPGridRow],78),0))</f>
        <v/>
      </c>
      <c r="CA26">
        <f>SUMPRODUCT((M_BOM[RM_Code]=$A26)*M_BOM[RM_Qty_Per_Batch]*IFERROR(INDEX(PP_Grid[#Data],M_BOM[PPGridRow],79),0))</f>
        <v/>
      </c>
      <c r="CB26">
        <f>SUMPRODUCT((M_BOM[RM_Code]=$A26)*M_BOM[RM_Qty_Per_Batch]*IFERROR(INDEX(PP_Grid[#Data],M_BOM[PPGridRow],80),0))</f>
        <v/>
      </c>
      <c r="CC26">
        <f>SUMPRODUCT((M_BOM[RM_Code]=$A26)*M_BOM[RM_Qty_Per_Batch]*IFERROR(INDEX(PP_Grid[#Data],M_BOM[PPGridRow],81),0))</f>
        <v/>
      </c>
      <c r="CD26">
        <f>SUMPRODUCT((M_BOM[RM_Code]=$A26)*M_BOM[RM_Qty_Per_Batch]*IFERROR(INDEX(PP_Grid[#Data],M_BOM[PPGridRow],82),0))</f>
        <v/>
      </c>
      <c r="CE26">
        <f>SUMPRODUCT((M_BOM[RM_Code]=$A26)*M_BOM[RM_Qty_Per_Batch]*IFERROR(INDEX(PP_Grid[#Data],M_BOM[PPGridRow],83),0))</f>
        <v/>
      </c>
      <c r="CF26">
        <f>SUMPRODUCT((M_BOM[RM_Code]=$A26)*M_BOM[RM_Qty_Per_Batch]*IFERROR(INDEX(PP_Grid[#Data],M_BOM[PPGridRow],84),0))</f>
        <v/>
      </c>
      <c r="CG26">
        <f>SUMPRODUCT((M_BOM[RM_Code]=$A26)*M_BOM[RM_Qty_Per_Batch]*IFERROR(INDEX(PP_Grid[#Data],M_BOM[PPGridRow],85),0))</f>
        <v/>
      </c>
      <c r="CH26">
        <f>SUMPRODUCT((M_BOM[RM_Code]=$A26)*M_BOM[RM_Qty_Per_Batch]*IFERROR(INDEX(PP_Grid[#Data],M_BOM[PPGridRow],86),0))</f>
        <v/>
      </c>
      <c r="CI26">
        <f>SUMPRODUCT((M_BOM[RM_Code]=$A26)*M_BOM[RM_Qty_Per_Batch]*IFERROR(INDEX(PP_Grid[#Data],M_BOM[PPGridRow],87),0))</f>
        <v/>
      </c>
      <c r="CJ26">
        <f>SUMPRODUCT((M_BOM[RM_Code]=$A26)*M_BOM[RM_Qty_Per_Batch]*IFERROR(INDEX(PP_Grid[#Data],M_BOM[PPGridRow],88),0))</f>
        <v/>
      </c>
      <c r="CK26">
        <f>SUMPRODUCT((M_BOM[RM_Code]=$A26)*M_BOM[RM_Qty_Per_Batch]*IFERROR(INDEX(PP_Grid[#Data],M_BOM[PPGridRow],89),0))</f>
        <v/>
      </c>
      <c r="CL26">
        <f>SUMPRODUCT((M_BOM[RM_Code]=$A26)*M_BOM[RM_Qty_Per_Batch]*IFERROR(INDEX(PP_Grid[#Data],M_BOM[PPGridRow],90),0))</f>
        <v/>
      </c>
      <c r="CM26">
        <f>SUMPRODUCT((M_BOM[RM_Code]=$A26)*M_BOM[RM_Qty_Per_Batch]*IFERROR(INDEX(PP_Grid[#Data],M_BOM[PPGridRow],91),0))</f>
        <v/>
      </c>
      <c r="CN26">
        <f>SUMPRODUCT((M_BOM[RM_Code]=$A26)*M_BOM[RM_Qty_Per_Batch]*IFERROR(INDEX(PP_Grid[#Data],M_BOM[PPGridRow],92),0))</f>
        <v/>
      </c>
      <c r="CO26">
        <f>SUMPRODUCT((M_BOM[RM_Code]=$A26)*M_BOM[RM_Qty_Per_Batch]*IFERROR(INDEX(PP_Grid[#Data],M_BOM[PPGridRow],93),0))</f>
        <v/>
      </c>
      <c r="CP26">
        <f>SUMPRODUCT((M_BOM[RM_Code]=$A26)*M_BOM[RM_Qty_Per_Batch]*IFERROR(INDEX(PP_Grid[#Data],M_BOM[PPGridRow],94),0))</f>
        <v/>
      </c>
      <c r="CQ26">
        <f>SUMPRODUCT((M_BOM[RM_Code]=$A26)*M_BOM[RM_Qty_Per_Batch]*IFERROR(INDEX(PP_Grid[#Data],M_BOM[PPGridRow],95),0))</f>
        <v/>
      </c>
      <c r="CR26">
        <f>SUMPRODUCT((M_BOM[RM_Code]=$A26)*M_BOM[RM_Qty_Per_Batch]*IFERROR(INDEX(PP_Grid[#Data],M_BOM[PPGridRow],96),0))</f>
        <v/>
      </c>
      <c r="CS26">
        <f>SUMPRODUCT((M_BOM[RM_Code]=$A26)*M_BOM[RM_Qty_Per_Batch]*IFERROR(INDEX(PP_Grid[#Data],M_BOM[PPGridRow],97),0))</f>
        <v/>
      </c>
      <c r="CT26">
        <f>SUMPRODUCT((M_BOM[RM_Code]=$A26)*M_BOM[RM_Qty_Per_Batch]*IFERROR(INDEX(PP_Grid[#Data],M_BOM[PPGridRow],98),0))</f>
        <v/>
      </c>
      <c r="CU26">
        <f>SUMPRODUCT((M_BOM[RM_Code]=$A26)*M_BOM[RM_Qty_Per_Batch]*IFERROR(INDEX(PP_Grid[#Data],M_BOM[PPGridRow],99),0))</f>
        <v/>
      </c>
      <c r="CV26">
        <f>SUMPRODUCT((M_BOM[RM_Code]=$A26)*M_BOM[RM_Qty_Per_Batch]*IFERROR(INDEX(PP_Grid[#Data],M_BOM[PPGridRow],100),0))</f>
        <v/>
      </c>
      <c r="CW26">
        <f>SUMPRODUCT((M_BOM[RM_Code]=$A26)*M_BOM[RM_Qty_Per_Batch]*IFERROR(INDEX(PP_Grid[#Data],M_BOM[PPGridRow],101),0))</f>
        <v/>
      </c>
      <c r="CX26">
        <f>SUMPRODUCT((M_BOM[RM_Code]=$A26)*M_BOM[RM_Qty_Per_Batch]*IFERROR(INDEX(PP_Grid[#Data],M_BOM[PPGridRow],102),0))</f>
        <v/>
      </c>
      <c r="CY26">
        <f>SUMPRODUCT((M_BOM[RM_Code]=$A26)*M_BOM[RM_Qty_Per_Batch]*IFERROR(INDEX(PP_Grid[#Data],M_BOM[PPGridRow],103),0))</f>
        <v/>
      </c>
      <c r="CZ26">
        <f>SUMPRODUCT((M_BOM[RM_Code]=$A26)*M_BOM[RM_Qty_Per_Batch]*IFERROR(INDEX(PP_Grid[#Data],M_BOM[PPGridRow],104),0))</f>
        <v/>
      </c>
      <c r="DA26">
        <f>SUMPRODUCT((M_BOM[RM_Code]=$A26)*M_BOM[RM_Qty_Per_Batch]*IFERROR(INDEX(PP_Grid[#Data],M_BOM[PPGridRow],105),0))</f>
        <v/>
      </c>
    </row>
    <row r="27">
      <c r="A27" t="inlineStr">
        <is>
          <t>Original Towel</t>
        </is>
      </c>
      <c r="B27">
        <f>SUMPRODUCT((M_BOM[RM_Code]=$A27)*M_BOM[RM_Qty_Per_Batch]*IFERROR(INDEX(PP_Grid[#Data],M_BOM[PPGridRow],2),0))</f>
        <v/>
      </c>
      <c r="C27">
        <f>SUMPRODUCT((M_BOM[RM_Code]=$A27)*M_BOM[RM_Qty_Per_Batch]*IFERROR(INDEX(PP_Grid[#Data],M_BOM[PPGridRow],3),0))</f>
        <v/>
      </c>
      <c r="D27">
        <f>SUMPRODUCT((M_BOM[RM_Code]=$A27)*M_BOM[RM_Qty_Per_Batch]*IFERROR(INDEX(PP_Grid[#Data],M_BOM[PPGridRow],4),0))</f>
        <v/>
      </c>
      <c r="E27">
        <f>SUMPRODUCT((M_BOM[RM_Code]=$A27)*M_BOM[RM_Qty_Per_Batch]*IFERROR(INDEX(PP_Grid[#Data],M_BOM[PPGridRow],5),0))</f>
        <v/>
      </c>
      <c r="F27">
        <f>SUMPRODUCT((M_BOM[RM_Code]=$A27)*M_BOM[RM_Qty_Per_Batch]*IFERROR(INDEX(PP_Grid[#Data],M_BOM[PPGridRow],6),0))</f>
        <v/>
      </c>
      <c r="G27">
        <f>SUMPRODUCT((M_BOM[RM_Code]=$A27)*M_BOM[RM_Qty_Per_Batch]*IFERROR(INDEX(PP_Grid[#Data],M_BOM[PPGridRow],7),0))</f>
        <v/>
      </c>
      <c r="H27">
        <f>SUMPRODUCT((M_BOM[RM_Code]=$A27)*M_BOM[RM_Qty_Per_Batch]*IFERROR(INDEX(PP_Grid[#Data],M_BOM[PPGridRow],8),0))</f>
        <v/>
      </c>
      <c r="I27">
        <f>SUMPRODUCT((M_BOM[RM_Code]=$A27)*M_BOM[RM_Qty_Per_Batch]*IFERROR(INDEX(PP_Grid[#Data],M_BOM[PPGridRow],9),0))</f>
        <v/>
      </c>
      <c r="J27">
        <f>SUMPRODUCT((M_BOM[RM_Code]=$A27)*M_BOM[RM_Qty_Per_Batch]*IFERROR(INDEX(PP_Grid[#Data],M_BOM[PPGridRow],10),0))</f>
        <v/>
      </c>
      <c r="K27">
        <f>SUMPRODUCT((M_BOM[RM_Code]=$A27)*M_BOM[RM_Qty_Per_Batch]*IFERROR(INDEX(PP_Grid[#Data],M_BOM[PPGridRow],11),0))</f>
        <v/>
      </c>
      <c r="L27">
        <f>SUMPRODUCT((M_BOM[RM_Code]=$A27)*M_BOM[RM_Qty_Per_Batch]*IFERROR(INDEX(PP_Grid[#Data],M_BOM[PPGridRow],12),0))</f>
        <v/>
      </c>
      <c r="M27">
        <f>SUMPRODUCT((M_BOM[RM_Code]=$A27)*M_BOM[RM_Qty_Per_Batch]*IFERROR(INDEX(PP_Grid[#Data],M_BOM[PPGridRow],13),0))</f>
        <v/>
      </c>
      <c r="N27">
        <f>SUMPRODUCT((M_BOM[RM_Code]=$A27)*M_BOM[RM_Qty_Per_Batch]*IFERROR(INDEX(PP_Grid[#Data],M_BOM[PPGridRow],14),0))</f>
        <v/>
      </c>
      <c r="O27">
        <f>SUMPRODUCT((M_BOM[RM_Code]=$A27)*M_BOM[RM_Qty_Per_Batch]*IFERROR(INDEX(PP_Grid[#Data],M_BOM[PPGridRow],15),0))</f>
        <v/>
      </c>
      <c r="P27">
        <f>SUMPRODUCT((M_BOM[RM_Code]=$A27)*M_BOM[RM_Qty_Per_Batch]*IFERROR(INDEX(PP_Grid[#Data],M_BOM[PPGridRow],16),0))</f>
        <v/>
      </c>
      <c r="Q27">
        <f>SUMPRODUCT((M_BOM[RM_Code]=$A27)*M_BOM[RM_Qty_Per_Batch]*IFERROR(INDEX(PP_Grid[#Data],M_BOM[PPGridRow],17),0))</f>
        <v/>
      </c>
      <c r="R27">
        <f>SUMPRODUCT((M_BOM[RM_Code]=$A27)*M_BOM[RM_Qty_Per_Batch]*IFERROR(INDEX(PP_Grid[#Data],M_BOM[PPGridRow],18),0))</f>
        <v/>
      </c>
      <c r="S27">
        <f>SUMPRODUCT((M_BOM[RM_Code]=$A27)*M_BOM[RM_Qty_Per_Batch]*IFERROR(INDEX(PP_Grid[#Data],M_BOM[PPGridRow],19),0))</f>
        <v/>
      </c>
      <c r="T27">
        <f>SUMPRODUCT((M_BOM[RM_Code]=$A27)*M_BOM[RM_Qty_Per_Batch]*IFERROR(INDEX(PP_Grid[#Data],M_BOM[PPGridRow],20),0))</f>
        <v/>
      </c>
      <c r="U27">
        <f>SUMPRODUCT((M_BOM[RM_Code]=$A27)*M_BOM[RM_Qty_Per_Batch]*IFERROR(INDEX(PP_Grid[#Data],M_BOM[PPGridRow],21),0))</f>
        <v/>
      </c>
      <c r="V27">
        <f>SUMPRODUCT((M_BOM[RM_Code]=$A27)*M_BOM[RM_Qty_Per_Batch]*IFERROR(INDEX(PP_Grid[#Data],M_BOM[PPGridRow],22),0))</f>
        <v/>
      </c>
      <c r="W27">
        <f>SUMPRODUCT((M_BOM[RM_Code]=$A27)*M_BOM[RM_Qty_Per_Batch]*IFERROR(INDEX(PP_Grid[#Data],M_BOM[PPGridRow],23),0))</f>
        <v/>
      </c>
      <c r="X27">
        <f>SUMPRODUCT((M_BOM[RM_Code]=$A27)*M_BOM[RM_Qty_Per_Batch]*IFERROR(INDEX(PP_Grid[#Data],M_BOM[PPGridRow],24),0))</f>
        <v/>
      </c>
      <c r="Y27">
        <f>SUMPRODUCT((M_BOM[RM_Code]=$A27)*M_BOM[RM_Qty_Per_Batch]*IFERROR(INDEX(PP_Grid[#Data],M_BOM[PPGridRow],25),0))</f>
        <v/>
      </c>
      <c r="Z27">
        <f>SUMPRODUCT((M_BOM[RM_Code]=$A27)*M_BOM[RM_Qty_Per_Batch]*IFERROR(INDEX(PP_Grid[#Data],M_BOM[PPGridRow],26),0))</f>
        <v/>
      </c>
      <c r="AA27">
        <f>SUMPRODUCT((M_BOM[RM_Code]=$A27)*M_BOM[RM_Qty_Per_Batch]*IFERROR(INDEX(PP_Grid[#Data],M_BOM[PPGridRow],27),0))</f>
        <v/>
      </c>
      <c r="AB27">
        <f>SUMPRODUCT((M_BOM[RM_Code]=$A27)*M_BOM[RM_Qty_Per_Batch]*IFERROR(INDEX(PP_Grid[#Data],M_BOM[PPGridRow],28),0))</f>
        <v/>
      </c>
      <c r="AC27">
        <f>SUMPRODUCT((M_BOM[RM_Code]=$A27)*M_BOM[RM_Qty_Per_Batch]*IFERROR(INDEX(PP_Grid[#Data],M_BOM[PPGridRow],29),0))</f>
        <v/>
      </c>
      <c r="AD27">
        <f>SUMPRODUCT((M_BOM[RM_Code]=$A27)*M_BOM[RM_Qty_Per_Batch]*IFERROR(INDEX(PP_Grid[#Data],M_BOM[PPGridRow],30),0))</f>
        <v/>
      </c>
      <c r="AE27">
        <f>SUMPRODUCT((M_BOM[RM_Code]=$A27)*M_BOM[RM_Qty_Per_Batch]*IFERROR(INDEX(PP_Grid[#Data],M_BOM[PPGridRow],31),0))</f>
        <v/>
      </c>
      <c r="AF27">
        <f>SUMPRODUCT((M_BOM[RM_Code]=$A27)*M_BOM[RM_Qty_Per_Batch]*IFERROR(INDEX(PP_Grid[#Data],M_BOM[PPGridRow],32),0))</f>
        <v/>
      </c>
      <c r="AG27">
        <f>SUMPRODUCT((M_BOM[RM_Code]=$A27)*M_BOM[RM_Qty_Per_Batch]*IFERROR(INDEX(PP_Grid[#Data],M_BOM[PPGridRow],33),0))</f>
        <v/>
      </c>
      <c r="AH27">
        <f>SUMPRODUCT((M_BOM[RM_Code]=$A27)*M_BOM[RM_Qty_Per_Batch]*IFERROR(INDEX(PP_Grid[#Data],M_BOM[PPGridRow],34),0))</f>
        <v/>
      </c>
      <c r="AI27">
        <f>SUMPRODUCT((M_BOM[RM_Code]=$A27)*M_BOM[RM_Qty_Per_Batch]*IFERROR(INDEX(PP_Grid[#Data],M_BOM[PPGridRow],35),0))</f>
        <v/>
      </c>
      <c r="AJ27">
        <f>SUMPRODUCT((M_BOM[RM_Code]=$A27)*M_BOM[RM_Qty_Per_Batch]*IFERROR(INDEX(PP_Grid[#Data],M_BOM[PPGridRow],36),0))</f>
        <v/>
      </c>
      <c r="AK27">
        <f>SUMPRODUCT((M_BOM[RM_Code]=$A27)*M_BOM[RM_Qty_Per_Batch]*IFERROR(INDEX(PP_Grid[#Data],M_BOM[PPGridRow],37),0))</f>
        <v/>
      </c>
      <c r="AL27">
        <f>SUMPRODUCT((M_BOM[RM_Code]=$A27)*M_BOM[RM_Qty_Per_Batch]*IFERROR(INDEX(PP_Grid[#Data],M_BOM[PPGridRow],38),0))</f>
        <v/>
      </c>
      <c r="AM27">
        <f>SUMPRODUCT((M_BOM[RM_Code]=$A27)*M_BOM[RM_Qty_Per_Batch]*IFERROR(INDEX(PP_Grid[#Data],M_BOM[PPGridRow],39),0))</f>
        <v/>
      </c>
      <c r="AN27">
        <f>SUMPRODUCT((M_BOM[RM_Code]=$A27)*M_BOM[RM_Qty_Per_Batch]*IFERROR(INDEX(PP_Grid[#Data],M_BOM[PPGridRow],40),0))</f>
        <v/>
      </c>
      <c r="AO27">
        <f>SUMPRODUCT((M_BOM[RM_Code]=$A27)*M_BOM[RM_Qty_Per_Batch]*IFERROR(INDEX(PP_Grid[#Data],M_BOM[PPGridRow],41),0))</f>
        <v/>
      </c>
      <c r="AP27">
        <f>SUMPRODUCT((M_BOM[RM_Code]=$A27)*M_BOM[RM_Qty_Per_Batch]*IFERROR(INDEX(PP_Grid[#Data],M_BOM[PPGridRow],42),0))</f>
        <v/>
      </c>
      <c r="AQ27">
        <f>SUMPRODUCT((M_BOM[RM_Code]=$A27)*M_BOM[RM_Qty_Per_Batch]*IFERROR(INDEX(PP_Grid[#Data],M_BOM[PPGridRow],43),0))</f>
        <v/>
      </c>
      <c r="AR27">
        <f>SUMPRODUCT((M_BOM[RM_Code]=$A27)*M_BOM[RM_Qty_Per_Batch]*IFERROR(INDEX(PP_Grid[#Data],M_BOM[PPGridRow],44),0))</f>
        <v/>
      </c>
      <c r="AS27">
        <f>SUMPRODUCT((M_BOM[RM_Code]=$A27)*M_BOM[RM_Qty_Per_Batch]*IFERROR(INDEX(PP_Grid[#Data],M_BOM[PPGridRow],45),0))</f>
        <v/>
      </c>
      <c r="AT27">
        <f>SUMPRODUCT((M_BOM[RM_Code]=$A27)*M_BOM[RM_Qty_Per_Batch]*IFERROR(INDEX(PP_Grid[#Data],M_BOM[PPGridRow],46),0))</f>
        <v/>
      </c>
      <c r="AU27">
        <f>SUMPRODUCT((M_BOM[RM_Code]=$A27)*M_BOM[RM_Qty_Per_Batch]*IFERROR(INDEX(PP_Grid[#Data],M_BOM[PPGridRow],47),0))</f>
        <v/>
      </c>
      <c r="AV27">
        <f>SUMPRODUCT((M_BOM[RM_Code]=$A27)*M_BOM[RM_Qty_Per_Batch]*IFERROR(INDEX(PP_Grid[#Data],M_BOM[PPGridRow],48),0))</f>
        <v/>
      </c>
      <c r="AW27">
        <f>SUMPRODUCT((M_BOM[RM_Code]=$A27)*M_BOM[RM_Qty_Per_Batch]*IFERROR(INDEX(PP_Grid[#Data],M_BOM[PPGridRow],49),0))</f>
        <v/>
      </c>
      <c r="AX27">
        <f>SUMPRODUCT((M_BOM[RM_Code]=$A27)*M_BOM[RM_Qty_Per_Batch]*IFERROR(INDEX(PP_Grid[#Data],M_BOM[PPGridRow],50),0))</f>
        <v/>
      </c>
      <c r="AY27">
        <f>SUMPRODUCT((M_BOM[RM_Code]=$A27)*M_BOM[RM_Qty_Per_Batch]*IFERROR(INDEX(PP_Grid[#Data],M_BOM[PPGridRow],51),0))</f>
        <v/>
      </c>
      <c r="AZ27">
        <f>SUMPRODUCT((M_BOM[RM_Code]=$A27)*M_BOM[RM_Qty_Per_Batch]*IFERROR(INDEX(PP_Grid[#Data],M_BOM[PPGridRow],52),0))</f>
        <v/>
      </c>
      <c r="BA27">
        <f>SUMPRODUCT((M_BOM[RM_Code]=$A27)*M_BOM[RM_Qty_Per_Batch]*IFERROR(INDEX(PP_Grid[#Data],M_BOM[PPGridRow],53),0))</f>
        <v/>
      </c>
      <c r="BB27">
        <f>SUMPRODUCT((M_BOM[RM_Code]=$A27)*M_BOM[RM_Qty_Per_Batch]*IFERROR(INDEX(PP_Grid[#Data],M_BOM[PPGridRow],54),0))</f>
        <v/>
      </c>
      <c r="BC27">
        <f>SUMPRODUCT((M_BOM[RM_Code]=$A27)*M_BOM[RM_Qty_Per_Batch]*IFERROR(INDEX(PP_Grid[#Data],M_BOM[PPGridRow],55),0))</f>
        <v/>
      </c>
      <c r="BD27">
        <f>SUMPRODUCT((M_BOM[RM_Code]=$A27)*M_BOM[RM_Qty_Per_Batch]*IFERROR(INDEX(PP_Grid[#Data],M_BOM[PPGridRow],56),0))</f>
        <v/>
      </c>
      <c r="BE27">
        <f>SUMPRODUCT((M_BOM[RM_Code]=$A27)*M_BOM[RM_Qty_Per_Batch]*IFERROR(INDEX(PP_Grid[#Data],M_BOM[PPGridRow],57),0))</f>
        <v/>
      </c>
      <c r="BF27">
        <f>SUMPRODUCT((M_BOM[RM_Code]=$A27)*M_BOM[RM_Qty_Per_Batch]*IFERROR(INDEX(PP_Grid[#Data],M_BOM[PPGridRow],58),0))</f>
        <v/>
      </c>
      <c r="BG27">
        <f>SUMPRODUCT((M_BOM[RM_Code]=$A27)*M_BOM[RM_Qty_Per_Batch]*IFERROR(INDEX(PP_Grid[#Data],M_BOM[PPGridRow],59),0))</f>
        <v/>
      </c>
      <c r="BH27">
        <f>SUMPRODUCT((M_BOM[RM_Code]=$A27)*M_BOM[RM_Qty_Per_Batch]*IFERROR(INDEX(PP_Grid[#Data],M_BOM[PPGridRow],60),0))</f>
        <v/>
      </c>
      <c r="BI27">
        <f>SUMPRODUCT((M_BOM[RM_Code]=$A27)*M_BOM[RM_Qty_Per_Batch]*IFERROR(INDEX(PP_Grid[#Data],M_BOM[PPGridRow],61),0))</f>
        <v/>
      </c>
      <c r="BJ27">
        <f>SUMPRODUCT((M_BOM[RM_Code]=$A27)*M_BOM[RM_Qty_Per_Batch]*IFERROR(INDEX(PP_Grid[#Data],M_BOM[PPGridRow],62),0))</f>
        <v/>
      </c>
      <c r="BK27">
        <f>SUMPRODUCT((M_BOM[RM_Code]=$A27)*M_BOM[RM_Qty_Per_Batch]*IFERROR(INDEX(PP_Grid[#Data],M_BOM[PPGridRow],63),0))</f>
        <v/>
      </c>
      <c r="BL27">
        <f>SUMPRODUCT((M_BOM[RM_Code]=$A27)*M_BOM[RM_Qty_Per_Batch]*IFERROR(INDEX(PP_Grid[#Data],M_BOM[PPGridRow],64),0))</f>
        <v/>
      </c>
      <c r="BM27">
        <f>SUMPRODUCT((M_BOM[RM_Code]=$A27)*M_BOM[RM_Qty_Per_Batch]*IFERROR(INDEX(PP_Grid[#Data],M_BOM[PPGridRow],65),0))</f>
        <v/>
      </c>
      <c r="BN27">
        <f>SUMPRODUCT((M_BOM[RM_Code]=$A27)*M_BOM[RM_Qty_Per_Batch]*IFERROR(INDEX(PP_Grid[#Data],M_BOM[PPGridRow],66),0))</f>
        <v/>
      </c>
      <c r="BO27">
        <f>SUMPRODUCT((M_BOM[RM_Code]=$A27)*M_BOM[RM_Qty_Per_Batch]*IFERROR(INDEX(PP_Grid[#Data],M_BOM[PPGridRow],67),0))</f>
        <v/>
      </c>
      <c r="BP27">
        <f>SUMPRODUCT((M_BOM[RM_Code]=$A27)*M_BOM[RM_Qty_Per_Batch]*IFERROR(INDEX(PP_Grid[#Data],M_BOM[PPGridRow],68),0))</f>
        <v/>
      </c>
      <c r="BQ27">
        <f>SUMPRODUCT((M_BOM[RM_Code]=$A27)*M_BOM[RM_Qty_Per_Batch]*IFERROR(INDEX(PP_Grid[#Data],M_BOM[PPGridRow],69),0))</f>
        <v/>
      </c>
      <c r="BR27">
        <f>SUMPRODUCT((M_BOM[RM_Code]=$A27)*M_BOM[RM_Qty_Per_Batch]*IFERROR(INDEX(PP_Grid[#Data],M_BOM[PPGridRow],70),0))</f>
        <v/>
      </c>
      <c r="BS27">
        <f>SUMPRODUCT((M_BOM[RM_Code]=$A27)*M_BOM[RM_Qty_Per_Batch]*IFERROR(INDEX(PP_Grid[#Data],M_BOM[PPGridRow],71),0))</f>
        <v/>
      </c>
      <c r="BT27">
        <f>SUMPRODUCT((M_BOM[RM_Code]=$A27)*M_BOM[RM_Qty_Per_Batch]*IFERROR(INDEX(PP_Grid[#Data],M_BOM[PPGridRow],72),0))</f>
        <v/>
      </c>
      <c r="BU27">
        <f>SUMPRODUCT((M_BOM[RM_Code]=$A27)*M_BOM[RM_Qty_Per_Batch]*IFERROR(INDEX(PP_Grid[#Data],M_BOM[PPGridRow],73),0))</f>
        <v/>
      </c>
      <c r="BV27">
        <f>SUMPRODUCT((M_BOM[RM_Code]=$A27)*M_BOM[RM_Qty_Per_Batch]*IFERROR(INDEX(PP_Grid[#Data],M_BOM[PPGridRow],74),0))</f>
        <v/>
      </c>
      <c r="BW27">
        <f>SUMPRODUCT((M_BOM[RM_Code]=$A27)*M_BOM[RM_Qty_Per_Batch]*IFERROR(INDEX(PP_Grid[#Data],M_BOM[PPGridRow],75),0))</f>
        <v/>
      </c>
      <c r="BX27">
        <f>SUMPRODUCT((M_BOM[RM_Code]=$A27)*M_BOM[RM_Qty_Per_Batch]*IFERROR(INDEX(PP_Grid[#Data],M_BOM[PPGridRow],76),0))</f>
        <v/>
      </c>
      <c r="BY27">
        <f>SUMPRODUCT((M_BOM[RM_Code]=$A27)*M_BOM[RM_Qty_Per_Batch]*IFERROR(INDEX(PP_Grid[#Data],M_BOM[PPGridRow],77),0))</f>
        <v/>
      </c>
      <c r="BZ27">
        <f>SUMPRODUCT((M_BOM[RM_Code]=$A27)*M_BOM[RM_Qty_Per_Batch]*IFERROR(INDEX(PP_Grid[#Data],M_BOM[PPGridRow],78),0))</f>
        <v/>
      </c>
      <c r="CA27">
        <f>SUMPRODUCT((M_BOM[RM_Code]=$A27)*M_BOM[RM_Qty_Per_Batch]*IFERROR(INDEX(PP_Grid[#Data],M_BOM[PPGridRow],79),0))</f>
        <v/>
      </c>
      <c r="CB27">
        <f>SUMPRODUCT((M_BOM[RM_Code]=$A27)*M_BOM[RM_Qty_Per_Batch]*IFERROR(INDEX(PP_Grid[#Data],M_BOM[PPGridRow],80),0))</f>
        <v/>
      </c>
      <c r="CC27">
        <f>SUMPRODUCT((M_BOM[RM_Code]=$A27)*M_BOM[RM_Qty_Per_Batch]*IFERROR(INDEX(PP_Grid[#Data],M_BOM[PPGridRow],81),0))</f>
        <v/>
      </c>
      <c r="CD27">
        <f>SUMPRODUCT((M_BOM[RM_Code]=$A27)*M_BOM[RM_Qty_Per_Batch]*IFERROR(INDEX(PP_Grid[#Data],M_BOM[PPGridRow],82),0))</f>
        <v/>
      </c>
      <c r="CE27">
        <f>SUMPRODUCT((M_BOM[RM_Code]=$A27)*M_BOM[RM_Qty_Per_Batch]*IFERROR(INDEX(PP_Grid[#Data],M_BOM[PPGridRow],83),0))</f>
        <v/>
      </c>
      <c r="CF27">
        <f>SUMPRODUCT((M_BOM[RM_Code]=$A27)*M_BOM[RM_Qty_Per_Batch]*IFERROR(INDEX(PP_Grid[#Data],M_BOM[PPGridRow],84),0))</f>
        <v/>
      </c>
      <c r="CG27">
        <f>SUMPRODUCT((M_BOM[RM_Code]=$A27)*M_BOM[RM_Qty_Per_Batch]*IFERROR(INDEX(PP_Grid[#Data],M_BOM[PPGridRow],85),0))</f>
        <v/>
      </c>
      <c r="CH27">
        <f>SUMPRODUCT((M_BOM[RM_Code]=$A27)*M_BOM[RM_Qty_Per_Batch]*IFERROR(INDEX(PP_Grid[#Data],M_BOM[PPGridRow],86),0))</f>
        <v/>
      </c>
      <c r="CI27">
        <f>SUMPRODUCT((M_BOM[RM_Code]=$A27)*M_BOM[RM_Qty_Per_Batch]*IFERROR(INDEX(PP_Grid[#Data],M_BOM[PPGridRow],87),0))</f>
        <v/>
      </c>
      <c r="CJ27">
        <f>SUMPRODUCT((M_BOM[RM_Code]=$A27)*M_BOM[RM_Qty_Per_Batch]*IFERROR(INDEX(PP_Grid[#Data],M_BOM[PPGridRow],88),0))</f>
        <v/>
      </c>
      <c r="CK27">
        <f>SUMPRODUCT((M_BOM[RM_Code]=$A27)*M_BOM[RM_Qty_Per_Batch]*IFERROR(INDEX(PP_Grid[#Data],M_BOM[PPGridRow],89),0))</f>
        <v/>
      </c>
      <c r="CL27">
        <f>SUMPRODUCT((M_BOM[RM_Code]=$A27)*M_BOM[RM_Qty_Per_Batch]*IFERROR(INDEX(PP_Grid[#Data],M_BOM[PPGridRow],90),0))</f>
        <v/>
      </c>
      <c r="CM27">
        <f>SUMPRODUCT((M_BOM[RM_Code]=$A27)*M_BOM[RM_Qty_Per_Batch]*IFERROR(INDEX(PP_Grid[#Data],M_BOM[PPGridRow],91),0))</f>
        <v/>
      </c>
      <c r="CN27">
        <f>SUMPRODUCT((M_BOM[RM_Code]=$A27)*M_BOM[RM_Qty_Per_Batch]*IFERROR(INDEX(PP_Grid[#Data],M_BOM[PPGridRow],92),0))</f>
        <v/>
      </c>
      <c r="CO27">
        <f>SUMPRODUCT((M_BOM[RM_Code]=$A27)*M_BOM[RM_Qty_Per_Batch]*IFERROR(INDEX(PP_Grid[#Data],M_BOM[PPGridRow],93),0))</f>
        <v/>
      </c>
      <c r="CP27">
        <f>SUMPRODUCT((M_BOM[RM_Code]=$A27)*M_BOM[RM_Qty_Per_Batch]*IFERROR(INDEX(PP_Grid[#Data],M_BOM[PPGridRow],94),0))</f>
        <v/>
      </c>
      <c r="CQ27">
        <f>SUMPRODUCT((M_BOM[RM_Code]=$A27)*M_BOM[RM_Qty_Per_Batch]*IFERROR(INDEX(PP_Grid[#Data],M_BOM[PPGridRow],95),0))</f>
        <v/>
      </c>
      <c r="CR27">
        <f>SUMPRODUCT((M_BOM[RM_Code]=$A27)*M_BOM[RM_Qty_Per_Batch]*IFERROR(INDEX(PP_Grid[#Data],M_BOM[PPGridRow],96),0))</f>
        <v/>
      </c>
      <c r="CS27">
        <f>SUMPRODUCT((M_BOM[RM_Code]=$A27)*M_BOM[RM_Qty_Per_Batch]*IFERROR(INDEX(PP_Grid[#Data],M_BOM[PPGridRow],97),0))</f>
        <v/>
      </c>
      <c r="CT27">
        <f>SUMPRODUCT((M_BOM[RM_Code]=$A27)*M_BOM[RM_Qty_Per_Batch]*IFERROR(INDEX(PP_Grid[#Data],M_BOM[PPGridRow],98),0))</f>
        <v/>
      </c>
      <c r="CU27">
        <f>SUMPRODUCT((M_BOM[RM_Code]=$A27)*M_BOM[RM_Qty_Per_Batch]*IFERROR(INDEX(PP_Grid[#Data],M_BOM[PPGridRow],99),0))</f>
        <v/>
      </c>
      <c r="CV27">
        <f>SUMPRODUCT((M_BOM[RM_Code]=$A27)*M_BOM[RM_Qty_Per_Batch]*IFERROR(INDEX(PP_Grid[#Data],M_BOM[PPGridRow],100),0))</f>
        <v/>
      </c>
      <c r="CW27">
        <f>SUMPRODUCT((M_BOM[RM_Code]=$A27)*M_BOM[RM_Qty_Per_Batch]*IFERROR(INDEX(PP_Grid[#Data],M_BOM[PPGridRow],101),0))</f>
        <v/>
      </c>
      <c r="CX27">
        <f>SUMPRODUCT((M_BOM[RM_Code]=$A27)*M_BOM[RM_Qty_Per_Batch]*IFERROR(INDEX(PP_Grid[#Data],M_BOM[PPGridRow],102),0))</f>
        <v/>
      </c>
      <c r="CY27">
        <f>SUMPRODUCT((M_BOM[RM_Code]=$A27)*M_BOM[RM_Qty_Per_Batch]*IFERROR(INDEX(PP_Grid[#Data],M_BOM[PPGridRow],103),0))</f>
        <v/>
      </c>
      <c r="CZ27">
        <f>SUMPRODUCT((M_BOM[RM_Code]=$A27)*M_BOM[RM_Qty_Per_Batch]*IFERROR(INDEX(PP_Grid[#Data],M_BOM[PPGridRow],104),0))</f>
        <v/>
      </c>
      <c r="DA27">
        <f>SUMPRODUCT((M_BOM[RM_Code]=$A27)*M_BOM[RM_Qty_Per_Batch]*IFERROR(INDEX(PP_Grid[#Data],M_BOM[PPGridRow],105),0))</f>
        <v/>
      </c>
    </row>
    <row r="28">
      <c r="A28" t="inlineStr">
        <is>
          <t>0LJ</t>
        </is>
      </c>
      <c r="B28">
        <f>SUMPRODUCT((M_BOM[RM_Code]=$A28)*M_BOM[RM_Qty_Per_Batch]*IFERROR(INDEX(PP_Grid[#Data],M_BOM[PPGridRow],2),0))</f>
        <v/>
      </c>
      <c r="C28">
        <f>SUMPRODUCT((M_BOM[RM_Code]=$A28)*M_BOM[RM_Qty_Per_Batch]*IFERROR(INDEX(PP_Grid[#Data],M_BOM[PPGridRow],3),0))</f>
        <v/>
      </c>
      <c r="D28">
        <f>SUMPRODUCT((M_BOM[RM_Code]=$A28)*M_BOM[RM_Qty_Per_Batch]*IFERROR(INDEX(PP_Grid[#Data],M_BOM[PPGridRow],4),0))</f>
        <v/>
      </c>
      <c r="E28">
        <f>SUMPRODUCT((M_BOM[RM_Code]=$A28)*M_BOM[RM_Qty_Per_Batch]*IFERROR(INDEX(PP_Grid[#Data],M_BOM[PPGridRow],5),0))</f>
        <v/>
      </c>
      <c r="F28">
        <f>SUMPRODUCT((M_BOM[RM_Code]=$A28)*M_BOM[RM_Qty_Per_Batch]*IFERROR(INDEX(PP_Grid[#Data],M_BOM[PPGridRow],6),0))</f>
        <v/>
      </c>
      <c r="G28">
        <f>SUMPRODUCT((M_BOM[RM_Code]=$A28)*M_BOM[RM_Qty_Per_Batch]*IFERROR(INDEX(PP_Grid[#Data],M_BOM[PPGridRow],7),0))</f>
        <v/>
      </c>
      <c r="H28">
        <f>SUMPRODUCT((M_BOM[RM_Code]=$A28)*M_BOM[RM_Qty_Per_Batch]*IFERROR(INDEX(PP_Grid[#Data],M_BOM[PPGridRow],8),0))</f>
        <v/>
      </c>
      <c r="I28">
        <f>SUMPRODUCT((M_BOM[RM_Code]=$A28)*M_BOM[RM_Qty_Per_Batch]*IFERROR(INDEX(PP_Grid[#Data],M_BOM[PPGridRow],9),0))</f>
        <v/>
      </c>
      <c r="J28">
        <f>SUMPRODUCT((M_BOM[RM_Code]=$A28)*M_BOM[RM_Qty_Per_Batch]*IFERROR(INDEX(PP_Grid[#Data],M_BOM[PPGridRow],10),0))</f>
        <v/>
      </c>
      <c r="K28">
        <f>SUMPRODUCT((M_BOM[RM_Code]=$A28)*M_BOM[RM_Qty_Per_Batch]*IFERROR(INDEX(PP_Grid[#Data],M_BOM[PPGridRow],11),0))</f>
        <v/>
      </c>
      <c r="L28">
        <f>SUMPRODUCT((M_BOM[RM_Code]=$A28)*M_BOM[RM_Qty_Per_Batch]*IFERROR(INDEX(PP_Grid[#Data],M_BOM[PPGridRow],12),0))</f>
        <v/>
      </c>
      <c r="M28">
        <f>SUMPRODUCT((M_BOM[RM_Code]=$A28)*M_BOM[RM_Qty_Per_Batch]*IFERROR(INDEX(PP_Grid[#Data],M_BOM[PPGridRow],13),0))</f>
        <v/>
      </c>
      <c r="N28">
        <f>SUMPRODUCT((M_BOM[RM_Code]=$A28)*M_BOM[RM_Qty_Per_Batch]*IFERROR(INDEX(PP_Grid[#Data],M_BOM[PPGridRow],14),0))</f>
        <v/>
      </c>
      <c r="O28">
        <f>SUMPRODUCT((M_BOM[RM_Code]=$A28)*M_BOM[RM_Qty_Per_Batch]*IFERROR(INDEX(PP_Grid[#Data],M_BOM[PPGridRow],15),0))</f>
        <v/>
      </c>
      <c r="P28">
        <f>SUMPRODUCT((M_BOM[RM_Code]=$A28)*M_BOM[RM_Qty_Per_Batch]*IFERROR(INDEX(PP_Grid[#Data],M_BOM[PPGridRow],16),0))</f>
        <v/>
      </c>
      <c r="Q28">
        <f>SUMPRODUCT((M_BOM[RM_Code]=$A28)*M_BOM[RM_Qty_Per_Batch]*IFERROR(INDEX(PP_Grid[#Data],M_BOM[PPGridRow],17),0))</f>
        <v/>
      </c>
      <c r="R28">
        <f>SUMPRODUCT((M_BOM[RM_Code]=$A28)*M_BOM[RM_Qty_Per_Batch]*IFERROR(INDEX(PP_Grid[#Data],M_BOM[PPGridRow],18),0))</f>
        <v/>
      </c>
      <c r="S28">
        <f>SUMPRODUCT((M_BOM[RM_Code]=$A28)*M_BOM[RM_Qty_Per_Batch]*IFERROR(INDEX(PP_Grid[#Data],M_BOM[PPGridRow],19),0))</f>
        <v/>
      </c>
      <c r="T28">
        <f>SUMPRODUCT((M_BOM[RM_Code]=$A28)*M_BOM[RM_Qty_Per_Batch]*IFERROR(INDEX(PP_Grid[#Data],M_BOM[PPGridRow],20),0))</f>
        <v/>
      </c>
      <c r="U28">
        <f>SUMPRODUCT((M_BOM[RM_Code]=$A28)*M_BOM[RM_Qty_Per_Batch]*IFERROR(INDEX(PP_Grid[#Data],M_BOM[PPGridRow],21),0))</f>
        <v/>
      </c>
      <c r="V28">
        <f>SUMPRODUCT((M_BOM[RM_Code]=$A28)*M_BOM[RM_Qty_Per_Batch]*IFERROR(INDEX(PP_Grid[#Data],M_BOM[PPGridRow],22),0))</f>
        <v/>
      </c>
      <c r="W28">
        <f>SUMPRODUCT((M_BOM[RM_Code]=$A28)*M_BOM[RM_Qty_Per_Batch]*IFERROR(INDEX(PP_Grid[#Data],M_BOM[PPGridRow],23),0))</f>
        <v/>
      </c>
      <c r="X28">
        <f>SUMPRODUCT((M_BOM[RM_Code]=$A28)*M_BOM[RM_Qty_Per_Batch]*IFERROR(INDEX(PP_Grid[#Data],M_BOM[PPGridRow],24),0))</f>
        <v/>
      </c>
      <c r="Y28">
        <f>SUMPRODUCT((M_BOM[RM_Code]=$A28)*M_BOM[RM_Qty_Per_Batch]*IFERROR(INDEX(PP_Grid[#Data],M_BOM[PPGridRow],25),0))</f>
        <v/>
      </c>
      <c r="Z28">
        <f>SUMPRODUCT((M_BOM[RM_Code]=$A28)*M_BOM[RM_Qty_Per_Batch]*IFERROR(INDEX(PP_Grid[#Data],M_BOM[PPGridRow],26),0))</f>
        <v/>
      </c>
      <c r="AA28">
        <f>SUMPRODUCT((M_BOM[RM_Code]=$A28)*M_BOM[RM_Qty_Per_Batch]*IFERROR(INDEX(PP_Grid[#Data],M_BOM[PPGridRow],27),0))</f>
        <v/>
      </c>
      <c r="AB28">
        <f>SUMPRODUCT((M_BOM[RM_Code]=$A28)*M_BOM[RM_Qty_Per_Batch]*IFERROR(INDEX(PP_Grid[#Data],M_BOM[PPGridRow],28),0))</f>
        <v/>
      </c>
      <c r="AC28">
        <f>SUMPRODUCT((M_BOM[RM_Code]=$A28)*M_BOM[RM_Qty_Per_Batch]*IFERROR(INDEX(PP_Grid[#Data],M_BOM[PPGridRow],29),0))</f>
        <v/>
      </c>
      <c r="AD28">
        <f>SUMPRODUCT((M_BOM[RM_Code]=$A28)*M_BOM[RM_Qty_Per_Batch]*IFERROR(INDEX(PP_Grid[#Data],M_BOM[PPGridRow],30),0))</f>
        <v/>
      </c>
      <c r="AE28">
        <f>SUMPRODUCT((M_BOM[RM_Code]=$A28)*M_BOM[RM_Qty_Per_Batch]*IFERROR(INDEX(PP_Grid[#Data],M_BOM[PPGridRow],31),0))</f>
        <v/>
      </c>
      <c r="AF28">
        <f>SUMPRODUCT((M_BOM[RM_Code]=$A28)*M_BOM[RM_Qty_Per_Batch]*IFERROR(INDEX(PP_Grid[#Data],M_BOM[PPGridRow],32),0))</f>
        <v/>
      </c>
      <c r="AG28">
        <f>SUMPRODUCT((M_BOM[RM_Code]=$A28)*M_BOM[RM_Qty_Per_Batch]*IFERROR(INDEX(PP_Grid[#Data],M_BOM[PPGridRow],33),0))</f>
        <v/>
      </c>
      <c r="AH28">
        <f>SUMPRODUCT((M_BOM[RM_Code]=$A28)*M_BOM[RM_Qty_Per_Batch]*IFERROR(INDEX(PP_Grid[#Data],M_BOM[PPGridRow],34),0))</f>
        <v/>
      </c>
      <c r="AI28">
        <f>SUMPRODUCT((M_BOM[RM_Code]=$A28)*M_BOM[RM_Qty_Per_Batch]*IFERROR(INDEX(PP_Grid[#Data],M_BOM[PPGridRow],35),0))</f>
        <v/>
      </c>
      <c r="AJ28">
        <f>SUMPRODUCT((M_BOM[RM_Code]=$A28)*M_BOM[RM_Qty_Per_Batch]*IFERROR(INDEX(PP_Grid[#Data],M_BOM[PPGridRow],36),0))</f>
        <v/>
      </c>
      <c r="AK28">
        <f>SUMPRODUCT((M_BOM[RM_Code]=$A28)*M_BOM[RM_Qty_Per_Batch]*IFERROR(INDEX(PP_Grid[#Data],M_BOM[PPGridRow],37),0))</f>
        <v/>
      </c>
      <c r="AL28">
        <f>SUMPRODUCT((M_BOM[RM_Code]=$A28)*M_BOM[RM_Qty_Per_Batch]*IFERROR(INDEX(PP_Grid[#Data],M_BOM[PPGridRow],38),0))</f>
        <v/>
      </c>
      <c r="AM28">
        <f>SUMPRODUCT((M_BOM[RM_Code]=$A28)*M_BOM[RM_Qty_Per_Batch]*IFERROR(INDEX(PP_Grid[#Data],M_BOM[PPGridRow],39),0))</f>
        <v/>
      </c>
      <c r="AN28">
        <f>SUMPRODUCT((M_BOM[RM_Code]=$A28)*M_BOM[RM_Qty_Per_Batch]*IFERROR(INDEX(PP_Grid[#Data],M_BOM[PPGridRow],40),0))</f>
        <v/>
      </c>
      <c r="AO28">
        <f>SUMPRODUCT((M_BOM[RM_Code]=$A28)*M_BOM[RM_Qty_Per_Batch]*IFERROR(INDEX(PP_Grid[#Data],M_BOM[PPGridRow],41),0))</f>
        <v/>
      </c>
      <c r="AP28">
        <f>SUMPRODUCT((M_BOM[RM_Code]=$A28)*M_BOM[RM_Qty_Per_Batch]*IFERROR(INDEX(PP_Grid[#Data],M_BOM[PPGridRow],42),0))</f>
        <v/>
      </c>
      <c r="AQ28">
        <f>SUMPRODUCT((M_BOM[RM_Code]=$A28)*M_BOM[RM_Qty_Per_Batch]*IFERROR(INDEX(PP_Grid[#Data],M_BOM[PPGridRow],43),0))</f>
        <v/>
      </c>
      <c r="AR28">
        <f>SUMPRODUCT((M_BOM[RM_Code]=$A28)*M_BOM[RM_Qty_Per_Batch]*IFERROR(INDEX(PP_Grid[#Data],M_BOM[PPGridRow],44),0))</f>
        <v/>
      </c>
      <c r="AS28">
        <f>SUMPRODUCT((M_BOM[RM_Code]=$A28)*M_BOM[RM_Qty_Per_Batch]*IFERROR(INDEX(PP_Grid[#Data],M_BOM[PPGridRow],45),0))</f>
        <v/>
      </c>
      <c r="AT28">
        <f>SUMPRODUCT((M_BOM[RM_Code]=$A28)*M_BOM[RM_Qty_Per_Batch]*IFERROR(INDEX(PP_Grid[#Data],M_BOM[PPGridRow],46),0))</f>
        <v/>
      </c>
      <c r="AU28">
        <f>SUMPRODUCT((M_BOM[RM_Code]=$A28)*M_BOM[RM_Qty_Per_Batch]*IFERROR(INDEX(PP_Grid[#Data],M_BOM[PPGridRow],47),0))</f>
        <v/>
      </c>
      <c r="AV28">
        <f>SUMPRODUCT((M_BOM[RM_Code]=$A28)*M_BOM[RM_Qty_Per_Batch]*IFERROR(INDEX(PP_Grid[#Data],M_BOM[PPGridRow],48),0))</f>
        <v/>
      </c>
      <c r="AW28">
        <f>SUMPRODUCT((M_BOM[RM_Code]=$A28)*M_BOM[RM_Qty_Per_Batch]*IFERROR(INDEX(PP_Grid[#Data],M_BOM[PPGridRow],49),0))</f>
        <v/>
      </c>
      <c r="AX28">
        <f>SUMPRODUCT((M_BOM[RM_Code]=$A28)*M_BOM[RM_Qty_Per_Batch]*IFERROR(INDEX(PP_Grid[#Data],M_BOM[PPGridRow],50),0))</f>
        <v/>
      </c>
      <c r="AY28">
        <f>SUMPRODUCT((M_BOM[RM_Code]=$A28)*M_BOM[RM_Qty_Per_Batch]*IFERROR(INDEX(PP_Grid[#Data],M_BOM[PPGridRow],51),0))</f>
        <v/>
      </c>
      <c r="AZ28">
        <f>SUMPRODUCT((M_BOM[RM_Code]=$A28)*M_BOM[RM_Qty_Per_Batch]*IFERROR(INDEX(PP_Grid[#Data],M_BOM[PPGridRow],52),0))</f>
        <v/>
      </c>
      <c r="BA28">
        <f>SUMPRODUCT((M_BOM[RM_Code]=$A28)*M_BOM[RM_Qty_Per_Batch]*IFERROR(INDEX(PP_Grid[#Data],M_BOM[PPGridRow],53),0))</f>
        <v/>
      </c>
      <c r="BB28">
        <f>SUMPRODUCT((M_BOM[RM_Code]=$A28)*M_BOM[RM_Qty_Per_Batch]*IFERROR(INDEX(PP_Grid[#Data],M_BOM[PPGridRow],54),0))</f>
        <v/>
      </c>
      <c r="BC28">
        <f>SUMPRODUCT((M_BOM[RM_Code]=$A28)*M_BOM[RM_Qty_Per_Batch]*IFERROR(INDEX(PP_Grid[#Data],M_BOM[PPGridRow],55),0))</f>
        <v/>
      </c>
      <c r="BD28">
        <f>SUMPRODUCT((M_BOM[RM_Code]=$A28)*M_BOM[RM_Qty_Per_Batch]*IFERROR(INDEX(PP_Grid[#Data],M_BOM[PPGridRow],56),0))</f>
        <v/>
      </c>
      <c r="BE28">
        <f>SUMPRODUCT((M_BOM[RM_Code]=$A28)*M_BOM[RM_Qty_Per_Batch]*IFERROR(INDEX(PP_Grid[#Data],M_BOM[PPGridRow],57),0))</f>
        <v/>
      </c>
      <c r="BF28">
        <f>SUMPRODUCT((M_BOM[RM_Code]=$A28)*M_BOM[RM_Qty_Per_Batch]*IFERROR(INDEX(PP_Grid[#Data],M_BOM[PPGridRow],58),0))</f>
        <v/>
      </c>
      <c r="BG28">
        <f>SUMPRODUCT((M_BOM[RM_Code]=$A28)*M_BOM[RM_Qty_Per_Batch]*IFERROR(INDEX(PP_Grid[#Data],M_BOM[PPGridRow],59),0))</f>
        <v/>
      </c>
      <c r="BH28">
        <f>SUMPRODUCT((M_BOM[RM_Code]=$A28)*M_BOM[RM_Qty_Per_Batch]*IFERROR(INDEX(PP_Grid[#Data],M_BOM[PPGridRow],60),0))</f>
        <v/>
      </c>
      <c r="BI28">
        <f>SUMPRODUCT((M_BOM[RM_Code]=$A28)*M_BOM[RM_Qty_Per_Batch]*IFERROR(INDEX(PP_Grid[#Data],M_BOM[PPGridRow],61),0))</f>
        <v/>
      </c>
      <c r="BJ28">
        <f>SUMPRODUCT((M_BOM[RM_Code]=$A28)*M_BOM[RM_Qty_Per_Batch]*IFERROR(INDEX(PP_Grid[#Data],M_BOM[PPGridRow],62),0))</f>
        <v/>
      </c>
      <c r="BK28">
        <f>SUMPRODUCT((M_BOM[RM_Code]=$A28)*M_BOM[RM_Qty_Per_Batch]*IFERROR(INDEX(PP_Grid[#Data],M_BOM[PPGridRow],63),0))</f>
        <v/>
      </c>
      <c r="BL28">
        <f>SUMPRODUCT((M_BOM[RM_Code]=$A28)*M_BOM[RM_Qty_Per_Batch]*IFERROR(INDEX(PP_Grid[#Data],M_BOM[PPGridRow],64),0))</f>
        <v/>
      </c>
      <c r="BM28">
        <f>SUMPRODUCT((M_BOM[RM_Code]=$A28)*M_BOM[RM_Qty_Per_Batch]*IFERROR(INDEX(PP_Grid[#Data],M_BOM[PPGridRow],65),0))</f>
        <v/>
      </c>
      <c r="BN28">
        <f>SUMPRODUCT((M_BOM[RM_Code]=$A28)*M_BOM[RM_Qty_Per_Batch]*IFERROR(INDEX(PP_Grid[#Data],M_BOM[PPGridRow],66),0))</f>
        <v/>
      </c>
      <c r="BO28">
        <f>SUMPRODUCT((M_BOM[RM_Code]=$A28)*M_BOM[RM_Qty_Per_Batch]*IFERROR(INDEX(PP_Grid[#Data],M_BOM[PPGridRow],67),0))</f>
        <v/>
      </c>
      <c r="BP28">
        <f>SUMPRODUCT((M_BOM[RM_Code]=$A28)*M_BOM[RM_Qty_Per_Batch]*IFERROR(INDEX(PP_Grid[#Data],M_BOM[PPGridRow],68),0))</f>
        <v/>
      </c>
      <c r="BQ28">
        <f>SUMPRODUCT((M_BOM[RM_Code]=$A28)*M_BOM[RM_Qty_Per_Batch]*IFERROR(INDEX(PP_Grid[#Data],M_BOM[PPGridRow],69),0))</f>
        <v/>
      </c>
      <c r="BR28">
        <f>SUMPRODUCT((M_BOM[RM_Code]=$A28)*M_BOM[RM_Qty_Per_Batch]*IFERROR(INDEX(PP_Grid[#Data],M_BOM[PPGridRow],70),0))</f>
        <v/>
      </c>
      <c r="BS28">
        <f>SUMPRODUCT((M_BOM[RM_Code]=$A28)*M_BOM[RM_Qty_Per_Batch]*IFERROR(INDEX(PP_Grid[#Data],M_BOM[PPGridRow],71),0))</f>
        <v/>
      </c>
      <c r="BT28">
        <f>SUMPRODUCT((M_BOM[RM_Code]=$A28)*M_BOM[RM_Qty_Per_Batch]*IFERROR(INDEX(PP_Grid[#Data],M_BOM[PPGridRow],72),0))</f>
        <v/>
      </c>
      <c r="BU28">
        <f>SUMPRODUCT((M_BOM[RM_Code]=$A28)*M_BOM[RM_Qty_Per_Batch]*IFERROR(INDEX(PP_Grid[#Data],M_BOM[PPGridRow],73),0))</f>
        <v/>
      </c>
      <c r="BV28">
        <f>SUMPRODUCT((M_BOM[RM_Code]=$A28)*M_BOM[RM_Qty_Per_Batch]*IFERROR(INDEX(PP_Grid[#Data],M_BOM[PPGridRow],74),0))</f>
        <v/>
      </c>
      <c r="BW28">
        <f>SUMPRODUCT((M_BOM[RM_Code]=$A28)*M_BOM[RM_Qty_Per_Batch]*IFERROR(INDEX(PP_Grid[#Data],M_BOM[PPGridRow],75),0))</f>
        <v/>
      </c>
      <c r="BX28">
        <f>SUMPRODUCT((M_BOM[RM_Code]=$A28)*M_BOM[RM_Qty_Per_Batch]*IFERROR(INDEX(PP_Grid[#Data],M_BOM[PPGridRow],76),0))</f>
        <v/>
      </c>
      <c r="BY28">
        <f>SUMPRODUCT((M_BOM[RM_Code]=$A28)*M_BOM[RM_Qty_Per_Batch]*IFERROR(INDEX(PP_Grid[#Data],M_BOM[PPGridRow],77),0))</f>
        <v/>
      </c>
      <c r="BZ28">
        <f>SUMPRODUCT((M_BOM[RM_Code]=$A28)*M_BOM[RM_Qty_Per_Batch]*IFERROR(INDEX(PP_Grid[#Data],M_BOM[PPGridRow],78),0))</f>
        <v/>
      </c>
      <c r="CA28">
        <f>SUMPRODUCT((M_BOM[RM_Code]=$A28)*M_BOM[RM_Qty_Per_Batch]*IFERROR(INDEX(PP_Grid[#Data],M_BOM[PPGridRow],79),0))</f>
        <v/>
      </c>
      <c r="CB28">
        <f>SUMPRODUCT((M_BOM[RM_Code]=$A28)*M_BOM[RM_Qty_Per_Batch]*IFERROR(INDEX(PP_Grid[#Data],M_BOM[PPGridRow],80),0))</f>
        <v/>
      </c>
      <c r="CC28">
        <f>SUMPRODUCT((M_BOM[RM_Code]=$A28)*M_BOM[RM_Qty_Per_Batch]*IFERROR(INDEX(PP_Grid[#Data],M_BOM[PPGridRow],81),0))</f>
        <v/>
      </c>
      <c r="CD28">
        <f>SUMPRODUCT((M_BOM[RM_Code]=$A28)*M_BOM[RM_Qty_Per_Batch]*IFERROR(INDEX(PP_Grid[#Data],M_BOM[PPGridRow],82),0))</f>
        <v/>
      </c>
      <c r="CE28">
        <f>SUMPRODUCT((M_BOM[RM_Code]=$A28)*M_BOM[RM_Qty_Per_Batch]*IFERROR(INDEX(PP_Grid[#Data],M_BOM[PPGridRow],83),0))</f>
        <v/>
      </c>
      <c r="CF28">
        <f>SUMPRODUCT((M_BOM[RM_Code]=$A28)*M_BOM[RM_Qty_Per_Batch]*IFERROR(INDEX(PP_Grid[#Data],M_BOM[PPGridRow],84),0))</f>
        <v/>
      </c>
      <c r="CG28">
        <f>SUMPRODUCT((M_BOM[RM_Code]=$A28)*M_BOM[RM_Qty_Per_Batch]*IFERROR(INDEX(PP_Grid[#Data],M_BOM[PPGridRow],85),0))</f>
        <v/>
      </c>
      <c r="CH28">
        <f>SUMPRODUCT((M_BOM[RM_Code]=$A28)*M_BOM[RM_Qty_Per_Batch]*IFERROR(INDEX(PP_Grid[#Data],M_BOM[PPGridRow],86),0))</f>
        <v/>
      </c>
      <c r="CI28">
        <f>SUMPRODUCT((M_BOM[RM_Code]=$A28)*M_BOM[RM_Qty_Per_Batch]*IFERROR(INDEX(PP_Grid[#Data],M_BOM[PPGridRow],87),0))</f>
        <v/>
      </c>
      <c r="CJ28">
        <f>SUMPRODUCT((M_BOM[RM_Code]=$A28)*M_BOM[RM_Qty_Per_Batch]*IFERROR(INDEX(PP_Grid[#Data],M_BOM[PPGridRow],88),0))</f>
        <v/>
      </c>
      <c r="CK28">
        <f>SUMPRODUCT((M_BOM[RM_Code]=$A28)*M_BOM[RM_Qty_Per_Batch]*IFERROR(INDEX(PP_Grid[#Data],M_BOM[PPGridRow],89),0))</f>
        <v/>
      </c>
      <c r="CL28">
        <f>SUMPRODUCT((M_BOM[RM_Code]=$A28)*M_BOM[RM_Qty_Per_Batch]*IFERROR(INDEX(PP_Grid[#Data],M_BOM[PPGridRow],90),0))</f>
        <v/>
      </c>
      <c r="CM28">
        <f>SUMPRODUCT((M_BOM[RM_Code]=$A28)*M_BOM[RM_Qty_Per_Batch]*IFERROR(INDEX(PP_Grid[#Data],M_BOM[PPGridRow],91),0))</f>
        <v/>
      </c>
      <c r="CN28">
        <f>SUMPRODUCT((M_BOM[RM_Code]=$A28)*M_BOM[RM_Qty_Per_Batch]*IFERROR(INDEX(PP_Grid[#Data],M_BOM[PPGridRow],92),0))</f>
        <v/>
      </c>
      <c r="CO28">
        <f>SUMPRODUCT((M_BOM[RM_Code]=$A28)*M_BOM[RM_Qty_Per_Batch]*IFERROR(INDEX(PP_Grid[#Data],M_BOM[PPGridRow],93),0))</f>
        <v/>
      </c>
      <c r="CP28">
        <f>SUMPRODUCT((M_BOM[RM_Code]=$A28)*M_BOM[RM_Qty_Per_Batch]*IFERROR(INDEX(PP_Grid[#Data],M_BOM[PPGridRow],94),0))</f>
        <v/>
      </c>
      <c r="CQ28">
        <f>SUMPRODUCT((M_BOM[RM_Code]=$A28)*M_BOM[RM_Qty_Per_Batch]*IFERROR(INDEX(PP_Grid[#Data],M_BOM[PPGridRow],95),0))</f>
        <v/>
      </c>
      <c r="CR28">
        <f>SUMPRODUCT((M_BOM[RM_Code]=$A28)*M_BOM[RM_Qty_Per_Batch]*IFERROR(INDEX(PP_Grid[#Data],M_BOM[PPGridRow],96),0))</f>
        <v/>
      </c>
      <c r="CS28">
        <f>SUMPRODUCT((M_BOM[RM_Code]=$A28)*M_BOM[RM_Qty_Per_Batch]*IFERROR(INDEX(PP_Grid[#Data],M_BOM[PPGridRow],97),0))</f>
        <v/>
      </c>
      <c r="CT28">
        <f>SUMPRODUCT((M_BOM[RM_Code]=$A28)*M_BOM[RM_Qty_Per_Batch]*IFERROR(INDEX(PP_Grid[#Data],M_BOM[PPGridRow],98),0))</f>
        <v/>
      </c>
      <c r="CU28">
        <f>SUMPRODUCT((M_BOM[RM_Code]=$A28)*M_BOM[RM_Qty_Per_Batch]*IFERROR(INDEX(PP_Grid[#Data],M_BOM[PPGridRow],99),0))</f>
        <v/>
      </c>
      <c r="CV28">
        <f>SUMPRODUCT((M_BOM[RM_Code]=$A28)*M_BOM[RM_Qty_Per_Batch]*IFERROR(INDEX(PP_Grid[#Data],M_BOM[PPGridRow],100),0))</f>
        <v/>
      </c>
      <c r="CW28">
        <f>SUMPRODUCT((M_BOM[RM_Code]=$A28)*M_BOM[RM_Qty_Per_Batch]*IFERROR(INDEX(PP_Grid[#Data],M_BOM[PPGridRow],101),0))</f>
        <v/>
      </c>
      <c r="CX28">
        <f>SUMPRODUCT((M_BOM[RM_Code]=$A28)*M_BOM[RM_Qty_Per_Batch]*IFERROR(INDEX(PP_Grid[#Data],M_BOM[PPGridRow],102),0))</f>
        <v/>
      </c>
      <c r="CY28">
        <f>SUMPRODUCT((M_BOM[RM_Code]=$A28)*M_BOM[RM_Qty_Per_Batch]*IFERROR(INDEX(PP_Grid[#Data],M_BOM[PPGridRow],103),0))</f>
        <v/>
      </c>
      <c r="CZ28">
        <f>SUMPRODUCT((M_BOM[RM_Code]=$A28)*M_BOM[RM_Qty_Per_Batch]*IFERROR(INDEX(PP_Grid[#Data],M_BOM[PPGridRow],104),0))</f>
        <v/>
      </c>
      <c r="DA28">
        <f>SUMPRODUCT((M_BOM[RM_Code]=$A28)*M_BOM[RM_Qty_Per_Batch]*IFERROR(INDEX(PP_Grid[#Data],M_BOM[PPGridRow],105),0))</f>
        <v/>
      </c>
    </row>
    <row r="29">
      <c r="A29" t="inlineStr">
        <is>
          <t>PP FILM</t>
        </is>
      </c>
      <c r="B29">
        <f>SUMPRODUCT((M_BOM[RM_Code]=$A29)*M_BOM[RM_Qty_Per_Batch]*IFERROR(INDEX(PP_Grid[#Data],M_BOM[PPGridRow],2),0))</f>
        <v/>
      </c>
      <c r="C29">
        <f>SUMPRODUCT((M_BOM[RM_Code]=$A29)*M_BOM[RM_Qty_Per_Batch]*IFERROR(INDEX(PP_Grid[#Data],M_BOM[PPGridRow],3),0))</f>
        <v/>
      </c>
      <c r="D29">
        <f>SUMPRODUCT((M_BOM[RM_Code]=$A29)*M_BOM[RM_Qty_Per_Batch]*IFERROR(INDEX(PP_Grid[#Data],M_BOM[PPGridRow],4),0))</f>
        <v/>
      </c>
      <c r="E29">
        <f>SUMPRODUCT((M_BOM[RM_Code]=$A29)*M_BOM[RM_Qty_Per_Batch]*IFERROR(INDEX(PP_Grid[#Data],M_BOM[PPGridRow],5),0))</f>
        <v/>
      </c>
      <c r="F29">
        <f>SUMPRODUCT((M_BOM[RM_Code]=$A29)*M_BOM[RM_Qty_Per_Batch]*IFERROR(INDEX(PP_Grid[#Data],M_BOM[PPGridRow],6),0))</f>
        <v/>
      </c>
      <c r="G29">
        <f>SUMPRODUCT((M_BOM[RM_Code]=$A29)*M_BOM[RM_Qty_Per_Batch]*IFERROR(INDEX(PP_Grid[#Data],M_BOM[PPGridRow],7),0))</f>
        <v/>
      </c>
      <c r="H29">
        <f>SUMPRODUCT((M_BOM[RM_Code]=$A29)*M_BOM[RM_Qty_Per_Batch]*IFERROR(INDEX(PP_Grid[#Data],M_BOM[PPGridRow],8),0))</f>
        <v/>
      </c>
      <c r="I29">
        <f>SUMPRODUCT((M_BOM[RM_Code]=$A29)*M_BOM[RM_Qty_Per_Batch]*IFERROR(INDEX(PP_Grid[#Data],M_BOM[PPGridRow],9),0))</f>
        <v/>
      </c>
      <c r="J29">
        <f>SUMPRODUCT((M_BOM[RM_Code]=$A29)*M_BOM[RM_Qty_Per_Batch]*IFERROR(INDEX(PP_Grid[#Data],M_BOM[PPGridRow],10),0))</f>
        <v/>
      </c>
      <c r="K29">
        <f>SUMPRODUCT((M_BOM[RM_Code]=$A29)*M_BOM[RM_Qty_Per_Batch]*IFERROR(INDEX(PP_Grid[#Data],M_BOM[PPGridRow],11),0))</f>
        <v/>
      </c>
      <c r="L29">
        <f>SUMPRODUCT((M_BOM[RM_Code]=$A29)*M_BOM[RM_Qty_Per_Batch]*IFERROR(INDEX(PP_Grid[#Data],M_BOM[PPGridRow],12),0))</f>
        <v/>
      </c>
      <c r="M29">
        <f>SUMPRODUCT((M_BOM[RM_Code]=$A29)*M_BOM[RM_Qty_Per_Batch]*IFERROR(INDEX(PP_Grid[#Data],M_BOM[PPGridRow],13),0))</f>
        <v/>
      </c>
      <c r="N29">
        <f>SUMPRODUCT((M_BOM[RM_Code]=$A29)*M_BOM[RM_Qty_Per_Batch]*IFERROR(INDEX(PP_Grid[#Data],M_BOM[PPGridRow],14),0))</f>
        <v/>
      </c>
      <c r="O29">
        <f>SUMPRODUCT((M_BOM[RM_Code]=$A29)*M_BOM[RM_Qty_Per_Batch]*IFERROR(INDEX(PP_Grid[#Data],M_BOM[PPGridRow],15),0))</f>
        <v/>
      </c>
      <c r="P29">
        <f>SUMPRODUCT((M_BOM[RM_Code]=$A29)*M_BOM[RM_Qty_Per_Batch]*IFERROR(INDEX(PP_Grid[#Data],M_BOM[PPGridRow],16),0))</f>
        <v/>
      </c>
      <c r="Q29">
        <f>SUMPRODUCT((M_BOM[RM_Code]=$A29)*M_BOM[RM_Qty_Per_Batch]*IFERROR(INDEX(PP_Grid[#Data],M_BOM[PPGridRow],17),0))</f>
        <v/>
      </c>
      <c r="R29">
        <f>SUMPRODUCT((M_BOM[RM_Code]=$A29)*M_BOM[RM_Qty_Per_Batch]*IFERROR(INDEX(PP_Grid[#Data],M_BOM[PPGridRow],18),0))</f>
        <v/>
      </c>
      <c r="S29">
        <f>SUMPRODUCT((M_BOM[RM_Code]=$A29)*M_BOM[RM_Qty_Per_Batch]*IFERROR(INDEX(PP_Grid[#Data],M_BOM[PPGridRow],19),0))</f>
        <v/>
      </c>
      <c r="T29">
        <f>SUMPRODUCT((M_BOM[RM_Code]=$A29)*M_BOM[RM_Qty_Per_Batch]*IFERROR(INDEX(PP_Grid[#Data],M_BOM[PPGridRow],20),0))</f>
        <v/>
      </c>
      <c r="U29">
        <f>SUMPRODUCT((M_BOM[RM_Code]=$A29)*M_BOM[RM_Qty_Per_Batch]*IFERROR(INDEX(PP_Grid[#Data],M_BOM[PPGridRow],21),0))</f>
        <v/>
      </c>
      <c r="V29">
        <f>SUMPRODUCT((M_BOM[RM_Code]=$A29)*M_BOM[RM_Qty_Per_Batch]*IFERROR(INDEX(PP_Grid[#Data],M_BOM[PPGridRow],22),0))</f>
        <v/>
      </c>
      <c r="W29">
        <f>SUMPRODUCT((M_BOM[RM_Code]=$A29)*M_BOM[RM_Qty_Per_Batch]*IFERROR(INDEX(PP_Grid[#Data],M_BOM[PPGridRow],23),0))</f>
        <v/>
      </c>
      <c r="X29">
        <f>SUMPRODUCT((M_BOM[RM_Code]=$A29)*M_BOM[RM_Qty_Per_Batch]*IFERROR(INDEX(PP_Grid[#Data],M_BOM[PPGridRow],24),0))</f>
        <v/>
      </c>
      <c r="Y29">
        <f>SUMPRODUCT((M_BOM[RM_Code]=$A29)*M_BOM[RM_Qty_Per_Batch]*IFERROR(INDEX(PP_Grid[#Data],M_BOM[PPGridRow],25),0))</f>
        <v/>
      </c>
      <c r="Z29">
        <f>SUMPRODUCT((M_BOM[RM_Code]=$A29)*M_BOM[RM_Qty_Per_Batch]*IFERROR(INDEX(PP_Grid[#Data],M_BOM[PPGridRow],26),0))</f>
        <v/>
      </c>
      <c r="AA29">
        <f>SUMPRODUCT((M_BOM[RM_Code]=$A29)*M_BOM[RM_Qty_Per_Batch]*IFERROR(INDEX(PP_Grid[#Data],M_BOM[PPGridRow],27),0))</f>
        <v/>
      </c>
      <c r="AB29">
        <f>SUMPRODUCT((M_BOM[RM_Code]=$A29)*M_BOM[RM_Qty_Per_Batch]*IFERROR(INDEX(PP_Grid[#Data],M_BOM[PPGridRow],28),0))</f>
        <v/>
      </c>
      <c r="AC29">
        <f>SUMPRODUCT((M_BOM[RM_Code]=$A29)*M_BOM[RM_Qty_Per_Batch]*IFERROR(INDEX(PP_Grid[#Data],M_BOM[PPGridRow],29),0))</f>
        <v/>
      </c>
      <c r="AD29">
        <f>SUMPRODUCT((M_BOM[RM_Code]=$A29)*M_BOM[RM_Qty_Per_Batch]*IFERROR(INDEX(PP_Grid[#Data],M_BOM[PPGridRow],30),0))</f>
        <v/>
      </c>
      <c r="AE29">
        <f>SUMPRODUCT((M_BOM[RM_Code]=$A29)*M_BOM[RM_Qty_Per_Batch]*IFERROR(INDEX(PP_Grid[#Data],M_BOM[PPGridRow],31),0))</f>
        <v/>
      </c>
      <c r="AF29">
        <f>SUMPRODUCT((M_BOM[RM_Code]=$A29)*M_BOM[RM_Qty_Per_Batch]*IFERROR(INDEX(PP_Grid[#Data],M_BOM[PPGridRow],32),0))</f>
        <v/>
      </c>
      <c r="AG29">
        <f>SUMPRODUCT((M_BOM[RM_Code]=$A29)*M_BOM[RM_Qty_Per_Batch]*IFERROR(INDEX(PP_Grid[#Data],M_BOM[PPGridRow],33),0))</f>
        <v/>
      </c>
      <c r="AH29">
        <f>SUMPRODUCT((M_BOM[RM_Code]=$A29)*M_BOM[RM_Qty_Per_Batch]*IFERROR(INDEX(PP_Grid[#Data],M_BOM[PPGridRow],34),0))</f>
        <v/>
      </c>
      <c r="AI29">
        <f>SUMPRODUCT((M_BOM[RM_Code]=$A29)*M_BOM[RM_Qty_Per_Batch]*IFERROR(INDEX(PP_Grid[#Data],M_BOM[PPGridRow],35),0))</f>
        <v/>
      </c>
      <c r="AJ29">
        <f>SUMPRODUCT((M_BOM[RM_Code]=$A29)*M_BOM[RM_Qty_Per_Batch]*IFERROR(INDEX(PP_Grid[#Data],M_BOM[PPGridRow],36),0))</f>
        <v/>
      </c>
      <c r="AK29">
        <f>SUMPRODUCT((M_BOM[RM_Code]=$A29)*M_BOM[RM_Qty_Per_Batch]*IFERROR(INDEX(PP_Grid[#Data],M_BOM[PPGridRow],37),0))</f>
        <v/>
      </c>
      <c r="AL29">
        <f>SUMPRODUCT((M_BOM[RM_Code]=$A29)*M_BOM[RM_Qty_Per_Batch]*IFERROR(INDEX(PP_Grid[#Data],M_BOM[PPGridRow],38),0))</f>
        <v/>
      </c>
      <c r="AM29">
        <f>SUMPRODUCT((M_BOM[RM_Code]=$A29)*M_BOM[RM_Qty_Per_Batch]*IFERROR(INDEX(PP_Grid[#Data],M_BOM[PPGridRow],39),0))</f>
        <v/>
      </c>
      <c r="AN29">
        <f>SUMPRODUCT((M_BOM[RM_Code]=$A29)*M_BOM[RM_Qty_Per_Batch]*IFERROR(INDEX(PP_Grid[#Data],M_BOM[PPGridRow],40),0))</f>
        <v/>
      </c>
      <c r="AO29">
        <f>SUMPRODUCT((M_BOM[RM_Code]=$A29)*M_BOM[RM_Qty_Per_Batch]*IFERROR(INDEX(PP_Grid[#Data],M_BOM[PPGridRow],41),0))</f>
        <v/>
      </c>
      <c r="AP29">
        <f>SUMPRODUCT((M_BOM[RM_Code]=$A29)*M_BOM[RM_Qty_Per_Batch]*IFERROR(INDEX(PP_Grid[#Data],M_BOM[PPGridRow],42),0))</f>
        <v/>
      </c>
      <c r="AQ29">
        <f>SUMPRODUCT((M_BOM[RM_Code]=$A29)*M_BOM[RM_Qty_Per_Batch]*IFERROR(INDEX(PP_Grid[#Data],M_BOM[PPGridRow],43),0))</f>
        <v/>
      </c>
      <c r="AR29">
        <f>SUMPRODUCT((M_BOM[RM_Code]=$A29)*M_BOM[RM_Qty_Per_Batch]*IFERROR(INDEX(PP_Grid[#Data],M_BOM[PPGridRow],44),0))</f>
        <v/>
      </c>
      <c r="AS29">
        <f>SUMPRODUCT((M_BOM[RM_Code]=$A29)*M_BOM[RM_Qty_Per_Batch]*IFERROR(INDEX(PP_Grid[#Data],M_BOM[PPGridRow],45),0))</f>
        <v/>
      </c>
      <c r="AT29">
        <f>SUMPRODUCT((M_BOM[RM_Code]=$A29)*M_BOM[RM_Qty_Per_Batch]*IFERROR(INDEX(PP_Grid[#Data],M_BOM[PPGridRow],46),0))</f>
        <v/>
      </c>
      <c r="AU29">
        <f>SUMPRODUCT((M_BOM[RM_Code]=$A29)*M_BOM[RM_Qty_Per_Batch]*IFERROR(INDEX(PP_Grid[#Data],M_BOM[PPGridRow],47),0))</f>
        <v/>
      </c>
      <c r="AV29">
        <f>SUMPRODUCT((M_BOM[RM_Code]=$A29)*M_BOM[RM_Qty_Per_Batch]*IFERROR(INDEX(PP_Grid[#Data],M_BOM[PPGridRow],48),0))</f>
        <v/>
      </c>
      <c r="AW29">
        <f>SUMPRODUCT((M_BOM[RM_Code]=$A29)*M_BOM[RM_Qty_Per_Batch]*IFERROR(INDEX(PP_Grid[#Data],M_BOM[PPGridRow],49),0))</f>
        <v/>
      </c>
      <c r="AX29">
        <f>SUMPRODUCT((M_BOM[RM_Code]=$A29)*M_BOM[RM_Qty_Per_Batch]*IFERROR(INDEX(PP_Grid[#Data],M_BOM[PPGridRow],50),0))</f>
        <v/>
      </c>
      <c r="AY29">
        <f>SUMPRODUCT((M_BOM[RM_Code]=$A29)*M_BOM[RM_Qty_Per_Batch]*IFERROR(INDEX(PP_Grid[#Data],M_BOM[PPGridRow],51),0))</f>
        <v/>
      </c>
      <c r="AZ29">
        <f>SUMPRODUCT((M_BOM[RM_Code]=$A29)*M_BOM[RM_Qty_Per_Batch]*IFERROR(INDEX(PP_Grid[#Data],M_BOM[PPGridRow],52),0))</f>
        <v/>
      </c>
      <c r="BA29">
        <f>SUMPRODUCT((M_BOM[RM_Code]=$A29)*M_BOM[RM_Qty_Per_Batch]*IFERROR(INDEX(PP_Grid[#Data],M_BOM[PPGridRow],53),0))</f>
        <v/>
      </c>
      <c r="BB29">
        <f>SUMPRODUCT((M_BOM[RM_Code]=$A29)*M_BOM[RM_Qty_Per_Batch]*IFERROR(INDEX(PP_Grid[#Data],M_BOM[PPGridRow],54),0))</f>
        <v/>
      </c>
      <c r="BC29">
        <f>SUMPRODUCT((M_BOM[RM_Code]=$A29)*M_BOM[RM_Qty_Per_Batch]*IFERROR(INDEX(PP_Grid[#Data],M_BOM[PPGridRow],55),0))</f>
        <v/>
      </c>
      <c r="BD29">
        <f>SUMPRODUCT((M_BOM[RM_Code]=$A29)*M_BOM[RM_Qty_Per_Batch]*IFERROR(INDEX(PP_Grid[#Data],M_BOM[PPGridRow],56),0))</f>
        <v/>
      </c>
      <c r="BE29">
        <f>SUMPRODUCT((M_BOM[RM_Code]=$A29)*M_BOM[RM_Qty_Per_Batch]*IFERROR(INDEX(PP_Grid[#Data],M_BOM[PPGridRow],57),0))</f>
        <v/>
      </c>
      <c r="BF29">
        <f>SUMPRODUCT((M_BOM[RM_Code]=$A29)*M_BOM[RM_Qty_Per_Batch]*IFERROR(INDEX(PP_Grid[#Data],M_BOM[PPGridRow],58),0))</f>
        <v/>
      </c>
      <c r="BG29">
        <f>SUMPRODUCT((M_BOM[RM_Code]=$A29)*M_BOM[RM_Qty_Per_Batch]*IFERROR(INDEX(PP_Grid[#Data],M_BOM[PPGridRow],59),0))</f>
        <v/>
      </c>
      <c r="BH29">
        <f>SUMPRODUCT((M_BOM[RM_Code]=$A29)*M_BOM[RM_Qty_Per_Batch]*IFERROR(INDEX(PP_Grid[#Data],M_BOM[PPGridRow],60),0))</f>
        <v/>
      </c>
      <c r="BI29">
        <f>SUMPRODUCT((M_BOM[RM_Code]=$A29)*M_BOM[RM_Qty_Per_Batch]*IFERROR(INDEX(PP_Grid[#Data],M_BOM[PPGridRow],61),0))</f>
        <v/>
      </c>
      <c r="BJ29">
        <f>SUMPRODUCT((M_BOM[RM_Code]=$A29)*M_BOM[RM_Qty_Per_Batch]*IFERROR(INDEX(PP_Grid[#Data],M_BOM[PPGridRow],62),0))</f>
        <v/>
      </c>
      <c r="BK29">
        <f>SUMPRODUCT((M_BOM[RM_Code]=$A29)*M_BOM[RM_Qty_Per_Batch]*IFERROR(INDEX(PP_Grid[#Data],M_BOM[PPGridRow],63),0))</f>
        <v/>
      </c>
      <c r="BL29">
        <f>SUMPRODUCT((M_BOM[RM_Code]=$A29)*M_BOM[RM_Qty_Per_Batch]*IFERROR(INDEX(PP_Grid[#Data],M_BOM[PPGridRow],64),0))</f>
        <v/>
      </c>
      <c r="BM29">
        <f>SUMPRODUCT((M_BOM[RM_Code]=$A29)*M_BOM[RM_Qty_Per_Batch]*IFERROR(INDEX(PP_Grid[#Data],M_BOM[PPGridRow],65),0))</f>
        <v/>
      </c>
      <c r="BN29">
        <f>SUMPRODUCT((M_BOM[RM_Code]=$A29)*M_BOM[RM_Qty_Per_Batch]*IFERROR(INDEX(PP_Grid[#Data],M_BOM[PPGridRow],66),0))</f>
        <v/>
      </c>
      <c r="BO29">
        <f>SUMPRODUCT((M_BOM[RM_Code]=$A29)*M_BOM[RM_Qty_Per_Batch]*IFERROR(INDEX(PP_Grid[#Data],M_BOM[PPGridRow],67),0))</f>
        <v/>
      </c>
      <c r="BP29">
        <f>SUMPRODUCT((M_BOM[RM_Code]=$A29)*M_BOM[RM_Qty_Per_Batch]*IFERROR(INDEX(PP_Grid[#Data],M_BOM[PPGridRow],68),0))</f>
        <v/>
      </c>
      <c r="BQ29">
        <f>SUMPRODUCT((M_BOM[RM_Code]=$A29)*M_BOM[RM_Qty_Per_Batch]*IFERROR(INDEX(PP_Grid[#Data],M_BOM[PPGridRow],69),0))</f>
        <v/>
      </c>
      <c r="BR29">
        <f>SUMPRODUCT((M_BOM[RM_Code]=$A29)*M_BOM[RM_Qty_Per_Batch]*IFERROR(INDEX(PP_Grid[#Data],M_BOM[PPGridRow],70),0))</f>
        <v/>
      </c>
      <c r="BS29">
        <f>SUMPRODUCT((M_BOM[RM_Code]=$A29)*M_BOM[RM_Qty_Per_Batch]*IFERROR(INDEX(PP_Grid[#Data],M_BOM[PPGridRow],71),0))</f>
        <v/>
      </c>
      <c r="BT29">
        <f>SUMPRODUCT((M_BOM[RM_Code]=$A29)*M_BOM[RM_Qty_Per_Batch]*IFERROR(INDEX(PP_Grid[#Data],M_BOM[PPGridRow],72),0))</f>
        <v/>
      </c>
      <c r="BU29">
        <f>SUMPRODUCT((M_BOM[RM_Code]=$A29)*M_BOM[RM_Qty_Per_Batch]*IFERROR(INDEX(PP_Grid[#Data],M_BOM[PPGridRow],73),0))</f>
        <v/>
      </c>
      <c r="BV29">
        <f>SUMPRODUCT((M_BOM[RM_Code]=$A29)*M_BOM[RM_Qty_Per_Batch]*IFERROR(INDEX(PP_Grid[#Data],M_BOM[PPGridRow],74),0))</f>
        <v/>
      </c>
      <c r="BW29">
        <f>SUMPRODUCT((M_BOM[RM_Code]=$A29)*M_BOM[RM_Qty_Per_Batch]*IFERROR(INDEX(PP_Grid[#Data],M_BOM[PPGridRow],75),0))</f>
        <v/>
      </c>
      <c r="BX29">
        <f>SUMPRODUCT((M_BOM[RM_Code]=$A29)*M_BOM[RM_Qty_Per_Batch]*IFERROR(INDEX(PP_Grid[#Data],M_BOM[PPGridRow],76),0))</f>
        <v/>
      </c>
      <c r="BY29">
        <f>SUMPRODUCT((M_BOM[RM_Code]=$A29)*M_BOM[RM_Qty_Per_Batch]*IFERROR(INDEX(PP_Grid[#Data],M_BOM[PPGridRow],77),0))</f>
        <v/>
      </c>
      <c r="BZ29">
        <f>SUMPRODUCT((M_BOM[RM_Code]=$A29)*M_BOM[RM_Qty_Per_Batch]*IFERROR(INDEX(PP_Grid[#Data],M_BOM[PPGridRow],78),0))</f>
        <v/>
      </c>
      <c r="CA29">
        <f>SUMPRODUCT((M_BOM[RM_Code]=$A29)*M_BOM[RM_Qty_Per_Batch]*IFERROR(INDEX(PP_Grid[#Data],M_BOM[PPGridRow],79),0))</f>
        <v/>
      </c>
      <c r="CB29">
        <f>SUMPRODUCT((M_BOM[RM_Code]=$A29)*M_BOM[RM_Qty_Per_Batch]*IFERROR(INDEX(PP_Grid[#Data],M_BOM[PPGridRow],80),0))</f>
        <v/>
      </c>
      <c r="CC29">
        <f>SUMPRODUCT((M_BOM[RM_Code]=$A29)*M_BOM[RM_Qty_Per_Batch]*IFERROR(INDEX(PP_Grid[#Data],M_BOM[PPGridRow],81),0))</f>
        <v/>
      </c>
      <c r="CD29">
        <f>SUMPRODUCT((M_BOM[RM_Code]=$A29)*M_BOM[RM_Qty_Per_Batch]*IFERROR(INDEX(PP_Grid[#Data],M_BOM[PPGridRow],82),0))</f>
        <v/>
      </c>
      <c r="CE29">
        <f>SUMPRODUCT((M_BOM[RM_Code]=$A29)*M_BOM[RM_Qty_Per_Batch]*IFERROR(INDEX(PP_Grid[#Data],M_BOM[PPGridRow],83),0))</f>
        <v/>
      </c>
      <c r="CF29">
        <f>SUMPRODUCT((M_BOM[RM_Code]=$A29)*M_BOM[RM_Qty_Per_Batch]*IFERROR(INDEX(PP_Grid[#Data],M_BOM[PPGridRow],84),0))</f>
        <v/>
      </c>
      <c r="CG29">
        <f>SUMPRODUCT((M_BOM[RM_Code]=$A29)*M_BOM[RM_Qty_Per_Batch]*IFERROR(INDEX(PP_Grid[#Data],M_BOM[PPGridRow],85),0))</f>
        <v/>
      </c>
      <c r="CH29">
        <f>SUMPRODUCT((M_BOM[RM_Code]=$A29)*M_BOM[RM_Qty_Per_Batch]*IFERROR(INDEX(PP_Grid[#Data],M_BOM[PPGridRow],86),0))</f>
        <v/>
      </c>
      <c r="CI29">
        <f>SUMPRODUCT((M_BOM[RM_Code]=$A29)*M_BOM[RM_Qty_Per_Batch]*IFERROR(INDEX(PP_Grid[#Data],M_BOM[PPGridRow],87),0))</f>
        <v/>
      </c>
      <c r="CJ29">
        <f>SUMPRODUCT((M_BOM[RM_Code]=$A29)*M_BOM[RM_Qty_Per_Batch]*IFERROR(INDEX(PP_Grid[#Data],M_BOM[PPGridRow],88),0))</f>
        <v/>
      </c>
      <c r="CK29">
        <f>SUMPRODUCT((M_BOM[RM_Code]=$A29)*M_BOM[RM_Qty_Per_Batch]*IFERROR(INDEX(PP_Grid[#Data],M_BOM[PPGridRow],89),0))</f>
        <v/>
      </c>
      <c r="CL29">
        <f>SUMPRODUCT((M_BOM[RM_Code]=$A29)*M_BOM[RM_Qty_Per_Batch]*IFERROR(INDEX(PP_Grid[#Data],M_BOM[PPGridRow],90),0))</f>
        <v/>
      </c>
      <c r="CM29">
        <f>SUMPRODUCT((M_BOM[RM_Code]=$A29)*M_BOM[RM_Qty_Per_Batch]*IFERROR(INDEX(PP_Grid[#Data],M_BOM[PPGridRow],91),0))</f>
        <v/>
      </c>
      <c r="CN29">
        <f>SUMPRODUCT((M_BOM[RM_Code]=$A29)*M_BOM[RM_Qty_Per_Batch]*IFERROR(INDEX(PP_Grid[#Data],M_BOM[PPGridRow],92),0))</f>
        <v/>
      </c>
      <c r="CO29">
        <f>SUMPRODUCT((M_BOM[RM_Code]=$A29)*M_BOM[RM_Qty_Per_Batch]*IFERROR(INDEX(PP_Grid[#Data],M_BOM[PPGridRow],93),0))</f>
        <v/>
      </c>
      <c r="CP29">
        <f>SUMPRODUCT((M_BOM[RM_Code]=$A29)*M_BOM[RM_Qty_Per_Batch]*IFERROR(INDEX(PP_Grid[#Data],M_BOM[PPGridRow],94),0))</f>
        <v/>
      </c>
      <c r="CQ29">
        <f>SUMPRODUCT((M_BOM[RM_Code]=$A29)*M_BOM[RM_Qty_Per_Batch]*IFERROR(INDEX(PP_Grid[#Data],M_BOM[PPGridRow],95),0))</f>
        <v/>
      </c>
      <c r="CR29">
        <f>SUMPRODUCT((M_BOM[RM_Code]=$A29)*M_BOM[RM_Qty_Per_Batch]*IFERROR(INDEX(PP_Grid[#Data],M_BOM[PPGridRow],96),0))</f>
        <v/>
      </c>
      <c r="CS29">
        <f>SUMPRODUCT((M_BOM[RM_Code]=$A29)*M_BOM[RM_Qty_Per_Batch]*IFERROR(INDEX(PP_Grid[#Data],M_BOM[PPGridRow],97),0))</f>
        <v/>
      </c>
      <c r="CT29">
        <f>SUMPRODUCT((M_BOM[RM_Code]=$A29)*M_BOM[RM_Qty_Per_Batch]*IFERROR(INDEX(PP_Grid[#Data],M_BOM[PPGridRow],98),0))</f>
        <v/>
      </c>
      <c r="CU29">
        <f>SUMPRODUCT((M_BOM[RM_Code]=$A29)*M_BOM[RM_Qty_Per_Batch]*IFERROR(INDEX(PP_Grid[#Data],M_BOM[PPGridRow],99),0))</f>
        <v/>
      </c>
      <c r="CV29">
        <f>SUMPRODUCT((M_BOM[RM_Code]=$A29)*M_BOM[RM_Qty_Per_Batch]*IFERROR(INDEX(PP_Grid[#Data],M_BOM[PPGridRow],100),0))</f>
        <v/>
      </c>
      <c r="CW29">
        <f>SUMPRODUCT((M_BOM[RM_Code]=$A29)*M_BOM[RM_Qty_Per_Batch]*IFERROR(INDEX(PP_Grid[#Data],M_BOM[PPGridRow],101),0))</f>
        <v/>
      </c>
      <c r="CX29">
        <f>SUMPRODUCT((M_BOM[RM_Code]=$A29)*M_BOM[RM_Qty_Per_Batch]*IFERROR(INDEX(PP_Grid[#Data],M_BOM[PPGridRow],102),0))</f>
        <v/>
      </c>
      <c r="CY29">
        <f>SUMPRODUCT((M_BOM[RM_Code]=$A29)*M_BOM[RM_Qty_Per_Batch]*IFERROR(INDEX(PP_Grid[#Data],M_BOM[PPGridRow],103),0))</f>
        <v/>
      </c>
      <c r="CZ29">
        <f>SUMPRODUCT((M_BOM[RM_Code]=$A29)*M_BOM[RM_Qty_Per_Batch]*IFERROR(INDEX(PP_Grid[#Data],M_BOM[PPGridRow],104),0))</f>
        <v/>
      </c>
      <c r="DA29">
        <f>SUMPRODUCT((M_BOM[RM_Code]=$A29)*M_BOM[RM_Qty_Per_Batch]*IFERROR(INDEX(PP_Grid[#Data],M_BOM[PPGridRow],105),0))</f>
        <v/>
      </c>
    </row>
    <row r="30">
      <c r="A30" t="inlineStr">
        <is>
          <t>CHEM-1200</t>
        </is>
      </c>
      <c r="B30">
        <f>SUMPRODUCT((M_BOM[RM_Code]=$A30)*M_BOM[RM_Qty_Per_Batch]*IFERROR(INDEX(PP_Grid[#Data],M_BOM[PPGridRow],2),0))</f>
        <v/>
      </c>
      <c r="C30">
        <f>SUMPRODUCT((M_BOM[RM_Code]=$A30)*M_BOM[RM_Qty_Per_Batch]*IFERROR(INDEX(PP_Grid[#Data],M_BOM[PPGridRow],3),0))</f>
        <v/>
      </c>
      <c r="D30">
        <f>SUMPRODUCT((M_BOM[RM_Code]=$A30)*M_BOM[RM_Qty_Per_Batch]*IFERROR(INDEX(PP_Grid[#Data],M_BOM[PPGridRow],4),0))</f>
        <v/>
      </c>
      <c r="E30">
        <f>SUMPRODUCT((M_BOM[RM_Code]=$A30)*M_BOM[RM_Qty_Per_Batch]*IFERROR(INDEX(PP_Grid[#Data],M_BOM[PPGridRow],5),0))</f>
        <v/>
      </c>
      <c r="F30">
        <f>SUMPRODUCT((M_BOM[RM_Code]=$A30)*M_BOM[RM_Qty_Per_Batch]*IFERROR(INDEX(PP_Grid[#Data],M_BOM[PPGridRow],6),0))</f>
        <v/>
      </c>
      <c r="G30">
        <f>SUMPRODUCT((M_BOM[RM_Code]=$A30)*M_BOM[RM_Qty_Per_Batch]*IFERROR(INDEX(PP_Grid[#Data],M_BOM[PPGridRow],7),0))</f>
        <v/>
      </c>
      <c r="H30">
        <f>SUMPRODUCT((M_BOM[RM_Code]=$A30)*M_BOM[RM_Qty_Per_Batch]*IFERROR(INDEX(PP_Grid[#Data],M_BOM[PPGridRow],8),0))</f>
        <v/>
      </c>
      <c r="I30">
        <f>SUMPRODUCT((M_BOM[RM_Code]=$A30)*M_BOM[RM_Qty_Per_Batch]*IFERROR(INDEX(PP_Grid[#Data],M_BOM[PPGridRow],9),0))</f>
        <v/>
      </c>
      <c r="J30">
        <f>SUMPRODUCT((M_BOM[RM_Code]=$A30)*M_BOM[RM_Qty_Per_Batch]*IFERROR(INDEX(PP_Grid[#Data],M_BOM[PPGridRow],10),0))</f>
        <v/>
      </c>
      <c r="K30">
        <f>SUMPRODUCT((M_BOM[RM_Code]=$A30)*M_BOM[RM_Qty_Per_Batch]*IFERROR(INDEX(PP_Grid[#Data],M_BOM[PPGridRow],11),0))</f>
        <v/>
      </c>
      <c r="L30">
        <f>SUMPRODUCT((M_BOM[RM_Code]=$A30)*M_BOM[RM_Qty_Per_Batch]*IFERROR(INDEX(PP_Grid[#Data],M_BOM[PPGridRow],12),0))</f>
        <v/>
      </c>
      <c r="M30">
        <f>SUMPRODUCT((M_BOM[RM_Code]=$A30)*M_BOM[RM_Qty_Per_Batch]*IFERROR(INDEX(PP_Grid[#Data],M_BOM[PPGridRow],13),0))</f>
        <v/>
      </c>
      <c r="N30">
        <f>SUMPRODUCT((M_BOM[RM_Code]=$A30)*M_BOM[RM_Qty_Per_Batch]*IFERROR(INDEX(PP_Grid[#Data],M_BOM[PPGridRow],14),0))</f>
        <v/>
      </c>
      <c r="O30">
        <f>SUMPRODUCT((M_BOM[RM_Code]=$A30)*M_BOM[RM_Qty_Per_Batch]*IFERROR(INDEX(PP_Grid[#Data],M_BOM[PPGridRow],15),0))</f>
        <v/>
      </c>
      <c r="P30">
        <f>SUMPRODUCT((M_BOM[RM_Code]=$A30)*M_BOM[RM_Qty_Per_Batch]*IFERROR(INDEX(PP_Grid[#Data],M_BOM[PPGridRow],16),0))</f>
        <v/>
      </c>
      <c r="Q30">
        <f>SUMPRODUCT((M_BOM[RM_Code]=$A30)*M_BOM[RM_Qty_Per_Batch]*IFERROR(INDEX(PP_Grid[#Data],M_BOM[PPGridRow],17),0))</f>
        <v/>
      </c>
      <c r="R30">
        <f>SUMPRODUCT((M_BOM[RM_Code]=$A30)*M_BOM[RM_Qty_Per_Batch]*IFERROR(INDEX(PP_Grid[#Data],M_BOM[PPGridRow],18),0))</f>
        <v/>
      </c>
      <c r="S30">
        <f>SUMPRODUCT((M_BOM[RM_Code]=$A30)*M_BOM[RM_Qty_Per_Batch]*IFERROR(INDEX(PP_Grid[#Data],M_BOM[PPGridRow],19),0))</f>
        <v/>
      </c>
      <c r="T30">
        <f>SUMPRODUCT((M_BOM[RM_Code]=$A30)*M_BOM[RM_Qty_Per_Batch]*IFERROR(INDEX(PP_Grid[#Data],M_BOM[PPGridRow],20),0))</f>
        <v/>
      </c>
      <c r="U30">
        <f>SUMPRODUCT((M_BOM[RM_Code]=$A30)*M_BOM[RM_Qty_Per_Batch]*IFERROR(INDEX(PP_Grid[#Data],M_BOM[PPGridRow],21),0))</f>
        <v/>
      </c>
      <c r="V30">
        <f>SUMPRODUCT((M_BOM[RM_Code]=$A30)*M_BOM[RM_Qty_Per_Batch]*IFERROR(INDEX(PP_Grid[#Data],M_BOM[PPGridRow],22),0))</f>
        <v/>
      </c>
      <c r="W30">
        <f>SUMPRODUCT((M_BOM[RM_Code]=$A30)*M_BOM[RM_Qty_Per_Batch]*IFERROR(INDEX(PP_Grid[#Data],M_BOM[PPGridRow],23),0))</f>
        <v/>
      </c>
      <c r="X30">
        <f>SUMPRODUCT((M_BOM[RM_Code]=$A30)*M_BOM[RM_Qty_Per_Batch]*IFERROR(INDEX(PP_Grid[#Data],M_BOM[PPGridRow],24),0))</f>
        <v/>
      </c>
      <c r="Y30">
        <f>SUMPRODUCT((M_BOM[RM_Code]=$A30)*M_BOM[RM_Qty_Per_Batch]*IFERROR(INDEX(PP_Grid[#Data],M_BOM[PPGridRow],25),0))</f>
        <v/>
      </c>
      <c r="Z30">
        <f>SUMPRODUCT((M_BOM[RM_Code]=$A30)*M_BOM[RM_Qty_Per_Batch]*IFERROR(INDEX(PP_Grid[#Data],M_BOM[PPGridRow],26),0))</f>
        <v/>
      </c>
      <c r="AA30">
        <f>SUMPRODUCT((M_BOM[RM_Code]=$A30)*M_BOM[RM_Qty_Per_Batch]*IFERROR(INDEX(PP_Grid[#Data],M_BOM[PPGridRow],27),0))</f>
        <v/>
      </c>
      <c r="AB30">
        <f>SUMPRODUCT((M_BOM[RM_Code]=$A30)*M_BOM[RM_Qty_Per_Batch]*IFERROR(INDEX(PP_Grid[#Data],M_BOM[PPGridRow],28),0))</f>
        <v/>
      </c>
      <c r="AC30">
        <f>SUMPRODUCT((M_BOM[RM_Code]=$A30)*M_BOM[RM_Qty_Per_Batch]*IFERROR(INDEX(PP_Grid[#Data],M_BOM[PPGridRow],29),0))</f>
        <v/>
      </c>
      <c r="AD30">
        <f>SUMPRODUCT((M_BOM[RM_Code]=$A30)*M_BOM[RM_Qty_Per_Batch]*IFERROR(INDEX(PP_Grid[#Data],M_BOM[PPGridRow],30),0))</f>
        <v/>
      </c>
      <c r="AE30">
        <f>SUMPRODUCT((M_BOM[RM_Code]=$A30)*M_BOM[RM_Qty_Per_Batch]*IFERROR(INDEX(PP_Grid[#Data],M_BOM[PPGridRow],31),0))</f>
        <v/>
      </c>
      <c r="AF30">
        <f>SUMPRODUCT((M_BOM[RM_Code]=$A30)*M_BOM[RM_Qty_Per_Batch]*IFERROR(INDEX(PP_Grid[#Data],M_BOM[PPGridRow],32),0))</f>
        <v/>
      </c>
      <c r="AG30">
        <f>SUMPRODUCT((M_BOM[RM_Code]=$A30)*M_BOM[RM_Qty_Per_Batch]*IFERROR(INDEX(PP_Grid[#Data],M_BOM[PPGridRow],33),0))</f>
        <v/>
      </c>
      <c r="AH30">
        <f>SUMPRODUCT((M_BOM[RM_Code]=$A30)*M_BOM[RM_Qty_Per_Batch]*IFERROR(INDEX(PP_Grid[#Data],M_BOM[PPGridRow],34),0))</f>
        <v/>
      </c>
      <c r="AI30">
        <f>SUMPRODUCT((M_BOM[RM_Code]=$A30)*M_BOM[RM_Qty_Per_Batch]*IFERROR(INDEX(PP_Grid[#Data],M_BOM[PPGridRow],35),0))</f>
        <v/>
      </c>
      <c r="AJ30">
        <f>SUMPRODUCT((M_BOM[RM_Code]=$A30)*M_BOM[RM_Qty_Per_Batch]*IFERROR(INDEX(PP_Grid[#Data],M_BOM[PPGridRow],36),0))</f>
        <v/>
      </c>
      <c r="AK30">
        <f>SUMPRODUCT((M_BOM[RM_Code]=$A30)*M_BOM[RM_Qty_Per_Batch]*IFERROR(INDEX(PP_Grid[#Data],M_BOM[PPGridRow],37),0))</f>
        <v/>
      </c>
      <c r="AL30">
        <f>SUMPRODUCT((M_BOM[RM_Code]=$A30)*M_BOM[RM_Qty_Per_Batch]*IFERROR(INDEX(PP_Grid[#Data],M_BOM[PPGridRow],38),0))</f>
        <v/>
      </c>
      <c r="AM30">
        <f>SUMPRODUCT((M_BOM[RM_Code]=$A30)*M_BOM[RM_Qty_Per_Batch]*IFERROR(INDEX(PP_Grid[#Data],M_BOM[PPGridRow],39),0))</f>
        <v/>
      </c>
      <c r="AN30">
        <f>SUMPRODUCT((M_BOM[RM_Code]=$A30)*M_BOM[RM_Qty_Per_Batch]*IFERROR(INDEX(PP_Grid[#Data],M_BOM[PPGridRow],40),0))</f>
        <v/>
      </c>
      <c r="AO30">
        <f>SUMPRODUCT((M_BOM[RM_Code]=$A30)*M_BOM[RM_Qty_Per_Batch]*IFERROR(INDEX(PP_Grid[#Data],M_BOM[PPGridRow],41),0))</f>
        <v/>
      </c>
      <c r="AP30">
        <f>SUMPRODUCT((M_BOM[RM_Code]=$A30)*M_BOM[RM_Qty_Per_Batch]*IFERROR(INDEX(PP_Grid[#Data],M_BOM[PPGridRow],42),0))</f>
        <v/>
      </c>
      <c r="AQ30">
        <f>SUMPRODUCT((M_BOM[RM_Code]=$A30)*M_BOM[RM_Qty_Per_Batch]*IFERROR(INDEX(PP_Grid[#Data],M_BOM[PPGridRow],43),0))</f>
        <v/>
      </c>
      <c r="AR30">
        <f>SUMPRODUCT((M_BOM[RM_Code]=$A30)*M_BOM[RM_Qty_Per_Batch]*IFERROR(INDEX(PP_Grid[#Data],M_BOM[PPGridRow],44),0))</f>
        <v/>
      </c>
      <c r="AS30">
        <f>SUMPRODUCT((M_BOM[RM_Code]=$A30)*M_BOM[RM_Qty_Per_Batch]*IFERROR(INDEX(PP_Grid[#Data],M_BOM[PPGridRow],45),0))</f>
        <v/>
      </c>
      <c r="AT30">
        <f>SUMPRODUCT((M_BOM[RM_Code]=$A30)*M_BOM[RM_Qty_Per_Batch]*IFERROR(INDEX(PP_Grid[#Data],M_BOM[PPGridRow],46),0))</f>
        <v/>
      </c>
      <c r="AU30">
        <f>SUMPRODUCT((M_BOM[RM_Code]=$A30)*M_BOM[RM_Qty_Per_Batch]*IFERROR(INDEX(PP_Grid[#Data],M_BOM[PPGridRow],47),0))</f>
        <v/>
      </c>
      <c r="AV30">
        <f>SUMPRODUCT((M_BOM[RM_Code]=$A30)*M_BOM[RM_Qty_Per_Batch]*IFERROR(INDEX(PP_Grid[#Data],M_BOM[PPGridRow],48),0))</f>
        <v/>
      </c>
      <c r="AW30">
        <f>SUMPRODUCT((M_BOM[RM_Code]=$A30)*M_BOM[RM_Qty_Per_Batch]*IFERROR(INDEX(PP_Grid[#Data],M_BOM[PPGridRow],49),0))</f>
        <v/>
      </c>
      <c r="AX30">
        <f>SUMPRODUCT((M_BOM[RM_Code]=$A30)*M_BOM[RM_Qty_Per_Batch]*IFERROR(INDEX(PP_Grid[#Data],M_BOM[PPGridRow],50),0))</f>
        <v/>
      </c>
      <c r="AY30">
        <f>SUMPRODUCT((M_BOM[RM_Code]=$A30)*M_BOM[RM_Qty_Per_Batch]*IFERROR(INDEX(PP_Grid[#Data],M_BOM[PPGridRow],51),0))</f>
        <v/>
      </c>
      <c r="AZ30">
        <f>SUMPRODUCT((M_BOM[RM_Code]=$A30)*M_BOM[RM_Qty_Per_Batch]*IFERROR(INDEX(PP_Grid[#Data],M_BOM[PPGridRow],52),0))</f>
        <v/>
      </c>
      <c r="BA30">
        <f>SUMPRODUCT((M_BOM[RM_Code]=$A30)*M_BOM[RM_Qty_Per_Batch]*IFERROR(INDEX(PP_Grid[#Data],M_BOM[PPGridRow],53),0))</f>
        <v/>
      </c>
      <c r="BB30">
        <f>SUMPRODUCT((M_BOM[RM_Code]=$A30)*M_BOM[RM_Qty_Per_Batch]*IFERROR(INDEX(PP_Grid[#Data],M_BOM[PPGridRow],54),0))</f>
        <v/>
      </c>
      <c r="BC30">
        <f>SUMPRODUCT((M_BOM[RM_Code]=$A30)*M_BOM[RM_Qty_Per_Batch]*IFERROR(INDEX(PP_Grid[#Data],M_BOM[PPGridRow],55),0))</f>
        <v/>
      </c>
      <c r="BD30">
        <f>SUMPRODUCT((M_BOM[RM_Code]=$A30)*M_BOM[RM_Qty_Per_Batch]*IFERROR(INDEX(PP_Grid[#Data],M_BOM[PPGridRow],56),0))</f>
        <v/>
      </c>
      <c r="BE30">
        <f>SUMPRODUCT((M_BOM[RM_Code]=$A30)*M_BOM[RM_Qty_Per_Batch]*IFERROR(INDEX(PP_Grid[#Data],M_BOM[PPGridRow],57),0))</f>
        <v/>
      </c>
      <c r="BF30">
        <f>SUMPRODUCT((M_BOM[RM_Code]=$A30)*M_BOM[RM_Qty_Per_Batch]*IFERROR(INDEX(PP_Grid[#Data],M_BOM[PPGridRow],58),0))</f>
        <v/>
      </c>
      <c r="BG30">
        <f>SUMPRODUCT((M_BOM[RM_Code]=$A30)*M_BOM[RM_Qty_Per_Batch]*IFERROR(INDEX(PP_Grid[#Data],M_BOM[PPGridRow],59),0))</f>
        <v/>
      </c>
      <c r="BH30">
        <f>SUMPRODUCT((M_BOM[RM_Code]=$A30)*M_BOM[RM_Qty_Per_Batch]*IFERROR(INDEX(PP_Grid[#Data],M_BOM[PPGridRow],60),0))</f>
        <v/>
      </c>
      <c r="BI30">
        <f>SUMPRODUCT((M_BOM[RM_Code]=$A30)*M_BOM[RM_Qty_Per_Batch]*IFERROR(INDEX(PP_Grid[#Data],M_BOM[PPGridRow],61),0))</f>
        <v/>
      </c>
      <c r="BJ30">
        <f>SUMPRODUCT((M_BOM[RM_Code]=$A30)*M_BOM[RM_Qty_Per_Batch]*IFERROR(INDEX(PP_Grid[#Data],M_BOM[PPGridRow],62),0))</f>
        <v/>
      </c>
      <c r="BK30">
        <f>SUMPRODUCT((M_BOM[RM_Code]=$A30)*M_BOM[RM_Qty_Per_Batch]*IFERROR(INDEX(PP_Grid[#Data],M_BOM[PPGridRow],63),0))</f>
        <v/>
      </c>
      <c r="BL30">
        <f>SUMPRODUCT((M_BOM[RM_Code]=$A30)*M_BOM[RM_Qty_Per_Batch]*IFERROR(INDEX(PP_Grid[#Data],M_BOM[PPGridRow],64),0))</f>
        <v/>
      </c>
      <c r="BM30">
        <f>SUMPRODUCT((M_BOM[RM_Code]=$A30)*M_BOM[RM_Qty_Per_Batch]*IFERROR(INDEX(PP_Grid[#Data],M_BOM[PPGridRow],65),0))</f>
        <v/>
      </c>
      <c r="BN30">
        <f>SUMPRODUCT((M_BOM[RM_Code]=$A30)*M_BOM[RM_Qty_Per_Batch]*IFERROR(INDEX(PP_Grid[#Data],M_BOM[PPGridRow],66),0))</f>
        <v/>
      </c>
      <c r="BO30">
        <f>SUMPRODUCT((M_BOM[RM_Code]=$A30)*M_BOM[RM_Qty_Per_Batch]*IFERROR(INDEX(PP_Grid[#Data],M_BOM[PPGridRow],67),0))</f>
        <v/>
      </c>
      <c r="BP30">
        <f>SUMPRODUCT((M_BOM[RM_Code]=$A30)*M_BOM[RM_Qty_Per_Batch]*IFERROR(INDEX(PP_Grid[#Data],M_BOM[PPGridRow],68),0))</f>
        <v/>
      </c>
      <c r="BQ30">
        <f>SUMPRODUCT((M_BOM[RM_Code]=$A30)*M_BOM[RM_Qty_Per_Batch]*IFERROR(INDEX(PP_Grid[#Data],M_BOM[PPGridRow],69),0))</f>
        <v/>
      </c>
      <c r="BR30">
        <f>SUMPRODUCT((M_BOM[RM_Code]=$A30)*M_BOM[RM_Qty_Per_Batch]*IFERROR(INDEX(PP_Grid[#Data],M_BOM[PPGridRow],70),0))</f>
        <v/>
      </c>
      <c r="BS30">
        <f>SUMPRODUCT((M_BOM[RM_Code]=$A30)*M_BOM[RM_Qty_Per_Batch]*IFERROR(INDEX(PP_Grid[#Data],M_BOM[PPGridRow],71),0))</f>
        <v/>
      </c>
      <c r="BT30">
        <f>SUMPRODUCT((M_BOM[RM_Code]=$A30)*M_BOM[RM_Qty_Per_Batch]*IFERROR(INDEX(PP_Grid[#Data],M_BOM[PPGridRow],72),0))</f>
        <v/>
      </c>
      <c r="BU30">
        <f>SUMPRODUCT((M_BOM[RM_Code]=$A30)*M_BOM[RM_Qty_Per_Batch]*IFERROR(INDEX(PP_Grid[#Data],M_BOM[PPGridRow],73),0))</f>
        <v/>
      </c>
      <c r="BV30">
        <f>SUMPRODUCT((M_BOM[RM_Code]=$A30)*M_BOM[RM_Qty_Per_Batch]*IFERROR(INDEX(PP_Grid[#Data],M_BOM[PPGridRow],74),0))</f>
        <v/>
      </c>
      <c r="BW30">
        <f>SUMPRODUCT((M_BOM[RM_Code]=$A30)*M_BOM[RM_Qty_Per_Batch]*IFERROR(INDEX(PP_Grid[#Data],M_BOM[PPGridRow],75),0))</f>
        <v/>
      </c>
      <c r="BX30">
        <f>SUMPRODUCT((M_BOM[RM_Code]=$A30)*M_BOM[RM_Qty_Per_Batch]*IFERROR(INDEX(PP_Grid[#Data],M_BOM[PPGridRow],76),0))</f>
        <v/>
      </c>
      <c r="BY30">
        <f>SUMPRODUCT((M_BOM[RM_Code]=$A30)*M_BOM[RM_Qty_Per_Batch]*IFERROR(INDEX(PP_Grid[#Data],M_BOM[PPGridRow],77),0))</f>
        <v/>
      </c>
      <c r="BZ30">
        <f>SUMPRODUCT((M_BOM[RM_Code]=$A30)*M_BOM[RM_Qty_Per_Batch]*IFERROR(INDEX(PP_Grid[#Data],M_BOM[PPGridRow],78),0))</f>
        <v/>
      </c>
      <c r="CA30">
        <f>SUMPRODUCT((M_BOM[RM_Code]=$A30)*M_BOM[RM_Qty_Per_Batch]*IFERROR(INDEX(PP_Grid[#Data],M_BOM[PPGridRow],79),0))</f>
        <v/>
      </c>
      <c r="CB30">
        <f>SUMPRODUCT((M_BOM[RM_Code]=$A30)*M_BOM[RM_Qty_Per_Batch]*IFERROR(INDEX(PP_Grid[#Data],M_BOM[PPGridRow],80),0))</f>
        <v/>
      </c>
      <c r="CC30">
        <f>SUMPRODUCT((M_BOM[RM_Code]=$A30)*M_BOM[RM_Qty_Per_Batch]*IFERROR(INDEX(PP_Grid[#Data],M_BOM[PPGridRow],81),0))</f>
        <v/>
      </c>
      <c r="CD30">
        <f>SUMPRODUCT((M_BOM[RM_Code]=$A30)*M_BOM[RM_Qty_Per_Batch]*IFERROR(INDEX(PP_Grid[#Data],M_BOM[PPGridRow],82),0))</f>
        <v/>
      </c>
      <c r="CE30">
        <f>SUMPRODUCT((M_BOM[RM_Code]=$A30)*M_BOM[RM_Qty_Per_Batch]*IFERROR(INDEX(PP_Grid[#Data],M_BOM[PPGridRow],83),0))</f>
        <v/>
      </c>
      <c r="CF30">
        <f>SUMPRODUCT((M_BOM[RM_Code]=$A30)*M_BOM[RM_Qty_Per_Batch]*IFERROR(INDEX(PP_Grid[#Data],M_BOM[PPGridRow],84),0))</f>
        <v/>
      </c>
      <c r="CG30">
        <f>SUMPRODUCT((M_BOM[RM_Code]=$A30)*M_BOM[RM_Qty_Per_Batch]*IFERROR(INDEX(PP_Grid[#Data],M_BOM[PPGridRow],85),0))</f>
        <v/>
      </c>
      <c r="CH30">
        <f>SUMPRODUCT((M_BOM[RM_Code]=$A30)*M_BOM[RM_Qty_Per_Batch]*IFERROR(INDEX(PP_Grid[#Data],M_BOM[PPGridRow],86),0))</f>
        <v/>
      </c>
      <c r="CI30">
        <f>SUMPRODUCT((M_BOM[RM_Code]=$A30)*M_BOM[RM_Qty_Per_Batch]*IFERROR(INDEX(PP_Grid[#Data],M_BOM[PPGridRow],87),0))</f>
        <v/>
      </c>
      <c r="CJ30">
        <f>SUMPRODUCT((M_BOM[RM_Code]=$A30)*M_BOM[RM_Qty_Per_Batch]*IFERROR(INDEX(PP_Grid[#Data],M_BOM[PPGridRow],88),0))</f>
        <v/>
      </c>
      <c r="CK30">
        <f>SUMPRODUCT((M_BOM[RM_Code]=$A30)*M_BOM[RM_Qty_Per_Batch]*IFERROR(INDEX(PP_Grid[#Data],M_BOM[PPGridRow],89),0))</f>
        <v/>
      </c>
      <c r="CL30">
        <f>SUMPRODUCT((M_BOM[RM_Code]=$A30)*M_BOM[RM_Qty_Per_Batch]*IFERROR(INDEX(PP_Grid[#Data],M_BOM[PPGridRow],90),0))</f>
        <v/>
      </c>
      <c r="CM30">
        <f>SUMPRODUCT((M_BOM[RM_Code]=$A30)*M_BOM[RM_Qty_Per_Batch]*IFERROR(INDEX(PP_Grid[#Data],M_BOM[PPGridRow],91),0))</f>
        <v/>
      </c>
      <c r="CN30">
        <f>SUMPRODUCT((M_BOM[RM_Code]=$A30)*M_BOM[RM_Qty_Per_Batch]*IFERROR(INDEX(PP_Grid[#Data],M_BOM[PPGridRow],92),0))</f>
        <v/>
      </c>
      <c r="CO30">
        <f>SUMPRODUCT((M_BOM[RM_Code]=$A30)*M_BOM[RM_Qty_Per_Batch]*IFERROR(INDEX(PP_Grid[#Data],M_BOM[PPGridRow],93),0))</f>
        <v/>
      </c>
      <c r="CP30">
        <f>SUMPRODUCT((M_BOM[RM_Code]=$A30)*M_BOM[RM_Qty_Per_Batch]*IFERROR(INDEX(PP_Grid[#Data],M_BOM[PPGridRow],94),0))</f>
        <v/>
      </c>
      <c r="CQ30">
        <f>SUMPRODUCT((M_BOM[RM_Code]=$A30)*M_BOM[RM_Qty_Per_Batch]*IFERROR(INDEX(PP_Grid[#Data],M_BOM[PPGridRow],95),0))</f>
        <v/>
      </c>
      <c r="CR30">
        <f>SUMPRODUCT((M_BOM[RM_Code]=$A30)*M_BOM[RM_Qty_Per_Batch]*IFERROR(INDEX(PP_Grid[#Data],M_BOM[PPGridRow],96),0))</f>
        <v/>
      </c>
      <c r="CS30">
        <f>SUMPRODUCT((M_BOM[RM_Code]=$A30)*M_BOM[RM_Qty_Per_Batch]*IFERROR(INDEX(PP_Grid[#Data],M_BOM[PPGridRow],97),0))</f>
        <v/>
      </c>
      <c r="CT30">
        <f>SUMPRODUCT((M_BOM[RM_Code]=$A30)*M_BOM[RM_Qty_Per_Batch]*IFERROR(INDEX(PP_Grid[#Data],M_BOM[PPGridRow],98),0))</f>
        <v/>
      </c>
      <c r="CU30">
        <f>SUMPRODUCT((M_BOM[RM_Code]=$A30)*M_BOM[RM_Qty_Per_Batch]*IFERROR(INDEX(PP_Grid[#Data],M_BOM[PPGridRow],99),0))</f>
        <v/>
      </c>
      <c r="CV30">
        <f>SUMPRODUCT((M_BOM[RM_Code]=$A30)*M_BOM[RM_Qty_Per_Batch]*IFERROR(INDEX(PP_Grid[#Data],M_BOM[PPGridRow],100),0))</f>
        <v/>
      </c>
      <c r="CW30">
        <f>SUMPRODUCT((M_BOM[RM_Code]=$A30)*M_BOM[RM_Qty_Per_Batch]*IFERROR(INDEX(PP_Grid[#Data],M_BOM[PPGridRow],101),0))</f>
        <v/>
      </c>
      <c r="CX30">
        <f>SUMPRODUCT((M_BOM[RM_Code]=$A30)*M_BOM[RM_Qty_Per_Batch]*IFERROR(INDEX(PP_Grid[#Data],M_BOM[PPGridRow],102),0))</f>
        <v/>
      </c>
      <c r="CY30">
        <f>SUMPRODUCT((M_BOM[RM_Code]=$A30)*M_BOM[RM_Qty_Per_Batch]*IFERROR(INDEX(PP_Grid[#Data],M_BOM[PPGridRow],103),0))</f>
        <v/>
      </c>
      <c r="CZ30">
        <f>SUMPRODUCT((M_BOM[RM_Code]=$A30)*M_BOM[RM_Qty_Per_Batch]*IFERROR(INDEX(PP_Grid[#Data],M_BOM[PPGridRow],104),0))</f>
        <v/>
      </c>
      <c r="DA30">
        <f>SUMPRODUCT((M_BOM[RM_Code]=$A30)*M_BOM[RM_Qty_Per_Batch]*IFERROR(INDEX(PP_Grid[#Data],M_BOM[PPGridRow],105),0))</f>
        <v/>
      </c>
    </row>
    <row r="31">
      <c r="A31" t="inlineStr">
        <is>
          <t>ABN</t>
        </is>
      </c>
      <c r="B31">
        <f>SUMPRODUCT((M_BOM[RM_Code]=$A31)*M_BOM[RM_Qty_Per_Batch]*IFERROR(INDEX(PP_Grid[#Data],M_BOM[PPGridRow],2),0))</f>
        <v/>
      </c>
      <c r="C31">
        <f>SUMPRODUCT((M_BOM[RM_Code]=$A31)*M_BOM[RM_Qty_Per_Batch]*IFERROR(INDEX(PP_Grid[#Data],M_BOM[PPGridRow],3),0))</f>
        <v/>
      </c>
      <c r="D31">
        <f>SUMPRODUCT((M_BOM[RM_Code]=$A31)*M_BOM[RM_Qty_Per_Batch]*IFERROR(INDEX(PP_Grid[#Data],M_BOM[PPGridRow],4),0))</f>
        <v/>
      </c>
      <c r="E31">
        <f>SUMPRODUCT((M_BOM[RM_Code]=$A31)*M_BOM[RM_Qty_Per_Batch]*IFERROR(INDEX(PP_Grid[#Data],M_BOM[PPGridRow],5),0))</f>
        <v/>
      </c>
      <c r="F31">
        <f>SUMPRODUCT((M_BOM[RM_Code]=$A31)*M_BOM[RM_Qty_Per_Batch]*IFERROR(INDEX(PP_Grid[#Data],M_BOM[PPGridRow],6),0))</f>
        <v/>
      </c>
      <c r="G31">
        <f>SUMPRODUCT((M_BOM[RM_Code]=$A31)*M_BOM[RM_Qty_Per_Batch]*IFERROR(INDEX(PP_Grid[#Data],M_BOM[PPGridRow],7),0))</f>
        <v/>
      </c>
      <c r="H31">
        <f>SUMPRODUCT((M_BOM[RM_Code]=$A31)*M_BOM[RM_Qty_Per_Batch]*IFERROR(INDEX(PP_Grid[#Data],M_BOM[PPGridRow],8),0))</f>
        <v/>
      </c>
      <c r="I31">
        <f>SUMPRODUCT((M_BOM[RM_Code]=$A31)*M_BOM[RM_Qty_Per_Batch]*IFERROR(INDEX(PP_Grid[#Data],M_BOM[PPGridRow],9),0))</f>
        <v/>
      </c>
      <c r="J31">
        <f>SUMPRODUCT((M_BOM[RM_Code]=$A31)*M_BOM[RM_Qty_Per_Batch]*IFERROR(INDEX(PP_Grid[#Data],M_BOM[PPGridRow],10),0))</f>
        <v/>
      </c>
      <c r="K31">
        <f>SUMPRODUCT((M_BOM[RM_Code]=$A31)*M_BOM[RM_Qty_Per_Batch]*IFERROR(INDEX(PP_Grid[#Data],M_BOM[PPGridRow],11),0))</f>
        <v/>
      </c>
      <c r="L31">
        <f>SUMPRODUCT((M_BOM[RM_Code]=$A31)*M_BOM[RM_Qty_Per_Batch]*IFERROR(INDEX(PP_Grid[#Data],M_BOM[PPGridRow],12),0))</f>
        <v/>
      </c>
      <c r="M31">
        <f>SUMPRODUCT((M_BOM[RM_Code]=$A31)*M_BOM[RM_Qty_Per_Batch]*IFERROR(INDEX(PP_Grid[#Data],M_BOM[PPGridRow],13),0))</f>
        <v/>
      </c>
      <c r="N31">
        <f>SUMPRODUCT((M_BOM[RM_Code]=$A31)*M_BOM[RM_Qty_Per_Batch]*IFERROR(INDEX(PP_Grid[#Data],M_BOM[PPGridRow],14),0))</f>
        <v/>
      </c>
      <c r="O31">
        <f>SUMPRODUCT((M_BOM[RM_Code]=$A31)*M_BOM[RM_Qty_Per_Batch]*IFERROR(INDEX(PP_Grid[#Data],M_BOM[PPGridRow],15),0))</f>
        <v/>
      </c>
      <c r="P31">
        <f>SUMPRODUCT((M_BOM[RM_Code]=$A31)*M_BOM[RM_Qty_Per_Batch]*IFERROR(INDEX(PP_Grid[#Data],M_BOM[PPGridRow],16),0))</f>
        <v/>
      </c>
      <c r="Q31">
        <f>SUMPRODUCT((M_BOM[RM_Code]=$A31)*M_BOM[RM_Qty_Per_Batch]*IFERROR(INDEX(PP_Grid[#Data],M_BOM[PPGridRow],17),0))</f>
        <v/>
      </c>
      <c r="R31">
        <f>SUMPRODUCT((M_BOM[RM_Code]=$A31)*M_BOM[RM_Qty_Per_Batch]*IFERROR(INDEX(PP_Grid[#Data],M_BOM[PPGridRow],18),0))</f>
        <v/>
      </c>
      <c r="S31">
        <f>SUMPRODUCT((M_BOM[RM_Code]=$A31)*M_BOM[RM_Qty_Per_Batch]*IFERROR(INDEX(PP_Grid[#Data],M_BOM[PPGridRow],19),0))</f>
        <v/>
      </c>
      <c r="T31">
        <f>SUMPRODUCT((M_BOM[RM_Code]=$A31)*M_BOM[RM_Qty_Per_Batch]*IFERROR(INDEX(PP_Grid[#Data],M_BOM[PPGridRow],20),0))</f>
        <v/>
      </c>
      <c r="U31">
        <f>SUMPRODUCT((M_BOM[RM_Code]=$A31)*M_BOM[RM_Qty_Per_Batch]*IFERROR(INDEX(PP_Grid[#Data],M_BOM[PPGridRow],21),0))</f>
        <v/>
      </c>
      <c r="V31">
        <f>SUMPRODUCT((M_BOM[RM_Code]=$A31)*M_BOM[RM_Qty_Per_Batch]*IFERROR(INDEX(PP_Grid[#Data],M_BOM[PPGridRow],22),0))</f>
        <v/>
      </c>
      <c r="W31">
        <f>SUMPRODUCT((M_BOM[RM_Code]=$A31)*M_BOM[RM_Qty_Per_Batch]*IFERROR(INDEX(PP_Grid[#Data],M_BOM[PPGridRow],23),0))</f>
        <v/>
      </c>
      <c r="X31">
        <f>SUMPRODUCT((M_BOM[RM_Code]=$A31)*M_BOM[RM_Qty_Per_Batch]*IFERROR(INDEX(PP_Grid[#Data],M_BOM[PPGridRow],24),0))</f>
        <v/>
      </c>
      <c r="Y31">
        <f>SUMPRODUCT((M_BOM[RM_Code]=$A31)*M_BOM[RM_Qty_Per_Batch]*IFERROR(INDEX(PP_Grid[#Data],M_BOM[PPGridRow],25),0))</f>
        <v/>
      </c>
      <c r="Z31">
        <f>SUMPRODUCT((M_BOM[RM_Code]=$A31)*M_BOM[RM_Qty_Per_Batch]*IFERROR(INDEX(PP_Grid[#Data],M_BOM[PPGridRow],26),0))</f>
        <v/>
      </c>
      <c r="AA31">
        <f>SUMPRODUCT((M_BOM[RM_Code]=$A31)*M_BOM[RM_Qty_Per_Batch]*IFERROR(INDEX(PP_Grid[#Data],M_BOM[PPGridRow],27),0))</f>
        <v/>
      </c>
      <c r="AB31">
        <f>SUMPRODUCT((M_BOM[RM_Code]=$A31)*M_BOM[RM_Qty_Per_Batch]*IFERROR(INDEX(PP_Grid[#Data],M_BOM[PPGridRow],28),0))</f>
        <v/>
      </c>
      <c r="AC31">
        <f>SUMPRODUCT((M_BOM[RM_Code]=$A31)*M_BOM[RM_Qty_Per_Batch]*IFERROR(INDEX(PP_Grid[#Data],M_BOM[PPGridRow],29),0))</f>
        <v/>
      </c>
      <c r="AD31">
        <f>SUMPRODUCT((M_BOM[RM_Code]=$A31)*M_BOM[RM_Qty_Per_Batch]*IFERROR(INDEX(PP_Grid[#Data],M_BOM[PPGridRow],30),0))</f>
        <v/>
      </c>
      <c r="AE31">
        <f>SUMPRODUCT((M_BOM[RM_Code]=$A31)*M_BOM[RM_Qty_Per_Batch]*IFERROR(INDEX(PP_Grid[#Data],M_BOM[PPGridRow],31),0))</f>
        <v/>
      </c>
      <c r="AF31">
        <f>SUMPRODUCT((M_BOM[RM_Code]=$A31)*M_BOM[RM_Qty_Per_Batch]*IFERROR(INDEX(PP_Grid[#Data],M_BOM[PPGridRow],32),0))</f>
        <v/>
      </c>
      <c r="AG31">
        <f>SUMPRODUCT((M_BOM[RM_Code]=$A31)*M_BOM[RM_Qty_Per_Batch]*IFERROR(INDEX(PP_Grid[#Data],M_BOM[PPGridRow],33),0))</f>
        <v/>
      </c>
      <c r="AH31">
        <f>SUMPRODUCT((M_BOM[RM_Code]=$A31)*M_BOM[RM_Qty_Per_Batch]*IFERROR(INDEX(PP_Grid[#Data],M_BOM[PPGridRow],34),0))</f>
        <v/>
      </c>
      <c r="AI31">
        <f>SUMPRODUCT((M_BOM[RM_Code]=$A31)*M_BOM[RM_Qty_Per_Batch]*IFERROR(INDEX(PP_Grid[#Data],M_BOM[PPGridRow],35),0))</f>
        <v/>
      </c>
      <c r="AJ31">
        <f>SUMPRODUCT((M_BOM[RM_Code]=$A31)*M_BOM[RM_Qty_Per_Batch]*IFERROR(INDEX(PP_Grid[#Data],M_BOM[PPGridRow],36),0))</f>
        <v/>
      </c>
      <c r="AK31">
        <f>SUMPRODUCT((M_BOM[RM_Code]=$A31)*M_BOM[RM_Qty_Per_Batch]*IFERROR(INDEX(PP_Grid[#Data],M_BOM[PPGridRow],37),0))</f>
        <v/>
      </c>
      <c r="AL31">
        <f>SUMPRODUCT((M_BOM[RM_Code]=$A31)*M_BOM[RM_Qty_Per_Batch]*IFERROR(INDEX(PP_Grid[#Data],M_BOM[PPGridRow],38),0))</f>
        <v/>
      </c>
      <c r="AM31">
        <f>SUMPRODUCT((M_BOM[RM_Code]=$A31)*M_BOM[RM_Qty_Per_Batch]*IFERROR(INDEX(PP_Grid[#Data],M_BOM[PPGridRow],39),0))</f>
        <v/>
      </c>
      <c r="AN31">
        <f>SUMPRODUCT((M_BOM[RM_Code]=$A31)*M_BOM[RM_Qty_Per_Batch]*IFERROR(INDEX(PP_Grid[#Data],M_BOM[PPGridRow],40),0))</f>
        <v/>
      </c>
      <c r="AO31">
        <f>SUMPRODUCT((M_BOM[RM_Code]=$A31)*M_BOM[RM_Qty_Per_Batch]*IFERROR(INDEX(PP_Grid[#Data],M_BOM[PPGridRow],41),0))</f>
        <v/>
      </c>
      <c r="AP31">
        <f>SUMPRODUCT((M_BOM[RM_Code]=$A31)*M_BOM[RM_Qty_Per_Batch]*IFERROR(INDEX(PP_Grid[#Data],M_BOM[PPGridRow],42),0))</f>
        <v/>
      </c>
      <c r="AQ31">
        <f>SUMPRODUCT((M_BOM[RM_Code]=$A31)*M_BOM[RM_Qty_Per_Batch]*IFERROR(INDEX(PP_Grid[#Data],M_BOM[PPGridRow],43),0))</f>
        <v/>
      </c>
      <c r="AR31">
        <f>SUMPRODUCT((M_BOM[RM_Code]=$A31)*M_BOM[RM_Qty_Per_Batch]*IFERROR(INDEX(PP_Grid[#Data],M_BOM[PPGridRow],44),0))</f>
        <v/>
      </c>
      <c r="AS31">
        <f>SUMPRODUCT((M_BOM[RM_Code]=$A31)*M_BOM[RM_Qty_Per_Batch]*IFERROR(INDEX(PP_Grid[#Data],M_BOM[PPGridRow],45),0))</f>
        <v/>
      </c>
      <c r="AT31">
        <f>SUMPRODUCT((M_BOM[RM_Code]=$A31)*M_BOM[RM_Qty_Per_Batch]*IFERROR(INDEX(PP_Grid[#Data],M_BOM[PPGridRow],46),0))</f>
        <v/>
      </c>
      <c r="AU31">
        <f>SUMPRODUCT((M_BOM[RM_Code]=$A31)*M_BOM[RM_Qty_Per_Batch]*IFERROR(INDEX(PP_Grid[#Data],M_BOM[PPGridRow],47),0))</f>
        <v/>
      </c>
      <c r="AV31">
        <f>SUMPRODUCT((M_BOM[RM_Code]=$A31)*M_BOM[RM_Qty_Per_Batch]*IFERROR(INDEX(PP_Grid[#Data],M_BOM[PPGridRow],48),0))</f>
        <v/>
      </c>
      <c r="AW31">
        <f>SUMPRODUCT((M_BOM[RM_Code]=$A31)*M_BOM[RM_Qty_Per_Batch]*IFERROR(INDEX(PP_Grid[#Data],M_BOM[PPGridRow],49),0))</f>
        <v/>
      </c>
      <c r="AX31">
        <f>SUMPRODUCT((M_BOM[RM_Code]=$A31)*M_BOM[RM_Qty_Per_Batch]*IFERROR(INDEX(PP_Grid[#Data],M_BOM[PPGridRow],50),0))</f>
        <v/>
      </c>
      <c r="AY31">
        <f>SUMPRODUCT((M_BOM[RM_Code]=$A31)*M_BOM[RM_Qty_Per_Batch]*IFERROR(INDEX(PP_Grid[#Data],M_BOM[PPGridRow],51),0))</f>
        <v/>
      </c>
      <c r="AZ31">
        <f>SUMPRODUCT((M_BOM[RM_Code]=$A31)*M_BOM[RM_Qty_Per_Batch]*IFERROR(INDEX(PP_Grid[#Data],M_BOM[PPGridRow],52),0))</f>
        <v/>
      </c>
      <c r="BA31">
        <f>SUMPRODUCT((M_BOM[RM_Code]=$A31)*M_BOM[RM_Qty_Per_Batch]*IFERROR(INDEX(PP_Grid[#Data],M_BOM[PPGridRow],53),0))</f>
        <v/>
      </c>
      <c r="BB31">
        <f>SUMPRODUCT((M_BOM[RM_Code]=$A31)*M_BOM[RM_Qty_Per_Batch]*IFERROR(INDEX(PP_Grid[#Data],M_BOM[PPGridRow],54),0))</f>
        <v/>
      </c>
      <c r="BC31">
        <f>SUMPRODUCT((M_BOM[RM_Code]=$A31)*M_BOM[RM_Qty_Per_Batch]*IFERROR(INDEX(PP_Grid[#Data],M_BOM[PPGridRow],55),0))</f>
        <v/>
      </c>
      <c r="BD31">
        <f>SUMPRODUCT((M_BOM[RM_Code]=$A31)*M_BOM[RM_Qty_Per_Batch]*IFERROR(INDEX(PP_Grid[#Data],M_BOM[PPGridRow],56),0))</f>
        <v/>
      </c>
      <c r="BE31">
        <f>SUMPRODUCT((M_BOM[RM_Code]=$A31)*M_BOM[RM_Qty_Per_Batch]*IFERROR(INDEX(PP_Grid[#Data],M_BOM[PPGridRow],57),0))</f>
        <v/>
      </c>
      <c r="BF31">
        <f>SUMPRODUCT((M_BOM[RM_Code]=$A31)*M_BOM[RM_Qty_Per_Batch]*IFERROR(INDEX(PP_Grid[#Data],M_BOM[PPGridRow],58),0))</f>
        <v/>
      </c>
      <c r="BG31">
        <f>SUMPRODUCT((M_BOM[RM_Code]=$A31)*M_BOM[RM_Qty_Per_Batch]*IFERROR(INDEX(PP_Grid[#Data],M_BOM[PPGridRow],59),0))</f>
        <v/>
      </c>
      <c r="BH31">
        <f>SUMPRODUCT((M_BOM[RM_Code]=$A31)*M_BOM[RM_Qty_Per_Batch]*IFERROR(INDEX(PP_Grid[#Data],M_BOM[PPGridRow],60),0))</f>
        <v/>
      </c>
      <c r="BI31">
        <f>SUMPRODUCT((M_BOM[RM_Code]=$A31)*M_BOM[RM_Qty_Per_Batch]*IFERROR(INDEX(PP_Grid[#Data],M_BOM[PPGridRow],61),0))</f>
        <v/>
      </c>
      <c r="BJ31">
        <f>SUMPRODUCT((M_BOM[RM_Code]=$A31)*M_BOM[RM_Qty_Per_Batch]*IFERROR(INDEX(PP_Grid[#Data],M_BOM[PPGridRow],62),0))</f>
        <v/>
      </c>
      <c r="BK31">
        <f>SUMPRODUCT((M_BOM[RM_Code]=$A31)*M_BOM[RM_Qty_Per_Batch]*IFERROR(INDEX(PP_Grid[#Data],M_BOM[PPGridRow],63),0))</f>
        <v/>
      </c>
      <c r="BL31">
        <f>SUMPRODUCT((M_BOM[RM_Code]=$A31)*M_BOM[RM_Qty_Per_Batch]*IFERROR(INDEX(PP_Grid[#Data],M_BOM[PPGridRow],64),0))</f>
        <v/>
      </c>
      <c r="BM31">
        <f>SUMPRODUCT((M_BOM[RM_Code]=$A31)*M_BOM[RM_Qty_Per_Batch]*IFERROR(INDEX(PP_Grid[#Data],M_BOM[PPGridRow],65),0))</f>
        <v/>
      </c>
      <c r="BN31">
        <f>SUMPRODUCT((M_BOM[RM_Code]=$A31)*M_BOM[RM_Qty_Per_Batch]*IFERROR(INDEX(PP_Grid[#Data],M_BOM[PPGridRow],66),0))</f>
        <v/>
      </c>
      <c r="BO31">
        <f>SUMPRODUCT((M_BOM[RM_Code]=$A31)*M_BOM[RM_Qty_Per_Batch]*IFERROR(INDEX(PP_Grid[#Data],M_BOM[PPGridRow],67),0))</f>
        <v/>
      </c>
      <c r="BP31">
        <f>SUMPRODUCT((M_BOM[RM_Code]=$A31)*M_BOM[RM_Qty_Per_Batch]*IFERROR(INDEX(PP_Grid[#Data],M_BOM[PPGridRow],68),0))</f>
        <v/>
      </c>
      <c r="BQ31">
        <f>SUMPRODUCT((M_BOM[RM_Code]=$A31)*M_BOM[RM_Qty_Per_Batch]*IFERROR(INDEX(PP_Grid[#Data],M_BOM[PPGridRow],69),0))</f>
        <v/>
      </c>
      <c r="BR31">
        <f>SUMPRODUCT((M_BOM[RM_Code]=$A31)*M_BOM[RM_Qty_Per_Batch]*IFERROR(INDEX(PP_Grid[#Data],M_BOM[PPGridRow],70),0))</f>
        <v/>
      </c>
      <c r="BS31">
        <f>SUMPRODUCT((M_BOM[RM_Code]=$A31)*M_BOM[RM_Qty_Per_Batch]*IFERROR(INDEX(PP_Grid[#Data],M_BOM[PPGridRow],71),0))</f>
        <v/>
      </c>
      <c r="BT31">
        <f>SUMPRODUCT((M_BOM[RM_Code]=$A31)*M_BOM[RM_Qty_Per_Batch]*IFERROR(INDEX(PP_Grid[#Data],M_BOM[PPGridRow],72),0))</f>
        <v/>
      </c>
      <c r="BU31">
        <f>SUMPRODUCT((M_BOM[RM_Code]=$A31)*M_BOM[RM_Qty_Per_Batch]*IFERROR(INDEX(PP_Grid[#Data],M_BOM[PPGridRow],73),0))</f>
        <v/>
      </c>
      <c r="BV31">
        <f>SUMPRODUCT((M_BOM[RM_Code]=$A31)*M_BOM[RM_Qty_Per_Batch]*IFERROR(INDEX(PP_Grid[#Data],M_BOM[PPGridRow],74),0))</f>
        <v/>
      </c>
      <c r="BW31">
        <f>SUMPRODUCT((M_BOM[RM_Code]=$A31)*M_BOM[RM_Qty_Per_Batch]*IFERROR(INDEX(PP_Grid[#Data],M_BOM[PPGridRow],75),0))</f>
        <v/>
      </c>
      <c r="BX31">
        <f>SUMPRODUCT((M_BOM[RM_Code]=$A31)*M_BOM[RM_Qty_Per_Batch]*IFERROR(INDEX(PP_Grid[#Data],M_BOM[PPGridRow],76),0))</f>
        <v/>
      </c>
      <c r="BY31">
        <f>SUMPRODUCT((M_BOM[RM_Code]=$A31)*M_BOM[RM_Qty_Per_Batch]*IFERROR(INDEX(PP_Grid[#Data],M_BOM[PPGridRow],77),0))</f>
        <v/>
      </c>
      <c r="BZ31">
        <f>SUMPRODUCT((M_BOM[RM_Code]=$A31)*M_BOM[RM_Qty_Per_Batch]*IFERROR(INDEX(PP_Grid[#Data],M_BOM[PPGridRow],78),0))</f>
        <v/>
      </c>
      <c r="CA31">
        <f>SUMPRODUCT((M_BOM[RM_Code]=$A31)*M_BOM[RM_Qty_Per_Batch]*IFERROR(INDEX(PP_Grid[#Data],M_BOM[PPGridRow],79),0))</f>
        <v/>
      </c>
      <c r="CB31">
        <f>SUMPRODUCT((M_BOM[RM_Code]=$A31)*M_BOM[RM_Qty_Per_Batch]*IFERROR(INDEX(PP_Grid[#Data],M_BOM[PPGridRow],80),0))</f>
        <v/>
      </c>
      <c r="CC31">
        <f>SUMPRODUCT((M_BOM[RM_Code]=$A31)*M_BOM[RM_Qty_Per_Batch]*IFERROR(INDEX(PP_Grid[#Data],M_BOM[PPGridRow],81),0))</f>
        <v/>
      </c>
      <c r="CD31">
        <f>SUMPRODUCT((M_BOM[RM_Code]=$A31)*M_BOM[RM_Qty_Per_Batch]*IFERROR(INDEX(PP_Grid[#Data],M_BOM[PPGridRow],82),0))</f>
        <v/>
      </c>
      <c r="CE31">
        <f>SUMPRODUCT((M_BOM[RM_Code]=$A31)*M_BOM[RM_Qty_Per_Batch]*IFERROR(INDEX(PP_Grid[#Data],M_BOM[PPGridRow],83),0))</f>
        <v/>
      </c>
      <c r="CF31">
        <f>SUMPRODUCT((M_BOM[RM_Code]=$A31)*M_BOM[RM_Qty_Per_Batch]*IFERROR(INDEX(PP_Grid[#Data],M_BOM[PPGridRow],84),0))</f>
        <v/>
      </c>
      <c r="CG31">
        <f>SUMPRODUCT((M_BOM[RM_Code]=$A31)*M_BOM[RM_Qty_Per_Batch]*IFERROR(INDEX(PP_Grid[#Data],M_BOM[PPGridRow],85),0))</f>
        <v/>
      </c>
      <c r="CH31">
        <f>SUMPRODUCT((M_BOM[RM_Code]=$A31)*M_BOM[RM_Qty_Per_Batch]*IFERROR(INDEX(PP_Grid[#Data],M_BOM[PPGridRow],86),0))</f>
        <v/>
      </c>
      <c r="CI31">
        <f>SUMPRODUCT((M_BOM[RM_Code]=$A31)*M_BOM[RM_Qty_Per_Batch]*IFERROR(INDEX(PP_Grid[#Data],M_BOM[PPGridRow],87),0))</f>
        <v/>
      </c>
      <c r="CJ31">
        <f>SUMPRODUCT((M_BOM[RM_Code]=$A31)*M_BOM[RM_Qty_Per_Batch]*IFERROR(INDEX(PP_Grid[#Data],M_BOM[PPGridRow],88),0))</f>
        <v/>
      </c>
      <c r="CK31">
        <f>SUMPRODUCT((M_BOM[RM_Code]=$A31)*M_BOM[RM_Qty_Per_Batch]*IFERROR(INDEX(PP_Grid[#Data],M_BOM[PPGridRow],89),0))</f>
        <v/>
      </c>
      <c r="CL31">
        <f>SUMPRODUCT((M_BOM[RM_Code]=$A31)*M_BOM[RM_Qty_Per_Batch]*IFERROR(INDEX(PP_Grid[#Data],M_BOM[PPGridRow],90),0))</f>
        <v/>
      </c>
      <c r="CM31">
        <f>SUMPRODUCT((M_BOM[RM_Code]=$A31)*M_BOM[RM_Qty_Per_Batch]*IFERROR(INDEX(PP_Grid[#Data],M_BOM[PPGridRow],91),0))</f>
        <v/>
      </c>
      <c r="CN31">
        <f>SUMPRODUCT((M_BOM[RM_Code]=$A31)*M_BOM[RM_Qty_Per_Batch]*IFERROR(INDEX(PP_Grid[#Data],M_BOM[PPGridRow],92),0))</f>
        <v/>
      </c>
      <c r="CO31">
        <f>SUMPRODUCT((M_BOM[RM_Code]=$A31)*M_BOM[RM_Qty_Per_Batch]*IFERROR(INDEX(PP_Grid[#Data],M_BOM[PPGridRow],93),0))</f>
        <v/>
      </c>
      <c r="CP31">
        <f>SUMPRODUCT((M_BOM[RM_Code]=$A31)*M_BOM[RM_Qty_Per_Batch]*IFERROR(INDEX(PP_Grid[#Data],M_BOM[PPGridRow],94),0))</f>
        <v/>
      </c>
      <c r="CQ31">
        <f>SUMPRODUCT((M_BOM[RM_Code]=$A31)*M_BOM[RM_Qty_Per_Batch]*IFERROR(INDEX(PP_Grid[#Data],M_BOM[PPGridRow],95),0))</f>
        <v/>
      </c>
      <c r="CR31">
        <f>SUMPRODUCT((M_BOM[RM_Code]=$A31)*M_BOM[RM_Qty_Per_Batch]*IFERROR(INDEX(PP_Grid[#Data],M_BOM[PPGridRow],96),0))</f>
        <v/>
      </c>
      <c r="CS31">
        <f>SUMPRODUCT((M_BOM[RM_Code]=$A31)*M_BOM[RM_Qty_Per_Batch]*IFERROR(INDEX(PP_Grid[#Data],M_BOM[PPGridRow],97),0))</f>
        <v/>
      </c>
      <c r="CT31">
        <f>SUMPRODUCT((M_BOM[RM_Code]=$A31)*M_BOM[RM_Qty_Per_Batch]*IFERROR(INDEX(PP_Grid[#Data],M_BOM[PPGridRow],98),0))</f>
        <v/>
      </c>
      <c r="CU31">
        <f>SUMPRODUCT((M_BOM[RM_Code]=$A31)*M_BOM[RM_Qty_Per_Batch]*IFERROR(INDEX(PP_Grid[#Data],M_BOM[PPGridRow],99),0))</f>
        <v/>
      </c>
      <c r="CV31">
        <f>SUMPRODUCT((M_BOM[RM_Code]=$A31)*M_BOM[RM_Qty_Per_Batch]*IFERROR(INDEX(PP_Grid[#Data],M_BOM[PPGridRow],100),0))</f>
        <v/>
      </c>
      <c r="CW31">
        <f>SUMPRODUCT((M_BOM[RM_Code]=$A31)*M_BOM[RM_Qty_Per_Batch]*IFERROR(INDEX(PP_Grid[#Data],M_BOM[PPGridRow],101),0))</f>
        <v/>
      </c>
      <c r="CX31">
        <f>SUMPRODUCT((M_BOM[RM_Code]=$A31)*M_BOM[RM_Qty_Per_Batch]*IFERROR(INDEX(PP_Grid[#Data],M_BOM[PPGridRow],102),0))</f>
        <v/>
      </c>
      <c r="CY31">
        <f>SUMPRODUCT((M_BOM[RM_Code]=$A31)*M_BOM[RM_Qty_Per_Batch]*IFERROR(INDEX(PP_Grid[#Data],M_BOM[PPGridRow],103),0))</f>
        <v/>
      </c>
      <c r="CZ31">
        <f>SUMPRODUCT((M_BOM[RM_Code]=$A31)*M_BOM[RM_Qty_Per_Batch]*IFERROR(INDEX(PP_Grid[#Data],M_BOM[PPGridRow],104),0))</f>
        <v/>
      </c>
      <c r="DA31">
        <f>SUMPRODUCT((M_BOM[RM_Code]=$A31)*M_BOM[RM_Qty_Per_Batch]*IFERROR(INDEX(PP_Grid[#Data],M_BOM[PPGridRow],105),0))</f>
        <v/>
      </c>
    </row>
    <row r="32">
      <c r="A32" t="inlineStr">
        <is>
          <t>YAN</t>
        </is>
      </c>
      <c r="B32">
        <f>SUMPRODUCT((M_BOM[RM_Code]=$A32)*M_BOM[RM_Qty_Per_Batch]*IFERROR(INDEX(PP_Grid[#Data],M_BOM[PPGridRow],2),0))</f>
        <v/>
      </c>
      <c r="C32">
        <f>SUMPRODUCT((M_BOM[RM_Code]=$A32)*M_BOM[RM_Qty_Per_Batch]*IFERROR(INDEX(PP_Grid[#Data],M_BOM[PPGridRow],3),0))</f>
        <v/>
      </c>
      <c r="D32">
        <f>SUMPRODUCT((M_BOM[RM_Code]=$A32)*M_BOM[RM_Qty_Per_Batch]*IFERROR(INDEX(PP_Grid[#Data],M_BOM[PPGridRow],4),0))</f>
        <v/>
      </c>
      <c r="E32">
        <f>SUMPRODUCT((M_BOM[RM_Code]=$A32)*M_BOM[RM_Qty_Per_Batch]*IFERROR(INDEX(PP_Grid[#Data],M_BOM[PPGridRow],5),0))</f>
        <v/>
      </c>
      <c r="F32">
        <f>SUMPRODUCT((M_BOM[RM_Code]=$A32)*M_BOM[RM_Qty_Per_Batch]*IFERROR(INDEX(PP_Grid[#Data],M_BOM[PPGridRow],6),0))</f>
        <v/>
      </c>
      <c r="G32">
        <f>SUMPRODUCT((M_BOM[RM_Code]=$A32)*M_BOM[RM_Qty_Per_Batch]*IFERROR(INDEX(PP_Grid[#Data],M_BOM[PPGridRow],7),0))</f>
        <v/>
      </c>
      <c r="H32">
        <f>SUMPRODUCT((M_BOM[RM_Code]=$A32)*M_BOM[RM_Qty_Per_Batch]*IFERROR(INDEX(PP_Grid[#Data],M_BOM[PPGridRow],8),0))</f>
        <v/>
      </c>
      <c r="I32">
        <f>SUMPRODUCT((M_BOM[RM_Code]=$A32)*M_BOM[RM_Qty_Per_Batch]*IFERROR(INDEX(PP_Grid[#Data],M_BOM[PPGridRow],9),0))</f>
        <v/>
      </c>
      <c r="J32">
        <f>SUMPRODUCT((M_BOM[RM_Code]=$A32)*M_BOM[RM_Qty_Per_Batch]*IFERROR(INDEX(PP_Grid[#Data],M_BOM[PPGridRow],10),0))</f>
        <v/>
      </c>
      <c r="K32">
        <f>SUMPRODUCT((M_BOM[RM_Code]=$A32)*M_BOM[RM_Qty_Per_Batch]*IFERROR(INDEX(PP_Grid[#Data],M_BOM[PPGridRow],11),0))</f>
        <v/>
      </c>
      <c r="L32">
        <f>SUMPRODUCT((M_BOM[RM_Code]=$A32)*M_BOM[RM_Qty_Per_Batch]*IFERROR(INDEX(PP_Grid[#Data],M_BOM[PPGridRow],12),0))</f>
        <v/>
      </c>
      <c r="M32">
        <f>SUMPRODUCT((M_BOM[RM_Code]=$A32)*M_BOM[RM_Qty_Per_Batch]*IFERROR(INDEX(PP_Grid[#Data],M_BOM[PPGridRow],13),0))</f>
        <v/>
      </c>
      <c r="N32">
        <f>SUMPRODUCT((M_BOM[RM_Code]=$A32)*M_BOM[RM_Qty_Per_Batch]*IFERROR(INDEX(PP_Grid[#Data],M_BOM[PPGridRow],14),0))</f>
        <v/>
      </c>
      <c r="O32">
        <f>SUMPRODUCT((M_BOM[RM_Code]=$A32)*M_BOM[RM_Qty_Per_Batch]*IFERROR(INDEX(PP_Grid[#Data],M_BOM[PPGridRow],15),0))</f>
        <v/>
      </c>
      <c r="P32">
        <f>SUMPRODUCT((M_BOM[RM_Code]=$A32)*M_BOM[RM_Qty_Per_Batch]*IFERROR(INDEX(PP_Grid[#Data],M_BOM[PPGridRow],16),0))</f>
        <v/>
      </c>
      <c r="Q32">
        <f>SUMPRODUCT((M_BOM[RM_Code]=$A32)*M_BOM[RM_Qty_Per_Batch]*IFERROR(INDEX(PP_Grid[#Data],M_BOM[PPGridRow],17),0))</f>
        <v/>
      </c>
      <c r="R32">
        <f>SUMPRODUCT((M_BOM[RM_Code]=$A32)*M_BOM[RM_Qty_Per_Batch]*IFERROR(INDEX(PP_Grid[#Data],M_BOM[PPGridRow],18),0))</f>
        <v/>
      </c>
      <c r="S32">
        <f>SUMPRODUCT((M_BOM[RM_Code]=$A32)*M_BOM[RM_Qty_Per_Batch]*IFERROR(INDEX(PP_Grid[#Data],M_BOM[PPGridRow],19),0))</f>
        <v/>
      </c>
      <c r="T32">
        <f>SUMPRODUCT((M_BOM[RM_Code]=$A32)*M_BOM[RM_Qty_Per_Batch]*IFERROR(INDEX(PP_Grid[#Data],M_BOM[PPGridRow],20),0))</f>
        <v/>
      </c>
      <c r="U32">
        <f>SUMPRODUCT((M_BOM[RM_Code]=$A32)*M_BOM[RM_Qty_Per_Batch]*IFERROR(INDEX(PP_Grid[#Data],M_BOM[PPGridRow],21),0))</f>
        <v/>
      </c>
      <c r="V32">
        <f>SUMPRODUCT((M_BOM[RM_Code]=$A32)*M_BOM[RM_Qty_Per_Batch]*IFERROR(INDEX(PP_Grid[#Data],M_BOM[PPGridRow],22),0))</f>
        <v/>
      </c>
      <c r="W32">
        <f>SUMPRODUCT((M_BOM[RM_Code]=$A32)*M_BOM[RM_Qty_Per_Batch]*IFERROR(INDEX(PP_Grid[#Data],M_BOM[PPGridRow],23),0))</f>
        <v/>
      </c>
      <c r="X32">
        <f>SUMPRODUCT((M_BOM[RM_Code]=$A32)*M_BOM[RM_Qty_Per_Batch]*IFERROR(INDEX(PP_Grid[#Data],M_BOM[PPGridRow],24),0))</f>
        <v/>
      </c>
      <c r="Y32">
        <f>SUMPRODUCT((M_BOM[RM_Code]=$A32)*M_BOM[RM_Qty_Per_Batch]*IFERROR(INDEX(PP_Grid[#Data],M_BOM[PPGridRow],25),0))</f>
        <v/>
      </c>
      <c r="Z32">
        <f>SUMPRODUCT((M_BOM[RM_Code]=$A32)*M_BOM[RM_Qty_Per_Batch]*IFERROR(INDEX(PP_Grid[#Data],M_BOM[PPGridRow],26),0))</f>
        <v/>
      </c>
      <c r="AA32">
        <f>SUMPRODUCT((M_BOM[RM_Code]=$A32)*M_BOM[RM_Qty_Per_Batch]*IFERROR(INDEX(PP_Grid[#Data],M_BOM[PPGridRow],27),0))</f>
        <v/>
      </c>
      <c r="AB32">
        <f>SUMPRODUCT((M_BOM[RM_Code]=$A32)*M_BOM[RM_Qty_Per_Batch]*IFERROR(INDEX(PP_Grid[#Data],M_BOM[PPGridRow],28),0))</f>
        <v/>
      </c>
      <c r="AC32">
        <f>SUMPRODUCT((M_BOM[RM_Code]=$A32)*M_BOM[RM_Qty_Per_Batch]*IFERROR(INDEX(PP_Grid[#Data],M_BOM[PPGridRow],29),0))</f>
        <v/>
      </c>
      <c r="AD32">
        <f>SUMPRODUCT((M_BOM[RM_Code]=$A32)*M_BOM[RM_Qty_Per_Batch]*IFERROR(INDEX(PP_Grid[#Data],M_BOM[PPGridRow],30),0))</f>
        <v/>
      </c>
      <c r="AE32">
        <f>SUMPRODUCT((M_BOM[RM_Code]=$A32)*M_BOM[RM_Qty_Per_Batch]*IFERROR(INDEX(PP_Grid[#Data],M_BOM[PPGridRow],31),0))</f>
        <v/>
      </c>
      <c r="AF32">
        <f>SUMPRODUCT((M_BOM[RM_Code]=$A32)*M_BOM[RM_Qty_Per_Batch]*IFERROR(INDEX(PP_Grid[#Data],M_BOM[PPGridRow],32),0))</f>
        <v/>
      </c>
      <c r="AG32">
        <f>SUMPRODUCT((M_BOM[RM_Code]=$A32)*M_BOM[RM_Qty_Per_Batch]*IFERROR(INDEX(PP_Grid[#Data],M_BOM[PPGridRow],33),0))</f>
        <v/>
      </c>
      <c r="AH32">
        <f>SUMPRODUCT((M_BOM[RM_Code]=$A32)*M_BOM[RM_Qty_Per_Batch]*IFERROR(INDEX(PP_Grid[#Data],M_BOM[PPGridRow],34),0))</f>
        <v/>
      </c>
      <c r="AI32">
        <f>SUMPRODUCT((M_BOM[RM_Code]=$A32)*M_BOM[RM_Qty_Per_Batch]*IFERROR(INDEX(PP_Grid[#Data],M_BOM[PPGridRow],35),0))</f>
        <v/>
      </c>
      <c r="AJ32">
        <f>SUMPRODUCT((M_BOM[RM_Code]=$A32)*M_BOM[RM_Qty_Per_Batch]*IFERROR(INDEX(PP_Grid[#Data],M_BOM[PPGridRow],36),0))</f>
        <v/>
      </c>
      <c r="AK32">
        <f>SUMPRODUCT((M_BOM[RM_Code]=$A32)*M_BOM[RM_Qty_Per_Batch]*IFERROR(INDEX(PP_Grid[#Data],M_BOM[PPGridRow],37),0))</f>
        <v/>
      </c>
      <c r="AL32">
        <f>SUMPRODUCT((M_BOM[RM_Code]=$A32)*M_BOM[RM_Qty_Per_Batch]*IFERROR(INDEX(PP_Grid[#Data],M_BOM[PPGridRow],38),0))</f>
        <v/>
      </c>
      <c r="AM32">
        <f>SUMPRODUCT((M_BOM[RM_Code]=$A32)*M_BOM[RM_Qty_Per_Batch]*IFERROR(INDEX(PP_Grid[#Data],M_BOM[PPGridRow],39),0))</f>
        <v/>
      </c>
      <c r="AN32">
        <f>SUMPRODUCT((M_BOM[RM_Code]=$A32)*M_BOM[RM_Qty_Per_Batch]*IFERROR(INDEX(PP_Grid[#Data],M_BOM[PPGridRow],40),0))</f>
        <v/>
      </c>
      <c r="AO32">
        <f>SUMPRODUCT((M_BOM[RM_Code]=$A32)*M_BOM[RM_Qty_Per_Batch]*IFERROR(INDEX(PP_Grid[#Data],M_BOM[PPGridRow],41),0))</f>
        <v/>
      </c>
      <c r="AP32">
        <f>SUMPRODUCT((M_BOM[RM_Code]=$A32)*M_BOM[RM_Qty_Per_Batch]*IFERROR(INDEX(PP_Grid[#Data],M_BOM[PPGridRow],42),0))</f>
        <v/>
      </c>
      <c r="AQ32">
        <f>SUMPRODUCT((M_BOM[RM_Code]=$A32)*M_BOM[RM_Qty_Per_Batch]*IFERROR(INDEX(PP_Grid[#Data],M_BOM[PPGridRow],43),0))</f>
        <v/>
      </c>
      <c r="AR32">
        <f>SUMPRODUCT((M_BOM[RM_Code]=$A32)*M_BOM[RM_Qty_Per_Batch]*IFERROR(INDEX(PP_Grid[#Data],M_BOM[PPGridRow],44),0))</f>
        <v/>
      </c>
      <c r="AS32">
        <f>SUMPRODUCT((M_BOM[RM_Code]=$A32)*M_BOM[RM_Qty_Per_Batch]*IFERROR(INDEX(PP_Grid[#Data],M_BOM[PPGridRow],45),0))</f>
        <v/>
      </c>
      <c r="AT32">
        <f>SUMPRODUCT((M_BOM[RM_Code]=$A32)*M_BOM[RM_Qty_Per_Batch]*IFERROR(INDEX(PP_Grid[#Data],M_BOM[PPGridRow],46),0))</f>
        <v/>
      </c>
      <c r="AU32">
        <f>SUMPRODUCT((M_BOM[RM_Code]=$A32)*M_BOM[RM_Qty_Per_Batch]*IFERROR(INDEX(PP_Grid[#Data],M_BOM[PPGridRow],47),0))</f>
        <v/>
      </c>
      <c r="AV32">
        <f>SUMPRODUCT((M_BOM[RM_Code]=$A32)*M_BOM[RM_Qty_Per_Batch]*IFERROR(INDEX(PP_Grid[#Data],M_BOM[PPGridRow],48),0))</f>
        <v/>
      </c>
      <c r="AW32">
        <f>SUMPRODUCT((M_BOM[RM_Code]=$A32)*M_BOM[RM_Qty_Per_Batch]*IFERROR(INDEX(PP_Grid[#Data],M_BOM[PPGridRow],49),0))</f>
        <v/>
      </c>
      <c r="AX32">
        <f>SUMPRODUCT((M_BOM[RM_Code]=$A32)*M_BOM[RM_Qty_Per_Batch]*IFERROR(INDEX(PP_Grid[#Data],M_BOM[PPGridRow],50),0))</f>
        <v/>
      </c>
      <c r="AY32">
        <f>SUMPRODUCT((M_BOM[RM_Code]=$A32)*M_BOM[RM_Qty_Per_Batch]*IFERROR(INDEX(PP_Grid[#Data],M_BOM[PPGridRow],51),0))</f>
        <v/>
      </c>
      <c r="AZ32">
        <f>SUMPRODUCT((M_BOM[RM_Code]=$A32)*M_BOM[RM_Qty_Per_Batch]*IFERROR(INDEX(PP_Grid[#Data],M_BOM[PPGridRow],52),0))</f>
        <v/>
      </c>
      <c r="BA32">
        <f>SUMPRODUCT((M_BOM[RM_Code]=$A32)*M_BOM[RM_Qty_Per_Batch]*IFERROR(INDEX(PP_Grid[#Data],M_BOM[PPGridRow],53),0))</f>
        <v/>
      </c>
      <c r="BB32">
        <f>SUMPRODUCT((M_BOM[RM_Code]=$A32)*M_BOM[RM_Qty_Per_Batch]*IFERROR(INDEX(PP_Grid[#Data],M_BOM[PPGridRow],54),0))</f>
        <v/>
      </c>
      <c r="BC32">
        <f>SUMPRODUCT((M_BOM[RM_Code]=$A32)*M_BOM[RM_Qty_Per_Batch]*IFERROR(INDEX(PP_Grid[#Data],M_BOM[PPGridRow],55),0))</f>
        <v/>
      </c>
      <c r="BD32">
        <f>SUMPRODUCT((M_BOM[RM_Code]=$A32)*M_BOM[RM_Qty_Per_Batch]*IFERROR(INDEX(PP_Grid[#Data],M_BOM[PPGridRow],56),0))</f>
        <v/>
      </c>
      <c r="BE32">
        <f>SUMPRODUCT((M_BOM[RM_Code]=$A32)*M_BOM[RM_Qty_Per_Batch]*IFERROR(INDEX(PP_Grid[#Data],M_BOM[PPGridRow],57),0))</f>
        <v/>
      </c>
      <c r="BF32">
        <f>SUMPRODUCT((M_BOM[RM_Code]=$A32)*M_BOM[RM_Qty_Per_Batch]*IFERROR(INDEX(PP_Grid[#Data],M_BOM[PPGridRow],58),0))</f>
        <v/>
      </c>
      <c r="BG32">
        <f>SUMPRODUCT((M_BOM[RM_Code]=$A32)*M_BOM[RM_Qty_Per_Batch]*IFERROR(INDEX(PP_Grid[#Data],M_BOM[PPGridRow],59),0))</f>
        <v/>
      </c>
      <c r="BH32">
        <f>SUMPRODUCT((M_BOM[RM_Code]=$A32)*M_BOM[RM_Qty_Per_Batch]*IFERROR(INDEX(PP_Grid[#Data],M_BOM[PPGridRow],60),0))</f>
        <v/>
      </c>
      <c r="BI32">
        <f>SUMPRODUCT((M_BOM[RM_Code]=$A32)*M_BOM[RM_Qty_Per_Batch]*IFERROR(INDEX(PP_Grid[#Data],M_BOM[PPGridRow],61),0))</f>
        <v/>
      </c>
      <c r="BJ32">
        <f>SUMPRODUCT((M_BOM[RM_Code]=$A32)*M_BOM[RM_Qty_Per_Batch]*IFERROR(INDEX(PP_Grid[#Data],M_BOM[PPGridRow],62),0))</f>
        <v/>
      </c>
      <c r="BK32">
        <f>SUMPRODUCT((M_BOM[RM_Code]=$A32)*M_BOM[RM_Qty_Per_Batch]*IFERROR(INDEX(PP_Grid[#Data],M_BOM[PPGridRow],63),0))</f>
        <v/>
      </c>
      <c r="BL32">
        <f>SUMPRODUCT((M_BOM[RM_Code]=$A32)*M_BOM[RM_Qty_Per_Batch]*IFERROR(INDEX(PP_Grid[#Data],M_BOM[PPGridRow],64),0))</f>
        <v/>
      </c>
      <c r="BM32">
        <f>SUMPRODUCT((M_BOM[RM_Code]=$A32)*M_BOM[RM_Qty_Per_Batch]*IFERROR(INDEX(PP_Grid[#Data],M_BOM[PPGridRow],65),0))</f>
        <v/>
      </c>
      <c r="BN32">
        <f>SUMPRODUCT((M_BOM[RM_Code]=$A32)*M_BOM[RM_Qty_Per_Batch]*IFERROR(INDEX(PP_Grid[#Data],M_BOM[PPGridRow],66),0))</f>
        <v/>
      </c>
      <c r="BO32">
        <f>SUMPRODUCT((M_BOM[RM_Code]=$A32)*M_BOM[RM_Qty_Per_Batch]*IFERROR(INDEX(PP_Grid[#Data],M_BOM[PPGridRow],67),0))</f>
        <v/>
      </c>
      <c r="BP32">
        <f>SUMPRODUCT((M_BOM[RM_Code]=$A32)*M_BOM[RM_Qty_Per_Batch]*IFERROR(INDEX(PP_Grid[#Data],M_BOM[PPGridRow],68),0))</f>
        <v/>
      </c>
      <c r="BQ32">
        <f>SUMPRODUCT((M_BOM[RM_Code]=$A32)*M_BOM[RM_Qty_Per_Batch]*IFERROR(INDEX(PP_Grid[#Data],M_BOM[PPGridRow],69),0))</f>
        <v/>
      </c>
      <c r="BR32">
        <f>SUMPRODUCT((M_BOM[RM_Code]=$A32)*M_BOM[RM_Qty_Per_Batch]*IFERROR(INDEX(PP_Grid[#Data],M_BOM[PPGridRow],70),0))</f>
        <v/>
      </c>
      <c r="BS32">
        <f>SUMPRODUCT((M_BOM[RM_Code]=$A32)*M_BOM[RM_Qty_Per_Batch]*IFERROR(INDEX(PP_Grid[#Data],M_BOM[PPGridRow],71),0))</f>
        <v/>
      </c>
      <c r="BT32">
        <f>SUMPRODUCT((M_BOM[RM_Code]=$A32)*M_BOM[RM_Qty_Per_Batch]*IFERROR(INDEX(PP_Grid[#Data],M_BOM[PPGridRow],72),0))</f>
        <v/>
      </c>
      <c r="BU32">
        <f>SUMPRODUCT((M_BOM[RM_Code]=$A32)*M_BOM[RM_Qty_Per_Batch]*IFERROR(INDEX(PP_Grid[#Data],M_BOM[PPGridRow],73),0))</f>
        <v/>
      </c>
      <c r="BV32">
        <f>SUMPRODUCT((M_BOM[RM_Code]=$A32)*M_BOM[RM_Qty_Per_Batch]*IFERROR(INDEX(PP_Grid[#Data],M_BOM[PPGridRow],74),0))</f>
        <v/>
      </c>
      <c r="BW32">
        <f>SUMPRODUCT((M_BOM[RM_Code]=$A32)*M_BOM[RM_Qty_Per_Batch]*IFERROR(INDEX(PP_Grid[#Data],M_BOM[PPGridRow],75),0))</f>
        <v/>
      </c>
      <c r="BX32">
        <f>SUMPRODUCT((M_BOM[RM_Code]=$A32)*M_BOM[RM_Qty_Per_Batch]*IFERROR(INDEX(PP_Grid[#Data],M_BOM[PPGridRow],76),0))</f>
        <v/>
      </c>
      <c r="BY32">
        <f>SUMPRODUCT((M_BOM[RM_Code]=$A32)*M_BOM[RM_Qty_Per_Batch]*IFERROR(INDEX(PP_Grid[#Data],M_BOM[PPGridRow],77),0))</f>
        <v/>
      </c>
      <c r="BZ32">
        <f>SUMPRODUCT((M_BOM[RM_Code]=$A32)*M_BOM[RM_Qty_Per_Batch]*IFERROR(INDEX(PP_Grid[#Data],M_BOM[PPGridRow],78),0))</f>
        <v/>
      </c>
      <c r="CA32">
        <f>SUMPRODUCT((M_BOM[RM_Code]=$A32)*M_BOM[RM_Qty_Per_Batch]*IFERROR(INDEX(PP_Grid[#Data],M_BOM[PPGridRow],79),0))</f>
        <v/>
      </c>
      <c r="CB32">
        <f>SUMPRODUCT((M_BOM[RM_Code]=$A32)*M_BOM[RM_Qty_Per_Batch]*IFERROR(INDEX(PP_Grid[#Data],M_BOM[PPGridRow],80),0))</f>
        <v/>
      </c>
      <c r="CC32">
        <f>SUMPRODUCT((M_BOM[RM_Code]=$A32)*M_BOM[RM_Qty_Per_Batch]*IFERROR(INDEX(PP_Grid[#Data],M_BOM[PPGridRow],81),0))</f>
        <v/>
      </c>
      <c r="CD32">
        <f>SUMPRODUCT((M_BOM[RM_Code]=$A32)*M_BOM[RM_Qty_Per_Batch]*IFERROR(INDEX(PP_Grid[#Data],M_BOM[PPGridRow],82),0))</f>
        <v/>
      </c>
      <c r="CE32">
        <f>SUMPRODUCT((M_BOM[RM_Code]=$A32)*M_BOM[RM_Qty_Per_Batch]*IFERROR(INDEX(PP_Grid[#Data],M_BOM[PPGridRow],83),0))</f>
        <v/>
      </c>
      <c r="CF32">
        <f>SUMPRODUCT((M_BOM[RM_Code]=$A32)*M_BOM[RM_Qty_Per_Batch]*IFERROR(INDEX(PP_Grid[#Data],M_BOM[PPGridRow],84),0))</f>
        <v/>
      </c>
      <c r="CG32">
        <f>SUMPRODUCT((M_BOM[RM_Code]=$A32)*M_BOM[RM_Qty_Per_Batch]*IFERROR(INDEX(PP_Grid[#Data],M_BOM[PPGridRow],85),0))</f>
        <v/>
      </c>
      <c r="CH32">
        <f>SUMPRODUCT((M_BOM[RM_Code]=$A32)*M_BOM[RM_Qty_Per_Batch]*IFERROR(INDEX(PP_Grid[#Data],M_BOM[PPGridRow],86),0))</f>
        <v/>
      </c>
      <c r="CI32">
        <f>SUMPRODUCT((M_BOM[RM_Code]=$A32)*M_BOM[RM_Qty_Per_Batch]*IFERROR(INDEX(PP_Grid[#Data],M_BOM[PPGridRow],87),0))</f>
        <v/>
      </c>
      <c r="CJ32">
        <f>SUMPRODUCT((M_BOM[RM_Code]=$A32)*M_BOM[RM_Qty_Per_Batch]*IFERROR(INDEX(PP_Grid[#Data],M_BOM[PPGridRow],88),0))</f>
        <v/>
      </c>
      <c r="CK32">
        <f>SUMPRODUCT((M_BOM[RM_Code]=$A32)*M_BOM[RM_Qty_Per_Batch]*IFERROR(INDEX(PP_Grid[#Data],M_BOM[PPGridRow],89),0))</f>
        <v/>
      </c>
      <c r="CL32">
        <f>SUMPRODUCT((M_BOM[RM_Code]=$A32)*M_BOM[RM_Qty_Per_Batch]*IFERROR(INDEX(PP_Grid[#Data],M_BOM[PPGridRow],90),0))</f>
        <v/>
      </c>
      <c r="CM32">
        <f>SUMPRODUCT((M_BOM[RM_Code]=$A32)*M_BOM[RM_Qty_Per_Batch]*IFERROR(INDEX(PP_Grid[#Data],M_BOM[PPGridRow],91),0))</f>
        <v/>
      </c>
      <c r="CN32">
        <f>SUMPRODUCT((M_BOM[RM_Code]=$A32)*M_BOM[RM_Qty_Per_Batch]*IFERROR(INDEX(PP_Grid[#Data],M_BOM[PPGridRow],92),0))</f>
        <v/>
      </c>
      <c r="CO32">
        <f>SUMPRODUCT((M_BOM[RM_Code]=$A32)*M_BOM[RM_Qty_Per_Batch]*IFERROR(INDEX(PP_Grid[#Data],M_BOM[PPGridRow],93),0))</f>
        <v/>
      </c>
      <c r="CP32">
        <f>SUMPRODUCT((M_BOM[RM_Code]=$A32)*M_BOM[RM_Qty_Per_Batch]*IFERROR(INDEX(PP_Grid[#Data],M_BOM[PPGridRow],94),0))</f>
        <v/>
      </c>
      <c r="CQ32">
        <f>SUMPRODUCT((M_BOM[RM_Code]=$A32)*M_BOM[RM_Qty_Per_Batch]*IFERROR(INDEX(PP_Grid[#Data],M_BOM[PPGridRow],95),0))</f>
        <v/>
      </c>
      <c r="CR32">
        <f>SUMPRODUCT((M_BOM[RM_Code]=$A32)*M_BOM[RM_Qty_Per_Batch]*IFERROR(INDEX(PP_Grid[#Data],M_BOM[PPGridRow],96),0))</f>
        <v/>
      </c>
      <c r="CS32">
        <f>SUMPRODUCT((M_BOM[RM_Code]=$A32)*M_BOM[RM_Qty_Per_Batch]*IFERROR(INDEX(PP_Grid[#Data],M_BOM[PPGridRow],97),0))</f>
        <v/>
      </c>
      <c r="CT32">
        <f>SUMPRODUCT((M_BOM[RM_Code]=$A32)*M_BOM[RM_Qty_Per_Batch]*IFERROR(INDEX(PP_Grid[#Data],M_BOM[PPGridRow],98),0))</f>
        <v/>
      </c>
      <c r="CU32">
        <f>SUMPRODUCT((M_BOM[RM_Code]=$A32)*M_BOM[RM_Qty_Per_Batch]*IFERROR(INDEX(PP_Grid[#Data],M_BOM[PPGridRow],99),0))</f>
        <v/>
      </c>
      <c r="CV32">
        <f>SUMPRODUCT((M_BOM[RM_Code]=$A32)*M_BOM[RM_Qty_Per_Batch]*IFERROR(INDEX(PP_Grid[#Data],M_BOM[PPGridRow],100),0))</f>
        <v/>
      </c>
      <c r="CW32">
        <f>SUMPRODUCT((M_BOM[RM_Code]=$A32)*M_BOM[RM_Qty_Per_Batch]*IFERROR(INDEX(PP_Grid[#Data],M_BOM[PPGridRow],101),0))</f>
        <v/>
      </c>
      <c r="CX32">
        <f>SUMPRODUCT((M_BOM[RM_Code]=$A32)*M_BOM[RM_Qty_Per_Batch]*IFERROR(INDEX(PP_Grid[#Data],M_BOM[PPGridRow],102),0))</f>
        <v/>
      </c>
      <c r="CY32">
        <f>SUMPRODUCT((M_BOM[RM_Code]=$A32)*M_BOM[RM_Qty_Per_Batch]*IFERROR(INDEX(PP_Grid[#Data],M_BOM[PPGridRow],103),0))</f>
        <v/>
      </c>
      <c r="CZ32">
        <f>SUMPRODUCT((M_BOM[RM_Code]=$A32)*M_BOM[RM_Qty_Per_Batch]*IFERROR(INDEX(PP_Grid[#Data],M_BOM[PPGridRow],104),0))</f>
        <v/>
      </c>
      <c r="DA32">
        <f>SUMPRODUCT((M_BOM[RM_Code]=$A32)*M_BOM[RM_Qty_Per_Batch]*IFERROR(INDEX(PP_Grid[#Data],M_BOM[PPGridRow],105),0))</f>
        <v/>
      </c>
    </row>
    <row r="33">
      <c r="A33" t="inlineStr">
        <is>
          <t>KEJ</t>
        </is>
      </c>
      <c r="B33">
        <f>SUMPRODUCT((M_BOM[RM_Code]=$A33)*M_BOM[RM_Qty_Per_Batch]*IFERROR(INDEX(PP_Grid[#Data],M_BOM[PPGridRow],2),0))</f>
        <v/>
      </c>
      <c r="C33">
        <f>SUMPRODUCT((M_BOM[RM_Code]=$A33)*M_BOM[RM_Qty_Per_Batch]*IFERROR(INDEX(PP_Grid[#Data],M_BOM[PPGridRow],3),0))</f>
        <v/>
      </c>
      <c r="D33">
        <f>SUMPRODUCT((M_BOM[RM_Code]=$A33)*M_BOM[RM_Qty_Per_Batch]*IFERROR(INDEX(PP_Grid[#Data],M_BOM[PPGridRow],4),0))</f>
        <v/>
      </c>
      <c r="E33">
        <f>SUMPRODUCT((M_BOM[RM_Code]=$A33)*M_BOM[RM_Qty_Per_Batch]*IFERROR(INDEX(PP_Grid[#Data],M_BOM[PPGridRow],5),0))</f>
        <v/>
      </c>
      <c r="F33">
        <f>SUMPRODUCT((M_BOM[RM_Code]=$A33)*M_BOM[RM_Qty_Per_Batch]*IFERROR(INDEX(PP_Grid[#Data],M_BOM[PPGridRow],6),0))</f>
        <v/>
      </c>
      <c r="G33">
        <f>SUMPRODUCT((M_BOM[RM_Code]=$A33)*M_BOM[RM_Qty_Per_Batch]*IFERROR(INDEX(PP_Grid[#Data],M_BOM[PPGridRow],7),0))</f>
        <v/>
      </c>
      <c r="H33">
        <f>SUMPRODUCT((M_BOM[RM_Code]=$A33)*M_BOM[RM_Qty_Per_Batch]*IFERROR(INDEX(PP_Grid[#Data],M_BOM[PPGridRow],8),0))</f>
        <v/>
      </c>
      <c r="I33">
        <f>SUMPRODUCT((M_BOM[RM_Code]=$A33)*M_BOM[RM_Qty_Per_Batch]*IFERROR(INDEX(PP_Grid[#Data],M_BOM[PPGridRow],9),0))</f>
        <v/>
      </c>
      <c r="J33">
        <f>SUMPRODUCT((M_BOM[RM_Code]=$A33)*M_BOM[RM_Qty_Per_Batch]*IFERROR(INDEX(PP_Grid[#Data],M_BOM[PPGridRow],10),0))</f>
        <v/>
      </c>
      <c r="K33">
        <f>SUMPRODUCT((M_BOM[RM_Code]=$A33)*M_BOM[RM_Qty_Per_Batch]*IFERROR(INDEX(PP_Grid[#Data],M_BOM[PPGridRow],11),0))</f>
        <v/>
      </c>
      <c r="L33">
        <f>SUMPRODUCT((M_BOM[RM_Code]=$A33)*M_BOM[RM_Qty_Per_Batch]*IFERROR(INDEX(PP_Grid[#Data],M_BOM[PPGridRow],12),0))</f>
        <v/>
      </c>
      <c r="M33">
        <f>SUMPRODUCT((M_BOM[RM_Code]=$A33)*M_BOM[RM_Qty_Per_Batch]*IFERROR(INDEX(PP_Grid[#Data],M_BOM[PPGridRow],13),0))</f>
        <v/>
      </c>
      <c r="N33">
        <f>SUMPRODUCT((M_BOM[RM_Code]=$A33)*M_BOM[RM_Qty_Per_Batch]*IFERROR(INDEX(PP_Grid[#Data],M_BOM[PPGridRow],14),0))</f>
        <v/>
      </c>
      <c r="O33">
        <f>SUMPRODUCT((M_BOM[RM_Code]=$A33)*M_BOM[RM_Qty_Per_Batch]*IFERROR(INDEX(PP_Grid[#Data],M_BOM[PPGridRow],15),0))</f>
        <v/>
      </c>
      <c r="P33">
        <f>SUMPRODUCT((M_BOM[RM_Code]=$A33)*M_BOM[RM_Qty_Per_Batch]*IFERROR(INDEX(PP_Grid[#Data],M_BOM[PPGridRow],16),0))</f>
        <v/>
      </c>
      <c r="Q33">
        <f>SUMPRODUCT((M_BOM[RM_Code]=$A33)*M_BOM[RM_Qty_Per_Batch]*IFERROR(INDEX(PP_Grid[#Data],M_BOM[PPGridRow],17),0))</f>
        <v/>
      </c>
      <c r="R33">
        <f>SUMPRODUCT((M_BOM[RM_Code]=$A33)*M_BOM[RM_Qty_Per_Batch]*IFERROR(INDEX(PP_Grid[#Data],M_BOM[PPGridRow],18),0))</f>
        <v/>
      </c>
      <c r="S33">
        <f>SUMPRODUCT((M_BOM[RM_Code]=$A33)*M_BOM[RM_Qty_Per_Batch]*IFERROR(INDEX(PP_Grid[#Data],M_BOM[PPGridRow],19),0))</f>
        <v/>
      </c>
      <c r="T33">
        <f>SUMPRODUCT((M_BOM[RM_Code]=$A33)*M_BOM[RM_Qty_Per_Batch]*IFERROR(INDEX(PP_Grid[#Data],M_BOM[PPGridRow],20),0))</f>
        <v/>
      </c>
      <c r="U33">
        <f>SUMPRODUCT((M_BOM[RM_Code]=$A33)*M_BOM[RM_Qty_Per_Batch]*IFERROR(INDEX(PP_Grid[#Data],M_BOM[PPGridRow],21),0))</f>
        <v/>
      </c>
      <c r="V33">
        <f>SUMPRODUCT((M_BOM[RM_Code]=$A33)*M_BOM[RM_Qty_Per_Batch]*IFERROR(INDEX(PP_Grid[#Data],M_BOM[PPGridRow],22),0))</f>
        <v/>
      </c>
      <c r="W33">
        <f>SUMPRODUCT((M_BOM[RM_Code]=$A33)*M_BOM[RM_Qty_Per_Batch]*IFERROR(INDEX(PP_Grid[#Data],M_BOM[PPGridRow],23),0))</f>
        <v/>
      </c>
      <c r="X33">
        <f>SUMPRODUCT((M_BOM[RM_Code]=$A33)*M_BOM[RM_Qty_Per_Batch]*IFERROR(INDEX(PP_Grid[#Data],M_BOM[PPGridRow],24),0))</f>
        <v/>
      </c>
      <c r="Y33">
        <f>SUMPRODUCT((M_BOM[RM_Code]=$A33)*M_BOM[RM_Qty_Per_Batch]*IFERROR(INDEX(PP_Grid[#Data],M_BOM[PPGridRow],25),0))</f>
        <v/>
      </c>
      <c r="Z33">
        <f>SUMPRODUCT((M_BOM[RM_Code]=$A33)*M_BOM[RM_Qty_Per_Batch]*IFERROR(INDEX(PP_Grid[#Data],M_BOM[PPGridRow],26),0))</f>
        <v/>
      </c>
      <c r="AA33">
        <f>SUMPRODUCT((M_BOM[RM_Code]=$A33)*M_BOM[RM_Qty_Per_Batch]*IFERROR(INDEX(PP_Grid[#Data],M_BOM[PPGridRow],27),0))</f>
        <v/>
      </c>
      <c r="AB33">
        <f>SUMPRODUCT((M_BOM[RM_Code]=$A33)*M_BOM[RM_Qty_Per_Batch]*IFERROR(INDEX(PP_Grid[#Data],M_BOM[PPGridRow],28),0))</f>
        <v/>
      </c>
      <c r="AC33">
        <f>SUMPRODUCT((M_BOM[RM_Code]=$A33)*M_BOM[RM_Qty_Per_Batch]*IFERROR(INDEX(PP_Grid[#Data],M_BOM[PPGridRow],29),0))</f>
        <v/>
      </c>
      <c r="AD33">
        <f>SUMPRODUCT((M_BOM[RM_Code]=$A33)*M_BOM[RM_Qty_Per_Batch]*IFERROR(INDEX(PP_Grid[#Data],M_BOM[PPGridRow],30),0))</f>
        <v/>
      </c>
      <c r="AE33">
        <f>SUMPRODUCT((M_BOM[RM_Code]=$A33)*M_BOM[RM_Qty_Per_Batch]*IFERROR(INDEX(PP_Grid[#Data],M_BOM[PPGridRow],31),0))</f>
        <v/>
      </c>
      <c r="AF33">
        <f>SUMPRODUCT((M_BOM[RM_Code]=$A33)*M_BOM[RM_Qty_Per_Batch]*IFERROR(INDEX(PP_Grid[#Data],M_BOM[PPGridRow],32),0))</f>
        <v/>
      </c>
      <c r="AG33">
        <f>SUMPRODUCT((M_BOM[RM_Code]=$A33)*M_BOM[RM_Qty_Per_Batch]*IFERROR(INDEX(PP_Grid[#Data],M_BOM[PPGridRow],33),0))</f>
        <v/>
      </c>
      <c r="AH33">
        <f>SUMPRODUCT((M_BOM[RM_Code]=$A33)*M_BOM[RM_Qty_Per_Batch]*IFERROR(INDEX(PP_Grid[#Data],M_BOM[PPGridRow],34),0))</f>
        <v/>
      </c>
      <c r="AI33">
        <f>SUMPRODUCT((M_BOM[RM_Code]=$A33)*M_BOM[RM_Qty_Per_Batch]*IFERROR(INDEX(PP_Grid[#Data],M_BOM[PPGridRow],35),0))</f>
        <v/>
      </c>
      <c r="AJ33">
        <f>SUMPRODUCT((M_BOM[RM_Code]=$A33)*M_BOM[RM_Qty_Per_Batch]*IFERROR(INDEX(PP_Grid[#Data],M_BOM[PPGridRow],36),0))</f>
        <v/>
      </c>
      <c r="AK33">
        <f>SUMPRODUCT((M_BOM[RM_Code]=$A33)*M_BOM[RM_Qty_Per_Batch]*IFERROR(INDEX(PP_Grid[#Data],M_BOM[PPGridRow],37),0))</f>
        <v/>
      </c>
      <c r="AL33">
        <f>SUMPRODUCT((M_BOM[RM_Code]=$A33)*M_BOM[RM_Qty_Per_Batch]*IFERROR(INDEX(PP_Grid[#Data],M_BOM[PPGridRow],38),0))</f>
        <v/>
      </c>
      <c r="AM33">
        <f>SUMPRODUCT((M_BOM[RM_Code]=$A33)*M_BOM[RM_Qty_Per_Batch]*IFERROR(INDEX(PP_Grid[#Data],M_BOM[PPGridRow],39),0))</f>
        <v/>
      </c>
      <c r="AN33">
        <f>SUMPRODUCT((M_BOM[RM_Code]=$A33)*M_BOM[RM_Qty_Per_Batch]*IFERROR(INDEX(PP_Grid[#Data],M_BOM[PPGridRow],40),0))</f>
        <v/>
      </c>
      <c r="AO33">
        <f>SUMPRODUCT((M_BOM[RM_Code]=$A33)*M_BOM[RM_Qty_Per_Batch]*IFERROR(INDEX(PP_Grid[#Data],M_BOM[PPGridRow],41),0))</f>
        <v/>
      </c>
      <c r="AP33">
        <f>SUMPRODUCT((M_BOM[RM_Code]=$A33)*M_BOM[RM_Qty_Per_Batch]*IFERROR(INDEX(PP_Grid[#Data],M_BOM[PPGridRow],42),0))</f>
        <v/>
      </c>
      <c r="AQ33">
        <f>SUMPRODUCT((M_BOM[RM_Code]=$A33)*M_BOM[RM_Qty_Per_Batch]*IFERROR(INDEX(PP_Grid[#Data],M_BOM[PPGridRow],43),0))</f>
        <v/>
      </c>
      <c r="AR33">
        <f>SUMPRODUCT((M_BOM[RM_Code]=$A33)*M_BOM[RM_Qty_Per_Batch]*IFERROR(INDEX(PP_Grid[#Data],M_BOM[PPGridRow],44),0))</f>
        <v/>
      </c>
      <c r="AS33">
        <f>SUMPRODUCT((M_BOM[RM_Code]=$A33)*M_BOM[RM_Qty_Per_Batch]*IFERROR(INDEX(PP_Grid[#Data],M_BOM[PPGridRow],45),0))</f>
        <v/>
      </c>
      <c r="AT33">
        <f>SUMPRODUCT((M_BOM[RM_Code]=$A33)*M_BOM[RM_Qty_Per_Batch]*IFERROR(INDEX(PP_Grid[#Data],M_BOM[PPGridRow],46),0))</f>
        <v/>
      </c>
      <c r="AU33">
        <f>SUMPRODUCT((M_BOM[RM_Code]=$A33)*M_BOM[RM_Qty_Per_Batch]*IFERROR(INDEX(PP_Grid[#Data],M_BOM[PPGridRow],47),0))</f>
        <v/>
      </c>
      <c r="AV33">
        <f>SUMPRODUCT((M_BOM[RM_Code]=$A33)*M_BOM[RM_Qty_Per_Batch]*IFERROR(INDEX(PP_Grid[#Data],M_BOM[PPGridRow],48),0))</f>
        <v/>
      </c>
      <c r="AW33">
        <f>SUMPRODUCT((M_BOM[RM_Code]=$A33)*M_BOM[RM_Qty_Per_Batch]*IFERROR(INDEX(PP_Grid[#Data],M_BOM[PPGridRow],49),0))</f>
        <v/>
      </c>
      <c r="AX33">
        <f>SUMPRODUCT((M_BOM[RM_Code]=$A33)*M_BOM[RM_Qty_Per_Batch]*IFERROR(INDEX(PP_Grid[#Data],M_BOM[PPGridRow],50),0))</f>
        <v/>
      </c>
      <c r="AY33">
        <f>SUMPRODUCT((M_BOM[RM_Code]=$A33)*M_BOM[RM_Qty_Per_Batch]*IFERROR(INDEX(PP_Grid[#Data],M_BOM[PPGridRow],51),0))</f>
        <v/>
      </c>
      <c r="AZ33">
        <f>SUMPRODUCT((M_BOM[RM_Code]=$A33)*M_BOM[RM_Qty_Per_Batch]*IFERROR(INDEX(PP_Grid[#Data],M_BOM[PPGridRow],52),0))</f>
        <v/>
      </c>
      <c r="BA33">
        <f>SUMPRODUCT((M_BOM[RM_Code]=$A33)*M_BOM[RM_Qty_Per_Batch]*IFERROR(INDEX(PP_Grid[#Data],M_BOM[PPGridRow],53),0))</f>
        <v/>
      </c>
      <c r="BB33">
        <f>SUMPRODUCT((M_BOM[RM_Code]=$A33)*M_BOM[RM_Qty_Per_Batch]*IFERROR(INDEX(PP_Grid[#Data],M_BOM[PPGridRow],54),0))</f>
        <v/>
      </c>
      <c r="BC33">
        <f>SUMPRODUCT((M_BOM[RM_Code]=$A33)*M_BOM[RM_Qty_Per_Batch]*IFERROR(INDEX(PP_Grid[#Data],M_BOM[PPGridRow],55),0))</f>
        <v/>
      </c>
      <c r="BD33">
        <f>SUMPRODUCT((M_BOM[RM_Code]=$A33)*M_BOM[RM_Qty_Per_Batch]*IFERROR(INDEX(PP_Grid[#Data],M_BOM[PPGridRow],56),0))</f>
        <v/>
      </c>
      <c r="BE33">
        <f>SUMPRODUCT((M_BOM[RM_Code]=$A33)*M_BOM[RM_Qty_Per_Batch]*IFERROR(INDEX(PP_Grid[#Data],M_BOM[PPGridRow],57),0))</f>
        <v/>
      </c>
      <c r="BF33">
        <f>SUMPRODUCT((M_BOM[RM_Code]=$A33)*M_BOM[RM_Qty_Per_Batch]*IFERROR(INDEX(PP_Grid[#Data],M_BOM[PPGridRow],58),0))</f>
        <v/>
      </c>
      <c r="BG33">
        <f>SUMPRODUCT((M_BOM[RM_Code]=$A33)*M_BOM[RM_Qty_Per_Batch]*IFERROR(INDEX(PP_Grid[#Data],M_BOM[PPGridRow],59),0))</f>
        <v/>
      </c>
      <c r="BH33">
        <f>SUMPRODUCT((M_BOM[RM_Code]=$A33)*M_BOM[RM_Qty_Per_Batch]*IFERROR(INDEX(PP_Grid[#Data],M_BOM[PPGridRow],60),0))</f>
        <v/>
      </c>
      <c r="BI33">
        <f>SUMPRODUCT((M_BOM[RM_Code]=$A33)*M_BOM[RM_Qty_Per_Batch]*IFERROR(INDEX(PP_Grid[#Data],M_BOM[PPGridRow],61),0))</f>
        <v/>
      </c>
      <c r="BJ33">
        <f>SUMPRODUCT((M_BOM[RM_Code]=$A33)*M_BOM[RM_Qty_Per_Batch]*IFERROR(INDEX(PP_Grid[#Data],M_BOM[PPGridRow],62),0))</f>
        <v/>
      </c>
      <c r="BK33">
        <f>SUMPRODUCT((M_BOM[RM_Code]=$A33)*M_BOM[RM_Qty_Per_Batch]*IFERROR(INDEX(PP_Grid[#Data],M_BOM[PPGridRow],63),0))</f>
        <v/>
      </c>
      <c r="BL33">
        <f>SUMPRODUCT((M_BOM[RM_Code]=$A33)*M_BOM[RM_Qty_Per_Batch]*IFERROR(INDEX(PP_Grid[#Data],M_BOM[PPGridRow],64),0))</f>
        <v/>
      </c>
      <c r="BM33">
        <f>SUMPRODUCT((M_BOM[RM_Code]=$A33)*M_BOM[RM_Qty_Per_Batch]*IFERROR(INDEX(PP_Grid[#Data],M_BOM[PPGridRow],65),0))</f>
        <v/>
      </c>
      <c r="BN33">
        <f>SUMPRODUCT((M_BOM[RM_Code]=$A33)*M_BOM[RM_Qty_Per_Batch]*IFERROR(INDEX(PP_Grid[#Data],M_BOM[PPGridRow],66),0))</f>
        <v/>
      </c>
      <c r="BO33">
        <f>SUMPRODUCT((M_BOM[RM_Code]=$A33)*M_BOM[RM_Qty_Per_Batch]*IFERROR(INDEX(PP_Grid[#Data],M_BOM[PPGridRow],67),0))</f>
        <v/>
      </c>
      <c r="BP33">
        <f>SUMPRODUCT((M_BOM[RM_Code]=$A33)*M_BOM[RM_Qty_Per_Batch]*IFERROR(INDEX(PP_Grid[#Data],M_BOM[PPGridRow],68),0))</f>
        <v/>
      </c>
      <c r="BQ33">
        <f>SUMPRODUCT((M_BOM[RM_Code]=$A33)*M_BOM[RM_Qty_Per_Batch]*IFERROR(INDEX(PP_Grid[#Data],M_BOM[PPGridRow],69),0))</f>
        <v/>
      </c>
      <c r="BR33">
        <f>SUMPRODUCT((M_BOM[RM_Code]=$A33)*M_BOM[RM_Qty_Per_Batch]*IFERROR(INDEX(PP_Grid[#Data],M_BOM[PPGridRow],70),0))</f>
        <v/>
      </c>
      <c r="BS33">
        <f>SUMPRODUCT((M_BOM[RM_Code]=$A33)*M_BOM[RM_Qty_Per_Batch]*IFERROR(INDEX(PP_Grid[#Data],M_BOM[PPGridRow],71),0))</f>
        <v/>
      </c>
      <c r="BT33">
        <f>SUMPRODUCT((M_BOM[RM_Code]=$A33)*M_BOM[RM_Qty_Per_Batch]*IFERROR(INDEX(PP_Grid[#Data],M_BOM[PPGridRow],72),0))</f>
        <v/>
      </c>
      <c r="BU33">
        <f>SUMPRODUCT((M_BOM[RM_Code]=$A33)*M_BOM[RM_Qty_Per_Batch]*IFERROR(INDEX(PP_Grid[#Data],M_BOM[PPGridRow],73),0))</f>
        <v/>
      </c>
      <c r="BV33">
        <f>SUMPRODUCT((M_BOM[RM_Code]=$A33)*M_BOM[RM_Qty_Per_Batch]*IFERROR(INDEX(PP_Grid[#Data],M_BOM[PPGridRow],74),0))</f>
        <v/>
      </c>
      <c r="BW33">
        <f>SUMPRODUCT((M_BOM[RM_Code]=$A33)*M_BOM[RM_Qty_Per_Batch]*IFERROR(INDEX(PP_Grid[#Data],M_BOM[PPGridRow],75),0))</f>
        <v/>
      </c>
      <c r="BX33">
        <f>SUMPRODUCT((M_BOM[RM_Code]=$A33)*M_BOM[RM_Qty_Per_Batch]*IFERROR(INDEX(PP_Grid[#Data],M_BOM[PPGridRow],76),0))</f>
        <v/>
      </c>
      <c r="BY33">
        <f>SUMPRODUCT((M_BOM[RM_Code]=$A33)*M_BOM[RM_Qty_Per_Batch]*IFERROR(INDEX(PP_Grid[#Data],M_BOM[PPGridRow],77),0))</f>
        <v/>
      </c>
      <c r="BZ33">
        <f>SUMPRODUCT((M_BOM[RM_Code]=$A33)*M_BOM[RM_Qty_Per_Batch]*IFERROR(INDEX(PP_Grid[#Data],M_BOM[PPGridRow],78),0))</f>
        <v/>
      </c>
      <c r="CA33">
        <f>SUMPRODUCT((M_BOM[RM_Code]=$A33)*M_BOM[RM_Qty_Per_Batch]*IFERROR(INDEX(PP_Grid[#Data],M_BOM[PPGridRow],79),0))</f>
        <v/>
      </c>
      <c r="CB33">
        <f>SUMPRODUCT((M_BOM[RM_Code]=$A33)*M_BOM[RM_Qty_Per_Batch]*IFERROR(INDEX(PP_Grid[#Data],M_BOM[PPGridRow],80),0))</f>
        <v/>
      </c>
      <c r="CC33">
        <f>SUMPRODUCT((M_BOM[RM_Code]=$A33)*M_BOM[RM_Qty_Per_Batch]*IFERROR(INDEX(PP_Grid[#Data],M_BOM[PPGridRow],81),0))</f>
        <v/>
      </c>
      <c r="CD33">
        <f>SUMPRODUCT((M_BOM[RM_Code]=$A33)*M_BOM[RM_Qty_Per_Batch]*IFERROR(INDEX(PP_Grid[#Data],M_BOM[PPGridRow],82),0))</f>
        <v/>
      </c>
      <c r="CE33">
        <f>SUMPRODUCT((M_BOM[RM_Code]=$A33)*M_BOM[RM_Qty_Per_Batch]*IFERROR(INDEX(PP_Grid[#Data],M_BOM[PPGridRow],83),0))</f>
        <v/>
      </c>
      <c r="CF33">
        <f>SUMPRODUCT((M_BOM[RM_Code]=$A33)*M_BOM[RM_Qty_Per_Batch]*IFERROR(INDEX(PP_Grid[#Data],M_BOM[PPGridRow],84),0))</f>
        <v/>
      </c>
      <c r="CG33">
        <f>SUMPRODUCT((M_BOM[RM_Code]=$A33)*M_BOM[RM_Qty_Per_Batch]*IFERROR(INDEX(PP_Grid[#Data],M_BOM[PPGridRow],85),0))</f>
        <v/>
      </c>
      <c r="CH33">
        <f>SUMPRODUCT((M_BOM[RM_Code]=$A33)*M_BOM[RM_Qty_Per_Batch]*IFERROR(INDEX(PP_Grid[#Data],M_BOM[PPGridRow],86),0))</f>
        <v/>
      </c>
      <c r="CI33">
        <f>SUMPRODUCT((M_BOM[RM_Code]=$A33)*M_BOM[RM_Qty_Per_Batch]*IFERROR(INDEX(PP_Grid[#Data],M_BOM[PPGridRow],87),0))</f>
        <v/>
      </c>
      <c r="CJ33">
        <f>SUMPRODUCT((M_BOM[RM_Code]=$A33)*M_BOM[RM_Qty_Per_Batch]*IFERROR(INDEX(PP_Grid[#Data],M_BOM[PPGridRow],88),0))</f>
        <v/>
      </c>
      <c r="CK33">
        <f>SUMPRODUCT((M_BOM[RM_Code]=$A33)*M_BOM[RM_Qty_Per_Batch]*IFERROR(INDEX(PP_Grid[#Data],M_BOM[PPGridRow],89),0))</f>
        <v/>
      </c>
      <c r="CL33">
        <f>SUMPRODUCT((M_BOM[RM_Code]=$A33)*M_BOM[RM_Qty_Per_Batch]*IFERROR(INDEX(PP_Grid[#Data],M_BOM[PPGridRow],90),0))</f>
        <v/>
      </c>
      <c r="CM33">
        <f>SUMPRODUCT((M_BOM[RM_Code]=$A33)*M_BOM[RM_Qty_Per_Batch]*IFERROR(INDEX(PP_Grid[#Data],M_BOM[PPGridRow],91),0))</f>
        <v/>
      </c>
      <c r="CN33">
        <f>SUMPRODUCT((M_BOM[RM_Code]=$A33)*M_BOM[RM_Qty_Per_Batch]*IFERROR(INDEX(PP_Grid[#Data],M_BOM[PPGridRow],92),0))</f>
        <v/>
      </c>
      <c r="CO33">
        <f>SUMPRODUCT((M_BOM[RM_Code]=$A33)*M_BOM[RM_Qty_Per_Batch]*IFERROR(INDEX(PP_Grid[#Data],M_BOM[PPGridRow],93),0))</f>
        <v/>
      </c>
      <c r="CP33">
        <f>SUMPRODUCT((M_BOM[RM_Code]=$A33)*M_BOM[RM_Qty_Per_Batch]*IFERROR(INDEX(PP_Grid[#Data],M_BOM[PPGridRow],94),0))</f>
        <v/>
      </c>
      <c r="CQ33">
        <f>SUMPRODUCT((M_BOM[RM_Code]=$A33)*M_BOM[RM_Qty_Per_Batch]*IFERROR(INDEX(PP_Grid[#Data],M_BOM[PPGridRow],95),0))</f>
        <v/>
      </c>
      <c r="CR33">
        <f>SUMPRODUCT((M_BOM[RM_Code]=$A33)*M_BOM[RM_Qty_Per_Batch]*IFERROR(INDEX(PP_Grid[#Data],M_BOM[PPGridRow],96),0))</f>
        <v/>
      </c>
      <c r="CS33">
        <f>SUMPRODUCT((M_BOM[RM_Code]=$A33)*M_BOM[RM_Qty_Per_Batch]*IFERROR(INDEX(PP_Grid[#Data],M_BOM[PPGridRow],97),0))</f>
        <v/>
      </c>
      <c r="CT33">
        <f>SUMPRODUCT((M_BOM[RM_Code]=$A33)*M_BOM[RM_Qty_Per_Batch]*IFERROR(INDEX(PP_Grid[#Data],M_BOM[PPGridRow],98),0))</f>
        <v/>
      </c>
      <c r="CU33">
        <f>SUMPRODUCT((M_BOM[RM_Code]=$A33)*M_BOM[RM_Qty_Per_Batch]*IFERROR(INDEX(PP_Grid[#Data],M_BOM[PPGridRow],99),0))</f>
        <v/>
      </c>
      <c r="CV33">
        <f>SUMPRODUCT((M_BOM[RM_Code]=$A33)*M_BOM[RM_Qty_Per_Batch]*IFERROR(INDEX(PP_Grid[#Data],M_BOM[PPGridRow],100),0))</f>
        <v/>
      </c>
      <c r="CW33">
        <f>SUMPRODUCT((M_BOM[RM_Code]=$A33)*M_BOM[RM_Qty_Per_Batch]*IFERROR(INDEX(PP_Grid[#Data],M_BOM[PPGridRow],101),0))</f>
        <v/>
      </c>
      <c r="CX33">
        <f>SUMPRODUCT((M_BOM[RM_Code]=$A33)*M_BOM[RM_Qty_Per_Batch]*IFERROR(INDEX(PP_Grid[#Data],M_BOM[PPGridRow],102),0))</f>
        <v/>
      </c>
      <c r="CY33">
        <f>SUMPRODUCT((M_BOM[RM_Code]=$A33)*M_BOM[RM_Qty_Per_Batch]*IFERROR(INDEX(PP_Grid[#Data],M_BOM[PPGridRow],103),0))</f>
        <v/>
      </c>
      <c r="CZ33">
        <f>SUMPRODUCT((M_BOM[RM_Code]=$A33)*M_BOM[RM_Qty_Per_Batch]*IFERROR(INDEX(PP_Grid[#Data],M_BOM[PPGridRow],104),0))</f>
        <v/>
      </c>
      <c r="DA33">
        <f>SUMPRODUCT((M_BOM[RM_Code]=$A33)*M_BOM[RM_Qty_Per_Batch]*IFERROR(INDEX(PP_Grid[#Data],M_BOM[PPGridRow],105),0))</f>
        <v/>
      </c>
    </row>
    <row r="34">
      <c r="A34" t="inlineStr">
        <is>
          <t>JEJ</t>
        </is>
      </c>
      <c r="B34">
        <f>SUMPRODUCT((M_BOM[RM_Code]=$A34)*M_BOM[RM_Qty_Per_Batch]*IFERROR(INDEX(PP_Grid[#Data],M_BOM[PPGridRow],2),0))</f>
        <v/>
      </c>
      <c r="C34">
        <f>SUMPRODUCT((M_BOM[RM_Code]=$A34)*M_BOM[RM_Qty_Per_Batch]*IFERROR(INDEX(PP_Grid[#Data],M_BOM[PPGridRow],3),0))</f>
        <v/>
      </c>
      <c r="D34">
        <f>SUMPRODUCT((M_BOM[RM_Code]=$A34)*M_BOM[RM_Qty_Per_Batch]*IFERROR(INDEX(PP_Grid[#Data],M_BOM[PPGridRow],4),0))</f>
        <v/>
      </c>
      <c r="E34">
        <f>SUMPRODUCT((M_BOM[RM_Code]=$A34)*M_BOM[RM_Qty_Per_Batch]*IFERROR(INDEX(PP_Grid[#Data],M_BOM[PPGridRow],5),0))</f>
        <v/>
      </c>
      <c r="F34">
        <f>SUMPRODUCT((M_BOM[RM_Code]=$A34)*M_BOM[RM_Qty_Per_Batch]*IFERROR(INDEX(PP_Grid[#Data],M_BOM[PPGridRow],6),0))</f>
        <v/>
      </c>
      <c r="G34">
        <f>SUMPRODUCT((M_BOM[RM_Code]=$A34)*M_BOM[RM_Qty_Per_Batch]*IFERROR(INDEX(PP_Grid[#Data],M_BOM[PPGridRow],7),0))</f>
        <v/>
      </c>
      <c r="H34">
        <f>SUMPRODUCT((M_BOM[RM_Code]=$A34)*M_BOM[RM_Qty_Per_Batch]*IFERROR(INDEX(PP_Grid[#Data],M_BOM[PPGridRow],8),0))</f>
        <v/>
      </c>
      <c r="I34">
        <f>SUMPRODUCT((M_BOM[RM_Code]=$A34)*M_BOM[RM_Qty_Per_Batch]*IFERROR(INDEX(PP_Grid[#Data],M_BOM[PPGridRow],9),0))</f>
        <v/>
      </c>
      <c r="J34">
        <f>SUMPRODUCT((M_BOM[RM_Code]=$A34)*M_BOM[RM_Qty_Per_Batch]*IFERROR(INDEX(PP_Grid[#Data],M_BOM[PPGridRow],10),0))</f>
        <v/>
      </c>
      <c r="K34">
        <f>SUMPRODUCT((M_BOM[RM_Code]=$A34)*M_BOM[RM_Qty_Per_Batch]*IFERROR(INDEX(PP_Grid[#Data],M_BOM[PPGridRow],11),0))</f>
        <v/>
      </c>
      <c r="L34">
        <f>SUMPRODUCT((M_BOM[RM_Code]=$A34)*M_BOM[RM_Qty_Per_Batch]*IFERROR(INDEX(PP_Grid[#Data],M_BOM[PPGridRow],12),0))</f>
        <v/>
      </c>
      <c r="M34">
        <f>SUMPRODUCT((M_BOM[RM_Code]=$A34)*M_BOM[RM_Qty_Per_Batch]*IFERROR(INDEX(PP_Grid[#Data],M_BOM[PPGridRow],13),0))</f>
        <v/>
      </c>
      <c r="N34">
        <f>SUMPRODUCT((M_BOM[RM_Code]=$A34)*M_BOM[RM_Qty_Per_Batch]*IFERROR(INDEX(PP_Grid[#Data],M_BOM[PPGridRow],14),0))</f>
        <v/>
      </c>
      <c r="O34">
        <f>SUMPRODUCT((M_BOM[RM_Code]=$A34)*M_BOM[RM_Qty_Per_Batch]*IFERROR(INDEX(PP_Grid[#Data],M_BOM[PPGridRow],15),0))</f>
        <v/>
      </c>
      <c r="P34">
        <f>SUMPRODUCT((M_BOM[RM_Code]=$A34)*M_BOM[RM_Qty_Per_Batch]*IFERROR(INDEX(PP_Grid[#Data],M_BOM[PPGridRow],16),0))</f>
        <v/>
      </c>
      <c r="Q34">
        <f>SUMPRODUCT((M_BOM[RM_Code]=$A34)*M_BOM[RM_Qty_Per_Batch]*IFERROR(INDEX(PP_Grid[#Data],M_BOM[PPGridRow],17),0))</f>
        <v/>
      </c>
      <c r="R34">
        <f>SUMPRODUCT((M_BOM[RM_Code]=$A34)*M_BOM[RM_Qty_Per_Batch]*IFERROR(INDEX(PP_Grid[#Data],M_BOM[PPGridRow],18),0))</f>
        <v/>
      </c>
      <c r="S34">
        <f>SUMPRODUCT((M_BOM[RM_Code]=$A34)*M_BOM[RM_Qty_Per_Batch]*IFERROR(INDEX(PP_Grid[#Data],M_BOM[PPGridRow],19),0))</f>
        <v/>
      </c>
      <c r="T34">
        <f>SUMPRODUCT((M_BOM[RM_Code]=$A34)*M_BOM[RM_Qty_Per_Batch]*IFERROR(INDEX(PP_Grid[#Data],M_BOM[PPGridRow],20),0))</f>
        <v/>
      </c>
      <c r="U34">
        <f>SUMPRODUCT((M_BOM[RM_Code]=$A34)*M_BOM[RM_Qty_Per_Batch]*IFERROR(INDEX(PP_Grid[#Data],M_BOM[PPGridRow],21),0))</f>
        <v/>
      </c>
      <c r="V34">
        <f>SUMPRODUCT((M_BOM[RM_Code]=$A34)*M_BOM[RM_Qty_Per_Batch]*IFERROR(INDEX(PP_Grid[#Data],M_BOM[PPGridRow],22),0))</f>
        <v/>
      </c>
      <c r="W34">
        <f>SUMPRODUCT((M_BOM[RM_Code]=$A34)*M_BOM[RM_Qty_Per_Batch]*IFERROR(INDEX(PP_Grid[#Data],M_BOM[PPGridRow],23),0))</f>
        <v/>
      </c>
      <c r="X34">
        <f>SUMPRODUCT((M_BOM[RM_Code]=$A34)*M_BOM[RM_Qty_Per_Batch]*IFERROR(INDEX(PP_Grid[#Data],M_BOM[PPGridRow],24),0))</f>
        <v/>
      </c>
      <c r="Y34">
        <f>SUMPRODUCT((M_BOM[RM_Code]=$A34)*M_BOM[RM_Qty_Per_Batch]*IFERROR(INDEX(PP_Grid[#Data],M_BOM[PPGridRow],25),0))</f>
        <v/>
      </c>
      <c r="Z34">
        <f>SUMPRODUCT((M_BOM[RM_Code]=$A34)*M_BOM[RM_Qty_Per_Batch]*IFERROR(INDEX(PP_Grid[#Data],M_BOM[PPGridRow],26),0))</f>
        <v/>
      </c>
      <c r="AA34">
        <f>SUMPRODUCT((M_BOM[RM_Code]=$A34)*M_BOM[RM_Qty_Per_Batch]*IFERROR(INDEX(PP_Grid[#Data],M_BOM[PPGridRow],27),0))</f>
        <v/>
      </c>
      <c r="AB34">
        <f>SUMPRODUCT((M_BOM[RM_Code]=$A34)*M_BOM[RM_Qty_Per_Batch]*IFERROR(INDEX(PP_Grid[#Data],M_BOM[PPGridRow],28),0))</f>
        <v/>
      </c>
      <c r="AC34">
        <f>SUMPRODUCT((M_BOM[RM_Code]=$A34)*M_BOM[RM_Qty_Per_Batch]*IFERROR(INDEX(PP_Grid[#Data],M_BOM[PPGridRow],29),0))</f>
        <v/>
      </c>
      <c r="AD34">
        <f>SUMPRODUCT((M_BOM[RM_Code]=$A34)*M_BOM[RM_Qty_Per_Batch]*IFERROR(INDEX(PP_Grid[#Data],M_BOM[PPGridRow],30),0))</f>
        <v/>
      </c>
      <c r="AE34">
        <f>SUMPRODUCT((M_BOM[RM_Code]=$A34)*M_BOM[RM_Qty_Per_Batch]*IFERROR(INDEX(PP_Grid[#Data],M_BOM[PPGridRow],31),0))</f>
        <v/>
      </c>
      <c r="AF34">
        <f>SUMPRODUCT((M_BOM[RM_Code]=$A34)*M_BOM[RM_Qty_Per_Batch]*IFERROR(INDEX(PP_Grid[#Data],M_BOM[PPGridRow],32),0))</f>
        <v/>
      </c>
      <c r="AG34">
        <f>SUMPRODUCT((M_BOM[RM_Code]=$A34)*M_BOM[RM_Qty_Per_Batch]*IFERROR(INDEX(PP_Grid[#Data],M_BOM[PPGridRow],33),0))</f>
        <v/>
      </c>
      <c r="AH34">
        <f>SUMPRODUCT((M_BOM[RM_Code]=$A34)*M_BOM[RM_Qty_Per_Batch]*IFERROR(INDEX(PP_Grid[#Data],M_BOM[PPGridRow],34),0))</f>
        <v/>
      </c>
      <c r="AI34">
        <f>SUMPRODUCT((M_BOM[RM_Code]=$A34)*M_BOM[RM_Qty_Per_Batch]*IFERROR(INDEX(PP_Grid[#Data],M_BOM[PPGridRow],35),0))</f>
        <v/>
      </c>
      <c r="AJ34">
        <f>SUMPRODUCT((M_BOM[RM_Code]=$A34)*M_BOM[RM_Qty_Per_Batch]*IFERROR(INDEX(PP_Grid[#Data],M_BOM[PPGridRow],36),0))</f>
        <v/>
      </c>
      <c r="AK34">
        <f>SUMPRODUCT((M_BOM[RM_Code]=$A34)*M_BOM[RM_Qty_Per_Batch]*IFERROR(INDEX(PP_Grid[#Data],M_BOM[PPGridRow],37),0))</f>
        <v/>
      </c>
      <c r="AL34">
        <f>SUMPRODUCT((M_BOM[RM_Code]=$A34)*M_BOM[RM_Qty_Per_Batch]*IFERROR(INDEX(PP_Grid[#Data],M_BOM[PPGridRow],38),0))</f>
        <v/>
      </c>
      <c r="AM34">
        <f>SUMPRODUCT((M_BOM[RM_Code]=$A34)*M_BOM[RM_Qty_Per_Batch]*IFERROR(INDEX(PP_Grid[#Data],M_BOM[PPGridRow],39),0))</f>
        <v/>
      </c>
      <c r="AN34">
        <f>SUMPRODUCT((M_BOM[RM_Code]=$A34)*M_BOM[RM_Qty_Per_Batch]*IFERROR(INDEX(PP_Grid[#Data],M_BOM[PPGridRow],40),0))</f>
        <v/>
      </c>
      <c r="AO34">
        <f>SUMPRODUCT((M_BOM[RM_Code]=$A34)*M_BOM[RM_Qty_Per_Batch]*IFERROR(INDEX(PP_Grid[#Data],M_BOM[PPGridRow],41),0))</f>
        <v/>
      </c>
      <c r="AP34">
        <f>SUMPRODUCT((M_BOM[RM_Code]=$A34)*M_BOM[RM_Qty_Per_Batch]*IFERROR(INDEX(PP_Grid[#Data],M_BOM[PPGridRow],42),0))</f>
        <v/>
      </c>
      <c r="AQ34">
        <f>SUMPRODUCT((M_BOM[RM_Code]=$A34)*M_BOM[RM_Qty_Per_Batch]*IFERROR(INDEX(PP_Grid[#Data],M_BOM[PPGridRow],43),0))</f>
        <v/>
      </c>
      <c r="AR34">
        <f>SUMPRODUCT((M_BOM[RM_Code]=$A34)*M_BOM[RM_Qty_Per_Batch]*IFERROR(INDEX(PP_Grid[#Data],M_BOM[PPGridRow],44),0))</f>
        <v/>
      </c>
      <c r="AS34">
        <f>SUMPRODUCT((M_BOM[RM_Code]=$A34)*M_BOM[RM_Qty_Per_Batch]*IFERROR(INDEX(PP_Grid[#Data],M_BOM[PPGridRow],45),0))</f>
        <v/>
      </c>
      <c r="AT34">
        <f>SUMPRODUCT((M_BOM[RM_Code]=$A34)*M_BOM[RM_Qty_Per_Batch]*IFERROR(INDEX(PP_Grid[#Data],M_BOM[PPGridRow],46),0))</f>
        <v/>
      </c>
      <c r="AU34">
        <f>SUMPRODUCT((M_BOM[RM_Code]=$A34)*M_BOM[RM_Qty_Per_Batch]*IFERROR(INDEX(PP_Grid[#Data],M_BOM[PPGridRow],47),0))</f>
        <v/>
      </c>
      <c r="AV34">
        <f>SUMPRODUCT((M_BOM[RM_Code]=$A34)*M_BOM[RM_Qty_Per_Batch]*IFERROR(INDEX(PP_Grid[#Data],M_BOM[PPGridRow],48),0))</f>
        <v/>
      </c>
      <c r="AW34">
        <f>SUMPRODUCT((M_BOM[RM_Code]=$A34)*M_BOM[RM_Qty_Per_Batch]*IFERROR(INDEX(PP_Grid[#Data],M_BOM[PPGridRow],49),0))</f>
        <v/>
      </c>
      <c r="AX34">
        <f>SUMPRODUCT((M_BOM[RM_Code]=$A34)*M_BOM[RM_Qty_Per_Batch]*IFERROR(INDEX(PP_Grid[#Data],M_BOM[PPGridRow],50),0))</f>
        <v/>
      </c>
      <c r="AY34">
        <f>SUMPRODUCT((M_BOM[RM_Code]=$A34)*M_BOM[RM_Qty_Per_Batch]*IFERROR(INDEX(PP_Grid[#Data],M_BOM[PPGridRow],51),0))</f>
        <v/>
      </c>
      <c r="AZ34">
        <f>SUMPRODUCT((M_BOM[RM_Code]=$A34)*M_BOM[RM_Qty_Per_Batch]*IFERROR(INDEX(PP_Grid[#Data],M_BOM[PPGridRow],52),0))</f>
        <v/>
      </c>
      <c r="BA34">
        <f>SUMPRODUCT((M_BOM[RM_Code]=$A34)*M_BOM[RM_Qty_Per_Batch]*IFERROR(INDEX(PP_Grid[#Data],M_BOM[PPGridRow],53),0))</f>
        <v/>
      </c>
      <c r="BB34">
        <f>SUMPRODUCT((M_BOM[RM_Code]=$A34)*M_BOM[RM_Qty_Per_Batch]*IFERROR(INDEX(PP_Grid[#Data],M_BOM[PPGridRow],54),0))</f>
        <v/>
      </c>
      <c r="BC34">
        <f>SUMPRODUCT((M_BOM[RM_Code]=$A34)*M_BOM[RM_Qty_Per_Batch]*IFERROR(INDEX(PP_Grid[#Data],M_BOM[PPGridRow],55),0))</f>
        <v/>
      </c>
      <c r="BD34">
        <f>SUMPRODUCT((M_BOM[RM_Code]=$A34)*M_BOM[RM_Qty_Per_Batch]*IFERROR(INDEX(PP_Grid[#Data],M_BOM[PPGridRow],56),0))</f>
        <v/>
      </c>
      <c r="BE34">
        <f>SUMPRODUCT((M_BOM[RM_Code]=$A34)*M_BOM[RM_Qty_Per_Batch]*IFERROR(INDEX(PP_Grid[#Data],M_BOM[PPGridRow],57),0))</f>
        <v/>
      </c>
      <c r="BF34">
        <f>SUMPRODUCT((M_BOM[RM_Code]=$A34)*M_BOM[RM_Qty_Per_Batch]*IFERROR(INDEX(PP_Grid[#Data],M_BOM[PPGridRow],58),0))</f>
        <v/>
      </c>
      <c r="BG34">
        <f>SUMPRODUCT((M_BOM[RM_Code]=$A34)*M_BOM[RM_Qty_Per_Batch]*IFERROR(INDEX(PP_Grid[#Data],M_BOM[PPGridRow],59),0))</f>
        <v/>
      </c>
      <c r="BH34">
        <f>SUMPRODUCT((M_BOM[RM_Code]=$A34)*M_BOM[RM_Qty_Per_Batch]*IFERROR(INDEX(PP_Grid[#Data],M_BOM[PPGridRow],60),0))</f>
        <v/>
      </c>
      <c r="BI34">
        <f>SUMPRODUCT((M_BOM[RM_Code]=$A34)*M_BOM[RM_Qty_Per_Batch]*IFERROR(INDEX(PP_Grid[#Data],M_BOM[PPGridRow],61),0))</f>
        <v/>
      </c>
      <c r="BJ34">
        <f>SUMPRODUCT((M_BOM[RM_Code]=$A34)*M_BOM[RM_Qty_Per_Batch]*IFERROR(INDEX(PP_Grid[#Data],M_BOM[PPGridRow],62),0))</f>
        <v/>
      </c>
      <c r="BK34">
        <f>SUMPRODUCT((M_BOM[RM_Code]=$A34)*M_BOM[RM_Qty_Per_Batch]*IFERROR(INDEX(PP_Grid[#Data],M_BOM[PPGridRow],63),0))</f>
        <v/>
      </c>
      <c r="BL34">
        <f>SUMPRODUCT((M_BOM[RM_Code]=$A34)*M_BOM[RM_Qty_Per_Batch]*IFERROR(INDEX(PP_Grid[#Data],M_BOM[PPGridRow],64),0))</f>
        <v/>
      </c>
      <c r="BM34">
        <f>SUMPRODUCT((M_BOM[RM_Code]=$A34)*M_BOM[RM_Qty_Per_Batch]*IFERROR(INDEX(PP_Grid[#Data],M_BOM[PPGridRow],65),0))</f>
        <v/>
      </c>
      <c r="BN34">
        <f>SUMPRODUCT((M_BOM[RM_Code]=$A34)*M_BOM[RM_Qty_Per_Batch]*IFERROR(INDEX(PP_Grid[#Data],M_BOM[PPGridRow],66),0))</f>
        <v/>
      </c>
      <c r="BO34">
        <f>SUMPRODUCT((M_BOM[RM_Code]=$A34)*M_BOM[RM_Qty_Per_Batch]*IFERROR(INDEX(PP_Grid[#Data],M_BOM[PPGridRow],67),0))</f>
        <v/>
      </c>
      <c r="BP34">
        <f>SUMPRODUCT((M_BOM[RM_Code]=$A34)*M_BOM[RM_Qty_Per_Batch]*IFERROR(INDEX(PP_Grid[#Data],M_BOM[PPGridRow],68),0))</f>
        <v/>
      </c>
      <c r="BQ34">
        <f>SUMPRODUCT((M_BOM[RM_Code]=$A34)*M_BOM[RM_Qty_Per_Batch]*IFERROR(INDEX(PP_Grid[#Data],M_BOM[PPGridRow],69),0))</f>
        <v/>
      </c>
      <c r="BR34">
        <f>SUMPRODUCT((M_BOM[RM_Code]=$A34)*M_BOM[RM_Qty_Per_Batch]*IFERROR(INDEX(PP_Grid[#Data],M_BOM[PPGridRow],70),0))</f>
        <v/>
      </c>
      <c r="BS34">
        <f>SUMPRODUCT((M_BOM[RM_Code]=$A34)*M_BOM[RM_Qty_Per_Batch]*IFERROR(INDEX(PP_Grid[#Data],M_BOM[PPGridRow],71),0))</f>
        <v/>
      </c>
      <c r="BT34">
        <f>SUMPRODUCT((M_BOM[RM_Code]=$A34)*M_BOM[RM_Qty_Per_Batch]*IFERROR(INDEX(PP_Grid[#Data],M_BOM[PPGridRow],72),0))</f>
        <v/>
      </c>
      <c r="BU34">
        <f>SUMPRODUCT((M_BOM[RM_Code]=$A34)*M_BOM[RM_Qty_Per_Batch]*IFERROR(INDEX(PP_Grid[#Data],M_BOM[PPGridRow],73),0))</f>
        <v/>
      </c>
      <c r="BV34">
        <f>SUMPRODUCT((M_BOM[RM_Code]=$A34)*M_BOM[RM_Qty_Per_Batch]*IFERROR(INDEX(PP_Grid[#Data],M_BOM[PPGridRow],74),0))</f>
        <v/>
      </c>
      <c r="BW34">
        <f>SUMPRODUCT((M_BOM[RM_Code]=$A34)*M_BOM[RM_Qty_Per_Batch]*IFERROR(INDEX(PP_Grid[#Data],M_BOM[PPGridRow],75),0))</f>
        <v/>
      </c>
      <c r="BX34">
        <f>SUMPRODUCT((M_BOM[RM_Code]=$A34)*M_BOM[RM_Qty_Per_Batch]*IFERROR(INDEX(PP_Grid[#Data],M_BOM[PPGridRow],76),0))</f>
        <v/>
      </c>
      <c r="BY34">
        <f>SUMPRODUCT((M_BOM[RM_Code]=$A34)*M_BOM[RM_Qty_Per_Batch]*IFERROR(INDEX(PP_Grid[#Data],M_BOM[PPGridRow],77),0))</f>
        <v/>
      </c>
      <c r="BZ34">
        <f>SUMPRODUCT((M_BOM[RM_Code]=$A34)*M_BOM[RM_Qty_Per_Batch]*IFERROR(INDEX(PP_Grid[#Data],M_BOM[PPGridRow],78),0))</f>
        <v/>
      </c>
      <c r="CA34">
        <f>SUMPRODUCT((M_BOM[RM_Code]=$A34)*M_BOM[RM_Qty_Per_Batch]*IFERROR(INDEX(PP_Grid[#Data],M_BOM[PPGridRow],79),0))</f>
        <v/>
      </c>
      <c r="CB34">
        <f>SUMPRODUCT((M_BOM[RM_Code]=$A34)*M_BOM[RM_Qty_Per_Batch]*IFERROR(INDEX(PP_Grid[#Data],M_BOM[PPGridRow],80),0))</f>
        <v/>
      </c>
      <c r="CC34">
        <f>SUMPRODUCT((M_BOM[RM_Code]=$A34)*M_BOM[RM_Qty_Per_Batch]*IFERROR(INDEX(PP_Grid[#Data],M_BOM[PPGridRow],81),0))</f>
        <v/>
      </c>
      <c r="CD34">
        <f>SUMPRODUCT((M_BOM[RM_Code]=$A34)*M_BOM[RM_Qty_Per_Batch]*IFERROR(INDEX(PP_Grid[#Data],M_BOM[PPGridRow],82),0))</f>
        <v/>
      </c>
      <c r="CE34">
        <f>SUMPRODUCT((M_BOM[RM_Code]=$A34)*M_BOM[RM_Qty_Per_Batch]*IFERROR(INDEX(PP_Grid[#Data],M_BOM[PPGridRow],83),0))</f>
        <v/>
      </c>
      <c r="CF34">
        <f>SUMPRODUCT((M_BOM[RM_Code]=$A34)*M_BOM[RM_Qty_Per_Batch]*IFERROR(INDEX(PP_Grid[#Data],M_BOM[PPGridRow],84),0))</f>
        <v/>
      </c>
      <c r="CG34">
        <f>SUMPRODUCT((M_BOM[RM_Code]=$A34)*M_BOM[RM_Qty_Per_Batch]*IFERROR(INDEX(PP_Grid[#Data],M_BOM[PPGridRow],85),0))</f>
        <v/>
      </c>
      <c r="CH34">
        <f>SUMPRODUCT((M_BOM[RM_Code]=$A34)*M_BOM[RM_Qty_Per_Batch]*IFERROR(INDEX(PP_Grid[#Data],M_BOM[PPGridRow],86),0))</f>
        <v/>
      </c>
      <c r="CI34">
        <f>SUMPRODUCT((M_BOM[RM_Code]=$A34)*M_BOM[RM_Qty_Per_Batch]*IFERROR(INDEX(PP_Grid[#Data],M_BOM[PPGridRow],87),0))</f>
        <v/>
      </c>
      <c r="CJ34">
        <f>SUMPRODUCT((M_BOM[RM_Code]=$A34)*M_BOM[RM_Qty_Per_Batch]*IFERROR(INDEX(PP_Grid[#Data],M_BOM[PPGridRow],88),0))</f>
        <v/>
      </c>
      <c r="CK34">
        <f>SUMPRODUCT((M_BOM[RM_Code]=$A34)*M_BOM[RM_Qty_Per_Batch]*IFERROR(INDEX(PP_Grid[#Data],M_BOM[PPGridRow],89),0))</f>
        <v/>
      </c>
      <c r="CL34">
        <f>SUMPRODUCT((M_BOM[RM_Code]=$A34)*M_BOM[RM_Qty_Per_Batch]*IFERROR(INDEX(PP_Grid[#Data],M_BOM[PPGridRow],90),0))</f>
        <v/>
      </c>
      <c r="CM34">
        <f>SUMPRODUCT((M_BOM[RM_Code]=$A34)*M_BOM[RM_Qty_Per_Batch]*IFERROR(INDEX(PP_Grid[#Data],M_BOM[PPGridRow],91),0))</f>
        <v/>
      </c>
      <c r="CN34">
        <f>SUMPRODUCT((M_BOM[RM_Code]=$A34)*M_BOM[RM_Qty_Per_Batch]*IFERROR(INDEX(PP_Grid[#Data],M_BOM[PPGridRow],92),0))</f>
        <v/>
      </c>
      <c r="CO34">
        <f>SUMPRODUCT((M_BOM[RM_Code]=$A34)*M_BOM[RM_Qty_Per_Batch]*IFERROR(INDEX(PP_Grid[#Data],M_BOM[PPGridRow],93),0))</f>
        <v/>
      </c>
      <c r="CP34">
        <f>SUMPRODUCT((M_BOM[RM_Code]=$A34)*M_BOM[RM_Qty_Per_Batch]*IFERROR(INDEX(PP_Grid[#Data],M_BOM[PPGridRow],94),0))</f>
        <v/>
      </c>
      <c r="CQ34">
        <f>SUMPRODUCT((M_BOM[RM_Code]=$A34)*M_BOM[RM_Qty_Per_Batch]*IFERROR(INDEX(PP_Grid[#Data],M_BOM[PPGridRow],95),0))</f>
        <v/>
      </c>
      <c r="CR34">
        <f>SUMPRODUCT((M_BOM[RM_Code]=$A34)*M_BOM[RM_Qty_Per_Batch]*IFERROR(INDEX(PP_Grid[#Data],M_BOM[PPGridRow],96),0))</f>
        <v/>
      </c>
      <c r="CS34">
        <f>SUMPRODUCT((M_BOM[RM_Code]=$A34)*M_BOM[RM_Qty_Per_Batch]*IFERROR(INDEX(PP_Grid[#Data],M_BOM[PPGridRow],97),0))</f>
        <v/>
      </c>
      <c r="CT34">
        <f>SUMPRODUCT((M_BOM[RM_Code]=$A34)*M_BOM[RM_Qty_Per_Batch]*IFERROR(INDEX(PP_Grid[#Data],M_BOM[PPGridRow],98),0))</f>
        <v/>
      </c>
      <c r="CU34">
        <f>SUMPRODUCT((M_BOM[RM_Code]=$A34)*M_BOM[RM_Qty_Per_Batch]*IFERROR(INDEX(PP_Grid[#Data],M_BOM[PPGridRow],99),0))</f>
        <v/>
      </c>
      <c r="CV34">
        <f>SUMPRODUCT((M_BOM[RM_Code]=$A34)*M_BOM[RM_Qty_Per_Batch]*IFERROR(INDEX(PP_Grid[#Data],M_BOM[PPGridRow],100),0))</f>
        <v/>
      </c>
      <c r="CW34">
        <f>SUMPRODUCT((M_BOM[RM_Code]=$A34)*M_BOM[RM_Qty_Per_Batch]*IFERROR(INDEX(PP_Grid[#Data],M_BOM[PPGridRow],101),0))</f>
        <v/>
      </c>
      <c r="CX34">
        <f>SUMPRODUCT((M_BOM[RM_Code]=$A34)*M_BOM[RM_Qty_Per_Batch]*IFERROR(INDEX(PP_Grid[#Data],M_BOM[PPGridRow],102),0))</f>
        <v/>
      </c>
      <c r="CY34">
        <f>SUMPRODUCT((M_BOM[RM_Code]=$A34)*M_BOM[RM_Qty_Per_Batch]*IFERROR(INDEX(PP_Grid[#Data],M_BOM[PPGridRow],103),0))</f>
        <v/>
      </c>
      <c r="CZ34">
        <f>SUMPRODUCT((M_BOM[RM_Code]=$A34)*M_BOM[RM_Qty_Per_Batch]*IFERROR(INDEX(PP_Grid[#Data],M_BOM[PPGridRow],104),0))</f>
        <v/>
      </c>
      <c r="DA34">
        <f>SUMPRODUCT((M_BOM[RM_Code]=$A34)*M_BOM[RM_Qty_Per_Batch]*IFERROR(INDEX(PP_Grid[#Data],M_BOM[PPGridRow],105),0))</f>
        <v/>
      </c>
    </row>
    <row r="35">
      <c r="A35" t="inlineStr">
        <is>
          <t>CHEM-1830</t>
        </is>
      </c>
      <c r="B35">
        <f>SUMPRODUCT((M_BOM[RM_Code]=$A35)*M_BOM[RM_Qty_Per_Batch]*IFERROR(INDEX(PP_Grid[#Data],M_BOM[PPGridRow],2),0))</f>
        <v/>
      </c>
      <c r="C35">
        <f>SUMPRODUCT((M_BOM[RM_Code]=$A35)*M_BOM[RM_Qty_Per_Batch]*IFERROR(INDEX(PP_Grid[#Data],M_BOM[PPGridRow],3),0))</f>
        <v/>
      </c>
      <c r="D35">
        <f>SUMPRODUCT((M_BOM[RM_Code]=$A35)*M_BOM[RM_Qty_Per_Batch]*IFERROR(INDEX(PP_Grid[#Data],M_BOM[PPGridRow],4),0))</f>
        <v/>
      </c>
      <c r="E35">
        <f>SUMPRODUCT((M_BOM[RM_Code]=$A35)*M_BOM[RM_Qty_Per_Batch]*IFERROR(INDEX(PP_Grid[#Data],M_BOM[PPGridRow],5),0))</f>
        <v/>
      </c>
      <c r="F35">
        <f>SUMPRODUCT((M_BOM[RM_Code]=$A35)*M_BOM[RM_Qty_Per_Batch]*IFERROR(INDEX(PP_Grid[#Data],M_BOM[PPGridRow],6),0))</f>
        <v/>
      </c>
      <c r="G35">
        <f>SUMPRODUCT((M_BOM[RM_Code]=$A35)*M_BOM[RM_Qty_Per_Batch]*IFERROR(INDEX(PP_Grid[#Data],M_BOM[PPGridRow],7),0))</f>
        <v/>
      </c>
      <c r="H35">
        <f>SUMPRODUCT((M_BOM[RM_Code]=$A35)*M_BOM[RM_Qty_Per_Batch]*IFERROR(INDEX(PP_Grid[#Data],M_BOM[PPGridRow],8),0))</f>
        <v/>
      </c>
      <c r="I35">
        <f>SUMPRODUCT((M_BOM[RM_Code]=$A35)*M_BOM[RM_Qty_Per_Batch]*IFERROR(INDEX(PP_Grid[#Data],M_BOM[PPGridRow],9),0))</f>
        <v/>
      </c>
      <c r="J35">
        <f>SUMPRODUCT((M_BOM[RM_Code]=$A35)*M_BOM[RM_Qty_Per_Batch]*IFERROR(INDEX(PP_Grid[#Data],M_BOM[PPGridRow],10),0))</f>
        <v/>
      </c>
      <c r="K35">
        <f>SUMPRODUCT((M_BOM[RM_Code]=$A35)*M_BOM[RM_Qty_Per_Batch]*IFERROR(INDEX(PP_Grid[#Data],M_BOM[PPGridRow],11),0))</f>
        <v/>
      </c>
      <c r="L35">
        <f>SUMPRODUCT((M_BOM[RM_Code]=$A35)*M_BOM[RM_Qty_Per_Batch]*IFERROR(INDEX(PP_Grid[#Data],M_BOM[PPGridRow],12),0))</f>
        <v/>
      </c>
      <c r="M35">
        <f>SUMPRODUCT((M_BOM[RM_Code]=$A35)*M_BOM[RM_Qty_Per_Batch]*IFERROR(INDEX(PP_Grid[#Data],M_BOM[PPGridRow],13),0))</f>
        <v/>
      </c>
      <c r="N35">
        <f>SUMPRODUCT((M_BOM[RM_Code]=$A35)*M_BOM[RM_Qty_Per_Batch]*IFERROR(INDEX(PP_Grid[#Data],M_BOM[PPGridRow],14),0))</f>
        <v/>
      </c>
      <c r="O35">
        <f>SUMPRODUCT((M_BOM[RM_Code]=$A35)*M_BOM[RM_Qty_Per_Batch]*IFERROR(INDEX(PP_Grid[#Data],M_BOM[PPGridRow],15),0))</f>
        <v/>
      </c>
      <c r="P35">
        <f>SUMPRODUCT((M_BOM[RM_Code]=$A35)*M_BOM[RM_Qty_Per_Batch]*IFERROR(INDEX(PP_Grid[#Data],M_BOM[PPGridRow],16),0))</f>
        <v/>
      </c>
      <c r="Q35">
        <f>SUMPRODUCT((M_BOM[RM_Code]=$A35)*M_BOM[RM_Qty_Per_Batch]*IFERROR(INDEX(PP_Grid[#Data],M_BOM[PPGridRow],17),0))</f>
        <v/>
      </c>
      <c r="R35">
        <f>SUMPRODUCT((M_BOM[RM_Code]=$A35)*M_BOM[RM_Qty_Per_Batch]*IFERROR(INDEX(PP_Grid[#Data],M_BOM[PPGridRow],18),0))</f>
        <v/>
      </c>
      <c r="S35">
        <f>SUMPRODUCT((M_BOM[RM_Code]=$A35)*M_BOM[RM_Qty_Per_Batch]*IFERROR(INDEX(PP_Grid[#Data],M_BOM[PPGridRow],19),0))</f>
        <v/>
      </c>
      <c r="T35">
        <f>SUMPRODUCT((M_BOM[RM_Code]=$A35)*M_BOM[RM_Qty_Per_Batch]*IFERROR(INDEX(PP_Grid[#Data],M_BOM[PPGridRow],20),0))</f>
        <v/>
      </c>
      <c r="U35">
        <f>SUMPRODUCT((M_BOM[RM_Code]=$A35)*M_BOM[RM_Qty_Per_Batch]*IFERROR(INDEX(PP_Grid[#Data],M_BOM[PPGridRow],21),0))</f>
        <v/>
      </c>
      <c r="V35">
        <f>SUMPRODUCT((M_BOM[RM_Code]=$A35)*M_BOM[RM_Qty_Per_Batch]*IFERROR(INDEX(PP_Grid[#Data],M_BOM[PPGridRow],22),0))</f>
        <v/>
      </c>
      <c r="W35">
        <f>SUMPRODUCT((M_BOM[RM_Code]=$A35)*M_BOM[RM_Qty_Per_Batch]*IFERROR(INDEX(PP_Grid[#Data],M_BOM[PPGridRow],23),0))</f>
        <v/>
      </c>
      <c r="X35">
        <f>SUMPRODUCT((M_BOM[RM_Code]=$A35)*M_BOM[RM_Qty_Per_Batch]*IFERROR(INDEX(PP_Grid[#Data],M_BOM[PPGridRow],24),0))</f>
        <v/>
      </c>
      <c r="Y35">
        <f>SUMPRODUCT((M_BOM[RM_Code]=$A35)*M_BOM[RM_Qty_Per_Batch]*IFERROR(INDEX(PP_Grid[#Data],M_BOM[PPGridRow],25),0))</f>
        <v/>
      </c>
      <c r="Z35">
        <f>SUMPRODUCT((M_BOM[RM_Code]=$A35)*M_BOM[RM_Qty_Per_Batch]*IFERROR(INDEX(PP_Grid[#Data],M_BOM[PPGridRow],26),0))</f>
        <v/>
      </c>
      <c r="AA35">
        <f>SUMPRODUCT((M_BOM[RM_Code]=$A35)*M_BOM[RM_Qty_Per_Batch]*IFERROR(INDEX(PP_Grid[#Data],M_BOM[PPGridRow],27),0))</f>
        <v/>
      </c>
      <c r="AB35">
        <f>SUMPRODUCT((M_BOM[RM_Code]=$A35)*M_BOM[RM_Qty_Per_Batch]*IFERROR(INDEX(PP_Grid[#Data],M_BOM[PPGridRow],28),0))</f>
        <v/>
      </c>
      <c r="AC35">
        <f>SUMPRODUCT((M_BOM[RM_Code]=$A35)*M_BOM[RM_Qty_Per_Batch]*IFERROR(INDEX(PP_Grid[#Data],M_BOM[PPGridRow],29),0))</f>
        <v/>
      </c>
      <c r="AD35">
        <f>SUMPRODUCT((M_BOM[RM_Code]=$A35)*M_BOM[RM_Qty_Per_Batch]*IFERROR(INDEX(PP_Grid[#Data],M_BOM[PPGridRow],30),0))</f>
        <v/>
      </c>
      <c r="AE35">
        <f>SUMPRODUCT((M_BOM[RM_Code]=$A35)*M_BOM[RM_Qty_Per_Batch]*IFERROR(INDEX(PP_Grid[#Data],M_BOM[PPGridRow],31),0))</f>
        <v/>
      </c>
      <c r="AF35">
        <f>SUMPRODUCT((M_BOM[RM_Code]=$A35)*M_BOM[RM_Qty_Per_Batch]*IFERROR(INDEX(PP_Grid[#Data],M_BOM[PPGridRow],32),0))</f>
        <v/>
      </c>
      <c r="AG35">
        <f>SUMPRODUCT((M_BOM[RM_Code]=$A35)*M_BOM[RM_Qty_Per_Batch]*IFERROR(INDEX(PP_Grid[#Data],M_BOM[PPGridRow],33),0))</f>
        <v/>
      </c>
      <c r="AH35">
        <f>SUMPRODUCT((M_BOM[RM_Code]=$A35)*M_BOM[RM_Qty_Per_Batch]*IFERROR(INDEX(PP_Grid[#Data],M_BOM[PPGridRow],34),0))</f>
        <v/>
      </c>
      <c r="AI35">
        <f>SUMPRODUCT((M_BOM[RM_Code]=$A35)*M_BOM[RM_Qty_Per_Batch]*IFERROR(INDEX(PP_Grid[#Data],M_BOM[PPGridRow],35),0))</f>
        <v/>
      </c>
      <c r="AJ35">
        <f>SUMPRODUCT((M_BOM[RM_Code]=$A35)*M_BOM[RM_Qty_Per_Batch]*IFERROR(INDEX(PP_Grid[#Data],M_BOM[PPGridRow],36),0))</f>
        <v/>
      </c>
      <c r="AK35">
        <f>SUMPRODUCT((M_BOM[RM_Code]=$A35)*M_BOM[RM_Qty_Per_Batch]*IFERROR(INDEX(PP_Grid[#Data],M_BOM[PPGridRow],37),0))</f>
        <v/>
      </c>
      <c r="AL35">
        <f>SUMPRODUCT((M_BOM[RM_Code]=$A35)*M_BOM[RM_Qty_Per_Batch]*IFERROR(INDEX(PP_Grid[#Data],M_BOM[PPGridRow],38),0))</f>
        <v/>
      </c>
      <c r="AM35">
        <f>SUMPRODUCT((M_BOM[RM_Code]=$A35)*M_BOM[RM_Qty_Per_Batch]*IFERROR(INDEX(PP_Grid[#Data],M_BOM[PPGridRow],39),0))</f>
        <v/>
      </c>
      <c r="AN35">
        <f>SUMPRODUCT((M_BOM[RM_Code]=$A35)*M_BOM[RM_Qty_Per_Batch]*IFERROR(INDEX(PP_Grid[#Data],M_BOM[PPGridRow],40),0))</f>
        <v/>
      </c>
      <c r="AO35">
        <f>SUMPRODUCT((M_BOM[RM_Code]=$A35)*M_BOM[RM_Qty_Per_Batch]*IFERROR(INDEX(PP_Grid[#Data],M_BOM[PPGridRow],41),0))</f>
        <v/>
      </c>
      <c r="AP35">
        <f>SUMPRODUCT((M_BOM[RM_Code]=$A35)*M_BOM[RM_Qty_Per_Batch]*IFERROR(INDEX(PP_Grid[#Data],M_BOM[PPGridRow],42),0))</f>
        <v/>
      </c>
      <c r="AQ35">
        <f>SUMPRODUCT((M_BOM[RM_Code]=$A35)*M_BOM[RM_Qty_Per_Batch]*IFERROR(INDEX(PP_Grid[#Data],M_BOM[PPGridRow],43),0))</f>
        <v/>
      </c>
      <c r="AR35">
        <f>SUMPRODUCT((M_BOM[RM_Code]=$A35)*M_BOM[RM_Qty_Per_Batch]*IFERROR(INDEX(PP_Grid[#Data],M_BOM[PPGridRow],44),0))</f>
        <v/>
      </c>
      <c r="AS35">
        <f>SUMPRODUCT((M_BOM[RM_Code]=$A35)*M_BOM[RM_Qty_Per_Batch]*IFERROR(INDEX(PP_Grid[#Data],M_BOM[PPGridRow],45),0))</f>
        <v/>
      </c>
      <c r="AT35">
        <f>SUMPRODUCT((M_BOM[RM_Code]=$A35)*M_BOM[RM_Qty_Per_Batch]*IFERROR(INDEX(PP_Grid[#Data],M_BOM[PPGridRow],46),0))</f>
        <v/>
      </c>
      <c r="AU35">
        <f>SUMPRODUCT((M_BOM[RM_Code]=$A35)*M_BOM[RM_Qty_Per_Batch]*IFERROR(INDEX(PP_Grid[#Data],M_BOM[PPGridRow],47),0))</f>
        <v/>
      </c>
      <c r="AV35">
        <f>SUMPRODUCT((M_BOM[RM_Code]=$A35)*M_BOM[RM_Qty_Per_Batch]*IFERROR(INDEX(PP_Grid[#Data],M_BOM[PPGridRow],48),0))</f>
        <v/>
      </c>
      <c r="AW35">
        <f>SUMPRODUCT((M_BOM[RM_Code]=$A35)*M_BOM[RM_Qty_Per_Batch]*IFERROR(INDEX(PP_Grid[#Data],M_BOM[PPGridRow],49),0))</f>
        <v/>
      </c>
      <c r="AX35">
        <f>SUMPRODUCT((M_BOM[RM_Code]=$A35)*M_BOM[RM_Qty_Per_Batch]*IFERROR(INDEX(PP_Grid[#Data],M_BOM[PPGridRow],50),0))</f>
        <v/>
      </c>
      <c r="AY35">
        <f>SUMPRODUCT((M_BOM[RM_Code]=$A35)*M_BOM[RM_Qty_Per_Batch]*IFERROR(INDEX(PP_Grid[#Data],M_BOM[PPGridRow],51),0))</f>
        <v/>
      </c>
      <c r="AZ35">
        <f>SUMPRODUCT((M_BOM[RM_Code]=$A35)*M_BOM[RM_Qty_Per_Batch]*IFERROR(INDEX(PP_Grid[#Data],M_BOM[PPGridRow],52),0))</f>
        <v/>
      </c>
      <c r="BA35">
        <f>SUMPRODUCT((M_BOM[RM_Code]=$A35)*M_BOM[RM_Qty_Per_Batch]*IFERROR(INDEX(PP_Grid[#Data],M_BOM[PPGridRow],53),0))</f>
        <v/>
      </c>
      <c r="BB35">
        <f>SUMPRODUCT((M_BOM[RM_Code]=$A35)*M_BOM[RM_Qty_Per_Batch]*IFERROR(INDEX(PP_Grid[#Data],M_BOM[PPGridRow],54),0))</f>
        <v/>
      </c>
      <c r="BC35">
        <f>SUMPRODUCT((M_BOM[RM_Code]=$A35)*M_BOM[RM_Qty_Per_Batch]*IFERROR(INDEX(PP_Grid[#Data],M_BOM[PPGridRow],55),0))</f>
        <v/>
      </c>
      <c r="BD35">
        <f>SUMPRODUCT((M_BOM[RM_Code]=$A35)*M_BOM[RM_Qty_Per_Batch]*IFERROR(INDEX(PP_Grid[#Data],M_BOM[PPGridRow],56),0))</f>
        <v/>
      </c>
      <c r="BE35">
        <f>SUMPRODUCT((M_BOM[RM_Code]=$A35)*M_BOM[RM_Qty_Per_Batch]*IFERROR(INDEX(PP_Grid[#Data],M_BOM[PPGridRow],57),0))</f>
        <v/>
      </c>
      <c r="BF35">
        <f>SUMPRODUCT((M_BOM[RM_Code]=$A35)*M_BOM[RM_Qty_Per_Batch]*IFERROR(INDEX(PP_Grid[#Data],M_BOM[PPGridRow],58),0))</f>
        <v/>
      </c>
      <c r="BG35">
        <f>SUMPRODUCT((M_BOM[RM_Code]=$A35)*M_BOM[RM_Qty_Per_Batch]*IFERROR(INDEX(PP_Grid[#Data],M_BOM[PPGridRow],59),0))</f>
        <v/>
      </c>
      <c r="BH35">
        <f>SUMPRODUCT((M_BOM[RM_Code]=$A35)*M_BOM[RM_Qty_Per_Batch]*IFERROR(INDEX(PP_Grid[#Data],M_BOM[PPGridRow],60),0))</f>
        <v/>
      </c>
      <c r="BI35">
        <f>SUMPRODUCT((M_BOM[RM_Code]=$A35)*M_BOM[RM_Qty_Per_Batch]*IFERROR(INDEX(PP_Grid[#Data],M_BOM[PPGridRow],61),0))</f>
        <v/>
      </c>
      <c r="BJ35">
        <f>SUMPRODUCT((M_BOM[RM_Code]=$A35)*M_BOM[RM_Qty_Per_Batch]*IFERROR(INDEX(PP_Grid[#Data],M_BOM[PPGridRow],62),0))</f>
        <v/>
      </c>
      <c r="BK35">
        <f>SUMPRODUCT((M_BOM[RM_Code]=$A35)*M_BOM[RM_Qty_Per_Batch]*IFERROR(INDEX(PP_Grid[#Data],M_BOM[PPGridRow],63),0))</f>
        <v/>
      </c>
      <c r="BL35">
        <f>SUMPRODUCT((M_BOM[RM_Code]=$A35)*M_BOM[RM_Qty_Per_Batch]*IFERROR(INDEX(PP_Grid[#Data],M_BOM[PPGridRow],64),0))</f>
        <v/>
      </c>
      <c r="BM35">
        <f>SUMPRODUCT((M_BOM[RM_Code]=$A35)*M_BOM[RM_Qty_Per_Batch]*IFERROR(INDEX(PP_Grid[#Data],M_BOM[PPGridRow],65),0))</f>
        <v/>
      </c>
      <c r="BN35">
        <f>SUMPRODUCT((M_BOM[RM_Code]=$A35)*M_BOM[RM_Qty_Per_Batch]*IFERROR(INDEX(PP_Grid[#Data],M_BOM[PPGridRow],66),0))</f>
        <v/>
      </c>
      <c r="BO35">
        <f>SUMPRODUCT((M_BOM[RM_Code]=$A35)*M_BOM[RM_Qty_Per_Batch]*IFERROR(INDEX(PP_Grid[#Data],M_BOM[PPGridRow],67),0))</f>
        <v/>
      </c>
      <c r="BP35">
        <f>SUMPRODUCT((M_BOM[RM_Code]=$A35)*M_BOM[RM_Qty_Per_Batch]*IFERROR(INDEX(PP_Grid[#Data],M_BOM[PPGridRow],68),0))</f>
        <v/>
      </c>
      <c r="BQ35">
        <f>SUMPRODUCT((M_BOM[RM_Code]=$A35)*M_BOM[RM_Qty_Per_Batch]*IFERROR(INDEX(PP_Grid[#Data],M_BOM[PPGridRow],69),0))</f>
        <v/>
      </c>
      <c r="BR35">
        <f>SUMPRODUCT((M_BOM[RM_Code]=$A35)*M_BOM[RM_Qty_Per_Batch]*IFERROR(INDEX(PP_Grid[#Data],M_BOM[PPGridRow],70),0))</f>
        <v/>
      </c>
      <c r="BS35">
        <f>SUMPRODUCT((M_BOM[RM_Code]=$A35)*M_BOM[RM_Qty_Per_Batch]*IFERROR(INDEX(PP_Grid[#Data],M_BOM[PPGridRow],71),0))</f>
        <v/>
      </c>
      <c r="BT35">
        <f>SUMPRODUCT((M_BOM[RM_Code]=$A35)*M_BOM[RM_Qty_Per_Batch]*IFERROR(INDEX(PP_Grid[#Data],M_BOM[PPGridRow],72),0))</f>
        <v/>
      </c>
      <c r="BU35">
        <f>SUMPRODUCT((M_BOM[RM_Code]=$A35)*M_BOM[RM_Qty_Per_Batch]*IFERROR(INDEX(PP_Grid[#Data],M_BOM[PPGridRow],73),0))</f>
        <v/>
      </c>
      <c r="BV35">
        <f>SUMPRODUCT((M_BOM[RM_Code]=$A35)*M_BOM[RM_Qty_Per_Batch]*IFERROR(INDEX(PP_Grid[#Data],M_BOM[PPGridRow],74),0))</f>
        <v/>
      </c>
      <c r="BW35">
        <f>SUMPRODUCT((M_BOM[RM_Code]=$A35)*M_BOM[RM_Qty_Per_Batch]*IFERROR(INDEX(PP_Grid[#Data],M_BOM[PPGridRow],75),0))</f>
        <v/>
      </c>
      <c r="BX35">
        <f>SUMPRODUCT((M_BOM[RM_Code]=$A35)*M_BOM[RM_Qty_Per_Batch]*IFERROR(INDEX(PP_Grid[#Data],M_BOM[PPGridRow],76),0))</f>
        <v/>
      </c>
      <c r="BY35">
        <f>SUMPRODUCT((M_BOM[RM_Code]=$A35)*M_BOM[RM_Qty_Per_Batch]*IFERROR(INDEX(PP_Grid[#Data],M_BOM[PPGridRow],77),0))</f>
        <v/>
      </c>
      <c r="BZ35">
        <f>SUMPRODUCT((M_BOM[RM_Code]=$A35)*M_BOM[RM_Qty_Per_Batch]*IFERROR(INDEX(PP_Grid[#Data],M_BOM[PPGridRow],78),0))</f>
        <v/>
      </c>
      <c r="CA35">
        <f>SUMPRODUCT((M_BOM[RM_Code]=$A35)*M_BOM[RM_Qty_Per_Batch]*IFERROR(INDEX(PP_Grid[#Data],M_BOM[PPGridRow],79),0))</f>
        <v/>
      </c>
      <c r="CB35">
        <f>SUMPRODUCT((M_BOM[RM_Code]=$A35)*M_BOM[RM_Qty_Per_Batch]*IFERROR(INDEX(PP_Grid[#Data],M_BOM[PPGridRow],80),0))</f>
        <v/>
      </c>
      <c r="CC35">
        <f>SUMPRODUCT((M_BOM[RM_Code]=$A35)*M_BOM[RM_Qty_Per_Batch]*IFERROR(INDEX(PP_Grid[#Data],M_BOM[PPGridRow],81),0))</f>
        <v/>
      </c>
      <c r="CD35">
        <f>SUMPRODUCT((M_BOM[RM_Code]=$A35)*M_BOM[RM_Qty_Per_Batch]*IFERROR(INDEX(PP_Grid[#Data],M_BOM[PPGridRow],82),0))</f>
        <v/>
      </c>
      <c r="CE35">
        <f>SUMPRODUCT((M_BOM[RM_Code]=$A35)*M_BOM[RM_Qty_Per_Batch]*IFERROR(INDEX(PP_Grid[#Data],M_BOM[PPGridRow],83),0))</f>
        <v/>
      </c>
      <c r="CF35">
        <f>SUMPRODUCT((M_BOM[RM_Code]=$A35)*M_BOM[RM_Qty_Per_Batch]*IFERROR(INDEX(PP_Grid[#Data],M_BOM[PPGridRow],84),0))</f>
        <v/>
      </c>
      <c r="CG35">
        <f>SUMPRODUCT((M_BOM[RM_Code]=$A35)*M_BOM[RM_Qty_Per_Batch]*IFERROR(INDEX(PP_Grid[#Data],M_BOM[PPGridRow],85),0))</f>
        <v/>
      </c>
      <c r="CH35">
        <f>SUMPRODUCT((M_BOM[RM_Code]=$A35)*M_BOM[RM_Qty_Per_Batch]*IFERROR(INDEX(PP_Grid[#Data],M_BOM[PPGridRow],86),0))</f>
        <v/>
      </c>
      <c r="CI35">
        <f>SUMPRODUCT((M_BOM[RM_Code]=$A35)*M_BOM[RM_Qty_Per_Batch]*IFERROR(INDEX(PP_Grid[#Data],M_BOM[PPGridRow],87),0))</f>
        <v/>
      </c>
      <c r="CJ35">
        <f>SUMPRODUCT((M_BOM[RM_Code]=$A35)*M_BOM[RM_Qty_Per_Batch]*IFERROR(INDEX(PP_Grid[#Data],M_BOM[PPGridRow],88),0))</f>
        <v/>
      </c>
      <c r="CK35">
        <f>SUMPRODUCT((M_BOM[RM_Code]=$A35)*M_BOM[RM_Qty_Per_Batch]*IFERROR(INDEX(PP_Grid[#Data],M_BOM[PPGridRow],89),0))</f>
        <v/>
      </c>
      <c r="CL35">
        <f>SUMPRODUCT((M_BOM[RM_Code]=$A35)*M_BOM[RM_Qty_Per_Batch]*IFERROR(INDEX(PP_Grid[#Data],M_BOM[PPGridRow],90),0))</f>
        <v/>
      </c>
      <c r="CM35">
        <f>SUMPRODUCT((M_BOM[RM_Code]=$A35)*M_BOM[RM_Qty_Per_Batch]*IFERROR(INDEX(PP_Grid[#Data],M_BOM[PPGridRow],91),0))</f>
        <v/>
      </c>
      <c r="CN35">
        <f>SUMPRODUCT((M_BOM[RM_Code]=$A35)*M_BOM[RM_Qty_Per_Batch]*IFERROR(INDEX(PP_Grid[#Data],M_BOM[PPGridRow],92),0))</f>
        <v/>
      </c>
      <c r="CO35">
        <f>SUMPRODUCT((M_BOM[RM_Code]=$A35)*M_BOM[RM_Qty_Per_Batch]*IFERROR(INDEX(PP_Grid[#Data],M_BOM[PPGridRow],93),0))</f>
        <v/>
      </c>
      <c r="CP35">
        <f>SUMPRODUCT((M_BOM[RM_Code]=$A35)*M_BOM[RM_Qty_Per_Batch]*IFERROR(INDEX(PP_Grid[#Data],M_BOM[PPGridRow],94),0))</f>
        <v/>
      </c>
      <c r="CQ35">
        <f>SUMPRODUCT((M_BOM[RM_Code]=$A35)*M_BOM[RM_Qty_Per_Batch]*IFERROR(INDEX(PP_Grid[#Data],M_BOM[PPGridRow],95),0))</f>
        <v/>
      </c>
      <c r="CR35">
        <f>SUMPRODUCT((M_BOM[RM_Code]=$A35)*M_BOM[RM_Qty_Per_Batch]*IFERROR(INDEX(PP_Grid[#Data],M_BOM[PPGridRow],96),0))</f>
        <v/>
      </c>
      <c r="CS35">
        <f>SUMPRODUCT((M_BOM[RM_Code]=$A35)*M_BOM[RM_Qty_Per_Batch]*IFERROR(INDEX(PP_Grid[#Data],M_BOM[PPGridRow],97),0))</f>
        <v/>
      </c>
      <c r="CT35">
        <f>SUMPRODUCT((M_BOM[RM_Code]=$A35)*M_BOM[RM_Qty_Per_Batch]*IFERROR(INDEX(PP_Grid[#Data],M_BOM[PPGridRow],98),0))</f>
        <v/>
      </c>
      <c r="CU35">
        <f>SUMPRODUCT((M_BOM[RM_Code]=$A35)*M_BOM[RM_Qty_Per_Batch]*IFERROR(INDEX(PP_Grid[#Data],M_BOM[PPGridRow],99),0))</f>
        <v/>
      </c>
      <c r="CV35">
        <f>SUMPRODUCT((M_BOM[RM_Code]=$A35)*M_BOM[RM_Qty_Per_Batch]*IFERROR(INDEX(PP_Grid[#Data],M_BOM[PPGridRow],100),0))</f>
        <v/>
      </c>
      <c r="CW35">
        <f>SUMPRODUCT((M_BOM[RM_Code]=$A35)*M_BOM[RM_Qty_Per_Batch]*IFERROR(INDEX(PP_Grid[#Data],M_BOM[PPGridRow],101),0))</f>
        <v/>
      </c>
      <c r="CX35">
        <f>SUMPRODUCT((M_BOM[RM_Code]=$A35)*M_BOM[RM_Qty_Per_Batch]*IFERROR(INDEX(PP_Grid[#Data],M_BOM[PPGridRow],102),0))</f>
        <v/>
      </c>
      <c r="CY35">
        <f>SUMPRODUCT((M_BOM[RM_Code]=$A35)*M_BOM[RM_Qty_Per_Batch]*IFERROR(INDEX(PP_Grid[#Data],M_BOM[PPGridRow],103),0))</f>
        <v/>
      </c>
      <c r="CZ35">
        <f>SUMPRODUCT((M_BOM[RM_Code]=$A35)*M_BOM[RM_Qty_Per_Batch]*IFERROR(INDEX(PP_Grid[#Data],M_BOM[PPGridRow],104),0))</f>
        <v/>
      </c>
      <c r="DA35">
        <f>SUMPRODUCT((M_BOM[RM_Code]=$A35)*M_BOM[RM_Qty_Per_Batch]*IFERROR(INDEX(PP_Grid[#Data],M_BOM[PPGridRow],105),0))</f>
        <v/>
      </c>
    </row>
    <row r="36">
      <c r="A36" t="inlineStr">
        <is>
          <t>CHEM-1100</t>
        </is>
      </c>
      <c r="B36">
        <f>SUMPRODUCT((M_BOM[RM_Code]=$A36)*M_BOM[RM_Qty_Per_Batch]*IFERROR(INDEX(PP_Grid[#Data],M_BOM[PPGridRow],2),0))</f>
        <v/>
      </c>
      <c r="C36">
        <f>SUMPRODUCT((M_BOM[RM_Code]=$A36)*M_BOM[RM_Qty_Per_Batch]*IFERROR(INDEX(PP_Grid[#Data],M_BOM[PPGridRow],3),0))</f>
        <v/>
      </c>
      <c r="D36">
        <f>SUMPRODUCT((M_BOM[RM_Code]=$A36)*M_BOM[RM_Qty_Per_Batch]*IFERROR(INDEX(PP_Grid[#Data],M_BOM[PPGridRow],4),0))</f>
        <v/>
      </c>
      <c r="E36">
        <f>SUMPRODUCT((M_BOM[RM_Code]=$A36)*M_BOM[RM_Qty_Per_Batch]*IFERROR(INDEX(PP_Grid[#Data],M_BOM[PPGridRow],5),0))</f>
        <v/>
      </c>
      <c r="F36">
        <f>SUMPRODUCT((M_BOM[RM_Code]=$A36)*M_BOM[RM_Qty_Per_Batch]*IFERROR(INDEX(PP_Grid[#Data],M_BOM[PPGridRow],6),0))</f>
        <v/>
      </c>
      <c r="G36">
        <f>SUMPRODUCT((M_BOM[RM_Code]=$A36)*M_BOM[RM_Qty_Per_Batch]*IFERROR(INDEX(PP_Grid[#Data],M_BOM[PPGridRow],7),0))</f>
        <v/>
      </c>
      <c r="H36">
        <f>SUMPRODUCT((M_BOM[RM_Code]=$A36)*M_BOM[RM_Qty_Per_Batch]*IFERROR(INDEX(PP_Grid[#Data],M_BOM[PPGridRow],8),0))</f>
        <v/>
      </c>
      <c r="I36">
        <f>SUMPRODUCT((M_BOM[RM_Code]=$A36)*M_BOM[RM_Qty_Per_Batch]*IFERROR(INDEX(PP_Grid[#Data],M_BOM[PPGridRow],9),0))</f>
        <v/>
      </c>
      <c r="J36">
        <f>SUMPRODUCT((M_BOM[RM_Code]=$A36)*M_BOM[RM_Qty_Per_Batch]*IFERROR(INDEX(PP_Grid[#Data],M_BOM[PPGridRow],10),0))</f>
        <v/>
      </c>
      <c r="K36">
        <f>SUMPRODUCT((M_BOM[RM_Code]=$A36)*M_BOM[RM_Qty_Per_Batch]*IFERROR(INDEX(PP_Grid[#Data],M_BOM[PPGridRow],11),0))</f>
        <v/>
      </c>
      <c r="L36">
        <f>SUMPRODUCT((M_BOM[RM_Code]=$A36)*M_BOM[RM_Qty_Per_Batch]*IFERROR(INDEX(PP_Grid[#Data],M_BOM[PPGridRow],12),0))</f>
        <v/>
      </c>
      <c r="M36">
        <f>SUMPRODUCT((M_BOM[RM_Code]=$A36)*M_BOM[RM_Qty_Per_Batch]*IFERROR(INDEX(PP_Grid[#Data],M_BOM[PPGridRow],13),0))</f>
        <v/>
      </c>
      <c r="N36">
        <f>SUMPRODUCT((M_BOM[RM_Code]=$A36)*M_BOM[RM_Qty_Per_Batch]*IFERROR(INDEX(PP_Grid[#Data],M_BOM[PPGridRow],14),0))</f>
        <v/>
      </c>
      <c r="O36">
        <f>SUMPRODUCT((M_BOM[RM_Code]=$A36)*M_BOM[RM_Qty_Per_Batch]*IFERROR(INDEX(PP_Grid[#Data],M_BOM[PPGridRow],15),0))</f>
        <v/>
      </c>
      <c r="P36">
        <f>SUMPRODUCT((M_BOM[RM_Code]=$A36)*M_BOM[RM_Qty_Per_Batch]*IFERROR(INDEX(PP_Grid[#Data],M_BOM[PPGridRow],16),0))</f>
        <v/>
      </c>
      <c r="Q36">
        <f>SUMPRODUCT((M_BOM[RM_Code]=$A36)*M_BOM[RM_Qty_Per_Batch]*IFERROR(INDEX(PP_Grid[#Data],M_BOM[PPGridRow],17),0))</f>
        <v/>
      </c>
      <c r="R36">
        <f>SUMPRODUCT((M_BOM[RM_Code]=$A36)*M_BOM[RM_Qty_Per_Batch]*IFERROR(INDEX(PP_Grid[#Data],M_BOM[PPGridRow],18),0))</f>
        <v/>
      </c>
      <c r="S36">
        <f>SUMPRODUCT((M_BOM[RM_Code]=$A36)*M_BOM[RM_Qty_Per_Batch]*IFERROR(INDEX(PP_Grid[#Data],M_BOM[PPGridRow],19),0))</f>
        <v/>
      </c>
      <c r="T36">
        <f>SUMPRODUCT((M_BOM[RM_Code]=$A36)*M_BOM[RM_Qty_Per_Batch]*IFERROR(INDEX(PP_Grid[#Data],M_BOM[PPGridRow],20),0))</f>
        <v/>
      </c>
      <c r="U36">
        <f>SUMPRODUCT((M_BOM[RM_Code]=$A36)*M_BOM[RM_Qty_Per_Batch]*IFERROR(INDEX(PP_Grid[#Data],M_BOM[PPGridRow],21),0))</f>
        <v/>
      </c>
      <c r="V36">
        <f>SUMPRODUCT((M_BOM[RM_Code]=$A36)*M_BOM[RM_Qty_Per_Batch]*IFERROR(INDEX(PP_Grid[#Data],M_BOM[PPGridRow],22),0))</f>
        <v/>
      </c>
      <c r="W36">
        <f>SUMPRODUCT((M_BOM[RM_Code]=$A36)*M_BOM[RM_Qty_Per_Batch]*IFERROR(INDEX(PP_Grid[#Data],M_BOM[PPGridRow],23),0))</f>
        <v/>
      </c>
      <c r="X36">
        <f>SUMPRODUCT((M_BOM[RM_Code]=$A36)*M_BOM[RM_Qty_Per_Batch]*IFERROR(INDEX(PP_Grid[#Data],M_BOM[PPGridRow],24),0))</f>
        <v/>
      </c>
      <c r="Y36">
        <f>SUMPRODUCT((M_BOM[RM_Code]=$A36)*M_BOM[RM_Qty_Per_Batch]*IFERROR(INDEX(PP_Grid[#Data],M_BOM[PPGridRow],25),0))</f>
        <v/>
      </c>
      <c r="Z36">
        <f>SUMPRODUCT((M_BOM[RM_Code]=$A36)*M_BOM[RM_Qty_Per_Batch]*IFERROR(INDEX(PP_Grid[#Data],M_BOM[PPGridRow],26),0))</f>
        <v/>
      </c>
      <c r="AA36">
        <f>SUMPRODUCT((M_BOM[RM_Code]=$A36)*M_BOM[RM_Qty_Per_Batch]*IFERROR(INDEX(PP_Grid[#Data],M_BOM[PPGridRow],27),0))</f>
        <v/>
      </c>
      <c r="AB36">
        <f>SUMPRODUCT((M_BOM[RM_Code]=$A36)*M_BOM[RM_Qty_Per_Batch]*IFERROR(INDEX(PP_Grid[#Data],M_BOM[PPGridRow],28),0))</f>
        <v/>
      </c>
      <c r="AC36">
        <f>SUMPRODUCT((M_BOM[RM_Code]=$A36)*M_BOM[RM_Qty_Per_Batch]*IFERROR(INDEX(PP_Grid[#Data],M_BOM[PPGridRow],29),0))</f>
        <v/>
      </c>
      <c r="AD36">
        <f>SUMPRODUCT((M_BOM[RM_Code]=$A36)*M_BOM[RM_Qty_Per_Batch]*IFERROR(INDEX(PP_Grid[#Data],M_BOM[PPGridRow],30),0))</f>
        <v/>
      </c>
      <c r="AE36">
        <f>SUMPRODUCT((M_BOM[RM_Code]=$A36)*M_BOM[RM_Qty_Per_Batch]*IFERROR(INDEX(PP_Grid[#Data],M_BOM[PPGridRow],31),0))</f>
        <v/>
      </c>
      <c r="AF36">
        <f>SUMPRODUCT((M_BOM[RM_Code]=$A36)*M_BOM[RM_Qty_Per_Batch]*IFERROR(INDEX(PP_Grid[#Data],M_BOM[PPGridRow],32),0))</f>
        <v/>
      </c>
      <c r="AG36">
        <f>SUMPRODUCT((M_BOM[RM_Code]=$A36)*M_BOM[RM_Qty_Per_Batch]*IFERROR(INDEX(PP_Grid[#Data],M_BOM[PPGridRow],33),0))</f>
        <v/>
      </c>
      <c r="AH36">
        <f>SUMPRODUCT((M_BOM[RM_Code]=$A36)*M_BOM[RM_Qty_Per_Batch]*IFERROR(INDEX(PP_Grid[#Data],M_BOM[PPGridRow],34),0))</f>
        <v/>
      </c>
      <c r="AI36">
        <f>SUMPRODUCT((M_BOM[RM_Code]=$A36)*M_BOM[RM_Qty_Per_Batch]*IFERROR(INDEX(PP_Grid[#Data],M_BOM[PPGridRow],35),0))</f>
        <v/>
      </c>
      <c r="AJ36">
        <f>SUMPRODUCT((M_BOM[RM_Code]=$A36)*M_BOM[RM_Qty_Per_Batch]*IFERROR(INDEX(PP_Grid[#Data],M_BOM[PPGridRow],36),0))</f>
        <v/>
      </c>
      <c r="AK36">
        <f>SUMPRODUCT((M_BOM[RM_Code]=$A36)*M_BOM[RM_Qty_Per_Batch]*IFERROR(INDEX(PP_Grid[#Data],M_BOM[PPGridRow],37),0))</f>
        <v/>
      </c>
      <c r="AL36">
        <f>SUMPRODUCT((M_BOM[RM_Code]=$A36)*M_BOM[RM_Qty_Per_Batch]*IFERROR(INDEX(PP_Grid[#Data],M_BOM[PPGridRow],38),0))</f>
        <v/>
      </c>
      <c r="AM36">
        <f>SUMPRODUCT((M_BOM[RM_Code]=$A36)*M_BOM[RM_Qty_Per_Batch]*IFERROR(INDEX(PP_Grid[#Data],M_BOM[PPGridRow],39),0))</f>
        <v/>
      </c>
      <c r="AN36">
        <f>SUMPRODUCT((M_BOM[RM_Code]=$A36)*M_BOM[RM_Qty_Per_Batch]*IFERROR(INDEX(PP_Grid[#Data],M_BOM[PPGridRow],40),0))</f>
        <v/>
      </c>
      <c r="AO36">
        <f>SUMPRODUCT((M_BOM[RM_Code]=$A36)*M_BOM[RM_Qty_Per_Batch]*IFERROR(INDEX(PP_Grid[#Data],M_BOM[PPGridRow],41),0))</f>
        <v/>
      </c>
      <c r="AP36">
        <f>SUMPRODUCT((M_BOM[RM_Code]=$A36)*M_BOM[RM_Qty_Per_Batch]*IFERROR(INDEX(PP_Grid[#Data],M_BOM[PPGridRow],42),0))</f>
        <v/>
      </c>
      <c r="AQ36">
        <f>SUMPRODUCT((M_BOM[RM_Code]=$A36)*M_BOM[RM_Qty_Per_Batch]*IFERROR(INDEX(PP_Grid[#Data],M_BOM[PPGridRow],43),0))</f>
        <v/>
      </c>
      <c r="AR36">
        <f>SUMPRODUCT((M_BOM[RM_Code]=$A36)*M_BOM[RM_Qty_Per_Batch]*IFERROR(INDEX(PP_Grid[#Data],M_BOM[PPGridRow],44),0))</f>
        <v/>
      </c>
      <c r="AS36">
        <f>SUMPRODUCT((M_BOM[RM_Code]=$A36)*M_BOM[RM_Qty_Per_Batch]*IFERROR(INDEX(PP_Grid[#Data],M_BOM[PPGridRow],45),0))</f>
        <v/>
      </c>
      <c r="AT36">
        <f>SUMPRODUCT((M_BOM[RM_Code]=$A36)*M_BOM[RM_Qty_Per_Batch]*IFERROR(INDEX(PP_Grid[#Data],M_BOM[PPGridRow],46),0))</f>
        <v/>
      </c>
      <c r="AU36">
        <f>SUMPRODUCT((M_BOM[RM_Code]=$A36)*M_BOM[RM_Qty_Per_Batch]*IFERROR(INDEX(PP_Grid[#Data],M_BOM[PPGridRow],47),0))</f>
        <v/>
      </c>
      <c r="AV36">
        <f>SUMPRODUCT((M_BOM[RM_Code]=$A36)*M_BOM[RM_Qty_Per_Batch]*IFERROR(INDEX(PP_Grid[#Data],M_BOM[PPGridRow],48),0))</f>
        <v/>
      </c>
      <c r="AW36">
        <f>SUMPRODUCT((M_BOM[RM_Code]=$A36)*M_BOM[RM_Qty_Per_Batch]*IFERROR(INDEX(PP_Grid[#Data],M_BOM[PPGridRow],49),0))</f>
        <v/>
      </c>
      <c r="AX36">
        <f>SUMPRODUCT((M_BOM[RM_Code]=$A36)*M_BOM[RM_Qty_Per_Batch]*IFERROR(INDEX(PP_Grid[#Data],M_BOM[PPGridRow],50),0))</f>
        <v/>
      </c>
      <c r="AY36">
        <f>SUMPRODUCT((M_BOM[RM_Code]=$A36)*M_BOM[RM_Qty_Per_Batch]*IFERROR(INDEX(PP_Grid[#Data],M_BOM[PPGridRow],51),0))</f>
        <v/>
      </c>
      <c r="AZ36">
        <f>SUMPRODUCT((M_BOM[RM_Code]=$A36)*M_BOM[RM_Qty_Per_Batch]*IFERROR(INDEX(PP_Grid[#Data],M_BOM[PPGridRow],52),0))</f>
        <v/>
      </c>
      <c r="BA36">
        <f>SUMPRODUCT((M_BOM[RM_Code]=$A36)*M_BOM[RM_Qty_Per_Batch]*IFERROR(INDEX(PP_Grid[#Data],M_BOM[PPGridRow],53),0))</f>
        <v/>
      </c>
      <c r="BB36">
        <f>SUMPRODUCT((M_BOM[RM_Code]=$A36)*M_BOM[RM_Qty_Per_Batch]*IFERROR(INDEX(PP_Grid[#Data],M_BOM[PPGridRow],54),0))</f>
        <v/>
      </c>
      <c r="BC36">
        <f>SUMPRODUCT((M_BOM[RM_Code]=$A36)*M_BOM[RM_Qty_Per_Batch]*IFERROR(INDEX(PP_Grid[#Data],M_BOM[PPGridRow],55),0))</f>
        <v/>
      </c>
      <c r="BD36">
        <f>SUMPRODUCT((M_BOM[RM_Code]=$A36)*M_BOM[RM_Qty_Per_Batch]*IFERROR(INDEX(PP_Grid[#Data],M_BOM[PPGridRow],56),0))</f>
        <v/>
      </c>
      <c r="BE36">
        <f>SUMPRODUCT((M_BOM[RM_Code]=$A36)*M_BOM[RM_Qty_Per_Batch]*IFERROR(INDEX(PP_Grid[#Data],M_BOM[PPGridRow],57),0))</f>
        <v/>
      </c>
      <c r="BF36">
        <f>SUMPRODUCT((M_BOM[RM_Code]=$A36)*M_BOM[RM_Qty_Per_Batch]*IFERROR(INDEX(PP_Grid[#Data],M_BOM[PPGridRow],58),0))</f>
        <v/>
      </c>
      <c r="BG36">
        <f>SUMPRODUCT((M_BOM[RM_Code]=$A36)*M_BOM[RM_Qty_Per_Batch]*IFERROR(INDEX(PP_Grid[#Data],M_BOM[PPGridRow],59),0))</f>
        <v/>
      </c>
      <c r="BH36">
        <f>SUMPRODUCT((M_BOM[RM_Code]=$A36)*M_BOM[RM_Qty_Per_Batch]*IFERROR(INDEX(PP_Grid[#Data],M_BOM[PPGridRow],60),0))</f>
        <v/>
      </c>
      <c r="BI36">
        <f>SUMPRODUCT((M_BOM[RM_Code]=$A36)*M_BOM[RM_Qty_Per_Batch]*IFERROR(INDEX(PP_Grid[#Data],M_BOM[PPGridRow],61),0))</f>
        <v/>
      </c>
      <c r="BJ36">
        <f>SUMPRODUCT((M_BOM[RM_Code]=$A36)*M_BOM[RM_Qty_Per_Batch]*IFERROR(INDEX(PP_Grid[#Data],M_BOM[PPGridRow],62),0))</f>
        <v/>
      </c>
      <c r="BK36">
        <f>SUMPRODUCT((M_BOM[RM_Code]=$A36)*M_BOM[RM_Qty_Per_Batch]*IFERROR(INDEX(PP_Grid[#Data],M_BOM[PPGridRow],63),0))</f>
        <v/>
      </c>
      <c r="BL36">
        <f>SUMPRODUCT((M_BOM[RM_Code]=$A36)*M_BOM[RM_Qty_Per_Batch]*IFERROR(INDEX(PP_Grid[#Data],M_BOM[PPGridRow],64),0))</f>
        <v/>
      </c>
      <c r="BM36">
        <f>SUMPRODUCT((M_BOM[RM_Code]=$A36)*M_BOM[RM_Qty_Per_Batch]*IFERROR(INDEX(PP_Grid[#Data],M_BOM[PPGridRow],65),0))</f>
        <v/>
      </c>
      <c r="BN36">
        <f>SUMPRODUCT((M_BOM[RM_Code]=$A36)*M_BOM[RM_Qty_Per_Batch]*IFERROR(INDEX(PP_Grid[#Data],M_BOM[PPGridRow],66),0))</f>
        <v/>
      </c>
      <c r="BO36">
        <f>SUMPRODUCT((M_BOM[RM_Code]=$A36)*M_BOM[RM_Qty_Per_Batch]*IFERROR(INDEX(PP_Grid[#Data],M_BOM[PPGridRow],67),0))</f>
        <v/>
      </c>
      <c r="BP36">
        <f>SUMPRODUCT((M_BOM[RM_Code]=$A36)*M_BOM[RM_Qty_Per_Batch]*IFERROR(INDEX(PP_Grid[#Data],M_BOM[PPGridRow],68),0))</f>
        <v/>
      </c>
      <c r="BQ36">
        <f>SUMPRODUCT((M_BOM[RM_Code]=$A36)*M_BOM[RM_Qty_Per_Batch]*IFERROR(INDEX(PP_Grid[#Data],M_BOM[PPGridRow],69),0))</f>
        <v/>
      </c>
      <c r="BR36">
        <f>SUMPRODUCT((M_BOM[RM_Code]=$A36)*M_BOM[RM_Qty_Per_Batch]*IFERROR(INDEX(PP_Grid[#Data],M_BOM[PPGridRow],70),0))</f>
        <v/>
      </c>
      <c r="BS36">
        <f>SUMPRODUCT((M_BOM[RM_Code]=$A36)*M_BOM[RM_Qty_Per_Batch]*IFERROR(INDEX(PP_Grid[#Data],M_BOM[PPGridRow],71),0))</f>
        <v/>
      </c>
      <c r="BT36">
        <f>SUMPRODUCT((M_BOM[RM_Code]=$A36)*M_BOM[RM_Qty_Per_Batch]*IFERROR(INDEX(PP_Grid[#Data],M_BOM[PPGridRow],72),0))</f>
        <v/>
      </c>
      <c r="BU36">
        <f>SUMPRODUCT((M_BOM[RM_Code]=$A36)*M_BOM[RM_Qty_Per_Batch]*IFERROR(INDEX(PP_Grid[#Data],M_BOM[PPGridRow],73),0))</f>
        <v/>
      </c>
      <c r="BV36">
        <f>SUMPRODUCT((M_BOM[RM_Code]=$A36)*M_BOM[RM_Qty_Per_Batch]*IFERROR(INDEX(PP_Grid[#Data],M_BOM[PPGridRow],74),0))</f>
        <v/>
      </c>
      <c r="BW36">
        <f>SUMPRODUCT((M_BOM[RM_Code]=$A36)*M_BOM[RM_Qty_Per_Batch]*IFERROR(INDEX(PP_Grid[#Data],M_BOM[PPGridRow],75),0))</f>
        <v/>
      </c>
      <c r="BX36">
        <f>SUMPRODUCT((M_BOM[RM_Code]=$A36)*M_BOM[RM_Qty_Per_Batch]*IFERROR(INDEX(PP_Grid[#Data],M_BOM[PPGridRow],76),0))</f>
        <v/>
      </c>
      <c r="BY36">
        <f>SUMPRODUCT((M_BOM[RM_Code]=$A36)*M_BOM[RM_Qty_Per_Batch]*IFERROR(INDEX(PP_Grid[#Data],M_BOM[PPGridRow],77),0))</f>
        <v/>
      </c>
      <c r="BZ36">
        <f>SUMPRODUCT((M_BOM[RM_Code]=$A36)*M_BOM[RM_Qty_Per_Batch]*IFERROR(INDEX(PP_Grid[#Data],M_BOM[PPGridRow],78),0))</f>
        <v/>
      </c>
      <c r="CA36">
        <f>SUMPRODUCT((M_BOM[RM_Code]=$A36)*M_BOM[RM_Qty_Per_Batch]*IFERROR(INDEX(PP_Grid[#Data],M_BOM[PPGridRow],79),0))</f>
        <v/>
      </c>
      <c r="CB36">
        <f>SUMPRODUCT((M_BOM[RM_Code]=$A36)*M_BOM[RM_Qty_Per_Batch]*IFERROR(INDEX(PP_Grid[#Data],M_BOM[PPGridRow],80),0))</f>
        <v/>
      </c>
      <c r="CC36">
        <f>SUMPRODUCT((M_BOM[RM_Code]=$A36)*M_BOM[RM_Qty_Per_Batch]*IFERROR(INDEX(PP_Grid[#Data],M_BOM[PPGridRow],81),0))</f>
        <v/>
      </c>
      <c r="CD36">
        <f>SUMPRODUCT((M_BOM[RM_Code]=$A36)*M_BOM[RM_Qty_Per_Batch]*IFERROR(INDEX(PP_Grid[#Data],M_BOM[PPGridRow],82),0))</f>
        <v/>
      </c>
      <c r="CE36">
        <f>SUMPRODUCT((M_BOM[RM_Code]=$A36)*M_BOM[RM_Qty_Per_Batch]*IFERROR(INDEX(PP_Grid[#Data],M_BOM[PPGridRow],83),0))</f>
        <v/>
      </c>
      <c r="CF36">
        <f>SUMPRODUCT((M_BOM[RM_Code]=$A36)*M_BOM[RM_Qty_Per_Batch]*IFERROR(INDEX(PP_Grid[#Data],M_BOM[PPGridRow],84),0))</f>
        <v/>
      </c>
      <c r="CG36">
        <f>SUMPRODUCT((M_BOM[RM_Code]=$A36)*M_BOM[RM_Qty_Per_Batch]*IFERROR(INDEX(PP_Grid[#Data],M_BOM[PPGridRow],85),0))</f>
        <v/>
      </c>
      <c r="CH36">
        <f>SUMPRODUCT((M_BOM[RM_Code]=$A36)*M_BOM[RM_Qty_Per_Batch]*IFERROR(INDEX(PP_Grid[#Data],M_BOM[PPGridRow],86),0))</f>
        <v/>
      </c>
      <c r="CI36">
        <f>SUMPRODUCT((M_BOM[RM_Code]=$A36)*M_BOM[RM_Qty_Per_Batch]*IFERROR(INDEX(PP_Grid[#Data],M_BOM[PPGridRow],87),0))</f>
        <v/>
      </c>
      <c r="CJ36">
        <f>SUMPRODUCT((M_BOM[RM_Code]=$A36)*M_BOM[RM_Qty_Per_Batch]*IFERROR(INDEX(PP_Grid[#Data],M_BOM[PPGridRow],88),0))</f>
        <v/>
      </c>
      <c r="CK36">
        <f>SUMPRODUCT((M_BOM[RM_Code]=$A36)*M_BOM[RM_Qty_Per_Batch]*IFERROR(INDEX(PP_Grid[#Data],M_BOM[PPGridRow],89),0))</f>
        <v/>
      </c>
      <c r="CL36">
        <f>SUMPRODUCT((M_BOM[RM_Code]=$A36)*M_BOM[RM_Qty_Per_Batch]*IFERROR(INDEX(PP_Grid[#Data],M_BOM[PPGridRow],90),0))</f>
        <v/>
      </c>
      <c r="CM36">
        <f>SUMPRODUCT((M_BOM[RM_Code]=$A36)*M_BOM[RM_Qty_Per_Batch]*IFERROR(INDEX(PP_Grid[#Data],M_BOM[PPGridRow],91),0))</f>
        <v/>
      </c>
      <c r="CN36">
        <f>SUMPRODUCT((M_BOM[RM_Code]=$A36)*M_BOM[RM_Qty_Per_Batch]*IFERROR(INDEX(PP_Grid[#Data],M_BOM[PPGridRow],92),0))</f>
        <v/>
      </c>
      <c r="CO36">
        <f>SUMPRODUCT((M_BOM[RM_Code]=$A36)*M_BOM[RM_Qty_Per_Batch]*IFERROR(INDEX(PP_Grid[#Data],M_BOM[PPGridRow],93),0))</f>
        <v/>
      </c>
      <c r="CP36">
        <f>SUMPRODUCT((M_BOM[RM_Code]=$A36)*M_BOM[RM_Qty_Per_Batch]*IFERROR(INDEX(PP_Grid[#Data],M_BOM[PPGridRow],94),0))</f>
        <v/>
      </c>
      <c r="CQ36">
        <f>SUMPRODUCT((M_BOM[RM_Code]=$A36)*M_BOM[RM_Qty_Per_Batch]*IFERROR(INDEX(PP_Grid[#Data],M_BOM[PPGridRow],95),0))</f>
        <v/>
      </c>
      <c r="CR36">
        <f>SUMPRODUCT((M_BOM[RM_Code]=$A36)*M_BOM[RM_Qty_Per_Batch]*IFERROR(INDEX(PP_Grid[#Data],M_BOM[PPGridRow],96),0))</f>
        <v/>
      </c>
      <c r="CS36">
        <f>SUMPRODUCT((M_BOM[RM_Code]=$A36)*M_BOM[RM_Qty_Per_Batch]*IFERROR(INDEX(PP_Grid[#Data],M_BOM[PPGridRow],97),0))</f>
        <v/>
      </c>
      <c r="CT36">
        <f>SUMPRODUCT((M_BOM[RM_Code]=$A36)*M_BOM[RM_Qty_Per_Batch]*IFERROR(INDEX(PP_Grid[#Data],M_BOM[PPGridRow],98),0))</f>
        <v/>
      </c>
      <c r="CU36">
        <f>SUMPRODUCT((M_BOM[RM_Code]=$A36)*M_BOM[RM_Qty_Per_Batch]*IFERROR(INDEX(PP_Grid[#Data],M_BOM[PPGridRow],99),0))</f>
        <v/>
      </c>
      <c r="CV36">
        <f>SUMPRODUCT((M_BOM[RM_Code]=$A36)*M_BOM[RM_Qty_Per_Batch]*IFERROR(INDEX(PP_Grid[#Data],M_BOM[PPGridRow],100),0))</f>
        <v/>
      </c>
      <c r="CW36">
        <f>SUMPRODUCT((M_BOM[RM_Code]=$A36)*M_BOM[RM_Qty_Per_Batch]*IFERROR(INDEX(PP_Grid[#Data],M_BOM[PPGridRow],101),0))</f>
        <v/>
      </c>
      <c r="CX36">
        <f>SUMPRODUCT((M_BOM[RM_Code]=$A36)*M_BOM[RM_Qty_Per_Batch]*IFERROR(INDEX(PP_Grid[#Data],M_BOM[PPGridRow],102),0))</f>
        <v/>
      </c>
      <c r="CY36">
        <f>SUMPRODUCT((M_BOM[RM_Code]=$A36)*M_BOM[RM_Qty_Per_Batch]*IFERROR(INDEX(PP_Grid[#Data],M_BOM[PPGridRow],103),0))</f>
        <v/>
      </c>
      <c r="CZ36">
        <f>SUMPRODUCT((M_BOM[RM_Code]=$A36)*M_BOM[RM_Qty_Per_Batch]*IFERROR(INDEX(PP_Grid[#Data],M_BOM[PPGridRow],104),0))</f>
        <v/>
      </c>
      <c r="DA36">
        <f>SUMPRODUCT((M_BOM[RM_Code]=$A36)*M_BOM[RM_Qty_Per_Batch]*IFERROR(INDEX(PP_Grid[#Data],M_BOM[PPGridRow],105),0))</f>
        <v/>
      </c>
    </row>
    <row r="37">
      <c r="A37" t="inlineStr">
        <is>
          <t>CHEM-1680</t>
        </is>
      </c>
      <c r="B37">
        <f>SUMPRODUCT((M_BOM[RM_Code]=$A37)*M_BOM[RM_Qty_Per_Batch]*IFERROR(INDEX(PP_Grid[#Data],M_BOM[PPGridRow],2),0))</f>
        <v/>
      </c>
      <c r="C37">
        <f>SUMPRODUCT((M_BOM[RM_Code]=$A37)*M_BOM[RM_Qty_Per_Batch]*IFERROR(INDEX(PP_Grid[#Data],M_BOM[PPGridRow],3),0))</f>
        <v/>
      </c>
      <c r="D37">
        <f>SUMPRODUCT((M_BOM[RM_Code]=$A37)*M_BOM[RM_Qty_Per_Batch]*IFERROR(INDEX(PP_Grid[#Data],M_BOM[PPGridRow],4),0))</f>
        <v/>
      </c>
      <c r="E37">
        <f>SUMPRODUCT((M_BOM[RM_Code]=$A37)*M_BOM[RM_Qty_Per_Batch]*IFERROR(INDEX(PP_Grid[#Data],M_BOM[PPGridRow],5),0))</f>
        <v/>
      </c>
      <c r="F37">
        <f>SUMPRODUCT((M_BOM[RM_Code]=$A37)*M_BOM[RM_Qty_Per_Batch]*IFERROR(INDEX(PP_Grid[#Data],M_BOM[PPGridRow],6),0))</f>
        <v/>
      </c>
      <c r="G37">
        <f>SUMPRODUCT((M_BOM[RM_Code]=$A37)*M_BOM[RM_Qty_Per_Batch]*IFERROR(INDEX(PP_Grid[#Data],M_BOM[PPGridRow],7),0))</f>
        <v/>
      </c>
      <c r="H37">
        <f>SUMPRODUCT((M_BOM[RM_Code]=$A37)*M_BOM[RM_Qty_Per_Batch]*IFERROR(INDEX(PP_Grid[#Data],M_BOM[PPGridRow],8),0))</f>
        <v/>
      </c>
      <c r="I37">
        <f>SUMPRODUCT((M_BOM[RM_Code]=$A37)*M_BOM[RM_Qty_Per_Batch]*IFERROR(INDEX(PP_Grid[#Data],M_BOM[PPGridRow],9),0))</f>
        <v/>
      </c>
      <c r="J37">
        <f>SUMPRODUCT((M_BOM[RM_Code]=$A37)*M_BOM[RM_Qty_Per_Batch]*IFERROR(INDEX(PP_Grid[#Data],M_BOM[PPGridRow],10),0))</f>
        <v/>
      </c>
      <c r="K37">
        <f>SUMPRODUCT((M_BOM[RM_Code]=$A37)*M_BOM[RM_Qty_Per_Batch]*IFERROR(INDEX(PP_Grid[#Data],M_BOM[PPGridRow],11),0))</f>
        <v/>
      </c>
      <c r="L37">
        <f>SUMPRODUCT((M_BOM[RM_Code]=$A37)*M_BOM[RM_Qty_Per_Batch]*IFERROR(INDEX(PP_Grid[#Data],M_BOM[PPGridRow],12),0))</f>
        <v/>
      </c>
      <c r="M37">
        <f>SUMPRODUCT((M_BOM[RM_Code]=$A37)*M_BOM[RM_Qty_Per_Batch]*IFERROR(INDEX(PP_Grid[#Data],M_BOM[PPGridRow],13),0))</f>
        <v/>
      </c>
      <c r="N37">
        <f>SUMPRODUCT((M_BOM[RM_Code]=$A37)*M_BOM[RM_Qty_Per_Batch]*IFERROR(INDEX(PP_Grid[#Data],M_BOM[PPGridRow],14),0))</f>
        <v/>
      </c>
      <c r="O37">
        <f>SUMPRODUCT((M_BOM[RM_Code]=$A37)*M_BOM[RM_Qty_Per_Batch]*IFERROR(INDEX(PP_Grid[#Data],M_BOM[PPGridRow],15),0))</f>
        <v/>
      </c>
      <c r="P37">
        <f>SUMPRODUCT((M_BOM[RM_Code]=$A37)*M_BOM[RM_Qty_Per_Batch]*IFERROR(INDEX(PP_Grid[#Data],M_BOM[PPGridRow],16),0))</f>
        <v/>
      </c>
      <c r="Q37">
        <f>SUMPRODUCT((M_BOM[RM_Code]=$A37)*M_BOM[RM_Qty_Per_Batch]*IFERROR(INDEX(PP_Grid[#Data],M_BOM[PPGridRow],17),0))</f>
        <v/>
      </c>
      <c r="R37">
        <f>SUMPRODUCT((M_BOM[RM_Code]=$A37)*M_BOM[RM_Qty_Per_Batch]*IFERROR(INDEX(PP_Grid[#Data],M_BOM[PPGridRow],18),0))</f>
        <v/>
      </c>
      <c r="S37">
        <f>SUMPRODUCT((M_BOM[RM_Code]=$A37)*M_BOM[RM_Qty_Per_Batch]*IFERROR(INDEX(PP_Grid[#Data],M_BOM[PPGridRow],19),0))</f>
        <v/>
      </c>
      <c r="T37">
        <f>SUMPRODUCT((M_BOM[RM_Code]=$A37)*M_BOM[RM_Qty_Per_Batch]*IFERROR(INDEX(PP_Grid[#Data],M_BOM[PPGridRow],20),0))</f>
        <v/>
      </c>
      <c r="U37">
        <f>SUMPRODUCT((M_BOM[RM_Code]=$A37)*M_BOM[RM_Qty_Per_Batch]*IFERROR(INDEX(PP_Grid[#Data],M_BOM[PPGridRow],21),0))</f>
        <v/>
      </c>
      <c r="V37">
        <f>SUMPRODUCT((M_BOM[RM_Code]=$A37)*M_BOM[RM_Qty_Per_Batch]*IFERROR(INDEX(PP_Grid[#Data],M_BOM[PPGridRow],22),0))</f>
        <v/>
      </c>
      <c r="W37">
        <f>SUMPRODUCT((M_BOM[RM_Code]=$A37)*M_BOM[RM_Qty_Per_Batch]*IFERROR(INDEX(PP_Grid[#Data],M_BOM[PPGridRow],23),0))</f>
        <v/>
      </c>
      <c r="X37">
        <f>SUMPRODUCT((M_BOM[RM_Code]=$A37)*M_BOM[RM_Qty_Per_Batch]*IFERROR(INDEX(PP_Grid[#Data],M_BOM[PPGridRow],24),0))</f>
        <v/>
      </c>
      <c r="Y37">
        <f>SUMPRODUCT((M_BOM[RM_Code]=$A37)*M_BOM[RM_Qty_Per_Batch]*IFERROR(INDEX(PP_Grid[#Data],M_BOM[PPGridRow],25),0))</f>
        <v/>
      </c>
      <c r="Z37">
        <f>SUMPRODUCT((M_BOM[RM_Code]=$A37)*M_BOM[RM_Qty_Per_Batch]*IFERROR(INDEX(PP_Grid[#Data],M_BOM[PPGridRow],26),0))</f>
        <v/>
      </c>
      <c r="AA37">
        <f>SUMPRODUCT((M_BOM[RM_Code]=$A37)*M_BOM[RM_Qty_Per_Batch]*IFERROR(INDEX(PP_Grid[#Data],M_BOM[PPGridRow],27),0))</f>
        <v/>
      </c>
      <c r="AB37">
        <f>SUMPRODUCT((M_BOM[RM_Code]=$A37)*M_BOM[RM_Qty_Per_Batch]*IFERROR(INDEX(PP_Grid[#Data],M_BOM[PPGridRow],28),0))</f>
        <v/>
      </c>
      <c r="AC37">
        <f>SUMPRODUCT((M_BOM[RM_Code]=$A37)*M_BOM[RM_Qty_Per_Batch]*IFERROR(INDEX(PP_Grid[#Data],M_BOM[PPGridRow],29),0))</f>
        <v/>
      </c>
      <c r="AD37">
        <f>SUMPRODUCT((M_BOM[RM_Code]=$A37)*M_BOM[RM_Qty_Per_Batch]*IFERROR(INDEX(PP_Grid[#Data],M_BOM[PPGridRow],30),0))</f>
        <v/>
      </c>
      <c r="AE37">
        <f>SUMPRODUCT((M_BOM[RM_Code]=$A37)*M_BOM[RM_Qty_Per_Batch]*IFERROR(INDEX(PP_Grid[#Data],M_BOM[PPGridRow],31),0))</f>
        <v/>
      </c>
      <c r="AF37">
        <f>SUMPRODUCT((M_BOM[RM_Code]=$A37)*M_BOM[RM_Qty_Per_Batch]*IFERROR(INDEX(PP_Grid[#Data],M_BOM[PPGridRow],32),0))</f>
        <v/>
      </c>
      <c r="AG37">
        <f>SUMPRODUCT((M_BOM[RM_Code]=$A37)*M_BOM[RM_Qty_Per_Batch]*IFERROR(INDEX(PP_Grid[#Data],M_BOM[PPGridRow],33),0))</f>
        <v/>
      </c>
      <c r="AH37">
        <f>SUMPRODUCT((M_BOM[RM_Code]=$A37)*M_BOM[RM_Qty_Per_Batch]*IFERROR(INDEX(PP_Grid[#Data],M_BOM[PPGridRow],34),0))</f>
        <v/>
      </c>
      <c r="AI37">
        <f>SUMPRODUCT((M_BOM[RM_Code]=$A37)*M_BOM[RM_Qty_Per_Batch]*IFERROR(INDEX(PP_Grid[#Data],M_BOM[PPGridRow],35),0))</f>
        <v/>
      </c>
      <c r="AJ37">
        <f>SUMPRODUCT((M_BOM[RM_Code]=$A37)*M_BOM[RM_Qty_Per_Batch]*IFERROR(INDEX(PP_Grid[#Data],M_BOM[PPGridRow],36),0))</f>
        <v/>
      </c>
      <c r="AK37">
        <f>SUMPRODUCT((M_BOM[RM_Code]=$A37)*M_BOM[RM_Qty_Per_Batch]*IFERROR(INDEX(PP_Grid[#Data],M_BOM[PPGridRow],37),0))</f>
        <v/>
      </c>
      <c r="AL37">
        <f>SUMPRODUCT((M_BOM[RM_Code]=$A37)*M_BOM[RM_Qty_Per_Batch]*IFERROR(INDEX(PP_Grid[#Data],M_BOM[PPGridRow],38),0))</f>
        <v/>
      </c>
      <c r="AM37">
        <f>SUMPRODUCT((M_BOM[RM_Code]=$A37)*M_BOM[RM_Qty_Per_Batch]*IFERROR(INDEX(PP_Grid[#Data],M_BOM[PPGridRow],39),0))</f>
        <v/>
      </c>
      <c r="AN37">
        <f>SUMPRODUCT((M_BOM[RM_Code]=$A37)*M_BOM[RM_Qty_Per_Batch]*IFERROR(INDEX(PP_Grid[#Data],M_BOM[PPGridRow],40),0))</f>
        <v/>
      </c>
      <c r="AO37">
        <f>SUMPRODUCT((M_BOM[RM_Code]=$A37)*M_BOM[RM_Qty_Per_Batch]*IFERROR(INDEX(PP_Grid[#Data],M_BOM[PPGridRow],41),0))</f>
        <v/>
      </c>
      <c r="AP37">
        <f>SUMPRODUCT((M_BOM[RM_Code]=$A37)*M_BOM[RM_Qty_Per_Batch]*IFERROR(INDEX(PP_Grid[#Data],M_BOM[PPGridRow],42),0))</f>
        <v/>
      </c>
      <c r="AQ37">
        <f>SUMPRODUCT((M_BOM[RM_Code]=$A37)*M_BOM[RM_Qty_Per_Batch]*IFERROR(INDEX(PP_Grid[#Data],M_BOM[PPGridRow],43),0))</f>
        <v/>
      </c>
      <c r="AR37">
        <f>SUMPRODUCT((M_BOM[RM_Code]=$A37)*M_BOM[RM_Qty_Per_Batch]*IFERROR(INDEX(PP_Grid[#Data],M_BOM[PPGridRow],44),0))</f>
        <v/>
      </c>
      <c r="AS37">
        <f>SUMPRODUCT((M_BOM[RM_Code]=$A37)*M_BOM[RM_Qty_Per_Batch]*IFERROR(INDEX(PP_Grid[#Data],M_BOM[PPGridRow],45),0))</f>
        <v/>
      </c>
      <c r="AT37">
        <f>SUMPRODUCT((M_BOM[RM_Code]=$A37)*M_BOM[RM_Qty_Per_Batch]*IFERROR(INDEX(PP_Grid[#Data],M_BOM[PPGridRow],46),0))</f>
        <v/>
      </c>
      <c r="AU37">
        <f>SUMPRODUCT((M_BOM[RM_Code]=$A37)*M_BOM[RM_Qty_Per_Batch]*IFERROR(INDEX(PP_Grid[#Data],M_BOM[PPGridRow],47),0))</f>
        <v/>
      </c>
      <c r="AV37">
        <f>SUMPRODUCT((M_BOM[RM_Code]=$A37)*M_BOM[RM_Qty_Per_Batch]*IFERROR(INDEX(PP_Grid[#Data],M_BOM[PPGridRow],48),0))</f>
        <v/>
      </c>
      <c r="AW37">
        <f>SUMPRODUCT((M_BOM[RM_Code]=$A37)*M_BOM[RM_Qty_Per_Batch]*IFERROR(INDEX(PP_Grid[#Data],M_BOM[PPGridRow],49),0))</f>
        <v/>
      </c>
      <c r="AX37">
        <f>SUMPRODUCT((M_BOM[RM_Code]=$A37)*M_BOM[RM_Qty_Per_Batch]*IFERROR(INDEX(PP_Grid[#Data],M_BOM[PPGridRow],50),0))</f>
        <v/>
      </c>
      <c r="AY37">
        <f>SUMPRODUCT((M_BOM[RM_Code]=$A37)*M_BOM[RM_Qty_Per_Batch]*IFERROR(INDEX(PP_Grid[#Data],M_BOM[PPGridRow],51),0))</f>
        <v/>
      </c>
      <c r="AZ37">
        <f>SUMPRODUCT((M_BOM[RM_Code]=$A37)*M_BOM[RM_Qty_Per_Batch]*IFERROR(INDEX(PP_Grid[#Data],M_BOM[PPGridRow],52),0))</f>
        <v/>
      </c>
      <c r="BA37">
        <f>SUMPRODUCT((M_BOM[RM_Code]=$A37)*M_BOM[RM_Qty_Per_Batch]*IFERROR(INDEX(PP_Grid[#Data],M_BOM[PPGridRow],53),0))</f>
        <v/>
      </c>
      <c r="BB37">
        <f>SUMPRODUCT((M_BOM[RM_Code]=$A37)*M_BOM[RM_Qty_Per_Batch]*IFERROR(INDEX(PP_Grid[#Data],M_BOM[PPGridRow],54),0))</f>
        <v/>
      </c>
      <c r="BC37">
        <f>SUMPRODUCT((M_BOM[RM_Code]=$A37)*M_BOM[RM_Qty_Per_Batch]*IFERROR(INDEX(PP_Grid[#Data],M_BOM[PPGridRow],55),0))</f>
        <v/>
      </c>
      <c r="BD37">
        <f>SUMPRODUCT((M_BOM[RM_Code]=$A37)*M_BOM[RM_Qty_Per_Batch]*IFERROR(INDEX(PP_Grid[#Data],M_BOM[PPGridRow],56),0))</f>
        <v/>
      </c>
      <c r="BE37">
        <f>SUMPRODUCT((M_BOM[RM_Code]=$A37)*M_BOM[RM_Qty_Per_Batch]*IFERROR(INDEX(PP_Grid[#Data],M_BOM[PPGridRow],57),0))</f>
        <v/>
      </c>
      <c r="BF37">
        <f>SUMPRODUCT((M_BOM[RM_Code]=$A37)*M_BOM[RM_Qty_Per_Batch]*IFERROR(INDEX(PP_Grid[#Data],M_BOM[PPGridRow],58),0))</f>
        <v/>
      </c>
      <c r="BG37">
        <f>SUMPRODUCT((M_BOM[RM_Code]=$A37)*M_BOM[RM_Qty_Per_Batch]*IFERROR(INDEX(PP_Grid[#Data],M_BOM[PPGridRow],59),0))</f>
        <v/>
      </c>
      <c r="BH37">
        <f>SUMPRODUCT((M_BOM[RM_Code]=$A37)*M_BOM[RM_Qty_Per_Batch]*IFERROR(INDEX(PP_Grid[#Data],M_BOM[PPGridRow],60),0))</f>
        <v/>
      </c>
      <c r="BI37">
        <f>SUMPRODUCT((M_BOM[RM_Code]=$A37)*M_BOM[RM_Qty_Per_Batch]*IFERROR(INDEX(PP_Grid[#Data],M_BOM[PPGridRow],61),0))</f>
        <v/>
      </c>
      <c r="BJ37">
        <f>SUMPRODUCT((M_BOM[RM_Code]=$A37)*M_BOM[RM_Qty_Per_Batch]*IFERROR(INDEX(PP_Grid[#Data],M_BOM[PPGridRow],62),0))</f>
        <v/>
      </c>
      <c r="BK37">
        <f>SUMPRODUCT((M_BOM[RM_Code]=$A37)*M_BOM[RM_Qty_Per_Batch]*IFERROR(INDEX(PP_Grid[#Data],M_BOM[PPGridRow],63),0))</f>
        <v/>
      </c>
      <c r="BL37">
        <f>SUMPRODUCT((M_BOM[RM_Code]=$A37)*M_BOM[RM_Qty_Per_Batch]*IFERROR(INDEX(PP_Grid[#Data],M_BOM[PPGridRow],64),0))</f>
        <v/>
      </c>
      <c r="BM37">
        <f>SUMPRODUCT((M_BOM[RM_Code]=$A37)*M_BOM[RM_Qty_Per_Batch]*IFERROR(INDEX(PP_Grid[#Data],M_BOM[PPGridRow],65),0))</f>
        <v/>
      </c>
      <c r="BN37">
        <f>SUMPRODUCT((M_BOM[RM_Code]=$A37)*M_BOM[RM_Qty_Per_Batch]*IFERROR(INDEX(PP_Grid[#Data],M_BOM[PPGridRow],66),0))</f>
        <v/>
      </c>
      <c r="BO37">
        <f>SUMPRODUCT((M_BOM[RM_Code]=$A37)*M_BOM[RM_Qty_Per_Batch]*IFERROR(INDEX(PP_Grid[#Data],M_BOM[PPGridRow],67),0))</f>
        <v/>
      </c>
      <c r="BP37">
        <f>SUMPRODUCT((M_BOM[RM_Code]=$A37)*M_BOM[RM_Qty_Per_Batch]*IFERROR(INDEX(PP_Grid[#Data],M_BOM[PPGridRow],68),0))</f>
        <v/>
      </c>
      <c r="BQ37">
        <f>SUMPRODUCT((M_BOM[RM_Code]=$A37)*M_BOM[RM_Qty_Per_Batch]*IFERROR(INDEX(PP_Grid[#Data],M_BOM[PPGridRow],69),0))</f>
        <v/>
      </c>
      <c r="BR37">
        <f>SUMPRODUCT((M_BOM[RM_Code]=$A37)*M_BOM[RM_Qty_Per_Batch]*IFERROR(INDEX(PP_Grid[#Data],M_BOM[PPGridRow],70),0))</f>
        <v/>
      </c>
      <c r="BS37">
        <f>SUMPRODUCT((M_BOM[RM_Code]=$A37)*M_BOM[RM_Qty_Per_Batch]*IFERROR(INDEX(PP_Grid[#Data],M_BOM[PPGridRow],71),0))</f>
        <v/>
      </c>
      <c r="BT37">
        <f>SUMPRODUCT((M_BOM[RM_Code]=$A37)*M_BOM[RM_Qty_Per_Batch]*IFERROR(INDEX(PP_Grid[#Data],M_BOM[PPGridRow],72),0))</f>
        <v/>
      </c>
      <c r="BU37">
        <f>SUMPRODUCT((M_BOM[RM_Code]=$A37)*M_BOM[RM_Qty_Per_Batch]*IFERROR(INDEX(PP_Grid[#Data],M_BOM[PPGridRow],73),0))</f>
        <v/>
      </c>
      <c r="BV37">
        <f>SUMPRODUCT((M_BOM[RM_Code]=$A37)*M_BOM[RM_Qty_Per_Batch]*IFERROR(INDEX(PP_Grid[#Data],M_BOM[PPGridRow],74),0))</f>
        <v/>
      </c>
      <c r="BW37">
        <f>SUMPRODUCT((M_BOM[RM_Code]=$A37)*M_BOM[RM_Qty_Per_Batch]*IFERROR(INDEX(PP_Grid[#Data],M_BOM[PPGridRow],75),0))</f>
        <v/>
      </c>
      <c r="BX37">
        <f>SUMPRODUCT((M_BOM[RM_Code]=$A37)*M_BOM[RM_Qty_Per_Batch]*IFERROR(INDEX(PP_Grid[#Data],M_BOM[PPGridRow],76),0))</f>
        <v/>
      </c>
      <c r="BY37">
        <f>SUMPRODUCT((M_BOM[RM_Code]=$A37)*M_BOM[RM_Qty_Per_Batch]*IFERROR(INDEX(PP_Grid[#Data],M_BOM[PPGridRow],77),0))</f>
        <v/>
      </c>
      <c r="BZ37">
        <f>SUMPRODUCT((M_BOM[RM_Code]=$A37)*M_BOM[RM_Qty_Per_Batch]*IFERROR(INDEX(PP_Grid[#Data],M_BOM[PPGridRow],78),0))</f>
        <v/>
      </c>
      <c r="CA37">
        <f>SUMPRODUCT((M_BOM[RM_Code]=$A37)*M_BOM[RM_Qty_Per_Batch]*IFERROR(INDEX(PP_Grid[#Data],M_BOM[PPGridRow],79),0))</f>
        <v/>
      </c>
      <c r="CB37">
        <f>SUMPRODUCT((M_BOM[RM_Code]=$A37)*M_BOM[RM_Qty_Per_Batch]*IFERROR(INDEX(PP_Grid[#Data],M_BOM[PPGridRow],80),0))</f>
        <v/>
      </c>
      <c r="CC37">
        <f>SUMPRODUCT((M_BOM[RM_Code]=$A37)*M_BOM[RM_Qty_Per_Batch]*IFERROR(INDEX(PP_Grid[#Data],M_BOM[PPGridRow],81),0))</f>
        <v/>
      </c>
      <c r="CD37">
        <f>SUMPRODUCT((M_BOM[RM_Code]=$A37)*M_BOM[RM_Qty_Per_Batch]*IFERROR(INDEX(PP_Grid[#Data],M_BOM[PPGridRow],82),0))</f>
        <v/>
      </c>
      <c r="CE37">
        <f>SUMPRODUCT((M_BOM[RM_Code]=$A37)*M_BOM[RM_Qty_Per_Batch]*IFERROR(INDEX(PP_Grid[#Data],M_BOM[PPGridRow],83),0))</f>
        <v/>
      </c>
      <c r="CF37">
        <f>SUMPRODUCT((M_BOM[RM_Code]=$A37)*M_BOM[RM_Qty_Per_Batch]*IFERROR(INDEX(PP_Grid[#Data],M_BOM[PPGridRow],84),0))</f>
        <v/>
      </c>
      <c r="CG37">
        <f>SUMPRODUCT((M_BOM[RM_Code]=$A37)*M_BOM[RM_Qty_Per_Batch]*IFERROR(INDEX(PP_Grid[#Data],M_BOM[PPGridRow],85),0))</f>
        <v/>
      </c>
      <c r="CH37">
        <f>SUMPRODUCT((M_BOM[RM_Code]=$A37)*M_BOM[RM_Qty_Per_Batch]*IFERROR(INDEX(PP_Grid[#Data],M_BOM[PPGridRow],86),0))</f>
        <v/>
      </c>
      <c r="CI37">
        <f>SUMPRODUCT((M_BOM[RM_Code]=$A37)*M_BOM[RM_Qty_Per_Batch]*IFERROR(INDEX(PP_Grid[#Data],M_BOM[PPGridRow],87),0))</f>
        <v/>
      </c>
      <c r="CJ37">
        <f>SUMPRODUCT((M_BOM[RM_Code]=$A37)*M_BOM[RM_Qty_Per_Batch]*IFERROR(INDEX(PP_Grid[#Data],M_BOM[PPGridRow],88),0))</f>
        <v/>
      </c>
      <c r="CK37">
        <f>SUMPRODUCT((M_BOM[RM_Code]=$A37)*M_BOM[RM_Qty_Per_Batch]*IFERROR(INDEX(PP_Grid[#Data],M_BOM[PPGridRow],89),0))</f>
        <v/>
      </c>
      <c r="CL37">
        <f>SUMPRODUCT((M_BOM[RM_Code]=$A37)*M_BOM[RM_Qty_Per_Batch]*IFERROR(INDEX(PP_Grid[#Data],M_BOM[PPGridRow],90),0))</f>
        <v/>
      </c>
      <c r="CM37">
        <f>SUMPRODUCT((M_BOM[RM_Code]=$A37)*M_BOM[RM_Qty_Per_Batch]*IFERROR(INDEX(PP_Grid[#Data],M_BOM[PPGridRow],91),0))</f>
        <v/>
      </c>
      <c r="CN37">
        <f>SUMPRODUCT((M_BOM[RM_Code]=$A37)*M_BOM[RM_Qty_Per_Batch]*IFERROR(INDEX(PP_Grid[#Data],M_BOM[PPGridRow],92),0))</f>
        <v/>
      </c>
      <c r="CO37">
        <f>SUMPRODUCT((M_BOM[RM_Code]=$A37)*M_BOM[RM_Qty_Per_Batch]*IFERROR(INDEX(PP_Grid[#Data],M_BOM[PPGridRow],93),0))</f>
        <v/>
      </c>
      <c r="CP37">
        <f>SUMPRODUCT((M_BOM[RM_Code]=$A37)*M_BOM[RM_Qty_Per_Batch]*IFERROR(INDEX(PP_Grid[#Data],M_BOM[PPGridRow],94),0))</f>
        <v/>
      </c>
      <c r="CQ37">
        <f>SUMPRODUCT((M_BOM[RM_Code]=$A37)*M_BOM[RM_Qty_Per_Batch]*IFERROR(INDEX(PP_Grid[#Data],M_BOM[PPGridRow],95),0))</f>
        <v/>
      </c>
      <c r="CR37">
        <f>SUMPRODUCT((M_BOM[RM_Code]=$A37)*M_BOM[RM_Qty_Per_Batch]*IFERROR(INDEX(PP_Grid[#Data],M_BOM[PPGridRow],96),0))</f>
        <v/>
      </c>
      <c r="CS37">
        <f>SUMPRODUCT((M_BOM[RM_Code]=$A37)*M_BOM[RM_Qty_Per_Batch]*IFERROR(INDEX(PP_Grid[#Data],M_BOM[PPGridRow],97),0))</f>
        <v/>
      </c>
      <c r="CT37">
        <f>SUMPRODUCT((M_BOM[RM_Code]=$A37)*M_BOM[RM_Qty_Per_Batch]*IFERROR(INDEX(PP_Grid[#Data],M_BOM[PPGridRow],98),0))</f>
        <v/>
      </c>
      <c r="CU37">
        <f>SUMPRODUCT((M_BOM[RM_Code]=$A37)*M_BOM[RM_Qty_Per_Batch]*IFERROR(INDEX(PP_Grid[#Data],M_BOM[PPGridRow],99),0))</f>
        <v/>
      </c>
      <c r="CV37">
        <f>SUMPRODUCT((M_BOM[RM_Code]=$A37)*M_BOM[RM_Qty_Per_Batch]*IFERROR(INDEX(PP_Grid[#Data],M_BOM[PPGridRow],100),0))</f>
        <v/>
      </c>
      <c r="CW37">
        <f>SUMPRODUCT((M_BOM[RM_Code]=$A37)*M_BOM[RM_Qty_Per_Batch]*IFERROR(INDEX(PP_Grid[#Data],M_BOM[PPGridRow],101),0))</f>
        <v/>
      </c>
      <c r="CX37">
        <f>SUMPRODUCT((M_BOM[RM_Code]=$A37)*M_BOM[RM_Qty_Per_Batch]*IFERROR(INDEX(PP_Grid[#Data],M_BOM[PPGridRow],102),0))</f>
        <v/>
      </c>
      <c r="CY37">
        <f>SUMPRODUCT((M_BOM[RM_Code]=$A37)*M_BOM[RM_Qty_Per_Batch]*IFERROR(INDEX(PP_Grid[#Data],M_BOM[PPGridRow],103),0))</f>
        <v/>
      </c>
      <c r="CZ37">
        <f>SUMPRODUCT((M_BOM[RM_Code]=$A37)*M_BOM[RM_Qty_Per_Batch]*IFERROR(INDEX(PP_Grid[#Data],M_BOM[PPGridRow],104),0))</f>
        <v/>
      </c>
      <c r="DA37">
        <f>SUMPRODUCT((M_BOM[RM_Code]=$A37)*M_BOM[RM_Qty_Per_Batch]*IFERROR(INDEX(PP_Grid[#Data],M_BOM[PPGridRow],105),0))</f>
        <v/>
      </c>
    </row>
    <row r="38">
      <c r="A38" t="inlineStr">
        <is>
          <t>CHEM-1820</t>
        </is>
      </c>
      <c r="B38">
        <f>SUMPRODUCT((M_BOM[RM_Code]=$A38)*M_BOM[RM_Qty_Per_Batch]*IFERROR(INDEX(PP_Grid[#Data],M_BOM[PPGridRow],2),0))</f>
        <v/>
      </c>
      <c r="C38">
        <f>SUMPRODUCT((M_BOM[RM_Code]=$A38)*M_BOM[RM_Qty_Per_Batch]*IFERROR(INDEX(PP_Grid[#Data],M_BOM[PPGridRow],3),0))</f>
        <v/>
      </c>
      <c r="D38">
        <f>SUMPRODUCT((M_BOM[RM_Code]=$A38)*M_BOM[RM_Qty_Per_Batch]*IFERROR(INDEX(PP_Grid[#Data],M_BOM[PPGridRow],4),0))</f>
        <v/>
      </c>
      <c r="E38">
        <f>SUMPRODUCT((M_BOM[RM_Code]=$A38)*M_BOM[RM_Qty_Per_Batch]*IFERROR(INDEX(PP_Grid[#Data],M_BOM[PPGridRow],5),0))</f>
        <v/>
      </c>
      <c r="F38">
        <f>SUMPRODUCT((M_BOM[RM_Code]=$A38)*M_BOM[RM_Qty_Per_Batch]*IFERROR(INDEX(PP_Grid[#Data],M_BOM[PPGridRow],6),0))</f>
        <v/>
      </c>
      <c r="G38">
        <f>SUMPRODUCT((M_BOM[RM_Code]=$A38)*M_BOM[RM_Qty_Per_Batch]*IFERROR(INDEX(PP_Grid[#Data],M_BOM[PPGridRow],7),0))</f>
        <v/>
      </c>
      <c r="H38">
        <f>SUMPRODUCT((M_BOM[RM_Code]=$A38)*M_BOM[RM_Qty_Per_Batch]*IFERROR(INDEX(PP_Grid[#Data],M_BOM[PPGridRow],8),0))</f>
        <v/>
      </c>
      <c r="I38">
        <f>SUMPRODUCT((M_BOM[RM_Code]=$A38)*M_BOM[RM_Qty_Per_Batch]*IFERROR(INDEX(PP_Grid[#Data],M_BOM[PPGridRow],9),0))</f>
        <v/>
      </c>
      <c r="J38">
        <f>SUMPRODUCT((M_BOM[RM_Code]=$A38)*M_BOM[RM_Qty_Per_Batch]*IFERROR(INDEX(PP_Grid[#Data],M_BOM[PPGridRow],10),0))</f>
        <v/>
      </c>
      <c r="K38">
        <f>SUMPRODUCT((M_BOM[RM_Code]=$A38)*M_BOM[RM_Qty_Per_Batch]*IFERROR(INDEX(PP_Grid[#Data],M_BOM[PPGridRow],11),0))</f>
        <v/>
      </c>
      <c r="L38">
        <f>SUMPRODUCT((M_BOM[RM_Code]=$A38)*M_BOM[RM_Qty_Per_Batch]*IFERROR(INDEX(PP_Grid[#Data],M_BOM[PPGridRow],12),0))</f>
        <v/>
      </c>
      <c r="M38">
        <f>SUMPRODUCT((M_BOM[RM_Code]=$A38)*M_BOM[RM_Qty_Per_Batch]*IFERROR(INDEX(PP_Grid[#Data],M_BOM[PPGridRow],13),0))</f>
        <v/>
      </c>
      <c r="N38">
        <f>SUMPRODUCT((M_BOM[RM_Code]=$A38)*M_BOM[RM_Qty_Per_Batch]*IFERROR(INDEX(PP_Grid[#Data],M_BOM[PPGridRow],14),0))</f>
        <v/>
      </c>
      <c r="O38">
        <f>SUMPRODUCT((M_BOM[RM_Code]=$A38)*M_BOM[RM_Qty_Per_Batch]*IFERROR(INDEX(PP_Grid[#Data],M_BOM[PPGridRow],15),0))</f>
        <v/>
      </c>
      <c r="P38">
        <f>SUMPRODUCT((M_BOM[RM_Code]=$A38)*M_BOM[RM_Qty_Per_Batch]*IFERROR(INDEX(PP_Grid[#Data],M_BOM[PPGridRow],16),0))</f>
        <v/>
      </c>
      <c r="Q38">
        <f>SUMPRODUCT((M_BOM[RM_Code]=$A38)*M_BOM[RM_Qty_Per_Batch]*IFERROR(INDEX(PP_Grid[#Data],M_BOM[PPGridRow],17),0))</f>
        <v/>
      </c>
      <c r="R38">
        <f>SUMPRODUCT((M_BOM[RM_Code]=$A38)*M_BOM[RM_Qty_Per_Batch]*IFERROR(INDEX(PP_Grid[#Data],M_BOM[PPGridRow],18),0))</f>
        <v/>
      </c>
      <c r="S38">
        <f>SUMPRODUCT((M_BOM[RM_Code]=$A38)*M_BOM[RM_Qty_Per_Batch]*IFERROR(INDEX(PP_Grid[#Data],M_BOM[PPGridRow],19),0))</f>
        <v/>
      </c>
      <c r="T38">
        <f>SUMPRODUCT((M_BOM[RM_Code]=$A38)*M_BOM[RM_Qty_Per_Batch]*IFERROR(INDEX(PP_Grid[#Data],M_BOM[PPGridRow],20),0))</f>
        <v/>
      </c>
      <c r="U38">
        <f>SUMPRODUCT((M_BOM[RM_Code]=$A38)*M_BOM[RM_Qty_Per_Batch]*IFERROR(INDEX(PP_Grid[#Data],M_BOM[PPGridRow],21),0))</f>
        <v/>
      </c>
      <c r="V38">
        <f>SUMPRODUCT((M_BOM[RM_Code]=$A38)*M_BOM[RM_Qty_Per_Batch]*IFERROR(INDEX(PP_Grid[#Data],M_BOM[PPGridRow],22),0))</f>
        <v/>
      </c>
      <c r="W38">
        <f>SUMPRODUCT((M_BOM[RM_Code]=$A38)*M_BOM[RM_Qty_Per_Batch]*IFERROR(INDEX(PP_Grid[#Data],M_BOM[PPGridRow],23),0))</f>
        <v/>
      </c>
      <c r="X38">
        <f>SUMPRODUCT((M_BOM[RM_Code]=$A38)*M_BOM[RM_Qty_Per_Batch]*IFERROR(INDEX(PP_Grid[#Data],M_BOM[PPGridRow],24),0))</f>
        <v/>
      </c>
      <c r="Y38">
        <f>SUMPRODUCT((M_BOM[RM_Code]=$A38)*M_BOM[RM_Qty_Per_Batch]*IFERROR(INDEX(PP_Grid[#Data],M_BOM[PPGridRow],25),0))</f>
        <v/>
      </c>
      <c r="Z38">
        <f>SUMPRODUCT((M_BOM[RM_Code]=$A38)*M_BOM[RM_Qty_Per_Batch]*IFERROR(INDEX(PP_Grid[#Data],M_BOM[PPGridRow],26),0))</f>
        <v/>
      </c>
      <c r="AA38">
        <f>SUMPRODUCT((M_BOM[RM_Code]=$A38)*M_BOM[RM_Qty_Per_Batch]*IFERROR(INDEX(PP_Grid[#Data],M_BOM[PPGridRow],27),0))</f>
        <v/>
      </c>
      <c r="AB38">
        <f>SUMPRODUCT((M_BOM[RM_Code]=$A38)*M_BOM[RM_Qty_Per_Batch]*IFERROR(INDEX(PP_Grid[#Data],M_BOM[PPGridRow],28),0))</f>
        <v/>
      </c>
      <c r="AC38">
        <f>SUMPRODUCT((M_BOM[RM_Code]=$A38)*M_BOM[RM_Qty_Per_Batch]*IFERROR(INDEX(PP_Grid[#Data],M_BOM[PPGridRow],29),0))</f>
        <v/>
      </c>
      <c r="AD38">
        <f>SUMPRODUCT((M_BOM[RM_Code]=$A38)*M_BOM[RM_Qty_Per_Batch]*IFERROR(INDEX(PP_Grid[#Data],M_BOM[PPGridRow],30),0))</f>
        <v/>
      </c>
      <c r="AE38">
        <f>SUMPRODUCT((M_BOM[RM_Code]=$A38)*M_BOM[RM_Qty_Per_Batch]*IFERROR(INDEX(PP_Grid[#Data],M_BOM[PPGridRow],31),0))</f>
        <v/>
      </c>
      <c r="AF38">
        <f>SUMPRODUCT((M_BOM[RM_Code]=$A38)*M_BOM[RM_Qty_Per_Batch]*IFERROR(INDEX(PP_Grid[#Data],M_BOM[PPGridRow],32),0))</f>
        <v/>
      </c>
      <c r="AG38">
        <f>SUMPRODUCT((M_BOM[RM_Code]=$A38)*M_BOM[RM_Qty_Per_Batch]*IFERROR(INDEX(PP_Grid[#Data],M_BOM[PPGridRow],33),0))</f>
        <v/>
      </c>
      <c r="AH38">
        <f>SUMPRODUCT((M_BOM[RM_Code]=$A38)*M_BOM[RM_Qty_Per_Batch]*IFERROR(INDEX(PP_Grid[#Data],M_BOM[PPGridRow],34),0))</f>
        <v/>
      </c>
      <c r="AI38">
        <f>SUMPRODUCT((M_BOM[RM_Code]=$A38)*M_BOM[RM_Qty_Per_Batch]*IFERROR(INDEX(PP_Grid[#Data],M_BOM[PPGridRow],35),0))</f>
        <v/>
      </c>
      <c r="AJ38">
        <f>SUMPRODUCT((M_BOM[RM_Code]=$A38)*M_BOM[RM_Qty_Per_Batch]*IFERROR(INDEX(PP_Grid[#Data],M_BOM[PPGridRow],36),0))</f>
        <v/>
      </c>
      <c r="AK38">
        <f>SUMPRODUCT((M_BOM[RM_Code]=$A38)*M_BOM[RM_Qty_Per_Batch]*IFERROR(INDEX(PP_Grid[#Data],M_BOM[PPGridRow],37),0))</f>
        <v/>
      </c>
      <c r="AL38">
        <f>SUMPRODUCT((M_BOM[RM_Code]=$A38)*M_BOM[RM_Qty_Per_Batch]*IFERROR(INDEX(PP_Grid[#Data],M_BOM[PPGridRow],38),0))</f>
        <v/>
      </c>
      <c r="AM38">
        <f>SUMPRODUCT((M_BOM[RM_Code]=$A38)*M_BOM[RM_Qty_Per_Batch]*IFERROR(INDEX(PP_Grid[#Data],M_BOM[PPGridRow],39),0))</f>
        <v/>
      </c>
      <c r="AN38">
        <f>SUMPRODUCT((M_BOM[RM_Code]=$A38)*M_BOM[RM_Qty_Per_Batch]*IFERROR(INDEX(PP_Grid[#Data],M_BOM[PPGridRow],40),0))</f>
        <v/>
      </c>
      <c r="AO38">
        <f>SUMPRODUCT((M_BOM[RM_Code]=$A38)*M_BOM[RM_Qty_Per_Batch]*IFERROR(INDEX(PP_Grid[#Data],M_BOM[PPGridRow],41),0))</f>
        <v/>
      </c>
      <c r="AP38">
        <f>SUMPRODUCT((M_BOM[RM_Code]=$A38)*M_BOM[RM_Qty_Per_Batch]*IFERROR(INDEX(PP_Grid[#Data],M_BOM[PPGridRow],42),0))</f>
        <v/>
      </c>
      <c r="AQ38">
        <f>SUMPRODUCT((M_BOM[RM_Code]=$A38)*M_BOM[RM_Qty_Per_Batch]*IFERROR(INDEX(PP_Grid[#Data],M_BOM[PPGridRow],43),0))</f>
        <v/>
      </c>
      <c r="AR38">
        <f>SUMPRODUCT((M_BOM[RM_Code]=$A38)*M_BOM[RM_Qty_Per_Batch]*IFERROR(INDEX(PP_Grid[#Data],M_BOM[PPGridRow],44),0))</f>
        <v/>
      </c>
      <c r="AS38">
        <f>SUMPRODUCT((M_BOM[RM_Code]=$A38)*M_BOM[RM_Qty_Per_Batch]*IFERROR(INDEX(PP_Grid[#Data],M_BOM[PPGridRow],45),0))</f>
        <v/>
      </c>
      <c r="AT38">
        <f>SUMPRODUCT((M_BOM[RM_Code]=$A38)*M_BOM[RM_Qty_Per_Batch]*IFERROR(INDEX(PP_Grid[#Data],M_BOM[PPGridRow],46),0))</f>
        <v/>
      </c>
      <c r="AU38">
        <f>SUMPRODUCT((M_BOM[RM_Code]=$A38)*M_BOM[RM_Qty_Per_Batch]*IFERROR(INDEX(PP_Grid[#Data],M_BOM[PPGridRow],47),0))</f>
        <v/>
      </c>
      <c r="AV38">
        <f>SUMPRODUCT((M_BOM[RM_Code]=$A38)*M_BOM[RM_Qty_Per_Batch]*IFERROR(INDEX(PP_Grid[#Data],M_BOM[PPGridRow],48),0))</f>
        <v/>
      </c>
      <c r="AW38">
        <f>SUMPRODUCT((M_BOM[RM_Code]=$A38)*M_BOM[RM_Qty_Per_Batch]*IFERROR(INDEX(PP_Grid[#Data],M_BOM[PPGridRow],49),0))</f>
        <v/>
      </c>
      <c r="AX38">
        <f>SUMPRODUCT((M_BOM[RM_Code]=$A38)*M_BOM[RM_Qty_Per_Batch]*IFERROR(INDEX(PP_Grid[#Data],M_BOM[PPGridRow],50),0))</f>
        <v/>
      </c>
      <c r="AY38">
        <f>SUMPRODUCT((M_BOM[RM_Code]=$A38)*M_BOM[RM_Qty_Per_Batch]*IFERROR(INDEX(PP_Grid[#Data],M_BOM[PPGridRow],51),0))</f>
        <v/>
      </c>
      <c r="AZ38">
        <f>SUMPRODUCT((M_BOM[RM_Code]=$A38)*M_BOM[RM_Qty_Per_Batch]*IFERROR(INDEX(PP_Grid[#Data],M_BOM[PPGridRow],52),0))</f>
        <v/>
      </c>
      <c r="BA38">
        <f>SUMPRODUCT((M_BOM[RM_Code]=$A38)*M_BOM[RM_Qty_Per_Batch]*IFERROR(INDEX(PP_Grid[#Data],M_BOM[PPGridRow],53),0))</f>
        <v/>
      </c>
      <c r="BB38">
        <f>SUMPRODUCT((M_BOM[RM_Code]=$A38)*M_BOM[RM_Qty_Per_Batch]*IFERROR(INDEX(PP_Grid[#Data],M_BOM[PPGridRow],54),0))</f>
        <v/>
      </c>
      <c r="BC38">
        <f>SUMPRODUCT((M_BOM[RM_Code]=$A38)*M_BOM[RM_Qty_Per_Batch]*IFERROR(INDEX(PP_Grid[#Data],M_BOM[PPGridRow],55),0))</f>
        <v/>
      </c>
      <c r="BD38">
        <f>SUMPRODUCT((M_BOM[RM_Code]=$A38)*M_BOM[RM_Qty_Per_Batch]*IFERROR(INDEX(PP_Grid[#Data],M_BOM[PPGridRow],56),0))</f>
        <v/>
      </c>
      <c r="BE38">
        <f>SUMPRODUCT((M_BOM[RM_Code]=$A38)*M_BOM[RM_Qty_Per_Batch]*IFERROR(INDEX(PP_Grid[#Data],M_BOM[PPGridRow],57),0))</f>
        <v/>
      </c>
      <c r="BF38">
        <f>SUMPRODUCT((M_BOM[RM_Code]=$A38)*M_BOM[RM_Qty_Per_Batch]*IFERROR(INDEX(PP_Grid[#Data],M_BOM[PPGridRow],58),0))</f>
        <v/>
      </c>
      <c r="BG38">
        <f>SUMPRODUCT((M_BOM[RM_Code]=$A38)*M_BOM[RM_Qty_Per_Batch]*IFERROR(INDEX(PP_Grid[#Data],M_BOM[PPGridRow],59),0))</f>
        <v/>
      </c>
      <c r="BH38">
        <f>SUMPRODUCT((M_BOM[RM_Code]=$A38)*M_BOM[RM_Qty_Per_Batch]*IFERROR(INDEX(PP_Grid[#Data],M_BOM[PPGridRow],60),0))</f>
        <v/>
      </c>
      <c r="BI38">
        <f>SUMPRODUCT((M_BOM[RM_Code]=$A38)*M_BOM[RM_Qty_Per_Batch]*IFERROR(INDEX(PP_Grid[#Data],M_BOM[PPGridRow],61),0))</f>
        <v/>
      </c>
      <c r="BJ38">
        <f>SUMPRODUCT((M_BOM[RM_Code]=$A38)*M_BOM[RM_Qty_Per_Batch]*IFERROR(INDEX(PP_Grid[#Data],M_BOM[PPGridRow],62),0))</f>
        <v/>
      </c>
      <c r="BK38">
        <f>SUMPRODUCT((M_BOM[RM_Code]=$A38)*M_BOM[RM_Qty_Per_Batch]*IFERROR(INDEX(PP_Grid[#Data],M_BOM[PPGridRow],63),0))</f>
        <v/>
      </c>
      <c r="BL38">
        <f>SUMPRODUCT((M_BOM[RM_Code]=$A38)*M_BOM[RM_Qty_Per_Batch]*IFERROR(INDEX(PP_Grid[#Data],M_BOM[PPGridRow],64),0))</f>
        <v/>
      </c>
      <c r="BM38">
        <f>SUMPRODUCT((M_BOM[RM_Code]=$A38)*M_BOM[RM_Qty_Per_Batch]*IFERROR(INDEX(PP_Grid[#Data],M_BOM[PPGridRow],65),0))</f>
        <v/>
      </c>
      <c r="BN38">
        <f>SUMPRODUCT((M_BOM[RM_Code]=$A38)*M_BOM[RM_Qty_Per_Batch]*IFERROR(INDEX(PP_Grid[#Data],M_BOM[PPGridRow],66),0))</f>
        <v/>
      </c>
      <c r="BO38">
        <f>SUMPRODUCT((M_BOM[RM_Code]=$A38)*M_BOM[RM_Qty_Per_Batch]*IFERROR(INDEX(PP_Grid[#Data],M_BOM[PPGridRow],67),0))</f>
        <v/>
      </c>
      <c r="BP38">
        <f>SUMPRODUCT((M_BOM[RM_Code]=$A38)*M_BOM[RM_Qty_Per_Batch]*IFERROR(INDEX(PP_Grid[#Data],M_BOM[PPGridRow],68),0))</f>
        <v/>
      </c>
      <c r="BQ38">
        <f>SUMPRODUCT((M_BOM[RM_Code]=$A38)*M_BOM[RM_Qty_Per_Batch]*IFERROR(INDEX(PP_Grid[#Data],M_BOM[PPGridRow],69),0))</f>
        <v/>
      </c>
      <c r="BR38">
        <f>SUMPRODUCT((M_BOM[RM_Code]=$A38)*M_BOM[RM_Qty_Per_Batch]*IFERROR(INDEX(PP_Grid[#Data],M_BOM[PPGridRow],70),0))</f>
        <v/>
      </c>
      <c r="BS38">
        <f>SUMPRODUCT((M_BOM[RM_Code]=$A38)*M_BOM[RM_Qty_Per_Batch]*IFERROR(INDEX(PP_Grid[#Data],M_BOM[PPGridRow],71),0))</f>
        <v/>
      </c>
      <c r="BT38">
        <f>SUMPRODUCT((M_BOM[RM_Code]=$A38)*M_BOM[RM_Qty_Per_Batch]*IFERROR(INDEX(PP_Grid[#Data],M_BOM[PPGridRow],72),0))</f>
        <v/>
      </c>
      <c r="BU38">
        <f>SUMPRODUCT((M_BOM[RM_Code]=$A38)*M_BOM[RM_Qty_Per_Batch]*IFERROR(INDEX(PP_Grid[#Data],M_BOM[PPGridRow],73),0))</f>
        <v/>
      </c>
      <c r="BV38">
        <f>SUMPRODUCT((M_BOM[RM_Code]=$A38)*M_BOM[RM_Qty_Per_Batch]*IFERROR(INDEX(PP_Grid[#Data],M_BOM[PPGridRow],74),0))</f>
        <v/>
      </c>
      <c r="BW38">
        <f>SUMPRODUCT((M_BOM[RM_Code]=$A38)*M_BOM[RM_Qty_Per_Batch]*IFERROR(INDEX(PP_Grid[#Data],M_BOM[PPGridRow],75),0))</f>
        <v/>
      </c>
      <c r="BX38">
        <f>SUMPRODUCT((M_BOM[RM_Code]=$A38)*M_BOM[RM_Qty_Per_Batch]*IFERROR(INDEX(PP_Grid[#Data],M_BOM[PPGridRow],76),0))</f>
        <v/>
      </c>
      <c r="BY38">
        <f>SUMPRODUCT((M_BOM[RM_Code]=$A38)*M_BOM[RM_Qty_Per_Batch]*IFERROR(INDEX(PP_Grid[#Data],M_BOM[PPGridRow],77),0))</f>
        <v/>
      </c>
      <c r="BZ38">
        <f>SUMPRODUCT((M_BOM[RM_Code]=$A38)*M_BOM[RM_Qty_Per_Batch]*IFERROR(INDEX(PP_Grid[#Data],M_BOM[PPGridRow],78),0))</f>
        <v/>
      </c>
      <c r="CA38">
        <f>SUMPRODUCT((M_BOM[RM_Code]=$A38)*M_BOM[RM_Qty_Per_Batch]*IFERROR(INDEX(PP_Grid[#Data],M_BOM[PPGridRow],79),0))</f>
        <v/>
      </c>
      <c r="CB38">
        <f>SUMPRODUCT((M_BOM[RM_Code]=$A38)*M_BOM[RM_Qty_Per_Batch]*IFERROR(INDEX(PP_Grid[#Data],M_BOM[PPGridRow],80),0))</f>
        <v/>
      </c>
      <c r="CC38">
        <f>SUMPRODUCT((M_BOM[RM_Code]=$A38)*M_BOM[RM_Qty_Per_Batch]*IFERROR(INDEX(PP_Grid[#Data],M_BOM[PPGridRow],81),0))</f>
        <v/>
      </c>
      <c r="CD38">
        <f>SUMPRODUCT((M_BOM[RM_Code]=$A38)*M_BOM[RM_Qty_Per_Batch]*IFERROR(INDEX(PP_Grid[#Data],M_BOM[PPGridRow],82),0))</f>
        <v/>
      </c>
      <c r="CE38">
        <f>SUMPRODUCT((M_BOM[RM_Code]=$A38)*M_BOM[RM_Qty_Per_Batch]*IFERROR(INDEX(PP_Grid[#Data],M_BOM[PPGridRow],83),0))</f>
        <v/>
      </c>
      <c r="CF38">
        <f>SUMPRODUCT((M_BOM[RM_Code]=$A38)*M_BOM[RM_Qty_Per_Batch]*IFERROR(INDEX(PP_Grid[#Data],M_BOM[PPGridRow],84),0))</f>
        <v/>
      </c>
      <c r="CG38">
        <f>SUMPRODUCT((M_BOM[RM_Code]=$A38)*M_BOM[RM_Qty_Per_Batch]*IFERROR(INDEX(PP_Grid[#Data],M_BOM[PPGridRow],85),0))</f>
        <v/>
      </c>
      <c r="CH38">
        <f>SUMPRODUCT((M_BOM[RM_Code]=$A38)*M_BOM[RM_Qty_Per_Batch]*IFERROR(INDEX(PP_Grid[#Data],M_BOM[PPGridRow],86),0))</f>
        <v/>
      </c>
      <c r="CI38">
        <f>SUMPRODUCT((M_BOM[RM_Code]=$A38)*M_BOM[RM_Qty_Per_Batch]*IFERROR(INDEX(PP_Grid[#Data],M_BOM[PPGridRow],87),0))</f>
        <v/>
      </c>
      <c r="CJ38">
        <f>SUMPRODUCT((M_BOM[RM_Code]=$A38)*M_BOM[RM_Qty_Per_Batch]*IFERROR(INDEX(PP_Grid[#Data],M_BOM[PPGridRow],88),0))</f>
        <v/>
      </c>
      <c r="CK38">
        <f>SUMPRODUCT((M_BOM[RM_Code]=$A38)*M_BOM[RM_Qty_Per_Batch]*IFERROR(INDEX(PP_Grid[#Data],M_BOM[PPGridRow],89),0))</f>
        <v/>
      </c>
      <c r="CL38">
        <f>SUMPRODUCT((M_BOM[RM_Code]=$A38)*M_BOM[RM_Qty_Per_Batch]*IFERROR(INDEX(PP_Grid[#Data],M_BOM[PPGridRow],90),0))</f>
        <v/>
      </c>
      <c r="CM38">
        <f>SUMPRODUCT((M_BOM[RM_Code]=$A38)*M_BOM[RM_Qty_Per_Batch]*IFERROR(INDEX(PP_Grid[#Data],M_BOM[PPGridRow],91),0))</f>
        <v/>
      </c>
      <c r="CN38">
        <f>SUMPRODUCT((M_BOM[RM_Code]=$A38)*M_BOM[RM_Qty_Per_Batch]*IFERROR(INDEX(PP_Grid[#Data],M_BOM[PPGridRow],92),0))</f>
        <v/>
      </c>
      <c r="CO38">
        <f>SUMPRODUCT((M_BOM[RM_Code]=$A38)*M_BOM[RM_Qty_Per_Batch]*IFERROR(INDEX(PP_Grid[#Data],M_BOM[PPGridRow],93),0))</f>
        <v/>
      </c>
      <c r="CP38">
        <f>SUMPRODUCT((M_BOM[RM_Code]=$A38)*M_BOM[RM_Qty_Per_Batch]*IFERROR(INDEX(PP_Grid[#Data],M_BOM[PPGridRow],94),0))</f>
        <v/>
      </c>
      <c r="CQ38">
        <f>SUMPRODUCT((M_BOM[RM_Code]=$A38)*M_BOM[RM_Qty_Per_Batch]*IFERROR(INDEX(PP_Grid[#Data],M_BOM[PPGridRow],95),0))</f>
        <v/>
      </c>
      <c r="CR38">
        <f>SUMPRODUCT((M_BOM[RM_Code]=$A38)*M_BOM[RM_Qty_Per_Batch]*IFERROR(INDEX(PP_Grid[#Data],M_BOM[PPGridRow],96),0))</f>
        <v/>
      </c>
      <c r="CS38">
        <f>SUMPRODUCT((M_BOM[RM_Code]=$A38)*M_BOM[RM_Qty_Per_Batch]*IFERROR(INDEX(PP_Grid[#Data],M_BOM[PPGridRow],97),0))</f>
        <v/>
      </c>
      <c r="CT38">
        <f>SUMPRODUCT((M_BOM[RM_Code]=$A38)*M_BOM[RM_Qty_Per_Batch]*IFERROR(INDEX(PP_Grid[#Data],M_BOM[PPGridRow],98),0))</f>
        <v/>
      </c>
      <c r="CU38">
        <f>SUMPRODUCT((M_BOM[RM_Code]=$A38)*M_BOM[RM_Qty_Per_Batch]*IFERROR(INDEX(PP_Grid[#Data],M_BOM[PPGridRow],99),0))</f>
        <v/>
      </c>
      <c r="CV38">
        <f>SUMPRODUCT((M_BOM[RM_Code]=$A38)*M_BOM[RM_Qty_Per_Batch]*IFERROR(INDEX(PP_Grid[#Data],M_BOM[PPGridRow],100),0))</f>
        <v/>
      </c>
      <c r="CW38">
        <f>SUMPRODUCT((M_BOM[RM_Code]=$A38)*M_BOM[RM_Qty_Per_Batch]*IFERROR(INDEX(PP_Grid[#Data],M_BOM[PPGridRow],101),0))</f>
        <v/>
      </c>
      <c r="CX38">
        <f>SUMPRODUCT((M_BOM[RM_Code]=$A38)*M_BOM[RM_Qty_Per_Batch]*IFERROR(INDEX(PP_Grid[#Data],M_BOM[PPGridRow],102),0))</f>
        <v/>
      </c>
      <c r="CY38">
        <f>SUMPRODUCT((M_BOM[RM_Code]=$A38)*M_BOM[RM_Qty_Per_Batch]*IFERROR(INDEX(PP_Grid[#Data],M_BOM[PPGridRow],103),0))</f>
        <v/>
      </c>
      <c r="CZ38">
        <f>SUMPRODUCT((M_BOM[RM_Code]=$A38)*M_BOM[RM_Qty_Per_Batch]*IFERROR(INDEX(PP_Grid[#Data],M_BOM[PPGridRow],104),0))</f>
        <v/>
      </c>
      <c r="DA38">
        <f>SUMPRODUCT((M_BOM[RM_Code]=$A38)*M_BOM[RM_Qty_Per_Batch]*IFERROR(INDEX(PP_Grid[#Data],M_BOM[PPGridRow],105),0))</f>
        <v/>
      </c>
    </row>
    <row r="39">
      <c r="A39" t="inlineStr">
        <is>
          <t>CHEM-1840</t>
        </is>
      </c>
      <c r="B39">
        <f>SUMPRODUCT((M_BOM[RM_Code]=$A39)*M_BOM[RM_Qty_Per_Batch]*IFERROR(INDEX(PP_Grid[#Data],M_BOM[PPGridRow],2),0))</f>
        <v/>
      </c>
      <c r="C39">
        <f>SUMPRODUCT((M_BOM[RM_Code]=$A39)*M_BOM[RM_Qty_Per_Batch]*IFERROR(INDEX(PP_Grid[#Data],M_BOM[PPGridRow],3),0))</f>
        <v/>
      </c>
      <c r="D39">
        <f>SUMPRODUCT((M_BOM[RM_Code]=$A39)*M_BOM[RM_Qty_Per_Batch]*IFERROR(INDEX(PP_Grid[#Data],M_BOM[PPGridRow],4),0))</f>
        <v/>
      </c>
      <c r="E39">
        <f>SUMPRODUCT((M_BOM[RM_Code]=$A39)*M_BOM[RM_Qty_Per_Batch]*IFERROR(INDEX(PP_Grid[#Data],M_BOM[PPGridRow],5),0))</f>
        <v/>
      </c>
      <c r="F39">
        <f>SUMPRODUCT((M_BOM[RM_Code]=$A39)*M_BOM[RM_Qty_Per_Batch]*IFERROR(INDEX(PP_Grid[#Data],M_BOM[PPGridRow],6),0))</f>
        <v/>
      </c>
      <c r="G39">
        <f>SUMPRODUCT((M_BOM[RM_Code]=$A39)*M_BOM[RM_Qty_Per_Batch]*IFERROR(INDEX(PP_Grid[#Data],M_BOM[PPGridRow],7),0))</f>
        <v/>
      </c>
      <c r="H39">
        <f>SUMPRODUCT((M_BOM[RM_Code]=$A39)*M_BOM[RM_Qty_Per_Batch]*IFERROR(INDEX(PP_Grid[#Data],M_BOM[PPGridRow],8),0))</f>
        <v/>
      </c>
      <c r="I39">
        <f>SUMPRODUCT((M_BOM[RM_Code]=$A39)*M_BOM[RM_Qty_Per_Batch]*IFERROR(INDEX(PP_Grid[#Data],M_BOM[PPGridRow],9),0))</f>
        <v/>
      </c>
      <c r="J39">
        <f>SUMPRODUCT((M_BOM[RM_Code]=$A39)*M_BOM[RM_Qty_Per_Batch]*IFERROR(INDEX(PP_Grid[#Data],M_BOM[PPGridRow],10),0))</f>
        <v/>
      </c>
      <c r="K39">
        <f>SUMPRODUCT((M_BOM[RM_Code]=$A39)*M_BOM[RM_Qty_Per_Batch]*IFERROR(INDEX(PP_Grid[#Data],M_BOM[PPGridRow],11),0))</f>
        <v/>
      </c>
      <c r="L39">
        <f>SUMPRODUCT((M_BOM[RM_Code]=$A39)*M_BOM[RM_Qty_Per_Batch]*IFERROR(INDEX(PP_Grid[#Data],M_BOM[PPGridRow],12),0))</f>
        <v/>
      </c>
      <c r="M39">
        <f>SUMPRODUCT((M_BOM[RM_Code]=$A39)*M_BOM[RM_Qty_Per_Batch]*IFERROR(INDEX(PP_Grid[#Data],M_BOM[PPGridRow],13),0))</f>
        <v/>
      </c>
      <c r="N39">
        <f>SUMPRODUCT((M_BOM[RM_Code]=$A39)*M_BOM[RM_Qty_Per_Batch]*IFERROR(INDEX(PP_Grid[#Data],M_BOM[PPGridRow],14),0))</f>
        <v/>
      </c>
      <c r="O39">
        <f>SUMPRODUCT((M_BOM[RM_Code]=$A39)*M_BOM[RM_Qty_Per_Batch]*IFERROR(INDEX(PP_Grid[#Data],M_BOM[PPGridRow],15),0))</f>
        <v/>
      </c>
      <c r="P39">
        <f>SUMPRODUCT((M_BOM[RM_Code]=$A39)*M_BOM[RM_Qty_Per_Batch]*IFERROR(INDEX(PP_Grid[#Data],M_BOM[PPGridRow],16),0))</f>
        <v/>
      </c>
      <c r="Q39">
        <f>SUMPRODUCT((M_BOM[RM_Code]=$A39)*M_BOM[RM_Qty_Per_Batch]*IFERROR(INDEX(PP_Grid[#Data],M_BOM[PPGridRow],17),0))</f>
        <v/>
      </c>
      <c r="R39">
        <f>SUMPRODUCT((M_BOM[RM_Code]=$A39)*M_BOM[RM_Qty_Per_Batch]*IFERROR(INDEX(PP_Grid[#Data],M_BOM[PPGridRow],18),0))</f>
        <v/>
      </c>
      <c r="S39">
        <f>SUMPRODUCT((M_BOM[RM_Code]=$A39)*M_BOM[RM_Qty_Per_Batch]*IFERROR(INDEX(PP_Grid[#Data],M_BOM[PPGridRow],19),0))</f>
        <v/>
      </c>
      <c r="T39">
        <f>SUMPRODUCT((M_BOM[RM_Code]=$A39)*M_BOM[RM_Qty_Per_Batch]*IFERROR(INDEX(PP_Grid[#Data],M_BOM[PPGridRow],20),0))</f>
        <v/>
      </c>
      <c r="U39">
        <f>SUMPRODUCT((M_BOM[RM_Code]=$A39)*M_BOM[RM_Qty_Per_Batch]*IFERROR(INDEX(PP_Grid[#Data],M_BOM[PPGridRow],21),0))</f>
        <v/>
      </c>
      <c r="V39">
        <f>SUMPRODUCT((M_BOM[RM_Code]=$A39)*M_BOM[RM_Qty_Per_Batch]*IFERROR(INDEX(PP_Grid[#Data],M_BOM[PPGridRow],22),0))</f>
        <v/>
      </c>
      <c r="W39">
        <f>SUMPRODUCT((M_BOM[RM_Code]=$A39)*M_BOM[RM_Qty_Per_Batch]*IFERROR(INDEX(PP_Grid[#Data],M_BOM[PPGridRow],23),0))</f>
        <v/>
      </c>
      <c r="X39">
        <f>SUMPRODUCT((M_BOM[RM_Code]=$A39)*M_BOM[RM_Qty_Per_Batch]*IFERROR(INDEX(PP_Grid[#Data],M_BOM[PPGridRow],24),0))</f>
        <v/>
      </c>
      <c r="Y39">
        <f>SUMPRODUCT((M_BOM[RM_Code]=$A39)*M_BOM[RM_Qty_Per_Batch]*IFERROR(INDEX(PP_Grid[#Data],M_BOM[PPGridRow],25),0))</f>
        <v/>
      </c>
      <c r="Z39">
        <f>SUMPRODUCT((M_BOM[RM_Code]=$A39)*M_BOM[RM_Qty_Per_Batch]*IFERROR(INDEX(PP_Grid[#Data],M_BOM[PPGridRow],26),0))</f>
        <v/>
      </c>
      <c r="AA39">
        <f>SUMPRODUCT((M_BOM[RM_Code]=$A39)*M_BOM[RM_Qty_Per_Batch]*IFERROR(INDEX(PP_Grid[#Data],M_BOM[PPGridRow],27),0))</f>
        <v/>
      </c>
      <c r="AB39">
        <f>SUMPRODUCT((M_BOM[RM_Code]=$A39)*M_BOM[RM_Qty_Per_Batch]*IFERROR(INDEX(PP_Grid[#Data],M_BOM[PPGridRow],28),0))</f>
        <v/>
      </c>
      <c r="AC39">
        <f>SUMPRODUCT((M_BOM[RM_Code]=$A39)*M_BOM[RM_Qty_Per_Batch]*IFERROR(INDEX(PP_Grid[#Data],M_BOM[PPGridRow],29),0))</f>
        <v/>
      </c>
      <c r="AD39">
        <f>SUMPRODUCT((M_BOM[RM_Code]=$A39)*M_BOM[RM_Qty_Per_Batch]*IFERROR(INDEX(PP_Grid[#Data],M_BOM[PPGridRow],30),0))</f>
        <v/>
      </c>
      <c r="AE39">
        <f>SUMPRODUCT((M_BOM[RM_Code]=$A39)*M_BOM[RM_Qty_Per_Batch]*IFERROR(INDEX(PP_Grid[#Data],M_BOM[PPGridRow],31),0))</f>
        <v/>
      </c>
      <c r="AF39">
        <f>SUMPRODUCT((M_BOM[RM_Code]=$A39)*M_BOM[RM_Qty_Per_Batch]*IFERROR(INDEX(PP_Grid[#Data],M_BOM[PPGridRow],32),0))</f>
        <v/>
      </c>
      <c r="AG39">
        <f>SUMPRODUCT((M_BOM[RM_Code]=$A39)*M_BOM[RM_Qty_Per_Batch]*IFERROR(INDEX(PP_Grid[#Data],M_BOM[PPGridRow],33),0))</f>
        <v/>
      </c>
      <c r="AH39">
        <f>SUMPRODUCT((M_BOM[RM_Code]=$A39)*M_BOM[RM_Qty_Per_Batch]*IFERROR(INDEX(PP_Grid[#Data],M_BOM[PPGridRow],34),0))</f>
        <v/>
      </c>
      <c r="AI39">
        <f>SUMPRODUCT((M_BOM[RM_Code]=$A39)*M_BOM[RM_Qty_Per_Batch]*IFERROR(INDEX(PP_Grid[#Data],M_BOM[PPGridRow],35),0))</f>
        <v/>
      </c>
      <c r="AJ39">
        <f>SUMPRODUCT((M_BOM[RM_Code]=$A39)*M_BOM[RM_Qty_Per_Batch]*IFERROR(INDEX(PP_Grid[#Data],M_BOM[PPGridRow],36),0))</f>
        <v/>
      </c>
      <c r="AK39">
        <f>SUMPRODUCT((M_BOM[RM_Code]=$A39)*M_BOM[RM_Qty_Per_Batch]*IFERROR(INDEX(PP_Grid[#Data],M_BOM[PPGridRow],37),0))</f>
        <v/>
      </c>
      <c r="AL39">
        <f>SUMPRODUCT((M_BOM[RM_Code]=$A39)*M_BOM[RM_Qty_Per_Batch]*IFERROR(INDEX(PP_Grid[#Data],M_BOM[PPGridRow],38),0))</f>
        <v/>
      </c>
      <c r="AM39">
        <f>SUMPRODUCT((M_BOM[RM_Code]=$A39)*M_BOM[RM_Qty_Per_Batch]*IFERROR(INDEX(PP_Grid[#Data],M_BOM[PPGridRow],39),0))</f>
        <v/>
      </c>
      <c r="AN39">
        <f>SUMPRODUCT((M_BOM[RM_Code]=$A39)*M_BOM[RM_Qty_Per_Batch]*IFERROR(INDEX(PP_Grid[#Data],M_BOM[PPGridRow],40),0))</f>
        <v/>
      </c>
      <c r="AO39">
        <f>SUMPRODUCT((M_BOM[RM_Code]=$A39)*M_BOM[RM_Qty_Per_Batch]*IFERROR(INDEX(PP_Grid[#Data],M_BOM[PPGridRow],41),0))</f>
        <v/>
      </c>
      <c r="AP39">
        <f>SUMPRODUCT((M_BOM[RM_Code]=$A39)*M_BOM[RM_Qty_Per_Batch]*IFERROR(INDEX(PP_Grid[#Data],M_BOM[PPGridRow],42),0))</f>
        <v/>
      </c>
      <c r="AQ39">
        <f>SUMPRODUCT((M_BOM[RM_Code]=$A39)*M_BOM[RM_Qty_Per_Batch]*IFERROR(INDEX(PP_Grid[#Data],M_BOM[PPGridRow],43),0))</f>
        <v/>
      </c>
      <c r="AR39">
        <f>SUMPRODUCT((M_BOM[RM_Code]=$A39)*M_BOM[RM_Qty_Per_Batch]*IFERROR(INDEX(PP_Grid[#Data],M_BOM[PPGridRow],44),0))</f>
        <v/>
      </c>
      <c r="AS39">
        <f>SUMPRODUCT((M_BOM[RM_Code]=$A39)*M_BOM[RM_Qty_Per_Batch]*IFERROR(INDEX(PP_Grid[#Data],M_BOM[PPGridRow],45),0))</f>
        <v/>
      </c>
      <c r="AT39">
        <f>SUMPRODUCT((M_BOM[RM_Code]=$A39)*M_BOM[RM_Qty_Per_Batch]*IFERROR(INDEX(PP_Grid[#Data],M_BOM[PPGridRow],46),0))</f>
        <v/>
      </c>
      <c r="AU39">
        <f>SUMPRODUCT((M_BOM[RM_Code]=$A39)*M_BOM[RM_Qty_Per_Batch]*IFERROR(INDEX(PP_Grid[#Data],M_BOM[PPGridRow],47),0))</f>
        <v/>
      </c>
      <c r="AV39">
        <f>SUMPRODUCT((M_BOM[RM_Code]=$A39)*M_BOM[RM_Qty_Per_Batch]*IFERROR(INDEX(PP_Grid[#Data],M_BOM[PPGridRow],48),0))</f>
        <v/>
      </c>
      <c r="AW39">
        <f>SUMPRODUCT((M_BOM[RM_Code]=$A39)*M_BOM[RM_Qty_Per_Batch]*IFERROR(INDEX(PP_Grid[#Data],M_BOM[PPGridRow],49),0))</f>
        <v/>
      </c>
      <c r="AX39">
        <f>SUMPRODUCT((M_BOM[RM_Code]=$A39)*M_BOM[RM_Qty_Per_Batch]*IFERROR(INDEX(PP_Grid[#Data],M_BOM[PPGridRow],50),0))</f>
        <v/>
      </c>
      <c r="AY39">
        <f>SUMPRODUCT((M_BOM[RM_Code]=$A39)*M_BOM[RM_Qty_Per_Batch]*IFERROR(INDEX(PP_Grid[#Data],M_BOM[PPGridRow],51),0))</f>
        <v/>
      </c>
      <c r="AZ39">
        <f>SUMPRODUCT((M_BOM[RM_Code]=$A39)*M_BOM[RM_Qty_Per_Batch]*IFERROR(INDEX(PP_Grid[#Data],M_BOM[PPGridRow],52),0))</f>
        <v/>
      </c>
      <c r="BA39">
        <f>SUMPRODUCT((M_BOM[RM_Code]=$A39)*M_BOM[RM_Qty_Per_Batch]*IFERROR(INDEX(PP_Grid[#Data],M_BOM[PPGridRow],53),0))</f>
        <v/>
      </c>
      <c r="BB39">
        <f>SUMPRODUCT((M_BOM[RM_Code]=$A39)*M_BOM[RM_Qty_Per_Batch]*IFERROR(INDEX(PP_Grid[#Data],M_BOM[PPGridRow],54),0))</f>
        <v/>
      </c>
      <c r="BC39">
        <f>SUMPRODUCT((M_BOM[RM_Code]=$A39)*M_BOM[RM_Qty_Per_Batch]*IFERROR(INDEX(PP_Grid[#Data],M_BOM[PPGridRow],55),0))</f>
        <v/>
      </c>
      <c r="BD39">
        <f>SUMPRODUCT((M_BOM[RM_Code]=$A39)*M_BOM[RM_Qty_Per_Batch]*IFERROR(INDEX(PP_Grid[#Data],M_BOM[PPGridRow],56),0))</f>
        <v/>
      </c>
      <c r="BE39">
        <f>SUMPRODUCT((M_BOM[RM_Code]=$A39)*M_BOM[RM_Qty_Per_Batch]*IFERROR(INDEX(PP_Grid[#Data],M_BOM[PPGridRow],57),0))</f>
        <v/>
      </c>
      <c r="BF39">
        <f>SUMPRODUCT((M_BOM[RM_Code]=$A39)*M_BOM[RM_Qty_Per_Batch]*IFERROR(INDEX(PP_Grid[#Data],M_BOM[PPGridRow],58),0))</f>
        <v/>
      </c>
      <c r="BG39">
        <f>SUMPRODUCT((M_BOM[RM_Code]=$A39)*M_BOM[RM_Qty_Per_Batch]*IFERROR(INDEX(PP_Grid[#Data],M_BOM[PPGridRow],59),0))</f>
        <v/>
      </c>
      <c r="BH39">
        <f>SUMPRODUCT((M_BOM[RM_Code]=$A39)*M_BOM[RM_Qty_Per_Batch]*IFERROR(INDEX(PP_Grid[#Data],M_BOM[PPGridRow],60),0))</f>
        <v/>
      </c>
      <c r="BI39">
        <f>SUMPRODUCT((M_BOM[RM_Code]=$A39)*M_BOM[RM_Qty_Per_Batch]*IFERROR(INDEX(PP_Grid[#Data],M_BOM[PPGridRow],61),0))</f>
        <v/>
      </c>
      <c r="BJ39">
        <f>SUMPRODUCT((M_BOM[RM_Code]=$A39)*M_BOM[RM_Qty_Per_Batch]*IFERROR(INDEX(PP_Grid[#Data],M_BOM[PPGridRow],62),0))</f>
        <v/>
      </c>
      <c r="BK39">
        <f>SUMPRODUCT((M_BOM[RM_Code]=$A39)*M_BOM[RM_Qty_Per_Batch]*IFERROR(INDEX(PP_Grid[#Data],M_BOM[PPGridRow],63),0))</f>
        <v/>
      </c>
      <c r="BL39">
        <f>SUMPRODUCT((M_BOM[RM_Code]=$A39)*M_BOM[RM_Qty_Per_Batch]*IFERROR(INDEX(PP_Grid[#Data],M_BOM[PPGridRow],64),0))</f>
        <v/>
      </c>
      <c r="BM39">
        <f>SUMPRODUCT((M_BOM[RM_Code]=$A39)*M_BOM[RM_Qty_Per_Batch]*IFERROR(INDEX(PP_Grid[#Data],M_BOM[PPGridRow],65),0))</f>
        <v/>
      </c>
      <c r="BN39">
        <f>SUMPRODUCT((M_BOM[RM_Code]=$A39)*M_BOM[RM_Qty_Per_Batch]*IFERROR(INDEX(PP_Grid[#Data],M_BOM[PPGridRow],66),0))</f>
        <v/>
      </c>
      <c r="BO39">
        <f>SUMPRODUCT((M_BOM[RM_Code]=$A39)*M_BOM[RM_Qty_Per_Batch]*IFERROR(INDEX(PP_Grid[#Data],M_BOM[PPGridRow],67),0))</f>
        <v/>
      </c>
      <c r="BP39">
        <f>SUMPRODUCT((M_BOM[RM_Code]=$A39)*M_BOM[RM_Qty_Per_Batch]*IFERROR(INDEX(PP_Grid[#Data],M_BOM[PPGridRow],68),0))</f>
        <v/>
      </c>
      <c r="BQ39">
        <f>SUMPRODUCT((M_BOM[RM_Code]=$A39)*M_BOM[RM_Qty_Per_Batch]*IFERROR(INDEX(PP_Grid[#Data],M_BOM[PPGridRow],69),0))</f>
        <v/>
      </c>
      <c r="BR39">
        <f>SUMPRODUCT((M_BOM[RM_Code]=$A39)*M_BOM[RM_Qty_Per_Batch]*IFERROR(INDEX(PP_Grid[#Data],M_BOM[PPGridRow],70),0))</f>
        <v/>
      </c>
      <c r="BS39">
        <f>SUMPRODUCT((M_BOM[RM_Code]=$A39)*M_BOM[RM_Qty_Per_Batch]*IFERROR(INDEX(PP_Grid[#Data],M_BOM[PPGridRow],71),0))</f>
        <v/>
      </c>
      <c r="BT39">
        <f>SUMPRODUCT((M_BOM[RM_Code]=$A39)*M_BOM[RM_Qty_Per_Batch]*IFERROR(INDEX(PP_Grid[#Data],M_BOM[PPGridRow],72),0))</f>
        <v/>
      </c>
      <c r="BU39">
        <f>SUMPRODUCT((M_BOM[RM_Code]=$A39)*M_BOM[RM_Qty_Per_Batch]*IFERROR(INDEX(PP_Grid[#Data],M_BOM[PPGridRow],73),0))</f>
        <v/>
      </c>
      <c r="BV39">
        <f>SUMPRODUCT((M_BOM[RM_Code]=$A39)*M_BOM[RM_Qty_Per_Batch]*IFERROR(INDEX(PP_Grid[#Data],M_BOM[PPGridRow],74),0))</f>
        <v/>
      </c>
      <c r="BW39">
        <f>SUMPRODUCT((M_BOM[RM_Code]=$A39)*M_BOM[RM_Qty_Per_Batch]*IFERROR(INDEX(PP_Grid[#Data],M_BOM[PPGridRow],75),0))</f>
        <v/>
      </c>
      <c r="BX39">
        <f>SUMPRODUCT((M_BOM[RM_Code]=$A39)*M_BOM[RM_Qty_Per_Batch]*IFERROR(INDEX(PP_Grid[#Data],M_BOM[PPGridRow],76),0))</f>
        <v/>
      </c>
      <c r="BY39">
        <f>SUMPRODUCT((M_BOM[RM_Code]=$A39)*M_BOM[RM_Qty_Per_Batch]*IFERROR(INDEX(PP_Grid[#Data],M_BOM[PPGridRow],77),0))</f>
        <v/>
      </c>
      <c r="BZ39">
        <f>SUMPRODUCT((M_BOM[RM_Code]=$A39)*M_BOM[RM_Qty_Per_Batch]*IFERROR(INDEX(PP_Grid[#Data],M_BOM[PPGridRow],78),0))</f>
        <v/>
      </c>
      <c r="CA39">
        <f>SUMPRODUCT((M_BOM[RM_Code]=$A39)*M_BOM[RM_Qty_Per_Batch]*IFERROR(INDEX(PP_Grid[#Data],M_BOM[PPGridRow],79),0))</f>
        <v/>
      </c>
      <c r="CB39">
        <f>SUMPRODUCT((M_BOM[RM_Code]=$A39)*M_BOM[RM_Qty_Per_Batch]*IFERROR(INDEX(PP_Grid[#Data],M_BOM[PPGridRow],80),0))</f>
        <v/>
      </c>
      <c r="CC39">
        <f>SUMPRODUCT((M_BOM[RM_Code]=$A39)*M_BOM[RM_Qty_Per_Batch]*IFERROR(INDEX(PP_Grid[#Data],M_BOM[PPGridRow],81),0))</f>
        <v/>
      </c>
      <c r="CD39">
        <f>SUMPRODUCT((M_BOM[RM_Code]=$A39)*M_BOM[RM_Qty_Per_Batch]*IFERROR(INDEX(PP_Grid[#Data],M_BOM[PPGridRow],82),0))</f>
        <v/>
      </c>
      <c r="CE39">
        <f>SUMPRODUCT((M_BOM[RM_Code]=$A39)*M_BOM[RM_Qty_Per_Batch]*IFERROR(INDEX(PP_Grid[#Data],M_BOM[PPGridRow],83),0))</f>
        <v/>
      </c>
      <c r="CF39">
        <f>SUMPRODUCT((M_BOM[RM_Code]=$A39)*M_BOM[RM_Qty_Per_Batch]*IFERROR(INDEX(PP_Grid[#Data],M_BOM[PPGridRow],84),0))</f>
        <v/>
      </c>
      <c r="CG39">
        <f>SUMPRODUCT((M_BOM[RM_Code]=$A39)*M_BOM[RM_Qty_Per_Batch]*IFERROR(INDEX(PP_Grid[#Data],M_BOM[PPGridRow],85),0))</f>
        <v/>
      </c>
      <c r="CH39">
        <f>SUMPRODUCT((M_BOM[RM_Code]=$A39)*M_BOM[RM_Qty_Per_Batch]*IFERROR(INDEX(PP_Grid[#Data],M_BOM[PPGridRow],86),0))</f>
        <v/>
      </c>
      <c r="CI39">
        <f>SUMPRODUCT((M_BOM[RM_Code]=$A39)*M_BOM[RM_Qty_Per_Batch]*IFERROR(INDEX(PP_Grid[#Data],M_BOM[PPGridRow],87),0))</f>
        <v/>
      </c>
      <c r="CJ39">
        <f>SUMPRODUCT((M_BOM[RM_Code]=$A39)*M_BOM[RM_Qty_Per_Batch]*IFERROR(INDEX(PP_Grid[#Data],M_BOM[PPGridRow],88),0))</f>
        <v/>
      </c>
      <c r="CK39">
        <f>SUMPRODUCT((M_BOM[RM_Code]=$A39)*M_BOM[RM_Qty_Per_Batch]*IFERROR(INDEX(PP_Grid[#Data],M_BOM[PPGridRow],89),0))</f>
        <v/>
      </c>
      <c r="CL39">
        <f>SUMPRODUCT((M_BOM[RM_Code]=$A39)*M_BOM[RM_Qty_Per_Batch]*IFERROR(INDEX(PP_Grid[#Data],M_BOM[PPGridRow],90),0))</f>
        <v/>
      </c>
      <c r="CM39">
        <f>SUMPRODUCT((M_BOM[RM_Code]=$A39)*M_BOM[RM_Qty_Per_Batch]*IFERROR(INDEX(PP_Grid[#Data],M_BOM[PPGridRow],91),0))</f>
        <v/>
      </c>
      <c r="CN39">
        <f>SUMPRODUCT((M_BOM[RM_Code]=$A39)*M_BOM[RM_Qty_Per_Batch]*IFERROR(INDEX(PP_Grid[#Data],M_BOM[PPGridRow],92),0))</f>
        <v/>
      </c>
      <c r="CO39">
        <f>SUMPRODUCT((M_BOM[RM_Code]=$A39)*M_BOM[RM_Qty_Per_Batch]*IFERROR(INDEX(PP_Grid[#Data],M_BOM[PPGridRow],93),0))</f>
        <v/>
      </c>
      <c r="CP39">
        <f>SUMPRODUCT((M_BOM[RM_Code]=$A39)*M_BOM[RM_Qty_Per_Batch]*IFERROR(INDEX(PP_Grid[#Data],M_BOM[PPGridRow],94),0))</f>
        <v/>
      </c>
      <c r="CQ39">
        <f>SUMPRODUCT((M_BOM[RM_Code]=$A39)*M_BOM[RM_Qty_Per_Batch]*IFERROR(INDEX(PP_Grid[#Data],M_BOM[PPGridRow],95),0))</f>
        <v/>
      </c>
      <c r="CR39">
        <f>SUMPRODUCT((M_BOM[RM_Code]=$A39)*M_BOM[RM_Qty_Per_Batch]*IFERROR(INDEX(PP_Grid[#Data],M_BOM[PPGridRow],96),0))</f>
        <v/>
      </c>
      <c r="CS39">
        <f>SUMPRODUCT((M_BOM[RM_Code]=$A39)*M_BOM[RM_Qty_Per_Batch]*IFERROR(INDEX(PP_Grid[#Data],M_BOM[PPGridRow],97),0))</f>
        <v/>
      </c>
      <c r="CT39">
        <f>SUMPRODUCT((M_BOM[RM_Code]=$A39)*M_BOM[RM_Qty_Per_Batch]*IFERROR(INDEX(PP_Grid[#Data],M_BOM[PPGridRow],98),0))</f>
        <v/>
      </c>
      <c r="CU39">
        <f>SUMPRODUCT((M_BOM[RM_Code]=$A39)*M_BOM[RM_Qty_Per_Batch]*IFERROR(INDEX(PP_Grid[#Data],M_BOM[PPGridRow],99),0))</f>
        <v/>
      </c>
      <c r="CV39">
        <f>SUMPRODUCT((M_BOM[RM_Code]=$A39)*M_BOM[RM_Qty_Per_Batch]*IFERROR(INDEX(PP_Grid[#Data],M_BOM[PPGridRow],100),0))</f>
        <v/>
      </c>
      <c r="CW39">
        <f>SUMPRODUCT((M_BOM[RM_Code]=$A39)*M_BOM[RM_Qty_Per_Batch]*IFERROR(INDEX(PP_Grid[#Data],M_BOM[PPGridRow],101),0))</f>
        <v/>
      </c>
      <c r="CX39">
        <f>SUMPRODUCT((M_BOM[RM_Code]=$A39)*M_BOM[RM_Qty_Per_Batch]*IFERROR(INDEX(PP_Grid[#Data],M_BOM[PPGridRow],102),0))</f>
        <v/>
      </c>
      <c r="CY39">
        <f>SUMPRODUCT((M_BOM[RM_Code]=$A39)*M_BOM[RM_Qty_Per_Batch]*IFERROR(INDEX(PP_Grid[#Data],M_BOM[PPGridRow],103),0))</f>
        <v/>
      </c>
      <c r="CZ39">
        <f>SUMPRODUCT((M_BOM[RM_Code]=$A39)*M_BOM[RM_Qty_Per_Batch]*IFERROR(INDEX(PP_Grid[#Data],M_BOM[PPGridRow],104),0))</f>
        <v/>
      </c>
      <c r="DA39">
        <f>SUMPRODUCT((M_BOM[RM_Code]=$A39)*M_BOM[RM_Qty_Per_Batch]*IFERROR(INDEX(PP_Grid[#Data],M_BOM[PPGridRow],105),0))</f>
        <v/>
      </c>
    </row>
    <row r="40">
      <c r="A40" t="inlineStr">
        <is>
          <t>TPP-1469</t>
        </is>
      </c>
      <c r="B40">
        <f>SUMPRODUCT((M_BOM[RM_Code]=$A40)*M_BOM[RM_Qty_Per_Batch]*IFERROR(INDEX(PP_Grid[#Data],M_BOM[PPGridRow],2),0))</f>
        <v/>
      </c>
      <c r="C40">
        <f>SUMPRODUCT((M_BOM[RM_Code]=$A40)*M_BOM[RM_Qty_Per_Batch]*IFERROR(INDEX(PP_Grid[#Data],M_BOM[PPGridRow],3),0))</f>
        <v/>
      </c>
      <c r="D40">
        <f>SUMPRODUCT((M_BOM[RM_Code]=$A40)*M_BOM[RM_Qty_Per_Batch]*IFERROR(INDEX(PP_Grid[#Data],M_BOM[PPGridRow],4),0))</f>
        <v/>
      </c>
      <c r="E40">
        <f>SUMPRODUCT((M_BOM[RM_Code]=$A40)*M_BOM[RM_Qty_Per_Batch]*IFERROR(INDEX(PP_Grid[#Data],M_BOM[PPGridRow],5),0))</f>
        <v/>
      </c>
      <c r="F40">
        <f>SUMPRODUCT((M_BOM[RM_Code]=$A40)*M_BOM[RM_Qty_Per_Batch]*IFERROR(INDEX(PP_Grid[#Data],M_BOM[PPGridRow],6),0))</f>
        <v/>
      </c>
      <c r="G40">
        <f>SUMPRODUCT((M_BOM[RM_Code]=$A40)*M_BOM[RM_Qty_Per_Batch]*IFERROR(INDEX(PP_Grid[#Data],M_BOM[PPGridRow],7),0))</f>
        <v/>
      </c>
      <c r="H40">
        <f>SUMPRODUCT((M_BOM[RM_Code]=$A40)*M_BOM[RM_Qty_Per_Batch]*IFERROR(INDEX(PP_Grid[#Data],M_BOM[PPGridRow],8),0))</f>
        <v/>
      </c>
      <c r="I40">
        <f>SUMPRODUCT((M_BOM[RM_Code]=$A40)*M_BOM[RM_Qty_Per_Batch]*IFERROR(INDEX(PP_Grid[#Data],M_BOM[PPGridRow],9),0))</f>
        <v/>
      </c>
      <c r="J40">
        <f>SUMPRODUCT((M_BOM[RM_Code]=$A40)*M_BOM[RM_Qty_Per_Batch]*IFERROR(INDEX(PP_Grid[#Data],M_BOM[PPGridRow],10),0))</f>
        <v/>
      </c>
      <c r="K40">
        <f>SUMPRODUCT((M_BOM[RM_Code]=$A40)*M_BOM[RM_Qty_Per_Batch]*IFERROR(INDEX(PP_Grid[#Data],M_BOM[PPGridRow],11),0))</f>
        <v/>
      </c>
      <c r="L40">
        <f>SUMPRODUCT((M_BOM[RM_Code]=$A40)*M_BOM[RM_Qty_Per_Batch]*IFERROR(INDEX(PP_Grid[#Data],M_BOM[PPGridRow],12),0))</f>
        <v/>
      </c>
      <c r="M40">
        <f>SUMPRODUCT((M_BOM[RM_Code]=$A40)*M_BOM[RM_Qty_Per_Batch]*IFERROR(INDEX(PP_Grid[#Data],M_BOM[PPGridRow],13),0))</f>
        <v/>
      </c>
      <c r="N40">
        <f>SUMPRODUCT((M_BOM[RM_Code]=$A40)*M_BOM[RM_Qty_Per_Batch]*IFERROR(INDEX(PP_Grid[#Data],M_BOM[PPGridRow],14),0))</f>
        <v/>
      </c>
      <c r="O40">
        <f>SUMPRODUCT((M_BOM[RM_Code]=$A40)*M_BOM[RM_Qty_Per_Batch]*IFERROR(INDEX(PP_Grid[#Data],M_BOM[PPGridRow],15),0))</f>
        <v/>
      </c>
      <c r="P40">
        <f>SUMPRODUCT((M_BOM[RM_Code]=$A40)*M_BOM[RM_Qty_Per_Batch]*IFERROR(INDEX(PP_Grid[#Data],M_BOM[PPGridRow],16),0))</f>
        <v/>
      </c>
      <c r="Q40">
        <f>SUMPRODUCT((M_BOM[RM_Code]=$A40)*M_BOM[RM_Qty_Per_Batch]*IFERROR(INDEX(PP_Grid[#Data],M_BOM[PPGridRow],17),0))</f>
        <v/>
      </c>
      <c r="R40">
        <f>SUMPRODUCT((M_BOM[RM_Code]=$A40)*M_BOM[RM_Qty_Per_Batch]*IFERROR(INDEX(PP_Grid[#Data],M_BOM[PPGridRow],18),0))</f>
        <v/>
      </c>
      <c r="S40">
        <f>SUMPRODUCT((M_BOM[RM_Code]=$A40)*M_BOM[RM_Qty_Per_Batch]*IFERROR(INDEX(PP_Grid[#Data],M_BOM[PPGridRow],19),0))</f>
        <v/>
      </c>
      <c r="T40">
        <f>SUMPRODUCT((M_BOM[RM_Code]=$A40)*M_BOM[RM_Qty_Per_Batch]*IFERROR(INDEX(PP_Grid[#Data],M_BOM[PPGridRow],20),0))</f>
        <v/>
      </c>
      <c r="U40">
        <f>SUMPRODUCT((M_BOM[RM_Code]=$A40)*M_BOM[RM_Qty_Per_Batch]*IFERROR(INDEX(PP_Grid[#Data],M_BOM[PPGridRow],21),0))</f>
        <v/>
      </c>
      <c r="V40">
        <f>SUMPRODUCT((M_BOM[RM_Code]=$A40)*M_BOM[RM_Qty_Per_Batch]*IFERROR(INDEX(PP_Grid[#Data],M_BOM[PPGridRow],22),0))</f>
        <v/>
      </c>
      <c r="W40">
        <f>SUMPRODUCT((M_BOM[RM_Code]=$A40)*M_BOM[RM_Qty_Per_Batch]*IFERROR(INDEX(PP_Grid[#Data],M_BOM[PPGridRow],23),0))</f>
        <v/>
      </c>
      <c r="X40">
        <f>SUMPRODUCT((M_BOM[RM_Code]=$A40)*M_BOM[RM_Qty_Per_Batch]*IFERROR(INDEX(PP_Grid[#Data],M_BOM[PPGridRow],24),0))</f>
        <v/>
      </c>
      <c r="Y40">
        <f>SUMPRODUCT((M_BOM[RM_Code]=$A40)*M_BOM[RM_Qty_Per_Batch]*IFERROR(INDEX(PP_Grid[#Data],M_BOM[PPGridRow],25),0))</f>
        <v/>
      </c>
      <c r="Z40">
        <f>SUMPRODUCT((M_BOM[RM_Code]=$A40)*M_BOM[RM_Qty_Per_Batch]*IFERROR(INDEX(PP_Grid[#Data],M_BOM[PPGridRow],26),0))</f>
        <v/>
      </c>
      <c r="AA40">
        <f>SUMPRODUCT((M_BOM[RM_Code]=$A40)*M_BOM[RM_Qty_Per_Batch]*IFERROR(INDEX(PP_Grid[#Data],M_BOM[PPGridRow],27),0))</f>
        <v/>
      </c>
      <c r="AB40">
        <f>SUMPRODUCT((M_BOM[RM_Code]=$A40)*M_BOM[RM_Qty_Per_Batch]*IFERROR(INDEX(PP_Grid[#Data],M_BOM[PPGridRow],28),0))</f>
        <v/>
      </c>
      <c r="AC40">
        <f>SUMPRODUCT((M_BOM[RM_Code]=$A40)*M_BOM[RM_Qty_Per_Batch]*IFERROR(INDEX(PP_Grid[#Data],M_BOM[PPGridRow],29),0))</f>
        <v/>
      </c>
      <c r="AD40">
        <f>SUMPRODUCT((M_BOM[RM_Code]=$A40)*M_BOM[RM_Qty_Per_Batch]*IFERROR(INDEX(PP_Grid[#Data],M_BOM[PPGridRow],30),0))</f>
        <v/>
      </c>
      <c r="AE40">
        <f>SUMPRODUCT((M_BOM[RM_Code]=$A40)*M_BOM[RM_Qty_Per_Batch]*IFERROR(INDEX(PP_Grid[#Data],M_BOM[PPGridRow],31),0))</f>
        <v/>
      </c>
      <c r="AF40">
        <f>SUMPRODUCT((M_BOM[RM_Code]=$A40)*M_BOM[RM_Qty_Per_Batch]*IFERROR(INDEX(PP_Grid[#Data],M_BOM[PPGridRow],32),0))</f>
        <v/>
      </c>
      <c r="AG40">
        <f>SUMPRODUCT((M_BOM[RM_Code]=$A40)*M_BOM[RM_Qty_Per_Batch]*IFERROR(INDEX(PP_Grid[#Data],M_BOM[PPGridRow],33),0))</f>
        <v/>
      </c>
      <c r="AH40">
        <f>SUMPRODUCT((M_BOM[RM_Code]=$A40)*M_BOM[RM_Qty_Per_Batch]*IFERROR(INDEX(PP_Grid[#Data],M_BOM[PPGridRow],34),0))</f>
        <v/>
      </c>
      <c r="AI40">
        <f>SUMPRODUCT((M_BOM[RM_Code]=$A40)*M_BOM[RM_Qty_Per_Batch]*IFERROR(INDEX(PP_Grid[#Data],M_BOM[PPGridRow],35),0))</f>
        <v/>
      </c>
      <c r="AJ40">
        <f>SUMPRODUCT((M_BOM[RM_Code]=$A40)*M_BOM[RM_Qty_Per_Batch]*IFERROR(INDEX(PP_Grid[#Data],M_BOM[PPGridRow],36),0))</f>
        <v/>
      </c>
      <c r="AK40">
        <f>SUMPRODUCT((M_BOM[RM_Code]=$A40)*M_BOM[RM_Qty_Per_Batch]*IFERROR(INDEX(PP_Grid[#Data],M_BOM[PPGridRow],37),0))</f>
        <v/>
      </c>
      <c r="AL40">
        <f>SUMPRODUCT((M_BOM[RM_Code]=$A40)*M_BOM[RM_Qty_Per_Batch]*IFERROR(INDEX(PP_Grid[#Data],M_BOM[PPGridRow],38),0))</f>
        <v/>
      </c>
      <c r="AM40">
        <f>SUMPRODUCT((M_BOM[RM_Code]=$A40)*M_BOM[RM_Qty_Per_Batch]*IFERROR(INDEX(PP_Grid[#Data],M_BOM[PPGridRow],39),0))</f>
        <v/>
      </c>
      <c r="AN40">
        <f>SUMPRODUCT((M_BOM[RM_Code]=$A40)*M_BOM[RM_Qty_Per_Batch]*IFERROR(INDEX(PP_Grid[#Data],M_BOM[PPGridRow],40),0))</f>
        <v/>
      </c>
      <c r="AO40">
        <f>SUMPRODUCT((M_BOM[RM_Code]=$A40)*M_BOM[RM_Qty_Per_Batch]*IFERROR(INDEX(PP_Grid[#Data],M_BOM[PPGridRow],41),0))</f>
        <v/>
      </c>
      <c r="AP40">
        <f>SUMPRODUCT((M_BOM[RM_Code]=$A40)*M_BOM[RM_Qty_Per_Batch]*IFERROR(INDEX(PP_Grid[#Data],M_BOM[PPGridRow],42),0))</f>
        <v/>
      </c>
      <c r="AQ40">
        <f>SUMPRODUCT((M_BOM[RM_Code]=$A40)*M_BOM[RM_Qty_Per_Batch]*IFERROR(INDEX(PP_Grid[#Data],M_BOM[PPGridRow],43),0))</f>
        <v/>
      </c>
      <c r="AR40">
        <f>SUMPRODUCT((M_BOM[RM_Code]=$A40)*M_BOM[RM_Qty_Per_Batch]*IFERROR(INDEX(PP_Grid[#Data],M_BOM[PPGridRow],44),0))</f>
        <v/>
      </c>
      <c r="AS40">
        <f>SUMPRODUCT((M_BOM[RM_Code]=$A40)*M_BOM[RM_Qty_Per_Batch]*IFERROR(INDEX(PP_Grid[#Data],M_BOM[PPGridRow],45),0))</f>
        <v/>
      </c>
      <c r="AT40">
        <f>SUMPRODUCT((M_BOM[RM_Code]=$A40)*M_BOM[RM_Qty_Per_Batch]*IFERROR(INDEX(PP_Grid[#Data],M_BOM[PPGridRow],46),0))</f>
        <v/>
      </c>
      <c r="AU40">
        <f>SUMPRODUCT((M_BOM[RM_Code]=$A40)*M_BOM[RM_Qty_Per_Batch]*IFERROR(INDEX(PP_Grid[#Data],M_BOM[PPGridRow],47),0))</f>
        <v/>
      </c>
      <c r="AV40">
        <f>SUMPRODUCT((M_BOM[RM_Code]=$A40)*M_BOM[RM_Qty_Per_Batch]*IFERROR(INDEX(PP_Grid[#Data],M_BOM[PPGridRow],48),0))</f>
        <v/>
      </c>
      <c r="AW40">
        <f>SUMPRODUCT((M_BOM[RM_Code]=$A40)*M_BOM[RM_Qty_Per_Batch]*IFERROR(INDEX(PP_Grid[#Data],M_BOM[PPGridRow],49),0))</f>
        <v/>
      </c>
      <c r="AX40">
        <f>SUMPRODUCT((M_BOM[RM_Code]=$A40)*M_BOM[RM_Qty_Per_Batch]*IFERROR(INDEX(PP_Grid[#Data],M_BOM[PPGridRow],50),0))</f>
        <v/>
      </c>
      <c r="AY40">
        <f>SUMPRODUCT((M_BOM[RM_Code]=$A40)*M_BOM[RM_Qty_Per_Batch]*IFERROR(INDEX(PP_Grid[#Data],M_BOM[PPGridRow],51),0))</f>
        <v/>
      </c>
      <c r="AZ40">
        <f>SUMPRODUCT((M_BOM[RM_Code]=$A40)*M_BOM[RM_Qty_Per_Batch]*IFERROR(INDEX(PP_Grid[#Data],M_BOM[PPGridRow],52),0))</f>
        <v/>
      </c>
      <c r="BA40">
        <f>SUMPRODUCT((M_BOM[RM_Code]=$A40)*M_BOM[RM_Qty_Per_Batch]*IFERROR(INDEX(PP_Grid[#Data],M_BOM[PPGridRow],53),0))</f>
        <v/>
      </c>
      <c r="BB40">
        <f>SUMPRODUCT((M_BOM[RM_Code]=$A40)*M_BOM[RM_Qty_Per_Batch]*IFERROR(INDEX(PP_Grid[#Data],M_BOM[PPGridRow],54),0))</f>
        <v/>
      </c>
      <c r="BC40">
        <f>SUMPRODUCT((M_BOM[RM_Code]=$A40)*M_BOM[RM_Qty_Per_Batch]*IFERROR(INDEX(PP_Grid[#Data],M_BOM[PPGridRow],55),0))</f>
        <v/>
      </c>
      <c r="BD40">
        <f>SUMPRODUCT((M_BOM[RM_Code]=$A40)*M_BOM[RM_Qty_Per_Batch]*IFERROR(INDEX(PP_Grid[#Data],M_BOM[PPGridRow],56),0))</f>
        <v/>
      </c>
      <c r="BE40">
        <f>SUMPRODUCT((M_BOM[RM_Code]=$A40)*M_BOM[RM_Qty_Per_Batch]*IFERROR(INDEX(PP_Grid[#Data],M_BOM[PPGridRow],57),0))</f>
        <v/>
      </c>
      <c r="BF40">
        <f>SUMPRODUCT((M_BOM[RM_Code]=$A40)*M_BOM[RM_Qty_Per_Batch]*IFERROR(INDEX(PP_Grid[#Data],M_BOM[PPGridRow],58),0))</f>
        <v/>
      </c>
      <c r="BG40">
        <f>SUMPRODUCT((M_BOM[RM_Code]=$A40)*M_BOM[RM_Qty_Per_Batch]*IFERROR(INDEX(PP_Grid[#Data],M_BOM[PPGridRow],59),0))</f>
        <v/>
      </c>
      <c r="BH40">
        <f>SUMPRODUCT((M_BOM[RM_Code]=$A40)*M_BOM[RM_Qty_Per_Batch]*IFERROR(INDEX(PP_Grid[#Data],M_BOM[PPGridRow],60),0))</f>
        <v/>
      </c>
      <c r="BI40">
        <f>SUMPRODUCT((M_BOM[RM_Code]=$A40)*M_BOM[RM_Qty_Per_Batch]*IFERROR(INDEX(PP_Grid[#Data],M_BOM[PPGridRow],61),0))</f>
        <v/>
      </c>
      <c r="BJ40">
        <f>SUMPRODUCT((M_BOM[RM_Code]=$A40)*M_BOM[RM_Qty_Per_Batch]*IFERROR(INDEX(PP_Grid[#Data],M_BOM[PPGridRow],62),0))</f>
        <v/>
      </c>
      <c r="BK40">
        <f>SUMPRODUCT((M_BOM[RM_Code]=$A40)*M_BOM[RM_Qty_Per_Batch]*IFERROR(INDEX(PP_Grid[#Data],M_BOM[PPGridRow],63),0))</f>
        <v/>
      </c>
      <c r="BL40">
        <f>SUMPRODUCT((M_BOM[RM_Code]=$A40)*M_BOM[RM_Qty_Per_Batch]*IFERROR(INDEX(PP_Grid[#Data],M_BOM[PPGridRow],64),0))</f>
        <v/>
      </c>
      <c r="BM40">
        <f>SUMPRODUCT((M_BOM[RM_Code]=$A40)*M_BOM[RM_Qty_Per_Batch]*IFERROR(INDEX(PP_Grid[#Data],M_BOM[PPGridRow],65),0))</f>
        <v/>
      </c>
      <c r="BN40">
        <f>SUMPRODUCT((M_BOM[RM_Code]=$A40)*M_BOM[RM_Qty_Per_Batch]*IFERROR(INDEX(PP_Grid[#Data],M_BOM[PPGridRow],66),0))</f>
        <v/>
      </c>
      <c r="BO40">
        <f>SUMPRODUCT((M_BOM[RM_Code]=$A40)*M_BOM[RM_Qty_Per_Batch]*IFERROR(INDEX(PP_Grid[#Data],M_BOM[PPGridRow],67),0))</f>
        <v/>
      </c>
      <c r="BP40">
        <f>SUMPRODUCT((M_BOM[RM_Code]=$A40)*M_BOM[RM_Qty_Per_Batch]*IFERROR(INDEX(PP_Grid[#Data],M_BOM[PPGridRow],68),0))</f>
        <v/>
      </c>
      <c r="BQ40">
        <f>SUMPRODUCT((M_BOM[RM_Code]=$A40)*M_BOM[RM_Qty_Per_Batch]*IFERROR(INDEX(PP_Grid[#Data],M_BOM[PPGridRow],69),0))</f>
        <v/>
      </c>
      <c r="BR40">
        <f>SUMPRODUCT((M_BOM[RM_Code]=$A40)*M_BOM[RM_Qty_Per_Batch]*IFERROR(INDEX(PP_Grid[#Data],M_BOM[PPGridRow],70),0))</f>
        <v/>
      </c>
      <c r="BS40">
        <f>SUMPRODUCT((M_BOM[RM_Code]=$A40)*M_BOM[RM_Qty_Per_Batch]*IFERROR(INDEX(PP_Grid[#Data],M_BOM[PPGridRow],71),0))</f>
        <v/>
      </c>
      <c r="BT40">
        <f>SUMPRODUCT((M_BOM[RM_Code]=$A40)*M_BOM[RM_Qty_Per_Batch]*IFERROR(INDEX(PP_Grid[#Data],M_BOM[PPGridRow],72),0))</f>
        <v/>
      </c>
      <c r="BU40">
        <f>SUMPRODUCT((M_BOM[RM_Code]=$A40)*M_BOM[RM_Qty_Per_Batch]*IFERROR(INDEX(PP_Grid[#Data],M_BOM[PPGridRow],73),0))</f>
        <v/>
      </c>
      <c r="BV40">
        <f>SUMPRODUCT((M_BOM[RM_Code]=$A40)*M_BOM[RM_Qty_Per_Batch]*IFERROR(INDEX(PP_Grid[#Data],M_BOM[PPGridRow],74),0))</f>
        <v/>
      </c>
      <c r="BW40">
        <f>SUMPRODUCT((M_BOM[RM_Code]=$A40)*M_BOM[RM_Qty_Per_Batch]*IFERROR(INDEX(PP_Grid[#Data],M_BOM[PPGridRow],75),0))</f>
        <v/>
      </c>
      <c r="BX40">
        <f>SUMPRODUCT((M_BOM[RM_Code]=$A40)*M_BOM[RM_Qty_Per_Batch]*IFERROR(INDEX(PP_Grid[#Data],M_BOM[PPGridRow],76),0))</f>
        <v/>
      </c>
      <c r="BY40">
        <f>SUMPRODUCT((M_BOM[RM_Code]=$A40)*M_BOM[RM_Qty_Per_Batch]*IFERROR(INDEX(PP_Grid[#Data],M_BOM[PPGridRow],77),0))</f>
        <v/>
      </c>
      <c r="BZ40">
        <f>SUMPRODUCT((M_BOM[RM_Code]=$A40)*M_BOM[RM_Qty_Per_Batch]*IFERROR(INDEX(PP_Grid[#Data],M_BOM[PPGridRow],78),0))</f>
        <v/>
      </c>
      <c r="CA40">
        <f>SUMPRODUCT((M_BOM[RM_Code]=$A40)*M_BOM[RM_Qty_Per_Batch]*IFERROR(INDEX(PP_Grid[#Data],M_BOM[PPGridRow],79),0))</f>
        <v/>
      </c>
      <c r="CB40">
        <f>SUMPRODUCT((M_BOM[RM_Code]=$A40)*M_BOM[RM_Qty_Per_Batch]*IFERROR(INDEX(PP_Grid[#Data],M_BOM[PPGridRow],80),0))</f>
        <v/>
      </c>
      <c r="CC40">
        <f>SUMPRODUCT((M_BOM[RM_Code]=$A40)*M_BOM[RM_Qty_Per_Batch]*IFERROR(INDEX(PP_Grid[#Data],M_BOM[PPGridRow],81),0))</f>
        <v/>
      </c>
      <c r="CD40">
        <f>SUMPRODUCT((M_BOM[RM_Code]=$A40)*M_BOM[RM_Qty_Per_Batch]*IFERROR(INDEX(PP_Grid[#Data],M_BOM[PPGridRow],82),0))</f>
        <v/>
      </c>
      <c r="CE40">
        <f>SUMPRODUCT((M_BOM[RM_Code]=$A40)*M_BOM[RM_Qty_Per_Batch]*IFERROR(INDEX(PP_Grid[#Data],M_BOM[PPGridRow],83),0))</f>
        <v/>
      </c>
      <c r="CF40">
        <f>SUMPRODUCT((M_BOM[RM_Code]=$A40)*M_BOM[RM_Qty_Per_Batch]*IFERROR(INDEX(PP_Grid[#Data],M_BOM[PPGridRow],84),0))</f>
        <v/>
      </c>
      <c r="CG40">
        <f>SUMPRODUCT((M_BOM[RM_Code]=$A40)*M_BOM[RM_Qty_Per_Batch]*IFERROR(INDEX(PP_Grid[#Data],M_BOM[PPGridRow],85),0))</f>
        <v/>
      </c>
      <c r="CH40">
        <f>SUMPRODUCT((M_BOM[RM_Code]=$A40)*M_BOM[RM_Qty_Per_Batch]*IFERROR(INDEX(PP_Grid[#Data],M_BOM[PPGridRow],86),0))</f>
        <v/>
      </c>
      <c r="CI40">
        <f>SUMPRODUCT((M_BOM[RM_Code]=$A40)*M_BOM[RM_Qty_Per_Batch]*IFERROR(INDEX(PP_Grid[#Data],M_BOM[PPGridRow],87),0))</f>
        <v/>
      </c>
      <c r="CJ40">
        <f>SUMPRODUCT((M_BOM[RM_Code]=$A40)*M_BOM[RM_Qty_Per_Batch]*IFERROR(INDEX(PP_Grid[#Data],M_BOM[PPGridRow],88),0))</f>
        <v/>
      </c>
      <c r="CK40">
        <f>SUMPRODUCT((M_BOM[RM_Code]=$A40)*M_BOM[RM_Qty_Per_Batch]*IFERROR(INDEX(PP_Grid[#Data],M_BOM[PPGridRow],89),0))</f>
        <v/>
      </c>
      <c r="CL40">
        <f>SUMPRODUCT((M_BOM[RM_Code]=$A40)*M_BOM[RM_Qty_Per_Batch]*IFERROR(INDEX(PP_Grid[#Data],M_BOM[PPGridRow],90),0))</f>
        <v/>
      </c>
      <c r="CM40">
        <f>SUMPRODUCT((M_BOM[RM_Code]=$A40)*M_BOM[RM_Qty_Per_Batch]*IFERROR(INDEX(PP_Grid[#Data],M_BOM[PPGridRow],91),0))</f>
        <v/>
      </c>
      <c r="CN40">
        <f>SUMPRODUCT((M_BOM[RM_Code]=$A40)*M_BOM[RM_Qty_Per_Batch]*IFERROR(INDEX(PP_Grid[#Data],M_BOM[PPGridRow],92),0))</f>
        <v/>
      </c>
      <c r="CO40">
        <f>SUMPRODUCT((M_BOM[RM_Code]=$A40)*M_BOM[RM_Qty_Per_Batch]*IFERROR(INDEX(PP_Grid[#Data],M_BOM[PPGridRow],93),0))</f>
        <v/>
      </c>
      <c r="CP40">
        <f>SUMPRODUCT((M_BOM[RM_Code]=$A40)*M_BOM[RM_Qty_Per_Batch]*IFERROR(INDEX(PP_Grid[#Data],M_BOM[PPGridRow],94),0))</f>
        <v/>
      </c>
      <c r="CQ40">
        <f>SUMPRODUCT((M_BOM[RM_Code]=$A40)*M_BOM[RM_Qty_Per_Batch]*IFERROR(INDEX(PP_Grid[#Data],M_BOM[PPGridRow],95),0))</f>
        <v/>
      </c>
      <c r="CR40">
        <f>SUMPRODUCT((M_BOM[RM_Code]=$A40)*M_BOM[RM_Qty_Per_Batch]*IFERROR(INDEX(PP_Grid[#Data],M_BOM[PPGridRow],96),0))</f>
        <v/>
      </c>
      <c r="CS40">
        <f>SUMPRODUCT((M_BOM[RM_Code]=$A40)*M_BOM[RM_Qty_Per_Batch]*IFERROR(INDEX(PP_Grid[#Data],M_BOM[PPGridRow],97),0))</f>
        <v/>
      </c>
      <c r="CT40">
        <f>SUMPRODUCT((M_BOM[RM_Code]=$A40)*M_BOM[RM_Qty_Per_Batch]*IFERROR(INDEX(PP_Grid[#Data],M_BOM[PPGridRow],98),0))</f>
        <v/>
      </c>
      <c r="CU40">
        <f>SUMPRODUCT((M_BOM[RM_Code]=$A40)*M_BOM[RM_Qty_Per_Batch]*IFERROR(INDEX(PP_Grid[#Data],M_BOM[PPGridRow],99),0))</f>
        <v/>
      </c>
      <c r="CV40">
        <f>SUMPRODUCT((M_BOM[RM_Code]=$A40)*M_BOM[RM_Qty_Per_Batch]*IFERROR(INDEX(PP_Grid[#Data],M_BOM[PPGridRow],100),0))</f>
        <v/>
      </c>
      <c r="CW40">
        <f>SUMPRODUCT((M_BOM[RM_Code]=$A40)*M_BOM[RM_Qty_Per_Batch]*IFERROR(INDEX(PP_Grid[#Data],M_BOM[PPGridRow],101),0))</f>
        <v/>
      </c>
      <c r="CX40">
        <f>SUMPRODUCT((M_BOM[RM_Code]=$A40)*M_BOM[RM_Qty_Per_Batch]*IFERROR(INDEX(PP_Grid[#Data],M_BOM[PPGridRow],102),0))</f>
        <v/>
      </c>
      <c r="CY40">
        <f>SUMPRODUCT((M_BOM[RM_Code]=$A40)*M_BOM[RM_Qty_Per_Batch]*IFERROR(INDEX(PP_Grid[#Data],M_BOM[PPGridRow],103),0))</f>
        <v/>
      </c>
      <c r="CZ40">
        <f>SUMPRODUCT((M_BOM[RM_Code]=$A40)*M_BOM[RM_Qty_Per_Batch]*IFERROR(INDEX(PP_Grid[#Data],M_BOM[PPGridRow],104),0))</f>
        <v/>
      </c>
      <c r="DA40">
        <f>SUMPRODUCT((M_BOM[RM_Code]=$A40)*M_BOM[RM_Qty_Per_Batch]*IFERROR(INDEX(PP_Grid[#Data],M_BOM[PPGridRow],105),0))</f>
        <v/>
      </c>
    </row>
    <row r="41">
      <c r="A41" t="inlineStr">
        <is>
          <t>TDJ</t>
        </is>
      </c>
      <c r="B41">
        <f>SUMPRODUCT((M_BOM[RM_Code]=$A41)*M_BOM[RM_Qty_Per_Batch]*IFERROR(INDEX(PP_Grid[#Data],M_BOM[PPGridRow],2),0))</f>
        <v/>
      </c>
      <c r="C41">
        <f>SUMPRODUCT((M_BOM[RM_Code]=$A41)*M_BOM[RM_Qty_Per_Batch]*IFERROR(INDEX(PP_Grid[#Data],M_BOM[PPGridRow],3),0))</f>
        <v/>
      </c>
      <c r="D41">
        <f>SUMPRODUCT((M_BOM[RM_Code]=$A41)*M_BOM[RM_Qty_Per_Batch]*IFERROR(INDEX(PP_Grid[#Data],M_BOM[PPGridRow],4),0))</f>
        <v/>
      </c>
      <c r="E41">
        <f>SUMPRODUCT((M_BOM[RM_Code]=$A41)*M_BOM[RM_Qty_Per_Batch]*IFERROR(INDEX(PP_Grid[#Data],M_BOM[PPGridRow],5),0))</f>
        <v/>
      </c>
      <c r="F41">
        <f>SUMPRODUCT((M_BOM[RM_Code]=$A41)*M_BOM[RM_Qty_Per_Batch]*IFERROR(INDEX(PP_Grid[#Data],M_BOM[PPGridRow],6),0))</f>
        <v/>
      </c>
      <c r="G41">
        <f>SUMPRODUCT((M_BOM[RM_Code]=$A41)*M_BOM[RM_Qty_Per_Batch]*IFERROR(INDEX(PP_Grid[#Data],M_BOM[PPGridRow],7),0))</f>
        <v/>
      </c>
      <c r="H41">
        <f>SUMPRODUCT((M_BOM[RM_Code]=$A41)*M_BOM[RM_Qty_Per_Batch]*IFERROR(INDEX(PP_Grid[#Data],M_BOM[PPGridRow],8),0))</f>
        <v/>
      </c>
      <c r="I41">
        <f>SUMPRODUCT((M_BOM[RM_Code]=$A41)*M_BOM[RM_Qty_Per_Batch]*IFERROR(INDEX(PP_Grid[#Data],M_BOM[PPGridRow],9),0))</f>
        <v/>
      </c>
      <c r="J41">
        <f>SUMPRODUCT((M_BOM[RM_Code]=$A41)*M_BOM[RM_Qty_Per_Batch]*IFERROR(INDEX(PP_Grid[#Data],M_BOM[PPGridRow],10),0))</f>
        <v/>
      </c>
      <c r="K41">
        <f>SUMPRODUCT((M_BOM[RM_Code]=$A41)*M_BOM[RM_Qty_Per_Batch]*IFERROR(INDEX(PP_Grid[#Data],M_BOM[PPGridRow],11),0))</f>
        <v/>
      </c>
      <c r="L41">
        <f>SUMPRODUCT((M_BOM[RM_Code]=$A41)*M_BOM[RM_Qty_Per_Batch]*IFERROR(INDEX(PP_Grid[#Data],M_BOM[PPGridRow],12),0))</f>
        <v/>
      </c>
      <c r="M41">
        <f>SUMPRODUCT((M_BOM[RM_Code]=$A41)*M_BOM[RM_Qty_Per_Batch]*IFERROR(INDEX(PP_Grid[#Data],M_BOM[PPGridRow],13),0))</f>
        <v/>
      </c>
      <c r="N41">
        <f>SUMPRODUCT((M_BOM[RM_Code]=$A41)*M_BOM[RM_Qty_Per_Batch]*IFERROR(INDEX(PP_Grid[#Data],M_BOM[PPGridRow],14),0))</f>
        <v/>
      </c>
      <c r="O41">
        <f>SUMPRODUCT((M_BOM[RM_Code]=$A41)*M_BOM[RM_Qty_Per_Batch]*IFERROR(INDEX(PP_Grid[#Data],M_BOM[PPGridRow],15),0))</f>
        <v/>
      </c>
      <c r="P41">
        <f>SUMPRODUCT((M_BOM[RM_Code]=$A41)*M_BOM[RM_Qty_Per_Batch]*IFERROR(INDEX(PP_Grid[#Data],M_BOM[PPGridRow],16),0))</f>
        <v/>
      </c>
      <c r="Q41">
        <f>SUMPRODUCT((M_BOM[RM_Code]=$A41)*M_BOM[RM_Qty_Per_Batch]*IFERROR(INDEX(PP_Grid[#Data],M_BOM[PPGridRow],17),0))</f>
        <v/>
      </c>
      <c r="R41">
        <f>SUMPRODUCT((M_BOM[RM_Code]=$A41)*M_BOM[RM_Qty_Per_Batch]*IFERROR(INDEX(PP_Grid[#Data],M_BOM[PPGridRow],18),0))</f>
        <v/>
      </c>
      <c r="S41">
        <f>SUMPRODUCT((M_BOM[RM_Code]=$A41)*M_BOM[RM_Qty_Per_Batch]*IFERROR(INDEX(PP_Grid[#Data],M_BOM[PPGridRow],19),0))</f>
        <v/>
      </c>
      <c r="T41">
        <f>SUMPRODUCT((M_BOM[RM_Code]=$A41)*M_BOM[RM_Qty_Per_Batch]*IFERROR(INDEX(PP_Grid[#Data],M_BOM[PPGridRow],20),0))</f>
        <v/>
      </c>
      <c r="U41">
        <f>SUMPRODUCT((M_BOM[RM_Code]=$A41)*M_BOM[RM_Qty_Per_Batch]*IFERROR(INDEX(PP_Grid[#Data],M_BOM[PPGridRow],21),0))</f>
        <v/>
      </c>
      <c r="V41">
        <f>SUMPRODUCT((M_BOM[RM_Code]=$A41)*M_BOM[RM_Qty_Per_Batch]*IFERROR(INDEX(PP_Grid[#Data],M_BOM[PPGridRow],22),0))</f>
        <v/>
      </c>
      <c r="W41">
        <f>SUMPRODUCT((M_BOM[RM_Code]=$A41)*M_BOM[RM_Qty_Per_Batch]*IFERROR(INDEX(PP_Grid[#Data],M_BOM[PPGridRow],23),0))</f>
        <v/>
      </c>
      <c r="X41">
        <f>SUMPRODUCT((M_BOM[RM_Code]=$A41)*M_BOM[RM_Qty_Per_Batch]*IFERROR(INDEX(PP_Grid[#Data],M_BOM[PPGridRow],24),0))</f>
        <v/>
      </c>
      <c r="Y41">
        <f>SUMPRODUCT((M_BOM[RM_Code]=$A41)*M_BOM[RM_Qty_Per_Batch]*IFERROR(INDEX(PP_Grid[#Data],M_BOM[PPGridRow],25),0))</f>
        <v/>
      </c>
      <c r="Z41">
        <f>SUMPRODUCT((M_BOM[RM_Code]=$A41)*M_BOM[RM_Qty_Per_Batch]*IFERROR(INDEX(PP_Grid[#Data],M_BOM[PPGridRow],26),0))</f>
        <v/>
      </c>
      <c r="AA41">
        <f>SUMPRODUCT((M_BOM[RM_Code]=$A41)*M_BOM[RM_Qty_Per_Batch]*IFERROR(INDEX(PP_Grid[#Data],M_BOM[PPGridRow],27),0))</f>
        <v/>
      </c>
      <c r="AB41">
        <f>SUMPRODUCT((M_BOM[RM_Code]=$A41)*M_BOM[RM_Qty_Per_Batch]*IFERROR(INDEX(PP_Grid[#Data],M_BOM[PPGridRow],28),0))</f>
        <v/>
      </c>
      <c r="AC41">
        <f>SUMPRODUCT((M_BOM[RM_Code]=$A41)*M_BOM[RM_Qty_Per_Batch]*IFERROR(INDEX(PP_Grid[#Data],M_BOM[PPGridRow],29),0))</f>
        <v/>
      </c>
      <c r="AD41">
        <f>SUMPRODUCT((M_BOM[RM_Code]=$A41)*M_BOM[RM_Qty_Per_Batch]*IFERROR(INDEX(PP_Grid[#Data],M_BOM[PPGridRow],30),0))</f>
        <v/>
      </c>
      <c r="AE41">
        <f>SUMPRODUCT((M_BOM[RM_Code]=$A41)*M_BOM[RM_Qty_Per_Batch]*IFERROR(INDEX(PP_Grid[#Data],M_BOM[PPGridRow],31),0))</f>
        <v/>
      </c>
      <c r="AF41">
        <f>SUMPRODUCT((M_BOM[RM_Code]=$A41)*M_BOM[RM_Qty_Per_Batch]*IFERROR(INDEX(PP_Grid[#Data],M_BOM[PPGridRow],32),0))</f>
        <v/>
      </c>
      <c r="AG41">
        <f>SUMPRODUCT((M_BOM[RM_Code]=$A41)*M_BOM[RM_Qty_Per_Batch]*IFERROR(INDEX(PP_Grid[#Data],M_BOM[PPGridRow],33),0))</f>
        <v/>
      </c>
      <c r="AH41">
        <f>SUMPRODUCT((M_BOM[RM_Code]=$A41)*M_BOM[RM_Qty_Per_Batch]*IFERROR(INDEX(PP_Grid[#Data],M_BOM[PPGridRow],34),0))</f>
        <v/>
      </c>
      <c r="AI41">
        <f>SUMPRODUCT((M_BOM[RM_Code]=$A41)*M_BOM[RM_Qty_Per_Batch]*IFERROR(INDEX(PP_Grid[#Data],M_BOM[PPGridRow],35),0))</f>
        <v/>
      </c>
      <c r="AJ41">
        <f>SUMPRODUCT((M_BOM[RM_Code]=$A41)*M_BOM[RM_Qty_Per_Batch]*IFERROR(INDEX(PP_Grid[#Data],M_BOM[PPGridRow],36),0))</f>
        <v/>
      </c>
      <c r="AK41">
        <f>SUMPRODUCT((M_BOM[RM_Code]=$A41)*M_BOM[RM_Qty_Per_Batch]*IFERROR(INDEX(PP_Grid[#Data],M_BOM[PPGridRow],37),0))</f>
        <v/>
      </c>
      <c r="AL41">
        <f>SUMPRODUCT((M_BOM[RM_Code]=$A41)*M_BOM[RM_Qty_Per_Batch]*IFERROR(INDEX(PP_Grid[#Data],M_BOM[PPGridRow],38),0))</f>
        <v/>
      </c>
      <c r="AM41">
        <f>SUMPRODUCT((M_BOM[RM_Code]=$A41)*M_BOM[RM_Qty_Per_Batch]*IFERROR(INDEX(PP_Grid[#Data],M_BOM[PPGridRow],39),0))</f>
        <v/>
      </c>
      <c r="AN41">
        <f>SUMPRODUCT((M_BOM[RM_Code]=$A41)*M_BOM[RM_Qty_Per_Batch]*IFERROR(INDEX(PP_Grid[#Data],M_BOM[PPGridRow],40),0))</f>
        <v/>
      </c>
      <c r="AO41">
        <f>SUMPRODUCT((M_BOM[RM_Code]=$A41)*M_BOM[RM_Qty_Per_Batch]*IFERROR(INDEX(PP_Grid[#Data],M_BOM[PPGridRow],41),0))</f>
        <v/>
      </c>
      <c r="AP41">
        <f>SUMPRODUCT((M_BOM[RM_Code]=$A41)*M_BOM[RM_Qty_Per_Batch]*IFERROR(INDEX(PP_Grid[#Data],M_BOM[PPGridRow],42),0))</f>
        <v/>
      </c>
      <c r="AQ41">
        <f>SUMPRODUCT((M_BOM[RM_Code]=$A41)*M_BOM[RM_Qty_Per_Batch]*IFERROR(INDEX(PP_Grid[#Data],M_BOM[PPGridRow],43),0))</f>
        <v/>
      </c>
      <c r="AR41">
        <f>SUMPRODUCT((M_BOM[RM_Code]=$A41)*M_BOM[RM_Qty_Per_Batch]*IFERROR(INDEX(PP_Grid[#Data],M_BOM[PPGridRow],44),0))</f>
        <v/>
      </c>
      <c r="AS41">
        <f>SUMPRODUCT((M_BOM[RM_Code]=$A41)*M_BOM[RM_Qty_Per_Batch]*IFERROR(INDEX(PP_Grid[#Data],M_BOM[PPGridRow],45),0))</f>
        <v/>
      </c>
      <c r="AT41">
        <f>SUMPRODUCT((M_BOM[RM_Code]=$A41)*M_BOM[RM_Qty_Per_Batch]*IFERROR(INDEX(PP_Grid[#Data],M_BOM[PPGridRow],46),0))</f>
        <v/>
      </c>
      <c r="AU41">
        <f>SUMPRODUCT((M_BOM[RM_Code]=$A41)*M_BOM[RM_Qty_Per_Batch]*IFERROR(INDEX(PP_Grid[#Data],M_BOM[PPGridRow],47),0))</f>
        <v/>
      </c>
      <c r="AV41">
        <f>SUMPRODUCT((M_BOM[RM_Code]=$A41)*M_BOM[RM_Qty_Per_Batch]*IFERROR(INDEX(PP_Grid[#Data],M_BOM[PPGridRow],48),0))</f>
        <v/>
      </c>
      <c r="AW41">
        <f>SUMPRODUCT((M_BOM[RM_Code]=$A41)*M_BOM[RM_Qty_Per_Batch]*IFERROR(INDEX(PP_Grid[#Data],M_BOM[PPGridRow],49),0))</f>
        <v/>
      </c>
      <c r="AX41">
        <f>SUMPRODUCT((M_BOM[RM_Code]=$A41)*M_BOM[RM_Qty_Per_Batch]*IFERROR(INDEX(PP_Grid[#Data],M_BOM[PPGridRow],50),0))</f>
        <v/>
      </c>
      <c r="AY41">
        <f>SUMPRODUCT((M_BOM[RM_Code]=$A41)*M_BOM[RM_Qty_Per_Batch]*IFERROR(INDEX(PP_Grid[#Data],M_BOM[PPGridRow],51),0))</f>
        <v/>
      </c>
      <c r="AZ41">
        <f>SUMPRODUCT((M_BOM[RM_Code]=$A41)*M_BOM[RM_Qty_Per_Batch]*IFERROR(INDEX(PP_Grid[#Data],M_BOM[PPGridRow],52),0))</f>
        <v/>
      </c>
      <c r="BA41">
        <f>SUMPRODUCT((M_BOM[RM_Code]=$A41)*M_BOM[RM_Qty_Per_Batch]*IFERROR(INDEX(PP_Grid[#Data],M_BOM[PPGridRow],53),0))</f>
        <v/>
      </c>
      <c r="BB41">
        <f>SUMPRODUCT((M_BOM[RM_Code]=$A41)*M_BOM[RM_Qty_Per_Batch]*IFERROR(INDEX(PP_Grid[#Data],M_BOM[PPGridRow],54),0))</f>
        <v/>
      </c>
      <c r="BC41">
        <f>SUMPRODUCT((M_BOM[RM_Code]=$A41)*M_BOM[RM_Qty_Per_Batch]*IFERROR(INDEX(PP_Grid[#Data],M_BOM[PPGridRow],55),0))</f>
        <v/>
      </c>
      <c r="BD41">
        <f>SUMPRODUCT((M_BOM[RM_Code]=$A41)*M_BOM[RM_Qty_Per_Batch]*IFERROR(INDEX(PP_Grid[#Data],M_BOM[PPGridRow],56),0))</f>
        <v/>
      </c>
      <c r="BE41">
        <f>SUMPRODUCT((M_BOM[RM_Code]=$A41)*M_BOM[RM_Qty_Per_Batch]*IFERROR(INDEX(PP_Grid[#Data],M_BOM[PPGridRow],57),0))</f>
        <v/>
      </c>
      <c r="BF41">
        <f>SUMPRODUCT((M_BOM[RM_Code]=$A41)*M_BOM[RM_Qty_Per_Batch]*IFERROR(INDEX(PP_Grid[#Data],M_BOM[PPGridRow],58),0))</f>
        <v/>
      </c>
      <c r="BG41">
        <f>SUMPRODUCT((M_BOM[RM_Code]=$A41)*M_BOM[RM_Qty_Per_Batch]*IFERROR(INDEX(PP_Grid[#Data],M_BOM[PPGridRow],59),0))</f>
        <v/>
      </c>
      <c r="BH41">
        <f>SUMPRODUCT((M_BOM[RM_Code]=$A41)*M_BOM[RM_Qty_Per_Batch]*IFERROR(INDEX(PP_Grid[#Data],M_BOM[PPGridRow],60),0))</f>
        <v/>
      </c>
      <c r="BI41">
        <f>SUMPRODUCT((M_BOM[RM_Code]=$A41)*M_BOM[RM_Qty_Per_Batch]*IFERROR(INDEX(PP_Grid[#Data],M_BOM[PPGridRow],61),0))</f>
        <v/>
      </c>
      <c r="BJ41">
        <f>SUMPRODUCT((M_BOM[RM_Code]=$A41)*M_BOM[RM_Qty_Per_Batch]*IFERROR(INDEX(PP_Grid[#Data],M_BOM[PPGridRow],62),0))</f>
        <v/>
      </c>
      <c r="BK41">
        <f>SUMPRODUCT((M_BOM[RM_Code]=$A41)*M_BOM[RM_Qty_Per_Batch]*IFERROR(INDEX(PP_Grid[#Data],M_BOM[PPGridRow],63),0))</f>
        <v/>
      </c>
      <c r="BL41">
        <f>SUMPRODUCT((M_BOM[RM_Code]=$A41)*M_BOM[RM_Qty_Per_Batch]*IFERROR(INDEX(PP_Grid[#Data],M_BOM[PPGridRow],64),0))</f>
        <v/>
      </c>
      <c r="BM41">
        <f>SUMPRODUCT((M_BOM[RM_Code]=$A41)*M_BOM[RM_Qty_Per_Batch]*IFERROR(INDEX(PP_Grid[#Data],M_BOM[PPGridRow],65),0))</f>
        <v/>
      </c>
      <c r="BN41">
        <f>SUMPRODUCT((M_BOM[RM_Code]=$A41)*M_BOM[RM_Qty_Per_Batch]*IFERROR(INDEX(PP_Grid[#Data],M_BOM[PPGridRow],66),0))</f>
        <v/>
      </c>
      <c r="BO41">
        <f>SUMPRODUCT((M_BOM[RM_Code]=$A41)*M_BOM[RM_Qty_Per_Batch]*IFERROR(INDEX(PP_Grid[#Data],M_BOM[PPGridRow],67),0))</f>
        <v/>
      </c>
      <c r="BP41">
        <f>SUMPRODUCT((M_BOM[RM_Code]=$A41)*M_BOM[RM_Qty_Per_Batch]*IFERROR(INDEX(PP_Grid[#Data],M_BOM[PPGridRow],68),0))</f>
        <v/>
      </c>
      <c r="BQ41">
        <f>SUMPRODUCT((M_BOM[RM_Code]=$A41)*M_BOM[RM_Qty_Per_Batch]*IFERROR(INDEX(PP_Grid[#Data],M_BOM[PPGridRow],69),0))</f>
        <v/>
      </c>
      <c r="BR41">
        <f>SUMPRODUCT((M_BOM[RM_Code]=$A41)*M_BOM[RM_Qty_Per_Batch]*IFERROR(INDEX(PP_Grid[#Data],M_BOM[PPGridRow],70),0))</f>
        <v/>
      </c>
      <c r="BS41">
        <f>SUMPRODUCT((M_BOM[RM_Code]=$A41)*M_BOM[RM_Qty_Per_Batch]*IFERROR(INDEX(PP_Grid[#Data],M_BOM[PPGridRow],71),0))</f>
        <v/>
      </c>
      <c r="BT41">
        <f>SUMPRODUCT((M_BOM[RM_Code]=$A41)*M_BOM[RM_Qty_Per_Batch]*IFERROR(INDEX(PP_Grid[#Data],M_BOM[PPGridRow],72),0))</f>
        <v/>
      </c>
      <c r="BU41">
        <f>SUMPRODUCT((M_BOM[RM_Code]=$A41)*M_BOM[RM_Qty_Per_Batch]*IFERROR(INDEX(PP_Grid[#Data],M_BOM[PPGridRow],73),0))</f>
        <v/>
      </c>
      <c r="BV41">
        <f>SUMPRODUCT((M_BOM[RM_Code]=$A41)*M_BOM[RM_Qty_Per_Batch]*IFERROR(INDEX(PP_Grid[#Data],M_BOM[PPGridRow],74),0))</f>
        <v/>
      </c>
      <c r="BW41">
        <f>SUMPRODUCT((M_BOM[RM_Code]=$A41)*M_BOM[RM_Qty_Per_Batch]*IFERROR(INDEX(PP_Grid[#Data],M_BOM[PPGridRow],75),0))</f>
        <v/>
      </c>
      <c r="BX41">
        <f>SUMPRODUCT((M_BOM[RM_Code]=$A41)*M_BOM[RM_Qty_Per_Batch]*IFERROR(INDEX(PP_Grid[#Data],M_BOM[PPGridRow],76),0))</f>
        <v/>
      </c>
      <c r="BY41">
        <f>SUMPRODUCT((M_BOM[RM_Code]=$A41)*M_BOM[RM_Qty_Per_Batch]*IFERROR(INDEX(PP_Grid[#Data],M_BOM[PPGridRow],77),0))</f>
        <v/>
      </c>
      <c r="BZ41">
        <f>SUMPRODUCT((M_BOM[RM_Code]=$A41)*M_BOM[RM_Qty_Per_Batch]*IFERROR(INDEX(PP_Grid[#Data],M_BOM[PPGridRow],78),0))</f>
        <v/>
      </c>
      <c r="CA41">
        <f>SUMPRODUCT((M_BOM[RM_Code]=$A41)*M_BOM[RM_Qty_Per_Batch]*IFERROR(INDEX(PP_Grid[#Data],M_BOM[PPGridRow],79),0))</f>
        <v/>
      </c>
      <c r="CB41">
        <f>SUMPRODUCT((M_BOM[RM_Code]=$A41)*M_BOM[RM_Qty_Per_Batch]*IFERROR(INDEX(PP_Grid[#Data],M_BOM[PPGridRow],80),0))</f>
        <v/>
      </c>
      <c r="CC41">
        <f>SUMPRODUCT((M_BOM[RM_Code]=$A41)*M_BOM[RM_Qty_Per_Batch]*IFERROR(INDEX(PP_Grid[#Data],M_BOM[PPGridRow],81),0))</f>
        <v/>
      </c>
      <c r="CD41">
        <f>SUMPRODUCT((M_BOM[RM_Code]=$A41)*M_BOM[RM_Qty_Per_Batch]*IFERROR(INDEX(PP_Grid[#Data],M_BOM[PPGridRow],82),0))</f>
        <v/>
      </c>
      <c r="CE41">
        <f>SUMPRODUCT((M_BOM[RM_Code]=$A41)*M_BOM[RM_Qty_Per_Batch]*IFERROR(INDEX(PP_Grid[#Data],M_BOM[PPGridRow],83),0))</f>
        <v/>
      </c>
      <c r="CF41">
        <f>SUMPRODUCT((M_BOM[RM_Code]=$A41)*M_BOM[RM_Qty_Per_Batch]*IFERROR(INDEX(PP_Grid[#Data],M_BOM[PPGridRow],84),0))</f>
        <v/>
      </c>
      <c r="CG41">
        <f>SUMPRODUCT((M_BOM[RM_Code]=$A41)*M_BOM[RM_Qty_Per_Batch]*IFERROR(INDEX(PP_Grid[#Data],M_BOM[PPGridRow],85),0))</f>
        <v/>
      </c>
      <c r="CH41">
        <f>SUMPRODUCT((M_BOM[RM_Code]=$A41)*M_BOM[RM_Qty_Per_Batch]*IFERROR(INDEX(PP_Grid[#Data],M_BOM[PPGridRow],86),0))</f>
        <v/>
      </c>
      <c r="CI41">
        <f>SUMPRODUCT((M_BOM[RM_Code]=$A41)*M_BOM[RM_Qty_Per_Batch]*IFERROR(INDEX(PP_Grid[#Data],M_BOM[PPGridRow],87),0))</f>
        <v/>
      </c>
      <c r="CJ41">
        <f>SUMPRODUCT((M_BOM[RM_Code]=$A41)*M_BOM[RM_Qty_Per_Batch]*IFERROR(INDEX(PP_Grid[#Data],M_BOM[PPGridRow],88),0))</f>
        <v/>
      </c>
      <c r="CK41">
        <f>SUMPRODUCT((M_BOM[RM_Code]=$A41)*M_BOM[RM_Qty_Per_Batch]*IFERROR(INDEX(PP_Grid[#Data],M_BOM[PPGridRow],89),0))</f>
        <v/>
      </c>
      <c r="CL41">
        <f>SUMPRODUCT((M_BOM[RM_Code]=$A41)*M_BOM[RM_Qty_Per_Batch]*IFERROR(INDEX(PP_Grid[#Data],M_BOM[PPGridRow],90),0))</f>
        <v/>
      </c>
      <c r="CM41">
        <f>SUMPRODUCT((M_BOM[RM_Code]=$A41)*M_BOM[RM_Qty_Per_Batch]*IFERROR(INDEX(PP_Grid[#Data],M_BOM[PPGridRow],91),0))</f>
        <v/>
      </c>
      <c r="CN41">
        <f>SUMPRODUCT((M_BOM[RM_Code]=$A41)*M_BOM[RM_Qty_Per_Batch]*IFERROR(INDEX(PP_Grid[#Data],M_BOM[PPGridRow],92),0))</f>
        <v/>
      </c>
      <c r="CO41">
        <f>SUMPRODUCT((M_BOM[RM_Code]=$A41)*M_BOM[RM_Qty_Per_Batch]*IFERROR(INDEX(PP_Grid[#Data],M_BOM[PPGridRow],93),0))</f>
        <v/>
      </c>
      <c r="CP41">
        <f>SUMPRODUCT((M_BOM[RM_Code]=$A41)*M_BOM[RM_Qty_Per_Batch]*IFERROR(INDEX(PP_Grid[#Data],M_BOM[PPGridRow],94),0))</f>
        <v/>
      </c>
      <c r="CQ41">
        <f>SUMPRODUCT((M_BOM[RM_Code]=$A41)*M_BOM[RM_Qty_Per_Batch]*IFERROR(INDEX(PP_Grid[#Data],M_BOM[PPGridRow],95),0))</f>
        <v/>
      </c>
      <c r="CR41">
        <f>SUMPRODUCT((M_BOM[RM_Code]=$A41)*M_BOM[RM_Qty_Per_Batch]*IFERROR(INDEX(PP_Grid[#Data],M_BOM[PPGridRow],96),0))</f>
        <v/>
      </c>
      <c r="CS41">
        <f>SUMPRODUCT((M_BOM[RM_Code]=$A41)*M_BOM[RM_Qty_Per_Batch]*IFERROR(INDEX(PP_Grid[#Data],M_BOM[PPGridRow],97),0))</f>
        <v/>
      </c>
      <c r="CT41">
        <f>SUMPRODUCT((M_BOM[RM_Code]=$A41)*M_BOM[RM_Qty_Per_Batch]*IFERROR(INDEX(PP_Grid[#Data],M_BOM[PPGridRow],98),0))</f>
        <v/>
      </c>
      <c r="CU41">
        <f>SUMPRODUCT((M_BOM[RM_Code]=$A41)*M_BOM[RM_Qty_Per_Batch]*IFERROR(INDEX(PP_Grid[#Data],M_BOM[PPGridRow],99),0))</f>
        <v/>
      </c>
      <c r="CV41">
        <f>SUMPRODUCT((M_BOM[RM_Code]=$A41)*M_BOM[RM_Qty_Per_Batch]*IFERROR(INDEX(PP_Grid[#Data],M_BOM[PPGridRow],100),0))</f>
        <v/>
      </c>
      <c r="CW41">
        <f>SUMPRODUCT((M_BOM[RM_Code]=$A41)*M_BOM[RM_Qty_Per_Batch]*IFERROR(INDEX(PP_Grid[#Data],M_BOM[PPGridRow],101),0))</f>
        <v/>
      </c>
      <c r="CX41">
        <f>SUMPRODUCT((M_BOM[RM_Code]=$A41)*M_BOM[RM_Qty_Per_Batch]*IFERROR(INDEX(PP_Grid[#Data],M_BOM[PPGridRow],102),0))</f>
        <v/>
      </c>
      <c r="CY41">
        <f>SUMPRODUCT((M_BOM[RM_Code]=$A41)*M_BOM[RM_Qty_Per_Batch]*IFERROR(INDEX(PP_Grid[#Data],M_BOM[PPGridRow],103),0))</f>
        <v/>
      </c>
      <c r="CZ41">
        <f>SUMPRODUCT((M_BOM[RM_Code]=$A41)*M_BOM[RM_Qty_Per_Batch]*IFERROR(INDEX(PP_Grid[#Data],M_BOM[PPGridRow],104),0))</f>
        <v/>
      </c>
      <c r="DA41">
        <f>SUMPRODUCT((M_BOM[RM_Code]=$A41)*M_BOM[RM_Qty_Per_Batch]*IFERROR(INDEX(PP_Grid[#Data],M_BOM[PPGridRow],105),0))</f>
        <v/>
      </c>
    </row>
    <row r="42">
      <c r="A42" t="inlineStr">
        <is>
          <t>CHEM-1730</t>
        </is>
      </c>
      <c r="B42">
        <f>SUMPRODUCT((M_BOM[RM_Code]=$A42)*M_BOM[RM_Qty_Per_Batch]*IFERROR(INDEX(PP_Grid[#Data],M_BOM[PPGridRow],2),0))</f>
        <v/>
      </c>
      <c r="C42">
        <f>SUMPRODUCT((M_BOM[RM_Code]=$A42)*M_BOM[RM_Qty_Per_Batch]*IFERROR(INDEX(PP_Grid[#Data],M_BOM[PPGridRow],3),0))</f>
        <v/>
      </c>
      <c r="D42">
        <f>SUMPRODUCT((M_BOM[RM_Code]=$A42)*M_BOM[RM_Qty_Per_Batch]*IFERROR(INDEX(PP_Grid[#Data],M_BOM[PPGridRow],4),0))</f>
        <v/>
      </c>
      <c r="E42">
        <f>SUMPRODUCT((M_BOM[RM_Code]=$A42)*M_BOM[RM_Qty_Per_Batch]*IFERROR(INDEX(PP_Grid[#Data],M_BOM[PPGridRow],5),0))</f>
        <v/>
      </c>
      <c r="F42">
        <f>SUMPRODUCT((M_BOM[RM_Code]=$A42)*M_BOM[RM_Qty_Per_Batch]*IFERROR(INDEX(PP_Grid[#Data],M_BOM[PPGridRow],6),0))</f>
        <v/>
      </c>
      <c r="G42">
        <f>SUMPRODUCT((M_BOM[RM_Code]=$A42)*M_BOM[RM_Qty_Per_Batch]*IFERROR(INDEX(PP_Grid[#Data],M_BOM[PPGridRow],7),0))</f>
        <v/>
      </c>
      <c r="H42">
        <f>SUMPRODUCT((M_BOM[RM_Code]=$A42)*M_BOM[RM_Qty_Per_Batch]*IFERROR(INDEX(PP_Grid[#Data],M_BOM[PPGridRow],8),0))</f>
        <v/>
      </c>
      <c r="I42">
        <f>SUMPRODUCT((M_BOM[RM_Code]=$A42)*M_BOM[RM_Qty_Per_Batch]*IFERROR(INDEX(PP_Grid[#Data],M_BOM[PPGridRow],9),0))</f>
        <v/>
      </c>
      <c r="J42">
        <f>SUMPRODUCT((M_BOM[RM_Code]=$A42)*M_BOM[RM_Qty_Per_Batch]*IFERROR(INDEX(PP_Grid[#Data],M_BOM[PPGridRow],10),0))</f>
        <v/>
      </c>
      <c r="K42">
        <f>SUMPRODUCT((M_BOM[RM_Code]=$A42)*M_BOM[RM_Qty_Per_Batch]*IFERROR(INDEX(PP_Grid[#Data],M_BOM[PPGridRow],11),0))</f>
        <v/>
      </c>
      <c r="L42">
        <f>SUMPRODUCT((M_BOM[RM_Code]=$A42)*M_BOM[RM_Qty_Per_Batch]*IFERROR(INDEX(PP_Grid[#Data],M_BOM[PPGridRow],12),0))</f>
        <v/>
      </c>
      <c r="M42">
        <f>SUMPRODUCT((M_BOM[RM_Code]=$A42)*M_BOM[RM_Qty_Per_Batch]*IFERROR(INDEX(PP_Grid[#Data],M_BOM[PPGridRow],13),0))</f>
        <v/>
      </c>
      <c r="N42">
        <f>SUMPRODUCT((M_BOM[RM_Code]=$A42)*M_BOM[RM_Qty_Per_Batch]*IFERROR(INDEX(PP_Grid[#Data],M_BOM[PPGridRow],14),0))</f>
        <v/>
      </c>
      <c r="O42">
        <f>SUMPRODUCT((M_BOM[RM_Code]=$A42)*M_BOM[RM_Qty_Per_Batch]*IFERROR(INDEX(PP_Grid[#Data],M_BOM[PPGridRow],15),0))</f>
        <v/>
      </c>
      <c r="P42">
        <f>SUMPRODUCT((M_BOM[RM_Code]=$A42)*M_BOM[RM_Qty_Per_Batch]*IFERROR(INDEX(PP_Grid[#Data],M_BOM[PPGridRow],16),0))</f>
        <v/>
      </c>
      <c r="Q42">
        <f>SUMPRODUCT((M_BOM[RM_Code]=$A42)*M_BOM[RM_Qty_Per_Batch]*IFERROR(INDEX(PP_Grid[#Data],M_BOM[PPGridRow],17),0))</f>
        <v/>
      </c>
      <c r="R42">
        <f>SUMPRODUCT((M_BOM[RM_Code]=$A42)*M_BOM[RM_Qty_Per_Batch]*IFERROR(INDEX(PP_Grid[#Data],M_BOM[PPGridRow],18),0))</f>
        <v/>
      </c>
      <c r="S42">
        <f>SUMPRODUCT((M_BOM[RM_Code]=$A42)*M_BOM[RM_Qty_Per_Batch]*IFERROR(INDEX(PP_Grid[#Data],M_BOM[PPGridRow],19),0))</f>
        <v/>
      </c>
      <c r="T42">
        <f>SUMPRODUCT((M_BOM[RM_Code]=$A42)*M_BOM[RM_Qty_Per_Batch]*IFERROR(INDEX(PP_Grid[#Data],M_BOM[PPGridRow],20),0))</f>
        <v/>
      </c>
      <c r="U42">
        <f>SUMPRODUCT((M_BOM[RM_Code]=$A42)*M_BOM[RM_Qty_Per_Batch]*IFERROR(INDEX(PP_Grid[#Data],M_BOM[PPGridRow],21),0))</f>
        <v/>
      </c>
      <c r="V42">
        <f>SUMPRODUCT((M_BOM[RM_Code]=$A42)*M_BOM[RM_Qty_Per_Batch]*IFERROR(INDEX(PP_Grid[#Data],M_BOM[PPGridRow],22),0))</f>
        <v/>
      </c>
      <c r="W42">
        <f>SUMPRODUCT((M_BOM[RM_Code]=$A42)*M_BOM[RM_Qty_Per_Batch]*IFERROR(INDEX(PP_Grid[#Data],M_BOM[PPGridRow],23),0))</f>
        <v/>
      </c>
      <c r="X42">
        <f>SUMPRODUCT((M_BOM[RM_Code]=$A42)*M_BOM[RM_Qty_Per_Batch]*IFERROR(INDEX(PP_Grid[#Data],M_BOM[PPGridRow],24),0))</f>
        <v/>
      </c>
      <c r="Y42">
        <f>SUMPRODUCT((M_BOM[RM_Code]=$A42)*M_BOM[RM_Qty_Per_Batch]*IFERROR(INDEX(PP_Grid[#Data],M_BOM[PPGridRow],25),0))</f>
        <v/>
      </c>
      <c r="Z42">
        <f>SUMPRODUCT((M_BOM[RM_Code]=$A42)*M_BOM[RM_Qty_Per_Batch]*IFERROR(INDEX(PP_Grid[#Data],M_BOM[PPGridRow],26),0))</f>
        <v/>
      </c>
      <c r="AA42">
        <f>SUMPRODUCT((M_BOM[RM_Code]=$A42)*M_BOM[RM_Qty_Per_Batch]*IFERROR(INDEX(PP_Grid[#Data],M_BOM[PPGridRow],27),0))</f>
        <v/>
      </c>
      <c r="AB42">
        <f>SUMPRODUCT((M_BOM[RM_Code]=$A42)*M_BOM[RM_Qty_Per_Batch]*IFERROR(INDEX(PP_Grid[#Data],M_BOM[PPGridRow],28),0))</f>
        <v/>
      </c>
      <c r="AC42">
        <f>SUMPRODUCT((M_BOM[RM_Code]=$A42)*M_BOM[RM_Qty_Per_Batch]*IFERROR(INDEX(PP_Grid[#Data],M_BOM[PPGridRow],29),0))</f>
        <v/>
      </c>
      <c r="AD42">
        <f>SUMPRODUCT((M_BOM[RM_Code]=$A42)*M_BOM[RM_Qty_Per_Batch]*IFERROR(INDEX(PP_Grid[#Data],M_BOM[PPGridRow],30),0))</f>
        <v/>
      </c>
      <c r="AE42">
        <f>SUMPRODUCT((M_BOM[RM_Code]=$A42)*M_BOM[RM_Qty_Per_Batch]*IFERROR(INDEX(PP_Grid[#Data],M_BOM[PPGridRow],31),0))</f>
        <v/>
      </c>
      <c r="AF42">
        <f>SUMPRODUCT((M_BOM[RM_Code]=$A42)*M_BOM[RM_Qty_Per_Batch]*IFERROR(INDEX(PP_Grid[#Data],M_BOM[PPGridRow],32),0))</f>
        <v/>
      </c>
      <c r="AG42">
        <f>SUMPRODUCT((M_BOM[RM_Code]=$A42)*M_BOM[RM_Qty_Per_Batch]*IFERROR(INDEX(PP_Grid[#Data],M_BOM[PPGridRow],33),0))</f>
        <v/>
      </c>
      <c r="AH42">
        <f>SUMPRODUCT((M_BOM[RM_Code]=$A42)*M_BOM[RM_Qty_Per_Batch]*IFERROR(INDEX(PP_Grid[#Data],M_BOM[PPGridRow],34),0))</f>
        <v/>
      </c>
      <c r="AI42">
        <f>SUMPRODUCT((M_BOM[RM_Code]=$A42)*M_BOM[RM_Qty_Per_Batch]*IFERROR(INDEX(PP_Grid[#Data],M_BOM[PPGridRow],35),0))</f>
        <v/>
      </c>
      <c r="AJ42">
        <f>SUMPRODUCT((M_BOM[RM_Code]=$A42)*M_BOM[RM_Qty_Per_Batch]*IFERROR(INDEX(PP_Grid[#Data],M_BOM[PPGridRow],36),0))</f>
        <v/>
      </c>
      <c r="AK42">
        <f>SUMPRODUCT((M_BOM[RM_Code]=$A42)*M_BOM[RM_Qty_Per_Batch]*IFERROR(INDEX(PP_Grid[#Data],M_BOM[PPGridRow],37),0))</f>
        <v/>
      </c>
      <c r="AL42">
        <f>SUMPRODUCT((M_BOM[RM_Code]=$A42)*M_BOM[RM_Qty_Per_Batch]*IFERROR(INDEX(PP_Grid[#Data],M_BOM[PPGridRow],38),0))</f>
        <v/>
      </c>
      <c r="AM42">
        <f>SUMPRODUCT((M_BOM[RM_Code]=$A42)*M_BOM[RM_Qty_Per_Batch]*IFERROR(INDEX(PP_Grid[#Data],M_BOM[PPGridRow],39),0))</f>
        <v/>
      </c>
      <c r="AN42">
        <f>SUMPRODUCT((M_BOM[RM_Code]=$A42)*M_BOM[RM_Qty_Per_Batch]*IFERROR(INDEX(PP_Grid[#Data],M_BOM[PPGridRow],40),0))</f>
        <v/>
      </c>
      <c r="AO42">
        <f>SUMPRODUCT((M_BOM[RM_Code]=$A42)*M_BOM[RM_Qty_Per_Batch]*IFERROR(INDEX(PP_Grid[#Data],M_BOM[PPGridRow],41),0))</f>
        <v/>
      </c>
      <c r="AP42">
        <f>SUMPRODUCT((M_BOM[RM_Code]=$A42)*M_BOM[RM_Qty_Per_Batch]*IFERROR(INDEX(PP_Grid[#Data],M_BOM[PPGridRow],42),0))</f>
        <v/>
      </c>
      <c r="AQ42">
        <f>SUMPRODUCT((M_BOM[RM_Code]=$A42)*M_BOM[RM_Qty_Per_Batch]*IFERROR(INDEX(PP_Grid[#Data],M_BOM[PPGridRow],43),0))</f>
        <v/>
      </c>
      <c r="AR42">
        <f>SUMPRODUCT((M_BOM[RM_Code]=$A42)*M_BOM[RM_Qty_Per_Batch]*IFERROR(INDEX(PP_Grid[#Data],M_BOM[PPGridRow],44),0))</f>
        <v/>
      </c>
      <c r="AS42">
        <f>SUMPRODUCT((M_BOM[RM_Code]=$A42)*M_BOM[RM_Qty_Per_Batch]*IFERROR(INDEX(PP_Grid[#Data],M_BOM[PPGridRow],45),0))</f>
        <v/>
      </c>
      <c r="AT42">
        <f>SUMPRODUCT((M_BOM[RM_Code]=$A42)*M_BOM[RM_Qty_Per_Batch]*IFERROR(INDEX(PP_Grid[#Data],M_BOM[PPGridRow],46),0))</f>
        <v/>
      </c>
      <c r="AU42">
        <f>SUMPRODUCT((M_BOM[RM_Code]=$A42)*M_BOM[RM_Qty_Per_Batch]*IFERROR(INDEX(PP_Grid[#Data],M_BOM[PPGridRow],47),0))</f>
        <v/>
      </c>
      <c r="AV42">
        <f>SUMPRODUCT((M_BOM[RM_Code]=$A42)*M_BOM[RM_Qty_Per_Batch]*IFERROR(INDEX(PP_Grid[#Data],M_BOM[PPGridRow],48),0))</f>
        <v/>
      </c>
      <c r="AW42">
        <f>SUMPRODUCT((M_BOM[RM_Code]=$A42)*M_BOM[RM_Qty_Per_Batch]*IFERROR(INDEX(PP_Grid[#Data],M_BOM[PPGridRow],49),0))</f>
        <v/>
      </c>
      <c r="AX42">
        <f>SUMPRODUCT((M_BOM[RM_Code]=$A42)*M_BOM[RM_Qty_Per_Batch]*IFERROR(INDEX(PP_Grid[#Data],M_BOM[PPGridRow],50),0))</f>
        <v/>
      </c>
      <c r="AY42">
        <f>SUMPRODUCT((M_BOM[RM_Code]=$A42)*M_BOM[RM_Qty_Per_Batch]*IFERROR(INDEX(PP_Grid[#Data],M_BOM[PPGridRow],51),0))</f>
        <v/>
      </c>
      <c r="AZ42">
        <f>SUMPRODUCT((M_BOM[RM_Code]=$A42)*M_BOM[RM_Qty_Per_Batch]*IFERROR(INDEX(PP_Grid[#Data],M_BOM[PPGridRow],52),0))</f>
        <v/>
      </c>
      <c r="BA42">
        <f>SUMPRODUCT((M_BOM[RM_Code]=$A42)*M_BOM[RM_Qty_Per_Batch]*IFERROR(INDEX(PP_Grid[#Data],M_BOM[PPGridRow],53),0))</f>
        <v/>
      </c>
      <c r="BB42">
        <f>SUMPRODUCT((M_BOM[RM_Code]=$A42)*M_BOM[RM_Qty_Per_Batch]*IFERROR(INDEX(PP_Grid[#Data],M_BOM[PPGridRow],54),0))</f>
        <v/>
      </c>
      <c r="BC42">
        <f>SUMPRODUCT((M_BOM[RM_Code]=$A42)*M_BOM[RM_Qty_Per_Batch]*IFERROR(INDEX(PP_Grid[#Data],M_BOM[PPGridRow],55),0))</f>
        <v/>
      </c>
      <c r="BD42">
        <f>SUMPRODUCT((M_BOM[RM_Code]=$A42)*M_BOM[RM_Qty_Per_Batch]*IFERROR(INDEX(PP_Grid[#Data],M_BOM[PPGridRow],56),0))</f>
        <v/>
      </c>
      <c r="BE42">
        <f>SUMPRODUCT((M_BOM[RM_Code]=$A42)*M_BOM[RM_Qty_Per_Batch]*IFERROR(INDEX(PP_Grid[#Data],M_BOM[PPGridRow],57),0))</f>
        <v/>
      </c>
      <c r="BF42">
        <f>SUMPRODUCT((M_BOM[RM_Code]=$A42)*M_BOM[RM_Qty_Per_Batch]*IFERROR(INDEX(PP_Grid[#Data],M_BOM[PPGridRow],58),0))</f>
        <v/>
      </c>
      <c r="BG42">
        <f>SUMPRODUCT((M_BOM[RM_Code]=$A42)*M_BOM[RM_Qty_Per_Batch]*IFERROR(INDEX(PP_Grid[#Data],M_BOM[PPGridRow],59),0))</f>
        <v/>
      </c>
      <c r="BH42">
        <f>SUMPRODUCT((M_BOM[RM_Code]=$A42)*M_BOM[RM_Qty_Per_Batch]*IFERROR(INDEX(PP_Grid[#Data],M_BOM[PPGridRow],60),0))</f>
        <v/>
      </c>
      <c r="BI42">
        <f>SUMPRODUCT((M_BOM[RM_Code]=$A42)*M_BOM[RM_Qty_Per_Batch]*IFERROR(INDEX(PP_Grid[#Data],M_BOM[PPGridRow],61),0))</f>
        <v/>
      </c>
      <c r="BJ42">
        <f>SUMPRODUCT((M_BOM[RM_Code]=$A42)*M_BOM[RM_Qty_Per_Batch]*IFERROR(INDEX(PP_Grid[#Data],M_BOM[PPGridRow],62),0))</f>
        <v/>
      </c>
      <c r="BK42">
        <f>SUMPRODUCT((M_BOM[RM_Code]=$A42)*M_BOM[RM_Qty_Per_Batch]*IFERROR(INDEX(PP_Grid[#Data],M_BOM[PPGridRow],63),0))</f>
        <v/>
      </c>
      <c r="BL42">
        <f>SUMPRODUCT((M_BOM[RM_Code]=$A42)*M_BOM[RM_Qty_Per_Batch]*IFERROR(INDEX(PP_Grid[#Data],M_BOM[PPGridRow],64),0))</f>
        <v/>
      </c>
      <c r="BM42">
        <f>SUMPRODUCT((M_BOM[RM_Code]=$A42)*M_BOM[RM_Qty_Per_Batch]*IFERROR(INDEX(PP_Grid[#Data],M_BOM[PPGridRow],65),0))</f>
        <v/>
      </c>
      <c r="BN42">
        <f>SUMPRODUCT((M_BOM[RM_Code]=$A42)*M_BOM[RM_Qty_Per_Batch]*IFERROR(INDEX(PP_Grid[#Data],M_BOM[PPGridRow],66),0))</f>
        <v/>
      </c>
      <c r="BO42">
        <f>SUMPRODUCT((M_BOM[RM_Code]=$A42)*M_BOM[RM_Qty_Per_Batch]*IFERROR(INDEX(PP_Grid[#Data],M_BOM[PPGridRow],67),0))</f>
        <v/>
      </c>
      <c r="BP42">
        <f>SUMPRODUCT((M_BOM[RM_Code]=$A42)*M_BOM[RM_Qty_Per_Batch]*IFERROR(INDEX(PP_Grid[#Data],M_BOM[PPGridRow],68),0))</f>
        <v/>
      </c>
      <c r="BQ42">
        <f>SUMPRODUCT((M_BOM[RM_Code]=$A42)*M_BOM[RM_Qty_Per_Batch]*IFERROR(INDEX(PP_Grid[#Data],M_BOM[PPGridRow],69),0))</f>
        <v/>
      </c>
      <c r="BR42">
        <f>SUMPRODUCT((M_BOM[RM_Code]=$A42)*M_BOM[RM_Qty_Per_Batch]*IFERROR(INDEX(PP_Grid[#Data],M_BOM[PPGridRow],70),0))</f>
        <v/>
      </c>
      <c r="BS42">
        <f>SUMPRODUCT((M_BOM[RM_Code]=$A42)*M_BOM[RM_Qty_Per_Batch]*IFERROR(INDEX(PP_Grid[#Data],M_BOM[PPGridRow],71),0))</f>
        <v/>
      </c>
      <c r="BT42">
        <f>SUMPRODUCT((M_BOM[RM_Code]=$A42)*M_BOM[RM_Qty_Per_Batch]*IFERROR(INDEX(PP_Grid[#Data],M_BOM[PPGridRow],72),0))</f>
        <v/>
      </c>
      <c r="BU42">
        <f>SUMPRODUCT((M_BOM[RM_Code]=$A42)*M_BOM[RM_Qty_Per_Batch]*IFERROR(INDEX(PP_Grid[#Data],M_BOM[PPGridRow],73),0))</f>
        <v/>
      </c>
      <c r="BV42">
        <f>SUMPRODUCT((M_BOM[RM_Code]=$A42)*M_BOM[RM_Qty_Per_Batch]*IFERROR(INDEX(PP_Grid[#Data],M_BOM[PPGridRow],74),0))</f>
        <v/>
      </c>
      <c r="BW42">
        <f>SUMPRODUCT((M_BOM[RM_Code]=$A42)*M_BOM[RM_Qty_Per_Batch]*IFERROR(INDEX(PP_Grid[#Data],M_BOM[PPGridRow],75),0))</f>
        <v/>
      </c>
      <c r="BX42">
        <f>SUMPRODUCT((M_BOM[RM_Code]=$A42)*M_BOM[RM_Qty_Per_Batch]*IFERROR(INDEX(PP_Grid[#Data],M_BOM[PPGridRow],76),0))</f>
        <v/>
      </c>
      <c r="BY42">
        <f>SUMPRODUCT((M_BOM[RM_Code]=$A42)*M_BOM[RM_Qty_Per_Batch]*IFERROR(INDEX(PP_Grid[#Data],M_BOM[PPGridRow],77),0))</f>
        <v/>
      </c>
      <c r="BZ42">
        <f>SUMPRODUCT((M_BOM[RM_Code]=$A42)*M_BOM[RM_Qty_Per_Batch]*IFERROR(INDEX(PP_Grid[#Data],M_BOM[PPGridRow],78),0))</f>
        <v/>
      </c>
      <c r="CA42">
        <f>SUMPRODUCT((M_BOM[RM_Code]=$A42)*M_BOM[RM_Qty_Per_Batch]*IFERROR(INDEX(PP_Grid[#Data],M_BOM[PPGridRow],79),0))</f>
        <v/>
      </c>
      <c r="CB42">
        <f>SUMPRODUCT((M_BOM[RM_Code]=$A42)*M_BOM[RM_Qty_Per_Batch]*IFERROR(INDEX(PP_Grid[#Data],M_BOM[PPGridRow],80),0))</f>
        <v/>
      </c>
      <c r="CC42">
        <f>SUMPRODUCT((M_BOM[RM_Code]=$A42)*M_BOM[RM_Qty_Per_Batch]*IFERROR(INDEX(PP_Grid[#Data],M_BOM[PPGridRow],81),0))</f>
        <v/>
      </c>
      <c r="CD42">
        <f>SUMPRODUCT((M_BOM[RM_Code]=$A42)*M_BOM[RM_Qty_Per_Batch]*IFERROR(INDEX(PP_Grid[#Data],M_BOM[PPGridRow],82),0))</f>
        <v/>
      </c>
      <c r="CE42">
        <f>SUMPRODUCT((M_BOM[RM_Code]=$A42)*M_BOM[RM_Qty_Per_Batch]*IFERROR(INDEX(PP_Grid[#Data],M_BOM[PPGridRow],83),0))</f>
        <v/>
      </c>
      <c r="CF42">
        <f>SUMPRODUCT((M_BOM[RM_Code]=$A42)*M_BOM[RM_Qty_Per_Batch]*IFERROR(INDEX(PP_Grid[#Data],M_BOM[PPGridRow],84),0))</f>
        <v/>
      </c>
      <c r="CG42">
        <f>SUMPRODUCT((M_BOM[RM_Code]=$A42)*M_BOM[RM_Qty_Per_Batch]*IFERROR(INDEX(PP_Grid[#Data],M_BOM[PPGridRow],85),0))</f>
        <v/>
      </c>
      <c r="CH42">
        <f>SUMPRODUCT((M_BOM[RM_Code]=$A42)*M_BOM[RM_Qty_Per_Batch]*IFERROR(INDEX(PP_Grid[#Data],M_BOM[PPGridRow],86),0))</f>
        <v/>
      </c>
      <c r="CI42">
        <f>SUMPRODUCT((M_BOM[RM_Code]=$A42)*M_BOM[RM_Qty_Per_Batch]*IFERROR(INDEX(PP_Grid[#Data],M_BOM[PPGridRow],87),0))</f>
        <v/>
      </c>
      <c r="CJ42">
        <f>SUMPRODUCT((M_BOM[RM_Code]=$A42)*M_BOM[RM_Qty_Per_Batch]*IFERROR(INDEX(PP_Grid[#Data],M_BOM[PPGridRow],88),0))</f>
        <v/>
      </c>
      <c r="CK42">
        <f>SUMPRODUCT((M_BOM[RM_Code]=$A42)*M_BOM[RM_Qty_Per_Batch]*IFERROR(INDEX(PP_Grid[#Data],M_BOM[PPGridRow],89),0))</f>
        <v/>
      </c>
      <c r="CL42">
        <f>SUMPRODUCT((M_BOM[RM_Code]=$A42)*M_BOM[RM_Qty_Per_Batch]*IFERROR(INDEX(PP_Grid[#Data],M_BOM[PPGridRow],90),0))</f>
        <v/>
      </c>
      <c r="CM42">
        <f>SUMPRODUCT((M_BOM[RM_Code]=$A42)*M_BOM[RM_Qty_Per_Batch]*IFERROR(INDEX(PP_Grid[#Data],M_BOM[PPGridRow],91),0))</f>
        <v/>
      </c>
      <c r="CN42">
        <f>SUMPRODUCT((M_BOM[RM_Code]=$A42)*M_BOM[RM_Qty_Per_Batch]*IFERROR(INDEX(PP_Grid[#Data],M_BOM[PPGridRow],92),0))</f>
        <v/>
      </c>
      <c r="CO42">
        <f>SUMPRODUCT((M_BOM[RM_Code]=$A42)*M_BOM[RM_Qty_Per_Batch]*IFERROR(INDEX(PP_Grid[#Data],M_BOM[PPGridRow],93),0))</f>
        <v/>
      </c>
      <c r="CP42">
        <f>SUMPRODUCT((M_BOM[RM_Code]=$A42)*M_BOM[RM_Qty_Per_Batch]*IFERROR(INDEX(PP_Grid[#Data],M_BOM[PPGridRow],94),0))</f>
        <v/>
      </c>
      <c r="CQ42">
        <f>SUMPRODUCT((M_BOM[RM_Code]=$A42)*M_BOM[RM_Qty_Per_Batch]*IFERROR(INDEX(PP_Grid[#Data],M_BOM[PPGridRow],95),0))</f>
        <v/>
      </c>
      <c r="CR42">
        <f>SUMPRODUCT((M_BOM[RM_Code]=$A42)*M_BOM[RM_Qty_Per_Batch]*IFERROR(INDEX(PP_Grid[#Data],M_BOM[PPGridRow],96),0))</f>
        <v/>
      </c>
      <c r="CS42">
        <f>SUMPRODUCT((M_BOM[RM_Code]=$A42)*M_BOM[RM_Qty_Per_Batch]*IFERROR(INDEX(PP_Grid[#Data],M_BOM[PPGridRow],97),0))</f>
        <v/>
      </c>
      <c r="CT42">
        <f>SUMPRODUCT((M_BOM[RM_Code]=$A42)*M_BOM[RM_Qty_Per_Batch]*IFERROR(INDEX(PP_Grid[#Data],M_BOM[PPGridRow],98),0))</f>
        <v/>
      </c>
      <c r="CU42">
        <f>SUMPRODUCT((M_BOM[RM_Code]=$A42)*M_BOM[RM_Qty_Per_Batch]*IFERROR(INDEX(PP_Grid[#Data],M_BOM[PPGridRow],99),0))</f>
        <v/>
      </c>
      <c r="CV42">
        <f>SUMPRODUCT((M_BOM[RM_Code]=$A42)*M_BOM[RM_Qty_Per_Batch]*IFERROR(INDEX(PP_Grid[#Data],M_BOM[PPGridRow],100),0))</f>
        <v/>
      </c>
      <c r="CW42">
        <f>SUMPRODUCT((M_BOM[RM_Code]=$A42)*M_BOM[RM_Qty_Per_Batch]*IFERROR(INDEX(PP_Grid[#Data],M_BOM[PPGridRow],101),0))</f>
        <v/>
      </c>
      <c r="CX42">
        <f>SUMPRODUCT((M_BOM[RM_Code]=$A42)*M_BOM[RM_Qty_Per_Batch]*IFERROR(INDEX(PP_Grid[#Data],M_BOM[PPGridRow],102),0))</f>
        <v/>
      </c>
      <c r="CY42">
        <f>SUMPRODUCT((M_BOM[RM_Code]=$A42)*M_BOM[RM_Qty_Per_Batch]*IFERROR(INDEX(PP_Grid[#Data],M_BOM[PPGridRow],103),0))</f>
        <v/>
      </c>
      <c r="CZ42">
        <f>SUMPRODUCT((M_BOM[RM_Code]=$A42)*M_BOM[RM_Qty_Per_Batch]*IFERROR(INDEX(PP_Grid[#Data],M_BOM[PPGridRow],104),0))</f>
        <v/>
      </c>
      <c r="DA42">
        <f>SUMPRODUCT((M_BOM[RM_Code]=$A42)*M_BOM[RM_Qty_Per_Batch]*IFERROR(INDEX(PP_Grid[#Data],M_BOM[PPGridRow],105),0))</f>
        <v/>
      </c>
    </row>
    <row r="43">
      <c r="A43" t="inlineStr">
        <is>
          <t>CHEM-1110</t>
        </is>
      </c>
      <c r="B43">
        <f>SUMPRODUCT((M_BOM[RM_Code]=$A43)*M_BOM[RM_Qty_Per_Batch]*IFERROR(INDEX(PP_Grid[#Data],M_BOM[PPGridRow],2),0))</f>
        <v/>
      </c>
      <c r="C43">
        <f>SUMPRODUCT((M_BOM[RM_Code]=$A43)*M_BOM[RM_Qty_Per_Batch]*IFERROR(INDEX(PP_Grid[#Data],M_BOM[PPGridRow],3),0))</f>
        <v/>
      </c>
      <c r="D43">
        <f>SUMPRODUCT((M_BOM[RM_Code]=$A43)*M_BOM[RM_Qty_Per_Batch]*IFERROR(INDEX(PP_Grid[#Data],M_BOM[PPGridRow],4),0))</f>
        <v/>
      </c>
      <c r="E43">
        <f>SUMPRODUCT((M_BOM[RM_Code]=$A43)*M_BOM[RM_Qty_Per_Batch]*IFERROR(INDEX(PP_Grid[#Data],M_BOM[PPGridRow],5),0))</f>
        <v/>
      </c>
      <c r="F43">
        <f>SUMPRODUCT((M_BOM[RM_Code]=$A43)*M_BOM[RM_Qty_Per_Batch]*IFERROR(INDEX(PP_Grid[#Data],M_BOM[PPGridRow],6),0))</f>
        <v/>
      </c>
      <c r="G43">
        <f>SUMPRODUCT((M_BOM[RM_Code]=$A43)*M_BOM[RM_Qty_Per_Batch]*IFERROR(INDEX(PP_Grid[#Data],M_BOM[PPGridRow],7),0))</f>
        <v/>
      </c>
      <c r="H43">
        <f>SUMPRODUCT((M_BOM[RM_Code]=$A43)*M_BOM[RM_Qty_Per_Batch]*IFERROR(INDEX(PP_Grid[#Data],M_BOM[PPGridRow],8),0))</f>
        <v/>
      </c>
      <c r="I43">
        <f>SUMPRODUCT((M_BOM[RM_Code]=$A43)*M_BOM[RM_Qty_Per_Batch]*IFERROR(INDEX(PP_Grid[#Data],M_BOM[PPGridRow],9),0))</f>
        <v/>
      </c>
      <c r="J43">
        <f>SUMPRODUCT((M_BOM[RM_Code]=$A43)*M_BOM[RM_Qty_Per_Batch]*IFERROR(INDEX(PP_Grid[#Data],M_BOM[PPGridRow],10),0))</f>
        <v/>
      </c>
      <c r="K43">
        <f>SUMPRODUCT((M_BOM[RM_Code]=$A43)*M_BOM[RM_Qty_Per_Batch]*IFERROR(INDEX(PP_Grid[#Data],M_BOM[PPGridRow],11),0))</f>
        <v/>
      </c>
      <c r="L43">
        <f>SUMPRODUCT((M_BOM[RM_Code]=$A43)*M_BOM[RM_Qty_Per_Batch]*IFERROR(INDEX(PP_Grid[#Data],M_BOM[PPGridRow],12),0))</f>
        <v/>
      </c>
      <c r="M43">
        <f>SUMPRODUCT((M_BOM[RM_Code]=$A43)*M_BOM[RM_Qty_Per_Batch]*IFERROR(INDEX(PP_Grid[#Data],M_BOM[PPGridRow],13),0))</f>
        <v/>
      </c>
      <c r="N43">
        <f>SUMPRODUCT((M_BOM[RM_Code]=$A43)*M_BOM[RM_Qty_Per_Batch]*IFERROR(INDEX(PP_Grid[#Data],M_BOM[PPGridRow],14),0))</f>
        <v/>
      </c>
      <c r="O43">
        <f>SUMPRODUCT((M_BOM[RM_Code]=$A43)*M_BOM[RM_Qty_Per_Batch]*IFERROR(INDEX(PP_Grid[#Data],M_BOM[PPGridRow],15),0))</f>
        <v/>
      </c>
      <c r="P43">
        <f>SUMPRODUCT((M_BOM[RM_Code]=$A43)*M_BOM[RM_Qty_Per_Batch]*IFERROR(INDEX(PP_Grid[#Data],M_BOM[PPGridRow],16),0))</f>
        <v/>
      </c>
      <c r="Q43">
        <f>SUMPRODUCT((M_BOM[RM_Code]=$A43)*M_BOM[RM_Qty_Per_Batch]*IFERROR(INDEX(PP_Grid[#Data],M_BOM[PPGridRow],17),0))</f>
        <v/>
      </c>
      <c r="R43">
        <f>SUMPRODUCT((M_BOM[RM_Code]=$A43)*M_BOM[RM_Qty_Per_Batch]*IFERROR(INDEX(PP_Grid[#Data],M_BOM[PPGridRow],18),0))</f>
        <v/>
      </c>
      <c r="S43">
        <f>SUMPRODUCT((M_BOM[RM_Code]=$A43)*M_BOM[RM_Qty_Per_Batch]*IFERROR(INDEX(PP_Grid[#Data],M_BOM[PPGridRow],19),0))</f>
        <v/>
      </c>
      <c r="T43">
        <f>SUMPRODUCT((M_BOM[RM_Code]=$A43)*M_BOM[RM_Qty_Per_Batch]*IFERROR(INDEX(PP_Grid[#Data],M_BOM[PPGridRow],20),0))</f>
        <v/>
      </c>
      <c r="U43">
        <f>SUMPRODUCT((M_BOM[RM_Code]=$A43)*M_BOM[RM_Qty_Per_Batch]*IFERROR(INDEX(PP_Grid[#Data],M_BOM[PPGridRow],21),0))</f>
        <v/>
      </c>
      <c r="V43">
        <f>SUMPRODUCT((M_BOM[RM_Code]=$A43)*M_BOM[RM_Qty_Per_Batch]*IFERROR(INDEX(PP_Grid[#Data],M_BOM[PPGridRow],22),0))</f>
        <v/>
      </c>
      <c r="W43">
        <f>SUMPRODUCT((M_BOM[RM_Code]=$A43)*M_BOM[RM_Qty_Per_Batch]*IFERROR(INDEX(PP_Grid[#Data],M_BOM[PPGridRow],23),0))</f>
        <v/>
      </c>
      <c r="X43">
        <f>SUMPRODUCT((M_BOM[RM_Code]=$A43)*M_BOM[RM_Qty_Per_Batch]*IFERROR(INDEX(PP_Grid[#Data],M_BOM[PPGridRow],24),0))</f>
        <v/>
      </c>
      <c r="Y43">
        <f>SUMPRODUCT((M_BOM[RM_Code]=$A43)*M_BOM[RM_Qty_Per_Batch]*IFERROR(INDEX(PP_Grid[#Data],M_BOM[PPGridRow],25),0))</f>
        <v/>
      </c>
      <c r="Z43">
        <f>SUMPRODUCT((M_BOM[RM_Code]=$A43)*M_BOM[RM_Qty_Per_Batch]*IFERROR(INDEX(PP_Grid[#Data],M_BOM[PPGridRow],26),0))</f>
        <v/>
      </c>
      <c r="AA43">
        <f>SUMPRODUCT((M_BOM[RM_Code]=$A43)*M_BOM[RM_Qty_Per_Batch]*IFERROR(INDEX(PP_Grid[#Data],M_BOM[PPGridRow],27),0))</f>
        <v/>
      </c>
      <c r="AB43">
        <f>SUMPRODUCT((M_BOM[RM_Code]=$A43)*M_BOM[RM_Qty_Per_Batch]*IFERROR(INDEX(PP_Grid[#Data],M_BOM[PPGridRow],28),0))</f>
        <v/>
      </c>
      <c r="AC43">
        <f>SUMPRODUCT((M_BOM[RM_Code]=$A43)*M_BOM[RM_Qty_Per_Batch]*IFERROR(INDEX(PP_Grid[#Data],M_BOM[PPGridRow],29),0))</f>
        <v/>
      </c>
      <c r="AD43">
        <f>SUMPRODUCT((M_BOM[RM_Code]=$A43)*M_BOM[RM_Qty_Per_Batch]*IFERROR(INDEX(PP_Grid[#Data],M_BOM[PPGridRow],30),0))</f>
        <v/>
      </c>
      <c r="AE43">
        <f>SUMPRODUCT((M_BOM[RM_Code]=$A43)*M_BOM[RM_Qty_Per_Batch]*IFERROR(INDEX(PP_Grid[#Data],M_BOM[PPGridRow],31),0))</f>
        <v/>
      </c>
      <c r="AF43">
        <f>SUMPRODUCT((M_BOM[RM_Code]=$A43)*M_BOM[RM_Qty_Per_Batch]*IFERROR(INDEX(PP_Grid[#Data],M_BOM[PPGridRow],32),0))</f>
        <v/>
      </c>
      <c r="AG43">
        <f>SUMPRODUCT((M_BOM[RM_Code]=$A43)*M_BOM[RM_Qty_Per_Batch]*IFERROR(INDEX(PP_Grid[#Data],M_BOM[PPGridRow],33),0))</f>
        <v/>
      </c>
      <c r="AH43">
        <f>SUMPRODUCT((M_BOM[RM_Code]=$A43)*M_BOM[RM_Qty_Per_Batch]*IFERROR(INDEX(PP_Grid[#Data],M_BOM[PPGridRow],34),0))</f>
        <v/>
      </c>
      <c r="AI43">
        <f>SUMPRODUCT((M_BOM[RM_Code]=$A43)*M_BOM[RM_Qty_Per_Batch]*IFERROR(INDEX(PP_Grid[#Data],M_BOM[PPGridRow],35),0))</f>
        <v/>
      </c>
      <c r="AJ43">
        <f>SUMPRODUCT((M_BOM[RM_Code]=$A43)*M_BOM[RM_Qty_Per_Batch]*IFERROR(INDEX(PP_Grid[#Data],M_BOM[PPGridRow],36),0))</f>
        <v/>
      </c>
      <c r="AK43">
        <f>SUMPRODUCT((M_BOM[RM_Code]=$A43)*M_BOM[RM_Qty_Per_Batch]*IFERROR(INDEX(PP_Grid[#Data],M_BOM[PPGridRow],37),0))</f>
        <v/>
      </c>
      <c r="AL43">
        <f>SUMPRODUCT((M_BOM[RM_Code]=$A43)*M_BOM[RM_Qty_Per_Batch]*IFERROR(INDEX(PP_Grid[#Data],M_BOM[PPGridRow],38),0))</f>
        <v/>
      </c>
      <c r="AM43">
        <f>SUMPRODUCT((M_BOM[RM_Code]=$A43)*M_BOM[RM_Qty_Per_Batch]*IFERROR(INDEX(PP_Grid[#Data],M_BOM[PPGridRow],39),0))</f>
        <v/>
      </c>
      <c r="AN43">
        <f>SUMPRODUCT((M_BOM[RM_Code]=$A43)*M_BOM[RM_Qty_Per_Batch]*IFERROR(INDEX(PP_Grid[#Data],M_BOM[PPGridRow],40),0))</f>
        <v/>
      </c>
      <c r="AO43">
        <f>SUMPRODUCT((M_BOM[RM_Code]=$A43)*M_BOM[RM_Qty_Per_Batch]*IFERROR(INDEX(PP_Grid[#Data],M_BOM[PPGridRow],41),0))</f>
        <v/>
      </c>
      <c r="AP43">
        <f>SUMPRODUCT((M_BOM[RM_Code]=$A43)*M_BOM[RM_Qty_Per_Batch]*IFERROR(INDEX(PP_Grid[#Data],M_BOM[PPGridRow],42),0))</f>
        <v/>
      </c>
      <c r="AQ43">
        <f>SUMPRODUCT((M_BOM[RM_Code]=$A43)*M_BOM[RM_Qty_Per_Batch]*IFERROR(INDEX(PP_Grid[#Data],M_BOM[PPGridRow],43),0))</f>
        <v/>
      </c>
      <c r="AR43">
        <f>SUMPRODUCT((M_BOM[RM_Code]=$A43)*M_BOM[RM_Qty_Per_Batch]*IFERROR(INDEX(PP_Grid[#Data],M_BOM[PPGridRow],44),0))</f>
        <v/>
      </c>
      <c r="AS43">
        <f>SUMPRODUCT((M_BOM[RM_Code]=$A43)*M_BOM[RM_Qty_Per_Batch]*IFERROR(INDEX(PP_Grid[#Data],M_BOM[PPGridRow],45),0))</f>
        <v/>
      </c>
      <c r="AT43">
        <f>SUMPRODUCT((M_BOM[RM_Code]=$A43)*M_BOM[RM_Qty_Per_Batch]*IFERROR(INDEX(PP_Grid[#Data],M_BOM[PPGridRow],46),0))</f>
        <v/>
      </c>
      <c r="AU43">
        <f>SUMPRODUCT((M_BOM[RM_Code]=$A43)*M_BOM[RM_Qty_Per_Batch]*IFERROR(INDEX(PP_Grid[#Data],M_BOM[PPGridRow],47),0))</f>
        <v/>
      </c>
      <c r="AV43">
        <f>SUMPRODUCT((M_BOM[RM_Code]=$A43)*M_BOM[RM_Qty_Per_Batch]*IFERROR(INDEX(PP_Grid[#Data],M_BOM[PPGridRow],48),0))</f>
        <v/>
      </c>
      <c r="AW43">
        <f>SUMPRODUCT((M_BOM[RM_Code]=$A43)*M_BOM[RM_Qty_Per_Batch]*IFERROR(INDEX(PP_Grid[#Data],M_BOM[PPGridRow],49),0))</f>
        <v/>
      </c>
      <c r="AX43">
        <f>SUMPRODUCT((M_BOM[RM_Code]=$A43)*M_BOM[RM_Qty_Per_Batch]*IFERROR(INDEX(PP_Grid[#Data],M_BOM[PPGridRow],50),0))</f>
        <v/>
      </c>
      <c r="AY43">
        <f>SUMPRODUCT((M_BOM[RM_Code]=$A43)*M_BOM[RM_Qty_Per_Batch]*IFERROR(INDEX(PP_Grid[#Data],M_BOM[PPGridRow],51),0))</f>
        <v/>
      </c>
      <c r="AZ43">
        <f>SUMPRODUCT((M_BOM[RM_Code]=$A43)*M_BOM[RM_Qty_Per_Batch]*IFERROR(INDEX(PP_Grid[#Data],M_BOM[PPGridRow],52),0))</f>
        <v/>
      </c>
      <c r="BA43">
        <f>SUMPRODUCT((M_BOM[RM_Code]=$A43)*M_BOM[RM_Qty_Per_Batch]*IFERROR(INDEX(PP_Grid[#Data],M_BOM[PPGridRow],53),0))</f>
        <v/>
      </c>
      <c r="BB43">
        <f>SUMPRODUCT((M_BOM[RM_Code]=$A43)*M_BOM[RM_Qty_Per_Batch]*IFERROR(INDEX(PP_Grid[#Data],M_BOM[PPGridRow],54),0))</f>
        <v/>
      </c>
      <c r="BC43">
        <f>SUMPRODUCT((M_BOM[RM_Code]=$A43)*M_BOM[RM_Qty_Per_Batch]*IFERROR(INDEX(PP_Grid[#Data],M_BOM[PPGridRow],55),0))</f>
        <v/>
      </c>
      <c r="BD43">
        <f>SUMPRODUCT((M_BOM[RM_Code]=$A43)*M_BOM[RM_Qty_Per_Batch]*IFERROR(INDEX(PP_Grid[#Data],M_BOM[PPGridRow],56),0))</f>
        <v/>
      </c>
      <c r="BE43">
        <f>SUMPRODUCT((M_BOM[RM_Code]=$A43)*M_BOM[RM_Qty_Per_Batch]*IFERROR(INDEX(PP_Grid[#Data],M_BOM[PPGridRow],57),0))</f>
        <v/>
      </c>
      <c r="BF43">
        <f>SUMPRODUCT((M_BOM[RM_Code]=$A43)*M_BOM[RM_Qty_Per_Batch]*IFERROR(INDEX(PP_Grid[#Data],M_BOM[PPGridRow],58),0))</f>
        <v/>
      </c>
      <c r="BG43">
        <f>SUMPRODUCT((M_BOM[RM_Code]=$A43)*M_BOM[RM_Qty_Per_Batch]*IFERROR(INDEX(PP_Grid[#Data],M_BOM[PPGridRow],59),0))</f>
        <v/>
      </c>
      <c r="BH43">
        <f>SUMPRODUCT((M_BOM[RM_Code]=$A43)*M_BOM[RM_Qty_Per_Batch]*IFERROR(INDEX(PP_Grid[#Data],M_BOM[PPGridRow],60),0))</f>
        <v/>
      </c>
      <c r="BI43">
        <f>SUMPRODUCT((M_BOM[RM_Code]=$A43)*M_BOM[RM_Qty_Per_Batch]*IFERROR(INDEX(PP_Grid[#Data],M_BOM[PPGridRow],61),0))</f>
        <v/>
      </c>
      <c r="BJ43">
        <f>SUMPRODUCT((M_BOM[RM_Code]=$A43)*M_BOM[RM_Qty_Per_Batch]*IFERROR(INDEX(PP_Grid[#Data],M_BOM[PPGridRow],62),0))</f>
        <v/>
      </c>
      <c r="BK43">
        <f>SUMPRODUCT((M_BOM[RM_Code]=$A43)*M_BOM[RM_Qty_Per_Batch]*IFERROR(INDEX(PP_Grid[#Data],M_BOM[PPGridRow],63),0))</f>
        <v/>
      </c>
      <c r="BL43">
        <f>SUMPRODUCT((M_BOM[RM_Code]=$A43)*M_BOM[RM_Qty_Per_Batch]*IFERROR(INDEX(PP_Grid[#Data],M_BOM[PPGridRow],64),0))</f>
        <v/>
      </c>
      <c r="BM43">
        <f>SUMPRODUCT((M_BOM[RM_Code]=$A43)*M_BOM[RM_Qty_Per_Batch]*IFERROR(INDEX(PP_Grid[#Data],M_BOM[PPGridRow],65),0))</f>
        <v/>
      </c>
      <c r="BN43">
        <f>SUMPRODUCT((M_BOM[RM_Code]=$A43)*M_BOM[RM_Qty_Per_Batch]*IFERROR(INDEX(PP_Grid[#Data],M_BOM[PPGridRow],66),0))</f>
        <v/>
      </c>
      <c r="BO43">
        <f>SUMPRODUCT((M_BOM[RM_Code]=$A43)*M_BOM[RM_Qty_Per_Batch]*IFERROR(INDEX(PP_Grid[#Data],M_BOM[PPGridRow],67),0))</f>
        <v/>
      </c>
      <c r="BP43">
        <f>SUMPRODUCT((M_BOM[RM_Code]=$A43)*M_BOM[RM_Qty_Per_Batch]*IFERROR(INDEX(PP_Grid[#Data],M_BOM[PPGridRow],68),0))</f>
        <v/>
      </c>
      <c r="BQ43">
        <f>SUMPRODUCT((M_BOM[RM_Code]=$A43)*M_BOM[RM_Qty_Per_Batch]*IFERROR(INDEX(PP_Grid[#Data],M_BOM[PPGridRow],69),0))</f>
        <v/>
      </c>
      <c r="BR43">
        <f>SUMPRODUCT((M_BOM[RM_Code]=$A43)*M_BOM[RM_Qty_Per_Batch]*IFERROR(INDEX(PP_Grid[#Data],M_BOM[PPGridRow],70),0))</f>
        <v/>
      </c>
      <c r="BS43">
        <f>SUMPRODUCT((M_BOM[RM_Code]=$A43)*M_BOM[RM_Qty_Per_Batch]*IFERROR(INDEX(PP_Grid[#Data],M_BOM[PPGridRow],71),0))</f>
        <v/>
      </c>
      <c r="BT43">
        <f>SUMPRODUCT((M_BOM[RM_Code]=$A43)*M_BOM[RM_Qty_Per_Batch]*IFERROR(INDEX(PP_Grid[#Data],M_BOM[PPGridRow],72),0))</f>
        <v/>
      </c>
      <c r="BU43">
        <f>SUMPRODUCT((M_BOM[RM_Code]=$A43)*M_BOM[RM_Qty_Per_Batch]*IFERROR(INDEX(PP_Grid[#Data],M_BOM[PPGridRow],73),0))</f>
        <v/>
      </c>
      <c r="BV43">
        <f>SUMPRODUCT((M_BOM[RM_Code]=$A43)*M_BOM[RM_Qty_Per_Batch]*IFERROR(INDEX(PP_Grid[#Data],M_BOM[PPGridRow],74),0))</f>
        <v/>
      </c>
      <c r="BW43">
        <f>SUMPRODUCT((M_BOM[RM_Code]=$A43)*M_BOM[RM_Qty_Per_Batch]*IFERROR(INDEX(PP_Grid[#Data],M_BOM[PPGridRow],75),0))</f>
        <v/>
      </c>
      <c r="BX43">
        <f>SUMPRODUCT((M_BOM[RM_Code]=$A43)*M_BOM[RM_Qty_Per_Batch]*IFERROR(INDEX(PP_Grid[#Data],M_BOM[PPGridRow],76),0))</f>
        <v/>
      </c>
      <c r="BY43">
        <f>SUMPRODUCT((M_BOM[RM_Code]=$A43)*M_BOM[RM_Qty_Per_Batch]*IFERROR(INDEX(PP_Grid[#Data],M_BOM[PPGridRow],77),0))</f>
        <v/>
      </c>
      <c r="BZ43">
        <f>SUMPRODUCT((M_BOM[RM_Code]=$A43)*M_BOM[RM_Qty_Per_Batch]*IFERROR(INDEX(PP_Grid[#Data],M_BOM[PPGridRow],78),0))</f>
        <v/>
      </c>
      <c r="CA43">
        <f>SUMPRODUCT((M_BOM[RM_Code]=$A43)*M_BOM[RM_Qty_Per_Batch]*IFERROR(INDEX(PP_Grid[#Data],M_BOM[PPGridRow],79),0))</f>
        <v/>
      </c>
      <c r="CB43">
        <f>SUMPRODUCT((M_BOM[RM_Code]=$A43)*M_BOM[RM_Qty_Per_Batch]*IFERROR(INDEX(PP_Grid[#Data],M_BOM[PPGridRow],80),0))</f>
        <v/>
      </c>
      <c r="CC43">
        <f>SUMPRODUCT((M_BOM[RM_Code]=$A43)*M_BOM[RM_Qty_Per_Batch]*IFERROR(INDEX(PP_Grid[#Data],M_BOM[PPGridRow],81),0))</f>
        <v/>
      </c>
      <c r="CD43">
        <f>SUMPRODUCT((M_BOM[RM_Code]=$A43)*M_BOM[RM_Qty_Per_Batch]*IFERROR(INDEX(PP_Grid[#Data],M_BOM[PPGridRow],82),0))</f>
        <v/>
      </c>
      <c r="CE43">
        <f>SUMPRODUCT((M_BOM[RM_Code]=$A43)*M_BOM[RM_Qty_Per_Batch]*IFERROR(INDEX(PP_Grid[#Data],M_BOM[PPGridRow],83),0))</f>
        <v/>
      </c>
      <c r="CF43">
        <f>SUMPRODUCT((M_BOM[RM_Code]=$A43)*M_BOM[RM_Qty_Per_Batch]*IFERROR(INDEX(PP_Grid[#Data],M_BOM[PPGridRow],84),0))</f>
        <v/>
      </c>
      <c r="CG43">
        <f>SUMPRODUCT((M_BOM[RM_Code]=$A43)*M_BOM[RM_Qty_Per_Batch]*IFERROR(INDEX(PP_Grid[#Data],M_BOM[PPGridRow],85),0))</f>
        <v/>
      </c>
      <c r="CH43">
        <f>SUMPRODUCT((M_BOM[RM_Code]=$A43)*M_BOM[RM_Qty_Per_Batch]*IFERROR(INDEX(PP_Grid[#Data],M_BOM[PPGridRow],86),0))</f>
        <v/>
      </c>
      <c r="CI43">
        <f>SUMPRODUCT((M_BOM[RM_Code]=$A43)*M_BOM[RM_Qty_Per_Batch]*IFERROR(INDEX(PP_Grid[#Data],M_BOM[PPGridRow],87),0))</f>
        <v/>
      </c>
      <c r="CJ43">
        <f>SUMPRODUCT((M_BOM[RM_Code]=$A43)*M_BOM[RM_Qty_Per_Batch]*IFERROR(INDEX(PP_Grid[#Data],M_BOM[PPGridRow],88),0))</f>
        <v/>
      </c>
      <c r="CK43">
        <f>SUMPRODUCT((M_BOM[RM_Code]=$A43)*M_BOM[RM_Qty_Per_Batch]*IFERROR(INDEX(PP_Grid[#Data],M_BOM[PPGridRow],89),0))</f>
        <v/>
      </c>
      <c r="CL43">
        <f>SUMPRODUCT((M_BOM[RM_Code]=$A43)*M_BOM[RM_Qty_Per_Batch]*IFERROR(INDEX(PP_Grid[#Data],M_BOM[PPGridRow],90),0))</f>
        <v/>
      </c>
      <c r="CM43">
        <f>SUMPRODUCT((M_BOM[RM_Code]=$A43)*M_BOM[RM_Qty_Per_Batch]*IFERROR(INDEX(PP_Grid[#Data],M_BOM[PPGridRow],91),0))</f>
        <v/>
      </c>
      <c r="CN43">
        <f>SUMPRODUCT((M_BOM[RM_Code]=$A43)*M_BOM[RM_Qty_Per_Batch]*IFERROR(INDEX(PP_Grid[#Data],M_BOM[PPGridRow],92),0))</f>
        <v/>
      </c>
      <c r="CO43">
        <f>SUMPRODUCT((M_BOM[RM_Code]=$A43)*M_BOM[RM_Qty_Per_Batch]*IFERROR(INDEX(PP_Grid[#Data],M_BOM[PPGridRow],93),0))</f>
        <v/>
      </c>
      <c r="CP43">
        <f>SUMPRODUCT((M_BOM[RM_Code]=$A43)*M_BOM[RM_Qty_Per_Batch]*IFERROR(INDEX(PP_Grid[#Data],M_BOM[PPGridRow],94),0))</f>
        <v/>
      </c>
      <c r="CQ43">
        <f>SUMPRODUCT((M_BOM[RM_Code]=$A43)*M_BOM[RM_Qty_Per_Batch]*IFERROR(INDEX(PP_Grid[#Data],M_BOM[PPGridRow],95),0))</f>
        <v/>
      </c>
      <c r="CR43">
        <f>SUMPRODUCT((M_BOM[RM_Code]=$A43)*M_BOM[RM_Qty_Per_Batch]*IFERROR(INDEX(PP_Grid[#Data],M_BOM[PPGridRow],96),0))</f>
        <v/>
      </c>
      <c r="CS43">
        <f>SUMPRODUCT((M_BOM[RM_Code]=$A43)*M_BOM[RM_Qty_Per_Batch]*IFERROR(INDEX(PP_Grid[#Data],M_BOM[PPGridRow],97),0))</f>
        <v/>
      </c>
      <c r="CT43">
        <f>SUMPRODUCT((M_BOM[RM_Code]=$A43)*M_BOM[RM_Qty_Per_Batch]*IFERROR(INDEX(PP_Grid[#Data],M_BOM[PPGridRow],98),0))</f>
        <v/>
      </c>
      <c r="CU43">
        <f>SUMPRODUCT((M_BOM[RM_Code]=$A43)*M_BOM[RM_Qty_Per_Batch]*IFERROR(INDEX(PP_Grid[#Data],M_BOM[PPGridRow],99),0))</f>
        <v/>
      </c>
      <c r="CV43">
        <f>SUMPRODUCT((M_BOM[RM_Code]=$A43)*M_BOM[RM_Qty_Per_Batch]*IFERROR(INDEX(PP_Grid[#Data],M_BOM[PPGridRow],100),0))</f>
        <v/>
      </c>
      <c r="CW43">
        <f>SUMPRODUCT((M_BOM[RM_Code]=$A43)*M_BOM[RM_Qty_Per_Batch]*IFERROR(INDEX(PP_Grid[#Data],M_BOM[PPGridRow],101),0))</f>
        <v/>
      </c>
      <c r="CX43">
        <f>SUMPRODUCT((M_BOM[RM_Code]=$A43)*M_BOM[RM_Qty_Per_Batch]*IFERROR(INDEX(PP_Grid[#Data],M_BOM[PPGridRow],102),0))</f>
        <v/>
      </c>
      <c r="CY43">
        <f>SUMPRODUCT((M_BOM[RM_Code]=$A43)*M_BOM[RM_Qty_Per_Batch]*IFERROR(INDEX(PP_Grid[#Data],M_BOM[PPGridRow],103),0))</f>
        <v/>
      </c>
      <c r="CZ43">
        <f>SUMPRODUCT((M_BOM[RM_Code]=$A43)*M_BOM[RM_Qty_Per_Batch]*IFERROR(INDEX(PP_Grid[#Data],M_BOM[PPGridRow],104),0))</f>
        <v/>
      </c>
      <c r="DA43">
        <f>SUMPRODUCT((M_BOM[RM_Code]=$A43)*M_BOM[RM_Qty_Per_Batch]*IFERROR(INDEX(PP_Grid[#Data],M_BOM[PPGridRow],105),0))</f>
        <v/>
      </c>
    </row>
    <row r="44">
      <c r="A44" t="inlineStr">
        <is>
          <t>CHEM-1120</t>
        </is>
      </c>
      <c r="B44">
        <f>SUMPRODUCT((M_BOM[RM_Code]=$A44)*M_BOM[RM_Qty_Per_Batch]*IFERROR(INDEX(PP_Grid[#Data],M_BOM[PPGridRow],2),0))</f>
        <v/>
      </c>
      <c r="C44">
        <f>SUMPRODUCT((M_BOM[RM_Code]=$A44)*M_BOM[RM_Qty_Per_Batch]*IFERROR(INDEX(PP_Grid[#Data],M_BOM[PPGridRow],3),0))</f>
        <v/>
      </c>
      <c r="D44">
        <f>SUMPRODUCT((M_BOM[RM_Code]=$A44)*M_BOM[RM_Qty_Per_Batch]*IFERROR(INDEX(PP_Grid[#Data],M_BOM[PPGridRow],4),0))</f>
        <v/>
      </c>
      <c r="E44">
        <f>SUMPRODUCT((M_BOM[RM_Code]=$A44)*M_BOM[RM_Qty_Per_Batch]*IFERROR(INDEX(PP_Grid[#Data],M_BOM[PPGridRow],5),0))</f>
        <v/>
      </c>
      <c r="F44">
        <f>SUMPRODUCT((M_BOM[RM_Code]=$A44)*M_BOM[RM_Qty_Per_Batch]*IFERROR(INDEX(PP_Grid[#Data],M_BOM[PPGridRow],6),0))</f>
        <v/>
      </c>
      <c r="G44">
        <f>SUMPRODUCT((M_BOM[RM_Code]=$A44)*M_BOM[RM_Qty_Per_Batch]*IFERROR(INDEX(PP_Grid[#Data],M_BOM[PPGridRow],7),0))</f>
        <v/>
      </c>
      <c r="H44">
        <f>SUMPRODUCT((M_BOM[RM_Code]=$A44)*M_BOM[RM_Qty_Per_Batch]*IFERROR(INDEX(PP_Grid[#Data],M_BOM[PPGridRow],8),0))</f>
        <v/>
      </c>
      <c r="I44">
        <f>SUMPRODUCT((M_BOM[RM_Code]=$A44)*M_BOM[RM_Qty_Per_Batch]*IFERROR(INDEX(PP_Grid[#Data],M_BOM[PPGridRow],9),0))</f>
        <v/>
      </c>
      <c r="J44">
        <f>SUMPRODUCT((M_BOM[RM_Code]=$A44)*M_BOM[RM_Qty_Per_Batch]*IFERROR(INDEX(PP_Grid[#Data],M_BOM[PPGridRow],10),0))</f>
        <v/>
      </c>
      <c r="K44">
        <f>SUMPRODUCT((M_BOM[RM_Code]=$A44)*M_BOM[RM_Qty_Per_Batch]*IFERROR(INDEX(PP_Grid[#Data],M_BOM[PPGridRow],11),0))</f>
        <v/>
      </c>
      <c r="L44">
        <f>SUMPRODUCT((M_BOM[RM_Code]=$A44)*M_BOM[RM_Qty_Per_Batch]*IFERROR(INDEX(PP_Grid[#Data],M_BOM[PPGridRow],12),0))</f>
        <v/>
      </c>
      <c r="M44">
        <f>SUMPRODUCT((M_BOM[RM_Code]=$A44)*M_BOM[RM_Qty_Per_Batch]*IFERROR(INDEX(PP_Grid[#Data],M_BOM[PPGridRow],13),0))</f>
        <v/>
      </c>
      <c r="N44">
        <f>SUMPRODUCT((M_BOM[RM_Code]=$A44)*M_BOM[RM_Qty_Per_Batch]*IFERROR(INDEX(PP_Grid[#Data],M_BOM[PPGridRow],14),0))</f>
        <v/>
      </c>
      <c r="O44">
        <f>SUMPRODUCT((M_BOM[RM_Code]=$A44)*M_BOM[RM_Qty_Per_Batch]*IFERROR(INDEX(PP_Grid[#Data],M_BOM[PPGridRow],15),0))</f>
        <v/>
      </c>
      <c r="P44">
        <f>SUMPRODUCT((M_BOM[RM_Code]=$A44)*M_BOM[RM_Qty_Per_Batch]*IFERROR(INDEX(PP_Grid[#Data],M_BOM[PPGridRow],16),0))</f>
        <v/>
      </c>
      <c r="Q44">
        <f>SUMPRODUCT((M_BOM[RM_Code]=$A44)*M_BOM[RM_Qty_Per_Batch]*IFERROR(INDEX(PP_Grid[#Data],M_BOM[PPGridRow],17),0))</f>
        <v/>
      </c>
      <c r="R44">
        <f>SUMPRODUCT((M_BOM[RM_Code]=$A44)*M_BOM[RM_Qty_Per_Batch]*IFERROR(INDEX(PP_Grid[#Data],M_BOM[PPGridRow],18),0))</f>
        <v/>
      </c>
      <c r="S44">
        <f>SUMPRODUCT((M_BOM[RM_Code]=$A44)*M_BOM[RM_Qty_Per_Batch]*IFERROR(INDEX(PP_Grid[#Data],M_BOM[PPGridRow],19),0))</f>
        <v/>
      </c>
      <c r="T44">
        <f>SUMPRODUCT((M_BOM[RM_Code]=$A44)*M_BOM[RM_Qty_Per_Batch]*IFERROR(INDEX(PP_Grid[#Data],M_BOM[PPGridRow],20),0))</f>
        <v/>
      </c>
      <c r="U44">
        <f>SUMPRODUCT((M_BOM[RM_Code]=$A44)*M_BOM[RM_Qty_Per_Batch]*IFERROR(INDEX(PP_Grid[#Data],M_BOM[PPGridRow],21),0))</f>
        <v/>
      </c>
      <c r="V44">
        <f>SUMPRODUCT((M_BOM[RM_Code]=$A44)*M_BOM[RM_Qty_Per_Batch]*IFERROR(INDEX(PP_Grid[#Data],M_BOM[PPGridRow],22),0))</f>
        <v/>
      </c>
      <c r="W44">
        <f>SUMPRODUCT((M_BOM[RM_Code]=$A44)*M_BOM[RM_Qty_Per_Batch]*IFERROR(INDEX(PP_Grid[#Data],M_BOM[PPGridRow],23),0))</f>
        <v/>
      </c>
      <c r="X44">
        <f>SUMPRODUCT((M_BOM[RM_Code]=$A44)*M_BOM[RM_Qty_Per_Batch]*IFERROR(INDEX(PP_Grid[#Data],M_BOM[PPGridRow],24),0))</f>
        <v/>
      </c>
      <c r="Y44">
        <f>SUMPRODUCT((M_BOM[RM_Code]=$A44)*M_BOM[RM_Qty_Per_Batch]*IFERROR(INDEX(PP_Grid[#Data],M_BOM[PPGridRow],25),0))</f>
        <v/>
      </c>
      <c r="Z44">
        <f>SUMPRODUCT((M_BOM[RM_Code]=$A44)*M_BOM[RM_Qty_Per_Batch]*IFERROR(INDEX(PP_Grid[#Data],M_BOM[PPGridRow],26),0))</f>
        <v/>
      </c>
      <c r="AA44">
        <f>SUMPRODUCT((M_BOM[RM_Code]=$A44)*M_BOM[RM_Qty_Per_Batch]*IFERROR(INDEX(PP_Grid[#Data],M_BOM[PPGridRow],27),0))</f>
        <v/>
      </c>
      <c r="AB44">
        <f>SUMPRODUCT((M_BOM[RM_Code]=$A44)*M_BOM[RM_Qty_Per_Batch]*IFERROR(INDEX(PP_Grid[#Data],M_BOM[PPGridRow],28),0))</f>
        <v/>
      </c>
      <c r="AC44">
        <f>SUMPRODUCT((M_BOM[RM_Code]=$A44)*M_BOM[RM_Qty_Per_Batch]*IFERROR(INDEX(PP_Grid[#Data],M_BOM[PPGridRow],29),0))</f>
        <v/>
      </c>
      <c r="AD44">
        <f>SUMPRODUCT((M_BOM[RM_Code]=$A44)*M_BOM[RM_Qty_Per_Batch]*IFERROR(INDEX(PP_Grid[#Data],M_BOM[PPGridRow],30),0))</f>
        <v/>
      </c>
      <c r="AE44">
        <f>SUMPRODUCT((M_BOM[RM_Code]=$A44)*M_BOM[RM_Qty_Per_Batch]*IFERROR(INDEX(PP_Grid[#Data],M_BOM[PPGridRow],31),0))</f>
        <v/>
      </c>
      <c r="AF44">
        <f>SUMPRODUCT((M_BOM[RM_Code]=$A44)*M_BOM[RM_Qty_Per_Batch]*IFERROR(INDEX(PP_Grid[#Data],M_BOM[PPGridRow],32),0))</f>
        <v/>
      </c>
      <c r="AG44">
        <f>SUMPRODUCT((M_BOM[RM_Code]=$A44)*M_BOM[RM_Qty_Per_Batch]*IFERROR(INDEX(PP_Grid[#Data],M_BOM[PPGridRow],33),0))</f>
        <v/>
      </c>
      <c r="AH44">
        <f>SUMPRODUCT((M_BOM[RM_Code]=$A44)*M_BOM[RM_Qty_Per_Batch]*IFERROR(INDEX(PP_Grid[#Data],M_BOM[PPGridRow],34),0))</f>
        <v/>
      </c>
      <c r="AI44">
        <f>SUMPRODUCT((M_BOM[RM_Code]=$A44)*M_BOM[RM_Qty_Per_Batch]*IFERROR(INDEX(PP_Grid[#Data],M_BOM[PPGridRow],35),0))</f>
        <v/>
      </c>
      <c r="AJ44">
        <f>SUMPRODUCT((M_BOM[RM_Code]=$A44)*M_BOM[RM_Qty_Per_Batch]*IFERROR(INDEX(PP_Grid[#Data],M_BOM[PPGridRow],36),0))</f>
        <v/>
      </c>
      <c r="AK44">
        <f>SUMPRODUCT((M_BOM[RM_Code]=$A44)*M_BOM[RM_Qty_Per_Batch]*IFERROR(INDEX(PP_Grid[#Data],M_BOM[PPGridRow],37),0))</f>
        <v/>
      </c>
      <c r="AL44">
        <f>SUMPRODUCT((M_BOM[RM_Code]=$A44)*M_BOM[RM_Qty_Per_Batch]*IFERROR(INDEX(PP_Grid[#Data],M_BOM[PPGridRow],38),0))</f>
        <v/>
      </c>
      <c r="AM44">
        <f>SUMPRODUCT((M_BOM[RM_Code]=$A44)*M_BOM[RM_Qty_Per_Batch]*IFERROR(INDEX(PP_Grid[#Data],M_BOM[PPGridRow],39),0))</f>
        <v/>
      </c>
      <c r="AN44">
        <f>SUMPRODUCT((M_BOM[RM_Code]=$A44)*M_BOM[RM_Qty_Per_Batch]*IFERROR(INDEX(PP_Grid[#Data],M_BOM[PPGridRow],40),0))</f>
        <v/>
      </c>
      <c r="AO44">
        <f>SUMPRODUCT((M_BOM[RM_Code]=$A44)*M_BOM[RM_Qty_Per_Batch]*IFERROR(INDEX(PP_Grid[#Data],M_BOM[PPGridRow],41),0))</f>
        <v/>
      </c>
      <c r="AP44">
        <f>SUMPRODUCT((M_BOM[RM_Code]=$A44)*M_BOM[RM_Qty_Per_Batch]*IFERROR(INDEX(PP_Grid[#Data],M_BOM[PPGridRow],42),0))</f>
        <v/>
      </c>
      <c r="AQ44">
        <f>SUMPRODUCT((M_BOM[RM_Code]=$A44)*M_BOM[RM_Qty_Per_Batch]*IFERROR(INDEX(PP_Grid[#Data],M_BOM[PPGridRow],43),0))</f>
        <v/>
      </c>
      <c r="AR44">
        <f>SUMPRODUCT((M_BOM[RM_Code]=$A44)*M_BOM[RM_Qty_Per_Batch]*IFERROR(INDEX(PP_Grid[#Data],M_BOM[PPGridRow],44),0))</f>
        <v/>
      </c>
      <c r="AS44">
        <f>SUMPRODUCT((M_BOM[RM_Code]=$A44)*M_BOM[RM_Qty_Per_Batch]*IFERROR(INDEX(PP_Grid[#Data],M_BOM[PPGridRow],45),0))</f>
        <v/>
      </c>
      <c r="AT44">
        <f>SUMPRODUCT((M_BOM[RM_Code]=$A44)*M_BOM[RM_Qty_Per_Batch]*IFERROR(INDEX(PP_Grid[#Data],M_BOM[PPGridRow],46),0))</f>
        <v/>
      </c>
      <c r="AU44">
        <f>SUMPRODUCT((M_BOM[RM_Code]=$A44)*M_BOM[RM_Qty_Per_Batch]*IFERROR(INDEX(PP_Grid[#Data],M_BOM[PPGridRow],47),0))</f>
        <v/>
      </c>
      <c r="AV44">
        <f>SUMPRODUCT((M_BOM[RM_Code]=$A44)*M_BOM[RM_Qty_Per_Batch]*IFERROR(INDEX(PP_Grid[#Data],M_BOM[PPGridRow],48),0))</f>
        <v/>
      </c>
      <c r="AW44">
        <f>SUMPRODUCT((M_BOM[RM_Code]=$A44)*M_BOM[RM_Qty_Per_Batch]*IFERROR(INDEX(PP_Grid[#Data],M_BOM[PPGridRow],49),0))</f>
        <v/>
      </c>
      <c r="AX44">
        <f>SUMPRODUCT((M_BOM[RM_Code]=$A44)*M_BOM[RM_Qty_Per_Batch]*IFERROR(INDEX(PP_Grid[#Data],M_BOM[PPGridRow],50),0))</f>
        <v/>
      </c>
      <c r="AY44">
        <f>SUMPRODUCT((M_BOM[RM_Code]=$A44)*M_BOM[RM_Qty_Per_Batch]*IFERROR(INDEX(PP_Grid[#Data],M_BOM[PPGridRow],51),0))</f>
        <v/>
      </c>
      <c r="AZ44">
        <f>SUMPRODUCT((M_BOM[RM_Code]=$A44)*M_BOM[RM_Qty_Per_Batch]*IFERROR(INDEX(PP_Grid[#Data],M_BOM[PPGridRow],52),0))</f>
        <v/>
      </c>
      <c r="BA44">
        <f>SUMPRODUCT((M_BOM[RM_Code]=$A44)*M_BOM[RM_Qty_Per_Batch]*IFERROR(INDEX(PP_Grid[#Data],M_BOM[PPGridRow],53),0))</f>
        <v/>
      </c>
      <c r="BB44">
        <f>SUMPRODUCT((M_BOM[RM_Code]=$A44)*M_BOM[RM_Qty_Per_Batch]*IFERROR(INDEX(PP_Grid[#Data],M_BOM[PPGridRow],54),0))</f>
        <v/>
      </c>
      <c r="BC44">
        <f>SUMPRODUCT((M_BOM[RM_Code]=$A44)*M_BOM[RM_Qty_Per_Batch]*IFERROR(INDEX(PP_Grid[#Data],M_BOM[PPGridRow],55),0))</f>
        <v/>
      </c>
      <c r="BD44">
        <f>SUMPRODUCT((M_BOM[RM_Code]=$A44)*M_BOM[RM_Qty_Per_Batch]*IFERROR(INDEX(PP_Grid[#Data],M_BOM[PPGridRow],56),0))</f>
        <v/>
      </c>
      <c r="BE44">
        <f>SUMPRODUCT((M_BOM[RM_Code]=$A44)*M_BOM[RM_Qty_Per_Batch]*IFERROR(INDEX(PP_Grid[#Data],M_BOM[PPGridRow],57),0))</f>
        <v/>
      </c>
      <c r="BF44">
        <f>SUMPRODUCT((M_BOM[RM_Code]=$A44)*M_BOM[RM_Qty_Per_Batch]*IFERROR(INDEX(PP_Grid[#Data],M_BOM[PPGridRow],58),0))</f>
        <v/>
      </c>
      <c r="BG44">
        <f>SUMPRODUCT((M_BOM[RM_Code]=$A44)*M_BOM[RM_Qty_Per_Batch]*IFERROR(INDEX(PP_Grid[#Data],M_BOM[PPGridRow],59),0))</f>
        <v/>
      </c>
      <c r="BH44">
        <f>SUMPRODUCT((M_BOM[RM_Code]=$A44)*M_BOM[RM_Qty_Per_Batch]*IFERROR(INDEX(PP_Grid[#Data],M_BOM[PPGridRow],60),0))</f>
        <v/>
      </c>
      <c r="BI44">
        <f>SUMPRODUCT((M_BOM[RM_Code]=$A44)*M_BOM[RM_Qty_Per_Batch]*IFERROR(INDEX(PP_Grid[#Data],M_BOM[PPGridRow],61),0))</f>
        <v/>
      </c>
      <c r="BJ44">
        <f>SUMPRODUCT((M_BOM[RM_Code]=$A44)*M_BOM[RM_Qty_Per_Batch]*IFERROR(INDEX(PP_Grid[#Data],M_BOM[PPGridRow],62),0))</f>
        <v/>
      </c>
      <c r="BK44">
        <f>SUMPRODUCT((M_BOM[RM_Code]=$A44)*M_BOM[RM_Qty_Per_Batch]*IFERROR(INDEX(PP_Grid[#Data],M_BOM[PPGridRow],63),0))</f>
        <v/>
      </c>
      <c r="BL44">
        <f>SUMPRODUCT((M_BOM[RM_Code]=$A44)*M_BOM[RM_Qty_Per_Batch]*IFERROR(INDEX(PP_Grid[#Data],M_BOM[PPGridRow],64),0))</f>
        <v/>
      </c>
      <c r="BM44">
        <f>SUMPRODUCT((M_BOM[RM_Code]=$A44)*M_BOM[RM_Qty_Per_Batch]*IFERROR(INDEX(PP_Grid[#Data],M_BOM[PPGridRow],65),0))</f>
        <v/>
      </c>
      <c r="BN44">
        <f>SUMPRODUCT((M_BOM[RM_Code]=$A44)*M_BOM[RM_Qty_Per_Batch]*IFERROR(INDEX(PP_Grid[#Data],M_BOM[PPGridRow],66),0))</f>
        <v/>
      </c>
      <c r="BO44">
        <f>SUMPRODUCT((M_BOM[RM_Code]=$A44)*M_BOM[RM_Qty_Per_Batch]*IFERROR(INDEX(PP_Grid[#Data],M_BOM[PPGridRow],67),0))</f>
        <v/>
      </c>
      <c r="BP44">
        <f>SUMPRODUCT((M_BOM[RM_Code]=$A44)*M_BOM[RM_Qty_Per_Batch]*IFERROR(INDEX(PP_Grid[#Data],M_BOM[PPGridRow],68),0))</f>
        <v/>
      </c>
      <c r="BQ44">
        <f>SUMPRODUCT((M_BOM[RM_Code]=$A44)*M_BOM[RM_Qty_Per_Batch]*IFERROR(INDEX(PP_Grid[#Data],M_BOM[PPGridRow],69),0))</f>
        <v/>
      </c>
      <c r="BR44">
        <f>SUMPRODUCT((M_BOM[RM_Code]=$A44)*M_BOM[RM_Qty_Per_Batch]*IFERROR(INDEX(PP_Grid[#Data],M_BOM[PPGridRow],70),0))</f>
        <v/>
      </c>
      <c r="BS44">
        <f>SUMPRODUCT((M_BOM[RM_Code]=$A44)*M_BOM[RM_Qty_Per_Batch]*IFERROR(INDEX(PP_Grid[#Data],M_BOM[PPGridRow],71),0))</f>
        <v/>
      </c>
      <c r="BT44">
        <f>SUMPRODUCT((M_BOM[RM_Code]=$A44)*M_BOM[RM_Qty_Per_Batch]*IFERROR(INDEX(PP_Grid[#Data],M_BOM[PPGridRow],72),0))</f>
        <v/>
      </c>
      <c r="BU44">
        <f>SUMPRODUCT((M_BOM[RM_Code]=$A44)*M_BOM[RM_Qty_Per_Batch]*IFERROR(INDEX(PP_Grid[#Data],M_BOM[PPGridRow],73),0))</f>
        <v/>
      </c>
      <c r="BV44">
        <f>SUMPRODUCT((M_BOM[RM_Code]=$A44)*M_BOM[RM_Qty_Per_Batch]*IFERROR(INDEX(PP_Grid[#Data],M_BOM[PPGridRow],74),0))</f>
        <v/>
      </c>
      <c r="BW44">
        <f>SUMPRODUCT((M_BOM[RM_Code]=$A44)*M_BOM[RM_Qty_Per_Batch]*IFERROR(INDEX(PP_Grid[#Data],M_BOM[PPGridRow],75),0))</f>
        <v/>
      </c>
      <c r="BX44">
        <f>SUMPRODUCT((M_BOM[RM_Code]=$A44)*M_BOM[RM_Qty_Per_Batch]*IFERROR(INDEX(PP_Grid[#Data],M_BOM[PPGridRow],76),0))</f>
        <v/>
      </c>
      <c r="BY44">
        <f>SUMPRODUCT((M_BOM[RM_Code]=$A44)*M_BOM[RM_Qty_Per_Batch]*IFERROR(INDEX(PP_Grid[#Data],M_BOM[PPGridRow],77),0))</f>
        <v/>
      </c>
      <c r="BZ44">
        <f>SUMPRODUCT((M_BOM[RM_Code]=$A44)*M_BOM[RM_Qty_Per_Batch]*IFERROR(INDEX(PP_Grid[#Data],M_BOM[PPGridRow],78),0))</f>
        <v/>
      </c>
      <c r="CA44">
        <f>SUMPRODUCT((M_BOM[RM_Code]=$A44)*M_BOM[RM_Qty_Per_Batch]*IFERROR(INDEX(PP_Grid[#Data],M_BOM[PPGridRow],79),0))</f>
        <v/>
      </c>
      <c r="CB44">
        <f>SUMPRODUCT((M_BOM[RM_Code]=$A44)*M_BOM[RM_Qty_Per_Batch]*IFERROR(INDEX(PP_Grid[#Data],M_BOM[PPGridRow],80),0))</f>
        <v/>
      </c>
      <c r="CC44">
        <f>SUMPRODUCT((M_BOM[RM_Code]=$A44)*M_BOM[RM_Qty_Per_Batch]*IFERROR(INDEX(PP_Grid[#Data],M_BOM[PPGridRow],81),0))</f>
        <v/>
      </c>
      <c r="CD44">
        <f>SUMPRODUCT((M_BOM[RM_Code]=$A44)*M_BOM[RM_Qty_Per_Batch]*IFERROR(INDEX(PP_Grid[#Data],M_BOM[PPGridRow],82),0))</f>
        <v/>
      </c>
      <c r="CE44">
        <f>SUMPRODUCT((M_BOM[RM_Code]=$A44)*M_BOM[RM_Qty_Per_Batch]*IFERROR(INDEX(PP_Grid[#Data],M_BOM[PPGridRow],83),0))</f>
        <v/>
      </c>
      <c r="CF44">
        <f>SUMPRODUCT((M_BOM[RM_Code]=$A44)*M_BOM[RM_Qty_Per_Batch]*IFERROR(INDEX(PP_Grid[#Data],M_BOM[PPGridRow],84),0))</f>
        <v/>
      </c>
      <c r="CG44">
        <f>SUMPRODUCT((M_BOM[RM_Code]=$A44)*M_BOM[RM_Qty_Per_Batch]*IFERROR(INDEX(PP_Grid[#Data],M_BOM[PPGridRow],85),0))</f>
        <v/>
      </c>
      <c r="CH44">
        <f>SUMPRODUCT((M_BOM[RM_Code]=$A44)*M_BOM[RM_Qty_Per_Batch]*IFERROR(INDEX(PP_Grid[#Data],M_BOM[PPGridRow],86),0))</f>
        <v/>
      </c>
      <c r="CI44">
        <f>SUMPRODUCT((M_BOM[RM_Code]=$A44)*M_BOM[RM_Qty_Per_Batch]*IFERROR(INDEX(PP_Grid[#Data],M_BOM[PPGridRow],87),0))</f>
        <v/>
      </c>
      <c r="CJ44">
        <f>SUMPRODUCT((M_BOM[RM_Code]=$A44)*M_BOM[RM_Qty_Per_Batch]*IFERROR(INDEX(PP_Grid[#Data],M_BOM[PPGridRow],88),0))</f>
        <v/>
      </c>
      <c r="CK44">
        <f>SUMPRODUCT((M_BOM[RM_Code]=$A44)*M_BOM[RM_Qty_Per_Batch]*IFERROR(INDEX(PP_Grid[#Data],M_BOM[PPGridRow],89),0))</f>
        <v/>
      </c>
      <c r="CL44">
        <f>SUMPRODUCT((M_BOM[RM_Code]=$A44)*M_BOM[RM_Qty_Per_Batch]*IFERROR(INDEX(PP_Grid[#Data],M_BOM[PPGridRow],90),0))</f>
        <v/>
      </c>
      <c r="CM44">
        <f>SUMPRODUCT((M_BOM[RM_Code]=$A44)*M_BOM[RM_Qty_Per_Batch]*IFERROR(INDEX(PP_Grid[#Data],M_BOM[PPGridRow],91),0))</f>
        <v/>
      </c>
      <c r="CN44">
        <f>SUMPRODUCT((M_BOM[RM_Code]=$A44)*M_BOM[RM_Qty_Per_Batch]*IFERROR(INDEX(PP_Grid[#Data],M_BOM[PPGridRow],92),0))</f>
        <v/>
      </c>
      <c r="CO44">
        <f>SUMPRODUCT((M_BOM[RM_Code]=$A44)*M_BOM[RM_Qty_Per_Batch]*IFERROR(INDEX(PP_Grid[#Data],M_BOM[PPGridRow],93),0))</f>
        <v/>
      </c>
      <c r="CP44">
        <f>SUMPRODUCT((M_BOM[RM_Code]=$A44)*M_BOM[RM_Qty_Per_Batch]*IFERROR(INDEX(PP_Grid[#Data],M_BOM[PPGridRow],94),0))</f>
        <v/>
      </c>
      <c r="CQ44">
        <f>SUMPRODUCT((M_BOM[RM_Code]=$A44)*M_BOM[RM_Qty_Per_Batch]*IFERROR(INDEX(PP_Grid[#Data],M_BOM[PPGridRow],95),0))</f>
        <v/>
      </c>
      <c r="CR44">
        <f>SUMPRODUCT((M_BOM[RM_Code]=$A44)*M_BOM[RM_Qty_Per_Batch]*IFERROR(INDEX(PP_Grid[#Data],M_BOM[PPGridRow],96),0))</f>
        <v/>
      </c>
      <c r="CS44">
        <f>SUMPRODUCT((M_BOM[RM_Code]=$A44)*M_BOM[RM_Qty_Per_Batch]*IFERROR(INDEX(PP_Grid[#Data],M_BOM[PPGridRow],97),0))</f>
        <v/>
      </c>
      <c r="CT44">
        <f>SUMPRODUCT((M_BOM[RM_Code]=$A44)*M_BOM[RM_Qty_Per_Batch]*IFERROR(INDEX(PP_Grid[#Data],M_BOM[PPGridRow],98),0))</f>
        <v/>
      </c>
      <c r="CU44">
        <f>SUMPRODUCT((M_BOM[RM_Code]=$A44)*M_BOM[RM_Qty_Per_Batch]*IFERROR(INDEX(PP_Grid[#Data],M_BOM[PPGridRow],99),0))</f>
        <v/>
      </c>
      <c r="CV44">
        <f>SUMPRODUCT((M_BOM[RM_Code]=$A44)*M_BOM[RM_Qty_Per_Batch]*IFERROR(INDEX(PP_Grid[#Data],M_BOM[PPGridRow],100),0))</f>
        <v/>
      </c>
      <c r="CW44">
        <f>SUMPRODUCT((M_BOM[RM_Code]=$A44)*M_BOM[RM_Qty_Per_Batch]*IFERROR(INDEX(PP_Grid[#Data],M_BOM[PPGridRow],101),0))</f>
        <v/>
      </c>
      <c r="CX44">
        <f>SUMPRODUCT((M_BOM[RM_Code]=$A44)*M_BOM[RM_Qty_Per_Batch]*IFERROR(INDEX(PP_Grid[#Data],M_BOM[PPGridRow],102),0))</f>
        <v/>
      </c>
      <c r="CY44">
        <f>SUMPRODUCT((M_BOM[RM_Code]=$A44)*M_BOM[RM_Qty_Per_Batch]*IFERROR(INDEX(PP_Grid[#Data],M_BOM[PPGridRow],103),0))</f>
        <v/>
      </c>
      <c r="CZ44">
        <f>SUMPRODUCT((M_BOM[RM_Code]=$A44)*M_BOM[RM_Qty_Per_Batch]*IFERROR(INDEX(PP_Grid[#Data],M_BOM[PPGridRow],104),0))</f>
        <v/>
      </c>
      <c r="DA44">
        <f>SUMPRODUCT((M_BOM[RM_Code]=$A44)*M_BOM[RM_Qty_Per_Batch]*IFERROR(INDEX(PP_Grid[#Data],M_BOM[PPGridRow],105),0))</f>
        <v/>
      </c>
    </row>
    <row r="45">
      <c r="A45" t="inlineStr">
        <is>
          <t>CHEM-1010</t>
        </is>
      </c>
      <c r="B45">
        <f>SUMPRODUCT((M_BOM[RM_Code]=$A45)*M_BOM[RM_Qty_Per_Batch]*IFERROR(INDEX(PP_Grid[#Data],M_BOM[PPGridRow],2),0))</f>
        <v/>
      </c>
      <c r="C45">
        <f>SUMPRODUCT((M_BOM[RM_Code]=$A45)*M_BOM[RM_Qty_Per_Batch]*IFERROR(INDEX(PP_Grid[#Data],M_BOM[PPGridRow],3),0))</f>
        <v/>
      </c>
      <c r="D45">
        <f>SUMPRODUCT((M_BOM[RM_Code]=$A45)*M_BOM[RM_Qty_Per_Batch]*IFERROR(INDEX(PP_Grid[#Data],M_BOM[PPGridRow],4),0))</f>
        <v/>
      </c>
      <c r="E45">
        <f>SUMPRODUCT((M_BOM[RM_Code]=$A45)*M_BOM[RM_Qty_Per_Batch]*IFERROR(INDEX(PP_Grid[#Data],M_BOM[PPGridRow],5),0))</f>
        <v/>
      </c>
      <c r="F45">
        <f>SUMPRODUCT((M_BOM[RM_Code]=$A45)*M_BOM[RM_Qty_Per_Batch]*IFERROR(INDEX(PP_Grid[#Data],M_BOM[PPGridRow],6),0))</f>
        <v/>
      </c>
      <c r="G45">
        <f>SUMPRODUCT((M_BOM[RM_Code]=$A45)*M_BOM[RM_Qty_Per_Batch]*IFERROR(INDEX(PP_Grid[#Data],M_BOM[PPGridRow],7),0))</f>
        <v/>
      </c>
      <c r="H45">
        <f>SUMPRODUCT((M_BOM[RM_Code]=$A45)*M_BOM[RM_Qty_Per_Batch]*IFERROR(INDEX(PP_Grid[#Data],M_BOM[PPGridRow],8),0))</f>
        <v/>
      </c>
      <c r="I45">
        <f>SUMPRODUCT((M_BOM[RM_Code]=$A45)*M_BOM[RM_Qty_Per_Batch]*IFERROR(INDEX(PP_Grid[#Data],M_BOM[PPGridRow],9),0))</f>
        <v/>
      </c>
      <c r="J45">
        <f>SUMPRODUCT((M_BOM[RM_Code]=$A45)*M_BOM[RM_Qty_Per_Batch]*IFERROR(INDEX(PP_Grid[#Data],M_BOM[PPGridRow],10),0))</f>
        <v/>
      </c>
      <c r="K45">
        <f>SUMPRODUCT((M_BOM[RM_Code]=$A45)*M_BOM[RM_Qty_Per_Batch]*IFERROR(INDEX(PP_Grid[#Data],M_BOM[PPGridRow],11),0))</f>
        <v/>
      </c>
      <c r="L45">
        <f>SUMPRODUCT((M_BOM[RM_Code]=$A45)*M_BOM[RM_Qty_Per_Batch]*IFERROR(INDEX(PP_Grid[#Data],M_BOM[PPGridRow],12),0))</f>
        <v/>
      </c>
      <c r="M45">
        <f>SUMPRODUCT((M_BOM[RM_Code]=$A45)*M_BOM[RM_Qty_Per_Batch]*IFERROR(INDEX(PP_Grid[#Data],M_BOM[PPGridRow],13),0))</f>
        <v/>
      </c>
      <c r="N45">
        <f>SUMPRODUCT((M_BOM[RM_Code]=$A45)*M_BOM[RM_Qty_Per_Batch]*IFERROR(INDEX(PP_Grid[#Data],M_BOM[PPGridRow],14),0))</f>
        <v/>
      </c>
      <c r="O45">
        <f>SUMPRODUCT((M_BOM[RM_Code]=$A45)*M_BOM[RM_Qty_Per_Batch]*IFERROR(INDEX(PP_Grid[#Data],M_BOM[PPGridRow],15),0))</f>
        <v/>
      </c>
      <c r="P45">
        <f>SUMPRODUCT((M_BOM[RM_Code]=$A45)*M_BOM[RM_Qty_Per_Batch]*IFERROR(INDEX(PP_Grid[#Data],M_BOM[PPGridRow],16),0))</f>
        <v/>
      </c>
      <c r="Q45">
        <f>SUMPRODUCT((M_BOM[RM_Code]=$A45)*M_BOM[RM_Qty_Per_Batch]*IFERROR(INDEX(PP_Grid[#Data],M_BOM[PPGridRow],17),0))</f>
        <v/>
      </c>
      <c r="R45">
        <f>SUMPRODUCT((M_BOM[RM_Code]=$A45)*M_BOM[RM_Qty_Per_Batch]*IFERROR(INDEX(PP_Grid[#Data],M_BOM[PPGridRow],18),0))</f>
        <v/>
      </c>
      <c r="S45">
        <f>SUMPRODUCT((M_BOM[RM_Code]=$A45)*M_BOM[RM_Qty_Per_Batch]*IFERROR(INDEX(PP_Grid[#Data],M_BOM[PPGridRow],19),0))</f>
        <v/>
      </c>
      <c r="T45">
        <f>SUMPRODUCT((M_BOM[RM_Code]=$A45)*M_BOM[RM_Qty_Per_Batch]*IFERROR(INDEX(PP_Grid[#Data],M_BOM[PPGridRow],20),0))</f>
        <v/>
      </c>
      <c r="U45">
        <f>SUMPRODUCT((M_BOM[RM_Code]=$A45)*M_BOM[RM_Qty_Per_Batch]*IFERROR(INDEX(PP_Grid[#Data],M_BOM[PPGridRow],21),0))</f>
        <v/>
      </c>
      <c r="V45">
        <f>SUMPRODUCT((M_BOM[RM_Code]=$A45)*M_BOM[RM_Qty_Per_Batch]*IFERROR(INDEX(PP_Grid[#Data],M_BOM[PPGridRow],22),0))</f>
        <v/>
      </c>
      <c r="W45">
        <f>SUMPRODUCT((M_BOM[RM_Code]=$A45)*M_BOM[RM_Qty_Per_Batch]*IFERROR(INDEX(PP_Grid[#Data],M_BOM[PPGridRow],23),0))</f>
        <v/>
      </c>
      <c r="X45">
        <f>SUMPRODUCT((M_BOM[RM_Code]=$A45)*M_BOM[RM_Qty_Per_Batch]*IFERROR(INDEX(PP_Grid[#Data],M_BOM[PPGridRow],24),0))</f>
        <v/>
      </c>
      <c r="Y45">
        <f>SUMPRODUCT((M_BOM[RM_Code]=$A45)*M_BOM[RM_Qty_Per_Batch]*IFERROR(INDEX(PP_Grid[#Data],M_BOM[PPGridRow],25),0))</f>
        <v/>
      </c>
      <c r="Z45">
        <f>SUMPRODUCT((M_BOM[RM_Code]=$A45)*M_BOM[RM_Qty_Per_Batch]*IFERROR(INDEX(PP_Grid[#Data],M_BOM[PPGridRow],26),0))</f>
        <v/>
      </c>
      <c r="AA45">
        <f>SUMPRODUCT((M_BOM[RM_Code]=$A45)*M_BOM[RM_Qty_Per_Batch]*IFERROR(INDEX(PP_Grid[#Data],M_BOM[PPGridRow],27),0))</f>
        <v/>
      </c>
      <c r="AB45">
        <f>SUMPRODUCT((M_BOM[RM_Code]=$A45)*M_BOM[RM_Qty_Per_Batch]*IFERROR(INDEX(PP_Grid[#Data],M_BOM[PPGridRow],28),0))</f>
        <v/>
      </c>
      <c r="AC45">
        <f>SUMPRODUCT((M_BOM[RM_Code]=$A45)*M_BOM[RM_Qty_Per_Batch]*IFERROR(INDEX(PP_Grid[#Data],M_BOM[PPGridRow],29),0))</f>
        <v/>
      </c>
      <c r="AD45">
        <f>SUMPRODUCT((M_BOM[RM_Code]=$A45)*M_BOM[RM_Qty_Per_Batch]*IFERROR(INDEX(PP_Grid[#Data],M_BOM[PPGridRow],30),0))</f>
        <v/>
      </c>
      <c r="AE45">
        <f>SUMPRODUCT((M_BOM[RM_Code]=$A45)*M_BOM[RM_Qty_Per_Batch]*IFERROR(INDEX(PP_Grid[#Data],M_BOM[PPGridRow],31),0))</f>
        <v/>
      </c>
      <c r="AF45">
        <f>SUMPRODUCT((M_BOM[RM_Code]=$A45)*M_BOM[RM_Qty_Per_Batch]*IFERROR(INDEX(PP_Grid[#Data],M_BOM[PPGridRow],32),0))</f>
        <v/>
      </c>
      <c r="AG45">
        <f>SUMPRODUCT((M_BOM[RM_Code]=$A45)*M_BOM[RM_Qty_Per_Batch]*IFERROR(INDEX(PP_Grid[#Data],M_BOM[PPGridRow],33),0))</f>
        <v/>
      </c>
      <c r="AH45">
        <f>SUMPRODUCT((M_BOM[RM_Code]=$A45)*M_BOM[RM_Qty_Per_Batch]*IFERROR(INDEX(PP_Grid[#Data],M_BOM[PPGridRow],34),0))</f>
        <v/>
      </c>
      <c r="AI45">
        <f>SUMPRODUCT((M_BOM[RM_Code]=$A45)*M_BOM[RM_Qty_Per_Batch]*IFERROR(INDEX(PP_Grid[#Data],M_BOM[PPGridRow],35),0))</f>
        <v/>
      </c>
      <c r="AJ45">
        <f>SUMPRODUCT((M_BOM[RM_Code]=$A45)*M_BOM[RM_Qty_Per_Batch]*IFERROR(INDEX(PP_Grid[#Data],M_BOM[PPGridRow],36),0))</f>
        <v/>
      </c>
      <c r="AK45">
        <f>SUMPRODUCT((M_BOM[RM_Code]=$A45)*M_BOM[RM_Qty_Per_Batch]*IFERROR(INDEX(PP_Grid[#Data],M_BOM[PPGridRow],37),0))</f>
        <v/>
      </c>
      <c r="AL45">
        <f>SUMPRODUCT((M_BOM[RM_Code]=$A45)*M_BOM[RM_Qty_Per_Batch]*IFERROR(INDEX(PP_Grid[#Data],M_BOM[PPGridRow],38),0))</f>
        <v/>
      </c>
      <c r="AM45">
        <f>SUMPRODUCT((M_BOM[RM_Code]=$A45)*M_BOM[RM_Qty_Per_Batch]*IFERROR(INDEX(PP_Grid[#Data],M_BOM[PPGridRow],39),0))</f>
        <v/>
      </c>
      <c r="AN45">
        <f>SUMPRODUCT((M_BOM[RM_Code]=$A45)*M_BOM[RM_Qty_Per_Batch]*IFERROR(INDEX(PP_Grid[#Data],M_BOM[PPGridRow],40),0))</f>
        <v/>
      </c>
      <c r="AO45">
        <f>SUMPRODUCT((M_BOM[RM_Code]=$A45)*M_BOM[RM_Qty_Per_Batch]*IFERROR(INDEX(PP_Grid[#Data],M_BOM[PPGridRow],41),0))</f>
        <v/>
      </c>
      <c r="AP45">
        <f>SUMPRODUCT((M_BOM[RM_Code]=$A45)*M_BOM[RM_Qty_Per_Batch]*IFERROR(INDEX(PP_Grid[#Data],M_BOM[PPGridRow],42),0))</f>
        <v/>
      </c>
      <c r="AQ45">
        <f>SUMPRODUCT((M_BOM[RM_Code]=$A45)*M_BOM[RM_Qty_Per_Batch]*IFERROR(INDEX(PP_Grid[#Data],M_BOM[PPGridRow],43),0))</f>
        <v/>
      </c>
      <c r="AR45">
        <f>SUMPRODUCT((M_BOM[RM_Code]=$A45)*M_BOM[RM_Qty_Per_Batch]*IFERROR(INDEX(PP_Grid[#Data],M_BOM[PPGridRow],44),0))</f>
        <v/>
      </c>
      <c r="AS45">
        <f>SUMPRODUCT((M_BOM[RM_Code]=$A45)*M_BOM[RM_Qty_Per_Batch]*IFERROR(INDEX(PP_Grid[#Data],M_BOM[PPGridRow],45),0))</f>
        <v/>
      </c>
      <c r="AT45">
        <f>SUMPRODUCT((M_BOM[RM_Code]=$A45)*M_BOM[RM_Qty_Per_Batch]*IFERROR(INDEX(PP_Grid[#Data],M_BOM[PPGridRow],46),0))</f>
        <v/>
      </c>
      <c r="AU45">
        <f>SUMPRODUCT((M_BOM[RM_Code]=$A45)*M_BOM[RM_Qty_Per_Batch]*IFERROR(INDEX(PP_Grid[#Data],M_BOM[PPGridRow],47),0))</f>
        <v/>
      </c>
      <c r="AV45">
        <f>SUMPRODUCT((M_BOM[RM_Code]=$A45)*M_BOM[RM_Qty_Per_Batch]*IFERROR(INDEX(PP_Grid[#Data],M_BOM[PPGridRow],48),0))</f>
        <v/>
      </c>
      <c r="AW45">
        <f>SUMPRODUCT((M_BOM[RM_Code]=$A45)*M_BOM[RM_Qty_Per_Batch]*IFERROR(INDEX(PP_Grid[#Data],M_BOM[PPGridRow],49),0))</f>
        <v/>
      </c>
      <c r="AX45">
        <f>SUMPRODUCT((M_BOM[RM_Code]=$A45)*M_BOM[RM_Qty_Per_Batch]*IFERROR(INDEX(PP_Grid[#Data],M_BOM[PPGridRow],50),0))</f>
        <v/>
      </c>
      <c r="AY45">
        <f>SUMPRODUCT((M_BOM[RM_Code]=$A45)*M_BOM[RM_Qty_Per_Batch]*IFERROR(INDEX(PP_Grid[#Data],M_BOM[PPGridRow],51),0))</f>
        <v/>
      </c>
      <c r="AZ45">
        <f>SUMPRODUCT((M_BOM[RM_Code]=$A45)*M_BOM[RM_Qty_Per_Batch]*IFERROR(INDEX(PP_Grid[#Data],M_BOM[PPGridRow],52),0))</f>
        <v/>
      </c>
      <c r="BA45">
        <f>SUMPRODUCT((M_BOM[RM_Code]=$A45)*M_BOM[RM_Qty_Per_Batch]*IFERROR(INDEX(PP_Grid[#Data],M_BOM[PPGridRow],53),0))</f>
        <v/>
      </c>
      <c r="BB45">
        <f>SUMPRODUCT((M_BOM[RM_Code]=$A45)*M_BOM[RM_Qty_Per_Batch]*IFERROR(INDEX(PP_Grid[#Data],M_BOM[PPGridRow],54),0))</f>
        <v/>
      </c>
      <c r="BC45">
        <f>SUMPRODUCT((M_BOM[RM_Code]=$A45)*M_BOM[RM_Qty_Per_Batch]*IFERROR(INDEX(PP_Grid[#Data],M_BOM[PPGridRow],55),0))</f>
        <v/>
      </c>
      <c r="BD45">
        <f>SUMPRODUCT((M_BOM[RM_Code]=$A45)*M_BOM[RM_Qty_Per_Batch]*IFERROR(INDEX(PP_Grid[#Data],M_BOM[PPGridRow],56),0))</f>
        <v/>
      </c>
      <c r="BE45">
        <f>SUMPRODUCT((M_BOM[RM_Code]=$A45)*M_BOM[RM_Qty_Per_Batch]*IFERROR(INDEX(PP_Grid[#Data],M_BOM[PPGridRow],57),0))</f>
        <v/>
      </c>
      <c r="BF45">
        <f>SUMPRODUCT((M_BOM[RM_Code]=$A45)*M_BOM[RM_Qty_Per_Batch]*IFERROR(INDEX(PP_Grid[#Data],M_BOM[PPGridRow],58),0))</f>
        <v/>
      </c>
      <c r="BG45">
        <f>SUMPRODUCT((M_BOM[RM_Code]=$A45)*M_BOM[RM_Qty_Per_Batch]*IFERROR(INDEX(PP_Grid[#Data],M_BOM[PPGridRow],59),0))</f>
        <v/>
      </c>
      <c r="BH45">
        <f>SUMPRODUCT((M_BOM[RM_Code]=$A45)*M_BOM[RM_Qty_Per_Batch]*IFERROR(INDEX(PP_Grid[#Data],M_BOM[PPGridRow],60),0))</f>
        <v/>
      </c>
      <c r="BI45">
        <f>SUMPRODUCT((M_BOM[RM_Code]=$A45)*M_BOM[RM_Qty_Per_Batch]*IFERROR(INDEX(PP_Grid[#Data],M_BOM[PPGridRow],61),0))</f>
        <v/>
      </c>
      <c r="BJ45">
        <f>SUMPRODUCT((M_BOM[RM_Code]=$A45)*M_BOM[RM_Qty_Per_Batch]*IFERROR(INDEX(PP_Grid[#Data],M_BOM[PPGridRow],62),0))</f>
        <v/>
      </c>
      <c r="BK45">
        <f>SUMPRODUCT((M_BOM[RM_Code]=$A45)*M_BOM[RM_Qty_Per_Batch]*IFERROR(INDEX(PP_Grid[#Data],M_BOM[PPGridRow],63),0))</f>
        <v/>
      </c>
      <c r="BL45">
        <f>SUMPRODUCT((M_BOM[RM_Code]=$A45)*M_BOM[RM_Qty_Per_Batch]*IFERROR(INDEX(PP_Grid[#Data],M_BOM[PPGridRow],64),0))</f>
        <v/>
      </c>
      <c r="BM45">
        <f>SUMPRODUCT((M_BOM[RM_Code]=$A45)*M_BOM[RM_Qty_Per_Batch]*IFERROR(INDEX(PP_Grid[#Data],M_BOM[PPGridRow],65),0))</f>
        <v/>
      </c>
      <c r="BN45">
        <f>SUMPRODUCT((M_BOM[RM_Code]=$A45)*M_BOM[RM_Qty_Per_Batch]*IFERROR(INDEX(PP_Grid[#Data],M_BOM[PPGridRow],66),0))</f>
        <v/>
      </c>
      <c r="BO45">
        <f>SUMPRODUCT((M_BOM[RM_Code]=$A45)*M_BOM[RM_Qty_Per_Batch]*IFERROR(INDEX(PP_Grid[#Data],M_BOM[PPGridRow],67),0))</f>
        <v/>
      </c>
      <c r="BP45">
        <f>SUMPRODUCT((M_BOM[RM_Code]=$A45)*M_BOM[RM_Qty_Per_Batch]*IFERROR(INDEX(PP_Grid[#Data],M_BOM[PPGridRow],68),0))</f>
        <v/>
      </c>
      <c r="BQ45">
        <f>SUMPRODUCT((M_BOM[RM_Code]=$A45)*M_BOM[RM_Qty_Per_Batch]*IFERROR(INDEX(PP_Grid[#Data],M_BOM[PPGridRow],69),0))</f>
        <v/>
      </c>
      <c r="BR45">
        <f>SUMPRODUCT((M_BOM[RM_Code]=$A45)*M_BOM[RM_Qty_Per_Batch]*IFERROR(INDEX(PP_Grid[#Data],M_BOM[PPGridRow],70),0))</f>
        <v/>
      </c>
      <c r="BS45">
        <f>SUMPRODUCT((M_BOM[RM_Code]=$A45)*M_BOM[RM_Qty_Per_Batch]*IFERROR(INDEX(PP_Grid[#Data],M_BOM[PPGridRow],71),0))</f>
        <v/>
      </c>
      <c r="BT45">
        <f>SUMPRODUCT((M_BOM[RM_Code]=$A45)*M_BOM[RM_Qty_Per_Batch]*IFERROR(INDEX(PP_Grid[#Data],M_BOM[PPGridRow],72),0))</f>
        <v/>
      </c>
      <c r="BU45">
        <f>SUMPRODUCT((M_BOM[RM_Code]=$A45)*M_BOM[RM_Qty_Per_Batch]*IFERROR(INDEX(PP_Grid[#Data],M_BOM[PPGridRow],73),0))</f>
        <v/>
      </c>
      <c r="BV45">
        <f>SUMPRODUCT((M_BOM[RM_Code]=$A45)*M_BOM[RM_Qty_Per_Batch]*IFERROR(INDEX(PP_Grid[#Data],M_BOM[PPGridRow],74),0))</f>
        <v/>
      </c>
      <c r="BW45">
        <f>SUMPRODUCT((M_BOM[RM_Code]=$A45)*M_BOM[RM_Qty_Per_Batch]*IFERROR(INDEX(PP_Grid[#Data],M_BOM[PPGridRow],75),0))</f>
        <v/>
      </c>
      <c r="BX45">
        <f>SUMPRODUCT((M_BOM[RM_Code]=$A45)*M_BOM[RM_Qty_Per_Batch]*IFERROR(INDEX(PP_Grid[#Data],M_BOM[PPGridRow],76),0))</f>
        <v/>
      </c>
      <c r="BY45">
        <f>SUMPRODUCT((M_BOM[RM_Code]=$A45)*M_BOM[RM_Qty_Per_Batch]*IFERROR(INDEX(PP_Grid[#Data],M_BOM[PPGridRow],77),0))</f>
        <v/>
      </c>
      <c r="BZ45">
        <f>SUMPRODUCT((M_BOM[RM_Code]=$A45)*M_BOM[RM_Qty_Per_Batch]*IFERROR(INDEX(PP_Grid[#Data],M_BOM[PPGridRow],78),0))</f>
        <v/>
      </c>
      <c r="CA45">
        <f>SUMPRODUCT((M_BOM[RM_Code]=$A45)*M_BOM[RM_Qty_Per_Batch]*IFERROR(INDEX(PP_Grid[#Data],M_BOM[PPGridRow],79),0))</f>
        <v/>
      </c>
      <c r="CB45">
        <f>SUMPRODUCT((M_BOM[RM_Code]=$A45)*M_BOM[RM_Qty_Per_Batch]*IFERROR(INDEX(PP_Grid[#Data],M_BOM[PPGridRow],80),0))</f>
        <v/>
      </c>
      <c r="CC45">
        <f>SUMPRODUCT((M_BOM[RM_Code]=$A45)*M_BOM[RM_Qty_Per_Batch]*IFERROR(INDEX(PP_Grid[#Data],M_BOM[PPGridRow],81),0))</f>
        <v/>
      </c>
      <c r="CD45">
        <f>SUMPRODUCT((M_BOM[RM_Code]=$A45)*M_BOM[RM_Qty_Per_Batch]*IFERROR(INDEX(PP_Grid[#Data],M_BOM[PPGridRow],82),0))</f>
        <v/>
      </c>
      <c r="CE45">
        <f>SUMPRODUCT((M_BOM[RM_Code]=$A45)*M_BOM[RM_Qty_Per_Batch]*IFERROR(INDEX(PP_Grid[#Data],M_BOM[PPGridRow],83),0))</f>
        <v/>
      </c>
      <c r="CF45">
        <f>SUMPRODUCT((M_BOM[RM_Code]=$A45)*M_BOM[RM_Qty_Per_Batch]*IFERROR(INDEX(PP_Grid[#Data],M_BOM[PPGridRow],84),0))</f>
        <v/>
      </c>
      <c r="CG45">
        <f>SUMPRODUCT((M_BOM[RM_Code]=$A45)*M_BOM[RM_Qty_Per_Batch]*IFERROR(INDEX(PP_Grid[#Data],M_BOM[PPGridRow],85),0))</f>
        <v/>
      </c>
      <c r="CH45">
        <f>SUMPRODUCT((M_BOM[RM_Code]=$A45)*M_BOM[RM_Qty_Per_Batch]*IFERROR(INDEX(PP_Grid[#Data],M_BOM[PPGridRow],86),0))</f>
        <v/>
      </c>
      <c r="CI45">
        <f>SUMPRODUCT((M_BOM[RM_Code]=$A45)*M_BOM[RM_Qty_Per_Batch]*IFERROR(INDEX(PP_Grid[#Data],M_BOM[PPGridRow],87),0))</f>
        <v/>
      </c>
      <c r="CJ45">
        <f>SUMPRODUCT((M_BOM[RM_Code]=$A45)*M_BOM[RM_Qty_Per_Batch]*IFERROR(INDEX(PP_Grid[#Data],M_BOM[PPGridRow],88),0))</f>
        <v/>
      </c>
      <c r="CK45">
        <f>SUMPRODUCT((M_BOM[RM_Code]=$A45)*M_BOM[RM_Qty_Per_Batch]*IFERROR(INDEX(PP_Grid[#Data],M_BOM[PPGridRow],89),0))</f>
        <v/>
      </c>
      <c r="CL45">
        <f>SUMPRODUCT((M_BOM[RM_Code]=$A45)*M_BOM[RM_Qty_Per_Batch]*IFERROR(INDEX(PP_Grid[#Data],M_BOM[PPGridRow],90),0))</f>
        <v/>
      </c>
      <c r="CM45">
        <f>SUMPRODUCT((M_BOM[RM_Code]=$A45)*M_BOM[RM_Qty_Per_Batch]*IFERROR(INDEX(PP_Grid[#Data],M_BOM[PPGridRow],91),0))</f>
        <v/>
      </c>
      <c r="CN45">
        <f>SUMPRODUCT((M_BOM[RM_Code]=$A45)*M_BOM[RM_Qty_Per_Batch]*IFERROR(INDEX(PP_Grid[#Data],M_BOM[PPGridRow],92),0))</f>
        <v/>
      </c>
      <c r="CO45">
        <f>SUMPRODUCT((M_BOM[RM_Code]=$A45)*M_BOM[RM_Qty_Per_Batch]*IFERROR(INDEX(PP_Grid[#Data],M_BOM[PPGridRow],93),0))</f>
        <v/>
      </c>
      <c r="CP45">
        <f>SUMPRODUCT((M_BOM[RM_Code]=$A45)*M_BOM[RM_Qty_Per_Batch]*IFERROR(INDEX(PP_Grid[#Data],M_BOM[PPGridRow],94),0))</f>
        <v/>
      </c>
      <c r="CQ45">
        <f>SUMPRODUCT((M_BOM[RM_Code]=$A45)*M_BOM[RM_Qty_Per_Batch]*IFERROR(INDEX(PP_Grid[#Data],M_BOM[PPGridRow],95),0))</f>
        <v/>
      </c>
      <c r="CR45">
        <f>SUMPRODUCT((M_BOM[RM_Code]=$A45)*M_BOM[RM_Qty_Per_Batch]*IFERROR(INDEX(PP_Grid[#Data],M_BOM[PPGridRow],96),0))</f>
        <v/>
      </c>
      <c r="CS45">
        <f>SUMPRODUCT((M_BOM[RM_Code]=$A45)*M_BOM[RM_Qty_Per_Batch]*IFERROR(INDEX(PP_Grid[#Data],M_BOM[PPGridRow],97),0))</f>
        <v/>
      </c>
      <c r="CT45">
        <f>SUMPRODUCT((M_BOM[RM_Code]=$A45)*M_BOM[RM_Qty_Per_Batch]*IFERROR(INDEX(PP_Grid[#Data],M_BOM[PPGridRow],98),0))</f>
        <v/>
      </c>
      <c r="CU45">
        <f>SUMPRODUCT((M_BOM[RM_Code]=$A45)*M_BOM[RM_Qty_Per_Batch]*IFERROR(INDEX(PP_Grid[#Data],M_BOM[PPGridRow],99),0))</f>
        <v/>
      </c>
      <c r="CV45">
        <f>SUMPRODUCT((M_BOM[RM_Code]=$A45)*M_BOM[RM_Qty_Per_Batch]*IFERROR(INDEX(PP_Grid[#Data],M_BOM[PPGridRow],100),0))</f>
        <v/>
      </c>
      <c r="CW45">
        <f>SUMPRODUCT((M_BOM[RM_Code]=$A45)*M_BOM[RM_Qty_Per_Batch]*IFERROR(INDEX(PP_Grid[#Data],M_BOM[PPGridRow],101),0))</f>
        <v/>
      </c>
      <c r="CX45">
        <f>SUMPRODUCT((M_BOM[RM_Code]=$A45)*M_BOM[RM_Qty_Per_Batch]*IFERROR(INDEX(PP_Grid[#Data],M_BOM[PPGridRow],102),0))</f>
        <v/>
      </c>
      <c r="CY45">
        <f>SUMPRODUCT((M_BOM[RM_Code]=$A45)*M_BOM[RM_Qty_Per_Batch]*IFERROR(INDEX(PP_Grid[#Data],M_BOM[PPGridRow],103),0))</f>
        <v/>
      </c>
      <c r="CZ45">
        <f>SUMPRODUCT((M_BOM[RM_Code]=$A45)*M_BOM[RM_Qty_Per_Batch]*IFERROR(INDEX(PP_Grid[#Data],M_BOM[PPGridRow],104),0))</f>
        <v/>
      </c>
      <c r="DA45">
        <f>SUMPRODUCT((M_BOM[RM_Code]=$A45)*M_BOM[RM_Qty_Per_Batch]*IFERROR(INDEX(PP_Grid[#Data],M_BOM[PPGridRow],105),0))</f>
        <v/>
      </c>
    </row>
    <row r="46">
      <c r="A46" t="inlineStr">
        <is>
          <t>CHEM-1410</t>
        </is>
      </c>
      <c r="B46">
        <f>SUMPRODUCT((M_BOM[RM_Code]=$A46)*M_BOM[RM_Qty_Per_Batch]*IFERROR(INDEX(PP_Grid[#Data],M_BOM[PPGridRow],2),0))</f>
        <v/>
      </c>
      <c r="C46">
        <f>SUMPRODUCT((M_BOM[RM_Code]=$A46)*M_BOM[RM_Qty_Per_Batch]*IFERROR(INDEX(PP_Grid[#Data],M_BOM[PPGridRow],3),0))</f>
        <v/>
      </c>
      <c r="D46">
        <f>SUMPRODUCT((M_BOM[RM_Code]=$A46)*M_BOM[RM_Qty_Per_Batch]*IFERROR(INDEX(PP_Grid[#Data],M_BOM[PPGridRow],4),0))</f>
        <v/>
      </c>
      <c r="E46">
        <f>SUMPRODUCT((M_BOM[RM_Code]=$A46)*M_BOM[RM_Qty_Per_Batch]*IFERROR(INDEX(PP_Grid[#Data],M_BOM[PPGridRow],5),0))</f>
        <v/>
      </c>
      <c r="F46">
        <f>SUMPRODUCT((M_BOM[RM_Code]=$A46)*M_BOM[RM_Qty_Per_Batch]*IFERROR(INDEX(PP_Grid[#Data],M_BOM[PPGridRow],6),0))</f>
        <v/>
      </c>
      <c r="G46">
        <f>SUMPRODUCT((M_BOM[RM_Code]=$A46)*M_BOM[RM_Qty_Per_Batch]*IFERROR(INDEX(PP_Grid[#Data],M_BOM[PPGridRow],7),0))</f>
        <v/>
      </c>
      <c r="H46">
        <f>SUMPRODUCT((M_BOM[RM_Code]=$A46)*M_BOM[RM_Qty_Per_Batch]*IFERROR(INDEX(PP_Grid[#Data],M_BOM[PPGridRow],8),0))</f>
        <v/>
      </c>
      <c r="I46">
        <f>SUMPRODUCT((M_BOM[RM_Code]=$A46)*M_BOM[RM_Qty_Per_Batch]*IFERROR(INDEX(PP_Grid[#Data],M_BOM[PPGridRow],9),0))</f>
        <v/>
      </c>
      <c r="J46">
        <f>SUMPRODUCT((M_BOM[RM_Code]=$A46)*M_BOM[RM_Qty_Per_Batch]*IFERROR(INDEX(PP_Grid[#Data],M_BOM[PPGridRow],10),0))</f>
        <v/>
      </c>
      <c r="K46">
        <f>SUMPRODUCT((M_BOM[RM_Code]=$A46)*M_BOM[RM_Qty_Per_Batch]*IFERROR(INDEX(PP_Grid[#Data],M_BOM[PPGridRow],11),0))</f>
        <v/>
      </c>
      <c r="L46">
        <f>SUMPRODUCT((M_BOM[RM_Code]=$A46)*M_BOM[RM_Qty_Per_Batch]*IFERROR(INDEX(PP_Grid[#Data],M_BOM[PPGridRow],12),0))</f>
        <v/>
      </c>
      <c r="M46">
        <f>SUMPRODUCT((M_BOM[RM_Code]=$A46)*M_BOM[RM_Qty_Per_Batch]*IFERROR(INDEX(PP_Grid[#Data],M_BOM[PPGridRow],13),0))</f>
        <v/>
      </c>
      <c r="N46">
        <f>SUMPRODUCT((M_BOM[RM_Code]=$A46)*M_BOM[RM_Qty_Per_Batch]*IFERROR(INDEX(PP_Grid[#Data],M_BOM[PPGridRow],14),0))</f>
        <v/>
      </c>
      <c r="O46">
        <f>SUMPRODUCT((M_BOM[RM_Code]=$A46)*M_BOM[RM_Qty_Per_Batch]*IFERROR(INDEX(PP_Grid[#Data],M_BOM[PPGridRow],15),0))</f>
        <v/>
      </c>
      <c r="P46">
        <f>SUMPRODUCT((M_BOM[RM_Code]=$A46)*M_BOM[RM_Qty_Per_Batch]*IFERROR(INDEX(PP_Grid[#Data],M_BOM[PPGridRow],16),0))</f>
        <v/>
      </c>
      <c r="Q46">
        <f>SUMPRODUCT((M_BOM[RM_Code]=$A46)*M_BOM[RM_Qty_Per_Batch]*IFERROR(INDEX(PP_Grid[#Data],M_BOM[PPGridRow],17),0))</f>
        <v/>
      </c>
      <c r="R46">
        <f>SUMPRODUCT((M_BOM[RM_Code]=$A46)*M_BOM[RM_Qty_Per_Batch]*IFERROR(INDEX(PP_Grid[#Data],M_BOM[PPGridRow],18),0))</f>
        <v/>
      </c>
      <c r="S46">
        <f>SUMPRODUCT((M_BOM[RM_Code]=$A46)*M_BOM[RM_Qty_Per_Batch]*IFERROR(INDEX(PP_Grid[#Data],M_BOM[PPGridRow],19),0))</f>
        <v/>
      </c>
      <c r="T46">
        <f>SUMPRODUCT((M_BOM[RM_Code]=$A46)*M_BOM[RM_Qty_Per_Batch]*IFERROR(INDEX(PP_Grid[#Data],M_BOM[PPGridRow],20),0))</f>
        <v/>
      </c>
      <c r="U46">
        <f>SUMPRODUCT((M_BOM[RM_Code]=$A46)*M_BOM[RM_Qty_Per_Batch]*IFERROR(INDEX(PP_Grid[#Data],M_BOM[PPGridRow],21),0))</f>
        <v/>
      </c>
      <c r="V46">
        <f>SUMPRODUCT((M_BOM[RM_Code]=$A46)*M_BOM[RM_Qty_Per_Batch]*IFERROR(INDEX(PP_Grid[#Data],M_BOM[PPGridRow],22),0))</f>
        <v/>
      </c>
      <c r="W46">
        <f>SUMPRODUCT((M_BOM[RM_Code]=$A46)*M_BOM[RM_Qty_Per_Batch]*IFERROR(INDEX(PP_Grid[#Data],M_BOM[PPGridRow],23),0))</f>
        <v/>
      </c>
      <c r="X46">
        <f>SUMPRODUCT((M_BOM[RM_Code]=$A46)*M_BOM[RM_Qty_Per_Batch]*IFERROR(INDEX(PP_Grid[#Data],M_BOM[PPGridRow],24),0))</f>
        <v/>
      </c>
      <c r="Y46">
        <f>SUMPRODUCT((M_BOM[RM_Code]=$A46)*M_BOM[RM_Qty_Per_Batch]*IFERROR(INDEX(PP_Grid[#Data],M_BOM[PPGridRow],25),0))</f>
        <v/>
      </c>
      <c r="Z46">
        <f>SUMPRODUCT((M_BOM[RM_Code]=$A46)*M_BOM[RM_Qty_Per_Batch]*IFERROR(INDEX(PP_Grid[#Data],M_BOM[PPGridRow],26),0))</f>
        <v/>
      </c>
      <c r="AA46">
        <f>SUMPRODUCT((M_BOM[RM_Code]=$A46)*M_BOM[RM_Qty_Per_Batch]*IFERROR(INDEX(PP_Grid[#Data],M_BOM[PPGridRow],27),0))</f>
        <v/>
      </c>
      <c r="AB46">
        <f>SUMPRODUCT((M_BOM[RM_Code]=$A46)*M_BOM[RM_Qty_Per_Batch]*IFERROR(INDEX(PP_Grid[#Data],M_BOM[PPGridRow],28),0))</f>
        <v/>
      </c>
      <c r="AC46">
        <f>SUMPRODUCT((M_BOM[RM_Code]=$A46)*M_BOM[RM_Qty_Per_Batch]*IFERROR(INDEX(PP_Grid[#Data],M_BOM[PPGridRow],29),0))</f>
        <v/>
      </c>
      <c r="AD46">
        <f>SUMPRODUCT((M_BOM[RM_Code]=$A46)*M_BOM[RM_Qty_Per_Batch]*IFERROR(INDEX(PP_Grid[#Data],M_BOM[PPGridRow],30),0))</f>
        <v/>
      </c>
      <c r="AE46">
        <f>SUMPRODUCT((M_BOM[RM_Code]=$A46)*M_BOM[RM_Qty_Per_Batch]*IFERROR(INDEX(PP_Grid[#Data],M_BOM[PPGridRow],31),0))</f>
        <v/>
      </c>
      <c r="AF46">
        <f>SUMPRODUCT((M_BOM[RM_Code]=$A46)*M_BOM[RM_Qty_Per_Batch]*IFERROR(INDEX(PP_Grid[#Data],M_BOM[PPGridRow],32),0))</f>
        <v/>
      </c>
      <c r="AG46">
        <f>SUMPRODUCT((M_BOM[RM_Code]=$A46)*M_BOM[RM_Qty_Per_Batch]*IFERROR(INDEX(PP_Grid[#Data],M_BOM[PPGridRow],33),0))</f>
        <v/>
      </c>
      <c r="AH46">
        <f>SUMPRODUCT((M_BOM[RM_Code]=$A46)*M_BOM[RM_Qty_Per_Batch]*IFERROR(INDEX(PP_Grid[#Data],M_BOM[PPGridRow],34),0))</f>
        <v/>
      </c>
      <c r="AI46">
        <f>SUMPRODUCT((M_BOM[RM_Code]=$A46)*M_BOM[RM_Qty_Per_Batch]*IFERROR(INDEX(PP_Grid[#Data],M_BOM[PPGridRow],35),0))</f>
        <v/>
      </c>
      <c r="AJ46">
        <f>SUMPRODUCT((M_BOM[RM_Code]=$A46)*M_BOM[RM_Qty_Per_Batch]*IFERROR(INDEX(PP_Grid[#Data],M_BOM[PPGridRow],36),0))</f>
        <v/>
      </c>
      <c r="AK46">
        <f>SUMPRODUCT((M_BOM[RM_Code]=$A46)*M_BOM[RM_Qty_Per_Batch]*IFERROR(INDEX(PP_Grid[#Data],M_BOM[PPGridRow],37),0))</f>
        <v/>
      </c>
      <c r="AL46">
        <f>SUMPRODUCT((M_BOM[RM_Code]=$A46)*M_BOM[RM_Qty_Per_Batch]*IFERROR(INDEX(PP_Grid[#Data],M_BOM[PPGridRow],38),0))</f>
        <v/>
      </c>
      <c r="AM46">
        <f>SUMPRODUCT((M_BOM[RM_Code]=$A46)*M_BOM[RM_Qty_Per_Batch]*IFERROR(INDEX(PP_Grid[#Data],M_BOM[PPGridRow],39),0))</f>
        <v/>
      </c>
      <c r="AN46">
        <f>SUMPRODUCT((M_BOM[RM_Code]=$A46)*M_BOM[RM_Qty_Per_Batch]*IFERROR(INDEX(PP_Grid[#Data],M_BOM[PPGridRow],40),0))</f>
        <v/>
      </c>
      <c r="AO46">
        <f>SUMPRODUCT((M_BOM[RM_Code]=$A46)*M_BOM[RM_Qty_Per_Batch]*IFERROR(INDEX(PP_Grid[#Data],M_BOM[PPGridRow],41),0))</f>
        <v/>
      </c>
      <c r="AP46">
        <f>SUMPRODUCT((M_BOM[RM_Code]=$A46)*M_BOM[RM_Qty_Per_Batch]*IFERROR(INDEX(PP_Grid[#Data],M_BOM[PPGridRow],42),0))</f>
        <v/>
      </c>
      <c r="AQ46">
        <f>SUMPRODUCT((M_BOM[RM_Code]=$A46)*M_BOM[RM_Qty_Per_Batch]*IFERROR(INDEX(PP_Grid[#Data],M_BOM[PPGridRow],43),0))</f>
        <v/>
      </c>
      <c r="AR46">
        <f>SUMPRODUCT((M_BOM[RM_Code]=$A46)*M_BOM[RM_Qty_Per_Batch]*IFERROR(INDEX(PP_Grid[#Data],M_BOM[PPGridRow],44),0))</f>
        <v/>
      </c>
      <c r="AS46">
        <f>SUMPRODUCT((M_BOM[RM_Code]=$A46)*M_BOM[RM_Qty_Per_Batch]*IFERROR(INDEX(PP_Grid[#Data],M_BOM[PPGridRow],45),0))</f>
        <v/>
      </c>
      <c r="AT46">
        <f>SUMPRODUCT((M_BOM[RM_Code]=$A46)*M_BOM[RM_Qty_Per_Batch]*IFERROR(INDEX(PP_Grid[#Data],M_BOM[PPGridRow],46),0))</f>
        <v/>
      </c>
      <c r="AU46">
        <f>SUMPRODUCT((M_BOM[RM_Code]=$A46)*M_BOM[RM_Qty_Per_Batch]*IFERROR(INDEX(PP_Grid[#Data],M_BOM[PPGridRow],47),0))</f>
        <v/>
      </c>
      <c r="AV46">
        <f>SUMPRODUCT((M_BOM[RM_Code]=$A46)*M_BOM[RM_Qty_Per_Batch]*IFERROR(INDEX(PP_Grid[#Data],M_BOM[PPGridRow],48),0))</f>
        <v/>
      </c>
      <c r="AW46">
        <f>SUMPRODUCT((M_BOM[RM_Code]=$A46)*M_BOM[RM_Qty_Per_Batch]*IFERROR(INDEX(PP_Grid[#Data],M_BOM[PPGridRow],49),0))</f>
        <v/>
      </c>
      <c r="AX46">
        <f>SUMPRODUCT((M_BOM[RM_Code]=$A46)*M_BOM[RM_Qty_Per_Batch]*IFERROR(INDEX(PP_Grid[#Data],M_BOM[PPGridRow],50),0))</f>
        <v/>
      </c>
      <c r="AY46">
        <f>SUMPRODUCT((M_BOM[RM_Code]=$A46)*M_BOM[RM_Qty_Per_Batch]*IFERROR(INDEX(PP_Grid[#Data],M_BOM[PPGridRow],51),0))</f>
        <v/>
      </c>
      <c r="AZ46">
        <f>SUMPRODUCT((M_BOM[RM_Code]=$A46)*M_BOM[RM_Qty_Per_Batch]*IFERROR(INDEX(PP_Grid[#Data],M_BOM[PPGridRow],52),0))</f>
        <v/>
      </c>
      <c r="BA46">
        <f>SUMPRODUCT((M_BOM[RM_Code]=$A46)*M_BOM[RM_Qty_Per_Batch]*IFERROR(INDEX(PP_Grid[#Data],M_BOM[PPGridRow],53),0))</f>
        <v/>
      </c>
      <c r="BB46">
        <f>SUMPRODUCT((M_BOM[RM_Code]=$A46)*M_BOM[RM_Qty_Per_Batch]*IFERROR(INDEX(PP_Grid[#Data],M_BOM[PPGridRow],54),0))</f>
        <v/>
      </c>
      <c r="BC46">
        <f>SUMPRODUCT((M_BOM[RM_Code]=$A46)*M_BOM[RM_Qty_Per_Batch]*IFERROR(INDEX(PP_Grid[#Data],M_BOM[PPGridRow],55),0))</f>
        <v/>
      </c>
      <c r="BD46">
        <f>SUMPRODUCT((M_BOM[RM_Code]=$A46)*M_BOM[RM_Qty_Per_Batch]*IFERROR(INDEX(PP_Grid[#Data],M_BOM[PPGridRow],56),0))</f>
        <v/>
      </c>
      <c r="BE46">
        <f>SUMPRODUCT((M_BOM[RM_Code]=$A46)*M_BOM[RM_Qty_Per_Batch]*IFERROR(INDEX(PP_Grid[#Data],M_BOM[PPGridRow],57),0))</f>
        <v/>
      </c>
      <c r="BF46">
        <f>SUMPRODUCT((M_BOM[RM_Code]=$A46)*M_BOM[RM_Qty_Per_Batch]*IFERROR(INDEX(PP_Grid[#Data],M_BOM[PPGridRow],58),0))</f>
        <v/>
      </c>
      <c r="BG46">
        <f>SUMPRODUCT((M_BOM[RM_Code]=$A46)*M_BOM[RM_Qty_Per_Batch]*IFERROR(INDEX(PP_Grid[#Data],M_BOM[PPGridRow],59),0))</f>
        <v/>
      </c>
      <c r="BH46">
        <f>SUMPRODUCT((M_BOM[RM_Code]=$A46)*M_BOM[RM_Qty_Per_Batch]*IFERROR(INDEX(PP_Grid[#Data],M_BOM[PPGridRow],60),0))</f>
        <v/>
      </c>
      <c r="BI46">
        <f>SUMPRODUCT((M_BOM[RM_Code]=$A46)*M_BOM[RM_Qty_Per_Batch]*IFERROR(INDEX(PP_Grid[#Data],M_BOM[PPGridRow],61),0))</f>
        <v/>
      </c>
      <c r="BJ46">
        <f>SUMPRODUCT((M_BOM[RM_Code]=$A46)*M_BOM[RM_Qty_Per_Batch]*IFERROR(INDEX(PP_Grid[#Data],M_BOM[PPGridRow],62),0))</f>
        <v/>
      </c>
      <c r="BK46">
        <f>SUMPRODUCT((M_BOM[RM_Code]=$A46)*M_BOM[RM_Qty_Per_Batch]*IFERROR(INDEX(PP_Grid[#Data],M_BOM[PPGridRow],63),0))</f>
        <v/>
      </c>
      <c r="BL46">
        <f>SUMPRODUCT((M_BOM[RM_Code]=$A46)*M_BOM[RM_Qty_Per_Batch]*IFERROR(INDEX(PP_Grid[#Data],M_BOM[PPGridRow],64),0))</f>
        <v/>
      </c>
      <c r="BM46">
        <f>SUMPRODUCT((M_BOM[RM_Code]=$A46)*M_BOM[RM_Qty_Per_Batch]*IFERROR(INDEX(PP_Grid[#Data],M_BOM[PPGridRow],65),0))</f>
        <v/>
      </c>
      <c r="BN46">
        <f>SUMPRODUCT((M_BOM[RM_Code]=$A46)*M_BOM[RM_Qty_Per_Batch]*IFERROR(INDEX(PP_Grid[#Data],M_BOM[PPGridRow],66),0))</f>
        <v/>
      </c>
      <c r="BO46">
        <f>SUMPRODUCT((M_BOM[RM_Code]=$A46)*M_BOM[RM_Qty_Per_Batch]*IFERROR(INDEX(PP_Grid[#Data],M_BOM[PPGridRow],67),0))</f>
        <v/>
      </c>
      <c r="BP46">
        <f>SUMPRODUCT((M_BOM[RM_Code]=$A46)*M_BOM[RM_Qty_Per_Batch]*IFERROR(INDEX(PP_Grid[#Data],M_BOM[PPGridRow],68),0))</f>
        <v/>
      </c>
      <c r="BQ46">
        <f>SUMPRODUCT((M_BOM[RM_Code]=$A46)*M_BOM[RM_Qty_Per_Batch]*IFERROR(INDEX(PP_Grid[#Data],M_BOM[PPGridRow],69),0))</f>
        <v/>
      </c>
      <c r="BR46">
        <f>SUMPRODUCT((M_BOM[RM_Code]=$A46)*M_BOM[RM_Qty_Per_Batch]*IFERROR(INDEX(PP_Grid[#Data],M_BOM[PPGridRow],70),0))</f>
        <v/>
      </c>
      <c r="BS46">
        <f>SUMPRODUCT((M_BOM[RM_Code]=$A46)*M_BOM[RM_Qty_Per_Batch]*IFERROR(INDEX(PP_Grid[#Data],M_BOM[PPGridRow],71),0))</f>
        <v/>
      </c>
      <c r="BT46">
        <f>SUMPRODUCT((M_BOM[RM_Code]=$A46)*M_BOM[RM_Qty_Per_Batch]*IFERROR(INDEX(PP_Grid[#Data],M_BOM[PPGridRow],72),0))</f>
        <v/>
      </c>
      <c r="BU46">
        <f>SUMPRODUCT((M_BOM[RM_Code]=$A46)*M_BOM[RM_Qty_Per_Batch]*IFERROR(INDEX(PP_Grid[#Data],M_BOM[PPGridRow],73),0))</f>
        <v/>
      </c>
      <c r="BV46">
        <f>SUMPRODUCT((M_BOM[RM_Code]=$A46)*M_BOM[RM_Qty_Per_Batch]*IFERROR(INDEX(PP_Grid[#Data],M_BOM[PPGridRow],74),0))</f>
        <v/>
      </c>
      <c r="BW46">
        <f>SUMPRODUCT((M_BOM[RM_Code]=$A46)*M_BOM[RM_Qty_Per_Batch]*IFERROR(INDEX(PP_Grid[#Data],M_BOM[PPGridRow],75),0))</f>
        <v/>
      </c>
      <c r="BX46">
        <f>SUMPRODUCT((M_BOM[RM_Code]=$A46)*M_BOM[RM_Qty_Per_Batch]*IFERROR(INDEX(PP_Grid[#Data],M_BOM[PPGridRow],76),0))</f>
        <v/>
      </c>
      <c r="BY46">
        <f>SUMPRODUCT((M_BOM[RM_Code]=$A46)*M_BOM[RM_Qty_Per_Batch]*IFERROR(INDEX(PP_Grid[#Data],M_BOM[PPGridRow],77),0))</f>
        <v/>
      </c>
      <c r="BZ46">
        <f>SUMPRODUCT((M_BOM[RM_Code]=$A46)*M_BOM[RM_Qty_Per_Batch]*IFERROR(INDEX(PP_Grid[#Data],M_BOM[PPGridRow],78),0))</f>
        <v/>
      </c>
      <c r="CA46">
        <f>SUMPRODUCT((M_BOM[RM_Code]=$A46)*M_BOM[RM_Qty_Per_Batch]*IFERROR(INDEX(PP_Grid[#Data],M_BOM[PPGridRow],79),0))</f>
        <v/>
      </c>
      <c r="CB46">
        <f>SUMPRODUCT((M_BOM[RM_Code]=$A46)*M_BOM[RM_Qty_Per_Batch]*IFERROR(INDEX(PP_Grid[#Data],M_BOM[PPGridRow],80),0))</f>
        <v/>
      </c>
      <c r="CC46">
        <f>SUMPRODUCT((M_BOM[RM_Code]=$A46)*M_BOM[RM_Qty_Per_Batch]*IFERROR(INDEX(PP_Grid[#Data],M_BOM[PPGridRow],81),0))</f>
        <v/>
      </c>
      <c r="CD46">
        <f>SUMPRODUCT((M_BOM[RM_Code]=$A46)*M_BOM[RM_Qty_Per_Batch]*IFERROR(INDEX(PP_Grid[#Data],M_BOM[PPGridRow],82),0))</f>
        <v/>
      </c>
      <c r="CE46">
        <f>SUMPRODUCT((M_BOM[RM_Code]=$A46)*M_BOM[RM_Qty_Per_Batch]*IFERROR(INDEX(PP_Grid[#Data],M_BOM[PPGridRow],83),0))</f>
        <v/>
      </c>
      <c r="CF46">
        <f>SUMPRODUCT((M_BOM[RM_Code]=$A46)*M_BOM[RM_Qty_Per_Batch]*IFERROR(INDEX(PP_Grid[#Data],M_BOM[PPGridRow],84),0))</f>
        <v/>
      </c>
      <c r="CG46">
        <f>SUMPRODUCT((M_BOM[RM_Code]=$A46)*M_BOM[RM_Qty_Per_Batch]*IFERROR(INDEX(PP_Grid[#Data],M_BOM[PPGridRow],85),0))</f>
        <v/>
      </c>
      <c r="CH46">
        <f>SUMPRODUCT((M_BOM[RM_Code]=$A46)*M_BOM[RM_Qty_Per_Batch]*IFERROR(INDEX(PP_Grid[#Data],M_BOM[PPGridRow],86),0))</f>
        <v/>
      </c>
      <c r="CI46">
        <f>SUMPRODUCT((M_BOM[RM_Code]=$A46)*M_BOM[RM_Qty_Per_Batch]*IFERROR(INDEX(PP_Grid[#Data],M_BOM[PPGridRow],87),0))</f>
        <v/>
      </c>
      <c r="CJ46">
        <f>SUMPRODUCT((M_BOM[RM_Code]=$A46)*M_BOM[RM_Qty_Per_Batch]*IFERROR(INDEX(PP_Grid[#Data],M_BOM[PPGridRow],88),0))</f>
        <v/>
      </c>
      <c r="CK46">
        <f>SUMPRODUCT((M_BOM[RM_Code]=$A46)*M_BOM[RM_Qty_Per_Batch]*IFERROR(INDEX(PP_Grid[#Data],M_BOM[PPGridRow],89),0))</f>
        <v/>
      </c>
      <c r="CL46">
        <f>SUMPRODUCT((M_BOM[RM_Code]=$A46)*M_BOM[RM_Qty_Per_Batch]*IFERROR(INDEX(PP_Grid[#Data],M_BOM[PPGridRow],90),0))</f>
        <v/>
      </c>
      <c r="CM46">
        <f>SUMPRODUCT((M_BOM[RM_Code]=$A46)*M_BOM[RM_Qty_Per_Batch]*IFERROR(INDEX(PP_Grid[#Data],M_BOM[PPGridRow],91),0))</f>
        <v/>
      </c>
      <c r="CN46">
        <f>SUMPRODUCT((M_BOM[RM_Code]=$A46)*M_BOM[RM_Qty_Per_Batch]*IFERROR(INDEX(PP_Grid[#Data],M_BOM[PPGridRow],92),0))</f>
        <v/>
      </c>
      <c r="CO46">
        <f>SUMPRODUCT((M_BOM[RM_Code]=$A46)*M_BOM[RM_Qty_Per_Batch]*IFERROR(INDEX(PP_Grid[#Data],M_BOM[PPGridRow],93),0))</f>
        <v/>
      </c>
      <c r="CP46">
        <f>SUMPRODUCT((M_BOM[RM_Code]=$A46)*M_BOM[RM_Qty_Per_Batch]*IFERROR(INDEX(PP_Grid[#Data],M_BOM[PPGridRow],94),0))</f>
        <v/>
      </c>
      <c r="CQ46">
        <f>SUMPRODUCT((M_BOM[RM_Code]=$A46)*M_BOM[RM_Qty_Per_Batch]*IFERROR(INDEX(PP_Grid[#Data],M_BOM[PPGridRow],95),0))</f>
        <v/>
      </c>
      <c r="CR46">
        <f>SUMPRODUCT((M_BOM[RM_Code]=$A46)*M_BOM[RM_Qty_Per_Batch]*IFERROR(INDEX(PP_Grid[#Data],M_BOM[PPGridRow],96),0))</f>
        <v/>
      </c>
      <c r="CS46">
        <f>SUMPRODUCT((M_BOM[RM_Code]=$A46)*M_BOM[RM_Qty_Per_Batch]*IFERROR(INDEX(PP_Grid[#Data],M_BOM[PPGridRow],97),0))</f>
        <v/>
      </c>
      <c r="CT46">
        <f>SUMPRODUCT((M_BOM[RM_Code]=$A46)*M_BOM[RM_Qty_Per_Batch]*IFERROR(INDEX(PP_Grid[#Data],M_BOM[PPGridRow],98),0))</f>
        <v/>
      </c>
      <c r="CU46">
        <f>SUMPRODUCT((M_BOM[RM_Code]=$A46)*M_BOM[RM_Qty_Per_Batch]*IFERROR(INDEX(PP_Grid[#Data],M_BOM[PPGridRow],99),0))</f>
        <v/>
      </c>
      <c r="CV46">
        <f>SUMPRODUCT((M_BOM[RM_Code]=$A46)*M_BOM[RM_Qty_Per_Batch]*IFERROR(INDEX(PP_Grid[#Data],M_BOM[PPGridRow],100),0))</f>
        <v/>
      </c>
      <c r="CW46">
        <f>SUMPRODUCT((M_BOM[RM_Code]=$A46)*M_BOM[RM_Qty_Per_Batch]*IFERROR(INDEX(PP_Grid[#Data],M_BOM[PPGridRow],101),0))</f>
        <v/>
      </c>
      <c r="CX46">
        <f>SUMPRODUCT((M_BOM[RM_Code]=$A46)*M_BOM[RM_Qty_Per_Batch]*IFERROR(INDEX(PP_Grid[#Data],M_BOM[PPGridRow],102),0))</f>
        <v/>
      </c>
      <c r="CY46">
        <f>SUMPRODUCT((M_BOM[RM_Code]=$A46)*M_BOM[RM_Qty_Per_Batch]*IFERROR(INDEX(PP_Grid[#Data],M_BOM[PPGridRow],103),0))</f>
        <v/>
      </c>
      <c r="CZ46">
        <f>SUMPRODUCT((M_BOM[RM_Code]=$A46)*M_BOM[RM_Qty_Per_Batch]*IFERROR(INDEX(PP_Grid[#Data],M_BOM[PPGridRow],104),0))</f>
        <v/>
      </c>
      <c r="DA46">
        <f>SUMPRODUCT((M_BOM[RM_Code]=$A46)*M_BOM[RM_Qty_Per_Batch]*IFERROR(INDEX(PP_Grid[#Data],M_BOM[PPGridRow],105),0))</f>
        <v/>
      </c>
    </row>
    <row r="47">
      <c r="A47" t="inlineStr">
        <is>
          <t>CHEM-1430</t>
        </is>
      </c>
      <c r="B47">
        <f>SUMPRODUCT((M_BOM[RM_Code]=$A47)*M_BOM[RM_Qty_Per_Batch]*IFERROR(INDEX(PP_Grid[#Data],M_BOM[PPGridRow],2),0))</f>
        <v/>
      </c>
      <c r="C47">
        <f>SUMPRODUCT((M_BOM[RM_Code]=$A47)*M_BOM[RM_Qty_Per_Batch]*IFERROR(INDEX(PP_Grid[#Data],M_BOM[PPGridRow],3),0))</f>
        <v/>
      </c>
      <c r="D47">
        <f>SUMPRODUCT((M_BOM[RM_Code]=$A47)*M_BOM[RM_Qty_Per_Batch]*IFERROR(INDEX(PP_Grid[#Data],M_BOM[PPGridRow],4),0))</f>
        <v/>
      </c>
      <c r="E47">
        <f>SUMPRODUCT((M_BOM[RM_Code]=$A47)*M_BOM[RM_Qty_Per_Batch]*IFERROR(INDEX(PP_Grid[#Data],M_BOM[PPGridRow],5),0))</f>
        <v/>
      </c>
      <c r="F47">
        <f>SUMPRODUCT((M_BOM[RM_Code]=$A47)*M_BOM[RM_Qty_Per_Batch]*IFERROR(INDEX(PP_Grid[#Data],M_BOM[PPGridRow],6),0))</f>
        <v/>
      </c>
      <c r="G47">
        <f>SUMPRODUCT((M_BOM[RM_Code]=$A47)*M_BOM[RM_Qty_Per_Batch]*IFERROR(INDEX(PP_Grid[#Data],M_BOM[PPGridRow],7),0))</f>
        <v/>
      </c>
      <c r="H47">
        <f>SUMPRODUCT((M_BOM[RM_Code]=$A47)*M_BOM[RM_Qty_Per_Batch]*IFERROR(INDEX(PP_Grid[#Data],M_BOM[PPGridRow],8),0))</f>
        <v/>
      </c>
      <c r="I47">
        <f>SUMPRODUCT((M_BOM[RM_Code]=$A47)*M_BOM[RM_Qty_Per_Batch]*IFERROR(INDEX(PP_Grid[#Data],M_BOM[PPGridRow],9),0))</f>
        <v/>
      </c>
      <c r="J47">
        <f>SUMPRODUCT((M_BOM[RM_Code]=$A47)*M_BOM[RM_Qty_Per_Batch]*IFERROR(INDEX(PP_Grid[#Data],M_BOM[PPGridRow],10),0))</f>
        <v/>
      </c>
      <c r="K47">
        <f>SUMPRODUCT((M_BOM[RM_Code]=$A47)*M_BOM[RM_Qty_Per_Batch]*IFERROR(INDEX(PP_Grid[#Data],M_BOM[PPGridRow],11),0))</f>
        <v/>
      </c>
      <c r="L47">
        <f>SUMPRODUCT((M_BOM[RM_Code]=$A47)*M_BOM[RM_Qty_Per_Batch]*IFERROR(INDEX(PP_Grid[#Data],M_BOM[PPGridRow],12),0))</f>
        <v/>
      </c>
      <c r="M47">
        <f>SUMPRODUCT((M_BOM[RM_Code]=$A47)*M_BOM[RM_Qty_Per_Batch]*IFERROR(INDEX(PP_Grid[#Data],M_BOM[PPGridRow],13),0))</f>
        <v/>
      </c>
      <c r="N47">
        <f>SUMPRODUCT((M_BOM[RM_Code]=$A47)*M_BOM[RM_Qty_Per_Batch]*IFERROR(INDEX(PP_Grid[#Data],M_BOM[PPGridRow],14),0))</f>
        <v/>
      </c>
      <c r="O47">
        <f>SUMPRODUCT((M_BOM[RM_Code]=$A47)*M_BOM[RM_Qty_Per_Batch]*IFERROR(INDEX(PP_Grid[#Data],M_BOM[PPGridRow],15),0))</f>
        <v/>
      </c>
      <c r="P47">
        <f>SUMPRODUCT((M_BOM[RM_Code]=$A47)*M_BOM[RM_Qty_Per_Batch]*IFERROR(INDEX(PP_Grid[#Data],M_BOM[PPGridRow],16),0))</f>
        <v/>
      </c>
      <c r="Q47">
        <f>SUMPRODUCT((M_BOM[RM_Code]=$A47)*M_BOM[RM_Qty_Per_Batch]*IFERROR(INDEX(PP_Grid[#Data],M_BOM[PPGridRow],17),0))</f>
        <v/>
      </c>
      <c r="R47">
        <f>SUMPRODUCT((M_BOM[RM_Code]=$A47)*M_BOM[RM_Qty_Per_Batch]*IFERROR(INDEX(PP_Grid[#Data],M_BOM[PPGridRow],18),0))</f>
        <v/>
      </c>
      <c r="S47">
        <f>SUMPRODUCT((M_BOM[RM_Code]=$A47)*M_BOM[RM_Qty_Per_Batch]*IFERROR(INDEX(PP_Grid[#Data],M_BOM[PPGridRow],19),0))</f>
        <v/>
      </c>
      <c r="T47">
        <f>SUMPRODUCT((M_BOM[RM_Code]=$A47)*M_BOM[RM_Qty_Per_Batch]*IFERROR(INDEX(PP_Grid[#Data],M_BOM[PPGridRow],20),0))</f>
        <v/>
      </c>
      <c r="U47">
        <f>SUMPRODUCT((M_BOM[RM_Code]=$A47)*M_BOM[RM_Qty_Per_Batch]*IFERROR(INDEX(PP_Grid[#Data],M_BOM[PPGridRow],21),0))</f>
        <v/>
      </c>
      <c r="V47">
        <f>SUMPRODUCT((M_BOM[RM_Code]=$A47)*M_BOM[RM_Qty_Per_Batch]*IFERROR(INDEX(PP_Grid[#Data],M_BOM[PPGridRow],22),0))</f>
        <v/>
      </c>
      <c r="W47">
        <f>SUMPRODUCT((M_BOM[RM_Code]=$A47)*M_BOM[RM_Qty_Per_Batch]*IFERROR(INDEX(PP_Grid[#Data],M_BOM[PPGridRow],23),0))</f>
        <v/>
      </c>
      <c r="X47">
        <f>SUMPRODUCT((M_BOM[RM_Code]=$A47)*M_BOM[RM_Qty_Per_Batch]*IFERROR(INDEX(PP_Grid[#Data],M_BOM[PPGridRow],24),0))</f>
        <v/>
      </c>
      <c r="Y47">
        <f>SUMPRODUCT((M_BOM[RM_Code]=$A47)*M_BOM[RM_Qty_Per_Batch]*IFERROR(INDEX(PP_Grid[#Data],M_BOM[PPGridRow],25),0))</f>
        <v/>
      </c>
      <c r="Z47">
        <f>SUMPRODUCT((M_BOM[RM_Code]=$A47)*M_BOM[RM_Qty_Per_Batch]*IFERROR(INDEX(PP_Grid[#Data],M_BOM[PPGridRow],26),0))</f>
        <v/>
      </c>
      <c r="AA47">
        <f>SUMPRODUCT((M_BOM[RM_Code]=$A47)*M_BOM[RM_Qty_Per_Batch]*IFERROR(INDEX(PP_Grid[#Data],M_BOM[PPGridRow],27),0))</f>
        <v/>
      </c>
      <c r="AB47">
        <f>SUMPRODUCT((M_BOM[RM_Code]=$A47)*M_BOM[RM_Qty_Per_Batch]*IFERROR(INDEX(PP_Grid[#Data],M_BOM[PPGridRow],28),0))</f>
        <v/>
      </c>
      <c r="AC47">
        <f>SUMPRODUCT((M_BOM[RM_Code]=$A47)*M_BOM[RM_Qty_Per_Batch]*IFERROR(INDEX(PP_Grid[#Data],M_BOM[PPGridRow],29),0))</f>
        <v/>
      </c>
      <c r="AD47">
        <f>SUMPRODUCT((M_BOM[RM_Code]=$A47)*M_BOM[RM_Qty_Per_Batch]*IFERROR(INDEX(PP_Grid[#Data],M_BOM[PPGridRow],30),0))</f>
        <v/>
      </c>
      <c r="AE47">
        <f>SUMPRODUCT((M_BOM[RM_Code]=$A47)*M_BOM[RM_Qty_Per_Batch]*IFERROR(INDEX(PP_Grid[#Data],M_BOM[PPGridRow],31),0))</f>
        <v/>
      </c>
      <c r="AF47">
        <f>SUMPRODUCT((M_BOM[RM_Code]=$A47)*M_BOM[RM_Qty_Per_Batch]*IFERROR(INDEX(PP_Grid[#Data],M_BOM[PPGridRow],32),0))</f>
        <v/>
      </c>
      <c r="AG47">
        <f>SUMPRODUCT((M_BOM[RM_Code]=$A47)*M_BOM[RM_Qty_Per_Batch]*IFERROR(INDEX(PP_Grid[#Data],M_BOM[PPGridRow],33),0))</f>
        <v/>
      </c>
      <c r="AH47">
        <f>SUMPRODUCT((M_BOM[RM_Code]=$A47)*M_BOM[RM_Qty_Per_Batch]*IFERROR(INDEX(PP_Grid[#Data],M_BOM[PPGridRow],34),0))</f>
        <v/>
      </c>
      <c r="AI47">
        <f>SUMPRODUCT((M_BOM[RM_Code]=$A47)*M_BOM[RM_Qty_Per_Batch]*IFERROR(INDEX(PP_Grid[#Data],M_BOM[PPGridRow],35),0))</f>
        <v/>
      </c>
      <c r="AJ47">
        <f>SUMPRODUCT((M_BOM[RM_Code]=$A47)*M_BOM[RM_Qty_Per_Batch]*IFERROR(INDEX(PP_Grid[#Data],M_BOM[PPGridRow],36),0))</f>
        <v/>
      </c>
      <c r="AK47">
        <f>SUMPRODUCT((M_BOM[RM_Code]=$A47)*M_BOM[RM_Qty_Per_Batch]*IFERROR(INDEX(PP_Grid[#Data],M_BOM[PPGridRow],37),0))</f>
        <v/>
      </c>
      <c r="AL47">
        <f>SUMPRODUCT((M_BOM[RM_Code]=$A47)*M_BOM[RM_Qty_Per_Batch]*IFERROR(INDEX(PP_Grid[#Data],M_BOM[PPGridRow],38),0))</f>
        <v/>
      </c>
      <c r="AM47">
        <f>SUMPRODUCT((M_BOM[RM_Code]=$A47)*M_BOM[RM_Qty_Per_Batch]*IFERROR(INDEX(PP_Grid[#Data],M_BOM[PPGridRow],39),0))</f>
        <v/>
      </c>
      <c r="AN47">
        <f>SUMPRODUCT((M_BOM[RM_Code]=$A47)*M_BOM[RM_Qty_Per_Batch]*IFERROR(INDEX(PP_Grid[#Data],M_BOM[PPGridRow],40),0))</f>
        <v/>
      </c>
      <c r="AO47">
        <f>SUMPRODUCT((M_BOM[RM_Code]=$A47)*M_BOM[RM_Qty_Per_Batch]*IFERROR(INDEX(PP_Grid[#Data],M_BOM[PPGridRow],41),0))</f>
        <v/>
      </c>
      <c r="AP47">
        <f>SUMPRODUCT((M_BOM[RM_Code]=$A47)*M_BOM[RM_Qty_Per_Batch]*IFERROR(INDEX(PP_Grid[#Data],M_BOM[PPGridRow],42),0))</f>
        <v/>
      </c>
      <c r="AQ47">
        <f>SUMPRODUCT((M_BOM[RM_Code]=$A47)*M_BOM[RM_Qty_Per_Batch]*IFERROR(INDEX(PP_Grid[#Data],M_BOM[PPGridRow],43),0))</f>
        <v/>
      </c>
      <c r="AR47">
        <f>SUMPRODUCT((M_BOM[RM_Code]=$A47)*M_BOM[RM_Qty_Per_Batch]*IFERROR(INDEX(PP_Grid[#Data],M_BOM[PPGridRow],44),0))</f>
        <v/>
      </c>
      <c r="AS47">
        <f>SUMPRODUCT((M_BOM[RM_Code]=$A47)*M_BOM[RM_Qty_Per_Batch]*IFERROR(INDEX(PP_Grid[#Data],M_BOM[PPGridRow],45),0))</f>
        <v/>
      </c>
      <c r="AT47">
        <f>SUMPRODUCT((M_BOM[RM_Code]=$A47)*M_BOM[RM_Qty_Per_Batch]*IFERROR(INDEX(PP_Grid[#Data],M_BOM[PPGridRow],46),0))</f>
        <v/>
      </c>
      <c r="AU47">
        <f>SUMPRODUCT((M_BOM[RM_Code]=$A47)*M_BOM[RM_Qty_Per_Batch]*IFERROR(INDEX(PP_Grid[#Data],M_BOM[PPGridRow],47),0))</f>
        <v/>
      </c>
      <c r="AV47">
        <f>SUMPRODUCT((M_BOM[RM_Code]=$A47)*M_BOM[RM_Qty_Per_Batch]*IFERROR(INDEX(PP_Grid[#Data],M_BOM[PPGridRow],48),0))</f>
        <v/>
      </c>
      <c r="AW47">
        <f>SUMPRODUCT((M_BOM[RM_Code]=$A47)*M_BOM[RM_Qty_Per_Batch]*IFERROR(INDEX(PP_Grid[#Data],M_BOM[PPGridRow],49),0))</f>
        <v/>
      </c>
      <c r="AX47">
        <f>SUMPRODUCT((M_BOM[RM_Code]=$A47)*M_BOM[RM_Qty_Per_Batch]*IFERROR(INDEX(PP_Grid[#Data],M_BOM[PPGridRow],50),0))</f>
        <v/>
      </c>
      <c r="AY47">
        <f>SUMPRODUCT((M_BOM[RM_Code]=$A47)*M_BOM[RM_Qty_Per_Batch]*IFERROR(INDEX(PP_Grid[#Data],M_BOM[PPGridRow],51),0))</f>
        <v/>
      </c>
      <c r="AZ47">
        <f>SUMPRODUCT((M_BOM[RM_Code]=$A47)*M_BOM[RM_Qty_Per_Batch]*IFERROR(INDEX(PP_Grid[#Data],M_BOM[PPGridRow],52),0))</f>
        <v/>
      </c>
      <c r="BA47">
        <f>SUMPRODUCT((M_BOM[RM_Code]=$A47)*M_BOM[RM_Qty_Per_Batch]*IFERROR(INDEX(PP_Grid[#Data],M_BOM[PPGridRow],53),0))</f>
        <v/>
      </c>
      <c r="BB47">
        <f>SUMPRODUCT((M_BOM[RM_Code]=$A47)*M_BOM[RM_Qty_Per_Batch]*IFERROR(INDEX(PP_Grid[#Data],M_BOM[PPGridRow],54),0))</f>
        <v/>
      </c>
      <c r="BC47">
        <f>SUMPRODUCT((M_BOM[RM_Code]=$A47)*M_BOM[RM_Qty_Per_Batch]*IFERROR(INDEX(PP_Grid[#Data],M_BOM[PPGridRow],55),0))</f>
        <v/>
      </c>
      <c r="BD47">
        <f>SUMPRODUCT((M_BOM[RM_Code]=$A47)*M_BOM[RM_Qty_Per_Batch]*IFERROR(INDEX(PP_Grid[#Data],M_BOM[PPGridRow],56),0))</f>
        <v/>
      </c>
      <c r="BE47">
        <f>SUMPRODUCT((M_BOM[RM_Code]=$A47)*M_BOM[RM_Qty_Per_Batch]*IFERROR(INDEX(PP_Grid[#Data],M_BOM[PPGridRow],57),0))</f>
        <v/>
      </c>
      <c r="BF47">
        <f>SUMPRODUCT((M_BOM[RM_Code]=$A47)*M_BOM[RM_Qty_Per_Batch]*IFERROR(INDEX(PP_Grid[#Data],M_BOM[PPGridRow],58),0))</f>
        <v/>
      </c>
      <c r="BG47">
        <f>SUMPRODUCT((M_BOM[RM_Code]=$A47)*M_BOM[RM_Qty_Per_Batch]*IFERROR(INDEX(PP_Grid[#Data],M_BOM[PPGridRow],59),0))</f>
        <v/>
      </c>
      <c r="BH47">
        <f>SUMPRODUCT((M_BOM[RM_Code]=$A47)*M_BOM[RM_Qty_Per_Batch]*IFERROR(INDEX(PP_Grid[#Data],M_BOM[PPGridRow],60),0))</f>
        <v/>
      </c>
      <c r="BI47">
        <f>SUMPRODUCT((M_BOM[RM_Code]=$A47)*M_BOM[RM_Qty_Per_Batch]*IFERROR(INDEX(PP_Grid[#Data],M_BOM[PPGridRow],61),0))</f>
        <v/>
      </c>
      <c r="BJ47">
        <f>SUMPRODUCT((M_BOM[RM_Code]=$A47)*M_BOM[RM_Qty_Per_Batch]*IFERROR(INDEX(PP_Grid[#Data],M_BOM[PPGridRow],62),0))</f>
        <v/>
      </c>
      <c r="BK47">
        <f>SUMPRODUCT((M_BOM[RM_Code]=$A47)*M_BOM[RM_Qty_Per_Batch]*IFERROR(INDEX(PP_Grid[#Data],M_BOM[PPGridRow],63),0))</f>
        <v/>
      </c>
      <c r="BL47">
        <f>SUMPRODUCT((M_BOM[RM_Code]=$A47)*M_BOM[RM_Qty_Per_Batch]*IFERROR(INDEX(PP_Grid[#Data],M_BOM[PPGridRow],64),0))</f>
        <v/>
      </c>
      <c r="BM47">
        <f>SUMPRODUCT((M_BOM[RM_Code]=$A47)*M_BOM[RM_Qty_Per_Batch]*IFERROR(INDEX(PP_Grid[#Data],M_BOM[PPGridRow],65),0))</f>
        <v/>
      </c>
      <c r="BN47">
        <f>SUMPRODUCT((M_BOM[RM_Code]=$A47)*M_BOM[RM_Qty_Per_Batch]*IFERROR(INDEX(PP_Grid[#Data],M_BOM[PPGridRow],66),0))</f>
        <v/>
      </c>
      <c r="BO47">
        <f>SUMPRODUCT((M_BOM[RM_Code]=$A47)*M_BOM[RM_Qty_Per_Batch]*IFERROR(INDEX(PP_Grid[#Data],M_BOM[PPGridRow],67),0))</f>
        <v/>
      </c>
      <c r="BP47">
        <f>SUMPRODUCT((M_BOM[RM_Code]=$A47)*M_BOM[RM_Qty_Per_Batch]*IFERROR(INDEX(PP_Grid[#Data],M_BOM[PPGridRow],68),0))</f>
        <v/>
      </c>
      <c r="BQ47">
        <f>SUMPRODUCT((M_BOM[RM_Code]=$A47)*M_BOM[RM_Qty_Per_Batch]*IFERROR(INDEX(PP_Grid[#Data],M_BOM[PPGridRow],69),0))</f>
        <v/>
      </c>
      <c r="BR47">
        <f>SUMPRODUCT((M_BOM[RM_Code]=$A47)*M_BOM[RM_Qty_Per_Batch]*IFERROR(INDEX(PP_Grid[#Data],M_BOM[PPGridRow],70),0))</f>
        <v/>
      </c>
      <c r="BS47">
        <f>SUMPRODUCT((M_BOM[RM_Code]=$A47)*M_BOM[RM_Qty_Per_Batch]*IFERROR(INDEX(PP_Grid[#Data],M_BOM[PPGridRow],71),0))</f>
        <v/>
      </c>
      <c r="BT47">
        <f>SUMPRODUCT((M_BOM[RM_Code]=$A47)*M_BOM[RM_Qty_Per_Batch]*IFERROR(INDEX(PP_Grid[#Data],M_BOM[PPGridRow],72),0))</f>
        <v/>
      </c>
      <c r="BU47">
        <f>SUMPRODUCT((M_BOM[RM_Code]=$A47)*M_BOM[RM_Qty_Per_Batch]*IFERROR(INDEX(PP_Grid[#Data],M_BOM[PPGridRow],73),0))</f>
        <v/>
      </c>
      <c r="BV47">
        <f>SUMPRODUCT((M_BOM[RM_Code]=$A47)*M_BOM[RM_Qty_Per_Batch]*IFERROR(INDEX(PP_Grid[#Data],M_BOM[PPGridRow],74),0))</f>
        <v/>
      </c>
      <c r="BW47">
        <f>SUMPRODUCT((M_BOM[RM_Code]=$A47)*M_BOM[RM_Qty_Per_Batch]*IFERROR(INDEX(PP_Grid[#Data],M_BOM[PPGridRow],75),0))</f>
        <v/>
      </c>
      <c r="BX47">
        <f>SUMPRODUCT((M_BOM[RM_Code]=$A47)*M_BOM[RM_Qty_Per_Batch]*IFERROR(INDEX(PP_Grid[#Data],M_BOM[PPGridRow],76),0))</f>
        <v/>
      </c>
      <c r="BY47">
        <f>SUMPRODUCT((M_BOM[RM_Code]=$A47)*M_BOM[RM_Qty_Per_Batch]*IFERROR(INDEX(PP_Grid[#Data],M_BOM[PPGridRow],77),0))</f>
        <v/>
      </c>
      <c r="BZ47">
        <f>SUMPRODUCT((M_BOM[RM_Code]=$A47)*M_BOM[RM_Qty_Per_Batch]*IFERROR(INDEX(PP_Grid[#Data],M_BOM[PPGridRow],78),0))</f>
        <v/>
      </c>
      <c r="CA47">
        <f>SUMPRODUCT((M_BOM[RM_Code]=$A47)*M_BOM[RM_Qty_Per_Batch]*IFERROR(INDEX(PP_Grid[#Data],M_BOM[PPGridRow],79),0))</f>
        <v/>
      </c>
      <c r="CB47">
        <f>SUMPRODUCT((M_BOM[RM_Code]=$A47)*M_BOM[RM_Qty_Per_Batch]*IFERROR(INDEX(PP_Grid[#Data],M_BOM[PPGridRow],80),0))</f>
        <v/>
      </c>
      <c r="CC47">
        <f>SUMPRODUCT((M_BOM[RM_Code]=$A47)*M_BOM[RM_Qty_Per_Batch]*IFERROR(INDEX(PP_Grid[#Data],M_BOM[PPGridRow],81),0))</f>
        <v/>
      </c>
      <c r="CD47">
        <f>SUMPRODUCT((M_BOM[RM_Code]=$A47)*M_BOM[RM_Qty_Per_Batch]*IFERROR(INDEX(PP_Grid[#Data],M_BOM[PPGridRow],82),0))</f>
        <v/>
      </c>
      <c r="CE47">
        <f>SUMPRODUCT((M_BOM[RM_Code]=$A47)*M_BOM[RM_Qty_Per_Batch]*IFERROR(INDEX(PP_Grid[#Data],M_BOM[PPGridRow],83),0))</f>
        <v/>
      </c>
      <c r="CF47">
        <f>SUMPRODUCT((M_BOM[RM_Code]=$A47)*M_BOM[RM_Qty_Per_Batch]*IFERROR(INDEX(PP_Grid[#Data],M_BOM[PPGridRow],84),0))</f>
        <v/>
      </c>
      <c r="CG47">
        <f>SUMPRODUCT((M_BOM[RM_Code]=$A47)*M_BOM[RM_Qty_Per_Batch]*IFERROR(INDEX(PP_Grid[#Data],M_BOM[PPGridRow],85),0))</f>
        <v/>
      </c>
      <c r="CH47">
        <f>SUMPRODUCT((M_BOM[RM_Code]=$A47)*M_BOM[RM_Qty_Per_Batch]*IFERROR(INDEX(PP_Grid[#Data],M_BOM[PPGridRow],86),0))</f>
        <v/>
      </c>
      <c r="CI47">
        <f>SUMPRODUCT((M_BOM[RM_Code]=$A47)*M_BOM[RM_Qty_Per_Batch]*IFERROR(INDEX(PP_Grid[#Data],M_BOM[PPGridRow],87),0))</f>
        <v/>
      </c>
      <c r="CJ47">
        <f>SUMPRODUCT((M_BOM[RM_Code]=$A47)*M_BOM[RM_Qty_Per_Batch]*IFERROR(INDEX(PP_Grid[#Data],M_BOM[PPGridRow],88),0))</f>
        <v/>
      </c>
      <c r="CK47">
        <f>SUMPRODUCT((M_BOM[RM_Code]=$A47)*M_BOM[RM_Qty_Per_Batch]*IFERROR(INDEX(PP_Grid[#Data],M_BOM[PPGridRow],89),0))</f>
        <v/>
      </c>
      <c r="CL47">
        <f>SUMPRODUCT((M_BOM[RM_Code]=$A47)*M_BOM[RM_Qty_Per_Batch]*IFERROR(INDEX(PP_Grid[#Data],M_BOM[PPGridRow],90),0))</f>
        <v/>
      </c>
      <c r="CM47">
        <f>SUMPRODUCT((M_BOM[RM_Code]=$A47)*M_BOM[RM_Qty_Per_Batch]*IFERROR(INDEX(PP_Grid[#Data],M_BOM[PPGridRow],91),0))</f>
        <v/>
      </c>
      <c r="CN47">
        <f>SUMPRODUCT((M_BOM[RM_Code]=$A47)*M_BOM[RM_Qty_Per_Batch]*IFERROR(INDEX(PP_Grid[#Data],M_BOM[PPGridRow],92),0))</f>
        <v/>
      </c>
      <c r="CO47">
        <f>SUMPRODUCT((M_BOM[RM_Code]=$A47)*M_BOM[RM_Qty_Per_Batch]*IFERROR(INDEX(PP_Grid[#Data],M_BOM[PPGridRow],93),0))</f>
        <v/>
      </c>
      <c r="CP47">
        <f>SUMPRODUCT((M_BOM[RM_Code]=$A47)*M_BOM[RM_Qty_Per_Batch]*IFERROR(INDEX(PP_Grid[#Data],M_BOM[PPGridRow],94),0))</f>
        <v/>
      </c>
      <c r="CQ47">
        <f>SUMPRODUCT((M_BOM[RM_Code]=$A47)*M_BOM[RM_Qty_Per_Batch]*IFERROR(INDEX(PP_Grid[#Data],M_BOM[PPGridRow],95),0))</f>
        <v/>
      </c>
      <c r="CR47">
        <f>SUMPRODUCT((M_BOM[RM_Code]=$A47)*M_BOM[RM_Qty_Per_Batch]*IFERROR(INDEX(PP_Grid[#Data],M_BOM[PPGridRow],96),0))</f>
        <v/>
      </c>
      <c r="CS47">
        <f>SUMPRODUCT((M_BOM[RM_Code]=$A47)*M_BOM[RM_Qty_Per_Batch]*IFERROR(INDEX(PP_Grid[#Data],M_BOM[PPGridRow],97),0))</f>
        <v/>
      </c>
      <c r="CT47">
        <f>SUMPRODUCT((M_BOM[RM_Code]=$A47)*M_BOM[RM_Qty_Per_Batch]*IFERROR(INDEX(PP_Grid[#Data],M_BOM[PPGridRow],98),0))</f>
        <v/>
      </c>
      <c r="CU47">
        <f>SUMPRODUCT((M_BOM[RM_Code]=$A47)*M_BOM[RM_Qty_Per_Batch]*IFERROR(INDEX(PP_Grid[#Data],M_BOM[PPGridRow],99),0))</f>
        <v/>
      </c>
      <c r="CV47">
        <f>SUMPRODUCT((M_BOM[RM_Code]=$A47)*M_BOM[RM_Qty_Per_Batch]*IFERROR(INDEX(PP_Grid[#Data],M_BOM[PPGridRow],100),0))</f>
        <v/>
      </c>
      <c r="CW47">
        <f>SUMPRODUCT((M_BOM[RM_Code]=$A47)*M_BOM[RM_Qty_Per_Batch]*IFERROR(INDEX(PP_Grid[#Data],M_BOM[PPGridRow],101),0))</f>
        <v/>
      </c>
      <c r="CX47">
        <f>SUMPRODUCT((M_BOM[RM_Code]=$A47)*M_BOM[RM_Qty_Per_Batch]*IFERROR(INDEX(PP_Grid[#Data],M_BOM[PPGridRow],102),0))</f>
        <v/>
      </c>
      <c r="CY47">
        <f>SUMPRODUCT((M_BOM[RM_Code]=$A47)*M_BOM[RM_Qty_Per_Batch]*IFERROR(INDEX(PP_Grid[#Data],M_BOM[PPGridRow],103),0))</f>
        <v/>
      </c>
      <c r="CZ47">
        <f>SUMPRODUCT((M_BOM[RM_Code]=$A47)*M_BOM[RM_Qty_Per_Batch]*IFERROR(INDEX(PP_Grid[#Data],M_BOM[PPGridRow],104),0))</f>
        <v/>
      </c>
      <c r="DA47">
        <f>SUMPRODUCT((M_BOM[RM_Code]=$A47)*M_BOM[RM_Qty_Per_Batch]*IFERROR(INDEX(PP_Grid[#Data],M_BOM[PPGridRow],105),0))</f>
        <v/>
      </c>
    </row>
    <row r="48">
      <c r="A48" t="inlineStr">
        <is>
          <t>CHEM-1450</t>
        </is>
      </c>
      <c r="B48">
        <f>SUMPRODUCT((M_BOM[RM_Code]=$A48)*M_BOM[RM_Qty_Per_Batch]*IFERROR(INDEX(PP_Grid[#Data],M_BOM[PPGridRow],2),0))</f>
        <v/>
      </c>
      <c r="C48">
        <f>SUMPRODUCT((M_BOM[RM_Code]=$A48)*M_BOM[RM_Qty_Per_Batch]*IFERROR(INDEX(PP_Grid[#Data],M_BOM[PPGridRow],3),0))</f>
        <v/>
      </c>
      <c r="D48">
        <f>SUMPRODUCT((M_BOM[RM_Code]=$A48)*M_BOM[RM_Qty_Per_Batch]*IFERROR(INDEX(PP_Grid[#Data],M_BOM[PPGridRow],4),0))</f>
        <v/>
      </c>
      <c r="E48">
        <f>SUMPRODUCT((M_BOM[RM_Code]=$A48)*M_BOM[RM_Qty_Per_Batch]*IFERROR(INDEX(PP_Grid[#Data],M_BOM[PPGridRow],5),0))</f>
        <v/>
      </c>
      <c r="F48">
        <f>SUMPRODUCT((M_BOM[RM_Code]=$A48)*M_BOM[RM_Qty_Per_Batch]*IFERROR(INDEX(PP_Grid[#Data],M_BOM[PPGridRow],6),0))</f>
        <v/>
      </c>
      <c r="G48">
        <f>SUMPRODUCT((M_BOM[RM_Code]=$A48)*M_BOM[RM_Qty_Per_Batch]*IFERROR(INDEX(PP_Grid[#Data],M_BOM[PPGridRow],7),0))</f>
        <v/>
      </c>
      <c r="H48">
        <f>SUMPRODUCT((M_BOM[RM_Code]=$A48)*M_BOM[RM_Qty_Per_Batch]*IFERROR(INDEX(PP_Grid[#Data],M_BOM[PPGridRow],8),0))</f>
        <v/>
      </c>
      <c r="I48">
        <f>SUMPRODUCT((M_BOM[RM_Code]=$A48)*M_BOM[RM_Qty_Per_Batch]*IFERROR(INDEX(PP_Grid[#Data],M_BOM[PPGridRow],9),0))</f>
        <v/>
      </c>
      <c r="J48">
        <f>SUMPRODUCT((M_BOM[RM_Code]=$A48)*M_BOM[RM_Qty_Per_Batch]*IFERROR(INDEX(PP_Grid[#Data],M_BOM[PPGridRow],10),0))</f>
        <v/>
      </c>
      <c r="K48">
        <f>SUMPRODUCT((M_BOM[RM_Code]=$A48)*M_BOM[RM_Qty_Per_Batch]*IFERROR(INDEX(PP_Grid[#Data],M_BOM[PPGridRow],11),0))</f>
        <v/>
      </c>
      <c r="L48">
        <f>SUMPRODUCT((M_BOM[RM_Code]=$A48)*M_BOM[RM_Qty_Per_Batch]*IFERROR(INDEX(PP_Grid[#Data],M_BOM[PPGridRow],12),0))</f>
        <v/>
      </c>
      <c r="M48">
        <f>SUMPRODUCT((M_BOM[RM_Code]=$A48)*M_BOM[RM_Qty_Per_Batch]*IFERROR(INDEX(PP_Grid[#Data],M_BOM[PPGridRow],13),0))</f>
        <v/>
      </c>
      <c r="N48">
        <f>SUMPRODUCT((M_BOM[RM_Code]=$A48)*M_BOM[RM_Qty_Per_Batch]*IFERROR(INDEX(PP_Grid[#Data],M_BOM[PPGridRow],14),0))</f>
        <v/>
      </c>
      <c r="O48">
        <f>SUMPRODUCT((M_BOM[RM_Code]=$A48)*M_BOM[RM_Qty_Per_Batch]*IFERROR(INDEX(PP_Grid[#Data],M_BOM[PPGridRow],15),0))</f>
        <v/>
      </c>
      <c r="P48">
        <f>SUMPRODUCT((M_BOM[RM_Code]=$A48)*M_BOM[RM_Qty_Per_Batch]*IFERROR(INDEX(PP_Grid[#Data],M_BOM[PPGridRow],16),0))</f>
        <v/>
      </c>
      <c r="Q48">
        <f>SUMPRODUCT((M_BOM[RM_Code]=$A48)*M_BOM[RM_Qty_Per_Batch]*IFERROR(INDEX(PP_Grid[#Data],M_BOM[PPGridRow],17),0))</f>
        <v/>
      </c>
      <c r="R48">
        <f>SUMPRODUCT((M_BOM[RM_Code]=$A48)*M_BOM[RM_Qty_Per_Batch]*IFERROR(INDEX(PP_Grid[#Data],M_BOM[PPGridRow],18),0))</f>
        <v/>
      </c>
      <c r="S48">
        <f>SUMPRODUCT((M_BOM[RM_Code]=$A48)*M_BOM[RM_Qty_Per_Batch]*IFERROR(INDEX(PP_Grid[#Data],M_BOM[PPGridRow],19),0))</f>
        <v/>
      </c>
      <c r="T48">
        <f>SUMPRODUCT((M_BOM[RM_Code]=$A48)*M_BOM[RM_Qty_Per_Batch]*IFERROR(INDEX(PP_Grid[#Data],M_BOM[PPGridRow],20),0))</f>
        <v/>
      </c>
      <c r="U48">
        <f>SUMPRODUCT((M_BOM[RM_Code]=$A48)*M_BOM[RM_Qty_Per_Batch]*IFERROR(INDEX(PP_Grid[#Data],M_BOM[PPGridRow],21),0))</f>
        <v/>
      </c>
      <c r="V48">
        <f>SUMPRODUCT((M_BOM[RM_Code]=$A48)*M_BOM[RM_Qty_Per_Batch]*IFERROR(INDEX(PP_Grid[#Data],M_BOM[PPGridRow],22),0))</f>
        <v/>
      </c>
      <c r="W48">
        <f>SUMPRODUCT((M_BOM[RM_Code]=$A48)*M_BOM[RM_Qty_Per_Batch]*IFERROR(INDEX(PP_Grid[#Data],M_BOM[PPGridRow],23),0))</f>
        <v/>
      </c>
      <c r="X48">
        <f>SUMPRODUCT((M_BOM[RM_Code]=$A48)*M_BOM[RM_Qty_Per_Batch]*IFERROR(INDEX(PP_Grid[#Data],M_BOM[PPGridRow],24),0))</f>
        <v/>
      </c>
      <c r="Y48">
        <f>SUMPRODUCT((M_BOM[RM_Code]=$A48)*M_BOM[RM_Qty_Per_Batch]*IFERROR(INDEX(PP_Grid[#Data],M_BOM[PPGridRow],25),0))</f>
        <v/>
      </c>
      <c r="Z48">
        <f>SUMPRODUCT((M_BOM[RM_Code]=$A48)*M_BOM[RM_Qty_Per_Batch]*IFERROR(INDEX(PP_Grid[#Data],M_BOM[PPGridRow],26),0))</f>
        <v/>
      </c>
      <c r="AA48">
        <f>SUMPRODUCT((M_BOM[RM_Code]=$A48)*M_BOM[RM_Qty_Per_Batch]*IFERROR(INDEX(PP_Grid[#Data],M_BOM[PPGridRow],27),0))</f>
        <v/>
      </c>
      <c r="AB48">
        <f>SUMPRODUCT((M_BOM[RM_Code]=$A48)*M_BOM[RM_Qty_Per_Batch]*IFERROR(INDEX(PP_Grid[#Data],M_BOM[PPGridRow],28),0))</f>
        <v/>
      </c>
      <c r="AC48">
        <f>SUMPRODUCT((M_BOM[RM_Code]=$A48)*M_BOM[RM_Qty_Per_Batch]*IFERROR(INDEX(PP_Grid[#Data],M_BOM[PPGridRow],29),0))</f>
        <v/>
      </c>
      <c r="AD48">
        <f>SUMPRODUCT((M_BOM[RM_Code]=$A48)*M_BOM[RM_Qty_Per_Batch]*IFERROR(INDEX(PP_Grid[#Data],M_BOM[PPGridRow],30),0))</f>
        <v/>
      </c>
      <c r="AE48">
        <f>SUMPRODUCT((M_BOM[RM_Code]=$A48)*M_BOM[RM_Qty_Per_Batch]*IFERROR(INDEX(PP_Grid[#Data],M_BOM[PPGridRow],31),0))</f>
        <v/>
      </c>
      <c r="AF48">
        <f>SUMPRODUCT((M_BOM[RM_Code]=$A48)*M_BOM[RM_Qty_Per_Batch]*IFERROR(INDEX(PP_Grid[#Data],M_BOM[PPGridRow],32),0))</f>
        <v/>
      </c>
      <c r="AG48">
        <f>SUMPRODUCT((M_BOM[RM_Code]=$A48)*M_BOM[RM_Qty_Per_Batch]*IFERROR(INDEX(PP_Grid[#Data],M_BOM[PPGridRow],33),0))</f>
        <v/>
      </c>
      <c r="AH48">
        <f>SUMPRODUCT((M_BOM[RM_Code]=$A48)*M_BOM[RM_Qty_Per_Batch]*IFERROR(INDEX(PP_Grid[#Data],M_BOM[PPGridRow],34),0))</f>
        <v/>
      </c>
      <c r="AI48">
        <f>SUMPRODUCT((M_BOM[RM_Code]=$A48)*M_BOM[RM_Qty_Per_Batch]*IFERROR(INDEX(PP_Grid[#Data],M_BOM[PPGridRow],35),0))</f>
        <v/>
      </c>
      <c r="AJ48">
        <f>SUMPRODUCT((M_BOM[RM_Code]=$A48)*M_BOM[RM_Qty_Per_Batch]*IFERROR(INDEX(PP_Grid[#Data],M_BOM[PPGridRow],36),0))</f>
        <v/>
      </c>
      <c r="AK48">
        <f>SUMPRODUCT((M_BOM[RM_Code]=$A48)*M_BOM[RM_Qty_Per_Batch]*IFERROR(INDEX(PP_Grid[#Data],M_BOM[PPGridRow],37),0))</f>
        <v/>
      </c>
      <c r="AL48">
        <f>SUMPRODUCT((M_BOM[RM_Code]=$A48)*M_BOM[RM_Qty_Per_Batch]*IFERROR(INDEX(PP_Grid[#Data],M_BOM[PPGridRow],38),0))</f>
        <v/>
      </c>
      <c r="AM48">
        <f>SUMPRODUCT((M_BOM[RM_Code]=$A48)*M_BOM[RM_Qty_Per_Batch]*IFERROR(INDEX(PP_Grid[#Data],M_BOM[PPGridRow],39),0))</f>
        <v/>
      </c>
      <c r="AN48">
        <f>SUMPRODUCT((M_BOM[RM_Code]=$A48)*M_BOM[RM_Qty_Per_Batch]*IFERROR(INDEX(PP_Grid[#Data],M_BOM[PPGridRow],40),0))</f>
        <v/>
      </c>
      <c r="AO48">
        <f>SUMPRODUCT((M_BOM[RM_Code]=$A48)*M_BOM[RM_Qty_Per_Batch]*IFERROR(INDEX(PP_Grid[#Data],M_BOM[PPGridRow],41),0))</f>
        <v/>
      </c>
      <c r="AP48">
        <f>SUMPRODUCT((M_BOM[RM_Code]=$A48)*M_BOM[RM_Qty_Per_Batch]*IFERROR(INDEX(PP_Grid[#Data],M_BOM[PPGridRow],42),0))</f>
        <v/>
      </c>
      <c r="AQ48">
        <f>SUMPRODUCT((M_BOM[RM_Code]=$A48)*M_BOM[RM_Qty_Per_Batch]*IFERROR(INDEX(PP_Grid[#Data],M_BOM[PPGridRow],43),0))</f>
        <v/>
      </c>
      <c r="AR48">
        <f>SUMPRODUCT((M_BOM[RM_Code]=$A48)*M_BOM[RM_Qty_Per_Batch]*IFERROR(INDEX(PP_Grid[#Data],M_BOM[PPGridRow],44),0))</f>
        <v/>
      </c>
      <c r="AS48">
        <f>SUMPRODUCT((M_BOM[RM_Code]=$A48)*M_BOM[RM_Qty_Per_Batch]*IFERROR(INDEX(PP_Grid[#Data],M_BOM[PPGridRow],45),0))</f>
        <v/>
      </c>
      <c r="AT48">
        <f>SUMPRODUCT((M_BOM[RM_Code]=$A48)*M_BOM[RM_Qty_Per_Batch]*IFERROR(INDEX(PP_Grid[#Data],M_BOM[PPGridRow],46),0))</f>
        <v/>
      </c>
      <c r="AU48">
        <f>SUMPRODUCT((M_BOM[RM_Code]=$A48)*M_BOM[RM_Qty_Per_Batch]*IFERROR(INDEX(PP_Grid[#Data],M_BOM[PPGridRow],47),0))</f>
        <v/>
      </c>
      <c r="AV48">
        <f>SUMPRODUCT((M_BOM[RM_Code]=$A48)*M_BOM[RM_Qty_Per_Batch]*IFERROR(INDEX(PP_Grid[#Data],M_BOM[PPGridRow],48),0))</f>
        <v/>
      </c>
      <c r="AW48">
        <f>SUMPRODUCT((M_BOM[RM_Code]=$A48)*M_BOM[RM_Qty_Per_Batch]*IFERROR(INDEX(PP_Grid[#Data],M_BOM[PPGridRow],49),0))</f>
        <v/>
      </c>
      <c r="AX48">
        <f>SUMPRODUCT((M_BOM[RM_Code]=$A48)*M_BOM[RM_Qty_Per_Batch]*IFERROR(INDEX(PP_Grid[#Data],M_BOM[PPGridRow],50),0))</f>
        <v/>
      </c>
      <c r="AY48">
        <f>SUMPRODUCT((M_BOM[RM_Code]=$A48)*M_BOM[RM_Qty_Per_Batch]*IFERROR(INDEX(PP_Grid[#Data],M_BOM[PPGridRow],51),0))</f>
        <v/>
      </c>
      <c r="AZ48">
        <f>SUMPRODUCT((M_BOM[RM_Code]=$A48)*M_BOM[RM_Qty_Per_Batch]*IFERROR(INDEX(PP_Grid[#Data],M_BOM[PPGridRow],52),0))</f>
        <v/>
      </c>
      <c r="BA48">
        <f>SUMPRODUCT((M_BOM[RM_Code]=$A48)*M_BOM[RM_Qty_Per_Batch]*IFERROR(INDEX(PP_Grid[#Data],M_BOM[PPGridRow],53),0))</f>
        <v/>
      </c>
      <c r="BB48">
        <f>SUMPRODUCT((M_BOM[RM_Code]=$A48)*M_BOM[RM_Qty_Per_Batch]*IFERROR(INDEX(PP_Grid[#Data],M_BOM[PPGridRow],54),0))</f>
        <v/>
      </c>
      <c r="BC48">
        <f>SUMPRODUCT((M_BOM[RM_Code]=$A48)*M_BOM[RM_Qty_Per_Batch]*IFERROR(INDEX(PP_Grid[#Data],M_BOM[PPGridRow],55),0))</f>
        <v/>
      </c>
      <c r="BD48">
        <f>SUMPRODUCT((M_BOM[RM_Code]=$A48)*M_BOM[RM_Qty_Per_Batch]*IFERROR(INDEX(PP_Grid[#Data],M_BOM[PPGridRow],56),0))</f>
        <v/>
      </c>
      <c r="BE48">
        <f>SUMPRODUCT((M_BOM[RM_Code]=$A48)*M_BOM[RM_Qty_Per_Batch]*IFERROR(INDEX(PP_Grid[#Data],M_BOM[PPGridRow],57),0))</f>
        <v/>
      </c>
      <c r="BF48">
        <f>SUMPRODUCT((M_BOM[RM_Code]=$A48)*M_BOM[RM_Qty_Per_Batch]*IFERROR(INDEX(PP_Grid[#Data],M_BOM[PPGridRow],58),0))</f>
        <v/>
      </c>
      <c r="BG48">
        <f>SUMPRODUCT((M_BOM[RM_Code]=$A48)*M_BOM[RM_Qty_Per_Batch]*IFERROR(INDEX(PP_Grid[#Data],M_BOM[PPGridRow],59),0))</f>
        <v/>
      </c>
      <c r="BH48">
        <f>SUMPRODUCT((M_BOM[RM_Code]=$A48)*M_BOM[RM_Qty_Per_Batch]*IFERROR(INDEX(PP_Grid[#Data],M_BOM[PPGridRow],60),0))</f>
        <v/>
      </c>
      <c r="BI48">
        <f>SUMPRODUCT((M_BOM[RM_Code]=$A48)*M_BOM[RM_Qty_Per_Batch]*IFERROR(INDEX(PP_Grid[#Data],M_BOM[PPGridRow],61),0))</f>
        <v/>
      </c>
      <c r="BJ48">
        <f>SUMPRODUCT((M_BOM[RM_Code]=$A48)*M_BOM[RM_Qty_Per_Batch]*IFERROR(INDEX(PP_Grid[#Data],M_BOM[PPGridRow],62),0))</f>
        <v/>
      </c>
      <c r="BK48">
        <f>SUMPRODUCT((M_BOM[RM_Code]=$A48)*M_BOM[RM_Qty_Per_Batch]*IFERROR(INDEX(PP_Grid[#Data],M_BOM[PPGridRow],63),0))</f>
        <v/>
      </c>
      <c r="BL48">
        <f>SUMPRODUCT((M_BOM[RM_Code]=$A48)*M_BOM[RM_Qty_Per_Batch]*IFERROR(INDEX(PP_Grid[#Data],M_BOM[PPGridRow],64),0))</f>
        <v/>
      </c>
      <c r="BM48">
        <f>SUMPRODUCT((M_BOM[RM_Code]=$A48)*M_BOM[RM_Qty_Per_Batch]*IFERROR(INDEX(PP_Grid[#Data],M_BOM[PPGridRow],65),0))</f>
        <v/>
      </c>
      <c r="BN48">
        <f>SUMPRODUCT((M_BOM[RM_Code]=$A48)*M_BOM[RM_Qty_Per_Batch]*IFERROR(INDEX(PP_Grid[#Data],M_BOM[PPGridRow],66),0))</f>
        <v/>
      </c>
      <c r="BO48">
        <f>SUMPRODUCT((M_BOM[RM_Code]=$A48)*M_BOM[RM_Qty_Per_Batch]*IFERROR(INDEX(PP_Grid[#Data],M_BOM[PPGridRow],67),0))</f>
        <v/>
      </c>
      <c r="BP48">
        <f>SUMPRODUCT((M_BOM[RM_Code]=$A48)*M_BOM[RM_Qty_Per_Batch]*IFERROR(INDEX(PP_Grid[#Data],M_BOM[PPGridRow],68),0))</f>
        <v/>
      </c>
      <c r="BQ48">
        <f>SUMPRODUCT((M_BOM[RM_Code]=$A48)*M_BOM[RM_Qty_Per_Batch]*IFERROR(INDEX(PP_Grid[#Data],M_BOM[PPGridRow],69),0))</f>
        <v/>
      </c>
      <c r="BR48">
        <f>SUMPRODUCT((M_BOM[RM_Code]=$A48)*M_BOM[RM_Qty_Per_Batch]*IFERROR(INDEX(PP_Grid[#Data],M_BOM[PPGridRow],70),0))</f>
        <v/>
      </c>
      <c r="BS48">
        <f>SUMPRODUCT((M_BOM[RM_Code]=$A48)*M_BOM[RM_Qty_Per_Batch]*IFERROR(INDEX(PP_Grid[#Data],M_BOM[PPGridRow],71),0))</f>
        <v/>
      </c>
      <c r="BT48">
        <f>SUMPRODUCT((M_BOM[RM_Code]=$A48)*M_BOM[RM_Qty_Per_Batch]*IFERROR(INDEX(PP_Grid[#Data],M_BOM[PPGridRow],72),0))</f>
        <v/>
      </c>
      <c r="BU48">
        <f>SUMPRODUCT((M_BOM[RM_Code]=$A48)*M_BOM[RM_Qty_Per_Batch]*IFERROR(INDEX(PP_Grid[#Data],M_BOM[PPGridRow],73),0))</f>
        <v/>
      </c>
      <c r="BV48">
        <f>SUMPRODUCT((M_BOM[RM_Code]=$A48)*M_BOM[RM_Qty_Per_Batch]*IFERROR(INDEX(PP_Grid[#Data],M_BOM[PPGridRow],74),0))</f>
        <v/>
      </c>
      <c r="BW48">
        <f>SUMPRODUCT((M_BOM[RM_Code]=$A48)*M_BOM[RM_Qty_Per_Batch]*IFERROR(INDEX(PP_Grid[#Data],M_BOM[PPGridRow],75),0))</f>
        <v/>
      </c>
      <c r="BX48">
        <f>SUMPRODUCT((M_BOM[RM_Code]=$A48)*M_BOM[RM_Qty_Per_Batch]*IFERROR(INDEX(PP_Grid[#Data],M_BOM[PPGridRow],76),0))</f>
        <v/>
      </c>
      <c r="BY48">
        <f>SUMPRODUCT((M_BOM[RM_Code]=$A48)*M_BOM[RM_Qty_Per_Batch]*IFERROR(INDEX(PP_Grid[#Data],M_BOM[PPGridRow],77),0))</f>
        <v/>
      </c>
      <c r="BZ48">
        <f>SUMPRODUCT((M_BOM[RM_Code]=$A48)*M_BOM[RM_Qty_Per_Batch]*IFERROR(INDEX(PP_Grid[#Data],M_BOM[PPGridRow],78),0))</f>
        <v/>
      </c>
      <c r="CA48">
        <f>SUMPRODUCT((M_BOM[RM_Code]=$A48)*M_BOM[RM_Qty_Per_Batch]*IFERROR(INDEX(PP_Grid[#Data],M_BOM[PPGridRow],79),0))</f>
        <v/>
      </c>
      <c r="CB48">
        <f>SUMPRODUCT((M_BOM[RM_Code]=$A48)*M_BOM[RM_Qty_Per_Batch]*IFERROR(INDEX(PP_Grid[#Data],M_BOM[PPGridRow],80),0))</f>
        <v/>
      </c>
      <c r="CC48">
        <f>SUMPRODUCT((M_BOM[RM_Code]=$A48)*M_BOM[RM_Qty_Per_Batch]*IFERROR(INDEX(PP_Grid[#Data],M_BOM[PPGridRow],81),0))</f>
        <v/>
      </c>
      <c r="CD48">
        <f>SUMPRODUCT((M_BOM[RM_Code]=$A48)*M_BOM[RM_Qty_Per_Batch]*IFERROR(INDEX(PP_Grid[#Data],M_BOM[PPGridRow],82),0))</f>
        <v/>
      </c>
      <c r="CE48">
        <f>SUMPRODUCT((M_BOM[RM_Code]=$A48)*M_BOM[RM_Qty_Per_Batch]*IFERROR(INDEX(PP_Grid[#Data],M_BOM[PPGridRow],83),0))</f>
        <v/>
      </c>
      <c r="CF48">
        <f>SUMPRODUCT((M_BOM[RM_Code]=$A48)*M_BOM[RM_Qty_Per_Batch]*IFERROR(INDEX(PP_Grid[#Data],M_BOM[PPGridRow],84),0))</f>
        <v/>
      </c>
      <c r="CG48">
        <f>SUMPRODUCT((M_BOM[RM_Code]=$A48)*M_BOM[RM_Qty_Per_Batch]*IFERROR(INDEX(PP_Grid[#Data],M_BOM[PPGridRow],85),0))</f>
        <v/>
      </c>
      <c r="CH48">
        <f>SUMPRODUCT((M_BOM[RM_Code]=$A48)*M_BOM[RM_Qty_Per_Batch]*IFERROR(INDEX(PP_Grid[#Data],M_BOM[PPGridRow],86),0))</f>
        <v/>
      </c>
      <c r="CI48">
        <f>SUMPRODUCT((M_BOM[RM_Code]=$A48)*M_BOM[RM_Qty_Per_Batch]*IFERROR(INDEX(PP_Grid[#Data],M_BOM[PPGridRow],87),0))</f>
        <v/>
      </c>
      <c r="CJ48">
        <f>SUMPRODUCT((M_BOM[RM_Code]=$A48)*M_BOM[RM_Qty_Per_Batch]*IFERROR(INDEX(PP_Grid[#Data],M_BOM[PPGridRow],88),0))</f>
        <v/>
      </c>
      <c r="CK48">
        <f>SUMPRODUCT((M_BOM[RM_Code]=$A48)*M_BOM[RM_Qty_Per_Batch]*IFERROR(INDEX(PP_Grid[#Data],M_BOM[PPGridRow],89),0))</f>
        <v/>
      </c>
      <c r="CL48">
        <f>SUMPRODUCT((M_BOM[RM_Code]=$A48)*M_BOM[RM_Qty_Per_Batch]*IFERROR(INDEX(PP_Grid[#Data],M_BOM[PPGridRow],90),0))</f>
        <v/>
      </c>
      <c r="CM48">
        <f>SUMPRODUCT((M_BOM[RM_Code]=$A48)*M_BOM[RM_Qty_Per_Batch]*IFERROR(INDEX(PP_Grid[#Data],M_BOM[PPGridRow],91),0))</f>
        <v/>
      </c>
      <c r="CN48">
        <f>SUMPRODUCT((M_BOM[RM_Code]=$A48)*M_BOM[RM_Qty_Per_Batch]*IFERROR(INDEX(PP_Grid[#Data],M_BOM[PPGridRow],92),0))</f>
        <v/>
      </c>
      <c r="CO48">
        <f>SUMPRODUCT((M_BOM[RM_Code]=$A48)*M_BOM[RM_Qty_Per_Batch]*IFERROR(INDEX(PP_Grid[#Data],M_BOM[PPGridRow],93),0))</f>
        <v/>
      </c>
      <c r="CP48">
        <f>SUMPRODUCT((M_BOM[RM_Code]=$A48)*M_BOM[RM_Qty_Per_Batch]*IFERROR(INDEX(PP_Grid[#Data],M_BOM[PPGridRow],94),0))</f>
        <v/>
      </c>
      <c r="CQ48">
        <f>SUMPRODUCT((M_BOM[RM_Code]=$A48)*M_BOM[RM_Qty_Per_Batch]*IFERROR(INDEX(PP_Grid[#Data],M_BOM[PPGridRow],95),0))</f>
        <v/>
      </c>
      <c r="CR48">
        <f>SUMPRODUCT((M_BOM[RM_Code]=$A48)*M_BOM[RM_Qty_Per_Batch]*IFERROR(INDEX(PP_Grid[#Data],M_BOM[PPGridRow],96),0))</f>
        <v/>
      </c>
      <c r="CS48">
        <f>SUMPRODUCT((M_BOM[RM_Code]=$A48)*M_BOM[RM_Qty_Per_Batch]*IFERROR(INDEX(PP_Grid[#Data],M_BOM[PPGridRow],97),0))</f>
        <v/>
      </c>
      <c r="CT48">
        <f>SUMPRODUCT((M_BOM[RM_Code]=$A48)*M_BOM[RM_Qty_Per_Batch]*IFERROR(INDEX(PP_Grid[#Data],M_BOM[PPGridRow],98),0))</f>
        <v/>
      </c>
      <c r="CU48">
        <f>SUMPRODUCT((M_BOM[RM_Code]=$A48)*M_BOM[RM_Qty_Per_Batch]*IFERROR(INDEX(PP_Grid[#Data],M_BOM[PPGridRow],99),0))</f>
        <v/>
      </c>
      <c r="CV48">
        <f>SUMPRODUCT((M_BOM[RM_Code]=$A48)*M_BOM[RM_Qty_Per_Batch]*IFERROR(INDEX(PP_Grid[#Data],M_BOM[PPGridRow],100),0))</f>
        <v/>
      </c>
      <c r="CW48">
        <f>SUMPRODUCT((M_BOM[RM_Code]=$A48)*M_BOM[RM_Qty_Per_Batch]*IFERROR(INDEX(PP_Grid[#Data],M_BOM[PPGridRow],101),0))</f>
        <v/>
      </c>
      <c r="CX48">
        <f>SUMPRODUCT((M_BOM[RM_Code]=$A48)*M_BOM[RM_Qty_Per_Batch]*IFERROR(INDEX(PP_Grid[#Data],M_BOM[PPGridRow],102),0))</f>
        <v/>
      </c>
      <c r="CY48">
        <f>SUMPRODUCT((M_BOM[RM_Code]=$A48)*M_BOM[RM_Qty_Per_Batch]*IFERROR(INDEX(PP_Grid[#Data],M_BOM[PPGridRow],103),0))</f>
        <v/>
      </c>
      <c r="CZ48">
        <f>SUMPRODUCT((M_BOM[RM_Code]=$A48)*M_BOM[RM_Qty_Per_Batch]*IFERROR(INDEX(PP_Grid[#Data],M_BOM[PPGridRow],104),0))</f>
        <v/>
      </c>
      <c r="DA48">
        <f>SUMPRODUCT((M_BOM[RM_Code]=$A48)*M_BOM[RM_Qty_Per_Batch]*IFERROR(INDEX(PP_Grid[#Data],M_BOM[PPGridRow],105),0))</f>
        <v/>
      </c>
    </row>
    <row r="49">
      <c r="A49" t="inlineStr">
        <is>
          <t>CHEM-1470</t>
        </is>
      </c>
      <c r="B49">
        <f>SUMPRODUCT((M_BOM[RM_Code]=$A49)*M_BOM[RM_Qty_Per_Batch]*IFERROR(INDEX(PP_Grid[#Data],M_BOM[PPGridRow],2),0))</f>
        <v/>
      </c>
      <c r="C49">
        <f>SUMPRODUCT((M_BOM[RM_Code]=$A49)*M_BOM[RM_Qty_Per_Batch]*IFERROR(INDEX(PP_Grid[#Data],M_BOM[PPGridRow],3),0))</f>
        <v/>
      </c>
      <c r="D49">
        <f>SUMPRODUCT((M_BOM[RM_Code]=$A49)*M_BOM[RM_Qty_Per_Batch]*IFERROR(INDEX(PP_Grid[#Data],M_BOM[PPGridRow],4),0))</f>
        <v/>
      </c>
      <c r="E49">
        <f>SUMPRODUCT((M_BOM[RM_Code]=$A49)*M_BOM[RM_Qty_Per_Batch]*IFERROR(INDEX(PP_Grid[#Data],M_BOM[PPGridRow],5),0))</f>
        <v/>
      </c>
      <c r="F49">
        <f>SUMPRODUCT((M_BOM[RM_Code]=$A49)*M_BOM[RM_Qty_Per_Batch]*IFERROR(INDEX(PP_Grid[#Data],M_BOM[PPGridRow],6),0))</f>
        <v/>
      </c>
      <c r="G49">
        <f>SUMPRODUCT((M_BOM[RM_Code]=$A49)*M_BOM[RM_Qty_Per_Batch]*IFERROR(INDEX(PP_Grid[#Data],M_BOM[PPGridRow],7),0))</f>
        <v/>
      </c>
      <c r="H49">
        <f>SUMPRODUCT((M_BOM[RM_Code]=$A49)*M_BOM[RM_Qty_Per_Batch]*IFERROR(INDEX(PP_Grid[#Data],M_BOM[PPGridRow],8),0))</f>
        <v/>
      </c>
      <c r="I49">
        <f>SUMPRODUCT((M_BOM[RM_Code]=$A49)*M_BOM[RM_Qty_Per_Batch]*IFERROR(INDEX(PP_Grid[#Data],M_BOM[PPGridRow],9),0))</f>
        <v/>
      </c>
      <c r="J49">
        <f>SUMPRODUCT((M_BOM[RM_Code]=$A49)*M_BOM[RM_Qty_Per_Batch]*IFERROR(INDEX(PP_Grid[#Data],M_BOM[PPGridRow],10),0))</f>
        <v/>
      </c>
      <c r="K49">
        <f>SUMPRODUCT((M_BOM[RM_Code]=$A49)*M_BOM[RM_Qty_Per_Batch]*IFERROR(INDEX(PP_Grid[#Data],M_BOM[PPGridRow],11),0))</f>
        <v/>
      </c>
      <c r="L49">
        <f>SUMPRODUCT((M_BOM[RM_Code]=$A49)*M_BOM[RM_Qty_Per_Batch]*IFERROR(INDEX(PP_Grid[#Data],M_BOM[PPGridRow],12),0))</f>
        <v/>
      </c>
      <c r="M49">
        <f>SUMPRODUCT((M_BOM[RM_Code]=$A49)*M_BOM[RM_Qty_Per_Batch]*IFERROR(INDEX(PP_Grid[#Data],M_BOM[PPGridRow],13),0))</f>
        <v/>
      </c>
      <c r="N49">
        <f>SUMPRODUCT((M_BOM[RM_Code]=$A49)*M_BOM[RM_Qty_Per_Batch]*IFERROR(INDEX(PP_Grid[#Data],M_BOM[PPGridRow],14),0))</f>
        <v/>
      </c>
      <c r="O49">
        <f>SUMPRODUCT((M_BOM[RM_Code]=$A49)*M_BOM[RM_Qty_Per_Batch]*IFERROR(INDEX(PP_Grid[#Data],M_BOM[PPGridRow],15),0))</f>
        <v/>
      </c>
      <c r="P49">
        <f>SUMPRODUCT((M_BOM[RM_Code]=$A49)*M_BOM[RM_Qty_Per_Batch]*IFERROR(INDEX(PP_Grid[#Data],M_BOM[PPGridRow],16),0))</f>
        <v/>
      </c>
      <c r="Q49">
        <f>SUMPRODUCT((M_BOM[RM_Code]=$A49)*M_BOM[RM_Qty_Per_Batch]*IFERROR(INDEX(PP_Grid[#Data],M_BOM[PPGridRow],17),0))</f>
        <v/>
      </c>
      <c r="R49">
        <f>SUMPRODUCT((M_BOM[RM_Code]=$A49)*M_BOM[RM_Qty_Per_Batch]*IFERROR(INDEX(PP_Grid[#Data],M_BOM[PPGridRow],18),0))</f>
        <v/>
      </c>
      <c r="S49">
        <f>SUMPRODUCT((M_BOM[RM_Code]=$A49)*M_BOM[RM_Qty_Per_Batch]*IFERROR(INDEX(PP_Grid[#Data],M_BOM[PPGridRow],19),0))</f>
        <v/>
      </c>
      <c r="T49">
        <f>SUMPRODUCT((M_BOM[RM_Code]=$A49)*M_BOM[RM_Qty_Per_Batch]*IFERROR(INDEX(PP_Grid[#Data],M_BOM[PPGridRow],20),0))</f>
        <v/>
      </c>
      <c r="U49">
        <f>SUMPRODUCT((M_BOM[RM_Code]=$A49)*M_BOM[RM_Qty_Per_Batch]*IFERROR(INDEX(PP_Grid[#Data],M_BOM[PPGridRow],21),0))</f>
        <v/>
      </c>
      <c r="V49">
        <f>SUMPRODUCT((M_BOM[RM_Code]=$A49)*M_BOM[RM_Qty_Per_Batch]*IFERROR(INDEX(PP_Grid[#Data],M_BOM[PPGridRow],22),0))</f>
        <v/>
      </c>
      <c r="W49">
        <f>SUMPRODUCT((M_BOM[RM_Code]=$A49)*M_BOM[RM_Qty_Per_Batch]*IFERROR(INDEX(PP_Grid[#Data],M_BOM[PPGridRow],23),0))</f>
        <v/>
      </c>
      <c r="X49">
        <f>SUMPRODUCT((M_BOM[RM_Code]=$A49)*M_BOM[RM_Qty_Per_Batch]*IFERROR(INDEX(PP_Grid[#Data],M_BOM[PPGridRow],24),0))</f>
        <v/>
      </c>
      <c r="Y49">
        <f>SUMPRODUCT((M_BOM[RM_Code]=$A49)*M_BOM[RM_Qty_Per_Batch]*IFERROR(INDEX(PP_Grid[#Data],M_BOM[PPGridRow],25),0))</f>
        <v/>
      </c>
      <c r="Z49">
        <f>SUMPRODUCT((M_BOM[RM_Code]=$A49)*M_BOM[RM_Qty_Per_Batch]*IFERROR(INDEX(PP_Grid[#Data],M_BOM[PPGridRow],26),0))</f>
        <v/>
      </c>
      <c r="AA49">
        <f>SUMPRODUCT((M_BOM[RM_Code]=$A49)*M_BOM[RM_Qty_Per_Batch]*IFERROR(INDEX(PP_Grid[#Data],M_BOM[PPGridRow],27),0))</f>
        <v/>
      </c>
      <c r="AB49">
        <f>SUMPRODUCT((M_BOM[RM_Code]=$A49)*M_BOM[RM_Qty_Per_Batch]*IFERROR(INDEX(PP_Grid[#Data],M_BOM[PPGridRow],28),0))</f>
        <v/>
      </c>
      <c r="AC49">
        <f>SUMPRODUCT((M_BOM[RM_Code]=$A49)*M_BOM[RM_Qty_Per_Batch]*IFERROR(INDEX(PP_Grid[#Data],M_BOM[PPGridRow],29),0))</f>
        <v/>
      </c>
      <c r="AD49">
        <f>SUMPRODUCT((M_BOM[RM_Code]=$A49)*M_BOM[RM_Qty_Per_Batch]*IFERROR(INDEX(PP_Grid[#Data],M_BOM[PPGridRow],30),0))</f>
        <v/>
      </c>
      <c r="AE49">
        <f>SUMPRODUCT((M_BOM[RM_Code]=$A49)*M_BOM[RM_Qty_Per_Batch]*IFERROR(INDEX(PP_Grid[#Data],M_BOM[PPGridRow],31),0))</f>
        <v/>
      </c>
      <c r="AF49">
        <f>SUMPRODUCT((M_BOM[RM_Code]=$A49)*M_BOM[RM_Qty_Per_Batch]*IFERROR(INDEX(PP_Grid[#Data],M_BOM[PPGridRow],32),0))</f>
        <v/>
      </c>
      <c r="AG49">
        <f>SUMPRODUCT((M_BOM[RM_Code]=$A49)*M_BOM[RM_Qty_Per_Batch]*IFERROR(INDEX(PP_Grid[#Data],M_BOM[PPGridRow],33),0))</f>
        <v/>
      </c>
      <c r="AH49">
        <f>SUMPRODUCT((M_BOM[RM_Code]=$A49)*M_BOM[RM_Qty_Per_Batch]*IFERROR(INDEX(PP_Grid[#Data],M_BOM[PPGridRow],34),0))</f>
        <v/>
      </c>
      <c r="AI49">
        <f>SUMPRODUCT((M_BOM[RM_Code]=$A49)*M_BOM[RM_Qty_Per_Batch]*IFERROR(INDEX(PP_Grid[#Data],M_BOM[PPGridRow],35),0))</f>
        <v/>
      </c>
      <c r="AJ49">
        <f>SUMPRODUCT((M_BOM[RM_Code]=$A49)*M_BOM[RM_Qty_Per_Batch]*IFERROR(INDEX(PP_Grid[#Data],M_BOM[PPGridRow],36),0))</f>
        <v/>
      </c>
      <c r="AK49">
        <f>SUMPRODUCT((M_BOM[RM_Code]=$A49)*M_BOM[RM_Qty_Per_Batch]*IFERROR(INDEX(PP_Grid[#Data],M_BOM[PPGridRow],37),0))</f>
        <v/>
      </c>
      <c r="AL49">
        <f>SUMPRODUCT((M_BOM[RM_Code]=$A49)*M_BOM[RM_Qty_Per_Batch]*IFERROR(INDEX(PP_Grid[#Data],M_BOM[PPGridRow],38),0))</f>
        <v/>
      </c>
      <c r="AM49">
        <f>SUMPRODUCT((M_BOM[RM_Code]=$A49)*M_BOM[RM_Qty_Per_Batch]*IFERROR(INDEX(PP_Grid[#Data],M_BOM[PPGridRow],39),0))</f>
        <v/>
      </c>
      <c r="AN49">
        <f>SUMPRODUCT((M_BOM[RM_Code]=$A49)*M_BOM[RM_Qty_Per_Batch]*IFERROR(INDEX(PP_Grid[#Data],M_BOM[PPGridRow],40),0))</f>
        <v/>
      </c>
      <c r="AO49">
        <f>SUMPRODUCT((M_BOM[RM_Code]=$A49)*M_BOM[RM_Qty_Per_Batch]*IFERROR(INDEX(PP_Grid[#Data],M_BOM[PPGridRow],41),0))</f>
        <v/>
      </c>
      <c r="AP49">
        <f>SUMPRODUCT((M_BOM[RM_Code]=$A49)*M_BOM[RM_Qty_Per_Batch]*IFERROR(INDEX(PP_Grid[#Data],M_BOM[PPGridRow],42),0))</f>
        <v/>
      </c>
      <c r="AQ49">
        <f>SUMPRODUCT((M_BOM[RM_Code]=$A49)*M_BOM[RM_Qty_Per_Batch]*IFERROR(INDEX(PP_Grid[#Data],M_BOM[PPGridRow],43),0))</f>
        <v/>
      </c>
      <c r="AR49">
        <f>SUMPRODUCT((M_BOM[RM_Code]=$A49)*M_BOM[RM_Qty_Per_Batch]*IFERROR(INDEX(PP_Grid[#Data],M_BOM[PPGridRow],44),0))</f>
        <v/>
      </c>
      <c r="AS49">
        <f>SUMPRODUCT((M_BOM[RM_Code]=$A49)*M_BOM[RM_Qty_Per_Batch]*IFERROR(INDEX(PP_Grid[#Data],M_BOM[PPGridRow],45),0))</f>
        <v/>
      </c>
      <c r="AT49">
        <f>SUMPRODUCT((M_BOM[RM_Code]=$A49)*M_BOM[RM_Qty_Per_Batch]*IFERROR(INDEX(PP_Grid[#Data],M_BOM[PPGridRow],46),0))</f>
        <v/>
      </c>
      <c r="AU49">
        <f>SUMPRODUCT((M_BOM[RM_Code]=$A49)*M_BOM[RM_Qty_Per_Batch]*IFERROR(INDEX(PP_Grid[#Data],M_BOM[PPGridRow],47),0))</f>
        <v/>
      </c>
      <c r="AV49">
        <f>SUMPRODUCT((M_BOM[RM_Code]=$A49)*M_BOM[RM_Qty_Per_Batch]*IFERROR(INDEX(PP_Grid[#Data],M_BOM[PPGridRow],48),0))</f>
        <v/>
      </c>
      <c r="AW49">
        <f>SUMPRODUCT((M_BOM[RM_Code]=$A49)*M_BOM[RM_Qty_Per_Batch]*IFERROR(INDEX(PP_Grid[#Data],M_BOM[PPGridRow],49),0))</f>
        <v/>
      </c>
      <c r="AX49">
        <f>SUMPRODUCT((M_BOM[RM_Code]=$A49)*M_BOM[RM_Qty_Per_Batch]*IFERROR(INDEX(PP_Grid[#Data],M_BOM[PPGridRow],50),0))</f>
        <v/>
      </c>
      <c r="AY49">
        <f>SUMPRODUCT((M_BOM[RM_Code]=$A49)*M_BOM[RM_Qty_Per_Batch]*IFERROR(INDEX(PP_Grid[#Data],M_BOM[PPGridRow],51),0))</f>
        <v/>
      </c>
      <c r="AZ49">
        <f>SUMPRODUCT((M_BOM[RM_Code]=$A49)*M_BOM[RM_Qty_Per_Batch]*IFERROR(INDEX(PP_Grid[#Data],M_BOM[PPGridRow],52),0))</f>
        <v/>
      </c>
      <c r="BA49">
        <f>SUMPRODUCT((M_BOM[RM_Code]=$A49)*M_BOM[RM_Qty_Per_Batch]*IFERROR(INDEX(PP_Grid[#Data],M_BOM[PPGridRow],53),0))</f>
        <v/>
      </c>
      <c r="BB49">
        <f>SUMPRODUCT((M_BOM[RM_Code]=$A49)*M_BOM[RM_Qty_Per_Batch]*IFERROR(INDEX(PP_Grid[#Data],M_BOM[PPGridRow],54),0))</f>
        <v/>
      </c>
      <c r="BC49">
        <f>SUMPRODUCT((M_BOM[RM_Code]=$A49)*M_BOM[RM_Qty_Per_Batch]*IFERROR(INDEX(PP_Grid[#Data],M_BOM[PPGridRow],55),0))</f>
        <v/>
      </c>
      <c r="BD49">
        <f>SUMPRODUCT((M_BOM[RM_Code]=$A49)*M_BOM[RM_Qty_Per_Batch]*IFERROR(INDEX(PP_Grid[#Data],M_BOM[PPGridRow],56),0))</f>
        <v/>
      </c>
      <c r="BE49">
        <f>SUMPRODUCT((M_BOM[RM_Code]=$A49)*M_BOM[RM_Qty_Per_Batch]*IFERROR(INDEX(PP_Grid[#Data],M_BOM[PPGridRow],57),0))</f>
        <v/>
      </c>
      <c r="BF49">
        <f>SUMPRODUCT((M_BOM[RM_Code]=$A49)*M_BOM[RM_Qty_Per_Batch]*IFERROR(INDEX(PP_Grid[#Data],M_BOM[PPGridRow],58),0))</f>
        <v/>
      </c>
      <c r="BG49">
        <f>SUMPRODUCT((M_BOM[RM_Code]=$A49)*M_BOM[RM_Qty_Per_Batch]*IFERROR(INDEX(PP_Grid[#Data],M_BOM[PPGridRow],59),0))</f>
        <v/>
      </c>
      <c r="BH49">
        <f>SUMPRODUCT((M_BOM[RM_Code]=$A49)*M_BOM[RM_Qty_Per_Batch]*IFERROR(INDEX(PP_Grid[#Data],M_BOM[PPGridRow],60),0))</f>
        <v/>
      </c>
      <c r="BI49">
        <f>SUMPRODUCT((M_BOM[RM_Code]=$A49)*M_BOM[RM_Qty_Per_Batch]*IFERROR(INDEX(PP_Grid[#Data],M_BOM[PPGridRow],61),0))</f>
        <v/>
      </c>
      <c r="BJ49">
        <f>SUMPRODUCT((M_BOM[RM_Code]=$A49)*M_BOM[RM_Qty_Per_Batch]*IFERROR(INDEX(PP_Grid[#Data],M_BOM[PPGridRow],62),0))</f>
        <v/>
      </c>
      <c r="BK49">
        <f>SUMPRODUCT((M_BOM[RM_Code]=$A49)*M_BOM[RM_Qty_Per_Batch]*IFERROR(INDEX(PP_Grid[#Data],M_BOM[PPGridRow],63),0))</f>
        <v/>
      </c>
      <c r="BL49">
        <f>SUMPRODUCT((M_BOM[RM_Code]=$A49)*M_BOM[RM_Qty_Per_Batch]*IFERROR(INDEX(PP_Grid[#Data],M_BOM[PPGridRow],64),0))</f>
        <v/>
      </c>
      <c r="BM49">
        <f>SUMPRODUCT((M_BOM[RM_Code]=$A49)*M_BOM[RM_Qty_Per_Batch]*IFERROR(INDEX(PP_Grid[#Data],M_BOM[PPGridRow],65),0))</f>
        <v/>
      </c>
      <c r="BN49">
        <f>SUMPRODUCT((M_BOM[RM_Code]=$A49)*M_BOM[RM_Qty_Per_Batch]*IFERROR(INDEX(PP_Grid[#Data],M_BOM[PPGridRow],66),0))</f>
        <v/>
      </c>
      <c r="BO49">
        <f>SUMPRODUCT((M_BOM[RM_Code]=$A49)*M_BOM[RM_Qty_Per_Batch]*IFERROR(INDEX(PP_Grid[#Data],M_BOM[PPGridRow],67),0))</f>
        <v/>
      </c>
      <c r="BP49">
        <f>SUMPRODUCT((M_BOM[RM_Code]=$A49)*M_BOM[RM_Qty_Per_Batch]*IFERROR(INDEX(PP_Grid[#Data],M_BOM[PPGridRow],68),0))</f>
        <v/>
      </c>
      <c r="BQ49">
        <f>SUMPRODUCT((M_BOM[RM_Code]=$A49)*M_BOM[RM_Qty_Per_Batch]*IFERROR(INDEX(PP_Grid[#Data],M_BOM[PPGridRow],69),0))</f>
        <v/>
      </c>
      <c r="BR49">
        <f>SUMPRODUCT((M_BOM[RM_Code]=$A49)*M_BOM[RM_Qty_Per_Batch]*IFERROR(INDEX(PP_Grid[#Data],M_BOM[PPGridRow],70),0))</f>
        <v/>
      </c>
      <c r="BS49">
        <f>SUMPRODUCT((M_BOM[RM_Code]=$A49)*M_BOM[RM_Qty_Per_Batch]*IFERROR(INDEX(PP_Grid[#Data],M_BOM[PPGridRow],71),0))</f>
        <v/>
      </c>
      <c r="BT49">
        <f>SUMPRODUCT((M_BOM[RM_Code]=$A49)*M_BOM[RM_Qty_Per_Batch]*IFERROR(INDEX(PP_Grid[#Data],M_BOM[PPGridRow],72),0))</f>
        <v/>
      </c>
      <c r="BU49">
        <f>SUMPRODUCT((M_BOM[RM_Code]=$A49)*M_BOM[RM_Qty_Per_Batch]*IFERROR(INDEX(PP_Grid[#Data],M_BOM[PPGridRow],73),0))</f>
        <v/>
      </c>
      <c r="BV49">
        <f>SUMPRODUCT((M_BOM[RM_Code]=$A49)*M_BOM[RM_Qty_Per_Batch]*IFERROR(INDEX(PP_Grid[#Data],M_BOM[PPGridRow],74),0))</f>
        <v/>
      </c>
      <c r="BW49">
        <f>SUMPRODUCT((M_BOM[RM_Code]=$A49)*M_BOM[RM_Qty_Per_Batch]*IFERROR(INDEX(PP_Grid[#Data],M_BOM[PPGridRow],75),0))</f>
        <v/>
      </c>
      <c r="BX49">
        <f>SUMPRODUCT((M_BOM[RM_Code]=$A49)*M_BOM[RM_Qty_Per_Batch]*IFERROR(INDEX(PP_Grid[#Data],M_BOM[PPGridRow],76),0))</f>
        <v/>
      </c>
      <c r="BY49">
        <f>SUMPRODUCT((M_BOM[RM_Code]=$A49)*M_BOM[RM_Qty_Per_Batch]*IFERROR(INDEX(PP_Grid[#Data],M_BOM[PPGridRow],77),0))</f>
        <v/>
      </c>
      <c r="BZ49">
        <f>SUMPRODUCT((M_BOM[RM_Code]=$A49)*M_BOM[RM_Qty_Per_Batch]*IFERROR(INDEX(PP_Grid[#Data],M_BOM[PPGridRow],78),0))</f>
        <v/>
      </c>
      <c r="CA49">
        <f>SUMPRODUCT((M_BOM[RM_Code]=$A49)*M_BOM[RM_Qty_Per_Batch]*IFERROR(INDEX(PP_Grid[#Data],M_BOM[PPGridRow],79),0))</f>
        <v/>
      </c>
      <c r="CB49">
        <f>SUMPRODUCT((M_BOM[RM_Code]=$A49)*M_BOM[RM_Qty_Per_Batch]*IFERROR(INDEX(PP_Grid[#Data],M_BOM[PPGridRow],80),0))</f>
        <v/>
      </c>
      <c r="CC49">
        <f>SUMPRODUCT((M_BOM[RM_Code]=$A49)*M_BOM[RM_Qty_Per_Batch]*IFERROR(INDEX(PP_Grid[#Data],M_BOM[PPGridRow],81),0))</f>
        <v/>
      </c>
      <c r="CD49">
        <f>SUMPRODUCT((M_BOM[RM_Code]=$A49)*M_BOM[RM_Qty_Per_Batch]*IFERROR(INDEX(PP_Grid[#Data],M_BOM[PPGridRow],82),0))</f>
        <v/>
      </c>
      <c r="CE49">
        <f>SUMPRODUCT((M_BOM[RM_Code]=$A49)*M_BOM[RM_Qty_Per_Batch]*IFERROR(INDEX(PP_Grid[#Data],M_BOM[PPGridRow],83),0))</f>
        <v/>
      </c>
      <c r="CF49">
        <f>SUMPRODUCT((M_BOM[RM_Code]=$A49)*M_BOM[RM_Qty_Per_Batch]*IFERROR(INDEX(PP_Grid[#Data],M_BOM[PPGridRow],84),0))</f>
        <v/>
      </c>
      <c r="CG49">
        <f>SUMPRODUCT((M_BOM[RM_Code]=$A49)*M_BOM[RM_Qty_Per_Batch]*IFERROR(INDEX(PP_Grid[#Data],M_BOM[PPGridRow],85),0))</f>
        <v/>
      </c>
      <c r="CH49">
        <f>SUMPRODUCT((M_BOM[RM_Code]=$A49)*M_BOM[RM_Qty_Per_Batch]*IFERROR(INDEX(PP_Grid[#Data],M_BOM[PPGridRow],86),0))</f>
        <v/>
      </c>
      <c r="CI49">
        <f>SUMPRODUCT((M_BOM[RM_Code]=$A49)*M_BOM[RM_Qty_Per_Batch]*IFERROR(INDEX(PP_Grid[#Data],M_BOM[PPGridRow],87),0))</f>
        <v/>
      </c>
      <c r="CJ49">
        <f>SUMPRODUCT((M_BOM[RM_Code]=$A49)*M_BOM[RM_Qty_Per_Batch]*IFERROR(INDEX(PP_Grid[#Data],M_BOM[PPGridRow],88),0))</f>
        <v/>
      </c>
      <c r="CK49">
        <f>SUMPRODUCT((M_BOM[RM_Code]=$A49)*M_BOM[RM_Qty_Per_Batch]*IFERROR(INDEX(PP_Grid[#Data],M_BOM[PPGridRow],89),0))</f>
        <v/>
      </c>
      <c r="CL49">
        <f>SUMPRODUCT((M_BOM[RM_Code]=$A49)*M_BOM[RM_Qty_Per_Batch]*IFERROR(INDEX(PP_Grid[#Data],M_BOM[PPGridRow],90),0))</f>
        <v/>
      </c>
      <c r="CM49">
        <f>SUMPRODUCT((M_BOM[RM_Code]=$A49)*M_BOM[RM_Qty_Per_Batch]*IFERROR(INDEX(PP_Grid[#Data],M_BOM[PPGridRow],91),0))</f>
        <v/>
      </c>
      <c r="CN49">
        <f>SUMPRODUCT((M_BOM[RM_Code]=$A49)*M_BOM[RM_Qty_Per_Batch]*IFERROR(INDEX(PP_Grid[#Data],M_BOM[PPGridRow],92),0))</f>
        <v/>
      </c>
      <c r="CO49">
        <f>SUMPRODUCT((M_BOM[RM_Code]=$A49)*M_BOM[RM_Qty_Per_Batch]*IFERROR(INDEX(PP_Grid[#Data],M_BOM[PPGridRow],93),0))</f>
        <v/>
      </c>
      <c r="CP49">
        <f>SUMPRODUCT((M_BOM[RM_Code]=$A49)*M_BOM[RM_Qty_Per_Batch]*IFERROR(INDEX(PP_Grid[#Data],M_BOM[PPGridRow],94),0))</f>
        <v/>
      </c>
      <c r="CQ49">
        <f>SUMPRODUCT((M_BOM[RM_Code]=$A49)*M_BOM[RM_Qty_Per_Batch]*IFERROR(INDEX(PP_Grid[#Data],M_BOM[PPGridRow],95),0))</f>
        <v/>
      </c>
      <c r="CR49">
        <f>SUMPRODUCT((M_BOM[RM_Code]=$A49)*M_BOM[RM_Qty_Per_Batch]*IFERROR(INDEX(PP_Grid[#Data],M_BOM[PPGridRow],96),0))</f>
        <v/>
      </c>
      <c r="CS49">
        <f>SUMPRODUCT((M_BOM[RM_Code]=$A49)*M_BOM[RM_Qty_Per_Batch]*IFERROR(INDEX(PP_Grid[#Data],M_BOM[PPGridRow],97),0))</f>
        <v/>
      </c>
      <c r="CT49">
        <f>SUMPRODUCT((M_BOM[RM_Code]=$A49)*M_BOM[RM_Qty_Per_Batch]*IFERROR(INDEX(PP_Grid[#Data],M_BOM[PPGridRow],98),0))</f>
        <v/>
      </c>
      <c r="CU49">
        <f>SUMPRODUCT((M_BOM[RM_Code]=$A49)*M_BOM[RM_Qty_Per_Batch]*IFERROR(INDEX(PP_Grid[#Data],M_BOM[PPGridRow],99),0))</f>
        <v/>
      </c>
      <c r="CV49">
        <f>SUMPRODUCT((M_BOM[RM_Code]=$A49)*M_BOM[RM_Qty_Per_Batch]*IFERROR(INDEX(PP_Grid[#Data],M_BOM[PPGridRow],100),0))</f>
        <v/>
      </c>
      <c r="CW49">
        <f>SUMPRODUCT((M_BOM[RM_Code]=$A49)*M_BOM[RM_Qty_Per_Batch]*IFERROR(INDEX(PP_Grid[#Data],M_BOM[PPGridRow],101),0))</f>
        <v/>
      </c>
      <c r="CX49">
        <f>SUMPRODUCT((M_BOM[RM_Code]=$A49)*M_BOM[RM_Qty_Per_Batch]*IFERROR(INDEX(PP_Grid[#Data],M_BOM[PPGridRow],102),0))</f>
        <v/>
      </c>
      <c r="CY49">
        <f>SUMPRODUCT((M_BOM[RM_Code]=$A49)*M_BOM[RM_Qty_Per_Batch]*IFERROR(INDEX(PP_Grid[#Data],M_BOM[PPGridRow],103),0))</f>
        <v/>
      </c>
      <c r="CZ49">
        <f>SUMPRODUCT((M_BOM[RM_Code]=$A49)*M_BOM[RM_Qty_Per_Batch]*IFERROR(INDEX(PP_Grid[#Data],M_BOM[PPGridRow],104),0))</f>
        <v/>
      </c>
      <c r="DA49">
        <f>SUMPRODUCT((M_BOM[RM_Code]=$A49)*M_BOM[RM_Qty_Per_Batch]*IFERROR(INDEX(PP_Grid[#Data],M_BOM[PPGridRow],105),0))</f>
        <v/>
      </c>
    </row>
    <row r="50">
      <c r="A50" t="inlineStr">
        <is>
          <t>CHEM-1480</t>
        </is>
      </c>
      <c r="B50">
        <f>SUMPRODUCT((M_BOM[RM_Code]=$A50)*M_BOM[RM_Qty_Per_Batch]*IFERROR(INDEX(PP_Grid[#Data],M_BOM[PPGridRow],2),0))</f>
        <v/>
      </c>
      <c r="C50">
        <f>SUMPRODUCT((M_BOM[RM_Code]=$A50)*M_BOM[RM_Qty_Per_Batch]*IFERROR(INDEX(PP_Grid[#Data],M_BOM[PPGridRow],3),0))</f>
        <v/>
      </c>
      <c r="D50">
        <f>SUMPRODUCT((M_BOM[RM_Code]=$A50)*M_BOM[RM_Qty_Per_Batch]*IFERROR(INDEX(PP_Grid[#Data],M_BOM[PPGridRow],4),0))</f>
        <v/>
      </c>
      <c r="E50">
        <f>SUMPRODUCT((M_BOM[RM_Code]=$A50)*M_BOM[RM_Qty_Per_Batch]*IFERROR(INDEX(PP_Grid[#Data],M_BOM[PPGridRow],5),0))</f>
        <v/>
      </c>
      <c r="F50">
        <f>SUMPRODUCT((M_BOM[RM_Code]=$A50)*M_BOM[RM_Qty_Per_Batch]*IFERROR(INDEX(PP_Grid[#Data],M_BOM[PPGridRow],6),0))</f>
        <v/>
      </c>
      <c r="G50">
        <f>SUMPRODUCT((M_BOM[RM_Code]=$A50)*M_BOM[RM_Qty_Per_Batch]*IFERROR(INDEX(PP_Grid[#Data],M_BOM[PPGridRow],7),0))</f>
        <v/>
      </c>
      <c r="H50">
        <f>SUMPRODUCT((M_BOM[RM_Code]=$A50)*M_BOM[RM_Qty_Per_Batch]*IFERROR(INDEX(PP_Grid[#Data],M_BOM[PPGridRow],8),0))</f>
        <v/>
      </c>
      <c r="I50">
        <f>SUMPRODUCT((M_BOM[RM_Code]=$A50)*M_BOM[RM_Qty_Per_Batch]*IFERROR(INDEX(PP_Grid[#Data],M_BOM[PPGridRow],9),0))</f>
        <v/>
      </c>
      <c r="J50">
        <f>SUMPRODUCT((M_BOM[RM_Code]=$A50)*M_BOM[RM_Qty_Per_Batch]*IFERROR(INDEX(PP_Grid[#Data],M_BOM[PPGridRow],10),0))</f>
        <v/>
      </c>
      <c r="K50">
        <f>SUMPRODUCT((M_BOM[RM_Code]=$A50)*M_BOM[RM_Qty_Per_Batch]*IFERROR(INDEX(PP_Grid[#Data],M_BOM[PPGridRow],11),0))</f>
        <v/>
      </c>
      <c r="L50">
        <f>SUMPRODUCT((M_BOM[RM_Code]=$A50)*M_BOM[RM_Qty_Per_Batch]*IFERROR(INDEX(PP_Grid[#Data],M_BOM[PPGridRow],12),0))</f>
        <v/>
      </c>
      <c r="M50">
        <f>SUMPRODUCT((M_BOM[RM_Code]=$A50)*M_BOM[RM_Qty_Per_Batch]*IFERROR(INDEX(PP_Grid[#Data],M_BOM[PPGridRow],13),0))</f>
        <v/>
      </c>
      <c r="N50">
        <f>SUMPRODUCT((M_BOM[RM_Code]=$A50)*M_BOM[RM_Qty_Per_Batch]*IFERROR(INDEX(PP_Grid[#Data],M_BOM[PPGridRow],14),0))</f>
        <v/>
      </c>
      <c r="O50">
        <f>SUMPRODUCT((M_BOM[RM_Code]=$A50)*M_BOM[RM_Qty_Per_Batch]*IFERROR(INDEX(PP_Grid[#Data],M_BOM[PPGridRow],15),0))</f>
        <v/>
      </c>
      <c r="P50">
        <f>SUMPRODUCT((M_BOM[RM_Code]=$A50)*M_BOM[RM_Qty_Per_Batch]*IFERROR(INDEX(PP_Grid[#Data],M_BOM[PPGridRow],16),0))</f>
        <v/>
      </c>
      <c r="Q50">
        <f>SUMPRODUCT((M_BOM[RM_Code]=$A50)*M_BOM[RM_Qty_Per_Batch]*IFERROR(INDEX(PP_Grid[#Data],M_BOM[PPGridRow],17),0))</f>
        <v/>
      </c>
      <c r="R50">
        <f>SUMPRODUCT((M_BOM[RM_Code]=$A50)*M_BOM[RM_Qty_Per_Batch]*IFERROR(INDEX(PP_Grid[#Data],M_BOM[PPGridRow],18),0))</f>
        <v/>
      </c>
      <c r="S50">
        <f>SUMPRODUCT((M_BOM[RM_Code]=$A50)*M_BOM[RM_Qty_Per_Batch]*IFERROR(INDEX(PP_Grid[#Data],M_BOM[PPGridRow],19),0))</f>
        <v/>
      </c>
      <c r="T50">
        <f>SUMPRODUCT((M_BOM[RM_Code]=$A50)*M_BOM[RM_Qty_Per_Batch]*IFERROR(INDEX(PP_Grid[#Data],M_BOM[PPGridRow],20),0))</f>
        <v/>
      </c>
      <c r="U50">
        <f>SUMPRODUCT((M_BOM[RM_Code]=$A50)*M_BOM[RM_Qty_Per_Batch]*IFERROR(INDEX(PP_Grid[#Data],M_BOM[PPGridRow],21),0))</f>
        <v/>
      </c>
      <c r="V50">
        <f>SUMPRODUCT((M_BOM[RM_Code]=$A50)*M_BOM[RM_Qty_Per_Batch]*IFERROR(INDEX(PP_Grid[#Data],M_BOM[PPGridRow],22),0))</f>
        <v/>
      </c>
      <c r="W50">
        <f>SUMPRODUCT((M_BOM[RM_Code]=$A50)*M_BOM[RM_Qty_Per_Batch]*IFERROR(INDEX(PP_Grid[#Data],M_BOM[PPGridRow],23),0))</f>
        <v/>
      </c>
      <c r="X50">
        <f>SUMPRODUCT((M_BOM[RM_Code]=$A50)*M_BOM[RM_Qty_Per_Batch]*IFERROR(INDEX(PP_Grid[#Data],M_BOM[PPGridRow],24),0))</f>
        <v/>
      </c>
      <c r="Y50">
        <f>SUMPRODUCT((M_BOM[RM_Code]=$A50)*M_BOM[RM_Qty_Per_Batch]*IFERROR(INDEX(PP_Grid[#Data],M_BOM[PPGridRow],25),0))</f>
        <v/>
      </c>
      <c r="Z50">
        <f>SUMPRODUCT((M_BOM[RM_Code]=$A50)*M_BOM[RM_Qty_Per_Batch]*IFERROR(INDEX(PP_Grid[#Data],M_BOM[PPGridRow],26),0))</f>
        <v/>
      </c>
      <c r="AA50">
        <f>SUMPRODUCT((M_BOM[RM_Code]=$A50)*M_BOM[RM_Qty_Per_Batch]*IFERROR(INDEX(PP_Grid[#Data],M_BOM[PPGridRow],27),0))</f>
        <v/>
      </c>
      <c r="AB50">
        <f>SUMPRODUCT((M_BOM[RM_Code]=$A50)*M_BOM[RM_Qty_Per_Batch]*IFERROR(INDEX(PP_Grid[#Data],M_BOM[PPGridRow],28),0))</f>
        <v/>
      </c>
      <c r="AC50">
        <f>SUMPRODUCT((M_BOM[RM_Code]=$A50)*M_BOM[RM_Qty_Per_Batch]*IFERROR(INDEX(PP_Grid[#Data],M_BOM[PPGridRow],29),0))</f>
        <v/>
      </c>
      <c r="AD50">
        <f>SUMPRODUCT((M_BOM[RM_Code]=$A50)*M_BOM[RM_Qty_Per_Batch]*IFERROR(INDEX(PP_Grid[#Data],M_BOM[PPGridRow],30),0))</f>
        <v/>
      </c>
      <c r="AE50">
        <f>SUMPRODUCT((M_BOM[RM_Code]=$A50)*M_BOM[RM_Qty_Per_Batch]*IFERROR(INDEX(PP_Grid[#Data],M_BOM[PPGridRow],31),0))</f>
        <v/>
      </c>
      <c r="AF50">
        <f>SUMPRODUCT((M_BOM[RM_Code]=$A50)*M_BOM[RM_Qty_Per_Batch]*IFERROR(INDEX(PP_Grid[#Data],M_BOM[PPGridRow],32),0))</f>
        <v/>
      </c>
      <c r="AG50">
        <f>SUMPRODUCT((M_BOM[RM_Code]=$A50)*M_BOM[RM_Qty_Per_Batch]*IFERROR(INDEX(PP_Grid[#Data],M_BOM[PPGridRow],33),0))</f>
        <v/>
      </c>
      <c r="AH50">
        <f>SUMPRODUCT((M_BOM[RM_Code]=$A50)*M_BOM[RM_Qty_Per_Batch]*IFERROR(INDEX(PP_Grid[#Data],M_BOM[PPGridRow],34),0))</f>
        <v/>
      </c>
      <c r="AI50">
        <f>SUMPRODUCT((M_BOM[RM_Code]=$A50)*M_BOM[RM_Qty_Per_Batch]*IFERROR(INDEX(PP_Grid[#Data],M_BOM[PPGridRow],35),0))</f>
        <v/>
      </c>
      <c r="AJ50">
        <f>SUMPRODUCT((M_BOM[RM_Code]=$A50)*M_BOM[RM_Qty_Per_Batch]*IFERROR(INDEX(PP_Grid[#Data],M_BOM[PPGridRow],36),0))</f>
        <v/>
      </c>
      <c r="AK50">
        <f>SUMPRODUCT((M_BOM[RM_Code]=$A50)*M_BOM[RM_Qty_Per_Batch]*IFERROR(INDEX(PP_Grid[#Data],M_BOM[PPGridRow],37),0))</f>
        <v/>
      </c>
      <c r="AL50">
        <f>SUMPRODUCT((M_BOM[RM_Code]=$A50)*M_BOM[RM_Qty_Per_Batch]*IFERROR(INDEX(PP_Grid[#Data],M_BOM[PPGridRow],38),0))</f>
        <v/>
      </c>
      <c r="AM50">
        <f>SUMPRODUCT((M_BOM[RM_Code]=$A50)*M_BOM[RM_Qty_Per_Batch]*IFERROR(INDEX(PP_Grid[#Data],M_BOM[PPGridRow],39),0))</f>
        <v/>
      </c>
      <c r="AN50">
        <f>SUMPRODUCT((M_BOM[RM_Code]=$A50)*M_BOM[RM_Qty_Per_Batch]*IFERROR(INDEX(PP_Grid[#Data],M_BOM[PPGridRow],40),0))</f>
        <v/>
      </c>
      <c r="AO50">
        <f>SUMPRODUCT((M_BOM[RM_Code]=$A50)*M_BOM[RM_Qty_Per_Batch]*IFERROR(INDEX(PP_Grid[#Data],M_BOM[PPGridRow],41),0))</f>
        <v/>
      </c>
      <c r="AP50">
        <f>SUMPRODUCT((M_BOM[RM_Code]=$A50)*M_BOM[RM_Qty_Per_Batch]*IFERROR(INDEX(PP_Grid[#Data],M_BOM[PPGridRow],42),0))</f>
        <v/>
      </c>
      <c r="AQ50">
        <f>SUMPRODUCT((M_BOM[RM_Code]=$A50)*M_BOM[RM_Qty_Per_Batch]*IFERROR(INDEX(PP_Grid[#Data],M_BOM[PPGridRow],43),0))</f>
        <v/>
      </c>
      <c r="AR50">
        <f>SUMPRODUCT((M_BOM[RM_Code]=$A50)*M_BOM[RM_Qty_Per_Batch]*IFERROR(INDEX(PP_Grid[#Data],M_BOM[PPGridRow],44),0))</f>
        <v/>
      </c>
      <c r="AS50">
        <f>SUMPRODUCT((M_BOM[RM_Code]=$A50)*M_BOM[RM_Qty_Per_Batch]*IFERROR(INDEX(PP_Grid[#Data],M_BOM[PPGridRow],45),0))</f>
        <v/>
      </c>
      <c r="AT50">
        <f>SUMPRODUCT((M_BOM[RM_Code]=$A50)*M_BOM[RM_Qty_Per_Batch]*IFERROR(INDEX(PP_Grid[#Data],M_BOM[PPGridRow],46),0))</f>
        <v/>
      </c>
      <c r="AU50">
        <f>SUMPRODUCT((M_BOM[RM_Code]=$A50)*M_BOM[RM_Qty_Per_Batch]*IFERROR(INDEX(PP_Grid[#Data],M_BOM[PPGridRow],47),0))</f>
        <v/>
      </c>
      <c r="AV50">
        <f>SUMPRODUCT((M_BOM[RM_Code]=$A50)*M_BOM[RM_Qty_Per_Batch]*IFERROR(INDEX(PP_Grid[#Data],M_BOM[PPGridRow],48),0))</f>
        <v/>
      </c>
      <c r="AW50">
        <f>SUMPRODUCT((M_BOM[RM_Code]=$A50)*M_BOM[RM_Qty_Per_Batch]*IFERROR(INDEX(PP_Grid[#Data],M_BOM[PPGridRow],49),0))</f>
        <v/>
      </c>
      <c r="AX50">
        <f>SUMPRODUCT((M_BOM[RM_Code]=$A50)*M_BOM[RM_Qty_Per_Batch]*IFERROR(INDEX(PP_Grid[#Data],M_BOM[PPGridRow],50),0))</f>
        <v/>
      </c>
      <c r="AY50">
        <f>SUMPRODUCT((M_BOM[RM_Code]=$A50)*M_BOM[RM_Qty_Per_Batch]*IFERROR(INDEX(PP_Grid[#Data],M_BOM[PPGridRow],51),0))</f>
        <v/>
      </c>
      <c r="AZ50">
        <f>SUMPRODUCT((M_BOM[RM_Code]=$A50)*M_BOM[RM_Qty_Per_Batch]*IFERROR(INDEX(PP_Grid[#Data],M_BOM[PPGridRow],52),0))</f>
        <v/>
      </c>
      <c r="BA50">
        <f>SUMPRODUCT((M_BOM[RM_Code]=$A50)*M_BOM[RM_Qty_Per_Batch]*IFERROR(INDEX(PP_Grid[#Data],M_BOM[PPGridRow],53),0))</f>
        <v/>
      </c>
      <c r="BB50">
        <f>SUMPRODUCT((M_BOM[RM_Code]=$A50)*M_BOM[RM_Qty_Per_Batch]*IFERROR(INDEX(PP_Grid[#Data],M_BOM[PPGridRow],54),0))</f>
        <v/>
      </c>
      <c r="BC50">
        <f>SUMPRODUCT((M_BOM[RM_Code]=$A50)*M_BOM[RM_Qty_Per_Batch]*IFERROR(INDEX(PP_Grid[#Data],M_BOM[PPGridRow],55),0))</f>
        <v/>
      </c>
      <c r="BD50">
        <f>SUMPRODUCT((M_BOM[RM_Code]=$A50)*M_BOM[RM_Qty_Per_Batch]*IFERROR(INDEX(PP_Grid[#Data],M_BOM[PPGridRow],56),0))</f>
        <v/>
      </c>
      <c r="BE50">
        <f>SUMPRODUCT((M_BOM[RM_Code]=$A50)*M_BOM[RM_Qty_Per_Batch]*IFERROR(INDEX(PP_Grid[#Data],M_BOM[PPGridRow],57),0))</f>
        <v/>
      </c>
      <c r="BF50">
        <f>SUMPRODUCT((M_BOM[RM_Code]=$A50)*M_BOM[RM_Qty_Per_Batch]*IFERROR(INDEX(PP_Grid[#Data],M_BOM[PPGridRow],58),0))</f>
        <v/>
      </c>
      <c r="BG50">
        <f>SUMPRODUCT((M_BOM[RM_Code]=$A50)*M_BOM[RM_Qty_Per_Batch]*IFERROR(INDEX(PP_Grid[#Data],M_BOM[PPGridRow],59),0))</f>
        <v/>
      </c>
      <c r="BH50">
        <f>SUMPRODUCT((M_BOM[RM_Code]=$A50)*M_BOM[RM_Qty_Per_Batch]*IFERROR(INDEX(PP_Grid[#Data],M_BOM[PPGridRow],60),0))</f>
        <v/>
      </c>
      <c r="BI50">
        <f>SUMPRODUCT((M_BOM[RM_Code]=$A50)*M_BOM[RM_Qty_Per_Batch]*IFERROR(INDEX(PP_Grid[#Data],M_BOM[PPGridRow],61),0))</f>
        <v/>
      </c>
      <c r="BJ50">
        <f>SUMPRODUCT((M_BOM[RM_Code]=$A50)*M_BOM[RM_Qty_Per_Batch]*IFERROR(INDEX(PP_Grid[#Data],M_BOM[PPGridRow],62),0))</f>
        <v/>
      </c>
      <c r="BK50">
        <f>SUMPRODUCT((M_BOM[RM_Code]=$A50)*M_BOM[RM_Qty_Per_Batch]*IFERROR(INDEX(PP_Grid[#Data],M_BOM[PPGridRow],63),0))</f>
        <v/>
      </c>
      <c r="BL50">
        <f>SUMPRODUCT((M_BOM[RM_Code]=$A50)*M_BOM[RM_Qty_Per_Batch]*IFERROR(INDEX(PP_Grid[#Data],M_BOM[PPGridRow],64),0))</f>
        <v/>
      </c>
      <c r="BM50">
        <f>SUMPRODUCT((M_BOM[RM_Code]=$A50)*M_BOM[RM_Qty_Per_Batch]*IFERROR(INDEX(PP_Grid[#Data],M_BOM[PPGridRow],65),0))</f>
        <v/>
      </c>
      <c r="BN50">
        <f>SUMPRODUCT((M_BOM[RM_Code]=$A50)*M_BOM[RM_Qty_Per_Batch]*IFERROR(INDEX(PP_Grid[#Data],M_BOM[PPGridRow],66),0))</f>
        <v/>
      </c>
      <c r="BO50">
        <f>SUMPRODUCT((M_BOM[RM_Code]=$A50)*M_BOM[RM_Qty_Per_Batch]*IFERROR(INDEX(PP_Grid[#Data],M_BOM[PPGridRow],67),0))</f>
        <v/>
      </c>
      <c r="BP50">
        <f>SUMPRODUCT((M_BOM[RM_Code]=$A50)*M_BOM[RM_Qty_Per_Batch]*IFERROR(INDEX(PP_Grid[#Data],M_BOM[PPGridRow],68),0))</f>
        <v/>
      </c>
      <c r="BQ50">
        <f>SUMPRODUCT((M_BOM[RM_Code]=$A50)*M_BOM[RM_Qty_Per_Batch]*IFERROR(INDEX(PP_Grid[#Data],M_BOM[PPGridRow],69),0))</f>
        <v/>
      </c>
      <c r="BR50">
        <f>SUMPRODUCT((M_BOM[RM_Code]=$A50)*M_BOM[RM_Qty_Per_Batch]*IFERROR(INDEX(PP_Grid[#Data],M_BOM[PPGridRow],70),0))</f>
        <v/>
      </c>
      <c r="BS50">
        <f>SUMPRODUCT((M_BOM[RM_Code]=$A50)*M_BOM[RM_Qty_Per_Batch]*IFERROR(INDEX(PP_Grid[#Data],M_BOM[PPGridRow],71),0))</f>
        <v/>
      </c>
      <c r="BT50">
        <f>SUMPRODUCT((M_BOM[RM_Code]=$A50)*M_BOM[RM_Qty_Per_Batch]*IFERROR(INDEX(PP_Grid[#Data],M_BOM[PPGridRow],72),0))</f>
        <v/>
      </c>
      <c r="BU50">
        <f>SUMPRODUCT((M_BOM[RM_Code]=$A50)*M_BOM[RM_Qty_Per_Batch]*IFERROR(INDEX(PP_Grid[#Data],M_BOM[PPGridRow],73),0))</f>
        <v/>
      </c>
      <c r="BV50">
        <f>SUMPRODUCT((M_BOM[RM_Code]=$A50)*M_BOM[RM_Qty_Per_Batch]*IFERROR(INDEX(PP_Grid[#Data],M_BOM[PPGridRow],74),0))</f>
        <v/>
      </c>
      <c r="BW50">
        <f>SUMPRODUCT((M_BOM[RM_Code]=$A50)*M_BOM[RM_Qty_Per_Batch]*IFERROR(INDEX(PP_Grid[#Data],M_BOM[PPGridRow],75),0))</f>
        <v/>
      </c>
      <c r="BX50">
        <f>SUMPRODUCT((M_BOM[RM_Code]=$A50)*M_BOM[RM_Qty_Per_Batch]*IFERROR(INDEX(PP_Grid[#Data],M_BOM[PPGridRow],76),0))</f>
        <v/>
      </c>
      <c r="BY50">
        <f>SUMPRODUCT((M_BOM[RM_Code]=$A50)*M_BOM[RM_Qty_Per_Batch]*IFERROR(INDEX(PP_Grid[#Data],M_BOM[PPGridRow],77),0))</f>
        <v/>
      </c>
      <c r="BZ50">
        <f>SUMPRODUCT((M_BOM[RM_Code]=$A50)*M_BOM[RM_Qty_Per_Batch]*IFERROR(INDEX(PP_Grid[#Data],M_BOM[PPGridRow],78),0))</f>
        <v/>
      </c>
      <c r="CA50">
        <f>SUMPRODUCT((M_BOM[RM_Code]=$A50)*M_BOM[RM_Qty_Per_Batch]*IFERROR(INDEX(PP_Grid[#Data],M_BOM[PPGridRow],79),0))</f>
        <v/>
      </c>
      <c r="CB50">
        <f>SUMPRODUCT((M_BOM[RM_Code]=$A50)*M_BOM[RM_Qty_Per_Batch]*IFERROR(INDEX(PP_Grid[#Data],M_BOM[PPGridRow],80),0))</f>
        <v/>
      </c>
      <c r="CC50">
        <f>SUMPRODUCT((M_BOM[RM_Code]=$A50)*M_BOM[RM_Qty_Per_Batch]*IFERROR(INDEX(PP_Grid[#Data],M_BOM[PPGridRow],81),0))</f>
        <v/>
      </c>
      <c r="CD50">
        <f>SUMPRODUCT((M_BOM[RM_Code]=$A50)*M_BOM[RM_Qty_Per_Batch]*IFERROR(INDEX(PP_Grid[#Data],M_BOM[PPGridRow],82),0))</f>
        <v/>
      </c>
      <c r="CE50">
        <f>SUMPRODUCT((M_BOM[RM_Code]=$A50)*M_BOM[RM_Qty_Per_Batch]*IFERROR(INDEX(PP_Grid[#Data],M_BOM[PPGridRow],83),0))</f>
        <v/>
      </c>
      <c r="CF50">
        <f>SUMPRODUCT((M_BOM[RM_Code]=$A50)*M_BOM[RM_Qty_Per_Batch]*IFERROR(INDEX(PP_Grid[#Data],M_BOM[PPGridRow],84),0))</f>
        <v/>
      </c>
      <c r="CG50">
        <f>SUMPRODUCT((M_BOM[RM_Code]=$A50)*M_BOM[RM_Qty_Per_Batch]*IFERROR(INDEX(PP_Grid[#Data],M_BOM[PPGridRow],85),0))</f>
        <v/>
      </c>
      <c r="CH50">
        <f>SUMPRODUCT((M_BOM[RM_Code]=$A50)*M_BOM[RM_Qty_Per_Batch]*IFERROR(INDEX(PP_Grid[#Data],M_BOM[PPGridRow],86),0))</f>
        <v/>
      </c>
      <c r="CI50">
        <f>SUMPRODUCT((M_BOM[RM_Code]=$A50)*M_BOM[RM_Qty_Per_Batch]*IFERROR(INDEX(PP_Grid[#Data],M_BOM[PPGridRow],87),0))</f>
        <v/>
      </c>
      <c r="CJ50">
        <f>SUMPRODUCT((M_BOM[RM_Code]=$A50)*M_BOM[RM_Qty_Per_Batch]*IFERROR(INDEX(PP_Grid[#Data],M_BOM[PPGridRow],88),0))</f>
        <v/>
      </c>
      <c r="CK50">
        <f>SUMPRODUCT((M_BOM[RM_Code]=$A50)*M_BOM[RM_Qty_Per_Batch]*IFERROR(INDEX(PP_Grid[#Data],M_BOM[PPGridRow],89),0))</f>
        <v/>
      </c>
      <c r="CL50">
        <f>SUMPRODUCT((M_BOM[RM_Code]=$A50)*M_BOM[RM_Qty_Per_Batch]*IFERROR(INDEX(PP_Grid[#Data],M_BOM[PPGridRow],90),0))</f>
        <v/>
      </c>
      <c r="CM50">
        <f>SUMPRODUCT((M_BOM[RM_Code]=$A50)*M_BOM[RM_Qty_Per_Batch]*IFERROR(INDEX(PP_Grid[#Data],M_BOM[PPGridRow],91),0))</f>
        <v/>
      </c>
      <c r="CN50">
        <f>SUMPRODUCT((M_BOM[RM_Code]=$A50)*M_BOM[RM_Qty_Per_Batch]*IFERROR(INDEX(PP_Grid[#Data],M_BOM[PPGridRow],92),0))</f>
        <v/>
      </c>
      <c r="CO50">
        <f>SUMPRODUCT((M_BOM[RM_Code]=$A50)*M_BOM[RM_Qty_Per_Batch]*IFERROR(INDEX(PP_Grid[#Data],M_BOM[PPGridRow],93),0))</f>
        <v/>
      </c>
      <c r="CP50">
        <f>SUMPRODUCT((M_BOM[RM_Code]=$A50)*M_BOM[RM_Qty_Per_Batch]*IFERROR(INDEX(PP_Grid[#Data],M_BOM[PPGridRow],94),0))</f>
        <v/>
      </c>
      <c r="CQ50">
        <f>SUMPRODUCT((M_BOM[RM_Code]=$A50)*M_BOM[RM_Qty_Per_Batch]*IFERROR(INDEX(PP_Grid[#Data],M_BOM[PPGridRow],95),0))</f>
        <v/>
      </c>
      <c r="CR50">
        <f>SUMPRODUCT((M_BOM[RM_Code]=$A50)*M_BOM[RM_Qty_Per_Batch]*IFERROR(INDEX(PP_Grid[#Data],M_BOM[PPGridRow],96),0))</f>
        <v/>
      </c>
      <c r="CS50">
        <f>SUMPRODUCT((M_BOM[RM_Code]=$A50)*M_BOM[RM_Qty_Per_Batch]*IFERROR(INDEX(PP_Grid[#Data],M_BOM[PPGridRow],97),0))</f>
        <v/>
      </c>
      <c r="CT50">
        <f>SUMPRODUCT((M_BOM[RM_Code]=$A50)*M_BOM[RM_Qty_Per_Batch]*IFERROR(INDEX(PP_Grid[#Data],M_BOM[PPGridRow],98),0))</f>
        <v/>
      </c>
      <c r="CU50">
        <f>SUMPRODUCT((M_BOM[RM_Code]=$A50)*M_BOM[RM_Qty_Per_Batch]*IFERROR(INDEX(PP_Grid[#Data],M_BOM[PPGridRow],99),0))</f>
        <v/>
      </c>
      <c r="CV50">
        <f>SUMPRODUCT((M_BOM[RM_Code]=$A50)*M_BOM[RM_Qty_Per_Batch]*IFERROR(INDEX(PP_Grid[#Data],M_BOM[PPGridRow],100),0))</f>
        <v/>
      </c>
      <c r="CW50">
        <f>SUMPRODUCT((M_BOM[RM_Code]=$A50)*M_BOM[RM_Qty_Per_Batch]*IFERROR(INDEX(PP_Grid[#Data],M_BOM[PPGridRow],101),0))</f>
        <v/>
      </c>
      <c r="CX50">
        <f>SUMPRODUCT((M_BOM[RM_Code]=$A50)*M_BOM[RM_Qty_Per_Batch]*IFERROR(INDEX(PP_Grid[#Data],M_BOM[PPGridRow],102),0))</f>
        <v/>
      </c>
      <c r="CY50">
        <f>SUMPRODUCT((M_BOM[RM_Code]=$A50)*M_BOM[RM_Qty_Per_Batch]*IFERROR(INDEX(PP_Grid[#Data],M_BOM[PPGridRow],103),0))</f>
        <v/>
      </c>
      <c r="CZ50">
        <f>SUMPRODUCT((M_BOM[RM_Code]=$A50)*M_BOM[RM_Qty_Per_Batch]*IFERROR(INDEX(PP_Grid[#Data],M_BOM[PPGridRow],104),0))</f>
        <v/>
      </c>
      <c r="DA50">
        <f>SUMPRODUCT((M_BOM[RM_Code]=$A50)*M_BOM[RM_Qty_Per_Batch]*IFERROR(INDEX(PP_Grid[#Data],M_BOM[PPGridRow],105),0))</f>
        <v/>
      </c>
    </row>
    <row r="51">
      <c r="A51" t="inlineStr">
        <is>
          <t>CHEM-1560</t>
        </is>
      </c>
      <c r="B51">
        <f>SUMPRODUCT((M_BOM[RM_Code]=$A51)*M_BOM[RM_Qty_Per_Batch]*IFERROR(INDEX(PP_Grid[#Data],M_BOM[PPGridRow],2),0))</f>
        <v/>
      </c>
      <c r="C51">
        <f>SUMPRODUCT((M_BOM[RM_Code]=$A51)*M_BOM[RM_Qty_Per_Batch]*IFERROR(INDEX(PP_Grid[#Data],M_BOM[PPGridRow],3),0))</f>
        <v/>
      </c>
      <c r="D51">
        <f>SUMPRODUCT((M_BOM[RM_Code]=$A51)*M_BOM[RM_Qty_Per_Batch]*IFERROR(INDEX(PP_Grid[#Data],M_BOM[PPGridRow],4),0))</f>
        <v/>
      </c>
      <c r="E51">
        <f>SUMPRODUCT((M_BOM[RM_Code]=$A51)*M_BOM[RM_Qty_Per_Batch]*IFERROR(INDEX(PP_Grid[#Data],M_BOM[PPGridRow],5),0))</f>
        <v/>
      </c>
      <c r="F51">
        <f>SUMPRODUCT((M_BOM[RM_Code]=$A51)*M_BOM[RM_Qty_Per_Batch]*IFERROR(INDEX(PP_Grid[#Data],M_BOM[PPGridRow],6),0))</f>
        <v/>
      </c>
      <c r="G51">
        <f>SUMPRODUCT((M_BOM[RM_Code]=$A51)*M_BOM[RM_Qty_Per_Batch]*IFERROR(INDEX(PP_Grid[#Data],M_BOM[PPGridRow],7),0))</f>
        <v/>
      </c>
      <c r="H51">
        <f>SUMPRODUCT((M_BOM[RM_Code]=$A51)*M_BOM[RM_Qty_Per_Batch]*IFERROR(INDEX(PP_Grid[#Data],M_BOM[PPGridRow],8),0))</f>
        <v/>
      </c>
      <c r="I51">
        <f>SUMPRODUCT((M_BOM[RM_Code]=$A51)*M_BOM[RM_Qty_Per_Batch]*IFERROR(INDEX(PP_Grid[#Data],M_BOM[PPGridRow],9),0))</f>
        <v/>
      </c>
      <c r="J51">
        <f>SUMPRODUCT((M_BOM[RM_Code]=$A51)*M_BOM[RM_Qty_Per_Batch]*IFERROR(INDEX(PP_Grid[#Data],M_BOM[PPGridRow],10),0))</f>
        <v/>
      </c>
      <c r="K51">
        <f>SUMPRODUCT((M_BOM[RM_Code]=$A51)*M_BOM[RM_Qty_Per_Batch]*IFERROR(INDEX(PP_Grid[#Data],M_BOM[PPGridRow],11),0))</f>
        <v/>
      </c>
      <c r="L51">
        <f>SUMPRODUCT((M_BOM[RM_Code]=$A51)*M_BOM[RM_Qty_Per_Batch]*IFERROR(INDEX(PP_Grid[#Data],M_BOM[PPGridRow],12),0))</f>
        <v/>
      </c>
      <c r="M51">
        <f>SUMPRODUCT((M_BOM[RM_Code]=$A51)*M_BOM[RM_Qty_Per_Batch]*IFERROR(INDEX(PP_Grid[#Data],M_BOM[PPGridRow],13),0))</f>
        <v/>
      </c>
      <c r="N51">
        <f>SUMPRODUCT((M_BOM[RM_Code]=$A51)*M_BOM[RM_Qty_Per_Batch]*IFERROR(INDEX(PP_Grid[#Data],M_BOM[PPGridRow],14),0))</f>
        <v/>
      </c>
      <c r="O51">
        <f>SUMPRODUCT((M_BOM[RM_Code]=$A51)*M_BOM[RM_Qty_Per_Batch]*IFERROR(INDEX(PP_Grid[#Data],M_BOM[PPGridRow],15),0))</f>
        <v/>
      </c>
      <c r="P51">
        <f>SUMPRODUCT((M_BOM[RM_Code]=$A51)*M_BOM[RM_Qty_Per_Batch]*IFERROR(INDEX(PP_Grid[#Data],M_BOM[PPGridRow],16),0))</f>
        <v/>
      </c>
      <c r="Q51">
        <f>SUMPRODUCT((M_BOM[RM_Code]=$A51)*M_BOM[RM_Qty_Per_Batch]*IFERROR(INDEX(PP_Grid[#Data],M_BOM[PPGridRow],17),0))</f>
        <v/>
      </c>
      <c r="R51">
        <f>SUMPRODUCT((M_BOM[RM_Code]=$A51)*M_BOM[RM_Qty_Per_Batch]*IFERROR(INDEX(PP_Grid[#Data],M_BOM[PPGridRow],18),0))</f>
        <v/>
      </c>
      <c r="S51">
        <f>SUMPRODUCT((M_BOM[RM_Code]=$A51)*M_BOM[RM_Qty_Per_Batch]*IFERROR(INDEX(PP_Grid[#Data],M_BOM[PPGridRow],19),0))</f>
        <v/>
      </c>
      <c r="T51">
        <f>SUMPRODUCT((M_BOM[RM_Code]=$A51)*M_BOM[RM_Qty_Per_Batch]*IFERROR(INDEX(PP_Grid[#Data],M_BOM[PPGridRow],20),0))</f>
        <v/>
      </c>
      <c r="U51">
        <f>SUMPRODUCT((M_BOM[RM_Code]=$A51)*M_BOM[RM_Qty_Per_Batch]*IFERROR(INDEX(PP_Grid[#Data],M_BOM[PPGridRow],21),0))</f>
        <v/>
      </c>
      <c r="V51">
        <f>SUMPRODUCT((M_BOM[RM_Code]=$A51)*M_BOM[RM_Qty_Per_Batch]*IFERROR(INDEX(PP_Grid[#Data],M_BOM[PPGridRow],22),0))</f>
        <v/>
      </c>
      <c r="W51">
        <f>SUMPRODUCT((M_BOM[RM_Code]=$A51)*M_BOM[RM_Qty_Per_Batch]*IFERROR(INDEX(PP_Grid[#Data],M_BOM[PPGridRow],23),0))</f>
        <v/>
      </c>
      <c r="X51">
        <f>SUMPRODUCT((M_BOM[RM_Code]=$A51)*M_BOM[RM_Qty_Per_Batch]*IFERROR(INDEX(PP_Grid[#Data],M_BOM[PPGridRow],24),0))</f>
        <v/>
      </c>
      <c r="Y51">
        <f>SUMPRODUCT((M_BOM[RM_Code]=$A51)*M_BOM[RM_Qty_Per_Batch]*IFERROR(INDEX(PP_Grid[#Data],M_BOM[PPGridRow],25),0))</f>
        <v/>
      </c>
      <c r="Z51">
        <f>SUMPRODUCT((M_BOM[RM_Code]=$A51)*M_BOM[RM_Qty_Per_Batch]*IFERROR(INDEX(PP_Grid[#Data],M_BOM[PPGridRow],26),0))</f>
        <v/>
      </c>
      <c r="AA51">
        <f>SUMPRODUCT((M_BOM[RM_Code]=$A51)*M_BOM[RM_Qty_Per_Batch]*IFERROR(INDEX(PP_Grid[#Data],M_BOM[PPGridRow],27),0))</f>
        <v/>
      </c>
      <c r="AB51">
        <f>SUMPRODUCT((M_BOM[RM_Code]=$A51)*M_BOM[RM_Qty_Per_Batch]*IFERROR(INDEX(PP_Grid[#Data],M_BOM[PPGridRow],28),0))</f>
        <v/>
      </c>
      <c r="AC51">
        <f>SUMPRODUCT((M_BOM[RM_Code]=$A51)*M_BOM[RM_Qty_Per_Batch]*IFERROR(INDEX(PP_Grid[#Data],M_BOM[PPGridRow],29),0))</f>
        <v/>
      </c>
      <c r="AD51">
        <f>SUMPRODUCT((M_BOM[RM_Code]=$A51)*M_BOM[RM_Qty_Per_Batch]*IFERROR(INDEX(PP_Grid[#Data],M_BOM[PPGridRow],30),0))</f>
        <v/>
      </c>
      <c r="AE51">
        <f>SUMPRODUCT((M_BOM[RM_Code]=$A51)*M_BOM[RM_Qty_Per_Batch]*IFERROR(INDEX(PP_Grid[#Data],M_BOM[PPGridRow],31),0))</f>
        <v/>
      </c>
      <c r="AF51">
        <f>SUMPRODUCT((M_BOM[RM_Code]=$A51)*M_BOM[RM_Qty_Per_Batch]*IFERROR(INDEX(PP_Grid[#Data],M_BOM[PPGridRow],32),0))</f>
        <v/>
      </c>
      <c r="AG51">
        <f>SUMPRODUCT((M_BOM[RM_Code]=$A51)*M_BOM[RM_Qty_Per_Batch]*IFERROR(INDEX(PP_Grid[#Data],M_BOM[PPGridRow],33),0))</f>
        <v/>
      </c>
      <c r="AH51">
        <f>SUMPRODUCT((M_BOM[RM_Code]=$A51)*M_BOM[RM_Qty_Per_Batch]*IFERROR(INDEX(PP_Grid[#Data],M_BOM[PPGridRow],34),0))</f>
        <v/>
      </c>
      <c r="AI51">
        <f>SUMPRODUCT((M_BOM[RM_Code]=$A51)*M_BOM[RM_Qty_Per_Batch]*IFERROR(INDEX(PP_Grid[#Data],M_BOM[PPGridRow],35),0))</f>
        <v/>
      </c>
      <c r="AJ51">
        <f>SUMPRODUCT((M_BOM[RM_Code]=$A51)*M_BOM[RM_Qty_Per_Batch]*IFERROR(INDEX(PP_Grid[#Data],M_BOM[PPGridRow],36),0))</f>
        <v/>
      </c>
      <c r="AK51">
        <f>SUMPRODUCT((M_BOM[RM_Code]=$A51)*M_BOM[RM_Qty_Per_Batch]*IFERROR(INDEX(PP_Grid[#Data],M_BOM[PPGridRow],37),0))</f>
        <v/>
      </c>
      <c r="AL51">
        <f>SUMPRODUCT((M_BOM[RM_Code]=$A51)*M_BOM[RM_Qty_Per_Batch]*IFERROR(INDEX(PP_Grid[#Data],M_BOM[PPGridRow],38),0))</f>
        <v/>
      </c>
      <c r="AM51">
        <f>SUMPRODUCT((M_BOM[RM_Code]=$A51)*M_BOM[RM_Qty_Per_Batch]*IFERROR(INDEX(PP_Grid[#Data],M_BOM[PPGridRow],39),0))</f>
        <v/>
      </c>
      <c r="AN51">
        <f>SUMPRODUCT((M_BOM[RM_Code]=$A51)*M_BOM[RM_Qty_Per_Batch]*IFERROR(INDEX(PP_Grid[#Data],M_BOM[PPGridRow],40),0))</f>
        <v/>
      </c>
      <c r="AO51">
        <f>SUMPRODUCT((M_BOM[RM_Code]=$A51)*M_BOM[RM_Qty_Per_Batch]*IFERROR(INDEX(PP_Grid[#Data],M_BOM[PPGridRow],41),0))</f>
        <v/>
      </c>
      <c r="AP51">
        <f>SUMPRODUCT((M_BOM[RM_Code]=$A51)*M_BOM[RM_Qty_Per_Batch]*IFERROR(INDEX(PP_Grid[#Data],M_BOM[PPGridRow],42),0))</f>
        <v/>
      </c>
      <c r="AQ51">
        <f>SUMPRODUCT((M_BOM[RM_Code]=$A51)*M_BOM[RM_Qty_Per_Batch]*IFERROR(INDEX(PP_Grid[#Data],M_BOM[PPGridRow],43),0))</f>
        <v/>
      </c>
      <c r="AR51">
        <f>SUMPRODUCT((M_BOM[RM_Code]=$A51)*M_BOM[RM_Qty_Per_Batch]*IFERROR(INDEX(PP_Grid[#Data],M_BOM[PPGridRow],44),0))</f>
        <v/>
      </c>
      <c r="AS51">
        <f>SUMPRODUCT((M_BOM[RM_Code]=$A51)*M_BOM[RM_Qty_Per_Batch]*IFERROR(INDEX(PP_Grid[#Data],M_BOM[PPGridRow],45),0))</f>
        <v/>
      </c>
      <c r="AT51">
        <f>SUMPRODUCT((M_BOM[RM_Code]=$A51)*M_BOM[RM_Qty_Per_Batch]*IFERROR(INDEX(PP_Grid[#Data],M_BOM[PPGridRow],46),0))</f>
        <v/>
      </c>
      <c r="AU51">
        <f>SUMPRODUCT((M_BOM[RM_Code]=$A51)*M_BOM[RM_Qty_Per_Batch]*IFERROR(INDEX(PP_Grid[#Data],M_BOM[PPGridRow],47),0))</f>
        <v/>
      </c>
      <c r="AV51">
        <f>SUMPRODUCT((M_BOM[RM_Code]=$A51)*M_BOM[RM_Qty_Per_Batch]*IFERROR(INDEX(PP_Grid[#Data],M_BOM[PPGridRow],48),0))</f>
        <v/>
      </c>
      <c r="AW51">
        <f>SUMPRODUCT((M_BOM[RM_Code]=$A51)*M_BOM[RM_Qty_Per_Batch]*IFERROR(INDEX(PP_Grid[#Data],M_BOM[PPGridRow],49),0))</f>
        <v/>
      </c>
      <c r="AX51">
        <f>SUMPRODUCT((M_BOM[RM_Code]=$A51)*M_BOM[RM_Qty_Per_Batch]*IFERROR(INDEX(PP_Grid[#Data],M_BOM[PPGridRow],50),0))</f>
        <v/>
      </c>
      <c r="AY51">
        <f>SUMPRODUCT((M_BOM[RM_Code]=$A51)*M_BOM[RM_Qty_Per_Batch]*IFERROR(INDEX(PP_Grid[#Data],M_BOM[PPGridRow],51),0))</f>
        <v/>
      </c>
      <c r="AZ51">
        <f>SUMPRODUCT((M_BOM[RM_Code]=$A51)*M_BOM[RM_Qty_Per_Batch]*IFERROR(INDEX(PP_Grid[#Data],M_BOM[PPGridRow],52),0))</f>
        <v/>
      </c>
      <c r="BA51">
        <f>SUMPRODUCT((M_BOM[RM_Code]=$A51)*M_BOM[RM_Qty_Per_Batch]*IFERROR(INDEX(PP_Grid[#Data],M_BOM[PPGridRow],53),0))</f>
        <v/>
      </c>
      <c r="BB51">
        <f>SUMPRODUCT((M_BOM[RM_Code]=$A51)*M_BOM[RM_Qty_Per_Batch]*IFERROR(INDEX(PP_Grid[#Data],M_BOM[PPGridRow],54),0))</f>
        <v/>
      </c>
      <c r="BC51">
        <f>SUMPRODUCT((M_BOM[RM_Code]=$A51)*M_BOM[RM_Qty_Per_Batch]*IFERROR(INDEX(PP_Grid[#Data],M_BOM[PPGridRow],55),0))</f>
        <v/>
      </c>
      <c r="BD51">
        <f>SUMPRODUCT((M_BOM[RM_Code]=$A51)*M_BOM[RM_Qty_Per_Batch]*IFERROR(INDEX(PP_Grid[#Data],M_BOM[PPGridRow],56),0))</f>
        <v/>
      </c>
      <c r="BE51">
        <f>SUMPRODUCT((M_BOM[RM_Code]=$A51)*M_BOM[RM_Qty_Per_Batch]*IFERROR(INDEX(PP_Grid[#Data],M_BOM[PPGridRow],57),0))</f>
        <v/>
      </c>
      <c r="BF51">
        <f>SUMPRODUCT((M_BOM[RM_Code]=$A51)*M_BOM[RM_Qty_Per_Batch]*IFERROR(INDEX(PP_Grid[#Data],M_BOM[PPGridRow],58),0))</f>
        <v/>
      </c>
      <c r="BG51">
        <f>SUMPRODUCT((M_BOM[RM_Code]=$A51)*M_BOM[RM_Qty_Per_Batch]*IFERROR(INDEX(PP_Grid[#Data],M_BOM[PPGridRow],59),0))</f>
        <v/>
      </c>
      <c r="BH51">
        <f>SUMPRODUCT((M_BOM[RM_Code]=$A51)*M_BOM[RM_Qty_Per_Batch]*IFERROR(INDEX(PP_Grid[#Data],M_BOM[PPGridRow],60),0))</f>
        <v/>
      </c>
      <c r="BI51">
        <f>SUMPRODUCT((M_BOM[RM_Code]=$A51)*M_BOM[RM_Qty_Per_Batch]*IFERROR(INDEX(PP_Grid[#Data],M_BOM[PPGridRow],61),0))</f>
        <v/>
      </c>
      <c r="BJ51">
        <f>SUMPRODUCT((M_BOM[RM_Code]=$A51)*M_BOM[RM_Qty_Per_Batch]*IFERROR(INDEX(PP_Grid[#Data],M_BOM[PPGridRow],62),0))</f>
        <v/>
      </c>
      <c r="BK51">
        <f>SUMPRODUCT((M_BOM[RM_Code]=$A51)*M_BOM[RM_Qty_Per_Batch]*IFERROR(INDEX(PP_Grid[#Data],M_BOM[PPGridRow],63),0))</f>
        <v/>
      </c>
      <c r="BL51">
        <f>SUMPRODUCT((M_BOM[RM_Code]=$A51)*M_BOM[RM_Qty_Per_Batch]*IFERROR(INDEX(PP_Grid[#Data],M_BOM[PPGridRow],64),0))</f>
        <v/>
      </c>
      <c r="BM51">
        <f>SUMPRODUCT((M_BOM[RM_Code]=$A51)*M_BOM[RM_Qty_Per_Batch]*IFERROR(INDEX(PP_Grid[#Data],M_BOM[PPGridRow],65),0))</f>
        <v/>
      </c>
      <c r="BN51">
        <f>SUMPRODUCT((M_BOM[RM_Code]=$A51)*M_BOM[RM_Qty_Per_Batch]*IFERROR(INDEX(PP_Grid[#Data],M_BOM[PPGridRow],66),0))</f>
        <v/>
      </c>
      <c r="BO51">
        <f>SUMPRODUCT((M_BOM[RM_Code]=$A51)*M_BOM[RM_Qty_Per_Batch]*IFERROR(INDEX(PP_Grid[#Data],M_BOM[PPGridRow],67),0))</f>
        <v/>
      </c>
      <c r="BP51">
        <f>SUMPRODUCT((M_BOM[RM_Code]=$A51)*M_BOM[RM_Qty_Per_Batch]*IFERROR(INDEX(PP_Grid[#Data],M_BOM[PPGridRow],68),0))</f>
        <v/>
      </c>
      <c r="BQ51">
        <f>SUMPRODUCT((M_BOM[RM_Code]=$A51)*M_BOM[RM_Qty_Per_Batch]*IFERROR(INDEX(PP_Grid[#Data],M_BOM[PPGridRow],69),0))</f>
        <v/>
      </c>
      <c r="BR51">
        <f>SUMPRODUCT((M_BOM[RM_Code]=$A51)*M_BOM[RM_Qty_Per_Batch]*IFERROR(INDEX(PP_Grid[#Data],M_BOM[PPGridRow],70),0))</f>
        <v/>
      </c>
      <c r="BS51">
        <f>SUMPRODUCT((M_BOM[RM_Code]=$A51)*M_BOM[RM_Qty_Per_Batch]*IFERROR(INDEX(PP_Grid[#Data],M_BOM[PPGridRow],71),0))</f>
        <v/>
      </c>
      <c r="BT51">
        <f>SUMPRODUCT((M_BOM[RM_Code]=$A51)*M_BOM[RM_Qty_Per_Batch]*IFERROR(INDEX(PP_Grid[#Data],M_BOM[PPGridRow],72),0))</f>
        <v/>
      </c>
      <c r="BU51">
        <f>SUMPRODUCT((M_BOM[RM_Code]=$A51)*M_BOM[RM_Qty_Per_Batch]*IFERROR(INDEX(PP_Grid[#Data],M_BOM[PPGridRow],73),0))</f>
        <v/>
      </c>
      <c r="BV51">
        <f>SUMPRODUCT((M_BOM[RM_Code]=$A51)*M_BOM[RM_Qty_Per_Batch]*IFERROR(INDEX(PP_Grid[#Data],M_BOM[PPGridRow],74),0))</f>
        <v/>
      </c>
      <c r="BW51">
        <f>SUMPRODUCT((M_BOM[RM_Code]=$A51)*M_BOM[RM_Qty_Per_Batch]*IFERROR(INDEX(PP_Grid[#Data],M_BOM[PPGridRow],75),0))</f>
        <v/>
      </c>
      <c r="BX51">
        <f>SUMPRODUCT((M_BOM[RM_Code]=$A51)*M_BOM[RM_Qty_Per_Batch]*IFERROR(INDEX(PP_Grid[#Data],M_BOM[PPGridRow],76),0))</f>
        <v/>
      </c>
      <c r="BY51">
        <f>SUMPRODUCT((M_BOM[RM_Code]=$A51)*M_BOM[RM_Qty_Per_Batch]*IFERROR(INDEX(PP_Grid[#Data],M_BOM[PPGridRow],77),0))</f>
        <v/>
      </c>
      <c r="BZ51">
        <f>SUMPRODUCT((M_BOM[RM_Code]=$A51)*M_BOM[RM_Qty_Per_Batch]*IFERROR(INDEX(PP_Grid[#Data],M_BOM[PPGridRow],78),0))</f>
        <v/>
      </c>
      <c r="CA51">
        <f>SUMPRODUCT((M_BOM[RM_Code]=$A51)*M_BOM[RM_Qty_Per_Batch]*IFERROR(INDEX(PP_Grid[#Data],M_BOM[PPGridRow],79),0))</f>
        <v/>
      </c>
      <c r="CB51">
        <f>SUMPRODUCT((M_BOM[RM_Code]=$A51)*M_BOM[RM_Qty_Per_Batch]*IFERROR(INDEX(PP_Grid[#Data],M_BOM[PPGridRow],80),0))</f>
        <v/>
      </c>
      <c r="CC51">
        <f>SUMPRODUCT((M_BOM[RM_Code]=$A51)*M_BOM[RM_Qty_Per_Batch]*IFERROR(INDEX(PP_Grid[#Data],M_BOM[PPGridRow],81),0))</f>
        <v/>
      </c>
      <c r="CD51">
        <f>SUMPRODUCT((M_BOM[RM_Code]=$A51)*M_BOM[RM_Qty_Per_Batch]*IFERROR(INDEX(PP_Grid[#Data],M_BOM[PPGridRow],82),0))</f>
        <v/>
      </c>
      <c r="CE51">
        <f>SUMPRODUCT((M_BOM[RM_Code]=$A51)*M_BOM[RM_Qty_Per_Batch]*IFERROR(INDEX(PP_Grid[#Data],M_BOM[PPGridRow],83),0))</f>
        <v/>
      </c>
      <c r="CF51">
        <f>SUMPRODUCT((M_BOM[RM_Code]=$A51)*M_BOM[RM_Qty_Per_Batch]*IFERROR(INDEX(PP_Grid[#Data],M_BOM[PPGridRow],84),0))</f>
        <v/>
      </c>
      <c r="CG51">
        <f>SUMPRODUCT((M_BOM[RM_Code]=$A51)*M_BOM[RM_Qty_Per_Batch]*IFERROR(INDEX(PP_Grid[#Data],M_BOM[PPGridRow],85),0))</f>
        <v/>
      </c>
      <c r="CH51">
        <f>SUMPRODUCT((M_BOM[RM_Code]=$A51)*M_BOM[RM_Qty_Per_Batch]*IFERROR(INDEX(PP_Grid[#Data],M_BOM[PPGridRow],86),0))</f>
        <v/>
      </c>
      <c r="CI51">
        <f>SUMPRODUCT((M_BOM[RM_Code]=$A51)*M_BOM[RM_Qty_Per_Batch]*IFERROR(INDEX(PP_Grid[#Data],M_BOM[PPGridRow],87),0))</f>
        <v/>
      </c>
      <c r="CJ51">
        <f>SUMPRODUCT((M_BOM[RM_Code]=$A51)*M_BOM[RM_Qty_Per_Batch]*IFERROR(INDEX(PP_Grid[#Data],M_BOM[PPGridRow],88),0))</f>
        <v/>
      </c>
      <c r="CK51">
        <f>SUMPRODUCT((M_BOM[RM_Code]=$A51)*M_BOM[RM_Qty_Per_Batch]*IFERROR(INDEX(PP_Grid[#Data],M_BOM[PPGridRow],89),0))</f>
        <v/>
      </c>
      <c r="CL51">
        <f>SUMPRODUCT((M_BOM[RM_Code]=$A51)*M_BOM[RM_Qty_Per_Batch]*IFERROR(INDEX(PP_Grid[#Data],M_BOM[PPGridRow],90),0))</f>
        <v/>
      </c>
      <c r="CM51">
        <f>SUMPRODUCT((M_BOM[RM_Code]=$A51)*M_BOM[RM_Qty_Per_Batch]*IFERROR(INDEX(PP_Grid[#Data],M_BOM[PPGridRow],91),0))</f>
        <v/>
      </c>
      <c r="CN51">
        <f>SUMPRODUCT((M_BOM[RM_Code]=$A51)*M_BOM[RM_Qty_Per_Batch]*IFERROR(INDEX(PP_Grid[#Data],M_BOM[PPGridRow],92),0))</f>
        <v/>
      </c>
      <c r="CO51">
        <f>SUMPRODUCT((M_BOM[RM_Code]=$A51)*M_BOM[RM_Qty_Per_Batch]*IFERROR(INDEX(PP_Grid[#Data],M_BOM[PPGridRow],93),0))</f>
        <v/>
      </c>
      <c r="CP51">
        <f>SUMPRODUCT((M_BOM[RM_Code]=$A51)*M_BOM[RM_Qty_Per_Batch]*IFERROR(INDEX(PP_Grid[#Data],M_BOM[PPGridRow],94),0))</f>
        <v/>
      </c>
      <c r="CQ51">
        <f>SUMPRODUCT((M_BOM[RM_Code]=$A51)*M_BOM[RM_Qty_Per_Batch]*IFERROR(INDEX(PP_Grid[#Data],M_BOM[PPGridRow],95),0))</f>
        <v/>
      </c>
      <c r="CR51">
        <f>SUMPRODUCT((M_BOM[RM_Code]=$A51)*M_BOM[RM_Qty_Per_Batch]*IFERROR(INDEX(PP_Grid[#Data],M_BOM[PPGridRow],96),0))</f>
        <v/>
      </c>
      <c r="CS51">
        <f>SUMPRODUCT((M_BOM[RM_Code]=$A51)*M_BOM[RM_Qty_Per_Batch]*IFERROR(INDEX(PP_Grid[#Data],M_BOM[PPGridRow],97),0))</f>
        <v/>
      </c>
      <c r="CT51">
        <f>SUMPRODUCT((M_BOM[RM_Code]=$A51)*M_BOM[RM_Qty_Per_Batch]*IFERROR(INDEX(PP_Grid[#Data],M_BOM[PPGridRow],98),0))</f>
        <v/>
      </c>
      <c r="CU51">
        <f>SUMPRODUCT((M_BOM[RM_Code]=$A51)*M_BOM[RM_Qty_Per_Batch]*IFERROR(INDEX(PP_Grid[#Data],M_BOM[PPGridRow],99),0))</f>
        <v/>
      </c>
      <c r="CV51">
        <f>SUMPRODUCT((M_BOM[RM_Code]=$A51)*M_BOM[RM_Qty_Per_Batch]*IFERROR(INDEX(PP_Grid[#Data],M_BOM[PPGridRow],100),0))</f>
        <v/>
      </c>
      <c r="CW51">
        <f>SUMPRODUCT((M_BOM[RM_Code]=$A51)*M_BOM[RM_Qty_Per_Batch]*IFERROR(INDEX(PP_Grid[#Data],M_BOM[PPGridRow],101),0))</f>
        <v/>
      </c>
      <c r="CX51">
        <f>SUMPRODUCT((M_BOM[RM_Code]=$A51)*M_BOM[RM_Qty_Per_Batch]*IFERROR(INDEX(PP_Grid[#Data],M_BOM[PPGridRow],102),0))</f>
        <v/>
      </c>
      <c r="CY51">
        <f>SUMPRODUCT((M_BOM[RM_Code]=$A51)*M_BOM[RM_Qty_Per_Batch]*IFERROR(INDEX(PP_Grid[#Data],M_BOM[PPGridRow],103),0))</f>
        <v/>
      </c>
      <c r="CZ51">
        <f>SUMPRODUCT((M_BOM[RM_Code]=$A51)*M_BOM[RM_Qty_Per_Batch]*IFERROR(INDEX(PP_Grid[#Data],M_BOM[PPGridRow],104),0))</f>
        <v/>
      </c>
      <c r="DA51">
        <f>SUMPRODUCT((M_BOM[RM_Code]=$A51)*M_BOM[RM_Qty_Per_Batch]*IFERROR(INDEX(PP_Grid[#Data],M_BOM[PPGridRow],105),0))</f>
        <v/>
      </c>
    </row>
    <row r="52">
      <c r="A52" t="inlineStr">
        <is>
          <t>CHEM-1520</t>
        </is>
      </c>
      <c r="B52">
        <f>SUMPRODUCT((M_BOM[RM_Code]=$A52)*M_BOM[RM_Qty_Per_Batch]*IFERROR(INDEX(PP_Grid[#Data],M_BOM[PPGridRow],2),0))</f>
        <v/>
      </c>
      <c r="C52">
        <f>SUMPRODUCT((M_BOM[RM_Code]=$A52)*M_BOM[RM_Qty_Per_Batch]*IFERROR(INDEX(PP_Grid[#Data],M_BOM[PPGridRow],3),0))</f>
        <v/>
      </c>
      <c r="D52">
        <f>SUMPRODUCT((M_BOM[RM_Code]=$A52)*M_BOM[RM_Qty_Per_Batch]*IFERROR(INDEX(PP_Grid[#Data],M_BOM[PPGridRow],4),0))</f>
        <v/>
      </c>
      <c r="E52">
        <f>SUMPRODUCT((M_BOM[RM_Code]=$A52)*M_BOM[RM_Qty_Per_Batch]*IFERROR(INDEX(PP_Grid[#Data],M_BOM[PPGridRow],5),0))</f>
        <v/>
      </c>
      <c r="F52">
        <f>SUMPRODUCT((M_BOM[RM_Code]=$A52)*M_BOM[RM_Qty_Per_Batch]*IFERROR(INDEX(PP_Grid[#Data],M_BOM[PPGridRow],6),0))</f>
        <v/>
      </c>
      <c r="G52">
        <f>SUMPRODUCT((M_BOM[RM_Code]=$A52)*M_BOM[RM_Qty_Per_Batch]*IFERROR(INDEX(PP_Grid[#Data],M_BOM[PPGridRow],7),0))</f>
        <v/>
      </c>
      <c r="H52">
        <f>SUMPRODUCT((M_BOM[RM_Code]=$A52)*M_BOM[RM_Qty_Per_Batch]*IFERROR(INDEX(PP_Grid[#Data],M_BOM[PPGridRow],8),0))</f>
        <v/>
      </c>
      <c r="I52">
        <f>SUMPRODUCT((M_BOM[RM_Code]=$A52)*M_BOM[RM_Qty_Per_Batch]*IFERROR(INDEX(PP_Grid[#Data],M_BOM[PPGridRow],9),0))</f>
        <v/>
      </c>
      <c r="J52">
        <f>SUMPRODUCT((M_BOM[RM_Code]=$A52)*M_BOM[RM_Qty_Per_Batch]*IFERROR(INDEX(PP_Grid[#Data],M_BOM[PPGridRow],10),0))</f>
        <v/>
      </c>
      <c r="K52">
        <f>SUMPRODUCT((M_BOM[RM_Code]=$A52)*M_BOM[RM_Qty_Per_Batch]*IFERROR(INDEX(PP_Grid[#Data],M_BOM[PPGridRow],11),0))</f>
        <v/>
      </c>
      <c r="L52">
        <f>SUMPRODUCT((M_BOM[RM_Code]=$A52)*M_BOM[RM_Qty_Per_Batch]*IFERROR(INDEX(PP_Grid[#Data],M_BOM[PPGridRow],12),0))</f>
        <v/>
      </c>
      <c r="M52">
        <f>SUMPRODUCT((M_BOM[RM_Code]=$A52)*M_BOM[RM_Qty_Per_Batch]*IFERROR(INDEX(PP_Grid[#Data],M_BOM[PPGridRow],13),0))</f>
        <v/>
      </c>
      <c r="N52">
        <f>SUMPRODUCT((M_BOM[RM_Code]=$A52)*M_BOM[RM_Qty_Per_Batch]*IFERROR(INDEX(PP_Grid[#Data],M_BOM[PPGridRow],14),0))</f>
        <v/>
      </c>
      <c r="O52">
        <f>SUMPRODUCT((M_BOM[RM_Code]=$A52)*M_BOM[RM_Qty_Per_Batch]*IFERROR(INDEX(PP_Grid[#Data],M_BOM[PPGridRow],15),0))</f>
        <v/>
      </c>
      <c r="P52">
        <f>SUMPRODUCT((M_BOM[RM_Code]=$A52)*M_BOM[RM_Qty_Per_Batch]*IFERROR(INDEX(PP_Grid[#Data],M_BOM[PPGridRow],16),0))</f>
        <v/>
      </c>
      <c r="Q52">
        <f>SUMPRODUCT((M_BOM[RM_Code]=$A52)*M_BOM[RM_Qty_Per_Batch]*IFERROR(INDEX(PP_Grid[#Data],M_BOM[PPGridRow],17),0))</f>
        <v/>
      </c>
      <c r="R52">
        <f>SUMPRODUCT((M_BOM[RM_Code]=$A52)*M_BOM[RM_Qty_Per_Batch]*IFERROR(INDEX(PP_Grid[#Data],M_BOM[PPGridRow],18),0))</f>
        <v/>
      </c>
      <c r="S52">
        <f>SUMPRODUCT((M_BOM[RM_Code]=$A52)*M_BOM[RM_Qty_Per_Batch]*IFERROR(INDEX(PP_Grid[#Data],M_BOM[PPGridRow],19),0))</f>
        <v/>
      </c>
      <c r="T52">
        <f>SUMPRODUCT((M_BOM[RM_Code]=$A52)*M_BOM[RM_Qty_Per_Batch]*IFERROR(INDEX(PP_Grid[#Data],M_BOM[PPGridRow],20),0))</f>
        <v/>
      </c>
      <c r="U52">
        <f>SUMPRODUCT((M_BOM[RM_Code]=$A52)*M_BOM[RM_Qty_Per_Batch]*IFERROR(INDEX(PP_Grid[#Data],M_BOM[PPGridRow],21),0))</f>
        <v/>
      </c>
      <c r="V52">
        <f>SUMPRODUCT((M_BOM[RM_Code]=$A52)*M_BOM[RM_Qty_Per_Batch]*IFERROR(INDEX(PP_Grid[#Data],M_BOM[PPGridRow],22),0))</f>
        <v/>
      </c>
      <c r="W52">
        <f>SUMPRODUCT((M_BOM[RM_Code]=$A52)*M_BOM[RM_Qty_Per_Batch]*IFERROR(INDEX(PP_Grid[#Data],M_BOM[PPGridRow],23),0))</f>
        <v/>
      </c>
      <c r="X52">
        <f>SUMPRODUCT((M_BOM[RM_Code]=$A52)*M_BOM[RM_Qty_Per_Batch]*IFERROR(INDEX(PP_Grid[#Data],M_BOM[PPGridRow],24),0))</f>
        <v/>
      </c>
      <c r="Y52">
        <f>SUMPRODUCT((M_BOM[RM_Code]=$A52)*M_BOM[RM_Qty_Per_Batch]*IFERROR(INDEX(PP_Grid[#Data],M_BOM[PPGridRow],25),0))</f>
        <v/>
      </c>
      <c r="Z52">
        <f>SUMPRODUCT((M_BOM[RM_Code]=$A52)*M_BOM[RM_Qty_Per_Batch]*IFERROR(INDEX(PP_Grid[#Data],M_BOM[PPGridRow],26),0))</f>
        <v/>
      </c>
      <c r="AA52">
        <f>SUMPRODUCT((M_BOM[RM_Code]=$A52)*M_BOM[RM_Qty_Per_Batch]*IFERROR(INDEX(PP_Grid[#Data],M_BOM[PPGridRow],27),0))</f>
        <v/>
      </c>
      <c r="AB52">
        <f>SUMPRODUCT((M_BOM[RM_Code]=$A52)*M_BOM[RM_Qty_Per_Batch]*IFERROR(INDEX(PP_Grid[#Data],M_BOM[PPGridRow],28),0))</f>
        <v/>
      </c>
      <c r="AC52">
        <f>SUMPRODUCT((M_BOM[RM_Code]=$A52)*M_BOM[RM_Qty_Per_Batch]*IFERROR(INDEX(PP_Grid[#Data],M_BOM[PPGridRow],29),0))</f>
        <v/>
      </c>
      <c r="AD52">
        <f>SUMPRODUCT((M_BOM[RM_Code]=$A52)*M_BOM[RM_Qty_Per_Batch]*IFERROR(INDEX(PP_Grid[#Data],M_BOM[PPGridRow],30),0))</f>
        <v/>
      </c>
      <c r="AE52">
        <f>SUMPRODUCT((M_BOM[RM_Code]=$A52)*M_BOM[RM_Qty_Per_Batch]*IFERROR(INDEX(PP_Grid[#Data],M_BOM[PPGridRow],31),0))</f>
        <v/>
      </c>
      <c r="AF52">
        <f>SUMPRODUCT((M_BOM[RM_Code]=$A52)*M_BOM[RM_Qty_Per_Batch]*IFERROR(INDEX(PP_Grid[#Data],M_BOM[PPGridRow],32),0))</f>
        <v/>
      </c>
      <c r="AG52">
        <f>SUMPRODUCT((M_BOM[RM_Code]=$A52)*M_BOM[RM_Qty_Per_Batch]*IFERROR(INDEX(PP_Grid[#Data],M_BOM[PPGridRow],33),0))</f>
        <v/>
      </c>
      <c r="AH52">
        <f>SUMPRODUCT((M_BOM[RM_Code]=$A52)*M_BOM[RM_Qty_Per_Batch]*IFERROR(INDEX(PP_Grid[#Data],M_BOM[PPGridRow],34),0))</f>
        <v/>
      </c>
      <c r="AI52">
        <f>SUMPRODUCT((M_BOM[RM_Code]=$A52)*M_BOM[RM_Qty_Per_Batch]*IFERROR(INDEX(PP_Grid[#Data],M_BOM[PPGridRow],35),0))</f>
        <v/>
      </c>
      <c r="AJ52">
        <f>SUMPRODUCT((M_BOM[RM_Code]=$A52)*M_BOM[RM_Qty_Per_Batch]*IFERROR(INDEX(PP_Grid[#Data],M_BOM[PPGridRow],36),0))</f>
        <v/>
      </c>
      <c r="AK52">
        <f>SUMPRODUCT((M_BOM[RM_Code]=$A52)*M_BOM[RM_Qty_Per_Batch]*IFERROR(INDEX(PP_Grid[#Data],M_BOM[PPGridRow],37),0))</f>
        <v/>
      </c>
      <c r="AL52">
        <f>SUMPRODUCT((M_BOM[RM_Code]=$A52)*M_BOM[RM_Qty_Per_Batch]*IFERROR(INDEX(PP_Grid[#Data],M_BOM[PPGridRow],38),0))</f>
        <v/>
      </c>
      <c r="AM52">
        <f>SUMPRODUCT((M_BOM[RM_Code]=$A52)*M_BOM[RM_Qty_Per_Batch]*IFERROR(INDEX(PP_Grid[#Data],M_BOM[PPGridRow],39),0))</f>
        <v/>
      </c>
      <c r="AN52">
        <f>SUMPRODUCT((M_BOM[RM_Code]=$A52)*M_BOM[RM_Qty_Per_Batch]*IFERROR(INDEX(PP_Grid[#Data],M_BOM[PPGridRow],40),0))</f>
        <v/>
      </c>
      <c r="AO52">
        <f>SUMPRODUCT((M_BOM[RM_Code]=$A52)*M_BOM[RM_Qty_Per_Batch]*IFERROR(INDEX(PP_Grid[#Data],M_BOM[PPGridRow],41),0))</f>
        <v/>
      </c>
      <c r="AP52">
        <f>SUMPRODUCT((M_BOM[RM_Code]=$A52)*M_BOM[RM_Qty_Per_Batch]*IFERROR(INDEX(PP_Grid[#Data],M_BOM[PPGridRow],42),0))</f>
        <v/>
      </c>
      <c r="AQ52">
        <f>SUMPRODUCT((M_BOM[RM_Code]=$A52)*M_BOM[RM_Qty_Per_Batch]*IFERROR(INDEX(PP_Grid[#Data],M_BOM[PPGridRow],43),0))</f>
        <v/>
      </c>
      <c r="AR52">
        <f>SUMPRODUCT((M_BOM[RM_Code]=$A52)*M_BOM[RM_Qty_Per_Batch]*IFERROR(INDEX(PP_Grid[#Data],M_BOM[PPGridRow],44),0))</f>
        <v/>
      </c>
      <c r="AS52">
        <f>SUMPRODUCT((M_BOM[RM_Code]=$A52)*M_BOM[RM_Qty_Per_Batch]*IFERROR(INDEX(PP_Grid[#Data],M_BOM[PPGridRow],45),0))</f>
        <v/>
      </c>
      <c r="AT52">
        <f>SUMPRODUCT((M_BOM[RM_Code]=$A52)*M_BOM[RM_Qty_Per_Batch]*IFERROR(INDEX(PP_Grid[#Data],M_BOM[PPGridRow],46),0))</f>
        <v/>
      </c>
      <c r="AU52">
        <f>SUMPRODUCT((M_BOM[RM_Code]=$A52)*M_BOM[RM_Qty_Per_Batch]*IFERROR(INDEX(PP_Grid[#Data],M_BOM[PPGridRow],47),0))</f>
        <v/>
      </c>
      <c r="AV52">
        <f>SUMPRODUCT((M_BOM[RM_Code]=$A52)*M_BOM[RM_Qty_Per_Batch]*IFERROR(INDEX(PP_Grid[#Data],M_BOM[PPGridRow],48),0))</f>
        <v/>
      </c>
      <c r="AW52">
        <f>SUMPRODUCT((M_BOM[RM_Code]=$A52)*M_BOM[RM_Qty_Per_Batch]*IFERROR(INDEX(PP_Grid[#Data],M_BOM[PPGridRow],49),0))</f>
        <v/>
      </c>
      <c r="AX52">
        <f>SUMPRODUCT((M_BOM[RM_Code]=$A52)*M_BOM[RM_Qty_Per_Batch]*IFERROR(INDEX(PP_Grid[#Data],M_BOM[PPGridRow],50),0))</f>
        <v/>
      </c>
      <c r="AY52">
        <f>SUMPRODUCT((M_BOM[RM_Code]=$A52)*M_BOM[RM_Qty_Per_Batch]*IFERROR(INDEX(PP_Grid[#Data],M_BOM[PPGridRow],51),0))</f>
        <v/>
      </c>
      <c r="AZ52">
        <f>SUMPRODUCT((M_BOM[RM_Code]=$A52)*M_BOM[RM_Qty_Per_Batch]*IFERROR(INDEX(PP_Grid[#Data],M_BOM[PPGridRow],52),0))</f>
        <v/>
      </c>
      <c r="BA52">
        <f>SUMPRODUCT((M_BOM[RM_Code]=$A52)*M_BOM[RM_Qty_Per_Batch]*IFERROR(INDEX(PP_Grid[#Data],M_BOM[PPGridRow],53),0))</f>
        <v/>
      </c>
      <c r="BB52">
        <f>SUMPRODUCT((M_BOM[RM_Code]=$A52)*M_BOM[RM_Qty_Per_Batch]*IFERROR(INDEX(PP_Grid[#Data],M_BOM[PPGridRow],54),0))</f>
        <v/>
      </c>
      <c r="BC52">
        <f>SUMPRODUCT((M_BOM[RM_Code]=$A52)*M_BOM[RM_Qty_Per_Batch]*IFERROR(INDEX(PP_Grid[#Data],M_BOM[PPGridRow],55),0))</f>
        <v/>
      </c>
      <c r="BD52">
        <f>SUMPRODUCT((M_BOM[RM_Code]=$A52)*M_BOM[RM_Qty_Per_Batch]*IFERROR(INDEX(PP_Grid[#Data],M_BOM[PPGridRow],56),0))</f>
        <v/>
      </c>
      <c r="BE52">
        <f>SUMPRODUCT((M_BOM[RM_Code]=$A52)*M_BOM[RM_Qty_Per_Batch]*IFERROR(INDEX(PP_Grid[#Data],M_BOM[PPGridRow],57),0))</f>
        <v/>
      </c>
      <c r="BF52">
        <f>SUMPRODUCT((M_BOM[RM_Code]=$A52)*M_BOM[RM_Qty_Per_Batch]*IFERROR(INDEX(PP_Grid[#Data],M_BOM[PPGridRow],58),0))</f>
        <v/>
      </c>
      <c r="BG52">
        <f>SUMPRODUCT((M_BOM[RM_Code]=$A52)*M_BOM[RM_Qty_Per_Batch]*IFERROR(INDEX(PP_Grid[#Data],M_BOM[PPGridRow],59),0))</f>
        <v/>
      </c>
      <c r="BH52">
        <f>SUMPRODUCT((M_BOM[RM_Code]=$A52)*M_BOM[RM_Qty_Per_Batch]*IFERROR(INDEX(PP_Grid[#Data],M_BOM[PPGridRow],60),0))</f>
        <v/>
      </c>
      <c r="BI52">
        <f>SUMPRODUCT((M_BOM[RM_Code]=$A52)*M_BOM[RM_Qty_Per_Batch]*IFERROR(INDEX(PP_Grid[#Data],M_BOM[PPGridRow],61),0))</f>
        <v/>
      </c>
      <c r="BJ52">
        <f>SUMPRODUCT((M_BOM[RM_Code]=$A52)*M_BOM[RM_Qty_Per_Batch]*IFERROR(INDEX(PP_Grid[#Data],M_BOM[PPGridRow],62),0))</f>
        <v/>
      </c>
      <c r="BK52">
        <f>SUMPRODUCT((M_BOM[RM_Code]=$A52)*M_BOM[RM_Qty_Per_Batch]*IFERROR(INDEX(PP_Grid[#Data],M_BOM[PPGridRow],63),0))</f>
        <v/>
      </c>
      <c r="BL52">
        <f>SUMPRODUCT((M_BOM[RM_Code]=$A52)*M_BOM[RM_Qty_Per_Batch]*IFERROR(INDEX(PP_Grid[#Data],M_BOM[PPGridRow],64),0))</f>
        <v/>
      </c>
      <c r="BM52">
        <f>SUMPRODUCT((M_BOM[RM_Code]=$A52)*M_BOM[RM_Qty_Per_Batch]*IFERROR(INDEX(PP_Grid[#Data],M_BOM[PPGridRow],65),0))</f>
        <v/>
      </c>
      <c r="BN52">
        <f>SUMPRODUCT((M_BOM[RM_Code]=$A52)*M_BOM[RM_Qty_Per_Batch]*IFERROR(INDEX(PP_Grid[#Data],M_BOM[PPGridRow],66),0))</f>
        <v/>
      </c>
      <c r="BO52">
        <f>SUMPRODUCT((M_BOM[RM_Code]=$A52)*M_BOM[RM_Qty_Per_Batch]*IFERROR(INDEX(PP_Grid[#Data],M_BOM[PPGridRow],67),0))</f>
        <v/>
      </c>
      <c r="BP52">
        <f>SUMPRODUCT((M_BOM[RM_Code]=$A52)*M_BOM[RM_Qty_Per_Batch]*IFERROR(INDEX(PP_Grid[#Data],M_BOM[PPGridRow],68),0))</f>
        <v/>
      </c>
      <c r="BQ52">
        <f>SUMPRODUCT((M_BOM[RM_Code]=$A52)*M_BOM[RM_Qty_Per_Batch]*IFERROR(INDEX(PP_Grid[#Data],M_BOM[PPGridRow],69),0))</f>
        <v/>
      </c>
      <c r="BR52">
        <f>SUMPRODUCT((M_BOM[RM_Code]=$A52)*M_BOM[RM_Qty_Per_Batch]*IFERROR(INDEX(PP_Grid[#Data],M_BOM[PPGridRow],70),0))</f>
        <v/>
      </c>
      <c r="BS52">
        <f>SUMPRODUCT((M_BOM[RM_Code]=$A52)*M_BOM[RM_Qty_Per_Batch]*IFERROR(INDEX(PP_Grid[#Data],M_BOM[PPGridRow],71),0))</f>
        <v/>
      </c>
      <c r="BT52">
        <f>SUMPRODUCT((M_BOM[RM_Code]=$A52)*M_BOM[RM_Qty_Per_Batch]*IFERROR(INDEX(PP_Grid[#Data],M_BOM[PPGridRow],72),0))</f>
        <v/>
      </c>
      <c r="BU52">
        <f>SUMPRODUCT((M_BOM[RM_Code]=$A52)*M_BOM[RM_Qty_Per_Batch]*IFERROR(INDEX(PP_Grid[#Data],M_BOM[PPGridRow],73),0))</f>
        <v/>
      </c>
      <c r="BV52">
        <f>SUMPRODUCT((M_BOM[RM_Code]=$A52)*M_BOM[RM_Qty_Per_Batch]*IFERROR(INDEX(PP_Grid[#Data],M_BOM[PPGridRow],74),0))</f>
        <v/>
      </c>
      <c r="BW52">
        <f>SUMPRODUCT((M_BOM[RM_Code]=$A52)*M_BOM[RM_Qty_Per_Batch]*IFERROR(INDEX(PP_Grid[#Data],M_BOM[PPGridRow],75),0))</f>
        <v/>
      </c>
      <c r="BX52">
        <f>SUMPRODUCT((M_BOM[RM_Code]=$A52)*M_BOM[RM_Qty_Per_Batch]*IFERROR(INDEX(PP_Grid[#Data],M_BOM[PPGridRow],76),0))</f>
        <v/>
      </c>
      <c r="BY52">
        <f>SUMPRODUCT((M_BOM[RM_Code]=$A52)*M_BOM[RM_Qty_Per_Batch]*IFERROR(INDEX(PP_Grid[#Data],M_BOM[PPGridRow],77),0))</f>
        <v/>
      </c>
      <c r="BZ52">
        <f>SUMPRODUCT((M_BOM[RM_Code]=$A52)*M_BOM[RM_Qty_Per_Batch]*IFERROR(INDEX(PP_Grid[#Data],M_BOM[PPGridRow],78),0))</f>
        <v/>
      </c>
      <c r="CA52">
        <f>SUMPRODUCT((M_BOM[RM_Code]=$A52)*M_BOM[RM_Qty_Per_Batch]*IFERROR(INDEX(PP_Grid[#Data],M_BOM[PPGridRow],79),0))</f>
        <v/>
      </c>
      <c r="CB52">
        <f>SUMPRODUCT((M_BOM[RM_Code]=$A52)*M_BOM[RM_Qty_Per_Batch]*IFERROR(INDEX(PP_Grid[#Data],M_BOM[PPGridRow],80),0))</f>
        <v/>
      </c>
      <c r="CC52">
        <f>SUMPRODUCT((M_BOM[RM_Code]=$A52)*M_BOM[RM_Qty_Per_Batch]*IFERROR(INDEX(PP_Grid[#Data],M_BOM[PPGridRow],81),0))</f>
        <v/>
      </c>
      <c r="CD52">
        <f>SUMPRODUCT((M_BOM[RM_Code]=$A52)*M_BOM[RM_Qty_Per_Batch]*IFERROR(INDEX(PP_Grid[#Data],M_BOM[PPGridRow],82),0))</f>
        <v/>
      </c>
      <c r="CE52">
        <f>SUMPRODUCT((M_BOM[RM_Code]=$A52)*M_BOM[RM_Qty_Per_Batch]*IFERROR(INDEX(PP_Grid[#Data],M_BOM[PPGridRow],83),0))</f>
        <v/>
      </c>
      <c r="CF52">
        <f>SUMPRODUCT((M_BOM[RM_Code]=$A52)*M_BOM[RM_Qty_Per_Batch]*IFERROR(INDEX(PP_Grid[#Data],M_BOM[PPGridRow],84),0))</f>
        <v/>
      </c>
      <c r="CG52">
        <f>SUMPRODUCT((M_BOM[RM_Code]=$A52)*M_BOM[RM_Qty_Per_Batch]*IFERROR(INDEX(PP_Grid[#Data],M_BOM[PPGridRow],85),0))</f>
        <v/>
      </c>
      <c r="CH52">
        <f>SUMPRODUCT((M_BOM[RM_Code]=$A52)*M_BOM[RM_Qty_Per_Batch]*IFERROR(INDEX(PP_Grid[#Data],M_BOM[PPGridRow],86),0))</f>
        <v/>
      </c>
      <c r="CI52">
        <f>SUMPRODUCT((M_BOM[RM_Code]=$A52)*M_BOM[RM_Qty_Per_Batch]*IFERROR(INDEX(PP_Grid[#Data],M_BOM[PPGridRow],87),0))</f>
        <v/>
      </c>
      <c r="CJ52">
        <f>SUMPRODUCT((M_BOM[RM_Code]=$A52)*M_BOM[RM_Qty_Per_Batch]*IFERROR(INDEX(PP_Grid[#Data],M_BOM[PPGridRow],88),0))</f>
        <v/>
      </c>
      <c r="CK52">
        <f>SUMPRODUCT((M_BOM[RM_Code]=$A52)*M_BOM[RM_Qty_Per_Batch]*IFERROR(INDEX(PP_Grid[#Data],M_BOM[PPGridRow],89),0))</f>
        <v/>
      </c>
      <c r="CL52">
        <f>SUMPRODUCT((M_BOM[RM_Code]=$A52)*M_BOM[RM_Qty_Per_Batch]*IFERROR(INDEX(PP_Grid[#Data],M_BOM[PPGridRow],90),0))</f>
        <v/>
      </c>
      <c r="CM52">
        <f>SUMPRODUCT((M_BOM[RM_Code]=$A52)*M_BOM[RM_Qty_Per_Batch]*IFERROR(INDEX(PP_Grid[#Data],M_BOM[PPGridRow],91),0))</f>
        <v/>
      </c>
      <c r="CN52">
        <f>SUMPRODUCT((M_BOM[RM_Code]=$A52)*M_BOM[RM_Qty_Per_Batch]*IFERROR(INDEX(PP_Grid[#Data],M_BOM[PPGridRow],92),0))</f>
        <v/>
      </c>
      <c r="CO52">
        <f>SUMPRODUCT((M_BOM[RM_Code]=$A52)*M_BOM[RM_Qty_Per_Batch]*IFERROR(INDEX(PP_Grid[#Data],M_BOM[PPGridRow],93),0))</f>
        <v/>
      </c>
      <c r="CP52">
        <f>SUMPRODUCT((M_BOM[RM_Code]=$A52)*M_BOM[RM_Qty_Per_Batch]*IFERROR(INDEX(PP_Grid[#Data],M_BOM[PPGridRow],94),0))</f>
        <v/>
      </c>
      <c r="CQ52">
        <f>SUMPRODUCT((M_BOM[RM_Code]=$A52)*M_BOM[RM_Qty_Per_Batch]*IFERROR(INDEX(PP_Grid[#Data],M_BOM[PPGridRow],95),0))</f>
        <v/>
      </c>
      <c r="CR52">
        <f>SUMPRODUCT((M_BOM[RM_Code]=$A52)*M_BOM[RM_Qty_Per_Batch]*IFERROR(INDEX(PP_Grid[#Data],M_BOM[PPGridRow],96),0))</f>
        <v/>
      </c>
      <c r="CS52">
        <f>SUMPRODUCT((M_BOM[RM_Code]=$A52)*M_BOM[RM_Qty_Per_Batch]*IFERROR(INDEX(PP_Grid[#Data],M_BOM[PPGridRow],97),0))</f>
        <v/>
      </c>
      <c r="CT52">
        <f>SUMPRODUCT((M_BOM[RM_Code]=$A52)*M_BOM[RM_Qty_Per_Batch]*IFERROR(INDEX(PP_Grid[#Data],M_BOM[PPGridRow],98),0))</f>
        <v/>
      </c>
      <c r="CU52">
        <f>SUMPRODUCT((M_BOM[RM_Code]=$A52)*M_BOM[RM_Qty_Per_Batch]*IFERROR(INDEX(PP_Grid[#Data],M_BOM[PPGridRow],99),0))</f>
        <v/>
      </c>
      <c r="CV52">
        <f>SUMPRODUCT((M_BOM[RM_Code]=$A52)*M_BOM[RM_Qty_Per_Batch]*IFERROR(INDEX(PP_Grid[#Data],M_BOM[PPGridRow],100),0))</f>
        <v/>
      </c>
      <c r="CW52">
        <f>SUMPRODUCT((M_BOM[RM_Code]=$A52)*M_BOM[RM_Qty_Per_Batch]*IFERROR(INDEX(PP_Grid[#Data],M_BOM[PPGridRow],101),0))</f>
        <v/>
      </c>
      <c r="CX52">
        <f>SUMPRODUCT((M_BOM[RM_Code]=$A52)*M_BOM[RM_Qty_Per_Batch]*IFERROR(INDEX(PP_Grid[#Data],M_BOM[PPGridRow],102),0))</f>
        <v/>
      </c>
      <c r="CY52">
        <f>SUMPRODUCT((M_BOM[RM_Code]=$A52)*M_BOM[RM_Qty_Per_Batch]*IFERROR(INDEX(PP_Grid[#Data],M_BOM[PPGridRow],103),0))</f>
        <v/>
      </c>
      <c r="CZ52">
        <f>SUMPRODUCT((M_BOM[RM_Code]=$A52)*M_BOM[RM_Qty_Per_Batch]*IFERROR(INDEX(PP_Grid[#Data],M_BOM[PPGridRow],104),0))</f>
        <v/>
      </c>
      <c r="DA52">
        <f>SUMPRODUCT((M_BOM[RM_Code]=$A52)*M_BOM[RM_Qty_Per_Batch]*IFERROR(INDEX(PP_Grid[#Data],M_BOM[PPGridRow],105),0))</f>
        <v/>
      </c>
    </row>
    <row r="53">
      <c r="A53" t="inlineStr">
        <is>
          <t>CHEM-1580</t>
        </is>
      </c>
      <c r="B53">
        <f>SUMPRODUCT((M_BOM[RM_Code]=$A53)*M_BOM[RM_Qty_Per_Batch]*IFERROR(INDEX(PP_Grid[#Data],M_BOM[PPGridRow],2),0))</f>
        <v/>
      </c>
      <c r="C53">
        <f>SUMPRODUCT((M_BOM[RM_Code]=$A53)*M_BOM[RM_Qty_Per_Batch]*IFERROR(INDEX(PP_Grid[#Data],M_BOM[PPGridRow],3),0))</f>
        <v/>
      </c>
      <c r="D53">
        <f>SUMPRODUCT((M_BOM[RM_Code]=$A53)*M_BOM[RM_Qty_Per_Batch]*IFERROR(INDEX(PP_Grid[#Data],M_BOM[PPGridRow],4),0))</f>
        <v/>
      </c>
      <c r="E53">
        <f>SUMPRODUCT((M_BOM[RM_Code]=$A53)*M_BOM[RM_Qty_Per_Batch]*IFERROR(INDEX(PP_Grid[#Data],M_BOM[PPGridRow],5),0))</f>
        <v/>
      </c>
      <c r="F53">
        <f>SUMPRODUCT((M_BOM[RM_Code]=$A53)*M_BOM[RM_Qty_Per_Batch]*IFERROR(INDEX(PP_Grid[#Data],M_BOM[PPGridRow],6),0))</f>
        <v/>
      </c>
      <c r="G53">
        <f>SUMPRODUCT((M_BOM[RM_Code]=$A53)*M_BOM[RM_Qty_Per_Batch]*IFERROR(INDEX(PP_Grid[#Data],M_BOM[PPGridRow],7),0))</f>
        <v/>
      </c>
      <c r="H53">
        <f>SUMPRODUCT((M_BOM[RM_Code]=$A53)*M_BOM[RM_Qty_Per_Batch]*IFERROR(INDEX(PP_Grid[#Data],M_BOM[PPGridRow],8),0))</f>
        <v/>
      </c>
      <c r="I53">
        <f>SUMPRODUCT((M_BOM[RM_Code]=$A53)*M_BOM[RM_Qty_Per_Batch]*IFERROR(INDEX(PP_Grid[#Data],M_BOM[PPGridRow],9),0))</f>
        <v/>
      </c>
      <c r="J53">
        <f>SUMPRODUCT((M_BOM[RM_Code]=$A53)*M_BOM[RM_Qty_Per_Batch]*IFERROR(INDEX(PP_Grid[#Data],M_BOM[PPGridRow],10),0))</f>
        <v/>
      </c>
      <c r="K53">
        <f>SUMPRODUCT((M_BOM[RM_Code]=$A53)*M_BOM[RM_Qty_Per_Batch]*IFERROR(INDEX(PP_Grid[#Data],M_BOM[PPGridRow],11),0))</f>
        <v/>
      </c>
      <c r="L53">
        <f>SUMPRODUCT((M_BOM[RM_Code]=$A53)*M_BOM[RM_Qty_Per_Batch]*IFERROR(INDEX(PP_Grid[#Data],M_BOM[PPGridRow],12),0))</f>
        <v/>
      </c>
      <c r="M53">
        <f>SUMPRODUCT((M_BOM[RM_Code]=$A53)*M_BOM[RM_Qty_Per_Batch]*IFERROR(INDEX(PP_Grid[#Data],M_BOM[PPGridRow],13),0))</f>
        <v/>
      </c>
      <c r="N53">
        <f>SUMPRODUCT((M_BOM[RM_Code]=$A53)*M_BOM[RM_Qty_Per_Batch]*IFERROR(INDEX(PP_Grid[#Data],M_BOM[PPGridRow],14),0))</f>
        <v/>
      </c>
      <c r="O53">
        <f>SUMPRODUCT((M_BOM[RM_Code]=$A53)*M_BOM[RM_Qty_Per_Batch]*IFERROR(INDEX(PP_Grid[#Data],M_BOM[PPGridRow],15),0))</f>
        <v/>
      </c>
      <c r="P53">
        <f>SUMPRODUCT((M_BOM[RM_Code]=$A53)*M_BOM[RM_Qty_Per_Batch]*IFERROR(INDEX(PP_Grid[#Data],M_BOM[PPGridRow],16),0))</f>
        <v/>
      </c>
      <c r="Q53">
        <f>SUMPRODUCT((M_BOM[RM_Code]=$A53)*M_BOM[RM_Qty_Per_Batch]*IFERROR(INDEX(PP_Grid[#Data],M_BOM[PPGridRow],17),0))</f>
        <v/>
      </c>
      <c r="R53">
        <f>SUMPRODUCT((M_BOM[RM_Code]=$A53)*M_BOM[RM_Qty_Per_Batch]*IFERROR(INDEX(PP_Grid[#Data],M_BOM[PPGridRow],18),0))</f>
        <v/>
      </c>
      <c r="S53">
        <f>SUMPRODUCT((M_BOM[RM_Code]=$A53)*M_BOM[RM_Qty_Per_Batch]*IFERROR(INDEX(PP_Grid[#Data],M_BOM[PPGridRow],19),0))</f>
        <v/>
      </c>
      <c r="T53">
        <f>SUMPRODUCT((M_BOM[RM_Code]=$A53)*M_BOM[RM_Qty_Per_Batch]*IFERROR(INDEX(PP_Grid[#Data],M_BOM[PPGridRow],20),0))</f>
        <v/>
      </c>
      <c r="U53">
        <f>SUMPRODUCT((M_BOM[RM_Code]=$A53)*M_BOM[RM_Qty_Per_Batch]*IFERROR(INDEX(PP_Grid[#Data],M_BOM[PPGridRow],21),0))</f>
        <v/>
      </c>
      <c r="V53">
        <f>SUMPRODUCT((M_BOM[RM_Code]=$A53)*M_BOM[RM_Qty_Per_Batch]*IFERROR(INDEX(PP_Grid[#Data],M_BOM[PPGridRow],22),0))</f>
        <v/>
      </c>
      <c r="W53">
        <f>SUMPRODUCT((M_BOM[RM_Code]=$A53)*M_BOM[RM_Qty_Per_Batch]*IFERROR(INDEX(PP_Grid[#Data],M_BOM[PPGridRow],23),0))</f>
        <v/>
      </c>
      <c r="X53">
        <f>SUMPRODUCT((M_BOM[RM_Code]=$A53)*M_BOM[RM_Qty_Per_Batch]*IFERROR(INDEX(PP_Grid[#Data],M_BOM[PPGridRow],24),0))</f>
        <v/>
      </c>
      <c r="Y53">
        <f>SUMPRODUCT((M_BOM[RM_Code]=$A53)*M_BOM[RM_Qty_Per_Batch]*IFERROR(INDEX(PP_Grid[#Data],M_BOM[PPGridRow],25),0))</f>
        <v/>
      </c>
      <c r="Z53">
        <f>SUMPRODUCT((M_BOM[RM_Code]=$A53)*M_BOM[RM_Qty_Per_Batch]*IFERROR(INDEX(PP_Grid[#Data],M_BOM[PPGridRow],26),0))</f>
        <v/>
      </c>
      <c r="AA53">
        <f>SUMPRODUCT((M_BOM[RM_Code]=$A53)*M_BOM[RM_Qty_Per_Batch]*IFERROR(INDEX(PP_Grid[#Data],M_BOM[PPGridRow],27),0))</f>
        <v/>
      </c>
      <c r="AB53">
        <f>SUMPRODUCT((M_BOM[RM_Code]=$A53)*M_BOM[RM_Qty_Per_Batch]*IFERROR(INDEX(PP_Grid[#Data],M_BOM[PPGridRow],28),0))</f>
        <v/>
      </c>
      <c r="AC53">
        <f>SUMPRODUCT((M_BOM[RM_Code]=$A53)*M_BOM[RM_Qty_Per_Batch]*IFERROR(INDEX(PP_Grid[#Data],M_BOM[PPGridRow],29),0))</f>
        <v/>
      </c>
      <c r="AD53">
        <f>SUMPRODUCT((M_BOM[RM_Code]=$A53)*M_BOM[RM_Qty_Per_Batch]*IFERROR(INDEX(PP_Grid[#Data],M_BOM[PPGridRow],30),0))</f>
        <v/>
      </c>
      <c r="AE53">
        <f>SUMPRODUCT((M_BOM[RM_Code]=$A53)*M_BOM[RM_Qty_Per_Batch]*IFERROR(INDEX(PP_Grid[#Data],M_BOM[PPGridRow],31),0))</f>
        <v/>
      </c>
      <c r="AF53">
        <f>SUMPRODUCT((M_BOM[RM_Code]=$A53)*M_BOM[RM_Qty_Per_Batch]*IFERROR(INDEX(PP_Grid[#Data],M_BOM[PPGridRow],32),0))</f>
        <v/>
      </c>
      <c r="AG53">
        <f>SUMPRODUCT((M_BOM[RM_Code]=$A53)*M_BOM[RM_Qty_Per_Batch]*IFERROR(INDEX(PP_Grid[#Data],M_BOM[PPGridRow],33),0))</f>
        <v/>
      </c>
      <c r="AH53">
        <f>SUMPRODUCT((M_BOM[RM_Code]=$A53)*M_BOM[RM_Qty_Per_Batch]*IFERROR(INDEX(PP_Grid[#Data],M_BOM[PPGridRow],34),0))</f>
        <v/>
      </c>
      <c r="AI53">
        <f>SUMPRODUCT((M_BOM[RM_Code]=$A53)*M_BOM[RM_Qty_Per_Batch]*IFERROR(INDEX(PP_Grid[#Data],M_BOM[PPGridRow],35),0))</f>
        <v/>
      </c>
      <c r="AJ53">
        <f>SUMPRODUCT((M_BOM[RM_Code]=$A53)*M_BOM[RM_Qty_Per_Batch]*IFERROR(INDEX(PP_Grid[#Data],M_BOM[PPGridRow],36),0))</f>
        <v/>
      </c>
      <c r="AK53">
        <f>SUMPRODUCT((M_BOM[RM_Code]=$A53)*M_BOM[RM_Qty_Per_Batch]*IFERROR(INDEX(PP_Grid[#Data],M_BOM[PPGridRow],37),0))</f>
        <v/>
      </c>
      <c r="AL53">
        <f>SUMPRODUCT((M_BOM[RM_Code]=$A53)*M_BOM[RM_Qty_Per_Batch]*IFERROR(INDEX(PP_Grid[#Data],M_BOM[PPGridRow],38),0))</f>
        <v/>
      </c>
      <c r="AM53">
        <f>SUMPRODUCT((M_BOM[RM_Code]=$A53)*M_BOM[RM_Qty_Per_Batch]*IFERROR(INDEX(PP_Grid[#Data],M_BOM[PPGridRow],39),0))</f>
        <v/>
      </c>
      <c r="AN53">
        <f>SUMPRODUCT((M_BOM[RM_Code]=$A53)*M_BOM[RM_Qty_Per_Batch]*IFERROR(INDEX(PP_Grid[#Data],M_BOM[PPGridRow],40),0))</f>
        <v/>
      </c>
      <c r="AO53">
        <f>SUMPRODUCT((M_BOM[RM_Code]=$A53)*M_BOM[RM_Qty_Per_Batch]*IFERROR(INDEX(PP_Grid[#Data],M_BOM[PPGridRow],41),0))</f>
        <v/>
      </c>
      <c r="AP53">
        <f>SUMPRODUCT((M_BOM[RM_Code]=$A53)*M_BOM[RM_Qty_Per_Batch]*IFERROR(INDEX(PP_Grid[#Data],M_BOM[PPGridRow],42),0))</f>
        <v/>
      </c>
      <c r="AQ53">
        <f>SUMPRODUCT((M_BOM[RM_Code]=$A53)*M_BOM[RM_Qty_Per_Batch]*IFERROR(INDEX(PP_Grid[#Data],M_BOM[PPGridRow],43),0))</f>
        <v/>
      </c>
      <c r="AR53">
        <f>SUMPRODUCT((M_BOM[RM_Code]=$A53)*M_BOM[RM_Qty_Per_Batch]*IFERROR(INDEX(PP_Grid[#Data],M_BOM[PPGridRow],44),0))</f>
        <v/>
      </c>
      <c r="AS53">
        <f>SUMPRODUCT((M_BOM[RM_Code]=$A53)*M_BOM[RM_Qty_Per_Batch]*IFERROR(INDEX(PP_Grid[#Data],M_BOM[PPGridRow],45),0))</f>
        <v/>
      </c>
      <c r="AT53">
        <f>SUMPRODUCT((M_BOM[RM_Code]=$A53)*M_BOM[RM_Qty_Per_Batch]*IFERROR(INDEX(PP_Grid[#Data],M_BOM[PPGridRow],46),0))</f>
        <v/>
      </c>
      <c r="AU53">
        <f>SUMPRODUCT((M_BOM[RM_Code]=$A53)*M_BOM[RM_Qty_Per_Batch]*IFERROR(INDEX(PP_Grid[#Data],M_BOM[PPGridRow],47),0))</f>
        <v/>
      </c>
      <c r="AV53">
        <f>SUMPRODUCT((M_BOM[RM_Code]=$A53)*M_BOM[RM_Qty_Per_Batch]*IFERROR(INDEX(PP_Grid[#Data],M_BOM[PPGridRow],48),0))</f>
        <v/>
      </c>
      <c r="AW53">
        <f>SUMPRODUCT((M_BOM[RM_Code]=$A53)*M_BOM[RM_Qty_Per_Batch]*IFERROR(INDEX(PP_Grid[#Data],M_BOM[PPGridRow],49),0))</f>
        <v/>
      </c>
      <c r="AX53">
        <f>SUMPRODUCT((M_BOM[RM_Code]=$A53)*M_BOM[RM_Qty_Per_Batch]*IFERROR(INDEX(PP_Grid[#Data],M_BOM[PPGridRow],50),0))</f>
        <v/>
      </c>
      <c r="AY53">
        <f>SUMPRODUCT((M_BOM[RM_Code]=$A53)*M_BOM[RM_Qty_Per_Batch]*IFERROR(INDEX(PP_Grid[#Data],M_BOM[PPGridRow],51),0))</f>
        <v/>
      </c>
      <c r="AZ53">
        <f>SUMPRODUCT((M_BOM[RM_Code]=$A53)*M_BOM[RM_Qty_Per_Batch]*IFERROR(INDEX(PP_Grid[#Data],M_BOM[PPGridRow],52),0))</f>
        <v/>
      </c>
      <c r="BA53">
        <f>SUMPRODUCT((M_BOM[RM_Code]=$A53)*M_BOM[RM_Qty_Per_Batch]*IFERROR(INDEX(PP_Grid[#Data],M_BOM[PPGridRow],53),0))</f>
        <v/>
      </c>
      <c r="BB53">
        <f>SUMPRODUCT((M_BOM[RM_Code]=$A53)*M_BOM[RM_Qty_Per_Batch]*IFERROR(INDEX(PP_Grid[#Data],M_BOM[PPGridRow],54),0))</f>
        <v/>
      </c>
      <c r="BC53">
        <f>SUMPRODUCT((M_BOM[RM_Code]=$A53)*M_BOM[RM_Qty_Per_Batch]*IFERROR(INDEX(PP_Grid[#Data],M_BOM[PPGridRow],55),0))</f>
        <v/>
      </c>
      <c r="BD53">
        <f>SUMPRODUCT((M_BOM[RM_Code]=$A53)*M_BOM[RM_Qty_Per_Batch]*IFERROR(INDEX(PP_Grid[#Data],M_BOM[PPGridRow],56),0))</f>
        <v/>
      </c>
      <c r="BE53">
        <f>SUMPRODUCT((M_BOM[RM_Code]=$A53)*M_BOM[RM_Qty_Per_Batch]*IFERROR(INDEX(PP_Grid[#Data],M_BOM[PPGridRow],57),0))</f>
        <v/>
      </c>
      <c r="BF53">
        <f>SUMPRODUCT((M_BOM[RM_Code]=$A53)*M_BOM[RM_Qty_Per_Batch]*IFERROR(INDEX(PP_Grid[#Data],M_BOM[PPGridRow],58),0))</f>
        <v/>
      </c>
      <c r="BG53">
        <f>SUMPRODUCT((M_BOM[RM_Code]=$A53)*M_BOM[RM_Qty_Per_Batch]*IFERROR(INDEX(PP_Grid[#Data],M_BOM[PPGridRow],59),0))</f>
        <v/>
      </c>
      <c r="BH53">
        <f>SUMPRODUCT((M_BOM[RM_Code]=$A53)*M_BOM[RM_Qty_Per_Batch]*IFERROR(INDEX(PP_Grid[#Data],M_BOM[PPGridRow],60),0))</f>
        <v/>
      </c>
      <c r="BI53">
        <f>SUMPRODUCT((M_BOM[RM_Code]=$A53)*M_BOM[RM_Qty_Per_Batch]*IFERROR(INDEX(PP_Grid[#Data],M_BOM[PPGridRow],61),0))</f>
        <v/>
      </c>
      <c r="BJ53">
        <f>SUMPRODUCT((M_BOM[RM_Code]=$A53)*M_BOM[RM_Qty_Per_Batch]*IFERROR(INDEX(PP_Grid[#Data],M_BOM[PPGridRow],62),0))</f>
        <v/>
      </c>
      <c r="BK53">
        <f>SUMPRODUCT((M_BOM[RM_Code]=$A53)*M_BOM[RM_Qty_Per_Batch]*IFERROR(INDEX(PP_Grid[#Data],M_BOM[PPGridRow],63),0))</f>
        <v/>
      </c>
      <c r="BL53">
        <f>SUMPRODUCT((M_BOM[RM_Code]=$A53)*M_BOM[RM_Qty_Per_Batch]*IFERROR(INDEX(PP_Grid[#Data],M_BOM[PPGridRow],64),0))</f>
        <v/>
      </c>
      <c r="BM53">
        <f>SUMPRODUCT((M_BOM[RM_Code]=$A53)*M_BOM[RM_Qty_Per_Batch]*IFERROR(INDEX(PP_Grid[#Data],M_BOM[PPGridRow],65),0))</f>
        <v/>
      </c>
      <c r="BN53">
        <f>SUMPRODUCT((M_BOM[RM_Code]=$A53)*M_BOM[RM_Qty_Per_Batch]*IFERROR(INDEX(PP_Grid[#Data],M_BOM[PPGridRow],66),0))</f>
        <v/>
      </c>
      <c r="BO53">
        <f>SUMPRODUCT((M_BOM[RM_Code]=$A53)*M_BOM[RM_Qty_Per_Batch]*IFERROR(INDEX(PP_Grid[#Data],M_BOM[PPGridRow],67),0))</f>
        <v/>
      </c>
      <c r="BP53">
        <f>SUMPRODUCT((M_BOM[RM_Code]=$A53)*M_BOM[RM_Qty_Per_Batch]*IFERROR(INDEX(PP_Grid[#Data],M_BOM[PPGridRow],68),0))</f>
        <v/>
      </c>
      <c r="BQ53">
        <f>SUMPRODUCT((M_BOM[RM_Code]=$A53)*M_BOM[RM_Qty_Per_Batch]*IFERROR(INDEX(PP_Grid[#Data],M_BOM[PPGridRow],69),0))</f>
        <v/>
      </c>
      <c r="BR53">
        <f>SUMPRODUCT((M_BOM[RM_Code]=$A53)*M_BOM[RM_Qty_Per_Batch]*IFERROR(INDEX(PP_Grid[#Data],M_BOM[PPGridRow],70),0))</f>
        <v/>
      </c>
      <c r="BS53">
        <f>SUMPRODUCT((M_BOM[RM_Code]=$A53)*M_BOM[RM_Qty_Per_Batch]*IFERROR(INDEX(PP_Grid[#Data],M_BOM[PPGridRow],71),0))</f>
        <v/>
      </c>
      <c r="BT53">
        <f>SUMPRODUCT((M_BOM[RM_Code]=$A53)*M_BOM[RM_Qty_Per_Batch]*IFERROR(INDEX(PP_Grid[#Data],M_BOM[PPGridRow],72),0))</f>
        <v/>
      </c>
      <c r="BU53">
        <f>SUMPRODUCT((M_BOM[RM_Code]=$A53)*M_BOM[RM_Qty_Per_Batch]*IFERROR(INDEX(PP_Grid[#Data],M_BOM[PPGridRow],73),0))</f>
        <v/>
      </c>
      <c r="BV53">
        <f>SUMPRODUCT((M_BOM[RM_Code]=$A53)*M_BOM[RM_Qty_Per_Batch]*IFERROR(INDEX(PP_Grid[#Data],M_BOM[PPGridRow],74),0))</f>
        <v/>
      </c>
      <c r="BW53">
        <f>SUMPRODUCT((M_BOM[RM_Code]=$A53)*M_BOM[RM_Qty_Per_Batch]*IFERROR(INDEX(PP_Grid[#Data],M_BOM[PPGridRow],75),0))</f>
        <v/>
      </c>
      <c r="BX53">
        <f>SUMPRODUCT((M_BOM[RM_Code]=$A53)*M_BOM[RM_Qty_Per_Batch]*IFERROR(INDEX(PP_Grid[#Data],M_BOM[PPGridRow],76),0))</f>
        <v/>
      </c>
      <c r="BY53">
        <f>SUMPRODUCT((M_BOM[RM_Code]=$A53)*M_BOM[RM_Qty_Per_Batch]*IFERROR(INDEX(PP_Grid[#Data],M_BOM[PPGridRow],77),0))</f>
        <v/>
      </c>
      <c r="BZ53">
        <f>SUMPRODUCT((M_BOM[RM_Code]=$A53)*M_BOM[RM_Qty_Per_Batch]*IFERROR(INDEX(PP_Grid[#Data],M_BOM[PPGridRow],78),0))</f>
        <v/>
      </c>
      <c r="CA53">
        <f>SUMPRODUCT((M_BOM[RM_Code]=$A53)*M_BOM[RM_Qty_Per_Batch]*IFERROR(INDEX(PP_Grid[#Data],M_BOM[PPGridRow],79),0))</f>
        <v/>
      </c>
      <c r="CB53">
        <f>SUMPRODUCT((M_BOM[RM_Code]=$A53)*M_BOM[RM_Qty_Per_Batch]*IFERROR(INDEX(PP_Grid[#Data],M_BOM[PPGridRow],80),0))</f>
        <v/>
      </c>
      <c r="CC53">
        <f>SUMPRODUCT((M_BOM[RM_Code]=$A53)*M_BOM[RM_Qty_Per_Batch]*IFERROR(INDEX(PP_Grid[#Data],M_BOM[PPGridRow],81),0))</f>
        <v/>
      </c>
      <c r="CD53">
        <f>SUMPRODUCT((M_BOM[RM_Code]=$A53)*M_BOM[RM_Qty_Per_Batch]*IFERROR(INDEX(PP_Grid[#Data],M_BOM[PPGridRow],82),0))</f>
        <v/>
      </c>
      <c r="CE53">
        <f>SUMPRODUCT((M_BOM[RM_Code]=$A53)*M_BOM[RM_Qty_Per_Batch]*IFERROR(INDEX(PP_Grid[#Data],M_BOM[PPGridRow],83),0))</f>
        <v/>
      </c>
      <c r="CF53">
        <f>SUMPRODUCT((M_BOM[RM_Code]=$A53)*M_BOM[RM_Qty_Per_Batch]*IFERROR(INDEX(PP_Grid[#Data],M_BOM[PPGridRow],84),0))</f>
        <v/>
      </c>
      <c r="CG53">
        <f>SUMPRODUCT((M_BOM[RM_Code]=$A53)*M_BOM[RM_Qty_Per_Batch]*IFERROR(INDEX(PP_Grid[#Data],M_BOM[PPGridRow],85),0))</f>
        <v/>
      </c>
      <c r="CH53">
        <f>SUMPRODUCT((M_BOM[RM_Code]=$A53)*M_BOM[RM_Qty_Per_Batch]*IFERROR(INDEX(PP_Grid[#Data],M_BOM[PPGridRow],86),0))</f>
        <v/>
      </c>
      <c r="CI53">
        <f>SUMPRODUCT((M_BOM[RM_Code]=$A53)*M_BOM[RM_Qty_Per_Batch]*IFERROR(INDEX(PP_Grid[#Data],M_BOM[PPGridRow],87),0))</f>
        <v/>
      </c>
      <c r="CJ53">
        <f>SUMPRODUCT((M_BOM[RM_Code]=$A53)*M_BOM[RM_Qty_Per_Batch]*IFERROR(INDEX(PP_Grid[#Data],M_BOM[PPGridRow],88),0))</f>
        <v/>
      </c>
      <c r="CK53">
        <f>SUMPRODUCT((M_BOM[RM_Code]=$A53)*M_BOM[RM_Qty_Per_Batch]*IFERROR(INDEX(PP_Grid[#Data],M_BOM[PPGridRow],89),0))</f>
        <v/>
      </c>
      <c r="CL53">
        <f>SUMPRODUCT((M_BOM[RM_Code]=$A53)*M_BOM[RM_Qty_Per_Batch]*IFERROR(INDEX(PP_Grid[#Data],M_BOM[PPGridRow],90),0))</f>
        <v/>
      </c>
      <c r="CM53">
        <f>SUMPRODUCT((M_BOM[RM_Code]=$A53)*M_BOM[RM_Qty_Per_Batch]*IFERROR(INDEX(PP_Grid[#Data],M_BOM[PPGridRow],91),0))</f>
        <v/>
      </c>
      <c r="CN53">
        <f>SUMPRODUCT((M_BOM[RM_Code]=$A53)*M_BOM[RM_Qty_Per_Batch]*IFERROR(INDEX(PP_Grid[#Data],M_BOM[PPGridRow],92),0))</f>
        <v/>
      </c>
      <c r="CO53">
        <f>SUMPRODUCT((M_BOM[RM_Code]=$A53)*M_BOM[RM_Qty_Per_Batch]*IFERROR(INDEX(PP_Grid[#Data],M_BOM[PPGridRow],93),0))</f>
        <v/>
      </c>
      <c r="CP53">
        <f>SUMPRODUCT((M_BOM[RM_Code]=$A53)*M_BOM[RM_Qty_Per_Batch]*IFERROR(INDEX(PP_Grid[#Data],M_BOM[PPGridRow],94),0))</f>
        <v/>
      </c>
      <c r="CQ53">
        <f>SUMPRODUCT((M_BOM[RM_Code]=$A53)*M_BOM[RM_Qty_Per_Batch]*IFERROR(INDEX(PP_Grid[#Data],M_BOM[PPGridRow],95),0))</f>
        <v/>
      </c>
      <c r="CR53">
        <f>SUMPRODUCT((M_BOM[RM_Code]=$A53)*M_BOM[RM_Qty_Per_Batch]*IFERROR(INDEX(PP_Grid[#Data],M_BOM[PPGridRow],96),0))</f>
        <v/>
      </c>
      <c r="CS53">
        <f>SUMPRODUCT((M_BOM[RM_Code]=$A53)*M_BOM[RM_Qty_Per_Batch]*IFERROR(INDEX(PP_Grid[#Data],M_BOM[PPGridRow],97),0))</f>
        <v/>
      </c>
      <c r="CT53">
        <f>SUMPRODUCT((M_BOM[RM_Code]=$A53)*M_BOM[RM_Qty_Per_Batch]*IFERROR(INDEX(PP_Grid[#Data],M_BOM[PPGridRow],98),0))</f>
        <v/>
      </c>
      <c r="CU53">
        <f>SUMPRODUCT((M_BOM[RM_Code]=$A53)*M_BOM[RM_Qty_Per_Batch]*IFERROR(INDEX(PP_Grid[#Data],M_BOM[PPGridRow],99),0))</f>
        <v/>
      </c>
      <c r="CV53">
        <f>SUMPRODUCT((M_BOM[RM_Code]=$A53)*M_BOM[RM_Qty_Per_Batch]*IFERROR(INDEX(PP_Grid[#Data],M_BOM[PPGridRow],100),0))</f>
        <v/>
      </c>
      <c r="CW53">
        <f>SUMPRODUCT((M_BOM[RM_Code]=$A53)*M_BOM[RM_Qty_Per_Batch]*IFERROR(INDEX(PP_Grid[#Data],M_BOM[PPGridRow],101),0))</f>
        <v/>
      </c>
      <c r="CX53">
        <f>SUMPRODUCT((M_BOM[RM_Code]=$A53)*M_BOM[RM_Qty_Per_Batch]*IFERROR(INDEX(PP_Grid[#Data],M_BOM[PPGridRow],102),0))</f>
        <v/>
      </c>
      <c r="CY53">
        <f>SUMPRODUCT((M_BOM[RM_Code]=$A53)*M_BOM[RM_Qty_Per_Batch]*IFERROR(INDEX(PP_Grid[#Data],M_BOM[PPGridRow],103),0))</f>
        <v/>
      </c>
      <c r="CZ53">
        <f>SUMPRODUCT((M_BOM[RM_Code]=$A53)*M_BOM[RM_Qty_Per_Batch]*IFERROR(INDEX(PP_Grid[#Data],M_BOM[PPGridRow],104),0))</f>
        <v/>
      </c>
      <c r="DA53">
        <f>SUMPRODUCT((M_BOM[RM_Code]=$A53)*M_BOM[RM_Qty_Per_Batch]*IFERROR(INDEX(PP_Grid[#Data],M_BOM[PPGridRow],105),0))</f>
        <v/>
      </c>
    </row>
    <row r="54">
      <c r="A54" t="inlineStr">
        <is>
          <t>CHEM-1550</t>
        </is>
      </c>
      <c r="B54">
        <f>SUMPRODUCT((M_BOM[RM_Code]=$A54)*M_BOM[RM_Qty_Per_Batch]*IFERROR(INDEX(PP_Grid[#Data],M_BOM[PPGridRow],2),0))</f>
        <v/>
      </c>
      <c r="C54">
        <f>SUMPRODUCT((M_BOM[RM_Code]=$A54)*M_BOM[RM_Qty_Per_Batch]*IFERROR(INDEX(PP_Grid[#Data],M_BOM[PPGridRow],3),0))</f>
        <v/>
      </c>
      <c r="D54">
        <f>SUMPRODUCT((M_BOM[RM_Code]=$A54)*M_BOM[RM_Qty_Per_Batch]*IFERROR(INDEX(PP_Grid[#Data],M_BOM[PPGridRow],4),0))</f>
        <v/>
      </c>
      <c r="E54">
        <f>SUMPRODUCT((M_BOM[RM_Code]=$A54)*M_BOM[RM_Qty_Per_Batch]*IFERROR(INDEX(PP_Grid[#Data],M_BOM[PPGridRow],5),0))</f>
        <v/>
      </c>
      <c r="F54">
        <f>SUMPRODUCT((M_BOM[RM_Code]=$A54)*M_BOM[RM_Qty_Per_Batch]*IFERROR(INDEX(PP_Grid[#Data],M_BOM[PPGridRow],6),0))</f>
        <v/>
      </c>
      <c r="G54">
        <f>SUMPRODUCT((M_BOM[RM_Code]=$A54)*M_BOM[RM_Qty_Per_Batch]*IFERROR(INDEX(PP_Grid[#Data],M_BOM[PPGridRow],7),0))</f>
        <v/>
      </c>
      <c r="H54">
        <f>SUMPRODUCT((M_BOM[RM_Code]=$A54)*M_BOM[RM_Qty_Per_Batch]*IFERROR(INDEX(PP_Grid[#Data],M_BOM[PPGridRow],8),0))</f>
        <v/>
      </c>
      <c r="I54">
        <f>SUMPRODUCT((M_BOM[RM_Code]=$A54)*M_BOM[RM_Qty_Per_Batch]*IFERROR(INDEX(PP_Grid[#Data],M_BOM[PPGridRow],9),0))</f>
        <v/>
      </c>
      <c r="J54">
        <f>SUMPRODUCT((M_BOM[RM_Code]=$A54)*M_BOM[RM_Qty_Per_Batch]*IFERROR(INDEX(PP_Grid[#Data],M_BOM[PPGridRow],10),0))</f>
        <v/>
      </c>
      <c r="K54">
        <f>SUMPRODUCT((M_BOM[RM_Code]=$A54)*M_BOM[RM_Qty_Per_Batch]*IFERROR(INDEX(PP_Grid[#Data],M_BOM[PPGridRow],11),0))</f>
        <v/>
      </c>
      <c r="L54">
        <f>SUMPRODUCT((M_BOM[RM_Code]=$A54)*M_BOM[RM_Qty_Per_Batch]*IFERROR(INDEX(PP_Grid[#Data],M_BOM[PPGridRow],12),0))</f>
        <v/>
      </c>
      <c r="M54">
        <f>SUMPRODUCT((M_BOM[RM_Code]=$A54)*M_BOM[RM_Qty_Per_Batch]*IFERROR(INDEX(PP_Grid[#Data],M_BOM[PPGridRow],13),0))</f>
        <v/>
      </c>
      <c r="N54">
        <f>SUMPRODUCT((M_BOM[RM_Code]=$A54)*M_BOM[RM_Qty_Per_Batch]*IFERROR(INDEX(PP_Grid[#Data],M_BOM[PPGridRow],14),0))</f>
        <v/>
      </c>
      <c r="O54">
        <f>SUMPRODUCT((M_BOM[RM_Code]=$A54)*M_BOM[RM_Qty_Per_Batch]*IFERROR(INDEX(PP_Grid[#Data],M_BOM[PPGridRow],15),0))</f>
        <v/>
      </c>
      <c r="P54">
        <f>SUMPRODUCT((M_BOM[RM_Code]=$A54)*M_BOM[RM_Qty_Per_Batch]*IFERROR(INDEX(PP_Grid[#Data],M_BOM[PPGridRow],16),0))</f>
        <v/>
      </c>
      <c r="Q54">
        <f>SUMPRODUCT((M_BOM[RM_Code]=$A54)*M_BOM[RM_Qty_Per_Batch]*IFERROR(INDEX(PP_Grid[#Data],M_BOM[PPGridRow],17),0))</f>
        <v/>
      </c>
      <c r="R54">
        <f>SUMPRODUCT((M_BOM[RM_Code]=$A54)*M_BOM[RM_Qty_Per_Batch]*IFERROR(INDEX(PP_Grid[#Data],M_BOM[PPGridRow],18),0))</f>
        <v/>
      </c>
      <c r="S54">
        <f>SUMPRODUCT((M_BOM[RM_Code]=$A54)*M_BOM[RM_Qty_Per_Batch]*IFERROR(INDEX(PP_Grid[#Data],M_BOM[PPGridRow],19),0))</f>
        <v/>
      </c>
      <c r="T54">
        <f>SUMPRODUCT((M_BOM[RM_Code]=$A54)*M_BOM[RM_Qty_Per_Batch]*IFERROR(INDEX(PP_Grid[#Data],M_BOM[PPGridRow],20),0))</f>
        <v/>
      </c>
      <c r="U54">
        <f>SUMPRODUCT((M_BOM[RM_Code]=$A54)*M_BOM[RM_Qty_Per_Batch]*IFERROR(INDEX(PP_Grid[#Data],M_BOM[PPGridRow],21),0))</f>
        <v/>
      </c>
      <c r="V54">
        <f>SUMPRODUCT((M_BOM[RM_Code]=$A54)*M_BOM[RM_Qty_Per_Batch]*IFERROR(INDEX(PP_Grid[#Data],M_BOM[PPGridRow],22),0))</f>
        <v/>
      </c>
      <c r="W54">
        <f>SUMPRODUCT((M_BOM[RM_Code]=$A54)*M_BOM[RM_Qty_Per_Batch]*IFERROR(INDEX(PP_Grid[#Data],M_BOM[PPGridRow],23),0))</f>
        <v/>
      </c>
      <c r="X54">
        <f>SUMPRODUCT((M_BOM[RM_Code]=$A54)*M_BOM[RM_Qty_Per_Batch]*IFERROR(INDEX(PP_Grid[#Data],M_BOM[PPGridRow],24),0))</f>
        <v/>
      </c>
      <c r="Y54">
        <f>SUMPRODUCT((M_BOM[RM_Code]=$A54)*M_BOM[RM_Qty_Per_Batch]*IFERROR(INDEX(PP_Grid[#Data],M_BOM[PPGridRow],25),0))</f>
        <v/>
      </c>
      <c r="Z54">
        <f>SUMPRODUCT((M_BOM[RM_Code]=$A54)*M_BOM[RM_Qty_Per_Batch]*IFERROR(INDEX(PP_Grid[#Data],M_BOM[PPGridRow],26),0))</f>
        <v/>
      </c>
      <c r="AA54">
        <f>SUMPRODUCT((M_BOM[RM_Code]=$A54)*M_BOM[RM_Qty_Per_Batch]*IFERROR(INDEX(PP_Grid[#Data],M_BOM[PPGridRow],27),0))</f>
        <v/>
      </c>
      <c r="AB54">
        <f>SUMPRODUCT((M_BOM[RM_Code]=$A54)*M_BOM[RM_Qty_Per_Batch]*IFERROR(INDEX(PP_Grid[#Data],M_BOM[PPGridRow],28),0))</f>
        <v/>
      </c>
      <c r="AC54">
        <f>SUMPRODUCT((M_BOM[RM_Code]=$A54)*M_BOM[RM_Qty_Per_Batch]*IFERROR(INDEX(PP_Grid[#Data],M_BOM[PPGridRow],29),0))</f>
        <v/>
      </c>
      <c r="AD54">
        <f>SUMPRODUCT((M_BOM[RM_Code]=$A54)*M_BOM[RM_Qty_Per_Batch]*IFERROR(INDEX(PP_Grid[#Data],M_BOM[PPGridRow],30),0))</f>
        <v/>
      </c>
      <c r="AE54">
        <f>SUMPRODUCT((M_BOM[RM_Code]=$A54)*M_BOM[RM_Qty_Per_Batch]*IFERROR(INDEX(PP_Grid[#Data],M_BOM[PPGridRow],31),0))</f>
        <v/>
      </c>
      <c r="AF54">
        <f>SUMPRODUCT((M_BOM[RM_Code]=$A54)*M_BOM[RM_Qty_Per_Batch]*IFERROR(INDEX(PP_Grid[#Data],M_BOM[PPGridRow],32),0))</f>
        <v/>
      </c>
      <c r="AG54">
        <f>SUMPRODUCT((M_BOM[RM_Code]=$A54)*M_BOM[RM_Qty_Per_Batch]*IFERROR(INDEX(PP_Grid[#Data],M_BOM[PPGridRow],33),0))</f>
        <v/>
      </c>
      <c r="AH54">
        <f>SUMPRODUCT((M_BOM[RM_Code]=$A54)*M_BOM[RM_Qty_Per_Batch]*IFERROR(INDEX(PP_Grid[#Data],M_BOM[PPGridRow],34),0))</f>
        <v/>
      </c>
      <c r="AI54">
        <f>SUMPRODUCT((M_BOM[RM_Code]=$A54)*M_BOM[RM_Qty_Per_Batch]*IFERROR(INDEX(PP_Grid[#Data],M_BOM[PPGridRow],35),0))</f>
        <v/>
      </c>
      <c r="AJ54">
        <f>SUMPRODUCT((M_BOM[RM_Code]=$A54)*M_BOM[RM_Qty_Per_Batch]*IFERROR(INDEX(PP_Grid[#Data],M_BOM[PPGridRow],36),0))</f>
        <v/>
      </c>
      <c r="AK54">
        <f>SUMPRODUCT((M_BOM[RM_Code]=$A54)*M_BOM[RM_Qty_Per_Batch]*IFERROR(INDEX(PP_Grid[#Data],M_BOM[PPGridRow],37),0))</f>
        <v/>
      </c>
      <c r="AL54">
        <f>SUMPRODUCT((M_BOM[RM_Code]=$A54)*M_BOM[RM_Qty_Per_Batch]*IFERROR(INDEX(PP_Grid[#Data],M_BOM[PPGridRow],38),0))</f>
        <v/>
      </c>
      <c r="AM54">
        <f>SUMPRODUCT((M_BOM[RM_Code]=$A54)*M_BOM[RM_Qty_Per_Batch]*IFERROR(INDEX(PP_Grid[#Data],M_BOM[PPGridRow],39),0))</f>
        <v/>
      </c>
      <c r="AN54">
        <f>SUMPRODUCT((M_BOM[RM_Code]=$A54)*M_BOM[RM_Qty_Per_Batch]*IFERROR(INDEX(PP_Grid[#Data],M_BOM[PPGridRow],40),0))</f>
        <v/>
      </c>
      <c r="AO54">
        <f>SUMPRODUCT((M_BOM[RM_Code]=$A54)*M_BOM[RM_Qty_Per_Batch]*IFERROR(INDEX(PP_Grid[#Data],M_BOM[PPGridRow],41),0))</f>
        <v/>
      </c>
      <c r="AP54">
        <f>SUMPRODUCT((M_BOM[RM_Code]=$A54)*M_BOM[RM_Qty_Per_Batch]*IFERROR(INDEX(PP_Grid[#Data],M_BOM[PPGridRow],42),0))</f>
        <v/>
      </c>
      <c r="AQ54">
        <f>SUMPRODUCT((M_BOM[RM_Code]=$A54)*M_BOM[RM_Qty_Per_Batch]*IFERROR(INDEX(PP_Grid[#Data],M_BOM[PPGridRow],43),0))</f>
        <v/>
      </c>
      <c r="AR54">
        <f>SUMPRODUCT((M_BOM[RM_Code]=$A54)*M_BOM[RM_Qty_Per_Batch]*IFERROR(INDEX(PP_Grid[#Data],M_BOM[PPGridRow],44),0))</f>
        <v/>
      </c>
      <c r="AS54">
        <f>SUMPRODUCT((M_BOM[RM_Code]=$A54)*M_BOM[RM_Qty_Per_Batch]*IFERROR(INDEX(PP_Grid[#Data],M_BOM[PPGridRow],45),0))</f>
        <v/>
      </c>
      <c r="AT54">
        <f>SUMPRODUCT((M_BOM[RM_Code]=$A54)*M_BOM[RM_Qty_Per_Batch]*IFERROR(INDEX(PP_Grid[#Data],M_BOM[PPGridRow],46),0))</f>
        <v/>
      </c>
      <c r="AU54">
        <f>SUMPRODUCT((M_BOM[RM_Code]=$A54)*M_BOM[RM_Qty_Per_Batch]*IFERROR(INDEX(PP_Grid[#Data],M_BOM[PPGridRow],47),0))</f>
        <v/>
      </c>
      <c r="AV54">
        <f>SUMPRODUCT((M_BOM[RM_Code]=$A54)*M_BOM[RM_Qty_Per_Batch]*IFERROR(INDEX(PP_Grid[#Data],M_BOM[PPGridRow],48),0))</f>
        <v/>
      </c>
      <c r="AW54">
        <f>SUMPRODUCT((M_BOM[RM_Code]=$A54)*M_BOM[RM_Qty_Per_Batch]*IFERROR(INDEX(PP_Grid[#Data],M_BOM[PPGridRow],49),0))</f>
        <v/>
      </c>
      <c r="AX54">
        <f>SUMPRODUCT((M_BOM[RM_Code]=$A54)*M_BOM[RM_Qty_Per_Batch]*IFERROR(INDEX(PP_Grid[#Data],M_BOM[PPGridRow],50),0))</f>
        <v/>
      </c>
      <c r="AY54">
        <f>SUMPRODUCT((M_BOM[RM_Code]=$A54)*M_BOM[RM_Qty_Per_Batch]*IFERROR(INDEX(PP_Grid[#Data],M_BOM[PPGridRow],51),0))</f>
        <v/>
      </c>
      <c r="AZ54">
        <f>SUMPRODUCT((M_BOM[RM_Code]=$A54)*M_BOM[RM_Qty_Per_Batch]*IFERROR(INDEX(PP_Grid[#Data],M_BOM[PPGridRow],52),0))</f>
        <v/>
      </c>
      <c r="BA54">
        <f>SUMPRODUCT((M_BOM[RM_Code]=$A54)*M_BOM[RM_Qty_Per_Batch]*IFERROR(INDEX(PP_Grid[#Data],M_BOM[PPGridRow],53),0))</f>
        <v/>
      </c>
      <c r="BB54">
        <f>SUMPRODUCT((M_BOM[RM_Code]=$A54)*M_BOM[RM_Qty_Per_Batch]*IFERROR(INDEX(PP_Grid[#Data],M_BOM[PPGridRow],54),0))</f>
        <v/>
      </c>
      <c r="BC54">
        <f>SUMPRODUCT((M_BOM[RM_Code]=$A54)*M_BOM[RM_Qty_Per_Batch]*IFERROR(INDEX(PP_Grid[#Data],M_BOM[PPGridRow],55),0))</f>
        <v/>
      </c>
      <c r="BD54">
        <f>SUMPRODUCT((M_BOM[RM_Code]=$A54)*M_BOM[RM_Qty_Per_Batch]*IFERROR(INDEX(PP_Grid[#Data],M_BOM[PPGridRow],56),0))</f>
        <v/>
      </c>
      <c r="BE54">
        <f>SUMPRODUCT((M_BOM[RM_Code]=$A54)*M_BOM[RM_Qty_Per_Batch]*IFERROR(INDEX(PP_Grid[#Data],M_BOM[PPGridRow],57),0))</f>
        <v/>
      </c>
      <c r="BF54">
        <f>SUMPRODUCT((M_BOM[RM_Code]=$A54)*M_BOM[RM_Qty_Per_Batch]*IFERROR(INDEX(PP_Grid[#Data],M_BOM[PPGridRow],58),0))</f>
        <v/>
      </c>
      <c r="BG54">
        <f>SUMPRODUCT((M_BOM[RM_Code]=$A54)*M_BOM[RM_Qty_Per_Batch]*IFERROR(INDEX(PP_Grid[#Data],M_BOM[PPGridRow],59),0))</f>
        <v/>
      </c>
      <c r="BH54">
        <f>SUMPRODUCT((M_BOM[RM_Code]=$A54)*M_BOM[RM_Qty_Per_Batch]*IFERROR(INDEX(PP_Grid[#Data],M_BOM[PPGridRow],60),0))</f>
        <v/>
      </c>
      <c r="BI54">
        <f>SUMPRODUCT((M_BOM[RM_Code]=$A54)*M_BOM[RM_Qty_Per_Batch]*IFERROR(INDEX(PP_Grid[#Data],M_BOM[PPGridRow],61),0))</f>
        <v/>
      </c>
      <c r="BJ54">
        <f>SUMPRODUCT((M_BOM[RM_Code]=$A54)*M_BOM[RM_Qty_Per_Batch]*IFERROR(INDEX(PP_Grid[#Data],M_BOM[PPGridRow],62),0))</f>
        <v/>
      </c>
      <c r="BK54">
        <f>SUMPRODUCT((M_BOM[RM_Code]=$A54)*M_BOM[RM_Qty_Per_Batch]*IFERROR(INDEX(PP_Grid[#Data],M_BOM[PPGridRow],63),0))</f>
        <v/>
      </c>
      <c r="BL54">
        <f>SUMPRODUCT((M_BOM[RM_Code]=$A54)*M_BOM[RM_Qty_Per_Batch]*IFERROR(INDEX(PP_Grid[#Data],M_BOM[PPGridRow],64),0))</f>
        <v/>
      </c>
      <c r="BM54">
        <f>SUMPRODUCT((M_BOM[RM_Code]=$A54)*M_BOM[RM_Qty_Per_Batch]*IFERROR(INDEX(PP_Grid[#Data],M_BOM[PPGridRow],65),0))</f>
        <v/>
      </c>
      <c r="BN54">
        <f>SUMPRODUCT((M_BOM[RM_Code]=$A54)*M_BOM[RM_Qty_Per_Batch]*IFERROR(INDEX(PP_Grid[#Data],M_BOM[PPGridRow],66),0))</f>
        <v/>
      </c>
      <c r="BO54">
        <f>SUMPRODUCT((M_BOM[RM_Code]=$A54)*M_BOM[RM_Qty_Per_Batch]*IFERROR(INDEX(PP_Grid[#Data],M_BOM[PPGridRow],67),0))</f>
        <v/>
      </c>
      <c r="BP54">
        <f>SUMPRODUCT((M_BOM[RM_Code]=$A54)*M_BOM[RM_Qty_Per_Batch]*IFERROR(INDEX(PP_Grid[#Data],M_BOM[PPGridRow],68),0))</f>
        <v/>
      </c>
      <c r="BQ54">
        <f>SUMPRODUCT((M_BOM[RM_Code]=$A54)*M_BOM[RM_Qty_Per_Batch]*IFERROR(INDEX(PP_Grid[#Data],M_BOM[PPGridRow],69),0))</f>
        <v/>
      </c>
      <c r="BR54">
        <f>SUMPRODUCT((M_BOM[RM_Code]=$A54)*M_BOM[RM_Qty_Per_Batch]*IFERROR(INDEX(PP_Grid[#Data],M_BOM[PPGridRow],70),0))</f>
        <v/>
      </c>
      <c r="BS54">
        <f>SUMPRODUCT((M_BOM[RM_Code]=$A54)*M_BOM[RM_Qty_Per_Batch]*IFERROR(INDEX(PP_Grid[#Data],M_BOM[PPGridRow],71),0))</f>
        <v/>
      </c>
      <c r="BT54">
        <f>SUMPRODUCT((M_BOM[RM_Code]=$A54)*M_BOM[RM_Qty_Per_Batch]*IFERROR(INDEX(PP_Grid[#Data],M_BOM[PPGridRow],72),0))</f>
        <v/>
      </c>
      <c r="BU54">
        <f>SUMPRODUCT((M_BOM[RM_Code]=$A54)*M_BOM[RM_Qty_Per_Batch]*IFERROR(INDEX(PP_Grid[#Data],M_BOM[PPGridRow],73),0))</f>
        <v/>
      </c>
      <c r="BV54">
        <f>SUMPRODUCT((M_BOM[RM_Code]=$A54)*M_BOM[RM_Qty_Per_Batch]*IFERROR(INDEX(PP_Grid[#Data],M_BOM[PPGridRow],74),0))</f>
        <v/>
      </c>
      <c r="BW54">
        <f>SUMPRODUCT((M_BOM[RM_Code]=$A54)*M_BOM[RM_Qty_Per_Batch]*IFERROR(INDEX(PP_Grid[#Data],M_BOM[PPGridRow],75),0))</f>
        <v/>
      </c>
      <c r="BX54">
        <f>SUMPRODUCT((M_BOM[RM_Code]=$A54)*M_BOM[RM_Qty_Per_Batch]*IFERROR(INDEX(PP_Grid[#Data],M_BOM[PPGridRow],76),0))</f>
        <v/>
      </c>
      <c r="BY54">
        <f>SUMPRODUCT((M_BOM[RM_Code]=$A54)*M_BOM[RM_Qty_Per_Batch]*IFERROR(INDEX(PP_Grid[#Data],M_BOM[PPGridRow],77),0))</f>
        <v/>
      </c>
      <c r="BZ54">
        <f>SUMPRODUCT((M_BOM[RM_Code]=$A54)*M_BOM[RM_Qty_Per_Batch]*IFERROR(INDEX(PP_Grid[#Data],M_BOM[PPGridRow],78),0))</f>
        <v/>
      </c>
      <c r="CA54">
        <f>SUMPRODUCT((M_BOM[RM_Code]=$A54)*M_BOM[RM_Qty_Per_Batch]*IFERROR(INDEX(PP_Grid[#Data],M_BOM[PPGridRow],79),0))</f>
        <v/>
      </c>
      <c r="CB54">
        <f>SUMPRODUCT((M_BOM[RM_Code]=$A54)*M_BOM[RM_Qty_Per_Batch]*IFERROR(INDEX(PP_Grid[#Data],M_BOM[PPGridRow],80),0))</f>
        <v/>
      </c>
      <c r="CC54">
        <f>SUMPRODUCT((M_BOM[RM_Code]=$A54)*M_BOM[RM_Qty_Per_Batch]*IFERROR(INDEX(PP_Grid[#Data],M_BOM[PPGridRow],81),0))</f>
        <v/>
      </c>
      <c r="CD54">
        <f>SUMPRODUCT((M_BOM[RM_Code]=$A54)*M_BOM[RM_Qty_Per_Batch]*IFERROR(INDEX(PP_Grid[#Data],M_BOM[PPGridRow],82),0))</f>
        <v/>
      </c>
      <c r="CE54">
        <f>SUMPRODUCT((M_BOM[RM_Code]=$A54)*M_BOM[RM_Qty_Per_Batch]*IFERROR(INDEX(PP_Grid[#Data],M_BOM[PPGridRow],83),0))</f>
        <v/>
      </c>
      <c r="CF54">
        <f>SUMPRODUCT((M_BOM[RM_Code]=$A54)*M_BOM[RM_Qty_Per_Batch]*IFERROR(INDEX(PP_Grid[#Data],M_BOM[PPGridRow],84),0))</f>
        <v/>
      </c>
      <c r="CG54">
        <f>SUMPRODUCT((M_BOM[RM_Code]=$A54)*M_BOM[RM_Qty_Per_Batch]*IFERROR(INDEX(PP_Grid[#Data],M_BOM[PPGridRow],85),0))</f>
        <v/>
      </c>
      <c r="CH54">
        <f>SUMPRODUCT((M_BOM[RM_Code]=$A54)*M_BOM[RM_Qty_Per_Batch]*IFERROR(INDEX(PP_Grid[#Data],M_BOM[PPGridRow],86),0))</f>
        <v/>
      </c>
      <c r="CI54">
        <f>SUMPRODUCT((M_BOM[RM_Code]=$A54)*M_BOM[RM_Qty_Per_Batch]*IFERROR(INDEX(PP_Grid[#Data],M_BOM[PPGridRow],87),0))</f>
        <v/>
      </c>
      <c r="CJ54">
        <f>SUMPRODUCT((M_BOM[RM_Code]=$A54)*M_BOM[RM_Qty_Per_Batch]*IFERROR(INDEX(PP_Grid[#Data],M_BOM[PPGridRow],88),0))</f>
        <v/>
      </c>
      <c r="CK54">
        <f>SUMPRODUCT((M_BOM[RM_Code]=$A54)*M_BOM[RM_Qty_Per_Batch]*IFERROR(INDEX(PP_Grid[#Data],M_BOM[PPGridRow],89),0))</f>
        <v/>
      </c>
      <c r="CL54">
        <f>SUMPRODUCT((M_BOM[RM_Code]=$A54)*M_BOM[RM_Qty_Per_Batch]*IFERROR(INDEX(PP_Grid[#Data],M_BOM[PPGridRow],90),0))</f>
        <v/>
      </c>
      <c r="CM54">
        <f>SUMPRODUCT((M_BOM[RM_Code]=$A54)*M_BOM[RM_Qty_Per_Batch]*IFERROR(INDEX(PP_Grid[#Data],M_BOM[PPGridRow],91),0))</f>
        <v/>
      </c>
      <c r="CN54">
        <f>SUMPRODUCT((M_BOM[RM_Code]=$A54)*M_BOM[RM_Qty_Per_Batch]*IFERROR(INDEX(PP_Grid[#Data],M_BOM[PPGridRow],92),0))</f>
        <v/>
      </c>
      <c r="CO54">
        <f>SUMPRODUCT((M_BOM[RM_Code]=$A54)*M_BOM[RM_Qty_Per_Batch]*IFERROR(INDEX(PP_Grid[#Data],M_BOM[PPGridRow],93),0))</f>
        <v/>
      </c>
      <c r="CP54">
        <f>SUMPRODUCT((M_BOM[RM_Code]=$A54)*M_BOM[RM_Qty_Per_Batch]*IFERROR(INDEX(PP_Grid[#Data],M_BOM[PPGridRow],94),0))</f>
        <v/>
      </c>
      <c r="CQ54">
        <f>SUMPRODUCT((M_BOM[RM_Code]=$A54)*M_BOM[RM_Qty_Per_Batch]*IFERROR(INDEX(PP_Grid[#Data],M_BOM[PPGridRow],95),0))</f>
        <v/>
      </c>
      <c r="CR54">
        <f>SUMPRODUCT((M_BOM[RM_Code]=$A54)*M_BOM[RM_Qty_Per_Batch]*IFERROR(INDEX(PP_Grid[#Data],M_BOM[PPGridRow],96),0))</f>
        <v/>
      </c>
      <c r="CS54">
        <f>SUMPRODUCT((M_BOM[RM_Code]=$A54)*M_BOM[RM_Qty_Per_Batch]*IFERROR(INDEX(PP_Grid[#Data],M_BOM[PPGridRow],97),0))</f>
        <v/>
      </c>
      <c r="CT54">
        <f>SUMPRODUCT((M_BOM[RM_Code]=$A54)*M_BOM[RM_Qty_Per_Batch]*IFERROR(INDEX(PP_Grid[#Data],M_BOM[PPGridRow],98),0))</f>
        <v/>
      </c>
      <c r="CU54">
        <f>SUMPRODUCT((M_BOM[RM_Code]=$A54)*M_BOM[RM_Qty_Per_Batch]*IFERROR(INDEX(PP_Grid[#Data],M_BOM[PPGridRow],99),0))</f>
        <v/>
      </c>
      <c r="CV54">
        <f>SUMPRODUCT((M_BOM[RM_Code]=$A54)*M_BOM[RM_Qty_Per_Batch]*IFERROR(INDEX(PP_Grid[#Data],M_BOM[PPGridRow],100),0))</f>
        <v/>
      </c>
      <c r="CW54">
        <f>SUMPRODUCT((M_BOM[RM_Code]=$A54)*M_BOM[RM_Qty_Per_Batch]*IFERROR(INDEX(PP_Grid[#Data],M_BOM[PPGridRow],101),0))</f>
        <v/>
      </c>
      <c r="CX54">
        <f>SUMPRODUCT((M_BOM[RM_Code]=$A54)*M_BOM[RM_Qty_Per_Batch]*IFERROR(INDEX(PP_Grid[#Data],M_BOM[PPGridRow],102),0))</f>
        <v/>
      </c>
      <c r="CY54">
        <f>SUMPRODUCT((M_BOM[RM_Code]=$A54)*M_BOM[RM_Qty_Per_Batch]*IFERROR(INDEX(PP_Grid[#Data],M_BOM[PPGridRow],103),0))</f>
        <v/>
      </c>
      <c r="CZ54">
        <f>SUMPRODUCT((M_BOM[RM_Code]=$A54)*M_BOM[RM_Qty_Per_Batch]*IFERROR(INDEX(PP_Grid[#Data],M_BOM[PPGridRow],104),0))</f>
        <v/>
      </c>
      <c r="DA54">
        <f>SUMPRODUCT((M_BOM[RM_Code]=$A54)*M_BOM[RM_Qty_Per_Batch]*IFERROR(INDEX(PP_Grid[#Data],M_BOM[PPGridRow],105),0))</f>
        <v/>
      </c>
    </row>
    <row r="55">
      <c r="A55" t="inlineStr">
        <is>
          <t>CHEM-1510</t>
        </is>
      </c>
      <c r="B55">
        <f>SUMPRODUCT((M_BOM[RM_Code]=$A55)*M_BOM[RM_Qty_Per_Batch]*IFERROR(INDEX(PP_Grid[#Data],M_BOM[PPGridRow],2),0))</f>
        <v/>
      </c>
      <c r="C55">
        <f>SUMPRODUCT((M_BOM[RM_Code]=$A55)*M_BOM[RM_Qty_Per_Batch]*IFERROR(INDEX(PP_Grid[#Data],M_BOM[PPGridRow],3),0))</f>
        <v/>
      </c>
      <c r="D55">
        <f>SUMPRODUCT((M_BOM[RM_Code]=$A55)*M_BOM[RM_Qty_Per_Batch]*IFERROR(INDEX(PP_Grid[#Data],M_BOM[PPGridRow],4),0))</f>
        <v/>
      </c>
      <c r="E55">
        <f>SUMPRODUCT((M_BOM[RM_Code]=$A55)*M_BOM[RM_Qty_Per_Batch]*IFERROR(INDEX(PP_Grid[#Data],M_BOM[PPGridRow],5),0))</f>
        <v/>
      </c>
      <c r="F55">
        <f>SUMPRODUCT((M_BOM[RM_Code]=$A55)*M_BOM[RM_Qty_Per_Batch]*IFERROR(INDEX(PP_Grid[#Data],M_BOM[PPGridRow],6),0))</f>
        <v/>
      </c>
      <c r="G55">
        <f>SUMPRODUCT((M_BOM[RM_Code]=$A55)*M_BOM[RM_Qty_Per_Batch]*IFERROR(INDEX(PP_Grid[#Data],M_BOM[PPGridRow],7),0))</f>
        <v/>
      </c>
      <c r="H55">
        <f>SUMPRODUCT((M_BOM[RM_Code]=$A55)*M_BOM[RM_Qty_Per_Batch]*IFERROR(INDEX(PP_Grid[#Data],M_BOM[PPGridRow],8),0))</f>
        <v/>
      </c>
      <c r="I55">
        <f>SUMPRODUCT((M_BOM[RM_Code]=$A55)*M_BOM[RM_Qty_Per_Batch]*IFERROR(INDEX(PP_Grid[#Data],M_BOM[PPGridRow],9),0))</f>
        <v/>
      </c>
      <c r="J55">
        <f>SUMPRODUCT((M_BOM[RM_Code]=$A55)*M_BOM[RM_Qty_Per_Batch]*IFERROR(INDEX(PP_Grid[#Data],M_BOM[PPGridRow],10),0))</f>
        <v/>
      </c>
      <c r="K55">
        <f>SUMPRODUCT((M_BOM[RM_Code]=$A55)*M_BOM[RM_Qty_Per_Batch]*IFERROR(INDEX(PP_Grid[#Data],M_BOM[PPGridRow],11),0))</f>
        <v/>
      </c>
      <c r="L55">
        <f>SUMPRODUCT((M_BOM[RM_Code]=$A55)*M_BOM[RM_Qty_Per_Batch]*IFERROR(INDEX(PP_Grid[#Data],M_BOM[PPGridRow],12),0))</f>
        <v/>
      </c>
      <c r="M55">
        <f>SUMPRODUCT((M_BOM[RM_Code]=$A55)*M_BOM[RM_Qty_Per_Batch]*IFERROR(INDEX(PP_Grid[#Data],M_BOM[PPGridRow],13),0))</f>
        <v/>
      </c>
      <c r="N55">
        <f>SUMPRODUCT((M_BOM[RM_Code]=$A55)*M_BOM[RM_Qty_Per_Batch]*IFERROR(INDEX(PP_Grid[#Data],M_BOM[PPGridRow],14),0))</f>
        <v/>
      </c>
      <c r="O55">
        <f>SUMPRODUCT((M_BOM[RM_Code]=$A55)*M_BOM[RM_Qty_Per_Batch]*IFERROR(INDEX(PP_Grid[#Data],M_BOM[PPGridRow],15),0))</f>
        <v/>
      </c>
      <c r="P55">
        <f>SUMPRODUCT((M_BOM[RM_Code]=$A55)*M_BOM[RM_Qty_Per_Batch]*IFERROR(INDEX(PP_Grid[#Data],M_BOM[PPGridRow],16),0))</f>
        <v/>
      </c>
      <c r="Q55">
        <f>SUMPRODUCT((M_BOM[RM_Code]=$A55)*M_BOM[RM_Qty_Per_Batch]*IFERROR(INDEX(PP_Grid[#Data],M_BOM[PPGridRow],17),0))</f>
        <v/>
      </c>
      <c r="R55">
        <f>SUMPRODUCT((M_BOM[RM_Code]=$A55)*M_BOM[RM_Qty_Per_Batch]*IFERROR(INDEX(PP_Grid[#Data],M_BOM[PPGridRow],18),0))</f>
        <v/>
      </c>
      <c r="S55">
        <f>SUMPRODUCT((M_BOM[RM_Code]=$A55)*M_BOM[RM_Qty_Per_Batch]*IFERROR(INDEX(PP_Grid[#Data],M_BOM[PPGridRow],19),0))</f>
        <v/>
      </c>
      <c r="T55">
        <f>SUMPRODUCT((M_BOM[RM_Code]=$A55)*M_BOM[RM_Qty_Per_Batch]*IFERROR(INDEX(PP_Grid[#Data],M_BOM[PPGridRow],20),0))</f>
        <v/>
      </c>
      <c r="U55">
        <f>SUMPRODUCT((M_BOM[RM_Code]=$A55)*M_BOM[RM_Qty_Per_Batch]*IFERROR(INDEX(PP_Grid[#Data],M_BOM[PPGridRow],21),0))</f>
        <v/>
      </c>
      <c r="V55">
        <f>SUMPRODUCT((M_BOM[RM_Code]=$A55)*M_BOM[RM_Qty_Per_Batch]*IFERROR(INDEX(PP_Grid[#Data],M_BOM[PPGridRow],22),0))</f>
        <v/>
      </c>
      <c r="W55">
        <f>SUMPRODUCT((M_BOM[RM_Code]=$A55)*M_BOM[RM_Qty_Per_Batch]*IFERROR(INDEX(PP_Grid[#Data],M_BOM[PPGridRow],23),0))</f>
        <v/>
      </c>
      <c r="X55">
        <f>SUMPRODUCT((M_BOM[RM_Code]=$A55)*M_BOM[RM_Qty_Per_Batch]*IFERROR(INDEX(PP_Grid[#Data],M_BOM[PPGridRow],24),0))</f>
        <v/>
      </c>
      <c r="Y55">
        <f>SUMPRODUCT((M_BOM[RM_Code]=$A55)*M_BOM[RM_Qty_Per_Batch]*IFERROR(INDEX(PP_Grid[#Data],M_BOM[PPGridRow],25),0))</f>
        <v/>
      </c>
      <c r="Z55">
        <f>SUMPRODUCT((M_BOM[RM_Code]=$A55)*M_BOM[RM_Qty_Per_Batch]*IFERROR(INDEX(PP_Grid[#Data],M_BOM[PPGridRow],26),0))</f>
        <v/>
      </c>
      <c r="AA55">
        <f>SUMPRODUCT((M_BOM[RM_Code]=$A55)*M_BOM[RM_Qty_Per_Batch]*IFERROR(INDEX(PP_Grid[#Data],M_BOM[PPGridRow],27),0))</f>
        <v/>
      </c>
      <c r="AB55">
        <f>SUMPRODUCT((M_BOM[RM_Code]=$A55)*M_BOM[RM_Qty_Per_Batch]*IFERROR(INDEX(PP_Grid[#Data],M_BOM[PPGridRow],28),0))</f>
        <v/>
      </c>
      <c r="AC55">
        <f>SUMPRODUCT((M_BOM[RM_Code]=$A55)*M_BOM[RM_Qty_Per_Batch]*IFERROR(INDEX(PP_Grid[#Data],M_BOM[PPGridRow],29),0))</f>
        <v/>
      </c>
      <c r="AD55">
        <f>SUMPRODUCT((M_BOM[RM_Code]=$A55)*M_BOM[RM_Qty_Per_Batch]*IFERROR(INDEX(PP_Grid[#Data],M_BOM[PPGridRow],30),0))</f>
        <v/>
      </c>
      <c r="AE55">
        <f>SUMPRODUCT((M_BOM[RM_Code]=$A55)*M_BOM[RM_Qty_Per_Batch]*IFERROR(INDEX(PP_Grid[#Data],M_BOM[PPGridRow],31),0))</f>
        <v/>
      </c>
      <c r="AF55">
        <f>SUMPRODUCT((M_BOM[RM_Code]=$A55)*M_BOM[RM_Qty_Per_Batch]*IFERROR(INDEX(PP_Grid[#Data],M_BOM[PPGridRow],32),0))</f>
        <v/>
      </c>
      <c r="AG55">
        <f>SUMPRODUCT((M_BOM[RM_Code]=$A55)*M_BOM[RM_Qty_Per_Batch]*IFERROR(INDEX(PP_Grid[#Data],M_BOM[PPGridRow],33),0))</f>
        <v/>
      </c>
      <c r="AH55">
        <f>SUMPRODUCT((M_BOM[RM_Code]=$A55)*M_BOM[RM_Qty_Per_Batch]*IFERROR(INDEX(PP_Grid[#Data],M_BOM[PPGridRow],34),0))</f>
        <v/>
      </c>
      <c r="AI55">
        <f>SUMPRODUCT((M_BOM[RM_Code]=$A55)*M_BOM[RM_Qty_Per_Batch]*IFERROR(INDEX(PP_Grid[#Data],M_BOM[PPGridRow],35),0))</f>
        <v/>
      </c>
      <c r="AJ55">
        <f>SUMPRODUCT((M_BOM[RM_Code]=$A55)*M_BOM[RM_Qty_Per_Batch]*IFERROR(INDEX(PP_Grid[#Data],M_BOM[PPGridRow],36),0))</f>
        <v/>
      </c>
      <c r="AK55">
        <f>SUMPRODUCT((M_BOM[RM_Code]=$A55)*M_BOM[RM_Qty_Per_Batch]*IFERROR(INDEX(PP_Grid[#Data],M_BOM[PPGridRow],37),0))</f>
        <v/>
      </c>
      <c r="AL55">
        <f>SUMPRODUCT((M_BOM[RM_Code]=$A55)*M_BOM[RM_Qty_Per_Batch]*IFERROR(INDEX(PP_Grid[#Data],M_BOM[PPGridRow],38),0))</f>
        <v/>
      </c>
      <c r="AM55">
        <f>SUMPRODUCT((M_BOM[RM_Code]=$A55)*M_BOM[RM_Qty_Per_Batch]*IFERROR(INDEX(PP_Grid[#Data],M_BOM[PPGridRow],39),0))</f>
        <v/>
      </c>
      <c r="AN55">
        <f>SUMPRODUCT((M_BOM[RM_Code]=$A55)*M_BOM[RM_Qty_Per_Batch]*IFERROR(INDEX(PP_Grid[#Data],M_BOM[PPGridRow],40),0))</f>
        <v/>
      </c>
      <c r="AO55">
        <f>SUMPRODUCT((M_BOM[RM_Code]=$A55)*M_BOM[RM_Qty_Per_Batch]*IFERROR(INDEX(PP_Grid[#Data],M_BOM[PPGridRow],41),0))</f>
        <v/>
      </c>
      <c r="AP55">
        <f>SUMPRODUCT((M_BOM[RM_Code]=$A55)*M_BOM[RM_Qty_Per_Batch]*IFERROR(INDEX(PP_Grid[#Data],M_BOM[PPGridRow],42),0))</f>
        <v/>
      </c>
      <c r="AQ55">
        <f>SUMPRODUCT((M_BOM[RM_Code]=$A55)*M_BOM[RM_Qty_Per_Batch]*IFERROR(INDEX(PP_Grid[#Data],M_BOM[PPGridRow],43),0))</f>
        <v/>
      </c>
      <c r="AR55">
        <f>SUMPRODUCT((M_BOM[RM_Code]=$A55)*M_BOM[RM_Qty_Per_Batch]*IFERROR(INDEX(PP_Grid[#Data],M_BOM[PPGridRow],44),0))</f>
        <v/>
      </c>
      <c r="AS55">
        <f>SUMPRODUCT((M_BOM[RM_Code]=$A55)*M_BOM[RM_Qty_Per_Batch]*IFERROR(INDEX(PP_Grid[#Data],M_BOM[PPGridRow],45),0))</f>
        <v/>
      </c>
      <c r="AT55">
        <f>SUMPRODUCT((M_BOM[RM_Code]=$A55)*M_BOM[RM_Qty_Per_Batch]*IFERROR(INDEX(PP_Grid[#Data],M_BOM[PPGridRow],46),0))</f>
        <v/>
      </c>
      <c r="AU55">
        <f>SUMPRODUCT((M_BOM[RM_Code]=$A55)*M_BOM[RM_Qty_Per_Batch]*IFERROR(INDEX(PP_Grid[#Data],M_BOM[PPGridRow],47),0))</f>
        <v/>
      </c>
      <c r="AV55">
        <f>SUMPRODUCT((M_BOM[RM_Code]=$A55)*M_BOM[RM_Qty_Per_Batch]*IFERROR(INDEX(PP_Grid[#Data],M_BOM[PPGridRow],48),0))</f>
        <v/>
      </c>
      <c r="AW55">
        <f>SUMPRODUCT((M_BOM[RM_Code]=$A55)*M_BOM[RM_Qty_Per_Batch]*IFERROR(INDEX(PP_Grid[#Data],M_BOM[PPGridRow],49),0))</f>
        <v/>
      </c>
      <c r="AX55">
        <f>SUMPRODUCT((M_BOM[RM_Code]=$A55)*M_BOM[RM_Qty_Per_Batch]*IFERROR(INDEX(PP_Grid[#Data],M_BOM[PPGridRow],50),0))</f>
        <v/>
      </c>
      <c r="AY55">
        <f>SUMPRODUCT((M_BOM[RM_Code]=$A55)*M_BOM[RM_Qty_Per_Batch]*IFERROR(INDEX(PP_Grid[#Data],M_BOM[PPGridRow],51),0))</f>
        <v/>
      </c>
      <c r="AZ55">
        <f>SUMPRODUCT((M_BOM[RM_Code]=$A55)*M_BOM[RM_Qty_Per_Batch]*IFERROR(INDEX(PP_Grid[#Data],M_BOM[PPGridRow],52),0))</f>
        <v/>
      </c>
      <c r="BA55">
        <f>SUMPRODUCT((M_BOM[RM_Code]=$A55)*M_BOM[RM_Qty_Per_Batch]*IFERROR(INDEX(PP_Grid[#Data],M_BOM[PPGridRow],53),0))</f>
        <v/>
      </c>
      <c r="BB55">
        <f>SUMPRODUCT((M_BOM[RM_Code]=$A55)*M_BOM[RM_Qty_Per_Batch]*IFERROR(INDEX(PP_Grid[#Data],M_BOM[PPGridRow],54),0))</f>
        <v/>
      </c>
      <c r="BC55">
        <f>SUMPRODUCT((M_BOM[RM_Code]=$A55)*M_BOM[RM_Qty_Per_Batch]*IFERROR(INDEX(PP_Grid[#Data],M_BOM[PPGridRow],55),0))</f>
        <v/>
      </c>
      <c r="BD55">
        <f>SUMPRODUCT((M_BOM[RM_Code]=$A55)*M_BOM[RM_Qty_Per_Batch]*IFERROR(INDEX(PP_Grid[#Data],M_BOM[PPGridRow],56),0))</f>
        <v/>
      </c>
      <c r="BE55">
        <f>SUMPRODUCT((M_BOM[RM_Code]=$A55)*M_BOM[RM_Qty_Per_Batch]*IFERROR(INDEX(PP_Grid[#Data],M_BOM[PPGridRow],57),0))</f>
        <v/>
      </c>
      <c r="BF55">
        <f>SUMPRODUCT((M_BOM[RM_Code]=$A55)*M_BOM[RM_Qty_Per_Batch]*IFERROR(INDEX(PP_Grid[#Data],M_BOM[PPGridRow],58),0))</f>
        <v/>
      </c>
      <c r="BG55">
        <f>SUMPRODUCT((M_BOM[RM_Code]=$A55)*M_BOM[RM_Qty_Per_Batch]*IFERROR(INDEX(PP_Grid[#Data],M_BOM[PPGridRow],59),0))</f>
        <v/>
      </c>
      <c r="BH55">
        <f>SUMPRODUCT((M_BOM[RM_Code]=$A55)*M_BOM[RM_Qty_Per_Batch]*IFERROR(INDEX(PP_Grid[#Data],M_BOM[PPGridRow],60),0))</f>
        <v/>
      </c>
      <c r="BI55">
        <f>SUMPRODUCT((M_BOM[RM_Code]=$A55)*M_BOM[RM_Qty_Per_Batch]*IFERROR(INDEX(PP_Grid[#Data],M_BOM[PPGridRow],61),0))</f>
        <v/>
      </c>
      <c r="BJ55">
        <f>SUMPRODUCT((M_BOM[RM_Code]=$A55)*M_BOM[RM_Qty_Per_Batch]*IFERROR(INDEX(PP_Grid[#Data],M_BOM[PPGridRow],62),0))</f>
        <v/>
      </c>
      <c r="BK55">
        <f>SUMPRODUCT((M_BOM[RM_Code]=$A55)*M_BOM[RM_Qty_Per_Batch]*IFERROR(INDEX(PP_Grid[#Data],M_BOM[PPGridRow],63),0))</f>
        <v/>
      </c>
      <c r="BL55">
        <f>SUMPRODUCT((M_BOM[RM_Code]=$A55)*M_BOM[RM_Qty_Per_Batch]*IFERROR(INDEX(PP_Grid[#Data],M_BOM[PPGridRow],64),0))</f>
        <v/>
      </c>
      <c r="BM55">
        <f>SUMPRODUCT((M_BOM[RM_Code]=$A55)*M_BOM[RM_Qty_Per_Batch]*IFERROR(INDEX(PP_Grid[#Data],M_BOM[PPGridRow],65),0))</f>
        <v/>
      </c>
      <c r="BN55">
        <f>SUMPRODUCT((M_BOM[RM_Code]=$A55)*M_BOM[RM_Qty_Per_Batch]*IFERROR(INDEX(PP_Grid[#Data],M_BOM[PPGridRow],66),0))</f>
        <v/>
      </c>
      <c r="BO55">
        <f>SUMPRODUCT((M_BOM[RM_Code]=$A55)*M_BOM[RM_Qty_Per_Batch]*IFERROR(INDEX(PP_Grid[#Data],M_BOM[PPGridRow],67),0))</f>
        <v/>
      </c>
      <c r="BP55">
        <f>SUMPRODUCT((M_BOM[RM_Code]=$A55)*M_BOM[RM_Qty_Per_Batch]*IFERROR(INDEX(PP_Grid[#Data],M_BOM[PPGridRow],68),0))</f>
        <v/>
      </c>
      <c r="BQ55">
        <f>SUMPRODUCT((M_BOM[RM_Code]=$A55)*M_BOM[RM_Qty_Per_Batch]*IFERROR(INDEX(PP_Grid[#Data],M_BOM[PPGridRow],69),0))</f>
        <v/>
      </c>
      <c r="BR55">
        <f>SUMPRODUCT((M_BOM[RM_Code]=$A55)*M_BOM[RM_Qty_Per_Batch]*IFERROR(INDEX(PP_Grid[#Data],M_BOM[PPGridRow],70),0))</f>
        <v/>
      </c>
      <c r="BS55">
        <f>SUMPRODUCT((M_BOM[RM_Code]=$A55)*M_BOM[RM_Qty_Per_Batch]*IFERROR(INDEX(PP_Grid[#Data],M_BOM[PPGridRow],71),0))</f>
        <v/>
      </c>
      <c r="BT55">
        <f>SUMPRODUCT((M_BOM[RM_Code]=$A55)*M_BOM[RM_Qty_Per_Batch]*IFERROR(INDEX(PP_Grid[#Data],M_BOM[PPGridRow],72),0))</f>
        <v/>
      </c>
      <c r="BU55">
        <f>SUMPRODUCT((M_BOM[RM_Code]=$A55)*M_BOM[RM_Qty_Per_Batch]*IFERROR(INDEX(PP_Grid[#Data],M_BOM[PPGridRow],73),0))</f>
        <v/>
      </c>
      <c r="BV55">
        <f>SUMPRODUCT((M_BOM[RM_Code]=$A55)*M_BOM[RM_Qty_Per_Batch]*IFERROR(INDEX(PP_Grid[#Data],M_BOM[PPGridRow],74),0))</f>
        <v/>
      </c>
      <c r="BW55">
        <f>SUMPRODUCT((M_BOM[RM_Code]=$A55)*M_BOM[RM_Qty_Per_Batch]*IFERROR(INDEX(PP_Grid[#Data],M_BOM[PPGridRow],75),0))</f>
        <v/>
      </c>
      <c r="BX55">
        <f>SUMPRODUCT((M_BOM[RM_Code]=$A55)*M_BOM[RM_Qty_Per_Batch]*IFERROR(INDEX(PP_Grid[#Data],M_BOM[PPGridRow],76),0))</f>
        <v/>
      </c>
      <c r="BY55">
        <f>SUMPRODUCT((M_BOM[RM_Code]=$A55)*M_BOM[RM_Qty_Per_Batch]*IFERROR(INDEX(PP_Grid[#Data],M_BOM[PPGridRow],77),0))</f>
        <v/>
      </c>
      <c r="BZ55">
        <f>SUMPRODUCT((M_BOM[RM_Code]=$A55)*M_BOM[RM_Qty_Per_Batch]*IFERROR(INDEX(PP_Grid[#Data],M_BOM[PPGridRow],78),0))</f>
        <v/>
      </c>
      <c r="CA55">
        <f>SUMPRODUCT((M_BOM[RM_Code]=$A55)*M_BOM[RM_Qty_Per_Batch]*IFERROR(INDEX(PP_Grid[#Data],M_BOM[PPGridRow],79),0))</f>
        <v/>
      </c>
      <c r="CB55">
        <f>SUMPRODUCT((M_BOM[RM_Code]=$A55)*M_BOM[RM_Qty_Per_Batch]*IFERROR(INDEX(PP_Grid[#Data],M_BOM[PPGridRow],80),0))</f>
        <v/>
      </c>
      <c r="CC55">
        <f>SUMPRODUCT((M_BOM[RM_Code]=$A55)*M_BOM[RM_Qty_Per_Batch]*IFERROR(INDEX(PP_Grid[#Data],M_BOM[PPGridRow],81),0))</f>
        <v/>
      </c>
      <c r="CD55">
        <f>SUMPRODUCT((M_BOM[RM_Code]=$A55)*M_BOM[RM_Qty_Per_Batch]*IFERROR(INDEX(PP_Grid[#Data],M_BOM[PPGridRow],82),0))</f>
        <v/>
      </c>
      <c r="CE55">
        <f>SUMPRODUCT((M_BOM[RM_Code]=$A55)*M_BOM[RM_Qty_Per_Batch]*IFERROR(INDEX(PP_Grid[#Data],M_BOM[PPGridRow],83),0))</f>
        <v/>
      </c>
      <c r="CF55">
        <f>SUMPRODUCT((M_BOM[RM_Code]=$A55)*M_BOM[RM_Qty_Per_Batch]*IFERROR(INDEX(PP_Grid[#Data],M_BOM[PPGridRow],84),0))</f>
        <v/>
      </c>
      <c r="CG55">
        <f>SUMPRODUCT((M_BOM[RM_Code]=$A55)*M_BOM[RM_Qty_Per_Batch]*IFERROR(INDEX(PP_Grid[#Data],M_BOM[PPGridRow],85),0))</f>
        <v/>
      </c>
      <c r="CH55">
        <f>SUMPRODUCT((M_BOM[RM_Code]=$A55)*M_BOM[RM_Qty_Per_Batch]*IFERROR(INDEX(PP_Grid[#Data],M_BOM[PPGridRow],86),0))</f>
        <v/>
      </c>
      <c r="CI55">
        <f>SUMPRODUCT((M_BOM[RM_Code]=$A55)*M_BOM[RM_Qty_Per_Batch]*IFERROR(INDEX(PP_Grid[#Data],M_BOM[PPGridRow],87),0))</f>
        <v/>
      </c>
      <c r="CJ55">
        <f>SUMPRODUCT((M_BOM[RM_Code]=$A55)*M_BOM[RM_Qty_Per_Batch]*IFERROR(INDEX(PP_Grid[#Data],M_BOM[PPGridRow],88),0))</f>
        <v/>
      </c>
      <c r="CK55">
        <f>SUMPRODUCT((M_BOM[RM_Code]=$A55)*M_BOM[RM_Qty_Per_Batch]*IFERROR(INDEX(PP_Grid[#Data],M_BOM[PPGridRow],89),0))</f>
        <v/>
      </c>
      <c r="CL55">
        <f>SUMPRODUCT((M_BOM[RM_Code]=$A55)*M_BOM[RM_Qty_Per_Batch]*IFERROR(INDEX(PP_Grid[#Data],M_BOM[PPGridRow],90),0))</f>
        <v/>
      </c>
      <c r="CM55">
        <f>SUMPRODUCT((M_BOM[RM_Code]=$A55)*M_BOM[RM_Qty_Per_Batch]*IFERROR(INDEX(PP_Grid[#Data],M_BOM[PPGridRow],91),0))</f>
        <v/>
      </c>
      <c r="CN55">
        <f>SUMPRODUCT((M_BOM[RM_Code]=$A55)*M_BOM[RM_Qty_Per_Batch]*IFERROR(INDEX(PP_Grid[#Data],M_BOM[PPGridRow],92),0))</f>
        <v/>
      </c>
      <c r="CO55">
        <f>SUMPRODUCT((M_BOM[RM_Code]=$A55)*M_BOM[RM_Qty_Per_Batch]*IFERROR(INDEX(PP_Grid[#Data],M_BOM[PPGridRow],93),0))</f>
        <v/>
      </c>
      <c r="CP55">
        <f>SUMPRODUCT((M_BOM[RM_Code]=$A55)*M_BOM[RM_Qty_Per_Batch]*IFERROR(INDEX(PP_Grid[#Data],M_BOM[PPGridRow],94),0))</f>
        <v/>
      </c>
      <c r="CQ55">
        <f>SUMPRODUCT((M_BOM[RM_Code]=$A55)*M_BOM[RM_Qty_Per_Batch]*IFERROR(INDEX(PP_Grid[#Data],M_BOM[PPGridRow],95),0))</f>
        <v/>
      </c>
      <c r="CR55">
        <f>SUMPRODUCT((M_BOM[RM_Code]=$A55)*M_BOM[RM_Qty_Per_Batch]*IFERROR(INDEX(PP_Grid[#Data],M_BOM[PPGridRow],96),0))</f>
        <v/>
      </c>
      <c r="CS55">
        <f>SUMPRODUCT((M_BOM[RM_Code]=$A55)*M_BOM[RM_Qty_Per_Batch]*IFERROR(INDEX(PP_Grid[#Data],M_BOM[PPGridRow],97),0))</f>
        <v/>
      </c>
      <c r="CT55">
        <f>SUMPRODUCT((M_BOM[RM_Code]=$A55)*M_BOM[RM_Qty_Per_Batch]*IFERROR(INDEX(PP_Grid[#Data],M_BOM[PPGridRow],98),0))</f>
        <v/>
      </c>
      <c r="CU55">
        <f>SUMPRODUCT((M_BOM[RM_Code]=$A55)*M_BOM[RM_Qty_Per_Batch]*IFERROR(INDEX(PP_Grid[#Data],M_BOM[PPGridRow],99),0))</f>
        <v/>
      </c>
      <c r="CV55">
        <f>SUMPRODUCT((M_BOM[RM_Code]=$A55)*M_BOM[RM_Qty_Per_Batch]*IFERROR(INDEX(PP_Grid[#Data],M_BOM[PPGridRow],100),0))</f>
        <v/>
      </c>
      <c r="CW55">
        <f>SUMPRODUCT((M_BOM[RM_Code]=$A55)*M_BOM[RM_Qty_Per_Batch]*IFERROR(INDEX(PP_Grid[#Data],M_BOM[PPGridRow],101),0))</f>
        <v/>
      </c>
      <c r="CX55">
        <f>SUMPRODUCT((M_BOM[RM_Code]=$A55)*M_BOM[RM_Qty_Per_Batch]*IFERROR(INDEX(PP_Grid[#Data],M_BOM[PPGridRow],102),0))</f>
        <v/>
      </c>
      <c r="CY55">
        <f>SUMPRODUCT((M_BOM[RM_Code]=$A55)*M_BOM[RM_Qty_Per_Batch]*IFERROR(INDEX(PP_Grid[#Data],M_BOM[PPGridRow],103),0))</f>
        <v/>
      </c>
      <c r="CZ55">
        <f>SUMPRODUCT((M_BOM[RM_Code]=$A55)*M_BOM[RM_Qty_Per_Batch]*IFERROR(INDEX(PP_Grid[#Data],M_BOM[PPGridRow],104),0))</f>
        <v/>
      </c>
      <c r="DA55">
        <f>SUMPRODUCT((M_BOM[RM_Code]=$A55)*M_BOM[RM_Qty_Per_Batch]*IFERROR(INDEX(PP_Grid[#Data],M_BOM[PPGridRow],105),0))</f>
        <v/>
      </c>
    </row>
    <row r="56">
      <c r="A56" t="inlineStr">
        <is>
          <t>CHEM-1080</t>
        </is>
      </c>
      <c r="B56">
        <f>SUMPRODUCT((M_BOM[RM_Code]=$A56)*M_BOM[RM_Qty_Per_Batch]*IFERROR(INDEX(PP_Grid[#Data],M_BOM[PPGridRow],2),0))</f>
        <v/>
      </c>
      <c r="C56">
        <f>SUMPRODUCT((M_BOM[RM_Code]=$A56)*M_BOM[RM_Qty_Per_Batch]*IFERROR(INDEX(PP_Grid[#Data],M_BOM[PPGridRow],3),0))</f>
        <v/>
      </c>
      <c r="D56">
        <f>SUMPRODUCT((M_BOM[RM_Code]=$A56)*M_BOM[RM_Qty_Per_Batch]*IFERROR(INDEX(PP_Grid[#Data],M_BOM[PPGridRow],4),0))</f>
        <v/>
      </c>
      <c r="E56">
        <f>SUMPRODUCT((M_BOM[RM_Code]=$A56)*M_BOM[RM_Qty_Per_Batch]*IFERROR(INDEX(PP_Grid[#Data],M_BOM[PPGridRow],5),0))</f>
        <v/>
      </c>
      <c r="F56">
        <f>SUMPRODUCT((M_BOM[RM_Code]=$A56)*M_BOM[RM_Qty_Per_Batch]*IFERROR(INDEX(PP_Grid[#Data],M_BOM[PPGridRow],6),0))</f>
        <v/>
      </c>
      <c r="G56">
        <f>SUMPRODUCT((M_BOM[RM_Code]=$A56)*M_BOM[RM_Qty_Per_Batch]*IFERROR(INDEX(PP_Grid[#Data],M_BOM[PPGridRow],7),0))</f>
        <v/>
      </c>
      <c r="H56">
        <f>SUMPRODUCT((M_BOM[RM_Code]=$A56)*M_BOM[RM_Qty_Per_Batch]*IFERROR(INDEX(PP_Grid[#Data],M_BOM[PPGridRow],8),0))</f>
        <v/>
      </c>
      <c r="I56">
        <f>SUMPRODUCT((M_BOM[RM_Code]=$A56)*M_BOM[RM_Qty_Per_Batch]*IFERROR(INDEX(PP_Grid[#Data],M_BOM[PPGridRow],9),0))</f>
        <v/>
      </c>
      <c r="J56">
        <f>SUMPRODUCT((M_BOM[RM_Code]=$A56)*M_BOM[RM_Qty_Per_Batch]*IFERROR(INDEX(PP_Grid[#Data],M_BOM[PPGridRow],10),0))</f>
        <v/>
      </c>
      <c r="K56">
        <f>SUMPRODUCT((M_BOM[RM_Code]=$A56)*M_BOM[RM_Qty_Per_Batch]*IFERROR(INDEX(PP_Grid[#Data],M_BOM[PPGridRow],11),0))</f>
        <v/>
      </c>
      <c r="L56">
        <f>SUMPRODUCT((M_BOM[RM_Code]=$A56)*M_BOM[RM_Qty_Per_Batch]*IFERROR(INDEX(PP_Grid[#Data],M_BOM[PPGridRow],12),0))</f>
        <v/>
      </c>
      <c r="M56">
        <f>SUMPRODUCT((M_BOM[RM_Code]=$A56)*M_BOM[RM_Qty_Per_Batch]*IFERROR(INDEX(PP_Grid[#Data],M_BOM[PPGridRow],13),0))</f>
        <v/>
      </c>
      <c r="N56">
        <f>SUMPRODUCT((M_BOM[RM_Code]=$A56)*M_BOM[RM_Qty_Per_Batch]*IFERROR(INDEX(PP_Grid[#Data],M_BOM[PPGridRow],14),0))</f>
        <v/>
      </c>
      <c r="O56">
        <f>SUMPRODUCT((M_BOM[RM_Code]=$A56)*M_BOM[RM_Qty_Per_Batch]*IFERROR(INDEX(PP_Grid[#Data],M_BOM[PPGridRow],15),0))</f>
        <v/>
      </c>
      <c r="P56">
        <f>SUMPRODUCT((M_BOM[RM_Code]=$A56)*M_BOM[RM_Qty_Per_Batch]*IFERROR(INDEX(PP_Grid[#Data],M_BOM[PPGridRow],16),0))</f>
        <v/>
      </c>
      <c r="Q56">
        <f>SUMPRODUCT((M_BOM[RM_Code]=$A56)*M_BOM[RM_Qty_Per_Batch]*IFERROR(INDEX(PP_Grid[#Data],M_BOM[PPGridRow],17),0))</f>
        <v/>
      </c>
      <c r="R56">
        <f>SUMPRODUCT((M_BOM[RM_Code]=$A56)*M_BOM[RM_Qty_Per_Batch]*IFERROR(INDEX(PP_Grid[#Data],M_BOM[PPGridRow],18),0))</f>
        <v/>
      </c>
      <c r="S56">
        <f>SUMPRODUCT((M_BOM[RM_Code]=$A56)*M_BOM[RM_Qty_Per_Batch]*IFERROR(INDEX(PP_Grid[#Data],M_BOM[PPGridRow],19),0))</f>
        <v/>
      </c>
      <c r="T56">
        <f>SUMPRODUCT((M_BOM[RM_Code]=$A56)*M_BOM[RM_Qty_Per_Batch]*IFERROR(INDEX(PP_Grid[#Data],M_BOM[PPGridRow],20),0))</f>
        <v/>
      </c>
      <c r="U56">
        <f>SUMPRODUCT((M_BOM[RM_Code]=$A56)*M_BOM[RM_Qty_Per_Batch]*IFERROR(INDEX(PP_Grid[#Data],M_BOM[PPGridRow],21),0))</f>
        <v/>
      </c>
      <c r="V56">
        <f>SUMPRODUCT((M_BOM[RM_Code]=$A56)*M_BOM[RM_Qty_Per_Batch]*IFERROR(INDEX(PP_Grid[#Data],M_BOM[PPGridRow],22),0))</f>
        <v/>
      </c>
      <c r="W56">
        <f>SUMPRODUCT((M_BOM[RM_Code]=$A56)*M_BOM[RM_Qty_Per_Batch]*IFERROR(INDEX(PP_Grid[#Data],M_BOM[PPGridRow],23),0))</f>
        <v/>
      </c>
      <c r="X56">
        <f>SUMPRODUCT((M_BOM[RM_Code]=$A56)*M_BOM[RM_Qty_Per_Batch]*IFERROR(INDEX(PP_Grid[#Data],M_BOM[PPGridRow],24),0))</f>
        <v/>
      </c>
      <c r="Y56">
        <f>SUMPRODUCT((M_BOM[RM_Code]=$A56)*M_BOM[RM_Qty_Per_Batch]*IFERROR(INDEX(PP_Grid[#Data],M_BOM[PPGridRow],25),0))</f>
        <v/>
      </c>
      <c r="Z56">
        <f>SUMPRODUCT((M_BOM[RM_Code]=$A56)*M_BOM[RM_Qty_Per_Batch]*IFERROR(INDEX(PP_Grid[#Data],M_BOM[PPGridRow],26),0))</f>
        <v/>
      </c>
      <c r="AA56">
        <f>SUMPRODUCT((M_BOM[RM_Code]=$A56)*M_BOM[RM_Qty_Per_Batch]*IFERROR(INDEX(PP_Grid[#Data],M_BOM[PPGridRow],27),0))</f>
        <v/>
      </c>
      <c r="AB56">
        <f>SUMPRODUCT((M_BOM[RM_Code]=$A56)*M_BOM[RM_Qty_Per_Batch]*IFERROR(INDEX(PP_Grid[#Data],M_BOM[PPGridRow],28),0))</f>
        <v/>
      </c>
      <c r="AC56">
        <f>SUMPRODUCT((M_BOM[RM_Code]=$A56)*M_BOM[RM_Qty_Per_Batch]*IFERROR(INDEX(PP_Grid[#Data],M_BOM[PPGridRow],29),0))</f>
        <v/>
      </c>
      <c r="AD56">
        <f>SUMPRODUCT((M_BOM[RM_Code]=$A56)*M_BOM[RM_Qty_Per_Batch]*IFERROR(INDEX(PP_Grid[#Data],M_BOM[PPGridRow],30),0))</f>
        <v/>
      </c>
      <c r="AE56">
        <f>SUMPRODUCT((M_BOM[RM_Code]=$A56)*M_BOM[RM_Qty_Per_Batch]*IFERROR(INDEX(PP_Grid[#Data],M_BOM[PPGridRow],31),0))</f>
        <v/>
      </c>
      <c r="AF56">
        <f>SUMPRODUCT((M_BOM[RM_Code]=$A56)*M_BOM[RM_Qty_Per_Batch]*IFERROR(INDEX(PP_Grid[#Data],M_BOM[PPGridRow],32),0))</f>
        <v/>
      </c>
      <c r="AG56">
        <f>SUMPRODUCT((M_BOM[RM_Code]=$A56)*M_BOM[RM_Qty_Per_Batch]*IFERROR(INDEX(PP_Grid[#Data],M_BOM[PPGridRow],33),0))</f>
        <v/>
      </c>
      <c r="AH56">
        <f>SUMPRODUCT((M_BOM[RM_Code]=$A56)*M_BOM[RM_Qty_Per_Batch]*IFERROR(INDEX(PP_Grid[#Data],M_BOM[PPGridRow],34),0))</f>
        <v/>
      </c>
      <c r="AI56">
        <f>SUMPRODUCT((M_BOM[RM_Code]=$A56)*M_BOM[RM_Qty_Per_Batch]*IFERROR(INDEX(PP_Grid[#Data],M_BOM[PPGridRow],35),0))</f>
        <v/>
      </c>
      <c r="AJ56">
        <f>SUMPRODUCT((M_BOM[RM_Code]=$A56)*M_BOM[RM_Qty_Per_Batch]*IFERROR(INDEX(PP_Grid[#Data],M_BOM[PPGridRow],36),0))</f>
        <v/>
      </c>
      <c r="AK56">
        <f>SUMPRODUCT((M_BOM[RM_Code]=$A56)*M_BOM[RM_Qty_Per_Batch]*IFERROR(INDEX(PP_Grid[#Data],M_BOM[PPGridRow],37),0))</f>
        <v/>
      </c>
      <c r="AL56">
        <f>SUMPRODUCT((M_BOM[RM_Code]=$A56)*M_BOM[RM_Qty_Per_Batch]*IFERROR(INDEX(PP_Grid[#Data],M_BOM[PPGridRow],38),0))</f>
        <v/>
      </c>
      <c r="AM56">
        <f>SUMPRODUCT((M_BOM[RM_Code]=$A56)*M_BOM[RM_Qty_Per_Batch]*IFERROR(INDEX(PP_Grid[#Data],M_BOM[PPGridRow],39),0))</f>
        <v/>
      </c>
      <c r="AN56">
        <f>SUMPRODUCT((M_BOM[RM_Code]=$A56)*M_BOM[RM_Qty_Per_Batch]*IFERROR(INDEX(PP_Grid[#Data],M_BOM[PPGridRow],40),0))</f>
        <v/>
      </c>
      <c r="AO56">
        <f>SUMPRODUCT((M_BOM[RM_Code]=$A56)*M_BOM[RM_Qty_Per_Batch]*IFERROR(INDEX(PP_Grid[#Data],M_BOM[PPGridRow],41),0))</f>
        <v/>
      </c>
      <c r="AP56">
        <f>SUMPRODUCT((M_BOM[RM_Code]=$A56)*M_BOM[RM_Qty_Per_Batch]*IFERROR(INDEX(PP_Grid[#Data],M_BOM[PPGridRow],42),0))</f>
        <v/>
      </c>
      <c r="AQ56">
        <f>SUMPRODUCT((M_BOM[RM_Code]=$A56)*M_BOM[RM_Qty_Per_Batch]*IFERROR(INDEX(PP_Grid[#Data],M_BOM[PPGridRow],43),0))</f>
        <v/>
      </c>
      <c r="AR56">
        <f>SUMPRODUCT((M_BOM[RM_Code]=$A56)*M_BOM[RM_Qty_Per_Batch]*IFERROR(INDEX(PP_Grid[#Data],M_BOM[PPGridRow],44),0))</f>
        <v/>
      </c>
      <c r="AS56">
        <f>SUMPRODUCT((M_BOM[RM_Code]=$A56)*M_BOM[RM_Qty_Per_Batch]*IFERROR(INDEX(PP_Grid[#Data],M_BOM[PPGridRow],45),0))</f>
        <v/>
      </c>
      <c r="AT56">
        <f>SUMPRODUCT((M_BOM[RM_Code]=$A56)*M_BOM[RM_Qty_Per_Batch]*IFERROR(INDEX(PP_Grid[#Data],M_BOM[PPGridRow],46),0))</f>
        <v/>
      </c>
      <c r="AU56">
        <f>SUMPRODUCT((M_BOM[RM_Code]=$A56)*M_BOM[RM_Qty_Per_Batch]*IFERROR(INDEX(PP_Grid[#Data],M_BOM[PPGridRow],47),0))</f>
        <v/>
      </c>
      <c r="AV56">
        <f>SUMPRODUCT((M_BOM[RM_Code]=$A56)*M_BOM[RM_Qty_Per_Batch]*IFERROR(INDEX(PP_Grid[#Data],M_BOM[PPGridRow],48),0))</f>
        <v/>
      </c>
      <c r="AW56">
        <f>SUMPRODUCT((M_BOM[RM_Code]=$A56)*M_BOM[RM_Qty_Per_Batch]*IFERROR(INDEX(PP_Grid[#Data],M_BOM[PPGridRow],49),0))</f>
        <v/>
      </c>
      <c r="AX56">
        <f>SUMPRODUCT((M_BOM[RM_Code]=$A56)*M_BOM[RM_Qty_Per_Batch]*IFERROR(INDEX(PP_Grid[#Data],M_BOM[PPGridRow],50),0))</f>
        <v/>
      </c>
      <c r="AY56">
        <f>SUMPRODUCT((M_BOM[RM_Code]=$A56)*M_BOM[RM_Qty_Per_Batch]*IFERROR(INDEX(PP_Grid[#Data],M_BOM[PPGridRow],51),0))</f>
        <v/>
      </c>
      <c r="AZ56">
        <f>SUMPRODUCT((M_BOM[RM_Code]=$A56)*M_BOM[RM_Qty_Per_Batch]*IFERROR(INDEX(PP_Grid[#Data],M_BOM[PPGridRow],52),0))</f>
        <v/>
      </c>
      <c r="BA56">
        <f>SUMPRODUCT((M_BOM[RM_Code]=$A56)*M_BOM[RM_Qty_Per_Batch]*IFERROR(INDEX(PP_Grid[#Data],M_BOM[PPGridRow],53),0))</f>
        <v/>
      </c>
      <c r="BB56">
        <f>SUMPRODUCT((M_BOM[RM_Code]=$A56)*M_BOM[RM_Qty_Per_Batch]*IFERROR(INDEX(PP_Grid[#Data],M_BOM[PPGridRow],54),0))</f>
        <v/>
      </c>
      <c r="BC56">
        <f>SUMPRODUCT((M_BOM[RM_Code]=$A56)*M_BOM[RM_Qty_Per_Batch]*IFERROR(INDEX(PP_Grid[#Data],M_BOM[PPGridRow],55),0))</f>
        <v/>
      </c>
      <c r="BD56">
        <f>SUMPRODUCT((M_BOM[RM_Code]=$A56)*M_BOM[RM_Qty_Per_Batch]*IFERROR(INDEX(PP_Grid[#Data],M_BOM[PPGridRow],56),0))</f>
        <v/>
      </c>
      <c r="BE56">
        <f>SUMPRODUCT((M_BOM[RM_Code]=$A56)*M_BOM[RM_Qty_Per_Batch]*IFERROR(INDEX(PP_Grid[#Data],M_BOM[PPGridRow],57),0))</f>
        <v/>
      </c>
      <c r="BF56">
        <f>SUMPRODUCT((M_BOM[RM_Code]=$A56)*M_BOM[RM_Qty_Per_Batch]*IFERROR(INDEX(PP_Grid[#Data],M_BOM[PPGridRow],58),0))</f>
        <v/>
      </c>
      <c r="BG56">
        <f>SUMPRODUCT((M_BOM[RM_Code]=$A56)*M_BOM[RM_Qty_Per_Batch]*IFERROR(INDEX(PP_Grid[#Data],M_BOM[PPGridRow],59),0))</f>
        <v/>
      </c>
      <c r="BH56">
        <f>SUMPRODUCT((M_BOM[RM_Code]=$A56)*M_BOM[RM_Qty_Per_Batch]*IFERROR(INDEX(PP_Grid[#Data],M_BOM[PPGridRow],60),0))</f>
        <v/>
      </c>
      <c r="BI56">
        <f>SUMPRODUCT((M_BOM[RM_Code]=$A56)*M_BOM[RM_Qty_Per_Batch]*IFERROR(INDEX(PP_Grid[#Data],M_BOM[PPGridRow],61),0))</f>
        <v/>
      </c>
      <c r="BJ56">
        <f>SUMPRODUCT((M_BOM[RM_Code]=$A56)*M_BOM[RM_Qty_Per_Batch]*IFERROR(INDEX(PP_Grid[#Data],M_BOM[PPGridRow],62),0))</f>
        <v/>
      </c>
      <c r="BK56">
        <f>SUMPRODUCT((M_BOM[RM_Code]=$A56)*M_BOM[RM_Qty_Per_Batch]*IFERROR(INDEX(PP_Grid[#Data],M_BOM[PPGridRow],63),0))</f>
        <v/>
      </c>
      <c r="BL56">
        <f>SUMPRODUCT((M_BOM[RM_Code]=$A56)*M_BOM[RM_Qty_Per_Batch]*IFERROR(INDEX(PP_Grid[#Data],M_BOM[PPGridRow],64),0))</f>
        <v/>
      </c>
      <c r="BM56">
        <f>SUMPRODUCT((M_BOM[RM_Code]=$A56)*M_BOM[RM_Qty_Per_Batch]*IFERROR(INDEX(PP_Grid[#Data],M_BOM[PPGridRow],65),0))</f>
        <v/>
      </c>
      <c r="BN56">
        <f>SUMPRODUCT((M_BOM[RM_Code]=$A56)*M_BOM[RM_Qty_Per_Batch]*IFERROR(INDEX(PP_Grid[#Data],M_BOM[PPGridRow],66),0))</f>
        <v/>
      </c>
      <c r="BO56">
        <f>SUMPRODUCT((M_BOM[RM_Code]=$A56)*M_BOM[RM_Qty_Per_Batch]*IFERROR(INDEX(PP_Grid[#Data],M_BOM[PPGridRow],67),0))</f>
        <v/>
      </c>
      <c r="BP56">
        <f>SUMPRODUCT((M_BOM[RM_Code]=$A56)*M_BOM[RM_Qty_Per_Batch]*IFERROR(INDEX(PP_Grid[#Data],M_BOM[PPGridRow],68),0))</f>
        <v/>
      </c>
      <c r="BQ56">
        <f>SUMPRODUCT((M_BOM[RM_Code]=$A56)*M_BOM[RM_Qty_Per_Batch]*IFERROR(INDEX(PP_Grid[#Data],M_BOM[PPGridRow],69),0))</f>
        <v/>
      </c>
      <c r="BR56">
        <f>SUMPRODUCT((M_BOM[RM_Code]=$A56)*M_BOM[RM_Qty_Per_Batch]*IFERROR(INDEX(PP_Grid[#Data],M_BOM[PPGridRow],70),0))</f>
        <v/>
      </c>
      <c r="BS56">
        <f>SUMPRODUCT((M_BOM[RM_Code]=$A56)*M_BOM[RM_Qty_Per_Batch]*IFERROR(INDEX(PP_Grid[#Data],M_BOM[PPGridRow],71),0))</f>
        <v/>
      </c>
      <c r="BT56">
        <f>SUMPRODUCT((M_BOM[RM_Code]=$A56)*M_BOM[RM_Qty_Per_Batch]*IFERROR(INDEX(PP_Grid[#Data],M_BOM[PPGridRow],72),0))</f>
        <v/>
      </c>
      <c r="BU56">
        <f>SUMPRODUCT((M_BOM[RM_Code]=$A56)*M_BOM[RM_Qty_Per_Batch]*IFERROR(INDEX(PP_Grid[#Data],M_BOM[PPGridRow],73),0))</f>
        <v/>
      </c>
      <c r="BV56">
        <f>SUMPRODUCT((M_BOM[RM_Code]=$A56)*M_BOM[RM_Qty_Per_Batch]*IFERROR(INDEX(PP_Grid[#Data],M_BOM[PPGridRow],74),0))</f>
        <v/>
      </c>
      <c r="BW56">
        <f>SUMPRODUCT((M_BOM[RM_Code]=$A56)*M_BOM[RM_Qty_Per_Batch]*IFERROR(INDEX(PP_Grid[#Data],M_BOM[PPGridRow],75),0))</f>
        <v/>
      </c>
      <c r="BX56">
        <f>SUMPRODUCT((M_BOM[RM_Code]=$A56)*M_BOM[RM_Qty_Per_Batch]*IFERROR(INDEX(PP_Grid[#Data],M_BOM[PPGridRow],76),0))</f>
        <v/>
      </c>
      <c r="BY56">
        <f>SUMPRODUCT((M_BOM[RM_Code]=$A56)*M_BOM[RM_Qty_Per_Batch]*IFERROR(INDEX(PP_Grid[#Data],M_BOM[PPGridRow],77),0))</f>
        <v/>
      </c>
      <c r="BZ56">
        <f>SUMPRODUCT((M_BOM[RM_Code]=$A56)*M_BOM[RM_Qty_Per_Batch]*IFERROR(INDEX(PP_Grid[#Data],M_BOM[PPGridRow],78),0))</f>
        <v/>
      </c>
      <c r="CA56">
        <f>SUMPRODUCT((M_BOM[RM_Code]=$A56)*M_BOM[RM_Qty_Per_Batch]*IFERROR(INDEX(PP_Grid[#Data],M_BOM[PPGridRow],79),0))</f>
        <v/>
      </c>
      <c r="CB56">
        <f>SUMPRODUCT((M_BOM[RM_Code]=$A56)*M_BOM[RM_Qty_Per_Batch]*IFERROR(INDEX(PP_Grid[#Data],M_BOM[PPGridRow],80),0))</f>
        <v/>
      </c>
      <c r="CC56">
        <f>SUMPRODUCT((M_BOM[RM_Code]=$A56)*M_BOM[RM_Qty_Per_Batch]*IFERROR(INDEX(PP_Grid[#Data],M_BOM[PPGridRow],81),0))</f>
        <v/>
      </c>
      <c r="CD56">
        <f>SUMPRODUCT((M_BOM[RM_Code]=$A56)*M_BOM[RM_Qty_Per_Batch]*IFERROR(INDEX(PP_Grid[#Data],M_BOM[PPGridRow],82),0))</f>
        <v/>
      </c>
      <c r="CE56">
        <f>SUMPRODUCT((M_BOM[RM_Code]=$A56)*M_BOM[RM_Qty_Per_Batch]*IFERROR(INDEX(PP_Grid[#Data],M_BOM[PPGridRow],83),0))</f>
        <v/>
      </c>
      <c r="CF56">
        <f>SUMPRODUCT((M_BOM[RM_Code]=$A56)*M_BOM[RM_Qty_Per_Batch]*IFERROR(INDEX(PP_Grid[#Data],M_BOM[PPGridRow],84),0))</f>
        <v/>
      </c>
      <c r="CG56">
        <f>SUMPRODUCT((M_BOM[RM_Code]=$A56)*M_BOM[RM_Qty_Per_Batch]*IFERROR(INDEX(PP_Grid[#Data],M_BOM[PPGridRow],85),0))</f>
        <v/>
      </c>
      <c r="CH56">
        <f>SUMPRODUCT((M_BOM[RM_Code]=$A56)*M_BOM[RM_Qty_Per_Batch]*IFERROR(INDEX(PP_Grid[#Data],M_BOM[PPGridRow],86),0))</f>
        <v/>
      </c>
      <c r="CI56">
        <f>SUMPRODUCT((M_BOM[RM_Code]=$A56)*M_BOM[RM_Qty_Per_Batch]*IFERROR(INDEX(PP_Grid[#Data],M_BOM[PPGridRow],87),0))</f>
        <v/>
      </c>
      <c r="CJ56">
        <f>SUMPRODUCT((M_BOM[RM_Code]=$A56)*M_BOM[RM_Qty_Per_Batch]*IFERROR(INDEX(PP_Grid[#Data],M_BOM[PPGridRow],88),0))</f>
        <v/>
      </c>
      <c r="CK56">
        <f>SUMPRODUCT((M_BOM[RM_Code]=$A56)*M_BOM[RM_Qty_Per_Batch]*IFERROR(INDEX(PP_Grid[#Data],M_BOM[PPGridRow],89),0))</f>
        <v/>
      </c>
      <c r="CL56">
        <f>SUMPRODUCT((M_BOM[RM_Code]=$A56)*M_BOM[RM_Qty_Per_Batch]*IFERROR(INDEX(PP_Grid[#Data],M_BOM[PPGridRow],90),0))</f>
        <v/>
      </c>
      <c r="CM56">
        <f>SUMPRODUCT((M_BOM[RM_Code]=$A56)*M_BOM[RM_Qty_Per_Batch]*IFERROR(INDEX(PP_Grid[#Data],M_BOM[PPGridRow],91),0))</f>
        <v/>
      </c>
      <c r="CN56">
        <f>SUMPRODUCT((M_BOM[RM_Code]=$A56)*M_BOM[RM_Qty_Per_Batch]*IFERROR(INDEX(PP_Grid[#Data],M_BOM[PPGridRow],92),0))</f>
        <v/>
      </c>
      <c r="CO56">
        <f>SUMPRODUCT((M_BOM[RM_Code]=$A56)*M_BOM[RM_Qty_Per_Batch]*IFERROR(INDEX(PP_Grid[#Data],M_BOM[PPGridRow],93),0))</f>
        <v/>
      </c>
      <c r="CP56">
        <f>SUMPRODUCT((M_BOM[RM_Code]=$A56)*M_BOM[RM_Qty_Per_Batch]*IFERROR(INDEX(PP_Grid[#Data],M_BOM[PPGridRow],94),0))</f>
        <v/>
      </c>
      <c r="CQ56">
        <f>SUMPRODUCT((M_BOM[RM_Code]=$A56)*M_BOM[RM_Qty_Per_Batch]*IFERROR(INDEX(PP_Grid[#Data],M_BOM[PPGridRow],95),0))</f>
        <v/>
      </c>
      <c r="CR56">
        <f>SUMPRODUCT((M_BOM[RM_Code]=$A56)*M_BOM[RM_Qty_Per_Batch]*IFERROR(INDEX(PP_Grid[#Data],M_BOM[PPGridRow],96),0))</f>
        <v/>
      </c>
      <c r="CS56">
        <f>SUMPRODUCT((M_BOM[RM_Code]=$A56)*M_BOM[RM_Qty_Per_Batch]*IFERROR(INDEX(PP_Grid[#Data],M_BOM[PPGridRow],97),0))</f>
        <v/>
      </c>
      <c r="CT56">
        <f>SUMPRODUCT((M_BOM[RM_Code]=$A56)*M_BOM[RM_Qty_Per_Batch]*IFERROR(INDEX(PP_Grid[#Data],M_BOM[PPGridRow],98),0))</f>
        <v/>
      </c>
      <c r="CU56">
        <f>SUMPRODUCT((M_BOM[RM_Code]=$A56)*M_BOM[RM_Qty_Per_Batch]*IFERROR(INDEX(PP_Grid[#Data],M_BOM[PPGridRow],99),0))</f>
        <v/>
      </c>
      <c r="CV56">
        <f>SUMPRODUCT((M_BOM[RM_Code]=$A56)*M_BOM[RM_Qty_Per_Batch]*IFERROR(INDEX(PP_Grid[#Data],M_BOM[PPGridRow],100),0))</f>
        <v/>
      </c>
      <c r="CW56">
        <f>SUMPRODUCT((M_BOM[RM_Code]=$A56)*M_BOM[RM_Qty_Per_Batch]*IFERROR(INDEX(PP_Grid[#Data],M_BOM[PPGridRow],101),0))</f>
        <v/>
      </c>
      <c r="CX56">
        <f>SUMPRODUCT((M_BOM[RM_Code]=$A56)*M_BOM[RM_Qty_Per_Batch]*IFERROR(INDEX(PP_Grid[#Data],M_BOM[PPGridRow],102),0))</f>
        <v/>
      </c>
      <c r="CY56">
        <f>SUMPRODUCT((M_BOM[RM_Code]=$A56)*M_BOM[RM_Qty_Per_Batch]*IFERROR(INDEX(PP_Grid[#Data],M_BOM[PPGridRow],103),0))</f>
        <v/>
      </c>
      <c r="CZ56">
        <f>SUMPRODUCT((M_BOM[RM_Code]=$A56)*M_BOM[RM_Qty_Per_Batch]*IFERROR(INDEX(PP_Grid[#Data],M_BOM[PPGridRow],104),0))</f>
        <v/>
      </c>
      <c r="DA56">
        <f>SUMPRODUCT((M_BOM[RM_Code]=$A56)*M_BOM[RM_Qty_Per_Batch]*IFERROR(INDEX(PP_Grid[#Data],M_BOM[PPGridRow],105),0))</f>
        <v/>
      </c>
    </row>
    <row r="57">
      <c r="A57" t="inlineStr">
        <is>
          <t>CHEM-1770</t>
        </is>
      </c>
      <c r="B57">
        <f>SUMPRODUCT((M_BOM[RM_Code]=$A57)*M_BOM[RM_Qty_Per_Batch]*IFERROR(INDEX(PP_Grid[#Data],M_BOM[PPGridRow],2),0))</f>
        <v/>
      </c>
      <c r="C57">
        <f>SUMPRODUCT((M_BOM[RM_Code]=$A57)*M_BOM[RM_Qty_Per_Batch]*IFERROR(INDEX(PP_Grid[#Data],M_BOM[PPGridRow],3),0))</f>
        <v/>
      </c>
      <c r="D57">
        <f>SUMPRODUCT((M_BOM[RM_Code]=$A57)*M_BOM[RM_Qty_Per_Batch]*IFERROR(INDEX(PP_Grid[#Data],M_BOM[PPGridRow],4),0))</f>
        <v/>
      </c>
      <c r="E57">
        <f>SUMPRODUCT((M_BOM[RM_Code]=$A57)*M_BOM[RM_Qty_Per_Batch]*IFERROR(INDEX(PP_Grid[#Data],M_BOM[PPGridRow],5),0))</f>
        <v/>
      </c>
      <c r="F57">
        <f>SUMPRODUCT((M_BOM[RM_Code]=$A57)*M_BOM[RM_Qty_Per_Batch]*IFERROR(INDEX(PP_Grid[#Data],M_BOM[PPGridRow],6),0))</f>
        <v/>
      </c>
      <c r="G57">
        <f>SUMPRODUCT((M_BOM[RM_Code]=$A57)*M_BOM[RM_Qty_Per_Batch]*IFERROR(INDEX(PP_Grid[#Data],M_BOM[PPGridRow],7),0))</f>
        <v/>
      </c>
      <c r="H57">
        <f>SUMPRODUCT((M_BOM[RM_Code]=$A57)*M_BOM[RM_Qty_Per_Batch]*IFERROR(INDEX(PP_Grid[#Data],M_BOM[PPGridRow],8),0))</f>
        <v/>
      </c>
      <c r="I57">
        <f>SUMPRODUCT((M_BOM[RM_Code]=$A57)*M_BOM[RM_Qty_Per_Batch]*IFERROR(INDEX(PP_Grid[#Data],M_BOM[PPGridRow],9),0))</f>
        <v/>
      </c>
      <c r="J57">
        <f>SUMPRODUCT((M_BOM[RM_Code]=$A57)*M_BOM[RM_Qty_Per_Batch]*IFERROR(INDEX(PP_Grid[#Data],M_BOM[PPGridRow],10),0))</f>
        <v/>
      </c>
      <c r="K57">
        <f>SUMPRODUCT((M_BOM[RM_Code]=$A57)*M_BOM[RM_Qty_Per_Batch]*IFERROR(INDEX(PP_Grid[#Data],M_BOM[PPGridRow],11),0))</f>
        <v/>
      </c>
      <c r="L57">
        <f>SUMPRODUCT((M_BOM[RM_Code]=$A57)*M_BOM[RM_Qty_Per_Batch]*IFERROR(INDEX(PP_Grid[#Data],M_BOM[PPGridRow],12),0))</f>
        <v/>
      </c>
      <c r="M57">
        <f>SUMPRODUCT((M_BOM[RM_Code]=$A57)*M_BOM[RM_Qty_Per_Batch]*IFERROR(INDEX(PP_Grid[#Data],M_BOM[PPGridRow],13),0))</f>
        <v/>
      </c>
      <c r="N57">
        <f>SUMPRODUCT((M_BOM[RM_Code]=$A57)*M_BOM[RM_Qty_Per_Batch]*IFERROR(INDEX(PP_Grid[#Data],M_BOM[PPGridRow],14),0))</f>
        <v/>
      </c>
      <c r="O57">
        <f>SUMPRODUCT((M_BOM[RM_Code]=$A57)*M_BOM[RM_Qty_Per_Batch]*IFERROR(INDEX(PP_Grid[#Data],M_BOM[PPGridRow],15),0))</f>
        <v/>
      </c>
      <c r="P57">
        <f>SUMPRODUCT((M_BOM[RM_Code]=$A57)*M_BOM[RM_Qty_Per_Batch]*IFERROR(INDEX(PP_Grid[#Data],M_BOM[PPGridRow],16),0))</f>
        <v/>
      </c>
      <c r="Q57">
        <f>SUMPRODUCT((M_BOM[RM_Code]=$A57)*M_BOM[RM_Qty_Per_Batch]*IFERROR(INDEX(PP_Grid[#Data],M_BOM[PPGridRow],17),0))</f>
        <v/>
      </c>
      <c r="R57">
        <f>SUMPRODUCT((M_BOM[RM_Code]=$A57)*M_BOM[RM_Qty_Per_Batch]*IFERROR(INDEX(PP_Grid[#Data],M_BOM[PPGridRow],18),0))</f>
        <v/>
      </c>
      <c r="S57">
        <f>SUMPRODUCT((M_BOM[RM_Code]=$A57)*M_BOM[RM_Qty_Per_Batch]*IFERROR(INDEX(PP_Grid[#Data],M_BOM[PPGridRow],19),0))</f>
        <v/>
      </c>
      <c r="T57">
        <f>SUMPRODUCT((M_BOM[RM_Code]=$A57)*M_BOM[RM_Qty_Per_Batch]*IFERROR(INDEX(PP_Grid[#Data],M_BOM[PPGridRow],20),0))</f>
        <v/>
      </c>
      <c r="U57">
        <f>SUMPRODUCT((M_BOM[RM_Code]=$A57)*M_BOM[RM_Qty_Per_Batch]*IFERROR(INDEX(PP_Grid[#Data],M_BOM[PPGridRow],21),0))</f>
        <v/>
      </c>
      <c r="V57">
        <f>SUMPRODUCT((M_BOM[RM_Code]=$A57)*M_BOM[RM_Qty_Per_Batch]*IFERROR(INDEX(PP_Grid[#Data],M_BOM[PPGridRow],22),0))</f>
        <v/>
      </c>
      <c r="W57">
        <f>SUMPRODUCT((M_BOM[RM_Code]=$A57)*M_BOM[RM_Qty_Per_Batch]*IFERROR(INDEX(PP_Grid[#Data],M_BOM[PPGridRow],23),0))</f>
        <v/>
      </c>
      <c r="X57">
        <f>SUMPRODUCT((M_BOM[RM_Code]=$A57)*M_BOM[RM_Qty_Per_Batch]*IFERROR(INDEX(PP_Grid[#Data],M_BOM[PPGridRow],24),0))</f>
        <v/>
      </c>
      <c r="Y57">
        <f>SUMPRODUCT((M_BOM[RM_Code]=$A57)*M_BOM[RM_Qty_Per_Batch]*IFERROR(INDEX(PP_Grid[#Data],M_BOM[PPGridRow],25),0))</f>
        <v/>
      </c>
      <c r="Z57">
        <f>SUMPRODUCT((M_BOM[RM_Code]=$A57)*M_BOM[RM_Qty_Per_Batch]*IFERROR(INDEX(PP_Grid[#Data],M_BOM[PPGridRow],26),0))</f>
        <v/>
      </c>
      <c r="AA57">
        <f>SUMPRODUCT((M_BOM[RM_Code]=$A57)*M_BOM[RM_Qty_Per_Batch]*IFERROR(INDEX(PP_Grid[#Data],M_BOM[PPGridRow],27),0))</f>
        <v/>
      </c>
      <c r="AB57">
        <f>SUMPRODUCT((M_BOM[RM_Code]=$A57)*M_BOM[RM_Qty_Per_Batch]*IFERROR(INDEX(PP_Grid[#Data],M_BOM[PPGridRow],28),0))</f>
        <v/>
      </c>
      <c r="AC57">
        <f>SUMPRODUCT((M_BOM[RM_Code]=$A57)*M_BOM[RM_Qty_Per_Batch]*IFERROR(INDEX(PP_Grid[#Data],M_BOM[PPGridRow],29),0))</f>
        <v/>
      </c>
      <c r="AD57">
        <f>SUMPRODUCT((M_BOM[RM_Code]=$A57)*M_BOM[RM_Qty_Per_Batch]*IFERROR(INDEX(PP_Grid[#Data],M_BOM[PPGridRow],30),0))</f>
        <v/>
      </c>
      <c r="AE57">
        <f>SUMPRODUCT((M_BOM[RM_Code]=$A57)*M_BOM[RM_Qty_Per_Batch]*IFERROR(INDEX(PP_Grid[#Data],M_BOM[PPGridRow],31),0))</f>
        <v/>
      </c>
      <c r="AF57">
        <f>SUMPRODUCT((M_BOM[RM_Code]=$A57)*M_BOM[RM_Qty_Per_Batch]*IFERROR(INDEX(PP_Grid[#Data],M_BOM[PPGridRow],32),0))</f>
        <v/>
      </c>
      <c r="AG57">
        <f>SUMPRODUCT((M_BOM[RM_Code]=$A57)*M_BOM[RM_Qty_Per_Batch]*IFERROR(INDEX(PP_Grid[#Data],M_BOM[PPGridRow],33),0))</f>
        <v/>
      </c>
      <c r="AH57">
        <f>SUMPRODUCT((M_BOM[RM_Code]=$A57)*M_BOM[RM_Qty_Per_Batch]*IFERROR(INDEX(PP_Grid[#Data],M_BOM[PPGridRow],34),0))</f>
        <v/>
      </c>
      <c r="AI57">
        <f>SUMPRODUCT((M_BOM[RM_Code]=$A57)*M_BOM[RM_Qty_Per_Batch]*IFERROR(INDEX(PP_Grid[#Data],M_BOM[PPGridRow],35),0))</f>
        <v/>
      </c>
      <c r="AJ57">
        <f>SUMPRODUCT((M_BOM[RM_Code]=$A57)*M_BOM[RM_Qty_Per_Batch]*IFERROR(INDEX(PP_Grid[#Data],M_BOM[PPGridRow],36),0))</f>
        <v/>
      </c>
      <c r="AK57">
        <f>SUMPRODUCT((M_BOM[RM_Code]=$A57)*M_BOM[RM_Qty_Per_Batch]*IFERROR(INDEX(PP_Grid[#Data],M_BOM[PPGridRow],37),0))</f>
        <v/>
      </c>
      <c r="AL57">
        <f>SUMPRODUCT((M_BOM[RM_Code]=$A57)*M_BOM[RM_Qty_Per_Batch]*IFERROR(INDEX(PP_Grid[#Data],M_BOM[PPGridRow],38),0))</f>
        <v/>
      </c>
      <c r="AM57">
        <f>SUMPRODUCT((M_BOM[RM_Code]=$A57)*M_BOM[RM_Qty_Per_Batch]*IFERROR(INDEX(PP_Grid[#Data],M_BOM[PPGridRow],39),0))</f>
        <v/>
      </c>
      <c r="AN57">
        <f>SUMPRODUCT((M_BOM[RM_Code]=$A57)*M_BOM[RM_Qty_Per_Batch]*IFERROR(INDEX(PP_Grid[#Data],M_BOM[PPGridRow],40),0))</f>
        <v/>
      </c>
      <c r="AO57">
        <f>SUMPRODUCT((M_BOM[RM_Code]=$A57)*M_BOM[RM_Qty_Per_Batch]*IFERROR(INDEX(PP_Grid[#Data],M_BOM[PPGridRow],41),0))</f>
        <v/>
      </c>
      <c r="AP57">
        <f>SUMPRODUCT((M_BOM[RM_Code]=$A57)*M_BOM[RM_Qty_Per_Batch]*IFERROR(INDEX(PP_Grid[#Data],M_BOM[PPGridRow],42),0))</f>
        <v/>
      </c>
      <c r="AQ57">
        <f>SUMPRODUCT((M_BOM[RM_Code]=$A57)*M_BOM[RM_Qty_Per_Batch]*IFERROR(INDEX(PP_Grid[#Data],M_BOM[PPGridRow],43),0))</f>
        <v/>
      </c>
      <c r="AR57">
        <f>SUMPRODUCT((M_BOM[RM_Code]=$A57)*M_BOM[RM_Qty_Per_Batch]*IFERROR(INDEX(PP_Grid[#Data],M_BOM[PPGridRow],44),0))</f>
        <v/>
      </c>
      <c r="AS57">
        <f>SUMPRODUCT((M_BOM[RM_Code]=$A57)*M_BOM[RM_Qty_Per_Batch]*IFERROR(INDEX(PP_Grid[#Data],M_BOM[PPGridRow],45),0))</f>
        <v/>
      </c>
      <c r="AT57">
        <f>SUMPRODUCT((M_BOM[RM_Code]=$A57)*M_BOM[RM_Qty_Per_Batch]*IFERROR(INDEX(PP_Grid[#Data],M_BOM[PPGridRow],46),0))</f>
        <v/>
      </c>
      <c r="AU57">
        <f>SUMPRODUCT((M_BOM[RM_Code]=$A57)*M_BOM[RM_Qty_Per_Batch]*IFERROR(INDEX(PP_Grid[#Data],M_BOM[PPGridRow],47),0))</f>
        <v/>
      </c>
      <c r="AV57">
        <f>SUMPRODUCT((M_BOM[RM_Code]=$A57)*M_BOM[RM_Qty_Per_Batch]*IFERROR(INDEX(PP_Grid[#Data],M_BOM[PPGridRow],48),0))</f>
        <v/>
      </c>
      <c r="AW57">
        <f>SUMPRODUCT((M_BOM[RM_Code]=$A57)*M_BOM[RM_Qty_Per_Batch]*IFERROR(INDEX(PP_Grid[#Data],M_BOM[PPGridRow],49),0))</f>
        <v/>
      </c>
      <c r="AX57">
        <f>SUMPRODUCT((M_BOM[RM_Code]=$A57)*M_BOM[RM_Qty_Per_Batch]*IFERROR(INDEX(PP_Grid[#Data],M_BOM[PPGridRow],50),0))</f>
        <v/>
      </c>
      <c r="AY57">
        <f>SUMPRODUCT((M_BOM[RM_Code]=$A57)*M_BOM[RM_Qty_Per_Batch]*IFERROR(INDEX(PP_Grid[#Data],M_BOM[PPGridRow],51),0))</f>
        <v/>
      </c>
      <c r="AZ57">
        <f>SUMPRODUCT((M_BOM[RM_Code]=$A57)*M_BOM[RM_Qty_Per_Batch]*IFERROR(INDEX(PP_Grid[#Data],M_BOM[PPGridRow],52),0))</f>
        <v/>
      </c>
      <c r="BA57">
        <f>SUMPRODUCT((M_BOM[RM_Code]=$A57)*M_BOM[RM_Qty_Per_Batch]*IFERROR(INDEX(PP_Grid[#Data],M_BOM[PPGridRow],53),0))</f>
        <v/>
      </c>
      <c r="BB57">
        <f>SUMPRODUCT((M_BOM[RM_Code]=$A57)*M_BOM[RM_Qty_Per_Batch]*IFERROR(INDEX(PP_Grid[#Data],M_BOM[PPGridRow],54),0))</f>
        <v/>
      </c>
      <c r="BC57">
        <f>SUMPRODUCT((M_BOM[RM_Code]=$A57)*M_BOM[RM_Qty_Per_Batch]*IFERROR(INDEX(PP_Grid[#Data],M_BOM[PPGridRow],55),0))</f>
        <v/>
      </c>
      <c r="BD57">
        <f>SUMPRODUCT((M_BOM[RM_Code]=$A57)*M_BOM[RM_Qty_Per_Batch]*IFERROR(INDEX(PP_Grid[#Data],M_BOM[PPGridRow],56),0))</f>
        <v/>
      </c>
      <c r="BE57">
        <f>SUMPRODUCT((M_BOM[RM_Code]=$A57)*M_BOM[RM_Qty_Per_Batch]*IFERROR(INDEX(PP_Grid[#Data],M_BOM[PPGridRow],57),0))</f>
        <v/>
      </c>
      <c r="BF57">
        <f>SUMPRODUCT((M_BOM[RM_Code]=$A57)*M_BOM[RM_Qty_Per_Batch]*IFERROR(INDEX(PP_Grid[#Data],M_BOM[PPGridRow],58),0))</f>
        <v/>
      </c>
      <c r="BG57">
        <f>SUMPRODUCT((M_BOM[RM_Code]=$A57)*M_BOM[RM_Qty_Per_Batch]*IFERROR(INDEX(PP_Grid[#Data],M_BOM[PPGridRow],59),0))</f>
        <v/>
      </c>
      <c r="BH57">
        <f>SUMPRODUCT((M_BOM[RM_Code]=$A57)*M_BOM[RM_Qty_Per_Batch]*IFERROR(INDEX(PP_Grid[#Data],M_BOM[PPGridRow],60),0))</f>
        <v/>
      </c>
      <c r="BI57">
        <f>SUMPRODUCT((M_BOM[RM_Code]=$A57)*M_BOM[RM_Qty_Per_Batch]*IFERROR(INDEX(PP_Grid[#Data],M_BOM[PPGridRow],61),0))</f>
        <v/>
      </c>
      <c r="BJ57">
        <f>SUMPRODUCT((M_BOM[RM_Code]=$A57)*M_BOM[RM_Qty_Per_Batch]*IFERROR(INDEX(PP_Grid[#Data],M_BOM[PPGridRow],62),0))</f>
        <v/>
      </c>
      <c r="BK57">
        <f>SUMPRODUCT((M_BOM[RM_Code]=$A57)*M_BOM[RM_Qty_Per_Batch]*IFERROR(INDEX(PP_Grid[#Data],M_BOM[PPGridRow],63),0))</f>
        <v/>
      </c>
      <c r="BL57">
        <f>SUMPRODUCT((M_BOM[RM_Code]=$A57)*M_BOM[RM_Qty_Per_Batch]*IFERROR(INDEX(PP_Grid[#Data],M_BOM[PPGridRow],64),0))</f>
        <v/>
      </c>
      <c r="BM57">
        <f>SUMPRODUCT((M_BOM[RM_Code]=$A57)*M_BOM[RM_Qty_Per_Batch]*IFERROR(INDEX(PP_Grid[#Data],M_BOM[PPGridRow],65),0))</f>
        <v/>
      </c>
      <c r="BN57">
        <f>SUMPRODUCT((M_BOM[RM_Code]=$A57)*M_BOM[RM_Qty_Per_Batch]*IFERROR(INDEX(PP_Grid[#Data],M_BOM[PPGridRow],66),0))</f>
        <v/>
      </c>
      <c r="BO57">
        <f>SUMPRODUCT((M_BOM[RM_Code]=$A57)*M_BOM[RM_Qty_Per_Batch]*IFERROR(INDEX(PP_Grid[#Data],M_BOM[PPGridRow],67),0))</f>
        <v/>
      </c>
      <c r="BP57">
        <f>SUMPRODUCT((M_BOM[RM_Code]=$A57)*M_BOM[RM_Qty_Per_Batch]*IFERROR(INDEX(PP_Grid[#Data],M_BOM[PPGridRow],68),0))</f>
        <v/>
      </c>
      <c r="BQ57">
        <f>SUMPRODUCT((M_BOM[RM_Code]=$A57)*M_BOM[RM_Qty_Per_Batch]*IFERROR(INDEX(PP_Grid[#Data],M_BOM[PPGridRow],69),0))</f>
        <v/>
      </c>
      <c r="BR57">
        <f>SUMPRODUCT((M_BOM[RM_Code]=$A57)*M_BOM[RM_Qty_Per_Batch]*IFERROR(INDEX(PP_Grid[#Data],M_BOM[PPGridRow],70),0))</f>
        <v/>
      </c>
      <c r="BS57">
        <f>SUMPRODUCT((M_BOM[RM_Code]=$A57)*M_BOM[RM_Qty_Per_Batch]*IFERROR(INDEX(PP_Grid[#Data],M_BOM[PPGridRow],71),0))</f>
        <v/>
      </c>
      <c r="BT57">
        <f>SUMPRODUCT((M_BOM[RM_Code]=$A57)*M_BOM[RM_Qty_Per_Batch]*IFERROR(INDEX(PP_Grid[#Data],M_BOM[PPGridRow],72),0))</f>
        <v/>
      </c>
      <c r="BU57">
        <f>SUMPRODUCT((M_BOM[RM_Code]=$A57)*M_BOM[RM_Qty_Per_Batch]*IFERROR(INDEX(PP_Grid[#Data],M_BOM[PPGridRow],73),0))</f>
        <v/>
      </c>
      <c r="BV57">
        <f>SUMPRODUCT((M_BOM[RM_Code]=$A57)*M_BOM[RM_Qty_Per_Batch]*IFERROR(INDEX(PP_Grid[#Data],M_BOM[PPGridRow],74),0))</f>
        <v/>
      </c>
      <c r="BW57">
        <f>SUMPRODUCT((M_BOM[RM_Code]=$A57)*M_BOM[RM_Qty_Per_Batch]*IFERROR(INDEX(PP_Grid[#Data],M_BOM[PPGridRow],75),0))</f>
        <v/>
      </c>
      <c r="BX57">
        <f>SUMPRODUCT((M_BOM[RM_Code]=$A57)*M_BOM[RM_Qty_Per_Batch]*IFERROR(INDEX(PP_Grid[#Data],M_BOM[PPGridRow],76),0))</f>
        <v/>
      </c>
      <c r="BY57">
        <f>SUMPRODUCT((M_BOM[RM_Code]=$A57)*M_BOM[RM_Qty_Per_Batch]*IFERROR(INDEX(PP_Grid[#Data],M_BOM[PPGridRow],77),0))</f>
        <v/>
      </c>
      <c r="BZ57">
        <f>SUMPRODUCT((M_BOM[RM_Code]=$A57)*M_BOM[RM_Qty_Per_Batch]*IFERROR(INDEX(PP_Grid[#Data],M_BOM[PPGridRow],78),0))</f>
        <v/>
      </c>
      <c r="CA57">
        <f>SUMPRODUCT((M_BOM[RM_Code]=$A57)*M_BOM[RM_Qty_Per_Batch]*IFERROR(INDEX(PP_Grid[#Data],M_BOM[PPGridRow],79),0))</f>
        <v/>
      </c>
      <c r="CB57">
        <f>SUMPRODUCT((M_BOM[RM_Code]=$A57)*M_BOM[RM_Qty_Per_Batch]*IFERROR(INDEX(PP_Grid[#Data],M_BOM[PPGridRow],80),0))</f>
        <v/>
      </c>
      <c r="CC57">
        <f>SUMPRODUCT((M_BOM[RM_Code]=$A57)*M_BOM[RM_Qty_Per_Batch]*IFERROR(INDEX(PP_Grid[#Data],M_BOM[PPGridRow],81),0))</f>
        <v/>
      </c>
      <c r="CD57">
        <f>SUMPRODUCT((M_BOM[RM_Code]=$A57)*M_BOM[RM_Qty_Per_Batch]*IFERROR(INDEX(PP_Grid[#Data],M_BOM[PPGridRow],82),0))</f>
        <v/>
      </c>
      <c r="CE57">
        <f>SUMPRODUCT((M_BOM[RM_Code]=$A57)*M_BOM[RM_Qty_Per_Batch]*IFERROR(INDEX(PP_Grid[#Data],M_BOM[PPGridRow],83),0))</f>
        <v/>
      </c>
      <c r="CF57">
        <f>SUMPRODUCT((M_BOM[RM_Code]=$A57)*M_BOM[RM_Qty_Per_Batch]*IFERROR(INDEX(PP_Grid[#Data],M_BOM[PPGridRow],84),0))</f>
        <v/>
      </c>
      <c r="CG57">
        <f>SUMPRODUCT((M_BOM[RM_Code]=$A57)*M_BOM[RM_Qty_Per_Batch]*IFERROR(INDEX(PP_Grid[#Data],M_BOM[PPGridRow],85),0))</f>
        <v/>
      </c>
      <c r="CH57">
        <f>SUMPRODUCT((M_BOM[RM_Code]=$A57)*M_BOM[RM_Qty_Per_Batch]*IFERROR(INDEX(PP_Grid[#Data],M_BOM[PPGridRow],86),0))</f>
        <v/>
      </c>
      <c r="CI57">
        <f>SUMPRODUCT((M_BOM[RM_Code]=$A57)*M_BOM[RM_Qty_Per_Batch]*IFERROR(INDEX(PP_Grid[#Data],M_BOM[PPGridRow],87),0))</f>
        <v/>
      </c>
      <c r="CJ57">
        <f>SUMPRODUCT((M_BOM[RM_Code]=$A57)*M_BOM[RM_Qty_Per_Batch]*IFERROR(INDEX(PP_Grid[#Data],M_BOM[PPGridRow],88),0))</f>
        <v/>
      </c>
      <c r="CK57">
        <f>SUMPRODUCT((M_BOM[RM_Code]=$A57)*M_BOM[RM_Qty_Per_Batch]*IFERROR(INDEX(PP_Grid[#Data],M_BOM[PPGridRow],89),0))</f>
        <v/>
      </c>
      <c r="CL57">
        <f>SUMPRODUCT((M_BOM[RM_Code]=$A57)*M_BOM[RM_Qty_Per_Batch]*IFERROR(INDEX(PP_Grid[#Data],M_BOM[PPGridRow],90),0))</f>
        <v/>
      </c>
      <c r="CM57">
        <f>SUMPRODUCT((M_BOM[RM_Code]=$A57)*M_BOM[RM_Qty_Per_Batch]*IFERROR(INDEX(PP_Grid[#Data],M_BOM[PPGridRow],91),0))</f>
        <v/>
      </c>
      <c r="CN57">
        <f>SUMPRODUCT((M_BOM[RM_Code]=$A57)*M_BOM[RM_Qty_Per_Batch]*IFERROR(INDEX(PP_Grid[#Data],M_BOM[PPGridRow],92),0))</f>
        <v/>
      </c>
      <c r="CO57">
        <f>SUMPRODUCT((M_BOM[RM_Code]=$A57)*M_BOM[RM_Qty_Per_Batch]*IFERROR(INDEX(PP_Grid[#Data],M_BOM[PPGridRow],93),0))</f>
        <v/>
      </c>
      <c r="CP57">
        <f>SUMPRODUCT((M_BOM[RM_Code]=$A57)*M_BOM[RM_Qty_Per_Batch]*IFERROR(INDEX(PP_Grid[#Data],M_BOM[PPGridRow],94),0))</f>
        <v/>
      </c>
      <c r="CQ57">
        <f>SUMPRODUCT((M_BOM[RM_Code]=$A57)*M_BOM[RM_Qty_Per_Batch]*IFERROR(INDEX(PP_Grid[#Data],M_BOM[PPGridRow],95),0))</f>
        <v/>
      </c>
      <c r="CR57">
        <f>SUMPRODUCT((M_BOM[RM_Code]=$A57)*M_BOM[RM_Qty_Per_Batch]*IFERROR(INDEX(PP_Grid[#Data],M_BOM[PPGridRow],96),0))</f>
        <v/>
      </c>
      <c r="CS57">
        <f>SUMPRODUCT((M_BOM[RM_Code]=$A57)*M_BOM[RM_Qty_Per_Batch]*IFERROR(INDEX(PP_Grid[#Data],M_BOM[PPGridRow],97),0))</f>
        <v/>
      </c>
      <c r="CT57">
        <f>SUMPRODUCT((M_BOM[RM_Code]=$A57)*M_BOM[RM_Qty_Per_Batch]*IFERROR(INDEX(PP_Grid[#Data],M_BOM[PPGridRow],98),0))</f>
        <v/>
      </c>
      <c r="CU57">
        <f>SUMPRODUCT((M_BOM[RM_Code]=$A57)*M_BOM[RM_Qty_Per_Batch]*IFERROR(INDEX(PP_Grid[#Data],M_BOM[PPGridRow],99),0))</f>
        <v/>
      </c>
      <c r="CV57">
        <f>SUMPRODUCT((M_BOM[RM_Code]=$A57)*M_BOM[RM_Qty_Per_Batch]*IFERROR(INDEX(PP_Grid[#Data],M_BOM[PPGridRow],100),0))</f>
        <v/>
      </c>
      <c r="CW57">
        <f>SUMPRODUCT((M_BOM[RM_Code]=$A57)*M_BOM[RM_Qty_Per_Batch]*IFERROR(INDEX(PP_Grid[#Data],M_BOM[PPGridRow],101),0))</f>
        <v/>
      </c>
      <c r="CX57">
        <f>SUMPRODUCT((M_BOM[RM_Code]=$A57)*M_BOM[RM_Qty_Per_Batch]*IFERROR(INDEX(PP_Grid[#Data],M_BOM[PPGridRow],102),0))</f>
        <v/>
      </c>
      <c r="CY57">
        <f>SUMPRODUCT((M_BOM[RM_Code]=$A57)*M_BOM[RM_Qty_Per_Batch]*IFERROR(INDEX(PP_Grid[#Data],M_BOM[PPGridRow],103),0))</f>
        <v/>
      </c>
      <c r="CZ57">
        <f>SUMPRODUCT((M_BOM[RM_Code]=$A57)*M_BOM[RM_Qty_Per_Batch]*IFERROR(INDEX(PP_Grid[#Data],M_BOM[PPGridRow],104),0))</f>
        <v/>
      </c>
      <c r="DA57">
        <f>SUMPRODUCT((M_BOM[RM_Code]=$A57)*M_BOM[RM_Qty_Per_Batch]*IFERROR(INDEX(PP_Grid[#Data],M_BOM[PPGridRow],105),0))</f>
        <v/>
      </c>
    </row>
    <row r="58">
      <c r="A58" t="inlineStr">
        <is>
          <t>CHEM-1850</t>
        </is>
      </c>
      <c r="B58">
        <f>SUMPRODUCT((M_BOM[RM_Code]=$A58)*M_BOM[RM_Qty_Per_Batch]*IFERROR(INDEX(PP_Grid[#Data],M_BOM[PPGridRow],2),0))</f>
        <v/>
      </c>
      <c r="C58">
        <f>SUMPRODUCT((M_BOM[RM_Code]=$A58)*M_BOM[RM_Qty_Per_Batch]*IFERROR(INDEX(PP_Grid[#Data],M_BOM[PPGridRow],3),0))</f>
        <v/>
      </c>
      <c r="D58">
        <f>SUMPRODUCT((M_BOM[RM_Code]=$A58)*M_BOM[RM_Qty_Per_Batch]*IFERROR(INDEX(PP_Grid[#Data],M_BOM[PPGridRow],4),0))</f>
        <v/>
      </c>
      <c r="E58">
        <f>SUMPRODUCT((M_BOM[RM_Code]=$A58)*M_BOM[RM_Qty_Per_Batch]*IFERROR(INDEX(PP_Grid[#Data],M_BOM[PPGridRow],5),0))</f>
        <v/>
      </c>
      <c r="F58">
        <f>SUMPRODUCT((M_BOM[RM_Code]=$A58)*M_BOM[RM_Qty_Per_Batch]*IFERROR(INDEX(PP_Grid[#Data],M_BOM[PPGridRow],6),0))</f>
        <v/>
      </c>
      <c r="G58">
        <f>SUMPRODUCT((M_BOM[RM_Code]=$A58)*M_BOM[RM_Qty_Per_Batch]*IFERROR(INDEX(PP_Grid[#Data],M_BOM[PPGridRow],7),0))</f>
        <v/>
      </c>
      <c r="H58">
        <f>SUMPRODUCT((M_BOM[RM_Code]=$A58)*M_BOM[RM_Qty_Per_Batch]*IFERROR(INDEX(PP_Grid[#Data],M_BOM[PPGridRow],8),0))</f>
        <v/>
      </c>
      <c r="I58">
        <f>SUMPRODUCT((M_BOM[RM_Code]=$A58)*M_BOM[RM_Qty_Per_Batch]*IFERROR(INDEX(PP_Grid[#Data],M_BOM[PPGridRow],9),0))</f>
        <v/>
      </c>
      <c r="J58">
        <f>SUMPRODUCT((M_BOM[RM_Code]=$A58)*M_BOM[RM_Qty_Per_Batch]*IFERROR(INDEX(PP_Grid[#Data],M_BOM[PPGridRow],10),0))</f>
        <v/>
      </c>
      <c r="K58">
        <f>SUMPRODUCT((M_BOM[RM_Code]=$A58)*M_BOM[RM_Qty_Per_Batch]*IFERROR(INDEX(PP_Grid[#Data],M_BOM[PPGridRow],11),0))</f>
        <v/>
      </c>
      <c r="L58">
        <f>SUMPRODUCT((M_BOM[RM_Code]=$A58)*M_BOM[RM_Qty_Per_Batch]*IFERROR(INDEX(PP_Grid[#Data],M_BOM[PPGridRow],12),0))</f>
        <v/>
      </c>
      <c r="M58">
        <f>SUMPRODUCT((M_BOM[RM_Code]=$A58)*M_BOM[RM_Qty_Per_Batch]*IFERROR(INDEX(PP_Grid[#Data],M_BOM[PPGridRow],13),0))</f>
        <v/>
      </c>
      <c r="N58">
        <f>SUMPRODUCT((M_BOM[RM_Code]=$A58)*M_BOM[RM_Qty_Per_Batch]*IFERROR(INDEX(PP_Grid[#Data],M_BOM[PPGridRow],14),0))</f>
        <v/>
      </c>
      <c r="O58">
        <f>SUMPRODUCT((M_BOM[RM_Code]=$A58)*M_BOM[RM_Qty_Per_Batch]*IFERROR(INDEX(PP_Grid[#Data],M_BOM[PPGridRow],15),0))</f>
        <v/>
      </c>
      <c r="P58">
        <f>SUMPRODUCT((M_BOM[RM_Code]=$A58)*M_BOM[RM_Qty_Per_Batch]*IFERROR(INDEX(PP_Grid[#Data],M_BOM[PPGridRow],16),0))</f>
        <v/>
      </c>
      <c r="Q58">
        <f>SUMPRODUCT((M_BOM[RM_Code]=$A58)*M_BOM[RM_Qty_Per_Batch]*IFERROR(INDEX(PP_Grid[#Data],M_BOM[PPGridRow],17),0))</f>
        <v/>
      </c>
      <c r="R58">
        <f>SUMPRODUCT((M_BOM[RM_Code]=$A58)*M_BOM[RM_Qty_Per_Batch]*IFERROR(INDEX(PP_Grid[#Data],M_BOM[PPGridRow],18),0))</f>
        <v/>
      </c>
      <c r="S58">
        <f>SUMPRODUCT((M_BOM[RM_Code]=$A58)*M_BOM[RM_Qty_Per_Batch]*IFERROR(INDEX(PP_Grid[#Data],M_BOM[PPGridRow],19),0))</f>
        <v/>
      </c>
      <c r="T58">
        <f>SUMPRODUCT((M_BOM[RM_Code]=$A58)*M_BOM[RM_Qty_Per_Batch]*IFERROR(INDEX(PP_Grid[#Data],M_BOM[PPGridRow],20),0))</f>
        <v/>
      </c>
      <c r="U58">
        <f>SUMPRODUCT((M_BOM[RM_Code]=$A58)*M_BOM[RM_Qty_Per_Batch]*IFERROR(INDEX(PP_Grid[#Data],M_BOM[PPGridRow],21),0))</f>
        <v/>
      </c>
      <c r="V58">
        <f>SUMPRODUCT((M_BOM[RM_Code]=$A58)*M_BOM[RM_Qty_Per_Batch]*IFERROR(INDEX(PP_Grid[#Data],M_BOM[PPGridRow],22),0))</f>
        <v/>
      </c>
      <c r="W58">
        <f>SUMPRODUCT((M_BOM[RM_Code]=$A58)*M_BOM[RM_Qty_Per_Batch]*IFERROR(INDEX(PP_Grid[#Data],M_BOM[PPGridRow],23),0))</f>
        <v/>
      </c>
      <c r="X58">
        <f>SUMPRODUCT((M_BOM[RM_Code]=$A58)*M_BOM[RM_Qty_Per_Batch]*IFERROR(INDEX(PP_Grid[#Data],M_BOM[PPGridRow],24),0))</f>
        <v/>
      </c>
      <c r="Y58">
        <f>SUMPRODUCT((M_BOM[RM_Code]=$A58)*M_BOM[RM_Qty_Per_Batch]*IFERROR(INDEX(PP_Grid[#Data],M_BOM[PPGridRow],25),0))</f>
        <v/>
      </c>
      <c r="Z58">
        <f>SUMPRODUCT((M_BOM[RM_Code]=$A58)*M_BOM[RM_Qty_Per_Batch]*IFERROR(INDEX(PP_Grid[#Data],M_BOM[PPGridRow],26),0))</f>
        <v/>
      </c>
      <c r="AA58">
        <f>SUMPRODUCT((M_BOM[RM_Code]=$A58)*M_BOM[RM_Qty_Per_Batch]*IFERROR(INDEX(PP_Grid[#Data],M_BOM[PPGridRow],27),0))</f>
        <v/>
      </c>
      <c r="AB58">
        <f>SUMPRODUCT((M_BOM[RM_Code]=$A58)*M_BOM[RM_Qty_Per_Batch]*IFERROR(INDEX(PP_Grid[#Data],M_BOM[PPGridRow],28),0))</f>
        <v/>
      </c>
      <c r="AC58">
        <f>SUMPRODUCT((M_BOM[RM_Code]=$A58)*M_BOM[RM_Qty_Per_Batch]*IFERROR(INDEX(PP_Grid[#Data],M_BOM[PPGridRow],29),0))</f>
        <v/>
      </c>
      <c r="AD58">
        <f>SUMPRODUCT((M_BOM[RM_Code]=$A58)*M_BOM[RM_Qty_Per_Batch]*IFERROR(INDEX(PP_Grid[#Data],M_BOM[PPGridRow],30),0))</f>
        <v/>
      </c>
      <c r="AE58">
        <f>SUMPRODUCT((M_BOM[RM_Code]=$A58)*M_BOM[RM_Qty_Per_Batch]*IFERROR(INDEX(PP_Grid[#Data],M_BOM[PPGridRow],31),0))</f>
        <v/>
      </c>
      <c r="AF58">
        <f>SUMPRODUCT((M_BOM[RM_Code]=$A58)*M_BOM[RM_Qty_Per_Batch]*IFERROR(INDEX(PP_Grid[#Data],M_BOM[PPGridRow],32),0))</f>
        <v/>
      </c>
      <c r="AG58">
        <f>SUMPRODUCT((M_BOM[RM_Code]=$A58)*M_BOM[RM_Qty_Per_Batch]*IFERROR(INDEX(PP_Grid[#Data],M_BOM[PPGridRow],33),0))</f>
        <v/>
      </c>
      <c r="AH58">
        <f>SUMPRODUCT((M_BOM[RM_Code]=$A58)*M_BOM[RM_Qty_Per_Batch]*IFERROR(INDEX(PP_Grid[#Data],M_BOM[PPGridRow],34),0))</f>
        <v/>
      </c>
      <c r="AI58">
        <f>SUMPRODUCT((M_BOM[RM_Code]=$A58)*M_BOM[RM_Qty_Per_Batch]*IFERROR(INDEX(PP_Grid[#Data],M_BOM[PPGridRow],35),0))</f>
        <v/>
      </c>
      <c r="AJ58">
        <f>SUMPRODUCT((M_BOM[RM_Code]=$A58)*M_BOM[RM_Qty_Per_Batch]*IFERROR(INDEX(PP_Grid[#Data],M_BOM[PPGridRow],36),0))</f>
        <v/>
      </c>
      <c r="AK58">
        <f>SUMPRODUCT((M_BOM[RM_Code]=$A58)*M_BOM[RM_Qty_Per_Batch]*IFERROR(INDEX(PP_Grid[#Data],M_BOM[PPGridRow],37),0))</f>
        <v/>
      </c>
      <c r="AL58">
        <f>SUMPRODUCT((M_BOM[RM_Code]=$A58)*M_BOM[RM_Qty_Per_Batch]*IFERROR(INDEX(PP_Grid[#Data],M_BOM[PPGridRow],38),0))</f>
        <v/>
      </c>
      <c r="AM58">
        <f>SUMPRODUCT((M_BOM[RM_Code]=$A58)*M_BOM[RM_Qty_Per_Batch]*IFERROR(INDEX(PP_Grid[#Data],M_BOM[PPGridRow],39),0))</f>
        <v/>
      </c>
      <c r="AN58">
        <f>SUMPRODUCT((M_BOM[RM_Code]=$A58)*M_BOM[RM_Qty_Per_Batch]*IFERROR(INDEX(PP_Grid[#Data],M_BOM[PPGridRow],40),0))</f>
        <v/>
      </c>
      <c r="AO58">
        <f>SUMPRODUCT((M_BOM[RM_Code]=$A58)*M_BOM[RM_Qty_Per_Batch]*IFERROR(INDEX(PP_Grid[#Data],M_BOM[PPGridRow],41),0))</f>
        <v/>
      </c>
      <c r="AP58">
        <f>SUMPRODUCT((M_BOM[RM_Code]=$A58)*M_BOM[RM_Qty_Per_Batch]*IFERROR(INDEX(PP_Grid[#Data],M_BOM[PPGridRow],42),0))</f>
        <v/>
      </c>
      <c r="AQ58">
        <f>SUMPRODUCT((M_BOM[RM_Code]=$A58)*M_BOM[RM_Qty_Per_Batch]*IFERROR(INDEX(PP_Grid[#Data],M_BOM[PPGridRow],43),0))</f>
        <v/>
      </c>
      <c r="AR58">
        <f>SUMPRODUCT((M_BOM[RM_Code]=$A58)*M_BOM[RM_Qty_Per_Batch]*IFERROR(INDEX(PP_Grid[#Data],M_BOM[PPGridRow],44),0))</f>
        <v/>
      </c>
      <c r="AS58">
        <f>SUMPRODUCT((M_BOM[RM_Code]=$A58)*M_BOM[RM_Qty_Per_Batch]*IFERROR(INDEX(PP_Grid[#Data],M_BOM[PPGridRow],45),0))</f>
        <v/>
      </c>
      <c r="AT58">
        <f>SUMPRODUCT((M_BOM[RM_Code]=$A58)*M_BOM[RM_Qty_Per_Batch]*IFERROR(INDEX(PP_Grid[#Data],M_BOM[PPGridRow],46),0))</f>
        <v/>
      </c>
      <c r="AU58">
        <f>SUMPRODUCT((M_BOM[RM_Code]=$A58)*M_BOM[RM_Qty_Per_Batch]*IFERROR(INDEX(PP_Grid[#Data],M_BOM[PPGridRow],47),0))</f>
        <v/>
      </c>
      <c r="AV58">
        <f>SUMPRODUCT((M_BOM[RM_Code]=$A58)*M_BOM[RM_Qty_Per_Batch]*IFERROR(INDEX(PP_Grid[#Data],M_BOM[PPGridRow],48),0))</f>
        <v/>
      </c>
      <c r="AW58">
        <f>SUMPRODUCT((M_BOM[RM_Code]=$A58)*M_BOM[RM_Qty_Per_Batch]*IFERROR(INDEX(PP_Grid[#Data],M_BOM[PPGridRow],49),0))</f>
        <v/>
      </c>
      <c r="AX58">
        <f>SUMPRODUCT((M_BOM[RM_Code]=$A58)*M_BOM[RM_Qty_Per_Batch]*IFERROR(INDEX(PP_Grid[#Data],M_BOM[PPGridRow],50),0))</f>
        <v/>
      </c>
      <c r="AY58">
        <f>SUMPRODUCT((M_BOM[RM_Code]=$A58)*M_BOM[RM_Qty_Per_Batch]*IFERROR(INDEX(PP_Grid[#Data],M_BOM[PPGridRow],51),0))</f>
        <v/>
      </c>
      <c r="AZ58">
        <f>SUMPRODUCT((M_BOM[RM_Code]=$A58)*M_BOM[RM_Qty_Per_Batch]*IFERROR(INDEX(PP_Grid[#Data],M_BOM[PPGridRow],52),0))</f>
        <v/>
      </c>
      <c r="BA58">
        <f>SUMPRODUCT((M_BOM[RM_Code]=$A58)*M_BOM[RM_Qty_Per_Batch]*IFERROR(INDEX(PP_Grid[#Data],M_BOM[PPGridRow],53),0))</f>
        <v/>
      </c>
      <c r="BB58">
        <f>SUMPRODUCT((M_BOM[RM_Code]=$A58)*M_BOM[RM_Qty_Per_Batch]*IFERROR(INDEX(PP_Grid[#Data],M_BOM[PPGridRow],54),0))</f>
        <v/>
      </c>
      <c r="BC58">
        <f>SUMPRODUCT((M_BOM[RM_Code]=$A58)*M_BOM[RM_Qty_Per_Batch]*IFERROR(INDEX(PP_Grid[#Data],M_BOM[PPGridRow],55),0))</f>
        <v/>
      </c>
      <c r="BD58">
        <f>SUMPRODUCT((M_BOM[RM_Code]=$A58)*M_BOM[RM_Qty_Per_Batch]*IFERROR(INDEX(PP_Grid[#Data],M_BOM[PPGridRow],56),0))</f>
        <v/>
      </c>
      <c r="BE58">
        <f>SUMPRODUCT((M_BOM[RM_Code]=$A58)*M_BOM[RM_Qty_Per_Batch]*IFERROR(INDEX(PP_Grid[#Data],M_BOM[PPGridRow],57),0))</f>
        <v/>
      </c>
      <c r="BF58">
        <f>SUMPRODUCT((M_BOM[RM_Code]=$A58)*M_BOM[RM_Qty_Per_Batch]*IFERROR(INDEX(PP_Grid[#Data],M_BOM[PPGridRow],58),0))</f>
        <v/>
      </c>
      <c r="BG58">
        <f>SUMPRODUCT((M_BOM[RM_Code]=$A58)*M_BOM[RM_Qty_Per_Batch]*IFERROR(INDEX(PP_Grid[#Data],M_BOM[PPGridRow],59),0))</f>
        <v/>
      </c>
      <c r="BH58">
        <f>SUMPRODUCT((M_BOM[RM_Code]=$A58)*M_BOM[RM_Qty_Per_Batch]*IFERROR(INDEX(PP_Grid[#Data],M_BOM[PPGridRow],60),0))</f>
        <v/>
      </c>
      <c r="BI58">
        <f>SUMPRODUCT((M_BOM[RM_Code]=$A58)*M_BOM[RM_Qty_Per_Batch]*IFERROR(INDEX(PP_Grid[#Data],M_BOM[PPGridRow],61),0))</f>
        <v/>
      </c>
      <c r="BJ58">
        <f>SUMPRODUCT((M_BOM[RM_Code]=$A58)*M_BOM[RM_Qty_Per_Batch]*IFERROR(INDEX(PP_Grid[#Data],M_BOM[PPGridRow],62),0))</f>
        <v/>
      </c>
      <c r="BK58">
        <f>SUMPRODUCT((M_BOM[RM_Code]=$A58)*M_BOM[RM_Qty_Per_Batch]*IFERROR(INDEX(PP_Grid[#Data],M_BOM[PPGridRow],63),0))</f>
        <v/>
      </c>
      <c r="BL58">
        <f>SUMPRODUCT((M_BOM[RM_Code]=$A58)*M_BOM[RM_Qty_Per_Batch]*IFERROR(INDEX(PP_Grid[#Data],M_BOM[PPGridRow],64),0))</f>
        <v/>
      </c>
      <c r="BM58">
        <f>SUMPRODUCT((M_BOM[RM_Code]=$A58)*M_BOM[RM_Qty_Per_Batch]*IFERROR(INDEX(PP_Grid[#Data],M_BOM[PPGridRow],65),0))</f>
        <v/>
      </c>
      <c r="BN58">
        <f>SUMPRODUCT((M_BOM[RM_Code]=$A58)*M_BOM[RM_Qty_Per_Batch]*IFERROR(INDEX(PP_Grid[#Data],M_BOM[PPGridRow],66),0))</f>
        <v/>
      </c>
      <c r="BO58">
        <f>SUMPRODUCT((M_BOM[RM_Code]=$A58)*M_BOM[RM_Qty_Per_Batch]*IFERROR(INDEX(PP_Grid[#Data],M_BOM[PPGridRow],67),0))</f>
        <v/>
      </c>
      <c r="BP58">
        <f>SUMPRODUCT((M_BOM[RM_Code]=$A58)*M_BOM[RM_Qty_Per_Batch]*IFERROR(INDEX(PP_Grid[#Data],M_BOM[PPGridRow],68),0))</f>
        <v/>
      </c>
      <c r="BQ58">
        <f>SUMPRODUCT((M_BOM[RM_Code]=$A58)*M_BOM[RM_Qty_Per_Batch]*IFERROR(INDEX(PP_Grid[#Data],M_BOM[PPGridRow],69),0))</f>
        <v/>
      </c>
      <c r="BR58">
        <f>SUMPRODUCT((M_BOM[RM_Code]=$A58)*M_BOM[RM_Qty_Per_Batch]*IFERROR(INDEX(PP_Grid[#Data],M_BOM[PPGridRow],70),0))</f>
        <v/>
      </c>
      <c r="BS58">
        <f>SUMPRODUCT((M_BOM[RM_Code]=$A58)*M_BOM[RM_Qty_Per_Batch]*IFERROR(INDEX(PP_Grid[#Data],M_BOM[PPGridRow],71),0))</f>
        <v/>
      </c>
      <c r="BT58">
        <f>SUMPRODUCT((M_BOM[RM_Code]=$A58)*M_BOM[RM_Qty_Per_Batch]*IFERROR(INDEX(PP_Grid[#Data],M_BOM[PPGridRow],72),0))</f>
        <v/>
      </c>
      <c r="BU58">
        <f>SUMPRODUCT((M_BOM[RM_Code]=$A58)*M_BOM[RM_Qty_Per_Batch]*IFERROR(INDEX(PP_Grid[#Data],M_BOM[PPGridRow],73),0))</f>
        <v/>
      </c>
      <c r="BV58">
        <f>SUMPRODUCT((M_BOM[RM_Code]=$A58)*M_BOM[RM_Qty_Per_Batch]*IFERROR(INDEX(PP_Grid[#Data],M_BOM[PPGridRow],74),0))</f>
        <v/>
      </c>
      <c r="BW58">
        <f>SUMPRODUCT((M_BOM[RM_Code]=$A58)*M_BOM[RM_Qty_Per_Batch]*IFERROR(INDEX(PP_Grid[#Data],M_BOM[PPGridRow],75),0))</f>
        <v/>
      </c>
      <c r="BX58">
        <f>SUMPRODUCT((M_BOM[RM_Code]=$A58)*M_BOM[RM_Qty_Per_Batch]*IFERROR(INDEX(PP_Grid[#Data],M_BOM[PPGridRow],76),0))</f>
        <v/>
      </c>
      <c r="BY58">
        <f>SUMPRODUCT((M_BOM[RM_Code]=$A58)*M_BOM[RM_Qty_Per_Batch]*IFERROR(INDEX(PP_Grid[#Data],M_BOM[PPGridRow],77),0))</f>
        <v/>
      </c>
      <c r="BZ58">
        <f>SUMPRODUCT((M_BOM[RM_Code]=$A58)*M_BOM[RM_Qty_Per_Batch]*IFERROR(INDEX(PP_Grid[#Data],M_BOM[PPGridRow],78),0))</f>
        <v/>
      </c>
      <c r="CA58">
        <f>SUMPRODUCT((M_BOM[RM_Code]=$A58)*M_BOM[RM_Qty_Per_Batch]*IFERROR(INDEX(PP_Grid[#Data],M_BOM[PPGridRow],79),0))</f>
        <v/>
      </c>
      <c r="CB58">
        <f>SUMPRODUCT((M_BOM[RM_Code]=$A58)*M_BOM[RM_Qty_Per_Batch]*IFERROR(INDEX(PP_Grid[#Data],M_BOM[PPGridRow],80),0))</f>
        <v/>
      </c>
      <c r="CC58">
        <f>SUMPRODUCT((M_BOM[RM_Code]=$A58)*M_BOM[RM_Qty_Per_Batch]*IFERROR(INDEX(PP_Grid[#Data],M_BOM[PPGridRow],81),0))</f>
        <v/>
      </c>
      <c r="CD58">
        <f>SUMPRODUCT((M_BOM[RM_Code]=$A58)*M_BOM[RM_Qty_Per_Batch]*IFERROR(INDEX(PP_Grid[#Data],M_BOM[PPGridRow],82),0))</f>
        <v/>
      </c>
      <c r="CE58">
        <f>SUMPRODUCT((M_BOM[RM_Code]=$A58)*M_BOM[RM_Qty_Per_Batch]*IFERROR(INDEX(PP_Grid[#Data],M_BOM[PPGridRow],83),0))</f>
        <v/>
      </c>
      <c r="CF58">
        <f>SUMPRODUCT((M_BOM[RM_Code]=$A58)*M_BOM[RM_Qty_Per_Batch]*IFERROR(INDEX(PP_Grid[#Data],M_BOM[PPGridRow],84),0))</f>
        <v/>
      </c>
      <c r="CG58">
        <f>SUMPRODUCT((M_BOM[RM_Code]=$A58)*M_BOM[RM_Qty_Per_Batch]*IFERROR(INDEX(PP_Grid[#Data],M_BOM[PPGridRow],85),0))</f>
        <v/>
      </c>
      <c r="CH58">
        <f>SUMPRODUCT((M_BOM[RM_Code]=$A58)*M_BOM[RM_Qty_Per_Batch]*IFERROR(INDEX(PP_Grid[#Data],M_BOM[PPGridRow],86),0))</f>
        <v/>
      </c>
      <c r="CI58">
        <f>SUMPRODUCT((M_BOM[RM_Code]=$A58)*M_BOM[RM_Qty_Per_Batch]*IFERROR(INDEX(PP_Grid[#Data],M_BOM[PPGridRow],87),0))</f>
        <v/>
      </c>
      <c r="CJ58">
        <f>SUMPRODUCT((M_BOM[RM_Code]=$A58)*M_BOM[RM_Qty_Per_Batch]*IFERROR(INDEX(PP_Grid[#Data],M_BOM[PPGridRow],88),0))</f>
        <v/>
      </c>
      <c r="CK58">
        <f>SUMPRODUCT((M_BOM[RM_Code]=$A58)*M_BOM[RM_Qty_Per_Batch]*IFERROR(INDEX(PP_Grid[#Data],M_BOM[PPGridRow],89),0))</f>
        <v/>
      </c>
      <c r="CL58">
        <f>SUMPRODUCT((M_BOM[RM_Code]=$A58)*M_BOM[RM_Qty_Per_Batch]*IFERROR(INDEX(PP_Grid[#Data],M_BOM[PPGridRow],90),0))</f>
        <v/>
      </c>
      <c r="CM58">
        <f>SUMPRODUCT((M_BOM[RM_Code]=$A58)*M_BOM[RM_Qty_Per_Batch]*IFERROR(INDEX(PP_Grid[#Data],M_BOM[PPGridRow],91),0))</f>
        <v/>
      </c>
      <c r="CN58">
        <f>SUMPRODUCT((M_BOM[RM_Code]=$A58)*M_BOM[RM_Qty_Per_Batch]*IFERROR(INDEX(PP_Grid[#Data],M_BOM[PPGridRow],92),0))</f>
        <v/>
      </c>
      <c r="CO58">
        <f>SUMPRODUCT((M_BOM[RM_Code]=$A58)*M_BOM[RM_Qty_Per_Batch]*IFERROR(INDEX(PP_Grid[#Data],M_BOM[PPGridRow],93),0))</f>
        <v/>
      </c>
      <c r="CP58">
        <f>SUMPRODUCT((M_BOM[RM_Code]=$A58)*M_BOM[RM_Qty_Per_Batch]*IFERROR(INDEX(PP_Grid[#Data],M_BOM[PPGridRow],94),0))</f>
        <v/>
      </c>
      <c r="CQ58">
        <f>SUMPRODUCT((M_BOM[RM_Code]=$A58)*M_BOM[RM_Qty_Per_Batch]*IFERROR(INDEX(PP_Grid[#Data],M_BOM[PPGridRow],95),0))</f>
        <v/>
      </c>
      <c r="CR58">
        <f>SUMPRODUCT((M_BOM[RM_Code]=$A58)*M_BOM[RM_Qty_Per_Batch]*IFERROR(INDEX(PP_Grid[#Data],M_BOM[PPGridRow],96),0))</f>
        <v/>
      </c>
      <c r="CS58">
        <f>SUMPRODUCT((M_BOM[RM_Code]=$A58)*M_BOM[RM_Qty_Per_Batch]*IFERROR(INDEX(PP_Grid[#Data],M_BOM[PPGridRow],97),0))</f>
        <v/>
      </c>
      <c r="CT58">
        <f>SUMPRODUCT((M_BOM[RM_Code]=$A58)*M_BOM[RM_Qty_Per_Batch]*IFERROR(INDEX(PP_Grid[#Data],M_BOM[PPGridRow],98),0))</f>
        <v/>
      </c>
      <c r="CU58">
        <f>SUMPRODUCT((M_BOM[RM_Code]=$A58)*M_BOM[RM_Qty_Per_Batch]*IFERROR(INDEX(PP_Grid[#Data],M_BOM[PPGridRow],99),0))</f>
        <v/>
      </c>
      <c r="CV58">
        <f>SUMPRODUCT((M_BOM[RM_Code]=$A58)*M_BOM[RM_Qty_Per_Batch]*IFERROR(INDEX(PP_Grid[#Data],M_BOM[PPGridRow],100),0))</f>
        <v/>
      </c>
      <c r="CW58">
        <f>SUMPRODUCT((M_BOM[RM_Code]=$A58)*M_BOM[RM_Qty_Per_Batch]*IFERROR(INDEX(PP_Grid[#Data],M_BOM[PPGridRow],101),0))</f>
        <v/>
      </c>
      <c r="CX58">
        <f>SUMPRODUCT((M_BOM[RM_Code]=$A58)*M_BOM[RM_Qty_Per_Batch]*IFERROR(INDEX(PP_Grid[#Data],M_BOM[PPGridRow],102),0))</f>
        <v/>
      </c>
      <c r="CY58">
        <f>SUMPRODUCT((M_BOM[RM_Code]=$A58)*M_BOM[RM_Qty_Per_Batch]*IFERROR(INDEX(PP_Grid[#Data],M_BOM[PPGridRow],103),0))</f>
        <v/>
      </c>
      <c r="CZ58">
        <f>SUMPRODUCT((M_BOM[RM_Code]=$A58)*M_BOM[RM_Qty_Per_Batch]*IFERROR(INDEX(PP_Grid[#Data],M_BOM[PPGridRow],104),0))</f>
        <v/>
      </c>
      <c r="DA58">
        <f>SUMPRODUCT((M_BOM[RM_Code]=$A58)*M_BOM[RM_Qty_Per_Batch]*IFERROR(INDEX(PP_Grid[#Data],M_BOM[PPGridRow],105),0))</f>
        <v/>
      </c>
    </row>
    <row r="59">
      <c r="A59" t="inlineStr">
        <is>
          <t>CHEM-1780</t>
        </is>
      </c>
      <c r="B59">
        <f>SUMPRODUCT((M_BOM[RM_Code]=$A59)*M_BOM[RM_Qty_Per_Batch]*IFERROR(INDEX(PP_Grid[#Data],M_BOM[PPGridRow],2),0))</f>
        <v/>
      </c>
      <c r="C59">
        <f>SUMPRODUCT((M_BOM[RM_Code]=$A59)*M_BOM[RM_Qty_Per_Batch]*IFERROR(INDEX(PP_Grid[#Data],M_BOM[PPGridRow],3),0))</f>
        <v/>
      </c>
      <c r="D59">
        <f>SUMPRODUCT((M_BOM[RM_Code]=$A59)*M_BOM[RM_Qty_Per_Batch]*IFERROR(INDEX(PP_Grid[#Data],M_BOM[PPGridRow],4),0))</f>
        <v/>
      </c>
      <c r="E59">
        <f>SUMPRODUCT((M_BOM[RM_Code]=$A59)*M_BOM[RM_Qty_Per_Batch]*IFERROR(INDEX(PP_Grid[#Data],M_BOM[PPGridRow],5),0))</f>
        <v/>
      </c>
      <c r="F59">
        <f>SUMPRODUCT((M_BOM[RM_Code]=$A59)*M_BOM[RM_Qty_Per_Batch]*IFERROR(INDEX(PP_Grid[#Data],M_BOM[PPGridRow],6),0))</f>
        <v/>
      </c>
      <c r="G59">
        <f>SUMPRODUCT((M_BOM[RM_Code]=$A59)*M_BOM[RM_Qty_Per_Batch]*IFERROR(INDEX(PP_Grid[#Data],M_BOM[PPGridRow],7),0))</f>
        <v/>
      </c>
      <c r="H59">
        <f>SUMPRODUCT((M_BOM[RM_Code]=$A59)*M_BOM[RM_Qty_Per_Batch]*IFERROR(INDEX(PP_Grid[#Data],M_BOM[PPGridRow],8),0))</f>
        <v/>
      </c>
      <c r="I59">
        <f>SUMPRODUCT((M_BOM[RM_Code]=$A59)*M_BOM[RM_Qty_Per_Batch]*IFERROR(INDEX(PP_Grid[#Data],M_BOM[PPGridRow],9),0))</f>
        <v/>
      </c>
      <c r="J59">
        <f>SUMPRODUCT((M_BOM[RM_Code]=$A59)*M_BOM[RM_Qty_Per_Batch]*IFERROR(INDEX(PP_Grid[#Data],M_BOM[PPGridRow],10),0))</f>
        <v/>
      </c>
      <c r="K59">
        <f>SUMPRODUCT((M_BOM[RM_Code]=$A59)*M_BOM[RM_Qty_Per_Batch]*IFERROR(INDEX(PP_Grid[#Data],M_BOM[PPGridRow],11),0))</f>
        <v/>
      </c>
      <c r="L59">
        <f>SUMPRODUCT((M_BOM[RM_Code]=$A59)*M_BOM[RM_Qty_Per_Batch]*IFERROR(INDEX(PP_Grid[#Data],M_BOM[PPGridRow],12),0))</f>
        <v/>
      </c>
      <c r="M59">
        <f>SUMPRODUCT((M_BOM[RM_Code]=$A59)*M_BOM[RM_Qty_Per_Batch]*IFERROR(INDEX(PP_Grid[#Data],M_BOM[PPGridRow],13),0))</f>
        <v/>
      </c>
      <c r="N59">
        <f>SUMPRODUCT((M_BOM[RM_Code]=$A59)*M_BOM[RM_Qty_Per_Batch]*IFERROR(INDEX(PP_Grid[#Data],M_BOM[PPGridRow],14),0))</f>
        <v/>
      </c>
      <c r="O59">
        <f>SUMPRODUCT((M_BOM[RM_Code]=$A59)*M_BOM[RM_Qty_Per_Batch]*IFERROR(INDEX(PP_Grid[#Data],M_BOM[PPGridRow],15),0))</f>
        <v/>
      </c>
      <c r="P59">
        <f>SUMPRODUCT((M_BOM[RM_Code]=$A59)*M_BOM[RM_Qty_Per_Batch]*IFERROR(INDEX(PP_Grid[#Data],M_BOM[PPGridRow],16),0))</f>
        <v/>
      </c>
      <c r="Q59">
        <f>SUMPRODUCT((M_BOM[RM_Code]=$A59)*M_BOM[RM_Qty_Per_Batch]*IFERROR(INDEX(PP_Grid[#Data],M_BOM[PPGridRow],17),0))</f>
        <v/>
      </c>
      <c r="R59">
        <f>SUMPRODUCT((M_BOM[RM_Code]=$A59)*M_BOM[RM_Qty_Per_Batch]*IFERROR(INDEX(PP_Grid[#Data],M_BOM[PPGridRow],18),0))</f>
        <v/>
      </c>
      <c r="S59">
        <f>SUMPRODUCT((M_BOM[RM_Code]=$A59)*M_BOM[RM_Qty_Per_Batch]*IFERROR(INDEX(PP_Grid[#Data],M_BOM[PPGridRow],19),0))</f>
        <v/>
      </c>
      <c r="T59">
        <f>SUMPRODUCT((M_BOM[RM_Code]=$A59)*M_BOM[RM_Qty_Per_Batch]*IFERROR(INDEX(PP_Grid[#Data],M_BOM[PPGridRow],20),0))</f>
        <v/>
      </c>
      <c r="U59">
        <f>SUMPRODUCT((M_BOM[RM_Code]=$A59)*M_BOM[RM_Qty_Per_Batch]*IFERROR(INDEX(PP_Grid[#Data],M_BOM[PPGridRow],21),0))</f>
        <v/>
      </c>
      <c r="V59">
        <f>SUMPRODUCT((M_BOM[RM_Code]=$A59)*M_BOM[RM_Qty_Per_Batch]*IFERROR(INDEX(PP_Grid[#Data],M_BOM[PPGridRow],22),0))</f>
        <v/>
      </c>
      <c r="W59">
        <f>SUMPRODUCT((M_BOM[RM_Code]=$A59)*M_BOM[RM_Qty_Per_Batch]*IFERROR(INDEX(PP_Grid[#Data],M_BOM[PPGridRow],23),0))</f>
        <v/>
      </c>
      <c r="X59">
        <f>SUMPRODUCT((M_BOM[RM_Code]=$A59)*M_BOM[RM_Qty_Per_Batch]*IFERROR(INDEX(PP_Grid[#Data],M_BOM[PPGridRow],24),0))</f>
        <v/>
      </c>
      <c r="Y59">
        <f>SUMPRODUCT((M_BOM[RM_Code]=$A59)*M_BOM[RM_Qty_Per_Batch]*IFERROR(INDEX(PP_Grid[#Data],M_BOM[PPGridRow],25),0))</f>
        <v/>
      </c>
      <c r="Z59">
        <f>SUMPRODUCT((M_BOM[RM_Code]=$A59)*M_BOM[RM_Qty_Per_Batch]*IFERROR(INDEX(PP_Grid[#Data],M_BOM[PPGridRow],26),0))</f>
        <v/>
      </c>
      <c r="AA59">
        <f>SUMPRODUCT((M_BOM[RM_Code]=$A59)*M_BOM[RM_Qty_Per_Batch]*IFERROR(INDEX(PP_Grid[#Data],M_BOM[PPGridRow],27),0))</f>
        <v/>
      </c>
      <c r="AB59">
        <f>SUMPRODUCT((M_BOM[RM_Code]=$A59)*M_BOM[RM_Qty_Per_Batch]*IFERROR(INDEX(PP_Grid[#Data],M_BOM[PPGridRow],28),0))</f>
        <v/>
      </c>
      <c r="AC59">
        <f>SUMPRODUCT((M_BOM[RM_Code]=$A59)*M_BOM[RM_Qty_Per_Batch]*IFERROR(INDEX(PP_Grid[#Data],M_BOM[PPGridRow],29),0))</f>
        <v/>
      </c>
      <c r="AD59">
        <f>SUMPRODUCT((M_BOM[RM_Code]=$A59)*M_BOM[RM_Qty_Per_Batch]*IFERROR(INDEX(PP_Grid[#Data],M_BOM[PPGridRow],30),0))</f>
        <v/>
      </c>
      <c r="AE59">
        <f>SUMPRODUCT((M_BOM[RM_Code]=$A59)*M_BOM[RM_Qty_Per_Batch]*IFERROR(INDEX(PP_Grid[#Data],M_BOM[PPGridRow],31),0))</f>
        <v/>
      </c>
      <c r="AF59">
        <f>SUMPRODUCT((M_BOM[RM_Code]=$A59)*M_BOM[RM_Qty_Per_Batch]*IFERROR(INDEX(PP_Grid[#Data],M_BOM[PPGridRow],32),0))</f>
        <v/>
      </c>
      <c r="AG59">
        <f>SUMPRODUCT((M_BOM[RM_Code]=$A59)*M_BOM[RM_Qty_Per_Batch]*IFERROR(INDEX(PP_Grid[#Data],M_BOM[PPGridRow],33),0))</f>
        <v/>
      </c>
      <c r="AH59">
        <f>SUMPRODUCT((M_BOM[RM_Code]=$A59)*M_BOM[RM_Qty_Per_Batch]*IFERROR(INDEX(PP_Grid[#Data],M_BOM[PPGridRow],34),0))</f>
        <v/>
      </c>
      <c r="AI59">
        <f>SUMPRODUCT((M_BOM[RM_Code]=$A59)*M_BOM[RM_Qty_Per_Batch]*IFERROR(INDEX(PP_Grid[#Data],M_BOM[PPGridRow],35),0))</f>
        <v/>
      </c>
      <c r="AJ59">
        <f>SUMPRODUCT((M_BOM[RM_Code]=$A59)*M_BOM[RM_Qty_Per_Batch]*IFERROR(INDEX(PP_Grid[#Data],M_BOM[PPGridRow],36),0))</f>
        <v/>
      </c>
      <c r="AK59">
        <f>SUMPRODUCT((M_BOM[RM_Code]=$A59)*M_BOM[RM_Qty_Per_Batch]*IFERROR(INDEX(PP_Grid[#Data],M_BOM[PPGridRow],37),0))</f>
        <v/>
      </c>
      <c r="AL59">
        <f>SUMPRODUCT((M_BOM[RM_Code]=$A59)*M_BOM[RM_Qty_Per_Batch]*IFERROR(INDEX(PP_Grid[#Data],M_BOM[PPGridRow],38),0))</f>
        <v/>
      </c>
      <c r="AM59">
        <f>SUMPRODUCT((M_BOM[RM_Code]=$A59)*M_BOM[RM_Qty_Per_Batch]*IFERROR(INDEX(PP_Grid[#Data],M_BOM[PPGridRow],39),0))</f>
        <v/>
      </c>
      <c r="AN59">
        <f>SUMPRODUCT((M_BOM[RM_Code]=$A59)*M_BOM[RM_Qty_Per_Batch]*IFERROR(INDEX(PP_Grid[#Data],M_BOM[PPGridRow],40),0))</f>
        <v/>
      </c>
      <c r="AO59">
        <f>SUMPRODUCT((M_BOM[RM_Code]=$A59)*M_BOM[RM_Qty_Per_Batch]*IFERROR(INDEX(PP_Grid[#Data],M_BOM[PPGridRow],41),0))</f>
        <v/>
      </c>
      <c r="AP59">
        <f>SUMPRODUCT((M_BOM[RM_Code]=$A59)*M_BOM[RM_Qty_Per_Batch]*IFERROR(INDEX(PP_Grid[#Data],M_BOM[PPGridRow],42),0))</f>
        <v/>
      </c>
      <c r="AQ59">
        <f>SUMPRODUCT((M_BOM[RM_Code]=$A59)*M_BOM[RM_Qty_Per_Batch]*IFERROR(INDEX(PP_Grid[#Data],M_BOM[PPGridRow],43),0))</f>
        <v/>
      </c>
      <c r="AR59">
        <f>SUMPRODUCT((M_BOM[RM_Code]=$A59)*M_BOM[RM_Qty_Per_Batch]*IFERROR(INDEX(PP_Grid[#Data],M_BOM[PPGridRow],44),0))</f>
        <v/>
      </c>
      <c r="AS59">
        <f>SUMPRODUCT((M_BOM[RM_Code]=$A59)*M_BOM[RM_Qty_Per_Batch]*IFERROR(INDEX(PP_Grid[#Data],M_BOM[PPGridRow],45),0))</f>
        <v/>
      </c>
      <c r="AT59">
        <f>SUMPRODUCT((M_BOM[RM_Code]=$A59)*M_BOM[RM_Qty_Per_Batch]*IFERROR(INDEX(PP_Grid[#Data],M_BOM[PPGridRow],46),0))</f>
        <v/>
      </c>
      <c r="AU59">
        <f>SUMPRODUCT((M_BOM[RM_Code]=$A59)*M_BOM[RM_Qty_Per_Batch]*IFERROR(INDEX(PP_Grid[#Data],M_BOM[PPGridRow],47),0))</f>
        <v/>
      </c>
      <c r="AV59">
        <f>SUMPRODUCT((M_BOM[RM_Code]=$A59)*M_BOM[RM_Qty_Per_Batch]*IFERROR(INDEX(PP_Grid[#Data],M_BOM[PPGridRow],48),0))</f>
        <v/>
      </c>
      <c r="AW59">
        <f>SUMPRODUCT((M_BOM[RM_Code]=$A59)*M_BOM[RM_Qty_Per_Batch]*IFERROR(INDEX(PP_Grid[#Data],M_BOM[PPGridRow],49),0))</f>
        <v/>
      </c>
      <c r="AX59">
        <f>SUMPRODUCT((M_BOM[RM_Code]=$A59)*M_BOM[RM_Qty_Per_Batch]*IFERROR(INDEX(PP_Grid[#Data],M_BOM[PPGridRow],50),0))</f>
        <v/>
      </c>
      <c r="AY59">
        <f>SUMPRODUCT((M_BOM[RM_Code]=$A59)*M_BOM[RM_Qty_Per_Batch]*IFERROR(INDEX(PP_Grid[#Data],M_BOM[PPGridRow],51),0))</f>
        <v/>
      </c>
      <c r="AZ59">
        <f>SUMPRODUCT((M_BOM[RM_Code]=$A59)*M_BOM[RM_Qty_Per_Batch]*IFERROR(INDEX(PP_Grid[#Data],M_BOM[PPGridRow],52),0))</f>
        <v/>
      </c>
      <c r="BA59">
        <f>SUMPRODUCT((M_BOM[RM_Code]=$A59)*M_BOM[RM_Qty_Per_Batch]*IFERROR(INDEX(PP_Grid[#Data],M_BOM[PPGridRow],53),0))</f>
        <v/>
      </c>
      <c r="BB59">
        <f>SUMPRODUCT((M_BOM[RM_Code]=$A59)*M_BOM[RM_Qty_Per_Batch]*IFERROR(INDEX(PP_Grid[#Data],M_BOM[PPGridRow],54),0))</f>
        <v/>
      </c>
      <c r="BC59">
        <f>SUMPRODUCT((M_BOM[RM_Code]=$A59)*M_BOM[RM_Qty_Per_Batch]*IFERROR(INDEX(PP_Grid[#Data],M_BOM[PPGridRow],55),0))</f>
        <v/>
      </c>
      <c r="BD59">
        <f>SUMPRODUCT((M_BOM[RM_Code]=$A59)*M_BOM[RM_Qty_Per_Batch]*IFERROR(INDEX(PP_Grid[#Data],M_BOM[PPGridRow],56),0))</f>
        <v/>
      </c>
      <c r="BE59">
        <f>SUMPRODUCT((M_BOM[RM_Code]=$A59)*M_BOM[RM_Qty_Per_Batch]*IFERROR(INDEX(PP_Grid[#Data],M_BOM[PPGridRow],57),0))</f>
        <v/>
      </c>
      <c r="BF59">
        <f>SUMPRODUCT((M_BOM[RM_Code]=$A59)*M_BOM[RM_Qty_Per_Batch]*IFERROR(INDEX(PP_Grid[#Data],M_BOM[PPGridRow],58),0))</f>
        <v/>
      </c>
      <c r="BG59">
        <f>SUMPRODUCT((M_BOM[RM_Code]=$A59)*M_BOM[RM_Qty_Per_Batch]*IFERROR(INDEX(PP_Grid[#Data],M_BOM[PPGridRow],59),0))</f>
        <v/>
      </c>
      <c r="BH59">
        <f>SUMPRODUCT((M_BOM[RM_Code]=$A59)*M_BOM[RM_Qty_Per_Batch]*IFERROR(INDEX(PP_Grid[#Data],M_BOM[PPGridRow],60),0))</f>
        <v/>
      </c>
      <c r="BI59">
        <f>SUMPRODUCT((M_BOM[RM_Code]=$A59)*M_BOM[RM_Qty_Per_Batch]*IFERROR(INDEX(PP_Grid[#Data],M_BOM[PPGridRow],61),0))</f>
        <v/>
      </c>
      <c r="BJ59">
        <f>SUMPRODUCT((M_BOM[RM_Code]=$A59)*M_BOM[RM_Qty_Per_Batch]*IFERROR(INDEX(PP_Grid[#Data],M_BOM[PPGridRow],62),0))</f>
        <v/>
      </c>
      <c r="BK59">
        <f>SUMPRODUCT((M_BOM[RM_Code]=$A59)*M_BOM[RM_Qty_Per_Batch]*IFERROR(INDEX(PP_Grid[#Data],M_BOM[PPGridRow],63),0))</f>
        <v/>
      </c>
      <c r="BL59">
        <f>SUMPRODUCT((M_BOM[RM_Code]=$A59)*M_BOM[RM_Qty_Per_Batch]*IFERROR(INDEX(PP_Grid[#Data],M_BOM[PPGridRow],64),0))</f>
        <v/>
      </c>
      <c r="BM59">
        <f>SUMPRODUCT((M_BOM[RM_Code]=$A59)*M_BOM[RM_Qty_Per_Batch]*IFERROR(INDEX(PP_Grid[#Data],M_BOM[PPGridRow],65),0))</f>
        <v/>
      </c>
      <c r="BN59">
        <f>SUMPRODUCT((M_BOM[RM_Code]=$A59)*M_BOM[RM_Qty_Per_Batch]*IFERROR(INDEX(PP_Grid[#Data],M_BOM[PPGridRow],66),0))</f>
        <v/>
      </c>
      <c r="BO59">
        <f>SUMPRODUCT((M_BOM[RM_Code]=$A59)*M_BOM[RM_Qty_Per_Batch]*IFERROR(INDEX(PP_Grid[#Data],M_BOM[PPGridRow],67),0))</f>
        <v/>
      </c>
      <c r="BP59">
        <f>SUMPRODUCT((M_BOM[RM_Code]=$A59)*M_BOM[RM_Qty_Per_Batch]*IFERROR(INDEX(PP_Grid[#Data],M_BOM[PPGridRow],68),0))</f>
        <v/>
      </c>
      <c r="BQ59">
        <f>SUMPRODUCT((M_BOM[RM_Code]=$A59)*M_BOM[RM_Qty_Per_Batch]*IFERROR(INDEX(PP_Grid[#Data],M_BOM[PPGridRow],69),0))</f>
        <v/>
      </c>
      <c r="BR59">
        <f>SUMPRODUCT((M_BOM[RM_Code]=$A59)*M_BOM[RM_Qty_Per_Batch]*IFERROR(INDEX(PP_Grid[#Data],M_BOM[PPGridRow],70),0))</f>
        <v/>
      </c>
      <c r="BS59">
        <f>SUMPRODUCT((M_BOM[RM_Code]=$A59)*M_BOM[RM_Qty_Per_Batch]*IFERROR(INDEX(PP_Grid[#Data],M_BOM[PPGridRow],71),0))</f>
        <v/>
      </c>
      <c r="BT59">
        <f>SUMPRODUCT((M_BOM[RM_Code]=$A59)*M_BOM[RM_Qty_Per_Batch]*IFERROR(INDEX(PP_Grid[#Data],M_BOM[PPGridRow],72),0))</f>
        <v/>
      </c>
      <c r="BU59">
        <f>SUMPRODUCT((M_BOM[RM_Code]=$A59)*M_BOM[RM_Qty_Per_Batch]*IFERROR(INDEX(PP_Grid[#Data],M_BOM[PPGridRow],73),0))</f>
        <v/>
      </c>
      <c r="BV59">
        <f>SUMPRODUCT((M_BOM[RM_Code]=$A59)*M_BOM[RM_Qty_Per_Batch]*IFERROR(INDEX(PP_Grid[#Data],M_BOM[PPGridRow],74),0))</f>
        <v/>
      </c>
      <c r="BW59">
        <f>SUMPRODUCT((M_BOM[RM_Code]=$A59)*M_BOM[RM_Qty_Per_Batch]*IFERROR(INDEX(PP_Grid[#Data],M_BOM[PPGridRow],75),0))</f>
        <v/>
      </c>
      <c r="BX59">
        <f>SUMPRODUCT((M_BOM[RM_Code]=$A59)*M_BOM[RM_Qty_Per_Batch]*IFERROR(INDEX(PP_Grid[#Data],M_BOM[PPGridRow],76),0))</f>
        <v/>
      </c>
      <c r="BY59">
        <f>SUMPRODUCT((M_BOM[RM_Code]=$A59)*M_BOM[RM_Qty_Per_Batch]*IFERROR(INDEX(PP_Grid[#Data],M_BOM[PPGridRow],77),0))</f>
        <v/>
      </c>
      <c r="BZ59">
        <f>SUMPRODUCT((M_BOM[RM_Code]=$A59)*M_BOM[RM_Qty_Per_Batch]*IFERROR(INDEX(PP_Grid[#Data],M_BOM[PPGridRow],78),0))</f>
        <v/>
      </c>
      <c r="CA59">
        <f>SUMPRODUCT((M_BOM[RM_Code]=$A59)*M_BOM[RM_Qty_Per_Batch]*IFERROR(INDEX(PP_Grid[#Data],M_BOM[PPGridRow],79),0))</f>
        <v/>
      </c>
      <c r="CB59">
        <f>SUMPRODUCT((M_BOM[RM_Code]=$A59)*M_BOM[RM_Qty_Per_Batch]*IFERROR(INDEX(PP_Grid[#Data],M_BOM[PPGridRow],80),0))</f>
        <v/>
      </c>
      <c r="CC59">
        <f>SUMPRODUCT((M_BOM[RM_Code]=$A59)*M_BOM[RM_Qty_Per_Batch]*IFERROR(INDEX(PP_Grid[#Data],M_BOM[PPGridRow],81),0))</f>
        <v/>
      </c>
      <c r="CD59">
        <f>SUMPRODUCT((M_BOM[RM_Code]=$A59)*M_BOM[RM_Qty_Per_Batch]*IFERROR(INDEX(PP_Grid[#Data],M_BOM[PPGridRow],82),0))</f>
        <v/>
      </c>
      <c r="CE59">
        <f>SUMPRODUCT((M_BOM[RM_Code]=$A59)*M_BOM[RM_Qty_Per_Batch]*IFERROR(INDEX(PP_Grid[#Data],M_BOM[PPGridRow],83),0))</f>
        <v/>
      </c>
      <c r="CF59">
        <f>SUMPRODUCT((M_BOM[RM_Code]=$A59)*M_BOM[RM_Qty_Per_Batch]*IFERROR(INDEX(PP_Grid[#Data],M_BOM[PPGridRow],84),0))</f>
        <v/>
      </c>
      <c r="CG59">
        <f>SUMPRODUCT((M_BOM[RM_Code]=$A59)*M_BOM[RM_Qty_Per_Batch]*IFERROR(INDEX(PP_Grid[#Data],M_BOM[PPGridRow],85),0))</f>
        <v/>
      </c>
      <c r="CH59">
        <f>SUMPRODUCT((M_BOM[RM_Code]=$A59)*M_BOM[RM_Qty_Per_Batch]*IFERROR(INDEX(PP_Grid[#Data],M_BOM[PPGridRow],86),0))</f>
        <v/>
      </c>
      <c r="CI59">
        <f>SUMPRODUCT((M_BOM[RM_Code]=$A59)*M_BOM[RM_Qty_Per_Batch]*IFERROR(INDEX(PP_Grid[#Data],M_BOM[PPGridRow],87),0))</f>
        <v/>
      </c>
      <c r="CJ59">
        <f>SUMPRODUCT((M_BOM[RM_Code]=$A59)*M_BOM[RM_Qty_Per_Batch]*IFERROR(INDEX(PP_Grid[#Data],M_BOM[PPGridRow],88),0))</f>
        <v/>
      </c>
      <c r="CK59">
        <f>SUMPRODUCT((M_BOM[RM_Code]=$A59)*M_BOM[RM_Qty_Per_Batch]*IFERROR(INDEX(PP_Grid[#Data],M_BOM[PPGridRow],89),0))</f>
        <v/>
      </c>
      <c r="CL59">
        <f>SUMPRODUCT((M_BOM[RM_Code]=$A59)*M_BOM[RM_Qty_Per_Batch]*IFERROR(INDEX(PP_Grid[#Data],M_BOM[PPGridRow],90),0))</f>
        <v/>
      </c>
      <c r="CM59">
        <f>SUMPRODUCT((M_BOM[RM_Code]=$A59)*M_BOM[RM_Qty_Per_Batch]*IFERROR(INDEX(PP_Grid[#Data],M_BOM[PPGridRow],91),0))</f>
        <v/>
      </c>
      <c r="CN59">
        <f>SUMPRODUCT((M_BOM[RM_Code]=$A59)*M_BOM[RM_Qty_Per_Batch]*IFERROR(INDEX(PP_Grid[#Data],M_BOM[PPGridRow],92),0))</f>
        <v/>
      </c>
      <c r="CO59">
        <f>SUMPRODUCT((M_BOM[RM_Code]=$A59)*M_BOM[RM_Qty_Per_Batch]*IFERROR(INDEX(PP_Grid[#Data],M_BOM[PPGridRow],93),0))</f>
        <v/>
      </c>
      <c r="CP59">
        <f>SUMPRODUCT((M_BOM[RM_Code]=$A59)*M_BOM[RM_Qty_Per_Batch]*IFERROR(INDEX(PP_Grid[#Data],M_BOM[PPGridRow],94),0))</f>
        <v/>
      </c>
      <c r="CQ59">
        <f>SUMPRODUCT((M_BOM[RM_Code]=$A59)*M_BOM[RM_Qty_Per_Batch]*IFERROR(INDEX(PP_Grid[#Data],M_BOM[PPGridRow],95),0))</f>
        <v/>
      </c>
      <c r="CR59">
        <f>SUMPRODUCT((M_BOM[RM_Code]=$A59)*M_BOM[RM_Qty_Per_Batch]*IFERROR(INDEX(PP_Grid[#Data],M_BOM[PPGridRow],96),0))</f>
        <v/>
      </c>
      <c r="CS59">
        <f>SUMPRODUCT((M_BOM[RM_Code]=$A59)*M_BOM[RM_Qty_Per_Batch]*IFERROR(INDEX(PP_Grid[#Data],M_BOM[PPGridRow],97),0))</f>
        <v/>
      </c>
      <c r="CT59">
        <f>SUMPRODUCT((M_BOM[RM_Code]=$A59)*M_BOM[RM_Qty_Per_Batch]*IFERROR(INDEX(PP_Grid[#Data],M_BOM[PPGridRow],98),0))</f>
        <v/>
      </c>
      <c r="CU59">
        <f>SUMPRODUCT((M_BOM[RM_Code]=$A59)*M_BOM[RM_Qty_Per_Batch]*IFERROR(INDEX(PP_Grid[#Data],M_BOM[PPGridRow],99),0))</f>
        <v/>
      </c>
      <c r="CV59">
        <f>SUMPRODUCT((M_BOM[RM_Code]=$A59)*M_BOM[RM_Qty_Per_Batch]*IFERROR(INDEX(PP_Grid[#Data],M_BOM[PPGridRow],100),0))</f>
        <v/>
      </c>
      <c r="CW59">
        <f>SUMPRODUCT((M_BOM[RM_Code]=$A59)*M_BOM[RM_Qty_Per_Batch]*IFERROR(INDEX(PP_Grid[#Data],M_BOM[PPGridRow],101),0))</f>
        <v/>
      </c>
      <c r="CX59">
        <f>SUMPRODUCT((M_BOM[RM_Code]=$A59)*M_BOM[RM_Qty_Per_Batch]*IFERROR(INDEX(PP_Grid[#Data],M_BOM[PPGridRow],102),0))</f>
        <v/>
      </c>
      <c r="CY59">
        <f>SUMPRODUCT((M_BOM[RM_Code]=$A59)*M_BOM[RM_Qty_Per_Batch]*IFERROR(INDEX(PP_Grid[#Data],M_BOM[PPGridRow],103),0))</f>
        <v/>
      </c>
      <c r="CZ59">
        <f>SUMPRODUCT((M_BOM[RM_Code]=$A59)*M_BOM[RM_Qty_Per_Batch]*IFERROR(INDEX(PP_Grid[#Data],M_BOM[PPGridRow],104),0))</f>
        <v/>
      </c>
      <c r="DA59">
        <f>SUMPRODUCT((M_BOM[RM_Code]=$A59)*M_BOM[RM_Qty_Per_Batch]*IFERROR(INDEX(PP_Grid[#Data],M_BOM[PPGridRow],105),0))</f>
        <v/>
      </c>
    </row>
    <row r="60">
      <c r="A60" t="inlineStr">
        <is>
          <t>CHEM-1020</t>
        </is>
      </c>
      <c r="B60">
        <f>SUMPRODUCT((M_BOM[RM_Code]=$A60)*M_BOM[RM_Qty_Per_Batch]*IFERROR(INDEX(PP_Grid[#Data],M_BOM[PPGridRow],2),0))</f>
        <v/>
      </c>
      <c r="C60">
        <f>SUMPRODUCT((M_BOM[RM_Code]=$A60)*M_BOM[RM_Qty_Per_Batch]*IFERROR(INDEX(PP_Grid[#Data],M_BOM[PPGridRow],3),0))</f>
        <v/>
      </c>
      <c r="D60">
        <f>SUMPRODUCT((M_BOM[RM_Code]=$A60)*M_BOM[RM_Qty_Per_Batch]*IFERROR(INDEX(PP_Grid[#Data],M_BOM[PPGridRow],4),0))</f>
        <v/>
      </c>
      <c r="E60">
        <f>SUMPRODUCT((M_BOM[RM_Code]=$A60)*M_BOM[RM_Qty_Per_Batch]*IFERROR(INDEX(PP_Grid[#Data],M_BOM[PPGridRow],5),0))</f>
        <v/>
      </c>
      <c r="F60">
        <f>SUMPRODUCT((M_BOM[RM_Code]=$A60)*M_BOM[RM_Qty_Per_Batch]*IFERROR(INDEX(PP_Grid[#Data],M_BOM[PPGridRow],6),0))</f>
        <v/>
      </c>
      <c r="G60">
        <f>SUMPRODUCT((M_BOM[RM_Code]=$A60)*M_BOM[RM_Qty_Per_Batch]*IFERROR(INDEX(PP_Grid[#Data],M_BOM[PPGridRow],7),0))</f>
        <v/>
      </c>
      <c r="H60">
        <f>SUMPRODUCT((M_BOM[RM_Code]=$A60)*M_BOM[RM_Qty_Per_Batch]*IFERROR(INDEX(PP_Grid[#Data],M_BOM[PPGridRow],8),0))</f>
        <v/>
      </c>
      <c r="I60">
        <f>SUMPRODUCT((M_BOM[RM_Code]=$A60)*M_BOM[RM_Qty_Per_Batch]*IFERROR(INDEX(PP_Grid[#Data],M_BOM[PPGridRow],9),0))</f>
        <v/>
      </c>
      <c r="J60">
        <f>SUMPRODUCT((M_BOM[RM_Code]=$A60)*M_BOM[RM_Qty_Per_Batch]*IFERROR(INDEX(PP_Grid[#Data],M_BOM[PPGridRow],10),0))</f>
        <v/>
      </c>
      <c r="K60">
        <f>SUMPRODUCT((M_BOM[RM_Code]=$A60)*M_BOM[RM_Qty_Per_Batch]*IFERROR(INDEX(PP_Grid[#Data],M_BOM[PPGridRow],11),0))</f>
        <v/>
      </c>
      <c r="L60">
        <f>SUMPRODUCT((M_BOM[RM_Code]=$A60)*M_BOM[RM_Qty_Per_Batch]*IFERROR(INDEX(PP_Grid[#Data],M_BOM[PPGridRow],12),0))</f>
        <v/>
      </c>
      <c r="M60">
        <f>SUMPRODUCT((M_BOM[RM_Code]=$A60)*M_BOM[RM_Qty_Per_Batch]*IFERROR(INDEX(PP_Grid[#Data],M_BOM[PPGridRow],13),0))</f>
        <v/>
      </c>
      <c r="N60">
        <f>SUMPRODUCT((M_BOM[RM_Code]=$A60)*M_BOM[RM_Qty_Per_Batch]*IFERROR(INDEX(PP_Grid[#Data],M_BOM[PPGridRow],14),0))</f>
        <v/>
      </c>
      <c r="O60">
        <f>SUMPRODUCT((M_BOM[RM_Code]=$A60)*M_BOM[RM_Qty_Per_Batch]*IFERROR(INDEX(PP_Grid[#Data],M_BOM[PPGridRow],15),0))</f>
        <v/>
      </c>
      <c r="P60">
        <f>SUMPRODUCT((M_BOM[RM_Code]=$A60)*M_BOM[RM_Qty_Per_Batch]*IFERROR(INDEX(PP_Grid[#Data],M_BOM[PPGridRow],16),0))</f>
        <v/>
      </c>
      <c r="Q60">
        <f>SUMPRODUCT((M_BOM[RM_Code]=$A60)*M_BOM[RM_Qty_Per_Batch]*IFERROR(INDEX(PP_Grid[#Data],M_BOM[PPGridRow],17),0))</f>
        <v/>
      </c>
      <c r="R60">
        <f>SUMPRODUCT((M_BOM[RM_Code]=$A60)*M_BOM[RM_Qty_Per_Batch]*IFERROR(INDEX(PP_Grid[#Data],M_BOM[PPGridRow],18),0))</f>
        <v/>
      </c>
      <c r="S60">
        <f>SUMPRODUCT((M_BOM[RM_Code]=$A60)*M_BOM[RM_Qty_Per_Batch]*IFERROR(INDEX(PP_Grid[#Data],M_BOM[PPGridRow],19),0))</f>
        <v/>
      </c>
      <c r="T60">
        <f>SUMPRODUCT((M_BOM[RM_Code]=$A60)*M_BOM[RM_Qty_Per_Batch]*IFERROR(INDEX(PP_Grid[#Data],M_BOM[PPGridRow],20),0))</f>
        <v/>
      </c>
      <c r="U60">
        <f>SUMPRODUCT((M_BOM[RM_Code]=$A60)*M_BOM[RM_Qty_Per_Batch]*IFERROR(INDEX(PP_Grid[#Data],M_BOM[PPGridRow],21),0))</f>
        <v/>
      </c>
      <c r="V60">
        <f>SUMPRODUCT((M_BOM[RM_Code]=$A60)*M_BOM[RM_Qty_Per_Batch]*IFERROR(INDEX(PP_Grid[#Data],M_BOM[PPGridRow],22),0))</f>
        <v/>
      </c>
      <c r="W60">
        <f>SUMPRODUCT((M_BOM[RM_Code]=$A60)*M_BOM[RM_Qty_Per_Batch]*IFERROR(INDEX(PP_Grid[#Data],M_BOM[PPGridRow],23),0))</f>
        <v/>
      </c>
      <c r="X60">
        <f>SUMPRODUCT((M_BOM[RM_Code]=$A60)*M_BOM[RM_Qty_Per_Batch]*IFERROR(INDEX(PP_Grid[#Data],M_BOM[PPGridRow],24),0))</f>
        <v/>
      </c>
      <c r="Y60">
        <f>SUMPRODUCT((M_BOM[RM_Code]=$A60)*M_BOM[RM_Qty_Per_Batch]*IFERROR(INDEX(PP_Grid[#Data],M_BOM[PPGridRow],25),0))</f>
        <v/>
      </c>
      <c r="Z60">
        <f>SUMPRODUCT((M_BOM[RM_Code]=$A60)*M_BOM[RM_Qty_Per_Batch]*IFERROR(INDEX(PP_Grid[#Data],M_BOM[PPGridRow],26),0))</f>
        <v/>
      </c>
      <c r="AA60">
        <f>SUMPRODUCT((M_BOM[RM_Code]=$A60)*M_BOM[RM_Qty_Per_Batch]*IFERROR(INDEX(PP_Grid[#Data],M_BOM[PPGridRow],27),0))</f>
        <v/>
      </c>
      <c r="AB60">
        <f>SUMPRODUCT((M_BOM[RM_Code]=$A60)*M_BOM[RM_Qty_Per_Batch]*IFERROR(INDEX(PP_Grid[#Data],M_BOM[PPGridRow],28),0))</f>
        <v/>
      </c>
      <c r="AC60">
        <f>SUMPRODUCT((M_BOM[RM_Code]=$A60)*M_BOM[RM_Qty_Per_Batch]*IFERROR(INDEX(PP_Grid[#Data],M_BOM[PPGridRow],29),0))</f>
        <v/>
      </c>
      <c r="AD60">
        <f>SUMPRODUCT((M_BOM[RM_Code]=$A60)*M_BOM[RM_Qty_Per_Batch]*IFERROR(INDEX(PP_Grid[#Data],M_BOM[PPGridRow],30),0))</f>
        <v/>
      </c>
      <c r="AE60">
        <f>SUMPRODUCT((M_BOM[RM_Code]=$A60)*M_BOM[RM_Qty_Per_Batch]*IFERROR(INDEX(PP_Grid[#Data],M_BOM[PPGridRow],31),0))</f>
        <v/>
      </c>
      <c r="AF60">
        <f>SUMPRODUCT((M_BOM[RM_Code]=$A60)*M_BOM[RM_Qty_Per_Batch]*IFERROR(INDEX(PP_Grid[#Data],M_BOM[PPGridRow],32),0))</f>
        <v/>
      </c>
      <c r="AG60">
        <f>SUMPRODUCT((M_BOM[RM_Code]=$A60)*M_BOM[RM_Qty_Per_Batch]*IFERROR(INDEX(PP_Grid[#Data],M_BOM[PPGridRow],33),0))</f>
        <v/>
      </c>
      <c r="AH60">
        <f>SUMPRODUCT((M_BOM[RM_Code]=$A60)*M_BOM[RM_Qty_Per_Batch]*IFERROR(INDEX(PP_Grid[#Data],M_BOM[PPGridRow],34),0))</f>
        <v/>
      </c>
      <c r="AI60">
        <f>SUMPRODUCT((M_BOM[RM_Code]=$A60)*M_BOM[RM_Qty_Per_Batch]*IFERROR(INDEX(PP_Grid[#Data],M_BOM[PPGridRow],35),0))</f>
        <v/>
      </c>
      <c r="AJ60">
        <f>SUMPRODUCT((M_BOM[RM_Code]=$A60)*M_BOM[RM_Qty_Per_Batch]*IFERROR(INDEX(PP_Grid[#Data],M_BOM[PPGridRow],36),0))</f>
        <v/>
      </c>
      <c r="AK60">
        <f>SUMPRODUCT((M_BOM[RM_Code]=$A60)*M_BOM[RM_Qty_Per_Batch]*IFERROR(INDEX(PP_Grid[#Data],M_BOM[PPGridRow],37),0))</f>
        <v/>
      </c>
      <c r="AL60">
        <f>SUMPRODUCT((M_BOM[RM_Code]=$A60)*M_BOM[RM_Qty_Per_Batch]*IFERROR(INDEX(PP_Grid[#Data],M_BOM[PPGridRow],38),0))</f>
        <v/>
      </c>
      <c r="AM60">
        <f>SUMPRODUCT((M_BOM[RM_Code]=$A60)*M_BOM[RM_Qty_Per_Batch]*IFERROR(INDEX(PP_Grid[#Data],M_BOM[PPGridRow],39),0))</f>
        <v/>
      </c>
      <c r="AN60">
        <f>SUMPRODUCT((M_BOM[RM_Code]=$A60)*M_BOM[RM_Qty_Per_Batch]*IFERROR(INDEX(PP_Grid[#Data],M_BOM[PPGridRow],40),0))</f>
        <v/>
      </c>
      <c r="AO60">
        <f>SUMPRODUCT((M_BOM[RM_Code]=$A60)*M_BOM[RM_Qty_Per_Batch]*IFERROR(INDEX(PP_Grid[#Data],M_BOM[PPGridRow],41),0))</f>
        <v/>
      </c>
      <c r="AP60">
        <f>SUMPRODUCT((M_BOM[RM_Code]=$A60)*M_BOM[RM_Qty_Per_Batch]*IFERROR(INDEX(PP_Grid[#Data],M_BOM[PPGridRow],42),0))</f>
        <v/>
      </c>
      <c r="AQ60">
        <f>SUMPRODUCT((M_BOM[RM_Code]=$A60)*M_BOM[RM_Qty_Per_Batch]*IFERROR(INDEX(PP_Grid[#Data],M_BOM[PPGridRow],43),0))</f>
        <v/>
      </c>
      <c r="AR60">
        <f>SUMPRODUCT((M_BOM[RM_Code]=$A60)*M_BOM[RM_Qty_Per_Batch]*IFERROR(INDEX(PP_Grid[#Data],M_BOM[PPGridRow],44),0))</f>
        <v/>
      </c>
      <c r="AS60">
        <f>SUMPRODUCT((M_BOM[RM_Code]=$A60)*M_BOM[RM_Qty_Per_Batch]*IFERROR(INDEX(PP_Grid[#Data],M_BOM[PPGridRow],45),0))</f>
        <v/>
      </c>
      <c r="AT60">
        <f>SUMPRODUCT((M_BOM[RM_Code]=$A60)*M_BOM[RM_Qty_Per_Batch]*IFERROR(INDEX(PP_Grid[#Data],M_BOM[PPGridRow],46),0))</f>
        <v/>
      </c>
      <c r="AU60">
        <f>SUMPRODUCT((M_BOM[RM_Code]=$A60)*M_BOM[RM_Qty_Per_Batch]*IFERROR(INDEX(PP_Grid[#Data],M_BOM[PPGridRow],47),0))</f>
        <v/>
      </c>
      <c r="AV60">
        <f>SUMPRODUCT((M_BOM[RM_Code]=$A60)*M_BOM[RM_Qty_Per_Batch]*IFERROR(INDEX(PP_Grid[#Data],M_BOM[PPGridRow],48),0))</f>
        <v/>
      </c>
      <c r="AW60">
        <f>SUMPRODUCT((M_BOM[RM_Code]=$A60)*M_BOM[RM_Qty_Per_Batch]*IFERROR(INDEX(PP_Grid[#Data],M_BOM[PPGridRow],49),0))</f>
        <v/>
      </c>
      <c r="AX60">
        <f>SUMPRODUCT((M_BOM[RM_Code]=$A60)*M_BOM[RM_Qty_Per_Batch]*IFERROR(INDEX(PP_Grid[#Data],M_BOM[PPGridRow],50),0))</f>
        <v/>
      </c>
      <c r="AY60">
        <f>SUMPRODUCT((M_BOM[RM_Code]=$A60)*M_BOM[RM_Qty_Per_Batch]*IFERROR(INDEX(PP_Grid[#Data],M_BOM[PPGridRow],51),0))</f>
        <v/>
      </c>
      <c r="AZ60">
        <f>SUMPRODUCT((M_BOM[RM_Code]=$A60)*M_BOM[RM_Qty_Per_Batch]*IFERROR(INDEX(PP_Grid[#Data],M_BOM[PPGridRow],52),0))</f>
        <v/>
      </c>
      <c r="BA60">
        <f>SUMPRODUCT((M_BOM[RM_Code]=$A60)*M_BOM[RM_Qty_Per_Batch]*IFERROR(INDEX(PP_Grid[#Data],M_BOM[PPGridRow],53),0))</f>
        <v/>
      </c>
      <c r="BB60">
        <f>SUMPRODUCT((M_BOM[RM_Code]=$A60)*M_BOM[RM_Qty_Per_Batch]*IFERROR(INDEX(PP_Grid[#Data],M_BOM[PPGridRow],54),0))</f>
        <v/>
      </c>
      <c r="BC60">
        <f>SUMPRODUCT((M_BOM[RM_Code]=$A60)*M_BOM[RM_Qty_Per_Batch]*IFERROR(INDEX(PP_Grid[#Data],M_BOM[PPGridRow],55),0))</f>
        <v/>
      </c>
      <c r="BD60">
        <f>SUMPRODUCT((M_BOM[RM_Code]=$A60)*M_BOM[RM_Qty_Per_Batch]*IFERROR(INDEX(PP_Grid[#Data],M_BOM[PPGridRow],56),0))</f>
        <v/>
      </c>
      <c r="BE60">
        <f>SUMPRODUCT((M_BOM[RM_Code]=$A60)*M_BOM[RM_Qty_Per_Batch]*IFERROR(INDEX(PP_Grid[#Data],M_BOM[PPGridRow],57),0))</f>
        <v/>
      </c>
      <c r="BF60">
        <f>SUMPRODUCT((M_BOM[RM_Code]=$A60)*M_BOM[RM_Qty_Per_Batch]*IFERROR(INDEX(PP_Grid[#Data],M_BOM[PPGridRow],58),0))</f>
        <v/>
      </c>
      <c r="BG60">
        <f>SUMPRODUCT((M_BOM[RM_Code]=$A60)*M_BOM[RM_Qty_Per_Batch]*IFERROR(INDEX(PP_Grid[#Data],M_BOM[PPGridRow],59),0))</f>
        <v/>
      </c>
      <c r="BH60">
        <f>SUMPRODUCT((M_BOM[RM_Code]=$A60)*M_BOM[RM_Qty_Per_Batch]*IFERROR(INDEX(PP_Grid[#Data],M_BOM[PPGridRow],60),0))</f>
        <v/>
      </c>
      <c r="BI60">
        <f>SUMPRODUCT((M_BOM[RM_Code]=$A60)*M_BOM[RM_Qty_Per_Batch]*IFERROR(INDEX(PP_Grid[#Data],M_BOM[PPGridRow],61),0))</f>
        <v/>
      </c>
      <c r="BJ60">
        <f>SUMPRODUCT((M_BOM[RM_Code]=$A60)*M_BOM[RM_Qty_Per_Batch]*IFERROR(INDEX(PP_Grid[#Data],M_BOM[PPGridRow],62),0))</f>
        <v/>
      </c>
      <c r="BK60">
        <f>SUMPRODUCT((M_BOM[RM_Code]=$A60)*M_BOM[RM_Qty_Per_Batch]*IFERROR(INDEX(PP_Grid[#Data],M_BOM[PPGridRow],63),0))</f>
        <v/>
      </c>
      <c r="BL60">
        <f>SUMPRODUCT((M_BOM[RM_Code]=$A60)*M_BOM[RM_Qty_Per_Batch]*IFERROR(INDEX(PP_Grid[#Data],M_BOM[PPGridRow],64),0))</f>
        <v/>
      </c>
      <c r="BM60">
        <f>SUMPRODUCT((M_BOM[RM_Code]=$A60)*M_BOM[RM_Qty_Per_Batch]*IFERROR(INDEX(PP_Grid[#Data],M_BOM[PPGridRow],65),0))</f>
        <v/>
      </c>
      <c r="BN60">
        <f>SUMPRODUCT((M_BOM[RM_Code]=$A60)*M_BOM[RM_Qty_Per_Batch]*IFERROR(INDEX(PP_Grid[#Data],M_BOM[PPGridRow],66),0))</f>
        <v/>
      </c>
      <c r="BO60">
        <f>SUMPRODUCT((M_BOM[RM_Code]=$A60)*M_BOM[RM_Qty_Per_Batch]*IFERROR(INDEX(PP_Grid[#Data],M_BOM[PPGridRow],67),0))</f>
        <v/>
      </c>
      <c r="BP60">
        <f>SUMPRODUCT((M_BOM[RM_Code]=$A60)*M_BOM[RM_Qty_Per_Batch]*IFERROR(INDEX(PP_Grid[#Data],M_BOM[PPGridRow],68),0))</f>
        <v/>
      </c>
      <c r="BQ60">
        <f>SUMPRODUCT((M_BOM[RM_Code]=$A60)*M_BOM[RM_Qty_Per_Batch]*IFERROR(INDEX(PP_Grid[#Data],M_BOM[PPGridRow],69),0))</f>
        <v/>
      </c>
      <c r="BR60">
        <f>SUMPRODUCT((M_BOM[RM_Code]=$A60)*M_BOM[RM_Qty_Per_Batch]*IFERROR(INDEX(PP_Grid[#Data],M_BOM[PPGridRow],70),0))</f>
        <v/>
      </c>
      <c r="BS60">
        <f>SUMPRODUCT((M_BOM[RM_Code]=$A60)*M_BOM[RM_Qty_Per_Batch]*IFERROR(INDEX(PP_Grid[#Data],M_BOM[PPGridRow],71),0))</f>
        <v/>
      </c>
      <c r="BT60">
        <f>SUMPRODUCT((M_BOM[RM_Code]=$A60)*M_BOM[RM_Qty_Per_Batch]*IFERROR(INDEX(PP_Grid[#Data],M_BOM[PPGridRow],72),0))</f>
        <v/>
      </c>
      <c r="BU60">
        <f>SUMPRODUCT((M_BOM[RM_Code]=$A60)*M_BOM[RM_Qty_Per_Batch]*IFERROR(INDEX(PP_Grid[#Data],M_BOM[PPGridRow],73),0))</f>
        <v/>
      </c>
      <c r="BV60">
        <f>SUMPRODUCT((M_BOM[RM_Code]=$A60)*M_BOM[RM_Qty_Per_Batch]*IFERROR(INDEX(PP_Grid[#Data],M_BOM[PPGridRow],74),0))</f>
        <v/>
      </c>
      <c r="BW60">
        <f>SUMPRODUCT((M_BOM[RM_Code]=$A60)*M_BOM[RM_Qty_Per_Batch]*IFERROR(INDEX(PP_Grid[#Data],M_BOM[PPGridRow],75),0))</f>
        <v/>
      </c>
      <c r="BX60">
        <f>SUMPRODUCT((M_BOM[RM_Code]=$A60)*M_BOM[RM_Qty_Per_Batch]*IFERROR(INDEX(PP_Grid[#Data],M_BOM[PPGridRow],76),0))</f>
        <v/>
      </c>
      <c r="BY60">
        <f>SUMPRODUCT((M_BOM[RM_Code]=$A60)*M_BOM[RM_Qty_Per_Batch]*IFERROR(INDEX(PP_Grid[#Data],M_BOM[PPGridRow],77),0))</f>
        <v/>
      </c>
      <c r="BZ60">
        <f>SUMPRODUCT((M_BOM[RM_Code]=$A60)*M_BOM[RM_Qty_Per_Batch]*IFERROR(INDEX(PP_Grid[#Data],M_BOM[PPGridRow],78),0))</f>
        <v/>
      </c>
      <c r="CA60">
        <f>SUMPRODUCT((M_BOM[RM_Code]=$A60)*M_BOM[RM_Qty_Per_Batch]*IFERROR(INDEX(PP_Grid[#Data],M_BOM[PPGridRow],79),0))</f>
        <v/>
      </c>
      <c r="CB60">
        <f>SUMPRODUCT((M_BOM[RM_Code]=$A60)*M_BOM[RM_Qty_Per_Batch]*IFERROR(INDEX(PP_Grid[#Data],M_BOM[PPGridRow],80),0))</f>
        <v/>
      </c>
      <c r="CC60">
        <f>SUMPRODUCT((M_BOM[RM_Code]=$A60)*M_BOM[RM_Qty_Per_Batch]*IFERROR(INDEX(PP_Grid[#Data],M_BOM[PPGridRow],81),0))</f>
        <v/>
      </c>
      <c r="CD60">
        <f>SUMPRODUCT((M_BOM[RM_Code]=$A60)*M_BOM[RM_Qty_Per_Batch]*IFERROR(INDEX(PP_Grid[#Data],M_BOM[PPGridRow],82),0))</f>
        <v/>
      </c>
      <c r="CE60">
        <f>SUMPRODUCT((M_BOM[RM_Code]=$A60)*M_BOM[RM_Qty_Per_Batch]*IFERROR(INDEX(PP_Grid[#Data],M_BOM[PPGridRow],83),0))</f>
        <v/>
      </c>
      <c r="CF60">
        <f>SUMPRODUCT((M_BOM[RM_Code]=$A60)*M_BOM[RM_Qty_Per_Batch]*IFERROR(INDEX(PP_Grid[#Data],M_BOM[PPGridRow],84),0))</f>
        <v/>
      </c>
      <c r="CG60">
        <f>SUMPRODUCT((M_BOM[RM_Code]=$A60)*M_BOM[RM_Qty_Per_Batch]*IFERROR(INDEX(PP_Grid[#Data],M_BOM[PPGridRow],85),0))</f>
        <v/>
      </c>
      <c r="CH60">
        <f>SUMPRODUCT((M_BOM[RM_Code]=$A60)*M_BOM[RM_Qty_Per_Batch]*IFERROR(INDEX(PP_Grid[#Data],M_BOM[PPGridRow],86),0))</f>
        <v/>
      </c>
      <c r="CI60">
        <f>SUMPRODUCT((M_BOM[RM_Code]=$A60)*M_BOM[RM_Qty_Per_Batch]*IFERROR(INDEX(PP_Grid[#Data],M_BOM[PPGridRow],87),0))</f>
        <v/>
      </c>
      <c r="CJ60">
        <f>SUMPRODUCT((M_BOM[RM_Code]=$A60)*M_BOM[RM_Qty_Per_Batch]*IFERROR(INDEX(PP_Grid[#Data],M_BOM[PPGridRow],88),0))</f>
        <v/>
      </c>
      <c r="CK60">
        <f>SUMPRODUCT((M_BOM[RM_Code]=$A60)*M_BOM[RM_Qty_Per_Batch]*IFERROR(INDEX(PP_Grid[#Data],M_BOM[PPGridRow],89),0))</f>
        <v/>
      </c>
      <c r="CL60">
        <f>SUMPRODUCT((M_BOM[RM_Code]=$A60)*M_BOM[RM_Qty_Per_Batch]*IFERROR(INDEX(PP_Grid[#Data],M_BOM[PPGridRow],90),0))</f>
        <v/>
      </c>
      <c r="CM60">
        <f>SUMPRODUCT((M_BOM[RM_Code]=$A60)*M_BOM[RM_Qty_Per_Batch]*IFERROR(INDEX(PP_Grid[#Data],M_BOM[PPGridRow],91),0))</f>
        <v/>
      </c>
      <c r="CN60">
        <f>SUMPRODUCT((M_BOM[RM_Code]=$A60)*M_BOM[RM_Qty_Per_Batch]*IFERROR(INDEX(PP_Grid[#Data],M_BOM[PPGridRow],92),0))</f>
        <v/>
      </c>
      <c r="CO60">
        <f>SUMPRODUCT((M_BOM[RM_Code]=$A60)*M_BOM[RM_Qty_Per_Batch]*IFERROR(INDEX(PP_Grid[#Data],M_BOM[PPGridRow],93),0))</f>
        <v/>
      </c>
      <c r="CP60">
        <f>SUMPRODUCT((M_BOM[RM_Code]=$A60)*M_BOM[RM_Qty_Per_Batch]*IFERROR(INDEX(PP_Grid[#Data],M_BOM[PPGridRow],94),0))</f>
        <v/>
      </c>
      <c r="CQ60">
        <f>SUMPRODUCT((M_BOM[RM_Code]=$A60)*M_BOM[RM_Qty_Per_Batch]*IFERROR(INDEX(PP_Grid[#Data],M_BOM[PPGridRow],95),0))</f>
        <v/>
      </c>
      <c r="CR60">
        <f>SUMPRODUCT((M_BOM[RM_Code]=$A60)*M_BOM[RM_Qty_Per_Batch]*IFERROR(INDEX(PP_Grid[#Data],M_BOM[PPGridRow],96),0))</f>
        <v/>
      </c>
      <c r="CS60">
        <f>SUMPRODUCT((M_BOM[RM_Code]=$A60)*M_BOM[RM_Qty_Per_Batch]*IFERROR(INDEX(PP_Grid[#Data],M_BOM[PPGridRow],97),0))</f>
        <v/>
      </c>
      <c r="CT60">
        <f>SUMPRODUCT((M_BOM[RM_Code]=$A60)*M_BOM[RM_Qty_Per_Batch]*IFERROR(INDEX(PP_Grid[#Data],M_BOM[PPGridRow],98),0))</f>
        <v/>
      </c>
      <c r="CU60">
        <f>SUMPRODUCT((M_BOM[RM_Code]=$A60)*M_BOM[RM_Qty_Per_Batch]*IFERROR(INDEX(PP_Grid[#Data],M_BOM[PPGridRow],99),0))</f>
        <v/>
      </c>
      <c r="CV60">
        <f>SUMPRODUCT((M_BOM[RM_Code]=$A60)*M_BOM[RM_Qty_Per_Batch]*IFERROR(INDEX(PP_Grid[#Data],M_BOM[PPGridRow],100),0))</f>
        <v/>
      </c>
      <c r="CW60">
        <f>SUMPRODUCT((M_BOM[RM_Code]=$A60)*M_BOM[RM_Qty_Per_Batch]*IFERROR(INDEX(PP_Grid[#Data],M_BOM[PPGridRow],101),0))</f>
        <v/>
      </c>
      <c r="CX60">
        <f>SUMPRODUCT((M_BOM[RM_Code]=$A60)*M_BOM[RM_Qty_Per_Batch]*IFERROR(INDEX(PP_Grid[#Data],M_BOM[PPGridRow],102),0))</f>
        <v/>
      </c>
      <c r="CY60">
        <f>SUMPRODUCT((M_BOM[RM_Code]=$A60)*M_BOM[RM_Qty_Per_Batch]*IFERROR(INDEX(PP_Grid[#Data],M_BOM[PPGridRow],103),0))</f>
        <v/>
      </c>
      <c r="CZ60">
        <f>SUMPRODUCT((M_BOM[RM_Code]=$A60)*M_BOM[RM_Qty_Per_Batch]*IFERROR(INDEX(PP_Grid[#Data],M_BOM[PPGridRow],104),0))</f>
        <v/>
      </c>
      <c r="DA60">
        <f>SUMPRODUCT((M_BOM[RM_Code]=$A60)*M_BOM[RM_Qty_Per_Batch]*IFERROR(INDEX(PP_Grid[#Data],M_BOM[PPGridRow],105),0))</f>
        <v/>
      </c>
    </row>
    <row r="61">
      <c r="A61" t="inlineStr">
        <is>
          <t>CSA Code</t>
        </is>
      </c>
      <c r="B61">
        <f>SUMPRODUCT((M_BOM[RM_Code]=$A61)*M_BOM[RM_Qty_Per_Batch]*IFERROR(INDEX(PP_Grid[#Data],M_BOM[PPGridRow],2),0))</f>
        <v/>
      </c>
      <c r="C61">
        <f>SUMPRODUCT((M_BOM[RM_Code]=$A61)*M_BOM[RM_Qty_Per_Batch]*IFERROR(INDEX(PP_Grid[#Data],M_BOM[PPGridRow],3),0))</f>
        <v/>
      </c>
      <c r="D61">
        <f>SUMPRODUCT((M_BOM[RM_Code]=$A61)*M_BOM[RM_Qty_Per_Batch]*IFERROR(INDEX(PP_Grid[#Data],M_BOM[PPGridRow],4),0))</f>
        <v/>
      </c>
      <c r="E61">
        <f>SUMPRODUCT((M_BOM[RM_Code]=$A61)*M_BOM[RM_Qty_Per_Batch]*IFERROR(INDEX(PP_Grid[#Data],M_BOM[PPGridRow],5),0))</f>
        <v/>
      </c>
      <c r="F61">
        <f>SUMPRODUCT((M_BOM[RM_Code]=$A61)*M_BOM[RM_Qty_Per_Batch]*IFERROR(INDEX(PP_Grid[#Data],M_BOM[PPGridRow],6),0))</f>
        <v/>
      </c>
      <c r="G61">
        <f>SUMPRODUCT((M_BOM[RM_Code]=$A61)*M_BOM[RM_Qty_Per_Batch]*IFERROR(INDEX(PP_Grid[#Data],M_BOM[PPGridRow],7),0))</f>
        <v/>
      </c>
      <c r="H61">
        <f>SUMPRODUCT((M_BOM[RM_Code]=$A61)*M_BOM[RM_Qty_Per_Batch]*IFERROR(INDEX(PP_Grid[#Data],M_BOM[PPGridRow],8),0))</f>
        <v/>
      </c>
      <c r="I61">
        <f>SUMPRODUCT((M_BOM[RM_Code]=$A61)*M_BOM[RM_Qty_Per_Batch]*IFERROR(INDEX(PP_Grid[#Data],M_BOM[PPGridRow],9),0))</f>
        <v/>
      </c>
      <c r="J61">
        <f>SUMPRODUCT((M_BOM[RM_Code]=$A61)*M_BOM[RM_Qty_Per_Batch]*IFERROR(INDEX(PP_Grid[#Data],M_BOM[PPGridRow],10),0))</f>
        <v/>
      </c>
      <c r="K61">
        <f>SUMPRODUCT((M_BOM[RM_Code]=$A61)*M_BOM[RM_Qty_Per_Batch]*IFERROR(INDEX(PP_Grid[#Data],M_BOM[PPGridRow],11),0))</f>
        <v/>
      </c>
      <c r="L61">
        <f>SUMPRODUCT((M_BOM[RM_Code]=$A61)*M_BOM[RM_Qty_Per_Batch]*IFERROR(INDEX(PP_Grid[#Data],M_BOM[PPGridRow],12),0))</f>
        <v/>
      </c>
      <c r="M61">
        <f>SUMPRODUCT((M_BOM[RM_Code]=$A61)*M_BOM[RM_Qty_Per_Batch]*IFERROR(INDEX(PP_Grid[#Data],M_BOM[PPGridRow],13),0))</f>
        <v/>
      </c>
      <c r="N61">
        <f>SUMPRODUCT((M_BOM[RM_Code]=$A61)*M_BOM[RM_Qty_Per_Batch]*IFERROR(INDEX(PP_Grid[#Data],M_BOM[PPGridRow],14),0))</f>
        <v/>
      </c>
      <c r="O61">
        <f>SUMPRODUCT((M_BOM[RM_Code]=$A61)*M_BOM[RM_Qty_Per_Batch]*IFERROR(INDEX(PP_Grid[#Data],M_BOM[PPGridRow],15),0))</f>
        <v/>
      </c>
      <c r="P61">
        <f>SUMPRODUCT((M_BOM[RM_Code]=$A61)*M_BOM[RM_Qty_Per_Batch]*IFERROR(INDEX(PP_Grid[#Data],M_BOM[PPGridRow],16),0))</f>
        <v/>
      </c>
      <c r="Q61">
        <f>SUMPRODUCT((M_BOM[RM_Code]=$A61)*M_BOM[RM_Qty_Per_Batch]*IFERROR(INDEX(PP_Grid[#Data],M_BOM[PPGridRow],17),0))</f>
        <v/>
      </c>
      <c r="R61">
        <f>SUMPRODUCT((M_BOM[RM_Code]=$A61)*M_BOM[RM_Qty_Per_Batch]*IFERROR(INDEX(PP_Grid[#Data],M_BOM[PPGridRow],18),0))</f>
        <v/>
      </c>
      <c r="S61">
        <f>SUMPRODUCT((M_BOM[RM_Code]=$A61)*M_BOM[RM_Qty_Per_Batch]*IFERROR(INDEX(PP_Grid[#Data],M_BOM[PPGridRow],19),0))</f>
        <v/>
      </c>
      <c r="T61">
        <f>SUMPRODUCT((M_BOM[RM_Code]=$A61)*M_BOM[RM_Qty_Per_Batch]*IFERROR(INDEX(PP_Grid[#Data],M_BOM[PPGridRow],20),0))</f>
        <v/>
      </c>
      <c r="U61">
        <f>SUMPRODUCT((M_BOM[RM_Code]=$A61)*M_BOM[RM_Qty_Per_Batch]*IFERROR(INDEX(PP_Grid[#Data],M_BOM[PPGridRow],21),0))</f>
        <v/>
      </c>
      <c r="V61">
        <f>SUMPRODUCT((M_BOM[RM_Code]=$A61)*M_BOM[RM_Qty_Per_Batch]*IFERROR(INDEX(PP_Grid[#Data],M_BOM[PPGridRow],22),0))</f>
        <v/>
      </c>
      <c r="W61">
        <f>SUMPRODUCT((M_BOM[RM_Code]=$A61)*M_BOM[RM_Qty_Per_Batch]*IFERROR(INDEX(PP_Grid[#Data],M_BOM[PPGridRow],23),0))</f>
        <v/>
      </c>
      <c r="X61">
        <f>SUMPRODUCT((M_BOM[RM_Code]=$A61)*M_BOM[RM_Qty_Per_Batch]*IFERROR(INDEX(PP_Grid[#Data],M_BOM[PPGridRow],24),0))</f>
        <v/>
      </c>
      <c r="Y61">
        <f>SUMPRODUCT((M_BOM[RM_Code]=$A61)*M_BOM[RM_Qty_Per_Batch]*IFERROR(INDEX(PP_Grid[#Data],M_BOM[PPGridRow],25),0))</f>
        <v/>
      </c>
      <c r="Z61">
        <f>SUMPRODUCT((M_BOM[RM_Code]=$A61)*M_BOM[RM_Qty_Per_Batch]*IFERROR(INDEX(PP_Grid[#Data],M_BOM[PPGridRow],26),0))</f>
        <v/>
      </c>
      <c r="AA61">
        <f>SUMPRODUCT((M_BOM[RM_Code]=$A61)*M_BOM[RM_Qty_Per_Batch]*IFERROR(INDEX(PP_Grid[#Data],M_BOM[PPGridRow],27),0))</f>
        <v/>
      </c>
      <c r="AB61">
        <f>SUMPRODUCT((M_BOM[RM_Code]=$A61)*M_BOM[RM_Qty_Per_Batch]*IFERROR(INDEX(PP_Grid[#Data],M_BOM[PPGridRow],28),0))</f>
        <v/>
      </c>
      <c r="AC61">
        <f>SUMPRODUCT((M_BOM[RM_Code]=$A61)*M_BOM[RM_Qty_Per_Batch]*IFERROR(INDEX(PP_Grid[#Data],M_BOM[PPGridRow],29),0))</f>
        <v/>
      </c>
      <c r="AD61">
        <f>SUMPRODUCT((M_BOM[RM_Code]=$A61)*M_BOM[RM_Qty_Per_Batch]*IFERROR(INDEX(PP_Grid[#Data],M_BOM[PPGridRow],30),0))</f>
        <v/>
      </c>
      <c r="AE61">
        <f>SUMPRODUCT((M_BOM[RM_Code]=$A61)*M_BOM[RM_Qty_Per_Batch]*IFERROR(INDEX(PP_Grid[#Data],M_BOM[PPGridRow],31),0))</f>
        <v/>
      </c>
      <c r="AF61">
        <f>SUMPRODUCT((M_BOM[RM_Code]=$A61)*M_BOM[RM_Qty_Per_Batch]*IFERROR(INDEX(PP_Grid[#Data],M_BOM[PPGridRow],32),0))</f>
        <v/>
      </c>
      <c r="AG61">
        <f>SUMPRODUCT((M_BOM[RM_Code]=$A61)*M_BOM[RM_Qty_Per_Batch]*IFERROR(INDEX(PP_Grid[#Data],M_BOM[PPGridRow],33),0))</f>
        <v/>
      </c>
      <c r="AH61">
        <f>SUMPRODUCT((M_BOM[RM_Code]=$A61)*M_BOM[RM_Qty_Per_Batch]*IFERROR(INDEX(PP_Grid[#Data],M_BOM[PPGridRow],34),0))</f>
        <v/>
      </c>
      <c r="AI61">
        <f>SUMPRODUCT((M_BOM[RM_Code]=$A61)*M_BOM[RM_Qty_Per_Batch]*IFERROR(INDEX(PP_Grid[#Data],M_BOM[PPGridRow],35),0))</f>
        <v/>
      </c>
      <c r="AJ61">
        <f>SUMPRODUCT((M_BOM[RM_Code]=$A61)*M_BOM[RM_Qty_Per_Batch]*IFERROR(INDEX(PP_Grid[#Data],M_BOM[PPGridRow],36),0))</f>
        <v/>
      </c>
      <c r="AK61">
        <f>SUMPRODUCT((M_BOM[RM_Code]=$A61)*M_BOM[RM_Qty_Per_Batch]*IFERROR(INDEX(PP_Grid[#Data],M_BOM[PPGridRow],37),0))</f>
        <v/>
      </c>
      <c r="AL61">
        <f>SUMPRODUCT((M_BOM[RM_Code]=$A61)*M_BOM[RM_Qty_Per_Batch]*IFERROR(INDEX(PP_Grid[#Data],M_BOM[PPGridRow],38),0))</f>
        <v/>
      </c>
      <c r="AM61">
        <f>SUMPRODUCT((M_BOM[RM_Code]=$A61)*M_BOM[RM_Qty_Per_Batch]*IFERROR(INDEX(PP_Grid[#Data],M_BOM[PPGridRow],39),0))</f>
        <v/>
      </c>
      <c r="AN61">
        <f>SUMPRODUCT((M_BOM[RM_Code]=$A61)*M_BOM[RM_Qty_Per_Batch]*IFERROR(INDEX(PP_Grid[#Data],M_BOM[PPGridRow],40),0))</f>
        <v/>
      </c>
      <c r="AO61">
        <f>SUMPRODUCT((M_BOM[RM_Code]=$A61)*M_BOM[RM_Qty_Per_Batch]*IFERROR(INDEX(PP_Grid[#Data],M_BOM[PPGridRow],41),0))</f>
        <v/>
      </c>
      <c r="AP61">
        <f>SUMPRODUCT((M_BOM[RM_Code]=$A61)*M_BOM[RM_Qty_Per_Batch]*IFERROR(INDEX(PP_Grid[#Data],M_BOM[PPGridRow],42),0))</f>
        <v/>
      </c>
      <c r="AQ61">
        <f>SUMPRODUCT((M_BOM[RM_Code]=$A61)*M_BOM[RM_Qty_Per_Batch]*IFERROR(INDEX(PP_Grid[#Data],M_BOM[PPGridRow],43),0))</f>
        <v/>
      </c>
      <c r="AR61">
        <f>SUMPRODUCT((M_BOM[RM_Code]=$A61)*M_BOM[RM_Qty_Per_Batch]*IFERROR(INDEX(PP_Grid[#Data],M_BOM[PPGridRow],44),0))</f>
        <v/>
      </c>
      <c r="AS61">
        <f>SUMPRODUCT((M_BOM[RM_Code]=$A61)*M_BOM[RM_Qty_Per_Batch]*IFERROR(INDEX(PP_Grid[#Data],M_BOM[PPGridRow],45),0))</f>
        <v/>
      </c>
      <c r="AT61">
        <f>SUMPRODUCT((M_BOM[RM_Code]=$A61)*M_BOM[RM_Qty_Per_Batch]*IFERROR(INDEX(PP_Grid[#Data],M_BOM[PPGridRow],46),0))</f>
        <v/>
      </c>
      <c r="AU61">
        <f>SUMPRODUCT((M_BOM[RM_Code]=$A61)*M_BOM[RM_Qty_Per_Batch]*IFERROR(INDEX(PP_Grid[#Data],M_BOM[PPGridRow],47),0))</f>
        <v/>
      </c>
      <c r="AV61">
        <f>SUMPRODUCT((M_BOM[RM_Code]=$A61)*M_BOM[RM_Qty_Per_Batch]*IFERROR(INDEX(PP_Grid[#Data],M_BOM[PPGridRow],48),0))</f>
        <v/>
      </c>
      <c r="AW61">
        <f>SUMPRODUCT((M_BOM[RM_Code]=$A61)*M_BOM[RM_Qty_Per_Batch]*IFERROR(INDEX(PP_Grid[#Data],M_BOM[PPGridRow],49),0))</f>
        <v/>
      </c>
      <c r="AX61">
        <f>SUMPRODUCT((M_BOM[RM_Code]=$A61)*M_BOM[RM_Qty_Per_Batch]*IFERROR(INDEX(PP_Grid[#Data],M_BOM[PPGridRow],50),0))</f>
        <v/>
      </c>
      <c r="AY61">
        <f>SUMPRODUCT((M_BOM[RM_Code]=$A61)*M_BOM[RM_Qty_Per_Batch]*IFERROR(INDEX(PP_Grid[#Data],M_BOM[PPGridRow],51),0))</f>
        <v/>
      </c>
      <c r="AZ61">
        <f>SUMPRODUCT((M_BOM[RM_Code]=$A61)*M_BOM[RM_Qty_Per_Batch]*IFERROR(INDEX(PP_Grid[#Data],M_BOM[PPGridRow],52),0))</f>
        <v/>
      </c>
      <c r="BA61">
        <f>SUMPRODUCT((M_BOM[RM_Code]=$A61)*M_BOM[RM_Qty_Per_Batch]*IFERROR(INDEX(PP_Grid[#Data],M_BOM[PPGridRow],53),0))</f>
        <v/>
      </c>
      <c r="BB61">
        <f>SUMPRODUCT((M_BOM[RM_Code]=$A61)*M_BOM[RM_Qty_Per_Batch]*IFERROR(INDEX(PP_Grid[#Data],M_BOM[PPGridRow],54),0))</f>
        <v/>
      </c>
      <c r="BC61">
        <f>SUMPRODUCT((M_BOM[RM_Code]=$A61)*M_BOM[RM_Qty_Per_Batch]*IFERROR(INDEX(PP_Grid[#Data],M_BOM[PPGridRow],55),0))</f>
        <v/>
      </c>
      <c r="BD61">
        <f>SUMPRODUCT((M_BOM[RM_Code]=$A61)*M_BOM[RM_Qty_Per_Batch]*IFERROR(INDEX(PP_Grid[#Data],M_BOM[PPGridRow],56),0))</f>
        <v/>
      </c>
      <c r="BE61">
        <f>SUMPRODUCT((M_BOM[RM_Code]=$A61)*M_BOM[RM_Qty_Per_Batch]*IFERROR(INDEX(PP_Grid[#Data],M_BOM[PPGridRow],57),0))</f>
        <v/>
      </c>
      <c r="BF61">
        <f>SUMPRODUCT((M_BOM[RM_Code]=$A61)*M_BOM[RM_Qty_Per_Batch]*IFERROR(INDEX(PP_Grid[#Data],M_BOM[PPGridRow],58),0))</f>
        <v/>
      </c>
      <c r="BG61">
        <f>SUMPRODUCT((M_BOM[RM_Code]=$A61)*M_BOM[RM_Qty_Per_Batch]*IFERROR(INDEX(PP_Grid[#Data],M_BOM[PPGridRow],59),0))</f>
        <v/>
      </c>
      <c r="BH61">
        <f>SUMPRODUCT((M_BOM[RM_Code]=$A61)*M_BOM[RM_Qty_Per_Batch]*IFERROR(INDEX(PP_Grid[#Data],M_BOM[PPGridRow],60),0))</f>
        <v/>
      </c>
      <c r="BI61">
        <f>SUMPRODUCT((M_BOM[RM_Code]=$A61)*M_BOM[RM_Qty_Per_Batch]*IFERROR(INDEX(PP_Grid[#Data],M_BOM[PPGridRow],61),0))</f>
        <v/>
      </c>
      <c r="BJ61">
        <f>SUMPRODUCT((M_BOM[RM_Code]=$A61)*M_BOM[RM_Qty_Per_Batch]*IFERROR(INDEX(PP_Grid[#Data],M_BOM[PPGridRow],62),0))</f>
        <v/>
      </c>
      <c r="BK61">
        <f>SUMPRODUCT((M_BOM[RM_Code]=$A61)*M_BOM[RM_Qty_Per_Batch]*IFERROR(INDEX(PP_Grid[#Data],M_BOM[PPGridRow],63),0))</f>
        <v/>
      </c>
      <c r="BL61">
        <f>SUMPRODUCT((M_BOM[RM_Code]=$A61)*M_BOM[RM_Qty_Per_Batch]*IFERROR(INDEX(PP_Grid[#Data],M_BOM[PPGridRow],64),0))</f>
        <v/>
      </c>
      <c r="BM61">
        <f>SUMPRODUCT((M_BOM[RM_Code]=$A61)*M_BOM[RM_Qty_Per_Batch]*IFERROR(INDEX(PP_Grid[#Data],M_BOM[PPGridRow],65),0))</f>
        <v/>
      </c>
      <c r="BN61">
        <f>SUMPRODUCT((M_BOM[RM_Code]=$A61)*M_BOM[RM_Qty_Per_Batch]*IFERROR(INDEX(PP_Grid[#Data],M_BOM[PPGridRow],66),0))</f>
        <v/>
      </c>
      <c r="BO61">
        <f>SUMPRODUCT((M_BOM[RM_Code]=$A61)*M_BOM[RM_Qty_Per_Batch]*IFERROR(INDEX(PP_Grid[#Data],M_BOM[PPGridRow],67),0))</f>
        <v/>
      </c>
      <c r="BP61">
        <f>SUMPRODUCT((M_BOM[RM_Code]=$A61)*M_BOM[RM_Qty_Per_Batch]*IFERROR(INDEX(PP_Grid[#Data],M_BOM[PPGridRow],68),0))</f>
        <v/>
      </c>
      <c r="BQ61">
        <f>SUMPRODUCT((M_BOM[RM_Code]=$A61)*M_BOM[RM_Qty_Per_Batch]*IFERROR(INDEX(PP_Grid[#Data],M_BOM[PPGridRow],69),0))</f>
        <v/>
      </c>
      <c r="BR61">
        <f>SUMPRODUCT((M_BOM[RM_Code]=$A61)*M_BOM[RM_Qty_Per_Batch]*IFERROR(INDEX(PP_Grid[#Data],M_BOM[PPGridRow],70),0))</f>
        <v/>
      </c>
      <c r="BS61">
        <f>SUMPRODUCT((M_BOM[RM_Code]=$A61)*M_BOM[RM_Qty_Per_Batch]*IFERROR(INDEX(PP_Grid[#Data],M_BOM[PPGridRow],71),0))</f>
        <v/>
      </c>
      <c r="BT61">
        <f>SUMPRODUCT((M_BOM[RM_Code]=$A61)*M_BOM[RM_Qty_Per_Batch]*IFERROR(INDEX(PP_Grid[#Data],M_BOM[PPGridRow],72),0))</f>
        <v/>
      </c>
      <c r="BU61">
        <f>SUMPRODUCT((M_BOM[RM_Code]=$A61)*M_BOM[RM_Qty_Per_Batch]*IFERROR(INDEX(PP_Grid[#Data],M_BOM[PPGridRow],73),0))</f>
        <v/>
      </c>
      <c r="BV61">
        <f>SUMPRODUCT((M_BOM[RM_Code]=$A61)*M_BOM[RM_Qty_Per_Batch]*IFERROR(INDEX(PP_Grid[#Data],M_BOM[PPGridRow],74),0))</f>
        <v/>
      </c>
      <c r="BW61">
        <f>SUMPRODUCT((M_BOM[RM_Code]=$A61)*M_BOM[RM_Qty_Per_Batch]*IFERROR(INDEX(PP_Grid[#Data],M_BOM[PPGridRow],75),0))</f>
        <v/>
      </c>
      <c r="BX61">
        <f>SUMPRODUCT((M_BOM[RM_Code]=$A61)*M_BOM[RM_Qty_Per_Batch]*IFERROR(INDEX(PP_Grid[#Data],M_BOM[PPGridRow],76),0))</f>
        <v/>
      </c>
      <c r="BY61">
        <f>SUMPRODUCT((M_BOM[RM_Code]=$A61)*M_BOM[RM_Qty_Per_Batch]*IFERROR(INDEX(PP_Grid[#Data],M_BOM[PPGridRow],77),0))</f>
        <v/>
      </c>
      <c r="BZ61">
        <f>SUMPRODUCT((M_BOM[RM_Code]=$A61)*M_BOM[RM_Qty_Per_Batch]*IFERROR(INDEX(PP_Grid[#Data],M_BOM[PPGridRow],78),0))</f>
        <v/>
      </c>
      <c r="CA61">
        <f>SUMPRODUCT((M_BOM[RM_Code]=$A61)*M_BOM[RM_Qty_Per_Batch]*IFERROR(INDEX(PP_Grid[#Data],M_BOM[PPGridRow],79),0))</f>
        <v/>
      </c>
      <c r="CB61">
        <f>SUMPRODUCT((M_BOM[RM_Code]=$A61)*M_BOM[RM_Qty_Per_Batch]*IFERROR(INDEX(PP_Grid[#Data],M_BOM[PPGridRow],80),0))</f>
        <v/>
      </c>
      <c r="CC61">
        <f>SUMPRODUCT((M_BOM[RM_Code]=$A61)*M_BOM[RM_Qty_Per_Batch]*IFERROR(INDEX(PP_Grid[#Data],M_BOM[PPGridRow],81),0))</f>
        <v/>
      </c>
      <c r="CD61">
        <f>SUMPRODUCT((M_BOM[RM_Code]=$A61)*M_BOM[RM_Qty_Per_Batch]*IFERROR(INDEX(PP_Grid[#Data],M_BOM[PPGridRow],82),0))</f>
        <v/>
      </c>
      <c r="CE61">
        <f>SUMPRODUCT((M_BOM[RM_Code]=$A61)*M_BOM[RM_Qty_Per_Batch]*IFERROR(INDEX(PP_Grid[#Data],M_BOM[PPGridRow],83),0))</f>
        <v/>
      </c>
      <c r="CF61">
        <f>SUMPRODUCT((M_BOM[RM_Code]=$A61)*M_BOM[RM_Qty_Per_Batch]*IFERROR(INDEX(PP_Grid[#Data],M_BOM[PPGridRow],84),0))</f>
        <v/>
      </c>
      <c r="CG61">
        <f>SUMPRODUCT((M_BOM[RM_Code]=$A61)*M_BOM[RM_Qty_Per_Batch]*IFERROR(INDEX(PP_Grid[#Data],M_BOM[PPGridRow],85),0))</f>
        <v/>
      </c>
      <c r="CH61">
        <f>SUMPRODUCT((M_BOM[RM_Code]=$A61)*M_BOM[RM_Qty_Per_Batch]*IFERROR(INDEX(PP_Grid[#Data],M_BOM[PPGridRow],86),0))</f>
        <v/>
      </c>
      <c r="CI61">
        <f>SUMPRODUCT((M_BOM[RM_Code]=$A61)*M_BOM[RM_Qty_Per_Batch]*IFERROR(INDEX(PP_Grid[#Data],M_BOM[PPGridRow],87),0))</f>
        <v/>
      </c>
      <c r="CJ61">
        <f>SUMPRODUCT((M_BOM[RM_Code]=$A61)*M_BOM[RM_Qty_Per_Batch]*IFERROR(INDEX(PP_Grid[#Data],M_BOM[PPGridRow],88),0))</f>
        <v/>
      </c>
      <c r="CK61">
        <f>SUMPRODUCT((M_BOM[RM_Code]=$A61)*M_BOM[RM_Qty_Per_Batch]*IFERROR(INDEX(PP_Grid[#Data],M_BOM[PPGridRow],89),0))</f>
        <v/>
      </c>
      <c r="CL61">
        <f>SUMPRODUCT((M_BOM[RM_Code]=$A61)*M_BOM[RM_Qty_Per_Batch]*IFERROR(INDEX(PP_Grid[#Data],M_BOM[PPGridRow],90),0))</f>
        <v/>
      </c>
      <c r="CM61">
        <f>SUMPRODUCT((M_BOM[RM_Code]=$A61)*M_BOM[RM_Qty_Per_Batch]*IFERROR(INDEX(PP_Grid[#Data],M_BOM[PPGridRow],91),0))</f>
        <v/>
      </c>
      <c r="CN61">
        <f>SUMPRODUCT((M_BOM[RM_Code]=$A61)*M_BOM[RM_Qty_Per_Batch]*IFERROR(INDEX(PP_Grid[#Data],M_BOM[PPGridRow],92),0))</f>
        <v/>
      </c>
      <c r="CO61">
        <f>SUMPRODUCT((M_BOM[RM_Code]=$A61)*M_BOM[RM_Qty_Per_Batch]*IFERROR(INDEX(PP_Grid[#Data],M_BOM[PPGridRow],93),0))</f>
        <v/>
      </c>
      <c r="CP61">
        <f>SUMPRODUCT((M_BOM[RM_Code]=$A61)*M_BOM[RM_Qty_Per_Batch]*IFERROR(INDEX(PP_Grid[#Data],M_BOM[PPGridRow],94),0))</f>
        <v/>
      </c>
      <c r="CQ61">
        <f>SUMPRODUCT((M_BOM[RM_Code]=$A61)*M_BOM[RM_Qty_Per_Batch]*IFERROR(INDEX(PP_Grid[#Data],M_BOM[PPGridRow],95),0))</f>
        <v/>
      </c>
      <c r="CR61">
        <f>SUMPRODUCT((M_BOM[RM_Code]=$A61)*M_BOM[RM_Qty_Per_Batch]*IFERROR(INDEX(PP_Grid[#Data],M_BOM[PPGridRow],96),0))</f>
        <v/>
      </c>
      <c r="CS61">
        <f>SUMPRODUCT((M_BOM[RM_Code]=$A61)*M_BOM[RM_Qty_Per_Batch]*IFERROR(INDEX(PP_Grid[#Data],M_BOM[PPGridRow],97),0))</f>
        <v/>
      </c>
      <c r="CT61">
        <f>SUMPRODUCT((M_BOM[RM_Code]=$A61)*M_BOM[RM_Qty_Per_Batch]*IFERROR(INDEX(PP_Grid[#Data],M_BOM[PPGridRow],98),0))</f>
        <v/>
      </c>
      <c r="CU61">
        <f>SUMPRODUCT((M_BOM[RM_Code]=$A61)*M_BOM[RM_Qty_Per_Batch]*IFERROR(INDEX(PP_Grid[#Data],M_BOM[PPGridRow],99),0))</f>
        <v/>
      </c>
      <c r="CV61">
        <f>SUMPRODUCT((M_BOM[RM_Code]=$A61)*M_BOM[RM_Qty_Per_Batch]*IFERROR(INDEX(PP_Grid[#Data],M_BOM[PPGridRow],100),0))</f>
        <v/>
      </c>
      <c r="CW61">
        <f>SUMPRODUCT((M_BOM[RM_Code]=$A61)*M_BOM[RM_Qty_Per_Batch]*IFERROR(INDEX(PP_Grid[#Data],M_BOM[PPGridRow],101),0))</f>
        <v/>
      </c>
      <c r="CX61">
        <f>SUMPRODUCT((M_BOM[RM_Code]=$A61)*M_BOM[RM_Qty_Per_Batch]*IFERROR(INDEX(PP_Grid[#Data],M_BOM[PPGridRow],102),0))</f>
        <v/>
      </c>
      <c r="CY61">
        <f>SUMPRODUCT((M_BOM[RM_Code]=$A61)*M_BOM[RM_Qty_Per_Batch]*IFERROR(INDEX(PP_Grid[#Data],M_BOM[PPGridRow],103),0))</f>
        <v/>
      </c>
      <c r="CZ61">
        <f>SUMPRODUCT((M_BOM[RM_Code]=$A61)*M_BOM[RM_Qty_Per_Batch]*IFERROR(INDEX(PP_Grid[#Data],M_BOM[PPGridRow],104),0))</f>
        <v/>
      </c>
      <c r="DA61">
        <f>SUMPRODUCT((M_BOM[RM_Code]=$A61)*M_BOM[RM_Qty_Per_Batch]*IFERROR(INDEX(PP_Grid[#Data],M_BOM[PPGridRow],105),0))</f>
        <v/>
      </c>
    </row>
    <row r="62">
      <c r="A62" t="inlineStr">
        <is>
          <t>Ester Film</t>
        </is>
      </c>
      <c r="B62">
        <f>SUMPRODUCT((M_BOM[RM_Code]=$A62)*M_BOM[RM_Qty_Per_Batch]*IFERROR(INDEX(PP_Grid[#Data],M_BOM[PPGridRow],2),0))</f>
        <v/>
      </c>
      <c r="C62">
        <f>SUMPRODUCT((M_BOM[RM_Code]=$A62)*M_BOM[RM_Qty_Per_Batch]*IFERROR(INDEX(PP_Grid[#Data],M_BOM[PPGridRow],3),0))</f>
        <v/>
      </c>
      <c r="D62">
        <f>SUMPRODUCT((M_BOM[RM_Code]=$A62)*M_BOM[RM_Qty_Per_Batch]*IFERROR(INDEX(PP_Grid[#Data],M_BOM[PPGridRow],4),0))</f>
        <v/>
      </c>
      <c r="E62">
        <f>SUMPRODUCT((M_BOM[RM_Code]=$A62)*M_BOM[RM_Qty_Per_Batch]*IFERROR(INDEX(PP_Grid[#Data],M_BOM[PPGridRow],5),0))</f>
        <v/>
      </c>
      <c r="F62">
        <f>SUMPRODUCT((M_BOM[RM_Code]=$A62)*M_BOM[RM_Qty_Per_Batch]*IFERROR(INDEX(PP_Grid[#Data],M_BOM[PPGridRow],6),0))</f>
        <v/>
      </c>
      <c r="G62">
        <f>SUMPRODUCT((M_BOM[RM_Code]=$A62)*M_BOM[RM_Qty_Per_Batch]*IFERROR(INDEX(PP_Grid[#Data],M_BOM[PPGridRow],7),0))</f>
        <v/>
      </c>
      <c r="H62">
        <f>SUMPRODUCT((M_BOM[RM_Code]=$A62)*M_BOM[RM_Qty_Per_Batch]*IFERROR(INDEX(PP_Grid[#Data],M_BOM[PPGridRow],8),0))</f>
        <v/>
      </c>
      <c r="I62">
        <f>SUMPRODUCT((M_BOM[RM_Code]=$A62)*M_BOM[RM_Qty_Per_Batch]*IFERROR(INDEX(PP_Grid[#Data],M_BOM[PPGridRow],9),0))</f>
        <v/>
      </c>
      <c r="J62">
        <f>SUMPRODUCT((M_BOM[RM_Code]=$A62)*M_BOM[RM_Qty_Per_Batch]*IFERROR(INDEX(PP_Grid[#Data],M_BOM[PPGridRow],10),0))</f>
        <v/>
      </c>
      <c r="K62">
        <f>SUMPRODUCT((M_BOM[RM_Code]=$A62)*M_BOM[RM_Qty_Per_Batch]*IFERROR(INDEX(PP_Grid[#Data],M_BOM[PPGridRow],11),0))</f>
        <v/>
      </c>
      <c r="L62">
        <f>SUMPRODUCT((M_BOM[RM_Code]=$A62)*M_BOM[RM_Qty_Per_Batch]*IFERROR(INDEX(PP_Grid[#Data],M_BOM[PPGridRow],12),0))</f>
        <v/>
      </c>
      <c r="M62">
        <f>SUMPRODUCT((M_BOM[RM_Code]=$A62)*M_BOM[RM_Qty_Per_Batch]*IFERROR(INDEX(PP_Grid[#Data],M_BOM[PPGridRow],13),0))</f>
        <v/>
      </c>
      <c r="N62">
        <f>SUMPRODUCT((M_BOM[RM_Code]=$A62)*M_BOM[RM_Qty_Per_Batch]*IFERROR(INDEX(PP_Grid[#Data],M_BOM[PPGridRow],14),0))</f>
        <v/>
      </c>
      <c r="O62">
        <f>SUMPRODUCT((M_BOM[RM_Code]=$A62)*M_BOM[RM_Qty_Per_Batch]*IFERROR(INDEX(PP_Grid[#Data],M_BOM[PPGridRow],15),0))</f>
        <v/>
      </c>
      <c r="P62">
        <f>SUMPRODUCT((M_BOM[RM_Code]=$A62)*M_BOM[RM_Qty_Per_Batch]*IFERROR(INDEX(PP_Grid[#Data],M_BOM[PPGridRow],16),0))</f>
        <v/>
      </c>
      <c r="Q62">
        <f>SUMPRODUCT((M_BOM[RM_Code]=$A62)*M_BOM[RM_Qty_Per_Batch]*IFERROR(INDEX(PP_Grid[#Data],M_BOM[PPGridRow],17),0))</f>
        <v/>
      </c>
      <c r="R62">
        <f>SUMPRODUCT((M_BOM[RM_Code]=$A62)*M_BOM[RM_Qty_Per_Batch]*IFERROR(INDEX(PP_Grid[#Data],M_BOM[PPGridRow],18),0))</f>
        <v/>
      </c>
      <c r="S62">
        <f>SUMPRODUCT((M_BOM[RM_Code]=$A62)*M_BOM[RM_Qty_Per_Batch]*IFERROR(INDEX(PP_Grid[#Data],M_BOM[PPGridRow],19),0))</f>
        <v/>
      </c>
      <c r="T62">
        <f>SUMPRODUCT((M_BOM[RM_Code]=$A62)*M_BOM[RM_Qty_Per_Batch]*IFERROR(INDEX(PP_Grid[#Data],M_BOM[PPGridRow],20),0))</f>
        <v/>
      </c>
      <c r="U62">
        <f>SUMPRODUCT((M_BOM[RM_Code]=$A62)*M_BOM[RM_Qty_Per_Batch]*IFERROR(INDEX(PP_Grid[#Data],M_BOM[PPGridRow],21),0))</f>
        <v/>
      </c>
      <c r="V62">
        <f>SUMPRODUCT((M_BOM[RM_Code]=$A62)*M_BOM[RM_Qty_Per_Batch]*IFERROR(INDEX(PP_Grid[#Data],M_BOM[PPGridRow],22),0))</f>
        <v/>
      </c>
      <c r="W62">
        <f>SUMPRODUCT((M_BOM[RM_Code]=$A62)*M_BOM[RM_Qty_Per_Batch]*IFERROR(INDEX(PP_Grid[#Data],M_BOM[PPGridRow],23),0))</f>
        <v/>
      </c>
      <c r="X62">
        <f>SUMPRODUCT((M_BOM[RM_Code]=$A62)*M_BOM[RM_Qty_Per_Batch]*IFERROR(INDEX(PP_Grid[#Data],M_BOM[PPGridRow],24),0))</f>
        <v/>
      </c>
      <c r="Y62">
        <f>SUMPRODUCT((M_BOM[RM_Code]=$A62)*M_BOM[RM_Qty_Per_Batch]*IFERROR(INDEX(PP_Grid[#Data],M_BOM[PPGridRow],25),0))</f>
        <v/>
      </c>
      <c r="Z62">
        <f>SUMPRODUCT((M_BOM[RM_Code]=$A62)*M_BOM[RM_Qty_Per_Batch]*IFERROR(INDEX(PP_Grid[#Data],M_BOM[PPGridRow],26),0))</f>
        <v/>
      </c>
      <c r="AA62">
        <f>SUMPRODUCT((M_BOM[RM_Code]=$A62)*M_BOM[RM_Qty_Per_Batch]*IFERROR(INDEX(PP_Grid[#Data],M_BOM[PPGridRow],27),0))</f>
        <v/>
      </c>
      <c r="AB62">
        <f>SUMPRODUCT((M_BOM[RM_Code]=$A62)*M_BOM[RM_Qty_Per_Batch]*IFERROR(INDEX(PP_Grid[#Data],M_BOM[PPGridRow],28),0))</f>
        <v/>
      </c>
      <c r="AC62">
        <f>SUMPRODUCT((M_BOM[RM_Code]=$A62)*M_BOM[RM_Qty_Per_Batch]*IFERROR(INDEX(PP_Grid[#Data],M_BOM[PPGridRow],29),0))</f>
        <v/>
      </c>
      <c r="AD62">
        <f>SUMPRODUCT((M_BOM[RM_Code]=$A62)*M_BOM[RM_Qty_Per_Batch]*IFERROR(INDEX(PP_Grid[#Data],M_BOM[PPGridRow],30),0))</f>
        <v/>
      </c>
      <c r="AE62">
        <f>SUMPRODUCT((M_BOM[RM_Code]=$A62)*M_BOM[RM_Qty_Per_Batch]*IFERROR(INDEX(PP_Grid[#Data],M_BOM[PPGridRow],31),0))</f>
        <v/>
      </c>
      <c r="AF62">
        <f>SUMPRODUCT((M_BOM[RM_Code]=$A62)*M_BOM[RM_Qty_Per_Batch]*IFERROR(INDEX(PP_Grid[#Data],M_BOM[PPGridRow],32),0))</f>
        <v/>
      </c>
      <c r="AG62">
        <f>SUMPRODUCT((M_BOM[RM_Code]=$A62)*M_BOM[RM_Qty_Per_Batch]*IFERROR(INDEX(PP_Grid[#Data],M_BOM[PPGridRow],33),0))</f>
        <v/>
      </c>
      <c r="AH62">
        <f>SUMPRODUCT((M_BOM[RM_Code]=$A62)*M_BOM[RM_Qty_Per_Batch]*IFERROR(INDEX(PP_Grid[#Data],M_BOM[PPGridRow],34),0))</f>
        <v/>
      </c>
      <c r="AI62">
        <f>SUMPRODUCT((M_BOM[RM_Code]=$A62)*M_BOM[RM_Qty_Per_Batch]*IFERROR(INDEX(PP_Grid[#Data],M_BOM[PPGridRow],35),0))</f>
        <v/>
      </c>
      <c r="AJ62">
        <f>SUMPRODUCT((M_BOM[RM_Code]=$A62)*M_BOM[RM_Qty_Per_Batch]*IFERROR(INDEX(PP_Grid[#Data],M_BOM[PPGridRow],36),0))</f>
        <v/>
      </c>
      <c r="AK62">
        <f>SUMPRODUCT((M_BOM[RM_Code]=$A62)*M_BOM[RM_Qty_Per_Batch]*IFERROR(INDEX(PP_Grid[#Data],M_BOM[PPGridRow],37),0))</f>
        <v/>
      </c>
      <c r="AL62">
        <f>SUMPRODUCT((M_BOM[RM_Code]=$A62)*M_BOM[RM_Qty_Per_Batch]*IFERROR(INDEX(PP_Grid[#Data],M_BOM[PPGridRow],38),0))</f>
        <v/>
      </c>
      <c r="AM62">
        <f>SUMPRODUCT((M_BOM[RM_Code]=$A62)*M_BOM[RM_Qty_Per_Batch]*IFERROR(INDEX(PP_Grid[#Data],M_BOM[PPGridRow],39),0))</f>
        <v/>
      </c>
      <c r="AN62">
        <f>SUMPRODUCT((M_BOM[RM_Code]=$A62)*M_BOM[RM_Qty_Per_Batch]*IFERROR(INDEX(PP_Grid[#Data],M_BOM[PPGridRow],40),0))</f>
        <v/>
      </c>
      <c r="AO62">
        <f>SUMPRODUCT((M_BOM[RM_Code]=$A62)*M_BOM[RM_Qty_Per_Batch]*IFERROR(INDEX(PP_Grid[#Data],M_BOM[PPGridRow],41),0))</f>
        <v/>
      </c>
      <c r="AP62">
        <f>SUMPRODUCT((M_BOM[RM_Code]=$A62)*M_BOM[RM_Qty_Per_Batch]*IFERROR(INDEX(PP_Grid[#Data],M_BOM[PPGridRow],42),0))</f>
        <v/>
      </c>
      <c r="AQ62">
        <f>SUMPRODUCT((M_BOM[RM_Code]=$A62)*M_BOM[RM_Qty_Per_Batch]*IFERROR(INDEX(PP_Grid[#Data],M_BOM[PPGridRow],43),0))</f>
        <v/>
      </c>
      <c r="AR62">
        <f>SUMPRODUCT((M_BOM[RM_Code]=$A62)*M_BOM[RM_Qty_Per_Batch]*IFERROR(INDEX(PP_Grid[#Data],M_BOM[PPGridRow],44),0))</f>
        <v/>
      </c>
      <c r="AS62">
        <f>SUMPRODUCT((M_BOM[RM_Code]=$A62)*M_BOM[RM_Qty_Per_Batch]*IFERROR(INDEX(PP_Grid[#Data],M_BOM[PPGridRow],45),0))</f>
        <v/>
      </c>
      <c r="AT62">
        <f>SUMPRODUCT((M_BOM[RM_Code]=$A62)*M_BOM[RM_Qty_Per_Batch]*IFERROR(INDEX(PP_Grid[#Data],M_BOM[PPGridRow],46),0))</f>
        <v/>
      </c>
      <c r="AU62">
        <f>SUMPRODUCT((M_BOM[RM_Code]=$A62)*M_BOM[RM_Qty_Per_Batch]*IFERROR(INDEX(PP_Grid[#Data],M_BOM[PPGridRow],47),0))</f>
        <v/>
      </c>
      <c r="AV62">
        <f>SUMPRODUCT((M_BOM[RM_Code]=$A62)*M_BOM[RM_Qty_Per_Batch]*IFERROR(INDEX(PP_Grid[#Data],M_BOM[PPGridRow],48),0))</f>
        <v/>
      </c>
      <c r="AW62">
        <f>SUMPRODUCT((M_BOM[RM_Code]=$A62)*M_BOM[RM_Qty_Per_Batch]*IFERROR(INDEX(PP_Grid[#Data],M_BOM[PPGridRow],49),0))</f>
        <v/>
      </c>
      <c r="AX62">
        <f>SUMPRODUCT((M_BOM[RM_Code]=$A62)*M_BOM[RM_Qty_Per_Batch]*IFERROR(INDEX(PP_Grid[#Data],M_BOM[PPGridRow],50),0))</f>
        <v/>
      </c>
      <c r="AY62">
        <f>SUMPRODUCT((M_BOM[RM_Code]=$A62)*M_BOM[RM_Qty_Per_Batch]*IFERROR(INDEX(PP_Grid[#Data],M_BOM[PPGridRow],51),0))</f>
        <v/>
      </c>
      <c r="AZ62">
        <f>SUMPRODUCT((M_BOM[RM_Code]=$A62)*M_BOM[RM_Qty_Per_Batch]*IFERROR(INDEX(PP_Grid[#Data],M_BOM[PPGridRow],52),0))</f>
        <v/>
      </c>
      <c r="BA62">
        <f>SUMPRODUCT((M_BOM[RM_Code]=$A62)*M_BOM[RM_Qty_Per_Batch]*IFERROR(INDEX(PP_Grid[#Data],M_BOM[PPGridRow],53),0))</f>
        <v/>
      </c>
      <c r="BB62">
        <f>SUMPRODUCT((M_BOM[RM_Code]=$A62)*M_BOM[RM_Qty_Per_Batch]*IFERROR(INDEX(PP_Grid[#Data],M_BOM[PPGridRow],54),0))</f>
        <v/>
      </c>
      <c r="BC62">
        <f>SUMPRODUCT((M_BOM[RM_Code]=$A62)*M_BOM[RM_Qty_Per_Batch]*IFERROR(INDEX(PP_Grid[#Data],M_BOM[PPGridRow],55),0))</f>
        <v/>
      </c>
      <c r="BD62">
        <f>SUMPRODUCT((M_BOM[RM_Code]=$A62)*M_BOM[RM_Qty_Per_Batch]*IFERROR(INDEX(PP_Grid[#Data],M_BOM[PPGridRow],56),0))</f>
        <v/>
      </c>
      <c r="BE62">
        <f>SUMPRODUCT((M_BOM[RM_Code]=$A62)*M_BOM[RM_Qty_Per_Batch]*IFERROR(INDEX(PP_Grid[#Data],M_BOM[PPGridRow],57),0))</f>
        <v/>
      </c>
      <c r="BF62">
        <f>SUMPRODUCT((M_BOM[RM_Code]=$A62)*M_BOM[RM_Qty_Per_Batch]*IFERROR(INDEX(PP_Grid[#Data],M_BOM[PPGridRow],58),0))</f>
        <v/>
      </c>
      <c r="BG62">
        <f>SUMPRODUCT((M_BOM[RM_Code]=$A62)*M_BOM[RM_Qty_Per_Batch]*IFERROR(INDEX(PP_Grid[#Data],M_BOM[PPGridRow],59),0))</f>
        <v/>
      </c>
      <c r="BH62">
        <f>SUMPRODUCT((M_BOM[RM_Code]=$A62)*M_BOM[RM_Qty_Per_Batch]*IFERROR(INDEX(PP_Grid[#Data],M_BOM[PPGridRow],60),0))</f>
        <v/>
      </c>
      <c r="BI62">
        <f>SUMPRODUCT((M_BOM[RM_Code]=$A62)*M_BOM[RM_Qty_Per_Batch]*IFERROR(INDEX(PP_Grid[#Data],M_BOM[PPGridRow],61),0))</f>
        <v/>
      </c>
      <c r="BJ62">
        <f>SUMPRODUCT((M_BOM[RM_Code]=$A62)*M_BOM[RM_Qty_Per_Batch]*IFERROR(INDEX(PP_Grid[#Data],M_BOM[PPGridRow],62),0))</f>
        <v/>
      </c>
      <c r="BK62">
        <f>SUMPRODUCT((M_BOM[RM_Code]=$A62)*M_BOM[RM_Qty_Per_Batch]*IFERROR(INDEX(PP_Grid[#Data],M_BOM[PPGridRow],63),0))</f>
        <v/>
      </c>
      <c r="BL62">
        <f>SUMPRODUCT((M_BOM[RM_Code]=$A62)*M_BOM[RM_Qty_Per_Batch]*IFERROR(INDEX(PP_Grid[#Data],M_BOM[PPGridRow],64),0))</f>
        <v/>
      </c>
      <c r="BM62">
        <f>SUMPRODUCT((M_BOM[RM_Code]=$A62)*M_BOM[RM_Qty_Per_Batch]*IFERROR(INDEX(PP_Grid[#Data],M_BOM[PPGridRow],65),0))</f>
        <v/>
      </c>
      <c r="BN62">
        <f>SUMPRODUCT((M_BOM[RM_Code]=$A62)*M_BOM[RM_Qty_Per_Batch]*IFERROR(INDEX(PP_Grid[#Data],M_BOM[PPGridRow],66),0))</f>
        <v/>
      </c>
      <c r="BO62">
        <f>SUMPRODUCT((M_BOM[RM_Code]=$A62)*M_BOM[RM_Qty_Per_Batch]*IFERROR(INDEX(PP_Grid[#Data],M_BOM[PPGridRow],67),0))</f>
        <v/>
      </c>
      <c r="BP62">
        <f>SUMPRODUCT((M_BOM[RM_Code]=$A62)*M_BOM[RM_Qty_Per_Batch]*IFERROR(INDEX(PP_Grid[#Data],M_BOM[PPGridRow],68),0))</f>
        <v/>
      </c>
      <c r="BQ62">
        <f>SUMPRODUCT((M_BOM[RM_Code]=$A62)*M_BOM[RM_Qty_Per_Batch]*IFERROR(INDEX(PP_Grid[#Data],M_BOM[PPGridRow],69),0))</f>
        <v/>
      </c>
      <c r="BR62">
        <f>SUMPRODUCT((M_BOM[RM_Code]=$A62)*M_BOM[RM_Qty_Per_Batch]*IFERROR(INDEX(PP_Grid[#Data],M_BOM[PPGridRow],70),0))</f>
        <v/>
      </c>
      <c r="BS62">
        <f>SUMPRODUCT((M_BOM[RM_Code]=$A62)*M_BOM[RM_Qty_Per_Batch]*IFERROR(INDEX(PP_Grid[#Data],M_BOM[PPGridRow],71),0))</f>
        <v/>
      </c>
      <c r="BT62">
        <f>SUMPRODUCT((M_BOM[RM_Code]=$A62)*M_BOM[RM_Qty_Per_Batch]*IFERROR(INDEX(PP_Grid[#Data],M_BOM[PPGridRow],72),0))</f>
        <v/>
      </c>
      <c r="BU62">
        <f>SUMPRODUCT((M_BOM[RM_Code]=$A62)*M_BOM[RM_Qty_Per_Batch]*IFERROR(INDEX(PP_Grid[#Data],M_BOM[PPGridRow],73),0))</f>
        <v/>
      </c>
      <c r="BV62">
        <f>SUMPRODUCT((M_BOM[RM_Code]=$A62)*M_BOM[RM_Qty_Per_Batch]*IFERROR(INDEX(PP_Grid[#Data],M_BOM[PPGridRow],74),0))</f>
        <v/>
      </c>
      <c r="BW62">
        <f>SUMPRODUCT((M_BOM[RM_Code]=$A62)*M_BOM[RM_Qty_Per_Batch]*IFERROR(INDEX(PP_Grid[#Data],M_BOM[PPGridRow],75),0))</f>
        <v/>
      </c>
      <c r="BX62">
        <f>SUMPRODUCT((M_BOM[RM_Code]=$A62)*M_BOM[RM_Qty_Per_Batch]*IFERROR(INDEX(PP_Grid[#Data],M_BOM[PPGridRow],76),0))</f>
        <v/>
      </c>
      <c r="BY62">
        <f>SUMPRODUCT((M_BOM[RM_Code]=$A62)*M_BOM[RM_Qty_Per_Batch]*IFERROR(INDEX(PP_Grid[#Data],M_BOM[PPGridRow],77),0))</f>
        <v/>
      </c>
      <c r="BZ62">
        <f>SUMPRODUCT((M_BOM[RM_Code]=$A62)*M_BOM[RM_Qty_Per_Batch]*IFERROR(INDEX(PP_Grid[#Data],M_BOM[PPGridRow],78),0))</f>
        <v/>
      </c>
      <c r="CA62">
        <f>SUMPRODUCT((M_BOM[RM_Code]=$A62)*M_BOM[RM_Qty_Per_Batch]*IFERROR(INDEX(PP_Grid[#Data],M_BOM[PPGridRow],79),0))</f>
        <v/>
      </c>
      <c r="CB62">
        <f>SUMPRODUCT((M_BOM[RM_Code]=$A62)*M_BOM[RM_Qty_Per_Batch]*IFERROR(INDEX(PP_Grid[#Data],M_BOM[PPGridRow],80),0))</f>
        <v/>
      </c>
      <c r="CC62">
        <f>SUMPRODUCT((M_BOM[RM_Code]=$A62)*M_BOM[RM_Qty_Per_Batch]*IFERROR(INDEX(PP_Grid[#Data],M_BOM[PPGridRow],81),0))</f>
        <v/>
      </c>
      <c r="CD62">
        <f>SUMPRODUCT((M_BOM[RM_Code]=$A62)*M_BOM[RM_Qty_Per_Batch]*IFERROR(INDEX(PP_Grid[#Data],M_BOM[PPGridRow],82),0))</f>
        <v/>
      </c>
      <c r="CE62">
        <f>SUMPRODUCT((M_BOM[RM_Code]=$A62)*M_BOM[RM_Qty_Per_Batch]*IFERROR(INDEX(PP_Grid[#Data],M_BOM[PPGridRow],83),0))</f>
        <v/>
      </c>
      <c r="CF62">
        <f>SUMPRODUCT((M_BOM[RM_Code]=$A62)*M_BOM[RM_Qty_Per_Batch]*IFERROR(INDEX(PP_Grid[#Data],M_BOM[PPGridRow],84),0))</f>
        <v/>
      </c>
      <c r="CG62">
        <f>SUMPRODUCT((M_BOM[RM_Code]=$A62)*M_BOM[RM_Qty_Per_Batch]*IFERROR(INDEX(PP_Grid[#Data],M_BOM[PPGridRow],85),0))</f>
        <v/>
      </c>
      <c r="CH62">
        <f>SUMPRODUCT((M_BOM[RM_Code]=$A62)*M_BOM[RM_Qty_Per_Batch]*IFERROR(INDEX(PP_Grid[#Data],M_BOM[PPGridRow],86),0))</f>
        <v/>
      </c>
      <c r="CI62">
        <f>SUMPRODUCT((M_BOM[RM_Code]=$A62)*M_BOM[RM_Qty_Per_Batch]*IFERROR(INDEX(PP_Grid[#Data],M_BOM[PPGridRow],87),0))</f>
        <v/>
      </c>
      <c r="CJ62">
        <f>SUMPRODUCT((M_BOM[RM_Code]=$A62)*M_BOM[RM_Qty_Per_Batch]*IFERROR(INDEX(PP_Grid[#Data],M_BOM[PPGridRow],88),0))</f>
        <v/>
      </c>
      <c r="CK62">
        <f>SUMPRODUCT((M_BOM[RM_Code]=$A62)*M_BOM[RM_Qty_Per_Batch]*IFERROR(INDEX(PP_Grid[#Data],M_BOM[PPGridRow],89),0))</f>
        <v/>
      </c>
      <c r="CL62">
        <f>SUMPRODUCT((M_BOM[RM_Code]=$A62)*M_BOM[RM_Qty_Per_Batch]*IFERROR(INDEX(PP_Grid[#Data],M_BOM[PPGridRow],90),0))</f>
        <v/>
      </c>
      <c r="CM62">
        <f>SUMPRODUCT((M_BOM[RM_Code]=$A62)*M_BOM[RM_Qty_Per_Batch]*IFERROR(INDEX(PP_Grid[#Data],M_BOM[PPGridRow],91),0))</f>
        <v/>
      </c>
      <c r="CN62">
        <f>SUMPRODUCT((M_BOM[RM_Code]=$A62)*M_BOM[RM_Qty_Per_Batch]*IFERROR(INDEX(PP_Grid[#Data],M_BOM[PPGridRow],92),0))</f>
        <v/>
      </c>
      <c r="CO62">
        <f>SUMPRODUCT((M_BOM[RM_Code]=$A62)*M_BOM[RM_Qty_Per_Batch]*IFERROR(INDEX(PP_Grid[#Data],M_BOM[PPGridRow],93),0))</f>
        <v/>
      </c>
      <c r="CP62">
        <f>SUMPRODUCT((M_BOM[RM_Code]=$A62)*M_BOM[RM_Qty_Per_Batch]*IFERROR(INDEX(PP_Grid[#Data],M_BOM[PPGridRow],94),0))</f>
        <v/>
      </c>
      <c r="CQ62">
        <f>SUMPRODUCT((M_BOM[RM_Code]=$A62)*M_BOM[RM_Qty_Per_Batch]*IFERROR(INDEX(PP_Grid[#Data],M_BOM[PPGridRow],95),0))</f>
        <v/>
      </c>
      <c r="CR62">
        <f>SUMPRODUCT((M_BOM[RM_Code]=$A62)*M_BOM[RM_Qty_Per_Batch]*IFERROR(INDEX(PP_Grid[#Data],M_BOM[PPGridRow],96),0))</f>
        <v/>
      </c>
      <c r="CS62">
        <f>SUMPRODUCT((M_BOM[RM_Code]=$A62)*M_BOM[RM_Qty_Per_Batch]*IFERROR(INDEX(PP_Grid[#Data],M_BOM[PPGridRow],97),0))</f>
        <v/>
      </c>
      <c r="CT62">
        <f>SUMPRODUCT((M_BOM[RM_Code]=$A62)*M_BOM[RM_Qty_Per_Batch]*IFERROR(INDEX(PP_Grid[#Data],M_BOM[PPGridRow],98),0))</f>
        <v/>
      </c>
      <c r="CU62">
        <f>SUMPRODUCT((M_BOM[RM_Code]=$A62)*M_BOM[RM_Qty_Per_Batch]*IFERROR(INDEX(PP_Grid[#Data],M_BOM[PPGridRow],99),0))</f>
        <v/>
      </c>
      <c r="CV62">
        <f>SUMPRODUCT((M_BOM[RM_Code]=$A62)*M_BOM[RM_Qty_Per_Batch]*IFERROR(INDEX(PP_Grid[#Data],M_BOM[PPGridRow],100),0))</f>
        <v/>
      </c>
      <c r="CW62">
        <f>SUMPRODUCT((M_BOM[RM_Code]=$A62)*M_BOM[RM_Qty_Per_Batch]*IFERROR(INDEX(PP_Grid[#Data],M_BOM[PPGridRow],101),0))</f>
        <v/>
      </c>
      <c r="CX62">
        <f>SUMPRODUCT((M_BOM[RM_Code]=$A62)*M_BOM[RM_Qty_Per_Batch]*IFERROR(INDEX(PP_Grid[#Data],M_BOM[PPGridRow],102),0))</f>
        <v/>
      </c>
      <c r="CY62">
        <f>SUMPRODUCT((M_BOM[RM_Code]=$A62)*M_BOM[RM_Qty_Per_Batch]*IFERROR(INDEX(PP_Grid[#Data],M_BOM[PPGridRow],103),0))</f>
        <v/>
      </c>
      <c r="CZ62">
        <f>SUMPRODUCT((M_BOM[RM_Code]=$A62)*M_BOM[RM_Qty_Per_Batch]*IFERROR(INDEX(PP_Grid[#Data],M_BOM[PPGridRow],104),0))</f>
        <v/>
      </c>
      <c r="DA62">
        <f>SUMPRODUCT((M_BOM[RM_Code]=$A62)*M_BOM[RM_Qty_Per_Batch]*IFERROR(INDEX(PP_Grid[#Data],M_BOM[PPGridRow],105),0))</f>
        <v/>
      </c>
    </row>
    <row r="63">
      <c r="A63" t="inlineStr">
        <is>
          <t>PP Film</t>
        </is>
      </c>
      <c r="B63">
        <f>SUMPRODUCT((M_BOM[RM_Code]=$A63)*M_BOM[RM_Qty_Per_Batch]*IFERROR(INDEX(PP_Grid[#Data],M_BOM[PPGridRow],2),0))</f>
        <v/>
      </c>
      <c r="C63">
        <f>SUMPRODUCT((M_BOM[RM_Code]=$A63)*M_BOM[RM_Qty_Per_Batch]*IFERROR(INDEX(PP_Grid[#Data],M_BOM[PPGridRow],3),0))</f>
        <v/>
      </c>
      <c r="D63">
        <f>SUMPRODUCT((M_BOM[RM_Code]=$A63)*M_BOM[RM_Qty_Per_Batch]*IFERROR(INDEX(PP_Grid[#Data],M_BOM[PPGridRow],4),0))</f>
        <v/>
      </c>
      <c r="E63">
        <f>SUMPRODUCT((M_BOM[RM_Code]=$A63)*M_BOM[RM_Qty_Per_Batch]*IFERROR(INDEX(PP_Grid[#Data],M_BOM[PPGridRow],5),0))</f>
        <v/>
      </c>
      <c r="F63">
        <f>SUMPRODUCT((M_BOM[RM_Code]=$A63)*M_BOM[RM_Qty_Per_Batch]*IFERROR(INDEX(PP_Grid[#Data],M_BOM[PPGridRow],6),0))</f>
        <v/>
      </c>
      <c r="G63">
        <f>SUMPRODUCT((M_BOM[RM_Code]=$A63)*M_BOM[RM_Qty_Per_Batch]*IFERROR(INDEX(PP_Grid[#Data],M_BOM[PPGridRow],7),0))</f>
        <v/>
      </c>
      <c r="H63">
        <f>SUMPRODUCT((M_BOM[RM_Code]=$A63)*M_BOM[RM_Qty_Per_Batch]*IFERROR(INDEX(PP_Grid[#Data],M_BOM[PPGridRow],8),0))</f>
        <v/>
      </c>
      <c r="I63">
        <f>SUMPRODUCT((M_BOM[RM_Code]=$A63)*M_BOM[RM_Qty_Per_Batch]*IFERROR(INDEX(PP_Grid[#Data],M_BOM[PPGridRow],9),0))</f>
        <v/>
      </c>
      <c r="J63">
        <f>SUMPRODUCT((M_BOM[RM_Code]=$A63)*M_BOM[RM_Qty_Per_Batch]*IFERROR(INDEX(PP_Grid[#Data],M_BOM[PPGridRow],10),0))</f>
        <v/>
      </c>
      <c r="K63">
        <f>SUMPRODUCT((M_BOM[RM_Code]=$A63)*M_BOM[RM_Qty_Per_Batch]*IFERROR(INDEX(PP_Grid[#Data],M_BOM[PPGridRow],11),0))</f>
        <v/>
      </c>
      <c r="L63">
        <f>SUMPRODUCT((M_BOM[RM_Code]=$A63)*M_BOM[RM_Qty_Per_Batch]*IFERROR(INDEX(PP_Grid[#Data],M_BOM[PPGridRow],12),0))</f>
        <v/>
      </c>
      <c r="M63">
        <f>SUMPRODUCT((M_BOM[RM_Code]=$A63)*M_BOM[RM_Qty_Per_Batch]*IFERROR(INDEX(PP_Grid[#Data],M_BOM[PPGridRow],13),0))</f>
        <v/>
      </c>
      <c r="N63">
        <f>SUMPRODUCT((M_BOM[RM_Code]=$A63)*M_BOM[RM_Qty_Per_Batch]*IFERROR(INDEX(PP_Grid[#Data],M_BOM[PPGridRow],14),0))</f>
        <v/>
      </c>
      <c r="O63">
        <f>SUMPRODUCT((M_BOM[RM_Code]=$A63)*M_BOM[RM_Qty_Per_Batch]*IFERROR(INDEX(PP_Grid[#Data],M_BOM[PPGridRow],15),0))</f>
        <v/>
      </c>
      <c r="P63">
        <f>SUMPRODUCT((M_BOM[RM_Code]=$A63)*M_BOM[RM_Qty_Per_Batch]*IFERROR(INDEX(PP_Grid[#Data],M_BOM[PPGridRow],16),0))</f>
        <v/>
      </c>
      <c r="Q63">
        <f>SUMPRODUCT((M_BOM[RM_Code]=$A63)*M_BOM[RM_Qty_Per_Batch]*IFERROR(INDEX(PP_Grid[#Data],M_BOM[PPGridRow],17),0))</f>
        <v/>
      </c>
      <c r="R63">
        <f>SUMPRODUCT((M_BOM[RM_Code]=$A63)*M_BOM[RM_Qty_Per_Batch]*IFERROR(INDEX(PP_Grid[#Data],M_BOM[PPGridRow],18),0))</f>
        <v/>
      </c>
      <c r="S63">
        <f>SUMPRODUCT((M_BOM[RM_Code]=$A63)*M_BOM[RM_Qty_Per_Batch]*IFERROR(INDEX(PP_Grid[#Data],M_BOM[PPGridRow],19),0))</f>
        <v/>
      </c>
      <c r="T63">
        <f>SUMPRODUCT((M_BOM[RM_Code]=$A63)*M_BOM[RM_Qty_Per_Batch]*IFERROR(INDEX(PP_Grid[#Data],M_BOM[PPGridRow],20),0))</f>
        <v/>
      </c>
      <c r="U63">
        <f>SUMPRODUCT((M_BOM[RM_Code]=$A63)*M_BOM[RM_Qty_Per_Batch]*IFERROR(INDEX(PP_Grid[#Data],M_BOM[PPGridRow],21),0))</f>
        <v/>
      </c>
      <c r="V63">
        <f>SUMPRODUCT((M_BOM[RM_Code]=$A63)*M_BOM[RM_Qty_Per_Batch]*IFERROR(INDEX(PP_Grid[#Data],M_BOM[PPGridRow],22),0))</f>
        <v/>
      </c>
      <c r="W63">
        <f>SUMPRODUCT((M_BOM[RM_Code]=$A63)*M_BOM[RM_Qty_Per_Batch]*IFERROR(INDEX(PP_Grid[#Data],M_BOM[PPGridRow],23),0))</f>
        <v/>
      </c>
      <c r="X63">
        <f>SUMPRODUCT((M_BOM[RM_Code]=$A63)*M_BOM[RM_Qty_Per_Batch]*IFERROR(INDEX(PP_Grid[#Data],M_BOM[PPGridRow],24),0))</f>
        <v/>
      </c>
      <c r="Y63">
        <f>SUMPRODUCT((M_BOM[RM_Code]=$A63)*M_BOM[RM_Qty_Per_Batch]*IFERROR(INDEX(PP_Grid[#Data],M_BOM[PPGridRow],25),0))</f>
        <v/>
      </c>
      <c r="Z63">
        <f>SUMPRODUCT((M_BOM[RM_Code]=$A63)*M_BOM[RM_Qty_Per_Batch]*IFERROR(INDEX(PP_Grid[#Data],M_BOM[PPGridRow],26),0))</f>
        <v/>
      </c>
      <c r="AA63">
        <f>SUMPRODUCT((M_BOM[RM_Code]=$A63)*M_BOM[RM_Qty_Per_Batch]*IFERROR(INDEX(PP_Grid[#Data],M_BOM[PPGridRow],27),0))</f>
        <v/>
      </c>
      <c r="AB63">
        <f>SUMPRODUCT((M_BOM[RM_Code]=$A63)*M_BOM[RM_Qty_Per_Batch]*IFERROR(INDEX(PP_Grid[#Data],M_BOM[PPGridRow],28),0))</f>
        <v/>
      </c>
      <c r="AC63">
        <f>SUMPRODUCT((M_BOM[RM_Code]=$A63)*M_BOM[RM_Qty_Per_Batch]*IFERROR(INDEX(PP_Grid[#Data],M_BOM[PPGridRow],29),0))</f>
        <v/>
      </c>
      <c r="AD63">
        <f>SUMPRODUCT((M_BOM[RM_Code]=$A63)*M_BOM[RM_Qty_Per_Batch]*IFERROR(INDEX(PP_Grid[#Data],M_BOM[PPGridRow],30),0))</f>
        <v/>
      </c>
      <c r="AE63">
        <f>SUMPRODUCT((M_BOM[RM_Code]=$A63)*M_BOM[RM_Qty_Per_Batch]*IFERROR(INDEX(PP_Grid[#Data],M_BOM[PPGridRow],31),0))</f>
        <v/>
      </c>
      <c r="AF63">
        <f>SUMPRODUCT((M_BOM[RM_Code]=$A63)*M_BOM[RM_Qty_Per_Batch]*IFERROR(INDEX(PP_Grid[#Data],M_BOM[PPGridRow],32),0))</f>
        <v/>
      </c>
      <c r="AG63">
        <f>SUMPRODUCT((M_BOM[RM_Code]=$A63)*M_BOM[RM_Qty_Per_Batch]*IFERROR(INDEX(PP_Grid[#Data],M_BOM[PPGridRow],33),0))</f>
        <v/>
      </c>
      <c r="AH63">
        <f>SUMPRODUCT((M_BOM[RM_Code]=$A63)*M_BOM[RM_Qty_Per_Batch]*IFERROR(INDEX(PP_Grid[#Data],M_BOM[PPGridRow],34),0))</f>
        <v/>
      </c>
      <c r="AI63">
        <f>SUMPRODUCT((M_BOM[RM_Code]=$A63)*M_BOM[RM_Qty_Per_Batch]*IFERROR(INDEX(PP_Grid[#Data],M_BOM[PPGridRow],35),0))</f>
        <v/>
      </c>
      <c r="AJ63">
        <f>SUMPRODUCT((M_BOM[RM_Code]=$A63)*M_BOM[RM_Qty_Per_Batch]*IFERROR(INDEX(PP_Grid[#Data],M_BOM[PPGridRow],36),0))</f>
        <v/>
      </c>
      <c r="AK63">
        <f>SUMPRODUCT((M_BOM[RM_Code]=$A63)*M_BOM[RM_Qty_Per_Batch]*IFERROR(INDEX(PP_Grid[#Data],M_BOM[PPGridRow],37),0))</f>
        <v/>
      </c>
      <c r="AL63">
        <f>SUMPRODUCT((M_BOM[RM_Code]=$A63)*M_BOM[RM_Qty_Per_Batch]*IFERROR(INDEX(PP_Grid[#Data],M_BOM[PPGridRow],38),0))</f>
        <v/>
      </c>
      <c r="AM63">
        <f>SUMPRODUCT((M_BOM[RM_Code]=$A63)*M_BOM[RM_Qty_Per_Batch]*IFERROR(INDEX(PP_Grid[#Data],M_BOM[PPGridRow],39),0))</f>
        <v/>
      </c>
      <c r="AN63">
        <f>SUMPRODUCT((M_BOM[RM_Code]=$A63)*M_BOM[RM_Qty_Per_Batch]*IFERROR(INDEX(PP_Grid[#Data],M_BOM[PPGridRow],40),0))</f>
        <v/>
      </c>
      <c r="AO63">
        <f>SUMPRODUCT((M_BOM[RM_Code]=$A63)*M_BOM[RM_Qty_Per_Batch]*IFERROR(INDEX(PP_Grid[#Data],M_BOM[PPGridRow],41),0))</f>
        <v/>
      </c>
      <c r="AP63">
        <f>SUMPRODUCT((M_BOM[RM_Code]=$A63)*M_BOM[RM_Qty_Per_Batch]*IFERROR(INDEX(PP_Grid[#Data],M_BOM[PPGridRow],42),0))</f>
        <v/>
      </c>
      <c r="AQ63">
        <f>SUMPRODUCT((M_BOM[RM_Code]=$A63)*M_BOM[RM_Qty_Per_Batch]*IFERROR(INDEX(PP_Grid[#Data],M_BOM[PPGridRow],43),0))</f>
        <v/>
      </c>
      <c r="AR63">
        <f>SUMPRODUCT((M_BOM[RM_Code]=$A63)*M_BOM[RM_Qty_Per_Batch]*IFERROR(INDEX(PP_Grid[#Data],M_BOM[PPGridRow],44),0))</f>
        <v/>
      </c>
      <c r="AS63">
        <f>SUMPRODUCT((M_BOM[RM_Code]=$A63)*M_BOM[RM_Qty_Per_Batch]*IFERROR(INDEX(PP_Grid[#Data],M_BOM[PPGridRow],45),0))</f>
        <v/>
      </c>
      <c r="AT63">
        <f>SUMPRODUCT((M_BOM[RM_Code]=$A63)*M_BOM[RM_Qty_Per_Batch]*IFERROR(INDEX(PP_Grid[#Data],M_BOM[PPGridRow],46),0))</f>
        <v/>
      </c>
      <c r="AU63">
        <f>SUMPRODUCT((M_BOM[RM_Code]=$A63)*M_BOM[RM_Qty_Per_Batch]*IFERROR(INDEX(PP_Grid[#Data],M_BOM[PPGridRow],47),0))</f>
        <v/>
      </c>
      <c r="AV63">
        <f>SUMPRODUCT((M_BOM[RM_Code]=$A63)*M_BOM[RM_Qty_Per_Batch]*IFERROR(INDEX(PP_Grid[#Data],M_BOM[PPGridRow],48),0))</f>
        <v/>
      </c>
      <c r="AW63">
        <f>SUMPRODUCT((M_BOM[RM_Code]=$A63)*M_BOM[RM_Qty_Per_Batch]*IFERROR(INDEX(PP_Grid[#Data],M_BOM[PPGridRow],49),0))</f>
        <v/>
      </c>
      <c r="AX63">
        <f>SUMPRODUCT((M_BOM[RM_Code]=$A63)*M_BOM[RM_Qty_Per_Batch]*IFERROR(INDEX(PP_Grid[#Data],M_BOM[PPGridRow],50),0))</f>
        <v/>
      </c>
      <c r="AY63">
        <f>SUMPRODUCT((M_BOM[RM_Code]=$A63)*M_BOM[RM_Qty_Per_Batch]*IFERROR(INDEX(PP_Grid[#Data],M_BOM[PPGridRow],51),0))</f>
        <v/>
      </c>
      <c r="AZ63">
        <f>SUMPRODUCT((M_BOM[RM_Code]=$A63)*M_BOM[RM_Qty_Per_Batch]*IFERROR(INDEX(PP_Grid[#Data],M_BOM[PPGridRow],52),0))</f>
        <v/>
      </c>
      <c r="BA63">
        <f>SUMPRODUCT((M_BOM[RM_Code]=$A63)*M_BOM[RM_Qty_Per_Batch]*IFERROR(INDEX(PP_Grid[#Data],M_BOM[PPGridRow],53),0))</f>
        <v/>
      </c>
      <c r="BB63">
        <f>SUMPRODUCT((M_BOM[RM_Code]=$A63)*M_BOM[RM_Qty_Per_Batch]*IFERROR(INDEX(PP_Grid[#Data],M_BOM[PPGridRow],54),0))</f>
        <v/>
      </c>
      <c r="BC63">
        <f>SUMPRODUCT((M_BOM[RM_Code]=$A63)*M_BOM[RM_Qty_Per_Batch]*IFERROR(INDEX(PP_Grid[#Data],M_BOM[PPGridRow],55),0))</f>
        <v/>
      </c>
      <c r="BD63">
        <f>SUMPRODUCT((M_BOM[RM_Code]=$A63)*M_BOM[RM_Qty_Per_Batch]*IFERROR(INDEX(PP_Grid[#Data],M_BOM[PPGridRow],56),0))</f>
        <v/>
      </c>
      <c r="BE63">
        <f>SUMPRODUCT((M_BOM[RM_Code]=$A63)*M_BOM[RM_Qty_Per_Batch]*IFERROR(INDEX(PP_Grid[#Data],M_BOM[PPGridRow],57),0))</f>
        <v/>
      </c>
      <c r="BF63">
        <f>SUMPRODUCT((M_BOM[RM_Code]=$A63)*M_BOM[RM_Qty_Per_Batch]*IFERROR(INDEX(PP_Grid[#Data],M_BOM[PPGridRow],58),0))</f>
        <v/>
      </c>
      <c r="BG63">
        <f>SUMPRODUCT((M_BOM[RM_Code]=$A63)*M_BOM[RM_Qty_Per_Batch]*IFERROR(INDEX(PP_Grid[#Data],M_BOM[PPGridRow],59),0))</f>
        <v/>
      </c>
      <c r="BH63">
        <f>SUMPRODUCT((M_BOM[RM_Code]=$A63)*M_BOM[RM_Qty_Per_Batch]*IFERROR(INDEX(PP_Grid[#Data],M_BOM[PPGridRow],60),0))</f>
        <v/>
      </c>
      <c r="BI63">
        <f>SUMPRODUCT((M_BOM[RM_Code]=$A63)*M_BOM[RM_Qty_Per_Batch]*IFERROR(INDEX(PP_Grid[#Data],M_BOM[PPGridRow],61),0))</f>
        <v/>
      </c>
      <c r="BJ63">
        <f>SUMPRODUCT((M_BOM[RM_Code]=$A63)*M_BOM[RM_Qty_Per_Batch]*IFERROR(INDEX(PP_Grid[#Data],M_BOM[PPGridRow],62),0))</f>
        <v/>
      </c>
      <c r="BK63">
        <f>SUMPRODUCT((M_BOM[RM_Code]=$A63)*M_BOM[RM_Qty_Per_Batch]*IFERROR(INDEX(PP_Grid[#Data],M_BOM[PPGridRow],63),0))</f>
        <v/>
      </c>
      <c r="BL63">
        <f>SUMPRODUCT((M_BOM[RM_Code]=$A63)*M_BOM[RM_Qty_Per_Batch]*IFERROR(INDEX(PP_Grid[#Data],M_BOM[PPGridRow],64),0))</f>
        <v/>
      </c>
      <c r="BM63">
        <f>SUMPRODUCT((M_BOM[RM_Code]=$A63)*M_BOM[RM_Qty_Per_Batch]*IFERROR(INDEX(PP_Grid[#Data],M_BOM[PPGridRow],65),0))</f>
        <v/>
      </c>
      <c r="BN63">
        <f>SUMPRODUCT((M_BOM[RM_Code]=$A63)*M_BOM[RM_Qty_Per_Batch]*IFERROR(INDEX(PP_Grid[#Data],M_BOM[PPGridRow],66),0))</f>
        <v/>
      </c>
      <c r="BO63">
        <f>SUMPRODUCT((M_BOM[RM_Code]=$A63)*M_BOM[RM_Qty_Per_Batch]*IFERROR(INDEX(PP_Grid[#Data],M_BOM[PPGridRow],67),0))</f>
        <v/>
      </c>
      <c r="BP63">
        <f>SUMPRODUCT((M_BOM[RM_Code]=$A63)*M_BOM[RM_Qty_Per_Batch]*IFERROR(INDEX(PP_Grid[#Data],M_BOM[PPGridRow],68),0))</f>
        <v/>
      </c>
      <c r="BQ63">
        <f>SUMPRODUCT((M_BOM[RM_Code]=$A63)*M_BOM[RM_Qty_Per_Batch]*IFERROR(INDEX(PP_Grid[#Data],M_BOM[PPGridRow],69),0))</f>
        <v/>
      </c>
      <c r="BR63">
        <f>SUMPRODUCT((M_BOM[RM_Code]=$A63)*M_BOM[RM_Qty_Per_Batch]*IFERROR(INDEX(PP_Grid[#Data],M_BOM[PPGridRow],70),0))</f>
        <v/>
      </c>
      <c r="BS63">
        <f>SUMPRODUCT((M_BOM[RM_Code]=$A63)*M_BOM[RM_Qty_Per_Batch]*IFERROR(INDEX(PP_Grid[#Data],M_BOM[PPGridRow],71),0))</f>
        <v/>
      </c>
      <c r="BT63">
        <f>SUMPRODUCT((M_BOM[RM_Code]=$A63)*M_BOM[RM_Qty_Per_Batch]*IFERROR(INDEX(PP_Grid[#Data],M_BOM[PPGridRow],72),0))</f>
        <v/>
      </c>
      <c r="BU63">
        <f>SUMPRODUCT((M_BOM[RM_Code]=$A63)*M_BOM[RM_Qty_Per_Batch]*IFERROR(INDEX(PP_Grid[#Data],M_BOM[PPGridRow],73),0))</f>
        <v/>
      </c>
      <c r="BV63">
        <f>SUMPRODUCT((M_BOM[RM_Code]=$A63)*M_BOM[RM_Qty_Per_Batch]*IFERROR(INDEX(PP_Grid[#Data],M_BOM[PPGridRow],74),0))</f>
        <v/>
      </c>
      <c r="BW63">
        <f>SUMPRODUCT((M_BOM[RM_Code]=$A63)*M_BOM[RM_Qty_Per_Batch]*IFERROR(INDEX(PP_Grid[#Data],M_BOM[PPGridRow],75),0))</f>
        <v/>
      </c>
      <c r="BX63">
        <f>SUMPRODUCT((M_BOM[RM_Code]=$A63)*M_BOM[RM_Qty_Per_Batch]*IFERROR(INDEX(PP_Grid[#Data],M_BOM[PPGridRow],76),0))</f>
        <v/>
      </c>
      <c r="BY63">
        <f>SUMPRODUCT((M_BOM[RM_Code]=$A63)*M_BOM[RM_Qty_Per_Batch]*IFERROR(INDEX(PP_Grid[#Data],M_BOM[PPGridRow],77),0))</f>
        <v/>
      </c>
      <c r="BZ63">
        <f>SUMPRODUCT((M_BOM[RM_Code]=$A63)*M_BOM[RM_Qty_Per_Batch]*IFERROR(INDEX(PP_Grid[#Data],M_BOM[PPGridRow],78),0))</f>
        <v/>
      </c>
      <c r="CA63">
        <f>SUMPRODUCT((M_BOM[RM_Code]=$A63)*M_BOM[RM_Qty_Per_Batch]*IFERROR(INDEX(PP_Grid[#Data],M_BOM[PPGridRow],79),0))</f>
        <v/>
      </c>
      <c r="CB63">
        <f>SUMPRODUCT((M_BOM[RM_Code]=$A63)*M_BOM[RM_Qty_Per_Batch]*IFERROR(INDEX(PP_Grid[#Data],M_BOM[PPGridRow],80),0))</f>
        <v/>
      </c>
      <c r="CC63">
        <f>SUMPRODUCT((M_BOM[RM_Code]=$A63)*M_BOM[RM_Qty_Per_Batch]*IFERROR(INDEX(PP_Grid[#Data],M_BOM[PPGridRow],81),0))</f>
        <v/>
      </c>
      <c r="CD63">
        <f>SUMPRODUCT((M_BOM[RM_Code]=$A63)*M_BOM[RM_Qty_Per_Batch]*IFERROR(INDEX(PP_Grid[#Data],M_BOM[PPGridRow],82),0))</f>
        <v/>
      </c>
      <c r="CE63">
        <f>SUMPRODUCT((M_BOM[RM_Code]=$A63)*M_BOM[RM_Qty_Per_Batch]*IFERROR(INDEX(PP_Grid[#Data],M_BOM[PPGridRow],83),0))</f>
        <v/>
      </c>
      <c r="CF63">
        <f>SUMPRODUCT((M_BOM[RM_Code]=$A63)*M_BOM[RM_Qty_Per_Batch]*IFERROR(INDEX(PP_Grid[#Data],M_BOM[PPGridRow],84),0))</f>
        <v/>
      </c>
      <c r="CG63">
        <f>SUMPRODUCT((M_BOM[RM_Code]=$A63)*M_BOM[RM_Qty_Per_Batch]*IFERROR(INDEX(PP_Grid[#Data],M_BOM[PPGridRow],85),0))</f>
        <v/>
      </c>
      <c r="CH63">
        <f>SUMPRODUCT((M_BOM[RM_Code]=$A63)*M_BOM[RM_Qty_Per_Batch]*IFERROR(INDEX(PP_Grid[#Data],M_BOM[PPGridRow],86),0))</f>
        <v/>
      </c>
      <c r="CI63">
        <f>SUMPRODUCT((M_BOM[RM_Code]=$A63)*M_BOM[RM_Qty_Per_Batch]*IFERROR(INDEX(PP_Grid[#Data],M_BOM[PPGridRow],87),0))</f>
        <v/>
      </c>
      <c r="CJ63">
        <f>SUMPRODUCT((M_BOM[RM_Code]=$A63)*M_BOM[RM_Qty_Per_Batch]*IFERROR(INDEX(PP_Grid[#Data],M_BOM[PPGridRow],88),0))</f>
        <v/>
      </c>
      <c r="CK63">
        <f>SUMPRODUCT((M_BOM[RM_Code]=$A63)*M_BOM[RM_Qty_Per_Batch]*IFERROR(INDEX(PP_Grid[#Data],M_BOM[PPGridRow],89),0))</f>
        <v/>
      </c>
      <c r="CL63">
        <f>SUMPRODUCT((M_BOM[RM_Code]=$A63)*M_BOM[RM_Qty_Per_Batch]*IFERROR(INDEX(PP_Grid[#Data],M_BOM[PPGridRow],90),0))</f>
        <v/>
      </c>
      <c r="CM63">
        <f>SUMPRODUCT((M_BOM[RM_Code]=$A63)*M_BOM[RM_Qty_Per_Batch]*IFERROR(INDEX(PP_Grid[#Data],M_BOM[PPGridRow],91),0))</f>
        <v/>
      </c>
      <c r="CN63">
        <f>SUMPRODUCT((M_BOM[RM_Code]=$A63)*M_BOM[RM_Qty_Per_Batch]*IFERROR(INDEX(PP_Grid[#Data],M_BOM[PPGridRow],92),0))</f>
        <v/>
      </c>
      <c r="CO63">
        <f>SUMPRODUCT((M_BOM[RM_Code]=$A63)*M_BOM[RM_Qty_Per_Batch]*IFERROR(INDEX(PP_Grid[#Data],M_BOM[PPGridRow],93),0))</f>
        <v/>
      </c>
      <c r="CP63">
        <f>SUMPRODUCT((M_BOM[RM_Code]=$A63)*M_BOM[RM_Qty_Per_Batch]*IFERROR(INDEX(PP_Grid[#Data],M_BOM[PPGridRow],94),0))</f>
        <v/>
      </c>
      <c r="CQ63">
        <f>SUMPRODUCT((M_BOM[RM_Code]=$A63)*M_BOM[RM_Qty_Per_Batch]*IFERROR(INDEX(PP_Grid[#Data],M_BOM[PPGridRow],95),0))</f>
        <v/>
      </c>
      <c r="CR63">
        <f>SUMPRODUCT((M_BOM[RM_Code]=$A63)*M_BOM[RM_Qty_Per_Batch]*IFERROR(INDEX(PP_Grid[#Data],M_BOM[PPGridRow],96),0))</f>
        <v/>
      </c>
      <c r="CS63">
        <f>SUMPRODUCT((M_BOM[RM_Code]=$A63)*M_BOM[RM_Qty_Per_Batch]*IFERROR(INDEX(PP_Grid[#Data],M_BOM[PPGridRow],97),0))</f>
        <v/>
      </c>
      <c r="CT63">
        <f>SUMPRODUCT((M_BOM[RM_Code]=$A63)*M_BOM[RM_Qty_Per_Batch]*IFERROR(INDEX(PP_Grid[#Data],M_BOM[PPGridRow],98),0))</f>
        <v/>
      </c>
      <c r="CU63">
        <f>SUMPRODUCT((M_BOM[RM_Code]=$A63)*M_BOM[RM_Qty_Per_Batch]*IFERROR(INDEX(PP_Grid[#Data],M_BOM[PPGridRow],99),0))</f>
        <v/>
      </c>
      <c r="CV63">
        <f>SUMPRODUCT((M_BOM[RM_Code]=$A63)*M_BOM[RM_Qty_Per_Batch]*IFERROR(INDEX(PP_Grid[#Data],M_BOM[PPGridRow],100),0))</f>
        <v/>
      </c>
      <c r="CW63">
        <f>SUMPRODUCT((M_BOM[RM_Code]=$A63)*M_BOM[RM_Qty_Per_Batch]*IFERROR(INDEX(PP_Grid[#Data],M_BOM[PPGridRow],101),0))</f>
        <v/>
      </c>
      <c r="CX63">
        <f>SUMPRODUCT((M_BOM[RM_Code]=$A63)*M_BOM[RM_Qty_Per_Batch]*IFERROR(INDEX(PP_Grid[#Data],M_BOM[PPGridRow],102),0))</f>
        <v/>
      </c>
      <c r="CY63">
        <f>SUMPRODUCT((M_BOM[RM_Code]=$A63)*M_BOM[RM_Qty_Per_Batch]*IFERROR(INDEX(PP_Grid[#Data],M_BOM[PPGridRow],103),0))</f>
        <v/>
      </c>
      <c r="CZ63">
        <f>SUMPRODUCT((M_BOM[RM_Code]=$A63)*M_BOM[RM_Qty_Per_Batch]*IFERROR(INDEX(PP_Grid[#Data],M_BOM[PPGridRow],104),0))</f>
        <v/>
      </c>
      <c r="DA63">
        <f>SUMPRODUCT((M_BOM[RM_Code]=$A63)*M_BOM[RM_Qty_Per_Batch]*IFERROR(INDEX(PP_Grid[#Data],M_BOM[PPGridRow],105),0))</f>
        <v/>
      </c>
    </row>
    <row r="64">
      <c r="A64" t="inlineStr">
        <is>
          <t>5SN</t>
        </is>
      </c>
      <c r="B64">
        <f>SUMPRODUCT((M_BOM[RM_Code]=$A64)*M_BOM[RM_Qty_Per_Batch]*IFERROR(INDEX(PP_Grid[#Data],M_BOM[PPGridRow],2),0))</f>
        <v/>
      </c>
      <c r="C64">
        <f>SUMPRODUCT((M_BOM[RM_Code]=$A64)*M_BOM[RM_Qty_Per_Batch]*IFERROR(INDEX(PP_Grid[#Data],M_BOM[PPGridRow],3),0))</f>
        <v/>
      </c>
      <c r="D64">
        <f>SUMPRODUCT((M_BOM[RM_Code]=$A64)*M_BOM[RM_Qty_Per_Batch]*IFERROR(INDEX(PP_Grid[#Data],M_BOM[PPGridRow],4),0))</f>
        <v/>
      </c>
      <c r="E64">
        <f>SUMPRODUCT((M_BOM[RM_Code]=$A64)*M_BOM[RM_Qty_Per_Batch]*IFERROR(INDEX(PP_Grid[#Data],M_BOM[PPGridRow],5),0))</f>
        <v/>
      </c>
      <c r="F64">
        <f>SUMPRODUCT((M_BOM[RM_Code]=$A64)*M_BOM[RM_Qty_Per_Batch]*IFERROR(INDEX(PP_Grid[#Data],M_BOM[PPGridRow],6),0))</f>
        <v/>
      </c>
      <c r="G64">
        <f>SUMPRODUCT((M_BOM[RM_Code]=$A64)*M_BOM[RM_Qty_Per_Batch]*IFERROR(INDEX(PP_Grid[#Data],M_BOM[PPGridRow],7),0))</f>
        <v/>
      </c>
      <c r="H64">
        <f>SUMPRODUCT((M_BOM[RM_Code]=$A64)*M_BOM[RM_Qty_Per_Batch]*IFERROR(INDEX(PP_Grid[#Data],M_BOM[PPGridRow],8),0))</f>
        <v/>
      </c>
      <c r="I64">
        <f>SUMPRODUCT((M_BOM[RM_Code]=$A64)*M_BOM[RM_Qty_Per_Batch]*IFERROR(INDEX(PP_Grid[#Data],M_BOM[PPGridRow],9),0))</f>
        <v/>
      </c>
      <c r="J64">
        <f>SUMPRODUCT((M_BOM[RM_Code]=$A64)*M_BOM[RM_Qty_Per_Batch]*IFERROR(INDEX(PP_Grid[#Data],M_BOM[PPGridRow],10),0))</f>
        <v/>
      </c>
      <c r="K64">
        <f>SUMPRODUCT((M_BOM[RM_Code]=$A64)*M_BOM[RM_Qty_Per_Batch]*IFERROR(INDEX(PP_Grid[#Data],M_BOM[PPGridRow],11),0))</f>
        <v/>
      </c>
      <c r="L64">
        <f>SUMPRODUCT((M_BOM[RM_Code]=$A64)*M_BOM[RM_Qty_Per_Batch]*IFERROR(INDEX(PP_Grid[#Data],M_BOM[PPGridRow],12),0))</f>
        <v/>
      </c>
      <c r="M64">
        <f>SUMPRODUCT((M_BOM[RM_Code]=$A64)*M_BOM[RM_Qty_Per_Batch]*IFERROR(INDEX(PP_Grid[#Data],M_BOM[PPGridRow],13),0))</f>
        <v/>
      </c>
      <c r="N64">
        <f>SUMPRODUCT((M_BOM[RM_Code]=$A64)*M_BOM[RM_Qty_Per_Batch]*IFERROR(INDEX(PP_Grid[#Data],M_BOM[PPGridRow],14),0))</f>
        <v/>
      </c>
      <c r="O64">
        <f>SUMPRODUCT((M_BOM[RM_Code]=$A64)*M_BOM[RM_Qty_Per_Batch]*IFERROR(INDEX(PP_Grid[#Data],M_BOM[PPGridRow],15),0))</f>
        <v/>
      </c>
      <c r="P64">
        <f>SUMPRODUCT((M_BOM[RM_Code]=$A64)*M_BOM[RM_Qty_Per_Batch]*IFERROR(INDEX(PP_Grid[#Data],M_BOM[PPGridRow],16),0))</f>
        <v/>
      </c>
      <c r="Q64">
        <f>SUMPRODUCT((M_BOM[RM_Code]=$A64)*M_BOM[RM_Qty_Per_Batch]*IFERROR(INDEX(PP_Grid[#Data],M_BOM[PPGridRow],17),0))</f>
        <v/>
      </c>
      <c r="R64">
        <f>SUMPRODUCT((M_BOM[RM_Code]=$A64)*M_BOM[RM_Qty_Per_Batch]*IFERROR(INDEX(PP_Grid[#Data],M_BOM[PPGridRow],18),0))</f>
        <v/>
      </c>
      <c r="S64">
        <f>SUMPRODUCT((M_BOM[RM_Code]=$A64)*M_BOM[RM_Qty_Per_Batch]*IFERROR(INDEX(PP_Grid[#Data],M_BOM[PPGridRow],19),0))</f>
        <v/>
      </c>
      <c r="T64">
        <f>SUMPRODUCT((M_BOM[RM_Code]=$A64)*M_BOM[RM_Qty_Per_Batch]*IFERROR(INDEX(PP_Grid[#Data],M_BOM[PPGridRow],20),0))</f>
        <v/>
      </c>
      <c r="U64">
        <f>SUMPRODUCT((M_BOM[RM_Code]=$A64)*M_BOM[RM_Qty_Per_Batch]*IFERROR(INDEX(PP_Grid[#Data],M_BOM[PPGridRow],21),0))</f>
        <v/>
      </c>
      <c r="V64">
        <f>SUMPRODUCT((M_BOM[RM_Code]=$A64)*M_BOM[RM_Qty_Per_Batch]*IFERROR(INDEX(PP_Grid[#Data],M_BOM[PPGridRow],22),0))</f>
        <v/>
      </c>
      <c r="W64">
        <f>SUMPRODUCT((M_BOM[RM_Code]=$A64)*M_BOM[RM_Qty_Per_Batch]*IFERROR(INDEX(PP_Grid[#Data],M_BOM[PPGridRow],23),0))</f>
        <v/>
      </c>
      <c r="X64">
        <f>SUMPRODUCT((M_BOM[RM_Code]=$A64)*M_BOM[RM_Qty_Per_Batch]*IFERROR(INDEX(PP_Grid[#Data],M_BOM[PPGridRow],24),0))</f>
        <v/>
      </c>
      <c r="Y64">
        <f>SUMPRODUCT((M_BOM[RM_Code]=$A64)*M_BOM[RM_Qty_Per_Batch]*IFERROR(INDEX(PP_Grid[#Data],M_BOM[PPGridRow],25),0))</f>
        <v/>
      </c>
      <c r="Z64">
        <f>SUMPRODUCT((M_BOM[RM_Code]=$A64)*M_BOM[RM_Qty_Per_Batch]*IFERROR(INDEX(PP_Grid[#Data],M_BOM[PPGridRow],26),0))</f>
        <v/>
      </c>
      <c r="AA64">
        <f>SUMPRODUCT((M_BOM[RM_Code]=$A64)*M_BOM[RM_Qty_Per_Batch]*IFERROR(INDEX(PP_Grid[#Data],M_BOM[PPGridRow],27),0))</f>
        <v/>
      </c>
      <c r="AB64">
        <f>SUMPRODUCT((M_BOM[RM_Code]=$A64)*M_BOM[RM_Qty_Per_Batch]*IFERROR(INDEX(PP_Grid[#Data],M_BOM[PPGridRow],28),0))</f>
        <v/>
      </c>
      <c r="AC64">
        <f>SUMPRODUCT((M_BOM[RM_Code]=$A64)*M_BOM[RM_Qty_Per_Batch]*IFERROR(INDEX(PP_Grid[#Data],M_BOM[PPGridRow],29),0))</f>
        <v/>
      </c>
      <c r="AD64">
        <f>SUMPRODUCT((M_BOM[RM_Code]=$A64)*M_BOM[RM_Qty_Per_Batch]*IFERROR(INDEX(PP_Grid[#Data],M_BOM[PPGridRow],30),0))</f>
        <v/>
      </c>
      <c r="AE64">
        <f>SUMPRODUCT((M_BOM[RM_Code]=$A64)*M_BOM[RM_Qty_Per_Batch]*IFERROR(INDEX(PP_Grid[#Data],M_BOM[PPGridRow],31),0))</f>
        <v/>
      </c>
      <c r="AF64">
        <f>SUMPRODUCT((M_BOM[RM_Code]=$A64)*M_BOM[RM_Qty_Per_Batch]*IFERROR(INDEX(PP_Grid[#Data],M_BOM[PPGridRow],32),0))</f>
        <v/>
      </c>
      <c r="AG64">
        <f>SUMPRODUCT((M_BOM[RM_Code]=$A64)*M_BOM[RM_Qty_Per_Batch]*IFERROR(INDEX(PP_Grid[#Data],M_BOM[PPGridRow],33),0))</f>
        <v/>
      </c>
      <c r="AH64">
        <f>SUMPRODUCT((M_BOM[RM_Code]=$A64)*M_BOM[RM_Qty_Per_Batch]*IFERROR(INDEX(PP_Grid[#Data],M_BOM[PPGridRow],34),0))</f>
        <v/>
      </c>
      <c r="AI64">
        <f>SUMPRODUCT((M_BOM[RM_Code]=$A64)*M_BOM[RM_Qty_Per_Batch]*IFERROR(INDEX(PP_Grid[#Data],M_BOM[PPGridRow],35),0))</f>
        <v/>
      </c>
      <c r="AJ64">
        <f>SUMPRODUCT((M_BOM[RM_Code]=$A64)*M_BOM[RM_Qty_Per_Batch]*IFERROR(INDEX(PP_Grid[#Data],M_BOM[PPGridRow],36),0))</f>
        <v/>
      </c>
      <c r="AK64">
        <f>SUMPRODUCT((M_BOM[RM_Code]=$A64)*M_BOM[RM_Qty_Per_Batch]*IFERROR(INDEX(PP_Grid[#Data],M_BOM[PPGridRow],37),0))</f>
        <v/>
      </c>
      <c r="AL64">
        <f>SUMPRODUCT((M_BOM[RM_Code]=$A64)*M_BOM[RM_Qty_Per_Batch]*IFERROR(INDEX(PP_Grid[#Data],M_BOM[PPGridRow],38),0))</f>
        <v/>
      </c>
      <c r="AM64">
        <f>SUMPRODUCT((M_BOM[RM_Code]=$A64)*M_BOM[RM_Qty_Per_Batch]*IFERROR(INDEX(PP_Grid[#Data],M_BOM[PPGridRow],39),0))</f>
        <v/>
      </c>
      <c r="AN64">
        <f>SUMPRODUCT((M_BOM[RM_Code]=$A64)*M_BOM[RM_Qty_Per_Batch]*IFERROR(INDEX(PP_Grid[#Data],M_BOM[PPGridRow],40),0))</f>
        <v/>
      </c>
      <c r="AO64">
        <f>SUMPRODUCT((M_BOM[RM_Code]=$A64)*M_BOM[RM_Qty_Per_Batch]*IFERROR(INDEX(PP_Grid[#Data],M_BOM[PPGridRow],41),0))</f>
        <v/>
      </c>
      <c r="AP64">
        <f>SUMPRODUCT((M_BOM[RM_Code]=$A64)*M_BOM[RM_Qty_Per_Batch]*IFERROR(INDEX(PP_Grid[#Data],M_BOM[PPGridRow],42),0))</f>
        <v/>
      </c>
      <c r="AQ64">
        <f>SUMPRODUCT((M_BOM[RM_Code]=$A64)*M_BOM[RM_Qty_Per_Batch]*IFERROR(INDEX(PP_Grid[#Data],M_BOM[PPGridRow],43),0))</f>
        <v/>
      </c>
      <c r="AR64">
        <f>SUMPRODUCT((M_BOM[RM_Code]=$A64)*M_BOM[RM_Qty_Per_Batch]*IFERROR(INDEX(PP_Grid[#Data],M_BOM[PPGridRow],44),0))</f>
        <v/>
      </c>
      <c r="AS64">
        <f>SUMPRODUCT((M_BOM[RM_Code]=$A64)*M_BOM[RM_Qty_Per_Batch]*IFERROR(INDEX(PP_Grid[#Data],M_BOM[PPGridRow],45),0))</f>
        <v/>
      </c>
      <c r="AT64">
        <f>SUMPRODUCT((M_BOM[RM_Code]=$A64)*M_BOM[RM_Qty_Per_Batch]*IFERROR(INDEX(PP_Grid[#Data],M_BOM[PPGridRow],46),0))</f>
        <v/>
      </c>
      <c r="AU64">
        <f>SUMPRODUCT((M_BOM[RM_Code]=$A64)*M_BOM[RM_Qty_Per_Batch]*IFERROR(INDEX(PP_Grid[#Data],M_BOM[PPGridRow],47),0))</f>
        <v/>
      </c>
      <c r="AV64">
        <f>SUMPRODUCT((M_BOM[RM_Code]=$A64)*M_BOM[RM_Qty_Per_Batch]*IFERROR(INDEX(PP_Grid[#Data],M_BOM[PPGridRow],48),0))</f>
        <v/>
      </c>
      <c r="AW64">
        <f>SUMPRODUCT((M_BOM[RM_Code]=$A64)*M_BOM[RM_Qty_Per_Batch]*IFERROR(INDEX(PP_Grid[#Data],M_BOM[PPGridRow],49),0))</f>
        <v/>
      </c>
      <c r="AX64">
        <f>SUMPRODUCT((M_BOM[RM_Code]=$A64)*M_BOM[RM_Qty_Per_Batch]*IFERROR(INDEX(PP_Grid[#Data],M_BOM[PPGridRow],50),0))</f>
        <v/>
      </c>
      <c r="AY64">
        <f>SUMPRODUCT((M_BOM[RM_Code]=$A64)*M_BOM[RM_Qty_Per_Batch]*IFERROR(INDEX(PP_Grid[#Data],M_BOM[PPGridRow],51),0))</f>
        <v/>
      </c>
      <c r="AZ64">
        <f>SUMPRODUCT((M_BOM[RM_Code]=$A64)*M_BOM[RM_Qty_Per_Batch]*IFERROR(INDEX(PP_Grid[#Data],M_BOM[PPGridRow],52),0))</f>
        <v/>
      </c>
      <c r="BA64">
        <f>SUMPRODUCT((M_BOM[RM_Code]=$A64)*M_BOM[RM_Qty_Per_Batch]*IFERROR(INDEX(PP_Grid[#Data],M_BOM[PPGridRow],53),0))</f>
        <v/>
      </c>
      <c r="BB64">
        <f>SUMPRODUCT((M_BOM[RM_Code]=$A64)*M_BOM[RM_Qty_Per_Batch]*IFERROR(INDEX(PP_Grid[#Data],M_BOM[PPGridRow],54),0))</f>
        <v/>
      </c>
      <c r="BC64">
        <f>SUMPRODUCT((M_BOM[RM_Code]=$A64)*M_BOM[RM_Qty_Per_Batch]*IFERROR(INDEX(PP_Grid[#Data],M_BOM[PPGridRow],55),0))</f>
        <v/>
      </c>
      <c r="BD64">
        <f>SUMPRODUCT((M_BOM[RM_Code]=$A64)*M_BOM[RM_Qty_Per_Batch]*IFERROR(INDEX(PP_Grid[#Data],M_BOM[PPGridRow],56),0))</f>
        <v/>
      </c>
      <c r="BE64">
        <f>SUMPRODUCT((M_BOM[RM_Code]=$A64)*M_BOM[RM_Qty_Per_Batch]*IFERROR(INDEX(PP_Grid[#Data],M_BOM[PPGridRow],57),0))</f>
        <v/>
      </c>
      <c r="BF64">
        <f>SUMPRODUCT((M_BOM[RM_Code]=$A64)*M_BOM[RM_Qty_Per_Batch]*IFERROR(INDEX(PP_Grid[#Data],M_BOM[PPGridRow],58),0))</f>
        <v/>
      </c>
      <c r="BG64">
        <f>SUMPRODUCT((M_BOM[RM_Code]=$A64)*M_BOM[RM_Qty_Per_Batch]*IFERROR(INDEX(PP_Grid[#Data],M_BOM[PPGridRow],59),0))</f>
        <v/>
      </c>
      <c r="BH64">
        <f>SUMPRODUCT((M_BOM[RM_Code]=$A64)*M_BOM[RM_Qty_Per_Batch]*IFERROR(INDEX(PP_Grid[#Data],M_BOM[PPGridRow],60),0))</f>
        <v/>
      </c>
      <c r="BI64">
        <f>SUMPRODUCT((M_BOM[RM_Code]=$A64)*M_BOM[RM_Qty_Per_Batch]*IFERROR(INDEX(PP_Grid[#Data],M_BOM[PPGridRow],61),0))</f>
        <v/>
      </c>
      <c r="BJ64">
        <f>SUMPRODUCT((M_BOM[RM_Code]=$A64)*M_BOM[RM_Qty_Per_Batch]*IFERROR(INDEX(PP_Grid[#Data],M_BOM[PPGridRow],62),0))</f>
        <v/>
      </c>
      <c r="BK64">
        <f>SUMPRODUCT((M_BOM[RM_Code]=$A64)*M_BOM[RM_Qty_Per_Batch]*IFERROR(INDEX(PP_Grid[#Data],M_BOM[PPGridRow],63),0))</f>
        <v/>
      </c>
      <c r="BL64">
        <f>SUMPRODUCT((M_BOM[RM_Code]=$A64)*M_BOM[RM_Qty_Per_Batch]*IFERROR(INDEX(PP_Grid[#Data],M_BOM[PPGridRow],64),0))</f>
        <v/>
      </c>
      <c r="BM64">
        <f>SUMPRODUCT((M_BOM[RM_Code]=$A64)*M_BOM[RM_Qty_Per_Batch]*IFERROR(INDEX(PP_Grid[#Data],M_BOM[PPGridRow],65),0))</f>
        <v/>
      </c>
      <c r="BN64">
        <f>SUMPRODUCT((M_BOM[RM_Code]=$A64)*M_BOM[RM_Qty_Per_Batch]*IFERROR(INDEX(PP_Grid[#Data],M_BOM[PPGridRow],66),0))</f>
        <v/>
      </c>
      <c r="BO64">
        <f>SUMPRODUCT((M_BOM[RM_Code]=$A64)*M_BOM[RM_Qty_Per_Batch]*IFERROR(INDEX(PP_Grid[#Data],M_BOM[PPGridRow],67),0))</f>
        <v/>
      </c>
      <c r="BP64">
        <f>SUMPRODUCT((M_BOM[RM_Code]=$A64)*M_BOM[RM_Qty_Per_Batch]*IFERROR(INDEX(PP_Grid[#Data],M_BOM[PPGridRow],68),0))</f>
        <v/>
      </c>
      <c r="BQ64">
        <f>SUMPRODUCT((M_BOM[RM_Code]=$A64)*M_BOM[RM_Qty_Per_Batch]*IFERROR(INDEX(PP_Grid[#Data],M_BOM[PPGridRow],69),0))</f>
        <v/>
      </c>
      <c r="BR64">
        <f>SUMPRODUCT((M_BOM[RM_Code]=$A64)*M_BOM[RM_Qty_Per_Batch]*IFERROR(INDEX(PP_Grid[#Data],M_BOM[PPGridRow],70),0))</f>
        <v/>
      </c>
      <c r="BS64">
        <f>SUMPRODUCT((M_BOM[RM_Code]=$A64)*M_BOM[RM_Qty_Per_Batch]*IFERROR(INDEX(PP_Grid[#Data],M_BOM[PPGridRow],71),0))</f>
        <v/>
      </c>
      <c r="BT64">
        <f>SUMPRODUCT((M_BOM[RM_Code]=$A64)*M_BOM[RM_Qty_Per_Batch]*IFERROR(INDEX(PP_Grid[#Data],M_BOM[PPGridRow],72),0))</f>
        <v/>
      </c>
      <c r="BU64">
        <f>SUMPRODUCT((M_BOM[RM_Code]=$A64)*M_BOM[RM_Qty_Per_Batch]*IFERROR(INDEX(PP_Grid[#Data],M_BOM[PPGridRow],73),0))</f>
        <v/>
      </c>
      <c r="BV64">
        <f>SUMPRODUCT((M_BOM[RM_Code]=$A64)*M_BOM[RM_Qty_Per_Batch]*IFERROR(INDEX(PP_Grid[#Data],M_BOM[PPGridRow],74),0))</f>
        <v/>
      </c>
      <c r="BW64">
        <f>SUMPRODUCT((M_BOM[RM_Code]=$A64)*M_BOM[RM_Qty_Per_Batch]*IFERROR(INDEX(PP_Grid[#Data],M_BOM[PPGridRow],75),0))</f>
        <v/>
      </c>
      <c r="BX64">
        <f>SUMPRODUCT((M_BOM[RM_Code]=$A64)*M_BOM[RM_Qty_Per_Batch]*IFERROR(INDEX(PP_Grid[#Data],M_BOM[PPGridRow],76),0))</f>
        <v/>
      </c>
      <c r="BY64">
        <f>SUMPRODUCT((M_BOM[RM_Code]=$A64)*M_BOM[RM_Qty_Per_Batch]*IFERROR(INDEX(PP_Grid[#Data],M_BOM[PPGridRow],77),0))</f>
        <v/>
      </c>
      <c r="BZ64">
        <f>SUMPRODUCT((M_BOM[RM_Code]=$A64)*M_BOM[RM_Qty_Per_Batch]*IFERROR(INDEX(PP_Grid[#Data],M_BOM[PPGridRow],78),0))</f>
        <v/>
      </c>
      <c r="CA64">
        <f>SUMPRODUCT((M_BOM[RM_Code]=$A64)*M_BOM[RM_Qty_Per_Batch]*IFERROR(INDEX(PP_Grid[#Data],M_BOM[PPGridRow],79),0))</f>
        <v/>
      </c>
      <c r="CB64">
        <f>SUMPRODUCT((M_BOM[RM_Code]=$A64)*M_BOM[RM_Qty_Per_Batch]*IFERROR(INDEX(PP_Grid[#Data],M_BOM[PPGridRow],80),0))</f>
        <v/>
      </c>
      <c r="CC64">
        <f>SUMPRODUCT((M_BOM[RM_Code]=$A64)*M_BOM[RM_Qty_Per_Batch]*IFERROR(INDEX(PP_Grid[#Data],M_BOM[PPGridRow],81),0))</f>
        <v/>
      </c>
      <c r="CD64">
        <f>SUMPRODUCT((M_BOM[RM_Code]=$A64)*M_BOM[RM_Qty_Per_Batch]*IFERROR(INDEX(PP_Grid[#Data],M_BOM[PPGridRow],82),0))</f>
        <v/>
      </c>
      <c r="CE64">
        <f>SUMPRODUCT((M_BOM[RM_Code]=$A64)*M_BOM[RM_Qty_Per_Batch]*IFERROR(INDEX(PP_Grid[#Data],M_BOM[PPGridRow],83),0))</f>
        <v/>
      </c>
      <c r="CF64">
        <f>SUMPRODUCT((M_BOM[RM_Code]=$A64)*M_BOM[RM_Qty_Per_Batch]*IFERROR(INDEX(PP_Grid[#Data],M_BOM[PPGridRow],84),0))</f>
        <v/>
      </c>
      <c r="CG64">
        <f>SUMPRODUCT((M_BOM[RM_Code]=$A64)*M_BOM[RM_Qty_Per_Batch]*IFERROR(INDEX(PP_Grid[#Data],M_BOM[PPGridRow],85),0))</f>
        <v/>
      </c>
      <c r="CH64">
        <f>SUMPRODUCT((M_BOM[RM_Code]=$A64)*M_BOM[RM_Qty_Per_Batch]*IFERROR(INDEX(PP_Grid[#Data],M_BOM[PPGridRow],86),0))</f>
        <v/>
      </c>
      <c r="CI64">
        <f>SUMPRODUCT((M_BOM[RM_Code]=$A64)*M_BOM[RM_Qty_Per_Batch]*IFERROR(INDEX(PP_Grid[#Data],M_BOM[PPGridRow],87),0))</f>
        <v/>
      </c>
      <c r="CJ64">
        <f>SUMPRODUCT((M_BOM[RM_Code]=$A64)*M_BOM[RM_Qty_Per_Batch]*IFERROR(INDEX(PP_Grid[#Data],M_BOM[PPGridRow],88),0))</f>
        <v/>
      </c>
      <c r="CK64">
        <f>SUMPRODUCT((M_BOM[RM_Code]=$A64)*M_BOM[RM_Qty_Per_Batch]*IFERROR(INDEX(PP_Grid[#Data],M_BOM[PPGridRow],89),0))</f>
        <v/>
      </c>
      <c r="CL64">
        <f>SUMPRODUCT((M_BOM[RM_Code]=$A64)*M_BOM[RM_Qty_Per_Batch]*IFERROR(INDEX(PP_Grid[#Data],M_BOM[PPGridRow],90),0))</f>
        <v/>
      </c>
      <c r="CM64">
        <f>SUMPRODUCT((M_BOM[RM_Code]=$A64)*M_BOM[RM_Qty_Per_Batch]*IFERROR(INDEX(PP_Grid[#Data],M_BOM[PPGridRow],91),0))</f>
        <v/>
      </c>
      <c r="CN64">
        <f>SUMPRODUCT((M_BOM[RM_Code]=$A64)*M_BOM[RM_Qty_Per_Batch]*IFERROR(INDEX(PP_Grid[#Data],M_BOM[PPGridRow],92),0))</f>
        <v/>
      </c>
      <c r="CO64">
        <f>SUMPRODUCT((M_BOM[RM_Code]=$A64)*M_BOM[RM_Qty_Per_Batch]*IFERROR(INDEX(PP_Grid[#Data],M_BOM[PPGridRow],93),0))</f>
        <v/>
      </c>
      <c r="CP64">
        <f>SUMPRODUCT((M_BOM[RM_Code]=$A64)*M_BOM[RM_Qty_Per_Batch]*IFERROR(INDEX(PP_Grid[#Data],M_BOM[PPGridRow],94),0))</f>
        <v/>
      </c>
      <c r="CQ64">
        <f>SUMPRODUCT((M_BOM[RM_Code]=$A64)*M_BOM[RM_Qty_Per_Batch]*IFERROR(INDEX(PP_Grid[#Data],M_BOM[PPGridRow],95),0))</f>
        <v/>
      </c>
      <c r="CR64">
        <f>SUMPRODUCT((M_BOM[RM_Code]=$A64)*M_BOM[RM_Qty_Per_Batch]*IFERROR(INDEX(PP_Grid[#Data],M_BOM[PPGridRow],96),0))</f>
        <v/>
      </c>
      <c r="CS64">
        <f>SUMPRODUCT((M_BOM[RM_Code]=$A64)*M_BOM[RM_Qty_Per_Batch]*IFERROR(INDEX(PP_Grid[#Data],M_BOM[PPGridRow],97),0))</f>
        <v/>
      </c>
      <c r="CT64">
        <f>SUMPRODUCT((M_BOM[RM_Code]=$A64)*M_BOM[RM_Qty_Per_Batch]*IFERROR(INDEX(PP_Grid[#Data],M_BOM[PPGridRow],98),0))</f>
        <v/>
      </c>
      <c r="CU64">
        <f>SUMPRODUCT((M_BOM[RM_Code]=$A64)*M_BOM[RM_Qty_Per_Batch]*IFERROR(INDEX(PP_Grid[#Data],M_BOM[PPGridRow],99),0))</f>
        <v/>
      </c>
      <c r="CV64">
        <f>SUMPRODUCT((M_BOM[RM_Code]=$A64)*M_BOM[RM_Qty_Per_Batch]*IFERROR(INDEX(PP_Grid[#Data],M_BOM[PPGridRow],100),0))</f>
        <v/>
      </c>
      <c r="CW64">
        <f>SUMPRODUCT((M_BOM[RM_Code]=$A64)*M_BOM[RM_Qty_Per_Batch]*IFERROR(INDEX(PP_Grid[#Data],M_BOM[PPGridRow],101),0))</f>
        <v/>
      </c>
      <c r="CX64">
        <f>SUMPRODUCT((M_BOM[RM_Code]=$A64)*M_BOM[RM_Qty_Per_Batch]*IFERROR(INDEX(PP_Grid[#Data],M_BOM[PPGridRow],102),0))</f>
        <v/>
      </c>
      <c r="CY64">
        <f>SUMPRODUCT((M_BOM[RM_Code]=$A64)*M_BOM[RM_Qty_Per_Batch]*IFERROR(INDEX(PP_Grid[#Data],M_BOM[PPGridRow],103),0))</f>
        <v/>
      </c>
      <c r="CZ64">
        <f>SUMPRODUCT((M_BOM[RM_Code]=$A64)*M_BOM[RM_Qty_Per_Batch]*IFERROR(INDEX(PP_Grid[#Data],M_BOM[PPGridRow],104),0))</f>
        <v/>
      </c>
      <c r="DA64">
        <f>SUMPRODUCT((M_BOM[RM_Code]=$A64)*M_BOM[RM_Qty_Per_Batch]*IFERROR(INDEX(PP_Grid[#Data],M_BOM[PPGridRow],105),0))</f>
        <v/>
      </c>
    </row>
    <row r="65">
      <c r="A65" t="inlineStr">
        <is>
          <t>1JN</t>
        </is>
      </c>
      <c r="B65">
        <f>SUMPRODUCT((M_BOM[RM_Code]=$A65)*M_BOM[RM_Qty_Per_Batch]*IFERROR(INDEX(PP_Grid[#Data],M_BOM[PPGridRow],2),0))</f>
        <v/>
      </c>
      <c r="C65">
        <f>SUMPRODUCT((M_BOM[RM_Code]=$A65)*M_BOM[RM_Qty_Per_Batch]*IFERROR(INDEX(PP_Grid[#Data],M_BOM[PPGridRow],3),0))</f>
        <v/>
      </c>
      <c r="D65">
        <f>SUMPRODUCT((M_BOM[RM_Code]=$A65)*M_BOM[RM_Qty_Per_Batch]*IFERROR(INDEX(PP_Grid[#Data],M_BOM[PPGridRow],4),0))</f>
        <v/>
      </c>
      <c r="E65">
        <f>SUMPRODUCT((M_BOM[RM_Code]=$A65)*M_BOM[RM_Qty_Per_Batch]*IFERROR(INDEX(PP_Grid[#Data],M_BOM[PPGridRow],5),0))</f>
        <v/>
      </c>
      <c r="F65">
        <f>SUMPRODUCT((M_BOM[RM_Code]=$A65)*M_BOM[RM_Qty_Per_Batch]*IFERROR(INDEX(PP_Grid[#Data],M_BOM[PPGridRow],6),0))</f>
        <v/>
      </c>
      <c r="G65">
        <f>SUMPRODUCT((M_BOM[RM_Code]=$A65)*M_BOM[RM_Qty_Per_Batch]*IFERROR(INDEX(PP_Grid[#Data],M_BOM[PPGridRow],7),0))</f>
        <v/>
      </c>
      <c r="H65">
        <f>SUMPRODUCT((M_BOM[RM_Code]=$A65)*M_BOM[RM_Qty_Per_Batch]*IFERROR(INDEX(PP_Grid[#Data],M_BOM[PPGridRow],8),0))</f>
        <v/>
      </c>
      <c r="I65">
        <f>SUMPRODUCT((M_BOM[RM_Code]=$A65)*M_BOM[RM_Qty_Per_Batch]*IFERROR(INDEX(PP_Grid[#Data],M_BOM[PPGridRow],9),0))</f>
        <v/>
      </c>
      <c r="J65">
        <f>SUMPRODUCT((M_BOM[RM_Code]=$A65)*M_BOM[RM_Qty_Per_Batch]*IFERROR(INDEX(PP_Grid[#Data],M_BOM[PPGridRow],10),0))</f>
        <v/>
      </c>
      <c r="K65">
        <f>SUMPRODUCT((M_BOM[RM_Code]=$A65)*M_BOM[RM_Qty_Per_Batch]*IFERROR(INDEX(PP_Grid[#Data],M_BOM[PPGridRow],11),0))</f>
        <v/>
      </c>
      <c r="L65">
        <f>SUMPRODUCT((M_BOM[RM_Code]=$A65)*M_BOM[RM_Qty_Per_Batch]*IFERROR(INDEX(PP_Grid[#Data],M_BOM[PPGridRow],12),0))</f>
        <v/>
      </c>
      <c r="M65">
        <f>SUMPRODUCT((M_BOM[RM_Code]=$A65)*M_BOM[RM_Qty_Per_Batch]*IFERROR(INDEX(PP_Grid[#Data],M_BOM[PPGridRow],13),0))</f>
        <v/>
      </c>
      <c r="N65">
        <f>SUMPRODUCT((M_BOM[RM_Code]=$A65)*M_BOM[RM_Qty_Per_Batch]*IFERROR(INDEX(PP_Grid[#Data],M_BOM[PPGridRow],14),0))</f>
        <v/>
      </c>
      <c r="O65">
        <f>SUMPRODUCT((M_BOM[RM_Code]=$A65)*M_BOM[RM_Qty_Per_Batch]*IFERROR(INDEX(PP_Grid[#Data],M_BOM[PPGridRow],15),0))</f>
        <v/>
      </c>
      <c r="P65">
        <f>SUMPRODUCT((M_BOM[RM_Code]=$A65)*M_BOM[RM_Qty_Per_Batch]*IFERROR(INDEX(PP_Grid[#Data],M_BOM[PPGridRow],16),0))</f>
        <v/>
      </c>
      <c r="Q65">
        <f>SUMPRODUCT((M_BOM[RM_Code]=$A65)*M_BOM[RM_Qty_Per_Batch]*IFERROR(INDEX(PP_Grid[#Data],M_BOM[PPGridRow],17),0))</f>
        <v/>
      </c>
      <c r="R65">
        <f>SUMPRODUCT((M_BOM[RM_Code]=$A65)*M_BOM[RM_Qty_Per_Batch]*IFERROR(INDEX(PP_Grid[#Data],M_BOM[PPGridRow],18),0))</f>
        <v/>
      </c>
      <c r="S65">
        <f>SUMPRODUCT((M_BOM[RM_Code]=$A65)*M_BOM[RM_Qty_Per_Batch]*IFERROR(INDEX(PP_Grid[#Data],M_BOM[PPGridRow],19),0))</f>
        <v/>
      </c>
      <c r="T65">
        <f>SUMPRODUCT((M_BOM[RM_Code]=$A65)*M_BOM[RM_Qty_Per_Batch]*IFERROR(INDEX(PP_Grid[#Data],M_BOM[PPGridRow],20),0))</f>
        <v/>
      </c>
      <c r="U65">
        <f>SUMPRODUCT((M_BOM[RM_Code]=$A65)*M_BOM[RM_Qty_Per_Batch]*IFERROR(INDEX(PP_Grid[#Data],M_BOM[PPGridRow],21),0))</f>
        <v/>
      </c>
      <c r="V65">
        <f>SUMPRODUCT((M_BOM[RM_Code]=$A65)*M_BOM[RM_Qty_Per_Batch]*IFERROR(INDEX(PP_Grid[#Data],M_BOM[PPGridRow],22),0))</f>
        <v/>
      </c>
      <c r="W65">
        <f>SUMPRODUCT((M_BOM[RM_Code]=$A65)*M_BOM[RM_Qty_Per_Batch]*IFERROR(INDEX(PP_Grid[#Data],M_BOM[PPGridRow],23),0))</f>
        <v/>
      </c>
      <c r="X65">
        <f>SUMPRODUCT((M_BOM[RM_Code]=$A65)*M_BOM[RM_Qty_Per_Batch]*IFERROR(INDEX(PP_Grid[#Data],M_BOM[PPGridRow],24),0))</f>
        <v/>
      </c>
      <c r="Y65">
        <f>SUMPRODUCT((M_BOM[RM_Code]=$A65)*M_BOM[RM_Qty_Per_Batch]*IFERROR(INDEX(PP_Grid[#Data],M_BOM[PPGridRow],25),0))</f>
        <v/>
      </c>
      <c r="Z65">
        <f>SUMPRODUCT((M_BOM[RM_Code]=$A65)*M_BOM[RM_Qty_Per_Batch]*IFERROR(INDEX(PP_Grid[#Data],M_BOM[PPGridRow],26),0))</f>
        <v/>
      </c>
      <c r="AA65">
        <f>SUMPRODUCT((M_BOM[RM_Code]=$A65)*M_BOM[RM_Qty_Per_Batch]*IFERROR(INDEX(PP_Grid[#Data],M_BOM[PPGridRow],27),0))</f>
        <v/>
      </c>
      <c r="AB65">
        <f>SUMPRODUCT((M_BOM[RM_Code]=$A65)*M_BOM[RM_Qty_Per_Batch]*IFERROR(INDEX(PP_Grid[#Data],M_BOM[PPGridRow],28),0))</f>
        <v/>
      </c>
      <c r="AC65">
        <f>SUMPRODUCT((M_BOM[RM_Code]=$A65)*M_BOM[RM_Qty_Per_Batch]*IFERROR(INDEX(PP_Grid[#Data],M_BOM[PPGridRow],29),0))</f>
        <v/>
      </c>
      <c r="AD65">
        <f>SUMPRODUCT((M_BOM[RM_Code]=$A65)*M_BOM[RM_Qty_Per_Batch]*IFERROR(INDEX(PP_Grid[#Data],M_BOM[PPGridRow],30),0))</f>
        <v/>
      </c>
      <c r="AE65">
        <f>SUMPRODUCT((M_BOM[RM_Code]=$A65)*M_BOM[RM_Qty_Per_Batch]*IFERROR(INDEX(PP_Grid[#Data],M_BOM[PPGridRow],31),0))</f>
        <v/>
      </c>
      <c r="AF65">
        <f>SUMPRODUCT((M_BOM[RM_Code]=$A65)*M_BOM[RM_Qty_Per_Batch]*IFERROR(INDEX(PP_Grid[#Data],M_BOM[PPGridRow],32),0))</f>
        <v/>
      </c>
      <c r="AG65">
        <f>SUMPRODUCT((M_BOM[RM_Code]=$A65)*M_BOM[RM_Qty_Per_Batch]*IFERROR(INDEX(PP_Grid[#Data],M_BOM[PPGridRow],33),0))</f>
        <v/>
      </c>
      <c r="AH65">
        <f>SUMPRODUCT((M_BOM[RM_Code]=$A65)*M_BOM[RM_Qty_Per_Batch]*IFERROR(INDEX(PP_Grid[#Data],M_BOM[PPGridRow],34),0))</f>
        <v/>
      </c>
      <c r="AI65">
        <f>SUMPRODUCT((M_BOM[RM_Code]=$A65)*M_BOM[RM_Qty_Per_Batch]*IFERROR(INDEX(PP_Grid[#Data],M_BOM[PPGridRow],35),0))</f>
        <v/>
      </c>
      <c r="AJ65">
        <f>SUMPRODUCT((M_BOM[RM_Code]=$A65)*M_BOM[RM_Qty_Per_Batch]*IFERROR(INDEX(PP_Grid[#Data],M_BOM[PPGridRow],36),0))</f>
        <v/>
      </c>
      <c r="AK65">
        <f>SUMPRODUCT((M_BOM[RM_Code]=$A65)*M_BOM[RM_Qty_Per_Batch]*IFERROR(INDEX(PP_Grid[#Data],M_BOM[PPGridRow],37),0))</f>
        <v/>
      </c>
      <c r="AL65">
        <f>SUMPRODUCT((M_BOM[RM_Code]=$A65)*M_BOM[RM_Qty_Per_Batch]*IFERROR(INDEX(PP_Grid[#Data],M_BOM[PPGridRow],38),0))</f>
        <v/>
      </c>
      <c r="AM65">
        <f>SUMPRODUCT((M_BOM[RM_Code]=$A65)*M_BOM[RM_Qty_Per_Batch]*IFERROR(INDEX(PP_Grid[#Data],M_BOM[PPGridRow],39),0))</f>
        <v/>
      </c>
      <c r="AN65">
        <f>SUMPRODUCT((M_BOM[RM_Code]=$A65)*M_BOM[RM_Qty_Per_Batch]*IFERROR(INDEX(PP_Grid[#Data],M_BOM[PPGridRow],40),0))</f>
        <v/>
      </c>
      <c r="AO65">
        <f>SUMPRODUCT((M_BOM[RM_Code]=$A65)*M_BOM[RM_Qty_Per_Batch]*IFERROR(INDEX(PP_Grid[#Data],M_BOM[PPGridRow],41),0))</f>
        <v/>
      </c>
      <c r="AP65">
        <f>SUMPRODUCT((M_BOM[RM_Code]=$A65)*M_BOM[RM_Qty_Per_Batch]*IFERROR(INDEX(PP_Grid[#Data],M_BOM[PPGridRow],42),0))</f>
        <v/>
      </c>
      <c r="AQ65">
        <f>SUMPRODUCT((M_BOM[RM_Code]=$A65)*M_BOM[RM_Qty_Per_Batch]*IFERROR(INDEX(PP_Grid[#Data],M_BOM[PPGridRow],43),0))</f>
        <v/>
      </c>
      <c r="AR65">
        <f>SUMPRODUCT((M_BOM[RM_Code]=$A65)*M_BOM[RM_Qty_Per_Batch]*IFERROR(INDEX(PP_Grid[#Data],M_BOM[PPGridRow],44),0))</f>
        <v/>
      </c>
      <c r="AS65">
        <f>SUMPRODUCT((M_BOM[RM_Code]=$A65)*M_BOM[RM_Qty_Per_Batch]*IFERROR(INDEX(PP_Grid[#Data],M_BOM[PPGridRow],45),0))</f>
        <v/>
      </c>
      <c r="AT65">
        <f>SUMPRODUCT((M_BOM[RM_Code]=$A65)*M_BOM[RM_Qty_Per_Batch]*IFERROR(INDEX(PP_Grid[#Data],M_BOM[PPGridRow],46),0))</f>
        <v/>
      </c>
      <c r="AU65">
        <f>SUMPRODUCT((M_BOM[RM_Code]=$A65)*M_BOM[RM_Qty_Per_Batch]*IFERROR(INDEX(PP_Grid[#Data],M_BOM[PPGridRow],47),0))</f>
        <v/>
      </c>
      <c r="AV65">
        <f>SUMPRODUCT((M_BOM[RM_Code]=$A65)*M_BOM[RM_Qty_Per_Batch]*IFERROR(INDEX(PP_Grid[#Data],M_BOM[PPGridRow],48),0))</f>
        <v/>
      </c>
      <c r="AW65">
        <f>SUMPRODUCT((M_BOM[RM_Code]=$A65)*M_BOM[RM_Qty_Per_Batch]*IFERROR(INDEX(PP_Grid[#Data],M_BOM[PPGridRow],49),0))</f>
        <v/>
      </c>
      <c r="AX65">
        <f>SUMPRODUCT((M_BOM[RM_Code]=$A65)*M_BOM[RM_Qty_Per_Batch]*IFERROR(INDEX(PP_Grid[#Data],M_BOM[PPGridRow],50),0))</f>
        <v/>
      </c>
      <c r="AY65">
        <f>SUMPRODUCT((M_BOM[RM_Code]=$A65)*M_BOM[RM_Qty_Per_Batch]*IFERROR(INDEX(PP_Grid[#Data],M_BOM[PPGridRow],51),0))</f>
        <v/>
      </c>
      <c r="AZ65">
        <f>SUMPRODUCT((M_BOM[RM_Code]=$A65)*M_BOM[RM_Qty_Per_Batch]*IFERROR(INDEX(PP_Grid[#Data],M_BOM[PPGridRow],52),0))</f>
        <v/>
      </c>
      <c r="BA65">
        <f>SUMPRODUCT((M_BOM[RM_Code]=$A65)*M_BOM[RM_Qty_Per_Batch]*IFERROR(INDEX(PP_Grid[#Data],M_BOM[PPGridRow],53),0))</f>
        <v/>
      </c>
      <c r="BB65">
        <f>SUMPRODUCT((M_BOM[RM_Code]=$A65)*M_BOM[RM_Qty_Per_Batch]*IFERROR(INDEX(PP_Grid[#Data],M_BOM[PPGridRow],54),0))</f>
        <v/>
      </c>
      <c r="BC65">
        <f>SUMPRODUCT((M_BOM[RM_Code]=$A65)*M_BOM[RM_Qty_Per_Batch]*IFERROR(INDEX(PP_Grid[#Data],M_BOM[PPGridRow],55),0))</f>
        <v/>
      </c>
      <c r="BD65">
        <f>SUMPRODUCT((M_BOM[RM_Code]=$A65)*M_BOM[RM_Qty_Per_Batch]*IFERROR(INDEX(PP_Grid[#Data],M_BOM[PPGridRow],56),0))</f>
        <v/>
      </c>
      <c r="BE65">
        <f>SUMPRODUCT((M_BOM[RM_Code]=$A65)*M_BOM[RM_Qty_Per_Batch]*IFERROR(INDEX(PP_Grid[#Data],M_BOM[PPGridRow],57),0))</f>
        <v/>
      </c>
      <c r="BF65">
        <f>SUMPRODUCT((M_BOM[RM_Code]=$A65)*M_BOM[RM_Qty_Per_Batch]*IFERROR(INDEX(PP_Grid[#Data],M_BOM[PPGridRow],58),0))</f>
        <v/>
      </c>
      <c r="BG65">
        <f>SUMPRODUCT((M_BOM[RM_Code]=$A65)*M_BOM[RM_Qty_Per_Batch]*IFERROR(INDEX(PP_Grid[#Data],M_BOM[PPGridRow],59),0))</f>
        <v/>
      </c>
      <c r="BH65">
        <f>SUMPRODUCT((M_BOM[RM_Code]=$A65)*M_BOM[RM_Qty_Per_Batch]*IFERROR(INDEX(PP_Grid[#Data],M_BOM[PPGridRow],60),0))</f>
        <v/>
      </c>
      <c r="BI65">
        <f>SUMPRODUCT((M_BOM[RM_Code]=$A65)*M_BOM[RM_Qty_Per_Batch]*IFERROR(INDEX(PP_Grid[#Data],M_BOM[PPGridRow],61),0))</f>
        <v/>
      </c>
      <c r="BJ65">
        <f>SUMPRODUCT((M_BOM[RM_Code]=$A65)*M_BOM[RM_Qty_Per_Batch]*IFERROR(INDEX(PP_Grid[#Data],M_BOM[PPGridRow],62),0))</f>
        <v/>
      </c>
      <c r="BK65">
        <f>SUMPRODUCT((M_BOM[RM_Code]=$A65)*M_BOM[RM_Qty_Per_Batch]*IFERROR(INDEX(PP_Grid[#Data],M_BOM[PPGridRow],63),0))</f>
        <v/>
      </c>
      <c r="BL65">
        <f>SUMPRODUCT((M_BOM[RM_Code]=$A65)*M_BOM[RM_Qty_Per_Batch]*IFERROR(INDEX(PP_Grid[#Data],M_BOM[PPGridRow],64),0))</f>
        <v/>
      </c>
      <c r="BM65">
        <f>SUMPRODUCT((M_BOM[RM_Code]=$A65)*M_BOM[RM_Qty_Per_Batch]*IFERROR(INDEX(PP_Grid[#Data],M_BOM[PPGridRow],65),0))</f>
        <v/>
      </c>
      <c r="BN65">
        <f>SUMPRODUCT((M_BOM[RM_Code]=$A65)*M_BOM[RM_Qty_Per_Batch]*IFERROR(INDEX(PP_Grid[#Data],M_BOM[PPGridRow],66),0))</f>
        <v/>
      </c>
      <c r="BO65">
        <f>SUMPRODUCT((M_BOM[RM_Code]=$A65)*M_BOM[RM_Qty_Per_Batch]*IFERROR(INDEX(PP_Grid[#Data],M_BOM[PPGridRow],67),0))</f>
        <v/>
      </c>
      <c r="BP65">
        <f>SUMPRODUCT((M_BOM[RM_Code]=$A65)*M_BOM[RM_Qty_Per_Batch]*IFERROR(INDEX(PP_Grid[#Data],M_BOM[PPGridRow],68),0))</f>
        <v/>
      </c>
      <c r="BQ65">
        <f>SUMPRODUCT((M_BOM[RM_Code]=$A65)*M_BOM[RM_Qty_Per_Batch]*IFERROR(INDEX(PP_Grid[#Data],M_BOM[PPGridRow],69),0))</f>
        <v/>
      </c>
      <c r="BR65">
        <f>SUMPRODUCT((M_BOM[RM_Code]=$A65)*M_BOM[RM_Qty_Per_Batch]*IFERROR(INDEX(PP_Grid[#Data],M_BOM[PPGridRow],70),0))</f>
        <v/>
      </c>
      <c r="BS65">
        <f>SUMPRODUCT((M_BOM[RM_Code]=$A65)*M_BOM[RM_Qty_Per_Batch]*IFERROR(INDEX(PP_Grid[#Data],M_BOM[PPGridRow],71),0))</f>
        <v/>
      </c>
      <c r="BT65">
        <f>SUMPRODUCT((M_BOM[RM_Code]=$A65)*M_BOM[RM_Qty_Per_Batch]*IFERROR(INDEX(PP_Grid[#Data],M_BOM[PPGridRow],72),0))</f>
        <v/>
      </c>
      <c r="BU65">
        <f>SUMPRODUCT((M_BOM[RM_Code]=$A65)*M_BOM[RM_Qty_Per_Batch]*IFERROR(INDEX(PP_Grid[#Data],M_BOM[PPGridRow],73),0))</f>
        <v/>
      </c>
      <c r="BV65">
        <f>SUMPRODUCT((M_BOM[RM_Code]=$A65)*M_BOM[RM_Qty_Per_Batch]*IFERROR(INDEX(PP_Grid[#Data],M_BOM[PPGridRow],74),0))</f>
        <v/>
      </c>
      <c r="BW65">
        <f>SUMPRODUCT((M_BOM[RM_Code]=$A65)*M_BOM[RM_Qty_Per_Batch]*IFERROR(INDEX(PP_Grid[#Data],M_BOM[PPGridRow],75),0))</f>
        <v/>
      </c>
      <c r="BX65">
        <f>SUMPRODUCT((M_BOM[RM_Code]=$A65)*M_BOM[RM_Qty_Per_Batch]*IFERROR(INDEX(PP_Grid[#Data],M_BOM[PPGridRow],76),0))</f>
        <v/>
      </c>
      <c r="BY65">
        <f>SUMPRODUCT((M_BOM[RM_Code]=$A65)*M_BOM[RM_Qty_Per_Batch]*IFERROR(INDEX(PP_Grid[#Data],M_BOM[PPGridRow],77),0))</f>
        <v/>
      </c>
      <c r="BZ65">
        <f>SUMPRODUCT((M_BOM[RM_Code]=$A65)*M_BOM[RM_Qty_Per_Batch]*IFERROR(INDEX(PP_Grid[#Data],M_BOM[PPGridRow],78),0))</f>
        <v/>
      </c>
      <c r="CA65">
        <f>SUMPRODUCT((M_BOM[RM_Code]=$A65)*M_BOM[RM_Qty_Per_Batch]*IFERROR(INDEX(PP_Grid[#Data],M_BOM[PPGridRow],79),0))</f>
        <v/>
      </c>
      <c r="CB65">
        <f>SUMPRODUCT((M_BOM[RM_Code]=$A65)*M_BOM[RM_Qty_Per_Batch]*IFERROR(INDEX(PP_Grid[#Data],M_BOM[PPGridRow],80),0))</f>
        <v/>
      </c>
      <c r="CC65">
        <f>SUMPRODUCT((M_BOM[RM_Code]=$A65)*M_BOM[RM_Qty_Per_Batch]*IFERROR(INDEX(PP_Grid[#Data],M_BOM[PPGridRow],81),0))</f>
        <v/>
      </c>
      <c r="CD65">
        <f>SUMPRODUCT((M_BOM[RM_Code]=$A65)*M_BOM[RM_Qty_Per_Batch]*IFERROR(INDEX(PP_Grid[#Data],M_BOM[PPGridRow],82),0))</f>
        <v/>
      </c>
      <c r="CE65">
        <f>SUMPRODUCT((M_BOM[RM_Code]=$A65)*M_BOM[RM_Qty_Per_Batch]*IFERROR(INDEX(PP_Grid[#Data],M_BOM[PPGridRow],83),0))</f>
        <v/>
      </c>
      <c r="CF65">
        <f>SUMPRODUCT((M_BOM[RM_Code]=$A65)*M_BOM[RM_Qty_Per_Batch]*IFERROR(INDEX(PP_Grid[#Data],M_BOM[PPGridRow],84),0))</f>
        <v/>
      </c>
      <c r="CG65">
        <f>SUMPRODUCT((M_BOM[RM_Code]=$A65)*M_BOM[RM_Qty_Per_Batch]*IFERROR(INDEX(PP_Grid[#Data],M_BOM[PPGridRow],85),0))</f>
        <v/>
      </c>
      <c r="CH65">
        <f>SUMPRODUCT((M_BOM[RM_Code]=$A65)*M_BOM[RM_Qty_Per_Batch]*IFERROR(INDEX(PP_Grid[#Data],M_BOM[PPGridRow],86),0))</f>
        <v/>
      </c>
      <c r="CI65">
        <f>SUMPRODUCT((M_BOM[RM_Code]=$A65)*M_BOM[RM_Qty_Per_Batch]*IFERROR(INDEX(PP_Grid[#Data],M_BOM[PPGridRow],87),0))</f>
        <v/>
      </c>
      <c r="CJ65">
        <f>SUMPRODUCT((M_BOM[RM_Code]=$A65)*M_BOM[RM_Qty_Per_Batch]*IFERROR(INDEX(PP_Grid[#Data],M_BOM[PPGridRow],88),0))</f>
        <v/>
      </c>
      <c r="CK65">
        <f>SUMPRODUCT((M_BOM[RM_Code]=$A65)*M_BOM[RM_Qty_Per_Batch]*IFERROR(INDEX(PP_Grid[#Data],M_BOM[PPGridRow],89),0))</f>
        <v/>
      </c>
      <c r="CL65">
        <f>SUMPRODUCT((M_BOM[RM_Code]=$A65)*M_BOM[RM_Qty_Per_Batch]*IFERROR(INDEX(PP_Grid[#Data],M_BOM[PPGridRow],90),0))</f>
        <v/>
      </c>
      <c r="CM65">
        <f>SUMPRODUCT((M_BOM[RM_Code]=$A65)*M_BOM[RM_Qty_Per_Batch]*IFERROR(INDEX(PP_Grid[#Data],M_BOM[PPGridRow],91),0))</f>
        <v/>
      </c>
      <c r="CN65">
        <f>SUMPRODUCT((M_BOM[RM_Code]=$A65)*M_BOM[RM_Qty_Per_Batch]*IFERROR(INDEX(PP_Grid[#Data],M_BOM[PPGridRow],92),0))</f>
        <v/>
      </c>
      <c r="CO65">
        <f>SUMPRODUCT((M_BOM[RM_Code]=$A65)*M_BOM[RM_Qty_Per_Batch]*IFERROR(INDEX(PP_Grid[#Data],M_BOM[PPGridRow],93),0))</f>
        <v/>
      </c>
      <c r="CP65">
        <f>SUMPRODUCT((M_BOM[RM_Code]=$A65)*M_BOM[RM_Qty_Per_Batch]*IFERROR(INDEX(PP_Grid[#Data],M_BOM[PPGridRow],94),0))</f>
        <v/>
      </c>
      <c r="CQ65">
        <f>SUMPRODUCT((M_BOM[RM_Code]=$A65)*M_BOM[RM_Qty_Per_Batch]*IFERROR(INDEX(PP_Grid[#Data],M_BOM[PPGridRow],95),0))</f>
        <v/>
      </c>
      <c r="CR65">
        <f>SUMPRODUCT((M_BOM[RM_Code]=$A65)*M_BOM[RM_Qty_Per_Batch]*IFERROR(INDEX(PP_Grid[#Data],M_BOM[PPGridRow],96),0))</f>
        <v/>
      </c>
      <c r="CS65">
        <f>SUMPRODUCT((M_BOM[RM_Code]=$A65)*M_BOM[RM_Qty_Per_Batch]*IFERROR(INDEX(PP_Grid[#Data],M_BOM[PPGridRow],97),0))</f>
        <v/>
      </c>
      <c r="CT65">
        <f>SUMPRODUCT((M_BOM[RM_Code]=$A65)*M_BOM[RM_Qty_Per_Batch]*IFERROR(INDEX(PP_Grid[#Data],M_BOM[PPGridRow],98),0))</f>
        <v/>
      </c>
      <c r="CU65">
        <f>SUMPRODUCT((M_BOM[RM_Code]=$A65)*M_BOM[RM_Qty_Per_Batch]*IFERROR(INDEX(PP_Grid[#Data],M_BOM[PPGridRow],99),0))</f>
        <v/>
      </c>
      <c r="CV65">
        <f>SUMPRODUCT((M_BOM[RM_Code]=$A65)*M_BOM[RM_Qty_Per_Batch]*IFERROR(INDEX(PP_Grid[#Data],M_BOM[PPGridRow],100),0))</f>
        <v/>
      </c>
      <c r="CW65">
        <f>SUMPRODUCT((M_BOM[RM_Code]=$A65)*M_BOM[RM_Qty_Per_Batch]*IFERROR(INDEX(PP_Grid[#Data],M_BOM[PPGridRow],101),0))</f>
        <v/>
      </c>
      <c r="CX65">
        <f>SUMPRODUCT((M_BOM[RM_Code]=$A65)*M_BOM[RM_Qty_Per_Batch]*IFERROR(INDEX(PP_Grid[#Data],M_BOM[PPGridRow],102),0))</f>
        <v/>
      </c>
      <c r="CY65">
        <f>SUMPRODUCT((M_BOM[RM_Code]=$A65)*M_BOM[RM_Qty_Per_Batch]*IFERROR(INDEX(PP_Grid[#Data],M_BOM[PPGridRow],103),0))</f>
        <v/>
      </c>
      <c r="CZ65">
        <f>SUMPRODUCT((M_BOM[RM_Code]=$A65)*M_BOM[RM_Qty_Per_Batch]*IFERROR(INDEX(PP_Grid[#Data],M_BOM[PPGridRow],104),0))</f>
        <v/>
      </c>
      <c r="DA65">
        <f>SUMPRODUCT((M_BOM[RM_Code]=$A65)*M_BOM[RM_Qty_Per_Batch]*IFERROR(INDEX(PP_Grid[#Data],M_BOM[PPGridRow],105),0))</f>
        <v/>
      </c>
    </row>
    <row r="66">
      <c r="A66" t="inlineStr">
        <is>
          <t>V03</t>
        </is>
      </c>
      <c r="B66">
        <f>SUMPRODUCT((M_BOM[RM_Code]=$A66)*M_BOM[RM_Qty_Per_Batch]*IFERROR(INDEX(PP_Grid[#Data],M_BOM[PPGridRow],2),0))</f>
        <v/>
      </c>
      <c r="C66">
        <f>SUMPRODUCT((M_BOM[RM_Code]=$A66)*M_BOM[RM_Qty_Per_Batch]*IFERROR(INDEX(PP_Grid[#Data],M_BOM[PPGridRow],3),0))</f>
        <v/>
      </c>
      <c r="D66">
        <f>SUMPRODUCT((M_BOM[RM_Code]=$A66)*M_BOM[RM_Qty_Per_Batch]*IFERROR(INDEX(PP_Grid[#Data],M_BOM[PPGridRow],4),0))</f>
        <v/>
      </c>
      <c r="E66">
        <f>SUMPRODUCT((M_BOM[RM_Code]=$A66)*M_BOM[RM_Qty_Per_Batch]*IFERROR(INDEX(PP_Grid[#Data],M_BOM[PPGridRow],5),0))</f>
        <v/>
      </c>
      <c r="F66">
        <f>SUMPRODUCT((M_BOM[RM_Code]=$A66)*M_BOM[RM_Qty_Per_Batch]*IFERROR(INDEX(PP_Grid[#Data],M_BOM[PPGridRow],6),0))</f>
        <v/>
      </c>
      <c r="G66">
        <f>SUMPRODUCT((M_BOM[RM_Code]=$A66)*M_BOM[RM_Qty_Per_Batch]*IFERROR(INDEX(PP_Grid[#Data],M_BOM[PPGridRow],7),0))</f>
        <v/>
      </c>
      <c r="H66">
        <f>SUMPRODUCT((M_BOM[RM_Code]=$A66)*M_BOM[RM_Qty_Per_Batch]*IFERROR(INDEX(PP_Grid[#Data],M_BOM[PPGridRow],8),0))</f>
        <v/>
      </c>
      <c r="I66">
        <f>SUMPRODUCT((M_BOM[RM_Code]=$A66)*M_BOM[RM_Qty_Per_Batch]*IFERROR(INDEX(PP_Grid[#Data],M_BOM[PPGridRow],9),0))</f>
        <v/>
      </c>
      <c r="J66">
        <f>SUMPRODUCT((M_BOM[RM_Code]=$A66)*M_BOM[RM_Qty_Per_Batch]*IFERROR(INDEX(PP_Grid[#Data],M_BOM[PPGridRow],10),0))</f>
        <v/>
      </c>
      <c r="K66">
        <f>SUMPRODUCT((M_BOM[RM_Code]=$A66)*M_BOM[RM_Qty_Per_Batch]*IFERROR(INDEX(PP_Grid[#Data],M_BOM[PPGridRow],11),0))</f>
        <v/>
      </c>
      <c r="L66">
        <f>SUMPRODUCT((M_BOM[RM_Code]=$A66)*M_BOM[RM_Qty_Per_Batch]*IFERROR(INDEX(PP_Grid[#Data],M_BOM[PPGridRow],12),0))</f>
        <v/>
      </c>
      <c r="M66">
        <f>SUMPRODUCT((M_BOM[RM_Code]=$A66)*M_BOM[RM_Qty_Per_Batch]*IFERROR(INDEX(PP_Grid[#Data],M_BOM[PPGridRow],13),0))</f>
        <v/>
      </c>
      <c r="N66">
        <f>SUMPRODUCT((M_BOM[RM_Code]=$A66)*M_BOM[RM_Qty_Per_Batch]*IFERROR(INDEX(PP_Grid[#Data],M_BOM[PPGridRow],14),0))</f>
        <v/>
      </c>
      <c r="O66">
        <f>SUMPRODUCT((M_BOM[RM_Code]=$A66)*M_BOM[RM_Qty_Per_Batch]*IFERROR(INDEX(PP_Grid[#Data],M_BOM[PPGridRow],15),0))</f>
        <v/>
      </c>
      <c r="P66">
        <f>SUMPRODUCT((M_BOM[RM_Code]=$A66)*M_BOM[RM_Qty_Per_Batch]*IFERROR(INDEX(PP_Grid[#Data],M_BOM[PPGridRow],16),0))</f>
        <v/>
      </c>
      <c r="Q66">
        <f>SUMPRODUCT((M_BOM[RM_Code]=$A66)*M_BOM[RM_Qty_Per_Batch]*IFERROR(INDEX(PP_Grid[#Data],M_BOM[PPGridRow],17),0))</f>
        <v/>
      </c>
      <c r="R66">
        <f>SUMPRODUCT((M_BOM[RM_Code]=$A66)*M_BOM[RM_Qty_Per_Batch]*IFERROR(INDEX(PP_Grid[#Data],M_BOM[PPGridRow],18),0))</f>
        <v/>
      </c>
      <c r="S66">
        <f>SUMPRODUCT((M_BOM[RM_Code]=$A66)*M_BOM[RM_Qty_Per_Batch]*IFERROR(INDEX(PP_Grid[#Data],M_BOM[PPGridRow],19),0))</f>
        <v/>
      </c>
      <c r="T66">
        <f>SUMPRODUCT((M_BOM[RM_Code]=$A66)*M_BOM[RM_Qty_Per_Batch]*IFERROR(INDEX(PP_Grid[#Data],M_BOM[PPGridRow],20),0))</f>
        <v/>
      </c>
      <c r="U66">
        <f>SUMPRODUCT((M_BOM[RM_Code]=$A66)*M_BOM[RM_Qty_Per_Batch]*IFERROR(INDEX(PP_Grid[#Data],M_BOM[PPGridRow],21),0))</f>
        <v/>
      </c>
      <c r="V66">
        <f>SUMPRODUCT((M_BOM[RM_Code]=$A66)*M_BOM[RM_Qty_Per_Batch]*IFERROR(INDEX(PP_Grid[#Data],M_BOM[PPGridRow],22),0))</f>
        <v/>
      </c>
      <c r="W66">
        <f>SUMPRODUCT((M_BOM[RM_Code]=$A66)*M_BOM[RM_Qty_Per_Batch]*IFERROR(INDEX(PP_Grid[#Data],M_BOM[PPGridRow],23),0))</f>
        <v/>
      </c>
      <c r="X66">
        <f>SUMPRODUCT((M_BOM[RM_Code]=$A66)*M_BOM[RM_Qty_Per_Batch]*IFERROR(INDEX(PP_Grid[#Data],M_BOM[PPGridRow],24),0))</f>
        <v/>
      </c>
      <c r="Y66">
        <f>SUMPRODUCT((M_BOM[RM_Code]=$A66)*M_BOM[RM_Qty_Per_Batch]*IFERROR(INDEX(PP_Grid[#Data],M_BOM[PPGridRow],25),0))</f>
        <v/>
      </c>
      <c r="Z66">
        <f>SUMPRODUCT((M_BOM[RM_Code]=$A66)*M_BOM[RM_Qty_Per_Batch]*IFERROR(INDEX(PP_Grid[#Data],M_BOM[PPGridRow],26),0))</f>
        <v/>
      </c>
      <c r="AA66">
        <f>SUMPRODUCT((M_BOM[RM_Code]=$A66)*M_BOM[RM_Qty_Per_Batch]*IFERROR(INDEX(PP_Grid[#Data],M_BOM[PPGridRow],27),0))</f>
        <v/>
      </c>
      <c r="AB66">
        <f>SUMPRODUCT((M_BOM[RM_Code]=$A66)*M_BOM[RM_Qty_Per_Batch]*IFERROR(INDEX(PP_Grid[#Data],M_BOM[PPGridRow],28),0))</f>
        <v/>
      </c>
      <c r="AC66">
        <f>SUMPRODUCT((M_BOM[RM_Code]=$A66)*M_BOM[RM_Qty_Per_Batch]*IFERROR(INDEX(PP_Grid[#Data],M_BOM[PPGridRow],29),0))</f>
        <v/>
      </c>
      <c r="AD66">
        <f>SUMPRODUCT((M_BOM[RM_Code]=$A66)*M_BOM[RM_Qty_Per_Batch]*IFERROR(INDEX(PP_Grid[#Data],M_BOM[PPGridRow],30),0))</f>
        <v/>
      </c>
      <c r="AE66">
        <f>SUMPRODUCT((M_BOM[RM_Code]=$A66)*M_BOM[RM_Qty_Per_Batch]*IFERROR(INDEX(PP_Grid[#Data],M_BOM[PPGridRow],31),0))</f>
        <v/>
      </c>
      <c r="AF66">
        <f>SUMPRODUCT((M_BOM[RM_Code]=$A66)*M_BOM[RM_Qty_Per_Batch]*IFERROR(INDEX(PP_Grid[#Data],M_BOM[PPGridRow],32),0))</f>
        <v/>
      </c>
      <c r="AG66">
        <f>SUMPRODUCT((M_BOM[RM_Code]=$A66)*M_BOM[RM_Qty_Per_Batch]*IFERROR(INDEX(PP_Grid[#Data],M_BOM[PPGridRow],33),0))</f>
        <v/>
      </c>
      <c r="AH66">
        <f>SUMPRODUCT((M_BOM[RM_Code]=$A66)*M_BOM[RM_Qty_Per_Batch]*IFERROR(INDEX(PP_Grid[#Data],M_BOM[PPGridRow],34),0))</f>
        <v/>
      </c>
      <c r="AI66">
        <f>SUMPRODUCT((M_BOM[RM_Code]=$A66)*M_BOM[RM_Qty_Per_Batch]*IFERROR(INDEX(PP_Grid[#Data],M_BOM[PPGridRow],35),0))</f>
        <v/>
      </c>
      <c r="AJ66">
        <f>SUMPRODUCT((M_BOM[RM_Code]=$A66)*M_BOM[RM_Qty_Per_Batch]*IFERROR(INDEX(PP_Grid[#Data],M_BOM[PPGridRow],36),0))</f>
        <v/>
      </c>
      <c r="AK66">
        <f>SUMPRODUCT((M_BOM[RM_Code]=$A66)*M_BOM[RM_Qty_Per_Batch]*IFERROR(INDEX(PP_Grid[#Data],M_BOM[PPGridRow],37),0))</f>
        <v/>
      </c>
      <c r="AL66">
        <f>SUMPRODUCT((M_BOM[RM_Code]=$A66)*M_BOM[RM_Qty_Per_Batch]*IFERROR(INDEX(PP_Grid[#Data],M_BOM[PPGridRow],38),0))</f>
        <v/>
      </c>
      <c r="AM66">
        <f>SUMPRODUCT((M_BOM[RM_Code]=$A66)*M_BOM[RM_Qty_Per_Batch]*IFERROR(INDEX(PP_Grid[#Data],M_BOM[PPGridRow],39),0))</f>
        <v/>
      </c>
      <c r="AN66">
        <f>SUMPRODUCT((M_BOM[RM_Code]=$A66)*M_BOM[RM_Qty_Per_Batch]*IFERROR(INDEX(PP_Grid[#Data],M_BOM[PPGridRow],40),0))</f>
        <v/>
      </c>
      <c r="AO66">
        <f>SUMPRODUCT((M_BOM[RM_Code]=$A66)*M_BOM[RM_Qty_Per_Batch]*IFERROR(INDEX(PP_Grid[#Data],M_BOM[PPGridRow],41),0))</f>
        <v/>
      </c>
      <c r="AP66">
        <f>SUMPRODUCT((M_BOM[RM_Code]=$A66)*M_BOM[RM_Qty_Per_Batch]*IFERROR(INDEX(PP_Grid[#Data],M_BOM[PPGridRow],42),0))</f>
        <v/>
      </c>
      <c r="AQ66">
        <f>SUMPRODUCT((M_BOM[RM_Code]=$A66)*M_BOM[RM_Qty_Per_Batch]*IFERROR(INDEX(PP_Grid[#Data],M_BOM[PPGridRow],43),0))</f>
        <v/>
      </c>
      <c r="AR66">
        <f>SUMPRODUCT((M_BOM[RM_Code]=$A66)*M_BOM[RM_Qty_Per_Batch]*IFERROR(INDEX(PP_Grid[#Data],M_BOM[PPGridRow],44),0))</f>
        <v/>
      </c>
      <c r="AS66">
        <f>SUMPRODUCT((M_BOM[RM_Code]=$A66)*M_BOM[RM_Qty_Per_Batch]*IFERROR(INDEX(PP_Grid[#Data],M_BOM[PPGridRow],45),0))</f>
        <v/>
      </c>
      <c r="AT66">
        <f>SUMPRODUCT((M_BOM[RM_Code]=$A66)*M_BOM[RM_Qty_Per_Batch]*IFERROR(INDEX(PP_Grid[#Data],M_BOM[PPGridRow],46),0))</f>
        <v/>
      </c>
      <c r="AU66">
        <f>SUMPRODUCT((M_BOM[RM_Code]=$A66)*M_BOM[RM_Qty_Per_Batch]*IFERROR(INDEX(PP_Grid[#Data],M_BOM[PPGridRow],47),0))</f>
        <v/>
      </c>
      <c r="AV66">
        <f>SUMPRODUCT((M_BOM[RM_Code]=$A66)*M_BOM[RM_Qty_Per_Batch]*IFERROR(INDEX(PP_Grid[#Data],M_BOM[PPGridRow],48),0))</f>
        <v/>
      </c>
      <c r="AW66">
        <f>SUMPRODUCT((M_BOM[RM_Code]=$A66)*M_BOM[RM_Qty_Per_Batch]*IFERROR(INDEX(PP_Grid[#Data],M_BOM[PPGridRow],49),0))</f>
        <v/>
      </c>
      <c r="AX66">
        <f>SUMPRODUCT((M_BOM[RM_Code]=$A66)*M_BOM[RM_Qty_Per_Batch]*IFERROR(INDEX(PP_Grid[#Data],M_BOM[PPGridRow],50),0))</f>
        <v/>
      </c>
      <c r="AY66">
        <f>SUMPRODUCT((M_BOM[RM_Code]=$A66)*M_BOM[RM_Qty_Per_Batch]*IFERROR(INDEX(PP_Grid[#Data],M_BOM[PPGridRow],51),0))</f>
        <v/>
      </c>
      <c r="AZ66">
        <f>SUMPRODUCT((M_BOM[RM_Code]=$A66)*M_BOM[RM_Qty_Per_Batch]*IFERROR(INDEX(PP_Grid[#Data],M_BOM[PPGridRow],52),0))</f>
        <v/>
      </c>
      <c r="BA66">
        <f>SUMPRODUCT((M_BOM[RM_Code]=$A66)*M_BOM[RM_Qty_Per_Batch]*IFERROR(INDEX(PP_Grid[#Data],M_BOM[PPGridRow],53),0))</f>
        <v/>
      </c>
      <c r="BB66">
        <f>SUMPRODUCT((M_BOM[RM_Code]=$A66)*M_BOM[RM_Qty_Per_Batch]*IFERROR(INDEX(PP_Grid[#Data],M_BOM[PPGridRow],54),0))</f>
        <v/>
      </c>
      <c r="BC66">
        <f>SUMPRODUCT((M_BOM[RM_Code]=$A66)*M_BOM[RM_Qty_Per_Batch]*IFERROR(INDEX(PP_Grid[#Data],M_BOM[PPGridRow],55),0))</f>
        <v/>
      </c>
      <c r="BD66">
        <f>SUMPRODUCT((M_BOM[RM_Code]=$A66)*M_BOM[RM_Qty_Per_Batch]*IFERROR(INDEX(PP_Grid[#Data],M_BOM[PPGridRow],56),0))</f>
        <v/>
      </c>
      <c r="BE66">
        <f>SUMPRODUCT((M_BOM[RM_Code]=$A66)*M_BOM[RM_Qty_Per_Batch]*IFERROR(INDEX(PP_Grid[#Data],M_BOM[PPGridRow],57),0))</f>
        <v/>
      </c>
      <c r="BF66">
        <f>SUMPRODUCT((M_BOM[RM_Code]=$A66)*M_BOM[RM_Qty_Per_Batch]*IFERROR(INDEX(PP_Grid[#Data],M_BOM[PPGridRow],58),0))</f>
        <v/>
      </c>
      <c r="BG66">
        <f>SUMPRODUCT((M_BOM[RM_Code]=$A66)*M_BOM[RM_Qty_Per_Batch]*IFERROR(INDEX(PP_Grid[#Data],M_BOM[PPGridRow],59),0))</f>
        <v/>
      </c>
      <c r="BH66">
        <f>SUMPRODUCT((M_BOM[RM_Code]=$A66)*M_BOM[RM_Qty_Per_Batch]*IFERROR(INDEX(PP_Grid[#Data],M_BOM[PPGridRow],60),0))</f>
        <v/>
      </c>
      <c r="BI66">
        <f>SUMPRODUCT((M_BOM[RM_Code]=$A66)*M_BOM[RM_Qty_Per_Batch]*IFERROR(INDEX(PP_Grid[#Data],M_BOM[PPGridRow],61),0))</f>
        <v/>
      </c>
      <c r="BJ66">
        <f>SUMPRODUCT((M_BOM[RM_Code]=$A66)*M_BOM[RM_Qty_Per_Batch]*IFERROR(INDEX(PP_Grid[#Data],M_BOM[PPGridRow],62),0))</f>
        <v/>
      </c>
      <c r="BK66">
        <f>SUMPRODUCT((M_BOM[RM_Code]=$A66)*M_BOM[RM_Qty_Per_Batch]*IFERROR(INDEX(PP_Grid[#Data],M_BOM[PPGridRow],63),0))</f>
        <v/>
      </c>
      <c r="BL66">
        <f>SUMPRODUCT((M_BOM[RM_Code]=$A66)*M_BOM[RM_Qty_Per_Batch]*IFERROR(INDEX(PP_Grid[#Data],M_BOM[PPGridRow],64),0))</f>
        <v/>
      </c>
      <c r="BM66">
        <f>SUMPRODUCT((M_BOM[RM_Code]=$A66)*M_BOM[RM_Qty_Per_Batch]*IFERROR(INDEX(PP_Grid[#Data],M_BOM[PPGridRow],65),0))</f>
        <v/>
      </c>
      <c r="BN66">
        <f>SUMPRODUCT((M_BOM[RM_Code]=$A66)*M_BOM[RM_Qty_Per_Batch]*IFERROR(INDEX(PP_Grid[#Data],M_BOM[PPGridRow],66),0))</f>
        <v/>
      </c>
      <c r="BO66">
        <f>SUMPRODUCT((M_BOM[RM_Code]=$A66)*M_BOM[RM_Qty_Per_Batch]*IFERROR(INDEX(PP_Grid[#Data],M_BOM[PPGridRow],67),0))</f>
        <v/>
      </c>
      <c r="BP66">
        <f>SUMPRODUCT((M_BOM[RM_Code]=$A66)*M_BOM[RM_Qty_Per_Batch]*IFERROR(INDEX(PP_Grid[#Data],M_BOM[PPGridRow],68),0))</f>
        <v/>
      </c>
      <c r="BQ66">
        <f>SUMPRODUCT((M_BOM[RM_Code]=$A66)*M_BOM[RM_Qty_Per_Batch]*IFERROR(INDEX(PP_Grid[#Data],M_BOM[PPGridRow],69),0))</f>
        <v/>
      </c>
      <c r="BR66">
        <f>SUMPRODUCT((M_BOM[RM_Code]=$A66)*M_BOM[RM_Qty_Per_Batch]*IFERROR(INDEX(PP_Grid[#Data],M_BOM[PPGridRow],70),0))</f>
        <v/>
      </c>
      <c r="BS66">
        <f>SUMPRODUCT((M_BOM[RM_Code]=$A66)*M_BOM[RM_Qty_Per_Batch]*IFERROR(INDEX(PP_Grid[#Data],M_BOM[PPGridRow],71),0))</f>
        <v/>
      </c>
      <c r="BT66">
        <f>SUMPRODUCT((M_BOM[RM_Code]=$A66)*M_BOM[RM_Qty_Per_Batch]*IFERROR(INDEX(PP_Grid[#Data],M_BOM[PPGridRow],72),0))</f>
        <v/>
      </c>
      <c r="BU66">
        <f>SUMPRODUCT((M_BOM[RM_Code]=$A66)*M_BOM[RM_Qty_Per_Batch]*IFERROR(INDEX(PP_Grid[#Data],M_BOM[PPGridRow],73),0))</f>
        <v/>
      </c>
      <c r="BV66">
        <f>SUMPRODUCT((M_BOM[RM_Code]=$A66)*M_BOM[RM_Qty_Per_Batch]*IFERROR(INDEX(PP_Grid[#Data],M_BOM[PPGridRow],74),0))</f>
        <v/>
      </c>
      <c r="BW66">
        <f>SUMPRODUCT((M_BOM[RM_Code]=$A66)*M_BOM[RM_Qty_Per_Batch]*IFERROR(INDEX(PP_Grid[#Data],M_BOM[PPGridRow],75),0))</f>
        <v/>
      </c>
      <c r="BX66">
        <f>SUMPRODUCT((M_BOM[RM_Code]=$A66)*M_BOM[RM_Qty_Per_Batch]*IFERROR(INDEX(PP_Grid[#Data],M_BOM[PPGridRow],76),0))</f>
        <v/>
      </c>
      <c r="BY66">
        <f>SUMPRODUCT((M_BOM[RM_Code]=$A66)*M_BOM[RM_Qty_Per_Batch]*IFERROR(INDEX(PP_Grid[#Data],M_BOM[PPGridRow],77),0))</f>
        <v/>
      </c>
      <c r="BZ66">
        <f>SUMPRODUCT((M_BOM[RM_Code]=$A66)*M_BOM[RM_Qty_Per_Batch]*IFERROR(INDEX(PP_Grid[#Data],M_BOM[PPGridRow],78),0))</f>
        <v/>
      </c>
      <c r="CA66">
        <f>SUMPRODUCT((M_BOM[RM_Code]=$A66)*M_BOM[RM_Qty_Per_Batch]*IFERROR(INDEX(PP_Grid[#Data],M_BOM[PPGridRow],79),0))</f>
        <v/>
      </c>
      <c r="CB66">
        <f>SUMPRODUCT((M_BOM[RM_Code]=$A66)*M_BOM[RM_Qty_Per_Batch]*IFERROR(INDEX(PP_Grid[#Data],M_BOM[PPGridRow],80),0))</f>
        <v/>
      </c>
      <c r="CC66">
        <f>SUMPRODUCT((M_BOM[RM_Code]=$A66)*M_BOM[RM_Qty_Per_Batch]*IFERROR(INDEX(PP_Grid[#Data],M_BOM[PPGridRow],81),0))</f>
        <v/>
      </c>
      <c r="CD66">
        <f>SUMPRODUCT((M_BOM[RM_Code]=$A66)*M_BOM[RM_Qty_Per_Batch]*IFERROR(INDEX(PP_Grid[#Data],M_BOM[PPGridRow],82),0))</f>
        <v/>
      </c>
      <c r="CE66">
        <f>SUMPRODUCT((M_BOM[RM_Code]=$A66)*M_BOM[RM_Qty_Per_Batch]*IFERROR(INDEX(PP_Grid[#Data],M_BOM[PPGridRow],83),0))</f>
        <v/>
      </c>
      <c r="CF66">
        <f>SUMPRODUCT((M_BOM[RM_Code]=$A66)*M_BOM[RM_Qty_Per_Batch]*IFERROR(INDEX(PP_Grid[#Data],M_BOM[PPGridRow],84),0))</f>
        <v/>
      </c>
      <c r="CG66">
        <f>SUMPRODUCT((M_BOM[RM_Code]=$A66)*M_BOM[RM_Qty_Per_Batch]*IFERROR(INDEX(PP_Grid[#Data],M_BOM[PPGridRow],85),0))</f>
        <v/>
      </c>
      <c r="CH66">
        <f>SUMPRODUCT((M_BOM[RM_Code]=$A66)*M_BOM[RM_Qty_Per_Batch]*IFERROR(INDEX(PP_Grid[#Data],M_BOM[PPGridRow],86),0))</f>
        <v/>
      </c>
      <c r="CI66">
        <f>SUMPRODUCT((M_BOM[RM_Code]=$A66)*M_BOM[RM_Qty_Per_Batch]*IFERROR(INDEX(PP_Grid[#Data],M_BOM[PPGridRow],87),0))</f>
        <v/>
      </c>
      <c r="CJ66">
        <f>SUMPRODUCT((M_BOM[RM_Code]=$A66)*M_BOM[RM_Qty_Per_Batch]*IFERROR(INDEX(PP_Grid[#Data],M_BOM[PPGridRow],88),0))</f>
        <v/>
      </c>
      <c r="CK66">
        <f>SUMPRODUCT((M_BOM[RM_Code]=$A66)*M_BOM[RM_Qty_Per_Batch]*IFERROR(INDEX(PP_Grid[#Data],M_BOM[PPGridRow],89),0))</f>
        <v/>
      </c>
      <c r="CL66">
        <f>SUMPRODUCT((M_BOM[RM_Code]=$A66)*M_BOM[RM_Qty_Per_Batch]*IFERROR(INDEX(PP_Grid[#Data],M_BOM[PPGridRow],90),0))</f>
        <v/>
      </c>
      <c r="CM66">
        <f>SUMPRODUCT((M_BOM[RM_Code]=$A66)*M_BOM[RM_Qty_Per_Batch]*IFERROR(INDEX(PP_Grid[#Data],M_BOM[PPGridRow],91),0))</f>
        <v/>
      </c>
      <c r="CN66">
        <f>SUMPRODUCT((M_BOM[RM_Code]=$A66)*M_BOM[RM_Qty_Per_Batch]*IFERROR(INDEX(PP_Grid[#Data],M_BOM[PPGridRow],92),0))</f>
        <v/>
      </c>
      <c r="CO66">
        <f>SUMPRODUCT((M_BOM[RM_Code]=$A66)*M_BOM[RM_Qty_Per_Batch]*IFERROR(INDEX(PP_Grid[#Data],M_BOM[PPGridRow],93),0))</f>
        <v/>
      </c>
      <c r="CP66">
        <f>SUMPRODUCT((M_BOM[RM_Code]=$A66)*M_BOM[RM_Qty_Per_Batch]*IFERROR(INDEX(PP_Grid[#Data],M_BOM[PPGridRow],94),0))</f>
        <v/>
      </c>
      <c r="CQ66">
        <f>SUMPRODUCT((M_BOM[RM_Code]=$A66)*M_BOM[RM_Qty_Per_Batch]*IFERROR(INDEX(PP_Grid[#Data],M_BOM[PPGridRow],95),0))</f>
        <v/>
      </c>
      <c r="CR66">
        <f>SUMPRODUCT((M_BOM[RM_Code]=$A66)*M_BOM[RM_Qty_Per_Batch]*IFERROR(INDEX(PP_Grid[#Data],M_BOM[PPGridRow],96),0))</f>
        <v/>
      </c>
      <c r="CS66">
        <f>SUMPRODUCT((M_BOM[RM_Code]=$A66)*M_BOM[RM_Qty_Per_Batch]*IFERROR(INDEX(PP_Grid[#Data],M_BOM[PPGridRow],97),0))</f>
        <v/>
      </c>
      <c r="CT66">
        <f>SUMPRODUCT((M_BOM[RM_Code]=$A66)*M_BOM[RM_Qty_Per_Batch]*IFERROR(INDEX(PP_Grid[#Data],M_BOM[PPGridRow],98),0))</f>
        <v/>
      </c>
      <c r="CU66">
        <f>SUMPRODUCT((M_BOM[RM_Code]=$A66)*M_BOM[RM_Qty_Per_Batch]*IFERROR(INDEX(PP_Grid[#Data],M_BOM[PPGridRow],99),0))</f>
        <v/>
      </c>
      <c r="CV66">
        <f>SUMPRODUCT((M_BOM[RM_Code]=$A66)*M_BOM[RM_Qty_Per_Batch]*IFERROR(INDEX(PP_Grid[#Data],M_BOM[PPGridRow],100),0))</f>
        <v/>
      </c>
      <c r="CW66">
        <f>SUMPRODUCT((M_BOM[RM_Code]=$A66)*M_BOM[RM_Qty_Per_Batch]*IFERROR(INDEX(PP_Grid[#Data],M_BOM[PPGridRow],101),0))</f>
        <v/>
      </c>
      <c r="CX66">
        <f>SUMPRODUCT((M_BOM[RM_Code]=$A66)*M_BOM[RM_Qty_Per_Batch]*IFERROR(INDEX(PP_Grid[#Data],M_BOM[PPGridRow],102),0))</f>
        <v/>
      </c>
      <c r="CY66">
        <f>SUMPRODUCT((M_BOM[RM_Code]=$A66)*M_BOM[RM_Qty_Per_Batch]*IFERROR(INDEX(PP_Grid[#Data],M_BOM[PPGridRow],103),0))</f>
        <v/>
      </c>
      <c r="CZ66">
        <f>SUMPRODUCT((M_BOM[RM_Code]=$A66)*M_BOM[RM_Qty_Per_Batch]*IFERROR(INDEX(PP_Grid[#Data],M_BOM[PPGridRow],104),0))</f>
        <v/>
      </c>
      <c r="DA66">
        <f>SUMPRODUCT((M_BOM[RM_Code]=$A66)*M_BOM[RM_Qty_Per_Batch]*IFERROR(INDEX(PP_Grid[#Data],M_BOM[PPGridRow],105),0))</f>
        <v/>
      </c>
    </row>
    <row r="67">
      <c r="A67" t="inlineStr">
        <is>
          <t>V19</t>
        </is>
      </c>
      <c r="B67">
        <f>SUMPRODUCT((M_BOM[RM_Code]=$A67)*M_BOM[RM_Qty_Per_Batch]*IFERROR(INDEX(PP_Grid[#Data],M_BOM[PPGridRow],2),0))</f>
        <v/>
      </c>
      <c r="C67">
        <f>SUMPRODUCT((M_BOM[RM_Code]=$A67)*M_BOM[RM_Qty_Per_Batch]*IFERROR(INDEX(PP_Grid[#Data],M_BOM[PPGridRow],3),0))</f>
        <v/>
      </c>
      <c r="D67">
        <f>SUMPRODUCT((M_BOM[RM_Code]=$A67)*M_BOM[RM_Qty_Per_Batch]*IFERROR(INDEX(PP_Grid[#Data],M_BOM[PPGridRow],4),0))</f>
        <v/>
      </c>
      <c r="E67">
        <f>SUMPRODUCT((M_BOM[RM_Code]=$A67)*M_BOM[RM_Qty_Per_Batch]*IFERROR(INDEX(PP_Grid[#Data],M_BOM[PPGridRow],5),0))</f>
        <v/>
      </c>
      <c r="F67">
        <f>SUMPRODUCT((M_BOM[RM_Code]=$A67)*M_BOM[RM_Qty_Per_Batch]*IFERROR(INDEX(PP_Grid[#Data],M_BOM[PPGridRow],6),0))</f>
        <v/>
      </c>
      <c r="G67">
        <f>SUMPRODUCT((M_BOM[RM_Code]=$A67)*M_BOM[RM_Qty_Per_Batch]*IFERROR(INDEX(PP_Grid[#Data],M_BOM[PPGridRow],7),0))</f>
        <v/>
      </c>
      <c r="H67">
        <f>SUMPRODUCT((M_BOM[RM_Code]=$A67)*M_BOM[RM_Qty_Per_Batch]*IFERROR(INDEX(PP_Grid[#Data],M_BOM[PPGridRow],8),0))</f>
        <v/>
      </c>
      <c r="I67">
        <f>SUMPRODUCT((M_BOM[RM_Code]=$A67)*M_BOM[RM_Qty_Per_Batch]*IFERROR(INDEX(PP_Grid[#Data],M_BOM[PPGridRow],9),0))</f>
        <v/>
      </c>
      <c r="J67">
        <f>SUMPRODUCT((M_BOM[RM_Code]=$A67)*M_BOM[RM_Qty_Per_Batch]*IFERROR(INDEX(PP_Grid[#Data],M_BOM[PPGridRow],10),0))</f>
        <v/>
      </c>
      <c r="K67">
        <f>SUMPRODUCT((M_BOM[RM_Code]=$A67)*M_BOM[RM_Qty_Per_Batch]*IFERROR(INDEX(PP_Grid[#Data],M_BOM[PPGridRow],11),0))</f>
        <v/>
      </c>
      <c r="L67">
        <f>SUMPRODUCT((M_BOM[RM_Code]=$A67)*M_BOM[RM_Qty_Per_Batch]*IFERROR(INDEX(PP_Grid[#Data],M_BOM[PPGridRow],12),0))</f>
        <v/>
      </c>
      <c r="M67">
        <f>SUMPRODUCT((M_BOM[RM_Code]=$A67)*M_BOM[RM_Qty_Per_Batch]*IFERROR(INDEX(PP_Grid[#Data],M_BOM[PPGridRow],13),0))</f>
        <v/>
      </c>
      <c r="N67">
        <f>SUMPRODUCT((M_BOM[RM_Code]=$A67)*M_BOM[RM_Qty_Per_Batch]*IFERROR(INDEX(PP_Grid[#Data],M_BOM[PPGridRow],14),0))</f>
        <v/>
      </c>
      <c r="O67">
        <f>SUMPRODUCT((M_BOM[RM_Code]=$A67)*M_BOM[RM_Qty_Per_Batch]*IFERROR(INDEX(PP_Grid[#Data],M_BOM[PPGridRow],15),0))</f>
        <v/>
      </c>
      <c r="P67">
        <f>SUMPRODUCT((M_BOM[RM_Code]=$A67)*M_BOM[RM_Qty_Per_Batch]*IFERROR(INDEX(PP_Grid[#Data],M_BOM[PPGridRow],16),0))</f>
        <v/>
      </c>
      <c r="Q67">
        <f>SUMPRODUCT((M_BOM[RM_Code]=$A67)*M_BOM[RM_Qty_Per_Batch]*IFERROR(INDEX(PP_Grid[#Data],M_BOM[PPGridRow],17),0))</f>
        <v/>
      </c>
      <c r="R67">
        <f>SUMPRODUCT((M_BOM[RM_Code]=$A67)*M_BOM[RM_Qty_Per_Batch]*IFERROR(INDEX(PP_Grid[#Data],M_BOM[PPGridRow],18),0))</f>
        <v/>
      </c>
      <c r="S67">
        <f>SUMPRODUCT((M_BOM[RM_Code]=$A67)*M_BOM[RM_Qty_Per_Batch]*IFERROR(INDEX(PP_Grid[#Data],M_BOM[PPGridRow],19),0))</f>
        <v/>
      </c>
      <c r="T67">
        <f>SUMPRODUCT((M_BOM[RM_Code]=$A67)*M_BOM[RM_Qty_Per_Batch]*IFERROR(INDEX(PP_Grid[#Data],M_BOM[PPGridRow],20),0))</f>
        <v/>
      </c>
      <c r="U67">
        <f>SUMPRODUCT((M_BOM[RM_Code]=$A67)*M_BOM[RM_Qty_Per_Batch]*IFERROR(INDEX(PP_Grid[#Data],M_BOM[PPGridRow],21),0))</f>
        <v/>
      </c>
      <c r="V67">
        <f>SUMPRODUCT((M_BOM[RM_Code]=$A67)*M_BOM[RM_Qty_Per_Batch]*IFERROR(INDEX(PP_Grid[#Data],M_BOM[PPGridRow],22),0))</f>
        <v/>
      </c>
      <c r="W67">
        <f>SUMPRODUCT((M_BOM[RM_Code]=$A67)*M_BOM[RM_Qty_Per_Batch]*IFERROR(INDEX(PP_Grid[#Data],M_BOM[PPGridRow],23),0))</f>
        <v/>
      </c>
      <c r="X67">
        <f>SUMPRODUCT((M_BOM[RM_Code]=$A67)*M_BOM[RM_Qty_Per_Batch]*IFERROR(INDEX(PP_Grid[#Data],M_BOM[PPGridRow],24),0))</f>
        <v/>
      </c>
      <c r="Y67">
        <f>SUMPRODUCT((M_BOM[RM_Code]=$A67)*M_BOM[RM_Qty_Per_Batch]*IFERROR(INDEX(PP_Grid[#Data],M_BOM[PPGridRow],25),0))</f>
        <v/>
      </c>
      <c r="Z67">
        <f>SUMPRODUCT((M_BOM[RM_Code]=$A67)*M_BOM[RM_Qty_Per_Batch]*IFERROR(INDEX(PP_Grid[#Data],M_BOM[PPGridRow],26),0))</f>
        <v/>
      </c>
      <c r="AA67">
        <f>SUMPRODUCT((M_BOM[RM_Code]=$A67)*M_BOM[RM_Qty_Per_Batch]*IFERROR(INDEX(PP_Grid[#Data],M_BOM[PPGridRow],27),0))</f>
        <v/>
      </c>
      <c r="AB67">
        <f>SUMPRODUCT((M_BOM[RM_Code]=$A67)*M_BOM[RM_Qty_Per_Batch]*IFERROR(INDEX(PP_Grid[#Data],M_BOM[PPGridRow],28),0))</f>
        <v/>
      </c>
      <c r="AC67">
        <f>SUMPRODUCT((M_BOM[RM_Code]=$A67)*M_BOM[RM_Qty_Per_Batch]*IFERROR(INDEX(PP_Grid[#Data],M_BOM[PPGridRow],29),0))</f>
        <v/>
      </c>
      <c r="AD67">
        <f>SUMPRODUCT((M_BOM[RM_Code]=$A67)*M_BOM[RM_Qty_Per_Batch]*IFERROR(INDEX(PP_Grid[#Data],M_BOM[PPGridRow],30),0))</f>
        <v/>
      </c>
      <c r="AE67">
        <f>SUMPRODUCT((M_BOM[RM_Code]=$A67)*M_BOM[RM_Qty_Per_Batch]*IFERROR(INDEX(PP_Grid[#Data],M_BOM[PPGridRow],31),0))</f>
        <v/>
      </c>
      <c r="AF67">
        <f>SUMPRODUCT((M_BOM[RM_Code]=$A67)*M_BOM[RM_Qty_Per_Batch]*IFERROR(INDEX(PP_Grid[#Data],M_BOM[PPGridRow],32),0))</f>
        <v/>
      </c>
      <c r="AG67">
        <f>SUMPRODUCT((M_BOM[RM_Code]=$A67)*M_BOM[RM_Qty_Per_Batch]*IFERROR(INDEX(PP_Grid[#Data],M_BOM[PPGridRow],33),0))</f>
        <v/>
      </c>
      <c r="AH67">
        <f>SUMPRODUCT((M_BOM[RM_Code]=$A67)*M_BOM[RM_Qty_Per_Batch]*IFERROR(INDEX(PP_Grid[#Data],M_BOM[PPGridRow],34),0))</f>
        <v/>
      </c>
      <c r="AI67">
        <f>SUMPRODUCT((M_BOM[RM_Code]=$A67)*M_BOM[RM_Qty_Per_Batch]*IFERROR(INDEX(PP_Grid[#Data],M_BOM[PPGridRow],35),0))</f>
        <v/>
      </c>
      <c r="AJ67">
        <f>SUMPRODUCT((M_BOM[RM_Code]=$A67)*M_BOM[RM_Qty_Per_Batch]*IFERROR(INDEX(PP_Grid[#Data],M_BOM[PPGridRow],36),0))</f>
        <v/>
      </c>
      <c r="AK67">
        <f>SUMPRODUCT((M_BOM[RM_Code]=$A67)*M_BOM[RM_Qty_Per_Batch]*IFERROR(INDEX(PP_Grid[#Data],M_BOM[PPGridRow],37),0))</f>
        <v/>
      </c>
      <c r="AL67">
        <f>SUMPRODUCT((M_BOM[RM_Code]=$A67)*M_BOM[RM_Qty_Per_Batch]*IFERROR(INDEX(PP_Grid[#Data],M_BOM[PPGridRow],38),0))</f>
        <v/>
      </c>
      <c r="AM67">
        <f>SUMPRODUCT((M_BOM[RM_Code]=$A67)*M_BOM[RM_Qty_Per_Batch]*IFERROR(INDEX(PP_Grid[#Data],M_BOM[PPGridRow],39),0))</f>
        <v/>
      </c>
      <c r="AN67">
        <f>SUMPRODUCT((M_BOM[RM_Code]=$A67)*M_BOM[RM_Qty_Per_Batch]*IFERROR(INDEX(PP_Grid[#Data],M_BOM[PPGridRow],40),0))</f>
        <v/>
      </c>
      <c r="AO67">
        <f>SUMPRODUCT((M_BOM[RM_Code]=$A67)*M_BOM[RM_Qty_Per_Batch]*IFERROR(INDEX(PP_Grid[#Data],M_BOM[PPGridRow],41),0))</f>
        <v/>
      </c>
      <c r="AP67">
        <f>SUMPRODUCT((M_BOM[RM_Code]=$A67)*M_BOM[RM_Qty_Per_Batch]*IFERROR(INDEX(PP_Grid[#Data],M_BOM[PPGridRow],42),0))</f>
        <v/>
      </c>
      <c r="AQ67">
        <f>SUMPRODUCT((M_BOM[RM_Code]=$A67)*M_BOM[RM_Qty_Per_Batch]*IFERROR(INDEX(PP_Grid[#Data],M_BOM[PPGridRow],43),0))</f>
        <v/>
      </c>
      <c r="AR67">
        <f>SUMPRODUCT((M_BOM[RM_Code]=$A67)*M_BOM[RM_Qty_Per_Batch]*IFERROR(INDEX(PP_Grid[#Data],M_BOM[PPGridRow],44),0))</f>
        <v/>
      </c>
      <c r="AS67">
        <f>SUMPRODUCT((M_BOM[RM_Code]=$A67)*M_BOM[RM_Qty_Per_Batch]*IFERROR(INDEX(PP_Grid[#Data],M_BOM[PPGridRow],45),0))</f>
        <v/>
      </c>
      <c r="AT67">
        <f>SUMPRODUCT((M_BOM[RM_Code]=$A67)*M_BOM[RM_Qty_Per_Batch]*IFERROR(INDEX(PP_Grid[#Data],M_BOM[PPGridRow],46),0))</f>
        <v/>
      </c>
      <c r="AU67">
        <f>SUMPRODUCT((M_BOM[RM_Code]=$A67)*M_BOM[RM_Qty_Per_Batch]*IFERROR(INDEX(PP_Grid[#Data],M_BOM[PPGridRow],47),0))</f>
        <v/>
      </c>
      <c r="AV67">
        <f>SUMPRODUCT((M_BOM[RM_Code]=$A67)*M_BOM[RM_Qty_Per_Batch]*IFERROR(INDEX(PP_Grid[#Data],M_BOM[PPGridRow],48),0))</f>
        <v/>
      </c>
      <c r="AW67">
        <f>SUMPRODUCT((M_BOM[RM_Code]=$A67)*M_BOM[RM_Qty_Per_Batch]*IFERROR(INDEX(PP_Grid[#Data],M_BOM[PPGridRow],49),0))</f>
        <v/>
      </c>
      <c r="AX67">
        <f>SUMPRODUCT((M_BOM[RM_Code]=$A67)*M_BOM[RM_Qty_Per_Batch]*IFERROR(INDEX(PP_Grid[#Data],M_BOM[PPGridRow],50),0))</f>
        <v/>
      </c>
      <c r="AY67">
        <f>SUMPRODUCT((M_BOM[RM_Code]=$A67)*M_BOM[RM_Qty_Per_Batch]*IFERROR(INDEX(PP_Grid[#Data],M_BOM[PPGridRow],51),0))</f>
        <v/>
      </c>
      <c r="AZ67">
        <f>SUMPRODUCT((M_BOM[RM_Code]=$A67)*M_BOM[RM_Qty_Per_Batch]*IFERROR(INDEX(PP_Grid[#Data],M_BOM[PPGridRow],52),0))</f>
        <v/>
      </c>
      <c r="BA67">
        <f>SUMPRODUCT((M_BOM[RM_Code]=$A67)*M_BOM[RM_Qty_Per_Batch]*IFERROR(INDEX(PP_Grid[#Data],M_BOM[PPGridRow],53),0))</f>
        <v/>
      </c>
      <c r="BB67">
        <f>SUMPRODUCT((M_BOM[RM_Code]=$A67)*M_BOM[RM_Qty_Per_Batch]*IFERROR(INDEX(PP_Grid[#Data],M_BOM[PPGridRow],54),0))</f>
        <v/>
      </c>
      <c r="BC67">
        <f>SUMPRODUCT((M_BOM[RM_Code]=$A67)*M_BOM[RM_Qty_Per_Batch]*IFERROR(INDEX(PP_Grid[#Data],M_BOM[PPGridRow],55),0))</f>
        <v/>
      </c>
      <c r="BD67">
        <f>SUMPRODUCT((M_BOM[RM_Code]=$A67)*M_BOM[RM_Qty_Per_Batch]*IFERROR(INDEX(PP_Grid[#Data],M_BOM[PPGridRow],56),0))</f>
        <v/>
      </c>
      <c r="BE67">
        <f>SUMPRODUCT((M_BOM[RM_Code]=$A67)*M_BOM[RM_Qty_Per_Batch]*IFERROR(INDEX(PP_Grid[#Data],M_BOM[PPGridRow],57),0))</f>
        <v/>
      </c>
      <c r="BF67">
        <f>SUMPRODUCT((M_BOM[RM_Code]=$A67)*M_BOM[RM_Qty_Per_Batch]*IFERROR(INDEX(PP_Grid[#Data],M_BOM[PPGridRow],58),0))</f>
        <v/>
      </c>
      <c r="BG67">
        <f>SUMPRODUCT((M_BOM[RM_Code]=$A67)*M_BOM[RM_Qty_Per_Batch]*IFERROR(INDEX(PP_Grid[#Data],M_BOM[PPGridRow],59),0))</f>
        <v/>
      </c>
      <c r="BH67">
        <f>SUMPRODUCT((M_BOM[RM_Code]=$A67)*M_BOM[RM_Qty_Per_Batch]*IFERROR(INDEX(PP_Grid[#Data],M_BOM[PPGridRow],60),0))</f>
        <v/>
      </c>
      <c r="BI67">
        <f>SUMPRODUCT((M_BOM[RM_Code]=$A67)*M_BOM[RM_Qty_Per_Batch]*IFERROR(INDEX(PP_Grid[#Data],M_BOM[PPGridRow],61),0))</f>
        <v/>
      </c>
      <c r="BJ67">
        <f>SUMPRODUCT((M_BOM[RM_Code]=$A67)*M_BOM[RM_Qty_Per_Batch]*IFERROR(INDEX(PP_Grid[#Data],M_BOM[PPGridRow],62),0))</f>
        <v/>
      </c>
      <c r="BK67">
        <f>SUMPRODUCT((M_BOM[RM_Code]=$A67)*M_BOM[RM_Qty_Per_Batch]*IFERROR(INDEX(PP_Grid[#Data],M_BOM[PPGridRow],63),0))</f>
        <v/>
      </c>
      <c r="BL67">
        <f>SUMPRODUCT((M_BOM[RM_Code]=$A67)*M_BOM[RM_Qty_Per_Batch]*IFERROR(INDEX(PP_Grid[#Data],M_BOM[PPGridRow],64),0))</f>
        <v/>
      </c>
      <c r="BM67">
        <f>SUMPRODUCT((M_BOM[RM_Code]=$A67)*M_BOM[RM_Qty_Per_Batch]*IFERROR(INDEX(PP_Grid[#Data],M_BOM[PPGridRow],65),0))</f>
        <v/>
      </c>
      <c r="BN67">
        <f>SUMPRODUCT((M_BOM[RM_Code]=$A67)*M_BOM[RM_Qty_Per_Batch]*IFERROR(INDEX(PP_Grid[#Data],M_BOM[PPGridRow],66),0))</f>
        <v/>
      </c>
      <c r="BO67">
        <f>SUMPRODUCT((M_BOM[RM_Code]=$A67)*M_BOM[RM_Qty_Per_Batch]*IFERROR(INDEX(PP_Grid[#Data],M_BOM[PPGridRow],67),0))</f>
        <v/>
      </c>
      <c r="BP67">
        <f>SUMPRODUCT((M_BOM[RM_Code]=$A67)*M_BOM[RM_Qty_Per_Batch]*IFERROR(INDEX(PP_Grid[#Data],M_BOM[PPGridRow],68),0))</f>
        <v/>
      </c>
      <c r="BQ67">
        <f>SUMPRODUCT((M_BOM[RM_Code]=$A67)*M_BOM[RM_Qty_Per_Batch]*IFERROR(INDEX(PP_Grid[#Data],M_BOM[PPGridRow],69),0))</f>
        <v/>
      </c>
      <c r="BR67">
        <f>SUMPRODUCT((M_BOM[RM_Code]=$A67)*M_BOM[RM_Qty_Per_Batch]*IFERROR(INDEX(PP_Grid[#Data],M_BOM[PPGridRow],70),0))</f>
        <v/>
      </c>
      <c r="BS67">
        <f>SUMPRODUCT((M_BOM[RM_Code]=$A67)*M_BOM[RM_Qty_Per_Batch]*IFERROR(INDEX(PP_Grid[#Data],M_BOM[PPGridRow],71),0))</f>
        <v/>
      </c>
      <c r="BT67">
        <f>SUMPRODUCT((M_BOM[RM_Code]=$A67)*M_BOM[RM_Qty_Per_Batch]*IFERROR(INDEX(PP_Grid[#Data],M_BOM[PPGridRow],72),0))</f>
        <v/>
      </c>
      <c r="BU67">
        <f>SUMPRODUCT((M_BOM[RM_Code]=$A67)*M_BOM[RM_Qty_Per_Batch]*IFERROR(INDEX(PP_Grid[#Data],M_BOM[PPGridRow],73),0))</f>
        <v/>
      </c>
      <c r="BV67">
        <f>SUMPRODUCT((M_BOM[RM_Code]=$A67)*M_BOM[RM_Qty_Per_Batch]*IFERROR(INDEX(PP_Grid[#Data],M_BOM[PPGridRow],74),0))</f>
        <v/>
      </c>
      <c r="BW67">
        <f>SUMPRODUCT((M_BOM[RM_Code]=$A67)*M_BOM[RM_Qty_Per_Batch]*IFERROR(INDEX(PP_Grid[#Data],M_BOM[PPGridRow],75),0))</f>
        <v/>
      </c>
      <c r="BX67">
        <f>SUMPRODUCT((M_BOM[RM_Code]=$A67)*M_BOM[RM_Qty_Per_Batch]*IFERROR(INDEX(PP_Grid[#Data],M_BOM[PPGridRow],76),0))</f>
        <v/>
      </c>
      <c r="BY67">
        <f>SUMPRODUCT((M_BOM[RM_Code]=$A67)*M_BOM[RM_Qty_Per_Batch]*IFERROR(INDEX(PP_Grid[#Data],M_BOM[PPGridRow],77),0))</f>
        <v/>
      </c>
      <c r="BZ67">
        <f>SUMPRODUCT((M_BOM[RM_Code]=$A67)*M_BOM[RM_Qty_Per_Batch]*IFERROR(INDEX(PP_Grid[#Data],M_BOM[PPGridRow],78),0))</f>
        <v/>
      </c>
      <c r="CA67">
        <f>SUMPRODUCT((M_BOM[RM_Code]=$A67)*M_BOM[RM_Qty_Per_Batch]*IFERROR(INDEX(PP_Grid[#Data],M_BOM[PPGridRow],79),0))</f>
        <v/>
      </c>
      <c r="CB67">
        <f>SUMPRODUCT((M_BOM[RM_Code]=$A67)*M_BOM[RM_Qty_Per_Batch]*IFERROR(INDEX(PP_Grid[#Data],M_BOM[PPGridRow],80),0))</f>
        <v/>
      </c>
      <c r="CC67">
        <f>SUMPRODUCT((M_BOM[RM_Code]=$A67)*M_BOM[RM_Qty_Per_Batch]*IFERROR(INDEX(PP_Grid[#Data],M_BOM[PPGridRow],81),0))</f>
        <v/>
      </c>
      <c r="CD67">
        <f>SUMPRODUCT((M_BOM[RM_Code]=$A67)*M_BOM[RM_Qty_Per_Batch]*IFERROR(INDEX(PP_Grid[#Data],M_BOM[PPGridRow],82),0))</f>
        <v/>
      </c>
      <c r="CE67">
        <f>SUMPRODUCT((M_BOM[RM_Code]=$A67)*M_BOM[RM_Qty_Per_Batch]*IFERROR(INDEX(PP_Grid[#Data],M_BOM[PPGridRow],83),0))</f>
        <v/>
      </c>
      <c r="CF67">
        <f>SUMPRODUCT((M_BOM[RM_Code]=$A67)*M_BOM[RM_Qty_Per_Batch]*IFERROR(INDEX(PP_Grid[#Data],M_BOM[PPGridRow],84),0))</f>
        <v/>
      </c>
      <c r="CG67">
        <f>SUMPRODUCT((M_BOM[RM_Code]=$A67)*M_BOM[RM_Qty_Per_Batch]*IFERROR(INDEX(PP_Grid[#Data],M_BOM[PPGridRow],85),0))</f>
        <v/>
      </c>
      <c r="CH67">
        <f>SUMPRODUCT((M_BOM[RM_Code]=$A67)*M_BOM[RM_Qty_Per_Batch]*IFERROR(INDEX(PP_Grid[#Data],M_BOM[PPGridRow],86),0))</f>
        <v/>
      </c>
      <c r="CI67">
        <f>SUMPRODUCT((M_BOM[RM_Code]=$A67)*M_BOM[RM_Qty_Per_Batch]*IFERROR(INDEX(PP_Grid[#Data],M_BOM[PPGridRow],87),0))</f>
        <v/>
      </c>
      <c r="CJ67">
        <f>SUMPRODUCT((M_BOM[RM_Code]=$A67)*M_BOM[RM_Qty_Per_Batch]*IFERROR(INDEX(PP_Grid[#Data],M_BOM[PPGridRow],88),0))</f>
        <v/>
      </c>
      <c r="CK67">
        <f>SUMPRODUCT((M_BOM[RM_Code]=$A67)*M_BOM[RM_Qty_Per_Batch]*IFERROR(INDEX(PP_Grid[#Data],M_BOM[PPGridRow],89),0))</f>
        <v/>
      </c>
      <c r="CL67">
        <f>SUMPRODUCT((M_BOM[RM_Code]=$A67)*M_BOM[RM_Qty_Per_Batch]*IFERROR(INDEX(PP_Grid[#Data],M_BOM[PPGridRow],90),0))</f>
        <v/>
      </c>
      <c r="CM67">
        <f>SUMPRODUCT((M_BOM[RM_Code]=$A67)*M_BOM[RM_Qty_Per_Batch]*IFERROR(INDEX(PP_Grid[#Data],M_BOM[PPGridRow],91),0))</f>
        <v/>
      </c>
      <c r="CN67">
        <f>SUMPRODUCT((M_BOM[RM_Code]=$A67)*M_BOM[RM_Qty_Per_Batch]*IFERROR(INDEX(PP_Grid[#Data],M_BOM[PPGridRow],92),0))</f>
        <v/>
      </c>
      <c r="CO67">
        <f>SUMPRODUCT((M_BOM[RM_Code]=$A67)*M_BOM[RM_Qty_Per_Batch]*IFERROR(INDEX(PP_Grid[#Data],M_BOM[PPGridRow],93),0))</f>
        <v/>
      </c>
      <c r="CP67">
        <f>SUMPRODUCT((M_BOM[RM_Code]=$A67)*M_BOM[RM_Qty_Per_Batch]*IFERROR(INDEX(PP_Grid[#Data],M_BOM[PPGridRow],94),0))</f>
        <v/>
      </c>
      <c r="CQ67">
        <f>SUMPRODUCT((M_BOM[RM_Code]=$A67)*M_BOM[RM_Qty_Per_Batch]*IFERROR(INDEX(PP_Grid[#Data],M_BOM[PPGridRow],95),0))</f>
        <v/>
      </c>
      <c r="CR67">
        <f>SUMPRODUCT((M_BOM[RM_Code]=$A67)*M_BOM[RM_Qty_Per_Batch]*IFERROR(INDEX(PP_Grid[#Data],M_BOM[PPGridRow],96),0))</f>
        <v/>
      </c>
      <c r="CS67">
        <f>SUMPRODUCT((M_BOM[RM_Code]=$A67)*M_BOM[RM_Qty_Per_Batch]*IFERROR(INDEX(PP_Grid[#Data],M_BOM[PPGridRow],97),0))</f>
        <v/>
      </c>
      <c r="CT67">
        <f>SUMPRODUCT((M_BOM[RM_Code]=$A67)*M_BOM[RM_Qty_Per_Batch]*IFERROR(INDEX(PP_Grid[#Data],M_BOM[PPGridRow],98),0))</f>
        <v/>
      </c>
      <c r="CU67">
        <f>SUMPRODUCT((M_BOM[RM_Code]=$A67)*M_BOM[RM_Qty_Per_Batch]*IFERROR(INDEX(PP_Grid[#Data],M_BOM[PPGridRow],99),0))</f>
        <v/>
      </c>
      <c r="CV67">
        <f>SUMPRODUCT((M_BOM[RM_Code]=$A67)*M_BOM[RM_Qty_Per_Batch]*IFERROR(INDEX(PP_Grid[#Data],M_BOM[PPGridRow],100),0))</f>
        <v/>
      </c>
      <c r="CW67">
        <f>SUMPRODUCT((M_BOM[RM_Code]=$A67)*M_BOM[RM_Qty_Per_Batch]*IFERROR(INDEX(PP_Grid[#Data],M_BOM[PPGridRow],101),0))</f>
        <v/>
      </c>
      <c r="CX67">
        <f>SUMPRODUCT((M_BOM[RM_Code]=$A67)*M_BOM[RM_Qty_Per_Batch]*IFERROR(INDEX(PP_Grid[#Data],M_BOM[PPGridRow],102),0))</f>
        <v/>
      </c>
      <c r="CY67">
        <f>SUMPRODUCT((M_BOM[RM_Code]=$A67)*M_BOM[RM_Qty_Per_Batch]*IFERROR(INDEX(PP_Grid[#Data],M_BOM[PPGridRow],103),0))</f>
        <v/>
      </c>
      <c r="CZ67">
        <f>SUMPRODUCT((M_BOM[RM_Code]=$A67)*M_BOM[RM_Qty_Per_Batch]*IFERROR(INDEX(PP_Grid[#Data],M_BOM[PPGridRow],104),0))</f>
        <v/>
      </c>
      <c r="DA67">
        <f>SUMPRODUCT((M_BOM[RM_Code]=$A67)*M_BOM[RM_Qty_Per_Batch]*IFERROR(INDEX(PP_Grid[#Data],M_BOM[PPGridRow],105),0))</f>
        <v/>
      </c>
    </row>
    <row r="68">
      <c r="A68" t="inlineStr">
        <is>
          <t>3TP</t>
        </is>
      </c>
      <c r="B68">
        <f>SUMPRODUCT((M_BOM[RM_Code]=$A68)*M_BOM[RM_Qty_Per_Batch]*IFERROR(INDEX(PP_Grid[#Data],M_BOM[PPGridRow],2),0))</f>
        <v/>
      </c>
      <c r="C68">
        <f>SUMPRODUCT((M_BOM[RM_Code]=$A68)*M_BOM[RM_Qty_Per_Batch]*IFERROR(INDEX(PP_Grid[#Data],M_BOM[PPGridRow],3),0))</f>
        <v/>
      </c>
      <c r="D68">
        <f>SUMPRODUCT((M_BOM[RM_Code]=$A68)*M_BOM[RM_Qty_Per_Batch]*IFERROR(INDEX(PP_Grid[#Data],M_BOM[PPGridRow],4),0))</f>
        <v/>
      </c>
      <c r="E68">
        <f>SUMPRODUCT((M_BOM[RM_Code]=$A68)*M_BOM[RM_Qty_Per_Batch]*IFERROR(INDEX(PP_Grid[#Data],M_BOM[PPGridRow],5),0))</f>
        <v/>
      </c>
      <c r="F68">
        <f>SUMPRODUCT((M_BOM[RM_Code]=$A68)*M_BOM[RM_Qty_Per_Batch]*IFERROR(INDEX(PP_Grid[#Data],M_BOM[PPGridRow],6),0))</f>
        <v/>
      </c>
      <c r="G68">
        <f>SUMPRODUCT((M_BOM[RM_Code]=$A68)*M_BOM[RM_Qty_Per_Batch]*IFERROR(INDEX(PP_Grid[#Data],M_BOM[PPGridRow],7),0))</f>
        <v/>
      </c>
      <c r="H68">
        <f>SUMPRODUCT((M_BOM[RM_Code]=$A68)*M_BOM[RM_Qty_Per_Batch]*IFERROR(INDEX(PP_Grid[#Data],M_BOM[PPGridRow],8),0))</f>
        <v/>
      </c>
      <c r="I68">
        <f>SUMPRODUCT((M_BOM[RM_Code]=$A68)*M_BOM[RM_Qty_Per_Batch]*IFERROR(INDEX(PP_Grid[#Data],M_BOM[PPGridRow],9),0))</f>
        <v/>
      </c>
      <c r="J68">
        <f>SUMPRODUCT((M_BOM[RM_Code]=$A68)*M_BOM[RM_Qty_Per_Batch]*IFERROR(INDEX(PP_Grid[#Data],M_BOM[PPGridRow],10),0))</f>
        <v/>
      </c>
      <c r="K68">
        <f>SUMPRODUCT((M_BOM[RM_Code]=$A68)*M_BOM[RM_Qty_Per_Batch]*IFERROR(INDEX(PP_Grid[#Data],M_BOM[PPGridRow],11),0))</f>
        <v/>
      </c>
      <c r="L68">
        <f>SUMPRODUCT((M_BOM[RM_Code]=$A68)*M_BOM[RM_Qty_Per_Batch]*IFERROR(INDEX(PP_Grid[#Data],M_BOM[PPGridRow],12),0))</f>
        <v/>
      </c>
      <c r="M68">
        <f>SUMPRODUCT((M_BOM[RM_Code]=$A68)*M_BOM[RM_Qty_Per_Batch]*IFERROR(INDEX(PP_Grid[#Data],M_BOM[PPGridRow],13),0))</f>
        <v/>
      </c>
      <c r="N68">
        <f>SUMPRODUCT((M_BOM[RM_Code]=$A68)*M_BOM[RM_Qty_Per_Batch]*IFERROR(INDEX(PP_Grid[#Data],M_BOM[PPGridRow],14),0))</f>
        <v/>
      </c>
      <c r="O68">
        <f>SUMPRODUCT((M_BOM[RM_Code]=$A68)*M_BOM[RM_Qty_Per_Batch]*IFERROR(INDEX(PP_Grid[#Data],M_BOM[PPGridRow],15),0))</f>
        <v/>
      </c>
      <c r="P68">
        <f>SUMPRODUCT((M_BOM[RM_Code]=$A68)*M_BOM[RM_Qty_Per_Batch]*IFERROR(INDEX(PP_Grid[#Data],M_BOM[PPGridRow],16),0))</f>
        <v/>
      </c>
      <c r="Q68">
        <f>SUMPRODUCT((M_BOM[RM_Code]=$A68)*M_BOM[RM_Qty_Per_Batch]*IFERROR(INDEX(PP_Grid[#Data],M_BOM[PPGridRow],17),0))</f>
        <v/>
      </c>
      <c r="R68">
        <f>SUMPRODUCT((M_BOM[RM_Code]=$A68)*M_BOM[RM_Qty_Per_Batch]*IFERROR(INDEX(PP_Grid[#Data],M_BOM[PPGridRow],18),0))</f>
        <v/>
      </c>
      <c r="S68">
        <f>SUMPRODUCT((M_BOM[RM_Code]=$A68)*M_BOM[RM_Qty_Per_Batch]*IFERROR(INDEX(PP_Grid[#Data],M_BOM[PPGridRow],19),0))</f>
        <v/>
      </c>
      <c r="T68">
        <f>SUMPRODUCT((M_BOM[RM_Code]=$A68)*M_BOM[RM_Qty_Per_Batch]*IFERROR(INDEX(PP_Grid[#Data],M_BOM[PPGridRow],20),0))</f>
        <v/>
      </c>
      <c r="U68">
        <f>SUMPRODUCT((M_BOM[RM_Code]=$A68)*M_BOM[RM_Qty_Per_Batch]*IFERROR(INDEX(PP_Grid[#Data],M_BOM[PPGridRow],21),0))</f>
        <v/>
      </c>
      <c r="V68">
        <f>SUMPRODUCT((M_BOM[RM_Code]=$A68)*M_BOM[RM_Qty_Per_Batch]*IFERROR(INDEX(PP_Grid[#Data],M_BOM[PPGridRow],22),0))</f>
        <v/>
      </c>
      <c r="W68">
        <f>SUMPRODUCT((M_BOM[RM_Code]=$A68)*M_BOM[RM_Qty_Per_Batch]*IFERROR(INDEX(PP_Grid[#Data],M_BOM[PPGridRow],23),0))</f>
        <v/>
      </c>
      <c r="X68">
        <f>SUMPRODUCT((M_BOM[RM_Code]=$A68)*M_BOM[RM_Qty_Per_Batch]*IFERROR(INDEX(PP_Grid[#Data],M_BOM[PPGridRow],24),0))</f>
        <v/>
      </c>
      <c r="Y68">
        <f>SUMPRODUCT((M_BOM[RM_Code]=$A68)*M_BOM[RM_Qty_Per_Batch]*IFERROR(INDEX(PP_Grid[#Data],M_BOM[PPGridRow],25),0))</f>
        <v/>
      </c>
      <c r="Z68">
        <f>SUMPRODUCT((M_BOM[RM_Code]=$A68)*M_BOM[RM_Qty_Per_Batch]*IFERROR(INDEX(PP_Grid[#Data],M_BOM[PPGridRow],26),0))</f>
        <v/>
      </c>
      <c r="AA68">
        <f>SUMPRODUCT((M_BOM[RM_Code]=$A68)*M_BOM[RM_Qty_Per_Batch]*IFERROR(INDEX(PP_Grid[#Data],M_BOM[PPGridRow],27),0))</f>
        <v/>
      </c>
      <c r="AB68">
        <f>SUMPRODUCT((M_BOM[RM_Code]=$A68)*M_BOM[RM_Qty_Per_Batch]*IFERROR(INDEX(PP_Grid[#Data],M_BOM[PPGridRow],28),0))</f>
        <v/>
      </c>
      <c r="AC68">
        <f>SUMPRODUCT((M_BOM[RM_Code]=$A68)*M_BOM[RM_Qty_Per_Batch]*IFERROR(INDEX(PP_Grid[#Data],M_BOM[PPGridRow],29),0))</f>
        <v/>
      </c>
      <c r="AD68">
        <f>SUMPRODUCT((M_BOM[RM_Code]=$A68)*M_BOM[RM_Qty_Per_Batch]*IFERROR(INDEX(PP_Grid[#Data],M_BOM[PPGridRow],30),0))</f>
        <v/>
      </c>
      <c r="AE68">
        <f>SUMPRODUCT((M_BOM[RM_Code]=$A68)*M_BOM[RM_Qty_Per_Batch]*IFERROR(INDEX(PP_Grid[#Data],M_BOM[PPGridRow],31),0))</f>
        <v/>
      </c>
      <c r="AF68">
        <f>SUMPRODUCT((M_BOM[RM_Code]=$A68)*M_BOM[RM_Qty_Per_Batch]*IFERROR(INDEX(PP_Grid[#Data],M_BOM[PPGridRow],32),0))</f>
        <v/>
      </c>
      <c r="AG68">
        <f>SUMPRODUCT((M_BOM[RM_Code]=$A68)*M_BOM[RM_Qty_Per_Batch]*IFERROR(INDEX(PP_Grid[#Data],M_BOM[PPGridRow],33),0))</f>
        <v/>
      </c>
      <c r="AH68">
        <f>SUMPRODUCT((M_BOM[RM_Code]=$A68)*M_BOM[RM_Qty_Per_Batch]*IFERROR(INDEX(PP_Grid[#Data],M_BOM[PPGridRow],34),0))</f>
        <v/>
      </c>
      <c r="AI68">
        <f>SUMPRODUCT((M_BOM[RM_Code]=$A68)*M_BOM[RM_Qty_Per_Batch]*IFERROR(INDEX(PP_Grid[#Data],M_BOM[PPGridRow],35),0))</f>
        <v/>
      </c>
      <c r="AJ68">
        <f>SUMPRODUCT((M_BOM[RM_Code]=$A68)*M_BOM[RM_Qty_Per_Batch]*IFERROR(INDEX(PP_Grid[#Data],M_BOM[PPGridRow],36),0))</f>
        <v/>
      </c>
      <c r="AK68">
        <f>SUMPRODUCT((M_BOM[RM_Code]=$A68)*M_BOM[RM_Qty_Per_Batch]*IFERROR(INDEX(PP_Grid[#Data],M_BOM[PPGridRow],37),0))</f>
        <v/>
      </c>
      <c r="AL68">
        <f>SUMPRODUCT((M_BOM[RM_Code]=$A68)*M_BOM[RM_Qty_Per_Batch]*IFERROR(INDEX(PP_Grid[#Data],M_BOM[PPGridRow],38),0))</f>
        <v/>
      </c>
      <c r="AM68">
        <f>SUMPRODUCT((M_BOM[RM_Code]=$A68)*M_BOM[RM_Qty_Per_Batch]*IFERROR(INDEX(PP_Grid[#Data],M_BOM[PPGridRow],39),0))</f>
        <v/>
      </c>
      <c r="AN68">
        <f>SUMPRODUCT((M_BOM[RM_Code]=$A68)*M_BOM[RM_Qty_Per_Batch]*IFERROR(INDEX(PP_Grid[#Data],M_BOM[PPGridRow],40),0))</f>
        <v/>
      </c>
      <c r="AO68">
        <f>SUMPRODUCT((M_BOM[RM_Code]=$A68)*M_BOM[RM_Qty_Per_Batch]*IFERROR(INDEX(PP_Grid[#Data],M_BOM[PPGridRow],41),0))</f>
        <v/>
      </c>
      <c r="AP68">
        <f>SUMPRODUCT((M_BOM[RM_Code]=$A68)*M_BOM[RM_Qty_Per_Batch]*IFERROR(INDEX(PP_Grid[#Data],M_BOM[PPGridRow],42),0))</f>
        <v/>
      </c>
      <c r="AQ68">
        <f>SUMPRODUCT((M_BOM[RM_Code]=$A68)*M_BOM[RM_Qty_Per_Batch]*IFERROR(INDEX(PP_Grid[#Data],M_BOM[PPGridRow],43),0))</f>
        <v/>
      </c>
      <c r="AR68">
        <f>SUMPRODUCT((M_BOM[RM_Code]=$A68)*M_BOM[RM_Qty_Per_Batch]*IFERROR(INDEX(PP_Grid[#Data],M_BOM[PPGridRow],44),0))</f>
        <v/>
      </c>
      <c r="AS68">
        <f>SUMPRODUCT((M_BOM[RM_Code]=$A68)*M_BOM[RM_Qty_Per_Batch]*IFERROR(INDEX(PP_Grid[#Data],M_BOM[PPGridRow],45),0))</f>
        <v/>
      </c>
      <c r="AT68">
        <f>SUMPRODUCT((M_BOM[RM_Code]=$A68)*M_BOM[RM_Qty_Per_Batch]*IFERROR(INDEX(PP_Grid[#Data],M_BOM[PPGridRow],46),0))</f>
        <v/>
      </c>
      <c r="AU68">
        <f>SUMPRODUCT((M_BOM[RM_Code]=$A68)*M_BOM[RM_Qty_Per_Batch]*IFERROR(INDEX(PP_Grid[#Data],M_BOM[PPGridRow],47),0))</f>
        <v/>
      </c>
      <c r="AV68">
        <f>SUMPRODUCT((M_BOM[RM_Code]=$A68)*M_BOM[RM_Qty_Per_Batch]*IFERROR(INDEX(PP_Grid[#Data],M_BOM[PPGridRow],48),0))</f>
        <v/>
      </c>
      <c r="AW68">
        <f>SUMPRODUCT((M_BOM[RM_Code]=$A68)*M_BOM[RM_Qty_Per_Batch]*IFERROR(INDEX(PP_Grid[#Data],M_BOM[PPGridRow],49),0))</f>
        <v/>
      </c>
      <c r="AX68">
        <f>SUMPRODUCT((M_BOM[RM_Code]=$A68)*M_BOM[RM_Qty_Per_Batch]*IFERROR(INDEX(PP_Grid[#Data],M_BOM[PPGridRow],50),0))</f>
        <v/>
      </c>
      <c r="AY68">
        <f>SUMPRODUCT((M_BOM[RM_Code]=$A68)*M_BOM[RM_Qty_Per_Batch]*IFERROR(INDEX(PP_Grid[#Data],M_BOM[PPGridRow],51),0))</f>
        <v/>
      </c>
      <c r="AZ68">
        <f>SUMPRODUCT((M_BOM[RM_Code]=$A68)*M_BOM[RM_Qty_Per_Batch]*IFERROR(INDEX(PP_Grid[#Data],M_BOM[PPGridRow],52),0))</f>
        <v/>
      </c>
      <c r="BA68">
        <f>SUMPRODUCT((M_BOM[RM_Code]=$A68)*M_BOM[RM_Qty_Per_Batch]*IFERROR(INDEX(PP_Grid[#Data],M_BOM[PPGridRow],53),0))</f>
        <v/>
      </c>
      <c r="BB68">
        <f>SUMPRODUCT((M_BOM[RM_Code]=$A68)*M_BOM[RM_Qty_Per_Batch]*IFERROR(INDEX(PP_Grid[#Data],M_BOM[PPGridRow],54),0))</f>
        <v/>
      </c>
      <c r="BC68">
        <f>SUMPRODUCT((M_BOM[RM_Code]=$A68)*M_BOM[RM_Qty_Per_Batch]*IFERROR(INDEX(PP_Grid[#Data],M_BOM[PPGridRow],55),0))</f>
        <v/>
      </c>
      <c r="BD68">
        <f>SUMPRODUCT((M_BOM[RM_Code]=$A68)*M_BOM[RM_Qty_Per_Batch]*IFERROR(INDEX(PP_Grid[#Data],M_BOM[PPGridRow],56),0))</f>
        <v/>
      </c>
      <c r="BE68">
        <f>SUMPRODUCT((M_BOM[RM_Code]=$A68)*M_BOM[RM_Qty_Per_Batch]*IFERROR(INDEX(PP_Grid[#Data],M_BOM[PPGridRow],57),0))</f>
        <v/>
      </c>
      <c r="BF68">
        <f>SUMPRODUCT((M_BOM[RM_Code]=$A68)*M_BOM[RM_Qty_Per_Batch]*IFERROR(INDEX(PP_Grid[#Data],M_BOM[PPGridRow],58),0))</f>
        <v/>
      </c>
      <c r="BG68">
        <f>SUMPRODUCT((M_BOM[RM_Code]=$A68)*M_BOM[RM_Qty_Per_Batch]*IFERROR(INDEX(PP_Grid[#Data],M_BOM[PPGridRow],59),0))</f>
        <v/>
      </c>
      <c r="BH68">
        <f>SUMPRODUCT((M_BOM[RM_Code]=$A68)*M_BOM[RM_Qty_Per_Batch]*IFERROR(INDEX(PP_Grid[#Data],M_BOM[PPGridRow],60),0))</f>
        <v/>
      </c>
      <c r="BI68">
        <f>SUMPRODUCT((M_BOM[RM_Code]=$A68)*M_BOM[RM_Qty_Per_Batch]*IFERROR(INDEX(PP_Grid[#Data],M_BOM[PPGridRow],61),0))</f>
        <v/>
      </c>
      <c r="BJ68">
        <f>SUMPRODUCT((M_BOM[RM_Code]=$A68)*M_BOM[RM_Qty_Per_Batch]*IFERROR(INDEX(PP_Grid[#Data],M_BOM[PPGridRow],62),0))</f>
        <v/>
      </c>
      <c r="BK68">
        <f>SUMPRODUCT((M_BOM[RM_Code]=$A68)*M_BOM[RM_Qty_Per_Batch]*IFERROR(INDEX(PP_Grid[#Data],M_BOM[PPGridRow],63),0))</f>
        <v/>
      </c>
      <c r="BL68">
        <f>SUMPRODUCT((M_BOM[RM_Code]=$A68)*M_BOM[RM_Qty_Per_Batch]*IFERROR(INDEX(PP_Grid[#Data],M_BOM[PPGridRow],64),0))</f>
        <v/>
      </c>
      <c r="BM68">
        <f>SUMPRODUCT((M_BOM[RM_Code]=$A68)*M_BOM[RM_Qty_Per_Batch]*IFERROR(INDEX(PP_Grid[#Data],M_BOM[PPGridRow],65),0))</f>
        <v/>
      </c>
      <c r="BN68">
        <f>SUMPRODUCT((M_BOM[RM_Code]=$A68)*M_BOM[RM_Qty_Per_Batch]*IFERROR(INDEX(PP_Grid[#Data],M_BOM[PPGridRow],66),0))</f>
        <v/>
      </c>
      <c r="BO68">
        <f>SUMPRODUCT((M_BOM[RM_Code]=$A68)*M_BOM[RM_Qty_Per_Batch]*IFERROR(INDEX(PP_Grid[#Data],M_BOM[PPGridRow],67),0))</f>
        <v/>
      </c>
      <c r="BP68">
        <f>SUMPRODUCT((M_BOM[RM_Code]=$A68)*M_BOM[RM_Qty_Per_Batch]*IFERROR(INDEX(PP_Grid[#Data],M_BOM[PPGridRow],68),0))</f>
        <v/>
      </c>
      <c r="BQ68">
        <f>SUMPRODUCT((M_BOM[RM_Code]=$A68)*M_BOM[RM_Qty_Per_Batch]*IFERROR(INDEX(PP_Grid[#Data],M_BOM[PPGridRow],69),0))</f>
        <v/>
      </c>
      <c r="BR68">
        <f>SUMPRODUCT((M_BOM[RM_Code]=$A68)*M_BOM[RM_Qty_Per_Batch]*IFERROR(INDEX(PP_Grid[#Data],M_BOM[PPGridRow],70),0))</f>
        <v/>
      </c>
      <c r="BS68">
        <f>SUMPRODUCT((M_BOM[RM_Code]=$A68)*M_BOM[RM_Qty_Per_Batch]*IFERROR(INDEX(PP_Grid[#Data],M_BOM[PPGridRow],71),0))</f>
        <v/>
      </c>
      <c r="BT68">
        <f>SUMPRODUCT((M_BOM[RM_Code]=$A68)*M_BOM[RM_Qty_Per_Batch]*IFERROR(INDEX(PP_Grid[#Data],M_BOM[PPGridRow],72),0))</f>
        <v/>
      </c>
      <c r="BU68">
        <f>SUMPRODUCT((M_BOM[RM_Code]=$A68)*M_BOM[RM_Qty_Per_Batch]*IFERROR(INDEX(PP_Grid[#Data],M_BOM[PPGridRow],73),0))</f>
        <v/>
      </c>
      <c r="BV68">
        <f>SUMPRODUCT((M_BOM[RM_Code]=$A68)*M_BOM[RM_Qty_Per_Batch]*IFERROR(INDEX(PP_Grid[#Data],M_BOM[PPGridRow],74),0))</f>
        <v/>
      </c>
      <c r="BW68">
        <f>SUMPRODUCT((M_BOM[RM_Code]=$A68)*M_BOM[RM_Qty_Per_Batch]*IFERROR(INDEX(PP_Grid[#Data],M_BOM[PPGridRow],75),0))</f>
        <v/>
      </c>
      <c r="BX68">
        <f>SUMPRODUCT((M_BOM[RM_Code]=$A68)*M_BOM[RM_Qty_Per_Batch]*IFERROR(INDEX(PP_Grid[#Data],M_BOM[PPGridRow],76),0))</f>
        <v/>
      </c>
      <c r="BY68">
        <f>SUMPRODUCT((M_BOM[RM_Code]=$A68)*M_BOM[RM_Qty_Per_Batch]*IFERROR(INDEX(PP_Grid[#Data],M_BOM[PPGridRow],77),0))</f>
        <v/>
      </c>
      <c r="BZ68">
        <f>SUMPRODUCT((M_BOM[RM_Code]=$A68)*M_BOM[RM_Qty_Per_Batch]*IFERROR(INDEX(PP_Grid[#Data],M_BOM[PPGridRow],78),0))</f>
        <v/>
      </c>
      <c r="CA68">
        <f>SUMPRODUCT((M_BOM[RM_Code]=$A68)*M_BOM[RM_Qty_Per_Batch]*IFERROR(INDEX(PP_Grid[#Data],M_BOM[PPGridRow],79),0))</f>
        <v/>
      </c>
      <c r="CB68">
        <f>SUMPRODUCT((M_BOM[RM_Code]=$A68)*M_BOM[RM_Qty_Per_Batch]*IFERROR(INDEX(PP_Grid[#Data],M_BOM[PPGridRow],80),0))</f>
        <v/>
      </c>
      <c r="CC68">
        <f>SUMPRODUCT((M_BOM[RM_Code]=$A68)*M_BOM[RM_Qty_Per_Batch]*IFERROR(INDEX(PP_Grid[#Data],M_BOM[PPGridRow],81),0))</f>
        <v/>
      </c>
      <c r="CD68">
        <f>SUMPRODUCT((M_BOM[RM_Code]=$A68)*M_BOM[RM_Qty_Per_Batch]*IFERROR(INDEX(PP_Grid[#Data],M_BOM[PPGridRow],82),0))</f>
        <v/>
      </c>
      <c r="CE68">
        <f>SUMPRODUCT((M_BOM[RM_Code]=$A68)*M_BOM[RM_Qty_Per_Batch]*IFERROR(INDEX(PP_Grid[#Data],M_BOM[PPGridRow],83),0))</f>
        <v/>
      </c>
      <c r="CF68">
        <f>SUMPRODUCT((M_BOM[RM_Code]=$A68)*M_BOM[RM_Qty_Per_Batch]*IFERROR(INDEX(PP_Grid[#Data],M_BOM[PPGridRow],84),0))</f>
        <v/>
      </c>
      <c r="CG68">
        <f>SUMPRODUCT((M_BOM[RM_Code]=$A68)*M_BOM[RM_Qty_Per_Batch]*IFERROR(INDEX(PP_Grid[#Data],M_BOM[PPGridRow],85),0))</f>
        <v/>
      </c>
      <c r="CH68">
        <f>SUMPRODUCT((M_BOM[RM_Code]=$A68)*M_BOM[RM_Qty_Per_Batch]*IFERROR(INDEX(PP_Grid[#Data],M_BOM[PPGridRow],86),0))</f>
        <v/>
      </c>
      <c r="CI68">
        <f>SUMPRODUCT((M_BOM[RM_Code]=$A68)*M_BOM[RM_Qty_Per_Batch]*IFERROR(INDEX(PP_Grid[#Data],M_BOM[PPGridRow],87),0))</f>
        <v/>
      </c>
      <c r="CJ68">
        <f>SUMPRODUCT((M_BOM[RM_Code]=$A68)*M_BOM[RM_Qty_Per_Batch]*IFERROR(INDEX(PP_Grid[#Data],M_BOM[PPGridRow],88),0))</f>
        <v/>
      </c>
      <c r="CK68">
        <f>SUMPRODUCT((M_BOM[RM_Code]=$A68)*M_BOM[RM_Qty_Per_Batch]*IFERROR(INDEX(PP_Grid[#Data],M_BOM[PPGridRow],89),0))</f>
        <v/>
      </c>
      <c r="CL68">
        <f>SUMPRODUCT((M_BOM[RM_Code]=$A68)*M_BOM[RM_Qty_Per_Batch]*IFERROR(INDEX(PP_Grid[#Data],M_BOM[PPGridRow],90),0))</f>
        <v/>
      </c>
      <c r="CM68">
        <f>SUMPRODUCT((M_BOM[RM_Code]=$A68)*M_BOM[RM_Qty_Per_Batch]*IFERROR(INDEX(PP_Grid[#Data],M_BOM[PPGridRow],91),0))</f>
        <v/>
      </c>
      <c r="CN68">
        <f>SUMPRODUCT((M_BOM[RM_Code]=$A68)*M_BOM[RM_Qty_Per_Batch]*IFERROR(INDEX(PP_Grid[#Data],M_BOM[PPGridRow],92),0))</f>
        <v/>
      </c>
      <c r="CO68">
        <f>SUMPRODUCT((M_BOM[RM_Code]=$A68)*M_BOM[RM_Qty_Per_Batch]*IFERROR(INDEX(PP_Grid[#Data],M_BOM[PPGridRow],93),0))</f>
        <v/>
      </c>
      <c r="CP68">
        <f>SUMPRODUCT((M_BOM[RM_Code]=$A68)*M_BOM[RM_Qty_Per_Batch]*IFERROR(INDEX(PP_Grid[#Data],M_BOM[PPGridRow],94),0))</f>
        <v/>
      </c>
      <c r="CQ68">
        <f>SUMPRODUCT((M_BOM[RM_Code]=$A68)*M_BOM[RM_Qty_Per_Batch]*IFERROR(INDEX(PP_Grid[#Data],M_BOM[PPGridRow],95),0))</f>
        <v/>
      </c>
      <c r="CR68">
        <f>SUMPRODUCT((M_BOM[RM_Code]=$A68)*M_BOM[RM_Qty_Per_Batch]*IFERROR(INDEX(PP_Grid[#Data],M_BOM[PPGridRow],96),0))</f>
        <v/>
      </c>
      <c r="CS68">
        <f>SUMPRODUCT((M_BOM[RM_Code]=$A68)*M_BOM[RM_Qty_Per_Batch]*IFERROR(INDEX(PP_Grid[#Data],M_BOM[PPGridRow],97),0))</f>
        <v/>
      </c>
      <c r="CT68">
        <f>SUMPRODUCT((M_BOM[RM_Code]=$A68)*M_BOM[RM_Qty_Per_Batch]*IFERROR(INDEX(PP_Grid[#Data],M_BOM[PPGridRow],98),0))</f>
        <v/>
      </c>
      <c r="CU68">
        <f>SUMPRODUCT((M_BOM[RM_Code]=$A68)*M_BOM[RM_Qty_Per_Batch]*IFERROR(INDEX(PP_Grid[#Data],M_BOM[PPGridRow],99),0))</f>
        <v/>
      </c>
      <c r="CV68">
        <f>SUMPRODUCT((M_BOM[RM_Code]=$A68)*M_BOM[RM_Qty_Per_Batch]*IFERROR(INDEX(PP_Grid[#Data],M_BOM[PPGridRow],100),0))</f>
        <v/>
      </c>
      <c r="CW68">
        <f>SUMPRODUCT((M_BOM[RM_Code]=$A68)*M_BOM[RM_Qty_Per_Batch]*IFERROR(INDEX(PP_Grid[#Data],M_BOM[PPGridRow],101),0))</f>
        <v/>
      </c>
      <c r="CX68">
        <f>SUMPRODUCT((M_BOM[RM_Code]=$A68)*M_BOM[RM_Qty_Per_Batch]*IFERROR(INDEX(PP_Grid[#Data],M_BOM[PPGridRow],102),0))</f>
        <v/>
      </c>
      <c r="CY68">
        <f>SUMPRODUCT((M_BOM[RM_Code]=$A68)*M_BOM[RM_Qty_Per_Batch]*IFERROR(INDEX(PP_Grid[#Data],M_BOM[PPGridRow],103),0))</f>
        <v/>
      </c>
      <c r="CZ68">
        <f>SUMPRODUCT((M_BOM[RM_Code]=$A68)*M_BOM[RM_Qty_Per_Batch]*IFERROR(INDEX(PP_Grid[#Data],M_BOM[PPGridRow],104),0))</f>
        <v/>
      </c>
      <c r="DA68">
        <f>SUMPRODUCT((M_BOM[RM_Code]=$A68)*M_BOM[RM_Qty_Per_Batch]*IFERROR(INDEX(PP_Grid[#Data],M_BOM[PPGridRow],105),0))</f>
        <v/>
      </c>
    </row>
    <row r="69">
      <c r="A69" t="inlineStr">
        <is>
          <t>CHEM-1740</t>
        </is>
      </c>
      <c r="B69">
        <f>SUMPRODUCT((M_BOM[RM_Code]=$A69)*M_BOM[RM_Qty_Per_Batch]*IFERROR(INDEX(PP_Grid[#Data],M_BOM[PPGridRow],2),0))</f>
        <v/>
      </c>
      <c r="C69">
        <f>SUMPRODUCT((M_BOM[RM_Code]=$A69)*M_BOM[RM_Qty_Per_Batch]*IFERROR(INDEX(PP_Grid[#Data],M_BOM[PPGridRow],3),0))</f>
        <v/>
      </c>
      <c r="D69">
        <f>SUMPRODUCT((M_BOM[RM_Code]=$A69)*M_BOM[RM_Qty_Per_Batch]*IFERROR(INDEX(PP_Grid[#Data],M_BOM[PPGridRow],4),0))</f>
        <v/>
      </c>
      <c r="E69">
        <f>SUMPRODUCT((M_BOM[RM_Code]=$A69)*M_BOM[RM_Qty_Per_Batch]*IFERROR(INDEX(PP_Grid[#Data],M_BOM[PPGridRow],5),0))</f>
        <v/>
      </c>
      <c r="F69">
        <f>SUMPRODUCT((M_BOM[RM_Code]=$A69)*M_BOM[RM_Qty_Per_Batch]*IFERROR(INDEX(PP_Grid[#Data],M_BOM[PPGridRow],6),0))</f>
        <v/>
      </c>
      <c r="G69">
        <f>SUMPRODUCT((M_BOM[RM_Code]=$A69)*M_BOM[RM_Qty_Per_Batch]*IFERROR(INDEX(PP_Grid[#Data],M_BOM[PPGridRow],7),0))</f>
        <v/>
      </c>
      <c r="H69">
        <f>SUMPRODUCT((M_BOM[RM_Code]=$A69)*M_BOM[RM_Qty_Per_Batch]*IFERROR(INDEX(PP_Grid[#Data],M_BOM[PPGridRow],8),0))</f>
        <v/>
      </c>
      <c r="I69">
        <f>SUMPRODUCT((M_BOM[RM_Code]=$A69)*M_BOM[RM_Qty_Per_Batch]*IFERROR(INDEX(PP_Grid[#Data],M_BOM[PPGridRow],9),0))</f>
        <v/>
      </c>
      <c r="J69">
        <f>SUMPRODUCT((M_BOM[RM_Code]=$A69)*M_BOM[RM_Qty_Per_Batch]*IFERROR(INDEX(PP_Grid[#Data],M_BOM[PPGridRow],10),0))</f>
        <v/>
      </c>
      <c r="K69">
        <f>SUMPRODUCT((M_BOM[RM_Code]=$A69)*M_BOM[RM_Qty_Per_Batch]*IFERROR(INDEX(PP_Grid[#Data],M_BOM[PPGridRow],11),0))</f>
        <v/>
      </c>
      <c r="L69">
        <f>SUMPRODUCT((M_BOM[RM_Code]=$A69)*M_BOM[RM_Qty_Per_Batch]*IFERROR(INDEX(PP_Grid[#Data],M_BOM[PPGridRow],12),0))</f>
        <v/>
      </c>
      <c r="M69">
        <f>SUMPRODUCT((M_BOM[RM_Code]=$A69)*M_BOM[RM_Qty_Per_Batch]*IFERROR(INDEX(PP_Grid[#Data],M_BOM[PPGridRow],13),0))</f>
        <v/>
      </c>
      <c r="N69">
        <f>SUMPRODUCT((M_BOM[RM_Code]=$A69)*M_BOM[RM_Qty_Per_Batch]*IFERROR(INDEX(PP_Grid[#Data],M_BOM[PPGridRow],14),0))</f>
        <v/>
      </c>
      <c r="O69">
        <f>SUMPRODUCT((M_BOM[RM_Code]=$A69)*M_BOM[RM_Qty_Per_Batch]*IFERROR(INDEX(PP_Grid[#Data],M_BOM[PPGridRow],15),0))</f>
        <v/>
      </c>
      <c r="P69">
        <f>SUMPRODUCT((M_BOM[RM_Code]=$A69)*M_BOM[RM_Qty_Per_Batch]*IFERROR(INDEX(PP_Grid[#Data],M_BOM[PPGridRow],16),0))</f>
        <v/>
      </c>
      <c r="Q69">
        <f>SUMPRODUCT((M_BOM[RM_Code]=$A69)*M_BOM[RM_Qty_Per_Batch]*IFERROR(INDEX(PP_Grid[#Data],M_BOM[PPGridRow],17),0))</f>
        <v/>
      </c>
      <c r="R69">
        <f>SUMPRODUCT((M_BOM[RM_Code]=$A69)*M_BOM[RM_Qty_Per_Batch]*IFERROR(INDEX(PP_Grid[#Data],M_BOM[PPGridRow],18),0))</f>
        <v/>
      </c>
      <c r="S69">
        <f>SUMPRODUCT((M_BOM[RM_Code]=$A69)*M_BOM[RM_Qty_Per_Batch]*IFERROR(INDEX(PP_Grid[#Data],M_BOM[PPGridRow],19),0))</f>
        <v/>
      </c>
      <c r="T69">
        <f>SUMPRODUCT((M_BOM[RM_Code]=$A69)*M_BOM[RM_Qty_Per_Batch]*IFERROR(INDEX(PP_Grid[#Data],M_BOM[PPGridRow],20),0))</f>
        <v/>
      </c>
      <c r="U69">
        <f>SUMPRODUCT((M_BOM[RM_Code]=$A69)*M_BOM[RM_Qty_Per_Batch]*IFERROR(INDEX(PP_Grid[#Data],M_BOM[PPGridRow],21),0))</f>
        <v/>
      </c>
      <c r="V69">
        <f>SUMPRODUCT((M_BOM[RM_Code]=$A69)*M_BOM[RM_Qty_Per_Batch]*IFERROR(INDEX(PP_Grid[#Data],M_BOM[PPGridRow],22),0))</f>
        <v/>
      </c>
      <c r="W69">
        <f>SUMPRODUCT((M_BOM[RM_Code]=$A69)*M_BOM[RM_Qty_Per_Batch]*IFERROR(INDEX(PP_Grid[#Data],M_BOM[PPGridRow],23),0))</f>
        <v/>
      </c>
      <c r="X69">
        <f>SUMPRODUCT((M_BOM[RM_Code]=$A69)*M_BOM[RM_Qty_Per_Batch]*IFERROR(INDEX(PP_Grid[#Data],M_BOM[PPGridRow],24),0))</f>
        <v/>
      </c>
      <c r="Y69">
        <f>SUMPRODUCT((M_BOM[RM_Code]=$A69)*M_BOM[RM_Qty_Per_Batch]*IFERROR(INDEX(PP_Grid[#Data],M_BOM[PPGridRow],25),0))</f>
        <v/>
      </c>
      <c r="Z69">
        <f>SUMPRODUCT((M_BOM[RM_Code]=$A69)*M_BOM[RM_Qty_Per_Batch]*IFERROR(INDEX(PP_Grid[#Data],M_BOM[PPGridRow],26),0))</f>
        <v/>
      </c>
      <c r="AA69">
        <f>SUMPRODUCT((M_BOM[RM_Code]=$A69)*M_BOM[RM_Qty_Per_Batch]*IFERROR(INDEX(PP_Grid[#Data],M_BOM[PPGridRow],27),0))</f>
        <v/>
      </c>
      <c r="AB69">
        <f>SUMPRODUCT((M_BOM[RM_Code]=$A69)*M_BOM[RM_Qty_Per_Batch]*IFERROR(INDEX(PP_Grid[#Data],M_BOM[PPGridRow],28),0))</f>
        <v/>
      </c>
      <c r="AC69">
        <f>SUMPRODUCT((M_BOM[RM_Code]=$A69)*M_BOM[RM_Qty_Per_Batch]*IFERROR(INDEX(PP_Grid[#Data],M_BOM[PPGridRow],29),0))</f>
        <v/>
      </c>
      <c r="AD69">
        <f>SUMPRODUCT((M_BOM[RM_Code]=$A69)*M_BOM[RM_Qty_Per_Batch]*IFERROR(INDEX(PP_Grid[#Data],M_BOM[PPGridRow],30),0))</f>
        <v/>
      </c>
      <c r="AE69">
        <f>SUMPRODUCT((M_BOM[RM_Code]=$A69)*M_BOM[RM_Qty_Per_Batch]*IFERROR(INDEX(PP_Grid[#Data],M_BOM[PPGridRow],31),0))</f>
        <v/>
      </c>
      <c r="AF69">
        <f>SUMPRODUCT((M_BOM[RM_Code]=$A69)*M_BOM[RM_Qty_Per_Batch]*IFERROR(INDEX(PP_Grid[#Data],M_BOM[PPGridRow],32),0))</f>
        <v/>
      </c>
      <c r="AG69">
        <f>SUMPRODUCT((M_BOM[RM_Code]=$A69)*M_BOM[RM_Qty_Per_Batch]*IFERROR(INDEX(PP_Grid[#Data],M_BOM[PPGridRow],33),0))</f>
        <v/>
      </c>
      <c r="AH69">
        <f>SUMPRODUCT((M_BOM[RM_Code]=$A69)*M_BOM[RM_Qty_Per_Batch]*IFERROR(INDEX(PP_Grid[#Data],M_BOM[PPGridRow],34),0))</f>
        <v/>
      </c>
      <c r="AI69">
        <f>SUMPRODUCT((M_BOM[RM_Code]=$A69)*M_BOM[RM_Qty_Per_Batch]*IFERROR(INDEX(PP_Grid[#Data],M_BOM[PPGridRow],35),0))</f>
        <v/>
      </c>
      <c r="AJ69">
        <f>SUMPRODUCT((M_BOM[RM_Code]=$A69)*M_BOM[RM_Qty_Per_Batch]*IFERROR(INDEX(PP_Grid[#Data],M_BOM[PPGridRow],36),0))</f>
        <v/>
      </c>
      <c r="AK69">
        <f>SUMPRODUCT((M_BOM[RM_Code]=$A69)*M_BOM[RM_Qty_Per_Batch]*IFERROR(INDEX(PP_Grid[#Data],M_BOM[PPGridRow],37),0))</f>
        <v/>
      </c>
      <c r="AL69">
        <f>SUMPRODUCT((M_BOM[RM_Code]=$A69)*M_BOM[RM_Qty_Per_Batch]*IFERROR(INDEX(PP_Grid[#Data],M_BOM[PPGridRow],38),0))</f>
        <v/>
      </c>
      <c r="AM69">
        <f>SUMPRODUCT((M_BOM[RM_Code]=$A69)*M_BOM[RM_Qty_Per_Batch]*IFERROR(INDEX(PP_Grid[#Data],M_BOM[PPGridRow],39),0))</f>
        <v/>
      </c>
      <c r="AN69">
        <f>SUMPRODUCT((M_BOM[RM_Code]=$A69)*M_BOM[RM_Qty_Per_Batch]*IFERROR(INDEX(PP_Grid[#Data],M_BOM[PPGridRow],40),0))</f>
        <v/>
      </c>
      <c r="AO69">
        <f>SUMPRODUCT((M_BOM[RM_Code]=$A69)*M_BOM[RM_Qty_Per_Batch]*IFERROR(INDEX(PP_Grid[#Data],M_BOM[PPGridRow],41),0))</f>
        <v/>
      </c>
      <c r="AP69">
        <f>SUMPRODUCT((M_BOM[RM_Code]=$A69)*M_BOM[RM_Qty_Per_Batch]*IFERROR(INDEX(PP_Grid[#Data],M_BOM[PPGridRow],42),0))</f>
        <v/>
      </c>
      <c r="AQ69">
        <f>SUMPRODUCT((M_BOM[RM_Code]=$A69)*M_BOM[RM_Qty_Per_Batch]*IFERROR(INDEX(PP_Grid[#Data],M_BOM[PPGridRow],43),0))</f>
        <v/>
      </c>
      <c r="AR69">
        <f>SUMPRODUCT((M_BOM[RM_Code]=$A69)*M_BOM[RM_Qty_Per_Batch]*IFERROR(INDEX(PP_Grid[#Data],M_BOM[PPGridRow],44),0))</f>
        <v/>
      </c>
      <c r="AS69">
        <f>SUMPRODUCT((M_BOM[RM_Code]=$A69)*M_BOM[RM_Qty_Per_Batch]*IFERROR(INDEX(PP_Grid[#Data],M_BOM[PPGridRow],45),0))</f>
        <v/>
      </c>
      <c r="AT69">
        <f>SUMPRODUCT((M_BOM[RM_Code]=$A69)*M_BOM[RM_Qty_Per_Batch]*IFERROR(INDEX(PP_Grid[#Data],M_BOM[PPGridRow],46),0))</f>
        <v/>
      </c>
      <c r="AU69">
        <f>SUMPRODUCT((M_BOM[RM_Code]=$A69)*M_BOM[RM_Qty_Per_Batch]*IFERROR(INDEX(PP_Grid[#Data],M_BOM[PPGridRow],47),0))</f>
        <v/>
      </c>
      <c r="AV69">
        <f>SUMPRODUCT((M_BOM[RM_Code]=$A69)*M_BOM[RM_Qty_Per_Batch]*IFERROR(INDEX(PP_Grid[#Data],M_BOM[PPGridRow],48),0))</f>
        <v/>
      </c>
      <c r="AW69">
        <f>SUMPRODUCT((M_BOM[RM_Code]=$A69)*M_BOM[RM_Qty_Per_Batch]*IFERROR(INDEX(PP_Grid[#Data],M_BOM[PPGridRow],49),0))</f>
        <v/>
      </c>
      <c r="AX69">
        <f>SUMPRODUCT((M_BOM[RM_Code]=$A69)*M_BOM[RM_Qty_Per_Batch]*IFERROR(INDEX(PP_Grid[#Data],M_BOM[PPGridRow],50),0))</f>
        <v/>
      </c>
      <c r="AY69">
        <f>SUMPRODUCT((M_BOM[RM_Code]=$A69)*M_BOM[RM_Qty_Per_Batch]*IFERROR(INDEX(PP_Grid[#Data],M_BOM[PPGridRow],51),0))</f>
        <v/>
      </c>
      <c r="AZ69">
        <f>SUMPRODUCT((M_BOM[RM_Code]=$A69)*M_BOM[RM_Qty_Per_Batch]*IFERROR(INDEX(PP_Grid[#Data],M_BOM[PPGridRow],52),0))</f>
        <v/>
      </c>
      <c r="BA69">
        <f>SUMPRODUCT((M_BOM[RM_Code]=$A69)*M_BOM[RM_Qty_Per_Batch]*IFERROR(INDEX(PP_Grid[#Data],M_BOM[PPGridRow],53),0))</f>
        <v/>
      </c>
      <c r="BB69">
        <f>SUMPRODUCT((M_BOM[RM_Code]=$A69)*M_BOM[RM_Qty_Per_Batch]*IFERROR(INDEX(PP_Grid[#Data],M_BOM[PPGridRow],54),0))</f>
        <v/>
      </c>
      <c r="BC69">
        <f>SUMPRODUCT((M_BOM[RM_Code]=$A69)*M_BOM[RM_Qty_Per_Batch]*IFERROR(INDEX(PP_Grid[#Data],M_BOM[PPGridRow],55),0))</f>
        <v/>
      </c>
      <c r="BD69">
        <f>SUMPRODUCT((M_BOM[RM_Code]=$A69)*M_BOM[RM_Qty_Per_Batch]*IFERROR(INDEX(PP_Grid[#Data],M_BOM[PPGridRow],56),0))</f>
        <v/>
      </c>
      <c r="BE69">
        <f>SUMPRODUCT((M_BOM[RM_Code]=$A69)*M_BOM[RM_Qty_Per_Batch]*IFERROR(INDEX(PP_Grid[#Data],M_BOM[PPGridRow],57),0))</f>
        <v/>
      </c>
      <c r="BF69">
        <f>SUMPRODUCT((M_BOM[RM_Code]=$A69)*M_BOM[RM_Qty_Per_Batch]*IFERROR(INDEX(PP_Grid[#Data],M_BOM[PPGridRow],58),0))</f>
        <v/>
      </c>
      <c r="BG69">
        <f>SUMPRODUCT((M_BOM[RM_Code]=$A69)*M_BOM[RM_Qty_Per_Batch]*IFERROR(INDEX(PP_Grid[#Data],M_BOM[PPGridRow],59),0))</f>
        <v/>
      </c>
      <c r="BH69">
        <f>SUMPRODUCT((M_BOM[RM_Code]=$A69)*M_BOM[RM_Qty_Per_Batch]*IFERROR(INDEX(PP_Grid[#Data],M_BOM[PPGridRow],60),0))</f>
        <v/>
      </c>
      <c r="BI69">
        <f>SUMPRODUCT((M_BOM[RM_Code]=$A69)*M_BOM[RM_Qty_Per_Batch]*IFERROR(INDEX(PP_Grid[#Data],M_BOM[PPGridRow],61),0))</f>
        <v/>
      </c>
      <c r="BJ69">
        <f>SUMPRODUCT((M_BOM[RM_Code]=$A69)*M_BOM[RM_Qty_Per_Batch]*IFERROR(INDEX(PP_Grid[#Data],M_BOM[PPGridRow],62),0))</f>
        <v/>
      </c>
      <c r="BK69">
        <f>SUMPRODUCT((M_BOM[RM_Code]=$A69)*M_BOM[RM_Qty_Per_Batch]*IFERROR(INDEX(PP_Grid[#Data],M_BOM[PPGridRow],63),0))</f>
        <v/>
      </c>
      <c r="BL69">
        <f>SUMPRODUCT((M_BOM[RM_Code]=$A69)*M_BOM[RM_Qty_Per_Batch]*IFERROR(INDEX(PP_Grid[#Data],M_BOM[PPGridRow],64),0))</f>
        <v/>
      </c>
      <c r="BM69">
        <f>SUMPRODUCT((M_BOM[RM_Code]=$A69)*M_BOM[RM_Qty_Per_Batch]*IFERROR(INDEX(PP_Grid[#Data],M_BOM[PPGridRow],65),0))</f>
        <v/>
      </c>
      <c r="BN69">
        <f>SUMPRODUCT((M_BOM[RM_Code]=$A69)*M_BOM[RM_Qty_Per_Batch]*IFERROR(INDEX(PP_Grid[#Data],M_BOM[PPGridRow],66),0))</f>
        <v/>
      </c>
      <c r="BO69">
        <f>SUMPRODUCT((M_BOM[RM_Code]=$A69)*M_BOM[RM_Qty_Per_Batch]*IFERROR(INDEX(PP_Grid[#Data],M_BOM[PPGridRow],67),0))</f>
        <v/>
      </c>
      <c r="BP69">
        <f>SUMPRODUCT((M_BOM[RM_Code]=$A69)*M_BOM[RM_Qty_Per_Batch]*IFERROR(INDEX(PP_Grid[#Data],M_BOM[PPGridRow],68),0))</f>
        <v/>
      </c>
      <c r="BQ69">
        <f>SUMPRODUCT((M_BOM[RM_Code]=$A69)*M_BOM[RM_Qty_Per_Batch]*IFERROR(INDEX(PP_Grid[#Data],M_BOM[PPGridRow],69),0))</f>
        <v/>
      </c>
      <c r="BR69">
        <f>SUMPRODUCT((M_BOM[RM_Code]=$A69)*M_BOM[RM_Qty_Per_Batch]*IFERROR(INDEX(PP_Grid[#Data],M_BOM[PPGridRow],70),0))</f>
        <v/>
      </c>
      <c r="BS69">
        <f>SUMPRODUCT((M_BOM[RM_Code]=$A69)*M_BOM[RM_Qty_Per_Batch]*IFERROR(INDEX(PP_Grid[#Data],M_BOM[PPGridRow],71),0))</f>
        <v/>
      </c>
      <c r="BT69">
        <f>SUMPRODUCT((M_BOM[RM_Code]=$A69)*M_BOM[RM_Qty_Per_Batch]*IFERROR(INDEX(PP_Grid[#Data],M_BOM[PPGridRow],72),0))</f>
        <v/>
      </c>
      <c r="BU69">
        <f>SUMPRODUCT((M_BOM[RM_Code]=$A69)*M_BOM[RM_Qty_Per_Batch]*IFERROR(INDEX(PP_Grid[#Data],M_BOM[PPGridRow],73),0))</f>
        <v/>
      </c>
      <c r="BV69">
        <f>SUMPRODUCT((M_BOM[RM_Code]=$A69)*M_BOM[RM_Qty_Per_Batch]*IFERROR(INDEX(PP_Grid[#Data],M_BOM[PPGridRow],74),0))</f>
        <v/>
      </c>
      <c r="BW69">
        <f>SUMPRODUCT((M_BOM[RM_Code]=$A69)*M_BOM[RM_Qty_Per_Batch]*IFERROR(INDEX(PP_Grid[#Data],M_BOM[PPGridRow],75),0))</f>
        <v/>
      </c>
      <c r="BX69">
        <f>SUMPRODUCT((M_BOM[RM_Code]=$A69)*M_BOM[RM_Qty_Per_Batch]*IFERROR(INDEX(PP_Grid[#Data],M_BOM[PPGridRow],76),0))</f>
        <v/>
      </c>
      <c r="BY69">
        <f>SUMPRODUCT((M_BOM[RM_Code]=$A69)*M_BOM[RM_Qty_Per_Batch]*IFERROR(INDEX(PP_Grid[#Data],M_BOM[PPGridRow],77),0))</f>
        <v/>
      </c>
      <c r="BZ69">
        <f>SUMPRODUCT((M_BOM[RM_Code]=$A69)*M_BOM[RM_Qty_Per_Batch]*IFERROR(INDEX(PP_Grid[#Data],M_BOM[PPGridRow],78),0))</f>
        <v/>
      </c>
      <c r="CA69">
        <f>SUMPRODUCT((M_BOM[RM_Code]=$A69)*M_BOM[RM_Qty_Per_Batch]*IFERROR(INDEX(PP_Grid[#Data],M_BOM[PPGridRow],79),0))</f>
        <v/>
      </c>
      <c r="CB69">
        <f>SUMPRODUCT((M_BOM[RM_Code]=$A69)*M_BOM[RM_Qty_Per_Batch]*IFERROR(INDEX(PP_Grid[#Data],M_BOM[PPGridRow],80),0))</f>
        <v/>
      </c>
      <c r="CC69">
        <f>SUMPRODUCT((M_BOM[RM_Code]=$A69)*M_BOM[RM_Qty_Per_Batch]*IFERROR(INDEX(PP_Grid[#Data],M_BOM[PPGridRow],81),0))</f>
        <v/>
      </c>
      <c r="CD69">
        <f>SUMPRODUCT((M_BOM[RM_Code]=$A69)*M_BOM[RM_Qty_Per_Batch]*IFERROR(INDEX(PP_Grid[#Data],M_BOM[PPGridRow],82),0))</f>
        <v/>
      </c>
      <c r="CE69">
        <f>SUMPRODUCT((M_BOM[RM_Code]=$A69)*M_BOM[RM_Qty_Per_Batch]*IFERROR(INDEX(PP_Grid[#Data],M_BOM[PPGridRow],83),0))</f>
        <v/>
      </c>
      <c r="CF69">
        <f>SUMPRODUCT((M_BOM[RM_Code]=$A69)*M_BOM[RM_Qty_Per_Batch]*IFERROR(INDEX(PP_Grid[#Data],M_BOM[PPGridRow],84),0))</f>
        <v/>
      </c>
      <c r="CG69">
        <f>SUMPRODUCT((M_BOM[RM_Code]=$A69)*M_BOM[RM_Qty_Per_Batch]*IFERROR(INDEX(PP_Grid[#Data],M_BOM[PPGridRow],85),0))</f>
        <v/>
      </c>
      <c r="CH69">
        <f>SUMPRODUCT((M_BOM[RM_Code]=$A69)*M_BOM[RM_Qty_Per_Batch]*IFERROR(INDEX(PP_Grid[#Data],M_BOM[PPGridRow],86),0))</f>
        <v/>
      </c>
      <c r="CI69">
        <f>SUMPRODUCT((M_BOM[RM_Code]=$A69)*M_BOM[RM_Qty_Per_Batch]*IFERROR(INDEX(PP_Grid[#Data],M_BOM[PPGridRow],87),0))</f>
        <v/>
      </c>
      <c r="CJ69">
        <f>SUMPRODUCT((M_BOM[RM_Code]=$A69)*M_BOM[RM_Qty_Per_Batch]*IFERROR(INDEX(PP_Grid[#Data],M_BOM[PPGridRow],88),0))</f>
        <v/>
      </c>
      <c r="CK69">
        <f>SUMPRODUCT((M_BOM[RM_Code]=$A69)*M_BOM[RM_Qty_Per_Batch]*IFERROR(INDEX(PP_Grid[#Data],M_BOM[PPGridRow],89),0))</f>
        <v/>
      </c>
      <c r="CL69">
        <f>SUMPRODUCT((M_BOM[RM_Code]=$A69)*M_BOM[RM_Qty_Per_Batch]*IFERROR(INDEX(PP_Grid[#Data],M_BOM[PPGridRow],90),0))</f>
        <v/>
      </c>
      <c r="CM69">
        <f>SUMPRODUCT((M_BOM[RM_Code]=$A69)*M_BOM[RM_Qty_Per_Batch]*IFERROR(INDEX(PP_Grid[#Data],M_BOM[PPGridRow],91),0))</f>
        <v/>
      </c>
      <c r="CN69">
        <f>SUMPRODUCT((M_BOM[RM_Code]=$A69)*M_BOM[RM_Qty_Per_Batch]*IFERROR(INDEX(PP_Grid[#Data],M_BOM[PPGridRow],92),0))</f>
        <v/>
      </c>
      <c r="CO69">
        <f>SUMPRODUCT((M_BOM[RM_Code]=$A69)*M_BOM[RM_Qty_Per_Batch]*IFERROR(INDEX(PP_Grid[#Data],M_BOM[PPGridRow],93),0))</f>
        <v/>
      </c>
      <c r="CP69">
        <f>SUMPRODUCT((M_BOM[RM_Code]=$A69)*M_BOM[RM_Qty_Per_Batch]*IFERROR(INDEX(PP_Grid[#Data],M_BOM[PPGridRow],94),0))</f>
        <v/>
      </c>
      <c r="CQ69">
        <f>SUMPRODUCT((M_BOM[RM_Code]=$A69)*M_BOM[RM_Qty_Per_Batch]*IFERROR(INDEX(PP_Grid[#Data],M_BOM[PPGridRow],95),0))</f>
        <v/>
      </c>
      <c r="CR69">
        <f>SUMPRODUCT((M_BOM[RM_Code]=$A69)*M_BOM[RM_Qty_Per_Batch]*IFERROR(INDEX(PP_Grid[#Data],M_BOM[PPGridRow],96),0))</f>
        <v/>
      </c>
      <c r="CS69">
        <f>SUMPRODUCT((M_BOM[RM_Code]=$A69)*M_BOM[RM_Qty_Per_Batch]*IFERROR(INDEX(PP_Grid[#Data],M_BOM[PPGridRow],97),0))</f>
        <v/>
      </c>
      <c r="CT69">
        <f>SUMPRODUCT((M_BOM[RM_Code]=$A69)*M_BOM[RM_Qty_Per_Batch]*IFERROR(INDEX(PP_Grid[#Data],M_BOM[PPGridRow],98),0))</f>
        <v/>
      </c>
      <c r="CU69">
        <f>SUMPRODUCT((M_BOM[RM_Code]=$A69)*M_BOM[RM_Qty_Per_Batch]*IFERROR(INDEX(PP_Grid[#Data],M_BOM[PPGridRow],99),0))</f>
        <v/>
      </c>
      <c r="CV69">
        <f>SUMPRODUCT((M_BOM[RM_Code]=$A69)*M_BOM[RM_Qty_Per_Batch]*IFERROR(INDEX(PP_Grid[#Data],M_BOM[PPGridRow],100),0))</f>
        <v/>
      </c>
      <c r="CW69">
        <f>SUMPRODUCT((M_BOM[RM_Code]=$A69)*M_BOM[RM_Qty_Per_Batch]*IFERROR(INDEX(PP_Grid[#Data],M_BOM[PPGridRow],101),0))</f>
        <v/>
      </c>
      <c r="CX69">
        <f>SUMPRODUCT((M_BOM[RM_Code]=$A69)*M_BOM[RM_Qty_Per_Batch]*IFERROR(INDEX(PP_Grid[#Data],M_BOM[PPGridRow],102),0))</f>
        <v/>
      </c>
      <c r="CY69">
        <f>SUMPRODUCT((M_BOM[RM_Code]=$A69)*M_BOM[RM_Qty_Per_Batch]*IFERROR(INDEX(PP_Grid[#Data],M_BOM[PPGridRow],103),0))</f>
        <v/>
      </c>
      <c r="CZ69">
        <f>SUMPRODUCT((M_BOM[RM_Code]=$A69)*M_BOM[RM_Qty_Per_Batch]*IFERROR(INDEX(PP_Grid[#Data],M_BOM[PPGridRow],104),0))</f>
        <v/>
      </c>
      <c r="DA69">
        <f>SUMPRODUCT((M_BOM[RM_Code]=$A69)*M_BOM[RM_Qty_Per_Batch]*IFERROR(INDEX(PP_Grid[#Data],M_BOM[PPGridRow],105),0))</f>
        <v/>
      </c>
    </row>
    <row r="70">
      <c r="A70" t="inlineStr">
        <is>
          <t>CHEM-1750</t>
        </is>
      </c>
      <c r="B70">
        <f>SUMPRODUCT((M_BOM[RM_Code]=$A70)*M_BOM[RM_Qty_Per_Batch]*IFERROR(INDEX(PP_Grid[#Data],M_BOM[PPGridRow],2),0))</f>
        <v/>
      </c>
      <c r="C70">
        <f>SUMPRODUCT((M_BOM[RM_Code]=$A70)*M_BOM[RM_Qty_Per_Batch]*IFERROR(INDEX(PP_Grid[#Data],M_BOM[PPGridRow],3),0))</f>
        <v/>
      </c>
      <c r="D70">
        <f>SUMPRODUCT((M_BOM[RM_Code]=$A70)*M_BOM[RM_Qty_Per_Batch]*IFERROR(INDEX(PP_Grid[#Data],M_BOM[PPGridRow],4),0))</f>
        <v/>
      </c>
      <c r="E70">
        <f>SUMPRODUCT((M_BOM[RM_Code]=$A70)*M_BOM[RM_Qty_Per_Batch]*IFERROR(INDEX(PP_Grid[#Data],M_BOM[PPGridRow],5),0))</f>
        <v/>
      </c>
      <c r="F70">
        <f>SUMPRODUCT((M_BOM[RM_Code]=$A70)*M_BOM[RM_Qty_Per_Batch]*IFERROR(INDEX(PP_Grid[#Data],M_BOM[PPGridRow],6),0))</f>
        <v/>
      </c>
      <c r="G70">
        <f>SUMPRODUCT((M_BOM[RM_Code]=$A70)*M_BOM[RM_Qty_Per_Batch]*IFERROR(INDEX(PP_Grid[#Data],M_BOM[PPGridRow],7),0))</f>
        <v/>
      </c>
      <c r="H70">
        <f>SUMPRODUCT((M_BOM[RM_Code]=$A70)*M_BOM[RM_Qty_Per_Batch]*IFERROR(INDEX(PP_Grid[#Data],M_BOM[PPGridRow],8),0))</f>
        <v/>
      </c>
      <c r="I70">
        <f>SUMPRODUCT((M_BOM[RM_Code]=$A70)*M_BOM[RM_Qty_Per_Batch]*IFERROR(INDEX(PP_Grid[#Data],M_BOM[PPGridRow],9),0))</f>
        <v/>
      </c>
      <c r="J70">
        <f>SUMPRODUCT((M_BOM[RM_Code]=$A70)*M_BOM[RM_Qty_Per_Batch]*IFERROR(INDEX(PP_Grid[#Data],M_BOM[PPGridRow],10),0))</f>
        <v/>
      </c>
      <c r="K70">
        <f>SUMPRODUCT((M_BOM[RM_Code]=$A70)*M_BOM[RM_Qty_Per_Batch]*IFERROR(INDEX(PP_Grid[#Data],M_BOM[PPGridRow],11),0))</f>
        <v/>
      </c>
      <c r="L70">
        <f>SUMPRODUCT((M_BOM[RM_Code]=$A70)*M_BOM[RM_Qty_Per_Batch]*IFERROR(INDEX(PP_Grid[#Data],M_BOM[PPGridRow],12),0))</f>
        <v/>
      </c>
      <c r="M70">
        <f>SUMPRODUCT((M_BOM[RM_Code]=$A70)*M_BOM[RM_Qty_Per_Batch]*IFERROR(INDEX(PP_Grid[#Data],M_BOM[PPGridRow],13),0))</f>
        <v/>
      </c>
      <c r="N70">
        <f>SUMPRODUCT((M_BOM[RM_Code]=$A70)*M_BOM[RM_Qty_Per_Batch]*IFERROR(INDEX(PP_Grid[#Data],M_BOM[PPGridRow],14),0))</f>
        <v/>
      </c>
      <c r="O70">
        <f>SUMPRODUCT((M_BOM[RM_Code]=$A70)*M_BOM[RM_Qty_Per_Batch]*IFERROR(INDEX(PP_Grid[#Data],M_BOM[PPGridRow],15),0))</f>
        <v/>
      </c>
      <c r="P70">
        <f>SUMPRODUCT((M_BOM[RM_Code]=$A70)*M_BOM[RM_Qty_Per_Batch]*IFERROR(INDEX(PP_Grid[#Data],M_BOM[PPGridRow],16),0))</f>
        <v/>
      </c>
      <c r="Q70">
        <f>SUMPRODUCT((M_BOM[RM_Code]=$A70)*M_BOM[RM_Qty_Per_Batch]*IFERROR(INDEX(PP_Grid[#Data],M_BOM[PPGridRow],17),0))</f>
        <v/>
      </c>
      <c r="R70">
        <f>SUMPRODUCT((M_BOM[RM_Code]=$A70)*M_BOM[RM_Qty_Per_Batch]*IFERROR(INDEX(PP_Grid[#Data],M_BOM[PPGridRow],18),0))</f>
        <v/>
      </c>
      <c r="S70">
        <f>SUMPRODUCT((M_BOM[RM_Code]=$A70)*M_BOM[RM_Qty_Per_Batch]*IFERROR(INDEX(PP_Grid[#Data],M_BOM[PPGridRow],19),0))</f>
        <v/>
      </c>
      <c r="T70">
        <f>SUMPRODUCT((M_BOM[RM_Code]=$A70)*M_BOM[RM_Qty_Per_Batch]*IFERROR(INDEX(PP_Grid[#Data],M_BOM[PPGridRow],20),0))</f>
        <v/>
      </c>
      <c r="U70">
        <f>SUMPRODUCT((M_BOM[RM_Code]=$A70)*M_BOM[RM_Qty_Per_Batch]*IFERROR(INDEX(PP_Grid[#Data],M_BOM[PPGridRow],21),0))</f>
        <v/>
      </c>
      <c r="V70">
        <f>SUMPRODUCT((M_BOM[RM_Code]=$A70)*M_BOM[RM_Qty_Per_Batch]*IFERROR(INDEX(PP_Grid[#Data],M_BOM[PPGridRow],22),0))</f>
        <v/>
      </c>
      <c r="W70">
        <f>SUMPRODUCT((M_BOM[RM_Code]=$A70)*M_BOM[RM_Qty_Per_Batch]*IFERROR(INDEX(PP_Grid[#Data],M_BOM[PPGridRow],23),0))</f>
        <v/>
      </c>
      <c r="X70">
        <f>SUMPRODUCT((M_BOM[RM_Code]=$A70)*M_BOM[RM_Qty_Per_Batch]*IFERROR(INDEX(PP_Grid[#Data],M_BOM[PPGridRow],24),0))</f>
        <v/>
      </c>
      <c r="Y70">
        <f>SUMPRODUCT((M_BOM[RM_Code]=$A70)*M_BOM[RM_Qty_Per_Batch]*IFERROR(INDEX(PP_Grid[#Data],M_BOM[PPGridRow],25),0))</f>
        <v/>
      </c>
      <c r="Z70">
        <f>SUMPRODUCT((M_BOM[RM_Code]=$A70)*M_BOM[RM_Qty_Per_Batch]*IFERROR(INDEX(PP_Grid[#Data],M_BOM[PPGridRow],26),0))</f>
        <v/>
      </c>
      <c r="AA70">
        <f>SUMPRODUCT((M_BOM[RM_Code]=$A70)*M_BOM[RM_Qty_Per_Batch]*IFERROR(INDEX(PP_Grid[#Data],M_BOM[PPGridRow],27),0))</f>
        <v/>
      </c>
      <c r="AB70">
        <f>SUMPRODUCT((M_BOM[RM_Code]=$A70)*M_BOM[RM_Qty_Per_Batch]*IFERROR(INDEX(PP_Grid[#Data],M_BOM[PPGridRow],28),0))</f>
        <v/>
      </c>
      <c r="AC70">
        <f>SUMPRODUCT((M_BOM[RM_Code]=$A70)*M_BOM[RM_Qty_Per_Batch]*IFERROR(INDEX(PP_Grid[#Data],M_BOM[PPGridRow],29),0))</f>
        <v/>
      </c>
      <c r="AD70">
        <f>SUMPRODUCT((M_BOM[RM_Code]=$A70)*M_BOM[RM_Qty_Per_Batch]*IFERROR(INDEX(PP_Grid[#Data],M_BOM[PPGridRow],30),0))</f>
        <v/>
      </c>
      <c r="AE70">
        <f>SUMPRODUCT((M_BOM[RM_Code]=$A70)*M_BOM[RM_Qty_Per_Batch]*IFERROR(INDEX(PP_Grid[#Data],M_BOM[PPGridRow],31),0))</f>
        <v/>
      </c>
      <c r="AF70">
        <f>SUMPRODUCT((M_BOM[RM_Code]=$A70)*M_BOM[RM_Qty_Per_Batch]*IFERROR(INDEX(PP_Grid[#Data],M_BOM[PPGridRow],32),0))</f>
        <v/>
      </c>
      <c r="AG70">
        <f>SUMPRODUCT((M_BOM[RM_Code]=$A70)*M_BOM[RM_Qty_Per_Batch]*IFERROR(INDEX(PP_Grid[#Data],M_BOM[PPGridRow],33),0))</f>
        <v/>
      </c>
      <c r="AH70">
        <f>SUMPRODUCT((M_BOM[RM_Code]=$A70)*M_BOM[RM_Qty_Per_Batch]*IFERROR(INDEX(PP_Grid[#Data],M_BOM[PPGridRow],34),0))</f>
        <v/>
      </c>
      <c r="AI70">
        <f>SUMPRODUCT((M_BOM[RM_Code]=$A70)*M_BOM[RM_Qty_Per_Batch]*IFERROR(INDEX(PP_Grid[#Data],M_BOM[PPGridRow],35),0))</f>
        <v/>
      </c>
      <c r="AJ70">
        <f>SUMPRODUCT((M_BOM[RM_Code]=$A70)*M_BOM[RM_Qty_Per_Batch]*IFERROR(INDEX(PP_Grid[#Data],M_BOM[PPGridRow],36),0))</f>
        <v/>
      </c>
      <c r="AK70">
        <f>SUMPRODUCT((M_BOM[RM_Code]=$A70)*M_BOM[RM_Qty_Per_Batch]*IFERROR(INDEX(PP_Grid[#Data],M_BOM[PPGridRow],37),0))</f>
        <v/>
      </c>
      <c r="AL70">
        <f>SUMPRODUCT((M_BOM[RM_Code]=$A70)*M_BOM[RM_Qty_Per_Batch]*IFERROR(INDEX(PP_Grid[#Data],M_BOM[PPGridRow],38),0))</f>
        <v/>
      </c>
      <c r="AM70">
        <f>SUMPRODUCT((M_BOM[RM_Code]=$A70)*M_BOM[RM_Qty_Per_Batch]*IFERROR(INDEX(PP_Grid[#Data],M_BOM[PPGridRow],39),0))</f>
        <v/>
      </c>
      <c r="AN70">
        <f>SUMPRODUCT((M_BOM[RM_Code]=$A70)*M_BOM[RM_Qty_Per_Batch]*IFERROR(INDEX(PP_Grid[#Data],M_BOM[PPGridRow],40),0))</f>
        <v/>
      </c>
      <c r="AO70">
        <f>SUMPRODUCT((M_BOM[RM_Code]=$A70)*M_BOM[RM_Qty_Per_Batch]*IFERROR(INDEX(PP_Grid[#Data],M_BOM[PPGridRow],41),0))</f>
        <v/>
      </c>
      <c r="AP70">
        <f>SUMPRODUCT((M_BOM[RM_Code]=$A70)*M_BOM[RM_Qty_Per_Batch]*IFERROR(INDEX(PP_Grid[#Data],M_BOM[PPGridRow],42),0))</f>
        <v/>
      </c>
      <c r="AQ70">
        <f>SUMPRODUCT((M_BOM[RM_Code]=$A70)*M_BOM[RM_Qty_Per_Batch]*IFERROR(INDEX(PP_Grid[#Data],M_BOM[PPGridRow],43),0))</f>
        <v/>
      </c>
      <c r="AR70">
        <f>SUMPRODUCT((M_BOM[RM_Code]=$A70)*M_BOM[RM_Qty_Per_Batch]*IFERROR(INDEX(PP_Grid[#Data],M_BOM[PPGridRow],44),0))</f>
        <v/>
      </c>
      <c r="AS70">
        <f>SUMPRODUCT((M_BOM[RM_Code]=$A70)*M_BOM[RM_Qty_Per_Batch]*IFERROR(INDEX(PP_Grid[#Data],M_BOM[PPGridRow],45),0))</f>
        <v/>
      </c>
      <c r="AT70">
        <f>SUMPRODUCT((M_BOM[RM_Code]=$A70)*M_BOM[RM_Qty_Per_Batch]*IFERROR(INDEX(PP_Grid[#Data],M_BOM[PPGridRow],46),0))</f>
        <v/>
      </c>
      <c r="AU70">
        <f>SUMPRODUCT((M_BOM[RM_Code]=$A70)*M_BOM[RM_Qty_Per_Batch]*IFERROR(INDEX(PP_Grid[#Data],M_BOM[PPGridRow],47),0))</f>
        <v/>
      </c>
      <c r="AV70">
        <f>SUMPRODUCT((M_BOM[RM_Code]=$A70)*M_BOM[RM_Qty_Per_Batch]*IFERROR(INDEX(PP_Grid[#Data],M_BOM[PPGridRow],48),0))</f>
        <v/>
      </c>
      <c r="AW70">
        <f>SUMPRODUCT((M_BOM[RM_Code]=$A70)*M_BOM[RM_Qty_Per_Batch]*IFERROR(INDEX(PP_Grid[#Data],M_BOM[PPGridRow],49),0))</f>
        <v/>
      </c>
      <c r="AX70">
        <f>SUMPRODUCT((M_BOM[RM_Code]=$A70)*M_BOM[RM_Qty_Per_Batch]*IFERROR(INDEX(PP_Grid[#Data],M_BOM[PPGridRow],50),0))</f>
        <v/>
      </c>
      <c r="AY70">
        <f>SUMPRODUCT((M_BOM[RM_Code]=$A70)*M_BOM[RM_Qty_Per_Batch]*IFERROR(INDEX(PP_Grid[#Data],M_BOM[PPGridRow],51),0))</f>
        <v/>
      </c>
      <c r="AZ70">
        <f>SUMPRODUCT((M_BOM[RM_Code]=$A70)*M_BOM[RM_Qty_Per_Batch]*IFERROR(INDEX(PP_Grid[#Data],M_BOM[PPGridRow],52),0))</f>
        <v/>
      </c>
      <c r="BA70">
        <f>SUMPRODUCT((M_BOM[RM_Code]=$A70)*M_BOM[RM_Qty_Per_Batch]*IFERROR(INDEX(PP_Grid[#Data],M_BOM[PPGridRow],53),0))</f>
        <v/>
      </c>
      <c r="BB70">
        <f>SUMPRODUCT((M_BOM[RM_Code]=$A70)*M_BOM[RM_Qty_Per_Batch]*IFERROR(INDEX(PP_Grid[#Data],M_BOM[PPGridRow],54),0))</f>
        <v/>
      </c>
      <c r="BC70">
        <f>SUMPRODUCT((M_BOM[RM_Code]=$A70)*M_BOM[RM_Qty_Per_Batch]*IFERROR(INDEX(PP_Grid[#Data],M_BOM[PPGridRow],55),0))</f>
        <v/>
      </c>
      <c r="BD70">
        <f>SUMPRODUCT((M_BOM[RM_Code]=$A70)*M_BOM[RM_Qty_Per_Batch]*IFERROR(INDEX(PP_Grid[#Data],M_BOM[PPGridRow],56),0))</f>
        <v/>
      </c>
      <c r="BE70">
        <f>SUMPRODUCT((M_BOM[RM_Code]=$A70)*M_BOM[RM_Qty_Per_Batch]*IFERROR(INDEX(PP_Grid[#Data],M_BOM[PPGridRow],57),0))</f>
        <v/>
      </c>
      <c r="BF70">
        <f>SUMPRODUCT((M_BOM[RM_Code]=$A70)*M_BOM[RM_Qty_Per_Batch]*IFERROR(INDEX(PP_Grid[#Data],M_BOM[PPGridRow],58),0))</f>
        <v/>
      </c>
      <c r="BG70">
        <f>SUMPRODUCT((M_BOM[RM_Code]=$A70)*M_BOM[RM_Qty_Per_Batch]*IFERROR(INDEX(PP_Grid[#Data],M_BOM[PPGridRow],59),0))</f>
        <v/>
      </c>
      <c r="BH70">
        <f>SUMPRODUCT((M_BOM[RM_Code]=$A70)*M_BOM[RM_Qty_Per_Batch]*IFERROR(INDEX(PP_Grid[#Data],M_BOM[PPGridRow],60),0))</f>
        <v/>
      </c>
      <c r="BI70">
        <f>SUMPRODUCT((M_BOM[RM_Code]=$A70)*M_BOM[RM_Qty_Per_Batch]*IFERROR(INDEX(PP_Grid[#Data],M_BOM[PPGridRow],61),0))</f>
        <v/>
      </c>
      <c r="BJ70">
        <f>SUMPRODUCT((M_BOM[RM_Code]=$A70)*M_BOM[RM_Qty_Per_Batch]*IFERROR(INDEX(PP_Grid[#Data],M_BOM[PPGridRow],62),0))</f>
        <v/>
      </c>
      <c r="BK70">
        <f>SUMPRODUCT((M_BOM[RM_Code]=$A70)*M_BOM[RM_Qty_Per_Batch]*IFERROR(INDEX(PP_Grid[#Data],M_BOM[PPGridRow],63),0))</f>
        <v/>
      </c>
      <c r="BL70">
        <f>SUMPRODUCT((M_BOM[RM_Code]=$A70)*M_BOM[RM_Qty_Per_Batch]*IFERROR(INDEX(PP_Grid[#Data],M_BOM[PPGridRow],64),0))</f>
        <v/>
      </c>
      <c r="BM70">
        <f>SUMPRODUCT((M_BOM[RM_Code]=$A70)*M_BOM[RM_Qty_Per_Batch]*IFERROR(INDEX(PP_Grid[#Data],M_BOM[PPGridRow],65),0))</f>
        <v/>
      </c>
      <c r="BN70">
        <f>SUMPRODUCT((M_BOM[RM_Code]=$A70)*M_BOM[RM_Qty_Per_Batch]*IFERROR(INDEX(PP_Grid[#Data],M_BOM[PPGridRow],66),0))</f>
        <v/>
      </c>
      <c r="BO70">
        <f>SUMPRODUCT((M_BOM[RM_Code]=$A70)*M_BOM[RM_Qty_Per_Batch]*IFERROR(INDEX(PP_Grid[#Data],M_BOM[PPGridRow],67),0))</f>
        <v/>
      </c>
      <c r="BP70">
        <f>SUMPRODUCT((M_BOM[RM_Code]=$A70)*M_BOM[RM_Qty_Per_Batch]*IFERROR(INDEX(PP_Grid[#Data],M_BOM[PPGridRow],68),0))</f>
        <v/>
      </c>
      <c r="BQ70">
        <f>SUMPRODUCT((M_BOM[RM_Code]=$A70)*M_BOM[RM_Qty_Per_Batch]*IFERROR(INDEX(PP_Grid[#Data],M_BOM[PPGridRow],69),0))</f>
        <v/>
      </c>
      <c r="BR70">
        <f>SUMPRODUCT((M_BOM[RM_Code]=$A70)*M_BOM[RM_Qty_Per_Batch]*IFERROR(INDEX(PP_Grid[#Data],M_BOM[PPGridRow],70),0))</f>
        <v/>
      </c>
      <c r="BS70">
        <f>SUMPRODUCT((M_BOM[RM_Code]=$A70)*M_BOM[RM_Qty_Per_Batch]*IFERROR(INDEX(PP_Grid[#Data],M_BOM[PPGridRow],71),0))</f>
        <v/>
      </c>
      <c r="BT70">
        <f>SUMPRODUCT((M_BOM[RM_Code]=$A70)*M_BOM[RM_Qty_Per_Batch]*IFERROR(INDEX(PP_Grid[#Data],M_BOM[PPGridRow],72),0))</f>
        <v/>
      </c>
      <c r="BU70">
        <f>SUMPRODUCT((M_BOM[RM_Code]=$A70)*M_BOM[RM_Qty_Per_Batch]*IFERROR(INDEX(PP_Grid[#Data],M_BOM[PPGridRow],73),0))</f>
        <v/>
      </c>
      <c r="BV70">
        <f>SUMPRODUCT((M_BOM[RM_Code]=$A70)*M_BOM[RM_Qty_Per_Batch]*IFERROR(INDEX(PP_Grid[#Data],M_BOM[PPGridRow],74),0))</f>
        <v/>
      </c>
      <c r="BW70">
        <f>SUMPRODUCT((M_BOM[RM_Code]=$A70)*M_BOM[RM_Qty_Per_Batch]*IFERROR(INDEX(PP_Grid[#Data],M_BOM[PPGridRow],75),0))</f>
        <v/>
      </c>
      <c r="BX70">
        <f>SUMPRODUCT((M_BOM[RM_Code]=$A70)*M_BOM[RM_Qty_Per_Batch]*IFERROR(INDEX(PP_Grid[#Data],M_BOM[PPGridRow],76),0))</f>
        <v/>
      </c>
      <c r="BY70">
        <f>SUMPRODUCT((M_BOM[RM_Code]=$A70)*M_BOM[RM_Qty_Per_Batch]*IFERROR(INDEX(PP_Grid[#Data],M_BOM[PPGridRow],77),0))</f>
        <v/>
      </c>
      <c r="BZ70">
        <f>SUMPRODUCT((M_BOM[RM_Code]=$A70)*M_BOM[RM_Qty_Per_Batch]*IFERROR(INDEX(PP_Grid[#Data],M_BOM[PPGridRow],78),0))</f>
        <v/>
      </c>
      <c r="CA70">
        <f>SUMPRODUCT((M_BOM[RM_Code]=$A70)*M_BOM[RM_Qty_Per_Batch]*IFERROR(INDEX(PP_Grid[#Data],M_BOM[PPGridRow],79),0))</f>
        <v/>
      </c>
      <c r="CB70">
        <f>SUMPRODUCT((M_BOM[RM_Code]=$A70)*M_BOM[RM_Qty_Per_Batch]*IFERROR(INDEX(PP_Grid[#Data],M_BOM[PPGridRow],80),0))</f>
        <v/>
      </c>
      <c r="CC70">
        <f>SUMPRODUCT((M_BOM[RM_Code]=$A70)*M_BOM[RM_Qty_Per_Batch]*IFERROR(INDEX(PP_Grid[#Data],M_BOM[PPGridRow],81),0))</f>
        <v/>
      </c>
      <c r="CD70">
        <f>SUMPRODUCT((M_BOM[RM_Code]=$A70)*M_BOM[RM_Qty_Per_Batch]*IFERROR(INDEX(PP_Grid[#Data],M_BOM[PPGridRow],82),0))</f>
        <v/>
      </c>
      <c r="CE70">
        <f>SUMPRODUCT((M_BOM[RM_Code]=$A70)*M_BOM[RM_Qty_Per_Batch]*IFERROR(INDEX(PP_Grid[#Data],M_BOM[PPGridRow],83),0))</f>
        <v/>
      </c>
      <c r="CF70">
        <f>SUMPRODUCT((M_BOM[RM_Code]=$A70)*M_BOM[RM_Qty_Per_Batch]*IFERROR(INDEX(PP_Grid[#Data],M_BOM[PPGridRow],84),0))</f>
        <v/>
      </c>
      <c r="CG70">
        <f>SUMPRODUCT((M_BOM[RM_Code]=$A70)*M_BOM[RM_Qty_Per_Batch]*IFERROR(INDEX(PP_Grid[#Data],M_BOM[PPGridRow],85),0))</f>
        <v/>
      </c>
      <c r="CH70">
        <f>SUMPRODUCT((M_BOM[RM_Code]=$A70)*M_BOM[RM_Qty_Per_Batch]*IFERROR(INDEX(PP_Grid[#Data],M_BOM[PPGridRow],86),0))</f>
        <v/>
      </c>
      <c r="CI70">
        <f>SUMPRODUCT((M_BOM[RM_Code]=$A70)*M_BOM[RM_Qty_Per_Batch]*IFERROR(INDEX(PP_Grid[#Data],M_BOM[PPGridRow],87),0))</f>
        <v/>
      </c>
      <c r="CJ70">
        <f>SUMPRODUCT((M_BOM[RM_Code]=$A70)*M_BOM[RM_Qty_Per_Batch]*IFERROR(INDEX(PP_Grid[#Data],M_BOM[PPGridRow],88),0))</f>
        <v/>
      </c>
      <c r="CK70">
        <f>SUMPRODUCT((M_BOM[RM_Code]=$A70)*M_BOM[RM_Qty_Per_Batch]*IFERROR(INDEX(PP_Grid[#Data],M_BOM[PPGridRow],89),0))</f>
        <v/>
      </c>
      <c r="CL70">
        <f>SUMPRODUCT((M_BOM[RM_Code]=$A70)*M_BOM[RM_Qty_Per_Batch]*IFERROR(INDEX(PP_Grid[#Data],M_BOM[PPGridRow],90),0))</f>
        <v/>
      </c>
      <c r="CM70">
        <f>SUMPRODUCT((M_BOM[RM_Code]=$A70)*M_BOM[RM_Qty_Per_Batch]*IFERROR(INDEX(PP_Grid[#Data],M_BOM[PPGridRow],91),0))</f>
        <v/>
      </c>
      <c r="CN70">
        <f>SUMPRODUCT((M_BOM[RM_Code]=$A70)*M_BOM[RM_Qty_Per_Batch]*IFERROR(INDEX(PP_Grid[#Data],M_BOM[PPGridRow],92),0))</f>
        <v/>
      </c>
      <c r="CO70">
        <f>SUMPRODUCT((M_BOM[RM_Code]=$A70)*M_BOM[RM_Qty_Per_Batch]*IFERROR(INDEX(PP_Grid[#Data],M_BOM[PPGridRow],93),0))</f>
        <v/>
      </c>
      <c r="CP70">
        <f>SUMPRODUCT((M_BOM[RM_Code]=$A70)*M_BOM[RM_Qty_Per_Batch]*IFERROR(INDEX(PP_Grid[#Data],M_BOM[PPGridRow],94),0))</f>
        <v/>
      </c>
      <c r="CQ70">
        <f>SUMPRODUCT((M_BOM[RM_Code]=$A70)*M_BOM[RM_Qty_Per_Batch]*IFERROR(INDEX(PP_Grid[#Data],M_BOM[PPGridRow],95),0))</f>
        <v/>
      </c>
      <c r="CR70">
        <f>SUMPRODUCT((M_BOM[RM_Code]=$A70)*M_BOM[RM_Qty_Per_Batch]*IFERROR(INDEX(PP_Grid[#Data],M_BOM[PPGridRow],96),0))</f>
        <v/>
      </c>
      <c r="CS70">
        <f>SUMPRODUCT((M_BOM[RM_Code]=$A70)*M_BOM[RM_Qty_Per_Batch]*IFERROR(INDEX(PP_Grid[#Data],M_BOM[PPGridRow],97),0))</f>
        <v/>
      </c>
      <c r="CT70">
        <f>SUMPRODUCT((M_BOM[RM_Code]=$A70)*M_BOM[RM_Qty_Per_Batch]*IFERROR(INDEX(PP_Grid[#Data],M_BOM[PPGridRow],98),0))</f>
        <v/>
      </c>
      <c r="CU70">
        <f>SUMPRODUCT((M_BOM[RM_Code]=$A70)*M_BOM[RM_Qty_Per_Batch]*IFERROR(INDEX(PP_Grid[#Data],M_BOM[PPGridRow],99),0))</f>
        <v/>
      </c>
      <c r="CV70">
        <f>SUMPRODUCT((M_BOM[RM_Code]=$A70)*M_BOM[RM_Qty_Per_Batch]*IFERROR(INDEX(PP_Grid[#Data],M_BOM[PPGridRow],100),0))</f>
        <v/>
      </c>
      <c r="CW70">
        <f>SUMPRODUCT((M_BOM[RM_Code]=$A70)*M_BOM[RM_Qty_Per_Batch]*IFERROR(INDEX(PP_Grid[#Data],M_BOM[PPGridRow],101),0))</f>
        <v/>
      </c>
      <c r="CX70">
        <f>SUMPRODUCT((M_BOM[RM_Code]=$A70)*M_BOM[RM_Qty_Per_Batch]*IFERROR(INDEX(PP_Grid[#Data],M_BOM[PPGridRow],102),0))</f>
        <v/>
      </c>
      <c r="CY70">
        <f>SUMPRODUCT((M_BOM[RM_Code]=$A70)*M_BOM[RM_Qty_Per_Batch]*IFERROR(INDEX(PP_Grid[#Data],M_BOM[PPGridRow],103),0))</f>
        <v/>
      </c>
      <c r="CZ70">
        <f>SUMPRODUCT((M_BOM[RM_Code]=$A70)*M_BOM[RM_Qty_Per_Batch]*IFERROR(INDEX(PP_Grid[#Data],M_BOM[PPGridRow],104),0))</f>
        <v/>
      </c>
      <c r="DA70">
        <f>SUMPRODUCT((M_BOM[RM_Code]=$A70)*M_BOM[RM_Qty_Per_Batch]*IFERROR(INDEX(PP_Grid[#Data],M_BOM[PPGridRow],105),0))</f>
        <v/>
      </c>
    </row>
    <row r="71">
      <c r="A71" t="inlineStr">
        <is>
          <t>848530</t>
        </is>
      </c>
      <c r="B71">
        <f>SUMPRODUCT((M_BOM[RM_Code]=$A71)*M_BOM[RM_Qty_Per_Batch]*IFERROR(INDEX(PP_Grid[#Data],M_BOM[PPGridRow],2),0))</f>
        <v/>
      </c>
      <c r="C71">
        <f>SUMPRODUCT((M_BOM[RM_Code]=$A71)*M_BOM[RM_Qty_Per_Batch]*IFERROR(INDEX(PP_Grid[#Data],M_BOM[PPGridRow],3),0))</f>
        <v/>
      </c>
      <c r="D71">
        <f>SUMPRODUCT((M_BOM[RM_Code]=$A71)*M_BOM[RM_Qty_Per_Batch]*IFERROR(INDEX(PP_Grid[#Data],M_BOM[PPGridRow],4),0))</f>
        <v/>
      </c>
      <c r="E71">
        <f>SUMPRODUCT((M_BOM[RM_Code]=$A71)*M_BOM[RM_Qty_Per_Batch]*IFERROR(INDEX(PP_Grid[#Data],M_BOM[PPGridRow],5),0))</f>
        <v/>
      </c>
      <c r="F71">
        <f>SUMPRODUCT((M_BOM[RM_Code]=$A71)*M_BOM[RM_Qty_Per_Batch]*IFERROR(INDEX(PP_Grid[#Data],M_BOM[PPGridRow],6),0))</f>
        <v/>
      </c>
      <c r="G71">
        <f>SUMPRODUCT((M_BOM[RM_Code]=$A71)*M_BOM[RM_Qty_Per_Batch]*IFERROR(INDEX(PP_Grid[#Data],M_BOM[PPGridRow],7),0))</f>
        <v/>
      </c>
      <c r="H71">
        <f>SUMPRODUCT((M_BOM[RM_Code]=$A71)*M_BOM[RM_Qty_Per_Batch]*IFERROR(INDEX(PP_Grid[#Data],M_BOM[PPGridRow],8),0))</f>
        <v/>
      </c>
      <c r="I71">
        <f>SUMPRODUCT((M_BOM[RM_Code]=$A71)*M_BOM[RM_Qty_Per_Batch]*IFERROR(INDEX(PP_Grid[#Data],M_BOM[PPGridRow],9),0))</f>
        <v/>
      </c>
      <c r="J71">
        <f>SUMPRODUCT((M_BOM[RM_Code]=$A71)*M_BOM[RM_Qty_Per_Batch]*IFERROR(INDEX(PP_Grid[#Data],M_BOM[PPGridRow],10),0))</f>
        <v/>
      </c>
      <c r="K71">
        <f>SUMPRODUCT((M_BOM[RM_Code]=$A71)*M_BOM[RM_Qty_Per_Batch]*IFERROR(INDEX(PP_Grid[#Data],M_BOM[PPGridRow],11),0))</f>
        <v/>
      </c>
      <c r="L71">
        <f>SUMPRODUCT((M_BOM[RM_Code]=$A71)*M_BOM[RM_Qty_Per_Batch]*IFERROR(INDEX(PP_Grid[#Data],M_BOM[PPGridRow],12),0))</f>
        <v/>
      </c>
      <c r="M71">
        <f>SUMPRODUCT((M_BOM[RM_Code]=$A71)*M_BOM[RM_Qty_Per_Batch]*IFERROR(INDEX(PP_Grid[#Data],M_BOM[PPGridRow],13),0))</f>
        <v/>
      </c>
      <c r="N71">
        <f>SUMPRODUCT((M_BOM[RM_Code]=$A71)*M_BOM[RM_Qty_Per_Batch]*IFERROR(INDEX(PP_Grid[#Data],M_BOM[PPGridRow],14),0))</f>
        <v/>
      </c>
      <c r="O71">
        <f>SUMPRODUCT((M_BOM[RM_Code]=$A71)*M_BOM[RM_Qty_Per_Batch]*IFERROR(INDEX(PP_Grid[#Data],M_BOM[PPGridRow],15),0))</f>
        <v/>
      </c>
      <c r="P71">
        <f>SUMPRODUCT((M_BOM[RM_Code]=$A71)*M_BOM[RM_Qty_Per_Batch]*IFERROR(INDEX(PP_Grid[#Data],M_BOM[PPGridRow],16),0))</f>
        <v/>
      </c>
      <c r="Q71">
        <f>SUMPRODUCT((M_BOM[RM_Code]=$A71)*M_BOM[RM_Qty_Per_Batch]*IFERROR(INDEX(PP_Grid[#Data],M_BOM[PPGridRow],17),0))</f>
        <v/>
      </c>
      <c r="R71">
        <f>SUMPRODUCT((M_BOM[RM_Code]=$A71)*M_BOM[RM_Qty_Per_Batch]*IFERROR(INDEX(PP_Grid[#Data],M_BOM[PPGridRow],18),0))</f>
        <v/>
      </c>
      <c r="S71">
        <f>SUMPRODUCT((M_BOM[RM_Code]=$A71)*M_BOM[RM_Qty_Per_Batch]*IFERROR(INDEX(PP_Grid[#Data],M_BOM[PPGridRow],19),0))</f>
        <v/>
      </c>
      <c r="T71">
        <f>SUMPRODUCT((M_BOM[RM_Code]=$A71)*M_BOM[RM_Qty_Per_Batch]*IFERROR(INDEX(PP_Grid[#Data],M_BOM[PPGridRow],20),0))</f>
        <v/>
      </c>
      <c r="U71">
        <f>SUMPRODUCT((M_BOM[RM_Code]=$A71)*M_BOM[RM_Qty_Per_Batch]*IFERROR(INDEX(PP_Grid[#Data],M_BOM[PPGridRow],21),0))</f>
        <v/>
      </c>
      <c r="V71">
        <f>SUMPRODUCT((M_BOM[RM_Code]=$A71)*M_BOM[RM_Qty_Per_Batch]*IFERROR(INDEX(PP_Grid[#Data],M_BOM[PPGridRow],22),0))</f>
        <v/>
      </c>
      <c r="W71">
        <f>SUMPRODUCT((M_BOM[RM_Code]=$A71)*M_BOM[RM_Qty_Per_Batch]*IFERROR(INDEX(PP_Grid[#Data],M_BOM[PPGridRow],23),0))</f>
        <v/>
      </c>
      <c r="X71">
        <f>SUMPRODUCT((M_BOM[RM_Code]=$A71)*M_BOM[RM_Qty_Per_Batch]*IFERROR(INDEX(PP_Grid[#Data],M_BOM[PPGridRow],24),0))</f>
        <v/>
      </c>
      <c r="Y71">
        <f>SUMPRODUCT((M_BOM[RM_Code]=$A71)*M_BOM[RM_Qty_Per_Batch]*IFERROR(INDEX(PP_Grid[#Data],M_BOM[PPGridRow],25),0))</f>
        <v/>
      </c>
      <c r="Z71">
        <f>SUMPRODUCT((M_BOM[RM_Code]=$A71)*M_BOM[RM_Qty_Per_Batch]*IFERROR(INDEX(PP_Grid[#Data],M_BOM[PPGridRow],26),0))</f>
        <v/>
      </c>
      <c r="AA71">
        <f>SUMPRODUCT((M_BOM[RM_Code]=$A71)*M_BOM[RM_Qty_Per_Batch]*IFERROR(INDEX(PP_Grid[#Data],M_BOM[PPGridRow],27),0))</f>
        <v/>
      </c>
      <c r="AB71">
        <f>SUMPRODUCT((M_BOM[RM_Code]=$A71)*M_BOM[RM_Qty_Per_Batch]*IFERROR(INDEX(PP_Grid[#Data],M_BOM[PPGridRow],28),0))</f>
        <v/>
      </c>
      <c r="AC71">
        <f>SUMPRODUCT((M_BOM[RM_Code]=$A71)*M_BOM[RM_Qty_Per_Batch]*IFERROR(INDEX(PP_Grid[#Data],M_BOM[PPGridRow],29),0))</f>
        <v/>
      </c>
      <c r="AD71">
        <f>SUMPRODUCT((M_BOM[RM_Code]=$A71)*M_BOM[RM_Qty_Per_Batch]*IFERROR(INDEX(PP_Grid[#Data],M_BOM[PPGridRow],30),0))</f>
        <v/>
      </c>
      <c r="AE71">
        <f>SUMPRODUCT((M_BOM[RM_Code]=$A71)*M_BOM[RM_Qty_Per_Batch]*IFERROR(INDEX(PP_Grid[#Data],M_BOM[PPGridRow],31),0))</f>
        <v/>
      </c>
      <c r="AF71">
        <f>SUMPRODUCT((M_BOM[RM_Code]=$A71)*M_BOM[RM_Qty_Per_Batch]*IFERROR(INDEX(PP_Grid[#Data],M_BOM[PPGridRow],32),0))</f>
        <v/>
      </c>
      <c r="AG71">
        <f>SUMPRODUCT((M_BOM[RM_Code]=$A71)*M_BOM[RM_Qty_Per_Batch]*IFERROR(INDEX(PP_Grid[#Data],M_BOM[PPGridRow],33),0))</f>
        <v/>
      </c>
      <c r="AH71">
        <f>SUMPRODUCT((M_BOM[RM_Code]=$A71)*M_BOM[RM_Qty_Per_Batch]*IFERROR(INDEX(PP_Grid[#Data],M_BOM[PPGridRow],34),0))</f>
        <v/>
      </c>
      <c r="AI71">
        <f>SUMPRODUCT((M_BOM[RM_Code]=$A71)*M_BOM[RM_Qty_Per_Batch]*IFERROR(INDEX(PP_Grid[#Data],M_BOM[PPGridRow],35),0))</f>
        <v/>
      </c>
      <c r="AJ71">
        <f>SUMPRODUCT((M_BOM[RM_Code]=$A71)*M_BOM[RM_Qty_Per_Batch]*IFERROR(INDEX(PP_Grid[#Data],M_BOM[PPGridRow],36),0))</f>
        <v/>
      </c>
      <c r="AK71">
        <f>SUMPRODUCT((M_BOM[RM_Code]=$A71)*M_BOM[RM_Qty_Per_Batch]*IFERROR(INDEX(PP_Grid[#Data],M_BOM[PPGridRow],37),0))</f>
        <v/>
      </c>
      <c r="AL71">
        <f>SUMPRODUCT((M_BOM[RM_Code]=$A71)*M_BOM[RM_Qty_Per_Batch]*IFERROR(INDEX(PP_Grid[#Data],M_BOM[PPGridRow],38),0))</f>
        <v/>
      </c>
      <c r="AM71">
        <f>SUMPRODUCT((M_BOM[RM_Code]=$A71)*M_BOM[RM_Qty_Per_Batch]*IFERROR(INDEX(PP_Grid[#Data],M_BOM[PPGridRow],39),0))</f>
        <v/>
      </c>
      <c r="AN71">
        <f>SUMPRODUCT((M_BOM[RM_Code]=$A71)*M_BOM[RM_Qty_Per_Batch]*IFERROR(INDEX(PP_Grid[#Data],M_BOM[PPGridRow],40),0))</f>
        <v/>
      </c>
      <c r="AO71">
        <f>SUMPRODUCT((M_BOM[RM_Code]=$A71)*M_BOM[RM_Qty_Per_Batch]*IFERROR(INDEX(PP_Grid[#Data],M_BOM[PPGridRow],41),0))</f>
        <v/>
      </c>
      <c r="AP71">
        <f>SUMPRODUCT((M_BOM[RM_Code]=$A71)*M_BOM[RM_Qty_Per_Batch]*IFERROR(INDEX(PP_Grid[#Data],M_BOM[PPGridRow],42),0))</f>
        <v/>
      </c>
      <c r="AQ71">
        <f>SUMPRODUCT((M_BOM[RM_Code]=$A71)*M_BOM[RM_Qty_Per_Batch]*IFERROR(INDEX(PP_Grid[#Data],M_BOM[PPGridRow],43),0))</f>
        <v/>
      </c>
      <c r="AR71">
        <f>SUMPRODUCT((M_BOM[RM_Code]=$A71)*M_BOM[RM_Qty_Per_Batch]*IFERROR(INDEX(PP_Grid[#Data],M_BOM[PPGridRow],44),0))</f>
        <v/>
      </c>
      <c r="AS71">
        <f>SUMPRODUCT((M_BOM[RM_Code]=$A71)*M_BOM[RM_Qty_Per_Batch]*IFERROR(INDEX(PP_Grid[#Data],M_BOM[PPGridRow],45),0))</f>
        <v/>
      </c>
      <c r="AT71">
        <f>SUMPRODUCT((M_BOM[RM_Code]=$A71)*M_BOM[RM_Qty_Per_Batch]*IFERROR(INDEX(PP_Grid[#Data],M_BOM[PPGridRow],46),0))</f>
        <v/>
      </c>
      <c r="AU71">
        <f>SUMPRODUCT((M_BOM[RM_Code]=$A71)*M_BOM[RM_Qty_Per_Batch]*IFERROR(INDEX(PP_Grid[#Data],M_BOM[PPGridRow],47),0))</f>
        <v/>
      </c>
      <c r="AV71">
        <f>SUMPRODUCT((M_BOM[RM_Code]=$A71)*M_BOM[RM_Qty_Per_Batch]*IFERROR(INDEX(PP_Grid[#Data],M_BOM[PPGridRow],48),0))</f>
        <v/>
      </c>
      <c r="AW71">
        <f>SUMPRODUCT((M_BOM[RM_Code]=$A71)*M_BOM[RM_Qty_Per_Batch]*IFERROR(INDEX(PP_Grid[#Data],M_BOM[PPGridRow],49),0))</f>
        <v/>
      </c>
      <c r="AX71">
        <f>SUMPRODUCT((M_BOM[RM_Code]=$A71)*M_BOM[RM_Qty_Per_Batch]*IFERROR(INDEX(PP_Grid[#Data],M_BOM[PPGridRow],50),0))</f>
        <v/>
      </c>
      <c r="AY71">
        <f>SUMPRODUCT((M_BOM[RM_Code]=$A71)*M_BOM[RM_Qty_Per_Batch]*IFERROR(INDEX(PP_Grid[#Data],M_BOM[PPGridRow],51),0))</f>
        <v/>
      </c>
      <c r="AZ71">
        <f>SUMPRODUCT((M_BOM[RM_Code]=$A71)*M_BOM[RM_Qty_Per_Batch]*IFERROR(INDEX(PP_Grid[#Data],M_BOM[PPGridRow],52),0))</f>
        <v/>
      </c>
      <c r="BA71">
        <f>SUMPRODUCT((M_BOM[RM_Code]=$A71)*M_BOM[RM_Qty_Per_Batch]*IFERROR(INDEX(PP_Grid[#Data],M_BOM[PPGridRow],53),0))</f>
        <v/>
      </c>
      <c r="BB71">
        <f>SUMPRODUCT((M_BOM[RM_Code]=$A71)*M_BOM[RM_Qty_Per_Batch]*IFERROR(INDEX(PP_Grid[#Data],M_BOM[PPGridRow],54),0))</f>
        <v/>
      </c>
      <c r="BC71">
        <f>SUMPRODUCT((M_BOM[RM_Code]=$A71)*M_BOM[RM_Qty_Per_Batch]*IFERROR(INDEX(PP_Grid[#Data],M_BOM[PPGridRow],55),0))</f>
        <v/>
      </c>
      <c r="BD71">
        <f>SUMPRODUCT((M_BOM[RM_Code]=$A71)*M_BOM[RM_Qty_Per_Batch]*IFERROR(INDEX(PP_Grid[#Data],M_BOM[PPGridRow],56),0))</f>
        <v/>
      </c>
      <c r="BE71">
        <f>SUMPRODUCT((M_BOM[RM_Code]=$A71)*M_BOM[RM_Qty_Per_Batch]*IFERROR(INDEX(PP_Grid[#Data],M_BOM[PPGridRow],57),0))</f>
        <v/>
      </c>
      <c r="BF71">
        <f>SUMPRODUCT((M_BOM[RM_Code]=$A71)*M_BOM[RM_Qty_Per_Batch]*IFERROR(INDEX(PP_Grid[#Data],M_BOM[PPGridRow],58),0))</f>
        <v/>
      </c>
      <c r="BG71">
        <f>SUMPRODUCT((M_BOM[RM_Code]=$A71)*M_BOM[RM_Qty_Per_Batch]*IFERROR(INDEX(PP_Grid[#Data],M_BOM[PPGridRow],59),0))</f>
        <v/>
      </c>
      <c r="BH71">
        <f>SUMPRODUCT((M_BOM[RM_Code]=$A71)*M_BOM[RM_Qty_Per_Batch]*IFERROR(INDEX(PP_Grid[#Data],M_BOM[PPGridRow],60),0))</f>
        <v/>
      </c>
      <c r="BI71">
        <f>SUMPRODUCT((M_BOM[RM_Code]=$A71)*M_BOM[RM_Qty_Per_Batch]*IFERROR(INDEX(PP_Grid[#Data],M_BOM[PPGridRow],61),0))</f>
        <v/>
      </c>
      <c r="BJ71">
        <f>SUMPRODUCT((M_BOM[RM_Code]=$A71)*M_BOM[RM_Qty_Per_Batch]*IFERROR(INDEX(PP_Grid[#Data],M_BOM[PPGridRow],62),0))</f>
        <v/>
      </c>
      <c r="BK71">
        <f>SUMPRODUCT((M_BOM[RM_Code]=$A71)*M_BOM[RM_Qty_Per_Batch]*IFERROR(INDEX(PP_Grid[#Data],M_BOM[PPGridRow],63),0))</f>
        <v/>
      </c>
      <c r="BL71">
        <f>SUMPRODUCT((M_BOM[RM_Code]=$A71)*M_BOM[RM_Qty_Per_Batch]*IFERROR(INDEX(PP_Grid[#Data],M_BOM[PPGridRow],64),0))</f>
        <v/>
      </c>
      <c r="BM71">
        <f>SUMPRODUCT((M_BOM[RM_Code]=$A71)*M_BOM[RM_Qty_Per_Batch]*IFERROR(INDEX(PP_Grid[#Data],M_BOM[PPGridRow],65),0))</f>
        <v/>
      </c>
      <c r="BN71">
        <f>SUMPRODUCT((M_BOM[RM_Code]=$A71)*M_BOM[RM_Qty_Per_Batch]*IFERROR(INDEX(PP_Grid[#Data],M_BOM[PPGridRow],66),0))</f>
        <v/>
      </c>
      <c r="BO71">
        <f>SUMPRODUCT((M_BOM[RM_Code]=$A71)*M_BOM[RM_Qty_Per_Batch]*IFERROR(INDEX(PP_Grid[#Data],M_BOM[PPGridRow],67),0))</f>
        <v/>
      </c>
      <c r="BP71">
        <f>SUMPRODUCT((M_BOM[RM_Code]=$A71)*M_BOM[RM_Qty_Per_Batch]*IFERROR(INDEX(PP_Grid[#Data],M_BOM[PPGridRow],68),0))</f>
        <v/>
      </c>
      <c r="BQ71">
        <f>SUMPRODUCT((M_BOM[RM_Code]=$A71)*M_BOM[RM_Qty_Per_Batch]*IFERROR(INDEX(PP_Grid[#Data],M_BOM[PPGridRow],69),0))</f>
        <v/>
      </c>
      <c r="BR71">
        <f>SUMPRODUCT((M_BOM[RM_Code]=$A71)*M_BOM[RM_Qty_Per_Batch]*IFERROR(INDEX(PP_Grid[#Data],M_BOM[PPGridRow],70),0))</f>
        <v/>
      </c>
      <c r="BS71">
        <f>SUMPRODUCT((M_BOM[RM_Code]=$A71)*M_BOM[RM_Qty_Per_Batch]*IFERROR(INDEX(PP_Grid[#Data],M_BOM[PPGridRow],71),0))</f>
        <v/>
      </c>
      <c r="BT71">
        <f>SUMPRODUCT((M_BOM[RM_Code]=$A71)*M_BOM[RM_Qty_Per_Batch]*IFERROR(INDEX(PP_Grid[#Data],M_BOM[PPGridRow],72),0))</f>
        <v/>
      </c>
      <c r="BU71">
        <f>SUMPRODUCT((M_BOM[RM_Code]=$A71)*M_BOM[RM_Qty_Per_Batch]*IFERROR(INDEX(PP_Grid[#Data],M_BOM[PPGridRow],73),0))</f>
        <v/>
      </c>
      <c r="BV71">
        <f>SUMPRODUCT((M_BOM[RM_Code]=$A71)*M_BOM[RM_Qty_Per_Batch]*IFERROR(INDEX(PP_Grid[#Data],M_BOM[PPGridRow],74),0))</f>
        <v/>
      </c>
      <c r="BW71">
        <f>SUMPRODUCT((M_BOM[RM_Code]=$A71)*M_BOM[RM_Qty_Per_Batch]*IFERROR(INDEX(PP_Grid[#Data],M_BOM[PPGridRow],75),0))</f>
        <v/>
      </c>
      <c r="BX71">
        <f>SUMPRODUCT((M_BOM[RM_Code]=$A71)*M_BOM[RM_Qty_Per_Batch]*IFERROR(INDEX(PP_Grid[#Data],M_BOM[PPGridRow],76),0))</f>
        <v/>
      </c>
      <c r="BY71">
        <f>SUMPRODUCT((M_BOM[RM_Code]=$A71)*M_BOM[RM_Qty_Per_Batch]*IFERROR(INDEX(PP_Grid[#Data],M_BOM[PPGridRow],77),0))</f>
        <v/>
      </c>
      <c r="BZ71">
        <f>SUMPRODUCT((M_BOM[RM_Code]=$A71)*M_BOM[RM_Qty_Per_Batch]*IFERROR(INDEX(PP_Grid[#Data],M_BOM[PPGridRow],78),0))</f>
        <v/>
      </c>
      <c r="CA71">
        <f>SUMPRODUCT((M_BOM[RM_Code]=$A71)*M_BOM[RM_Qty_Per_Batch]*IFERROR(INDEX(PP_Grid[#Data],M_BOM[PPGridRow],79),0))</f>
        <v/>
      </c>
      <c r="CB71">
        <f>SUMPRODUCT((M_BOM[RM_Code]=$A71)*M_BOM[RM_Qty_Per_Batch]*IFERROR(INDEX(PP_Grid[#Data],M_BOM[PPGridRow],80),0))</f>
        <v/>
      </c>
      <c r="CC71">
        <f>SUMPRODUCT((M_BOM[RM_Code]=$A71)*M_BOM[RM_Qty_Per_Batch]*IFERROR(INDEX(PP_Grid[#Data],M_BOM[PPGridRow],81),0))</f>
        <v/>
      </c>
      <c r="CD71">
        <f>SUMPRODUCT((M_BOM[RM_Code]=$A71)*M_BOM[RM_Qty_Per_Batch]*IFERROR(INDEX(PP_Grid[#Data],M_BOM[PPGridRow],82),0))</f>
        <v/>
      </c>
      <c r="CE71">
        <f>SUMPRODUCT((M_BOM[RM_Code]=$A71)*M_BOM[RM_Qty_Per_Batch]*IFERROR(INDEX(PP_Grid[#Data],M_BOM[PPGridRow],83),0))</f>
        <v/>
      </c>
      <c r="CF71">
        <f>SUMPRODUCT((M_BOM[RM_Code]=$A71)*M_BOM[RM_Qty_Per_Batch]*IFERROR(INDEX(PP_Grid[#Data],M_BOM[PPGridRow],84),0))</f>
        <v/>
      </c>
      <c r="CG71">
        <f>SUMPRODUCT((M_BOM[RM_Code]=$A71)*M_BOM[RM_Qty_Per_Batch]*IFERROR(INDEX(PP_Grid[#Data],M_BOM[PPGridRow],85),0))</f>
        <v/>
      </c>
      <c r="CH71">
        <f>SUMPRODUCT((M_BOM[RM_Code]=$A71)*M_BOM[RM_Qty_Per_Batch]*IFERROR(INDEX(PP_Grid[#Data],M_BOM[PPGridRow],86),0))</f>
        <v/>
      </c>
      <c r="CI71">
        <f>SUMPRODUCT((M_BOM[RM_Code]=$A71)*M_BOM[RM_Qty_Per_Batch]*IFERROR(INDEX(PP_Grid[#Data],M_BOM[PPGridRow],87),0))</f>
        <v/>
      </c>
      <c r="CJ71">
        <f>SUMPRODUCT((M_BOM[RM_Code]=$A71)*M_BOM[RM_Qty_Per_Batch]*IFERROR(INDEX(PP_Grid[#Data],M_BOM[PPGridRow],88),0))</f>
        <v/>
      </c>
      <c r="CK71">
        <f>SUMPRODUCT((M_BOM[RM_Code]=$A71)*M_BOM[RM_Qty_Per_Batch]*IFERROR(INDEX(PP_Grid[#Data],M_BOM[PPGridRow],89),0))</f>
        <v/>
      </c>
      <c r="CL71">
        <f>SUMPRODUCT((M_BOM[RM_Code]=$A71)*M_BOM[RM_Qty_Per_Batch]*IFERROR(INDEX(PP_Grid[#Data],M_BOM[PPGridRow],90),0))</f>
        <v/>
      </c>
      <c r="CM71">
        <f>SUMPRODUCT((M_BOM[RM_Code]=$A71)*M_BOM[RM_Qty_Per_Batch]*IFERROR(INDEX(PP_Grid[#Data],M_BOM[PPGridRow],91),0))</f>
        <v/>
      </c>
      <c r="CN71">
        <f>SUMPRODUCT((M_BOM[RM_Code]=$A71)*M_BOM[RM_Qty_Per_Batch]*IFERROR(INDEX(PP_Grid[#Data],M_BOM[PPGridRow],92),0))</f>
        <v/>
      </c>
      <c r="CO71">
        <f>SUMPRODUCT((M_BOM[RM_Code]=$A71)*M_BOM[RM_Qty_Per_Batch]*IFERROR(INDEX(PP_Grid[#Data],M_BOM[PPGridRow],93),0))</f>
        <v/>
      </c>
      <c r="CP71">
        <f>SUMPRODUCT((M_BOM[RM_Code]=$A71)*M_BOM[RM_Qty_Per_Batch]*IFERROR(INDEX(PP_Grid[#Data],M_BOM[PPGridRow],94),0))</f>
        <v/>
      </c>
      <c r="CQ71">
        <f>SUMPRODUCT((M_BOM[RM_Code]=$A71)*M_BOM[RM_Qty_Per_Batch]*IFERROR(INDEX(PP_Grid[#Data],M_BOM[PPGridRow],95),0))</f>
        <v/>
      </c>
      <c r="CR71">
        <f>SUMPRODUCT((M_BOM[RM_Code]=$A71)*M_BOM[RM_Qty_Per_Batch]*IFERROR(INDEX(PP_Grid[#Data],M_BOM[PPGridRow],96),0))</f>
        <v/>
      </c>
      <c r="CS71">
        <f>SUMPRODUCT((M_BOM[RM_Code]=$A71)*M_BOM[RM_Qty_Per_Batch]*IFERROR(INDEX(PP_Grid[#Data],M_BOM[PPGridRow],97),0))</f>
        <v/>
      </c>
      <c r="CT71">
        <f>SUMPRODUCT((M_BOM[RM_Code]=$A71)*M_BOM[RM_Qty_Per_Batch]*IFERROR(INDEX(PP_Grid[#Data],M_BOM[PPGridRow],98),0))</f>
        <v/>
      </c>
      <c r="CU71">
        <f>SUMPRODUCT((M_BOM[RM_Code]=$A71)*M_BOM[RM_Qty_Per_Batch]*IFERROR(INDEX(PP_Grid[#Data],M_BOM[PPGridRow],99),0))</f>
        <v/>
      </c>
      <c r="CV71">
        <f>SUMPRODUCT((M_BOM[RM_Code]=$A71)*M_BOM[RM_Qty_Per_Batch]*IFERROR(INDEX(PP_Grid[#Data],M_BOM[PPGridRow],100),0))</f>
        <v/>
      </c>
      <c r="CW71">
        <f>SUMPRODUCT((M_BOM[RM_Code]=$A71)*M_BOM[RM_Qty_Per_Batch]*IFERROR(INDEX(PP_Grid[#Data],M_BOM[PPGridRow],101),0))</f>
        <v/>
      </c>
      <c r="CX71">
        <f>SUMPRODUCT((M_BOM[RM_Code]=$A71)*M_BOM[RM_Qty_Per_Batch]*IFERROR(INDEX(PP_Grid[#Data],M_BOM[PPGridRow],102),0))</f>
        <v/>
      </c>
      <c r="CY71">
        <f>SUMPRODUCT((M_BOM[RM_Code]=$A71)*M_BOM[RM_Qty_Per_Batch]*IFERROR(INDEX(PP_Grid[#Data],M_BOM[PPGridRow],103),0))</f>
        <v/>
      </c>
      <c r="CZ71">
        <f>SUMPRODUCT((M_BOM[RM_Code]=$A71)*M_BOM[RM_Qty_Per_Batch]*IFERROR(INDEX(PP_Grid[#Data],M_BOM[PPGridRow],104),0))</f>
        <v/>
      </c>
      <c r="DA71">
        <f>SUMPRODUCT((M_BOM[RM_Code]=$A71)*M_BOM[RM_Qty_Per_Batch]*IFERROR(INDEX(PP_Grid[#Data],M_BOM[PPGridRow],105),0))</f>
        <v/>
      </c>
    </row>
    <row r="72">
      <c r="A72" t="inlineStr">
        <is>
          <t>848531</t>
        </is>
      </c>
      <c r="B72">
        <f>SUMPRODUCT((M_BOM[RM_Code]=$A72)*M_BOM[RM_Qty_Per_Batch]*IFERROR(INDEX(PP_Grid[#Data],M_BOM[PPGridRow],2),0))</f>
        <v/>
      </c>
      <c r="C72">
        <f>SUMPRODUCT((M_BOM[RM_Code]=$A72)*M_BOM[RM_Qty_Per_Batch]*IFERROR(INDEX(PP_Grid[#Data],M_BOM[PPGridRow],3),0))</f>
        <v/>
      </c>
      <c r="D72">
        <f>SUMPRODUCT((M_BOM[RM_Code]=$A72)*M_BOM[RM_Qty_Per_Batch]*IFERROR(INDEX(PP_Grid[#Data],M_BOM[PPGridRow],4),0))</f>
        <v/>
      </c>
      <c r="E72">
        <f>SUMPRODUCT((M_BOM[RM_Code]=$A72)*M_BOM[RM_Qty_Per_Batch]*IFERROR(INDEX(PP_Grid[#Data],M_BOM[PPGridRow],5),0))</f>
        <v/>
      </c>
      <c r="F72">
        <f>SUMPRODUCT((M_BOM[RM_Code]=$A72)*M_BOM[RM_Qty_Per_Batch]*IFERROR(INDEX(PP_Grid[#Data],M_BOM[PPGridRow],6),0))</f>
        <v/>
      </c>
      <c r="G72">
        <f>SUMPRODUCT((M_BOM[RM_Code]=$A72)*M_BOM[RM_Qty_Per_Batch]*IFERROR(INDEX(PP_Grid[#Data],M_BOM[PPGridRow],7),0))</f>
        <v/>
      </c>
      <c r="H72">
        <f>SUMPRODUCT((M_BOM[RM_Code]=$A72)*M_BOM[RM_Qty_Per_Batch]*IFERROR(INDEX(PP_Grid[#Data],M_BOM[PPGridRow],8),0))</f>
        <v/>
      </c>
      <c r="I72">
        <f>SUMPRODUCT((M_BOM[RM_Code]=$A72)*M_BOM[RM_Qty_Per_Batch]*IFERROR(INDEX(PP_Grid[#Data],M_BOM[PPGridRow],9),0))</f>
        <v/>
      </c>
      <c r="J72">
        <f>SUMPRODUCT((M_BOM[RM_Code]=$A72)*M_BOM[RM_Qty_Per_Batch]*IFERROR(INDEX(PP_Grid[#Data],M_BOM[PPGridRow],10),0))</f>
        <v/>
      </c>
      <c r="K72">
        <f>SUMPRODUCT((M_BOM[RM_Code]=$A72)*M_BOM[RM_Qty_Per_Batch]*IFERROR(INDEX(PP_Grid[#Data],M_BOM[PPGridRow],11),0))</f>
        <v/>
      </c>
      <c r="L72">
        <f>SUMPRODUCT((M_BOM[RM_Code]=$A72)*M_BOM[RM_Qty_Per_Batch]*IFERROR(INDEX(PP_Grid[#Data],M_BOM[PPGridRow],12),0))</f>
        <v/>
      </c>
      <c r="M72">
        <f>SUMPRODUCT((M_BOM[RM_Code]=$A72)*M_BOM[RM_Qty_Per_Batch]*IFERROR(INDEX(PP_Grid[#Data],M_BOM[PPGridRow],13),0))</f>
        <v/>
      </c>
      <c r="N72">
        <f>SUMPRODUCT((M_BOM[RM_Code]=$A72)*M_BOM[RM_Qty_Per_Batch]*IFERROR(INDEX(PP_Grid[#Data],M_BOM[PPGridRow],14),0))</f>
        <v/>
      </c>
      <c r="O72">
        <f>SUMPRODUCT((M_BOM[RM_Code]=$A72)*M_BOM[RM_Qty_Per_Batch]*IFERROR(INDEX(PP_Grid[#Data],M_BOM[PPGridRow],15),0))</f>
        <v/>
      </c>
      <c r="P72">
        <f>SUMPRODUCT((M_BOM[RM_Code]=$A72)*M_BOM[RM_Qty_Per_Batch]*IFERROR(INDEX(PP_Grid[#Data],M_BOM[PPGridRow],16),0))</f>
        <v/>
      </c>
      <c r="Q72">
        <f>SUMPRODUCT((M_BOM[RM_Code]=$A72)*M_BOM[RM_Qty_Per_Batch]*IFERROR(INDEX(PP_Grid[#Data],M_BOM[PPGridRow],17),0))</f>
        <v/>
      </c>
      <c r="R72">
        <f>SUMPRODUCT((M_BOM[RM_Code]=$A72)*M_BOM[RM_Qty_Per_Batch]*IFERROR(INDEX(PP_Grid[#Data],M_BOM[PPGridRow],18),0))</f>
        <v/>
      </c>
      <c r="S72">
        <f>SUMPRODUCT((M_BOM[RM_Code]=$A72)*M_BOM[RM_Qty_Per_Batch]*IFERROR(INDEX(PP_Grid[#Data],M_BOM[PPGridRow],19),0))</f>
        <v/>
      </c>
      <c r="T72">
        <f>SUMPRODUCT((M_BOM[RM_Code]=$A72)*M_BOM[RM_Qty_Per_Batch]*IFERROR(INDEX(PP_Grid[#Data],M_BOM[PPGridRow],20),0))</f>
        <v/>
      </c>
      <c r="U72">
        <f>SUMPRODUCT((M_BOM[RM_Code]=$A72)*M_BOM[RM_Qty_Per_Batch]*IFERROR(INDEX(PP_Grid[#Data],M_BOM[PPGridRow],21),0))</f>
        <v/>
      </c>
      <c r="V72">
        <f>SUMPRODUCT((M_BOM[RM_Code]=$A72)*M_BOM[RM_Qty_Per_Batch]*IFERROR(INDEX(PP_Grid[#Data],M_BOM[PPGridRow],22),0))</f>
        <v/>
      </c>
      <c r="W72">
        <f>SUMPRODUCT((M_BOM[RM_Code]=$A72)*M_BOM[RM_Qty_Per_Batch]*IFERROR(INDEX(PP_Grid[#Data],M_BOM[PPGridRow],23),0))</f>
        <v/>
      </c>
      <c r="X72">
        <f>SUMPRODUCT((M_BOM[RM_Code]=$A72)*M_BOM[RM_Qty_Per_Batch]*IFERROR(INDEX(PP_Grid[#Data],M_BOM[PPGridRow],24),0))</f>
        <v/>
      </c>
      <c r="Y72">
        <f>SUMPRODUCT((M_BOM[RM_Code]=$A72)*M_BOM[RM_Qty_Per_Batch]*IFERROR(INDEX(PP_Grid[#Data],M_BOM[PPGridRow],25),0))</f>
        <v/>
      </c>
      <c r="Z72">
        <f>SUMPRODUCT((M_BOM[RM_Code]=$A72)*M_BOM[RM_Qty_Per_Batch]*IFERROR(INDEX(PP_Grid[#Data],M_BOM[PPGridRow],26),0))</f>
        <v/>
      </c>
      <c r="AA72">
        <f>SUMPRODUCT((M_BOM[RM_Code]=$A72)*M_BOM[RM_Qty_Per_Batch]*IFERROR(INDEX(PP_Grid[#Data],M_BOM[PPGridRow],27),0))</f>
        <v/>
      </c>
      <c r="AB72">
        <f>SUMPRODUCT((M_BOM[RM_Code]=$A72)*M_BOM[RM_Qty_Per_Batch]*IFERROR(INDEX(PP_Grid[#Data],M_BOM[PPGridRow],28),0))</f>
        <v/>
      </c>
      <c r="AC72">
        <f>SUMPRODUCT((M_BOM[RM_Code]=$A72)*M_BOM[RM_Qty_Per_Batch]*IFERROR(INDEX(PP_Grid[#Data],M_BOM[PPGridRow],29),0))</f>
        <v/>
      </c>
      <c r="AD72">
        <f>SUMPRODUCT((M_BOM[RM_Code]=$A72)*M_BOM[RM_Qty_Per_Batch]*IFERROR(INDEX(PP_Grid[#Data],M_BOM[PPGridRow],30),0))</f>
        <v/>
      </c>
      <c r="AE72">
        <f>SUMPRODUCT((M_BOM[RM_Code]=$A72)*M_BOM[RM_Qty_Per_Batch]*IFERROR(INDEX(PP_Grid[#Data],M_BOM[PPGridRow],31),0))</f>
        <v/>
      </c>
      <c r="AF72">
        <f>SUMPRODUCT((M_BOM[RM_Code]=$A72)*M_BOM[RM_Qty_Per_Batch]*IFERROR(INDEX(PP_Grid[#Data],M_BOM[PPGridRow],32),0))</f>
        <v/>
      </c>
      <c r="AG72">
        <f>SUMPRODUCT((M_BOM[RM_Code]=$A72)*M_BOM[RM_Qty_Per_Batch]*IFERROR(INDEX(PP_Grid[#Data],M_BOM[PPGridRow],33),0))</f>
        <v/>
      </c>
      <c r="AH72">
        <f>SUMPRODUCT((M_BOM[RM_Code]=$A72)*M_BOM[RM_Qty_Per_Batch]*IFERROR(INDEX(PP_Grid[#Data],M_BOM[PPGridRow],34),0))</f>
        <v/>
      </c>
      <c r="AI72">
        <f>SUMPRODUCT((M_BOM[RM_Code]=$A72)*M_BOM[RM_Qty_Per_Batch]*IFERROR(INDEX(PP_Grid[#Data],M_BOM[PPGridRow],35),0))</f>
        <v/>
      </c>
      <c r="AJ72">
        <f>SUMPRODUCT((M_BOM[RM_Code]=$A72)*M_BOM[RM_Qty_Per_Batch]*IFERROR(INDEX(PP_Grid[#Data],M_BOM[PPGridRow],36),0))</f>
        <v/>
      </c>
      <c r="AK72">
        <f>SUMPRODUCT((M_BOM[RM_Code]=$A72)*M_BOM[RM_Qty_Per_Batch]*IFERROR(INDEX(PP_Grid[#Data],M_BOM[PPGridRow],37),0))</f>
        <v/>
      </c>
      <c r="AL72">
        <f>SUMPRODUCT((M_BOM[RM_Code]=$A72)*M_BOM[RM_Qty_Per_Batch]*IFERROR(INDEX(PP_Grid[#Data],M_BOM[PPGridRow],38),0))</f>
        <v/>
      </c>
      <c r="AM72">
        <f>SUMPRODUCT((M_BOM[RM_Code]=$A72)*M_BOM[RM_Qty_Per_Batch]*IFERROR(INDEX(PP_Grid[#Data],M_BOM[PPGridRow],39),0))</f>
        <v/>
      </c>
      <c r="AN72">
        <f>SUMPRODUCT((M_BOM[RM_Code]=$A72)*M_BOM[RM_Qty_Per_Batch]*IFERROR(INDEX(PP_Grid[#Data],M_BOM[PPGridRow],40),0))</f>
        <v/>
      </c>
      <c r="AO72">
        <f>SUMPRODUCT((M_BOM[RM_Code]=$A72)*M_BOM[RM_Qty_Per_Batch]*IFERROR(INDEX(PP_Grid[#Data],M_BOM[PPGridRow],41),0))</f>
        <v/>
      </c>
      <c r="AP72">
        <f>SUMPRODUCT((M_BOM[RM_Code]=$A72)*M_BOM[RM_Qty_Per_Batch]*IFERROR(INDEX(PP_Grid[#Data],M_BOM[PPGridRow],42),0))</f>
        <v/>
      </c>
      <c r="AQ72">
        <f>SUMPRODUCT((M_BOM[RM_Code]=$A72)*M_BOM[RM_Qty_Per_Batch]*IFERROR(INDEX(PP_Grid[#Data],M_BOM[PPGridRow],43),0))</f>
        <v/>
      </c>
      <c r="AR72">
        <f>SUMPRODUCT((M_BOM[RM_Code]=$A72)*M_BOM[RM_Qty_Per_Batch]*IFERROR(INDEX(PP_Grid[#Data],M_BOM[PPGridRow],44),0))</f>
        <v/>
      </c>
      <c r="AS72">
        <f>SUMPRODUCT((M_BOM[RM_Code]=$A72)*M_BOM[RM_Qty_Per_Batch]*IFERROR(INDEX(PP_Grid[#Data],M_BOM[PPGridRow],45),0))</f>
        <v/>
      </c>
      <c r="AT72">
        <f>SUMPRODUCT((M_BOM[RM_Code]=$A72)*M_BOM[RM_Qty_Per_Batch]*IFERROR(INDEX(PP_Grid[#Data],M_BOM[PPGridRow],46),0))</f>
        <v/>
      </c>
      <c r="AU72">
        <f>SUMPRODUCT((M_BOM[RM_Code]=$A72)*M_BOM[RM_Qty_Per_Batch]*IFERROR(INDEX(PP_Grid[#Data],M_BOM[PPGridRow],47),0))</f>
        <v/>
      </c>
      <c r="AV72">
        <f>SUMPRODUCT((M_BOM[RM_Code]=$A72)*M_BOM[RM_Qty_Per_Batch]*IFERROR(INDEX(PP_Grid[#Data],M_BOM[PPGridRow],48),0))</f>
        <v/>
      </c>
      <c r="AW72">
        <f>SUMPRODUCT((M_BOM[RM_Code]=$A72)*M_BOM[RM_Qty_Per_Batch]*IFERROR(INDEX(PP_Grid[#Data],M_BOM[PPGridRow],49),0))</f>
        <v/>
      </c>
      <c r="AX72">
        <f>SUMPRODUCT((M_BOM[RM_Code]=$A72)*M_BOM[RM_Qty_Per_Batch]*IFERROR(INDEX(PP_Grid[#Data],M_BOM[PPGridRow],50),0))</f>
        <v/>
      </c>
      <c r="AY72">
        <f>SUMPRODUCT((M_BOM[RM_Code]=$A72)*M_BOM[RM_Qty_Per_Batch]*IFERROR(INDEX(PP_Grid[#Data],M_BOM[PPGridRow],51),0))</f>
        <v/>
      </c>
      <c r="AZ72">
        <f>SUMPRODUCT((M_BOM[RM_Code]=$A72)*M_BOM[RM_Qty_Per_Batch]*IFERROR(INDEX(PP_Grid[#Data],M_BOM[PPGridRow],52),0))</f>
        <v/>
      </c>
      <c r="BA72">
        <f>SUMPRODUCT((M_BOM[RM_Code]=$A72)*M_BOM[RM_Qty_Per_Batch]*IFERROR(INDEX(PP_Grid[#Data],M_BOM[PPGridRow],53),0))</f>
        <v/>
      </c>
      <c r="BB72">
        <f>SUMPRODUCT((M_BOM[RM_Code]=$A72)*M_BOM[RM_Qty_Per_Batch]*IFERROR(INDEX(PP_Grid[#Data],M_BOM[PPGridRow],54),0))</f>
        <v/>
      </c>
      <c r="BC72">
        <f>SUMPRODUCT((M_BOM[RM_Code]=$A72)*M_BOM[RM_Qty_Per_Batch]*IFERROR(INDEX(PP_Grid[#Data],M_BOM[PPGridRow],55),0))</f>
        <v/>
      </c>
      <c r="BD72">
        <f>SUMPRODUCT((M_BOM[RM_Code]=$A72)*M_BOM[RM_Qty_Per_Batch]*IFERROR(INDEX(PP_Grid[#Data],M_BOM[PPGridRow],56),0))</f>
        <v/>
      </c>
      <c r="BE72">
        <f>SUMPRODUCT((M_BOM[RM_Code]=$A72)*M_BOM[RM_Qty_Per_Batch]*IFERROR(INDEX(PP_Grid[#Data],M_BOM[PPGridRow],57),0))</f>
        <v/>
      </c>
      <c r="BF72">
        <f>SUMPRODUCT((M_BOM[RM_Code]=$A72)*M_BOM[RM_Qty_Per_Batch]*IFERROR(INDEX(PP_Grid[#Data],M_BOM[PPGridRow],58),0))</f>
        <v/>
      </c>
      <c r="BG72">
        <f>SUMPRODUCT((M_BOM[RM_Code]=$A72)*M_BOM[RM_Qty_Per_Batch]*IFERROR(INDEX(PP_Grid[#Data],M_BOM[PPGridRow],59),0))</f>
        <v/>
      </c>
      <c r="BH72">
        <f>SUMPRODUCT((M_BOM[RM_Code]=$A72)*M_BOM[RM_Qty_Per_Batch]*IFERROR(INDEX(PP_Grid[#Data],M_BOM[PPGridRow],60),0))</f>
        <v/>
      </c>
      <c r="BI72">
        <f>SUMPRODUCT((M_BOM[RM_Code]=$A72)*M_BOM[RM_Qty_Per_Batch]*IFERROR(INDEX(PP_Grid[#Data],M_BOM[PPGridRow],61),0))</f>
        <v/>
      </c>
      <c r="BJ72">
        <f>SUMPRODUCT((M_BOM[RM_Code]=$A72)*M_BOM[RM_Qty_Per_Batch]*IFERROR(INDEX(PP_Grid[#Data],M_BOM[PPGridRow],62),0))</f>
        <v/>
      </c>
      <c r="BK72">
        <f>SUMPRODUCT((M_BOM[RM_Code]=$A72)*M_BOM[RM_Qty_Per_Batch]*IFERROR(INDEX(PP_Grid[#Data],M_BOM[PPGridRow],63),0))</f>
        <v/>
      </c>
      <c r="BL72">
        <f>SUMPRODUCT((M_BOM[RM_Code]=$A72)*M_BOM[RM_Qty_Per_Batch]*IFERROR(INDEX(PP_Grid[#Data],M_BOM[PPGridRow],64),0))</f>
        <v/>
      </c>
      <c r="BM72">
        <f>SUMPRODUCT((M_BOM[RM_Code]=$A72)*M_BOM[RM_Qty_Per_Batch]*IFERROR(INDEX(PP_Grid[#Data],M_BOM[PPGridRow],65),0))</f>
        <v/>
      </c>
      <c r="BN72">
        <f>SUMPRODUCT((M_BOM[RM_Code]=$A72)*M_BOM[RM_Qty_Per_Batch]*IFERROR(INDEX(PP_Grid[#Data],M_BOM[PPGridRow],66),0))</f>
        <v/>
      </c>
      <c r="BO72">
        <f>SUMPRODUCT((M_BOM[RM_Code]=$A72)*M_BOM[RM_Qty_Per_Batch]*IFERROR(INDEX(PP_Grid[#Data],M_BOM[PPGridRow],67),0))</f>
        <v/>
      </c>
      <c r="BP72">
        <f>SUMPRODUCT((M_BOM[RM_Code]=$A72)*M_BOM[RM_Qty_Per_Batch]*IFERROR(INDEX(PP_Grid[#Data],M_BOM[PPGridRow],68),0))</f>
        <v/>
      </c>
      <c r="BQ72">
        <f>SUMPRODUCT((M_BOM[RM_Code]=$A72)*M_BOM[RM_Qty_Per_Batch]*IFERROR(INDEX(PP_Grid[#Data],M_BOM[PPGridRow],69),0))</f>
        <v/>
      </c>
      <c r="BR72">
        <f>SUMPRODUCT((M_BOM[RM_Code]=$A72)*M_BOM[RM_Qty_Per_Batch]*IFERROR(INDEX(PP_Grid[#Data],M_BOM[PPGridRow],70),0))</f>
        <v/>
      </c>
      <c r="BS72">
        <f>SUMPRODUCT((M_BOM[RM_Code]=$A72)*M_BOM[RM_Qty_Per_Batch]*IFERROR(INDEX(PP_Grid[#Data],M_BOM[PPGridRow],71),0))</f>
        <v/>
      </c>
      <c r="BT72">
        <f>SUMPRODUCT((M_BOM[RM_Code]=$A72)*M_BOM[RM_Qty_Per_Batch]*IFERROR(INDEX(PP_Grid[#Data],M_BOM[PPGridRow],72),0))</f>
        <v/>
      </c>
      <c r="BU72">
        <f>SUMPRODUCT((M_BOM[RM_Code]=$A72)*M_BOM[RM_Qty_Per_Batch]*IFERROR(INDEX(PP_Grid[#Data],M_BOM[PPGridRow],73),0))</f>
        <v/>
      </c>
      <c r="BV72">
        <f>SUMPRODUCT((M_BOM[RM_Code]=$A72)*M_BOM[RM_Qty_Per_Batch]*IFERROR(INDEX(PP_Grid[#Data],M_BOM[PPGridRow],74),0))</f>
        <v/>
      </c>
      <c r="BW72">
        <f>SUMPRODUCT((M_BOM[RM_Code]=$A72)*M_BOM[RM_Qty_Per_Batch]*IFERROR(INDEX(PP_Grid[#Data],M_BOM[PPGridRow],75),0))</f>
        <v/>
      </c>
      <c r="BX72">
        <f>SUMPRODUCT((M_BOM[RM_Code]=$A72)*M_BOM[RM_Qty_Per_Batch]*IFERROR(INDEX(PP_Grid[#Data],M_BOM[PPGridRow],76),0))</f>
        <v/>
      </c>
      <c r="BY72">
        <f>SUMPRODUCT((M_BOM[RM_Code]=$A72)*M_BOM[RM_Qty_Per_Batch]*IFERROR(INDEX(PP_Grid[#Data],M_BOM[PPGridRow],77),0))</f>
        <v/>
      </c>
      <c r="BZ72">
        <f>SUMPRODUCT((M_BOM[RM_Code]=$A72)*M_BOM[RM_Qty_Per_Batch]*IFERROR(INDEX(PP_Grid[#Data],M_BOM[PPGridRow],78),0))</f>
        <v/>
      </c>
      <c r="CA72">
        <f>SUMPRODUCT((M_BOM[RM_Code]=$A72)*M_BOM[RM_Qty_Per_Batch]*IFERROR(INDEX(PP_Grid[#Data],M_BOM[PPGridRow],79),0))</f>
        <v/>
      </c>
      <c r="CB72">
        <f>SUMPRODUCT((M_BOM[RM_Code]=$A72)*M_BOM[RM_Qty_Per_Batch]*IFERROR(INDEX(PP_Grid[#Data],M_BOM[PPGridRow],80),0))</f>
        <v/>
      </c>
      <c r="CC72">
        <f>SUMPRODUCT((M_BOM[RM_Code]=$A72)*M_BOM[RM_Qty_Per_Batch]*IFERROR(INDEX(PP_Grid[#Data],M_BOM[PPGridRow],81),0))</f>
        <v/>
      </c>
      <c r="CD72">
        <f>SUMPRODUCT((M_BOM[RM_Code]=$A72)*M_BOM[RM_Qty_Per_Batch]*IFERROR(INDEX(PP_Grid[#Data],M_BOM[PPGridRow],82),0))</f>
        <v/>
      </c>
      <c r="CE72">
        <f>SUMPRODUCT((M_BOM[RM_Code]=$A72)*M_BOM[RM_Qty_Per_Batch]*IFERROR(INDEX(PP_Grid[#Data],M_BOM[PPGridRow],83),0))</f>
        <v/>
      </c>
      <c r="CF72">
        <f>SUMPRODUCT((M_BOM[RM_Code]=$A72)*M_BOM[RM_Qty_Per_Batch]*IFERROR(INDEX(PP_Grid[#Data],M_BOM[PPGridRow],84),0))</f>
        <v/>
      </c>
      <c r="CG72">
        <f>SUMPRODUCT((M_BOM[RM_Code]=$A72)*M_BOM[RM_Qty_Per_Batch]*IFERROR(INDEX(PP_Grid[#Data],M_BOM[PPGridRow],85),0))</f>
        <v/>
      </c>
      <c r="CH72">
        <f>SUMPRODUCT((M_BOM[RM_Code]=$A72)*M_BOM[RM_Qty_Per_Batch]*IFERROR(INDEX(PP_Grid[#Data],M_BOM[PPGridRow],86),0))</f>
        <v/>
      </c>
      <c r="CI72">
        <f>SUMPRODUCT((M_BOM[RM_Code]=$A72)*M_BOM[RM_Qty_Per_Batch]*IFERROR(INDEX(PP_Grid[#Data],M_BOM[PPGridRow],87),0))</f>
        <v/>
      </c>
      <c r="CJ72">
        <f>SUMPRODUCT((M_BOM[RM_Code]=$A72)*M_BOM[RM_Qty_Per_Batch]*IFERROR(INDEX(PP_Grid[#Data],M_BOM[PPGridRow],88),0))</f>
        <v/>
      </c>
      <c r="CK72">
        <f>SUMPRODUCT((M_BOM[RM_Code]=$A72)*M_BOM[RM_Qty_Per_Batch]*IFERROR(INDEX(PP_Grid[#Data],M_BOM[PPGridRow],89),0))</f>
        <v/>
      </c>
      <c r="CL72">
        <f>SUMPRODUCT((M_BOM[RM_Code]=$A72)*M_BOM[RM_Qty_Per_Batch]*IFERROR(INDEX(PP_Grid[#Data],M_BOM[PPGridRow],90),0))</f>
        <v/>
      </c>
      <c r="CM72">
        <f>SUMPRODUCT((M_BOM[RM_Code]=$A72)*M_BOM[RM_Qty_Per_Batch]*IFERROR(INDEX(PP_Grid[#Data],M_BOM[PPGridRow],91),0))</f>
        <v/>
      </c>
      <c r="CN72">
        <f>SUMPRODUCT((M_BOM[RM_Code]=$A72)*M_BOM[RM_Qty_Per_Batch]*IFERROR(INDEX(PP_Grid[#Data],M_BOM[PPGridRow],92),0))</f>
        <v/>
      </c>
      <c r="CO72">
        <f>SUMPRODUCT((M_BOM[RM_Code]=$A72)*M_BOM[RM_Qty_Per_Batch]*IFERROR(INDEX(PP_Grid[#Data],M_BOM[PPGridRow],93),0))</f>
        <v/>
      </c>
      <c r="CP72">
        <f>SUMPRODUCT((M_BOM[RM_Code]=$A72)*M_BOM[RM_Qty_Per_Batch]*IFERROR(INDEX(PP_Grid[#Data],M_BOM[PPGridRow],94),0))</f>
        <v/>
      </c>
      <c r="CQ72">
        <f>SUMPRODUCT((M_BOM[RM_Code]=$A72)*M_BOM[RM_Qty_Per_Batch]*IFERROR(INDEX(PP_Grid[#Data],M_BOM[PPGridRow],95),0))</f>
        <v/>
      </c>
      <c r="CR72">
        <f>SUMPRODUCT((M_BOM[RM_Code]=$A72)*M_BOM[RM_Qty_Per_Batch]*IFERROR(INDEX(PP_Grid[#Data],M_BOM[PPGridRow],96),0))</f>
        <v/>
      </c>
      <c r="CS72">
        <f>SUMPRODUCT((M_BOM[RM_Code]=$A72)*M_BOM[RM_Qty_Per_Batch]*IFERROR(INDEX(PP_Grid[#Data],M_BOM[PPGridRow],97),0))</f>
        <v/>
      </c>
      <c r="CT72">
        <f>SUMPRODUCT((M_BOM[RM_Code]=$A72)*M_BOM[RM_Qty_Per_Batch]*IFERROR(INDEX(PP_Grid[#Data],M_BOM[PPGridRow],98),0))</f>
        <v/>
      </c>
      <c r="CU72">
        <f>SUMPRODUCT((M_BOM[RM_Code]=$A72)*M_BOM[RM_Qty_Per_Batch]*IFERROR(INDEX(PP_Grid[#Data],M_BOM[PPGridRow],99),0))</f>
        <v/>
      </c>
      <c r="CV72">
        <f>SUMPRODUCT((M_BOM[RM_Code]=$A72)*M_BOM[RM_Qty_Per_Batch]*IFERROR(INDEX(PP_Grid[#Data],M_BOM[PPGridRow],100),0))</f>
        <v/>
      </c>
      <c r="CW72">
        <f>SUMPRODUCT((M_BOM[RM_Code]=$A72)*M_BOM[RM_Qty_Per_Batch]*IFERROR(INDEX(PP_Grid[#Data],M_BOM[PPGridRow],101),0))</f>
        <v/>
      </c>
      <c r="CX72">
        <f>SUMPRODUCT((M_BOM[RM_Code]=$A72)*M_BOM[RM_Qty_Per_Batch]*IFERROR(INDEX(PP_Grid[#Data],M_BOM[PPGridRow],102),0))</f>
        <v/>
      </c>
      <c r="CY72">
        <f>SUMPRODUCT((M_BOM[RM_Code]=$A72)*M_BOM[RM_Qty_Per_Batch]*IFERROR(INDEX(PP_Grid[#Data],M_BOM[PPGridRow],103),0))</f>
        <v/>
      </c>
      <c r="CZ72">
        <f>SUMPRODUCT((M_BOM[RM_Code]=$A72)*M_BOM[RM_Qty_Per_Batch]*IFERROR(INDEX(PP_Grid[#Data],M_BOM[PPGridRow],104),0))</f>
        <v/>
      </c>
      <c r="DA72">
        <f>SUMPRODUCT((M_BOM[RM_Code]=$A72)*M_BOM[RM_Qty_Per_Batch]*IFERROR(INDEX(PP_Grid[#Data],M_BOM[PPGridRow],105),0))</f>
        <v/>
      </c>
    </row>
    <row r="73">
      <c r="A73" t="inlineStr">
        <is>
          <t>846227</t>
        </is>
      </c>
      <c r="B73">
        <f>SUMPRODUCT((M_BOM[RM_Code]=$A73)*M_BOM[RM_Qty_Per_Batch]*IFERROR(INDEX(PP_Grid[#Data],M_BOM[PPGridRow],2),0))</f>
        <v/>
      </c>
      <c r="C73">
        <f>SUMPRODUCT((M_BOM[RM_Code]=$A73)*M_BOM[RM_Qty_Per_Batch]*IFERROR(INDEX(PP_Grid[#Data],M_BOM[PPGridRow],3),0))</f>
        <v/>
      </c>
      <c r="D73">
        <f>SUMPRODUCT((M_BOM[RM_Code]=$A73)*M_BOM[RM_Qty_Per_Batch]*IFERROR(INDEX(PP_Grid[#Data],M_BOM[PPGridRow],4),0))</f>
        <v/>
      </c>
      <c r="E73">
        <f>SUMPRODUCT((M_BOM[RM_Code]=$A73)*M_BOM[RM_Qty_Per_Batch]*IFERROR(INDEX(PP_Grid[#Data],M_BOM[PPGridRow],5),0))</f>
        <v/>
      </c>
      <c r="F73">
        <f>SUMPRODUCT((M_BOM[RM_Code]=$A73)*M_BOM[RM_Qty_Per_Batch]*IFERROR(INDEX(PP_Grid[#Data],M_BOM[PPGridRow],6),0))</f>
        <v/>
      </c>
      <c r="G73">
        <f>SUMPRODUCT((M_BOM[RM_Code]=$A73)*M_BOM[RM_Qty_Per_Batch]*IFERROR(INDEX(PP_Grid[#Data],M_BOM[PPGridRow],7),0))</f>
        <v/>
      </c>
      <c r="H73">
        <f>SUMPRODUCT((M_BOM[RM_Code]=$A73)*M_BOM[RM_Qty_Per_Batch]*IFERROR(INDEX(PP_Grid[#Data],M_BOM[PPGridRow],8),0))</f>
        <v/>
      </c>
      <c r="I73">
        <f>SUMPRODUCT((M_BOM[RM_Code]=$A73)*M_BOM[RM_Qty_Per_Batch]*IFERROR(INDEX(PP_Grid[#Data],M_BOM[PPGridRow],9),0))</f>
        <v/>
      </c>
      <c r="J73">
        <f>SUMPRODUCT((M_BOM[RM_Code]=$A73)*M_BOM[RM_Qty_Per_Batch]*IFERROR(INDEX(PP_Grid[#Data],M_BOM[PPGridRow],10),0))</f>
        <v/>
      </c>
      <c r="K73">
        <f>SUMPRODUCT((M_BOM[RM_Code]=$A73)*M_BOM[RM_Qty_Per_Batch]*IFERROR(INDEX(PP_Grid[#Data],M_BOM[PPGridRow],11),0))</f>
        <v/>
      </c>
      <c r="L73">
        <f>SUMPRODUCT((M_BOM[RM_Code]=$A73)*M_BOM[RM_Qty_Per_Batch]*IFERROR(INDEX(PP_Grid[#Data],M_BOM[PPGridRow],12),0))</f>
        <v/>
      </c>
      <c r="M73">
        <f>SUMPRODUCT((M_BOM[RM_Code]=$A73)*M_BOM[RM_Qty_Per_Batch]*IFERROR(INDEX(PP_Grid[#Data],M_BOM[PPGridRow],13),0))</f>
        <v/>
      </c>
      <c r="N73">
        <f>SUMPRODUCT((M_BOM[RM_Code]=$A73)*M_BOM[RM_Qty_Per_Batch]*IFERROR(INDEX(PP_Grid[#Data],M_BOM[PPGridRow],14),0))</f>
        <v/>
      </c>
      <c r="O73">
        <f>SUMPRODUCT((M_BOM[RM_Code]=$A73)*M_BOM[RM_Qty_Per_Batch]*IFERROR(INDEX(PP_Grid[#Data],M_BOM[PPGridRow],15),0))</f>
        <v/>
      </c>
      <c r="P73">
        <f>SUMPRODUCT((M_BOM[RM_Code]=$A73)*M_BOM[RM_Qty_Per_Batch]*IFERROR(INDEX(PP_Grid[#Data],M_BOM[PPGridRow],16),0))</f>
        <v/>
      </c>
      <c r="Q73">
        <f>SUMPRODUCT((M_BOM[RM_Code]=$A73)*M_BOM[RM_Qty_Per_Batch]*IFERROR(INDEX(PP_Grid[#Data],M_BOM[PPGridRow],17),0))</f>
        <v/>
      </c>
      <c r="R73">
        <f>SUMPRODUCT((M_BOM[RM_Code]=$A73)*M_BOM[RM_Qty_Per_Batch]*IFERROR(INDEX(PP_Grid[#Data],M_BOM[PPGridRow],18),0))</f>
        <v/>
      </c>
      <c r="S73">
        <f>SUMPRODUCT((M_BOM[RM_Code]=$A73)*M_BOM[RM_Qty_Per_Batch]*IFERROR(INDEX(PP_Grid[#Data],M_BOM[PPGridRow],19),0))</f>
        <v/>
      </c>
      <c r="T73">
        <f>SUMPRODUCT((M_BOM[RM_Code]=$A73)*M_BOM[RM_Qty_Per_Batch]*IFERROR(INDEX(PP_Grid[#Data],M_BOM[PPGridRow],20),0))</f>
        <v/>
      </c>
      <c r="U73">
        <f>SUMPRODUCT((M_BOM[RM_Code]=$A73)*M_BOM[RM_Qty_Per_Batch]*IFERROR(INDEX(PP_Grid[#Data],M_BOM[PPGridRow],21),0))</f>
        <v/>
      </c>
      <c r="V73">
        <f>SUMPRODUCT((M_BOM[RM_Code]=$A73)*M_BOM[RM_Qty_Per_Batch]*IFERROR(INDEX(PP_Grid[#Data],M_BOM[PPGridRow],22),0))</f>
        <v/>
      </c>
      <c r="W73">
        <f>SUMPRODUCT((M_BOM[RM_Code]=$A73)*M_BOM[RM_Qty_Per_Batch]*IFERROR(INDEX(PP_Grid[#Data],M_BOM[PPGridRow],23),0))</f>
        <v/>
      </c>
      <c r="X73">
        <f>SUMPRODUCT((M_BOM[RM_Code]=$A73)*M_BOM[RM_Qty_Per_Batch]*IFERROR(INDEX(PP_Grid[#Data],M_BOM[PPGridRow],24),0))</f>
        <v/>
      </c>
      <c r="Y73">
        <f>SUMPRODUCT((M_BOM[RM_Code]=$A73)*M_BOM[RM_Qty_Per_Batch]*IFERROR(INDEX(PP_Grid[#Data],M_BOM[PPGridRow],25),0))</f>
        <v/>
      </c>
      <c r="Z73">
        <f>SUMPRODUCT((M_BOM[RM_Code]=$A73)*M_BOM[RM_Qty_Per_Batch]*IFERROR(INDEX(PP_Grid[#Data],M_BOM[PPGridRow],26),0))</f>
        <v/>
      </c>
      <c r="AA73">
        <f>SUMPRODUCT((M_BOM[RM_Code]=$A73)*M_BOM[RM_Qty_Per_Batch]*IFERROR(INDEX(PP_Grid[#Data],M_BOM[PPGridRow],27),0))</f>
        <v/>
      </c>
      <c r="AB73">
        <f>SUMPRODUCT((M_BOM[RM_Code]=$A73)*M_BOM[RM_Qty_Per_Batch]*IFERROR(INDEX(PP_Grid[#Data],M_BOM[PPGridRow],28),0))</f>
        <v/>
      </c>
      <c r="AC73">
        <f>SUMPRODUCT((M_BOM[RM_Code]=$A73)*M_BOM[RM_Qty_Per_Batch]*IFERROR(INDEX(PP_Grid[#Data],M_BOM[PPGridRow],29),0))</f>
        <v/>
      </c>
      <c r="AD73">
        <f>SUMPRODUCT((M_BOM[RM_Code]=$A73)*M_BOM[RM_Qty_Per_Batch]*IFERROR(INDEX(PP_Grid[#Data],M_BOM[PPGridRow],30),0))</f>
        <v/>
      </c>
      <c r="AE73">
        <f>SUMPRODUCT((M_BOM[RM_Code]=$A73)*M_BOM[RM_Qty_Per_Batch]*IFERROR(INDEX(PP_Grid[#Data],M_BOM[PPGridRow],31),0))</f>
        <v/>
      </c>
      <c r="AF73">
        <f>SUMPRODUCT((M_BOM[RM_Code]=$A73)*M_BOM[RM_Qty_Per_Batch]*IFERROR(INDEX(PP_Grid[#Data],M_BOM[PPGridRow],32),0))</f>
        <v/>
      </c>
      <c r="AG73">
        <f>SUMPRODUCT((M_BOM[RM_Code]=$A73)*M_BOM[RM_Qty_Per_Batch]*IFERROR(INDEX(PP_Grid[#Data],M_BOM[PPGridRow],33),0))</f>
        <v/>
      </c>
      <c r="AH73">
        <f>SUMPRODUCT((M_BOM[RM_Code]=$A73)*M_BOM[RM_Qty_Per_Batch]*IFERROR(INDEX(PP_Grid[#Data],M_BOM[PPGridRow],34),0))</f>
        <v/>
      </c>
      <c r="AI73">
        <f>SUMPRODUCT((M_BOM[RM_Code]=$A73)*M_BOM[RM_Qty_Per_Batch]*IFERROR(INDEX(PP_Grid[#Data],M_BOM[PPGridRow],35),0))</f>
        <v/>
      </c>
      <c r="AJ73">
        <f>SUMPRODUCT((M_BOM[RM_Code]=$A73)*M_BOM[RM_Qty_Per_Batch]*IFERROR(INDEX(PP_Grid[#Data],M_BOM[PPGridRow],36),0))</f>
        <v/>
      </c>
      <c r="AK73">
        <f>SUMPRODUCT((M_BOM[RM_Code]=$A73)*M_BOM[RM_Qty_Per_Batch]*IFERROR(INDEX(PP_Grid[#Data],M_BOM[PPGridRow],37),0))</f>
        <v/>
      </c>
      <c r="AL73">
        <f>SUMPRODUCT((M_BOM[RM_Code]=$A73)*M_BOM[RM_Qty_Per_Batch]*IFERROR(INDEX(PP_Grid[#Data],M_BOM[PPGridRow],38),0))</f>
        <v/>
      </c>
      <c r="AM73">
        <f>SUMPRODUCT((M_BOM[RM_Code]=$A73)*M_BOM[RM_Qty_Per_Batch]*IFERROR(INDEX(PP_Grid[#Data],M_BOM[PPGridRow],39),0))</f>
        <v/>
      </c>
      <c r="AN73">
        <f>SUMPRODUCT((M_BOM[RM_Code]=$A73)*M_BOM[RM_Qty_Per_Batch]*IFERROR(INDEX(PP_Grid[#Data],M_BOM[PPGridRow],40),0))</f>
        <v/>
      </c>
      <c r="AO73">
        <f>SUMPRODUCT((M_BOM[RM_Code]=$A73)*M_BOM[RM_Qty_Per_Batch]*IFERROR(INDEX(PP_Grid[#Data],M_BOM[PPGridRow],41),0))</f>
        <v/>
      </c>
      <c r="AP73">
        <f>SUMPRODUCT((M_BOM[RM_Code]=$A73)*M_BOM[RM_Qty_Per_Batch]*IFERROR(INDEX(PP_Grid[#Data],M_BOM[PPGridRow],42),0))</f>
        <v/>
      </c>
      <c r="AQ73">
        <f>SUMPRODUCT((M_BOM[RM_Code]=$A73)*M_BOM[RM_Qty_Per_Batch]*IFERROR(INDEX(PP_Grid[#Data],M_BOM[PPGridRow],43),0))</f>
        <v/>
      </c>
      <c r="AR73">
        <f>SUMPRODUCT((M_BOM[RM_Code]=$A73)*M_BOM[RM_Qty_Per_Batch]*IFERROR(INDEX(PP_Grid[#Data],M_BOM[PPGridRow],44),0))</f>
        <v/>
      </c>
      <c r="AS73">
        <f>SUMPRODUCT((M_BOM[RM_Code]=$A73)*M_BOM[RM_Qty_Per_Batch]*IFERROR(INDEX(PP_Grid[#Data],M_BOM[PPGridRow],45),0))</f>
        <v/>
      </c>
      <c r="AT73">
        <f>SUMPRODUCT((M_BOM[RM_Code]=$A73)*M_BOM[RM_Qty_Per_Batch]*IFERROR(INDEX(PP_Grid[#Data],M_BOM[PPGridRow],46),0))</f>
        <v/>
      </c>
      <c r="AU73">
        <f>SUMPRODUCT((M_BOM[RM_Code]=$A73)*M_BOM[RM_Qty_Per_Batch]*IFERROR(INDEX(PP_Grid[#Data],M_BOM[PPGridRow],47),0))</f>
        <v/>
      </c>
      <c r="AV73">
        <f>SUMPRODUCT((M_BOM[RM_Code]=$A73)*M_BOM[RM_Qty_Per_Batch]*IFERROR(INDEX(PP_Grid[#Data],M_BOM[PPGridRow],48),0))</f>
        <v/>
      </c>
      <c r="AW73">
        <f>SUMPRODUCT((M_BOM[RM_Code]=$A73)*M_BOM[RM_Qty_Per_Batch]*IFERROR(INDEX(PP_Grid[#Data],M_BOM[PPGridRow],49),0))</f>
        <v/>
      </c>
      <c r="AX73">
        <f>SUMPRODUCT((M_BOM[RM_Code]=$A73)*M_BOM[RM_Qty_Per_Batch]*IFERROR(INDEX(PP_Grid[#Data],M_BOM[PPGridRow],50),0))</f>
        <v/>
      </c>
      <c r="AY73">
        <f>SUMPRODUCT((M_BOM[RM_Code]=$A73)*M_BOM[RM_Qty_Per_Batch]*IFERROR(INDEX(PP_Grid[#Data],M_BOM[PPGridRow],51),0))</f>
        <v/>
      </c>
      <c r="AZ73">
        <f>SUMPRODUCT((M_BOM[RM_Code]=$A73)*M_BOM[RM_Qty_Per_Batch]*IFERROR(INDEX(PP_Grid[#Data],M_BOM[PPGridRow],52),0))</f>
        <v/>
      </c>
      <c r="BA73">
        <f>SUMPRODUCT((M_BOM[RM_Code]=$A73)*M_BOM[RM_Qty_Per_Batch]*IFERROR(INDEX(PP_Grid[#Data],M_BOM[PPGridRow],53),0))</f>
        <v/>
      </c>
      <c r="BB73">
        <f>SUMPRODUCT((M_BOM[RM_Code]=$A73)*M_BOM[RM_Qty_Per_Batch]*IFERROR(INDEX(PP_Grid[#Data],M_BOM[PPGridRow],54),0))</f>
        <v/>
      </c>
      <c r="BC73">
        <f>SUMPRODUCT((M_BOM[RM_Code]=$A73)*M_BOM[RM_Qty_Per_Batch]*IFERROR(INDEX(PP_Grid[#Data],M_BOM[PPGridRow],55),0))</f>
        <v/>
      </c>
      <c r="BD73">
        <f>SUMPRODUCT((M_BOM[RM_Code]=$A73)*M_BOM[RM_Qty_Per_Batch]*IFERROR(INDEX(PP_Grid[#Data],M_BOM[PPGridRow],56),0))</f>
        <v/>
      </c>
      <c r="BE73">
        <f>SUMPRODUCT((M_BOM[RM_Code]=$A73)*M_BOM[RM_Qty_Per_Batch]*IFERROR(INDEX(PP_Grid[#Data],M_BOM[PPGridRow],57),0))</f>
        <v/>
      </c>
      <c r="BF73">
        <f>SUMPRODUCT((M_BOM[RM_Code]=$A73)*M_BOM[RM_Qty_Per_Batch]*IFERROR(INDEX(PP_Grid[#Data],M_BOM[PPGridRow],58),0))</f>
        <v/>
      </c>
      <c r="BG73">
        <f>SUMPRODUCT((M_BOM[RM_Code]=$A73)*M_BOM[RM_Qty_Per_Batch]*IFERROR(INDEX(PP_Grid[#Data],M_BOM[PPGridRow],59),0))</f>
        <v/>
      </c>
      <c r="BH73">
        <f>SUMPRODUCT((M_BOM[RM_Code]=$A73)*M_BOM[RM_Qty_Per_Batch]*IFERROR(INDEX(PP_Grid[#Data],M_BOM[PPGridRow],60),0))</f>
        <v/>
      </c>
      <c r="BI73">
        <f>SUMPRODUCT((M_BOM[RM_Code]=$A73)*M_BOM[RM_Qty_Per_Batch]*IFERROR(INDEX(PP_Grid[#Data],M_BOM[PPGridRow],61),0))</f>
        <v/>
      </c>
      <c r="BJ73">
        <f>SUMPRODUCT((M_BOM[RM_Code]=$A73)*M_BOM[RM_Qty_Per_Batch]*IFERROR(INDEX(PP_Grid[#Data],M_BOM[PPGridRow],62),0))</f>
        <v/>
      </c>
      <c r="BK73">
        <f>SUMPRODUCT((M_BOM[RM_Code]=$A73)*M_BOM[RM_Qty_Per_Batch]*IFERROR(INDEX(PP_Grid[#Data],M_BOM[PPGridRow],63),0))</f>
        <v/>
      </c>
      <c r="BL73">
        <f>SUMPRODUCT((M_BOM[RM_Code]=$A73)*M_BOM[RM_Qty_Per_Batch]*IFERROR(INDEX(PP_Grid[#Data],M_BOM[PPGridRow],64),0))</f>
        <v/>
      </c>
      <c r="BM73">
        <f>SUMPRODUCT((M_BOM[RM_Code]=$A73)*M_BOM[RM_Qty_Per_Batch]*IFERROR(INDEX(PP_Grid[#Data],M_BOM[PPGridRow],65),0))</f>
        <v/>
      </c>
      <c r="BN73">
        <f>SUMPRODUCT((M_BOM[RM_Code]=$A73)*M_BOM[RM_Qty_Per_Batch]*IFERROR(INDEX(PP_Grid[#Data],M_BOM[PPGridRow],66),0))</f>
        <v/>
      </c>
      <c r="BO73">
        <f>SUMPRODUCT((M_BOM[RM_Code]=$A73)*M_BOM[RM_Qty_Per_Batch]*IFERROR(INDEX(PP_Grid[#Data],M_BOM[PPGridRow],67),0))</f>
        <v/>
      </c>
      <c r="BP73">
        <f>SUMPRODUCT((M_BOM[RM_Code]=$A73)*M_BOM[RM_Qty_Per_Batch]*IFERROR(INDEX(PP_Grid[#Data],M_BOM[PPGridRow],68),0))</f>
        <v/>
      </c>
      <c r="BQ73">
        <f>SUMPRODUCT((M_BOM[RM_Code]=$A73)*M_BOM[RM_Qty_Per_Batch]*IFERROR(INDEX(PP_Grid[#Data],M_BOM[PPGridRow],69),0))</f>
        <v/>
      </c>
      <c r="BR73">
        <f>SUMPRODUCT((M_BOM[RM_Code]=$A73)*M_BOM[RM_Qty_Per_Batch]*IFERROR(INDEX(PP_Grid[#Data],M_BOM[PPGridRow],70),0))</f>
        <v/>
      </c>
      <c r="BS73">
        <f>SUMPRODUCT((M_BOM[RM_Code]=$A73)*M_BOM[RM_Qty_Per_Batch]*IFERROR(INDEX(PP_Grid[#Data],M_BOM[PPGridRow],71),0))</f>
        <v/>
      </c>
      <c r="BT73">
        <f>SUMPRODUCT((M_BOM[RM_Code]=$A73)*M_BOM[RM_Qty_Per_Batch]*IFERROR(INDEX(PP_Grid[#Data],M_BOM[PPGridRow],72),0))</f>
        <v/>
      </c>
      <c r="BU73">
        <f>SUMPRODUCT((M_BOM[RM_Code]=$A73)*M_BOM[RM_Qty_Per_Batch]*IFERROR(INDEX(PP_Grid[#Data],M_BOM[PPGridRow],73),0))</f>
        <v/>
      </c>
      <c r="BV73">
        <f>SUMPRODUCT((M_BOM[RM_Code]=$A73)*M_BOM[RM_Qty_Per_Batch]*IFERROR(INDEX(PP_Grid[#Data],M_BOM[PPGridRow],74),0))</f>
        <v/>
      </c>
      <c r="BW73">
        <f>SUMPRODUCT((M_BOM[RM_Code]=$A73)*M_BOM[RM_Qty_Per_Batch]*IFERROR(INDEX(PP_Grid[#Data],M_BOM[PPGridRow],75),0))</f>
        <v/>
      </c>
      <c r="BX73">
        <f>SUMPRODUCT((M_BOM[RM_Code]=$A73)*M_BOM[RM_Qty_Per_Batch]*IFERROR(INDEX(PP_Grid[#Data],M_BOM[PPGridRow],76),0))</f>
        <v/>
      </c>
      <c r="BY73">
        <f>SUMPRODUCT((M_BOM[RM_Code]=$A73)*M_BOM[RM_Qty_Per_Batch]*IFERROR(INDEX(PP_Grid[#Data],M_BOM[PPGridRow],77),0))</f>
        <v/>
      </c>
      <c r="BZ73">
        <f>SUMPRODUCT((M_BOM[RM_Code]=$A73)*M_BOM[RM_Qty_Per_Batch]*IFERROR(INDEX(PP_Grid[#Data],M_BOM[PPGridRow],78),0))</f>
        <v/>
      </c>
      <c r="CA73">
        <f>SUMPRODUCT((M_BOM[RM_Code]=$A73)*M_BOM[RM_Qty_Per_Batch]*IFERROR(INDEX(PP_Grid[#Data],M_BOM[PPGridRow],79),0))</f>
        <v/>
      </c>
      <c r="CB73">
        <f>SUMPRODUCT((M_BOM[RM_Code]=$A73)*M_BOM[RM_Qty_Per_Batch]*IFERROR(INDEX(PP_Grid[#Data],M_BOM[PPGridRow],80),0))</f>
        <v/>
      </c>
      <c r="CC73">
        <f>SUMPRODUCT((M_BOM[RM_Code]=$A73)*M_BOM[RM_Qty_Per_Batch]*IFERROR(INDEX(PP_Grid[#Data],M_BOM[PPGridRow],81),0))</f>
        <v/>
      </c>
      <c r="CD73">
        <f>SUMPRODUCT((M_BOM[RM_Code]=$A73)*M_BOM[RM_Qty_Per_Batch]*IFERROR(INDEX(PP_Grid[#Data],M_BOM[PPGridRow],82),0))</f>
        <v/>
      </c>
      <c r="CE73">
        <f>SUMPRODUCT((M_BOM[RM_Code]=$A73)*M_BOM[RM_Qty_Per_Batch]*IFERROR(INDEX(PP_Grid[#Data],M_BOM[PPGridRow],83),0))</f>
        <v/>
      </c>
      <c r="CF73">
        <f>SUMPRODUCT((M_BOM[RM_Code]=$A73)*M_BOM[RM_Qty_Per_Batch]*IFERROR(INDEX(PP_Grid[#Data],M_BOM[PPGridRow],84),0))</f>
        <v/>
      </c>
      <c r="CG73">
        <f>SUMPRODUCT((M_BOM[RM_Code]=$A73)*M_BOM[RM_Qty_Per_Batch]*IFERROR(INDEX(PP_Grid[#Data],M_BOM[PPGridRow],85),0))</f>
        <v/>
      </c>
      <c r="CH73">
        <f>SUMPRODUCT((M_BOM[RM_Code]=$A73)*M_BOM[RM_Qty_Per_Batch]*IFERROR(INDEX(PP_Grid[#Data],M_BOM[PPGridRow],86),0))</f>
        <v/>
      </c>
      <c r="CI73">
        <f>SUMPRODUCT((M_BOM[RM_Code]=$A73)*M_BOM[RM_Qty_Per_Batch]*IFERROR(INDEX(PP_Grid[#Data],M_BOM[PPGridRow],87),0))</f>
        <v/>
      </c>
      <c r="CJ73">
        <f>SUMPRODUCT((M_BOM[RM_Code]=$A73)*M_BOM[RM_Qty_Per_Batch]*IFERROR(INDEX(PP_Grid[#Data],M_BOM[PPGridRow],88),0))</f>
        <v/>
      </c>
      <c r="CK73">
        <f>SUMPRODUCT((M_BOM[RM_Code]=$A73)*M_BOM[RM_Qty_Per_Batch]*IFERROR(INDEX(PP_Grid[#Data],M_BOM[PPGridRow],89),0))</f>
        <v/>
      </c>
      <c r="CL73">
        <f>SUMPRODUCT((M_BOM[RM_Code]=$A73)*M_BOM[RM_Qty_Per_Batch]*IFERROR(INDEX(PP_Grid[#Data],M_BOM[PPGridRow],90),0))</f>
        <v/>
      </c>
      <c r="CM73">
        <f>SUMPRODUCT((M_BOM[RM_Code]=$A73)*M_BOM[RM_Qty_Per_Batch]*IFERROR(INDEX(PP_Grid[#Data],M_BOM[PPGridRow],91),0))</f>
        <v/>
      </c>
      <c r="CN73">
        <f>SUMPRODUCT((M_BOM[RM_Code]=$A73)*M_BOM[RM_Qty_Per_Batch]*IFERROR(INDEX(PP_Grid[#Data],M_BOM[PPGridRow],92),0))</f>
        <v/>
      </c>
      <c r="CO73">
        <f>SUMPRODUCT((M_BOM[RM_Code]=$A73)*M_BOM[RM_Qty_Per_Batch]*IFERROR(INDEX(PP_Grid[#Data],M_BOM[PPGridRow],93),0))</f>
        <v/>
      </c>
      <c r="CP73">
        <f>SUMPRODUCT((M_BOM[RM_Code]=$A73)*M_BOM[RM_Qty_Per_Batch]*IFERROR(INDEX(PP_Grid[#Data],M_BOM[PPGridRow],94),0))</f>
        <v/>
      </c>
      <c r="CQ73">
        <f>SUMPRODUCT((M_BOM[RM_Code]=$A73)*M_BOM[RM_Qty_Per_Batch]*IFERROR(INDEX(PP_Grid[#Data],M_BOM[PPGridRow],95),0))</f>
        <v/>
      </c>
      <c r="CR73">
        <f>SUMPRODUCT((M_BOM[RM_Code]=$A73)*M_BOM[RM_Qty_Per_Batch]*IFERROR(INDEX(PP_Grid[#Data],M_BOM[PPGridRow],96),0))</f>
        <v/>
      </c>
      <c r="CS73">
        <f>SUMPRODUCT((M_BOM[RM_Code]=$A73)*M_BOM[RM_Qty_Per_Batch]*IFERROR(INDEX(PP_Grid[#Data],M_BOM[PPGridRow],97),0))</f>
        <v/>
      </c>
      <c r="CT73">
        <f>SUMPRODUCT((M_BOM[RM_Code]=$A73)*M_BOM[RM_Qty_Per_Batch]*IFERROR(INDEX(PP_Grid[#Data],M_BOM[PPGridRow],98),0))</f>
        <v/>
      </c>
      <c r="CU73">
        <f>SUMPRODUCT((M_BOM[RM_Code]=$A73)*M_BOM[RM_Qty_Per_Batch]*IFERROR(INDEX(PP_Grid[#Data],M_BOM[PPGridRow],99),0))</f>
        <v/>
      </c>
      <c r="CV73">
        <f>SUMPRODUCT((M_BOM[RM_Code]=$A73)*M_BOM[RM_Qty_Per_Batch]*IFERROR(INDEX(PP_Grid[#Data],M_BOM[PPGridRow],100),0))</f>
        <v/>
      </c>
      <c r="CW73">
        <f>SUMPRODUCT((M_BOM[RM_Code]=$A73)*M_BOM[RM_Qty_Per_Batch]*IFERROR(INDEX(PP_Grid[#Data],M_BOM[PPGridRow],101),0))</f>
        <v/>
      </c>
      <c r="CX73">
        <f>SUMPRODUCT((M_BOM[RM_Code]=$A73)*M_BOM[RM_Qty_Per_Batch]*IFERROR(INDEX(PP_Grid[#Data],M_BOM[PPGridRow],102),0))</f>
        <v/>
      </c>
      <c r="CY73">
        <f>SUMPRODUCT((M_BOM[RM_Code]=$A73)*M_BOM[RM_Qty_Per_Batch]*IFERROR(INDEX(PP_Grid[#Data],M_BOM[PPGridRow],103),0))</f>
        <v/>
      </c>
      <c r="CZ73">
        <f>SUMPRODUCT((M_BOM[RM_Code]=$A73)*M_BOM[RM_Qty_Per_Batch]*IFERROR(INDEX(PP_Grid[#Data],M_BOM[PPGridRow],104),0))</f>
        <v/>
      </c>
      <c r="DA73">
        <f>SUMPRODUCT((M_BOM[RM_Code]=$A73)*M_BOM[RM_Qty_Per_Batch]*IFERROR(INDEX(PP_Grid[#Data],M_BOM[PPGridRow],105),0))</f>
        <v/>
      </c>
    </row>
    <row r="74">
      <c r="A74" t="inlineStr">
        <is>
          <t>OLJ</t>
        </is>
      </c>
      <c r="B74">
        <f>SUMPRODUCT((M_BOM[RM_Code]=$A74)*M_BOM[RM_Qty_Per_Batch]*IFERROR(INDEX(PP_Grid[#Data],M_BOM[PPGridRow],2),0))</f>
        <v/>
      </c>
      <c r="C74">
        <f>SUMPRODUCT((M_BOM[RM_Code]=$A74)*M_BOM[RM_Qty_Per_Batch]*IFERROR(INDEX(PP_Grid[#Data],M_BOM[PPGridRow],3),0))</f>
        <v/>
      </c>
      <c r="D74">
        <f>SUMPRODUCT((M_BOM[RM_Code]=$A74)*M_BOM[RM_Qty_Per_Batch]*IFERROR(INDEX(PP_Grid[#Data],M_BOM[PPGridRow],4),0))</f>
        <v/>
      </c>
      <c r="E74">
        <f>SUMPRODUCT((M_BOM[RM_Code]=$A74)*M_BOM[RM_Qty_Per_Batch]*IFERROR(INDEX(PP_Grid[#Data],M_BOM[PPGridRow],5),0))</f>
        <v/>
      </c>
      <c r="F74">
        <f>SUMPRODUCT((M_BOM[RM_Code]=$A74)*M_BOM[RM_Qty_Per_Batch]*IFERROR(INDEX(PP_Grid[#Data],M_BOM[PPGridRow],6),0))</f>
        <v/>
      </c>
      <c r="G74">
        <f>SUMPRODUCT((M_BOM[RM_Code]=$A74)*M_BOM[RM_Qty_Per_Batch]*IFERROR(INDEX(PP_Grid[#Data],M_BOM[PPGridRow],7),0))</f>
        <v/>
      </c>
      <c r="H74">
        <f>SUMPRODUCT((M_BOM[RM_Code]=$A74)*M_BOM[RM_Qty_Per_Batch]*IFERROR(INDEX(PP_Grid[#Data],M_BOM[PPGridRow],8),0))</f>
        <v/>
      </c>
      <c r="I74">
        <f>SUMPRODUCT((M_BOM[RM_Code]=$A74)*M_BOM[RM_Qty_Per_Batch]*IFERROR(INDEX(PP_Grid[#Data],M_BOM[PPGridRow],9),0))</f>
        <v/>
      </c>
      <c r="J74">
        <f>SUMPRODUCT((M_BOM[RM_Code]=$A74)*M_BOM[RM_Qty_Per_Batch]*IFERROR(INDEX(PP_Grid[#Data],M_BOM[PPGridRow],10),0))</f>
        <v/>
      </c>
      <c r="K74">
        <f>SUMPRODUCT((M_BOM[RM_Code]=$A74)*M_BOM[RM_Qty_Per_Batch]*IFERROR(INDEX(PP_Grid[#Data],M_BOM[PPGridRow],11),0))</f>
        <v/>
      </c>
      <c r="L74">
        <f>SUMPRODUCT((M_BOM[RM_Code]=$A74)*M_BOM[RM_Qty_Per_Batch]*IFERROR(INDEX(PP_Grid[#Data],M_BOM[PPGridRow],12),0))</f>
        <v/>
      </c>
      <c r="M74">
        <f>SUMPRODUCT((M_BOM[RM_Code]=$A74)*M_BOM[RM_Qty_Per_Batch]*IFERROR(INDEX(PP_Grid[#Data],M_BOM[PPGridRow],13),0))</f>
        <v/>
      </c>
      <c r="N74">
        <f>SUMPRODUCT((M_BOM[RM_Code]=$A74)*M_BOM[RM_Qty_Per_Batch]*IFERROR(INDEX(PP_Grid[#Data],M_BOM[PPGridRow],14),0))</f>
        <v/>
      </c>
      <c r="O74">
        <f>SUMPRODUCT((M_BOM[RM_Code]=$A74)*M_BOM[RM_Qty_Per_Batch]*IFERROR(INDEX(PP_Grid[#Data],M_BOM[PPGridRow],15),0))</f>
        <v/>
      </c>
      <c r="P74">
        <f>SUMPRODUCT((M_BOM[RM_Code]=$A74)*M_BOM[RM_Qty_Per_Batch]*IFERROR(INDEX(PP_Grid[#Data],M_BOM[PPGridRow],16),0))</f>
        <v/>
      </c>
      <c r="Q74">
        <f>SUMPRODUCT((M_BOM[RM_Code]=$A74)*M_BOM[RM_Qty_Per_Batch]*IFERROR(INDEX(PP_Grid[#Data],M_BOM[PPGridRow],17),0))</f>
        <v/>
      </c>
      <c r="R74">
        <f>SUMPRODUCT((M_BOM[RM_Code]=$A74)*M_BOM[RM_Qty_Per_Batch]*IFERROR(INDEX(PP_Grid[#Data],M_BOM[PPGridRow],18),0))</f>
        <v/>
      </c>
      <c r="S74">
        <f>SUMPRODUCT((M_BOM[RM_Code]=$A74)*M_BOM[RM_Qty_Per_Batch]*IFERROR(INDEX(PP_Grid[#Data],M_BOM[PPGridRow],19),0))</f>
        <v/>
      </c>
      <c r="T74">
        <f>SUMPRODUCT((M_BOM[RM_Code]=$A74)*M_BOM[RM_Qty_Per_Batch]*IFERROR(INDEX(PP_Grid[#Data],M_BOM[PPGridRow],20),0))</f>
        <v/>
      </c>
      <c r="U74">
        <f>SUMPRODUCT((M_BOM[RM_Code]=$A74)*M_BOM[RM_Qty_Per_Batch]*IFERROR(INDEX(PP_Grid[#Data],M_BOM[PPGridRow],21),0))</f>
        <v/>
      </c>
      <c r="V74">
        <f>SUMPRODUCT((M_BOM[RM_Code]=$A74)*M_BOM[RM_Qty_Per_Batch]*IFERROR(INDEX(PP_Grid[#Data],M_BOM[PPGridRow],22),0))</f>
        <v/>
      </c>
      <c r="W74">
        <f>SUMPRODUCT((M_BOM[RM_Code]=$A74)*M_BOM[RM_Qty_Per_Batch]*IFERROR(INDEX(PP_Grid[#Data],M_BOM[PPGridRow],23),0))</f>
        <v/>
      </c>
      <c r="X74">
        <f>SUMPRODUCT((M_BOM[RM_Code]=$A74)*M_BOM[RM_Qty_Per_Batch]*IFERROR(INDEX(PP_Grid[#Data],M_BOM[PPGridRow],24),0))</f>
        <v/>
      </c>
      <c r="Y74">
        <f>SUMPRODUCT((M_BOM[RM_Code]=$A74)*M_BOM[RM_Qty_Per_Batch]*IFERROR(INDEX(PP_Grid[#Data],M_BOM[PPGridRow],25),0))</f>
        <v/>
      </c>
      <c r="Z74">
        <f>SUMPRODUCT((M_BOM[RM_Code]=$A74)*M_BOM[RM_Qty_Per_Batch]*IFERROR(INDEX(PP_Grid[#Data],M_BOM[PPGridRow],26),0))</f>
        <v/>
      </c>
      <c r="AA74">
        <f>SUMPRODUCT((M_BOM[RM_Code]=$A74)*M_BOM[RM_Qty_Per_Batch]*IFERROR(INDEX(PP_Grid[#Data],M_BOM[PPGridRow],27),0))</f>
        <v/>
      </c>
      <c r="AB74">
        <f>SUMPRODUCT((M_BOM[RM_Code]=$A74)*M_BOM[RM_Qty_Per_Batch]*IFERROR(INDEX(PP_Grid[#Data],M_BOM[PPGridRow],28),0))</f>
        <v/>
      </c>
      <c r="AC74">
        <f>SUMPRODUCT((M_BOM[RM_Code]=$A74)*M_BOM[RM_Qty_Per_Batch]*IFERROR(INDEX(PP_Grid[#Data],M_BOM[PPGridRow],29),0))</f>
        <v/>
      </c>
      <c r="AD74">
        <f>SUMPRODUCT((M_BOM[RM_Code]=$A74)*M_BOM[RM_Qty_Per_Batch]*IFERROR(INDEX(PP_Grid[#Data],M_BOM[PPGridRow],30),0))</f>
        <v/>
      </c>
      <c r="AE74">
        <f>SUMPRODUCT((M_BOM[RM_Code]=$A74)*M_BOM[RM_Qty_Per_Batch]*IFERROR(INDEX(PP_Grid[#Data],M_BOM[PPGridRow],31),0))</f>
        <v/>
      </c>
      <c r="AF74">
        <f>SUMPRODUCT((M_BOM[RM_Code]=$A74)*M_BOM[RM_Qty_Per_Batch]*IFERROR(INDEX(PP_Grid[#Data],M_BOM[PPGridRow],32),0))</f>
        <v/>
      </c>
      <c r="AG74">
        <f>SUMPRODUCT((M_BOM[RM_Code]=$A74)*M_BOM[RM_Qty_Per_Batch]*IFERROR(INDEX(PP_Grid[#Data],M_BOM[PPGridRow],33),0))</f>
        <v/>
      </c>
      <c r="AH74">
        <f>SUMPRODUCT((M_BOM[RM_Code]=$A74)*M_BOM[RM_Qty_Per_Batch]*IFERROR(INDEX(PP_Grid[#Data],M_BOM[PPGridRow],34),0))</f>
        <v/>
      </c>
      <c r="AI74">
        <f>SUMPRODUCT((M_BOM[RM_Code]=$A74)*M_BOM[RM_Qty_Per_Batch]*IFERROR(INDEX(PP_Grid[#Data],M_BOM[PPGridRow],35),0))</f>
        <v/>
      </c>
      <c r="AJ74">
        <f>SUMPRODUCT((M_BOM[RM_Code]=$A74)*M_BOM[RM_Qty_Per_Batch]*IFERROR(INDEX(PP_Grid[#Data],M_BOM[PPGridRow],36),0))</f>
        <v/>
      </c>
      <c r="AK74">
        <f>SUMPRODUCT((M_BOM[RM_Code]=$A74)*M_BOM[RM_Qty_Per_Batch]*IFERROR(INDEX(PP_Grid[#Data],M_BOM[PPGridRow],37),0))</f>
        <v/>
      </c>
      <c r="AL74">
        <f>SUMPRODUCT((M_BOM[RM_Code]=$A74)*M_BOM[RM_Qty_Per_Batch]*IFERROR(INDEX(PP_Grid[#Data],M_BOM[PPGridRow],38),0))</f>
        <v/>
      </c>
      <c r="AM74">
        <f>SUMPRODUCT((M_BOM[RM_Code]=$A74)*M_BOM[RM_Qty_Per_Batch]*IFERROR(INDEX(PP_Grid[#Data],M_BOM[PPGridRow],39),0))</f>
        <v/>
      </c>
      <c r="AN74">
        <f>SUMPRODUCT((M_BOM[RM_Code]=$A74)*M_BOM[RM_Qty_Per_Batch]*IFERROR(INDEX(PP_Grid[#Data],M_BOM[PPGridRow],40),0))</f>
        <v/>
      </c>
      <c r="AO74">
        <f>SUMPRODUCT((M_BOM[RM_Code]=$A74)*M_BOM[RM_Qty_Per_Batch]*IFERROR(INDEX(PP_Grid[#Data],M_BOM[PPGridRow],41),0))</f>
        <v/>
      </c>
      <c r="AP74">
        <f>SUMPRODUCT((M_BOM[RM_Code]=$A74)*M_BOM[RM_Qty_Per_Batch]*IFERROR(INDEX(PP_Grid[#Data],M_BOM[PPGridRow],42),0))</f>
        <v/>
      </c>
      <c r="AQ74">
        <f>SUMPRODUCT((M_BOM[RM_Code]=$A74)*M_BOM[RM_Qty_Per_Batch]*IFERROR(INDEX(PP_Grid[#Data],M_BOM[PPGridRow],43),0))</f>
        <v/>
      </c>
      <c r="AR74">
        <f>SUMPRODUCT((M_BOM[RM_Code]=$A74)*M_BOM[RM_Qty_Per_Batch]*IFERROR(INDEX(PP_Grid[#Data],M_BOM[PPGridRow],44),0))</f>
        <v/>
      </c>
      <c r="AS74">
        <f>SUMPRODUCT((M_BOM[RM_Code]=$A74)*M_BOM[RM_Qty_Per_Batch]*IFERROR(INDEX(PP_Grid[#Data],M_BOM[PPGridRow],45),0))</f>
        <v/>
      </c>
      <c r="AT74">
        <f>SUMPRODUCT((M_BOM[RM_Code]=$A74)*M_BOM[RM_Qty_Per_Batch]*IFERROR(INDEX(PP_Grid[#Data],M_BOM[PPGridRow],46),0))</f>
        <v/>
      </c>
      <c r="AU74">
        <f>SUMPRODUCT((M_BOM[RM_Code]=$A74)*M_BOM[RM_Qty_Per_Batch]*IFERROR(INDEX(PP_Grid[#Data],M_BOM[PPGridRow],47),0))</f>
        <v/>
      </c>
      <c r="AV74">
        <f>SUMPRODUCT((M_BOM[RM_Code]=$A74)*M_BOM[RM_Qty_Per_Batch]*IFERROR(INDEX(PP_Grid[#Data],M_BOM[PPGridRow],48),0))</f>
        <v/>
      </c>
      <c r="AW74">
        <f>SUMPRODUCT((M_BOM[RM_Code]=$A74)*M_BOM[RM_Qty_Per_Batch]*IFERROR(INDEX(PP_Grid[#Data],M_BOM[PPGridRow],49),0))</f>
        <v/>
      </c>
      <c r="AX74">
        <f>SUMPRODUCT((M_BOM[RM_Code]=$A74)*M_BOM[RM_Qty_Per_Batch]*IFERROR(INDEX(PP_Grid[#Data],M_BOM[PPGridRow],50),0))</f>
        <v/>
      </c>
      <c r="AY74">
        <f>SUMPRODUCT((M_BOM[RM_Code]=$A74)*M_BOM[RM_Qty_Per_Batch]*IFERROR(INDEX(PP_Grid[#Data],M_BOM[PPGridRow],51),0))</f>
        <v/>
      </c>
      <c r="AZ74">
        <f>SUMPRODUCT((M_BOM[RM_Code]=$A74)*M_BOM[RM_Qty_Per_Batch]*IFERROR(INDEX(PP_Grid[#Data],M_BOM[PPGridRow],52),0))</f>
        <v/>
      </c>
      <c r="BA74">
        <f>SUMPRODUCT((M_BOM[RM_Code]=$A74)*M_BOM[RM_Qty_Per_Batch]*IFERROR(INDEX(PP_Grid[#Data],M_BOM[PPGridRow],53),0))</f>
        <v/>
      </c>
      <c r="BB74">
        <f>SUMPRODUCT((M_BOM[RM_Code]=$A74)*M_BOM[RM_Qty_Per_Batch]*IFERROR(INDEX(PP_Grid[#Data],M_BOM[PPGridRow],54),0))</f>
        <v/>
      </c>
      <c r="BC74">
        <f>SUMPRODUCT((M_BOM[RM_Code]=$A74)*M_BOM[RM_Qty_Per_Batch]*IFERROR(INDEX(PP_Grid[#Data],M_BOM[PPGridRow],55),0))</f>
        <v/>
      </c>
      <c r="BD74">
        <f>SUMPRODUCT((M_BOM[RM_Code]=$A74)*M_BOM[RM_Qty_Per_Batch]*IFERROR(INDEX(PP_Grid[#Data],M_BOM[PPGridRow],56),0))</f>
        <v/>
      </c>
      <c r="BE74">
        <f>SUMPRODUCT((M_BOM[RM_Code]=$A74)*M_BOM[RM_Qty_Per_Batch]*IFERROR(INDEX(PP_Grid[#Data],M_BOM[PPGridRow],57),0))</f>
        <v/>
      </c>
      <c r="BF74">
        <f>SUMPRODUCT((M_BOM[RM_Code]=$A74)*M_BOM[RM_Qty_Per_Batch]*IFERROR(INDEX(PP_Grid[#Data],M_BOM[PPGridRow],58),0))</f>
        <v/>
      </c>
      <c r="BG74">
        <f>SUMPRODUCT((M_BOM[RM_Code]=$A74)*M_BOM[RM_Qty_Per_Batch]*IFERROR(INDEX(PP_Grid[#Data],M_BOM[PPGridRow],59),0))</f>
        <v/>
      </c>
      <c r="BH74">
        <f>SUMPRODUCT((M_BOM[RM_Code]=$A74)*M_BOM[RM_Qty_Per_Batch]*IFERROR(INDEX(PP_Grid[#Data],M_BOM[PPGridRow],60),0))</f>
        <v/>
      </c>
      <c r="BI74">
        <f>SUMPRODUCT((M_BOM[RM_Code]=$A74)*M_BOM[RM_Qty_Per_Batch]*IFERROR(INDEX(PP_Grid[#Data],M_BOM[PPGridRow],61),0))</f>
        <v/>
      </c>
      <c r="BJ74">
        <f>SUMPRODUCT((M_BOM[RM_Code]=$A74)*M_BOM[RM_Qty_Per_Batch]*IFERROR(INDEX(PP_Grid[#Data],M_BOM[PPGridRow],62),0))</f>
        <v/>
      </c>
      <c r="BK74">
        <f>SUMPRODUCT((M_BOM[RM_Code]=$A74)*M_BOM[RM_Qty_Per_Batch]*IFERROR(INDEX(PP_Grid[#Data],M_BOM[PPGridRow],63),0))</f>
        <v/>
      </c>
      <c r="BL74">
        <f>SUMPRODUCT((M_BOM[RM_Code]=$A74)*M_BOM[RM_Qty_Per_Batch]*IFERROR(INDEX(PP_Grid[#Data],M_BOM[PPGridRow],64),0))</f>
        <v/>
      </c>
      <c r="BM74">
        <f>SUMPRODUCT((M_BOM[RM_Code]=$A74)*M_BOM[RM_Qty_Per_Batch]*IFERROR(INDEX(PP_Grid[#Data],M_BOM[PPGridRow],65),0))</f>
        <v/>
      </c>
      <c r="BN74">
        <f>SUMPRODUCT((M_BOM[RM_Code]=$A74)*M_BOM[RM_Qty_Per_Batch]*IFERROR(INDEX(PP_Grid[#Data],M_BOM[PPGridRow],66),0))</f>
        <v/>
      </c>
      <c r="BO74">
        <f>SUMPRODUCT((M_BOM[RM_Code]=$A74)*M_BOM[RM_Qty_Per_Batch]*IFERROR(INDEX(PP_Grid[#Data],M_BOM[PPGridRow],67),0))</f>
        <v/>
      </c>
      <c r="BP74">
        <f>SUMPRODUCT((M_BOM[RM_Code]=$A74)*M_BOM[RM_Qty_Per_Batch]*IFERROR(INDEX(PP_Grid[#Data],M_BOM[PPGridRow],68),0))</f>
        <v/>
      </c>
      <c r="BQ74">
        <f>SUMPRODUCT((M_BOM[RM_Code]=$A74)*M_BOM[RM_Qty_Per_Batch]*IFERROR(INDEX(PP_Grid[#Data],M_BOM[PPGridRow],69),0))</f>
        <v/>
      </c>
      <c r="BR74">
        <f>SUMPRODUCT((M_BOM[RM_Code]=$A74)*M_BOM[RM_Qty_Per_Batch]*IFERROR(INDEX(PP_Grid[#Data],M_BOM[PPGridRow],70),0))</f>
        <v/>
      </c>
      <c r="BS74">
        <f>SUMPRODUCT((M_BOM[RM_Code]=$A74)*M_BOM[RM_Qty_Per_Batch]*IFERROR(INDEX(PP_Grid[#Data],M_BOM[PPGridRow],71),0))</f>
        <v/>
      </c>
      <c r="BT74">
        <f>SUMPRODUCT((M_BOM[RM_Code]=$A74)*M_BOM[RM_Qty_Per_Batch]*IFERROR(INDEX(PP_Grid[#Data],M_BOM[PPGridRow],72),0))</f>
        <v/>
      </c>
      <c r="BU74">
        <f>SUMPRODUCT((M_BOM[RM_Code]=$A74)*M_BOM[RM_Qty_Per_Batch]*IFERROR(INDEX(PP_Grid[#Data],M_BOM[PPGridRow],73),0))</f>
        <v/>
      </c>
      <c r="BV74">
        <f>SUMPRODUCT((M_BOM[RM_Code]=$A74)*M_BOM[RM_Qty_Per_Batch]*IFERROR(INDEX(PP_Grid[#Data],M_BOM[PPGridRow],74),0))</f>
        <v/>
      </c>
      <c r="BW74">
        <f>SUMPRODUCT((M_BOM[RM_Code]=$A74)*M_BOM[RM_Qty_Per_Batch]*IFERROR(INDEX(PP_Grid[#Data],M_BOM[PPGridRow],75),0))</f>
        <v/>
      </c>
      <c r="BX74">
        <f>SUMPRODUCT((M_BOM[RM_Code]=$A74)*M_BOM[RM_Qty_Per_Batch]*IFERROR(INDEX(PP_Grid[#Data],M_BOM[PPGridRow],76),0))</f>
        <v/>
      </c>
      <c r="BY74">
        <f>SUMPRODUCT((M_BOM[RM_Code]=$A74)*M_BOM[RM_Qty_Per_Batch]*IFERROR(INDEX(PP_Grid[#Data],M_BOM[PPGridRow],77),0))</f>
        <v/>
      </c>
      <c r="BZ74">
        <f>SUMPRODUCT((M_BOM[RM_Code]=$A74)*M_BOM[RM_Qty_Per_Batch]*IFERROR(INDEX(PP_Grid[#Data],M_BOM[PPGridRow],78),0))</f>
        <v/>
      </c>
      <c r="CA74">
        <f>SUMPRODUCT((M_BOM[RM_Code]=$A74)*M_BOM[RM_Qty_Per_Batch]*IFERROR(INDEX(PP_Grid[#Data],M_BOM[PPGridRow],79),0))</f>
        <v/>
      </c>
      <c r="CB74">
        <f>SUMPRODUCT((M_BOM[RM_Code]=$A74)*M_BOM[RM_Qty_Per_Batch]*IFERROR(INDEX(PP_Grid[#Data],M_BOM[PPGridRow],80),0))</f>
        <v/>
      </c>
      <c r="CC74">
        <f>SUMPRODUCT((M_BOM[RM_Code]=$A74)*M_BOM[RM_Qty_Per_Batch]*IFERROR(INDEX(PP_Grid[#Data],M_BOM[PPGridRow],81),0))</f>
        <v/>
      </c>
      <c r="CD74">
        <f>SUMPRODUCT((M_BOM[RM_Code]=$A74)*M_BOM[RM_Qty_Per_Batch]*IFERROR(INDEX(PP_Grid[#Data],M_BOM[PPGridRow],82),0))</f>
        <v/>
      </c>
      <c r="CE74">
        <f>SUMPRODUCT((M_BOM[RM_Code]=$A74)*M_BOM[RM_Qty_Per_Batch]*IFERROR(INDEX(PP_Grid[#Data],M_BOM[PPGridRow],83),0))</f>
        <v/>
      </c>
      <c r="CF74">
        <f>SUMPRODUCT((M_BOM[RM_Code]=$A74)*M_BOM[RM_Qty_Per_Batch]*IFERROR(INDEX(PP_Grid[#Data],M_BOM[PPGridRow],84),0))</f>
        <v/>
      </c>
      <c r="CG74">
        <f>SUMPRODUCT((M_BOM[RM_Code]=$A74)*M_BOM[RM_Qty_Per_Batch]*IFERROR(INDEX(PP_Grid[#Data],M_BOM[PPGridRow],85),0))</f>
        <v/>
      </c>
      <c r="CH74">
        <f>SUMPRODUCT((M_BOM[RM_Code]=$A74)*M_BOM[RM_Qty_Per_Batch]*IFERROR(INDEX(PP_Grid[#Data],M_BOM[PPGridRow],86),0))</f>
        <v/>
      </c>
      <c r="CI74">
        <f>SUMPRODUCT((M_BOM[RM_Code]=$A74)*M_BOM[RM_Qty_Per_Batch]*IFERROR(INDEX(PP_Grid[#Data],M_BOM[PPGridRow],87),0))</f>
        <v/>
      </c>
      <c r="CJ74">
        <f>SUMPRODUCT((M_BOM[RM_Code]=$A74)*M_BOM[RM_Qty_Per_Batch]*IFERROR(INDEX(PP_Grid[#Data],M_BOM[PPGridRow],88),0))</f>
        <v/>
      </c>
      <c r="CK74">
        <f>SUMPRODUCT((M_BOM[RM_Code]=$A74)*M_BOM[RM_Qty_Per_Batch]*IFERROR(INDEX(PP_Grid[#Data],M_BOM[PPGridRow],89),0))</f>
        <v/>
      </c>
      <c r="CL74">
        <f>SUMPRODUCT((M_BOM[RM_Code]=$A74)*M_BOM[RM_Qty_Per_Batch]*IFERROR(INDEX(PP_Grid[#Data],M_BOM[PPGridRow],90),0))</f>
        <v/>
      </c>
      <c r="CM74">
        <f>SUMPRODUCT((M_BOM[RM_Code]=$A74)*M_BOM[RM_Qty_Per_Batch]*IFERROR(INDEX(PP_Grid[#Data],M_BOM[PPGridRow],91),0))</f>
        <v/>
      </c>
      <c r="CN74">
        <f>SUMPRODUCT((M_BOM[RM_Code]=$A74)*M_BOM[RM_Qty_Per_Batch]*IFERROR(INDEX(PP_Grid[#Data],M_BOM[PPGridRow],92),0))</f>
        <v/>
      </c>
      <c r="CO74">
        <f>SUMPRODUCT((M_BOM[RM_Code]=$A74)*M_BOM[RM_Qty_Per_Batch]*IFERROR(INDEX(PP_Grid[#Data],M_BOM[PPGridRow],93),0))</f>
        <v/>
      </c>
      <c r="CP74">
        <f>SUMPRODUCT((M_BOM[RM_Code]=$A74)*M_BOM[RM_Qty_Per_Batch]*IFERROR(INDEX(PP_Grid[#Data],M_BOM[PPGridRow],94),0))</f>
        <v/>
      </c>
      <c r="CQ74">
        <f>SUMPRODUCT((M_BOM[RM_Code]=$A74)*M_BOM[RM_Qty_Per_Batch]*IFERROR(INDEX(PP_Grid[#Data],M_BOM[PPGridRow],95),0))</f>
        <v/>
      </c>
      <c r="CR74">
        <f>SUMPRODUCT((M_BOM[RM_Code]=$A74)*M_BOM[RM_Qty_Per_Batch]*IFERROR(INDEX(PP_Grid[#Data],M_BOM[PPGridRow],96),0))</f>
        <v/>
      </c>
      <c r="CS74">
        <f>SUMPRODUCT((M_BOM[RM_Code]=$A74)*M_BOM[RM_Qty_Per_Batch]*IFERROR(INDEX(PP_Grid[#Data],M_BOM[PPGridRow],97),0))</f>
        <v/>
      </c>
      <c r="CT74">
        <f>SUMPRODUCT((M_BOM[RM_Code]=$A74)*M_BOM[RM_Qty_Per_Batch]*IFERROR(INDEX(PP_Grid[#Data],M_BOM[PPGridRow],98),0))</f>
        <v/>
      </c>
      <c r="CU74">
        <f>SUMPRODUCT((M_BOM[RM_Code]=$A74)*M_BOM[RM_Qty_Per_Batch]*IFERROR(INDEX(PP_Grid[#Data],M_BOM[PPGridRow],99),0))</f>
        <v/>
      </c>
      <c r="CV74">
        <f>SUMPRODUCT((M_BOM[RM_Code]=$A74)*M_BOM[RM_Qty_Per_Batch]*IFERROR(INDEX(PP_Grid[#Data],M_BOM[PPGridRow],100),0))</f>
        <v/>
      </c>
      <c r="CW74">
        <f>SUMPRODUCT((M_BOM[RM_Code]=$A74)*M_BOM[RM_Qty_Per_Batch]*IFERROR(INDEX(PP_Grid[#Data],M_BOM[PPGridRow],101),0))</f>
        <v/>
      </c>
      <c r="CX74">
        <f>SUMPRODUCT((M_BOM[RM_Code]=$A74)*M_BOM[RM_Qty_Per_Batch]*IFERROR(INDEX(PP_Grid[#Data],M_BOM[PPGridRow],102),0))</f>
        <v/>
      </c>
      <c r="CY74">
        <f>SUMPRODUCT((M_BOM[RM_Code]=$A74)*M_BOM[RM_Qty_Per_Batch]*IFERROR(INDEX(PP_Grid[#Data],M_BOM[PPGridRow],103),0))</f>
        <v/>
      </c>
      <c r="CZ74">
        <f>SUMPRODUCT((M_BOM[RM_Code]=$A74)*M_BOM[RM_Qty_Per_Batch]*IFERROR(INDEX(PP_Grid[#Data],M_BOM[PPGridRow],104),0))</f>
        <v/>
      </c>
      <c r="DA74">
        <f>SUMPRODUCT((M_BOM[RM_Code]=$A74)*M_BOM[RM_Qty_Per_Batch]*IFERROR(INDEX(PP_Grid[#Data],M_BOM[PPGridRow],105),0))</f>
        <v/>
      </c>
    </row>
    <row r="75">
      <c r="A75" t="inlineStr">
        <is>
          <t>CHEM-1500</t>
        </is>
      </c>
      <c r="B75">
        <f>SUMPRODUCT((M_BOM[RM_Code]=$A75)*M_BOM[RM_Qty_Per_Batch]*IFERROR(INDEX(PP_Grid[#Data],M_BOM[PPGridRow],2),0))</f>
        <v/>
      </c>
      <c r="C75">
        <f>SUMPRODUCT((M_BOM[RM_Code]=$A75)*M_BOM[RM_Qty_Per_Batch]*IFERROR(INDEX(PP_Grid[#Data],M_BOM[PPGridRow],3),0))</f>
        <v/>
      </c>
      <c r="D75">
        <f>SUMPRODUCT((M_BOM[RM_Code]=$A75)*M_BOM[RM_Qty_Per_Batch]*IFERROR(INDEX(PP_Grid[#Data],M_BOM[PPGridRow],4),0))</f>
        <v/>
      </c>
      <c r="E75">
        <f>SUMPRODUCT((M_BOM[RM_Code]=$A75)*M_BOM[RM_Qty_Per_Batch]*IFERROR(INDEX(PP_Grid[#Data],M_BOM[PPGridRow],5),0))</f>
        <v/>
      </c>
      <c r="F75">
        <f>SUMPRODUCT((M_BOM[RM_Code]=$A75)*M_BOM[RM_Qty_Per_Batch]*IFERROR(INDEX(PP_Grid[#Data],M_BOM[PPGridRow],6),0))</f>
        <v/>
      </c>
      <c r="G75">
        <f>SUMPRODUCT((M_BOM[RM_Code]=$A75)*M_BOM[RM_Qty_Per_Batch]*IFERROR(INDEX(PP_Grid[#Data],M_BOM[PPGridRow],7),0))</f>
        <v/>
      </c>
      <c r="H75">
        <f>SUMPRODUCT((M_BOM[RM_Code]=$A75)*M_BOM[RM_Qty_Per_Batch]*IFERROR(INDEX(PP_Grid[#Data],M_BOM[PPGridRow],8),0))</f>
        <v/>
      </c>
      <c r="I75">
        <f>SUMPRODUCT((M_BOM[RM_Code]=$A75)*M_BOM[RM_Qty_Per_Batch]*IFERROR(INDEX(PP_Grid[#Data],M_BOM[PPGridRow],9),0))</f>
        <v/>
      </c>
      <c r="J75">
        <f>SUMPRODUCT((M_BOM[RM_Code]=$A75)*M_BOM[RM_Qty_Per_Batch]*IFERROR(INDEX(PP_Grid[#Data],M_BOM[PPGridRow],10),0))</f>
        <v/>
      </c>
      <c r="K75">
        <f>SUMPRODUCT((M_BOM[RM_Code]=$A75)*M_BOM[RM_Qty_Per_Batch]*IFERROR(INDEX(PP_Grid[#Data],M_BOM[PPGridRow],11),0))</f>
        <v/>
      </c>
      <c r="L75">
        <f>SUMPRODUCT((M_BOM[RM_Code]=$A75)*M_BOM[RM_Qty_Per_Batch]*IFERROR(INDEX(PP_Grid[#Data],M_BOM[PPGridRow],12),0))</f>
        <v/>
      </c>
      <c r="M75">
        <f>SUMPRODUCT((M_BOM[RM_Code]=$A75)*M_BOM[RM_Qty_Per_Batch]*IFERROR(INDEX(PP_Grid[#Data],M_BOM[PPGridRow],13),0))</f>
        <v/>
      </c>
      <c r="N75">
        <f>SUMPRODUCT((M_BOM[RM_Code]=$A75)*M_BOM[RM_Qty_Per_Batch]*IFERROR(INDEX(PP_Grid[#Data],M_BOM[PPGridRow],14),0))</f>
        <v/>
      </c>
      <c r="O75">
        <f>SUMPRODUCT((M_BOM[RM_Code]=$A75)*M_BOM[RM_Qty_Per_Batch]*IFERROR(INDEX(PP_Grid[#Data],M_BOM[PPGridRow],15),0))</f>
        <v/>
      </c>
      <c r="P75">
        <f>SUMPRODUCT((M_BOM[RM_Code]=$A75)*M_BOM[RM_Qty_Per_Batch]*IFERROR(INDEX(PP_Grid[#Data],M_BOM[PPGridRow],16),0))</f>
        <v/>
      </c>
      <c r="Q75">
        <f>SUMPRODUCT((M_BOM[RM_Code]=$A75)*M_BOM[RM_Qty_Per_Batch]*IFERROR(INDEX(PP_Grid[#Data],M_BOM[PPGridRow],17),0))</f>
        <v/>
      </c>
      <c r="R75">
        <f>SUMPRODUCT((M_BOM[RM_Code]=$A75)*M_BOM[RM_Qty_Per_Batch]*IFERROR(INDEX(PP_Grid[#Data],M_BOM[PPGridRow],18),0))</f>
        <v/>
      </c>
      <c r="S75">
        <f>SUMPRODUCT((M_BOM[RM_Code]=$A75)*M_BOM[RM_Qty_Per_Batch]*IFERROR(INDEX(PP_Grid[#Data],M_BOM[PPGridRow],19),0))</f>
        <v/>
      </c>
      <c r="T75">
        <f>SUMPRODUCT((M_BOM[RM_Code]=$A75)*M_BOM[RM_Qty_Per_Batch]*IFERROR(INDEX(PP_Grid[#Data],M_BOM[PPGridRow],20),0))</f>
        <v/>
      </c>
      <c r="U75">
        <f>SUMPRODUCT((M_BOM[RM_Code]=$A75)*M_BOM[RM_Qty_Per_Batch]*IFERROR(INDEX(PP_Grid[#Data],M_BOM[PPGridRow],21),0))</f>
        <v/>
      </c>
      <c r="V75">
        <f>SUMPRODUCT((M_BOM[RM_Code]=$A75)*M_BOM[RM_Qty_Per_Batch]*IFERROR(INDEX(PP_Grid[#Data],M_BOM[PPGridRow],22),0))</f>
        <v/>
      </c>
      <c r="W75">
        <f>SUMPRODUCT((M_BOM[RM_Code]=$A75)*M_BOM[RM_Qty_Per_Batch]*IFERROR(INDEX(PP_Grid[#Data],M_BOM[PPGridRow],23),0))</f>
        <v/>
      </c>
      <c r="X75">
        <f>SUMPRODUCT((M_BOM[RM_Code]=$A75)*M_BOM[RM_Qty_Per_Batch]*IFERROR(INDEX(PP_Grid[#Data],M_BOM[PPGridRow],24),0))</f>
        <v/>
      </c>
      <c r="Y75">
        <f>SUMPRODUCT((M_BOM[RM_Code]=$A75)*M_BOM[RM_Qty_Per_Batch]*IFERROR(INDEX(PP_Grid[#Data],M_BOM[PPGridRow],25),0))</f>
        <v/>
      </c>
      <c r="Z75">
        <f>SUMPRODUCT((M_BOM[RM_Code]=$A75)*M_BOM[RM_Qty_Per_Batch]*IFERROR(INDEX(PP_Grid[#Data],M_BOM[PPGridRow],26),0))</f>
        <v/>
      </c>
      <c r="AA75">
        <f>SUMPRODUCT((M_BOM[RM_Code]=$A75)*M_BOM[RM_Qty_Per_Batch]*IFERROR(INDEX(PP_Grid[#Data],M_BOM[PPGridRow],27),0))</f>
        <v/>
      </c>
      <c r="AB75">
        <f>SUMPRODUCT((M_BOM[RM_Code]=$A75)*M_BOM[RM_Qty_Per_Batch]*IFERROR(INDEX(PP_Grid[#Data],M_BOM[PPGridRow],28),0))</f>
        <v/>
      </c>
      <c r="AC75">
        <f>SUMPRODUCT((M_BOM[RM_Code]=$A75)*M_BOM[RM_Qty_Per_Batch]*IFERROR(INDEX(PP_Grid[#Data],M_BOM[PPGridRow],29),0))</f>
        <v/>
      </c>
      <c r="AD75">
        <f>SUMPRODUCT((M_BOM[RM_Code]=$A75)*M_BOM[RM_Qty_Per_Batch]*IFERROR(INDEX(PP_Grid[#Data],M_BOM[PPGridRow],30),0))</f>
        <v/>
      </c>
      <c r="AE75">
        <f>SUMPRODUCT((M_BOM[RM_Code]=$A75)*M_BOM[RM_Qty_Per_Batch]*IFERROR(INDEX(PP_Grid[#Data],M_BOM[PPGridRow],31),0))</f>
        <v/>
      </c>
      <c r="AF75">
        <f>SUMPRODUCT((M_BOM[RM_Code]=$A75)*M_BOM[RM_Qty_Per_Batch]*IFERROR(INDEX(PP_Grid[#Data],M_BOM[PPGridRow],32),0))</f>
        <v/>
      </c>
      <c r="AG75">
        <f>SUMPRODUCT((M_BOM[RM_Code]=$A75)*M_BOM[RM_Qty_Per_Batch]*IFERROR(INDEX(PP_Grid[#Data],M_BOM[PPGridRow],33),0))</f>
        <v/>
      </c>
      <c r="AH75">
        <f>SUMPRODUCT((M_BOM[RM_Code]=$A75)*M_BOM[RM_Qty_Per_Batch]*IFERROR(INDEX(PP_Grid[#Data],M_BOM[PPGridRow],34),0))</f>
        <v/>
      </c>
      <c r="AI75">
        <f>SUMPRODUCT((M_BOM[RM_Code]=$A75)*M_BOM[RM_Qty_Per_Batch]*IFERROR(INDEX(PP_Grid[#Data],M_BOM[PPGridRow],35),0))</f>
        <v/>
      </c>
      <c r="AJ75">
        <f>SUMPRODUCT((M_BOM[RM_Code]=$A75)*M_BOM[RM_Qty_Per_Batch]*IFERROR(INDEX(PP_Grid[#Data],M_BOM[PPGridRow],36),0))</f>
        <v/>
      </c>
      <c r="AK75">
        <f>SUMPRODUCT((M_BOM[RM_Code]=$A75)*M_BOM[RM_Qty_Per_Batch]*IFERROR(INDEX(PP_Grid[#Data],M_BOM[PPGridRow],37),0))</f>
        <v/>
      </c>
      <c r="AL75">
        <f>SUMPRODUCT((M_BOM[RM_Code]=$A75)*M_BOM[RM_Qty_Per_Batch]*IFERROR(INDEX(PP_Grid[#Data],M_BOM[PPGridRow],38),0))</f>
        <v/>
      </c>
      <c r="AM75">
        <f>SUMPRODUCT((M_BOM[RM_Code]=$A75)*M_BOM[RM_Qty_Per_Batch]*IFERROR(INDEX(PP_Grid[#Data],M_BOM[PPGridRow],39),0))</f>
        <v/>
      </c>
      <c r="AN75">
        <f>SUMPRODUCT((M_BOM[RM_Code]=$A75)*M_BOM[RM_Qty_Per_Batch]*IFERROR(INDEX(PP_Grid[#Data],M_BOM[PPGridRow],40),0))</f>
        <v/>
      </c>
      <c r="AO75">
        <f>SUMPRODUCT((M_BOM[RM_Code]=$A75)*M_BOM[RM_Qty_Per_Batch]*IFERROR(INDEX(PP_Grid[#Data],M_BOM[PPGridRow],41),0))</f>
        <v/>
      </c>
      <c r="AP75">
        <f>SUMPRODUCT((M_BOM[RM_Code]=$A75)*M_BOM[RM_Qty_Per_Batch]*IFERROR(INDEX(PP_Grid[#Data],M_BOM[PPGridRow],42),0))</f>
        <v/>
      </c>
      <c r="AQ75">
        <f>SUMPRODUCT((M_BOM[RM_Code]=$A75)*M_BOM[RM_Qty_Per_Batch]*IFERROR(INDEX(PP_Grid[#Data],M_BOM[PPGridRow],43),0))</f>
        <v/>
      </c>
      <c r="AR75">
        <f>SUMPRODUCT((M_BOM[RM_Code]=$A75)*M_BOM[RM_Qty_Per_Batch]*IFERROR(INDEX(PP_Grid[#Data],M_BOM[PPGridRow],44),0))</f>
        <v/>
      </c>
      <c r="AS75">
        <f>SUMPRODUCT((M_BOM[RM_Code]=$A75)*M_BOM[RM_Qty_Per_Batch]*IFERROR(INDEX(PP_Grid[#Data],M_BOM[PPGridRow],45),0))</f>
        <v/>
      </c>
      <c r="AT75">
        <f>SUMPRODUCT((M_BOM[RM_Code]=$A75)*M_BOM[RM_Qty_Per_Batch]*IFERROR(INDEX(PP_Grid[#Data],M_BOM[PPGridRow],46),0))</f>
        <v/>
      </c>
      <c r="AU75">
        <f>SUMPRODUCT((M_BOM[RM_Code]=$A75)*M_BOM[RM_Qty_Per_Batch]*IFERROR(INDEX(PP_Grid[#Data],M_BOM[PPGridRow],47),0))</f>
        <v/>
      </c>
      <c r="AV75">
        <f>SUMPRODUCT((M_BOM[RM_Code]=$A75)*M_BOM[RM_Qty_Per_Batch]*IFERROR(INDEX(PP_Grid[#Data],M_BOM[PPGridRow],48),0))</f>
        <v/>
      </c>
      <c r="AW75">
        <f>SUMPRODUCT((M_BOM[RM_Code]=$A75)*M_BOM[RM_Qty_Per_Batch]*IFERROR(INDEX(PP_Grid[#Data],M_BOM[PPGridRow],49),0))</f>
        <v/>
      </c>
      <c r="AX75">
        <f>SUMPRODUCT((M_BOM[RM_Code]=$A75)*M_BOM[RM_Qty_Per_Batch]*IFERROR(INDEX(PP_Grid[#Data],M_BOM[PPGridRow],50),0))</f>
        <v/>
      </c>
      <c r="AY75">
        <f>SUMPRODUCT((M_BOM[RM_Code]=$A75)*M_BOM[RM_Qty_Per_Batch]*IFERROR(INDEX(PP_Grid[#Data],M_BOM[PPGridRow],51),0))</f>
        <v/>
      </c>
      <c r="AZ75">
        <f>SUMPRODUCT((M_BOM[RM_Code]=$A75)*M_BOM[RM_Qty_Per_Batch]*IFERROR(INDEX(PP_Grid[#Data],M_BOM[PPGridRow],52),0))</f>
        <v/>
      </c>
      <c r="BA75">
        <f>SUMPRODUCT((M_BOM[RM_Code]=$A75)*M_BOM[RM_Qty_Per_Batch]*IFERROR(INDEX(PP_Grid[#Data],M_BOM[PPGridRow],53),0))</f>
        <v/>
      </c>
      <c r="BB75">
        <f>SUMPRODUCT((M_BOM[RM_Code]=$A75)*M_BOM[RM_Qty_Per_Batch]*IFERROR(INDEX(PP_Grid[#Data],M_BOM[PPGridRow],54),0))</f>
        <v/>
      </c>
      <c r="BC75">
        <f>SUMPRODUCT((M_BOM[RM_Code]=$A75)*M_BOM[RM_Qty_Per_Batch]*IFERROR(INDEX(PP_Grid[#Data],M_BOM[PPGridRow],55),0))</f>
        <v/>
      </c>
      <c r="BD75">
        <f>SUMPRODUCT((M_BOM[RM_Code]=$A75)*M_BOM[RM_Qty_Per_Batch]*IFERROR(INDEX(PP_Grid[#Data],M_BOM[PPGridRow],56),0))</f>
        <v/>
      </c>
      <c r="BE75">
        <f>SUMPRODUCT((M_BOM[RM_Code]=$A75)*M_BOM[RM_Qty_Per_Batch]*IFERROR(INDEX(PP_Grid[#Data],M_BOM[PPGridRow],57),0))</f>
        <v/>
      </c>
      <c r="BF75">
        <f>SUMPRODUCT((M_BOM[RM_Code]=$A75)*M_BOM[RM_Qty_Per_Batch]*IFERROR(INDEX(PP_Grid[#Data],M_BOM[PPGridRow],58),0))</f>
        <v/>
      </c>
      <c r="BG75">
        <f>SUMPRODUCT((M_BOM[RM_Code]=$A75)*M_BOM[RM_Qty_Per_Batch]*IFERROR(INDEX(PP_Grid[#Data],M_BOM[PPGridRow],59),0))</f>
        <v/>
      </c>
      <c r="BH75">
        <f>SUMPRODUCT((M_BOM[RM_Code]=$A75)*M_BOM[RM_Qty_Per_Batch]*IFERROR(INDEX(PP_Grid[#Data],M_BOM[PPGridRow],60),0))</f>
        <v/>
      </c>
      <c r="BI75">
        <f>SUMPRODUCT((M_BOM[RM_Code]=$A75)*M_BOM[RM_Qty_Per_Batch]*IFERROR(INDEX(PP_Grid[#Data],M_BOM[PPGridRow],61),0))</f>
        <v/>
      </c>
      <c r="BJ75">
        <f>SUMPRODUCT((M_BOM[RM_Code]=$A75)*M_BOM[RM_Qty_Per_Batch]*IFERROR(INDEX(PP_Grid[#Data],M_BOM[PPGridRow],62),0))</f>
        <v/>
      </c>
      <c r="BK75">
        <f>SUMPRODUCT((M_BOM[RM_Code]=$A75)*M_BOM[RM_Qty_Per_Batch]*IFERROR(INDEX(PP_Grid[#Data],M_BOM[PPGridRow],63),0))</f>
        <v/>
      </c>
      <c r="BL75">
        <f>SUMPRODUCT((M_BOM[RM_Code]=$A75)*M_BOM[RM_Qty_Per_Batch]*IFERROR(INDEX(PP_Grid[#Data],M_BOM[PPGridRow],64),0))</f>
        <v/>
      </c>
      <c r="BM75">
        <f>SUMPRODUCT((M_BOM[RM_Code]=$A75)*M_BOM[RM_Qty_Per_Batch]*IFERROR(INDEX(PP_Grid[#Data],M_BOM[PPGridRow],65),0))</f>
        <v/>
      </c>
      <c r="BN75">
        <f>SUMPRODUCT((M_BOM[RM_Code]=$A75)*M_BOM[RM_Qty_Per_Batch]*IFERROR(INDEX(PP_Grid[#Data],M_BOM[PPGridRow],66),0))</f>
        <v/>
      </c>
      <c r="BO75">
        <f>SUMPRODUCT((M_BOM[RM_Code]=$A75)*M_BOM[RM_Qty_Per_Batch]*IFERROR(INDEX(PP_Grid[#Data],M_BOM[PPGridRow],67),0))</f>
        <v/>
      </c>
      <c r="BP75">
        <f>SUMPRODUCT((M_BOM[RM_Code]=$A75)*M_BOM[RM_Qty_Per_Batch]*IFERROR(INDEX(PP_Grid[#Data],M_BOM[PPGridRow],68),0))</f>
        <v/>
      </c>
      <c r="BQ75">
        <f>SUMPRODUCT((M_BOM[RM_Code]=$A75)*M_BOM[RM_Qty_Per_Batch]*IFERROR(INDEX(PP_Grid[#Data],M_BOM[PPGridRow],69),0))</f>
        <v/>
      </c>
      <c r="BR75">
        <f>SUMPRODUCT((M_BOM[RM_Code]=$A75)*M_BOM[RM_Qty_Per_Batch]*IFERROR(INDEX(PP_Grid[#Data],M_BOM[PPGridRow],70),0))</f>
        <v/>
      </c>
      <c r="BS75">
        <f>SUMPRODUCT((M_BOM[RM_Code]=$A75)*M_BOM[RM_Qty_Per_Batch]*IFERROR(INDEX(PP_Grid[#Data],M_BOM[PPGridRow],71),0))</f>
        <v/>
      </c>
      <c r="BT75">
        <f>SUMPRODUCT((M_BOM[RM_Code]=$A75)*M_BOM[RM_Qty_Per_Batch]*IFERROR(INDEX(PP_Grid[#Data],M_BOM[PPGridRow],72),0))</f>
        <v/>
      </c>
      <c r="BU75">
        <f>SUMPRODUCT((M_BOM[RM_Code]=$A75)*M_BOM[RM_Qty_Per_Batch]*IFERROR(INDEX(PP_Grid[#Data],M_BOM[PPGridRow],73),0))</f>
        <v/>
      </c>
      <c r="BV75">
        <f>SUMPRODUCT((M_BOM[RM_Code]=$A75)*M_BOM[RM_Qty_Per_Batch]*IFERROR(INDEX(PP_Grid[#Data],M_BOM[PPGridRow],74),0))</f>
        <v/>
      </c>
      <c r="BW75">
        <f>SUMPRODUCT((M_BOM[RM_Code]=$A75)*M_BOM[RM_Qty_Per_Batch]*IFERROR(INDEX(PP_Grid[#Data],M_BOM[PPGridRow],75),0))</f>
        <v/>
      </c>
      <c r="BX75">
        <f>SUMPRODUCT((M_BOM[RM_Code]=$A75)*M_BOM[RM_Qty_Per_Batch]*IFERROR(INDEX(PP_Grid[#Data],M_BOM[PPGridRow],76),0))</f>
        <v/>
      </c>
      <c r="BY75">
        <f>SUMPRODUCT((M_BOM[RM_Code]=$A75)*M_BOM[RM_Qty_Per_Batch]*IFERROR(INDEX(PP_Grid[#Data],M_BOM[PPGridRow],77),0))</f>
        <v/>
      </c>
      <c r="BZ75">
        <f>SUMPRODUCT((M_BOM[RM_Code]=$A75)*M_BOM[RM_Qty_Per_Batch]*IFERROR(INDEX(PP_Grid[#Data],M_BOM[PPGridRow],78),0))</f>
        <v/>
      </c>
      <c r="CA75">
        <f>SUMPRODUCT((M_BOM[RM_Code]=$A75)*M_BOM[RM_Qty_Per_Batch]*IFERROR(INDEX(PP_Grid[#Data],M_BOM[PPGridRow],79),0))</f>
        <v/>
      </c>
      <c r="CB75">
        <f>SUMPRODUCT((M_BOM[RM_Code]=$A75)*M_BOM[RM_Qty_Per_Batch]*IFERROR(INDEX(PP_Grid[#Data],M_BOM[PPGridRow],80),0))</f>
        <v/>
      </c>
      <c r="CC75">
        <f>SUMPRODUCT((M_BOM[RM_Code]=$A75)*M_BOM[RM_Qty_Per_Batch]*IFERROR(INDEX(PP_Grid[#Data],M_BOM[PPGridRow],81),0))</f>
        <v/>
      </c>
      <c r="CD75">
        <f>SUMPRODUCT((M_BOM[RM_Code]=$A75)*M_BOM[RM_Qty_Per_Batch]*IFERROR(INDEX(PP_Grid[#Data],M_BOM[PPGridRow],82),0))</f>
        <v/>
      </c>
      <c r="CE75">
        <f>SUMPRODUCT((M_BOM[RM_Code]=$A75)*M_BOM[RM_Qty_Per_Batch]*IFERROR(INDEX(PP_Grid[#Data],M_BOM[PPGridRow],83),0))</f>
        <v/>
      </c>
      <c r="CF75">
        <f>SUMPRODUCT((M_BOM[RM_Code]=$A75)*M_BOM[RM_Qty_Per_Batch]*IFERROR(INDEX(PP_Grid[#Data],M_BOM[PPGridRow],84),0))</f>
        <v/>
      </c>
      <c r="CG75">
        <f>SUMPRODUCT((M_BOM[RM_Code]=$A75)*M_BOM[RM_Qty_Per_Batch]*IFERROR(INDEX(PP_Grid[#Data],M_BOM[PPGridRow],85),0))</f>
        <v/>
      </c>
      <c r="CH75">
        <f>SUMPRODUCT((M_BOM[RM_Code]=$A75)*M_BOM[RM_Qty_Per_Batch]*IFERROR(INDEX(PP_Grid[#Data],M_BOM[PPGridRow],86),0))</f>
        <v/>
      </c>
      <c r="CI75">
        <f>SUMPRODUCT((M_BOM[RM_Code]=$A75)*M_BOM[RM_Qty_Per_Batch]*IFERROR(INDEX(PP_Grid[#Data],M_BOM[PPGridRow],87),0))</f>
        <v/>
      </c>
      <c r="CJ75">
        <f>SUMPRODUCT((M_BOM[RM_Code]=$A75)*M_BOM[RM_Qty_Per_Batch]*IFERROR(INDEX(PP_Grid[#Data],M_BOM[PPGridRow],88),0))</f>
        <v/>
      </c>
      <c r="CK75">
        <f>SUMPRODUCT((M_BOM[RM_Code]=$A75)*M_BOM[RM_Qty_Per_Batch]*IFERROR(INDEX(PP_Grid[#Data],M_BOM[PPGridRow],89),0))</f>
        <v/>
      </c>
      <c r="CL75">
        <f>SUMPRODUCT((M_BOM[RM_Code]=$A75)*M_BOM[RM_Qty_Per_Batch]*IFERROR(INDEX(PP_Grid[#Data],M_BOM[PPGridRow],90),0))</f>
        <v/>
      </c>
      <c r="CM75">
        <f>SUMPRODUCT((M_BOM[RM_Code]=$A75)*M_BOM[RM_Qty_Per_Batch]*IFERROR(INDEX(PP_Grid[#Data],M_BOM[PPGridRow],91),0))</f>
        <v/>
      </c>
      <c r="CN75">
        <f>SUMPRODUCT((M_BOM[RM_Code]=$A75)*M_BOM[RM_Qty_Per_Batch]*IFERROR(INDEX(PP_Grid[#Data],M_BOM[PPGridRow],92),0))</f>
        <v/>
      </c>
      <c r="CO75">
        <f>SUMPRODUCT((M_BOM[RM_Code]=$A75)*M_BOM[RM_Qty_Per_Batch]*IFERROR(INDEX(PP_Grid[#Data],M_BOM[PPGridRow],93),0))</f>
        <v/>
      </c>
      <c r="CP75">
        <f>SUMPRODUCT((M_BOM[RM_Code]=$A75)*M_BOM[RM_Qty_Per_Batch]*IFERROR(INDEX(PP_Grid[#Data],M_BOM[PPGridRow],94),0))</f>
        <v/>
      </c>
      <c r="CQ75">
        <f>SUMPRODUCT((M_BOM[RM_Code]=$A75)*M_BOM[RM_Qty_Per_Batch]*IFERROR(INDEX(PP_Grid[#Data],M_BOM[PPGridRow],95),0))</f>
        <v/>
      </c>
      <c r="CR75">
        <f>SUMPRODUCT((M_BOM[RM_Code]=$A75)*M_BOM[RM_Qty_Per_Batch]*IFERROR(INDEX(PP_Grid[#Data],M_BOM[PPGridRow],96),0))</f>
        <v/>
      </c>
      <c r="CS75">
        <f>SUMPRODUCT((M_BOM[RM_Code]=$A75)*M_BOM[RM_Qty_Per_Batch]*IFERROR(INDEX(PP_Grid[#Data],M_BOM[PPGridRow],97),0))</f>
        <v/>
      </c>
      <c r="CT75">
        <f>SUMPRODUCT((M_BOM[RM_Code]=$A75)*M_BOM[RM_Qty_Per_Batch]*IFERROR(INDEX(PP_Grid[#Data],M_BOM[PPGridRow],98),0))</f>
        <v/>
      </c>
      <c r="CU75">
        <f>SUMPRODUCT((M_BOM[RM_Code]=$A75)*M_BOM[RM_Qty_Per_Batch]*IFERROR(INDEX(PP_Grid[#Data],M_BOM[PPGridRow],99),0))</f>
        <v/>
      </c>
      <c r="CV75">
        <f>SUMPRODUCT((M_BOM[RM_Code]=$A75)*M_BOM[RM_Qty_Per_Batch]*IFERROR(INDEX(PP_Grid[#Data],M_BOM[PPGridRow],100),0))</f>
        <v/>
      </c>
      <c r="CW75">
        <f>SUMPRODUCT((M_BOM[RM_Code]=$A75)*M_BOM[RM_Qty_Per_Batch]*IFERROR(INDEX(PP_Grid[#Data],M_BOM[PPGridRow],101),0))</f>
        <v/>
      </c>
      <c r="CX75">
        <f>SUMPRODUCT((M_BOM[RM_Code]=$A75)*M_BOM[RM_Qty_Per_Batch]*IFERROR(INDEX(PP_Grid[#Data],M_BOM[PPGridRow],102),0))</f>
        <v/>
      </c>
      <c r="CY75">
        <f>SUMPRODUCT((M_BOM[RM_Code]=$A75)*M_BOM[RM_Qty_Per_Batch]*IFERROR(INDEX(PP_Grid[#Data],M_BOM[PPGridRow],103),0))</f>
        <v/>
      </c>
      <c r="CZ75">
        <f>SUMPRODUCT((M_BOM[RM_Code]=$A75)*M_BOM[RM_Qty_Per_Batch]*IFERROR(INDEX(PP_Grid[#Data],M_BOM[PPGridRow],104),0))</f>
        <v/>
      </c>
      <c r="DA75">
        <f>SUMPRODUCT((M_BOM[RM_Code]=$A75)*M_BOM[RM_Qty_Per_Batch]*IFERROR(INDEX(PP_Grid[#Data],M_BOM[PPGridRow],105),0))</f>
        <v/>
      </c>
    </row>
    <row r="76">
      <c r="A76" t="inlineStr">
        <is>
          <t>CHEM-1810</t>
        </is>
      </c>
      <c r="B76">
        <f>SUMPRODUCT((M_BOM[RM_Code]=$A76)*M_BOM[RM_Qty_Per_Batch]*IFERROR(INDEX(PP_Grid[#Data],M_BOM[PPGridRow],2),0))</f>
        <v/>
      </c>
      <c r="C76">
        <f>SUMPRODUCT((M_BOM[RM_Code]=$A76)*M_BOM[RM_Qty_Per_Batch]*IFERROR(INDEX(PP_Grid[#Data],M_BOM[PPGridRow],3),0))</f>
        <v/>
      </c>
      <c r="D76">
        <f>SUMPRODUCT((M_BOM[RM_Code]=$A76)*M_BOM[RM_Qty_Per_Batch]*IFERROR(INDEX(PP_Grid[#Data],M_BOM[PPGridRow],4),0))</f>
        <v/>
      </c>
      <c r="E76">
        <f>SUMPRODUCT((M_BOM[RM_Code]=$A76)*M_BOM[RM_Qty_Per_Batch]*IFERROR(INDEX(PP_Grid[#Data],M_BOM[PPGridRow],5),0))</f>
        <v/>
      </c>
      <c r="F76">
        <f>SUMPRODUCT((M_BOM[RM_Code]=$A76)*M_BOM[RM_Qty_Per_Batch]*IFERROR(INDEX(PP_Grid[#Data],M_BOM[PPGridRow],6),0))</f>
        <v/>
      </c>
      <c r="G76">
        <f>SUMPRODUCT((M_BOM[RM_Code]=$A76)*M_BOM[RM_Qty_Per_Batch]*IFERROR(INDEX(PP_Grid[#Data],M_BOM[PPGridRow],7),0))</f>
        <v/>
      </c>
      <c r="H76">
        <f>SUMPRODUCT((M_BOM[RM_Code]=$A76)*M_BOM[RM_Qty_Per_Batch]*IFERROR(INDEX(PP_Grid[#Data],M_BOM[PPGridRow],8),0))</f>
        <v/>
      </c>
      <c r="I76">
        <f>SUMPRODUCT((M_BOM[RM_Code]=$A76)*M_BOM[RM_Qty_Per_Batch]*IFERROR(INDEX(PP_Grid[#Data],M_BOM[PPGridRow],9),0))</f>
        <v/>
      </c>
      <c r="J76">
        <f>SUMPRODUCT((M_BOM[RM_Code]=$A76)*M_BOM[RM_Qty_Per_Batch]*IFERROR(INDEX(PP_Grid[#Data],M_BOM[PPGridRow],10),0))</f>
        <v/>
      </c>
      <c r="K76">
        <f>SUMPRODUCT((M_BOM[RM_Code]=$A76)*M_BOM[RM_Qty_Per_Batch]*IFERROR(INDEX(PP_Grid[#Data],M_BOM[PPGridRow],11),0))</f>
        <v/>
      </c>
      <c r="L76">
        <f>SUMPRODUCT((M_BOM[RM_Code]=$A76)*M_BOM[RM_Qty_Per_Batch]*IFERROR(INDEX(PP_Grid[#Data],M_BOM[PPGridRow],12),0))</f>
        <v/>
      </c>
      <c r="M76">
        <f>SUMPRODUCT((M_BOM[RM_Code]=$A76)*M_BOM[RM_Qty_Per_Batch]*IFERROR(INDEX(PP_Grid[#Data],M_BOM[PPGridRow],13),0))</f>
        <v/>
      </c>
      <c r="N76">
        <f>SUMPRODUCT((M_BOM[RM_Code]=$A76)*M_BOM[RM_Qty_Per_Batch]*IFERROR(INDEX(PP_Grid[#Data],M_BOM[PPGridRow],14),0))</f>
        <v/>
      </c>
      <c r="O76">
        <f>SUMPRODUCT((M_BOM[RM_Code]=$A76)*M_BOM[RM_Qty_Per_Batch]*IFERROR(INDEX(PP_Grid[#Data],M_BOM[PPGridRow],15),0))</f>
        <v/>
      </c>
      <c r="P76">
        <f>SUMPRODUCT((M_BOM[RM_Code]=$A76)*M_BOM[RM_Qty_Per_Batch]*IFERROR(INDEX(PP_Grid[#Data],M_BOM[PPGridRow],16),0))</f>
        <v/>
      </c>
      <c r="Q76">
        <f>SUMPRODUCT((M_BOM[RM_Code]=$A76)*M_BOM[RM_Qty_Per_Batch]*IFERROR(INDEX(PP_Grid[#Data],M_BOM[PPGridRow],17),0))</f>
        <v/>
      </c>
      <c r="R76">
        <f>SUMPRODUCT((M_BOM[RM_Code]=$A76)*M_BOM[RM_Qty_Per_Batch]*IFERROR(INDEX(PP_Grid[#Data],M_BOM[PPGridRow],18),0))</f>
        <v/>
      </c>
      <c r="S76">
        <f>SUMPRODUCT((M_BOM[RM_Code]=$A76)*M_BOM[RM_Qty_Per_Batch]*IFERROR(INDEX(PP_Grid[#Data],M_BOM[PPGridRow],19),0))</f>
        <v/>
      </c>
      <c r="T76">
        <f>SUMPRODUCT((M_BOM[RM_Code]=$A76)*M_BOM[RM_Qty_Per_Batch]*IFERROR(INDEX(PP_Grid[#Data],M_BOM[PPGridRow],20),0))</f>
        <v/>
      </c>
      <c r="U76">
        <f>SUMPRODUCT((M_BOM[RM_Code]=$A76)*M_BOM[RM_Qty_Per_Batch]*IFERROR(INDEX(PP_Grid[#Data],M_BOM[PPGridRow],21),0))</f>
        <v/>
      </c>
      <c r="V76">
        <f>SUMPRODUCT((M_BOM[RM_Code]=$A76)*M_BOM[RM_Qty_Per_Batch]*IFERROR(INDEX(PP_Grid[#Data],M_BOM[PPGridRow],22),0))</f>
        <v/>
      </c>
      <c r="W76">
        <f>SUMPRODUCT((M_BOM[RM_Code]=$A76)*M_BOM[RM_Qty_Per_Batch]*IFERROR(INDEX(PP_Grid[#Data],M_BOM[PPGridRow],23),0))</f>
        <v/>
      </c>
      <c r="X76">
        <f>SUMPRODUCT((M_BOM[RM_Code]=$A76)*M_BOM[RM_Qty_Per_Batch]*IFERROR(INDEX(PP_Grid[#Data],M_BOM[PPGridRow],24),0))</f>
        <v/>
      </c>
      <c r="Y76">
        <f>SUMPRODUCT((M_BOM[RM_Code]=$A76)*M_BOM[RM_Qty_Per_Batch]*IFERROR(INDEX(PP_Grid[#Data],M_BOM[PPGridRow],25),0))</f>
        <v/>
      </c>
      <c r="Z76">
        <f>SUMPRODUCT((M_BOM[RM_Code]=$A76)*M_BOM[RM_Qty_Per_Batch]*IFERROR(INDEX(PP_Grid[#Data],M_BOM[PPGridRow],26),0))</f>
        <v/>
      </c>
      <c r="AA76">
        <f>SUMPRODUCT((M_BOM[RM_Code]=$A76)*M_BOM[RM_Qty_Per_Batch]*IFERROR(INDEX(PP_Grid[#Data],M_BOM[PPGridRow],27),0))</f>
        <v/>
      </c>
      <c r="AB76">
        <f>SUMPRODUCT((M_BOM[RM_Code]=$A76)*M_BOM[RM_Qty_Per_Batch]*IFERROR(INDEX(PP_Grid[#Data],M_BOM[PPGridRow],28),0))</f>
        <v/>
      </c>
      <c r="AC76">
        <f>SUMPRODUCT((M_BOM[RM_Code]=$A76)*M_BOM[RM_Qty_Per_Batch]*IFERROR(INDEX(PP_Grid[#Data],M_BOM[PPGridRow],29),0))</f>
        <v/>
      </c>
      <c r="AD76">
        <f>SUMPRODUCT((M_BOM[RM_Code]=$A76)*M_BOM[RM_Qty_Per_Batch]*IFERROR(INDEX(PP_Grid[#Data],M_BOM[PPGridRow],30),0))</f>
        <v/>
      </c>
      <c r="AE76">
        <f>SUMPRODUCT((M_BOM[RM_Code]=$A76)*M_BOM[RM_Qty_Per_Batch]*IFERROR(INDEX(PP_Grid[#Data],M_BOM[PPGridRow],31),0))</f>
        <v/>
      </c>
      <c r="AF76">
        <f>SUMPRODUCT((M_BOM[RM_Code]=$A76)*M_BOM[RM_Qty_Per_Batch]*IFERROR(INDEX(PP_Grid[#Data],M_BOM[PPGridRow],32),0))</f>
        <v/>
      </c>
      <c r="AG76">
        <f>SUMPRODUCT((M_BOM[RM_Code]=$A76)*M_BOM[RM_Qty_Per_Batch]*IFERROR(INDEX(PP_Grid[#Data],M_BOM[PPGridRow],33),0))</f>
        <v/>
      </c>
      <c r="AH76">
        <f>SUMPRODUCT((M_BOM[RM_Code]=$A76)*M_BOM[RM_Qty_Per_Batch]*IFERROR(INDEX(PP_Grid[#Data],M_BOM[PPGridRow],34),0))</f>
        <v/>
      </c>
      <c r="AI76">
        <f>SUMPRODUCT((M_BOM[RM_Code]=$A76)*M_BOM[RM_Qty_Per_Batch]*IFERROR(INDEX(PP_Grid[#Data],M_BOM[PPGridRow],35),0))</f>
        <v/>
      </c>
      <c r="AJ76">
        <f>SUMPRODUCT((M_BOM[RM_Code]=$A76)*M_BOM[RM_Qty_Per_Batch]*IFERROR(INDEX(PP_Grid[#Data],M_BOM[PPGridRow],36),0))</f>
        <v/>
      </c>
      <c r="AK76">
        <f>SUMPRODUCT((M_BOM[RM_Code]=$A76)*M_BOM[RM_Qty_Per_Batch]*IFERROR(INDEX(PP_Grid[#Data],M_BOM[PPGridRow],37),0))</f>
        <v/>
      </c>
      <c r="AL76">
        <f>SUMPRODUCT((M_BOM[RM_Code]=$A76)*M_BOM[RM_Qty_Per_Batch]*IFERROR(INDEX(PP_Grid[#Data],M_BOM[PPGridRow],38),0))</f>
        <v/>
      </c>
      <c r="AM76">
        <f>SUMPRODUCT((M_BOM[RM_Code]=$A76)*M_BOM[RM_Qty_Per_Batch]*IFERROR(INDEX(PP_Grid[#Data],M_BOM[PPGridRow],39),0))</f>
        <v/>
      </c>
      <c r="AN76">
        <f>SUMPRODUCT((M_BOM[RM_Code]=$A76)*M_BOM[RM_Qty_Per_Batch]*IFERROR(INDEX(PP_Grid[#Data],M_BOM[PPGridRow],40),0))</f>
        <v/>
      </c>
      <c r="AO76">
        <f>SUMPRODUCT((M_BOM[RM_Code]=$A76)*M_BOM[RM_Qty_Per_Batch]*IFERROR(INDEX(PP_Grid[#Data],M_BOM[PPGridRow],41),0))</f>
        <v/>
      </c>
      <c r="AP76">
        <f>SUMPRODUCT((M_BOM[RM_Code]=$A76)*M_BOM[RM_Qty_Per_Batch]*IFERROR(INDEX(PP_Grid[#Data],M_BOM[PPGridRow],42),0))</f>
        <v/>
      </c>
      <c r="AQ76">
        <f>SUMPRODUCT((M_BOM[RM_Code]=$A76)*M_BOM[RM_Qty_Per_Batch]*IFERROR(INDEX(PP_Grid[#Data],M_BOM[PPGridRow],43),0))</f>
        <v/>
      </c>
      <c r="AR76">
        <f>SUMPRODUCT((M_BOM[RM_Code]=$A76)*M_BOM[RM_Qty_Per_Batch]*IFERROR(INDEX(PP_Grid[#Data],M_BOM[PPGridRow],44),0))</f>
        <v/>
      </c>
      <c r="AS76">
        <f>SUMPRODUCT((M_BOM[RM_Code]=$A76)*M_BOM[RM_Qty_Per_Batch]*IFERROR(INDEX(PP_Grid[#Data],M_BOM[PPGridRow],45),0))</f>
        <v/>
      </c>
      <c r="AT76">
        <f>SUMPRODUCT((M_BOM[RM_Code]=$A76)*M_BOM[RM_Qty_Per_Batch]*IFERROR(INDEX(PP_Grid[#Data],M_BOM[PPGridRow],46),0))</f>
        <v/>
      </c>
      <c r="AU76">
        <f>SUMPRODUCT((M_BOM[RM_Code]=$A76)*M_BOM[RM_Qty_Per_Batch]*IFERROR(INDEX(PP_Grid[#Data],M_BOM[PPGridRow],47),0))</f>
        <v/>
      </c>
      <c r="AV76">
        <f>SUMPRODUCT((M_BOM[RM_Code]=$A76)*M_BOM[RM_Qty_Per_Batch]*IFERROR(INDEX(PP_Grid[#Data],M_BOM[PPGridRow],48),0))</f>
        <v/>
      </c>
      <c r="AW76">
        <f>SUMPRODUCT((M_BOM[RM_Code]=$A76)*M_BOM[RM_Qty_Per_Batch]*IFERROR(INDEX(PP_Grid[#Data],M_BOM[PPGridRow],49),0))</f>
        <v/>
      </c>
      <c r="AX76">
        <f>SUMPRODUCT((M_BOM[RM_Code]=$A76)*M_BOM[RM_Qty_Per_Batch]*IFERROR(INDEX(PP_Grid[#Data],M_BOM[PPGridRow],50),0))</f>
        <v/>
      </c>
      <c r="AY76">
        <f>SUMPRODUCT((M_BOM[RM_Code]=$A76)*M_BOM[RM_Qty_Per_Batch]*IFERROR(INDEX(PP_Grid[#Data],M_BOM[PPGridRow],51),0))</f>
        <v/>
      </c>
      <c r="AZ76">
        <f>SUMPRODUCT((M_BOM[RM_Code]=$A76)*M_BOM[RM_Qty_Per_Batch]*IFERROR(INDEX(PP_Grid[#Data],M_BOM[PPGridRow],52),0))</f>
        <v/>
      </c>
      <c r="BA76">
        <f>SUMPRODUCT((M_BOM[RM_Code]=$A76)*M_BOM[RM_Qty_Per_Batch]*IFERROR(INDEX(PP_Grid[#Data],M_BOM[PPGridRow],53),0))</f>
        <v/>
      </c>
      <c r="BB76">
        <f>SUMPRODUCT((M_BOM[RM_Code]=$A76)*M_BOM[RM_Qty_Per_Batch]*IFERROR(INDEX(PP_Grid[#Data],M_BOM[PPGridRow],54),0))</f>
        <v/>
      </c>
      <c r="BC76">
        <f>SUMPRODUCT((M_BOM[RM_Code]=$A76)*M_BOM[RM_Qty_Per_Batch]*IFERROR(INDEX(PP_Grid[#Data],M_BOM[PPGridRow],55),0))</f>
        <v/>
      </c>
      <c r="BD76">
        <f>SUMPRODUCT((M_BOM[RM_Code]=$A76)*M_BOM[RM_Qty_Per_Batch]*IFERROR(INDEX(PP_Grid[#Data],M_BOM[PPGridRow],56),0))</f>
        <v/>
      </c>
      <c r="BE76">
        <f>SUMPRODUCT((M_BOM[RM_Code]=$A76)*M_BOM[RM_Qty_Per_Batch]*IFERROR(INDEX(PP_Grid[#Data],M_BOM[PPGridRow],57),0))</f>
        <v/>
      </c>
      <c r="BF76">
        <f>SUMPRODUCT((M_BOM[RM_Code]=$A76)*M_BOM[RM_Qty_Per_Batch]*IFERROR(INDEX(PP_Grid[#Data],M_BOM[PPGridRow],58),0))</f>
        <v/>
      </c>
      <c r="BG76">
        <f>SUMPRODUCT((M_BOM[RM_Code]=$A76)*M_BOM[RM_Qty_Per_Batch]*IFERROR(INDEX(PP_Grid[#Data],M_BOM[PPGridRow],59),0))</f>
        <v/>
      </c>
      <c r="BH76">
        <f>SUMPRODUCT((M_BOM[RM_Code]=$A76)*M_BOM[RM_Qty_Per_Batch]*IFERROR(INDEX(PP_Grid[#Data],M_BOM[PPGridRow],60),0))</f>
        <v/>
      </c>
      <c r="BI76">
        <f>SUMPRODUCT((M_BOM[RM_Code]=$A76)*M_BOM[RM_Qty_Per_Batch]*IFERROR(INDEX(PP_Grid[#Data],M_BOM[PPGridRow],61),0))</f>
        <v/>
      </c>
      <c r="BJ76">
        <f>SUMPRODUCT((M_BOM[RM_Code]=$A76)*M_BOM[RM_Qty_Per_Batch]*IFERROR(INDEX(PP_Grid[#Data],M_BOM[PPGridRow],62),0))</f>
        <v/>
      </c>
      <c r="BK76">
        <f>SUMPRODUCT((M_BOM[RM_Code]=$A76)*M_BOM[RM_Qty_Per_Batch]*IFERROR(INDEX(PP_Grid[#Data],M_BOM[PPGridRow],63),0))</f>
        <v/>
      </c>
      <c r="BL76">
        <f>SUMPRODUCT((M_BOM[RM_Code]=$A76)*M_BOM[RM_Qty_Per_Batch]*IFERROR(INDEX(PP_Grid[#Data],M_BOM[PPGridRow],64),0))</f>
        <v/>
      </c>
      <c r="BM76">
        <f>SUMPRODUCT((M_BOM[RM_Code]=$A76)*M_BOM[RM_Qty_Per_Batch]*IFERROR(INDEX(PP_Grid[#Data],M_BOM[PPGridRow],65),0))</f>
        <v/>
      </c>
      <c r="BN76">
        <f>SUMPRODUCT((M_BOM[RM_Code]=$A76)*M_BOM[RM_Qty_Per_Batch]*IFERROR(INDEX(PP_Grid[#Data],M_BOM[PPGridRow],66),0))</f>
        <v/>
      </c>
      <c r="BO76">
        <f>SUMPRODUCT((M_BOM[RM_Code]=$A76)*M_BOM[RM_Qty_Per_Batch]*IFERROR(INDEX(PP_Grid[#Data],M_BOM[PPGridRow],67),0))</f>
        <v/>
      </c>
      <c r="BP76">
        <f>SUMPRODUCT((M_BOM[RM_Code]=$A76)*M_BOM[RM_Qty_Per_Batch]*IFERROR(INDEX(PP_Grid[#Data],M_BOM[PPGridRow],68),0))</f>
        <v/>
      </c>
      <c r="BQ76">
        <f>SUMPRODUCT((M_BOM[RM_Code]=$A76)*M_BOM[RM_Qty_Per_Batch]*IFERROR(INDEX(PP_Grid[#Data],M_BOM[PPGridRow],69),0))</f>
        <v/>
      </c>
      <c r="BR76">
        <f>SUMPRODUCT((M_BOM[RM_Code]=$A76)*M_BOM[RM_Qty_Per_Batch]*IFERROR(INDEX(PP_Grid[#Data],M_BOM[PPGridRow],70),0))</f>
        <v/>
      </c>
      <c r="BS76">
        <f>SUMPRODUCT((M_BOM[RM_Code]=$A76)*M_BOM[RM_Qty_Per_Batch]*IFERROR(INDEX(PP_Grid[#Data],M_BOM[PPGridRow],71),0))</f>
        <v/>
      </c>
      <c r="BT76">
        <f>SUMPRODUCT((M_BOM[RM_Code]=$A76)*M_BOM[RM_Qty_Per_Batch]*IFERROR(INDEX(PP_Grid[#Data],M_BOM[PPGridRow],72),0))</f>
        <v/>
      </c>
      <c r="BU76">
        <f>SUMPRODUCT((M_BOM[RM_Code]=$A76)*M_BOM[RM_Qty_Per_Batch]*IFERROR(INDEX(PP_Grid[#Data],M_BOM[PPGridRow],73),0))</f>
        <v/>
      </c>
      <c r="BV76">
        <f>SUMPRODUCT((M_BOM[RM_Code]=$A76)*M_BOM[RM_Qty_Per_Batch]*IFERROR(INDEX(PP_Grid[#Data],M_BOM[PPGridRow],74),0))</f>
        <v/>
      </c>
      <c r="BW76">
        <f>SUMPRODUCT((M_BOM[RM_Code]=$A76)*M_BOM[RM_Qty_Per_Batch]*IFERROR(INDEX(PP_Grid[#Data],M_BOM[PPGridRow],75),0))</f>
        <v/>
      </c>
      <c r="BX76">
        <f>SUMPRODUCT((M_BOM[RM_Code]=$A76)*M_BOM[RM_Qty_Per_Batch]*IFERROR(INDEX(PP_Grid[#Data],M_BOM[PPGridRow],76),0))</f>
        <v/>
      </c>
      <c r="BY76">
        <f>SUMPRODUCT((M_BOM[RM_Code]=$A76)*M_BOM[RM_Qty_Per_Batch]*IFERROR(INDEX(PP_Grid[#Data],M_BOM[PPGridRow],77),0))</f>
        <v/>
      </c>
      <c r="BZ76">
        <f>SUMPRODUCT((M_BOM[RM_Code]=$A76)*M_BOM[RM_Qty_Per_Batch]*IFERROR(INDEX(PP_Grid[#Data],M_BOM[PPGridRow],78),0))</f>
        <v/>
      </c>
      <c r="CA76">
        <f>SUMPRODUCT((M_BOM[RM_Code]=$A76)*M_BOM[RM_Qty_Per_Batch]*IFERROR(INDEX(PP_Grid[#Data],M_BOM[PPGridRow],79),0))</f>
        <v/>
      </c>
      <c r="CB76">
        <f>SUMPRODUCT((M_BOM[RM_Code]=$A76)*M_BOM[RM_Qty_Per_Batch]*IFERROR(INDEX(PP_Grid[#Data],M_BOM[PPGridRow],80),0))</f>
        <v/>
      </c>
      <c r="CC76">
        <f>SUMPRODUCT((M_BOM[RM_Code]=$A76)*M_BOM[RM_Qty_Per_Batch]*IFERROR(INDEX(PP_Grid[#Data],M_BOM[PPGridRow],81),0))</f>
        <v/>
      </c>
      <c r="CD76">
        <f>SUMPRODUCT((M_BOM[RM_Code]=$A76)*M_BOM[RM_Qty_Per_Batch]*IFERROR(INDEX(PP_Grid[#Data],M_BOM[PPGridRow],82),0))</f>
        <v/>
      </c>
      <c r="CE76">
        <f>SUMPRODUCT((M_BOM[RM_Code]=$A76)*M_BOM[RM_Qty_Per_Batch]*IFERROR(INDEX(PP_Grid[#Data],M_BOM[PPGridRow],83),0))</f>
        <v/>
      </c>
      <c r="CF76">
        <f>SUMPRODUCT((M_BOM[RM_Code]=$A76)*M_BOM[RM_Qty_Per_Batch]*IFERROR(INDEX(PP_Grid[#Data],M_BOM[PPGridRow],84),0))</f>
        <v/>
      </c>
      <c r="CG76">
        <f>SUMPRODUCT((M_BOM[RM_Code]=$A76)*M_BOM[RM_Qty_Per_Batch]*IFERROR(INDEX(PP_Grid[#Data],M_BOM[PPGridRow],85),0))</f>
        <v/>
      </c>
      <c r="CH76">
        <f>SUMPRODUCT((M_BOM[RM_Code]=$A76)*M_BOM[RM_Qty_Per_Batch]*IFERROR(INDEX(PP_Grid[#Data],M_BOM[PPGridRow],86),0))</f>
        <v/>
      </c>
      <c r="CI76">
        <f>SUMPRODUCT((M_BOM[RM_Code]=$A76)*M_BOM[RM_Qty_Per_Batch]*IFERROR(INDEX(PP_Grid[#Data],M_BOM[PPGridRow],87),0))</f>
        <v/>
      </c>
      <c r="CJ76">
        <f>SUMPRODUCT((M_BOM[RM_Code]=$A76)*M_BOM[RM_Qty_Per_Batch]*IFERROR(INDEX(PP_Grid[#Data],M_BOM[PPGridRow],88),0))</f>
        <v/>
      </c>
      <c r="CK76">
        <f>SUMPRODUCT((M_BOM[RM_Code]=$A76)*M_BOM[RM_Qty_Per_Batch]*IFERROR(INDEX(PP_Grid[#Data],M_BOM[PPGridRow],89),0))</f>
        <v/>
      </c>
      <c r="CL76">
        <f>SUMPRODUCT((M_BOM[RM_Code]=$A76)*M_BOM[RM_Qty_Per_Batch]*IFERROR(INDEX(PP_Grid[#Data],M_BOM[PPGridRow],90),0))</f>
        <v/>
      </c>
      <c r="CM76">
        <f>SUMPRODUCT((M_BOM[RM_Code]=$A76)*M_BOM[RM_Qty_Per_Batch]*IFERROR(INDEX(PP_Grid[#Data],M_BOM[PPGridRow],91),0))</f>
        <v/>
      </c>
      <c r="CN76">
        <f>SUMPRODUCT((M_BOM[RM_Code]=$A76)*M_BOM[RM_Qty_Per_Batch]*IFERROR(INDEX(PP_Grid[#Data],M_BOM[PPGridRow],92),0))</f>
        <v/>
      </c>
      <c r="CO76">
        <f>SUMPRODUCT((M_BOM[RM_Code]=$A76)*M_BOM[RM_Qty_Per_Batch]*IFERROR(INDEX(PP_Grid[#Data],M_BOM[PPGridRow],93),0))</f>
        <v/>
      </c>
      <c r="CP76">
        <f>SUMPRODUCT((M_BOM[RM_Code]=$A76)*M_BOM[RM_Qty_Per_Batch]*IFERROR(INDEX(PP_Grid[#Data],M_BOM[PPGridRow],94),0))</f>
        <v/>
      </c>
      <c r="CQ76">
        <f>SUMPRODUCT((M_BOM[RM_Code]=$A76)*M_BOM[RM_Qty_Per_Batch]*IFERROR(INDEX(PP_Grid[#Data],M_BOM[PPGridRow],95),0))</f>
        <v/>
      </c>
      <c r="CR76">
        <f>SUMPRODUCT((M_BOM[RM_Code]=$A76)*M_BOM[RM_Qty_Per_Batch]*IFERROR(INDEX(PP_Grid[#Data],M_BOM[PPGridRow],96),0))</f>
        <v/>
      </c>
      <c r="CS76">
        <f>SUMPRODUCT((M_BOM[RM_Code]=$A76)*M_BOM[RM_Qty_Per_Batch]*IFERROR(INDEX(PP_Grid[#Data],M_BOM[PPGridRow],97),0))</f>
        <v/>
      </c>
      <c r="CT76">
        <f>SUMPRODUCT((M_BOM[RM_Code]=$A76)*M_BOM[RM_Qty_Per_Batch]*IFERROR(INDEX(PP_Grid[#Data],M_BOM[PPGridRow],98),0))</f>
        <v/>
      </c>
      <c r="CU76">
        <f>SUMPRODUCT((M_BOM[RM_Code]=$A76)*M_BOM[RM_Qty_Per_Batch]*IFERROR(INDEX(PP_Grid[#Data],M_BOM[PPGridRow],99),0))</f>
        <v/>
      </c>
      <c r="CV76">
        <f>SUMPRODUCT((M_BOM[RM_Code]=$A76)*M_BOM[RM_Qty_Per_Batch]*IFERROR(INDEX(PP_Grid[#Data],M_BOM[PPGridRow],100),0))</f>
        <v/>
      </c>
      <c r="CW76">
        <f>SUMPRODUCT((M_BOM[RM_Code]=$A76)*M_BOM[RM_Qty_Per_Batch]*IFERROR(INDEX(PP_Grid[#Data],M_BOM[PPGridRow],101),0))</f>
        <v/>
      </c>
      <c r="CX76">
        <f>SUMPRODUCT((M_BOM[RM_Code]=$A76)*M_BOM[RM_Qty_Per_Batch]*IFERROR(INDEX(PP_Grid[#Data],M_BOM[PPGridRow],102),0))</f>
        <v/>
      </c>
      <c r="CY76">
        <f>SUMPRODUCT((M_BOM[RM_Code]=$A76)*M_BOM[RM_Qty_Per_Batch]*IFERROR(INDEX(PP_Grid[#Data],M_BOM[PPGridRow],103),0))</f>
        <v/>
      </c>
      <c r="CZ76">
        <f>SUMPRODUCT((M_BOM[RM_Code]=$A76)*M_BOM[RM_Qty_Per_Batch]*IFERROR(INDEX(PP_Grid[#Data],M_BOM[PPGridRow],104),0))</f>
        <v/>
      </c>
      <c r="DA76">
        <f>SUMPRODUCT((M_BOM[RM_Code]=$A76)*M_BOM[RM_Qty_Per_Batch]*IFERROR(INDEX(PP_Grid[#Data],M_BOM[PPGridRow],105),0))</f>
        <v/>
      </c>
    </row>
    <row r="77">
      <c r="A77" t="inlineStr">
        <is>
          <t>Chem-1220</t>
        </is>
      </c>
      <c r="B77">
        <f>SUMPRODUCT((M_BOM[RM_Code]=$A77)*M_BOM[RM_Qty_Per_Batch]*IFERROR(INDEX(PP_Grid[#Data],M_BOM[PPGridRow],2),0))</f>
        <v/>
      </c>
      <c r="C77">
        <f>SUMPRODUCT((M_BOM[RM_Code]=$A77)*M_BOM[RM_Qty_Per_Batch]*IFERROR(INDEX(PP_Grid[#Data],M_BOM[PPGridRow],3),0))</f>
        <v/>
      </c>
      <c r="D77">
        <f>SUMPRODUCT((M_BOM[RM_Code]=$A77)*M_BOM[RM_Qty_Per_Batch]*IFERROR(INDEX(PP_Grid[#Data],M_BOM[PPGridRow],4),0))</f>
        <v/>
      </c>
      <c r="E77">
        <f>SUMPRODUCT((M_BOM[RM_Code]=$A77)*M_BOM[RM_Qty_Per_Batch]*IFERROR(INDEX(PP_Grid[#Data],M_BOM[PPGridRow],5),0))</f>
        <v/>
      </c>
      <c r="F77">
        <f>SUMPRODUCT((M_BOM[RM_Code]=$A77)*M_BOM[RM_Qty_Per_Batch]*IFERROR(INDEX(PP_Grid[#Data],M_BOM[PPGridRow],6),0))</f>
        <v/>
      </c>
      <c r="G77">
        <f>SUMPRODUCT((M_BOM[RM_Code]=$A77)*M_BOM[RM_Qty_Per_Batch]*IFERROR(INDEX(PP_Grid[#Data],M_BOM[PPGridRow],7),0))</f>
        <v/>
      </c>
      <c r="H77">
        <f>SUMPRODUCT((M_BOM[RM_Code]=$A77)*M_BOM[RM_Qty_Per_Batch]*IFERROR(INDEX(PP_Grid[#Data],M_BOM[PPGridRow],8),0))</f>
        <v/>
      </c>
      <c r="I77">
        <f>SUMPRODUCT((M_BOM[RM_Code]=$A77)*M_BOM[RM_Qty_Per_Batch]*IFERROR(INDEX(PP_Grid[#Data],M_BOM[PPGridRow],9),0))</f>
        <v/>
      </c>
      <c r="J77">
        <f>SUMPRODUCT((M_BOM[RM_Code]=$A77)*M_BOM[RM_Qty_Per_Batch]*IFERROR(INDEX(PP_Grid[#Data],M_BOM[PPGridRow],10),0))</f>
        <v/>
      </c>
      <c r="K77">
        <f>SUMPRODUCT((M_BOM[RM_Code]=$A77)*M_BOM[RM_Qty_Per_Batch]*IFERROR(INDEX(PP_Grid[#Data],M_BOM[PPGridRow],11),0))</f>
        <v/>
      </c>
      <c r="L77">
        <f>SUMPRODUCT((M_BOM[RM_Code]=$A77)*M_BOM[RM_Qty_Per_Batch]*IFERROR(INDEX(PP_Grid[#Data],M_BOM[PPGridRow],12),0))</f>
        <v/>
      </c>
      <c r="M77">
        <f>SUMPRODUCT((M_BOM[RM_Code]=$A77)*M_BOM[RM_Qty_Per_Batch]*IFERROR(INDEX(PP_Grid[#Data],M_BOM[PPGridRow],13),0))</f>
        <v/>
      </c>
      <c r="N77">
        <f>SUMPRODUCT((M_BOM[RM_Code]=$A77)*M_BOM[RM_Qty_Per_Batch]*IFERROR(INDEX(PP_Grid[#Data],M_BOM[PPGridRow],14),0))</f>
        <v/>
      </c>
      <c r="O77">
        <f>SUMPRODUCT((M_BOM[RM_Code]=$A77)*M_BOM[RM_Qty_Per_Batch]*IFERROR(INDEX(PP_Grid[#Data],M_BOM[PPGridRow],15),0))</f>
        <v/>
      </c>
      <c r="P77">
        <f>SUMPRODUCT((M_BOM[RM_Code]=$A77)*M_BOM[RM_Qty_Per_Batch]*IFERROR(INDEX(PP_Grid[#Data],M_BOM[PPGridRow],16),0))</f>
        <v/>
      </c>
      <c r="Q77">
        <f>SUMPRODUCT((M_BOM[RM_Code]=$A77)*M_BOM[RM_Qty_Per_Batch]*IFERROR(INDEX(PP_Grid[#Data],M_BOM[PPGridRow],17),0))</f>
        <v/>
      </c>
      <c r="R77">
        <f>SUMPRODUCT((M_BOM[RM_Code]=$A77)*M_BOM[RM_Qty_Per_Batch]*IFERROR(INDEX(PP_Grid[#Data],M_BOM[PPGridRow],18),0))</f>
        <v/>
      </c>
      <c r="S77">
        <f>SUMPRODUCT((M_BOM[RM_Code]=$A77)*M_BOM[RM_Qty_Per_Batch]*IFERROR(INDEX(PP_Grid[#Data],M_BOM[PPGridRow],19),0))</f>
        <v/>
      </c>
      <c r="T77">
        <f>SUMPRODUCT((M_BOM[RM_Code]=$A77)*M_BOM[RM_Qty_Per_Batch]*IFERROR(INDEX(PP_Grid[#Data],M_BOM[PPGridRow],20),0))</f>
        <v/>
      </c>
      <c r="U77">
        <f>SUMPRODUCT((M_BOM[RM_Code]=$A77)*M_BOM[RM_Qty_Per_Batch]*IFERROR(INDEX(PP_Grid[#Data],M_BOM[PPGridRow],21),0))</f>
        <v/>
      </c>
      <c r="V77">
        <f>SUMPRODUCT((M_BOM[RM_Code]=$A77)*M_BOM[RM_Qty_Per_Batch]*IFERROR(INDEX(PP_Grid[#Data],M_BOM[PPGridRow],22),0))</f>
        <v/>
      </c>
      <c r="W77">
        <f>SUMPRODUCT((M_BOM[RM_Code]=$A77)*M_BOM[RM_Qty_Per_Batch]*IFERROR(INDEX(PP_Grid[#Data],M_BOM[PPGridRow],23),0))</f>
        <v/>
      </c>
      <c r="X77">
        <f>SUMPRODUCT((M_BOM[RM_Code]=$A77)*M_BOM[RM_Qty_Per_Batch]*IFERROR(INDEX(PP_Grid[#Data],M_BOM[PPGridRow],24),0))</f>
        <v/>
      </c>
      <c r="Y77">
        <f>SUMPRODUCT((M_BOM[RM_Code]=$A77)*M_BOM[RM_Qty_Per_Batch]*IFERROR(INDEX(PP_Grid[#Data],M_BOM[PPGridRow],25),0))</f>
        <v/>
      </c>
      <c r="Z77">
        <f>SUMPRODUCT((M_BOM[RM_Code]=$A77)*M_BOM[RM_Qty_Per_Batch]*IFERROR(INDEX(PP_Grid[#Data],M_BOM[PPGridRow],26),0))</f>
        <v/>
      </c>
      <c r="AA77">
        <f>SUMPRODUCT((M_BOM[RM_Code]=$A77)*M_BOM[RM_Qty_Per_Batch]*IFERROR(INDEX(PP_Grid[#Data],M_BOM[PPGridRow],27),0))</f>
        <v/>
      </c>
      <c r="AB77">
        <f>SUMPRODUCT((M_BOM[RM_Code]=$A77)*M_BOM[RM_Qty_Per_Batch]*IFERROR(INDEX(PP_Grid[#Data],M_BOM[PPGridRow],28),0))</f>
        <v/>
      </c>
      <c r="AC77">
        <f>SUMPRODUCT((M_BOM[RM_Code]=$A77)*M_BOM[RM_Qty_Per_Batch]*IFERROR(INDEX(PP_Grid[#Data],M_BOM[PPGridRow],29),0))</f>
        <v/>
      </c>
      <c r="AD77">
        <f>SUMPRODUCT((M_BOM[RM_Code]=$A77)*M_BOM[RM_Qty_Per_Batch]*IFERROR(INDEX(PP_Grid[#Data],M_BOM[PPGridRow],30),0))</f>
        <v/>
      </c>
      <c r="AE77">
        <f>SUMPRODUCT((M_BOM[RM_Code]=$A77)*M_BOM[RM_Qty_Per_Batch]*IFERROR(INDEX(PP_Grid[#Data],M_BOM[PPGridRow],31),0))</f>
        <v/>
      </c>
      <c r="AF77">
        <f>SUMPRODUCT((M_BOM[RM_Code]=$A77)*M_BOM[RM_Qty_Per_Batch]*IFERROR(INDEX(PP_Grid[#Data],M_BOM[PPGridRow],32),0))</f>
        <v/>
      </c>
      <c r="AG77">
        <f>SUMPRODUCT((M_BOM[RM_Code]=$A77)*M_BOM[RM_Qty_Per_Batch]*IFERROR(INDEX(PP_Grid[#Data],M_BOM[PPGridRow],33),0))</f>
        <v/>
      </c>
      <c r="AH77">
        <f>SUMPRODUCT((M_BOM[RM_Code]=$A77)*M_BOM[RM_Qty_Per_Batch]*IFERROR(INDEX(PP_Grid[#Data],M_BOM[PPGridRow],34),0))</f>
        <v/>
      </c>
      <c r="AI77">
        <f>SUMPRODUCT((M_BOM[RM_Code]=$A77)*M_BOM[RM_Qty_Per_Batch]*IFERROR(INDEX(PP_Grid[#Data],M_BOM[PPGridRow],35),0))</f>
        <v/>
      </c>
      <c r="AJ77">
        <f>SUMPRODUCT((M_BOM[RM_Code]=$A77)*M_BOM[RM_Qty_Per_Batch]*IFERROR(INDEX(PP_Grid[#Data],M_BOM[PPGridRow],36),0))</f>
        <v/>
      </c>
      <c r="AK77">
        <f>SUMPRODUCT((M_BOM[RM_Code]=$A77)*M_BOM[RM_Qty_Per_Batch]*IFERROR(INDEX(PP_Grid[#Data],M_BOM[PPGridRow],37),0))</f>
        <v/>
      </c>
      <c r="AL77">
        <f>SUMPRODUCT((M_BOM[RM_Code]=$A77)*M_BOM[RM_Qty_Per_Batch]*IFERROR(INDEX(PP_Grid[#Data],M_BOM[PPGridRow],38),0))</f>
        <v/>
      </c>
      <c r="AM77">
        <f>SUMPRODUCT((M_BOM[RM_Code]=$A77)*M_BOM[RM_Qty_Per_Batch]*IFERROR(INDEX(PP_Grid[#Data],M_BOM[PPGridRow],39),0))</f>
        <v/>
      </c>
      <c r="AN77">
        <f>SUMPRODUCT((M_BOM[RM_Code]=$A77)*M_BOM[RM_Qty_Per_Batch]*IFERROR(INDEX(PP_Grid[#Data],M_BOM[PPGridRow],40),0))</f>
        <v/>
      </c>
      <c r="AO77">
        <f>SUMPRODUCT((M_BOM[RM_Code]=$A77)*M_BOM[RM_Qty_Per_Batch]*IFERROR(INDEX(PP_Grid[#Data],M_BOM[PPGridRow],41),0))</f>
        <v/>
      </c>
      <c r="AP77">
        <f>SUMPRODUCT((M_BOM[RM_Code]=$A77)*M_BOM[RM_Qty_Per_Batch]*IFERROR(INDEX(PP_Grid[#Data],M_BOM[PPGridRow],42),0))</f>
        <v/>
      </c>
      <c r="AQ77">
        <f>SUMPRODUCT((M_BOM[RM_Code]=$A77)*M_BOM[RM_Qty_Per_Batch]*IFERROR(INDEX(PP_Grid[#Data],M_BOM[PPGridRow],43),0))</f>
        <v/>
      </c>
      <c r="AR77">
        <f>SUMPRODUCT((M_BOM[RM_Code]=$A77)*M_BOM[RM_Qty_Per_Batch]*IFERROR(INDEX(PP_Grid[#Data],M_BOM[PPGridRow],44),0))</f>
        <v/>
      </c>
      <c r="AS77">
        <f>SUMPRODUCT((M_BOM[RM_Code]=$A77)*M_BOM[RM_Qty_Per_Batch]*IFERROR(INDEX(PP_Grid[#Data],M_BOM[PPGridRow],45),0))</f>
        <v/>
      </c>
      <c r="AT77">
        <f>SUMPRODUCT((M_BOM[RM_Code]=$A77)*M_BOM[RM_Qty_Per_Batch]*IFERROR(INDEX(PP_Grid[#Data],M_BOM[PPGridRow],46),0))</f>
        <v/>
      </c>
      <c r="AU77">
        <f>SUMPRODUCT((M_BOM[RM_Code]=$A77)*M_BOM[RM_Qty_Per_Batch]*IFERROR(INDEX(PP_Grid[#Data],M_BOM[PPGridRow],47),0))</f>
        <v/>
      </c>
      <c r="AV77">
        <f>SUMPRODUCT((M_BOM[RM_Code]=$A77)*M_BOM[RM_Qty_Per_Batch]*IFERROR(INDEX(PP_Grid[#Data],M_BOM[PPGridRow],48),0))</f>
        <v/>
      </c>
      <c r="AW77">
        <f>SUMPRODUCT((M_BOM[RM_Code]=$A77)*M_BOM[RM_Qty_Per_Batch]*IFERROR(INDEX(PP_Grid[#Data],M_BOM[PPGridRow],49),0))</f>
        <v/>
      </c>
      <c r="AX77">
        <f>SUMPRODUCT((M_BOM[RM_Code]=$A77)*M_BOM[RM_Qty_Per_Batch]*IFERROR(INDEX(PP_Grid[#Data],M_BOM[PPGridRow],50),0))</f>
        <v/>
      </c>
      <c r="AY77">
        <f>SUMPRODUCT((M_BOM[RM_Code]=$A77)*M_BOM[RM_Qty_Per_Batch]*IFERROR(INDEX(PP_Grid[#Data],M_BOM[PPGridRow],51),0))</f>
        <v/>
      </c>
      <c r="AZ77">
        <f>SUMPRODUCT((M_BOM[RM_Code]=$A77)*M_BOM[RM_Qty_Per_Batch]*IFERROR(INDEX(PP_Grid[#Data],M_BOM[PPGridRow],52),0))</f>
        <v/>
      </c>
      <c r="BA77">
        <f>SUMPRODUCT((M_BOM[RM_Code]=$A77)*M_BOM[RM_Qty_Per_Batch]*IFERROR(INDEX(PP_Grid[#Data],M_BOM[PPGridRow],53),0))</f>
        <v/>
      </c>
      <c r="BB77">
        <f>SUMPRODUCT((M_BOM[RM_Code]=$A77)*M_BOM[RM_Qty_Per_Batch]*IFERROR(INDEX(PP_Grid[#Data],M_BOM[PPGridRow],54),0))</f>
        <v/>
      </c>
      <c r="BC77">
        <f>SUMPRODUCT((M_BOM[RM_Code]=$A77)*M_BOM[RM_Qty_Per_Batch]*IFERROR(INDEX(PP_Grid[#Data],M_BOM[PPGridRow],55),0))</f>
        <v/>
      </c>
      <c r="BD77">
        <f>SUMPRODUCT((M_BOM[RM_Code]=$A77)*M_BOM[RM_Qty_Per_Batch]*IFERROR(INDEX(PP_Grid[#Data],M_BOM[PPGridRow],56),0))</f>
        <v/>
      </c>
      <c r="BE77">
        <f>SUMPRODUCT((M_BOM[RM_Code]=$A77)*M_BOM[RM_Qty_Per_Batch]*IFERROR(INDEX(PP_Grid[#Data],M_BOM[PPGridRow],57),0))</f>
        <v/>
      </c>
      <c r="BF77">
        <f>SUMPRODUCT((M_BOM[RM_Code]=$A77)*M_BOM[RM_Qty_Per_Batch]*IFERROR(INDEX(PP_Grid[#Data],M_BOM[PPGridRow],58),0))</f>
        <v/>
      </c>
      <c r="BG77">
        <f>SUMPRODUCT((M_BOM[RM_Code]=$A77)*M_BOM[RM_Qty_Per_Batch]*IFERROR(INDEX(PP_Grid[#Data],M_BOM[PPGridRow],59),0))</f>
        <v/>
      </c>
      <c r="BH77">
        <f>SUMPRODUCT((M_BOM[RM_Code]=$A77)*M_BOM[RM_Qty_Per_Batch]*IFERROR(INDEX(PP_Grid[#Data],M_BOM[PPGridRow],60),0))</f>
        <v/>
      </c>
      <c r="BI77">
        <f>SUMPRODUCT((M_BOM[RM_Code]=$A77)*M_BOM[RM_Qty_Per_Batch]*IFERROR(INDEX(PP_Grid[#Data],M_BOM[PPGridRow],61),0))</f>
        <v/>
      </c>
      <c r="BJ77">
        <f>SUMPRODUCT((M_BOM[RM_Code]=$A77)*M_BOM[RM_Qty_Per_Batch]*IFERROR(INDEX(PP_Grid[#Data],M_BOM[PPGridRow],62),0))</f>
        <v/>
      </c>
      <c r="BK77">
        <f>SUMPRODUCT((M_BOM[RM_Code]=$A77)*M_BOM[RM_Qty_Per_Batch]*IFERROR(INDEX(PP_Grid[#Data],M_BOM[PPGridRow],63),0))</f>
        <v/>
      </c>
      <c r="BL77">
        <f>SUMPRODUCT((M_BOM[RM_Code]=$A77)*M_BOM[RM_Qty_Per_Batch]*IFERROR(INDEX(PP_Grid[#Data],M_BOM[PPGridRow],64),0))</f>
        <v/>
      </c>
      <c r="BM77">
        <f>SUMPRODUCT((M_BOM[RM_Code]=$A77)*M_BOM[RM_Qty_Per_Batch]*IFERROR(INDEX(PP_Grid[#Data],M_BOM[PPGridRow],65),0))</f>
        <v/>
      </c>
      <c r="BN77">
        <f>SUMPRODUCT((M_BOM[RM_Code]=$A77)*M_BOM[RM_Qty_Per_Batch]*IFERROR(INDEX(PP_Grid[#Data],M_BOM[PPGridRow],66),0))</f>
        <v/>
      </c>
      <c r="BO77">
        <f>SUMPRODUCT((M_BOM[RM_Code]=$A77)*M_BOM[RM_Qty_Per_Batch]*IFERROR(INDEX(PP_Grid[#Data],M_BOM[PPGridRow],67),0))</f>
        <v/>
      </c>
      <c r="BP77">
        <f>SUMPRODUCT((M_BOM[RM_Code]=$A77)*M_BOM[RM_Qty_Per_Batch]*IFERROR(INDEX(PP_Grid[#Data],M_BOM[PPGridRow],68),0))</f>
        <v/>
      </c>
      <c r="BQ77">
        <f>SUMPRODUCT((M_BOM[RM_Code]=$A77)*M_BOM[RM_Qty_Per_Batch]*IFERROR(INDEX(PP_Grid[#Data],M_BOM[PPGridRow],69),0))</f>
        <v/>
      </c>
      <c r="BR77">
        <f>SUMPRODUCT((M_BOM[RM_Code]=$A77)*M_BOM[RM_Qty_Per_Batch]*IFERROR(INDEX(PP_Grid[#Data],M_BOM[PPGridRow],70),0))</f>
        <v/>
      </c>
      <c r="BS77">
        <f>SUMPRODUCT((M_BOM[RM_Code]=$A77)*M_BOM[RM_Qty_Per_Batch]*IFERROR(INDEX(PP_Grid[#Data],M_BOM[PPGridRow],71),0))</f>
        <v/>
      </c>
      <c r="BT77">
        <f>SUMPRODUCT((M_BOM[RM_Code]=$A77)*M_BOM[RM_Qty_Per_Batch]*IFERROR(INDEX(PP_Grid[#Data],M_BOM[PPGridRow],72),0))</f>
        <v/>
      </c>
      <c r="BU77">
        <f>SUMPRODUCT((M_BOM[RM_Code]=$A77)*M_BOM[RM_Qty_Per_Batch]*IFERROR(INDEX(PP_Grid[#Data],M_BOM[PPGridRow],73),0))</f>
        <v/>
      </c>
      <c r="BV77">
        <f>SUMPRODUCT((M_BOM[RM_Code]=$A77)*M_BOM[RM_Qty_Per_Batch]*IFERROR(INDEX(PP_Grid[#Data],M_BOM[PPGridRow],74),0))</f>
        <v/>
      </c>
      <c r="BW77">
        <f>SUMPRODUCT((M_BOM[RM_Code]=$A77)*M_BOM[RM_Qty_Per_Batch]*IFERROR(INDEX(PP_Grid[#Data],M_BOM[PPGridRow],75),0))</f>
        <v/>
      </c>
      <c r="BX77">
        <f>SUMPRODUCT((M_BOM[RM_Code]=$A77)*M_BOM[RM_Qty_Per_Batch]*IFERROR(INDEX(PP_Grid[#Data],M_BOM[PPGridRow],76),0))</f>
        <v/>
      </c>
      <c r="BY77">
        <f>SUMPRODUCT((M_BOM[RM_Code]=$A77)*M_BOM[RM_Qty_Per_Batch]*IFERROR(INDEX(PP_Grid[#Data],M_BOM[PPGridRow],77),0))</f>
        <v/>
      </c>
      <c r="BZ77">
        <f>SUMPRODUCT((M_BOM[RM_Code]=$A77)*M_BOM[RM_Qty_Per_Batch]*IFERROR(INDEX(PP_Grid[#Data],M_BOM[PPGridRow],78),0))</f>
        <v/>
      </c>
      <c r="CA77">
        <f>SUMPRODUCT((M_BOM[RM_Code]=$A77)*M_BOM[RM_Qty_Per_Batch]*IFERROR(INDEX(PP_Grid[#Data],M_BOM[PPGridRow],79),0))</f>
        <v/>
      </c>
      <c r="CB77">
        <f>SUMPRODUCT((M_BOM[RM_Code]=$A77)*M_BOM[RM_Qty_Per_Batch]*IFERROR(INDEX(PP_Grid[#Data],M_BOM[PPGridRow],80),0))</f>
        <v/>
      </c>
      <c r="CC77">
        <f>SUMPRODUCT((M_BOM[RM_Code]=$A77)*M_BOM[RM_Qty_Per_Batch]*IFERROR(INDEX(PP_Grid[#Data],M_BOM[PPGridRow],81),0))</f>
        <v/>
      </c>
      <c r="CD77">
        <f>SUMPRODUCT((M_BOM[RM_Code]=$A77)*M_BOM[RM_Qty_Per_Batch]*IFERROR(INDEX(PP_Grid[#Data],M_BOM[PPGridRow],82),0))</f>
        <v/>
      </c>
      <c r="CE77">
        <f>SUMPRODUCT((M_BOM[RM_Code]=$A77)*M_BOM[RM_Qty_Per_Batch]*IFERROR(INDEX(PP_Grid[#Data],M_BOM[PPGridRow],83),0))</f>
        <v/>
      </c>
      <c r="CF77">
        <f>SUMPRODUCT((M_BOM[RM_Code]=$A77)*M_BOM[RM_Qty_Per_Batch]*IFERROR(INDEX(PP_Grid[#Data],M_BOM[PPGridRow],84),0))</f>
        <v/>
      </c>
      <c r="CG77">
        <f>SUMPRODUCT((M_BOM[RM_Code]=$A77)*M_BOM[RM_Qty_Per_Batch]*IFERROR(INDEX(PP_Grid[#Data],M_BOM[PPGridRow],85),0))</f>
        <v/>
      </c>
      <c r="CH77">
        <f>SUMPRODUCT((M_BOM[RM_Code]=$A77)*M_BOM[RM_Qty_Per_Batch]*IFERROR(INDEX(PP_Grid[#Data],M_BOM[PPGridRow],86),0))</f>
        <v/>
      </c>
      <c r="CI77">
        <f>SUMPRODUCT((M_BOM[RM_Code]=$A77)*M_BOM[RM_Qty_Per_Batch]*IFERROR(INDEX(PP_Grid[#Data],M_BOM[PPGridRow],87),0))</f>
        <v/>
      </c>
      <c r="CJ77">
        <f>SUMPRODUCT((M_BOM[RM_Code]=$A77)*M_BOM[RM_Qty_Per_Batch]*IFERROR(INDEX(PP_Grid[#Data],M_BOM[PPGridRow],88),0))</f>
        <v/>
      </c>
      <c r="CK77">
        <f>SUMPRODUCT((M_BOM[RM_Code]=$A77)*M_BOM[RM_Qty_Per_Batch]*IFERROR(INDEX(PP_Grid[#Data],M_BOM[PPGridRow],89),0))</f>
        <v/>
      </c>
      <c r="CL77">
        <f>SUMPRODUCT((M_BOM[RM_Code]=$A77)*M_BOM[RM_Qty_Per_Batch]*IFERROR(INDEX(PP_Grid[#Data],M_BOM[PPGridRow],90),0))</f>
        <v/>
      </c>
      <c r="CM77">
        <f>SUMPRODUCT((M_BOM[RM_Code]=$A77)*M_BOM[RM_Qty_Per_Batch]*IFERROR(INDEX(PP_Grid[#Data],M_BOM[PPGridRow],91),0))</f>
        <v/>
      </c>
      <c r="CN77">
        <f>SUMPRODUCT((M_BOM[RM_Code]=$A77)*M_BOM[RM_Qty_Per_Batch]*IFERROR(INDEX(PP_Grid[#Data],M_BOM[PPGridRow],92),0))</f>
        <v/>
      </c>
      <c r="CO77">
        <f>SUMPRODUCT((M_BOM[RM_Code]=$A77)*M_BOM[RM_Qty_Per_Batch]*IFERROR(INDEX(PP_Grid[#Data],M_BOM[PPGridRow],93),0))</f>
        <v/>
      </c>
      <c r="CP77">
        <f>SUMPRODUCT((M_BOM[RM_Code]=$A77)*M_BOM[RM_Qty_Per_Batch]*IFERROR(INDEX(PP_Grid[#Data],M_BOM[PPGridRow],94),0))</f>
        <v/>
      </c>
      <c r="CQ77">
        <f>SUMPRODUCT((M_BOM[RM_Code]=$A77)*M_BOM[RM_Qty_Per_Batch]*IFERROR(INDEX(PP_Grid[#Data],M_BOM[PPGridRow],95),0))</f>
        <v/>
      </c>
      <c r="CR77">
        <f>SUMPRODUCT((M_BOM[RM_Code]=$A77)*M_BOM[RM_Qty_Per_Batch]*IFERROR(INDEX(PP_Grid[#Data],M_BOM[PPGridRow],96),0))</f>
        <v/>
      </c>
      <c r="CS77">
        <f>SUMPRODUCT((M_BOM[RM_Code]=$A77)*M_BOM[RM_Qty_Per_Batch]*IFERROR(INDEX(PP_Grid[#Data],M_BOM[PPGridRow],97),0))</f>
        <v/>
      </c>
      <c r="CT77">
        <f>SUMPRODUCT((M_BOM[RM_Code]=$A77)*M_BOM[RM_Qty_Per_Batch]*IFERROR(INDEX(PP_Grid[#Data],M_BOM[PPGridRow],98),0))</f>
        <v/>
      </c>
      <c r="CU77">
        <f>SUMPRODUCT((M_BOM[RM_Code]=$A77)*M_BOM[RM_Qty_Per_Batch]*IFERROR(INDEX(PP_Grid[#Data],M_BOM[PPGridRow],99),0))</f>
        <v/>
      </c>
      <c r="CV77">
        <f>SUMPRODUCT((M_BOM[RM_Code]=$A77)*M_BOM[RM_Qty_Per_Batch]*IFERROR(INDEX(PP_Grid[#Data],M_BOM[PPGridRow],100),0))</f>
        <v/>
      </c>
      <c r="CW77">
        <f>SUMPRODUCT((M_BOM[RM_Code]=$A77)*M_BOM[RM_Qty_Per_Batch]*IFERROR(INDEX(PP_Grid[#Data],M_BOM[PPGridRow],101),0))</f>
        <v/>
      </c>
      <c r="CX77">
        <f>SUMPRODUCT((M_BOM[RM_Code]=$A77)*M_BOM[RM_Qty_Per_Batch]*IFERROR(INDEX(PP_Grid[#Data],M_BOM[PPGridRow],102),0))</f>
        <v/>
      </c>
      <c r="CY77">
        <f>SUMPRODUCT((M_BOM[RM_Code]=$A77)*M_BOM[RM_Qty_Per_Batch]*IFERROR(INDEX(PP_Grid[#Data],M_BOM[PPGridRow],103),0))</f>
        <v/>
      </c>
      <c r="CZ77">
        <f>SUMPRODUCT((M_BOM[RM_Code]=$A77)*M_BOM[RM_Qty_Per_Batch]*IFERROR(INDEX(PP_Grid[#Data],M_BOM[PPGridRow],104),0))</f>
        <v/>
      </c>
      <c r="DA77">
        <f>SUMPRODUCT((M_BOM[RM_Code]=$A77)*M_BOM[RM_Qty_Per_Batch]*IFERROR(INDEX(PP_Grid[#Data],M_BOM[PPGridRow],105),0))</f>
        <v/>
      </c>
    </row>
    <row r="78">
      <c r="A78" t="inlineStr">
        <is>
          <t>Chem-1610</t>
        </is>
      </c>
      <c r="B78">
        <f>SUMPRODUCT((M_BOM[RM_Code]=$A78)*M_BOM[RM_Qty_Per_Batch]*IFERROR(INDEX(PP_Grid[#Data],M_BOM[PPGridRow],2),0))</f>
        <v/>
      </c>
      <c r="C78">
        <f>SUMPRODUCT((M_BOM[RM_Code]=$A78)*M_BOM[RM_Qty_Per_Batch]*IFERROR(INDEX(PP_Grid[#Data],M_BOM[PPGridRow],3),0))</f>
        <v/>
      </c>
      <c r="D78">
        <f>SUMPRODUCT((M_BOM[RM_Code]=$A78)*M_BOM[RM_Qty_Per_Batch]*IFERROR(INDEX(PP_Grid[#Data],M_BOM[PPGridRow],4),0))</f>
        <v/>
      </c>
      <c r="E78">
        <f>SUMPRODUCT((M_BOM[RM_Code]=$A78)*M_BOM[RM_Qty_Per_Batch]*IFERROR(INDEX(PP_Grid[#Data],M_BOM[PPGridRow],5),0))</f>
        <v/>
      </c>
      <c r="F78">
        <f>SUMPRODUCT((M_BOM[RM_Code]=$A78)*M_BOM[RM_Qty_Per_Batch]*IFERROR(INDEX(PP_Grid[#Data],M_BOM[PPGridRow],6),0))</f>
        <v/>
      </c>
      <c r="G78">
        <f>SUMPRODUCT((M_BOM[RM_Code]=$A78)*M_BOM[RM_Qty_Per_Batch]*IFERROR(INDEX(PP_Grid[#Data],M_BOM[PPGridRow],7),0))</f>
        <v/>
      </c>
      <c r="H78">
        <f>SUMPRODUCT((M_BOM[RM_Code]=$A78)*M_BOM[RM_Qty_Per_Batch]*IFERROR(INDEX(PP_Grid[#Data],M_BOM[PPGridRow],8),0))</f>
        <v/>
      </c>
      <c r="I78">
        <f>SUMPRODUCT((M_BOM[RM_Code]=$A78)*M_BOM[RM_Qty_Per_Batch]*IFERROR(INDEX(PP_Grid[#Data],M_BOM[PPGridRow],9),0))</f>
        <v/>
      </c>
      <c r="J78">
        <f>SUMPRODUCT((M_BOM[RM_Code]=$A78)*M_BOM[RM_Qty_Per_Batch]*IFERROR(INDEX(PP_Grid[#Data],M_BOM[PPGridRow],10),0))</f>
        <v/>
      </c>
      <c r="K78">
        <f>SUMPRODUCT((M_BOM[RM_Code]=$A78)*M_BOM[RM_Qty_Per_Batch]*IFERROR(INDEX(PP_Grid[#Data],M_BOM[PPGridRow],11),0))</f>
        <v/>
      </c>
      <c r="L78">
        <f>SUMPRODUCT((M_BOM[RM_Code]=$A78)*M_BOM[RM_Qty_Per_Batch]*IFERROR(INDEX(PP_Grid[#Data],M_BOM[PPGridRow],12),0))</f>
        <v/>
      </c>
      <c r="M78">
        <f>SUMPRODUCT((M_BOM[RM_Code]=$A78)*M_BOM[RM_Qty_Per_Batch]*IFERROR(INDEX(PP_Grid[#Data],M_BOM[PPGridRow],13),0))</f>
        <v/>
      </c>
      <c r="N78">
        <f>SUMPRODUCT((M_BOM[RM_Code]=$A78)*M_BOM[RM_Qty_Per_Batch]*IFERROR(INDEX(PP_Grid[#Data],M_BOM[PPGridRow],14),0))</f>
        <v/>
      </c>
      <c r="O78">
        <f>SUMPRODUCT((M_BOM[RM_Code]=$A78)*M_BOM[RM_Qty_Per_Batch]*IFERROR(INDEX(PP_Grid[#Data],M_BOM[PPGridRow],15),0))</f>
        <v/>
      </c>
      <c r="P78">
        <f>SUMPRODUCT((M_BOM[RM_Code]=$A78)*M_BOM[RM_Qty_Per_Batch]*IFERROR(INDEX(PP_Grid[#Data],M_BOM[PPGridRow],16),0))</f>
        <v/>
      </c>
      <c r="Q78">
        <f>SUMPRODUCT((M_BOM[RM_Code]=$A78)*M_BOM[RM_Qty_Per_Batch]*IFERROR(INDEX(PP_Grid[#Data],M_BOM[PPGridRow],17),0))</f>
        <v/>
      </c>
      <c r="R78">
        <f>SUMPRODUCT((M_BOM[RM_Code]=$A78)*M_BOM[RM_Qty_Per_Batch]*IFERROR(INDEX(PP_Grid[#Data],M_BOM[PPGridRow],18),0))</f>
        <v/>
      </c>
      <c r="S78">
        <f>SUMPRODUCT((M_BOM[RM_Code]=$A78)*M_BOM[RM_Qty_Per_Batch]*IFERROR(INDEX(PP_Grid[#Data],M_BOM[PPGridRow],19),0))</f>
        <v/>
      </c>
      <c r="T78">
        <f>SUMPRODUCT((M_BOM[RM_Code]=$A78)*M_BOM[RM_Qty_Per_Batch]*IFERROR(INDEX(PP_Grid[#Data],M_BOM[PPGridRow],20),0))</f>
        <v/>
      </c>
      <c r="U78">
        <f>SUMPRODUCT((M_BOM[RM_Code]=$A78)*M_BOM[RM_Qty_Per_Batch]*IFERROR(INDEX(PP_Grid[#Data],M_BOM[PPGridRow],21),0))</f>
        <v/>
      </c>
      <c r="V78">
        <f>SUMPRODUCT((M_BOM[RM_Code]=$A78)*M_BOM[RM_Qty_Per_Batch]*IFERROR(INDEX(PP_Grid[#Data],M_BOM[PPGridRow],22),0))</f>
        <v/>
      </c>
      <c r="W78">
        <f>SUMPRODUCT((M_BOM[RM_Code]=$A78)*M_BOM[RM_Qty_Per_Batch]*IFERROR(INDEX(PP_Grid[#Data],M_BOM[PPGridRow],23),0))</f>
        <v/>
      </c>
      <c r="X78">
        <f>SUMPRODUCT((M_BOM[RM_Code]=$A78)*M_BOM[RM_Qty_Per_Batch]*IFERROR(INDEX(PP_Grid[#Data],M_BOM[PPGridRow],24),0))</f>
        <v/>
      </c>
      <c r="Y78">
        <f>SUMPRODUCT((M_BOM[RM_Code]=$A78)*M_BOM[RM_Qty_Per_Batch]*IFERROR(INDEX(PP_Grid[#Data],M_BOM[PPGridRow],25),0))</f>
        <v/>
      </c>
      <c r="Z78">
        <f>SUMPRODUCT((M_BOM[RM_Code]=$A78)*M_BOM[RM_Qty_Per_Batch]*IFERROR(INDEX(PP_Grid[#Data],M_BOM[PPGridRow],26),0))</f>
        <v/>
      </c>
      <c r="AA78">
        <f>SUMPRODUCT((M_BOM[RM_Code]=$A78)*M_BOM[RM_Qty_Per_Batch]*IFERROR(INDEX(PP_Grid[#Data],M_BOM[PPGridRow],27),0))</f>
        <v/>
      </c>
      <c r="AB78">
        <f>SUMPRODUCT((M_BOM[RM_Code]=$A78)*M_BOM[RM_Qty_Per_Batch]*IFERROR(INDEX(PP_Grid[#Data],M_BOM[PPGridRow],28),0))</f>
        <v/>
      </c>
      <c r="AC78">
        <f>SUMPRODUCT((M_BOM[RM_Code]=$A78)*M_BOM[RM_Qty_Per_Batch]*IFERROR(INDEX(PP_Grid[#Data],M_BOM[PPGridRow],29),0))</f>
        <v/>
      </c>
      <c r="AD78">
        <f>SUMPRODUCT((M_BOM[RM_Code]=$A78)*M_BOM[RM_Qty_Per_Batch]*IFERROR(INDEX(PP_Grid[#Data],M_BOM[PPGridRow],30),0))</f>
        <v/>
      </c>
      <c r="AE78">
        <f>SUMPRODUCT((M_BOM[RM_Code]=$A78)*M_BOM[RM_Qty_Per_Batch]*IFERROR(INDEX(PP_Grid[#Data],M_BOM[PPGridRow],31),0))</f>
        <v/>
      </c>
      <c r="AF78">
        <f>SUMPRODUCT((M_BOM[RM_Code]=$A78)*M_BOM[RM_Qty_Per_Batch]*IFERROR(INDEX(PP_Grid[#Data],M_BOM[PPGridRow],32),0))</f>
        <v/>
      </c>
      <c r="AG78">
        <f>SUMPRODUCT((M_BOM[RM_Code]=$A78)*M_BOM[RM_Qty_Per_Batch]*IFERROR(INDEX(PP_Grid[#Data],M_BOM[PPGridRow],33),0))</f>
        <v/>
      </c>
      <c r="AH78">
        <f>SUMPRODUCT((M_BOM[RM_Code]=$A78)*M_BOM[RM_Qty_Per_Batch]*IFERROR(INDEX(PP_Grid[#Data],M_BOM[PPGridRow],34),0))</f>
        <v/>
      </c>
      <c r="AI78">
        <f>SUMPRODUCT((M_BOM[RM_Code]=$A78)*M_BOM[RM_Qty_Per_Batch]*IFERROR(INDEX(PP_Grid[#Data],M_BOM[PPGridRow],35),0))</f>
        <v/>
      </c>
      <c r="AJ78">
        <f>SUMPRODUCT((M_BOM[RM_Code]=$A78)*M_BOM[RM_Qty_Per_Batch]*IFERROR(INDEX(PP_Grid[#Data],M_BOM[PPGridRow],36),0))</f>
        <v/>
      </c>
      <c r="AK78">
        <f>SUMPRODUCT((M_BOM[RM_Code]=$A78)*M_BOM[RM_Qty_Per_Batch]*IFERROR(INDEX(PP_Grid[#Data],M_BOM[PPGridRow],37),0))</f>
        <v/>
      </c>
      <c r="AL78">
        <f>SUMPRODUCT((M_BOM[RM_Code]=$A78)*M_BOM[RM_Qty_Per_Batch]*IFERROR(INDEX(PP_Grid[#Data],M_BOM[PPGridRow],38),0))</f>
        <v/>
      </c>
      <c r="AM78">
        <f>SUMPRODUCT((M_BOM[RM_Code]=$A78)*M_BOM[RM_Qty_Per_Batch]*IFERROR(INDEX(PP_Grid[#Data],M_BOM[PPGridRow],39),0))</f>
        <v/>
      </c>
      <c r="AN78">
        <f>SUMPRODUCT((M_BOM[RM_Code]=$A78)*M_BOM[RM_Qty_Per_Batch]*IFERROR(INDEX(PP_Grid[#Data],M_BOM[PPGridRow],40),0))</f>
        <v/>
      </c>
      <c r="AO78">
        <f>SUMPRODUCT((M_BOM[RM_Code]=$A78)*M_BOM[RM_Qty_Per_Batch]*IFERROR(INDEX(PP_Grid[#Data],M_BOM[PPGridRow],41),0))</f>
        <v/>
      </c>
      <c r="AP78">
        <f>SUMPRODUCT((M_BOM[RM_Code]=$A78)*M_BOM[RM_Qty_Per_Batch]*IFERROR(INDEX(PP_Grid[#Data],M_BOM[PPGridRow],42),0))</f>
        <v/>
      </c>
      <c r="AQ78">
        <f>SUMPRODUCT((M_BOM[RM_Code]=$A78)*M_BOM[RM_Qty_Per_Batch]*IFERROR(INDEX(PP_Grid[#Data],M_BOM[PPGridRow],43),0))</f>
        <v/>
      </c>
      <c r="AR78">
        <f>SUMPRODUCT((M_BOM[RM_Code]=$A78)*M_BOM[RM_Qty_Per_Batch]*IFERROR(INDEX(PP_Grid[#Data],M_BOM[PPGridRow],44),0))</f>
        <v/>
      </c>
      <c r="AS78">
        <f>SUMPRODUCT((M_BOM[RM_Code]=$A78)*M_BOM[RM_Qty_Per_Batch]*IFERROR(INDEX(PP_Grid[#Data],M_BOM[PPGridRow],45),0))</f>
        <v/>
      </c>
      <c r="AT78">
        <f>SUMPRODUCT((M_BOM[RM_Code]=$A78)*M_BOM[RM_Qty_Per_Batch]*IFERROR(INDEX(PP_Grid[#Data],M_BOM[PPGridRow],46),0))</f>
        <v/>
      </c>
      <c r="AU78">
        <f>SUMPRODUCT((M_BOM[RM_Code]=$A78)*M_BOM[RM_Qty_Per_Batch]*IFERROR(INDEX(PP_Grid[#Data],M_BOM[PPGridRow],47),0))</f>
        <v/>
      </c>
      <c r="AV78">
        <f>SUMPRODUCT((M_BOM[RM_Code]=$A78)*M_BOM[RM_Qty_Per_Batch]*IFERROR(INDEX(PP_Grid[#Data],M_BOM[PPGridRow],48),0))</f>
        <v/>
      </c>
      <c r="AW78">
        <f>SUMPRODUCT((M_BOM[RM_Code]=$A78)*M_BOM[RM_Qty_Per_Batch]*IFERROR(INDEX(PP_Grid[#Data],M_BOM[PPGridRow],49),0))</f>
        <v/>
      </c>
      <c r="AX78">
        <f>SUMPRODUCT((M_BOM[RM_Code]=$A78)*M_BOM[RM_Qty_Per_Batch]*IFERROR(INDEX(PP_Grid[#Data],M_BOM[PPGridRow],50),0))</f>
        <v/>
      </c>
      <c r="AY78">
        <f>SUMPRODUCT((M_BOM[RM_Code]=$A78)*M_BOM[RM_Qty_Per_Batch]*IFERROR(INDEX(PP_Grid[#Data],M_BOM[PPGridRow],51),0))</f>
        <v/>
      </c>
      <c r="AZ78">
        <f>SUMPRODUCT((M_BOM[RM_Code]=$A78)*M_BOM[RM_Qty_Per_Batch]*IFERROR(INDEX(PP_Grid[#Data],M_BOM[PPGridRow],52),0))</f>
        <v/>
      </c>
      <c r="BA78">
        <f>SUMPRODUCT((M_BOM[RM_Code]=$A78)*M_BOM[RM_Qty_Per_Batch]*IFERROR(INDEX(PP_Grid[#Data],M_BOM[PPGridRow],53),0))</f>
        <v/>
      </c>
      <c r="BB78">
        <f>SUMPRODUCT((M_BOM[RM_Code]=$A78)*M_BOM[RM_Qty_Per_Batch]*IFERROR(INDEX(PP_Grid[#Data],M_BOM[PPGridRow],54),0))</f>
        <v/>
      </c>
      <c r="BC78">
        <f>SUMPRODUCT((M_BOM[RM_Code]=$A78)*M_BOM[RM_Qty_Per_Batch]*IFERROR(INDEX(PP_Grid[#Data],M_BOM[PPGridRow],55),0))</f>
        <v/>
      </c>
      <c r="BD78">
        <f>SUMPRODUCT((M_BOM[RM_Code]=$A78)*M_BOM[RM_Qty_Per_Batch]*IFERROR(INDEX(PP_Grid[#Data],M_BOM[PPGridRow],56),0))</f>
        <v/>
      </c>
      <c r="BE78">
        <f>SUMPRODUCT((M_BOM[RM_Code]=$A78)*M_BOM[RM_Qty_Per_Batch]*IFERROR(INDEX(PP_Grid[#Data],M_BOM[PPGridRow],57),0))</f>
        <v/>
      </c>
      <c r="BF78">
        <f>SUMPRODUCT((M_BOM[RM_Code]=$A78)*M_BOM[RM_Qty_Per_Batch]*IFERROR(INDEX(PP_Grid[#Data],M_BOM[PPGridRow],58),0))</f>
        <v/>
      </c>
      <c r="BG78">
        <f>SUMPRODUCT((M_BOM[RM_Code]=$A78)*M_BOM[RM_Qty_Per_Batch]*IFERROR(INDEX(PP_Grid[#Data],M_BOM[PPGridRow],59),0))</f>
        <v/>
      </c>
      <c r="BH78">
        <f>SUMPRODUCT((M_BOM[RM_Code]=$A78)*M_BOM[RM_Qty_Per_Batch]*IFERROR(INDEX(PP_Grid[#Data],M_BOM[PPGridRow],60),0))</f>
        <v/>
      </c>
      <c r="BI78">
        <f>SUMPRODUCT((M_BOM[RM_Code]=$A78)*M_BOM[RM_Qty_Per_Batch]*IFERROR(INDEX(PP_Grid[#Data],M_BOM[PPGridRow],61),0))</f>
        <v/>
      </c>
      <c r="BJ78">
        <f>SUMPRODUCT((M_BOM[RM_Code]=$A78)*M_BOM[RM_Qty_Per_Batch]*IFERROR(INDEX(PP_Grid[#Data],M_BOM[PPGridRow],62),0))</f>
        <v/>
      </c>
      <c r="BK78">
        <f>SUMPRODUCT((M_BOM[RM_Code]=$A78)*M_BOM[RM_Qty_Per_Batch]*IFERROR(INDEX(PP_Grid[#Data],M_BOM[PPGridRow],63),0))</f>
        <v/>
      </c>
      <c r="BL78">
        <f>SUMPRODUCT((M_BOM[RM_Code]=$A78)*M_BOM[RM_Qty_Per_Batch]*IFERROR(INDEX(PP_Grid[#Data],M_BOM[PPGridRow],64),0))</f>
        <v/>
      </c>
      <c r="BM78">
        <f>SUMPRODUCT((M_BOM[RM_Code]=$A78)*M_BOM[RM_Qty_Per_Batch]*IFERROR(INDEX(PP_Grid[#Data],M_BOM[PPGridRow],65),0))</f>
        <v/>
      </c>
      <c r="BN78">
        <f>SUMPRODUCT((M_BOM[RM_Code]=$A78)*M_BOM[RM_Qty_Per_Batch]*IFERROR(INDEX(PP_Grid[#Data],M_BOM[PPGridRow],66),0))</f>
        <v/>
      </c>
      <c r="BO78">
        <f>SUMPRODUCT((M_BOM[RM_Code]=$A78)*M_BOM[RM_Qty_Per_Batch]*IFERROR(INDEX(PP_Grid[#Data],M_BOM[PPGridRow],67),0))</f>
        <v/>
      </c>
      <c r="BP78">
        <f>SUMPRODUCT((M_BOM[RM_Code]=$A78)*M_BOM[RM_Qty_Per_Batch]*IFERROR(INDEX(PP_Grid[#Data],M_BOM[PPGridRow],68),0))</f>
        <v/>
      </c>
      <c r="BQ78">
        <f>SUMPRODUCT((M_BOM[RM_Code]=$A78)*M_BOM[RM_Qty_Per_Batch]*IFERROR(INDEX(PP_Grid[#Data],M_BOM[PPGridRow],69),0))</f>
        <v/>
      </c>
      <c r="BR78">
        <f>SUMPRODUCT((M_BOM[RM_Code]=$A78)*M_BOM[RM_Qty_Per_Batch]*IFERROR(INDEX(PP_Grid[#Data],M_BOM[PPGridRow],70),0))</f>
        <v/>
      </c>
      <c r="BS78">
        <f>SUMPRODUCT((M_BOM[RM_Code]=$A78)*M_BOM[RM_Qty_Per_Batch]*IFERROR(INDEX(PP_Grid[#Data],M_BOM[PPGridRow],71),0))</f>
        <v/>
      </c>
      <c r="BT78">
        <f>SUMPRODUCT((M_BOM[RM_Code]=$A78)*M_BOM[RM_Qty_Per_Batch]*IFERROR(INDEX(PP_Grid[#Data],M_BOM[PPGridRow],72),0))</f>
        <v/>
      </c>
      <c r="BU78">
        <f>SUMPRODUCT((M_BOM[RM_Code]=$A78)*M_BOM[RM_Qty_Per_Batch]*IFERROR(INDEX(PP_Grid[#Data],M_BOM[PPGridRow],73),0))</f>
        <v/>
      </c>
      <c r="BV78">
        <f>SUMPRODUCT((M_BOM[RM_Code]=$A78)*M_BOM[RM_Qty_Per_Batch]*IFERROR(INDEX(PP_Grid[#Data],M_BOM[PPGridRow],74),0))</f>
        <v/>
      </c>
      <c r="BW78">
        <f>SUMPRODUCT((M_BOM[RM_Code]=$A78)*M_BOM[RM_Qty_Per_Batch]*IFERROR(INDEX(PP_Grid[#Data],M_BOM[PPGridRow],75),0))</f>
        <v/>
      </c>
      <c r="BX78">
        <f>SUMPRODUCT((M_BOM[RM_Code]=$A78)*M_BOM[RM_Qty_Per_Batch]*IFERROR(INDEX(PP_Grid[#Data],M_BOM[PPGridRow],76),0))</f>
        <v/>
      </c>
      <c r="BY78">
        <f>SUMPRODUCT((M_BOM[RM_Code]=$A78)*M_BOM[RM_Qty_Per_Batch]*IFERROR(INDEX(PP_Grid[#Data],M_BOM[PPGridRow],77),0))</f>
        <v/>
      </c>
      <c r="BZ78">
        <f>SUMPRODUCT((M_BOM[RM_Code]=$A78)*M_BOM[RM_Qty_Per_Batch]*IFERROR(INDEX(PP_Grid[#Data],M_BOM[PPGridRow],78),0))</f>
        <v/>
      </c>
      <c r="CA78">
        <f>SUMPRODUCT((M_BOM[RM_Code]=$A78)*M_BOM[RM_Qty_Per_Batch]*IFERROR(INDEX(PP_Grid[#Data],M_BOM[PPGridRow],79),0))</f>
        <v/>
      </c>
      <c r="CB78">
        <f>SUMPRODUCT((M_BOM[RM_Code]=$A78)*M_BOM[RM_Qty_Per_Batch]*IFERROR(INDEX(PP_Grid[#Data],M_BOM[PPGridRow],80),0))</f>
        <v/>
      </c>
      <c r="CC78">
        <f>SUMPRODUCT((M_BOM[RM_Code]=$A78)*M_BOM[RM_Qty_Per_Batch]*IFERROR(INDEX(PP_Grid[#Data],M_BOM[PPGridRow],81),0))</f>
        <v/>
      </c>
      <c r="CD78">
        <f>SUMPRODUCT((M_BOM[RM_Code]=$A78)*M_BOM[RM_Qty_Per_Batch]*IFERROR(INDEX(PP_Grid[#Data],M_BOM[PPGridRow],82),0))</f>
        <v/>
      </c>
      <c r="CE78">
        <f>SUMPRODUCT((M_BOM[RM_Code]=$A78)*M_BOM[RM_Qty_Per_Batch]*IFERROR(INDEX(PP_Grid[#Data],M_BOM[PPGridRow],83),0))</f>
        <v/>
      </c>
      <c r="CF78">
        <f>SUMPRODUCT((M_BOM[RM_Code]=$A78)*M_BOM[RM_Qty_Per_Batch]*IFERROR(INDEX(PP_Grid[#Data],M_BOM[PPGridRow],84),0))</f>
        <v/>
      </c>
      <c r="CG78">
        <f>SUMPRODUCT((M_BOM[RM_Code]=$A78)*M_BOM[RM_Qty_Per_Batch]*IFERROR(INDEX(PP_Grid[#Data],M_BOM[PPGridRow],85),0))</f>
        <v/>
      </c>
      <c r="CH78">
        <f>SUMPRODUCT((M_BOM[RM_Code]=$A78)*M_BOM[RM_Qty_Per_Batch]*IFERROR(INDEX(PP_Grid[#Data],M_BOM[PPGridRow],86),0))</f>
        <v/>
      </c>
      <c r="CI78">
        <f>SUMPRODUCT((M_BOM[RM_Code]=$A78)*M_BOM[RM_Qty_Per_Batch]*IFERROR(INDEX(PP_Grid[#Data],M_BOM[PPGridRow],87),0))</f>
        <v/>
      </c>
      <c r="CJ78">
        <f>SUMPRODUCT((M_BOM[RM_Code]=$A78)*M_BOM[RM_Qty_Per_Batch]*IFERROR(INDEX(PP_Grid[#Data],M_BOM[PPGridRow],88),0))</f>
        <v/>
      </c>
      <c r="CK78">
        <f>SUMPRODUCT((M_BOM[RM_Code]=$A78)*M_BOM[RM_Qty_Per_Batch]*IFERROR(INDEX(PP_Grid[#Data],M_BOM[PPGridRow],89),0))</f>
        <v/>
      </c>
      <c r="CL78">
        <f>SUMPRODUCT((M_BOM[RM_Code]=$A78)*M_BOM[RM_Qty_Per_Batch]*IFERROR(INDEX(PP_Grid[#Data],M_BOM[PPGridRow],90),0))</f>
        <v/>
      </c>
      <c r="CM78">
        <f>SUMPRODUCT((M_BOM[RM_Code]=$A78)*M_BOM[RM_Qty_Per_Batch]*IFERROR(INDEX(PP_Grid[#Data],M_BOM[PPGridRow],91),0))</f>
        <v/>
      </c>
      <c r="CN78">
        <f>SUMPRODUCT((M_BOM[RM_Code]=$A78)*M_BOM[RM_Qty_Per_Batch]*IFERROR(INDEX(PP_Grid[#Data],M_BOM[PPGridRow],92),0))</f>
        <v/>
      </c>
      <c r="CO78">
        <f>SUMPRODUCT((M_BOM[RM_Code]=$A78)*M_BOM[RM_Qty_Per_Batch]*IFERROR(INDEX(PP_Grid[#Data],M_BOM[PPGridRow],93),0))</f>
        <v/>
      </c>
      <c r="CP78">
        <f>SUMPRODUCT((M_BOM[RM_Code]=$A78)*M_BOM[RM_Qty_Per_Batch]*IFERROR(INDEX(PP_Grid[#Data],M_BOM[PPGridRow],94),0))</f>
        <v/>
      </c>
      <c r="CQ78">
        <f>SUMPRODUCT((M_BOM[RM_Code]=$A78)*M_BOM[RM_Qty_Per_Batch]*IFERROR(INDEX(PP_Grid[#Data],M_BOM[PPGridRow],95),0))</f>
        <v/>
      </c>
      <c r="CR78">
        <f>SUMPRODUCT((M_BOM[RM_Code]=$A78)*M_BOM[RM_Qty_Per_Batch]*IFERROR(INDEX(PP_Grid[#Data],M_BOM[PPGridRow],96),0))</f>
        <v/>
      </c>
      <c r="CS78">
        <f>SUMPRODUCT((M_BOM[RM_Code]=$A78)*M_BOM[RM_Qty_Per_Batch]*IFERROR(INDEX(PP_Grid[#Data],M_BOM[PPGridRow],97),0))</f>
        <v/>
      </c>
      <c r="CT78">
        <f>SUMPRODUCT((M_BOM[RM_Code]=$A78)*M_BOM[RM_Qty_Per_Batch]*IFERROR(INDEX(PP_Grid[#Data],M_BOM[PPGridRow],98),0))</f>
        <v/>
      </c>
      <c r="CU78">
        <f>SUMPRODUCT((M_BOM[RM_Code]=$A78)*M_BOM[RM_Qty_Per_Batch]*IFERROR(INDEX(PP_Grid[#Data],M_BOM[PPGridRow],99),0))</f>
        <v/>
      </c>
      <c r="CV78">
        <f>SUMPRODUCT((M_BOM[RM_Code]=$A78)*M_BOM[RM_Qty_Per_Batch]*IFERROR(INDEX(PP_Grid[#Data],M_BOM[PPGridRow],100),0))</f>
        <v/>
      </c>
      <c r="CW78">
        <f>SUMPRODUCT((M_BOM[RM_Code]=$A78)*M_BOM[RM_Qty_Per_Batch]*IFERROR(INDEX(PP_Grid[#Data],M_BOM[PPGridRow],101),0))</f>
        <v/>
      </c>
      <c r="CX78">
        <f>SUMPRODUCT((M_BOM[RM_Code]=$A78)*M_BOM[RM_Qty_Per_Batch]*IFERROR(INDEX(PP_Grid[#Data],M_BOM[PPGridRow],102),0))</f>
        <v/>
      </c>
      <c r="CY78">
        <f>SUMPRODUCT((M_BOM[RM_Code]=$A78)*M_BOM[RM_Qty_Per_Batch]*IFERROR(INDEX(PP_Grid[#Data],M_BOM[PPGridRow],103),0))</f>
        <v/>
      </c>
      <c r="CZ78">
        <f>SUMPRODUCT((M_BOM[RM_Code]=$A78)*M_BOM[RM_Qty_Per_Batch]*IFERROR(INDEX(PP_Grid[#Data],M_BOM[PPGridRow],104),0))</f>
        <v/>
      </c>
      <c r="DA78">
        <f>SUMPRODUCT((M_BOM[RM_Code]=$A78)*M_BOM[RM_Qty_Per_Batch]*IFERROR(INDEX(PP_Grid[#Data],M_BOM[PPGridRow],105),0))</f>
        <v/>
      </c>
    </row>
    <row r="79">
      <c r="A79" t="inlineStr">
        <is>
          <t>Chem-1490</t>
        </is>
      </c>
      <c r="B79">
        <f>SUMPRODUCT((M_BOM[RM_Code]=$A79)*M_BOM[RM_Qty_Per_Batch]*IFERROR(INDEX(PP_Grid[#Data],M_BOM[PPGridRow],2),0))</f>
        <v/>
      </c>
      <c r="C79">
        <f>SUMPRODUCT((M_BOM[RM_Code]=$A79)*M_BOM[RM_Qty_Per_Batch]*IFERROR(INDEX(PP_Grid[#Data],M_BOM[PPGridRow],3),0))</f>
        <v/>
      </c>
      <c r="D79">
        <f>SUMPRODUCT((M_BOM[RM_Code]=$A79)*M_BOM[RM_Qty_Per_Batch]*IFERROR(INDEX(PP_Grid[#Data],M_BOM[PPGridRow],4),0))</f>
        <v/>
      </c>
      <c r="E79">
        <f>SUMPRODUCT((M_BOM[RM_Code]=$A79)*M_BOM[RM_Qty_Per_Batch]*IFERROR(INDEX(PP_Grid[#Data],M_BOM[PPGridRow],5),0))</f>
        <v/>
      </c>
      <c r="F79">
        <f>SUMPRODUCT((M_BOM[RM_Code]=$A79)*M_BOM[RM_Qty_Per_Batch]*IFERROR(INDEX(PP_Grid[#Data],M_BOM[PPGridRow],6),0))</f>
        <v/>
      </c>
      <c r="G79">
        <f>SUMPRODUCT((M_BOM[RM_Code]=$A79)*M_BOM[RM_Qty_Per_Batch]*IFERROR(INDEX(PP_Grid[#Data],M_BOM[PPGridRow],7),0))</f>
        <v/>
      </c>
      <c r="H79">
        <f>SUMPRODUCT((M_BOM[RM_Code]=$A79)*M_BOM[RM_Qty_Per_Batch]*IFERROR(INDEX(PP_Grid[#Data],M_BOM[PPGridRow],8),0))</f>
        <v/>
      </c>
      <c r="I79">
        <f>SUMPRODUCT((M_BOM[RM_Code]=$A79)*M_BOM[RM_Qty_Per_Batch]*IFERROR(INDEX(PP_Grid[#Data],M_BOM[PPGridRow],9),0))</f>
        <v/>
      </c>
      <c r="J79">
        <f>SUMPRODUCT((M_BOM[RM_Code]=$A79)*M_BOM[RM_Qty_Per_Batch]*IFERROR(INDEX(PP_Grid[#Data],M_BOM[PPGridRow],10),0))</f>
        <v/>
      </c>
      <c r="K79">
        <f>SUMPRODUCT((M_BOM[RM_Code]=$A79)*M_BOM[RM_Qty_Per_Batch]*IFERROR(INDEX(PP_Grid[#Data],M_BOM[PPGridRow],11),0))</f>
        <v/>
      </c>
      <c r="L79">
        <f>SUMPRODUCT((M_BOM[RM_Code]=$A79)*M_BOM[RM_Qty_Per_Batch]*IFERROR(INDEX(PP_Grid[#Data],M_BOM[PPGridRow],12),0))</f>
        <v/>
      </c>
      <c r="M79">
        <f>SUMPRODUCT((M_BOM[RM_Code]=$A79)*M_BOM[RM_Qty_Per_Batch]*IFERROR(INDEX(PP_Grid[#Data],M_BOM[PPGridRow],13),0))</f>
        <v/>
      </c>
      <c r="N79">
        <f>SUMPRODUCT((M_BOM[RM_Code]=$A79)*M_BOM[RM_Qty_Per_Batch]*IFERROR(INDEX(PP_Grid[#Data],M_BOM[PPGridRow],14),0))</f>
        <v/>
      </c>
      <c r="O79">
        <f>SUMPRODUCT((M_BOM[RM_Code]=$A79)*M_BOM[RM_Qty_Per_Batch]*IFERROR(INDEX(PP_Grid[#Data],M_BOM[PPGridRow],15),0))</f>
        <v/>
      </c>
      <c r="P79">
        <f>SUMPRODUCT((M_BOM[RM_Code]=$A79)*M_BOM[RM_Qty_Per_Batch]*IFERROR(INDEX(PP_Grid[#Data],M_BOM[PPGridRow],16),0))</f>
        <v/>
      </c>
      <c r="Q79">
        <f>SUMPRODUCT((M_BOM[RM_Code]=$A79)*M_BOM[RM_Qty_Per_Batch]*IFERROR(INDEX(PP_Grid[#Data],M_BOM[PPGridRow],17),0))</f>
        <v/>
      </c>
      <c r="R79">
        <f>SUMPRODUCT((M_BOM[RM_Code]=$A79)*M_BOM[RM_Qty_Per_Batch]*IFERROR(INDEX(PP_Grid[#Data],M_BOM[PPGridRow],18),0))</f>
        <v/>
      </c>
      <c r="S79">
        <f>SUMPRODUCT((M_BOM[RM_Code]=$A79)*M_BOM[RM_Qty_Per_Batch]*IFERROR(INDEX(PP_Grid[#Data],M_BOM[PPGridRow],19),0))</f>
        <v/>
      </c>
      <c r="T79">
        <f>SUMPRODUCT((M_BOM[RM_Code]=$A79)*M_BOM[RM_Qty_Per_Batch]*IFERROR(INDEX(PP_Grid[#Data],M_BOM[PPGridRow],20),0))</f>
        <v/>
      </c>
      <c r="U79">
        <f>SUMPRODUCT((M_BOM[RM_Code]=$A79)*M_BOM[RM_Qty_Per_Batch]*IFERROR(INDEX(PP_Grid[#Data],M_BOM[PPGridRow],21),0))</f>
        <v/>
      </c>
      <c r="V79">
        <f>SUMPRODUCT((M_BOM[RM_Code]=$A79)*M_BOM[RM_Qty_Per_Batch]*IFERROR(INDEX(PP_Grid[#Data],M_BOM[PPGridRow],22),0))</f>
        <v/>
      </c>
      <c r="W79">
        <f>SUMPRODUCT((M_BOM[RM_Code]=$A79)*M_BOM[RM_Qty_Per_Batch]*IFERROR(INDEX(PP_Grid[#Data],M_BOM[PPGridRow],23),0))</f>
        <v/>
      </c>
      <c r="X79">
        <f>SUMPRODUCT((M_BOM[RM_Code]=$A79)*M_BOM[RM_Qty_Per_Batch]*IFERROR(INDEX(PP_Grid[#Data],M_BOM[PPGridRow],24),0))</f>
        <v/>
      </c>
      <c r="Y79">
        <f>SUMPRODUCT((M_BOM[RM_Code]=$A79)*M_BOM[RM_Qty_Per_Batch]*IFERROR(INDEX(PP_Grid[#Data],M_BOM[PPGridRow],25),0))</f>
        <v/>
      </c>
      <c r="Z79">
        <f>SUMPRODUCT((M_BOM[RM_Code]=$A79)*M_BOM[RM_Qty_Per_Batch]*IFERROR(INDEX(PP_Grid[#Data],M_BOM[PPGridRow],26),0))</f>
        <v/>
      </c>
      <c r="AA79">
        <f>SUMPRODUCT((M_BOM[RM_Code]=$A79)*M_BOM[RM_Qty_Per_Batch]*IFERROR(INDEX(PP_Grid[#Data],M_BOM[PPGridRow],27),0))</f>
        <v/>
      </c>
      <c r="AB79">
        <f>SUMPRODUCT((M_BOM[RM_Code]=$A79)*M_BOM[RM_Qty_Per_Batch]*IFERROR(INDEX(PP_Grid[#Data],M_BOM[PPGridRow],28),0))</f>
        <v/>
      </c>
      <c r="AC79">
        <f>SUMPRODUCT((M_BOM[RM_Code]=$A79)*M_BOM[RM_Qty_Per_Batch]*IFERROR(INDEX(PP_Grid[#Data],M_BOM[PPGridRow],29),0))</f>
        <v/>
      </c>
      <c r="AD79">
        <f>SUMPRODUCT((M_BOM[RM_Code]=$A79)*M_BOM[RM_Qty_Per_Batch]*IFERROR(INDEX(PP_Grid[#Data],M_BOM[PPGridRow],30),0))</f>
        <v/>
      </c>
      <c r="AE79">
        <f>SUMPRODUCT((M_BOM[RM_Code]=$A79)*M_BOM[RM_Qty_Per_Batch]*IFERROR(INDEX(PP_Grid[#Data],M_BOM[PPGridRow],31),0))</f>
        <v/>
      </c>
      <c r="AF79">
        <f>SUMPRODUCT((M_BOM[RM_Code]=$A79)*M_BOM[RM_Qty_Per_Batch]*IFERROR(INDEX(PP_Grid[#Data],M_BOM[PPGridRow],32),0))</f>
        <v/>
      </c>
      <c r="AG79">
        <f>SUMPRODUCT((M_BOM[RM_Code]=$A79)*M_BOM[RM_Qty_Per_Batch]*IFERROR(INDEX(PP_Grid[#Data],M_BOM[PPGridRow],33),0))</f>
        <v/>
      </c>
      <c r="AH79">
        <f>SUMPRODUCT((M_BOM[RM_Code]=$A79)*M_BOM[RM_Qty_Per_Batch]*IFERROR(INDEX(PP_Grid[#Data],M_BOM[PPGridRow],34),0))</f>
        <v/>
      </c>
      <c r="AI79">
        <f>SUMPRODUCT((M_BOM[RM_Code]=$A79)*M_BOM[RM_Qty_Per_Batch]*IFERROR(INDEX(PP_Grid[#Data],M_BOM[PPGridRow],35),0))</f>
        <v/>
      </c>
      <c r="AJ79">
        <f>SUMPRODUCT((M_BOM[RM_Code]=$A79)*M_BOM[RM_Qty_Per_Batch]*IFERROR(INDEX(PP_Grid[#Data],M_BOM[PPGridRow],36),0))</f>
        <v/>
      </c>
      <c r="AK79">
        <f>SUMPRODUCT((M_BOM[RM_Code]=$A79)*M_BOM[RM_Qty_Per_Batch]*IFERROR(INDEX(PP_Grid[#Data],M_BOM[PPGridRow],37),0))</f>
        <v/>
      </c>
      <c r="AL79">
        <f>SUMPRODUCT((M_BOM[RM_Code]=$A79)*M_BOM[RM_Qty_Per_Batch]*IFERROR(INDEX(PP_Grid[#Data],M_BOM[PPGridRow],38),0))</f>
        <v/>
      </c>
      <c r="AM79">
        <f>SUMPRODUCT((M_BOM[RM_Code]=$A79)*M_BOM[RM_Qty_Per_Batch]*IFERROR(INDEX(PP_Grid[#Data],M_BOM[PPGridRow],39),0))</f>
        <v/>
      </c>
      <c r="AN79">
        <f>SUMPRODUCT((M_BOM[RM_Code]=$A79)*M_BOM[RM_Qty_Per_Batch]*IFERROR(INDEX(PP_Grid[#Data],M_BOM[PPGridRow],40),0))</f>
        <v/>
      </c>
      <c r="AO79">
        <f>SUMPRODUCT((M_BOM[RM_Code]=$A79)*M_BOM[RM_Qty_Per_Batch]*IFERROR(INDEX(PP_Grid[#Data],M_BOM[PPGridRow],41),0))</f>
        <v/>
      </c>
      <c r="AP79">
        <f>SUMPRODUCT((M_BOM[RM_Code]=$A79)*M_BOM[RM_Qty_Per_Batch]*IFERROR(INDEX(PP_Grid[#Data],M_BOM[PPGridRow],42),0))</f>
        <v/>
      </c>
      <c r="AQ79">
        <f>SUMPRODUCT((M_BOM[RM_Code]=$A79)*M_BOM[RM_Qty_Per_Batch]*IFERROR(INDEX(PP_Grid[#Data],M_BOM[PPGridRow],43),0))</f>
        <v/>
      </c>
      <c r="AR79">
        <f>SUMPRODUCT((M_BOM[RM_Code]=$A79)*M_BOM[RM_Qty_Per_Batch]*IFERROR(INDEX(PP_Grid[#Data],M_BOM[PPGridRow],44),0))</f>
        <v/>
      </c>
      <c r="AS79">
        <f>SUMPRODUCT((M_BOM[RM_Code]=$A79)*M_BOM[RM_Qty_Per_Batch]*IFERROR(INDEX(PP_Grid[#Data],M_BOM[PPGridRow],45),0))</f>
        <v/>
      </c>
      <c r="AT79">
        <f>SUMPRODUCT((M_BOM[RM_Code]=$A79)*M_BOM[RM_Qty_Per_Batch]*IFERROR(INDEX(PP_Grid[#Data],M_BOM[PPGridRow],46),0))</f>
        <v/>
      </c>
      <c r="AU79">
        <f>SUMPRODUCT((M_BOM[RM_Code]=$A79)*M_BOM[RM_Qty_Per_Batch]*IFERROR(INDEX(PP_Grid[#Data],M_BOM[PPGridRow],47),0))</f>
        <v/>
      </c>
      <c r="AV79">
        <f>SUMPRODUCT((M_BOM[RM_Code]=$A79)*M_BOM[RM_Qty_Per_Batch]*IFERROR(INDEX(PP_Grid[#Data],M_BOM[PPGridRow],48),0))</f>
        <v/>
      </c>
      <c r="AW79">
        <f>SUMPRODUCT((M_BOM[RM_Code]=$A79)*M_BOM[RM_Qty_Per_Batch]*IFERROR(INDEX(PP_Grid[#Data],M_BOM[PPGridRow],49),0))</f>
        <v/>
      </c>
      <c r="AX79">
        <f>SUMPRODUCT((M_BOM[RM_Code]=$A79)*M_BOM[RM_Qty_Per_Batch]*IFERROR(INDEX(PP_Grid[#Data],M_BOM[PPGridRow],50),0))</f>
        <v/>
      </c>
      <c r="AY79">
        <f>SUMPRODUCT((M_BOM[RM_Code]=$A79)*M_BOM[RM_Qty_Per_Batch]*IFERROR(INDEX(PP_Grid[#Data],M_BOM[PPGridRow],51),0))</f>
        <v/>
      </c>
      <c r="AZ79">
        <f>SUMPRODUCT((M_BOM[RM_Code]=$A79)*M_BOM[RM_Qty_Per_Batch]*IFERROR(INDEX(PP_Grid[#Data],M_BOM[PPGridRow],52),0))</f>
        <v/>
      </c>
      <c r="BA79">
        <f>SUMPRODUCT((M_BOM[RM_Code]=$A79)*M_BOM[RM_Qty_Per_Batch]*IFERROR(INDEX(PP_Grid[#Data],M_BOM[PPGridRow],53),0))</f>
        <v/>
      </c>
      <c r="BB79">
        <f>SUMPRODUCT((M_BOM[RM_Code]=$A79)*M_BOM[RM_Qty_Per_Batch]*IFERROR(INDEX(PP_Grid[#Data],M_BOM[PPGridRow],54),0))</f>
        <v/>
      </c>
      <c r="BC79">
        <f>SUMPRODUCT((M_BOM[RM_Code]=$A79)*M_BOM[RM_Qty_Per_Batch]*IFERROR(INDEX(PP_Grid[#Data],M_BOM[PPGridRow],55),0))</f>
        <v/>
      </c>
      <c r="BD79">
        <f>SUMPRODUCT((M_BOM[RM_Code]=$A79)*M_BOM[RM_Qty_Per_Batch]*IFERROR(INDEX(PP_Grid[#Data],M_BOM[PPGridRow],56),0))</f>
        <v/>
      </c>
      <c r="BE79">
        <f>SUMPRODUCT((M_BOM[RM_Code]=$A79)*M_BOM[RM_Qty_Per_Batch]*IFERROR(INDEX(PP_Grid[#Data],M_BOM[PPGridRow],57),0))</f>
        <v/>
      </c>
      <c r="BF79">
        <f>SUMPRODUCT((M_BOM[RM_Code]=$A79)*M_BOM[RM_Qty_Per_Batch]*IFERROR(INDEX(PP_Grid[#Data],M_BOM[PPGridRow],58),0))</f>
        <v/>
      </c>
      <c r="BG79">
        <f>SUMPRODUCT((M_BOM[RM_Code]=$A79)*M_BOM[RM_Qty_Per_Batch]*IFERROR(INDEX(PP_Grid[#Data],M_BOM[PPGridRow],59),0))</f>
        <v/>
      </c>
      <c r="BH79">
        <f>SUMPRODUCT((M_BOM[RM_Code]=$A79)*M_BOM[RM_Qty_Per_Batch]*IFERROR(INDEX(PP_Grid[#Data],M_BOM[PPGridRow],60),0))</f>
        <v/>
      </c>
      <c r="BI79">
        <f>SUMPRODUCT((M_BOM[RM_Code]=$A79)*M_BOM[RM_Qty_Per_Batch]*IFERROR(INDEX(PP_Grid[#Data],M_BOM[PPGridRow],61),0))</f>
        <v/>
      </c>
      <c r="BJ79">
        <f>SUMPRODUCT((M_BOM[RM_Code]=$A79)*M_BOM[RM_Qty_Per_Batch]*IFERROR(INDEX(PP_Grid[#Data],M_BOM[PPGridRow],62),0))</f>
        <v/>
      </c>
      <c r="BK79">
        <f>SUMPRODUCT((M_BOM[RM_Code]=$A79)*M_BOM[RM_Qty_Per_Batch]*IFERROR(INDEX(PP_Grid[#Data],M_BOM[PPGridRow],63),0))</f>
        <v/>
      </c>
      <c r="BL79">
        <f>SUMPRODUCT((M_BOM[RM_Code]=$A79)*M_BOM[RM_Qty_Per_Batch]*IFERROR(INDEX(PP_Grid[#Data],M_BOM[PPGridRow],64),0))</f>
        <v/>
      </c>
      <c r="BM79">
        <f>SUMPRODUCT((M_BOM[RM_Code]=$A79)*M_BOM[RM_Qty_Per_Batch]*IFERROR(INDEX(PP_Grid[#Data],M_BOM[PPGridRow],65),0))</f>
        <v/>
      </c>
      <c r="BN79">
        <f>SUMPRODUCT((M_BOM[RM_Code]=$A79)*M_BOM[RM_Qty_Per_Batch]*IFERROR(INDEX(PP_Grid[#Data],M_BOM[PPGridRow],66),0))</f>
        <v/>
      </c>
      <c r="BO79">
        <f>SUMPRODUCT((M_BOM[RM_Code]=$A79)*M_BOM[RM_Qty_Per_Batch]*IFERROR(INDEX(PP_Grid[#Data],M_BOM[PPGridRow],67),0))</f>
        <v/>
      </c>
      <c r="BP79">
        <f>SUMPRODUCT((M_BOM[RM_Code]=$A79)*M_BOM[RM_Qty_Per_Batch]*IFERROR(INDEX(PP_Grid[#Data],M_BOM[PPGridRow],68),0))</f>
        <v/>
      </c>
      <c r="BQ79">
        <f>SUMPRODUCT((M_BOM[RM_Code]=$A79)*M_BOM[RM_Qty_Per_Batch]*IFERROR(INDEX(PP_Grid[#Data],M_BOM[PPGridRow],69),0))</f>
        <v/>
      </c>
      <c r="BR79">
        <f>SUMPRODUCT((M_BOM[RM_Code]=$A79)*M_BOM[RM_Qty_Per_Batch]*IFERROR(INDEX(PP_Grid[#Data],M_BOM[PPGridRow],70),0))</f>
        <v/>
      </c>
      <c r="BS79">
        <f>SUMPRODUCT((M_BOM[RM_Code]=$A79)*M_BOM[RM_Qty_Per_Batch]*IFERROR(INDEX(PP_Grid[#Data],M_BOM[PPGridRow],71),0))</f>
        <v/>
      </c>
      <c r="BT79">
        <f>SUMPRODUCT((M_BOM[RM_Code]=$A79)*M_BOM[RM_Qty_Per_Batch]*IFERROR(INDEX(PP_Grid[#Data],M_BOM[PPGridRow],72),0))</f>
        <v/>
      </c>
      <c r="BU79">
        <f>SUMPRODUCT((M_BOM[RM_Code]=$A79)*M_BOM[RM_Qty_Per_Batch]*IFERROR(INDEX(PP_Grid[#Data],M_BOM[PPGridRow],73),0))</f>
        <v/>
      </c>
      <c r="BV79">
        <f>SUMPRODUCT((M_BOM[RM_Code]=$A79)*M_BOM[RM_Qty_Per_Batch]*IFERROR(INDEX(PP_Grid[#Data],M_BOM[PPGridRow],74),0))</f>
        <v/>
      </c>
      <c r="BW79">
        <f>SUMPRODUCT((M_BOM[RM_Code]=$A79)*M_BOM[RM_Qty_Per_Batch]*IFERROR(INDEX(PP_Grid[#Data],M_BOM[PPGridRow],75),0))</f>
        <v/>
      </c>
      <c r="BX79">
        <f>SUMPRODUCT((M_BOM[RM_Code]=$A79)*M_BOM[RM_Qty_Per_Batch]*IFERROR(INDEX(PP_Grid[#Data],M_BOM[PPGridRow],76),0))</f>
        <v/>
      </c>
      <c r="BY79">
        <f>SUMPRODUCT((M_BOM[RM_Code]=$A79)*M_BOM[RM_Qty_Per_Batch]*IFERROR(INDEX(PP_Grid[#Data],M_BOM[PPGridRow],77),0))</f>
        <v/>
      </c>
      <c r="BZ79">
        <f>SUMPRODUCT((M_BOM[RM_Code]=$A79)*M_BOM[RM_Qty_Per_Batch]*IFERROR(INDEX(PP_Grid[#Data],M_BOM[PPGridRow],78),0))</f>
        <v/>
      </c>
      <c r="CA79">
        <f>SUMPRODUCT((M_BOM[RM_Code]=$A79)*M_BOM[RM_Qty_Per_Batch]*IFERROR(INDEX(PP_Grid[#Data],M_BOM[PPGridRow],79),0))</f>
        <v/>
      </c>
      <c r="CB79">
        <f>SUMPRODUCT((M_BOM[RM_Code]=$A79)*M_BOM[RM_Qty_Per_Batch]*IFERROR(INDEX(PP_Grid[#Data],M_BOM[PPGridRow],80),0))</f>
        <v/>
      </c>
      <c r="CC79">
        <f>SUMPRODUCT((M_BOM[RM_Code]=$A79)*M_BOM[RM_Qty_Per_Batch]*IFERROR(INDEX(PP_Grid[#Data],M_BOM[PPGridRow],81),0))</f>
        <v/>
      </c>
      <c r="CD79">
        <f>SUMPRODUCT((M_BOM[RM_Code]=$A79)*M_BOM[RM_Qty_Per_Batch]*IFERROR(INDEX(PP_Grid[#Data],M_BOM[PPGridRow],82),0))</f>
        <v/>
      </c>
      <c r="CE79">
        <f>SUMPRODUCT((M_BOM[RM_Code]=$A79)*M_BOM[RM_Qty_Per_Batch]*IFERROR(INDEX(PP_Grid[#Data],M_BOM[PPGridRow],83),0))</f>
        <v/>
      </c>
      <c r="CF79">
        <f>SUMPRODUCT((M_BOM[RM_Code]=$A79)*M_BOM[RM_Qty_Per_Batch]*IFERROR(INDEX(PP_Grid[#Data],M_BOM[PPGridRow],84),0))</f>
        <v/>
      </c>
      <c r="CG79">
        <f>SUMPRODUCT((M_BOM[RM_Code]=$A79)*M_BOM[RM_Qty_Per_Batch]*IFERROR(INDEX(PP_Grid[#Data],M_BOM[PPGridRow],85),0))</f>
        <v/>
      </c>
      <c r="CH79">
        <f>SUMPRODUCT((M_BOM[RM_Code]=$A79)*M_BOM[RM_Qty_Per_Batch]*IFERROR(INDEX(PP_Grid[#Data],M_BOM[PPGridRow],86),0))</f>
        <v/>
      </c>
      <c r="CI79">
        <f>SUMPRODUCT((M_BOM[RM_Code]=$A79)*M_BOM[RM_Qty_Per_Batch]*IFERROR(INDEX(PP_Grid[#Data],M_BOM[PPGridRow],87),0))</f>
        <v/>
      </c>
      <c r="CJ79">
        <f>SUMPRODUCT((M_BOM[RM_Code]=$A79)*M_BOM[RM_Qty_Per_Batch]*IFERROR(INDEX(PP_Grid[#Data],M_BOM[PPGridRow],88),0))</f>
        <v/>
      </c>
      <c r="CK79">
        <f>SUMPRODUCT((M_BOM[RM_Code]=$A79)*M_BOM[RM_Qty_Per_Batch]*IFERROR(INDEX(PP_Grid[#Data],M_BOM[PPGridRow],89),0))</f>
        <v/>
      </c>
      <c r="CL79">
        <f>SUMPRODUCT((M_BOM[RM_Code]=$A79)*M_BOM[RM_Qty_Per_Batch]*IFERROR(INDEX(PP_Grid[#Data],M_BOM[PPGridRow],90),0))</f>
        <v/>
      </c>
      <c r="CM79">
        <f>SUMPRODUCT((M_BOM[RM_Code]=$A79)*M_BOM[RM_Qty_Per_Batch]*IFERROR(INDEX(PP_Grid[#Data],M_BOM[PPGridRow],91),0))</f>
        <v/>
      </c>
      <c r="CN79">
        <f>SUMPRODUCT((M_BOM[RM_Code]=$A79)*M_BOM[RM_Qty_Per_Batch]*IFERROR(INDEX(PP_Grid[#Data],M_BOM[PPGridRow],92),0))</f>
        <v/>
      </c>
      <c r="CO79">
        <f>SUMPRODUCT((M_BOM[RM_Code]=$A79)*M_BOM[RM_Qty_Per_Batch]*IFERROR(INDEX(PP_Grid[#Data],M_BOM[PPGridRow],93),0))</f>
        <v/>
      </c>
      <c r="CP79">
        <f>SUMPRODUCT((M_BOM[RM_Code]=$A79)*M_BOM[RM_Qty_Per_Batch]*IFERROR(INDEX(PP_Grid[#Data],M_BOM[PPGridRow],94),0))</f>
        <v/>
      </c>
      <c r="CQ79">
        <f>SUMPRODUCT((M_BOM[RM_Code]=$A79)*M_BOM[RM_Qty_Per_Batch]*IFERROR(INDEX(PP_Grid[#Data],M_BOM[PPGridRow],95),0))</f>
        <v/>
      </c>
      <c r="CR79">
        <f>SUMPRODUCT((M_BOM[RM_Code]=$A79)*M_BOM[RM_Qty_Per_Batch]*IFERROR(INDEX(PP_Grid[#Data],M_BOM[PPGridRow],96),0))</f>
        <v/>
      </c>
      <c r="CS79">
        <f>SUMPRODUCT((M_BOM[RM_Code]=$A79)*M_BOM[RM_Qty_Per_Batch]*IFERROR(INDEX(PP_Grid[#Data],M_BOM[PPGridRow],97),0))</f>
        <v/>
      </c>
      <c r="CT79">
        <f>SUMPRODUCT((M_BOM[RM_Code]=$A79)*M_BOM[RM_Qty_Per_Batch]*IFERROR(INDEX(PP_Grid[#Data],M_BOM[PPGridRow],98),0))</f>
        <v/>
      </c>
      <c r="CU79">
        <f>SUMPRODUCT((M_BOM[RM_Code]=$A79)*M_BOM[RM_Qty_Per_Batch]*IFERROR(INDEX(PP_Grid[#Data],M_BOM[PPGridRow],99),0))</f>
        <v/>
      </c>
      <c r="CV79">
        <f>SUMPRODUCT((M_BOM[RM_Code]=$A79)*M_BOM[RM_Qty_Per_Batch]*IFERROR(INDEX(PP_Grid[#Data],M_BOM[PPGridRow],100),0))</f>
        <v/>
      </c>
      <c r="CW79">
        <f>SUMPRODUCT((M_BOM[RM_Code]=$A79)*M_BOM[RM_Qty_Per_Batch]*IFERROR(INDEX(PP_Grid[#Data],M_BOM[PPGridRow],101),0))</f>
        <v/>
      </c>
      <c r="CX79">
        <f>SUMPRODUCT((M_BOM[RM_Code]=$A79)*M_BOM[RM_Qty_Per_Batch]*IFERROR(INDEX(PP_Grid[#Data],M_BOM[PPGridRow],102),0))</f>
        <v/>
      </c>
      <c r="CY79">
        <f>SUMPRODUCT((M_BOM[RM_Code]=$A79)*M_BOM[RM_Qty_Per_Batch]*IFERROR(INDEX(PP_Grid[#Data],M_BOM[PPGridRow],103),0))</f>
        <v/>
      </c>
      <c r="CZ79">
        <f>SUMPRODUCT((M_BOM[RM_Code]=$A79)*M_BOM[RM_Qty_Per_Batch]*IFERROR(INDEX(PP_Grid[#Data],M_BOM[PPGridRow],104),0))</f>
        <v/>
      </c>
      <c r="DA79">
        <f>SUMPRODUCT((M_BOM[RM_Code]=$A79)*M_BOM[RM_Qty_Per_Batch]*IFERROR(INDEX(PP_Grid[#Data],M_BOM[PPGridRow],105),0))</f>
        <v/>
      </c>
    </row>
    <row r="80">
      <c r="A80" t="inlineStr">
        <is>
          <t>Chem-1790</t>
        </is>
      </c>
      <c r="B80">
        <f>SUMPRODUCT((M_BOM[RM_Code]=$A80)*M_BOM[RM_Qty_Per_Batch]*IFERROR(INDEX(PP_Grid[#Data],M_BOM[PPGridRow],2),0))</f>
        <v/>
      </c>
      <c r="C80">
        <f>SUMPRODUCT((M_BOM[RM_Code]=$A80)*M_BOM[RM_Qty_Per_Batch]*IFERROR(INDEX(PP_Grid[#Data],M_BOM[PPGridRow],3),0))</f>
        <v/>
      </c>
      <c r="D80">
        <f>SUMPRODUCT((M_BOM[RM_Code]=$A80)*M_BOM[RM_Qty_Per_Batch]*IFERROR(INDEX(PP_Grid[#Data],M_BOM[PPGridRow],4),0))</f>
        <v/>
      </c>
      <c r="E80">
        <f>SUMPRODUCT((M_BOM[RM_Code]=$A80)*M_BOM[RM_Qty_Per_Batch]*IFERROR(INDEX(PP_Grid[#Data],M_BOM[PPGridRow],5),0))</f>
        <v/>
      </c>
      <c r="F80">
        <f>SUMPRODUCT((M_BOM[RM_Code]=$A80)*M_BOM[RM_Qty_Per_Batch]*IFERROR(INDEX(PP_Grid[#Data],M_BOM[PPGridRow],6),0))</f>
        <v/>
      </c>
      <c r="G80">
        <f>SUMPRODUCT((M_BOM[RM_Code]=$A80)*M_BOM[RM_Qty_Per_Batch]*IFERROR(INDEX(PP_Grid[#Data],M_BOM[PPGridRow],7),0))</f>
        <v/>
      </c>
      <c r="H80">
        <f>SUMPRODUCT((M_BOM[RM_Code]=$A80)*M_BOM[RM_Qty_Per_Batch]*IFERROR(INDEX(PP_Grid[#Data],M_BOM[PPGridRow],8),0))</f>
        <v/>
      </c>
      <c r="I80">
        <f>SUMPRODUCT((M_BOM[RM_Code]=$A80)*M_BOM[RM_Qty_Per_Batch]*IFERROR(INDEX(PP_Grid[#Data],M_BOM[PPGridRow],9),0))</f>
        <v/>
      </c>
      <c r="J80">
        <f>SUMPRODUCT((M_BOM[RM_Code]=$A80)*M_BOM[RM_Qty_Per_Batch]*IFERROR(INDEX(PP_Grid[#Data],M_BOM[PPGridRow],10),0))</f>
        <v/>
      </c>
      <c r="K80">
        <f>SUMPRODUCT((M_BOM[RM_Code]=$A80)*M_BOM[RM_Qty_Per_Batch]*IFERROR(INDEX(PP_Grid[#Data],M_BOM[PPGridRow],11),0))</f>
        <v/>
      </c>
      <c r="L80">
        <f>SUMPRODUCT((M_BOM[RM_Code]=$A80)*M_BOM[RM_Qty_Per_Batch]*IFERROR(INDEX(PP_Grid[#Data],M_BOM[PPGridRow],12),0))</f>
        <v/>
      </c>
      <c r="M80">
        <f>SUMPRODUCT((M_BOM[RM_Code]=$A80)*M_BOM[RM_Qty_Per_Batch]*IFERROR(INDEX(PP_Grid[#Data],M_BOM[PPGridRow],13),0))</f>
        <v/>
      </c>
      <c r="N80">
        <f>SUMPRODUCT((M_BOM[RM_Code]=$A80)*M_BOM[RM_Qty_Per_Batch]*IFERROR(INDEX(PP_Grid[#Data],M_BOM[PPGridRow],14),0))</f>
        <v/>
      </c>
      <c r="O80">
        <f>SUMPRODUCT((M_BOM[RM_Code]=$A80)*M_BOM[RM_Qty_Per_Batch]*IFERROR(INDEX(PP_Grid[#Data],M_BOM[PPGridRow],15),0))</f>
        <v/>
      </c>
      <c r="P80">
        <f>SUMPRODUCT((M_BOM[RM_Code]=$A80)*M_BOM[RM_Qty_Per_Batch]*IFERROR(INDEX(PP_Grid[#Data],M_BOM[PPGridRow],16),0))</f>
        <v/>
      </c>
      <c r="Q80">
        <f>SUMPRODUCT((M_BOM[RM_Code]=$A80)*M_BOM[RM_Qty_Per_Batch]*IFERROR(INDEX(PP_Grid[#Data],M_BOM[PPGridRow],17),0))</f>
        <v/>
      </c>
      <c r="R80">
        <f>SUMPRODUCT((M_BOM[RM_Code]=$A80)*M_BOM[RM_Qty_Per_Batch]*IFERROR(INDEX(PP_Grid[#Data],M_BOM[PPGridRow],18),0))</f>
        <v/>
      </c>
      <c r="S80">
        <f>SUMPRODUCT((M_BOM[RM_Code]=$A80)*M_BOM[RM_Qty_Per_Batch]*IFERROR(INDEX(PP_Grid[#Data],M_BOM[PPGridRow],19),0))</f>
        <v/>
      </c>
      <c r="T80">
        <f>SUMPRODUCT((M_BOM[RM_Code]=$A80)*M_BOM[RM_Qty_Per_Batch]*IFERROR(INDEX(PP_Grid[#Data],M_BOM[PPGridRow],20),0))</f>
        <v/>
      </c>
      <c r="U80">
        <f>SUMPRODUCT((M_BOM[RM_Code]=$A80)*M_BOM[RM_Qty_Per_Batch]*IFERROR(INDEX(PP_Grid[#Data],M_BOM[PPGridRow],21),0))</f>
        <v/>
      </c>
      <c r="V80">
        <f>SUMPRODUCT((M_BOM[RM_Code]=$A80)*M_BOM[RM_Qty_Per_Batch]*IFERROR(INDEX(PP_Grid[#Data],M_BOM[PPGridRow],22),0))</f>
        <v/>
      </c>
      <c r="W80">
        <f>SUMPRODUCT((M_BOM[RM_Code]=$A80)*M_BOM[RM_Qty_Per_Batch]*IFERROR(INDEX(PP_Grid[#Data],M_BOM[PPGridRow],23),0))</f>
        <v/>
      </c>
      <c r="X80">
        <f>SUMPRODUCT((M_BOM[RM_Code]=$A80)*M_BOM[RM_Qty_Per_Batch]*IFERROR(INDEX(PP_Grid[#Data],M_BOM[PPGridRow],24),0))</f>
        <v/>
      </c>
      <c r="Y80">
        <f>SUMPRODUCT((M_BOM[RM_Code]=$A80)*M_BOM[RM_Qty_Per_Batch]*IFERROR(INDEX(PP_Grid[#Data],M_BOM[PPGridRow],25),0))</f>
        <v/>
      </c>
      <c r="Z80">
        <f>SUMPRODUCT((M_BOM[RM_Code]=$A80)*M_BOM[RM_Qty_Per_Batch]*IFERROR(INDEX(PP_Grid[#Data],M_BOM[PPGridRow],26),0))</f>
        <v/>
      </c>
      <c r="AA80">
        <f>SUMPRODUCT((M_BOM[RM_Code]=$A80)*M_BOM[RM_Qty_Per_Batch]*IFERROR(INDEX(PP_Grid[#Data],M_BOM[PPGridRow],27),0))</f>
        <v/>
      </c>
      <c r="AB80">
        <f>SUMPRODUCT((M_BOM[RM_Code]=$A80)*M_BOM[RM_Qty_Per_Batch]*IFERROR(INDEX(PP_Grid[#Data],M_BOM[PPGridRow],28),0))</f>
        <v/>
      </c>
      <c r="AC80">
        <f>SUMPRODUCT((M_BOM[RM_Code]=$A80)*M_BOM[RM_Qty_Per_Batch]*IFERROR(INDEX(PP_Grid[#Data],M_BOM[PPGridRow],29),0))</f>
        <v/>
      </c>
      <c r="AD80">
        <f>SUMPRODUCT((M_BOM[RM_Code]=$A80)*M_BOM[RM_Qty_Per_Batch]*IFERROR(INDEX(PP_Grid[#Data],M_BOM[PPGridRow],30),0))</f>
        <v/>
      </c>
      <c r="AE80">
        <f>SUMPRODUCT((M_BOM[RM_Code]=$A80)*M_BOM[RM_Qty_Per_Batch]*IFERROR(INDEX(PP_Grid[#Data],M_BOM[PPGridRow],31),0))</f>
        <v/>
      </c>
      <c r="AF80">
        <f>SUMPRODUCT((M_BOM[RM_Code]=$A80)*M_BOM[RM_Qty_Per_Batch]*IFERROR(INDEX(PP_Grid[#Data],M_BOM[PPGridRow],32),0))</f>
        <v/>
      </c>
      <c r="AG80">
        <f>SUMPRODUCT((M_BOM[RM_Code]=$A80)*M_BOM[RM_Qty_Per_Batch]*IFERROR(INDEX(PP_Grid[#Data],M_BOM[PPGridRow],33),0))</f>
        <v/>
      </c>
      <c r="AH80">
        <f>SUMPRODUCT((M_BOM[RM_Code]=$A80)*M_BOM[RM_Qty_Per_Batch]*IFERROR(INDEX(PP_Grid[#Data],M_BOM[PPGridRow],34),0))</f>
        <v/>
      </c>
      <c r="AI80">
        <f>SUMPRODUCT((M_BOM[RM_Code]=$A80)*M_BOM[RM_Qty_Per_Batch]*IFERROR(INDEX(PP_Grid[#Data],M_BOM[PPGridRow],35),0))</f>
        <v/>
      </c>
      <c r="AJ80">
        <f>SUMPRODUCT((M_BOM[RM_Code]=$A80)*M_BOM[RM_Qty_Per_Batch]*IFERROR(INDEX(PP_Grid[#Data],M_BOM[PPGridRow],36),0))</f>
        <v/>
      </c>
      <c r="AK80">
        <f>SUMPRODUCT((M_BOM[RM_Code]=$A80)*M_BOM[RM_Qty_Per_Batch]*IFERROR(INDEX(PP_Grid[#Data],M_BOM[PPGridRow],37),0))</f>
        <v/>
      </c>
      <c r="AL80">
        <f>SUMPRODUCT((M_BOM[RM_Code]=$A80)*M_BOM[RM_Qty_Per_Batch]*IFERROR(INDEX(PP_Grid[#Data],M_BOM[PPGridRow],38),0))</f>
        <v/>
      </c>
      <c r="AM80">
        <f>SUMPRODUCT((M_BOM[RM_Code]=$A80)*M_BOM[RM_Qty_Per_Batch]*IFERROR(INDEX(PP_Grid[#Data],M_BOM[PPGridRow],39),0))</f>
        <v/>
      </c>
      <c r="AN80">
        <f>SUMPRODUCT((M_BOM[RM_Code]=$A80)*M_BOM[RM_Qty_Per_Batch]*IFERROR(INDEX(PP_Grid[#Data],M_BOM[PPGridRow],40),0))</f>
        <v/>
      </c>
      <c r="AO80">
        <f>SUMPRODUCT((M_BOM[RM_Code]=$A80)*M_BOM[RM_Qty_Per_Batch]*IFERROR(INDEX(PP_Grid[#Data],M_BOM[PPGridRow],41),0))</f>
        <v/>
      </c>
      <c r="AP80">
        <f>SUMPRODUCT((M_BOM[RM_Code]=$A80)*M_BOM[RM_Qty_Per_Batch]*IFERROR(INDEX(PP_Grid[#Data],M_BOM[PPGridRow],42),0))</f>
        <v/>
      </c>
      <c r="AQ80">
        <f>SUMPRODUCT((M_BOM[RM_Code]=$A80)*M_BOM[RM_Qty_Per_Batch]*IFERROR(INDEX(PP_Grid[#Data],M_BOM[PPGridRow],43),0))</f>
        <v/>
      </c>
      <c r="AR80">
        <f>SUMPRODUCT((M_BOM[RM_Code]=$A80)*M_BOM[RM_Qty_Per_Batch]*IFERROR(INDEX(PP_Grid[#Data],M_BOM[PPGridRow],44),0))</f>
        <v/>
      </c>
      <c r="AS80">
        <f>SUMPRODUCT((M_BOM[RM_Code]=$A80)*M_BOM[RM_Qty_Per_Batch]*IFERROR(INDEX(PP_Grid[#Data],M_BOM[PPGridRow],45),0))</f>
        <v/>
      </c>
      <c r="AT80">
        <f>SUMPRODUCT((M_BOM[RM_Code]=$A80)*M_BOM[RM_Qty_Per_Batch]*IFERROR(INDEX(PP_Grid[#Data],M_BOM[PPGridRow],46),0))</f>
        <v/>
      </c>
      <c r="AU80">
        <f>SUMPRODUCT((M_BOM[RM_Code]=$A80)*M_BOM[RM_Qty_Per_Batch]*IFERROR(INDEX(PP_Grid[#Data],M_BOM[PPGridRow],47),0))</f>
        <v/>
      </c>
      <c r="AV80">
        <f>SUMPRODUCT((M_BOM[RM_Code]=$A80)*M_BOM[RM_Qty_Per_Batch]*IFERROR(INDEX(PP_Grid[#Data],M_BOM[PPGridRow],48),0))</f>
        <v/>
      </c>
      <c r="AW80">
        <f>SUMPRODUCT((M_BOM[RM_Code]=$A80)*M_BOM[RM_Qty_Per_Batch]*IFERROR(INDEX(PP_Grid[#Data],M_BOM[PPGridRow],49),0))</f>
        <v/>
      </c>
      <c r="AX80">
        <f>SUMPRODUCT((M_BOM[RM_Code]=$A80)*M_BOM[RM_Qty_Per_Batch]*IFERROR(INDEX(PP_Grid[#Data],M_BOM[PPGridRow],50),0))</f>
        <v/>
      </c>
      <c r="AY80">
        <f>SUMPRODUCT((M_BOM[RM_Code]=$A80)*M_BOM[RM_Qty_Per_Batch]*IFERROR(INDEX(PP_Grid[#Data],M_BOM[PPGridRow],51),0))</f>
        <v/>
      </c>
      <c r="AZ80">
        <f>SUMPRODUCT((M_BOM[RM_Code]=$A80)*M_BOM[RM_Qty_Per_Batch]*IFERROR(INDEX(PP_Grid[#Data],M_BOM[PPGridRow],52),0))</f>
        <v/>
      </c>
      <c r="BA80">
        <f>SUMPRODUCT((M_BOM[RM_Code]=$A80)*M_BOM[RM_Qty_Per_Batch]*IFERROR(INDEX(PP_Grid[#Data],M_BOM[PPGridRow],53),0))</f>
        <v/>
      </c>
      <c r="BB80">
        <f>SUMPRODUCT((M_BOM[RM_Code]=$A80)*M_BOM[RM_Qty_Per_Batch]*IFERROR(INDEX(PP_Grid[#Data],M_BOM[PPGridRow],54),0))</f>
        <v/>
      </c>
      <c r="BC80">
        <f>SUMPRODUCT((M_BOM[RM_Code]=$A80)*M_BOM[RM_Qty_Per_Batch]*IFERROR(INDEX(PP_Grid[#Data],M_BOM[PPGridRow],55),0))</f>
        <v/>
      </c>
      <c r="BD80">
        <f>SUMPRODUCT((M_BOM[RM_Code]=$A80)*M_BOM[RM_Qty_Per_Batch]*IFERROR(INDEX(PP_Grid[#Data],M_BOM[PPGridRow],56),0))</f>
        <v/>
      </c>
      <c r="BE80">
        <f>SUMPRODUCT((M_BOM[RM_Code]=$A80)*M_BOM[RM_Qty_Per_Batch]*IFERROR(INDEX(PP_Grid[#Data],M_BOM[PPGridRow],57),0))</f>
        <v/>
      </c>
      <c r="BF80">
        <f>SUMPRODUCT((M_BOM[RM_Code]=$A80)*M_BOM[RM_Qty_Per_Batch]*IFERROR(INDEX(PP_Grid[#Data],M_BOM[PPGridRow],58),0))</f>
        <v/>
      </c>
      <c r="BG80">
        <f>SUMPRODUCT((M_BOM[RM_Code]=$A80)*M_BOM[RM_Qty_Per_Batch]*IFERROR(INDEX(PP_Grid[#Data],M_BOM[PPGridRow],59),0))</f>
        <v/>
      </c>
      <c r="BH80">
        <f>SUMPRODUCT((M_BOM[RM_Code]=$A80)*M_BOM[RM_Qty_Per_Batch]*IFERROR(INDEX(PP_Grid[#Data],M_BOM[PPGridRow],60),0))</f>
        <v/>
      </c>
      <c r="BI80">
        <f>SUMPRODUCT((M_BOM[RM_Code]=$A80)*M_BOM[RM_Qty_Per_Batch]*IFERROR(INDEX(PP_Grid[#Data],M_BOM[PPGridRow],61),0))</f>
        <v/>
      </c>
      <c r="BJ80">
        <f>SUMPRODUCT((M_BOM[RM_Code]=$A80)*M_BOM[RM_Qty_Per_Batch]*IFERROR(INDEX(PP_Grid[#Data],M_BOM[PPGridRow],62),0))</f>
        <v/>
      </c>
      <c r="BK80">
        <f>SUMPRODUCT((M_BOM[RM_Code]=$A80)*M_BOM[RM_Qty_Per_Batch]*IFERROR(INDEX(PP_Grid[#Data],M_BOM[PPGridRow],63),0))</f>
        <v/>
      </c>
      <c r="BL80">
        <f>SUMPRODUCT((M_BOM[RM_Code]=$A80)*M_BOM[RM_Qty_Per_Batch]*IFERROR(INDEX(PP_Grid[#Data],M_BOM[PPGridRow],64),0))</f>
        <v/>
      </c>
      <c r="BM80">
        <f>SUMPRODUCT((M_BOM[RM_Code]=$A80)*M_BOM[RM_Qty_Per_Batch]*IFERROR(INDEX(PP_Grid[#Data],M_BOM[PPGridRow],65),0))</f>
        <v/>
      </c>
      <c r="BN80">
        <f>SUMPRODUCT((M_BOM[RM_Code]=$A80)*M_BOM[RM_Qty_Per_Batch]*IFERROR(INDEX(PP_Grid[#Data],M_BOM[PPGridRow],66),0))</f>
        <v/>
      </c>
      <c r="BO80">
        <f>SUMPRODUCT((M_BOM[RM_Code]=$A80)*M_BOM[RM_Qty_Per_Batch]*IFERROR(INDEX(PP_Grid[#Data],M_BOM[PPGridRow],67),0))</f>
        <v/>
      </c>
      <c r="BP80">
        <f>SUMPRODUCT((M_BOM[RM_Code]=$A80)*M_BOM[RM_Qty_Per_Batch]*IFERROR(INDEX(PP_Grid[#Data],M_BOM[PPGridRow],68),0))</f>
        <v/>
      </c>
      <c r="BQ80">
        <f>SUMPRODUCT((M_BOM[RM_Code]=$A80)*M_BOM[RM_Qty_Per_Batch]*IFERROR(INDEX(PP_Grid[#Data],M_BOM[PPGridRow],69),0))</f>
        <v/>
      </c>
      <c r="BR80">
        <f>SUMPRODUCT((M_BOM[RM_Code]=$A80)*M_BOM[RM_Qty_Per_Batch]*IFERROR(INDEX(PP_Grid[#Data],M_BOM[PPGridRow],70),0))</f>
        <v/>
      </c>
      <c r="BS80">
        <f>SUMPRODUCT((M_BOM[RM_Code]=$A80)*M_BOM[RM_Qty_Per_Batch]*IFERROR(INDEX(PP_Grid[#Data],M_BOM[PPGridRow],71),0))</f>
        <v/>
      </c>
      <c r="BT80">
        <f>SUMPRODUCT((M_BOM[RM_Code]=$A80)*M_BOM[RM_Qty_Per_Batch]*IFERROR(INDEX(PP_Grid[#Data],M_BOM[PPGridRow],72),0))</f>
        <v/>
      </c>
      <c r="BU80">
        <f>SUMPRODUCT((M_BOM[RM_Code]=$A80)*M_BOM[RM_Qty_Per_Batch]*IFERROR(INDEX(PP_Grid[#Data],M_BOM[PPGridRow],73),0))</f>
        <v/>
      </c>
      <c r="BV80">
        <f>SUMPRODUCT((M_BOM[RM_Code]=$A80)*M_BOM[RM_Qty_Per_Batch]*IFERROR(INDEX(PP_Grid[#Data],M_BOM[PPGridRow],74),0))</f>
        <v/>
      </c>
      <c r="BW80">
        <f>SUMPRODUCT((M_BOM[RM_Code]=$A80)*M_BOM[RM_Qty_Per_Batch]*IFERROR(INDEX(PP_Grid[#Data],M_BOM[PPGridRow],75),0))</f>
        <v/>
      </c>
      <c r="BX80">
        <f>SUMPRODUCT((M_BOM[RM_Code]=$A80)*M_BOM[RM_Qty_Per_Batch]*IFERROR(INDEX(PP_Grid[#Data],M_BOM[PPGridRow],76),0))</f>
        <v/>
      </c>
      <c r="BY80">
        <f>SUMPRODUCT((M_BOM[RM_Code]=$A80)*M_BOM[RM_Qty_Per_Batch]*IFERROR(INDEX(PP_Grid[#Data],M_BOM[PPGridRow],77),0))</f>
        <v/>
      </c>
      <c r="BZ80">
        <f>SUMPRODUCT((M_BOM[RM_Code]=$A80)*M_BOM[RM_Qty_Per_Batch]*IFERROR(INDEX(PP_Grid[#Data],M_BOM[PPGridRow],78),0))</f>
        <v/>
      </c>
      <c r="CA80">
        <f>SUMPRODUCT((M_BOM[RM_Code]=$A80)*M_BOM[RM_Qty_Per_Batch]*IFERROR(INDEX(PP_Grid[#Data],M_BOM[PPGridRow],79),0))</f>
        <v/>
      </c>
      <c r="CB80">
        <f>SUMPRODUCT((M_BOM[RM_Code]=$A80)*M_BOM[RM_Qty_Per_Batch]*IFERROR(INDEX(PP_Grid[#Data],M_BOM[PPGridRow],80),0))</f>
        <v/>
      </c>
      <c r="CC80">
        <f>SUMPRODUCT((M_BOM[RM_Code]=$A80)*M_BOM[RM_Qty_Per_Batch]*IFERROR(INDEX(PP_Grid[#Data],M_BOM[PPGridRow],81),0))</f>
        <v/>
      </c>
      <c r="CD80">
        <f>SUMPRODUCT((M_BOM[RM_Code]=$A80)*M_BOM[RM_Qty_Per_Batch]*IFERROR(INDEX(PP_Grid[#Data],M_BOM[PPGridRow],82),0))</f>
        <v/>
      </c>
      <c r="CE80">
        <f>SUMPRODUCT((M_BOM[RM_Code]=$A80)*M_BOM[RM_Qty_Per_Batch]*IFERROR(INDEX(PP_Grid[#Data],M_BOM[PPGridRow],83),0))</f>
        <v/>
      </c>
      <c r="CF80">
        <f>SUMPRODUCT((M_BOM[RM_Code]=$A80)*M_BOM[RM_Qty_Per_Batch]*IFERROR(INDEX(PP_Grid[#Data],M_BOM[PPGridRow],84),0))</f>
        <v/>
      </c>
      <c r="CG80">
        <f>SUMPRODUCT((M_BOM[RM_Code]=$A80)*M_BOM[RM_Qty_Per_Batch]*IFERROR(INDEX(PP_Grid[#Data],M_BOM[PPGridRow],85),0))</f>
        <v/>
      </c>
      <c r="CH80">
        <f>SUMPRODUCT((M_BOM[RM_Code]=$A80)*M_BOM[RM_Qty_Per_Batch]*IFERROR(INDEX(PP_Grid[#Data],M_BOM[PPGridRow],86),0))</f>
        <v/>
      </c>
      <c r="CI80">
        <f>SUMPRODUCT((M_BOM[RM_Code]=$A80)*M_BOM[RM_Qty_Per_Batch]*IFERROR(INDEX(PP_Grid[#Data],M_BOM[PPGridRow],87),0))</f>
        <v/>
      </c>
      <c r="CJ80">
        <f>SUMPRODUCT((M_BOM[RM_Code]=$A80)*M_BOM[RM_Qty_Per_Batch]*IFERROR(INDEX(PP_Grid[#Data],M_BOM[PPGridRow],88),0))</f>
        <v/>
      </c>
      <c r="CK80">
        <f>SUMPRODUCT((M_BOM[RM_Code]=$A80)*M_BOM[RM_Qty_Per_Batch]*IFERROR(INDEX(PP_Grid[#Data],M_BOM[PPGridRow],89),0))</f>
        <v/>
      </c>
      <c r="CL80">
        <f>SUMPRODUCT((M_BOM[RM_Code]=$A80)*M_BOM[RM_Qty_Per_Batch]*IFERROR(INDEX(PP_Grid[#Data],M_BOM[PPGridRow],90),0))</f>
        <v/>
      </c>
      <c r="CM80">
        <f>SUMPRODUCT((M_BOM[RM_Code]=$A80)*M_BOM[RM_Qty_Per_Batch]*IFERROR(INDEX(PP_Grid[#Data],M_BOM[PPGridRow],91),0))</f>
        <v/>
      </c>
      <c r="CN80">
        <f>SUMPRODUCT((M_BOM[RM_Code]=$A80)*M_BOM[RM_Qty_Per_Batch]*IFERROR(INDEX(PP_Grid[#Data],M_BOM[PPGridRow],92),0))</f>
        <v/>
      </c>
      <c r="CO80">
        <f>SUMPRODUCT((M_BOM[RM_Code]=$A80)*M_BOM[RM_Qty_Per_Batch]*IFERROR(INDEX(PP_Grid[#Data],M_BOM[PPGridRow],93),0))</f>
        <v/>
      </c>
      <c r="CP80">
        <f>SUMPRODUCT((M_BOM[RM_Code]=$A80)*M_BOM[RM_Qty_Per_Batch]*IFERROR(INDEX(PP_Grid[#Data],M_BOM[PPGridRow],94),0))</f>
        <v/>
      </c>
      <c r="CQ80">
        <f>SUMPRODUCT((M_BOM[RM_Code]=$A80)*M_BOM[RM_Qty_Per_Batch]*IFERROR(INDEX(PP_Grid[#Data],M_BOM[PPGridRow],95),0))</f>
        <v/>
      </c>
      <c r="CR80">
        <f>SUMPRODUCT((M_BOM[RM_Code]=$A80)*M_BOM[RM_Qty_Per_Batch]*IFERROR(INDEX(PP_Grid[#Data],M_BOM[PPGridRow],96),0))</f>
        <v/>
      </c>
      <c r="CS80">
        <f>SUMPRODUCT((M_BOM[RM_Code]=$A80)*M_BOM[RM_Qty_Per_Batch]*IFERROR(INDEX(PP_Grid[#Data],M_BOM[PPGridRow],97),0))</f>
        <v/>
      </c>
      <c r="CT80">
        <f>SUMPRODUCT((M_BOM[RM_Code]=$A80)*M_BOM[RM_Qty_Per_Batch]*IFERROR(INDEX(PP_Grid[#Data],M_BOM[PPGridRow],98),0))</f>
        <v/>
      </c>
      <c r="CU80">
        <f>SUMPRODUCT((M_BOM[RM_Code]=$A80)*M_BOM[RM_Qty_Per_Batch]*IFERROR(INDEX(PP_Grid[#Data],M_BOM[PPGridRow],99),0))</f>
        <v/>
      </c>
      <c r="CV80">
        <f>SUMPRODUCT((M_BOM[RM_Code]=$A80)*M_BOM[RM_Qty_Per_Batch]*IFERROR(INDEX(PP_Grid[#Data],M_BOM[PPGridRow],100),0))</f>
        <v/>
      </c>
      <c r="CW80">
        <f>SUMPRODUCT((M_BOM[RM_Code]=$A80)*M_BOM[RM_Qty_Per_Batch]*IFERROR(INDEX(PP_Grid[#Data],M_BOM[PPGridRow],101),0))</f>
        <v/>
      </c>
      <c r="CX80">
        <f>SUMPRODUCT((M_BOM[RM_Code]=$A80)*M_BOM[RM_Qty_Per_Batch]*IFERROR(INDEX(PP_Grid[#Data],M_BOM[PPGridRow],102),0))</f>
        <v/>
      </c>
      <c r="CY80">
        <f>SUMPRODUCT((M_BOM[RM_Code]=$A80)*M_BOM[RM_Qty_Per_Batch]*IFERROR(INDEX(PP_Grid[#Data],M_BOM[PPGridRow],103),0))</f>
        <v/>
      </c>
      <c r="CZ80">
        <f>SUMPRODUCT((M_BOM[RM_Code]=$A80)*M_BOM[RM_Qty_Per_Batch]*IFERROR(INDEX(PP_Grid[#Data],M_BOM[PPGridRow],104),0))</f>
        <v/>
      </c>
      <c r="DA80">
        <f>SUMPRODUCT((M_BOM[RM_Code]=$A80)*M_BOM[RM_Qty_Per_Batch]*IFERROR(INDEX(PP_Grid[#Data],M_BOM[PPGridRow],105),0))</f>
        <v/>
      </c>
    </row>
    <row r="81">
      <c r="A81" t="inlineStr">
        <is>
          <t>Chem-1800</t>
        </is>
      </c>
      <c r="B81">
        <f>SUMPRODUCT((M_BOM[RM_Code]=$A81)*M_BOM[RM_Qty_Per_Batch]*IFERROR(INDEX(PP_Grid[#Data],M_BOM[PPGridRow],2),0))</f>
        <v/>
      </c>
      <c r="C81">
        <f>SUMPRODUCT((M_BOM[RM_Code]=$A81)*M_BOM[RM_Qty_Per_Batch]*IFERROR(INDEX(PP_Grid[#Data],M_BOM[PPGridRow],3),0))</f>
        <v/>
      </c>
      <c r="D81">
        <f>SUMPRODUCT((M_BOM[RM_Code]=$A81)*M_BOM[RM_Qty_Per_Batch]*IFERROR(INDEX(PP_Grid[#Data],M_BOM[PPGridRow],4),0))</f>
        <v/>
      </c>
      <c r="E81">
        <f>SUMPRODUCT((M_BOM[RM_Code]=$A81)*M_BOM[RM_Qty_Per_Batch]*IFERROR(INDEX(PP_Grid[#Data],M_BOM[PPGridRow],5),0))</f>
        <v/>
      </c>
      <c r="F81">
        <f>SUMPRODUCT((M_BOM[RM_Code]=$A81)*M_BOM[RM_Qty_Per_Batch]*IFERROR(INDEX(PP_Grid[#Data],M_BOM[PPGridRow],6),0))</f>
        <v/>
      </c>
      <c r="G81">
        <f>SUMPRODUCT((M_BOM[RM_Code]=$A81)*M_BOM[RM_Qty_Per_Batch]*IFERROR(INDEX(PP_Grid[#Data],M_BOM[PPGridRow],7),0))</f>
        <v/>
      </c>
      <c r="H81">
        <f>SUMPRODUCT((M_BOM[RM_Code]=$A81)*M_BOM[RM_Qty_Per_Batch]*IFERROR(INDEX(PP_Grid[#Data],M_BOM[PPGridRow],8),0))</f>
        <v/>
      </c>
      <c r="I81">
        <f>SUMPRODUCT((M_BOM[RM_Code]=$A81)*M_BOM[RM_Qty_Per_Batch]*IFERROR(INDEX(PP_Grid[#Data],M_BOM[PPGridRow],9),0))</f>
        <v/>
      </c>
      <c r="J81">
        <f>SUMPRODUCT((M_BOM[RM_Code]=$A81)*M_BOM[RM_Qty_Per_Batch]*IFERROR(INDEX(PP_Grid[#Data],M_BOM[PPGridRow],10),0))</f>
        <v/>
      </c>
      <c r="K81">
        <f>SUMPRODUCT((M_BOM[RM_Code]=$A81)*M_BOM[RM_Qty_Per_Batch]*IFERROR(INDEX(PP_Grid[#Data],M_BOM[PPGridRow],11),0))</f>
        <v/>
      </c>
      <c r="L81">
        <f>SUMPRODUCT((M_BOM[RM_Code]=$A81)*M_BOM[RM_Qty_Per_Batch]*IFERROR(INDEX(PP_Grid[#Data],M_BOM[PPGridRow],12),0))</f>
        <v/>
      </c>
      <c r="M81">
        <f>SUMPRODUCT((M_BOM[RM_Code]=$A81)*M_BOM[RM_Qty_Per_Batch]*IFERROR(INDEX(PP_Grid[#Data],M_BOM[PPGridRow],13),0))</f>
        <v/>
      </c>
      <c r="N81">
        <f>SUMPRODUCT((M_BOM[RM_Code]=$A81)*M_BOM[RM_Qty_Per_Batch]*IFERROR(INDEX(PP_Grid[#Data],M_BOM[PPGridRow],14),0))</f>
        <v/>
      </c>
      <c r="O81">
        <f>SUMPRODUCT((M_BOM[RM_Code]=$A81)*M_BOM[RM_Qty_Per_Batch]*IFERROR(INDEX(PP_Grid[#Data],M_BOM[PPGridRow],15),0))</f>
        <v/>
      </c>
      <c r="P81">
        <f>SUMPRODUCT((M_BOM[RM_Code]=$A81)*M_BOM[RM_Qty_Per_Batch]*IFERROR(INDEX(PP_Grid[#Data],M_BOM[PPGridRow],16),0))</f>
        <v/>
      </c>
      <c r="Q81">
        <f>SUMPRODUCT((M_BOM[RM_Code]=$A81)*M_BOM[RM_Qty_Per_Batch]*IFERROR(INDEX(PP_Grid[#Data],M_BOM[PPGridRow],17),0))</f>
        <v/>
      </c>
      <c r="R81">
        <f>SUMPRODUCT((M_BOM[RM_Code]=$A81)*M_BOM[RM_Qty_Per_Batch]*IFERROR(INDEX(PP_Grid[#Data],M_BOM[PPGridRow],18),0))</f>
        <v/>
      </c>
      <c r="S81">
        <f>SUMPRODUCT((M_BOM[RM_Code]=$A81)*M_BOM[RM_Qty_Per_Batch]*IFERROR(INDEX(PP_Grid[#Data],M_BOM[PPGridRow],19),0))</f>
        <v/>
      </c>
      <c r="T81">
        <f>SUMPRODUCT((M_BOM[RM_Code]=$A81)*M_BOM[RM_Qty_Per_Batch]*IFERROR(INDEX(PP_Grid[#Data],M_BOM[PPGridRow],20),0))</f>
        <v/>
      </c>
      <c r="U81">
        <f>SUMPRODUCT((M_BOM[RM_Code]=$A81)*M_BOM[RM_Qty_Per_Batch]*IFERROR(INDEX(PP_Grid[#Data],M_BOM[PPGridRow],21),0))</f>
        <v/>
      </c>
      <c r="V81">
        <f>SUMPRODUCT((M_BOM[RM_Code]=$A81)*M_BOM[RM_Qty_Per_Batch]*IFERROR(INDEX(PP_Grid[#Data],M_BOM[PPGridRow],22),0))</f>
        <v/>
      </c>
      <c r="W81">
        <f>SUMPRODUCT((M_BOM[RM_Code]=$A81)*M_BOM[RM_Qty_Per_Batch]*IFERROR(INDEX(PP_Grid[#Data],M_BOM[PPGridRow],23),0))</f>
        <v/>
      </c>
      <c r="X81">
        <f>SUMPRODUCT((M_BOM[RM_Code]=$A81)*M_BOM[RM_Qty_Per_Batch]*IFERROR(INDEX(PP_Grid[#Data],M_BOM[PPGridRow],24),0))</f>
        <v/>
      </c>
      <c r="Y81">
        <f>SUMPRODUCT((M_BOM[RM_Code]=$A81)*M_BOM[RM_Qty_Per_Batch]*IFERROR(INDEX(PP_Grid[#Data],M_BOM[PPGridRow],25),0))</f>
        <v/>
      </c>
      <c r="Z81">
        <f>SUMPRODUCT((M_BOM[RM_Code]=$A81)*M_BOM[RM_Qty_Per_Batch]*IFERROR(INDEX(PP_Grid[#Data],M_BOM[PPGridRow],26),0))</f>
        <v/>
      </c>
      <c r="AA81">
        <f>SUMPRODUCT((M_BOM[RM_Code]=$A81)*M_BOM[RM_Qty_Per_Batch]*IFERROR(INDEX(PP_Grid[#Data],M_BOM[PPGridRow],27),0))</f>
        <v/>
      </c>
      <c r="AB81">
        <f>SUMPRODUCT((M_BOM[RM_Code]=$A81)*M_BOM[RM_Qty_Per_Batch]*IFERROR(INDEX(PP_Grid[#Data],M_BOM[PPGridRow],28),0))</f>
        <v/>
      </c>
      <c r="AC81">
        <f>SUMPRODUCT((M_BOM[RM_Code]=$A81)*M_BOM[RM_Qty_Per_Batch]*IFERROR(INDEX(PP_Grid[#Data],M_BOM[PPGridRow],29),0))</f>
        <v/>
      </c>
      <c r="AD81">
        <f>SUMPRODUCT((M_BOM[RM_Code]=$A81)*M_BOM[RM_Qty_Per_Batch]*IFERROR(INDEX(PP_Grid[#Data],M_BOM[PPGridRow],30),0))</f>
        <v/>
      </c>
      <c r="AE81">
        <f>SUMPRODUCT((M_BOM[RM_Code]=$A81)*M_BOM[RM_Qty_Per_Batch]*IFERROR(INDEX(PP_Grid[#Data],M_BOM[PPGridRow],31),0))</f>
        <v/>
      </c>
      <c r="AF81">
        <f>SUMPRODUCT((M_BOM[RM_Code]=$A81)*M_BOM[RM_Qty_Per_Batch]*IFERROR(INDEX(PP_Grid[#Data],M_BOM[PPGridRow],32),0))</f>
        <v/>
      </c>
      <c r="AG81">
        <f>SUMPRODUCT((M_BOM[RM_Code]=$A81)*M_BOM[RM_Qty_Per_Batch]*IFERROR(INDEX(PP_Grid[#Data],M_BOM[PPGridRow],33),0))</f>
        <v/>
      </c>
      <c r="AH81">
        <f>SUMPRODUCT((M_BOM[RM_Code]=$A81)*M_BOM[RM_Qty_Per_Batch]*IFERROR(INDEX(PP_Grid[#Data],M_BOM[PPGridRow],34),0))</f>
        <v/>
      </c>
      <c r="AI81">
        <f>SUMPRODUCT((M_BOM[RM_Code]=$A81)*M_BOM[RM_Qty_Per_Batch]*IFERROR(INDEX(PP_Grid[#Data],M_BOM[PPGridRow],35),0))</f>
        <v/>
      </c>
      <c r="AJ81">
        <f>SUMPRODUCT((M_BOM[RM_Code]=$A81)*M_BOM[RM_Qty_Per_Batch]*IFERROR(INDEX(PP_Grid[#Data],M_BOM[PPGridRow],36),0))</f>
        <v/>
      </c>
      <c r="AK81">
        <f>SUMPRODUCT((M_BOM[RM_Code]=$A81)*M_BOM[RM_Qty_Per_Batch]*IFERROR(INDEX(PP_Grid[#Data],M_BOM[PPGridRow],37),0))</f>
        <v/>
      </c>
      <c r="AL81">
        <f>SUMPRODUCT((M_BOM[RM_Code]=$A81)*M_BOM[RM_Qty_Per_Batch]*IFERROR(INDEX(PP_Grid[#Data],M_BOM[PPGridRow],38),0))</f>
        <v/>
      </c>
      <c r="AM81">
        <f>SUMPRODUCT((M_BOM[RM_Code]=$A81)*M_BOM[RM_Qty_Per_Batch]*IFERROR(INDEX(PP_Grid[#Data],M_BOM[PPGridRow],39),0))</f>
        <v/>
      </c>
      <c r="AN81">
        <f>SUMPRODUCT((M_BOM[RM_Code]=$A81)*M_BOM[RM_Qty_Per_Batch]*IFERROR(INDEX(PP_Grid[#Data],M_BOM[PPGridRow],40),0))</f>
        <v/>
      </c>
      <c r="AO81">
        <f>SUMPRODUCT((M_BOM[RM_Code]=$A81)*M_BOM[RM_Qty_Per_Batch]*IFERROR(INDEX(PP_Grid[#Data],M_BOM[PPGridRow],41),0))</f>
        <v/>
      </c>
      <c r="AP81">
        <f>SUMPRODUCT((M_BOM[RM_Code]=$A81)*M_BOM[RM_Qty_Per_Batch]*IFERROR(INDEX(PP_Grid[#Data],M_BOM[PPGridRow],42),0))</f>
        <v/>
      </c>
      <c r="AQ81">
        <f>SUMPRODUCT((M_BOM[RM_Code]=$A81)*M_BOM[RM_Qty_Per_Batch]*IFERROR(INDEX(PP_Grid[#Data],M_BOM[PPGridRow],43),0))</f>
        <v/>
      </c>
      <c r="AR81">
        <f>SUMPRODUCT((M_BOM[RM_Code]=$A81)*M_BOM[RM_Qty_Per_Batch]*IFERROR(INDEX(PP_Grid[#Data],M_BOM[PPGridRow],44),0))</f>
        <v/>
      </c>
      <c r="AS81">
        <f>SUMPRODUCT((M_BOM[RM_Code]=$A81)*M_BOM[RM_Qty_Per_Batch]*IFERROR(INDEX(PP_Grid[#Data],M_BOM[PPGridRow],45),0))</f>
        <v/>
      </c>
      <c r="AT81">
        <f>SUMPRODUCT((M_BOM[RM_Code]=$A81)*M_BOM[RM_Qty_Per_Batch]*IFERROR(INDEX(PP_Grid[#Data],M_BOM[PPGridRow],46),0))</f>
        <v/>
      </c>
      <c r="AU81">
        <f>SUMPRODUCT((M_BOM[RM_Code]=$A81)*M_BOM[RM_Qty_Per_Batch]*IFERROR(INDEX(PP_Grid[#Data],M_BOM[PPGridRow],47),0))</f>
        <v/>
      </c>
      <c r="AV81">
        <f>SUMPRODUCT((M_BOM[RM_Code]=$A81)*M_BOM[RM_Qty_Per_Batch]*IFERROR(INDEX(PP_Grid[#Data],M_BOM[PPGridRow],48),0))</f>
        <v/>
      </c>
      <c r="AW81">
        <f>SUMPRODUCT((M_BOM[RM_Code]=$A81)*M_BOM[RM_Qty_Per_Batch]*IFERROR(INDEX(PP_Grid[#Data],M_BOM[PPGridRow],49),0))</f>
        <v/>
      </c>
      <c r="AX81">
        <f>SUMPRODUCT((M_BOM[RM_Code]=$A81)*M_BOM[RM_Qty_Per_Batch]*IFERROR(INDEX(PP_Grid[#Data],M_BOM[PPGridRow],50),0))</f>
        <v/>
      </c>
      <c r="AY81">
        <f>SUMPRODUCT((M_BOM[RM_Code]=$A81)*M_BOM[RM_Qty_Per_Batch]*IFERROR(INDEX(PP_Grid[#Data],M_BOM[PPGridRow],51),0))</f>
        <v/>
      </c>
      <c r="AZ81">
        <f>SUMPRODUCT((M_BOM[RM_Code]=$A81)*M_BOM[RM_Qty_Per_Batch]*IFERROR(INDEX(PP_Grid[#Data],M_BOM[PPGridRow],52),0))</f>
        <v/>
      </c>
      <c r="BA81">
        <f>SUMPRODUCT((M_BOM[RM_Code]=$A81)*M_BOM[RM_Qty_Per_Batch]*IFERROR(INDEX(PP_Grid[#Data],M_BOM[PPGridRow],53),0))</f>
        <v/>
      </c>
      <c r="BB81">
        <f>SUMPRODUCT((M_BOM[RM_Code]=$A81)*M_BOM[RM_Qty_Per_Batch]*IFERROR(INDEX(PP_Grid[#Data],M_BOM[PPGridRow],54),0))</f>
        <v/>
      </c>
      <c r="BC81">
        <f>SUMPRODUCT((M_BOM[RM_Code]=$A81)*M_BOM[RM_Qty_Per_Batch]*IFERROR(INDEX(PP_Grid[#Data],M_BOM[PPGridRow],55),0))</f>
        <v/>
      </c>
      <c r="BD81">
        <f>SUMPRODUCT((M_BOM[RM_Code]=$A81)*M_BOM[RM_Qty_Per_Batch]*IFERROR(INDEX(PP_Grid[#Data],M_BOM[PPGridRow],56),0))</f>
        <v/>
      </c>
      <c r="BE81">
        <f>SUMPRODUCT((M_BOM[RM_Code]=$A81)*M_BOM[RM_Qty_Per_Batch]*IFERROR(INDEX(PP_Grid[#Data],M_BOM[PPGridRow],57),0))</f>
        <v/>
      </c>
      <c r="BF81">
        <f>SUMPRODUCT((M_BOM[RM_Code]=$A81)*M_BOM[RM_Qty_Per_Batch]*IFERROR(INDEX(PP_Grid[#Data],M_BOM[PPGridRow],58),0))</f>
        <v/>
      </c>
      <c r="BG81">
        <f>SUMPRODUCT((M_BOM[RM_Code]=$A81)*M_BOM[RM_Qty_Per_Batch]*IFERROR(INDEX(PP_Grid[#Data],M_BOM[PPGridRow],59),0))</f>
        <v/>
      </c>
      <c r="BH81">
        <f>SUMPRODUCT((M_BOM[RM_Code]=$A81)*M_BOM[RM_Qty_Per_Batch]*IFERROR(INDEX(PP_Grid[#Data],M_BOM[PPGridRow],60),0))</f>
        <v/>
      </c>
      <c r="BI81">
        <f>SUMPRODUCT((M_BOM[RM_Code]=$A81)*M_BOM[RM_Qty_Per_Batch]*IFERROR(INDEX(PP_Grid[#Data],M_BOM[PPGridRow],61),0))</f>
        <v/>
      </c>
      <c r="BJ81">
        <f>SUMPRODUCT((M_BOM[RM_Code]=$A81)*M_BOM[RM_Qty_Per_Batch]*IFERROR(INDEX(PP_Grid[#Data],M_BOM[PPGridRow],62),0))</f>
        <v/>
      </c>
      <c r="BK81">
        <f>SUMPRODUCT((M_BOM[RM_Code]=$A81)*M_BOM[RM_Qty_Per_Batch]*IFERROR(INDEX(PP_Grid[#Data],M_BOM[PPGridRow],63),0))</f>
        <v/>
      </c>
      <c r="BL81">
        <f>SUMPRODUCT((M_BOM[RM_Code]=$A81)*M_BOM[RM_Qty_Per_Batch]*IFERROR(INDEX(PP_Grid[#Data],M_BOM[PPGridRow],64),0))</f>
        <v/>
      </c>
      <c r="BM81">
        <f>SUMPRODUCT((M_BOM[RM_Code]=$A81)*M_BOM[RM_Qty_Per_Batch]*IFERROR(INDEX(PP_Grid[#Data],M_BOM[PPGridRow],65),0))</f>
        <v/>
      </c>
      <c r="BN81">
        <f>SUMPRODUCT((M_BOM[RM_Code]=$A81)*M_BOM[RM_Qty_Per_Batch]*IFERROR(INDEX(PP_Grid[#Data],M_BOM[PPGridRow],66),0))</f>
        <v/>
      </c>
      <c r="BO81">
        <f>SUMPRODUCT((M_BOM[RM_Code]=$A81)*M_BOM[RM_Qty_Per_Batch]*IFERROR(INDEX(PP_Grid[#Data],M_BOM[PPGridRow],67),0))</f>
        <v/>
      </c>
      <c r="BP81">
        <f>SUMPRODUCT((M_BOM[RM_Code]=$A81)*M_BOM[RM_Qty_Per_Batch]*IFERROR(INDEX(PP_Grid[#Data],M_BOM[PPGridRow],68),0))</f>
        <v/>
      </c>
      <c r="BQ81">
        <f>SUMPRODUCT((M_BOM[RM_Code]=$A81)*M_BOM[RM_Qty_Per_Batch]*IFERROR(INDEX(PP_Grid[#Data],M_BOM[PPGridRow],69),0))</f>
        <v/>
      </c>
      <c r="BR81">
        <f>SUMPRODUCT((M_BOM[RM_Code]=$A81)*M_BOM[RM_Qty_Per_Batch]*IFERROR(INDEX(PP_Grid[#Data],M_BOM[PPGridRow],70),0))</f>
        <v/>
      </c>
      <c r="BS81">
        <f>SUMPRODUCT((M_BOM[RM_Code]=$A81)*M_BOM[RM_Qty_Per_Batch]*IFERROR(INDEX(PP_Grid[#Data],M_BOM[PPGridRow],71),0))</f>
        <v/>
      </c>
      <c r="BT81">
        <f>SUMPRODUCT((M_BOM[RM_Code]=$A81)*M_BOM[RM_Qty_Per_Batch]*IFERROR(INDEX(PP_Grid[#Data],M_BOM[PPGridRow],72),0))</f>
        <v/>
      </c>
      <c r="BU81">
        <f>SUMPRODUCT((M_BOM[RM_Code]=$A81)*M_BOM[RM_Qty_Per_Batch]*IFERROR(INDEX(PP_Grid[#Data],M_BOM[PPGridRow],73),0))</f>
        <v/>
      </c>
      <c r="BV81">
        <f>SUMPRODUCT((M_BOM[RM_Code]=$A81)*M_BOM[RM_Qty_Per_Batch]*IFERROR(INDEX(PP_Grid[#Data],M_BOM[PPGridRow],74),0))</f>
        <v/>
      </c>
      <c r="BW81">
        <f>SUMPRODUCT((M_BOM[RM_Code]=$A81)*M_BOM[RM_Qty_Per_Batch]*IFERROR(INDEX(PP_Grid[#Data],M_BOM[PPGridRow],75),0))</f>
        <v/>
      </c>
      <c r="BX81">
        <f>SUMPRODUCT((M_BOM[RM_Code]=$A81)*M_BOM[RM_Qty_Per_Batch]*IFERROR(INDEX(PP_Grid[#Data],M_BOM[PPGridRow],76),0))</f>
        <v/>
      </c>
      <c r="BY81">
        <f>SUMPRODUCT((M_BOM[RM_Code]=$A81)*M_BOM[RM_Qty_Per_Batch]*IFERROR(INDEX(PP_Grid[#Data],M_BOM[PPGridRow],77),0))</f>
        <v/>
      </c>
      <c r="BZ81">
        <f>SUMPRODUCT((M_BOM[RM_Code]=$A81)*M_BOM[RM_Qty_Per_Batch]*IFERROR(INDEX(PP_Grid[#Data],M_BOM[PPGridRow],78),0))</f>
        <v/>
      </c>
      <c r="CA81">
        <f>SUMPRODUCT((M_BOM[RM_Code]=$A81)*M_BOM[RM_Qty_Per_Batch]*IFERROR(INDEX(PP_Grid[#Data],M_BOM[PPGridRow],79),0))</f>
        <v/>
      </c>
      <c r="CB81">
        <f>SUMPRODUCT((M_BOM[RM_Code]=$A81)*M_BOM[RM_Qty_Per_Batch]*IFERROR(INDEX(PP_Grid[#Data],M_BOM[PPGridRow],80),0))</f>
        <v/>
      </c>
      <c r="CC81">
        <f>SUMPRODUCT((M_BOM[RM_Code]=$A81)*M_BOM[RM_Qty_Per_Batch]*IFERROR(INDEX(PP_Grid[#Data],M_BOM[PPGridRow],81),0))</f>
        <v/>
      </c>
      <c r="CD81">
        <f>SUMPRODUCT((M_BOM[RM_Code]=$A81)*M_BOM[RM_Qty_Per_Batch]*IFERROR(INDEX(PP_Grid[#Data],M_BOM[PPGridRow],82),0))</f>
        <v/>
      </c>
      <c r="CE81">
        <f>SUMPRODUCT((M_BOM[RM_Code]=$A81)*M_BOM[RM_Qty_Per_Batch]*IFERROR(INDEX(PP_Grid[#Data],M_BOM[PPGridRow],83),0))</f>
        <v/>
      </c>
      <c r="CF81">
        <f>SUMPRODUCT((M_BOM[RM_Code]=$A81)*M_BOM[RM_Qty_Per_Batch]*IFERROR(INDEX(PP_Grid[#Data],M_BOM[PPGridRow],84),0))</f>
        <v/>
      </c>
      <c r="CG81">
        <f>SUMPRODUCT((M_BOM[RM_Code]=$A81)*M_BOM[RM_Qty_Per_Batch]*IFERROR(INDEX(PP_Grid[#Data],M_BOM[PPGridRow],85),0))</f>
        <v/>
      </c>
      <c r="CH81">
        <f>SUMPRODUCT((M_BOM[RM_Code]=$A81)*M_BOM[RM_Qty_Per_Batch]*IFERROR(INDEX(PP_Grid[#Data],M_BOM[PPGridRow],86),0))</f>
        <v/>
      </c>
      <c r="CI81">
        <f>SUMPRODUCT((M_BOM[RM_Code]=$A81)*M_BOM[RM_Qty_Per_Batch]*IFERROR(INDEX(PP_Grid[#Data],M_BOM[PPGridRow],87),0))</f>
        <v/>
      </c>
      <c r="CJ81">
        <f>SUMPRODUCT((M_BOM[RM_Code]=$A81)*M_BOM[RM_Qty_Per_Batch]*IFERROR(INDEX(PP_Grid[#Data],M_BOM[PPGridRow],88),0))</f>
        <v/>
      </c>
      <c r="CK81">
        <f>SUMPRODUCT((M_BOM[RM_Code]=$A81)*M_BOM[RM_Qty_Per_Batch]*IFERROR(INDEX(PP_Grid[#Data],M_BOM[PPGridRow],89),0))</f>
        <v/>
      </c>
      <c r="CL81">
        <f>SUMPRODUCT((M_BOM[RM_Code]=$A81)*M_BOM[RM_Qty_Per_Batch]*IFERROR(INDEX(PP_Grid[#Data],M_BOM[PPGridRow],90),0))</f>
        <v/>
      </c>
      <c r="CM81">
        <f>SUMPRODUCT((M_BOM[RM_Code]=$A81)*M_BOM[RM_Qty_Per_Batch]*IFERROR(INDEX(PP_Grid[#Data],M_BOM[PPGridRow],91),0))</f>
        <v/>
      </c>
      <c r="CN81">
        <f>SUMPRODUCT((M_BOM[RM_Code]=$A81)*M_BOM[RM_Qty_Per_Batch]*IFERROR(INDEX(PP_Grid[#Data],M_BOM[PPGridRow],92),0))</f>
        <v/>
      </c>
      <c r="CO81">
        <f>SUMPRODUCT((M_BOM[RM_Code]=$A81)*M_BOM[RM_Qty_Per_Batch]*IFERROR(INDEX(PP_Grid[#Data],M_BOM[PPGridRow],93),0))</f>
        <v/>
      </c>
      <c r="CP81">
        <f>SUMPRODUCT((M_BOM[RM_Code]=$A81)*M_BOM[RM_Qty_Per_Batch]*IFERROR(INDEX(PP_Grid[#Data],M_BOM[PPGridRow],94),0))</f>
        <v/>
      </c>
      <c r="CQ81">
        <f>SUMPRODUCT((M_BOM[RM_Code]=$A81)*M_BOM[RM_Qty_Per_Batch]*IFERROR(INDEX(PP_Grid[#Data],M_BOM[PPGridRow],95),0))</f>
        <v/>
      </c>
      <c r="CR81">
        <f>SUMPRODUCT((M_BOM[RM_Code]=$A81)*M_BOM[RM_Qty_Per_Batch]*IFERROR(INDEX(PP_Grid[#Data],M_BOM[PPGridRow],96),0))</f>
        <v/>
      </c>
      <c r="CS81">
        <f>SUMPRODUCT((M_BOM[RM_Code]=$A81)*M_BOM[RM_Qty_Per_Batch]*IFERROR(INDEX(PP_Grid[#Data],M_BOM[PPGridRow],97),0))</f>
        <v/>
      </c>
      <c r="CT81">
        <f>SUMPRODUCT((M_BOM[RM_Code]=$A81)*M_BOM[RM_Qty_Per_Batch]*IFERROR(INDEX(PP_Grid[#Data],M_BOM[PPGridRow],98),0))</f>
        <v/>
      </c>
      <c r="CU81">
        <f>SUMPRODUCT((M_BOM[RM_Code]=$A81)*M_BOM[RM_Qty_Per_Batch]*IFERROR(INDEX(PP_Grid[#Data],M_BOM[PPGridRow],99),0))</f>
        <v/>
      </c>
      <c r="CV81">
        <f>SUMPRODUCT((M_BOM[RM_Code]=$A81)*M_BOM[RM_Qty_Per_Batch]*IFERROR(INDEX(PP_Grid[#Data],M_BOM[PPGridRow],100),0))</f>
        <v/>
      </c>
      <c r="CW81">
        <f>SUMPRODUCT((M_BOM[RM_Code]=$A81)*M_BOM[RM_Qty_Per_Batch]*IFERROR(INDEX(PP_Grid[#Data],M_BOM[PPGridRow],101),0))</f>
        <v/>
      </c>
      <c r="CX81">
        <f>SUMPRODUCT((M_BOM[RM_Code]=$A81)*M_BOM[RM_Qty_Per_Batch]*IFERROR(INDEX(PP_Grid[#Data],M_BOM[PPGridRow],102),0))</f>
        <v/>
      </c>
      <c r="CY81">
        <f>SUMPRODUCT((M_BOM[RM_Code]=$A81)*M_BOM[RM_Qty_Per_Batch]*IFERROR(INDEX(PP_Grid[#Data],M_BOM[PPGridRow],103),0))</f>
        <v/>
      </c>
      <c r="CZ81">
        <f>SUMPRODUCT((M_BOM[RM_Code]=$A81)*M_BOM[RM_Qty_Per_Batch]*IFERROR(INDEX(PP_Grid[#Data],M_BOM[PPGridRow],104),0))</f>
        <v/>
      </c>
      <c r="DA81">
        <f>SUMPRODUCT((M_BOM[RM_Code]=$A81)*M_BOM[RM_Qty_Per_Batch]*IFERROR(INDEX(PP_Grid[#Data],M_BOM[PPGridRow],105),0))</f>
        <v/>
      </c>
    </row>
    <row r="82">
      <c r="A82" t="inlineStr">
        <is>
          <t>A043</t>
        </is>
      </c>
      <c r="B82">
        <f>SUMPRODUCT((M_BOM[RM_Code]=$A82)*M_BOM[RM_Qty_Per_Batch]*IFERROR(INDEX(PP_Grid[#Data],M_BOM[PPGridRow],2),0))</f>
        <v/>
      </c>
      <c r="C82">
        <f>SUMPRODUCT((M_BOM[RM_Code]=$A82)*M_BOM[RM_Qty_Per_Batch]*IFERROR(INDEX(PP_Grid[#Data],M_BOM[PPGridRow],3),0))</f>
        <v/>
      </c>
      <c r="D82">
        <f>SUMPRODUCT((M_BOM[RM_Code]=$A82)*M_BOM[RM_Qty_Per_Batch]*IFERROR(INDEX(PP_Grid[#Data],M_BOM[PPGridRow],4),0))</f>
        <v/>
      </c>
      <c r="E82">
        <f>SUMPRODUCT((M_BOM[RM_Code]=$A82)*M_BOM[RM_Qty_Per_Batch]*IFERROR(INDEX(PP_Grid[#Data],M_BOM[PPGridRow],5),0))</f>
        <v/>
      </c>
      <c r="F82">
        <f>SUMPRODUCT((M_BOM[RM_Code]=$A82)*M_BOM[RM_Qty_Per_Batch]*IFERROR(INDEX(PP_Grid[#Data],M_BOM[PPGridRow],6),0))</f>
        <v/>
      </c>
      <c r="G82">
        <f>SUMPRODUCT((M_BOM[RM_Code]=$A82)*M_BOM[RM_Qty_Per_Batch]*IFERROR(INDEX(PP_Grid[#Data],M_BOM[PPGridRow],7),0))</f>
        <v/>
      </c>
      <c r="H82">
        <f>SUMPRODUCT((M_BOM[RM_Code]=$A82)*M_BOM[RM_Qty_Per_Batch]*IFERROR(INDEX(PP_Grid[#Data],M_BOM[PPGridRow],8),0))</f>
        <v/>
      </c>
      <c r="I82">
        <f>SUMPRODUCT((M_BOM[RM_Code]=$A82)*M_BOM[RM_Qty_Per_Batch]*IFERROR(INDEX(PP_Grid[#Data],M_BOM[PPGridRow],9),0))</f>
        <v/>
      </c>
      <c r="J82">
        <f>SUMPRODUCT((M_BOM[RM_Code]=$A82)*M_BOM[RM_Qty_Per_Batch]*IFERROR(INDEX(PP_Grid[#Data],M_BOM[PPGridRow],10),0))</f>
        <v/>
      </c>
      <c r="K82">
        <f>SUMPRODUCT((M_BOM[RM_Code]=$A82)*M_BOM[RM_Qty_Per_Batch]*IFERROR(INDEX(PP_Grid[#Data],M_BOM[PPGridRow],11),0))</f>
        <v/>
      </c>
      <c r="L82">
        <f>SUMPRODUCT((M_BOM[RM_Code]=$A82)*M_BOM[RM_Qty_Per_Batch]*IFERROR(INDEX(PP_Grid[#Data],M_BOM[PPGridRow],12),0))</f>
        <v/>
      </c>
      <c r="M82">
        <f>SUMPRODUCT((M_BOM[RM_Code]=$A82)*M_BOM[RM_Qty_Per_Batch]*IFERROR(INDEX(PP_Grid[#Data],M_BOM[PPGridRow],13),0))</f>
        <v/>
      </c>
      <c r="N82">
        <f>SUMPRODUCT((M_BOM[RM_Code]=$A82)*M_BOM[RM_Qty_Per_Batch]*IFERROR(INDEX(PP_Grid[#Data],M_BOM[PPGridRow],14),0))</f>
        <v/>
      </c>
      <c r="O82">
        <f>SUMPRODUCT((M_BOM[RM_Code]=$A82)*M_BOM[RM_Qty_Per_Batch]*IFERROR(INDEX(PP_Grid[#Data],M_BOM[PPGridRow],15),0))</f>
        <v/>
      </c>
      <c r="P82">
        <f>SUMPRODUCT((M_BOM[RM_Code]=$A82)*M_BOM[RM_Qty_Per_Batch]*IFERROR(INDEX(PP_Grid[#Data],M_BOM[PPGridRow],16),0))</f>
        <v/>
      </c>
      <c r="Q82">
        <f>SUMPRODUCT((M_BOM[RM_Code]=$A82)*M_BOM[RM_Qty_Per_Batch]*IFERROR(INDEX(PP_Grid[#Data],M_BOM[PPGridRow],17),0))</f>
        <v/>
      </c>
      <c r="R82">
        <f>SUMPRODUCT((M_BOM[RM_Code]=$A82)*M_BOM[RM_Qty_Per_Batch]*IFERROR(INDEX(PP_Grid[#Data],M_BOM[PPGridRow],18),0))</f>
        <v/>
      </c>
      <c r="S82">
        <f>SUMPRODUCT((M_BOM[RM_Code]=$A82)*M_BOM[RM_Qty_Per_Batch]*IFERROR(INDEX(PP_Grid[#Data],M_BOM[PPGridRow],19),0))</f>
        <v/>
      </c>
      <c r="T82">
        <f>SUMPRODUCT((M_BOM[RM_Code]=$A82)*M_BOM[RM_Qty_Per_Batch]*IFERROR(INDEX(PP_Grid[#Data],M_BOM[PPGridRow],20),0))</f>
        <v/>
      </c>
      <c r="U82">
        <f>SUMPRODUCT((M_BOM[RM_Code]=$A82)*M_BOM[RM_Qty_Per_Batch]*IFERROR(INDEX(PP_Grid[#Data],M_BOM[PPGridRow],21),0))</f>
        <v/>
      </c>
      <c r="V82">
        <f>SUMPRODUCT((M_BOM[RM_Code]=$A82)*M_BOM[RM_Qty_Per_Batch]*IFERROR(INDEX(PP_Grid[#Data],M_BOM[PPGridRow],22),0))</f>
        <v/>
      </c>
      <c r="W82">
        <f>SUMPRODUCT((M_BOM[RM_Code]=$A82)*M_BOM[RM_Qty_Per_Batch]*IFERROR(INDEX(PP_Grid[#Data],M_BOM[PPGridRow],23),0))</f>
        <v/>
      </c>
      <c r="X82">
        <f>SUMPRODUCT((M_BOM[RM_Code]=$A82)*M_BOM[RM_Qty_Per_Batch]*IFERROR(INDEX(PP_Grid[#Data],M_BOM[PPGridRow],24),0))</f>
        <v/>
      </c>
      <c r="Y82">
        <f>SUMPRODUCT((M_BOM[RM_Code]=$A82)*M_BOM[RM_Qty_Per_Batch]*IFERROR(INDEX(PP_Grid[#Data],M_BOM[PPGridRow],25),0))</f>
        <v/>
      </c>
      <c r="Z82">
        <f>SUMPRODUCT((M_BOM[RM_Code]=$A82)*M_BOM[RM_Qty_Per_Batch]*IFERROR(INDEX(PP_Grid[#Data],M_BOM[PPGridRow],26),0))</f>
        <v/>
      </c>
      <c r="AA82">
        <f>SUMPRODUCT((M_BOM[RM_Code]=$A82)*M_BOM[RM_Qty_Per_Batch]*IFERROR(INDEX(PP_Grid[#Data],M_BOM[PPGridRow],27),0))</f>
        <v/>
      </c>
      <c r="AB82">
        <f>SUMPRODUCT((M_BOM[RM_Code]=$A82)*M_BOM[RM_Qty_Per_Batch]*IFERROR(INDEX(PP_Grid[#Data],M_BOM[PPGridRow],28),0))</f>
        <v/>
      </c>
      <c r="AC82">
        <f>SUMPRODUCT((M_BOM[RM_Code]=$A82)*M_BOM[RM_Qty_Per_Batch]*IFERROR(INDEX(PP_Grid[#Data],M_BOM[PPGridRow],29),0))</f>
        <v/>
      </c>
      <c r="AD82">
        <f>SUMPRODUCT((M_BOM[RM_Code]=$A82)*M_BOM[RM_Qty_Per_Batch]*IFERROR(INDEX(PP_Grid[#Data],M_BOM[PPGridRow],30),0))</f>
        <v/>
      </c>
      <c r="AE82">
        <f>SUMPRODUCT((M_BOM[RM_Code]=$A82)*M_BOM[RM_Qty_Per_Batch]*IFERROR(INDEX(PP_Grid[#Data],M_BOM[PPGridRow],31),0))</f>
        <v/>
      </c>
      <c r="AF82">
        <f>SUMPRODUCT((M_BOM[RM_Code]=$A82)*M_BOM[RM_Qty_Per_Batch]*IFERROR(INDEX(PP_Grid[#Data],M_BOM[PPGridRow],32),0))</f>
        <v/>
      </c>
      <c r="AG82">
        <f>SUMPRODUCT((M_BOM[RM_Code]=$A82)*M_BOM[RM_Qty_Per_Batch]*IFERROR(INDEX(PP_Grid[#Data],M_BOM[PPGridRow],33),0))</f>
        <v/>
      </c>
      <c r="AH82">
        <f>SUMPRODUCT((M_BOM[RM_Code]=$A82)*M_BOM[RM_Qty_Per_Batch]*IFERROR(INDEX(PP_Grid[#Data],M_BOM[PPGridRow],34),0))</f>
        <v/>
      </c>
      <c r="AI82">
        <f>SUMPRODUCT((M_BOM[RM_Code]=$A82)*M_BOM[RM_Qty_Per_Batch]*IFERROR(INDEX(PP_Grid[#Data],M_BOM[PPGridRow],35),0))</f>
        <v/>
      </c>
      <c r="AJ82">
        <f>SUMPRODUCT((M_BOM[RM_Code]=$A82)*M_BOM[RM_Qty_Per_Batch]*IFERROR(INDEX(PP_Grid[#Data],M_BOM[PPGridRow],36),0))</f>
        <v/>
      </c>
      <c r="AK82">
        <f>SUMPRODUCT((M_BOM[RM_Code]=$A82)*M_BOM[RM_Qty_Per_Batch]*IFERROR(INDEX(PP_Grid[#Data],M_BOM[PPGridRow],37),0))</f>
        <v/>
      </c>
      <c r="AL82">
        <f>SUMPRODUCT((M_BOM[RM_Code]=$A82)*M_BOM[RM_Qty_Per_Batch]*IFERROR(INDEX(PP_Grid[#Data],M_BOM[PPGridRow],38),0))</f>
        <v/>
      </c>
      <c r="AM82">
        <f>SUMPRODUCT((M_BOM[RM_Code]=$A82)*M_BOM[RM_Qty_Per_Batch]*IFERROR(INDEX(PP_Grid[#Data],M_BOM[PPGridRow],39),0))</f>
        <v/>
      </c>
      <c r="AN82">
        <f>SUMPRODUCT((M_BOM[RM_Code]=$A82)*M_BOM[RM_Qty_Per_Batch]*IFERROR(INDEX(PP_Grid[#Data],M_BOM[PPGridRow],40),0))</f>
        <v/>
      </c>
      <c r="AO82">
        <f>SUMPRODUCT((M_BOM[RM_Code]=$A82)*M_BOM[RM_Qty_Per_Batch]*IFERROR(INDEX(PP_Grid[#Data],M_BOM[PPGridRow],41),0))</f>
        <v/>
      </c>
      <c r="AP82">
        <f>SUMPRODUCT((M_BOM[RM_Code]=$A82)*M_BOM[RM_Qty_Per_Batch]*IFERROR(INDEX(PP_Grid[#Data],M_BOM[PPGridRow],42),0))</f>
        <v/>
      </c>
      <c r="AQ82">
        <f>SUMPRODUCT((M_BOM[RM_Code]=$A82)*M_BOM[RM_Qty_Per_Batch]*IFERROR(INDEX(PP_Grid[#Data],M_BOM[PPGridRow],43),0))</f>
        <v/>
      </c>
      <c r="AR82">
        <f>SUMPRODUCT((M_BOM[RM_Code]=$A82)*M_BOM[RM_Qty_Per_Batch]*IFERROR(INDEX(PP_Grid[#Data],M_BOM[PPGridRow],44),0))</f>
        <v/>
      </c>
      <c r="AS82">
        <f>SUMPRODUCT((M_BOM[RM_Code]=$A82)*M_BOM[RM_Qty_Per_Batch]*IFERROR(INDEX(PP_Grid[#Data],M_BOM[PPGridRow],45),0))</f>
        <v/>
      </c>
      <c r="AT82">
        <f>SUMPRODUCT((M_BOM[RM_Code]=$A82)*M_BOM[RM_Qty_Per_Batch]*IFERROR(INDEX(PP_Grid[#Data],M_BOM[PPGridRow],46),0))</f>
        <v/>
      </c>
      <c r="AU82">
        <f>SUMPRODUCT((M_BOM[RM_Code]=$A82)*M_BOM[RM_Qty_Per_Batch]*IFERROR(INDEX(PP_Grid[#Data],M_BOM[PPGridRow],47),0))</f>
        <v/>
      </c>
      <c r="AV82">
        <f>SUMPRODUCT((M_BOM[RM_Code]=$A82)*M_BOM[RM_Qty_Per_Batch]*IFERROR(INDEX(PP_Grid[#Data],M_BOM[PPGridRow],48),0))</f>
        <v/>
      </c>
      <c r="AW82">
        <f>SUMPRODUCT((M_BOM[RM_Code]=$A82)*M_BOM[RM_Qty_Per_Batch]*IFERROR(INDEX(PP_Grid[#Data],M_BOM[PPGridRow],49),0))</f>
        <v/>
      </c>
      <c r="AX82">
        <f>SUMPRODUCT((M_BOM[RM_Code]=$A82)*M_BOM[RM_Qty_Per_Batch]*IFERROR(INDEX(PP_Grid[#Data],M_BOM[PPGridRow],50),0))</f>
        <v/>
      </c>
      <c r="AY82">
        <f>SUMPRODUCT((M_BOM[RM_Code]=$A82)*M_BOM[RM_Qty_Per_Batch]*IFERROR(INDEX(PP_Grid[#Data],M_BOM[PPGridRow],51),0))</f>
        <v/>
      </c>
      <c r="AZ82">
        <f>SUMPRODUCT((M_BOM[RM_Code]=$A82)*M_BOM[RM_Qty_Per_Batch]*IFERROR(INDEX(PP_Grid[#Data],M_BOM[PPGridRow],52),0))</f>
        <v/>
      </c>
      <c r="BA82">
        <f>SUMPRODUCT((M_BOM[RM_Code]=$A82)*M_BOM[RM_Qty_Per_Batch]*IFERROR(INDEX(PP_Grid[#Data],M_BOM[PPGridRow],53),0))</f>
        <v/>
      </c>
      <c r="BB82">
        <f>SUMPRODUCT((M_BOM[RM_Code]=$A82)*M_BOM[RM_Qty_Per_Batch]*IFERROR(INDEX(PP_Grid[#Data],M_BOM[PPGridRow],54),0))</f>
        <v/>
      </c>
      <c r="BC82">
        <f>SUMPRODUCT((M_BOM[RM_Code]=$A82)*M_BOM[RM_Qty_Per_Batch]*IFERROR(INDEX(PP_Grid[#Data],M_BOM[PPGridRow],55),0))</f>
        <v/>
      </c>
      <c r="BD82">
        <f>SUMPRODUCT((M_BOM[RM_Code]=$A82)*M_BOM[RM_Qty_Per_Batch]*IFERROR(INDEX(PP_Grid[#Data],M_BOM[PPGridRow],56),0))</f>
        <v/>
      </c>
      <c r="BE82">
        <f>SUMPRODUCT((M_BOM[RM_Code]=$A82)*M_BOM[RM_Qty_Per_Batch]*IFERROR(INDEX(PP_Grid[#Data],M_BOM[PPGridRow],57),0))</f>
        <v/>
      </c>
      <c r="BF82">
        <f>SUMPRODUCT((M_BOM[RM_Code]=$A82)*M_BOM[RM_Qty_Per_Batch]*IFERROR(INDEX(PP_Grid[#Data],M_BOM[PPGridRow],58),0))</f>
        <v/>
      </c>
      <c r="BG82">
        <f>SUMPRODUCT((M_BOM[RM_Code]=$A82)*M_BOM[RM_Qty_Per_Batch]*IFERROR(INDEX(PP_Grid[#Data],M_BOM[PPGridRow],59),0))</f>
        <v/>
      </c>
      <c r="BH82">
        <f>SUMPRODUCT((M_BOM[RM_Code]=$A82)*M_BOM[RM_Qty_Per_Batch]*IFERROR(INDEX(PP_Grid[#Data],M_BOM[PPGridRow],60),0))</f>
        <v/>
      </c>
      <c r="BI82">
        <f>SUMPRODUCT((M_BOM[RM_Code]=$A82)*M_BOM[RM_Qty_Per_Batch]*IFERROR(INDEX(PP_Grid[#Data],M_BOM[PPGridRow],61),0))</f>
        <v/>
      </c>
      <c r="BJ82">
        <f>SUMPRODUCT((M_BOM[RM_Code]=$A82)*M_BOM[RM_Qty_Per_Batch]*IFERROR(INDEX(PP_Grid[#Data],M_BOM[PPGridRow],62),0))</f>
        <v/>
      </c>
      <c r="BK82">
        <f>SUMPRODUCT((M_BOM[RM_Code]=$A82)*M_BOM[RM_Qty_Per_Batch]*IFERROR(INDEX(PP_Grid[#Data],M_BOM[PPGridRow],63),0))</f>
        <v/>
      </c>
      <c r="BL82">
        <f>SUMPRODUCT((M_BOM[RM_Code]=$A82)*M_BOM[RM_Qty_Per_Batch]*IFERROR(INDEX(PP_Grid[#Data],M_BOM[PPGridRow],64),0))</f>
        <v/>
      </c>
      <c r="BM82">
        <f>SUMPRODUCT((M_BOM[RM_Code]=$A82)*M_BOM[RM_Qty_Per_Batch]*IFERROR(INDEX(PP_Grid[#Data],M_BOM[PPGridRow],65),0))</f>
        <v/>
      </c>
      <c r="BN82">
        <f>SUMPRODUCT((M_BOM[RM_Code]=$A82)*M_BOM[RM_Qty_Per_Batch]*IFERROR(INDEX(PP_Grid[#Data],M_BOM[PPGridRow],66),0))</f>
        <v/>
      </c>
      <c r="BO82">
        <f>SUMPRODUCT((M_BOM[RM_Code]=$A82)*M_BOM[RM_Qty_Per_Batch]*IFERROR(INDEX(PP_Grid[#Data],M_BOM[PPGridRow],67),0))</f>
        <v/>
      </c>
      <c r="BP82">
        <f>SUMPRODUCT((M_BOM[RM_Code]=$A82)*M_BOM[RM_Qty_Per_Batch]*IFERROR(INDEX(PP_Grid[#Data],M_BOM[PPGridRow],68),0))</f>
        <v/>
      </c>
      <c r="BQ82">
        <f>SUMPRODUCT((M_BOM[RM_Code]=$A82)*M_BOM[RM_Qty_Per_Batch]*IFERROR(INDEX(PP_Grid[#Data],M_BOM[PPGridRow],69),0))</f>
        <v/>
      </c>
      <c r="BR82">
        <f>SUMPRODUCT((M_BOM[RM_Code]=$A82)*M_BOM[RM_Qty_Per_Batch]*IFERROR(INDEX(PP_Grid[#Data],M_BOM[PPGridRow],70),0))</f>
        <v/>
      </c>
      <c r="BS82">
        <f>SUMPRODUCT((M_BOM[RM_Code]=$A82)*M_BOM[RM_Qty_Per_Batch]*IFERROR(INDEX(PP_Grid[#Data],M_BOM[PPGridRow],71),0))</f>
        <v/>
      </c>
      <c r="BT82">
        <f>SUMPRODUCT((M_BOM[RM_Code]=$A82)*M_BOM[RM_Qty_Per_Batch]*IFERROR(INDEX(PP_Grid[#Data],M_BOM[PPGridRow],72),0))</f>
        <v/>
      </c>
      <c r="BU82">
        <f>SUMPRODUCT((M_BOM[RM_Code]=$A82)*M_BOM[RM_Qty_Per_Batch]*IFERROR(INDEX(PP_Grid[#Data],M_BOM[PPGridRow],73),0))</f>
        <v/>
      </c>
      <c r="BV82">
        <f>SUMPRODUCT((M_BOM[RM_Code]=$A82)*M_BOM[RM_Qty_Per_Batch]*IFERROR(INDEX(PP_Grid[#Data],M_BOM[PPGridRow],74),0))</f>
        <v/>
      </c>
      <c r="BW82">
        <f>SUMPRODUCT((M_BOM[RM_Code]=$A82)*M_BOM[RM_Qty_Per_Batch]*IFERROR(INDEX(PP_Grid[#Data],M_BOM[PPGridRow],75),0))</f>
        <v/>
      </c>
      <c r="BX82">
        <f>SUMPRODUCT((M_BOM[RM_Code]=$A82)*M_BOM[RM_Qty_Per_Batch]*IFERROR(INDEX(PP_Grid[#Data],M_BOM[PPGridRow],76),0))</f>
        <v/>
      </c>
      <c r="BY82">
        <f>SUMPRODUCT((M_BOM[RM_Code]=$A82)*M_BOM[RM_Qty_Per_Batch]*IFERROR(INDEX(PP_Grid[#Data],M_BOM[PPGridRow],77),0))</f>
        <v/>
      </c>
      <c r="BZ82">
        <f>SUMPRODUCT((M_BOM[RM_Code]=$A82)*M_BOM[RM_Qty_Per_Batch]*IFERROR(INDEX(PP_Grid[#Data],M_BOM[PPGridRow],78),0))</f>
        <v/>
      </c>
      <c r="CA82">
        <f>SUMPRODUCT((M_BOM[RM_Code]=$A82)*M_BOM[RM_Qty_Per_Batch]*IFERROR(INDEX(PP_Grid[#Data],M_BOM[PPGridRow],79),0))</f>
        <v/>
      </c>
      <c r="CB82">
        <f>SUMPRODUCT((M_BOM[RM_Code]=$A82)*M_BOM[RM_Qty_Per_Batch]*IFERROR(INDEX(PP_Grid[#Data],M_BOM[PPGridRow],80),0))</f>
        <v/>
      </c>
      <c r="CC82">
        <f>SUMPRODUCT((M_BOM[RM_Code]=$A82)*M_BOM[RM_Qty_Per_Batch]*IFERROR(INDEX(PP_Grid[#Data],M_BOM[PPGridRow],81),0))</f>
        <v/>
      </c>
      <c r="CD82">
        <f>SUMPRODUCT((M_BOM[RM_Code]=$A82)*M_BOM[RM_Qty_Per_Batch]*IFERROR(INDEX(PP_Grid[#Data],M_BOM[PPGridRow],82),0))</f>
        <v/>
      </c>
      <c r="CE82">
        <f>SUMPRODUCT((M_BOM[RM_Code]=$A82)*M_BOM[RM_Qty_Per_Batch]*IFERROR(INDEX(PP_Grid[#Data],M_BOM[PPGridRow],83),0))</f>
        <v/>
      </c>
      <c r="CF82">
        <f>SUMPRODUCT((M_BOM[RM_Code]=$A82)*M_BOM[RM_Qty_Per_Batch]*IFERROR(INDEX(PP_Grid[#Data],M_BOM[PPGridRow],84),0))</f>
        <v/>
      </c>
      <c r="CG82">
        <f>SUMPRODUCT((M_BOM[RM_Code]=$A82)*M_BOM[RM_Qty_Per_Batch]*IFERROR(INDEX(PP_Grid[#Data],M_BOM[PPGridRow],85),0))</f>
        <v/>
      </c>
      <c r="CH82">
        <f>SUMPRODUCT((M_BOM[RM_Code]=$A82)*M_BOM[RM_Qty_Per_Batch]*IFERROR(INDEX(PP_Grid[#Data],M_BOM[PPGridRow],86),0))</f>
        <v/>
      </c>
      <c r="CI82">
        <f>SUMPRODUCT((M_BOM[RM_Code]=$A82)*M_BOM[RM_Qty_Per_Batch]*IFERROR(INDEX(PP_Grid[#Data],M_BOM[PPGridRow],87),0))</f>
        <v/>
      </c>
      <c r="CJ82">
        <f>SUMPRODUCT((M_BOM[RM_Code]=$A82)*M_BOM[RM_Qty_Per_Batch]*IFERROR(INDEX(PP_Grid[#Data],M_BOM[PPGridRow],88),0))</f>
        <v/>
      </c>
      <c r="CK82">
        <f>SUMPRODUCT((M_BOM[RM_Code]=$A82)*M_BOM[RM_Qty_Per_Batch]*IFERROR(INDEX(PP_Grid[#Data],M_BOM[PPGridRow],89),0))</f>
        <v/>
      </c>
      <c r="CL82">
        <f>SUMPRODUCT((M_BOM[RM_Code]=$A82)*M_BOM[RM_Qty_Per_Batch]*IFERROR(INDEX(PP_Grid[#Data],M_BOM[PPGridRow],90),0))</f>
        <v/>
      </c>
      <c r="CM82">
        <f>SUMPRODUCT((M_BOM[RM_Code]=$A82)*M_BOM[RM_Qty_Per_Batch]*IFERROR(INDEX(PP_Grid[#Data],M_BOM[PPGridRow],91),0))</f>
        <v/>
      </c>
      <c r="CN82">
        <f>SUMPRODUCT((M_BOM[RM_Code]=$A82)*M_BOM[RM_Qty_Per_Batch]*IFERROR(INDEX(PP_Grid[#Data],M_BOM[PPGridRow],92),0))</f>
        <v/>
      </c>
      <c r="CO82">
        <f>SUMPRODUCT((M_BOM[RM_Code]=$A82)*M_BOM[RM_Qty_Per_Batch]*IFERROR(INDEX(PP_Grid[#Data],M_BOM[PPGridRow],93),0))</f>
        <v/>
      </c>
      <c r="CP82">
        <f>SUMPRODUCT((M_BOM[RM_Code]=$A82)*M_BOM[RM_Qty_Per_Batch]*IFERROR(INDEX(PP_Grid[#Data],M_BOM[PPGridRow],94),0))</f>
        <v/>
      </c>
      <c r="CQ82">
        <f>SUMPRODUCT((M_BOM[RM_Code]=$A82)*M_BOM[RM_Qty_Per_Batch]*IFERROR(INDEX(PP_Grid[#Data],M_BOM[PPGridRow],95),0))</f>
        <v/>
      </c>
      <c r="CR82">
        <f>SUMPRODUCT((M_BOM[RM_Code]=$A82)*M_BOM[RM_Qty_Per_Batch]*IFERROR(INDEX(PP_Grid[#Data],M_BOM[PPGridRow],96),0))</f>
        <v/>
      </c>
      <c r="CS82">
        <f>SUMPRODUCT((M_BOM[RM_Code]=$A82)*M_BOM[RM_Qty_Per_Batch]*IFERROR(INDEX(PP_Grid[#Data],M_BOM[PPGridRow],97),0))</f>
        <v/>
      </c>
      <c r="CT82">
        <f>SUMPRODUCT((M_BOM[RM_Code]=$A82)*M_BOM[RM_Qty_Per_Batch]*IFERROR(INDEX(PP_Grid[#Data],M_BOM[PPGridRow],98),0))</f>
        <v/>
      </c>
      <c r="CU82">
        <f>SUMPRODUCT((M_BOM[RM_Code]=$A82)*M_BOM[RM_Qty_Per_Batch]*IFERROR(INDEX(PP_Grid[#Data],M_BOM[PPGridRow],99),0))</f>
        <v/>
      </c>
      <c r="CV82">
        <f>SUMPRODUCT((M_BOM[RM_Code]=$A82)*M_BOM[RM_Qty_Per_Batch]*IFERROR(INDEX(PP_Grid[#Data],M_BOM[PPGridRow],100),0))</f>
        <v/>
      </c>
      <c r="CW82">
        <f>SUMPRODUCT((M_BOM[RM_Code]=$A82)*M_BOM[RM_Qty_Per_Batch]*IFERROR(INDEX(PP_Grid[#Data],M_BOM[PPGridRow],101),0))</f>
        <v/>
      </c>
      <c r="CX82">
        <f>SUMPRODUCT((M_BOM[RM_Code]=$A82)*M_BOM[RM_Qty_Per_Batch]*IFERROR(INDEX(PP_Grid[#Data],M_BOM[PPGridRow],102),0))</f>
        <v/>
      </c>
      <c r="CY82">
        <f>SUMPRODUCT((M_BOM[RM_Code]=$A82)*M_BOM[RM_Qty_Per_Batch]*IFERROR(INDEX(PP_Grid[#Data],M_BOM[PPGridRow],103),0))</f>
        <v/>
      </c>
      <c r="CZ82">
        <f>SUMPRODUCT((M_BOM[RM_Code]=$A82)*M_BOM[RM_Qty_Per_Batch]*IFERROR(INDEX(PP_Grid[#Data],M_BOM[PPGridRow],104),0))</f>
        <v/>
      </c>
      <c r="DA82">
        <f>SUMPRODUCT((M_BOM[RM_Code]=$A82)*M_BOM[RM_Qty_Per_Batch]*IFERROR(INDEX(PP_Grid[#Data],M_BOM[PPGridRow],105),0))</f>
        <v/>
      </c>
    </row>
    <row r="83">
      <c r="A83" t="inlineStr">
        <is>
          <t>CHEM-1220</t>
        </is>
      </c>
      <c r="B83">
        <f>SUMPRODUCT((M_BOM[RM_Code]=$A83)*M_BOM[RM_Qty_Per_Batch]*IFERROR(INDEX(PP_Grid[#Data],M_BOM[PPGridRow],2),0))</f>
        <v/>
      </c>
      <c r="C83">
        <f>SUMPRODUCT((M_BOM[RM_Code]=$A83)*M_BOM[RM_Qty_Per_Batch]*IFERROR(INDEX(PP_Grid[#Data],M_BOM[PPGridRow],3),0))</f>
        <v/>
      </c>
      <c r="D83">
        <f>SUMPRODUCT((M_BOM[RM_Code]=$A83)*M_BOM[RM_Qty_Per_Batch]*IFERROR(INDEX(PP_Grid[#Data],M_BOM[PPGridRow],4),0))</f>
        <v/>
      </c>
      <c r="E83">
        <f>SUMPRODUCT((M_BOM[RM_Code]=$A83)*M_BOM[RM_Qty_Per_Batch]*IFERROR(INDEX(PP_Grid[#Data],M_BOM[PPGridRow],5),0))</f>
        <v/>
      </c>
      <c r="F83">
        <f>SUMPRODUCT((M_BOM[RM_Code]=$A83)*M_BOM[RM_Qty_Per_Batch]*IFERROR(INDEX(PP_Grid[#Data],M_BOM[PPGridRow],6),0))</f>
        <v/>
      </c>
      <c r="G83">
        <f>SUMPRODUCT((M_BOM[RM_Code]=$A83)*M_BOM[RM_Qty_Per_Batch]*IFERROR(INDEX(PP_Grid[#Data],M_BOM[PPGridRow],7),0))</f>
        <v/>
      </c>
      <c r="H83">
        <f>SUMPRODUCT((M_BOM[RM_Code]=$A83)*M_BOM[RM_Qty_Per_Batch]*IFERROR(INDEX(PP_Grid[#Data],M_BOM[PPGridRow],8),0))</f>
        <v/>
      </c>
      <c r="I83">
        <f>SUMPRODUCT((M_BOM[RM_Code]=$A83)*M_BOM[RM_Qty_Per_Batch]*IFERROR(INDEX(PP_Grid[#Data],M_BOM[PPGridRow],9),0))</f>
        <v/>
      </c>
      <c r="J83">
        <f>SUMPRODUCT((M_BOM[RM_Code]=$A83)*M_BOM[RM_Qty_Per_Batch]*IFERROR(INDEX(PP_Grid[#Data],M_BOM[PPGridRow],10),0))</f>
        <v/>
      </c>
      <c r="K83">
        <f>SUMPRODUCT((M_BOM[RM_Code]=$A83)*M_BOM[RM_Qty_Per_Batch]*IFERROR(INDEX(PP_Grid[#Data],M_BOM[PPGridRow],11),0))</f>
        <v/>
      </c>
      <c r="L83">
        <f>SUMPRODUCT((M_BOM[RM_Code]=$A83)*M_BOM[RM_Qty_Per_Batch]*IFERROR(INDEX(PP_Grid[#Data],M_BOM[PPGridRow],12),0))</f>
        <v/>
      </c>
      <c r="M83">
        <f>SUMPRODUCT((M_BOM[RM_Code]=$A83)*M_BOM[RM_Qty_Per_Batch]*IFERROR(INDEX(PP_Grid[#Data],M_BOM[PPGridRow],13),0))</f>
        <v/>
      </c>
      <c r="N83">
        <f>SUMPRODUCT((M_BOM[RM_Code]=$A83)*M_BOM[RM_Qty_Per_Batch]*IFERROR(INDEX(PP_Grid[#Data],M_BOM[PPGridRow],14),0))</f>
        <v/>
      </c>
      <c r="O83">
        <f>SUMPRODUCT((M_BOM[RM_Code]=$A83)*M_BOM[RM_Qty_Per_Batch]*IFERROR(INDEX(PP_Grid[#Data],M_BOM[PPGridRow],15),0))</f>
        <v/>
      </c>
      <c r="P83">
        <f>SUMPRODUCT((M_BOM[RM_Code]=$A83)*M_BOM[RM_Qty_Per_Batch]*IFERROR(INDEX(PP_Grid[#Data],M_BOM[PPGridRow],16),0))</f>
        <v/>
      </c>
      <c r="Q83">
        <f>SUMPRODUCT((M_BOM[RM_Code]=$A83)*M_BOM[RM_Qty_Per_Batch]*IFERROR(INDEX(PP_Grid[#Data],M_BOM[PPGridRow],17),0))</f>
        <v/>
      </c>
      <c r="R83">
        <f>SUMPRODUCT((M_BOM[RM_Code]=$A83)*M_BOM[RM_Qty_Per_Batch]*IFERROR(INDEX(PP_Grid[#Data],M_BOM[PPGridRow],18),0))</f>
        <v/>
      </c>
      <c r="S83">
        <f>SUMPRODUCT((M_BOM[RM_Code]=$A83)*M_BOM[RM_Qty_Per_Batch]*IFERROR(INDEX(PP_Grid[#Data],M_BOM[PPGridRow],19),0))</f>
        <v/>
      </c>
      <c r="T83">
        <f>SUMPRODUCT((M_BOM[RM_Code]=$A83)*M_BOM[RM_Qty_Per_Batch]*IFERROR(INDEX(PP_Grid[#Data],M_BOM[PPGridRow],20),0))</f>
        <v/>
      </c>
      <c r="U83">
        <f>SUMPRODUCT((M_BOM[RM_Code]=$A83)*M_BOM[RM_Qty_Per_Batch]*IFERROR(INDEX(PP_Grid[#Data],M_BOM[PPGridRow],21),0))</f>
        <v/>
      </c>
      <c r="V83">
        <f>SUMPRODUCT((M_BOM[RM_Code]=$A83)*M_BOM[RM_Qty_Per_Batch]*IFERROR(INDEX(PP_Grid[#Data],M_BOM[PPGridRow],22),0))</f>
        <v/>
      </c>
      <c r="W83">
        <f>SUMPRODUCT((M_BOM[RM_Code]=$A83)*M_BOM[RM_Qty_Per_Batch]*IFERROR(INDEX(PP_Grid[#Data],M_BOM[PPGridRow],23),0))</f>
        <v/>
      </c>
      <c r="X83">
        <f>SUMPRODUCT((M_BOM[RM_Code]=$A83)*M_BOM[RM_Qty_Per_Batch]*IFERROR(INDEX(PP_Grid[#Data],M_BOM[PPGridRow],24),0))</f>
        <v/>
      </c>
      <c r="Y83">
        <f>SUMPRODUCT((M_BOM[RM_Code]=$A83)*M_BOM[RM_Qty_Per_Batch]*IFERROR(INDEX(PP_Grid[#Data],M_BOM[PPGridRow],25),0))</f>
        <v/>
      </c>
      <c r="Z83">
        <f>SUMPRODUCT((M_BOM[RM_Code]=$A83)*M_BOM[RM_Qty_Per_Batch]*IFERROR(INDEX(PP_Grid[#Data],M_BOM[PPGridRow],26),0))</f>
        <v/>
      </c>
      <c r="AA83">
        <f>SUMPRODUCT((M_BOM[RM_Code]=$A83)*M_BOM[RM_Qty_Per_Batch]*IFERROR(INDEX(PP_Grid[#Data],M_BOM[PPGridRow],27),0))</f>
        <v/>
      </c>
      <c r="AB83">
        <f>SUMPRODUCT((M_BOM[RM_Code]=$A83)*M_BOM[RM_Qty_Per_Batch]*IFERROR(INDEX(PP_Grid[#Data],M_BOM[PPGridRow],28),0))</f>
        <v/>
      </c>
      <c r="AC83">
        <f>SUMPRODUCT((M_BOM[RM_Code]=$A83)*M_BOM[RM_Qty_Per_Batch]*IFERROR(INDEX(PP_Grid[#Data],M_BOM[PPGridRow],29),0))</f>
        <v/>
      </c>
      <c r="AD83">
        <f>SUMPRODUCT((M_BOM[RM_Code]=$A83)*M_BOM[RM_Qty_Per_Batch]*IFERROR(INDEX(PP_Grid[#Data],M_BOM[PPGridRow],30),0))</f>
        <v/>
      </c>
      <c r="AE83">
        <f>SUMPRODUCT((M_BOM[RM_Code]=$A83)*M_BOM[RM_Qty_Per_Batch]*IFERROR(INDEX(PP_Grid[#Data],M_BOM[PPGridRow],31),0))</f>
        <v/>
      </c>
      <c r="AF83">
        <f>SUMPRODUCT((M_BOM[RM_Code]=$A83)*M_BOM[RM_Qty_Per_Batch]*IFERROR(INDEX(PP_Grid[#Data],M_BOM[PPGridRow],32),0))</f>
        <v/>
      </c>
      <c r="AG83">
        <f>SUMPRODUCT((M_BOM[RM_Code]=$A83)*M_BOM[RM_Qty_Per_Batch]*IFERROR(INDEX(PP_Grid[#Data],M_BOM[PPGridRow],33),0))</f>
        <v/>
      </c>
      <c r="AH83">
        <f>SUMPRODUCT((M_BOM[RM_Code]=$A83)*M_BOM[RM_Qty_Per_Batch]*IFERROR(INDEX(PP_Grid[#Data],M_BOM[PPGridRow],34),0))</f>
        <v/>
      </c>
      <c r="AI83">
        <f>SUMPRODUCT((M_BOM[RM_Code]=$A83)*M_BOM[RM_Qty_Per_Batch]*IFERROR(INDEX(PP_Grid[#Data],M_BOM[PPGridRow],35),0))</f>
        <v/>
      </c>
      <c r="AJ83">
        <f>SUMPRODUCT((M_BOM[RM_Code]=$A83)*M_BOM[RM_Qty_Per_Batch]*IFERROR(INDEX(PP_Grid[#Data],M_BOM[PPGridRow],36),0))</f>
        <v/>
      </c>
      <c r="AK83">
        <f>SUMPRODUCT((M_BOM[RM_Code]=$A83)*M_BOM[RM_Qty_Per_Batch]*IFERROR(INDEX(PP_Grid[#Data],M_BOM[PPGridRow],37),0))</f>
        <v/>
      </c>
      <c r="AL83">
        <f>SUMPRODUCT((M_BOM[RM_Code]=$A83)*M_BOM[RM_Qty_Per_Batch]*IFERROR(INDEX(PP_Grid[#Data],M_BOM[PPGridRow],38),0))</f>
        <v/>
      </c>
      <c r="AM83">
        <f>SUMPRODUCT((M_BOM[RM_Code]=$A83)*M_BOM[RM_Qty_Per_Batch]*IFERROR(INDEX(PP_Grid[#Data],M_BOM[PPGridRow],39),0))</f>
        <v/>
      </c>
      <c r="AN83">
        <f>SUMPRODUCT((M_BOM[RM_Code]=$A83)*M_BOM[RM_Qty_Per_Batch]*IFERROR(INDEX(PP_Grid[#Data],M_BOM[PPGridRow],40),0))</f>
        <v/>
      </c>
      <c r="AO83">
        <f>SUMPRODUCT((M_BOM[RM_Code]=$A83)*M_BOM[RM_Qty_Per_Batch]*IFERROR(INDEX(PP_Grid[#Data],M_BOM[PPGridRow],41),0))</f>
        <v/>
      </c>
      <c r="AP83">
        <f>SUMPRODUCT((M_BOM[RM_Code]=$A83)*M_BOM[RM_Qty_Per_Batch]*IFERROR(INDEX(PP_Grid[#Data],M_BOM[PPGridRow],42),0))</f>
        <v/>
      </c>
      <c r="AQ83">
        <f>SUMPRODUCT((M_BOM[RM_Code]=$A83)*M_BOM[RM_Qty_Per_Batch]*IFERROR(INDEX(PP_Grid[#Data],M_BOM[PPGridRow],43),0))</f>
        <v/>
      </c>
      <c r="AR83">
        <f>SUMPRODUCT((M_BOM[RM_Code]=$A83)*M_BOM[RM_Qty_Per_Batch]*IFERROR(INDEX(PP_Grid[#Data],M_BOM[PPGridRow],44),0))</f>
        <v/>
      </c>
      <c r="AS83">
        <f>SUMPRODUCT((M_BOM[RM_Code]=$A83)*M_BOM[RM_Qty_Per_Batch]*IFERROR(INDEX(PP_Grid[#Data],M_BOM[PPGridRow],45),0))</f>
        <v/>
      </c>
      <c r="AT83">
        <f>SUMPRODUCT((M_BOM[RM_Code]=$A83)*M_BOM[RM_Qty_Per_Batch]*IFERROR(INDEX(PP_Grid[#Data],M_BOM[PPGridRow],46),0))</f>
        <v/>
      </c>
      <c r="AU83">
        <f>SUMPRODUCT((M_BOM[RM_Code]=$A83)*M_BOM[RM_Qty_Per_Batch]*IFERROR(INDEX(PP_Grid[#Data],M_BOM[PPGridRow],47),0))</f>
        <v/>
      </c>
      <c r="AV83">
        <f>SUMPRODUCT((M_BOM[RM_Code]=$A83)*M_BOM[RM_Qty_Per_Batch]*IFERROR(INDEX(PP_Grid[#Data],M_BOM[PPGridRow],48),0))</f>
        <v/>
      </c>
      <c r="AW83">
        <f>SUMPRODUCT((M_BOM[RM_Code]=$A83)*M_BOM[RM_Qty_Per_Batch]*IFERROR(INDEX(PP_Grid[#Data],M_BOM[PPGridRow],49),0))</f>
        <v/>
      </c>
      <c r="AX83">
        <f>SUMPRODUCT((M_BOM[RM_Code]=$A83)*M_BOM[RM_Qty_Per_Batch]*IFERROR(INDEX(PP_Grid[#Data],M_BOM[PPGridRow],50),0))</f>
        <v/>
      </c>
      <c r="AY83">
        <f>SUMPRODUCT((M_BOM[RM_Code]=$A83)*M_BOM[RM_Qty_Per_Batch]*IFERROR(INDEX(PP_Grid[#Data],M_BOM[PPGridRow],51),0))</f>
        <v/>
      </c>
      <c r="AZ83">
        <f>SUMPRODUCT((M_BOM[RM_Code]=$A83)*M_BOM[RM_Qty_Per_Batch]*IFERROR(INDEX(PP_Grid[#Data],M_BOM[PPGridRow],52),0))</f>
        <v/>
      </c>
      <c r="BA83">
        <f>SUMPRODUCT((M_BOM[RM_Code]=$A83)*M_BOM[RM_Qty_Per_Batch]*IFERROR(INDEX(PP_Grid[#Data],M_BOM[PPGridRow],53),0))</f>
        <v/>
      </c>
      <c r="BB83">
        <f>SUMPRODUCT((M_BOM[RM_Code]=$A83)*M_BOM[RM_Qty_Per_Batch]*IFERROR(INDEX(PP_Grid[#Data],M_BOM[PPGridRow],54),0))</f>
        <v/>
      </c>
      <c r="BC83">
        <f>SUMPRODUCT((M_BOM[RM_Code]=$A83)*M_BOM[RM_Qty_Per_Batch]*IFERROR(INDEX(PP_Grid[#Data],M_BOM[PPGridRow],55),0))</f>
        <v/>
      </c>
      <c r="BD83">
        <f>SUMPRODUCT((M_BOM[RM_Code]=$A83)*M_BOM[RM_Qty_Per_Batch]*IFERROR(INDEX(PP_Grid[#Data],M_BOM[PPGridRow],56),0))</f>
        <v/>
      </c>
      <c r="BE83">
        <f>SUMPRODUCT((M_BOM[RM_Code]=$A83)*M_BOM[RM_Qty_Per_Batch]*IFERROR(INDEX(PP_Grid[#Data],M_BOM[PPGridRow],57),0))</f>
        <v/>
      </c>
      <c r="BF83">
        <f>SUMPRODUCT((M_BOM[RM_Code]=$A83)*M_BOM[RM_Qty_Per_Batch]*IFERROR(INDEX(PP_Grid[#Data],M_BOM[PPGridRow],58),0))</f>
        <v/>
      </c>
      <c r="BG83">
        <f>SUMPRODUCT((M_BOM[RM_Code]=$A83)*M_BOM[RM_Qty_Per_Batch]*IFERROR(INDEX(PP_Grid[#Data],M_BOM[PPGridRow],59),0))</f>
        <v/>
      </c>
      <c r="BH83">
        <f>SUMPRODUCT((M_BOM[RM_Code]=$A83)*M_BOM[RM_Qty_Per_Batch]*IFERROR(INDEX(PP_Grid[#Data],M_BOM[PPGridRow],60),0))</f>
        <v/>
      </c>
      <c r="BI83">
        <f>SUMPRODUCT((M_BOM[RM_Code]=$A83)*M_BOM[RM_Qty_Per_Batch]*IFERROR(INDEX(PP_Grid[#Data],M_BOM[PPGridRow],61),0))</f>
        <v/>
      </c>
      <c r="BJ83">
        <f>SUMPRODUCT((M_BOM[RM_Code]=$A83)*M_BOM[RM_Qty_Per_Batch]*IFERROR(INDEX(PP_Grid[#Data],M_BOM[PPGridRow],62),0))</f>
        <v/>
      </c>
      <c r="BK83">
        <f>SUMPRODUCT((M_BOM[RM_Code]=$A83)*M_BOM[RM_Qty_Per_Batch]*IFERROR(INDEX(PP_Grid[#Data],M_BOM[PPGridRow],63),0))</f>
        <v/>
      </c>
      <c r="BL83">
        <f>SUMPRODUCT((M_BOM[RM_Code]=$A83)*M_BOM[RM_Qty_Per_Batch]*IFERROR(INDEX(PP_Grid[#Data],M_BOM[PPGridRow],64),0))</f>
        <v/>
      </c>
      <c r="BM83">
        <f>SUMPRODUCT((M_BOM[RM_Code]=$A83)*M_BOM[RM_Qty_Per_Batch]*IFERROR(INDEX(PP_Grid[#Data],M_BOM[PPGridRow],65),0))</f>
        <v/>
      </c>
      <c r="BN83">
        <f>SUMPRODUCT((M_BOM[RM_Code]=$A83)*M_BOM[RM_Qty_Per_Batch]*IFERROR(INDEX(PP_Grid[#Data],M_BOM[PPGridRow],66),0))</f>
        <v/>
      </c>
      <c r="BO83">
        <f>SUMPRODUCT((M_BOM[RM_Code]=$A83)*M_BOM[RM_Qty_Per_Batch]*IFERROR(INDEX(PP_Grid[#Data],M_BOM[PPGridRow],67),0))</f>
        <v/>
      </c>
      <c r="BP83">
        <f>SUMPRODUCT((M_BOM[RM_Code]=$A83)*M_BOM[RM_Qty_Per_Batch]*IFERROR(INDEX(PP_Grid[#Data],M_BOM[PPGridRow],68),0))</f>
        <v/>
      </c>
      <c r="BQ83">
        <f>SUMPRODUCT((M_BOM[RM_Code]=$A83)*M_BOM[RM_Qty_Per_Batch]*IFERROR(INDEX(PP_Grid[#Data],M_BOM[PPGridRow],69),0))</f>
        <v/>
      </c>
      <c r="BR83">
        <f>SUMPRODUCT((M_BOM[RM_Code]=$A83)*M_BOM[RM_Qty_Per_Batch]*IFERROR(INDEX(PP_Grid[#Data],M_BOM[PPGridRow],70),0))</f>
        <v/>
      </c>
      <c r="BS83">
        <f>SUMPRODUCT((M_BOM[RM_Code]=$A83)*M_BOM[RM_Qty_Per_Batch]*IFERROR(INDEX(PP_Grid[#Data],M_BOM[PPGridRow],71),0))</f>
        <v/>
      </c>
      <c r="BT83">
        <f>SUMPRODUCT((M_BOM[RM_Code]=$A83)*M_BOM[RM_Qty_Per_Batch]*IFERROR(INDEX(PP_Grid[#Data],M_BOM[PPGridRow],72),0))</f>
        <v/>
      </c>
      <c r="BU83">
        <f>SUMPRODUCT((M_BOM[RM_Code]=$A83)*M_BOM[RM_Qty_Per_Batch]*IFERROR(INDEX(PP_Grid[#Data],M_BOM[PPGridRow],73),0))</f>
        <v/>
      </c>
      <c r="BV83">
        <f>SUMPRODUCT((M_BOM[RM_Code]=$A83)*M_BOM[RM_Qty_Per_Batch]*IFERROR(INDEX(PP_Grid[#Data],M_BOM[PPGridRow],74),0))</f>
        <v/>
      </c>
      <c r="BW83">
        <f>SUMPRODUCT((M_BOM[RM_Code]=$A83)*M_BOM[RM_Qty_Per_Batch]*IFERROR(INDEX(PP_Grid[#Data],M_BOM[PPGridRow],75),0))</f>
        <v/>
      </c>
      <c r="BX83">
        <f>SUMPRODUCT((M_BOM[RM_Code]=$A83)*M_BOM[RM_Qty_Per_Batch]*IFERROR(INDEX(PP_Grid[#Data],M_BOM[PPGridRow],76),0))</f>
        <v/>
      </c>
      <c r="BY83">
        <f>SUMPRODUCT((M_BOM[RM_Code]=$A83)*M_BOM[RM_Qty_Per_Batch]*IFERROR(INDEX(PP_Grid[#Data],M_BOM[PPGridRow],77),0))</f>
        <v/>
      </c>
      <c r="BZ83">
        <f>SUMPRODUCT((M_BOM[RM_Code]=$A83)*M_BOM[RM_Qty_Per_Batch]*IFERROR(INDEX(PP_Grid[#Data],M_BOM[PPGridRow],78),0))</f>
        <v/>
      </c>
      <c r="CA83">
        <f>SUMPRODUCT((M_BOM[RM_Code]=$A83)*M_BOM[RM_Qty_Per_Batch]*IFERROR(INDEX(PP_Grid[#Data],M_BOM[PPGridRow],79),0))</f>
        <v/>
      </c>
      <c r="CB83">
        <f>SUMPRODUCT((M_BOM[RM_Code]=$A83)*M_BOM[RM_Qty_Per_Batch]*IFERROR(INDEX(PP_Grid[#Data],M_BOM[PPGridRow],80),0))</f>
        <v/>
      </c>
      <c r="CC83">
        <f>SUMPRODUCT((M_BOM[RM_Code]=$A83)*M_BOM[RM_Qty_Per_Batch]*IFERROR(INDEX(PP_Grid[#Data],M_BOM[PPGridRow],81),0))</f>
        <v/>
      </c>
      <c r="CD83">
        <f>SUMPRODUCT((M_BOM[RM_Code]=$A83)*M_BOM[RM_Qty_Per_Batch]*IFERROR(INDEX(PP_Grid[#Data],M_BOM[PPGridRow],82),0))</f>
        <v/>
      </c>
      <c r="CE83">
        <f>SUMPRODUCT((M_BOM[RM_Code]=$A83)*M_BOM[RM_Qty_Per_Batch]*IFERROR(INDEX(PP_Grid[#Data],M_BOM[PPGridRow],83),0))</f>
        <v/>
      </c>
      <c r="CF83">
        <f>SUMPRODUCT((M_BOM[RM_Code]=$A83)*M_BOM[RM_Qty_Per_Batch]*IFERROR(INDEX(PP_Grid[#Data],M_BOM[PPGridRow],84),0))</f>
        <v/>
      </c>
      <c r="CG83">
        <f>SUMPRODUCT((M_BOM[RM_Code]=$A83)*M_BOM[RM_Qty_Per_Batch]*IFERROR(INDEX(PP_Grid[#Data],M_BOM[PPGridRow],85),0))</f>
        <v/>
      </c>
      <c r="CH83">
        <f>SUMPRODUCT((M_BOM[RM_Code]=$A83)*M_BOM[RM_Qty_Per_Batch]*IFERROR(INDEX(PP_Grid[#Data],M_BOM[PPGridRow],86),0))</f>
        <v/>
      </c>
      <c r="CI83">
        <f>SUMPRODUCT((M_BOM[RM_Code]=$A83)*M_BOM[RM_Qty_Per_Batch]*IFERROR(INDEX(PP_Grid[#Data],M_BOM[PPGridRow],87),0))</f>
        <v/>
      </c>
      <c r="CJ83">
        <f>SUMPRODUCT((M_BOM[RM_Code]=$A83)*M_BOM[RM_Qty_Per_Batch]*IFERROR(INDEX(PP_Grid[#Data],M_BOM[PPGridRow],88),0))</f>
        <v/>
      </c>
      <c r="CK83">
        <f>SUMPRODUCT((M_BOM[RM_Code]=$A83)*M_BOM[RM_Qty_Per_Batch]*IFERROR(INDEX(PP_Grid[#Data],M_BOM[PPGridRow],89),0))</f>
        <v/>
      </c>
      <c r="CL83">
        <f>SUMPRODUCT((M_BOM[RM_Code]=$A83)*M_BOM[RM_Qty_Per_Batch]*IFERROR(INDEX(PP_Grid[#Data],M_BOM[PPGridRow],90),0))</f>
        <v/>
      </c>
      <c r="CM83">
        <f>SUMPRODUCT((M_BOM[RM_Code]=$A83)*M_BOM[RM_Qty_Per_Batch]*IFERROR(INDEX(PP_Grid[#Data],M_BOM[PPGridRow],91),0))</f>
        <v/>
      </c>
      <c r="CN83">
        <f>SUMPRODUCT((M_BOM[RM_Code]=$A83)*M_BOM[RM_Qty_Per_Batch]*IFERROR(INDEX(PP_Grid[#Data],M_BOM[PPGridRow],92),0))</f>
        <v/>
      </c>
      <c r="CO83">
        <f>SUMPRODUCT((M_BOM[RM_Code]=$A83)*M_BOM[RM_Qty_Per_Batch]*IFERROR(INDEX(PP_Grid[#Data],M_BOM[PPGridRow],93),0))</f>
        <v/>
      </c>
      <c r="CP83">
        <f>SUMPRODUCT((M_BOM[RM_Code]=$A83)*M_BOM[RM_Qty_Per_Batch]*IFERROR(INDEX(PP_Grid[#Data],M_BOM[PPGridRow],94),0))</f>
        <v/>
      </c>
      <c r="CQ83">
        <f>SUMPRODUCT((M_BOM[RM_Code]=$A83)*M_BOM[RM_Qty_Per_Batch]*IFERROR(INDEX(PP_Grid[#Data],M_BOM[PPGridRow],95),0))</f>
        <v/>
      </c>
      <c r="CR83">
        <f>SUMPRODUCT((M_BOM[RM_Code]=$A83)*M_BOM[RM_Qty_Per_Batch]*IFERROR(INDEX(PP_Grid[#Data],M_BOM[PPGridRow],96),0))</f>
        <v/>
      </c>
      <c r="CS83">
        <f>SUMPRODUCT((M_BOM[RM_Code]=$A83)*M_BOM[RM_Qty_Per_Batch]*IFERROR(INDEX(PP_Grid[#Data],M_BOM[PPGridRow],97),0))</f>
        <v/>
      </c>
      <c r="CT83">
        <f>SUMPRODUCT((M_BOM[RM_Code]=$A83)*M_BOM[RM_Qty_Per_Batch]*IFERROR(INDEX(PP_Grid[#Data],M_BOM[PPGridRow],98),0))</f>
        <v/>
      </c>
      <c r="CU83">
        <f>SUMPRODUCT((M_BOM[RM_Code]=$A83)*M_BOM[RM_Qty_Per_Batch]*IFERROR(INDEX(PP_Grid[#Data],M_BOM[PPGridRow],99),0))</f>
        <v/>
      </c>
      <c r="CV83">
        <f>SUMPRODUCT((M_BOM[RM_Code]=$A83)*M_BOM[RM_Qty_Per_Batch]*IFERROR(INDEX(PP_Grid[#Data],M_BOM[PPGridRow],100),0))</f>
        <v/>
      </c>
      <c r="CW83">
        <f>SUMPRODUCT((M_BOM[RM_Code]=$A83)*M_BOM[RM_Qty_Per_Batch]*IFERROR(INDEX(PP_Grid[#Data],M_BOM[PPGridRow],101),0))</f>
        <v/>
      </c>
      <c r="CX83">
        <f>SUMPRODUCT((M_BOM[RM_Code]=$A83)*M_BOM[RM_Qty_Per_Batch]*IFERROR(INDEX(PP_Grid[#Data],M_BOM[PPGridRow],102),0))</f>
        <v/>
      </c>
      <c r="CY83">
        <f>SUMPRODUCT((M_BOM[RM_Code]=$A83)*M_BOM[RM_Qty_Per_Batch]*IFERROR(INDEX(PP_Grid[#Data],M_BOM[PPGridRow],103),0))</f>
        <v/>
      </c>
      <c r="CZ83">
        <f>SUMPRODUCT((M_BOM[RM_Code]=$A83)*M_BOM[RM_Qty_Per_Batch]*IFERROR(INDEX(PP_Grid[#Data],M_BOM[PPGridRow],104),0))</f>
        <v/>
      </c>
      <c r="DA83">
        <f>SUMPRODUCT((M_BOM[RM_Code]=$A83)*M_BOM[RM_Qty_Per_Batch]*IFERROR(INDEX(PP_Grid[#Data],M_BOM[PPGridRow],105),0))</f>
        <v/>
      </c>
    </row>
    <row r="84">
      <c r="A84" t="inlineStr">
        <is>
          <t>CHEM-1260</t>
        </is>
      </c>
      <c r="B84">
        <f>SUMPRODUCT((M_BOM[RM_Code]=$A84)*M_BOM[RM_Qty_Per_Batch]*IFERROR(INDEX(PP_Grid[#Data],M_BOM[PPGridRow],2),0))</f>
        <v/>
      </c>
      <c r="C84">
        <f>SUMPRODUCT((M_BOM[RM_Code]=$A84)*M_BOM[RM_Qty_Per_Batch]*IFERROR(INDEX(PP_Grid[#Data],M_BOM[PPGridRow],3),0))</f>
        <v/>
      </c>
      <c r="D84">
        <f>SUMPRODUCT((M_BOM[RM_Code]=$A84)*M_BOM[RM_Qty_Per_Batch]*IFERROR(INDEX(PP_Grid[#Data],M_BOM[PPGridRow],4),0))</f>
        <v/>
      </c>
      <c r="E84">
        <f>SUMPRODUCT((M_BOM[RM_Code]=$A84)*M_BOM[RM_Qty_Per_Batch]*IFERROR(INDEX(PP_Grid[#Data],M_BOM[PPGridRow],5),0))</f>
        <v/>
      </c>
      <c r="F84">
        <f>SUMPRODUCT((M_BOM[RM_Code]=$A84)*M_BOM[RM_Qty_Per_Batch]*IFERROR(INDEX(PP_Grid[#Data],M_BOM[PPGridRow],6),0))</f>
        <v/>
      </c>
      <c r="G84">
        <f>SUMPRODUCT((M_BOM[RM_Code]=$A84)*M_BOM[RM_Qty_Per_Batch]*IFERROR(INDEX(PP_Grid[#Data],M_BOM[PPGridRow],7),0))</f>
        <v/>
      </c>
      <c r="H84">
        <f>SUMPRODUCT((M_BOM[RM_Code]=$A84)*M_BOM[RM_Qty_Per_Batch]*IFERROR(INDEX(PP_Grid[#Data],M_BOM[PPGridRow],8),0))</f>
        <v/>
      </c>
      <c r="I84">
        <f>SUMPRODUCT((M_BOM[RM_Code]=$A84)*M_BOM[RM_Qty_Per_Batch]*IFERROR(INDEX(PP_Grid[#Data],M_BOM[PPGridRow],9),0))</f>
        <v/>
      </c>
      <c r="J84">
        <f>SUMPRODUCT((M_BOM[RM_Code]=$A84)*M_BOM[RM_Qty_Per_Batch]*IFERROR(INDEX(PP_Grid[#Data],M_BOM[PPGridRow],10),0))</f>
        <v/>
      </c>
      <c r="K84">
        <f>SUMPRODUCT((M_BOM[RM_Code]=$A84)*M_BOM[RM_Qty_Per_Batch]*IFERROR(INDEX(PP_Grid[#Data],M_BOM[PPGridRow],11),0))</f>
        <v/>
      </c>
      <c r="L84">
        <f>SUMPRODUCT((M_BOM[RM_Code]=$A84)*M_BOM[RM_Qty_Per_Batch]*IFERROR(INDEX(PP_Grid[#Data],M_BOM[PPGridRow],12),0))</f>
        <v/>
      </c>
      <c r="M84">
        <f>SUMPRODUCT((M_BOM[RM_Code]=$A84)*M_BOM[RM_Qty_Per_Batch]*IFERROR(INDEX(PP_Grid[#Data],M_BOM[PPGridRow],13),0))</f>
        <v/>
      </c>
      <c r="N84">
        <f>SUMPRODUCT((M_BOM[RM_Code]=$A84)*M_BOM[RM_Qty_Per_Batch]*IFERROR(INDEX(PP_Grid[#Data],M_BOM[PPGridRow],14),0))</f>
        <v/>
      </c>
      <c r="O84">
        <f>SUMPRODUCT((M_BOM[RM_Code]=$A84)*M_BOM[RM_Qty_Per_Batch]*IFERROR(INDEX(PP_Grid[#Data],M_BOM[PPGridRow],15),0))</f>
        <v/>
      </c>
      <c r="P84">
        <f>SUMPRODUCT((M_BOM[RM_Code]=$A84)*M_BOM[RM_Qty_Per_Batch]*IFERROR(INDEX(PP_Grid[#Data],M_BOM[PPGridRow],16),0))</f>
        <v/>
      </c>
      <c r="Q84">
        <f>SUMPRODUCT((M_BOM[RM_Code]=$A84)*M_BOM[RM_Qty_Per_Batch]*IFERROR(INDEX(PP_Grid[#Data],M_BOM[PPGridRow],17),0))</f>
        <v/>
      </c>
      <c r="R84">
        <f>SUMPRODUCT((M_BOM[RM_Code]=$A84)*M_BOM[RM_Qty_Per_Batch]*IFERROR(INDEX(PP_Grid[#Data],M_BOM[PPGridRow],18),0))</f>
        <v/>
      </c>
      <c r="S84">
        <f>SUMPRODUCT((M_BOM[RM_Code]=$A84)*M_BOM[RM_Qty_Per_Batch]*IFERROR(INDEX(PP_Grid[#Data],M_BOM[PPGridRow],19),0))</f>
        <v/>
      </c>
      <c r="T84">
        <f>SUMPRODUCT((M_BOM[RM_Code]=$A84)*M_BOM[RM_Qty_Per_Batch]*IFERROR(INDEX(PP_Grid[#Data],M_BOM[PPGridRow],20),0))</f>
        <v/>
      </c>
      <c r="U84">
        <f>SUMPRODUCT((M_BOM[RM_Code]=$A84)*M_BOM[RM_Qty_Per_Batch]*IFERROR(INDEX(PP_Grid[#Data],M_BOM[PPGridRow],21),0))</f>
        <v/>
      </c>
      <c r="V84">
        <f>SUMPRODUCT((M_BOM[RM_Code]=$A84)*M_BOM[RM_Qty_Per_Batch]*IFERROR(INDEX(PP_Grid[#Data],M_BOM[PPGridRow],22),0))</f>
        <v/>
      </c>
      <c r="W84">
        <f>SUMPRODUCT((M_BOM[RM_Code]=$A84)*M_BOM[RM_Qty_Per_Batch]*IFERROR(INDEX(PP_Grid[#Data],M_BOM[PPGridRow],23),0))</f>
        <v/>
      </c>
      <c r="X84">
        <f>SUMPRODUCT((M_BOM[RM_Code]=$A84)*M_BOM[RM_Qty_Per_Batch]*IFERROR(INDEX(PP_Grid[#Data],M_BOM[PPGridRow],24),0))</f>
        <v/>
      </c>
      <c r="Y84">
        <f>SUMPRODUCT((M_BOM[RM_Code]=$A84)*M_BOM[RM_Qty_Per_Batch]*IFERROR(INDEX(PP_Grid[#Data],M_BOM[PPGridRow],25),0))</f>
        <v/>
      </c>
      <c r="Z84">
        <f>SUMPRODUCT((M_BOM[RM_Code]=$A84)*M_BOM[RM_Qty_Per_Batch]*IFERROR(INDEX(PP_Grid[#Data],M_BOM[PPGridRow],26),0))</f>
        <v/>
      </c>
      <c r="AA84">
        <f>SUMPRODUCT((M_BOM[RM_Code]=$A84)*M_BOM[RM_Qty_Per_Batch]*IFERROR(INDEX(PP_Grid[#Data],M_BOM[PPGridRow],27),0))</f>
        <v/>
      </c>
      <c r="AB84">
        <f>SUMPRODUCT((M_BOM[RM_Code]=$A84)*M_BOM[RM_Qty_Per_Batch]*IFERROR(INDEX(PP_Grid[#Data],M_BOM[PPGridRow],28),0))</f>
        <v/>
      </c>
      <c r="AC84">
        <f>SUMPRODUCT((M_BOM[RM_Code]=$A84)*M_BOM[RM_Qty_Per_Batch]*IFERROR(INDEX(PP_Grid[#Data],M_BOM[PPGridRow],29),0))</f>
        <v/>
      </c>
      <c r="AD84">
        <f>SUMPRODUCT((M_BOM[RM_Code]=$A84)*M_BOM[RM_Qty_Per_Batch]*IFERROR(INDEX(PP_Grid[#Data],M_BOM[PPGridRow],30),0))</f>
        <v/>
      </c>
      <c r="AE84">
        <f>SUMPRODUCT((M_BOM[RM_Code]=$A84)*M_BOM[RM_Qty_Per_Batch]*IFERROR(INDEX(PP_Grid[#Data],M_BOM[PPGridRow],31),0))</f>
        <v/>
      </c>
      <c r="AF84">
        <f>SUMPRODUCT((M_BOM[RM_Code]=$A84)*M_BOM[RM_Qty_Per_Batch]*IFERROR(INDEX(PP_Grid[#Data],M_BOM[PPGridRow],32),0))</f>
        <v/>
      </c>
      <c r="AG84">
        <f>SUMPRODUCT((M_BOM[RM_Code]=$A84)*M_BOM[RM_Qty_Per_Batch]*IFERROR(INDEX(PP_Grid[#Data],M_BOM[PPGridRow],33),0))</f>
        <v/>
      </c>
      <c r="AH84">
        <f>SUMPRODUCT((M_BOM[RM_Code]=$A84)*M_BOM[RM_Qty_Per_Batch]*IFERROR(INDEX(PP_Grid[#Data],M_BOM[PPGridRow],34),0))</f>
        <v/>
      </c>
      <c r="AI84">
        <f>SUMPRODUCT((M_BOM[RM_Code]=$A84)*M_BOM[RM_Qty_Per_Batch]*IFERROR(INDEX(PP_Grid[#Data],M_BOM[PPGridRow],35),0))</f>
        <v/>
      </c>
      <c r="AJ84">
        <f>SUMPRODUCT((M_BOM[RM_Code]=$A84)*M_BOM[RM_Qty_Per_Batch]*IFERROR(INDEX(PP_Grid[#Data],M_BOM[PPGridRow],36),0))</f>
        <v/>
      </c>
      <c r="AK84">
        <f>SUMPRODUCT((M_BOM[RM_Code]=$A84)*M_BOM[RM_Qty_Per_Batch]*IFERROR(INDEX(PP_Grid[#Data],M_BOM[PPGridRow],37),0))</f>
        <v/>
      </c>
      <c r="AL84">
        <f>SUMPRODUCT((M_BOM[RM_Code]=$A84)*M_BOM[RM_Qty_Per_Batch]*IFERROR(INDEX(PP_Grid[#Data],M_BOM[PPGridRow],38),0))</f>
        <v/>
      </c>
      <c r="AM84">
        <f>SUMPRODUCT((M_BOM[RM_Code]=$A84)*M_BOM[RM_Qty_Per_Batch]*IFERROR(INDEX(PP_Grid[#Data],M_BOM[PPGridRow],39),0))</f>
        <v/>
      </c>
      <c r="AN84">
        <f>SUMPRODUCT((M_BOM[RM_Code]=$A84)*M_BOM[RM_Qty_Per_Batch]*IFERROR(INDEX(PP_Grid[#Data],M_BOM[PPGridRow],40),0))</f>
        <v/>
      </c>
      <c r="AO84">
        <f>SUMPRODUCT((M_BOM[RM_Code]=$A84)*M_BOM[RM_Qty_Per_Batch]*IFERROR(INDEX(PP_Grid[#Data],M_BOM[PPGridRow],41),0))</f>
        <v/>
      </c>
      <c r="AP84">
        <f>SUMPRODUCT((M_BOM[RM_Code]=$A84)*M_BOM[RM_Qty_Per_Batch]*IFERROR(INDEX(PP_Grid[#Data],M_BOM[PPGridRow],42),0))</f>
        <v/>
      </c>
      <c r="AQ84">
        <f>SUMPRODUCT((M_BOM[RM_Code]=$A84)*M_BOM[RM_Qty_Per_Batch]*IFERROR(INDEX(PP_Grid[#Data],M_BOM[PPGridRow],43),0))</f>
        <v/>
      </c>
      <c r="AR84">
        <f>SUMPRODUCT((M_BOM[RM_Code]=$A84)*M_BOM[RM_Qty_Per_Batch]*IFERROR(INDEX(PP_Grid[#Data],M_BOM[PPGridRow],44),0))</f>
        <v/>
      </c>
      <c r="AS84">
        <f>SUMPRODUCT((M_BOM[RM_Code]=$A84)*M_BOM[RM_Qty_Per_Batch]*IFERROR(INDEX(PP_Grid[#Data],M_BOM[PPGridRow],45),0))</f>
        <v/>
      </c>
      <c r="AT84">
        <f>SUMPRODUCT((M_BOM[RM_Code]=$A84)*M_BOM[RM_Qty_Per_Batch]*IFERROR(INDEX(PP_Grid[#Data],M_BOM[PPGridRow],46),0))</f>
        <v/>
      </c>
      <c r="AU84">
        <f>SUMPRODUCT((M_BOM[RM_Code]=$A84)*M_BOM[RM_Qty_Per_Batch]*IFERROR(INDEX(PP_Grid[#Data],M_BOM[PPGridRow],47),0))</f>
        <v/>
      </c>
      <c r="AV84">
        <f>SUMPRODUCT((M_BOM[RM_Code]=$A84)*M_BOM[RM_Qty_Per_Batch]*IFERROR(INDEX(PP_Grid[#Data],M_BOM[PPGridRow],48),0))</f>
        <v/>
      </c>
      <c r="AW84">
        <f>SUMPRODUCT((M_BOM[RM_Code]=$A84)*M_BOM[RM_Qty_Per_Batch]*IFERROR(INDEX(PP_Grid[#Data],M_BOM[PPGridRow],49),0))</f>
        <v/>
      </c>
      <c r="AX84">
        <f>SUMPRODUCT((M_BOM[RM_Code]=$A84)*M_BOM[RM_Qty_Per_Batch]*IFERROR(INDEX(PP_Grid[#Data],M_BOM[PPGridRow],50),0))</f>
        <v/>
      </c>
      <c r="AY84">
        <f>SUMPRODUCT((M_BOM[RM_Code]=$A84)*M_BOM[RM_Qty_Per_Batch]*IFERROR(INDEX(PP_Grid[#Data],M_BOM[PPGridRow],51),0))</f>
        <v/>
      </c>
      <c r="AZ84">
        <f>SUMPRODUCT((M_BOM[RM_Code]=$A84)*M_BOM[RM_Qty_Per_Batch]*IFERROR(INDEX(PP_Grid[#Data],M_BOM[PPGridRow],52),0))</f>
        <v/>
      </c>
      <c r="BA84">
        <f>SUMPRODUCT((M_BOM[RM_Code]=$A84)*M_BOM[RM_Qty_Per_Batch]*IFERROR(INDEX(PP_Grid[#Data],M_BOM[PPGridRow],53),0))</f>
        <v/>
      </c>
      <c r="BB84">
        <f>SUMPRODUCT((M_BOM[RM_Code]=$A84)*M_BOM[RM_Qty_Per_Batch]*IFERROR(INDEX(PP_Grid[#Data],M_BOM[PPGridRow],54),0))</f>
        <v/>
      </c>
      <c r="BC84">
        <f>SUMPRODUCT((M_BOM[RM_Code]=$A84)*M_BOM[RM_Qty_Per_Batch]*IFERROR(INDEX(PP_Grid[#Data],M_BOM[PPGridRow],55),0))</f>
        <v/>
      </c>
      <c r="BD84">
        <f>SUMPRODUCT((M_BOM[RM_Code]=$A84)*M_BOM[RM_Qty_Per_Batch]*IFERROR(INDEX(PP_Grid[#Data],M_BOM[PPGridRow],56),0))</f>
        <v/>
      </c>
      <c r="BE84">
        <f>SUMPRODUCT((M_BOM[RM_Code]=$A84)*M_BOM[RM_Qty_Per_Batch]*IFERROR(INDEX(PP_Grid[#Data],M_BOM[PPGridRow],57),0))</f>
        <v/>
      </c>
      <c r="BF84">
        <f>SUMPRODUCT((M_BOM[RM_Code]=$A84)*M_BOM[RM_Qty_Per_Batch]*IFERROR(INDEX(PP_Grid[#Data],M_BOM[PPGridRow],58),0))</f>
        <v/>
      </c>
      <c r="BG84">
        <f>SUMPRODUCT((M_BOM[RM_Code]=$A84)*M_BOM[RM_Qty_Per_Batch]*IFERROR(INDEX(PP_Grid[#Data],M_BOM[PPGridRow],59),0))</f>
        <v/>
      </c>
      <c r="BH84">
        <f>SUMPRODUCT((M_BOM[RM_Code]=$A84)*M_BOM[RM_Qty_Per_Batch]*IFERROR(INDEX(PP_Grid[#Data],M_BOM[PPGridRow],60),0))</f>
        <v/>
      </c>
      <c r="BI84">
        <f>SUMPRODUCT((M_BOM[RM_Code]=$A84)*M_BOM[RM_Qty_Per_Batch]*IFERROR(INDEX(PP_Grid[#Data],M_BOM[PPGridRow],61),0))</f>
        <v/>
      </c>
      <c r="BJ84">
        <f>SUMPRODUCT((M_BOM[RM_Code]=$A84)*M_BOM[RM_Qty_Per_Batch]*IFERROR(INDEX(PP_Grid[#Data],M_BOM[PPGridRow],62),0))</f>
        <v/>
      </c>
      <c r="BK84">
        <f>SUMPRODUCT((M_BOM[RM_Code]=$A84)*M_BOM[RM_Qty_Per_Batch]*IFERROR(INDEX(PP_Grid[#Data],M_BOM[PPGridRow],63),0))</f>
        <v/>
      </c>
      <c r="BL84">
        <f>SUMPRODUCT((M_BOM[RM_Code]=$A84)*M_BOM[RM_Qty_Per_Batch]*IFERROR(INDEX(PP_Grid[#Data],M_BOM[PPGridRow],64),0))</f>
        <v/>
      </c>
      <c r="BM84">
        <f>SUMPRODUCT((M_BOM[RM_Code]=$A84)*M_BOM[RM_Qty_Per_Batch]*IFERROR(INDEX(PP_Grid[#Data],M_BOM[PPGridRow],65),0))</f>
        <v/>
      </c>
      <c r="BN84">
        <f>SUMPRODUCT((M_BOM[RM_Code]=$A84)*M_BOM[RM_Qty_Per_Batch]*IFERROR(INDEX(PP_Grid[#Data],M_BOM[PPGridRow],66),0))</f>
        <v/>
      </c>
      <c r="BO84">
        <f>SUMPRODUCT((M_BOM[RM_Code]=$A84)*M_BOM[RM_Qty_Per_Batch]*IFERROR(INDEX(PP_Grid[#Data],M_BOM[PPGridRow],67),0))</f>
        <v/>
      </c>
      <c r="BP84">
        <f>SUMPRODUCT((M_BOM[RM_Code]=$A84)*M_BOM[RM_Qty_Per_Batch]*IFERROR(INDEX(PP_Grid[#Data],M_BOM[PPGridRow],68),0))</f>
        <v/>
      </c>
      <c r="BQ84">
        <f>SUMPRODUCT((M_BOM[RM_Code]=$A84)*M_BOM[RM_Qty_Per_Batch]*IFERROR(INDEX(PP_Grid[#Data],M_BOM[PPGridRow],69),0))</f>
        <v/>
      </c>
      <c r="BR84">
        <f>SUMPRODUCT((M_BOM[RM_Code]=$A84)*M_BOM[RM_Qty_Per_Batch]*IFERROR(INDEX(PP_Grid[#Data],M_BOM[PPGridRow],70),0))</f>
        <v/>
      </c>
      <c r="BS84">
        <f>SUMPRODUCT((M_BOM[RM_Code]=$A84)*M_BOM[RM_Qty_Per_Batch]*IFERROR(INDEX(PP_Grid[#Data],M_BOM[PPGridRow],71),0))</f>
        <v/>
      </c>
      <c r="BT84">
        <f>SUMPRODUCT((M_BOM[RM_Code]=$A84)*M_BOM[RM_Qty_Per_Batch]*IFERROR(INDEX(PP_Grid[#Data],M_BOM[PPGridRow],72),0))</f>
        <v/>
      </c>
      <c r="BU84">
        <f>SUMPRODUCT((M_BOM[RM_Code]=$A84)*M_BOM[RM_Qty_Per_Batch]*IFERROR(INDEX(PP_Grid[#Data],M_BOM[PPGridRow],73),0))</f>
        <v/>
      </c>
      <c r="BV84">
        <f>SUMPRODUCT((M_BOM[RM_Code]=$A84)*M_BOM[RM_Qty_Per_Batch]*IFERROR(INDEX(PP_Grid[#Data],M_BOM[PPGridRow],74),0))</f>
        <v/>
      </c>
      <c r="BW84">
        <f>SUMPRODUCT((M_BOM[RM_Code]=$A84)*M_BOM[RM_Qty_Per_Batch]*IFERROR(INDEX(PP_Grid[#Data],M_BOM[PPGridRow],75),0))</f>
        <v/>
      </c>
      <c r="BX84">
        <f>SUMPRODUCT((M_BOM[RM_Code]=$A84)*M_BOM[RM_Qty_Per_Batch]*IFERROR(INDEX(PP_Grid[#Data],M_BOM[PPGridRow],76),0))</f>
        <v/>
      </c>
      <c r="BY84">
        <f>SUMPRODUCT((M_BOM[RM_Code]=$A84)*M_BOM[RM_Qty_Per_Batch]*IFERROR(INDEX(PP_Grid[#Data],M_BOM[PPGridRow],77),0))</f>
        <v/>
      </c>
      <c r="BZ84">
        <f>SUMPRODUCT((M_BOM[RM_Code]=$A84)*M_BOM[RM_Qty_Per_Batch]*IFERROR(INDEX(PP_Grid[#Data],M_BOM[PPGridRow],78),0))</f>
        <v/>
      </c>
      <c r="CA84">
        <f>SUMPRODUCT((M_BOM[RM_Code]=$A84)*M_BOM[RM_Qty_Per_Batch]*IFERROR(INDEX(PP_Grid[#Data],M_BOM[PPGridRow],79),0))</f>
        <v/>
      </c>
      <c r="CB84">
        <f>SUMPRODUCT((M_BOM[RM_Code]=$A84)*M_BOM[RM_Qty_Per_Batch]*IFERROR(INDEX(PP_Grid[#Data],M_BOM[PPGridRow],80),0))</f>
        <v/>
      </c>
      <c r="CC84">
        <f>SUMPRODUCT((M_BOM[RM_Code]=$A84)*M_BOM[RM_Qty_Per_Batch]*IFERROR(INDEX(PP_Grid[#Data],M_BOM[PPGridRow],81),0))</f>
        <v/>
      </c>
      <c r="CD84">
        <f>SUMPRODUCT((M_BOM[RM_Code]=$A84)*M_BOM[RM_Qty_Per_Batch]*IFERROR(INDEX(PP_Grid[#Data],M_BOM[PPGridRow],82),0))</f>
        <v/>
      </c>
      <c r="CE84">
        <f>SUMPRODUCT((M_BOM[RM_Code]=$A84)*M_BOM[RM_Qty_Per_Batch]*IFERROR(INDEX(PP_Grid[#Data],M_BOM[PPGridRow],83),0))</f>
        <v/>
      </c>
      <c r="CF84">
        <f>SUMPRODUCT((M_BOM[RM_Code]=$A84)*M_BOM[RM_Qty_Per_Batch]*IFERROR(INDEX(PP_Grid[#Data],M_BOM[PPGridRow],84),0))</f>
        <v/>
      </c>
      <c r="CG84">
        <f>SUMPRODUCT((M_BOM[RM_Code]=$A84)*M_BOM[RM_Qty_Per_Batch]*IFERROR(INDEX(PP_Grid[#Data],M_BOM[PPGridRow],85),0))</f>
        <v/>
      </c>
      <c r="CH84">
        <f>SUMPRODUCT((M_BOM[RM_Code]=$A84)*M_BOM[RM_Qty_Per_Batch]*IFERROR(INDEX(PP_Grid[#Data],M_BOM[PPGridRow],86),0))</f>
        <v/>
      </c>
      <c r="CI84">
        <f>SUMPRODUCT((M_BOM[RM_Code]=$A84)*M_BOM[RM_Qty_Per_Batch]*IFERROR(INDEX(PP_Grid[#Data],M_BOM[PPGridRow],87),0))</f>
        <v/>
      </c>
      <c r="CJ84">
        <f>SUMPRODUCT((M_BOM[RM_Code]=$A84)*M_BOM[RM_Qty_Per_Batch]*IFERROR(INDEX(PP_Grid[#Data],M_BOM[PPGridRow],88),0))</f>
        <v/>
      </c>
      <c r="CK84">
        <f>SUMPRODUCT((M_BOM[RM_Code]=$A84)*M_BOM[RM_Qty_Per_Batch]*IFERROR(INDEX(PP_Grid[#Data],M_BOM[PPGridRow],89),0))</f>
        <v/>
      </c>
      <c r="CL84">
        <f>SUMPRODUCT((M_BOM[RM_Code]=$A84)*M_BOM[RM_Qty_Per_Batch]*IFERROR(INDEX(PP_Grid[#Data],M_BOM[PPGridRow],90),0))</f>
        <v/>
      </c>
      <c r="CM84">
        <f>SUMPRODUCT((M_BOM[RM_Code]=$A84)*M_BOM[RM_Qty_Per_Batch]*IFERROR(INDEX(PP_Grid[#Data],M_BOM[PPGridRow],91),0))</f>
        <v/>
      </c>
      <c r="CN84">
        <f>SUMPRODUCT((M_BOM[RM_Code]=$A84)*M_BOM[RM_Qty_Per_Batch]*IFERROR(INDEX(PP_Grid[#Data],M_BOM[PPGridRow],92),0))</f>
        <v/>
      </c>
      <c r="CO84">
        <f>SUMPRODUCT((M_BOM[RM_Code]=$A84)*M_BOM[RM_Qty_Per_Batch]*IFERROR(INDEX(PP_Grid[#Data],M_BOM[PPGridRow],93),0))</f>
        <v/>
      </c>
      <c r="CP84">
        <f>SUMPRODUCT((M_BOM[RM_Code]=$A84)*M_BOM[RM_Qty_Per_Batch]*IFERROR(INDEX(PP_Grid[#Data],M_BOM[PPGridRow],94),0))</f>
        <v/>
      </c>
      <c r="CQ84">
        <f>SUMPRODUCT((M_BOM[RM_Code]=$A84)*M_BOM[RM_Qty_Per_Batch]*IFERROR(INDEX(PP_Grid[#Data],M_BOM[PPGridRow],95),0))</f>
        <v/>
      </c>
      <c r="CR84">
        <f>SUMPRODUCT((M_BOM[RM_Code]=$A84)*M_BOM[RM_Qty_Per_Batch]*IFERROR(INDEX(PP_Grid[#Data],M_BOM[PPGridRow],96),0))</f>
        <v/>
      </c>
      <c r="CS84">
        <f>SUMPRODUCT((M_BOM[RM_Code]=$A84)*M_BOM[RM_Qty_Per_Batch]*IFERROR(INDEX(PP_Grid[#Data],M_BOM[PPGridRow],97),0))</f>
        <v/>
      </c>
      <c r="CT84">
        <f>SUMPRODUCT((M_BOM[RM_Code]=$A84)*M_BOM[RM_Qty_Per_Batch]*IFERROR(INDEX(PP_Grid[#Data],M_BOM[PPGridRow],98),0))</f>
        <v/>
      </c>
      <c r="CU84">
        <f>SUMPRODUCT((M_BOM[RM_Code]=$A84)*M_BOM[RM_Qty_Per_Batch]*IFERROR(INDEX(PP_Grid[#Data],M_BOM[PPGridRow],99),0))</f>
        <v/>
      </c>
      <c r="CV84">
        <f>SUMPRODUCT((M_BOM[RM_Code]=$A84)*M_BOM[RM_Qty_Per_Batch]*IFERROR(INDEX(PP_Grid[#Data],M_BOM[PPGridRow],100),0))</f>
        <v/>
      </c>
      <c r="CW84">
        <f>SUMPRODUCT((M_BOM[RM_Code]=$A84)*M_BOM[RM_Qty_Per_Batch]*IFERROR(INDEX(PP_Grid[#Data],M_BOM[PPGridRow],101),0))</f>
        <v/>
      </c>
      <c r="CX84">
        <f>SUMPRODUCT((M_BOM[RM_Code]=$A84)*M_BOM[RM_Qty_Per_Batch]*IFERROR(INDEX(PP_Grid[#Data],M_BOM[PPGridRow],102),0))</f>
        <v/>
      </c>
      <c r="CY84">
        <f>SUMPRODUCT((M_BOM[RM_Code]=$A84)*M_BOM[RM_Qty_Per_Batch]*IFERROR(INDEX(PP_Grid[#Data],M_BOM[PPGridRow],103),0))</f>
        <v/>
      </c>
      <c r="CZ84">
        <f>SUMPRODUCT((M_BOM[RM_Code]=$A84)*M_BOM[RM_Qty_Per_Batch]*IFERROR(INDEX(PP_Grid[#Data],M_BOM[PPGridRow],104),0))</f>
        <v/>
      </c>
      <c r="DA84">
        <f>SUMPRODUCT((M_BOM[RM_Code]=$A84)*M_BOM[RM_Qty_Per_Batch]*IFERROR(INDEX(PP_Grid[#Data],M_BOM[PPGridRow],105),0))</f>
        <v/>
      </c>
    </row>
    <row r="85">
      <c r="A85" t="inlineStr">
        <is>
          <t>CHEM-1790</t>
        </is>
      </c>
      <c r="B85">
        <f>SUMPRODUCT((M_BOM[RM_Code]=$A85)*M_BOM[RM_Qty_Per_Batch]*IFERROR(INDEX(PP_Grid[#Data],M_BOM[PPGridRow],2),0))</f>
        <v/>
      </c>
      <c r="C85">
        <f>SUMPRODUCT((M_BOM[RM_Code]=$A85)*M_BOM[RM_Qty_Per_Batch]*IFERROR(INDEX(PP_Grid[#Data],M_BOM[PPGridRow],3),0))</f>
        <v/>
      </c>
      <c r="D85">
        <f>SUMPRODUCT((M_BOM[RM_Code]=$A85)*M_BOM[RM_Qty_Per_Batch]*IFERROR(INDEX(PP_Grid[#Data],M_BOM[PPGridRow],4),0))</f>
        <v/>
      </c>
      <c r="E85">
        <f>SUMPRODUCT((M_BOM[RM_Code]=$A85)*M_BOM[RM_Qty_Per_Batch]*IFERROR(INDEX(PP_Grid[#Data],M_BOM[PPGridRow],5),0))</f>
        <v/>
      </c>
      <c r="F85">
        <f>SUMPRODUCT((M_BOM[RM_Code]=$A85)*M_BOM[RM_Qty_Per_Batch]*IFERROR(INDEX(PP_Grid[#Data],M_BOM[PPGridRow],6),0))</f>
        <v/>
      </c>
      <c r="G85">
        <f>SUMPRODUCT((M_BOM[RM_Code]=$A85)*M_BOM[RM_Qty_Per_Batch]*IFERROR(INDEX(PP_Grid[#Data],M_BOM[PPGridRow],7),0))</f>
        <v/>
      </c>
      <c r="H85">
        <f>SUMPRODUCT((M_BOM[RM_Code]=$A85)*M_BOM[RM_Qty_Per_Batch]*IFERROR(INDEX(PP_Grid[#Data],M_BOM[PPGridRow],8),0))</f>
        <v/>
      </c>
      <c r="I85">
        <f>SUMPRODUCT((M_BOM[RM_Code]=$A85)*M_BOM[RM_Qty_Per_Batch]*IFERROR(INDEX(PP_Grid[#Data],M_BOM[PPGridRow],9),0))</f>
        <v/>
      </c>
      <c r="J85">
        <f>SUMPRODUCT((M_BOM[RM_Code]=$A85)*M_BOM[RM_Qty_Per_Batch]*IFERROR(INDEX(PP_Grid[#Data],M_BOM[PPGridRow],10),0))</f>
        <v/>
      </c>
      <c r="K85">
        <f>SUMPRODUCT((M_BOM[RM_Code]=$A85)*M_BOM[RM_Qty_Per_Batch]*IFERROR(INDEX(PP_Grid[#Data],M_BOM[PPGridRow],11),0))</f>
        <v/>
      </c>
      <c r="L85">
        <f>SUMPRODUCT((M_BOM[RM_Code]=$A85)*M_BOM[RM_Qty_Per_Batch]*IFERROR(INDEX(PP_Grid[#Data],M_BOM[PPGridRow],12),0))</f>
        <v/>
      </c>
      <c r="M85">
        <f>SUMPRODUCT((M_BOM[RM_Code]=$A85)*M_BOM[RM_Qty_Per_Batch]*IFERROR(INDEX(PP_Grid[#Data],M_BOM[PPGridRow],13),0))</f>
        <v/>
      </c>
      <c r="N85">
        <f>SUMPRODUCT((M_BOM[RM_Code]=$A85)*M_BOM[RM_Qty_Per_Batch]*IFERROR(INDEX(PP_Grid[#Data],M_BOM[PPGridRow],14),0))</f>
        <v/>
      </c>
      <c r="O85">
        <f>SUMPRODUCT((M_BOM[RM_Code]=$A85)*M_BOM[RM_Qty_Per_Batch]*IFERROR(INDEX(PP_Grid[#Data],M_BOM[PPGridRow],15),0))</f>
        <v/>
      </c>
      <c r="P85">
        <f>SUMPRODUCT((M_BOM[RM_Code]=$A85)*M_BOM[RM_Qty_Per_Batch]*IFERROR(INDEX(PP_Grid[#Data],M_BOM[PPGridRow],16),0))</f>
        <v/>
      </c>
      <c r="Q85">
        <f>SUMPRODUCT((M_BOM[RM_Code]=$A85)*M_BOM[RM_Qty_Per_Batch]*IFERROR(INDEX(PP_Grid[#Data],M_BOM[PPGridRow],17),0))</f>
        <v/>
      </c>
      <c r="R85">
        <f>SUMPRODUCT((M_BOM[RM_Code]=$A85)*M_BOM[RM_Qty_Per_Batch]*IFERROR(INDEX(PP_Grid[#Data],M_BOM[PPGridRow],18),0))</f>
        <v/>
      </c>
      <c r="S85">
        <f>SUMPRODUCT((M_BOM[RM_Code]=$A85)*M_BOM[RM_Qty_Per_Batch]*IFERROR(INDEX(PP_Grid[#Data],M_BOM[PPGridRow],19),0))</f>
        <v/>
      </c>
      <c r="T85">
        <f>SUMPRODUCT((M_BOM[RM_Code]=$A85)*M_BOM[RM_Qty_Per_Batch]*IFERROR(INDEX(PP_Grid[#Data],M_BOM[PPGridRow],20),0))</f>
        <v/>
      </c>
      <c r="U85">
        <f>SUMPRODUCT((M_BOM[RM_Code]=$A85)*M_BOM[RM_Qty_Per_Batch]*IFERROR(INDEX(PP_Grid[#Data],M_BOM[PPGridRow],21),0))</f>
        <v/>
      </c>
      <c r="V85">
        <f>SUMPRODUCT((M_BOM[RM_Code]=$A85)*M_BOM[RM_Qty_Per_Batch]*IFERROR(INDEX(PP_Grid[#Data],M_BOM[PPGridRow],22),0))</f>
        <v/>
      </c>
      <c r="W85">
        <f>SUMPRODUCT((M_BOM[RM_Code]=$A85)*M_BOM[RM_Qty_Per_Batch]*IFERROR(INDEX(PP_Grid[#Data],M_BOM[PPGridRow],23),0))</f>
        <v/>
      </c>
      <c r="X85">
        <f>SUMPRODUCT((M_BOM[RM_Code]=$A85)*M_BOM[RM_Qty_Per_Batch]*IFERROR(INDEX(PP_Grid[#Data],M_BOM[PPGridRow],24),0))</f>
        <v/>
      </c>
      <c r="Y85">
        <f>SUMPRODUCT((M_BOM[RM_Code]=$A85)*M_BOM[RM_Qty_Per_Batch]*IFERROR(INDEX(PP_Grid[#Data],M_BOM[PPGridRow],25),0))</f>
        <v/>
      </c>
      <c r="Z85">
        <f>SUMPRODUCT((M_BOM[RM_Code]=$A85)*M_BOM[RM_Qty_Per_Batch]*IFERROR(INDEX(PP_Grid[#Data],M_BOM[PPGridRow],26),0))</f>
        <v/>
      </c>
      <c r="AA85">
        <f>SUMPRODUCT((M_BOM[RM_Code]=$A85)*M_BOM[RM_Qty_Per_Batch]*IFERROR(INDEX(PP_Grid[#Data],M_BOM[PPGridRow],27),0))</f>
        <v/>
      </c>
      <c r="AB85">
        <f>SUMPRODUCT((M_BOM[RM_Code]=$A85)*M_BOM[RM_Qty_Per_Batch]*IFERROR(INDEX(PP_Grid[#Data],M_BOM[PPGridRow],28),0))</f>
        <v/>
      </c>
      <c r="AC85">
        <f>SUMPRODUCT((M_BOM[RM_Code]=$A85)*M_BOM[RM_Qty_Per_Batch]*IFERROR(INDEX(PP_Grid[#Data],M_BOM[PPGridRow],29),0))</f>
        <v/>
      </c>
      <c r="AD85">
        <f>SUMPRODUCT((M_BOM[RM_Code]=$A85)*M_BOM[RM_Qty_Per_Batch]*IFERROR(INDEX(PP_Grid[#Data],M_BOM[PPGridRow],30),0))</f>
        <v/>
      </c>
      <c r="AE85">
        <f>SUMPRODUCT((M_BOM[RM_Code]=$A85)*M_BOM[RM_Qty_Per_Batch]*IFERROR(INDEX(PP_Grid[#Data],M_BOM[PPGridRow],31),0))</f>
        <v/>
      </c>
      <c r="AF85">
        <f>SUMPRODUCT((M_BOM[RM_Code]=$A85)*M_BOM[RM_Qty_Per_Batch]*IFERROR(INDEX(PP_Grid[#Data],M_BOM[PPGridRow],32),0))</f>
        <v/>
      </c>
      <c r="AG85">
        <f>SUMPRODUCT((M_BOM[RM_Code]=$A85)*M_BOM[RM_Qty_Per_Batch]*IFERROR(INDEX(PP_Grid[#Data],M_BOM[PPGridRow],33),0))</f>
        <v/>
      </c>
      <c r="AH85">
        <f>SUMPRODUCT((M_BOM[RM_Code]=$A85)*M_BOM[RM_Qty_Per_Batch]*IFERROR(INDEX(PP_Grid[#Data],M_BOM[PPGridRow],34),0))</f>
        <v/>
      </c>
      <c r="AI85">
        <f>SUMPRODUCT((M_BOM[RM_Code]=$A85)*M_BOM[RM_Qty_Per_Batch]*IFERROR(INDEX(PP_Grid[#Data],M_BOM[PPGridRow],35),0))</f>
        <v/>
      </c>
      <c r="AJ85">
        <f>SUMPRODUCT((M_BOM[RM_Code]=$A85)*M_BOM[RM_Qty_Per_Batch]*IFERROR(INDEX(PP_Grid[#Data],M_BOM[PPGridRow],36),0))</f>
        <v/>
      </c>
      <c r="AK85">
        <f>SUMPRODUCT((M_BOM[RM_Code]=$A85)*M_BOM[RM_Qty_Per_Batch]*IFERROR(INDEX(PP_Grid[#Data],M_BOM[PPGridRow],37),0))</f>
        <v/>
      </c>
      <c r="AL85">
        <f>SUMPRODUCT((M_BOM[RM_Code]=$A85)*M_BOM[RM_Qty_Per_Batch]*IFERROR(INDEX(PP_Grid[#Data],M_BOM[PPGridRow],38),0))</f>
        <v/>
      </c>
      <c r="AM85">
        <f>SUMPRODUCT((M_BOM[RM_Code]=$A85)*M_BOM[RM_Qty_Per_Batch]*IFERROR(INDEX(PP_Grid[#Data],M_BOM[PPGridRow],39),0))</f>
        <v/>
      </c>
      <c r="AN85">
        <f>SUMPRODUCT((M_BOM[RM_Code]=$A85)*M_BOM[RM_Qty_Per_Batch]*IFERROR(INDEX(PP_Grid[#Data],M_BOM[PPGridRow],40),0))</f>
        <v/>
      </c>
      <c r="AO85">
        <f>SUMPRODUCT((M_BOM[RM_Code]=$A85)*M_BOM[RM_Qty_Per_Batch]*IFERROR(INDEX(PP_Grid[#Data],M_BOM[PPGridRow],41),0))</f>
        <v/>
      </c>
      <c r="AP85">
        <f>SUMPRODUCT((M_BOM[RM_Code]=$A85)*M_BOM[RM_Qty_Per_Batch]*IFERROR(INDEX(PP_Grid[#Data],M_BOM[PPGridRow],42),0))</f>
        <v/>
      </c>
      <c r="AQ85">
        <f>SUMPRODUCT((M_BOM[RM_Code]=$A85)*M_BOM[RM_Qty_Per_Batch]*IFERROR(INDEX(PP_Grid[#Data],M_BOM[PPGridRow],43),0))</f>
        <v/>
      </c>
      <c r="AR85">
        <f>SUMPRODUCT((M_BOM[RM_Code]=$A85)*M_BOM[RM_Qty_Per_Batch]*IFERROR(INDEX(PP_Grid[#Data],M_BOM[PPGridRow],44),0))</f>
        <v/>
      </c>
      <c r="AS85">
        <f>SUMPRODUCT((M_BOM[RM_Code]=$A85)*M_BOM[RM_Qty_Per_Batch]*IFERROR(INDEX(PP_Grid[#Data],M_BOM[PPGridRow],45),0))</f>
        <v/>
      </c>
      <c r="AT85">
        <f>SUMPRODUCT((M_BOM[RM_Code]=$A85)*M_BOM[RM_Qty_Per_Batch]*IFERROR(INDEX(PP_Grid[#Data],M_BOM[PPGridRow],46),0))</f>
        <v/>
      </c>
      <c r="AU85">
        <f>SUMPRODUCT((M_BOM[RM_Code]=$A85)*M_BOM[RM_Qty_Per_Batch]*IFERROR(INDEX(PP_Grid[#Data],M_BOM[PPGridRow],47),0))</f>
        <v/>
      </c>
      <c r="AV85">
        <f>SUMPRODUCT((M_BOM[RM_Code]=$A85)*M_BOM[RM_Qty_Per_Batch]*IFERROR(INDEX(PP_Grid[#Data],M_BOM[PPGridRow],48),0))</f>
        <v/>
      </c>
      <c r="AW85">
        <f>SUMPRODUCT((M_BOM[RM_Code]=$A85)*M_BOM[RM_Qty_Per_Batch]*IFERROR(INDEX(PP_Grid[#Data],M_BOM[PPGridRow],49),0))</f>
        <v/>
      </c>
      <c r="AX85">
        <f>SUMPRODUCT((M_BOM[RM_Code]=$A85)*M_BOM[RM_Qty_Per_Batch]*IFERROR(INDEX(PP_Grid[#Data],M_BOM[PPGridRow],50),0))</f>
        <v/>
      </c>
      <c r="AY85">
        <f>SUMPRODUCT((M_BOM[RM_Code]=$A85)*M_BOM[RM_Qty_Per_Batch]*IFERROR(INDEX(PP_Grid[#Data],M_BOM[PPGridRow],51),0))</f>
        <v/>
      </c>
      <c r="AZ85">
        <f>SUMPRODUCT((M_BOM[RM_Code]=$A85)*M_BOM[RM_Qty_Per_Batch]*IFERROR(INDEX(PP_Grid[#Data],M_BOM[PPGridRow],52),0))</f>
        <v/>
      </c>
      <c r="BA85">
        <f>SUMPRODUCT((M_BOM[RM_Code]=$A85)*M_BOM[RM_Qty_Per_Batch]*IFERROR(INDEX(PP_Grid[#Data],M_BOM[PPGridRow],53),0))</f>
        <v/>
      </c>
      <c r="BB85">
        <f>SUMPRODUCT((M_BOM[RM_Code]=$A85)*M_BOM[RM_Qty_Per_Batch]*IFERROR(INDEX(PP_Grid[#Data],M_BOM[PPGridRow],54),0))</f>
        <v/>
      </c>
      <c r="BC85">
        <f>SUMPRODUCT((M_BOM[RM_Code]=$A85)*M_BOM[RM_Qty_Per_Batch]*IFERROR(INDEX(PP_Grid[#Data],M_BOM[PPGridRow],55),0))</f>
        <v/>
      </c>
      <c r="BD85">
        <f>SUMPRODUCT((M_BOM[RM_Code]=$A85)*M_BOM[RM_Qty_Per_Batch]*IFERROR(INDEX(PP_Grid[#Data],M_BOM[PPGridRow],56),0))</f>
        <v/>
      </c>
      <c r="BE85">
        <f>SUMPRODUCT((M_BOM[RM_Code]=$A85)*M_BOM[RM_Qty_Per_Batch]*IFERROR(INDEX(PP_Grid[#Data],M_BOM[PPGridRow],57),0))</f>
        <v/>
      </c>
      <c r="BF85">
        <f>SUMPRODUCT((M_BOM[RM_Code]=$A85)*M_BOM[RM_Qty_Per_Batch]*IFERROR(INDEX(PP_Grid[#Data],M_BOM[PPGridRow],58),0))</f>
        <v/>
      </c>
      <c r="BG85">
        <f>SUMPRODUCT((M_BOM[RM_Code]=$A85)*M_BOM[RM_Qty_Per_Batch]*IFERROR(INDEX(PP_Grid[#Data],M_BOM[PPGridRow],59),0))</f>
        <v/>
      </c>
      <c r="BH85">
        <f>SUMPRODUCT((M_BOM[RM_Code]=$A85)*M_BOM[RM_Qty_Per_Batch]*IFERROR(INDEX(PP_Grid[#Data],M_BOM[PPGridRow],60),0))</f>
        <v/>
      </c>
      <c r="BI85">
        <f>SUMPRODUCT((M_BOM[RM_Code]=$A85)*M_BOM[RM_Qty_Per_Batch]*IFERROR(INDEX(PP_Grid[#Data],M_BOM[PPGridRow],61),0))</f>
        <v/>
      </c>
      <c r="BJ85">
        <f>SUMPRODUCT((M_BOM[RM_Code]=$A85)*M_BOM[RM_Qty_Per_Batch]*IFERROR(INDEX(PP_Grid[#Data],M_BOM[PPGridRow],62),0))</f>
        <v/>
      </c>
      <c r="BK85">
        <f>SUMPRODUCT((M_BOM[RM_Code]=$A85)*M_BOM[RM_Qty_Per_Batch]*IFERROR(INDEX(PP_Grid[#Data],M_BOM[PPGridRow],63),0))</f>
        <v/>
      </c>
      <c r="BL85">
        <f>SUMPRODUCT((M_BOM[RM_Code]=$A85)*M_BOM[RM_Qty_Per_Batch]*IFERROR(INDEX(PP_Grid[#Data],M_BOM[PPGridRow],64),0))</f>
        <v/>
      </c>
      <c r="BM85">
        <f>SUMPRODUCT((M_BOM[RM_Code]=$A85)*M_BOM[RM_Qty_Per_Batch]*IFERROR(INDEX(PP_Grid[#Data],M_BOM[PPGridRow],65),0))</f>
        <v/>
      </c>
      <c r="BN85">
        <f>SUMPRODUCT((M_BOM[RM_Code]=$A85)*M_BOM[RM_Qty_Per_Batch]*IFERROR(INDEX(PP_Grid[#Data],M_BOM[PPGridRow],66),0))</f>
        <v/>
      </c>
      <c r="BO85">
        <f>SUMPRODUCT((M_BOM[RM_Code]=$A85)*M_BOM[RM_Qty_Per_Batch]*IFERROR(INDEX(PP_Grid[#Data],M_BOM[PPGridRow],67),0))</f>
        <v/>
      </c>
      <c r="BP85">
        <f>SUMPRODUCT((M_BOM[RM_Code]=$A85)*M_BOM[RM_Qty_Per_Batch]*IFERROR(INDEX(PP_Grid[#Data],M_BOM[PPGridRow],68),0))</f>
        <v/>
      </c>
      <c r="BQ85">
        <f>SUMPRODUCT((M_BOM[RM_Code]=$A85)*M_BOM[RM_Qty_Per_Batch]*IFERROR(INDEX(PP_Grid[#Data],M_BOM[PPGridRow],69),0))</f>
        <v/>
      </c>
      <c r="BR85">
        <f>SUMPRODUCT((M_BOM[RM_Code]=$A85)*M_BOM[RM_Qty_Per_Batch]*IFERROR(INDEX(PP_Grid[#Data],M_BOM[PPGridRow],70),0))</f>
        <v/>
      </c>
      <c r="BS85">
        <f>SUMPRODUCT((M_BOM[RM_Code]=$A85)*M_BOM[RM_Qty_Per_Batch]*IFERROR(INDEX(PP_Grid[#Data],M_BOM[PPGridRow],71),0))</f>
        <v/>
      </c>
      <c r="BT85">
        <f>SUMPRODUCT((M_BOM[RM_Code]=$A85)*M_BOM[RM_Qty_Per_Batch]*IFERROR(INDEX(PP_Grid[#Data],M_BOM[PPGridRow],72),0))</f>
        <v/>
      </c>
      <c r="BU85">
        <f>SUMPRODUCT((M_BOM[RM_Code]=$A85)*M_BOM[RM_Qty_Per_Batch]*IFERROR(INDEX(PP_Grid[#Data],M_BOM[PPGridRow],73),0))</f>
        <v/>
      </c>
      <c r="BV85">
        <f>SUMPRODUCT((M_BOM[RM_Code]=$A85)*M_BOM[RM_Qty_Per_Batch]*IFERROR(INDEX(PP_Grid[#Data],M_BOM[PPGridRow],74),0))</f>
        <v/>
      </c>
      <c r="BW85">
        <f>SUMPRODUCT((M_BOM[RM_Code]=$A85)*M_BOM[RM_Qty_Per_Batch]*IFERROR(INDEX(PP_Grid[#Data],M_BOM[PPGridRow],75),0))</f>
        <v/>
      </c>
      <c r="BX85">
        <f>SUMPRODUCT((M_BOM[RM_Code]=$A85)*M_BOM[RM_Qty_Per_Batch]*IFERROR(INDEX(PP_Grid[#Data],M_BOM[PPGridRow],76),0))</f>
        <v/>
      </c>
      <c r="BY85">
        <f>SUMPRODUCT((M_BOM[RM_Code]=$A85)*M_BOM[RM_Qty_Per_Batch]*IFERROR(INDEX(PP_Grid[#Data],M_BOM[PPGridRow],77),0))</f>
        <v/>
      </c>
      <c r="BZ85">
        <f>SUMPRODUCT((M_BOM[RM_Code]=$A85)*M_BOM[RM_Qty_Per_Batch]*IFERROR(INDEX(PP_Grid[#Data],M_BOM[PPGridRow],78),0))</f>
        <v/>
      </c>
      <c r="CA85">
        <f>SUMPRODUCT((M_BOM[RM_Code]=$A85)*M_BOM[RM_Qty_Per_Batch]*IFERROR(INDEX(PP_Grid[#Data],M_BOM[PPGridRow],79),0))</f>
        <v/>
      </c>
      <c r="CB85">
        <f>SUMPRODUCT((M_BOM[RM_Code]=$A85)*M_BOM[RM_Qty_Per_Batch]*IFERROR(INDEX(PP_Grid[#Data],M_BOM[PPGridRow],80),0))</f>
        <v/>
      </c>
      <c r="CC85">
        <f>SUMPRODUCT((M_BOM[RM_Code]=$A85)*M_BOM[RM_Qty_Per_Batch]*IFERROR(INDEX(PP_Grid[#Data],M_BOM[PPGridRow],81),0))</f>
        <v/>
      </c>
      <c r="CD85">
        <f>SUMPRODUCT((M_BOM[RM_Code]=$A85)*M_BOM[RM_Qty_Per_Batch]*IFERROR(INDEX(PP_Grid[#Data],M_BOM[PPGridRow],82),0))</f>
        <v/>
      </c>
      <c r="CE85">
        <f>SUMPRODUCT((M_BOM[RM_Code]=$A85)*M_BOM[RM_Qty_Per_Batch]*IFERROR(INDEX(PP_Grid[#Data],M_BOM[PPGridRow],83),0))</f>
        <v/>
      </c>
      <c r="CF85">
        <f>SUMPRODUCT((M_BOM[RM_Code]=$A85)*M_BOM[RM_Qty_Per_Batch]*IFERROR(INDEX(PP_Grid[#Data],M_BOM[PPGridRow],84),0))</f>
        <v/>
      </c>
      <c r="CG85">
        <f>SUMPRODUCT((M_BOM[RM_Code]=$A85)*M_BOM[RM_Qty_Per_Batch]*IFERROR(INDEX(PP_Grid[#Data],M_BOM[PPGridRow],85),0))</f>
        <v/>
      </c>
      <c r="CH85">
        <f>SUMPRODUCT((M_BOM[RM_Code]=$A85)*M_BOM[RM_Qty_Per_Batch]*IFERROR(INDEX(PP_Grid[#Data],M_BOM[PPGridRow],86),0))</f>
        <v/>
      </c>
      <c r="CI85">
        <f>SUMPRODUCT((M_BOM[RM_Code]=$A85)*M_BOM[RM_Qty_Per_Batch]*IFERROR(INDEX(PP_Grid[#Data],M_BOM[PPGridRow],87),0))</f>
        <v/>
      </c>
      <c r="CJ85">
        <f>SUMPRODUCT((M_BOM[RM_Code]=$A85)*M_BOM[RM_Qty_Per_Batch]*IFERROR(INDEX(PP_Grid[#Data],M_BOM[PPGridRow],88),0))</f>
        <v/>
      </c>
      <c r="CK85">
        <f>SUMPRODUCT((M_BOM[RM_Code]=$A85)*M_BOM[RM_Qty_Per_Batch]*IFERROR(INDEX(PP_Grid[#Data],M_BOM[PPGridRow],89),0))</f>
        <v/>
      </c>
      <c r="CL85">
        <f>SUMPRODUCT((M_BOM[RM_Code]=$A85)*M_BOM[RM_Qty_Per_Batch]*IFERROR(INDEX(PP_Grid[#Data],M_BOM[PPGridRow],90),0))</f>
        <v/>
      </c>
      <c r="CM85">
        <f>SUMPRODUCT((M_BOM[RM_Code]=$A85)*M_BOM[RM_Qty_Per_Batch]*IFERROR(INDEX(PP_Grid[#Data],M_BOM[PPGridRow],91),0))</f>
        <v/>
      </c>
      <c r="CN85">
        <f>SUMPRODUCT((M_BOM[RM_Code]=$A85)*M_BOM[RM_Qty_Per_Batch]*IFERROR(INDEX(PP_Grid[#Data],M_BOM[PPGridRow],92),0))</f>
        <v/>
      </c>
      <c r="CO85">
        <f>SUMPRODUCT((M_BOM[RM_Code]=$A85)*M_BOM[RM_Qty_Per_Batch]*IFERROR(INDEX(PP_Grid[#Data],M_BOM[PPGridRow],93),0))</f>
        <v/>
      </c>
      <c r="CP85">
        <f>SUMPRODUCT((M_BOM[RM_Code]=$A85)*M_BOM[RM_Qty_Per_Batch]*IFERROR(INDEX(PP_Grid[#Data],M_BOM[PPGridRow],94),0))</f>
        <v/>
      </c>
      <c r="CQ85">
        <f>SUMPRODUCT((M_BOM[RM_Code]=$A85)*M_BOM[RM_Qty_Per_Batch]*IFERROR(INDEX(PP_Grid[#Data],M_BOM[PPGridRow],95),0))</f>
        <v/>
      </c>
      <c r="CR85">
        <f>SUMPRODUCT((M_BOM[RM_Code]=$A85)*M_BOM[RM_Qty_Per_Batch]*IFERROR(INDEX(PP_Grid[#Data],M_BOM[PPGridRow],96),0))</f>
        <v/>
      </c>
      <c r="CS85">
        <f>SUMPRODUCT((M_BOM[RM_Code]=$A85)*M_BOM[RM_Qty_Per_Batch]*IFERROR(INDEX(PP_Grid[#Data],M_BOM[PPGridRow],97),0))</f>
        <v/>
      </c>
      <c r="CT85">
        <f>SUMPRODUCT((M_BOM[RM_Code]=$A85)*M_BOM[RM_Qty_Per_Batch]*IFERROR(INDEX(PP_Grid[#Data],M_BOM[PPGridRow],98),0))</f>
        <v/>
      </c>
      <c r="CU85">
        <f>SUMPRODUCT((M_BOM[RM_Code]=$A85)*M_BOM[RM_Qty_Per_Batch]*IFERROR(INDEX(PP_Grid[#Data],M_BOM[PPGridRow],99),0))</f>
        <v/>
      </c>
      <c r="CV85">
        <f>SUMPRODUCT((M_BOM[RM_Code]=$A85)*M_BOM[RM_Qty_Per_Batch]*IFERROR(INDEX(PP_Grid[#Data],M_BOM[PPGridRow],100),0))</f>
        <v/>
      </c>
      <c r="CW85">
        <f>SUMPRODUCT((M_BOM[RM_Code]=$A85)*M_BOM[RM_Qty_Per_Batch]*IFERROR(INDEX(PP_Grid[#Data],M_BOM[PPGridRow],101),0))</f>
        <v/>
      </c>
      <c r="CX85">
        <f>SUMPRODUCT((M_BOM[RM_Code]=$A85)*M_BOM[RM_Qty_Per_Batch]*IFERROR(INDEX(PP_Grid[#Data],M_BOM[PPGridRow],102),0))</f>
        <v/>
      </c>
      <c r="CY85">
        <f>SUMPRODUCT((M_BOM[RM_Code]=$A85)*M_BOM[RM_Qty_Per_Batch]*IFERROR(INDEX(PP_Grid[#Data],M_BOM[PPGridRow],103),0))</f>
        <v/>
      </c>
      <c r="CZ85">
        <f>SUMPRODUCT((M_BOM[RM_Code]=$A85)*M_BOM[RM_Qty_Per_Batch]*IFERROR(INDEX(PP_Grid[#Data],M_BOM[PPGridRow],104),0))</f>
        <v/>
      </c>
      <c r="DA85">
        <f>SUMPRODUCT((M_BOM[RM_Code]=$A85)*M_BOM[RM_Qty_Per_Batch]*IFERROR(INDEX(PP_Grid[#Data],M_BOM[PPGridRow],105),0))</f>
        <v/>
      </c>
    </row>
    <row r="86">
      <c r="A86" t="inlineStr">
        <is>
          <t>TSZ-616</t>
        </is>
      </c>
      <c r="B86">
        <f>SUMPRODUCT((M_BOM[RM_Code]=$A86)*M_BOM[RM_Qty_Per_Batch]*IFERROR(INDEX(PP_Grid[#Data],M_BOM[PPGridRow],2),0))</f>
        <v/>
      </c>
      <c r="C86">
        <f>SUMPRODUCT((M_BOM[RM_Code]=$A86)*M_BOM[RM_Qty_Per_Batch]*IFERROR(INDEX(PP_Grid[#Data],M_BOM[PPGridRow],3),0))</f>
        <v/>
      </c>
      <c r="D86">
        <f>SUMPRODUCT((M_BOM[RM_Code]=$A86)*M_BOM[RM_Qty_Per_Batch]*IFERROR(INDEX(PP_Grid[#Data],M_BOM[PPGridRow],4),0))</f>
        <v/>
      </c>
      <c r="E86">
        <f>SUMPRODUCT((M_BOM[RM_Code]=$A86)*M_BOM[RM_Qty_Per_Batch]*IFERROR(INDEX(PP_Grid[#Data],M_BOM[PPGridRow],5),0))</f>
        <v/>
      </c>
      <c r="F86">
        <f>SUMPRODUCT((M_BOM[RM_Code]=$A86)*M_BOM[RM_Qty_Per_Batch]*IFERROR(INDEX(PP_Grid[#Data],M_BOM[PPGridRow],6),0))</f>
        <v/>
      </c>
      <c r="G86">
        <f>SUMPRODUCT((M_BOM[RM_Code]=$A86)*M_BOM[RM_Qty_Per_Batch]*IFERROR(INDEX(PP_Grid[#Data],M_BOM[PPGridRow],7),0))</f>
        <v/>
      </c>
      <c r="H86">
        <f>SUMPRODUCT((M_BOM[RM_Code]=$A86)*M_BOM[RM_Qty_Per_Batch]*IFERROR(INDEX(PP_Grid[#Data],M_BOM[PPGridRow],8),0))</f>
        <v/>
      </c>
      <c r="I86">
        <f>SUMPRODUCT((M_BOM[RM_Code]=$A86)*M_BOM[RM_Qty_Per_Batch]*IFERROR(INDEX(PP_Grid[#Data],M_BOM[PPGridRow],9),0))</f>
        <v/>
      </c>
      <c r="J86">
        <f>SUMPRODUCT((M_BOM[RM_Code]=$A86)*M_BOM[RM_Qty_Per_Batch]*IFERROR(INDEX(PP_Grid[#Data],M_BOM[PPGridRow],10),0))</f>
        <v/>
      </c>
      <c r="K86">
        <f>SUMPRODUCT((M_BOM[RM_Code]=$A86)*M_BOM[RM_Qty_Per_Batch]*IFERROR(INDEX(PP_Grid[#Data],M_BOM[PPGridRow],11),0))</f>
        <v/>
      </c>
      <c r="L86">
        <f>SUMPRODUCT((M_BOM[RM_Code]=$A86)*M_BOM[RM_Qty_Per_Batch]*IFERROR(INDEX(PP_Grid[#Data],M_BOM[PPGridRow],12),0))</f>
        <v/>
      </c>
      <c r="M86">
        <f>SUMPRODUCT((M_BOM[RM_Code]=$A86)*M_BOM[RM_Qty_Per_Batch]*IFERROR(INDEX(PP_Grid[#Data],M_BOM[PPGridRow],13),0))</f>
        <v/>
      </c>
      <c r="N86">
        <f>SUMPRODUCT((M_BOM[RM_Code]=$A86)*M_BOM[RM_Qty_Per_Batch]*IFERROR(INDEX(PP_Grid[#Data],M_BOM[PPGridRow],14),0))</f>
        <v/>
      </c>
      <c r="O86">
        <f>SUMPRODUCT((M_BOM[RM_Code]=$A86)*M_BOM[RM_Qty_Per_Batch]*IFERROR(INDEX(PP_Grid[#Data],M_BOM[PPGridRow],15),0))</f>
        <v/>
      </c>
      <c r="P86">
        <f>SUMPRODUCT((M_BOM[RM_Code]=$A86)*M_BOM[RM_Qty_Per_Batch]*IFERROR(INDEX(PP_Grid[#Data],M_BOM[PPGridRow],16),0))</f>
        <v/>
      </c>
      <c r="Q86">
        <f>SUMPRODUCT((M_BOM[RM_Code]=$A86)*M_BOM[RM_Qty_Per_Batch]*IFERROR(INDEX(PP_Grid[#Data],M_BOM[PPGridRow],17),0))</f>
        <v/>
      </c>
      <c r="R86">
        <f>SUMPRODUCT((M_BOM[RM_Code]=$A86)*M_BOM[RM_Qty_Per_Batch]*IFERROR(INDEX(PP_Grid[#Data],M_BOM[PPGridRow],18),0))</f>
        <v/>
      </c>
      <c r="S86">
        <f>SUMPRODUCT((M_BOM[RM_Code]=$A86)*M_BOM[RM_Qty_Per_Batch]*IFERROR(INDEX(PP_Grid[#Data],M_BOM[PPGridRow],19),0))</f>
        <v/>
      </c>
      <c r="T86">
        <f>SUMPRODUCT((M_BOM[RM_Code]=$A86)*M_BOM[RM_Qty_Per_Batch]*IFERROR(INDEX(PP_Grid[#Data],M_BOM[PPGridRow],20),0))</f>
        <v/>
      </c>
      <c r="U86">
        <f>SUMPRODUCT((M_BOM[RM_Code]=$A86)*M_BOM[RM_Qty_Per_Batch]*IFERROR(INDEX(PP_Grid[#Data],M_BOM[PPGridRow],21),0))</f>
        <v/>
      </c>
      <c r="V86">
        <f>SUMPRODUCT((M_BOM[RM_Code]=$A86)*M_BOM[RM_Qty_Per_Batch]*IFERROR(INDEX(PP_Grid[#Data],M_BOM[PPGridRow],22),0))</f>
        <v/>
      </c>
      <c r="W86">
        <f>SUMPRODUCT((M_BOM[RM_Code]=$A86)*M_BOM[RM_Qty_Per_Batch]*IFERROR(INDEX(PP_Grid[#Data],M_BOM[PPGridRow],23),0))</f>
        <v/>
      </c>
      <c r="X86">
        <f>SUMPRODUCT((M_BOM[RM_Code]=$A86)*M_BOM[RM_Qty_Per_Batch]*IFERROR(INDEX(PP_Grid[#Data],M_BOM[PPGridRow],24),0))</f>
        <v/>
      </c>
      <c r="Y86">
        <f>SUMPRODUCT((M_BOM[RM_Code]=$A86)*M_BOM[RM_Qty_Per_Batch]*IFERROR(INDEX(PP_Grid[#Data],M_BOM[PPGridRow],25),0))</f>
        <v/>
      </c>
      <c r="Z86">
        <f>SUMPRODUCT((M_BOM[RM_Code]=$A86)*M_BOM[RM_Qty_Per_Batch]*IFERROR(INDEX(PP_Grid[#Data],M_BOM[PPGridRow],26),0))</f>
        <v/>
      </c>
      <c r="AA86">
        <f>SUMPRODUCT((M_BOM[RM_Code]=$A86)*M_BOM[RM_Qty_Per_Batch]*IFERROR(INDEX(PP_Grid[#Data],M_BOM[PPGridRow],27),0))</f>
        <v/>
      </c>
      <c r="AB86">
        <f>SUMPRODUCT((M_BOM[RM_Code]=$A86)*M_BOM[RM_Qty_Per_Batch]*IFERROR(INDEX(PP_Grid[#Data],M_BOM[PPGridRow],28),0))</f>
        <v/>
      </c>
      <c r="AC86">
        <f>SUMPRODUCT((M_BOM[RM_Code]=$A86)*M_BOM[RM_Qty_Per_Batch]*IFERROR(INDEX(PP_Grid[#Data],M_BOM[PPGridRow],29),0))</f>
        <v/>
      </c>
      <c r="AD86">
        <f>SUMPRODUCT((M_BOM[RM_Code]=$A86)*M_BOM[RM_Qty_Per_Batch]*IFERROR(INDEX(PP_Grid[#Data],M_BOM[PPGridRow],30),0))</f>
        <v/>
      </c>
      <c r="AE86">
        <f>SUMPRODUCT((M_BOM[RM_Code]=$A86)*M_BOM[RM_Qty_Per_Batch]*IFERROR(INDEX(PP_Grid[#Data],M_BOM[PPGridRow],31),0))</f>
        <v/>
      </c>
      <c r="AF86">
        <f>SUMPRODUCT((M_BOM[RM_Code]=$A86)*M_BOM[RM_Qty_Per_Batch]*IFERROR(INDEX(PP_Grid[#Data],M_BOM[PPGridRow],32),0))</f>
        <v/>
      </c>
      <c r="AG86">
        <f>SUMPRODUCT((M_BOM[RM_Code]=$A86)*M_BOM[RM_Qty_Per_Batch]*IFERROR(INDEX(PP_Grid[#Data],M_BOM[PPGridRow],33),0))</f>
        <v/>
      </c>
      <c r="AH86">
        <f>SUMPRODUCT((M_BOM[RM_Code]=$A86)*M_BOM[RM_Qty_Per_Batch]*IFERROR(INDEX(PP_Grid[#Data],M_BOM[PPGridRow],34),0))</f>
        <v/>
      </c>
      <c r="AI86">
        <f>SUMPRODUCT((M_BOM[RM_Code]=$A86)*M_BOM[RM_Qty_Per_Batch]*IFERROR(INDEX(PP_Grid[#Data],M_BOM[PPGridRow],35),0))</f>
        <v/>
      </c>
      <c r="AJ86">
        <f>SUMPRODUCT((M_BOM[RM_Code]=$A86)*M_BOM[RM_Qty_Per_Batch]*IFERROR(INDEX(PP_Grid[#Data],M_BOM[PPGridRow],36),0))</f>
        <v/>
      </c>
      <c r="AK86">
        <f>SUMPRODUCT((M_BOM[RM_Code]=$A86)*M_BOM[RM_Qty_Per_Batch]*IFERROR(INDEX(PP_Grid[#Data],M_BOM[PPGridRow],37),0))</f>
        <v/>
      </c>
      <c r="AL86">
        <f>SUMPRODUCT((M_BOM[RM_Code]=$A86)*M_BOM[RM_Qty_Per_Batch]*IFERROR(INDEX(PP_Grid[#Data],M_BOM[PPGridRow],38),0))</f>
        <v/>
      </c>
      <c r="AM86">
        <f>SUMPRODUCT((M_BOM[RM_Code]=$A86)*M_BOM[RM_Qty_Per_Batch]*IFERROR(INDEX(PP_Grid[#Data],M_BOM[PPGridRow],39),0))</f>
        <v/>
      </c>
      <c r="AN86">
        <f>SUMPRODUCT((M_BOM[RM_Code]=$A86)*M_BOM[RM_Qty_Per_Batch]*IFERROR(INDEX(PP_Grid[#Data],M_BOM[PPGridRow],40),0))</f>
        <v/>
      </c>
      <c r="AO86">
        <f>SUMPRODUCT((M_BOM[RM_Code]=$A86)*M_BOM[RM_Qty_Per_Batch]*IFERROR(INDEX(PP_Grid[#Data],M_BOM[PPGridRow],41),0))</f>
        <v/>
      </c>
      <c r="AP86">
        <f>SUMPRODUCT((M_BOM[RM_Code]=$A86)*M_BOM[RM_Qty_Per_Batch]*IFERROR(INDEX(PP_Grid[#Data],M_BOM[PPGridRow],42),0))</f>
        <v/>
      </c>
      <c r="AQ86">
        <f>SUMPRODUCT((M_BOM[RM_Code]=$A86)*M_BOM[RM_Qty_Per_Batch]*IFERROR(INDEX(PP_Grid[#Data],M_BOM[PPGridRow],43),0))</f>
        <v/>
      </c>
      <c r="AR86">
        <f>SUMPRODUCT((M_BOM[RM_Code]=$A86)*M_BOM[RM_Qty_Per_Batch]*IFERROR(INDEX(PP_Grid[#Data],M_BOM[PPGridRow],44),0))</f>
        <v/>
      </c>
      <c r="AS86">
        <f>SUMPRODUCT((M_BOM[RM_Code]=$A86)*M_BOM[RM_Qty_Per_Batch]*IFERROR(INDEX(PP_Grid[#Data],M_BOM[PPGridRow],45),0))</f>
        <v/>
      </c>
      <c r="AT86">
        <f>SUMPRODUCT((M_BOM[RM_Code]=$A86)*M_BOM[RM_Qty_Per_Batch]*IFERROR(INDEX(PP_Grid[#Data],M_BOM[PPGridRow],46),0))</f>
        <v/>
      </c>
      <c r="AU86">
        <f>SUMPRODUCT((M_BOM[RM_Code]=$A86)*M_BOM[RM_Qty_Per_Batch]*IFERROR(INDEX(PP_Grid[#Data],M_BOM[PPGridRow],47),0))</f>
        <v/>
      </c>
      <c r="AV86">
        <f>SUMPRODUCT((M_BOM[RM_Code]=$A86)*M_BOM[RM_Qty_Per_Batch]*IFERROR(INDEX(PP_Grid[#Data],M_BOM[PPGridRow],48),0))</f>
        <v/>
      </c>
      <c r="AW86">
        <f>SUMPRODUCT((M_BOM[RM_Code]=$A86)*M_BOM[RM_Qty_Per_Batch]*IFERROR(INDEX(PP_Grid[#Data],M_BOM[PPGridRow],49),0))</f>
        <v/>
      </c>
      <c r="AX86">
        <f>SUMPRODUCT((M_BOM[RM_Code]=$A86)*M_BOM[RM_Qty_Per_Batch]*IFERROR(INDEX(PP_Grid[#Data],M_BOM[PPGridRow],50),0))</f>
        <v/>
      </c>
      <c r="AY86">
        <f>SUMPRODUCT((M_BOM[RM_Code]=$A86)*M_BOM[RM_Qty_Per_Batch]*IFERROR(INDEX(PP_Grid[#Data],M_BOM[PPGridRow],51),0))</f>
        <v/>
      </c>
      <c r="AZ86">
        <f>SUMPRODUCT((M_BOM[RM_Code]=$A86)*M_BOM[RM_Qty_Per_Batch]*IFERROR(INDEX(PP_Grid[#Data],M_BOM[PPGridRow],52),0))</f>
        <v/>
      </c>
      <c r="BA86">
        <f>SUMPRODUCT((M_BOM[RM_Code]=$A86)*M_BOM[RM_Qty_Per_Batch]*IFERROR(INDEX(PP_Grid[#Data],M_BOM[PPGridRow],53),0))</f>
        <v/>
      </c>
      <c r="BB86">
        <f>SUMPRODUCT((M_BOM[RM_Code]=$A86)*M_BOM[RM_Qty_Per_Batch]*IFERROR(INDEX(PP_Grid[#Data],M_BOM[PPGridRow],54),0))</f>
        <v/>
      </c>
      <c r="BC86">
        <f>SUMPRODUCT((M_BOM[RM_Code]=$A86)*M_BOM[RM_Qty_Per_Batch]*IFERROR(INDEX(PP_Grid[#Data],M_BOM[PPGridRow],55),0))</f>
        <v/>
      </c>
      <c r="BD86">
        <f>SUMPRODUCT((M_BOM[RM_Code]=$A86)*M_BOM[RM_Qty_Per_Batch]*IFERROR(INDEX(PP_Grid[#Data],M_BOM[PPGridRow],56),0))</f>
        <v/>
      </c>
      <c r="BE86">
        <f>SUMPRODUCT((M_BOM[RM_Code]=$A86)*M_BOM[RM_Qty_Per_Batch]*IFERROR(INDEX(PP_Grid[#Data],M_BOM[PPGridRow],57),0))</f>
        <v/>
      </c>
      <c r="BF86">
        <f>SUMPRODUCT((M_BOM[RM_Code]=$A86)*M_BOM[RM_Qty_Per_Batch]*IFERROR(INDEX(PP_Grid[#Data],M_BOM[PPGridRow],58),0))</f>
        <v/>
      </c>
      <c r="BG86">
        <f>SUMPRODUCT((M_BOM[RM_Code]=$A86)*M_BOM[RM_Qty_Per_Batch]*IFERROR(INDEX(PP_Grid[#Data],M_BOM[PPGridRow],59),0))</f>
        <v/>
      </c>
      <c r="BH86">
        <f>SUMPRODUCT((M_BOM[RM_Code]=$A86)*M_BOM[RM_Qty_Per_Batch]*IFERROR(INDEX(PP_Grid[#Data],M_BOM[PPGridRow],60),0))</f>
        <v/>
      </c>
      <c r="BI86">
        <f>SUMPRODUCT((M_BOM[RM_Code]=$A86)*M_BOM[RM_Qty_Per_Batch]*IFERROR(INDEX(PP_Grid[#Data],M_BOM[PPGridRow],61),0))</f>
        <v/>
      </c>
      <c r="BJ86">
        <f>SUMPRODUCT((M_BOM[RM_Code]=$A86)*M_BOM[RM_Qty_Per_Batch]*IFERROR(INDEX(PP_Grid[#Data],M_BOM[PPGridRow],62),0))</f>
        <v/>
      </c>
      <c r="BK86">
        <f>SUMPRODUCT((M_BOM[RM_Code]=$A86)*M_BOM[RM_Qty_Per_Batch]*IFERROR(INDEX(PP_Grid[#Data],M_BOM[PPGridRow],63),0))</f>
        <v/>
      </c>
      <c r="BL86">
        <f>SUMPRODUCT((M_BOM[RM_Code]=$A86)*M_BOM[RM_Qty_Per_Batch]*IFERROR(INDEX(PP_Grid[#Data],M_BOM[PPGridRow],64),0))</f>
        <v/>
      </c>
      <c r="BM86">
        <f>SUMPRODUCT((M_BOM[RM_Code]=$A86)*M_BOM[RM_Qty_Per_Batch]*IFERROR(INDEX(PP_Grid[#Data],M_BOM[PPGridRow],65),0))</f>
        <v/>
      </c>
      <c r="BN86">
        <f>SUMPRODUCT((M_BOM[RM_Code]=$A86)*M_BOM[RM_Qty_Per_Batch]*IFERROR(INDEX(PP_Grid[#Data],M_BOM[PPGridRow],66),0))</f>
        <v/>
      </c>
      <c r="BO86">
        <f>SUMPRODUCT((M_BOM[RM_Code]=$A86)*M_BOM[RM_Qty_Per_Batch]*IFERROR(INDEX(PP_Grid[#Data],M_BOM[PPGridRow],67),0))</f>
        <v/>
      </c>
      <c r="BP86">
        <f>SUMPRODUCT((M_BOM[RM_Code]=$A86)*M_BOM[RM_Qty_Per_Batch]*IFERROR(INDEX(PP_Grid[#Data],M_BOM[PPGridRow],68),0))</f>
        <v/>
      </c>
      <c r="BQ86">
        <f>SUMPRODUCT((M_BOM[RM_Code]=$A86)*M_BOM[RM_Qty_Per_Batch]*IFERROR(INDEX(PP_Grid[#Data],M_BOM[PPGridRow],69),0))</f>
        <v/>
      </c>
      <c r="BR86">
        <f>SUMPRODUCT((M_BOM[RM_Code]=$A86)*M_BOM[RM_Qty_Per_Batch]*IFERROR(INDEX(PP_Grid[#Data],M_BOM[PPGridRow],70),0))</f>
        <v/>
      </c>
      <c r="BS86">
        <f>SUMPRODUCT((M_BOM[RM_Code]=$A86)*M_BOM[RM_Qty_Per_Batch]*IFERROR(INDEX(PP_Grid[#Data],M_BOM[PPGridRow],71),0))</f>
        <v/>
      </c>
      <c r="BT86">
        <f>SUMPRODUCT((M_BOM[RM_Code]=$A86)*M_BOM[RM_Qty_Per_Batch]*IFERROR(INDEX(PP_Grid[#Data],M_BOM[PPGridRow],72),0))</f>
        <v/>
      </c>
      <c r="BU86">
        <f>SUMPRODUCT((M_BOM[RM_Code]=$A86)*M_BOM[RM_Qty_Per_Batch]*IFERROR(INDEX(PP_Grid[#Data],M_BOM[PPGridRow],73),0))</f>
        <v/>
      </c>
      <c r="BV86">
        <f>SUMPRODUCT((M_BOM[RM_Code]=$A86)*M_BOM[RM_Qty_Per_Batch]*IFERROR(INDEX(PP_Grid[#Data],M_BOM[PPGridRow],74),0))</f>
        <v/>
      </c>
      <c r="BW86">
        <f>SUMPRODUCT((M_BOM[RM_Code]=$A86)*M_BOM[RM_Qty_Per_Batch]*IFERROR(INDEX(PP_Grid[#Data],M_BOM[PPGridRow],75),0))</f>
        <v/>
      </c>
      <c r="BX86">
        <f>SUMPRODUCT((M_BOM[RM_Code]=$A86)*M_BOM[RM_Qty_Per_Batch]*IFERROR(INDEX(PP_Grid[#Data],M_BOM[PPGridRow],76),0))</f>
        <v/>
      </c>
      <c r="BY86">
        <f>SUMPRODUCT((M_BOM[RM_Code]=$A86)*M_BOM[RM_Qty_Per_Batch]*IFERROR(INDEX(PP_Grid[#Data],M_BOM[PPGridRow],77),0))</f>
        <v/>
      </c>
      <c r="BZ86">
        <f>SUMPRODUCT((M_BOM[RM_Code]=$A86)*M_BOM[RM_Qty_Per_Batch]*IFERROR(INDEX(PP_Grid[#Data],M_BOM[PPGridRow],78),0))</f>
        <v/>
      </c>
      <c r="CA86">
        <f>SUMPRODUCT((M_BOM[RM_Code]=$A86)*M_BOM[RM_Qty_Per_Batch]*IFERROR(INDEX(PP_Grid[#Data],M_BOM[PPGridRow],79),0))</f>
        <v/>
      </c>
      <c r="CB86">
        <f>SUMPRODUCT((M_BOM[RM_Code]=$A86)*M_BOM[RM_Qty_Per_Batch]*IFERROR(INDEX(PP_Grid[#Data],M_BOM[PPGridRow],80),0))</f>
        <v/>
      </c>
      <c r="CC86">
        <f>SUMPRODUCT((M_BOM[RM_Code]=$A86)*M_BOM[RM_Qty_Per_Batch]*IFERROR(INDEX(PP_Grid[#Data],M_BOM[PPGridRow],81),0))</f>
        <v/>
      </c>
      <c r="CD86">
        <f>SUMPRODUCT((M_BOM[RM_Code]=$A86)*M_BOM[RM_Qty_Per_Batch]*IFERROR(INDEX(PP_Grid[#Data],M_BOM[PPGridRow],82),0))</f>
        <v/>
      </c>
      <c r="CE86">
        <f>SUMPRODUCT((M_BOM[RM_Code]=$A86)*M_BOM[RM_Qty_Per_Batch]*IFERROR(INDEX(PP_Grid[#Data],M_BOM[PPGridRow],83),0))</f>
        <v/>
      </c>
      <c r="CF86">
        <f>SUMPRODUCT((M_BOM[RM_Code]=$A86)*M_BOM[RM_Qty_Per_Batch]*IFERROR(INDEX(PP_Grid[#Data],M_BOM[PPGridRow],84),0))</f>
        <v/>
      </c>
      <c r="CG86">
        <f>SUMPRODUCT((M_BOM[RM_Code]=$A86)*M_BOM[RM_Qty_Per_Batch]*IFERROR(INDEX(PP_Grid[#Data],M_BOM[PPGridRow],85),0))</f>
        <v/>
      </c>
      <c r="CH86">
        <f>SUMPRODUCT((M_BOM[RM_Code]=$A86)*M_BOM[RM_Qty_Per_Batch]*IFERROR(INDEX(PP_Grid[#Data],M_BOM[PPGridRow],86),0))</f>
        <v/>
      </c>
      <c r="CI86">
        <f>SUMPRODUCT((M_BOM[RM_Code]=$A86)*M_BOM[RM_Qty_Per_Batch]*IFERROR(INDEX(PP_Grid[#Data],M_BOM[PPGridRow],87),0))</f>
        <v/>
      </c>
      <c r="CJ86">
        <f>SUMPRODUCT((M_BOM[RM_Code]=$A86)*M_BOM[RM_Qty_Per_Batch]*IFERROR(INDEX(PP_Grid[#Data],M_BOM[PPGridRow],88),0))</f>
        <v/>
      </c>
      <c r="CK86">
        <f>SUMPRODUCT((M_BOM[RM_Code]=$A86)*M_BOM[RM_Qty_Per_Batch]*IFERROR(INDEX(PP_Grid[#Data],M_BOM[PPGridRow],89),0))</f>
        <v/>
      </c>
      <c r="CL86">
        <f>SUMPRODUCT((M_BOM[RM_Code]=$A86)*M_BOM[RM_Qty_Per_Batch]*IFERROR(INDEX(PP_Grid[#Data],M_BOM[PPGridRow],90),0))</f>
        <v/>
      </c>
      <c r="CM86">
        <f>SUMPRODUCT((M_BOM[RM_Code]=$A86)*M_BOM[RM_Qty_Per_Batch]*IFERROR(INDEX(PP_Grid[#Data],M_BOM[PPGridRow],91),0))</f>
        <v/>
      </c>
      <c r="CN86">
        <f>SUMPRODUCT((M_BOM[RM_Code]=$A86)*M_BOM[RM_Qty_Per_Batch]*IFERROR(INDEX(PP_Grid[#Data],M_BOM[PPGridRow],92),0))</f>
        <v/>
      </c>
      <c r="CO86">
        <f>SUMPRODUCT((M_BOM[RM_Code]=$A86)*M_BOM[RM_Qty_Per_Batch]*IFERROR(INDEX(PP_Grid[#Data],M_BOM[PPGridRow],93),0))</f>
        <v/>
      </c>
      <c r="CP86">
        <f>SUMPRODUCT((M_BOM[RM_Code]=$A86)*M_BOM[RM_Qty_Per_Batch]*IFERROR(INDEX(PP_Grid[#Data],M_BOM[PPGridRow],94),0))</f>
        <v/>
      </c>
      <c r="CQ86">
        <f>SUMPRODUCT((M_BOM[RM_Code]=$A86)*M_BOM[RM_Qty_Per_Batch]*IFERROR(INDEX(PP_Grid[#Data],M_BOM[PPGridRow],95),0))</f>
        <v/>
      </c>
      <c r="CR86">
        <f>SUMPRODUCT((M_BOM[RM_Code]=$A86)*M_BOM[RM_Qty_Per_Batch]*IFERROR(INDEX(PP_Grid[#Data],M_BOM[PPGridRow],96),0))</f>
        <v/>
      </c>
      <c r="CS86">
        <f>SUMPRODUCT((M_BOM[RM_Code]=$A86)*M_BOM[RM_Qty_Per_Batch]*IFERROR(INDEX(PP_Grid[#Data],M_BOM[PPGridRow],97),0))</f>
        <v/>
      </c>
      <c r="CT86">
        <f>SUMPRODUCT((M_BOM[RM_Code]=$A86)*M_BOM[RM_Qty_Per_Batch]*IFERROR(INDEX(PP_Grid[#Data],M_BOM[PPGridRow],98),0))</f>
        <v/>
      </c>
      <c r="CU86">
        <f>SUMPRODUCT((M_BOM[RM_Code]=$A86)*M_BOM[RM_Qty_Per_Batch]*IFERROR(INDEX(PP_Grid[#Data],M_BOM[PPGridRow],99),0))</f>
        <v/>
      </c>
      <c r="CV86">
        <f>SUMPRODUCT((M_BOM[RM_Code]=$A86)*M_BOM[RM_Qty_Per_Batch]*IFERROR(INDEX(PP_Grid[#Data],M_BOM[PPGridRow],100),0))</f>
        <v/>
      </c>
      <c r="CW86">
        <f>SUMPRODUCT((M_BOM[RM_Code]=$A86)*M_BOM[RM_Qty_Per_Batch]*IFERROR(INDEX(PP_Grid[#Data],M_BOM[PPGridRow],101),0))</f>
        <v/>
      </c>
      <c r="CX86">
        <f>SUMPRODUCT((M_BOM[RM_Code]=$A86)*M_BOM[RM_Qty_Per_Batch]*IFERROR(INDEX(PP_Grid[#Data],M_BOM[PPGridRow],102),0))</f>
        <v/>
      </c>
      <c r="CY86">
        <f>SUMPRODUCT((M_BOM[RM_Code]=$A86)*M_BOM[RM_Qty_Per_Batch]*IFERROR(INDEX(PP_Grid[#Data],M_BOM[PPGridRow],103),0))</f>
        <v/>
      </c>
      <c r="CZ86">
        <f>SUMPRODUCT((M_BOM[RM_Code]=$A86)*M_BOM[RM_Qty_Per_Batch]*IFERROR(INDEX(PP_Grid[#Data],M_BOM[PPGridRow],104),0))</f>
        <v/>
      </c>
      <c r="DA86">
        <f>SUMPRODUCT((M_BOM[RM_Code]=$A86)*M_BOM[RM_Qty_Per_Batch]*IFERROR(INDEX(PP_Grid[#Data],M_BOM[PPGridRow],105),0))</f>
        <v/>
      </c>
    </row>
    <row r="87">
      <c r="A87" t="inlineStr">
        <is>
          <t>CHEM-1180</t>
        </is>
      </c>
      <c r="B87">
        <f>SUMPRODUCT((M_BOM[RM_Code]=$A87)*M_BOM[RM_Qty_Per_Batch]*IFERROR(INDEX(PP_Grid[#Data],M_BOM[PPGridRow],2),0))</f>
        <v/>
      </c>
      <c r="C87">
        <f>SUMPRODUCT((M_BOM[RM_Code]=$A87)*M_BOM[RM_Qty_Per_Batch]*IFERROR(INDEX(PP_Grid[#Data],M_BOM[PPGridRow],3),0))</f>
        <v/>
      </c>
      <c r="D87">
        <f>SUMPRODUCT((M_BOM[RM_Code]=$A87)*M_BOM[RM_Qty_Per_Batch]*IFERROR(INDEX(PP_Grid[#Data],M_BOM[PPGridRow],4),0))</f>
        <v/>
      </c>
      <c r="E87">
        <f>SUMPRODUCT((M_BOM[RM_Code]=$A87)*M_BOM[RM_Qty_Per_Batch]*IFERROR(INDEX(PP_Grid[#Data],M_BOM[PPGridRow],5),0))</f>
        <v/>
      </c>
      <c r="F87">
        <f>SUMPRODUCT((M_BOM[RM_Code]=$A87)*M_BOM[RM_Qty_Per_Batch]*IFERROR(INDEX(PP_Grid[#Data],M_BOM[PPGridRow],6),0))</f>
        <v/>
      </c>
      <c r="G87">
        <f>SUMPRODUCT((M_BOM[RM_Code]=$A87)*M_BOM[RM_Qty_Per_Batch]*IFERROR(INDEX(PP_Grid[#Data],M_BOM[PPGridRow],7),0))</f>
        <v/>
      </c>
      <c r="H87">
        <f>SUMPRODUCT((M_BOM[RM_Code]=$A87)*M_BOM[RM_Qty_Per_Batch]*IFERROR(INDEX(PP_Grid[#Data],M_BOM[PPGridRow],8),0))</f>
        <v/>
      </c>
      <c r="I87">
        <f>SUMPRODUCT((M_BOM[RM_Code]=$A87)*M_BOM[RM_Qty_Per_Batch]*IFERROR(INDEX(PP_Grid[#Data],M_BOM[PPGridRow],9),0))</f>
        <v/>
      </c>
      <c r="J87">
        <f>SUMPRODUCT((M_BOM[RM_Code]=$A87)*M_BOM[RM_Qty_Per_Batch]*IFERROR(INDEX(PP_Grid[#Data],M_BOM[PPGridRow],10),0))</f>
        <v/>
      </c>
      <c r="K87">
        <f>SUMPRODUCT((M_BOM[RM_Code]=$A87)*M_BOM[RM_Qty_Per_Batch]*IFERROR(INDEX(PP_Grid[#Data],M_BOM[PPGridRow],11),0))</f>
        <v/>
      </c>
      <c r="L87">
        <f>SUMPRODUCT((M_BOM[RM_Code]=$A87)*M_BOM[RM_Qty_Per_Batch]*IFERROR(INDEX(PP_Grid[#Data],M_BOM[PPGridRow],12),0))</f>
        <v/>
      </c>
      <c r="M87">
        <f>SUMPRODUCT((M_BOM[RM_Code]=$A87)*M_BOM[RM_Qty_Per_Batch]*IFERROR(INDEX(PP_Grid[#Data],M_BOM[PPGridRow],13),0))</f>
        <v/>
      </c>
      <c r="N87">
        <f>SUMPRODUCT((M_BOM[RM_Code]=$A87)*M_BOM[RM_Qty_Per_Batch]*IFERROR(INDEX(PP_Grid[#Data],M_BOM[PPGridRow],14),0))</f>
        <v/>
      </c>
      <c r="O87">
        <f>SUMPRODUCT((M_BOM[RM_Code]=$A87)*M_BOM[RM_Qty_Per_Batch]*IFERROR(INDEX(PP_Grid[#Data],M_BOM[PPGridRow],15),0))</f>
        <v/>
      </c>
      <c r="P87">
        <f>SUMPRODUCT((M_BOM[RM_Code]=$A87)*M_BOM[RM_Qty_Per_Batch]*IFERROR(INDEX(PP_Grid[#Data],M_BOM[PPGridRow],16),0))</f>
        <v/>
      </c>
      <c r="Q87">
        <f>SUMPRODUCT((M_BOM[RM_Code]=$A87)*M_BOM[RM_Qty_Per_Batch]*IFERROR(INDEX(PP_Grid[#Data],M_BOM[PPGridRow],17),0))</f>
        <v/>
      </c>
      <c r="R87">
        <f>SUMPRODUCT((M_BOM[RM_Code]=$A87)*M_BOM[RM_Qty_Per_Batch]*IFERROR(INDEX(PP_Grid[#Data],M_BOM[PPGridRow],18),0))</f>
        <v/>
      </c>
      <c r="S87">
        <f>SUMPRODUCT((M_BOM[RM_Code]=$A87)*M_BOM[RM_Qty_Per_Batch]*IFERROR(INDEX(PP_Grid[#Data],M_BOM[PPGridRow],19),0))</f>
        <v/>
      </c>
      <c r="T87">
        <f>SUMPRODUCT((M_BOM[RM_Code]=$A87)*M_BOM[RM_Qty_Per_Batch]*IFERROR(INDEX(PP_Grid[#Data],M_BOM[PPGridRow],20),0))</f>
        <v/>
      </c>
      <c r="U87">
        <f>SUMPRODUCT((M_BOM[RM_Code]=$A87)*M_BOM[RM_Qty_Per_Batch]*IFERROR(INDEX(PP_Grid[#Data],M_BOM[PPGridRow],21),0))</f>
        <v/>
      </c>
      <c r="V87">
        <f>SUMPRODUCT((M_BOM[RM_Code]=$A87)*M_BOM[RM_Qty_Per_Batch]*IFERROR(INDEX(PP_Grid[#Data],M_BOM[PPGridRow],22),0))</f>
        <v/>
      </c>
      <c r="W87">
        <f>SUMPRODUCT((M_BOM[RM_Code]=$A87)*M_BOM[RM_Qty_Per_Batch]*IFERROR(INDEX(PP_Grid[#Data],M_BOM[PPGridRow],23),0))</f>
        <v/>
      </c>
      <c r="X87">
        <f>SUMPRODUCT((M_BOM[RM_Code]=$A87)*M_BOM[RM_Qty_Per_Batch]*IFERROR(INDEX(PP_Grid[#Data],M_BOM[PPGridRow],24),0))</f>
        <v/>
      </c>
      <c r="Y87">
        <f>SUMPRODUCT((M_BOM[RM_Code]=$A87)*M_BOM[RM_Qty_Per_Batch]*IFERROR(INDEX(PP_Grid[#Data],M_BOM[PPGridRow],25),0))</f>
        <v/>
      </c>
      <c r="Z87">
        <f>SUMPRODUCT((M_BOM[RM_Code]=$A87)*M_BOM[RM_Qty_Per_Batch]*IFERROR(INDEX(PP_Grid[#Data],M_BOM[PPGridRow],26),0))</f>
        <v/>
      </c>
      <c r="AA87">
        <f>SUMPRODUCT((M_BOM[RM_Code]=$A87)*M_BOM[RM_Qty_Per_Batch]*IFERROR(INDEX(PP_Grid[#Data],M_BOM[PPGridRow],27),0))</f>
        <v/>
      </c>
      <c r="AB87">
        <f>SUMPRODUCT((M_BOM[RM_Code]=$A87)*M_BOM[RM_Qty_Per_Batch]*IFERROR(INDEX(PP_Grid[#Data],M_BOM[PPGridRow],28),0))</f>
        <v/>
      </c>
      <c r="AC87">
        <f>SUMPRODUCT((M_BOM[RM_Code]=$A87)*M_BOM[RM_Qty_Per_Batch]*IFERROR(INDEX(PP_Grid[#Data],M_BOM[PPGridRow],29),0))</f>
        <v/>
      </c>
      <c r="AD87">
        <f>SUMPRODUCT((M_BOM[RM_Code]=$A87)*M_BOM[RM_Qty_Per_Batch]*IFERROR(INDEX(PP_Grid[#Data],M_BOM[PPGridRow],30),0))</f>
        <v/>
      </c>
      <c r="AE87">
        <f>SUMPRODUCT((M_BOM[RM_Code]=$A87)*M_BOM[RM_Qty_Per_Batch]*IFERROR(INDEX(PP_Grid[#Data],M_BOM[PPGridRow],31),0))</f>
        <v/>
      </c>
      <c r="AF87">
        <f>SUMPRODUCT((M_BOM[RM_Code]=$A87)*M_BOM[RM_Qty_Per_Batch]*IFERROR(INDEX(PP_Grid[#Data],M_BOM[PPGridRow],32),0))</f>
        <v/>
      </c>
      <c r="AG87">
        <f>SUMPRODUCT((M_BOM[RM_Code]=$A87)*M_BOM[RM_Qty_Per_Batch]*IFERROR(INDEX(PP_Grid[#Data],M_BOM[PPGridRow],33),0))</f>
        <v/>
      </c>
      <c r="AH87">
        <f>SUMPRODUCT((M_BOM[RM_Code]=$A87)*M_BOM[RM_Qty_Per_Batch]*IFERROR(INDEX(PP_Grid[#Data],M_BOM[PPGridRow],34),0))</f>
        <v/>
      </c>
      <c r="AI87">
        <f>SUMPRODUCT((M_BOM[RM_Code]=$A87)*M_BOM[RM_Qty_Per_Batch]*IFERROR(INDEX(PP_Grid[#Data],M_BOM[PPGridRow],35),0))</f>
        <v/>
      </c>
      <c r="AJ87">
        <f>SUMPRODUCT((M_BOM[RM_Code]=$A87)*M_BOM[RM_Qty_Per_Batch]*IFERROR(INDEX(PP_Grid[#Data],M_BOM[PPGridRow],36),0))</f>
        <v/>
      </c>
      <c r="AK87">
        <f>SUMPRODUCT((M_BOM[RM_Code]=$A87)*M_BOM[RM_Qty_Per_Batch]*IFERROR(INDEX(PP_Grid[#Data],M_BOM[PPGridRow],37),0))</f>
        <v/>
      </c>
      <c r="AL87">
        <f>SUMPRODUCT((M_BOM[RM_Code]=$A87)*M_BOM[RM_Qty_Per_Batch]*IFERROR(INDEX(PP_Grid[#Data],M_BOM[PPGridRow],38),0))</f>
        <v/>
      </c>
      <c r="AM87">
        <f>SUMPRODUCT((M_BOM[RM_Code]=$A87)*M_BOM[RM_Qty_Per_Batch]*IFERROR(INDEX(PP_Grid[#Data],M_BOM[PPGridRow],39),0))</f>
        <v/>
      </c>
      <c r="AN87">
        <f>SUMPRODUCT((M_BOM[RM_Code]=$A87)*M_BOM[RM_Qty_Per_Batch]*IFERROR(INDEX(PP_Grid[#Data],M_BOM[PPGridRow],40),0))</f>
        <v/>
      </c>
      <c r="AO87">
        <f>SUMPRODUCT((M_BOM[RM_Code]=$A87)*M_BOM[RM_Qty_Per_Batch]*IFERROR(INDEX(PP_Grid[#Data],M_BOM[PPGridRow],41),0))</f>
        <v/>
      </c>
      <c r="AP87">
        <f>SUMPRODUCT((M_BOM[RM_Code]=$A87)*M_BOM[RM_Qty_Per_Batch]*IFERROR(INDEX(PP_Grid[#Data],M_BOM[PPGridRow],42),0))</f>
        <v/>
      </c>
      <c r="AQ87">
        <f>SUMPRODUCT((M_BOM[RM_Code]=$A87)*M_BOM[RM_Qty_Per_Batch]*IFERROR(INDEX(PP_Grid[#Data],M_BOM[PPGridRow],43),0))</f>
        <v/>
      </c>
      <c r="AR87">
        <f>SUMPRODUCT((M_BOM[RM_Code]=$A87)*M_BOM[RM_Qty_Per_Batch]*IFERROR(INDEX(PP_Grid[#Data],M_BOM[PPGridRow],44),0))</f>
        <v/>
      </c>
      <c r="AS87">
        <f>SUMPRODUCT((M_BOM[RM_Code]=$A87)*M_BOM[RM_Qty_Per_Batch]*IFERROR(INDEX(PP_Grid[#Data],M_BOM[PPGridRow],45),0))</f>
        <v/>
      </c>
      <c r="AT87">
        <f>SUMPRODUCT((M_BOM[RM_Code]=$A87)*M_BOM[RM_Qty_Per_Batch]*IFERROR(INDEX(PP_Grid[#Data],M_BOM[PPGridRow],46),0))</f>
        <v/>
      </c>
      <c r="AU87">
        <f>SUMPRODUCT((M_BOM[RM_Code]=$A87)*M_BOM[RM_Qty_Per_Batch]*IFERROR(INDEX(PP_Grid[#Data],M_BOM[PPGridRow],47),0))</f>
        <v/>
      </c>
      <c r="AV87">
        <f>SUMPRODUCT((M_BOM[RM_Code]=$A87)*M_BOM[RM_Qty_Per_Batch]*IFERROR(INDEX(PP_Grid[#Data],M_BOM[PPGridRow],48),0))</f>
        <v/>
      </c>
      <c r="AW87">
        <f>SUMPRODUCT((M_BOM[RM_Code]=$A87)*M_BOM[RM_Qty_Per_Batch]*IFERROR(INDEX(PP_Grid[#Data],M_BOM[PPGridRow],49),0))</f>
        <v/>
      </c>
      <c r="AX87">
        <f>SUMPRODUCT((M_BOM[RM_Code]=$A87)*M_BOM[RM_Qty_Per_Batch]*IFERROR(INDEX(PP_Grid[#Data],M_BOM[PPGridRow],50),0))</f>
        <v/>
      </c>
      <c r="AY87">
        <f>SUMPRODUCT((M_BOM[RM_Code]=$A87)*M_BOM[RM_Qty_Per_Batch]*IFERROR(INDEX(PP_Grid[#Data],M_BOM[PPGridRow],51),0))</f>
        <v/>
      </c>
      <c r="AZ87">
        <f>SUMPRODUCT((M_BOM[RM_Code]=$A87)*M_BOM[RM_Qty_Per_Batch]*IFERROR(INDEX(PP_Grid[#Data],M_BOM[PPGridRow],52),0))</f>
        <v/>
      </c>
      <c r="BA87">
        <f>SUMPRODUCT((M_BOM[RM_Code]=$A87)*M_BOM[RM_Qty_Per_Batch]*IFERROR(INDEX(PP_Grid[#Data],M_BOM[PPGridRow],53),0))</f>
        <v/>
      </c>
      <c r="BB87">
        <f>SUMPRODUCT((M_BOM[RM_Code]=$A87)*M_BOM[RM_Qty_Per_Batch]*IFERROR(INDEX(PP_Grid[#Data],M_BOM[PPGridRow],54),0))</f>
        <v/>
      </c>
      <c r="BC87">
        <f>SUMPRODUCT((M_BOM[RM_Code]=$A87)*M_BOM[RM_Qty_Per_Batch]*IFERROR(INDEX(PP_Grid[#Data],M_BOM[PPGridRow],55),0))</f>
        <v/>
      </c>
      <c r="BD87">
        <f>SUMPRODUCT((M_BOM[RM_Code]=$A87)*M_BOM[RM_Qty_Per_Batch]*IFERROR(INDEX(PP_Grid[#Data],M_BOM[PPGridRow],56),0))</f>
        <v/>
      </c>
      <c r="BE87">
        <f>SUMPRODUCT((M_BOM[RM_Code]=$A87)*M_BOM[RM_Qty_Per_Batch]*IFERROR(INDEX(PP_Grid[#Data],M_BOM[PPGridRow],57),0))</f>
        <v/>
      </c>
      <c r="BF87">
        <f>SUMPRODUCT((M_BOM[RM_Code]=$A87)*M_BOM[RM_Qty_Per_Batch]*IFERROR(INDEX(PP_Grid[#Data],M_BOM[PPGridRow],58),0))</f>
        <v/>
      </c>
      <c r="BG87">
        <f>SUMPRODUCT((M_BOM[RM_Code]=$A87)*M_BOM[RM_Qty_Per_Batch]*IFERROR(INDEX(PP_Grid[#Data],M_BOM[PPGridRow],59),0))</f>
        <v/>
      </c>
      <c r="BH87">
        <f>SUMPRODUCT((M_BOM[RM_Code]=$A87)*M_BOM[RM_Qty_Per_Batch]*IFERROR(INDEX(PP_Grid[#Data],M_BOM[PPGridRow],60),0))</f>
        <v/>
      </c>
      <c r="BI87">
        <f>SUMPRODUCT((M_BOM[RM_Code]=$A87)*M_BOM[RM_Qty_Per_Batch]*IFERROR(INDEX(PP_Grid[#Data],M_BOM[PPGridRow],61),0))</f>
        <v/>
      </c>
      <c r="BJ87">
        <f>SUMPRODUCT((M_BOM[RM_Code]=$A87)*M_BOM[RM_Qty_Per_Batch]*IFERROR(INDEX(PP_Grid[#Data],M_BOM[PPGridRow],62),0))</f>
        <v/>
      </c>
      <c r="BK87">
        <f>SUMPRODUCT((M_BOM[RM_Code]=$A87)*M_BOM[RM_Qty_Per_Batch]*IFERROR(INDEX(PP_Grid[#Data],M_BOM[PPGridRow],63),0))</f>
        <v/>
      </c>
      <c r="BL87">
        <f>SUMPRODUCT((M_BOM[RM_Code]=$A87)*M_BOM[RM_Qty_Per_Batch]*IFERROR(INDEX(PP_Grid[#Data],M_BOM[PPGridRow],64),0))</f>
        <v/>
      </c>
      <c r="BM87">
        <f>SUMPRODUCT((M_BOM[RM_Code]=$A87)*M_BOM[RM_Qty_Per_Batch]*IFERROR(INDEX(PP_Grid[#Data],M_BOM[PPGridRow],65),0))</f>
        <v/>
      </c>
      <c r="BN87">
        <f>SUMPRODUCT((M_BOM[RM_Code]=$A87)*M_BOM[RM_Qty_Per_Batch]*IFERROR(INDEX(PP_Grid[#Data],M_BOM[PPGridRow],66),0))</f>
        <v/>
      </c>
      <c r="BO87">
        <f>SUMPRODUCT((M_BOM[RM_Code]=$A87)*M_BOM[RM_Qty_Per_Batch]*IFERROR(INDEX(PP_Grid[#Data],M_BOM[PPGridRow],67),0))</f>
        <v/>
      </c>
      <c r="BP87">
        <f>SUMPRODUCT((M_BOM[RM_Code]=$A87)*M_BOM[RM_Qty_Per_Batch]*IFERROR(INDEX(PP_Grid[#Data],M_BOM[PPGridRow],68),0))</f>
        <v/>
      </c>
      <c r="BQ87">
        <f>SUMPRODUCT((M_BOM[RM_Code]=$A87)*M_BOM[RM_Qty_Per_Batch]*IFERROR(INDEX(PP_Grid[#Data],M_BOM[PPGridRow],69),0))</f>
        <v/>
      </c>
      <c r="BR87">
        <f>SUMPRODUCT((M_BOM[RM_Code]=$A87)*M_BOM[RM_Qty_Per_Batch]*IFERROR(INDEX(PP_Grid[#Data],M_BOM[PPGridRow],70),0))</f>
        <v/>
      </c>
      <c r="BS87">
        <f>SUMPRODUCT((M_BOM[RM_Code]=$A87)*M_BOM[RM_Qty_Per_Batch]*IFERROR(INDEX(PP_Grid[#Data],M_BOM[PPGridRow],71),0))</f>
        <v/>
      </c>
      <c r="BT87">
        <f>SUMPRODUCT((M_BOM[RM_Code]=$A87)*M_BOM[RM_Qty_Per_Batch]*IFERROR(INDEX(PP_Grid[#Data],M_BOM[PPGridRow],72),0))</f>
        <v/>
      </c>
      <c r="BU87">
        <f>SUMPRODUCT((M_BOM[RM_Code]=$A87)*M_BOM[RM_Qty_Per_Batch]*IFERROR(INDEX(PP_Grid[#Data],M_BOM[PPGridRow],73),0))</f>
        <v/>
      </c>
      <c r="BV87">
        <f>SUMPRODUCT((M_BOM[RM_Code]=$A87)*M_BOM[RM_Qty_Per_Batch]*IFERROR(INDEX(PP_Grid[#Data],M_BOM[PPGridRow],74),0))</f>
        <v/>
      </c>
      <c r="BW87">
        <f>SUMPRODUCT((M_BOM[RM_Code]=$A87)*M_BOM[RM_Qty_Per_Batch]*IFERROR(INDEX(PP_Grid[#Data],M_BOM[PPGridRow],75),0))</f>
        <v/>
      </c>
      <c r="BX87">
        <f>SUMPRODUCT((M_BOM[RM_Code]=$A87)*M_BOM[RM_Qty_Per_Batch]*IFERROR(INDEX(PP_Grid[#Data],M_BOM[PPGridRow],76),0))</f>
        <v/>
      </c>
      <c r="BY87">
        <f>SUMPRODUCT((M_BOM[RM_Code]=$A87)*M_BOM[RM_Qty_Per_Batch]*IFERROR(INDEX(PP_Grid[#Data],M_BOM[PPGridRow],77),0))</f>
        <v/>
      </c>
      <c r="BZ87">
        <f>SUMPRODUCT((M_BOM[RM_Code]=$A87)*M_BOM[RM_Qty_Per_Batch]*IFERROR(INDEX(PP_Grid[#Data],M_BOM[PPGridRow],78),0))</f>
        <v/>
      </c>
      <c r="CA87">
        <f>SUMPRODUCT((M_BOM[RM_Code]=$A87)*M_BOM[RM_Qty_Per_Batch]*IFERROR(INDEX(PP_Grid[#Data],M_BOM[PPGridRow],79),0))</f>
        <v/>
      </c>
      <c r="CB87">
        <f>SUMPRODUCT((M_BOM[RM_Code]=$A87)*M_BOM[RM_Qty_Per_Batch]*IFERROR(INDEX(PP_Grid[#Data],M_BOM[PPGridRow],80),0))</f>
        <v/>
      </c>
      <c r="CC87">
        <f>SUMPRODUCT((M_BOM[RM_Code]=$A87)*M_BOM[RM_Qty_Per_Batch]*IFERROR(INDEX(PP_Grid[#Data],M_BOM[PPGridRow],81),0))</f>
        <v/>
      </c>
      <c r="CD87">
        <f>SUMPRODUCT((M_BOM[RM_Code]=$A87)*M_BOM[RM_Qty_Per_Batch]*IFERROR(INDEX(PP_Grid[#Data],M_BOM[PPGridRow],82),0))</f>
        <v/>
      </c>
      <c r="CE87">
        <f>SUMPRODUCT((M_BOM[RM_Code]=$A87)*M_BOM[RM_Qty_Per_Batch]*IFERROR(INDEX(PP_Grid[#Data],M_BOM[PPGridRow],83),0))</f>
        <v/>
      </c>
      <c r="CF87">
        <f>SUMPRODUCT((M_BOM[RM_Code]=$A87)*M_BOM[RM_Qty_Per_Batch]*IFERROR(INDEX(PP_Grid[#Data],M_BOM[PPGridRow],84),0))</f>
        <v/>
      </c>
      <c r="CG87">
        <f>SUMPRODUCT((M_BOM[RM_Code]=$A87)*M_BOM[RM_Qty_Per_Batch]*IFERROR(INDEX(PP_Grid[#Data],M_BOM[PPGridRow],85),0))</f>
        <v/>
      </c>
      <c r="CH87">
        <f>SUMPRODUCT((M_BOM[RM_Code]=$A87)*M_BOM[RM_Qty_Per_Batch]*IFERROR(INDEX(PP_Grid[#Data],M_BOM[PPGridRow],86),0))</f>
        <v/>
      </c>
      <c r="CI87">
        <f>SUMPRODUCT((M_BOM[RM_Code]=$A87)*M_BOM[RM_Qty_Per_Batch]*IFERROR(INDEX(PP_Grid[#Data],M_BOM[PPGridRow],87),0))</f>
        <v/>
      </c>
      <c r="CJ87">
        <f>SUMPRODUCT((M_BOM[RM_Code]=$A87)*M_BOM[RM_Qty_Per_Batch]*IFERROR(INDEX(PP_Grid[#Data],M_BOM[PPGridRow],88),0))</f>
        <v/>
      </c>
      <c r="CK87">
        <f>SUMPRODUCT((M_BOM[RM_Code]=$A87)*M_BOM[RM_Qty_Per_Batch]*IFERROR(INDEX(PP_Grid[#Data],M_BOM[PPGridRow],89),0))</f>
        <v/>
      </c>
      <c r="CL87">
        <f>SUMPRODUCT((M_BOM[RM_Code]=$A87)*M_BOM[RM_Qty_Per_Batch]*IFERROR(INDEX(PP_Grid[#Data],M_BOM[PPGridRow],90),0))</f>
        <v/>
      </c>
      <c r="CM87">
        <f>SUMPRODUCT((M_BOM[RM_Code]=$A87)*M_BOM[RM_Qty_Per_Batch]*IFERROR(INDEX(PP_Grid[#Data],M_BOM[PPGridRow],91),0))</f>
        <v/>
      </c>
      <c r="CN87">
        <f>SUMPRODUCT((M_BOM[RM_Code]=$A87)*M_BOM[RM_Qty_Per_Batch]*IFERROR(INDEX(PP_Grid[#Data],M_BOM[PPGridRow],92),0))</f>
        <v/>
      </c>
      <c r="CO87">
        <f>SUMPRODUCT((M_BOM[RM_Code]=$A87)*M_BOM[RM_Qty_Per_Batch]*IFERROR(INDEX(PP_Grid[#Data],M_BOM[PPGridRow],93),0))</f>
        <v/>
      </c>
      <c r="CP87">
        <f>SUMPRODUCT((M_BOM[RM_Code]=$A87)*M_BOM[RM_Qty_Per_Batch]*IFERROR(INDEX(PP_Grid[#Data],M_BOM[PPGridRow],94),0))</f>
        <v/>
      </c>
      <c r="CQ87">
        <f>SUMPRODUCT((M_BOM[RM_Code]=$A87)*M_BOM[RM_Qty_Per_Batch]*IFERROR(INDEX(PP_Grid[#Data],M_BOM[PPGridRow],95),0))</f>
        <v/>
      </c>
      <c r="CR87">
        <f>SUMPRODUCT((M_BOM[RM_Code]=$A87)*M_BOM[RM_Qty_Per_Batch]*IFERROR(INDEX(PP_Grid[#Data],M_BOM[PPGridRow],96),0))</f>
        <v/>
      </c>
      <c r="CS87">
        <f>SUMPRODUCT((M_BOM[RM_Code]=$A87)*M_BOM[RM_Qty_Per_Batch]*IFERROR(INDEX(PP_Grid[#Data],M_BOM[PPGridRow],97),0))</f>
        <v/>
      </c>
      <c r="CT87">
        <f>SUMPRODUCT((M_BOM[RM_Code]=$A87)*M_BOM[RM_Qty_Per_Batch]*IFERROR(INDEX(PP_Grid[#Data],M_BOM[PPGridRow],98),0))</f>
        <v/>
      </c>
      <c r="CU87">
        <f>SUMPRODUCT((M_BOM[RM_Code]=$A87)*M_BOM[RM_Qty_Per_Batch]*IFERROR(INDEX(PP_Grid[#Data],M_BOM[PPGridRow],99),0))</f>
        <v/>
      </c>
      <c r="CV87">
        <f>SUMPRODUCT((M_BOM[RM_Code]=$A87)*M_BOM[RM_Qty_Per_Batch]*IFERROR(INDEX(PP_Grid[#Data],M_BOM[PPGridRow],100),0))</f>
        <v/>
      </c>
      <c r="CW87">
        <f>SUMPRODUCT((M_BOM[RM_Code]=$A87)*M_BOM[RM_Qty_Per_Batch]*IFERROR(INDEX(PP_Grid[#Data],M_BOM[PPGridRow],101),0))</f>
        <v/>
      </c>
      <c r="CX87">
        <f>SUMPRODUCT((M_BOM[RM_Code]=$A87)*M_BOM[RM_Qty_Per_Batch]*IFERROR(INDEX(PP_Grid[#Data],M_BOM[PPGridRow],102),0))</f>
        <v/>
      </c>
      <c r="CY87">
        <f>SUMPRODUCT((M_BOM[RM_Code]=$A87)*M_BOM[RM_Qty_Per_Batch]*IFERROR(INDEX(PP_Grid[#Data],M_BOM[PPGridRow],103),0))</f>
        <v/>
      </c>
      <c r="CZ87">
        <f>SUMPRODUCT((M_BOM[RM_Code]=$A87)*M_BOM[RM_Qty_Per_Batch]*IFERROR(INDEX(PP_Grid[#Data],M_BOM[PPGridRow],104),0))</f>
        <v/>
      </c>
      <c r="DA87">
        <f>SUMPRODUCT((M_BOM[RM_Code]=$A87)*M_BOM[RM_Qty_Per_Batch]*IFERROR(INDEX(PP_Grid[#Data],M_BOM[PPGridRow],105),0))</f>
        <v/>
      </c>
    </row>
    <row r="88">
      <c r="A88" t="inlineStr">
        <is>
          <t>TSZ-938</t>
        </is>
      </c>
      <c r="B88">
        <f>SUMPRODUCT((M_BOM[RM_Code]=$A88)*M_BOM[RM_Qty_Per_Batch]*IFERROR(INDEX(PP_Grid[#Data],M_BOM[PPGridRow],2),0))</f>
        <v/>
      </c>
      <c r="C88">
        <f>SUMPRODUCT((M_BOM[RM_Code]=$A88)*M_BOM[RM_Qty_Per_Batch]*IFERROR(INDEX(PP_Grid[#Data],M_BOM[PPGridRow],3),0))</f>
        <v/>
      </c>
      <c r="D88">
        <f>SUMPRODUCT((M_BOM[RM_Code]=$A88)*M_BOM[RM_Qty_Per_Batch]*IFERROR(INDEX(PP_Grid[#Data],M_BOM[PPGridRow],4),0))</f>
        <v/>
      </c>
      <c r="E88">
        <f>SUMPRODUCT((M_BOM[RM_Code]=$A88)*M_BOM[RM_Qty_Per_Batch]*IFERROR(INDEX(PP_Grid[#Data],M_BOM[PPGridRow],5),0))</f>
        <v/>
      </c>
      <c r="F88">
        <f>SUMPRODUCT((M_BOM[RM_Code]=$A88)*M_BOM[RM_Qty_Per_Batch]*IFERROR(INDEX(PP_Grid[#Data],M_BOM[PPGridRow],6),0))</f>
        <v/>
      </c>
      <c r="G88">
        <f>SUMPRODUCT((M_BOM[RM_Code]=$A88)*M_BOM[RM_Qty_Per_Batch]*IFERROR(INDEX(PP_Grid[#Data],M_BOM[PPGridRow],7),0))</f>
        <v/>
      </c>
      <c r="H88">
        <f>SUMPRODUCT((M_BOM[RM_Code]=$A88)*M_BOM[RM_Qty_Per_Batch]*IFERROR(INDEX(PP_Grid[#Data],M_BOM[PPGridRow],8),0))</f>
        <v/>
      </c>
      <c r="I88">
        <f>SUMPRODUCT((M_BOM[RM_Code]=$A88)*M_BOM[RM_Qty_Per_Batch]*IFERROR(INDEX(PP_Grid[#Data],M_BOM[PPGridRow],9),0))</f>
        <v/>
      </c>
      <c r="J88">
        <f>SUMPRODUCT((M_BOM[RM_Code]=$A88)*M_BOM[RM_Qty_Per_Batch]*IFERROR(INDEX(PP_Grid[#Data],M_BOM[PPGridRow],10),0))</f>
        <v/>
      </c>
      <c r="K88">
        <f>SUMPRODUCT((M_BOM[RM_Code]=$A88)*M_BOM[RM_Qty_Per_Batch]*IFERROR(INDEX(PP_Grid[#Data],M_BOM[PPGridRow],11),0))</f>
        <v/>
      </c>
      <c r="L88">
        <f>SUMPRODUCT((M_BOM[RM_Code]=$A88)*M_BOM[RM_Qty_Per_Batch]*IFERROR(INDEX(PP_Grid[#Data],M_BOM[PPGridRow],12),0))</f>
        <v/>
      </c>
      <c r="M88">
        <f>SUMPRODUCT((M_BOM[RM_Code]=$A88)*M_BOM[RM_Qty_Per_Batch]*IFERROR(INDEX(PP_Grid[#Data],M_BOM[PPGridRow],13),0))</f>
        <v/>
      </c>
      <c r="N88">
        <f>SUMPRODUCT((M_BOM[RM_Code]=$A88)*M_BOM[RM_Qty_Per_Batch]*IFERROR(INDEX(PP_Grid[#Data],M_BOM[PPGridRow],14),0))</f>
        <v/>
      </c>
      <c r="O88">
        <f>SUMPRODUCT((M_BOM[RM_Code]=$A88)*M_BOM[RM_Qty_Per_Batch]*IFERROR(INDEX(PP_Grid[#Data],M_BOM[PPGridRow],15),0))</f>
        <v/>
      </c>
      <c r="P88">
        <f>SUMPRODUCT((M_BOM[RM_Code]=$A88)*M_BOM[RM_Qty_Per_Batch]*IFERROR(INDEX(PP_Grid[#Data],M_BOM[PPGridRow],16),0))</f>
        <v/>
      </c>
      <c r="Q88">
        <f>SUMPRODUCT((M_BOM[RM_Code]=$A88)*M_BOM[RM_Qty_Per_Batch]*IFERROR(INDEX(PP_Grid[#Data],M_BOM[PPGridRow],17),0))</f>
        <v/>
      </c>
      <c r="R88">
        <f>SUMPRODUCT((M_BOM[RM_Code]=$A88)*M_BOM[RM_Qty_Per_Batch]*IFERROR(INDEX(PP_Grid[#Data],M_BOM[PPGridRow],18),0))</f>
        <v/>
      </c>
      <c r="S88">
        <f>SUMPRODUCT((M_BOM[RM_Code]=$A88)*M_BOM[RM_Qty_Per_Batch]*IFERROR(INDEX(PP_Grid[#Data],M_BOM[PPGridRow],19),0))</f>
        <v/>
      </c>
      <c r="T88">
        <f>SUMPRODUCT((M_BOM[RM_Code]=$A88)*M_BOM[RM_Qty_Per_Batch]*IFERROR(INDEX(PP_Grid[#Data],M_BOM[PPGridRow],20),0))</f>
        <v/>
      </c>
      <c r="U88">
        <f>SUMPRODUCT((M_BOM[RM_Code]=$A88)*M_BOM[RM_Qty_Per_Batch]*IFERROR(INDEX(PP_Grid[#Data],M_BOM[PPGridRow],21),0))</f>
        <v/>
      </c>
      <c r="V88">
        <f>SUMPRODUCT((M_BOM[RM_Code]=$A88)*M_BOM[RM_Qty_Per_Batch]*IFERROR(INDEX(PP_Grid[#Data],M_BOM[PPGridRow],22),0))</f>
        <v/>
      </c>
      <c r="W88">
        <f>SUMPRODUCT((M_BOM[RM_Code]=$A88)*M_BOM[RM_Qty_Per_Batch]*IFERROR(INDEX(PP_Grid[#Data],M_BOM[PPGridRow],23),0))</f>
        <v/>
      </c>
      <c r="X88">
        <f>SUMPRODUCT((M_BOM[RM_Code]=$A88)*M_BOM[RM_Qty_Per_Batch]*IFERROR(INDEX(PP_Grid[#Data],M_BOM[PPGridRow],24),0))</f>
        <v/>
      </c>
      <c r="Y88">
        <f>SUMPRODUCT((M_BOM[RM_Code]=$A88)*M_BOM[RM_Qty_Per_Batch]*IFERROR(INDEX(PP_Grid[#Data],M_BOM[PPGridRow],25),0))</f>
        <v/>
      </c>
      <c r="Z88">
        <f>SUMPRODUCT((M_BOM[RM_Code]=$A88)*M_BOM[RM_Qty_Per_Batch]*IFERROR(INDEX(PP_Grid[#Data],M_BOM[PPGridRow],26),0))</f>
        <v/>
      </c>
      <c r="AA88">
        <f>SUMPRODUCT((M_BOM[RM_Code]=$A88)*M_BOM[RM_Qty_Per_Batch]*IFERROR(INDEX(PP_Grid[#Data],M_BOM[PPGridRow],27),0))</f>
        <v/>
      </c>
      <c r="AB88">
        <f>SUMPRODUCT((M_BOM[RM_Code]=$A88)*M_BOM[RM_Qty_Per_Batch]*IFERROR(INDEX(PP_Grid[#Data],M_BOM[PPGridRow],28),0))</f>
        <v/>
      </c>
      <c r="AC88">
        <f>SUMPRODUCT((M_BOM[RM_Code]=$A88)*M_BOM[RM_Qty_Per_Batch]*IFERROR(INDEX(PP_Grid[#Data],M_BOM[PPGridRow],29),0))</f>
        <v/>
      </c>
      <c r="AD88">
        <f>SUMPRODUCT((M_BOM[RM_Code]=$A88)*M_BOM[RM_Qty_Per_Batch]*IFERROR(INDEX(PP_Grid[#Data],M_BOM[PPGridRow],30),0))</f>
        <v/>
      </c>
      <c r="AE88">
        <f>SUMPRODUCT((M_BOM[RM_Code]=$A88)*M_BOM[RM_Qty_Per_Batch]*IFERROR(INDEX(PP_Grid[#Data],M_BOM[PPGridRow],31),0))</f>
        <v/>
      </c>
      <c r="AF88">
        <f>SUMPRODUCT((M_BOM[RM_Code]=$A88)*M_BOM[RM_Qty_Per_Batch]*IFERROR(INDEX(PP_Grid[#Data],M_BOM[PPGridRow],32),0))</f>
        <v/>
      </c>
      <c r="AG88">
        <f>SUMPRODUCT((M_BOM[RM_Code]=$A88)*M_BOM[RM_Qty_Per_Batch]*IFERROR(INDEX(PP_Grid[#Data],M_BOM[PPGridRow],33),0))</f>
        <v/>
      </c>
      <c r="AH88">
        <f>SUMPRODUCT((M_BOM[RM_Code]=$A88)*M_BOM[RM_Qty_Per_Batch]*IFERROR(INDEX(PP_Grid[#Data],M_BOM[PPGridRow],34),0))</f>
        <v/>
      </c>
      <c r="AI88">
        <f>SUMPRODUCT((M_BOM[RM_Code]=$A88)*M_BOM[RM_Qty_Per_Batch]*IFERROR(INDEX(PP_Grid[#Data],M_BOM[PPGridRow],35),0))</f>
        <v/>
      </c>
      <c r="AJ88">
        <f>SUMPRODUCT((M_BOM[RM_Code]=$A88)*M_BOM[RM_Qty_Per_Batch]*IFERROR(INDEX(PP_Grid[#Data],M_BOM[PPGridRow],36),0))</f>
        <v/>
      </c>
      <c r="AK88">
        <f>SUMPRODUCT((M_BOM[RM_Code]=$A88)*M_BOM[RM_Qty_Per_Batch]*IFERROR(INDEX(PP_Grid[#Data],M_BOM[PPGridRow],37),0))</f>
        <v/>
      </c>
      <c r="AL88">
        <f>SUMPRODUCT((M_BOM[RM_Code]=$A88)*M_BOM[RM_Qty_Per_Batch]*IFERROR(INDEX(PP_Grid[#Data],M_BOM[PPGridRow],38),0))</f>
        <v/>
      </c>
      <c r="AM88">
        <f>SUMPRODUCT((M_BOM[RM_Code]=$A88)*M_BOM[RM_Qty_Per_Batch]*IFERROR(INDEX(PP_Grid[#Data],M_BOM[PPGridRow],39),0))</f>
        <v/>
      </c>
      <c r="AN88">
        <f>SUMPRODUCT((M_BOM[RM_Code]=$A88)*M_BOM[RM_Qty_Per_Batch]*IFERROR(INDEX(PP_Grid[#Data],M_BOM[PPGridRow],40),0))</f>
        <v/>
      </c>
      <c r="AO88">
        <f>SUMPRODUCT((M_BOM[RM_Code]=$A88)*M_BOM[RM_Qty_Per_Batch]*IFERROR(INDEX(PP_Grid[#Data],M_BOM[PPGridRow],41),0))</f>
        <v/>
      </c>
      <c r="AP88">
        <f>SUMPRODUCT((M_BOM[RM_Code]=$A88)*M_BOM[RM_Qty_Per_Batch]*IFERROR(INDEX(PP_Grid[#Data],M_BOM[PPGridRow],42),0))</f>
        <v/>
      </c>
      <c r="AQ88">
        <f>SUMPRODUCT((M_BOM[RM_Code]=$A88)*M_BOM[RM_Qty_Per_Batch]*IFERROR(INDEX(PP_Grid[#Data],M_BOM[PPGridRow],43),0))</f>
        <v/>
      </c>
      <c r="AR88">
        <f>SUMPRODUCT((M_BOM[RM_Code]=$A88)*M_BOM[RM_Qty_Per_Batch]*IFERROR(INDEX(PP_Grid[#Data],M_BOM[PPGridRow],44),0))</f>
        <v/>
      </c>
      <c r="AS88">
        <f>SUMPRODUCT((M_BOM[RM_Code]=$A88)*M_BOM[RM_Qty_Per_Batch]*IFERROR(INDEX(PP_Grid[#Data],M_BOM[PPGridRow],45),0))</f>
        <v/>
      </c>
      <c r="AT88">
        <f>SUMPRODUCT((M_BOM[RM_Code]=$A88)*M_BOM[RM_Qty_Per_Batch]*IFERROR(INDEX(PP_Grid[#Data],M_BOM[PPGridRow],46),0))</f>
        <v/>
      </c>
      <c r="AU88">
        <f>SUMPRODUCT((M_BOM[RM_Code]=$A88)*M_BOM[RM_Qty_Per_Batch]*IFERROR(INDEX(PP_Grid[#Data],M_BOM[PPGridRow],47),0))</f>
        <v/>
      </c>
      <c r="AV88">
        <f>SUMPRODUCT((M_BOM[RM_Code]=$A88)*M_BOM[RM_Qty_Per_Batch]*IFERROR(INDEX(PP_Grid[#Data],M_BOM[PPGridRow],48),0))</f>
        <v/>
      </c>
      <c r="AW88">
        <f>SUMPRODUCT((M_BOM[RM_Code]=$A88)*M_BOM[RM_Qty_Per_Batch]*IFERROR(INDEX(PP_Grid[#Data],M_BOM[PPGridRow],49),0))</f>
        <v/>
      </c>
      <c r="AX88">
        <f>SUMPRODUCT((M_BOM[RM_Code]=$A88)*M_BOM[RM_Qty_Per_Batch]*IFERROR(INDEX(PP_Grid[#Data],M_BOM[PPGridRow],50),0))</f>
        <v/>
      </c>
      <c r="AY88">
        <f>SUMPRODUCT((M_BOM[RM_Code]=$A88)*M_BOM[RM_Qty_Per_Batch]*IFERROR(INDEX(PP_Grid[#Data],M_BOM[PPGridRow],51),0))</f>
        <v/>
      </c>
      <c r="AZ88">
        <f>SUMPRODUCT((M_BOM[RM_Code]=$A88)*M_BOM[RM_Qty_Per_Batch]*IFERROR(INDEX(PP_Grid[#Data],M_BOM[PPGridRow],52),0))</f>
        <v/>
      </c>
      <c r="BA88">
        <f>SUMPRODUCT((M_BOM[RM_Code]=$A88)*M_BOM[RM_Qty_Per_Batch]*IFERROR(INDEX(PP_Grid[#Data],M_BOM[PPGridRow],53),0))</f>
        <v/>
      </c>
      <c r="BB88">
        <f>SUMPRODUCT((M_BOM[RM_Code]=$A88)*M_BOM[RM_Qty_Per_Batch]*IFERROR(INDEX(PP_Grid[#Data],M_BOM[PPGridRow],54),0))</f>
        <v/>
      </c>
      <c r="BC88">
        <f>SUMPRODUCT((M_BOM[RM_Code]=$A88)*M_BOM[RM_Qty_Per_Batch]*IFERROR(INDEX(PP_Grid[#Data],M_BOM[PPGridRow],55),0))</f>
        <v/>
      </c>
      <c r="BD88">
        <f>SUMPRODUCT((M_BOM[RM_Code]=$A88)*M_BOM[RM_Qty_Per_Batch]*IFERROR(INDEX(PP_Grid[#Data],M_BOM[PPGridRow],56),0))</f>
        <v/>
      </c>
      <c r="BE88">
        <f>SUMPRODUCT((M_BOM[RM_Code]=$A88)*M_BOM[RM_Qty_Per_Batch]*IFERROR(INDEX(PP_Grid[#Data],M_BOM[PPGridRow],57),0))</f>
        <v/>
      </c>
      <c r="BF88">
        <f>SUMPRODUCT((M_BOM[RM_Code]=$A88)*M_BOM[RM_Qty_Per_Batch]*IFERROR(INDEX(PP_Grid[#Data],M_BOM[PPGridRow],58),0))</f>
        <v/>
      </c>
      <c r="BG88">
        <f>SUMPRODUCT((M_BOM[RM_Code]=$A88)*M_BOM[RM_Qty_Per_Batch]*IFERROR(INDEX(PP_Grid[#Data],M_BOM[PPGridRow],59),0))</f>
        <v/>
      </c>
      <c r="BH88">
        <f>SUMPRODUCT((M_BOM[RM_Code]=$A88)*M_BOM[RM_Qty_Per_Batch]*IFERROR(INDEX(PP_Grid[#Data],M_BOM[PPGridRow],60),0))</f>
        <v/>
      </c>
      <c r="BI88">
        <f>SUMPRODUCT((M_BOM[RM_Code]=$A88)*M_BOM[RM_Qty_Per_Batch]*IFERROR(INDEX(PP_Grid[#Data],M_BOM[PPGridRow],61),0))</f>
        <v/>
      </c>
      <c r="BJ88">
        <f>SUMPRODUCT((M_BOM[RM_Code]=$A88)*M_BOM[RM_Qty_Per_Batch]*IFERROR(INDEX(PP_Grid[#Data],M_BOM[PPGridRow],62),0))</f>
        <v/>
      </c>
      <c r="BK88">
        <f>SUMPRODUCT((M_BOM[RM_Code]=$A88)*M_BOM[RM_Qty_Per_Batch]*IFERROR(INDEX(PP_Grid[#Data],M_BOM[PPGridRow],63),0))</f>
        <v/>
      </c>
      <c r="BL88">
        <f>SUMPRODUCT((M_BOM[RM_Code]=$A88)*M_BOM[RM_Qty_Per_Batch]*IFERROR(INDEX(PP_Grid[#Data],M_BOM[PPGridRow],64),0))</f>
        <v/>
      </c>
      <c r="BM88">
        <f>SUMPRODUCT((M_BOM[RM_Code]=$A88)*M_BOM[RM_Qty_Per_Batch]*IFERROR(INDEX(PP_Grid[#Data],M_BOM[PPGridRow],65),0))</f>
        <v/>
      </c>
      <c r="BN88">
        <f>SUMPRODUCT((M_BOM[RM_Code]=$A88)*M_BOM[RM_Qty_Per_Batch]*IFERROR(INDEX(PP_Grid[#Data],M_BOM[PPGridRow],66),0))</f>
        <v/>
      </c>
      <c r="BO88">
        <f>SUMPRODUCT((M_BOM[RM_Code]=$A88)*M_BOM[RM_Qty_Per_Batch]*IFERROR(INDEX(PP_Grid[#Data],M_BOM[PPGridRow],67),0))</f>
        <v/>
      </c>
      <c r="BP88">
        <f>SUMPRODUCT((M_BOM[RM_Code]=$A88)*M_BOM[RM_Qty_Per_Batch]*IFERROR(INDEX(PP_Grid[#Data],M_BOM[PPGridRow],68),0))</f>
        <v/>
      </c>
      <c r="BQ88">
        <f>SUMPRODUCT((M_BOM[RM_Code]=$A88)*M_BOM[RM_Qty_Per_Batch]*IFERROR(INDEX(PP_Grid[#Data],M_BOM[PPGridRow],69),0))</f>
        <v/>
      </c>
      <c r="BR88">
        <f>SUMPRODUCT((M_BOM[RM_Code]=$A88)*M_BOM[RM_Qty_Per_Batch]*IFERROR(INDEX(PP_Grid[#Data],M_BOM[PPGridRow],70),0))</f>
        <v/>
      </c>
      <c r="BS88">
        <f>SUMPRODUCT((M_BOM[RM_Code]=$A88)*M_BOM[RM_Qty_Per_Batch]*IFERROR(INDEX(PP_Grid[#Data],M_BOM[PPGridRow],71),0))</f>
        <v/>
      </c>
      <c r="BT88">
        <f>SUMPRODUCT((M_BOM[RM_Code]=$A88)*M_BOM[RM_Qty_Per_Batch]*IFERROR(INDEX(PP_Grid[#Data],M_BOM[PPGridRow],72),0))</f>
        <v/>
      </c>
      <c r="BU88">
        <f>SUMPRODUCT((M_BOM[RM_Code]=$A88)*M_BOM[RM_Qty_Per_Batch]*IFERROR(INDEX(PP_Grid[#Data],M_BOM[PPGridRow],73),0))</f>
        <v/>
      </c>
      <c r="BV88">
        <f>SUMPRODUCT((M_BOM[RM_Code]=$A88)*M_BOM[RM_Qty_Per_Batch]*IFERROR(INDEX(PP_Grid[#Data],M_BOM[PPGridRow],74),0))</f>
        <v/>
      </c>
      <c r="BW88">
        <f>SUMPRODUCT((M_BOM[RM_Code]=$A88)*M_BOM[RM_Qty_Per_Batch]*IFERROR(INDEX(PP_Grid[#Data],M_BOM[PPGridRow],75),0))</f>
        <v/>
      </c>
      <c r="BX88">
        <f>SUMPRODUCT((M_BOM[RM_Code]=$A88)*M_BOM[RM_Qty_Per_Batch]*IFERROR(INDEX(PP_Grid[#Data],M_BOM[PPGridRow],76),0))</f>
        <v/>
      </c>
      <c r="BY88">
        <f>SUMPRODUCT((M_BOM[RM_Code]=$A88)*M_BOM[RM_Qty_Per_Batch]*IFERROR(INDEX(PP_Grid[#Data],M_BOM[PPGridRow],77),0))</f>
        <v/>
      </c>
      <c r="BZ88">
        <f>SUMPRODUCT((M_BOM[RM_Code]=$A88)*M_BOM[RM_Qty_Per_Batch]*IFERROR(INDEX(PP_Grid[#Data],M_BOM[PPGridRow],78),0))</f>
        <v/>
      </c>
      <c r="CA88">
        <f>SUMPRODUCT((M_BOM[RM_Code]=$A88)*M_BOM[RM_Qty_Per_Batch]*IFERROR(INDEX(PP_Grid[#Data],M_BOM[PPGridRow],79),0))</f>
        <v/>
      </c>
      <c r="CB88">
        <f>SUMPRODUCT((M_BOM[RM_Code]=$A88)*M_BOM[RM_Qty_Per_Batch]*IFERROR(INDEX(PP_Grid[#Data],M_BOM[PPGridRow],80),0))</f>
        <v/>
      </c>
      <c r="CC88">
        <f>SUMPRODUCT((M_BOM[RM_Code]=$A88)*M_BOM[RM_Qty_Per_Batch]*IFERROR(INDEX(PP_Grid[#Data],M_BOM[PPGridRow],81),0))</f>
        <v/>
      </c>
      <c r="CD88">
        <f>SUMPRODUCT((M_BOM[RM_Code]=$A88)*M_BOM[RM_Qty_Per_Batch]*IFERROR(INDEX(PP_Grid[#Data],M_BOM[PPGridRow],82),0))</f>
        <v/>
      </c>
      <c r="CE88">
        <f>SUMPRODUCT((M_BOM[RM_Code]=$A88)*M_BOM[RM_Qty_Per_Batch]*IFERROR(INDEX(PP_Grid[#Data],M_BOM[PPGridRow],83),0))</f>
        <v/>
      </c>
      <c r="CF88">
        <f>SUMPRODUCT((M_BOM[RM_Code]=$A88)*M_BOM[RM_Qty_Per_Batch]*IFERROR(INDEX(PP_Grid[#Data],M_BOM[PPGridRow],84),0))</f>
        <v/>
      </c>
      <c r="CG88">
        <f>SUMPRODUCT((M_BOM[RM_Code]=$A88)*M_BOM[RM_Qty_Per_Batch]*IFERROR(INDEX(PP_Grid[#Data],M_BOM[PPGridRow],85),0))</f>
        <v/>
      </c>
      <c r="CH88">
        <f>SUMPRODUCT((M_BOM[RM_Code]=$A88)*M_BOM[RM_Qty_Per_Batch]*IFERROR(INDEX(PP_Grid[#Data],M_BOM[PPGridRow],86),0))</f>
        <v/>
      </c>
      <c r="CI88">
        <f>SUMPRODUCT((M_BOM[RM_Code]=$A88)*M_BOM[RM_Qty_Per_Batch]*IFERROR(INDEX(PP_Grid[#Data],M_BOM[PPGridRow],87),0))</f>
        <v/>
      </c>
      <c r="CJ88">
        <f>SUMPRODUCT((M_BOM[RM_Code]=$A88)*M_BOM[RM_Qty_Per_Batch]*IFERROR(INDEX(PP_Grid[#Data],M_BOM[PPGridRow],88),0))</f>
        <v/>
      </c>
      <c r="CK88">
        <f>SUMPRODUCT((M_BOM[RM_Code]=$A88)*M_BOM[RM_Qty_Per_Batch]*IFERROR(INDEX(PP_Grid[#Data],M_BOM[PPGridRow],89),0))</f>
        <v/>
      </c>
      <c r="CL88">
        <f>SUMPRODUCT((M_BOM[RM_Code]=$A88)*M_BOM[RM_Qty_Per_Batch]*IFERROR(INDEX(PP_Grid[#Data],M_BOM[PPGridRow],90),0))</f>
        <v/>
      </c>
      <c r="CM88">
        <f>SUMPRODUCT((M_BOM[RM_Code]=$A88)*M_BOM[RM_Qty_Per_Batch]*IFERROR(INDEX(PP_Grid[#Data],M_BOM[PPGridRow],91),0))</f>
        <v/>
      </c>
      <c r="CN88">
        <f>SUMPRODUCT((M_BOM[RM_Code]=$A88)*M_BOM[RM_Qty_Per_Batch]*IFERROR(INDEX(PP_Grid[#Data],M_BOM[PPGridRow],92),0))</f>
        <v/>
      </c>
      <c r="CO88">
        <f>SUMPRODUCT((M_BOM[RM_Code]=$A88)*M_BOM[RM_Qty_Per_Batch]*IFERROR(INDEX(PP_Grid[#Data],M_BOM[PPGridRow],93),0))</f>
        <v/>
      </c>
      <c r="CP88">
        <f>SUMPRODUCT((M_BOM[RM_Code]=$A88)*M_BOM[RM_Qty_Per_Batch]*IFERROR(INDEX(PP_Grid[#Data],M_BOM[PPGridRow],94),0))</f>
        <v/>
      </c>
      <c r="CQ88">
        <f>SUMPRODUCT((M_BOM[RM_Code]=$A88)*M_BOM[RM_Qty_Per_Batch]*IFERROR(INDEX(PP_Grid[#Data],M_BOM[PPGridRow],95),0))</f>
        <v/>
      </c>
      <c r="CR88">
        <f>SUMPRODUCT((M_BOM[RM_Code]=$A88)*M_BOM[RM_Qty_Per_Batch]*IFERROR(INDEX(PP_Grid[#Data],M_BOM[PPGridRow],96),0))</f>
        <v/>
      </c>
      <c r="CS88">
        <f>SUMPRODUCT((M_BOM[RM_Code]=$A88)*M_BOM[RM_Qty_Per_Batch]*IFERROR(INDEX(PP_Grid[#Data],M_BOM[PPGridRow],97),0))</f>
        <v/>
      </c>
      <c r="CT88">
        <f>SUMPRODUCT((M_BOM[RM_Code]=$A88)*M_BOM[RM_Qty_Per_Batch]*IFERROR(INDEX(PP_Grid[#Data],M_BOM[PPGridRow],98),0))</f>
        <v/>
      </c>
      <c r="CU88">
        <f>SUMPRODUCT((M_BOM[RM_Code]=$A88)*M_BOM[RM_Qty_Per_Batch]*IFERROR(INDEX(PP_Grid[#Data],M_BOM[PPGridRow],99),0))</f>
        <v/>
      </c>
      <c r="CV88">
        <f>SUMPRODUCT((M_BOM[RM_Code]=$A88)*M_BOM[RM_Qty_Per_Batch]*IFERROR(INDEX(PP_Grid[#Data],M_BOM[PPGridRow],100),0))</f>
        <v/>
      </c>
      <c r="CW88">
        <f>SUMPRODUCT((M_BOM[RM_Code]=$A88)*M_BOM[RM_Qty_Per_Batch]*IFERROR(INDEX(PP_Grid[#Data],M_BOM[PPGridRow],101),0))</f>
        <v/>
      </c>
      <c r="CX88">
        <f>SUMPRODUCT((M_BOM[RM_Code]=$A88)*M_BOM[RM_Qty_Per_Batch]*IFERROR(INDEX(PP_Grid[#Data],M_BOM[PPGridRow],102),0))</f>
        <v/>
      </c>
      <c r="CY88">
        <f>SUMPRODUCT((M_BOM[RM_Code]=$A88)*M_BOM[RM_Qty_Per_Batch]*IFERROR(INDEX(PP_Grid[#Data],M_BOM[PPGridRow],103),0))</f>
        <v/>
      </c>
      <c r="CZ88">
        <f>SUMPRODUCT((M_BOM[RM_Code]=$A88)*M_BOM[RM_Qty_Per_Batch]*IFERROR(INDEX(PP_Grid[#Data],M_BOM[PPGridRow],104),0))</f>
        <v/>
      </c>
      <c r="DA88">
        <f>SUMPRODUCT((M_BOM[RM_Code]=$A88)*M_BOM[RM_Qty_Per_Batch]*IFERROR(INDEX(PP_Grid[#Data],M_BOM[PPGridRow],105),0))</f>
        <v/>
      </c>
    </row>
    <row r="89">
      <c r="A89" t="inlineStr">
        <is>
          <t>CHEM-1460</t>
        </is>
      </c>
      <c r="B89">
        <f>SUMPRODUCT((M_BOM[RM_Code]=$A89)*M_BOM[RM_Qty_Per_Batch]*IFERROR(INDEX(PP_Grid[#Data],M_BOM[PPGridRow],2),0))</f>
        <v/>
      </c>
      <c r="C89">
        <f>SUMPRODUCT((M_BOM[RM_Code]=$A89)*M_BOM[RM_Qty_Per_Batch]*IFERROR(INDEX(PP_Grid[#Data],M_BOM[PPGridRow],3),0))</f>
        <v/>
      </c>
      <c r="D89">
        <f>SUMPRODUCT((M_BOM[RM_Code]=$A89)*M_BOM[RM_Qty_Per_Batch]*IFERROR(INDEX(PP_Grid[#Data],M_BOM[PPGridRow],4),0))</f>
        <v/>
      </c>
      <c r="E89">
        <f>SUMPRODUCT((M_BOM[RM_Code]=$A89)*M_BOM[RM_Qty_Per_Batch]*IFERROR(INDEX(PP_Grid[#Data],M_BOM[PPGridRow],5),0))</f>
        <v/>
      </c>
      <c r="F89">
        <f>SUMPRODUCT((M_BOM[RM_Code]=$A89)*M_BOM[RM_Qty_Per_Batch]*IFERROR(INDEX(PP_Grid[#Data],M_BOM[PPGridRow],6),0))</f>
        <v/>
      </c>
      <c r="G89">
        <f>SUMPRODUCT((M_BOM[RM_Code]=$A89)*M_BOM[RM_Qty_Per_Batch]*IFERROR(INDEX(PP_Grid[#Data],M_BOM[PPGridRow],7),0))</f>
        <v/>
      </c>
      <c r="H89">
        <f>SUMPRODUCT((M_BOM[RM_Code]=$A89)*M_BOM[RM_Qty_Per_Batch]*IFERROR(INDEX(PP_Grid[#Data],M_BOM[PPGridRow],8),0))</f>
        <v/>
      </c>
      <c r="I89">
        <f>SUMPRODUCT((M_BOM[RM_Code]=$A89)*M_BOM[RM_Qty_Per_Batch]*IFERROR(INDEX(PP_Grid[#Data],M_BOM[PPGridRow],9),0))</f>
        <v/>
      </c>
      <c r="J89">
        <f>SUMPRODUCT((M_BOM[RM_Code]=$A89)*M_BOM[RM_Qty_Per_Batch]*IFERROR(INDEX(PP_Grid[#Data],M_BOM[PPGridRow],10),0))</f>
        <v/>
      </c>
      <c r="K89">
        <f>SUMPRODUCT((M_BOM[RM_Code]=$A89)*M_BOM[RM_Qty_Per_Batch]*IFERROR(INDEX(PP_Grid[#Data],M_BOM[PPGridRow],11),0))</f>
        <v/>
      </c>
      <c r="L89">
        <f>SUMPRODUCT((M_BOM[RM_Code]=$A89)*M_BOM[RM_Qty_Per_Batch]*IFERROR(INDEX(PP_Grid[#Data],M_BOM[PPGridRow],12),0))</f>
        <v/>
      </c>
      <c r="M89">
        <f>SUMPRODUCT((M_BOM[RM_Code]=$A89)*M_BOM[RM_Qty_Per_Batch]*IFERROR(INDEX(PP_Grid[#Data],M_BOM[PPGridRow],13),0))</f>
        <v/>
      </c>
      <c r="N89">
        <f>SUMPRODUCT((M_BOM[RM_Code]=$A89)*M_BOM[RM_Qty_Per_Batch]*IFERROR(INDEX(PP_Grid[#Data],M_BOM[PPGridRow],14),0))</f>
        <v/>
      </c>
      <c r="O89">
        <f>SUMPRODUCT((M_BOM[RM_Code]=$A89)*M_BOM[RM_Qty_Per_Batch]*IFERROR(INDEX(PP_Grid[#Data],M_BOM[PPGridRow],15),0))</f>
        <v/>
      </c>
      <c r="P89">
        <f>SUMPRODUCT((M_BOM[RM_Code]=$A89)*M_BOM[RM_Qty_Per_Batch]*IFERROR(INDEX(PP_Grid[#Data],M_BOM[PPGridRow],16),0))</f>
        <v/>
      </c>
      <c r="Q89">
        <f>SUMPRODUCT((M_BOM[RM_Code]=$A89)*M_BOM[RM_Qty_Per_Batch]*IFERROR(INDEX(PP_Grid[#Data],M_BOM[PPGridRow],17),0))</f>
        <v/>
      </c>
      <c r="R89">
        <f>SUMPRODUCT((M_BOM[RM_Code]=$A89)*M_BOM[RM_Qty_Per_Batch]*IFERROR(INDEX(PP_Grid[#Data],M_BOM[PPGridRow],18),0))</f>
        <v/>
      </c>
      <c r="S89">
        <f>SUMPRODUCT((M_BOM[RM_Code]=$A89)*M_BOM[RM_Qty_Per_Batch]*IFERROR(INDEX(PP_Grid[#Data],M_BOM[PPGridRow],19),0))</f>
        <v/>
      </c>
      <c r="T89">
        <f>SUMPRODUCT((M_BOM[RM_Code]=$A89)*M_BOM[RM_Qty_Per_Batch]*IFERROR(INDEX(PP_Grid[#Data],M_BOM[PPGridRow],20),0))</f>
        <v/>
      </c>
      <c r="U89">
        <f>SUMPRODUCT((M_BOM[RM_Code]=$A89)*M_BOM[RM_Qty_Per_Batch]*IFERROR(INDEX(PP_Grid[#Data],M_BOM[PPGridRow],21),0))</f>
        <v/>
      </c>
      <c r="V89">
        <f>SUMPRODUCT((M_BOM[RM_Code]=$A89)*M_BOM[RM_Qty_Per_Batch]*IFERROR(INDEX(PP_Grid[#Data],M_BOM[PPGridRow],22),0))</f>
        <v/>
      </c>
      <c r="W89">
        <f>SUMPRODUCT((M_BOM[RM_Code]=$A89)*M_BOM[RM_Qty_Per_Batch]*IFERROR(INDEX(PP_Grid[#Data],M_BOM[PPGridRow],23),0))</f>
        <v/>
      </c>
      <c r="X89">
        <f>SUMPRODUCT((M_BOM[RM_Code]=$A89)*M_BOM[RM_Qty_Per_Batch]*IFERROR(INDEX(PP_Grid[#Data],M_BOM[PPGridRow],24),0))</f>
        <v/>
      </c>
      <c r="Y89">
        <f>SUMPRODUCT((M_BOM[RM_Code]=$A89)*M_BOM[RM_Qty_Per_Batch]*IFERROR(INDEX(PP_Grid[#Data],M_BOM[PPGridRow],25),0))</f>
        <v/>
      </c>
      <c r="Z89">
        <f>SUMPRODUCT((M_BOM[RM_Code]=$A89)*M_BOM[RM_Qty_Per_Batch]*IFERROR(INDEX(PP_Grid[#Data],M_BOM[PPGridRow],26),0))</f>
        <v/>
      </c>
      <c r="AA89">
        <f>SUMPRODUCT((M_BOM[RM_Code]=$A89)*M_BOM[RM_Qty_Per_Batch]*IFERROR(INDEX(PP_Grid[#Data],M_BOM[PPGridRow],27),0))</f>
        <v/>
      </c>
      <c r="AB89">
        <f>SUMPRODUCT((M_BOM[RM_Code]=$A89)*M_BOM[RM_Qty_Per_Batch]*IFERROR(INDEX(PP_Grid[#Data],M_BOM[PPGridRow],28),0))</f>
        <v/>
      </c>
      <c r="AC89">
        <f>SUMPRODUCT((M_BOM[RM_Code]=$A89)*M_BOM[RM_Qty_Per_Batch]*IFERROR(INDEX(PP_Grid[#Data],M_BOM[PPGridRow],29),0))</f>
        <v/>
      </c>
      <c r="AD89">
        <f>SUMPRODUCT((M_BOM[RM_Code]=$A89)*M_BOM[RM_Qty_Per_Batch]*IFERROR(INDEX(PP_Grid[#Data],M_BOM[PPGridRow],30),0))</f>
        <v/>
      </c>
      <c r="AE89">
        <f>SUMPRODUCT((M_BOM[RM_Code]=$A89)*M_BOM[RM_Qty_Per_Batch]*IFERROR(INDEX(PP_Grid[#Data],M_BOM[PPGridRow],31),0))</f>
        <v/>
      </c>
      <c r="AF89">
        <f>SUMPRODUCT((M_BOM[RM_Code]=$A89)*M_BOM[RM_Qty_Per_Batch]*IFERROR(INDEX(PP_Grid[#Data],M_BOM[PPGridRow],32),0))</f>
        <v/>
      </c>
      <c r="AG89">
        <f>SUMPRODUCT((M_BOM[RM_Code]=$A89)*M_BOM[RM_Qty_Per_Batch]*IFERROR(INDEX(PP_Grid[#Data],M_BOM[PPGridRow],33),0))</f>
        <v/>
      </c>
      <c r="AH89">
        <f>SUMPRODUCT((M_BOM[RM_Code]=$A89)*M_BOM[RM_Qty_Per_Batch]*IFERROR(INDEX(PP_Grid[#Data],M_BOM[PPGridRow],34),0))</f>
        <v/>
      </c>
      <c r="AI89">
        <f>SUMPRODUCT((M_BOM[RM_Code]=$A89)*M_BOM[RM_Qty_Per_Batch]*IFERROR(INDEX(PP_Grid[#Data],M_BOM[PPGridRow],35),0))</f>
        <v/>
      </c>
      <c r="AJ89">
        <f>SUMPRODUCT((M_BOM[RM_Code]=$A89)*M_BOM[RM_Qty_Per_Batch]*IFERROR(INDEX(PP_Grid[#Data],M_BOM[PPGridRow],36),0))</f>
        <v/>
      </c>
      <c r="AK89">
        <f>SUMPRODUCT((M_BOM[RM_Code]=$A89)*M_BOM[RM_Qty_Per_Batch]*IFERROR(INDEX(PP_Grid[#Data],M_BOM[PPGridRow],37),0))</f>
        <v/>
      </c>
      <c r="AL89">
        <f>SUMPRODUCT((M_BOM[RM_Code]=$A89)*M_BOM[RM_Qty_Per_Batch]*IFERROR(INDEX(PP_Grid[#Data],M_BOM[PPGridRow],38),0))</f>
        <v/>
      </c>
      <c r="AM89">
        <f>SUMPRODUCT((M_BOM[RM_Code]=$A89)*M_BOM[RM_Qty_Per_Batch]*IFERROR(INDEX(PP_Grid[#Data],M_BOM[PPGridRow],39),0))</f>
        <v/>
      </c>
      <c r="AN89">
        <f>SUMPRODUCT((M_BOM[RM_Code]=$A89)*M_BOM[RM_Qty_Per_Batch]*IFERROR(INDEX(PP_Grid[#Data],M_BOM[PPGridRow],40),0))</f>
        <v/>
      </c>
      <c r="AO89">
        <f>SUMPRODUCT((M_BOM[RM_Code]=$A89)*M_BOM[RM_Qty_Per_Batch]*IFERROR(INDEX(PP_Grid[#Data],M_BOM[PPGridRow],41),0))</f>
        <v/>
      </c>
      <c r="AP89">
        <f>SUMPRODUCT((M_BOM[RM_Code]=$A89)*M_BOM[RM_Qty_Per_Batch]*IFERROR(INDEX(PP_Grid[#Data],M_BOM[PPGridRow],42),0))</f>
        <v/>
      </c>
      <c r="AQ89">
        <f>SUMPRODUCT((M_BOM[RM_Code]=$A89)*M_BOM[RM_Qty_Per_Batch]*IFERROR(INDEX(PP_Grid[#Data],M_BOM[PPGridRow],43),0))</f>
        <v/>
      </c>
      <c r="AR89">
        <f>SUMPRODUCT((M_BOM[RM_Code]=$A89)*M_BOM[RM_Qty_Per_Batch]*IFERROR(INDEX(PP_Grid[#Data],M_BOM[PPGridRow],44),0))</f>
        <v/>
      </c>
      <c r="AS89">
        <f>SUMPRODUCT((M_BOM[RM_Code]=$A89)*M_BOM[RM_Qty_Per_Batch]*IFERROR(INDEX(PP_Grid[#Data],M_BOM[PPGridRow],45),0))</f>
        <v/>
      </c>
      <c r="AT89">
        <f>SUMPRODUCT((M_BOM[RM_Code]=$A89)*M_BOM[RM_Qty_Per_Batch]*IFERROR(INDEX(PP_Grid[#Data],M_BOM[PPGridRow],46),0))</f>
        <v/>
      </c>
      <c r="AU89">
        <f>SUMPRODUCT((M_BOM[RM_Code]=$A89)*M_BOM[RM_Qty_Per_Batch]*IFERROR(INDEX(PP_Grid[#Data],M_BOM[PPGridRow],47),0))</f>
        <v/>
      </c>
      <c r="AV89">
        <f>SUMPRODUCT((M_BOM[RM_Code]=$A89)*M_BOM[RM_Qty_Per_Batch]*IFERROR(INDEX(PP_Grid[#Data],M_BOM[PPGridRow],48),0))</f>
        <v/>
      </c>
      <c r="AW89">
        <f>SUMPRODUCT((M_BOM[RM_Code]=$A89)*M_BOM[RM_Qty_Per_Batch]*IFERROR(INDEX(PP_Grid[#Data],M_BOM[PPGridRow],49),0))</f>
        <v/>
      </c>
      <c r="AX89">
        <f>SUMPRODUCT((M_BOM[RM_Code]=$A89)*M_BOM[RM_Qty_Per_Batch]*IFERROR(INDEX(PP_Grid[#Data],M_BOM[PPGridRow],50),0))</f>
        <v/>
      </c>
      <c r="AY89">
        <f>SUMPRODUCT((M_BOM[RM_Code]=$A89)*M_BOM[RM_Qty_Per_Batch]*IFERROR(INDEX(PP_Grid[#Data],M_BOM[PPGridRow],51),0))</f>
        <v/>
      </c>
      <c r="AZ89">
        <f>SUMPRODUCT((M_BOM[RM_Code]=$A89)*M_BOM[RM_Qty_Per_Batch]*IFERROR(INDEX(PP_Grid[#Data],M_BOM[PPGridRow],52),0))</f>
        <v/>
      </c>
      <c r="BA89">
        <f>SUMPRODUCT((M_BOM[RM_Code]=$A89)*M_BOM[RM_Qty_Per_Batch]*IFERROR(INDEX(PP_Grid[#Data],M_BOM[PPGridRow],53),0))</f>
        <v/>
      </c>
      <c r="BB89">
        <f>SUMPRODUCT((M_BOM[RM_Code]=$A89)*M_BOM[RM_Qty_Per_Batch]*IFERROR(INDEX(PP_Grid[#Data],M_BOM[PPGridRow],54),0))</f>
        <v/>
      </c>
      <c r="BC89">
        <f>SUMPRODUCT((M_BOM[RM_Code]=$A89)*M_BOM[RM_Qty_Per_Batch]*IFERROR(INDEX(PP_Grid[#Data],M_BOM[PPGridRow],55),0))</f>
        <v/>
      </c>
      <c r="BD89">
        <f>SUMPRODUCT((M_BOM[RM_Code]=$A89)*M_BOM[RM_Qty_Per_Batch]*IFERROR(INDEX(PP_Grid[#Data],M_BOM[PPGridRow],56),0))</f>
        <v/>
      </c>
      <c r="BE89">
        <f>SUMPRODUCT((M_BOM[RM_Code]=$A89)*M_BOM[RM_Qty_Per_Batch]*IFERROR(INDEX(PP_Grid[#Data],M_BOM[PPGridRow],57),0))</f>
        <v/>
      </c>
      <c r="BF89">
        <f>SUMPRODUCT((M_BOM[RM_Code]=$A89)*M_BOM[RM_Qty_Per_Batch]*IFERROR(INDEX(PP_Grid[#Data],M_BOM[PPGridRow],58),0))</f>
        <v/>
      </c>
      <c r="BG89">
        <f>SUMPRODUCT((M_BOM[RM_Code]=$A89)*M_BOM[RM_Qty_Per_Batch]*IFERROR(INDEX(PP_Grid[#Data],M_BOM[PPGridRow],59),0))</f>
        <v/>
      </c>
      <c r="BH89">
        <f>SUMPRODUCT((M_BOM[RM_Code]=$A89)*M_BOM[RM_Qty_Per_Batch]*IFERROR(INDEX(PP_Grid[#Data],M_BOM[PPGridRow],60),0))</f>
        <v/>
      </c>
      <c r="BI89">
        <f>SUMPRODUCT((M_BOM[RM_Code]=$A89)*M_BOM[RM_Qty_Per_Batch]*IFERROR(INDEX(PP_Grid[#Data],M_BOM[PPGridRow],61),0))</f>
        <v/>
      </c>
      <c r="BJ89">
        <f>SUMPRODUCT((M_BOM[RM_Code]=$A89)*M_BOM[RM_Qty_Per_Batch]*IFERROR(INDEX(PP_Grid[#Data],M_BOM[PPGridRow],62),0))</f>
        <v/>
      </c>
      <c r="BK89">
        <f>SUMPRODUCT((M_BOM[RM_Code]=$A89)*M_BOM[RM_Qty_Per_Batch]*IFERROR(INDEX(PP_Grid[#Data],M_BOM[PPGridRow],63),0))</f>
        <v/>
      </c>
      <c r="BL89">
        <f>SUMPRODUCT((M_BOM[RM_Code]=$A89)*M_BOM[RM_Qty_Per_Batch]*IFERROR(INDEX(PP_Grid[#Data],M_BOM[PPGridRow],64),0))</f>
        <v/>
      </c>
      <c r="BM89">
        <f>SUMPRODUCT((M_BOM[RM_Code]=$A89)*M_BOM[RM_Qty_Per_Batch]*IFERROR(INDEX(PP_Grid[#Data],M_BOM[PPGridRow],65),0))</f>
        <v/>
      </c>
      <c r="BN89">
        <f>SUMPRODUCT((M_BOM[RM_Code]=$A89)*M_BOM[RM_Qty_Per_Batch]*IFERROR(INDEX(PP_Grid[#Data],M_BOM[PPGridRow],66),0))</f>
        <v/>
      </c>
      <c r="BO89">
        <f>SUMPRODUCT((M_BOM[RM_Code]=$A89)*M_BOM[RM_Qty_Per_Batch]*IFERROR(INDEX(PP_Grid[#Data],M_BOM[PPGridRow],67),0))</f>
        <v/>
      </c>
      <c r="BP89">
        <f>SUMPRODUCT((M_BOM[RM_Code]=$A89)*M_BOM[RM_Qty_Per_Batch]*IFERROR(INDEX(PP_Grid[#Data],M_BOM[PPGridRow],68),0))</f>
        <v/>
      </c>
      <c r="BQ89">
        <f>SUMPRODUCT((M_BOM[RM_Code]=$A89)*M_BOM[RM_Qty_Per_Batch]*IFERROR(INDEX(PP_Grid[#Data],M_BOM[PPGridRow],69),0))</f>
        <v/>
      </c>
      <c r="BR89">
        <f>SUMPRODUCT((M_BOM[RM_Code]=$A89)*M_BOM[RM_Qty_Per_Batch]*IFERROR(INDEX(PP_Grid[#Data],M_BOM[PPGridRow],70),0))</f>
        <v/>
      </c>
      <c r="BS89">
        <f>SUMPRODUCT((M_BOM[RM_Code]=$A89)*M_BOM[RM_Qty_Per_Batch]*IFERROR(INDEX(PP_Grid[#Data],M_BOM[PPGridRow],71),0))</f>
        <v/>
      </c>
      <c r="BT89">
        <f>SUMPRODUCT((M_BOM[RM_Code]=$A89)*M_BOM[RM_Qty_Per_Batch]*IFERROR(INDEX(PP_Grid[#Data],M_BOM[PPGridRow],72),0))</f>
        <v/>
      </c>
      <c r="BU89">
        <f>SUMPRODUCT((M_BOM[RM_Code]=$A89)*M_BOM[RM_Qty_Per_Batch]*IFERROR(INDEX(PP_Grid[#Data],M_BOM[PPGridRow],73),0))</f>
        <v/>
      </c>
      <c r="BV89">
        <f>SUMPRODUCT((M_BOM[RM_Code]=$A89)*M_BOM[RM_Qty_Per_Batch]*IFERROR(INDEX(PP_Grid[#Data],M_BOM[PPGridRow],74),0))</f>
        <v/>
      </c>
      <c r="BW89">
        <f>SUMPRODUCT((M_BOM[RM_Code]=$A89)*M_BOM[RM_Qty_Per_Batch]*IFERROR(INDEX(PP_Grid[#Data],M_BOM[PPGridRow],75),0))</f>
        <v/>
      </c>
      <c r="BX89">
        <f>SUMPRODUCT((M_BOM[RM_Code]=$A89)*M_BOM[RM_Qty_Per_Batch]*IFERROR(INDEX(PP_Grid[#Data],M_BOM[PPGridRow],76),0))</f>
        <v/>
      </c>
      <c r="BY89">
        <f>SUMPRODUCT((M_BOM[RM_Code]=$A89)*M_BOM[RM_Qty_Per_Batch]*IFERROR(INDEX(PP_Grid[#Data],M_BOM[PPGridRow],77),0))</f>
        <v/>
      </c>
      <c r="BZ89">
        <f>SUMPRODUCT((M_BOM[RM_Code]=$A89)*M_BOM[RM_Qty_Per_Batch]*IFERROR(INDEX(PP_Grid[#Data],M_BOM[PPGridRow],78),0))</f>
        <v/>
      </c>
      <c r="CA89">
        <f>SUMPRODUCT((M_BOM[RM_Code]=$A89)*M_BOM[RM_Qty_Per_Batch]*IFERROR(INDEX(PP_Grid[#Data],M_BOM[PPGridRow],79),0))</f>
        <v/>
      </c>
      <c r="CB89">
        <f>SUMPRODUCT((M_BOM[RM_Code]=$A89)*M_BOM[RM_Qty_Per_Batch]*IFERROR(INDEX(PP_Grid[#Data],M_BOM[PPGridRow],80),0))</f>
        <v/>
      </c>
      <c r="CC89">
        <f>SUMPRODUCT((M_BOM[RM_Code]=$A89)*M_BOM[RM_Qty_Per_Batch]*IFERROR(INDEX(PP_Grid[#Data],M_BOM[PPGridRow],81),0))</f>
        <v/>
      </c>
      <c r="CD89">
        <f>SUMPRODUCT((M_BOM[RM_Code]=$A89)*M_BOM[RM_Qty_Per_Batch]*IFERROR(INDEX(PP_Grid[#Data],M_BOM[PPGridRow],82),0))</f>
        <v/>
      </c>
      <c r="CE89">
        <f>SUMPRODUCT((M_BOM[RM_Code]=$A89)*M_BOM[RM_Qty_Per_Batch]*IFERROR(INDEX(PP_Grid[#Data],M_BOM[PPGridRow],83),0))</f>
        <v/>
      </c>
      <c r="CF89">
        <f>SUMPRODUCT((M_BOM[RM_Code]=$A89)*M_BOM[RM_Qty_Per_Batch]*IFERROR(INDEX(PP_Grid[#Data],M_BOM[PPGridRow],84),0))</f>
        <v/>
      </c>
      <c r="CG89">
        <f>SUMPRODUCT((M_BOM[RM_Code]=$A89)*M_BOM[RM_Qty_Per_Batch]*IFERROR(INDEX(PP_Grid[#Data],M_BOM[PPGridRow],85),0))</f>
        <v/>
      </c>
      <c r="CH89">
        <f>SUMPRODUCT((M_BOM[RM_Code]=$A89)*M_BOM[RM_Qty_Per_Batch]*IFERROR(INDEX(PP_Grid[#Data],M_BOM[PPGridRow],86),0))</f>
        <v/>
      </c>
      <c r="CI89">
        <f>SUMPRODUCT((M_BOM[RM_Code]=$A89)*M_BOM[RM_Qty_Per_Batch]*IFERROR(INDEX(PP_Grid[#Data],M_BOM[PPGridRow],87),0))</f>
        <v/>
      </c>
      <c r="CJ89">
        <f>SUMPRODUCT((M_BOM[RM_Code]=$A89)*M_BOM[RM_Qty_Per_Batch]*IFERROR(INDEX(PP_Grid[#Data],M_BOM[PPGridRow],88),0))</f>
        <v/>
      </c>
      <c r="CK89">
        <f>SUMPRODUCT((M_BOM[RM_Code]=$A89)*M_BOM[RM_Qty_Per_Batch]*IFERROR(INDEX(PP_Grid[#Data],M_BOM[PPGridRow],89),0))</f>
        <v/>
      </c>
      <c r="CL89">
        <f>SUMPRODUCT((M_BOM[RM_Code]=$A89)*M_BOM[RM_Qty_Per_Batch]*IFERROR(INDEX(PP_Grid[#Data],M_BOM[PPGridRow],90),0))</f>
        <v/>
      </c>
      <c r="CM89">
        <f>SUMPRODUCT((M_BOM[RM_Code]=$A89)*M_BOM[RM_Qty_Per_Batch]*IFERROR(INDEX(PP_Grid[#Data],M_BOM[PPGridRow],91),0))</f>
        <v/>
      </c>
      <c r="CN89">
        <f>SUMPRODUCT((M_BOM[RM_Code]=$A89)*M_BOM[RM_Qty_Per_Batch]*IFERROR(INDEX(PP_Grid[#Data],M_BOM[PPGridRow],92),0))</f>
        <v/>
      </c>
      <c r="CO89">
        <f>SUMPRODUCT((M_BOM[RM_Code]=$A89)*M_BOM[RM_Qty_Per_Batch]*IFERROR(INDEX(PP_Grid[#Data],M_BOM[PPGridRow],93),0))</f>
        <v/>
      </c>
      <c r="CP89">
        <f>SUMPRODUCT((M_BOM[RM_Code]=$A89)*M_BOM[RM_Qty_Per_Batch]*IFERROR(INDEX(PP_Grid[#Data],M_BOM[PPGridRow],94),0))</f>
        <v/>
      </c>
      <c r="CQ89">
        <f>SUMPRODUCT((M_BOM[RM_Code]=$A89)*M_BOM[RM_Qty_Per_Batch]*IFERROR(INDEX(PP_Grid[#Data],M_BOM[PPGridRow],95),0))</f>
        <v/>
      </c>
      <c r="CR89">
        <f>SUMPRODUCT((M_BOM[RM_Code]=$A89)*M_BOM[RM_Qty_Per_Batch]*IFERROR(INDEX(PP_Grid[#Data],M_BOM[PPGridRow],96),0))</f>
        <v/>
      </c>
      <c r="CS89">
        <f>SUMPRODUCT((M_BOM[RM_Code]=$A89)*M_BOM[RM_Qty_Per_Batch]*IFERROR(INDEX(PP_Grid[#Data],M_BOM[PPGridRow],97),0))</f>
        <v/>
      </c>
      <c r="CT89">
        <f>SUMPRODUCT((M_BOM[RM_Code]=$A89)*M_BOM[RM_Qty_Per_Batch]*IFERROR(INDEX(PP_Grid[#Data],M_BOM[PPGridRow],98),0))</f>
        <v/>
      </c>
      <c r="CU89">
        <f>SUMPRODUCT((M_BOM[RM_Code]=$A89)*M_BOM[RM_Qty_Per_Batch]*IFERROR(INDEX(PP_Grid[#Data],M_BOM[PPGridRow],99),0))</f>
        <v/>
      </c>
      <c r="CV89">
        <f>SUMPRODUCT((M_BOM[RM_Code]=$A89)*M_BOM[RM_Qty_Per_Batch]*IFERROR(INDEX(PP_Grid[#Data],M_BOM[PPGridRow],100),0))</f>
        <v/>
      </c>
      <c r="CW89">
        <f>SUMPRODUCT((M_BOM[RM_Code]=$A89)*M_BOM[RM_Qty_Per_Batch]*IFERROR(INDEX(PP_Grid[#Data],M_BOM[PPGridRow],101),0))</f>
        <v/>
      </c>
      <c r="CX89">
        <f>SUMPRODUCT((M_BOM[RM_Code]=$A89)*M_BOM[RM_Qty_Per_Batch]*IFERROR(INDEX(PP_Grid[#Data],M_BOM[PPGridRow],102),0))</f>
        <v/>
      </c>
      <c r="CY89">
        <f>SUMPRODUCT((M_BOM[RM_Code]=$A89)*M_BOM[RM_Qty_Per_Batch]*IFERROR(INDEX(PP_Grid[#Data],M_BOM[PPGridRow],103),0))</f>
        <v/>
      </c>
      <c r="CZ89">
        <f>SUMPRODUCT((M_BOM[RM_Code]=$A89)*M_BOM[RM_Qty_Per_Batch]*IFERROR(INDEX(PP_Grid[#Data],M_BOM[PPGridRow],104),0))</f>
        <v/>
      </c>
      <c r="DA89">
        <f>SUMPRODUCT((M_BOM[RM_Code]=$A89)*M_BOM[RM_Qty_Per_Batch]*IFERROR(INDEX(PP_Grid[#Data],M_BOM[PPGridRow],105),0))</f>
        <v/>
      </c>
    </row>
    <row r="90">
      <c r="A90" t="inlineStr">
        <is>
          <t>CHEM-1490</t>
        </is>
      </c>
      <c r="B90">
        <f>SUMPRODUCT((M_BOM[RM_Code]=$A90)*M_BOM[RM_Qty_Per_Batch]*IFERROR(INDEX(PP_Grid[#Data],M_BOM[PPGridRow],2),0))</f>
        <v/>
      </c>
      <c r="C90">
        <f>SUMPRODUCT((M_BOM[RM_Code]=$A90)*M_BOM[RM_Qty_Per_Batch]*IFERROR(INDEX(PP_Grid[#Data],M_BOM[PPGridRow],3),0))</f>
        <v/>
      </c>
      <c r="D90">
        <f>SUMPRODUCT((M_BOM[RM_Code]=$A90)*M_BOM[RM_Qty_Per_Batch]*IFERROR(INDEX(PP_Grid[#Data],M_BOM[PPGridRow],4),0))</f>
        <v/>
      </c>
      <c r="E90">
        <f>SUMPRODUCT((M_BOM[RM_Code]=$A90)*M_BOM[RM_Qty_Per_Batch]*IFERROR(INDEX(PP_Grid[#Data],M_BOM[PPGridRow],5),0))</f>
        <v/>
      </c>
      <c r="F90">
        <f>SUMPRODUCT((M_BOM[RM_Code]=$A90)*M_BOM[RM_Qty_Per_Batch]*IFERROR(INDEX(PP_Grid[#Data],M_BOM[PPGridRow],6),0))</f>
        <v/>
      </c>
      <c r="G90">
        <f>SUMPRODUCT((M_BOM[RM_Code]=$A90)*M_BOM[RM_Qty_Per_Batch]*IFERROR(INDEX(PP_Grid[#Data],M_BOM[PPGridRow],7),0))</f>
        <v/>
      </c>
      <c r="H90">
        <f>SUMPRODUCT((M_BOM[RM_Code]=$A90)*M_BOM[RM_Qty_Per_Batch]*IFERROR(INDEX(PP_Grid[#Data],M_BOM[PPGridRow],8),0))</f>
        <v/>
      </c>
      <c r="I90">
        <f>SUMPRODUCT((M_BOM[RM_Code]=$A90)*M_BOM[RM_Qty_Per_Batch]*IFERROR(INDEX(PP_Grid[#Data],M_BOM[PPGridRow],9),0))</f>
        <v/>
      </c>
      <c r="J90">
        <f>SUMPRODUCT((M_BOM[RM_Code]=$A90)*M_BOM[RM_Qty_Per_Batch]*IFERROR(INDEX(PP_Grid[#Data],M_BOM[PPGridRow],10),0))</f>
        <v/>
      </c>
      <c r="K90">
        <f>SUMPRODUCT((M_BOM[RM_Code]=$A90)*M_BOM[RM_Qty_Per_Batch]*IFERROR(INDEX(PP_Grid[#Data],M_BOM[PPGridRow],11),0))</f>
        <v/>
      </c>
      <c r="L90">
        <f>SUMPRODUCT((M_BOM[RM_Code]=$A90)*M_BOM[RM_Qty_Per_Batch]*IFERROR(INDEX(PP_Grid[#Data],M_BOM[PPGridRow],12),0))</f>
        <v/>
      </c>
      <c r="M90">
        <f>SUMPRODUCT((M_BOM[RM_Code]=$A90)*M_BOM[RM_Qty_Per_Batch]*IFERROR(INDEX(PP_Grid[#Data],M_BOM[PPGridRow],13),0))</f>
        <v/>
      </c>
      <c r="N90">
        <f>SUMPRODUCT((M_BOM[RM_Code]=$A90)*M_BOM[RM_Qty_Per_Batch]*IFERROR(INDEX(PP_Grid[#Data],M_BOM[PPGridRow],14),0))</f>
        <v/>
      </c>
      <c r="O90">
        <f>SUMPRODUCT((M_BOM[RM_Code]=$A90)*M_BOM[RM_Qty_Per_Batch]*IFERROR(INDEX(PP_Grid[#Data],M_BOM[PPGridRow],15),0))</f>
        <v/>
      </c>
      <c r="P90">
        <f>SUMPRODUCT((M_BOM[RM_Code]=$A90)*M_BOM[RM_Qty_Per_Batch]*IFERROR(INDEX(PP_Grid[#Data],M_BOM[PPGridRow],16),0))</f>
        <v/>
      </c>
      <c r="Q90">
        <f>SUMPRODUCT((M_BOM[RM_Code]=$A90)*M_BOM[RM_Qty_Per_Batch]*IFERROR(INDEX(PP_Grid[#Data],M_BOM[PPGridRow],17),0))</f>
        <v/>
      </c>
      <c r="R90">
        <f>SUMPRODUCT((M_BOM[RM_Code]=$A90)*M_BOM[RM_Qty_Per_Batch]*IFERROR(INDEX(PP_Grid[#Data],M_BOM[PPGridRow],18),0))</f>
        <v/>
      </c>
      <c r="S90">
        <f>SUMPRODUCT((M_BOM[RM_Code]=$A90)*M_BOM[RM_Qty_Per_Batch]*IFERROR(INDEX(PP_Grid[#Data],M_BOM[PPGridRow],19),0))</f>
        <v/>
      </c>
      <c r="T90">
        <f>SUMPRODUCT((M_BOM[RM_Code]=$A90)*M_BOM[RM_Qty_Per_Batch]*IFERROR(INDEX(PP_Grid[#Data],M_BOM[PPGridRow],20),0))</f>
        <v/>
      </c>
      <c r="U90">
        <f>SUMPRODUCT((M_BOM[RM_Code]=$A90)*M_BOM[RM_Qty_Per_Batch]*IFERROR(INDEX(PP_Grid[#Data],M_BOM[PPGridRow],21),0))</f>
        <v/>
      </c>
      <c r="V90">
        <f>SUMPRODUCT((M_BOM[RM_Code]=$A90)*M_BOM[RM_Qty_Per_Batch]*IFERROR(INDEX(PP_Grid[#Data],M_BOM[PPGridRow],22),0))</f>
        <v/>
      </c>
      <c r="W90">
        <f>SUMPRODUCT((M_BOM[RM_Code]=$A90)*M_BOM[RM_Qty_Per_Batch]*IFERROR(INDEX(PP_Grid[#Data],M_BOM[PPGridRow],23),0))</f>
        <v/>
      </c>
      <c r="X90">
        <f>SUMPRODUCT((M_BOM[RM_Code]=$A90)*M_BOM[RM_Qty_Per_Batch]*IFERROR(INDEX(PP_Grid[#Data],M_BOM[PPGridRow],24),0))</f>
        <v/>
      </c>
      <c r="Y90">
        <f>SUMPRODUCT((M_BOM[RM_Code]=$A90)*M_BOM[RM_Qty_Per_Batch]*IFERROR(INDEX(PP_Grid[#Data],M_BOM[PPGridRow],25),0))</f>
        <v/>
      </c>
      <c r="Z90">
        <f>SUMPRODUCT((M_BOM[RM_Code]=$A90)*M_BOM[RM_Qty_Per_Batch]*IFERROR(INDEX(PP_Grid[#Data],M_BOM[PPGridRow],26),0))</f>
        <v/>
      </c>
      <c r="AA90">
        <f>SUMPRODUCT((M_BOM[RM_Code]=$A90)*M_BOM[RM_Qty_Per_Batch]*IFERROR(INDEX(PP_Grid[#Data],M_BOM[PPGridRow],27),0))</f>
        <v/>
      </c>
      <c r="AB90">
        <f>SUMPRODUCT((M_BOM[RM_Code]=$A90)*M_BOM[RM_Qty_Per_Batch]*IFERROR(INDEX(PP_Grid[#Data],M_BOM[PPGridRow],28),0))</f>
        <v/>
      </c>
      <c r="AC90">
        <f>SUMPRODUCT((M_BOM[RM_Code]=$A90)*M_BOM[RM_Qty_Per_Batch]*IFERROR(INDEX(PP_Grid[#Data],M_BOM[PPGridRow],29),0))</f>
        <v/>
      </c>
      <c r="AD90">
        <f>SUMPRODUCT((M_BOM[RM_Code]=$A90)*M_BOM[RM_Qty_Per_Batch]*IFERROR(INDEX(PP_Grid[#Data],M_BOM[PPGridRow],30),0))</f>
        <v/>
      </c>
      <c r="AE90">
        <f>SUMPRODUCT((M_BOM[RM_Code]=$A90)*M_BOM[RM_Qty_Per_Batch]*IFERROR(INDEX(PP_Grid[#Data],M_BOM[PPGridRow],31),0))</f>
        <v/>
      </c>
      <c r="AF90">
        <f>SUMPRODUCT((M_BOM[RM_Code]=$A90)*M_BOM[RM_Qty_Per_Batch]*IFERROR(INDEX(PP_Grid[#Data],M_BOM[PPGridRow],32),0))</f>
        <v/>
      </c>
      <c r="AG90">
        <f>SUMPRODUCT((M_BOM[RM_Code]=$A90)*M_BOM[RM_Qty_Per_Batch]*IFERROR(INDEX(PP_Grid[#Data],M_BOM[PPGridRow],33),0))</f>
        <v/>
      </c>
      <c r="AH90">
        <f>SUMPRODUCT((M_BOM[RM_Code]=$A90)*M_BOM[RM_Qty_Per_Batch]*IFERROR(INDEX(PP_Grid[#Data],M_BOM[PPGridRow],34),0))</f>
        <v/>
      </c>
      <c r="AI90">
        <f>SUMPRODUCT((M_BOM[RM_Code]=$A90)*M_BOM[RM_Qty_Per_Batch]*IFERROR(INDEX(PP_Grid[#Data],M_BOM[PPGridRow],35),0))</f>
        <v/>
      </c>
      <c r="AJ90">
        <f>SUMPRODUCT((M_BOM[RM_Code]=$A90)*M_BOM[RM_Qty_Per_Batch]*IFERROR(INDEX(PP_Grid[#Data],M_BOM[PPGridRow],36),0))</f>
        <v/>
      </c>
      <c r="AK90">
        <f>SUMPRODUCT((M_BOM[RM_Code]=$A90)*M_BOM[RM_Qty_Per_Batch]*IFERROR(INDEX(PP_Grid[#Data],M_BOM[PPGridRow],37),0))</f>
        <v/>
      </c>
      <c r="AL90">
        <f>SUMPRODUCT((M_BOM[RM_Code]=$A90)*M_BOM[RM_Qty_Per_Batch]*IFERROR(INDEX(PP_Grid[#Data],M_BOM[PPGridRow],38),0))</f>
        <v/>
      </c>
      <c r="AM90">
        <f>SUMPRODUCT((M_BOM[RM_Code]=$A90)*M_BOM[RM_Qty_Per_Batch]*IFERROR(INDEX(PP_Grid[#Data],M_BOM[PPGridRow],39),0))</f>
        <v/>
      </c>
      <c r="AN90">
        <f>SUMPRODUCT((M_BOM[RM_Code]=$A90)*M_BOM[RM_Qty_Per_Batch]*IFERROR(INDEX(PP_Grid[#Data],M_BOM[PPGridRow],40),0))</f>
        <v/>
      </c>
      <c r="AO90">
        <f>SUMPRODUCT((M_BOM[RM_Code]=$A90)*M_BOM[RM_Qty_Per_Batch]*IFERROR(INDEX(PP_Grid[#Data],M_BOM[PPGridRow],41),0))</f>
        <v/>
      </c>
      <c r="AP90">
        <f>SUMPRODUCT((M_BOM[RM_Code]=$A90)*M_BOM[RM_Qty_Per_Batch]*IFERROR(INDEX(PP_Grid[#Data],M_BOM[PPGridRow],42),0))</f>
        <v/>
      </c>
      <c r="AQ90">
        <f>SUMPRODUCT((M_BOM[RM_Code]=$A90)*M_BOM[RM_Qty_Per_Batch]*IFERROR(INDEX(PP_Grid[#Data],M_BOM[PPGridRow],43),0))</f>
        <v/>
      </c>
      <c r="AR90">
        <f>SUMPRODUCT((M_BOM[RM_Code]=$A90)*M_BOM[RM_Qty_Per_Batch]*IFERROR(INDEX(PP_Grid[#Data],M_BOM[PPGridRow],44),0))</f>
        <v/>
      </c>
      <c r="AS90">
        <f>SUMPRODUCT((M_BOM[RM_Code]=$A90)*M_BOM[RM_Qty_Per_Batch]*IFERROR(INDEX(PP_Grid[#Data],M_BOM[PPGridRow],45),0))</f>
        <v/>
      </c>
      <c r="AT90">
        <f>SUMPRODUCT((M_BOM[RM_Code]=$A90)*M_BOM[RM_Qty_Per_Batch]*IFERROR(INDEX(PP_Grid[#Data],M_BOM[PPGridRow],46),0))</f>
        <v/>
      </c>
      <c r="AU90">
        <f>SUMPRODUCT((M_BOM[RM_Code]=$A90)*M_BOM[RM_Qty_Per_Batch]*IFERROR(INDEX(PP_Grid[#Data],M_BOM[PPGridRow],47),0))</f>
        <v/>
      </c>
      <c r="AV90">
        <f>SUMPRODUCT((M_BOM[RM_Code]=$A90)*M_BOM[RM_Qty_Per_Batch]*IFERROR(INDEX(PP_Grid[#Data],M_BOM[PPGridRow],48),0))</f>
        <v/>
      </c>
      <c r="AW90">
        <f>SUMPRODUCT((M_BOM[RM_Code]=$A90)*M_BOM[RM_Qty_Per_Batch]*IFERROR(INDEX(PP_Grid[#Data],M_BOM[PPGridRow],49),0))</f>
        <v/>
      </c>
      <c r="AX90">
        <f>SUMPRODUCT((M_BOM[RM_Code]=$A90)*M_BOM[RM_Qty_Per_Batch]*IFERROR(INDEX(PP_Grid[#Data],M_BOM[PPGridRow],50),0))</f>
        <v/>
      </c>
      <c r="AY90">
        <f>SUMPRODUCT((M_BOM[RM_Code]=$A90)*M_BOM[RM_Qty_Per_Batch]*IFERROR(INDEX(PP_Grid[#Data],M_BOM[PPGridRow],51),0))</f>
        <v/>
      </c>
      <c r="AZ90">
        <f>SUMPRODUCT((M_BOM[RM_Code]=$A90)*M_BOM[RM_Qty_Per_Batch]*IFERROR(INDEX(PP_Grid[#Data],M_BOM[PPGridRow],52),0))</f>
        <v/>
      </c>
      <c r="BA90">
        <f>SUMPRODUCT((M_BOM[RM_Code]=$A90)*M_BOM[RM_Qty_Per_Batch]*IFERROR(INDEX(PP_Grid[#Data],M_BOM[PPGridRow],53),0))</f>
        <v/>
      </c>
      <c r="BB90">
        <f>SUMPRODUCT((M_BOM[RM_Code]=$A90)*M_BOM[RM_Qty_Per_Batch]*IFERROR(INDEX(PP_Grid[#Data],M_BOM[PPGridRow],54),0))</f>
        <v/>
      </c>
      <c r="BC90">
        <f>SUMPRODUCT((M_BOM[RM_Code]=$A90)*M_BOM[RM_Qty_Per_Batch]*IFERROR(INDEX(PP_Grid[#Data],M_BOM[PPGridRow],55),0))</f>
        <v/>
      </c>
      <c r="BD90">
        <f>SUMPRODUCT((M_BOM[RM_Code]=$A90)*M_BOM[RM_Qty_Per_Batch]*IFERROR(INDEX(PP_Grid[#Data],M_BOM[PPGridRow],56),0))</f>
        <v/>
      </c>
      <c r="BE90">
        <f>SUMPRODUCT((M_BOM[RM_Code]=$A90)*M_BOM[RM_Qty_Per_Batch]*IFERROR(INDEX(PP_Grid[#Data],M_BOM[PPGridRow],57),0))</f>
        <v/>
      </c>
      <c r="BF90">
        <f>SUMPRODUCT((M_BOM[RM_Code]=$A90)*M_BOM[RM_Qty_Per_Batch]*IFERROR(INDEX(PP_Grid[#Data],M_BOM[PPGridRow],58),0))</f>
        <v/>
      </c>
      <c r="BG90">
        <f>SUMPRODUCT((M_BOM[RM_Code]=$A90)*M_BOM[RM_Qty_Per_Batch]*IFERROR(INDEX(PP_Grid[#Data],M_BOM[PPGridRow],59),0))</f>
        <v/>
      </c>
      <c r="BH90">
        <f>SUMPRODUCT((M_BOM[RM_Code]=$A90)*M_BOM[RM_Qty_Per_Batch]*IFERROR(INDEX(PP_Grid[#Data],M_BOM[PPGridRow],60),0))</f>
        <v/>
      </c>
      <c r="BI90">
        <f>SUMPRODUCT((M_BOM[RM_Code]=$A90)*M_BOM[RM_Qty_Per_Batch]*IFERROR(INDEX(PP_Grid[#Data],M_BOM[PPGridRow],61),0))</f>
        <v/>
      </c>
      <c r="BJ90">
        <f>SUMPRODUCT((M_BOM[RM_Code]=$A90)*M_BOM[RM_Qty_Per_Batch]*IFERROR(INDEX(PP_Grid[#Data],M_BOM[PPGridRow],62),0))</f>
        <v/>
      </c>
      <c r="BK90">
        <f>SUMPRODUCT((M_BOM[RM_Code]=$A90)*M_BOM[RM_Qty_Per_Batch]*IFERROR(INDEX(PP_Grid[#Data],M_BOM[PPGridRow],63),0))</f>
        <v/>
      </c>
      <c r="BL90">
        <f>SUMPRODUCT((M_BOM[RM_Code]=$A90)*M_BOM[RM_Qty_Per_Batch]*IFERROR(INDEX(PP_Grid[#Data],M_BOM[PPGridRow],64),0))</f>
        <v/>
      </c>
      <c r="BM90">
        <f>SUMPRODUCT((M_BOM[RM_Code]=$A90)*M_BOM[RM_Qty_Per_Batch]*IFERROR(INDEX(PP_Grid[#Data],M_BOM[PPGridRow],65),0))</f>
        <v/>
      </c>
      <c r="BN90">
        <f>SUMPRODUCT((M_BOM[RM_Code]=$A90)*M_BOM[RM_Qty_Per_Batch]*IFERROR(INDEX(PP_Grid[#Data],M_BOM[PPGridRow],66),0))</f>
        <v/>
      </c>
      <c r="BO90">
        <f>SUMPRODUCT((M_BOM[RM_Code]=$A90)*M_BOM[RM_Qty_Per_Batch]*IFERROR(INDEX(PP_Grid[#Data],M_BOM[PPGridRow],67),0))</f>
        <v/>
      </c>
      <c r="BP90">
        <f>SUMPRODUCT((M_BOM[RM_Code]=$A90)*M_BOM[RM_Qty_Per_Batch]*IFERROR(INDEX(PP_Grid[#Data],M_BOM[PPGridRow],68),0))</f>
        <v/>
      </c>
      <c r="BQ90">
        <f>SUMPRODUCT((M_BOM[RM_Code]=$A90)*M_BOM[RM_Qty_Per_Batch]*IFERROR(INDEX(PP_Grid[#Data],M_BOM[PPGridRow],69),0))</f>
        <v/>
      </c>
      <c r="BR90">
        <f>SUMPRODUCT((M_BOM[RM_Code]=$A90)*M_BOM[RM_Qty_Per_Batch]*IFERROR(INDEX(PP_Grid[#Data],M_BOM[PPGridRow],70),0))</f>
        <v/>
      </c>
      <c r="BS90">
        <f>SUMPRODUCT((M_BOM[RM_Code]=$A90)*M_BOM[RM_Qty_Per_Batch]*IFERROR(INDEX(PP_Grid[#Data],M_BOM[PPGridRow],71),0))</f>
        <v/>
      </c>
      <c r="BT90">
        <f>SUMPRODUCT((M_BOM[RM_Code]=$A90)*M_BOM[RM_Qty_Per_Batch]*IFERROR(INDEX(PP_Grid[#Data],M_BOM[PPGridRow],72),0))</f>
        <v/>
      </c>
      <c r="BU90">
        <f>SUMPRODUCT((M_BOM[RM_Code]=$A90)*M_BOM[RM_Qty_Per_Batch]*IFERROR(INDEX(PP_Grid[#Data],M_BOM[PPGridRow],73),0))</f>
        <v/>
      </c>
      <c r="BV90">
        <f>SUMPRODUCT((M_BOM[RM_Code]=$A90)*M_BOM[RM_Qty_Per_Batch]*IFERROR(INDEX(PP_Grid[#Data],M_BOM[PPGridRow],74),0))</f>
        <v/>
      </c>
      <c r="BW90">
        <f>SUMPRODUCT((M_BOM[RM_Code]=$A90)*M_BOM[RM_Qty_Per_Batch]*IFERROR(INDEX(PP_Grid[#Data],M_BOM[PPGridRow],75),0))</f>
        <v/>
      </c>
      <c r="BX90">
        <f>SUMPRODUCT((M_BOM[RM_Code]=$A90)*M_BOM[RM_Qty_Per_Batch]*IFERROR(INDEX(PP_Grid[#Data],M_BOM[PPGridRow],76),0))</f>
        <v/>
      </c>
      <c r="BY90">
        <f>SUMPRODUCT((M_BOM[RM_Code]=$A90)*M_BOM[RM_Qty_Per_Batch]*IFERROR(INDEX(PP_Grid[#Data],M_BOM[PPGridRow],77),0))</f>
        <v/>
      </c>
      <c r="BZ90">
        <f>SUMPRODUCT((M_BOM[RM_Code]=$A90)*M_BOM[RM_Qty_Per_Batch]*IFERROR(INDEX(PP_Grid[#Data],M_BOM[PPGridRow],78),0))</f>
        <v/>
      </c>
      <c r="CA90">
        <f>SUMPRODUCT((M_BOM[RM_Code]=$A90)*M_BOM[RM_Qty_Per_Batch]*IFERROR(INDEX(PP_Grid[#Data],M_BOM[PPGridRow],79),0))</f>
        <v/>
      </c>
      <c r="CB90">
        <f>SUMPRODUCT((M_BOM[RM_Code]=$A90)*M_BOM[RM_Qty_Per_Batch]*IFERROR(INDEX(PP_Grid[#Data],M_BOM[PPGridRow],80),0))</f>
        <v/>
      </c>
      <c r="CC90">
        <f>SUMPRODUCT((M_BOM[RM_Code]=$A90)*M_BOM[RM_Qty_Per_Batch]*IFERROR(INDEX(PP_Grid[#Data],M_BOM[PPGridRow],81),0))</f>
        <v/>
      </c>
      <c r="CD90">
        <f>SUMPRODUCT((M_BOM[RM_Code]=$A90)*M_BOM[RM_Qty_Per_Batch]*IFERROR(INDEX(PP_Grid[#Data],M_BOM[PPGridRow],82),0))</f>
        <v/>
      </c>
      <c r="CE90">
        <f>SUMPRODUCT((M_BOM[RM_Code]=$A90)*M_BOM[RM_Qty_Per_Batch]*IFERROR(INDEX(PP_Grid[#Data],M_BOM[PPGridRow],83),0))</f>
        <v/>
      </c>
      <c r="CF90">
        <f>SUMPRODUCT((M_BOM[RM_Code]=$A90)*M_BOM[RM_Qty_Per_Batch]*IFERROR(INDEX(PP_Grid[#Data],M_BOM[PPGridRow],84),0))</f>
        <v/>
      </c>
      <c r="CG90">
        <f>SUMPRODUCT((M_BOM[RM_Code]=$A90)*M_BOM[RM_Qty_Per_Batch]*IFERROR(INDEX(PP_Grid[#Data],M_BOM[PPGridRow],85),0))</f>
        <v/>
      </c>
      <c r="CH90">
        <f>SUMPRODUCT((M_BOM[RM_Code]=$A90)*M_BOM[RM_Qty_Per_Batch]*IFERROR(INDEX(PP_Grid[#Data],M_BOM[PPGridRow],86),0))</f>
        <v/>
      </c>
      <c r="CI90">
        <f>SUMPRODUCT((M_BOM[RM_Code]=$A90)*M_BOM[RM_Qty_Per_Batch]*IFERROR(INDEX(PP_Grid[#Data],M_BOM[PPGridRow],87),0))</f>
        <v/>
      </c>
      <c r="CJ90">
        <f>SUMPRODUCT((M_BOM[RM_Code]=$A90)*M_BOM[RM_Qty_Per_Batch]*IFERROR(INDEX(PP_Grid[#Data],M_BOM[PPGridRow],88),0))</f>
        <v/>
      </c>
      <c r="CK90">
        <f>SUMPRODUCT((M_BOM[RM_Code]=$A90)*M_BOM[RM_Qty_Per_Batch]*IFERROR(INDEX(PP_Grid[#Data],M_BOM[PPGridRow],89),0))</f>
        <v/>
      </c>
      <c r="CL90">
        <f>SUMPRODUCT((M_BOM[RM_Code]=$A90)*M_BOM[RM_Qty_Per_Batch]*IFERROR(INDEX(PP_Grid[#Data],M_BOM[PPGridRow],90),0))</f>
        <v/>
      </c>
      <c r="CM90">
        <f>SUMPRODUCT((M_BOM[RM_Code]=$A90)*M_BOM[RM_Qty_Per_Batch]*IFERROR(INDEX(PP_Grid[#Data],M_BOM[PPGridRow],91),0))</f>
        <v/>
      </c>
      <c r="CN90">
        <f>SUMPRODUCT((M_BOM[RM_Code]=$A90)*M_BOM[RM_Qty_Per_Batch]*IFERROR(INDEX(PP_Grid[#Data],M_BOM[PPGridRow],92),0))</f>
        <v/>
      </c>
      <c r="CO90">
        <f>SUMPRODUCT((M_BOM[RM_Code]=$A90)*M_BOM[RM_Qty_Per_Batch]*IFERROR(INDEX(PP_Grid[#Data],M_BOM[PPGridRow],93),0))</f>
        <v/>
      </c>
      <c r="CP90">
        <f>SUMPRODUCT((M_BOM[RM_Code]=$A90)*M_BOM[RM_Qty_Per_Batch]*IFERROR(INDEX(PP_Grid[#Data],M_BOM[PPGridRow],94),0))</f>
        <v/>
      </c>
      <c r="CQ90">
        <f>SUMPRODUCT((M_BOM[RM_Code]=$A90)*M_BOM[RM_Qty_Per_Batch]*IFERROR(INDEX(PP_Grid[#Data],M_BOM[PPGridRow],95),0))</f>
        <v/>
      </c>
      <c r="CR90">
        <f>SUMPRODUCT((M_BOM[RM_Code]=$A90)*M_BOM[RM_Qty_Per_Batch]*IFERROR(INDEX(PP_Grid[#Data],M_BOM[PPGridRow],96),0))</f>
        <v/>
      </c>
      <c r="CS90">
        <f>SUMPRODUCT((M_BOM[RM_Code]=$A90)*M_BOM[RM_Qty_Per_Batch]*IFERROR(INDEX(PP_Grid[#Data],M_BOM[PPGridRow],97),0))</f>
        <v/>
      </c>
      <c r="CT90">
        <f>SUMPRODUCT((M_BOM[RM_Code]=$A90)*M_BOM[RM_Qty_Per_Batch]*IFERROR(INDEX(PP_Grid[#Data],M_BOM[PPGridRow],98),0))</f>
        <v/>
      </c>
      <c r="CU90">
        <f>SUMPRODUCT((M_BOM[RM_Code]=$A90)*M_BOM[RM_Qty_Per_Batch]*IFERROR(INDEX(PP_Grid[#Data],M_BOM[PPGridRow],99),0))</f>
        <v/>
      </c>
      <c r="CV90">
        <f>SUMPRODUCT((M_BOM[RM_Code]=$A90)*M_BOM[RM_Qty_Per_Batch]*IFERROR(INDEX(PP_Grid[#Data],M_BOM[PPGridRow],100),0))</f>
        <v/>
      </c>
      <c r="CW90">
        <f>SUMPRODUCT((M_BOM[RM_Code]=$A90)*M_BOM[RM_Qty_Per_Batch]*IFERROR(INDEX(PP_Grid[#Data],M_BOM[PPGridRow],101),0))</f>
        <v/>
      </c>
      <c r="CX90">
        <f>SUMPRODUCT((M_BOM[RM_Code]=$A90)*M_BOM[RM_Qty_Per_Batch]*IFERROR(INDEX(PP_Grid[#Data],M_BOM[PPGridRow],102),0))</f>
        <v/>
      </c>
      <c r="CY90">
        <f>SUMPRODUCT((M_BOM[RM_Code]=$A90)*M_BOM[RM_Qty_Per_Batch]*IFERROR(INDEX(PP_Grid[#Data],M_BOM[PPGridRow],103),0))</f>
        <v/>
      </c>
      <c r="CZ90">
        <f>SUMPRODUCT((M_BOM[RM_Code]=$A90)*M_BOM[RM_Qty_Per_Batch]*IFERROR(INDEX(PP_Grid[#Data],M_BOM[PPGridRow],104),0))</f>
        <v/>
      </c>
      <c r="DA90">
        <f>SUMPRODUCT((M_BOM[RM_Code]=$A90)*M_BOM[RM_Qty_Per_Batch]*IFERROR(INDEX(PP_Grid[#Data],M_BOM[PPGridRow],105),0))</f>
        <v/>
      </c>
    </row>
    <row r="91">
      <c r="A91" t="inlineStr">
        <is>
          <t>CHEM-1610</t>
        </is>
      </c>
      <c r="B91">
        <f>SUMPRODUCT((M_BOM[RM_Code]=$A91)*M_BOM[RM_Qty_Per_Batch]*IFERROR(INDEX(PP_Grid[#Data],M_BOM[PPGridRow],2),0))</f>
        <v/>
      </c>
      <c r="C91">
        <f>SUMPRODUCT((M_BOM[RM_Code]=$A91)*M_BOM[RM_Qty_Per_Batch]*IFERROR(INDEX(PP_Grid[#Data],M_BOM[PPGridRow],3),0))</f>
        <v/>
      </c>
      <c r="D91">
        <f>SUMPRODUCT((M_BOM[RM_Code]=$A91)*M_BOM[RM_Qty_Per_Batch]*IFERROR(INDEX(PP_Grid[#Data],M_BOM[PPGridRow],4),0))</f>
        <v/>
      </c>
      <c r="E91">
        <f>SUMPRODUCT((M_BOM[RM_Code]=$A91)*M_BOM[RM_Qty_Per_Batch]*IFERROR(INDEX(PP_Grid[#Data],M_BOM[PPGridRow],5),0))</f>
        <v/>
      </c>
      <c r="F91">
        <f>SUMPRODUCT((M_BOM[RM_Code]=$A91)*M_BOM[RM_Qty_Per_Batch]*IFERROR(INDEX(PP_Grid[#Data],M_BOM[PPGridRow],6),0))</f>
        <v/>
      </c>
      <c r="G91">
        <f>SUMPRODUCT((M_BOM[RM_Code]=$A91)*M_BOM[RM_Qty_Per_Batch]*IFERROR(INDEX(PP_Grid[#Data],M_BOM[PPGridRow],7),0))</f>
        <v/>
      </c>
      <c r="H91">
        <f>SUMPRODUCT((M_BOM[RM_Code]=$A91)*M_BOM[RM_Qty_Per_Batch]*IFERROR(INDEX(PP_Grid[#Data],M_BOM[PPGridRow],8),0))</f>
        <v/>
      </c>
      <c r="I91">
        <f>SUMPRODUCT((M_BOM[RM_Code]=$A91)*M_BOM[RM_Qty_Per_Batch]*IFERROR(INDEX(PP_Grid[#Data],M_BOM[PPGridRow],9),0))</f>
        <v/>
      </c>
      <c r="J91">
        <f>SUMPRODUCT((M_BOM[RM_Code]=$A91)*M_BOM[RM_Qty_Per_Batch]*IFERROR(INDEX(PP_Grid[#Data],M_BOM[PPGridRow],10),0))</f>
        <v/>
      </c>
      <c r="K91">
        <f>SUMPRODUCT((M_BOM[RM_Code]=$A91)*M_BOM[RM_Qty_Per_Batch]*IFERROR(INDEX(PP_Grid[#Data],M_BOM[PPGridRow],11),0))</f>
        <v/>
      </c>
      <c r="L91">
        <f>SUMPRODUCT((M_BOM[RM_Code]=$A91)*M_BOM[RM_Qty_Per_Batch]*IFERROR(INDEX(PP_Grid[#Data],M_BOM[PPGridRow],12),0))</f>
        <v/>
      </c>
      <c r="M91">
        <f>SUMPRODUCT((M_BOM[RM_Code]=$A91)*M_BOM[RM_Qty_Per_Batch]*IFERROR(INDEX(PP_Grid[#Data],M_BOM[PPGridRow],13),0))</f>
        <v/>
      </c>
      <c r="N91">
        <f>SUMPRODUCT((M_BOM[RM_Code]=$A91)*M_BOM[RM_Qty_Per_Batch]*IFERROR(INDEX(PP_Grid[#Data],M_BOM[PPGridRow],14),0))</f>
        <v/>
      </c>
      <c r="O91">
        <f>SUMPRODUCT((M_BOM[RM_Code]=$A91)*M_BOM[RM_Qty_Per_Batch]*IFERROR(INDEX(PP_Grid[#Data],M_BOM[PPGridRow],15),0))</f>
        <v/>
      </c>
      <c r="P91">
        <f>SUMPRODUCT((M_BOM[RM_Code]=$A91)*M_BOM[RM_Qty_Per_Batch]*IFERROR(INDEX(PP_Grid[#Data],M_BOM[PPGridRow],16),0))</f>
        <v/>
      </c>
      <c r="Q91">
        <f>SUMPRODUCT((M_BOM[RM_Code]=$A91)*M_BOM[RM_Qty_Per_Batch]*IFERROR(INDEX(PP_Grid[#Data],M_BOM[PPGridRow],17),0))</f>
        <v/>
      </c>
      <c r="R91">
        <f>SUMPRODUCT((M_BOM[RM_Code]=$A91)*M_BOM[RM_Qty_Per_Batch]*IFERROR(INDEX(PP_Grid[#Data],M_BOM[PPGridRow],18),0))</f>
        <v/>
      </c>
      <c r="S91">
        <f>SUMPRODUCT((M_BOM[RM_Code]=$A91)*M_BOM[RM_Qty_Per_Batch]*IFERROR(INDEX(PP_Grid[#Data],M_BOM[PPGridRow],19),0))</f>
        <v/>
      </c>
      <c r="T91">
        <f>SUMPRODUCT((M_BOM[RM_Code]=$A91)*M_BOM[RM_Qty_Per_Batch]*IFERROR(INDEX(PP_Grid[#Data],M_BOM[PPGridRow],20),0))</f>
        <v/>
      </c>
      <c r="U91">
        <f>SUMPRODUCT((M_BOM[RM_Code]=$A91)*M_BOM[RM_Qty_Per_Batch]*IFERROR(INDEX(PP_Grid[#Data],M_BOM[PPGridRow],21),0))</f>
        <v/>
      </c>
      <c r="V91">
        <f>SUMPRODUCT((M_BOM[RM_Code]=$A91)*M_BOM[RM_Qty_Per_Batch]*IFERROR(INDEX(PP_Grid[#Data],M_BOM[PPGridRow],22),0))</f>
        <v/>
      </c>
      <c r="W91">
        <f>SUMPRODUCT((M_BOM[RM_Code]=$A91)*M_BOM[RM_Qty_Per_Batch]*IFERROR(INDEX(PP_Grid[#Data],M_BOM[PPGridRow],23),0))</f>
        <v/>
      </c>
      <c r="X91">
        <f>SUMPRODUCT((M_BOM[RM_Code]=$A91)*M_BOM[RM_Qty_Per_Batch]*IFERROR(INDEX(PP_Grid[#Data],M_BOM[PPGridRow],24),0))</f>
        <v/>
      </c>
      <c r="Y91">
        <f>SUMPRODUCT((M_BOM[RM_Code]=$A91)*M_BOM[RM_Qty_Per_Batch]*IFERROR(INDEX(PP_Grid[#Data],M_BOM[PPGridRow],25),0))</f>
        <v/>
      </c>
      <c r="Z91">
        <f>SUMPRODUCT((M_BOM[RM_Code]=$A91)*M_BOM[RM_Qty_Per_Batch]*IFERROR(INDEX(PP_Grid[#Data],M_BOM[PPGridRow],26),0))</f>
        <v/>
      </c>
      <c r="AA91">
        <f>SUMPRODUCT((M_BOM[RM_Code]=$A91)*M_BOM[RM_Qty_Per_Batch]*IFERROR(INDEX(PP_Grid[#Data],M_BOM[PPGridRow],27),0))</f>
        <v/>
      </c>
      <c r="AB91">
        <f>SUMPRODUCT((M_BOM[RM_Code]=$A91)*M_BOM[RM_Qty_Per_Batch]*IFERROR(INDEX(PP_Grid[#Data],M_BOM[PPGridRow],28),0))</f>
        <v/>
      </c>
      <c r="AC91">
        <f>SUMPRODUCT((M_BOM[RM_Code]=$A91)*M_BOM[RM_Qty_Per_Batch]*IFERROR(INDEX(PP_Grid[#Data],M_BOM[PPGridRow],29),0))</f>
        <v/>
      </c>
      <c r="AD91">
        <f>SUMPRODUCT((M_BOM[RM_Code]=$A91)*M_BOM[RM_Qty_Per_Batch]*IFERROR(INDEX(PP_Grid[#Data],M_BOM[PPGridRow],30),0))</f>
        <v/>
      </c>
      <c r="AE91">
        <f>SUMPRODUCT((M_BOM[RM_Code]=$A91)*M_BOM[RM_Qty_Per_Batch]*IFERROR(INDEX(PP_Grid[#Data],M_BOM[PPGridRow],31),0))</f>
        <v/>
      </c>
      <c r="AF91">
        <f>SUMPRODUCT((M_BOM[RM_Code]=$A91)*M_BOM[RM_Qty_Per_Batch]*IFERROR(INDEX(PP_Grid[#Data],M_BOM[PPGridRow],32),0))</f>
        <v/>
      </c>
      <c r="AG91">
        <f>SUMPRODUCT((M_BOM[RM_Code]=$A91)*M_BOM[RM_Qty_Per_Batch]*IFERROR(INDEX(PP_Grid[#Data],M_BOM[PPGridRow],33),0))</f>
        <v/>
      </c>
      <c r="AH91">
        <f>SUMPRODUCT((M_BOM[RM_Code]=$A91)*M_BOM[RM_Qty_Per_Batch]*IFERROR(INDEX(PP_Grid[#Data],M_BOM[PPGridRow],34),0))</f>
        <v/>
      </c>
      <c r="AI91">
        <f>SUMPRODUCT((M_BOM[RM_Code]=$A91)*M_BOM[RM_Qty_Per_Batch]*IFERROR(INDEX(PP_Grid[#Data],M_BOM[PPGridRow],35),0))</f>
        <v/>
      </c>
      <c r="AJ91">
        <f>SUMPRODUCT((M_BOM[RM_Code]=$A91)*M_BOM[RM_Qty_Per_Batch]*IFERROR(INDEX(PP_Grid[#Data],M_BOM[PPGridRow],36),0))</f>
        <v/>
      </c>
      <c r="AK91">
        <f>SUMPRODUCT((M_BOM[RM_Code]=$A91)*M_BOM[RM_Qty_Per_Batch]*IFERROR(INDEX(PP_Grid[#Data],M_BOM[PPGridRow],37),0))</f>
        <v/>
      </c>
      <c r="AL91">
        <f>SUMPRODUCT((M_BOM[RM_Code]=$A91)*M_BOM[RM_Qty_Per_Batch]*IFERROR(INDEX(PP_Grid[#Data],M_BOM[PPGridRow],38),0))</f>
        <v/>
      </c>
      <c r="AM91">
        <f>SUMPRODUCT((M_BOM[RM_Code]=$A91)*M_BOM[RM_Qty_Per_Batch]*IFERROR(INDEX(PP_Grid[#Data],M_BOM[PPGridRow],39),0))</f>
        <v/>
      </c>
      <c r="AN91">
        <f>SUMPRODUCT((M_BOM[RM_Code]=$A91)*M_BOM[RM_Qty_Per_Batch]*IFERROR(INDEX(PP_Grid[#Data],M_BOM[PPGridRow],40),0))</f>
        <v/>
      </c>
      <c r="AO91">
        <f>SUMPRODUCT((M_BOM[RM_Code]=$A91)*M_BOM[RM_Qty_Per_Batch]*IFERROR(INDEX(PP_Grid[#Data],M_BOM[PPGridRow],41),0))</f>
        <v/>
      </c>
      <c r="AP91">
        <f>SUMPRODUCT((M_BOM[RM_Code]=$A91)*M_BOM[RM_Qty_Per_Batch]*IFERROR(INDEX(PP_Grid[#Data],M_BOM[PPGridRow],42),0))</f>
        <v/>
      </c>
      <c r="AQ91">
        <f>SUMPRODUCT((M_BOM[RM_Code]=$A91)*M_BOM[RM_Qty_Per_Batch]*IFERROR(INDEX(PP_Grid[#Data],M_BOM[PPGridRow],43),0))</f>
        <v/>
      </c>
      <c r="AR91">
        <f>SUMPRODUCT((M_BOM[RM_Code]=$A91)*M_BOM[RM_Qty_Per_Batch]*IFERROR(INDEX(PP_Grid[#Data],M_BOM[PPGridRow],44),0))</f>
        <v/>
      </c>
      <c r="AS91">
        <f>SUMPRODUCT((M_BOM[RM_Code]=$A91)*M_BOM[RM_Qty_Per_Batch]*IFERROR(INDEX(PP_Grid[#Data],M_BOM[PPGridRow],45),0))</f>
        <v/>
      </c>
      <c r="AT91">
        <f>SUMPRODUCT((M_BOM[RM_Code]=$A91)*M_BOM[RM_Qty_Per_Batch]*IFERROR(INDEX(PP_Grid[#Data],M_BOM[PPGridRow],46),0))</f>
        <v/>
      </c>
      <c r="AU91">
        <f>SUMPRODUCT((M_BOM[RM_Code]=$A91)*M_BOM[RM_Qty_Per_Batch]*IFERROR(INDEX(PP_Grid[#Data],M_BOM[PPGridRow],47),0))</f>
        <v/>
      </c>
      <c r="AV91">
        <f>SUMPRODUCT((M_BOM[RM_Code]=$A91)*M_BOM[RM_Qty_Per_Batch]*IFERROR(INDEX(PP_Grid[#Data],M_BOM[PPGridRow],48),0))</f>
        <v/>
      </c>
      <c r="AW91">
        <f>SUMPRODUCT((M_BOM[RM_Code]=$A91)*M_BOM[RM_Qty_Per_Batch]*IFERROR(INDEX(PP_Grid[#Data],M_BOM[PPGridRow],49),0))</f>
        <v/>
      </c>
      <c r="AX91">
        <f>SUMPRODUCT((M_BOM[RM_Code]=$A91)*M_BOM[RM_Qty_Per_Batch]*IFERROR(INDEX(PP_Grid[#Data],M_BOM[PPGridRow],50),0))</f>
        <v/>
      </c>
      <c r="AY91">
        <f>SUMPRODUCT((M_BOM[RM_Code]=$A91)*M_BOM[RM_Qty_Per_Batch]*IFERROR(INDEX(PP_Grid[#Data],M_BOM[PPGridRow],51),0))</f>
        <v/>
      </c>
      <c r="AZ91">
        <f>SUMPRODUCT((M_BOM[RM_Code]=$A91)*M_BOM[RM_Qty_Per_Batch]*IFERROR(INDEX(PP_Grid[#Data],M_BOM[PPGridRow],52),0))</f>
        <v/>
      </c>
      <c r="BA91">
        <f>SUMPRODUCT((M_BOM[RM_Code]=$A91)*M_BOM[RM_Qty_Per_Batch]*IFERROR(INDEX(PP_Grid[#Data],M_BOM[PPGridRow],53),0))</f>
        <v/>
      </c>
      <c r="BB91">
        <f>SUMPRODUCT((M_BOM[RM_Code]=$A91)*M_BOM[RM_Qty_Per_Batch]*IFERROR(INDEX(PP_Grid[#Data],M_BOM[PPGridRow],54),0))</f>
        <v/>
      </c>
      <c r="BC91">
        <f>SUMPRODUCT((M_BOM[RM_Code]=$A91)*M_BOM[RM_Qty_Per_Batch]*IFERROR(INDEX(PP_Grid[#Data],M_BOM[PPGridRow],55),0))</f>
        <v/>
      </c>
      <c r="BD91">
        <f>SUMPRODUCT((M_BOM[RM_Code]=$A91)*M_BOM[RM_Qty_Per_Batch]*IFERROR(INDEX(PP_Grid[#Data],M_BOM[PPGridRow],56),0))</f>
        <v/>
      </c>
      <c r="BE91">
        <f>SUMPRODUCT((M_BOM[RM_Code]=$A91)*M_BOM[RM_Qty_Per_Batch]*IFERROR(INDEX(PP_Grid[#Data],M_BOM[PPGridRow],57),0))</f>
        <v/>
      </c>
      <c r="BF91">
        <f>SUMPRODUCT((M_BOM[RM_Code]=$A91)*M_BOM[RM_Qty_Per_Batch]*IFERROR(INDEX(PP_Grid[#Data],M_BOM[PPGridRow],58),0))</f>
        <v/>
      </c>
      <c r="BG91">
        <f>SUMPRODUCT((M_BOM[RM_Code]=$A91)*M_BOM[RM_Qty_Per_Batch]*IFERROR(INDEX(PP_Grid[#Data],M_BOM[PPGridRow],59),0))</f>
        <v/>
      </c>
      <c r="BH91">
        <f>SUMPRODUCT((M_BOM[RM_Code]=$A91)*M_BOM[RM_Qty_Per_Batch]*IFERROR(INDEX(PP_Grid[#Data],M_BOM[PPGridRow],60),0))</f>
        <v/>
      </c>
      <c r="BI91">
        <f>SUMPRODUCT((M_BOM[RM_Code]=$A91)*M_BOM[RM_Qty_Per_Batch]*IFERROR(INDEX(PP_Grid[#Data],M_BOM[PPGridRow],61),0))</f>
        <v/>
      </c>
      <c r="BJ91">
        <f>SUMPRODUCT((M_BOM[RM_Code]=$A91)*M_BOM[RM_Qty_Per_Batch]*IFERROR(INDEX(PP_Grid[#Data],M_BOM[PPGridRow],62),0))</f>
        <v/>
      </c>
      <c r="BK91">
        <f>SUMPRODUCT((M_BOM[RM_Code]=$A91)*M_BOM[RM_Qty_Per_Batch]*IFERROR(INDEX(PP_Grid[#Data],M_BOM[PPGridRow],63),0))</f>
        <v/>
      </c>
      <c r="BL91">
        <f>SUMPRODUCT((M_BOM[RM_Code]=$A91)*M_BOM[RM_Qty_Per_Batch]*IFERROR(INDEX(PP_Grid[#Data],M_BOM[PPGridRow],64),0))</f>
        <v/>
      </c>
      <c r="BM91">
        <f>SUMPRODUCT((M_BOM[RM_Code]=$A91)*M_BOM[RM_Qty_Per_Batch]*IFERROR(INDEX(PP_Grid[#Data],M_BOM[PPGridRow],65),0))</f>
        <v/>
      </c>
      <c r="BN91">
        <f>SUMPRODUCT((M_BOM[RM_Code]=$A91)*M_BOM[RM_Qty_Per_Batch]*IFERROR(INDEX(PP_Grid[#Data],M_BOM[PPGridRow],66),0))</f>
        <v/>
      </c>
      <c r="BO91">
        <f>SUMPRODUCT((M_BOM[RM_Code]=$A91)*M_BOM[RM_Qty_Per_Batch]*IFERROR(INDEX(PP_Grid[#Data],M_BOM[PPGridRow],67),0))</f>
        <v/>
      </c>
      <c r="BP91">
        <f>SUMPRODUCT((M_BOM[RM_Code]=$A91)*M_BOM[RM_Qty_Per_Batch]*IFERROR(INDEX(PP_Grid[#Data],M_BOM[PPGridRow],68),0))</f>
        <v/>
      </c>
      <c r="BQ91">
        <f>SUMPRODUCT((M_BOM[RM_Code]=$A91)*M_BOM[RM_Qty_Per_Batch]*IFERROR(INDEX(PP_Grid[#Data],M_BOM[PPGridRow],69),0))</f>
        <v/>
      </c>
      <c r="BR91">
        <f>SUMPRODUCT((M_BOM[RM_Code]=$A91)*M_BOM[RM_Qty_Per_Batch]*IFERROR(INDEX(PP_Grid[#Data],M_BOM[PPGridRow],70),0))</f>
        <v/>
      </c>
      <c r="BS91">
        <f>SUMPRODUCT((M_BOM[RM_Code]=$A91)*M_BOM[RM_Qty_Per_Batch]*IFERROR(INDEX(PP_Grid[#Data],M_BOM[PPGridRow],71),0))</f>
        <v/>
      </c>
      <c r="BT91">
        <f>SUMPRODUCT((M_BOM[RM_Code]=$A91)*M_BOM[RM_Qty_Per_Batch]*IFERROR(INDEX(PP_Grid[#Data],M_BOM[PPGridRow],72),0))</f>
        <v/>
      </c>
      <c r="BU91">
        <f>SUMPRODUCT((M_BOM[RM_Code]=$A91)*M_BOM[RM_Qty_Per_Batch]*IFERROR(INDEX(PP_Grid[#Data],M_BOM[PPGridRow],73),0))</f>
        <v/>
      </c>
      <c r="BV91">
        <f>SUMPRODUCT((M_BOM[RM_Code]=$A91)*M_BOM[RM_Qty_Per_Batch]*IFERROR(INDEX(PP_Grid[#Data],M_BOM[PPGridRow],74),0))</f>
        <v/>
      </c>
      <c r="BW91">
        <f>SUMPRODUCT((M_BOM[RM_Code]=$A91)*M_BOM[RM_Qty_Per_Batch]*IFERROR(INDEX(PP_Grid[#Data],M_BOM[PPGridRow],75),0))</f>
        <v/>
      </c>
      <c r="BX91">
        <f>SUMPRODUCT((M_BOM[RM_Code]=$A91)*M_BOM[RM_Qty_Per_Batch]*IFERROR(INDEX(PP_Grid[#Data],M_BOM[PPGridRow],76),0))</f>
        <v/>
      </c>
      <c r="BY91">
        <f>SUMPRODUCT((M_BOM[RM_Code]=$A91)*M_BOM[RM_Qty_Per_Batch]*IFERROR(INDEX(PP_Grid[#Data],M_BOM[PPGridRow],77),0))</f>
        <v/>
      </c>
      <c r="BZ91">
        <f>SUMPRODUCT((M_BOM[RM_Code]=$A91)*M_BOM[RM_Qty_Per_Batch]*IFERROR(INDEX(PP_Grid[#Data],M_BOM[PPGridRow],78),0))</f>
        <v/>
      </c>
      <c r="CA91">
        <f>SUMPRODUCT((M_BOM[RM_Code]=$A91)*M_BOM[RM_Qty_Per_Batch]*IFERROR(INDEX(PP_Grid[#Data],M_BOM[PPGridRow],79),0))</f>
        <v/>
      </c>
      <c r="CB91">
        <f>SUMPRODUCT((M_BOM[RM_Code]=$A91)*M_BOM[RM_Qty_Per_Batch]*IFERROR(INDEX(PP_Grid[#Data],M_BOM[PPGridRow],80),0))</f>
        <v/>
      </c>
      <c r="CC91">
        <f>SUMPRODUCT((M_BOM[RM_Code]=$A91)*M_BOM[RM_Qty_Per_Batch]*IFERROR(INDEX(PP_Grid[#Data],M_BOM[PPGridRow],81),0))</f>
        <v/>
      </c>
      <c r="CD91">
        <f>SUMPRODUCT((M_BOM[RM_Code]=$A91)*M_BOM[RM_Qty_Per_Batch]*IFERROR(INDEX(PP_Grid[#Data],M_BOM[PPGridRow],82),0))</f>
        <v/>
      </c>
      <c r="CE91">
        <f>SUMPRODUCT((M_BOM[RM_Code]=$A91)*M_BOM[RM_Qty_Per_Batch]*IFERROR(INDEX(PP_Grid[#Data],M_BOM[PPGridRow],83),0))</f>
        <v/>
      </c>
      <c r="CF91">
        <f>SUMPRODUCT((M_BOM[RM_Code]=$A91)*M_BOM[RM_Qty_Per_Batch]*IFERROR(INDEX(PP_Grid[#Data],M_BOM[PPGridRow],84),0))</f>
        <v/>
      </c>
      <c r="CG91">
        <f>SUMPRODUCT((M_BOM[RM_Code]=$A91)*M_BOM[RM_Qty_Per_Batch]*IFERROR(INDEX(PP_Grid[#Data],M_BOM[PPGridRow],85),0))</f>
        <v/>
      </c>
      <c r="CH91">
        <f>SUMPRODUCT((M_BOM[RM_Code]=$A91)*M_BOM[RM_Qty_Per_Batch]*IFERROR(INDEX(PP_Grid[#Data],M_BOM[PPGridRow],86),0))</f>
        <v/>
      </c>
      <c r="CI91">
        <f>SUMPRODUCT((M_BOM[RM_Code]=$A91)*M_BOM[RM_Qty_Per_Batch]*IFERROR(INDEX(PP_Grid[#Data],M_BOM[PPGridRow],87),0))</f>
        <v/>
      </c>
      <c r="CJ91">
        <f>SUMPRODUCT((M_BOM[RM_Code]=$A91)*M_BOM[RM_Qty_Per_Batch]*IFERROR(INDEX(PP_Grid[#Data],M_BOM[PPGridRow],88),0))</f>
        <v/>
      </c>
      <c r="CK91">
        <f>SUMPRODUCT((M_BOM[RM_Code]=$A91)*M_BOM[RM_Qty_Per_Batch]*IFERROR(INDEX(PP_Grid[#Data],M_BOM[PPGridRow],89),0))</f>
        <v/>
      </c>
      <c r="CL91">
        <f>SUMPRODUCT((M_BOM[RM_Code]=$A91)*M_BOM[RM_Qty_Per_Batch]*IFERROR(INDEX(PP_Grid[#Data],M_BOM[PPGridRow],90),0))</f>
        <v/>
      </c>
      <c r="CM91">
        <f>SUMPRODUCT((M_BOM[RM_Code]=$A91)*M_BOM[RM_Qty_Per_Batch]*IFERROR(INDEX(PP_Grid[#Data],M_BOM[PPGridRow],91),0))</f>
        <v/>
      </c>
      <c r="CN91">
        <f>SUMPRODUCT((M_BOM[RM_Code]=$A91)*M_BOM[RM_Qty_Per_Batch]*IFERROR(INDEX(PP_Grid[#Data],M_BOM[PPGridRow],92),0))</f>
        <v/>
      </c>
      <c r="CO91">
        <f>SUMPRODUCT((M_BOM[RM_Code]=$A91)*M_BOM[RM_Qty_Per_Batch]*IFERROR(INDEX(PP_Grid[#Data],M_BOM[PPGridRow],93),0))</f>
        <v/>
      </c>
      <c r="CP91">
        <f>SUMPRODUCT((M_BOM[RM_Code]=$A91)*M_BOM[RM_Qty_Per_Batch]*IFERROR(INDEX(PP_Grid[#Data],M_BOM[PPGridRow],94),0))</f>
        <v/>
      </c>
      <c r="CQ91">
        <f>SUMPRODUCT((M_BOM[RM_Code]=$A91)*M_BOM[RM_Qty_Per_Batch]*IFERROR(INDEX(PP_Grid[#Data],M_BOM[PPGridRow],95),0))</f>
        <v/>
      </c>
      <c r="CR91">
        <f>SUMPRODUCT((M_BOM[RM_Code]=$A91)*M_BOM[RM_Qty_Per_Batch]*IFERROR(INDEX(PP_Grid[#Data],M_BOM[PPGridRow],96),0))</f>
        <v/>
      </c>
      <c r="CS91">
        <f>SUMPRODUCT((M_BOM[RM_Code]=$A91)*M_BOM[RM_Qty_Per_Batch]*IFERROR(INDEX(PP_Grid[#Data],M_BOM[PPGridRow],97),0))</f>
        <v/>
      </c>
      <c r="CT91">
        <f>SUMPRODUCT((M_BOM[RM_Code]=$A91)*M_BOM[RM_Qty_Per_Batch]*IFERROR(INDEX(PP_Grid[#Data],M_BOM[PPGridRow],98),0))</f>
        <v/>
      </c>
      <c r="CU91">
        <f>SUMPRODUCT((M_BOM[RM_Code]=$A91)*M_BOM[RM_Qty_Per_Batch]*IFERROR(INDEX(PP_Grid[#Data],M_BOM[PPGridRow],99),0))</f>
        <v/>
      </c>
      <c r="CV91">
        <f>SUMPRODUCT((M_BOM[RM_Code]=$A91)*M_BOM[RM_Qty_Per_Batch]*IFERROR(INDEX(PP_Grid[#Data],M_BOM[PPGridRow],100),0))</f>
        <v/>
      </c>
      <c r="CW91">
        <f>SUMPRODUCT((M_BOM[RM_Code]=$A91)*M_BOM[RM_Qty_Per_Batch]*IFERROR(INDEX(PP_Grid[#Data],M_BOM[PPGridRow],101),0))</f>
        <v/>
      </c>
      <c r="CX91">
        <f>SUMPRODUCT((M_BOM[RM_Code]=$A91)*M_BOM[RM_Qty_Per_Batch]*IFERROR(INDEX(PP_Grid[#Data],M_BOM[PPGridRow],102),0))</f>
        <v/>
      </c>
      <c r="CY91">
        <f>SUMPRODUCT((M_BOM[RM_Code]=$A91)*M_BOM[RM_Qty_Per_Batch]*IFERROR(INDEX(PP_Grid[#Data],M_BOM[PPGridRow],103),0))</f>
        <v/>
      </c>
      <c r="CZ91">
        <f>SUMPRODUCT((M_BOM[RM_Code]=$A91)*M_BOM[RM_Qty_Per_Batch]*IFERROR(INDEX(PP_Grid[#Data],M_BOM[PPGridRow],104),0))</f>
        <v/>
      </c>
      <c r="DA91">
        <f>SUMPRODUCT((M_BOM[RM_Code]=$A91)*M_BOM[RM_Qty_Per_Batch]*IFERROR(INDEX(PP_Grid[#Data],M_BOM[PPGridRow],105),0))</f>
        <v/>
      </c>
    </row>
    <row r="92">
      <c r="A92" t="inlineStr">
        <is>
          <t>CHEM-1640</t>
        </is>
      </c>
      <c r="B92">
        <f>SUMPRODUCT((M_BOM[RM_Code]=$A92)*M_BOM[RM_Qty_Per_Batch]*IFERROR(INDEX(PP_Grid[#Data],M_BOM[PPGridRow],2),0))</f>
        <v/>
      </c>
      <c r="C92">
        <f>SUMPRODUCT((M_BOM[RM_Code]=$A92)*M_BOM[RM_Qty_Per_Batch]*IFERROR(INDEX(PP_Grid[#Data],M_BOM[PPGridRow],3),0))</f>
        <v/>
      </c>
      <c r="D92">
        <f>SUMPRODUCT((M_BOM[RM_Code]=$A92)*M_BOM[RM_Qty_Per_Batch]*IFERROR(INDEX(PP_Grid[#Data],M_BOM[PPGridRow],4),0))</f>
        <v/>
      </c>
      <c r="E92">
        <f>SUMPRODUCT((M_BOM[RM_Code]=$A92)*M_BOM[RM_Qty_Per_Batch]*IFERROR(INDEX(PP_Grid[#Data],M_BOM[PPGridRow],5),0))</f>
        <v/>
      </c>
      <c r="F92">
        <f>SUMPRODUCT((M_BOM[RM_Code]=$A92)*M_BOM[RM_Qty_Per_Batch]*IFERROR(INDEX(PP_Grid[#Data],M_BOM[PPGridRow],6),0))</f>
        <v/>
      </c>
      <c r="G92">
        <f>SUMPRODUCT((M_BOM[RM_Code]=$A92)*M_BOM[RM_Qty_Per_Batch]*IFERROR(INDEX(PP_Grid[#Data],M_BOM[PPGridRow],7),0))</f>
        <v/>
      </c>
      <c r="H92">
        <f>SUMPRODUCT((M_BOM[RM_Code]=$A92)*M_BOM[RM_Qty_Per_Batch]*IFERROR(INDEX(PP_Grid[#Data],M_BOM[PPGridRow],8),0))</f>
        <v/>
      </c>
      <c r="I92">
        <f>SUMPRODUCT((M_BOM[RM_Code]=$A92)*M_BOM[RM_Qty_Per_Batch]*IFERROR(INDEX(PP_Grid[#Data],M_BOM[PPGridRow],9),0))</f>
        <v/>
      </c>
      <c r="J92">
        <f>SUMPRODUCT((M_BOM[RM_Code]=$A92)*M_BOM[RM_Qty_Per_Batch]*IFERROR(INDEX(PP_Grid[#Data],M_BOM[PPGridRow],10),0))</f>
        <v/>
      </c>
      <c r="K92">
        <f>SUMPRODUCT((M_BOM[RM_Code]=$A92)*M_BOM[RM_Qty_Per_Batch]*IFERROR(INDEX(PP_Grid[#Data],M_BOM[PPGridRow],11),0))</f>
        <v/>
      </c>
      <c r="L92">
        <f>SUMPRODUCT((M_BOM[RM_Code]=$A92)*M_BOM[RM_Qty_Per_Batch]*IFERROR(INDEX(PP_Grid[#Data],M_BOM[PPGridRow],12),0))</f>
        <v/>
      </c>
      <c r="M92">
        <f>SUMPRODUCT((M_BOM[RM_Code]=$A92)*M_BOM[RM_Qty_Per_Batch]*IFERROR(INDEX(PP_Grid[#Data],M_BOM[PPGridRow],13),0))</f>
        <v/>
      </c>
      <c r="N92">
        <f>SUMPRODUCT((M_BOM[RM_Code]=$A92)*M_BOM[RM_Qty_Per_Batch]*IFERROR(INDEX(PP_Grid[#Data],M_BOM[PPGridRow],14),0))</f>
        <v/>
      </c>
      <c r="O92">
        <f>SUMPRODUCT((M_BOM[RM_Code]=$A92)*M_BOM[RM_Qty_Per_Batch]*IFERROR(INDEX(PP_Grid[#Data],M_BOM[PPGridRow],15),0))</f>
        <v/>
      </c>
      <c r="P92">
        <f>SUMPRODUCT((M_BOM[RM_Code]=$A92)*M_BOM[RM_Qty_Per_Batch]*IFERROR(INDEX(PP_Grid[#Data],M_BOM[PPGridRow],16),0))</f>
        <v/>
      </c>
      <c r="Q92">
        <f>SUMPRODUCT((M_BOM[RM_Code]=$A92)*M_BOM[RM_Qty_Per_Batch]*IFERROR(INDEX(PP_Grid[#Data],M_BOM[PPGridRow],17),0))</f>
        <v/>
      </c>
      <c r="R92">
        <f>SUMPRODUCT((M_BOM[RM_Code]=$A92)*M_BOM[RM_Qty_Per_Batch]*IFERROR(INDEX(PP_Grid[#Data],M_BOM[PPGridRow],18),0))</f>
        <v/>
      </c>
      <c r="S92">
        <f>SUMPRODUCT((M_BOM[RM_Code]=$A92)*M_BOM[RM_Qty_Per_Batch]*IFERROR(INDEX(PP_Grid[#Data],M_BOM[PPGridRow],19),0))</f>
        <v/>
      </c>
      <c r="T92">
        <f>SUMPRODUCT((M_BOM[RM_Code]=$A92)*M_BOM[RM_Qty_Per_Batch]*IFERROR(INDEX(PP_Grid[#Data],M_BOM[PPGridRow],20),0))</f>
        <v/>
      </c>
      <c r="U92">
        <f>SUMPRODUCT((M_BOM[RM_Code]=$A92)*M_BOM[RM_Qty_Per_Batch]*IFERROR(INDEX(PP_Grid[#Data],M_BOM[PPGridRow],21),0))</f>
        <v/>
      </c>
      <c r="V92">
        <f>SUMPRODUCT((M_BOM[RM_Code]=$A92)*M_BOM[RM_Qty_Per_Batch]*IFERROR(INDEX(PP_Grid[#Data],M_BOM[PPGridRow],22),0))</f>
        <v/>
      </c>
      <c r="W92">
        <f>SUMPRODUCT((M_BOM[RM_Code]=$A92)*M_BOM[RM_Qty_Per_Batch]*IFERROR(INDEX(PP_Grid[#Data],M_BOM[PPGridRow],23),0))</f>
        <v/>
      </c>
      <c r="X92">
        <f>SUMPRODUCT((M_BOM[RM_Code]=$A92)*M_BOM[RM_Qty_Per_Batch]*IFERROR(INDEX(PP_Grid[#Data],M_BOM[PPGridRow],24),0))</f>
        <v/>
      </c>
      <c r="Y92">
        <f>SUMPRODUCT((M_BOM[RM_Code]=$A92)*M_BOM[RM_Qty_Per_Batch]*IFERROR(INDEX(PP_Grid[#Data],M_BOM[PPGridRow],25),0))</f>
        <v/>
      </c>
      <c r="Z92">
        <f>SUMPRODUCT((M_BOM[RM_Code]=$A92)*M_BOM[RM_Qty_Per_Batch]*IFERROR(INDEX(PP_Grid[#Data],M_BOM[PPGridRow],26),0))</f>
        <v/>
      </c>
      <c r="AA92">
        <f>SUMPRODUCT((M_BOM[RM_Code]=$A92)*M_BOM[RM_Qty_Per_Batch]*IFERROR(INDEX(PP_Grid[#Data],M_BOM[PPGridRow],27),0))</f>
        <v/>
      </c>
      <c r="AB92">
        <f>SUMPRODUCT((M_BOM[RM_Code]=$A92)*M_BOM[RM_Qty_Per_Batch]*IFERROR(INDEX(PP_Grid[#Data],M_BOM[PPGridRow],28),0))</f>
        <v/>
      </c>
      <c r="AC92">
        <f>SUMPRODUCT((M_BOM[RM_Code]=$A92)*M_BOM[RM_Qty_Per_Batch]*IFERROR(INDEX(PP_Grid[#Data],M_BOM[PPGridRow],29),0))</f>
        <v/>
      </c>
      <c r="AD92">
        <f>SUMPRODUCT((M_BOM[RM_Code]=$A92)*M_BOM[RM_Qty_Per_Batch]*IFERROR(INDEX(PP_Grid[#Data],M_BOM[PPGridRow],30),0))</f>
        <v/>
      </c>
      <c r="AE92">
        <f>SUMPRODUCT((M_BOM[RM_Code]=$A92)*M_BOM[RM_Qty_Per_Batch]*IFERROR(INDEX(PP_Grid[#Data],M_BOM[PPGridRow],31),0))</f>
        <v/>
      </c>
      <c r="AF92">
        <f>SUMPRODUCT((M_BOM[RM_Code]=$A92)*M_BOM[RM_Qty_Per_Batch]*IFERROR(INDEX(PP_Grid[#Data],M_BOM[PPGridRow],32),0))</f>
        <v/>
      </c>
      <c r="AG92">
        <f>SUMPRODUCT((M_BOM[RM_Code]=$A92)*M_BOM[RM_Qty_Per_Batch]*IFERROR(INDEX(PP_Grid[#Data],M_BOM[PPGridRow],33),0))</f>
        <v/>
      </c>
      <c r="AH92">
        <f>SUMPRODUCT((M_BOM[RM_Code]=$A92)*M_BOM[RM_Qty_Per_Batch]*IFERROR(INDEX(PP_Grid[#Data],M_BOM[PPGridRow],34),0))</f>
        <v/>
      </c>
      <c r="AI92">
        <f>SUMPRODUCT((M_BOM[RM_Code]=$A92)*M_BOM[RM_Qty_Per_Batch]*IFERROR(INDEX(PP_Grid[#Data],M_BOM[PPGridRow],35),0))</f>
        <v/>
      </c>
      <c r="AJ92">
        <f>SUMPRODUCT((M_BOM[RM_Code]=$A92)*M_BOM[RM_Qty_Per_Batch]*IFERROR(INDEX(PP_Grid[#Data],M_BOM[PPGridRow],36),0))</f>
        <v/>
      </c>
      <c r="AK92">
        <f>SUMPRODUCT((M_BOM[RM_Code]=$A92)*M_BOM[RM_Qty_Per_Batch]*IFERROR(INDEX(PP_Grid[#Data],M_BOM[PPGridRow],37),0))</f>
        <v/>
      </c>
      <c r="AL92">
        <f>SUMPRODUCT((M_BOM[RM_Code]=$A92)*M_BOM[RM_Qty_Per_Batch]*IFERROR(INDEX(PP_Grid[#Data],M_BOM[PPGridRow],38),0))</f>
        <v/>
      </c>
      <c r="AM92">
        <f>SUMPRODUCT((M_BOM[RM_Code]=$A92)*M_BOM[RM_Qty_Per_Batch]*IFERROR(INDEX(PP_Grid[#Data],M_BOM[PPGridRow],39),0))</f>
        <v/>
      </c>
      <c r="AN92">
        <f>SUMPRODUCT((M_BOM[RM_Code]=$A92)*M_BOM[RM_Qty_Per_Batch]*IFERROR(INDEX(PP_Grid[#Data],M_BOM[PPGridRow],40),0))</f>
        <v/>
      </c>
      <c r="AO92">
        <f>SUMPRODUCT((M_BOM[RM_Code]=$A92)*M_BOM[RM_Qty_Per_Batch]*IFERROR(INDEX(PP_Grid[#Data],M_BOM[PPGridRow],41),0))</f>
        <v/>
      </c>
      <c r="AP92">
        <f>SUMPRODUCT((M_BOM[RM_Code]=$A92)*M_BOM[RM_Qty_Per_Batch]*IFERROR(INDEX(PP_Grid[#Data],M_BOM[PPGridRow],42),0))</f>
        <v/>
      </c>
      <c r="AQ92">
        <f>SUMPRODUCT((M_BOM[RM_Code]=$A92)*M_BOM[RM_Qty_Per_Batch]*IFERROR(INDEX(PP_Grid[#Data],M_BOM[PPGridRow],43),0))</f>
        <v/>
      </c>
      <c r="AR92">
        <f>SUMPRODUCT((M_BOM[RM_Code]=$A92)*M_BOM[RM_Qty_Per_Batch]*IFERROR(INDEX(PP_Grid[#Data],M_BOM[PPGridRow],44),0))</f>
        <v/>
      </c>
      <c r="AS92">
        <f>SUMPRODUCT((M_BOM[RM_Code]=$A92)*M_BOM[RM_Qty_Per_Batch]*IFERROR(INDEX(PP_Grid[#Data],M_BOM[PPGridRow],45),0))</f>
        <v/>
      </c>
      <c r="AT92">
        <f>SUMPRODUCT((M_BOM[RM_Code]=$A92)*M_BOM[RM_Qty_Per_Batch]*IFERROR(INDEX(PP_Grid[#Data],M_BOM[PPGridRow],46),0))</f>
        <v/>
      </c>
      <c r="AU92">
        <f>SUMPRODUCT((M_BOM[RM_Code]=$A92)*M_BOM[RM_Qty_Per_Batch]*IFERROR(INDEX(PP_Grid[#Data],M_BOM[PPGridRow],47),0))</f>
        <v/>
      </c>
      <c r="AV92">
        <f>SUMPRODUCT((M_BOM[RM_Code]=$A92)*M_BOM[RM_Qty_Per_Batch]*IFERROR(INDEX(PP_Grid[#Data],M_BOM[PPGridRow],48),0))</f>
        <v/>
      </c>
      <c r="AW92">
        <f>SUMPRODUCT((M_BOM[RM_Code]=$A92)*M_BOM[RM_Qty_Per_Batch]*IFERROR(INDEX(PP_Grid[#Data],M_BOM[PPGridRow],49),0))</f>
        <v/>
      </c>
      <c r="AX92">
        <f>SUMPRODUCT((M_BOM[RM_Code]=$A92)*M_BOM[RM_Qty_Per_Batch]*IFERROR(INDEX(PP_Grid[#Data],M_BOM[PPGridRow],50),0))</f>
        <v/>
      </c>
      <c r="AY92">
        <f>SUMPRODUCT((M_BOM[RM_Code]=$A92)*M_BOM[RM_Qty_Per_Batch]*IFERROR(INDEX(PP_Grid[#Data],M_BOM[PPGridRow],51),0))</f>
        <v/>
      </c>
      <c r="AZ92">
        <f>SUMPRODUCT((M_BOM[RM_Code]=$A92)*M_BOM[RM_Qty_Per_Batch]*IFERROR(INDEX(PP_Grid[#Data],M_BOM[PPGridRow],52),0))</f>
        <v/>
      </c>
      <c r="BA92">
        <f>SUMPRODUCT((M_BOM[RM_Code]=$A92)*M_BOM[RM_Qty_Per_Batch]*IFERROR(INDEX(PP_Grid[#Data],M_BOM[PPGridRow],53),0))</f>
        <v/>
      </c>
      <c r="BB92">
        <f>SUMPRODUCT((M_BOM[RM_Code]=$A92)*M_BOM[RM_Qty_Per_Batch]*IFERROR(INDEX(PP_Grid[#Data],M_BOM[PPGridRow],54),0))</f>
        <v/>
      </c>
      <c r="BC92">
        <f>SUMPRODUCT((M_BOM[RM_Code]=$A92)*M_BOM[RM_Qty_Per_Batch]*IFERROR(INDEX(PP_Grid[#Data],M_BOM[PPGridRow],55),0))</f>
        <v/>
      </c>
      <c r="BD92">
        <f>SUMPRODUCT((M_BOM[RM_Code]=$A92)*M_BOM[RM_Qty_Per_Batch]*IFERROR(INDEX(PP_Grid[#Data],M_BOM[PPGridRow],56),0))</f>
        <v/>
      </c>
      <c r="BE92">
        <f>SUMPRODUCT((M_BOM[RM_Code]=$A92)*M_BOM[RM_Qty_Per_Batch]*IFERROR(INDEX(PP_Grid[#Data],M_BOM[PPGridRow],57),0))</f>
        <v/>
      </c>
      <c r="BF92">
        <f>SUMPRODUCT((M_BOM[RM_Code]=$A92)*M_BOM[RM_Qty_Per_Batch]*IFERROR(INDEX(PP_Grid[#Data],M_BOM[PPGridRow],58),0))</f>
        <v/>
      </c>
      <c r="BG92">
        <f>SUMPRODUCT((M_BOM[RM_Code]=$A92)*M_BOM[RM_Qty_Per_Batch]*IFERROR(INDEX(PP_Grid[#Data],M_BOM[PPGridRow],59),0))</f>
        <v/>
      </c>
      <c r="BH92">
        <f>SUMPRODUCT((M_BOM[RM_Code]=$A92)*M_BOM[RM_Qty_Per_Batch]*IFERROR(INDEX(PP_Grid[#Data],M_BOM[PPGridRow],60),0))</f>
        <v/>
      </c>
      <c r="BI92">
        <f>SUMPRODUCT((M_BOM[RM_Code]=$A92)*M_BOM[RM_Qty_Per_Batch]*IFERROR(INDEX(PP_Grid[#Data],M_BOM[PPGridRow],61),0))</f>
        <v/>
      </c>
      <c r="BJ92">
        <f>SUMPRODUCT((M_BOM[RM_Code]=$A92)*M_BOM[RM_Qty_Per_Batch]*IFERROR(INDEX(PP_Grid[#Data],M_BOM[PPGridRow],62),0))</f>
        <v/>
      </c>
      <c r="BK92">
        <f>SUMPRODUCT((M_BOM[RM_Code]=$A92)*M_BOM[RM_Qty_Per_Batch]*IFERROR(INDEX(PP_Grid[#Data],M_BOM[PPGridRow],63),0))</f>
        <v/>
      </c>
      <c r="BL92">
        <f>SUMPRODUCT((M_BOM[RM_Code]=$A92)*M_BOM[RM_Qty_Per_Batch]*IFERROR(INDEX(PP_Grid[#Data],M_BOM[PPGridRow],64),0))</f>
        <v/>
      </c>
      <c r="BM92">
        <f>SUMPRODUCT((M_BOM[RM_Code]=$A92)*M_BOM[RM_Qty_Per_Batch]*IFERROR(INDEX(PP_Grid[#Data],M_BOM[PPGridRow],65),0))</f>
        <v/>
      </c>
      <c r="BN92">
        <f>SUMPRODUCT((M_BOM[RM_Code]=$A92)*M_BOM[RM_Qty_Per_Batch]*IFERROR(INDEX(PP_Grid[#Data],M_BOM[PPGridRow],66),0))</f>
        <v/>
      </c>
      <c r="BO92">
        <f>SUMPRODUCT((M_BOM[RM_Code]=$A92)*M_BOM[RM_Qty_Per_Batch]*IFERROR(INDEX(PP_Grid[#Data],M_BOM[PPGridRow],67),0))</f>
        <v/>
      </c>
      <c r="BP92">
        <f>SUMPRODUCT((M_BOM[RM_Code]=$A92)*M_BOM[RM_Qty_Per_Batch]*IFERROR(INDEX(PP_Grid[#Data],M_BOM[PPGridRow],68),0))</f>
        <v/>
      </c>
      <c r="BQ92">
        <f>SUMPRODUCT((M_BOM[RM_Code]=$A92)*M_BOM[RM_Qty_Per_Batch]*IFERROR(INDEX(PP_Grid[#Data],M_BOM[PPGridRow],69),0))</f>
        <v/>
      </c>
      <c r="BR92">
        <f>SUMPRODUCT((M_BOM[RM_Code]=$A92)*M_BOM[RM_Qty_Per_Batch]*IFERROR(INDEX(PP_Grid[#Data],M_BOM[PPGridRow],70),0))</f>
        <v/>
      </c>
      <c r="BS92">
        <f>SUMPRODUCT((M_BOM[RM_Code]=$A92)*M_BOM[RM_Qty_Per_Batch]*IFERROR(INDEX(PP_Grid[#Data],M_BOM[PPGridRow],71),0))</f>
        <v/>
      </c>
      <c r="BT92">
        <f>SUMPRODUCT((M_BOM[RM_Code]=$A92)*M_BOM[RM_Qty_Per_Batch]*IFERROR(INDEX(PP_Grid[#Data],M_BOM[PPGridRow],72),0))</f>
        <v/>
      </c>
      <c r="BU92">
        <f>SUMPRODUCT((M_BOM[RM_Code]=$A92)*M_BOM[RM_Qty_Per_Batch]*IFERROR(INDEX(PP_Grid[#Data],M_BOM[PPGridRow],73),0))</f>
        <v/>
      </c>
      <c r="BV92">
        <f>SUMPRODUCT((M_BOM[RM_Code]=$A92)*M_BOM[RM_Qty_Per_Batch]*IFERROR(INDEX(PP_Grid[#Data],M_BOM[PPGridRow],74),0))</f>
        <v/>
      </c>
      <c r="BW92">
        <f>SUMPRODUCT((M_BOM[RM_Code]=$A92)*M_BOM[RM_Qty_Per_Batch]*IFERROR(INDEX(PP_Grid[#Data],M_BOM[PPGridRow],75),0))</f>
        <v/>
      </c>
      <c r="BX92">
        <f>SUMPRODUCT((M_BOM[RM_Code]=$A92)*M_BOM[RM_Qty_Per_Batch]*IFERROR(INDEX(PP_Grid[#Data],M_BOM[PPGridRow],76),0))</f>
        <v/>
      </c>
      <c r="BY92">
        <f>SUMPRODUCT((M_BOM[RM_Code]=$A92)*M_BOM[RM_Qty_Per_Batch]*IFERROR(INDEX(PP_Grid[#Data],M_BOM[PPGridRow],77),0))</f>
        <v/>
      </c>
      <c r="BZ92">
        <f>SUMPRODUCT((M_BOM[RM_Code]=$A92)*M_BOM[RM_Qty_Per_Batch]*IFERROR(INDEX(PP_Grid[#Data],M_BOM[PPGridRow],78),0))</f>
        <v/>
      </c>
      <c r="CA92">
        <f>SUMPRODUCT((M_BOM[RM_Code]=$A92)*M_BOM[RM_Qty_Per_Batch]*IFERROR(INDEX(PP_Grid[#Data],M_BOM[PPGridRow],79),0))</f>
        <v/>
      </c>
      <c r="CB92">
        <f>SUMPRODUCT((M_BOM[RM_Code]=$A92)*M_BOM[RM_Qty_Per_Batch]*IFERROR(INDEX(PP_Grid[#Data],M_BOM[PPGridRow],80),0))</f>
        <v/>
      </c>
      <c r="CC92">
        <f>SUMPRODUCT((M_BOM[RM_Code]=$A92)*M_BOM[RM_Qty_Per_Batch]*IFERROR(INDEX(PP_Grid[#Data],M_BOM[PPGridRow],81),0))</f>
        <v/>
      </c>
      <c r="CD92">
        <f>SUMPRODUCT((M_BOM[RM_Code]=$A92)*M_BOM[RM_Qty_Per_Batch]*IFERROR(INDEX(PP_Grid[#Data],M_BOM[PPGridRow],82),0))</f>
        <v/>
      </c>
      <c r="CE92">
        <f>SUMPRODUCT((M_BOM[RM_Code]=$A92)*M_BOM[RM_Qty_Per_Batch]*IFERROR(INDEX(PP_Grid[#Data],M_BOM[PPGridRow],83),0))</f>
        <v/>
      </c>
      <c r="CF92">
        <f>SUMPRODUCT((M_BOM[RM_Code]=$A92)*M_BOM[RM_Qty_Per_Batch]*IFERROR(INDEX(PP_Grid[#Data],M_BOM[PPGridRow],84),0))</f>
        <v/>
      </c>
      <c r="CG92">
        <f>SUMPRODUCT((M_BOM[RM_Code]=$A92)*M_BOM[RM_Qty_Per_Batch]*IFERROR(INDEX(PP_Grid[#Data],M_BOM[PPGridRow],85),0))</f>
        <v/>
      </c>
      <c r="CH92">
        <f>SUMPRODUCT((M_BOM[RM_Code]=$A92)*M_BOM[RM_Qty_Per_Batch]*IFERROR(INDEX(PP_Grid[#Data],M_BOM[PPGridRow],86),0))</f>
        <v/>
      </c>
      <c r="CI92">
        <f>SUMPRODUCT((M_BOM[RM_Code]=$A92)*M_BOM[RM_Qty_Per_Batch]*IFERROR(INDEX(PP_Grid[#Data],M_BOM[PPGridRow],87),0))</f>
        <v/>
      </c>
      <c r="CJ92">
        <f>SUMPRODUCT((M_BOM[RM_Code]=$A92)*M_BOM[RM_Qty_Per_Batch]*IFERROR(INDEX(PP_Grid[#Data],M_BOM[PPGridRow],88),0))</f>
        <v/>
      </c>
      <c r="CK92">
        <f>SUMPRODUCT((M_BOM[RM_Code]=$A92)*M_BOM[RM_Qty_Per_Batch]*IFERROR(INDEX(PP_Grid[#Data],M_BOM[PPGridRow],89),0))</f>
        <v/>
      </c>
      <c r="CL92">
        <f>SUMPRODUCT((M_BOM[RM_Code]=$A92)*M_BOM[RM_Qty_Per_Batch]*IFERROR(INDEX(PP_Grid[#Data],M_BOM[PPGridRow],90),0))</f>
        <v/>
      </c>
      <c r="CM92">
        <f>SUMPRODUCT((M_BOM[RM_Code]=$A92)*M_BOM[RM_Qty_Per_Batch]*IFERROR(INDEX(PP_Grid[#Data],M_BOM[PPGridRow],91),0))</f>
        <v/>
      </c>
      <c r="CN92">
        <f>SUMPRODUCT((M_BOM[RM_Code]=$A92)*M_BOM[RM_Qty_Per_Batch]*IFERROR(INDEX(PP_Grid[#Data],M_BOM[PPGridRow],92),0))</f>
        <v/>
      </c>
      <c r="CO92">
        <f>SUMPRODUCT((M_BOM[RM_Code]=$A92)*M_BOM[RM_Qty_Per_Batch]*IFERROR(INDEX(PP_Grid[#Data],M_BOM[PPGridRow],93),0))</f>
        <v/>
      </c>
      <c r="CP92">
        <f>SUMPRODUCT((M_BOM[RM_Code]=$A92)*M_BOM[RM_Qty_Per_Batch]*IFERROR(INDEX(PP_Grid[#Data],M_BOM[PPGridRow],94),0))</f>
        <v/>
      </c>
      <c r="CQ92">
        <f>SUMPRODUCT((M_BOM[RM_Code]=$A92)*M_BOM[RM_Qty_Per_Batch]*IFERROR(INDEX(PP_Grid[#Data],M_BOM[PPGridRow],95),0))</f>
        <v/>
      </c>
      <c r="CR92">
        <f>SUMPRODUCT((M_BOM[RM_Code]=$A92)*M_BOM[RM_Qty_Per_Batch]*IFERROR(INDEX(PP_Grid[#Data],M_BOM[PPGridRow],96),0))</f>
        <v/>
      </c>
      <c r="CS92">
        <f>SUMPRODUCT((M_BOM[RM_Code]=$A92)*M_BOM[RM_Qty_Per_Batch]*IFERROR(INDEX(PP_Grid[#Data],M_BOM[PPGridRow],97),0))</f>
        <v/>
      </c>
      <c r="CT92">
        <f>SUMPRODUCT((M_BOM[RM_Code]=$A92)*M_BOM[RM_Qty_Per_Batch]*IFERROR(INDEX(PP_Grid[#Data],M_BOM[PPGridRow],98),0))</f>
        <v/>
      </c>
      <c r="CU92">
        <f>SUMPRODUCT((M_BOM[RM_Code]=$A92)*M_BOM[RM_Qty_Per_Batch]*IFERROR(INDEX(PP_Grid[#Data],M_BOM[PPGridRow],99),0))</f>
        <v/>
      </c>
      <c r="CV92">
        <f>SUMPRODUCT((M_BOM[RM_Code]=$A92)*M_BOM[RM_Qty_Per_Batch]*IFERROR(INDEX(PP_Grid[#Data],M_BOM[PPGridRow],100),0))</f>
        <v/>
      </c>
      <c r="CW92">
        <f>SUMPRODUCT((M_BOM[RM_Code]=$A92)*M_BOM[RM_Qty_Per_Batch]*IFERROR(INDEX(PP_Grid[#Data],M_BOM[PPGridRow],101),0))</f>
        <v/>
      </c>
      <c r="CX92">
        <f>SUMPRODUCT((M_BOM[RM_Code]=$A92)*M_BOM[RM_Qty_Per_Batch]*IFERROR(INDEX(PP_Grid[#Data],M_BOM[PPGridRow],102),0))</f>
        <v/>
      </c>
      <c r="CY92">
        <f>SUMPRODUCT((M_BOM[RM_Code]=$A92)*M_BOM[RM_Qty_Per_Batch]*IFERROR(INDEX(PP_Grid[#Data],M_BOM[PPGridRow],103),0))</f>
        <v/>
      </c>
      <c r="CZ92">
        <f>SUMPRODUCT((M_BOM[RM_Code]=$A92)*M_BOM[RM_Qty_Per_Batch]*IFERROR(INDEX(PP_Grid[#Data],M_BOM[PPGridRow],104),0))</f>
        <v/>
      </c>
      <c r="DA92">
        <f>SUMPRODUCT((M_BOM[RM_Code]=$A92)*M_BOM[RM_Qty_Per_Batch]*IFERROR(INDEX(PP_Grid[#Data],M_BOM[PPGridRow],105),0))</f>
        <v/>
      </c>
    </row>
    <row r="93">
      <c r="A93" t="inlineStr">
        <is>
          <t>CHEM-1030</t>
        </is>
      </c>
      <c r="B93">
        <f>SUMPRODUCT((M_BOM[RM_Code]=$A93)*M_BOM[RM_Qty_Per_Batch]*IFERROR(INDEX(PP_Grid[#Data],M_BOM[PPGridRow],2),0))</f>
        <v/>
      </c>
      <c r="C93">
        <f>SUMPRODUCT((M_BOM[RM_Code]=$A93)*M_BOM[RM_Qty_Per_Batch]*IFERROR(INDEX(PP_Grid[#Data],M_BOM[PPGridRow],3),0))</f>
        <v/>
      </c>
      <c r="D93">
        <f>SUMPRODUCT((M_BOM[RM_Code]=$A93)*M_BOM[RM_Qty_Per_Batch]*IFERROR(INDEX(PP_Grid[#Data],M_BOM[PPGridRow],4),0))</f>
        <v/>
      </c>
      <c r="E93">
        <f>SUMPRODUCT((M_BOM[RM_Code]=$A93)*M_BOM[RM_Qty_Per_Batch]*IFERROR(INDEX(PP_Grid[#Data],M_BOM[PPGridRow],5),0))</f>
        <v/>
      </c>
      <c r="F93">
        <f>SUMPRODUCT((M_BOM[RM_Code]=$A93)*M_BOM[RM_Qty_Per_Batch]*IFERROR(INDEX(PP_Grid[#Data],M_BOM[PPGridRow],6),0))</f>
        <v/>
      </c>
      <c r="G93">
        <f>SUMPRODUCT((M_BOM[RM_Code]=$A93)*M_BOM[RM_Qty_Per_Batch]*IFERROR(INDEX(PP_Grid[#Data],M_BOM[PPGridRow],7),0))</f>
        <v/>
      </c>
      <c r="H93">
        <f>SUMPRODUCT((M_BOM[RM_Code]=$A93)*M_BOM[RM_Qty_Per_Batch]*IFERROR(INDEX(PP_Grid[#Data],M_BOM[PPGridRow],8),0))</f>
        <v/>
      </c>
      <c r="I93">
        <f>SUMPRODUCT((M_BOM[RM_Code]=$A93)*M_BOM[RM_Qty_Per_Batch]*IFERROR(INDEX(PP_Grid[#Data],M_BOM[PPGridRow],9),0))</f>
        <v/>
      </c>
      <c r="J93">
        <f>SUMPRODUCT((M_BOM[RM_Code]=$A93)*M_BOM[RM_Qty_Per_Batch]*IFERROR(INDEX(PP_Grid[#Data],M_BOM[PPGridRow],10),0))</f>
        <v/>
      </c>
      <c r="K93">
        <f>SUMPRODUCT((M_BOM[RM_Code]=$A93)*M_BOM[RM_Qty_Per_Batch]*IFERROR(INDEX(PP_Grid[#Data],M_BOM[PPGridRow],11),0))</f>
        <v/>
      </c>
      <c r="L93">
        <f>SUMPRODUCT((M_BOM[RM_Code]=$A93)*M_BOM[RM_Qty_Per_Batch]*IFERROR(INDEX(PP_Grid[#Data],M_BOM[PPGridRow],12),0))</f>
        <v/>
      </c>
      <c r="M93">
        <f>SUMPRODUCT((M_BOM[RM_Code]=$A93)*M_BOM[RM_Qty_Per_Batch]*IFERROR(INDEX(PP_Grid[#Data],M_BOM[PPGridRow],13),0))</f>
        <v/>
      </c>
      <c r="N93">
        <f>SUMPRODUCT((M_BOM[RM_Code]=$A93)*M_BOM[RM_Qty_Per_Batch]*IFERROR(INDEX(PP_Grid[#Data],M_BOM[PPGridRow],14),0))</f>
        <v/>
      </c>
      <c r="O93">
        <f>SUMPRODUCT((M_BOM[RM_Code]=$A93)*M_BOM[RM_Qty_Per_Batch]*IFERROR(INDEX(PP_Grid[#Data],M_BOM[PPGridRow],15),0))</f>
        <v/>
      </c>
      <c r="P93">
        <f>SUMPRODUCT((M_BOM[RM_Code]=$A93)*M_BOM[RM_Qty_Per_Batch]*IFERROR(INDEX(PP_Grid[#Data],M_BOM[PPGridRow],16),0))</f>
        <v/>
      </c>
      <c r="Q93">
        <f>SUMPRODUCT((M_BOM[RM_Code]=$A93)*M_BOM[RM_Qty_Per_Batch]*IFERROR(INDEX(PP_Grid[#Data],M_BOM[PPGridRow],17),0))</f>
        <v/>
      </c>
      <c r="R93">
        <f>SUMPRODUCT((M_BOM[RM_Code]=$A93)*M_BOM[RM_Qty_Per_Batch]*IFERROR(INDEX(PP_Grid[#Data],M_BOM[PPGridRow],18),0))</f>
        <v/>
      </c>
      <c r="S93">
        <f>SUMPRODUCT((M_BOM[RM_Code]=$A93)*M_BOM[RM_Qty_Per_Batch]*IFERROR(INDEX(PP_Grid[#Data],M_BOM[PPGridRow],19),0))</f>
        <v/>
      </c>
      <c r="T93">
        <f>SUMPRODUCT((M_BOM[RM_Code]=$A93)*M_BOM[RM_Qty_Per_Batch]*IFERROR(INDEX(PP_Grid[#Data],M_BOM[PPGridRow],20),0))</f>
        <v/>
      </c>
      <c r="U93">
        <f>SUMPRODUCT((M_BOM[RM_Code]=$A93)*M_BOM[RM_Qty_Per_Batch]*IFERROR(INDEX(PP_Grid[#Data],M_BOM[PPGridRow],21),0))</f>
        <v/>
      </c>
      <c r="V93">
        <f>SUMPRODUCT((M_BOM[RM_Code]=$A93)*M_BOM[RM_Qty_Per_Batch]*IFERROR(INDEX(PP_Grid[#Data],M_BOM[PPGridRow],22),0))</f>
        <v/>
      </c>
      <c r="W93">
        <f>SUMPRODUCT((M_BOM[RM_Code]=$A93)*M_BOM[RM_Qty_Per_Batch]*IFERROR(INDEX(PP_Grid[#Data],M_BOM[PPGridRow],23),0))</f>
        <v/>
      </c>
      <c r="X93">
        <f>SUMPRODUCT((M_BOM[RM_Code]=$A93)*M_BOM[RM_Qty_Per_Batch]*IFERROR(INDEX(PP_Grid[#Data],M_BOM[PPGridRow],24),0))</f>
        <v/>
      </c>
      <c r="Y93">
        <f>SUMPRODUCT((M_BOM[RM_Code]=$A93)*M_BOM[RM_Qty_Per_Batch]*IFERROR(INDEX(PP_Grid[#Data],M_BOM[PPGridRow],25),0))</f>
        <v/>
      </c>
      <c r="Z93">
        <f>SUMPRODUCT((M_BOM[RM_Code]=$A93)*M_BOM[RM_Qty_Per_Batch]*IFERROR(INDEX(PP_Grid[#Data],M_BOM[PPGridRow],26),0))</f>
        <v/>
      </c>
      <c r="AA93">
        <f>SUMPRODUCT((M_BOM[RM_Code]=$A93)*M_BOM[RM_Qty_Per_Batch]*IFERROR(INDEX(PP_Grid[#Data],M_BOM[PPGridRow],27),0))</f>
        <v/>
      </c>
      <c r="AB93">
        <f>SUMPRODUCT((M_BOM[RM_Code]=$A93)*M_BOM[RM_Qty_Per_Batch]*IFERROR(INDEX(PP_Grid[#Data],M_BOM[PPGridRow],28),0))</f>
        <v/>
      </c>
      <c r="AC93">
        <f>SUMPRODUCT((M_BOM[RM_Code]=$A93)*M_BOM[RM_Qty_Per_Batch]*IFERROR(INDEX(PP_Grid[#Data],M_BOM[PPGridRow],29),0))</f>
        <v/>
      </c>
      <c r="AD93">
        <f>SUMPRODUCT((M_BOM[RM_Code]=$A93)*M_BOM[RM_Qty_Per_Batch]*IFERROR(INDEX(PP_Grid[#Data],M_BOM[PPGridRow],30),0))</f>
        <v/>
      </c>
      <c r="AE93">
        <f>SUMPRODUCT((M_BOM[RM_Code]=$A93)*M_BOM[RM_Qty_Per_Batch]*IFERROR(INDEX(PP_Grid[#Data],M_BOM[PPGridRow],31),0))</f>
        <v/>
      </c>
      <c r="AF93">
        <f>SUMPRODUCT((M_BOM[RM_Code]=$A93)*M_BOM[RM_Qty_Per_Batch]*IFERROR(INDEX(PP_Grid[#Data],M_BOM[PPGridRow],32),0))</f>
        <v/>
      </c>
      <c r="AG93">
        <f>SUMPRODUCT((M_BOM[RM_Code]=$A93)*M_BOM[RM_Qty_Per_Batch]*IFERROR(INDEX(PP_Grid[#Data],M_BOM[PPGridRow],33),0))</f>
        <v/>
      </c>
      <c r="AH93">
        <f>SUMPRODUCT((M_BOM[RM_Code]=$A93)*M_BOM[RM_Qty_Per_Batch]*IFERROR(INDEX(PP_Grid[#Data],M_BOM[PPGridRow],34),0))</f>
        <v/>
      </c>
      <c r="AI93">
        <f>SUMPRODUCT((M_BOM[RM_Code]=$A93)*M_BOM[RM_Qty_Per_Batch]*IFERROR(INDEX(PP_Grid[#Data],M_BOM[PPGridRow],35),0))</f>
        <v/>
      </c>
      <c r="AJ93">
        <f>SUMPRODUCT((M_BOM[RM_Code]=$A93)*M_BOM[RM_Qty_Per_Batch]*IFERROR(INDEX(PP_Grid[#Data],M_BOM[PPGridRow],36),0))</f>
        <v/>
      </c>
      <c r="AK93">
        <f>SUMPRODUCT((M_BOM[RM_Code]=$A93)*M_BOM[RM_Qty_Per_Batch]*IFERROR(INDEX(PP_Grid[#Data],M_BOM[PPGridRow],37),0))</f>
        <v/>
      </c>
      <c r="AL93">
        <f>SUMPRODUCT((M_BOM[RM_Code]=$A93)*M_BOM[RM_Qty_Per_Batch]*IFERROR(INDEX(PP_Grid[#Data],M_BOM[PPGridRow],38),0))</f>
        <v/>
      </c>
      <c r="AM93">
        <f>SUMPRODUCT((M_BOM[RM_Code]=$A93)*M_BOM[RM_Qty_Per_Batch]*IFERROR(INDEX(PP_Grid[#Data],M_BOM[PPGridRow],39),0))</f>
        <v/>
      </c>
      <c r="AN93">
        <f>SUMPRODUCT((M_BOM[RM_Code]=$A93)*M_BOM[RM_Qty_Per_Batch]*IFERROR(INDEX(PP_Grid[#Data],M_BOM[PPGridRow],40),0))</f>
        <v/>
      </c>
      <c r="AO93">
        <f>SUMPRODUCT((M_BOM[RM_Code]=$A93)*M_BOM[RM_Qty_Per_Batch]*IFERROR(INDEX(PP_Grid[#Data],M_BOM[PPGridRow],41),0))</f>
        <v/>
      </c>
      <c r="AP93">
        <f>SUMPRODUCT((M_BOM[RM_Code]=$A93)*M_BOM[RM_Qty_Per_Batch]*IFERROR(INDEX(PP_Grid[#Data],M_BOM[PPGridRow],42),0))</f>
        <v/>
      </c>
      <c r="AQ93">
        <f>SUMPRODUCT((M_BOM[RM_Code]=$A93)*M_BOM[RM_Qty_Per_Batch]*IFERROR(INDEX(PP_Grid[#Data],M_BOM[PPGridRow],43),0))</f>
        <v/>
      </c>
      <c r="AR93">
        <f>SUMPRODUCT((M_BOM[RM_Code]=$A93)*M_BOM[RM_Qty_Per_Batch]*IFERROR(INDEX(PP_Grid[#Data],M_BOM[PPGridRow],44),0))</f>
        <v/>
      </c>
      <c r="AS93">
        <f>SUMPRODUCT((M_BOM[RM_Code]=$A93)*M_BOM[RM_Qty_Per_Batch]*IFERROR(INDEX(PP_Grid[#Data],M_BOM[PPGridRow],45),0))</f>
        <v/>
      </c>
      <c r="AT93">
        <f>SUMPRODUCT((M_BOM[RM_Code]=$A93)*M_BOM[RM_Qty_Per_Batch]*IFERROR(INDEX(PP_Grid[#Data],M_BOM[PPGridRow],46),0))</f>
        <v/>
      </c>
      <c r="AU93">
        <f>SUMPRODUCT((M_BOM[RM_Code]=$A93)*M_BOM[RM_Qty_Per_Batch]*IFERROR(INDEX(PP_Grid[#Data],M_BOM[PPGridRow],47),0))</f>
        <v/>
      </c>
      <c r="AV93">
        <f>SUMPRODUCT((M_BOM[RM_Code]=$A93)*M_BOM[RM_Qty_Per_Batch]*IFERROR(INDEX(PP_Grid[#Data],M_BOM[PPGridRow],48),0))</f>
        <v/>
      </c>
      <c r="AW93">
        <f>SUMPRODUCT((M_BOM[RM_Code]=$A93)*M_BOM[RM_Qty_Per_Batch]*IFERROR(INDEX(PP_Grid[#Data],M_BOM[PPGridRow],49),0))</f>
        <v/>
      </c>
      <c r="AX93">
        <f>SUMPRODUCT((M_BOM[RM_Code]=$A93)*M_BOM[RM_Qty_Per_Batch]*IFERROR(INDEX(PP_Grid[#Data],M_BOM[PPGridRow],50),0))</f>
        <v/>
      </c>
      <c r="AY93">
        <f>SUMPRODUCT((M_BOM[RM_Code]=$A93)*M_BOM[RM_Qty_Per_Batch]*IFERROR(INDEX(PP_Grid[#Data],M_BOM[PPGridRow],51),0))</f>
        <v/>
      </c>
      <c r="AZ93">
        <f>SUMPRODUCT((M_BOM[RM_Code]=$A93)*M_BOM[RM_Qty_Per_Batch]*IFERROR(INDEX(PP_Grid[#Data],M_BOM[PPGridRow],52),0))</f>
        <v/>
      </c>
      <c r="BA93">
        <f>SUMPRODUCT((M_BOM[RM_Code]=$A93)*M_BOM[RM_Qty_Per_Batch]*IFERROR(INDEX(PP_Grid[#Data],M_BOM[PPGridRow],53),0))</f>
        <v/>
      </c>
      <c r="BB93">
        <f>SUMPRODUCT((M_BOM[RM_Code]=$A93)*M_BOM[RM_Qty_Per_Batch]*IFERROR(INDEX(PP_Grid[#Data],M_BOM[PPGridRow],54),0))</f>
        <v/>
      </c>
      <c r="BC93">
        <f>SUMPRODUCT((M_BOM[RM_Code]=$A93)*M_BOM[RM_Qty_Per_Batch]*IFERROR(INDEX(PP_Grid[#Data],M_BOM[PPGridRow],55),0))</f>
        <v/>
      </c>
      <c r="BD93">
        <f>SUMPRODUCT((M_BOM[RM_Code]=$A93)*M_BOM[RM_Qty_Per_Batch]*IFERROR(INDEX(PP_Grid[#Data],M_BOM[PPGridRow],56),0))</f>
        <v/>
      </c>
      <c r="BE93">
        <f>SUMPRODUCT((M_BOM[RM_Code]=$A93)*M_BOM[RM_Qty_Per_Batch]*IFERROR(INDEX(PP_Grid[#Data],M_BOM[PPGridRow],57),0))</f>
        <v/>
      </c>
      <c r="BF93">
        <f>SUMPRODUCT((M_BOM[RM_Code]=$A93)*M_BOM[RM_Qty_Per_Batch]*IFERROR(INDEX(PP_Grid[#Data],M_BOM[PPGridRow],58),0))</f>
        <v/>
      </c>
      <c r="BG93">
        <f>SUMPRODUCT((M_BOM[RM_Code]=$A93)*M_BOM[RM_Qty_Per_Batch]*IFERROR(INDEX(PP_Grid[#Data],M_BOM[PPGridRow],59),0))</f>
        <v/>
      </c>
      <c r="BH93">
        <f>SUMPRODUCT((M_BOM[RM_Code]=$A93)*M_BOM[RM_Qty_Per_Batch]*IFERROR(INDEX(PP_Grid[#Data],M_BOM[PPGridRow],60),0))</f>
        <v/>
      </c>
      <c r="BI93">
        <f>SUMPRODUCT((M_BOM[RM_Code]=$A93)*M_BOM[RM_Qty_Per_Batch]*IFERROR(INDEX(PP_Grid[#Data],M_BOM[PPGridRow],61),0))</f>
        <v/>
      </c>
      <c r="BJ93">
        <f>SUMPRODUCT((M_BOM[RM_Code]=$A93)*M_BOM[RM_Qty_Per_Batch]*IFERROR(INDEX(PP_Grid[#Data],M_BOM[PPGridRow],62),0))</f>
        <v/>
      </c>
      <c r="BK93">
        <f>SUMPRODUCT((M_BOM[RM_Code]=$A93)*M_BOM[RM_Qty_Per_Batch]*IFERROR(INDEX(PP_Grid[#Data],M_BOM[PPGridRow],63),0))</f>
        <v/>
      </c>
      <c r="BL93">
        <f>SUMPRODUCT((M_BOM[RM_Code]=$A93)*M_BOM[RM_Qty_Per_Batch]*IFERROR(INDEX(PP_Grid[#Data],M_BOM[PPGridRow],64),0))</f>
        <v/>
      </c>
      <c r="BM93">
        <f>SUMPRODUCT((M_BOM[RM_Code]=$A93)*M_BOM[RM_Qty_Per_Batch]*IFERROR(INDEX(PP_Grid[#Data],M_BOM[PPGridRow],65),0))</f>
        <v/>
      </c>
      <c r="BN93">
        <f>SUMPRODUCT((M_BOM[RM_Code]=$A93)*M_BOM[RM_Qty_Per_Batch]*IFERROR(INDEX(PP_Grid[#Data],M_BOM[PPGridRow],66),0))</f>
        <v/>
      </c>
      <c r="BO93">
        <f>SUMPRODUCT((M_BOM[RM_Code]=$A93)*M_BOM[RM_Qty_Per_Batch]*IFERROR(INDEX(PP_Grid[#Data],M_BOM[PPGridRow],67),0))</f>
        <v/>
      </c>
      <c r="BP93">
        <f>SUMPRODUCT((M_BOM[RM_Code]=$A93)*M_BOM[RM_Qty_Per_Batch]*IFERROR(INDEX(PP_Grid[#Data],M_BOM[PPGridRow],68),0))</f>
        <v/>
      </c>
      <c r="BQ93">
        <f>SUMPRODUCT((M_BOM[RM_Code]=$A93)*M_BOM[RM_Qty_Per_Batch]*IFERROR(INDEX(PP_Grid[#Data],M_BOM[PPGridRow],69),0))</f>
        <v/>
      </c>
      <c r="BR93">
        <f>SUMPRODUCT((M_BOM[RM_Code]=$A93)*M_BOM[RM_Qty_Per_Batch]*IFERROR(INDEX(PP_Grid[#Data],M_BOM[PPGridRow],70),0))</f>
        <v/>
      </c>
      <c r="BS93">
        <f>SUMPRODUCT((M_BOM[RM_Code]=$A93)*M_BOM[RM_Qty_Per_Batch]*IFERROR(INDEX(PP_Grid[#Data],M_BOM[PPGridRow],71),0))</f>
        <v/>
      </c>
      <c r="BT93">
        <f>SUMPRODUCT((M_BOM[RM_Code]=$A93)*M_BOM[RM_Qty_Per_Batch]*IFERROR(INDEX(PP_Grid[#Data],M_BOM[PPGridRow],72),0))</f>
        <v/>
      </c>
      <c r="BU93">
        <f>SUMPRODUCT((M_BOM[RM_Code]=$A93)*M_BOM[RM_Qty_Per_Batch]*IFERROR(INDEX(PP_Grid[#Data],M_BOM[PPGridRow],73),0))</f>
        <v/>
      </c>
      <c r="BV93">
        <f>SUMPRODUCT((M_BOM[RM_Code]=$A93)*M_BOM[RM_Qty_Per_Batch]*IFERROR(INDEX(PP_Grid[#Data],M_BOM[PPGridRow],74),0))</f>
        <v/>
      </c>
      <c r="BW93">
        <f>SUMPRODUCT((M_BOM[RM_Code]=$A93)*M_BOM[RM_Qty_Per_Batch]*IFERROR(INDEX(PP_Grid[#Data],M_BOM[PPGridRow],75),0))</f>
        <v/>
      </c>
      <c r="BX93">
        <f>SUMPRODUCT((M_BOM[RM_Code]=$A93)*M_BOM[RM_Qty_Per_Batch]*IFERROR(INDEX(PP_Grid[#Data],M_BOM[PPGridRow],76),0))</f>
        <v/>
      </c>
      <c r="BY93">
        <f>SUMPRODUCT((M_BOM[RM_Code]=$A93)*M_BOM[RM_Qty_Per_Batch]*IFERROR(INDEX(PP_Grid[#Data],M_BOM[PPGridRow],77),0))</f>
        <v/>
      </c>
      <c r="BZ93">
        <f>SUMPRODUCT((M_BOM[RM_Code]=$A93)*M_BOM[RM_Qty_Per_Batch]*IFERROR(INDEX(PP_Grid[#Data],M_BOM[PPGridRow],78),0))</f>
        <v/>
      </c>
      <c r="CA93">
        <f>SUMPRODUCT((M_BOM[RM_Code]=$A93)*M_BOM[RM_Qty_Per_Batch]*IFERROR(INDEX(PP_Grid[#Data],M_BOM[PPGridRow],79),0))</f>
        <v/>
      </c>
      <c r="CB93">
        <f>SUMPRODUCT((M_BOM[RM_Code]=$A93)*M_BOM[RM_Qty_Per_Batch]*IFERROR(INDEX(PP_Grid[#Data],M_BOM[PPGridRow],80),0))</f>
        <v/>
      </c>
      <c r="CC93">
        <f>SUMPRODUCT((M_BOM[RM_Code]=$A93)*M_BOM[RM_Qty_Per_Batch]*IFERROR(INDEX(PP_Grid[#Data],M_BOM[PPGridRow],81),0))</f>
        <v/>
      </c>
      <c r="CD93">
        <f>SUMPRODUCT((M_BOM[RM_Code]=$A93)*M_BOM[RM_Qty_Per_Batch]*IFERROR(INDEX(PP_Grid[#Data],M_BOM[PPGridRow],82),0))</f>
        <v/>
      </c>
      <c r="CE93">
        <f>SUMPRODUCT((M_BOM[RM_Code]=$A93)*M_BOM[RM_Qty_Per_Batch]*IFERROR(INDEX(PP_Grid[#Data],M_BOM[PPGridRow],83),0))</f>
        <v/>
      </c>
      <c r="CF93">
        <f>SUMPRODUCT((M_BOM[RM_Code]=$A93)*M_BOM[RM_Qty_Per_Batch]*IFERROR(INDEX(PP_Grid[#Data],M_BOM[PPGridRow],84),0))</f>
        <v/>
      </c>
      <c r="CG93">
        <f>SUMPRODUCT((M_BOM[RM_Code]=$A93)*M_BOM[RM_Qty_Per_Batch]*IFERROR(INDEX(PP_Grid[#Data],M_BOM[PPGridRow],85),0))</f>
        <v/>
      </c>
      <c r="CH93">
        <f>SUMPRODUCT((M_BOM[RM_Code]=$A93)*M_BOM[RM_Qty_Per_Batch]*IFERROR(INDEX(PP_Grid[#Data],M_BOM[PPGridRow],86),0))</f>
        <v/>
      </c>
      <c r="CI93">
        <f>SUMPRODUCT((M_BOM[RM_Code]=$A93)*M_BOM[RM_Qty_Per_Batch]*IFERROR(INDEX(PP_Grid[#Data],M_BOM[PPGridRow],87),0))</f>
        <v/>
      </c>
      <c r="CJ93">
        <f>SUMPRODUCT((M_BOM[RM_Code]=$A93)*M_BOM[RM_Qty_Per_Batch]*IFERROR(INDEX(PP_Grid[#Data],M_BOM[PPGridRow],88),0))</f>
        <v/>
      </c>
      <c r="CK93">
        <f>SUMPRODUCT((M_BOM[RM_Code]=$A93)*M_BOM[RM_Qty_Per_Batch]*IFERROR(INDEX(PP_Grid[#Data],M_BOM[PPGridRow],89),0))</f>
        <v/>
      </c>
      <c r="CL93">
        <f>SUMPRODUCT((M_BOM[RM_Code]=$A93)*M_BOM[RM_Qty_Per_Batch]*IFERROR(INDEX(PP_Grid[#Data],M_BOM[PPGridRow],90),0))</f>
        <v/>
      </c>
      <c r="CM93">
        <f>SUMPRODUCT((M_BOM[RM_Code]=$A93)*M_BOM[RM_Qty_Per_Batch]*IFERROR(INDEX(PP_Grid[#Data],M_BOM[PPGridRow],91),0))</f>
        <v/>
      </c>
      <c r="CN93">
        <f>SUMPRODUCT((M_BOM[RM_Code]=$A93)*M_BOM[RM_Qty_Per_Batch]*IFERROR(INDEX(PP_Grid[#Data],M_BOM[PPGridRow],92),0))</f>
        <v/>
      </c>
      <c r="CO93">
        <f>SUMPRODUCT((M_BOM[RM_Code]=$A93)*M_BOM[RM_Qty_Per_Batch]*IFERROR(INDEX(PP_Grid[#Data],M_BOM[PPGridRow],93),0))</f>
        <v/>
      </c>
      <c r="CP93">
        <f>SUMPRODUCT((M_BOM[RM_Code]=$A93)*M_BOM[RM_Qty_Per_Batch]*IFERROR(INDEX(PP_Grid[#Data],M_BOM[PPGridRow],94),0))</f>
        <v/>
      </c>
      <c r="CQ93">
        <f>SUMPRODUCT((M_BOM[RM_Code]=$A93)*M_BOM[RM_Qty_Per_Batch]*IFERROR(INDEX(PP_Grid[#Data],M_BOM[PPGridRow],95),0))</f>
        <v/>
      </c>
      <c r="CR93">
        <f>SUMPRODUCT((M_BOM[RM_Code]=$A93)*M_BOM[RM_Qty_Per_Batch]*IFERROR(INDEX(PP_Grid[#Data],M_BOM[PPGridRow],96),0))</f>
        <v/>
      </c>
      <c r="CS93">
        <f>SUMPRODUCT((M_BOM[RM_Code]=$A93)*M_BOM[RM_Qty_Per_Batch]*IFERROR(INDEX(PP_Grid[#Data],M_BOM[PPGridRow],97),0))</f>
        <v/>
      </c>
      <c r="CT93">
        <f>SUMPRODUCT((M_BOM[RM_Code]=$A93)*M_BOM[RM_Qty_Per_Batch]*IFERROR(INDEX(PP_Grid[#Data],M_BOM[PPGridRow],98),0))</f>
        <v/>
      </c>
      <c r="CU93">
        <f>SUMPRODUCT((M_BOM[RM_Code]=$A93)*M_BOM[RM_Qty_Per_Batch]*IFERROR(INDEX(PP_Grid[#Data],M_BOM[PPGridRow],99),0))</f>
        <v/>
      </c>
      <c r="CV93">
        <f>SUMPRODUCT((M_BOM[RM_Code]=$A93)*M_BOM[RM_Qty_Per_Batch]*IFERROR(INDEX(PP_Grid[#Data],M_BOM[PPGridRow],100),0))</f>
        <v/>
      </c>
      <c r="CW93">
        <f>SUMPRODUCT((M_BOM[RM_Code]=$A93)*M_BOM[RM_Qty_Per_Batch]*IFERROR(INDEX(PP_Grid[#Data],M_BOM[PPGridRow],101),0))</f>
        <v/>
      </c>
      <c r="CX93">
        <f>SUMPRODUCT((M_BOM[RM_Code]=$A93)*M_BOM[RM_Qty_Per_Batch]*IFERROR(INDEX(PP_Grid[#Data],M_BOM[PPGridRow],102),0))</f>
        <v/>
      </c>
      <c r="CY93">
        <f>SUMPRODUCT((M_BOM[RM_Code]=$A93)*M_BOM[RM_Qty_Per_Batch]*IFERROR(INDEX(PP_Grid[#Data],M_BOM[PPGridRow],103),0))</f>
        <v/>
      </c>
      <c r="CZ93">
        <f>SUMPRODUCT((M_BOM[RM_Code]=$A93)*M_BOM[RM_Qty_Per_Batch]*IFERROR(INDEX(PP_Grid[#Data],M_BOM[PPGridRow],104),0))</f>
        <v/>
      </c>
      <c r="DA93">
        <f>SUMPRODUCT((M_BOM[RM_Code]=$A93)*M_BOM[RM_Qty_Per_Batch]*IFERROR(INDEX(PP_Grid[#Data],M_BOM[PPGridRow],105),0))</f>
        <v/>
      </c>
    </row>
    <row r="94">
      <c r="A94" t="inlineStr">
        <is>
          <t>CHEM-1800</t>
        </is>
      </c>
      <c r="B94">
        <f>SUMPRODUCT((M_BOM[RM_Code]=$A94)*M_BOM[RM_Qty_Per_Batch]*IFERROR(INDEX(PP_Grid[#Data],M_BOM[PPGridRow],2),0))</f>
        <v/>
      </c>
      <c r="C94">
        <f>SUMPRODUCT((M_BOM[RM_Code]=$A94)*M_BOM[RM_Qty_Per_Batch]*IFERROR(INDEX(PP_Grid[#Data],M_BOM[PPGridRow],3),0))</f>
        <v/>
      </c>
      <c r="D94">
        <f>SUMPRODUCT((M_BOM[RM_Code]=$A94)*M_BOM[RM_Qty_Per_Batch]*IFERROR(INDEX(PP_Grid[#Data],M_BOM[PPGridRow],4),0))</f>
        <v/>
      </c>
      <c r="E94">
        <f>SUMPRODUCT((M_BOM[RM_Code]=$A94)*M_BOM[RM_Qty_Per_Batch]*IFERROR(INDEX(PP_Grid[#Data],M_BOM[PPGridRow],5),0))</f>
        <v/>
      </c>
      <c r="F94">
        <f>SUMPRODUCT((M_BOM[RM_Code]=$A94)*M_BOM[RM_Qty_Per_Batch]*IFERROR(INDEX(PP_Grid[#Data],M_BOM[PPGridRow],6),0))</f>
        <v/>
      </c>
      <c r="G94">
        <f>SUMPRODUCT((M_BOM[RM_Code]=$A94)*M_BOM[RM_Qty_Per_Batch]*IFERROR(INDEX(PP_Grid[#Data],M_BOM[PPGridRow],7),0))</f>
        <v/>
      </c>
      <c r="H94">
        <f>SUMPRODUCT((M_BOM[RM_Code]=$A94)*M_BOM[RM_Qty_Per_Batch]*IFERROR(INDEX(PP_Grid[#Data],M_BOM[PPGridRow],8),0))</f>
        <v/>
      </c>
      <c r="I94">
        <f>SUMPRODUCT((M_BOM[RM_Code]=$A94)*M_BOM[RM_Qty_Per_Batch]*IFERROR(INDEX(PP_Grid[#Data],M_BOM[PPGridRow],9),0))</f>
        <v/>
      </c>
      <c r="J94">
        <f>SUMPRODUCT((M_BOM[RM_Code]=$A94)*M_BOM[RM_Qty_Per_Batch]*IFERROR(INDEX(PP_Grid[#Data],M_BOM[PPGridRow],10),0))</f>
        <v/>
      </c>
      <c r="K94">
        <f>SUMPRODUCT((M_BOM[RM_Code]=$A94)*M_BOM[RM_Qty_Per_Batch]*IFERROR(INDEX(PP_Grid[#Data],M_BOM[PPGridRow],11),0))</f>
        <v/>
      </c>
      <c r="L94">
        <f>SUMPRODUCT((M_BOM[RM_Code]=$A94)*M_BOM[RM_Qty_Per_Batch]*IFERROR(INDEX(PP_Grid[#Data],M_BOM[PPGridRow],12),0))</f>
        <v/>
      </c>
      <c r="M94">
        <f>SUMPRODUCT((M_BOM[RM_Code]=$A94)*M_BOM[RM_Qty_Per_Batch]*IFERROR(INDEX(PP_Grid[#Data],M_BOM[PPGridRow],13),0))</f>
        <v/>
      </c>
      <c r="N94">
        <f>SUMPRODUCT((M_BOM[RM_Code]=$A94)*M_BOM[RM_Qty_Per_Batch]*IFERROR(INDEX(PP_Grid[#Data],M_BOM[PPGridRow],14),0))</f>
        <v/>
      </c>
      <c r="O94">
        <f>SUMPRODUCT((M_BOM[RM_Code]=$A94)*M_BOM[RM_Qty_Per_Batch]*IFERROR(INDEX(PP_Grid[#Data],M_BOM[PPGridRow],15),0))</f>
        <v/>
      </c>
      <c r="P94">
        <f>SUMPRODUCT((M_BOM[RM_Code]=$A94)*M_BOM[RM_Qty_Per_Batch]*IFERROR(INDEX(PP_Grid[#Data],M_BOM[PPGridRow],16),0))</f>
        <v/>
      </c>
      <c r="Q94">
        <f>SUMPRODUCT((M_BOM[RM_Code]=$A94)*M_BOM[RM_Qty_Per_Batch]*IFERROR(INDEX(PP_Grid[#Data],M_BOM[PPGridRow],17),0))</f>
        <v/>
      </c>
      <c r="R94">
        <f>SUMPRODUCT((M_BOM[RM_Code]=$A94)*M_BOM[RM_Qty_Per_Batch]*IFERROR(INDEX(PP_Grid[#Data],M_BOM[PPGridRow],18),0))</f>
        <v/>
      </c>
      <c r="S94">
        <f>SUMPRODUCT((M_BOM[RM_Code]=$A94)*M_BOM[RM_Qty_Per_Batch]*IFERROR(INDEX(PP_Grid[#Data],M_BOM[PPGridRow],19),0))</f>
        <v/>
      </c>
      <c r="T94">
        <f>SUMPRODUCT((M_BOM[RM_Code]=$A94)*M_BOM[RM_Qty_Per_Batch]*IFERROR(INDEX(PP_Grid[#Data],M_BOM[PPGridRow],20),0))</f>
        <v/>
      </c>
      <c r="U94">
        <f>SUMPRODUCT((M_BOM[RM_Code]=$A94)*M_BOM[RM_Qty_Per_Batch]*IFERROR(INDEX(PP_Grid[#Data],M_BOM[PPGridRow],21),0))</f>
        <v/>
      </c>
      <c r="V94">
        <f>SUMPRODUCT((M_BOM[RM_Code]=$A94)*M_BOM[RM_Qty_Per_Batch]*IFERROR(INDEX(PP_Grid[#Data],M_BOM[PPGridRow],22),0))</f>
        <v/>
      </c>
      <c r="W94">
        <f>SUMPRODUCT((M_BOM[RM_Code]=$A94)*M_BOM[RM_Qty_Per_Batch]*IFERROR(INDEX(PP_Grid[#Data],M_BOM[PPGridRow],23),0))</f>
        <v/>
      </c>
      <c r="X94">
        <f>SUMPRODUCT((M_BOM[RM_Code]=$A94)*M_BOM[RM_Qty_Per_Batch]*IFERROR(INDEX(PP_Grid[#Data],M_BOM[PPGridRow],24),0))</f>
        <v/>
      </c>
      <c r="Y94">
        <f>SUMPRODUCT((M_BOM[RM_Code]=$A94)*M_BOM[RM_Qty_Per_Batch]*IFERROR(INDEX(PP_Grid[#Data],M_BOM[PPGridRow],25),0))</f>
        <v/>
      </c>
      <c r="Z94">
        <f>SUMPRODUCT((M_BOM[RM_Code]=$A94)*M_BOM[RM_Qty_Per_Batch]*IFERROR(INDEX(PP_Grid[#Data],M_BOM[PPGridRow],26),0))</f>
        <v/>
      </c>
      <c r="AA94">
        <f>SUMPRODUCT((M_BOM[RM_Code]=$A94)*M_BOM[RM_Qty_Per_Batch]*IFERROR(INDEX(PP_Grid[#Data],M_BOM[PPGridRow],27),0))</f>
        <v/>
      </c>
      <c r="AB94">
        <f>SUMPRODUCT((M_BOM[RM_Code]=$A94)*M_BOM[RM_Qty_Per_Batch]*IFERROR(INDEX(PP_Grid[#Data],M_BOM[PPGridRow],28),0))</f>
        <v/>
      </c>
      <c r="AC94">
        <f>SUMPRODUCT((M_BOM[RM_Code]=$A94)*M_BOM[RM_Qty_Per_Batch]*IFERROR(INDEX(PP_Grid[#Data],M_BOM[PPGridRow],29),0))</f>
        <v/>
      </c>
      <c r="AD94">
        <f>SUMPRODUCT((M_BOM[RM_Code]=$A94)*M_BOM[RM_Qty_Per_Batch]*IFERROR(INDEX(PP_Grid[#Data],M_BOM[PPGridRow],30),0))</f>
        <v/>
      </c>
      <c r="AE94">
        <f>SUMPRODUCT((M_BOM[RM_Code]=$A94)*M_BOM[RM_Qty_Per_Batch]*IFERROR(INDEX(PP_Grid[#Data],M_BOM[PPGridRow],31),0))</f>
        <v/>
      </c>
      <c r="AF94">
        <f>SUMPRODUCT((M_BOM[RM_Code]=$A94)*M_BOM[RM_Qty_Per_Batch]*IFERROR(INDEX(PP_Grid[#Data],M_BOM[PPGridRow],32),0))</f>
        <v/>
      </c>
      <c r="AG94">
        <f>SUMPRODUCT((M_BOM[RM_Code]=$A94)*M_BOM[RM_Qty_Per_Batch]*IFERROR(INDEX(PP_Grid[#Data],M_BOM[PPGridRow],33),0))</f>
        <v/>
      </c>
      <c r="AH94">
        <f>SUMPRODUCT((M_BOM[RM_Code]=$A94)*M_BOM[RM_Qty_Per_Batch]*IFERROR(INDEX(PP_Grid[#Data],M_BOM[PPGridRow],34),0))</f>
        <v/>
      </c>
      <c r="AI94">
        <f>SUMPRODUCT((M_BOM[RM_Code]=$A94)*M_BOM[RM_Qty_Per_Batch]*IFERROR(INDEX(PP_Grid[#Data],M_BOM[PPGridRow],35),0))</f>
        <v/>
      </c>
      <c r="AJ94">
        <f>SUMPRODUCT((M_BOM[RM_Code]=$A94)*M_BOM[RM_Qty_Per_Batch]*IFERROR(INDEX(PP_Grid[#Data],M_BOM[PPGridRow],36),0))</f>
        <v/>
      </c>
      <c r="AK94">
        <f>SUMPRODUCT((M_BOM[RM_Code]=$A94)*M_BOM[RM_Qty_Per_Batch]*IFERROR(INDEX(PP_Grid[#Data],M_BOM[PPGridRow],37),0))</f>
        <v/>
      </c>
      <c r="AL94">
        <f>SUMPRODUCT((M_BOM[RM_Code]=$A94)*M_BOM[RM_Qty_Per_Batch]*IFERROR(INDEX(PP_Grid[#Data],M_BOM[PPGridRow],38),0))</f>
        <v/>
      </c>
      <c r="AM94">
        <f>SUMPRODUCT((M_BOM[RM_Code]=$A94)*M_BOM[RM_Qty_Per_Batch]*IFERROR(INDEX(PP_Grid[#Data],M_BOM[PPGridRow],39),0))</f>
        <v/>
      </c>
      <c r="AN94">
        <f>SUMPRODUCT((M_BOM[RM_Code]=$A94)*M_BOM[RM_Qty_Per_Batch]*IFERROR(INDEX(PP_Grid[#Data],M_BOM[PPGridRow],40),0))</f>
        <v/>
      </c>
      <c r="AO94">
        <f>SUMPRODUCT((M_BOM[RM_Code]=$A94)*M_BOM[RM_Qty_Per_Batch]*IFERROR(INDEX(PP_Grid[#Data],M_BOM[PPGridRow],41),0))</f>
        <v/>
      </c>
      <c r="AP94">
        <f>SUMPRODUCT((M_BOM[RM_Code]=$A94)*M_BOM[RM_Qty_Per_Batch]*IFERROR(INDEX(PP_Grid[#Data],M_BOM[PPGridRow],42),0))</f>
        <v/>
      </c>
      <c r="AQ94">
        <f>SUMPRODUCT((M_BOM[RM_Code]=$A94)*M_BOM[RM_Qty_Per_Batch]*IFERROR(INDEX(PP_Grid[#Data],M_BOM[PPGridRow],43),0))</f>
        <v/>
      </c>
      <c r="AR94">
        <f>SUMPRODUCT((M_BOM[RM_Code]=$A94)*M_BOM[RM_Qty_Per_Batch]*IFERROR(INDEX(PP_Grid[#Data],M_BOM[PPGridRow],44),0))</f>
        <v/>
      </c>
      <c r="AS94">
        <f>SUMPRODUCT((M_BOM[RM_Code]=$A94)*M_BOM[RM_Qty_Per_Batch]*IFERROR(INDEX(PP_Grid[#Data],M_BOM[PPGridRow],45),0))</f>
        <v/>
      </c>
      <c r="AT94">
        <f>SUMPRODUCT((M_BOM[RM_Code]=$A94)*M_BOM[RM_Qty_Per_Batch]*IFERROR(INDEX(PP_Grid[#Data],M_BOM[PPGridRow],46),0))</f>
        <v/>
      </c>
      <c r="AU94">
        <f>SUMPRODUCT((M_BOM[RM_Code]=$A94)*M_BOM[RM_Qty_Per_Batch]*IFERROR(INDEX(PP_Grid[#Data],M_BOM[PPGridRow],47),0))</f>
        <v/>
      </c>
      <c r="AV94">
        <f>SUMPRODUCT((M_BOM[RM_Code]=$A94)*M_BOM[RM_Qty_Per_Batch]*IFERROR(INDEX(PP_Grid[#Data],M_BOM[PPGridRow],48),0))</f>
        <v/>
      </c>
      <c r="AW94">
        <f>SUMPRODUCT((M_BOM[RM_Code]=$A94)*M_BOM[RM_Qty_Per_Batch]*IFERROR(INDEX(PP_Grid[#Data],M_BOM[PPGridRow],49),0))</f>
        <v/>
      </c>
      <c r="AX94">
        <f>SUMPRODUCT((M_BOM[RM_Code]=$A94)*M_BOM[RM_Qty_Per_Batch]*IFERROR(INDEX(PP_Grid[#Data],M_BOM[PPGridRow],50),0))</f>
        <v/>
      </c>
      <c r="AY94">
        <f>SUMPRODUCT((M_BOM[RM_Code]=$A94)*M_BOM[RM_Qty_Per_Batch]*IFERROR(INDEX(PP_Grid[#Data],M_BOM[PPGridRow],51),0))</f>
        <v/>
      </c>
      <c r="AZ94">
        <f>SUMPRODUCT((M_BOM[RM_Code]=$A94)*M_BOM[RM_Qty_Per_Batch]*IFERROR(INDEX(PP_Grid[#Data],M_BOM[PPGridRow],52),0))</f>
        <v/>
      </c>
      <c r="BA94">
        <f>SUMPRODUCT((M_BOM[RM_Code]=$A94)*M_BOM[RM_Qty_Per_Batch]*IFERROR(INDEX(PP_Grid[#Data],M_BOM[PPGridRow],53),0))</f>
        <v/>
      </c>
      <c r="BB94">
        <f>SUMPRODUCT((M_BOM[RM_Code]=$A94)*M_BOM[RM_Qty_Per_Batch]*IFERROR(INDEX(PP_Grid[#Data],M_BOM[PPGridRow],54),0))</f>
        <v/>
      </c>
      <c r="BC94">
        <f>SUMPRODUCT((M_BOM[RM_Code]=$A94)*M_BOM[RM_Qty_Per_Batch]*IFERROR(INDEX(PP_Grid[#Data],M_BOM[PPGridRow],55),0))</f>
        <v/>
      </c>
      <c r="BD94">
        <f>SUMPRODUCT((M_BOM[RM_Code]=$A94)*M_BOM[RM_Qty_Per_Batch]*IFERROR(INDEX(PP_Grid[#Data],M_BOM[PPGridRow],56),0))</f>
        <v/>
      </c>
      <c r="BE94">
        <f>SUMPRODUCT((M_BOM[RM_Code]=$A94)*M_BOM[RM_Qty_Per_Batch]*IFERROR(INDEX(PP_Grid[#Data],M_BOM[PPGridRow],57),0))</f>
        <v/>
      </c>
      <c r="BF94">
        <f>SUMPRODUCT((M_BOM[RM_Code]=$A94)*M_BOM[RM_Qty_Per_Batch]*IFERROR(INDEX(PP_Grid[#Data],M_BOM[PPGridRow],58),0))</f>
        <v/>
      </c>
      <c r="BG94">
        <f>SUMPRODUCT((M_BOM[RM_Code]=$A94)*M_BOM[RM_Qty_Per_Batch]*IFERROR(INDEX(PP_Grid[#Data],M_BOM[PPGridRow],59),0))</f>
        <v/>
      </c>
      <c r="BH94">
        <f>SUMPRODUCT((M_BOM[RM_Code]=$A94)*M_BOM[RM_Qty_Per_Batch]*IFERROR(INDEX(PP_Grid[#Data],M_BOM[PPGridRow],60),0))</f>
        <v/>
      </c>
      <c r="BI94">
        <f>SUMPRODUCT((M_BOM[RM_Code]=$A94)*M_BOM[RM_Qty_Per_Batch]*IFERROR(INDEX(PP_Grid[#Data],M_BOM[PPGridRow],61),0))</f>
        <v/>
      </c>
      <c r="BJ94">
        <f>SUMPRODUCT((M_BOM[RM_Code]=$A94)*M_BOM[RM_Qty_Per_Batch]*IFERROR(INDEX(PP_Grid[#Data],M_BOM[PPGridRow],62),0))</f>
        <v/>
      </c>
      <c r="BK94">
        <f>SUMPRODUCT((M_BOM[RM_Code]=$A94)*M_BOM[RM_Qty_Per_Batch]*IFERROR(INDEX(PP_Grid[#Data],M_BOM[PPGridRow],63),0))</f>
        <v/>
      </c>
      <c r="BL94">
        <f>SUMPRODUCT((M_BOM[RM_Code]=$A94)*M_BOM[RM_Qty_Per_Batch]*IFERROR(INDEX(PP_Grid[#Data],M_BOM[PPGridRow],64),0))</f>
        <v/>
      </c>
      <c r="BM94">
        <f>SUMPRODUCT((M_BOM[RM_Code]=$A94)*M_BOM[RM_Qty_Per_Batch]*IFERROR(INDEX(PP_Grid[#Data],M_BOM[PPGridRow],65),0))</f>
        <v/>
      </c>
      <c r="BN94">
        <f>SUMPRODUCT((M_BOM[RM_Code]=$A94)*M_BOM[RM_Qty_Per_Batch]*IFERROR(INDEX(PP_Grid[#Data],M_BOM[PPGridRow],66),0))</f>
        <v/>
      </c>
      <c r="BO94">
        <f>SUMPRODUCT((M_BOM[RM_Code]=$A94)*M_BOM[RM_Qty_Per_Batch]*IFERROR(INDEX(PP_Grid[#Data],M_BOM[PPGridRow],67),0))</f>
        <v/>
      </c>
      <c r="BP94">
        <f>SUMPRODUCT((M_BOM[RM_Code]=$A94)*M_BOM[RM_Qty_Per_Batch]*IFERROR(INDEX(PP_Grid[#Data],M_BOM[PPGridRow],68),0))</f>
        <v/>
      </c>
      <c r="BQ94">
        <f>SUMPRODUCT((M_BOM[RM_Code]=$A94)*M_BOM[RM_Qty_Per_Batch]*IFERROR(INDEX(PP_Grid[#Data],M_BOM[PPGridRow],69),0))</f>
        <v/>
      </c>
      <c r="BR94">
        <f>SUMPRODUCT((M_BOM[RM_Code]=$A94)*M_BOM[RM_Qty_Per_Batch]*IFERROR(INDEX(PP_Grid[#Data],M_BOM[PPGridRow],70),0))</f>
        <v/>
      </c>
      <c r="BS94">
        <f>SUMPRODUCT((M_BOM[RM_Code]=$A94)*M_BOM[RM_Qty_Per_Batch]*IFERROR(INDEX(PP_Grid[#Data],M_BOM[PPGridRow],71),0))</f>
        <v/>
      </c>
      <c r="BT94">
        <f>SUMPRODUCT((M_BOM[RM_Code]=$A94)*M_BOM[RM_Qty_Per_Batch]*IFERROR(INDEX(PP_Grid[#Data],M_BOM[PPGridRow],72),0))</f>
        <v/>
      </c>
      <c r="BU94">
        <f>SUMPRODUCT((M_BOM[RM_Code]=$A94)*M_BOM[RM_Qty_Per_Batch]*IFERROR(INDEX(PP_Grid[#Data],M_BOM[PPGridRow],73),0))</f>
        <v/>
      </c>
      <c r="BV94">
        <f>SUMPRODUCT((M_BOM[RM_Code]=$A94)*M_BOM[RM_Qty_Per_Batch]*IFERROR(INDEX(PP_Grid[#Data],M_BOM[PPGridRow],74),0))</f>
        <v/>
      </c>
      <c r="BW94">
        <f>SUMPRODUCT((M_BOM[RM_Code]=$A94)*M_BOM[RM_Qty_Per_Batch]*IFERROR(INDEX(PP_Grid[#Data],M_BOM[PPGridRow],75),0))</f>
        <v/>
      </c>
      <c r="BX94">
        <f>SUMPRODUCT((M_BOM[RM_Code]=$A94)*M_BOM[RM_Qty_Per_Batch]*IFERROR(INDEX(PP_Grid[#Data],M_BOM[PPGridRow],76),0))</f>
        <v/>
      </c>
      <c r="BY94">
        <f>SUMPRODUCT((M_BOM[RM_Code]=$A94)*M_BOM[RM_Qty_Per_Batch]*IFERROR(INDEX(PP_Grid[#Data],M_BOM[PPGridRow],77),0))</f>
        <v/>
      </c>
      <c r="BZ94">
        <f>SUMPRODUCT((M_BOM[RM_Code]=$A94)*M_BOM[RM_Qty_Per_Batch]*IFERROR(INDEX(PP_Grid[#Data],M_BOM[PPGridRow],78),0))</f>
        <v/>
      </c>
      <c r="CA94">
        <f>SUMPRODUCT((M_BOM[RM_Code]=$A94)*M_BOM[RM_Qty_Per_Batch]*IFERROR(INDEX(PP_Grid[#Data],M_BOM[PPGridRow],79),0))</f>
        <v/>
      </c>
      <c r="CB94">
        <f>SUMPRODUCT((M_BOM[RM_Code]=$A94)*M_BOM[RM_Qty_Per_Batch]*IFERROR(INDEX(PP_Grid[#Data],M_BOM[PPGridRow],80),0))</f>
        <v/>
      </c>
      <c r="CC94">
        <f>SUMPRODUCT((M_BOM[RM_Code]=$A94)*M_BOM[RM_Qty_Per_Batch]*IFERROR(INDEX(PP_Grid[#Data],M_BOM[PPGridRow],81),0))</f>
        <v/>
      </c>
      <c r="CD94">
        <f>SUMPRODUCT((M_BOM[RM_Code]=$A94)*M_BOM[RM_Qty_Per_Batch]*IFERROR(INDEX(PP_Grid[#Data],M_BOM[PPGridRow],82),0))</f>
        <v/>
      </c>
      <c r="CE94">
        <f>SUMPRODUCT((M_BOM[RM_Code]=$A94)*M_BOM[RM_Qty_Per_Batch]*IFERROR(INDEX(PP_Grid[#Data],M_BOM[PPGridRow],83),0))</f>
        <v/>
      </c>
      <c r="CF94">
        <f>SUMPRODUCT((M_BOM[RM_Code]=$A94)*M_BOM[RM_Qty_Per_Batch]*IFERROR(INDEX(PP_Grid[#Data],M_BOM[PPGridRow],84),0))</f>
        <v/>
      </c>
      <c r="CG94">
        <f>SUMPRODUCT((M_BOM[RM_Code]=$A94)*M_BOM[RM_Qty_Per_Batch]*IFERROR(INDEX(PP_Grid[#Data],M_BOM[PPGridRow],85),0))</f>
        <v/>
      </c>
      <c r="CH94">
        <f>SUMPRODUCT((M_BOM[RM_Code]=$A94)*M_BOM[RM_Qty_Per_Batch]*IFERROR(INDEX(PP_Grid[#Data],M_BOM[PPGridRow],86),0))</f>
        <v/>
      </c>
      <c r="CI94">
        <f>SUMPRODUCT((M_BOM[RM_Code]=$A94)*M_BOM[RM_Qty_Per_Batch]*IFERROR(INDEX(PP_Grid[#Data],M_BOM[PPGridRow],87),0))</f>
        <v/>
      </c>
      <c r="CJ94">
        <f>SUMPRODUCT((M_BOM[RM_Code]=$A94)*M_BOM[RM_Qty_Per_Batch]*IFERROR(INDEX(PP_Grid[#Data],M_BOM[PPGridRow],88),0))</f>
        <v/>
      </c>
      <c r="CK94">
        <f>SUMPRODUCT((M_BOM[RM_Code]=$A94)*M_BOM[RM_Qty_Per_Batch]*IFERROR(INDEX(PP_Grid[#Data],M_BOM[PPGridRow],89),0))</f>
        <v/>
      </c>
      <c r="CL94">
        <f>SUMPRODUCT((M_BOM[RM_Code]=$A94)*M_BOM[RM_Qty_Per_Batch]*IFERROR(INDEX(PP_Grid[#Data],M_BOM[PPGridRow],90),0))</f>
        <v/>
      </c>
      <c r="CM94">
        <f>SUMPRODUCT((M_BOM[RM_Code]=$A94)*M_BOM[RM_Qty_Per_Batch]*IFERROR(INDEX(PP_Grid[#Data],M_BOM[PPGridRow],91),0))</f>
        <v/>
      </c>
      <c r="CN94">
        <f>SUMPRODUCT((M_BOM[RM_Code]=$A94)*M_BOM[RM_Qty_Per_Batch]*IFERROR(INDEX(PP_Grid[#Data],M_BOM[PPGridRow],92),0))</f>
        <v/>
      </c>
      <c r="CO94">
        <f>SUMPRODUCT((M_BOM[RM_Code]=$A94)*M_BOM[RM_Qty_Per_Batch]*IFERROR(INDEX(PP_Grid[#Data],M_BOM[PPGridRow],93),0))</f>
        <v/>
      </c>
      <c r="CP94">
        <f>SUMPRODUCT((M_BOM[RM_Code]=$A94)*M_BOM[RM_Qty_Per_Batch]*IFERROR(INDEX(PP_Grid[#Data],M_BOM[PPGridRow],94),0))</f>
        <v/>
      </c>
      <c r="CQ94">
        <f>SUMPRODUCT((M_BOM[RM_Code]=$A94)*M_BOM[RM_Qty_Per_Batch]*IFERROR(INDEX(PP_Grid[#Data],M_BOM[PPGridRow],95),0))</f>
        <v/>
      </c>
      <c r="CR94">
        <f>SUMPRODUCT((M_BOM[RM_Code]=$A94)*M_BOM[RM_Qty_Per_Batch]*IFERROR(INDEX(PP_Grid[#Data],M_BOM[PPGridRow],96),0))</f>
        <v/>
      </c>
      <c r="CS94">
        <f>SUMPRODUCT((M_BOM[RM_Code]=$A94)*M_BOM[RM_Qty_Per_Batch]*IFERROR(INDEX(PP_Grid[#Data],M_BOM[PPGridRow],97),0))</f>
        <v/>
      </c>
      <c r="CT94">
        <f>SUMPRODUCT((M_BOM[RM_Code]=$A94)*M_BOM[RM_Qty_Per_Batch]*IFERROR(INDEX(PP_Grid[#Data],M_BOM[PPGridRow],98),0))</f>
        <v/>
      </c>
      <c r="CU94">
        <f>SUMPRODUCT((M_BOM[RM_Code]=$A94)*M_BOM[RM_Qty_Per_Batch]*IFERROR(INDEX(PP_Grid[#Data],M_BOM[PPGridRow],99),0))</f>
        <v/>
      </c>
      <c r="CV94">
        <f>SUMPRODUCT((M_BOM[RM_Code]=$A94)*M_BOM[RM_Qty_Per_Batch]*IFERROR(INDEX(PP_Grid[#Data],M_BOM[PPGridRow],100),0))</f>
        <v/>
      </c>
      <c r="CW94">
        <f>SUMPRODUCT((M_BOM[RM_Code]=$A94)*M_BOM[RM_Qty_Per_Batch]*IFERROR(INDEX(PP_Grid[#Data],M_BOM[PPGridRow],101),0))</f>
        <v/>
      </c>
      <c r="CX94">
        <f>SUMPRODUCT((M_BOM[RM_Code]=$A94)*M_BOM[RM_Qty_Per_Batch]*IFERROR(INDEX(PP_Grid[#Data],M_BOM[PPGridRow],102),0))</f>
        <v/>
      </c>
      <c r="CY94">
        <f>SUMPRODUCT((M_BOM[RM_Code]=$A94)*M_BOM[RM_Qty_Per_Batch]*IFERROR(INDEX(PP_Grid[#Data],M_BOM[PPGridRow],103),0))</f>
        <v/>
      </c>
      <c r="CZ94">
        <f>SUMPRODUCT((M_BOM[RM_Code]=$A94)*M_BOM[RM_Qty_Per_Batch]*IFERROR(INDEX(PP_Grid[#Data],M_BOM[PPGridRow],104),0))</f>
        <v/>
      </c>
      <c r="DA94">
        <f>SUMPRODUCT((M_BOM[RM_Code]=$A94)*M_BOM[RM_Qty_Per_Batch]*IFERROR(INDEX(PP_Grid[#Data],M_BOM[PPGridRow],105),0))</f>
        <v/>
      </c>
    </row>
    <row r="95">
      <c r="A95" t="inlineStr">
        <is>
          <t>CHEM-1710</t>
        </is>
      </c>
      <c r="B95">
        <f>SUMPRODUCT((M_BOM[RM_Code]=$A95)*M_BOM[RM_Qty_Per_Batch]*IFERROR(INDEX(PP_Grid[#Data],M_BOM[PPGridRow],2),0))</f>
        <v/>
      </c>
      <c r="C95">
        <f>SUMPRODUCT((M_BOM[RM_Code]=$A95)*M_BOM[RM_Qty_Per_Batch]*IFERROR(INDEX(PP_Grid[#Data],M_BOM[PPGridRow],3),0))</f>
        <v/>
      </c>
      <c r="D95">
        <f>SUMPRODUCT((M_BOM[RM_Code]=$A95)*M_BOM[RM_Qty_Per_Batch]*IFERROR(INDEX(PP_Grid[#Data],M_BOM[PPGridRow],4),0))</f>
        <v/>
      </c>
      <c r="E95">
        <f>SUMPRODUCT((M_BOM[RM_Code]=$A95)*M_BOM[RM_Qty_Per_Batch]*IFERROR(INDEX(PP_Grid[#Data],M_BOM[PPGridRow],5),0))</f>
        <v/>
      </c>
      <c r="F95">
        <f>SUMPRODUCT((M_BOM[RM_Code]=$A95)*M_BOM[RM_Qty_Per_Batch]*IFERROR(INDEX(PP_Grid[#Data],M_BOM[PPGridRow],6),0))</f>
        <v/>
      </c>
      <c r="G95">
        <f>SUMPRODUCT((M_BOM[RM_Code]=$A95)*M_BOM[RM_Qty_Per_Batch]*IFERROR(INDEX(PP_Grid[#Data],M_BOM[PPGridRow],7),0))</f>
        <v/>
      </c>
      <c r="H95">
        <f>SUMPRODUCT((M_BOM[RM_Code]=$A95)*M_BOM[RM_Qty_Per_Batch]*IFERROR(INDEX(PP_Grid[#Data],M_BOM[PPGridRow],8),0))</f>
        <v/>
      </c>
      <c r="I95">
        <f>SUMPRODUCT((M_BOM[RM_Code]=$A95)*M_BOM[RM_Qty_Per_Batch]*IFERROR(INDEX(PP_Grid[#Data],M_BOM[PPGridRow],9),0))</f>
        <v/>
      </c>
      <c r="J95">
        <f>SUMPRODUCT((M_BOM[RM_Code]=$A95)*M_BOM[RM_Qty_Per_Batch]*IFERROR(INDEX(PP_Grid[#Data],M_BOM[PPGridRow],10),0))</f>
        <v/>
      </c>
      <c r="K95">
        <f>SUMPRODUCT((M_BOM[RM_Code]=$A95)*M_BOM[RM_Qty_Per_Batch]*IFERROR(INDEX(PP_Grid[#Data],M_BOM[PPGridRow],11),0))</f>
        <v/>
      </c>
      <c r="L95">
        <f>SUMPRODUCT((M_BOM[RM_Code]=$A95)*M_BOM[RM_Qty_Per_Batch]*IFERROR(INDEX(PP_Grid[#Data],M_BOM[PPGridRow],12),0))</f>
        <v/>
      </c>
      <c r="M95">
        <f>SUMPRODUCT((M_BOM[RM_Code]=$A95)*M_BOM[RM_Qty_Per_Batch]*IFERROR(INDEX(PP_Grid[#Data],M_BOM[PPGridRow],13),0))</f>
        <v/>
      </c>
      <c r="N95">
        <f>SUMPRODUCT((M_BOM[RM_Code]=$A95)*M_BOM[RM_Qty_Per_Batch]*IFERROR(INDEX(PP_Grid[#Data],M_BOM[PPGridRow],14),0))</f>
        <v/>
      </c>
      <c r="O95">
        <f>SUMPRODUCT((M_BOM[RM_Code]=$A95)*M_BOM[RM_Qty_Per_Batch]*IFERROR(INDEX(PP_Grid[#Data],M_BOM[PPGridRow],15),0))</f>
        <v/>
      </c>
      <c r="P95">
        <f>SUMPRODUCT((M_BOM[RM_Code]=$A95)*M_BOM[RM_Qty_Per_Batch]*IFERROR(INDEX(PP_Grid[#Data],M_BOM[PPGridRow],16),0))</f>
        <v/>
      </c>
      <c r="Q95">
        <f>SUMPRODUCT((M_BOM[RM_Code]=$A95)*M_BOM[RM_Qty_Per_Batch]*IFERROR(INDEX(PP_Grid[#Data],M_BOM[PPGridRow],17),0))</f>
        <v/>
      </c>
      <c r="R95">
        <f>SUMPRODUCT((M_BOM[RM_Code]=$A95)*M_BOM[RM_Qty_Per_Batch]*IFERROR(INDEX(PP_Grid[#Data],M_BOM[PPGridRow],18),0))</f>
        <v/>
      </c>
      <c r="S95">
        <f>SUMPRODUCT((M_BOM[RM_Code]=$A95)*M_BOM[RM_Qty_Per_Batch]*IFERROR(INDEX(PP_Grid[#Data],M_BOM[PPGridRow],19),0))</f>
        <v/>
      </c>
      <c r="T95">
        <f>SUMPRODUCT((M_BOM[RM_Code]=$A95)*M_BOM[RM_Qty_Per_Batch]*IFERROR(INDEX(PP_Grid[#Data],M_BOM[PPGridRow],20),0))</f>
        <v/>
      </c>
      <c r="U95">
        <f>SUMPRODUCT((M_BOM[RM_Code]=$A95)*M_BOM[RM_Qty_Per_Batch]*IFERROR(INDEX(PP_Grid[#Data],M_BOM[PPGridRow],21),0))</f>
        <v/>
      </c>
      <c r="V95">
        <f>SUMPRODUCT((M_BOM[RM_Code]=$A95)*M_BOM[RM_Qty_Per_Batch]*IFERROR(INDEX(PP_Grid[#Data],M_BOM[PPGridRow],22),0))</f>
        <v/>
      </c>
      <c r="W95">
        <f>SUMPRODUCT((M_BOM[RM_Code]=$A95)*M_BOM[RM_Qty_Per_Batch]*IFERROR(INDEX(PP_Grid[#Data],M_BOM[PPGridRow],23),0))</f>
        <v/>
      </c>
      <c r="X95">
        <f>SUMPRODUCT((M_BOM[RM_Code]=$A95)*M_BOM[RM_Qty_Per_Batch]*IFERROR(INDEX(PP_Grid[#Data],M_BOM[PPGridRow],24),0))</f>
        <v/>
      </c>
      <c r="Y95">
        <f>SUMPRODUCT((M_BOM[RM_Code]=$A95)*M_BOM[RM_Qty_Per_Batch]*IFERROR(INDEX(PP_Grid[#Data],M_BOM[PPGridRow],25),0))</f>
        <v/>
      </c>
      <c r="Z95">
        <f>SUMPRODUCT((M_BOM[RM_Code]=$A95)*M_BOM[RM_Qty_Per_Batch]*IFERROR(INDEX(PP_Grid[#Data],M_BOM[PPGridRow],26),0))</f>
        <v/>
      </c>
      <c r="AA95">
        <f>SUMPRODUCT((M_BOM[RM_Code]=$A95)*M_BOM[RM_Qty_Per_Batch]*IFERROR(INDEX(PP_Grid[#Data],M_BOM[PPGridRow],27),0))</f>
        <v/>
      </c>
      <c r="AB95">
        <f>SUMPRODUCT((M_BOM[RM_Code]=$A95)*M_BOM[RM_Qty_Per_Batch]*IFERROR(INDEX(PP_Grid[#Data],M_BOM[PPGridRow],28),0))</f>
        <v/>
      </c>
      <c r="AC95">
        <f>SUMPRODUCT((M_BOM[RM_Code]=$A95)*M_BOM[RM_Qty_Per_Batch]*IFERROR(INDEX(PP_Grid[#Data],M_BOM[PPGridRow],29),0))</f>
        <v/>
      </c>
      <c r="AD95">
        <f>SUMPRODUCT((M_BOM[RM_Code]=$A95)*M_BOM[RM_Qty_Per_Batch]*IFERROR(INDEX(PP_Grid[#Data],M_BOM[PPGridRow],30),0))</f>
        <v/>
      </c>
      <c r="AE95">
        <f>SUMPRODUCT((M_BOM[RM_Code]=$A95)*M_BOM[RM_Qty_Per_Batch]*IFERROR(INDEX(PP_Grid[#Data],M_BOM[PPGridRow],31),0))</f>
        <v/>
      </c>
      <c r="AF95">
        <f>SUMPRODUCT((M_BOM[RM_Code]=$A95)*M_BOM[RM_Qty_Per_Batch]*IFERROR(INDEX(PP_Grid[#Data],M_BOM[PPGridRow],32),0))</f>
        <v/>
      </c>
      <c r="AG95">
        <f>SUMPRODUCT((M_BOM[RM_Code]=$A95)*M_BOM[RM_Qty_Per_Batch]*IFERROR(INDEX(PP_Grid[#Data],M_BOM[PPGridRow],33),0))</f>
        <v/>
      </c>
      <c r="AH95">
        <f>SUMPRODUCT((M_BOM[RM_Code]=$A95)*M_BOM[RM_Qty_Per_Batch]*IFERROR(INDEX(PP_Grid[#Data],M_BOM[PPGridRow],34),0))</f>
        <v/>
      </c>
      <c r="AI95">
        <f>SUMPRODUCT((M_BOM[RM_Code]=$A95)*M_BOM[RM_Qty_Per_Batch]*IFERROR(INDEX(PP_Grid[#Data],M_BOM[PPGridRow],35),0))</f>
        <v/>
      </c>
      <c r="AJ95">
        <f>SUMPRODUCT((M_BOM[RM_Code]=$A95)*M_BOM[RM_Qty_Per_Batch]*IFERROR(INDEX(PP_Grid[#Data],M_BOM[PPGridRow],36),0))</f>
        <v/>
      </c>
      <c r="AK95">
        <f>SUMPRODUCT((M_BOM[RM_Code]=$A95)*M_BOM[RM_Qty_Per_Batch]*IFERROR(INDEX(PP_Grid[#Data],M_BOM[PPGridRow],37),0))</f>
        <v/>
      </c>
      <c r="AL95">
        <f>SUMPRODUCT((M_BOM[RM_Code]=$A95)*M_BOM[RM_Qty_Per_Batch]*IFERROR(INDEX(PP_Grid[#Data],M_BOM[PPGridRow],38),0))</f>
        <v/>
      </c>
      <c r="AM95">
        <f>SUMPRODUCT((M_BOM[RM_Code]=$A95)*M_BOM[RM_Qty_Per_Batch]*IFERROR(INDEX(PP_Grid[#Data],M_BOM[PPGridRow],39),0))</f>
        <v/>
      </c>
      <c r="AN95">
        <f>SUMPRODUCT((M_BOM[RM_Code]=$A95)*M_BOM[RM_Qty_Per_Batch]*IFERROR(INDEX(PP_Grid[#Data],M_BOM[PPGridRow],40),0))</f>
        <v/>
      </c>
      <c r="AO95">
        <f>SUMPRODUCT((M_BOM[RM_Code]=$A95)*M_BOM[RM_Qty_Per_Batch]*IFERROR(INDEX(PP_Grid[#Data],M_BOM[PPGridRow],41),0))</f>
        <v/>
      </c>
      <c r="AP95">
        <f>SUMPRODUCT((M_BOM[RM_Code]=$A95)*M_BOM[RM_Qty_Per_Batch]*IFERROR(INDEX(PP_Grid[#Data],M_BOM[PPGridRow],42),0))</f>
        <v/>
      </c>
      <c r="AQ95">
        <f>SUMPRODUCT((M_BOM[RM_Code]=$A95)*M_BOM[RM_Qty_Per_Batch]*IFERROR(INDEX(PP_Grid[#Data],M_BOM[PPGridRow],43),0))</f>
        <v/>
      </c>
      <c r="AR95">
        <f>SUMPRODUCT((M_BOM[RM_Code]=$A95)*M_BOM[RM_Qty_Per_Batch]*IFERROR(INDEX(PP_Grid[#Data],M_BOM[PPGridRow],44),0))</f>
        <v/>
      </c>
      <c r="AS95">
        <f>SUMPRODUCT((M_BOM[RM_Code]=$A95)*M_BOM[RM_Qty_Per_Batch]*IFERROR(INDEX(PP_Grid[#Data],M_BOM[PPGridRow],45),0))</f>
        <v/>
      </c>
      <c r="AT95">
        <f>SUMPRODUCT((M_BOM[RM_Code]=$A95)*M_BOM[RM_Qty_Per_Batch]*IFERROR(INDEX(PP_Grid[#Data],M_BOM[PPGridRow],46),0))</f>
        <v/>
      </c>
      <c r="AU95">
        <f>SUMPRODUCT((M_BOM[RM_Code]=$A95)*M_BOM[RM_Qty_Per_Batch]*IFERROR(INDEX(PP_Grid[#Data],M_BOM[PPGridRow],47),0))</f>
        <v/>
      </c>
      <c r="AV95">
        <f>SUMPRODUCT((M_BOM[RM_Code]=$A95)*M_BOM[RM_Qty_Per_Batch]*IFERROR(INDEX(PP_Grid[#Data],M_BOM[PPGridRow],48),0))</f>
        <v/>
      </c>
      <c r="AW95">
        <f>SUMPRODUCT((M_BOM[RM_Code]=$A95)*M_BOM[RM_Qty_Per_Batch]*IFERROR(INDEX(PP_Grid[#Data],M_BOM[PPGridRow],49),0))</f>
        <v/>
      </c>
      <c r="AX95">
        <f>SUMPRODUCT((M_BOM[RM_Code]=$A95)*M_BOM[RM_Qty_Per_Batch]*IFERROR(INDEX(PP_Grid[#Data],M_BOM[PPGridRow],50),0))</f>
        <v/>
      </c>
      <c r="AY95">
        <f>SUMPRODUCT((M_BOM[RM_Code]=$A95)*M_BOM[RM_Qty_Per_Batch]*IFERROR(INDEX(PP_Grid[#Data],M_BOM[PPGridRow],51),0))</f>
        <v/>
      </c>
      <c r="AZ95">
        <f>SUMPRODUCT((M_BOM[RM_Code]=$A95)*M_BOM[RM_Qty_Per_Batch]*IFERROR(INDEX(PP_Grid[#Data],M_BOM[PPGridRow],52),0))</f>
        <v/>
      </c>
      <c r="BA95">
        <f>SUMPRODUCT((M_BOM[RM_Code]=$A95)*M_BOM[RM_Qty_Per_Batch]*IFERROR(INDEX(PP_Grid[#Data],M_BOM[PPGridRow],53),0))</f>
        <v/>
      </c>
      <c r="BB95">
        <f>SUMPRODUCT((M_BOM[RM_Code]=$A95)*M_BOM[RM_Qty_Per_Batch]*IFERROR(INDEX(PP_Grid[#Data],M_BOM[PPGridRow],54),0))</f>
        <v/>
      </c>
      <c r="BC95">
        <f>SUMPRODUCT((M_BOM[RM_Code]=$A95)*M_BOM[RM_Qty_Per_Batch]*IFERROR(INDEX(PP_Grid[#Data],M_BOM[PPGridRow],55),0))</f>
        <v/>
      </c>
      <c r="BD95">
        <f>SUMPRODUCT((M_BOM[RM_Code]=$A95)*M_BOM[RM_Qty_Per_Batch]*IFERROR(INDEX(PP_Grid[#Data],M_BOM[PPGridRow],56),0))</f>
        <v/>
      </c>
      <c r="BE95">
        <f>SUMPRODUCT((M_BOM[RM_Code]=$A95)*M_BOM[RM_Qty_Per_Batch]*IFERROR(INDEX(PP_Grid[#Data],M_BOM[PPGridRow],57),0))</f>
        <v/>
      </c>
      <c r="BF95">
        <f>SUMPRODUCT((M_BOM[RM_Code]=$A95)*M_BOM[RM_Qty_Per_Batch]*IFERROR(INDEX(PP_Grid[#Data],M_BOM[PPGridRow],58),0))</f>
        <v/>
      </c>
      <c r="BG95">
        <f>SUMPRODUCT((M_BOM[RM_Code]=$A95)*M_BOM[RM_Qty_Per_Batch]*IFERROR(INDEX(PP_Grid[#Data],M_BOM[PPGridRow],59),0))</f>
        <v/>
      </c>
      <c r="BH95">
        <f>SUMPRODUCT((M_BOM[RM_Code]=$A95)*M_BOM[RM_Qty_Per_Batch]*IFERROR(INDEX(PP_Grid[#Data],M_BOM[PPGridRow],60),0))</f>
        <v/>
      </c>
      <c r="BI95">
        <f>SUMPRODUCT((M_BOM[RM_Code]=$A95)*M_BOM[RM_Qty_Per_Batch]*IFERROR(INDEX(PP_Grid[#Data],M_BOM[PPGridRow],61),0))</f>
        <v/>
      </c>
      <c r="BJ95">
        <f>SUMPRODUCT((M_BOM[RM_Code]=$A95)*M_BOM[RM_Qty_Per_Batch]*IFERROR(INDEX(PP_Grid[#Data],M_BOM[PPGridRow],62),0))</f>
        <v/>
      </c>
      <c r="BK95">
        <f>SUMPRODUCT((M_BOM[RM_Code]=$A95)*M_BOM[RM_Qty_Per_Batch]*IFERROR(INDEX(PP_Grid[#Data],M_BOM[PPGridRow],63),0))</f>
        <v/>
      </c>
      <c r="BL95">
        <f>SUMPRODUCT((M_BOM[RM_Code]=$A95)*M_BOM[RM_Qty_Per_Batch]*IFERROR(INDEX(PP_Grid[#Data],M_BOM[PPGridRow],64),0))</f>
        <v/>
      </c>
      <c r="BM95">
        <f>SUMPRODUCT((M_BOM[RM_Code]=$A95)*M_BOM[RM_Qty_Per_Batch]*IFERROR(INDEX(PP_Grid[#Data],M_BOM[PPGridRow],65),0))</f>
        <v/>
      </c>
      <c r="BN95">
        <f>SUMPRODUCT((M_BOM[RM_Code]=$A95)*M_BOM[RM_Qty_Per_Batch]*IFERROR(INDEX(PP_Grid[#Data],M_BOM[PPGridRow],66),0))</f>
        <v/>
      </c>
      <c r="BO95">
        <f>SUMPRODUCT((M_BOM[RM_Code]=$A95)*M_BOM[RM_Qty_Per_Batch]*IFERROR(INDEX(PP_Grid[#Data],M_BOM[PPGridRow],67),0))</f>
        <v/>
      </c>
      <c r="BP95">
        <f>SUMPRODUCT((M_BOM[RM_Code]=$A95)*M_BOM[RM_Qty_Per_Batch]*IFERROR(INDEX(PP_Grid[#Data],M_BOM[PPGridRow],68),0))</f>
        <v/>
      </c>
      <c r="BQ95">
        <f>SUMPRODUCT((M_BOM[RM_Code]=$A95)*M_BOM[RM_Qty_Per_Batch]*IFERROR(INDEX(PP_Grid[#Data],M_BOM[PPGridRow],69),0))</f>
        <v/>
      </c>
      <c r="BR95">
        <f>SUMPRODUCT((M_BOM[RM_Code]=$A95)*M_BOM[RM_Qty_Per_Batch]*IFERROR(INDEX(PP_Grid[#Data],M_BOM[PPGridRow],70),0))</f>
        <v/>
      </c>
      <c r="BS95">
        <f>SUMPRODUCT((M_BOM[RM_Code]=$A95)*M_BOM[RM_Qty_Per_Batch]*IFERROR(INDEX(PP_Grid[#Data],M_BOM[PPGridRow],71),0))</f>
        <v/>
      </c>
      <c r="BT95">
        <f>SUMPRODUCT((M_BOM[RM_Code]=$A95)*M_BOM[RM_Qty_Per_Batch]*IFERROR(INDEX(PP_Grid[#Data],M_BOM[PPGridRow],72),0))</f>
        <v/>
      </c>
      <c r="BU95">
        <f>SUMPRODUCT((M_BOM[RM_Code]=$A95)*M_BOM[RM_Qty_Per_Batch]*IFERROR(INDEX(PP_Grid[#Data],M_BOM[PPGridRow],73),0))</f>
        <v/>
      </c>
      <c r="BV95">
        <f>SUMPRODUCT((M_BOM[RM_Code]=$A95)*M_BOM[RM_Qty_Per_Batch]*IFERROR(INDEX(PP_Grid[#Data],M_BOM[PPGridRow],74),0))</f>
        <v/>
      </c>
      <c r="BW95">
        <f>SUMPRODUCT((M_BOM[RM_Code]=$A95)*M_BOM[RM_Qty_Per_Batch]*IFERROR(INDEX(PP_Grid[#Data],M_BOM[PPGridRow],75),0))</f>
        <v/>
      </c>
      <c r="BX95">
        <f>SUMPRODUCT((M_BOM[RM_Code]=$A95)*M_BOM[RM_Qty_Per_Batch]*IFERROR(INDEX(PP_Grid[#Data],M_BOM[PPGridRow],76),0))</f>
        <v/>
      </c>
      <c r="BY95">
        <f>SUMPRODUCT((M_BOM[RM_Code]=$A95)*M_BOM[RM_Qty_Per_Batch]*IFERROR(INDEX(PP_Grid[#Data],M_BOM[PPGridRow],77),0))</f>
        <v/>
      </c>
      <c r="BZ95">
        <f>SUMPRODUCT((M_BOM[RM_Code]=$A95)*M_BOM[RM_Qty_Per_Batch]*IFERROR(INDEX(PP_Grid[#Data],M_BOM[PPGridRow],78),0))</f>
        <v/>
      </c>
      <c r="CA95">
        <f>SUMPRODUCT((M_BOM[RM_Code]=$A95)*M_BOM[RM_Qty_Per_Batch]*IFERROR(INDEX(PP_Grid[#Data],M_BOM[PPGridRow],79),0))</f>
        <v/>
      </c>
      <c r="CB95">
        <f>SUMPRODUCT((M_BOM[RM_Code]=$A95)*M_BOM[RM_Qty_Per_Batch]*IFERROR(INDEX(PP_Grid[#Data],M_BOM[PPGridRow],80),0))</f>
        <v/>
      </c>
      <c r="CC95">
        <f>SUMPRODUCT((M_BOM[RM_Code]=$A95)*M_BOM[RM_Qty_Per_Batch]*IFERROR(INDEX(PP_Grid[#Data],M_BOM[PPGridRow],81),0))</f>
        <v/>
      </c>
      <c r="CD95">
        <f>SUMPRODUCT((M_BOM[RM_Code]=$A95)*M_BOM[RM_Qty_Per_Batch]*IFERROR(INDEX(PP_Grid[#Data],M_BOM[PPGridRow],82),0))</f>
        <v/>
      </c>
      <c r="CE95">
        <f>SUMPRODUCT((M_BOM[RM_Code]=$A95)*M_BOM[RM_Qty_Per_Batch]*IFERROR(INDEX(PP_Grid[#Data],M_BOM[PPGridRow],83),0))</f>
        <v/>
      </c>
      <c r="CF95">
        <f>SUMPRODUCT((M_BOM[RM_Code]=$A95)*M_BOM[RM_Qty_Per_Batch]*IFERROR(INDEX(PP_Grid[#Data],M_BOM[PPGridRow],84),0))</f>
        <v/>
      </c>
      <c r="CG95">
        <f>SUMPRODUCT((M_BOM[RM_Code]=$A95)*M_BOM[RM_Qty_Per_Batch]*IFERROR(INDEX(PP_Grid[#Data],M_BOM[PPGridRow],85),0))</f>
        <v/>
      </c>
      <c r="CH95">
        <f>SUMPRODUCT((M_BOM[RM_Code]=$A95)*M_BOM[RM_Qty_Per_Batch]*IFERROR(INDEX(PP_Grid[#Data],M_BOM[PPGridRow],86),0))</f>
        <v/>
      </c>
      <c r="CI95">
        <f>SUMPRODUCT((M_BOM[RM_Code]=$A95)*M_BOM[RM_Qty_Per_Batch]*IFERROR(INDEX(PP_Grid[#Data],M_BOM[PPGridRow],87),0))</f>
        <v/>
      </c>
      <c r="CJ95">
        <f>SUMPRODUCT((M_BOM[RM_Code]=$A95)*M_BOM[RM_Qty_Per_Batch]*IFERROR(INDEX(PP_Grid[#Data],M_BOM[PPGridRow],88),0))</f>
        <v/>
      </c>
      <c r="CK95">
        <f>SUMPRODUCT((M_BOM[RM_Code]=$A95)*M_BOM[RM_Qty_Per_Batch]*IFERROR(INDEX(PP_Grid[#Data],M_BOM[PPGridRow],89),0))</f>
        <v/>
      </c>
      <c r="CL95">
        <f>SUMPRODUCT((M_BOM[RM_Code]=$A95)*M_BOM[RM_Qty_Per_Batch]*IFERROR(INDEX(PP_Grid[#Data],M_BOM[PPGridRow],90),0))</f>
        <v/>
      </c>
      <c r="CM95">
        <f>SUMPRODUCT((M_BOM[RM_Code]=$A95)*M_BOM[RM_Qty_Per_Batch]*IFERROR(INDEX(PP_Grid[#Data],M_BOM[PPGridRow],91),0))</f>
        <v/>
      </c>
      <c r="CN95">
        <f>SUMPRODUCT((M_BOM[RM_Code]=$A95)*M_BOM[RM_Qty_Per_Batch]*IFERROR(INDEX(PP_Grid[#Data],M_BOM[PPGridRow],92),0))</f>
        <v/>
      </c>
      <c r="CO95">
        <f>SUMPRODUCT((M_BOM[RM_Code]=$A95)*M_BOM[RM_Qty_Per_Batch]*IFERROR(INDEX(PP_Grid[#Data],M_BOM[PPGridRow],93),0))</f>
        <v/>
      </c>
      <c r="CP95">
        <f>SUMPRODUCT((M_BOM[RM_Code]=$A95)*M_BOM[RM_Qty_Per_Batch]*IFERROR(INDEX(PP_Grid[#Data],M_BOM[PPGridRow],94),0))</f>
        <v/>
      </c>
      <c r="CQ95">
        <f>SUMPRODUCT((M_BOM[RM_Code]=$A95)*M_BOM[RM_Qty_Per_Batch]*IFERROR(INDEX(PP_Grid[#Data],M_BOM[PPGridRow],95),0))</f>
        <v/>
      </c>
      <c r="CR95">
        <f>SUMPRODUCT((M_BOM[RM_Code]=$A95)*M_BOM[RM_Qty_Per_Batch]*IFERROR(INDEX(PP_Grid[#Data],M_BOM[PPGridRow],96),0))</f>
        <v/>
      </c>
      <c r="CS95">
        <f>SUMPRODUCT((M_BOM[RM_Code]=$A95)*M_BOM[RM_Qty_Per_Batch]*IFERROR(INDEX(PP_Grid[#Data],M_BOM[PPGridRow],97),0))</f>
        <v/>
      </c>
      <c r="CT95">
        <f>SUMPRODUCT((M_BOM[RM_Code]=$A95)*M_BOM[RM_Qty_Per_Batch]*IFERROR(INDEX(PP_Grid[#Data],M_BOM[PPGridRow],98),0))</f>
        <v/>
      </c>
      <c r="CU95">
        <f>SUMPRODUCT((M_BOM[RM_Code]=$A95)*M_BOM[RM_Qty_Per_Batch]*IFERROR(INDEX(PP_Grid[#Data],M_BOM[PPGridRow],99),0))</f>
        <v/>
      </c>
      <c r="CV95">
        <f>SUMPRODUCT((M_BOM[RM_Code]=$A95)*M_BOM[RM_Qty_Per_Batch]*IFERROR(INDEX(PP_Grid[#Data],M_BOM[PPGridRow],100),0))</f>
        <v/>
      </c>
      <c r="CW95">
        <f>SUMPRODUCT((M_BOM[RM_Code]=$A95)*M_BOM[RM_Qty_Per_Batch]*IFERROR(INDEX(PP_Grid[#Data],M_BOM[PPGridRow],101),0))</f>
        <v/>
      </c>
      <c r="CX95">
        <f>SUMPRODUCT((M_BOM[RM_Code]=$A95)*M_BOM[RM_Qty_Per_Batch]*IFERROR(INDEX(PP_Grid[#Data],M_BOM[PPGridRow],102),0))</f>
        <v/>
      </c>
      <c r="CY95">
        <f>SUMPRODUCT((M_BOM[RM_Code]=$A95)*M_BOM[RM_Qty_Per_Batch]*IFERROR(INDEX(PP_Grid[#Data],M_BOM[PPGridRow],103),0))</f>
        <v/>
      </c>
      <c r="CZ95">
        <f>SUMPRODUCT((M_BOM[RM_Code]=$A95)*M_BOM[RM_Qty_Per_Batch]*IFERROR(INDEX(PP_Grid[#Data],M_BOM[PPGridRow],104),0))</f>
        <v/>
      </c>
      <c r="DA95">
        <f>SUMPRODUCT((M_BOM[RM_Code]=$A95)*M_BOM[RM_Qty_Per_Batch]*IFERROR(INDEX(PP_Grid[#Data],M_BOM[PPGridRow],105),0))</f>
        <v/>
      </c>
    </row>
    <row r="96">
      <c r="A96" t="inlineStr">
        <is>
          <t>CHEM-1170</t>
        </is>
      </c>
      <c r="B96">
        <f>SUMPRODUCT((M_BOM[RM_Code]=$A96)*M_BOM[RM_Qty_Per_Batch]*IFERROR(INDEX(PP_Grid[#Data],M_BOM[PPGridRow],2),0))</f>
        <v/>
      </c>
      <c r="C96">
        <f>SUMPRODUCT((M_BOM[RM_Code]=$A96)*M_BOM[RM_Qty_Per_Batch]*IFERROR(INDEX(PP_Grid[#Data],M_BOM[PPGridRow],3),0))</f>
        <v/>
      </c>
      <c r="D96">
        <f>SUMPRODUCT((M_BOM[RM_Code]=$A96)*M_BOM[RM_Qty_Per_Batch]*IFERROR(INDEX(PP_Grid[#Data],M_BOM[PPGridRow],4),0))</f>
        <v/>
      </c>
      <c r="E96">
        <f>SUMPRODUCT((M_BOM[RM_Code]=$A96)*M_BOM[RM_Qty_Per_Batch]*IFERROR(INDEX(PP_Grid[#Data],M_BOM[PPGridRow],5),0))</f>
        <v/>
      </c>
      <c r="F96">
        <f>SUMPRODUCT((M_BOM[RM_Code]=$A96)*M_BOM[RM_Qty_Per_Batch]*IFERROR(INDEX(PP_Grid[#Data],M_BOM[PPGridRow],6),0))</f>
        <v/>
      </c>
      <c r="G96">
        <f>SUMPRODUCT((M_BOM[RM_Code]=$A96)*M_BOM[RM_Qty_Per_Batch]*IFERROR(INDEX(PP_Grid[#Data],M_BOM[PPGridRow],7),0))</f>
        <v/>
      </c>
      <c r="H96">
        <f>SUMPRODUCT((M_BOM[RM_Code]=$A96)*M_BOM[RM_Qty_Per_Batch]*IFERROR(INDEX(PP_Grid[#Data],M_BOM[PPGridRow],8),0))</f>
        <v/>
      </c>
      <c r="I96">
        <f>SUMPRODUCT((M_BOM[RM_Code]=$A96)*M_BOM[RM_Qty_Per_Batch]*IFERROR(INDEX(PP_Grid[#Data],M_BOM[PPGridRow],9),0))</f>
        <v/>
      </c>
      <c r="J96">
        <f>SUMPRODUCT((M_BOM[RM_Code]=$A96)*M_BOM[RM_Qty_Per_Batch]*IFERROR(INDEX(PP_Grid[#Data],M_BOM[PPGridRow],10),0))</f>
        <v/>
      </c>
      <c r="K96">
        <f>SUMPRODUCT((M_BOM[RM_Code]=$A96)*M_BOM[RM_Qty_Per_Batch]*IFERROR(INDEX(PP_Grid[#Data],M_BOM[PPGridRow],11),0))</f>
        <v/>
      </c>
      <c r="L96">
        <f>SUMPRODUCT((M_BOM[RM_Code]=$A96)*M_BOM[RM_Qty_Per_Batch]*IFERROR(INDEX(PP_Grid[#Data],M_BOM[PPGridRow],12),0))</f>
        <v/>
      </c>
      <c r="M96">
        <f>SUMPRODUCT((M_BOM[RM_Code]=$A96)*M_BOM[RM_Qty_Per_Batch]*IFERROR(INDEX(PP_Grid[#Data],M_BOM[PPGridRow],13),0))</f>
        <v/>
      </c>
      <c r="N96">
        <f>SUMPRODUCT((M_BOM[RM_Code]=$A96)*M_BOM[RM_Qty_Per_Batch]*IFERROR(INDEX(PP_Grid[#Data],M_BOM[PPGridRow],14),0))</f>
        <v/>
      </c>
      <c r="O96">
        <f>SUMPRODUCT((M_BOM[RM_Code]=$A96)*M_BOM[RM_Qty_Per_Batch]*IFERROR(INDEX(PP_Grid[#Data],M_BOM[PPGridRow],15),0))</f>
        <v/>
      </c>
      <c r="P96">
        <f>SUMPRODUCT((M_BOM[RM_Code]=$A96)*M_BOM[RM_Qty_Per_Batch]*IFERROR(INDEX(PP_Grid[#Data],M_BOM[PPGridRow],16),0))</f>
        <v/>
      </c>
      <c r="Q96">
        <f>SUMPRODUCT((M_BOM[RM_Code]=$A96)*M_BOM[RM_Qty_Per_Batch]*IFERROR(INDEX(PP_Grid[#Data],M_BOM[PPGridRow],17),0))</f>
        <v/>
      </c>
      <c r="R96">
        <f>SUMPRODUCT((M_BOM[RM_Code]=$A96)*M_BOM[RM_Qty_Per_Batch]*IFERROR(INDEX(PP_Grid[#Data],M_BOM[PPGridRow],18),0))</f>
        <v/>
      </c>
      <c r="S96">
        <f>SUMPRODUCT((M_BOM[RM_Code]=$A96)*M_BOM[RM_Qty_Per_Batch]*IFERROR(INDEX(PP_Grid[#Data],M_BOM[PPGridRow],19),0))</f>
        <v/>
      </c>
      <c r="T96">
        <f>SUMPRODUCT((M_BOM[RM_Code]=$A96)*M_BOM[RM_Qty_Per_Batch]*IFERROR(INDEX(PP_Grid[#Data],M_BOM[PPGridRow],20),0))</f>
        <v/>
      </c>
      <c r="U96">
        <f>SUMPRODUCT((M_BOM[RM_Code]=$A96)*M_BOM[RM_Qty_Per_Batch]*IFERROR(INDEX(PP_Grid[#Data],M_BOM[PPGridRow],21),0))</f>
        <v/>
      </c>
      <c r="V96">
        <f>SUMPRODUCT((M_BOM[RM_Code]=$A96)*M_BOM[RM_Qty_Per_Batch]*IFERROR(INDEX(PP_Grid[#Data],M_BOM[PPGridRow],22),0))</f>
        <v/>
      </c>
      <c r="W96">
        <f>SUMPRODUCT((M_BOM[RM_Code]=$A96)*M_BOM[RM_Qty_Per_Batch]*IFERROR(INDEX(PP_Grid[#Data],M_BOM[PPGridRow],23),0))</f>
        <v/>
      </c>
      <c r="X96">
        <f>SUMPRODUCT((M_BOM[RM_Code]=$A96)*M_BOM[RM_Qty_Per_Batch]*IFERROR(INDEX(PP_Grid[#Data],M_BOM[PPGridRow],24),0))</f>
        <v/>
      </c>
      <c r="Y96">
        <f>SUMPRODUCT((M_BOM[RM_Code]=$A96)*M_BOM[RM_Qty_Per_Batch]*IFERROR(INDEX(PP_Grid[#Data],M_BOM[PPGridRow],25),0))</f>
        <v/>
      </c>
      <c r="Z96">
        <f>SUMPRODUCT((M_BOM[RM_Code]=$A96)*M_BOM[RM_Qty_Per_Batch]*IFERROR(INDEX(PP_Grid[#Data],M_BOM[PPGridRow],26),0))</f>
        <v/>
      </c>
      <c r="AA96">
        <f>SUMPRODUCT((M_BOM[RM_Code]=$A96)*M_BOM[RM_Qty_Per_Batch]*IFERROR(INDEX(PP_Grid[#Data],M_BOM[PPGridRow],27),0))</f>
        <v/>
      </c>
      <c r="AB96">
        <f>SUMPRODUCT((M_BOM[RM_Code]=$A96)*M_BOM[RM_Qty_Per_Batch]*IFERROR(INDEX(PP_Grid[#Data],M_BOM[PPGridRow],28),0))</f>
        <v/>
      </c>
      <c r="AC96">
        <f>SUMPRODUCT((M_BOM[RM_Code]=$A96)*M_BOM[RM_Qty_Per_Batch]*IFERROR(INDEX(PP_Grid[#Data],M_BOM[PPGridRow],29),0))</f>
        <v/>
      </c>
      <c r="AD96">
        <f>SUMPRODUCT((M_BOM[RM_Code]=$A96)*M_BOM[RM_Qty_Per_Batch]*IFERROR(INDEX(PP_Grid[#Data],M_BOM[PPGridRow],30),0))</f>
        <v/>
      </c>
      <c r="AE96">
        <f>SUMPRODUCT((M_BOM[RM_Code]=$A96)*M_BOM[RM_Qty_Per_Batch]*IFERROR(INDEX(PP_Grid[#Data],M_BOM[PPGridRow],31),0))</f>
        <v/>
      </c>
      <c r="AF96">
        <f>SUMPRODUCT((M_BOM[RM_Code]=$A96)*M_BOM[RM_Qty_Per_Batch]*IFERROR(INDEX(PP_Grid[#Data],M_BOM[PPGridRow],32),0))</f>
        <v/>
      </c>
      <c r="AG96">
        <f>SUMPRODUCT((M_BOM[RM_Code]=$A96)*M_BOM[RM_Qty_Per_Batch]*IFERROR(INDEX(PP_Grid[#Data],M_BOM[PPGridRow],33),0))</f>
        <v/>
      </c>
      <c r="AH96">
        <f>SUMPRODUCT((M_BOM[RM_Code]=$A96)*M_BOM[RM_Qty_Per_Batch]*IFERROR(INDEX(PP_Grid[#Data],M_BOM[PPGridRow],34),0))</f>
        <v/>
      </c>
      <c r="AI96">
        <f>SUMPRODUCT((M_BOM[RM_Code]=$A96)*M_BOM[RM_Qty_Per_Batch]*IFERROR(INDEX(PP_Grid[#Data],M_BOM[PPGridRow],35),0))</f>
        <v/>
      </c>
      <c r="AJ96">
        <f>SUMPRODUCT((M_BOM[RM_Code]=$A96)*M_BOM[RM_Qty_Per_Batch]*IFERROR(INDEX(PP_Grid[#Data],M_BOM[PPGridRow],36),0))</f>
        <v/>
      </c>
      <c r="AK96">
        <f>SUMPRODUCT((M_BOM[RM_Code]=$A96)*M_BOM[RM_Qty_Per_Batch]*IFERROR(INDEX(PP_Grid[#Data],M_BOM[PPGridRow],37),0))</f>
        <v/>
      </c>
      <c r="AL96">
        <f>SUMPRODUCT((M_BOM[RM_Code]=$A96)*M_BOM[RM_Qty_Per_Batch]*IFERROR(INDEX(PP_Grid[#Data],M_BOM[PPGridRow],38),0))</f>
        <v/>
      </c>
      <c r="AM96">
        <f>SUMPRODUCT((M_BOM[RM_Code]=$A96)*M_BOM[RM_Qty_Per_Batch]*IFERROR(INDEX(PP_Grid[#Data],M_BOM[PPGridRow],39),0))</f>
        <v/>
      </c>
      <c r="AN96">
        <f>SUMPRODUCT((M_BOM[RM_Code]=$A96)*M_BOM[RM_Qty_Per_Batch]*IFERROR(INDEX(PP_Grid[#Data],M_BOM[PPGridRow],40),0))</f>
        <v/>
      </c>
      <c r="AO96">
        <f>SUMPRODUCT((M_BOM[RM_Code]=$A96)*M_BOM[RM_Qty_Per_Batch]*IFERROR(INDEX(PP_Grid[#Data],M_BOM[PPGridRow],41),0))</f>
        <v/>
      </c>
      <c r="AP96">
        <f>SUMPRODUCT((M_BOM[RM_Code]=$A96)*M_BOM[RM_Qty_Per_Batch]*IFERROR(INDEX(PP_Grid[#Data],M_BOM[PPGridRow],42),0))</f>
        <v/>
      </c>
      <c r="AQ96">
        <f>SUMPRODUCT((M_BOM[RM_Code]=$A96)*M_BOM[RM_Qty_Per_Batch]*IFERROR(INDEX(PP_Grid[#Data],M_BOM[PPGridRow],43),0))</f>
        <v/>
      </c>
      <c r="AR96">
        <f>SUMPRODUCT((M_BOM[RM_Code]=$A96)*M_BOM[RM_Qty_Per_Batch]*IFERROR(INDEX(PP_Grid[#Data],M_BOM[PPGridRow],44),0))</f>
        <v/>
      </c>
      <c r="AS96">
        <f>SUMPRODUCT((M_BOM[RM_Code]=$A96)*M_BOM[RM_Qty_Per_Batch]*IFERROR(INDEX(PP_Grid[#Data],M_BOM[PPGridRow],45),0))</f>
        <v/>
      </c>
      <c r="AT96">
        <f>SUMPRODUCT((M_BOM[RM_Code]=$A96)*M_BOM[RM_Qty_Per_Batch]*IFERROR(INDEX(PP_Grid[#Data],M_BOM[PPGridRow],46),0))</f>
        <v/>
      </c>
      <c r="AU96">
        <f>SUMPRODUCT((M_BOM[RM_Code]=$A96)*M_BOM[RM_Qty_Per_Batch]*IFERROR(INDEX(PP_Grid[#Data],M_BOM[PPGridRow],47),0))</f>
        <v/>
      </c>
      <c r="AV96">
        <f>SUMPRODUCT((M_BOM[RM_Code]=$A96)*M_BOM[RM_Qty_Per_Batch]*IFERROR(INDEX(PP_Grid[#Data],M_BOM[PPGridRow],48),0))</f>
        <v/>
      </c>
      <c r="AW96">
        <f>SUMPRODUCT((M_BOM[RM_Code]=$A96)*M_BOM[RM_Qty_Per_Batch]*IFERROR(INDEX(PP_Grid[#Data],M_BOM[PPGridRow],49),0))</f>
        <v/>
      </c>
      <c r="AX96">
        <f>SUMPRODUCT((M_BOM[RM_Code]=$A96)*M_BOM[RM_Qty_Per_Batch]*IFERROR(INDEX(PP_Grid[#Data],M_BOM[PPGridRow],50),0))</f>
        <v/>
      </c>
      <c r="AY96">
        <f>SUMPRODUCT((M_BOM[RM_Code]=$A96)*M_BOM[RM_Qty_Per_Batch]*IFERROR(INDEX(PP_Grid[#Data],M_BOM[PPGridRow],51),0))</f>
        <v/>
      </c>
      <c r="AZ96">
        <f>SUMPRODUCT((M_BOM[RM_Code]=$A96)*M_BOM[RM_Qty_Per_Batch]*IFERROR(INDEX(PP_Grid[#Data],M_BOM[PPGridRow],52),0))</f>
        <v/>
      </c>
      <c r="BA96">
        <f>SUMPRODUCT((M_BOM[RM_Code]=$A96)*M_BOM[RM_Qty_Per_Batch]*IFERROR(INDEX(PP_Grid[#Data],M_BOM[PPGridRow],53),0))</f>
        <v/>
      </c>
      <c r="BB96">
        <f>SUMPRODUCT((M_BOM[RM_Code]=$A96)*M_BOM[RM_Qty_Per_Batch]*IFERROR(INDEX(PP_Grid[#Data],M_BOM[PPGridRow],54),0))</f>
        <v/>
      </c>
      <c r="BC96">
        <f>SUMPRODUCT((M_BOM[RM_Code]=$A96)*M_BOM[RM_Qty_Per_Batch]*IFERROR(INDEX(PP_Grid[#Data],M_BOM[PPGridRow],55),0))</f>
        <v/>
      </c>
      <c r="BD96">
        <f>SUMPRODUCT((M_BOM[RM_Code]=$A96)*M_BOM[RM_Qty_Per_Batch]*IFERROR(INDEX(PP_Grid[#Data],M_BOM[PPGridRow],56),0))</f>
        <v/>
      </c>
      <c r="BE96">
        <f>SUMPRODUCT((M_BOM[RM_Code]=$A96)*M_BOM[RM_Qty_Per_Batch]*IFERROR(INDEX(PP_Grid[#Data],M_BOM[PPGridRow],57),0))</f>
        <v/>
      </c>
      <c r="BF96">
        <f>SUMPRODUCT((M_BOM[RM_Code]=$A96)*M_BOM[RM_Qty_Per_Batch]*IFERROR(INDEX(PP_Grid[#Data],M_BOM[PPGridRow],58),0))</f>
        <v/>
      </c>
      <c r="BG96">
        <f>SUMPRODUCT((M_BOM[RM_Code]=$A96)*M_BOM[RM_Qty_Per_Batch]*IFERROR(INDEX(PP_Grid[#Data],M_BOM[PPGridRow],59),0))</f>
        <v/>
      </c>
      <c r="BH96">
        <f>SUMPRODUCT((M_BOM[RM_Code]=$A96)*M_BOM[RM_Qty_Per_Batch]*IFERROR(INDEX(PP_Grid[#Data],M_BOM[PPGridRow],60),0))</f>
        <v/>
      </c>
      <c r="BI96">
        <f>SUMPRODUCT((M_BOM[RM_Code]=$A96)*M_BOM[RM_Qty_Per_Batch]*IFERROR(INDEX(PP_Grid[#Data],M_BOM[PPGridRow],61),0))</f>
        <v/>
      </c>
      <c r="BJ96">
        <f>SUMPRODUCT((M_BOM[RM_Code]=$A96)*M_BOM[RM_Qty_Per_Batch]*IFERROR(INDEX(PP_Grid[#Data],M_BOM[PPGridRow],62),0))</f>
        <v/>
      </c>
      <c r="BK96">
        <f>SUMPRODUCT((M_BOM[RM_Code]=$A96)*M_BOM[RM_Qty_Per_Batch]*IFERROR(INDEX(PP_Grid[#Data],M_BOM[PPGridRow],63),0))</f>
        <v/>
      </c>
      <c r="BL96">
        <f>SUMPRODUCT((M_BOM[RM_Code]=$A96)*M_BOM[RM_Qty_Per_Batch]*IFERROR(INDEX(PP_Grid[#Data],M_BOM[PPGridRow],64),0))</f>
        <v/>
      </c>
      <c r="BM96">
        <f>SUMPRODUCT((M_BOM[RM_Code]=$A96)*M_BOM[RM_Qty_Per_Batch]*IFERROR(INDEX(PP_Grid[#Data],M_BOM[PPGridRow],65),0))</f>
        <v/>
      </c>
      <c r="BN96">
        <f>SUMPRODUCT((M_BOM[RM_Code]=$A96)*M_BOM[RM_Qty_Per_Batch]*IFERROR(INDEX(PP_Grid[#Data],M_BOM[PPGridRow],66),0))</f>
        <v/>
      </c>
      <c r="BO96">
        <f>SUMPRODUCT((M_BOM[RM_Code]=$A96)*M_BOM[RM_Qty_Per_Batch]*IFERROR(INDEX(PP_Grid[#Data],M_BOM[PPGridRow],67),0))</f>
        <v/>
      </c>
      <c r="BP96">
        <f>SUMPRODUCT((M_BOM[RM_Code]=$A96)*M_BOM[RM_Qty_Per_Batch]*IFERROR(INDEX(PP_Grid[#Data],M_BOM[PPGridRow],68),0))</f>
        <v/>
      </c>
      <c r="BQ96">
        <f>SUMPRODUCT((M_BOM[RM_Code]=$A96)*M_BOM[RM_Qty_Per_Batch]*IFERROR(INDEX(PP_Grid[#Data],M_BOM[PPGridRow],69),0))</f>
        <v/>
      </c>
      <c r="BR96">
        <f>SUMPRODUCT((M_BOM[RM_Code]=$A96)*M_BOM[RM_Qty_Per_Batch]*IFERROR(INDEX(PP_Grid[#Data],M_BOM[PPGridRow],70),0))</f>
        <v/>
      </c>
      <c r="BS96">
        <f>SUMPRODUCT((M_BOM[RM_Code]=$A96)*M_BOM[RM_Qty_Per_Batch]*IFERROR(INDEX(PP_Grid[#Data],M_BOM[PPGridRow],71),0))</f>
        <v/>
      </c>
      <c r="BT96">
        <f>SUMPRODUCT((M_BOM[RM_Code]=$A96)*M_BOM[RM_Qty_Per_Batch]*IFERROR(INDEX(PP_Grid[#Data],M_BOM[PPGridRow],72),0))</f>
        <v/>
      </c>
      <c r="BU96">
        <f>SUMPRODUCT((M_BOM[RM_Code]=$A96)*M_BOM[RM_Qty_Per_Batch]*IFERROR(INDEX(PP_Grid[#Data],M_BOM[PPGridRow],73),0))</f>
        <v/>
      </c>
      <c r="BV96">
        <f>SUMPRODUCT((M_BOM[RM_Code]=$A96)*M_BOM[RM_Qty_Per_Batch]*IFERROR(INDEX(PP_Grid[#Data],M_BOM[PPGridRow],74),0))</f>
        <v/>
      </c>
      <c r="BW96">
        <f>SUMPRODUCT((M_BOM[RM_Code]=$A96)*M_BOM[RM_Qty_Per_Batch]*IFERROR(INDEX(PP_Grid[#Data],M_BOM[PPGridRow],75),0))</f>
        <v/>
      </c>
      <c r="BX96">
        <f>SUMPRODUCT((M_BOM[RM_Code]=$A96)*M_BOM[RM_Qty_Per_Batch]*IFERROR(INDEX(PP_Grid[#Data],M_BOM[PPGridRow],76),0))</f>
        <v/>
      </c>
      <c r="BY96">
        <f>SUMPRODUCT((M_BOM[RM_Code]=$A96)*M_BOM[RM_Qty_Per_Batch]*IFERROR(INDEX(PP_Grid[#Data],M_BOM[PPGridRow],77),0))</f>
        <v/>
      </c>
      <c r="BZ96">
        <f>SUMPRODUCT((M_BOM[RM_Code]=$A96)*M_BOM[RM_Qty_Per_Batch]*IFERROR(INDEX(PP_Grid[#Data],M_BOM[PPGridRow],78),0))</f>
        <v/>
      </c>
      <c r="CA96">
        <f>SUMPRODUCT((M_BOM[RM_Code]=$A96)*M_BOM[RM_Qty_Per_Batch]*IFERROR(INDEX(PP_Grid[#Data],M_BOM[PPGridRow],79),0))</f>
        <v/>
      </c>
      <c r="CB96">
        <f>SUMPRODUCT((M_BOM[RM_Code]=$A96)*M_BOM[RM_Qty_Per_Batch]*IFERROR(INDEX(PP_Grid[#Data],M_BOM[PPGridRow],80),0))</f>
        <v/>
      </c>
      <c r="CC96">
        <f>SUMPRODUCT((M_BOM[RM_Code]=$A96)*M_BOM[RM_Qty_Per_Batch]*IFERROR(INDEX(PP_Grid[#Data],M_BOM[PPGridRow],81),0))</f>
        <v/>
      </c>
      <c r="CD96">
        <f>SUMPRODUCT((M_BOM[RM_Code]=$A96)*M_BOM[RM_Qty_Per_Batch]*IFERROR(INDEX(PP_Grid[#Data],M_BOM[PPGridRow],82),0))</f>
        <v/>
      </c>
      <c r="CE96">
        <f>SUMPRODUCT((M_BOM[RM_Code]=$A96)*M_BOM[RM_Qty_Per_Batch]*IFERROR(INDEX(PP_Grid[#Data],M_BOM[PPGridRow],83),0))</f>
        <v/>
      </c>
      <c r="CF96">
        <f>SUMPRODUCT((M_BOM[RM_Code]=$A96)*M_BOM[RM_Qty_Per_Batch]*IFERROR(INDEX(PP_Grid[#Data],M_BOM[PPGridRow],84),0))</f>
        <v/>
      </c>
      <c r="CG96">
        <f>SUMPRODUCT((M_BOM[RM_Code]=$A96)*M_BOM[RM_Qty_Per_Batch]*IFERROR(INDEX(PP_Grid[#Data],M_BOM[PPGridRow],85),0))</f>
        <v/>
      </c>
      <c r="CH96">
        <f>SUMPRODUCT((M_BOM[RM_Code]=$A96)*M_BOM[RM_Qty_Per_Batch]*IFERROR(INDEX(PP_Grid[#Data],M_BOM[PPGridRow],86),0))</f>
        <v/>
      </c>
      <c r="CI96">
        <f>SUMPRODUCT((M_BOM[RM_Code]=$A96)*M_BOM[RM_Qty_Per_Batch]*IFERROR(INDEX(PP_Grid[#Data],M_BOM[PPGridRow],87),0))</f>
        <v/>
      </c>
      <c r="CJ96">
        <f>SUMPRODUCT((M_BOM[RM_Code]=$A96)*M_BOM[RM_Qty_Per_Batch]*IFERROR(INDEX(PP_Grid[#Data],M_BOM[PPGridRow],88),0))</f>
        <v/>
      </c>
      <c r="CK96">
        <f>SUMPRODUCT((M_BOM[RM_Code]=$A96)*M_BOM[RM_Qty_Per_Batch]*IFERROR(INDEX(PP_Grid[#Data],M_BOM[PPGridRow],89),0))</f>
        <v/>
      </c>
      <c r="CL96">
        <f>SUMPRODUCT((M_BOM[RM_Code]=$A96)*M_BOM[RM_Qty_Per_Batch]*IFERROR(INDEX(PP_Grid[#Data],M_BOM[PPGridRow],90),0))</f>
        <v/>
      </c>
      <c r="CM96">
        <f>SUMPRODUCT((M_BOM[RM_Code]=$A96)*M_BOM[RM_Qty_Per_Batch]*IFERROR(INDEX(PP_Grid[#Data],M_BOM[PPGridRow],91),0))</f>
        <v/>
      </c>
      <c r="CN96">
        <f>SUMPRODUCT((M_BOM[RM_Code]=$A96)*M_BOM[RM_Qty_Per_Batch]*IFERROR(INDEX(PP_Grid[#Data],M_BOM[PPGridRow],92),0))</f>
        <v/>
      </c>
      <c r="CO96">
        <f>SUMPRODUCT((M_BOM[RM_Code]=$A96)*M_BOM[RM_Qty_Per_Batch]*IFERROR(INDEX(PP_Grid[#Data],M_BOM[PPGridRow],93),0))</f>
        <v/>
      </c>
      <c r="CP96">
        <f>SUMPRODUCT((M_BOM[RM_Code]=$A96)*M_BOM[RM_Qty_Per_Batch]*IFERROR(INDEX(PP_Grid[#Data],M_BOM[PPGridRow],94),0))</f>
        <v/>
      </c>
      <c r="CQ96">
        <f>SUMPRODUCT((M_BOM[RM_Code]=$A96)*M_BOM[RM_Qty_Per_Batch]*IFERROR(INDEX(PP_Grid[#Data],M_BOM[PPGridRow],95),0))</f>
        <v/>
      </c>
      <c r="CR96">
        <f>SUMPRODUCT((M_BOM[RM_Code]=$A96)*M_BOM[RM_Qty_Per_Batch]*IFERROR(INDEX(PP_Grid[#Data],M_BOM[PPGridRow],96),0))</f>
        <v/>
      </c>
      <c r="CS96">
        <f>SUMPRODUCT((M_BOM[RM_Code]=$A96)*M_BOM[RM_Qty_Per_Batch]*IFERROR(INDEX(PP_Grid[#Data],M_BOM[PPGridRow],97),0))</f>
        <v/>
      </c>
      <c r="CT96">
        <f>SUMPRODUCT((M_BOM[RM_Code]=$A96)*M_BOM[RM_Qty_Per_Batch]*IFERROR(INDEX(PP_Grid[#Data],M_BOM[PPGridRow],98),0))</f>
        <v/>
      </c>
      <c r="CU96">
        <f>SUMPRODUCT((M_BOM[RM_Code]=$A96)*M_BOM[RM_Qty_Per_Batch]*IFERROR(INDEX(PP_Grid[#Data],M_BOM[PPGridRow],99),0))</f>
        <v/>
      </c>
      <c r="CV96">
        <f>SUMPRODUCT((M_BOM[RM_Code]=$A96)*M_BOM[RM_Qty_Per_Batch]*IFERROR(INDEX(PP_Grid[#Data],M_BOM[PPGridRow],100),0))</f>
        <v/>
      </c>
      <c r="CW96">
        <f>SUMPRODUCT((M_BOM[RM_Code]=$A96)*M_BOM[RM_Qty_Per_Batch]*IFERROR(INDEX(PP_Grid[#Data],M_BOM[PPGridRow],101),0))</f>
        <v/>
      </c>
      <c r="CX96">
        <f>SUMPRODUCT((M_BOM[RM_Code]=$A96)*M_BOM[RM_Qty_Per_Batch]*IFERROR(INDEX(PP_Grid[#Data],M_BOM[PPGridRow],102),0))</f>
        <v/>
      </c>
      <c r="CY96">
        <f>SUMPRODUCT((M_BOM[RM_Code]=$A96)*M_BOM[RM_Qty_Per_Batch]*IFERROR(INDEX(PP_Grid[#Data],M_BOM[PPGridRow],103),0))</f>
        <v/>
      </c>
      <c r="CZ96">
        <f>SUMPRODUCT((M_BOM[RM_Code]=$A96)*M_BOM[RM_Qty_Per_Batch]*IFERROR(INDEX(PP_Grid[#Data],M_BOM[PPGridRow],104),0))</f>
        <v/>
      </c>
      <c r="DA96">
        <f>SUMPRODUCT((M_BOM[RM_Code]=$A96)*M_BOM[RM_Qty_Per_Batch]*IFERROR(INDEX(PP_Grid[#Data],M_BOM[PPGridRow],105),0))</f>
        <v/>
      </c>
    </row>
    <row r="97">
      <c r="A97" t="inlineStr">
        <is>
          <t>CHEM-1620</t>
        </is>
      </c>
      <c r="B97">
        <f>SUMPRODUCT((M_BOM[RM_Code]=$A97)*M_BOM[RM_Qty_Per_Batch]*IFERROR(INDEX(PP_Grid[#Data],M_BOM[PPGridRow],2),0))</f>
        <v/>
      </c>
      <c r="C97">
        <f>SUMPRODUCT((M_BOM[RM_Code]=$A97)*M_BOM[RM_Qty_Per_Batch]*IFERROR(INDEX(PP_Grid[#Data],M_BOM[PPGridRow],3),0))</f>
        <v/>
      </c>
      <c r="D97">
        <f>SUMPRODUCT((M_BOM[RM_Code]=$A97)*M_BOM[RM_Qty_Per_Batch]*IFERROR(INDEX(PP_Grid[#Data],M_BOM[PPGridRow],4),0))</f>
        <v/>
      </c>
      <c r="E97">
        <f>SUMPRODUCT((M_BOM[RM_Code]=$A97)*M_BOM[RM_Qty_Per_Batch]*IFERROR(INDEX(PP_Grid[#Data],M_BOM[PPGridRow],5),0))</f>
        <v/>
      </c>
      <c r="F97">
        <f>SUMPRODUCT((M_BOM[RM_Code]=$A97)*M_BOM[RM_Qty_Per_Batch]*IFERROR(INDEX(PP_Grid[#Data],M_BOM[PPGridRow],6),0))</f>
        <v/>
      </c>
      <c r="G97">
        <f>SUMPRODUCT((M_BOM[RM_Code]=$A97)*M_BOM[RM_Qty_Per_Batch]*IFERROR(INDEX(PP_Grid[#Data],M_BOM[PPGridRow],7),0))</f>
        <v/>
      </c>
      <c r="H97">
        <f>SUMPRODUCT((M_BOM[RM_Code]=$A97)*M_BOM[RM_Qty_Per_Batch]*IFERROR(INDEX(PP_Grid[#Data],M_BOM[PPGridRow],8),0))</f>
        <v/>
      </c>
      <c r="I97">
        <f>SUMPRODUCT((M_BOM[RM_Code]=$A97)*M_BOM[RM_Qty_Per_Batch]*IFERROR(INDEX(PP_Grid[#Data],M_BOM[PPGridRow],9),0))</f>
        <v/>
      </c>
      <c r="J97">
        <f>SUMPRODUCT((M_BOM[RM_Code]=$A97)*M_BOM[RM_Qty_Per_Batch]*IFERROR(INDEX(PP_Grid[#Data],M_BOM[PPGridRow],10),0))</f>
        <v/>
      </c>
      <c r="K97">
        <f>SUMPRODUCT((M_BOM[RM_Code]=$A97)*M_BOM[RM_Qty_Per_Batch]*IFERROR(INDEX(PP_Grid[#Data],M_BOM[PPGridRow],11),0))</f>
        <v/>
      </c>
      <c r="L97">
        <f>SUMPRODUCT((M_BOM[RM_Code]=$A97)*M_BOM[RM_Qty_Per_Batch]*IFERROR(INDEX(PP_Grid[#Data],M_BOM[PPGridRow],12),0))</f>
        <v/>
      </c>
      <c r="M97">
        <f>SUMPRODUCT((M_BOM[RM_Code]=$A97)*M_BOM[RM_Qty_Per_Batch]*IFERROR(INDEX(PP_Grid[#Data],M_BOM[PPGridRow],13),0))</f>
        <v/>
      </c>
      <c r="N97">
        <f>SUMPRODUCT((M_BOM[RM_Code]=$A97)*M_BOM[RM_Qty_Per_Batch]*IFERROR(INDEX(PP_Grid[#Data],M_BOM[PPGridRow],14),0))</f>
        <v/>
      </c>
      <c r="O97">
        <f>SUMPRODUCT((M_BOM[RM_Code]=$A97)*M_BOM[RM_Qty_Per_Batch]*IFERROR(INDEX(PP_Grid[#Data],M_BOM[PPGridRow],15),0))</f>
        <v/>
      </c>
      <c r="P97">
        <f>SUMPRODUCT((M_BOM[RM_Code]=$A97)*M_BOM[RM_Qty_Per_Batch]*IFERROR(INDEX(PP_Grid[#Data],M_BOM[PPGridRow],16),0))</f>
        <v/>
      </c>
      <c r="Q97">
        <f>SUMPRODUCT((M_BOM[RM_Code]=$A97)*M_BOM[RM_Qty_Per_Batch]*IFERROR(INDEX(PP_Grid[#Data],M_BOM[PPGridRow],17),0))</f>
        <v/>
      </c>
      <c r="R97">
        <f>SUMPRODUCT((M_BOM[RM_Code]=$A97)*M_BOM[RM_Qty_Per_Batch]*IFERROR(INDEX(PP_Grid[#Data],M_BOM[PPGridRow],18),0))</f>
        <v/>
      </c>
      <c r="S97">
        <f>SUMPRODUCT((M_BOM[RM_Code]=$A97)*M_BOM[RM_Qty_Per_Batch]*IFERROR(INDEX(PP_Grid[#Data],M_BOM[PPGridRow],19),0))</f>
        <v/>
      </c>
      <c r="T97">
        <f>SUMPRODUCT((M_BOM[RM_Code]=$A97)*M_BOM[RM_Qty_Per_Batch]*IFERROR(INDEX(PP_Grid[#Data],M_BOM[PPGridRow],20),0))</f>
        <v/>
      </c>
      <c r="U97">
        <f>SUMPRODUCT((M_BOM[RM_Code]=$A97)*M_BOM[RM_Qty_Per_Batch]*IFERROR(INDEX(PP_Grid[#Data],M_BOM[PPGridRow],21),0))</f>
        <v/>
      </c>
      <c r="V97">
        <f>SUMPRODUCT((M_BOM[RM_Code]=$A97)*M_BOM[RM_Qty_Per_Batch]*IFERROR(INDEX(PP_Grid[#Data],M_BOM[PPGridRow],22),0))</f>
        <v/>
      </c>
      <c r="W97">
        <f>SUMPRODUCT((M_BOM[RM_Code]=$A97)*M_BOM[RM_Qty_Per_Batch]*IFERROR(INDEX(PP_Grid[#Data],M_BOM[PPGridRow],23),0))</f>
        <v/>
      </c>
      <c r="X97">
        <f>SUMPRODUCT((M_BOM[RM_Code]=$A97)*M_BOM[RM_Qty_Per_Batch]*IFERROR(INDEX(PP_Grid[#Data],M_BOM[PPGridRow],24),0))</f>
        <v/>
      </c>
      <c r="Y97">
        <f>SUMPRODUCT((M_BOM[RM_Code]=$A97)*M_BOM[RM_Qty_Per_Batch]*IFERROR(INDEX(PP_Grid[#Data],M_BOM[PPGridRow],25),0))</f>
        <v/>
      </c>
      <c r="Z97">
        <f>SUMPRODUCT((M_BOM[RM_Code]=$A97)*M_BOM[RM_Qty_Per_Batch]*IFERROR(INDEX(PP_Grid[#Data],M_BOM[PPGridRow],26),0))</f>
        <v/>
      </c>
      <c r="AA97">
        <f>SUMPRODUCT((M_BOM[RM_Code]=$A97)*M_BOM[RM_Qty_Per_Batch]*IFERROR(INDEX(PP_Grid[#Data],M_BOM[PPGridRow],27),0))</f>
        <v/>
      </c>
      <c r="AB97">
        <f>SUMPRODUCT((M_BOM[RM_Code]=$A97)*M_BOM[RM_Qty_Per_Batch]*IFERROR(INDEX(PP_Grid[#Data],M_BOM[PPGridRow],28),0))</f>
        <v/>
      </c>
      <c r="AC97">
        <f>SUMPRODUCT((M_BOM[RM_Code]=$A97)*M_BOM[RM_Qty_Per_Batch]*IFERROR(INDEX(PP_Grid[#Data],M_BOM[PPGridRow],29),0))</f>
        <v/>
      </c>
      <c r="AD97">
        <f>SUMPRODUCT((M_BOM[RM_Code]=$A97)*M_BOM[RM_Qty_Per_Batch]*IFERROR(INDEX(PP_Grid[#Data],M_BOM[PPGridRow],30),0))</f>
        <v/>
      </c>
      <c r="AE97">
        <f>SUMPRODUCT((M_BOM[RM_Code]=$A97)*M_BOM[RM_Qty_Per_Batch]*IFERROR(INDEX(PP_Grid[#Data],M_BOM[PPGridRow],31),0))</f>
        <v/>
      </c>
      <c r="AF97">
        <f>SUMPRODUCT((M_BOM[RM_Code]=$A97)*M_BOM[RM_Qty_Per_Batch]*IFERROR(INDEX(PP_Grid[#Data],M_BOM[PPGridRow],32),0))</f>
        <v/>
      </c>
      <c r="AG97">
        <f>SUMPRODUCT((M_BOM[RM_Code]=$A97)*M_BOM[RM_Qty_Per_Batch]*IFERROR(INDEX(PP_Grid[#Data],M_BOM[PPGridRow],33),0))</f>
        <v/>
      </c>
      <c r="AH97">
        <f>SUMPRODUCT((M_BOM[RM_Code]=$A97)*M_BOM[RM_Qty_Per_Batch]*IFERROR(INDEX(PP_Grid[#Data],M_BOM[PPGridRow],34),0))</f>
        <v/>
      </c>
      <c r="AI97">
        <f>SUMPRODUCT((M_BOM[RM_Code]=$A97)*M_BOM[RM_Qty_Per_Batch]*IFERROR(INDEX(PP_Grid[#Data],M_BOM[PPGridRow],35),0))</f>
        <v/>
      </c>
      <c r="AJ97">
        <f>SUMPRODUCT((M_BOM[RM_Code]=$A97)*M_BOM[RM_Qty_Per_Batch]*IFERROR(INDEX(PP_Grid[#Data],M_BOM[PPGridRow],36),0))</f>
        <v/>
      </c>
      <c r="AK97">
        <f>SUMPRODUCT((M_BOM[RM_Code]=$A97)*M_BOM[RM_Qty_Per_Batch]*IFERROR(INDEX(PP_Grid[#Data],M_BOM[PPGridRow],37),0))</f>
        <v/>
      </c>
      <c r="AL97">
        <f>SUMPRODUCT((M_BOM[RM_Code]=$A97)*M_BOM[RM_Qty_Per_Batch]*IFERROR(INDEX(PP_Grid[#Data],M_BOM[PPGridRow],38),0))</f>
        <v/>
      </c>
      <c r="AM97">
        <f>SUMPRODUCT((M_BOM[RM_Code]=$A97)*M_BOM[RM_Qty_Per_Batch]*IFERROR(INDEX(PP_Grid[#Data],M_BOM[PPGridRow],39),0))</f>
        <v/>
      </c>
      <c r="AN97">
        <f>SUMPRODUCT((M_BOM[RM_Code]=$A97)*M_BOM[RM_Qty_Per_Batch]*IFERROR(INDEX(PP_Grid[#Data],M_BOM[PPGridRow],40),0))</f>
        <v/>
      </c>
      <c r="AO97">
        <f>SUMPRODUCT((M_BOM[RM_Code]=$A97)*M_BOM[RM_Qty_Per_Batch]*IFERROR(INDEX(PP_Grid[#Data],M_BOM[PPGridRow],41),0))</f>
        <v/>
      </c>
      <c r="AP97">
        <f>SUMPRODUCT((M_BOM[RM_Code]=$A97)*M_BOM[RM_Qty_Per_Batch]*IFERROR(INDEX(PP_Grid[#Data],M_BOM[PPGridRow],42),0))</f>
        <v/>
      </c>
      <c r="AQ97">
        <f>SUMPRODUCT((M_BOM[RM_Code]=$A97)*M_BOM[RM_Qty_Per_Batch]*IFERROR(INDEX(PP_Grid[#Data],M_BOM[PPGridRow],43),0))</f>
        <v/>
      </c>
      <c r="AR97">
        <f>SUMPRODUCT((M_BOM[RM_Code]=$A97)*M_BOM[RM_Qty_Per_Batch]*IFERROR(INDEX(PP_Grid[#Data],M_BOM[PPGridRow],44),0))</f>
        <v/>
      </c>
      <c r="AS97">
        <f>SUMPRODUCT((M_BOM[RM_Code]=$A97)*M_BOM[RM_Qty_Per_Batch]*IFERROR(INDEX(PP_Grid[#Data],M_BOM[PPGridRow],45),0))</f>
        <v/>
      </c>
      <c r="AT97">
        <f>SUMPRODUCT((M_BOM[RM_Code]=$A97)*M_BOM[RM_Qty_Per_Batch]*IFERROR(INDEX(PP_Grid[#Data],M_BOM[PPGridRow],46),0))</f>
        <v/>
      </c>
      <c r="AU97">
        <f>SUMPRODUCT((M_BOM[RM_Code]=$A97)*M_BOM[RM_Qty_Per_Batch]*IFERROR(INDEX(PP_Grid[#Data],M_BOM[PPGridRow],47),0))</f>
        <v/>
      </c>
      <c r="AV97">
        <f>SUMPRODUCT((M_BOM[RM_Code]=$A97)*M_BOM[RM_Qty_Per_Batch]*IFERROR(INDEX(PP_Grid[#Data],M_BOM[PPGridRow],48),0))</f>
        <v/>
      </c>
      <c r="AW97">
        <f>SUMPRODUCT((M_BOM[RM_Code]=$A97)*M_BOM[RM_Qty_Per_Batch]*IFERROR(INDEX(PP_Grid[#Data],M_BOM[PPGridRow],49),0))</f>
        <v/>
      </c>
      <c r="AX97">
        <f>SUMPRODUCT((M_BOM[RM_Code]=$A97)*M_BOM[RM_Qty_Per_Batch]*IFERROR(INDEX(PP_Grid[#Data],M_BOM[PPGridRow],50),0))</f>
        <v/>
      </c>
      <c r="AY97">
        <f>SUMPRODUCT((M_BOM[RM_Code]=$A97)*M_BOM[RM_Qty_Per_Batch]*IFERROR(INDEX(PP_Grid[#Data],M_BOM[PPGridRow],51),0))</f>
        <v/>
      </c>
      <c r="AZ97">
        <f>SUMPRODUCT((M_BOM[RM_Code]=$A97)*M_BOM[RM_Qty_Per_Batch]*IFERROR(INDEX(PP_Grid[#Data],M_BOM[PPGridRow],52),0))</f>
        <v/>
      </c>
      <c r="BA97">
        <f>SUMPRODUCT((M_BOM[RM_Code]=$A97)*M_BOM[RM_Qty_Per_Batch]*IFERROR(INDEX(PP_Grid[#Data],M_BOM[PPGridRow],53),0))</f>
        <v/>
      </c>
      <c r="BB97">
        <f>SUMPRODUCT((M_BOM[RM_Code]=$A97)*M_BOM[RM_Qty_Per_Batch]*IFERROR(INDEX(PP_Grid[#Data],M_BOM[PPGridRow],54),0))</f>
        <v/>
      </c>
      <c r="BC97">
        <f>SUMPRODUCT((M_BOM[RM_Code]=$A97)*M_BOM[RM_Qty_Per_Batch]*IFERROR(INDEX(PP_Grid[#Data],M_BOM[PPGridRow],55),0))</f>
        <v/>
      </c>
      <c r="BD97">
        <f>SUMPRODUCT((M_BOM[RM_Code]=$A97)*M_BOM[RM_Qty_Per_Batch]*IFERROR(INDEX(PP_Grid[#Data],M_BOM[PPGridRow],56),0))</f>
        <v/>
      </c>
      <c r="BE97">
        <f>SUMPRODUCT((M_BOM[RM_Code]=$A97)*M_BOM[RM_Qty_Per_Batch]*IFERROR(INDEX(PP_Grid[#Data],M_BOM[PPGridRow],57),0))</f>
        <v/>
      </c>
      <c r="BF97">
        <f>SUMPRODUCT((M_BOM[RM_Code]=$A97)*M_BOM[RM_Qty_Per_Batch]*IFERROR(INDEX(PP_Grid[#Data],M_BOM[PPGridRow],58),0))</f>
        <v/>
      </c>
      <c r="BG97">
        <f>SUMPRODUCT((M_BOM[RM_Code]=$A97)*M_BOM[RM_Qty_Per_Batch]*IFERROR(INDEX(PP_Grid[#Data],M_BOM[PPGridRow],59),0))</f>
        <v/>
      </c>
      <c r="BH97">
        <f>SUMPRODUCT((M_BOM[RM_Code]=$A97)*M_BOM[RM_Qty_Per_Batch]*IFERROR(INDEX(PP_Grid[#Data],M_BOM[PPGridRow],60),0))</f>
        <v/>
      </c>
      <c r="BI97">
        <f>SUMPRODUCT((M_BOM[RM_Code]=$A97)*M_BOM[RM_Qty_Per_Batch]*IFERROR(INDEX(PP_Grid[#Data],M_BOM[PPGridRow],61),0))</f>
        <v/>
      </c>
      <c r="BJ97">
        <f>SUMPRODUCT((M_BOM[RM_Code]=$A97)*M_BOM[RM_Qty_Per_Batch]*IFERROR(INDEX(PP_Grid[#Data],M_BOM[PPGridRow],62),0))</f>
        <v/>
      </c>
      <c r="BK97">
        <f>SUMPRODUCT((M_BOM[RM_Code]=$A97)*M_BOM[RM_Qty_Per_Batch]*IFERROR(INDEX(PP_Grid[#Data],M_BOM[PPGridRow],63),0))</f>
        <v/>
      </c>
      <c r="BL97">
        <f>SUMPRODUCT((M_BOM[RM_Code]=$A97)*M_BOM[RM_Qty_Per_Batch]*IFERROR(INDEX(PP_Grid[#Data],M_BOM[PPGridRow],64),0))</f>
        <v/>
      </c>
      <c r="BM97">
        <f>SUMPRODUCT((M_BOM[RM_Code]=$A97)*M_BOM[RM_Qty_Per_Batch]*IFERROR(INDEX(PP_Grid[#Data],M_BOM[PPGridRow],65),0))</f>
        <v/>
      </c>
      <c r="BN97">
        <f>SUMPRODUCT((M_BOM[RM_Code]=$A97)*M_BOM[RM_Qty_Per_Batch]*IFERROR(INDEX(PP_Grid[#Data],M_BOM[PPGridRow],66),0))</f>
        <v/>
      </c>
      <c r="BO97">
        <f>SUMPRODUCT((M_BOM[RM_Code]=$A97)*M_BOM[RM_Qty_Per_Batch]*IFERROR(INDEX(PP_Grid[#Data],M_BOM[PPGridRow],67),0))</f>
        <v/>
      </c>
      <c r="BP97">
        <f>SUMPRODUCT((M_BOM[RM_Code]=$A97)*M_BOM[RM_Qty_Per_Batch]*IFERROR(INDEX(PP_Grid[#Data],M_BOM[PPGridRow],68),0))</f>
        <v/>
      </c>
      <c r="BQ97">
        <f>SUMPRODUCT((M_BOM[RM_Code]=$A97)*M_BOM[RM_Qty_Per_Batch]*IFERROR(INDEX(PP_Grid[#Data],M_BOM[PPGridRow],69),0))</f>
        <v/>
      </c>
      <c r="BR97">
        <f>SUMPRODUCT((M_BOM[RM_Code]=$A97)*M_BOM[RM_Qty_Per_Batch]*IFERROR(INDEX(PP_Grid[#Data],M_BOM[PPGridRow],70),0))</f>
        <v/>
      </c>
      <c r="BS97">
        <f>SUMPRODUCT((M_BOM[RM_Code]=$A97)*M_BOM[RM_Qty_Per_Batch]*IFERROR(INDEX(PP_Grid[#Data],M_BOM[PPGridRow],71),0))</f>
        <v/>
      </c>
      <c r="BT97">
        <f>SUMPRODUCT((M_BOM[RM_Code]=$A97)*M_BOM[RM_Qty_Per_Batch]*IFERROR(INDEX(PP_Grid[#Data],M_BOM[PPGridRow],72),0))</f>
        <v/>
      </c>
      <c r="BU97">
        <f>SUMPRODUCT((M_BOM[RM_Code]=$A97)*M_BOM[RM_Qty_Per_Batch]*IFERROR(INDEX(PP_Grid[#Data],M_BOM[PPGridRow],73),0))</f>
        <v/>
      </c>
      <c r="BV97">
        <f>SUMPRODUCT((M_BOM[RM_Code]=$A97)*M_BOM[RM_Qty_Per_Batch]*IFERROR(INDEX(PP_Grid[#Data],M_BOM[PPGridRow],74),0))</f>
        <v/>
      </c>
      <c r="BW97">
        <f>SUMPRODUCT((M_BOM[RM_Code]=$A97)*M_BOM[RM_Qty_Per_Batch]*IFERROR(INDEX(PP_Grid[#Data],M_BOM[PPGridRow],75),0))</f>
        <v/>
      </c>
      <c r="BX97">
        <f>SUMPRODUCT((M_BOM[RM_Code]=$A97)*M_BOM[RM_Qty_Per_Batch]*IFERROR(INDEX(PP_Grid[#Data],M_BOM[PPGridRow],76),0))</f>
        <v/>
      </c>
      <c r="BY97">
        <f>SUMPRODUCT((M_BOM[RM_Code]=$A97)*M_BOM[RM_Qty_Per_Batch]*IFERROR(INDEX(PP_Grid[#Data],M_BOM[PPGridRow],77),0))</f>
        <v/>
      </c>
      <c r="BZ97">
        <f>SUMPRODUCT((M_BOM[RM_Code]=$A97)*M_BOM[RM_Qty_Per_Batch]*IFERROR(INDEX(PP_Grid[#Data],M_BOM[PPGridRow],78),0))</f>
        <v/>
      </c>
      <c r="CA97">
        <f>SUMPRODUCT((M_BOM[RM_Code]=$A97)*M_BOM[RM_Qty_Per_Batch]*IFERROR(INDEX(PP_Grid[#Data],M_BOM[PPGridRow],79),0))</f>
        <v/>
      </c>
      <c r="CB97">
        <f>SUMPRODUCT((M_BOM[RM_Code]=$A97)*M_BOM[RM_Qty_Per_Batch]*IFERROR(INDEX(PP_Grid[#Data],M_BOM[PPGridRow],80),0))</f>
        <v/>
      </c>
      <c r="CC97">
        <f>SUMPRODUCT((M_BOM[RM_Code]=$A97)*M_BOM[RM_Qty_Per_Batch]*IFERROR(INDEX(PP_Grid[#Data],M_BOM[PPGridRow],81),0))</f>
        <v/>
      </c>
      <c r="CD97">
        <f>SUMPRODUCT((M_BOM[RM_Code]=$A97)*M_BOM[RM_Qty_Per_Batch]*IFERROR(INDEX(PP_Grid[#Data],M_BOM[PPGridRow],82),0))</f>
        <v/>
      </c>
      <c r="CE97">
        <f>SUMPRODUCT((M_BOM[RM_Code]=$A97)*M_BOM[RM_Qty_Per_Batch]*IFERROR(INDEX(PP_Grid[#Data],M_BOM[PPGridRow],83),0))</f>
        <v/>
      </c>
      <c r="CF97">
        <f>SUMPRODUCT((M_BOM[RM_Code]=$A97)*M_BOM[RM_Qty_Per_Batch]*IFERROR(INDEX(PP_Grid[#Data],M_BOM[PPGridRow],84),0))</f>
        <v/>
      </c>
      <c r="CG97">
        <f>SUMPRODUCT((M_BOM[RM_Code]=$A97)*M_BOM[RM_Qty_Per_Batch]*IFERROR(INDEX(PP_Grid[#Data],M_BOM[PPGridRow],85),0))</f>
        <v/>
      </c>
      <c r="CH97">
        <f>SUMPRODUCT((M_BOM[RM_Code]=$A97)*M_BOM[RM_Qty_Per_Batch]*IFERROR(INDEX(PP_Grid[#Data],M_BOM[PPGridRow],86),0))</f>
        <v/>
      </c>
      <c r="CI97">
        <f>SUMPRODUCT((M_BOM[RM_Code]=$A97)*M_BOM[RM_Qty_Per_Batch]*IFERROR(INDEX(PP_Grid[#Data],M_BOM[PPGridRow],87),0))</f>
        <v/>
      </c>
      <c r="CJ97">
        <f>SUMPRODUCT((M_BOM[RM_Code]=$A97)*M_BOM[RM_Qty_Per_Batch]*IFERROR(INDEX(PP_Grid[#Data],M_BOM[PPGridRow],88),0))</f>
        <v/>
      </c>
      <c r="CK97">
        <f>SUMPRODUCT((M_BOM[RM_Code]=$A97)*M_BOM[RM_Qty_Per_Batch]*IFERROR(INDEX(PP_Grid[#Data],M_BOM[PPGridRow],89),0))</f>
        <v/>
      </c>
      <c r="CL97">
        <f>SUMPRODUCT((M_BOM[RM_Code]=$A97)*M_BOM[RM_Qty_Per_Batch]*IFERROR(INDEX(PP_Grid[#Data],M_BOM[PPGridRow],90),0))</f>
        <v/>
      </c>
      <c r="CM97">
        <f>SUMPRODUCT((M_BOM[RM_Code]=$A97)*M_BOM[RM_Qty_Per_Batch]*IFERROR(INDEX(PP_Grid[#Data],M_BOM[PPGridRow],91),0))</f>
        <v/>
      </c>
      <c r="CN97">
        <f>SUMPRODUCT((M_BOM[RM_Code]=$A97)*M_BOM[RM_Qty_Per_Batch]*IFERROR(INDEX(PP_Grid[#Data],M_BOM[PPGridRow],92),0))</f>
        <v/>
      </c>
      <c r="CO97">
        <f>SUMPRODUCT((M_BOM[RM_Code]=$A97)*M_BOM[RM_Qty_Per_Batch]*IFERROR(INDEX(PP_Grid[#Data],M_BOM[PPGridRow],93),0))</f>
        <v/>
      </c>
      <c r="CP97">
        <f>SUMPRODUCT((M_BOM[RM_Code]=$A97)*M_BOM[RM_Qty_Per_Batch]*IFERROR(INDEX(PP_Grid[#Data],M_BOM[PPGridRow],94),0))</f>
        <v/>
      </c>
      <c r="CQ97">
        <f>SUMPRODUCT((M_BOM[RM_Code]=$A97)*M_BOM[RM_Qty_Per_Batch]*IFERROR(INDEX(PP_Grid[#Data],M_BOM[PPGridRow],95),0))</f>
        <v/>
      </c>
      <c r="CR97">
        <f>SUMPRODUCT((M_BOM[RM_Code]=$A97)*M_BOM[RM_Qty_Per_Batch]*IFERROR(INDEX(PP_Grid[#Data],M_BOM[PPGridRow],96),0))</f>
        <v/>
      </c>
      <c r="CS97">
        <f>SUMPRODUCT((M_BOM[RM_Code]=$A97)*M_BOM[RM_Qty_Per_Batch]*IFERROR(INDEX(PP_Grid[#Data],M_BOM[PPGridRow],97),0))</f>
        <v/>
      </c>
      <c r="CT97">
        <f>SUMPRODUCT((M_BOM[RM_Code]=$A97)*M_BOM[RM_Qty_Per_Batch]*IFERROR(INDEX(PP_Grid[#Data],M_BOM[PPGridRow],98),0))</f>
        <v/>
      </c>
      <c r="CU97">
        <f>SUMPRODUCT((M_BOM[RM_Code]=$A97)*M_BOM[RM_Qty_Per_Batch]*IFERROR(INDEX(PP_Grid[#Data],M_BOM[PPGridRow],99),0))</f>
        <v/>
      </c>
      <c r="CV97">
        <f>SUMPRODUCT((M_BOM[RM_Code]=$A97)*M_BOM[RM_Qty_Per_Batch]*IFERROR(INDEX(PP_Grid[#Data],M_BOM[PPGridRow],100),0))</f>
        <v/>
      </c>
      <c r="CW97">
        <f>SUMPRODUCT((M_BOM[RM_Code]=$A97)*M_BOM[RM_Qty_Per_Batch]*IFERROR(INDEX(PP_Grid[#Data],M_BOM[PPGridRow],101),0))</f>
        <v/>
      </c>
      <c r="CX97">
        <f>SUMPRODUCT((M_BOM[RM_Code]=$A97)*M_BOM[RM_Qty_Per_Batch]*IFERROR(INDEX(PP_Grid[#Data],M_BOM[PPGridRow],102),0))</f>
        <v/>
      </c>
      <c r="CY97">
        <f>SUMPRODUCT((M_BOM[RM_Code]=$A97)*M_BOM[RM_Qty_Per_Batch]*IFERROR(INDEX(PP_Grid[#Data],M_BOM[PPGridRow],103),0))</f>
        <v/>
      </c>
      <c r="CZ97">
        <f>SUMPRODUCT((M_BOM[RM_Code]=$A97)*M_BOM[RM_Qty_Per_Batch]*IFERROR(INDEX(PP_Grid[#Data],M_BOM[PPGridRow],104),0))</f>
        <v/>
      </c>
      <c r="DA97">
        <f>SUMPRODUCT((M_BOM[RM_Code]=$A97)*M_BOM[RM_Qty_Per_Batch]*IFERROR(INDEX(PP_Grid[#Data],M_BOM[PPGridRow],105),0))</f>
        <v/>
      </c>
    </row>
    <row r="98">
      <c r="A98" t="inlineStr">
        <is>
          <t>CHEM-1050</t>
        </is>
      </c>
      <c r="B98">
        <f>SUMPRODUCT((M_BOM[RM_Code]=$A98)*M_BOM[RM_Qty_Per_Batch]*IFERROR(INDEX(PP_Grid[#Data],M_BOM[PPGridRow],2),0))</f>
        <v/>
      </c>
      <c r="C98">
        <f>SUMPRODUCT((M_BOM[RM_Code]=$A98)*M_BOM[RM_Qty_Per_Batch]*IFERROR(INDEX(PP_Grid[#Data],M_BOM[PPGridRow],3),0))</f>
        <v/>
      </c>
      <c r="D98">
        <f>SUMPRODUCT((M_BOM[RM_Code]=$A98)*M_BOM[RM_Qty_Per_Batch]*IFERROR(INDEX(PP_Grid[#Data],M_BOM[PPGridRow],4),0))</f>
        <v/>
      </c>
      <c r="E98">
        <f>SUMPRODUCT((M_BOM[RM_Code]=$A98)*M_BOM[RM_Qty_Per_Batch]*IFERROR(INDEX(PP_Grid[#Data],M_BOM[PPGridRow],5),0))</f>
        <v/>
      </c>
      <c r="F98">
        <f>SUMPRODUCT((M_BOM[RM_Code]=$A98)*M_BOM[RM_Qty_Per_Batch]*IFERROR(INDEX(PP_Grid[#Data],M_BOM[PPGridRow],6),0))</f>
        <v/>
      </c>
      <c r="G98">
        <f>SUMPRODUCT((M_BOM[RM_Code]=$A98)*M_BOM[RM_Qty_Per_Batch]*IFERROR(INDEX(PP_Grid[#Data],M_BOM[PPGridRow],7),0))</f>
        <v/>
      </c>
      <c r="H98">
        <f>SUMPRODUCT((M_BOM[RM_Code]=$A98)*M_BOM[RM_Qty_Per_Batch]*IFERROR(INDEX(PP_Grid[#Data],M_BOM[PPGridRow],8),0))</f>
        <v/>
      </c>
      <c r="I98">
        <f>SUMPRODUCT((M_BOM[RM_Code]=$A98)*M_BOM[RM_Qty_Per_Batch]*IFERROR(INDEX(PP_Grid[#Data],M_BOM[PPGridRow],9),0))</f>
        <v/>
      </c>
      <c r="J98">
        <f>SUMPRODUCT((M_BOM[RM_Code]=$A98)*M_BOM[RM_Qty_Per_Batch]*IFERROR(INDEX(PP_Grid[#Data],M_BOM[PPGridRow],10),0))</f>
        <v/>
      </c>
      <c r="K98">
        <f>SUMPRODUCT((M_BOM[RM_Code]=$A98)*M_BOM[RM_Qty_Per_Batch]*IFERROR(INDEX(PP_Grid[#Data],M_BOM[PPGridRow],11),0))</f>
        <v/>
      </c>
      <c r="L98">
        <f>SUMPRODUCT((M_BOM[RM_Code]=$A98)*M_BOM[RM_Qty_Per_Batch]*IFERROR(INDEX(PP_Grid[#Data],M_BOM[PPGridRow],12),0))</f>
        <v/>
      </c>
      <c r="M98">
        <f>SUMPRODUCT((M_BOM[RM_Code]=$A98)*M_BOM[RM_Qty_Per_Batch]*IFERROR(INDEX(PP_Grid[#Data],M_BOM[PPGridRow],13),0))</f>
        <v/>
      </c>
      <c r="N98">
        <f>SUMPRODUCT((M_BOM[RM_Code]=$A98)*M_BOM[RM_Qty_Per_Batch]*IFERROR(INDEX(PP_Grid[#Data],M_BOM[PPGridRow],14),0))</f>
        <v/>
      </c>
      <c r="O98">
        <f>SUMPRODUCT((M_BOM[RM_Code]=$A98)*M_BOM[RM_Qty_Per_Batch]*IFERROR(INDEX(PP_Grid[#Data],M_BOM[PPGridRow],15),0))</f>
        <v/>
      </c>
      <c r="P98">
        <f>SUMPRODUCT((M_BOM[RM_Code]=$A98)*M_BOM[RM_Qty_Per_Batch]*IFERROR(INDEX(PP_Grid[#Data],M_BOM[PPGridRow],16),0))</f>
        <v/>
      </c>
      <c r="Q98">
        <f>SUMPRODUCT((M_BOM[RM_Code]=$A98)*M_BOM[RM_Qty_Per_Batch]*IFERROR(INDEX(PP_Grid[#Data],M_BOM[PPGridRow],17),0))</f>
        <v/>
      </c>
      <c r="R98">
        <f>SUMPRODUCT((M_BOM[RM_Code]=$A98)*M_BOM[RM_Qty_Per_Batch]*IFERROR(INDEX(PP_Grid[#Data],M_BOM[PPGridRow],18),0))</f>
        <v/>
      </c>
      <c r="S98">
        <f>SUMPRODUCT((M_BOM[RM_Code]=$A98)*M_BOM[RM_Qty_Per_Batch]*IFERROR(INDEX(PP_Grid[#Data],M_BOM[PPGridRow],19),0))</f>
        <v/>
      </c>
      <c r="T98">
        <f>SUMPRODUCT((M_BOM[RM_Code]=$A98)*M_BOM[RM_Qty_Per_Batch]*IFERROR(INDEX(PP_Grid[#Data],M_BOM[PPGridRow],20),0))</f>
        <v/>
      </c>
      <c r="U98">
        <f>SUMPRODUCT((M_BOM[RM_Code]=$A98)*M_BOM[RM_Qty_Per_Batch]*IFERROR(INDEX(PP_Grid[#Data],M_BOM[PPGridRow],21),0))</f>
        <v/>
      </c>
      <c r="V98">
        <f>SUMPRODUCT((M_BOM[RM_Code]=$A98)*M_BOM[RM_Qty_Per_Batch]*IFERROR(INDEX(PP_Grid[#Data],M_BOM[PPGridRow],22),0))</f>
        <v/>
      </c>
      <c r="W98">
        <f>SUMPRODUCT((M_BOM[RM_Code]=$A98)*M_BOM[RM_Qty_Per_Batch]*IFERROR(INDEX(PP_Grid[#Data],M_BOM[PPGridRow],23),0))</f>
        <v/>
      </c>
      <c r="X98">
        <f>SUMPRODUCT((M_BOM[RM_Code]=$A98)*M_BOM[RM_Qty_Per_Batch]*IFERROR(INDEX(PP_Grid[#Data],M_BOM[PPGridRow],24),0))</f>
        <v/>
      </c>
      <c r="Y98">
        <f>SUMPRODUCT((M_BOM[RM_Code]=$A98)*M_BOM[RM_Qty_Per_Batch]*IFERROR(INDEX(PP_Grid[#Data],M_BOM[PPGridRow],25),0))</f>
        <v/>
      </c>
      <c r="Z98">
        <f>SUMPRODUCT((M_BOM[RM_Code]=$A98)*M_BOM[RM_Qty_Per_Batch]*IFERROR(INDEX(PP_Grid[#Data],M_BOM[PPGridRow],26),0))</f>
        <v/>
      </c>
      <c r="AA98">
        <f>SUMPRODUCT((M_BOM[RM_Code]=$A98)*M_BOM[RM_Qty_Per_Batch]*IFERROR(INDEX(PP_Grid[#Data],M_BOM[PPGridRow],27),0))</f>
        <v/>
      </c>
      <c r="AB98">
        <f>SUMPRODUCT((M_BOM[RM_Code]=$A98)*M_BOM[RM_Qty_Per_Batch]*IFERROR(INDEX(PP_Grid[#Data],M_BOM[PPGridRow],28),0))</f>
        <v/>
      </c>
      <c r="AC98">
        <f>SUMPRODUCT((M_BOM[RM_Code]=$A98)*M_BOM[RM_Qty_Per_Batch]*IFERROR(INDEX(PP_Grid[#Data],M_BOM[PPGridRow],29),0))</f>
        <v/>
      </c>
      <c r="AD98">
        <f>SUMPRODUCT((M_BOM[RM_Code]=$A98)*M_BOM[RM_Qty_Per_Batch]*IFERROR(INDEX(PP_Grid[#Data],M_BOM[PPGridRow],30),0))</f>
        <v/>
      </c>
      <c r="AE98">
        <f>SUMPRODUCT((M_BOM[RM_Code]=$A98)*M_BOM[RM_Qty_Per_Batch]*IFERROR(INDEX(PP_Grid[#Data],M_BOM[PPGridRow],31),0))</f>
        <v/>
      </c>
      <c r="AF98">
        <f>SUMPRODUCT((M_BOM[RM_Code]=$A98)*M_BOM[RM_Qty_Per_Batch]*IFERROR(INDEX(PP_Grid[#Data],M_BOM[PPGridRow],32),0))</f>
        <v/>
      </c>
      <c r="AG98">
        <f>SUMPRODUCT((M_BOM[RM_Code]=$A98)*M_BOM[RM_Qty_Per_Batch]*IFERROR(INDEX(PP_Grid[#Data],M_BOM[PPGridRow],33),0))</f>
        <v/>
      </c>
      <c r="AH98">
        <f>SUMPRODUCT((M_BOM[RM_Code]=$A98)*M_BOM[RM_Qty_Per_Batch]*IFERROR(INDEX(PP_Grid[#Data],M_BOM[PPGridRow],34),0))</f>
        <v/>
      </c>
      <c r="AI98">
        <f>SUMPRODUCT((M_BOM[RM_Code]=$A98)*M_BOM[RM_Qty_Per_Batch]*IFERROR(INDEX(PP_Grid[#Data],M_BOM[PPGridRow],35),0))</f>
        <v/>
      </c>
      <c r="AJ98">
        <f>SUMPRODUCT((M_BOM[RM_Code]=$A98)*M_BOM[RM_Qty_Per_Batch]*IFERROR(INDEX(PP_Grid[#Data],M_BOM[PPGridRow],36),0))</f>
        <v/>
      </c>
      <c r="AK98">
        <f>SUMPRODUCT((M_BOM[RM_Code]=$A98)*M_BOM[RM_Qty_Per_Batch]*IFERROR(INDEX(PP_Grid[#Data],M_BOM[PPGridRow],37),0))</f>
        <v/>
      </c>
      <c r="AL98">
        <f>SUMPRODUCT((M_BOM[RM_Code]=$A98)*M_BOM[RM_Qty_Per_Batch]*IFERROR(INDEX(PP_Grid[#Data],M_BOM[PPGridRow],38),0))</f>
        <v/>
      </c>
      <c r="AM98">
        <f>SUMPRODUCT((M_BOM[RM_Code]=$A98)*M_BOM[RM_Qty_Per_Batch]*IFERROR(INDEX(PP_Grid[#Data],M_BOM[PPGridRow],39),0))</f>
        <v/>
      </c>
      <c r="AN98">
        <f>SUMPRODUCT((M_BOM[RM_Code]=$A98)*M_BOM[RM_Qty_Per_Batch]*IFERROR(INDEX(PP_Grid[#Data],M_BOM[PPGridRow],40),0))</f>
        <v/>
      </c>
      <c r="AO98">
        <f>SUMPRODUCT((M_BOM[RM_Code]=$A98)*M_BOM[RM_Qty_Per_Batch]*IFERROR(INDEX(PP_Grid[#Data],M_BOM[PPGridRow],41),0))</f>
        <v/>
      </c>
      <c r="AP98">
        <f>SUMPRODUCT((M_BOM[RM_Code]=$A98)*M_BOM[RM_Qty_Per_Batch]*IFERROR(INDEX(PP_Grid[#Data],M_BOM[PPGridRow],42),0))</f>
        <v/>
      </c>
      <c r="AQ98">
        <f>SUMPRODUCT((M_BOM[RM_Code]=$A98)*M_BOM[RM_Qty_Per_Batch]*IFERROR(INDEX(PP_Grid[#Data],M_BOM[PPGridRow],43),0))</f>
        <v/>
      </c>
      <c r="AR98">
        <f>SUMPRODUCT((M_BOM[RM_Code]=$A98)*M_BOM[RM_Qty_Per_Batch]*IFERROR(INDEX(PP_Grid[#Data],M_BOM[PPGridRow],44),0))</f>
        <v/>
      </c>
      <c r="AS98">
        <f>SUMPRODUCT((M_BOM[RM_Code]=$A98)*M_BOM[RM_Qty_Per_Batch]*IFERROR(INDEX(PP_Grid[#Data],M_BOM[PPGridRow],45),0))</f>
        <v/>
      </c>
      <c r="AT98">
        <f>SUMPRODUCT((M_BOM[RM_Code]=$A98)*M_BOM[RM_Qty_Per_Batch]*IFERROR(INDEX(PP_Grid[#Data],M_BOM[PPGridRow],46),0))</f>
        <v/>
      </c>
      <c r="AU98">
        <f>SUMPRODUCT((M_BOM[RM_Code]=$A98)*M_BOM[RM_Qty_Per_Batch]*IFERROR(INDEX(PP_Grid[#Data],M_BOM[PPGridRow],47),0))</f>
        <v/>
      </c>
      <c r="AV98">
        <f>SUMPRODUCT((M_BOM[RM_Code]=$A98)*M_BOM[RM_Qty_Per_Batch]*IFERROR(INDEX(PP_Grid[#Data],M_BOM[PPGridRow],48),0))</f>
        <v/>
      </c>
      <c r="AW98">
        <f>SUMPRODUCT((M_BOM[RM_Code]=$A98)*M_BOM[RM_Qty_Per_Batch]*IFERROR(INDEX(PP_Grid[#Data],M_BOM[PPGridRow],49),0))</f>
        <v/>
      </c>
      <c r="AX98">
        <f>SUMPRODUCT((M_BOM[RM_Code]=$A98)*M_BOM[RM_Qty_Per_Batch]*IFERROR(INDEX(PP_Grid[#Data],M_BOM[PPGridRow],50),0))</f>
        <v/>
      </c>
      <c r="AY98">
        <f>SUMPRODUCT((M_BOM[RM_Code]=$A98)*M_BOM[RM_Qty_Per_Batch]*IFERROR(INDEX(PP_Grid[#Data],M_BOM[PPGridRow],51),0))</f>
        <v/>
      </c>
      <c r="AZ98">
        <f>SUMPRODUCT((M_BOM[RM_Code]=$A98)*M_BOM[RM_Qty_Per_Batch]*IFERROR(INDEX(PP_Grid[#Data],M_BOM[PPGridRow],52),0))</f>
        <v/>
      </c>
      <c r="BA98">
        <f>SUMPRODUCT((M_BOM[RM_Code]=$A98)*M_BOM[RM_Qty_Per_Batch]*IFERROR(INDEX(PP_Grid[#Data],M_BOM[PPGridRow],53),0))</f>
        <v/>
      </c>
      <c r="BB98">
        <f>SUMPRODUCT((M_BOM[RM_Code]=$A98)*M_BOM[RM_Qty_Per_Batch]*IFERROR(INDEX(PP_Grid[#Data],M_BOM[PPGridRow],54),0))</f>
        <v/>
      </c>
      <c r="BC98">
        <f>SUMPRODUCT((M_BOM[RM_Code]=$A98)*M_BOM[RM_Qty_Per_Batch]*IFERROR(INDEX(PP_Grid[#Data],M_BOM[PPGridRow],55),0))</f>
        <v/>
      </c>
      <c r="BD98">
        <f>SUMPRODUCT((M_BOM[RM_Code]=$A98)*M_BOM[RM_Qty_Per_Batch]*IFERROR(INDEX(PP_Grid[#Data],M_BOM[PPGridRow],56),0))</f>
        <v/>
      </c>
      <c r="BE98">
        <f>SUMPRODUCT((M_BOM[RM_Code]=$A98)*M_BOM[RM_Qty_Per_Batch]*IFERROR(INDEX(PP_Grid[#Data],M_BOM[PPGridRow],57),0))</f>
        <v/>
      </c>
      <c r="BF98">
        <f>SUMPRODUCT((M_BOM[RM_Code]=$A98)*M_BOM[RM_Qty_Per_Batch]*IFERROR(INDEX(PP_Grid[#Data],M_BOM[PPGridRow],58),0))</f>
        <v/>
      </c>
      <c r="BG98">
        <f>SUMPRODUCT((M_BOM[RM_Code]=$A98)*M_BOM[RM_Qty_Per_Batch]*IFERROR(INDEX(PP_Grid[#Data],M_BOM[PPGridRow],59),0))</f>
        <v/>
      </c>
      <c r="BH98">
        <f>SUMPRODUCT((M_BOM[RM_Code]=$A98)*M_BOM[RM_Qty_Per_Batch]*IFERROR(INDEX(PP_Grid[#Data],M_BOM[PPGridRow],60),0))</f>
        <v/>
      </c>
      <c r="BI98">
        <f>SUMPRODUCT((M_BOM[RM_Code]=$A98)*M_BOM[RM_Qty_Per_Batch]*IFERROR(INDEX(PP_Grid[#Data],M_BOM[PPGridRow],61),0))</f>
        <v/>
      </c>
      <c r="BJ98">
        <f>SUMPRODUCT((M_BOM[RM_Code]=$A98)*M_BOM[RM_Qty_Per_Batch]*IFERROR(INDEX(PP_Grid[#Data],M_BOM[PPGridRow],62),0))</f>
        <v/>
      </c>
      <c r="BK98">
        <f>SUMPRODUCT((M_BOM[RM_Code]=$A98)*M_BOM[RM_Qty_Per_Batch]*IFERROR(INDEX(PP_Grid[#Data],M_BOM[PPGridRow],63),0))</f>
        <v/>
      </c>
      <c r="BL98">
        <f>SUMPRODUCT((M_BOM[RM_Code]=$A98)*M_BOM[RM_Qty_Per_Batch]*IFERROR(INDEX(PP_Grid[#Data],M_BOM[PPGridRow],64),0))</f>
        <v/>
      </c>
      <c r="BM98">
        <f>SUMPRODUCT((M_BOM[RM_Code]=$A98)*M_BOM[RM_Qty_Per_Batch]*IFERROR(INDEX(PP_Grid[#Data],M_BOM[PPGridRow],65),0))</f>
        <v/>
      </c>
      <c r="BN98">
        <f>SUMPRODUCT((M_BOM[RM_Code]=$A98)*M_BOM[RM_Qty_Per_Batch]*IFERROR(INDEX(PP_Grid[#Data],M_BOM[PPGridRow],66),0))</f>
        <v/>
      </c>
      <c r="BO98">
        <f>SUMPRODUCT((M_BOM[RM_Code]=$A98)*M_BOM[RM_Qty_Per_Batch]*IFERROR(INDEX(PP_Grid[#Data],M_BOM[PPGridRow],67),0))</f>
        <v/>
      </c>
      <c r="BP98">
        <f>SUMPRODUCT((M_BOM[RM_Code]=$A98)*M_BOM[RM_Qty_Per_Batch]*IFERROR(INDEX(PP_Grid[#Data],M_BOM[PPGridRow],68),0))</f>
        <v/>
      </c>
      <c r="BQ98">
        <f>SUMPRODUCT((M_BOM[RM_Code]=$A98)*M_BOM[RM_Qty_Per_Batch]*IFERROR(INDEX(PP_Grid[#Data],M_BOM[PPGridRow],69),0))</f>
        <v/>
      </c>
      <c r="BR98">
        <f>SUMPRODUCT((M_BOM[RM_Code]=$A98)*M_BOM[RM_Qty_Per_Batch]*IFERROR(INDEX(PP_Grid[#Data],M_BOM[PPGridRow],70),0))</f>
        <v/>
      </c>
      <c r="BS98">
        <f>SUMPRODUCT((M_BOM[RM_Code]=$A98)*M_BOM[RM_Qty_Per_Batch]*IFERROR(INDEX(PP_Grid[#Data],M_BOM[PPGridRow],71),0))</f>
        <v/>
      </c>
      <c r="BT98">
        <f>SUMPRODUCT((M_BOM[RM_Code]=$A98)*M_BOM[RM_Qty_Per_Batch]*IFERROR(INDEX(PP_Grid[#Data],M_BOM[PPGridRow],72),0))</f>
        <v/>
      </c>
      <c r="BU98">
        <f>SUMPRODUCT((M_BOM[RM_Code]=$A98)*M_BOM[RM_Qty_Per_Batch]*IFERROR(INDEX(PP_Grid[#Data],M_BOM[PPGridRow],73),0))</f>
        <v/>
      </c>
      <c r="BV98">
        <f>SUMPRODUCT((M_BOM[RM_Code]=$A98)*M_BOM[RM_Qty_Per_Batch]*IFERROR(INDEX(PP_Grid[#Data],M_BOM[PPGridRow],74),0))</f>
        <v/>
      </c>
      <c r="BW98">
        <f>SUMPRODUCT((M_BOM[RM_Code]=$A98)*M_BOM[RM_Qty_Per_Batch]*IFERROR(INDEX(PP_Grid[#Data],M_BOM[PPGridRow],75),0))</f>
        <v/>
      </c>
      <c r="BX98">
        <f>SUMPRODUCT((M_BOM[RM_Code]=$A98)*M_BOM[RM_Qty_Per_Batch]*IFERROR(INDEX(PP_Grid[#Data],M_BOM[PPGridRow],76),0))</f>
        <v/>
      </c>
      <c r="BY98">
        <f>SUMPRODUCT((M_BOM[RM_Code]=$A98)*M_BOM[RM_Qty_Per_Batch]*IFERROR(INDEX(PP_Grid[#Data],M_BOM[PPGridRow],77),0))</f>
        <v/>
      </c>
      <c r="BZ98">
        <f>SUMPRODUCT((M_BOM[RM_Code]=$A98)*M_BOM[RM_Qty_Per_Batch]*IFERROR(INDEX(PP_Grid[#Data],M_BOM[PPGridRow],78),0))</f>
        <v/>
      </c>
      <c r="CA98">
        <f>SUMPRODUCT((M_BOM[RM_Code]=$A98)*M_BOM[RM_Qty_Per_Batch]*IFERROR(INDEX(PP_Grid[#Data],M_BOM[PPGridRow],79),0))</f>
        <v/>
      </c>
      <c r="CB98">
        <f>SUMPRODUCT((M_BOM[RM_Code]=$A98)*M_BOM[RM_Qty_Per_Batch]*IFERROR(INDEX(PP_Grid[#Data],M_BOM[PPGridRow],80),0))</f>
        <v/>
      </c>
      <c r="CC98">
        <f>SUMPRODUCT((M_BOM[RM_Code]=$A98)*M_BOM[RM_Qty_Per_Batch]*IFERROR(INDEX(PP_Grid[#Data],M_BOM[PPGridRow],81),0))</f>
        <v/>
      </c>
      <c r="CD98">
        <f>SUMPRODUCT((M_BOM[RM_Code]=$A98)*M_BOM[RM_Qty_Per_Batch]*IFERROR(INDEX(PP_Grid[#Data],M_BOM[PPGridRow],82),0))</f>
        <v/>
      </c>
      <c r="CE98">
        <f>SUMPRODUCT((M_BOM[RM_Code]=$A98)*M_BOM[RM_Qty_Per_Batch]*IFERROR(INDEX(PP_Grid[#Data],M_BOM[PPGridRow],83),0))</f>
        <v/>
      </c>
      <c r="CF98">
        <f>SUMPRODUCT((M_BOM[RM_Code]=$A98)*M_BOM[RM_Qty_Per_Batch]*IFERROR(INDEX(PP_Grid[#Data],M_BOM[PPGridRow],84),0))</f>
        <v/>
      </c>
      <c r="CG98">
        <f>SUMPRODUCT((M_BOM[RM_Code]=$A98)*M_BOM[RM_Qty_Per_Batch]*IFERROR(INDEX(PP_Grid[#Data],M_BOM[PPGridRow],85),0))</f>
        <v/>
      </c>
      <c r="CH98">
        <f>SUMPRODUCT((M_BOM[RM_Code]=$A98)*M_BOM[RM_Qty_Per_Batch]*IFERROR(INDEX(PP_Grid[#Data],M_BOM[PPGridRow],86),0))</f>
        <v/>
      </c>
      <c r="CI98">
        <f>SUMPRODUCT((M_BOM[RM_Code]=$A98)*M_BOM[RM_Qty_Per_Batch]*IFERROR(INDEX(PP_Grid[#Data],M_BOM[PPGridRow],87),0))</f>
        <v/>
      </c>
      <c r="CJ98">
        <f>SUMPRODUCT((M_BOM[RM_Code]=$A98)*M_BOM[RM_Qty_Per_Batch]*IFERROR(INDEX(PP_Grid[#Data],M_BOM[PPGridRow],88),0))</f>
        <v/>
      </c>
      <c r="CK98">
        <f>SUMPRODUCT((M_BOM[RM_Code]=$A98)*M_BOM[RM_Qty_Per_Batch]*IFERROR(INDEX(PP_Grid[#Data],M_BOM[PPGridRow],89),0))</f>
        <v/>
      </c>
      <c r="CL98">
        <f>SUMPRODUCT((M_BOM[RM_Code]=$A98)*M_BOM[RM_Qty_Per_Batch]*IFERROR(INDEX(PP_Grid[#Data],M_BOM[PPGridRow],90),0))</f>
        <v/>
      </c>
      <c r="CM98">
        <f>SUMPRODUCT((M_BOM[RM_Code]=$A98)*M_BOM[RM_Qty_Per_Batch]*IFERROR(INDEX(PP_Grid[#Data],M_BOM[PPGridRow],91),0))</f>
        <v/>
      </c>
      <c r="CN98">
        <f>SUMPRODUCT((M_BOM[RM_Code]=$A98)*M_BOM[RM_Qty_Per_Batch]*IFERROR(INDEX(PP_Grid[#Data],M_BOM[PPGridRow],92),0))</f>
        <v/>
      </c>
      <c r="CO98">
        <f>SUMPRODUCT((M_BOM[RM_Code]=$A98)*M_BOM[RM_Qty_Per_Batch]*IFERROR(INDEX(PP_Grid[#Data],M_BOM[PPGridRow],93),0))</f>
        <v/>
      </c>
      <c r="CP98">
        <f>SUMPRODUCT((M_BOM[RM_Code]=$A98)*M_BOM[RM_Qty_Per_Batch]*IFERROR(INDEX(PP_Grid[#Data],M_BOM[PPGridRow],94),0))</f>
        <v/>
      </c>
      <c r="CQ98">
        <f>SUMPRODUCT((M_BOM[RM_Code]=$A98)*M_BOM[RM_Qty_Per_Batch]*IFERROR(INDEX(PP_Grid[#Data],M_BOM[PPGridRow],95),0))</f>
        <v/>
      </c>
      <c r="CR98">
        <f>SUMPRODUCT((M_BOM[RM_Code]=$A98)*M_BOM[RM_Qty_Per_Batch]*IFERROR(INDEX(PP_Grid[#Data],M_BOM[PPGridRow],96),0))</f>
        <v/>
      </c>
      <c r="CS98">
        <f>SUMPRODUCT((M_BOM[RM_Code]=$A98)*M_BOM[RM_Qty_Per_Batch]*IFERROR(INDEX(PP_Grid[#Data],M_BOM[PPGridRow],97),0))</f>
        <v/>
      </c>
      <c r="CT98">
        <f>SUMPRODUCT((M_BOM[RM_Code]=$A98)*M_BOM[RM_Qty_Per_Batch]*IFERROR(INDEX(PP_Grid[#Data],M_BOM[PPGridRow],98),0))</f>
        <v/>
      </c>
      <c r="CU98">
        <f>SUMPRODUCT((M_BOM[RM_Code]=$A98)*M_BOM[RM_Qty_Per_Batch]*IFERROR(INDEX(PP_Grid[#Data],M_BOM[PPGridRow],99),0))</f>
        <v/>
      </c>
      <c r="CV98">
        <f>SUMPRODUCT((M_BOM[RM_Code]=$A98)*M_BOM[RM_Qty_Per_Batch]*IFERROR(INDEX(PP_Grid[#Data],M_BOM[PPGridRow],100),0))</f>
        <v/>
      </c>
      <c r="CW98">
        <f>SUMPRODUCT((M_BOM[RM_Code]=$A98)*M_BOM[RM_Qty_Per_Batch]*IFERROR(INDEX(PP_Grid[#Data],M_BOM[PPGridRow],101),0))</f>
        <v/>
      </c>
      <c r="CX98">
        <f>SUMPRODUCT((M_BOM[RM_Code]=$A98)*M_BOM[RM_Qty_Per_Batch]*IFERROR(INDEX(PP_Grid[#Data],M_BOM[PPGridRow],102),0))</f>
        <v/>
      </c>
      <c r="CY98">
        <f>SUMPRODUCT((M_BOM[RM_Code]=$A98)*M_BOM[RM_Qty_Per_Batch]*IFERROR(INDEX(PP_Grid[#Data],M_BOM[PPGridRow],103),0))</f>
        <v/>
      </c>
      <c r="CZ98">
        <f>SUMPRODUCT((M_BOM[RM_Code]=$A98)*M_BOM[RM_Qty_Per_Batch]*IFERROR(INDEX(PP_Grid[#Data],M_BOM[PPGridRow],104),0))</f>
        <v/>
      </c>
      <c r="DA98">
        <f>SUMPRODUCT((M_BOM[RM_Code]=$A98)*M_BOM[RM_Qty_Per_Batch]*IFERROR(INDEX(PP_Grid[#Data],M_BOM[PPGridRow],105),0))</f>
        <v/>
      </c>
    </row>
    <row r="99">
      <c r="A99" t="inlineStr">
        <is>
          <t>CHEM-1190</t>
        </is>
      </c>
      <c r="B99">
        <f>SUMPRODUCT((M_BOM[RM_Code]=$A99)*M_BOM[RM_Qty_Per_Batch]*IFERROR(INDEX(PP_Grid[#Data],M_BOM[PPGridRow],2),0))</f>
        <v/>
      </c>
      <c r="C99">
        <f>SUMPRODUCT((M_BOM[RM_Code]=$A99)*M_BOM[RM_Qty_Per_Batch]*IFERROR(INDEX(PP_Grid[#Data],M_BOM[PPGridRow],3),0))</f>
        <v/>
      </c>
      <c r="D99">
        <f>SUMPRODUCT((M_BOM[RM_Code]=$A99)*M_BOM[RM_Qty_Per_Batch]*IFERROR(INDEX(PP_Grid[#Data],M_BOM[PPGridRow],4),0))</f>
        <v/>
      </c>
      <c r="E99">
        <f>SUMPRODUCT((M_BOM[RM_Code]=$A99)*M_BOM[RM_Qty_Per_Batch]*IFERROR(INDEX(PP_Grid[#Data],M_BOM[PPGridRow],5),0))</f>
        <v/>
      </c>
      <c r="F99">
        <f>SUMPRODUCT((M_BOM[RM_Code]=$A99)*M_BOM[RM_Qty_Per_Batch]*IFERROR(INDEX(PP_Grid[#Data],M_BOM[PPGridRow],6),0))</f>
        <v/>
      </c>
      <c r="G99">
        <f>SUMPRODUCT((M_BOM[RM_Code]=$A99)*M_BOM[RM_Qty_Per_Batch]*IFERROR(INDEX(PP_Grid[#Data],M_BOM[PPGridRow],7),0))</f>
        <v/>
      </c>
      <c r="H99">
        <f>SUMPRODUCT((M_BOM[RM_Code]=$A99)*M_BOM[RM_Qty_Per_Batch]*IFERROR(INDEX(PP_Grid[#Data],M_BOM[PPGridRow],8),0))</f>
        <v/>
      </c>
      <c r="I99">
        <f>SUMPRODUCT((M_BOM[RM_Code]=$A99)*M_BOM[RM_Qty_Per_Batch]*IFERROR(INDEX(PP_Grid[#Data],M_BOM[PPGridRow],9),0))</f>
        <v/>
      </c>
      <c r="J99">
        <f>SUMPRODUCT((M_BOM[RM_Code]=$A99)*M_BOM[RM_Qty_Per_Batch]*IFERROR(INDEX(PP_Grid[#Data],M_BOM[PPGridRow],10),0))</f>
        <v/>
      </c>
      <c r="K99">
        <f>SUMPRODUCT((M_BOM[RM_Code]=$A99)*M_BOM[RM_Qty_Per_Batch]*IFERROR(INDEX(PP_Grid[#Data],M_BOM[PPGridRow],11),0))</f>
        <v/>
      </c>
      <c r="L99">
        <f>SUMPRODUCT((M_BOM[RM_Code]=$A99)*M_BOM[RM_Qty_Per_Batch]*IFERROR(INDEX(PP_Grid[#Data],M_BOM[PPGridRow],12),0))</f>
        <v/>
      </c>
      <c r="M99">
        <f>SUMPRODUCT((M_BOM[RM_Code]=$A99)*M_BOM[RM_Qty_Per_Batch]*IFERROR(INDEX(PP_Grid[#Data],M_BOM[PPGridRow],13),0))</f>
        <v/>
      </c>
      <c r="N99">
        <f>SUMPRODUCT((M_BOM[RM_Code]=$A99)*M_BOM[RM_Qty_Per_Batch]*IFERROR(INDEX(PP_Grid[#Data],M_BOM[PPGridRow],14),0))</f>
        <v/>
      </c>
      <c r="O99">
        <f>SUMPRODUCT((M_BOM[RM_Code]=$A99)*M_BOM[RM_Qty_Per_Batch]*IFERROR(INDEX(PP_Grid[#Data],M_BOM[PPGridRow],15),0))</f>
        <v/>
      </c>
      <c r="P99">
        <f>SUMPRODUCT((M_BOM[RM_Code]=$A99)*M_BOM[RM_Qty_Per_Batch]*IFERROR(INDEX(PP_Grid[#Data],M_BOM[PPGridRow],16),0))</f>
        <v/>
      </c>
      <c r="Q99">
        <f>SUMPRODUCT((M_BOM[RM_Code]=$A99)*M_BOM[RM_Qty_Per_Batch]*IFERROR(INDEX(PP_Grid[#Data],M_BOM[PPGridRow],17),0))</f>
        <v/>
      </c>
      <c r="R99">
        <f>SUMPRODUCT((M_BOM[RM_Code]=$A99)*M_BOM[RM_Qty_Per_Batch]*IFERROR(INDEX(PP_Grid[#Data],M_BOM[PPGridRow],18),0))</f>
        <v/>
      </c>
      <c r="S99">
        <f>SUMPRODUCT((M_BOM[RM_Code]=$A99)*M_BOM[RM_Qty_Per_Batch]*IFERROR(INDEX(PP_Grid[#Data],M_BOM[PPGridRow],19),0))</f>
        <v/>
      </c>
      <c r="T99">
        <f>SUMPRODUCT((M_BOM[RM_Code]=$A99)*M_BOM[RM_Qty_Per_Batch]*IFERROR(INDEX(PP_Grid[#Data],M_BOM[PPGridRow],20),0))</f>
        <v/>
      </c>
      <c r="U99">
        <f>SUMPRODUCT((M_BOM[RM_Code]=$A99)*M_BOM[RM_Qty_Per_Batch]*IFERROR(INDEX(PP_Grid[#Data],M_BOM[PPGridRow],21),0))</f>
        <v/>
      </c>
      <c r="V99">
        <f>SUMPRODUCT((M_BOM[RM_Code]=$A99)*M_BOM[RM_Qty_Per_Batch]*IFERROR(INDEX(PP_Grid[#Data],M_BOM[PPGridRow],22),0))</f>
        <v/>
      </c>
      <c r="W99">
        <f>SUMPRODUCT((M_BOM[RM_Code]=$A99)*M_BOM[RM_Qty_Per_Batch]*IFERROR(INDEX(PP_Grid[#Data],M_BOM[PPGridRow],23),0))</f>
        <v/>
      </c>
      <c r="X99">
        <f>SUMPRODUCT((M_BOM[RM_Code]=$A99)*M_BOM[RM_Qty_Per_Batch]*IFERROR(INDEX(PP_Grid[#Data],M_BOM[PPGridRow],24),0))</f>
        <v/>
      </c>
      <c r="Y99">
        <f>SUMPRODUCT((M_BOM[RM_Code]=$A99)*M_BOM[RM_Qty_Per_Batch]*IFERROR(INDEX(PP_Grid[#Data],M_BOM[PPGridRow],25),0))</f>
        <v/>
      </c>
      <c r="Z99">
        <f>SUMPRODUCT((M_BOM[RM_Code]=$A99)*M_BOM[RM_Qty_Per_Batch]*IFERROR(INDEX(PP_Grid[#Data],M_BOM[PPGridRow],26),0))</f>
        <v/>
      </c>
      <c r="AA99">
        <f>SUMPRODUCT((M_BOM[RM_Code]=$A99)*M_BOM[RM_Qty_Per_Batch]*IFERROR(INDEX(PP_Grid[#Data],M_BOM[PPGridRow],27),0))</f>
        <v/>
      </c>
      <c r="AB99">
        <f>SUMPRODUCT((M_BOM[RM_Code]=$A99)*M_BOM[RM_Qty_Per_Batch]*IFERROR(INDEX(PP_Grid[#Data],M_BOM[PPGridRow],28),0))</f>
        <v/>
      </c>
      <c r="AC99">
        <f>SUMPRODUCT((M_BOM[RM_Code]=$A99)*M_BOM[RM_Qty_Per_Batch]*IFERROR(INDEX(PP_Grid[#Data],M_BOM[PPGridRow],29),0))</f>
        <v/>
      </c>
      <c r="AD99">
        <f>SUMPRODUCT((M_BOM[RM_Code]=$A99)*M_BOM[RM_Qty_Per_Batch]*IFERROR(INDEX(PP_Grid[#Data],M_BOM[PPGridRow],30),0))</f>
        <v/>
      </c>
      <c r="AE99">
        <f>SUMPRODUCT((M_BOM[RM_Code]=$A99)*M_BOM[RM_Qty_Per_Batch]*IFERROR(INDEX(PP_Grid[#Data],M_BOM[PPGridRow],31),0))</f>
        <v/>
      </c>
      <c r="AF99">
        <f>SUMPRODUCT((M_BOM[RM_Code]=$A99)*M_BOM[RM_Qty_Per_Batch]*IFERROR(INDEX(PP_Grid[#Data],M_BOM[PPGridRow],32),0))</f>
        <v/>
      </c>
      <c r="AG99">
        <f>SUMPRODUCT((M_BOM[RM_Code]=$A99)*M_BOM[RM_Qty_Per_Batch]*IFERROR(INDEX(PP_Grid[#Data],M_BOM[PPGridRow],33),0))</f>
        <v/>
      </c>
      <c r="AH99">
        <f>SUMPRODUCT((M_BOM[RM_Code]=$A99)*M_BOM[RM_Qty_Per_Batch]*IFERROR(INDEX(PP_Grid[#Data],M_BOM[PPGridRow],34),0))</f>
        <v/>
      </c>
      <c r="AI99">
        <f>SUMPRODUCT((M_BOM[RM_Code]=$A99)*M_BOM[RM_Qty_Per_Batch]*IFERROR(INDEX(PP_Grid[#Data],M_BOM[PPGridRow],35),0))</f>
        <v/>
      </c>
      <c r="AJ99">
        <f>SUMPRODUCT((M_BOM[RM_Code]=$A99)*M_BOM[RM_Qty_Per_Batch]*IFERROR(INDEX(PP_Grid[#Data],M_BOM[PPGridRow],36),0))</f>
        <v/>
      </c>
      <c r="AK99">
        <f>SUMPRODUCT((M_BOM[RM_Code]=$A99)*M_BOM[RM_Qty_Per_Batch]*IFERROR(INDEX(PP_Grid[#Data],M_BOM[PPGridRow],37),0))</f>
        <v/>
      </c>
      <c r="AL99">
        <f>SUMPRODUCT((M_BOM[RM_Code]=$A99)*M_BOM[RM_Qty_Per_Batch]*IFERROR(INDEX(PP_Grid[#Data],M_BOM[PPGridRow],38),0))</f>
        <v/>
      </c>
      <c r="AM99">
        <f>SUMPRODUCT((M_BOM[RM_Code]=$A99)*M_BOM[RM_Qty_Per_Batch]*IFERROR(INDEX(PP_Grid[#Data],M_BOM[PPGridRow],39),0))</f>
        <v/>
      </c>
      <c r="AN99">
        <f>SUMPRODUCT((M_BOM[RM_Code]=$A99)*M_BOM[RM_Qty_Per_Batch]*IFERROR(INDEX(PP_Grid[#Data],M_BOM[PPGridRow],40),0))</f>
        <v/>
      </c>
      <c r="AO99">
        <f>SUMPRODUCT((M_BOM[RM_Code]=$A99)*M_BOM[RM_Qty_Per_Batch]*IFERROR(INDEX(PP_Grid[#Data],M_BOM[PPGridRow],41),0))</f>
        <v/>
      </c>
      <c r="AP99">
        <f>SUMPRODUCT((M_BOM[RM_Code]=$A99)*M_BOM[RM_Qty_Per_Batch]*IFERROR(INDEX(PP_Grid[#Data],M_BOM[PPGridRow],42),0))</f>
        <v/>
      </c>
      <c r="AQ99">
        <f>SUMPRODUCT((M_BOM[RM_Code]=$A99)*M_BOM[RM_Qty_Per_Batch]*IFERROR(INDEX(PP_Grid[#Data],M_BOM[PPGridRow],43),0))</f>
        <v/>
      </c>
      <c r="AR99">
        <f>SUMPRODUCT((M_BOM[RM_Code]=$A99)*M_BOM[RM_Qty_Per_Batch]*IFERROR(INDEX(PP_Grid[#Data],M_BOM[PPGridRow],44),0))</f>
        <v/>
      </c>
      <c r="AS99">
        <f>SUMPRODUCT((M_BOM[RM_Code]=$A99)*M_BOM[RM_Qty_Per_Batch]*IFERROR(INDEX(PP_Grid[#Data],M_BOM[PPGridRow],45),0))</f>
        <v/>
      </c>
      <c r="AT99">
        <f>SUMPRODUCT((M_BOM[RM_Code]=$A99)*M_BOM[RM_Qty_Per_Batch]*IFERROR(INDEX(PP_Grid[#Data],M_BOM[PPGridRow],46),0))</f>
        <v/>
      </c>
      <c r="AU99">
        <f>SUMPRODUCT((M_BOM[RM_Code]=$A99)*M_BOM[RM_Qty_Per_Batch]*IFERROR(INDEX(PP_Grid[#Data],M_BOM[PPGridRow],47),0))</f>
        <v/>
      </c>
      <c r="AV99">
        <f>SUMPRODUCT((M_BOM[RM_Code]=$A99)*M_BOM[RM_Qty_Per_Batch]*IFERROR(INDEX(PP_Grid[#Data],M_BOM[PPGridRow],48),0))</f>
        <v/>
      </c>
      <c r="AW99">
        <f>SUMPRODUCT((M_BOM[RM_Code]=$A99)*M_BOM[RM_Qty_Per_Batch]*IFERROR(INDEX(PP_Grid[#Data],M_BOM[PPGridRow],49),0))</f>
        <v/>
      </c>
      <c r="AX99">
        <f>SUMPRODUCT((M_BOM[RM_Code]=$A99)*M_BOM[RM_Qty_Per_Batch]*IFERROR(INDEX(PP_Grid[#Data],M_BOM[PPGridRow],50),0))</f>
        <v/>
      </c>
      <c r="AY99">
        <f>SUMPRODUCT((M_BOM[RM_Code]=$A99)*M_BOM[RM_Qty_Per_Batch]*IFERROR(INDEX(PP_Grid[#Data],M_BOM[PPGridRow],51),0))</f>
        <v/>
      </c>
      <c r="AZ99">
        <f>SUMPRODUCT((M_BOM[RM_Code]=$A99)*M_BOM[RM_Qty_Per_Batch]*IFERROR(INDEX(PP_Grid[#Data],M_BOM[PPGridRow],52),0))</f>
        <v/>
      </c>
      <c r="BA99">
        <f>SUMPRODUCT((M_BOM[RM_Code]=$A99)*M_BOM[RM_Qty_Per_Batch]*IFERROR(INDEX(PP_Grid[#Data],M_BOM[PPGridRow],53),0))</f>
        <v/>
      </c>
      <c r="BB99">
        <f>SUMPRODUCT((M_BOM[RM_Code]=$A99)*M_BOM[RM_Qty_Per_Batch]*IFERROR(INDEX(PP_Grid[#Data],M_BOM[PPGridRow],54),0))</f>
        <v/>
      </c>
      <c r="BC99">
        <f>SUMPRODUCT((M_BOM[RM_Code]=$A99)*M_BOM[RM_Qty_Per_Batch]*IFERROR(INDEX(PP_Grid[#Data],M_BOM[PPGridRow],55),0))</f>
        <v/>
      </c>
      <c r="BD99">
        <f>SUMPRODUCT((M_BOM[RM_Code]=$A99)*M_BOM[RM_Qty_Per_Batch]*IFERROR(INDEX(PP_Grid[#Data],M_BOM[PPGridRow],56),0))</f>
        <v/>
      </c>
      <c r="BE99">
        <f>SUMPRODUCT((M_BOM[RM_Code]=$A99)*M_BOM[RM_Qty_Per_Batch]*IFERROR(INDEX(PP_Grid[#Data],M_BOM[PPGridRow],57),0))</f>
        <v/>
      </c>
      <c r="BF99">
        <f>SUMPRODUCT((M_BOM[RM_Code]=$A99)*M_BOM[RM_Qty_Per_Batch]*IFERROR(INDEX(PP_Grid[#Data],M_BOM[PPGridRow],58),0))</f>
        <v/>
      </c>
      <c r="BG99">
        <f>SUMPRODUCT((M_BOM[RM_Code]=$A99)*M_BOM[RM_Qty_Per_Batch]*IFERROR(INDEX(PP_Grid[#Data],M_BOM[PPGridRow],59),0))</f>
        <v/>
      </c>
      <c r="BH99">
        <f>SUMPRODUCT((M_BOM[RM_Code]=$A99)*M_BOM[RM_Qty_Per_Batch]*IFERROR(INDEX(PP_Grid[#Data],M_BOM[PPGridRow],60),0))</f>
        <v/>
      </c>
      <c r="BI99">
        <f>SUMPRODUCT((M_BOM[RM_Code]=$A99)*M_BOM[RM_Qty_Per_Batch]*IFERROR(INDEX(PP_Grid[#Data],M_BOM[PPGridRow],61),0))</f>
        <v/>
      </c>
      <c r="BJ99">
        <f>SUMPRODUCT((M_BOM[RM_Code]=$A99)*M_BOM[RM_Qty_Per_Batch]*IFERROR(INDEX(PP_Grid[#Data],M_BOM[PPGridRow],62),0))</f>
        <v/>
      </c>
      <c r="BK99">
        <f>SUMPRODUCT((M_BOM[RM_Code]=$A99)*M_BOM[RM_Qty_Per_Batch]*IFERROR(INDEX(PP_Grid[#Data],M_BOM[PPGridRow],63),0))</f>
        <v/>
      </c>
      <c r="BL99">
        <f>SUMPRODUCT((M_BOM[RM_Code]=$A99)*M_BOM[RM_Qty_Per_Batch]*IFERROR(INDEX(PP_Grid[#Data],M_BOM[PPGridRow],64),0))</f>
        <v/>
      </c>
      <c r="BM99">
        <f>SUMPRODUCT((M_BOM[RM_Code]=$A99)*M_BOM[RM_Qty_Per_Batch]*IFERROR(INDEX(PP_Grid[#Data],M_BOM[PPGridRow],65),0))</f>
        <v/>
      </c>
      <c r="BN99">
        <f>SUMPRODUCT((M_BOM[RM_Code]=$A99)*M_BOM[RM_Qty_Per_Batch]*IFERROR(INDEX(PP_Grid[#Data],M_BOM[PPGridRow],66),0))</f>
        <v/>
      </c>
      <c r="BO99">
        <f>SUMPRODUCT((M_BOM[RM_Code]=$A99)*M_BOM[RM_Qty_Per_Batch]*IFERROR(INDEX(PP_Grid[#Data],M_BOM[PPGridRow],67),0))</f>
        <v/>
      </c>
      <c r="BP99">
        <f>SUMPRODUCT((M_BOM[RM_Code]=$A99)*M_BOM[RM_Qty_Per_Batch]*IFERROR(INDEX(PP_Grid[#Data],M_BOM[PPGridRow],68),0))</f>
        <v/>
      </c>
      <c r="BQ99">
        <f>SUMPRODUCT((M_BOM[RM_Code]=$A99)*M_BOM[RM_Qty_Per_Batch]*IFERROR(INDEX(PP_Grid[#Data],M_BOM[PPGridRow],69),0))</f>
        <v/>
      </c>
      <c r="BR99">
        <f>SUMPRODUCT((M_BOM[RM_Code]=$A99)*M_BOM[RM_Qty_Per_Batch]*IFERROR(INDEX(PP_Grid[#Data],M_BOM[PPGridRow],70),0))</f>
        <v/>
      </c>
      <c r="BS99">
        <f>SUMPRODUCT((M_BOM[RM_Code]=$A99)*M_BOM[RM_Qty_Per_Batch]*IFERROR(INDEX(PP_Grid[#Data],M_BOM[PPGridRow],71),0))</f>
        <v/>
      </c>
      <c r="BT99">
        <f>SUMPRODUCT((M_BOM[RM_Code]=$A99)*M_BOM[RM_Qty_Per_Batch]*IFERROR(INDEX(PP_Grid[#Data],M_BOM[PPGridRow],72),0))</f>
        <v/>
      </c>
      <c r="BU99">
        <f>SUMPRODUCT((M_BOM[RM_Code]=$A99)*M_BOM[RM_Qty_Per_Batch]*IFERROR(INDEX(PP_Grid[#Data],M_BOM[PPGridRow],73),0))</f>
        <v/>
      </c>
      <c r="BV99">
        <f>SUMPRODUCT((M_BOM[RM_Code]=$A99)*M_BOM[RM_Qty_Per_Batch]*IFERROR(INDEX(PP_Grid[#Data],M_BOM[PPGridRow],74),0))</f>
        <v/>
      </c>
      <c r="BW99">
        <f>SUMPRODUCT((M_BOM[RM_Code]=$A99)*M_BOM[RM_Qty_Per_Batch]*IFERROR(INDEX(PP_Grid[#Data],M_BOM[PPGridRow],75),0))</f>
        <v/>
      </c>
      <c r="BX99">
        <f>SUMPRODUCT((M_BOM[RM_Code]=$A99)*M_BOM[RM_Qty_Per_Batch]*IFERROR(INDEX(PP_Grid[#Data],M_BOM[PPGridRow],76),0))</f>
        <v/>
      </c>
      <c r="BY99">
        <f>SUMPRODUCT((M_BOM[RM_Code]=$A99)*M_BOM[RM_Qty_Per_Batch]*IFERROR(INDEX(PP_Grid[#Data],M_BOM[PPGridRow],77),0))</f>
        <v/>
      </c>
      <c r="BZ99">
        <f>SUMPRODUCT((M_BOM[RM_Code]=$A99)*M_BOM[RM_Qty_Per_Batch]*IFERROR(INDEX(PP_Grid[#Data],M_BOM[PPGridRow],78),0))</f>
        <v/>
      </c>
      <c r="CA99">
        <f>SUMPRODUCT((M_BOM[RM_Code]=$A99)*M_BOM[RM_Qty_Per_Batch]*IFERROR(INDEX(PP_Grid[#Data],M_BOM[PPGridRow],79),0))</f>
        <v/>
      </c>
      <c r="CB99">
        <f>SUMPRODUCT((M_BOM[RM_Code]=$A99)*M_BOM[RM_Qty_Per_Batch]*IFERROR(INDEX(PP_Grid[#Data],M_BOM[PPGridRow],80),0))</f>
        <v/>
      </c>
      <c r="CC99">
        <f>SUMPRODUCT((M_BOM[RM_Code]=$A99)*M_BOM[RM_Qty_Per_Batch]*IFERROR(INDEX(PP_Grid[#Data],M_BOM[PPGridRow],81),0))</f>
        <v/>
      </c>
      <c r="CD99">
        <f>SUMPRODUCT((M_BOM[RM_Code]=$A99)*M_BOM[RM_Qty_Per_Batch]*IFERROR(INDEX(PP_Grid[#Data],M_BOM[PPGridRow],82),0))</f>
        <v/>
      </c>
      <c r="CE99">
        <f>SUMPRODUCT((M_BOM[RM_Code]=$A99)*M_BOM[RM_Qty_Per_Batch]*IFERROR(INDEX(PP_Grid[#Data],M_BOM[PPGridRow],83),0))</f>
        <v/>
      </c>
      <c r="CF99">
        <f>SUMPRODUCT((M_BOM[RM_Code]=$A99)*M_BOM[RM_Qty_Per_Batch]*IFERROR(INDEX(PP_Grid[#Data],M_BOM[PPGridRow],84),0))</f>
        <v/>
      </c>
      <c r="CG99">
        <f>SUMPRODUCT((M_BOM[RM_Code]=$A99)*M_BOM[RM_Qty_Per_Batch]*IFERROR(INDEX(PP_Grid[#Data],M_BOM[PPGridRow],85),0))</f>
        <v/>
      </c>
      <c r="CH99">
        <f>SUMPRODUCT((M_BOM[RM_Code]=$A99)*M_BOM[RM_Qty_Per_Batch]*IFERROR(INDEX(PP_Grid[#Data],M_BOM[PPGridRow],86),0))</f>
        <v/>
      </c>
      <c r="CI99">
        <f>SUMPRODUCT((M_BOM[RM_Code]=$A99)*M_BOM[RM_Qty_Per_Batch]*IFERROR(INDEX(PP_Grid[#Data],M_BOM[PPGridRow],87),0))</f>
        <v/>
      </c>
      <c r="CJ99">
        <f>SUMPRODUCT((M_BOM[RM_Code]=$A99)*M_BOM[RM_Qty_Per_Batch]*IFERROR(INDEX(PP_Grid[#Data],M_BOM[PPGridRow],88),0))</f>
        <v/>
      </c>
      <c r="CK99">
        <f>SUMPRODUCT((M_BOM[RM_Code]=$A99)*M_BOM[RM_Qty_Per_Batch]*IFERROR(INDEX(PP_Grid[#Data],M_BOM[PPGridRow],89),0))</f>
        <v/>
      </c>
      <c r="CL99">
        <f>SUMPRODUCT((M_BOM[RM_Code]=$A99)*M_BOM[RM_Qty_Per_Batch]*IFERROR(INDEX(PP_Grid[#Data],M_BOM[PPGridRow],90),0))</f>
        <v/>
      </c>
      <c r="CM99">
        <f>SUMPRODUCT((M_BOM[RM_Code]=$A99)*M_BOM[RM_Qty_Per_Batch]*IFERROR(INDEX(PP_Grid[#Data],M_BOM[PPGridRow],91),0))</f>
        <v/>
      </c>
      <c r="CN99">
        <f>SUMPRODUCT((M_BOM[RM_Code]=$A99)*M_BOM[RM_Qty_Per_Batch]*IFERROR(INDEX(PP_Grid[#Data],M_BOM[PPGridRow],92),0))</f>
        <v/>
      </c>
      <c r="CO99">
        <f>SUMPRODUCT((M_BOM[RM_Code]=$A99)*M_BOM[RM_Qty_Per_Batch]*IFERROR(INDEX(PP_Grid[#Data],M_BOM[PPGridRow],93),0))</f>
        <v/>
      </c>
      <c r="CP99">
        <f>SUMPRODUCT((M_BOM[RM_Code]=$A99)*M_BOM[RM_Qty_Per_Batch]*IFERROR(INDEX(PP_Grid[#Data],M_BOM[PPGridRow],94),0))</f>
        <v/>
      </c>
      <c r="CQ99">
        <f>SUMPRODUCT((M_BOM[RM_Code]=$A99)*M_BOM[RM_Qty_Per_Batch]*IFERROR(INDEX(PP_Grid[#Data],M_BOM[PPGridRow],95),0))</f>
        <v/>
      </c>
      <c r="CR99">
        <f>SUMPRODUCT((M_BOM[RM_Code]=$A99)*M_BOM[RM_Qty_Per_Batch]*IFERROR(INDEX(PP_Grid[#Data],M_BOM[PPGridRow],96),0))</f>
        <v/>
      </c>
      <c r="CS99">
        <f>SUMPRODUCT((M_BOM[RM_Code]=$A99)*M_BOM[RM_Qty_Per_Batch]*IFERROR(INDEX(PP_Grid[#Data],M_BOM[PPGridRow],97),0))</f>
        <v/>
      </c>
      <c r="CT99">
        <f>SUMPRODUCT((M_BOM[RM_Code]=$A99)*M_BOM[RM_Qty_Per_Batch]*IFERROR(INDEX(PP_Grid[#Data],M_BOM[PPGridRow],98),0))</f>
        <v/>
      </c>
      <c r="CU99">
        <f>SUMPRODUCT((M_BOM[RM_Code]=$A99)*M_BOM[RM_Qty_Per_Batch]*IFERROR(INDEX(PP_Grid[#Data],M_BOM[PPGridRow],99),0))</f>
        <v/>
      </c>
      <c r="CV99">
        <f>SUMPRODUCT((M_BOM[RM_Code]=$A99)*M_BOM[RM_Qty_Per_Batch]*IFERROR(INDEX(PP_Grid[#Data],M_BOM[PPGridRow],100),0))</f>
        <v/>
      </c>
      <c r="CW99">
        <f>SUMPRODUCT((M_BOM[RM_Code]=$A99)*M_BOM[RM_Qty_Per_Batch]*IFERROR(INDEX(PP_Grid[#Data],M_BOM[PPGridRow],101),0))</f>
        <v/>
      </c>
      <c r="CX99">
        <f>SUMPRODUCT((M_BOM[RM_Code]=$A99)*M_BOM[RM_Qty_Per_Batch]*IFERROR(INDEX(PP_Grid[#Data],M_BOM[PPGridRow],102),0))</f>
        <v/>
      </c>
      <c r="CY99">
        <f>SUMPRODUCT((M_BOM[RM_Code]=$A99)*M_BOM[RM_Qty_Per_Batch]*IFERROR(INDEX(PP_Grid[#Data],M_BOM[PPGridRow],103),0))</f>
        <v/>
      </c>
      <c r="CZ99">
        <f>SUMPRODUCT((M_BOM[RM_Code]=$A99)*M_BOM[RM_Qty_Per_Batch]*IFERROR(INDEX(PP_Grid[#Data],M_BOM[PPGridRow],104),0))</f>
        <v/>
      </c>
      <c r="DA99">
        <f>SUMPRODUCT((M_BOM[RM_Code]=$A99)*M_BOM[RM_Qty_Per_Batch]*IFERROR(INDEX(PP_Grid[#Data],M_BOM[PPGridRow],105),0))</f>
        <v/>
      </c>
    </row>
    <row r="100">
      <c r="A100" t="inlineStr">
        <is>
          <t>CHEM-1630</t>
        </is>
      </c>
      <c r="B100">
        <f>SUMPRODUCT((M_BOM[RM_Code]=$A100)*M_BOM[RM_Qty_Per_Batch]*IFERROR(INDEX(PP_Grid[#Data],M_BOM[PPGridRow],2),0))</f>
        <v/>
      </c>
      <c r="C100">
        <f>SUMPRODUCT((M_BOM[RM_Code]=$A100)*M_BOM[RM_Qty_Per_Batch]*IFERROR(INDEX(PP_Grid[#Data],M_BOM[PPGridRow],3),0))</f>
        <v/>
      </c>
      <c r="D100">
        <f>SUMPRODUCT((M_BOM[RM_Code]=$A100)*M_BOM[RM_Qty_Per_Batch]*IFERROR(INDEX(PP_Grid[#Data],M_BOM[PPGridRow],4),0))</f>
        <v/>
      </c>
      <c r="E100">
        <f>SUMPRODUCT((M_BOM[RM_Code]=$A100)*M_BOM[RM_Qty_Per_Batch]*IFERROR(INDEX(PP_Grid[#Data],M_BOM[PPGridRow],5),0))</f>
        <v/>
      </c>
      <c r="F100">
        <f>SUMPRODUCT((M_BOM[RM_Code]=$A100)*M_BOM[RM_Qty_Per_Batch]*IFERROR(INDEX(PP_Grid[#Data],M_BOM[PPGridRow],6),0))</f>
        <v/>
      </c>
      <c r="G100">
        <f>SUMPRODUCT((M_BOM[RM_Code]=$A100)*M_BOM[RM_Qty_Per_Batch]*IFERROR(INDEX(PP_Grid[#Data],M_BOM[PPGridRow],7),0))</f>
        <v/>
      </c>
      <c r="H100">
        <f>SUMPRODUCT((M_BOM[RM_Code]=$A100)*M_BOM[RM_Qty_Per_Batch]*IFERROR(INDEX(PP_Grid[#Data],M_BOM[PPGridRow],8),0))</f>
        <v/>
      </c>
      <c r="I100">
        <f>SUMPRODUCT((M_BOM[RM_Code]=$A100)*M_BOM[RM_Qty_Per_Batch]*IFERROR(INDEX(PP_Grid[#Data],M_BOM[PPGridRow],9),0))</f>
        <v/>
      </c>
      <c r="J100">
        <f>SUMPRODUCT((M_BOM[RM_Code]=$A100)*M_BOM[RM_Qty_Per_Batch]*IFERROR(INDEX(PP_Grid[#Data],M_BOM[PPGridRow],10),0))</f>
        <v/>
      </c>
      <c r="K100">
        <f>SUMPRODUCT((M_BOM[RM_Code]=$A100)*M_BOM[RM_Qty_Per_Batch]*IFERROR(INDEX(PP_Grid[#Data],M_BOM[PPGridRow],11),0))</f>
        <v/>
      </c>
      <c r="L100">
        <f>SUMPRODUCT((M_BOM[RM_Code]=$A100)*M_BOM[RM_Qty_Per_Batch]*IFERROR(INDEX(PP_Grid[#Data],M_BOM[PPGridRow],12),0))</f>
        <v/>
      </c>
      <c r="M100">
        <f>SUMPRODUCT((M_BOM[RM_Code]=$A100)*M_BOM[RM_Qty_Per_Batch]*IFERROR(INDEX(PP_Grid[#Data],M_BOM[PPGridRow],13),0))</f>
        <v/>
      </c>
      <c r="N100">
        <f>SUMPRODUCT((M_BOM[RM_Code]=$A100)*M_BOM[RM_Qty_Per_Batch]*IFERROR(INDEX(PP_Grid[#Data],M_BOM[PPGridRow],14),0))</f>
        <v/>
      </c>
      <c r="O100">
        <f>SUMPRODUCT((M_BOM[RM_Code]=$A100)*M_BOM[RM_Qty_Per_Batch]*IFERROR(INDEX(PP_Grid[#Data],M_BOM[PPGridRow],15),0))</f>
        <v/>
      </c>
      <c r="P100">
        <f>SUMPRODUCT((M_BOM[RM_Code]=$A100)*M_BOM[RM_Qty_Per_Batch]*IFERROR(INDEX(PP_Grid[#Data],M_BOM[PPGridRow],16),0))</f>
        <v/>
      </c>
      <c r="Q100">
        <f>SUMPRODUCT((M_BOM[RM_Code]=$A100)*M_BOM[RM_Qty_Per_Batch]*IFERROR(INDEX(PP_Grid[#Data],M_BOM[PPGridRow],17),0))</f>
        <v/>
      </c>
      <c r="R100">
        <f>SUMPRODUCT((M_BOM[RM_Code]=$A100)*M_BOM[RM_Qty_Per_Batch]*IFERROR(INDEX(PP_Grid[#Data],M_BOM[PPGridRow],18),0))</f>
        <v/>
      </c>
      <c r="S100">
        <f>SUMPRODUCT((M_BOM[RM_Code]=$A100)*M_BOM[RM_Qty_Per_Batch]*IFERROR(INDEX(PP_Grid[#Data],M_BOM[PPGridRow],19),0))</f>
        <v/>
      </c>
      <c r="T100">
        <f>SUMPRODUCT((M_BOM[RM_Code]=$A100)*M_BOM[RM_Qty_Per_Batch]*IFERROR(INDEX(PP_Grid[#Data],M_BOM[PPGridRow],20),0))</f>
        <v/>
      </c>
      <c r="U100">
        <f>SUMPRODUCT((M_BOM[RM_Code]=$A100)*M_BOM[RM_Qty_Per_Batch]*IFERROR(INDEX(PP_Grid[#Data],M_BOM[PPGridRow],21),0))</f>
        <v/>
      </c>
      <c r="V100">
        <f>SUMPRODUCT((M_BOM[RM_Code]=$A100)*M_BOM[RM_Qty_Per_Batch]*IFERROR(INDEX(PP_Grid[#Data],M_BOM[PPGridRow],22),0))</f>
        <v/>
      </c>
      <c r="W100">
        <f>SUMPRODUCT((M_BOM[RM_Code]=$A100)*M_BOM[RM_Qty_Per_Batch]*IFERROR(INDEX(PP_Grid[#Data],M_BOM[PPGridRow],23),0))</f>
        <v/>
      </c>
      <c r="X100">
        <f>SUMPRODUCT((M_BOM[RM_Code]=$A100)*M_BOM[RM_Qty_Per_Batch]*IFERROR(INDEX(PP_Grid[#Data],M_BOM[PPGridRow],24),0))</f>
        <v/>
      </c>
      <c r="Y100">
        <f>SUMPRODUCT((M_BOM[RM_Code]=$A100)*M_BOM[RM_Qty_Per_Batch]*IFERROR(INDEX(PP_Grid[#Data],M_BOM[PPGridRow],25),0))</f>
        <v/>
      </c>
      <c r="Z100">
        <f>SUMPRODUCT((M_BOM[RM_Code]=$A100)*M_BOM[RM_Qty_Per_Batch]*IFERROR(INDEX(PP_Grid[#Data],M_BOM[PPGridRow],26),0))</f>
        <v/>
      </c>
      <c r="AA100">
        <f>SUMPRODUCT((M_BOM[RM_Code]=$A100)*M_BOM[RM_Qty_Per_Batch]*IFERROR(INDEX(PP_Grid[#Data],M_BOM[PPGridRow],27),0))</f>
        <v/>
      </c>
      <c r="AB100">
        <f>SUMPRODUCT((M_BOM[RM_Code]=$A100)*M_BOM[RM_Qty_Per_Batch]*IFERROR(INDEX(PP_Grid[#Data],M_BOM[PPGridRow],28),0))</f>
        <v/>
      </c>
      <c r="AC100">
        <f>SUMPRODUCT((M_BOM[RM_Code]=$A100)*M_BOM[RM_Qty_Per_Batch]*IFERROR(INDEX(PP_Grid[#Data],M_BOM[PPGridRow],29),0))</f>
        <v/>
      </c>
      <c r="AD100">
        <f>SUMPRODUCT((M_BOM[RM_Code]=$A100)*M_BOM[RM_Qty_Per_Batch]*IFERROR(INDEX(PP_Grid[#Data],M_BOM[PPGridRow],30),0))</f>
        <v/>
      </c>
      <c r="AE100">
        <f>SUMPRODUCT((M_BOM[RM_Code]=$A100)*M_BOM[RM_Qty_Per_Batch]*IFERROR(INDEX(PP_Grid[#Data],M_BOM[PPGridRow],31),0))</f>
        <v/>
      </c>
      <c r="AF100">
        <f>SUMPRODUCT((M_BOM[RM_Code]=$A100)*M_BOM[RM_Qty_Per_Batch]*IFERROR(INDEX(PP_Grid[#Data],M_BOM[PPGridRow],32),0))</f>
        <v/>
      </c>
      <c r="AG100">
        <f>SUMPRODUCT((M_BOM[RM_Code]=$A100)*M_BOM[RM_Qty_Per_Batch]*IFERROR(INDEX(PP_Grid[#Data],M_BOM[PPGridRow],33),0))</f>
        <v/>
      </c>
      <c r="AH100">
        <f>SUMPRODUCT((M_BOM[RM_Code]=$A100)*M_BOM[RM_Qty_Per_Batch]*IFERROR(INDEX(PP_Grid[#Data],M_BOM[PPGridRow],34),0))</f>
        <v/>
      </c>
      <c r="AI100">
        <f>SUMPRODUCT((M_BOM[RM_Code]=$A100)*M_BOM[RM_Qty_Per_Batch]*IFERROR(INDEX(PP_Grid[#Data],M_BOM[PPGridRow],35),0))</f>
        <v/>
      </c>
      <c r="AJ100">
        <f>SUMPRODUCT((M_BOM[RM_Code]=$A100)*M_BOM[RM_Qty_Per_Batch]*IFERROR(INDEX(PP_Grid[#Data],M_BOM[PPGridRow],36),0))</f>
        <v/>
      </c>
      <c r="AK100">
        <f>SUMPRODUCT((M_BOM[RM_Code]=$A100)*M_BOM[RM_Qty_Per_Batch]*IFERROR(INDEX(PP_Grid[#Data],M_BOM[PPGridRow],37),0))</f>
        <v/>
      </c>
      <c r="AL100">
        <f>SUMPRODUCT((M_BOM[RM_Code]=$A100)*M_BOM[RM_Qty_Per_Batch]*IFERROR(INDEX(PP_Grid[#Data],M_BOM[PPGridRow],38),0))</f>
        <v/>
      </c>
      <c r="AM100">
        <f>SUMPRODUCT((M_BOM[RM_Code]=$A100)*M_BOM[RM_Qty_Per_Batch]*IFERROR(INDEX(PP_Grid[#Data],M_BOM[PPGridRow],39),0))</f>
        <v/>
      </c>
      <c r="AN100">
        <f>SUMPRODUCT((M_BOM[RM_Code]=$A100)*M_BOM[RM_Qty_Per_Batch]*IFERROR(INDEX(PP_Grid[#Data],M_BOM[PPGridRow],40),0))</f>
        <v/>
      </c>
      <c r="AO100">
        <f>SUMPRODUCT((M_BOM[RM_Code]=$A100)*M_BOM[RM_Qty_Per_Batch]*IFERROR(INDEX(PP_Grid[#Data],M_BOM[PPGridRow],41),0))</f>
        <v/>
      </c>
      <c r="AP100">
        <f>SUMPRODUCT((M_BOM[RM_Code]=$A100)*M_BOM[RM_Qty_Per_Batch]*IFERROR(INDEX(PP_Grid[#Data],M_BOM[PPGridRow],42),0))</f>
        <v/>
      </c>
      <c r="AQ100">
        <f>SUMPRODUCT((M_BOM[RM_Code]=$A100)*M_BOM[RM_Qty_Per_Batch]*IFERROR(INDEX(PP_Grid[#Data],M_BOM[PPGridRow],43),0))</f>
        <v/>
      </c>
      <c r="AR100">
        <f>SUMPRODUCT((M_BOM[RM_Code]=$A100)*M_BOM[RM_Qty_Per_Batch]*IFERROR(INDEX(PP_Grid[#Data],M_BOM[PPGridRow],44),0))</f>
        <v/>
      </c>
      <c r="AS100">
        <f>SUMPRODUCT((M_BOM[RM_Code]=$A100)*M_BOM[RM_Qty_Per_Batch]*IFERROR(INDEX(PP_Grid[#Data],M_BOM[PPGridRow],45),0))</f>
        <v/>
      </c>
      <c r="AT100">
        <f>SUMPRODUCT((M_BOM[RM_Code]=$A100)*M_BOM[RM_Qty_Per_Batch]*IFERROR(INDEX(PP_Grid[#Data],M_BOM[PPGridRow],46),0))</f>
        <v/>
      </c>
      <c r="AU100">
        <f>SUMPRODUCT((M_BOM[RM_Code]=$A100)*M_BOM[RM_Qty_Per_Batch]*IFERROR(INDEX(PP_Grid[#Data],M_BOM[PPGridRow],47),0))</f>
        <v/>
      </c>
      <c r="AV100">
        <f>SUMPRODUCT((M_BOM[RM_Code]=$A100)*M_BOM[RM_Qty_Per_Batch]*IFERROR(INDEX(PP_Grid[#Data],M_BOM[PPGridRow],48),0))</f>
        <v/>
      </c>
      <c r="AW100">
        <f>SUMPRODUCT((M_BOM[RM_Code]=$A100)*M_BOM[RM_Qty_Per_Batch]*IFERROR(INDEX(PP_Grid[#Data],M_BOM[PPGridRow],49),0))</f>
        <v/>
      </c>
      <c r="AX100">
        <f>SUMPRODUCT((M_BOM[RM_Code]=$A100)*M_BOM[RM_Qty_Per_Batch]*IFERROR(INDEX(PP_Grid[#Data],M_BOM[PPGridRow],50),0))</f>
        <v/>
      </c>
      <c r="AY100">
        <f>SUMPRODUCT((M_BOM[RM_Code]=$A100)*M_BOM[RM_Qty_Per_Batch]*IFERROR(INDEX(PP_Grid[#Data],M_BOM[PPGridRow],51),0))</f>
        <v/>
      </c>
      <c r="AZ100">
        <f>SUMPRODUCT((M_BOM[RM_Code]=$A100)*M_BOM[RM_Qty_Per_Batch]*IFERROR(INDEX(PP_Grid[#Data],M_BOM[PPGridRow],52),0))</f>
        <v/>
      </c>
      <c r="BA100">
        <f>SUMPRODUCT((M_BOM[RM_Code]=$A100)*M_BOM[RM_Qty_Per_Batch]*IFERROR(INDEX(PP_Grid[#Data],M_BOM[PPGridRow],53),0))</f>
        <v/>
      </c>
      <c r="BB100">
        <f>SUMPRODUCT((M_BOM[RM_Code]=$A100)*M_BOM[RM_Qty_Per_Batch]*IFERROR(INDEX(PP_Grid[#Data],M_BOM[PPGridRow],54),0))</f>
        <v/>
      </c>
      <c r="BC100">
        <f>SUMPRODUCT((M_BOM[RM_Code]=$A100)*M_BOM[RM_Qty_Per_Batch]*IFERROR(INDEX(PP_Grid[#Data],M_BOM[PPGridRow],55),0))</f>
        <v/>
      </c>
      <c r="BD100">
        <f>SUMPRODUCT((M_BOM[RM_Code]=$A100)*M_BOM[RM_Qty_Per_Batch]*IFERROR(INDEX(PP_Grid[#Data],M_BOM[PPGridRow],56),0))</f>
        <v/>
      </c>
      <c r="BE100">
        <f>SUMPRODUCT((M_BOM[RM_Code]=$A100)*M_BOM[RM_Qty_Per_Batch]*IFERROR(INDEX(PP_Grid[#Data],M_BOM[PPGridRow],57),0))</f>
        <v/>
      </c>
      <c r="BF100">
        <f>SUMPRODUCT((M_BOM[RM_Code]=$A100)*M_BOM[RM_Qty_Per_Batch]*IFERROR(INDEX(PP_Grid[#Data],M_BOM[PPGridRow],58),0))</f>
        <v/>
      </c>
      <c r="BG100">
        <f>SUMPRODUCT((M_BOM[RM_Code]=$A100)*M_BOM[RM_Qty_Per_Batch]*IFERROR(INDEX(PP_Grid[#Data],M_BOM[PPGridRow],59),0))</f>
        <v/>
      </c>
      <c r="BH100">
        <f>SUMPRODUCT((M_BOM[RM_Code]=$A100)*M_BOM[RM_Qty_Per_Batch]*IFERROR(INDEX(PP_Grid[#Data],M_BOM[PPGridRow],60),0))</f>
        <v/>
      </c>
      <c r="BI100">
        <f>SUMPRODUCT((M_BOM[RM_Code]=$A100)*M_BOM[RM_Qty_Per_Batch]*IFERROR(INDEX(PP_Grid[#Data],M_BOM[PPGridRow],61),0))</f>
        <v/>
      </c>
      <c r="BJ100">
        <f>SUMPRODUCT((M_BOM[RM_Code]=$A100)*M_BOM[RM_Qty_Per_Batch]*IFERROR(INDEX(PP_Grid[#Data],M_BOM[PPGridRow],62),0))</f>
        <v/>
      </c>
      <c r="BK100">
        <f>SUMPRODUCT((M_BOM[RM_Code]=$A100)*M_BOM[RM_Qty_Per_Batch]*IFERROR(INDEX(PP_Grid[#Data],M_BOM[PPGridRow],63),0))</f>
        <v/>
      </c>
      <c r="BL100">
        <f>SUMPRODUCT((M_BOM[RM_Code]=$A100)*M_BOM[RM_Qty_Per_Batch]*IFERROR(INDEX(PP_Grid[#Data],M_BOM[PPGridRow],64),0))</f>
        <v/>
      </c>
      <c r="BM100">
        <f>SUMPRODUCT((M_BOM[RM_Code]=$A100)*M_BOM[RM_Qty_Per_Batch]*IFERROR(INDEX(PP_Grid[#Data],M_BOM[PPGridRow],65),0))</f>
        <v/>
      </c>
      <c r="BN100">
        <f>SUMPRODUCT((M_BOM[RM_Code]=$A100)*M_BOM[RM_Qty_Per_Batch]*IFERROR(INDEX(PP_Grid[#Data],M_BOM[PPGridRow],66),0))</f>
        <v/>
      </c>
      <c r="BO100">
        <f>SUMPRODUCT((M_BOM[RM_Code]=$A100)*M_BOM[RM_Qty_Per_Batch]*IFERROR(INDEX(PP_Grid[#Data],M_BOM[PPGridRow],67),0))</f>
        <v/>
      </c>
      <c r="BP100">
        <f>SUMPRODUCT((M_BOM[RM_Code]=$A100)*M_BOM[RM_Qty_Per_Batch]*IFERROR(INDEX(PP_Grid[#Data],M_BOM[PPGridRow],68),0))</f>
        <v/>
      </c>
      <c r="BQ100">
        <f>SUMPRODUCT((M_BOM[RM_Code]=$A100)*M_BOM[RM_Qty_Per_Batch]*IFERROR(INDEX(PP_Grid[#Data],M_BOM[PPGridRow],69),0))</f>
        <v/>
      </c>
      <c r="BR100">
        <f>SUMPRODUCT((M_BOM[RM_Code]=$A100)*M_BOM[RM_Qty_Per_Batch]*IFERROR(INDEX(PP_Grid[#Data],M_BOM[PPGridRow],70),0))</f>
        <v/>
      </c>
      <c r="BS100">
        <f>SUMPRODUCT((M_BOM[RM_Code]=$A100)*M_BOM[RM_Qty_Per_Batch]*IFERROR(INDEX(PP_Grid[#Data],M_BOM[PPGridRow],71),0))</f>
        <v/>
      </c>
      <c r="BT100">
        <f>SUMPRODUCT((M_BOM[RM_Code]=$A100)*M_BOM[RM_Qty_Per_Batch]*IFERROR(INDEX(PP_Grid[#Data],M_BOM[PPGridRow],72),0))</f>
        <v/>
      </c>
      <c r="BU100">
        <f>SUMPRODUCT((M_BOM[RM_Code]=$A100)*M_BOM[RM_Qty_Per_Batch]*IFERROR(INDEX(PP_Grid[#Data],M_BOM[PPGridRow],73),0))</f>
        <v/>
      </c>
      <c r="BV100">
        <f>SUMPRODUCT((M_BOM[RM_Code]=$A100)*M_BOM[RM_Qty_Per_Batch]*IFERROR(INDEX(PP_Grid[#Data],M_BOM[PPGridRow],74),0))</f>
        <v/>
      </c>
      <c r="BW100">
        <f>SUMPRODUCT((M_BOM[RM_Code]=$A100)*M_BOM[RM_Qty_Per_Batch]*IFERROR(INDEX(PP_Grid[#Data],M_BOM[PPGridRow],75),0))</f>
        <v/>
      </c>
      <c r="BX100">
        <f>SUMPRODUCT((M_BOM[RM_Code]=$A100)*M_BOM[RM_Qty_Per_Batch]*IFERROR(INDEX(PP_Grid[#Data],M_BOM[PPGridRow],76),0))</f>
        <v/>
      </c>
      <c r="BY100">
        <f>SUMPRODUCT((M_BOM[RM_Code]=$A100)*M_BOM[RM_Qty_Per_Batch]*IFERROR(INDEX(PP_Grid[#Data],M_BOM[PPGridRow],77),0))</f>
        <v/>
      </c>
      <c r="BZ100">
        <f>SUMPRODUCT((M_BOM[RM_Code]=$A100)*M_BOM[RM_Qty_Per_Batch]*IFERROR(INDEX(PP_Grid[#Data],M_BOM[PPGridRow],78),0))</f>
        <v/>
      </c>
      <c r="CA100">
        <f>SUMPRODUCT((M_BOM[RM_Code]=$A100)*M_BOM[RM_Qty_Per_Batch]*IFERROR(INDEX(PP_Grid[#Data],M_BOM[PPGridRow],79),0))</f>
        <v/>
      </c>
      <c r="CB100">
        <f>SUMPRODUCT((M_BOM[RM_Code]=$A100)*M_BOM[RM_Qty_Per_Batch]*IFERROR(INDEX(PP_Grid[#Data],M_BOM[PPGridRow],80),0))</f>
        <v/>
      </c>
      <c r="CC100">
        <f>SUMPRODUCT((M_BOM[RM_Code]=$A100)*M_BOM[RM_Qty_Per_Batch]*IFERROR(INDEX(PP_Grid[#Data],M_BOM[PPGridRow],81),0))</f>
        <v/>
      </c>
      <c r="CD100">
        <f>SUMPRODUCT((M_BOM[RM_Code]=$A100)*M_BOM[RM_Qty_Per_Batch]*IFERROR(INDEX(PP_Grid[#Data],M_BOM[PPGridRow],82),0))</f>
        <v/>
      </c>
      <c r="CE100">
        <f>SUMPRODUCT((M_BOM[RM_Code]=$A100)*M_BOM[RM_Qty_Per_Batch]*IFERROR(INDEX(PP_Grid[#Data],M_BOM[PPGridRow],83),0))</f>
        <v/>
      </c>
      <c r="CF100">
        <f>SUMPRODUCT((M_BOM[RM_Code]=$A100)*M_BOM[RM_Qty_Per_Batch]*IFERROR(INDEX(PP_Grid[#Data],M_BOM[PPGridRow],84),0))</f>
        <v/>
      </c>
      <c r="CG100">
        <f>SUMPRODUCT((M_BOM[RM_Code]=$A100)*M_BOM[RM_Qty_Per_Batch]*IFERROR(INDEX(PP_Grid[#Data],M_BOM[PPGridRow],85),0))</f>
        <v/>
      </c>
      <c r="CH100">
        <f>SUMPRODUCT((M_BOM[RM_Code]=$A100)*M_BOM[RM_Qty_Per_Batch]*IFERROR(INDEX(PP_Grid[#Data],M_BOM[PPGridRow],86),0))</f>
        <v/>
      </c>
      <c r="CI100">
        <f>SUMPRODUCT((M_BOM[RM_Code]=$A100)*M_BOM[RM_Qty_Per_Batch]*IFERROR(INDEX(PP_Grid[#Data],M_BOM[PPGridRow],87),0))</f>
        <v/>
      </c>
      <c r="CJ100">
        <f>SUMPRODUCT((M_BOM[RM_Code]=$A100)*M_BOM[RM_Qty_Per_Batch]*IFERROR(INDEX(PP_Grid[#Data],M_BOM[PPGridRow],88),0))</f>
        <v/>
      </c>
      <c r="CK100">
        <f>SUMPRODUCT((M_BOM[RM_Code]=$A100)*M_BOM[RM_Qty_Per_Batch]*IFERROR(INDEX(PP_Grid[#Data],M_BOM[PPGridRow],89),0))</f>
        <v/>
      </c>
      <c r="CL100">
        <f>SUMPRODUCT((M_BOM[RM_Code]=$A100)*M_BOM[RM_Qty_Per_Batch]*IFERROR(INDEX(PP_Grid[#Data],M_BOM[PPGridRow],90),0))</f>
        <v/>
      </c>
      <c r="CM100">
        <f>SUMPRODUCT((M_BOM[RM_Code]=$A100)*M_BOM[RM_Qty_Per_Batch]*IFERROR(INDEX(PP_Grid[#Data],M_BOM[PPGridRow],91),0))</f>
        <v/>
      </c>
      <c r="CN100">
        <f>SUMPRODUCT((M_BOM[RM_Code]=$A100)*M_BOM[RM_Qty_Per_Batch]*IFERROR(INDEX(PP_Grid[#Data],M_BOM[PPGridRow],92),0))</f>
        <v/>
      </c>
      <c r="CO100">
        <f>SUMPRODUCT((M_BOM[RM_Code]=$A100)*M_BOM[RM_Qty_Per_Batch]*IFERROR(INDEX(PP_Grid[#Data],M_BOM[PPGridRow],93),0))</f>
        <v/>
      </c>
      <c r="CP100">
        <f>SUMPRODUCT((M_BOM[RM_Code]=$A100)*M_BOM[RM_Qty_Per_Batch]*IFERROR(INDEX(PP_Grid[#Data],M_BOM[PPGridRow],94),0))</f>
        <v/>
      </c>
      <c r="CQ100">
        <f>SUMPRODUCT((M_BOM[RM_Code]=$A100)*M_BOM[RM_Qty_Per_Batch]*IFERROR(INDEX(PP_Grid[#Data],M_BOM[PPGridRow],95),0))</f>
        <v/>
      </c>
      <c r="CR100">
        <f>SUMPRODUCT((M_BOM[RM_Code]=$A100)*M_BOM[RM_Qty_Per_Batch]*IFERROR(INDEX(PP_Grid[#Data],M_BOM[PPGridRow],96),0))</f>
        <v/>
      </c>
      <c r="CS100">
        <f>SUMPRODUCT((M_BOM[RM_Code]=$A100)*M_BOM[RM_Qty_Per_Batch]*IFERROR(INDEX(PP_Grid[#Data],M_BOM[PPGridRow],97),0))</f>
        <v/>
      </c>
      <c r="CT100">
        <f>SUMPRODUCT((M_BOM[RM_Code]=$A100)*M_BOM[RM_Qty_Per_Batch]*IFERROR(INDEX(PP_Grid[#Data],M_BOM[PPGridRow],98),0))</f>
        <v/>
      </c>
      <c r="CU100">
        <f>SUMPRODUCT((M_BOM[RM_Code]=$A100)*M_BOM[RM_Qty_Per_Batch]*IFERROR(INDEX(PP_Grid[#Data],M_BOM[PPGridRow],99),0))</f>
        <v/>
      </c>
      <c r="CV100">
        <f>SUMPRODUCT((M_BOM[RM_Code]=$A100)*M_BOM[RM_Qty_Per_Batch]*IFERROR(INDEX(PP_Grid[#Data],M_BOM[PPGridRow],100),0))</f>
        <v/>
      </c>
      <c r="CW100">
        <f>SUMPRODUCT((M_BOM[RM_Code]=$A100)*M_BOM[RM_Qty_Per_Batch]*IFERROR(INDEX(PP_Grid[#Data],M_BOM[PPGridRow],101),0))</f>
        <v/>
      </c>
      <c r="CX100">
        <f>SUMPRODUCT((M_BOM[RM_Code]=$A100)*M_BOM[RM_Qty_Per_Batch]*IFERROR(INDEX(PP_Grid[#Data],M_BOM[PPGridRow],102),0))</f>
        <v/>
      </c>
      <c r="CY100">
        <f>SUMPRODUCT((M_BOM[RM_Code]=$A100)*M_BOM[RM_Qty_Per_Batch]*IFERROR(INDEX(PP_Grid[#Data],M_BOM[PPGridRow],103),0))</f>
        <v/>
      </c>
      <c r="CZ100">
        <f>SUMPRODUCT((M_BOM[RM_Code]=$A100)*M_BOM[RM_Qty_Per_Batch]*IFERROR(INDEX(PP_Grid[#Data],M_BOM[PPGridRow],104),0))</f>
        <v/>
      </c>
      <c r="DA100">
        <f>SUMPRODUCT((M_BOM[RM_Code]=$A100)*M_BOM[RM_Qty_Per_Batch]*IFERROR(INDEX(PP_Grid[#Data],M_BOM[PPGridRow],105),0))</f>
        <v/>
      </c>
    </row>
    <row r="101">
      <c r="A101" t="inlineStr">
        <is>
          <t>CHEM-1090</t>
        </is>
      </c>
      <c r="B101">
        <f>SUMPRODUCT((M_BOM[RM_Code]=$A101)*M_BOM[RM_Qty_Per_Batch]*IFERROR(INDEX(PP_Grid[#Data],M_BOM[PPGridRow],2),0))</f>
        <v/>
      </c>
      <c r="C101">
        <f>SUMPRODUCT((M_BOM[RM_Code]=$A101)*M_BOM[RM_Qty_Per_Batch]*IFERROR(INDEX(PP_Grid[#Data],M_BOM[PPGridRow],3),0))</f>
        <v/>
      </c>
      <c r="D101">
        <f>SUMPRODUCT((M_BOM[RM_Code]=$A101)*M_BOM[RM_Qty_Per_Batch]*IFERROR(INDEX(PP_Grid[#Data],M_BOM[PPGridRow],4),0))</f>
        <v/>
      </c>
      <c r="E101">
        <f>SUMPRODUCT((M_BOM[RM_Code]=$A101)*M_BOM[RM_Qty_Per_Batch]*IFERROR(INDEX(PP_Grid[#Data],M_BOM[PPGridRow],5),0))</f>
        <v/>
      </c>
      <c r="F101">
        <f>SUMPRODUCT((M_BOM[RM_Code]=$A101)*M_BOM[RM_Qty_Per_Batch]*IFERROR(INDEX(PP_Grid[#Data],M_BOM[PPGridRow],6),0))</f>
        <v/>
      </c>
      <c r="G101">
        <f>SUMPRODUCT((M_BOM[RM_Code]=$A101)*M_BOM[RM_Qty_Per_Batch]*IFERROR(INDEX(PP_Grid[#Data],M_BOM[PPGridRow],7),0))</f>
        <v/>
      </c>
      <c r="H101">
        <f>SUMPRODUCT((M_BOM[RM_Code]=$A101)*M_BOM[RM_Qty_Per_Batch]*IFERROR(INDEX(PP_Grid[#Data],M_BOM[PPGridRow],8),0))</f>
        <v/>
      </c>
      <c r="I101">
        <f>SUMPRODUCT((M_BOM[RM_Code]=$A101)*M_BOM[RM_Qty_Per_Batch]*IFERROR(INDEX(PP_Grid[#Data],M_BOM[PPGridRow],9),0))</f>
        <v/>
      </c>
      <c r="J101">
        <f>SUMPRODUCT((M_BOM[RM_Code]=$A101)*M_BOM[RM_Qty_Per_Batch]*IFERROR(INDEX(PP_Grid[#Data],M_BOM[PPGridRow],10),0))</f>
        <v/>
      </c>
      <c r="K101">
        <f>SUMPRODUCT((M_BOM[RM_Code]=$A101)*M_BOM[RM_Qty_Per_Batch]*IFERROR(INDEX(PP_Grid[#Data],M_BOM[PPGridRow],11),0))</f>
        <v/>
      </c>
      <c r="L101">
        <f>SUMPRODUCT((M_BOM[RM_Code]=$A101)*M_BOM[RM_Qty_Per_Batch]*IFERROR(INDEX(PP_Grid[#Data],M_BOM[PPGridRow],12),0))</f>
        <v/>
      </c>
      <c r="M101">
        <f>SUMPRODUCT((M_BOM[RM_Code]=$A101)*M_BOM[RM_Qty_Per_Batch]*IFERROR(INDEX(PP_Grid[#Data],M_BOM[PPGridRow],13),0))</f>
        <v/>
      </c>
      <c r="N101">
        <f>SUMPRODUCT((M_BOM[RM_Code]=$A101)*M_BOM[RM_Qty_Per_Batch]*IFERROR(INDEX(PP_Grid[#Data],M_BOM[PPGridRow],14),0))</f>
        <v/>
      </c>
      <c r="O101">
        <f>SUMPRODUCT((M_BOM[RM_Code]=$A101)*M_BOM[RM_Qty_Per_Batch]*IFERROR(INDEX(PP_Grid[#Data],M_BOM[PPGridRow],15),0))</f>
        <v/>
      </c>
      <c r="P101">
        <f>SUMPRODUCT((M_BOM[RM_Code]=$A101)*M_BOM[RM_Qty_Per_Batch]*IFERROR(INDEX(PP_Grid[#Data],M_BOM[PPGridRow],16),0))</f>
        <v/>
      </c>
      <c r="Q101">
        <f>SUMPRODUCT((M_BOM[RM_Code]=$A101)*M_BOM[RM_Qty_Per_Batch]*IFERROR(INDEX(PP_Grid[#Data],M_BOM[PPGridRow],17),0))</f>
        <v/>
      </c>
      <c r="R101">
        <f>SUMPRODUCT((M_BOM[RM_Code]=$A101)*M_BOM[RM_Qty_Per_Batch]*IFERROR(INDEX(PP_Grid[#Data],M_BOM[PPGridRow],18),0))</f>
        <v/>
      </c>
      <c r="S101">
        <f>SUMPRODUCT((M_BOM[RM_Code]=$A101)*M_BOM[RM_Qty_Per_Batch]*IFERROR(INDEX(PP_Grid[#Data],M_BOM[PPGridRow],19),0))</f>
        <v/>
      </c>
      <c r="T101">
        <f>SUMPRODUCT((M_BOM[RM_Code]=$A101)*M_BOM[RM_Qty_Per_Batch]*IFERROR(INDEX(PP_Grid[#Data],M_BOM[PPGridRow],20),0))</f>
        <v/>
      </c>
      <c r="U101">
        <f>SUMPRODUCT((M_BOM[RM_Code]=$A101)*M_BOM[RM_Qty_Per_Batch]*IFERROR(INDEX(PP_Grid[#Data],M_BOM[PPGridRow],21),0))</f>
        <v/>
      </c>
      <c r="V101">
        <f>SUMPRODUCT((M_BOM[RM_Code]=$A101)*M_BOM[RM_Qty_Per_Batch]*IFERROR(INDEX(PP_Grid[#Data],M_BOM[PPGridRow],22),0))</f>
        <v/>
      </c>
      <c r="W101">
        <f>SUMPRODUCT((M_BOM[RM_Code]=$A101)*M_BOM[RM_Qty_Per_Batch]*IFERROR(INDEX(PP_Grid[#Data],M_BOM[PPGridRow],23),0))</f>
        <v/>
      </c>
      <c r="X101">
        <f>SUMPRODUCT((M_BOM[RM_Code]=$A101)*M_BOM[RM_Qty_Per_Batch]*IFERROR(INDEX(PP_Grid[#Data],M_BOM[PPGridRow],24),0))</f>
        <v/>
      </c>
      <c r="Y101">
        <f>SUMPRODUCT((M_BOM[RM_Code]=$A101)*M_BOM[RM_Qty_Per_Batch]*IFERROR(INDEX(PP_Grid[#Data],M_BOM[PPGridRow],25),0))</f>
        <v/>
      </c>
      <c r="Z101">
        <f>SUMPRODUCT((M_BOM[RM_Code]=$A101)*M_BOM[RM_Qty_Per_Batch]*IFERROR(INDEX(PP_Grid[#Data],M_BOM[PPGridRow],26),0))</f>
        <v/>
      </c>
      <c r="AA101">
        <f>SUMPRODUCT((M_BOM[RM_Code]=$A101)*M_BOM[RM_Qty_Per_Batch]*IFERROR(INDEX(PP_Grid[#Data],M_BOM[PPGridRow],27),0))</f>
        <v/>
      </c>
      <c r="AB101">
        <f>SUMPRODUCT((M_BOM[RM_Code]=$A101)*M_BOM[RM_Qty_Per_Batch]*IFERROR(INDEX(PP_Grid[#Data],M_BOM[PPGridRow],28),0))</f>
        <v/>
      </c>
      <c r="AC101">
        <f>SUMPRODUCT((M_BOM[RM_Code]=$A101)*M_BOM[RM_Qty_Per_Batch]*IFERROR(INDEX(PP_Grid[#Data],M_BOM[PPGridRow],29),0))</f>
        <v/>
      </c>
      <c r="AD101">
        <f>SUMPRODUCT((M_BOM[RM_Code]=$A101)*M_BOM[RM_Qty_Per_Batch]*IFERROR(INDEX(PP_Grid[#Data],M_BOM[PPGridRow],30),0))</f>
        <v/>
      </c>
      <c r="AE101">
        <f>SUMPRODUCT((M_BOM[RM_Code]=$A101)*M_BOM[RM_Qty_Per_Batch]*IFERROR(INDEX(PP_Grid[#Data],M_BOM[PPGridRow],31),0))</f>
        <v/>
      </c>
      <c r="AF101">
        <f>SUMPRODUCT((M_BOM[RM_Code]=$A101)*M_BOM[RM_Qty_Per_Batch]*IFERROR(INDEX(PP_Grid[#Data],M_BOM[PPGridRow],32),0))</f>
        <v/>
      </c>
      <c r="AG101">
        <f>SUMPRODUCT((M_BOM[RM_Code]=$A101)*M_BOM[RM_Qty_Per_Batch]*IFERROR(INDEX(PP_Grid[#Data],M_BOM[PPGridRow],33),0))</f>
        <v/>
      </c>
      <c r="AH101">
        <f>SUMPRODUCT((M_BOM[RM_Code]=$A101)*M_BOM[RM_Qty_Per_Batch]*IFERROR(INDEX(PP_Grid[#Data],M_BOM[PPGridRow],34),0))</f>
        <v/>
      </c>
      <c r="AI101">
        <f>SUMPRODUCT((M_BOM[RM_Code]=$A101)*M_BOM[RM_Qty_Per_Batch]*IFERROR(INDEX(PP_Grid[#Data],M_BOM[PPGridRow],35),0))</f>
        <v/>
      </c>
      <c r="AJ101">
        <f>SUMPRODUCT((M_BOM[RM_Code]=$A101)*M_BOM[RM_Qty_Per_Batch]*IFERROR(INDEX(PP_Grid[#Data],M_BOM[PPGridRow],36),0))</f>
        <v/>
      </c>
      <c r="AK101">
        <f>SUMPRODUCT((M_BOM[RM_Code]=$A101)*M_BOM[RM_Qty_Per_Batch]*IFERROR(INDEX(PP_Grid[#Data],M_BOM[PPGridRow],37),0))</f>
        <v/>
      </c>
      <c r="AL101">
        <f>SUMPRODUCT((M_BOM[RM_Code]=$A101)*M_BOM[RM_Qty_Per_Batch]*IFERROR(INDEX(PP_Grid[#Data],M_BOM[PPGridRow],38),0))</f>
        <v/>
      </c>
      <c r="AM101">
        <f>SUMPRODUCT((M_BOM[RM_Code]=$A101)*M_BOM[RM_Qty_Per_Batch]*IFERROR(INDEX(PP_Grid[#Data],M_BOM[PPGridRow],39),0))</f>
        <v/>
      </c>
      <c r="AN101">
        <f>SUMPRODUCT((M_BOM[RM_Code]=$A101)*M_BOM[RM_Qty_Per_Batch]*IFERROR(INDEX(PP_Grid[#Data],M_BOM[PPGridRow],40),0))</f>
        <v/>
      </c>
      <c r="AO101">
        <f>SUMPRODUCT((M_BOM[RM_Code]=$A101)*M_BOM[RM_Qty_Per_Batch]*IFERROR(INDEX(PP_Grid[#Data],M_BOM[PPGridRow],41),0))</f>
        <v/>
      </c>
      <c r="AP101">
        <f>SUMPRODUCT((M_BOM[RM_Code]=$A101)*M_BOM[RM_Qty_Per_Batch]*IFERROR(INDEX(PP_Grid[#Data],M_BOM[PPGridRow],42),0))</f>
        <v/>
      </c>
      <c r="AQ101">
        <f>SUMPRODUCT((M_BOM[RM_Code]=$A101)*M_BOM[RM_Qty_Per_Batch]*IFERROR(INDEX(PP_Grid[#Data],M_BOM[PPGridRow],43),0))</f>
        <v/>
      </c>
      <c r="AR101">
        <f>SUMPRODUCT((M_BOM[RM_Code]=$A101)*M_BOM[RM_Qty_Per_Batch]*IFERROR(INDEX(PP_Grid[#Data],M_BOM[PPGridRow],44),0))</f>
        <v/>
      </c>
      <c r="AS101">
        <f>SUMPRODUCT((M_BOM[RM_Code]=$A101)*M_BOM[RM_Qty_Per_Batch]*IFERROR(INDEX(PP_Grid[#Data],M_BOM[PPGridRow],45),0))</f>
        <v/>
      </c>
      <c r="AT101">
        <f>SUMPRODUCT((M_BOM[RM_Code]=$A101)*M_BOM[RM_Qty_Per_Batch]*IFERROR(INDEX(PP_Grid[#Data],M_BOM[PPGridRow],46),0))</f>
        <v/>
      </c>
      <c r="AU101">
        <f>SUMPRODUCT((M_BOM[RM_Code]=$A101)*M_BOM[RM_Qty_Per_Batch]*IFERROR(INDEX(PP_Grid[#Data],M_BOM[PPGridRow],47),0))</f>
        <v/>
      </c>
      <c r="AV101">
        <f>SUMPRODUCT((M_BOM[RM_Code]=$A101)*M_BOM[RM_Qty_Per_Batch]*IFERROR(INDEX(PP_Grid[#Data],M_BOM[PPGridRow],48),0))</f>
        <v/>
      </c>
      <c r="AW101">
        <f>SUMPRODUCT((M_BOM[RM_Code]=$A101)*M_BOM[RM_Qty_Per_Batch]*IFERROR(INDEX(PP_Grid[#Data],M_BOM[PPGridRow],49),0))</f>
        <v/>
      </c>
      <c r="AX101">
        <f>SUMPRODUCT((M_BOM[RM_Code]=$A101)*M_BOM[RM_Qty_Per_Batch]*IFERROR(INDEX(PP_Grid[#Data],M_BOM[PPGridRow],50),0))</f>
        <v/>
      </c>
      <c r="AY101">
        <f>SUMPRODUCT((M_BOM[RM_Code]=$A101)*M_BOM[RM_Qty_Per_Batch]*IFERROR(INDEX(PP_Grid[#Data],M_BOM[PPGridRow],51),0))</f>
        <v/>
      </c>
      <c r="AZ101">
        <f>SUMPRODUCT((M_BOM[RM_Code]=$A101)*M_BOM[RM_Qty_Per_Batch]*IFERROR(INDEX(PP_Grid[#Data],M_BOM[PPGridRow],52),0))</f>
        <v/>
      </c>
      <c r="BA101">
        <f>SUMPRODUCT((M_BOM[RM_Code]=$A101)*M_BOM[RM_Qty_Per_Batch]*IFERROR(INDEX(PP_Grid[#Data],M_BOM[PPGridRow],53),0))</f>
        <v/>
      </c>
      <c r="BB101">
        <f>SUMPRODUCT((M_BOM[RM_Code]=$A101)*M_BOM[RM_Qty_Per_Batch]*IFERROR(INDEX(PP_Grid[#Data],M_BOM[PPGridRow],54),0))</f>
        <v/>
      </c>
      <c r="BC101">
        <f>SUMPRODUCT((M_BOM[RM_Code]=$A101)*M_BOM[RM_Qty_Per_Batch]*IFERROR(INDEX(PP_Grid[#Data],M_BOM[PPGridRow],55),0))</f>
        <v/>
      </c>
      <c r="BD101">
        <f>SUMPRODUCT((M_BOM[RM_Code]=$A101)*M_BOM[RM_Qty_Per_Batch]*IFERROR(INDEX(PP_Grid[#Data],M_BOM[PPGridRow],56),0))</f>
        <v/>
      </c>
      <c r="BE101">
        <f>SUMPRODUCT((M_BOM[RM_Code]=$A101)*M_BOM[RM_Qty_Per_Batch]*IFERROR(INDEX(PP_Grid[#Data],M_BOM[PPGridRow],57),0))</f>
        <v/>
      </c>
      <c r="BF101">
        <f>SUMPRODUCT((M_BOM[RM_Code]=$A101)*M_BOM[RM_Qty_Per_Batch]*IFERROR(INDEX(PP_Grid[#Data],M_BOM[PPGridRow],58),0))</f>
        <v/>
      </c>
      <c r="BG101">
        <f>SUMPRODUCT((M_BOM[RM_Code]=$A101)*M_BOM[RM_Qty_Per_Batch]*IFERROR(INDEX(PP_Grid[#Data],M_BOM[PPGridRow],59),0))</f>
        <v/>
      </c>
      <c r="BH101">
        <f>SUMPRODUCT((M_BOM[RM_Code]=$A101)*M_BOM[RM_Qty_Per_Batch]*IFERROR(INDEX(PP_Grid[#Data],M_BOM[PPGridRow],60),0))</f>
        <v/>
      </c>
      <c r="BI101">
        <f>SUMPRODUCT((M_BOM[RM_Code]=$A101)*M_BOM[RM_Qty_Per_Batch]*IFERROR(INDEX(PP_Grid[#Data],M_BOM[PPGridRow],61),0))</f>
        <v/>
      </c>
      <c r="BJ101">
        <f>SUMPRODUCT((M_BOM[RM_Code]=$A101)*M_BOM[RM_Qty_Per_Batch]*IFERROR(INDEX(PP_Grid[#Data],M_BOM[PPGridRow],62),0))</f>
        <v/>
      </c>
      <c r="BK101">
        <f>SUMPRODUCT((M_BOM[RM_Code]=$A101)*M_BOM[RM_Qty_Per_Batch]*IFERROR(INDEX(PP_Grid[#Data],M_BOM[PPGridRow],63),0))</f>
        <v/>
      </c>
      <c r="BL101">
        <f>SUMPRODUCT((M_BOM[RM_Code]=$A101)*M_BOM[RM_Qty_Per_Batch]*IFERROR(INDEX(PP_Grid[#Data],M_BOM[PPGridRow],64),0))</f>
        <v/>
      </c>
      <c r="BM101">
        <f>SUMPRODUCT((M_BOM[RM_Code]=$A101)*M_BOM[RM_Qty_Per_Batch]*IFERROR(INDEX(PP_Grid[#Data],M_BOM[PPGridRow],65),0))</f>
        <v/>
      </c>
      <c r="BN101">
        <f>SUMPRODUCT((M_BOM[RM_Code]=$A101)*M_BOM[RM_Qty_Per_Batch]*IFERROR(INDEX(PP_Grid[#Data],M_BOM[PPGridRow],66),0))</f>
        <v/>
      </c>
      <c r="BO101">
        <f>SUMPRODUCT((M_BOM[RM_Code]=$A101)*M_BOM[RM_Qty_Per_Batch]*IFERROR(INDEX(PP_Grid[#Data],M_BOM[PPGridRow],67),0))</f>
        <v/>
      </c>
      <c r="BP101">
        <f>SUMPRODUCT((M_BOM[RM_Code]=$A101)*M_BOM[RM_Qty_Per_Batch]*IFERROR(INDEX(PP_Grid[#Data],M_BOM[PPGridRow],68),0))</f>
        <v/>
      </c>
      <c r="BQ101">
        <f>SUMPRODUCT((M_BOM[RM_Code]=$A101)*M_BOM[RM_Qty_Per_Batch]*IFERROR(INDEX(PP_Grid[#Data],M_BOM[PPGridRow],69),0))</f>
        <v/>
      </c>
      <c r="BR101">
        <f>SUMPRODUCT((M_BOM[RM_Code]=$A101)*M_BOM[RM_Qty_Per_Batch]*IFERROR(INDEX(PP_Grid[#Data],M_BOM[PPGridRow],70),0))</f>
        <v/>
      </c>
      <c r="BS101">
        <f>SUMPRODUCT((M_BOM[RM_Code]=$A101)*M_BOM[RM_Qty_Per_Batch]*IFERROR(INDEX(PP_Grid[#Data],M_BOM[PPGridRow],71),0))</f>
        <v/>
      </c>
      <c r="BT101">
        <f>SUMPRODUCT((M_BOM[RM_Code]=$A101)*M_BOM[RM_Qty_Per_Batch]*IFERROR(INDEX(PP_Grid[#Data],M_BOM[PPGridRow],72),0))</f>
        <v/>
      </c>
      <c r="BU101">
        <f>SUMPRODUCT((M_BOM[RM_Code]=$A101)*M_BOM[RM_Qty_Per_Batch]*IFERROR(INDEX(PP_Grid[#Data],M_BOM[PPGridRow],73),0))</f>
        <v/>
      </c>
      <c r="BV101">
        <f>SUMPRODUCT((M_BOM[RM_Code]=$A101)*M_BOM[RM_Qty_Per_Batch]*IFERROR(INDEX(PP_Grid[#Data],M_BOM[PPGridRow],74),0))</f>
        <v/>
      </c>
      <c r="BW101">
        <f>SUMPRODUCT((M_BOM[RM_Code]=$A101)*M_BOM[RM_Qty_Per_Batch]*IFERROR(INDEX(PP_Grid[#Data],M_BOM[PPGridRow],75),0))</f>
        <v/>
      </c>
      <c r="BX101">
        <f>SUMPRODUCT((M_BOM[RM_Code]=$A101)*M_BOM[RM_Qty_Per_Batch]*IFERROR(INDEX(PP_Grid[#Data],M_BOM[PPGridRow],76),0))</f>
        <v/>
      </c>
      <c r="BY101">
        <f>SUMPRODUCT((M_BOM[RM_Code]=$A101)*M_BOM[RM_Qty_Per_Batch]*IFERROR(INDEX(PP_Grid[#Data],M_BOM[PPGridRow],77),0))</f>
        <v/>
      </c>
      <c r="BZ101">
        <f>SUMPRODUCT((M_BOM[RM_Code]=$A101)*M_BOM[RM_Qty_Per_Batch]*IFERROR(INDEX(PP_Grid[#Data],M_BOM[PPGridRow],78),0))</f>
        <v/>
      </c>
      <c r="CA101">
        <f>SUMPRODUCT((M_BOM[RM_Code]=$A101)*M_BOM[RM_Qty_Per_Batch]*IFERROR(INDEX(PP_Grid[#Data],M_BOM[PPGridRow],79),0))</f>
        <v/>
      </c>
      <c r="CB101">
        <f>SUMPRODUCT((M_BOM[RM_Code]=$A101)*M_BOM[RM_Qty_Per_Batch]*IFERROR(INDEX(PP_Grid[#Data],M_BOM[PPGridRow],80),0))</f>
        <v/>
      </c>
      <c r="CC101">
        <f>SUMPRODUCT((M_BOM[RM_Code]=$A101)*M_BOM[RM_Qty_Per_Batch]*IFERROR(INDEX(PP_Grid[#Data],M_BOM[PPGridRow],81),0))</f>
        <v/>
      </c>
      <c r="CD101">
        <f>SUMPRODUCT((M_BOM[RM_Code]=$A101)*M_BOM[RM_Qty_Per_Batch]*IFERROR(INDEX(PP_Grid[#Data],M_BOM[PPGridRow],82),0))</f>
        <v/>
      </c>
      <c r="CE101">
        <f>SUMPRODUCT((M_BOM[RM_Code]=$A101)*M_BOM[RM_Qty_Per_Batch]*IFERROR(INDEX(PP_Grid[#Data],M_BOM[PPGridRow],83),0))</f>
        <v/>
      </c>
      <c r="CF101">
        <f>SUMPRODUCT((M_BOM[RM_Code]=$A101)*M_BOM[RM_Qty_Per_Batch]*IFERROR(INDEX(PP_Grid[#Data],M_BOM[PPGridRow],84),0))</f>
        <v/>
      </c>
      <c r="CG101">
        <f>SUMPRODUCT((M_BOM[RM_Code]=$A101)*M_BOM[RM_Qty_Per_Batch]*IFERROR(INDEX(PP_Grid[#Data],M_BOM[PPGridRow],85),0))</f>
        <v/>
      </c>
      <c r="CH101">
        <f>SUMPRODUCT((M_BOM[RM_Code]=$A101)*M_BOM[RM_Qty_Per_Batch]*IFERROR(INDEX(PP_Grid[#Data],M_BOM[PPGridRow],86),0))</f>
        <v/>
      </c>
      <c r="CI101">
        <f>SUMPRODUCT((M_BOM[RM_Code]=$A101)*M_BOM[RM_Qty_Per_Batch]*IFERROR(INDEX(PP_Grid[#Data],M_BOM[PPGridRow],87),0))</f>
        <v/>
      </c>
      <c r="CJ101">
        <f>SUMPRODUCT((M_BOM[RM_Code]=$A101)*M_BOM[RM_Qty_Per_Batch]*IFERROR(INDEX(PP_Grid[#Data],M_BOM[PPGridRow],88),0))</f>
        <v/>
      </c>
      <c r="CK101">
        <f>SUMPRODUCT((M_BOM[RM_Code]=$A101)*M_BOM[RM_Qty_Per_Batch]*IFERROR(INDEX(PP_Grid[#Data],M_BOM[PPGridRow],89),0))</f>
        <v/>
      </c>
      <c r="CL101">
        <f>SUMPRODUCT((M_BOM[RM_Code]=$A101)*M_BOM[RM_Qty_Per_Batch]*IFERROR(INDEX(PP_Grid[#Data],M_BOM[PPGridRow],90),0))</f>
        <v/>
      </c>
      <c r="CM101">
        <f>SUMPRODUCT((M_BOM[RM_Code]=$A101)*M_BOM[RM_Qty_Per_Batch]*IFERROR(INDEX(PP_Grid[#Data],M_BOM[PPGridRow],91),0))</f>
        <v/>
      </c>
      <c r="CN101">
        <f>SUMPRODUCT((M_BOM[RM_Code]=$A101)*M_BOM[RM_Qty_Per_Batch]*IFERROR(INDEX(PP_Grid[#Data],M_BOM[PPGridRow],92),0))</f>
        <v/>
      </c>
      <c r="CO101">
        <f>SUMPRODUCT((M_BOM[RM_Code]=$A101)*M_BOM[RM_Qty_Per_Batch]*IFERROR(INDEX(PP_Grid[#Data],M_BOM[PPGridRow],93),0))</f>
        <v/>
      </c>
      <c r="CP101">
        <f>SUMPRODUCT((M_BOM[RM_Code]=$A101)*M_BOM[RM_Qty_Per_Batch]*IFERROR(INDEX(PP_Grid[#Data],M_BOM[PPGridRow],94),0))</f>
        <v/>
      </c>
      <c r="CQ101">
        <f>SUMPRODUCT((M_BOM[RM_Code]=$A101)*M_BOM[RM_Qty_Per_Batch]*IFERROR(INDEX(PP_Grid[#Data],M_BOM[PPGridRow],95),0))</f>
        <v/>
      </c>
      <c r="CR101">
        <f>SUMPRODUCT((M_BOM[RM_Code]=$A101)*M_BOM[RM_Qty_Per_Batch]*IFERROR(INDEX(PP_Grid[#Data],M_BOM[PPGridRow],96),0))</f>
        <v/>
      </c>
      <c r="CS101">
        <f>SUMPRODUCT((M_BOM[RM_Code]=$A101)*M_BOM[RM_Qty_Per_Batch]*IFERROR(INDEX(PP_Grid[#Data],M_BOM[PPGridRow],97),0))</f>
        <v/>
      </c>
      <c r="CT101">
        <f>SUMPRODUCT((M_BOM[RM_Code]=$A101)*M_BOM[RM_Qty_Per_Batch]*IFERROR(INDEX(PP_Grid[#Data],M_BOM[PPGridRow],98),0))</f>
        <v/>
      </c>
      <c r="CU101">
        <f>SUMPRODUCT((M_BOM[RM_Code]=$A101)*M_BOM[RM_Qty_Per_Batch]*IFERROR(INDEX(PP_Grid[#Data],M_BOM[PPGridRow],99),0))</f>
        <v/>
      </c>
      <c r="CV101">
        <f>SUMPRODUCT((M_BOM[RM_Code]=$A101)*M_BOM[RM_Qty_Per_Batch]*IFERROR(INDEX(PP_Grid[#Data],M_BOM[PPGridRow],100),0))</f>
        <v/>
      </c>
      <c r="CW101">
        <f>SUMPRODUCT((M_BOM[RM_Code]=$A101)*M_BOM[RM_Qty_Per_Batch]*IFERROR(INDEX(PP_Grid[#Data],M_BOM[PPGridRow],101),0))</f>
        <v/>
      </c>
      <c r="CX101">
        <f>SUMPRODUCT((M_BOM[RM_Code]=$A101)*M_BOM[RM_Qty_Per_Batch]*IFERROR(INDEX(PP_Grid[#Data],M_BOM[PPGridRow],102),0))</f>
        <v/>
      </c>
      <c r="CY101">
        <f>SUMPRODUCT((M_BOM[RM_Code]=$A101)*M_BOM[RM_Qty_Per_Batch]*IFERROR(INDEX(PP_Grid[#Data],M_BOM[PPGridRow],103),0))</f>
        <v/>
      </c>
      <c r="CZ101">
        <f>SUMPRODUCT((M_BOM[RM_Code]=$A101)*M_BOM[RM_Qty_Per_Batch]*IFERROR(INDEX(PP_Grid[#Data],M_BOM[PPGridRow],104),0))</f>
        <v/>
      </c>
      <c r="DA101">
        <f>SUMPRODUCT((M_BOM[RM_Code]=$A101)*M_BOM[RM_Qty_Per_Batch]*IFERROR(INDEX(PP_Grid[#Data],M_BOM[PPGridRow],105),0))</f>
        <v/>
      </c>
    </row>
    <row r="102">
      <c r="A102" t="inlineStr">
        <is>
          <t>CHEM-1310</t>
        </is>
      </c>
      <c r="B102">
        <f>SUMPRODUCT((M_BOM[RM_Code]=$A102)*M_BOM[RM_Qty_Per_Batch]*IFERROR(INDEX(PP_Grid[#Data],M_BOM[PPGridRow],2),0))</f>
        <v/>
      </c>
      <c r="C102">
        <f>SUMPRODUCT((M_BOM[RM_Code]=$A102)*M_BOM[RM_Qty_Per_Batch]*IFERROR(INDEX(PP_Grid[#Data],M_BOM[PPGridRow],3),0))</f>
        <v/>
      </c>
      <c r="D102">
        <f>SUMPRODUCT((M_BOM[RM_Code]=$A102)*M_BOM[RM_Qty_Per_Batch]*IFERROR(INDEX(PP_Grid[#Data],M_BOM[PPGridRow],4),0))</f>
        <v/>
      </c>
      <c r="E102">
        <f>SUMPRODUCT((M_BOM[RM_Code]=$A102)*M_BOM[RM_Qty_Per_Batch]*IFERROR(INDEX(PP_Grid[#Data],M_BOM[PPGridRow],5),0))</f>
        <v/>
      </c>
      <c r="F102">
        <f>SUMPRODUCT((M_BOM[RM_Code]=$A102)*M_BOM[RM_Qty_Per_Batch]*IFERROR(INDEX(PP_Grid[#Data],M_BOM[PPGridRow],6),0))</f>
        <v/>
      </c>
      <c r="G102">
        <f>SUMPRODUCT((M_BOM[RM_Code]=$A102)*M_BOM[RM_Qty_Per_Batch]*IFERROR(INDEX(PP_Grid[#Data],M_BOM[PPGridRow],7),0))</f>
        <v/>
      </c>
      <c r="H102">
        <f>SUMPRODUCT((M_BOM[RM_Code]=$A102)*M_BOM[RM_Qty_Per_Batch]*IFERROR(INDEX(PP_Grid[#Data],M_BOM[PPGridRow],8),0))</f>
        <v/>
      </c>
      <c r="I102">
        <f>SUMPRODUCT((M_BOM[RM_Code]=$A102)*M_BOM[RM_Qty_Per_Batch]*IFERROR(INDEX(PP_Grid[#Data],M_BOM[PPGridRow],9),0))</f>
        <v/>
      </c>
      <c r="J102">
        <f>SUMPRODUCT((M_BOM[RM_Code]=$A102)*M_BOM[RM_Qty_Per_Batch]*IFERROR(INDEX(PP_Grid[#Data],M_BOM[PPGridRow],10),0))</f>
        <v/>
      </c>
      <c r="K102">
        <f>SUMPRODUCT((M_BOM[RM_Code]=$A102)*M_BOM[RM_Qty_Per_Batch]*IFERROR(INDEX(PP_Grid[#Data],M_BOM[PPGridRow],11),0))</f>
        <v/>
      </c>
      <c r="L102">
        <f>SUMPRODUCT((M_BOM[RM_Code]=$A102)*M_BOM[RM_Qty_Per_Batch]*IFERROR(INDEX(PP_Grid[#Data],M_BOM[PPGridRow],12),0))</f>
        <v/>
      </c>
      <c r="M102">
        <f>SUMPRODUCT((M_BOM[RM_Code]=$A102)*M_BOM[RM_Qty_Per_Batch]*IFERROR(INDEX(PP_Grid[#Data],M_BOM[PPGridRow],13),0))</f>
        <v/>
      </c>
      <c r="N102">
        <f>SUMPRODUCT((M_BOM[RM_Code]=$A102)*M_BOM[RM_Qty_Per_Batch]*IFERROR(INDEX(PP_Grid[#Data],M_BOM[PPGridRow],14),0))</f>
        <v/>
      </c>
      <c r="O102">
        <f>SUMPRODUCT((M_BOM[RM_Code]=$A102)*M_BOM[RM_Qty_Per_Batch]*IFERROR(INDEX(PP_Grid[#Data],M_BOM[PPGridRow],15),0))</f>
        <v/>
      </c>
      <c r="P102">
        <f>SUMPRODUCT((M_BOM[RM_Code]=$A102)*M_BOM[RM_Qty_Per_Batch]*IFERROR(INDEX(PP_Grid[#Data],M_BOM[PPGridRow],16),0))</f>
        <v/>
      </c>
      <c r="Q102">
        <f>SUMPRODUCT((M_BOM[RM_Code]=$A102)*M_BOM[RM_Qty_Per_Batch]*IFERROR(INDEX(PP_Grid[#Data],M_BOM[PPGridRow],17),0))</f>
        <v/>
      </c>
      <c r="R102">
        <f>SUMPRODUCT((M_BOM[RM_Code]=$A102)*M_BOM[RM_Qty_Per_Batch]*IFERROR(INDEX(PP_Grid[#Data],M_BOM[PPGridRow],18),0))</f>
        <v/>
      </c>
      <c r="S102">
        <f>SUMPRODUCT((M_BOM[RM_Code]=$A102)*M_BOM[RM_Qty_Per_Batch]*IFERROR(INDEX(PP_Grid[#Data],M_BOM[PPGridRow],19),0))</f>
        <v/>
      </c>
      <c r="T102">
        <f>SUMPRODUCT((M_BOM[RM_Code]=$A102)*M_BOM[RM_Qty_Per_Batch]*IFERROR(INDEX(PP_Grid[#Data],M_BOM[PPGridRow],20),0))</f>
        <v/>
      </c>
      <c r="U102">
        <f>SUMPRODUCT((M_BOM[RM_Code]=$A102)*M_BOM[RM_Qty_Per_Batch]*IFERROR(INDEX(PP_Grid[#Data],M_BOM[PPGridRow],21),0))</f>
        <v/>
      </c>
      <c r="V102">
        <f>SUMPRODUCT((M_BOM[RM_Code]=$A102)*M_BOM[RM_Qty_Per_Batch]*IFERROR(INDEX(PP_Grid[#Data],M_BOM[PPGridRow],22),0))</f>
        <v/>
      </c>
      <c r="W102">
        <f>SUMPRODUCT((M_BOM[RM_Code]=$A102)*M_BOM[RM_Qty_Per_Batch]*IFERROR(INDEX(PP_Grid[#Data],M_BOM[PPGridRow],23),0))</f>
        <v/>
      </c>
      <c r="X102">
        <f>SUMPRODUCT((M_BOM[RM_Code]=$A102)*M_BOM[RM_Qty_Per_Batch]*IFERROR(INDEX(PP_Grid[#Data],M_BOM[PPGridRow],24),0))</f>
        <v/>
      </c>
      <c r="Y102">
        <f>SUMPRODUCT((M_BOM[RM_Code]=$A102)*M_BOM[RM_Qty_Per_Batch]*IFERROR(INDEX(PP_Grid[#Data],M_BOM[PPGridRow],25),0))</f>
        <v/>
      </c>
      <c r="Z102">
        <f>SUMPRODUCT((M_BOM[RM_Code]=$A102)*M_BOM[RM_Qty_Per_Batch]*IFERROR(INDEX(PP_Grid[#Data],M_BOM[PPGridRow],26),0))</f>
        <v/>
      </c>
      <c r="AA102">
        <f>SUMPRODUCT((M_BOM[RM_Code]=$A102)*M_BOM[RM_Qty_Per_Batch]*IFERROR(INDEX(PP_Grid[#Data],M_BOM[PPGridRow],27),0))</f>
        <v/>
      </c>
      <c r="AB102">
        <f>SUMPRODUCT((M_BOM[RM_Code]=$A102)*M_BOM[RM_Qty_Per_Batch]*IFERROR(INDEX(PP_Grid[#Data],M_BOM[PPGridRow],28),0))</f>
        <v/>
      </c>
      <c r="AC102">
        <f>SUMPRODUCT((M_BOM[RM_Code]=$A102)*M_BOM[RM_Qty_Per_Batch]*IFERROR(INDEX(PP_Grid[#Data],M_BOM[PPGridRow],29),0))</f>
        <v/>
      </c>
      <c r="AD102">
        <f>SUMPRODUCT((M_BOM[RM_Code]=$A102)*M_BOM[RM_Qty_Per_Batch]*IFERROR(INDEX(PP_Grid[#Data],M_BOM[PPGridRow],30),0))</f>
        <v/>
      </c>
      <c r="AE102">
        <f>SUMPRODUCT((M_BOM[RM_Code]=$A102)*M_BOM[RM_Qty_Per_Batch]*IFERROR(INDEX(PP_Grid[#Data],M_BOM[PPGridRow],31),0))</f>
        <v/>
      </c>
      <c r="AF102">
        <f>SUMPRODUCT((M_BOM[RM_Code]=$A102)*M_BOM[RM_Qty_Per_Batch]*IFERROR(INDEX(PP_Grid[#Data],M_BOM[PPGridRow],32),0))</f>
        <v/>
      </c>
      <c r="AG102">
        <f>SUMPRODUCT((M_BOM[RM_Code]=$A102)*M_BOM[RM_Qty_Per_Batch]*IFERROR(INDEX(PP_Grid[#Data],M_BOM[PPGridRow],33),0))</f>
        <v/>
      </c>
      <c r="AH102">
        <f>SUMPRODUCT((M_BOM[RM_Code]=$A102)*M_BOM[RM_Qty_Per_Batch]*IFERROR(INDEX(PP_Grid[#Data],M_BOM[PPGridRow],34),0))</f>
        <v/>
      </c>
      <c r="AI102">
        <f>SUMPRODUCT((M_BOM[RM_Code]=$A102)*M_BOM[RM_Qty_Per_Batch]*IFERROR(INDEX(PP_Grid[#Data],M_BOM[PPGridRow],35),0))</f>
        <v/>
      </c>
      <c r="AJ102">
        <f>SUMPRODUCT((M_BOM[RM_Code]=$A102)*M_BOM[RM_Qty_Per_Batch]*IFERROR(INDEX(PP_Grid[#Data],M_BOM[PPGridRow],36),0))</f>
        <v/>
      </c>
      <c r="AK102">
        <f>SUMPRODUCT((M_BOM[RM_Code]=$A102)*M_BOM[RM_Qty_Per_Batch]*IFERROR(INDEX(PP_Grid[#Data],M_BOM[PPGridRow],37),0))</f>
        <v/>
      </c>
      <c r="AL102">
        <f>SUMPRODUCT((M_BOM[RM_Code]=$A102)*M_BOM[RM_Qty_Per_Batch]*IFERROR(INDEX(PP_Grid[#Data],M_BOM[PPGridRow],38),0))</f>
        <v/>
      </c>
      <c r="AM102">
        <f>SUMPRODUCT((M_BOM[RM_Code]=$A102)*M_BOM[RM_Qty_Per_Batch]*IFERROR(INDEX(PP_Grid[#Data],M_BOM[PPGridRow],39),0))</f>
        <v/>
      </c>
      <c r="AN102">
        <f>SUMPRODUCT((M_BOM[RM_Code]=$A102)*M_BOM[RM_Qty_Per_Batch]*IFERROR(INDEX(PP_Grid[#Data],M_BOM[PPGridRow],40),0))</f>
        <v/>
      </c>
      <c r="AO102">
        <f>SUMPRODUCT((M_BOM[RM_Code]=$A102)*M_BOM[RM_Qty_Per_Batch]*IFERROR(INDEX(PP_Grid[#Data],M_BOM[PPGridRow],41),0))</f>
        <v/>
      </c>
      <c r="AP102">
        <f>SUMPRODUCT((M_BOM[RM_Code]=$A102)*M_BOM[RM_Qty_Per_Batch]*IFERROR(INDEX(PP_Grid[#Data],M_BOM[PPGridRow],42),0))</f>
        <v/>
      </c>
      <c r="AQ102">
        <f>SUMPRODUCT((M_BOM[RM_Code]=$A102)*M_BOM[RM_Qty_Per_Batch]*IFERROR(INDEX(PP_Grid[#Data],M_BOM[PPGridRow],43),0))</f>
        <v/>
      </c>
      <c r="AR102">
        <f>SUMPRODUCT((M_BOM[RM_Code]=$A102)*M_BOM[RM_Qty_Per_Batch]*IFERROR(INDEX(PP_Grid[#Data],M_BOM[PPGridRow],44),0))</f>
        <v/>
      </c>
      <c r="AS102">
        <f>SUMPRODUCT((M_BOM[RM_Code]=$A102)*M_BOM[RM_Qty_Per_Batch]*IFERROR(INDEX(PP_Grid[#Data],M_BOM[PPGridRow],45),0))</f>
        <v/>
      </c>
      <c r="AT102">
        <f>SUMPRODUCT((M_BOM[RM_Code]=$A102)*M_BOM[RM_Qty_Per_Batch]*IFERROR(INDEX(PP_Grid[#Data],M_BOM[PPGridRow],46),0))</f>
        <v/>
      </c>
      <c r="AU102">
        <f>SUMPRODUCT((M_BOM[RM_Code]=$A102)*M_BOM[RM_Qty_Per_Batch]*IFERROR(INDEX(PP_Grid[#Data],M_BOM[PPGridRow],47),0))</f>
        <v/>
      </c>
      <c r="AV102">
        <f>SUMPRODUCT((M_BOM[RM_Code]=$A102)*M_BOM[RM_Qty_Per_Batch]*IFERROR(INDEX(PP_Grid[#Data],M_BOM[PPGridRow],48),0))</f>
        <v/>
      </c>
      <c r="AW102">
        <f>SUMPRODUCT((M_BOM[RM_Code]=$A102)*M_BOM[RM_Qty_Per_Batch]*IFERROR(INDEX(PP_Grid[#Data],M_BOM[PPGridRow],49),0))</f>
        <v/>
      </c>
      <c r="AX102">
        <f>SUMPRODUCT((M_BOM[RM_Code]=$A102)*M_BOM[RM_Qty_Per_Batch]*IFERROR(INDEX(PP_Grid[#Data],M_BOM[PPGridRow],50),0))</f>
        <v/>
      </c>
      <c r="AY102">
        <f>SUMPRODUCT((M_BOM[RM_Code]=$A102)*M_BOM[RM_Qty_Per_Batch]*IFERROR(INDEX(PP_Grid[#Data],M_BOM[PPGridRow],51),0))</f>
        <v/>
      </c>
      <c r="AZ102">
        <f>SUMPRODUCT((M_BOM[RM_Code]=$A102)*M_BOM[RM_Qty_Per_Batch]*IFERROR(INDEX(PP_Grid[#Data],M_BOM[PPGridRow],52),0))</f>
        <v/>
      </c>
      <c r="BA102">
        <f>SUMPRODUCT((M_BOM[RM_Code]=$A102)*M_BOM[RM_Qty_Per_Batch]*IFERROR(INDEX(PP_Grid[#Data],M_BOM[PPGridRow],53),0))</f>
        <v/>
      </c>
      <c r="BB102">
        <f>SUMPRODUCT((M_BOM[RM_Code]=$A102)*M_BOM[RM_Qty_Per_Batch]*IFERROR(INDEX(PP_Grid[#Data],M_BOM[PPGridRow],54),0))</f>
        <v/>
      </c>
      <c r="BC102">
        <f>SUMPRODUCT((M_BOM[RM_Code]=$A102)*M_BOM[RM_Qty_Per_Batch]*IFERROR(INDEX(PP_Grid[#Data],M_BOM[PPGridRow],55),0))</f>
        <v/>
      </c>
      <c r="BD102">
        <f>SUMPRODUCT((M_BOM[RM_Code]=$A102)*M_BOM[RM_Qty_Per_Batch]*IFERROR(INDEX(PP_Grid[#Data],M_BOM[PPGridRow],56),0))</f>
        <v/>
      </c>
      <c r="BE102">
        <f>SUMPRODUCT((M_BOM[RM_Code]=$A102)*M_BOM[RM_Qty_Per_Batch]*IFERROR(INDEX(PP_Grid[#Data],M_BOM[PPGridRow],57),0))</f>
        <v/>
      </c>
      <c r="BF102">
        <f>SUMPRODUCT((M_BOM[RM_Code]=$A102)*M_BOM[RM_Qty_Per_Batch]*IFERROR(INDEX(PP_Grid[#Data],M_BOM[PPGridRow],58),0))</f>
        <v/>
      </c>
      <c r="BG102">
        <f>SUMPRODUCT((M_BOM[RM_Code]=$A102)*M_BOM[RM_Qty_Per_Batch]*IFERROR(INDEX(PP_Grid[#Data],M_BOM[PPGridRow],59),0))</f>
        <v/>
      </c>
      <c r="BH102">
        <f>SUMPRODUCT((M_BOM[RM_Code]=$A102)*M_BOM[RM_Qty_Per_Batch]*IFERROR(INDEX(PP_Grid[#Data],M_BOM[PPGridRow],60),0))</f>
        <v/>
      </c>
      <c r="BI102">
        <f>SUMPRODUCT((M_BOM[RM_Code]=$A102)*M_BOM[RM_Qty_Per_Batch]*IFERROR(INDEX(PP_Grid[#Data],M_BOM[PPGridRow],61),0))</f>
        <v/>
      </c>
      <c r="BJ102">
        <f>SUMPRODUCT((M_BOM[RM_Code]=$A102)*M_BOM[RM_Qty_Per_Batch]*IFERROR(INDEX(PP_Grid[#Data],M_BOM[PPGridRow],62),0))</f>
        <v/>
      </c>
      <c r="BK102">
        <f>SUMPRODUCT((M_BOM[RM_Code]=$A102)*M_BOM[RM_Qty_Per_Batch]*IFERROR(INDEX(PP_Grid[#Data],M_BOM[PPGridRow],63),0))</f>
        <v/>
      </c>
      <c r="BL102">
        <f>SUMPRODUCT((M_BOM[RM_Code]=$A102)*M_BOM[RM_Qty_Per_Batch]*IFERROR(INDEX(PP_Grid[#Data],M_BOM[PPGridRow],64),0))</f>
        <v/>
      </c>
      <c r="BM102">
        <f>SUMPRODUCT((M_BOM[RM_Code]=$A102)*M_BOM[RM_Qty_Per_Batch]*IFERROR(INDEX(PP_Grid[#Data],M_BOM[PPGridRow],65),0))</f>
        <v/>
      </c>
      <c r="BN102">
        <f>SUMPRODUCT((M_BOM[RM_Code]=$A102)*M_BOM[RM_Qty_Per_Batch]*IFERROR(INDEX(PP_Grid[#Data],M_BOM[PPGridRow],66),0))</f>
        <v/>
      </c>
      <c r="BO102">
        <f>SUMPRODUCT((M_BOM[RM_Code]=$A102)*M_BOM[RM_Qty_Per_Batch]*IFERROR(INDEX(PP_Grid[#Data],M_BOM[PPGridRow],67),0))</f>
        <v/>
      </c>
      <c r="BP102">
        <f>SUMPRODUCT((M_BOM[RM_Code]=$A102)*M_BOM[RM_Qty_Per_Batch]*IFERROR(INDEX(PP_Grid[#Data],M_BOM[PPGridRow],68),0))</f>
        <v/>
      </c>
      <c r="BQ102">
        <f>SUMPRODUCT((M_BOM[RM_Code]=$A102)*M_BOM[RM_Qty_Per_Batch]*IFERROR(INDEX(PP_Grid[#Data],M_BOM[PPGridRow],69),0))</f>
        <v/>
      </c>
      <c r="BR102">
        <f>SUMPRODUCT((M_BOM[RM_Code]=$A102)*M_BOM[RM_Qty_Per_Batch]*IFERROR(INDEX(PP_Grid[#Data],M_BOM[PPGridRow],70),0))</f>
        <v/>
      </c>
      <c r="BS102">
        <f>SUMPRODUCT((M_BOM[RM_Code]=$A102)*M_BOM[RM_Qty_Per_Batch]*IFERROR(INDEX(PP_Grid[#Data],M_BOM[PPGridRow],71),0))</f>
        <v/>
      </c>
      <c r="BT102">
        <f>SUMPRODUCT((M_BOM[RM_Code]=$A102)*M_BOM[RM_Qty_Per_Batch]*IFERROR(INDEX(PP_Grid[#Data],M_BOM[PPGridRow],72),0))</f>
        <v/>
      </c>
      <c r="BU102">
        <f>SUMPRODUCT((M_BOM[RM_Code]=$A102)*M_BOM[RM_Qty_Per_Batch]*IFERROR(INDEX(PP_Grid[#Data],M_BOM[PPGridRow],73),0))</f>
        <v/>
      </c>
      <c r="BV102">
        <f>SUMPRODUCT((M_BOM[RM_Code]=$A102)*M_BOM[RM_Qty_Per_Batch]*IFERROR(INDEX(PP_Grid[#Data],M_BOM[PPGridRow],74),0))</f>
        <v/>
      </c>
      <c r="BW102">
        <f>SUMPRODUCT((M_BOM[RM_Code]=$A102)*M_BOM[RM_Qty_Per_Batch]*IFERROR(INDEX(PP_Grid[#Data],M_BOM[PPGridRow],75),0))</f>
        <v/>
      </c>
      <c r="BX102">
        <f>SUMPRODUCT((M_BOM[RM_Code]=$A102)*M_BOM[RM_Qty_Per_Batch]*IFERROR(INDEX(PP_Grid[#Data],M_BOM[PPGridRow],76),0))</f>
        <v/>
      </c>
      <c r="BY102">
        <f>SUMPRODUCT((M_BOM[RM_Code]=$A102)*M_BOM[RM_Qty_Per_Batch]*IFERROR(INDEX(PP_Grid[#Data],M_BOM[PPGridRow],77),0))</f>
        <v/>
      </c>
      <c r="BZ102">
        <f>SUMPRODUCT((M_BOM[RM_Code]=$A102)*M_BOM[RM_Qty_Per_Batch]*IFERROR(INDEX(PP_Grid[#Data],M_BOM[PPGridRow],78),0))</f>
        <v/>
      </c>
      <c r="CA102">
        <f>SUMPRODUCT((M_BOM[RM_Code]=$A102)*M_BOM[RM_Qty_Per_Batch]*IFERROR(INDEX(PP_Grid[#Data],M_BOM[PPGridRow],79),0))</f>
        <v/>
      </c>
      <c r="CB102">
        <f>SUMPRODUCT((M_BOM[RM_Code]=$A102)*M_BOM[RM_Qty_Per_Batch]*IFERROR(INDEX(PP_Grid[#Data],M_BOM[PPGridRow],80),0))</f>
        <v/>
      </c>
      <c r="CC102">
        <f>SUMPRODUCT((M_BOM[RM_Code]=$A102)*M_BOM[RM_Qty_Per_Batch]*IFERROR(INDEX(PP_Grid[#Data],M_BOM[PPGridRow],81),0))</f>
        <v/>
      </c>
      <c r="CD102">
        <f>SUMPRODUCT((M_BOM[RM_Code]=$A102)*M_BOM[RM_Qty_Per_Batch]*IFERROR(INDEX(PP_Grid[#Data],M_BOM[PPGridRow],82),0))</f>
        <v/>
      </c>
      <c r="CE102">
        <f>SUMPRODUCT((M_BOM[RM_Code]=$A102)*M_BOM[RM_Qty_Per_Batch]*IFERROR(INDEX(PP_Grid[#Data],M_BOM[PPGridRow],83),0))</f>
        <v/>
      </c>
      <c r="CF102">
        <f>SUMPRODUCT((M_BOM[RM_Code]=$A102)*M_BOM[RM_Qty_Per_Batch]*IFERROR(INDEX(PP_Grid[#Data],M_BOM[PPGridRow],84),0))</f>
        <v/>
      </c>
      <c r="CG102">
        <f>SUMPRODUCT((M_BOM[RM_Code]=$A102)*M_BOM[RM_Qty_Per_Batch]*IFERROR(INDEX(PP_Grid[#Data],M_BOM[PPGridRow],85),0))</f>
        <v/>
      </c>
      <c r="CH102">
        <f>SUMPRODUCT((M_BOM[RM_Code]=$A102)*M_BOM[RM_Qty_Per_Batch]*IFERROR(INDEX(PP_Grid[#Data],M_BOM[PPGridRow],86),0))</f>
        <v/>
      </c>
      <c r="CI102">
        <f>SUMPRODUCT((M_BOM[RM_Code]=$A102)*M_BOM[RM_Qty_Per_Batch]*IFERROR(INDEX(PP_Grid[#Data],M_BOM[PPGridRow],87),0))</f>
        <v/>
      </c>
      <c r="CJ102">
        <f>SUMPRODUCT((M_BOM[RM_Code]=$A102)*M_BOM[RM_Qty_Per_Batch]*IFERROR(INDEX(PP_Grid[#Data],M_BOM[PPGridRow],88),0))</f>
        <v/>
      </c>
      <c r="CK102">
        <f>SUMPRODUCT((M_BOM[RM_Code]=$A102)*M_BOM[RM_Qty_Per_Batch]*IFERROR(INDEX(PP_Grid[#Data],M_BOM[PPGridRow],89),0))</f>
        <v/>
      </c>
      <c r="CL102">
        <f>SUMPRODUCT((M_BOM[RM_Code]=$A102)*M_BOM[RM_Qty_Per_Batch]*IFERROR(INDEX(PP_Grid[#Data],M_BOM[PPGridRow],90),0))</f>
        <v/>
      </c>
      <c r="CM102">
        <f>SUMPRODUCT((M_BOM[RM_Code]=$A102)*M_BOM[RM_Qty_Per_Batch]*IFERROR(INDEX(PP_Grid[#Data],M_BOM[PPGridRow],91),0))</f>
        <v/>
      </c>
      <c r="CN102">
        <f>SUMPRODUCT((M_BOM[RM_Code]=$A102)*M_BOM[RM_Qty_Per_Batch]*IFERROR(INDEX(PP_Grid[#Data],M_BOM[PPGridRow],92),0))</f>
        <v/>
      </c>
      <c r="CO102">
        <f>SUMPRODUCT((M_BOM[RM_Code]=$A102)*M_BOM[RM_Qty_Per_Batch]*IFERROR(INDEX(PP_Grid[#Data],M_BOM[PPGridRow],93),0))</f>
        <v/>
      </c>
      <c r="CP102">
        <f>SUMPRODUCT((M_BOM[RM_Code]=$A102)*M_BOM[RM_Qty_Per_Batch]*IFERROR(INDEX(PP_Grid[#Data],M_BOM[PPGridRow],94),0))</f>
        <v/>
      </c>
      <c r="CQ102">
        <f>SUMPRODUCT((M_BOM[RM_Code]=$A102)*M_BOM[RM_Qty_Per_Batch]*IFERROR(INDEX(PP_Grid[#Data],M_BOM[PPGridRow],95),0))</f>
        <v/>
      </c>
      <c r="CR102">
        <f>SUMPRODUCT((M_BOM[RM_Code]=$A102)*M_BOM[RM_Qty_Per_Batch]*IFERROR(INDEX(PP_Grid[#Data],M_BOM[PPGridRow],96),0))</f>
        <v/>
      </c>
      <c r="CS102">
        <f>SUMPRODUCT((M_BOM[RM_Code]=$A102)*M_BOM[RM_Qty_Per_Batch]*IFERROR(INDEX(PP_Grid[#Data],M_BOM[PPGridRow],97),0))</f>
        <v/>
      </c>
      <c r="CT102">
        <f>SUMPRODUCT((M_BOM[RM_Code]=$A102)*M_BOM[RM_Qty_Per_Batch]*IFERROR(INDEX(PP_Grid[#Data],M_BOM[PPGridRow],98),0))</f>
        <v/>
      </c>
      <c r="CU102">
        <f>SUMPRODUCT((M_BOM[RM_Code]=$A102)*M_BOM[RM_Qty_Per_Batch]*IFERROR(INDEX(PP_Grid[#Data],M_BOM[PPGridRow],99),0))</f>
        <v/>
      </c>
      <c r="CV102">
        <f>SUMPRODUCT((M_BOM[RM_Code]=$A102)*M_BOM[RM_Qty_Per_Batch]*IFERROR(INDEX(PP_Grid[#Data],M_BOM[PPGridRow],100),0))</f>
        <v/>
      </c>
      <c r="CW102">
        <f>SUMPRODUCT((M_BOM[RM_Code]=$A102)*M_BOM[RM_Qty_Per_Batch]*IFERROR(INDEX(PP_Grid[#Data],M_BOM[PPGridRow],101),0))</f>
        <v/>
      </c>
      <c r="CX102">
        <f>SUMPRODUCT((M_BOM[RM_Code]=$A102)*M_BOM[RM_Qty_Per_Batch]*IFERROR(INDEX(PP_Grid[#Data],M_BOM[PPGridRow],102),0))</f>
        <v/>
      </c>
      <c r="CY102">
        <f>SUMPRODUCT((M_BOM[RM_Code]=$A102)*M_BOM[RM_Qty_Per_Batch]*IFERROR(INDEX(PP_Grid[#Data],M_BOM[PPGridRow],103),0))</f>
        <v/>
      </c>
      <c r="CZ102">
        <f>SUMPRODUCT((M_BOM[RM_Code]=$A102)*M_BOM[RM_Qty_Per_Batch]*IFERROR(INDEX(PP_Grid[#Data],M_BOM[PPGridRow],104),0))</f>
        <v/>
      </c>
      <c r="DA102">
        <f>SUMPRODUCT((M_BOM[RM_Code]=$A102)*M_BOM[RM_Qty_Per_Batch]*IFERROR(INDEX(PP_Grid[#Data],M_BOM[PPGridRow],105),0))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7" t="inlineStr">
        <is>
          <t>RM_Code</t>
        </is>
      </c>
      <c r="B1" s="27" t="inlineStr">
        <is>
          <t>2026-W01</t>
        </is>
      </c>
      <c r="C1" s="27" t="inlineStr">
        <is>
          <t>2026-W02</t>
        </is>
      </c>
      <c r="D1" s="27" t="inlineStr">
        <is>
          <t>2026-W03</t>
        </is>
      </c>
      <c r="E1" s="27" t="inlineStr">
        <is>
          <t>2026-W04</t>
        </is>
      </c>
      <c r="F1" s="27" t="inlineStr">
        <is>
          <t>2026-W05</t>
        </is>
      </c>
      <c r="G1" s="27" t="inlineStr">
        <is>
          <t>2026-W06</t>
        </is>
      </c>
      <c r="H1" s="27" t="inlineStr">
        <is>
          <t>2026-W07</t>
        </is>
      </c>
      <c r="I1" s="27" t="inlineStr">
        <is>
          <t>2026-W08</t>
        </is>
      </c>
      <c r="J1" s="27" t="inlineStr">
        <is>
          <t>2026-W09</t>
        </is>
      </c>
      <c r="K1" s="27" t="inlineStr">
        <is>
          <t>2026-W10</t>
        </is>
      </c>
      <c r="L1" s="27" t="inlineStr">
        <is>
          <t>2026-W11</t>
        </is>
      </c>
      <c r="M1" s="27" t="inlineStr">
        <is>
          <t>2026-W12</t>
        </is>
      </c>
      <c r="N1" s="27" t="inlineStr">
        <is>
          <t>2026-W13</t>
        </is>
      </c>
      <c r="O1" s="27" t="inlineStr">
        <is>
          <t>2026-W14</t>
        </is>
      </c>
      <c r="P1" s="27" t="inlineStr">
        <is>
          <t>2026-W15</t>
        </is>
      </c>
      <c r="Q1" s="27" t="inlineStr">
        <is>
          <t>2026-W16</t>
        </is>
      </c>
      <c r="R1" s="27" t="inlineStr">
        <is>
          <t>2026-W17</t>
        </is>
      </c>
      <c r="S1" s="27" t="inlineStr">
        <is>
          <t>2026-W18</t>
        </is>
      </c>
      <c r="T1" s="27" t="inlineStr">
        <is>
          <t>2026-W19</t>
        </is>
      </c>
      <c r="U1" s="27" t="inlineStr">
        <is>
          <t>2026-W20</t>
        </is>
      </c>
      <c r="V1" s="27" t="inlineStr">
        <is>
          <t>2026-W21</t>
        </is>
      </c>
      <c r="W1" s="27" t="inlineStr">
        <is>
          <t>2026-W22</t>
        </is>
      </c>
      <c r="X1" s="27" t="inlineStr">
        <is>
          <t>2026-W23</t>
        </is>
      </c>
      <c r="Y1" s="27" t="inlineStr">
        <is>
          <t>2026-W24</t>
        </is>
      </c>
      <c r="Z1" s="27" t="inlineStr">
        <is>
          <t>2026-W25</t>
        </is>
      </c>
      <c r="AA1" s="27" t="inlineStr">
        <is>
          <t>2026-W26</t>
        </is>
      </c>
      <c r="AB1" s="27" t="inlineStr">
        <is>
          <t>2026-W27</t>
        </is>
      </c>
      <c r="AC1" s="27" t="inlineStr">
        <is>
          <t>2026-W28</t>
        </is>
      </c>
      <c r="AD1" s="27" t="inlineStr">
        <is>
          <t>2026-W29</t>
        </is>
      </c>
      <c r="AE1" s="27" t="inlineStr">
        <is>
          <t>2026-W30</t>
        </is>
      </c>
      <c r="AF1" s="27" t="inlineStr">
        <is>
          <t>2026-W31</t>
        </is>
      </c>
      <c r="AG1" s="27" t="inlineStr">
        <is>
          <t>2026-W32</t>
        </is>
      </c>
      <c r="AH1" s="27" t="inlineStr">
        <is>
          <t>2026-W33</t>
        </is>
      </c>
      <c r="AI1" s="27" t="inlineStr">
        <is>
          <t>2026-W34</t>
        </is>
      </c>
      <c r="AJ1" s="27" t="inlineStr">
        <is>
          <t>2026-W35</t>
        </is>
      </c>
      <c r="AK1" s="27" t="inlineStr">
        <is>
          <t>2026-W36</t>
        </is>
      </c>
      <c r="AL1" s="27" t="inlineStr">
        <is>
          <t>2026-W37</t>
        </is>
      </c>
      <c r="AM1" s="27" t="inlineStr">
        <is>
          <t>2026-W38</t>
        </is>
      </c>
      <c r="AN1" s="27" t="inlineStr">
        <is>
          <t>2026-W39</t>
        </is>
      </c>
      <c r="AO1" s="27" t="inlineStr">
        <is>
          <t>2026-W40</t>
        </is>
      </c>
      <c r="AP1" s="27" t="inlineStr">
        <is>
          <t>2026-W41</t>
        </is>
      </c>
      <c r="AQ1" s="27" t="inlineStr">
        <is>
          <t>2026-W42</t>
        </is>
      </c>
      <c r="AR1" s="27" t="inlineStr">
        <is>
          <t>2026-W43</t>
        </is>
      </c>
      <c r="AS1" s="27" t="inlineStr">
        <is>
          <t>2026-W44</t>
        </is>
      </c>
      <c r="AT1" s="27" t="inlineStr">
        <is>
          <t>2026-W45</t>
        </is>
      </c>
      <c r="AU1" s="27" t="inlineStr">
        <is>
          <t>2026-W46</t>
        </is>
      </c>
      <c r="AV1" s="27" t="inlineStr">
        <is>
          <t>2026-W47</t>
        </is>
      </c>
      <c r="AW1" s="27" t="inlineStr">
        <is>
          <t>2026-W48</t>
        </is>
      </c>
      <c r="AX1" s="27" t="inlineStr">
        <is>
          <t>2026-W49</t>
        </is>
      </c>
      <c r="AY1" s="27" t="inlineStr">
        <is>
          <t>2026-W50</t>
        </is>
      </c>
      <c r="AZ1" s="27" t="inlineStr">
        <is>
          <t>2026-W51</t>
        </is>
      </c>
      <c r="BA1" s="27" t="inlineStr">
        <is>
          <t>2026-W52</t>
        </is>
      </c>
      <c r="BB1" s="27" t="inlineStr">
        <is>
          <t>2027-W01</t>
        </is>
      </c>
      <c r="BC1" s="27" t="inlineStr">
        <is>
          <t>2027-W02</t>
        </is>
      </c>
      <c r="BD1" s="27" t="inlineStr">
        <is>
          <t>2027-W03</t>
        </is>
      </c>
      <c r="BE1" s="27" t="inlineStr">
        <is>
          <t>2027-W04</t>
        </is>
      </c>
      <c r="BF1" s="27" t="inlineStr">
        <is>
          <t>2027-W05</t>
        </is>
      </c>
      <c r="BG1" s="27" t="inlineStr">
        <is>
          <t>2027-W06</t>
        </is>
      </c>
      <c r="BH1" s="27" t="inlineStr">
        <is>
          <t>2027-W07</t>
        </is>
      </c>
      <c r="BI1" s="27" t="inlineStr">
        <is>
          <t>2027-W08</t>
        </is>
      </c>
      <c r="BJ1" s="27" t="inlineStr">
        <is>
          <t>2027-W09</t>
        </is>
      </c>
      <c r="BK1" s="27" t="inlineStr">
        <is>
          <t>2027-W10</t>
        </is>
      </c>
      <c r="BL1" s="27" t="inlineStr">
        <is>
          <t>2027-W11</t>
        </is>
      </c>
      <c r="BM1" s="27" t="inlineStr">
        <is>
          <t>2027-W12</t>
        </is>
      </c>
      <c r="BN1" s="27" t="inlineStr">
        <is>
          <t>2027-W13</t>
        </is>
      </c>
      <c r="BO1" s="27" t="inlineStr">
        <is>
          <t>2027-W14</t>
        </is>
      </c>
      <c r="BP1" s="27" t="inlineStr">
        <is>
          <t>2027-W15</t>
        </is>
      </c>
      <c r="BQ1" s="27" t="inlineStr">
        <is>
          <t>2027-W16</t>
        </is>
      </c>
      <c r="BR1" s="27" t="inlineStr">
        <is>
          <t>2027-W17</t>
        </is>
      </c>
      <c r="BS1" s="27" t="inlineStr">
        <is>
          <t>2027-W18</t>
        </is>
      </c>
      <c r="BT1" s="27" t="inlineStr">
        <is>
          <t>2027-W19</t>
        </is>
      </c>
      <c r="BU1" s="27" t="inlineStr">
        <is>
          <t>2027-W20</t>
        </is>
      </c>
      <c r="BV1" s="27" t="inlineStr">
        <is>
          <t>2027-W21</t>
        </is>
      </c>
      <c r="BW1" s="27" t="inlineStr">
        <is>
          <t>2027-W22</t>
        </is>
      </c>
      <c r="BX1" s="27" t="inlineStr">
        <is>
          <t>2027-W23</t>
        </is>
      </c>
      <c r="BY1" s="27" t="inlineStr">
        <is>
          <t>2027-W24</t>
        </is>
      </c>
      <c r="BZ1" s="27" t="inlineStr">
        <is>
          <t>2027-W25</t>
        </is>
      </c>
      <c r="CA1" s="27" t="inlineStr">
        <is>
          <t>2027-W26</t>
        </is>
      </c>
      <c r="CB1" s="27" t="inlineStr">
        <is>
          <t>2027-W27</t>
        </is>
      </c>
      <c r="CC1" s="27" t="inlineStr">
        <is>
          <t>2027-W28</t>
        </is>
      </c>
      <c r="CD1" s="27" t="inlineStr">
        <is>
          <t>2027-W29</t>
        </is>
      </c>
      <c r="CE1" s="27" t="inlineStr">
        <is>
          <t>2027-W30</t>
        </is>
      </c>
      <c r="CF1" s="27" t="inlineStr">
        <is>
          <t>2027-W31</t>
        </is>
      </c>
      <c r="CG1" s="27" t="inlineStr">
        <is>
          <t>2027-W32</t>
        </is>
      </c>
      <c r="CH1" s="27" t="inlineStr">
        <is>
          <t>2027-W33</t>
        </is>
      </c>
      <c r="CI1" s="27" t="inlineStr">
        <is>
          <t>2027-W34</t>
        </is>
      </c>
      <c r="CJ1" s="27" t="inlineStr">
        <is>
          <t>2027-W35</t>
        </is>
      </c>
      <c r="CK1" s="27" t="inlineStr">
        <is>
          <t>2027-W36</t>
        </is>
      </c>
      <c r="CL1" s="27" t="inlineStr">
        <is>
          <t>2027-W37</t>
        </is>
      </c>
      <c r="CM1" s="27" t="inlineStr">
        <is>
          <t>2027-W38</t>
        </is>
      </c>
      <c r="CN1" s="27" t="inlineStr">
        <is>
          <t>2027-W39</t>
        </is>
      </c>
      <c r="CO1" s="27" t="inlineStr">
        <is>
          <t>2027-W40</t>
        </is>
      </c>
      <c r="CP1" s="27" t="inlineStr">
        <is>
          <t>2027-W41</t>
        </is>
      </c>
      <c r="CQ1" s="27" t="inlineStr">
        <is>
          <t>2027-W42</t>
        </is>
      </c>
      <c r="CR1" s="27" t="inlineStr">
        <is>
          <t>2027-W43</t>
        </is>
      </c>
      <c r="CS1" s="27" t="inlineStr">
        <is>
          <t>2027-W44</t>
        </is>
      </c>
      <c r="CT1" s="27" t="inlineStr">
        <is>
          <t>2027-W45</t>
        </is>
      </c>
      <c r="CU1" s="27" t="inlineStr">
        <is>
          <t>2027-W46</t>
        </is>
      </c>
      <c r="CV1" s="27" t="inlineStr">
        <is>
          <t>2027-W47</t>
        </is>
      </c>
      <c r="CW1" s="27" t="inlineStr">
        <is>
          <t>2027-W48</t>
        </is>
      </c>
      <c r="CX1" s="27" t="inlineStr">
        <is>
          <t>2027-W49</t>
        </is>
      </c>
      <c r="CY1" s="27" t="inlineStr">
        <is>
          <t>2027-W50</t>
        </is>
      </c>
      <c r="CZ1" s="27" t="inlineStr">
        <is>
          <t>2027-W51</t>
        </is>
      </c>
      <c r="DA1" s="27" t="inlineStr">
        <is>
          <t>2027-W52</t>
        </is>
      </c>
    </row>
    <row r="2">
      <c r="A2" t="inlineStr">
        <is>
          <t>CHEM-1250</t>
        </is>
      </c>
      <c r="B2">
        <f>SUMIFS(T_Shipments[Confirmed_Qty],T_Shipments[RM_Code],$A2,T_Shipments[Effective_Week],1)</f>
        <v/>
      </c>
      <c r="C2">
        <f>SUMIFS(T_Shipments[Confirmed_Qty],T_Shipments[RM_Code],$A2,T_Shipments[Effective_Week],2)</f>
        <v/>
      </c>
      <c r="D2">
        <f>SUMIFS(T_Shipments[Confirmed_Qty],T_Shipments[RM_Code],$A2,T_Shipments[Effective_Week],3)</f>
        <v/>
      </c>
      <c r="E2">
        <f>SUMIFS(T_Shipments[Confirmed_Qty],T_Shipments[RM_Code],$A2,T_Shipments[Effective_Week],4)</f>
        <v/>
      </c>
      <c r="F2">
        <f>SUMIFS(T_Shipments[Confirmed_Qty],T_Shipments[RM_Code],$A2,T_Shipments[Effective_Week],5)</f>
        <v/>
      </c>
      <c r="G2">
        <f>SUMIFS(T_Shipments[Confirmed_Qty],T_Shipments[RM_Code],$A2,T_Shipments[Effective_Week],6)</f>
        <v/>
      </c>
      <c r="H2">
        <f>SUMIFS(T_Shipments[Confirmed_Qty],T_Shipments[RM_Code],$A2,T_Shipments[Effective_Week],7)</f>
        <v/>
      </c>
      <c r="I2">
        <f>SUMIFS(T_Shipments[Confirmed_Qty],T_Shipments[RM_Code],$A2,T_Shipments[Effective_Week],8)</f>
        <v/>
      </c>
      <c r="J2">
        <f>SUMIFS(T_Shipments[Confirmed_Qty],T_Shipments[RM_Code],$A2,T_Shipments[Effective_Week],9)</f>
        <v/>
      </c>
      <c r="K2">
        <f>SUMIFS(T_Shipments[Confirmed_Qty],T_Shipments[RM_Code],$A2,T_Shipments[Effective_Week],10)</f>
        <v/>
      </c>
      <c r="L2">
        <f>SUMIFS(T_Shipments[Confirmed_Qty],T_Shipments[RM_Code],$A2,T_Shipments[Effective_Week],11)</f>
        <v/>
      </c>
      <c r="M2">
        <f>SUMIFS(T_Shipments[Confirmed_Qty],T_Shipments[RM_Code],$A2,T_Shipments[Effective_Week],12)</f>
        <v/>
      </c>
      <c r="N2">
        <f>SUMIFS(T_Shipments[Confirmed_Qty],T_Shipments[RM_Code],$A2,T_Shipments[Effective_Week],13)</f>
        <v/>
      </c>
      <c r="O2">
        <f>SUMIFS(T_Shipments[Confirmed_Qty],T_Shipments[RM_Code],$A2,T_Shipments[Effective_Week],14)</f>
        <v/>
      </c>
      <c r="P2">
        <f>SUMIFS(T_Shipments[Confirmed_Qty],T_Shipments[RM_Code],$A2,T_Shipments[Effective_Week],15)</f>
        <v/>
      </c>
      <c r="Q2">
        <f>SUMIFS(T_Shipments[Confirmed_Qty],T_Shipments[RM_Code],$A2,T_Shipments[Effective_Week],16)</f>
        <v/>
      </c>
      <c r="R2">
        <f>SUMIFS(T_Shipments[Confirmed_Qty],T_Shipments[RM_Code],$A2,T_Shipments[Effective_Week],17)</f>
        <v/>
      </c>
      <c r="S2">
        <f>SUMIFS(T_Shipments[Confirmed_Qty],T_Shipments[RM_Code],$A2,T_Shipments[Effective_Week],18)</f>
        <v/>
      </c>
      <c r="T2">
        <f>SUMIFS(T_Shipments[Confirmed_Qty],T_Shipments[RM_Code],$A2,T_Shipments[Effective_Week],19)</f>
        <v/>
      </c>
      <c r="U2">
        <f>SUMIFS(T_Shipments[Confirmed_Qty],T_Shipments[RM_Code],$A2,T_Shipments[Effective_Week],20)</f>
        <v/>
      </c>
      <c r="V2">
        <f>SUMIFS(T_Shipments[Confirmed_Qty],T_Shipments[RM_Code],$A2,T_Shipments[Effective_Week],21)</f>
        <v/>
      </c>
      <c r="W2">
        <f>SUMIFS(T_Shipments[Confirmed_Qty],T_Shipments[RM_Code],$A2,T_Shipments[Effective_Week],22)</f>
        <v/>
      </c>
      <c r="X2">
        <f>SUMIFS(T_Shipments[Confirmed_Qty],T_Shipments[RM_Code],$A2,T_Shipments[Effective_Week],23)</f>
        <v/>
      </c>
      <c r="Y2">
        <f>SUMIFS(T_Shipments[Confirmed_Qty],T_Shipments[RM_Code],$A2,T_Shipments[Effective_Week],24)</f>
        <v/>
      </c>
      <c r="Z2">
        <f>SUMIFS(T_Shipments[Confirmed_Qty],T_Shipments[RM_Code],$A2,T_Shipments[Effective_Week],25)</f>
        <v/>
      </c>
      <c r="AA2">
        <f>SUMIFS(T_Shipments[Confirmed_Qty],T_Shipments[RM_Code],$A2,T_Shipments[Effective_Week],26)</f>
        <v/>
      </c>
      <c r="AB2">
        <f>SUMIFS(T_Shipments[Confirmed_Qty],T_Shipments[RM_Code],$A2,T_Shipments[Effective_Week],27)</f>
        <v/>
      </c>
      <c r="AC2">
        <f>SUMIFS(T_Shipments[Confirmed_Qty],T_Shipments[RM_Code],$A2,T_Shipments[Effective_Week],28)</f>
        <v/>
      </c>
      <c r="AD2">
        <f>SUMIFS(T_Shipments[Confirmed_Qty],T_Shipments[RM_Code],$A2,T_Shipments[Effective_Week],29)</f>
        <v/>
      </c>
      <c r="AE2">
        <f>SUMIFS(T_Shipments[Confirmed_Qty],T_Shipments[RM_Code],$A2,T_Shipments[Effective_Week],30)</f>
        <v/>
      </c>
      <c r="AF2">
        <f>SUMIFS(T_Shipments[Confirmed_Qty],T_Shipments[RM_Code],$A2,T_Shipments[Effective_Week],31)</f>
        <v/>
      </c>
      <c r="AG2">
        <f>SUMIFS(T_Shipments[Confirmed_Qty],T_Shipments[RM_Code],$A2,T_Shipments[Effective_Week],32)</f>
        <v/>
      </c>
      <c r="AH2">
        <f>SUMIFS(T_Shipments[Confirmed_Qty],T_Shipments[RM_Code],$A2,T_Shipments[Effective_Week],33)</f>
        <v/>
      </c>
      <c r="AI2">
        <f>SUMIFS(T_Shipments[Confirmed_Qty],T_Shipments[RM_Code],$A2,T_Shipments[Effective_Week],34)</f>
        <v/>
      </c>
      <c r="AJ2">
        <f>SUMIFS(T_Shipments[Confirmed_Qty],T_Shipments[RM_Code],$A2,T_Shipments[Effective_Week],35)</f>
        <v/>
      </c>
      <c r="AK2">
        <f>SUMIFS(T_Shipments[Confirmed_Qty],T_Shipments[RM_Code],$A2,T_Shipments[Effective_Week],36)</f>
        <v/>
      </c>
      <c r="AL2">
        <f>SUMIFS(T_Shipments[Confirmed_Qty],T_Shipments[RM_Code],$A2,T_Shipments[Effective_Week],37)</f>
        <v/>
      </c>
      <c r="AM2">
        <f>SUMIFS(T_Shipments[Confirmed_Qty],T_Shipments[RM_Code],$A2,T_Shipments[Effective_Week],38)</f>
        <v/>
      </c>
      <c r="AN2">
        <f>SUMIFS(T_Shipments[Confirmed_Qty],T_Shipments[RM_Code],$A2,T_Shipments[Effective_Week],39)</f>
        <v/>
      </c>
      <c r="AO2">
        <f>SUMIFS(T_Shipments[Confirmed_Qty],T_Shipments[RM_Code],$A2,T_Shipments[Effective_Week],40)</f>
        <v/>
      </c>
      <c r="AP2">
        <f>SUMIFS(T_Shipments[Confirmed_Qty],T_Shipments[RM_Code],$A2,T_Shipments[Effective_Week],41)</f>
        <v/>
      </c>
      <c r="AQ2">
        <f>SUMIFS(T_Shipments[Confirmed_Qty],T_Shipments[RM_Code],$A2,T_Shipments[Effective_Week],42)</f>
        <v/>
      </c>
      <c r="AR2">
        <f>SUMIFS(T_Shipments[Confirmed_Qty],T_Shipments[RM_Code],$A2,T_Shipments[Effective_Week],43)</f>
        <v/>
      </c>
      <c r="AS2">
        <f>SUMIFS(T_Shipments[Confirmed_Qty],T_Shipments[RM_Code],$A2,T_Shipments[Effective_Week],44)</f>
        <v/>
      </c>
      <c r="AT2">
        <f>SUMIFS(T_Shipments[Confirmed_Qty],T_Shipments[RM_Code],$A2,T_Shipments[Effective_Week],45)</f>
        <v/>
      </c>
      <c r="AU2">
        <f>SUMIFS(T_Shipments[Confirmed_Qty],T_Shipments[RM_Code],$A2,T_Shipments[Effective_Week],46)</f>
        <v/>
      </c>
      <c r="AV2">
        <f>SUMIFS(T_Shipments[Confirmed_Qty],T_Shipments[RM_Code],$A2,T_Shipments[Effective_Week],47)</f>
        <v/>
      </c>
      <c r="AW2">
        <f>SUMIFS(T_Shipments[Confirmed_Qty],T_Shipments[RM_Code],$A2,T_Shipments[Effective_Week],48)</f>
        <v/>
      </c>
      <c r="AX2">
        <f>SUMIFS(T_Shipments[Confirmed_Qty],T_Shipments[RM_Code],$A2,T_Shipments[Effective_Week],49)</f>
        <v/>
      </c>
      <c r="AY2">
        <f>SUMIFS(T_Shipments[Confirmed_Qty],T_Shipments[RM_Code],$A2,T_Shipments[Effective_Week],50)</f>
        <v/>
      </c>
      <c r="AZ2">
        <f>SUMIFS(T_Shipments[Confirmed_Qty],T_Shipments[RM_Code],$A2,T_Shipments[Effective_Week],51)</f>
        <v/>
      </c>
      <c r="BA2">
        <f>SUMIFS(T_Shipments[Confirmed_Qty],T_Shipments[RM_Code],$A2,T_Shipments[Effective_Week],52)</f>
        <v/>
      </c>
      <c r="BB2">
        <f>SUMIFS(T_Shipments[Confirmed_Qty],T_Shipments[RM_Code],$A2,T_Shipments[Effective_Week],53)</f>
        <v/>
      </c>
      <c r="BC2">
        <f>SUMIFS(T_Shipments[Confirmed_Qty],T_Shipments[RM_Code],$A2,T_Shipments[Effective_Week],54)</f>
        <v/>
      </c>
      <c r="BD2">
        <f>SUMIFS(T_Shipments[Confirmed_Qty],T_Shipments[RM_Code],$A2,T_Shipments[Effective_Week],55)</f>
        <v/>
      </c>
      <c r="BE2">
        <f>SUMIFS(T_Shipments[Confirmed_Qty],T_Shipments[RM_Code],$A2,T_Shipments[Effective_Week],56)</f>
        <v/>
      </c>
      <c r="BF2">
        <f>SUMIFS(T_Shipments[Confirmed_Qty],T_Shipments[RM_Code],$A2,T_Shipments[Effective_Week],57)</f>
        <v/>
      </c>
      <c r="BG2">
        <f>SUMIFS(T_Shipments[Confirmed_Qty],T_Shipments[RM_Code],$A2,T_Shipments[Effective_Week],58)</f>
        <v/>
      </c>
      <c r="BH2">
        <f>SUMIFS(T_Shipments[Confirmed_Qty],T_Shipments[RM_Code],$A2,T_Shipments[Effective_Week],59)</f>
        <v/>
      </c>
      <c r="BI2">
        <f>SUMIFS(T_Shipments[Confirmed_Qty],T_Shipments[RM_Code],$A2,T_Shipments[Effective_Week],60)</f>
        <v/>
      </c>
      <c r="BJ2">
        <f>SUMIFS(T_Shipments[Confirmed_Qty],T_Shipments[RM_Code],$A2,T_Shipments[Effective_Week],61)</f>
        <v/>
      </c>
      <c r="BK2">
        <f>SUMIFS(T_Shipments[Confirmed_Qty],T_Shipments[RM_Code],$A2,T_Shipments[Effective_Week],62)</f>
        <v/>
      </c>
      <c r="BL2">
        <f>SUMIFS(T_Shipments[Confirmed_Qty],T_Shipments[RM_Code],$A2,T_Shipments[Effective_Week],63)</f>
        <v/>
      </c>
      <c r="BM2">
        <f>SUMIFS(T_Shipments[Confirmed_Qty],T_Shipments[RM_Code],$A2,T_Shipments[Effective_Week],64)</f>
        <v/>
      </c>
      <c r="BN2">
        <f>SUMIFS(T_Shipments[Confirmed_Qty],T_Shipments[RM_Code],$A2,T_Shipments[Effective_Week],65)</f>
        <v/>
      </c>
      <c r="BO2">
        <f>SUMIFS(T_Shipments[Confirmed_Qty],T_Shipments[RM_Code],$A2,T_Shipments[Effective_Week],66)</f>
        <v/>
      </c>
      <c r="BP2">
        <f>SUMIFS(T_Shipments[Confirmed_Qty],T_Shipments[RM_Code],$A2,T_Shipments[Effective_Week],67)</f>
        <v/>
      </c>
      <c r="BQ2">
        <f>SUMIFS(T_Shipments[Confirmed_Qty],T_Shipments[RM_Code],$A2,T_Shipments[Effective_Week],68)</f>
        <v/>
      </c>
      <c r="BR2">
        <f>SUMIFS(T_Shipments[Confirmed_Qty],T_Shipments[RM_Code],$A2,T_Shipments[Effective_Week],69)</f>
        <v/>
      </c>
      <c r="BS2">
        <f>SUMIFS(T_Shipments[Confirmed_Qty],T_Shipments[RM_Code],$A2,T_Shipments[Effective_Week],70)</f>
        <v/>
      </c>
      <c r="BT2">
        <f>SUMIFS(T_Shipments[Confirmed_Qty],T_Shipments[RM_Code],$A2,T_Shipments[Effective_Week],71)</f>
        <v/>
      </c>
      <c r="BU2">
        <f>SUMIFS(T_Shipments[Confirmed_Qty],T_Shipments[RM_Code],$A2,T_Shipments[Effective_Week],72)</f>
        <v/>
      </c>
      <c r="BV2">
        <f>SUMIFS(T_Shipments[Confirmed_Qty],T_Shipments[RM_Code],$A2,T_Shipments[Effective_Week],73)</f>
        <v/>
      </c>
      <c r="BW2">
        <f>SUMIFS(T_Shipments[Confirmed_Qty],T_Shipments[RM_Code],$A2,T_Shipments[Effective_Week],74)</f>
        <v/>
      </c>
      <c r="BX2">
        <f>SUMIFS(T_Shipments[Confirmed_Qty],T_Shipments[RM_Code],$A2,T_Shipments[Effective_Week],75)</f>
        <v/>
      </c>
      <c r="BY2">
        <f>SUMIFS(T_Shipments[Confirmed_Qty],T_Shipments[RM_Code],$A2,T_Shipments[Effective_Week],76)</f>
        <v/>
      </c>
      <c r="BZ2">
        <f>SUMIFS(T_Shipments[Confirmed_Qty],T_Shipments[RM_Code],$A2,T_Shipments[Effective_Week],77)</f>
        <v/>
      </c>
      <c r="CA2">
        <f>SUMIFS(T_Shipments[Confirmed_Qty],T_Shipments[RM_Code],$A2,T_Shipments[Effective_Week],78)</f>
        <v/>
      </c>
      <c r="CB2">
        <f>SUMIFS(T_Shipments[Confirmed_Qty],T_Shipments[RM_Code],$A2,T_Shipments[Effective_Week],79)</f>
        <v/>
      </c>
      <c r="CC2">
        <f>SUMIFS(T_Shipments[Confirmed_Qty],T_Shipments[RM_Code],$A2,T_Shipments[Effective_Week],80)</f>
        <v/>
      </c>
      <c r="CD2">
        <f>SUMIFS(T_Shipments[Confirmed_Qty],T_Shipments[RM_Code],$A2,T_Shipments[Effective_Week],81)</f>
        <v/>
      </c>
      <c r="CE2">
        <f>SUMIFS(T_Shipments[Confirmed_Qty],T_Shipments[RM_Code],$A2,T_Shipments[Effective_Week],82)</f>
        <v/>
      </c>
      <c r="CF2">
        <f>SUMIFS(T_Shipments[Confirmed_Qty],T_Shipments[RM_Code],$A2,T_Shipments[Effective_Week],83)</f>
        <v/>
      </c>
      <c r="CG2">
        <f>SUMIFS(T_Shipments[Confirmed_Qty],T_Shipments[RM_Code],$A2,T_Shipments[Effective_Week],84)</f>
        <v/>
      </c>
      <c r="CH2">
        <f>SUMIFS(T_Shipments[Confirmed_Qty],T_Shipments[RM_Code],$A2,T_Shipments[Effective_Week],85)</f>
        <v/>
      </c>
      <c r="CI2">
        <f>SUMIFS(T_Shipments[Confirmed_Qty],T_Shipments[RM_Code],$A2,T_Shipments[Effective_Week],86)</f>
        <v/>
      </c>
      <c r="CJ2">
        <f>SUMIFS(T_Shipments[Confirmed_Qty],T_Shipments[RM_Code],$A2,T_Shipments[Effective_Week],87)</f>
        <v/>
      </c>
      <c r="CK2">
        <f>SUMIFS(T_Shipments[Confirmed_Qty],T_Shipments[RM_Code],$A2,T_Shipments[Effective_Week],88)</f>
        <v/>
      </c>
      <c r="CL2">
        <f>SUMIFS(T_Shipments[Confirmed_Qty],T_Shipments[RM_Code],$A2,T_Shipments[Effective_Week],89)</f>
        <v/>
      </c>
      <c r="CM2">
        <f>SUMIFS(T_Shipments[Confirmed_Qty],T_Shipments[RM_Code],$A2,T_Shipments[Effective_Week],90)</f>
        <v/>
      </c>
      <c r="CN2">
        <f>SUMIFS(T_Shipments[Confirmed_Qty],T_Shipments[RM_Code],$A2,T_Shipments[Effective_Week],91)</f>
        <v/>
      </c>
      <c r="CO2">
        <f>SUMIFS(T_Shipments[Confirmed_Qty],T_Shipments[RM_Code],$A2,T_Shipments[Effective_Week],92)</f>
        <v/>
      </c>
      <c r="CP2">
        <f>SUMIFS(T_Shipments[Confirmed_Qty],T_Shipments[RM_Code],$A2,T_Shipments[Effective_Week],93)</f>
        <v/>
      </c>
      <c r="CQ2">
        <f>SUMIFS(T_Shipments[Confirmed_Qty],T_Shipments[RM_Code],$A2,T_Shipments[Effective_Week],94)</f>
        <v/>
      </c>
      <c r="CR2">
        <f>SUMIFS(T_Shipments[Confirmed_Qty],T_Shipments[RM_Code],$A2,T_Shipments[Effective_Week],95)</f>
        <v/>
      </c>
      <c r="CS2">
        <f>SUMIFS(T_Shipments[Confirmed_Qty],T_Shipments[RM_Code],$A2,T_Shipments[Effective_Week],96)</f>
        <v/>
      </c>
      <c r="CT2">
        <f>SUMIFS(T_Shipments[Confirmed_Qty],T_Shipments[RM_Code],$A2,T_Shipments[Effective_Week],97)</f>
        <v/>
      </c>
      <c r="CU2">
        <f>SUMIFS(T_Shipments[Confirmed_Qty],T_Shipments[RM_Code],$A2,T_Shipments[Effective_Week],98)</f>
        <v/>
      </c>
      <c r="CV2">
        <f>SUMIFS(T_Shipments[Confirmed_Qty],T_Shipments[RM_Code],$A2,T_Shipments[Effective_Week],99)</f>
        <v/>
      </c>
      <c r="CW2">
        <f>SUMIFS(T_Shipments[Confirmed_Qty],T_Shipments[RM_Code],$A2,T_Shipments[Effective_Week],100)</f>
        <v/>
      </c>
      <c r="CX2">
        <f>SUMIFS(T_Shipments[Confirmed_Qty],T_Shipments[RM_Code],$A2,T_Shipments[Effective_Week],101)</f>
        <v/>
      </c>
      <c r="CY2">
        <f>SUMIFS(T_Shipments[Confirmed_Qty],T_Shipments[RM_Code],$A2,T_Shipments[Effective_Week],102)</f>
        <v/>
      </c>
      <c r="CZ2">
        <f>SUMIFS(T_Shipments[Confirmed_Qty],T_Shipments[RM_Code],$A2,T_Shipments[Effective_Week],103)</f>
        <v/>
      </c>
      <c r="DA2">
        <f>SUMIFS(T_Shipments[Confirmed_Qty],T_Shipments[RM_Code],$A2,T_Shipments[Effective_Week],104)</f>
        <v/>
      </c>
    </row>
    <row r="3">
      <c r="A3" t="inlineStr">
        <is>
          <t>CHEM-1670</t>
        </is>
      </c>
      <c r="B3">
        <f>SUMIFS(T_Shipments[Confirmed_Qty],T_Shipments[RM_Code],$A3,T_Shipments[Effective_Week],1)</f>
        <v/>
      </c>
      <c r="C3">
        <f>SUMIFS(T_Shipments[Confirmed_Qty],T_Shipments[RM_Code],$A3,T_Shipments[Effective_Week],2)</f>
        <v/>
      </c>
      <c r="D3">
        <f>SUMIFS(T_Shipments[Confirmed_Qty],T_Shipments[RM_Code],$A3,T_Shipments[Effective_Week],3)</f>
        <v/>
      </c>
      <c r="E3">
        <f>SUMIFS(T_Shipments[Confirmed_Qty],T_Shipments[RM_Code],$A3,T_Shipments[Effective_Week],4)</f>
        <v/>
      </c>
      <c r="F3">
        <f>SUMIFS(T_Shipments[Confirmed_Qty],T_Shipments[RM_Code],$A3,T_Shipments[Effective_Week],5)</f>
        <v/>
      </c>
      <c r="G3">
        <f>SUMIFS(T_Shipments[Confirmed_Qty],T_Shipments[RM_Code],$A3,T_Shipments[Effective_Week],6)</f>
        <v/>
      </c>
      <c r="H3">
        <f>SUMIFS(T_Shipments[Confirmed_Qty],T_Shipments[RM_Code],$A3,T_Shipments[Effective_Week],7)</f>
        <v/>
      </c>
      <c r="I3">
        <f>SUMIFS(T_Shipments[Confirmed_Qty],T_Shipments[RM_Code],$A3,T_Shipments[Effective_Week],8)</f>
        <v/>
      </c>
      <c r="J3">
        <f>SUMIFS(T_Shipments[Confirmed_Qty],T_Shipments[RM_Code],$A3,T_Shipments[Effective_Week],9)</f>
        <v/>
      </c>
      <c r="K3">
        <f>SUMIFS(T_Shipments[Confirmed_Qty],T_Shipments[RM_Code],$A3,T_Shipments[Effective_Week],10)</f>
        <v/>
      </c>
      <c r="L3">
        <f>SUMIFS(T_Shipments[Confirmed_Qty],T_Shipments[RM_Code],$A3,T_Shipments[Effective_Week],11)</f>
        <v/>
      </c>
      <c r="M3">
        <f>SUMIFS(T_Shipments[Confirmed_Qty],T_Shipments[RM_Code],$A3,T_Shipments[Effective_Week],12)</f>
        <v/>
      </c>
      <c r="N3">
        <f>SUMIFS(T_Shipments[Confirmed_Qty],T_Shipments[RM_Code],$A3,T_Shipments[Effective_Week],13)</f>
        <v/>
      </c>
      <c r="O3">
        <f>SUMIFS(T_Shipments[Confirmed_Qty],T_Shipments[RM_Code],$A3,T_Shipments[Effective_Week],14)</f>
        <v/>
      </c>
      <c r="P3">
        <f>SUMIFS(T_Shipments[Confirmed_Qty],T_Shipments[RM_Code],$A3,T_Shipments[Effective_Week],15)</f>
        <v/>
      </c>
      <c r="Q3">
        <f>SUMIFS(T_Shipments[Confirmed_Qty],T_Shipments[RM_Code],$A3,T_Shipments[Effective_Week],16)</f>
        <v/>
      </c>
      <c r="R3">
        <f>SUMIFS(T_Shipments[Confirmed_Qty],T_Shipments[RM_Code],$A3,T_Shipments[Effective_Week],17)</f>
        <v/>
      </c>
      <c r="S3">
        <f>SUMIFS(T_Shipments[Confirmed_Qty],T_Shipments[RM_Code],$A3,T_Shipments[Effective_Week],18)</f>
        <v/>
      </c>
      <c r="T3">
        <f>SUMIFS(T_Shipments[Confirmed_Qty],T_Shipments[RM_Code],$A3,T_Shipments[Effective_Week],19)</f>
        <v/>
      </c>
      <c r="U3">
        <f>SUMIFS(T_Shipments[Confirmed_Qty],T_Shipments[RM_Code],$A3,T_Shipments[Effective_Week],20)</f>
        <v/>
      </c>
      <c r="V3">
        <f>SUMIFS(T_Shipments[Confirmed_Qty],T_Shipments[RM_Code],$A3,T_Shipments[Effective_Week],21)</f>
        <v/>
      </c>
      <c r="W3">
        <f>SUMIFS(T_Shipments[Confirmed_Qty],T_Shipments[RM_Code],$A3,T_Shipments[Effective_Week],22)</f>
        <v/>
      </c>
      <c r="X3">
        <f>SUMIFS(T_Shipments[Confirmed_Qty],T_Shipments[RM_Code],$A3,T_Shipments[Effective_Week],23)</f>
        <v/>
      </c>
      <c r="Y3">
        <f>SUMIFS(T_Shipments[Confirmed_Qty],T_Shipments[RM_Code],$A3,T_Shipments[Effective_Week],24)</f>
        <v/>
      </c>
      <c r="Z3">
        <f>SUMIFS(T_Shipments[Confirmed_Qty],T_Shipments[RM_Code],$A3,T_Shipments[Effective_Week],25)</f>
        <v/>
      </c>
      <c r="AA3">
        <f>SUMIFS(T_Shipments[Confirmed_Qty],T_Shipments[RM_Code],$A3,T_Shipments[Effective_Week],26)</f>
        <v/>
      </c>
      <c r="AB3">
        <f>SUMIFS(T_Shipments[Confirmed_Qty],T_Shipments[RM_Code],$A3,T_Shipments[Effective_Week],27)</f>
        <v/>
      </c>
      <c r="AC3">
        <f>SUMIFS(T_Shipments[Confirmed_Qty],T_Shipments[RM_Code],$A3,T_Shipments[Effective_Week],28)</f>
        <v/>
      </c>
      <c r="AD3">
        <f>SUMIFS(T_Shipments[Confirmed_Qty],T_Shipments[RM_Code],$A3,T_Shipments[Effective_Week],29)</f>
        <v/>
      </c>
      <c r="AE3">
        <f>SUMIFS(T_Shipments[Confirmed_Qty],T_Shipments[RM_Code],$A3,T_Shipments[Effective_Week],30)</f>
        <v/>
      </c>
      <c r="AF3">
        <f>SUMIFS(T_Shipments[Confirmed_Qty],T_Shipments[RM_Code],$A3,T_Shipments[Effective_Week],31)</f>
        <v/>
      </c>
      <c r="AG3">
        <f>SUMIFS(T_Shipments[Confirmed_Qty],T_Shipments[RM_Code],$A3,T_Shipments[Effective_Week],32)</f>
        <v/>
      </c>
      <c r="AH3">
        <f>SUMIFS(T_Shipments[Confirmed_Qty],T_Shipments[RM_Code],$A3,T_Shipments[Effective_Week],33)</f>
        <v/>
      </c>
      <c r="AI3">
        <f>SUMIFS(T_Shipments[Confirmed_Qty],T_Shipments[RM_Code],$A3,T_Shipments[Effective_Week],34)</f>
        <v/>
      </c>
      <c r="AJ3">
        <f>SUMIFS(T_Shipments[Confirmed_Qty],T_Shipments[RM_Code],$A3,T_Shipments[Effective_Week],35)</f>
        <v/>
      </c>
      <c r="AK3">
        <f>SUMIFS(T_Shipments[Confirmed_Qty],T_Shipments[RM_Code],$A3,T_Shipments[Effective_Week],36)</f>
        <v/>
      </c>
      <c r="AL3">
        <f>SUMIFS(T_Shipments[Confirmed_Qty],T_Shipments[RM_Code],$A3,T_Shipments[Effective_Week],37)</f>
        <v/>
      </c>
      <c r="AM3">
        <f>SUMIFS(T_Shipments[Confirmed_Qty],T_Shipments[RM_Code],$A3,T_Shipments[Effective_Week],38)</f>
        <v/>
      </c>
      <c r="AN3">
        <f>SUMIFS(T_Shipments[Confirmed_Qty],T_Shipments[RM_Code],$A3,T_Shipments[Effective_Week],39)</f>
        <v/>
      </c>
      <c r="AO3">
        <f>SUMIFS(T_Shipments[Confirmed_Qty],T_Shipments[RM_Code],$A3,T_Shipments[Effective_Week],40)</f>
        <v/>
      </c>
      <c r="AP3">
        <f>SUMIFS(T_Shipments[Confirmed_Qty],T_Shipments[RM_Code],$A3,T_Shipments[Effective_Week],41)</f>
        <v/>
      </c>
      <c r="AQ3">
        <f>SUMIFS(T_Shipments[Confirmed_Qty],T_Shipments[RM_Code],$A3,T_Shipments[Effective_Week],42)</f>
        <v/>
      </c>
      <c r="AR3">
        <f>SUMIFS(T_Shipments[Confirmed_Qty],T_Shipments[RM_Code],$A3,T_Shipments[Effective_Week],43)</f>
        <v/>
      </c>
      <c r="AS3">
        <f>SUMIFS(T_Shipments[Confirmed_Qty],T_Shipments[RM_Code],$A3,T_Shipments[Effective_Week],44)</f>
        <v/>
      </c>
      <c r="AT3">
        <f>SUMIFS(T_Shipments[Confirmed_Qty],T_Shipments[RM_Code],$A3,T_Shipments[Effective_Week],45)</f>
        <v/>
      </c>
      <c r="AU3">
        <f>SUMIFS(T_Shipments[Confirmed_Qty],T_Shipments[RM_Code],$A3,T_Shipments[Effective_Week],46)</f>
        <v/>
      </c>
      <c r="AV3">
        <f>SUMIFS(T_Shipments[Confirmed_Qty],T_Shipments[RM_Code],$A3,T_Shipments[Effective_Week],47)</f>
        <v/>
      </c>
      <c r="AW3">
        <f>SUMIFS(T_Shipments[Confirmed_Qty],T_Shipments[RM_Code],$A3,T_Shipments[Effective_Week],48)</f>
        <v/>
      </c>
      <c r="AX3">
        <f>SUMIFS(T_Shipments[Confirmed_Qty],T_Shipments[RM_Code],$A3,T_Shipments[Effective_Week],49)</f>
        <v/>
      </c>
      <c r="AY3">
        <f>SUMIFS(T_Shipments[Confirmed_Qty],T_Shipments[RM_Code],$A3,T_Shipments[Effective_Week],50)</f>
        <v/>
      </c>
      <c r="AZ3">
        <f>SUMIFS(T_Shipments[Confirmed_Qty],T_Shipments[RM_Code],$A3,T_Shipments[Effective_Week],51)</f>
        <v/>
      </c>
      <c r="BA3">
        <f>SUMIFS(T_Shipments[Confirmed_Qty],T_Shipments[RM_Code],$A3,T_Shipments[Effective_Week],52)</f>
        <v/>
      </c>
      <c r="BB3">
        <f>SUMIFS(T_Shipments[Confirmed_Qty],T_Shipments[RM_Code],$A3,T_Shipments[Effective_Week],53)</f>
        <v/>
      </c>
      <c r="BC3">
        <f>SUMIFS(T_Shipments[Confirmed_Qty],T_Shipments[RM_Code],$A3,T_Shipments[Effective_Week],54)</f>
        <v/>
      </c>
      <c r="BD3">
        <f>SUMIFS(T_Shipments[Confirmed_Qty],T_Shipments[RM_Code],$A3,T_Shipments[Effective_Week],55)</f>
        <v/>
      </c>
      <c r="BE3">
        <f>SUMIFS(T_Shipments[Confirmed_Qty],T_Shipments[RM_Code],$A3,T_Shipments[Effective_Week],56)</f>
        <v/>
      </c>
      <c r="BF3">
        <f>SUMIFS(T_Shipments[Confirmed_Qty],T_Shipments[RM_Code],$A3,T_Shipments[Effective_Week],57)</f>
        <v/>
      </c>
      <c r="BG3">
        <f>SUMIFS(T_Shipments[Confirmed_Qty],T_Shipments[RM_Code],$A3,T_Shipments[Effective_Week],58)</f>
        <v/>
      </c>
      <c r="BH3">
        <f>SUMIFS(T_Shipments[Confirmed_Qty],T_Shipments[RM_Code],$A3,T_Shipments[Effective_Week],59)</f>
        <v/>
      </c>
      <c r="BI3">
        <f>SUMIFS(T_Shipments[Confirmed_Qty],T_Shipments[RM_Code],$A3,T_Shipments[Effective_Week],60)</f>
        <v/>
      </c>
      <c r="BJ3">
        <f>SUMIFS(T_Shipments[Confirmed_Qty],T_Shipments[RM_Code],$A3,T_Shipments[Effective_Week],61)</f>
        <v/>
      </c>
      <c r="BK3">
        <f>SUMIFS(T_Shipments[Confirmed_Qty],T_Shipments[RM_Code],$A3,T_Shipments[Effective_Week],62)</f>
        <v/>
      </c>
      <c r="BL3">
        <f>SUMIFS(T_Shipments[Confirmed_Qty],T_Shipments[RM_Code],$A3,T_Shipments[Effective_Week],63)</f>
        <v/>
      </c>
      <c r="BM3">
        <f>SUMIFS(T_Shipments[Confirmed_Qty],T_Shipments[RM_Code],$A3,T_Shipments[Effective_Week],64)</f>
        <v/>
      </c>
      <c r="BN3">
        <f>SUMIFS(T_Shipments[Confirmed_Qty],T_Shipments[RM_Code],$A3,T_Shipments[Effective_Week],65)</f>
        <v/>
      </c>
      <c r="BO3">
        <f>SUMIFS(T_Shipments[Confirmed_Qty],T_Shipments[RM_Code],$A3,T_Shipments[Effective_Week],66)</f>
        <v/>
      </c>
      <c r="BP3">
        <f>SUMIFS(T_Shipments[Confirmed_Qty],T_Shipments[RM_Code],$A3,T_Shipments[Effective_Week],67)</f>
        <v/>
      </c>
      <c r="BQ3">
        <f>SUMIFS(T_Shipments[Confirmed_Qty],T_Shipments[RM_Code],$A3,T_Shipments[Effective_Week],68)</f>
        <v/>
      </c>
      <c r="BR3">
        <f>SUMIFS(T_Shipments[Confirmed_Qty],T_Shipments[RM_Code],$A3,T_Shipments[Effective_Week],69)</f>
        <v/>
      </c>
      <c r="BS3">
        <f>SUMIFS(T_Shipments[Confirmed_Qty],T_Shipments[RM_Code],$A3,T_Shipments[Effective_Week],70)</f>
        <v/>
      </c>
      <c r="BT3">
        <f>SUMIFS(T_Shipments[Confirmed_Qty],T_Shipments[RM_Code],$A3,T_Shipments[Effective_Week],71)</f>
        <v/>
      </c>
      <c r="BU3">
        <f>SUMIFS(T_Shipments[Confirmed_Qty],T_Shipments[RM_Code],$A3,T_Shipments[Effective_Week],72)</f>
        <v/>
      </c>
      <c r="BV3">
        <f>SUMIFS(T_Shipments[Confirmed_Qty],T_Shipments[RM_Code],$A3,T_Shipments[Effective_Week],73)</f>
        <v/>
      </c>
      <c r="BW3">
        <f>SUMIFS(T_Shipments[Confirmed_Qty],T_Shipments[RM_Code],$A3,T_Shipments[Effective_Week],74)</f>
        <v/>
      </c>
      <c r="BX3">
        <f>SUMIFS(T_Shipments[Confirmed_Qty],T_Shipments[RM_Code],$A3,T_Shipments[Effective_Week],75)</f>
        <v/>
      </c>
      <c r="BY3">
        <f>SUMIFS(T_Shipments[Confirmed_Qty],T_Shipments[RM_Code],$A3,T_Shipments[Effective_Week],76)</f>
        <v/>
      </c>
      <c r="BZ3">
        <f>SUMIFS(T_Shipments[Confirmed_Qty],T_Shipments[RM_Code],$A3,T_Shipments[Effective_Week],77)</f>
        <v/>
      </c>
      <c r="CA3">
        <f>SUMIFS(T_Shipments[Confirmed_Qty],T_Shipments[RM_Code],$A3,T_Shipments[Effective_Week],78)</f>
        <v/>
      </c>
      <c r="CB3">
        <f>SUMIFS(T_Shipments[Confirmed_Qty],T_Shipments[RM_Code],$A3,T_Shipments[Effective_Week],79)</f>
        <v/>
      </c>
      <c r="CC3">
        <f>SUMIFS(T_Shipments[Confirmed_Qty],T_Shipments[RM_Code],$A3,T_Shipments[Effective_Week],80)</f>
        <v/>
      </c>
      <c r="CD3">
        <f>SUMIFS(T_Shipments[Confirmed_Qty],T_Shipments[RM_Code],$A3,T_Shipments[Effective_Week],81)</f>
        <v/>
      </c>
      <c r="CE3">
        <f>SUMIFS(T_Shipments[Confirmed_Qty],T_Shipments[RM_Code],$A3,T_Shipments[Effective_Week],82)</f>
        <v/>
      </c>
      <c r="CF3">
        <f>SUMIFS(T_Shipments[Confirmed_Qty],T_Shipments[RM_Code],$A3,T_Shipments[Effective_Week],83)</f>
        <v/>
      </c>
      <c r="CG3">
        <f>SUMIFS(T_Shipments[Confirmed_Qty],T_Shipments[RM_Code],$A3,T_Shipments[Effective_Week],84)</f>
        <v/>
      </c>
      <c r="CH3">
        <f>SUMIFS(T_Shipments[Confirmed_Qty],T_Shipments[RM_Code],$A3,T_Shipments[Effective_Week],85)</f>
        <v/>
      </c>
      <c r="CI3">
        <f>SUMIFS(T_Shipments[Confirmed_Qty],T_Shipments[RM_Code],$A3,T_Shipments[Effective_Week],86)</f>
        <v/>
      </c>
      <c r="CJ3">
        <f>SUMIFS(T_Shipments[Confirmed_Qty],T_Shipments[RM_Code],$A3,T_Shipments[Effective_Week],87)</f>
        <v/>
      </c>
      <c r="CK3">
        <f>SUMIFS(T_Shipments[Confirmed_Qty],T_Shipments[RM_Code],$A3,T_Shipments[Effective_Week],88)</f>
        <v/>
      </c>
      <c r="CL3">
        <f>SUMIFS(T_Shipments[Confirmed_Qty],T_Shipments[RM_Code],$A3,T_Shipments[Effective_Week],89)</f>
        <v/>
      </c>
      <c r="CM3">
        <f>SUMIFS(T_Shipments[Confirmed_Qty],T_Shipments[RM_Code],$A3,T_Shipments[Effective_Week],90)</f>
        <v/>
      </c>
      <c r="CN3">
        <f>SUMIFS(T_Shipments[Confirmed_Qty],T_Shipments[RM_Code],$A3,T_Shipments[Effective_Week],91)</f>
        <v/>
      </c>
      <c r="CO3">
        <f>SUMIFS(T_Shipments[Confirmed_Qty],T_Shipments[RM_Code],$A3,T_Shipments[Effective_Week],92)</f>
        <v/>
      </c>
      <c r="CP3">
        <f>SUMIFS(T_Shipments[Confirmed_Qty],T_Shipments[RM_Code],$A3,T_Shipments[Effective_Week],93)</f>
        <v/>
      </c>
      <c r="CQ3">
        <f>SUMIFS(T_Shipments[Confirmed_Qty],T_Shipments[RM_Code],$A3,T_Shipments[Effective_Week],94)</f>
        <v/>
      </c>
      <c r="CR3">
        <f>SUMIFS(T_Shipments[Confirmed_Qty],T_Shipments[RM_Code],$A3,T_Shipments[Effective_Week],95)</f>
        <v/>
      </c>
      <c r="CS3">
        <f>SUMIFS(T_Shipments[Confirmed_Qty],T_Shipments[RM_Code],$A3,T_Shipments[Effective_Week],96)</f>
        <v/>
      </c>
      <c r="CT3">
        <f>SUMIFS(T_Shipments[Confirmed_Qty],T_Shipments[RM_Code],$A3,T_Shipments[Effective_Week],97)</f>
        <v/>
      </c>
      <c r="CU3">
        <f>SUMIFS(T_Shipments[Confirmed_Qty],T_Shipments[RM_Code],$A3,T_Shipments[Effective_Week],98)</f>
        <v/>
      </c>
      <c r="CV3">
        <f>SUMIFS(T_Shipments[Confirmed_Qty],T_Shipments[RM_Code],$A3,T_Shipments[Effective_Week],99)</f>
        <v/>
      </c>
      <c r="CW3">
        <f>SUMIFS(T_Shipments[Confirmed_Qty],T_Shipments[RM_Code],$A3,T_Shipments[Effective_Week],100)</f>
        <v/>
      </c>
      <c r="CX3">
        <f>SUMIFS(T_Shipments[Confirmed_Qty],T_Shipments[RM_Code],$A3,T_Shipments[Effective_Week],101)</f>
        <v/>
      </c>
      <c r="CY3">
        <f>SUMIFS(T_Shipments[Confirmed_Qty],T_Shipments[RM_Code],$A3,T_Shipments[Effective_Week],102)</f>
        <v/>
      </c>
      <c r="CZ3">
        <f>SUMIFS(T_Shipments[Confirmed_Qty],T_Shipments[RM_Code],$A3,T_Shipments[Effective_Week],103)</f>
        <v/>
      </c>
      <c r="DA3">
        <f>SUMIFS(T_Shipments[Confirmed_Qty],T_Shipments[RM_Code],$A3,T_Shipments[Effective_Week],104)</f>
        <v/>
      </c>
    </row>
    <row r="4">
      <c r="A4" t="inlineStr">
        <is>
          <t>CHEM-1700</t>
        </is>
      </c>
      <c r="B4">
        <f>SUMIFS(T_Shipments[Confirmed_Qty],T_Shipments[RM_Code],$A4,T_Shipments[Effective_Week],1)</f>
        <v/>
      </c>
      <c r="C4">
        <f>SUMIFS(T_Shipments[Confirmed_Qty],T_Shipments[RM_Code],$A4,T_Shipments[Effective_Week],2)</f>
        <v/>
      </c>
      <c r="D4">
        <f>SUMIFS(T_Shipments[Confirmed_Qty],T_Shipments[RM_Code],$A4,T_Shipments[Effective_Week],3)</f>
        <v/>
      </c>
      <c r="E4">
        <f>SUMIFS(T_Shipments[Confirmed_Qty],T_Shipments[RM_Code],$A4,T_Shipments[Effective_Week],4)</f>
        <v/>
      </c>
      <c r="F4">
        <f>SUMIFS(T_Shipments[Confirmed_Qty],T_Shipments[RM_Code],$A4,T_Shipments[Effective_Week],5)</f>
        <v/>
      </c>
      <c r="G4">
        <f>SUMIFS(T_Shipments[Confirmed_Qty],T_Shipments[RM_Code],$A4,T_Shipments[Effective_Week],6)</f>
        <v/>
      </c>
      <c r="H4">
        <f>SUMIFS(T_Shipments[Confirmed_Qty],T_Shipments[RM_Code],$A4,T_Shipments[Effective_Week],7)</f>
        <v/>
      </c>
      <c r="I4">
        <f>SUMIFS(T_Shipments[Confirmed_Qty],T_Shipments[RM_Code],$A4,T_Shipments[Effective_Week],8)</f>
        <v/>
      </c>
      <c r="J4">
        <f>SUMIFS(T_Shipments[Confirmed_Qty],T_Shipments[RM_Code],$A4,T_Shipments[Effective_Week],9)</f>
        <v/>
      </c>
      <c r="K4">
        <f>SUMIFS(T_Shipments[Confirmed_Qty],T_Shipments[RM_Code],$A4,T_Shipments[Effective_Week],10)</f>
        <v/>
      </c>
      <c r="L4">
        <f>SUMIFS(T_Shipments[Confirmed_Qty],T_Shipments[RM_Code],$A4,T_Shipments[Effective_Week],11)</f>
        <v/>
      </c>
      <c r="M4">
        <f>SUMIFS(T_Shipments[Confirmed_Qty],T_Shipments[RM_Code],$A4,T_Shipments[Effective_Week],12)</f>
        <v/>
      </c>
      <c r="N4">
        <f>SUMIFS(T_Shipments[Confirmed_Qty],T_Shipments[RM_Code],$A4,T_Shipments[Effective_Week],13)</f>
        <v/>
      </c>
      <c r="O4">
        <f>SUMIFS(T_Shipments[Confirmed_Qty],T_Shipments[RM_Code],$A4,T_Shipments[Effective_Week],14)</f>
        <v/>
      </c>
      <c r="P4">
        <f>SUMIFS(T_Shipments[Confirmed_Qty],T_Shipments[RM_Code],$A4,T_Shipments[Effective_Week],15)</f>
        <v/>
      </c>
      <c r="Q4">
        <f>SUMIFS(T_Shipments[Confirmed_Qty],T_Shipments[RM_Code],$A4,T_Shipments[Effective_Week],16)</f>
        <v/>
      </c>
      <c r="R4">
        <f>SUMIFS(T_Shipments[Confirmed_Qty],T_Shipments[RM_Code],$A4,T_Shipments[Effective_Week],17)</f>
        <v/>
      </c>
      <c r="S4">
        <f>SUMIFS(T_Shipments[Confirmed_Qty],T_Shipments[RM_Code],$A4,T_Shipments[Effective_Week],18)</f>
        <v/>
      </c>
      <c r="T4">
        <f>SUMIFS(T_Shipments[Confirmed_Qty],T_Shipments[RM_Code],$A4,T_Shipments[Effective_Week],19)</f>
        <v/>
      </c>
      <c r="U4">
        <f>SUMIFS(T_Shipments[Confirmed_Qty],T_Shipments[RM_Code],$A4,T_Shipments[Effective_Week],20)</f>
        <v/>
      </c>
      <c r="V4">
        <f>SUMIFS(T_Shipments[Confirmed_Qty],T_Shipments[RM_Code],$A4,T_Shipments[Effective_Week],21)</f>
        <v/>
      </c>
      <c r="W4">
        <f>SUMIFS(T_Shipments[Confirmed_Qty],T_Shipments[RM_Code],$A4,T_Shipments[Effective_Week],22)</f>
        <v/>
      </c>
      <c r="X4">
        <f>SUMIFS(T_Shipments[Confirmed_Qty],T_Shipments[RM_Code],$A4,T_Shipments[Effective_Week],23)</f>
        <v/>
      </c>
      <c r="Y4">
        <f>SUMIFS(T_Shipments[Confirmed_Qty],T_Shipments[RM_Code],$A4,T_Shipments[Effective_Week],24)</f>
        <v/>
      </c>
      <c r="Z4">
        <f>SUMIFS(T_Shipments[Confirmed_Qty],T_Shipments[RM_Code],$A4,T_Shipments[Effective_Week],25)</f>
        <v/>
      </c>
      <c r="AA4">
        <f>SUMIFS(T_Shipments[Confirmed_Qty],T_Shipments[RM_Code],$A4,T_Shipments[Effective_Week],26)</f>
        <v/>
      </c>
      <c r="AB4">
        <f>SUMIFS(T_Shipments[Confirmed_Qty],T_Shipments[RM_Code],$A4,T_Shipments[Effective_Week],27)</f>
        <v/>
      </c>
      <c r="AC4">
        <f>SUMIFS(T_Shipments[Confirmed_Qty],T_Shipments[RM_Code],$A4,T_Shipments[Effective_Week],28)</f>
        <v/>
      </c>
      <c r="AD4">
        <f>SUMIFS(T_Shipments[Confirmed_Qty],T_Shipments[RM_Code],$A4,T_Shipments[Effective_Week],29)</f>
        <v/>
      </c>
      <c r="AE4">
        <f>SUMIFS(T_Shipments[Confirmed_Qty],T_Shipments[RM_Code],$A4,T_Shipments[Effective_Week],30)</f>
        <v/>
      </c>
      <c r="AF4">
        <f>SUMIFS(T_Shipments[Confirmed_Qty],T_Shipments[RM_Code],$A4,T_Shipments[Effective_Week],31)</f>
        <v/>
      </c>
      <c r="AG4">
        <f>SUMIFS(T_Shipments[Confirmed_Qty],T_Shipments[RM_Code],$A4,T_Shipments[Effective_Week],32)</f>
        <v/>
      </c>
      <c r="AH4">
        <f>SUMIFS(T_Shipments[Confirmed_Qty],T_Shipments[RM_Code],$A4,T_Shipments[Effective_Week],33)</f>
        <v/>
      </c>
      <c r="AI4">
        <f>SUMIFS(T_Shipments[Confirmed_Qty],T_Shipments[RM_Code],$A4,T_Shipments[Effective_Week],34)</f>
        <v/>
      </c>
      <c r="AJ4">
        <f>SUMIFS(T_Shipments[Confirmed_Qty],T_Shipments[RM_Code],$A4,T_Shipments[Effective_Week],35)</f>
        <v/>
      </c>
      <c r="AK4">
        <f>SUMIFS(T_Shipments[Confirmed_Qty],T_Shipments[RM_Code],$A4,T_Shipments[Effective_Week],36)</f>
        <v/>
      </c>
      <c r="AL4">
        <f>SUMIFS(T_Shipments[Confirmed_Qty],T_Shipments[RM_Code],$A4,T_Shipments[Effective_Week],37)</f>
        <v/>
      </c>
      <c r="AM4">
        <f>SUMIFS(T_Shipments[Confirmed_Qty],T_Shipments[RM_Code],$A4,T_Shipments[Effective_Week],38)</f>
        <v/>
      </c>
      <c r="AN4">
        <f>SUMIFS(T_Shipments[Confirmed_Qty],T_Shipments[RM_Code],$A4,T_Shipments[Effective_Week],39)</f>
        <v/>
      </c>
      <c r="AO4">
        <f>SUMIFS(T_Shipments[Confirmed_Qty],T_Shipments[RM_Code],$A4,T_Shipments[Effective_Week],40)</f>
        <v/>
      </c>
      <c r="AP4">
        <f>SUMIFS(T_Shipments[Confirmed_Qty],T_Shipments[RM_Code],$A4,T_Shipments[Effective_Week],41)</f>
        <v/>
      </c>
      <c r="AQ4">
        <f>SUMIFS(T_Shipments[Confirmed_Qty],T_Shipments[RM_Code],$A4,T_Shipments[Effective_Week],42)</f>
        <v/>
      </c>
      <c r="AR4">
        <f>SUMIFS(T_Shipments[Confirmed_Qty],T_Shipments[RM_Code],$A4,T_Shipments[Effective_Week],43)</f>
        <v/>
      </c>
      <c r="AS4">
        <f>SUMIFS(T_Shipments[Confirmed_Qty],T_Shipments[RM_Code],$A4,T_Shipments[Effective_Week],44)</f>
        <v/>
      </c>
      <c r="AT4">
        <f>SUMIFS(T_Shipments[Confirmed_Qty],T_Shipments[RM_Code],$A4,T_Shipments[Effective_Week],45)</f>
        <v/>
      </c>
      <c r="AU4">
        <f>SUMIFS(T_Shipments[Confirmed_Qty],T_Shipments[RM_Code],$A4,T_Shipments[Effective_Week],46)</f>
        <v/>
      </c>
      <c r="AV4">
        <f>SUMIFS(T_Shipments[Confirmed_Qty],T_Shipments[RM_Code],$A4,T_Shipments[Effective_Week],47)</f>
        <v/>
      </c>
      <c r="AW4">
        <f>SUMIFS(T_Shipments[Confirmed_Qty],T_Shipments[RM_Code],$A4,T_Shipments[Effective_Week],48)</f>
        <v/>
      </c>
      <c r="AX4">
        <f>SUMIFS(T_Shipments[Confirmed_Qty],T_Shipments[RM_Code],$A4,T_Shipments[Effective_Week],49)</f>
        <v/>
      </c>
      <c r="AY4">
        <f>SUMIFS(T_Shipments[Confirmed_Qty],T_Shipments[RM_Code],$A4,T_Shipments[Effective_Week],50)</f>
        <v/>
      </c>
      <c r="AZ4">
        <f>SUMIFS(T_Shipments[Confirmed_Qty],T_Shipments[RM_Code],$A4,T_Shipments[Effective_Week],51)</f>
        <v/>
      </c>
      <c r="BA4">
        <f>SUMIFS(T_Shipments[Confirmed_Qty],T_Shipments[RM_Code],$A4,T_Shipments[Effective_Week],52)</f>
        <v/>
      </c>
      <c r="BB4">
        <f>SUMIFS(T_Shipments[Confirmed_Qty],T_Shipments[RM_Code],$A4,T_Shipments[Effective_Week],53)</f>
        <v/>
      </c>
      <c r="BC4">
        <f>SUMIFS(T_Shipments[Confirmed_Qty],T_Shipments[RM_Code],$A4,T_Shipments[Effective_Week],54)</f>
        <v/>
      </c>
      <c r="BD4">
        <f>SUMIFS(T_Shipments[Confirmed_Qty],T_Shipments[RM_Code],$A4,T_Shipments[Effective_Week],55)</f>
        <v/>
      </c>
      <c r="BE4">
        <f>SUMIFS(T_Shipments[Confirmed_Qty],T_Shipments[RM_Code],$A4,T_Shipments[Effective_Week],56)</f>
        <v/>
      </c>
      <c r="BF4">
        <f>SUMIFS(T_Shipments[Confirmed_Qty],T_Shipments[RM_Code],$A4,T_Shipments[Effective_Week],57)</f>
        <v/>
      </c>
      <c r="BG4">
        <f>SUMIFS(T_Shipments[Confirmed_Qty],T_Shipments[RM_Code],$A4,T_Shipments[Effective_Week],58)</f>
        <v/>
      </c>
      <c r="BH4">
        <f>SUMIFS(T_Shipments[Confirmed_Qty],T_Shipments[RM_Code],$A4,T_Shipments[Effective_Week],59)</f>
        <v/>
      </c>
      <c r="BI4">
        <f>SUMIFS(T_Shipments[Confirmed_Qty],T_Shipments[RM_Code],$A4,T_Shipments[Effective_Week],60)</f>
        <v/>
      </c>
      <c r="BJ4">
        <f>SUMIFS(T_Shipments[Confirmed_Qty],T_Shipments[RM_Code],$A4,T_Shipments[Effective_Week],61)</f>
        <v/>
      </c>
      <c r="BK4">
        <f>SUMIFS(T_Shipments[Confirmed_Qty],T_Shipments[RM_Code],$A4,T_Shipments[Effective_Week],62)</f>
        <v/>
      </c>
      <c r="BL4">
        <f>SUMIFS(T_Shipments[Confirmed_Qty],T_Shipments[RM_Code],$A4,T_Shipments[Effective_Week],63)</f>
        <v/>
      </c>
      <c r="BM4">
        <f>SUMIFS(T_Shipments[Confirmed_Qty],T_Shipments[RM_Code],$A4,T_Shipments[Effective_Week],64)</f>
        <v/>
      </c>
      <c r="BN4">
        <f>SUMIFS(T_Shipments[Confirmed_Qty],T_Shipments[RM_Code],$A4,T_Shipments[Effective_Week],65)</f>
        <v/>
      </c>
      <c r="BO4">
        <f>SUMIFS(T_Shipments[Confirmed_Qty],T_Shipments[RM_Code],$A4,T_Shipments[Effective_Week],66)</f>
        <v/>
      </c>
      <c r="BP4">
        <f>SUMIFS(T_Shipments[Confirmed_Qty],T_Shipments[RM_Code],$A4,T_Shipments[Effective_Week],67)</f>
        <v/>
      </c>
      <c r="BQ4">
        <f>SUMIFS(T_Shipments[Confirmed_Qty],T_Shipments[RM_Code],$A4,T_Shipments[Effective_Week],68)</f>
        <v/>
      </c>
      <c r="BR4">
        <f>SUMIFS(T_Shipments[Confirmed_Qty],T_Shipments[RM_Code],$A4,T_Shipments[Effective_Week],69)</f>
        <v/>
      </c>
      <c r="BS4">
        <f>SUMIFS(T_Shipments[Confirmed_Qty],T_Shipments[RM_Code],$A4,T_Shipments[Effective_Week],70)</f>
        <v/>
      </c>
      <c r="BT4">
        <f>SUMIFS(T_Shipments[Confirmed_Qty],T_Shipments[RM_Code],$A4,T_Shipments[Effective_Week],71)</f>
        <v/>
      </c>
      <c r="BU4">
        <f>SUMIFS(T_Shipments[Confirmed_Qty],T_Shipments[RM_Code],$A4,T_Shipments[Effective_Week],72)</f>
        <v/>
      </c>
      <c r="BV4">
        <f>SUMIFS(T_Shipments[Confirmed_Qty],T_Shipments[RM_Code],$A4,T_Shipments[Effective_Week],73)</f>
        <v/>
      </c>
      <c r="BW4">
        <f>SUMIFS(T_Shipments[Confirmed_Qty],T_Shipments[RM_Code],$A4,T_Shipments[Effective_Week],74)</f>
        <v/>
      </c>
      <c r="BX4">
        <f>SUMIFS(T_Shipments[Confirmed_Qty],T_Shipments[RM_Code],$A4,T_Shipments[Effective_Week],75)</f>
        <v/>
      </c>
      <c r="BY4">
        <f>SUMIFS(T_Shipments[Confirmed_Qty],T_Shipments[RM_Code],$A4,T_Shipments[Effective_Week],76)</f>
        <v/>
      </c>
      <c r="BZ4">
        <f>SUMIFS(T_Shipments[Confirmed_Qty],T_Shipments[RM_Code],$A4,T_Shipments[Effective_Week],77)</f>
        <v/>
      </c>
      <c r="CA4">
        <f>SUMIFS(T_Shipments[Confirmed_Qty],T_Shipments[RM_Code],$A4,T_Shipments[Effective_Week],78)</f>
        <v/>
      </c>
      <c r="CB4">
        <f>SUMIFS(T_Shipments[Confirmed_Qty],T_Shipments[RM_Code],$A4,T_Shipments[Effective_Week],79)</f>
        <v/>
      </c>
      <c r="CC4">
        <f>SUMIFS(T_Shipments[Confirmed_Qty],T_Shipments[RM_Code],$A4,T_Shipments[Effective_Week],80)</f>
        <v/>
      </c>
      <c r="CD4">
        <f>SUMIFS(T_Shipments[Confirmed_Qty],T_Shipments[RM_Code],$A4,T_Shipments[Effective_Week],81)</f>
        <v/>
      </c>
      <c r="CE4">
        <f>SUMIFS(T_Shipments[Confirmed_Qty],T_Shipments[RM_Code],$A4,T_Shipments[Effective_Week],82)</f>
        <v/>
      </c>
      <c r="CF4">
        <f>SUMIFS(T_Shipments[Confirmed_Qty],T_Shipments[RM_Code],$A4,T_Shipments[Effective_Week],83)</f>
        <v/>
      </c>
      <c r="CG4">
        <f>SUMIFS(T_Shipments[Confirmed_Qty],T_Shipments[RM_Code],$A4,T_Shipments[Effective_Week],84)</f>
        <v/>
      </c>
      <c r="CH4">
        <f>SUMIFS(T_Shipments[Confirmed_Qty],T_Shipments[RM_Code],$A4,T_Shipments[Effective_Week],85)</f>
        <v/>
      </c>
      <c r="CI4">
        <f>SUMIFS(T_Shipments[Confirmed_Qty],T_Shipments[RM_Code],$A4,T_Shipments[Effective_Week],86)</f>
        <v/>
      </c>
      <c r="CJ4">
        <f>SUMIFS(T_Shipments[Confirmed_Qty],T_Shipments[RM_Code],$A4,T_Shipments[Effective_Week],87)</f>
        <v/>
      </c>
      <c r="CK4">
        <f>SUMIFS(T_Shipments[Confirmed_Qty],T_Shipments[RM_Code],$A4,T_Shipments[Effective_Week],88)</f>
        <v/>
      </c>
      <c r="CL4">
        <f>SUMIFS(T_Shipments[Confirmed_Qty],T_Shipments[RM_Code],$A4,T_Shipments[Effective_Week],89)</f>
        <v/>
      </c>
      <c r="CM4">
        <f>SUMIFS(T_Shipments[Confirmed_Qty],T_Shipments[RM_Code],$A4,T_Shipments[Effective_Week],90)</f>
        <v/>
      </c>
      <c r="CN4">
        <f>SUMIFS(T_Shipments[Confirmed_Qty],T_Shipments[RM_Code],$A4,T_Shipments[Effective_Week],91)</f>
        <v/>
      </c>
      <c r="CO4">
        <f>SUMIFS(T_Shipments[Confirmed_Qty],T_Shipments[RM_Code],$A4,T_Shipments[Effective_Week],92)</f>
        <v/>
      </c>
      <c r="CP4">
        <f>SUMIFS(T_Shipments[Confirmed_Qty],T_Shipments[RM_Code],$A4,T_Shipments[Effective_Week],93)</f>
        <v/>
      </c>
      <c r="CQ4">
        <f>SUMIFS(T_Shipments[Confirmed_Qty],T_Shipments[RM_Code],$A4,T_Shipments[Effective_Week],94)</f>
        <v/>
      </c>
      <c r="CR4">
        <f>SUMIFS(T_Shipments[Confirmed_Qty],T_Shipments[RM_Code],$A4,T_Shipments[Effective_Week],95)</f>
        <v/>
      </c>
      <c r="CS4">
        <f>SUMIFS(T_Shipments[Confirmed_Qty],T_Shipments[RM_Code],$A4,T_Shipments[Effective_Week],96)</f>
        <v/>
      </c>
      <c r="CT4">
        <f>SUMIFS(T_Shipments[Confirmed_Qty],T_Shipments[RM_Code],$A4,T_Shipments[Effective_Week],97)</f>
        <v/>
      </c>
      <c r="CU4">
        <f>SUMIFS(T_Shipments[Confirmed_Qty],T_Shipments[RM_Code],$A4,T_Shipments[Effective_Week],98)</f>
        <v/>
      </c>
      <c r="CV4">
        <f>SUMIFS(T_Shipments[Confirmed_Qty],T_Shipments[RM_Code],$A4,T_Shipments[Effective_Week],99)</f>
        <v/>
      </c>
      <c r="CW4">
        <f>SUMIFS(T_Shipments[Confirmed_Qty],T_Shipments[RM_Code],$A4,T_Shipments[Effective_Week],100)</f>
        <v/>
      </c>
      <c r="CX4">
        <f>SUMIFS(T_Shipments[Confirmed_Qty],T_Shipments[RM_Code],$A4,T_Shipments[Effective_Week],101)</f>
        <v/>
      </c>
      <c r="CY4">
        <f>SUMIFS(T_Shipments[Confirmed_Qty],T_Shipments[RM_Code],$A4,T_Shipments[Effective_Week],102)</f>
        <v/>
      </c>
      <c r="CZ4">
        <f>SUMIFS(T_Shipments[Confirmed_Qty],T_Shipments[RM_Code],$A4,T_Shipments[Effective_Week],103)</f>
        <v/>
      </c>
      <c r="DA4">
        <f>SUMIFS(T_Shipments[Confirmed_Qty],T_Shipments[RM_Code],$A4,T_Shipments[Effective_Week],104)</f>
        <v/>
      </c>
    </row>
    <row r="5">
      <c r="A5" t="inlineStr">
        <is>
          <t>CHEM-1420</t>
        </is>
      </c>
      <c r="B5">
        <f>SUMIFS(T_Shipments[Confirmed_Qty],T_Shipments[RM_Code],$A5,T_Shipments[Effective_Week],1)</f>
        <v/>
      </c>
      <c r="C5">
        <f>SUMIFS(T_Shipments[Confirmed_Qty],T_Shipments[RM_Code],$A5,T_Shipments[Effective_Week],2)</f>
        <v/>
      </c>
      <c r="D5">
        <f>SUMIFS(T_Shipments[Confirmed_Qty],T_Shipments[RM_Code],$A5,T_Shipments[Effective_Week],3)</f>
        <v/>
      </c>
      <c r="E5">
        <f>SUMIFS(T_Shipments[Confirmed_Qty],T_Shipments[RM_Code],$A5,T_Shipments[Effective_Week],4)</f>
        <v/>
      </c>
      <c r="F5">
        <f>SUMIFS(T_Shipments[Confirmed_Qty],T_Shipments[RM_Code],$A5,T_Shipments[Effective_Week],5)</f>
        <v/>
      </c>
      <c r="G5">
        <f>SUMIFS(T_Shipments[Confirmed_Qty],T_Shipments[RM_Code],$A5,T_Shipments[Effective_Week],6)</f>
        <v/>
      </c>
      <c r="H5">
        <f>SUMIFS(T_Shipments[Confirmed_Qty],T_Shipments[RM_Code],$A5,T_Shipments[Effective_Week],7)</f>
        <v/>
      </c>
      <c r="I5">
        <f>SUMIFS(T_Shipments[Confirmed_Qty],T_Shipments[RM_Code],$A5,T_Shipments[Effective_Week],8)</f>
        <v/>
      </c>
      <c r="J5">
        <f>SUMIFS(T_Shipments[Confirmed_Qty],T_Shipments[RM_Code],$A5,T_Shipments[Effective_Week],9)</f>
        <v/>
      </c>
      <c r="K5">
        <f>SUMIFS(T_Shipments[Confirmed_Qty],T_Shipments[RM_Code],$A5,T_Shipments[Effective_Week],10)</f>
        <v/>
      </c>
      <c r="L5">
        <f>SUMIFS(T_Shipments[Confirmed_Qty],T_Shipments[RM_Code],$A5,T_Shipments[Effective_Week],11)</f>
        <v/>
      </c>
      <c r="M5">
        <f>SUMIFS(T_Shipments[Confirmed_Qty],T_Shipments[RM_Code],$A5,T_Shipments[Effective_Week],12)</f>
        <v/>
      </c>
      <c r="N5">
        <f>SUMIFS(T_Shipments[Confirmed_Qty],T_Shipments[RM_Code],$A5,T_Shipments[Effective_Week],13)</f>
        <v/>
      </c>
      <c r="O5">
        <f>SUMIFS(T_Shipments[Confirmed_Qty],T_Shipments[RM_Code],$A5,T_Shipments[Effective_Week],14)</f>
        <v/>
      </c>
      <c r="P5">
        <f>SUMIFS(T_Shipments[Confirmed_Qty],T_Shipments[RM_Code],$A5,T_Shipments[Effective_Week],15)</f>
        <v/>
      </c>
      <c r="Q5">
        <f>SUMIFS(T_Shipments[Confirmed_Qty],T_Shipments[RM_Code],$A5,T_Shipments[Effective_Week],16)</f>
        <v/>
      </c>
      <c r="R5">
        <f>SUMIFS(T_Shipments[Confirmed_Qty],T_Shipments[RM_Code],$A5,T_Shipments[Effective_Week],17)</f>
        <v/>
      </c>
      <c r="S5">
        <f>SUMIFS(T_Shipments[Confirmed_Qty],T_Shipments[RM_Code],$A5,T_Shipments[Effective_Week],18)</f>
        <v/>
      </c>
      <c r="T5">
        <f>SUMIFS(T_Shipments[Confirmed_Qty],T_Shipments[RM_Code],$A5,T_Shipments[Effective_Week],19)</f>
        <v/>
      </c>
      <c r="U5">
        <f>SUMIFS(T_Shipments[Confirmed_Qty],T_Shipments[RM_Code],$A5,T_Shipments[Effective_Week],20)</f>
        <v/>
      </c>
      <c r="V5">
        <f>SUMIFS(T_Shipments[Confirmed_Qty],T_Shipments[RM_Code],$A5,T_Shipments[Effective_Week],21)</f>
        <v/>
      </c>
      <c r="W5">
        <f>SUMIFS(T_Shipments[Confirmed_Qty],T_Shipments[RM_Code],$A5,T_Shipments[Effective_Week],22)</f>
        <v/>
      </c>
      <c r="X5">
        <f>SUMIFS(T_Shipments[Confirmed_Qty],T_Shipments[RM_Code],$A5,T_Shipments[Effective_Week],23)</f>
        <v/>
      </c>
      <c r="Y5">
        <f>SUMIFS(T_Shipments[Confirmed_Qty],T_Shipments[RM_Code],$A5,T_Shipments[Effective_Week],24)</f>
        <v/>
      </c>
      <c r="Z5">
        <f>SUMIFS(T_Shipments[Confirmed_Qty],T_Shipments[RM_Code],$A5,T_Shipments[Effective_Week],25)</f>
        <v/>
      </c>
      <c r="AA5">
        <f>SUMIFS(T_Shipments[Confirmed_Qty],T_Shipments[RM_Code],$A5,T_Shipments[Effective_Week],26)</f>
        <v/>
      </c>
      <c r="AB5">
        <f>SUMIFS(T_Shipments[Confirmed_Qty],T_Shipments[RM_Code],$A5,T_Shipments[Effective_Week],27)</f>
        <v/>
      </c>
      <c r="AC5">
        <f>SUMIFS(T_Shipments[Confirmed_Qty],T_Shipments[RM_Code],$A5,T_Shipments[Effective_Week],28)</f>
        <v/>
      </c>
      <c r="AD5">
        <f>SUMIFS(T_Shipments[Confirmed_Qty],T_Shipments[RM_Code],$A5,T_Shipments[Effective_Week],29)</f>
        <v/>
      </c>
      <c r="AE5">
        <f>SUMIFS(T_Shipments[Confirmed_Qty],T_Shipments[RM_Code],$A5,T_Shipments[Effective_Week],30)</f>
        <v/>
      </c>
      <c r="AF5">
        <f>SUMIFS(T_Shipments[Confirmed_Qty],T_Shipments[RM_Code],$A5,T_Shipments[Effective_Week],31)</f>
        <v/>
      </c>
      <c r="AG5">
        <f>SUMIFS(T_Shipments[Confirmed_Qty],T_Shipments[RM_Code],$A5,T_Shipments[Effective_Week],32)</f>
        <v/>
      </c>
      <c r="AH5">
        <f>SUMIFS(T_Shipments[Confirmed_Qty],T_Shipments[RM_Code],$A5,T_Shipments[Effective_Week],33)</f>
        <v/>
      </c>
      <c r="AI5">
        <f>SUMIFS(T_Shipments[Confirmed_Qty],T_Shipments[RM_Code],$A5,T_Shipments[Effective_Week],34)</f>
        <v/>
      </c>
      <c r="AJ5">
        <f>SUMIFS(T_Shipments[Confirmed_Qty],T_Shipments[RM_Code],$A5,T_Shipments[Effective_Week],35)</f>
        <v/>
      </c>
      <c r="AK5">
        <f>SUMIFS(T_Shipments[Confirmed_Qty],T_Shipments[RM_Code],$A5,T_Shipments[Effective_Week],36)</f>
        <v/>
      </c>
      <c r="AL5">
        <f>SUMIFS(T_Shipments[Confirmed_Qty],T_Shipments[RM_Code],$A5,T_Shipments[Effective_Week],37)</f>
        <v/>
      </c>
      <c r="AM5">
        <f>SUMIFS(T_Shipments[Confirmed_Qty],T_Shipments[RM_Code],$A5,T_Shipments[Effective_Week],38)</f>
        <v/>
      </c>
      <c r="AN5">
        <f>SUMIFS(T_Shipments[Confirmed_Qty],T_Shipments[RM_Code],$A5,T_Shipments[Effective_Week],39)</f>
        <v/>
      </c>
      <c r="AO5">
        <f>SUMIFS(T_Shipments[Confirmed_Qty],T_Shipments[RM_Code],$A5,T_Shipments[Effective_Week],40)</f>
        <v/>
      </c>
      <c r="AP5">
        <f>SUMIFS(T_Shipments[Confirmed_Qty],T_Shipments[RM_Code],$A5,T_Shipments[Effective_Week],41)</f>
        <v/>
      </c>
      <c r="AQ5">
        <f>SUMIFS(T_Shipments[Confirmed_Qty],T_Shipments[RM_Code],$A5,T_Shipments[Effective_Week],42)</f>
        <v/>
      </c>
      <c r="AR5">
        <f>SUMIFS(T_Shipments[Confirmed_Qty],T_Shipments[RM_Code],$A5,T_Shipments[Effective_Week],43)</f>
        <v/>
      </c>
      <c r="AS5">
        <f>SUMIFS(T_Shipments[Confirmed_Qty],T_Shipments[RM_Code],$A5,T_Shipments[Effective_Week],44)</f>
        <v/>
      </c>
      <c r="AT5">
        <f>SUMIFS(T_Shipments[Confirmed_Qty],T_Shipments[RM_Code],$A5,T_Shipments[Effective_Week],45)</f>
        <v/>
      </c>
      <c r="AU5">
        <f>SUMIFS(T_Shipments[Confirmed_Qty],T_Shipments[RM_Code],$A5,T_Shipments[Effective_Week],46)</f>
        <v/>
      </c>
      <c r="AV5">
        <f>SUMIFS(T_Shipments[Confirmed_Qty],T_Shipments[RM_Code],$A5,T_Shipments[Effective_Week],47)</f>
        <v/>
      </c>
      <c r="AW5">
        <f>SUMIFS(T_Shipments[Confirmed_Qty],T_Shipments[RM_Code],$A5,T_Shipments[Effective_Week],48)</f>
        <v/>
      </c>
      <c r="AX5">
        <f>SUMIFS(T_Shipments[Confirmed_Qty],T_Shipments[RM_Code],$A5,T_Shipments[Effective_Week],49)</f>
        <v/>
      </c>
      <c r="AY5">
        <f>SUMIFS(T_Shipments[Confirmed_Qty],T_Shipments[RM_Code],$A5,T_Shipments[Effective_Week],50)</f>
        <v/>
      </c>
      <c r="AZ5">
        <f>SUMIFS(T_Shipments[Confirmed_Qty],T_Shipments[RM_Code],$A5,T_Shipments[Effective_Week],51)</f>
        <v/>
      </c>
      <c r="BA5">
        <f>SUMIFS(T_Shipments[Confirmed_Qty],T_Shipments[RM_Code],$A5,T_Shipments[Effective_Week],52)</f>
        <v/>
      </c>
      <c r="BB5">
        <f>SUMIFS(T_Shipments[Confirmed_Qty],T_Shipments[RM_Code],$A5,T_Shipments[Effective_Week],53)</f>
        <v/>
      </c>
      <c r="BC5">
        <f>SUMIFS(T_Shipments[Confirmed_Qty],T_Shipments[RM_Code],$A5,T_Shipments[Effective_Week],54)</f>
        <v/>
      </c>
      <c r="BD5">
        <f>SUMIFS(T_Shipments[Confirmed_Qty],T_Shipments[RM_Code],$A5,T_Shipments[Effective_Week],55)</f>
        <v/>
      </c>
      <c r="BE5">
        <f>SUMIFS(T_Shipments[Confirmed_Qty],T_Shipments[RM_Code],$A5,T_Shipments[Effective_Week],56)</f>
        <v/>
      </c>
      <c r="BF5">
        <f>SUMIFS(T_Shipments[Confirmed_Qty],T_Shipments[RM_Code],$A5,T_Shipments[Effective_Week],57)</f>
        <v/>
      </c>
      <c r="BG5">
        <f>SUMIFS(T_Shipments[Confirmed_Qty],T_Shipments[RM_Code],$A5,T_Shipments[Effective_Week],58)</f>
        <v/>
      </c>
      <c r="BH5">
        <f>SUMIFS(T_Shipments[Confirmed_Qty],T_Shipments[RM_Code],$A5,T_Shipments[Effective_Week],59)</f>
        <v/>
      </c>
      <c r="BI5">
        <f>SUMIFS(T_Shipments[Confirmed_Qty],T_Shipments[RM_Code],$A5,T_Shipments[Effective_Week],60)</f>
        <v/>
      </c>
      <c r="BJ5">
        <f>SUMIFS(T_Shipments[Confirmed_Qty],T_Shipments[RM_Code],$A5,T_Shipments[Effective_Week],61)</f>
        <v/>
      </c>
      <c r="BK5">
        <f>SUMIFS(T_Shipments[Confirmed_Qty],T_Shipments[RM_Code],$A5,T_Shipments[Effective_Week],62)</f>
        <v/>
      </c>
      <c r="BL5">
        <f>SUMIFS(T_Shipments[Confirmed_Qty],T_Shipments[RM_Code],$A5,T_Shipments[Effective_Week],63)</f>
        <v/>
      </c>
      <c r="BM5">
        <f>SUMIFS(T_Shipments[Confirmed_Qty],T_Shipments[RM_Code],$A5,T_Shipments[Effective_Week],64)</f>
        <v/>
      </c>
      <c r="BN5">
        <f>SUMIFS(T_Shipments[Confirmed_Qty],T_Shipments[RM_Code],$A5,T_Shipments[Effective_Week],65)</f>
        <v/>
      </c>
      <c r="BO5">
        <f>SUMIFS(T_Shipments[Confirmed_Qty],T_Shipments[RM_Code],$A5,T_Shipments[Effective_Week],66)</f>
        <v/>
      </c>
      <c r="BP5">
        <f>SUMIFS(T_Shipments[Confirmed_Qty],T_Shipments[RM_Code],$A5,T_Shipments[Effective_Week],67)</f>
        <v/>
      </c>
      <c r="BQ5">
        <f>SUMIFS(T_Shipments[Confirmed_Qty],T_Shipments[RM_Code],$A5,T_Shipments[Effective_Week],68)</f>
        <v/>
      </c>
      <c r="BR5">
        <f>SUMIFS(T_Shipments[Confirmed_Qty],T_Shipments[RM_Code],$A5,T_Shipments[Effective_Week],69)</f>
        <v/>
      </c>
      <c r="BS5">
        <f>SUMIFS(T_Shipments[Confirmed_Qty],T_Shipments[RM_Code],$A5,T_Shipments[Effective_Week],70)</f>
        <v/>
      </c>
      <c r="BT5">
        <f>SUMIFS(T_Shipments[Confirmed_Qty],T_Shipments[RM_Code],$A5,T_Shipments[Effective_Week],71)</f>
        <v/>
      </c>
      <c r="BU5">
        <f>SUMIFS(T_Shipments[Confirmed_Qty],T_Shipments[RM_Code],$A5,T_Shipments[Effective_Week],72)</f>
        <v/>
      </c>
      <c r="BV5">
        <f>SUMIFS(T_Shipments[Confirmed_Qty],T_Shipments[RM_Code],$A5,T_Shipments[Effective_Week],73)</f>
        <v/>
      </c>
      <c r="BW5">
        <f>SUMIFS(T_Shipments[Confirmed_Qty],T_Shipments[RM_Code],$A5,T_Shipments[Effective_Week],74)</f>
        <v/>
      </c>
      <c r="BX5">
        <f>SUMIFS(T_Shipments[Confirmed_Qty],T_Shipments[RM_Code],$A5,T_Shipments[Effective_Week],75)</f>
        <v/>
      </c>
      <c r="BY5">
        <f>SUMIFS(T_Shipments[Confirmed_Qty],T_Shipments[RM_Code],$A5,T_Shipments[Effective_Week],76)</f>
        <v/>
      </c>
      <c r="BZ5">
        <f>SUMIFS(T_Shipments[Confirmed_Qty],T_Shipments[RM_Code],$A5,T_Shipments[Effective_Week],77)</f>
        <v/>
      </c>
      <c r="CA5">
        <f>SUMIFS(T_Shipments[Confirmed_Qty],T_Shipments[RM_Code],$A5,T_Shipments[Effective_Week],78)</f>
        <v/>
      </c>
      <c r="CB5">
        <f>SUMIFS(T_Shipments[Confirmed_Qty],T_Shipments[RM_Code],$A5,T_Shipments[Effective_Week],79)</f>
        <v/>
      </c>
      <c r="CC5">
        <f>SUMIFS(T_Shipments[Confirmed_Qty],T_Shipments[RM_Code],$A5,T_Shipments[Effective_Week],80)</f>
        <v/>
      </c>
      <c r="CD5">
        <f>SUMIFS(T_Shipments[Confirmed_Qty],T_Shipments[RM_Code],$A5,T_Shipments[Effective_Week],81)</f>
        <v/>
      </c>
      <c r="CE5">
        <f>SUMIFS(T_Shipments[Confirmed_Qty],T_Shipments[RM_Code],$A5,T_Shipments[Effective_Week],82)</f>
        <v/>
      </c>
      <c r="CF5">
        <f>SUMIFS(T_Shipments[Confirmed_Qty],T_Shipments[RM_Code],$A5,T_Shipments[Effective_Week],83)</f>
        <v/>
      </c>
      <c r="CG5">
        <f>SUMIFS(T_Shipments[Confirmed_Qty],T_Shipments[RM_Code],$A5,T_Shipments[Effective_Week],84)</f>
        <v/>
      </c>
      <c r="CH5">
        <f>SUMIFS(T_Shipments[Confirmed_Qty],T_Shipments[RM_Code],$A5,T_Shipments[Effective_Week],85)</f>
        <v/>
      </c>
      <c r="CI5">
        <f>SUMIFS(T_Shipments[Confirmed_Qty],T_Shipments[RM_Code],$A5,T_Shipments[Effective_Week],86)</f>
        <v/>
      </c>
      <c r="CJ5">
        <f>SUMIFS(T_Shipments[Confirmed_Qty],T_Shipments[RM_Code],$A5,T_Shipments[Effective_Week],87)</f>
        <v/>
      </c>
      <c r="CK5">
        <f>SUMIFS(T_Shipments[Confirmed_Qty],T_Shipments[RM_Code],$A5,T_Shipments[Effective_Week],88)</f>
        <v/>
      </c>
      <c r="CL5">
        <f>SUMIFS(T_Shipments[Confirmed_Qty],T_Shipments[RM_Code],$A5,T_Shipments[Effective_Week],89)</f>
        <v/>
      </c>
      <c r="CM5">
        <f>SUMIFS(T_Shipments[Confirmed_Qty],T_Shipments[RM_Code],$A5,T_Shipments[Effective_Week],90)</f>
        <v/>
      </c>
      <c r="CN5">
        <f>SUMIFS(T_Shipments[Confirmed_Qty],T_Shipments[RM_Code],$A5,T_Shipments[Effective_Week],91)</f>
        <v/>
      </c>
      <c r="CO5">
        <f>SUMIFS(T_Shipments[Confirmed_Qty],T_Shipments[RM_Code],$A5,T_Shipments[Effective_Week],92)</f>
        <v/>
      </c>
      <c r="CP5">
        <f>SUMIFS(T_Shipments[Confirmed_Qty],T_Shipments[RM_Code],$A5,T_Shipments[Effective_Week],93)</f>
        <v/>
      </c>
      <c r="CQ5">
        <f>SUMIFS(T_Shipments[Confirmed_Qty],T_Shipments[RM_Code],$A5,T_Shipments[Effective_Week],94)</f>
        <v/>
      </c>
      <c r="CR5">
        <f>SUMIFS(T_Shipments[Confirmed_Qty],T_Shipments[RM_Code],$A5,T_Shipments[Effective_Week],95)</f>
        <v/>
      </c>
      <c r="CS5">
        <f>SUMIFS(T_Shipments[Confirmed_Qty],T_Shipments[RM_Code],$A5,T_Shipments[Effective_Week],96)</f>
        <v/>
      </c>
      <c r="CT5">
        <f>SUMIFS(T_Shipments[Confirmed_Qty],T_Shipments[RM_Code],$A5,T_Shipments[Effective_Week],97)</f>
        <v/>
      </c>
      <c r="CU5">
        <f>SUMIFS(T_Shipments[Confirmed_Qty],T_Shipments[RM_Code],$A5,T_Shipments[Effective_Week],98)</f>
        <v/>
      </c>
      <c r="CV5">
        <f>SUMIFS(T_Shipments[Confirmed_Qty],T_Shipments[RM_Code],$A5,T_Shipments[Effective_Week],99)</f>
        <v/>
      </c>
      <c r="CW5">
        <f>SUMIFS(T_Shipments[Confirmed_Qty],T_Shipments[RM_Code],$A5,T_Shipments[Effective_Week],100)</f>
        <v/>
      </c>
      <c r="CX5">
        <f>SUMIFS(T_Shipments[Confirmed_Qty],T_Shipments[RM_Code],$A5,T_Shipments[Effective_Week],101)</f>
        <v/>
      </c>
      <c r="CY5">
        <f>SUMIFS(T_Shipments[Confirmed_Qty],T_Shipments[RM_Code],$A5,T_Shipments[Effective_Week],102)</f>
        <v/>
      </c>
      <c r="CZ5">
        <f>SUMIFS(T_Shipments[Confirmed_Qty],T_Shipments[RM_Code],$A5,T_Shipments[Effective_Week],103)</f>
        <v/>
      </c>
      <c r="DA5">
        <f>SUMIFS(T_Shipments[Confirmed_Qty],T_Shipments[RM_Code],$A5,T_Shipments[Effective_Week],104)</f>
        <v/>
      </c>
    </row>
    <row r="6">
      <c r="A6" t="inlineStr">
        <is>
          <t>CHEM-1530</t>
        </is>
      </c>
      <c r="B6">
        <f>SUMIFS(T_Shipments[Confirmed_Qty],T_Shipments[RM_Code],$A6,T_Shipments[Effective_Week],1)</f>
        <v/>
      </c>
      <c r="C6">
        <f>SUMIFS(T_Shipments[Confirmed_Qty],T_Shipments[RM_Code],$A6,T_Shipments[Effective_Week],2)</f>
        <v/>
      </c>
      <c r="D6">
        <f>SUMIFS(T_Shipments[Confirmed_Qty],T_Shipments[RM_Code],$A6,T_Shipments[Effective_Week],3)</f>
        <v/>
      </c>
      <c r="E6">
        <f>SUMIFS(T_Shipments[Confirmed_Qty],T_Shipments[RM_Code],$A6,T_Shipments[Effective_Week],4)</f>
        <v/>
      </c>
      <c r="F6">
        <f>SUMIFS(T_Shipments[Confirmed_Qty],T_Shipments[RM_Code],$A6,T_Shipments[Effective_Week],5)</f>
        <v/>
      </c>
      <c r="G6">
        <f>SUMIFS(T_Shipments[Confirmed_Qty],T_Shipments[RM_Code],$A6,T_Shipments[Effective_Week],6)</f>
        <v/>
      </c>
      <c r="H6">
        <f>SUMIFS(T_Shipments[Confirmed_Qty],T_Shipments[RM_Code],$A6,T_Shipments[Effective_Week],7)</f>
        <v/>
      </c>
      <c r="I6">
        <f>SUMIFS(T_Shipments[Confirmed_Qty],T_Shipments[RM_Code],$A6,T_Shipments[Effective_Week],8)</f>
        <v/>
      </c>
      <c r="J6">
        <f>SUMIFS(T_Shipments[Confirmed_Qty],T_Shipments[RM_Code],$A6,T_Shipments[Effective_Week],9)</f>
        <v/>
      </c>
      <c r="K6">
        <f>SUMIFS(T_Shipments[Confirmed_Qty],T_Shipments[RM_Code],$A6,T_Shipments[Effective_Week],10)</f>
        <v/>
      </c>
      <c r="L6">
        <f>SUMIFS(T_Shipments[Confirmed_Qty],T_Shipments[RM_Code],$A6,T_Shipments[Effective_Week],11)</f>
        <v/>
      </c>
      <c r="M6">
        <f>SUMIFS(T_Shipments[Confirmed_Qty],T_Shipments[RM_Code],$A6,T_Shipments[Effective_Week],12)</f>
        <v/>
      </c>
      <c r="N6">
        <f>SUMIFS(T_Shipments[Confirmed_Qty],T_Shipments[RM_Code],$A6,T_Shipments[Effective_Week],13)</f>
        <v/>
      </c>
      <c r="O6">
        <f>SUMIFS(T_Shipments[Confirmed_Qty],T_Shipments[RM_Code],$A6,T_Shipments[Effective_Week],14)</f>
        <v/>
      </c>
      <c r="P6">
        <f>SUMIFS(T_Shipments[Confirmed_Qty],T_Shipments[RM_Code],$A6,T_Shipments[Effective_Week],15)</f>
        <v/>
      </c>
      <c r="Q6">
        <f>SUMIFS(T_Shipments[Confirmed_Qty],T_Shipments[RM_Code],$A6,T_Shipments[Effective_Week],16)</f>
        <v/>
      </c>
      <c r="R6">
        <f>SUMIFS(T_Shipments[Confirmed_Qty],T_Shipments[RM_Code],$A6,T_Shipments[Effective_Week],17)</f>
        <v/>
      </c>
      <c r="S6">
        <f>SUMIFS(T_Shipments[Confirmed_Qty],T_Shipments[RM_Code],$A6,T_Shipments[Effective_Week],18)</f>
        <v/>
      </c>
      <c r="T6">
        <f>SUMIFS(T_Shipments[Confirmed_Qty],T_Shipments[RM_Code],$A6,T_Shipments[Effective_Week],19)</f>
        <v/>
      </c>
      <c r="U6">
        <f>SUMIFS(T_Shipments[Confirmed_Qty],T_Shipments[RM_Code],$A6,T_Shipments[Effective_Week],20)</f>
        <v/>
      </c>
      <c r="V6">
        <f>SUMIFS(T_Shipments[Confirmed_Qty],T_Shipments[RM_Code],$A6,T_Shipments[Effective_Week],21)</f>
        <v/>
      </c>
      <c r="W6">
        <f>SUMIFS(T_Shipments[Confirmed_Qty],T_Shipments[RM_Code],$A6,T_Shipments[Effective_Week],22)</f>
        <v/>
      </c>
      <c r="X6">
        <f>SUMIFS(T_Shipments[Confirmed_Qty],T_Shipments[RM_Code],$A6,T_Shipments[Effective_Week],23)</f>
        <v/>
      </c>
      <c r="Y6">
        <f>SUMIFS(T_Shipments[Confirmed_Qty],T_Shipments[RM_Code],$A6,T_Shipments[Effective_Week],24)</f>
        <v/>
      </c>
      <c r="Z6">
        <f>SUMIFS(T_Shipments[Confirmed_Qty],T_Shipments[RM_Code],$A6,T_Shipments[Effective_Week],25)</f>
        <v/>
      </c>
      <c r="AA6">
        <f>SUMIFS(T_Shipments[Confirmed_Qty],T_Shipments[RM_Code],$A6,T_Shipments[Effective_Week],26)</f>
        <v/>
      </c>
      <c r="AB6">
        <f>SUMIFS(T_Shipments[Confirmed_Qty],T_Shipments[RM_Code],$A6,T_Shipments[Effective_Week],27)</f>
        <v/>
      </c>
      <c r="AC6">
        <f>SUMIFS(T_Shipments[Confirmed_Qty],T_Shipments[RM_Code],$A6,T_Shipments[Effective_Week],28)</f>
        <v/>
      </c>
      <c r="AD6">
        <f>SUMIFS(T_Shipments[Confirmed_Qty],T_Shipments[RM_Code],$A6,T_Shipments[Effective_Week],29)</f>
        <v/>
      </c>
      <c r="AE6">
        <f>SUMIFS(T_Shipments[Confirmed_Qty],T_Shipments[RM_Code],$A6,T_Shipments[Effective_Week],30)</f>
        <v/>
      </c>
      <c r="AF6">
        <f>SUMIFS(T_Shipments[Confirmed_Qty],T_Shipments[RM_Code],$A6,T_Shipments[Effective_Week],31)</f>
        <v/>
      </c>
      <c r="AG6">
        <f>SUMIFS(T_Shipments[Confirmed_Qty],T_Shipments[RM_Code],$A6,T_Shipments[Effective_Week],32)</f>
        <v/>
      </c>
      <c r="AH6">
        <f>SUMIFS(T_Shipments[Confirmed_Qty],T_Shipments[RM_Code],$A6,T_Shipments[Effective_Week],33)</f>
        <v/>
      </c>
      <c r="AI6">
        <f>SUMIFS(T_Shipments[Confirmed_Qty],T_Shipments[RM_Code],$A6,T_Shipments[Effective_Week],34)</f>
        <v/>
      </c>
      <c r="AJ6">
        <f>SUMIFS(T_Shipments[Confirmed_Qty],T_Shipments[RM_Code],$A6,T_Shipments[Effective_Week],35)</f>
        <v/>
      </c>
      <c r="AK6">
        <f>SUMIFS(T_Shipments[Confirmed_Qty],T_Shipments[RM_Code],$A6,T_Shipments[Effective_Week],36)</f>
        <v/>
      </c>
      <c r="AL6">
        <f>SUMIFS(T_Shipments[Confirmed_Qty],T_Shipments[RM_Code],$A6,T_Shipments[Effective_Week],37)</f>
        <v/>
      </c>
      <c r="AM6">
        <f>SUMIFS(T_Shipments[Confirmed_Qty],T_Shipments[RM_Code],$A6,T_Shipments[Effective_Week],38)</f>
        <v/>
      </c>
      <c r="AN6">
        <f>SUMIFS(T_Shipments[Confirmed_Qty],T_Shipments[RM_Code],$A6,T_Shipments[Effective_Week],39)</f>
        <v/>
      </c>
      <c r="AO6">
        <f>SUMIFS(T_Shipments[Confirmed_Qty],T_Shipments[RM_Code],$A6,T_Shipments[Effective_Week],40)</f>
        <v/>
      </c>
      <c r="AP6">
        <f>SUMIFS(T_Shipments[Confirmed_Qty],T_Shipments[RM_Code],$A6,T_Shipments[Effective_Week],41)</f>
        <v/>
      </c>
      <c r="AQ6">
        <f>SUMIFS(T_Shipments[Confirmed_Qty],T_Shipments[RM_Code],$A6,T_Shipments[Effective_Week],42)</f>
        <v/>
      </c>
      <c r="AR6">
        <f>SUMIFS(T_Shipments[Confirmed_Qty],T_Shipments[RM_Code],$A6,T_Shipments[Effective_Week],43)</f>
        <v/>
      </c>
      <c r="AS6">
        <f>SUMIFS(T_Shipments[Confirmed_Qty],T_Shipments[RM_Code],$A6,T_Shipments[Effective_Week],44)</f>
        <v/>
      </c>
      <c r="AT6">
        <f>SUMIFS(T_Shipments[Confirmed_Qty],T_Shipments[RM_Code],$A6,T_Shipments[Effective_Week],45)</f>
        <v/>
      </c>
      <c r="AU6">
        <f>SUMIFS(T_Shipments[Confirmed_Qty],T_Shipments[RM_Code],$A6,T_Shipments[Effective_Week],46)</f>
        <v/>
      </c>
      <c r="AV6">
        <f>SUMIFS(T_Shipments[Confirmed_Qty],T_Shipments[RM_Code],$A6,T_Shipments[Effective_Week],47)</f>
        <v/>
      </c>
      <c r="AW6">
        <f>SUMIFS(T_Shipments[Confirmed_Qty],T_Shipments[RM_Code],$A6,T_Shipments[Effective_Week],48)</f>
        <v/>
      </c>
      <c r="AX6">
        <f>SUMIFS(T_Shipments[Confirmed_Qty],T_Shipments[RM_Code],$A6,T_Shipments[Effective_Week],49)</f>
        <v/>
      </c>
      <c r="AY6">
        <f>SUMIFS(T_Shipments[Confirmed_Qty],T_Shipments[RM_Code],$A6,T_Shipments[Effective_Week],50)</f>
        <v/>
      </c>
      <c r="AZ6">
        <f>SUMIFS(T_Shipments[Confirmed_Qty],T_Shipments[RM_Code],$A6,T_Shipments[Effective_Week],51)</f>
        <v/>
      </c>
      <c r="BA6">
        <f>SUMIFS(T_Shipments[Confirmed_Qty],T_Shipments[RM_Code],$A6,T_Shipments[Effective_Week],52)</f>
        <v/>
      </c>
      <c r="BB6">
        <f>SUMIFS(T_Shipments[Confirmed_Qty],T_Shipments[RM_Code],$A6,T_Shipments[Effective_Week],53)</f>
        <v/>
      </c>
      <c r="BC6">
        <f>SUMIFS(T_Shipments[Confirmed_Qty],T_Shipments[RM_Code],$A6,T_Shipments[Effective_Week],54)</f>
        <v/>
      </c>
      <c r="BD6">
        <f>SUMIFS(T_Shipments[Confirmed_Qty],T_Shipments[RM_Code],$A6,T_Shipments[Effective_Week],55)</f>
        <v/>
      </c>
      <c r="BE6">
        <f>SUMIFS(T_Shipments[Confirmed_Qty],T_Shipments[RM_Code],$A6,T_Shipments[Effective_Week],56)</f>
        <v/>
      </c>
      <c r="BF6">
        <f>SUMIFS(T_Shipments[Confirmed_Qty],T_Shipments[RM_Code],$A6,T_Shipments[Effective_Week],57)</f>
        <v/>
      </c>
      <c r="BG6">
        <f>SUMIFS(T_Shipments[Confirmed_Qty],T_Shipments[RM_Code],$A6,T_Shipments[Effective_Week],58)</f>
        <v/>
      </c>
      <c r="BH6">
        <f>SUMIFS(T_Shipments[Confirmed_Qty],T_Shipments[RM_Code],$A6,T_Shipments[Effective_Week],59)</f>
        <v/>
      </c>
      <c r="BI6">
        <f>SUMIFS(T_Shipments[Confirmed_Qty],T_Shipments[RM_Code],$A6,T_Shipments[Effective_Week],60)</f>
        <v/>
      </c>
      <c r="BJ6">
        <f>SUMIFS(T_Shipments[Confirmed_Qty],T_Shipments[RM_Code],$A6,T_Shipments[Effective_Week],61)</f>
        <v/>
      </c>
      <c r="BK6">
        <f>SUMIFS(T_Shipments[Confirmed_Qty],T_Shipments[RM_Code],$A6,T_Shipments[Effective_Week],62)</f>
        <v/>
      </c>
      <c r="BL6">
        <f>SUMIFS(T_Shipments[Confirmed_Qty],T_Shipments[RM_Code],$A6,T_Shipments[Effective_Week],63)</f>
        <v/>
      </c>
      <c r="BM6">
        <f>SUMIFS(T_Shipments[Confirmed_Qty],T_Shipments[RM_Code],$A6,T_Shipments[Effective_Week],64)</f>
        <v/>
      </c>
      <c r="BN6">
        <f>SUMIFS(T_Shipments[Confirmed_Qty],T_Shipments[RM_Code],$A6,T_Shipments[Effective_Week],65)</f>
        <v/>
      </c>
      <c r="BO6">
        <f>SUMIFS(T_Shipments[Confirmed_Qty],T_Shipments[RM_Code],$A6,T_Shipments[Effective_Week],66)</f>
        <v/>
      </c>
      <c r="BP6">
        <f>SUMIFS(T_Shipments[Confirmed_Qty],T_Shipments[RM_Code],$A6,T_Shipments[Effective_Week],67)</f>
        <v/>
      </c>
      <c r="BQ6">
        <f>SUMIFS(T_Shipments[Confirmed_Qty],T_Shipments[RM_Code],$A6,T_Shipments[Effective_Week],68)</f>
        <v/>
      </c>
      <c r="BR6">
        <f>SUMIFS(T_Shipments[Confirmed_Qty],T_Shipments[RM_Code],$A6,T_Shipments[Effective_Week],69)</f>
        <v/>
      </c>
      <c r="BS6">
        <f>SUMIFS(T_Shipments[Confirmed_Qty],T_Shipments[RM_Code],$A6,T_Shipments[Effective_Week],70)</f>
        <v/>
      </c>
      <c r="BT6">
        <f>SUMIFS(T_Shipments[Confirmed_Qty],T_Shipments[RM_Code],$A6,T_Shipments[Effective_Week],71)</f>
        <v/>
      </c>
      <c r="BU6">
        <f>SUMIFS(T_Shipments[Confirmed_Qty],T_Shipments[RM_Code],$A6,T_Shipments[Effective_Week],72)</f>
        <v/>
      </c>
      <c r="BV6">
        <f>SUMIFS(T_Shipments[Confirmed_Qty],T_Shipments[RM_Code],$A6,T_Shipments[Effective_Week],73)</f>
        <v/>
      </c>
      <c r="BW6">
        <f>SUMIFS(T_Shipments[Confirmed_Qty],T_Shipments[RM_Code],$A6,T_Shipments[Effective_Week],74)</f>
        <v/>
      </c>
      <c r="BX6">
        <f>SUMIFS(T_Shipments[Confirmed_Qty],T_Shipments[RM_Code],$A6,T_Shipments[Effective_Week],75)</f>
        <v/>
      </c>
      <c r="BY6">
        <f>SUMIFS(T_Shipments[Confirmed_Qty],T_Shipments[RM_Code],$A6,T_Shipments[Effective_Week],76)</f>
        <v/>
      </c>
      <c r="BZ6">
        <f>SUMIFS(T_Shipments[Confirmed_Qty],T_Shipments[RM_Code],$A6,T_Shipments[Effective_Week],77)</f>
        <v/>
      </c>
      <c r="CA6">
        <f>SUMIFS(T_Shipments[Confirmed_Qty],T_Shipments[RM_Code],$A6,T_Shipments[Effective_Week],78)</f>
        <v/>
      </c>
      <c r="CB6">
        <f>SUMIFS(T_Shipments[Confirmed_Qty],T_Shipments[RM_Code],$A6,T_Shipments[Effective_Week],79)</f>
        <v/>
      </c>
      <c r="CC6">
        <f>SUMIFS(T_Shipments[Confirmed_Qty],T_Shipments[RM_Code],$A6,T_Shipments[Effective_Week],80)</f>
        <v/>
      </c>
      <c r="CD6">
        <f>SUMIFS(T_Shipments[Confirmed_Qty],T_Shipments[RM_Code],$A6,T_Shipments[Effective_Week],81)</f>
        <v/>
      </c>
      <c r="CE6">
        <f>SUMIFS(T_Shipments[Confirmed_Qty],T_Shipments[RM_Code],$A6,T_Shipments[Effective_Week],82)</f>
        <v/>
      </c>
      <c r="CF6">
        <f>SUMIFS(T_Shipments[Confirmed_Qty],T_Shipments[RM_Code],$A6,T_Shipments[Effective_Week],83)</f>
        <v/>
      </c>
      <c r="CG6">
        <f>SUMIFS(T_Shipments[Confirmed_Qty],T_Shipments[RM_Code],$A6,T_Shipments[Effective_Week],84)</f>
        <v/>
      </c>
      <c r="CH6">
        <f>SUMIFS(T_Shipments[Confirmed_Qty],T_Shipments[RM_Code],$A6,T_Shipments[Effective_Week],85)</f>
        <v/>
      </c>
      <c r="CI6">
        <f>SUMIFS(T_Shipments[Confirmed_Qty],T_Shipments[RM_Code],$A6,T_Shipments[Effective_Week],86)</f>
        <v/>
      </c>
      <c r="CJ6">
        <f>SUMIFS(T_Shipments[Confirmed_Qty],T_Shipments[RM_Code],$A6,T_Shipments[Effective_Week],87)</f>
        <v/>
      </c>
      <c r="CK6">
        <f>SUMIFS(T_Shipments[Confirmed_Qty],T_Shipments[RM_Code],$A6,T_Shipments[Effective_Week],88)</f>
        <v/>
      </c>
      <c r="CL6">
        <f>SUMIFS(T_Shipments[Confirmed_Qty],T_Shipments[RM_Code],$A6,T_Shipments[Effective_Week],89)</f>
        <v/>
      </c>
      <c r="CM6">
        <f>SUMIFS(T_Shipments[Confirmed_Qty],T_Shipments[RM_Code],$A6,T_Shipments[Effective_Week],90)</f>
        <v/>
      </c>
      <c r="CN6">
        <f>SUMIFS(T_Shipments[Confirmed_Qty],T_Shipments[RM_Code],$A6,T_Shipments[Effective_Week],91)</f>
        <v/>
      </c>
      <c r="CO6">
        <f>SUMIFS(T_Shipments[Confirmed_Qty],T_Shipments[RM_Code],$A6,T_Shipments[Effective_Week],92)</f>
        <v/>
      </c>
      <c r="CP6">
        <f>SUMIFS(T_Shipments[Confirmed_Qty],T_Shipments[RM_Code],$A6,T_Shipments[Effective_Week],93)</f>
        <v/>
      </c>
      <c r="CQ6">
        <f>SUMIFS(T_Shipments[Confirmed_Qty],T_Shipments[RM_Code],$A6,T_Shipments[Effective_Week],94)</f>
        <v/>
      </c>
      <c r="CR6">
        <f>SUMIFS(T_Shipments[Confirmed_Qty],T_Shipments[RM_Code],$A6,T_Shipments[Effective_Week],95)</f>
        <v/>
      </c>
      <c r="CS6">
        <f>SUMIFS(T_Shipments[Confirmed_Qty],T_Shipments[RM_Code],$A6,T_Shipments[Effective_Week],96)</f>
        <v/>
      </c>
      <c r="CT6">
        <f>SUMIFS(T_Shipments[Confirmed_Qty],T_Shipments[RM_Code],$A6,T_Shipments[Effective_Week],97)</f>
        <v/>
      </c>
      <c r="CU6">
        <f>SUMIFS(T_Shipments[Confirmed_Qty],T_Shipments[RM_Code],$A6,T_Shipments[Effective_Week],98)</f>
        <v/>
      </c>
      <c r="CV6">
        <f>SUMIFS(T_Shipments[Confirmed_Qty],T_Shipments[RM_Code],$A6,T_Shipments[Effective_Week],99)</f>
        <v/>
      </c>
      <c r="CW6">
        <f>SUMIFS(T_Shipments[Confirmed_Qty],T_Shipments[RM_Code],$A6,T_Shipments[Effective_Week],100)</f>
        <v/>
      </c>
      <c r="CX6">
        <f>SUMIFS(T_Shipments[Confirmed_Qty],T_Shipments[RM_Code],$A6,T_Shipments[Effective_Week],101)</f>
        <v/>
      </c>
      <c r="CY6">
        <f>SUMIFS(T_Shipments[Confirmed_Qty],T_Shipments[RM_Code],$A6,T_Shipments[Effective_Week],102)</f>
        <v/>
      </c>
      <c r="CZ6">
        <f>SUMIFS(T_Shipments[Confirmed_Qty],T_Shipments[RM_Code],$A6,T_Shipments[Effective_Week],103)</f>
        <v/>
      </c>
      <c r="DA6">
        <f>SUMIFS(T_Shipments[Confirmed_Qty],T_Shipments[RM_Code],$A6,T_Shipments[Effective_Week],104)</f>
        <v/>
      </c>
    </row>
    <row r="7">
      <c r="A7" t="inlineStr">
        <is>
          <t>CHEM-1540</t>
        </is>
      </c>
      <c r="B7">
        <f>SUMIFS(T_Shipments[Confirmed_Qty],T_Shipments[RM_Code],$A7,T_Shipments[Effective_Week],1)</f>
        <v/>
      </c>
      <c r="C7">
        <f>SUMIFS(T_Shipments[Confirmed_Qty],T_Shipments[RM_Code],$A7,T_Shipments[Effective_Week],2)</f>
        <v/>
      </c>
      <c r="D7">
        <f>SUMIFS(T_Shipments[Confirmed_Qty],T_Shipments[RM_Code],$A7,T_Shipments[Effective_Week],3)</f>
        <v/>
      </c>
      <c r="E7">
        <f>SUMIFS(T_Shipments[Confirmed_Qty],T_Shipments[RM_Code],$A7,T_Shipments[Effective_Week],4)</f>
        <v/>
      </c>
      <c r="F7">
        <f>SUMIFS(T_Shipments[Confirmed_Qty],T_Shipments[RM_Code],$A7,T_Shipments[Effective_Week],5)</f>
        <v/>
      </c>
      <c r="G7">
        <f>SUMIFS(T_Shipments[Confirmed_Qty],T_Shipments[RM_Code],$A7,T_Shipments[Effective_Week],6)</f>
        <v/>
      </c>
      <c r="H7">
        <f>SUMIFS(T_Shipments[Confirmed_Qty],T_Shipments[RM_Code],$A7,T_Shipments[Effective_Week],7)</f>
        <v/>
      </c>
      <c r="I7">
        <f>SUMIFS(T_Shipments[Confirmed_Qty],T_Shipments[RM_Code],$A7,T_Shipments[Effective_Week],8)</f>
        <v/>
      </c>
      <c r="J7">
        <f>SUMIFS(T_Shipments[Confirmed_Qty],T_Shipments[RM_Code],$A7,T_Shipments[Effective_Week],9)</f>
        <v/>
      </c>
      <c r="K7">
        <f>SUMIFS(T_Shipments[Confirmed_Qty],T_Shipments[RM_Code],$A7,T_Shipments[Effective_Week],10)</f>
        <v/>
      </c>
      <c r="L7">
        <f>SUMIFS(T_Shipments[Confirmed_Qty],T_Shipments[RM_Code],$A7,T_Shipments[Effective_Week],11)</f>
        <v/>
      </c>
      <c r="M7">
        <f>SUMIFS(T_Shipments[Confirmed_Qty],T_Shipments[RM_Code],$A7,T_Shipments[Effective_Week],12)</f>
        <v/>
      </c>
      <c r="N7">
        <f>SUMIFS(T_Shipments[Confirmed_Qty],T_Shipments[RM_Code],$A7,T_Shipments[Effective_Week],13)</f>
        <v/>
      </c>
      <c r="O7">
        <f>SUMIFS(T_Shipments[Confirmed_Qty],T_Shipments[RM_Code],$A7,T_Shipments[Effective_Week],14)</f>
        <v/>
      </c>
      <c r="P7">
        <f>SUMIFS(T_Shipments[Confirmed_Qty],T_Shipments[RM_Code],$A7,T_Shipments[Effective_Week],15)</f>
        <v/>
      </c>
      <c r="Q7">
        <f>SUMIFS(T_Shipments[Confirmed_Qty],T_Shipments[RM_Code],$A7,T_Shipments[Effective_Week],16)</f>
        <v/>
      </c>
      <c r="R7">
        <f>SUMIFS(T_Shipments[Confirmed_Qty],T_Shipments[RM_Code],$A7,T_Shipments[Effective_Week],17)</f>
        <v/>
      </c>
      <c r="S7">
        <f>SUMIFS(T_Shipments[Confirmed_Qty],T_Shipments[RM_Code],$A7,T_Shipments[Effective_Week],18)</f>
        <v/>
      </c>
      <c r="T7">
        <f>SUMIFS(T_Shipments[Confirmed_Qty],T_Shipments[RM_Code],$A7,T_Shipments[Effective_Week],19)</f>
        <v/>
      </c>
      <c r="U7">
        <f>SUMIFS(T_Shipments[Confirmed_Qty],T_Shipments[RM_Code],$A7,T_Shipments[Effective_Week],20)</f>
        <v/>
      </c>
      <c r="V7">
        <f>SUMIFS(T_Shipments[Confirmed_Qty],T_Shipments[RM_Code],$A7,T_Shipments[Effective_Week],21)</f>
        <v/>
      </c>
      <c r="W7">
        <f>SUMIFS(T_Shipments[Confirmed_Qty],T_Shipments[RM_Code],$A7,T_Shipments[Effective_Week],22)</f>
        <v/>
      </c>
      <c r="X7">
        <f>SUMIFS(T_Shipments[Confirmed_Qty],T_Shipments[RM_Code],$A7,T_Shipments[Effective_Week],23)</f>
        <v/>
      </c>
      <c r="Y7">
        <f>SUMIFS(T_Shipments[Confirmed_Qty],T_Shipments[RM_Code],$A7,T_Shipments[Effective_Week],24)</f>
        <v/>
      </c>
      <c r="Z7">
        <f>SUMIFS(T_Shipments[Confirmed_Qty],T_Shipments[RM_Code],$A7,T_Shipments[Effective_Week],25)</f>
        <v/>
      </c>
      <c r="AA7">
        <f>SUMIFS(T_Shipments[Confirmed_Qty],T_Shipments[RM_Code],$A7,T_Shipments[Effective_Week],26)</f>
        <v/>
      </c>
      <c r="AB7">
        <f>SUMIFS(T_Shipments[Confirmed_Qty],T_Shipments[RM_Code],$A7,T_Shipments[Effective_Week],27)</f>
        <v/>
      </c>
      <c r="AC7">
        <f>SUMIFS(T_Shipments[Confirmed_Qty],T_Shipments[RM_Code],$A7,T_Shipments[Effective_Week],28)</f>
        <v/>
      </c>
      <c r="AD7">
        <f>SUMIFS(T_Shipments[Confirmed_Qty],T_Shipments[RM_Code],$A7,T_Shipments[Effective_Week],29)</f>
        <v/>
      </c>
      <c r="AE7">
        <f>SUMIFS(T_Shipments[Confirmed_Qty],T_Shipments[RM_Code],$A7,T_Shipments[Effective_Week],30)</f>
        <v/>
      </c>
      <c r="AF7">
        <f>SUMIFS(T_Shipments[Confirmed_Qty],T_Shipments[RM_Code],$A7,T_Shipments[Effective_Week],31)</f>
        <v/>
      </c>
      <c r="AG7">
        <f>SUMIFS(T_Shipments[Confirmed_Qty],T_Shipments[RM_Code],$A7,T_Shipments[Effective_Week],32)</f>
        <v/>
      </c>
      <c r="AH7">
        <f>SUMIFS(T_Shipments[Confirmed_Qty],T_Shipments[RM_Code],$A7,T_Shipments[Effective_Week],33)</f>
        <v/>
      </c>
      <c r="AI7">
        <f>SUMIFS(T_Shipments[Confirmed_Qty],T_Shipments[RM_Code],$A7,T_Shipments[Effective_Week],34)</f>
        <v/>
      </c>
      <c r="AJ7">
        <f>SUMIFS(T_Shipments[Confirmed_Qty],T_Shipments[RM_Code],$A7,T_Shipments[Effective_Week],35)</f>
        <v/>
      </c>
      <c r="AK7">
        <f>SUMIFS(T_Shipments[Confirmed_Qty],T_Shipments[RM_Code],$A7,T_Shipments[Effective_Week],36)</f>
        <v/>
      </c>
      <c r="AL7">
        <f>SUMIFS(T_Shipments[Confirmed_Qty],T_Shipments[RM_Code],$A7,T_Shipments[Effective_Week],37)</f>
        <v/>
      </c>
      <c r="AM7">
        <f>SUMIFS(T_Shipments[Confirmed_Qty],T_Shipments[RM_Code],$A7,T_Shipments[Effective_Week],38)</f>
        <v/>
      </c>
      <c r="AN7">
        <f>SUMIFS(T_Shipments[Confirmed_Qty],T_Shipments[RM_Code],$A7,T_Shipments[Effective_Week],39)</f>
        <v/>
      </c>
      <c r="AO7">
        <f>SUMIFS(T_Shipments[Confirmed_Qty],T_Shipments[RM_Code],$A7,T_Shipments[Effective_Week],40)</f>
        <v/>
      </c>
      <c r="AP7">
        <f>SUMIFS(T_Shipments[Confirmed_Qty],T_Shipments[RM_Code],$A7,T_Shipments[Effective_Week],41)</f>
        <v/>
      </c>
      <c r="AQ7">
        <f>SUMIFS(T_Shipments[Confirmed_Qty],T_Shipments[RM_Code],$A7,T_Shipments[Effective_Week],42)</f>
        <v/>
      </c>
      <c r="AR7">
        <f>SUMIFS(T_Shipments[Confirmed_Qty],T_Shipments[RM_Code],$A7,T_Shipments[Effective_Week],43)</f>
        <v/>
      </c>
      <c r="AS7">
        <f>SUMIFS(T_Shipments[Confirmed_Qty],T_Shipments[RM_Code],$A7,T_Shipments[Effective_Week],44)</f>
        <v/>
      </c>
      <c r="AT7">
        <f>SUMIFS(T_Shipments[Confirmed_Qty],T_Shipments[RM_Code],$A7,T_Shipments[Effective_Week],45)</f>
        <v/>
      </c>
      <c r="AU7">
        <f>SUMIFS(T_Shipments[Confirmed_Qty],T_Shipments[RM_Code],$A7,T_Shipments[Effective_Week],46)</f>
        <v/>
      </c>
      <c r="AV7">
        <f>SUMIFS(T_Shipments[Confirmed_Qty],T_Shipments[RM_Code],$A7,T_Shipments[Effective_Week],47)</f>
        <v/>
      </c>
      <c r="AW7">
        <f>SUMIFS(T_Shipments[Confirmed_Qty],T_Shipments[RM_Code],$A7,T_Shipments[Effective_Week],48)</f>
        <v/>
      </c>
      <c r="AX7">
        <f>SUMIFS(T_Shipments[Confirmed_Qty],T_Shipments[RM_Code],$A7,T_Shipments[Effective_Week],49)</f>
        <v/>
      </c>
      <c r="AY7">
        <f>SUMIFS(T_Shipments[Confirmed_Qty],T_Shipments[RM_Code],$A7,T_Shipments[Effective_Week],50)</f>
        <v/>
      </c>
      <c r="AZ7">
        <f>SUMIFS(T_Shipments[Confirmed_Qty],T_Shipments[RM_Code],$A7,T_Shipments[Effective_Week],51)</f>
        <v/>
      </c>
      <c r="BA7">
        <f>SUMIFS(T_Shipments[Confirmed_Qty],T_Shipments[RM_Code],$A7,T_Shipments[Effective_Week],52)</f>
        <v/>
      </c>
      <c r="BB7">
        <f>SUMIFS(T_Shipments[Confirmed_Qty],T_Shipments[RM_Code],$A7,T_Shipments[Effective_Week],53)</f>
        <v/>
      </c>
      <c r="BC7">
        <f>SUMIFS(T_Shipments[Confirmed_Qty],T_Shipments[RM_Code],$A7,T_Shipments[Effective_Week],54)</f>
        <v/>
      </c>
      <c r="BD7">
        <f>SUMIFS(T_Shipments[Confirmed_Qty],T_Shipments[RM_Code],$A7,T_Shipments[Effective_Week],55)</f>
        <v/>
      </c>
      <c r="BE7">
        <f>SUMIFS(T_Shipments[Confirmed_Qty],T_Shipments[RM_Code],$A7,T_Shipments[Effective_Week],56)</f>
        <v/>
      </c>
      <c r="BF7">
        <f>SUMIFS(T_Shipments[Confirmed_Qty],T_Shipments[RM_Code],$A7,T_Shipments[Effective_Week],57)</f>
        <v/>
      </c>
      <c r="BG7">
        <f>SUMIFS(T_Shipments[Confirmed_Qty],T_Shipments[RM_Code],$A7,T_Shipments[Effective_Week],58)</f>
        <v/>
      </c>
      <c r="BH7">
        <f>SUMIFS(T_Shipments[Confirmed_Qty],T_Shipments[RM_Code],$A7,T_Shipments[Effective_Week],59)</f>
        <v/>
      </c>
      <c r="BI7">
        <f>SUMIFS(T_Shipments[Confirmed_Qty],T_Shipments[RM_Code],$A7,T_Shipments[Effective_Week],60)</f>
        <v/>
      </c>
      <c r="BJ7">
        <f>SUMIFS(T_Shipments[Confirmed_Qty],T_Shipments[RM_Code],$A7,T_Shipments[Effective_Week],61)</f>
        <v/>
      </c>
      <c r="BK7">
        <f>SUMIFS(T_Shipments[Confirmed_Qty],T_Shipments[RM_Code],$A7,T_Shipments[Effective_Week],62)</f>
        <v/>
      </c>
      <c r="BL7">
        <f>SUMIFS(T_Shipments[Confirmed_Qty],T_Shipments[RM_Code],$A7,T_Shipments[Effective_Week],63)</f>
        <v/>
      </c>
      <c r="BM7">
        <f>SUMIFS(T_Shipments[Confirmed_Qty],T_Shipments[RM_Code],$A7,T_Shipments[Effective_Week],64)</f>
        <v/>
      </c>
      <c r="BN7">
        <f>SUMIFS(T_Shipments[Confirmed_Qty],T_Shipments[RM_Code],$A7,T_Shipments[Effective_Week],65)</f>
        <v/>
      </c>
      <c r="BO7">
        <f>SUMIFS(T_Shipments[Confirmed_Qty],T_Shipments[RM_Code],$A7,T_Shipments[Effective_Week],66)</f>
        <v/>
      </c>
      <c r="BP7">
        <f>SUMIFS(T_Shipments[Confirmed_Qty],T_Shipments[RM_Code],$A7,T_Shipments[Effective_Week],67)</f>
        <v/>
      </c>
      <c r="BQ7">
        <f>SUMIFS(T_Shipments[Confirmed_Qty],T_Shipments[RM_Code],$A7,T_Shipments[Effective_Week],68)</f>
        <v/>
      </c>
      <c r="BR7">
        <f>SUMIFS(T_Shipments[Confirmed_Qty],T_Shipments[RM_Code],$A7,T_Shipments[Effective_Week],69)</f>
        <v/>
      </c>
      <c r="BS7">
        <f>SUMIFS(T_Shipments[Confirmed_Qty],T_Shipments[RM_Code],$A7,T_Shipments[Effective_Week],70)</f>
        <v/>
      </c>
      <c r="BT7">
        <f>SUMIFS(T_Shipments[Confirmed_Qty],T_Shipments[RM_Code],$A7,T_Shipments[Effective_Week],71)</f>
        <v/>
      </c>
      <c r="BU7">
        <f>SUMIFS(T_Shipments[Confirmed_Qty],T_Shipments[RM_Code],$A7,T_Shipments[Effective_Week],72)</f>
        <v/>
      </c>
      <c r="BV7">
        <f>SUMIFS(T_Shipments[Confirmed_Qty],T_Shipments[RM_Code],$A7,T_Shipments[Effective_Week],73)</f>
        <v/>
      </c>
      <c r="BW7">
        <f>SUMIFS(T_Shipments[Confirmed_Qty],T_Shipments[RM_Code],$A7,T_Shipments[Effective_Week],74)</f>
        <v/>
      </c>
      <c r="BX7">
        <f>SUMIFS(T_Shipments[Confirmed_Qty],T_Shipments[RM_Code],$A7,T_Shipments[Effective_Week],75)</f>
        <v/>
      </c>
      <c r="BY7">
        <f>SUMIFS(T_Shipments[Confirmed_Qty],T_Shipments[RM_Code],$A7,T_Shipments[Effective_Week],76)</f>
        <v/>
      </c>
      <c r="BZ7">
        <f>SUMIFS(T_Shipments[Confirmed_Qty],T_Shipments[RM_Code],$A7,T_Shipments[Effective_Week],77)</f>
        <v/>
      </c>
      <c r="CA7">
        <f>SUMIFS(T_Shipments[Confirmed_Qty],T_Shipments[RM_Code],$A7,T_Shipments[Effective_Week],78)</f>
        <v/>
      </c>
      <c r="CB7">
        <f>SUMIFS(T_Shipments[Confirmed_Qty],T_Shipments[RM_Code],$A7,T_Shipments[Effective_Week],79)</f>
        <v/>
      </c>
      <c r="CC7">
        <f>SUMIFS(T_Shipments[Confirmed_Qty],T_Shipments[RM_Code],$A7,T_Shipments[Effective_Week],80)</f>
        <v/>
      </c>
      <c r="CD7">
        <f>SUMIFS(T_Shipments[Confirmed_Qty],T_Shipments[RM_Code],$A7,T_Shipments[Effective_Week],81)</f>
        <v/>
      </c>
      <c r="CE7">
        <f>SUMIFS(T_Shipments[Confirmed_Qty],T_Shipments[RM_Code],$A7,T_Shipments[Effective_Week],82)</f>
        <v/>
      </c>
      <c r="CF7">
        <f>SUMIFS(T_Shipments[Confirmed_Qty],T_Shipments[RM_Code],$A7,T_Shipments[Effective_Week],83)</f>
        <v/>
      </c>
      <c r="CG7">
        <f>SUMIFS(T_Shipments[Confirmed_Qty],T_Shipments[RM_Code],$A7,T_Shipments[Effective_Week],84)</f>
        <v/>
      </c>
      <c r="CH7">
        <f>SUMIFS(T_Shipments[Confirmed_Qty],T_Shipments[RM_Code],$A7,T_Shipments[Effective_Week],85)</f>
        <v/>
      </c>
      <c r="CI7">
        <f>SUMIFS(T_Shipments[Confirmed_Qty],T_Shipments[RM_Code],$A7,T_Shipments[Effective_Week],86)</f>
        <v/>
      </c>
      <c r="CJ7">
        <f>SUMIFS(T_Shipments[Confirmed_Qty],T_Shipments[RM_Code],$A7,T_Shipments[Effective_Week],87)</f>
        <v/>
      </c>
      <c r="CK7">
        <f>SUMIFS(T_Shipments[Confirmed_Qty],T_Shipments[RM_Code],$A7,T_Shipments[Effective_Week],88)</f>
        <v/>
      </c>
      <c r="CL7">
        <f>SUMIFS(T_Shipments[Confirmed_Qty],T_Shipments[RM_Code],$A7,T_Shipments[Effective_Week],89)</f>
        <v/>
      </c>
      <c r="CM7">
        <f>SUMIFS(T_Shipments[Confirmed_Qty],T_Shipments[RM_Code],$A7,T_Shipments[Effective_Week],90)</f>
        <v/>
      </c>
      <c r="CN7">
        <f>SUMIFS(T_Shipments[Confirmed_Qty],T_Shipments[RM_Code],$A7,T_Shipments[Effective_Week],91)</f>
        <v/>
      </c>
      <c r="CO7">
        <f>SUMIFS(T_Shipments[Confirmed_Qty],T_Shipments[RM_Code],$A7,T_Shipments[Effective_Week],92)</f>
        <v/>
      </c>
      <c r="CP7">
        <f>SUMIFS(T_Shipments[Confirmed_Qty],T_Shipments[RM_Code],$A7,T_Shipments[Effective_Week],93)</f>
        <v/>
      </c>
      <c r="CQ7">
        <f>SUMIFS(T_Shipments[Confirmed_Qty],T_Shipments[RM_Code],$A7,T_Shipments[Effective_Week],94)</f>
        <v/>
      </c>
      <c r="CR7">
        <f>SUMIFS(T_Shipments[Confirmed_Qty],T_Shipments[RM_Code],$A7,T_Shipments[Effective_Week],95)</f>
        <v/>
      </c>
      <c r="CS7">
        <f>SUMIFS(T_Shipments[Confirmed_Qty],T_Shipments[RM_Code],$A7,T_Shipments[Effective_Week],96)</f>
        <v/>
      </c>
      <c r="CT7">
        <f>SUMIFS(T_Shipments[Confirmed_Qty],T_Shipments[RM_Code],$A7,T_Shipments[Effective_Week],97)</f>
        <v/>
      </c>
      <c r="CU7">
        <f>SUMIFS(T_Shipments[Confirmed_Qty],T_Shipments[RM_Code],$A7,T_Shipments[Effective_Week],98)</f>
        <v/>
      </c>
      <c r="CV7">
        <f>SUMIFS(T_Shipments[Confirmed_Qty],T_Shipments[RM_Code],$A7,T_Shipments[Effective_Week],99)</f>
        <v/>
      </c>
      <c r="CW7">
        <f>SUMIFS(T_Shipments[Confirmed_Qty],T_Shipments[RM_Code],$A7,T_Shipments[Effective_Week],100)</f>
        <v/>
      </c>
      <c r="CX7">
        <f>SUMIFS(T_Shipments[Confirmed_Qty],T_Shipments[RM_Code],$A7,T_Shipments[Effective_Week],101)</f>
        <v/>
      </c>
      <c r="CY7">
        <f>SUMIFS(T_Shipments[Confirmed_Qty],T_Shipments[RM_Code],$A7,T_Shipments[Effective_Week],102)</f>
        <v/>
      </c>
      <c r="CZ7">
        <f>SUMIFS(T_Shipments[Confirmed_Qty],T_Shipments[RM_Code],$A7,T_Shipments[Effective_Week],103)</f>
        <v/>
      </c>
      <c r="DA7">
        <f>SUMIFS(T_Shipments[Confirmed_Qty],T_Shipments[RM_Code],$A7,T_Shipments[Effective_Week],104)</f>
        <v/>
      </c>
    </row>
    <row r="8">
      <c r="A8" t="inlineStr">
        <is>
          <t>CHEM-1690</t>
        </is>
      </c>
      <c r="B8">
        <f>SUMIFS(T_Shipments[Confirmed_Qty],T_Shipments[RM_Code],$A8,T_Shipments[Effective_Week],1)</f>
        <v/>
      </c>
      <c r="C8">
        <f>SUMIFS(T_Shipments[Confirmed_Qty],T_Shipments[RM_Code],$A8,T_Shipments[Effective_Week],2)</f>
        <v/>
      </c>
      <c r="D8">
        <f>SUMIFS(T_Shipments[Confirmed_Qty],T_Shipments[RM_Code],$A8,T_Shipments[Effective_Week],3)</f>
        <v/>
      </c>
      <c r="E8">
        <f>SUMIFS(T_Shipments[Confirmed_Qty],T_Shipments[RM_Code],$A8,T_Shipments[Effective_Week],4)</f>
        <v/>
      </c>
      <c r="F8">
        <f>SUMIFS(T_Shipments[Confirmed_Qty],T_Shipments[RM_Code],$A8,T_Shipments[Effective_Week],5)</f>
        <v/>
      </c>
      <c r="G8">
        <f>SUMIFS(T_Shipments[Confirmed_Qty],T_Shipments[RM_Code],$A8,T_Shipments[Effective_Week],6)</f>
        <v/>
      </c>
      <c r="H8">
        <f>SUMIFS(T_Shipments[Confirmed_Qty],T_Shipments[RM_Code],$A8,T_Shipments[Effective_Week],7)</f>
        <v/>
      </c>
      <c r="I8">
        <f>SUMIFS(T_Shipments[Confirmed_Qty],T_Shipments[RM_Code],$A8,T_Shipments[Effective_Week],8)</f>
        <v/>
      </c>
      <c r="J8">
        <f>SUMIFS(T_Shipments[Confirmed_Qty],T_Shipments[RM_Code],$A8,T_Shipments[Effective_Week],9)</f>
        <v/>
      </c>
      <c r="K8">
        <f>SUMIFS(T_Shipments[Confirmed_Qty],T_Shipments[RM_Code],$A8,T_Shipments[Effective_Week],10)</f>
        <v/>
      </c>
      <c r="L8">
        <f>SUMIFS(T_Shipments[Confirmed_Qty],T_Shipments[RM_Code],$A8,T_Shipments[Effective_Week],11)</f>
        <v/>
      </c>
      <c r="M8">
        <f>SUMIFS(T_Shipments[Confirmed_Qty],T_Shipments[RM_Code],$A8,T_Shipments[Effective_Week],12)</f>
        <v/>
      </c>
      <c r="N8">
        <f>SUMIFS(T_Shipments[Confirmed_Qty],T_Shipments[RM_Code],$A8,T_Shipments[Effective_Week],13)</f>
        <v/>
      </c>
      <c r="O8">
        <f>SUMIFS(T_Shipments[Confirmed_Qty],T_Shipments[RM_Code],$A8,T_Shipments[Effective_Week],14)</f>
        <v/>
      </c>
      <c r="P8">
        <f>SUMIFS(T_Shipments[Confirmed_Qty],T_Shipments[RM_Code],$A8,T_Shipments[Effective_Week],15)</f>
        <v/>
      </c>
      <c r="Q8">
        <f>SUMIFS(T_Shipments[Confirmed_Qty],T_Shipments[RM_Code],$A8,T_Shipments[Effective_Week],16)</f>
        <v/>
      </c>
      <c r="R8">
        <f>SUMIFS(T_Shipments[Confirmed_Qty],T_Shipments[RM_Code],$A8,T_Shipments[Effective_Week],17)</f>
        <v/>
      </c>
      <c r="S8">
        <f>SUMIFS(T_Shipments[Confirmed_Qty],T_Shipments[RM_Code],$A8,T_Shipments[Effective_Week],18)</f>
        <v/>
      </c>
      <c r="T8">
        <f>SUMIFS(T_Shipments[Confirmed_Qty],T_Shipments[RM_Code],$A8,T_Shipments[Effective_Week],19)</f>
        <v/>
      </c>
      <c r="U8">
        <f>SUMIFS(T_Shipments[Confirmed_Qty],T_Shipments[RM_Code],$A8,T_Shipments[Effective_Week],20)</f>
        <v/>
      </c>
      <c r="V8">
        <f>SUMIFS(T_Shipments[Confirmed_Qty],T_Shipments[RM_Code],$A8,T_Shipments[Effective_Week],21)</f>
        <v/>
      </c>
      <c r="W8">
        <f>SUMIFS(T_Shipments[Confirmed_Qty],T_Shipments[RM_Code],$A8,T_Shipments[Effective_Week],22)</f>
        <v/>
      </c>
      <c r="X8">
        <f>SUMIFS(T_Shipments[Confirmed_Qty],T_Shipments[RM_Code],$A8,T_Shipments[Effective_Week],23)</f>
        <v/>
      </c>
      <c r="Y8">
        <f>SUMIFS(T_Shipments[Confirmed_Qty],T_Shipments[RM_Code],$A8,T_Shipments[Effective_Week],24)</f>
        <v/>
      </c>
      <c r="Z8">
        <f>SUMIFS(T_Shipments[Confirmed_Qty],T_Shipments[RM_Code],$A8,T_Shipments[Effective_Week],25)</f>
        <v/>
      </c>
      <c r="AA8">
        <f>SUMIFS(T_Shipments[Confirmed_Qty],T_Shipments[RM_Code],$A8,T_Shipments[Effective_Week],26)</f>
        <v/>
      </c>
      <c r="AB8">
        <f>SUMIFS(T_Shipments[Confirmed_Qty],T_Shipments[RM_Code],$A8,T_Shipments[Effective_Week],27)</f>
        <v/>
      </c>
      <c r="AC8">
        <f>SUMIFS(T_Shipments[Confirmed_Qty],T_Shipments[RM_Code],$A8,T_Shipments[Effective_Week],28)</f>
        <v/>
      </c>
      <c r="AD8">
        <f>SUMIFS(T_Shipments[Confirmed_Qty],T_Shipments[RM_Code],$A8,T_Shipments[Effective_Week],29)</f>
        <v/>
      </c>
      <c r="AE8">
        <f>SUMIFS(T_Shipments[Confirmed_Qty],T_Shipments[RM_Code],$A8,T_Shipments[Effective_Week],30)</f>
        <v/>
      </c>
      <c r="AF8">
        <f>SUMIFS(T_Shipments[Confirmed_Qty],T_Shipments[RM_Code],$A8,T_Shipments[Effective_Week],31)</f>
        <v/>
      </c>
      <c r="AG8">
        <f>SUMIFS(T_Shipments[Confirmed_Qty],T_Shipments[RM_Code],$A8,T_Shipments[Effective_Week],32)</f>
        <v/>
      </c>
      <c r="AH8">
        <f>SUMIFS(T_Shipments[Confirmed_Qty],T_Shipments[RM_Code],$A8,T_Shipments[Effective_Week],33)</f>
        <v/>
      </c>
      <c r="AI8">
        <f>SUMIFS(T_Shipments[Confirmed_Qty],T_Shipments[RM_Code],$A8,T_Shipments[Effective_Week],34)</f>
        <v/>
      </c>
      <c r="AJ8">
        <f>SUMIFS(T_Shipments[Confirmed_Qty],T_Shipments[RM_Code],$A8,T_Shipments[Effective_Week],35)</f>
        <v/>
      </c>
      <c r="AK8">
        <f>SUMIFS(T_Shipments[Confirmed_Qty],T_Shipments[RM_Code],$A8,T_Shipments[Effective_Week],36)</f>
        <v/>
      </c>
      <c r="AL8">
        <f>SUMIFS(T_Shipments[Confirmed_Qty],T_Shipments[RM_Code],$A8,T_Shipments[Effective_Week],37)</f>
        <v/>
      </c>
      <c r="AM8">
        <f>SUMIFS(T_Shipments[Confirmed_Qty],T_Shipments[RM_Code],$A8,T_Shipments[Effective_Week],38)</f>
        <v/>
      </c>
      <c r="AN8">
        <f>SUMIFS(T_Shipments[Confirmed_Qty],T_Shipments[RM_Code],$A8,T_Shipments[Effective_Week],39)</f>
        <v/>
      </c>
      <c r="AO8">
        <f>SUMIFS(T_Shipments[Confirmed_Qty],T_Shipments[RM_Code],$A8,T_Shipments[Effective_Week],40)</f>
        <v/>
      </c>
      <c r="AP8">
        <f>SUMIFS(T_Shipments[Confirmed_Qty],T_Shipments[RM_Code],$A8,T_Shipments[Effective_Week],41)</f>
        <v/>
      </c>
      <c r="AQ8">
        <f>SUMIFS(T_Shipments[Confirmed_Qty],T_Shipments[RM_Code],$A8,T_Shipments[Effective_Week],42)</f>
        <v/>
      </c>
      <c r="AR8">
        <f>SUMIFS(T_Shipments[Confirmed_Qty],T_Shipments[RM_Code],$A8,T_Shipments[Effective_Week],43)</f>
        <v/>
      </c>
      <c r="AS8">
        <f>SUMIFS(T_Shipments[Confirmed_Qty],T_Shipments[RM_Code],$A8,T_Shipments[Effective_Week],44)</f>
        <v/>
      </c>
      <c r="AT8">
        <f>SUMIFS(T_Shipments[Confirmed_Qty],T_Shipments[RM_Code],$A8,T_Shipments[Effective_Week],45)</f>
        <v/>
      </c>
      <c r="AU8">
        <f>SUMIFS(T_Shipments[Confirmed_Qty],T_Shipments[RM_Code],$A8,T_Shipments[Effective_Week],46)</f>
        <v/>
      </c>
      <c r="AV8">
        <f>SUMIFS(T_Shipments[Confirmed_Qty],T_Shipments[RM_Code],$A8,T_Shipments[Effective_Week],47)</f>
        <v/>
      </c>
      <c r="AW8">
        <f>SUMIFS(T_Shipments[Confirmed_Qty],T_Shipments[RM_Code],$A8,T_Shipments[Effective_Week],48)</f>
        <v/>
      </c>
      <c r="AX8">
        <f>SUMIFS(T_Shipments[Confirmed_Qty],T_Shipments[RM_Code],$A8,T_Shipments[Effective_Week],49)</f>
        <v/>
      </c>
      <c r="AY8">
        <f>SUMIFS(T_Shipments[Confirmed_Qty],T_Shipments[RM_Code],$A8,T_Shipments[Effective_Week],50)</f>
        <v/>
      </c>
      <c r="AZ8">
        <f>SUMIFS(T_Shipments[Confirmed_Qty],T_Shipments[RM_Code],$A8,T_Shipments[Effective_Week],51)</f>
        <v/>
      </c>
      <c r="BA8">
        <f>SUMIFS(T_Shipments[Confirmed_Qty],T_Shipments[RM_Code],$A8,T_Shipments[Effective_Week],52)</f>
        <v/>
      </c>
      <c r="BB8">
        <f>SUMIFS(T_Shipments[Confirmed_Qty],T_Shipments[RM_Code],$A8,T_Shipments[Effective_Week],53)</f>
        <v/>
      </c>
      <c r="BC8">
        <f>SUMIFS(T_Shipments[Confirmed_Qty],T_Shipments[RM_Code],$A8,T_Shipments[Effective_Week],54)</f>
        <v/>
      </c>
      <c r="BD8">
        <f>SUMIFS(T_Shipments[Confirmed_Qty],T_Shipments[RM_Code],$A8,T_Shipments[Effective_Week],55)</f>
        <v/>
      </c>
      <c r="BE8">
        <f>SUMIFS(T_Shipments[Confirmed_Qty],T_Shipments[RM_Code],$A8,T_Shipments[Effective_Week],56)</f>
        <v/>
      </c>
      <c r="BF8">
        <f>SUMIFS(T_Shipments[Confirmed_Qty],T_Shipments[RM_Code],$A8,T_Shipments[Effective_Week],57)</f>
        <v/>
      </c>
      <c r="BG8">
        <f>SUMIFS(T_Shipments[Confirmed_Qty],T_Shipments[RM_Code],$A8,T_Shipments[Effective_Week],58)</f>
        <v/>
      </c>
      <c r="BH8">
        <f>SUMIFS(T_Shipments[Confirmed_Qty],T_Shipments[RM_Code],$A8,T_Shipments[Effective_Week],59)</f>
        <v/>
      </c>
      <c r="BI8">
        <f>SUMIFS(T_Shipments[Confirmed_Qty],T_Shipments[RM_Code],$A8,T_Shipments[Effective_Week],60)</f>
        <v/>
      </c>
      <c r="BJ8">
        <f>SUMIFS(T_Shipments[Confirmed_Qty],T_Shipments[RM_Code],$A8,T_Shipments[Effective_Week],61)</f>
        <v/>
      </c>
      <c r="BK8">
        <f>SUMIFS(T_Shipments[Confirmed_Qty],T_Shipments[RM_Code],$A8,T_Shipments[Effective_Week],62)</f>
        <v/>
      </c>
      <c r="BL8">
        <f>SUMIFS(T_Shipments[Confirmed_Qty],T_Shipments[RM_Code],$A8,T_Shipments[Effective_Week],63)</f>
        <v/>
      </c>
      <c r="BM8">
        <f>SUMIFS(T_Shipments[Confirmed_Qty],T_Shipments[RM_Code],$A8,T_Shipments[Effective_Week],64)</f>
        <v/>
      </c>
      <c r="BN8">
        <f>SUMIFS(T_Shipments[Confirmed_Qty],T_Shipments[RM_Code],$A8,T_Shipments[Effective_Week],65)</f>
        <v/>
      </c>
      <c r="BO8">
        <f>SUMIFS(T_Shipments[Confirmed_Qty],T_Shipments[RM_Code],$A8,T_Shipments[Effective_Week],66)</f>
        <v/>
      </c>
      <c r="BP8">
        <f>SUMIFS(T_Shipments[Confirmed_Qty],T_Shipments[RM_Code],$A8,T_Shipments[Effective_Week],67)</f>
        <v/>
      </c>
      <c r="BQ8">
        <f>SUMIFS(T_Shipments[Confirmed_Qty],T_Shipments[RM_Code],$A8,T_Shipments[Effective_Week],68)</f>
        <v/>
      </c>
      <c r="BR8">
        <f>SUMIFS(T_Shipments[Confirmed_Qty],T_Shipments[RM_Code],$A8,T_Shipments[Effective_Week],69)</f>
        <v/>
      </c>
      <c r="BS8">
        <f>SUMIFS(T_Shipments[Confirmed_Qty],T_Shipments[RM_Code],$A8,T_Shipments[Effective_Week],70)</f>
        <v/>
      </c>
      <c r="BT8">
        <f>SUMIFS(T_Shipments[Confirmed_Qty],T_Shipments[RM_Code],$A8,T_Shipments[Effective_Week],71)</f>
        <v/>
      </c>
      <c r="BU8">
        <f>SUMIFS(T_Shipments[Confirmed_Qty],T_Shipments[RM_Code],$A8,T_Shipments[Effective_Week],72)</f>
        <v/>
      </c>
      <c r="BV8">
        <f>SUMIFS(T_Shipments[Confirmed_Qty],T_Shipments[RM_Code],$A8,T_Shipments[Effective_Week],73)</f>
        <v/>
      </c>
      <c r="BW8">
        <f>SUMIFS(T_Shipments[Confirmed_Qty],T_Shipments[RM_Code],$A8,T_Shipments[Effective_Week],74)</f>
        <v/>
      </c>
      <c r="BX8">
        <f>SUMIFS(T_Shipments[Confirmed_Qty],T_Shipments[RM_Code],$A8,T_Shipments[Effective_Week],75)</f>
        <v/>
      </c>
      <c r="BY8">
        <f>SUMIFS(T_Shipments[Confirmed_Qty],T_Shipments[RM_Code],$A8,T_Shipments[Effective_Week],76)</f>
        <v/>
      </c>
      <c r="BZ8">
        <f>SUMIFS(T_Shipments[Confirmed_Qty],T_Shipments[RM_Code],$A8,T_Shipments[Effective_Week],77)</f>
        <v/>
      </c>
      <c r="CA8">
        <f>SUMIFS(T_Shipments[Confirmed_Qty],T_Shipments[RM_Code],$A8,T_Shipments[Effective_Week],78)</f>
        <v/>
      </c>
      <c r="CB8">
        <f>SUMIFS(T_Shipments[Confirmed_Qty],T_Shipments[RM_Code],$A8,T_Shipments[Effective_Week],79)</f>
        <v/>
      </c>
      <c r="CC8">
        <f>SUMIFS(T_Shipments[Confirmed_Qty],T_Shipments[RM_Code],$A8,T_Shipments[Effective_Week],80)</f>
        <v/>
      </c>
      <c r="CD8">
        <f>SUMIFS(T_Shipments[Confirmed_Qty],T_Shipments[RM_Code],$A8,T_Shipments[Effective_Week],81)</f>
        <v/>
      </c>
      <c r="CE8">
        <f>SUMIFS(T_Shipments[Confirmed_Qty],T_Shipments[RM_Code],$A8,T_Shipments[Effective_Week],82)</f>
        <v/>
      </c>
      <c r="CF8">
        <f>SUMIFS(T_Shipments[Confirmed_Qty],T_Shipments[RM_Code],$A8,T_Shipments[Effective_Week],83)</f>
        <v/>
      </c>
      <c r="CG8">
        <f>SUMIFS(T_Shipments[Confirmed_Qty],T_Shipments[RM_Code],$A8,T_Shipments[Effective_Week],84)</f>
        <v/>
      </c>
      <c r="CH8">
        <f>SUMIFS(T_Shipments[Confirmed_Qty],T_Shipments[RM_Code],$A8,T_Shipments[Effective_Week],85)</f>
        <v/>
      </c>
      <c r="CI8">
        <f>SUMIFS(T_Shipments[Confirmed_Qty],T_Shipments[RM_Code],$A8,T_Shipments[Effective_Week],86)</f>
        <v/>
      </c>
      <c r="CJ8">
        <f>SUMIFS(T_Shipments[Confirmed_Qty],T_Shipments[RM_Code],$A8,T_Shipments[Effective_Week],87)</f>
        <v/>
      </c>
      <c r="CK8">
        <f>SUMIFS(T_Shipments[Confirmed_Qty],T_Shipments[RM_Code],$A8,T_Shipments[Effective_Week],88)</f>
        <v/>
      </c>
      <c r="CL8">
        <f>SUMIFS(T_Shipments[Confirmed_Qty],T_Shipments[RM_Code],$A8,T_Shipments[Effective_Week],89)</f>
        <v/>
      </c>
      <c r="CM8">
        <f>SUMIFS(T_Shipments[Confirmed_Qty],T_Shipments[RM_Code],$A8,T_Shipments[Effective_Week],90)</f>
        <v/>
      </c>
      <c r="CN8">
        <f>SUMIFS(T_Shipments[Confirmed_Qty],T_Shipments[RM_Code],$A8,T_Shipments[Effective_Week],91)</f>
        <v/>
      </c>
      <c r="CO8">
        <f>SUMIFS(T_Shipments[Confirmed_Qty],T_Shipments[RM_Code],$A8,T_Shipments[Effective_Week],92)</f>
        <v/>
      </c>
      <c r="CP8">
        <f>SUMIFS(T_Shipments[Confirmed_Qty],T_Shipments[RM_Code],$A8,T_Shipments[Effective_Week],93)</f>
        <v/>
      </c>
      <c r="CQ8">
        <f>SUMIFS(T_Shipments[Confirmed_Qty],T_Shipments[RM_Code],$A8,T_Shipments[Effective_Week],94)</f>
        <v/>
      </c>
      <c r="CR8">
        <f>SUMIFS(T_Shipments[Confirmed_Qty],T_Shipments[RM_Code],$A8,T_Shipments[Effective_Week],95)</f>
        <v/>
      </c>
      <c r="CS8">
        <f>SUMIFS(T_Shipments[Confirmed_Qty],T_Shipments[RM_Code],$A8,T_Shipments[Effective_Week],96)</f>
        <v/>
      </c>
      <c r="CT8">
        <f>SUMIFS(T_Shipments[Confirmed_Qty],T_Shipments[RM_Code],$A8,T_Shipments[Effective_Week],97)</f>
        <v/>
      </c>
      <c r="CU8">
        <f>SUMIFS(T_Shipments[Confirmed_Qty],T_Shipments[RM_Code],$A8,T_Shipments[Effective_Week],98)</f>
        <v/>
      </c>
      <c r="CV8">
        <f>SUMIFS(T_Shipments[Confirmed_Qty],T_Shipments[RM_Code],$A8,T_Shipments[Effective_Week],99)</f>
        <v/>
      </c>
      <c r="CW8">
        <f>SUMIFS(T_Shipments[Confirmed_Qty],T_Shipments[RM_Code],$A8,T_Shipments[Effective_Week],100)</f>
        <v/>
      </c>
      <c r="CX8">
        <f>SUMIFS(T_Shipments[Confirmed_Qty],T_Shipments[RM_Code],$A8,T_Shipments[Effective_Week],101)</f>
        <v/>
      </c>
      <c r="CY8">
        <f>SUMIFS(T_Shipments[Confirmed_Qty],T_Shipments[RM_Code],$A8,T_Shipments[Effective_Week],102)</f>
        <v/>
      </c>
      <c r="CZ8">
        <f>SUMIFS(T_Shipments[Confirmed_Qty],T_Shipments[RM_Code],$A8,T_Shipments[Effective_Week],103)</f>
        <v/>
      </c>
      <c r="DA8">
        <f>SUMIFS(T_Shipments[Confirmed_Qty],T_Shipments[RM_Code],$A8,T_Shipments[Effective_Week],104)</f>
        <v/>
      </c>
    </row>
    <row r="9">
      <c r="A9" t="inlineStr">
        <is>
          <t>CHEM-1720</t>
        </is>
      </c>
      <c r="B9">
        <f>SUMIFS(T_Shipments[Confirmed_Qty],T_Shipments[RM_Code],$A9,T_Shipments[Effective_Week],1)</f>
        <v/>
      </c>
      <c r="C9">
        <f>SUMIFS(T_Shipments[Confirmed_Qty],T_Shipments[RM_Code],$A9,T_Shipments[Effective_Week],2)</f>
        <v/>
      </c>
      <c r="D9">
        <f>SUMIFS(T_Shipments[Confirmed_Qty],T_Shipments[RM_Code],$A9,T_Shipments[Effective_Week],3)</f>
        <v/>
      </c>
      <c r="E9">
        <f>SUMIFS(T_Shipments[Confirmed_Qty],T_Shipments[RM_Code],$A9,T_Shipments[Effective_Week],4)</f>
        <v/>
      </c>
      <c r="F9">
        <f>SUMIFS(T_Shipments[Confirmed_Qty],T_Shipments[RM_Code],$A9,T_Shipments[Effective_Week],5)</f>
        <v/>
      </c>
      <c r="G9">
        <f>SUMIFS(T_Shipments[Confirmed_Qty],T_Shipments[RM_Code],$A9,T_Shipments[Effective_Week],6)</f>
        <v/>
      </c>
      <c r="H9">
        <f>SUMIFS(T_Shipments[Confirmed_Qty],T_Shipments[RM_Code],$A9,T_Shipments[Effective_Week],7)</f>
        <v/>
      </c>
      <c r="I9">
        <f>SUMIFS(T_Shipments[Confirmed_Qty],T_Shipments[RM_Code],$A9,T_Shipments[Effective_Week],8)</f>
        <v/>
      </c>
      <c r="J9">
        <f>SUMIFS(T_Shipments[Confirmed_Qty],T_Shipments[RM_Code],$A9,T_Shipments[Effective_Week],9)</f>
        <v/>
      </c>
      <c r="K9">
        <f>SUMIFS(T_Shipments[Confirmed_Qty],T_Shipments[RM_Code],$A9,T_Shipments[Effective_Week],10)</f>
        <v/>
      </c>
      <c r="L9">
        <f>SUMIFS(T_Shipments[Confirmed_Qty],T_Shipments[RM_Code],$A9,T_Shipments[Effective_Week],11)</f>
        <v/>
      </c>
      <c r="M9">
        <f>SUMIFS(T_Shipments[Confirmed_Qty],T_Shipments[RM_Code],$A9,T_Shipments[Effective_Week],12)</f>
        <v/>
      </c>
      <c r="N9">
        <f>SUMIFS(T_Shipments[Confirmed_Qty],T_Shipments[RM_Code],$A9,T_Shipments[Effective_Week],13)</f>
        <v/>
      </c>
      <c r="O9">
        <f>SUMIFS(T_Shipments[Confirmed_Qty],T_Shipments[RM_Code],$A9,T_Shipments[Effective_Week],14)</f>
        <v/>
      </c>
      <c r="P9">
        <f>SUMIFS(T_Shipments[Confirmed_Qty],T_Shipments[RM_Code],$A9,T_Shipments[Effective_Week],15)</f>
        <v/>
      </c>
      <c r="Q9">
        <f>SUMIFS(T_Shipments[Confirmed_Qty],T_Shipments[RM_Code],$A9,T_Shipments[Effective_Week],16)</f>
        <v/>
      </c>
      <c r="R9">
        <f>SUMIFS(T_Shipments[Confirmed_Qty],T_Shipments[RM_Code],$A9,T_Shipments[Effective_Week],17)</f>
        <v/>
      </c>
      <c r="S9">
        <f>SUMIFS(T_Shipments[Confirmed_Qty],T_Shipments[RM_Code],$A9,T_Shipments[Effective_Week],18)</f>
        <v/>
      </c>
      <c r="T9">
        <f>SUMIFS(T_Shipments[Confirmed_Qty],T_Shipments[RM_Code],$A9,T_Shipments[Effective_Week],19)</f>
        <v/>
      </c>
      <c r="U9">
        <f>SUMIFS(T_Shipments[Confirmed_Qty],T_Shipments[RM_Code],$A9,T_Shipments[Effective_Week],20)</f>
        <v/>
      </c>
      <c r="V9">
        <f>SUMIFS(T_Shipments[Confirmed_Qty],T_Shipments[RM_Code],$A9,T_Shipments[Effective_Week],21)</f>
        <v/>
      </c>
      <c r="W9">
        <f>SUMIFS(T_Shipments[Confirmed_Qty],T_Shipments[RM_Code],$A9,T_Shipments[Effective_Week],22)</f>
        <v/>
      </c>
      <c r="X9">
        <f>SUMIFS(T_Shipments[Confirmed_Qty],T_Shipments[RM_Code],$A9,T_Shipments[Effective_Week],23)</f>
        <v/>
      </c>
      <c r="Y9">
        <f>SUMIFS(T_Shipments[Confirmed_Qty],T_Shipments[RM_Code],$A9,T_Shipments[Effective_Week],24)</f>
        <v/>
      </c>
      <c r="Z9">
        <f>SUMIFS(T_Shipments[Confirmed_Qty],T_Shipments[RM_Code],$A9,T_Shipments[Effective_Week],25)</f>
        <v/>
      </c>
      <c r="AA9">
        <f>SUMIFS(T_Shipments[Confirmed_Qty],T_Shipments[RM_Code],$A9,T_Shipments[Effective_Week],26)</f>
        <v/>
      </c>
      <c r="AB9">
        <f>SUMIFS(T_Shipments[Confirmed_Qty],T_Shipments[RM_Code],$A9,T_Shipments[Effective_Week],27)</f>
        <v/>
      </c>
      <c r="AC9">
        <f>SUMIFS(T_Shipments[Confirmed_Qty],T_Shipments[RM_Code],$A9,T_Shipments[Effective_Week],28)</f>
        <v/>
      </c>
      <c r="AD9">
        <f>SUMIFS(T_Shipments[Confirmed_Qty],T_Shipments[RM_Code],$A9,T_Shipments[Effective_Week],29)</f>
        <v/>
      </c>
      <c r="AE9">
        <f>SUMIFS(T_Shipments[Confirmed_Qty],T_Shipments[RM_Code],$A9,T_Shipments[Effective_Week],30)</f>
        <v/>
      </c>
      <c r="AF9">
        <f>SUMIFS(T_Shipments[Confirmed_Qty],T_Shipments[RM_Code],$A9,T_Shipments[Effective_Week],31)</f>
        <v/>
      </c>
      <c r="AG9">
        <f>SUMIFS(T_Shipments[Confirmed_Qty],T_Shipments[RM_Code],$A9,T_Shipments[Effective_Week],32)</f>
        <v/>
      </c>
      <c r="AH9">
        <f>SUMIFS(T_Shipments[Confirmed_Qty],T_Shipments[RM_Code],$A9,T_Shipments[Effective_Week],33)</f>
        <v/>
      </c>
      <c r="AI9">
        <f>SUMIFS(T_Shipments[Confirmed_Qty],T_Shipments[RM_Code],$A9,T_Shipments[Effective_Week],34)</f>
        <v/>
      </c>
      <c r="AJ9">
        <f>SUMIFS(T_Shipments[Confirmed_Qty],T_Shipments[RM_Code],$A9,T_Shipments[Effective_Week],35)</f>
        <v/>
      </c>
      <c r="AK9">
        <f>SUMIFS(T_Shipments[Confirmed_Qty],T_Shipments[RM_Code],$A9,T_Shipments[Effective_Week],36)</f>
        <v/>
      </c>
      <c r="AL9">
        <f>SUMIFS(T_Shipments[Confirmed_Qty],T_Shipments[RM_Code],$A9,T_Shipments[Effective_Week],37)</f>
        <v/>
      </c>
      <c r="AM9">
        <f>SUMIFS(T_Shipments[Confirmed_Qty],T_Shipments[RM_Code],$A9,T_Shipments[Effective_Week],38)</f>
        <v/>
      </c>
      <c r="AN9">
        <f>SUMIFS(T_Shipments[Confirmed_Qty],T_Shipments[RM_Code],$A9,T_Shipments[Effective_Week],39)</f>
        <v/>
      </c>
      <c r="AO9">
        <f>SUMIFS(T_Shipments[Confirmed_Qty],T_Shipments[RM_Code],$A9,T_Shipments[Effective_Week],40)</f>
        <v/>
      </c>
      <c r="AP9">
        <f>SUMIFS(T_Shipments[Confirmed_Qty],T_Shipments[RM_Code],$A9,T_Shipments[Effective_Week],41)</f>
        <v/>
      </c>
      <c r="AQ9">
        <f>SUMIFS(T_Shipments[Confirmed_Qty],T_Shipments[RM_Code],$A9,T_Shipments[Effective_Week],42)</f>
        <v/>
      </c>
      <c r="AR9">
        <f>SUMIFS(T_Shipments[Confirmed_Qty],T_Shipments[RM_Code],$A9,T_Shipments[Effective_Week],43)</f>
        <v/>
      </c>
      <c r="AS9">
        <f>SUMIFS(T_Shipments[Confirmed_Qty],T_Shipments[RM_Code],$A9,T_Shipments[Effective_Week],44)</f>
        <v/>
      </c>
      <c r="AT9">
        <f>SUMIFS(T_Shipments[Confirmed_Qty],T_Shipments[RM_Code],$A9,T_Shipments[Effective_Week],45)</f>
        <v/>
      </c>
      <c r="AU9">
        <f>SUMIFS(T_Shipments[Confirmed_Qty],T_Shipments[RM_Code],$A9,T_Shipments[Effective_Week],46)</f>
        <v/>
      </c>
      <c r="AV9">
        <f>SUMIFS(T_Shipments[Confirmed_Qty],T_Shipments[RM_Code],$A9,T_Shipments[Effective_Week],47)</f>
        <v/>
      </c>
      <c r="AW9">
        <f>SUMIFS(T_Shipments[Confirmed_Qty],T_Shipments[RM_Code],$A9,T_Shipments[Effective_Week],48)</f>
        <v/>
      </c>
      <c r="AX9">
        <f>SUMIFS(T_Shipments[Confirmed_Qty],T_Shipments[RM_Code],$A9,T_Shipments[Effective_Week],49)</f>
        <v/>
      </c>
      <c r="AY9">
        <f>SUMIFS(T_Shipments[Confirmed_Qty],T_Shipments[RM_Code],$A9,T_Shipments[Effective_Week],50)</f>
        <v/>
      </c>
      <c r="AZ9">
        <f>SUMIFS(T_Shipments[Confirmed_Qty],T_Shipments[RM_Code],$A9,T_Shipments[Effective_Week],51)</f>
        <v/>
      </c>
      <c r="BA9">
        <f>SUMIFS(T_Shipments[Confirmed_Qty],T_Shipments[RM_Code],$A9,T_Shipments[Effective_Week],52)</f>
        <v/>
      </c>
      <c r="BB9">
        <f>SUMIFS(T_Shipments[Confirmed_Qty],T_Shipments[RM_Code],$A9,T_Shipments[Effective_Week],53)</f>
        <v/>
      </c>
      <c r="BC9">
        <f>SUMIFS(T_Shipments[Confirmed_Qty],T_Shipments[RM_Code],$A9,T_Shipments[Effective_Week],54)</f>
        <v/>
      </c>
      <c r="BD9">
        <f>SUMIFS(T_Shipments[Confirmed_Qty],T_Shipments[RM_Code],$A9,T_Shipments[Effective_Week],55)</f>
        <v/>
      </c>
      <c r="BE9">
        <f>SUMIFS(T_Shipments[Confirmed_Qty],T_Shipments[RM_Code],$A9,T_Shipments[Effective_Week],56)</f>
        <v/>
      </c>
      <c r="BF9">
        <f>SUMIFS(T_Shipments[Confirmed_Qty],T_Shipments[RM_Code],$A9,T_Shipments[Effective_Week],57)</f>
        <v/>
      </c>
      <c r="BG9">
        <f>SUMIFS(T_Shipments[Confirmed_Qty],T_Shipments[RM_Code],$A9,T_Shipments[Effective_Week],58)</f>
        <v/>
      </c>
      <c r="BH9">
        <f>SUMIFS(T_Shipments[Confirmed_Qty],T_Shipments[RM_Code],$A9,T_Shipments[Effective_Week],59)</f>
        <v/>
      </c>
      <c r="BI9">
        <f>SUMIFS(T_Shipments[Confirmed_Qty],T_Shipments[RM_Code],$A9,T_Shipments[Effective_Week],60)</f>
        <v/>
      </c>
      <c r="BJ9">
        <f>SUMIFS(T_Shipments[Confirmed_Qty],T_Shipments[RM_Code],$A9,T_Shipments[Effective_Week],61)</f>
        <v/>
      </c>
      <c r="BK9">
        <f>SUMIFS(T_Shipments[Confirmed_Qty],T_Shipments[RM_Code],$A9,T_Shipments[Effective_Week],62)</f>
        <v/>
      </c>
      <c r="BL9">
        <f>SUMIFS(T_Shipments[Confirmed_Qty],T_Shipments[RM_Code],$A9,T_Shipments[Effective_Week],63)</f>
        <v/>
      </c>
      <c r="BM9">
        <f>SUMIFS(T_Shipments[Confirmed_Qty],T_Shipments[RM_Code],$A9,T_Shipments[Effective_Week],64)</f>
        <v/>
      </c>
      <c r="BN9">
        <f>SUMIFS(T_Shipments[Confirmed_Qty],T_Shipments[RM_Code],$A9,T_Shipments[Effective_Week],65)</f>
        <v/>
      </c>
      <c r="BO9">
        <f>SUMIFS(T_Shipments[Confirmed_Qty],T_Shipments[RM_Code],$A9,T_Shipments[Effective_Week],66)</f>
        <v/>
      </c>
      <c r="BP9">
        <f>SUMIFS(T_Shipments[Confirmed_Qty],T_Shipments[RM_Code],$A9,T_Shipments[Effective_Week],67)</f>
        <v/>
      </c>
      <c r="BQ9">
        <f>SUMIFS(T_Shipments[Confirmed_Qty],T_Shipments[RM_Code],$A9,T_Shipments[Effective_Week],68)</f>
        <v/>
      </c>
      <c r="BR9">
        <f>SUMIFS(T_Shipments[Confirmed_Qty],T_Shipments[RM_Code],$A9,T_Shipments[Effective_Week],69)</f>
        <v/>
      </c>
      <c r="BS9">
        <f>SUMIFS(T_Shipments[Confirmed_Qty],T_Shipments[RM_Code],$A9,T_Shipments[Effective_Week],70)</f>
        <v/>
      </c>
      <c r="BT9">
        <f>SUMIFS(T_Shipments[Confirmed_Qty],T_Shipments[RM_Code],$A9,T_Shipments[Effective_Week],71)</f>
        <v/>
      </c>
      <c r="BU9">
        <f>SUMIFS(T_Shipments[Confirmed_Qty],T_Shipments[RM_Code],$A9,T_Shipments[Effective_Week],72)</f>
        <v/>
      </c>
      <c r="BV9">
        <f>SUMIFS(T_Shipments[Confirmed_Qty],T_Shipments[RM_Code],$A9,T_Shipments[Effective_Week],73)</f>
        <v/>
      </c>
      <c r="BW9">
        <f>SUMIFS(T_Shipments[Confirmed_Qty],T_Shipments[RM_Code],$A9,T_Shipments[Effective_Week],74)</f>
        <v/>
      </c>
      <c r="BX9">
        <f>SUMIFS(T_Shipments[Confirmed_Qty],T_Shipments[RM_Code],$A9,T_Shipments[Effective_Week],75)</f>
        <v/>
      </c>
      <c r="BY9">
        <f>SUMIFS(T_Shipments[Confirmed_Qty],T_Shipments[RM_Code],$A9,T_Shipments[Effective_Week],76)</f>
        <v/>
      </c>
      <c r="BZ9">
        <f>SUMIFS(T_Shipments[Confirmed_Qty],T_Shipments[RM_Code],$A9,T_Shipments[Effective_Week],77)</f>
        <v/>
      </c>
      <c r="CA9">
        <f>SUMIFS(T_Shipments[Confirmed_Qty],T_Shipments[RM_Code],$A9,T_Shipments[Effective_Week],78)</f>
        <v/>
      </c>
      <c r="CB9">
        <f>SUMIFS(T_Shipments[Confirmed_Qty],T_Shipments[RM_Code],$A9,T_Shipments[Effective_Week],79)</f>
        <v/>
      </c>
      <c r="CC9">
        <f>SUMIFS(T_Shipments[Confirmed_Qty],T_Shipments[RM_Code],$A9,T_Shipments[Effective_Week],80)</f>
        <v/>
      </c>
      <c r="CD9">
        <f>SUMIFS(T_Shipments[Confirmed_Qty],T_Shipments[RM_Code],$A9,T_Shipments[Effective_Week],81)</f>
        <v/>
      </c>
      <c r="CE9">
        <f>SUMIFS(T_Shipments[Confirmed_Qty],T_Shipments[RM_Code],$A9,T_Shipments[Effective_Week],82)</f>
        <v/>
      </c>
      <c r="CF9">
        <f>SUMIFS(T_Shipments[Confirmed_Qty],T_Shipments[RM_Code],$A9,T_Shipments[Effective_Week],83)</f>
        <v/>
      </c>
      <c r="CG9">
        <f>SUMIFS(T_Shipments[Confirmed_Qty],T_Shipments[RM_Code],$A9,T_Shipments[Effective_Week],84)</f>
        <v/>
      </c>
      <c r="CH9">
        <f>SUMIFS(T_Shipments[Confirmed_Qty],T_Shipments[RM_Code],$A9,T_Shipments[Effective_Week],85)</f>
        <v/>
      </c>
      <c r="CI9">
        <f>SUMIFS(T_Shipments[Confirmed_Qty],T_Shipments[RM_Code],$A9,T_Shipments[Effective_Week],86)</f>
        <v/>
      </c>
      <c r="CJ9">
        <f>SUMIFS(T_Shipments[Confirmed_Qty],T_Shipments[RM_Code],$A9,T_Shipments[Effective_Week],87)</f>
        <v/>
      </c>
      <c r="CK9">
        <f>SUMIFS(T_Shipments[Confirmed_Qty],T_Shipments[RM_Code],$A9,T_Shipments[Effective_Week],88)</f>
        <v/>
      </c>
      <c r="CL9">
        <f>SUMIFS(T_Shipments[Confirmed_Qty],T_Shipments[RM_Code],$A9,T_Shipments[Effective_Week],89)</f>
        <v/>
      </c>
      <c r="CM9">
        <f>SUMIFS(T_Shipments[Confirmed_Qty],T_Shipments[RM_Code],$A9,T_Shipments[Effective_Week],90)</f>
        <v/>
      </c>
      <c r="CN9">
        <f>SUMIFS(T_Shipments[Confirmed_Qty],T_Shipments[RM_Code],$A9,T_Shipments[Effective_Week],91)</f>
        <v/>
      </c>
      <c r="CO9">
        <f>SUMIFS(T_Shipments[Confirmed_Qty],T_Shipments[RM_Code],$A9,T_Shipments[Effective_Week],92)</f>
        <v/>
      </c>
      <c r="CP9">
        <f>SUMIFS(T_Shipments[Confirmed_Qty],T_Shipments[RM_Code],$A9,T_Shipments[Effective_Week],93)</f>
        <v/>
      </c>
      <c r="CQ9">
        <f>SUMIFS(T_Shipments[Confirmed_Qty],T_Shipments[RM_Code],$A9,T_Shipments[Effective_Week],94)</f>
        <v/>
      </c>
      <c r="CR9">
        <f>SUMIFS(T_Shipments[Confirmed_Qty],T_Shipments[RM_Code],$A9,T_Shipments[Effective_Week],95)</f>
        <v/>
      </c>
      <c r="CS9">
        <f>SUMIFS(T_Shipments[Confirmed_Qty],T_Shipments[RM_Code],$A9,T_Shipments[Effective_Week],96)</f>
        <v/>
      </c>
      <c r="CT9">
        <f>SUMIFS(T_Shipments[Confirmed_Qty],T_Shipments[RM_Code],$A9,T_Shipments[Effective_Week],97)</f>
        <v/>
      </c>
      <c r="CU9">
        <f>SUMIFS(T_Shipments[Confirmed_Qty],T_Shipments[RM_Code],$A9,T_Shipments[Effective_Week],98)</f>
        <v/>
      </c>
      <c r="CV9">
        <f>SUMIFS(T_Shipments[Confirmed_Qty],T_Shipments[RM_Code],$A9,T_Shipments[Effective_Week],99)</f>
        <v/>
      </c>
      <c r="CW9">
        <f>SUMIFS(T_Shipments[Confirmed_Qty],T_Shipments[RM_Code],$A9,T_Shipments[Effective_Week],100)</f>
        <v/>
      </c>
      <c r="CX9">
        <f>SUMIFS(T_Shipments[Confirmed_Qty],T_Shipments[RM_Code],$A9,T_Shipments[Effective_Week],101)</f>
        <v/>
      </c>
      <c r="CY9">
        <f>SUMIFS(T_Shipments[Confirmed_Qty],T_Shipments[RM_Code],$A9,T_Shipments[Effective_Week],102)</f>
        <v/>
      </c>
      <c r="CZ9">
        <f>SUMIFS(T_Shipments[Confirmed_Qty],T_Shipments[RM_Code],$A9,T_Shipments[Effective_Week],103)</f>
        <v/>
      </c>
      <c r="DA9">
        <f>SUMIFS(T_Shipments[Confirmed_Qty],T_Shipments[RM_Code],$A9,T_Shipments[Effective_Week],104)</f>
        <v/>
      </c>
    </row>
    <row r="10">
      <c r="A10" t="inlineStr">
        <is>
          <t>CHEM-1440</t>
        </is>
      </c>
      <c r="B10">
        <f>SUMIFS(T_Shipments[Confirmed_Qty],T_Shipments[RM_Code],$A10,T_Shipments[Effective_Week],1)</f>
        <v/>
      </c>
      <c r="C10">
        <f>SUMIFS(T_Shipments[Confirmed_Qty],T_Shipments[RM_Code],$A10,T_Shipments[Effective_Week],2)</f>
        <v/>
      </c>
      <c r="D10">
        <f>SUMIFS(T_Shipments[Confirmed_Qty],T_Shipments[RM_Code],$A10,T_Shipments[Effective_Week],3)</f>
        <v/>
      </c>
      <c r="E10">
        <f>SUMIFS(T_Shipments[Confirmed_Qty],T_Shipments[RM_Code],$A10,T_Shipments[Effective_Week],4)</f>
        <v/>
      </c>
      <c r="F10">
        <f>SUMIFS(T_Shipments[Confirmed_Qty],T_Shipments[RM_Code],$A10,T_Shipments[Effective_Week],5)</f>
        <v/>
      </c>
      <c r="G10">
        <f>SUMIFS(T_Shipments[Confirmed_Qty],T_Shipments[RM_Code],$A10,T_Shipments[Effective_Week],6)</f>
        <v/>
      </c>
      <c r="H10">
        <f>SUMIFS(T_Shipments[Confirmed_Qty],T_Shipments[RM_Code],$A10,T_Shipments[Effective_Week],7)</f>
        <v/>
      </c>
      <c r="I10">
        <f>SUMIFS(T_Shipments[Confirmed_Qty],T_Shipments[RM_Code],$A10,T_Shipments[Effective_Week],8)</f>
        <v/>
      </c>
      <c r="J10">
        <f>SUMIFS(T_Shipments[Confirmed_Qty],T_Shipments[RM_Code],$A10,T_Shipments[Effective_Week],9)</f>
        <v/>
      </c>
      <c r="K10">
        <f>SUMIFS(T_Shipments[Confirmed_Qty],T_Shipments[RM_Code],$A10,T_Shipments[Effective_Week],10)</f>
        <v/>
      </c>
      <c r="L10">
        <f>SUMIFS(T_Shipments[Confirmed_Qty],T_Shipments[RM_Code],$A10,T_Shipments[Effective_Week],11)</f>
        <v/>
      </c>
      <c r="M10">
        <f>SUMIFS(T_Shipments[Confirmed_Qty],T_Shipments[RM_Code],$A10,T_Shipments[Effective_Week],12)</f>
        <v/>
      </c>
      <c r="N10">
        <f>SUMIFS(T_Shipments[Confirmed_Qty],T_Shipments[RM_Code],$A10,T_Shipments[Effective_Week],13)</f>
        <v/>
      </c>
      <c r="O10">
        <f>SUMIFS(T_Shipments[Confirmed_Qty],T_Shipments[RM_Code],$A10,T_Shipments[Effective_Week],14)</f>
        <v/>
      </c>
      <c r="P10">
        <f>SUMIFS(T_Shipments[Confirmed_Qty],T_Shipments[RM_Code],$A10,T_Shipments[Effective_Week],15)</f>
        <v/>
      </c>
      <c r="Q10">
        <f>SUMIFS(T_Shipments[Confirmed_Qty],T_Shipments[RM_Code],$A10,T_Shipments[Effective_Week],16)</f>
        <v/>
      </c>
      <c r="R10">
        <f>SUMIFS(T_Shipments[Confirmed_Qty],T_Shipments[RM_Code],$A10,T_Shipments[Effective_Week],17)</f>
        <v/>
      </c>
      <c r="S10">
        <f>SUMIFS(T_Shipments[Confirmed_Qty],T_Shipments[RM_Code],$A10,T_Shipments[Effective_Week],18)</f>
        <v/>
      </c>
      <c r="T10">
        <f>SUMIFS(T_Shipments[Confirmed_Qty],T_Shipments[RM_Code],$A10,T_Shipments[Effective_Week],19)</f>
        <v/>
      </c>
      <c r="U10">
        <f>SUMIFS(T_Shipments[Confirmed_Qty],T_Shipments[RM_Code],$A10,T_Shipments[Effective_Week],20)</f>
        <v/>
      </c>
      <c r="V10">
        <f>SUMIFS(T_Shipments[Confirmed_Qty],T_Shipments[RM_Code],$A10,T_Shipments[Effective_Week],21)</f>
        <v/>
      </c>
      <c r="W10">
        <f>SUMIFS(T_Shipments[Confirmed_Qty],T_Shipments[RM_Code],$A10,T_Shipments[Effective_Week],22)</f>
        <v/>
      </c>
      <c r="X10">
        <f>SUMIFS(T_Shipments[Confirmed_Qty],T_Shipments[RM_Code],$A10,T_Shipments[Effective_Week],23)</f>
        <v/>
      </c>
      <c r="Y10">
        <f>SUMIFS(T_Shipments[Confirmed_Qty],T_Shipments[RM_Code],$A10,T_Shipments[Effective_Week],24)</f>
        <v/>
      </c>
      <c r="Z10">
        <f>SUMIFS(T_Shipments[Confirmed_Qty],T_Shipments[RM_Code],$A10,T_Shipments[Effective_Week],25)</f>
        <v/>
      </c>
      <c r="AA10">
        <f>SUMIFS(T_Shipments[Confirmed_Qty],T_Shipments[RM_Code],$A10,T_Shipments[Effective_Week],26)</f>
        <v/>
      </c>
      <c r="AB10">
        <f>SUMIFS(T_Shipments[Confirmed_Qty],T_Shipments[RM_Code],$A10,T_Shipments[Effective_Week],27)</f>
        <v/>
      </c>
      <c r="AC10">
        <f>SUMIFS(T_Shipments[Confirmed_Qty],T_Shipments[RM_Code],$A10,T_Shipments[Effective_Week],28)</f>
        <v/>
      </c>
      <c r="AD10">
        <f>SUMIFS(T_Shipments[Confirmed_Qty],T_Shipments[RM_Code],$A10,T_Shipments[Effective_Week],29)</f>
        <v/>
      </c>
      <c r="AE10">
        <f>SUMIFS(T_Shipments[Confirmed_Qty],T_Shipments[RM_Code],$A10,T_Shipments[Effective_Week],30)</f>
        <v/>
      </c>
      <c r="AF10">
        <f>SUMIFS(T_Shipments[Confirmed_Qty],T_Shipments[RM_Code],$A10,T_Shipments[Effective_Week],31)</f>
        <v/>
      </c>
      <c r="AG10">
        <f>SUMIFS(T_Shipments[Confirmed_Qty],T_Shipments[RM_Code],$A10,T_Shipments[Effective_Week],32)</f>
        <v/>
      </c>
      <c r="AH10">
        <f>SUMIFS(T_Shipments[Confirmed_Qty],T_Shipments[RM_Code],$A10,T_Shipments[Effective_Week],33)</f>
        <v/>
      </c>
      <c r="AI10">
        <f>SUMIFS(T_Shipments[Confirmed_Qty],T_Shipments[RM_Code],$A10,T_Shipments[Effective_Week],34)</f>
        <v/>
      </c>
      <c r="AJ10">
        <f>SUMIFS(T_Shipments[Confirmed_Qty],T_Shipments[RM_Code],$A10,T_Shipments[Effective_Week],35)</f>
        <v/>
      </c>
      <c r="AK10">
        <f>SUMIFS(T_Shipments[Confirmed_Qty],T_Shipments[RM_Code],$A10,T_Shipments[Effective_Week],36)</f>
        <v/>
      </c>
      <c r="AL10">
        <f>SUMIFS(T_Shipments[Confirmed_Qty],T_Shipments[RM_Code],$A10,T_Shipments[Effective_Week],37)</f>
        <v/>
      </c>
      <c r="AM10">
        <f>SUMIFS(T_Shipments[Confirmed_Qty],T_Shipments[RM_Code],$A10,T_Shipments[Effective_Week],38)</f>
        <v/>
      </c>
      <c r="AN10">
        <f>SUMIFS(T_Shipments[Confirmed_Qty],T_Shipments[RM_Code],$A10,T_Shipments[Effective_Week],39)</f>
        <v/>
      </c>
      <c r="AO10">
        <f>SUMIFS(T_Shipments[Confirmed_Qty],T_Shipments[RM_Code],$A10,T_Shipments[Effective_Week],40)</f>
        <v/>
      </c>
      <c r="AP10">
        <f>SUMIFS(T_Shipments[Confirmed_Qty],T_Shipments[RM_Code],$A10,T_Shipments[Effective_Week],41)</f>
        <v/>
      </c>
      <c r="AQ10">
        <f>SUMIFS(T_Shipments[Confirmed_Qty],T_Shipments[RM_Code],$A10,T_Shipments[Effective_Week],42)</f>
        <v/>
      </c>
      <c r="AR10">
        <f>SUMIFS(T_Shipments[Confirmed_Qty],T_Shipments[RM_Code],$A10,T_Shipments[Effective_Week],43)</f>
        <v/>
      </c>
      <c r="AS10">
        <f>SUMIFS(T_Shipments[Confirmed_Qty],T_Shipments[RM_Code],$A10,T_Shipments[Effective_Week],44)</f>
        <v/>
      </c>
      <c r="AT10">
        <f>SUMIFS(T_Shipments[Confirmed_Qty],T_Shipments[RM_Code],$A10,T_Shipments[Effective_Week],45)</f>
        <v/>
      </c>
      <c r="AU10">
        <f>SUMIFS(T_Shipments[Confirmed_Qty],T_Shipments[RM_Code],$A10,T_Shipments[Effective_Week],46)</f>
        <v/>
      </c>
      <c r="AV10">
        <f>SUMIFS(T_Shipments[Confirmed_Qty],T_Shipments[RM_Code],$A10,T_Shipments[Effective_Week],47)</f>
        <v/>
      </c>
      <c r="AW10">
        <f>SUMIFS(T_Shipments[Confirmed_Qty],T_Shipments[RM_Code],$A10,T_Shipments[Effective_Week],48)</f>
        <v/>
      </c>
      <c r="AX10">
        <f>SUMIFS(T_Shipments[Confirmed_Qty],T_Shipments[RM_Code],$A10,T_Shipments[Effective_Week],49)</f>
        <v/>
      </c>
      <c r="AY10">
        <f>SUMIFS(T_Shipments[Confirmed_Qty],T_Shipments[RM_Code],$A10,T_Shipments[Effective_Week],50)</f>
        <v/>
      </c>
      <c r="AZ10">
        <f>SUMIFS(T_Shipments[Confirmed_Qty],T_Shipments[RM_Code],$A10,T_Shipments[Effective_Week],51)</f>
        <v/>
      </c>
      <c r="BA10">
        <f>SUMIFS(T_Shipments[Confirmed_Qty],T_Shipments[RM_Code],$A10,T_Shipments[Effective_Week],52)</f>
        <v/>
      </c>
      <c r="BB10">
        <f>SUMIFS(T_Shipments[Confirmed_Qty],T_Shipments[RM_Code],$A10,T_Shipments[Effective_Week],53)</f>
        <v/>
      </c>
      <c r="BC10">
        <f>SUMIFS(T_Shipments[Confirmed_Qty],T_Shipments[RM_Code],$A10,T_Shipments[Effective_Week],54)</f>
        <v/>
      </c>
      <c r="BD10">
        <f>SUMIFS(T_Shipments[Confirmed_Qty],T_Shipments[RM_Code],$A10,T_Shipments[Effective_Week],55)</f>
        <v/>
      </c>
      <c r="BE10">
        <f>SUMIFS(T_Shipments[Confirmed_Qty],T_Shipments[RM_Code],$A10,T_Shipments[Effective_Week],56)</f>
        <v/>
      </c>
      <c r="BF10">
        <f>SUMIFS(T_Shipments[Confirmed_Qty],T_Shipments[RM_Code],$A10,T_Shipments[Effective_Week],57)</f>
        <v/>
      </c>
      <c r="BG10">
        <f>SUMIFS(T_Shipments[Confirmed_Qty],T_Shipments[RM_Code],$A10,T_Shipments[Effective_Week],58)</f>
        <v/>
      </c>
      <c r="BH10">
        <f>SUMIFS(T_Shipments[Confirmed_Qty],T_Shipments[RM_Code],$A10,T_Shipments[Effective_Week],59)</f>
        <v/>
      </c>
      <c r="BI10">
        <f>SUMIFS(T_Shipments[Confirmed_Qty],T_Shipments[RM_Code],$A10,T_Shipments[Effective_Week],60)</f>
        <v/>
      </c>
      <c r="BJ10">
        <f>SUMIFS(T_Shipments[Confirmed_Qty],T_Shipments[RM_Code],$A10,T_Shipments[Effective_Week],61)</f>
        <v/>
      </c>
      <c r="BK10">
        <f>SUMIFS(T_Shipments[Confirmed_Qty],T_Shipments[RM_Code],$A10,T_Shipments[Effective_Week],62)</f>
        <v/>
      </c>
      <c r="BL10">
        <f>SUMIFS(T_Shipments[Confirmed_Qty],T_Shipments[RM_Code],$A10,T_Shipments[Effective_Week],63)</f>
        <v/>
      </c>
      <c r="BM10">
        <f>SUMIFS(T_Shipments[Confirmed_Qty],T_Shipments[RM_Code],$A10,T_Shipments[Effective_Week],64)</f>
        <v/>
      </c>
      <c r="BN10">
        <f>SUMIFS(T_Shipments[Confirmed_Qty],T_Shipments[RM_Code],$A10,T_Shipments[Effective_Week],65)</f>
        <v/>
      </c>
      <c r="BO10">
        <f>SUMIFS(T_Shipments[Confirmed_Qty],T_Shipments[RM_Code],$A10,T_Shipments[Effective_Week],66)</f>
        <v/>
      </c>
      <c r="BP10">
        <f>SUMIFS(T_Shipments[Confirmed_Qty],T_Shipments[RM_Code],$A10,T_Shipments[Effective_Week],67)</f>
        <v/>
      </c>
      <c r="BQ10">
        <f>SUMIFS(T_Shipments[Confirmed_Qty],T_Shipments[RM_Code],$A10,T_Shipments[Effective_Week],68)</f>
        <v/>
      </c>
      <c r="BR10">
        <f>SUMIFS(T_Shipments[Confirmed_Qty],T_Shipments[RM_Code],$A10,T_Shipments[Effective_Week],69)</f>
        <v/>
      </c>
      <c r="BS10">
        <f>SUMIFS(T_Shipments[Confirmed_Qty],T_Shipments[RM_Code],$A10,T_Shipments[Effective_Week],70)</f>
        <v/>
      </c>
      <c r="BT10">
        <f>SUMIFS(T_Shipments[Confirmed_Qty],T_Shipments[RM_Code],$A10,T_Shipments[Effective_Week],71)</f>
        <v/>
      </c>
      <c r="BU10">
        <f>SUMIFS(T_Shipments[Confirmed_Qty],T_Shipments[RM_Code],$A10,T_Shipments[Effective_Week],72)</f>
        <v/>
      </c>
      <c r="BV10">
        <f>SUMIFS(T_Shipments[Confirmed_Qty],T_Shipments[RM_Code],$A10,T_Shipments[Effective_Week],73)</f>
        <v/>
      </c>
      <c r="BW10">
        <f>SUMIFS(T_Shipments[Confirmed_Qty],T_Shipments[RM_Code],$A10,T_Shipments[Effective_Week],74)</f>
        <v/>
      </c>
      <c r="BX10">
        <f>SUMIFS(T_Shipments[Confirmed_Qty],T_Shipments[RM_Code],$A10,T_Shipments[Effective_Week],75)</f>
        <v/>
      </c>
      <c r="BY10">
        <f>SUMIFS(T_Shipments[Confirmed_Qty],T_Shipments[RM_Code],$A10,T_Shipments[Effective_Week],76)</f>
        <v/>
      </c>
      <c r="BZ10">
        <f>SUMIFS(T_Shipments[Confirmed_Qty],T_Shipments[RM_Code],$A10,T_Shipments[Effective_Week],77)</f>
        <v/>
      </c>
      <c r="CA10">
        <f>SUMIFS(T_Shipments[Confirmed_Qty],T_Shipments[RM_Code],$A10,T_Shipments[Effective_Week],78)</f>
        <v/>
      </c>
      <c r="CB10">
        <f>SUMIFS(T_Shipments[Confirmed_Qty],T_Shipments[RM_Code],$A10,T_Shipments[Effective_Week],79)</f>
        <v/>
      </c>
      <c r="CC10">
        <f>SUMIFS(T_Shipments[Confirmed_Qty],T_Shipments[RM_Code],$A10,T_Shipments[Effective_Week],80)</f>
        <v/>
      </c>
      <c r="CD10">
        <f>SUMIFS(T_Shipments[Confirmed_Qty],T_Shipments[RM_Code],$A10,T_Shipments[Effective_Week],81)</f>
        <v/>
      </c>
      <c r="CE10">
        <f>SUMIFS(T_Shipments[Confirmed_Qty],T_Shipments[RM_Code],$A10,T_Shipments[Effective_Week],82)</f>
        <v/>
      </c>
      <c r="CF10">
        <f>SUMIFS(T_Shipments[Confirmed_Qty],T_Shipments[RM_Code],$A10,T_Shipments[Effective_Week],83)</f>
        <v/>
      </c>
      <c r="CG10">
        <f>SUMIFS(T_Shipments[Confirmed_Qty],T_Shipments[RM_Code],$A10,T_Shipments[Effective_Week],84)</f>
        <v/>
      </c>
      <c r="CH10">
        <f>SUMIFS(T_Shipments[Confirmed_Qty],T_Shipments[RM_Code],$A10,T_Shipments[Effective_Week],85)</f>
        <v/>
      </c>
      <c r="CI10">
        <f>SUMIFS(T_Shipments[Confirmed_Qty],T_Shipments[RM_Code],$A10,T_Shipments[Effective_Week],86)</f>
        <v/>
      </c>
      <c r="CJ10">
        <f>SUMIFS(T_Shipments[Confirmed_Qty],T_Shipments[RM_Code],$A10,T_Shipments[Effective_Week],87)</f>
        <v/>
      </c>
      <c r="CK10">
        <f>SUMIFS(T_Shipments[Confirmed_Qty],T_Shipments[RM_Code],$A10,T_Shipments[Effective_Week],88)</f>
        <v/>
      </c>
      <c r="CL10">
        <f>SUMIFS(T_Shipments[Confirmed_Qty],T_Shipments[RM_Code],$A10,T_Shipments[Effective_Week],89)</f>
        <v/>
      </c>
      <c r="CM10">
        <f>SUMIFS(T_Shipments[Confirmed_Qty],T_Shipments[RM_Code],$A10,T_Shipments[Effective_Week],90)</f>
        <v/>
      </c>
      <c r="CN10">
        <f>SUMIFS(T_Shipments[Confirmed_Qty],T_Shipments[RM_Code],$A10,T_Shipments[Effective_Week],91)</f>
        <v/>
      </c>
      <c r="CO10">
        <f>SUMIFS(T_Shipments[Confirmed_Qty],T_Shipments[RM_Code],$A10,T_Shipments[Effective_Week],92)</f>
        <v/>
      </c>
      <c r="CP10">
        <f>SUMIFS(T_Shipments[Confirmed_Qty],T_Shipments[RM_Code],$A10,T_Shipments[Effective_Week],93)</f>
        <v/>
      </c>
      <c r="CQ10">
        <f>SUMIFS(T_Shipments[Confirmed_Qty],T_Shipments[RM_Code],$A10,T_Shipments[Effective_Week],94)</f>
        <v/>
      </c>
      <c r="CR10">
        <f>SUMIFS(T_Shipments[Confirmed_Qty],T_Shipments[RM_Code],$A10,T_Shipments[Effective_Week],95)</f>
        <v/>
      </c>
      <c r="CS10">
        <f>SUMIFS(T_Shipments[Confirmed_Qty],T_Shipments[RM_Code],$A10,T_Shipments[Effective_Week],96)</f>
        <v/>
      </c>
      <c r="CT10">
        <f>SUMIFS(T_Shipments[Confirmed_Qty],T_Shipments[RM_Code],$A10,T_Shipments[Effective_Week],97)</f>
        <v/>
      </c>
      <c r="CU10">
        <f>SUMIFS(T_Shipments[Confirmed_Qty],T_Shipments[RM_Code],$A10,T_Shipments[Effective_Week],98)</f>
        <v/>
      </c>
      <c r="CV10">
        <f>SUMIFS(T_Shipments[Confirmed_Qty],T_Shipments[RM_Code],$A10,T_Shipments[Effective_Week],99)</f>
        <v/>
      </c>
      <c r="CW10">
        <f>SUMIFS(T_Shipments[Confirmed_Qty],T_Shipments[RM_Code],$A10,T_Shipments[Effective_Week],100)</f>
        <v/>
      </c>
      <c r="CX10">
        <f>SUMIFS(T_Shipments[Confirmed_Qty],T_Shipments[RM_Code],$A10,T_Shipments[Effective_Week],101)</f>
        <v/>
      </c>
      <c r="CY10">
        <f>SUMIFS(T_Shipments[Confirmed_Qty],T_Shipments[RM_Code],$A10,T_Shipments[Effective_Week],102)</f>
        <v/>
      </c>
      <c r="CZ10">
        <f>SUMIFS(T_Shipments[Confirmed_Qty],T_Shipments[RM_Code],$A10,T_Shipments[Effective_Week],103)</f>
        <v/>
      </c>
      <c r="DA10">
        <f>SUMIFS(T_Shipments[Confirmed_Qty],T_Shipments[RM_Code],$A10,T_Shipments[Effective_Week],104)</f>
        <v/>
      </c>
    </row>
    <row r="11">
      <c r="A11" t="inlineStr">
        <is>
          <t>PET FILM(900*1000)</t>
        </is>
      </c>
      <c r="B11">
        <f>SUMIFS(T_Shipments[Confirmed_Qty],T_Shipments[RM_Code],$A11,T_Shipments[Effective_Week],1)</f>
        <v/>
      </c>
      <c r="C11">
        <f>SUMIFS(T_Shipments[Confirmed_Qty],T_Shipments[RM_Code],$A11,T_Shipments[Effective_Week],2)</f>
        <v/>
      </c>
      <c r="D11">
        <f>SUMIFS(T_Shipments[Confirmed_Qty],T_Shipments[RM_Code],$A11,T_Shipments[Effective_Week],3)</f>
        <v/>
      </c>
      <c r="E11">
        <f>SUMIFS(T_Shipments[Confirmed_Qty],T_Shipments[RM_Code],$A11,T_Shipments[Effective_Week],4)</f>
        <v/>
      </c>
      <c r="F11">
        <f>SUMIFS(T_Shipments[Confirmed_Qty],T_Shipments[RM_Code],$A11,T_Shipments[Effective_Week],5)</f>
        <v/>
      </c>
      <c r="G11">
        <f>SUMIFS(T_Shipments[Confirmed_Qty],T_Shipments[RM_Code],$A11,T_Shipments[Effective_Week],6)</f>
        <v/>
      </c>
      <c r="H11">
        <f>SUMIFS(T_Shipments[Confirmed_Qty],T_Shipments[RM_Code],$A11,T_Shipments[Effective_Week],7)</f>
        <v/>
      </c>
      <c r="I11">
        <f>SUMIFS(T_Shipments[Confirmed_Qty],T_Shipments[RM_Code],$A11,T_Shipments[Effective_Week],8)</f>
        <v/>
      </c>
      <c r="J11">
        <f>SUMIFS(T_Shipments[Confirmed_Qty],T_Shipments[RM_Code],$A11,T_Shipments[Effective_Week],9)</f>
        <v/>
      </c>
      <c r="K11">
        <f>SUMIFS(T_Shipments[Confirmed_Qty],T_Shipments[RM_Code],$A11,T_Shipments[Effective_Week],10)</f>
        <v/>
      </c>
      <c r="L11">
        <f>SUMIFS(T_Shipments[Confirmed_Qty],T_Shipments[RM_Code],$A11,T_Shipments[Effective_Week],11)</f>
        <v/>
      </c>
      <c r="M11">
        <f>SUMIFS(T_Shipments[Confirmed_Qty],T_Shipments[RM_Code],$A11,T_Shipments[Effective_Week],12)</f>
        <v/>
      </c>
      <c r="N11">
        <f>SUMIFS(T_Shipments[Confirmed_Qty],T_Shipments[RM_Code],$A11,T_Shipments[Effective_Week],13)</f>
        <v/>
      </c>
      <c r="O11">
        <f>SUMIFS(T_Shipments[Confirmed_Qty],T_Shipments[RM_Code],$A11,T_Shipments[Effective_Week],14)</f>
        <v/>
      </c>
      <c r="P11">
        <f>SUMIFS(T_Shipments[Confirmed_Qty],T_Shipments[RM_Code],$A11,T_Shipments[Effective_Week],15)</f>
        <v/>
      </c>
      <c r="Q11">
        <f>SUMIFS(T_Shipments[Confirmed_Qty],T_Shipments[RM_Code],$A11,T_Shipments[Effective_Week],16)</f>
        <v/>
      </c>
      <c r="R11">
        <f>SUMIFS(T_Shipments[Confirmed_Qty],T_Shipments[RM_Code],$A11,T_Shipments[Effective_Week],17)</f>
        <v/>
      </c>
      <c r="S11">
        <f>SUMIFS(T_Shipments[Confirmed_Qty],T_Shipments[RM_Code],$A11,T_Shipments[Effective_Week],18)</f>
        <v/>
      </c>
      <c r="T11">
        <f>SUMIFS(T_Shipments[Confirmed_Qty],T_Shipments[RM_Code],$A11,T_Shipments[Effective_Week],19)</f>
        <v/>
      </c>
      <c r="U11">
        <f>SUMIFS(T_Shipments[Confirmed_Qty],T_Shipments[RM_Code],$A11,T_Shipments[Effective_Week],20)</f>
        <v/>
      </c>
      <c r="V11">
        <f>SUMIFS(T_Shipments[Confirmed_Qty],T_Shipments[RM_Code],$A11,T_Shipments[Effective_Week],21)</f>
        <v/>
      </c>
      <c r="W11">
        <f>SUMIFS(T_Shipments[Confirmed_Qty],T_Shipments[RM_Code],$A11,T_Shipments[Effective_Week],22)</f>
        <v/>
      </c>
      <c r="X11">
        <f>SUMIFS(T_Shipments[Confirmed_Qty],T_Shipments[RM_Code],$A11,T_Shipments[Effective_Week],23)</f>
        <v/>
      </c>
      <c r="Y11">
        <f>SUMIFS(T_Shipments[Confirmed_Qty],T_Shipments[RM_Code],$A11,T_Shipments[Effective_Week],24)</f>
        <v/>
      </c>
      <c r="Z11">
        <f>SUMIFS(T_Shipments[Confirmed_Qty],T_Shipments[RM_Code],$A11,T_Shipments[Effective_Week],25)</f>
        <v/>
      </c>
      <c r="AA11">
        <f>SUMIFS(T_Shipments[Confirmed_Qty],T_Shipments[RM_Code],$A11,T_Shipments[Effective_Week],26)</f>
        <v/>
      </c>
      <c r="AB11">
        <f>SUMIFS(T_Shipments[Confirmed_Qty],T_Shipments[RM_Code],$A11,T_Shipments[Effective_Week],27)</f>
        <v/>
      </c>
      <c r="AC11">
        <f>SUMIFS(T_Shipments[Confirmed_Qty],T_Shipments[RM_Code],$A11,T_Shipments[Effective_Week],28)</f>
        <v/>
      </c>
      <c r="AD11">
        <f>SUMIFS(T_Shipments[Confirmed_Qty],T_Shipments[RM_Code],$A11,T_Shipments[Effective_Week],29)</f>
        <v/>
      </c>
      <c r="AE11">
        <f>SUMIFS(T_Shipments[Confirmed_Qty],T_Shipments[RM_Code],$A11,T_Shipments[Effective_Week],30)</f>
        <v/>
      </c>
      <c r="AF11">
        <f>SUMIFS(T_Shipments[Confirmed_Qty],T_Shipments[RM_Code],$A11,T_Shipments[Effective_Week],31)</f>
        <v/>
      </c>
      <c r="AG11">
        <f>SUMIFS(T_Shipments[Confirmed_Qty],T_Shipments[RM_Code],$A11,T_Shipments[Effective_Week],32)</f>
        <v/>
      </c>
      <c r="AH11">
        <f>SUMIFS(T_Shipments[Confirmed_Qty],T_Shipments[RM_Code],$A11,T_Shipments[Effective_Week],33)</f>
        <v/>
      </c>
      <c r="AI11">
        <f>SUMIFS(T_Shipments[Confirmed_Qty],T_Shipments[RM_Code],$A11,T_Shipments[Effective_Week],34)</f>
        <v/>
      </c>
      <c r="AJ11">
        <f>SUMIFS(T_Shipments[Confirmed_Qty],T_Shipments[RM_Code],$A11,T_Shipments[Effective_Week],35)</f>
        <v/>
      </c>
      <c r="AK11">
        <f>SUMIFS(T_Shipments[Confirmed_Qty],T_Shipments[RM_Code],$A11,T_Shipments[Effective_Week],36)</f>
        <v/>
      </c>
      <c r="AL11">
        <f>SUMIFS(T_Shipments[Confirmed_Qty],T_Shipments[RM_Code],$A11,T_Shipments[Effective_Week],37)</f>
        <v/>
      </c>
      <c r="AM11">
        <f>SUMIFS(T_Shipments[Confirmed_Qty],T_Shipments[RM_Code],$A11,T_Shipments[Effective_Week],38)</f>
        <v/>
      </c>
      <c r="AN11">
        <f>SUMIFS(T_Shipments[Confirmed_Qty],T_Shipments[RM_Code],$A11,T_Shipments[Effective_Week],39)</f>
        <v/>
      </c>
      <c r="AO11">
        <f>SUMIFS(T_Shipments[Confirmed_Qty],T_Shipments[RM_Code],$A11,T_Shipments[Effective_Week],40)</f>
        <v/>
      </c>
      <c r="AP11">
        <f>SUMIFS(T_Shipments[Confirmed_Qty],T_Shipments[RM_Code],$A11,T_Shipments[Effective_Week],41)</f>
        <v/>
      </c>
      <c r="AQ11">
        <f>SUMIFS(T_Shipments[Confirmed_Qty],T_Shipments[RM_Code],$A11,T_Shipments[Effective_Week],42)</f>
        <v/>
      </c>
      <c r="AR11">
        <f>SUMIFS(T_Shipments[Confirmed_Qty],T_Shipments[RM_Code],$A11,T_Shipments[Effective_Week],43)</f>
        <v/>
      </c>
      <c r="AS11">
        <f>SUMIFS(T_Shipments[Confirmed_Qty],T_Shipments[RM_Code],$A11,T_Shipments[Effective_Week],44)</f>
        <v/>
      </c>
      <c r="AT11">
        <f>SUMIFS(T_Shipments[Confirmed_Qty],T_Shipments[RM_Code],$A11,T_Shipments[Effective_Week],45)</f>
        <v/>
      </c>
      <c r="AU11">
        <f>SUMIFS(T_Shipments[Confirmed_Qty],T_Shipments[RM_Code],$A11,T_Shipments[Effective_Week],46)</f>
        <v/>
      </c>
      <c r="AV11">
        <f>SUMIFS(T_Shipments[Confirmed_Qty],T_Shipments[RM_Code],$A11,T_Shipments[Effective_Week],47)</f>
        <v/>
      </c>
      <c r="AW11">
        <f>SUMIFS(T_Shipments[Confirmed_Qty],T_Shipments[RM_Code],$A11,T_Shipments[Effective_Week],48)</f>
        <v/>
      </c>
      <c r="AX11">
        <f>SUMIFS(T_Shipments[Confirmed_Qty],T_Shipments[RM_Code],$A11,T_Shipments[Effective_Week],49)</f>
        <v/>
      </c>
      <c r="AY11">
        <f>SUMIFS(T_Shipments[Confirmed_Qty],T_Shipments[RM_Code],$A11,T_Shipments[Effective_Week],50)</f>
        <v/>
      </c>
      <c r="AZ11">
        <f>SUMIFS(T_Shipments[Confirmed_Qty],T_Shipments[RM_Code],$A11,T_Shipments[Effective_Week],51)</f>
        <v/>
      </c>
      <c r="BA11">
        <f>SUMIFS(T_Shipments[Confirmed_Qty],T_Shipments[RM_Code],$A11,T_Shipments[Effective_Week],52)</f>
        <v/>
      </c>
      <c r="BB11">
        <f>SUMIFS(T_Shipments[Confirmed_Qty],T_Shipments[RM_Code],$A11,T_Shipments[Effective_Week],53)</f>
        <v/>
      </c>
      <c r="BC11">
        <f>SUMIFS(T_Shipments[Confirmed_Qty],T_Shipments[RM_Code],$A11,T_Shipments[Effective_Week],54)</f>
        <v/>
      </c>
      <c r="BD11">
        <f>SUMIFS(T_Shipments[Confirmed_Qty],T_Shipments[RM_Code],$A11,T_Shipments[Effective_Week],55)</f>
        <v/>
      </c>
      <c r="BE11">
        <f>SUMIFS(T_Shipments[Confirmed_Qty],T_Shipments[RM_Code],$A11,T_Shipments[Effective_Week],56)</f>
        <v/>
      </c>
      <c r="BF11">
        <f>SUMIFS(T_Shipments[Confirmed_Qty],T_Shipments[RM_Code],$A11,T_Shipments[Effective_Week],57)</f>
        <v/>
      </c>
      <c r="BG11">
        <f>SUMIFS(T_Shipments[Confirmed_Qty],T_Shipments[RM_Code],$A11,T_Shipments[Effective_Week],58)</f>
        <v/>
      </c>
      <c r="BH11">
        <f>SUMIFS(T_Shipments[Confirmed_Qty],T_Shipments[RM_Code],$A11,T_Shipments[Effective_Week],59)</f>
        <v/>
      </c>
      <c r="BI11">
        <f>SUMIFS(T_Shipments[Confirmed_Qty],T_Shipments[RM_Code],$A11,T_Shipments[Effective_Week],60)</f>
        <v/>
      </c>
      <c r="BJ11">
        <f>SUMIFS(T_Shipments[Confirmed_Qty],T_Shipments[RM_Code],$A11,T_Shipments[Effective_Week],61)</f>
        <v/>
      </c>
      <c r="BK11">
        <f>SUMIFS(T_Shipments[Confirmed_Qty],T_Shipments[RM_Code],$A11,T_Shipments[Effective_Week],62)</f>
        <v/>
      </c>
      <c r="BL11">
        <f>SUMIFS(T_Shipments[Confirmed_Qty],T_Shipments[RM_Code],$A11,T_Shipments[Effective_Week],63)</f>
        <v/>
      </c>
      <c r="BM11">
        <f>SUMIFS(T_Shipments[Confirmed_Qty],T_Shipments[RM_Code],$A11,T_Shipments[Effective_Week],64)</f>
        <v/>
      </c>
      <c r="BN11">
        <f>SUMIFS(T_Shipments[Confirmed_Qty],T_Shipments[RM_Code],$A11,T_Shipments[Effective_Week],65)</f>
        <v/>
      </c>
      <c r="BO11">
        <f>SUMIFS(T_Shipments[Confirmed_Qty],T_Shipments[RM_Code],$A11,T_Shipments[Effective_Week],66)</f>
        <v/>
      </c>
      <c r="BP11">
        <f>SUMIFS(T_Shipments[Confirmed_Qty],T_Shipments[RM_Code],$A11,T_Shipments[Effective_Week],67)</f>
        <v/>
      </c>
      <c r="BQ11">
        <f>SUMIFS(T_Shipments[Confirmed_Qty],T_Shipments[RM_Code],$A11,T_Shipments[Effective_Week],68)</f>
        <v/>
      </c>
      <c r="BR11">
        <f>SUMIFS(T_Shipments[Confirmed_Qty],T_Shipments[RM_Code],$A11,T_Shipments[Effective_Week],69)</f>
        <v/>
      </c>
      <c r="BS11">
        <f>SUMIFS(T_Shipments[Confirmed_Qty],T_Shipments[RM_Code],$A11,T_Shipments[Effective_Week],70)</f>
        <v/>
      </c>
      <c r="BT11">
        <f>SUMIFS(T_Shipments[Confirmed_Qty],T_Shipments[RM_Code],$A11,T_Shipments[Effective_Week],71)</f>
        <v/>
      </c>
      <c r="BU11">
        <f>SUMIFS(T_Shipments[Confirmed_Qty],T_Shipments[RM_Code],$A11,T_Shipments[Effective_Week],72)</f>
        <v/>
      </c>
      <c r="BV11">
        <f>SUMIFS(T_Shipments[Confirmed_Qty],T_Shipments[RM_Code],$A11,T_Shipments[Effective_Week],73)</f>
        <v/>
      </c>
      <c r="BW11">
        <f>SUMIFS(T_Shipments[Confirmed_Qty],T_Shipments[RM_Code],$A11,T_Shipments[Effective_Week],74)</f>
        <v/>
      </c>
      <c r="BX11">
        <f>SUMIFS(T_Shipments[Confirmed_Qty],T_Shipments[RM_Code],$A11,T_Shipments[Effective_Week],75)</f>
        <v/>
      </c>
      <c r="BY11">
        <f>SUMIFS(T_Shipments[Confirmed_Qty],T_Shipments[RM_Code],$A11,T_Shipments[Effective_Week],76)</f>
        <v/>
      </c>
      <c r="BZ11">
        <f>SUMIFS(T_Shipments[Confirmed_Qty],T_Shipments[RM_Code],$A11,T_Shipments[Effective_Week],77)</f>
        <v/>
      </c>
      <c r="CA11">
        <f>SUMIFS(T_Shipments[Confirmed_Qty],T_Shipments[RM_Code],$A11,T_Shipments[Effective_Week],78)</f>
        <v/>
      </c>
      <c r="CB11">
        <f>SUMIFS(T_Shipments[Confirmed_Qty],T_Shipments[RM_Code],$A11,T_Shipments[Effective_Week],79)</f>
        <v/>
      </c>
      <c r="CC11">
        <f>SUMIFS(T_Shipments[Confirmed_Qty],T_Shipments[RM_Code],$A11,T_Shipments[Effective_Week],80)</f>
        <v/>
      </c>
      <c r="CD11">
        <f>SUMIFS(T_Shipments[Confirmed_Qty],T_Shipments[RM_Code],$A11,T_Shipments[Effective_Week],81)</f>
        <v/>
      </c>
      <c r="CE11">
        <f>SUMIFS(T_Shipments[Confirmed_Qty],T_Shipments[RM_Code],$A11,T_Shipments[Effective_Week],82)</f>
        <v/>
      </c>
      <c r="CF11">
        <f>SUMIFS(T_Shipments[Confirmed_Qty],T_Shipments[RM_Code],$A11,T_Shipments[Effective_Week],83)</f>
        <v/>
      </c>
      <c r="CG11">
        <f>SUMIFS(T_Shipments[Confirmed_Qty],T_Shipments[RM_Code],$A11,T_Shipments[Effective_Week],84)</f>
        <v/>
      </c>
      <c r="CH11">
        <f>SUMIFS(T_Shipments[Confirmed_Qty],T_Shipments[RM_Code],$A11,T_Shipments[Effective_Week],85)</f>
        <v/>
      </c>
      <c r="CI11">
        <f>SUMIFS(T_Shipments[Confirmed_Qty],T_Shipments[RM_Code],$A11,T_Shipments[Effective_Week],86)</f>
        <v/>
      </c>
      <c r="CJ11">
        <f>SUMIFS(T_Shipments[Confirmed_Qty],T_Shipments[RM_Code],$A11,T_Shipments[Effective_Week],87)</f>
        <v/>
      </c>
      <c r="CK11">
        <f>SUMIFS(T_Shipments[Confirmed_Qty],T_Shipments[RM_Code],$A11,T_Shipments[Effective_Week],88)</f>
        <v/>
      </c>
      <c r="CL11">
        <f>SUMIFS(T_Shipments[Confirmed_Qty],T_Shipments[RM_Code],$A11,T_Shipments[Effective_Week],89)</f>
        <v/>
      </c>
      <c r="CM11">
        <f>SUMIFS(T_Shipments[Confirmed_Qty],T_Shipments[RM_Code],$A11,T_Shipments[Effective_Week],90)</f>
        <v/>
      </c>
      <c r="CN11">
        <f>SUMIFS(T_Shipments[Confirmed_Qty],T_Shipments[RM_Code],$A11,T_Shipments[Effective_Week],91)</f>
        <v/>
      </c>
      <c r="CO11">
        <f>SUMIFS(T_Shipments[Confirmed_Qty],T_Shipments[RM_Code],$A11,T_Shipments[Effective_Week],92)</f>
        <v/>
      </c>
      <c r="CP11">
        <f>SUMIFS(T_Shipments[Confirmed_Qty],T_Shipments[RM_Code],$A11,T_Shipments[Effective_Week],93)</f>
        <v/>
      </c>
      <c r="CQ11">
        <f>SUMIFS(T_Shipments[Confirmed_Qty],T_Shipments[RM_Code],$A11,T_Shipments[Effective_Week],94)</f>
        <v/>
      </c>
      <c r="CR11">
        <f>SUMIFS(T_Shipments[Confirmed_Qty],T_Shipments[RM_Code],$A11,T_Shipments[Effective_Week],95)</f>
        <v/>
      </c>
      <c r="CS11">
        <f>SUMIFS(T_Shipments[Confirmed_Qty],T_Shipments[RM_Code],$A11,T_Shipments[Effective_Week],96)</f>
        <v/>
      </c>
      <c r="CT11">
        <f>SUMIFS(T_Shipments[Confirmed_Qty],T_Shipments[RM_Code],$A11,T_Shipments[Effective_Week],97)</f>
        <v/>
      </c>
      <c r="CU11">
        <f>SUMIFS(T_Shipments[Confirmed_Qty],T_Shipments[RM_Code],$A11,T_Shipments[Effective_Week],98)</f>
        <v/>
      </c>
      <c r="CV11">
        <f>SUMIFS(T_Shipments[Confirmed_Qty],T_Shipments[RM_Code],$A11,T_Shipments[Effective_Week],99)</f>
        <v/>
      </c>
      <c r="CW11">
        <f>SUMIFS(T_Shipments[Confirmed_Qty],T_Shipments[RM_Code],$A11,T_Shipments[Effective_Week],100)</f>
        <v/>
      </c>
      <c r="CX11">
        <f>SUMIFS(T_Shipments[Confirmed_Qty],T_Shipments[RM_Code],$A11,T_Shipments[Effective_Week],101)</f>
        <v/>
      </c>
      <c r="CY11">
        <f>SUMIFS(T_Shipments[Confirmed_Qty],T_Shipments[RM_Code],$A11,T_Shipments[Effective_Week],102)</f>
        <v/>
      </c>
      <c r="CZ11">
        <f>SUMIFS(T_Shipments[Confirmed_Qty],T_Shipments[RM_Code],$A11,T_Shipments[Effective_Week],103)</f>
        <v/>
      </c>
      <c r="DA11">
        <f>SUMIFS(T_Shipments[Confirmed_Qty],T_Shipments[RM_Code],$A11,T_Shipments[Effective_Week],104)</f>
        <v/>
      </c>
    </row>
    <row r="12">
      <c r="A12" t="inlineStr">
        <is>
          <t>4HL</t>
        </is>
      </c>
      <c r="B12">
        <f>SUMIFS(T_Shipments[Confirmed_Qty],T_Shipments[RM_Code],$A12,T_Shipments[Effective_Week],1)</f>
        <v/>
      </c>
      <c r="C12">
        <f>SUMIFS(T_Shipments[Confirmed_Qty],T_Shipments[RM_Code],$A12,T_Shipments[Effective_Week],2)</f>
        <v/>
      </c>
      <c r="D12">
        <f>SUMIFS(T_Shipments[Confirmed_Qty],T_Shipments[RM_Code],$A12,T_Shipments[Effective_Week],3)</f>
        <v/>
      </c>
      <c r="E12">
        <f>SUMIFS(T_Shipments[Confirmed_Qty],T_Shipments[RM_Code],$A12,T_Shipments[Effective_Week],4)</f>
        <v/>
      </c>
      <c r="F12">
        <f>SUMIFS(T_Shipments[Confirmed_Qty],T_Shipments[RM_Code],$A12,T_Shipments[Effective_Week],5)</f>
        <v/>
      </c>
      <c r="G12">
        <f>SUMIFS(T_Shipments[Confirmed_Qty],T_Shipments[RM_Code],$A12,T_Shipments[Effective_Week],6)</f>
        <v/>
      </c>
      <c r="H12">
        <f>SUMIFS(T_Shipments[Confirmed_Qty],T_Shipments[RM_Code],$A12,T_Shipments[Effective_Week],7)</f>
        <v/>
      </c>
      <c r="I12">
        <f>SUMIFS(T_Shipments[Confirmed_Qty],T_Shipments[RM_Code],$A12,T_Shipments[Effective_Week],8)</f>
        <v/>
      </c>
      <c r="J12">
        <f>SUMIFS(T_Shipments[Confirmed_Qty],T_Shipments[RM_Code],$A12,T_Shipments[Effective_Week],9)</f>
        <v/>
      </c>
      <c r="K12">
        <f>SUMIFS(T_Shipments[Confirmed_Qty],T_Shipments[RM_Code],$A12,T_Shipments[Effective_Week],10)</f>
        <v/>
      </c>
      <c r="L12">
        <f>SUMIFS(T_Shipments[Confirmed_Qty],T_Shipments[RM_Code],$A12,T_Shipments[Effective_Week],11)</f>
        <v/>
      </c>
      <c r="M12">
        <f>SUMIFS(T_Shipments[Confirmed_Qty],T_Shipments[RM_Code],$A12,T_Shipments[Effective_Week],12)</f>
        <v/>
      </c>
      <c r="N12">
        <f>SUMIFS(T_Shipments[Confirmed_Qty],T_Shipments[RM_Code],$A12,T_Shipments[Effective_Week],13)</f>
        <v/>
      </c>
      <c r="O12">
        <f>SUMIFS(T_Shipments[Confirmed_Qty],T_Shipments[RM_Code],$A12,T_Shipments[Effective_Week],14)</f>
        <v/>
      </c>
      <c r="P12">
        <f>SUMIFS(T_Shipments[Confirmed_Qty],T_Shipments[RM_Code],$A12,T_Shipments[Effective_Week],15)</f>
        <v/>
      </c>
      <c r="Q12">
        <f>SUMIFS(T_Shipments[Confirmed_Qty],T_Shipments[RM_Code],$A12,T_Shipments[Effective_Week],16)</f>
        <v/>
      </c>
      <c r="R12">
        <f>SUMIFS(T_Shipments[Confirmed_Qty],T_Shipments[RM_Code],$A12,T_Shipments[Effective_Week],17)</f>
        <v/>
      </c>
      <c r="S12">
        <f>SUMIFS(T_Shipments[Confirmed_Qty],T_Shipments[RM_Code],$A12,T_Shipments[Effective_Week],18)</f>
        <v/>
      </c>
      <c r="T12">
        <f>SUMIFS(T_Shipments[Confirmed_Qty],T_Shipments[RM_Code],$A12,T_Shipments[Effective_Week],19)</f>
        <v/>
      </c>
      <c r="U12">
        <f>SUMIFS(T_Shipments[Confirmed_Qty],T_Shipments[RM_Code],$A12,T_Shipments[Effective_Week],20)</f>
        <v/>
      </c>
      <c r="V12">
        <f>SUMIFS(T_Shipments[Confirmed_Qty],T_Shipments[RM_Code],$A12,T_Shipments[Effective_Week],21)</f>
        <v/>
      </c>
      <c r="W12">
        <f>SUMIFS(T_Shipments[Confirmed_Qty],T_Shipments[RM_Code],$A12,T_Shipments[Effective_Week],22)</f>
        <v/>
      </c>
      <c r="X12">
        <f>SUMIFS(T_Shipments[Confirmed_Qty],T_Shipments[RM_Code],$A12,T_Shipments[Effective_Week],23)</f>
        <v/>
      </c>
      <c r="Y12">
        <f>SUMIFS(T_Shipments[Confirmed_Qty],T_Shipments[RM_Code],$A12,T_Shipments[Effective_Week],24)</f>
        <v/>
      </c>
      <c r="Z12">
        <f>SUMIFS(T_Shipments[Confirmed_Qty],T_Shipments[RM_Code],$A12,T_Shipments[Effective_Week],25)</f>
        <v/>
      </c>
      <c r="AA12">
        <f>SUMIFS(T_Shipments[Confirmed_Qty],T_Shipments[RM_Code],$A12,T_Shipments[Effective_Week],26)</f>
        <v/>
      </c>
      <c r="AB12">
        <f>SUMIFS(T_Shipments[Confirmed_Qty],T_Shipments[RM_Code],$A12,T_Shipments[Effective_Week],27)</f>
        <v/>
      </c>
      <c r="AC12">
        <f>SUMIFS(T_Shipments[Confirmed_Qty],T_Shipments[RM_Code],$A12,T_Shipments[Effective_Week],28)</f>
        <v/>
      </c>
      <c r="AD12">
        <f>SUMIFS(T_Shipments[Confirmed_Qty],T_Shipments[RM_Code],$A12,T_Shipments[Effective_Week],29)</f>
        <v/>
      </c>
      <c r="AE12">
        <f>SUMIFS(T_Shipments[Confirmed_Qty],T_Shipments[RM_Code],$A12,T_Shipments[Effective_Week],30)</f>
        <v/>
      </c>
      <c r="AF12">
        <f>SUMIFS(T_Shipments[Confirmed_Qty],T_Shipments[RM_Code],$A12,T_Shipments[Effective_Week],31)</f>
        <v/>
      </c>
      <c r="AG12">
        <f>SUMIFS(T_Shipments[Confirmed_Qty],T_Shipments[RM_Code],$A12,T_Shipments[Effective_Week],32)</f>
        <v/>
      </c>
      <c r="AH12">
        <f>SUMIFS(T_Shipments[Confirmed_Qty],T_Shipments[RM_Code],$A12,T_Shipments[Effective_Week],33)</f>
        <v/>
      </c>
      <c r="AI12">
        <f>SUMIFS(T_Shipments[Confirmed_Qty],T_Shipments[RM_Code],$A12,T_Shipments[Effective_Week],34)</f>
        <v/>
      </c>
      <c r="AJ12">
        <f>SUMIFS(T_Shipments[Confirmed_Qty],T_Shipments[RM_Code],$A12,T_Shipments[Effective_Week],35)</f>
        <v/>
      </c>
      <c r="AK12">
        <f>SUMIFS(T_Shipments[Confirmed_Qty],T_Shipments[RM_Code],$A12,T_Shipments[Effective_Week],36)</f>
        <v/>
      </c>
      <c r="AL12">
        <f>SUMIFS(T_Shipments[Confirmed_Qty],T_Shipments[RM_Code],$A12,T_Shipments[Effective_Week],37)</f>
        <v/>
      </c>
      <c r="AM12">
        <f>SUMIFS(T_Shipments[Confirmed_Qty],T_Shipments[RM_Code],$A12,T_Shipments[Effective_Week],38)</f>
        <v/>
      </c>
      <c r="AN12">
        <f>SUMIFS(T_Shipments[Confirmed_Qty],T_Shipments[RM_Code],$A12,T_Shipments[Effective_Week],39)</f>
        <v/>
      </c>
      <c r="AO12">
        <f>SUMIFS(T_Shipments[Confirmed_Qty],T_Shipments[RM_Code],$A12,T_Shipments[Effective_Week],40)</f>
        <v/>
      </c>
      <c r="AP12">
        <f>SUMIFS(T_Shipments[Confirmed_Qty],T_Shipments[RM_Code],$A12,T_Shipments[Effective_Week],41)</f>
        <v/>
      </c>
      <c r="AQ12">
        <f>SUMIFS(T_Shipments[Confirmed_Qty],T_Shipments[RM_Code],$A12,T_Shipments[Effective_Week],42)</f>
        <v/>
      </c>
      <c r="AR12">
        <f>SUMIFS(T_Shipments[Confirmed_Qty],T_Shipments[RM_Code],$A12,T_Shipments[Effective_Week],43)</f>
        <v/>
      </c>
      <c r="AS12">
        <f>SUMIFS(T_Shipments[Confirmed_Qty],T_Shipments[RM_Code],$A12,T_Shipments[Effective_Week],44)</f>
        <v/>
      </c>
      <c r="AT12">
        <f>SUMIFS(T_Shipments[Confirmed_Qty],T_Shipments[RM_Code],$A12,T_Shipments[Effective_Week],45)</f>
        <v/>
      </c>
      <c r="AU12">
        <f>SUMIFS(T_Shipments[Confirmed_Qty],T_Shipments[RM_Code],$A12,T_Shipments[Effective_Week],46)</f>
        <v/>
      </c>
      <c r="AV12">
        <f>SUMIFS(T_Shipments[Confirmed_Qty],T_Shipments[RM_Code],$A12,T_Shipments[Effective_Week],47)</f>
        <v/>
      </c>
      <c r="AW12">
        <f>SUMIFS(T_Shipments[Confirmed_Qty],T_Shipments[RM_Code],$A12,T_Shipments[Effective_Week],48)</f>
        <v/>
      </c>
      <c r="AX12">
        <f>SUMIFS(T_Shipments[Confirmed_Qty],T_Shipments[RM_Code],$A12,T_Shipments[Effective_Week],49)</f>
        <v/>
      </c>
      <c r="AY12">
        <f>SUMIFS(T_Shipments[Confirmed_Qty],T_Shipments[RM_Code],$A12,T_Shipments[Effective_Week],50)</f>
        <v/>
      </c>
      <c r="AZ12">
        <f>SUMIFS(T_Shipments[Confirmed_Qty],T_Shipments[RM_Code],$A12,T_Shipments[Effective_Week],51)</f>
        <v/>
      </c>
      <c r="BA12">
        <f>SUMIFS(T_Shipments[Confirmed_Qty],T_Shipments[RM_Code],$A12,T_Shipments[Effective_Week],52)</f>
        <v/>
      </c>
      <c r="BB12">
        <f>SUMIFS(T_Shipments[Confirmed_Qty],T_Shipments[RM_Code],$A12,T_Shipments[Effective_Week],53)</f>
        <v/>
      </c>
      <c r="BC12">
        <f>SUMIFS(T_Shipments[Confirmed_Qty],T_Shipments[RM_Code],$A12,T_Shipments[Effective_Week],54)</f>
        <v/>
      </c>
      <c r="BD12">
        <f>SUMIFS(T_Shipments[Confirmed_Qty],T_Shipments[RM_Code],$A12,T_Shipments[Effective_Week],55)</f>
        <v/>
      </c>
      <c r="BE12">
        <f>SUMIFS(T_Shipments[Confirmed_Qty],T_Shipments[RM_Code],$A12,T_Shipments[Effective_Week],56)</f>
        <v/>
      </c>
      <c r="BF12">
        <f>SUMIFS(T_Shipments[Confirmed_Qty],T_Shipments[RM_Code],$A12,T_Shipments[Effective_Week],57)</f>
        <v/>
      </c>
      <c r="BG12">
        <f>SUMIFS(T_Shipments[Confirmed_Qty],T_Shipments[RM_Code],$A12,T_Shipments[Effective_Week],58)</f>
        <v/>
      </c>
      <c r="BH12">
        <f>SUMIFS(T_Shipments[Confirmed_Qty],T_Shipments[RM_Code],$A12,T_Shipments[Effective_Week],59)</f>
        <v/>
      </c>
      <c r="BI12">
        <f>SUMIFS(T_Shipments[Confirmed_Qty],T_Shipments[RM_Code],$A12,T_Shipments[Effective_Week],60)</f>
        <v/>
      </c>
      <c r="BJ12">
        <f>SUMIFS(T_Shipments[Confirmed_Qty],T_Shipments[RM_Code],$A12,T_Shipments[Effective_Week],61)</f>
        <v/>
      </c>
      <c r="BK12">
        <f>SUMIFS(T_Shipments[Confirmed_Qty],T_Shipments[RM_Code],$A12,T_Shipments[Effective_Week],62)</f>
        <v/>
      </c>
      <c r="BL12">
        <f>SUMIFS(T_Shipments[Confirmed_Qty],T_Shipments[RM_Code],$A12,T_Shipments[Effective_Week],63)</f>
        <v/>
      </c>
      <c r="BM12">
        <f>SUMIFS(T_Shipments[Confirmed_Qty],T_Shipments[RM_Code],$A12,T_Shipments[Effective_Week],64)</f>
        <v/>
      </c>
      <c r="BN12">
        <f>SUMIFS(T_Shipments[Confirmed_Qty],T_Shipments[RM_Code],$A12,T_Shipments[Effective_Week],65)</f>
        <v/>
      </c>
      <c r="BO12">
        <f>SUMIFS(T_Shipments[Confirmed_Qty],T_Shipments[RM_Code],$A12,T_Shipments[Effective_Week],66)</f>
        <v/>
      </c>
      <c r="BP12">
        <f>SUMIFS(T_Shipments[Confirmed_Qty],T_Shipments[RM_Code],$A12,T_Shipments[Effective_Week],67)</f>
        <v/>
      </c>
      <c r="BQ12">
        <f>SUMIFS(T_Shipments[Confirmed_Qty],T_Shipments[RM_Code],$A12,T_Shipments[Effective_Week],68)</f>
        <v/>
      </c>
      <c r="BR12">
        <f>SUMIFS(T_Shipments[Confirmed_Qty],T_Shipments[RM_Code],$A12,T_Shipments[Effective_Week],69)</f>
        <v/>
      </c>
      <c r="BS12">
        <f>SUMIFS(T_Shipments[Confirmed_Qty],T_Shipments[RM_Code],$A12,T_Shipments[Effective_Week],70)</f>
        <v/>
      </c>
      <c r="BT12">
        <f>SUMIFS(T_Shipments[Confirmed_Qty],T_Shipments[RM_Code],$A12,T_Shipments[Effective_Week],71)</f>
        <v/>
      </c>
      <c r="BU12">
        <f>SUMIFS(T_Shipments[Confirmed_Qty],T_Shipments[RM_Code],$A12,T_Shipments[Effective_Week],72)</f>
        <v/>
      </c>
      <c r="BV12">
        <f>SUMIFS(T_Shipments[Confirmed_Qty],T_Shipments[RM_Code],$A12,T_Shipments[Effective_Week],73)</f>
        <v/>
      </c>
      <c r="BW12">
        <f>SUMIFS(T_Shipments[Confirmed_Qty],T_Shipments[RM_Code],$A12,T_Shipments[Effective_Week],74)</f>
        <v/>
      </c>
      <c r="BX12">
        <f>SUMIFS(T_Shipments[Confirmed_Qty],T_Shipments[RM_Code],$A12,T_Shipments[Effective_Week],75)</f>
        <v/>
      </c>
      <c r="BY12">
        <f>SUMIFS(T_Shipments[Confirmed_Qty],T_Shipments[RM_Code],$A12,T_Shipments[Effective_Week],76)</f>
        <v/>
      </c>
      <c r="BZ12">
        <f>SUMIFS(T_Shipments[Confirmed_Qty],T_Shipments[RM_Code],$A12,T_Shipments[Effective_Week],77)</f>
        <v/>
      </c>
      <c r="CA12">
        <f>SUMIFS(T_Shipments[Confirmed_Qty],T_Shipments[RM_Code],$A12,T_Shipments[Effective_Week],78)</f>
        <v/>
      </c>
      <c r="CB12">
        <f>SUMIFS(T_Shipments[Confirmed_Qty],T_Shipments[RM_Code],$A12,T_Shipments[Effective_Week],79)</f>
        <v/>
      </c>
      <c r="CC12">
        <f>SUMIFS(T_Shipments[Confirmed_Qty],T_Shipments[RM_Code],$A12,T_Shipments[Effective_Week],80)</f>
        <v/>
      </c>
      <c r="CD12">
        <f>SUMIFS(T_Shipments[Confirmed_Qty],T_Shipments[RM_Code],$A12,T_Shipments[Effective_Week],81)</f>
        <v/>
      </c>
      <c r="CE12">
        <f>SUMIFS(T_Shipments[Confirmed_Qty],T_Shipments[RM_Code],$A12,T_Shipments[Effective_Week],82)</f>
        <v/>
      </c>
      <c r="CF12">
        <f>SUMIFS(T_Shipments[Confirmed_Qty],T_Shipments[RM_Code],$A12,T_Shipments[Effective_Week],83)</f>
        <v/>
      </c>
      <c r="CG12">
        <f>SUMIFS(T_Shipments[Confirmed_Qty],T_Shipments[RM_Code],$A12,T_Shipments[Effective_Week],84)</f>
        <v/>
      </c>
      <c r="CH12">
        <f>SUMIFS(T_Shipments[Confirmed_Qty],T_Shipments[RM_Code],$A12,T_Shipments[Effective_Week],85)</f>
        <v/>
      </c>
      <c r="CI12">
        <f>SUMIFS(T_Shipments[Confirmed_Qty],T_Shipments[RM_Code],$A12,T_Shipments[Effective_Week],86)</f>
        <v/>
      </c>
      <c r="CJ12">
        <f>SUMIFS(T_Shipments[Confirmed_Qty],T_Shipments[RM_Code],$A12,T_Shipments[Effective_Week],87)</f>
        <v/>
      </c>
      <c r="CK12">
        <f>SUMIFS(T_Shipments[Confirmed_Qty],T_Shipments[RM_Code],$A12,T_Shipments[Effective_Week],88)</f>
        <v/>
      </c>
      <c r="CL12">
        <f>SUMIFS(T_Shipments[Confirmed_Qty],T_Shipments[RM_Code],$A12,T_Shipments[Effective_Week],89)</f>
        <v/>
      </c>
      <c r="CM12">
        <f>SUMIFS(T_Shipments[Confirmed_Qty],T_Shipments[RM_Code],$A12,T_Shipments[Effective_Week],90)</f>
        <v/>
      </c>
      <c r="CN12">
        <f>SUMIFS(T_Shipments[Confirmed_Qty],T_Shipments[RM_Code],$A12,T_Shipments[Effective_Week],91)</f>
        <v/>
      </c>
      <c r="CO12">
        <f>SUMIFS(T_Shipments[Confirmed_Qty],T_Shipments[RM_Code],$A12,T_Shipments[Effective_Week],92)</f>
        <v/>
      </c>
      <c r="CP12">
        <f>SUMIFS(T_Shipments[Confirmed_Qty],T_Shipments[RM_Code],$A12,T_Shipments[Effective_Week],93)</f>
        <v/>
      </c>
      <c r="CQ12">
        <f>SUMIFS(T_Shipments[Confirmed_Qty],T_Shipments[RM_Code],$A12,T_Shipments[Effective_Week],94)</f>
        <v/>
      </c>
      <c r="CR12">
        <f>SUMIFS(T_Shipments[Confirmed_Qty],T_Shipments[RM_Code],$A12,T_Shipments[Effective_Week],95)</f>
        <v/>
      </c>
      <c r="CS12">
        <f>SUMIFS(T_Shipments[Confirmed_Qty],T_Shipments[RM_Code],$A12,T_Shipments[Effective_Week],96)</f>
        <v/>
      </c>
      <c r="CT12">
        <f>SUMIFS(T_Shipments[Confirmed_Qty],T_Shipments[RM_Code],$A12,T_Shipments[Effective_Week],97)</f>
        <v/>
      </c>
      <c r="CU12">
        <f>SUMIFS(T_Shipments[Confirmed_Qty],T_Shipments[RM_Code],$A12,T_Shipments[Effective_Week],98)</f>
        <v/>
      </c>
      <c r="CV12">
        <f>SUMIFS(T_Shipments[Confirmed_Qty],T_Shipments[RM_Code],$A12,T_Shipments[Effective_Week],99)</f>
        <v/>
      </c>
      <c r="CW12">
        <f>SUMIFS(T_Shipments[Confirmed_Qty],T_Shipments[RM_Code],$A12,T_Shipments[Effective_Week],100)</f>
        <v/>
      </c>
      <c r="CX12">
        <f>SUMIFS(T_Shipments[Confirmed_Qty],T_Shipments[RM_Code],$A12,T_Shipments[Effective_Week],101)</f>
        <v/>
      </c>
      <c r="CY12">
        <f>SUMIFS(T_Shipments[Confirmed_Qty],T_Shipments[RM_Code],$A12,T_Shipments[Effective_Week],102)</f>
        <v/>
      </c>
      <c r="CZ12">
        <f>SUMIFS(T_Shipments[Confirmed_Qty],T_Shipments[RM_Code],$A12,T_Shipments[Effective_Week],103)</f>
        <v/>
      </c>
      <c r="DA12">
        <f>SUMIFS(T_Shipments[Confirmed_Qty],T_Shipments[RM_Code],$A12,T_Shipments[Effective_Week],104)</f>
        <v/>
      </c>
    </row>
    <row r="13">
      <c r="A13" t="inlineStr">
        <is>
          <t>1EK</t>
        </is>
      </c>
      <c r="B13">
        <f>SUMIFS(T_Shipments[Confirmed_Qty],T_Shipments[RM_Code],$A13,T_Shipments[Effective_Week],1)</f>
        <v/>
      </c>
      <c r="C13">
        <f>SUMIFS(T_Shipments[Confirmed_Qty],T_Shipments[RM_Code],$A13,T_Shipments[Effective_Week],2)</f>
        <v/>
      </c>
      <c r="D13">
        <f>SUMIFS(T_Shipments[Confirmed_Qty],T_Shipments[RM_Code],$A13,T_Shipments[Effective_Week],3)</f>
        <v/>
      </c>
      <c r="E13">
        <f>SUMIFS(T_Shipments[Confirmed_Qty],T_Shipments[RM_Code],$A13,T_Shipments[Effective_Week],4)</f>
        <v/>
      </c>
      <c r="F13">
        <f>SUMIFS(T_Shipments[Confirmed_Qty],T_Shipments[RM_Code],$A13,T_Shipments[Effective_Week],5)</f>
        <v/>
      </c>
      <c r="G13">
        <f>SUMIFS(T_Shipments[Confirmed_Qty],T_Shipments[RM_Code],$A13,T_Shipments[Effective_Week],6)</f>
        <v/>
      </c>
      <c r="H13">
        <f>SUMIFS(T_Shipments[Confirmed_Qty],T_Shipments[RM_Code],$A13,T_Shipments[Effective_Week],7)</f>
        <v/>
      </c>
      <c r="I13">
        <f>SUMIFS(T_Shipments[Confirmed_Qty],T_Shipments[RM_Code],$A13,T_Shipments[Effective_Week],8)</f>
        <v/>
      </c>
      <c r="J13">
        <f>SUMIFS(T_Shipments[Confirmed_Qty],T_Shipments[RM_Code],$A13,T_Shipments[Effective_Week],9)</f>
        <v/>
      </c>
      <c r="K13">
        <f>SUMIFS(T_Shipments[Confirmed_Qty],T_Shipments[RM_Code],$A13,T_Shipments[Effective_Week],10)</f>
        <v/>
      </c>
      <c r="L13">
        <f>SUMIFS(T_Shipments[Confirmed_Qty],T_Shipments[RM_Code],$A13,T_Shipments[Effective_Week],11)</f>
        <v/>
      </c>
      <c r="M13">
        <f>SUMIFS(T_Shipments[Confirmed_Qty],T_Shipments[RM_Code],$A13,T_Shipments[Effective_Week],12)</f>
        <v/>
      </c>
      <c r="N13">
        <f>SUMIFS(T_Shipments[Confirmed_Qty],T_Shipments[RM_Code],$A13,T_Shipments[Effective_Week],13)</f>
        <v/>
      </c>
      <c r="O13">
        <f>SUMIFS(T_Shipments[Confirmed_Qty],T_Shipments[RM_Code],$A13,T_Shipments[Effective_Week],14)</f>
        <v/>
      </c>
      <c r="P13">
        <f>SUMIFS(T_Shipments[Confirmed_Qty],T_Shipments[RM_Code],$A13,T_Shipments[Effective_Week],15)</f>
        <v/>
      </c>
      <c r="Q13">
        <f>SUMIFS(T_Shipments[Confirmed_Qty],T_Shipments[RM_Code],$A13,T_Shipments[Effective_Week],16)</f>
        <v/>
      </c>
      <c r="R13">
        <f>SUMIFS(T_Shipments[Confirmed_Qty],T_Shipments[RM_Code],$A13,T_Shipments[Effective_Week],17)</f>
        <v/>
      </c>
      <c r="S13">
        <f>SUMIFS(T_Shipments[Confirmed_Qty],T_Shipments[RM_Code],$A13,T_Shipments[Effective_Week],18)</f>
        <v/>
      </c>
      <c r="T13">
        <f>SUMIFS(T_Shipments[Confirmed_Qty],T_Shipments[RM_Code],$A13,T_Shipments[Effective_Week],19)</f>
        <v/>
      </c>
      <c r="U13">
        <f>SUMIFS(T_Shipments[Confirmed_Qty],T_Shipments[RM_Code],$A13,T_Shipments[Effective_Week],20)</f>
        <v/>
      </c>
      <c r="V13">
        <f>SUMIFS(T_Shipments[Confirmed_Qty],T_Shipments[RM_Code],$A13,T_Shipments[Effective_Week],21)</f>
        <v/>
      </c>
      <c r="W13">
        <f>SUMIFS(T_Shipments[Confirmed_Qty],T_Shipments[RM_Code],$A13,T_Shipments[Effective_Week],22)</f>
        <v/>
      </c>
      <c r="X13">
        <f>SUMIFS(T_Shipments[Confirmed_Qty],T_Shipments[RM_Code],$A13,T_Shipments[Effective_Week],23)</f>
        <v/>
      </c>
      <c r="Y13">
        <f>SUMIFS(T_Shipments[Confirmed_Qty],T_Shipments[RM_Code],$A13,T_Shipments[Effective_Week],24)</f>
        <v/>
      </c>
      <c r="Z13">
        <f>SUMIFS(T_Shipments[Confirmed_Qty],T_Shipments[RM_Code],$A13,T_Shipments[Effective_Week],25)</f>
        <v/>
      </c>
      <c r="AA13">
        <f>SUMIFS(T_Shipments[Confirmed_Qty],T_Shipments[RM_Code],$A13,T_Shipments[Effective_Week],26)</f>
        <v/>
      </c>
      <c r="AB13">
        <f>SUMIFS(T_Shipments[Confirmed_Qty],T_Shipments[RM_Code],$A13,T_Shipments[Effective_Week],27)</f>
        <v/>
      </c>
      <c r="AC13">
        <f>SUMIFS(T_Shipments[Confirmed_Qty],T_Shipments[RM_Code],$A13,T_Shipments[Effective_Week],28)</f>
        <v/>
      </c>
      <c r="AD13">
        <f>SUMIFS(T_Shipments[Confirmed_Qty],T_Shipments[RM_Code],$A13,T_Shipments[Effective_Week],29)</f>
        <v/>
      </c>
      <c r="AE13">
        <f>SUMIFS(T_Shipments[Confirmed_Qty],T_Shipments[RM_Code],$A13,T_Shipments[Effective_Week],30)</f>
        <v/>
      </c>
      <c r="AF13">
        <f>SUMIFS(T_Shipments[Confirmed_Qty],T_Shipments[RM_Code],$A13,T_Shipments[Effective_Week],31)</f>
        <v/>
      </c>
      <c r="AG13">
        <f>SUMIFS(T_Shipments[Confirmed_Qty],T_Shipments[RM_Code],$A13,T_Shipments[Effective_Week],32)</f>
        <v/>
      </c>
      <c r="AH13">
        <f>SUMIFS(T_Shipments[Confirmed_Qty],T_Shipments[RM_Code],$A13,T_Shipments[Effective_Week],33)</f>
        <v/>
      </c>
      <c r="AI13">
        <f>SUMIFS(T_Shipments[Confirmed_Qty],T_Shipments[RM_Code],$A13,T_Shipments[Effective_Week],34)</f>
        <v/>
      </c>
      <c r="AJ13">
        <f>SUMIFS(T_Shipments[Confirmed_Qty],T_Shipments[RM_Code],$A13,T_Shipments[Effective_Week],35)</f>
        <v/>
      </c>
      <c r="AK13">
        <f>SUMIFS(T_Shipments[Confirmed_Qty],T_Shipments[RM_Code],$A13,T_Shipments[Effective_Week],36)</f>
        <v/>
      </c>
      <c r="AL13">
        <f>SUMIFS(T_Shipments[Confirmed_Qty],T_Shipments[RM_Code],$A13,T_Shipments[Effective_Week],37)</f>
        <v/>
      </c>
      <c r="AM13">
        <f>SUMIFS(T_Shipments[Confirmed_Qty],T_Shipments[RM_Code],$A13,T_Shipments[Effective_Week],38)</f>
        <v/>
      </c>
      <c r="AN13">
        <f>SUMIFS(T_Shipments[Confirmed_Qty],T_Shipments[RM_Code],$A13,T_Shipments[Effective_Week],39)</f>
        <v/>
      </c>
      <c r="AO13">
        <f>SUMIFS(T_Shipments[Confirmed_Qty],T_Shipments[RM_Code],$A13,T_Shipments[Effective_Week],40)</f>
        <v/>
      </c>
      <c r="AP13">
        <f>SUMIFS(T_Shipments[Confirmed_Qty],T_Shipments[RM_Code],$A13,T_Shipments[Effective_Week],41)</f>
        <v/>
      </c>
      <c r="AQ13">
        <f>SUMIFS(T_Shipments[Confirmed_Qty],T_Shipments[RM_Code],$A13,T_Shipments[Effective_Week],42)</f>
        <v/>
      </c>
      <c r="AR13">
        <f>SUMIFS(T_Shipments[Confirmed_Qty],T_Shipments[RM_Code],$A13,T_Shipments[Effective_Week],43)</f>
        <v/>
      </c>
      <c r="AS13">
        <f>SUMIFS(T_Shipments[Confirmed_Qty],T_Shipments[RM_Code],$A13,T_Shipments[Effective_Week],44)</f>
        <v/>
      </c>
      <c r="AT13">
        <f>SUMIFS(T_Shipments[Confirmed_Qty],T_Shipments[RM_Code],$A13,T_Shipments[Effective_Week],45)</f>
        <v/>
      </c>
      <c r="AU13">
        <f>SUMIFS(T_Shipments[Confirmed_Qty],T_Shipments[RM_Code],$A13,T_Shipments[Effective_Week],46)</f>
        <v/>
      </c>
      <c r="AV13">
        <f>SUMIFS(T_Shipments[Confirmed_Qty],T_Shipments[RM_Code],$A13,T_Shipments[Effective_Week],47)</f>
        <v/>
      </c>
      <c r="AW13">
        <f>SUMIFS(T_Shipments[Confirmed_Qty],T_Shipments[RM_Code],$A13,T_Shipments[Effective_Week],48)</f>
        <v/>
      </c>
      <c r="AX13">
        <f>SUMIFS(T_Shipments[Confirmed_Qty],T_Shipments[RM_Code],$A13,T_Shipments[Effective_Week],49)</f>
        <v/>
      </c>
      <c r="AY13">
        <f>SUMIFS(T_Shipments[Confirmed_Qty],T_Shipments[RM_Code],$A13,T_Shipments[Effective_Week],50)</f>
        <v/>
      </c>
      <c r="AZ13">
        <f>SUMIFS(T_Shipments[Confirmed_Qty],T_Shipments[RM_Code],$A13,T_Shipments[Effective_Week],51)</f>
        <v/>
      </c>
      <c r="BA13">
        <f>SUMIFS(T_Shipments[Confirmed_Qty],T_Shipments[RM_Code],$A13,T_Shipments[Effective_Week],52)</f>
        <v/>
      </c>
      <c r="BB13">
        <f>SUMIFS(T_Shipments[Confirmed_Qty],T_Shipments[RM_Code],$A13,T_Shipments[Effective_Week],53)</f>
        <v/>
      </c>
      <c r="BC13">
        <f>SUMIFS(T_Shipments[Confirmed_Qty],T_Shipments[RM_Code],$A13,T_Shipments[Effective_Week],54)</f>
        <v/>
      </c>
      <c r="BD13">
        <f>SUMIFS(T_Shipments[Confirmed_Qty],T_Shipments[RM_Code],$A13,T_Shipments[Effective_Week],55)</f>
        <v/>
      </c>
      <c r="BE13">
        <f>SUMIFS(T_Shipments[Confirmed_Qty],T_Shipments[RM_Code],$A13,T_Shipments[Effective_Week],56)</f>
        <v/>
      </c>
      <c r="BF13">
        <f>SUMIFS(T_Shipments[Confirmed_Qty],T_Shipments[RM_Code],$A13,T_Shipments[Effective_Week],57)</f>
        <v/>
      </c>
      <c r="BG13">
        <f>SUMIFS(T_Shipments[Confirmed_Qty],T_Shipments[RM_Code],$A13,T_Shipments[Effective_Week],58)</f>
        <v/>
      </c>
      <c r="BH13">
        <f>SUMIFS(T_Shipments[Confirmed_Qty],T_Shipments[RM_Code],$A13,T_Shipments[Effective_Week],59)</f>
        <v/>
      </c>
      <c r="BI13">
        <f>SUMIFS(T_Shipments[Confirmed_Qty],T_Shipments[RM_Code],$A13,T_Shipments[Effective_Week],60)</f>
        <v/>
      </c>
      <c r="BJ13">
        <f>SUMIFS(T_Shipments[Confirmed_Qty],T_Shipments[RM_Code],$A13,T_Shipments[Effective_Week],61)</f>
        <v/>
      </c>
      <c r="BK13">
        <f>SUMIFS(T_Shipments[Confirmed_Qty],T_Shipments[RM_Code],$A13,T_Shipments[Effective_Week],62)</f>
        <v/>
      </c>
      <c r="BL13">
        <f>SUMIFS(T_Shipments[Confirmed_Qty],T_Shipments[RM_Code],$A13,T_Shipments[Effective_Week],63)</f>
        <v/>
      </c>
      <c r="BM13">
        <f>SUMIFS(T_Shipments[Confirmed_Qty],T_Shipments[RM_Code],$A13,T_Shipments[Effective_Week],64)</f>
        <v/>
      </c>
      <c r="BN13">
        <f>SUMIFS(T_Shipments[Confirmed_Qty],T_Shipments[RM_Code],$A13,T_Shipments[Effective_Week],65)</f>
        <v/>
      </c>
      <c r="BO13">
        <f>SUMIFS(T_Shipments[Confirmed_Qty],T_Shipments[RM_Code],$A13,T_Shipments[Effective_Week],66)</f>
        <v/>
      </c>
      <c r="BP13">
        <f>SUMIFS(T_Shipments[Confirmed_Qty],T_Shipments[RM_Code],$A13,T_Shipments[Effective_Week],67)</f>
        <v/>
      </c>
      <c r="BQ13">
        <f>SUMIFS(T_Shipments[Confirmed_Qty],T_Shipments[RM_Code],$A13,T_Shipments[Effective_Week],68)</f>
        <v/>
      </c>
      <c r="BR13">
        <f>SUMIFS(T_Shipments[Confirmed_Qty],T_Shipments[RM_Code],$A13,T_Shipments[Effective_Week],69)</f>
        <v/>
      </c>
      <c r="BS13">
        <f>SUMIFS(T_Shipments[Confirmed_Qty],T_Shipments[RM_Code],$A13,T_Shipments[Effective_Week],70)</f>
        <v/>
      </c>
      <c r="BT13">
        <f>SUMIFS(T_Shipments[Confirmed_Qty],T_Shipments[RM_Code],$A13,T_Shipments[Effective_Week],71)</f>
        <v/>
      </c>
      <c r="BU13">
        <f>SUMIFS(T_Shipments[Confirmed_Qty],T_Shipments[RM_Code],$A13,T_Shipments[Effective_Week],72)</f>
        <v/>
      </c>
      <c r="BV13">
        <f>SUMIFS(T_Shipments[Confirmed_Qty],T_Shipments[RM_Code],$A13,T_Shipments[Effective_Week],73)</f>
        <v/>
      </c>
      <c r="BW13">
        <f>SUMIFS(T_Shipments[Confirmed_Qty],T_Shipments[RM_Code],$A13,T_Shipments[Effective_Week],74)</f>
        <v/>
      </c>
      <c r="BX13">
        <f>SUMIFS(T_Shipments[Confirmed_Qty],T_Shipments[RM_Code],$A13,T_Shipments[Effective_Week],75)</f>
        <v/>
      </c>
      <c r="BY13">
        <f>SUMIFS(T_Shipments[Confirmed_Qty],T_Shipments[RM_Code],$A13,T_Shipments[Effective_Week],76)</f>
        <v/>
      </c>
      <c r="BZ13">
        <f>SUMIFS(T_Shipments[Confirmed_Qty],T_Shipments[RM_Code],$A13,T_Shipments[Effective_Week],77)</f>
        <v/>
      </c>
      <c r="CA13">
        <f>SUMIFS(T_Shipments[Confirmed_Qty],T_Shipments[RM_Code],$A13,T_Shipments[Effective_Week],78)</f>
        <v/>
      </c>
      <c r="CB13">
        <f>SUMIFS(T_Shipments[Confirmed_Qty],T_Shipments[RM_Code],$A13,T_Shipments[Effective_Week],79)</f>
        <v/>
      </c>
      <c r="CC13">
        <f>SUMIFS(T_Shipments[Confirmed_Qty],T_Shipments[RM_Code],$A13,T_Shipments[Effective_Week],80)</f>
        <v/>
      </c>
      <c r="CD13">
        <f>SUMIFS(T_Shipments[Confirmed_Qty],T_Shipments[RM_Code],$A13,T_Shipments[Effective_Week],81)</f>
        <v/>
      </c>
      <c r="CE13">
        <f>SUMIFS(T_Shipments[Confirmed_Qty],T_Shipments[RM_Code],$A13,T_Shipments[Effective_Week],82)</f>
        <v/>
      </c>
      <c r="CF13">
        <f>SUMIFS(T_Shipments[Confirmed_Qty],T_Shipments[RM_Code],$A13,T_Shipments[Effective_Week],83)</f>
        <v/>
      </c>
      <c r="CG13">
        <f>SUMIFS(T_Shipments[Confirmed_Qty],T_Shipments[RM_Code],$A13,T_Shipments[Effective_Week],84)</f>
        <v/>
      </c>
      <c r="CH13">
        <f>SUMIFS(T_Shipments[Confirmed_Qty],T_Shipments[RM_Code],$A13,T_Shipments[Effective_Week],85)</f>
        <v/>
      </c>
      <c r="CI13">
        <f>SUMIFS(T_Shipments[Confirmed_Qty],T_Shipments[RM_Code],$A13,T_Shipments[Effective_Week],86)</f>
        <v/>
      </c>
      <c r="CJ13">
        <f>SUMIFS(T_Shipments[Confirmed_Qty],T_Shipments[RM_Code],$A13,T_Shipments[Effective_Week],87)</f>
        <v/>
      </c>
      <c r="CK13">
        <f>SUMIFS(T_Shipments[Confirmed_Qty],T_Shipments[RM_Code],$A13,T_Shipments[Effective_Week],88)</f>
        <v/>
      </c>
      <c r="CL13">
        <f>SUMIFS(T_Shipments[Confirmed_Qty],T_Shipments[RM_Code],$A13,T_Shipments[Effective_Week],89)</f>
        <v/>
      </c>
      <c r="CM13">
        <f>SUMIFS(T_Shipments[Confirmed_Qty],T_Shipments[RM_Code],$A13,T_Shipments[Effective_Week],90)</f>
        <v/>
      </c>
      <c r="CN13">
        <f>SUMIFS(T_Shipments[Confirmed_Qty],T_Shipments[RM_Code],$A13,T_Shipments[Effective_Week],91)</f>
        <v/>
      </c>
      <c r="CO13">
        <f>SUMIFS(T_Shipments[Confirmed_Qty],T_Shipments[RM_Code],$A13,T_Shipments[Effective_Week],92)</f>
        <v/>
      </c>
      <c r="CP13">
        <f>SUMIFS(T_Shipments[Confirmed_Qty],T_Shipments[RM_Code],$A13,T_Shipments[Effective_Week],93)</f>
        <v/>
      </c>
      <c r="CQ13">
        <f>SUMIFS(T_Shipments[Confirmed_Qty],T_Shipments[RM_Code],$A13,T_Shipments[Effective_Week],94)</f>
        <v/>
      </c>
      <c r="CR13">
        <f>SUMIFS(T_Shipments[Confirmed_Qty],T_Shipments[RM_Code],$A13,T_Shipments[Effective_Week],95)</f>
        <v/>
      </c>
      <c r="CS13">
        <f>SUMIFS(T_Shipments[Confirmed_Qty],T_Shipments[RM_Code],$A13,T_Shipments[Effective_Week],96)</f>
        <v/>
      </c>
      <c r="CT13">
        <f>SUMIFS(T_Shipments[Confirmed_Qty],T_Shipments[RM_Code],$A13,T_Shipments[Effective_Week],97)</f>
        <v/>
      </c>
      <c r="CU13">
        <f>SUMIFS(T_Shipments[Confirmed_Qty],T_Shipments[RM_Code],$A13,T_Shipments[Effective_Week],98)</f>
        <v/>
      </c>
      <c r="CV13">
        <f>SUMIFS(T_Shipments[Confirmed_Qty],T_Shipments[RM_Code],$A13,T_Shipments[Effective_Week],99)</f>
        <v/>
      </c>
      <c r="CW13">
        <f>SUMIFS(T_Shipments[Confirmed_Qty],T_Shipments[RM_Code],$A13,T_Shipments[Effective_Week],100)</f>
        <v/>
      </c>
      <c r="CX13">
        <f>SUMIFS(T_Shipments[Confirmed_Qty],T_Shipments[RM_Code],$A13,T_Shipments[Effective_Week],101)</f>
        <v/>
      </c>
      <c r="CY13">
        <f>SUMIFS(T_Shipments[Confirmed_Qty],T_Shipments[RM_Code],$A13,T_Shipments[Effective_Week],102)</f>
        <v/>
      </c>
      <c r="CZ13">
        <f>SUMIFS(T_Shipments[Confirmed_Qty],T_Shipments[RM_Code],$A13,T_Shipments[Effective_Week],103)</f>
        <v/>
      </c>
      <c r="DA13">
        <f>SUMIFS(T_Shipments[Confirmed_Qty],T_Shipments[RM_Code],$A13,T_Shipments[Effective_Week],104)</f>
        <v/>
      </c>
    </row>
    <row r="14">
      <c r="A14" t="inlineStr">
        <is>
          <t>7CL</t>
        </is>
      </c>
      <c r="B14">
        <f>SUMIFS(T_Shipments[Confirmed_Qty],T_Shipments[RM_Code],$A14,T_Shipments[Effective_Week],1)</f>
        <v/>
      </c>
      <c r="C14">
        <f>SUMIFS(T_Shipments[Confirmed_Qty],T_Shipments[RM_Code],$A14,T_Shipments[Effective_Week],2)</f>
        <v/>
      </c>
      <c r="D14">
        <f>SUMIFS(T_Shipments[Confirmed_Qty],T_Shipments[RM_Code],$A14,T_Shipments[Effective_Week],3)</f>
        <v/>
      </c>
      <c r="E14">
        <f>SUMIFS(T_Shipments[Confirmed_Qty],T_Shipments[RM_Code],$A14,T_Shipments[Effective_Week],4)</f>
        <v/>
      </c>
      <c r="F14">
        <f>SUMIFS(T_Shipments[Confirmed_Qty],T_Shipments[RM_Code],$A14,T_Shipments[Effective_Week],5)</f>
        <v/>
      </c>
      <c r="G14">
        <f>SUMIFS(T_Shipments[Confirmed_Qty],T_Shipments[RM_Code],$A14,T_Shipments[Effective_Week],6)</f>
        <v/>
      </c>
      <c r="H14">
        <f>SUMIFS(T_Shipments[Confirmed_Qty],T_Shipments[RM_Code],$A14,T_Shipments[Effective_Week],7)</f>
        <v/>
      </c>
      <c r="I14">
        <f>SUMIFS(T_Shipments[Confirmed_Qty],T_Shipments[RM_Code],$A14,T_Shipments[Effective_Week],8)</f>
        <v/>
      </c>
      <c r="J14">
        <f>SUMIFS(T_Shipments[Confirmed_Qty],T_Shipments[RM_Code],$A14,T_Shipments[Effective_Week],9)</f>
        <v/>
      </c>
      <c r="K14">
        <f>SUMIFS(T_Shipments[Confirmed_Qty],T_Shipments[RM_Code],$A14,T_Shipments[Effective_Week],10)</f>
        <v/>
      </c>
      <c r="L14">
        <f>SUMIFS(T_Shipments[Confirmed_Qty],T_Shipments[RM_Code],$A14,T_Shipments[Effective_Week],11)</f>
        <v/>
      </c>
      <c r="M14">
        <f>SUMIFS(T_Shipments[Confirmed_Qty],T_Shipments[RM_Code],$A14,T_Shipments[Effective_Week],12)</f>
        <v/>
      </c>
      <c r="N14">
        <f>SUMIFS(T_Shipments[Confirmed_Qty],T_Shipments[RM_Code],$A14,T_Shipments[Effective_Week],13)</f>
        <v/>
      </c>
      <c r="O14">
        <f>SUMIFS(T_Shipments[Confirmed_Qty],T_Shipments[RM_Code],$A14,T_Shipments[Effective_Week],14)</f>
        <v/>
      </c>
      <c r="P14">
        <f>SUMIFS(T_Shipments[Confirmed_Qty],T_Shipments[RM_Code],$A14,T_Shipments[Effective_Week],15)</f>
        <v/>
      </c>
      <c r="Q14">
        <f>SUMIFS(T_Shipments[Confirmed_Qty],T_Shipments[RM_Code],$A14,T_Shipments[Effective_Week],16)</f>
        <v/>
      </c>
      <c r="R14">
        <f>SUMIFS(T_Shipments[Confirmed_Qty],T_Shipments[RM_Code],$A14,T_Shipments[Effective_Week],17)</f>
        <v/>
      </c>
      <c r="S14">
        <f>SUMIFS(T_Shipments[Confirmed_Qty],T_Shipments[RM_Code],$A14,T_Shipments[Effective_Week],18)</f>
        <v/>
      </c>
      <c r="T14">
        <f>SUMIFS(T_Shipments[Confirmed_Qty],T_Shipments[RM_Code],$A14,T_Shipments[Effective_Week],19)</f>
        <v/>
      </c>
      <c r="U14">
        <f>SUMIFS(T_Shipments[Confirmed_Qty],T_Shipments[RM_Code],$A14,T_Shipments[Effective_Week],20)</f>
        <v/>
      </c>
      <c r="V14">
        <f>SUMIFS(T_Shipments[Confirmed_Qty],T_Shipments[RM_Code],$A14,T_Shipments[Effective_Week],21)</f>
        <v/>
      </c>
      <c r="W14">
        <f>SUMIFS(T_Shipments[Confirmed_Qty],T_Shipments[RM_Code],$A14,T_Shipments[Effective_Week],22)</f>
        <v/>
      </c>
      <c r="X14">
        <f>SUMIFS(T_Shipments[Confirmed_Qty],T_Shipments[RM_Code],$A14,T_Shipments[Effective_Week],23)</f>
        <v/>
      </c>
      <c r="Y14">
        <f>SUMIFS(T_Shipments[Confirmed_Qty],T_Shipments[RM_Code],$A14,T_Shipments[Effective_Week],24)</f>
        <v/>
      </c>
      <c r="Z14">
        <f>SUMIFS(T_Shipments[Confirmed_Qty],T_Shipments[RM_Code],$A14,T_Shipments[Effective_Week],25)</f>
        <v/>
      </c>
      <c r="AA14">
        <f>SUMIFS(T_Shipments[Confirmed_Qty],T_Shipments[RM_Code],$A14,T_Shipments[Effective_Week],26)</f>
        <v/>
      </c>
      <c r="AB14">
        <f>SUMIFS(T_Shipments[Confirmed_Qty],T_Shipments[RM_Code],$A14,T_Shipments[Effective_Week],27)</f>
        <v/>
      </c>
      <c r="AC14">
        <f>SUMIFS(T_Shipments[Confirmed_Qty],T_Shipments[RM_Code],$A14,T_Shipments[Effective_Week],28)</f>
        <v/>
      </c>
      <c r="AD14">
        <f>SUMIFS(T_Shipments[Confirmed_Qty],T_Shipments[RM_Code],$A14,T_Shipments[Effective_Week],29)</f>
        <v/>
      </c>
      <c r="AE14">
        <f>SUMIFS(T_Shipments[Confirmed_Qty],T_Shipments[RM_Code],$A14,T_Shipments[Effective_Week],30)</f>
        <v/>
      </c>
      <c r="AF14">
        <f>SUMIFS(T_Shipments[Confirmed_Qty],T_Shipments[RM_Code],$A14,T_Shipments[Effective_Week],31)</f>
        <v/>
      </c>
      <c r="AG14">
        <f>SUMIFS(T_Shipments[Confirmed_Qty],T_Shipments[RM_Code],$A14,T_Shipments[Effective_Week],32)</f>
        <v/>
      </c>
      <c r="AH14">
        <f>SUMIFS(T_Shipments[Confirmed_Qty],T_Shipments[RM_Code],$A14,T_Shipments[Effective_Week],33)</f>
        <v/>
      </c>
      <c r="AI14">
        <f>SUMIFS(T_Shipments[Confirmed_Qty],T_Shipments[RM_Code],$A14,T_Shipments[Effective_Week],34)</f>
        <v/>
      </c>
      <c r="AJ14">
        <f>SUMIFS(T_Shipments[Confirmed_Qty],T_Shipments[RM_Code],$A14,T_Shipments[Effective_Week],35)</f>
        <v/>
      </c>
      <c r="AK14">
        <f>SUMIFS(T_Shipments[Confirmed_Qty],T_Shipments[RM_Code],$A14,T_Shipments[Effective_Week],36)</f>
        <v/>
      </c>
      <c r="AL14">
        <f>SUMIFS(T_Shipments[Confirmed_Qty],T_Shipments[RM_Code],$A14,T_Shipments[Effective_Week],37)</f>
        <v/>
      </c>
      <c r="AM14">
        <f>SUMIFS(T_Shipments[Confirmed_Qty],T_Shipments[RM_Code],$A14,T_Shipments[Effective_Week],38)</f>
        <v/>
      </c>
      <c r="AN14">
        <f>SUMIFS(T_Shipments[Confirmed_Qty],T_Shipments[RM_Code],$A14,T_Shipments[Effective_Week],39)</f>
        <v/>
      </c>
      <c r="AO14">
        <f>SUMIFS(T_Shipments[Confirmed_Qty],T_Shipments[RM_Code],$A14,T_Shipments[Effective_Week],40)</f>
        <v/>
      </c>
      <c r="AP14">
        <f>SUMIFS(T_Shipments[Confirmed_Qty],T_Shipments[RM_Code],$A14,T_Shipments[Effective_Week],41)</f>
        <v/>
      </c>
      <c r="AQ14">
        <f>SUMIFS(T_Shipments[Confirmed_Qty],T_Shipments[RM_Code],$A14,T_Shipments[Effective_Week],42)</f>
        <v/>
      </c>
      <c r="AR14">
        <f>SUMIFS(T_Shipments[Confirmed_Qty],T_Shipments[RM_Code],$A14,T_Shipments[Effective_Week],43)</f>
        <v/>
      </c>
      <c r="AS14">
        <f>SUMIFS(T_Shipments[Confirmed_Qty],T_Shipments[RM_Code],$A14,T_Shipments[Effective_Week],44)</f>
        <v/>
      </c>
      <c r="AT14">
        <f>SUMIFS(T_Shipments[Confirmed_Qty],T_Shipments[RM_Code],$A14,T_Shipments[Effective_Week],45)</f>
        <v/>
      </c>
      <c r="AU14">
        <f>SUMIFS(T_Shipments[Confirmed_Qty],T_Shipments[RM_Code],$A14,T_Shipments[Effective_Week],46)</f>
        <v/>
      </c>
      <c r="AV14">
        <f>SUMIFS(T_Shipments[Confirmed_Qty],T_Shipments[RM_Code],$A14,T_Shipments[Effective_Week],47)</f>
        <v/>
      </c>
      <c r="AW14">
        <f>SUMIFS(T_Shipments[Confirmed_Qty],T_Shipments[RM_Code],$A14,T_Shipments[Effective_Week],48)</f>
        <v/>
      </c>
      <c r="AX14">
        <f>SUMIFS(T_Shipments[Confirmed_Qty],T_Shipments[RM_Code],$A14,T_Shipments[Effective_Week],49)</f>
        <v/>
      </c>
      <c r="AY14">
        <f>SUMIFS(T_Shipments[Confirmed_Qty],T_Shipments[RM_Code],$A14,T_Shipments[Effective_Week],50)</f>
        <v/>
      </c>
      <c r="AZ14">
        <f>SUMIFS(T_Shipments[Confirmed_Qty],T_Shipments[RM_Code],$A14,T_Shipments[Effective_Week],51)</f>
        <v/>
      </c>
      <c r="BA14">
        <f>SUMIFS(T_Shipments[Confirmed_Qty],T_Shipments[RM_Code],$A14,T_Shipments[Effective_Week],52)</f>
        <v/>
      </c>
      <c r="BB14">
        <f>SUMIFS(T_Shipments[Confirmed_Qty],T_Shipments[RM_Code],$A14,T_Shipments[Effective_Week],53)</f>
        <v/>
      </c>
      <c r="BC14">
        <f>SUMIFS(T_Shipments[Confirmed_Qty],T_Shipments[RM_Code],$A14,T_Shipments[Effective_Week],54)</f>
        <v/>
      </c>
      <c r="BD14">
        <f>SUMIFS(T_Shipments[Confirmed_Qty],T_Shipments[RM_Code],$A14,T_Shipments[Effective_Week],55)</f>
        <v/>
      </c>
      <c r="BE14">
        <f>SUMIFS(T_Shipments[Confirmed_Qty],T_Shipments[RM_Code],$A14,T_Shipments[Effective_Week],56)</f>
        <v/>
      </c>
      <c r="BF14">
        <f>SUMIFS(T_Shipments[Confirmed_Qty],T_Shipments[RM_Code],$A14,T_Shipments[Effective_Week],57)</f>
        <v/>
      </c>
      <c r="BG14">
        <f>SUMIFS(T_Shipments[Confirmed_Qty],T_Shipments[RM_Code],$A14,T_Shipments[Effective_Week],58)</f>
        <v/>
      </c>
      <c r="BH14">
        <f>SUMIFS(T_Shipments[Confirmed_Qty],T_Shipments[RM_Code],$A14,T_Shipments[Effective_Week],59)</f>
        <v/>
      </c>
      <c r="BI14">
        <f>SUMIFS(T_Shipments[Confirmed_Qty],T_Shipments[RM_Code],$A14,T_Shipments[Effective_Week],60)</f>
        <v/>
      </c>
      <c r="BJ14">
        <f>SUMIFS(T_Shipments[Confirmed_Qty],T_Shipments[RM_Code],$A14,T_Shipments[Effective_Week],61)</f>
        <v/>
      </c>
      <c r="BK14">
        <f>SUMIFS(T_Shipments[Confirmed_Qty],T_Shipments[RM_Code],$A14,T_Shipments[Effective_Week],62)</f>
        <v/>
      </c>
      <c r="BL14">
        <f>SUMIFS(T_Shipments[Confirmed_Qty],T_Shipments[RM_Code],$A14,T_Shipments[Effective_Week],63)</f>
        <v/>
      </c>
      <c r="BM14">
        <f>SUMIFS(T_Shipments[Confirmed_Qty],T_Shipments[RM_Code],$A14,T_Shipments[Effective_Week],64)</f>
        <v/>
      </c>
      <c r="BN14">
        <f>SUMIFS(T_Shipments[Confirmed_Qty],T_Shipments[RM_Code],$A14,T_Shipments[Effective_Week],65)</f>
        <v/>
      </c>
      <c r="BO14">
        <f>SUMIFS(T_Shipments[Confirmed_Qty],T_Shipments[RM_Code],$A14,T_Shipments[Effective_Week],66)</f>
        <v/>
      </c>
      <c r="BP14">
        <f>SUMIFS(T_Shipments[Confirmed_Qty],T_Shipments[RM_Code],$A14,T_Shipments[Effective_Week],67)</f>
        <v/>
      </c>
      <c r="BQ14">
        <f>SUMIFS(T_Shipments[Confirmed_Qty],T_Shipments[RM_Code],$A14,T_Shipments[Effective_Week],68)</f>
        <v/>
      </c>
      <c r="BR14">
        <f>SUMIFS(T_Shipments[Confirmed_Qty],T_Shipments[RM_Code],$A14,T_Shipments[Effective_Week],69)</f>
        <v/>
      </c>
      <c r="BS14">
        <f>SUMIFS(T_Shipments[Confirmed_Qty],T_Shipments[RM_Code],$A14,T_Shipments[Effective_Week],70)</f>
        <v/>
      </c>
      <c r="BT14">
        <f>SUMIFS(T_Shipments[Confirmed_Qty],T_Shipments[RM_Code],$A14,T_Shipments[Effective_Week],71)</f>
        <v/>
      </c>
      <c r="BU14">
        <f>SUMIFS(T_Shipments[Confirmed_Qty],T_Shipments[RM_Code],$A14,T_Shipments[Effective_Week],72)</f>
        <v/>
      </c>
      <c r="BV14">
        <f>SUMIFS(T_Shipments[Confirmed_Qty],T_Shipments[RM_Code],$A14,T_Shipments[Effective_Week],73)</f>
        <v/>
      </c>
      <c r="BW14">
        <f>SUMIFS(T_Shipments[Confirmed_Qty],T_Shipments[RM_Code],$A14,T_Shipments[Effective_Week],74)</f>
        <v/>
      </c>
      <c r="BX14">
        <f>SUMIFS(T_Shipments[Confirmed_Qty],T_Shipments[RM_Code],$A14,T_Shipments[Effective_Week],75)</f>
        <v/>
      </c>
      <c r="BY14">
        <f>SUMIFS(T_Shipments[Confirmed_Qty],T_Shipments[RM_Code],$A14,T_Shipments[Effective_Week],76)</f>
        <v/>
      </c>
      <c r="BZ14">
        <f>SUMIFS(T_Shipments[Confirmed_Qty],T_Shipments[RM_Code],$A14,T_Shipments[Effective_Week],77)</f>
        <v/>
      </c>
      <c r="CA14">
        <f>SUMIFS(T_Shipments[Confirmed_Qty],T_Shipments[RM_Code],$A14,T_Shipments[Effective_Week],78)</f>
        <v/>
      </c>
      <c r="CB14">
        <f>SUMIFS(T_Shipments[Confirmed_Qty],T_Shipments[RM_Code],$A14,T_Shipments[Effective_Week],79)</f>
        <v/>
      </c>
      <c r="CC14">
        <f>SUMIFS(T_Shipments[Confirmed_Qty],T_Shipments[RM_Code],$A14,T_Shipments[Effective_Week],80)</f>
        <v/>
      </c>
      <c r="CD14">
        <f>SUMIFS(T_Shipments[Confirmed_Qty],T_Shipments[RM_Code],$A14,T_Shipments[Effective_Week],81)</f>
        <v/>
      </c>
      <c r="CE14">
        <f>SUMIFS(T_Shipments[Confirmed_Qty],T_Shipments[RM_Code],$A14,T_Shipments[Effective_Week],82)</f>
        <v/>
      </c>
      <c r="CF14">
        <f>SUMIFS(T_Shipments[Confirmed_Qty],T_Shipments[RM_Code],$A14,T_Shipments[Effective_Week],83)</f>
        <v/>
      </c>
      <c r="CG14">
        <f>SUMIFS(T_Shipments[Confirmed_Qty],T_Shipments[RM_Code],$A14,T_Shipments[Effective_Week],84)</f>
        <v/>
      </c>
      <c r="CH14">
        <f>SUMIFS(T_Shipments[Confirmed_Qty],T_Shipments[RM_Code],$A14,T_Shipments[Effective_Week],85)</f>
        <v/>
      </c>
      <c r="CI14">
        <f>SUMIFS(T_Shipments[Confirmed_Qty],T_Shipments[RM_Code],$A14,T_Shipments[Effective_Week],86)</f>
        <v/>
      </c>
      <c r="CJ14">
        <f>SUMIFS(T_Shipments[Confirmed_Qty],T_Shipments[RM_Code],$A14,T_Shipments[Effective_Week],87)</f>
        <v/>
      </c>
      <c r="CK14">
        <f>SUMIFS(T_Shipments[Confirmed_Qty],T_Shipments[RM_Code],$A14,T_Shipments[Effective_Week],88)</f>
        <v/>
      </c>
      <c r="CL14">
        <f>SUMIFS(T_Shipments[Confirmed_Qty],T_Shipments[RM_Code],$A14,T_Shipments[Effective_Week],89)</f>
        <v/>
      </c>
      <c r="CM14">
        <f>SUMIFS(T_Shipments[Confirmed_Qty],T_Shipments[RM_Code],$A14,T_Shipments[Effective_Week],90)</f>
        <v/>
      </c>
      <c r="CN14">
        <f>SUMIFS(T_Shipments[Confirmed_Qty],T_Shipments[RM_Code],$A14,T_Shipments[Effective_Week],91)</f>
        <v/>
      </c>
      <c r="CO14">
        <f>SUMIFS(T_Shipments[Confirmed_Qty],T_Shipments[RM_Code],$A14,T_Shipments[Effective_Week],92)</f>
        <v/>
      </c>
      <c r="CP14">
        <f>SUMIFS(T_Shipments[Confirmed_Qty],T_Shipments[RM_Code],$A14,T_Shipments[Effective_Week],93)</f>
        <v/>
      </c>
      <c r="CQ14">
        <f>SUMIFS(T_Shipments[Confirmed_Qty],T_Shipments[RM_Code],$A14,T_Shipments[Effective_Week],94)</f>
        <v/>
      </c>
      <c r="CR14">
        <f>SUMIFS(T_Shipments[Confirmed_Qty],T_Shipments[RM_Code],$A14,T_Shipments[Effective_Week],95)</f>
        <v/>
      </c>
      <c r="CS14">
        <f>SUMIFS(T_Shipments[Confirmed_Qty],T_Shipments[RM_Code],$A14,T_Shipments[Effective_Week],96)</f>
        <v/>
      </c>
      <c r="CT14">
        <f>SUMIFS(T_Shipments[Confirmed_Qty],T_Shipments[RM_Code],$A14,T_Shipments[Effective_Week],97)</f>
        <v/>
      </c>
      <c r="CU14">
        <f>SUMIFS(T_Shipments[Confirmed_Qty],T_Shipments[RM_Code],$A14,T_Shipments[Effective_Week],98)</f>
        <v/>
      </c>
      <c r="CV14">
        <f>SUMIFS(T_Shipments[Confirmed_Qty],T_Shipments[RM_Code],$A14,T_Shipments[Effective_Week],99)</f>
        <v/>
      </c>
      <c r="CW14">
        <f>SUMIFS(T_Shipments[Confirmed_Qty],T_Shipments[RM_Code],$A14,T_Shipments[Effective_Week],100)</f>
        <v/>
      </c>
      <c r="CX14">
        <f>SUMIFS(T_Shipments[Confirmed_Qty],T_Shipments[RM_Code],$A14,T_Shipments[Effective_Week],101)</f>
        <v/>
      </c>
      <c r="CY14">
        <f>SUMIFS(T_Shipments[Confirmed_Qty],T_Shipments[RM_Code],$A14,T_Shipments[Effective_Week],102)</f>
        <v/>
      </c>
      <c r="CZ14">
        <f>SUMIFS(T_Shipments[Confirmed_Qty],T_Shipments[RM_Code],$A14,T_Shipments[Effective_Week],103)</f>
        <v/>
      </c>
      <c r="DA14">
        <f>SUMIFS(T_Shipments[Confirmed_Qty],T_Shipments[RM_Code],$A14,T_Shipments[Effective_Week],104)</f>
        <v/>
      </c>
    </row>
    <row r="15">
      <c r="A15" t="inlineStr">
        <is>
          <t>9RN</t>
        </is>
      </c>
      <c r="B15">
        <f>SUMIFS(T_Shipments[Confirmed_Qty],T_Shipments[RM_Code],$A15,T_Shipments[Effective_Week],1)</f>
        <v/>
      </c>
      <c r="C15">
        <f>SUMIFS(T_Shipments[Confirmed_Qty],T_Shipments[RM_Code],$A15,T_Shipments[Effective_Week],2)</f>
        <v/>
      </c>
      <c r="D15">
        <f>SUMIFS(T_Shipments[Confirmed_Qty],T_Shipments[RM_Code],$A15,T_Shipments[Effective_Week],3)</f>
        <v/>
      </c>
      <c r="E15">
        <f>SUMIFS(T_Shipments[Confirmed_Qty],T_Shipments[RM_Code],$A15,T_Shipments[Effective_Week],4)</f>
        <v/>
      </c>
      <c r="F15">
        <f>SUMIFS(T_Shipments[Confirmed_Qty],T_Shipments[RM_Code],$A15,T_Shipments[Effective_Week],5)</f>
        <v/>
      </c>
      <c r="G15">
        <f>SUMIFS(T_Shipments[Confirmed_Qty],T_Shipments[RM_Code],$A15,T_Shipments[Effective_Week],6)</f>
        <v/>
      </c>
      <c r="H15">
        <f>SUMIFS(T_Shipments[Confirmed_Qty],T_Shipments[RM_Code],$A15,T_Shipments[Effective_Week],7)</f>
        <v/>
      </c>
      <c r="I15">
        <f>SUMIFS(T_Shipments[Confirmed_Qty],T_Shipments[RM_Code],$A15,T_Shipments[Effective_Week],8)</f>
        <v/>
      </c>
      <c r="J15">
        <f>SUMIFS(T_Shipments[Confirmed_Qty],T_Shipments[RM_Code],$A15,T_Shipments[Effective_Week],9)</f>
        <v/>
      </c>
      <c r="K15">
        <f>SUMIFS(T_Shipments[Confirmed_Qty],T_Shipments[RM_Code],$A15,T_Shipments[Effective_Week],10)</f>
        <v/>
      </c>
      <c r="L15">
        <f>SUMIFS(T_Shipments[Confirmed_Qty],T_Shipments[RM_Code],$A15,T_Shipments[Effective_Week],11)</f>
        <v/>
      </c>
      <c r="M15">
        <f>SUMIFS(T_Shipments[Confirmed_Qty],T_Shipments[RM_Code],$A15,T_Shipments[Effective_Week],12)</f>
        <v/>
      </c>
      <c r="N15">
        <f>SUMIFS(T_Shipments[Confirmed_Qty],T_Shipments[RM_Code],$A15,T_Shipments[Effective_Week],13)</f>
        <v/>
      </c>
      <c r="O15">
        <f>SUMIFS(T_Shipments[Confirmed_Qty],T_Shipments[RM_Code],$A15,T_Shipments[Effective_Week],14)</f>
        <v/>
      </c>
      <c r="P15">
        <f>SUMIFS(T_Shipments[Confirmed_Qty],T_Shipments[RM_Code],$A15,T_Shipments[Effective_Week],15)</f>
        <v/>
      </c>
      <c r="Q15">
        <f>SUMIFS(T_Shipments[Confirmed_Qty],T_Shipments[RM_Code],$A15,T_Shipments[Effective_Week],16)</f>
        <v/>
      </c>
      <c r="R15">
        <f>SUMIFS(T_Shipments[Confirmed_Qty],T_Shipments[RM_Code],$A15,T_Shipments[Effective_Week],17)</f>
        <v/>
      </c>
      <c r="S15">
        <f>SUMIFS(T_Shipments[Confirmed_Qty],T_Shipments[RM_Code],$A15,T_Shipments[Effective_Week],18)</f>
        <v/>
      </c>
      <c r="T15">
        <f>SUMIFS(T_Shipments[Confirmed_Qty],T_Shipments[RM_Code],$A15,T_Shipments[Effective_Week],19)</f>
        <v/>
      </c>
      <c r="U15">
        <f>SUMIFS(T_Shipments[Confirmed_Qty],T_Shipments[RM_Code],$A15,T_Shipments[Effective_Week],20)</f>
        <v/>
      </c>
      <c r="V15">
        <f>SUMIFS(T_Shipments[Confirmed_Qty],T_Shipments[RM_Code],$A15,T_Shipments[Effective_Week],21)</f>
        <v/>
      </c>
      <c r="W15">
        <f>SUMIFS(T_Shipments[Confirmed_Qty],T_Shipments[RM_Code],$A15,T_Shipments[Effective_Week],22)</f>
        <v/>
      </c>
      <c r="X15">
        <f>SUMIFS(T_Shipments[Confirmed_Qty],T_Shipments[RM_Code],$A15,T_Shipments[Effective_Week],23)</f>
        <v/>
      </c>
      <c r="Y15">
        <f>SUMIFS(T_Shipments[Confirmed_Qty],T_Shipments[RM_Code],$A15,T_Shipments[Effective_Week],24)</f>
        <v/>
      </c>
      <c r="Z15">
        <f>SUMIFS(T_Shipments[Confirmed_Qty],T_Shipments[RM_Code],$A15,T_Shipments[Effective_Week],25)</f>
        <v/>
      </c>
      <c r="AA15">
        <f>SUMIFS(T_Shipments[Confirmed_Qty],T_Shipments[RM_Code],$A15,T_Shipments[Effective_Week],26)</f>
        <v/>
      </c>
      <c r="AB15">
        <f>SUMIFS(T_Shipments[Confirmed_Qty],T_Shipments[RM_Code],$A15,T_Shipments[Effective_Week],27)</f>
        <v/>
      </c>
      <c r="AC15">
        <f>SUMIFS(T_Shipments[Confirmed_Qty],T_Shipments[RM_Code],$A15,T_Shipments[Effective_Week],28)</f>
        <v/>
      </c>
      <c r="AD15">
        <f>SUMIFS(T_Shipments[Confirmed_Qty],T_Shipments[RM_Code],$A15,T_Shipments[Effective_Week],29)</f>
        <v/>
      </c>
      <c r="AE15">
        <f>SUMIFS(T_Shipments[Confirmed_Qty],T_Shipments[RM_Code],$A15,T_Shipments[Effective_Week],30)</f>
        <v/>
      </c>
      <c r="AF15">
        <f>SUMIFS(T_Shipments[Confirmed_Qty],T_Shipments[RM_Code],$A15,T_Shipments[Effective_Week],31)</f>
        <v/>
      </c>
      <c r="AG15">
        <f>SUMIFS(T_Shipments[Confirmed_Qty],T_Shipments[RM_Code],$A15,T_Shipments[Effective_Week],32)</f>
        <v/>
      </c>
      <c r="AH15">
        <f>SUMIFS(T_Shipments[Confirmed_Qty],T_Shipments[RM_Code],$A15,T_Shipments[Effective_Week],33)</f>
        <v/>
      </c>
      <c r="AI15">
        <f>SUMIFS(T_Shipments[Confirmed_Qty],T_Shipments[RM_Code],$A15,T_Shipments[Effective_Week],34)</f>
        <v/>
      </c>
      <c r="AJ15">
        <f>SUMIFS(T_Shipments[Confirmed_Qty],T_Shipments[RM_Code],$A15,T_Shipments[Effective_Week],35)</f>
        <v/>
      </c>
      <c r="AK15">
        <f>SUMIFS(T_Shipments[Confirmed_Qty],T_Shipments[RM_Code],$A15,T_Shipments[Effective_Week],36)</f>
        <v/>
      </c>
      <c r="AL15">
        <f>SUMIFS(T_Shipments[Confirmed_Qty],T_Shipments[RM_Code],$A15,T_Shipments[Effective_Week],37)</f>
        <v/>
      </c>
      <c r="AM15">
        <f>SUMIFS(T_Shipments[Confirmed_Qty],T_Shipments[RM_Code],$A15,T_Shipments[Effective_Week],38)</f>
        <v/>
      </c>
      <c r="AN15">
        <f>SUMIFS(T_Shipments[Confirmed_Qty],T_Shipments[RM_Code],$A15,T_Shipments[Effective_Week],39)</f>
        <v/>
      </c>
      <c r="AO15">
        <f>SUMIFS(T_Shipments[Confirmed_Qty],T_Shipments[RM_Code],$A15,T_Shipments[Effective_Week],40)</f>
        <v/>
      </c>
      <c r="AP15">
        <f>SUMIFS(T_Shipments[Confirmed_Qty],T_Shipments[RM_Code],$A15,T_Shipments[Effective_Week],41)</f>
        <v/>
      </c>
      <c r="AQ15">
        <f>SUMIFS(T_Shipments[Confirmed_Qty],T_Shipments[RM_Code],$A15,T_Shipments[Effective_Week],42)</f>
        <v/>
      </c>
      <c r="AR15">
        <f>SUMIFS(T_Shipments[Confirmed_Qty],T_Shipments[RM_Code],$A15,T_Shipments[Effective_Week],43)</f>
        <v/>
      </c>
      <c r="AS15">
        <f>SUMIFS(T_Shipments[Confirmed_Qty],T_Shipments[RM_Code],$A15,T_Shipments[Effective_Week],44)</f>
        <v/>
      </c>
      <c r="AT15">
        <f>SUMIFS(T_Shipments[Confirmed_Qty],T_Shipments[RM_Code],$A15,T_Shipments[Effective_Week],45)</f>
        <v/>
      </c>
      <c r="AU15">
        <f>SUMIFS(T_Shipments[Confirmed_Qty],T_Shipments[RM_Code],$A15,T_Shipments[Effective_Week],46)</f>
        <v/>
      </c>
      <c r="AV15">
        <f>SUMIFS(T_Shipments[Confirmed_Qty],T_Shipments[RM_Code],$A15,T_Shipments[Effective_Week],47)</f>
        <v/>
      </c>
      <c r="AW15">
        <f>SUMIFS(T_Shipments[Confirmed_Qty],T_Shipments[RM_Code],$A15,T_Shipments[Effective_Week],48)</f>
        <v/>
      </c>
      <c r="AX15">
        <f>SUMIFS(T_Shipments[Confirmed_Qty],T_Shipments[RM_Code],$A15,T_Shipments[Effective_Week],49)</f>
        <v/>
      </c>
      <c r="AY15">
        <f>SUMIFS(T_Shipments[Confirmed_Qty],T_Shipments[RM_Code],$A15,T_Shipments[Effective_Week],50)</f>
        <v/>
      </c>
      <c r="AZ15">
        <f>SUMIFS(T_Shipments[Confirmed_Qty],T_Shipments[RM_Code],$A15,T_Shipments[Effective_Week],51)</f>
        <v/>
      </c>
      <c r="BA15">
        <f>SUMIFS(T_Shipments[Confirmed_Qty],T_Shipments[RM_Code],$A15,T_Shipments[Effective_Week],52)</f>
        <v/>
      </c>
      <c r="BB15">
        <f>SUMIFS(T_Shipments[Confirmed_Qty],T_Shipments[RM_Code],$A15,T_Shipments[Effective_Week],53)</f>
        <v/>
      </c>
      <c r="BC15">
        <f>SUMIFS(T_Shipments[Confirmed_Qty],T_Shipments[RM_Code],$A15,T_Shipments[Effective_Week],54)</f>
        <v/>
      </c>
      <c r="BD15">
        <f>SUMIFS(T_Shipments[Confirmed_Qty],T_Shipments[RM_Code],$A15,T_Shipments[Effective_Week],55)</f>
        <v/>
      </c>
      <c r="BE15">
        <f>SUMIFS(T_Shipments[Confirmed_Qty],T_Shipments[RM_Code],$A15,T_Shipments[Effective_Week],56)</f>
        <v/>
      </c>
      <c r="BF15">
        <f>SUMIFS(T_Shipments[Confirmed_Qty],T_Shipments[RM_Code],$A15,T_Shipments[Effective_Week],57)</f>
        <v/>
      </c>
      <c r="BG15">
        <f>SUMIFS(T_Shipments[Confirmed_Qty],T_Shipments[RM_Code],$A15,T_Shipments[Effective_Week],58)</f>
        <v/>
      </c>
      <c r="BH15">
        <f>SUMIFS(T_Shipments[Confirmed_Qty],T_Shipments[RM_Code],$A15,T_Shipments[Effective_Week],59)</f>
        <v/>
      </c>
      <c r="BI15">
        <f>SUMIFS(T_Shipments[Confirmed_Qty],T_Shipments[RM_Code],$A15,T_Shipments[Effective_Week],60)</f>
        <v/>
      </c>
      <c r="BJ15">
        <f>SUMIFS(T_Shipments[Confirmed_Qty],T_Shipments[RM_Code],$A15,T_Shipments[Effective_Week],61)</f>
        <v/>
      </c>
      <c r="BK15">
        <f>SUMIFS(T_Shipments[Confirmed_Qty],T_Shipments[RM_Code],$A15,T_Shipments[Effective_Week],62)</f>
        <v/>
      </c>
      <c r="BL15">
        <f>SUMIFS(T_Shipments[Confirmed_Qty],T_Shipments[RM_Code],$A15,T_Shipments[Effective_Week],63)</f>
        <v/>
      </c>
      <c r="BM15">
        <f>SUMIFS(T_Shipments[Confirmed_Qty],T_Shipments[RM_Code],$A15,T_Shipments[Effective_Week],64)</f>
        <v/>
      </c>
      <c r="BN15">
        <f>SUMIFS(T_Shipments[Confirmed_Qty],T_Shipments[RM_Code],$A15,T_Shipments[Effective_Week],65)</f>
        <v/>
      </c>
      <c r="BO15">
        <f>SUMIFS(T_Shipments[Confirmed_Qty],T_Shipments[RM_Code],$A15,T_Shipments[Effective_Week],66)</f>
        <v/>
      </c>
      <c r="BP15">
        <f>SUMIFS(T_Shipments[Confirmed_Qty],T_Shipments[RM_Code],$A15,T_Shipments[Effective_Week],67)</f>
        <v/>
      </c>
      <c r="BQ15">
        <f>SUMIFS(T_Shipments[Confirmed_Qty],T_Shipments[RM_Code],$A15,T_Shipments[Effective_Week],68)</f>
        <v/>
      </c>
      <c r="BR15">
        <f>SUMIFS(T_Shipments[Confirmed_Qty],T_Shipments[RM_Code],$A15,T_Shipments[Effective_Week],69)</f>
        <v/>
      </c>
      <c r="BS15">
        <f>SUMIFS(T_Shipments[Confirmed_Qty],T_Shipments[RM_Code],$A15,T_Shipments[Effective_Week],70)</f>
        <v/>
      </c>
      <c r="BT15">
        <f>SUMIFS(T_Shipments[Confirmed_Qty],T_Shipments[RM_Code],$A15,T_Shipments[Effective_Week],71)</f>
        <v/>
      </c>
      <c r="BU15">
        <f>SUMIFS(T_Shipments[Confirmed_Qty],T_Shipments[RM_Code],$A15,T_Shipments[Effective_Week],72)</f>
        <v/>
      </c>
      <c r="BV15">
        <f>SUMIFS(T_Shipments[Confirmed_Qty],T_Shipments[RM_Code],$A15,T_Shipments[Effective_Week],73)</f>
        <v/>
      </c>
      <c r="BW15">
        <f>SUMIFS(T_Shipments[Confirmed_Qty],T_Shipments[RM_Code],$A15,T_Shipments[Effective_Week],74)</f>
        <v/>
      </c>
      <c r="BX15">
        <f>SUMIFS(T_Shipments[Confirmed_Qty],T_Shipments[RM_Code],$A15,T_Shipments[Effective_Week],75)</f>
        <v/>
      </c>
      <c r="BY15">
        <f>SUMIFS(T_Shipments[Confirmed_Qty],T_Shipments[RM_Code],$A15,T_Shipments[Effective_Week],76)</f>
        <v/>
      </c>
      <c r="BZ15">
        <f>SUMIFS(T_Shipments[Confirmed_Qty],T_Shipments[RM_Code],$A15,T_Shipments[Effective_Week],77)</f>
        <v/>
      </c>
      <c r="CA15">
        <f>SUMIFS(T_Shipments[Confirmed_Qty],T_Shipments[RM_Code],$A15,T_Shipments[Effective_Week],78)</f>
        <v/>
      </c>
      <c r="CB15">
        <f>SUMIFS(T_Shipments[Confirmed_Qty],T_Shipments[RM_Code],$A15,T_Shipments[Effective_Week],79)</f>
        <v/>
      </c>
      <c r="CC15">
        <f>SUMIFS(T_Shipments[Confirmed_Qty],T_Shipments[RM_Code],$A15,T_Shipments[Effective_Week],80)</f>
        <v/>
      </c>
      <c r="CD15">
        <f>SUMIFS(T_Shipments[Confirmed_Qty],T_Shipments[RM_Code],$A15,T_Shipments[Effective_Week],81)</f>
        <v/>
      </c>
      <c r="CE15">
        <f>SUMIFS(T_Shipments[Confirmed_Qty],T_Shipments[RM_Code],$A15,T_Shipments[Effective_Week],82)</f>
        <v/>
      </c>
      <c r="CF15">
        <f>SUMIFS(T_Shipments[Confirmed_Qty],T_Shipments[RM_Code],$A15,T_Shipments[Effective_Week],83)</f>
        <v/>
      </c>
      <c r="CG15">
        <f>SUMIFS(T_Shipments[Confirmed_Qty],T_Shipments[RM_Code],$A15,T_Shipments[Effective_Week],84)</f>
        <v/>
      </c>
      <c r="CH15">
        <f>SUMIFS(T_Shipments[Confirmed_Qty],T_Shipments[RM_Code],$A15,T_Shipments[Effective_Week],85)</f>
        <v/>
      </c>
      <c r="CI15">
        <f>SUMIFS(T_Shipments[Confirmed_Qty],T_Shipments[RM_Code],$A15,T_Shipments[Effective_Week],86)</f>
        <v/>
      </c>
      <c r="CJ15">
        <f>SUMIFS(T_Shipments[Confirmed_Qty],T_Shipments[RM_Code],$A15,T_Shipments[Effective_Week],87)</f>
        <v/>
      </c>
      <c r="CK15">
        <f>SUMIFS(T_Shipments[Confirmed_Qty],T_Shipments[RM_Code],$A15,T_Shipments[Effective_Week],88)</f>
        <v/>
      </c>
      <c r="CL15">
        <f>SUMIFS(T_Shipments[Confirmed_Qty],T_Shipments[RM_Code],$A15,T_Shipments[Effective_Week],89)</f>
        <v/>
      </c>
      <c r="CM15">
        <f>SUMIFS(T_Shipments[Confirmed_Qty],T_Shipments[RM_Code],$A15,T_Shipments[Effective_Week],90)</f>
        <v/>
      </c>
      <c r="CN15">
        <f>SUMIFS(T_Shipments[Confirmed_Qty],T_Shipments[RM_Code],$A15,T_Shipments[Effective_Week],91)</f>
        <v/>
      </c>
      <c r="CO15">
        <f>SUMIFS(T_Shipments[Confirmed_Qty],T_Shipments[RM_Code],$A15,T_Shipments[Effective_Week],92)</f>
        <v/>
      </c>
      <c r="CP15">
        <f>SUMIFS(T_Shipments[Confirmed_Qty],T_Shipments[RM_Code],$A15,T_Shipments[Effective_Week],93)</f>
        <v/>
      </c>
      <c r="CQ15">
        <f>SUMIFS(T_Shipments[Confirmed_Qty],T_Shipments[RM_Code],$A15,T_Shipments[Effective_Week],94)</f>
        <v/>
      </c>
      <c r="CR15">
        <f>SUMIFS(T_Shipments[Confirmed_Qty],T_Shipments[RM_Code],$A15,T_Shipments[Effective_Week],95)</f>
        <v/>
      </c>
      <c r="CS15">
        <f>SUMIFS(T_Shipments[Confirmed_Qty],T_Shipments[RM_Code],$A15,T_Shipments[Effective_Week],96)</f>
        <v/>
      </c>
      <c r="CT15">
        <f>SUMIFS(T_Shipments[Confirmed_Qty],T_Shipments[RM_Code],$A15,T_Shipments[Effective_Week],97)</f>
        <v/>
      </c>
      <c r="CU15">
        <f>SUMIFS(T_Shipments[Confirmed_Qty],T_Shipments[RM_Code],$A15,T_Shipments[Effective_Week],98)</f>
        <v/>
      </c>
      <c r="CV15">
        <f>SUMIFS(T_Shipments[Confirmed_Qty],T_Shipments[RM_Code],$A15,T_Shipments[Effective_Week],99)</f>
        <v/>
      </c>
      <c r="CW15">
        <f>SUMIFS(T_Shipments[Confirmed_Qty],T_Shipments[RM_Code],$A15,T_Shipments[Effective_Week],100)</f>
        <v/>
      </c>
      <c r="CX15">
        <f>SUMIFS(T_Shipments[Confirmed_Qty],T_Shipments[RM_Code],$A15,T_Shipments[Effective_Week],101)</f>
        <v/>
      </c>
      <c r="CY15">
        <f>SUMIFS(T_Shipments[Confirmed_Qty],T_Shipments[RM_Code],$A15,T_Shipments[Effective_Week],102)</f>
        <v/>
      </c>
      <c r="CZ15">
        <f>SUMIFS(T_Shipments[Confirmed_Qty],T_Shipments[RM_Code],$A15,T_Shipments[Effective_Week],103)</f>
        <v/>
      </c>
      <c r="DA15">
        <f>SUMIFS(T_Shipments[Confirmed_Qty],T_Shipments[RM_Code],$A15,T_Shipments[Effective_Week],104)</f>
        <v/>
      </c>
    </row>
    <row r="16">
      <c r="A16" t="inlineStr">
        <is>
          <t>7EP</t>
        </is>
      </c>
      <c r="B16">
        <f>SUMIFS(T_Shipments[Confirmed_Qty],T_Shipments[RM_Code],$A16,T_Shipments[Effective_Week],1)</f>
        <v/>
      </c>
      <c r="C16">
        <f>SUMIFS(T_Shipments[Confirmed_Qty],T_Shipments[RM_Code],$A16,T_Shipments[Effective_Week],2)</f>
        <v/>
      </c>
      <c r="D16">
        <f>SUMIFS(T_Shipments[Confirmed_Qty],T_Shipments[RM_Code],$A16,T_Shipments[Effective_Week],3)</f>
        <v/>
      </c>
      <c r="E16">
        <f>SUMIFS(T_Shipments[Confirmed_Qty],T_Shipments[RM_Code],$A16,T_Shipments[Effective_Week],4)</f>
        <v/>
      </c>
      <c r="F16">
        <f>SUMIFS(T_Shipments[Confirmed_Qty],T_Shipments[RM_Code],$A16,T_Shipments[Effective_Week],5)</f>
        <v/>
      </c>
      <c r="G16">
        <f>SUMIFS(T_Shipments[Confirmed_Qty],T_Shipments[RM_Code],$A16,T_Shipments[Effective_Week],6)</f>
        <v/>
      </c>
      <c r="H16">
        <f>SUMIFS(T_Shipments[Confirmed_Qty],T_Shipments[RM_Code],$A16,T_Shipments[Effective_Week],7)</f>
        <v/>
      </c>
      <c r="I16">
        <f>SUMIFS(T_Shipments[Confirmed_Qty],T_Shipments[RM_Code],$A16,T_Shipments[Effective_Week],8)</f>
        <v/>
      </c>
      <c r="J16">
        <f>SUMIFS(T_Shipments[Confirmed_Qty],T_Shipments[RM_Code],$A16,T_Shipments[Effective_Week],9)</f>
        <v/>
      </c>
      <c r="K16">
        <f>SUMIFS(T_Shipments[Confirmed_Qty],T_Shipments[RM_Code],$A16,T_Shipments[Effective_Week],10)</f>
        <v/>
      </c>
      <c r="L16">
        <f>SUMIFS(T_Shipments[Confirmed_Qty],T_Shipments[RM_Code],$A16,T_Shipments[Effective_Week],11)</f>
        <v/>
      </c>
      <c r="M16">
        <f>SUMIFS(T_Shipments[Confirmed_Qty],T_Shipments[RM_Code],$A16,T_Shipments[Effective_Week],12)</f>
        <v/>
      </c>
      <c r="N16">
        <f>SUMIFS(T_Shipments[Confirmed_Qty],T_Shipments[RM_Code],$A16,T_Shipments[Effective_Week],13)</f>
        <v/>
      </c>
      <c r="O16">
        <f>SUMIFS(T_Shipments[Confirmed_Qty],T_Shipments[RM_Code],$A16,T_Shipments[Effective_Week],14)</f>
        <v/>
      </c>
      <c r="P16">
        <f>SUMIFS(T_Shipments[Confirmed_Qty],T_Shipments[RM_Code],$A16,T_Shipments[Effective_Week],15)</f>
        <v/>
      </c>
      <c r="Q16">
        <f>SUMIFS(T_Shipments[Confirmed_Qty],T_Shipments[RM_Code],$A16,T_Shipments[Effective_Week],16)</f>
        <v/>
      </c>
      <c r="R16">
        <f>SUMIFS(T_Shipments[Confirmed_Qty],T_Shipments[RM_Code],$A16,T_Shipments[Effective_Week],17)</f>
        <v/>
      </c>
      <c r="S16">
        <f>SUMIFS(T_Shipments[Confirmed_Qty],T_Shipments[RM_Code],$A16,T_Shipments[Effective_Week],18)</f>
        <v/>
      </c>
      <c r="T16">
        <f>SUMIFS(T_Shipments[Confirmed_Qty],T_Shipments[RM_Code],$A16,T_Shipments[Effective_Week],19)</f>
        <v/>
      </c>
      <c r="U16">
        <f>SUMIFS(T_Shipments[Confirmed_Qty],T_Shipments[RM_Code],$A16,T_Shipments[Effective_Week],20)</f>
        <v/>
      </c>
      <c r="V16">
        <f>SUMIFS(T_Shipments[Confirmed_Qty],T_Shipments[RM_Code],$A16,T_Shipments[Effective_Week],21)</f>
        <v/>
      </c>
      <c r="W16">
        <f>SUMIFS(T_Shipments[Confirmed_Qty],T_Shipments[RM_Code],$A16,T_Shipments[Effective_Week],22)</f>
        <v/>
      </c>
      <c r="X16">
        <f>SUMIFS(T_Shipments[Confirmed_Qty],T_Shipments[RM_Code],$A16,T_Shipments[Effective_Week],23)</f>
        <v/>
      </c>
      <c r="Y16">
        <f>SUMIFS(T_Shipments[Confirmed_Qty],T_Shipments[RM_Code],$A16,T_Shipments[Effective_Week],24)</f>
        <v/>
      </c>
      <c r="Z16">
        <f>SUMIFS(T_Shipments[Confirmed_Qty],T_Shipments[RM_Code],$A16,T_Shipments[Effective_Week],25)</f>
        <v/>
      </c>
      <c r="AA16">
        <f>SUMIFS(T_Shipments[Confirmed_Qty],T_Shipments[RM_Code],$A16,T_Shipments[Effective_Week],26)</f>
        <v/>
      </c>
      <c r="AB16">
        <f>SUMIFS(T_Shipments[Confirmed_Qty],T_Shipments[RM_Code],$A16,T_Shipments[Effective_Week],27)</f>
        <v/>
      </c>
      <c r="AC16">
        <f>SUMIFS(T_Shipments[Confirmed_Qty],T_Shipments[RM_Code],$A16,T_Shipments[Effective_Week],28)</f>
        <v/>
      </c>
      <c r="AD16">
        <f>SUMIFS(T_Shipments[Confirmed_Qty],T_Shipments[RM_Code],$A16,T_Shipments[Effective_Week],29)</f>
        <v/>
      </c>
      <c r="AE16">
        <f>SUMIFS(T_Shipments[Confirmed_Qty],T_Shipments[RM_Code],$A16,T_Shipments[Effective_Week],30)</f>
        <v/>
      </c>
      <c r="AF16">
        <f>SUMIFS(T_Shipments[Confirmed_Qty],T_Shipments[RM_Code],$A16,T_Shipments[Effective_Week],31)</f>
        <v/>
      </c>
      <c r="AG16">
        <f>SUMIFS(T_Shipments[Confirmed_Qty],T_Shipments[RM_Code],$A16,T_Shipments[Effective_Week],32)</f>
        <v/>
      </c>
      <c r="AH16">
        <f>SUMIFS(T_Shipments[Confirmed_Qty],T_Shipments[RM_Code],$A16,T_Shipments[Effective_Week],33)</f>
        <v/>
      </c>
      <c r="AI16">
        <f>SUMIFS(T_Shipments[Confirmed_Qty],T_Shipments[RM_Code],$A16,T_Shipments[Effective_Week],34)</f>
        <v/>
      </c>
      <c r="AJ16">
        <f>SUMIFS(T_Shipments[Confirmed_Qty],T_Shipments[RM_Code],$A16,T_Shipments[Effective_Week],35)</f>
        <v/>
      </c>
      <c r="AK16">
        <f>SUMIFS(T_Shipments[Confirmed_Qty],T_Shipments[RM_Code],$A16,T_Shipments[Effective_Week],36)</f>
        <v/>
      </c>
      <c r="AL16">
        <f>SUMIFS(T_Shipments[Confirmed_Qty],T_Shipments[RM_Code],$A16,T_Shipments[Effective_Week],37)</f>
        <v/>
      </c>
      <c r="AM16">
        <f>SUMIFS(T_Shipments[Confirmed_Qty],T_Shipments[RM_Code],$A16,T_Shipments[Effective_Week],38)</f>
        <v/>
      </c>
      <c r="AN16">
        <f>SUMIFS(T_Shipments[Confirmed_Qty],T_Shipments[RM_Code],$A16,T_Shipments[Effective_Week],39)</f>
        <v/>
      </c>
      <c r="AO16">
        <f>SUMIFS(T_Shipments[Confirmed_Qty],T_Shipments[RM_Code],$A16,T_Shipments[Effective_Week],40)</f>
        <v/>
      </c>
      <c r="AP16">
        <f>SUMIFS(T_Shipments[Confirmed_Qty],T_Shipments[RM_Code],$A16,T_Shipments[Effective_Week],41)</f>
        <v/>
      </c>
      <c r="AQ16">
        <f>SUMIFS(T_Shipments[Confirmed_Qty],T_Shipments[RM_Code],$A16,T_Shipments[Effective_Week],42)</f>
        <v/>
      </c>
      <c r="AR16">
        <f>SUMIFS(T_Shipments[Confirmed_Qty],T_Shipments[RM_Code],$A16,T_Shipments[Effective_Week],43)</f>
        <v/>
      </c>
      <c r="AS16">
        <f>SUMIFS(T_Shipments[Confirmed_Qty],T_Shipments[RM_Code],$A16,T_Shipments[Effective_Week],44)</f>
        <v/>
      </c>
      <c r="AT16">
        <f>SUMIFS(T_Shipments[Confirmed_Qty],T_Shipments[RM_Code],$A16,T_Shipments[Effective_Week],45)</f>
        <v/>
      </c>
      <c r="AU16">
        <f>SUMIFS(T_Shipments[Confirmed_Qty],T_Shipments[RM_Code],$A16,T_Shipments[Effective_Week],46)</f>
        <v/>
      </c>
      <c r="AV16">
        <f>SUMIFS(T_Shipments[Confirmed_Qty],T_Shipments[RM_Code],$A16,T_Shipments[Effective_Week],47)</f>
        <v/>
      </c>
      <c r="AW16">
        <f>SUMIFS(T_Shipments[Confirmed_Qty],T_Shipments[RM_Code],$A16,T_Shipments[Effective_Week],48)</f>
        <v/>
      </c>
      <c r="AX16">
        <f>SUMIFS(T_Shipments[Confirmed_Qty],T_Shipments[RM_Code],$A16,T_Shipments[Effective_Week],49)</f>
        <v/>
      </c>
      <c r="AY16">
        <f>SUMIFS(T_Shipments[Confirmed_Qty],T_Shipments[RM_Code],$A16,T_Shipments[Effective_Week],50)</f>
        <v/>
      </c>
      <c r="AZ16">
        <f>SUMIFS(T_Shipments[Confirmed_Qty],T_Shipments[RM_Code],$A16,T_Shipments[Effective_Week],51)</f>
        <v/>
      </c>
      <c r="BA16">
        <f>SUMIFS(T_Shipments[Confirmed_Qty],T_Shipments[RM_Code],$A16,T_Shipments[Effective_Week],52)</f>
        <v/>
      </c>
      <c r="BB16">
        <f>SUMIFS(T_Shipments[Confirmed_Qty],T_Shipments[RM_Code],$A16,T_Shipments[Effective_Week],53)</f>
        <v/>
      </c>
      <c r="BC16">
        <f>SUMIFS(T_Shipments[Confirmed_Qty],T_Shipments[RM_Code],$A16,T_Shipments[Effective_Week],54)</f>
        <v/>
      </c>
      <c r="BD16">
        <f>SUMIFS(T_Shipments[Confirmed_Qty],T_Shipments[RM_Code],$A16,T_Shipments[Effective_Week],55)</f>
        <v/>
      </c>
      <c r="BE16">
        <f>SUMIFS(T_Shipments[Confirmed_Qty],T_Shipments[RM_Code],$A16,T_Shipments[Effective_Week],56)</f>
        <v/>
      </c>
      <c r="BF16">
        <f>SUMIFS(T_Shipments[Confirmed_Qty],T_Shipments[RM_Code],$A16,T_Shipments[Effective_Week],57)</f>
        <v/>
      </c>
      <c r="BG16">
        <f>SUMIFS(T_Shipments[Confirmed_Qty],T_Shipments[RM_Code],$A16,T_Shipments[Effective_Week],58)</f>
        <v/>
      </c>
      <c r="BH16">
        <f>SUMIFS(T_Shipments[Confirmed_Qty],T_Shipments[RM_Code],$A16,T_Shipments[Effective_Week],59)</f>
        <v/>
      </c>
      <c r="BI16">
        <f>SUMIFS(T_Shipments[Confirmed_Qty],T_Shipments[RM_Code],$A16,T_Shipments[Effective_Week],60)</f>
        <v/>
      </c>
      <c r="BJ16">
        <f>SUMIFS(T_Shipments[Confirmed_Qty],T_Shipments[RM_Code],$A16,T_Shipments[Effective_Week],61)</f>
        <v/>
      </c>
      <c r="BK16">
        <f>SUMIFS(T_Shipments[Confirmed_Qty],T_Shipments[RM_Code],$A16,T_Shipments[Effective_Week],62)</f>
        <v/>
      </c>
      <c r="BL16">
        <f>SUMIFS(T_Shipments[Confirmed_Qty],T_Shipments[RM_Code],$A16,T_Shipments[Effective_Week],63)</f>
        <v/>
      </c>
      <c r="BM16">
        <f>SUMIFS(T_Shipments[Confirmed_Qty],T_Shipments[RM_Code],$A16,T_Shipments[Effective_Week],64)</f>
        <v/>
      </c>
      <c r="BN16">
        <f>SUMIFS(T_Shipments[Confirmed_Qty],T_Shipments[RM_Code],$A16,T_Shipments[Effective_Week],65)</f>
        <v/>
      </c>
      <c r="BO16">
        <f>SUMIFS(T_Shipments[Confirmed_Qty],T_Shipments[RM_Code],$A16,T_Shipments[Effective_Week],66)</f>
        <v/>
      </c>
      <c r="BP16">
        <f>SUMIFS(T_Shipments[Confirmed_Qty],T_Shipments[RM_Code],$A16,T_Shipments[Effective_Week],67)</f>
        <v/>
      </c>
      <c r="BQ16">
        <f>SUMIFS(T_Shipments[Confirmed_Qty],T_Shipments[RM_Code],$A16,T_Shipments[Effective_Week],68)</f>
        <v/>
      </c>
      <c r="BR16">
        <f>SUMIFS(T_Shipments[Confirmed_Qty],T_Shipments[RM_Code],$A16,T_Shipments[Effective_Week],69)</f>
        <v/>
      </c>
      <c r="BS16">
        <f>SUMIFS(T_Shipments[Confirmed_Qty],T_Shipments[RM_Code],$A16,T_Shipments[Effective_Week],70)</f>
        <v/>
      </c>
      <c r="BT16">
        <f>SUMIFS(T_Shipments[Confirmed_Qty],T_Shipments[RM_Code],$A16,T_Shipments[Effective_Week],71)</f>
        <v/>
      </c>
      <c r="BU16">
        <f>SUMIFS(T_Shipments[Confirmed_Qty],T_Shipments[RM_Code],$A16,T_Shipments[Effective_Week],72)</f>
        <v/>
      </c>
      <c r="BV16">
        <f>SUMIFS(T_Shipments[Confirmed_Qty],T_Shipments[RM_Code],$A16,T_Shipments[Effective_Week],73)</f>
        <v/>
      </c>
      <c r="BW16">
        <f>SUMIFS(T_Shipments[Confirmed_Qty],T_Shipments[RM_Code],$A16,T_Shipments[Effective_Week],74)</f>
        <v/>
      </c>
      <c r="BX16">
        <f>SUMIFS(T_Shipments[Confirmed_Qty],T_Shipments[RM_Code],$A16,T_Shipments[Effective_Week],75)</f>
        <v/>
      </c>
      <c r="BY16">
        <f>SUMIFS(T_Shipments[Confirmed_Qty],T_Shipments[RM_Code],$A16,T_Shipments[Effective_Week],76)</f>
        <v/>
      </c>
      <c r="BZ16">
        <f>SUMIFS(T_Shipments[Confirmed_Qty],T_Shipments[RM_Code],$A16,T_Shipments[Effective_Week],77)</f>
        <v/>
      </c>
      <c r="CA16">
        <f>SUMIFS(T_Shipments[Confirmed_Qty],T_Shipments[RM_Code],$A16,T_Shipments[Effective_Week],78)</f>
        <v/>
      </c>
      <c r="CB16">
        <f>SUMIFS(T_Shipments[Confirmed_Qty],T_Shipments[RM_Code],$A16,T_Shipments[Effective_Week],79)</f>
        <v/>
      </c>
      <c r="CC16">
        <f>SUMIFS(T_Shipments[Confirmed_Qty],T_Shipments[RM_Code],$A16,T_Shipments[Effective_Week],80)</f>
        <v/>
      </c>
      <c r="CD16">
        <f>SUMIFS(T_Shipments[Confirmed_Qty],T_Shipments[RM_Code],$A16,T_Shipments[Effective_Week],81)</f>
        <v/>
      </c>
      <c r="CE16">
        <f>SUMIFS(T_Shipments[Confirmed_Qty],T_Shipments[RM_Code],$A16,T_Shipments[Effective_Week],82)</f>
        <v/>
      </c>
      <c r="CF16">
        <f>SUMIFS(T_Shipments[Confirmed_Qty],T_Shipments[RM_Code],$A16,T_Shipments[Effective_Week],83)</f>
        <v/>
      </c>
      <c r="CG16">
        <f>SUMIFS(T_Shipments[Confirmed_Qty],T_Shipments[RM_Code],$A16,T_Shipments[Effective_Week],84)</f>
        <v/>
      </c>
      <c r="CH16">
        <f>SUMIFS(T_Shipments[Confirmed_Qty],T_Shipments[RM_Code],$A16,T_Shipments[Effective_Week],85)</f>
        <v/>
      </c>
      <c r="CI16">
        <f>SUMIFS(T_Shipments[Confirmed_Qty],T_Shipments[RM_Code],$A16,T_Shipments[Effective_Week],86)</f>
        <v/>
      </c>
      <c r="CJ16">
        <f>SUMIFS(T_Shipments[Confirmed_Qty],T_Shipments[RM_Code],$A16,T_Shipments[Effective_Week],87)</f>
        <v/>
      </c>
      <c r="CK16">
        <f>SUMIFS(T_Shipments[Confirmed_Qty],T_Shipments[RM_Code],$A16,T_Shipments[Effective_Week],88)</f>
        <v/>
      </c>
      <c r="CL16">
        <f>SUMIFS(T_Shipments[Confirmed_Qty],T_Shipments[RM_Code],$A16,T_Shipments[Effective_Week],89)</f>
        <v/>
      </c>
      <c r="CM16">
        <f>SUMIFS(T_Shipments[Confirmed_Qty],T_Shipments[RM_Code],$A16,T_Shipments[Effective_Week],90)</f>
        <v/>
      </c>
      <c r="CN16">
        <f>SUMIFS(T_Shipments[Confirmed_Qty],T_Shipments[RM_Code],$A16,T_Shipments[Effective_Week],91)</f>
        <v/>
      </c>
      <c r="CO16">
        <f>SUMIFS(T_Shipments[Confirmed_Qty],T_Shipments[RM_Code],$A16,T_Shipments[Effective_Week],92)</f>
        <v/>
      </c>
      <c r="CP16">
        <f>SUMIFS(T_Shipments[Confirmed_Qty],T_Shipments[RM_Code],$A16,T_Shipments[Effective_Week],93)</f>
        <v/>
      </c>
      <c r="CQ16">
        <f>SUMIFS(T_Shipments[Confirmed_Qty],T_Shipments[RM_Code],$A16,T_Shipments[Effective_Week],94)</f>
        <v/>
      </c>
      <c r="CR16">
        <f>SUMIFS(T_Shipments[Confirmed_Qty],T_Shipments[RM_Code],$A16,T_Shipments[Effective_Week],95)</f>
        <v/>
      </c>
      <c r="CS16">
        <f>SUMIFS(T_Shipments[Confirmed_Qty],T_Shipments[RM_Code],$A16,T_Shipments[Effective_Week],96)</f>
        <v/>
      </c>
      <c r="CT16">
        <f>SUMIFS(T_Shipments[Confirmed_Qty],T_Shipments[RM_Code],$A16,T_Shipments[Effective_Week],97)</f>
        <v/>
      </c>
      <c r="CU16">
        <f>SUMIFS(T_Shipments[Confirmed_Qty],T_Shipments[RM_Code],$A16,T_Shipments[Effective_Week],98)</f>
        <v/>
      </c>
      <c r="CV16">
        <f>SUMIFS(T_Shipments[Confirmed_Qty],T_Shipments[RM_Code],$A16,T_Shipments[Effective_Week],99)</f>
        <v/>
      </c>
      <c r="CW16">
        <f>SUMIFS(T_Shipments[Confirmed_Qty],T_Shipments[RM_Code],$A16,T_Shipments[Effective_Week],100)</f>
        <v/>
      </c>
      <c r="CX16">
        <f>SUMIFS(T_Shipments[Confirmed_Qty],T_Shipments[RM_Code],$A16,T_Shipments[Effective_Week],101)</f>
        <v/>
      </c>
      <c r="CY16">
        <f>SUMIFS(T_Shipments[Confirmed_Qty],T_Shipments[RM_Code],$A16,T_Shipments[Effective_Week],102)</f>
        <v/>
      </c>
      <c r="CZ16">
        <f>SUMIFS(T_Shipments[Confirmed_Qty],T_Shipments[RM_Code],$A16,T_Shipments[Effective_Week],103)</f>
        <v/>
      </c>
      <c r="DA16">
        <f>SUMIFS(T_Shipments[Confirmed_Qty],T_Shipments[RM_Code],$A16,T_Shipments[Effective_Week],104)</f>
        <v/>
      </c>
    </row>
    <row r="17">
      <c r="A17" t="inlineStr">
        <is>
          <t>F2290</t>
        </is>
      </c>
      <c r="B17">
        <f>SUMIFS(T_Shipments[Confirmed_Qty],T_Shipments[RM_Code],$A17,T_Shipments[Effective_Week],1)</f>
        <v/>
      </c>
      <c r="C17">
        <f>SUMIFS(T_Shipments[Confirmed_Qty],T_Shipments[RM_Code],$A17,T_Shipments[Effective_Week],2)</f>
        <v/>
      </c>
      <c r="D17">
        <f>SUMIFS(T_Shipments[Confirmed_Qty],T_Shipments[RM_Code],$A17,T_Shipments[Effective_Week],3)</f>
        <v/>
      </c>
      <c r="E17">
        <f>SUMIFS(T_Shipments[Confirmed_Qty],T_Shipments[RM_Code],$A17,T_Shipments[Effective_Week],4)</f>
        <v/>
      </c>
      <c r="F17">
        <f>SUMIFS(T_Shipments[Confirmed_Qty],T_Shipments[RM_Code],$A17,T_Shipments[Effective_Week],5)</f>
        <v/>
      </c>
      <c r="G17">
        <f>SUMIFS(T_Shipments[Confirmed_Qty],T_Shipments[RM_Code],$A17,T_Shipments[Effective_Week],6)</f>
        <v/>
      </c>
      <c r="H17">
        <f>SUMIFS(T_Shipments[Confirmed_Qty],T_Shipments[RM_Code],$A17,T_Shipments[Effective_Week],7)</f>
        <v/>
      </c>
      <c r="I17">
        <f>SUMIFS(T_Shipments[Confirmed_Qty],T_Shipments[RM_Code],$A17,T_Shipments[Effective_Week],8)</f>
        <v/>
      </c>
      <c r="J17">
        <f>SUMIFS(T_Shipments[Confirmed_Qty],T_Shipments[RM_Code],$A17,T_Shipments[Effective_Week],9)</f>
        <v/>
      </c>
      <c r="K17">
        <f>SUMIFS(T_Shipments[Confirmed_Qty],T_Shipments[RM_Code],$A17,T_Shipments[Effective_Week],10)</f>
        <v/>
      </c>
      <c r="L17">
        <f>SUMIFS(T_Shipments[Confirmed_Qty],T_Shipments[RM_Code],$A17,T_Shipments[Effective_Week],11)</f>
        <v/>
      </c>
      <c r="M17">
        <f>SUMIFS(T_Shipments[Confirmed_Qty],T_Shipments[RM_Code],$A17,T_Shipments[Effective_Week],12)</f>
        <v/>
      </c>
      <c r="N17">
        <f>SUMIFS(T_Shipments[Confirmed_Qty],T_Shipments[RM_Code],$A17,T_Shipments[Effective_Week],13)</f>
        <v/>
      </c>
      <c r="O17">
        <f>SUMIFS(T_Shipments[Confirmed_Qty],T_Shipments[RM_Code],$A17,T_Shipments[Effective_Week],14)</f>
        <v/>
      </c>
      <c r="P17">
        <f>SUMIFS(T_Shipments[Confirmed_Qty],T_Shipments[RM_Code],$A17,T_Shipments[Effective_Week],15)</f>
        <v/>
      </c>
      <c r="Q17">
        <f>SUMIFS(T_Shipments[Confirmed_Qty],T_Shipments[RM_Code],$A17,T_Shipments[Effective_Week],16)</f>
        <v/>
      </c>
      <c r="R17">
        <f>SUMIFS(T_Shipments[Confirmed_Qty],T_Shipments[RM_Code],$A17,T_Shipments[Effective_Week],17)</f>
        <v/>
      </c>
      <c r="S17">
        <f>SUMIFS(T_Shipments[Confirmed_Qty],T_Shipments[RM_Code],$A17,T_Shipments[Effective_Week],18)</f>
        <v/>
      </c>
      <c r="T17">
        <f>SUMIFS(T_Shipments[Confirmed_Qty],T_Shipments[RM_Code],$A17,T_Shipments[Effective_Week],19)</f>
        <v/>
      </c>
      <c r="U17">
        <f>SUMIFS(T_Shipments[Confirmed_Qty],T_Shipments[RM_Code],$A17,T_Shipments[Effective_Week],20)</f>
        <v/>
      </c>
      <c r="V17">
        <f>SUMIFS(T_Shipments[Confirmed_Qty],T_Shipments[RM_Code],$A17,T_Shipments[Effective_Week],21)</f>
        <v/>
      </c>
      <c r="W17">
        <f>SUMIFS(T_Shipments[Confirmed_Qty],T_Shipments[RM_Code],$A17,T_Shipments[Effective_Week],22)</f>
        <v/>
      </c>
      <c r="X17">
        <f>SUMIFS(T_Shipments[Confirmed_Qty],T_Shipments[RM_Code],$A17,T_Shipments[Effective_Week],23)</f>
        <v/>
      </c>
      <c r="Y17">
        <f>SUMIFS(T_Shipments[Confirmed_Qty],T_Shipments[RM_Code],$A17,T_Shipments[Effective_Week],24)</f>
        <v/>
      </c>
      <c r="Z17">
        <f>SUMIFS(T_Shipments[Confirmed_Qty],T_Shipments[RM_Code],$A17,T_Shipments[Effective_Week],25)</f>
        <v/>
      </c>
      <c r="AA17">
        <f>SUMIFS(T_Shipments[Confirmed_Qty],T_Shipments[RM_Code],$A17,T_Shipments[Effective_Week],26)</f>
        <v/>
      </c>
      <c r="AB17">
        <f>SUMIFS(T_Shipments[Confirmed_Qty],T_Shipments[RM_Code],$A17,T_Shipments[Effective_Week],27)</f>
        <v/>
      </c>
      <c r="AC17">
        <f>SUMIFS(T_Shipments[Confirmed_Qty],T_Shipments[RM_Code],$A17,T_Shipments[Effective_Week],28)</f>
        <v/>
      </c>
      <c r="AD17">
        <f>SUMIFS(T_Shipments[Confirmed_Qty],T_Shipments[RM_Code],$A17,T_Shipments[Effective_Week],29)</f>
        <v/>
      </c>
      <c r="AE17">
        <f>SUMIFS(T_Shipments[Confirmed_Qty],T_Shipments[RM_Code],$A17,T_Shipments[Effective_Week],30)</f>
        <v/>
      </c>
      <c r="AF17">
        <f>SUMIFS(T_Shipments[Confirmed_Qty],T_Shipments[RM_Code],$A17,T_Shipments[Effective_Week],31)</f>
        <v/>
      </c>
      <c r="AG17">
        <f>SUMIFS(T_Shipments[Confirmed_Qty],T_Shipments[RM_Code],$A17,T_Shipments[Effective_Week],32)</f>
        <v/>
      </c>
      <c r="AH17">
        <f>SUMIFS(T_Shipments[Confirmed_Qty],T_Shipments[RM_Code],$A17,T_Shipments[Effective_Week],33)</f>
        <v/>
      </c>
      <c r="AI17">
        <f>SUMIFS(T_Shipments[Confirmed_Qty],T_Shipments[RM_Code],$A17,T_Shipments[Effective_Week],34)</f>
        <v/>
      </c>
      <c r="AJ17">
        <f>SUMIFS(T_Shipments[Confirmed_Qty],T_Shipments[RM_Code],$A17,T_Shipments[Effective_Week],35)</f>
        <v/>
      </c>
      <c r="AK17">
        <f>SUMIFS(T_Shipments[Confirmed_Qty],T_Shipments[RM_Code],$A17,T_Shipments[Effective_Week],36)</f>
        <v/>
      </c>
      <c r="AL17">
        <f>SUMIFS(T_Shipments[Confirmed_Qty],T_Shipments[RM_Code],$A17,T_Shipments[Effective_Week],37)</f>
        <v/>
      </c>
      <c r="AM17">
        <f>SUMIFS(T_Shipments[Confirmed_Qty],T_Shipments[RM_Code],$A17,T_Shipments[Effective_Week],38)</f>
        <v/>
      </c>
      <c r="AN17">
        <f>SUMIFS(T_Shipments[Confirmed_Qty],T_Shipments[RM_Code],$A17,T_Shipments[Effective_Week],39)</f>
        <v/>
      </c>
      <c r="AO17">
        <f>SUMIFS(T_Shipments[Confirmed_Qty],T_Shipments[RM_Code],$A17,T_Shipments[Effective_Week],40)</f>
        <v/>
      </c>
      <c r="AP17">
        <f>SUMIFS(T_Shipments[Confirmed_Qty],T_Shipments[RM_Code],$A17,T_Shipments[Effective_Week],41)</f>
        <v/>
      </c>
      <c r="AQ17">
        <f>SUMIFS(T_Shipments[Confirmed_Qty],T_Shipments[RM_Code],$A17,T_Shipments[Effective_Week],42)</f>
        <v/>
      </c>
      <c r="AR17">
        <f>SUMIFS(T_Shipments[Confirmed_Qty],T_Shipments[RM_Code],$A17,T_Shipments[Effective_Week],43)</f>
        <v/>
      </c>
      <c r="AS17">
        <f>SUMIFS(T_Shipments[Confirmed_Qty],T_Shipments[RM_Code],$A17,T_Shipments[Effective_Week],44)</f>
        <v/>
      </c>
      <c r="AT17">
        <f>SUMIFS(T_Shipments[Confirmed_Qty],T_Shipments[RM_Code],$A17,T_Shipments[Effective_Week],45)</f>
        <v/>
      </c>
      <c r="AU17">
        <f>SUMIFS(T_Shipments[Confirmed_Qty],T_Shipments[RM_Code],$A17,T_Shipments[Effective_Week],46)</f>
        <v/>
      </c>
      <c r="AV17">
        <f>SUMIFS(T_Shipments[Confirmed_Qty],T_Shipments[RM_Code],$A17,T_Shipments[Effective_Week],47)</f>
        <v/>
      </c>
      <c r="AW17">
        <f>SUMIFS(T_Shipments[Confirmed_Qty],T_Shipments[RM_Code],$A17,T_Shipments[Effective_Week],48)</f>
        <v/>
      </c>
      <c r="AX17">
        <f>SUMIFS(T_Shipments[Confirmed_Qty],T_Shipments[RM_Code],$A17,T_Shipments[Effective_Week],49)</f>
        <v/>
      </c>
      <c r="AY17">
        <f>SUMIFS(T_Shipments[Confirmed_Qty],T_Shipments[RM_Code],$A17,T_Shipments[Effective_Week],50)</f>
        <v/>
      </c>
      <c r="AZ17">
        <f>SUMIFS(T_Shipments[Confirmed_Qty],T_Shipments[RM_Code],$A17,T_Shipments[Effective_Week],51)</f>
        <v/>
      </c>
      <c r="BA17">
        <f>SUMIFS(T_Shipments[Confirmed_Qty],T_Shipments[RM_Code],$A17,T_Shipments[Effective_Week],52)</f>
        <v/>
      </c>
      <c r="BB17">
        <f>SUMIFS(T_Shipments[Confirmed_Qty],T_Shipments[RM_Code],$A17,T_Shipments[Effective_Week],53)</f>
        <v/>
      </c>
      <c r="BC17">
        <f>SUMIFS(T_Shipments[Confirmed_Qty],T_Shipments[RM_Code],$A17,T_Shipments[Effective_Week],54)</f>
        <v/>
      </c>
      <c r="BD17">
        <f>SUMIFS(T_Shipments[Confirmed_Qty],T_Shipments[RM_Code],$A17,T_Shipments[Effective_Week],55)</f>
        <v/>
      </c>
      <c r="BE17">
        <f>SUMIFS(T_Shipments[Confirmed_Qty],T_Shipments[RM_Code],$A17,T_Shipments[Effective_Week],56)</f>
        <v/>
      </c>
      <c r="BF17">
        <f>SUMIFS(T_Shipments[Confirmed_Qty],T_Shipments[RM_Code],$A17,T_Shipments[Effective_Week],57)</f>
        <v/>
      </c>
      <c r="BG17">
        <f>SUMIFS(T_Shipments[Confirmed_Qty],T_Shipments[RM_Code],$A17,T_Shipments[Effective_Week],58)</f>
        <v/>
      </c>
      <c r="BH17">
        <f>SUMIFS(T_Shipments[Confirmed_Qty],T_Shipments[RM_Code],$A17,T_Shipments[Effective_Week],59)</f>
        <v/>
      </c>
      <c r="BI17">
        <f>SUMIFS(T_Shipments[Confirmed_Qty],T_Shipments[RM_Code],$A17,T_Shipments[Effective_Week],60)</f>
        <v/>
      </c>
      <c r="BJ17">
        <f>SUMIFS(T_Shipments[Confirmed_Qty],T_Shipments[RM_Code],$A17,T_Shipments[Effective_Week],61)</f>
        <v/>
      </c>
      <c r="BK17">
        <f>SUMIFS(T_Shipments[Confirmed_Qty],T_Shipments[RM_Code],$A17,T_Shipments[Effective_Week],62)</f>
        <v/>
      </c>
      <c r="BL17">
        <f>SUMIFS(T_Shipments[Confirmed_Qty],T_Shipments[RM_Code],$A17,T_Shipments[Effective_Week],63)</f>
        <v/>
      </c>
      <c r="BM17">
        <f>SUMIFS(T_Shipments[Confirmed_Qty],T_Shipments[RM_Code],$A17,T_Shipments[Effective_Week],64)</f>
        <v/>
      </c>
      <c r="BN17">
        <f>SUMIFS(T_Shipments[Confirmed_Qty],T_Shipments[RM_Code],$A17,T_Shipments[Effective_Week],65)</f>
        <v/>
      </c>
      <c r="BO17">
        <f>SUMIFS(T_Shipments[Confirmed_Qty],T_Shipments[RM_Code],$A17,T_Shipments[Effective_Week],66)</f>
        <v/>
      </c>
      <c r="BP17">
        <f>SUMIFS(T_Shipments[Confirmed_Qty],T_Shipments[RM_Code],$A17,T_Shipments[Effective_Week],67)</f>
        <v/>
      </c>
      <c r="BQ17">
        <f>SUMIFS(T_Shipments[Confirmed_Qty],T_Shipments[RM_Code],$A17,T_Shipments[Effective_Week],68)</f>
        <v/>
      </c>
      <c r="BR17">
        <f>SUMIFS(T_Shipments[Confirmed_Qty],T_Shipments[RM_Code],$A17,T_Shipments[Effective_Week],69)</f>
        <v/>
      </c>
      <c r="BS17">
        <f>SUMIFS(T_Shipments[Confirmed_Qty],T_Shipments[RM_Code],$A17,T_Shipments[Effective_Week],70)</f>
        <v/>
      </c>
      <c r="BT17">
        <f>SUMIFS(T_Shipments[Confirmed_Qty],T_Shipments[RM_Code],$A17,T_Shipments[Effective_Week],71)</f>
        <v/>
      </c>
      <c r="BU17">
        <f>SUMIFS(T_Shipments[Confirmed_Qty],T_Shipments[RM_Code],$A17,T_Shipments[Effective_Week],72)</f>
        <v/>
      </c>
      <c r="BV17">
        <f>SUMIFS(T_Shipments[Confirmed_Qty],T_Shipments[RM_Code],$A17,T_Shipments[Effective_Week],73)</f>
        <v/>
      </c>
      <c r="BW17">
        <f>SUMIFS(T_Shipments[Confirmed_Qty],T_Shipments[RM_Code],$A17,T_Shipments[Effective_Week],74)</f>
        <v/>
      </c>
      <c r="BX17">
        <f>SUMIFS(T_Shipments[Confirmed_Qty],T_Shipments[RM_Code],$A17,T_Shipments[Effective_Week],75)</f>
        <v/>
      </c>
      <c r="BY17">
        <f>SUMIFS(T_Shipments[Confirmed_Qty],T_Shipments[RM_Code],$A17,T_Shipments[Effective_Week],76)</f>
        <v/>
      </c>
      <c r="BZ17">
        <f>SUMIFS(T_Shipments[Confirmed_Qty],T_Shipments[RM_Code],$A17,T_Shipments[Effective_Week],77)</f>
        <v/>
      </c>
      <c r="CA17">
        <f>SUMIFS(T_Shipments[Confirmed_Qty],T_Shipments[RM_Code],$A17,T_Shipments[Effective_Week],78)</f>
        <v/>
      </c>
      <c r="CB17">
        <f>SUMIFS(T_Shipments[Confirmed_Qty],T_Shipments[RM_Code],$A17,T_Shipments[Effective_Week],79)</f>
        <v/>
      </c>
      <c r="CC17">
        <f>SUMIFS(T_Shipments[Confirmed_Qty],T_Shipments[RM_Code],$A17,T_Shipments[Effective_Week],80)</f>
        <v/>
      </c>
      <c r="CD17">
        <f>SUMIFS(T_Shipments[Confirmed_Qty],T_Shipments[RM_Code],$A17,T_Shipments[Effective_Week],81)</f>
        <v/>
      </c>
      <c r="CE17">
        <f>SUMIFS(T_Shipments[Confirmed_Qty],T_Shipments[RM_Code],$A17,T_Shipments[Effective_Week],82)</f>
        <v/>
      </c>
      <c r="CF17">
        <f>SUMIFS(T_Shipments[Confirmed_Qty],T_Shipments[RM_Code],$A17,T_Shipments[Effective_Week],83)</f>
        <v/>
      </c>
      <c r="CG17">
        <f>SUMIFS(T_Shipments[Confirmed_Qty],T_Shipments[RM_Code],$A17,T_Shipments[Effective_Week],84)</f>
        <v/>
      </c>
      <c r="CH17">
        <f>SUMIFS(T_Shipments[Confirmed_Qty],T_Shipments[RM_Code],$A17,T_Shipments[Effective_Week],85)</f>
        <v/>
      </c>
      <c r="CI17">
        <f>SUMIFS(T_Shipments[Confirmed_Qty],T_Shipments[RM_Code],$A17,T_Shipments[Effective_Week],86)</f>
        <v/>
      </c>
      <c r="CJ17">
        <f>SUMIFS(T_Shipments[Confirmed_Qty],T_Shipments[RM_Code],$A17,T_Shipments[Effective_Week],87)</f>
        <v/>
      </c>
      <c r="CK17">
        <f>SUMIFS(T_Shipments[Confirmed_Qty],T_Shipments[RM_Code],$A17,T_Shipments[Effective_Week],88)</f>
        <v/>
      </c>
      <c r="CL17">
        <f>SUMIFS(T_Shipments[Confirmed_Qty],T_Shipments[RM_Code],$A17,T_Shipments[Effective_Week],89)</f>
        <v/>
      </c>
      <c r="CM17">
        <f>SUMIFS(T_Shipments[Confirmed_Qty],T_Shipments[RM_Code],$A17,T_Shipments[Effective_Week],90)</f>
        <v/>
      </c>
      <c r="CN17">
        <f>SUMIFS(T_Shipments[Confirmed_Qty],T_Shipments[RM_Code],$A17,T_Shipments[Effective_Week],91)</f>
        <v/>
      </c>
      <c r="CO17">
        <f>SUMIFS(T_Shipments[Confirmed_Qty],T_Shipments[RM_Code],$A17,T_Shipments[Effective_Week],92)</f>
        <v/>
      </c>
      <c r="CP17">
        <f>SUMIFS(T_Shipments[Confirmed_Qty],T_Shipments[RM_Code],$A17,T_Shipments[Effective_Week],93)</f>
        <v/>
      </c>
      <c r="CQ17">
        <f>SUMIFS(T_Shipments[Confirmed_Qty],T_Shipments[RM_Code],$A17,T_Shipments[Effective_Week],94)</f>
        <v/>
      </c>
      <c r="CR17">
        <f>SUMIFS(T_Shipments[Confirmed_Qty],T_Shipments[RM_Code],$A17,T_Shipments[Effective_Week],95)</f>
        <v/>
      </c>
      <c r="CS17">
        <f>SUMIFS(T_Shipments[Confirmed_Qty],T_Shipments[RM_Code],$A17,T_Shipments[Effective_Week],96)</f>
        <v/>
      </c>
      <c r="CT17">
        <f>SUMIFS(T_Shipments[Confirmed_Qty],T_Shipments[RM_Code],$A17,T_Shipments[Effective_Week],97)</f>
        <v/>
      </c>
      <c r="CU17">
        <f>SUMIFS(T_Shipments[Confirmed_Qty],T_Shipments[RM_Code],$A17,T_Shipments[Effective_Week],98)</f>
        <v/>
      </c>
      <c r="CV17">
        <f>SUMIFS(T_Shipments[Confirmed_Qty],T_Shipments[RM_Code],$A17,T_Shipments[Effective_Week],99)</f>
        <v/>
      </c>
      <c r="CW17">
        <f>SUMIFS(T_Shipments[Confirmed_Qty],T_Shipments[RM_Code],$A17,T_Shipments[Effective_Week],100)</f>
        <v/>
      </c>
      <c r="CX17">
        <f>SUMIFS(T_Shipments[Confirmed_Qty],T_Shipments[RM_Code],$A17,T_Shipments[Effective_Week],101)</f>
        <v/>
      </c>
      <c r="CY17">
        <f>SUMIFS(T_Shipments[Confirmed_Qty],T_Shipments[RM_Code],$A17,T_Shipments[Effective_Week],102)</f>
        <v/>
      </c>
      <c r="CZ17">
        <f>SUMIFS(T_Shipments[Confirmed_Qty],T_Shipments[RM_Code],$A17,T_Shipments[Effective_Week],103)</f>
        <v/>
      </c>
      <c r="DA17">
        <f>SUMIFS(T_Shipments[Confirmed_Qty],T_Shipments[RM_Code],$A17,T_Shipments[Effective_Week],104)</f>
        <v/>
      </c>
    </row>
    <row r="18">
      <c r="A18" t="inlineStr">
        <is>
          <t>CHEM-1400</t>
        </is>
      </c>
      <c r="B18">
        <f>SUMIFS(T_Shipments[Confirmed_Qty],T_Shipments[RM_Code],$A18,T_Shipments[Effective_Week],1)</f>
        <v/>
      </c>
      <c r="C18">
        <f>SUMIFS(T_Shipments[Confirmed_Qty],T_Shipments[RM_Code],$A18,T_Shipments[Effective_Week],2)</f>
        <v/>
      </c>
      <c r="D18">
        <f>SUMIFS(T_Shipments[Confirmed_Qty],T_Shipments[RM_Code],$A18,T_Shipments[Effective_Week],3)</f>
        <v/>
      </c>
      <c r="E18">
        <f>SUMIFS(T_Shipments[Confirmed_Qty],T_Shipments[RM_Code],$A18,T_Shipments[Effective_Week],4)</f>
        <v/>
      </c>
      <c r="F18">
        <f>SUMIFS(T_Shipments[Confirmed_Qty],T_Shipments[RM_Code],$A18,T_Shipments[Effective_Week],5)</f>
        <v/>
      </c>
      <c r="G18">
        <f>SUMIFS(T_Shipments[Confirmed_Qty],T_Shipments[RM_Code],$A18,T_Shipments[Effective_Week],6)</f>
        <v/>
      </c>
      <c r="H18">
        <f>SUMIFS(T_Shipments[Confirmed_Qty],T_Shipments[RM_Code],$A18,T_Shipments[Effective_Week],7)</f>
        <v/>
      </c>
      <c r="I18">
        <f>SUMIFS(T_Shipments[Confirmed_Qty],T_Shipments[RM_Code],$A18,T_Shipments[Effective_Week],8)</f>
        <v/>
      </c>
      <c r="J18">
        <f>SUMIFS(T_Shipments[Confirmed_Qty],T_Shipments[RM_Code],$A18,T_Shipments[Effective_Week],9)</f>
        <v/>
      </c>
      <c r="K18">
        <f>SUMIFS(T_Shipments[Confirmed_Qty],T_Shipments[RM_Code],$A18,T_Shipments[Effective_Week],10)</f>
        <v/>
      </c>
      <c r="L18">
        <f>SUMIFS(T_Shipments[Confirmed_Qty],T_Shipments[RM_Code],$A18,T_Shipments[Effective_Week],11)</f>
        <v/>
      </c>
      <c r="M18">
        <f>SUMIFS(T_Shipments[Confirmed_Qty],T_Shipments[RM_Code],$A18,T_Shipments[Effective_Week],12)</f>
        <v/>
      </c>
      <c r="N18">
        <f>SUMIFS(T_Shipments[Confirmed_Qty],T_Shipments[RM_Code],$A18,T_Shipments[Effective_Week],13)</f>
        <v/>
      </c>
      <c r="O18">
        <f>SUMIFS(T_Shipments[Confirmed_Qty],T_Shipments[RM_Code],$A18,T_Shipments[Effective_Week],14)</f>
        <v/>
      </c>
      <c r="P18">
        <f>SUMIFS(T_Shipments[Confirmed_Qty],T_Shipments[RM_Code],$A18,T_Shipments[Effective_Week],15)</f>
        <v/>
      </c>
      <c r="Q18">
        <f>SUMIFS(T_Shipments[Confirmed_Qty],T_Shipments[RM_Code],$A18,T_Shipments[Effective_Week],16)</f>
        <v/>
      </c>
      <c r="R18">
        <f>SUMIFS(T_Shipments[Confirmed_Qty],T_Shipments[RM_Code],$A18,T_Shipments[Effective_Week],17)</f>
        <v/>
      </c>
      <c r="S18">
        <f>SUMIFS(T_Shipments[Confirmed_Qty],T_Shipments[RM_Code],$A18,T_Shipments[Effective_Week],18)</f>
        <v/>
      </c>
      <c r="T18">
        <f>SUMIFS(T_Shipments[Confirmed_Qty],T_Shipments[RM_Code],$A18,T_Shipments[Effective_Week],19)</f>
        <v/>
      </c>
      <c r="U18">
        <f>SUMIFS(T_Shipments[Confirmed_Qty],T_Shipments[RM_Code],$A18,T_Shipments[Effective_Week],20)</f>
        <v/>
      </c>
      <c r="V18">
        <f>SUMIFS(T_Shipments[Confirmed_Qty],T_Shipments[RM_Code],$A18,T_Shipments[Effective_Week],21)</f>
        <v/>
      </c>
      <c r="W18">
        <f>SUMIFS(T_Shipments[Confirmed_Qty],T_Shipments[RM_Code],$A18,T_Shipments[Effective_Week],22)</f>
        <v/>
      </c>
      <c r="X18">
        <f>SUMIFS(T_Shipments[Confirmed_Qty],T_Shipments[RM_Code],$A18,T_Shipments[Effective_Week],23)</f>
        <v/>
      </c>
      <c r="Y18">
        <f>SUMIFS(T_Shipments[Confirmed_Qty],T_Shipments[RM_Code],$A18,T_Shipments[Effective_Week],24)</f>
        <v/>
      </c>
      <c r="Z18">
        <f>SUMIFS(T_Shipments[Confirmed_Qty],T_Shipments[RM_Code],$A18,T_Shipments[Effective_Week],25)</f>
        <v/>
      </c>
      <c r="AA18">
        <f>SUMIFS(T_Shipments[Confirmed_Qty],T_Shipments[RM_Code],$A18,T_Shipments[Effective_Week],26)</f>
        <v/>
      </c>
      <c r="AB18">
        <f>SUMIFS(T_Shipments[Confirmed_Qty],T_Shipments[RM_Code],$A18,T_Shipments[Effective_Week],27)</f>
        <v/>
      </c>
      <c r="AC18">
        <f>SUMIFS(T_Shipments[Confirmed_Qty],T_Shipments[RM_Code],$A18,T_Shipments[Effective_Week],28)</f>
        <v/>
      </c>
      <c r="AD18">
        <f>SUMIFS(T_Shipments[Confirmed_Qty],T_Shipments[RM_Code],$A18,T_Shipments[Effective_Week],29)</f>
        <v/>
      </c>
      <c r="AE18">
        <f>SUMIFS(T_Shipments[Confirmed_Qty],T_Shipments[RM_Code],$A18,T_Shipments[Effective_Week],30)</f>
        <v/>
      </c>
      <c r="AF18">
        <f>SUMIFS(T_Shipments[Confirmed_Qty],T_Shipments[RM_Code],$A18,T_Shipments[Effective_Week],31)</f>
        <v/>
      </c>
      <c r="AG18">
        <f>SUMIFS(T_Shipments[Confirmed_Qty],T_Shipments[RM_Code],$A18,T_Shipments[Effective_Week],32)</f>
        <v/>
      </c>
      <c r="AH18">
        <f>SUMIFS(T_Shipments[Confirmed_Qty],T_Shipments[RM_Code],$A18,T_Shipments[Effective_Week],33)</f>
        <v/>
      </c>
      <c r="AI18">
        <f>SUMIFS(T_Shipments[Confirmed_Qty],T_Shipments[RM_Code],$A18,T_Shipments[Effective_Week],34)</f>
        <v/>
      </c>
      <c r="AJ18">
        <f>SUMIFS(T_Shipments[Confirmed_Qty],T_Shipments[RM_Code],$A18,T_Shipments[Effective_Week],35)</f>
        <v/>
      </c>
      <c r="AK18">
        <f>SUMIFS(T_Shipments[Confirmed_Qty],T_Shipments[RM_Code],$A18,T_Shipments[Effective_Week],36)</f>
        <v/>
      </c>
      <c r="AL18">
        <f>SUMIFS(T_Shipments[Confirmed_Qty],T_Shipments[RM_Code],$A18,T_Shipments[Effective_Week],37)</f>
        <v/>
      </c>
      <c r="AM18">
        <f>SUMIFS(T_Shipments[Confirmed_Qty],T_Shipments[RM_Code],$A18,T_Shipments[Effective_Week],38)</f>
        <v/>
      </c>
      <c r="AN18">
        <f>SUMIFS(T_Shipments[Confirmed_Qty],T_Shipments[RM_Code],$A18,T_Shipments[Effective_Week],39)</f>
        <v/>
      </c>
      <c r="AO18">
        <f>SUMIFS(T_Shipments[Confirmed_Qty],T_Shipments[RM_Code],$A18,T_Shipments[Effective_Week],40)</f>
        <v/>
      </c>
      <c r="AP18">
        <f>SUMIFS(T_Shipments[Confirmed_Qty],T_Shipments[RM_Code],$A18,T_Shipments[Effective_Week],41)</f>
        <v/>
      </c>
      <c r="AQ18">
        <f>SUMIFS(T_Shipments[Confirmed_Qty],T_Shipments[RM_Code],$A18,T_Shipments[Effective_Week],42)</f>
        <v/>
      </c>
      <c r="AR18">
        <f>SUMIFS(T_Shipments[Confirmed_Qty],T_Shipments[RM_Code],$A18,T_Shipments[Effective_Week],43)</f>
        <v/>
      </c>
      <c r="AS18">
        <f>SUMIFS(T_Shipments[Confirmed_Qty],T_Shipments[RM_Code],$A18,T_Shipments[Effective_Week],44)</f>
        <v/>
      </c>
      <c r="AT18">
        <f>SUMIFS(T_Shipments[Confirmed_Qty],T_Shipments[RM_Code],$A18,T_Shipments[Effective_Week],45)</f>
        <v/>
      </c>
      <c r="AU18">
        <f>SUMIFS(T_Shipments[Confirmed_Qty],T_Shipments[RM_Code],$A18,T_Shipments[Effective_Week],46)</f>
        <v/>
      </c>
      <c r="AV18">
        <f>SUMIFS(T_Shipments[Confirmed_Qty],T_Shipments[RM_Code],$A18,T_Shipments[Effective_Week],47)</f>
        <v/>
      </c>
      <c r="AW18">
        <f>SUMIFS(T_Shipments[Confirmed_Qty],T_Shipments[RM_Code],$A18,T_Shipments[Effective_Week],48)</f>
        <v/>
      </c>
      <c r="AX18">
        <f>SUMIFS(T_Shipments[Confirmed_Qty],T_Shipments[RM_Code],$A18,T_Shipments[Effective_Week],49)</f>
        <v/>
      </c>
      <c r="AY18">
        <f>SUMIFS(T_Shipments[Confirmed_Qty],T_Shipments[RM_Code],$A18,T_Shipments[Effective_Week],50)</f>
        <v/>
      </c>
      <c r="AZ18">
        <f>SUMIFS(T_Shipments[Confirmed_Qty],T_Shipments[RM_Code],$A18,T_Shipments[Effective_Week],51)</f>
        <v/>
      </c>
      <c r="BA18">
        <f>SUMIFS(T_Shipments[Confirmed_Qty],T_Shipments[RM_Code],$A18,T_Shipments[Effective_Week],52)</f>
        <v/>
      </c>
      <c r="BB18">
        <f>SUMIFS(T_Shipments[Confirmed_Qty],T_Shipments[RM_Code],$A18,T_Shipments[Effective_Week],53)</f>
        <v/>
      </c>
      <c r="BC18">
        <f>SUMIFS(T_Shipments[Confirmed_Qty],T_Shipments[RM_Code],$A18,T_Shipments[Effective_Week],54)</f>
        <v/>
      </c>
      <c r="BD18">
        <f>SUMIFS(T_Shipments[Confirmed_Qty],T_Shipments[RM_Code],$A18,T_Shipments[Effective_Week],55)</f>
        <v/>
      </c>
      <c r="BE18">
        <f>SUMIFS(T_Shipments[Confirmed_Qty],T_Shipments[RM_Code],$A18,T_Shipments[Effective_Week],56)</f>
        <v/>
      </c>
      <c r="BF18">
        <f>SUMIFS(T_Shipments[Confirmed_Qty],T_Shipments[RM_Code],$A18,T_Shipments[Effective_Week],57)</f>
        <v/>
      </c>
      <c r="BG18">
        <f>SUMIFS(T_Shipments[Confirmed_Qty],T_Shipments[RM_Code],$A18,T_Shipments[Effective_Week],58)</f>
        <v/>
      </c>
      <c r="BH18">
        <f>SUMIFS(T_Shipments[Confirmed_Qty],T_Shipments[RM_Code],$A18,T_Shipments[Effective_Week],59)</f>
        <v/>
      </c>
      <c r="BI18">
        <f>SUMIFS(T_Shipments[Confirmed_Qty],T_Shipments[RM_Code],$A18,T_Shipments[Effective_Week],60)</f>
        <v/>
      </c>
      <c r="BJ18">
        <f>SUMIFS(T_Shipments[Confirmed_Qty],T_Shipments[RM_Code],$A18,T_Shipments[Effective_Week],61)</f>
        <v/>
      </c>
      <c r="BK18">
        <f>SUMIFS(T_Shipments[Confirmed_Qty],T_Shipments[RM_Code],$A18,T_Shipments[Effective_Week],62)</f>
        <v/>
      </c>
      <c r="BL18">
        <f>SUMIFS(T_Shipments[Confirmed_Qty],T_Shipments[RM_Code],$A18,T_Shipments[Effective_Week],63)</f>
        <v/>
      </c>
      <c r="BM18">
        <f>SUMIFS(T_Shipments[Confirmed_Qty],T_Shipments[RM_Code],$A18,T_Shipments[Effective_Week],64)</f>
        <v/>
      </c>
      <c r="BN18">
        <f>SUMIFS(T_Shipments[Confirmed_Qty],T_Shipments[RM_Code],$A18,T_Shipments[Effective_Week],65)</f>
        <v/>
      </c>
      <c r="BO18">
        <f>SUMIFS(T_Shipments[Confirmed_Qty],T_Shipments[RM_Code],$A18,T_Shipments[Effective_Week],66)</f>
        <v/>
      </c>
      <c r="BP18">
        <f>SUMIFS(T_Shipments[Confirmed_Qty],T_Shipments[RM_Code],$A18,T_Shipments[Effective_Week],67)</f>
        <v/>
      </c>
      <c r="BQ18">
        <f>SUMIFS(T_Shipments[Confirmed_Qty],T_Shipments[RM_Code],$A18,T_Shipments[Effective_Week],68)</f>
        <v/>
      </c>
      <c r="BR18">
        <f>SUMIFS(T_Shipments[Confirmed_Qty],T_Shipments[RM_Code],$A18,T_Shipments[Effective_Week],69)</f>
        <v/>
      </c>
      <c r="BS18">
        <f>SUMIFS(T_Shipments[Confirmed_Qty],T_Shipments[RM_Code],$A18,T_Shipments[Effective_Week],70)</f>
        <v/>
      </c>
      <c r="BT18">
        <f>SUMIFS(T_Shipments[Confirmed_Qty],T_Shipments[RM_Code],$A18,T_Shipments[Effective_Week],71)</f>
        <v/>
      </c>
      <c r="BU18">
        <f>SUMIFS(T_Shipments[Confirmed_Qty],T_Shipments[RM_Code],$A18,T_Shipments[Effective_Week],72)</f>
        <v/>
      </c>
      <c r="BV18">
        <f>SUMIFS(T_Shipments[Confirmed_Qty],T_Shipments[RM_Code],$A18,T_Shipments[Effective_Week],73)</f>
        <v/>
      </c>
      <c r="BW18">
        <f>SUMIFS(T_Shipments[Confirmed_Qty],T_Shipments[RM_Code],$A18,T_Shipments[Effective_Week],74)</f>
        <v/>
      </c>
      <c r="BX18">
        <f>SUMIFS(T_Shipments[Confirmed_Qty],T_Shipments[RM_Code],$A18,T_Shipments[Effective_Week],75)</f>
        <v/>
      </c>
      <c r="BY18">
        <f>SUMIFS(T_Shipments[Confirmed_Qty],T_Shipments[RM_Code],$A18,T_Shipments[Effective_Week],76)</f>
        <v/>
      </c>
      <c r="BZ18">
        <f>SUMIFS(T_Shipments[Confirmed_Qty],T_Shipments[RM_Code],$A18,T_Shipments[Effective_Week],77)</f>
        <v/>
      </c>
      <c r="CA18">
        <f>SUMIFS(T_Shipments[Confirmed_Qty],T_Shipments[RM_Code],$A18,T_Shipments[Effective_Week],78)</f>
        <v/>
      </c>
      <c r="CB18">
        <f>SUMIFS(T_Shipments[Confirmed_Qty],T_Shipments[RM_Code],$A18,T_Shipments[Effective_Week],79)</f>
        <v/>
      </c>
      <c r="CC18">
        <f>SUMIFS(T_Shipments[Confirmed_Qty],T_Shipments[RM_Code],$A18,T_Shipments[Effective_Week],80)</f>
        <v/>
      </c>
      <c r="CD18">
        <f>SUMIFS(T_Shipments[Confirmed_Qty],T_Shipments[RM_Code],$A18,T_Shipments[Effective_Week],81)</f>
        <v/>
      </c>
      <c r="CE18">
        <f>SUMIFS(T_Shipments[Confirmed_Qty],T_Shipments[RM_Code],$A18,T_Shipments[Effective_Week],82)</f>
        <v/>
      </c>
      <c r="CF18">
        <f>SUMIFS(T_Shipments[Confirmed_Qty],T_Shipments[RM_Code],$A18,T_Shipments[Effective_Week],83)</f>
        <v/>
      </c>
      <c r="CG18">
        <f>SUMIFS(T_Shipments[Confirmed_Qty],T_Shipments[RM_Code],$A18,T_Shipments[Effective_Week],84)</f>
        <v/>
      </c>
      <c r="CH18">
        <f>SUMIFS(T_Shipments[Confirmed_Qty],T_Shipments[RM_Code],$A18,T_Shipments[Effective_Week],85)</f>
        <v/>
      </c>
      <c r="CI18">
        <f>SUMIFS(T_Shipments[Confirmed_Qty],T_Shipments[RM_Code],$A18,T_Shipments[Effective_Week],86)</f>
        <v/>
      </c>
      <c r="CJ18">
        <f>SUMIFS(T_Shipments[Confirmed_Qty],T_Shipments[RM_Code],$A18,T_Shipments[Effective_Week],87)</f>
        <v/>
      </c>
      <c r="CK18">
        <f>SUMIFS(T_Shipments[Confirmed_Qty],T_Shipments[RM_Code],$A18,T_Shipments[Effective_Week],88)</f>
        <v/>
      </c>
      <c r="CL18">
        <f>SUMIFS(T_Shipments[Confirmed_Qty],T_Shipments[RM_Code],$A18,T_Shipments[Effective_Week],89)</f>
        <v/>
      </c>
      <c r="CM18">
        <f>SUMIFS(T_Shipments[Confirmed_Qty],T_Shipments[RM_Code],$A18,T_Shipments[Effective_Week],90)</f>
        <v/>
      </c>
      <c r="CN18">
        <f>SUMIFS(T_Shipments[Confirmed_Qty],T_Shipments[RM_Code],$A18,T_Shipments[Effective_Week],91)</f>
        <v/>
      </c>
      <c r="CO18">
        <f>SUMIFS(T_Shipments[Confirmed_Qty],T_Shipments[RM_Code],$A18,T_Shipments[Effective_Week],92)</f>
        <v/>
      </c>
      <c r="CP18">
        <f>SUMIFS(T_Shipments[Confirmed_Qty],T_Shipments[RM_Code],$A18,T_Shipments[Effective_Week],93)</f>
        <v/>
      </c>
      <c r="CQ18">
        <f>SUMIFS(T_Shipments[Confirmed_Qty],T_Shipments[RM_Code],$A18,T_Shipments[Effective_Week],94)</f>
        <v/>
      </c>
      <c r="CR18">
        <f>SUMIFS(T_Shipments[Confirmed_Qty],T_Shipments[RM_Code],$A18,T_Shipments[Effective_Week],95)</f>
        <v/>
      </c>
      <c r="CS18">
        <f>SUMIFS(T_Shipments[Confirmed_Qty],T_Shipments[RM_Code],$A18,T_Shipments[Effective_Week],96)</f>
        <v/>
      </c>
      <c r="CT18">
        <f>SUMIFS(T_Shipments[Confirmed_Qty],T_Shipments[RM_Code],$A18,T_Shipments[Effective_Week],97)</f>
        <v/>
      </c>
      <c r="CU18">
        <f>SUMIFS(T_Shipments[Confirmed_Qty],T_Shipments[RM_Code],$A18,T_Shipments[Effective_Week],98)</f>
        <v/>
      </c>
      <c r="CV18">
        <f>SUMIFS(T_Shipments[Confirmed_Qty],T_Shipments[RM_Code],$A18,T_Shipments[Effective_Week],99)</f>
        <v/>
      </c>
      <c r="CW18">
        <f>SUMIFS(T_Shipments[Confirmed_Qty],T_Shipments[RM_Code],$A18,T_Shipments[Effective_Week],100)</f>
        <v/>
      </c>
      <c r="CX18">
        <f>SUMIFS(T_Shipments[Confirmed_Qty],T_Shipments[RM_Code],$A18,T_Shipments[Effective_Week],101)</f>
        <v/>
      </c>
      <c r="CY18">
        <f>SUMIFS(T_Shipments[Confirmed_Qty],T_Shipments[RM_Code],$A18,T_Shipments[Effective_Week],102)</f>
        <v/>
      </c>
      <c r="CZ18">
        <f>SUMIFS(T_Shipments[Confirmed_Qty],T_Shipments[RM_Code],$A18,T_Shipments[Effective_Week],103)</f>
        <v/>
      </c>
      <c r="DA18">
        <f>SUMIFS(T_Shipments[Confirmed_Qty],T_Shipments[RM_Code],$A18,T_Shipments[Effective_Week],104)</f>
        <v/>
      </c>
    </row>
    <row r="19">
      <c r="A19" t="inlineStr">
        <is>
          <t>CHEM-1570</t>
        </is>
      </c>
      <c r="B19">
        <f>SUMIFS(T_Shipments[Confirmed_Qty],T_Shipments[RM_Code],$A19,T_Shipments[Effective_Week],1)</f>
        <v/>
      </c>
      <c r="C19">
        <f>SUMIFS(T_Shipments[Confirmed_Qty],T_Shipments[RM_Code],$A19,T_Shipments[Effective_Week],2)</f>
        <v/>
      </c>
      <c r="D19">
        <f>SUMIFS(T_Shipments[Confirmed_Qty],T_Shipments[RM_Code],$A19,T_Shipments[Effective_Week],3)</f>
        <v/>
      </c>
      <c r="E19">
        <f>SUMIFS(T_Shipments[Confirmed_Qty],T_Shipments[RM_Code],$A19,T_Shipments[Effective_Week],4)</f>
        <v/>
      </c>
      <c r="F19">
        <f>SUMIFS(T_Shipments[Confirmed_Qty],T_Shipments[RM_Code],$A19,T_Shipments[Effective_Week],5)</f>
        <v/>
      </c>
      <c r="G19">
        <f>SUMIFS(T_Shipments[Confirmed_Qty],T_Shipments[RM_Code],$A19,T_Shipments[Effective_Week],6)</f>
        <v/>
      </c>
      <c r="H19">
        <f>SUMIFS(T_Shipments[Confirmed_Qty],T_Shipments[RM_Code],$A19,T_Shipments[Effective_Week],7)</f>
        <v/>
      </c>
      <c r="I19">
        <f>SUMIFS(T_Shipments[Confirmed_Qty],T_Shipments[RM_Code],$A19,T_Shipments[Effective_Week],8)</f>
        <v/>
      </c>
      <c r="J19">
        <f>SUMIFS(T_Shipments[Confirmed_Qty],T_Shipments[RM_Code],$A19,T_Shipments[Effective_Week],9)</f>
        <v/>
      </c>
      <c r="K19">
        <f>SUMIFS(T_Shipments[Confirmed_Qty],T_Shipments[RM_Code],$A19,T_Shipments[Effective_Week],10)</f>
        <v/>
      </c>
      <c r="L19">
        <f>SUMIFS(T_Shipments[Confirmed_Qty],T_Shipments[RM_Code],$A19,T_Shipments[Effective_Week],11)</f>
        <v/>
      </c>
      <c r="M19">
        <f>SUMIFS(T_Shipments[Confirmed_Qty],T_Shipments[RM_Code],$A19,T_Shipments[Effective_Week],12)</f>
        <v/>
      </c>
      <c r="N19">
        <f>SUMIFS(T_Shipments[Confirmed_Qty],T_Shipments[RM_Code],$A19,T_Shipments[Effective_Week],13)</f>
        <v/>
      </c>
      <c r="O19">
        <f>SUMIFS(T_Shipments[Confirmed_Qty],T_Shipments[RM_Code],$A19,T_Shipments[Effective_Week],14)</f>
        <v/>
      </c>
      <c r="P19">
        <f>SUMIFS(T_Shipments[Confirmed_Qty],T_Shipments[RM_Code],$A19,T_Shipments[Effective_Week],15)</f>
        <v/>
      </c>
      <c r="Q19">
        <f>SUMIFS(T_Shipments[Confirmed_Qty],T_Shipments[RM_Code],$A19,T_Shipments[Effective_Week],16)</f>
        <v/>
      </c>
      <c r="R19">
        <f>SUMIFS(T_Shipments[Confirmed_Qty],T_Shipments[RM_Code],$A19,T_Shipments[Effective_Week],17)</f>
        <v/>
      </c>
      <c r="S19">
        <f>SUMIFS(T_Shipments[Confirmed_Qty],T_Shipments[RM_Code],$A19,T_Shipments[Effective_Week],18)</f>
        <v/>
      </c>
      <c r="T19">
        <f>SUMIFS(T_Shipments[Confirmed_Qty],T_Shipments[RM_Code],$A19,T_Shipments[Effective_Week],19)</f>
        <v/>
      </c>
      <c r="U19">
        <f>SUMIFS(T_Shipments[Confirmed_Qty],T_Shipments[RM_Code],$A19,T_Shipments[Effective_Week],20)</f>
        <v/>
      </c>
      <c r="V19">
        <f>SUMIFS(T_Shipments[Confirmed_Qty],T_Shipments[RM_Code],$A19,T_Shipments[Effective_Week],21)</f>
        <v/>
      </c>
      <c r="W19">
        <f>SUMIFS(T_Shipments[Confirmed_Qty],T_Shipments[RM_Code],$A19,T_Shipments[Effective_Week],22)</f>
        <v/>
      </c>
      <c r="X19">
        <f>SUMIFS(T_Shipments[Confirmed_Qty],T_Shipments[RM_Code],$A19,T_Shipments[Effective_Week],23)</f>
        <v/>
      </c>
      <c r="Y19">
        <f>SUMIFS(T_Shipments[Confirmed_Qty],T_Shipments[RM_Code],$A19,T_Shipments[Effective_Week],24)</f>
        <v/>
      </c>
      <c r="Z19">
        <f>SUMIFS(T_Shipments[Confirmed_Qty],T_Shipments[RM_Code],$A19,T_Shipments[Effective_Week],25)</f>
        <v/>
      </c>
      <c r="AA19">
        <f>SUMIFS(T_Shipments[Confirmed_Qty],T_Shipments[RM_Code],$A19,T_Shipments[Effective_Week],26)</f>
        <v/>
      </c>
      <c r="AB19">
        <f>SUMIFS(T_Shipments[Confirmed_Qty],T_Shipments[RM_Code],$A19,T_Shipments[Effective_Week],27)</f>
        <v/>
      </c>
      <c r="AC19">
        <f>SUMIFS(T_Shipments[Confirmed_Qty],T_Shipments[RM_Code],$A19,T_Shipments[Effective_Week],28)</f>
        <v/>
      </c>
      <c r="AD19">
        <f>SUMIFS(T_Shipments[Confirmed_Qty],T_Shipments[RM_Code],$A19,T_Shipments[Effective_Week],29)</f>
        <v/>
      </c>
      <c r="AE19">
        <f>SUMIFS(T_Shipments[Confirmed_Qty],T_Shipments[RM_Code],$A19,T_Shipments[Effective_Week],30)</f>
        <v/>
      </c>
      <c r="AF19">
        <f>SUMIFS(T_Shipments[Confirmed_Qty],T_Shipments[RM_Code],$A19,T_Shipments[Effective_Week],31)</f>
        <v/>
      </c>
      <c r="AG19">
        <f>SUMIFS(T_Shipments[Confirmed_Qty],T_Shipments[RM_Code],$A19,T_Shipments[Effective_Week],32)</f>
        <v/>
      </c>
      <c r="AH19">
        <f>SUMIFS(T_Shipments[Confirmed_Qty],T_Shipments[RM_Code],$A19,T_Shipments[Effective_Week],33)</f>
        <v/>
      </c>
      <c r="AI19">
        <f>SUMIFS(T_Shipments[Confirmed_Qty],T_Shipments[RM_Code],$A19,T_Shipments[Effective_Week],34)</f>
        <v/>
      </c>
      <c r="AJ19">
        <f>SUMIFS(T_Shipments[Confirmed_Qty],T_Shipments[RM_Code],$A19,T_Shipments[Effective_Week],35)</f>
        <v/>
      </c>
      <c r="AK19">
        <f>SUMIFS(T_Shipments[Confirmed_Qty],T_Shipments[RM_Code],$A19,T_Shipments[Effective_Week],36)</f>
        <v/>
      </c>
      <c r="AL19">
        <f>SUMIFS(T_Shipments[Confirmed_Qty],T_Shipments[RM_Code],$A19,T_Shipments[Effective_Week],37)</f>
        <v/>
      </c>
      <c r="AM19">
        <f>SUMIFS(T_Shipments[Confirmed_Qty],T_Shipments[RM_Code],$A19,T_Shipments[Effective_Week],38)</f>
        <v/>
      </c>
      <c r="AN19">
        <f>SUMIFS(T_Shipments[Confirmed_Qty],T_Shipments[RM_Code],$A19,T_Shipments[Effective_Week],39)</f>
        <v/>
      </c>
      <c r="AO19">
        <f>SUMIFS(T_Shipments[Confirmed_Qty],T_Shipments[RM_Code],$A19,T_Shipments[Effective_Week],40)</f>
        <v/>
      </c>
      <c r="AP19">
        <f>SUMIFS(T_Shipments[Confirmed_Qty],T_Shipments[RM_Code],$A19,T_Shipments[Effective_Week],41)</f>
        <v/>
      </c>
      <c r="AQ19">
        <f>SUMIFS(T_Shipments[Confirmed_Qty],T_Shipments[RM_Code],$A19,T_Shipments[Effective_Week],42)</f>
        <v/>
      </c>
      <c r="AR19">
        <f>SUMIFS(T_Shipments[Confirmed_Qty],T_Shipments[RM_Code],$A19,T_Shipments[Effective_Week],43)</f>
        <v/>
      </c>
      <c r="AS19">
        <f>SUMIFS(T_Shipments[Confirmed_Qty],T_Shipments[RM_Code],$A19,T_Shipments[Effective_Week],44)</f>
        <v/>
      </c>
      <c r="AT19">
        <f>SUMIFS(T_Shipments[Confirmed_Qty],T_Shipments[RM_Code],$A19,T_Shipments[Effective_Week],45)</f>
        <v/>
      </c>
      <c r="AU19">
        <f>SUMIFS(T_Shipments[Confirmed_Qty],T_Shipments[RM_Code],$A19,T_Shipments[Effective_Week],46)</f>
        <v/>
      </c>
      <c r="AV19">
        <f>SUMIFS(T_Shipments[Confirmed_Qty],T_Shipments[RM_Code],$A19,T_Shipments[Effective_Week],47)</f>
        <v/>
      </c>
      <c r="AW19">
        <f>SUMIFS(T_Shipments[Confirmed_Qty],T_Shipments[RM_Code],$A19,T_Shipments[Effective_Week],48)</f>
        <v/>
      </c>
      <c r="AX19">
        <f>SUMIFS(T_Shipments[Confirmed_Qty],T_Shipments[RM_Code],$A19,T_Shipments[Effective_Week],49)</f>
        <v/>
      </c>
      <c r="AY19">
        <f>SUMIFS(T_Shipments[Confirmed_Qty],T_Shipments[RM_Code],$A19,T_Shipments[Effective_Week],50)</f>
        <v/>
      </c>
      <c r="AZ19">
        <f>SUMIFS(T_Shipments[Confirmed_Qty],T_Shipments[RM_Code],$A19,T_Shipments[Effective_Week],51)</f>
        <v/>
      </c>
      <c r="BA19">
        <f>SUMIFS(T_Shipments[Confirmed_Qty],T_Shipments[RM_Code],$A19,T_Shipments[Effective_Week],52)</f>
        <v/>
      </c>
      <c r="BB19">
        <f>SUMIFS(T_Shipments[Confirmed_Qty],T_Shipments[RM_Code],$A19,T_Shipments[Effective_Week],53)</f>
        <v/>
      </c>
      <c r="BC19">
        <f>SUMIFS(T_Shipments[Confirmed_Qty],T_Shipments[RM_Code],$A19,T_Shipments[Effective_Week],54)</f>
        <v/>
      </c>
      <c r="BD19">
        <f>SUMIFS(T_Shipments[Confirmed_Qty],T_Shipments[RM_Code],$A19,T_Shipments[Effective_Week],55)</f>
        <v/>
      </c>
      <c r="BE19">
        <f>SUMIFS(T_Shipments[Confirmed_Qty],T_Shipments[RM_Code],$A19,T_Shipments[Effective_Week],56)</f>
        <v/>
      </c>
      <c r="BF19">
        <f>SUMIFS(T_Shipments[Confirmed_Qty],T_Shipments[RM_Code],$A19,T_Shipments[Effective_Week],57)</f>
        <v/>
      </c>
      <c r="BG19">
        <f>SUMIFS(T_Shipments[Confirmed_Qty],T_Shipments[RM_Code],$A19,T_Shipments[Effective_Week],58)</f>
        <v/>
      </c>
      <c r="BH19">
        <f>SUMIFS(T_Shipments[Confirmed_Qty],T_Shipments[RM_Code],$A19,T_Shipments[Effective_Week],59)</f>
        <v/>
      </c>
      <c r="BI19">
        <f>SUMIFS(T_Shipments[Confirmed_Qty],T_Shipments[RM_Code],$A19,T_Shipments[Effective_Week],60)</f>
        <v/>
      </c>
      <c r="BJ19">
        <f>SUMIFS(T_Shipments[Confirmed_Qty],T_Shipments[RM_Code],$A19,T_Shipments[Effective_Week],61)</f>
        <v/>
      </c>
      <c r="BK19">
        <f>SUMIFS(T_Shipments[Confirmed_Qty],T_Shipments[RM_Code],$A19,T_Shipments[Effective_Week],62)</f>
        <v/>
      </c>
      <c r="BL19">
        <f>SUMIFS(T_Shipments[Confirmed_Qty],T_Shipments[RM_Code],$A19,T_Shipments[Effective_Week],63)</f>
        <v/>
      </c>
      <c r="BM19">
        <f>SUMIFS(T_Shipments[Confirmed_Qty],T_Shipments[RM_Code],$A19,T_Shipments[Effective_Week],64)</f>
        <v/>
      </c>
      <c r="BN19">
        <f>SUMIFS(T_Shipments[Confirmed_Qty],T_Shipments[RM_Code],$A19,T_Shipments[Effective_Week],65)</f>
        <v/>
      </c>
      <c r="BO19">
        <f>SUMIFS(T_Shipments[Confirmed_Qty],T_Shipments[RM_Code],$A19,T_Shipments[Effective_Week],66)</f>
        <v/>
      </c>
      <c r="BP19">
        <f>SUMIFS(T_Shipments[Confirmed_Qty],T_Shipments[RM_Code],$A19,T_Shipments[Effective_Week],67)</f>
        <v/>
      </c>
      <c r="BQ19">
        <f>SUMIFS(T_Shipments[Confirmed_Qty],T_Shipments[RM_Code],$A19,T_Shipments[Effective_Week],68)</f>
        <v/>
      </c>
      <c r="BR19">
        <f>SUMIFS(T_Shipments[Confirmed_Qty],T_Shipments[RM_Code],$A19,T_Shipments[Effective_Week],69)</f>
        <v/>
      </c>
      <c r="BS19">
        <f>SUMIFS(T_Shipments[Confirmed_Qty],T_Shipments[RM_Code],$A19,T_Shipments[Effective_Week],70)</f>
        <v/>
      </c>
      <c r="BT19">
        <f>SUMIFS(T_Shipments[Confirmed_Qty],T_Shipments[RM_Code],$A19,T_Shipments[Effective_Week],71)</f>
        <v/>
      </c>
      <c r="BU19">
        <f>SUMIFS(T_Shipments[Confirmed_Qty],T_Shipments[RM_Code],$A19,T_Shipments[Effective_Week],72)</f>
        <v/>
      </c>
      <c r="BV19">
        <f>SUMIFS(T_Shipments[Confirmed_Qty],T_Shipments[RM_Code],$A19,T_Shipments[Effective_Week],73)</f>
        <v/>
      </c>
      <c r="BW19">
        <f>SUMIFS(T_Shipments[Confirmed_Qty],T_Shipments[RM_Code],$A19,T_Shipments[Effective_Week],74)</f>
        <v/>
      </c>
      <c r="BX19">
        <f>SUMIFS(T_Shipments[Confirmed_Qty],T_Shipments[RM_Code],$A19,T_Shipments[Effective_Week],75)</f>
        <v/>
      </c>
      <c r="BY19">
        <f>SUMIFS(T_Shipments[Confirmed_Qty],T_Shipments[RM_Code],$A19,T_Shipments[Effective_Week],76)</f>
        <v/>
      </c>
      <c r="BZ19">
        <f>SUMIFS(T_Shipments[Confirmed_Qty],T_Shipments[RM_Code],$A19,T_Shipments[Effective_Week],77)</f>
        <v/>
      </c>
      <c r="CA19">
        <f>SUMIFS(T_Shipments[Confirmed_Qty],T_Shipments[RM_Code],$A19,T_Shipments[Effective_Week],78)</f>
        <v/>
      </c>
      <c r="CB19">
        <f>SUMIFS(T_Shipments[Confirmed_Qty],T_Shipments[RM_Code],$A19,T_Shipments[Effective_Week],79)</f>
        <v/>
      </c>
      <c r="CC19">
        <f>SUMIFS(T_Shipments[Confirmed_Qty],T_Shipments[RM_Code],$A19,T_Shipments[Effective_Week],80)</f>
        <v/>
      </c>
      <c r="CD19">
        <f>SUMIFS(T_Shipments[Confirmed_Qty],T_Shipments[RM_Code],$A19,T_Shipments[Effective_Week],81)</f>
        <v/>
      </c>
      <c r="CE19">
        <f>SUMIFS(T_Shipments[Confirmed_Qty],T_Shipments[RM_Code],$A19,T_Shipments[Effective_Week],82)</f>
        <v/>
      </c>
      <c r="CF19">
        <f>SUMIFS(T_Shipments[Confirmed_Qty],T_Shipments[RM_Code],$A19,T_Shipments[Effective_Week],83)</f>
        <v/>
      </c>
      <c r="CG19">
        <f>SUMIFS(T_Shipments[Confirmed_Qty],T_Shipments[RM_Code],$A19,T_Shipments[Effective_Week],84)</f>
        <v/>
      </c>
      <c r="CH19">
        <f>SUMIFS(T_Shipments[Confirmed_Qty],T_Shipments[RM_Code],$A19,T_Shipments[Effective_Week],85)</f>
        <v/>
      </c>
      <c r="CI19">
        <f>SUMIFS(T_Shipments[Confirmed_Qty],T_Shipments[RM_Code],$A19,T_Shipments[Effective_Week],86)</f>
        <v/>
      </c>
      <c r="CJ19">
        <f>SUMIFS(T_Shipments[Confirmed_Qty],T_Shipments[RM_Code],$A19,T_Shipments[Effective_Week],87)</f>
        <v/>
      </c>
      <c r="CK19">
        <f>SUMIFS(T_Shipments[Confirmed_Qty],T_Shipments[RM_Code],$A19,T_Shipments[Effective_Week],88)</f>
        <v/>
      </c>
      <c r="CL19">
        <f>SUMIFS(T_Shipments[Confirmed_Qty],T_Shipments[RM_Code],$A19,T_Shipments[Effective_Week],89)</f>
        <v/>
      </c>
      <c r="CM19">
        <f>SUMIFS(T_Shipments[Confirmed_Qty],T_Shipments[RM_Code],$A19,T_Shipments[Effective_Week],90)</f>
        <v/>
      </c>
      <c r="CN19">
        <f>SUMIFS(T_Shipments[Confirmed_Qty],T_Shipments[RM_Code],$A19,T_Shipments[Effective_Week],91)</f>
        <v/>
      </c>
      <c r="CO19">
        <f>SUMIFS(T_Shipments[Confirmed_Qty],T_Shipments[RM_Code],$A19,T_Shipments[Effective_Week],92)</f>
        <v/>
      </c>
      <c r="CP19">
        <f>SUMIFS(T_Shipments[Confirmed_Qty],T_Shipments[RM_Code],$A19,T_Shipments[Effective_Week],93)</f>
        <v/>
      </c>
      <c r="CQ19">
        <f>SUMIFS(T_Shipments[Confirmed_Qty],T_Shipments[RM_Code],$A19,T_Shipments[Effective_Week],94)</f>
        <v/>
      </c>
      <c r="CR19">
        <f>SUMIFS(T_Shipments[Confirmed_Qty],T_Shipments[RM_Code],$A19,T_Shipments[Effective_Week],95)</f>
        <v/>
      </c>
      <c r="CS19">
        <f>SUMIFS(T_Shipments[Confirmed_Qty],T_Shipments[RM_Code],$A19,T_Shipments[Effective_Week],96)</f>
        <v/>
      </c>
      <c r="CT19">
        <f>SUMIFS(T_Shipments[Confirmed_Qty],T_Shipments[RM_Code],$A19,T_Shipments[Effective_Week],97)</f>
        <v/>
      </c>
      <c r="CU19">
        <f>SUMIFS(T_Shipments[Confirmed_Qty],T_Shipments[RM_Code],$A19,T_Shipments[Effective_Week],98)</f>
        <v/>
      </c>
      <c r="CV19">
        <f>SUMIFS(T_Shipments[Confirmed_Qty],T_Shipments[RM_Code],$A19,T_Shipments[Effective_Week],99)</f>
        <v/>
      </c>
      <c r="CW19">
        <f>SUMIFS(T_Shipments[Confirmed_Qty],T_Shipments[RM_Code],$A19,T_Shipments[Effective_Week],100)</f>
        <v/>
      </c>
      <c r="CX19">
        <f>SUMIFS(T_Shipments[Confirmed_Qty],T_Shipments[RM_Code],$A19,T_Shipments[Effective_Week],101)</f>
        <v/>
      </c>
      <c r="CY19">
        <f>SUMIFS(T_Shipments[Confirmed_Qty],T_Shipments[RM_Code],$A19,T_Shipments[Effective_Week],102)</f>
        <v/>
      </c>
      <c r="CZ19">
        <f>SUMIFS(T_Shipments[Confirmed_Qty],T_Shipments[RM_Code],$A19,T_Shipments[Effective_Week],103)</f>
        <v/>
      </c>
      <c r="DA19">
        <f>SUMIFS(T_Shipments[Confirmed_Qty],T_Shipments[RM_Code],$A19,T_Shipments[Effective_Week],104)</f>
        <v/>
      </c>
    </row>
    <row r="20">
      <c r="A20" t="inlineStr">
        <is>
          <t>CHEM-1650</t>
        </is>
      </c>
      <c r="B20">
        <f>SUMIFS(T_Shipments[Confirmed_Qty],T_Shipments[RM_Code],$A20,T_Shipments[Effective_Week],1)</f>
        <v/>
      </c>
      <c r="C20">
        <f>SUMIFS(T_Shipments[Confirmed_Qty],T_Shipments[RM_Code],$A20,T_Shipments[Effective_Week],2)</f>
        <v/>
      </c>
      <c r="D20">
        <f>SUMIFS(T_Shipments[Confirmed_Qty],T_Shipments[RM_Code],$A20,T_Shipments[Effective_Week],3)</f>
        <v/>
      </c>
      <c r="E20">
        <f>SUMIFS(T_Shipments[Confirmed_Qty],T_Shipments[RM_Code],$A20,T_Shipments[Effective_Week],4)</f>
        <v/>
      </c>
      <c r="F20">
        <f>SUMIFS(T_Shipments[Confirmed_Qty],T_Shipments[RM_Code],$A20,T_Shipments[Effective_Week],5)</f>
        <v/>
      </c>
      <c r="G20">
        <f>SUMIFS(T_Shipments[Confirmed_Qty],T_Shipments[RM_Code],$A20,T_Shipments[Effective_Week],6)</f>
        <v/>
      </c>
      <c r="H20">
        <f>SUMIFS(T_Shipments[Confirmed_Qty],T_Shipments[RM_Code],$A20,T_Shipments[Effective_Week],7)</f>
        <v/>
      </c>
      <c r="I20">
        <f>SUMIFS(T_Shipments[Confirmed_Qty],T_Shipments[RM_Code],$A20,T_Shipments[Effective_Week],8)</f>
        <v/>
      </c>
      <c r="J20">
        <f>SUMIFS(T_Shipments[Confirmed_Qty],T_Shipments[RM_Code],$A20,T_Shipments[Effective_Week],9)</f>
        <v/>
      </c>
      <c r="K20">
        <f>SUMIFS(T_Shipments[Confirmed_Qty],T_Shipments[RM_Code],$A20,T_Shipments[Effective_Week],10)</f>
        <v/>
      </c>
      <c r="L20">
        <f>SUMIFS(T_Shipments[Confirmed_Qty],T_Shipments[RM_Code],$A20,T_Shipments[Effective_Week],11)</f>
        <v/>
      </c>
      <c r="M20">
        <f>SUMIFS(T_Shipments[Confirmed_Qty],T_Shipments[RM_Code],$A20,T_Shipments[Effective_Week],12)</f>
        <v/>
      </c>
      <c r="N20">
        <f>SUMIFS(T_Shipments[Confirmed_Qty],T_Shipments[RM_Code],$A20,T_Shipments[Effective_Week],13)</f>
        <v/>
      </c>
      <c r="O20">
        <f>SUMIFS(T_Shipments[Confirmed_Qty],T_Shipments[RM_Code],$A20,T_Shipments[Effective_Week],14)</f>
        <v/>
      </c>
      <c r="P20">
        <f>SUMIFS(T_Shipments[Confirmed_Qty],T_Shipments[RM_Code],$A20,T_Shipments[Effective_Week],15)</f>
        <v/>
      </c>
      <c r="Q20">
        <f>SUMIFS(T_Shipments[Confirmed_Qty],T_Shipments[RM_Code],$A20,T_Shipments[Effective_Week],16)</f>
        <v/>
      </c>
      <c r="R20">
        <f>SUMIFS(T_Shipments[Confirmed_Qty],T_Shipments[RM_Code],$A20,T_Shipments[Effective_Week],17)</f>
        <v/>
      </c>
      <c r="S20">
        <f>SUMIFS(T_Shipments[Confirmed_Qty],T_Shipments[RM_Code],$A20,T_Shipments[Effective_Week],18)</f>
        <v/>
      </c>
      <c r="T20">
        <f>SUMIFS(T_Shipments[Confirmed_Qty],T_Shipments[RM_Code],$A20,T_Shipments[Effective_Week],19)</f>
        <v/>
      </c>
      <c r="U20">
        <f>SUMIFS(T_Shipments[Confirmed_Qty],T_Shipments[RM_Code],$A20,T_Shipments[Effective_Week],20)</f>
        <v/>
      </c>
      <c r="V20">
        <f>SUMIFS(T_Shipments[Confirmed_Qty],T_Shipments[RM_Code],$A20,T_Shipments[Effective_Week],21)</f>
        <v/>
      </c>
      <c r="W20">
        <f>SUMIFS(T_Shipments[Confirmed_Qty],T_Shipments[RM_Code],$A20,T_Shipments[Effective_Week],22)</f>
        <v/>
      </c>
      <c r="X20">
        <f>SUMIFS(T_Shipments[Confirmed_Qty],T_Shipments[RM_Code],$A20,T_Shipments[Effective_Week],23)</f>
        <v/>
      </c>
      <c r="Y20">
        <f>SUMIFS(T_Shipments[Confirmed_Qty],T_Shipments[RM_Code],$A20,T_Shipments[Effective_Week],24)</f>
        <v/>
      </c>
      <c r="Z20">
        <f>SUMIFS(T_Shipments[Confirmed_Qty],T_Shipments[RM_Code],$A20,T_Shipments[Effective_Week],25)</f>
        <v/>
      </c>
      <c r="AA20">
        <f>SUMIFS(T_Shipments[Confirmed_Qty],T_Shipments[RM_Code],$A20,T_Shipments[Effective_Week],26)</f>
        <v/>
      </c>
      <c r="AB20">
        <f>SUMIFS(T_Shipments[Confirmed_Qty],T_Shipments[RM_Code],$A20,T_Shipments[Effective_Week],27)</f>
        <v/>
      </c>
      <c r="AC20">
        <f>SUMIFS(T_Shipments[Confirmed_Qty],T_Shipments[RM_Code],$A20,T_Shipments[Effective_Week],28)</f>
        <v/>
      </c>
      <c r="AD20">
        <f>SUMIFS(T_Shipments[Confirmed_Qty],T_Shipments[RM_Code],$A20,T_Shipments[Effective_Week],29)</f>
        <v/>
      </c>
      <c r="AE20">
        <f>SUMIFS(T_Shipments[Confirmed_Qty],T_Shipments[RM_Code],$A20,T_Shipments[Effective_Week],30)</f>
        <v/>
      </c>
      <c r="AF20">
        <f>SUMIFS(T_Shipments[Confirmed_Qty],T_Shipments[RM_Code],$A20,T_Shipments[Effective_Week],31)</f>
        <v/>
      </c>
      <c r="AG20">
        <f>SUMIFS(T_Shipments[Confirmed_Qty],T_Shipments[RM_Code],$A20,T_Shipments[Effective_Week],32)</f>
        <v/>
      </c>
      <c r="AH20">
        <f>SUMIFS(T_Shipments[Confirmed_Qty],T_Shipments[RM_Code],$A20,T_Shipments[Effective_Week],33)</f>
        <v/>
      </c>
      <c r="AI20">
        <f>SUMIFS(T_Shipments[Confirmed_Qty],T_Shipments[RM_Code],$A20,T_Shipments[Effective_Week],34)</f>
        <v/>
      </c>
      <c r="AJ20">
        <f>SUMIFS(T_Shipments[Confirmed_Qty],T_Shipments[RM_Code],$A20,T_Shipments[Effective_Week],35)</f>
        <v/>
      </c>
      <c r="AK20">
        <f>SUMIFS(T_Shipments[Confirmed_Qty],T_Shipments[RM_Code],$A20,T_Shipments[Effective_Week],36)</f>
        <v/>
      </c>
      <c r="AL20">
        <f>SUMIFS(T_Shipments[Confirmed_Qty],T_Shipments[RM_Code],$A20,T_Shipments[Effective_Week],37)</f>
        <v/>
      </c>
      <c r="AM20">
        <f>SUMIFS(T_Shipments[Confirmed_Qty],T_Shipments[RM_Code],$A20,T_Shipments[Effective_Week],38)</f>
        <v/>
      </c>
      <c r="AN20">
        <f>SUMIFS(T_Shipments[Confirmed_Qty],T_Shipments[RM_Code],$A20,T_Shipments[Effective_Week],39)</f>
        <v/>
      </c>
      <c r="AO20">
        <f>SUMIFS(T_Shipments[Confirmed_Qty],T_Shipments[RM_Code],$A20,T_Shipments[Effective_Week],40)</f>
        <v/>
      </c>
      <c r="AP20">
        <f>SUMIFS(T_Shipments[Confirmed_Qty],T_Shipments[RM_Code],$A20,T_Shipments[Effective_Week],41)</f>
        <v/>
      </c>
      <c r="AQ20">
        <f>SUMIFS(T_Shipments[Confirmed_Qty],T_Shipments[RM_Code],$A20,T_Shipments[Effective_Week],42)</f>
        <v/>
      </c>
      <c r="AR20">
        <f>SUMIFS(T_Shipments[Confirmed_Qty],T_Shipments[RM_Code],$A20,T_Shipments[Effective_Week],43)</f>
        <v/>
      </c>
      <c r="AS20">
        <f>SUMIFS(T_Shipments[Confirmed_Qty],T_Shipments[RM_Code],$A20,T_Shipments[Effective_Week],44)</f>
        <v/>
      </c>
      <c r="AT20">
        <f>SUMIFS(T_Shipments[Confirmed_Qty],T_Shipments[RM_Code],$A20,T_Shipments[Effective_Week],45)</f>
        <v/>
      </c>
      <c r="AU20">
        <f>SUMIFS(T_Shipments[Confirmed_Qty],T_Shipments[RM_Code],$A20,T_Shipments[Effective_Week],46)</f>
        <v/>
      </c>
      <c r="AV20">
        <f>SUMIFS(T_Shipments[Confirmed_Qty],T_Shipments[RM_Code],$A20,T_Shipments[Effective_Week],47)</f>
        <v/>
      </c>
      <c r="AW20">
        <f>SUMIFS(T_Shipments[Confirmed_Qty],T_Shipments[RM_Code],$A20,T_Shipments[Effective_Week],48)</f>
        <v/>
      </c>
      <c r="AX20">
        <f>SUMIFS(T_Shipments[Confirmed_Qty],T_Shipments[RM_Code],$A20,T_Shipments[Effective_Week],49)</f>
        <v/>
      </c>
      <c r="AY20">
        <f>SUMIFS(T_Shipments[Confirmed_Qty],T_Shipments[RM_Code],$A20,T_Shipments[Effective_Week],50)</f>
        <v/>
      </c>
      <c r="AZ20">
        <f>SUMIFS(T_Shipments[Confirmed_Qty],T_Shipments[RM_Code],$A20,T_Shipments[Effective_Week],51)</f>
        <v/>
      </c>
      <c r="BA20">
        <f>SUMIFS(T_Shipments[Confirmed_Qty],T_Shipments[RM_Code],$A20,T_Shipments[Effective_Week],52)</f>
        <v/>
      </c>
      <c r="BB20">
        <f>SUMIFS(T_Shipments[Confirmed_Qty],T_Shipments[RM_Code],$A20,T_Shipments[Effective_Week],53)</f>
        <v/>
      </c>
      <c r="BC20">
        <f>SUMIFS(T_Shipments[Confirmed_Qty],T_Shipments[RM_Code],$A20,T_Shipments[Effective_Week],54)</f>
        <v/>
      </c>
      <c r="BD20">
        <f>SUMIFS(T_Shipments[Confirmed_Qty],T_Shipments[RM_Code],$A20,T_Shipments[Effective_Week],55)</f>
        <v/>
      </c>
      <c r="BE20">
        <f>SUMIFS(T_Shipments[Confirmed_Qty],T_Shipments[RM_Code],$A20,T_Shipments[Effective_Week],56)</f>
        <v/>
      </c>
      <c r="BF20">
        <f>SUMIFS(T_Shipments[Confirmed_Qty],T_Shipments[RM_Code],$A20,T_Shipments[Effective_Week],57)</f>
        <v/>
      </c>
      <c r="BG20">
        <f>SUMIFS(T_Shipments[Confirmed_Qty],T_Shipments[RM_Code],$A20,T_Shipments[Effective_Week],58)</f>
        <v/>
      </c>
      <c r="BH20">
        <f>SUMIFS(T_Shipments[Confirmed_Qty],T_Shipments[RM_Code],$A20,T_Shipments[Effective_Week],59)</f>
        <v/>
      </c>
      <c r="BI20">
        <f>SUMIFS(T_Shipments[Confirmed_Qty],T_Shipments[RM_Code],$A20,T_Shipments[Effective_Week],60)</f>
        <v/>
      </c>
      <c r="BJ20">
        <f>SUMIFS(T_Shipments[Confirmed_Qty],T_Shipments[RM_Code],$A20,T_Shipments[Effective_Week],61)</f>
        <v/>
      </c>
      <c r="BK20">
        <f>SUMIFS(T_Shipments[Confirmed_Qty],T_Shipments[RM_Code],$A20,T_Shipments[Effective_Week],62)</f>
        <v/>
      </c>
      <c r="BL20">
        <f>SUMIFS(T_Shipments[Confirmed_Qty],T_Shipments[RM_Code],$A20,T_Shipments[Effective_Week],63)</f>
        <v/>
      </c>
      <c r="BM20">
        <f>SUMIFS(T_Shipments[Confirmed_Qty],T_Shipments[RM_Code],$A20,T_Shipments[Effective_Week],64)</f>
        <v/>
      </c>
      <c r="BN20">
        <f>SUMIFS(T_Shipments[Confirmed_Qty],T_Shipments[RM_Code],$A20,T_Shipments[Effective_Week],65)</f>
        <v/>
      </c>
      <c r="BO20">
        <f>SUMIFS(T_Shipments[Confirmed_Qty],T_Shipments[RM_Code],$A20,T_Shipments[Effective_Week],66)</f>
        <v/>
      </c>
      <c r="BP20">
        <f>SUMIFS(T_Shipments[Confirmed_Qty],T_Shipments[RM_Code],$A20,T_Shipments[Effective_Week],67)</f>
        <v/>
      </c>
      <c r="BQ20">
        <f>SUMIFS(T_Shipments[Confirmed_Qty],T_Shipments[RM_Code],$A20,T_Shipments[Effective_Week],68)</f>
        <v/>
      </c>
      <c r="BR20">
        <f>SUMIFS(T_Shipments[Confirmed_Qty],T_Shipments[RM_Code],$A20,T_Shipments[Effective_Week],69)</f>
        <v/>
      </c>
      <c r="BS20">
        <f>SUMIFS(T_Shipments[Confirmed_Qty],T_Shipments[RM_Code],$A20,T_Shipments[Effective_Week],70)</f>
        <v/>
      </c>
      <c r="BT20">
        <f>SUMIFS(T_Shipments[Confirmed_Qty],T_Shipments[RM_Code],$A20,T_Shipments[Effective_Week],71)</f>
        <v/>
      </c>
      <c r="BU20">
        <f>SUMIFS(T_Shipments[Confirmed_Qty],T_Shipments[RM_Code],$A20,T_Shipments[Effective_Week],72)</f>
        <v/>
      </c>
      <c r="BV20">
        <f>SUMIFS(T_Shipments[Confirmed_Qty],T_Shipments[RM_Code],$A20,T_Shipments[Effective_Week],73)</f>
        <v/>
      </c>
      <c r="BW20">
        <f>SUMIFS(T_Shipments[Confirmed_Qty],T_Shipments[RM_Code],$A20,T_Shipments[Effective_Week],74)</f>
        <v/>
      </c>
      <c r="BX20">
        <f>SUMIFS(T_Shipments[Confirmed_Qty],T_Shipments[RM_Code],$A20,T_Shipments[Effective_Week],75)</f>
        <v/>
      </c>
      <c r="BY20">
        <f>SUMIFS(T_Shipments[Confirmed_Qty],T_Shipments[RM_Code],$A20,T_Shipments[Effective_Week],76)</f>
        <v/>
      </c>
      <c r="BZ20">
        <f>SUMIFS(T_Shipments[Confirmed_Qty],T_Shipments[RM_Code],$A20,T_Shipments[Effective_Week],77)</f>
        <v/>
      </c>
      <c r="CA20">
        <f>SUMIFS(T_Shipments[Confirmed_Qty],T_Shipments[RM_Code],$A20,T_Shipments[Effective_Week],78)</f>
        <v/>
      </c>
      <c r="CB20">
        <f>SUMIFS(T_Shipments[Confirmed_Qty],T_Shipments[RM_Code],$A20,T_Shipments[Effective_Week],79)</f>
        <v/>
      </c>
      <c r="CC20">
        <f>SUMIFS(T_Shipments[Confirmed_Qty],T_Shipments[RM_Code],$A20,T_Shipments[Effective_Week],80)</f>
        <v/>
      </c>
      <c r="CD20">
        <f>SUMIFS(T_Shipments[Confirmed_Qty],T_Shipments[RM_Code],$A20,T_Shipments[Effective_Week],81)</f>
        <v/>
      </c>
      <c r="CE20">
        <f>SUMIFS(T_Shipments[Confirmed_Qty],T_Shipments[RM_Code],$A20,T_Shipments[Effective_Week],82)</f>
        <v/>
      </c>
      <c r="CF20">
        <f>SUMIFS(T_Shipments[Confirmed_Qty],T_Shipments[RM_Code],$A20,T_Shipments[Effective_Week],83)</f>
        <v/>
      </c>
      <c r="CG20">
        <f>SUMIFS(T_Shipments[Confirmed_Qty],T_Shipments[RM_Code],$A20,T_Shipments[Effective_Week],84)</f>
        <v/>
      </c>
      <c r="CH20">
        <f>SUMIFS(T_Shipments[Confirmed_Qty],T_Shipments[RM_Code],$A20,T_Shipments[Effective_Week],85)</f>
        <v/>
      </c>
      <c r="CI20">
        <f>SUMIFS(T_Shipments[Confirmed_Qty],T_Shipments[RM_Code],$A20,T_Shipments[Effective_Week],86)</f>
        <v/>
      </c>
      <c r="CJ20">
        <f>SUMIFS(T_Shipments[Confirmed_Qty],T_Shipments[RM_Code],$A20,T_Shipments[Effective_Week],87)</f>
        <v/>
      </c>
      <c r="CK20">
        <f>SUMIFS(T_Shipments[Confirmed_Qty],T_Shipments[RM_Code],$A20,T_Shipments[Effective_Week],88)</f>
        <v/>
      </c>
      <c r="CL20">
        <f>SUMIFS(T_Shipments[Confirmed_Qty],T_Shipments[RM_Code],$A20,T_Shipments[Effective_Week],89)</f>
        <v/>
      </c>
      <c r="CM20">
        <f>SUMIFS(T_Shipments[Confirmed_Qty],T_Shipments[RM_Code],$A20,T_Shipments[Effective_Week],90)</f>
        <v/>
      </c>
      <c r="CN20">
        <f>SUMIFS(T_Shipments[Confirmed_Qty],T_Shipments[RM_Code],$A20,T_Shipments[Effective_Week],91)</f>
        <v/>
      </c>
      <c r="CO20">
        <f>SUMIFS(T_Shipments[Confirmed_Qty],T_Shipments[RM_Code],$A20,T_Shipments[Effective_Week],92)</f>
        <v/>
      </c>
      <c r="CP20">
        <f>SUMIFS(T_Shipments[Confirmed_Qty],T_Shipments[RM_Code],$A20,T_Shipments[Effective_Week],93)</f>
        <v/>
      </c>
      <c r="CQ20">
        <f>SUMIFS(T_Shipments[Confirmed_Qty],T_Shipments[RM_Code],$A20,T_Shipments[Effective_Week],94)</f>
        <v/>
      </c>
      <c r="CR20">
        <f>SUMIFS(T_Shipments[Confirmed_Qty],T_Shipments[RM_Code],$A20,T_Shipments[Effective_Week],95)</f>
        <v/>
      </c>
      <c r="CS20">
        <f>SUMIFS(T_Shipments[Confirmed_Qty],T_Shipments[RM_Code],$A20,T_Shipments[Effective_Week],96)</f>
        <v/>
      </c>
      <c r="CT20">
        <f>SUMIFS(T_Shipments[Confirmed_Qty],T_Shipments[RM_Code],$A20,T_Shipments[Effective_Week],97)</f>
        <v/>
      </c>
      <c r="CU20">
        <f>SUMIFS(T_Shipments[Confirmed_Qty],T_Shipments[RM_Code],$A20,T_Shipments[Effective_Week],98)</f>
        <v/>
      </c>
      <c r="CV20">
        <f>SUMIFS(T_Shipments[Confirmed_Qty],T_Shipments[RM_Code],$A20,T_Shipments[Effective_Week],99)</f>
        <v/>
      </c>
      <c r="CW20">
        <f>SUMIFS(T_Shipments[Confirmed_Qty],T_Shipments[RM_Code],$A20,T_Shipments[Effective_Week],100)</f>
        <v/>
      </c>
      <c r="CX20">
        <f>SUMIFS(T_Shipments[Confirmed_Qty],T_Shipments[RM_Code],$A20,T_Shipments[Effective_Week],101)</f>
        <v/>
      </c>
      <c r="CY20">
        <f>SUMIFS(T_Shipments[Confirmed_Qty],T_Shipments[RM_Code],$A20,T_Shipments[Effective_Week],102)</f>
        <v/>
      </c>
      <c r="CZ20">
        <f>SUMIFS(T_Shipments[Confirmed_Qty],T_Shipments[RM_Code],$A20,T_Shipments[Effective_Week],103)</f>
        <v/>
      </c>
      <c r="DA20">
        <f>SUMIFS(T_Shipments[Confirmed_Qty],T_Shipments[RM_Code],$A20,T_Shipments[Effective_Week],104)</f>
        <v/>
      </c>
    </row>
    <row r="21">
      <c r="A21" t="inlineStr">
        <is>
          <t>CHEM-1660</t>
        </is>
      </c>
      <c r="B21">
        <f>SUMIFS(T_Shipments[Confirmed_Qty],T_Shipments[RM_Code],$A21,T_Shipments[Effective_Week],1)</f>
        <v/>
      </c>
      <c r="C21">
        <f>SUMIFS(T_Shipments[Confirmed_Qty],T_Shipments[RM_Code],$A21,T_Shipments[Effective_Week],2)</f>
        <v/>
      </c>
      <c r="D21">
        <f>SUMIFS(T_Shipments[Confirmed_Qty],T_Shipments[RM_Code],$A21,T_Shipments[Effective_Week],3)</f>
        <v/>
      </c>
      <c r="E21">
        <f>SUMIFS(T_Shipments[Confirmed_Qty],T_Shipments[RM_Code],$A21,T_Shipments[Effective_Week],4)</f>
        <v/>
      </c>
      <c r="F21">
        <f>SUMIFS(T_Shipments[Confirmed_Qty],T_Shipments[RM_Code],$A21,T_Shipments[Effective_Week],5)</f>
        <v/>
      </c>
      <c r="G21">
        <f>SUMIFS(T_Shipments[Confirmed_Qty],T_Shipments[RM_Code],$A21,T_Shipments[Effective_Week],6)</f>
        <v/>
      </c>
      <c r="H21">
        <f>SUMIFS(T_Shipments[Confirmed_Qty],T_Shipments[RM_Code],$A21,T_Shipments[Effective_Week],7)</f>
        <v/>
      </c>
      <c r="I21">
        <f>SUMIFS(T_Shipments[Confirmed_Qty],T_Shipments[RM_Code],$A21,T_Shipments[Effective_Week],8)</f>
        <v/>
      </c>
      <c r="J21">
        <f>SUMIFS(T_Shipments[Confirmed_Qty],T_Shipments[RM_Code],$A21,T_Shipments[Effective_Week],9)</f>
        <v/>
      </c>
      <c r="K21">
        <f>SUMIFS(T_Shipments[Confirmed_Qty],T_Shipments[RM_Code],$A21,T_Shipments[Effective_Week],10)</f>
        <v/>
      </c>
      <c r="L21">
        <f>SUMIFS(T_Shipments[Confirmed_Qty],T_Shipments[RM_Code],$A21,T_Shipments[Effective_Week],11)</f>
        <v/>
      </c>
      <c r="M21">
        <f>SUMIFS(T_Shipments[Confirmed_Qty],T_Shipments[RM_Code],$A21,T_Shipments[Effective_Week],12)</f>
        <v/>
      </c>
      <c r="N21">
        <f>SUMIFS(T_Shipments[Confirmed_Qty],T_Shipments[RM_Code],$A21,T_Shipments[Effective_Week],13)</f>
        <v/>
      </c>
      <c r="O21">
        <f>SUMIFS(T_Shipments[Confirmed_Qty],T_Shipments[RM_Code],$A21,T_Shipments[Effective_Week],14)</f>
        <v/>
      </c>
      <c r="P21">
        <f>SUMIFS(T_Shipments[Confirmed_Qty],T_Shipments[RM_Code],$A21,T_Shipments[Effective_Week],15)</f>
        <v/>
      </c>
      <c r="Q21">
        <f>SUMIFS(T_Shipments[Confirmed_Qty],T_Shipments[RM_Code],$A21,T_Shipments[Effective_Week],16)</f>
        <v/>
      </c>
      <c r="R21">
        <f>SUMIFS(T_Shipments[Confirmed_Qty],T_Shipments[RM_Code],$A21,T_Shipments[Effective_Week],17)</f>
        <v/>
      </c>
      <c r="S21">
        <f>SUMIFS(T_Shipments[Confirmed_Qty],T_Shipments[RM_Code],$A21,T_Shipments[Effective_Week],18)</f>
        <v/>
      </c>
      <c r="T21">
        <f>SUMIFS(T_Shipments[Confirmed_Qty],T_Shipments[RM_Code],$A21,T_Shipments[Effective_Week],19)</f>
        <v/>
      </c>
      <c r="U21">
        <f>SUMIFS(T_Shipments[Confirmed_Qty],T_Shipments[RM_Code],$A21,T_Shipments[Effective_Week],20)</f>
        <v/>
      </c>
      <c r="V21">
        <f>SUMIFS(T_Shipments[Confirmed_Qty],T_Shipments[RM_Code],$A21,T_Shipments[Effective_Week],21)</f>
        <v/>
      </c>
      <c r="W21">
        <f>SUMIFS(T_Shipments[Confirmed_Qty],T_Shipments[RM_Code],$A21,T_Shipments[Effective_Week],22)</f>
        <v/>
      </c>
      <c r="X21">
        <f>SUMIFS(T_Shipments[Confirmed_Qty],T_Shipments[RM_Code],$A21,T_Shipments[Effective_Week],23)</f>
        <v/>
      </c>
      <c r="Y21">
        <f>SUMIFS(T_Shipments[Confirmed_Qty],T_Shipments[RM_Code],$A21,T_Shipments[Effective_Week],24)</f>
        <v/>
      </c>
      <c r="Z21">
        <f>SUMIFS(T_Shipments[Confirmed_Qty],T_Shipments[RM_Code],$A21,T_Shipments[Effective_Week],25)</f>
        <v/>
      </c>
      <c r="AA21">
        <f>SUMIFS(T_Shipments[Confirmed_Qty],T_Shipments[RM_Code],$A21,T_Shipments[Effective_Week],26)</f>
        <v/>
      </c>
      <c r="AB21">
        <f>SUMIFS(T_Shipments[Confirmed_Qty],T_Shipments[RM_Code],$A21,T_Shipments[Effective_Week],27)</f>
        <v/>
      </c>
      <c r="AC21">
        <f>SUMIFS(T_Shipments[Confirmed_Qty],T_Shipments[RM_Code],$A21,T_Shipments[Effective_Week],28)</f>
        <v/>
      </c>
      <c r="AD21">
        <f>SUMIFS(T_Shipments[Confirmed_Qty],T_Shipments[RM_Code],$A21,T_Shipments[Effective_Week],29)</f>
        <v/>
      </c>
      <c r="AE21">
        <f>SUMIFS(T_Shipments[Confirmed_Qty],T_Shipments[RM_Code],$A21,T_Shipments[Effective_Week],30)</f>
        <v/>
      </c>
      <c r="AF21">
        <f>SUMIFS(T_Shipments[Confirmed_Qty],T_Shipments[RM_Code],$A21,T_Shipments[Effective_Week],31)</f>
        <v/>
      </c>
      <c r="AG21">
        <f>SUMIFS(T_Shipments[Confirmed_Qty],T_Shipments[RM_Code],$A21,T_Shipments[Effective_Week],32)</f>
        <v/>
      </c>
      <c r="AH21">
        <f>SUMIFS(T_Shipments[Confirmed_Qty],T_Shipments[RM_Code],$A21,T_Shipments[Effective_Week],33)</f>
        <v/>
      </c>
      <c r="AI21">
        <f>SUMIFS(T_Shipments[Confirmed_Qty],T_Shipments[RM_Code],$A21,T_Shipments[Effective_Week],34)</f>
        <v/>
      </c>
      <c r="AJ21">
        <f>SUMIFS(T_Shipments[Confirmed_Qty],T_Shipments[RM_Code],$A21,T_Shipments[Effective_Week],35)</f>
        <v/>
      </c>
      <c r="AK21">
        <f>SUMIFS(T_Shipments[Confirmed_Qty],T_Shipments[RM_Code],$A21,T_Shipments[Effective_Week],36)</f>
        <v/>
      </c>
      <c r="AL21">
        <f>SUMIFS(T_Shipments[Confirmed_Qty],T_Shipments[RM_Code],$A21,T_Shipments[Effective_Week],37)</f>
        <v/>
      </c>
      <c r="AM21">
        <f>SUMIFS(T_Shipments[Confirmed_Qty],T_Shipments[RM_Code],$A21,T_Shipments[Effective_Week],38)</f>
        <v/>
      </c>
      <c r="AN21">
        <f>SUMIFS(T_Shipments[Confirmed_Qty],T_Shipments[RM_Code],$A21,T_Shipments[Effective_Week],39)</f>
        <v/>
      </c>
      <c r="AO21">
        <f>SUMIFS(T_Shipments[Confirmed_Qty],T_Shipments[RM_Code],$A21,T_Shipments[Effective_Week],40)</f>
        <v/>
      </c>
      <c r="AP21">
        <f>SUMIFS(T_Shipments[Confirmed_Qty],T_Shipments[RM_Code],$A21,T_Shipments[Effective_Week],41)</f>
        <v/>
      </c>
      <c r="AQ21">
        <f>SUMIFS(T_Shipments[Confirmed_Qty],T_Shipments[RM_Code],$A21,T_Shipments[Effective_Week],42)</f>
        <v/>
      </c>
      <c r="AR21">
        <f>SUMIFS(T_Shipments[Confirmed_Qty],T_Shipments[RM_Code],$A21,T_Shipments[Effective_Week],43)</f>
        <v/>
      </c>
      <c r="AS21">
        <f>SUMIFS(T_Shipments[Confirmed_Qty],T_Shipments[RM_Code],$A21,T_Shipments[Effective_Week],44)</f>
        <v/>
      </c>
      <c r="AT21">
        <f>SUMIFS(T_Shipments[Confirmed_Qty],T_Shipments[RM_Code],$A21,T_Shipments[Effective_Week],45)</f>
        <v/>
      </c>
      <c r="AU21">
        <f>SUMIFS(T_Shipments[Confirmed_Qty],T_Shipments[RM_Code],$A21,T_Shipments[Effective_Week],46)</f>
        <v/>
      </c>
      <c r="AV21">
        <f>SUMIFS(T_Shipments[Confirmed_Qty],T_Shipments[RM_Code],$A21,T_Shipments[Effective_Week],47)</f>
        <v/>
      </c>
      <c r="AW21">
        <f>SUMIFS(T_Shipments[Confirmed_Qty],T_Shipments[RM_Code],$A21,T_Shipments[Effective_Week],48)</f>
        <v/>
      </c>
      <c r="AX21">
        <f>SUMIFS(T_Shipments[Confirmed_Qty],T_Shipments[RM_Code],$A21,T_Shipments[Effective_Week],49)</f>
        <v/>
      </c>
      <c r="AY21">
        <f>SUMIFS(T_Shipments[Confirmed_Qty],T_Shipments[RM_Code],$A21,T_Shipments[Effective_Week],50)</f>
        <v/>
      </c>
      <c r="AZ21">
        <f>SUMIFS(T_Shipments[Confirmed_Qty],T_Shipments[RM_Code],$A21,T_Shipments[Effective_Week],51)</f>
        <v/>
      </c>
      <c r="BA21">
        <f>SUMIFS(T_Shipments[Confirmed_Qty],T_Shipments[RM_Code],$A21,T_Shipments[Effective_Week],52)</f>
        <v/>
      </c>
      <c r="BB21">
        <f>SUMIFS(T_Shipments[Confirmed_Qty],T_Shipments[RM_Code],$A21,T_Shipments[Effective_Week],53)</f>
        <v/>
      </c>
      <c r="BC21">
        <f>SUMIFS(T_Shipments[Confirmed_Qty],T_Shipments[RM_Code],$A21,T_Shipments[Effective_Week],54)</f>
        <v/>
      </c>
      <c r="BD21">
        <f>SUMIFS(T_Shipments[Confirmed_Qty],T_Shipments[RM_Code],$A21,T_Shipments[Effective_Week],55)</f>
        <v/>
      </c>
      <c r="BE21">
        <f>SUMIFS(T_Shipments[Confirmed_Qty],T_Shipments[RM_Code],$A21,T_Shipments[Effective_Week],56)</f>
        <v/>
      </c>
      <c r="BF21">
        <f>SUMIFS(T_Shipments[Confirmed_Qty],T_Shipments[RM_Code],$A21,T_Shipments[Effective_Week],57)</f>
        <v/>
      </c>
      <c r="BG21">
        <f>SUMIFS(T_Shipments[Confirmed_Qty],T_Shipments[RM_Code],$A21,T_Shipments[Effective_Week],58)</f>
        <v/>
      </c>
      <c r="BH21">
        <f>SUMIFS(T_Shipments[Confirmed_Qty],T_Shipments[RM_Code],$A21,T_Shipments[Effective_Week],59)</f>
        <v/>
      </c>
      <c r="BI21">
        <f>SUMIFS(T_Shipments[Confirmed_Qty],T_Shipments[RM_Code],$A21,T_Shipments[Effective_Week],60)</f>
        <v/>
      </c>
      <c r="BJ21">
        <f>SUMIFS(T_Shipments[Confirmed_Qty],T_Shipments[RM_Code],$A21,T_Shipments[Effective_Week],61)</f>
        <v/>
      </c>
      <c r="BK21">
        <f>SUMIFS(T_Shipments[Confirmed_Qty],T_Shipments[RM_Code],$A21,T_Shipments[Effective_Week],62)</f>
        <v/>
      </c>
      <c r="BL21">
        <f>SUMIFS(T_Shipments[Confirmed_Qty],T_Shipments[RM_Code],$A21,T_Shipments[Effective_Week],63)</f>
        <v/>
      </c>
      <c r="BM21">
        <f>SUMIFS(T_Shipments[Confirmed_Qty],T_Shipments[RM_Code],$A21,T_Shipments[Effective_Week],64)</f>
        <v/>
      </c>
      <c r="BN21">
        <f>SUMIFS(T_Shipments[Confirmed_Qty],T_Shipments[RM_Code],$A21,T_Shipments[Effective_Week],65)</f>
        <v/>
      </c>
      <c r="BO21">
        <f>SUMIFS(T_Shipments[Confirmed_Qty],T_Shipments[RM_Code],$A21,T_Shipments[Effective_Week],66)</f>
        <v/>
      </c>
      <c r="BP21">
        <f>SUMIFS(T_Shipments[Confirmed_Qty],T_Shipments[RM_Code],$A21,T_Shipments[Effective_Week],67)</f>
        <v/>
      </c>
      <c r="BQ21">
        <f>SUMIFS(T_Shipments[Confirmed_Qty],T_Shipments[RM_Code],$A21,T_Shipments[Effective_Week],68)</f>
        <v/>
      </c>
      <c r="BR21">
        <f>SUMIFS(T_Shipments[Confirmed_Qty],T_Shipments[RM_Code],$A21,T_Shipments[Effective_Week],69)</f>
        <v/>
      </c>
      <c r="BS21">
        <f>SUMIFS(T_Shipments[Confirmed_Qty],T_Shipments[RM_Code],$A21,T_Shipments[Effective_Week],70)</f>
        <v/>
      </c>
      <c r="BT21">
        <f>SUMIFS(T_Shipments[Confirmed_Qty],T_Shipments[RM_Code],$A21,T_Shipments[Effective_Week],71)</f>
        <v/>
      </c>
      <c r="BU21">
        <f>SUMIFS(T_Shipments[Confirmed_Qty],T_Shipments[RM_Code],$A21,T_Shipments[Effective_Week],72)</f>
        <v/>
      </c>
      <c r="BV21">
        <f>SUMIFS(T_Shipments[Confirmed_Qty],T_Shipments[RM_Code],$A21,T_Shipments[Effective_Week],73)</f>
        <v/>
      </c>
      <c r="BW21">
        <f>SUMIFS(T_Shipments[Confirmed_Qty],T_Shipments[RM_Code],$A21,T_Shipments[Effective_Week],74)</f>
        <v/>
      </c>
      <c r="BX21">
        <f>SUMIFS(T_Shipments[Confirmed_Qty],T_Shipments[RM_Code],$A21,T_Shipments[Effective_Week],75)</f>
        <v/>
      </c>
      <c r="BY21">
        <f>SUMIFS(T_Shipments[Confirmed_Qty],T_Shipments[RM_Code],$A21,T_Shipments[Effective_Week],76)</f>
        <v/>
      </c>
      <c r="BZ21">
        <f>SUMIFS(T_Shipments[Confirmed_Qty],T_Shipments[RM_Code],$A21,T_Shipments[Effective_Week],77)</f>
        <v/>
      </c>
      <c r="CA21">
        <f>SUMIFS(T_Shipments[Confirmed_Qty],T_Shipments[RM_Code],$A21,T_Shipments[Effective_Week],78)</f>
        <v/>
      </c>
      <c r="CB21">
        <f>SUMIFS(T_Shipments[Confirmed_Qty],T_Shipments[RM_Code],$A21,T_Shipments[Effective_Week],79)</f>
        <v/>
      </c>
      <c r="CC21">
        <f>SUMIFS(T_Shipments[Confirmed_Qty],T_Shipments[RM_Code],$A21,T_Shipments[Effective_Week],80)</f>
        <v/>
      </c>
      <c r="CD21">
        <f>SUMIFS(T_Shipments[Confirmed_Qty],T_Shipments[RM_Code],$A21,T_Shipments[Effective_Week],81)</f>
        <v/>
      </c>
      <c r="CE21">
        <f>SUMIFS(T_Shipments[Confirmed_Qty],T_Shipments[RM_Code],$A21,T_Shipments[Effective_Week],82)</f>
        <v/>
      </c>
      <c r="CF21">
        <f>SUMIFS(T_Shipments[Confirmed_Qty],T_Shipments[RM_Code],$A21,T_Shipments[Effective_Week],83)</f>
        <v/>
      </c>
      <c r="CG21">
        <f>SUMIFS(T_Shipments[Confirmed_Qty],T_Shipments[RM_Code],$A21,T_Shipments[Effective_Week],84)</f>
        <v/>
      </c>
      <c r="CH21">
        <f>SUMIFS(T_Shipments[Confirmed_Qty],T_Shipments[RM_Code],$A21,T_Shipments[Effective_Week],85)</f>
        <v/>
      </c>
      <c r="CI21">
        <f>SUMIFS(T_Shipments[Confirmed_Qty],T_Shipments[RM_Code],$A21,T_Shipments[Effective_Week],86)</f>
        <v/>
      </c>
      <c r="CJ21">
        <f>SUMIFS(T_Shipments[Confirmed_Qty],T_Shipments[RM_Code],$A21,T_Shipments[Effective_Week],87)</f>
        <v/>
      </c>
      <c r="CK21">
        <f>SUMIFS(T_Shipments[Confirmed_Qty],T_Shipments[RM_Code],$A21,T_Shipments[Effective_Week],88)</f>
        <v/>
      </c>
      <c r="CL21">
        <f>SUMIFS(T_Shipments[Confirmed_Qty],T_Shipments[RM_Code],$A21,T_Shipments[Effective_Week],89)</f>
        <v/>
      </c>
      <c r="CM21">
        <f>SUMIFS(T_Shipments[Confirmed_Qty],T_Shipments[RM_Code],$A21,T_Shipments[Effective_Week],90)</f>
        <v/>
      </c>
      <c r="CN21">
        <f>SUMIFS(T_Shipments[Confirmed_Qty],T_Shipments[RM_Code],$A21,T_Shipments[Effective_Week],91)</f>
        <v/>
      </c>
      <c r="CO21">
        <f>SUMIFS(T_Shipments[Confirmed_Qty],T_Shipments[RM_Code],$A21,T_Shipments[Effective_Week],92)</f>
        <v/>
      </c>
      <c r="CP21">
        <f>SUMIFS(T_Shipments[Confirmed_Qty],T_Shipments[RM_Code],$A21,T_Shipments[Effective_Week],93)</f>
        <v/>
      </c>
      <c r="CQ21">
        <f>SUMIFS(T_Shipments[Confirmed_Qty],T_Shipments[RM_Code],$A21,T_Shipments[Effective_Week],94)</f>
        <v/>
      </c>
      <c r="CR21">
        <f>SUMIFS(T_Shipments[Confirmed_Qty],T_Shipments[RM_Code],$A21,T_Shipments[Effective_Week],95)</f>
        <v/>
      </c>
      <c r="CS21">
        <f>SUMIFS(T_Shipments[Confirmed_Qty],T_Shipments[RM_Code],$A21,T_Shipments[Effective_Week],96)</f>
        <v/>
      </c>
      <c r="CT21">
        <f>SUMIFS(T_Shipments[Confirmed_Qty],T_Shipments[RM_Code],$A21,T_Shipments[Effective_Week],97)</f>
        <v/>
      </c>
      <c r="CU21">
        <f>SUMIFS(T_Shipments[Confirmed_Qty],T_Shipments[RM_Code],$A21,T_Shipments[Effective_Week],98)</f>
        <v/>
      </c>
      <c r="CV21">
        <f>SUMIFS(T_Shipments[Confirmed_Qty],T_Shipments[RM_Code],$A21,T_Shipments[Effective_Week],99)</f>
        <v/>
      </c>
      <c r="CW21">
        <f>SUMIFS(T_Shipments[Confirmed_Qty],T_Shipments[RM_Code],$A21,T_Shipments[Effective_Week],100)</f>
        <v/>
      </c>
      <c r="CX21">
        <f>SUMIFS(T_Shipments[Confirmed_Qty],T_Shipments[RM_Code],$A21,T_Shipments[Effective_Week],101)</f>
        <v/>
      </c>
      <c r="CY21">
        <f>SUMIFS(T_Shipments[Confirmed_Qty],T_Shipments[RM_Code],$A21,T_Shipments[Effective_Week],102)</f>
        <v/>
      </c>
      <c r="CZ21">
        <f>SUMIFS(T_Shipments[Confirmed_Qty],T_Shipments[RM_Code],$A21,T_Shipments[Effective_Week],103)</f>
        <v/>
      </c>
      <c r="DA21">
        <f>SUMIFS(T_Shipments[Confirmed_Qty],T_Shipments[RM_Code],$A21,T_Shipments[Effective_Week],104)</f>
        <v/>
      </c>
    </row>
    <row r="22">
      <c r="A22" t="inlineStr">
        <is>
          <t>CHEM-1600</t>
        </is>
      </c>
      <c r="B22">
        <f>SUMIFS(T_Shipments[Confirmed_Qty],T_Shipments[RM_Code],$A22,T_Shipments[Effective_Week],1)</f>
        <v/>
      </c>
      <c r="C22">
        <f>SUMIFS(T_Shipments[Confirmed_Qty],T_Shipments[RM_Code],$A22,T_Shipments[Effective_Week],2)</f>
        <v/>
      </c>
      <c r="D22">
        <f>SUMIFS(T_Shipments[Confirmed_Qty],T_Shipments[RM_Code],$A22,T_Shipments[Effective_Week],3)</f>
        <v/>
      </c>
      <c r="E22">
        <f>SUMIFS(T_Shipments[Confirmed_Qty],T_Shipments[RM_Code],$A22,T_Shipments[Effective_Week],4)</f>
        <v/>
      </c>
      <c r="F22">
        <f>SUMIFS(T_Shipments[Confirmed_Qty],T_Shipments[RM_Code],$A22,T_Shipments[Effective_Week],5)</f>
        <v/>
      </c>
      <c r="G22">
        <f>SUMIFS(T_Shipments[Confirmed_Qty],T_Shipments[RM_Code],$A22,T_Shipments[Effective_Week],6)</f>
        <v/>
      </c>
      <c r="H22">
        <f>SUMIFS(T_Shipments[Confirmed_Qty],T_Shipments[RM_Code],$A22,T_Shipments[Effective_Week],7)</f>
        <v/>
      </c>
      <c r="I22">
        <f>SUMIFS(T_Shipments[Confirmed_Qty],T_Shipments[RM_Code],$A22,T_Shipments[Effective_Week],8)</f>
        <v/>
      </c>
      <c r="J22">
        <f>SUMIFS(T_Shipments[Confirmed_Qty],T_Shipments[RM_Code],$A22,T_Shipments[Effective_Week],9)</f>
        <v/>
      </c>
      <c r="K22">
        <f>SUMIFS(T_Shipments[Confirmed_Qty],T_Shipments[RM_Code],$A22,T_Shipments[Effective_Week],10)</f>
        <v/>
      </c>
      <c r="L22">
        <f>SUMIFS(T_Shipments[Confirmed_Qty],T_Shipments[RM_Code],$A22,T_Shipments[Effective_Week],11)</f>
        <v/>
      </c>
      <c r="M22">
        <f>SUMIFS(T_Shipments[Confirmed_Qty],T_Shipments[RM_Code],$A22,T_Shipments[Effective_Week],12)</f>
        <v/>
      </c>
      <c r="N22">
        <f>SUMIFS(T_Shipments[Confirmed_Qty],T_Shipments[RM_Code],$A22,T_Shipments[Effective_Week],13)</f>
        <v/>
      </c>
      <c r="O22">
        <f>SUMIFS(T_Shipments[Confirmed_Qty],T_Shipments[RM_Code],$A22,T_Shipments[Effective_Week],14)</f>
        <v/>
      </c>
      <c r="P22">
        <f>SUMIFS(T_Shipments[Confirmed_Qty],T_Shipments[RM_Code],$A22,T_Shipments[Effective_Week],15)</f>
        <v/>
      </c>
      <c r="Q22">
        <f>SUMIFS(T_Shipments[Confirmed_Qty],T_Shipments[RM_Code],$A22,T_Shipments[Effective_Week],16)</f>
        <v/>
      </c>
      <c r="R22">
        <f>SUMIFS(T_Shipments[Confirmed_Qty],T_Shipments[RM_Code],$A22,T_Shipments[Effective_Week],17)</f>
        <v/>
      </c>
      <c r="S22">
        <f>SUMIFS(T_Shipments[Confirmed_Qty],T_Shipments[RM_Code],$A22,T_Shipments[Effective_Week],18)</f>
        <v/>
      </c>
      <c r="T22">
        <f>SUMIFS(T_Shipments[Confirmed_Qty],T_Shipments[RM_Code],$A22,T_Shipments[Effective_Week],19)</f>
        <v/>
      </c>
      <c r="U22">
        <f>SUMIFS(T_Shipments[Confirmed_Qty],T_Shipments[RM_Code],$A22,T_Shipments[Effective_Week],20)</f>
        <v/>
      </c>
      <c r="V22">
        <f>SUMIFS(T_Shipments[Confirmed_Qty],T_Shipments[RM_Code],$A22,T_Shipments[Effective_Week],21)</f>
        <v/>
      </c>
      <c r="W22">
        <f>SUMIFS(T_Shipments[Confirmed_Qty],T_Shipments[RM_Code],$A22,T_Shipments[Effective_Week],22)</f>
        <v/>
      </c>
      <c r="X22">
        <f>SUMIFS(T_Shipments[Confirmed_Qty],T_Shipments[RM_Code],$A22,T_Shipments[Effective_Week],23)</f>
        <v/>
      </c>
      <c r="Y22">
        <f>SUMIFS(T_Shipments[Confirmed_Qty],T_Shipments[RM_Code],$A22,T_Shipments[Effective_Week],24)</f>
        <v/>
      </c>
      <c r="Z22">
        <f>SUMIFS(T_Shipments[Confirmed_Qty],T_Shipments[RM_Code],$A22,T_Shipments[Effective_Week],25)</f>
        <v/>
      </c>
      <c r="AA22">
        <f>SUMIFS(T_Shipments[Confirmed_Qty],T_Shipments[RM_Code],$A22,T_Shipments[Effective_Week],26)</f>
        <v/>
      </c>
      <c r="AB22">
        <f>SUMIFS(T_Shipments[Confirmed_Qty],T_Shipments[RM_Code],$A22,T_Shipments[Effective_Week],27)</f>
        <v/>
      </c>
      <c r="AC22">
        <f>SUMIFS(T_Shipments[Confirmed_Qty],T_Shipments[RM_Code],$A22,T_Shipments[Effective_Week],28)</f>
        <v/>
      </c>
      <c r="AD22">
        <f>SUMIFS(T_Shipments[Confirmed_Qty],T_Shipments[RM_Code],$A22,T_Shipments[Effective_Week],29)</f>
        <v/>
      </c>
      <c r="AE22">
        <f>SUMIFS(T_Shipments[Confirmed_Qty],T_Shipments[RM_Code],$A22,T_Shipments[Effective_Week],30)</f>
        <v/>
      </c>
      <c r="AF22">
        <f>SUMIFS(T_Shipments[Confirmed_Qty],T_Shipments[RM_Code],$A22,T_Shipments[Effective_Week],31)</f>
        <v/>
      </c>
      <c r="AG22">
        <f>SUMIFS(T_Shipments[Confirmed_Qty],T_Shipments[RM_Code],$A22,T_Shipments[Effective_Week],32)</f>
        <v/>
      </c>
      <c r="AH22">
        <f>SUMIFS(T_Shipments[Confirmed_Qty],T_Shipments[RM_Code],$A22,T_Shipments[Effective_Week],33)</f>
        <v/>
      </c>
      <c r="AI22">
        <f>SUMIFS(T_Shipments[Confirmed_Qty],T_Shipments[RM_Code],$A22,T_Shipments[Effective_Week],34)</f>
        <v/>
      </c>
      <c r="AJ22">
        <f>SUMIFS(T_Shipments[Confirmed_Qty],T_Shipments[RM_Code],$A22,T_Shipments[Effective_Week],35)</f>
        <v/>
      </c>
      <c r="AK22">
        <f>SUMIFS(T_Shipments[Confirmed_Qty],T_Shipments[RM_Code],$A22,T_Shipments[Effective_Week],36)</f>
        <v/>
      </c>
      <c r="AL22">
        <f>SUMIFS(T_Shipments[Confirmed_Qty],T_Shipments[RM_Code],$A22,T_Shipments[Effective_Week],37)</f>
        <v/>
      </c>
      <c r="AM22">
        <f>SUMIFS(T_Shipments[Confirmed_Qty],T_Shipments[RM_Code],$A22,T_Shipments[Effective_Week],38)</f>
        <v/>
      </c>
      <c r="AN22">
        <f>SUMIFS(T_Shipments[Confirmed_Qty],T_Shipments[RM_Code],$A22,T_Shipments[Effective_Week],39)</f>
        <v/>
      </c>
      <c r="AO22">
        <f>SUMIFS(T_Shipments[Confirmed_Qty],T_Shipments[RM_Code],$A22,T_Shipments[Effective_Week],40)</f>
        <v/>
      </c>
      <c r="AP22">
        <f>SUMIFS(T_Shipments[Confirmed_Qty],T_Shipments[RM_Code],$A22,T_Shipments[Effective_Week],41)</f>
        <v/>
      </c>
      <c r="AQ22">
        <f>SUMIFS(T_Shipments[Confirmed_Qty],T_Shipments[RM_Code],$A22,T_Shipments[Effective_Week],42)</f>
        <v/>
      </c>
      <c r="AR22">
        <f>SUMIFS(T_Shipments[Confirmed_Qty],T_Shipments[RM_Code],$A22,T_Shipments[Effective_Week],43)</f>
        <v/>
      </c>
      <c r="AS22">
        <f>SUMIFS(T_Shipments[Confirmed_Qty],T_Shipments[RM_Code],$A22,T_Shipments[Effective_Week],44)</f>
        <v/>
      </c>
      <c r="AT22">
        <f>SUMIFS(T_Shipments[Confirmed_Qty],T_Shipments[RM_Code],$A22,T_Shipments[Effective_Week],45)</f>
        <v/>
      </c>
      <c r="AU22">
        <f>SUMIFS(T_Shipments[Confirmed_Qty],T_Shipments[RM_Code],$A22,T_Shipments[Effective_Week],46)</f>
        <v/>
      </c>
      <c r="AV22">
        <f>SUMIFS(T_Shipments[Confirmed_Qty],T_Shipments[RM_Code],$A22,T_Shipments[Effective_Week],47)</f>
        <v/>
      </c>
      <c r="AW22">
        <f>SUMIFS(T_Shipments[Confirmed_Qty],T_Shipments[RM_Code],$A22,T_Shipments[Effective_Week],48)</f>
        <v/>
      </c>
      <c r="AX22">
        <f>SUMIFS(T_Shipments[Confirmed_Qty],T_Shipments[RM_Code],$A22,T_Shipments[Effective_Week],49)</f>
        <v/>
      </c>
      <c r="AY22">
        <f>SUMIFS(T_Shipments[Confirmed_Qty],T_Shipments[RM_Code],$A22,T_Shipments[Effective_Week],50)</f>
        <v/>
      </c>
      <c r="AZ22">
        <f>SUMIFS(T_Shipments[Confirmed_Qty],T_Shipments[RM_Code],$A22,T_Shipments[Effective_Week],51)</f>
        <v/>
      </c>
      <c r="BA22">
        <f>SUMIFS(T_Shipments[Confirmed_Qty],T_Shipments[RM_Code],$A22,T_Shipments[Effective_Week],52)</f>
        <v/>
      </c>
      <c r="BB22">
        <f>SUMIFS(T_Shipments[Confirmed_Qty],T_Shipments[RM_Code],$A22,T_Shipments[Effective_Week],53)</f>
        <v/>
      </c>
      <c r="BC22">
        <f>SUMIFS(T_Shipments[Confirmed_Qty],T_Shipments[RM_Code],$A22,T_Shipments[Effective_Week],54)</f>
        <v/>
      </c>
      <c r="BD22">
        <f>SUMIFS(T_Shipments[Confirmed_Qty],T_Shipments[RM_Code],$A22,T_Shipments[Effective_Week],55)</f>
        <v/>
      </c>
      <c r="BE22">
        <f>SUMIFS(T_Shipments[Confirmed_Qty],T_Shipments[RM_Code],$A22,T_Shipments[Effective_Week],56)</f>
        <v/>
      </c>
      <c r="BF22">
        <f>SUMIFS(T_Shipments[Confirmed_Qty],T_Shipments[RM_Code],$A22,T_Shipments[Effective_Week],57)</f>
        <v/>
      </c>
      <c r="BG22">
        <f>SUMIFS(T_Shipments[Confirmed_Qty],T_Shipments[RM_Code],$A22,T_Shipments[Effective_Week],58)</f>
        <v/>
      </c>
      <c r="BH22">
        <f>SUMIFS(T_Shipments[Confirmed_Qty],T_Shipments[RM_Code],$A22,T_Shipments[Effective_Week],59)</f>
        <v/>
      </c>
      <c r="BI22">
        <f>SUMIFS(T_Shipments[Confirmed_Qty],T_Shipments[RM_Code],$A22,T_Shipments[Effective_Week],60)</f>
        <v/>
      </c>
      <c r="BJ22">
        <f>SUMIFS(T_Shipments[Confirmed_Qty],T_Shipments[RM_Code],$A22,T_Shipments[Effective_Week],61)</f>
        <v/>
      </c>
      <c r="BK22">
        <f>SUMIFS(T_Shipments[Confirmed_Qty],T_Shipments[RM_Code],$A22,T_Shipments[Effective_Week],62)</f>
        <v/>
      </c>
      <c r="BL22">
        <f>SUMIFS(T_Shipments[Confirmed_Qty],T_Shipments[RM_Code],$A22,T_Shipments[Effective_Week],63)</f>
        <v/>
      </c>
      <c r="BM22">
        <f>SUMIFS(T_Shipments[Confirmed_Qty],T_Shipments[RM_Code],$A22,T_Shipments[Effective_Week],64)</f>
        <v/>
      </c>
      <c r="BN22">
        <f>SUMIFS(T_Shipments[Confirmed_Qty],T_Shipments[RM_Code],$A22,T_Shipments[Effective_Week],65)</f>
        <v/>
      </c>
      <c r="BO22">
        <f>SUMIFS(T_Shipments[Confirmed_Qty],T_Shipments[RM_Code],$A22,T_Shipments[Effective_Week],66)</f>
        <v/>
      </c>
      <c r="BP22">
        <f>SUMIFS(T_Shipments[Confirmed_Qty],T_Shipments[RM_Code],$A22,T_Shipments[Effective_Week],67)</f>
        <v/>
      </c>
      <c r="BQ22">
        <f>SUMIFS(T_Shipments[Confirmed_Qty],T_Shipments[RM_Code],$A22,T_Shipments[Effective_Week],68)</f>
        <v/>
      </c>
      <c r="BR22">
        <f>SUMIFS(T_Shipments[Confirmed_Qty],T_Shipments[RM_Code],$A22,T_Shipments[Effective_Week],69)</f>
        <v/>
      </c>
      <c r="BS22">
        <f>SUMIFS(T_Shipments[Confirmed_Qty],T_Shipments[RM_Code],$A22,T_Shipments[Effective_Week],70)</f>
        <v/>
      </c>
      <c r="BT22">
        <f>SUMIFS(T_Shipments[Confirmed_Qty],T_Shipments[RM_Code],$A22,T_Shipments[Effective_Week],71)</f>
        <v/>
      </c>
      <c r="BU22">
        <f>SUMIFS(T_Shipments[Confirmed_Qty],T_Shipments[RM_Code],$A22,T_Shipments[Effective_Week],72)</f>
        <v/>
      </c>
      <c r="BV22">
        <f>SUMIFS(T_Shipments[Confirmed_Qty],T_Shipments[RM_Code],$A22,T_Shipments[Effective_Week],73)</f>
        <v/>
      </c>
      <c r="BW22">
        <f>SUMIFS(T_Shipments[Confirmed_Qty],T_Shipments[RM_Code],$A22,T_Shipments[Effective_Week],74)</f>
        <v/>
      </c>
      <c r="BX22">
        <f>SUMIFS(T_Shipments[Confirmed_Qty],T_Shipments[RM_Code],$A22,T_Shipments[Effective_Week],75)</f>
        <v/>
      </c>
      <c r="BY22">
        <f>SUMIFS(T_Shipments[Confirmed_Qty],T_Shipments[RM_Code],$A22,T_Shipments[Effective_Week],76)</f>
        <v/>
      </c>
      <c r="BZ22">
        <f>SUMIFS(T_Shipments[Confirmed_Qty],T_Shipments[RM_Code],$A22,T_Shipments[Effective_Week],77)</f>
        <v/>
      </c>
      <c r="CA22">
        <f>SUMIFS(T_Shipments[Confirmed_Qty],T_Shipments[RM_Code],$A22,T_Shipments[Effective_Week],78)</f>
        <v/>
      </c>
      <c r="CB22">
        <f>SUMIFS(T_Shipments[Confirmed_Qty],T_Shipments[RM_Code],$A22,T_Shipments[Effective_Week],79)</f>
        <v/>
      </c>
      <c r="CC22">
        <f>SUMIFS(T_Shipments[Confirmed_Qty],T_Shipments[RM_Code],$A22,T_Shipments[Effective_Week],80)</f>
        <v/>
      </c>
      <c r="CD22">
        <f>SUMIFS(T_Shipments[Confirmed_Qty],T_Shipments[RM_Code],$A22,T_Shipments[Effective_Week],81)</f>
        <v/>
      </c>
      <c r="CE22">
        <f>SUMIFS(T_Shipments[Confirmed_Qty],T_Shipments[RM_Code],$A22,T_Shipments[Effective_Week],82)</f>
        <v/>
      </c>
      <c r="CF22">
        <f>SUMIFS(T_Shipments[Confirmed_Qty],T_Shipments[RM_Code],$A22,T_Shipments[Effective_Week],83)</f>
        <v/>
      </c>
      <c r="CG22">
        <f>SUMIFS(T_Shipments[Confirmed_Qty],T_Shipments[RM_Code],$A22,T_Shipments[Effective_Week],84)</f>
        <v/>
      </c>
      <c r="CH22">
        <f>SUMIFS(T_Shipments[Confirmed_Qty],T_Shipments[RM_Code],$A22,T_Shipments[Effective_Week],85)</f>
        <v/>
      </c>
      <c r="CI22">
        <f>SUMIFS(T_Shipments[Confirmed_Qty],T_Shipments[RM_Code],$A22,T_Shipments[Effective_Week],86)</f>
        <v/>
      </c>
      <c r="CJ22">
        <f>SUMIFS(T_Shipments[Confirmed_Qty],T_Shipments[RM_Code],$A22,T_Shipments[Effective_Week],87)</f>
        <v/>
      </c>
      <c r="CK22">
        <f>SUMIFS(T_Shipments[Confirmed_Qty],T_Shipments[RM_Code],$A22,T_Shipments[Effective_Week],88)</f>
        <v/>
      </c>
      <c r="CL22">
        <f>SUMIFS(T_Shipments[Confirmed_Qty],T_Shipments[RM_Code],$A22,T_Shipments[Effective_Week],89)</f>
        <v/>
      </c>
      <c r="CM22">
        <f>SUMIFS(T_Shipments[Confirmed_Qty],T_Shipments[RM_Code],$A22,T_Shipments[Effective_Week],90)</f>
        <v/>
      </c>
      <c r="CN22">
        <f>SUMIFS(T_Shipments[Confirmed_Qty],T_Shipments[RM_Code],$A22,T_Shipments[Effective_Week],91)</f>
        <v/>
      </c>
      <c r="CO22">
        <f>SUMIFS(T_Shipments[Confirmed_Qty],T_Shipments[RM_Code],$A22,T_Shipments[Effective_Week],92)</f>
        <v/>
      </c>
      <c r="CP22">
        <f>SUMIFS(T_Shipments[Confirmed_Qty],T_Shipments[RM_Code],$A22,T_Shipments[Effective_Week],93)</f>
        <v/>
      </c>
      <c r="CQ22">
        <f>SUMIFS(T_Shipments[Confirmed_Qty],T_Shipments[RM_Code],$A22,T_Shipments[Effective_Week],94)</f>
        <v/>
      </c>
      <c r="CR22">
        <f>SUMIFS(T_Shipments[Confirmed_Qty],T_Shipments[RM_Code],$A22,T_Shipments[Effective_Week],95)</f>
        <v/>
      </c>
      <c r="CS22">
        <f>SUMIFS(T_Shipments[Confirmed_Qty],T_Shipments[RM_Code],$A22,T_Shipments[Effective_Week],96)</f>
        <v/>
      </c>
      <c r="CT22">
        <f>SUMIFS(T_Shipments[Confirmed_Qty],T_Shipments[RM_Code],$A22,T_Shipments[Effective_Week],97)</f>
        <v/>
      </c>
      <c r="CU22">
        <f>SUMIFS(T_Shipments[Confirmed_Qty],T_Shipments[RM_Code],$A22,T_Shipments[Effective_Week],98)</f>
        <v/>
      </c>
      <c r="CV22">
        <f>SUMIFS(T_Shipments[Confirmed_Qty],T_Shipments[RM_Code],$A22,T_Shipments[Effective_Week],99)</f>
        <v/>
      </c>
      <c r="CW22">
        <f>SUMIFS(T_Shipments[Confirmed_Qty],T_Shipments[RM_Code],$A22,T_Shipments[Effective_Week],100)</f>
        <v/>
      </c>
      <c r="CX22">
        <f>SUMIFS(T_Shipments[Confirmed_Qty],T_Shipments[RM_Code],$A22,T_Shipments[Effective_Week],101)</f>
        <v/>
      </c>
      <c r="CY22">
        <f>SUMIFS(T_Shipments[Confirmed_Qty],T_Shipments[RM_Code],$A22,T_Shipments[Effective_Week],102)</f>
        <v/>
      </c>
      <c r="CZ22">
        <f>SUMIFS(T_Shipments[Confirmed_Qty],T_Shipments[RM_Code],$A22,T_Shipments[Effective_Week],103)</f>
        <v/>
      </c>
      <c r="DA22">
        <f>SUMIFS(T_Shipments[Confirmed_Qty],T_Shipments[RM_Code],$A22,T_Shipments[Effective_Week],104)</f>
        <v/>
      </c>
    </row>
    <row r="23">
      <c r="A23" t="inlineStr">
        <is>
          <t>CHEM-1280</t>
        </is>
      </c>
      <c r="B23">
        <f>SUMIFS(T_Shipments[Confirmed_Qty],T_Shipments[RM_Code],$A23,T_Shipments[Effective_Week],1)</f>
        <v/>
      </c>
      <c r="C23">
        <f>SUMIFS(T_Shipments[Confirmed_Qty],T_Shipments[RM_Code],$A23,T_Shipments[Effective_Week],2)</f>
        <v/>
      </c>
      <c r="D23">
        <f>SUMIFS(T_Shipments[Confirmed_Qty],T_Shipments[RM_Code],$A23,T_Shipments[Effective_Week],3)</f>
        <v/>
      </c>
      <c r="E23">
        <f>SUMIFS(T_Shipments[Confirmed_Qty],T_Shipments[RM_Code],$A23,T_Shipments[Effective_Week],4)</f>
        <v/>
      </c>
      <c r="F23">
        <f>SUMIFS(T_Shipments[Confirmed_Qty],T_Shipments[RM_Code],$A23,T_Shipments[Effective_Week],5)</f>
        <v/>
      </c>
      <c r="G23">
        <f>SUMIFS(T_Shipments[Confirmed_Qty],T_Shipments[RM_Code],$A23,T_Shipments[Effective_Week],6)</f>
        <v/>
      </c>
      <c r="H23">
        <f>SUMIFS(T_Shipments[Confirmed_Qty],T_Shipments[RM_Code],$A23,T_Shipments[Effective_Week],7)</f>
        <v/>
      </c>
      <c r="I23">
        <f>SUMIFS(T_Shipments[Confirmed_Qty],T_Shipments[RM_Code],$A23,T_Shipments[Effective_Week],8)</f>
        <v/>
      </c>
      <c r="J23">
        <f>SUMIFS(T_Shipments[Confirmed_Qty],T_Shipments[RM_Code],$A23,T_Shipments[Effective_Week],9)</f>
        <v/>
      </c>
      <c r="K23">
        <f>SUMIFS(T_Shipments[Confirmed_Qty],T_Shipments[RM_Code],$A23,T_Shipments[Effective_Week],10)</f>
        <v/>
      </c>
      <c r="L23">
        <f>SUMIFS(T_Shipments[Confirmed_Qty],T_Shipments[RM_Code],$A23,T_Shipments[Effective_Week],11)</f>
        <v/>
      </c>
      <c r="M23">
        <f>SUMIFS(T_Shipments[Confirmed_Qty],T_Shipments[RM_Code],$A23,T_Shipments[Effective_Week],12)</f>
        <v/>
      </c>
      <c r="N23">
        <f>SUMIFS(T_Shipments[Confirmed_Qty],T_Shipments[RM_Code],$A23,T_Shipments[Effective_Week],13)</f>
        <v/>
      </c>
      <c r="O23">
        <f>SUMIFS(T_Shipments[Confirmed_Qty],T_Shipments[RM_Code],$A23,T_Shipments[Effective_Week],14)</f>
        <v/>
      </c>
      <c r="P23">
        <f>SUMIFS(T_Shipments[Confirmed_Qty],T_Shipments[RM_Code],$A23,T_Shipments[Effective_Week],15)</f>
        <v/>
      </c>
      <c r="Q23">
        <f>SUMIFS(T_Shipments[Confirmed_Qty],T_Shipments[RM_Code],$A23,T_Shipments[Effective_Week],16)</f>
        <v/>
      </c>
      <c r="R23">
        <f>SUMIFS(T_Shipments[Confirmed_Qty],T_Shipments[RM_Code],$A23,T_Shipments[Effective_Week],17)</f>
        <v/>
      </c>
      <c r="S23">
        <f>SUMIFS(T_Shipments[Confirmed_Qty],T_Shipments[RM_Code],$A23,T_Shipments[Effective_Week],18)</f>
        <v/>
      </c>
      <c r="T23">
        <f>SUMIFS(T_Shipments[Confirmed_Qty],T_Shipments[RM_Code],$A23,T_Shipments[Effective_Week],19)</f>
        <v/>
      </c>
      <c r="U23">
        <f>SUMIFS(T_Shipments[Confirmed_Qty],T_Shipments[RM_Code],$A23,T_Shipments[Effective_Week],20)</f>
        <v/>
      </c>
      <c r="V23">
        <f>SUMIFS(T_Shipments[Confirmed_Qty],T_Shipments[RM_Code],$A23,T_Shipments[Effective_Week],21)</f>
        <v/>
      </c>
      <c r="W23">
        <f>SUMIFS(T_Shipments[Confirmed_Qty],T_Shipments[RM_Code],$A23,T_Shipments[Effective_Week],22)</f>
        <v/>
      </c>
      <c r="X23">
        <f>SUMIFS(T_Shipments[Confirmed_Qty],T_Shipments[RM_Code],$A23,T_Shipments[Effective_Week],23)</f>
        <v/>
      </c>
      <c r="Y23">
        <f>SUMIFS(T_Shipments[Confirmed_Qty],T_Shipments[RM_Code],$A23,T_Shipments[Effective_Week],24)</f>
        <v/>
      </c>
      <c r="Z23">
        <f>SUMIFS(T_Shipments[Confirmed_Qty],T_Shipments[RM_Code],$A23,T_Shipments[Effective_Week],25)</f>
        <v/>
      </c>
      <c r="AA23">
        <f>SUMIFS(T_Shipments[Confirmed_Qty],T_Shipments[RM_Code],$A23,T_Shipments[Effective_Week],26)</f>
        <v/>
      </c>
      <c r="AB23">
        <f>SUMIFS(T_Shipments[Confirmed_Qty],T_Shipments[RM_Code],$A23,T_Shipments[Effective_Week],27)</f>
        <v/>
      </c>
      <c r="AC23">
        <f>SUMIFS(T_Shipments[Confirmed_Qty],T_Shipments[RM_Code],$A23,T_Shipments[Effective_Week],28)</f>
        <v/>
      </c>
      <c r="AD23">
        <f>SUMIFS(T_Shipments[Confirmed_Qty],T_Shipments[RM_Code],$A23,T_Shipments[Effective_Week],29)</f>
        <v/>
      </c>
      <c r="AE23">
        <f>SUMIFS(T_Shipments[Confirmed_Qty],T_Shipments[RM_Code],$A23,T_Shipments[Effective_Week],30)</f>
        <v/>
      </c>
      <c r="AF23">
        <f>SUMIFS(T_Shipments[Confirmed_Qty],T_Shipments[RM_Code],$A23,T_Shipments[Effective_Week],31)</f>
        <v/>
      </c>
      <c r="AG23">
        <f>SUMIFS(T_Shipments[Confirmed_Qty],T_Shipments[RM_Code],$A23,T_Shipments[Effective_Week],32)</f>
        <v/>
      </c>
      <c r="AH23">
        <f>SUMIFS(T_Shipments[Confirmed_Qty],T_Shipments[RM_Code],$A23,T_Shipments[Effective_Week],33)</f>
        <v/>
      </c>
      <c r="AI23">
        <f>SUMIFS(T_Shipments[Confirmed_Qty],T_Shipments[RM_Code],$A23,T_Shipments[Effective_Week],34)</f>
        <v/>
      </c>
      <c r="AJ23">
        <f>SUMIFS(T_Shipments[Confirmed_Qty],T_Shipments[RM_Code],$A23,T_Shipments[Effective_Week],35)</f>
        <v/>
      </c>
      <c r="AK23">
        <f>SUMIFS(T_Shipments[Confirmed_Qty],T_Shipments[RM_Code],$A23,T_Shipments[Effective_Week],36)</f>
        <v/>
      </c>
      <c r="AL23">
        <f>SUMIFS(T_Shipments[Confirmed_Qty],T_Shipments[RM_Code],$A23,T_Shipments[Effective_Week],37)</f>
        <v/>
      </c>
      <c r="AM23">
        <f>SUMIFS(T_Shipments[Confirmed_Qty],T_Shipments[RM_Code],$A23,T_Shipments[Effective_Week],38)</f>
        <v/>
      </c>
      <c r="AN23">
        <f>SUMIFS(T_Shipments[Confirmed_Qty],T_Shipments[RM_Code],$A23,T_Shipments[Effective_Week],39)</f>
        <v/>
      </c>
      <c r="AO23">
        <f>SUMIFS(T_Shipments[Confirmed_Qty],T_Shipments[RM_Code],$A23,T_Shipments[Effective_Week],40)</f>
        <v/>
      </c>
      <c r="AP23">
        <f>SUMIFS(T_Shipments[Confirmed_Qty],T_Shipments[RM_Code],$A23,T_Shipments[Effective_Week],41)</f>
        <v/>
      </c>
      <c r="AQ23">
        <f>SUMIFS(T_Shipments[Confirmed_Qty],T_Shipments[RM_Code],$A23,T_Shipments[Effective_Week],42)</f>
        <v/>
      </c>
      <c r="AR23">
        <f>SUMIFS(T_Shipments[Confirmed_Qty],T_Shipments[RM_Code],$A23,T_Shipments[Effective_Week],43)</f>
        <v/>
      </c>
      <c r="AS23">
        <f>SUMIFS(T_Shipments[Confirmed_Qty],T_Shipments[RM_Code],$A23,T_Shipments[Effective_Week],44)</f>
        <v/>
      </c>
      <c r="AT23">
        <f>SUMIFS(T_Shipments[Confirmed_Qty],T_Shipments[RM_Code],$A23,T_Shipments[Effective_Week],45)</f>
        <v/>
      </c>
      <c r="AU23">
        <f>SUMIFS(T_Shipments[Confirmed_Qty],T_Shipments[RM_Code],$A23,T_Shipments[Effective_Week],46)</f>
        <v/>
      </c>
      <c r="AV23">
        <f>SUMIFS(T_Shipments[Confirmed_Qty],T_Shipments[RM_Code],$A23,T_Shipments[Effective_Week],47)</f>
        <v/>
      </c>
      <c r="AW23">
        <f>SUMIFS(T_Shipments[Confirmed_Qty],T_Shipments[RM_Code],$A23,T_Shipments[Effective_Week],48)</f>
        <v/>
      </c>
      <c r="AX23">
        <f>SUMIFS(T_Shipments[Confirmed_Qty],T_Shipments[RM_Code],$A23,T_Shipments[Effective_Week],49)</f>
        <v/>
      </c>
      <c r="AY23">
        <f>SUMIFS(T_Shipments[Confirmed_Qty],T_Shipments[RM_Code],$A23,T_Shipments[Effective_Week],50)</f>
        <v/>
      </c>
      <c r="AZ23">
        <f>SUMIFS(T_Shipments[Confirmed_Qty],T_Shipments[RM_Code],$A23,T_Shipments[Effective_Week],51)</f>
        <v/>
      </c>
      <c r="BA23">
        <f>SUMIFS(T_Shipments[Confirmed_Qty],T_Shipments[RM_Code],$A23,T_Shipments[Effective_Week],52)</f>
        <v/>
      </c>
      <c r="BB23">
        <f>SUMIFS(T_Shipments[Confirmed_Qty],T_Shipments[RM_Code],$A23,T_Shipments[Effective_Week],53)</f>
        <v/>
      </c>
      <c r="BC23">
        <f>SUMIFS(T_Shipments[Confirmed_Qty],T_Shipments[RM_Code],$A23,T_Shipments[Effective_Week],54)</f>
        <v/>
      </c>
      <c r="BD23">
        <f>SUMIFS(T_Shipments[Confirmed_Qty],T_Shipments[RM_Code],$A23,T_Shipments[Effective_Week],55)</f>
        <v/>
      </c>
      <c r="BE23">
        <f>SUMIFS(T_Shipments[Confirmed_Qty],T_Shipments[RM_Code],$A23,T_Shipments[Effective_Week],56)</f>
        <v/>
      </c>
      <c r="BF23">
        <f>SUMIFS(T_Shipments[Confirmed_Qty],T_Shipments[RM_Code],$A23,T_Shipments[Effective_Week],57)</f>
        <v/>
      </c>
      <c r="BG23">
        <f>SUMIFS(T_Shipments[Confirmed_Qty],T_Shipments[RM_Code],$A23,T_Shipments[Effective_Week],58)</f>
        <v/>
      </c>
      <c r="BH23">
        <f>SUMIFS(T_Shipments[Confirmed_Qty],T_Shipments[RM_Code],$A23,T_Shipments[Effective_Week],59)</f>
        <v/>
      </c>
      <c r="BI23">
        <f>SUMIFS(T_Shipments[Confirmed_Qty],T_Shipments[RM_Code],$A23,T_Shipments[Effective_Week],60)</f>
        <v/>
      </c>
      <c r="BJ23">
        <f>SUMIFS(T_Shipments[Confirmed_Qty],T_Shipments[RM_Code],$A23,T_Shipments[Effective_Week],61)</f>
        <v/>
      </c>
      <c r="BK23">
        <f>SUMIFS(T_Shipments[Confirmed_Qty],T_Shipments[RM_Code],$A23,T_Shipments[Effective_Week],62)</f>
        <v/>
      </c>
      <c r="BL23">
        <f>SUMIFS(T_Shipments[Confirmed_Qty],T_Shipments[RM_Code],$A23,T_Shipments[Effective_Week],63)</f>
        <v/>
      </c>
      <c r="BM23">
        <f>SUMIFS(T_Shipments[Confirmed_Qty],T_Shipments[RM_Code],$A23,T_Shipments[Effective_Week],64)</f>
        <v/>
      </c>
      <c r="BN23">
        <f>SUMIFS(T_Shipments[Confirmed_Qty],T_Shipments[RM_Code],$A23,T_Shipments[Effective_Week],65)</f>
        <v/>
      </c>
      <c r="BO23">
        <f>SUMIFS(T_Shipments[Confirmed_Qty],T_Shipments[RM_Code],$A23,T_Shipments[Effective_Week],66)</f>
        <v/>
      </c>
      <c r="BP23">
        <f>SUMIFS(T_Shipments[Confirmed_Qty],T_Shipments[RM_Code],$A23,T_Shipments[Effective_Week],67)</f>
        <v/>
      </c>
      <c r="BQ23">
        <f>SUMIFS(T_Shipments[Confirmed_Qty],T_Shipments[RM_Code],$A23,T_Shipments[Effective_Week],68)</f>
        <v/>
      </c>
      <c r="BR23">
        <f>SUMIFS(T_Shipments[Confirmed_Qty],T_Shipments[RM_Code],$A23,T_Shipments[Effective_Week],69)</f>
        <v/>
      </c>
      <c r="BS23">
        <f>SUMIFS(T_Shipments[Confirmed_Qty],T_Shipments[RM_Code],$A23,T_Shipments[Effective_Week],70)</f>
        <v/>
      </c>
      <c r="BT23">
        <f>SUMIFS(T_Shipments[Confirmed_Qty],T_Shipments[RM_Code],$A23,T_Shipments[Effective_Week],71)</f>
        <v/>
      </c>
      <c r="BU23">
        <f>SUMIFS(T_Shipments[Confirmed_Qty],T_Shipments[RM_Code],$A23,T_Shipments[Effective_Week],72)</f>
        <v/>
      </c>
      <c r="BV23">
        <f>SUMIFS(T_Shipments[Confirmed_Qty],T_Shipments[RM_Code],$A23,T_Shipments[Effective_Week],73)</f>
        <v/>
      </c>
      <c r="BW23">
        <f>SUMIFS(T_Shipments[Confirmed_Qty],T_Shipments[RM_Code],$A23,T_Shipments[Effective_Week],74)</f>
        <v/>
      </c>
      <c r="BX23">
        <f>SUMIFS(T_Shipments[Confirmed_Qty],T_Shipments[RM_Code],$A23,T_Shipments[Effective_Week],75)</f>
        <v/>
      </c>
      <c r="BY23">
        <f>SUMIFS(T_Shipments[Confirmed_Qty],T_Shipments[RM_Code],$A23,T_Shipments[Effective_Week],76)</f>
        <v/>
      </c>
      <c r="BZ23">
        <f>SUMIFS(T_Shipments[Confirmed_Qty],T_Shipments[RM_Code],$A23,T_Shipments[Effective_Week],77)</f>
        <v/>
      </c>
      <c r="CA23">
        <f>SUMIFS(T_Shipments[Confirmed_Qty],T_Shipments[RM_Code],$A23,T_Shipments[Effective_Week],78)</f>
        <v/>
      </c>
      <c r="CB23">
        <f>SUMIFS(T_Shipments[Confirmed_Qty],T_Shipments[RM_Code],$A23,T_Shipments[Effective_Week],79)</f>
        <v/>
      </c>
      <c r="CC23">
        <f>SUMIFS(T_Shipments[Confirmed_Qty],T_Shipments[RM_Code],$A23,T_Shipments[Effective_Week],80)</f>
        <v/>
      </c>
      <c r="CD23">
        <f>SUMIFS(T_Shipments[Confirmed_Qty],T_Shipments[RM_Code],$A23,T_Shipments[Effective_Week],81)</f>
        <v/>
      </c>
      <c r="CE23">
        <f>SUMIFS(T_Shipments[Confirmed_Qty],T_Shipments[RM_Code],$A23,T_Shipments[Effective_Week],82)</f>
        <v/>
      </c>
      <c r="CF23">
        <f>SUMIFS(T_Shipments[Confirmed_Qty],T_Shipments[RM_Code],$A23,T_Shipments[Effective_Week],83)</f>
        <v/>
      </c>
      <c r="CG23">
        <f>SUMIFS(T_Shipments[Confirmed_Qty],T_Shipments[RM_Code],$A23,T_Shipments[Effective_Week],84)</f>
        <v/>
      </c>
      <c r="CH23">
        <f>SUMIFS(T_Shipments[Confirmed_Qty],T_Shipments[RM_Code],$A23,T_Shipments[Effective_Week],85)</f>
        <v/>
      </c>
      <c r="CI23">
        <f>SUMIFS(T_Shipments[Confirmed_Qty],T_Shipments[RM_Code],$A23,T_Shipments[Effective_Week],86)</f>
        <v/>
      </c>
      <c r="CJ23">
        <f>SUMIFS(T_Shipments[Confirmed_Qty],T_Shipments[RM_Code],$A23,T_Shipments[Effective_Week],87)</f>
        <v/>
      </c>
      <c r="CK23">
        <f>SUMIFS(T_Shipments[Confirmed_Qty],T_Shipments[RM_Code],$A23,T_Shipments[Effective_Week],88)</f>
        <v/>
      </c>
      <c r="CL23">
        <f>SUMIFS(T_Shipments[Confirmed_Qty],T_Shipments[RM_Code],$A23,T_Shipments[Effective_Week],89)</f>
        <v/>
      </c>
      <c r="CM23">
        <f>SUMIFS(T_Shipments[Confirmed_Qty],T_Shipments[RM_Code],$A23,T_Shipments[Effective_Week],90)</f>
        <v/>
      </c>
      <c r="CN23">
        <f>SUMIFS(T_Shipments[Confirmed_Qty],T_Shipments[RM_Code],$A23,T_Shipments[Effective_Week],91)</f>
        <v/>
      </c>
      <c r="CO23">
        <f>SUMIFS(T_Shipments[Confirmed_Qty],T_Shipments[RM_Code],$A23,T_Shipments[Effective_Week],92)</f>
        <v/>
      </c>
      <c r="CP23">
        <f>SUMIFS(T_Shipments[Confirmed_Qty],T_Shipments[RM_Code],$A23,T_Shipments[Effective_Week],93)</f>
        <v/>
      </c>
      <c r="CQ23">
        <f>SUMIFS(T_Shipments[Confirmed_Qty],T_Shipments[RM_Code],$A23,T_Shipments[Effective_Week],94)</f>
        <v/>
      </c>
      <c r="CR23">
        <f>SUMIFS(T_Shipments[Confirmed_Qty],T_Shipments[RM_Code],$A23,T_Shipments[Effective_Week],95)</f>
        <v/>
      </c>
      <c r="CS23">
        <f>SUMIFS(T_Shipments[Confirmed_Qty],T_Shipments[RM_Code],$A23,T_Shipments[Effective_Week],96)</f>
        <v/>
      </c>
      <c r="CT23">
        <f>SUMIFS(T_Shipments[Confirmed_Qty],T_Shipments[RM_Code],$A23,T_Shipments[Effective_Week],97)</f>
        <v/>
      </c>
      <c r="CU23">
        <f>SUMIFS(T_Shipments[Confirmed_Qty],T_Shipments[RM_Code],$A23,T_Shipments[Effective_Week],98)</f>
        <v/>
      </c>
      <c r="CV23">
        <f>SUMIFS(T_Shipments[Confirmed_Qty],T_Shipments[RM_Code],$A23,T_Shipments[Effective_Week],99)</f>
        <v/>
      </c>
      <c r="CW23">
        <f>SUMIFS(T_Shipments[Confirmed_Qty],T_Shipments[RM_Code],$A23,T_Shipments[Effective_Week],100)</f>
        <v/>
      </c>
      <c r="CX23">
        <f>SUMIFS(T_Shipments[Confirmed_Qty],T_Shipments[RM_Code],$A23,T_Shipments[Effective_Week],101)</f>
        <v/>
      </c>
      <c r="CY23">
        <f>SUMIFS(T_Shipments[Confirmed_Qty],T_Shipments[RM_Code],$A23,T_Shipments[Effective_Week],102)</f>
        <v/>
      </c>
      <c r="CZ23">
        <f>SUMIFS(T_Shipments[Confirmed_Qty],T_Shipments[RM_Code],$A23,T_Shipments[Effective_Week],103)</f>
        <v/>
      </c>
      <c r="DA23">
        <f>SUMIFS(T_Shipments[Confirmed_Qty],T_Shipments[RM_Code],$A23,T_Shipments[Effective_Week],104)</f>
        <v/>
      </c>
    </row>
    <row r="24">
      <c r="A24" t="inlineStr">
        <is>
          <t>CHEM-1240</t>
        </is>
      </c>
      <c r="B24">
        <f>SUMIFS(T_Shipments[Confirmed_Qty],T_Shipments[RM_Code],$A24,T_Shipments[Effective_Week],1)</f>
        <v/>
      </c>
      <c r="C24">
        <f>SUMIFS(T_Shipments[Confirmed_Qty],T_Shipments[RM_Code],$A24,T_Shipments[Effective_Week],2)</f>
        <v/>
      </c>
      <c r="D24">
        <f>SUMIFS(T_Shipments[Confirmed_Qty],T_Shipments[RM_Code],$A24,T_Shipments[Effective_Week],3)</f>
        <v/>
      </c>
      <c r="E24">
        <f>SUMIFS(T_Shipments[Confirmed_Qty],T_Shipments[RM_Code],$A24,T_Shipments[Effective_Week],4)</f>
        <v/>
      </c>
      <c r="F24">
        <f>SUMIFS(T_Shipments[Confirmed_Qty],T_Shipments[RM_Code],$A24,T_Shipments[Effective_Week],5)</f>
        <v/>
      </c>
      <c r="G24">
        <f>SUMIFS(T_Shipments[Confirmed_Qty],T_Shipments[RM_Code],$A24,T_Shipments[Effective_Week],6)</f>
        <v/>
      </c>
      <c r="H24">
        <f>SUMIFS(T_Shipments[Confirmed_Qty],T_Shipments[RM_Code],$A24,T_Shipments[Effective_Week],7)</f>
        <v/>
      </c>
      <c r="I24">
        <f>SUMIFS(T_Shipments[Confirmed_Qty],T_Shipments[RM_Code],$A24,T_Shipments[Effective_Week],8)</f>
        <v/>
      </c>
      <c r="J24">
        <f>SUMIFS(T_Shipments[Confirmed_Qty],T_Shipments[RM_Code],$A24,T_Shipments[Effective_Week],9)</f>
        <v/>
      </c>
      <c r="K24">
        <f>SUMIFS(T_Shipments[Confirmed_Qty],T_Shipments[RM_Code],$A24,T_Shipments[Effective_Week],10)</f>
        <v/>
      </c>
      <c r="L24">
        <f>SUMIFS(T_Shipments[Confirmed_Qty],T_Shipments[RM_Code],$A24,T_Shipments[Effective_Week],11)</f>
        <v/>
      </c>
      <c r="M24">
        <f>SUMIFS(T_Shipments[Confirmed_Qty],T_Shipments[RM_Code],$A24,T_Shipments[Effective_Week],12)</f>
        <v/>
      </c>
      <c r="N24">
        <f>SUMIFS(T_Shipments[Confirmed_Qty],T_Shipments[RM_Code],$A24,T_Shipments[Effective_Week],13)</f>
        <v/>
      </c>
      <c r="O24">
        <f>SUMIFS(T_Shipments[Confirmed_Qty],T_Shipments[RM_Code],$A24,T_Shipments[Effective_Week],14)</f>
        <v/>
      </c>
      <c r="P24">
        <f>SUMIFS(T_Shipments[Confirmed_Qty],T_Shipments[RM_Code],$A24,T_Shipments[Effective_Week],15)</f>
        <v/>
      </c>
      <c r="Q24">
        <f>SUMIFS(T_Shipments[Confirmed_Qty],T_Shipments[RM_Code],$A24,T_Shipments[Effective_Week],16)</f>
        <v/>
      </c>
      <c r="R24">
        <f>SUMIFS(T_Shipments[Confirmed_Qty],T_Shipments[RM_Code],$A24,T_Shipments[Effective_Week],17)</f>
        <v/>
      </c>
      <c r="S24">
        <f>SUMIFS(T_Shipments[Confirmed_Qty],T_Shipments[RM_Code],$A24,T_Shipments[Effective_Week],18)</f>
        <v/>
      </c>
      <c r="T24">
        <f>SUMIFS(T_Shipments[Confirmed_Qty],T_Shipments[RM_Code],$A24,T_Shipments[Effective_Week],19)</f>
        <v/>
      </c>
      <c r="U24">
        <f>SUMIFS(T_Shipments[Confirmed_Qty],T_Shipments[RM_Code],$A24,T_Shipments[Effective_Week],20)</f>
        <v/>
      </c>
      <c r="V24">
        <f>SUMIFS(T_Shipments[Confirmed_Qty],T_Shipments[RM_Code],$A24,T_Shipments[Effective_Week],21)</f>
        <v/>
      </c>
      <c r="W24">
        <f>SUMIFS(T_Shipments[Confirmed_Qty],T_Shipments[RM_Code],$A24,T_Shipments[Effective_Week],22)</f>
        <v/>
      </c>
      <c r="X24">
        <f>SUMIFS(T_Shipments[Confirmed_Qty],T_Shipments[RM_Code],$A24,T_Shipments[Effective_Week],23)</f>
        <v/>
      </c>
      <c r="Y24">
        <f>SUMIFS(T_Shipments[Confirmed_Qty],T_Shipments[RM_Code],$A24,T_Shipments[Effective_Week],24)</f>
        <v/>
      </c>
      <c r="Z24">
        <f>SUMIFS(T_Shipments[Confirmed_Qty],T_Shipments[RM_Code],$A24,T_Shipments[Effective_Week],25)</f>
        <v/>
      </c>
      <c r="AA24">
        <f>SUMIFS(T_Shipments[Confirmed_Qty],T_Shipments[RM_Code],$A24,T_Shipments[Effective_Week],26)</f>
        <v/>
      </c>
      <c r="AB24">
        <f>SUMIFS(T_Shipments[Confirmed_Qty],T_Shipments[RM_Code],$A24,T_Shipments[Effective_Week],27)</f>
        <v/>
      </c>
      <c r="AC24">
        <f>SUMIFS(T_Shipments[Confirmed_Qty],T_Shipments[RM_Code],$A24,T_Shipments[Effective_Week],28)</f>
        <v/>
      </c>
      <c r="AD24">
        <f>SUMIFS(T_Shipments[Confirmed_Qty],T_Shipments[RM_Code],$A24,T_Shipments[Effective_Week],29)</f>
        <v/>
      </c>
      <c r="AE24">
        <f>SUMIFS(T_Shipments[Confirmed_Qty],T_Shipments[RM_Code],$A24,T_Shipments[Effective_Week],30)</f>
        <v/>
      </c>
      <c r="AF24">
        <f>SUMIFS(T_Shipments[Confirmed_Qty],T_Shipments[RM_Code],$A24,T_Shipments[Effective_Week],31)</f>
        <v/>
      </c>
      <c r="AG24">
        <f>SUMIFS(T_Shipments[Confirmed_Qty],T_Shipments[RM_Code],$A24,T_Shipments[Effective_Week],32)</f>
        <v/>
      </c>
      <c r="AH24">
        <f>SUMIFS(T_Shipments[Confirmed_Qty],T_Shipments[RM_Code],$A24,T_Shipments[Effective_Week],33)</f>
        <v/>
      </c>
      <c r="AI24">
        <f>SUMIFS(T_Shipments[Confirmed_Qty],T_Shipments[RM_Code],$A24,T_Shipments[Effective_Week],34)</f>
        <v/>
      </c>
      <c r="AJ24">
        <f>SUMIFS(T_Shipments[Confirmed_Qty],T_Shipments[RM_Code],$A24,T_Shipments[Effective_Week],35)</f>
        <v/>
      </c>
      <c r="AK24">
        <f>SUMIFS(T_Shipments[Confirmed_Qty],T_Shipments[RM_Code],$A24,T_Shipments[Effective_Week],36)</f>
        <v/>
      </c>
      <c r="AL24">
        <f>SUMIFS(T_Shipments[Confirmed_Qty],T_Shipments[RM_Code],$A24,T_Shipments[Effective_Week],37)</f>
        <v/>
      </c>
      <c r="AM24">
        <f>SUMIFS(T_Shipments[Confirmed_Qty],T_Shipments[RM_Code],$A24,T_Shipments[Effective_Week],38)</f>
        <v/>
      </c>
      <c r="AN24">
        <f>SUMIFS(T_Shipments[Confirmed_Qty],T_Shipments[RM_Code],$A24,T_Shipments[Effective_Week],39)</f>
        <v/>
      </c>
      <c r="AO24">
        <f>SUMIFS(T_Shipments[Confirmed_Qty],T_Shipments[RM_Code],$A24,T_Shipments[Effective_Week],40)</f>
        <v/>
      </c>
      <c r="AP24">
        <f>SUMIFS(T_Shipments[Confirmed_Qty],T_Shipments[RM_Code],$A24,T_Shipments[Effective_Week],41)</f>
        <v/>
      </c>
      <c r="AQ24">
        <f>SUMIFS(T_Shipments[Confirmed_Qty],T_Shipments[RM_Code],$A24,T_Shipments[Effective_Week],42)</f>
        <v/>
      </c>
      <c r="AR24">
        <f>SUMIFS(T_Shipments[Confirmed_Qty],T_Shipments[RM_Code],$A24,T_Shipments[Effective_Week],43)</f>
        <v/>
      </c>
      <c r="AS24">
        <f>SUMIFS(T_Shipments[Confirmed_Qty],T_Shipments[RM_Code],$A24,T_Shipments[Effective_Week],44)</f>
        <v/>
      </c>
      <c r="AT24">
        <f>SUMIFS(T_Shipments[Confirmed_Qty],T_Shipments[RM_Code],$A24,T_Shipments[Effective_Week],45)</f>
        <v/>
      </c>
      <c r="AU24">
        <f>SUMIFS(T_Shipments[Confirmed_Qty],T_Shipments[RM_Code],$A24,T_Shipments[Effective_Week],46)</f>
        <v/>
      </c>
      <c r="AV24">
        <f>SUMIFS(T_Shipments[Confirmed_Qty],T_Shipments[RM_Code],$A24,T_Shipments[Effective_Week],47)</f>
        <v/>
      </c>
      <c r="AW24">
        <f>SUMIFS(T_Shipments[Confirmed_Qty],T_Shipments[RM_Code],$A24,T_Shipments[Effective_Week],48)</f>
        <v/>
      </c>
      <c r="AX24">
        <f>SUMIFS(T_Shipments[Confirmed_Qty],T_Shipments[RM_Code],$A24,T_Shipments[Effective_Week],49)</f>
        <v/>
      </c>
      <c r="AY24">
        <f>SUMIFS(T_Shipments[Confirmed_Qty],T_Shipments[RM_Code],$A24,T_Shipments[Effective_Week],50)</f>
        <v/>
      </c>
      <c r="AZ24">
        <f>SUMIFS(T_Shipments[Confirmed_Qty],T_Shipments[RM_Code],$A24,T_Shipments[Effective_Week],51)</f>
        <v/>
      </c>
      <c r="BA24">
        <f>SUMIFS(T_Shipments[Confirmed_Qty],T_Shipments[RM_Code],$A24,T_Shipments[Effective_Week],52)</f>
        <v/>
      </c>
      <c r="BB24">
        <f>SUMIFS(T_Shipments[Confirmed_Qty],T_Shipments[RM_Code],$A24,T_Shipments[Effective_Week],53)</f>
        <v/>
      </c>
      <c r="BC24">
        <f>SUMIFS(T_Shipments[Confirmed_Qty],T_Shipments[RM_Code],$A24,T_Shipments[Effective_Week],54)</f>
        <v/>
      </c>
      <c r="BD24">
        <f>SUMIFS(T_Shipments[Confirmed_Qty],T_Shipments[RM_Code],$A24,T_Shipments[Effective_Week],55)</f>
        <v/>
      </c>
      <c r="BE24">
        <f>SUMIFS(T_Shipments[Confirmed_Qty],T_Shipments[RM_Code],$A24,T_Shipments[Effective_Week],56)</f>
        <v/>
      </c>
      <c r="BF24">
        <f>SUMIFS(T_Shipments[Confirmed_Qty],T_Shipments[RM_Code],$A24,T_Shipments[Effective_Week],57)</f>
        <v/>
      </c>
      <c r="BG24">
        <f>SUMIFS(T_Shipments[Confirmed_Qty],T_Shipments[RM_Code],$A24,T_Shipments[Effective_Week],58)</f>
        <v/>
      </c>
      <c r="BH24">
        <f>SUMIFS(T_Shipments[Confirmed_Qty],T_Shipments[RM_Code],$A24,T_Shipments[Effective_Week],59)</f>
        <v/>
      </c>
      <c r="BI24">
        <f>SUMIFS(T_Shipments[Confirmed_Qty],T_Shipments[RM_Code],$A24,T_Shipments[Effective_Week],60)</f>
        <v/>
      </c>
      <c r="BJ24">
        <f>SUMIFS(T_Shipments[Confirmed_Qty],T_Shipments[RM_Code],$A24,T_Shipments[Effective_Week],61)</f>
        <v/>
      </c>
      <c r="BK24">
        <f>SUMIFS(T_Shipments[Confirmed_Qty],T_Shipments[RM_Code],$A24,T_Shipments[Effective_Week],62)</f>
        <v/>
      </c>
      <c r="BL24">
        <f>SUMIFS(T_Shipments[Confirmed_Qty],T_Shipments[RM_Code],$A24,T_Shipments[Effective_Week],63)</f>
        <v/>
      </c>
      <c r="BM24">
        <f>SUMIFS(T_Shipments[Confirmed_Qty],T_Shipments[RM_Code],$A24,T_Shipments[Effective_Week],64)</f>
        <v/>
      </c>
      <c r="BN24">
        <f>SUMIFS(T_Shipments[Confirmed_Qty],T_Shipments[RM_Code],$A24,T_Shipments[Effective_Week],65)</f>
        <v/>
      </c>
      <c r="BO24">
        <f>SUMIFS(T_Shipments[Confirmed_Qty],T_Shipments[RM_Code],$A24,T_Shipments[Effective_Week],66)</f>
        <v/>
      </c>
      <c r="BP24">
        <f>SUMIFS(T_Shipments[Confirmed_Qty],T_Shipments[RM_Code],$A24,T_Shipments[Effective_Week],67)</f>
        <v/>
      </c>
      <c r="BQ24">
        <f>SUMIFS(T_Shipments[Confirmed_Qty],T_Shipments[RM_Code],$A24,T_Shipments[Effective_Week],68)</f>
        <v/>
      </c>
      <c r="BR24">
        <f>SUMIFS(T_Shipments[Confirmed_Qty],T_Shipments[RM_Code],$A24,T_Shipments[Effective_Week],69)</f>
        <v/>
      </c>
      <c r="BS24">
        <f>SUMIFS(T_Shipments[Confirmed_Qty],T_Shipments[RM_Code],$A24,T_Shipments[Effective_Week],70)</f>
        <v/>
      </c>
      <c r="BT24">
        <f>SUMIFS(T_Shipments[Confirmed_Qty],T_Shipments[RM_Code],$A24,T_Shipments[Effective_Week],71)</f>
        <v/>
      </c>
      <c r="BU24">
        <f>SUMIFS(T_Shipments[Confirmed_Qty],T_Shipments[RM_Code],$A24,T_Shipments[Effective_Week],72)</f>
        <v/>
      </c>
      <c r="BV24">
        <f>SUMIFS(T_Shipments[Confirmed_Qty],T_Shipments[RM_Code],$A24,T_Shipments[Effective_Week],73)</f>
        <v/>
      </c>
      <c r="BW24">
        <f>SUMIFS(T_Shipments[Confirmed_Qty],T_Shipments[RM_Code],$A24,T_Shipments[Effective_Week],74)</f>
        <v/>
      </c>
      <c r="BX24">
        <f>SUMIFS(T_Shipments[Confirmed_Qty],T_Shipments[RM_Code],$A24,T_Shipments[Effective_Week],75)</f>
        <v/>
      </c>
      <c r="BY24">
        <f>SUMIFS(T_Shipments[Confirmed_Qty],T_Shipments[RM_Code],$A24,T_Shipments[Effective_Week],76)</f>
        <v/>
      </c>
      <c r="BZ24">
        <f>SUMIFS(T_Shipments[Confirmed_Qty],T_Shipments[RM_Code],$A24,T_Shipments[Effective_Week],77)</f>
        <v/>
      </c>
      <c r="CA24">
        <f>SUMIFS(T_Shipments[Confirmed_Qty],T_Shipments[RM_Code],$A24,T_Shipments[Effective_Week],78)</f>
        <v/>
      </c>
      <c r="CB24">
        <f>SUMIFS(T_Shipments[Confirmed_Qty],T_Shipments[RM_Code],$A24,T_Shipments[Effective_Week],79)</f>
        <v/>
      </c>
      <c r="CC24">
        <f>SUMIFS(T_Shipments[Confirmed_Qty],T_Shipments[RM_Code],$A24,T_Shipments[Effective_Week],80)</f>
        <v/>
      </c>
      <c r="CD24">
        <f>SUMIFS(T_Shipments[Confirmed_Qty],T_Shipments[RM_Code],$A24,T_Shipments[Effective_Week],81)</f>
        <v/>
      </c>
      <c r="CE24">
        <f>SUMIFS(T_Shipments[Confirmed_Qty],T_Shipments[RM_Code],$A24,T_Shipments[Effective_Week],82)</f>
        <v/>
      </c>
      <c r="CF24">
        <f>SUMIFS(T_Shipments[Confirmed_Qty],T_Shipments[RM_Code],$A24,T_Shipments[Effective_Week],83)</f>
        <v/>
      </c>
      <c r="CG24">
        <f>SUMIFS(T_Shipments[Confirmed_Qty],T_Shipments[RM_Code],$A24,T_Shipments[Effective_Week],84)</f>
        <v/>
      </c>
      <c r="CH24">
        <f>SUMIFS(T_Shipments[Confirmed_Qty],T_Shipments[RM_Code],$A24,T_Shipments[Effective_Week],85)</f>
        <v/>
      </c>
      <c r="CI24">
        <f>SUMIFS(T_Shipments[Confirmed_Qty],T_Shipments[RM_Code],$A24,T_Shipments[Effective_Week],86)</f>
        <v/>
      </c>
      <c r="CJ24">
        <f>SUMIFS(T_Shipments[Confirmed_Qty],T_Shipments[RM_Code],$A24,T_Shipments[Effective_Week],87)</f>
        <v/>
      </c>
      <c r="CK24">
        <f>SUMIFS(T_Shipments[Confirmed_Qty],T_Shipments[RM_Code],$A24,T_Shipments[Effective_Week],88)</f>
        <v/>
      </c>
      <c r="CL24">
        <f>SUMIFS(T_Shipments[Confirmed_Qty],T_Shipments[RM_Code],$A24,T_Shipments[Effective_Week],89)</f>
        <v/>
      </c>
      <c r="CM24">
        <f>SUMIFS(T_Shipments[Confirmed_Qty],T_Shipments[RM_Code],$A24,T_Shipments[Effective_Week],90)</f>
        <v/>
      </c>
      <c r="CN24">
        <f>SUMIFS(T_Shipments[Confirmed_Qty],T_Shipments[RM_Code],$A24,T_Shipments[Effective_Week],91)</f>
        <v/>
      </c>
      <c r="CO24">
        <f>SUMIFS(T_Shipments[Confirmed_Qty],T_Shipments[RM_Code],$A24,T_Shipments[Effective_Week],92)</f>
        <v/>
      </c>
      <c r="CP24">
        <f>SUMIFS(T_Shipments[Confirmed_Qty],T_Shipments[RM_Code],$A24,T_Shipments[Effective_Week],93)</f>
        <v/>
      </c>
      <c r="CQ24">
        <f>SUMIFS(T_Shipments[Confirmed_Qty],T_Shipments[RM_Code],$A24,T_Shipments[Effective_Week],94)</f>
        <v/>
      </c>
      <c r="CR24">
        <f>SUMIFS(T_Shipments[Confirmed_Qty],T_Shipments[RM_Code],$A24,T_Shipments[Effective_Week],95)</f>
        <v/>
      </c>
      <c r="CS24">
        <f>SUMIFS(T_Shipments[Confirmed_Qty],T_Shipments[RM_Code],$A24,T_Shipments[Effective_Week],96)</f>
        <v/>
      </c>
      <c r="CT24">
        <f>SUMIFS(T_Shipments[Confirmed_Qty],T_Shipments[RM_Code],$A24,T_Shipments[Effective_Week],97)</f>
        <v/>
      </c>
      <c r="CU24">
        <f>SUMIFS(T_Shipments[Confirmed_Qty],T_Shipments[RM_Code],$A24,T_Shipments[Effective_Week],98)</f>
        <v/>
      </c>
      <c r="CV24">
        <f>SUMIFS(T_Shipments[Confirmed_Qty],T_Shipments[RM_Code],$A24,T_Shipments[Effective_Week],99)</f>
        <v/>
      </c>
      <c r="CW24">
        <f>SUMIFS(T_Shipments[Confirmed_Qty],T_Shipments[RM_Code],$A24,T_Shipments[Effective_Week],100)</f>
        <v/>
      </c>
      <c r="CX24">
        <f>SUMIFS(T_Shipments[Confirmed_Qty],T_Shipments[RM_Code],$A24,T_Shipments[Effective_Week],101)</f>
        <v/>
      </c>
      <c r="CY24">
        <f>SUMIFS(T_Shipments[Confirmed_Qty],T_Shipments[RM_Code],$A24,T_Shipments[Effective_Week],102)</f>
        <v/>
      </c>
      <c r="CZ24">
        <f>SUMIFS(T_Shipments[Confirmed_Qty],T_Shipments[RM_Code],$A24,T_Shipments[Effective_Week],103)</f>
        <v/>
      </c>
      <c r="DA24">
        <f>SUMIFS(T_Shipments[Confirmed_Qty],T_Shipments[RM_Code],$A24,T_Shipments[Effective_Week],104)</f>
        <v/>
      </c>
    </row>
    <row r="25">
      <c r="A25" t="inlineStr">
        <is>
          <t>0JN</t>
        </is>
      </c>
      <c r="B25">
        <f>SUMIFS(T_Shipments[Confirmed_Qty],T_Shipments[RM_Code],$A25,T_Shipments[Effective_Week],1)</f>
        <v/>
      </c>
      <c r="C25">
        <f>SUMIFS(T_Shipments[Confirmed_Qty],T_Shipments[RM_Code],$A25,T_Shipments[Effective_Week],2)</f>
        <v/>
      </c>
      <c r="D25">
        <f>SUMIFS(T_Shipments[Confirmed_Qty],T_Shipments[RM_Code],$A25,T_Shipments[Effective_Week],3)</f>
        <v/>
      </c>
      <c r="E25">
        <f>SUMIFS(T_Shipments[Confirmed_Qty],T_Shipments[RM_Code],$A25,T_Shipments[Effective_Week],4)</f>
        <v/>
      </c>
      <c r="F25">
        <f>SUMIFS(T_Shipments[Confirmed_Qty],T_Shipments[RM_Code],$A25,T_Shipments[Effective_Week],5)</f>
        <v/>
      </c>
      <c r="G25">
        <f>SUMIFS(T_Shipments[Confirmed_Qty],T_Shipments[RM_Code],$A25,T_Shipments[Effective_Week],6)</f>
        <v/>
      </c>
      <c r="H25">
        <f>SUMIFS(T_Shipments[Confirmed_Qty],T_Shipments[RM_Code],$A25,T_Shipments[Effective_Week],7)</f>
        <v/>
      </c>
      <c r="I25">
        <f>SUMIFS(T_Shipments[Confirmed_Qty],T_Shipments[RM_Code],$A25,T_Shipments[Effective_Week],8)</f>
        <v/>
      </c>
      <c r="J25">
        <f>SUMIFS(T_Shipments[Confirmed_Qty],T_Shipments[RM_Code],$A25,T_Shipments[Effective_Week],9)</f>
        <v/>
      </c>
      <c r="K25">
        <f>SUMIFS(T_Shipments[Confirmed_Qty],T_Shipments[RM_Code],$A25,T_Shipments[Effective_Week],10)</f>
        <v/>
      </c>
      <c r="L25">
        <f>SUMIFS(T_Shipments[Confirmed_Qty],T_Shipments[RM_Code],$A25,T_Shipments[Effective_Week],11)</f>
        <v/>
      </c>
      <c r="M25">
        <f>SUMIFS(T_Shipments[Confirmed_Qty],T_Shipments[RM_Code],$A25,T_Shipments[Effective_Week],12)</f>
        <v/>
      </c>
      <c r="N25">
        <f>SUMIFS(T_Shipments[Confirmed_Qty],T_Shipments[RM_Code],$A25,T_Shipments[Effective_Week],13)</f>
        <v/>
      </c>
      <c r="O25">
        <f>SUMIFS(T_Shipments[Confirmed_Qty],T_Shipments[RM_Code],$A25,T_Shipments[Effective_Week],14)</f>
        <v/>
      </c>
      <c r="P25">
        <f>SUMIFS(T_Shipments[Confirmed_Qty],T_Shipments[RM_Code],$A25,T_Shipments[Effective_Week],15)</f>
        <v/>
      </c>
      <c r="Q25">
        <f>SUMIFS(T_Shipments[Confirmed_Qty],T_Shipments[RM_Code],$A25,T_Shipments[Effective_Week],16)</f>
        <v/>
      </c>
      <c r="R25">
        <f>SUMIFS(T_Shipments[Confirmed_Qty],T_Shipments[RM_Code],$A25,T_Shipments[Effective_Week],17)</f>
        <v/>
      </c>
      <c r="S25">
        <f>SUMIFS(T_Shipments[Confirmed_Qty],T_Shipments[RM_Code],$A25,T_Shipments[Effective_Week],18)</f>
        <v/>
      </c>
      <c r="T25">
        <f>SUMIFS(T_Shipments[Confirmed_Qty],T_Shipments[RM_Code],$A25,T_Shipments[Effective_Week],19)</f>
        <v/>
      </c>
      <c r="U25">
        <f>SUMIFS(T_Shipments[Confirmed_Qty],T_Shipments[RM_Code],$A25,T_Shipments[Effective_Week],20)</f>
        <v/>
      </c>
      <c r="V25">
        <f>SUMIFS(T_Shipments[Confirmed_Qty],T_Shipments[RM_Code],$A25,T_Shipments[Effective_Week],21)</f>
        <v/>
      </c>
      <c r="W25">
        <f>SUMIFS(T_Shipments[Confirmed_Qty],T_Shipments[RM_Code],$A25,T_Shipments[Effective_Week],22)</f>
        <v/>
      </c>
      <c r="X25">
        <f>SUMIFS(T_Shipments[Confirmed_Qty],T_Shipments[RM_Code],$A25,T_Shipments[Effective_Week],23)</f>
        <v/>
      </c>
      <c r="Y25">
        <f>SUMIFS(T_Shipments[Confirmed_Qty],T_Shipments[RM_Code],$A25,T_Shipments[Effective_Week],24)</f>
        <v/>
      </c>
      <c r="Z25">
        <f>SUMIFS(T_Shipments[Confirmed_Qty],T_Shipments[RM_Code],$A25,T_Shipments[Effective_Week],25)</f>
        <v/>
      </c>
      <c r="AA25">
        <f>SUMIFS(T_Shipments[Confirmed_Qty],T_Shipments[RM_Code],$A25,T_Shipments[Effective_Week],26)</f>
        <v/>
      </c>
      <c r="AB25">
        <f>SUMIFS(T_Shipments[Confirmed_Qty],T_Shipments[RM_Code],$A25,T_Shipments[Effective_Week],27)</f>
        <v/>
      </c>
      <c r="AC25">
        <f>SUMIFS(T_Shipments[Confirmed_Qty],T_Shipments[RM_Code],$A25,T_Shipments[Effective_Week],28)</f>
        <v/>
      </c>
      <c r="AD25">
        <f>SUMIFS(T_Shipments[Confirmed_Qty],T_Shipments[RM_Code],$A25,T_Shipments[Effective_Week],29)</f>
        <v/>
      </c>
      <c r="AE25">
        <f>SUMIFS(T_Shipments[Confirmed_Qty],T_Shipments[RM_Code],$A25,T_Shipments[Effective_Week],30)</f>
        <v/>
      </c>
      <c r="AF25">
        <f>SUMIFS(T_Shipments[Confirmed_Qty],T_Shipments[RM_Code],$A25,T_Shipments[Effective_Week],31)</f>
        <v/>
      </c>
      <c r="AG25">
        <f>SUMIFS(T_Shipments[Confirmed_Qty],T_Shipments[RM_Code],$A25,T_Shipments[Effective_Week],32)</f>
        <v/>
      </c>
      <c r="AH25">
        <f>SUMIFS(T_Shipments[Confirmed_Qty],T_Shipments[RM_Code],$A25,T_Shipments[Effective_Week],33)</f>
        <v/>
      </c>
      <c r="AI25">
        <f>SUMIFS(T_Shipments[Confirmed_Qty],T_Shipments[RM_Code],$A25,T_Shipments[Effective_Week],34)</f>
        <v/>
      </c>
      <c r="AJ25">
        <f>SUMIFS(T_Shipments[Confirmed_Qty],T_Shipments[RM_Code],$A25,T_Shipments[Effective_Week],35)</f>
        <v/>
      </c>
      <c r="AK25">
        <f>SUMIFS(T_Shipments[Confirmed_Qty],T_Shipments[RM_Code],$A25,T_Shipments[Effective_Week],36)</f>
        <v/>
      </c>
      <c r="AL25">
        <f>SUMIFS(T_Shipments[Confirmed_Qty],T_Shipments[RM_Code],$A25,T_Shipments[Effective_Week],37)</f>
        <v/>
      </c>
      <c r="AM25">
        <f>SUMIFS(T_Shipments[Confirmed_Qty],T_Shipments[RM_Code],$A25,T_Shipments[Effective_Week],38)</f>
        <v/>
      </c>
      <c r="AN25">
        <f>SUMIFS(T_Shipments[Confirmed_Qty],T_Shipments[RM_Code],$A25,T_Shipments[Effective_Week],39)</f>
        <v/>
      </c>
      <c r="AO25">
        <f>SUMIFS(T_Shipments[Confirmed_Qty],T_Shipments[RM_Code],$A25,T_Shipments[Effective_Week],40)</f>
        <v/>
      </c>
      <c r="AP25">
        <f>SUMIFS(T_Shipments[Confirmed_Qty],T_Shipments[RM_Code],$A25,T_Shipments[Effective_Week],41)</f>
        <v/>
      </c>
      <c r="AQ25">
        <f>SUMIFS(T_Shipments[Confirmed_Qty],T_Shipments[RM_Code],$A25,T_Shipments[Effective_Week],42)</f>
        <v/>
      </c>
      <c r="AR25">
        <f>SUMIFS(T_Shipments[Confirmed_Qty],T_Shipments[RM_Code],$A25,T_Shipments[Effective_Week],43)</f>
        <v/>
      </c>
      <c r="AS25">
        <f>SUMIFS(T_Shipments[Confirmed_Qty],T_Shipments[RM_Code],$A25,T_Shipments[Effective_Week],44)</f>
        <v/>
      </c>
      <c r="AT25">
        <f>SUMIFS(T_Shipments[Confirmed_Qty],T_Shipments[RM_Code],$A25,T_Shipments[Effective_Week],45)</f>
        <v/>
      </c>
      <c r="AU25">
        <f>SUMIFS(T_Shipments[Confirmed_Qty],T_Shipments[RM_Code],$A25,T_Shipments[Effective_Week],46)</f>
        <v/>
      </c>
      <c r="AV25">
        <f>SUMIFS(T_Shipments[Confirmed_Qty],T_Shipments[RM_Code],$A25,T_Shipments[Effective_Week],47)</f>
        <v/>
      </c>
      <c r="AW25">
        <f>SUMIFS(T_Shipments[Confirmed_Qty],T_Shipments[RM_Code],$A25,T_Shipments[Effective_Week],48)</f>
        <v/>
      </c>
      <c r="AX25">
        <f>SUMIFS(T_Shipments[Confirmed_Qty],T_Shipments[RM_Code],$A25,T_Shipments[Effective_Week],49)</f>
        <v/>
      </c>
      <c r="AY25">
        <f>SUMIFS(T_Shipments[Confirmed_Qty],T_Shipments[RM_Code],$A25,T_Shipments[Effective_Week],50)</f>
        <v/>
      </c>
      <c r="AZ25">
        <f>SUMIFS(T_Shipments[Confirmed_Qty],T_Shipments[RM_Code],$A25,T_Shipments[Effective_Week],51)</f>
        <v/>
      </c>
      <c r="BA25">
        <f>SUMIFS(T_Shipments[Confirmed_Qty],T_Shipments[RM_Code],$A25,T_Shipments[Effective_Week],52)</f>
        <v/>
      </c>
      <c r="BB25">
        <f>SUMIFS(T_Shipments[Confirmed_Qty],T_Shipments[RM_Code],$A25,T_Shipments[Effective_Week],53)</f>
        <v/>
      </c>
      <c r="BC25">
        <f>SUMIFS(T_Shipments[Confirmed_Qty],T_Shipments[RM_Code],$A25,T_Shipments[Effective_Week],54)</f>
        <v/>
      </c>
      <c r="BD25">
        <f>SUMIFS(T_Shipments[Confirmed_Qty],T_Shipments[RM_Code],$A25,T_Shipments[Effective_Week],55)</f>
        <v/>
      </c>
      <c r="BE25">
        <f>SUMIFS(T_Shipments[Confirmed_Qty],T_Shipments[RM_Code],$A25,T_Shipments[Effective_Week],56)</f>
        <v/>
      </c>
      <c r="BF25">
        <f>SUMIFS(T_Shipments[Confirmed_Qty],T_Shipments[RM_Code],$A25,T_Shipments[Effective_Week],57)</f>
        <v/>
      </c>
      <c r="BG25">
        <f>SUMIFS(T_Shipments[Confirmed_Qty],T_Shipments[RM_Code],$A25,T_Shipments[Effective_Week],58)</f>
        <v/>
      </c>
      <c r="BH25">
        <f>SUMIFS(T_Shipments[Confirmed_Qty],T_Shipments[RM_Code],$A25,T_Shipments[Effective_Week],59)</f>
        <v/>
      </c>
      <c r="BI25">
        <f>SUMIFS(T_Shipments[Confirmed_Qty],T_Shipments[RM_Code],$A25,T_Shipments[Effective_Week],60)</f>
        <v/>
      </c>
      <c r="BJ25">
        <f>SUMIFS(T_Shipments[Confirmed_Qty],T_Shipments[RM_Code],$A25,T_Shipments[Effective_Week],61)</f>
        <v/>
      </c>
      <c r="BK25">
        <f>SUMIFS(T_Shipments[Confirmed_Qty],T_Shipments[RM_Code],$A25,T_Shipments[Effective_Week],62)</f>
        <v/>
      </c>
      <c r="BL25">
        <f>SUMIFS(T_Shipments[Confirmed_Qty],T_Shipments[RM_Code],$A25,T_Shipments[Effective_Week],63)</f>
        <v/>
      </c>
      <c r="BM25">
        <f>SUMIFS(T_Shipments[Confirmed_Qty],T_Shipments[RM_Code],$A25,T_Shipments[Effective_Week],64)</f>
        <v/>
      </c>
      <c r="BN25">
        <f>SUMIFS(T_Shipments[Confirmed_Qty],T_Shipments[RM_Code],$A25,T_Shipments[Effective_Week],65)</f>
        <v/>
      </c>
      <c r="BO25">
        <f>SUMIFS(T_Shipments[Confirmed_Qty],T_Shipments[RM_Code],$A25,T_Shipments[Effective_Week],66)</f>
        <v/>
      </c>
      <c r="BP25">
        <f>SUMIFS(T_Shipments[Confirmed_Qty],T_Shipments[RM_Code],$A25,T_Shipments[Effective_Week],67)</f>
        <v/>
      </c>
      <c r="BQ25">
        <f>SUMIFS(T_Shipments[Confirmed_Qty],T_Shipments[RM_Code],$A25,T_Shipments[Effective_Week],68)</f>
        <v/>
      </c>
      <c r="BR25">
        <f>SUMIFS(T_Shipments[Confirmed_Qty],T_Shipments[RM_Code],$A25,T_Shipments[Effective_Week],69)</f>
        <v/>
      </c>
      <c r="BS25">
        <f>SUMIFS(T_Shipments[Confirmed_Qty],T_Shipments[RM_Code],$A25,T_Shipments[Effective_Week],70)</f>
        <v/>
      </c>
      <c r="BT25">
        <f>SUMIFS(T_Shipments[Confirmed_Qty],T_Shipments[RM_Code],$A25,T_Shipments[Effective_Week],71)</f>
        <v/>
      </c>
      <c r="BU25">
        <f>SUMIFS(T_Shipments[Confirmed_Qty],T_Shipments[RM_Code],$A25,T_Shipments[Effective_Week],72)</f>
        <v/>
      </c>
      <c r="BV25">
        <f>SUMIFS(T_Shipments[Confirmed_Qty],T_Shipments[RM_Code],$A25,T_Shipments[Effective_Week],73)</f>
        <v/>
      </c>
      <c r="BW25">
        <f>SUMIFS(T_Shipments[Confirmed_Qty],T_Shipments[RM_Code],$A25,T_Shipments[Effective_Week],74)</f>
        <v/>
      </c>
      <c r="BX25">
        <f>SUMIFS(T_Shipments[Confirmed_Qty],T_Shipments[RM_Code],$A25,T_Shipments[Effective_Week],75)</f>
        <v/>
      </c>
      <c r="BY25">
        <f>SUMIFS(T_Shipments[Confirmed_Qty],T_Shipments[RM_Code],$A25,T_Shipments[Effective_Week],76)</f>
        <v/>
      </c>
      <c r="BZ25">
        <f>SUMIFS(T_Shipments[Confirmed_Qty],T_Shipments[RM_Code],$A25,T_Shipments[Effective_Week],77)</f>
        <v/>
      </c>
      <c r="CA25">
        <f>SUMIFS(T_Shipments[Confirmed_Qty],T_Shipments[RM_Code],$A25,T_Shipments[Effective_Week],78)</f>
        <v/>
      </c>
      <c r="CB25">
        <f>SUMIFS(T_Shipments[Confirmed_Qty],T_Shipments[RM_Code],$A25,T_Shipments[Effective_Week],79)</f>
        <v/>
      </c>
      <c r="CC25">
        <f>SUMIFS(T_Shipments[Confirmed_Qty],T_Shipments[RM_Code],$A25,T_Shipments[Effective_Week],80)</f>
        <v/>
      </c>
      <c r="CD25">
        <f>SUMIFS(T_Shipments[Confirmed_Qty],T_Shipments[RM_Code],$A25,T_Shipments[Effective_Week],81)</f>
        <v/>
      </c>
      <c r="CE25">
        <f>SUMIFS(T_Shipments[Confirmed_Qty],T_Shipments[RM_Code],$A25,T_Shipments[Effective_Week],82)</f>
        <v/>
      </c>
      <c r="CF25">
        <f>SUMIFS(T_Shipments[Confirmed_Qty],T_Shipments[RM_Code],$A25,T_Shipments[Effective_Week],83)</f>
        <v/>
      </c>
      <c r="CG25">
        <f>SUMIFS(T_Shipments[Confirmed_Qty],T_Shipments[RM_Code],$A25,T_Shipments[Effective_Week],84)</f>
        <v/>
      </c>
      <c r="CH25">
        <f>SUMIFS(T_Shipments[Confirmed_Qty],T_Shipments[RM_Code],$A25,T_Shipments[Effective_Week],85)</f>
        <v/>
      </c>
      <c r="CI25">
        <f>SUMIFS(T_Shipments[Confirmed_Qty],T_Shipments[RM_Code],$A25,T_Shipments[Effective_Week],86)</f>
        <v/>
      </c>
      <c r="CJ25">
        <f>SUMIFS(T_Shipments[Confirmed_Qty],T_Shipments[RM_Code],$A25,T_Shipments[Effective_Week],87)</f>
        <v/>
      </c>
      <c r="CK25">
        <f>SUMIFS(T_Shipments[Confirmed_Qty],T_Shipments[RM_Code],$A25,T_Shipments[Effective_Week],88)</f>
        <v/>
      </c>
      <c r="CL25">
        <f>SUMIFS(T_Shipments[Confirmed_Qty],T_Shipments[RM_Code],$A25,T_Shipments[Effective_Week],89)</f>
        <v/>
      </c>
      <c r="CM25">
        <f>SUMIFS(T_Shipments[Confirmed_Qty],T_Shipments[RM_Code],$A25,T_Shipments[Effective_Week],90)</f>
        <v/>
      </c>
      <c r="CN25">
        <f>SUMIFS(T_Shipments[Confirmed_Qty],T_Shipments[RM_Code],$A25,T_Shipments[Effective_Week],91)</f>
        <v/>
      </c>
      <c r="CO25">
        <f>SUMIFS(T_Shipments[Confirmed_Qty],T_Shipments[RM_Code],$A25,T_Shipments[Effective_Week],92)</f>
        <v/>
      </c>
      <c r="CP25">
        <f>SUMIFS(T_Shipments[Confirmed_Qty],T_Shipments[RM_Code],$A25,T_Shipments[Effective_Week],93)</f>
        <v/>
      </c>
      <c r="CQ25">
        <f>SUMIFS(T_Shipments[Confirmed_Qty],T_Shipments[RM_Code],$A25,T_Shipments[Effective_Week],94)</f>
        <v/>
      </c>
      <c r="CR25">
        <f>SUMIFS(T_Shipments[Confirmed_Qty],T_Shipments[RM_Code],$A25,T_Shipments[Effective_Week],95)</f>
        <v/>
      </c>
      <c r="CS25">
        <f>SUMIFS(T_Shipments[Confirmed_Qty],T_Shipments[RM_Code],$A25,T_Shipments[Effective_Week],96)</f>
        <v/>
      </c>
      <c r="CT25">
        <f>SUMIFS(T_Shipments[Confirmed_Qty],T_Shipments[RM_Code],$A25,T_Shipments[Effective_Week],97)</f>
        <v/>
      </c>
      <c r="CU25">
        <f>SUMIFS(T_Shipments[Confirmed_Qty],T_Shipments[RM_Code],$A25,T_Shipments[Effective_Week],98)</f>
        <v/>
      </c>
      <c r="CV25">
        <f>SUMIFS(T_Shipments[Confirmed_Qty],T_Shipments[RM_Code],$A25,T_Shipments[Effective_Week],99)</f>
        <v/>
      </c>
      <c r="CW25">
        <f>SUMIFS(T_Shipments[Confirmed_Qty],T_Shipments[RM_Code],$A25,T_Shipments[Effective_Week],100)</f>
        <v/>
      </c>
      <c r="CX25">
        <f>SUMIFS(T_Shipments[Confirmed_Qty],T_Shipments[RM_Code],$A25,T_Shipments[Effective_Week],101)</f>
        <v/>
      </c>
      <c r="CY25">
        <f>SUMIFS(T_Shipments[Confirmed_Qty],T_Shipments[RM_Code],$A25,T_Shipments[Effective_Week],102)</f>
        <v/>
      </c>
      <c r="CZ25">
        <f>SUMIFS(T_Shipments[Confirmed_Qty],T_Shipments[RM_Code],$A25,T_Shipments[Effective_Week],103)</f>
        <v/>
      </c>
      <c r="DA25">
        <f>SUMIFS(T_Shipments[Confirmed_Qty],T_Shipments[RM_Code],$A25,T_Shipments[Effective_Week],104)</f>
        <v/>
      </c>
    </row>
    <row r="26">
      <c r="A26" t="inlineStr">
        <is>
          <t>CHEM-1760</t>
        </is>
      </c>
      <c r="B26">
        <f>SUMIFS(T_Shipments[Confirmed_Qty],T_Shipments[RM_Code],$A26,T_Shipments[Effective_Week],1)</f>
        <v/>
      </c>
      <c r="C26">
        <f>SUMIFS(T_Shipments[Confirmed_Qty],T_Shipments[RM_Code],$A26,T_Shipments[Effective_Week],2)</f>
        <v/>
      </c>
      <c r="D26">
        <f>SUMIFS(T_Shipments[Confirmed_Qty],T_Shipments[RM_Code],$A26,T_Shipments[Effective_Week],3)</f>
        <v/>
      </c>
      <c r="E26">
        <f>SUMIFS(T_Shipments[Confirmed_Qty],T_Shipments[RM_Code],$A26,T_Shipments[Effective_Week],4)</f>
        <v/>
      </c>
      <c r="F26">
        <f>SUMIFS(T_Shipments[Confirmed_Qty],T_Shipments[RM_Code],$A26,T_Shipments[Effective_Week],5)</f>
        <v/>
      </c>
      <c r="G26">
        <f>SUMIFS(T_Shipments[Confirmed_Qty],T_Shipments[RM_Code],$A26,T_Shipments[Effective_Week],6)</f>
        <v/>
      </c>
      <c r="H26">
        <f>SUMIFS(T_Shipments[Confirmed_Qty],T_Shipments[RM_Code],$A26,T_Shipments[Effective_Week],7)</f>
        <v/>
      </c>
      <c r="I26">
        <f>SUMIFS(T_Shipments[Confirmed_Qty],T_Shipments[RM_Code],$A26,T_Shipments[Effective_Week],8)</f>
        <v/>
      </c>
      <c r="J26">
        <f>SUMIFS(T_Shipments[Confirmed_Qty],T_Shipments[RM_Code],$A26,T_Shipments[Effective_Week],9)</f>
        <v/>
      </c>
      <c r="K26">
        <f>SUMIFS(T_Shipments[Confirmed_Qty],T_Shipments[RM_Code],$A26,T_Shipments[Effective_Week],10)</f>
        <v/>
      </c>
      <c r="L26">
        <f>SUMIFS(T_Shipments[Confirmed_Qty],T_Shipments[RM_Code],$A26,T_Shipments[Effective_Week],11)</f>
        <v/>
      </c>
      <c r="M26">
        <f>SUMIFS(T_Shipments[Confirmed_Qty],T_Shipments[RM_Code],$A26,T_Shipments[Effective_Week],12)</f>
        <v/>
      </c>
      <c r="N26">
        <f>SUMIFS(T_Shipments[Confirmed_Qty],T_Shipments[RM_Code],$A26,T_Shipments[Effective_Week],13)</f>
        <v/>
      </c>
      <c r="O26">
        <f>SUMIFS(T_Shipments[Confirmed_Qty],T_Shipments[RM_Code],$A26,T_Shipments[Effective_Week],14)</f>
        <v/>
      </c>
      <c r="P26">
        <f>SUMIFS(T_Shipments[Confirmed_Qty],T_Shipments[RM_Code],$A26,T_Shipments[Effective_Week],15)</f>
        <v/>
      </c>
      <c r="Q26">
        <f>SUMIFS(T_Shipments[Confirmed_Qty],T_Shipments[RM_Code],$A26,T_Shipments[Effective_Week],16)</f>
        <v/>
      </c>
      <c r="R26">
        <f>SUMIFS(T_Shipments[Confirmed_Qty],T_Shipments[RM_Code],$A26,T_Shipments[Effective_Week],17)</f>
        <v/>
      </c>
      <c r="S26">
        <f>SUMIFS(T_Shipments[Confirmed_Qty],T_Shipments[RM_Code],$A26,T_Shipments[Effective_Week],18)</f>
        <v/>
      </c>
      <c r="T26">
        <f>SUMIFS(T_Shipments[Confirmed_Qty],T_Shipments[RM_Code],$A26,T_Shipments[Effective_Week],19)</f>
        <v/>
      </c>
      <c r="U26">
        <f>SUMIFS(T_Shipments[Confirmed_Qty],T_Shipments[RM_Code],$A26,T_Shipments[Effective_Week],20)</f>
        <v/>
      </c>
      <c r="V26">
        <f>SUMIFS(T_Shipments[Confirmed_Qty],T_Shipments[RM_Code],$A26,T_Shipments[Effective_Week],21)</f>
        <v/>
      </c>
      <c r="W26">
        <f>SUMIFS(T_Shipments[Confirmed_Qty],T_Shipments[RM_Code],$A26,T_Shipments[Effective_Week],22)</f>
        <v/>
      </c>
      <c r="X26">
        <f>SUMIFS(T_Shipments[Confirmed_Qty],T_Shipments[RM_Code],$A26,T_Shipments[Effective_Week],23)</f>
        <v/>
      </c>
      <c r="Y26">
        <f>SUMIFS(T_Shipments[Confirmed_Qty],T_Shipments[RM_Code],$A26,T_Shipments[Effective_Week],24)</f>
        <v/>
      </c>
      <c r="Z26">
        <f>SUMIFS(T_Shipments[Confirmed_Qty],T_Shipments[RM_Code],$A26,T_Shipments[Effective_Week],25)</f>
        <v/>
      </c>
      <c r="AA26">
        <f>SUMIFS(T_Shipments[Confirmed_Qty],T_Shipments[RM_Code],$A26,T_Shipments[Effective_Week],26)</f>
        <v/>
      </c>
      <c r="AB26">
        <f>SUMIFS(T_Shipments[Confirmed_Qty],T_Shipments[RM_Code],$A26,T_Shipments[Effective_Week],27)</f>
        <v/>
      </c>
      <c r="AC26">
        <f>SUMIFS(T_Shipments[Confirmed_Qty],T_Shipments[RM_Code],$A26,T_Shipments[Effective_Week],28)</f>
        <v/>
      </c>
      <c r="AD26">
        <f>SUMIFS(T_Shipments[Confirmed_Qty],T_Shipments[RM_Code],$A26,T_Shipments[Effective_Week],29)</f>
        <v/>
      </c>
      <c r="AE26">
        <f>SUMIFS(T_Shipments[Confirmed_Qty],T_Shipments[RM_Code],$A26,T_Shipments[Effective_Week],30)</f>
        <v/>
      </c>
      <c r="AF26">
        <f>SUMIFS(T_Shipments[Confirmed_Qty],T_Shipments[RM_Code],$A26,T_Shipments[Effective_Week],31)</f>
        <v/>
      </c>
      <c r="AG26">
        <f>SUMIFS(T_Shipments[Confirmed_Qty],T_Shipments[RM_Code],$A26,T_Shipments[Effective_Week],32)</f>
        <v/>
      </c>
      <c r="AH26">
        <f>SUMIFS(T_Shipments[Confirmed_Qty],T_Shipments[RM_Code],$A26,T_Shipments[Effective_Week],33)</f>
        <v/>
      </c>
      <c r="AI26">
        <f>SUMIFS(T_Shipments[Confirmed_Qty],T_Shipments[RM_Code],$A26,T_Shipments[Effective_Week],34)</f>
        <v/>
      </c>
      <c r="AJ26">
        <f>SUMIFS(T_Shipments[Confirmed_Qty],T_Shipments[RM_Code],$A26,T_Shipments[Effective_Week],35)</f>
        <v/>
      </c>
      <c r="AK26">
        <f>SUMIFS(T_Shipments[Confirmed_Qty],T_Shipments[RM_Code],$A26,T_Shipments[Effective_Week],36)</f>
        <v/>
      </c>
      <c r="AL26">
        <f>SUMIFS(T_Shipments[Confirmed_Qty],T_Shipments[RM_Code],$A26,T_Shipments[Effective_Week],37)</f>
        <v/>
      </c>
      <c r="AM26">
        <f>SUMIFS(T_Shipments[Confirmed_Qty],T_Shipments[RM_Code],$A26,T_Shipments[Effective_Week],38)</f>
        <v/>
      </c>
      <c r="AN26">
        <f>SUMIFS(T_Shipments[Confirmed_Qty],T_Shipments[RM_Code],$A26,T_Shipments[Effective_Week],39)</f>
        <v/>
      </c>
      <c r="AO26">
        <f>SUMIFS(T_Shipments[Confirmed_Qty],T_Shipments[RM_Code],$A26,T_Shipments[Effective_Week],40)</f>
        <v/>
      </c>
      <c r="AP26">
        <f>SUMIFS(T_Shipments[Confirmed_Qty],T_Shipments[RM_Code],$A26,T_Shipments[Effective_Week],41)</f>
        <v/>
      </c>
      <c r="AQ26">
        <f>SUMIFS(T_Shipments[Confirmed_Qty],T_Shipments[RM_Code],$A26,T_Shipments[Effective_Week],42)</f>
        <v/>
      </c>
      <c r="AR26">
        <f>SUMIFS(T_Shipments[Confirmed_Qty],T_Shipments[RM_Code],$A26,T_Shipments[Effective_Week],43)</f>
        <v/>
      </c>
      <c r="AS26">
        <f>SUMIFS(T_Shipments[Confirmed_Qty],T_Shipments[RM_Code],$A26,T_Shipments[Effective_Week],44)</f>
        <v/>
      </c>
      <c r="AT26">
        <f>SUMIFS(T_Shipments[Confirmed_Qty],T_Shipments[RM_Code],$A26,T_Shipments[Effective_Week],45)</f>
        <v/>
      </c>
      <c r="AU26">
        <f>SUMIFS(T_Shipments[Confirmed_Qty],T_Shipments[RM_Code],$A26,T_Shipments[Effective_Week],46)</f>
        <v/>
      </c>
      <c r="AV26">
        <f>SUMIFS(T_Shipments[Confirmed_Qty],T_Shipments[RM_Code],$A26,T_Shipments[Effective_Week],47)</f>
        <v/>
      </c>
      <c r="AW26">
        <f>SUMIFS(T_Shipments[Confirmed_Qty],T_Shipments[RM_Code],$A26,T_Shipments[Effective_Week],48)</f>
        <v/>
      </c>
      <c r="AX26">
        <f>SUMIFS(T_Shipments[Confirmed_Qty],T_Shipments[RM_Code],$A26,T_Shipments[Effective_Week],49)</f>
        <v/>
      </c>
      <c r="AY26">
        <f>SUMIFS(T_Shipments[Confirmed_Qty],T_Shipments[RM_Code],$A26,T_Shipments[Effective_Week],50)</f>
        <v/>
      </c>
      <c r="AZ26">
        <f>SUMIFS(T_Shipments[Confirmed_Qty],T_Shipments[RM_Code],$A26,T_Shipments[Effective_Week],51)</f>
        <v/>
      </c>
      <c r="BA26">
        <f>SUMIFS(T_Shipments[Confirmed_Qty],T_Shipments[RM_Code],$A26,T_Shipments[Effective_Week],52)</f>
        <v/>
      </c>
      <c r="BB26">
        <f>SUMIFS(T_Shipments[Confirmed_Qty],T_Shipments[RM_Code],$A26,T_Shipments[Effective_Week],53)</f>
        <v/>
      </c>
      <c r="BC26">
        <f>SUMIFS(T_Shipments[Confirmed_Qty],T_Shipments[RM_Code],$A26,T_Shipments[Effective_Week],54)</f>
        <v/>
      </c>
      <c r="BD26">
        <f>SUMIFS(T_Shipments[Confirmed_Qty],T_Shipments[RM_Code],$A26,T_Shipments[Effective_Week],55)</f>
        <v/>
      </c>
      <c r="BE26">
        <f>SUMIFS(T_Shipments[Confirmed_Qty],T_Shipments[RM_Code],$A26,T_Shipments[Effective_Week],56)</f>
        <v/>
      </c>
      <c r="BF26">
        <f>SUMIFS(T_Shipments[Confirmed_Qty],T_Shipments[RM_Code],$A26,T_Shipments[Effective_Week],57)</f>
        <v/>
      </c>
      <c r="BG26">
        <f>SUMIFS(T_Shipments[Confirmed_Qty],T_Shipments[RM_Code],$A26,T_Shipments[Effective_Week],58)</f>
        <v/>
      </c>
      <c r="BH26">
        <f>SUMIFS(T_Shipments[Confirmed_Qty],T_Shipments[RM_Code],$A26,T_Shipments[Effective_Week],59)</f>
        <v/>
      </c>
      <c r="BI26">
        <f>SUMIFS(T_Shipments[Confirmed_Qty],T_Shipments[RM_Code],$A26,T_Shipments[Effective_Week],60)</f>
        <v/>
      </c>
      <c r="BJ26">
        <f>SUMIFS(T_Shipments[Confirmed_Qty],T_Shipments[RM_Code],$A26,T_Shipments[Effective_Week],61)</f>
        <v/>
      </c>
      <c r="BK26">
        <f>SUMIFS(T_Shipments[Confirmed_Qty],T_Shipments[RM_Code],$A26,T_Shipments[Effective_Week],62)</f>
        <v/>
      </c>
      <c r="BL26">
        <f>SUMIFS(T_Shipments[Confirmed_Qty],T_Shipments[RM_Code],$A26,T_Shipments[Effective_Week],63)</f>
        <v/>
      </c>
      <c r="BM26">
        <f>SUMIFS(T_Shipments[Confirmed_Qty],T_Shipments[RM_Code],$A26,T_Shipments[Effective_Week],64)</f>
        <v/>
      </c>
      <c r="BN26">
        <f>SUMIFS(T_Shipments[Confirmed_Qty],T_Shipments[RM_Code],$A26,T_Shipments[Effective_Week],65)</f>
        <v/>
      </c>
      <c r="BO26">
        <f>SUMIFS(T_Shipments[Confirmed_Qty],T_Shipments[RM_Code],$A26,T_Shipments[Effective_Week],66)</f>
        <v/>
      </c>
      <c r="BP26">
        <f>SUMIFS(T_Shipments[Confirmed_Qty],T_Shipments[RM_Code],$A26,T_Shipments[Effective_Week],67)</f>
        <v/>
      </c>
      <c r="BQ26">
        <f>SUMIFS(T_Shipments[Confirmed_Qty],T_Shipments[RM_Code],$A26,T_Shipments[Effective_Week],68)</f>
        <v/>
      </c>
      <c r="BR26">
        <f>SUMIFS(T_Shipments[Confirmed_Qty],T_Shipments[RM_Code],$A26,T_Shipments[Effective_Week],69)</f>
        <v/>
      </c>
      <c r="BS26">
        <f>SUMIFS(T_Shipments[Confirmed_Qty],T_Shipments[RM_Code],$A26,T_Shipments[Effective_Week],70)</f>
        <v/>
      </c>
      <c r="BT26">
        <f>SUMIFS(T_Shipments[Confirmed_Qty],T_Shipments[RM_Code],$A26,T_Shipments[Effective_Week],71)</f>
        <v/>
      </c>
      <c r="BU26">
        <f>SUMIFS(T_Shipments[Confirmed_Qty],T_Shipments[RM_Code],$A26,T_Shipments[Effective_Week],72)</f>
        <v/>
      </c>
      <c r="BV26">
        <f>SUMIFS(T_Shipments[Confirmed_Qty],T_Shipments[RM_Code],$A26,T_Shipments[Effective_Week],73)</f>
        <v/>
      </c>
      <c r="BW26">
        <f>SUMIFS(T_Shipments[Confirmed_Qty],T_Shipments[RM_Code],$A26,T_Shipments[Effective_Week],74)</f>
        <v/>
      </c>
      <c r="BX26">
        <f>SUMIFS(T_Shipments[Confirmed_Qty],T_Shipments[RM_Code],$A26,T_Shipments[Effective_Week],75)</f>
        <v/>
      </c>
      <c r="BY26">
        <f>SUMIFS(T_Shipments[Confirmed_Qty],T_Shipments[RM_Code],$A26,T_Shipments[Effective_Week],76)</f>
        <v/>
      </c>
      <c r="BZ26">
        <f>SUMIFS(T_Shipments[Confirmed_Qty],T_Shipments[RM_Code],$A26,T_Shipments[Effective_Week],77)</f>
        <v/>
      </c>
      <c r="CA26">
        <f>SUMIFS(T_Shipments[Confirmed_Qty],T_Shipments[RM_Code],$A26,T_Shipments[Effective_Week],78)</f>
        <v/>
      </c>
      <c r="CB26">
        <f>SUMIFS(T_Shipments[Confirmed_Qty],T_Shipments[RM_Code],$A26,T_Shipments[Effective_Week],79)</f>
        <v/>
      </c>
      <c r="CC26">
        <f>SUMIFS(T_Shipments[Confirmed_Qty],T_Shipments[RM_Code],$A26,T_Shipments[Effective_Week],80)</f>
        <v/>
      </c>
      <c r="CD26">
        <f>SUMIFS(T_Shipments[Confirmed_Qty],T_Shipments[RM_Code],$A26,T_Shipments[Effective_Week],81)</f>
        <v/>
      </c>
      <c r="CE26">
        <f>SUMIFS(T_Shipments[Confirmed_Qty],T_Shipments[RM_Code],$A26,T_Shipments[Effective_Week],82)</f>
        <v/>
      </c>
      <c r="CF26">
        <f>SUMIFS(T_Shipments[Confirmed_Qty],T_Shipments[RM_Code],$A26,T_Shipments[Effective_Week],83)</f>
        <v/>
      </c>
      <c r="CG26">
        <f>SUMIFS(T_Shipments[Confirmed_Qty],T_Shipments[RM_Code],$A26,T_Shipments[Effective_Week],84)</f>
        <v/>
      </c>
      <c r="CH26">
        <f>SUMIFS(T_Shipments[Confirmed_Qty],T_Shipments[RM_Code],$A26,T_Shipments[Effective_Week],85)</f>
        <v/>
      </c>
      <c r="CI26">
        <f>SUMIFS(T_Shipments[Confirmed_Qty],T_Shipments[RM_Code],$A26,T_Shipments[Effective_Week],86)</f>
        <v/>
      </c>
      <c r="CJ26">
        <f>SUMIFS(T_Shipments[Confirmed_Qty],T_Shipments[RM_Code],$A26,T_Shipments[Effective_Week],87)</f>
        <v/>
      </c>
      <c r="CK26">
        <f>SUMIFS(T_Shipments[Confirmed_Qty],T_Shipments[RM_Code],$A26,T_Shipments[Effective_Week],88)</f>
        <v/>
      </c>
      <c r="CL26">
        <f>SUMIFS(T_Shipments[Confirmed_Qty],T_Shipments[RM_Code],$A26,T_Shipments[Effective_Week],89)</f>
        <v/>
      </c>
      <c r="CM26">
        <f>SUMIFS(T_Shipments[Confirmed_Qty],T_Shipments[RM_Code],$A26,T_Shipments[Effective_Week],90)</f>
        <v/>
      </c>
      <c r="CN26">
        <f>SUMIFS(T_Shipments[Confirmed_Qty],T_Shipments[RM_Code],$A26,T_Shipments[Effective_Week],91)</f>
        <v/>
      </c>
      <c r="CO26">
        <f>SUMIFS(T_Shipments[Confirmed_Qty],T_Shipments[RM_Code],$A26,T_Shipments[Effective_Week],92)</f>
        <v/>
      </c>
      <c r="CP26">
        <f>SUMIFS(T_Shipments[Confirmed_Qty],T_Shipments[RM_Code],$A26,T_Shipments[Effective_Week],93)</f>
        <v/>
      </c>
      <c r="CQ26">
        <f>SUMIFS(T_Shipments[Confirmed_Qty],T_Shipments[RM_Code],$A26,T_Shipments[Effective_Week],94)</f>
        <v/>
      </c>
      <c r="CR26">
        <f>SUMIFS(T_Shipments[Confirmed_Qty],T_Shipments[RM_Code],$A26,T_Shipments[Effective_Week],95)</f>
        <v/>
      </c>
      <c r="CS26">
        <f>SUMIFS(T_Shipments[Confirmed_Qty],T_Shipments[RM_Code],$A26,T_Shipments[Effective_Week],96)</f>
        <v/>
      </c>
      <c r="CT26">
        <f>SUMIFS(T_Shipments[Confirmed_Qty],T_Shipments[RM_Code],$A26,T_Shipments[Effective_Week],97)</f>
        <v/>
      </c>
      <c r="CU26">
        <f>SUMIFS(T_Shipments[Confirmed_Qty],T_Shipments[RM_Code],$A26,T_Shipments[Effective_Week],98)</f>
        <v/>
      </c>
      <c r="CV26">
        <f>SUMIFS(T_Shipments[Confirmed_Qty],T_Shipments[RM_Code],$A26,T_Shipments[Effective_Week],99)</f>
        <v/>
      </c>
      <c r="CW26">
        <f>SUMIFS(T_Shipments[Confirmed_Qty],T_Shipments[RM_Code],$A26,T_Shipments[Effective_Week],100)</f>
        <v/>
      </c>
      <c r="CX26">
        <f>SUMIFS(T_Shipments[Confirmed_Qty],T_Shipments[RM_Code],$A26,T_Shipments[Effective_Week],101)</f>
        <v/>
      </c>
      <c r="CY26">
        <f>SUMIFS(T_Shipments[Confirmed_Qty],T_Shipments[RM_Code],$A26,T_Shipments[Effective_Week],102)</f>
        <v/>
      </c>
      <c r="CZ26">
        <f>SUMIFS(T_Shipments[Confirmed_Qty],T_Shipments[RM_Code],$A26,T_Shipments[Effective_Week],103)</f>
        <v/>
      </c>
      <c r="DA26">
        <f>SUMIFS(T_Shipments[Confirmed_Qty],T_Shipments[RM_Code],$A26,T_Shipments[Effective_Week],104)</f>
        <v/>
      </c>
    </row>
    <row r="27">
      <c r="A27" t="inlineStr">
        <is>
          <t>Original Towel</t>
        </is>
      </c>
      <c r="B27">
        <f>SUMIFS(T_Shipments[Confirmed_Qty],T_Shipments[RM_Code],$A27,T_Shipments[Effective_Week],1)</f>
        <v/>
      </c>
      <c r="C27">
        <f>SUMIFS(T_Shipments[Confirmed_Qty],T_Shipments[RM_Code],$A27,T_Shipments[Effective_Week],2)</f>
        <v/>
      </c>
      <c r="D27">
        <f>SUMIFS(T_Shipments[Confirmed_Qty],T_Shipments[RM_Code],$A27,T_Shipments[Effective_Week],3)</f>
        <v/>
      </c>
      <c r="E27">
        <f>SUMIFS(T_Shipments[Confirmed_Qty],T_Shipments[RM_Code],$A27,T_Shipments[Effective_Week],4)</f>
        <v/>
      </c>
      <c r="F27">
        <f>SUMIFS(T_Shipments[Confirmed_Qty],T_Shipments[RM_Code],$A27,T_Shipments[Effective_Week],5)</f>
        <v/>
      </c>
      <c r="G27">
        <f>SUMIFS(T_Shipments[Confirmed_Qty],T_Shipments[RM_Code],$A27,T_Shipments[Effective_Week],6)</f>
        <v/>
      </c>
      <c r="H27">
        <f>SUMIFS(T_Shipments[Confirmed_Qty],T_Shipments[RM_Code],$A27,T_Shipments[Effective_Week],7)</f>
        <v/>
      </c>
      <c r="I27">
        <f>SUMIFS(T_Shipments[Confirmed_Qty],T_Shipments[RM_Code],$A27,T_Shipments[Effective_Week],8)</f>
        <v/>
      </c>
      <c r="J27">
        <f>SUMIFS(T_Shipments[Confirmed_Qty],T_Shipments[RM_Code],$A27,T_Shipments[Effective_Week],9)</f>
        <v/>
      </c>
      <c r="K27">
        <f>SUMIFS(T_Shipments[Confirmed_Qty],T_Shipments[RM_Code],$A27,T_Shipments[Effective_Week],10)</f>
        <v/>
      </c>
      <c r="L27">
        <f>SUMIFS(T_Shipments[Confirmed_Qty],T_Shipments[RM_Code],$A27,T_Shipments[Effective_Week],11)</f>
        <v/>
      </c>
      <c r="M27">
        <f>SUMIFS(T_Shipments[Confirmed_Qty],T_Shipments[RM_Code],$A27,T_Shipments[Effective_Week],12)</f>
        <v/>
      </c>
      <c r="N27">
        <f>SUMIFS(T_Shipments[Confirmed_Qty],T_Shipments[RM_Code],$A27,T_Shipments[Effective_Week],13)</f>
        <v/>
      </c>
      <c r="O27">
        <f>SUMIFS(T_Shipments[Confirmed_Qty],T_Shipments[RM_Code],$A27,T_Shipments[Effective_Week],14)</f>
        <v/>
      </c>
      <c r="P27">
        <f>SUMIFS(T_Shipments[Confirmed_Qty],T_Shipments[RM_Code],$A27,T_Shipments[Effective_Week],15)</f>
        <v/>
      </c>
      <c r="Q27">
        <f>SUMIFS(T_Shipments[Confirmed_Qty],T_Shipments[RM_Code],$A27,T_Shipments[Effective_Week],16)</f>
        <v/>
      </c>
      <c r="R27">
        <f>SUMIFS(T_Shipments[Confirmed_Qty],T_Shipments[RM_Code],$A27,T_Shipments[Effective_Week],17)</f>
        <v/>
      </c>
      <c r="S27">
        <f>SUMIFS(T_Shipments[Confirmed_Qty],T_Shipments[RM_Code],$A27,T_Shipments[Effective_Week],18)</f>
        <v/>
      </c>
      <c r="T27">
        <f>SUMIFS(T_Shipments[Confirmed_Qty],T_Shipments[RM_Code],$A27,T_Shipments[Effective_Week],19)</f>
        <v/>
      </c>
      <c r="U27">
        <f>SUMIFS(T_Shipments[Confirmed_Qty],T_Shipments[RM_Code],$A27,T_Shipments[Effective_Week],20)</f>
        <v/>
      </c>
      <c r="V27">
        <f>SUMIFS(T_Shipments[Confirmed_Qty],T_Shipments[RM_Code],$A27,T_Shipments[Effective_Week],21)</f>
        <v/>
      </c>
      <c r="W27">
        <f>SUMIFS(T_Shipments[Confirmed_Qty],T_Shipments[RM_Code],$A27,T_Shipments[Effective_Week],22)</f>
        <v/>
      </c>
      <c r="X27">
        <f>SUMIFS(T_Shipments[Confirmed_Qty],T_Shipments[RM_Code],$A27,T_Shipments[Effective_Week],23)</f>
        <v/>
      </c>
      <c r="Y27">
        <f>SUMIFS(T_Shipments[Confirmed_Qty],T_Shipments[RM_Code],$A27,T_Shipments[Effective_Week],24)</f>
        <v/>
      </c>
      <c r="Z27">
        <f>SUMIFS(T_Shipments[Confirmed_Qty],T_Shipments[RM_Code],$A27,T_Shipments[Effective_Week],25)</f>
        <v/>
      </c>
      <c r="AA27">
        <f>SUMIFS(T_Shipments[Confirmed_Qty],T_Shipments[RM_Code],$A27,T_Shipments[Effective_Week],26)</f>
        <v/>
      </c>
      <c r="AB27">
        <f>SUMIFS(T_Shipments[Confirmed_Qty],T_Shipments[RM_Code],$A27,T_Shipments[Effective_Week],27)</f>
        <v/>
      </c>
      <c r="AC27">
        <f>SUMIFS(T_Shipments[Confirmed_Qty],T_Shipments[RM_Code],$A27,T_Shipments[Effective_Week],28)</f>
        <v/>
      </c>
      <c r="AD27">
        <f>SUMIFS(T_Shipments[Confirmed_Qty],T_Shipments[RM_Code],$A27,T_Shipments[Effective_Week],29)</f>
        <v/>
      </c>
      <c r="AE27">
        <f>SUMIFS(T_Shipments[Confirmed_Qty],T_Shipments[RM_Code],$A27,T_Shipments[Effective_Week],30)</f>
        <v/>
      </c>
      <c r="AF27">
        <f>SUMIFS(T_Shipments[Confirmed_Qty],T_Shipments[RM_Code],$A27,T_Shipments[Effective_Week],31)</f>
        <v/>
      </c>
      <c r="AG27">
        <f>SUMIFS(T_Shipments[Confirmed_Qty],T_Shipments[RM_Code],$A27,T_Shipments[Effective_Week],32)</f>
        <v/>
      </c>
      <c r="AH27">
        <f>SUMIFS(T_Shipments[Confirmed_Qty],T_Shipments[RM_Code],$A27,T_Shipments[Effective_Week],33)</f>
        <v/>
      </c>
      <c r="AI27">
        <f>SUMIFS(T_Shipments[Confirmed_Qty],T_Shipments[RM_Code],$A27,T_Shipments[Effective_Week],34)</f>
        <v/>
      </c>
      <c r="AJ27">
        <f>SUMIFS(T_Shipments[Confirmed_Qty],T_Shipments[RM_Code],$A27,T_Shipments[Effective_Week],35)</f>
        <v/>
      </c>
      <c r="AK27">
        <f>SUMIFS(T_Shipments[Confirmed_Qty],T_Shipments[RM_Code],$A27,T_Shipments[Effective_Week],36)</f>
        <v/>
      </c>
      <c r="AL27">
        <f>SUMIFS(T_Shipments[Confirmed_Qty],T_Shipments[RM_Code],$A27,T_Shipments[Effective_Week],37)</f>
        <v/>
      </c>
      <c r="AM27">
        <f>SUMIFS(T_Shipments[Confirmed_Qty],T_Shipments[RM_Code],$A27,T_Shipments[Effective_Week],38)</f>
        <v/>
      </c>
      <c r="AN27">
        <f>SUMIFS(T_Shipments[Confirmed_Qty],T_Shipments[RM_Code],$A27,T_Shipments[Effective_Week],39)</f>
        <v/>
      </c>
      <c r="AO27">
        <f>SUMIFS(T_Shipments[Confirmed_Qty],T_Shipments[RM_Code],$A27,T_Shipments[Effective_Week],40)</f>
        <v/>
      </c>
      <c r="AP27">
        <f>SUMIFS(T_Shipments[Confirmed_Qty],T_Shipments[RM_Code],$A27,T_Shipments[Effective_Week],41)</f>
        <v/>
      </c>
      <c r="AQ27">
        <f>SUMIFS(T_Shipments[Confirmed_Qty],T_Shipments[RM_Code],$A27,T_Shipments[Effective_Week],42)</f>
        <v/>
      </c>
      <c r="AR27">
        <f>SUMIFS(T_Shipments[Confirmed_Qty],T_Shipments[RM_Code],$A27,T_Shipments[Effective_Week],43)</f>
        <v/>
      </c>
      <c r="AS27">
        <f>SUMIFS(T_Shipments[Confirmed_Qty],T_Shipments[RM_Code],$A27,T_Shipments[Effective_Week],44)</f>
        <v/>
      </c>
      <c r="AT27">
        <f>SUMIFS(T_Shipments[Confirmed_Qty],T_Shipments[RM_Code],$A27,T_Shipments[Effective_Week],45)</f>
        <v/>
      </c>
      <c r="AU27">
        <f>SUMIFS(T_Shipments[Confirmed_Qty],T_Shipments[RM_Code],$A27,T_Shipments[Effective_Week],46)</f>
        <v/>
      </c>
      <c r="AV27">
        <f>SUMIFS(T_Shipments[Confirmed_Qty],T_Shipments[RM_Code],$A27,T_Shipments[Effective_Week],47)</f>
        <v/>
      </c>
      <c r="AW27">
        <f>SUMIFS(T_Shipments[Confirmed_Qty],T_Shipments[RM_Code],$A27,T_Shipments[Effective_Week],48)</f>
        <v/>
      </c>
      <c r="AX27">
        <f>SUMIFS(T_Shipments[Confirmed_Qty],T_Shipments[RM_Code],$A27,T_Shipments[Effective_Week],49)</f>
        <v/>
      </c>
      <c r="AY27">
        <f>SUMIFS(T_Shipments[Confirmed_Qty],T_Shipments[RM_Code],$A27,T_Shipments[Effective_Week],50)</f>
        <v/>
      </c>
      <c r="AZ27">
        <f>SUMIFS(T_Shipments[Confirmed_Qty],T_Shipments[RM_Code],$A27,T_Shipments[Effective_Week],51)</f>
        <v/>
      </c>
      <c r="BA27">
        <f>SUMIFS(T_Shipments[Confirmed_Qty],T_Shipments[RM_Code],$A27,T_Shipments[Effective_Week],52)</f>
        <v/>
      </c>
      <c r="BB27">
        <f>SUMIFS(T_Shipments[Confirmed_Qty],T_Shipments[RM_Code],$A27,T_Shipments[Effective_Week],53)</f>
        <v/>
      </c>
      <c r="BC27">
        <f>SUMIFS(T_Shipments[Confirmed_Qty],T_Shipments[RM_Code],$A27,T_Shipments[Effective_Week],54)</f>
        <v/>
      </c>
      <c r="BD27">
        <f>SUMIFS(T_Shipments[Confirmed_Qty],T_Shipments[RM_Code],$A27,T_Shipments[Effective_Week],55)</f>
        <v/>
      </c>
      <c r="BE27">
        <f>SUMIFS(T_Shipments[Confirmed_Qty],T_Shipments[RM_Code],$A27,T_Shipments[Effective_Week],56)</f>
        <v/>
      </c>
      <c r="BF27">
        <f>SUMIFS(T_Shipments[Confirmed_Qty],T_Shipments[RM_Code],$A27,T_Shipments[Effective_Week],57)</f>
        <v/>
      </c>
      <c r="BG27">
        <f>SUMIFS(T_Shipments[Confirmed_Qty],T_Shipments[RM_Code],$A27,T_Shipments[Effective_Week],58)</f>
        <v/>
      </c>
      <c r="BH27">
        <f>SUMIFS(T_Shipments[Confirmed_Qty],T_Shipments[RM_Code],$A27,T_Shipments[Effective_Week],59)</f>
        <v/>
      </c>
      <c r="BI27">
        <f>SUMIFS(T_Shipments[Confirmed_Qty],T_Shipments[RM_Code],$A27,T_Shipments[Effective_Week],60)</f>
        <v/>
      </c>
      <c r="BJ27">
        <f>SUMIFS(T_Shipments[Confirmed_Qty],T_Shipments[RM_Code],$A27,T_Shipments[Effective_Week],61)</f>
        <v/>
      </c>
      <c r="BK27">
        <f>SUMIFS(T_Shipments[Confirmed_Qty],T_Shipments[RM_Code],$A27,T_Shipments[Effective_Week],62)</f>
        <v/>
      </c>
      <c r="BL27">
        <f>SUMIFS(T_Shipments[Confirmed_Qty],T_Shipments[RM_Code],$A27,T_Shipments[Effective_Week],63)</f>
        <v/>
      </c>
      <c r="BM27">
        <f>SUMIFS(T_Shipments[Confirmed_Qty],T_Shipments[RM_Code],$A27,T_Shipments[Effective_Week],64)</f>
        <v/>
      </c>
      <c r="BN27">
        <f>SUMIFS(T_Shipments[Confirmed_Qty],T_Shipments[RM_Code],$A27,T_Shipments[Effective_Week],65)</f>
        <v/>
      </c>
      <c r="BO27">
        <f>SUMIFS(T_Shipments[Confirmed_Qty],T_Shipments[RM_Code],$A27,T_Shipments[Effective_Week],66)</f>
        <v/>
      </c>
      <c r="BP27">
        <f>SUMIFS(T_Shipments[Confirmed_Qty],T_Shipments[RM_Code],$A27,T_Shipments[Effective_Week],67)</f>
        <v/>
      </c>
      <c r="BQ27">
        <f>SUMIFS(T_Shipments[Confirmed_Qty],T_Shipments[RM_Code],$A27,T_Shipments[Effective_Week],68)</f>
        <v/>
      </c>
      <c r="BR27">
        <f>SUMIFS(T_Shipments[Confirmed_Qty],T_Shipments[RM_Code],$A27,T_Shipments[Effective_Week],69)</f>
        <v/>
      </c>
      <c r="BS27">
        <f>SUMIFS(T_Shipments[Confirmed_Qty],T_Shipments[RM_Code],$A27,T_Shipments[Effective_Week],70)</f>
        <v/>
      </c>
      <c r="BT27">
        <f>SUMIFS(T_Shipments[Confirmed_Qty],T_Shipments[RM_Code],$A27,T_Shipments[Effective_Week],71)</f>
        <v/>
      </c>
      <c r="BU27">
        <f>SUMIFS(T_Shipments[Confirmed_Qty],T_Shipments[RM_Code],$A27,T_Shipments[Effective_Week],72)</f>
        <v/>
      </c>
      <c r="BV27">
        <f>SUMIFS(T_Shipments[Confirmed_Qty],T_Shipments[RM_Code],$A27,T_Shipments[Effective_Week],73)</f>
        <v/>
      </c>
      <c r="BW27">
        <f>SUMIFS(T_Shipments[Confirmed_Qty],T_Shipments[RM_Code],$A27,T_Shipments[Effective_Week],74)</f>
        <v/>
      </c>
      <c r="BX27">
        <f>SUMIFS(T_Shipments[Confirmed_Qty],T_Shipments[RM_Code],$A27,T_Shipments[Effective_Week],75)</f>
        <v/>
      </c>
      <c r="BY27">
        <f>SUMIFS(T_Shipments[Confirmed_Qty],T_Shipments[RM_Code],$A27,T_Shipments[Effective_Week],76)</f>
        <v/>
      </c>
      <c r="BZ27">
        <f>SUMIFS(T_Shipments[Confirmed_Qty],T_Shipments[RM_Code],$A27,T_Shipments[Effective_Week],77)</f>
        <v/>
      </c>
      <c r="CA27">
        <f>SUMIFS(T_Shipments[Confirmed_Qty],T_Shipments[RM_Code],$A27,T_Shipments[Effective_Week],78)</f>
        <v/>
      </c>
      <c r="CB27">
        <f>SUMIFS(T_Shipments[Confirmed_Qty],T_Shipments[RM_Code],$A27,T_Shipments[Effective_Week],79)</f>
        <v/>
      </c>
      <c r="CC27">
        <f>SUMIFS(T_Shipments[Confirmed_Qty],T_Shipments[RM_Code],$A27,T_Shipments[Effective_Week],80)</f>
        <v/>
      </c>
      <c r="CD27">
        <f>SUMIFS(T_Shipments[Confirmed_Qty],T_Shipments[RM_Code],$A27,T_Shipments[Effective_Week],81)</f>
        <v/>
      </c>
      <c r="CE27">
        <f>SUMIFS(T_Shipments[Confirmed_Qty],T_Shipments[RM_Code],$A27,T_Shipments[Effective_Week],82)</f>
        <v/>
      </c>
      <c r="CF27">
        <f>SUMIFS(T_Shipments[Confirmed_Qty],T_Shipments[RM_Code],$A27,T_Shipments[Effective_Week],83)</f>
        <v/>
      </c>
      <c r="CG27">
        <f>SUMIFS(T_Shipments[Confirmed_Qty],T_Shipments[RM_Code],$A27,T_Shipments[Effective_Week],84)</f>
        <v/>
      </c>
      <c r="CH27">
        <f>SUMIFS(T_Shipments[Confirmed_Qty],T_Shipments[RM_Code],$A27,T_Shipments[Effective_Week],85)</f>
        <v/>
      </c>
      <c r="CI27">
        <f>SUMIFS(T_Shipments[Confirmed_Qty],T_Shipments[RM_Code],$A27,T_Shipments[Effective_Week],86)</f>
        <v/>
      </c>
      <c r="CJ27">
        <f>SUMIFS(T_Shipments[Confirmed_Qty],T_Shipments[RM_Code],$A27,T_Shipments[Effective_Week],87)</f>
        <v/>
      </c>
      <c r="CK27">
        <f>SUMIFS(T_Shipments[Confirmed_Qty],T_Shipments[RM_Code],$A27,T_Shipments[Effective_Week],88)</f>
        <v/>
      </c>
      <c r="CL27">
        <f>SUMIFS(T_Shipments[Confirmed_Qty],T_Shipments[RM_Code],$A27,T_Shipments[Effective_Week],89)</f>
        <v/>
      </c>
      <c r="CM27">
        <f>SUMIFS(T_Shipments[Confirmed_Qty],T_Shipments[RM_Code],$A27,T_Shipments[Effective_Week],90)</f>
        <v/>
      </c>
      <c r="CN27">
        <f>SUMIFS(T_Shipments[Confirmed_Qty],T_Shipments[RM_Code],$A27,T_Shipments[Effective_Week],91)</f>
        <v/>
      </c>
      <c r="CO27">
        <f>SUMIFS(T_Shipments[Confirmed_Qty],T_Shipments[RM_Code],$A27,T_Shipments[Effective_Week],92)</f>
        <v/>
      </c>
      <c r="CP27">
        <f>SUMIFS(T_Shipments[Confirmed_Qty],T_Shipments[RM_Code],$A27,T_Shipments[Effective_Week],93)</f>
        <v/>
      </c>
      <c r="CQ27">
        <f>SUMIFS(T_Shipments[Confirmed_Qty],T_Shipments[RM_Code],$A27,T_Shipments[Effective_Week],94)</f>
        <v/>
      </c>
      <c r="CR27">
        <f>SUMIFS(T_Shipments[Confirmed_Qty],T_Shipments[RM_Code],$A27,T_Shipments[Effective_Week],95)</f>
        <v/>
      </c>
      <c r="CS27">
        <f>SUMIFS(T_Shipments[Confirmed_Qty],T_Shipments[RM_Code],$A27,T_Shipments[Effective_Week],96)</f>
        <v/>
      </c>
      <c r="CT27">
        <f>SUMIFS(T_Shipments[Confirmed_Qty],T_Shipments[RM_Code],$A27,T_Shipments[Effective_Week],97)</f>
        <v/>
      </c>
      <c r="CU27">
        <f>SUMIFS(T_Shipments[Confirmed_Qty],T_Shipments[RM_Code],$A27,T_Shipments[Effective_Week],98)</f>
        <v/>
      </c>
      <c r="CV27">
        <f>SUMIFS(T_Shipments[Confirmed_Qty],T_Shipments[RM_Code],$A27,T_Shipments[Effective_Week],99)</f>
        <v/>
      </c>
      <c r="CW27">
        <f>SUMIFS(T_Shipments[Confirmed_Qty],T_Shipments[RM_Code],$A27,T_Shipments[Effective_Week],100)</f>
        <v/>
      </c>
      <c r="CX27">
        <f>SUMIFS(T_Shipments[Confirmed_Qty],T_Shipments[RM_Code],$A27,T_Shipments[Effective_Week],101)</f>
        <v/>
      </c>
      <c r="CY27">
        <f>SUMIFS(T_Shipments[Confirmed_Qty],T_Shipments[RM_Code],$A27,T_Shipments[Effective_Week],102)</f>
        <v/>
      </c>
      <c r="CZ27">
        <f>SUMIFS(T_Shipments[Confirmed_Qty],T_Shipments[RM_Code],$A27,T_Shipments[Effective_Week],103)</f>
        <v/>
      </c>
      <c r="DA27">
        <f>SUMIFS(T_Shipments[Confirmed_Qty],T_Shipments[RM_Code],$A27,T_Shipments[Effective_Week],104)</f>
        <v/>
      </c>
    </row>
    <row r="28">
      <c r="A28" t="inlineStr">
        <is>
          <t>0LJ</t>
        </is>
      </c>
      <c r="B28">
        <f>SUMIFS(T_Shipments[Confirmed_Qty],T_Shipments[RM_Code],$A28,T_Shipments[Effective_Week],1)</f>
        <v/>
      </c>
      <c r="C28">
        <f>SUMIFS(T_Shipments[Confirmed_Qty],T_Shipments[RM_Code],$A28,T_Shipments[Effective_Week],2)</f>
        <v/>
      </c>
      <c r="D28">
        <f>SUMIFS(T_Shipments[Confirmed_Qty],T_Shipments[RM_Code],$A28,T_Shipments[Effective_Week],3)</f>
        <v/>
      </c>
      <c r="E28">
        <f>SUMIFS(T_Shipments[Confirmed_Qty],T_Shipments[RM_Code],$A28,T_Shipments[Effective_Week],4)</f>
        <v/>
      </c>
      <c r="F28">
        <f>SUMIFS(T_Shipments[Confirmed_Qty],T_Shipments[RM_Code],$A28,T_Shipments[Effective_Week],5)</f>
        <v/>
      </c>
      <c r="G28">
        <f>SUMIFS(T_Shipments[Confirmed_Qty],T_Shipments[RM_Code],$A28,T_Shipments[Effective_Week],6)</f>
        <v/>
      </c>
      <c r="H28">
        <f>SUMIFS(T_Shipments[Confirmed_Qty],T_Shipments[RM_Code],$A28,T_Shipments[Effective_Week],7)</f>
        <v/>
      </c>
      <c r="I28">
        <f>SUMIFS(T_Shipments[Confirmed_Qty],T_Shipments[RM_Code],$A28,T_Shipments[Effective_Week],8)</f>
        <v/>
      </c>
      <c r="J28">
        <f>SUMIFS(T_Shipments[Confirmed_Qty],T_Shipments[RM_Code],$A28,T_Shipments[Effective_Week],9)</f>
        <v/>
      </c>
      <c r="K28">
        <f>SUMIFS(T_Shipments[Confirmed_Qty],T_Shipments[RM_Code],$A28,T_Shipments[Effective_Week],10)</f>
        <v/>
      </c>
      <c r="L28">
        <f>SUMIFS(T_Shipments[Confirmed_Qty],T_Shipments[RM_Code],$A28,T_Shipments[Effective_Week],11)</f>
        <v/>
      </c>
      <c r="M28">
        <f>SUMIFS(T_Shipments[Confirmed_Qty],T_Shipments[RM_Code],$A28,T_Shipments[Effective_Week],12)</f>
        <v/>
      </c>
      <c r="N28">
        <f>SUMIFS(T_Shipments[Confirmed_Qty],T_Shipments[RM_Code],$A28,T_Shipments[Effective_Week],13)</f>
        <v/>
      </c>
      <c r="O28">
        <f>SUMIFS(T_Shipments[Confirmed_Qty],T_Shipments[RM_Code],$A28,T_Shipments[Effective_Week],14)</f>
        <v/>
      </c>
      <c r="P28">
        <f>SUMIFS(T_Shipments[Confirmed_Qty],T_Shipments[RM_Code],$A28,T_Shipments[Effective_Week],15)</f>
        <v/>
      </c>
      <c r="Q28">
        <f>SUMIFS(T_Shipments[Confirmed_Qty],T_Shipments[RM_Code],$A28,T_Shipments[Effective_Week],16)</f>
        <v/>
      </c>
      <c r="R28">
        <f>SUMIFS(T_Shipments[Confirmed_Qty],T_Shipments[RM_Code],$A28,T_Shipments[Effective_Week],17)</f>
        <v/>
      </c>
      <c r="S28">
        <f>SUMIFS(T_Shipments[Confirmed_Qty],T_Shipments[RM_Code],$A28,T_Shipments[Effective_Week],18)</f>
        <v/>
      </c>
      <c r="T28">
        <f>SUMIFS(T_Shipments[Confirmed_Qty],T_Shipments[RM_Code],$A28,T_Shipments[Effective_Week],19)</f>
        <v/>
      </c>
      <c r="U28">
        <f>SUMIFS(T_Shipments[Confirmed_Qty],T_Shipments[RM_Code],$A28,T_Shipments[Effective_Week],20)</f>
        <v/>
      </c>
      <c r="V28">
        <f>SUMIFS(T_Shipments[Confirmed_Qty],T_Shipments[RM_Code],$A28,T_Shipments[Effective_Week],21)</f>
        <v/>
      </c>
      <c r="W28">
        <f>SUMIFS(T_Shipments[Confirmed_Qty],T_Shipments[RM_Code],$A28,T_Shipments[Effective_Week],22)</f>
        <v/>
      </c>
      <c r="X28">
        <f>SUMIFS(T_Shipments[Confirmed_Qty],T_Shipments[RM_Code],$A28,T_Shipments[Effective_Week],23)</f>
        <v/>
      </c>
      <c r="Y28">
        <f>SUMIFS(T_Shipments[Confirmed_Qty],T_Shipments[RM_Code],$A28,T_Shipments[Effective_Week],24)</f>
        <v/>
      </c>
      <c r="Z28">
        <f>SUMIFS(T_Shipments[Confirmed_Qty],T_Shipments[RM_Code],$A28,T_Shipments[Effective_Week],25)</f>
        <v/>
      </c>
      <c r="AA28">
        <f>SUMIFS(T_Shipments[Confirmed_Qty],T_Shipments[RM_Code],$A28,T_Shipments[Effective_Week],26)</f>
        <v/>
      </c>
      <c r="AB28">
        <f>SUMIFS(T_Shipments[Confirmed_Qty],T_Shipments[RM_Code],$A28,T_Shipments[Effective_Week],27)</f>
        <v/>
      </c>
      <c r="AC28">
        <f>SUMIFS(T_Shipments[Confirmed_Qty],T_Shipments[RM_Code],$A28,T_Shipments[Effective_Week],28)</f>
        <v/>
      </c>
      <c r="AD28">
        <f>SUMIFS(T_Shipments[Confirmed_Qty],T_Shipments[RM_Code],$A28,T_Shipments[Effective_Week],29)</f>
        <v/>
      </c>
      <c r="AE28">
        <f>SUMIFS(T_Shipments[Confirmed_Qty],T_Shipments[RM_Code],$A28,T_Shipments[Effective_Week],30)</f>
        <v/>
      </c>
      <c r="AF28">
        <f>SUMIFS(T_Shipments[Confirmed_Qty],T_Shipments[RM_Code],$A28,T_Shipments[Effective_Week],31)</f>
        <v/>
      </c>
      <c r="AG28">
        <f>SUMIFS(T_Shipments[Confirmed_Qty],T_Shipments[RM_Code],$A28,T_Shipments[Effective_Week],32)</f>
        <v/>
      </c>
      <c r="AH28">
        <f>SUMIFS(T_Shipments[Confirmed_Qty],T_Shipments[RM_Code],$A28,T_Shipments[Effective_Week],33)</f>
        <v/>
      </c>
      <c r="AI28">
        <f>SUMIFS(T_Shipments[Confirmed_Qty],T_Shipments[RM_Code],$A28,T_Shipments[Effective_Week],34)</f>
        <v/>
      </c>
      <c r="AJ28">
        <f>SUMIFS(T_Shipments[Confirmed_Qty],T_Shipments[RM_Code],$A28,T_Shipments[Effective_Week],35)</f>
        <v/>
      </c>
      <c r="AK28">
        <f>SUMIFS(T_Shipments[Confirmed_Qty],T_Shipments[RM_Code],$A28,T_Shipments[Effective_Week],36)</f>
        <v/>
      </c>
      <c r="AL28">
        <f>SUMIFS(T_Shipments[Confirmed_Qty],T_Shipments[RM_Code],$A28,T_Shipments[Effective_Week],37)</f>
        <v/>
      </c>
      <c r="AM28">
        <f>SUMIFS(T_Shipments[Confirmed_Qty],T_Shipments[RM_Code],$A28,T_Shipments[Effective_Week],38)</f>
        <v/>
      </c>
      <c r="AN28">
        <f>SUMIFS(T_Shipments[Confirmed_Qty],T_Shipments[RM_Code],$A28,T_Shipments[Effective_Week],39)</f>
        <v/>
      </c>
      <c r="AO28">
        <f>SUMIFS(T_Shipments[Confirmed_Qty],T_Shipments[RM_Code],$A28,T_Shipments[Effective_Week],40)</f>
        <v/>
      </c>
      <c r="AP28">
        <f>SUMIFS(T_Shipments[Confirmed_Qty],T_Shipments[RM_Code],$A28,T_Shipments[Effective_Week],41)</f>
        <v/>
      </c>
      <c r="AQ28">
        <f>SUMIFS(T_Shipments[Confirmed_Qty],T_Shipments[RM_Code],$A28,T_Shipments[Effective_Week],42)</f>
        <v/>
      </c>
      <c r="AR28">
        <f>SUMIFS(T_Shipments[Confirmed_Qty],T_Shipments[RM_Code],$A28,T_Shipments[Effective_Week],43)</f>
        <v/>
      </c>
      <c r="AS28">
        <f>SUMIFS(T_Shipments[Confirmed_Qty],T_Shipments[RM_Code],$A28,T_Shipments[Effective_Week],44)</f>
        <v/>
      </c>
      <c r="AT28">
        <f>SUMIFS(T_Shipments[Confirmed_Qty],T_Shipments[RM_Code],$A28,T_Shipments[Effective_Week],45)</f>
        <v/>
      </c>
      <c r="AU28">
        <f>SUMIFS(T_Shipments[Confirmed_Qty],T_Shipments[RM_Code],$A28,T_Shipments[Effective_Week],46)</f>
        <v/>
      </c>
      <c r="AV28">
        <f>SUMIFS(T_Shipments[Confirmed_Qty],T_Shipments[RM_Code],$A28,T_Shipments[Effective_Week],47)</f>
        <v/>
      </c>
      <c r="AW28">
        <f>SUMIFS(T_Shipments[Confirmed_Qty],T_Shipments[RM_Code],$A28,T_Shipments[Effective_Week],48)</f>
        <v/>
      </c>
      <c r="AX28">
        <f>SUMIFS(T_Shipments[Confirmed_Qty],T_Shipments[RM_Code],$A28,T_Shipments[Effective_Week],49)</f>
        <v/>
      </c>
      <c r="AY28">
        <f>SUMIFS(T_Shipments[Confirmed_Qty],T_Shipments[RM_Code],$A28,T_Shipments[Effective_Week],50)</f>
        <v/>
      </c>
      <c r="AZ28">
        <f>SUMIFS(T_Shipments[Confirmed_Qty],T_Shipments[RM_Code],$A28,T_Shipments[Effective_Week],51)</f>
        <v/>
      </c>
      <c r="BA28">
        <f>SUMIFS(T_Shipments[Confirmed_Qty],T_Shipments[RM_Code],$A28,T_Shipments[Effective_Week],52)</f>
        <v/>
      </c>
      <c r="BB28">
        <f>SUMIFS(T_Shipments[Confirmed_Qty],T_Shipments[RM_Code],$A28,T_Shipments[Effective_Week],53)</f>
        <v/>
      </c>
      <c r="BC28">
        <f>SUMIFS(T_Shipments[Confirmed_Qty],T_Shipments[RM_Code],$A28,T_Shipments[Effective_Week],54)</f>
        <v/>
      </c>
      <c r="BD28">
        <f>SUMIFS(T_Shipments[Confirmed_Qty],T_Shipments[RM_Code],$A28,T_Shipments[Effective_Week],55)</f>
        <v/>
      </c>
      <c r="BE28">
        <f>SUMIFS(T_Shipments[Confirmed_Qty],T_Shipments[RM_Code],$A28,T_Shipments[Effective_Week],56)</f>
        <v/>
      </c>
      <c r="BF28">
        <f>SUMIFS(T_Shipments[Confirmed_Qty],T_Shipments[RM_Code],$A28,T_Shipments[Effective_Week],57)</f>
        <v/>
      </c>
      <c r="BG28">
        <f>SUMIFS(T_Shipments[Confirmed_Qty],T_Shipments[RM_Code],$A28,T_Shipments[Effective_Week],58)</f>
        <v/>
      </c>
      <c r="BH28">
        <f>SUMIFS(T_Shipments[Confirmed_Qty],T_Shipments[RM_Code],$A28,T_Shipments[Effective_Week],59)</f>
        <v/>
      </c>
      <c r="BI28">
        <f>SUMIFS(T_Shipments[Confirmed_Qty],T_Shipments[RM_Code],$A28,T_Shipments[Effective_Week],60)</f>
        <v/>
      </c>
      <c r="BJ28">
        <f>SUMIFS(T_Shipments[Confirmed_Qty],T_Shipments[RM_Code],$A28,T_Shipments[Effective_Week],61)</f>
        <v/>
      </c>
      <c r="BK28">
        <f>SUMIFS(T_Shipments[Confirmed_Qty],T_Shipments[RM_Code],$A28,T_Shipments[Effective_Week],62)</f>
        <v/>
      </c>
      <c r="BL28">
        <f>SUMIFS(T_Shipments[Confirmed_Qty],T_Shipments[RM_Code],$A28,T_Shipments[Effective_Week],63)</f>
        <v/>
      </c>
      <c r="BM28">
        <f>SUMIFS(T_Shipments[Confirmed_Qty],T_Shipments[RM_Code],$A28,T_Shipments[Effective_Week],64)</f>
        <v/>
      </c>
      <c r="BN28">
        <f>SUMIFS(T_Shipments[Confirmed_Qty],T_Shipments[RM_Code],$A28,T_Shipments[Effective_Week],65)</f>
        <v/>
      </c>
      <c r="BO28">
        <f>SUMIFS(T_Shipments[Confirmed_Qty],T_Shipments[RM_Code],$A28,T_Shipments[Effective_Week],66)</f>
        <v/>
      </c>
      <c r="BP28">
        <f>SUMIFS(T_Shipments[Confirmed_Qty],T_Shipments[RM_Code],$A28,T_Shipments[Effective_Week],67)</f>
        <v/>
      </c>
      <c r="BQ28">
        <f>SUMIFS(T_Shipments[Confirmed_Qty],T_Shipments[RM_Code],$A28,T_Shipments[Effective_Week],68)</f>
        <v/>
      </c>
      <c r="BR28">
        <f>SUMIFS(T_Shipments[Confirmed_Qty],T_Shipments[RM_Code],$A28,T_Shipments[Effective_Week],69)</f>
        <v/>
      </c>
      <c r="BS28">
        <f>SUMIFS(T_Shipments[Confirmed_Qty],T_Shipments[RM_Code],$A28,T_Shipments[Effective_Week],70)</f>
        <v/>
      </c>
      <c r="BT28">
        <f>SUMIFS(T_Shipments[Confirmed_Qty],T_Shipments[RM_Code],$A28,T_Shipments[Effective_Week],71)</f>
        <v/>
      </c>
      <c r="BU28">
        <f>SUMIFS(T_Shipments[Confirmed_Qty],T_Shipments[RM_Code],$A28,T_Shipments[Effective_Week],72)</f>
        <v/>
      </c>
      <c r="BV28">
        <f>SUMIFS(T_Shipments[Confirmed_Qty],T_Shipments[RM_Code],$A28,T_Shipments[Effective_Week],73)</f>
        <v/>
      </c>
      <c r="BW28">
        <f>SUMIFS(T_Shipments[Confirmed_Qty],T_Shipments[RM_Code],$A28,T_Shipments[Effective_Week],74)</f>
        <v/>
      </c>
      <c r="BX28">
        <f>SUMIFS(T_Shipments[Confirmed_Qty],T_Shipments[RM_Code],$A28,T_Shipments[Effective_Week],75)</f>
        <v/>
      </c>
      <c r="BY28">
        <f>SUMIFS(T_Shipments[Confirmed_Qty],T_Shipments[RM_Code],$A28,T_Shipments[Effective_Week],76)</f>
        <v/>
      </c>
      <c r="BZ28">
        <f>SUMIFS(T_Shipments[Confirmed_Qty],T_Shipments[RM_Code],$A28,T_Shipments[Effective_Week],77)</f>
        <v/>
      </c>
      <c r="CA28">
        <f>SUMIFS(T_Shipments[Confirmed_Qty],T_Shipments[RM_Code],$A28,T_Shipments[Effective_Week],78)</f>
        <v/>
      </c>
      <c r="CB28">
        <f>SUMIFS(T_Shipments[Confirmed_Qty],T_Shipments[RM_Code],$A28,T_Shipments[Effective_Week],79)</f>
        <v/>
      </c>
      <c r="CC28">
        <f>SUMIFS(T_Shipments[Confirmed_Qty],T_Shipments[RM_Code],$A28,T_Shipments[Effective_Week],80)</f>
        <v/>
      </c>
      <c r="CD28">
        <f>SUMIFS(T_Shipments[Confirmed_Qty],T_Shipments[RM_Code],$A28,T_Shipments[Effective_Week],81)</f>
        <v/>
      </c>
      <c r="CE28">
        <f>SUMIFS(T_Shipments[Confirmed_Qty],T_Shipments[RM_Code],$A28,T_Shipments[Effective_Week],82)</f>
        <v/>
      </c>
      <c r="CF28">
        <f>SUMIFS(T_Shipments[Confirmed_Qty],T_Shipments[RM_Code],$A28,T_Shipments[Effective_Week],83)</f>
        <v/>
      </c>
      <c r="CG28">
        <f>SUMIFS(T_Shipments[Confirmed_Qty],T_Shipments[RM_Code],$A28,T_Shipments[Effective_Week],84)</f>
        <v/>
      </c>
      <c r="CH28">
        <f>SUMIFS(T_Shipments[Confirmed_Qty],T_Shipments[RM_Code],$A28,T_Shipments[Effective_Week],85)</f>
        <v/>
      </c>
      <c r="CI28">
        <f>SUMIFS(T_Shipments[Confirmed_Qty],T_Shipments[RM_Code],$A28,T_Shipments[Effective_Week],86)</f>
        <v/>
      </c>
      <c r="CJ28">
        <f>SUMIFS(T_Shipments[Confirmed_Qty],T_Shipments[RM_Code],$A28,T_Shipments[Effective_Week],87)</f>
        <v/>
      </c>
      <c r="CK28">
        <f>SUMIFS(T_Shipments[Confirmed_Qty],T_Shipments[RM_Code],$A28,T_Shipments[Effective_Week],88)</f>
        <v/>
      </c>
      <c r="CL28">
        <f>SUMIFS(T_Shipments[Confirmed_Qty],T_Shipments[RM_Code],$A28,T_Shipments[Effective_Week],89)</f>
        <v/>
      </c>
      <c r="CM28">
        <f>SUMIFS(T_Shipments[Confirmed_Qty],T_Shipments[RM_Code],$A28,T_Shipments[Effective_Week],90)</f>
        <v/>
      </c>
      <c r="CN28">
        <f>SUMIFS(T_Shipments[Confirmed_Qty],T_Shipments[RM_Code],$A28,T_Shipments[Effective_Week],91)</f>
        <v/>
      </c>
      <c r="CO28">
        <f>SUMIFS(T_Shipments[Confirmed_Qty],T_Shipments[RM_Code],$A28,T_Shipments[Effective_Week],92)</f>
        <v/>
      </c>
      <c r="CP28">
        <f>SUMIFS(T_Shipments[Confirmed_Qty],T_Shipments[RM_Code],$A28,T_Shipments[Effective_Week],93)</f>
        <v/>
      </c>
      <c r="CQ28">
        <f>SUMIFS(T_Shipments[Confirmed_Qty],T_Shipments[RM_Code],$A28,T_Shipments[Effective_Week],94)</f>
        <v/>
      </c>
      <c r="CR28">
        <f>SUMIFS(T_Shipments[Confirmed_Qty],T_Shipments[RM_Code],$A28,T_Shipments[Effective_Week],95)</f>
        <v/>
      </c>
      <c r="CS28">
        <f>SUMIFS(T_Shipments[Confirmed_Qty],T_Shipments[RM_Code],$A28,T_Shipments[Effective_Week],96)</f>
        <v/>
      </c>
      <c r="CT28">
        <f>SUMIFS(T_Shipments[Confirmed_Qty],T_Shipments[RM_Code],$A28,T_Shipments[Effective_Week],97)</f>
        <v/>
      </c>
      <c r="CU28">
        <f>SUMIFS(T_Shipments[Confirmed_Qty],T_Shipments[RM_Code],$A28,T_Shipments[Effective_Week],98)</f>
        <v/>
      </c>
      <c r="CV28">
        <f>SUMIFS(T_Shipments[Confirmed_Qty],T_Shipments[RM_Code],$A28,T_Shipments[Effective_Week],99)</f>
        <v/>
      </c>
      <c r="CW28">
        <f>SUMIFS(T_Shipments[Confirmed_Qty],T_Shipments[RM_Code],$A28,T_Shipments[Effective_Week],100)</f>
        <v/>
      </c>
      <c r="CX28">
        <f>SUMIFS(T_Shipments[Confirmed_Qty],T_Shipments[RM_Code],$A28,T_Shipments[Effective_Week],101)</f>
        <v/>
      </c>
      <c r="CY28">
        <f>SUMIFS(T_Shipments[Confirmed_Qty],T_Shipments[RM_Code],$A28,T_Shipments[Effective_Week],102)</f>
        <v/>
      </c>
      <c r="CZ28">
        <f>SUMIFS(T_Shipments[Confirmed_Qty],T_Shipments[RM_Code],$A28,T_Shipments[Effective_Week],103)</f>
        <v/>
      </c>
      <c r="DA28">
        <f>SUMIFS(T_Shipments[Confirmed_Qty],T_Shipments[RM_Code],$A28,T_Shipments[Effective_Week],104)</f>
        <v/>
      </c>
    </row>
    <row r="29">
      <c r="A29" t="inlineStr">
        <is>
          <t>PP FILM</t>
        </is>
      </c>
      <c r="B29">
        <f>SUMIFS(T_Shipments[Confirmed_Qty],T_Shipments[RM_Code],$A29,T_Shipments[Effective_Week],1)</f>
        <v/>
      </c>
      <c r="C29">
        <f>SUMIFS(T_Shipments[Confirmed_Qty],T_Shipments[RM_Code],$A29,T_Shipments[Effective_Week],2)</f>
        <v/>
      </c>
      <c r="D29">
        <f>SUMIFS(T_Shipments[Confirmed_Qty],T_Shipments[RM_Code],$A29,T_Shipments[Effective_Week],3)</f>
        <v/>
      </c>
      <c r="E29">
        <f>SUMIFS(T_Shipments[Confirmed_Qty],T_Shipments[RM_Code],$A29,T_Shipments[Effective_Week],4)</f>
        <v/>
      </c>
      <c r="F29">
        <f>SUMIFS(T_Shipments[Confirmed_Qty],T_Shipments[RM_Code],$A29,T_Shipments[Effective_Week],5)</f>
        <v/>
      </c>
      <c r="G29">
        <f>SUMIFS(T_Shipments[Confirmed_Qty],T_Shipments[RM_Code],$A29,T_Shipments[Effective_Week],6)</f>
        <v/>
      </c>
      <c r="H29">
        <f>SUMIFS(T_Shipments[Confirmed_Qty],T_Shipments[RM_Code],$A29,T_Shipments[Effective_Week],7)</f>
        <v/>
      </c>
      <c r="I29">
        <f>SUMIFS(T_Shipments[Confirmed_Qty],T_Shipments[RM_Code],$A29,T_Shipments[Effective_Week],8)</f>
        <v/>
      </c>
      <c r="J29">
        <f>SUMIFS(T_Shipments[Confirmed_Qty],T_Shipments[RM_Code],$A29,T_Shipments[Effective_Week],9)</f>
        <v/>
      </c>
      <c r="K29">
        <f>SUMIFS(T_Shipments[Confirmed_Qty],T_Shipments[RM_Code],$A29,T_Shipments[Effective_Week],10)</f>
        <v/>
      </c>
      <c r="L29">
        <f>SUMIFS(T_Shipments[Confirmed_Qty],T_Shipments[RM_Code],$A29,T_Shipments[Effective_Week],11)</f>
        <v/>
      </c>
      <c r="M29">
        <f>SUMIFS(T_Shipments[Confirmed_Qty],T_Shipments[RM_Code],$A29,T_Shipments[Effective_Week],12)</f>
        <v/>
      </c>
      <c r="N29">
        <f>SUMIFS(T_Shipments[Confirmed_Qty],T_Shipments[RM_Code],$A29,T_Shipments[Effective_Week],13)</f>
        <v/>
      </c>
      <c r="O29">
        <f>SUMIFS(T_Shipments[Confirmed_Qty],T_Shipments[RM_Code],$A29,T_Shipments[Effective_Week],14)</f>
        <v/>
      </c>
      <c r="P29">
        <f>SUMIFS(T_Shipments[Confirmed_Qty],T_Shipments[RM_Code],$A29,T_Shipments[Effective_Week],15)</f>
        <v/>
      </c>
      <c r="Q29">
        <f>SUMIFS(T_Shipments[Confirmed_Qty],T_Shipments[RM_Code],$A29,T_Shipments[Effective_Week],16)</f>
        <v/>
      </c>
      <c r="R29">
        <f>SUMIFS(T_Shipments[Confirmed_Qty],T_Shipments[RM_Code],$A29,T_Shipments[Effective_Week],17)</f>
        <v/>
      </c>
      <c r="S29">
        <f>SUMIFS(T_Shipments[Confirmed_Qty],T_Shipments[RM_Code],$A29,T_Shipments[Effective_Week],18)</f>
        <v/>
      </c>
      <c r="T29">
        <f>SUMIFS(T_Shipments[Confirmed_Qty],T_Shipments[RM_Code],$A29,T_Shipments[Effective_Week],19)</f>
        <v/>
      </c>
      <c r="U29">
        <f>SUMIFS(T_Shipments[Confirmed_Qty],T_Shipments[RM_Code],$A29,T_Shipments[Effective_Week],20)</f>
        <v/>
      </c>
      <c r="V29">
        <f>SUMIFS(T_Shipments[Confirmed_Qty],T_Shipments[RM_Code],$A29,T_Shipments[Effective_Week],21)</f>
        <v/>
      </c>
      <c r="W29">
        <f>SUMIFS(T_Shipments[Confirmed_Qty],T_Shipments[RM_Code],$A29,T_Shipments[Effective_Week],22)</f>
        <v/>
      </c>
      <c r="X29">
        <f>SUMIFS(T_Shipments[Confirmed_Qty],T_Shipments[RM_Code],$A29,T_Shipments[Effective_Week],23)</f>
        <v/>
      </c>
      <c r="Y29">
        <f>SUMIFS(T_Shipments[Confirmed_Qty],T_Shipments[RM_Code],$A29,T_Shipments[Effective_Week],24)</f>
        <v/>
      </c>
      <c r="Z29">
        <f>SUMIFS(T_Shipments[Confirmed_Qty],T_Shipments[RM_Code],$A29,T_Shipments[Effective_Week],25)</f>
        <v/>
      </c>
      <c r="AA29">
        <f>SUMIFS(T_Shipments[Confirmed_Qty],T_Shipments[RM_Code],$A29,T_Shipments[Effective_Week],26)</f>
        <v/>
      </c>
      <c r="AB29">
        <f>SUMIFS(T_Shipments[Confirmed_Qty],T_Shipments[RM_Code],$A29,T_Shipments[Effective_Week],27)</f>
        <v/>
      </c>
      <c r="AC29">
        <f>SUMIFS(T_Shipments[Confirmed_Qty],T_Shipments[RM_Code],$A29,T_Shipments[Effective_Week],28)</f>
        <v/>
      </c>
      <c r="AD29">
        <f>SUMIFS(T_Shipments[Confirmed_Qty],T_Shipments[RM_Code],$A29,T_Shipments[Effective_Week],29)</f>
        <v/>
      </c>
      <c r="AE29">
        <f>SUMIFS(T_Shipments[Confirmed_Qty],T_Shipments[RM_Code],$A29,T_Shipments[Effective_Week],30)</f>
        <v/>
      </c>
      <c r="AF29">
        <f>SUMIFS(T_Shipments[Confirmed_Qty],T_Shipments[RM_Code],$A29,T_Shipments[Effective_Week],31)</f>
        <v/>
      </c>
      <c r="AG29">
        <f>SUMIFS(T_Shipments[Confirmed_Qty],T_Shipments[RM_Code],$A29,T_Shipments[Effective_Week],32)</f>
        <v/>
      </c>
      <c r="AH29">
        <f>SUMIFS(T_Shipments[Confirmed_Qty],T_Shipments[RM_Code],$A29,T_Shipments[Effective_Week],33)</f>
        <v/>
      </c>
      <c r="AI29">
        <f>SUMIFS(T_Shipments[Confirmed_Qty],T_Shipments[RM_Code],$A29,T_Shipments[Effective_Week],34)</f>
        <v/>
      </c>
      <c r="AJ29">
        <f>SUMIFS(T_Shipments[Confirmed_Qty],T_Shipments[RM_Code],$A29,T_Shipments[Effective_Week],35)</f>
        <v/>
      </c>
      <c r="AK29">
        <f>SUMIFS(T_Shipments[Confirmed_Qty],T_Shipments[RM_Code],$A29,T_Shipments[Effective_Week],36)</f>
        <v/>
      </c>
      <c r="AL29">
        <f>SUMIFS(T_Shipments[Confirmed_Qty],T_Shipments[RM_Code],$A29,T_Shipments[Effective_Week],37)</f>
        <v/>
      </c>
      <c r="AM29">
        <f>SUMIFS(T_Shipments[Confirmed_Qty],T_Shipments[RM_Code],$A29,T_Shipments[Effective_Week],38)</f>
        <v/>
      </c>
      <c r="AN29">
        <f>SUMIFS(T_Shipments[Confirmed_Qty],T_Shipments[RM_Code],$A29,T_Shipments[Effective_Week],39)</f>
        <v/>
      </c>
      <c r="AO29">
        <f>SUMIFS(T_Shipments[Confirmed_Qty],T_Shipments[RM_Code],$A29,T_Shipments[Effective_Week],40)</f>
        <v/>
      </c>
      <c r="AP29">
        <f>SUMIFS(T_Shipments[Confirmed_Qty],T_Shipments[RM_Code],$A29,T_Shipments[Effective_Week],41)</f>
        <v/>
      </c>
      <c r="AQ29">
        <f>SUMIFS(T_Shipments[Confirmed_Qty],T_Shipments[RM_Code],$A29,T_Shipments[Effective_Week],42)</f>
        <v/>
      </c>
      <c r="AR29">
        <f>SUMIFS(T_Shipments[Confirmed_Qty],T_Shipments[RM_Code],$A29,T_Shipments[Effective_Week],43)</f>
        <v/>
      </c>
      <c r="AS29">
        <f>SUMIFS(T_Shipments[Confirmed_Qty],T_Shipments[RM_Code],$A29,T_Shipments[Effective_Week],44)</f>
        <v/>
      </c>
      <c r="AT29">
        <f>SUMIFS(T_Shipments[Confirmed_Qty],T_Shipments[RM_Code],$A29,T_Shipments[Effective_Week],45)</f>
        <v/>
      </c>
      <c r="AU29">
        <f>SUMIFS(T_Shipments[Confirmed_Qty],T_Shipments[RM_Code],$A29,T_Shipments[Effective_Week],46)</f>
        <v/>
      </c>
      <c r="AV29">
        <f>SUMIFS(T_Shipments[Confirmed_Qty],T_Shipments[RM_Code],$A29,T_Shipments[Effective_Week],47)</f>
        <v/>
      </c>
      <c r="AW29">
        <f>SUMIFS(T_Shipments[Confirmed_Qty],T_Shipments[RM_Code],$A29,T_Shipments[Effective_Week],48)</f>
        <v/>
      </c>
      <c r="AX29">
        <f>SUMIFS(T_Shipments[Confirmed_Qty],T_Shipments[RM_Code],$A29,T_Shipments[Effective_Week],49)</f>
        <v/>
      </c>
      <c r="AY29">
        <f>SUMIFS(T_Shipments[Confirmed_Qty],T_Shipments[RM_Code],$A29,T_Shipments[Effective_Week],50)</f>
        <v/>
      </c>
      <c r="AZ29">
        <f>SUMIFS(T_Shipments[Confirmed_Qty],T_Shipments[RM_Code],$A29,T_Shipments[Effective_Week],51)</f>
        <v/>
      </c>
      <c r="BA29">
        <f>SUMIFS(T_Shipments[Confirmed_Qty],T_Shipments[RM_Code],$A29,T_Shipments[Effective_Week],52)</f>
        <v/>
      </c>
      <c r="BB29">
        <f>SUMIFS(T_Shipments[Confirmed_Qty],T_Shipments[RM_Code],$A29,T_Shipments[Effective_Week],53)</f>
        <v/>
      </c>
      <c r="BC29">
        <f>SUMIFS(T_Shipments[Confirmed_Qty],T_Shipments[RM_Code],$A29,T_Shipments[Effective_Week],54)</f>
        <v/>
      </c>
      <c r="BD29">
        <f>SUMIFS(T_Shipments[Confirmed_Qty],T_Shipments[RM_Code],$A29,T_Shipments[Effective_Week],55)</f>
        <v/>
      </c>
      <c r="BE29">
        <f>SUMIFS(T_Shipments[Confirmed_Qty],T_Shipments[RM_Code],$A29,T_Shipments[Effective_Week],56)</f>
        <v/>
      </c>
      <c r="BF29">
        <f>SUMIFS(T_Shipments[Confirmed_Qty],T_Shipments[RM_Code],$A29,T_Shipments[Effective_Week],57)</f>
        <v/>
      </c>
      <c r="BG29">
        <f>SUMIFS(T_Shipments[Confirmed_Qty],T_Shipments[RM_Code],$A29,T_Shipments[Effective_Week],58)</f>
        <v/>
      </c>
      <c r="BH29">
        <f>SUMIFS(T_Shipments[Confirmed_Qty],T_Shipments[RM_Code],$A29,T_Shipments[Effective_Week],59)</f>
        <v/>
      </c>
      <c r="BI29">
        <f>SUMIFS(T_Shipments[Confirmed_Qty],T_Shipments[RM_Code],$A29,T_Shipments[Effective_Week],60)</f>
        <v/>
      </c>
      <c r="BJ29">
        <f>SUMIFS(T_Shipments[Confirmed_Qty],T_Shipments[RM_Code],$A29,T_Shipments[Effective_Week],61)</f>
        <v/>
      </c>
      <c r="BK29">
        <f>SUMIFS(T_Shipments[Confirmed_Qty],T_Shipments[RM_Code],$A29,T_Shipments[Effective_Week],62)</f>
        <v/>
      </c>
      <c r="BL29">
        <f>SUMIFS(T_Shipments[Confirmed_Qty],T_Shipments[RM_Code],$A29,T_Shipments[Effective_Week],63)</f>
        <v/>
      </c>
      <c r="BM29">
        <f>SUMIFS(T_Shipments[Confirmed_Qty],T_Shipments[RM_Code],$A29,T_Shipments[Effective_Week],64)</f>
        <v/>
      </c>
      <c r="BN29">
        <f>SUMIFS(T_Shipments[Confirmed_Qty],T_Shipments[RM_Code],$A29,T_Shipments[Effective_Week],65)</f>
        <v/>
      </c>
      <c r="BO29">
        <f>SUMIFS(T_Shipments[Confirmed_Qty],T_Shipments[RM_Code],$A29,T_Shipments[Effective_Week],66)</f>
        <v/>
      </c>
      <c r="BP29">
        <f>SUMIFS(T_Shipments[Confirmed_Qty],T_Shipments[RM_Code],$A29,T_Shipments[Effective_Week],67)</f>
        <v/>
      </c>
      <c r="BQ29">
        <f>SUMIFS(T_Shipments[Confirmed_Qty],T_Shipments[RM_Code],$A29,T_Shipments[Effective_Week],68)</f>
        <v/>
      </c>
      <c r="BR29">
        <f>SUMIFS(T_Shipments[Confirmed_Qty],T_Shipments[RM_Code],$A29,T_Shipments[Effective_Week],69)</f>
        <v/>
      </c>
      <c r="BS29">
        <f>SUMIFS(T_Shipments[Confirmed_Qty],T_Shipments[RM_Code],$A29,T_Shipments[Effective_Week],70)</f>
        <v/>
      </c>
      <c r="BT29">
        <f>SUMIFS(T_Shipments[Confirmed_Qty],T_Shipments[RM_Code],$A29,T_Shipments[Effective_Week],71)</f>
        <v/>
      </c>
      <c r="BU29">
        <f>SUMIFS(T_Shipments[Confirmed_Qty],T_Shipments[RM_Code],$A29,T_Shipments[Effective_Week],72)</f>
        <v/>
      </c>
      <c r="BV29">
        <f>SUMIFS(T_Shipments[Confirmed_Qty],T_Shipments[RM_Code],$A29,T_Shipments[Effective_Week],73)</f>
        <v/>
      </c>
      <c r="BW29">
        <f>SUMIFS(T_Shipments[Confirmed_Qty],T_Shipments[RM_Code],$A29,T_Shipments[Effective_Week],74)</f>
        <v/>
      </c>
      <c r="BX29">
        <f>SUMIFS(T_Shipments[Confirmed_Qty],T_Shipments[RM_Code],$A29,T_Shipments[Effective_Week],75)</f>
        <v/>
      </c>
      <c r="BY29">
        <f>SUMIFS(T_Shipments[Confirmed_Qty],T_Shipments[RM_Code],$A29,T_Shipments[Effective_Week],76)</f>
        <v/>
      </c>
      <c r="BZ29">
        <f>SUMIFS(T_Shipments[Confirmed_Qty],T_Shipments[RM_Code],$A29,T_Shipments[Effective_Week],77)</f>
        <v/>
      </c>
      <c r="CA29">
        <f>SUMIFS(T_Shipments[Confirmed_Qty],T_Shipments[RM_Code],$A29,T_Shipments[Effective_Week],78)</f>
        <v/>
      </c>
      <c r="CB29">
        <f>SUMIFS(T_Shipments[Confirmed_Qty],T_Shipments[RM_Code],$A29,T_Shipments[Effective_Week],79)</f>
        <v/>
      </c>
      <c r="CC29">
        <f>SUMIFS(T_Shipments[Confirmed_Qty],T_Shipments[RM_Code],$A29,T_Shipments[Effective_Week],80)</f>
        <v/>
      </c>
      <c r="CD29">
        <f>SUMIFS(T_Shipments[Confirmed_Qty],T_Shipments[RM_Code],$A29,T_Shipments[Effective_Week],81)</f>
        <v/>
      </c>
      <c r="CE29">
        <f>SUMIFS(T_Shipments[Confirmed_Qty],T_Shipments[RM_Code],$A29,T_Shipments[Effective_Week],82)</f>
        <v/>
      </c>
      <c r="CF29">
        <f>SUMIFS(T_Shipments[Confirmed_Qty],T_Shipments[RM_Code],$A29,T_Shipments[Effective_Week],83)</f>
        <v/>
      </c>
      <c r="CG29">
        <f>SUMIFS(T_Shipments[Confirmed_Qty],T_Shipments[RM_Code],$A29,T_Shipments[Effective_Week],84)</f>
        <v/>
      </c>
      <c r="CH29">
        <f>SUMIFS(T_Shipments[Confirmed_Qty],T_Shipments[RM_Code],$A29,T_Shipments[Effective_Week],85)</f>
        <v/>
      </c>
      <c r="CI29">
        <f>SUMIFS(T_Shipments[Confirmed_Qty],T_Shipments[RM_Code],$A29,T_Shipments[Effective_Week],86)</f>
        <v/>
      </c>
      <c r="CJ29">
        <f>SUMIFS(T_Shipments[Confirmed_Qty],T_Shipments[RM_Code],$A29,T_Shipments[Effective_Week],87)</f>
        <v/>
      </c>
      <c r="CK29">
        <f>SUMIFS(T_Shipments[Confirmed_Qty],T_Shipments[RM_Code],$A29,T_Shipments[Effective_Week],88)</f>
        <v/>
      </c>
      <c r="CL29">
        <f>SUMIFS(T_Shipments[Confirmed_Qty],T_Shipments[RM_Code],$A29,T_Shipments[Effective_Week],89)</f>
        <v/>
      </c>
      <c r="CM29">
        <f>SUMIFS(T_Shipments[Confirmed_Qty],T_Shipments[RM_Code],$A29,T_Shipments[Effective_Week],90)</f>
        <v/>
      </c>
      <c r="CN29">
        <f>SUMIFS(T_Shipments[Confirmed_Qty],T_Shipments[RM_Code],$A29,T_Shipments[Effective_Week],91)</f>
        <v/>
      </c>
      <c r="CO29">
        <f>SUMIFS(T_Shipments[Confirmed_Qty],T_Shipments[RM_Code],$A29,T_Shipments[Effective_Week],92)</f>
        <v/>
      </c>
      <c r="CP29">
        <f>SUMIFS(T_Shipments[Confirmed_Qty],T_Shipments[RM_Code],$A29,T_Shipments[Effective_Week],93)</f>
        <v/>
      </c>
      <c r="CQ29">
        <f>SUMIFS(T_Shipments[Confirmed_Qty],T_Shipments[RM_Code],$A29,T_Shipments[Effective_Week],94)</f>
        <v/>
      </c>
      <c r="CR29">
        <f>SUMIFS(T_Shipments[Confirmed_Qty],T_Shipments[RM_Code],$A29,T_Shipments[Effective_Week],95)</f>
        <v/>
      </c>
      <c r="CS29">
        <f>SUMIFS(T_Shipments[Confirmed_Qty],T_Shipments[RM_Code],$A29,T_Shipments[Effective_Week],96)</f>
        <v/>
      </c>
      <c r="CT29">
        <f>SUMIFS(T_Shipments[Confirmed_Qty],T_Shipments[RM_Code],$A29,T_Shipments[Effective_Week],97)</f>
        <v/>
      </c>
      <c r="CU29">
        <f>SUMIFS(T_Shipments[Confirmed_Qty],T_Shipments[RM_Code],$A29,T_Shipments[Effective_Week],98)</f>
        <v/>
      </c>
      <c r="CV29">
        <f>SUMIFS(T_Shipments[Confirmed_Qty],T_Shipments[RM_Code],$A29,T_Shipments[Effective_Week],99)</f>
        <v/>
      </c>
      <c r="CW29">
        <f>SUMIFS(T_Shipments[Confirmed_Qty],T_Shipments[RM_Code],$A29,T_Shipments[Effective_Week],100)</f>
        <v/>
      </c>
      <c r="CX29">
        <f>SUMIFS(T_Shipments[Confirmed_Qty],T_Shipments[RM_Code],$A29,T_Shipments[Effective_Week],101)</f>
        <v/>
      </c>
      <c r="CY29">
        <f>SUMIFS(T_Shipments[Confirmed_Qty],T_Shipments[RM_Code],$A29,T_Shipments[Effective_Week],102)</f>
        <v/>
      </c>
      <c r="CZ29">
        <f>SUMIFS(T_Shipments[Confirmed_Qty],T_Shipments[RM_Code],$A29,T_Shipments[Effective_Week],103)</f>
        <v/>
      </c>
      <c r="DA29">
        <f>SUMIFS(T_Shipments[Confirmed_Qty],T_Shipments[RM_Code],$A29,T_Shipments[Effective_Week],104)</f>
        <v/>
      </c>
    </row>
    <row r="30">
      <c r="A30" t="inlineStr">
        <is>
          <t>CHEM-1200</t>
        </is>
      </c>
      <c r="B30">
        <f>SUMIFS(T_Shipments[Confirmed_Qty],T_Shipments[RM_Code],$A30,T_Shipments[Effective_Week],1)</f>
        <v/>
      </c>
      <c r="C30">
        <f>SUMIFS(T_Shipments[Confirmed_Qty],T_Shipments[RM_Code],$A30,T_Shipments[Effective_Week],2)</f>
        <v/>
      </c>
      <c r="D30">
        <f>SUMIFS(T_Shipments[Confirmed_Qty],T_Shipments[RM_Code],$A30,T_Shipments[Effective_Week],3)</f>
        <v/>
      </c>
      <c r="E30">
        <f>SUMIFS(T_Shipments[Confirmed_Qty],T_Shipments[RM_Code],$A30,T_Shipments[Effective_Week],4)</f>
        <v/>
      </c>
      <c r="F30">
        <f>SUMIFS(T_Shipments[Confirmed_Qty],T_Shipments[RM_Code],$A30,T_Shipments[Effective_Week],5)</f>
        <v/>
      </c>
      <c r="G30">
        <f>SUMIFS(T_Shipments[Confirmed_Qty],T_Shipments[RM_Code],$A30,T_Shipments[Effective_Week],6)</f>
        <v/>
      </c>
      <c r="H30">
        <f>SUMIFS(T_Shipments[Confirmed_Qty],T_Shipments[RM_Code],$A30,T_Shipments[Effective_Week],7)</f>
        <v/>
      </c>
      <c r="I30">
        <f>SUMIFS(T_Shipments[Confirmed_Qty],T_Shipments[RM_Code],$A30,T_Shipments[Effective_Week],8)</f>
        <v/>
      </c>
      <c r="J30">
        <f>SUMIFS(T_Shipments[Confirmed_Qty],T_Shipments[RM_Code],$A30,T_Shipments[Effective_Week],9)</f>
        <v/>
      </c>
      <c r="K30">
        <f>SUMIFS(T_Shipments[Confirmed_Qty],T_Shipments[RM_Code],$A30,T_Shipments[Effective_Week],10)</f>
        <v/>
      </c>
      <c r="L30">
        <f>SUMIFS(T_Shipments[Confirmed_Qty],T_Shipments[RM_Code],$A30,T_Shipments[Effective_Week],11)</f>
        <v/>
      </c>
      <c r="M30">
        <f>SUMIFS(T_Shipments[Confirmed_Qty],T_Shipments[RM_Code],$A30,T_Shipments[Effective_Week],12)</f>
        <v/>
      </c>
      <c r="N30">
        <f>SUMIFS(T_Shipments[Confirmed_Qty],T_Shipments[RM_Code],$A30,T_Shipments[Effective_Week],13)</f>
        <v/>
      </c>
      <c r="O30">
        <f>SUMIFS(T_Shipments[Confirmed_Qty],T_Shipments[RM_Code],$A30,T_Shipments[Effective_Week],14)</f>
        <v/>
      </c>
      <c r="P30">
        <f>SUMIFS(T_Shipments[Confirmed_Qty],T_Shipments[RM_Code],$A30,T_Shipments[Effective_Week],15)</f>
        <v/>
      </c>
      <c r="Q30">
        <f>SUMIFS(T_Shipments[Confirmed_Qty],T_Shipments[RM_Code],$A30,T_Shipments[Effective_Week],16)</f>
        <v/>
      </c>
      <c r="R30">
        <f>SUMIFS(T_Shipments[Confirmed_Qty],T_Shipments[RM_Code],$A30,T_Shipments[Effective_Week],17)</f>
        <v/>
      </c>
      <c r="S30">
        <f>SUMIFS(T_Shipments[Confirmed_Qty],T_Shipments[RM_Code],$A30,T_Shipments[Effective_Week],18)</f>
        <v/>
      </c>
      <c r="T30">
        <f>SUMIFS(T_Shipments[Confirmed_Qty],T_Shipments[RM_Code],$A30,T_Shipments[Effective_Week],19)</f>
        <v/>
      </c>
      <c r="U30">
        <f>SUMIFS(T_Shipments[Confirmed_Qty],T_Shipments[RM_Code],$A30,T_Shipments[Effective_Week],20)</f>
        <v/>
      </c>
      <c r="V30">
        <f>SUMIFS(T_Shipments[Confirmed_Qty],T_Shipments[RM_Code],$A30,T_Shipments[Effective_Week],21)</f>
        <v/>
      </c>
      <c r="W30">
        <f>SUMIFS(T_Shipments[Confirmed_Qty],T_Shipments[RM_Code],$A30,T_Shipments[Effective_Week],22)</f>
        <v/>
      </c>
      <c r="X30">
        <f>SUMIFS(T_Shipments[Confirmed_Qty],T_Shipments[RM_Code],$A30,T_Shipments[Effective_Week],23)</f>
        <v/>
      </c>
      <c r="Y30">
        <f>SUMIFS(T_Shipments[Confirmed_Qty],T_Shipments[RM_Code],$A30,T_Shipments[Effective_Week],24)</f>
        <v/>
      </c>
      <c r="Z30">
        <f>SUMIFS(T_Shipments[Confirmed_Qty],T_Shipments[RM_Code],$A30,T_Shipments[Effective_Week],25)</f>
        <v/>
      </c>
      <c r="AA30">
        <f>SUMIFS(T_Shipments[Confirmed_Qty],T_Shipments[RM_Code],$A30,T_Shipments[Effective_Week],26)</f>
        <v/>
      </c>
      <c r="AB30">
        <f>SUMIFS(T_Shipments[Confirmed_Qty],T_Shipments[RM_Code],$A30,T_Shipments[Effective_Week],27)</f>
        <v/>
      </c>
      <c r="AC30">
        <f>SUMIFS(T_Shipments[Confirmed_Qty],T_Shipments[RM_Code],$A30,T_Shipments[Effective_Week],28)</f>
        <v/>
      </c>
      <c r="AD30">
        <f>SUMIFS(T_Shipments[Confirmed_Qty],T_Shipments[RM_Code],$A30,T_Shipments[Effective_Week],29)</f>
        <v/>
      </c>
      <c r="AE30">
        <f>SUMIFS(T_Shipments[Confirmed_Qty],T_Shipments[RM_Code],$A30,T_Shipments[Effective_Week],30)</f>
        <v/>
      </c>
      <c r="AF30">
        <f>SUMIFS(T_Shipments[Confirmed_Qty],T_Shipments[RM_Code],$A30,T_Shipments[Effective_Week],31)</f>
        <v/>
      </c>
      <c r="AG30">
        <f>SUMIFS(T_Shipments[Confirmed_Qty],T_Shipments[RM_Code],$A30,T_Shipments[Effective_Week],32)</f>
        <v/>
      </c>
      <c r="AH30">
        <f>SUMIFS(T_Shipments[Confirmed_Qty],T_Shipments[RM_Code],$A30,T_Shipments[Effective_Week],33)</f>
        <v/>
      </c>
      <c r="AI30">
        <f>SUMIFS(T_Shipments[Confirmed_Qty],T_Shipments[RM_Code],$A30,T_Shipments[Effective_Week],34)</f>
        <v/>
      </c>
      <c r="AJ30">
        <f>SUMIFS(T_Shipments[Confirmed_Qty],T_Shipments[RM_Code],$A30,T_Shipments[Effective_Week],35)</f>
        <v/>
      </c>
      <c r="AK30">
        <f>SUMIFS(T_Shipments[Confirmed_Qty],T_Shipments[RM_Code],$A30,T_Shipments[Effective_Week],36)</f>
        <v/>
      </c>
      <c r="AL30">
        <f>SUMIFS(T_Shipments[Confirmed_Qty],T_Shipments[RM_Code],$A30,T_Shipments[Effective_Week],37)</f>
        <v/>
      </c>
      <c r="AM30">
        <f>SUMIFS(T_Shipments[Confirmed_Qty],T_Shipments[RM_Code],$A30,T_Shipments[Effective_Week],38)</f>
        <v/>
      </c>
      <c r="AN30">
        <f>SUMIFS(T_Shipments[Confirmed_Qty],T_Shipments[RM_Code],$A30,T_Shipments[Effective_Week],39)</f>
        <v/>
      </c>
      <c r="AO30">
        <f>SUMIFS(T_Shipments[Confirmed_Qty],T_Shipments[RM_Code],$A30,T_Shipments[Effective_Week],40)</f>
        <v/>
      </c>
      <c r="AP30">
        <f>SUMIFS(T_Shipments[Confirmed_Qty],T_Shipments[RM_Code],$A30,T_Shipments[Effective_Week],41)</f>
        <v/>
      </c>
      <c r="AQ30">
        <f>SUMIFS(T_Shipments[Confirmed_Qty],T_Shipments[RM_Code],$A30,T_Shipments[Effective_Week],42)</f>
        <v/>
      </c>
      <c r="AR30">
        <f>SUMIFS(T_Shipments[Confirmed_Qty],T_Shipments[RM_Code],$A30,T_Shipments[Effective_Week],43)</f>
        <v/>
      </c>
      <c r="AS30">
        <f>SUMIFS(T_Shipments[Confirmed_Qty],T_Shipments[RM_Code],$A30,T_Shipments[Effective_Week],44)</f>
        <v/>
      </c>
      <c r="AT30">
        <f>SUMIFS(T_Shipments[Confirmed_Qty],T_Shipments[RM_Code],$A30,T_Shipments[Effective_Week],45)</f>
        <v/>
      </c>
      <c r="AU30">
        <f>SUMIFS(T_Shipments[Confirmed_Qty],T_Shipments[RM_Code],$A30,T_Shipments[Effective_Week],46)</f>
        <v/>
      </c>
      <c r="AV30">
        <f>SUMIFS(T_Shipments[Confirmed_Qty],T_Shipments[RM_Code],$A30,T_Shipments[Effective_Week],47)</f>
        <v/>
      </c>
      <c r="AW30">
        <f>SUMIFS(T_Shipments[Confirmed_Qty],T_Shipments[RM_Code],$A30,T_Shipments[Effective_Week],48)</f>
        <v/>
      </c>
      <c r="AX30">
        <f>SUMIFS(T_Shipments[Confirmed_Qty],T_Shipments[RM_Code],$A30,T_Shipments[Effective_Week],49)</f>
        <v/>
      </c>
      <c r="AY30">
        <f>SUMIFS(T_Shipments[Confirmed_Qty],T_Shipments[RM_Code],$A30,T_Shipments[Effective_Week],50)</f>
        <v/>
      </c>
      <c r="AZ30">
        <f>SUMIFS(T_Shipments[Confirmed_Qty],T_Shipments[RM_Code],$A30,T_Shipments[Effective_Week],51)</f>
        <v/>
      </c>
      <c r="BA30">
        <f>SUMIFS(T_Shipments[Confirmed_Qty],T_Shipments[RM_Code],$A30,T_Shipments[Effective_Week],52)</f>
        <v/>
      </c>
      <c r="BB30">
        <f>SUMIFS(T_Shipments[Confirmed_Qty],T_Shipments[RM_Code],$A30,T_Shipments[Effective_Week],53)</f>
        <v/>
      </c>
      <c r="BC30">
        <f>SUMIFS(T_Shipments[Confirmed_Qty],T_Shipments[RM_Code],$A30,T_Shipments[Effective_Week],54)</f>
        <v/>
      </c>
      <c r="BD30">
        <f>SUMIFS(T_Shipments[Confirmed_Qty],T_Shipments[RM_Code],$A30,T_Shipments[Effective_Week],55)</f>
        <v/>
      </c>
      <c r="BE30">
        <f>SUMIFS(T_Shipments[Confirmed_Qty],T_Shipments[RM_Code],$A30,T_Shipments[Effective_Week],56)</f>
        <v/>
      </c>
      <c r="BF30">
        <f>SUMIFS(T_Shipments[Confirmed_Qty],T_Shipments[RM_Code],$A30,T_Shipments[Effective_Week],57)</f>
        <v/>
      </c>
      <c r="BG30">
        <f>SUMIFS(T_Shipments[Confirmed_Qty],T_Shipments[RM_Code],$A30,T_Shipments[Effective_Week],58)</f>
        <v/>
      </c>
      <c r="BH30">
        <f>SUMIFS(T_Shipments[Confirmed_Qty],T_Shipments[RM_Code],$A30,T_Shipments[Effective_Week],59)</f>
        <v/>
      </c>
      <c r="BI30">
        <f>SUMIFS(T_Shipments[Confirmed_Qty],T_Shipments[RM_Code],$A30,T_Shipments[Effective_Week],60)</f>
        <v/>
      </c>
      <c r="BJ30">
        <f>SUMIFS(T_Shipments[Confirmed_Qty],T_Shipments[RM_Code],$A30,T_Shipments[Effective_Week],61)</f>
        <v/>
      </c>
      <c r="BK30">
        <f>SUMIFS(T_Shipments[Confirmed_Qty],T_Shipments[RM_Code],$A30,T_Shipments[Effective_Week],62)</f>
        <v/>
      </c>
      <c r="BL30">
        <f>SUMIFS(T_Shipments[Confirmed_Qty],T_Shipments[RM_Code],$A30,T_Shipments[Effective_Week],63)</f>
        <v/>
      </c>
      <c r="BM30">
        <f>SUMIFS(T_Shipments[Confirmed_Qty],T_Shipments[RM_Code],$A30,T_Shipments[Effective_Week],64)</f>
        <v/>
      </c>
      <c r="BN30">
        <f>SUMIFS(T_Shipments[Confirmed_Qty],T_Shipments[RM_Code],$A30,T_Shipments[Effective_Week],65)</f>
        <v/>
      </c>
      <c r="BO30">
        <f>SUMIFS(T_Shipments[Confirmed_Qty],T_Shipments[RM_Code],$A30,T_Shipments[Effective_Week],66)</f>
        <v/>
      </c>
      <c r="BP30">
        <f>SUMIFS(T_Shipments[Confirmed_Qty],T_Shipments[RM_Code],$A30,T_Shipments[Effective_Week],67)</f>
        <v/>
      </c>
      <c r="BQ30">
        <f>SUMIFS(T_Shipments[Confirmed_Qty],T_Shipments[RM_Code],$A30,T_Shipments[Effective_Week],68)</f>
        <v/>
      </c>
      <c r="BR30">
        <f>SUMIFS(T_Shipments[Confirmed_Qty],T_Shipments[RM_Code],$A30,T_Shipments[Effective_Week],69)</f>
        <v/>
      </c>
      <c r="BS30">
        <f>SUMIFS(T_Shipments[Confirmed_Qty],T_Shipments[RM_Code],$A30,T_Shipments[Effective_Week],70)</f>
        <v/>
      </c>
      <c r="BT30">
        <f>SUMIFS(T_Shipments[Confirmed_Qty],T_Shipments[RM_Code],$A30,T_Shipments[Effective_Week],71)</f>
        <v/>
      </c>
      <c r="BU30">
        <f>SUMIFS(T_Shipments[Confirmed_Qty],T_Shipments[RM_Code],$A30,T_Shipments[Effective_Week],72)</f>
        <v/>
      </c>
      <c r="BV30">
        <f>SUMIFS(T_Shipments[Confirmed_Qty],T_Shipments[RM_Code],$A30,T_Shipments[Effective_Week],73)</f>
        <v/>
      </c>
      <c r="BW30">
        <f>SUMIFS(T_Shipments[Confirmed_Qty],T_Shipments[RM_Code],$A30,T_Shipments[Effective_Week],74)</f>
        <v/>
      </c>
      <c r="BX30">
        <f>SUMIFS(T_Shipments[Confirmed_Qty],T_Shipments[RM_Code],$A30,T_Shipments[Effective_Week],75)</f>
        <v/>
      </c>
      <c r="BY30">
        <f>SUMIFS(T_Shipments[Confirmed_Qty],T_Shipments[RM_Code],$A30,T_Shipments[Effective_Week],76)</f>
        <v/>
      </c>
      <c r="BZ30">
        <f>SUMIFS(T_Shipments[Confirmed_Qty],T_Shipments[RM_Code],$A30,T_Shipments[Effective_Week],77)</f>
        <v/>
      </c>
      <c r="CA30">
        <f>SUMIFS(T_Shipments[Confirmed_Qty],T_Shipments[RM_Code],$A30,T_Shipments[Effective_Week],78)</f>
        <v/>
      </c>
      <c r="CB30">
        <f>SUMIFS(T_Shipments[Confirmed_Qty],T_Shipments[RM_Code],$A30,T_Shipments[Effective_Week],79)</f>
        <v/>
      </c>
      <c r="CC30">
        <f>SUMIFS(T_Shipments[Confirmed_Qty],T_Shipments[RM_Code],$A30,T_Shipments[Effective_Week],80)</f>
        <v/>
      </c>
      <c r="CD30">
        <f>SUMIFS(T_Shipments[Confirmed_Qty],T_Shipments[RM_Code],$A30,T_Shipments[Effective_Week],81)</f>
        <v/>
      </c>
      <c r="CE30">
        <f>SUMIFS(T_Shipments[Confirmed_Qty],T_Shipments[RM_Code],$A30,T_Shipments[Effective_Week],82)</f>
        <v/>
      </c>
      <c r="CF30">
        <f>SUMIFS(T_Shipments[Confirmed_Qty],T_Shipments[RM_Code],$A30,T_Shipments[Effective_Week],83)</f>
        <v/>
      </c>
      <c r="CG30">
        <f>SUMIFS(T_Shipments[Confirmed_Qty],T_Shipments[RM_Code],$A30,T_Shipments[Effective_Week],84)</f>
        <v/>
      </c>
      <c r="CH30">
        <f>SUMIFS(T_Shipments[Confirmed_Qty],T_Shipments[RM_Code],$A30,T_Shipments[Effective_Week],85)</f>
        <v/>
      </c>
      <c r="CI30">
        <f>SUMIFS(T_Shipments[Confirmed_Qty],T_Shipments[RM_Code],$A30,T_Shipments[Effective_Week],86)</f>
        <v/>
      </c>
      <c r="CJ30">
        <f>SUMIFS(T_Shipments[Confirmed_Qty],T_Shipments[RM_Code],$A30,T_Shipments[Effective_Week],87)</f>
        <v/>
      </c>
      <c r="CK30">
        <f>SUMIFS(T_Shipments[Confirmed_Qty],T_Shipments[RM_Code],$A30,T_Shipments[Effective_Week],88)</f>
        <v/>
      </c>
      <c r="CL30">
        <f>SUMIFS(T_Shipments[Confirmed_Qty],T_Shipments[RM_Code],$A30,T_Shipments[Effective_Week],89)</f>
        <v/>
      </c>
      <c r="CM30">
        <f>SUMIFS(T_Shipments[Confirmed_Qty],T_Shipments[RM_Code],$A30,T_Shipments[Effective_Week],90)</f>
        <v/>
      </c>
      <c r="CN30">
        <f>SUMIFS(T_Shipments[Confirmed_Qty],T_Shipments[RM_Code],$A30,T_Shipments[Effective_Week],91)</f>
        <v/>
      </c>
      <c r="CO30">
        <f>SUMIFS(T_Shipments[Confirmed_Qty],T_Shipments[RM_Code],$A30,T_Shipments[Effective_Week],92)</f>
        <v/>
      </c>
      <c r="CP30">
        <f>SUMIFS(T_Shipments[Confirmed_Qty],T_Shipments[RM_Code],$A30,T_Shipments[Effective_Week],93)</f>
        <v/>
      </c>
      <c r="CQ30">
        <f>SUMIFS(T_Shipments[Confirmed_Qty],T_Shipments[RM_Code],$A30,T_Shipments[Effective_Week],94)</f>
        <v/>
      </c>
      <c r="CR30">
        <f>SUMIFS(T_Shipments[Confirmed_Qty],T_Shipments[RM_Code],$A30,T_Shipments[Effective_Week],95)</f>
        <v/>
      </c>
      <c r="CS30">
        <f>SUMIFS(T_Shipments[Confirmed_Qty],T_Shipments[RM_Code],$A30,T_Shipments[Effective_Week],96)</f>
        <v/>
      </c>
      <c r="CT30">
        <f>SUMIFS(T_Shipments[Confirmed_Qty],T_Shipments[RM_Code],$A30,T_Shipments[Effective_Week],97)</f>
        <v/>
      </c>
      <c r="CU30">
        <f>SUMIFS(T_Shipments[Confirmed_Qty],T_Shipments[RM_Code],$A30,T_Shipments[Effective_Week],98)</f>
        <v/>
      </c>
      <c r="CV30">
        <f>SUMIFS(T_Shipments[Confirmed_Qty],T_Shipments[RM_Code],$A30,T_Shipments[Effective_Week],99)</f>
        <v/>
      </c>
      <c r="CW30">
        <f>SUMIFS(T_Shipments[Confirmed_Qty],T_Shipments[RM_Code],$A30,T_Shipments[Effective_Week],100)</f>
        <v/>
      </c>
      <c r="CX30">
        <f>SUMIFS(T_Shipments[Confirmed_Qty],T_Shipments[RM_Code],$A30,T_Shipments[Effective_Week],101)</f>
        <v/>
      </c>
      <c r="CY30">
        <f>SUMIFS(T_Shipments[Confirmed_Qty],T_Shipments[RM_Code],$A30,T_Shipments[Effective_Week],102)</f>
        <v/>
      </c>
      <c r="CZ30">
        <f>SUMIFS(T_Shipments[Confirmed_Qty],T_Shipments[RM_Code],$A30,T_Shipments[Effective_Week],103)</f>
        <v/>
      </c>
      <c r="DA30">
        <f>SUMIFS(T_Shipments[Confirmed_Qty],T_Shipments[RM_Code],$A30,T_Shipments[Effective_Week],104)</f>
        <v/>
      </c>
    </row>
    <row r="31">
      <c r="A31" t="inlineStr">
        <is>
          <t>ABN</t>
        </is>
      </c>
      <c r="B31">
        <f>SUMIFS(T_Shipments[Confirmed_Qty],T_Shipments[RM_Code],$A31,T_Shipments[Effective_Week],1)</f>
        <v/>
      </c>
      <c r="C31">
        <f>SUMIFS(T_Shipments[Confirmed_Qty],T_Shipments[RM_Code],$A31,T_Shipments[Effective_Week],2)</f>
        <v/>
      </c>
      <c r="D31">
        <f>SUMIFS(T_Shipments[Confirmed_Qty],T_Shipments[RM_Code],$A31,T_Shipments[Effective_Week],3)</f>
        <v/>
      </c>
      <c r="E31">
        <f>SUMIFS(T_Shipments[Confirmed_Qty],T_Shipments[RM_Code],$A31,T_Shipments[Effective_Week],4)</f>
        <v/>
      </c>
      <c r="F31">
        <f>SUMIFS(T_Shipments[Confirmed_Qty],T_Shipments[RM_Code],$A31,T_Shipments[Effective_Week],5)</f>
        <v/>
      </c>
      <c r="G31">
        <f>SUMIFS(T_Shipments[Confirmed_Qty],T_Shipments[RM_Code],$A31,T_Shipments[Effective_Week],6)</f>
        <v/>
      </c>
      <c r="H31">
        <f>SUMIFS(T_Shipments[Confirmed_Qty],T_Shipments[RM_Code],$A31,T_Shipments[Effective_Week],7)</f>
        <v/>
      </c>
      <c r="I31">
        <f>SUMIFS(T_Shipments[Confirmed_Qty],T_Shipments[RM_Code],$A31,T_Shipments[Effective_Week],8)</f>
        <v/>
      </c>
      <c r="J31">
        <f>SUMIFS(T_Shipments[Confirmed_Qty],T_Shipments[RM_Code],$A31,T_Shipments[Effective_Week],9)</f>
        <v/>
      </c>
      <c r="K31">
        <f>SUMIFS(T_Shipments[Confirmed_Qty],T_Shipments[RM_Code],$A31,T_Shipments[Effective_Week],10)</f>
        <v/>
      </c>
      <c r="L31">
        <f>SUMIFS(T_Shipments[Confirmed_Qty],T_Shipments[RM_Code],$A31,T_Shipments[Effective_Week],11)</f>
        <v/>
      </c>
      <c r="M31">
        <f>SUMIFS(T_Shipments[Confirmed_Qty],T_Shipments[RM_Code],$A31,T_Shipments[Effective_Week],12)</f>
        <v/>
      </c>
      <c r="N31">
        <f>SUMIFS(T_Shipments[Confirmed_Qty],T_Shipments[RM_Code],$A31,T_Shipments[Effective_Week],13)</f>
        <v/>
      </c>
      <c r="O31">
        <f>SUMIFS(T_Shipments[Confirmed_Qty],T_Shipments[RM_Code],$A31,T_Shipments[Effective_Week],14)</f>
        <v/>
      </c>
      <c r="P31">
        <f>SUMIFS(T_Shipments[Confirmed_Qty],T_Shipments[RM_Code],$A31,T_Shipments[Effective_Week],15)</f>
        <v/>
      </c>
      <c r="Q31">
        <f>SUMIFS(T_Shipments[Confirmed_Qty],T_Shipments[RM_Code],$A31,T_Shipments[Effective_Week],16)</f>
        <v/>
      </c>
      <c r="R31">
        <f>SUMIFS(T_Shipments[Confirmed_Qty],T_Shipments[RM_Code],$A31,T_Shipments[Effective_Week],17)</f>
        <v/>
      </c>
      <c r="S31">
        <f>SUMIFS(T_Shipments[Confirmed_Qty],T_Shipments[RM_Code],$A31,T_Shipments[Effective_Week],18)</f>
        <v/>
      </c>
      <c r="T31">
        <f>SUMIFS(T_Shipments[Confirmed_Qty],T_Shipments[RM_Code],$A31,T_Shipments[Effective_Week],19)</f>
        <v/>
      </c>
      <c r="U31">
        <f>SUMIFS(T_Shipments[Confirmed_Qty],T_Shipments[RM_Code],$A31,T_Shipments[Effective_Week],20)</f>
        <v/>
      </c>
      <c r="V31">
        <f>SUMIFS(T_Shipments[Confirmed_Qty],T_Shipments[RM_Code],$A31,T_Shipments[Effective_Week],21)</f>
        <v/>
      </c>
      <c r="W31">
        <f>SUMIFS(T_Shipments[Confirmed_Qty],T_Shipments[RM_Code],$A31,T_Shipments[Effective_Week],22)</f>
        <v/>
      </c>
      <c r="X31">
        <f>SUMIFS(T_Shipments[Confirmed_Qty],T_Shipments[RM_Code],$A31,T_Shipments[Effective_Week],23)</f>
        <v/>
      </c>
      <c r="Y31">
        <f>SUMIFS(T_Shipments[Confirmed_Qty],T_Shipments[RM_Code],$A31,T_Shipments[Effective_Week],24)</f>
        <v/>
      </c>
      <c r="Z31">
        <f>SUMIFS(T_Shipments[Confirmed_Qty],T_Shipments[RM_Code],$A31,T_Shipments[Effective_Week],25)</f>
        <v/>
      </c>
      <c r="AA31">
        <f>SUMIFS(T_Shipments[Confirmed_Qty],T_Shipments[RM_Code],$A31,T_Shipments[Effective_Week],26)</f>
        <v/>
      </c>
      <c r="AB31">
        <f>SUMIFS(T_Shipments[Confirmed_Qty],T_Shipments[RM_Code],$A31,T_Shipments[Effective_Week],27)</f>
        <v/>
      </c>
      <c r="AC31">
        <f>SUMIFS(T_Shipments[Confirmed_Qty],T_Shipments[RM_Code],$A31,T_Shipments[Effective_Week],28)</f>
        <v/>
      </c>
      <c r="AD31">
        <f>SUMIFS(T_Shipments[Confirmed_Qty],T_Shipments[RM_Code],$A31,T_Shipments[Effective_Week],29)</f>
        <v/>
      </c>
      <c r="AE31">
        <f>SUMIFS(T_Shipments[Confirmed_Qty],T_Shipments[RM_Code],$A31,T_Shipments[Effective_Week],30)</f>
        <v/>
      </c>
      <c r="AF31">
        <f>SUMIFS(T_Shipments[Confirmed_Qty],T_Shipments[RM_Code],$A31,T_Shipments[Effective_Week],31)</f>
        <v/>
      </c>
      <c r="AG31">
        <f>SUMIFS(T_Shipments[Confirmed_Qty],T_Shipments[RM_Code],$A31,T_Shipments[Effective_Week],32)</f>
        <v/>
      </c>
      <c r="AH31">
        <f>SUMIFS(T_Shipments[Confirmed_Qty],T_Shipments[RM_Code],$A31,T_Shipments[Effective_Week],33)</f>
        <v/>
      </c>
      <c r="AI31">
        <f>SUMIFS(T_Shipments[Confirmed_Qty],T_Shipments[RM_Code],$A31,T_Shipments[Effective_Week],34)</f>
        <v/>
      </c>
      <c r="AJ31">
        <f>SUMIFS(T_Shipments[Confirmed_Qty],T_Shipments[RM_Code],$A31,T_Shipments[Effective_Week],35)</f>
        <v/>
      </c>
      <c r="AK31">
        <f>SUMIFS(T_Shipments[Confirmed_Qty],T_Shipments[RM_Code],$A31,T_Shipments[Effective_Week],36)</f>
        <v/>
      </c>
      <c r="AL31">
        <f>SUMIFS(T_Shipments[Confirmed_Qty],T_Shipments[RM_Code],$A31,T_Shipments[Effective_Week],37)</f>
        <v/>
      </c>
      <c r="AM31">
        <f>SUMIFS(T_Shipments[Confirmed_Qty],T_Shipments[RM_Code],$A31,T_Shipments[Effective_Week],38)</f>
        <v/>
      </c>
      <c r="AN31">
        <f>SUMIFS(T_Shipments[Confirmed_Qty],T_Shipments[RM_Code],$A31,T_Shipments[Effective_Week],39)</f>
        <v/>
      </c>
      <c r="AO31">
        <f>SUMIFS(T_Shipments[Confirmed_Qty],T_Shipments[RM_Code],$A31,T_Shipments[Effective_Week],40)</f>
        <v/>
      </c>
      <c r="AP31">
        <f>SUMIFS(T_Shipments[Confirmed_Qty],T_Shipments[RM_Code],$A31,T_Shipments[Effective_Week],41)</f>
        <v/>
      </c>
      <c r="AQ31">
        <f>SUMIFS(T_Shipments[Confirmed_Qty],T_Shipments[RM_Code],$A31,T_Shipments[Effective_Week],42)</f>
        <v/>
      </c>
      <c r="AR31">
        <f>SUMIFS(T_Shipments[Confirmed_Qty],T_Shipments[RM_Code],$A31,T_Shipments[Effective_Week],43)</f>
        <v/>
      </c>
      <c r="AS31">
        <f>SUMIFS(T_Shipments[Confirmed_Qty],T_Shipments[RM_Code],$A31,T_Shipments[Effective_Week],44)</f>
        <v/>
      </c>
      <c r="AT31">
        <f>SUMIFS(T_Shipments[Confirmed_Qty],T_Shipments[RM_Code],$A31,T_Shipments[Effective_Week],45)</f>
        <v/>
      </c>
      <c r="AU31">
        <f>SUMIFS(T_Shipments[Confirmed_Qty],T_Shipments[RM_Code],$A31,T_Shipments[Effective_Week],46)</f>
        <v/>
      </c>
      <c r="AV31">
        <f>SUMIFS(T_Shipments[Confirmed_Qty],T_Shipments[RM_Code],$A31,T_Shipments[Effective_Week],47)</f>
        <v/>
      </c>
      <c r="AW31">
        <f>SUMIFS(T_Shipments[Confirmed_Qty],T_Shipments[RM_Code],$A31,T_Shipments[Effective_Week],48)</f>
        <v/>
      </c>
      <c r="AX31">
        <f>SUMIFS(T_Shipments[Confirmed_Qty],T_Shipments[RM_Code],$A31,T_Shipments[Effective_Week],49)</f>
        <v/>
      </c>
      <c r="AY31">
        <f>SUMIFS(T_Shipments[Confirmed_Qty],T_Shipments[RM_Code],$A31,T_Shipments[Effective_Week],50)</f>
        <v/>
      </c>
      <c r="AZ31">
        <f>SUMIFS(T_Shipments[Confirmed_Qty],T_Shipments[RM_Code],$A31,T_Shipments[Effective_Week],51)</f>
        <v/>
      </c>
      <c r="BA31">
        <f>SUMIFS(T_Shipments[Confirmed_Qty],T_Shipments[RM_Code],$A31,T_Shipments[Effective_Week],52)</f>
        <v/>
      </c>
      <c r="BB31">
        <f>SUMIFS(T_Shipments[Confirmed_Qty],T_Shipments[RM_Code],$A31,T_Shipments[Effective_Week],53)</f>
        <v/>
      </c>
      <c r="BC31">
        <f>SUMIFS(T_Shipments[Confirmed_Qty],T_Shipments[RM_Code],$A31,T_Shipments[Effective_Week],54)</f>
        <v/>
      </c>
      <c r="BD31">
        <f>SUMIFS(T_Shipments[Confirmed_Qty],T_Shipments[RM_Code],$A31,T_Shipments[Effective_Week],55)</f>
        <v/>
      </c>
      <c r="BE31">
        <f>SUMIFS(T_Shipments[Confirmed_Qty],T_Shipments[RM_Code],$A31,T_Shipments[Effective_Week],56)</f>
        <v/>
      </c>
      <c r="BF31">
        <f>SUMIFS(T_Shipments[Confirmed_Qty],T_Shipments[RM_Code],$A31,T_Shipments[Effective_Week],57)</f>
        <v/>
      </c>
      <c r="BG31">
        <f>SUMIFS(T_Shipments[Confirmed_Qty],T_Shipments[RM_Code],$A31,T_Shipments[Effective_Week],58)</f>
        <v/>
      </c>
      <c r="BH31">
        <f>SUMIFS(T_Shipments[Confirmed_Qty],T_Shipments[RM_Code],$A31,T_Shipments[Effective_Week],59)</f>
        <v/>
      </c>
      <c r="BI31">
        <f>SUMIFS(T_Shipments[Confirmed_Qty],T_Shipments[RM_Code],$A31,T_Shipments[Effective_Week],60)</f>
        <v/>
      </c>
      <c r="BJ31">
        <f>SUMIFS(T_Shipments[Confirmed_Qty],T_Shipments[RM_Code],$A31,T_Shipments[Effective_Week],61)</f>
        <v/>
      </c>
      <c r="BK31">
        <f>SUMIFS(T_Shipments[Confirmed_Qty],T_Shipments[RM_Code],$A31,T_Shipments[Effective_Week],62)</f>
        <v/>
      </c>
      <c r="BL31">
        <f>SUMIFS(T_Shipments[Confirmed_Qty],T_Shipments[RM_Code],$A31,T_Shipments[Effective_Week],63)</f>
        <v/>
      </c>
      <c r="BM31">
        <f>SUMIFS(T_Shipments[Confirmed_Qty],T_Shipments[RM_Code],$A31,T_Shipments[Effective_Week],64)</f>
        <v/>
      </c>
      <c r="BN31">
        <f>SUMIFS(T_Shipments[Confirmed_Qty],T_Shipments[RM_Code],$A31,T_Shipments[Effective_Week],65)</f>
        <v/>
      </c>
      <c r="BO31">
        <f>SUMIFS(T_Shipments[Confirmed_Qty],T_Shipments[RM_Code],$A31,T_Shipments[Effective_Week],66)</f>
        <v/>
      </c>
      <c r="BP31">
        <f>SUMIFS(T_Shipments[Confirmed_Qty],T_Shipments[RM_Code],$A31,T_Shipments[Effective_Week],67)</f>
        <v/>
      </c>
      <c r="BQ31">
        <f>SUMIFS(T_Shipments[Confirmed_Qty],T_Shipments[RM_Code],$A31,T_Shipments[Effective_Week],68)</f>
        <v/>
      </c>
      <c r="BR31">
        <f>SUMIFS(T_Shipments[Confirmed_Qty],T_Shipments[RM_Code],$A31,T_Shipments[Effective_Week],69)</f>
        <v/>
      </c>
      <c r="BS31">
        <f>SUMIFS(T_Shipments[Confirmed_Qty],T_Shipments[RM_Code],$A31,T_Shipments[Effective_Week],70)</f>
        <v/>
      </c>
      <c r="BT31">
        <f>SUMIFS(T_Shipments[Confirmed_Qty],T_Shipments[RM_Code],$A31,T_Shipments[Effective_Week],71)</f>
        <v/>
      </c>
      <c r="BU31">
        <f>SUMIFS(T_Shipments[Confirmed_Qty],T_Shipments[RM_Code],$A31,T_Shipments[Effective_Week],72)</f>
        <v/>
      </c>
      <c r="BV31">
        <f>SUMIFS(T_Shipments[Confirmed_Qty],T_Shipments[RM_Code],$A31,T_Shipments[Effective_Week],73)</f>
        <v/>
      </c>
      <c r="BW31">
        <f>SUMIFS(T_Shipments[Confirmed_Qty],T_Shipments[RM_Code],$A31,T_Shipments[Effective_Week],74)</f>
        <v/>
      </c>
      <c r="BX31">
        <f>SUMIFS(T_Shipments[Confirmed_Qty],T_Shipments[RM_Code],$A31,T_Shipments[Effective_Week],75)</f>
        <v/>
      </c>
      <c r="BY31">
        <f>SUMIFS(T_Shipments[Confirmed_Qty],T_Shipments[RM_Code],$A31,T_Shipments[Effective_Week],76)</f>
        <v/>
      </c>
      <c r="BZ31">
        <f>SUMIFS(T_Shipments[Confirmed_Qty],T_Shipments[RM_Code],$A31,T_Shipments[Effective_Week],77)</f>
        <v/>
      </c>
      <c r="CA31">
        <f>SUMIFS(T_Shipments[Confirmed_Qty],T_Shipments[RM_Code],$A31,T_Shipments[Effective_Week],78)</f>
        <v/>
      </c>
      <c r="CB31">
        <f>SUMIFS(T_Shipments[Confirmed_Qty],T_Shipments[RM_Code],$A31,T_Shipments[Effective_Week],79)</f>
        <v/>
      </c>
      <c r="CC31">
        <f>SUMIFS(T_Shipments[Confirmed_Qty],T_Shipments[RM_Code],$A31,T_Shipments[Effective_Week],80)</f>
        <v/>
      </c>
      <c r="CD31">
        <f>SUMIFS(T_Shipments[Confirmed_Qty],T_Shipments[RM_Code],$A31,T_Shipments[Effective_Week],81)</f>
        <v/>
      </c>
      <c r="CE31">
        <f>SUMIFS(T_Shipments[Confirmed_Qty],T_Shipments[RM_Code],$A31,T_Shipments[Effective_Week],82)</f>
        <v/>
      </c>
      <c r="CF31">
        <f>SUMIFS(T_Shipments[Confirmed_Qty],T_Shipments[RM_Code],$A31,T_Shipments[Effective_Week],83)</f>
        <v/>
      </c>
      <c r="CG31">
        <f>SUMIFS(T_Shipments[Confirmed_Qty],T_Shipments[RM_Code],$A31,T_Shipments[Effective_Week],84)</f>
        <v/>
      </c>
      <c r="CH31">
        <f>SUMIFS(T_Shipments[Confirmed_Qty],T_Shipments[RM_Code],$A31,T_Shipments[Effective_Week],85)</f>
        <v/>
      </c>
      <c r="CI31">
        <f>SUMIFS(T_Shipments[Confirmed_Qty],T_Shipments[RM_Code],$A31,T_Shipments[Effective_Week],86)</f>
        <v/>
      </c>
      <c r="CJ31">
        <f>SUMIFS(T_Shipments[Confirmed_Qty],T_Shipments[RM_Code],$A31,T_Shipments[Effective_Week],87)</f>
        <v/>
      </c>
      <c r="CK31">
        <f>SUMIFS(T_Shipments[Confirmed_Qty],T_Shipments[RM_Code],$A31,T_Shipments[Effective_Week],88)</f>
        <v/>
      </c>
      <c r="CL31">
        <f>SUMIFS(T_Shipments[Confirmed_Qty],T_Shipments[RM_Code],$A31,T_Shipments[Effective_Week],89)</f>
        <v/>
      </c>
      <c r="CM31">
        <f>SUMIFS(T_Shipments[Confirmed_Qty],T_Shipments[RM_Code],$A31,T_Shipments[Effective_Week],90)</f>
        <v/>
      </c>
      <c r="CN31">
        <f>SUMIFS(T_Shipments[Confirmed_Qty],T_Shipments[RM_Code],$A31,T_Shipments[Effective_Week],91)</f>
        <v/>
      </c>
      <c r="CO31">
        <f>SUMIFS(T_Shipments[Confirmed_Qty],T_Shipments[RM_Code],$A31,T_Shipments[Effective_Week],92)</f>
        <v/>
      </c>
      <c r="CP31">
        <f>SUMIFS(T_Shipments[Confirmed_Qty],T_Shipments[RM_Code],$A31,T_Shipments[Effective_Week],93)</f>
        <v/>
      </c>
      <c r="CQ31">
        <f>SUMIFS(T_Shipments[Confirmed_Qty],T_Shipments[RM_Code],$A31,T_Shipments[Effective_Week],94)</f>
        <v/>
      </c>
      <c r="CR31">
        <f>SUMIFS(T_Shipments[Confirmed_Qty],T_Shipments[RM_Code],$A31,T_Shipments[Effective_Week],95)</f>
        <v/>
      </c>
      <c r="CS31">
        <f>SUMIFS(T_Shipments[Confirmed_Qty],T_Shipments[RM_Code],$A31,T_Shipments[Effective_Week],96)</f>
        <v/>
      </c>
      <c r="CT31">
        <f>SUMIFS(T_Shipments[Confirmed_Qty],T_Shipments[RM_Code],$A31,T_Shipments[Effective_Week],97)</f>
        <v/>
      </c>
      <c r="CU31">
        <f>SUMIFS(T_Shipments[Confirmed_Qty],T_Shipments[RM_Code],$A31,T_Shipments[Effective_Week],98)</f>
        <v/>
      </c>
      <c r="CV31">
        <f>SUMIFS(T_Shipments[Confirmed_Qty],T_Shipments[RM_Code],$A31,T_Shipments[Effective_Week],99)</f>
        <v/>
      </c>
      <c r="CW31">
        <f>SUMIFS(T_Shipments[Confirmed_Qty],T_Shipments[RM_Code],$A31,T_Shipments[Effective_Week],100)</f>
        <v/>
      </c>
      <c r="CX31">
        <f>SUMIFS(T_Shipments[Confirmed_Qty],T_Shipments[RM_Code],$A31,T_Shipments[Effective_Week],101)</f>
        <v/>
      </c>
      <c r="CY31">
        <f>SUMIFS(T_Shipments[Confirmed_Qty],T_Shipments[RM_Code],$A31,T_Shipments[Effective_Week],102)</f>
        <v/>
      </c>
      <c r="CZ31">
        <f>SUMIFS(T_Shipments[Confirmed_Qty],T_Shipments[RM_Code],$A31,T_Shipments[Effective_Week],103)</f>
        <v/>
      </c>
      <c r="DA31">
        <f>SUMIFS(T_Shipments[Confirmed_Qty],T_Shipments[RM_Code],$A31,T_Shipments[Effective_Week],104)</f>
        <v/>
      </c>
    </row>
    <row r="32">
      <c r="A32" t="inlineStr">
        <is>
          <t>YAN</t>
        </is>
      </c>
      <c r="B32">
        <f>SUMIFS(T_Shipments[Confirmed_Qty],T_Shipments[RM_Code],$A32,T_Shipments[Effective_Week],1)</f>
        <v/>
      </c>
      <c r="C32">
        <f>SUMIFS(T_Shipments[Confirmed_Qty],T_Shipments[RM_Code],$A32,T_Shipments[Effective_Week],2)</f>
        <v/>
      </c>
      <c r="D32">
        <f>SUMIFS(T_Shipments[Confirmed_Qty],T_Shipments[RM_Code],$A32,T_Shipments[Effective_Week],3)</f>
        <v/>
      </c>
      <c r="E32">
        <f>SUMIFS(T_Shipments[Confirmed_Qty],T_Shipments[RM_Code],$A32,T_Shipments[Effective_Week],4)</f>
        <v/>
      </c>
      <c r="F32">
        <f>SUMIFS(T_Shipments[Confirmed_Qty],T_Shipments[RM_Code],$A32,T_Shipments[Effective_Week],5)</f>
        <v/>
      </c>
      <c r="G32">
        <f>SUMIFS(T_Shipments[Confirmed_Qty],T_Shipments[RM_Code],$A32,T_Shipments[Effective_Week],6)</f>
        <v/>
      </c>
      <c r="H32">
        <f>SUMIFS(T_Shipments[Confirmed_Qty],T_Shipments[RM_Code],$A32,T_Shipments[Effective_Week],7)</f>
        <v/>
      </c>
      <c r="I32">
        <f>SUMIFS(T_Shipments[Confirmed_Qty],T_Shipments[RM_Code],$A32,T_Shipments[Effective_Week],8)</f>
        <v/>
      </c>
      <c r="J32">
        <f>SUMIFS(T_Shipments[Confirmed_Qty],T_Shipments[RM_Code],$A32,T_Shipments[Effective_Week],9)</f>
        <v/>
      </c>
      <c r="K32">
        <f>SUMIFS(T_Shipments[Confirmed_Qty],T_Shipments[RM_Code],$A32,T_Shipments[Effective_Week],10)</f>
        <v/>
      </c>
      <c r="L32">
        <f>SUMIFS(T_Shipments[Confirmed_Qty],T_Shipments[RM_Code],$A32,T_Shipments[Effective_Week],11)</f>
        <v/>
      </c>
      <c r="M32">
        <f>SUMIFS(T_Shipments[Confirmed_Qty],T_Shipments[RM_Code],$A32,T_Shipments[Effective_Week],12)</f>
        <v/>
      </c>
      <c r="N32">
        <f>SUMIFS(T_Shipments[Confirmed_Qty],T_Shipments[RM_Code],$A32,T_Shipments[Effective_Week],13)</f>
        <v/>
      </c>
      <c r="O32">
        <f>SUMIFS(T_Shipments[Confirmed_Qty],T_Shipments[RM_Code],$A32,T_Shipments[Effective_Week],14)</f>
        <v/>
      </c>
      <c r="P32">
        <f>SUMIFS(T_Shipments[Confirmed_Qty],T_Shipments[RM_Code],$A32,T_Shipments[Effective_Week],15)</f>
        <v/>
      </c>
      <c r="Q32">
        <f>SUMIFS(T_Shipments[Confirmed_Qty],T_Shipments[RM_Code],$A32,T_Shipments[Effective_Week],16)</f>
        <v/>
      </c>
      <c r="R32">
        <f>SUMIFS(T_Shipments[Confirmed_Qty],T_Shipments[RM_Code],$A32,T_Shipments[Effective_Week],17)</f>
        <v/>
      </c>
      <c r="S32">
        <f>SUMIFS(T_Shipments[Confirmed_Qty],T_Shipments[RM_Code],$A32,T_Shipments[Effective_Week],18)</f>
        <v/>
      </c>
      <c r="T32">
        <f>SUMIFS(T_Shipments[Confirmed_Qty],T_Shipments[RM_Code],$A32,T_Shipments[Effective_Week],19)</f>
        <v/>
      </c>
      <c r="U32">
        <f>SUMIFS(T_Shipments[Confirmed_Qty],T_Shipments[RM_Code],$A32,T_Shipments[Effective_Week],20)</f>
        <v/>
      </c>
      <c r="V32">
        <f>SUMIFS(T_Shipments[Confirmed_Qty],T_Shipments[RM_Code],$A32,T_Shipments[Effective_Week],21)</f>
        <v/>
      </c>
      <c r="W32">
        <f>SUMIFS(T_Shipments[Confirmed_Qty],T_Shipments[RM_Code],$A32,T_Shipments[Effective_Week],22)</f>
        <v/>
      </c>
      <c r="X32">
        <f>SUMIFS(T_Shipments[Confirmed_Qty],T_Shipments[RM_Code],$A32,T_Shipments[Effective_Week],23)</f>
        <v/>
      </c>
      <c r="Y32">
        <f>SUMIFS(T_Shipments[Confirmed_Qty],T_Shipments[RM_Code],$A32,T_Shipments[Effective_Week],24)</f>
        <v/>
      </c>
      <c r="Z32">
        <f>SUMIFS(T_Shipments[Confirmed_Qty],T_Shipments[RM_Code],$A32,T_Shipments[Effective_Week],25)</f>
        <v/>
      </c>
      <c r="AA32">
        <f>SUMIFS(T_Shipments[Confirmed_Qty],T_Shipments[RM_Code],$A32,T_Shipments[Effective_Week],26)</f>
        <v/>
      </c>
      <c r="AB32">
        <f>SUMIFS(T_Shipments[Confirmed_Qty],T_Shipments[RM_Code],$A32,T_Shipments[Effective_Week],27)</f>
        <v/>
      </c>
      <c r="AC32">
        <f>SUMIFS(T_Shipments[Confirmed_Qty],T_Shipments[RM_Code],$A32,T_Shipments[Effective_Week],28)</f>
        <v/>
      </c>
      <c r="AD32">
        <f>SUMIFS(T_Shipments[Confirmed_Qty],T_Shipments[RM_Code],$A32,T_Shipments[Effective_Week],29)</f>
        <v/>
      </c>
      <c r="AE32">
        <f>SUMIFS(T_Shipments[Confirmed_Qty],T_Shipments[RM_Code],$A32,T_Shipments[Effective_Week],30)</f>
        <v/>
      </c>
      <c r="AF32">
        <f>SUMIFS(T_Shipments[Confirmed_Qty],T_Shipments[RM_Code],$A32,T_Shipments[Effective_Week],31)</f>
        <v/>
      </c>
      <c r="AG32">
        <f>SUMIFS(T_Shipments[Confirmed_Qty],T_Shipments[RM_Code],$A32,T_Shipments[Effective_Week],32)</f>
        <v/>
      </c>
      <c r="AH32">
        <f>SUMIFS(T_Shipments[Confirmed_Qty],T_Shipments[RM_Code],$A32,T_Shipments[Effective_Week],33)</f>
        <v/>
      </c>
      <c r="AI32">
        <f>SUMIFS(T_Shipments[Confirmed_Qty],T_Shipments[RM_Code],$A32,T_Shipments[Effective_Week],34)</f>
        <v/>
      </c>
      <c r="AJ32">
        <f>SUMIFS(T_Shipments[Confirmed_Qty],T_Shipments[RM_Code],$A32,T_Shipments[Effective_Week],35)</f>
        <v/>
      </c>
      <c r="AK32">
        <f>SUMIFS(T_Shipments[Confirmed_Qty],T_Shipments[RM_Code],$A32,T_Shipments[Effective_Week],36)</f>
        <v/>
      </c>
      <c r="AL32">
        <f>SUMIFS(T_Shipments[Confirmed_Qty],T_Shipments[RM_Code],$A32,T_Shipments[Effective_Week],37)</f>
        <v/>
      </c>
      <c r="AM32">
        <f>SUMIFS(T_Shipments[Confirmed_Qty],T_Shipments[RM_Code],$A32,T_Shipments[Effective_Week],38)</f>
        <v/>
      </c>
      <c r="AN32">
        <f>SUMIFS(T_Shipments[Confirmed_Qty],T_Shipments[RM_Code],$A32,T_Shipments[Effective_Week],39)</f>
        <v/>
      </c>
      <c r="AO32">
        <f>SUMIFS(T_Shipments[Confirmed_Qty],T_Shipments[RM_Code],$A32,T_Shipments[Effective_Week],40)</f>
        <v/>
      </c>
      <c r="AP32">
        <f>SUMIFS(T_Shipments[Confirmed_Qty],T_Shipments[RM_Code],$A32,T_Shipments[Effective_Week],41)</f>
        <v/>
      </c>
      <c r="AQ32">
        <f>SUMIFS(T_Shipments[Confirmed_Qty],T_Shipments[RM_Code],$A32,T_Shipments[Effective_Week],42)</f>
        <v/>
      </c>
      <c r="AR32">
        <f>SUMIFS(T_Shipments[Confirmed_Qty],T_Shipments[RM_Code],$A32,T_Shipments[Effective_Week],43)</f>
        <v/>
      </c>
      <c r="AS32">
        <f>SUMIFS(T_Shipments[Confirmed_Qty],T_Shipments[RM_Code],$A32,T_Shipments[Effective_Week],44)</f>
        <v/>
      </c>
      <c r="AT32">
        <f>SUMIFS(T_Shipments[Confirmed_Qty],T_Shipments[RM_Code],$A32,T_Shipments[Effective_Week],45)</f>
        <v/>
      </c>
      <c r="AU32">
        <f>SUMIFS(T_Shipments[Confirmed_Qty],T_Shipments[RM_Code],$A32,T_Shipments[Effective_Week],46)</f>
        <v/>
      </c>
      <c r="AV32">
        <f>SUMIFS(T_Shipments[Confirmed_Qty],T_Shipments[RM_Code],$A32,T_Shipments[Effective_Week],47)</f>
        <v/>
      </c>
      <c r="AW32">
        <f>SUMIFS(T_Shipments[Confirmed_Qty],T_Shipments[RM_Code],$A32,T_Shipments[Effective_Week],48)</f>
        <v/>
      </c>
      <c r="AX32">
        <f>SUMIFS(T_Shipments[Confirmed_Qty],T_Shipments[RM_Code],$A32,T_Shipments[Effective_Week],49)</f>
        <v/>
      </c>
      <c r="AY32">
        <f>SUMIFS(T_Shipments[Confirmed_Qty],T_Shipments[RM_Code],$A32,T_Shipments[Effective_Week],50)</f>
        <v/>
      </c>
      <c r="AZ32">
        <f>SUMIFS(T_Shipments[Confirmed_Qty],T_Shipments[RM_Code],$A32,T_Shipments[Effective_Week],51)</f>
        <v/>
      </c>
      <c r="BA32">
        <f>SUMIFS(T_Shipments[Confirmed_Qty],T_Shipments[RM_Code],$A32,T_Shipments[Effective_Week],52)</f>
        <v/>
      </c>
      <c r="BB32">
        <f>SUMIFS(T_Shipments[Confirmed_Qty],T_Shipments[RM_Code],$A32,T_Shipments[Effective_Week],53)</f>
        <v/>
      </c>
      <c r="BC32">
        <f>SUMIFS(T_Shipments[Confirmed_Qty],T_Shipments[RM_Code],$A32,T_Shipments[Effective_Week],54)</f>
        <v/>
      </c>
      <c r="BD32">
        <f>SUMIFS(T_Shipments[Confirmed_Qty],T_Shipments[RM_Code],$A32,T_Shipments[Effective_Week],55)</f>
        <v/>
      </c>
      <c r="BE32">
        <f>SUMIFS(T_Shipments[Confirmed_Qty],T_Shipments[RM_Code],$A32,T_Shipments[Effective_Week],56)</f>
        <v/>
      </c>
      <c r="BF32">
        <f>SUMIFS(T_Shipments[Confirmed_Qty],T_Shipments[RM_Code],$A32,T_Shipments[Effective_Week],57)</f>
        <v/>
      </c>
      <c r="BG32">
        <f>SUMIFS(T_Shipments[Confirmed_Qty],T_Shipments[RM_Code],$A32,T_Shipments[Effective_Week],58)</f>
        <v/>
      </c>
      <c r="BH32">
        <f>SUMIFS(T_Shipments[Confirmed_Qty],T_Shipments[RM_Code],$A32,T_Shipments[Effective_Week],59)</f>
        <v/>
      </c>
      <c r="BI32">
        <f>SUMIFS(T_Shipments[Confirmed_Qty],T_Shipments[RM_Code],$A32,T_Shipments[Effective_Week],60)</f>
        <v/>
      </c>
      <c r="BJ32">
        <f>SUMIFS(T_Shipments[Confirmed_Qty],T_Shipments[RM_Code],$A32,T_Shipments[Effective_Week],61)</f>
        <v/>
      </c>
      <c r="BK32">
        <f>SUMIFS(T_Shipments[Confirmed_Qty],T_Shipments[RM_Code],$A32,T_Shipments[Effective_Week],62)</f>
        <v/>
      </c>
      <c r="BL32">
        <f>SUMIFS(T_Shipments[Confirmed_Qty],T_Shipments[RM_Code],$A32,T_Shipments[Effective_Week],63)</f>
        <v/>
      </c>
      <c r="BM32">
        <f>SUMIFS(T_Shipments[Confirmed_Qty],T_Shipments[RM_Code],$A32,T_Shipments[Effective_Week],64)</f>
        <v/>
      </c>
      <c r="BN32">
        <f>SUMIFS(T_Shipments[Confirmed_Qty],T_Shipments[RM_Code],$A32,T_Shipments[Effective_Week],65)</f>
        <v/>
      </c>
      <c r="BO32">
        <f>SUMIFS(T_Shipments[Confirmed_Qty],T_Shipments[RM_Code],$A32,T_Shipments[Effective_Week],66)</f>
        <v/>
      </c>
      <c r="BP32">
        <f>SUMIFS(T_Shipments[Confirmed_Qty],T_Shipments[RM_Code],$A32,T_Shipments[Effective_Week],67)</f>
        <v/>
      </c>
      <c r="BQ32">
        <f>SUMIFS(T_Shipments[Confirmed_Qty],T_Shipments[RM_Code],$A32,T_Shipments[Effective_Week],68)</f>
        <v/>
      </c>
      <c r="BR32">
        <f>SUMIFS(T_Shipments[Confirmed_Qty],T_Shipments[RM_Code],$A32,T_Shipments[Effective_Week],69)</f>
        <v/>
      </c>
      <c r="BS32">
        <f>SUMIFS(T_Shipments[Confirmed_Qty],T_Shipments[RM_Code],$A32,T_Shipments[Effective_Week],70)</f>
        <v/>
      </c>
      <c r="BT32">
        <f>SUMIFS(T_Shipments[Confirmed_Qty],T_Shipments[RM_Code],$A32,T_Shipments[Effective_Week],71)</f>
        <v/>
      </c>
      <c r="BU32">
        <f>SUMIFS(T_Shipments[Confirmed_Qty],T_Shipments[RM_Code],$A32,T_Shipments[Effective_Week],72)</f>
        <v/>
      </c>
      <c r="BV32">
        <f>SUMIFS(T_Shipments[Confirmed_Qty],T_Shipments[RM_Code],$A32,T_Shipments[Effective_Week],73)</f>
        <v/>
      </c>
      <c r="BW32">
        <f>SUMIFS(T_Shipments[Confirmed_Qty],T_Shipments[RM_Code],$A32,T_Shipments[Effective_Week],74)</f>
        <v/>
      </c>
      <c r="BX32">
        <f>SUMIFS(T_Shipments[Confirmed_Qty],T_Shipments[RM_Code],$A32,T_Shipments[Effective_Week],75)</f>
        <v/>
      </c>
      <c r="BY32">
        <f>SUMIFS(T_Shipments[Confirmed_Qty],T_Shipments[RM_Code],$A32,T_Shipments[Effective_Week],76)</f>
        <v/>
      </c>
      <c r="BZ32">
        <f>SUMIFS(T_Shipments[Confirmed_Qty],T_Shipments[RM_Code],$A32,T_Shipments[Effective_Week],77)</f>
        <v/>
      </c>
      <c r="CA32">
        <f>SUMIFS(T_Shipments[Confirmed_Qty],T_Shipments[RM_Code],$A32,T_Shipments[Effective_Week],78)</f>
        <v/>
      </c>
      <c r="CB32">
        <f>SUMIFS(T_Shipments[Confirmed_Qty],T_Shipments[RM_Code],$A32,T_Shipments[Effective_Week],79)</f>
        <v/>
      </c>
      <c r="CC32">
        <f>SUMIFS(T_Shipments[Confirmed_Qty],T_Shipments[RM_Code],$A32,T_Shipments[Effective_Week],80)</f>
        <v/>
      </c>
      <c r="CD32">
        <f>SUMIFS(T_Shipments[Confirmed_Qty],T_Shipments[RM_Code],$A32,T_Shipments[Effective_Week],81)</f>
        <v/>
      </c>
      <c r="CE32">
        <f>SUMIFS(T_Shipments[Confirmed_Qty],T_Shipments[RM_Code],$A32,T_Shipments[Effective_Week],82)</f>
        <v/>
      </c>
      <c r="CF32">
        <f>SUMIFS(T_Shipments[Confirmed_Qty],T_Shipments[RM_Code],$A32,T_Shipments[Effective_Week],83)</f>
        <v/>
      </c>
      <c r="CG32">
        <f>SUMIFS(T_Shipments[Confirmed_Qty],T_Shipments[RM_Code],$A32,T_Shipments[Effective_Week],84)</f>
        <v/>
      </c>
      <c r="CH32">
        <f>SUMIFS(T_Shipments[Confirmed_Qty],T_Shipments[RM_Code],$A32,T_Shipments[Effective_Week],85)</f>
        <v/>
      </c>
      <c r="CI32">
        <f>SUMIFS(T_Shipments[Confirmed_Qty],T_Shipments[RM_Code],$A32,T_Shipments[Effective_Week],86)</f>
        <v/>
      </c>
      <c r="CJ32">
        <f>SUMIFS(T_Shipments[Confirmed_Qty],T_Shipments[RM_Code],$A32,T_Shipments[Effective_Week],87)</f>
        <v/>
      </c>
      <c r="CK32">
        <f>SUMIFS(T_Shipments[Confirmed_Qty],T_Shipments[RM_Code],$A32,T_Shipments[Effective_Week],88)</f>
        <v/>
      </c>
      <c r="CL32">
        <f>SUMIFS(T_Shipments[Confirmed_Qty],T_Shipments[RM_Code],$A32,T_Shipments[Effective_Week],89)</f>
        <v/>
      </c>
      <c r="CM32">
        <f>SUMIFS(T_Shipments[Confirmed_Qty],T_Shipments[RM_Code],$A32,T_Shipments[Effective_Week],90)</f>
        <v/>
      </c>
      <c r="CN32">
        <f>SUMIFS(T_Shipments[Confirmed_Qty],T_Shipments[RM_Code],$A32,T_Shipments[Effective_Week],91)</f>
        <v/>
      </c>
      <c r="CO32">
        <f>SUMIFS(T_Shipments[Confirmed_Qty],T_Shipments[RM_Code],$A32,T_Shipments[Effective_Week],92)</f>
        <v/>
      </c>
      <c r="CP32">
        <f>SUMIFS(T_Shipments[Confirmed_Qty],T_Shipments[RM_Code],$A32,T_Shipments[Effective_Week],93)</f>
        <v/>
      </c>
      <c r="CQ32">
        <f>SUMIFS(T_Shipments[Confirmed_Qty],T_Shipments[RM_Code],$A32,T_Shipments[Effective_Week],94)</f>
        <v/>
      </c>
      <c r="CR32">
        <f>SUMIFS(T_Shipments[Confirmed_Qty],T_Shipments[RM_Code],$A32,T_Shipments[Effective_Week],95)</f>
        <v/>
      </c>
      <c r="CS32">
        <f>SUMIFS(T_Shipments[Confirmed_Qty],T_Shipments[RM_Code],$A32,T_Shipments[Effective_Week],96)</f>
        <v/>
      </c>
      <c r="CT32">
        <f>SUMIFS(T_Shipments[Confirmed_Qty],T_Shipments[RM_Code],$A32,T_Shipments[Effective_Week],97)</f>
        <v/>
      </c>
      <c r="CU32">
        <f>SUMIFS(T_Shipments[Confirmed_Qty],T_Shipments[RM_Code],$A32,T_Shipments[Effective_Week],98)</f>
        <v/>
      </c>
      <c r="CV32">
        <f>SUMIFS(T_Shipments[Confirmed_Qty],T_Shipments[RM_Code],$A32,T_Shipments[Effective_Week],99)</f>
        <v/>
      </c>
      <c r="CW32">
        <f>SUMIFS(T_Shipments[Confirmed_Qty],T_Shipments[RM_Code],$A32,T_Shipments[Effective_Week],100)</f>
        <v/>
      </c>
      <c r="CX32">
        <f>SUMIFS(T_Shipments[Confirmed_Qty],T_Shipments[RM_Code],$A32,T_Shipments[Effective_Week],101)</f>
        <v/>
      </c>
      <c r="CY32">
        <f>SUMIFS(T_Shipments[Confirmed_Qty],T_Shipments[RM_Code],$A32,T_Shipments[Effective_Week],102)</f>
        <v/>
      </c>
      <c r="CZ32">
        <f>SUMIFS(T_Shipments[Confirmed_Qty],T_Shipments[RM_Code],$A32,T_Shipments[Effective_Week],103)</f>
        <v/>
      </c>
      <c r="DA32">
        <f>SUMIFS(T_Shipments[Confirmed_Qty],T_Shipments[RM_Code],$A32,T_Shipments[Effective_Week],104)</f>
        <v/>
      </c>
    </row>
    <row r="33">
      <c r="A33" t="inlineStr">
        <is>
          <t>KEJ</t>
        </is>
      </c>
      <c r="B33">
        <f>SUMIFS(T_Shipments[Confirmed_Qty],T_Shipments[RM_Code],$A33,T_Shipments[Effective_Week],1)</f>
        <v/>
      </c>
      <c r="C33">
        <f>SUMIFS(T_Shipments[Confirmed_Qty],T_Shipments[RM_Code],$A33,T_Shipments[Effective_Week],2)</f>
        <v/>
      </c>
      <c r="D33">
        <f>SUMIFS(T_Shipments[Confirmed_Qty],T_Shipments[RM_Code],$A33,T_Shipments[Effective_Week],3)</f>
        <v/>
      </c>
      <c r="E33">
        <f>SUMIFS(T_Shipments[Confirmed_Qty],T_Shipments[RM_Code],$A33,T_Shipments[Effective_Week],4)</f>
        <v/>
      </c>
      <c r="F33">
        <f>SUMIFS(T_Shipments[Confirmed_Qty],T_Shipments[RM_Code],$A33,T_Shipments[Effective_Week],5)</f>
        <v/>
      </c>
      <c r="G33">
        <f>SUMIFS(T_Shipments[Confirmed_Qty],T_Shipments[RM_Code],$A33,T_Shipments[Effective_Week],6)</f>
        <v/>
      </c>
      <c r="H33">
        <f>SUMIFS(T_Shipments[Confirmed_Qty],T_Shipments[RM_Code],$A33,T_Shipments[Effective_Week],7)</f>
        <v/>
      </c>
      <c r="I33">
        <f>SUMIFS(T_Shipments[Confirmed_Qty],T_Shipments[RM_Code],$A33,T_Shipments[Effective_Week],8)</f>
        <v/>
      </c>
      <c r="J33">
        <f>SUMIFS(T_Shipments[Confirmed_Qty],T_Shipments[RM_Code],$A33,T_Shipments[Effective_Week],9)</f>
        <v/>
      </c>
      <c r="K33">
        <f>SUMIFS(T_Shipments[Confirmed_Qty],T_Shipments[RM_Code],$A33,T_Shipments[Effective_Week],10)</f>
        <v/>
      </c>
      <c r="L33">
        <f>SUMIFS(T_Shipments[Confirmed_Qty],T_Shipments[RM_Code],$A33,T_Shipments[Effective_Week],11)</f>
        <v/>
      </c>
      <c r="M33">
        <f>SUMIFS(T_Shipments[Confirmed_Qty],T_Shipments[RM_Code],$A33,T_Shipments[Effective_Week],12)</f>
        <v/>
      </c>
      <c r="N33">
        <f>SUMIFS(T_Shipments[Confirmed_Qty],T_Shipments[RM_Code],$A33,T_Shipments[Effective_Week],13)</f>
        <v/>
      </c>
      <c r="O33">
        <f>SUMIFS(T_Shipments[Confirmed_Qty],T_Shipments[RM_Code],$A33,T_Shipments[Effective_Week],14)</f>
        <v/>
      </c>
      <c r="P33">
        <f>SUMIFS(T_Shipments[Confirmed_Qty],T_Shipments[RM_Code],$A33,T_Shipments[Effective_Week],15)</f>
        <v/>
      </c>
      <c r="Q33">
        <f>SUMIFS(T_Shipments[Confirmed_Qty],T_Shipments[RM_Code],$A33,T_Shipments[Effective_Week],16)</f>
        <v/>
      </c>
      <c r="R33">
        <f>SUMIFS(T_Shipments[Confirmed_Qty],T_Shipments[RM_Code],$A33,T_Shipments[Effective_Week],17)</f>
        <v/>
      </c>
      <c r="S33">
        <f>SUMIFS(T_Shipments[Confirmed_Qty],T_Shipments[RM_Code],$A33,T_Shipments[Effective_Week],18)</f>
        <v/>
      </c>
      <c r="T33">
        <f>SUMIFS(T_Shipments[Confirmed_Qty],T_Shipments[RM_Code],$A33,T_Shipments[Effective_Week],19)</f>
        <v/>
      </c>
      <c r="U33">
        <f>SUMIFS(T_Shipments[Confirmed_Qty],T_Shipments[RM_Code],$A33,T_Shipments[Effective_Week],20)</f>
        <v/>
      </c>
      <c r="V33">
        <f>SUMIFS(T_Shipments[Confirmed_Qty],T_Shipments[RM_Code],$A33,T_Shipments[Effective_Week],21)</f>
        <v/>
      </c>
      <c r="W33">
        <f>SUMIFS(T_Shipments[Confirmed_Qty],T_Shipments[RM_Code],$A33,T_Shipments[Effective_Week],22)</f>
        <v/>
      </c>
      <c r="X33">
        <f>SUMIFS(T_Shipments[Confirmed_Qty],T_Shipments[RM_Code],$A33,T_Shipments[Effective_Week],23)</f>
        <v/>
      </c>
      <c r="Y33">
        <f>SUMIFS(T_Shipments[Confirmed_Qty],T_Shipments[RM_Code],$A33,T_Shipments[Effective_Week],24)</f>
        <v/>
      </c>
      <c r="Z33">
        <f>SUMIFS(T_Shipments[Confirmed_Qty],T_Shipments[RM_Code],$A33,T_Shipments[Effective_Week],25)</f>
        <v/>
      </c>
      <c r="AA33">
        <f>SUMIFS(T_Shipments[Confirmed_Qty],T_Shipments[RM_Code],$A33,T_Shipments[Effective_Week],26)</f>
        <v/>
      </c>
      <c r="AB33">
        <f>SUMIFS(T_Shipments[Confirmed_Qty],T_Shipments[RM_Code],$A33,T_Shipments[Effective_Week],27)</f>
        <v/>
      </c>
      <c r="AC33">
        <f>SUMIFS(T_Shipments[Confirmed_Qty],T_Shipments[RM_Code],$A33,T_Shipments[Effective_Week],28)</f>
        <v/>
      </c>
      <c r="AD33">
        <f>SUMIFS(T_Shipments[Confirmed_Qty],T_Shipments[RM_Code],$A33,T_Shipments[Effective_Week],29)</f>
        <v/>
      </c>
      <c r="AE33">
        <f>SUMIFS(T_Shipments[Confirmed_Qty],T_Shipments[RM_Code],$A33,T_Shipments[Effective_Week],30)</f>
        <v/>
      </c>
      <c r="AF33">
        <f>SUMIFS(T_Shipments[Confirmed_Qty],T_Shipments[RM_Code],$A33,T_Shipments[Effective_Week],31)</f>
        <v/>
      </c>
      <c r="AG33">
        <f>SUMIFS(T_Shipments[Confirmed_Qty],T_Shipments[RM_Code],$A33,T_Shipments[Effective_Week],32)</f>
        <v/>
      </c>
      <c r="AH33">
        <f>SUMIFS(T_Shipments[Confirmed_Qty],T_Shipments[RM_Code],$A33,T_Shipments[Effective_Week],33)</f>
        <v/>
      </c>
      <c r="AI33">
        <f>SUMIFS(T_Shipments[Confirmed_Qty],T_Shipments[RM_Code],$A33,T_Shipments[Effective_Week],34)</f>
        <v/>
      </c>
      <c r="AJ33">
        <f>SUMIFS(T_Shipments[Confirmed_Qty],T_Shipments[RM_Code],$A33,T_Shipments[Effective_Week],35)</f>
        <v/>
      </c>
      <c r="AK33">
        <f>SUMIFS(T_Shipments[Confirmed_Qty],T_Shipments[RM_Code],$A33,T_Shipments[Effective_Week],36)</f>
        <v/>
      </c>
      <c r="AL33">
        <f>SUMIFS(T_Shipments[Confirmed_Qty],T_Shipments[RM_Code],$A33,T_Shipments[Effective_Week],37)</f>
        <v/>
      </c>
      <c r="AM33">
        <f>SUMIFS(T_Shipments[Confirmed_Qty],T_Shipments[RM_Code],$A33,T_Shipments[Effective_Week],38)</f>
        <v/>
      </c>
      <c r="AN33">
        <f>SUMIFS(T_Shipments[Confirmed_Qty],T_Shipments[RM_Code],$A33,T_Shipments[Effective_Week],39)</f>
        <v/>
      </c>
      <c r="AO33">
        <f>SUMIFS(T_Shipments[Confirmed_Qty],T_Shipments[RM_Code],$A33,T_Shipments[Effective_Week],40)</f>
        <v/>
      </c>
      <c r="AP33">
        <f>SUMIFS(T_Shipments[Confirmed_Qty],T_Shipments[RM_Code],$A33,T_Shipments[Effective_Week],41)</f>
        <v/>
      </c>
      <c r="AQ33">
        <f>SUMIFS(T_Shipments[Confirmed_Qty],T_Shipments[RM_Code],$A33,T_Shipments[Effective_Week],42)</f>
        <v/>
      </c>
      <c r="AR33">
        <f>SUMIFS(T_Shipments[Confirmed_Qty],T_Shipments[RM_Code],$A33,T_Shipments[Effective_Week],43)</f>
        <v/>
      </c>
      <c r="AS33">
        <f>SUMIFS(T_Shipments[Confirmed_Qty],T_Shipments[RM_Code],$A33,T_Shipments[Effective_Week],44)</f>
        <v/>
      </c>
      <c r="AT33">
        <f>SUMIFS(T_Shipments[Confirmed_Qty],T_Shipments[RM_Code],$A33,T_Shipments[Effective_Week],45)</f>
        <v/>
      </c>
      <c r="AU33">
        <f>SUMIFS(T_Shipments[Confirmed_Qty],T_Shipments[RM_Code],$A33,T_Shipments[Effective_Week],46)</f>
        <v/>
      </c>
      <c r="AV33">
        <f>SUMIFS(T_Shipments[Confirmed_Qty],T_Shipments[RM_Code],$A33,T_Shipments[Effective_Week],47)</f>
        <v/>
      </c>
      <c r="AW33">
        <f>SUMIFS(T_Shipments[Confirmed_Qty],T_Shipments[RM_Code],$A33,T_Shipments[Effective_Week],48)</f>
        <v/>
      </c>
      <c r="AX33">
        <f>SUMIFS(T_Shipments[Confirmed_Qty],T_Shipments[RM_Code],$A33,T_Shipments[Effective_Week],49)</f>
        <v/>
      </c>
      <c r="AY33">
        <f>SUMIFS(T_Shipments[Confirmed_Qty],T_Shipments[RM_Code],$A33,T_Shipments[Effective_Week],50)</f>
        <v/>
      </c>
      <c r="AZ33">
        <f>SUMIFS(T_Shipments[Confirmed_Qty],T_Shipments[RM_Code],$A33,T_Shipments[Effective_Week],51)</f>
        <v/>
      </c>
      <c r="BA33">
        <f>SUMIFS(T_Shipments[Confirmed_Qty],T_Shipments[RM_Code],$A33,T_Shipments[Effective_Week],52)</f>
        <v/>
      </c>
      <c r="BB33">
        <f>SUMIFS(T_Shipments[Confirmed_Qty],T_Shipments[RM_Code],$A33,T_Shipments[Effective_Week],53)</f>
        <v/>
      </c>
      <c r="BC33">
        <f>SUMIFS(T_Shipments[Confirmed_Qty],T_Shipments[RM_Code],$A33,T_Shipments[Effective_Week],54)</f>
        <v/>
      </c>
      <c r="BD33">
        <f>SUMIFS(T_Shipments[Confirmed_Qty],T_Shipments[RM_Code],$A33,T_Shipments[Effective_Week],55)</f>
        <v/>
      </c>
      <c r="BE33">
        <f>SUMIFS(T_Shipments[Confirmed_Qty],T_Shipments[RM_Code],$A33,T_Shipments[Effective_Week],56)</f>
        <v/>
      </c>
      <c r="BF33">
        <f>SUMIFS(T_Shipments[Confirmed_Qty],T_Shipments[RM_Code],$A33,T_Shipments[Effective_Week],57)</f>
        <v/>
      </c>
      <c r="BG33">
        <f>SUMIFS(T_Shipments[Confirmed_Qty],T_Shipments[RM_Code],$A33,T_Shipments[Effective_Week],58)</f>
        <v/>
      </c>
      <c r="BH33">
        <f>SUMIFS(T_Shipments[Confirmed_Qty],T_Shipments[RM_Code],$A33,T_Shipments[Effective_Week],59)</f>
        <v/>
      </c>
      <c r="BI33">
        <f>SUMIFS(T_Shipments[Confirmed_Qty],T_Shipments[RM_Code],$A33,T_Shipments[Effective_Week],60)</f>
        <v/>
      </c>
      <c r="BJ33">
        <f>SUMIFS(T_Shipments[Confirmed_Qty],T_Shipments[RM_Code],$A33,T_Shipments[Effective_Week],61)</f>
        <v/>
      </c>
      <c r="BK33">
        <f>SUMIFS(T_Shipments[Confirmed_Qty],T_Shipments[RM_Code],$A33,T_Shipments[Effective_Week],62)</f>
        <v/>
      </c>
      <c r="BL33">
        <f>SUMIFS(T_Shipments[Confirmed_Qty],T_Shipments[RM_Code],$A33,T_Shipments[Effective_Week],63)</f>
        <v/>
      </c>
      <c r="BM33">
        <f>SUMIFS(T_Shipments[Confirmed_Qty],T_Shipments[RM_Code],$A33,T_Shipments[Effective_Week],64)</f>
        <v/>
      </c>
      <c r="BN33">
        <f>SUMIFS(T_Shipments[Confirmed_Qty],T_Shipments[RM_Code],$A33,T_Shipments[Effective_Week],65)</f>
        <v/>
      </c>
      <c r="BO33">
        <f>SUMIFS(T_Shipments[Confirmed_Qty],T_Shipments[RM_Code],$A33,T_Shipments[Effective_Week],66)</f>
        <v/>
      </c>
      <c r="BP33">
        <f>SUMIFS(T_Shipments[Confirmed_Qty],T_Shipments[RM_Code],$A33,T_Shipments[Effective_Week],67)</f>
        <v/>
      </c>
      <c r="BQ33">
        <f>SUMIFS(T_Shipments[Confirmed_Qty],T_Shipments[RM_Code],$A33,T_Shipments[Effective_Week],68)</f>
        <v/>
      </c>
      <c r="BR33">
        <f>SUMIFS(T_Shipments[Confirmed_Qty],T_Shipments[RM_Code],$A33,T_Shipments[Effective_Week],69)</f>
        <v/>
      </c>
      <c r="BS33">
        <f>SUMIFS(T_Shipments[Confirmed_Qty],T_Shipments[RM_Code],$A33,T_Shipments[Effective_Week],70)</f>
        <v/>
      </c>
      <c r="BT33">
        <f>SUMIFS(T_Shipments[Confirmed_Qty],T_Shipments[RM_Code],$A33,T_Shipments[Effective_Week],71)</f>
        <v/>
      </c>
      <c r="BU33">
        <f>SUMIFS(T_Shipments[Confirmed_Qty],T_Shipments[RM_Code],$A33,T_Shipments[Effective_Week],72)</f>
        <v/>
      </c>
      <c r="BV33">
        <f>SUMIFS(T_Shipments[Confirmed_Qty],T_Shipments[RM_Code],$A33,T_Shipments[Effective_Week],73)</f>
        <v/>
      </c>
      <c r="BW33">
        <f>SUMIFS(T_Shipments[Confirmed_Qty],T_Shipments[RM_Code],$A33,T_Shipments[Effective_Week],74)</f>
        <v/>
      </c>
      <c r="BX33">
        <f>SUMIFS(T_Shipments[Confirmed_Qty],T_Shipments[RM_Code],$A33,T_Shipments[Effective_Week],75)</f>
        <v/>
      </c>
      <c r="BY33">
        <f>SUMIFS(T_Shipments[Confirmed_Qty],T_Shipments[RM_Code],$A33,T_Shipments[Effective_Week],76)</f>
        <v/>
      </c>
      <c r="BZ33">
        <f>SUMIFS(T_Shipments[Confirmed_Qty],T_Shipments[RM_Code],$A33,T_Shipments[Effective_Week],77)</f>
        <v/>
      </c>
      <c r="CA33">
        <f>SUMIFS(T_Shipments[Confirmed_Qty],T_Shipments[RM_Code],$A33,T_Shipments[Effective_Week],78)</f>
        <v/>
      </c>
      <c r="CB33">
        <f>SUMIFS(T_Shipments[Confirmed_Qty],T_Shipments[RM_Code],$A33,T_Shipments[Effective_Week],79)</f>
        <v/>
      </c>
      <c r="CC33">
        <f>SUMIFS(T_Shipments[Confirmed_Qty],T_Shipments[RM_Code],$A33,T_Shipments[Effective_Week],80)</f>
        <v/>
      </c>
      <c r="CD33">
        <f>SUMIFS(T_Shipments[Confirmed_Qty],T_Shipments[RM_Code],$A33,T_Shipments[Effective_Week],81)</f>
        <v/>
      </c>
      <c r="CE33">
        <f>SUMIFS(T_Shipments[Confirmed_Qty],T_Shipments[RM_Code],$A33,T_Shipments[Effective_Week],82)</f>
        <v/>
      </c>
      <c r="CF33">
        <f>SUMIFS(T_Shipments[Confirmed_Qty],T_Shipments[RM_Code],$A33,T_Shipments[Effective_Week],83)</f>
        <v/>
      </c>
      <c r="CG33">
        <f>SUMIFS(T_Shipments[Confirmed_Qty],T_Shipments[RM_Code],$A33,T_Shipments[Effective_Week],84)</f>
        <v/>
      </c>
      <c r="CH33">
        <f>SUMIFS(T_Shipments[Confirmed_Qty],T_Shipments[RM_Code],$A33,T_Shipments[Effective_Week],85)</f>
        <v/>
      </c>
      <c r="CI33">
        <f>SUMIFS(T_Shipments[Confirmed_Qty],T_Shipments[RM_Code],$A33,T_Shipments[Effective_Week],86)</f>
        <v/>
      </c>
      <c r="CJ33">
        <f>SUMIFS(T_Shipments[Confirmed_Qty],T_Shipments[RM_Code],$A33,T_Shipments[Effective_Week],87)</f>
        <v/>
      </c>
      <c r="CK33">
        <f>SUMIFS(T_Shipments[Confirmed_Qty],T_Shipments[RM_Code],$A33,T_Shipments[Effective_Week],88)</f>
        <v/>
      </c>
      <c r="CL33">
        <f>SUMIFS(T_Shipments[Confirmed_Qty],T_Shipments[RM_Code],$A33,T_Shipments[Effective_Week],89)</f>
        <v/>
      </c>
      <c r="CM33">
        <f>SUMIFS(T_Shipments[Confirmed_Qty],T_Shipments[RM_Code],$A33,T_Shipments[Effective_Week],90)</f>
        <v/>
      </c>
      <c r="CN33">
        <f>SUMIFS(T_Shipments[Confirmed_Qty],T_Shipments[RM_Code],$A33,T_Shipments[Effective_Week],91)</f>
        <v/>
      </c>
      <c r="CO33">
        <f>SUMIFS(T_Shipments[Confirmed_Qty],T_Shipments[RM_Code],$A33,T_Shipments[Effective_Week],92)</f>
        <v/>
      </c>
      <c r="CP33">
        <f>SUMIFS(T_Shipments[Confirmed_Qty],T_Shipments[RM_Code],$A33,T_Shipments[Effective_Week],93)</f>
        <v/>
      </c>
      <c r="CQ33">
        <f>SUMIFS(T_Shipments[Confirmed_Qty],T_Shipments[RM_Code],$A33,T_Shipments[Effective_Week],94)</f>
        <v/>
      </c>
      <c r="CR33">
        <f>SUMIFS(T_Shipments[Confirmed_Qty],T_Shipments[RM_Code],$A33,T_Shipments[Effective_Week],95)</f>
        <v/>
      </c>
      <c r="CS33">
        <f>SUMIFS(T_Shipments[Confirmed_Qty],T_Shipments[RM_Code],$A33,T_Shipments[Effective_Week],96)</f>
        <v/>
      </c>
      <c r="CT33">
        <f>SUMIFS(T_Shipments[Confirmed_Qty],T_Shipments[RM_Code],$A33,T_Shipments[Effective_Week],97)</f>
        <v/>
      </c>
      <c r="CU33">
        <f>SUMIFS(T_Shipments[Confirmed_Qty],T_Shipments[RM_Code],$A33,T_Shipments[Effective_Week],98)</f>
        <v/>
      </c>
      <c r="CV33">
        <f>SUMIFS(T_Shipments[Confirmed_Qty],T_Shipments[RM_Code],$A33,T_Shipments[Effective_Week],99)</f>
        <v/>
      </c>
      <c r="CW33">
        <f>SUMIFS(T_Shipments[Confirmed_Qty],T_Shipments[RM_Code],$A33,T_Shipments[Effective_Week],100)</f>
        <v/>
      </c>
      <c r="CX33">
        <f>SUMIFS(T_Shipments[Confirmed_Qty],T_Shipments[RM_Code],$A33,T_Shipments[Effective_Week],101)</f>
        <v/>
      </c>
      <c r="CY33">
        <f>SUMIFS(T_Shipments[Confirmed_Qty],T_Shipments[RM_Code],$A33,T_Shipments[Effective_Week],102)</f>
        <v/>
      </c>
      <c r="CZ33">
        <f>SUMIFS(T_Shipments[Confirmed_Qty],T_Shipments[RM_Code],$A33,T_Shipments[Effective_Week],103)</f>
        <v/>
      </c>
      <c r="DA33">
        <f>SUMIFS(T_Shipments[Confirmed_Qty],T_Shipments[RM_Code],$A33,T_Shipments[Effective_Week],104)</f>
        <v/>
      </c>
    </row>
    <row r="34">
      <c r="A34" t="inlineStr">
        <is>
          <t>JEJ</t>
        </is>
      </c>
      <c r="B34">
        <f>SUMIFS(T_Shipments[Confirmed_Qty],T_Shipments[RM_Code],$A34,T_Shipments[Effective_Week],1)</f>
        <v/>
      </c>
      <c r="C34">
        <f>SUMIFS(T_Shipments[Confirmed_Qty],T_Shipments[RM_Code],$A34,T_Shipments[Effective_Week],2)</f>
        <v/>
      </c>
      <c r="D34">
        <f>SUMIFS(T_Shipments[Confirmed_Qty],T_Shipments[RM_Code],$A34,T_Shipments[Effective_Week],3)</f>
        <v/>
      </c>
      <c r="E34">
        <f>SUMIFS(T_Shipments[Confirmed_Qty],T_Shipments[RM_Code],$A34,T_Shipments[Effective_Week],4)</f>
        <v/>
      </c>
      <c r="F34">
        <f>SUMIFS(T_Shipments[Confirmed_Qty],T_Shipments[RM_Code],$A34,T_Shipments[Effective_Week],5)</f>
        <v/>
      </c>
      <c r="G34">
        <f>SUMIFS(T_Shipments[Confirmed_Qty],T_Shipments[RM_Code],$A34,T_Shipments[Effective_Week],6)</f>
        <v/>
      </c>
      <c r="H34">
        <f>SUMIFS(T_Shipments[Confirmed_Qty],T_Shipments[RM_Code],$A34,T_Shipments[Effective_Week],7)</f>
        <v/>
      </c>
      <c r="I34">
        <f>SUMIFS(T_Shipments[Confirmed_Qty],T_Shipments[RM_Code],$A34,T_Shipments[Effective_Week],8)</f>
        <v/>
      </c>
      <c r="J34">
        <f>SUMIFS(T_Shipments[Confirmed_Qty],T_Shipments[RM_Code],$A34,T_Shipments[Effective_Week],9)</f>
        <v/>
      </c>
      <c r="K34">
        <f>SUMIFS(T_Shipments[Confirmed_Qty],T_Shipments[RM_Code],$A34,T_Shipments[Effective_Week],10)</f>
        <v/>
      </c>
      <c r="L34">
        <f>SUMIFS(T_Shipments[Confirmed_Qty],T_Shipments[RM_Code],$A34,T_Shipments[Effective_Week],11)</f>
        <v/>
      </c>
      <c r="M34">
        <f>SUMIFS(T_Shipments[Confirmed_Qty],T_Shipments[RM_Code],$A34,T_Shipments[Effective_Week],12)</f>
        <v/>
      </c>
      <c r="N34">
        <f>SUMIFS(T_Shipments[Confirmed_Qty],T_Shipments[RM_Code],$A34,T_Shipments[Effective_Week],13)</f>
        <v/>
      </c>
      <c r="O34">
        <f>SUMIFS(T_Shipments[Confirmed_Qty],T_Shipments[RM_Code],$A34,T_Shipments[Effective_Week],14)</f>
        <v/>
      </c>
      <c r="P34">
        <f>SUMIFS(T_Shipments[Confirmed_Qty],T_Shipments[RM_Code],$A34,T_Shipments[Effective_Week],15)</f>
        <v/>
      </c>
      <c r="Q34">
        <f>SUMIFS(T_Shipments[Confirmed_Qty],T_Shipments[RM_Code],$A34,T_Shipments[Effective_Week],16)</f>
        <v/>
      </c>
      <c r="R34">
        <f>SUMIFS(T_Shipments[Confirmed_Qty],T_Shipments[RM_Code],$A34,T_Shipments[Effective_Week],17)</f>
        <v/>
      </c>
      <c r="S34">
        <f>SUMIFS(T_Shipments[Confirmed_Qty],T_Shipments[RM_Code],$A34,T_Shipments[Effective_Week],18)</f>
        <v/>
      </c>
      <c r="T34">
        <f>SUMIFS(T_Shipments[Confirmed_Qty],T_Shipments[RM_Code],$A34,T_Shipments[Effective_Week],19)</f>
        <v/>
      </c>
      <c r="U34">
        <f>SUMIFS(T_Shipments[Confirmed_Qty],T_Shipments[RM_Code],$A34,T_Shipments[Effective_Week],20)</f>
        <v/>
      </c>
      <c r="V34">
        <f>SUMIFS(T_Shipments[Confirmed_Qty],T_Shipments[RM_Code],$A34,T_Shipments[Effective_Week],21)</f>
        <v/>
      </c>
      <c r="W34">
        <f>SUMIFS(T_Shipments[Confirmed_Qty],T_Shipments[RM_Code],$A34,T_Shipments[Effective_Week],22)</f>
        <v/>
      </c>
      <c r="X34">
        <f>SUMIFS(T_Shipments[Confirmed_Qty],T_Shipments[RM_Code],$A34,T_Shipments[Effective_Week],23)</f>
        <v/>
      </c>
      <c r="Y34">
        <f>SUMIFS(T_Shipments[Confirmed_Qty],T_Shipments[RM_Code],$A34,T_Shipments[Effective_Week],24)</f>
        <v/>
      </c>
      <c r="Z34">
        <f>SUMIFS(T_Shipments[Confirmed_Qty],T_Shipments[RM_Code],$A34,T_Shipments[Effective_Week],25)</f>
        <v/>
      </c>
      <c r="AA34">
        <f>SUMIFS(T_Shipments[Confirmed_Qty],T_Shipments[RM_Code],$A34,T_Shipments[Effective_Week],26)</f>
        <v/>
      </c>
      <c r="AB34">
        <f>SUMIFS(T_Shipments[Confirmed_Qty],T_Shipments[RM_Code],$A34,T_Shipments[Effective_Week],27)</f>
        <v/>
      </c>
      <c r="AC34">
        <f>SUMIFS(T_Shipments[Confirmed_Qty],T_Shipments[RM_Code],$A34,T_Shipments[Effective_Week],28)</f>
        <v/>
      </c>
      <c r="AD34">
        <f>SUMIFS(T_Shipments[Confirmed_Qty],T_Shipments[RM_Code],$A34,T_Shipments[Effective_Week],29)</f>
        <v/>
      </c>
      <c r="AE34">
        <f>SUMIFS(T_Shipments[Confirmed_Qty],T_Shipments[RM_Code],$A34,T_Shipments[Effective_Week],30)</f>
        <v/>
      </c>
      <c r="AF34">
        <f>SUMIFS(T_Shipments[Confirmed_Qty],T_Shipments[RM_Code],$A34,T_Shipments[Effective_Week],31)</f>
        <v/>
      </c>
      <c r="AG34">
        <f>SUMIFS(T_Shipments[Confirmed_Qty],T_Shipments[RM_Code],$A34,T_Shipments[Effective_Week],32)</f>
        <v/>
      </c>
      <c r="AH34">
        <f>SUMIFS(T_Shipments[Confirmed_Qty],T_Shipments[RM_Code],$A34,T_Shipments[Effective_Week],33)</f>
        <v/>
      </c>
      <c r="AI34">
        <f>SUMIFS(T_Shipments[Confirmed_Qty],T_Shipments[RM_Code],$A34,T_Shipments[Effective_Week],34)</f>
        <v/>
      </c>
      <c r="AJ34">
        <f>SUMIFS(T_Shipments[Confirmed_Qty],T_Shipments[RM_Code],$A34,T_Shipments[Effective_Week],35)</f>
        <v/>
      </c>
      <c r="AK34">
        <f>SUMIFS(T_Shipments[Confirmed_Qty],T_Shipments[RM_Code],$A34,T_Shipments[Effective_Week],36)</f>
        <v/>
      </c>
      <c r="AL34">
        <f>SUMIFS(T_Shipments[Confirmed_Qty],T_Shipments[RM_Code],$A34,T_Shipments[Effective_Week],37)</f>
        <v/>
      </c>
      <c r="AM34">
        <f>SUMIFS(T_Shipments[Confirmed_Qty],T_Shipments[RM_Code],$A34,T_Shipments[Effective_Week],38)</f>
        <v/>
      </c>
      <c r="AN34">
        <f>SUMIFS(T_Shipments[Confirmed_Qty],T_Shipments[RM_Code],$A34,T_Shipments[Effective_Week],39)</f>
        <v/>
      </c>
      <c r="AO34">
        <f>SUMIFS(T_Shipments[Confirmed_Qty],T_Shipments[RM_Code],$A34,T_Shipments[Effective_Week],40)</f>
        <v/>
      </c>
      <c r="AP34">
        <f>SUMIFS(T_Shipments[Confirmed_Qty],T_Shipments[RM_Code],$A34,T_Shipments[Effective_Week],41)</f>
        <v/>
      </c>
      <c r="AQ34">
        <f>SUMIFS(T_Shipments[Confirmed_Qty],T_Shipments[RM_Code],$A34,T_Shipments[Effective_Week],42)</f>
        <v/>
      </c>
      <c r="AR34">
        <f>SUMIFS(T_Shipments[Confirmed_Qty],T_Shipments[RM_Code],$A34,T_Shipments[Effective_Week],43)</f>
        <v/>
      </c>
      <c r="AS34">
        <f>SUMIFS(T_Shipments[Confirmed_Qty],T_Shipments[RM_Code],$A34,T_Shipments[Effective_Week],44)</f>
        <v/>
      </c>
      <c r="AT34">
        <f>SUMIFS(T_Shipments[Confirmed_Qty],T_Shipments[RM_Code],$A34,T_Shipments[Effective_Week],45)</f>
        <v/>
      </c>
      <c r="AU34">
        <f>SUMIFS(T_Shipments[Confirmed_Qty],T_Shipments[RM_Code],$A34,T_Shipments[Effective_Week],46)</f>
        <v/>
      </c>
      <c r="AV34">
        <f>SUMIFS(T_Shipments[Confirmed_Qty],T_Shipments[RM_Code],$A34,T_Shipments[Effective_Week],47)</f>
        <v/>
      </c>
      <c r="AW34">
        <f>SUMIFS(T_Shipments[Confirmed_Qty],T_Shipments[RM_Code],$A34,T_Shipments[Effective_Week],48)</f>
        <v/>
      </c>
      <c r="AX34">
        <f>SUMIFS(T_Shipments[Confirmed_Qty],T_Shipments[RM_Code],$A34,T_Shipments[Effective_Week],49)</f>
        <v/>
      </c>
      <c r="AY34">
        <f>SUMIFS(T_Shipments[Confirmed_Qty],T_Shipments[RM_Code],$A34,T_Shipments[Effective_Week],50)</f>
        <v/>
      </c>
      <c r="AZ34">
        <f>SUMIFS(T_Shipments[Confirmed_Qty],T_Shipments[RM_Code],$A34,T_Shipments[Effective_Week],51)</f>
        <v/>
      </c>
      <c r="BA34">
        <f>SUMIFS(T_Shipments[Confirmed_Qty],T_Shipments[RM_Code],$A34,T_Shipments[Effective_Week],52)</f>
        <v/>
      </c>
      <c r="BB34">
        <f>SUMIFS(T_Shipments[Confirmed_Qty],T_Shipments[RM_Code],$A34,T_Shipments[Effective_Week],53)</f>
        <v/>
      </c>
      <c r="BC34">
        <f>SUMIFS(T_Shipments[Confirmed_Qty],T_Shipments[RM_Code],$A34,T_Shipments[Effective_Week],54)</f>
        <v/>
      </c>
      <c r="BD34">
        <f>SUMIFS(T_Shipments[Confirmed_Qty],T_Shipments[RM_Code],$A34,T_Shipments[Effective_Week],55)</f>
        <v/>
      </c>
      <c r="BE34">
        <f>SUMIFS(T_Shipments[Confirmed_Qty],T_Shipments[RM_Code],$A34,T_Shipments[Effective_Week],56)</f>
        <v/>
      </c>
      <c r="BF34">
        <f>SUMIFS(T_Shipments[Confirmed_Qty],T_Shipments[RM_Code],$A34,T_Shipments[Effective_Week],57)</f>
        <v/>
      </c>
      <c r="BG34">
        <f>SUMIFS(T_Shipments[Confirmed_Qty],T_Shipments[RM_Code],$A34,T_Shipments[Effective_Week],58)</f>
        <v/>
      </c>
      <c r="BH34">
        <f>SUMIFS(T_Shipments[Confirmed_Qty],T_Shipments[RM_Code],$A34,T_Shipments[Effective_Week],59)</f>
        <v/>
      </c>
      <c r="BI34">
        <f>SUMIFS(T_Shipments[Confirmed_Qty],T_Shipments[RM_Code],$A34,T_Shipments[Effective_Week],60)</f>
        <v/>
      </c>
      <c r="BJ34">
        <f>SUMIFS(T_Shipments[Confirmed_Qty],T_Shipments[RM_Code],$A34,T_Shipments[Effective_Week],61)</f>
        <v/>
      </c>
      <c r="BK34">
        <f>SUMIFS(T_Shipments[Confirmed_Qty],T_Shipments[RM_Code],$A34,T_Shipments[Effective_Week],62)</f>
        <v/>
      </c>
      <c r="BL34">
        <f>SUMIFS(T_Shipments[Confirmed_Qty],T_Shipments[RM_Code],$A34,T_Shipments[Effective_Week],63)</f>
        <v/>
      </c>
      <c r="BM34">
        <f>SUMIFS(T_Shipments[Confirmed_Qty],T_Shipments[RM_Code],$A34,T_Shipments[Effective_Week],64)</f>
        <v/>
      </c>
      <c r="BN34">
        <f>SUMIFS(T_Shipments[Confirmed_Qty],T_Shipments[RM_Code],$A34,T_Shipments[Effective_Week],65)</f>
        <v/>
      </c>
      <c r="BO34">
        <f>SUMIFS(T_Shipments[Confirmed_Qty],T_Shipments[RM_Code],$A34,T_Shipments[Effective_Week],66)</f>
        <v/>
      </c>
      <c r="BP34">
        <f>SUMIFS(T_Shipments[Confirmed_Qty],T_Shipments[RM_Code],$A34,T_Shipments[Effective_Week],67)</f>
        <v/>
      </c>
      <c r="BQ34">
        <f>SUMIFS(T_Shipments[Confirmed_Qty],T_Shipments[RM_Code],$A34,T_Shipments[Effective_Week],68)</f>
        <v/>
      </c>
      <c r="BR34">
        <f>SUMIFS(T_Shipments[Confirmed_Qty],T_Shipments[RM_Code],$A34,T_Shipments[Effective_Week],69)</f>
        <v/>
      </c>
      <c r="BS34">
        <f>SUMIFS(T_Shipments[Confirmed_Qty],T_Shipments[RM_Code],$A34,T_Shipments[Effective_Week],70)</f>
        <v/>
      </c>
      <c r="BT34">
        <f>SUMIFS(T_Shipments[Confirmed_Qty],T_Shipments[RM_Code],$A34,T_Shipments[Effective_Week],71)</f>
        <v/>
      </c>
      <c r="BU34">
        <f>SUMIFS(T_Shipments[Confirmed_Qty],T_Shipments[RM_Code],$A34,T_Shipments[Effective_Week],72)</f>
        <v/>
      </c>
      <c r="BV34">
        <f>SUMIFS(T_Shipments[Confirmed_Qty],T_Shipments[RM_Code],$A34,T_Shipments[Effective_Week],73)</f>
        <v/>
      </c>
      <c r="BW34">
        <f>SUMIFS(T_Shipments[Confirmed_Qty],T_Shipments[RM_Code],$A34,T_Shipments[Effective_Week],74)</f>
        <v/>
      </c>
      <c r="BX34">
        <f>SUMIFS(T_Shipments[Confirmed_Qty],T_Shipments[RM_Code],$A34,T_Shipments[Effective_Week],75)</f>
        <v/>
      </c>
      <c r="BY34">
        <f>SUMIFS(T_Shipments[Confirmed_Qty],T_Shipments[RM_Code],$A34,T_Shipments[Effective_Week],76)</f>
        <v/>
      </c>
      <c r="BZ34">
        <f>SUMIFS(T_Shipments[Confirmed_Qty],T_Shipments[RM_Code],$A34,T_Shipments[Effective_Week],77)</f>
        <v/>
      </c>
      <c r="CA34">
        <f>SUMIFS(T_Shipments[Confirmed_Qty],T_Shipments[RM_Code],$A34,T_Shipments[Effective_Week],78)</f>
        <v/>
      </c>
      <c r="CB34">
        <f>SUMIFS(T_Shipments[Confirmed_Qty],T_Shipments[RM_Code],$A34,T_Shipments[Effective_Week],79)</f>
        <v/>
      </c>
      <c r="CC34">
        <f>SUMIFS(T_Shipments[Confirmed_Qty],T_Shipments[RM_Code],$A34,T_Shipments[Effective_Week],80)</f>
        <v/>
      </c>
      <c r="CD34">
        <f>SUMIFS(T_Shipments[Confirmed_Qty],T_Shipments[RM_Code],$A34,T_Shipments[Effective_Week],81)</f>
        <v/>
      </c>
      <c r="CE34">
        <f>SUMIFS(T_Shipments[Confirmed_Qty],T_Shipments[RM_Code],$A34,T_Shipments[Effective_Week],82)</f>
        <v/>
      </c>
      <c r="CF34">
        <f>SUMIFS(T_Shipments[Confirmed_Qty],T_Shipments[RM_Code],$A34,T_Shipments[Effective_Week],83)</f>
        <v/>
      </c>
      <c r="CG34">
        <f>SUMIFS(T_Shipments[Confirmed_Qty],T_Shipments[RM_Code],$A34,T_Shipments[Effective_Week],84)</f>
        <v/>
      </c>
      <c r="CH34">
        <f>SUMIFS(T_Shipments[Confirmed_Qty],T_Shipments[RM_Code],$A34,T_Shipments[Effective_Week],85)</f>
        <v/>
      </c>
      <c r="CI34">
        <f>SUMIFS(T_Shipments[Confirmed_Qty],T_Shipments[RM_Code],$A34,T_Shipments[Effective_Week],86)</f>
        <v/>
      </c>
      <c r="CJ34">
        <f>SUMIFS(T_Shipments[Confirmed_Qty],T_Shipments[RM_Code],$A34,T_Shipments[Effective_Week],87)</f>
        <v/>
      </c>
      <c r="CK34">
        <f>SUMIFS(T_Shipments[Confirmed_Qty],T_Shipments[RM_Code],$A34,T_Shipments[Effective_Week],88)</f>
        <v/>
      </c>
      <c r="CL34">
        <f>SUMIFS(T_Shipments[Confirmed_Qty],T_Shipments[RM_Code],$A34,T_Shipments[Effective_Week],89)</f>
        <v/>
      </c>
      <c r="CM34">
        <f>SUMIFS(T_Shipments[Confirmed_Qty],T_Shipments[RM_Code],$A34,T_Shipments[Effective_Week],90)</f>
        <v/>
      </c>
      <c r="CN34">
        <f>SUMIFS(T_Shipments[Confirmed_Qty],T_Shipments[RM_Code],$A34,T_Shipments[Effective_Week],91)</f>
        <v/>
      </c>
      <c r="CO34">
        <f>SUMIFS(T_Shipments[Confirmed_Qty],T_Shipments[RM_Code],$A34,T_Shipments[Effective_Week],92)</f>
        <v/>
      </c>
      <c r="CP34">
        <f>SUMIFS(T_Shipments[Confirmed_Qty],T_Shipments[RM_Code],$A34,T_Shipments[Effective_Week],93)</f>
        <v/>
      </c>
      <c r="CQ34">
        <f>SUMIFS(T_Shipments[Confirmed_Qty],T_Shipments[RM_Code],$A34,T_Shipments[Effective_Week],94)</f>
        <v/>
      </c>
      <c r="CR34">
        <f>SUMIFS(T_Shipments[Confirmed_Qty],T_Shipments[RM_Code],$A34,T_Shipments[Effective_Week],95)</f>
        <v/>
      </c>
      <c r="CS34">
        <f>SUMIFS(T_Shipments[Confirmed_Qty],T_Shipments[RM_Code],$A34,T_Shipments[Effective_Week],96)</f>
        <v/>
      </c>
      <c r="CT34">
        <f>SUMIFS(T_Shipments[Confirmed_Qty],T_Shipments[RM_Code],$A34,T_Shipments[Effective_Week],97)</f>
        <v/>
      </c>
      <c r="CU34">
        <f>SUMIFS(T_Shipments[Confirmed_Qty],T_Shipments[RM_Code],$A34,T_Shipments[Effective_Week],98)</f>
        <v/>
      </c>
      <c r="CV34">
        <f>SUMIFS(T_Shipments[Confirmed_Qty],T_Shipments[RM_Code],$A34,T_Shipments[Effective_Week],99)</f>
        <v/>
      </c>
      <c r="CW34">
        <f>SUMIFS(T_Shipments[Confirmed_Qty],T_Shipments[RM_Code],$A34,T_Shipments[Effective_Week],100)</f>
        <v/>
      </c>
      <c r="CX34">
        <f>SUMIFS(T_Shipments[Confirmed_Qty],T_Shipments[RM_Code],$A34,T_Shipments[Effective_Week],101)</f>
        <v/>
      </c>
      <c r="CY34">
        <f>SUMIFS(T_Shipments[Confirmed_Qty],T_Shipments[RM_Code],$A34,T_Shipments[Effective_Week],102)</f>
        <v/>
      </c>
      <c r="CZ34">
        <f>SUMIFS(T_Shipments[Confirmed_Qty],T_Shipments[RM_Code],$A34,T_Shipments[Effective_Week],103)</f>
        <v/>
      </c>
      <c r="DA34">
        <f>SUMIFS(T_Shipments[Confirmed_Qty],T_Shipments[RM_Code],$A34,T_Shipments[Effective_Week],104)</f>
        <v/>
      </c>
    </row>
    <row r="35">
      <c r="A35" t="inlineStr">
        <is>
          <t>CHEM-1830</t>
        </is>
      </c>
      <c r="B35">
        <f>SUMIFS(T_Shipments[Confirmed_Qty],T_Shipments[RM_Code],$A35,T_Shipments[Effective_Week],1)</f>
        <v/>
      </c>
      <c r="C35">
        <f>SUMIFS(T_Shipments[Confirmed_Qty],T_Shipments[RM_Code],$A35,T_Shipments[Effective_Week],2)</f>
        <v/>
      </c>
      <c r="D35">
        <f>SUMIFS(T_Shipments[Confirmed_Qty],T_Shipments[RM_Code],$A35,T_Shipments[Effective_Week],3)</f>
        <v/>
      </c>
      <c r="E35">
        <f>SUMIFS(T_Shipments[Confirmed_Qty],T_Shipments[RM_Code],$A35,T_Shipments[Effective_Week],4)</f>
        <v/>
      </c>
      <c r="F35">
        <f>SUMIFS(T_Shipments[Confirmed_Qty],T_Shipments[RM_Code],$A35,T_Shipments[Effective_Week],5)</f>
        <v/>
      </c>
      <c r="G35">
        <f>SUMIFS(T_Shipments[Confirmed_Qty],T_Shipments[RM_Code],$A35,T_Shipments[Effective_Week],6)</f>
        <v/>
      </c>
      <c r="H35">
        <f>SUMIFS(T_Shipments[Confirmed_Qty],T_Shipments[RM_Code],$A35,T_Shipments[Effective_Week],7)</f>
        <v/>
      </c>
      <c r="I35">
        <f>SUMIFS(T_Shipments[Confirmed_Qty],T_Shipments[RM_Code],$A35,T_Shipments[Effective_Week],8)</f>
        <v/>
      </c>
      <c r="J35">
        <f>SUMIFS(T_Shipments[Confirmed_Qty],T_Shipments[RM_Code],$A35,T_Shipments[Effective_Week],9)</f>
        <v/>
      </c>
      <c r="K35">
        <f>SUMIFS(T_Shipments[Confirmed_Qty],T_Shipments[RM_Code],$A35,T_Shipments[Effective_Week],10)</f>
        <v/>
      </c>
      <c r="L35">
        <f>SUMIFS(T_Shipments[Confirmed_Qty],T_Shipments[RM_Code],$A35,T_Shipments[Effective_Week],11)</f>
        <v/>
      </c>
      <c r="M35">
        <f>SUMIFS(T_Shipments[Confirmed_Qty],T_Shipments[RM_Code],$A35,T_Shipments[Effective_Week],12)</f>
        <v/>
      </c>
      <c r="N35">
        <f>SUMIFS(T_Shipments[Confirmed_Qty],T_Shipments[RM_Code],$A35,T_Shipments[Effective_Week],13)</f>
        <v/>
      </c>
      <c r="O35">
        <f>SUMIFS(T_Shipments[Confirmed_Qty],T_Shipments[RM_Code],$A35,T_Shipments[Effective_Week],14)</f>
        <v/>
      </c>
      <c r="P35">
        <f>SUMIFS(T_Shipments[Confirmed_Qty],T_Shipments[RM_Code],$A35,T_Shipments[Effective_Week],15)</f>
        <v/>
      </c>
      <c r="Q35">
        <f>SUMIFS(T_Shipments[Confirmed_Qty],T_Shipments[RM_Code],$A35,T_Shipments[Effective_Week],16)</f>
        <v/>
      </c>
      <c r="R35">
        <f>SUMIFS(T_Shipments[Confirmed_Qty],T_Shipments[RM_Code],$A35,T_Shipments[Effective_Week],17)</f>
        <v/>
      </c>
      <c r="S35">
        <f>SUMIFS(T_Shipments[Confirmed_Qty],T_Shipments[RM_Code],$A35,T_Shipments[Effective_Week],18)</f>
        <v/>
      </c>
      <c r="T35">
        <f>SUMIFS(T_Shipments[Confirmed_Qty],T_Shipments[RM_Code],$A35,T_Shipments[Effective_Week],19)</f>
        <v/>
      </c>
      <c r="U35">
        <f>SUMIFS(T_Shipments[Confirmed_Qty],T_Shipments[RM_Code],$A35,T_Shipments[Effective_Week],20)</f>
        <v/>
      </c>
      <c r="V35">
        <f>SUMIFS(T_Shipments[Confirmed_Qty],T_Shipments[RM_Code],$A35,T_Shipments[Effective_Week],21)</f>
        <v/>
      </c>
      <c r="W35">
        <f>SUMIFS(T_Shipments[Confirmed_Qty],T_Shipments[RM_Code],$A35,T_Shipments[Effective_Week],22)</f>
        <v/>
      </c>
      <c r="X35">
        <f>SUMIFS(T_Shipments[Confirmed_Qty],T_Shipments[RM_Code],$A35,T_Shipments[Effective_Week],23)</f>
        <v/>
      </c>
      <c r="Y35">
        <f>SUMIFS(T_Shipments[Confirmed_Qty],T_Shipments[RM_Code],$A35,T_Shipments[Effective_Week],24)</f>
        <v/>
      </c>
      <c r="Z35">
        <f>SUMIFS(T_Shipments[Confirmed_Qty],T_Shipments[RM_Code],$A35,T_Shipments[Effective_Week],25)</f>
        <v/>
      </c>
      <c r="AA35">
        <f>SUMIFS(T_Shipments[Confirmed_Qty],T_Shipments[RM_Code],$A35,T_Shipments[Effective_Week],26)</f>
        <v/>
      </c>
      <c r="AB35">
        <f>SUMIFS(T_Shipments[Confirmed_Qty],T_Shipments[RM_Code],$A35,T_Shipments[Effective_Week],27)</f>
        <v/>
      </c>
      <c r="AC35">
        <f>SUMIFS(T_Shipments[Confirmed_Qty],T_Shipments[RM_Code],$A35,T_Shipments[Effective_Week],28)</f>
        <v/>
      </c>
      <c r="AD35">
        <f>SUMIFS(T_Shipments[Confirmed_Qty],T_Shipments[RM_Code],$A35,T_Shipments[Effective_Week],29)</f>
        <v/>
      </c>
      <c r="AE35">
        <f>SUMIFS(T_Shipments[Confirmed_Qty],T_Shipments[RM_Code],$A35,T_Shipments[Effective_Week],30)</f>
        <v/>
      </c>
      <c r="AF35">
        <f>SUMIFS(T_Shipments[Confirmed_Qty],T_Shipments[RM_Code],$A35,T_Shipments[Effective_Week],31)</f>
        <v/>
      </c>
      <c r="AG35">
        <f>SUMIFS(T_Shipments[Confirmed_Qty],T_Shipments[RM_Code],$A35,T_Shipments[Effective_Week],32)</f>
        <v/>
      </c>
      <c r="AH35">
        <f>SUMIFS(T_Shipments[Confirmed_Qty],T_Shipments[RM_Code],$A35,T_Shipments[Effective_Week],33)</f>
        <v/>
      </c>
      <c r="AI35">
        <f>SUMIFS(T_Shipments[Confirmed_Qty],T_Shipments[RM_Code],$A35,T_Shipments[Effective_Week],34)</f>
        <v/>
      </c>
      <c r="AJ35">
        <f>SUMIFS(T_Shipments[Confirmed_Qty],T_Shipments[RM_Code],$A35,T_Shipments[Effective_Week],35)</f>
        <v/>
      </c>
      <c r="AK35">
        <f>SUMIFS(T_Shipments[Confirmed_Qty],T_Shipments[RM_Code],$A35,T_Shipments[Effective_Week],36)</f>
        <v/>
      </c>
      <c r="AL35">
        <f>SUMIFS(T_Shipments[Confirmed_Qty],T_Shipments[RM_Code],$A35,T_Shipments[Effective_Week],37)</f>
        <v/>
      </c>
      <c r="AM35">
        <f>SUMIFS(T_Shipments[Confirmed_Qty],T_Shipments[RM_Code],$A35,T_Shipments[Effective_Week],38)</f>
        <v/>
      </c>
      <c r="AN35">
        <f>SUMIFS(T_Shipments[Confirmed_Qty],T_Shipments[RM_Code],$A35,T_Shipments[Effective_Week],39)</f>
        <v/>
      </c>
      <c r="AO35">
        <f>SUMIFS(T_Shipments[Confirmed_Qty],T_Shipments[RM_Code],$A35,T_Shipments[Effective_Week],40)</f>
        <v/>
      </c>
      <c r="AP35">
        <f>SUMIFS(T_Shipments[Confirmed_Qty],T_Shipments[RM_Code],$A35,T_Shipments[Effective_Week],41)</f>
        <v/>
      </c>
      <c r="AQ35">
        <f>SUMIFS(T_Shipments[Confirmed_Qty],T_Shipments[RM_Code],$A35,T_Shipments[Effective_Week],42)</f>
        <v/>
      </c>
      <c r="AR35">
        <f>SUMIFS(T_Shipments[Confirmed_Qty],T_Shipments[RM_Code],$A35,T_Shipments[Effective_Week],43)</f>
        <v/>
      </c>
      <c r="AS35">
        <f>SUMIFS(T_Shipments[Confirmed_Qty],T_Shipments[RM_Code],$A35,T_Shipments[Effective_Week],44)</f>
        <v/>
      </c>
      <c r="AT35">
        <f>SUMIFS(T_Shipments[Confirmed_Qty],T_Shipments[RM_Code],$A35,T_Shipments[Effective_Week],45)</f>
        <v/>
      </c>
      <c r="AU35">
        <f>SUMIFS(T_Shipments[Confirmed_Qty],T_Shipments[RM_Code],$A35,T_Shipments[Effective_Week],46)</f>
        <v/>
      </c>
      <c r="AV35">
        <f>SUMIFS(T_Shipments[Confirmed_Qty],T_Shipments[RM_Code],$A35,T_Shipments[Effective_Week],47)</f>
        <v/>
      </c>
      <c r="AW35">
        <f>SUMIFS(T_Shipments[Confirmed_Qty],T_Shipments[RM_Code],$A35,T_Shipments[Effective_Week],48)</f>
        <v/>
      </c>
      <c r="AX35">
        <f>SUMIFS(T_Shipments[Confirmed_Qty],T_Shipments[RM_Code],$A35,T_Shipments[Effective_Week],49)</f>
        <v/>
      </c>
      <c r="AY35">
        <f>SUMIFS(T_Shipments[Confirmed_Qty],T_Shipments[RM_Code],$A35,T_Shipments[Effective_Week],50)</f>
        <v/>
      </c>
      <c r="AZ35">
        <f>SUMIFS(T_Shipments[Confirmed_Qty],T_Shipments[RM_Code],$A35,T_Shipments[Effective_Week],51)</f>
        <v/>
      </c>
      <c r="BA35">
        <f>SUMIFS(T_Shipments[Confirmed_Qty],T_Shipments[RM_Code],$A35,T_Shipments[Effective_Week],52)</f>
        <v/>
      </c>
      <c r="BB35">
        <f>SUMIFS(T_Shipments[Confirmed_Qty],T_Shipments[RM_Code],$A35,T_Shipments[Effective_Week],53)</f>
        <v/>
      </c>
      <c r="BC35">
        <f>SUMIFS(T_Shipments[Confirmed_Qty],T_Shipments[RM_Code],$A35,T_Shipments[Effective_Week],54)</f>
        <v/>
      </c>
      <c r="BD35">
        <f>SUMIFS(T_Shipments[Confirmed_Qty],T_Shipments[RM_Code],$A35,T_Shipments[Effective_Week],55)</f>
        <v/>
      </c>
      <c r="BE35">
        <f>SUMIFS(T_Shipments[Confirmed_Qty],T_Shipments[RM_Code],$A35,T_Shipments[Effective_Week],56)</f>
        <v/>
      </c>
      <c r="BF35">
        <f>SUMIFS(T_Shipments[Confirmed_Qty],T_Shipments[RM_Code],$A35,T_Shipments[Effective_Week],57)</f>
        <v/>
      </c>
      <c r="BG35">
        <f>SUMIFS(T_Shipments[Confirmed_Qty],T_Shipments[RM_Code],$A35,T_Shipments[Effective_Week],58)</f>
        <v/>
      </c>
      <c r="BH35">
        <f>SUMIFS(T_Shipments[Confirmed_Qty],T_Shipments[RM_Code],$A35,T_Shipments[Effective_Week],59)</f>
        <v/>
      </c>
      <c r="BI35">
        <f>SUMIFS(T_Shipments[Confirmed_Qty],T_Shipments[RM_Code],$A35,T_Shipments[Effective_Week],60)</f>
        <v/>
      </c>
      <c r="BJ35">
        <f>SUMIFS(T_Shipments[Confirmed_Qty],T_Shipments[RM_Code],$A35,T_Shipments[Effective_Week],61)</f>
        <v/>
      </c>
      <c r="BK35">
        <f>SUMIFS(T_Shipments[Confirmed_Qty],T_Shipments[RM_Code],$A35,T_Shipments[Effective_Week],62)</f>
        <v/>
      </c>
      <c r="BL35">
        <f>SUMIFS(T_Shipments[Confirmed_Qty],T_Shipments[RM_Code],$A35,T_Shipments[Effective_Week],63)</f>
        <v/>
      </c>
      <c r="BM35">
        <f>SUMIFS(T_Shipments[Confirmed_Qty],T_Shipments[RM_Code],$A35,T_Shipments[Effective_Week],64)</f>
        <v/>
      </c>
      <c r="BN35">
        <f>SUMIFS(T_Shipments[Confirmed_Qty],T_Shipments[RM_Code],$A35,T_Shipments[Effective_Week],65)</f>
        <v/>
      </c>
      <c r="BO35">
        <f>SUMIFS(T_Shipments[Confirmed_Qty],T_Shipments[RM_Code],$A35,T_Shipments[Effective_Week],66)</f>
        <v/>
      </c>
      <c r="BP35">
        <f>SUMIFS(T_Shipments[Confirmed_Qty],T_Shipments[RM_Code],$A35,T_Shipments[Effective_Week],67)</f>
        <v/>
      </c>
      <c r="BQ35">
        <f>SUMIFS(T_Shipments[Confirmed_Qty],T_Shipments[RM_Code],$A35,T_Shipments[Effective_Week],68)</f>
        <v/>
      </c>
      <c r="BR35">
        <f>SUMIFS(T_Shipments[Confirmed_Qty],T_Shipments[RM_Code],$A35,T_Shipments[Effective_Week],69)</f>
        <v/>
      </c>
      <c r="BS35">
        <f>SUMIFS(T_Shipments[Confirmed_Qty],T_Shipments[RM_Code],$A35,T_Shipments[Effective_Week],70)</f>
        <v/>
      </c>
      <c r="BT35">
        <f>SUMIFS(T_Shipments[Confirmed_Qty],T_Shipments[RM_Code],$A35,T_Shipments[Effective_Week],71)</f>
        <v/>
      </c>
      <c r="BU35">
        <f>SUMIFS(T_Shipments[Confirmed_Qty],T_Shipments[RM_Code],$A35,T_Shipments[Effective_Week],72)</f>
        <v/>
      </c>
      <c r="BV35">
        <f>SUMIFS(T_Shipments[Confirmed_Qty],T_Shipments[RM_Code],$A35,T_Shipments[Effective_Week],73)</f>
        <v/>
      </c>
      <c r="BW35">
        <f>SUMIFS(T_Shipments[Confirmed_Qty],T_Shipments[RM_Code],$A35,T_Shipments[Effective_Week],74)</f>
        <v/>
      </c>
      <c r="BX35">
        <f>SUMIFS(T_Shipments[Confirmed_Qty],T_Shipments[RM_Code],$A35,T_Shipments[Effective_Week],75)</f>
        <v/>
      </c>
      <c r="BY35">
        <f>SUMIFS(T_Shipments[Confirmed_Qty],T_Shipments[RM_Code],$A35,T_Shipments[Effective_Week],76)</f>
        <v/>
      </c>
      <c r="BZ35">
        <f>SUMIFS(T_Shipments[Confirmed_Qty],T_Shipments[RM_Code],$A35,T_Shipments[Effective_Week],77)</f>
        <v/>
      </c>
      <c r="CA35">
        <f>SUMIFS(T_Shipments[Confirmed_Qty],T_Shipments[RM_Code],$A35,T_Shipments[Effective_Week],78)</f>
        <v/>
      </c>
      <c r="CB35">
        <f>SUMIFS(T_Shipments[Confirmed_Qty],T_Shipments[RM_Code],$A35,T_Shipments[Effective_Week],79)</f>
        <v/>
      </c>
      <c r="CC35">
        <f>SUMIFS(T_Shipments[Confirmed_Qty],T_Shipments[RM_Code],$A35,T_Shipments[Effective_Week],80)</f>
        <v/>
      </c>
      <c r="CD35">
        <f>SUMIFS(T_Shipments[Confirmed_Qty],T_Shipments[RM_Code],$A35,T_Shipments[Effective_Week],81)</f>
        <v/>
      </c>
      <c r="CE35">
        <f>SUMIFS(T_Shipments[Confirmed_Qty],T_Shipments[RM_Code],$A35,T_Shipments[Effective_Week],82)</f>
        <v/>
      </c>
      <c r="CF35">
        <f>SUMIFS(T_Shipments[Confirmed_Qty],T_Shipments[RM_Code],$A35,T_Shipments[Effective_Week],83)</f>
        <v/>
      </c>
      <c r="CG35">
        <f>SUMIFS(T_Shipments[Confirmed_Qty],T_Shipments[RM_Code],$A35,T_Shipments[Effective_Week],84)</f>
        <v/>
      </c>
      <c r="CH35">
        <f>SUMIFS(T_Shipments[Confirmed_Qty],T_Shipments[RM_Code],$A35,T_Shipments[Effective_Week],85)</f>
        <v/>
      </c>
      <c r="CI35">
        <f>SUMIFS(T_Shipments[Confirmed_Qty],T_Shipments[RM_Code],$A35,T_Shipments[Effective_Week],86)</f>
        <v/>
      </c>
      <c r="CJ35">
        <f>SUMIFS(T_Shipments[Confirmed_Qty],T_Shipments[RM_Code],$A35,T_Shipments[Effective_Week],87)</f>
        <v/>
      </c>
      <c r="CK35">
        <f>SUMIFS(T_Shipments[Confirmed_Qty],T_Shipments[RM_Code],$A35,T_Shipments[Effective_Week],88)</f>
        <v/>
      </c>
      <c r="CL35">
        <f>SUMIFS(T_Shipments[Confirmed_Qty],T_Shipments[RM_Code],$A35,T_Shipments[Effective_Week],89)</f>
        <v/>
      </c>
      <c r="CM35">
        <f>SUMIFS(T_Shipments[Confirmed_Qty],T_Shipments[RM_Code],$A35,T_Shipments[Effective_Week],90)</f>
        <v/>
      </c>
      <c r="CN35">
        <f>SUMIFS(T_Shipments[Confirmed_Qty],T_Shipments[RM_Code],$A35,T_Shipments[Effective_Week],91)</f>
        <v/>
      </c>
      <c r="CO35">
        <f>SUMIFS(T_Shipments[Confirmed_Qty],T_Shipments[RM_Code],$A35,T_Shipments[Effective_Week],92)</f>
        <v/>
      </c>
      <c r="CP35">
        <f>SUMIFS(T_Shipments[Confirmed_Qty],T_Shipments[RM_Code],$A35,T_Shipments[Effective_Week],93)</f>
        <v/>
      </c>
      <c r="CQ35">
        <f>SUMIFS(T_Shipments[Confirmed_Qty],T_Shipments[RM_Code],$A35,T_Shipments[Effective_Week],94)</f>
        <v/>
      </c>
      <c r="CR35">
        <f>SUMIFS(T_Shipments[Confirmed_Qty],T_Shipments[RM_Code],$A35,T_Shipments[Effective_Week],95)</f>
        <v/>
      </c>
      <c r="CS35">
        <f>SUMIFS(T_Shipments[Confirmed_Qty],T_Shipments[RM_Code],$A35,T_Shipments[Effective_Week],96)</f>
        <v/>
      </c>
      <c r="CT35">
        <f>SUMIFS(T_Shipments[Confirmed_Qty],T_Shipments[RM_Code],$A35,T_Shipments[Effective_Week],97)</f>
        <v/>
      </c>
      <c r="CU35">
        <f>SUMIFS(T_Shipments[Confirmed_Qty],T_Shipments[RM_Code],$A35,T_Shipments[Effective_Week],98)</f>
        <v/>
      </c>
      <c r="CV35">
        <f>SUMIFS(T_Shipments[Confirmed_Qty],T_Shipments[RM_Code],$A35,T_Shipments[Effective_Week],99)</f>
        <v/>
      </c>
      <c r="CW35">
        <f>SUMIFS(T_Shipments[Confirmed_Qty],T_Shipments[RM_Code],$A35,T_Shipments[Effective_Week],100)</f>
        <v/>
      </c>
      <c r="CX35">
        <f>SUMIFS(T_Shipments[Confirmed_Qty],T_Shipments[RM_Code],$A35,T_Shipments[Effective_Week],101)</f>
        <v/>
      </c>
      <c r="CY35">
        <f>SUMIFS(T_Shipments[Confirmed_Qty],T_Shipments[RM_Code],$A35,T_Shipments[Effective_Week],102)</f>
        <v/>
      </c>
      <c r="CZ35">
        <f>SUMIFS(T_Shipments[Confirmed_Qty],T_Shipments[RM_Code],$A35,T_Shipments[Effective_Week],103)</f>
        <v/>
      </c>
      <c r="DA35">
        <f>SUMIFS(T_Shipments[Confirmed_Qty],T_Shipments[RM_Code],$A35,T_Shipments[Effective_Week],104)</f>
        <v/>
      </c>
    </row>
    <row r="36">
      <c r="A36" t="inlineStr">
        <is>
          <t>CHEM-1100</t>
        </is>
      </c>
      <c r="B36">
        <f>SUMIFS(T_Shipments[Confirmed_Qty],T_Shipments[RM_Code],$A36,T_Shipments[Effective_Week],1)</f>
        <v/>
      </c>
      <c r="C36">
        <f>SUMIFS(T_Shipments[Confirmed_Qty],T_Shipments[RM_Code],$A36,T_Shipments[Effective_Week],2)</f>
        <v/>
      </c>
      <c r="D36">
        <f>SUMIFS(T_Shipments[Confirmed_Qty],T_Shipments[RM_Code],$A36,T_Shipments[Effective_Week],3)</f>
        <v/>
      </c>
      <c r="E36">
        <f>SUMIFS(T_Shipments[Confirmed_Qty],T_Shipments[RM_Code],$A36,T_Shipments[Effective_Week],4)</f>
        <v/>
      </c>
      <c r="F36">
        <f>SUMIFS(T_Shipments[Confirmed_Qty],T_Shipments[RM_Code],$A36,T_Shipments[Effective_Week],5)</f>
        <v/>
      </c>
      <c r="G36">
        <f>SUMIFS(T_Shipments[Confirmed_Qty],T_Shipments[RM_Code],$A36,T_Shipments[Effective_Week],6)</f>
        <v/>
      </c>
      <c r="H36">
        <f>SUMIFS(T_Shipments[Confirmed_Qty],T_Shipments[RM_Code],$A36,T_Shipments[Effective_Week],7)</f>
        <v/>
      </c>
      <c r="I36">
        <f>SUMIFS(T_Shipments[Confirmed_Qty],T_Shipments[RM_Code],$A36,T_Shipments[Effective_Week],8)</f>
        <v/>
      </c>
      <c r="J36">
        <f>SUMIFS(T_Shipments[Confirmed_Qty],T_Shipments[RM_Code],$A36,T_Shipments[Effective_Week],9)</f>
        <v/>
      </c>
      <c r="K36">
        <f>SUMIFS(T_Shipments[Confirmed_Qty],T_Shipments[RM_Code],$A36,T_Shipments[Effective_Week],10)</f>
        <v/>
      </c>
      <c r="L36">
        <f>SUMIFS(T_Shipments[Confirmed_Qty],T_Shipments[RM_Code],$A36,T_Shipments[Effective_Week],11)</f>
        <v/>
      </c>
      <c r="M36">
        <f>SUMIFS(T_Shipments[Confirmed_Qty],T_Shipments[RM_Code],$A36,T_Shipments[Effective_Week],12)</f>
        <v/>
      </c>
      <c r="N36">
        <f>SUMIFS(T_Shipments[Confirmed_Qty],T_Shipments[RM_Code],$A36,T_Shipments[Effective_Week],13)</f>
        <v/>
      </c>
      <c r="O36">
        <f>SUMIFS(T_Shipments[Confirmed_Qty],T_Shipments[RM_Code],$A36,T_Shipments[Effective_Week],14)</f>
        <v/>
      </c>
      <c r="P36">
        <f>SUMIFS(T_Shipments[Confirmed_Qty],T_Shipments[RM_Code],$A36,T_Shipments[Effective_Week],15)</f>
        <v/>
      </c>
      <c r="Q36">
        <f>SUMIFS(T_Shipments[Confirmed_Qty],T_Shipments[RM_Code],$A36,T_Shipments[Effective_Week],16)</f>
        <v/>
      </c>
      <c r="R36">
        <f>SUMIFS(T_Shipments[Confirmed_Qty],T_Shipments[RM_Code],$A36,T_Shipments[Effective_Week],17)</f>
        <v/>
      </c>
      <c r="S36">
        <f>SUMIFS(T_Shipments[Confirmed_Qty],T_Shipments[RM_Code],$A36,T_Shipments[Effective_Week],18)</f>
        <v/>
      </c>
      <c r="T36">
        <f>SUMIFS(T_Shipments[Confirmed_Qty],T_Shipments[RM_Code],$A36,T_Shipments[Effective_Week],19)</f>
        <v/>
      </c>
      <c r="U36">
        <f>SUMIFS(T_Shipments[Confirmed_Qty],T_Shipments[RM_Code],$A36,T_Shipments[Effective_Week],20)</f>
        <v/>
      </c>
      <c r="V36">
        <f>SUMIFS(T_Shipments[Confirmed_Qty],T_Shipments[RM_Code],$A36,T_Shipments[Effective_Week],21)</f>
        <v/>
      </c>
      <c r="W36">
        <f>SUMIFS(T_Shipments[Confirmed_Qty],T_Shipments[RM_Code],$A36,T_Shipments[Effective_Week],22)</f>
        <v/>
      </c>
      <c r="X36">
        <f>SUMIFS(T_Shipments[Confirmed_Qty],T_Shipments[RM_Code],$A36,T_Shipments[Effective_Week],23)</f>
        <v/>
      </c>
      <c r="Y36">
        <f>SUMIFS(T_Shipments[Confirmed_Qty],T_Shipments[RM_Code],$A36,T_Shipments[Effective_Week],24)</f>
        <v/>
      </c>
      <c r="Z36">
        <f>SUMIFS(T_Shipments[Confirmed_Qty],T_Shipments[RM_Code],$A36,T_Shipments[Effective_Week],25)</f>
        <v/>
      </c>
      <c r="AA36">
        <f>SUMIFS(T_Shipments[Confirmed_Qty],T_Shipments[RM_Code],$A36,T_Shipments[Effective_Week],26)</f>
        <v/>
      </c>
      <c r="AB36">
        <f>SUMIFS(T_Shipments[Confirmed_Qty],T_Shipments[RM_Code],$A36,T_Shipments[Effective_Week],27)</f>
        <v/>
      </c>
      <c r="AC36">
        <f>SUMIFS(T_Shipments[Confirmed_Qty],T_Shipments[RM_Code],$A36,T_Shipments[Effective_Week],28)</f>
        <v/>
      </c>
      <c r="AD36">
        <f>SUMIFS(T_Shipments[Confirmed_Qty],T_Shipments[RM_Code],$A36,T_Shipments[Effective_Week],29)</f>
        <v/>
      </c>
      <c r="AE36">
        <f>SUMIFS(T_Shipments[Confirmed_Qty],T_Shipments[RM_Code],$A36,T_Shipments[Effective_Week],30)</f>
        <v/>
      </c>
      <c r="AF36">
        <f>SUMIFS(T_Shipments[Confirmed_Qty],T_Shipments[RM_Code],$A36,T_Shipments[Effective_Week],31)</f>
        <v/>
      </c>
      <c r="AG36">
        <f>SUMIFS(T_Shipments[Confirmed_Qty],T_Shipments[RM_Code],$A36,T_Shipments[Effective_Week],32)</f>
        <v/>
      </c>
      <c r="AH36">
        <f>SUMIFS(T_Shipments[Confirmed_Qty],T_Shipments[RM_Code],$A36,T_Shipments[Effective_Week],33)</f>
        <v/>
      </c>
      <c r="AI36">
        <f>SUMIFS(T_Shipments[Confirmed_Qty],T_Shipments[RM_Code],$A36,T_Shipments[Effective_Week],34)</f>
        <v/>
      </c>
      <c r="AJ36">
        <f>SUMIFS(T_Shipments[Confirmed_Qty],T_Shipments[RM_Code],$A36,T_Shipments[Effective_Week],35)</f>
        <v/>
      </c>
      <c r="AK36">
        <f>SUMIFS(T_Shipments[Confirmed_Qty],T_Shipments[RM_Code],$A36,T_Shipments[Effective_Week],36)</f>
        <v/>
      </c>
      <c r="AL36">
        <f>SUMIFS(T_Shipments[Confirmed_Qty],T_Shipments[RM_Code],$A36,T_Shipments[Effective_Week],37)</f>
        <v/>
      </c>
      <c r="AM36">
        <f>SUMIFS(T_Shipments[Confirmed_Qty],T_Shipments[RM_Code],$A36,T_Shipments[Effective_Week],38)</f>
        <v/>
      </c>
      <c r="AN36">
        <f>SUMIFS(T_Shipments[Confirmed_Qty],T_Shipments[RM_Code],$A36,T_Shipments[Effective_Week],39)</f>
        <v/>
      </c>
      <c r="AO36">
        <f>SUMIFS(T_Shipments[Confirmed_Qty],T_Shipments[RM_Code],$A36,T_Shipments[Effective_Week],40)</f>
        <v/>
      </c>
      <c r="AP36">
        <f>SUMIFS(T_Shipments[Confirmed_Qty],T_Shipments[RM_Code],$A36,T_Shipments[Effective_Week],41)</f>
        <v/>
      </c>
      <c r="AQ36">
        <f>SUMIFS(T_Shipments[Confirmed_Qty],T_Shipments[RM_Code],$A36,T_Shipments[Effective_Week],42)</f>
        <v/>
      </c>
      <c r="AR36">
        <f>SUMIFS(T_Shipments[Confirmed_Qty],T_Shipments[RM_Code],$A36,T_Shipments[Effective_Week],43)</f>
        <v/>
      </c>
      <c r="AS36">
        <f>SUMIFS(T_Shipments[Confirmed_Qty],T_Shipments[RM_Code],$A36,T_Shipments[Effective_Week],44)</f>
        <v/>
      </c>
      <c r="AT36">
        <f>SUMIFS(T_Shipments[Confirmed_Qty],T_Shipments[RM_Code],$A36,T_Shipments[Effective_Week],45)</f>
        <v/>
      </c>
      <c r="AU36">
        <f>SUMIFS(T_Shipments[Confirmed_Qty],T_Shipments[RM_Code],$A36,T_Shipments[Effective_Week],46)</f>
        <v/>
      </c>
      <c r="AV36">
        <f>SUMIFS(T_Shipments[Confirmed_Qty],T_Shipments[RM_Code],$A36,T_Shipments[Effective_Week],47)</f>
        <v/>
      </c>
      <c r="AW36">
        <f>SUMIFS(T_Shipments[Confirmed_Qty],T_Shipments[RM_Code],$A36,T_Shipments[Effective_Week],48)</f>
        <v/>
      </c>
      <c r="AX36">
        <f>SUMIFS(T_Shipments[Confirmed_Qty],T_Shipments[RM_Code],$A36,T_Shipments[Effective_Week],49)</f>
        <v/>
      </c>
      <c r="AY36">
        <f>SUMIFS(T_Shipments[Confirmed_Qty],T_Shipments[RM_Code],$A36,T_Shipments[Effective_Week],50)</f>
        <v/>
      </c>
      <c r="AZ36">
        <f>SUMIFS(T_Shipments[Confirmed_Qty],T_Shipments[RM_Code],$A36,T_Shipments[Effective_Week],51)</f>
        <v/>
      </c>
      <c r="BA36">
        <f>SUMIFS(T_Shipments[Confirmed_Qty],T_Shipments[RM_Code],$A36,T_Shipments[Effective_Week],52)</f>
        <v/>
      </c>
      <c r="BB36">
        <f>SUMIFS(T_Shipments[Confirmed_Qty],T_Shipments[RM_Code],$A36,T_Shipments[Effective_Week],53)</f>
        <v/>
      </c>
      <c r="BC36">
        <f>SUMIFS(T_Shipments[Confirmed_Qty],T_Shipments[RM_Code],$A36,T_Shipments[Effective_Week],54)</f>
        <v/>
      </c>
      <c r="BD36">
        <f>SUMIFS(T_Shipments[Confirmed_Qty],T_Shipments[RM_Code],$A36,T_Shipments[Effective_Week],55)</f>
        <v/>
      </c>
      <c r="BE36">
        <f>SUMIFS(T_Shipments[Confirmed_Qty],T_Shipments[RM_Code],$A36,T_Shipments[Effective_Week],56)</f>
        <v/>
      </c>
      <c r="BF36">
        <f>SUMIFS(T_Shipments[Confirmed_Qty],T_Shipments[RM_Code],$A36,T_Shipments[Effective_Week],57)</f>
        <v/>
      </c>
      <c r="BG36">
        <f>SUMIFS(T_Shipments[Confirmed_Qty],T_Shipments[RM_Code],$A36,T_Shipments[Effective_Week],58)</f>
        <v/>
      </c>
      <c r="BH36">
        <f>SUMIFS(T_Shipments[Confirmed_Qty],T_Shipments[RM_Code],$A36,T_Shipments[Effective_Week],59)</f>
        <v/>
      </c>
      <c r="BI36">
        <f>SUMIFS(T_Shipments[Confirmed_Qty],T_Shipments[RM_Code],$A36,T_Shipments[Effective_Week],60)</f>
        <v/>
      </c>
      <c r="BJ36">
        <f>SUMIFS(T_Shipments[Confirmed_Qty],T_Shipments[RM_Code],$A36,T_Shipments[Effective_Week],61)</f>
        <v/>
      </c>
      <c r="BK36">
        <f>SUMIFS(T_Shipments[Confirmed_Qty],T_Shipments[RM_Code],$A36,T_Shipments[Effective_Week],62)</f>
        <v/>
      </c>
      <c r="BL36">
        <f>SUMIFS(T_Shipments[Confirmed_Qty],T_Shipments[RM_Code],$A36,T_Shipments[Effective_Week],63)</f>
        <v/>
      </c>
      <c r="BM36">
        <f>SUMIFS(T_Shipments[Confirmed_Qty],T_Shipments[RM_Code],$A36,T_Shipments[Effective_Week],64)</f>
        <v/>
      </c>
      <c r="BN36">
        <f>SUMIFS(T_Shipments[Confirmed_Qty],T_Shipments[RM_Code],$A36,T_Shipments[Effective_Week],65)</f>
        <v/>
      </c>
      <c r="BO36">
        <f>SUMIFS(T_Shipments[Confirmed_Qty],T_Shipments[RM_Code],$A36,T_Shipments[Effective_Week],66)</f>
        <v/>
      </c>
      <c r="BP36">
        <f>SUMIFS(T_Shipments[Confirmed_Qty],T_Shipments[RM_Code],$A36,T_Shipments[Effective_Week],67)</f>
        <v/>
      </c>
      <c r="BQ36">
        <f>SUMIFS(T_Shipments[Confirmed_Qty],T_Shipments[RM_Code],$A36,T_Shipments[Effective_Week],68)</f>
        <v/>
      </c>
      <c r="BR36">
        <f>SUMIFS(T_Shipments[Confirmed_Qty],T_Shipments[RM_Code],$A36,T_Shipments[Effective_Week],69)</f>
        <v/>
      </c>
      <c r="BS36">
        <f>SUMIFS(T_Shipments[Confirmed_Qty],T_Shipments[RM_Code],$A36,T_Shipments[Effective_Week],70)</f>
        <v/>
      </c>
      <c r="BT36">
        <f>SUMIFS(T_Shipments[Confirmed_Qty],T_Shipments[RM_Code],$A36,T_Shipments[Effective_Week],71)</f>
        <v/>
      </c>
      <c r="BU36">
        <f>SUMIFS(T_Shipments[Confirmed_Qty],T_Shipments[RM_Code],$A36,T_Shipments[Effective_Week],72)</f>
        <v/>
      </c>
      <c r="BV36">
        <f>SUMIFS(T_Shipments[Confirmed_Qty],T_Shipments[RM_Code],$A36,T_Shipments[Effective_Week],73)</f>
        <v/>
      </c>
      <c r="BW36">
        <f>SUMIFS(T_Shipments[Confirmed_Qty],T_Shipments[RM_Code],$A36,T_Shipments[Effective_Week],74)</f>
        <v/>
      </c>
      <c r="BX36">
        <f>SUMIFS(T_Shipments[Confirmed_Qty],T_Shipments[RM_Code],$A36,T_Shipments[Effective_Week],75)</f>
        <v/>
      </c>
      <c r="BY36">
        <f>SUMIFS(T_Shipments[Confirmed_Qty],T_Shipments[RM_Code],$A36,T_Shipments[Effective_Week],76)</f>
        <v/>
      </c>
      <c r="BZ36">
        <f>SUMIFS(T_Shipments[Confirmed_Qty],T_Shipments[RM_Code],$A36,T_Shipments[Effective_Week],77)</f>
        <v/>
      </c>
      <c r="CA36">
        <f>SUMIFS(T_Shipments[Confirmed_Qty],T_Shipments[RM_Code],$A36,T_Shipments[Effective_Week],78)</f>
        <v/>
      </c>
      <c r="CB36">
        <f>SUMIFS(T_Shipments[Confirmed_Qty],T_Shipments[RM_Code],$A36,T_Shipments[Effective_Week],79)</f>
        <v/>
      </c>
      <c r="CC36">
        <f>SUMIFS(T_Shipments[Confirmed_Qty],T_Shipments[RM_Code],$A36,T_Shipments[Effective_Week],80)</f>
        <v/>
      </c>
      <c r="CD36">
        <f>SUMIFS(T_Shipments[Confirmed_Qty],T_Shipments[RM_Code],$A36,T_Shipments[Effective_Week],81)</f>
        <v/>
      </c>
      <c r="CE36">
        <f>SUMIFS(T_Shipments[Confirmed_Qty],T_Shipments[RM_Code],$A36,T_Shipments[Effective_Week],82)</f>
        <v/>
      </c>
      <c r="CF36">
        <f>SUMIFS(T_Shipments[Confirmed_Qty],T_Shipments[RM_Code],$A36,T_Shipments[Effective_Week],83)</f>
        <v/>
      </c>
      <c r="CG36">
        <f>SUMIFS(T_Shipments[Confirmed_Qty],T_Shipments[RM_Code],$A36,T_Shipments[Effective_Week],84)</f>
        <v/>
      </c>
      <c r="CH36">
        <f>SUMIFS(T_Shipments[Confirmed_Qty],T_Shipments[RM_Code],$A36,T_Shipments[Effective_Week],85)</f>
        <v/>
      </c>
      <c r="CI36">
        <f>SUMIFS(T_Shipments[Confirmed_Qty],T_Shipments[RM_Code],$A36,T_Shipments[Effective_Week],86)</f>
        <v/>
      </c>
      <c r="CJ36">
        <f>SUMIFS(T_Shipments[Confirmed_Qty],T_Shipments[RM_Code],$A36,T_Shipments[Effective_Week],87)</f>
        <v/>
      </c>
      <c r="CK36">
        <f>SUMIFS(T_Shipments[Confirmed_Qty],T_Shipments[RM_Code],$A36,T_Shipments[Effective_Week],88)</f>
        <v/>
      </c>
      <c r="CL36">
        <f>SUMIFS(T_Shipments[Confirmed_Qty],T_Shipments[RM_Code],$A36,T_Shipments[Effective_Week],89)</f>
        <v/>
      </c>
      <c r="CM36">
        <f>SUMIFS(T_Shipments[Confirmed_Qty],T_Shipments[RM_Code],$A36,T_Shipments[Effective_Week],90)</f>
        <v/>
      </c>
      <c r="CN36">
        <f>SUMIFS(T_Shipments[Confirmed_Qty],T_Shipments[RM_Code],$A36,T_Shipments[Effective_Week],91)</f>
        <v/>
      </c>
      <c r="CO36">
        <f>SUMIFS(T_Shipments[Confirmed_Qty],T_Shipments[RM_Code],$A36,T_Shipments[Effective_Week],92)</f>
        <v/>
      </c>
      <c r="CP36">
        <f>SUMIFS(T_Shipments[Confirmed_Qty],T_Shipments[RM_Code],$A36,T_Shipments[Effective_Week],93)</f>
        <v/>
      </c>
      <c r="CQ36">
        <f>SUMIFS(T_Shipments[Confirmed_Qty],T_Shipments[RM_Code],$A36,T_Shipments[Effective_Week],94)</f>
        <v/>
      </c>
      <c r="CR36">
        <f>SUMIFS(T_Shipments[Confirmed_Qty],T_Shipments[RM_Code],$A36,T_Shipments[Effective_Week],95)</f>
        <v/>
      </c>
      <c r="CS36">
        <f>SUMIFS(T_Shipments[Confirmed_Qty],T_Shipments[RM_Code],$A36,T_Shipments[Effective_Week],96)</f>
        <v/>
      </c>
      <c r="CT36">
        <f>SUMIFS(T_Shipments[Confirmed_Qty],T_Shipments[RM_Code],$A36,T_Shipments[Effective_Week],97)</f>
        <v/>
      </c>
      <c r="CU36">
        <f>SUMIFS(T_Shipments[Confirmed_Qty],T_Shipments[RM_Code],$A36,T_Shipments[Effective_Week],98)</f>
        <v/>
      </c>
      <c r="CV36">
        <f>SUMIFS(T_Shipments[Confirmed_Qty],T_Shipments[RM_Code],$A36,T_Shipments[Effective_Week],99)</f>
        <v/>
      </c>
      <c r="CW36">
        <f>SUMIFS(T_Shipments[Confirmed_Qty],T_Shipments[RM_Code],$A36,T_Shipments[Effective_Week],100)</f>
        <v/>
      </c>
      <c r="CX36">
        <f>SUMIFS(T_Shipments[Confirmed_Qty],T_Shipments[RM_Code],$A36,T_Shipments[Effective_Week],101)</f>
        <v/>
      </c>
      <c r="CY36">
        <f>SUMIFS(T_Shipments[Confirmed_Qty],T_Shipments[RM_Code],$A36,T_Shipments[Effective_Week],102)</f>
        <v/>
      </c>
      <c r="CZ36">
        <f>SUMIFS(T_Shipments[Confirmed_Qty],T_Shipments[RM_Code],$A36,T_Shipments[Effective_Week],103)</f>
        <v/>
      </c>
      <c r="DA36">
        <f>SUMIFS(T_Shipments[Confirmed_Qty],T_Shipments[RM_Code],$A36,T_Shipments[Effective_Week],104)</f>
        <v/>
      </c>
    </row>
    <row r="37">
      <c r="A37" t="inlineStr">
        <is>
          <t>CHEM-1680</t>
        </is>
      </c>
      <c r="B37">
        <f>SUMIFS(T_Shipments[Confirmed_Qty],T_Shipments[RM_Code],$A37,T_Shipments[Effective_Week],1)</f>
        <v/>
      </c>
      <c r="C37">
        <f>SUMIFS(T_Shipments[Confirmed_Qty],T_Shipments[RM_Code],$A37,T_Shipments[Effective_Week],2)</f>
        <v/>
      </c>
      <c r="D37">
        <f>SUMIFS(T_Shipments[Confirmed_Qty],T_Shipments[RM_Code],$A37,T_Shipments[Effective_Week],3)</f>
        <v/>
      </c>
      <c r="E37">
        <f>SUMIFS(T_Shipments[Confirmed_Qty],T_Shipments[RM_Code],$A37,T_Shipments[Effective_Week],4)</f>
        <v/>
      </c>
      <c r="F37">
        <f>SUMIFS(T_Shipments[Confirmed_Qty],T_Shipments[RM_Code],$A37,T_Shipments[Effective_Week],5)</f>
        <v/>
      </c>
      <c r="G37">
        <f>SUMIFS(T_Shipments[Confirmed_Qty],T_Shipments[RM_Code],$A37,T_Shipments[Effective_Week],6)</f>
        <v/>
      </c>
      <c r="H37">
        <f>SUMIFS(T_Shipments[Confirmed_Qty],T_Shipments[RM_Code],$A37,T_Shipments[Effective_Week],7)</f>
        <v/>
      </c>
      <c r="I37">
        <f>SUMIFS(T_Shipments[Confirmed_Qty],T_Shipments[RM_Code],$A37,T_Shipments[Effective_Week],8)</f>
        <v/>
      </c>
      <c r="J37">
        <f>SUMIFS(T_Shipments[Confirmed_Qty],T_Shipments[RM_Code],$A37,T_Shipments[Effective_Week],9)</f>
        <v/>
      </c>
      <c r="K37">
        <f>SUMIFS(T_Shipments[Confirmed_Qty],T_Shipments[RM_Code],$A37,T_Shipments[Effective_Week],10)</f>
        <v/>
      </c>
      <c r="L37">
        <f>SUMIFS(T_Shipments[Confirmed_Qty],T_Shipments[RM_Code],$A37,T_Shipments[Effective_Week],11)</f>
        <v/>
      </c>
      <c r="M37">
        <f>SUMIFS(T_Shipments[Confirmed_Qty],T_Shipments[RM_Code],$A37,T_Shipments[Effective_Week],12)</f>
        <v/>
      </c>
      <c r="N37">
        <f>SUMIFS(T_Shipments[Confirmed_Qty],T_Shipments[RM_Code],$A37,T_Shipments[Effective_Week],13)</f>
        <v/>
      </c>
      <c r="O37">
        <f>SUMIFS(T_Shipments[Confirmed_Qty],T_Shipments[RM_Code],$A37,T_Shipments[Effective_Week],14)</f>
        <v/>
      </c>
      <c r="P37">
        <f>SUMIFS(T_Shipments[Confirmed_Qty],T_Shipments[RM_Code],$A37,T_Shipments[Effective_Week],15)</f>
        <v/>
      </c>
      <c r="Q37">
        <f>SUMIFS(T_Shipments[Confirmed_Qty],T_Shipments[RM_Code],$A37,T_Shipments[Effective_Week],16)</f>
        <v/>
      </c>
      <c r="R37">
        <f>SUMIFS(T_Shipments[Confirmed_Qty],T_Shipments[RM_Code],$A37,T_Shipments[Effective_Week],17)</f>
        <v/>
      </c>
      <c r="S37">
        <f>SUMIFS(T_Shipments[Confirmed_Qty],T_Shipments[RM_Code],$A37,T_Shipments[Effective_Week],18)</f>
        <v/>
      </c>
      <c r="T37">
        <f>SUMIFS(T_Shipments[Confirmed_Qty],T_Shipments[RM_Code],$A37,T_Shipments[Effective_Week],19)</f>
        <v/>
      </c>
      <c r="U37">
        <f>SUMIFS(T_Shipments[Confirmed_Qty],T_Shipments[RM_Code],$A37,T_Shipments[Effective_Week],20)</f>
        <v/>
      </c>
      <c r="V37">
        <f>SUMIFS(T_Shipments[Confirmed_Qty],T_Shipments[RM_Code],$A37,T_Shipments[Effective_Week],21)</f>
        <v/>
      </c>
      <c r="W37">
        <f>SUMIFS(T_Shipments[Confirmed_Qty],T_Shipments[RM_Code],$A37,T_Shipments[Effective_Week],22)</f>
        <v/>
      </c>
      <c r="X37">
        <f>SUMIFS(T_Shipments[Confirmed_Qty],T_Shipments[RM_Code],$A37,T_Shipments[Effective_Week],23)</f>
        <v/>
      </c>
      <c r="Y37">
        <f>SUMIFS(T_Shipments[Confirmed_Qty],T_Shipments[RM_Code],$A37,T_Shipments[Effective_Week],24)</f>
        <v/>
      </c>
      <c r="Z37">
        <f>SUMIFS(T_Shipments[Confirmed_Qty],T_Shipments[RM_Code],$A37,T_Shipments[Effective_Week],25)</f>
        <v/>
      </c>
      <c r="AA37">
        <f>SUMIFS(T_Shipments[Confirmed_Qty],T_Shipments[RM_Code],$A37,T_Shipments[Effective_Week],26)</f>
        <v/>
      </c>
      <c r="AB37">
        <f>SUMIFS(T_Shipments[Confirmed_Qty],T_Shipments[RM_Code],$A37,T_Shipments[Effective_Week],27)</f>
        <v/>
      </c>
      <c r="AC37">
        <f>SUMIFS(T_Shipments[Confirmed_Qty],T_Shipments[RM_Code],$A37,T_Shipments[Effective_Week],28)</f>
        <v/>
      </c>
      <c r="AD37">
        <f>SUMIFS(T_Shipments[Confirmed_Qty],T_Shipments[RM_Code],$A37,T_Shipments[Effective_Week],29)</f>
        <v/>
      </c>
      <c r="AE37">
        <f>SUMIFS(T_Shipments[Confirmed_Qty],T_Shipments[RM_Code],$A37,T_Shipments[Effective_Week],30)</f>
        <v/>
      </c>
      <c r="AF37">
        <f>SUMIFS(T_Shipments[Confirmed_Qty],T_Shipments[RM_Code],$A37,T_Shipments[Effective_Week],31)</f>
        <v/>
      </c>
      <c r="AG37">
        <f>SUMIFS(T_Shipments[Confirmed_Qty],T_Shipments[RM_Code],$A37,T_Shipments[Effective_Week],32)</f>
        <v/>
      </c>
      <c r="AH37">
        <f>SUMIFS(T_Shipments[Confirmed_Qty],T_Shipments[RM_Code],$A37,T_Shipments[Effective_Week],33)</f>
        <v/>
      </c>
      <c r="AI37">
        <f>SUMIFS(T_Shipments[Confirmed_Qty],T_Shipments[RM_Code],$A37,T_Shipments[Effective_Week],34)</f>
        <v/>
      </c>
      <c r="AJ37">
        <f>SUMIFS(T_Shipments[Confirmed_Qty],T_Shipments[RM_Code],$A37,T_Shipments[Effective_Week],35)</f>
        <v/>
      </c>
      <c r="AK37">
        <f>SUMIFS(T_Shipments[Confirmed_Qty],T_Shipments[RM_Code],$A37,T_Shipments[Effective_Week],36)</f>
        <v/>
      </c>
      <c r="AL37">
        <f>SUMIFS(T_Shipments[Confirmed_Qty],T_Shipments[RM_Code],$A37,T_Shipments[Effective_Week],37)</f>
        <v/>
      </c>
      <c r="AM37">
        <f>SUMIFS(T_Shipments[Confirmed_Qty],T_Shipments[RM_Code],$A37,T_Shipments[Effective_Week],38)</f>
        <v/>
      </c>
      <c r="AN37">
        <f>SUMIFS(T_Shipments[Confirmed_Qty],T_Shipments[RM_Code],$A37,T_Shipments[Effective_Week],39)</f>
        <v/>
      </c>
      <c r="AO37">
        <f>SUMIFS(T_Shipments[Confirmed_Qty],T_Shipments[RM_Code],$A37,T_Shipments[Effective_Week],40)</f>
        <v/>
      </c>
      <c r="AP37">
        <f>SUMIFS(T_Shipments[Confirmed_Qty],T_Shipments[RM_Code],$A37,T_Shipments[Effective_Week],41)</f>
        <v/>
      </c>
      <c r="AQ37">
        <f>SUMIFS(T_Shipments[Confirmed_Qty],T_Shipments[RM_Code],$A37,T_Shipments[Effective_Week],42)</f>
        <v/>
      </c>
      <c r="AR37">
        <f>SUMIFS(T_Shipments[Confirmed_Qty],T_Shipments[RM_Code],$A37,T_Shipments[Effective_Week],43)</f>
        <v/>
      </c>
      <c r="AS37">
        <f>SUMIFS(T_Shipments[Confirmed_Qty],T_Shipments[RM_Code],$A37,T_Shipments[Effective_Week],44)</f>
        <v/>
      </c>
      <c r="AT37">
        <f>SUMIFS(T_Shipments[Confirmed_Qty],T_Shipments[RM_Code],$A37,T_Shipments[Effective_Week],45)</f>
        <v/>
      </c>
      <c r="AU37">
        <f>SUMIFS(T_Shipments[Confirmed_Qty],T_Shipments[RM_Code],$A37,T_Shipments[Effective_Week],46)</f>
        <v/>
      </c>
      <c r="AV37">
        <f>SUMIFS(T_Shipments[Confirmed_Qty],T_Shipments[RM_Code],$A37,T_Shipments[Effective_Week],47)</f>
        <v/>
      </c>
      <c r="AW37">
        <f>SUMIFS(T_Shipments[Confirmed_Qty],T_Shipments[RM_Code],$A37,T_Shipments[Effective_Week],48)</f>
        <v/>
      </c>
      <c r="AX37">
        <f>SUMIFS(T_Shipments[Confirmed_Qty],T_Shipments[RM_Code],$A37,T_Shipments[Effective_Week],49)</f>
        <v/>
      </c>
      <c r="AY37">
        <f>SUMIFS(T_Shipments[Confirmed_Qty],T_Shipments[RM_Code],$A37,T_Shipments[Effective_Week],50)</f>
        <v/>
      </c>
      <c r="AZ37">
        <f>SUMIFS(T_Shipments[Confirmed_Qty],T_Shipments[RM_Code],$A37,T_Shipments[Effective_Week],51)</f>
        <v/>
      </c>
      <c r="BA37">
        <f>SUMIFS(T_Shipments[Confirmed_Qty],T_Shipments[RM_Code],$A37,T_Shipments[Effective_Week],52)</f>
        <v/>
      </c>
      <c r="BB37">
        <f>SUMIFS(T_Shipments[Confirmed_Qty],T_Shipments[RM_Code],$A37,T_Shipments[Effective_Week],53)</f>
        <v/>
      </c>
      <c r="BC37">
        <f>SUMIFS(T_Shipments[Confirmed_Qty],T_Shipments[RM_Code],$A37,T_Shipments[Effective_Week],54)</f>
        <v/>
      </c>
      <c r="BD37">
        <f>SUMIFS(T_Shipments[Confirmed_Qty],T_Shipments[RM_Code],$A37,T_Shipments[Effective_Week],55)</f>
        <v/>
      </c>
      <c r="BE37">
        <f>SUMIFS(T_Shipments[Confirmed_Qty],T_Shipments[RM_Code],$A37,T_Shipments[Effective_Week],56)</f>
        <v/>
      </c>
      <c r="BF37">
        <f>SUMIFS(T_Shipments[Confirmed_Qty],T_Shipments[RM_Code],$A37,T_Shipments[Effective_Week],57)</f>
        <v/>
      </c>
      <c r="BG37">
        <f>SUMIFS(T_Shipments[Confirmed_Qty],T_Shipments[RM_Code],$A37,T_Shipments[Effective_Week],58)</f>
        <v/>
      </c>
      <c r="BH37">
        <f>SUMIFS(T_Shipments[Confirmed_Qty],T_Shipments[RM_Code],$A37,T_Shipments[Effective_Week],59)</f>
        <v/>
      </c>
      <c r="BI37">
        <f>SUMIFS(T_Shipments[Confirmed_Qty],T_Shipments[RM_Code],$A37,T_Shipments[Effective_Week],60)</f>
        <v/>
      </c>
      <c r="BJ37">
        <f>SUMIFS(T_Shipments[Confirmed_Qty],T_Shipments[RM_Code],$A37,T_Shipments[Effective_Week],61)</f>
        <v/>
      </c>
      <c r="BK37">
        <f>SUMIFS(T_Shipments[Confirmed_Qty],T_Shipments[RM_Code],$A37,T_Shipments[Effective_Week],62)</f>
        <v/>
      </c>
      <c r="BL37">
        <f>SUMIFS(T_Shipments[Confirmed_Qty],T_Shipments[RM_Code],$A37,T_Shipments[Effective_Week],63)</f>
        <v/>
      </c>
      <c r="BM37">
        <f>SUMIFS(T_Shipments[Confirmed_Qty],T_Shipments[RM_Code],$A37,T_Shipments[Effective_Week],64)</f>
        <v/>
      </c>
      <c r="BN37">
        <f>SUMIFS(T_Shipments[Confirmed_Qty],T_Shipments[RM_Code],$A37,T_Shipments[Effective_Week],65)</f>
        <v/>
      </c>
      <c r="BO37">
        <f>SUMIFS(T_Shipments[Confirmed_Qty],T_Shipments[RM_Code],$A37,T_Shipments[Effective_Week],66)</f>
        <v/>
      </c>
      <c r="BP37">
        <f>SUMIFS(T_Shipments[Confirmed_Qty],T_Shipments[RM_Code],$A37,T_Shipments[Effective_Week],67)</f>
        <v/>
      </c>
      <c r="BQ37">
        <f>SUMIFS(T_Shipments[Confirmed_Qty],T_Shipments[RM_Code],$A37,T_Shipments[Effective_Week],68)</f>
        <v/>
      </c>
      <c r="BR37">
        <f>SUMIFS(T_Shipments[Confirmed_Qty],T_Shipments[RM_Code],$A37,T_Shipments[Effective_Week],69)</f>
        <v/>
      </c>
      <c r="BS37">
        <f>SUMIFS(T_Shipments[Confirmed_Qty],T_Shipments[RM_Code],$A37,T_Shipments[Effective_Week],70)</f>
        <v/>
      </c>
      <c r="BT37">
        <f>SUMIFS(T_Shipments[Confirmed_Qty],T_Shipments[RM_Code],$A37,T_Shipments[Effective_Week],71)</f>
        <v/>
      </c>
      <c r="BU37">
        <f>SUMIFS(T_Shipments[Confirmed_Qty],T_Shipments[RM_Code],$A37,T_Shipments[Effective_Week],72)</f>
        <v/>
      </c>
      <c r="BV37">
        <f>SUMIFS(T_Shipments[Confirmed_Qty],T_Shipments[RM_Code],$A37,T_Shipments[Effective_Week],73)</f>
        <v/>
      </c>
      <c r="BW37">
        <f>SUMIFS(T_Shipments[Confirmed_Qty],T_Shipments[RM_Code],$A37,T_Shipments[Effective_Week],74)</f>
        <v/>
      </c>
      <c r="BX37">
        <f>SUMIFS(T_Shipments[Confirmed_Qty],T_Shipments[RM_Code],$A37,T_Shipments[Effective_Week],75)</f>
        <v/>
      </c>
      <c r="BY37">
        <f>SUMIFS(T_Shipments[Confirmed_Qty],T_Shipments[RM_Code],$A37,T_Shipments[Effective_Week],76)</f>
        <v/>
      </c>
      <c r="BZ37">
        <f>SUMIFS(T_Shipments[Confirmed_Qty],T_Shipments[RM_Code],$A37,T_Shipments[Effective_Week],77)</f>
        <v/>
      </c>
      <c r="CA37">
        <f>SUMIFS(T_Shipments[Confirmed_Qty],T_Shipments[RM_Code],$A37,T_Shipments[Effective_Week],78)</f>
        <v/>
      </c>
      <c r="CB37">
        <f>SUMIFS(T_Shipments[Confirmed_Qty],T_Shipments[RM_Code],$A37,T_Shipments[Effective_Week],79)</f>
        <v/>
      </c>
      <c r="CC37">
        <f>SUMIFS(T_Shipments[Confirmed_Qty],T_Shipments[RM_Code],$A37,T_Shipments[Effective_Week],80)</f>
        <v/>
      </c>
      <c r="CD37">
        <f>SUMIFS(T_Shipments[Confirmed_Qty],T_Shipments[RM_Code],$A37,T_Shipments[Effective_Week],81)</f>
        <v/>
      </c>
      <c r="CE37">
        <f>SUMIFS(T_Shipments[Confirmed_Qty],T_Shipments[RM_Code],$A37,T_Shipments[Effective_Week],82)</f>
        <v/>
      </c>
      <c r="CF37">
        <f>SUMIFS(T_Shipments[Confirmed_Qty],T_Shipments[RM_Code],$A37,T_Shipments[Effective_Week],83)</f>
        <v/>
      </c>
      <c r="CG37">
        <f>SUMIFS(T_Shipments[Confirmed_Qty],T_Shipments[RM_Code],$A37,T_Shipments[Effective_Week],84)</f>
        <v/>
      </c>
      <c r="CH37">
        <f>SUMIFS(T_Shipments[Confirmed_Qty],T_Shipments[RM_Code],$A37,T_Shipments[Effective_Week],85)</f>
        <v/>
      </c>
      <c r="CI37">
        <f>SUMIFS(T_Shipments[Confirmed_Qty],T_Shipments[RM_Code],$A37,T_Shipments[Effective_Week],86)</f>
        <v/>
      </c>
      <c r="CJ37">
        <f>SUMIFS(T_Shipments[Confirmed_Qty],T_Shipments[RM_Code],$A37,T_Shipments[Effective_Week],87)</f>
        <v/>
      </c>
      <c r="CK37">
        <f>SUMIFS(T_Shipments[Confirmed_Qty],T_Shipments[RM_Code],$A37,T_Shipments[Effective_Week],88)</f>
        <v/>
      </c>
      <c r="CL37">
        <f>SUMIFS(T_Shipments[Confirmed_Qty],T_Shipments[RM_Code],$A37,T_Shipments[Effective_Week],89)</f>
        <v/>
      </c>
      <c r="CM37">
        <f>SUMIFS(T_Shipments[Confirmed_Qty],T_Shipments[RM_Code],$A37,T_Shipments[Effective_Week],90)</f>
        <v/>
      </c>
      <c r="CN37">
        <f>SUMIFS(T_Shipments[Confirmed_Qty],T_Shipments[RM_Code],$A37,T_Shipments[Effective_Week],91)</f>
        <v/>
      </c>
      <c r="CO37">
        <f>SUMIFS(T_Shipments[Confirmed_Qty],T_Shipments[RM_Code],$A37,T_Shipments[Effective_Week],92)</f>
        <v/>
      </c>
      <c r="CP37">
        <f>SUMIFS(T_Shipments[Confirmed_Qty],T_Shipments[RM_Code],$A37,T_Shipments[Effective_Week],93)</f>
        <v/>
      </c>
      <c r="CQ37">
        <f>SUMIFS(T_Shipments[Confirmed_Qty],T_Shipments[RM_Code],$A37,T_Shipments[Effective_Week],94)</f>
        <v/>
      </c>
      <c r="CR37">
        <f>SUMIFS(T_Shipments[Confirmed_Qty],T_Shipments[RM_Code],$A37,T_Shipments[Effective_Week],95)</f>
        <v/>
      </c>
      <c r="CS37">
        <f>SUMIFS(T_Shipments[Confirmed_Qty],T_Shipments[RM_Code],$A37,T_Shipments[Effective_Week],96)</f>
        <v/>
      </c>
      <c r="CT37">
        <f>SUMIFS(T_Shipments[Confirmed_Qty],T_Shipments[RM_Code],$A37,T_Shipments[Effective_Week],97)</f>
        <v/>
      </c>
      <c r="CU37">
        <f>SUMIFS(T_Shipments[Confirmed_Qty],T_Shipments[RM_Code],$A37,T_Shipments[Effective_Week],98)</f>
        <v/>
      </c>
      <c r="CV37">
        <f>SUMIFS(T_Shipments[Confirmed_Qty],T_Shipments[RM_Code],$A37,T_Shipments[Effective_Week],99)</f>
        <v/>
      </c>
      <c r="CW37">
        <f>SUMIFS(T_Shipments[Confirmed_Qty],T_Shipments[RM_Code],$A37,T_Shipments[Effective_Week],100)</f>
        <v/>
      </c>
      <c r="CX37">
        <f>SUMIFS(T_Shipments[Confirmed_Qty],T_Shipments[RM_Code],$A37,T_Shipments[Effective_Week],101)</f>
        <v/>
      </c>
      <c r="CY37">
        <f>SUMIFS(T_Shipments[Confirmed_Qty],T_Shipments[RM_Code],$A37,T_Shipments[Effective_Week],102)</f>
        <v/>
      </c>
      <c r="CZ37">
        <f>SUMIFS(T_Shipments[Confirmed_Qty],T_Shipments[RM_Code],$A37,T_Shipments[Effective_Week],103)</f>
        <v/>
      </c>
      <c r="DA37">
        <f>SUMIFS(T_Shipments[Confirmed_Qty],T_Shipments[RM_Code],$A37,T_Shipments[Effective_Week],104)</f>
        <v/>
      </c>
    </row>
    <row r="38">
      <c r="A38" t="inlineStr">
        <is>
          <t>CHEM-1820</t>
        </is>
      </c>
      <c r="B38">
        <f>SUMIFS(T_Shipments[Confirmed_Qty],T_Shipments[RM_Code],$A38,T_Shipments[Effective_Week],1)</f>
        <v/>
      </c>
      <c r="C38">
        <f>SUMIFS(T_Shipments[Confirmed_Qty],T_Shipments[RM_Code],$A38,T_Shipments[Effective_Week],2)</f>
        <v/>
      </c>
      <c r="D38">
        <f>SUMIFS(T_Shipments[Confirmed_Qty],T_Shipments[RM_Code],$A38,T_Shipments[Effective_Week],3)</f>
        <v/>
      </c>
      <c r="E38">
        <f>SUMIFS(T_Shipments[Confirmed_Qty],T_Shipments[RM_Code],$A38,T_Shipments[Effective_Week],4)</f>
        <v/>
      </c>
      <c r="F38">
        <f>SUMIFS(T_Shipments[Confirmed_Qty],T_Shipments[RM_Code],$A38,T_Shipments[Effective_Week],5)</f>
        <v/>
      </c>
      <c r="G38">
        <f>SUMIFS(T_Shipments[Confirmed_Qty],T_Shipments[RM_Code],$A38,T_Shipments[Effective_Week],6)</f>
        <v/>
      </c>
      <c r="H38">
        <f>SUMIFS(T_Shipments[Confirmed_Qty],T_Shipments[RM_Code],$A38,T_Shipments[Effective_Week],7)</f>
        <v/>
      </c>
      <c r="I38">
        <f>SUMIFS(T_Shipments[Confirmed_Qty],T_Shipments[RM_Code],$A38,T_Shipments[Effective_Week],8)</f>
        <v/>
      </c>
      <c r="J38">
        <f>SUMIFS(T_Shipments[Confirmed_Qty],T_Shipments[RM_Code],$A38,T_Shipments[Effective_Week],9)</f>
        <v/>
      </c>
      <c r="K38">
        <f>SUMIFS(T_Shipments[Confirmed_Qty],T_Shipments[RM_Code],$A38,T_Shipments[Effective_Week],10)</f>
        <v/>
      </c>
      <c r="L38">
        <f>SUMIFS(T_Shipments[Confirmed_Qty],T_Shipments[RM_Code],$A38,T_Shipments[Effective_Week],11)</f>
        <v/>
      </c>
      <c r="M38">
        <f>SUMIFS(T_Shipments[Confirmed_Qty],T_Shipments[RM_Code],$A38,T_Shipments[Effective_Week],12)</f>
        <v/>
      </c>
      <c r="N38">
        <f>SUMIFS(T_Shipments[Confirmed_Qty],T_Shipments[RM_Code],$A38,T_Shipments[Effective_Week],13)</f>
        <v/>
      </c>
      <c r="O38">
        <f>SUMIFS(T_Shipments[Confirmed_Qty],T_Shipments[RM_Code],$A38,T_Shipments[Effective_Week],14)</f>
        <v/>
      </c>
      <c r="P38">
        <f>SUMIFS(T_Shipments[Confirmed_Qty],T_Shipments[RM_Code],$A38,T_Shipments[Effective_Week],15)</f>
        <v/>
      </c>
      <c r="Q38">
        <f>SUMIFS(T_Shipments[Confirmed_Qty],T_Shipments[RM_Code],$A38,T_Shipments[Effective_Week],16)</f>
        <v/>
      </c>
      <c r="R38">
        <f>SUMIFS(T_Shipments[Confirmed_Qty],T_Shipments[RM_Code],$A38,T_Shipments[Effective_Week],17)</f>
        <v/>
      </c>
      <c r="S38">
        <f>SUMIFS(T_Shipments[Confirmed_Qty],T_Shipments[RM_Code],$A38,T_Shipments[Effective_Week],18)</f>
        <v/>
      </c>
      <c r="T38">
        <f>SUMIFS(T_Shipments[Confirmed_Qty],T_Shipments[RM_Code],$A38,T_Shipments[Effective_Week],19)</f>
        <v/>
      </c>
      <c r="U38">
        <f>SUMIFS(T_Shipments[Confirmed_Qty],T_Shipments[RM_Code],$A38,T_Shipments[Effective_Week],20)</f>
        <v/>
      </c>
      <c r="V38">
        <f>SUMIFS(T_Shipments[Confirmed_Qty],T_Shipments[RM_Code],$A38,T_Shipments[Effective_Week],21)</f>
        <v/>
      </c>
      <c r="W38">
        <f>SUMIFS(T_Shipments[Confirmed_Qty],T_Shipments[RM_Code],$A38,T_Shipments[Effective_Week],22)</f>
        <v/>
      </c>
      <c r="X38">
        <f>SUMIFS(T_Shipments[Confirmed_Qty],T_Shipments[RM_Code],$A38,T_Shipments[Effective_Week],23)</f>
        <v/>
      </c>
      <c r="Y38">
        <f>SUMIFS(T_Shipments[Confirmed_Qty],T_Shipments[RM_Code],$A38,T_Shipments[Effective_Week],24)</f>
        <v/>
      </c>
      <c r="Z38">
        <f>SUMIFS(T_Shipments[Confirmed_Qty],T_Shipments[RM_Code],$A38,T_Shipments[Effective_Week],25)</f>
        <v/>
      </c>
      <c r="AA38">
        <f>SUMIFS(T_Shipments[Confirmed_Qty],T_Shipments[RM_Code],$A38,T_Shipments[Effective_Week],26)</f>
        <v/>
      </c>
      <c r="AB38">
        <f>SUMIFS(T_Shipments[Confirmed_Qty],T_Shipments[RM_Code],$A38,T_Shipments[Effective_Week],27)</f>
        <v/>
      </c>
      <c r="AC38">
        <f>SUMIFS(T_Shipments[Confirmed_Qty],T_Shipments[RM_Code],$A38,T_Shipments[Effective_Week],28)</f>
        <v/>
      </c>
      <c r="AD38">
        <f>SUMIFS(T_Shipments[Confirmed_Qty],T_Shipments[RM_Code],$A38,T_Shipments[Effective_Week],29)</f>
        <v/>
      </c>
      <c r="AE38">
        <f>SUMIFS(T_Shipments[Confirmed_Qty],T_Shipments[RM_Code],$A38,T_Shipments[Effective_Week],30)</f>
        <v/>
      </c>
      <c r="AF38">
        <f>SUMIFS(T_Shipments[Confirmed_Qty],T_Shipments[RM_Code],$A38,T_Shipments[Effective_Week],31)</f>
        <v/>
      </c>
      <c r="AG38">
        <f>SUMIFS(T_Shipments[Confirmed_Qty],T_Shipments[RM_Code],$A38,T_Shipments[Effective_Week],32)</f>
        <v/>
      </c>
      <c r="AH38">
        <f>SUMIFS(T_Shipments[Confirmed_Qty],T_Shipments[RM_Code],$A38,T_Shipments[Effective_Week],33)</f>
        <v/>
      </c>
      <c r="AI38">
        <f>SUMIFS(T_Shipments[Confirmed_Qty],T_Shipments[RM_Code],$A38,T_Shipments[Effective_Week],34)</f>
        <v/>
      </c>
      <c r="AJ38">
        <f>SUMIFS(T_Shipments[Confirmed_Qty],T_Shipments[RM_Code],$A38,T_Shipments[Effective_Week],35)</f>
        <v/>
      </c>
      <c r="AK38">
        <f>SUMIFS(T_Shipments[Confirmed_Qty],T_Shipments[RM_Code],$A38,T_Shipments[Effective_Week],36)</f>
        <v/>
      </c>
      <c r="AL38">
        <f>SUMIFS(T_Shipments[Confirmed_Qty],T_Shipments[RM_Code],$A38,T_Shipments[Effective_Week],37)</f>
        <v/>
      </c>
      <c r="AM38">
        <f>SUMIFS(T_Shipments[Confirmed_Qty],T_Shipments[RM_Code],$A38,T_Shipments[Effective_Week],38)</f>
        <v/>
      </c>
      <c r="AN38">
        <f>SUMIFS(T_Shipments[Confirmed_Qty],T_Shipments[RM_Code],$A38,T_Shipments[Effective_Week],39)</f>
        <v/>
      </c>
      <c r="AO38">
        <f>SUMIFS(T_Shipments[Confirmed_Qty],T_Shipments[RM_Code],$A38,T_Shipments[Effective_Week],40)</f>
        <v/>
      </c>
      <c r="AP38">
        <f>SUMIFS(T_Shipments[Confirmed_Qty],T_Shipments[RM_Code],$A38,T_Shipments[Effective_Week],41)</f>
        <v/>
      </c>
      <c r="AQ38">
        <f>SUMIFS(T_Shipments[Confirmed_Qty],T_Shipments[RM_Code],$A38,T_Shipments[Effective_Week],42)</f>
        <v/>
      </c>
      <c r="AR38">
        <f>SUMIFS(T_Shipments[Confirmed_Qty],T_Shipments[RM_Code],$A38,T_Shipments[Effective_Week],43)</f>
        <v/>
      </c>
      <c r="AS38">
        <f>SUMIFS(T_Shipments[Confirmed_Qty],T_Shipments[RM_Code],$A38,T_Shipments[Effective_Week],44)</f>
        <v/>
      </c>
      <c r="AT38">
        <f>SUMIFS(T_Shipments[Confirmed_Qty],T_Shipments[RM_Code],$A38,T_Shipments[Effective_Week],45)</f>
        <v/>
      </c>
      <c r="AU38">
        <f>SUMIFS(T_Shipments[Confirmed_Qty],T_Shipments[RM_Code],$A38,T_Shipments[Effective_Week],46)</f>
        <v/>
      </c>
      <c r="AV38">
        <f>SUMIFS(T_Shipments[Confirmed_Qty],T_Shipments[RM_Code],$A38,T_Shipments[Effective_Week],47)</f>
        <v/>
      </c>
      <c r="AW38">
        <f>SUMIFS(T_Shipments[Confirmed_Qty],T_Shipments[RM_Code],$A38,T_Shipments[Effective_Week],48)</f>
        <v/>
      </c>
      <c r="AX38">
        <f>SUMIFS(T_Shipments[Confirmed_Qty],T_Shipments[RM_Code],$A38,T_Shipments[Effective_Week],49)</f>
        <v/>
      </c>
      <c r="AY38">
        <f>SUMIFS(T_Shipments[Confirmed_Qty],T_Shipments[RM_Code],$A38,T_Shipments[Effective_Week],50)</f>
        <v/>
      </c>
      <c r="AZ38">
        <f>SUMIFS(T_Shipments[Confirmed_Qty],T_Shipments[RM_Code],$A38,T_Shipments[Effective_Week],51)</f>
        <v/>
      </c>
      <c r="BA38">
        <f>SUMIFS(T_Shipments[Confirmed_Qty],T_Shipments[RM_Code],$A38,T_Shipments[Effective_Week],52)</f>
        <v/>
      </c>
      <c r="BB38">
        <f>SUMIFS(T_Shipments[Confirmed_Qty],T_Shipments[RM_Code],$A38,T_Shipments[Effective_Week],53)</f>
        <v/>
      </c>
      <c r="BC38">
        <f>SUMIFS(T_Shipments[Confirmed_Qty],T_Shipments[RM_Code],$A38,T_Shipments[Effective_Week],54)</f>
        <v/>
      </c>
      <c r="BD38">
        <f>SUMIFS(T_Shipments[Confirmed_Qty],T_Shipments[RM_Code],$A38,T_Shipments[Effective_Week],55)</f>
        <v/>
      </c>
      <c r="BE38">
        <f>SUMIFS(T_Shipments[Confirmed_Qty],T_Shipments[RM_Code],$A38,T_Shipments[Effective_Week],56)</f>
        <v/>
      </c>
      <c r="BF38">
        <f>SUMIFS(T_Shipments[Confirmed_Qty],T_Shipments[RM_Code],$A38,T_Shipments[Effective_Week],57)</f>
        <v/>
      </c>
      <c r="BG38">
        <f>SUMIFS(T_Shipments[Confirmed_Qty],T_Shipments[RM_Code],$A38,T_Shipments[Effective_Week],58)</f>
        <v/>
      </c>
      <c r="BH38">
        <f>SUMIFS(T_Shipments[Confirmed_Qty],T_Shipments[RM_Code],$A38,T_Shipments[Effective_Week],59)</f>
        <v/>
      </c>
      <c r="BI38">
        <f>SUMIFS(T_Shipments[Confirmed_Qty],T_Shipments[RM_Code],$A38,T_Shipments[Effective_Week],60)</f>
        <v/>
      </c>
      <c r="BJ38">
        <f>SUMIFS(T_Shipments[Confirmed_Qty],T_Shipments[RM_Code],$A38,T_Shipments[Effective_Week],61)</f>
        <v/>
      </c>
      <c r="BK38">
        <f>SUMIFS(T_Shipments[Confirmed_Qty],T_Shipments[RM_Code],$A38,T_Shipments[Effective_Week],62)</f>
        <v/>
      </c>
      <c r="BL38">
        <f>SUMIFS(T_Shipments[Confirmed_Qty],T_Shipments[RM_Code],$A38,T_Shipments[Effective_Week],63)</f>
        <v/>
      </c>
      <c r="BM38">
        <f>SUMIFS(T_Shipments[Confirmed_Qty],T_Shipments[RM_Code],$A38,T_Shipments[Effective_Week],64)</f>
        <v/>
      </c>
      <c r="BN38">
        <f>SUMIFS(T_Shipments[Confirmed_Qty],T_Shipments[RM_Code],$A38,T_Shipments[Effective_Week],65)</f>
        <v/>
      </c>
      <c r="BO38">
        <f>SUMIFS(T_Shipments[Confirmed_Qty],T_Shipments[RM_Code],$A38,T_Shipments[Effective_Week],66)</f>
        <v/>
      </c>
      <c r="BP38">
        <f>SUMIFS(T_Shipments[Confirmed_Qty],T_Shipments[RM_Code],$A38,T_Shipments[Effective_Week],67)</f>
        <v/>
      </c>
      <c r="BQ38">
        <f>SUMIFS(T_Shipments[Confirmed_Qty],T_Shipments[RM_Code],$A38,T_Shipments[Effective_Week],68)</f>
        <v/>
      </c>
      <c r="BR38">
        <f>SUMIFS(T_Shipments[Confirmed_Qty],T_Shipments[RM_Code],$A38,T_Shipments[Effective_Week],69)</f>
        <v/>
      </c>
      <c r="BS38">
        <f>SUMIFS(T_Shipments[Confirmed_Qty],T_Shipments[RM_Code],$A38,T_Shipments[Effective_Week],70)</f>
        <v/>
      </c>
      <c r="BT38">
        <f>SUMIFS(T_Shipments[Confirmed_Qty],T_Shipments[RM_Code],$A38,T_Shipments[Effective_Week],71)</f>
        <v/>
      </c>
      <c r="BU38">
        <f>SUMIFS(T_Shipments[Confirmed_Qty],T_Shipments[RM_Code],$A38,T_Shipments[Effective_Week],72)</f>
        <v/>
      </c>
      <c r="BV38">
        <f>SUMIFS(T_Shipments[Confirmed_Qty],T_Shipments[RM_Code],$A38,T_Shipments[Effective_Week],73)</f>
        <v/>
      </c>
      <c r="BW38">
        <f>SUMIFS(T_Shipments[Confirmed_Qty],T_Shipments[RM_Code],$A38,T_Shipments[Effective_Week],74)</f>
        <v/>
      </c>
      <c r="BX38">
        <f>SUMIFS(T_Shipments[Confirmed_Qty],T_Shipments[RM_Code],$A38,T_Shipments[Effective_Week],75)</f>
        <v/>
      </c>
      <c r="BY38">
        <f>SUMIFS(T_Shipments[Confirmed_Qty],T_Shipments[RM_Code],$A38,T_Shipments[Effective_Week],76)</f>
        <v/>
      </c>
      <c r="BZ38">
        <f>SUMIFS(T_Shipments[Confirmed_Qty],T_Shipments[RM_Code],$A38,T_Shipments[Effective_Week],77)</f>
        <v/>
      </c>
      <c r="CA38">
        <f>SUMIFS(T_Shipments[Confirmed_Qty],T_Shipments[RM_Code],$A38,T_Shipments[Effective_Week],78)</f>
        <v/>
      </c>
      <c r="CB38">
        <f>SUMIFS(T_Shipments[Confirmed_Qty],T_Shipments[RM_Code],$A38,T_Shipments[Effective_Week],79)</f>
        <v/>
      </c>
      <c r="CC38">
        <f>SUMIFS(T_Shipments[Confirmed_Qty],T_Shipments[RM_Code],$A38,T_Shipments[Effective_Week],80)</f>
        <v/>
      </c>
      <c r="CD38">
        <f>SUMIFS(T_Shipments[Confirmed_Qty],T_Shipments[RM_Code],$A38,T_Shipments[Effective_Week],81)</f>
        <v/>
      </c>
      <c r="CE38">
        <f>SUMIFS(T_Shipments[Confirmed_Qty],T_Shipments[RM_Code],$A38,T_Shipments[Effective_Week],82)</f>
        <v/>
      </c>
      <c r="CF38">
        <f>SUMIFS(T_Shipments[Confirmed_Qty],T_Shipments[RM_Code],$A38,T_Shipments[Effective_Week],83)</f>
        <v/>
      </c>
      <c r="CG38">
        <f>SUMIFS(T_Shipments[Confirmed_Qty],T_Shipments[RM_Code],$A38,T_Shipments[Effective_Week],84)</f>
        <v/>
      </c>
      <c r="CH38">
        <f>SUMIFS(T_Shipments[Confirmed_Qty],T_Shipments[RM_Code],$A38,T_Shipments[Effective_Week],85)</f>
        <v/>
      </c>
      <c r="CI38">
        <f>SUMIFS(T_Shipments[Confirmed_Qty],T_Shipments[RM_Code],$A38,T_Shipments[Effective_Week],86)</f>
        <v/>
      </c>
      <c r="CJ38">
        <f>SUMIFS(T_Shipments[Confirmed_Qty],T_Shipments[RM_Code],$A38,T_Shipments[Effective_Week],87)</f>
        <v/>
      </c>
      <c r="CK38">
        <f>SUMIFS(T_Shipments[Confirmed_Qty],T_Shipments[RM_Code],$A38,T_Shipments[Effective_Week],88)</f>
        <v/>
      </c>
      <c r="CL38">
        <f>SUMIFS(T_Shipments[Confirmed_Qty],T_Shipments[RM_Code],$A38,T_Shipments[Effective_Week],89)</f>
        <v/>
      </c>
      <c r="CM38">
        <f>SUMIFS(T_Shipments[Confirmed_Qty],T_Shipments[RM_Code],$A38,T_Shipments[Effective_Week],90)</f>
        <v/>
      </c>
      <c r="CN38">
        <f>SUMIFS(T_Shipments[Confirmed_Qty],T_Shipments[RM_Code],$A38,T_Shipments[Effective_Week],91)</f>
        <v/>
      </c>
      <c r="CO38">
        <f>SUMIFS(T_Shipments[Confirmed_Qty],T_Shipments[RM_Code],$A38,T_Shipments[Effective_Week],92)</f>
        <v/>
      </c>
      <c r="CP38">
        <f>SUMIFS(T_Shipments[Confirmed_Qty],T_Shipments[RM_Code],$A38,T_Shipments[Effective_Week],93)</f>
        <v/>
      </c>
      <c r="CQ38">
        <f>SUMIFS(T_Shipments[Confirmed_Qty],T_Shipments[RM_Code],$A38,T_Shipments[Effective_Week],94)</f>
        <v/>
      </c>
      <c r="CR38">
        <f>SUMIFS(T_Shipments[Confirmed_Qty],T_Shipments[RM_Code],$A38,T_Shipments[Effective_Week],95)</f>
        <v/>
      </c>
      <c r="CS38">
        <f>SUMIFS(T_Shipments[Confirmed_Qty],T_Shipments[RM_Code],$A38,T_Shipments[Effective_Week],96)</f>
        <v/>
      </c>
      <c r="CT38">
        <f>SUMIFS(T_Shipments[Confirmed_Qty],T_Shipments[RM_Code],$A38,T_Shipments[Effective_Week],97)</f>
        <v/>
      </c>
      <c r="CU38">
        <f>SUMIFS(T_Shipments[Confirmed_Qty],T_Shipments[RM_Code],$A38,T_Shipments[Effective_Week],98)</f>
        <v/>
      </c>
      <c r="CV38">
        <f>SUMIFS(T_Shipments[Confirmed_Qty],T_Shipments[RM_Code],$A38,T_Shipments[Effective_Week],99)</f>
        <v/>
      </c>
      <c r="CW38">
        <f>SUMIFS(T_Shipments[Confirmed_Qty],T_Shipments[RM_Code],$A38,T_Shipments[Effective_Week],100)</f>
        <v/>
      </c>
      <c r="CX38">
        <f>SUMIFS(T_Shipments[Confirmed_Qty],T_Shipments[RM_Code],$A38,T_Shipments[Effective_Week],101)</f>
        <v/>
      </c>
      <c r="CY38">
        <f>SUMIFS(T_Shipments[Confirmed_Qty],T_Shipments[RM_Code],$A38,T_Shipments[Effective_Week],102)</f>
        <v/>
      </c>
      <c r="CZ38">
        <f>SUMIFS(T_Shipments[Confirmed_Qty],T_Shipments[RM_Code],$A38,T_Shipments[Effective_Week],103)</f>
        <v/>
      </c>
      <c r="DA38">
        <f>SUMIFS(T_Shipments[Confirmed_Qty],T_Shipments[RM_Code],$A38,T_Shipments[Effective_Week],104)</f>
        <v/>
      </c>
    </row>
    <row r="39">
      <c r="A39" t="inlineStr">
        <is>
          <t>CHEM-1840</t>
        </is>
      </c>
      <c r="B39">
        <f>SUMIFS(T_Shipments[Confirmed_Qty],T_Shipments[RM_Code],$A39,T_Shipments[Effective_Week],1)</f>
        <v/>
      </c>
      <c r="C39">
        <f>SUMIFS(T_Shipments[Confirmed_Qty],T_Shipments[RM_Code],$A39,T_Shipments[Effective_Week],2)</f>
        <v/>
      </c>
      <c r="D39">
        <f>SUMIFS(T_Shipments[Confirmed_Qty],T_Shipments[RM_Code],$A39,T_Shipments[Effective_Week],3)</f>
        <v/>
      </c>
      <c r="E39">
        <f>SUMIFS(T_Shipments[Confirmed_Qty],T_Shipments[RM_Code],$A39,T_Shipments[Effective_Week],4)</f>
        <v/>
      </c>
      <c r="F39">
        <f>SUMIFS(T_Shipments[Confirmed_Qty],T_Shipments[RM_Code],$A39,T_Shipments[Effective_Week],5)</f>
        <v/>
      </c>
      <c r="G39">
        <f>SUMIFS(T_Shipments[Confirmed_Qty],T_Shipments[RM_Code],$A39,T_Shipments[Effective_Week],6)</f>
        <v/>
      </c>
      <c r="H39">
        <f>SUMIFS(T_Shipments[Confirmed_Qty],T_Shipments[RM_Code],$A39,T_Shipments[Effective_Week],7)</f>
        <v/>
      </c>
      <c r="I39">
        <f>SUMIFS(T_Shipments[Confirmed_Qty],T_Shipments[RM_Code],$A39,T_Shipments[Effective_Week],8)</f>
        <v/>
      </c>
      <c r="J39">
        <f>SUMIFS(T_Shipments[Confirmed_Qty],T_Shipments[RM_Code],$A39,T_Shipments[Effective_Week],9)</f>
        <v/>
      </c>
      <c r="K39">
        <f>SUMIFS(T_Shipments[Confirmed_Qty],T_Shipments[RM_Code],$A39,T_Shipments[Effective_Week],10)</f>
        <v/>
      </c>
      <c r="L39">
        <f>SUMIFS(T_Shipments[Confirmed_Qty],T_Shipments[RM_Code],$A39,T_Shipments[Effective_Week],11)</f>
        <v/>
      </c>
      <c r="M39">
        <f>SUMIFS(T_Shipments[Confirmed_Qty],T_Shipments[RM_Code],$A39,T_Shipments[Effective_Week],12)</f>
        <v/>
      </c>
      <c r="N39">
        <f>SUMIFS(T_Shipments[Confirmed_Qty],T_Shipments[RM_Code],$A39,T_Shipments[Effective_Week],13)</f>
        <v/>
      </c>
      <c r="O39">
        <f>SUMIFS(T_Shipments[Confirmed_Qty],T_Shipments[RM_Code],$A39,T_Shipments[Effective_Week],14)</f>
        <v/>
      </c>
      <c r="P39">
        <f>SUMIFS(T_Shipments[Confirmed_Qty],T_Shipments[RM_Code],$A39,T_Shipments[Effective_Week],15)</f>
        <v/>
      </c>
      <c r="Q39">
        <f>SUMIFS(T_Shipments[Confirmed_Qty],T_Shipments[RM_Code],$A39,T_Shipments[Effective_Week],16)</f>
        <v/>
      </c>
      <c r="R39">
        <f>SUMIFS(T_Shipments[Confirmed_Qty],T_Shipments[RM_Code],$A39,T_Shipments[Effective_Week],17)</f>
        <v/>
      </c>
      <c r="S39">
        <f>SUMIFS(T_Shipments[Confirmed_Qty],T_Shipments[RM_Code],$A39,T_Shipments[Effective_Week],18)</f>
        <v/>
      </c>
      <c r="T39">
        <f>SUMIFS(T_Shipments[Confirmed_Qty],T_Shipments[RM_Code],$A39,T_Shipments[Effective_Week],19)</f>
        <v/>
      </c>
      <c r="U39">
        <f>SUMIFS(T_Shipments[Confirmed_Qty],T_Shipments[RM_Code],$A39,T_Shipments[Effective_Week],20)</f>
        <v/>
      </c>
      <c r="V39">
        <f>SUMIFS(T_Shipments[Confirmed_Qty],T_Shipments[RM_Code],$A39,T_Shipments[Effective_Week],21)</f>
        <v/>
      </c>
      <c r="W39">
        <f>SUMIFS(T_Shipments[Confirmed_Qty],T_Shipments[RM_Code],$A39,T_Shipments[Effective_Week],22)</f>
        <v/>
      </c>
      <c r="X39">
        <f>SUMIFS(T_Shipments[Confirmed_Qty],T_Shipments[RM_Code],$A39,T_Shipments[Effective_Week],23)</f>
        <v/>
      </c>
      <c r="Y39">
        <f>SUMIFS(T_Shipments[Confirmed_Qty],T_Shipments[RM_Code],$A39,T_Shipments[Effective_Week],24)</f>
        <v/>
      </c>
      <c r="Z39">
        <f>SUMIFS(T_Shipments[Confirmed_Qty],T_Shipments[RM_Code],$A39,T_Shipments[Effective_Week],25)</f>
        <v/>
      </c>
      <c r="AA39">
        <f>SUMIFS(T_Shipments[Confirmed_Qty],T_Shipments[RM_Code],$A39,T_Shipments[Effective_Week],26)</f>
        <v/>
      </c>
      <c r="AB39">
        <f>SUMIFS(T_Shipments[Confirmed_Qty],T_Shipments[RM_Code],$A39,T_Shipments[Effective_Week],27)</f>
        <v/>
      </c>
      <c r="AC39">
        <f>SUMIFS(T_Shipments[Confirmed_Qty],T_Shipments[RM_Code],$A39,T_Shipments[Effective_Week],28)</f>
        <v/>
      </c>
      <c r="AD39">
        <f>SUMIFS(T_Shipments[Confirmed_Qty],T_Shipments[RM_Code],$A39,T_Shipments[Effective_Week],29)</f>
        <v/>
      </c>
      <c r="AE39">
        <f>SUMIFS(T_Shipments[Confirmed_Qty],T_Shipments[RM_Code],$A39,T_Shipments[Effective_Week],30)</f>
        <v/>
      </c>
      <c r="AF39">
        <f>SUMIFS(T_Shipments[Confirmed_Qty],T_Shipments[RM_Code],$A39,T_Shipments[Effective_Week],31)</f>
        <v/>
      </c>
      <c r="AG39">
        <f>SUMIFS(T_Shipments[Confirmed_Qty],T_Shipments[RM_Code],$A39,T_Shipments[Effective_Week],32)</f>
        <v/>
      </c>
      <c r="AH39">
        <f>SUMIFS(T_Shipments[Confirmed_Qty],T_Shipments[RM_Code],$A39,T_Shipments[Effective_Week],33)</f>
        <v/>
      </c>
      <c r="AI39">
        <f>SUMIFS(T_Shipments[Confirmed_Qty],T_Shipments[RM_Code],$A39,T_Shipments[Effective_Week],34)</f>
        <v/>
      </c>
      <c r="AJ39">
        <f>SUMIFS(T_Shipments[Confirmed_Qty],T_Shipments[RM_Code],$A39,T_Shipments[Effective_Week],35)</f>
        <v/>
      </c>
      <c r="AK39">
        <f>SUMIFS(T_Shipments[Confirmed_Qty],T_Shipments[RM_Code],$A39,T_Shipments[Effective_Week],36)</f>
        <v/>
      </c>
      <c r="AL39">
        <f>SUMIFS(T_Shipments[Confirmed_Qty],T_Shipments[RM_Code],$A39,T_Shipments[Effective_Week],37)</f>
        <v/>
      </c>
      <c r="AM39">
        <f>SUMIFS(T_Shipments[Confirmed_Qty],T_Shipments[RM_Code],$A39,T_Shipments[Effective_Week],38)</f>
        <v/>
      </c>
      <c r="AN39">
        <f>SUMIFS(T_Shipments[Confirmed_Qty],T_Shipments[RM_Code],$A39,T_Shipments[Effective_Week],39)</f>
        <v/>
      </c>
      <c r="AO39">
        <f>SUMIFS(T_Shipments[Confirmed_Qty],T_Shipments[RM_Code],$A39,T_Shipments[Effective_Week],40)</f>
        <v/>
      </c>
      <c r="AP39">
        <f>SUMIFS(T_Shipments[Confirmed_Qty],T_Shipments[RM_Code],$A39,T_Shipments[Effective_Week],41)</f>
        <v/>
      </c>
      <c r="AQ39">
        <f>SUMIFS(T_Shipments[Confirmed_Qty],T_Shipments[RM_Code],$A39,T_Shipments[Effective_Week],42)</f>
        <v/>
      </c>
      <c r="AR39">
        <f>SUMIFS(T_Shipments[Confirmed_Qty],T_Shipments[RM_Code],$A39,T_Shipments[Effective_Week],43)</f>
        <v/>
      </c>
      <c r="AS39">
        <f>SUMIFS(T_Shipments[Confirmed_Qty],T_Shipments[RM_Code],$A39,T_Shipments[Effective_Week],44)</f>
        <v/>
      </c>
      <c r="AT39">
        <f>SUMIFS(T_Shipments[Confirmed_Qty],T_Shipments[RM_Code],$A39,T_Shipments[Effective_Week],45)</f>
        <v/>
      </c>
      <c r="AU39">
        <f>SUMIFS(T_Shipments[Confirmed_Qty],T_Shipments[RM_Code],$A39,T_Shipments[Effective_Week],46)</f>
        <v/>
      </c>
      <c r="AV39">
        <f>SUMIFS(T_Shipments[Confirmed_Qty],T_Shipments[RM_Code],$A39,T_Shipments[Effective_Week],47)</f>
        <v/>
      </c>
      <c r="AW39">
        <f>SUMIFS(T_Shipments[Confirmed_Qty],T_Shipments[RM_Code],$A39,T_Shipments[Effective_Week],48)</f>
        <v/>
      </c>
      <c r="AX39">
        <f>SUMIFS(T_Shipments[Confirmed_Qty],T_Shipments[RM_Code],$A39,T_Shipments[Effective_Week],49)</f>
        <v/>
      </c>
      <c r="AY39">
        <f>SUMIFS(T_Shipments[Confirmed_Qty],T_Shipments[RM_Code],$A39,T_Shipments[Effective_Week],50)</f>
        <v/>
      </c>
      <c r="AZ39">
        <f>SUMIFS(T_Shipments[Confirmed_Qty],T_Shipments[RM_Code],$A39,T_Shipments[Effective_Week],51)</f>
        <v/>
      </c>
      <c r="BA39">
        <f>SUMIFS(T_Shipments[Confirmed_Qty],T_Shipments[RM_Code],$A39,T_Shipments[Effective_Week],52)</f>
        <v/>
      </c>
      <c r="BB39">
        <f>SUMIFS(T_Shipments[Confirmed_Qty],T_Shipments[RM_Code],$A39,T_Shipments[Effective_Week],53)</f>
        <v/>
      </c>
      <c r="BC39">
        <f>SUMIFS(T_Shipments[Confirmed_Qty],T_Shipments[RM_Code],$A39,T_Shipments[Effective_Week],54)</f>
        <v/>
      </c>
      <c r="BD39">
        <f>SUMIFS(T_Shipments[Confirmed_Qty],T_Shipments[RM_Code],$A39,T_Shipments[Effective_Week],55)</f>
        <v/>
      </c>
      <c r="BE39">
        <f>SUMIFS(T_Shipments[Confirmed_Qty],T_Shipments[RM_Code],$A39,T_Shipments[Effective_Week],56)</f>
        <v/>
      </c>
      <c r="BF39">
        <f>SUMIFS(T_Shipments[Confirmed_Qty],T_Shipments[RM_Code],$A39,T_Shipments[Effective_Week],57)</f>
        <v/>
      </c>
      <c r="BG39">
        <f>SUMIFS(T_Shipments[Confirmed_Qty],T_Shipments[RM_Code],$A39,T_Shipments[Effective_Week],58)</f>
        <v/>
      </c>
      <c r="BH39">
        <f>SUMIFS(T_Shipments[Confirmed_Qty],T_Shipments[RM_Code],$A39,T_Shipments[Effective_Week],59)</f>
        <v/>
      </c>
      <c r="BI39">
        <f>SUMIFS(T_Shipments[Confirmed_Qty],T_Shipments[RM_Code],$A39,T_Shipments[Effective_Week],60)</f>
        <v/>
      </c>
      <c r="BJ39">
        <f>SUMIFS(T_Shipments[Confirmed_Qty],T_Shipments[RM_Code],$A39,T_Shipments[Effective_Week],61)</f>
        <v/>
      </c>
      <c r="BK39">
        <f>SUMIFS(T_Shipments[Confirmed_Qty],T_Shipments[RM_Code],$A39,T_Shipments[Effective_Week],62)</f>
        <v/>
      </c>
      <c r="BL39">
        <f>SUMIFS(T_Shipments[Confirmed_Qty],T_Shipments[RM_Code],$A39,T_Shipments[Effective_Week],63)</f>
        <v/>
      </c>
      <c r="BM39">
        <f>SUMIFS(T_Shipments[Confirmed_Qty],T_Shipments[RM_Code],$A39,T_Shipments[Effective_Week],64)</f>
        <v/>
      </c>
      <c r="BN39">
        <f>SUMIFS(T_Shipments[Confirmed_Qty],T_Shipments[RM_Code],$A39,T_Shipments[Effective_Week],65)</f>
        <v/>
      </c>
      <c r="BO39">
        <f>SUMIFS(T_Shipments[Confirmed_Qty],T_Shipments[RM_Code],$A39,T_Shipments[Effective_Week],66)</f>
        <v/>
      </c>
      <c r="BP39">
        <f>SUMIFS(T_Shipments[Confirmed_Qty],T_Shipments[RM_Code],$A39,T_Shipments[Effective_Week],67)</f>
        <v/>
      </c>
      <c r="BQ39">
        <f>SUMIFS(T_Shipments[Confirmed_Qty],T_Shipments[RM_Code],$A39,T_Shipments[Effective_Week],68)</f>
        <v/>
      </c>
      <c r="BR39">
        <f>SUMIFS(T_Shipments[Confirmed_Qty],T_Shipments[RM_Code],$A39,T_Shipments[Effective_Week],69)</f>
        <v/>
      </c>
      <c r="BS39">
        <f>SUMIFS(T_Shipments[Confirmed_Qty],T_Shipments[RM_Code],$A39,T_Shipments[Effective_Week],70)</f>
        <v/>
      </c>
      <c r="BT39">
        <f>SUMIFS(T_Shipments[Confirmed_Qty],T_Shipments[RM_Code],$A39,T_Shipments[Effective_Week],71)</f>
        <v/>
      </c>
      <c r="BU39">
        <f>SUMIFS(T_Shipments[Confirmed_Qty],T_Shipments[RM_Code],$A39,T_Shipments[Effective_Week],72)</f>
        <v/>
      </c>
      <c r="BV39">
        <f>SUMIFS(T_Shipments[Confirmed_Qty],T_Shipments[RM_Code],$A39,T_Shipments[Effective_Week],73)</f>
        <v/>
      </c>
      <c r="BW39">
        <f>SUMIFS(T_Shipments[Confirmed_Qty],T_Shipments[RM_Code],$A39,T_Shipments[Effective_Week],74)</f>
        <v/>
      </c>
      <c r="BX39">
        <f>SUMIFS(T_Shipments[Confirmed_Qty],T_Shipments[RM_Code],$A39,T_Shipments[Effective_Week],75)</f>
        <v/>
      </c>
      <c r="BY39">
        <f>SUMIFS(T_Shipments[Confirmed_Qty],T_Shipments[RM_Code],$A39,T_Shipments[Effective_Week],76)</f>
        <v/>
      </c>
      <c r="BZ39">
        <f>SUMIFS(T_Shipments[Confirmed_Qty],T_Shipments[RM_Code],$A39,T_Shipments[Effective_Week],77)</f>
        <v/>
      </c>
      <c r="CA39">
        <f>SUMIFS(T_Shipments[Confirmed_Qty],T_Shipments[RM_Code],$A39,T_Shipments[Effective_Week],78)</f>
        <v/>
      </c>
      <c r="CB39">
        <f>SUMIFS(T_Shipments[Confirmed_Qty],T_Shipments[RM_Code],$A39,T_Shipments[Effective_Week],79)</f>
        <v/>
      </c>
      <c r="CC39">
        <f>SUMIFS(T_Shipments[Confirmed_Qty],T_Shipments[RM_Code],$A39,T_Shipments[Effective_Week],80)</f>
        <v/>
      </c>
      <c r="CD39">
        <f>SUMIFS(T_Shipments[Confirmed_Qty],T_Shipments[RM_Code],$A39,T_Shipments[Effective_Week],81)</f>
        <v/>
      </c>
      <c r="CE39">
        <f>SUMIFS(T_Shipments[Confirmed_Qty],T_Shipments[RM_Code],$A39,T_Shipments[Effective_Week],82)</f>
        <v/>
      </c>
      <c r="CF39">
        <f>SUMIFS(T_Shipments[Confirmed_Qty],T_Shipments[RM_Code],$A39,T_Shipments[Effective_Week],83)</f>
        <v/>
      </c>
      <c r="CG39">
        <f>SUMIFS(T_Shipments[Confirmed_Qty],T_Shipments[RM_Code],$A39,T_Shipments[Effective_Week],84)</f>
        <v/>
      </c>
      <c r="CH39">
        <f>SUMIFS(T_Shipments[Confirmed_Qty],T_Shipments[RM_Code],$A39,T_Shipments[Effective_Week],85)</f>
        <v/>
      </c>
      <c r="CI39">
        <f>SUMIFS(T_Shipments[Confirmed_Qty],T_Shipments[RM_Code],$A39,T_Shipments[Effective_Week],86)</f>
        <v/>
      </c>
      <c r="CJ39">
        <f>SUMIFS(T_Shipments[Confirmed_Qty],T_Shipments[RM_Code],$A39,T_Shipments[Effective_Week],87)</f>
        <v/>
      </c>
      <c r="CK39">
        <f>SUMIFS(T_Shipments[Confirmed_Qty],T_Shipments[RM_Code],$A39,T_Shipments[Effective_Week],88)</f>
        <v/>
      </c>
      <c r="CL39">
        <f>SUMIFS(T_Shipments[Confirmed_Qty],T_Shipments[RM_Code],$A39,T_Shipments[Effective_Week],89)</f>
        <v/>
      </c>
      <c r="CM39">
        <f>SUMIFS(T_Shipments[Confirmed_Qty],T_Shipments[RM_Code],$A39,T_Shipments[Effective_Week],90)</f>
        <v/>
      </c>
      <c r="CN39">
        <f>SUMIFS(T_Shipments[Confirmed_Qty],T_Shipments[RM_Code],$A39,T_Shipments[Effective_Week],91)</f>
        <v/>
      </c>
      <c r="CO39">
        <f>SUMIFS(T_Shipments[Confirmed_Qty],T_Shipments[RM_Code],$A39,T_Shipments[Effective_Week],92)</f>
        <v/>
      </c>
      <c r="CP39">
        <f>SUMIFS(T_Shipments[Confirmed_Qty],T_Shipments[RM_Code],$A39,T_Shipments[Effective_Week],93)</f>
        <v/>
      </c>
      <c r="CQ39">
        <f>SUMIFS(T_Shipments[Confirmed_Qty],T_Shipments[RM_Code],$A39,T_Shipments[Effective_Week],94)</f>
        <v/>
      </c>
      <c r="CR39">
        <f>SUMIFS(T_Shipments[Confirmed_Qty],T_Shipments[RM_Code],$A39,T_Shipments[Effective_Week],95)</f>
        <v/>
      </c>
      <c r="CS39">
        <f>SUMIFS(T_Shipments[Confirmed_Qty],T_Shipments[RM_Code],$A39,T_Shipments[Effective_Week],96)</f>
        <v/>
      </c>
      <c r="CT39">
        <f>SUMIFS(T_Shipments[Confirmed_Qty],T_Shipments[RM_Code],$A39,T_Shipments[Effective_Week],97)</f>
        <v/>
      </c>
      <c r="CU39">
        <f>SUMIFS(T_Shipments[Confirmed_Qty],T_Shipments[RM_Code],$A39,T_Shipments[Effective_Week],98)</f>
        <v/>
      </c>
      <c r="CV39">
        <f>SUMIFS(T_Shipments[Confirmed_Qty],T_Shipments[RM_Code],$A39,T_Shipments[Effective_Week],99)</f>
        <v/>
      </c>
      <c r="CW39">
        <f>SUMIFS(T_Shipments[Confirmed_Qty],T_Shipments[RM_Code],$A39,T_Shipments[Effective_Week],100)</f>
        <v/>
      </c>
      <c r="CX39">
        <f>SUMIFS(T_Shipments[Confirmed_Qty],T_Shipments[RM_Code],$A39,T_Shipments[Effective_Week],101)</f>
        <v/>
      </c>
      <c r="CY39">
        <f>SUMIFS(T_Shipments[Confirmed_Qty],T_Shipments[RM_Code],$A39,T_Shipments[Effective_Week],102)</f>
        <v/>
      </c>
      <c r="CZ39">
        <f>SUMIFS(T_Shipments[Confirmed_Qty],T_Shipments[RM_Code],$A39,T_Shipments[Effective_Week],103)</f>
        <v/>
      </c>
      <c r="DA39">
        <f>SUMIFS(T_Shipments[Confirmed_Qty],T_Shipments[RM_Code],$A39,T_Shipments[Effective_Week],104)</f>
        <v/>
      </c>
    </row>
    <row r="40">
      <c r="A40" t="inlineStr">
        <is>
          <t>TPP-1469</t>
        </is>
      </c>
      <c r="B40">
        <f>SUMIFS(T_Shipments[Confirmed_Qty],T_Shipments[RM_Code],$A40,T_Shipments[Effective_Week],1)</f>
        <v/>
      </c>
      <c r="C40">
        <f>SUMIFS(T_Shipments[Confirmed_Qty],T_Shipments[RM_Code],$A40,T_Shipments[Effective_Week],2)</f>
        <v/>
      </c>
      <c r="D40">
        <f>SUMIFS(T_Shipments[Confirmed_Qty],T_Shipments[RM_Code],$A40,T_Shipments[Effective_Week],3)</f>
        <v/>
      </c>
      <c r="E40">
        <f>SUMIFS(T_Shipments[Confirmed_Qty],T_Shipments[RM_Code],$A40,T_Shipments[Effective_Week],4)</f>
        <v/>
      </c>
      <c r="F40">
        <f>SUMIFS(T_Shipments[Confirmed_Qty],T_Shipments[RM_Code],$A40,T_Shipments[Effective_Week],5)</f>
        <v/>
      </c>
      <c r="G40">
        <f>SUMIFS(T_Shipments[Confirmed_Qty],T_Shipments[RM_Code],$A40,T_Shipments[Effective_Week],6)</f>
        <v/>
      </c>
      <c r="H40">
        <f>SUMIFS(T_Shipments[Confirmed_Qty],T_Shipments[RM_Code],$A40,T_Shipments[Effective_Week],7)</f>
        <v/>
      </c>
      <c r="I40">
        <f>SUMIFS(T_Shipments[Confirmed_Qty],T_Shipments[RM_Code],$A40,T_Shipments[Effective_Week],8)</f>
        <v/>
      </c>
      <c r="J40">
        <f>SUMIFS(T_Shipments[Confirmed_Qty],T_Shipments[RM_Code],$A40,T_Shipments[Effective_Week],9)</f>
        <v/>
      </c>
      <c r="K40">
        <f>SUMIFS(T_Shipments[Confirmed_Qty],T_Shipments[RM_Code],$A40,T_Shipments[Effective_Week],10)</f>
        <v/>
      </c>
      <c r="L40">
        <f>SUMIFS(T_Shipments[Confirmed_Qty],T_Shipments[RM_Code],$A40,T_Shipments[Effective_Week],11)</f>
        <v/>
      </c>
      <c r="M40">
        <f>SUMIFS(T_Shipments[Confirmed_Qty],T_Shipments[RM_Code],$A40,T_Shipments[Effective_Week],12)</f>
        <v/>
      </c>
      <c r="N40">
        <f>SUMIFS(T_Shipments[Confirmed_Qty],T_Shipments[RM_Code],$A40,T_Shipments[Effective_Week],13)</f>
        <v/>
      </c>
      <c r="O40">
        <f>SUMIFS(T_Shipments[Confirmed_Qty],T_Shipments[RM_Code],$A40,T_Shipments[Effective_Week],14)</f>
        <v/>
      </c>
      <c r="P40">
        <f>SUMIFS(T_Shipments[Confirmed_Qty],T_Shipments[RM_Code],$A40,T_Shipments[Effective_Week],15)</f>
        <v/>
      </c>
      <c r="Q40">
        <f>SUMIFS(T_Shipments[Confirmed_Qty],T_Shipments[RM_Code],$A40,T_Shipments[Effective_Week],16)</f>
        <v/>
      </c>
      <c r="R40">
        <f>SUMIFS(T_Shipments[Confirmed_Qty],T_Shipments[RM_Code],$A40,T_Shipments[Effective_Week],17)</f>
        <v/>
      </c>
      <c r="S40">
        <f>SUMIFS(T_Shipments[Confirmed_Qty],T_Shipments[RM_Code],$A40,T_Shipments[Effective_Week],18)</f>
        <v/>
      </c>
      <c r="T40">
        <f>SUMIFS(T_Shipments[Confirmed_Qty],T_Shipments[RM_Code],$A40,T_Shipments[Effective_Week],19)</f>
        <v/>
      </c>
      <c r="U40">
        <f>SUMIFS(T_Shipments[Confirmed_Qty],T_Shipments[RM_Code],$A40,T_Shipments[Effective_Week],20)</f>
        <v/>
      </c>
      <c r="V40">
        <f>SUMIFS(T_Shipments[Confirmed_Qty],T_Shipments[RM_Code],$A40,T_Shipments[Effective_Week],21)</f>
        <v/>
      </c>
      <c r="W40">
        <f>SUMIFS(T_Shipments[Confirmed_Qty],T_Shipments[RM_Code],$A40,T_Shipments[Effective_Week],22)</f>
        <v/>
      </c>
      <c r="X40">
        <f>SUMIFS(T_Shipments[Confirmed_Qty],T_Shipments[RM_Code],$A40,T_Shipments[Effective_Week],23)</f>
        <v/>
      </c>
      <c r="Y40">
        <f>SUMIFS(T_Shipments[Confirmed_Qty],T_Shipments[RM_Code],$A40,T_Shipments[Effective_Week],24)</f>
        <v/>
      </c>
      <c r="Z40">
        <f>SUMIFS(T_Shipments[Confirmed_Qty],T_Shipments[RM_Code],$A40,T_Shipments[Effective_Week],25)</f>
        <v/>
      </c>
      <c r="AA40">
        <f>SUMIFS(T_Shipments[Confirmed_Qty],T_Shipments[RM_Code],$A40,T_Shipments[Effective_Week],26)</f>
        <v/>
      </c>
      <c r="AB40">
        <f>SUMIFS(T_Shipments[Confirmed_Qty],T_Shipments[RM_Code],$A40,T_Shipments[Effective_Week],27)</f>
        <v/>
      </c>
      <c r="AC40">
        <f>SUMIFS(T_Shipments[Confirmed_Qty],T_Shipments[RM_Code],$A40,T_Shipments[Effective_Week],28)</f>
        <v/>
      </c>
      <c r="AD40">
        <f>SUMIFS(T_Shipments[Confirmed_Qty],T_Shipments[RM_Code],$A40,T_Shipments[Effective_Week],29)</f>
        <v/>
      </c>
      <c r="AE40">
        <f>SUMIFS(T_Shipments[Confirmed_Qty],T_Shipments[RM_Code],$A40,T_Shipments[Effective_Week],30)</f>
        <v/>
      </c>
      <c r="AF40">
        <f>SUMIFS(T_Shipments[Confirmed_Qty],T_Shipments[RM_Code],$A40,T_Shipments[Effective_Week],31)</f>
        <v/>
      </c>
      <c r="AG40">
        <f>SUMIFS(T_Shipments[Confirmed_Qty],T_Shipments[RM_Code],$A40,T_Shipments[Effective_Week],32)</f>
        <v/>
      </c>
      <c r="AH40">
        <f>SUMIFS(T_Shipments[Confirmed_Qty],T_Shipments[RM_Code],$A40,T_Shipments[Effective_Week],33)</f>
        <v/>
      </c>
      <c r="AI40">
        <f>SUMIFS(T_Shipments[Confirmed_Qty],T_Shipments[RM_Code],$A40,T_Shipments[Effective_Week],34)</f>
        <v/>
      </c>
      <c r="AJ40">
        <f>SUMIFS(T_Shipments[Confirmed_Qty],T_Shipments[RM_Code],$A40,T_Shipments[Effective_Week],35)</f>
        <v/>
      </c>
      <c r="AK40">
        <f>SUMIFS(T_Shipments[Confirmed_Qty],T_Shipments[RM_Code],$A40,T_Shipments[Effective_Week],36)</f>
        <v/>
      </c>
      <c r="AL40">
        <f>SUMIFS(T_Shipments[Confirmed_Qty],T_Shipments[RM_Code],$A40,T_Shipments[Effective_Week],37)</f>
        <v/>
      </c>
      <c r="AM40">
        <f>SUMIFS(T_Shipments[Confirmed_Qty],T_Shipments[RM_Code],$A40,T_Shipments[Effective_Week],38)</f>
        <v/>
      </c>
      <c r="AN40">
        <f>SUMIFS(T_Shipments[Confirmed_Qty],T_Shipments[RM_Code],$A40,T_Shipments[Effective_Week],39)</f>
        <v/>
      </c>
      <c r="AO40">
        <f>SUMIFS(T_Shipments[Confirmed_Qty],T_Shipments[RM_Code],$A40,T_Shipments[Effective_Week],40)</f>
        <v/>
      </c>
      <c r="AP40">
        <f>SUMIFS(T_Shipments[Confirmed_Qty],T_Shipments[RM_Code],$A40,T_Shipments[Effective_Week],41)</f>
        <v/>
      </c>
      <c r="AQ40">
        <f>SUMIFS(T_Shipments[Confirmed_Qty],T_Shipments[RM_Code],$A40,T_Shipments[Effective_Week],42)</f>
        <v/>
      </c>
      <c r="AR40">
        <f>SUMIFS(T_Shipments[Confirmed_Qty],T_Shipments[RM_Code],$A40,T_Shipments[Effective_Week],43)</f>
        <v/>
      </c>
      <c r="AS40">
        <f>SUMIFS(T_Shipments[Confirmed_Qty],T_Shipments[RM_Code],$A40,T_Shipments[Effective_Week],44)</f>
        <v/>
      </c>
      <c r="AT40">
        <f>SUMIFS(T_Shipments[Confirmed_Qty],T_Shipments[RM_Code],$A40,T_Shipments[Effective_Week],45)</f>
        <v/>
      </c>
      <c r="AU40">
        <f>SUMIFS(T_Shipments[Confirmed_Qty],T_Shipments[RM_Code],$A40,T_Shipments[Effective_Week],46)</f>
        <v/>
      </c>
      <c r="AV40">
        <f>SUMIFS(T_Shipments[Confirmed_Qty],T_Shipments[RM_Code],$A40,T_Shipments[Effective_Week],47)</f>
        <v/>
      </c>
      <c r="AW40">
        <f>SUMIFS(T_Shipments[Confirmed_Qty],T_Shipments[RM_Code],$A40,T_Shipments[Effective_Week],48)</f>
        <v/>
      </c>
      <c r="AX40">
        <f>SUMIFS(T_Shipments[Confirmed_Qty],T_Shipments[RM_Code],$A40,T_Shipments[Effective_Week],49)</f>
        <v/>
      </c>
      <c r="AY40">
        <f>SUMIFS(T_Shipments[Confirmed_Qty],T_Shipments[RM_Code],$A40,T_Shipments[Effective_Week],50)</f>
        <v/>
      </c>
      <c r="AZ40">
        <f>SUMIFS(T_Shipments[Confirmed_Qty],T_Shipments[RM_Code],$A40,T_Shipments[Effective_Week],51)</f>
        <v/>
      </c>
      <c r="BA40">
        <f>SUMIFS(T_Shipments[Confirmed_Qty],T_Shipments[RM_Code],$A40,T_Shipments[Effective_Week],52)</f>
        <v/>
      </c>
      <c r="BB40">
        <f>SUMIFS(T_Shipments[Confirmed_Qty],T_Shipments[RM_Code],$A40,T_Shipments[Effective_Week],53)</f>
        <v/>
      </c>
      <c r="BC40">
        <f>SUMIFS(T_Shipments[Confirmed_Qty],T_Shipments[RM_Code],$A40,T_Shipments[Effective_Week],54)</f>
        <v/>
      </c>
      <c r="BD40">
        <f>SUMIFS(T_Shipments[Confirmed_Qty],T_Shipments[RM_Code],$A40,T_Shipments[Effective_Week],55)</f>
        <v/>
      </c>
      <c r="BE40">
        <f>SUMIFS(T_Shipments[Confirmed_Qty],T_Shipments[RM_Code],$A40,T_Shipments[Effective_Week],56)</f>
        <v/>
      </c>
      <c r="BF40">
        <f>SUMIFS(T_Shipments[Confirmed_Qty],T_Shipments[RM_Code],$A40,T_Shipments[Effective_Week],57)</f>
        <v/>
      </c>
      <c r="BG40">
        <f>SUMIFS(T_Shipments[Confirmed_Qty],T_Shipments[RM_Code],$A40,T_Shipments[Effective_Week],58)</f>
        <v/>
      </c>
      <c r="BH40">
        <f>SUMIFS(T_Shipments[Confirmed_Qty],T_Shipments[RM_Code],$A40,T_Shipments[Effective_Week],59)</f>
        <v/>
      </c>
      <c r="BI40">
        <f>SUMIFS(T_Shipments[Confirmed_Qty],T_Shipments[RM_Code],$A40,T_Shipments[Effective_Week],60)</f>
        <v/>
      </c>
      <c r="BJ40">
        <f>SUMIFS(T_Shipments[Confirmed_Qty],T_Shipments[RM_Code],$A40,T_Shipments[Effective_Week],61)</f>
        <v/>
      </c>
      <c r="BK40">
        <f>SUMIFS(T_Shipments[Confirmed_Qty],T_Shipments[RM_Code],$A40,T_Shipments[Effective_Week],62)</f>
        <v/>
      </c>
      <c r="BL40">
        <f>SUMIFS(T_Shipments[Confirmed_Qty],T_Shipments[RM_Code],$A40,T_Shipments[Effective_Week],63)</f>
        <v/>
      </c>
      <c r="BM40">
        <f>SUMIFS(T_Shipments[Confirmed_Qty],T_Shipments[RM_Code],$A40,T_Shipments[Effective_Week],64)</f>
        <v/>
      </c>
      <c r="BN40">
        <f>SUMIFS(T_Shipments[Confirmed_Qty],T_Shipments[RM_Code],$A40,T_Shipments[Effective_Week],65)</f>
        <v/>
      </c>
      <c r="BO40">
        <f>SUMIFS(T_Shipments[Confirmed_Qty],T_Shipments[RM_Code],$A40,T_Shipments[Effective_Week],66)</f>
        <v/>
      </c>
      <c r="BP40">
        <f>SUMIFS(T_Shipments[Confirmed_Qty],T_Shipments[RM_Code],$A40,T_Shipments[Effective_Week],67)</f>
        <v/>
      </c>
      <c r="BQ40">
        <f>SUMIFS(T_Shipments[Confirmed_Qty],T_Shipments[RM_Code],$A40,T_Shipments[Effective_Week],68)</f>
        <v/>
      </c>
      <c r="BR40">
        <f>SUMIFS(T_Shipments[Confirmed_Qty],T_Shipments[RM_Code],$A40,T_Shipments[Effective_Week],69)</f>
        <v/>
      </c>
      <c r="BS40">
        <f>SUMIFS(T_Shipments[Confirmed_Qty],T_Shipments[RM_Code],$A40,T_Shipments[Effective_Week],70)</f>
        <v/>
      </c>
      <c r="BT40">
        <f>SUMIFS(T_Shipments[Confirmed_Qty],T_Shipments[RM_Code],$A40,T_Shipments[Effective_Week],71)</f>
        <v/>
      </c>
      <c r="BU40">
        <f>SUMIFS(T_Shipments[Confirmed_Qty],T_Shipments[RM_Code],$A40,T_Shipments[Effective_Week],72)</f>
        <v/>
      </c>
      <c r="BV40">
        <f>SUMIFS(T_Shipments[Confirmed_Qty],T_Shipments[RM_Code],$A40,T_Shipments[Effective_Week],73)</f>
        <v/>
      </c>
      <c r="BW40">
        <f>SUMIFS(T_Shipments[Confirmed_Qty],T_Shipments[RM_Code],$A40,T_Shipments[Effective_Week],74)</f>
        <v/>
      </c>
      <c r="BX40">
        <f>SUMIFS(T_Shipments[Confirmed_Qty],T_Shipments[RM_Code],$A40,T_Shipments[Effective_Week],75)</f>
        <v/>
      </c>
      <c r="BY40">
        <f>SUMIFS(T_Shipments[Confirmed_Qty],T_Shipments[RM_Code],$A40,T_Shipments[Effective_Week],76)</f>
        <v/>
      </c>
      <c r="BZ40">
        <f>SUMIFS(T_Shipments[Confirmed_Qty],T_Shipments[RM_Code],$A40,T_Shipments[Effective_Week],77)</f>
        <v/>
      </c>
      <c r="CA40">
        <f>SUMIFS(T_Shipments[Confirmed_Qty],T_Shipments[RM_Code],$A40,T_Shipments[Effective_Week],78)</f>
        <v/>
      </c>
      <c r="CB40">
        <f>SUMIFS(T_Shipments[Confirmed_Qty],T_Shipments[RM_Code],$A40,T_Shipments[Effective_Week],79)</f>
        <v/>
      </c>
      <c r="CC40">
        <f>SUMIFS(T_Shipments[Confirmed_Qty],T_Shipments[RM_Code],$A40,T_Shipments[Effective_Week],80)</f>
        <v/>
      </c>
      <c r="CD40">
        <f>SUMIFS(T_Shipments[Confirmed_Qty],T_Shipments[RM_Code],$A40,T_Shipments[Effective_Week],81)</f>
        <v/>
      </c>
      <c r="CE40">
        <f>SUMIFS(T_Shipments[Confirmed_Qty],T_Shipments[RM_Code],$A40,T_Shipments[Effective_Week],82)</f>
        <v/>
      </c>
      <c r="CF40">
        <f>SUMIFS(T_Shipments[Confirmed_Qty],T_Shipments[RM_Code],$A40,T_Shipments[Effective_Week],83)</f>
        <v/>
      </c>
      <c r="CG40">
        <f>SUMIFS(T_Shipments[Confirmed_Qty],T_Shipments[RM_Code],$A40,T_Shipments[Effective_Week],84)</f>
        <v/>
      </c>
      <c r="CH40">
        <f>SUMIFS(T_Shipments[Confirmed_Qty],T_Shipments[RM_Code],$A40,T_Shipments[Effective_Week],85)</f>
        <v/>
      </c>
      <c r="CI40">
        <f>SUMIFS(T_Shipments[Confirmed_Qty],T_Shipments[RM_Code],$A40,T_Shipments[Effective_Week],86)</f>
        <v/>
      </c>
      <c r="CJ40">
        <f>SUMIFS(T_Shipments[Confirmed_Qty],T_Shipments[RM_Code],$A40,T_Shipments[Effective_Week],87)</f>
        <v/>
      </c>
      <c r="CK40">
        <f>SUMIFS(T_Shipments[Confirmed_Qty],T_Shipments[RM_Code],$A40,T_Shipments[Effective_Week],88)</f>
        <v/>
      </c>
      <c r="CL40">
        <f>SUMIFS(T_Shipments[Confirmed_Qty],T_Shipments[RM_Code],$A40,T_Shipments[Effective_Week],89)</f>
        <v/>
      </c>
      <c r="CM40">
        <f>SUMIFS(T_Shipments[Confirmed_Qty],T_Shipments[RM_Code],$A40,T_Shipments[Effective_Week],90)</f>
        <v/>
      </c>
      <c r="CN40">
        <f>SUMIFS(T_Shipments[Confirmed_Qty],T_Shipments[RM_Code],$A40,T_Shipments[Effective_Week],91)</f>
        <v/>
      </c>
      <c r="CO40">
        <f>SUMIFS(T_Shipments[Confirmed_Qty],T_Shipments[RM_Code],$A40,T_Shipments[Effective_Week],92)</f>
        <v/>
      </c>
      <c r="CP40">
        <f>SUMIFS(T_Shipments[Confirmed_Qty],T_Shipments[RM_Code],$A40,T_Shipments[Effective_Week],93)</f>
        <v/>
      </c>
      <c r="CQ40">
        <f>SUMIFS(T_Shipments[Confirmed_Qty],T_Shipments[RM_Code],$A40,T_Shipments[Effective_Week],94)</f>
        <v/>
      </c>
      <c r="CR40">
        <f>SUMIFS(T_Shipments[Confirmed_Qty],T_Shipments[RM_Code],$A40,T_Shipments[Effective_Week],95)</f>
        <v/>
      </c>
      <c r="CS40">
        <f>SUMIFS(T_Shipments[Confirmed_Qty],T_Shipments[RM_Code],$A40,T_Shipments[Effective_Week],96)</f>
        <v/>
      </c>
      <c r="CT40">
        <f>SUMIFS(T_Shipments[Confirmed_Qty],T_Shipments[RM_Code],$A40,T_Shipments[Effective_Week],97)</f>
        <v/>
      </c>
      <c r="CU40">
        <f>SUMIFS(T_Shipments[Confirmed_Qty],T_Shipments[RM_Code],$A40,T_Shipments[Effective_Week],98)</f>
        <v/>
      </c>
      <c r="CV40">
        <f>SUMIFS(T_Shipments[Confirmed_Qty],T_Shipments[RM_Code],$A40,T_Shipments[Effective_Week],99)</f>
        <v/>
      </c>
      <c r="CW40">
        <f>SUMIFS(T_Shipments[Confirmed_Qty],T_Shipments[RM_Code],$A40,T_Shipments[Effective_Week],100)</f>
        <v/>
      </c>
      <c r="CX40">
        <f>SUMIFS(T_Shipments[Confirmed_Qty],T_Shipments[RM_Code],$A40,T_Shipments[Effective_Week],101)</f>
        <v/>
      </c>
      <c r="CY40">
        <f>SUMIFS(T_Shipments[Confirmed_Qty],T_Shipments[RM_Code],$A40,T_Shipments[Effective_Week],102)</f>
        <v/>
      </c>
      <c r="CZ40">
        <f>SUMIFS(T_Shipments[Confirmed_Qty],T_Shipments[RM_Code],$A40,T_Shipments[Effective_Week],103)</f>
        <v/>
      </c>
      <c r="DA40">
        <f>SUMIFS(T_Shipments[Confirmed_Qty],T_Shipments[RM_Code],$A40,T_Shipments[Effective_Week],104)</f>
        <v/>
      </c>
    </row>
    <row r="41">
      <c r="A41" t="inlineStr">
        <is>
          <t>TDJ</t>
        </is>
      </c>
      <c r="B41">
        <f>SUMIFS(T_Shipments[Confirmed_Qty],T_Shipments[RM_Code],$A41,T_Shipments[Effective_Week],1)</f>
        <v/>
      </c>
      <c r="C41">
        <f>SUMIFS(T_Shipments[Confirmed_Qty],T_Shipments[RM_Code],$A41,T_Shipments[Effective_Week],2)</f>
        <v/>
      </c>
      <c r="D41">
        <f>SUMIFS(T_Shipments[Confirmed_Qty],T_Shipments[RM_Code],$A41,T_Shipments[Effective_Week],3)</f>
        <v/>
      </c>
      <c r="E41">
        <f>SUMIFS(T_Shipments[Confirmed_Qty],T_Shipments[RM_Code],$A41,T_Shipments[Effective_Week],4)</f>
        <v/>
      </c>
      <c r="F41">
        <f>SUMIFS(T_Shipments[Confirmed_Qty],T_Shipments[RM_Code],$A41,T_Shipments[Effective_Week],5)</f>
        <v/>
      </c>
      <c r="G41">
        <f>SUMIFS(T_Shipments[Confirmed_Qty],T_Shipments[RM_Code],$A41,T_Shipments[Effective_Week],6)</f>
        <v/>
      </c>
      <c r="H41">
        <f>SUMIFS(T_Shipments[Confirmed_Qty],T_Shipments[RM_Code],$A41,T_Shipments[Effective_Week],7)</f>
        <v/>
      </c>
      <c r="I41">
        <f>SUMIFS(T_Shipments[Confirmed_Qty],T_Shipments[RM_Code],$A41,T_Shipments[Effective_Week],8)</f>
        <v/>
      </c>
      <c r="J41">
        <f>SUMIFS(T_Shipments[Confirmed_Qty],T_Shipments[RM_Code],$A41,T_Shipments[Effective_Week],9)</f>
        <v/>
      </c>
      <c r="K41">
        <f>SUMIFS(T_Shipments[Confirmed_Qty],T_Shipments[RM_Code],$A41,T_Shipments[Effective_Week],10)</f>
        <v/>
      </c>
      <c r="L41">
        <f>SUMIFS(T_Shipments[Confirmed_Qty],T_Shipments[RM_Code],$A41,T_Shipments[Effective_Week],11)</f>
        <v/>
      </c>
      <c r="M41">
        <f>SUMIFS(T_Shipments[Confirmed_Qty],T_Shipments[RM_Code],$A41,T_Shipments[Effective_Week],12)</f>
        <v/>
      </c>
      <c r="N41">
        <f>SUMIFS(T_Shipments[Confirmed_Qty],T_Shipments[RM_Code],$A41,T_Shipments[Effective_Week],13)</f>
        <v/>
      </c>
      <c r="O41">
        <f>SUMIFS(T_Shipments[Confirmed_Qty],T_Shipments[RM_Code],$A41,T_Shipments[Effective_Week],14)</f>
        <v/>
      </c>
      <c r="P41">
        <f>SUMIFS(T_Shipments[Confirmed_Qty],T_Shipments[RM_Code],$A41,T_Shipments[Effective_Week],15)</f>
        <v/>
      </c>
      <c r="Q41">
        <f>SUMIFS(T_Shipments[Confirmed_Qty],T_Shipments[RM_Code],$A41,T_Shipments[Effective_Week],16)</f>
        <v/>
      </c>
      <c r="R41">
        <f>SUMIFS(T_Shipments[Confirmed_Qty],T_Shipments[RM_Code],$A41,T_Shipments[Effective_Week],17)</f>
        <v/>
      </c>
      <c r="S41">
        <f>SUMIFS(T_Shipments[Confirmed_Qty],T_Shipments[RM_Code],$A41,T_Shipments[Effective_Week],18)</f>
        <v/>
      </c>
      <c r="T41">
        <f>SUMIFS(T_Shipments[Confirmed_Qty],T_Shipments[RM_Code],$A41,T_Shipments[Effective_Week],19)</f>
        <v/>
      </c>
      <c r="U41">
        <f>SUMIFS(T_Shipments[Confirmed_Qty],T_Shipments[RM_Code],$A41,T_Shipments[Effective_Week],20)</f>
        <v/>
      </c>
      <c r="V41">
        <f>SUMIFS(T_Shipments[Confirmed_Qty],T_Shipments[RM_Code],$A41,T_Shipments[Effective_Week],21)</f>
        <v/>
      </c>
      <c r="W41">
        <f>SUMIFS(T_Shipments[Confirmed_Qty],T_Shipments[RM_Code],$A41,T_Shipments[Effective_Week],22)</f>
        <v/>
      </c>
      <c r="X41">
        <f>SUMIFS(T_Shipments[Confirmed_Qty],T_Shipments[RM_Code],$A41,T_Shipments[Effective_Week],23)</f>
        <v/>
      </c>
      <c r="Y41">
        <f>SUMIFS(T_Shipments[Confirmed_Qty],T_Shipments[RM_Code],$A41,T_Shipments[Effective_Week],24)</f>
        <v/>
      </c>
      <c r="Z41">
        <f>SUMIFS(T_Shipments[Confirmed_Qty],T_Shipments[RM_Code],$A41,T_Shipments[Effective_Week],25)</f>
        <v/>
      </c>
      <c r="AA41">
        <f>SUMIFS(T_Shipments[Confirmed_Qty],T_Shipments[RM_Code],$A41,T_Shipments[Effective_Week],26)</f>
        <v/>
      </c>
      <c r="AB41">
        <f>SUMIFS(T_Shipments[Confirmed_Qty],T_Shipments[RM_Code],$A41,T_Shipments[Effective_Week],27)</f>
        <v/>
      </c>
      <c r="AC41">
        <f>SUMIFS(T_Shipments[Confirmed_Qty],T_Shipments[RM_Code],$A41,T_Shipments[Effective_Week],28)</f>
        <v/>
      </c>
      <c r="AD41">
        <f>SUMIFS(T_Shipments[Confirmed_Qty],T_Shipments[RM_Code],$A41,T_Shipments[Effective_Week],29)</f>
        <v/>
      </c>
      <c r="AE41">
        <f>SUMIFS(T_Shipments[Confirmed_Qty],T_Shipments[RM_Code],$A41,T_Shipments[Effective_Week],30)</f>
        <v/>
      </c>
      <c r="AF41">
        <f>SUMIFS(T_Shipments[Confirmed_Qty],T_Shipments[RM_Code],$A41,T_Shipments[Effective_Week],31)</f>
        <v/>
      </c>
      <c r="AG41">
        <f>SUMIFS(T_Shipments[Confirmed_Qty],T_Shipments[RM_Code],$A41,T_Shipments[Effective_Week],32)</f>
        <v/>
      </c>
      <c r="AH41">
        <f>SUMIFS(T_Shipments[Confirmed_Qty],T_Shipments[RM_Code],$A41,T_Shipments[Effective_Week],33)</f>
        <v/>
      </c>
      <c r="AI41">
        <f>SUMIFS(T_Shipments[Confirmed_Qty],T_Shipments[RM_Code],$A41,T_Shipments[Effective_Week],34)</f>
        <v/>
      </c>
      <c r="AJ41">
        <f>SUMIFS(T_Shipments[Confirmed_Qty],T_Shipments[RM_Code],$A41,T_Shipments[Effective_Week],35)</f>
        <v/>
      </c>
      <c r="AK41">
        <f>SUMIFS(T_Shipments[Confirmed_Qty],T_Shipments[RM_Code],$A41,T_Shipments[Effective_Week],36)</f>
        <v/>
      </c>
      <c r="AL41">
        <f>SUMIFS(T_Shipments[Confirmed_Qty],T_Shipments[RM_Code],$A41,T_Shipments[Effective_Week],37)</f>
        <v/>
      </c>
      <c r="AM41">
        <f>SUMIFS(T_Shipments[Confirmed_Qty],T_Shipments[RM_Code],$A41,T_Shipments[Effective_Week],38)</f>
        <v/>
      </c>
      <c r="AN41">
        <f>SUMIFS(T_Shipments[Confirmed_Qty],T_Shipments[RM_Code],$A41,T_Shipments[Effective_Week],39)</f>
        <v/>
      </c>
      <c r="AO41">
        <f>SUMIFS(T_Shipments[Confirmed_Qty],T_Shipments[RM_Code],$A41,T_Shipments[Effective_Week],40)</f>
        <v/>
      </c>
      <c r="AP41">
        <f>SUMIFS(T_Shipments[Confirmed_Qty],T_Shipments[RM_Code],$A41,T_Shipments[Effective_Week],41)</f>
        <v/>
      </c>
      <c r="AQ41">
        <f>SUMIFS(T_Shipments[Confirmed_Qty],T_Shipments[RM_Code],$A41,T_Shipments[Effective_Week],42)</f>
        <v/>
      </c>
      <c r="AR41">
        <f>SUMIFS(T_Shipments[Confirmed_Qty],T_Shipments[RM_Code],$A41,T_Shipments[Effective_Week],43)</f>
        <v/>
      </c>
      <c r="AS41">
        <f>SUMIFS(T_Shipments[Confirmed_Qty],T_Shipments[RM_Code],$A41,T_Shipments[Effective_Week],44)</f>
        <v/>
      </c>
      <c r="AT41">
        <f>SUMIFS(T_Shipments[Confirmed_Qty],T_Shipments[RM_Code],$A41,T_Shipments[Effective_Week],45)</f>
        <v/>
      </c>
      <c r="AU41">
        <f>SUMIFS(T_Shipments[Confirmed_Qty],T_Shipments[RM_Code],$A41,T_Shipments[Effective_Week],46)</f>
        <v/>
      </c>
      <c r="AV41">
        <f>SUMIFS(T_Shipments[Confirmed_Qty],T_Shipments[RM_Code],$A41,T_Shipments[Effective_Week],47)</f>
        <v/>
      </c>
      <c r="AW41">
        <f>SUMIFS(T_Shipments[Confirmed_Qty],T_Shipments[RM_Code],$A41,T_Shipments[Effective_Week],48)</f>
        <v/>
      </c>
      <c r="AX41">
        <f>SUMIFS(T_Shipments[Confirmed_Qty],T_Shipments[RM_Code],$A41,T_Shipments[Effective_Week],49)</f>
        <v/>
      </c>
      <c r="AY41">
        <f>SUMIFS(T_Shipments[Confirmed_Qty],T_Shipments[RM_Code],$A41,T_Shipments[Effective_Week],50)</f>
        <v/>
      </c>
      <c r="AZ41">
        <f>SUMIFS(T_Shipments[Confirmed_Qty],T_Shipments[RM_Code],$A41,T_Shipments[Effective_Week],51)</f>
        <v/>
      </c>
      <c r="BA41">
        <f>SUMIFS(T_Shipments[Confirmed_Qty],T_Shipments[RM_Code],$A41,T_Shipments[Effective_Week],52)</f>
        <v/>
      </c>
      <c r="BB41">
        <f>SUMIFS(T_Shipments[Confirmed_Qty],T_Shipments[RM_Code],$A41,T_Shipments[Effective_Week],53)</f>
        <v/>
      </c>
      <c r="BC41">
        <f>SUMIFS(T_Shipments[Confirmed_Qty],T_Shipments[RM_Code],$A41,T_Shipments[Effective_Week],54)</f>
        <v/>
      </c>
      <c r="BD41">
        <f>SUMIFS(T_Shipments[Confirmed_Qty],T_Shipments[RM_Code],$A41,T_Shipments[Effective_Week],55)</f>
        <v/>
      </c>
      <c r="BE41">
        <f>SUMIFS(T_Shipments[Confirmed_Qty],T_Shipments[RM_Code],$A41,T_Shipments[Effective_Week],56)</f>
        <v/>
      </c>
      <c r="BF41">
        <f>SUMIFS(T_Shipments[Confirmed_Qty],T_Shipments[RM_Code],$A41,T_Shipments[Effective_Week],57)</f>
        <v/>
      </c>
      <c r="BG41">
        <f>SUMIFS(T_Shipments[Confirmed_Qty],T_Shipments[RM_Code],$A41,T_Shipments[Effective_Week],58)</f>
        <v/>
      </c>
      <c r="BH41">
        <f>SUMIFS(T_Shipments[Confirmed_Qty],T_Shipments[RM_Code],$A41,T_Shipments[Effective_Week],59)</f>
        <v/>
      </c>
      <c r="BI41">
        <f>SUMIFS(T_Shipments[Confirmed_Qty],T_Shipments[RM_Code],$A41,T_Shipments[Effective_Week],60)</f>
        <v/>
      </c>
      <c r="BJ41">
        <f>SUMIFS(T_Shipments[Confirmed_Qty],T_Shipments[RM_Code],$A41,T_Shipments[Effective_Week],61)</f>
        <v/>
      </c>
      <c r="BK41">
        <f>SUMIFS(T_Shipments[Confirmed_Qty],T_Shipments[RM_Code],$A41,T_Shipments[Effective_Week],62)</f>
        <v/>
      </c>
      <c r="BL41">
        <f>SUMIFS(T_Shipments[Confirmed_Qty],T_Shipments[RM_Code],$A41,T_Shipments[Effective_Week],63)</f>
        <v/>
      </c>
      <c r="BM41">
        <f>SUMIFS(T_Shipments[Confirmed_Qty],T_Shipments[RM_Code],$A41,T_Shipments[Effective_Week],64)</f>
        <v/>
      </c>
      <c r="BN41">
        <f>SUMIFS(T_Shipments[Confirmed_Qty],T_Shipments[RM_Code],$A41,T_Shipments[Effective_Week],65)</f>
        <v/>
      </c>
      <c r="BO41">
        <f>SUMIFS(T_Shipments[Confirmed_Qty],T_Shipments[RM_Code],$A41,T_Shipments[Effective_Week],66)</f>
        <v/>
      </c>
      <c r="BP41">
        <f>SUMIFS(T_Shipments[Confirmed_Qty],T_Shipments[RM_Code],$A41,T_Shipments[Effective_Week],67)</f>
        <v/>
      </c>
      <c r="BQ41">
        <f>SUMIFS(T_Shipments[Confirmed_Qty],T_Shipments[RM_Code],$A41,T_Shipments[Effective_Week],68)</f>
        <v/>
      </c>
      <c r="BR41">
        <f>SUMIFS(T_Shipments[Confirmed_Qty],T_Shipments[RM_Code],$A41,T_Shipments[Effective_Week],69)</f>
        <v/>
      </c>
      <c r="BS41">
        <f>SUMIFS(T_Shipments[Confirmed_Qty],T_Shipments[RM_Code],$A41,T_Shipments[Effective_Week],70)</f>
        <v/>
      </c>
      <c r="BT41">
        <f>SUMIFS(T_Shipments[Confirmed_Qty],T_Shipments[RM_Code],$A41,T_Shipments[Effective_Week],71)</f>
        <v/>
      </c>
      <c r="BU41">
        <f>SUMIFS(T_Shipments[Confirmed_Qty],T_Shipments[RM_Code],$A41,T_Shipments[Effective_Week],72)</f>
        <v/>
      </c>
      <c r="BV41">
        <f>SUMIFS(T_Shipments[Confirmed_Qty],T_Shipments[RM_Code],$A41,T_Shipments[Effective_Week],73)</f>
        <v/>
      </c>
      <c r="BW41">
        <f>SUMIFS(T_Shipments[Confirmed_Qty],T_Shipments[RM_Code],$A41,T_Shipments[Effective_Week],74)</f>
        <v/>
      </c>
      <c r="BX41">
        <f>SUMIFS(T_Shipments[Confirmed_Qty],T_Shipments[RM_Code],$A41,T_Shipments[Effective_Week],75)</f>
        <v/>
      </c>
      <c r="BY41">
        <f>SUMIFS(T_Shipments[Confirmed_Qty],T_Shipments[RM_Code],$A41,T_Shipments[Effective_Week],76)</f>
        <v/>
      </c>
      <c r="BZ41">
        <f>SUMIFS(T_Shipments[Confirmed_Qty],T_Shipments[RM_Code],$A41,T_Shipments[Effective_Week],77)</f>
        <v/>
      </c>
      <c r="CA41">
        <f>SUMIFS(T_Shipments[Confirmed_Qty],T_Shipments[RM_Code],$A41,T_Shipments[Effective_Week],78)</f>
        <v/>
      </c>
      <c r="CB41">
        <f>SUMIFS(T_Shipments[Confirmed_Qty],T_Shipments[RM_Code],$A41,T_Shipments[Effective_Week],79)</f>
        <v/>
      </c>
      <c r="CC41">
        <f>SUMIFS(T_Shipments[Confirmed_Qty],T_Shipments[RM_Code],$A41,T_Shipments[Effective_Week],80)</f>
        <v/>
      </c>
      <c r="CD41">
        <f>SUMIFS(T_Shipments[Confirmed_Qty],T_Shipments[RM_Code],$A41,T_Shipments[Effective_Week],81)</f>
        <v/>
      </c>
      <c r="CE41">
        <f>SUMIFS(T_Shipments[Confirmed_Qty],T_Shipments[RM_Code],$A41,T_Shipments[Effective_Week],82)</f>
        <v/>
      </c>
      <c r="CF41">
        <f>SUMIFS(T_Shipments[Confirmed_Qty],T_Shipments[RM_Code],$A41,T_Shipments[Effective_Week],83)</f>
        <v/>
      </c>
      <c r="CG41">
        <f>SUMIFS(T_Shipments[Confirmed_Qty],T_Shipments[RM_Code],$A41,T_Shipments[Effective_Week],84)</f>
        <v/>
      </c>
      <c r="CH41">
        <f>SUMIFS(T_Shipments[Confirmed_Qty],T_Shipments[RM_Code],$A41,T_Shipments[Effective_Week],85)</f>
        <v/>
      </c>
      <c r="CI41">
        <f>SUMIFS(T_Shipments[Confirmed_Qty],T_Shipments[RM_Code],$A41,T_Shipments[Effective_Week],86)</f>
        <v/>
      </c>
      <c r="CJ41">
        <f>SUMIFS(T_Shipments[Confirmed_Qty],T_Shipments[RM_Code],$A41,T_Shipments[Effective_Week],87)</f>
        <v/>
      </c>
      <c r="CK41">
        <f>SUMIFS(T_Shipments[Confirmed_Qty],T_Shipments[RM_Code],$A41,T_Shipments[Effective_Week],88)</f>
        <v/>
      </c>
      <c r="CL41">
        <f>SUMIFS(T_Shipments[Confirmed_Qty],T_Shipments[RM_Code],$A41,T_Shipments[Effective_Week],89)</f>
        <v/>
      </c>
      <c r="CM41">
        <f>SUMIFS(T_Shipments[Confirmed_Qty],T_Shipments[RM_Code],$A41,T_Shipments[Effective_Week],90)</f>
        <v/>
      </c>
      <c r="CN41">
        <f>SUMIFS(T_Shipments[Confirmed_Qty],T_Shipments[RM_Code],$A41,T_Shipments[Effective_Week],91)</f>
        <v/>
      </c>
      <c r="CO41">
        <f>SUMIFS(T_Shipments[Confirmed_Qty],T_Shipments[RM_Code],$A41,T_Shipments[Effective_Week],92)</f>
        <v/>
      </c>
      <c r="CP41">
        <f>SUMIFS(T_Shipments[Confirmed_Qty],T_Shipments[RM_Code],$A41,T_Shipments[Effective_Week],93)</f>
        <v/>
      </c>
      <c r="CQ41">
        <f>SUMIFS(T_Shipments[Confirmed_Qty],T_Shipments[RM_Code],$A41,T_Shipments[Effective_Week],94)</f>
        <v/>
      </c>
      <c r="CR41">
        <f>SUMIFS(T_Shipments[Confirmed_Qty],T_Shipments[RM_Code],$A41,T_Shipments[Effective_Week],95)</f>
        <v/>
      </c>
      <c r="CS41">
        <f>SUMIFS(T_Shipments[Confirmed_Qty],T_Shipments[RM_Code],$A41,T_Shipments[Effective_Week],96)</f>
        <v/>
      </c>
      <c r="CT41">
        <f>SUMIFS(T_Shipments[Confirmed_Qty],T_Shipments[RM_Code],$A41,T_Shipments[Effective_Week],97)</f>
        <v/>
      </c>
      <c r="CU41">
        <f>SUMIFS(T_Shipments[Confirmed_Qty],T_Shipments[RM_Code],$A41,T_Shipments[Effective_Week],98)</f>
        <v/>
      </c>
      <c r="CV41">
        <f>SUMIFS(T_Shipments[Confirmed_Qty],T_Shipments[RM_Code],$A41,T_Shipments[Effective_Week],99)</f>
        <v/>
      </c>
      <c r="CW41">
        <f>SUMIFS(T_Shipments[Confirmed_Qty],T_Shipments[RM_Code],$A41,T_Shipments[Effective_Week],100)</f>
        <v/>
      </c>
      <c r="CX41">
        <f>SUMIFS(T_Shipments[Confirmed_Qty],T_Shipments[RM_Code],$A41,T_Shipments[Effective_Week],101)</f>
        <v/>
      </c>
      <c r="CY41">
        <f>SUMIFS(T_Shipments[Confirmed_Qty],T_Shipments[RM_Code],$A41,T_Shipments[Effective_Week],102)</f>
        <v/>
      </c>
      <c r="CZ41">
        <f>SUMIFS(T_Shipments[Confirmed_Qty],T_Shipments[RM_Code],$A41,T_Shipments[Effective_Week],103)</f>
        <v/>
      </c>
      <c r="DA41">
        <f>SUMIFS(T_Shipments[Confirmed_Qty],T_Shipments[RM_Code],$A41,T_Shipments[Effective_Week],104)</f>
        <v/>
      </c>
    </row>
    <row r="42">
      <c r="A42" t="inlineStr">
        <is>
          <t>CHEM-1730</t>
        </is>
      </c>
      <c r="B42">
        <f>SUMIFS(T_Shipments[Confirmed_Qty],T_Shipments[RM_Code],$A42,T_Shipments[Effective_Week],1)</f>
        <v/>
      </c>
      <c r="C42">
        <f>SUMIFS(T_Shipments[Confirmed_Qty],T_Shipments[RM_Code],$A42,T_Shipments[Effective_Week],2)</f>
        <v/>
      </c>
      <c r="D42">
        <f>SUMIFS(T_Shipments[Confirmed_Qty],T_Shipments[RM_Code],$A42,T_Shipments[Effective_Week],3)</f>
        <v/>
      </c>
      <c r="E42">
        <f>SUMIFS(T_Shipments[Confirmed_Qty],T_Shipments[RM_Code],$A42,T_Shipments[Effective_Week],4)</f>
        <v/>
      </c>
      <c r="F42">
        <f>SUMIFS(T_Shipments[Confirmed_Qty],T_Shipments[RM_Code],$A42,T_Shipments[Effective_Week],5)</f>
        <v/>
      </c>
      <c r="G42">
        <f>SUMIFS(T_Shipments[Confirmed_Qty],T_Shipments[RM_Code],$A42,T_Shipments[Effective_Week],6)</f>
        <v/>
      </c>
      <c r="H42">
        <f>SUMIFS(T_Shipments[Confirmed_Qty],T_Shipments[RM_Code],$A42,T_Shipments[Effective_Week],7)</f>
        <v/>
      </c>
      <c r="I42">
        <f>SUMIFS(T_Shipments[Confirmed_Qty],T_Shipments[RM_Code],$A42,T_Shipments[Effective_Week],8)</f>
        <v/>
      </c>
      <c r="J42">
        <f>SUMIFS(T_Shipments[Confirmed_Qty],T_Shipments[RM_Code],$A42,T_Shipments[Effective_Week],9)</f>
        <v/>
      </c>
      <c r="K42">
        <f>SUMIFS(T_Shipments[Confirmed_Qty],T_Shipments[RM_Code],$A42,T_Shipments[Effective_Week],10)</f>
        <v/>
      </c>
      <c r="L42">
        <f>SUMIFS(T_Shipments[Confirmed_Qty],T_Shipments[RM_Code],$A42,T_Shipments[Effective_Week],11)</f>
        <v/>
      </c>
      <c r="M42">
        <f>SUMIFS(T_Shipments[Confirmed_Qty],T_Shipments[RM_Code],$A42,T_Shipments[Effective_Week],12)</f>
        <v/>
      </c>
      <c r="N42">
        <f>SUMIFS(T_Shipments[Confirmed_Qty],T_Shipments[RM_Code],$A42,T_Shipments[Effective_Week],13)</f>
        <v/>
      </c>
      <c r="O42">
        <f>SUMIFS(T_Shipments[Confirmed_Qty],T_Shipments[RM_Code],$A42,T_Shipments[Effective_Week],14)</f>
        <v/>
      </c>
      <c r="P42">
        <f>SUMIFS(T_Shipments[Confirmed_Qty],T_Shipments[RM_Code],$A42,T_Shipments[Effective_Week],15)</f>
        <v/>
      </c>
      <c r="Q42">
        <f>SUMIFS(T_Shipments[Confirmed_Qty],T_Shipments[RM_Code],$A42,T_Shipments[Effective_Week],16)</f>
        <v/>
      </c>
      <c r="R42">
        <f>SUMIFS(T_Shipments[Confirmed_Qty],T_Shipments[RM_Code],$A42,T_Shipments[Effective_Week],17)</f>
        <v/>
      </c>
      <c r="S42">
        <f>SUMIFS(T_Shipments[Confirmed_Qty],T_Shipments[RM_Code],$A42,T_Shipments[Effective_Week],18)</f>
        <v/>
      </c>
      <c r="T42">
        <f>SUMIFS(T_Shipments[Confirmed_Qty],T_Shipments[RM_Code],$A42,T_Shipments[Effective_Week],19)</f>
        <v/>
      </c>
      <c r="U42">
        <f>SUMIFS(T_Shipments[Confirmed_Qty],T_Shipments[RM_Code],$A42,T_Shipments[Effective_Week],20)</f>
        <v/>
      </c>
      <c r="V42">
        <f>SUMIFS(T_Shipments[Confirmed_Qty],T_Shipments[RM_Code],$A42,T_Shipments[Effective_Week],21)</f>
        <v/>
      </c>
      <c r="W42">
        <f>SUMIFS(T_Shipments[Confirmed_Qty],T_Shipments[RM_Code],$A42,T_Shipments[Effective_Week],22)</f>
        <v/>
      </c>
      <c r="X42">
        <f>SUMIFS(T_Shipments[Confirmed_Qty],T_Shipments[RM_Code],$A42,T_Shipments[Effective_Week],23)</f>
        <v/>
      </c>
      <c r="Y42">
        <f>SUMIFS(T_Shipments[Confirmed_Qty],T_Shipments[RM_Code],$A42,T_Shipments[Effective_Week],24)</f>
        <v/>
      </c>
      <c r="Z42">
        <f>SUMIFS(T_Shipments[Confirmed_Qty],T_Shipments[RM_Code],$A42,T_Shipments[Effective_Week],25)</f>
        <v/>
      </c>
      <c r="AA42">
        <f>SUMIFS(T_Shipments[Confirmed_Qty],T_Shipments[RM_Code],$A42,T_Shipments[Effective_Week],26)</f>
        <v/>
      </c>
      <c r="AB42">
        <f>SUMIFS(T_Shipments[Confirmed_Qty],T_Shipments[RM_Code],$A42,T_Shipments[Effective_Week],27)</f>
        <v/>
      </c>
      <c r="AC42">
        <f>SUMIFS(T_Shipments[Confirmed_Qty],T_Shipments[RM_Code],$A42,T_Shipments[Effective_Week],28)</f>
        <v/>
      </c>
      <c r="AD42">
        <f>SUMIFS(T_Shipments[Confirmed_Qty],T_Shipments[RM_Code],$A42,T_Shipments[Effective_Week],29)</f>
        <v/>
      </c>
      <c r="AE42">
        <f>SUMIFS(T_Shipments[Confirmed_Qty],T_Shipments[RM_Code],$A42,T_Shipments[Effective_Week],30)</f>
        <v/>
      </c>
      <c r="AF42">
        <f>SUMIFS(T_Shipments[Confirmed_Qty],T_Shipments[RM_Code],$A42,T_Shipments[Effective_Week],31)</f>
        <v/>
      </c>
      <c r="AG42">
        <f>SUMIFS(T_Shipments[Confirmed_Qty],T_Shipments[RM_Code],$A42,T_Shipments[Effective_Week],32)</f>
        <v/>
      </c>
      <c r="AH42">
        <f>SUMIFS(T_Shipments[Confirmed_Qty],T_Shipments[RM_Code],$A42,T_Shipments[Effective_Week],33)</f>
        <v/>
      </c>
      <c r="AI42">
        <f>SUMIFS(T_Shipments[Confirmed_Qty],T_Shipments[RM_Code],$A42,T_Shipments[Effective_Week],34)</f>
        <v/>
      </c>
      <c r="AJ42">
        <f>SUMIFS(T_Shipments[Confirmed_Qty],T_Shipments[RM_Code],$A42,T_Shipments[Effective_Week],35)</f>
        <v/>
      </c>
      <c r="AK42">
        <f>SUMIFS(T_Shipments[Confirmed_Qty],T_Shipments[RM_Code],$A42,T_Shipments[Effective_Week],36)</f>
        <v/>
      </c>
      <c r="AL42">
        <f>SUMIFS(T_Shipments[Confirmed_Qty],T_Shipments[RM_Code],$A42,T_Shipments[Effective_Week],37)</f>
        <v/>
      </c>
      <c r="AM42">
        <f>SUMIFS(T_Shipments[Confirmed_Qty],T_Shipments[RM_Code],$A42,T_Shipments[Effective_Week],38)</f>
        <v/>
      </c>
      <c r="AN42">
        <f>SUMIFS(T_Shipments[Confirmed_Qty],T_Shipments[RM_Code],$A42,T_Shipments[Effective_Week],39)</f>
        <v/>
      </c>
      <c r="AO42">
        <f>SUMIFS(T_Shipments[Confirmed_Qty],T_Shipments[RM_Code],$A42,T_Shipments[Effective_Week],40)</f>
        <v/>
      </c>
      <c r="AP42">
        <f>SUMIFS(T_Shipments[Confirmed_Qty],T_Shipments[RM_Code],$A42,T_Shipments[Effective_Week],41)</f>
        <v/>
      </c>
      <c r="AQ42">
        <f>SUMIFS(T_Shipments[Confirmed_Qty],T_Shipments[RM_Code],$A42,T_Shipments[Effective_Week],42)</f>
        <v/>
      </c>
      <c r="AR42">
        <f>SUMIFS(T_Shipments[Confirmed_Qty],T_Shipments[RM_Code],$A42,T_Shipments[Effective_Week],43)</f>
        <v/>
      </c>
      <c r="AS42">
        <f>SUMIFS(T_Shipments[Confirmed_Qty],T_Shipments[RM_Code],$A42,T_Shipments[Effective_Week],44)</f>
        <v/>
      </c>
      <c r="AT42">
        <f>SUMIFS(T_Shipments[Confirmed_Qty],T_Shipments[RM_Code],$A42,T_Shipments[Effective_Week],45)</f>
        <v/>
      </c>
      <c r="AU42">
        <f>SUMIFS(T_Shipments[Confirmed_Qty],T_Shipments[RM_Code],$A42,T_Shipments[Effective_Week],46)</f>
        <v/>
      </c>
      <c r="AV42">
        <f>SUMIFS(T_Shipments[Confirmed_Qty],T_Shipments[RM_Code],$A42,T_Shipments[Effective_Week],47)</f>
        <v/>
      </c>
      <c r="AW42">
        <f>SUMIFS(T_Shipments[Confirmed_Qty],T_Shipments[RM_Code],$A42,T_Shipments[Effective_Week],48)</f>
        <v/>
      </c>
      <c r="AX42">
        <f>SUMIFS(T_Shipments[Confirmed_Qty],T_Shipments[RM_Code],$A42,T_Shipments[Effective_Week],49)</f>
        <v/>
      </c>
      <c r="AY42">
        <f>SUMIFS(T_Shipments[Confirmed_Qty],T_Shipments[RM_Code],$A42,T_Shipments[Effective_Week],50)</f>
        <v/>
      </c>
      <c r="AZ42">
        <f>SUMIFS(T_Shipments[Confirmed_Qty],T_Shipments[RM_Code],$A42,T_Shipments[Effective_Week],51)</f>
        <v/>
      </c>
      <c r="BA42">
        <f>SUMIFS(T_Shipments[Confirmed_Qty],T_Shipments[RM_Code],$A42,T_Shipments[Effective_Week],52)</f>
        <v/>
      </c>
      <c r="BB42">
        <f>SUMIFS(T_Shipments[Confirmed_Qty],T_Shipments[RM_Code],$A42,T_Shipments[Effective_Week],53)</f>
        <v/>
      </c>
      <c r="BC42">
        <f>SUMIFS(T_Shipments[Confirmed_Qty],T_Shipments[RM_Code],$A42,T_Shipments[Effective_Week],54)</f>
        <v/>
      </c>
      <c r="BD42">
        <f>SUMIFS(T_Shipments[Confirmed_Qty],T_Shipments[RM_Code],$A42,T_Shipments[Effective_Week],55)</f>
        <v/>
      </c>
      <c r="BE42">
        <f>SUMIFS(T_Shipments[Confirmed_Qty],T_Shipments[RM_Code],$A42,T_Shipments[Effective_Week],56)</f>
        <v/>
      </c>
      <c r="BF42">
        <f>SUMIFS(T_Shipments[Confirmed_Qty],T_Shipments[RM_Code],$A42,T_Shipments[Effective_Week],57)</f>
        <v/>
      </c>
      <c r="BG42">
        <f>SUMIFS(T_Shipments[Confirmed_Qty],T_Shipments[RM_Code],$A42,T_Shipments[Effective_Week],58)</f>
        <v/>
      </c>
      <c r="BH42">
        <f>SUMIFS(T_Shipments[Confirmed_Qty],T_Shipments[RM_Code],$A42,T_Shipments[Effective_Week],59)</f>
        <v/>
      </c>
      <c r="BI42">
        <f>SUMIFS(T_Shipments[Confirmed_Qty],T_Shipments[RM_Code],$A42,T_Shipments[Effective_Week],60)</f>
        <v/>
      </c>
      <c r="BJ42">
        <f>SUMIFS(T_Shipments[Confirmed_Qty],T_Shipments[RM_Code],$A42,T_Shipments[Effective_Week],61)</f>
        <v/>
      </c>
      <c r="BK42">
        <f>SUMIFS(T_Shipments[Confirmed_Qty],T_Shipments[RM_Code],$A42,T_Shipments[Effective_Week],62)</f>
        <v/>
      </c>
      <c r="BL42">
        <f>SUMIFS(T_Shipments[Confirmed_Qty],T_Shipments[RM_Code],$A42,T_Shipments[Effective_Week],63)</f>
        <v/>
      </c>
      <c r="BM42">
        <f>SUMIFS(T_Shipments[Confirmed_Qty],T_Shipments[RM_Code],$A42,T_Shipments[Effective_Week],64)</f>
        <v/>
      </c>
      <c r="BN42">
        <f>SUMIFS(T_Shipments[Confirmed_Qty],T_Shipments[RM_Code],$A42,T_Shipments[Effective_Week],65)</f>
        <v/>
      </c>
      <c r="BO42">
        <f>SUMIFS(T_Shipments[Confirmed_Qty],T_Shipments[RM_Code],$A42,T_Shipments[Effective_Week],66)</f>
        <v/>
      </c>
      <c r="BP42">
        <f>SUMIFS(T_Shipments[Confirmed_Qty],T_Shipments[RM_Code],$A42,T_Shipments[Effective_Week],67)</f>
        <v/>
      </c>
      <c r="BQ42">
        <f>SUMIFS(T_Shipments[Confirmed_Qty],T_Shipments[RM_Code],$A42,T_Shipments[Effective_Week],68)</f>
        <v/>
      </c>
      <c r="BR42">
        <f>SUMIFS(T_Shipments[Confirmed_Qty],T_Shipments[RM_Code],$A42,T_Shipments[Effective_Week],69)</f>
        <v/>
      </c>
      <c r="BS42">
        <f>SUMIFS(T_Shipments[Confirmed_Qty],T_Shipments[RM_Code],$A42,T_Shipments[Effective_Week],70)</f>
        <v/>
      </c>
      <c r="BT42">
        <f>SUMIFS(T_Shipments[Confirmed_Qty],T_Shipments[RM_Code],$A42,T_Shipments[Effective_Week],71)</f>
        <v/>
      </c>
      <c r="BU42">
        <f>SUMIFS(T_Shipments[Confirmed_Qty],T_Shipments[RM_Code],$A42,T_Shipments[Effective_Week],72)</f>
        <v/>
      </c>
      <c r="BV42">
        <f>SUMIFS(T_Shipments[Confirmed_Qty],T_Shipments[RM_Code],$A42,T_Shipments[Effective_Week],73)</f>
        <v/>
      </c>
      <c r="BW42">
        <f>SUMIFS(T_Shipments[Confirmed_Qty],T_Shipments[RM_Code],$A42,T_Shipments[Effective_Week],74)</f>
        <v/>
      </c>
      <c r="BX42">
        <f>SUMIFS(T_Shipments[Confirmed_Qty],T_Shipments[RM_Code],$A42,T_Shipments[Effective_Week],75)</f>
        <v/>
      </c>
      <c r="BY42">
        <f>SUMIFS(T_Shipments[Confirmed_Qty],T_Shipments[RM_Code],$A42,T_Shipments[Effective_Week],76)</f>
        <v/>
      </c>
      <c r="BZ42">
        <f>SUMIFS(T_Shipments[Confirmed_Qty],T_Shipments[RM_Code],$A42,T_Shipments[Effective_Week],77)</f>
        <v/>
      </c>
      <c r="CA42">
        <f>SUMIFS(T_Shipments[Confirmed_Qty],T_Shipments[RM_Code],$A42,T_Shipments[Effective_Week],78)</f>
        <v/>
      </c>
      <c r="CB42">
        <f>SUMIFS(T_Shipments[Confirmed_Qty],T_Shipments[RM_Code],$A42,T_Shipments[Effective_Week],79)</f>
        <v/>
      </c>
      <c r="CC42">
        <f>SUMIFS(T_Shipments[Confirmed_Qty],T_Shipments[RM_Code],$A42,T_Shipments[Effective_Week],80)</f>
        <v/>
      </c>
      <c r="CD42">
        <f>SUMIFS(T_Shipments[Confirmed_Qty],T_Shipments[RM_Code],$A42,T_Shipments[Effective_Week],81)</f>
        <v/>
      </c>
      <c r="CE42">
        <f>SUMIFS(T_Shipments[Confirmed_Qty],T_Shipments[RM_Code],$A42,T_Shipments[Effective_Week],82)</f>
        <v/>
      </c>
      <c r="CF42">
        <f>SUMIFS(T_Shipments[Confirmed_Qty],T_Shipments[RM_Code],$A42,T_Shipments[Effective_Week],83)</f>
        <v/>
      </c>
      <c r="CG42">
        <f>SUMIFS(T_Shipments[Confirmed_Qty],T_Shipments[RM_Code],$A42,T_Shipments[Effective_Week],84)</f>
        <v/>
      </c>
      <c r="CH42">
        <f>SUMIFS(T_Shipments[Confirmed_Qty],T_Shipments[RM_Code],$A42,T_Shipments[Effective_Week],85)</f>
        <v/>
      </c>
      <c r="CI42">
        <f>SUMIFS(T_Shipments[Confirmed_Qty],T_Shipments[RM_Code],$A42,T_Shipments[Effective_Week],86)</f>
        <v/>
      </c>
      <c r="CJ42">
        <f>SUMIFS(T_Shipments[Confirmed_Qty],T_Shipments[RM_Code],$A42,T_Shipments[Effective_Week],87)</f>
        <v/>
      </c>
      <c r="CK42">
        <f>SUMIFS(T_Shipments[Confirmed_Qty],T_Shipments[RM_Code],$A42,T_Shipments[Effective_Week],88)</f>
        <v/>
      </c>
      <c r="CL42">
        <f>SUMIFS(T_Shipments[Confirmed_Qty],T_Shipments[RM_Code],$A42,T_Shipments[Effective_Week],89)</f>
        <v/>
      </c>
      <c r="CM42">
        <f>SUMIFS(T_Shipments[Confirmed_Qty],T_Shipments[RM_Code],$A42,T_Shipments[Effective_Week],90)</f>
        <v/>
      </c>
      <c r="CN42">
        <f>SUMIFS(T_Shipments[Confirmed_Qty],T_Shipments[RM_Code],$A42,T_Shipments[Effective_Week],91)</f>
        <v/>
      </c>
      <c r="CO42">
        <f>SUMIFS(T_Shipments[Confirmed_Qty],T_Shipments[RM_Code],$A42,T_Shipments[Effective_Week],92)</f>
        <v/>
      </c>
      <c r="CP42">
        <f>SUMIFS(T_Shipments[Confirmed_Qty],T_Shipments[RM_Code],$A42,T_Shipments[Effective_Week],93)</f>
        <v/>
      </c>
      <c r="CQ42">
        <f>SUMIFS(T_Shipments[Confirmed_Qty],T_Shipments[RM_Code],$A42,T_Shipments[Effective_Week],94)</f>
        <v/>
      </c>
      <c r="CR42">
        <f>SUMIFS(T_Shipments[Confirmed_Qty],T_Shipments[RM_Code],$A42,T_Shipments[Effective_Week],95)</f>
        <v/>
      </c>
      <c r="CS42">
        <f>SUMIFS(T_Shipments[Confirmed_Qty],T_Shipments[RM_Code],$A42,T_Shipments[Effective_Week],96)</f>
        <v/>
      </c>
      <c r="CT42">
        <f>SUMIFS(T_Shipments[Confirmed_Qty],T_Shipments[RM_Code],$A42,T_Shipments[Effective_Week],97)</f>
        <v/>
      </c>
      <c r="CU42">
        <f>SUMIFS(T_Shipments[Confirmed_Qty],T_Shipments[RM_Code],$A42,T_Shipments[Effective_Week],98)</f>
        <v/>
      </c>
      <c r="CV42">
        <f>SUMIFS(T_Shipments[Confirmed_Qty],T_Shipments[RM_Code],$A42,T_Shipments[Effective_Week],99)</f>
        <v/>
      </c>
      <c r="CW42">
        <f>SUMIFS(T_Shipments[Confirmed_Qty],T_Shipments[RM_Code],$A42,T_Shipments[Effective_Week],100)</f>
        <v/>
      </c>
      <c r="CX42">
        <f>SUMIFS(T_Shipments[Confirmed_Qty],T_Shipments[RM_Code],$A42,T_Shipments[Effective_Week],101)</f>
        <v/>
      </c>
      <c r="CY42">
        <f>SUMIFS(T_Shipments[Confirmed_Qty],T_Shipments[RM_Code],$A42,T_Shipments[Effective_Week],102)</f>
        <v/>
      </c>
      <c r="CZ42">
        <f>SUMIFS(T_Shipments[Confirmed_Qty],T_Shipments[RM_Code],$A42,T_Shipments[Effective_Week],103)</f>
        <v/>
      </c>
      <c r="DA42">
        <f>SUMIFS(T_Shipments[Confirmed_Qty],T_Shipments[RM_Code],$A42,T_Shipments[Effective_Week],104)</f>
        <v/>
      </c>
    </row>
    <row r="43">
      <c r="A43" t="inlineStr">
        <is>
          <t>CHEM-1110</t>
        </is>
      </c>
      <c r="B43">
        <f>SUMIFS(T_Shipments[Confirmed_Qty],T_Shipments[RM_Code],$A43,T_Shipments[Effective_Week],1)</f>
        <v/>
      </c>
      <c r="C43">
        <f>SUMIFS(T_Shipments[Confirmed_Qty],T_Shipments[RM_Code],$A43,T_Shipments[Effective_Week],2)</f>
        <v/>
      </c>
      <c r="D43">
        <f>SUMIFS(T_Shipments[Confirmed_Qty],T_Shipments[RM_Code],$A43,T_Shipments[Effective_Week],3)</f>
        <v/>
      </c>
      <c r="E43">
        <f>SUMIFS(T_Shipments[Confirmed_Qty],T_Shipments[RM_Code],$A43,T_Shipments[Effective_Week],4)</f>
        <v/>
      </c>
      <c r="F43">
        <f>SUMIFS(T_Shipments[Confirmed_Qty],T_Shipments[RM_Code],$A43,T_Shipments[Effective_Week],5)</f>
        <v/>
      </c>
      <c r="G43">
        <f>SUMIFS(T_Shipments[Confirmed_Qty],T_Shipments[RM_Code],$A43,T_Shipments[Effective_Week],6)</f>
        <v/>
      </c>
      <c r="H43">
        <f>SUMIFS(T_Shipments[Confirmed_Qty],T_Shipments[RM_Code],$A43,T_Shipments[Effective_Week],7)</f>
        <v/>
      </c>
      <c r="I43">
        <f>SUMIFS(T_Shipments[Confirmed_Qty],T_Shipments[RM_Code],$A43,T_Shipments[Effective_Week],8)</f>
        <v/>
      </c>
      <c r="J43">
        <f>SUMIFS(T_Shipments[Confirmed_Qty],T_Shipments[RM_Code],$A43,T_Shipments[Effective_Week],9)</f>
        <v/>
      </c>
      <c r="K43">
        <f>SUMIFS(T_Shipments[Confirmed_Qty],T_Shipments[RM_Code],$A43,T_Shipments[Effective_Week],10)</f>
        <v/>
      </c>
      <c r="L43">
        <f>SUMIFS(T_Shipments[Confirmed_Qty],T_Shipments[RM_Code],$A43,T_Shipments[Effective_Week],11)</f>
        <v/>
      </c>
      <c r="M43">
        <f>SUMIFS(T_Shipments[Confirmed_Qty],T_Shipments[RM_Code],$A43,T_Shipments[Effective_Week],12)</f>
        <v/>
      </c>
      <c r="N43">
        <f>SUMIFS(T_Shipments[Confirmed_Qty],T_Shipments[RM_Code],$A43,T_Shipments[Effective_Week],13)</f>
        <v/>
      </c>
      <c r="O43">
        <f>SUMIFS(T_Shipments[Confirmed_Qty],T_Shipments[RM_Code],$A43,T_Shipments[Effective_Week],14)</f>
        <v/>
      </c>
      <c r="P43">
        <f>SUMIFS(T_Shipments[Confirmed_Qty],T_Shipments[RM_Code],$A43,T_Shipments[Effective_Week],15)</f>
        <v/>
      </c>
      <c r="Q43">
        <f>SUMIFS(T_Shipments[Confirmed_Qty],T_Shipments[RM_Code],$A43,T_Shipments[Effective_Week],16)</f>
        <v/>
      </c>
      <c r="R43">
        <f>SUMIFS(T_Shipments[Confirmed_Qty],T_Shipments[RM_Code],$A43,T_Shipments[Effective_Week],17)</f>
        <v/>
      </c>
      <c r="S43">
        <f>SUMIFS(T_Shipments[Confirmed_Qty],T_Shipments[RM_Code],$A43,T_Shipments[Effective_Week],18)</f>
        <v/>
      </c>
      <c r="T43">
        <f>SUMIFS(T_Shipments[Confirmed_Qty],T_Shipments[RM_Code],$A43,T_Shipments[Effective_Week],19)</f>
        <v/>
      </c>
      <c r="U43">
        <f>SUMIFS(T_Shipments[Confirmed_Qty],T_Shipments[RM_Code],$A43,T_Shipments[Effective_Week],20)</f>
        <v/>
      </c>
      <c r="V43">
        <f>SUMIFS(T_Shipments[Confirmed_Qty],T_Shipments[RM_Code],$A43,T_Shipments[Effective_Week],21)</f>
        <v/>
      </c>
      <c r="W43">
        <f>SUMIFS(T_Shipments[Confirmed_Qty],T_Shipments[RM_Code],$A43,T_Shipments[Effective_Week],22)</f>
        <v/>
      </c>
      <c r="X43">
        <f>SUMIFS(T_Shipments[Confirmed_Qty],T_Shipments[RM_Code],$A43,T_Shipments[Effective_Week],23)</f>
        <v/>
      </c>
      <c r="Y43">
        <f>SUMIFS(T_Shipments[Confirmed_Qty],T_Shipments[RM_Code],$A43,T_Shipments[Effective_Week],24)</f>
        <v/>
      </c>
      <c r="Z43">
        <f>SUMIFS(T_Shipments[Confirmed_Qty],T_Shipments[RM_Code],$A43,T_Shipments[Effective_Week],25)</f>
        <v/>
      </c>
      <c r="AA43">
        <f>SUMIFS(T_Shipments[Confirmed_Qty],T_Shipments[RM_Code],$A43,T_Shipments[Effective_Week],26)</f>
        <v/>
      </c>
      <c r="AB43">
        <f>SUMIFS(T_Shipments[Confirmed_Qty],T_Shipments[RM_Code],$A43,T_Shipments[Effective_Week],27)</f>
        <v/>
      </c>
      <c r="AC43">
        <f>SUMIFS(T_Shipments[Confirmed_Qty],T_Shipments[RM_Code],$A43,T_Shipments[Effective_Week],28)</f>
        <v/>
      </c>
      <c r="AD43">
        <f>SUMIFS(T_Shipments[Confirmed_Qty],T_Shipments[RM_Code],$A43,T_Shipments[Effective_Week],29)</f>
        <v/>
      </c>
      <c r="AE43">
        <f>SUMIFS(T_Shipments[Confirmed_Qty],T_Shipments[RM_Code],$A43,T_Shipments[Effective_Week],30)</f>
        <v/>
      </c>
      <c r="AF43">
        <f>SUMIFS(T_Shipments[Confirmed_Qty],T_Shipments[RM_Code],$A43,T_Shipments[Effective_Week],31)</f>
        <v/>
      </c>
      <c r="AG43">
        <f>SUMIFS(T_Shipments[Confirmed_Qty],T_Shipments[RM_Code],$A43,T_Shipments[Effective_Week],32)</f>
        <v/>
      </c>
      <c r="AH43">
        <f>SUMIFS(T_Shipments[Confirmed_Qty],T_Shipments[RM_Code],$A43,T_Shipments[Effective_Week],33)</f>
        <v/>
      </c>
      <c r="AI43">
        <f>SUMIFS(T_Shipments[Confirmed_Qty],T_Shipments[RM_Code],$A43,T_Shipments[Effective_Week],34)</f>
        <v/>
      </c>
      <c r="AJ43">
        <f>SUMIFS(T_Shipments[Confirmed_Qty],T_Shipments[RM_Code],$A43,T_Shipments[Effective_Week],35)</f>
        <v/>
      </c>
      <c r="AK43">
        <f>SUMIFS(T_Shipments[Confirmed_Qty],T_Shipments[RM_Code],$A43,T_Shipments[Effective_Week],36)</f>
        <v/>
      </c>
      <c r="AL43">
        <f>SUMIFS(T_Shipments[Confirmed_Qty],T_Shipments[RM_Code],$A43,T_Shipments[Effective_Week],37)</f>
        <v/>
      </c>
      <c r="AM43">
        <f>SUMIFS(T_Shipments[Confirmed_Qty],T_Shipments[RM_Code],$A43,T_Shipments[Effective_Week],38)</f>
        <v/>
      </c>
      <c r="AN43">
        <f>SUMIFS(T_Shipments[Confirmed_Qty],T_Shipments[RM_Code],$A43,T_Shipments[Effective_Week],39)</f>
        <v/>
      </c>
      <c r="AO43">
        <f>SUMIFS(T_Shipments[Confirmed_Qty],T_Shipments[RM_Code],$A43,T_Shipments[Effective_Week],40)</f>
        <v/>
      </c>
      <c r="AP43">
        <f>SUMIFS(T_Shipments[Confirmed_Qty],T_Shipments[RM_Code],$A43,T_Shipments[Effective_Week],41)</f>
        <v/>
      </c>
      <c r="AQ43">
        <f>SUMIFS(T_Shipments[Confirmed_Qty],T_Shipments[RM_Code],$A43,T_Shipments[Effective_Week],42)</f>
        <v/>
      </c>
      <c r="AR43">
        <f>SUMIFS(T_Shipments[Confirmed_Qty],T_Shipments[RM_Code],$A43,T_Shipments[Effective_Week],43)</f>
        <v/>
      </c>
      <c r="AS43">
        <f>SUMIFS(T_Shipments[Confirmed_Qty],T_Shipments[RM_Code],$A43,T_Shipments[Effective_Week],44)</f>
        <v/>
      </c>
      <c r="AT43">
        <f>SUMIFS(T_Shipments[Confirmed_Qty],T_Shipments[RM_Code],$A43,T_Shipments[Effective_Week],45)</f>
        <v/>
      </c>
      <c r="AU43">
        <f>SUMIFS(T_Shipments[Confirmed_Qty],T_Shipments[RM_Code],$A43,T_Shipments[Effective_Week],46)</f>
        <v/>
      </c>
      <c r="AV43">
        <f>SUMIFS(T_Shipments[Confirmed_Qty],T_Shipments[RM_Code],$A43,T_Shipments[Effective_Week],47)</f>
        <v/>
      </c>
      <c r="AW43">
        <f>SUMIFS(T_Shipments[Confirmed_Qty],T_Shipments[RM_Code],$A43,T_Shipments[Effective_Week],48)</f>
        <v/>
      </c>
      <c r="AX43">
        <f>SUMIFS(T_Shipments[Confirmed_Qty],T_Shipments[RM_Code],$A43,T_Shipments[Effective_Week],49)</f>
        <v/>
      </c>
      <c r="AY43">
        <f>SUMIFS(T_Shipments[Confirmed_Qty],T_Shipments[RM_Code],$A43,T_Shipments[Effective_Week],50)</f>
        <v/>
      </c>
      <c r="AZ43">
        <f>SUMIFS(T_Shipments[Confirmed_Qty],T_Shipments[RM_Code],$A43,T_Shipments[Effective_Week],51)</f>
        <v/>
      </c>
      <c r="BA43">
        <f>SUMIFS(T_Shipments[Confirmed_Qty],T_Shipments[RM_Code],$A43,T_Shipments[Effective_Week],52)</f>
        <v/>
      </c>
      <c r="BB43">
        <f>SUMIFS(T_Shipments[Confirmed_Qty],T_Shipments[RM_Code],$A43,T_Shipments[Effective_Week],53)</f>
        <v/>
      </c>
      <c r="BC43">
        <f>SUMIFS(T_Shipments[Confirmed_Qty],T_Shipments[RM_Code],$A43,T_Shipments[Effective_Week],54)</f>
        <v/>
      </c>
      <c r="BD43">
        <f>SUMIFS(T_Shipments[Confirmed_Qty],T_Shipments[RM_Code],$A43,T_Shipments[Effective_Week],55)</f>
        <v/>
      </c>
      <c r="BE43">
        <f>SUMIFS(T_Shipments[Confirmed_Qty],T_Shipments[RM_Code],$A43,T_Shipments[Effective_Week],56)</f>
        <v/>
      </c>
      <c r="BF43">
        <f>SUMIFS(T_Shipments[Confirmed_Qty],T_Shipments[RM_Code],$A43,T_Shipments[Effective_Week],57)</f>
        <v/>
      </c>
      <c r="BG43">
        <f>SUMIFS(T_Shipments[Confirmed_Qty],T_Shipments[RM_Code],$A43,T_Shipments[Effective_Week],58)</f>
        <v/>
      </c>
      <c r="BH43">
        <f>SUMIFS(T_Shipments[Confirmed_Qty],T_Shipments[RM_Code],$A43,T_Shipments[Effective_Week],59)</f>
        <v/>
      </c>
      <c r="BI43">
        <f>SUMIFS(T_Shipments[Confirmed_Qty],T_Shipments[RM_Code],$A43,T_Shipments[Effective_Week],60)</f>
        <v/>
      </c>
      <c r="BJ43">
        <f>SUMIFS(T_Shipments[Confirmed_Qty],T_Shipments[RM_Code],$A43,T_Shipments[Effective_Week],61)</f>
        <v/>
      </c>
      <c r="BK43">
        <f>SUMIFS(T_Shipments[Confirmed_Qty],T_Shipments[RM_Code],$A43,T_Shipments[Effective_Week],62)</f>
        <v/>
      </c>
      <c r="BL43">
        <f>SUMIFS(T_Shipments[Confirmed_Qty],T_Shipments[RM_Code],$A43,T_Shipments[Effective_Week],63)</f>
        <v/>
      </c>
      <c r="BM43">
        <f>SUMIFS(T_Shipments[Confirmed_Qty],T_Shipments[RM_Code],$A43,T_Shipments[Effective_Week],64)</f>
        <v/>
      </c>
      <c r="BN43">
        <f>SUMIFS(T_Shipments[Confirmed_Qty],T_Shipments[RM_Code],$A43,T_Shipments[Effective_Week],65)</f>
        <v/>
      </c>
      <c r="BO43">
        <f>SUMIFS(T_Shipments[Confirmed_Qty],T_Shipments[RM_Code],$A43,T_Shipments[Effective_Week],66)</f>
        <v/>
      </c>
      <c r="BP43">
        <f>SUMIFS(T_Shipments[Confirmed_Qty],T_Shipments[RM_Code],$A43,T_Shipments[Effective_Week],67)</f>
        <v/>
      </c>
      <c r="BQ43">
        <f>SUMIFS(T_Shipments[Confirmed_Qty],T_Shipments[RM_Code],$A43,T_Shipments[Effective_Week],68)</f>
        <v/>
      </c>
      <c r="BR43">
        <f>SUMIFS(T_Shipments[Confirmed_Qty],T_Shipments[RM_Code],$A43,T_Shipments[Effective_Week],69)</f>
        <v/>
      </c>
      <c r="BS43">
        <f>SUMIFS(T_Shipments[Confirmed_Qty],T_Shipments[RM_Code],$A43,T_Shipments[Effective_Week],70)</f>
        <v/>
      </c>
      <c r="BT43">
        <f>SUMIFS(T_Shipments[Confirmed_Qty],T_Shipments[RM_Code],$A43,T_Shipments[Effective_Week],71)</f>
        <v/>
      </c>
      <c r="BU43">
        <f>SUMIFS(T_Shipments[Confirmed_Qty],T_Shipments[RM_Code],$A43,T_Shipments[Effective_Week],72)</f>
        <v/>
      </c>
      <c r="BV43">
        <f>SUMIFS(T_Shipments[Confirmed_Qty],T_Shipments[RM_Code],$A43,T_Shipments[Effective_Week],73)</f>
        <v/>
      </c>
      <c r="BW43">
        <f>SUMIFS(T_Shipments[Confirmed_Qty],T_Shipments[RM_Code],$A43,T_Shipments[Effective_Week],74)</f>
        <v/>
      </c>
      <c r="BX43">
        <f>SUMIFS(T_Shipments[Confirmed_Qty],T_Shipments[RM_Code],$A43,T_Shipments[Effective_Week],75)</f>
        <v/>
      </c>
      <c r="BY43">
        <f>SUMIFS(T_Shipments[Confirmed_Qty],T_Shipments[RM_Code],$A43,T_Shipments[Effective_Week],76)</f>
        <v/>
      </c>
      <c r="BZ43">
        <f>SUMIFS(T_Shipments[Confirmed_Qty],T_Shipments[RM_Code],$A43,T_Shipments[Effective_Week],77)</f>
        <v/>
      </c>
      <c r="CA43">
        <f>SUMIFS(T_Shipments[Confirmed_Qty],T_Shipments[RM_Code],$A43,T_Shipments[Effective_Week],78)</f>
        <v/>
      </c>
      <c r="CB43">
        <f>SUMIFS(T_Shipments[Confirmed_Qty],T_Shipments[RM_Code],$A43,T_Shipments[Effective_Week],79)</f>
        <v/>
      </c>
      <c r="CC43">
        <f>SUMIFS(T_Shipments[Confirmed_Qty],T_Shipments[RM_Code],$A43,T_Shipments[Effective_Week],80)</f>
        <v/>
      </c>
      <c r="CD43">
        <f>SUMIFS(T_Shipments[Confirmed_Qty],T_Shipments[RM_Code],$A43,T_Shipments[Effective_Week],81)</f>
        <v/>
      </c>
      <c r="CE43">
        <f>SUMIFS(T_Shipments[Confirmed_Qty],T_Shipments[RM_Code],$A43,T_Shipments[Effective_Week],82)</f>
        <v/>
      </c>
      <c r="CF43">
        <f>SUMIFS(T_Shipments[Confirmed_Qty],T_Shipments[RM_Code],$A43,T_Shipments[Effective_Week],83)</f>
        <v/>
      </c>
      <c r="CG43">
        <f>SUMIFS(T_Shipments[Confirmed_Qty],T_Shipments[RM_Code],$A43,T_Shipments[Effective_Week],84)</f>
        <v/>
      </c>
      <c r="CH43">
        <f>SUMIFS(T_Shipments[Confirmed_Qty],T_Shipments[RM_Code],$A43,T_Shipments[Effective_Week],85)</f>
        <v/>
      </c>
      <c r="CI43">
        <f>SUMIFS(T_Shipments[Confirmed_Qty],T_Shipments[RM_Code],$A43,T_Shipments[Effective_Week],86)</f>
        <v/>
      </c>
      <c r="CJ43">
        <f>SUMIFS(T_Shipments[Confirmed_Qty],T_Shipments[RM_Code],$A43,T_Shipments[Effective_Week],87)</f>
        <v/>
      </c>
      <c r="CK43">
        <f>SUMIFS(T_Shipments[Confirmed_Qty],T_Shipments[RM_Code],$A43,T_Shipments[Effective_Week],88)</f>
        <v/>
      </c>
      <c r="CL43">
        <f>SUMIFS(T_Shipments[Confirmed_Qty],T_Shipments[RM_Code],$A43,T_Shipments[Effective_Week],89)</f>
        <v/>
      </c>
      <c r="CM43">
        <f>SUMIFS(T_Shipments[Confirmed_Qty],T_Shipments[RM_Code],$A43,T_Shipments[Effective_Week],90)</f>
        <v/>
      </c>
      <c r="CN43">
        <f>SUMIFS(T_Shipments[Confirmed_Qty],T_Shipments[RM_Code],$A43,T_Shipments[Effective_Week],91)</f>
        <v/>
      </c>
      <c r="CO43">
        <f>SUMIFS(T_Shipments[Confirmed_Qty],T_Shipments[RM_Code],$A43,T_Shipments[Effective_Week],92)</f>
        <v/>
      </c>
      <c r="CP43">
        <f>SUMIFS(T_Shipments[Confirmed_Qty],T_Shipments[RM_Code],$A43,T_Shipments[Effective_Week],93)</f>
        <v/>
      </c>
      <c r="CQ43">
        <f>SUMIFS(T_Shipments[Confirmed_Qty],T_Shipments[RM_Code],$A43,T_Shipments[Effective_Week],94)</f>
        <v/>
      </c>
      <c r="CR43">
        <f>SUMIFS(T_Shipments[Confirmed_Qty],T_Shipments[RM_Code],$A43,T_Shipments[Effective_Week],95)</f>
        <v/>
      </c>
      <c r="CS43">
        <f>SUMIFS(T_Shipments[Confirmed_Qty],T_Shipments[RM_Code],$A43,T_Shipments[Effective_Week],96)</f>
        <v/>
      </c>
      <c r="CT43">
        <f>SUMIFS(T_Shipments[Confirmed_Qty],T_Shipments[RM_Code],$A43,T_Shipments[Effective_Week],97)</f>
        <v/>
      </c>
      <c r="CU43">
        <f>SUMIFS(T_Shipments[Confirmed_Qty],T_Shipments[RM_Code],$A43,T_Shipments[Effective_Week],98)</f>
        <v/>
      </c>
      <c r="CV43">
        <f>SUMIFS(T_Shipments[Confirmed_Qty],T_Shipments[RM_Code],$A43,T_Shipments[Effective_Week],99)</f>
        <v/>
      </c>
      <c r="CW43">
        <f>SUMIFS(T_Shipments[Confirmed_Qty],T_Shipments[RM_Code],$A43,T_Shipments[Effective_Week],100)</f>
        <v/>
      </c>
      <c r="CX43">
        <f>SUMIFS(T_Shipments[Confirmed_Qty],T_Shipments[RM_Code],$A43,T_Shipments[Effective_Week],101)</f>
        <v/>
      </c>
      <c r="CY43">
        <f>SUMIFS(T_Shipments[Confirmed_Qty],T_Shipments[RM_Code],$A43,T_Shipments[Effective_Week],102)</f>
        <v/>
      </c>
      <c r="CZ43">
        <f>SUMIFS(T_Shipments[Confirmed_Qty],T_Shipments[RM_Code],$A43,T_Shipments[Effective_Week],103)</f>
        <v/>
      </c>
      <c r="DA43">
        <f>SUMIFS(T_Shipments[Confirmed_Qty],T_Shipments[RM_Code],$A43,T_Shipments[Effective_Week],104)</f>
        <v/>
      </c>
    </row>
    <row r="44">
      <c r="A44" t="inlineStr">
        <is>
          <t>CHEM-1120</t>
        </is>
      </c>
      <c r="B44">
        <f>SUMIFS(T_Shipments[Confirmed_Qty],T_Shipments[RM_Code],$A44,T_Shipments[Effective_Week],1)</f>
        <v/>
      </c>
      <c r="C44">
        <f>SUMIFS(T_Shipments[Confirmed_Qty],T_Shipments[RM_Code],$A44,T_Shipments[Effective_Week],2)</f>
        <v/>
      </c>
      <c r="D44">
        <f>SUMIFS(T_Shipments[Confirmed_Qty],T_Shipments[RM_Code],$A44,T_Shipments[Effective_Week],3)</f>
        <v/>
      </c>
      <c r="E44">
        <f>SUMIFS(T_Shipments[Confirmed_Qty],T_Shipments[RM_Code],$A44,T_Shipments[Effective_Week],4)</f>
        <v/>
      </c>
      <c r="F44">
        <f>SUMIFS(T_Shipments[Confirmed_Qty],T_Shipments[RM_Code],$A44,T_Shipments[Effective_Week],5)</f>
        <v/>
      </c>
      <c r="G44">
        <f>SUMIFS(T_Shipments[Confirmed_Qty],T_Shipments[RM_Code],$A44,T_Shipments[Effective_Week],6)</f>
        <v/>
      </c>
      <c r="H44">
        <f>SUMIFS(T_Shipments[Confirmed_Qty],T_Shipments[RM_Code],$A44,T_Shipments[Effective_Week],7)</f>
        <v/>
      </c>
      <c r="I44">
        <f>SUMIFS(T_Shipments[Confirmed_Qty],T_Shipments[RM_Code],$A44,T_Shipments[Effective_Week],8)</f>
        <v/>
      </c>
      <c r="J44">
        <f>SUMIFS(T_Shipments[Confirmed_Qty],T_Shipments[RM_Code],$A44,T_Shipments[Effective_Week],9)</f>
        <v/>
      </c>
      <c r="K44">
        <f>SUMIFS(T_Shipments[Confirmed_Qty],T_Shipments[RM_Code],$A44,T_Shipments[Effective_Week],10)</f>
        <v/>
      </c>
      <c r="L44">
        <f>SUMIFS(T_Shipments[Confirmed_Qty],T_Shipments[RM_Code],$A44,T_Shipments[Effective_Week],11)</f>
        <v/>
      </c>
      <c r="M44">
        <f>SUMIFS(T_Shipments[Confirmed_Qty],T_Shipments[RM_Code],$A44,T_Shipments[Effective_Week],12)</f>
        <v/>
      </c>
      <c r="N44">
        <f>SUMIFS(T_Shipments[Confirmed_Qty],T_Shipments[RM_Code],$A44,T_Shipments[Effective_Week],13)</f>
        <v/>
      </c>
      <c r="O44">
        <f>SUMIFS(T_Shipments[Confirmed_Qty],T_Shipments[RM_Code],$A44,T_Shipments[Effective_Week],14)</f>
        <v/>
      </c>
      <c r="P44">
        <f>SUMIFS(T_Shipments[Confirmed_Qty],T_Shipments[RM_Code],$A44,T_Shipments[Effective_Week],15)</f>
        <v/>
      </c>
      <c r="Q44">
        <f>SUMIFS(T_Shipments[Confirmed_Qty],T_Shipments[RM_Code],$A44,T_Shipments[Effective_Week],16)</f>
        <v/>
      </c>
      <c r="R44">
        <f>SUMIFS(T_Shipments[Confirmed_Qty],T_Shipments[RM_Code],$A44,T_Shipments[Effective_Week],17)</f>
        <v/>
      </c>
      <c r="S44">
        <f>SUMIFS(T_Shipments[Confirmed_Qty],T_Shipments[RM_Code],$A44,T_Shipments[Effective_Week],18)</f>
        <v/>
      </c>
      <c r="T44">
        <f>SUMIFS(T_Shipments[Confirmed_Qty],T_Shipments[RM_Code],$A44,T_Shipments[Effective_Week],19)</f>
        <v/>
      </c>
      <c r="U44">
        <f>SUMIFS(T_Shipments[Confirmed_Qty],T_Shipments[RM_Code],$A44,T_Shipments[Effective_Week],20)</f>
        <v/>
      </c>
      <c r="V44">
        <f>SUMIFS(T_Shipments[Confirmed_Qty],T_Shipments[RM_Code],$A44,T_Shipments[Effective_Week],21)</f>
        <v/>
      </c>
      <c r="W44">
        <f>SUMIFS(T_Shipments[Confirmed_Qty],T_Shipments[RM_Code],$A44,T_Shipments[Effective_Week],22)</f>
        <v/>
      </c>
      <c r="X44">
        <f>SUMIFS(T_Shipments[Confirmed_Qty],T_Shipments[RM_Code],$A44,T_Shipments[Effective_Week],23)</f>
        <v/>
      </c>
      <c r="Y44">
        <f>SUMIFS(T_Shipments[Confirmed_Qty],T_Shipments[RM_Code],$A44,T_Shipments[Effective_Week],24)</f>
        <v/>
      </c>
      <c r="Z44">
        <f>SUMIFS(T_Shipments[Confirmed_Qty],T_Shipments[RM_Code],$A44,T_Shipments[Effective_Week],25)</f>
        <v/>
      </c>
      <c r="AA44">
        <f>SUMIFS(T_Shipments[Confirmed_Qty],T_Shipments[RM_Code],$A44,T_Shipments[Effective_Week],26)</f>
        <v/>
      </c>
      <c r="AB44">
        <f>SUMIFS(T_Shipments[Confirmed_Qty],T_Shipments[RM_Code],$A44,T_Shipments[Effective_Week],27)</f>
        <v/>
      </c>
      <c r="AC44">
        <f>SUMIFS(T_Shipments[Confirmed_Qty],T_Shipments[RM_Code],$A44,T_Shipments[Effective_Week],28)</f>
        <v/>
      </c>
      <c r="AD44">
        <f>SUMIFS(T_Shipments[Confirmed_Qty],T_Shipments[RM_Code],$A44,T_Shipments[Effective_Week],29)</f>
        <v/>
      </c>
      <c r="AE44">
        <f>SUMIFS(T_Shipments[Confirmed_Qty],T_Shipments[RM_Code],$A44,T_Shipments[Effective_Week],30)</f>
        <v/>
      </c>
      <c r="AF44">
        <f>SUMIFS(T_Shipments[Confirmed_Qty],T_Shipments[RM_Code],$A44,T_Shipments[Effective_Week],31)</f>
        <v/>
      </c>
      <c r="AG44">
        <f>SUMIFS(T_Shipments[Confirmed_Qty],T_Shipments[RM_Code],$A44,T_Shipments[Effective_Week],32)</f>
        <v/>
      </c>
      <c r="AH44">
        <f>SUMIFS(T_Shipments[Confirmed_Qty],T_Shipments[RM_Code],$A44,T_Shipments[Effective_Week],33)</f>
        <v/>
      </c>
      <c r="AI44">
        <f>SUMIFS(T_Shipments[Confirmed_Qty],T_Shipments[RM_Code],$A44,T_Shipments[Effective_Week],34)</f>
        <v/>
      </c>
      <c r="AJ44">
        <f>SUMIFS(T_Shipments[Confirmed_Qty],T_Shipments[RM_Code],$A44,T_Shipments[Effective_Week],35)</f>
        <v/>
      </c>
      <c r="AK44">
        <f>SUMIFS(T_Shipments[Confirmed_Qty],T_Shipments[RM_Code],$A44,T_Shipments[Effective_Week],36)</f>
        <v/>
      </c>
      <c r="AL44">
        <f>SUMIFS(T_Shipments[Confirmed_Qty],T_Shipments[RM_Code],$A44,T_Shipments[Effective_Week],37)</f>
        <v/>
      </c>
      <c r="AM44">
        <f>SUMIFS(T_Shipments[Confirmed_Qty],T_Shipments[RM_Code],$A44,T_Shipments[Effective_Week],38)</f>
        <v/>
      </c>
      <c r="AN44">
        <f>SUMIFS(T_Shipments[Confirmed_Qty],T_Shipments[RM_Code],$A44,T_Shipments[Effective_Week],39)</f>
        <v/>
      </c>
      <c r="AO44">
        <f>SUMIFS(T_Shipments[Confirmed_Qty],T_Shipments[RM_Code],$A44,T_Shipments[Effective_Week],40)</f>
        <v/>
      </c>
      <c r="AP44">
        <f>SUMIFS(T_Shipments[Confirmed_Qty],T_Shipments[RM_Code],$A44,T_Shipments[Effective_Week],41)</f>
        <v/>
      </c>
      <c r="AQ44">
        <f>SUMIFS(T_Shipments[Confirmed_Qty],T_Shipments[RM_Code],$A44,T_Shipments[Effective_Week],42)</f>
        <v/>
      </c>
      <c r="AR44">
        <f>SUMIFS(T_Shipments[Confirmed_Qty],T_Shipments[RM_Code],$A44,T_Shipments[Effective_Week],43)</f>
        <v/>
      </c>
      <c r="AS44">
        <f>SUMIFS(T_Shipments[Confirmed_Qty],T_Shipments[RM_Code],$A44,T_Shipments[Effective_Week],44)</f>
        <v/>
      </c>
      <c r="AT44">
        <f>SUMIFS(T_Shipments[Confirmed_Qty],T_Shipments[RM_Code],$A44,T_Shipments[Effective_Week],45)</f>
        <v/>
      </c>
      <c r="AU44">
        <f>SUMIFS(T_Shipments[Confirmed_Qty],T_Shipments[RM_Code],$A44,T_Shipments[Effective_Week],46)</f>
        <v/>
      </c>
      <c r="AV44">
        <f>SUMIFS(T_Shipments[Confirmed_Qty],T_Shipments[RM_Code],$A44,T_Shipments[Effective_Week],47)</f>
        <v/>
      </c>
      <c r="AW44">
        <f>SUMIFS(T_Shipments[Confirmed_Qty],T_Shipments[RM_Code],$A44,T_Shipments[Effective_Week],48)</f>
        <v/>
      </c>
      <c r="AX44">
        <f>SUMIFS(T_Shipments[Confirmed_Qty],T_Shipments[RM_Code],$A44,T_Shipments[Effective_Week],49)</f>
        <v/>
      </c>
      <c r="AY44">
        <f>SUMIFS(T_Shipments[Confirmed_Qty],T_Shipments[RM_Code],$A44,T_Shipments[Effective_Week],50)</f>
        <v/>
      </c>
      <c r="AZ44">
        <f>SUMIFS(T_Shipments[Confirmed_Qty],T_Shipments[RM_Code],$A44,T_Shipments[Effective_Week],51)</f>
        <v/>
      </c>
      <c r="BA44">
        <f>SUMIFS(T_Shipments[Confirmed_Qty],T_Shipments[RM_Code],$A44,T_Shipments[Effective_Week],52)</f>
        <v/>
      </c>
      <c r="BB44">
        <f>SUMIFS(T_Shipments[Confirmed_Qty],T_Shipments[RM_Code],$A44,T_Shipments[Effective_Week],53)</f>
        <v/>
      </c>
      <c r="BC44">
        <f>SUMIFS(T_Shipments[Confirmed_Qty],T_Shipments[RM_Code],$A44,T_Shipments[Effective_Week],54)</f>
        <v/>
      </c>
      <c r="BD44">
        <f>SUMIFS(T_Shipments[Confirmed_Qty],T_Shipments[RM_Code],$A44,T_Shipments[Effective_Week],55)</f>
        <v/>
      </c>
      <c r="BE44">
        <f>SUMIFS(T_Shipments[Confirmed_Qty],T_Shipments[RM_Code],$A44,T_Shipments[Effective_Week],56)</f>
        <v/>
      </c>
      <c r="BF44">
        <f>SUMIFS(T_Shipments[Confirmed_Qty],T_Shipments[RM_Code],$A44,T_Shipments[Effective_Week],57)</f>
        <v/>
      </c>
      <c r="BG44">
        <f>SUMIFS(T_Shipments[Confirmed_Qty],T_Shipments[RM_Code],$A44,T_Shipments[Effective_Week],58)</f>
        <v/>
      </c>
      <c r="BH44">
        <f>SUMIFS(T_Shipments[Confirmed_Qty],T_Shipments[RM_Code],$A44,T_Shipments[Effective_Week],59)</f>
        <v/>
      </c>
      <c r="BI44">
        <f>SUMIFS(T_Shipments[Confirmed_Qty],T_Shipments[RM_Code],$A44,T_Shipments[Effective_Week],60)</f>
        <v/>
      </c>
      <c r="BJ44">
        <f>SUMIFS(T_Shipments[Confirmed_Qty],T_Shipments[RM_Code],$A44,T_Shipments[Effective_Week],61)</f>
        <v/>
      </c>
      <c r="BK44">
        <f>SUMIFS(T_Shipments[Confirmed_Qty],T_Shipments[RM_Code],$A44,T_Shipments[Effective_Week],62)</f>
        <v/>
      </c>
      <c r="BL44">
        <f>SUMIFS(T_Shipments[Confirmed_Qty],T_Shipments[RM_Code],$A44,T_Shipments[Effective_Week],63)</f>
        <v/>
      </c>
      <c r="BM44">
        <f>SUMIFS(T_Shipments[Confirmed_Qty],T_Shipments[RM_Code],$A44,T_Shipments[Effective_Week],64)</f>
        <v/>
      </c>
      <c r="BN44">
        <f>SUMIFS(T_Shipments[Confirmed_Qty],T_Shipments[RM_Code],$A44,T_Shipments[Effective_Week],65)</f>
        <v/>
      </c>
      <c r="BO44">
        <f>SUMIFS(T_Shipments[Confirmed_Qty],T_Shipments[RM_Code],$A44,T_Shipments[Effective_Week],66)</f>
        <v/>
      </c>
      <c r="BP44">
        <f>SUMIFS(T_Shipments[Confirmed_Qty],T_Shipments[RM_Code],$A44,T_Shipments[Effective_Week],67)</f>
        <v/>
      </c>
      <c r="BQ44">
        <f>SUMIFS(T_Shipments[Confirmed_Qty],T_Shipments[RM_Code],$A44,T_Shipments[Effective_Week],68)</f>
        <v/>
      </c>
      <c r="BR44">
        <f>SUMIFS(T_Shipments[Confirmed_Qty],T_Shipments[RM_Code],$A44,T_Shipments[Effective_Week],69)</f>
        <v/>
      </c>
      <c r="BS44">
        <f>SUMIFS(T_Shipments[Confirmed_Qty],T_Shipments[RM_Code],$A44,T_Shipments[Effective_Week],70)</f>
        <v/>
      </c>
      <c r="BT44">
        <f>SUMIFS(T_Shipments[Confirmed_Qty],T_Shipments[RM_Code],$A44,T_Shipments[Effective_Week],71)</f>
        <v/>
      </c>
      <c r="BU44">
        <f>SUMIFS(T_Shipments[Confirmed_Qty],T_Shipments[RM_Code],$A44,T_Shipments[Effective_Week],72)</f>
        <v/>
      </c>
      <c r="BV44">
        <f>SUMIFS(T_Shipments[Confirmed_Qty],T_Shipments[RM_Code],$A44,T_Shipments[Effective_Week],73)</f>
        <v/>
      </c>
      <c r="BW44">
        <f>SUMIFS(T_Shipments[Confirmed_Qty],T_Shipments[RM_Code],$A44,T_Shipments[Effective_Week],74)</f>
        <v/>
      </c>
      <c r="BX44">
        <f>SUMIFS(T_Shipments[Confirmed_Qty],T_Shipments[RM_Code],$A44,T_Shipments[Effective_Week],75)</f>
        <v/>
      </c>
      <c r="BY44">
        <f>SUMIFS(T_Shipments[Confirmed_Qty],T_Shipments[RM_Code],$A44,T_Shipments[Effective_Week],76)</f>
        <v/>
      </c>
      <c r="BZ44">
        <f>SUMIFS(T_Shipments[Confirmed_Qty],T_Shipments[RM_Code],$A44,T_Shipments[Effective_Week],77)</f>
        <v/>
      </c>
      <c r="CA44">
        <f>SUMIFS(T_Shipments[Confirmed_Qty],T_Shipments[RM_Code],$A44,T_Shipments[Effective_Week],78)</f>
        <v/>
      </c>
      <c r="CB44">
        <f>SUMIFS(T_Shipments[Confirmed_Qty],T_Shipments[RM_Code],$A44,T_Shipments[Effective_Week],79)</f>
        <v/>
      </c>
      <c r="CC44">
        <f>SUMIFS(T_Shipments[Confirmed_Qty],T_Shipments[RM_Code],$A44,T_Shipments[Effective_Week],80)</f>
        <v/>
      </c>
      <c r="CD44">
        <f>SUMIFS(T_Shipments[Confirmed_Qty],T_Shipments[RM_Code],$A44,T_Shipments[Effective_Week],81)</f>
        <v/>
      </c>
      <c r="CE44">
        <f>SUMIFS(T_Shipments[Confirmed_Qty],T_Shipments[RM_Code],$A44,T_Shipments[Effective_Week],82)</f>
        <v/>
      </c>
      <c r="CF44">
        <f>SUMIFS(T_Shipments[Confirmed_Qty],T_Shipments[RM_Code],$A44,T_Shipments[Effective_Week],83)</f>
        <v/>
      </c>
      <c r="CG44">
        <f>SUMIFS(T_Shipments[Confirmed_Qty],T_Shipments[RM_Code],$A44,T_Shipments[Effective_Week],84)</f>
        <v/>
      </c>
      <c r="CH44">
        <f>SUMIFS(T_Shipments[Confirmed_Qty],T_Shipments[RM_Code],$A44,T_Shipments[Effective_Week],85)</f>
        <v/>
      </c>
      <c r="CI44">
        <f>SUMIFS(T_Shipments[Confirmed_Qty],T_Shipments[RM_Code],$A44,T_Shipments[Effective_Week],86)</f>
        <v/>
      </c>
      <c r="CJ44">
        <f>SUMIFS(T_Shipments[Confirmed_Qty],T_Shipments[RM_Code],$A44,T_Shipments[Effective_Week],87)</f>
        <v/>
      </c>
      <c r="CK44">
        <f>SUMIFS(T_Shipments[Confirmed_Qty],T_Shipments[RM_Code],$A44,T_Shipments[Effective_Week],88)</f>
        <v/>
      </c>
      <c r="CL44">
        <f>SUMIFS(T_Shipments[Confirmed_Qty],T_Shipments[RM_Code],$A44,T_Shipments[Effective_Week],89)</f>
        <v/>
      </c>
      <c r="CM44">
        <f>SUMIFS(T_Shipments[Confirmed_Qty],T_Shipments[RM_Code],$A44,T_Shipments[Effective_Week],90)</f>
        <v/>
      </c>
      <c r="CN44">
        <f>SUMIFS(T_Shipments[Confirmed_Qty],T_Shipments[RM_Code],$A44,T_Shipments[Effective_Week],91)</f>
        <v/>
      </c>
      <c r="CO44">
        <f>SUMIFS(T_Shipments[Confirmed_Qty],T_Shipments[RM_Code],$A44,T_Shipments[Effective_Week],92)</f>
        <v/>
      </c>
      <c r="CP44">
        <f>SUMIFS(T_Shipments[Confirmed_Qty],T_Shipments[RM_Code],$A44,T_Shipments[Effective_Week],93)</f>
        <v/>
      </c>
      <c r="CQ44">
        <f>SUMIFS(T_Shipments[Confirmed_Qty],T_Shipments[RM_Code],$A44,T_Shipments[Effective_Week],94)</f>
        <v/>
      </c>
      <c r="CR44">
        <f>SUMIFS(T_Shipments[Confirmed_Qty],T_Shipments[RM_Code],$A44,T_Shipments[Effective_Week],95)</f>
        <v/>
      </c>
      <c r="CS44">
        <f>SUMIFS(T_Shipments[Confirmed_Qty],T_Shipments[RM_Code],$A44,T_Shipments[Effective_Week],96)</f>
        <v/>
      </c>
      <c r="CT44">
        <f>SUMIFS(T_Shipments[Confirmed_Qty],T_Shipments[RM_Code],$A44,T_Shipments[Effective_Week],97)</f>
        <v/>
      </c>
      <c r="CU44">
        <f>SUMIFS(T_Shipments[Confirmed_Qty],T_Shipments[RM_Code],$A44,T_Shipments[Effective_Week],98)</f>
        <v/>
      </c>
      <c r="CV44">
        <f>SUMIFS(T_Shipments[Confirmed_Qty],T_Shipments[RM_Code],$A44,T_Shipments[Effective_Week],99)</f>
        <v/>
      </c>
      <c r="CW44">
        <f>SUMIFS(T_Shipments[Confirmed_Qty],T_Shipments[RM_Code],$A44,T_Shipments[Effective_Week],100)</f>
        <v/>
      </c>
      <c r="CX44">
        <f>SUMIFS(T_Shipments[Confirmed_Qty],T_Shipments[RM_Code],$A44,T_Shipments[Effective_Week],101)</f>
        <v/>
      </c>
      <c r="CY44">
        <f>SUMIFS(T_Shipments[Confirmed_Qty],T_Shipments[RM_Code],$A44,T_Shipments[Effective_Week],102)</f>
        <v/>
      </c>
      <c r="CZ44">
        <f>SUMIFS(T_Shipments[Confirmed_Qty],T_Shipments[RM_Code],$A44,T_Shipments[Effective_Week],103)</f>
        <v/>
      </c>
      <c r="DA44">
        <f>SUMIFS(T_Shipments[Confirmed_Qty],T_Shipments[RM_Code],$A44,T_Shipments[Effective_Week],104)</f>
        <v/>
      </c>
    </row>
    <row r="45">
      <c r="A45" t="inlineStr">
        <is>
          <t>CHEM-1010</t>
        </is>
      </c>
      <c r="B45">
        <f>SUMIFS(T_Shipments[Confirmed_Qty],T_Shipments[RM_Code],$A45,T_Shipments[Effective_Week],1)</f>
        <v/>
      </c>
      <c r="C45">
        <f>SUMIFS(T_Shipments[Confirmed_Qty],T_Shipments[RM_Code],$A45,T_Shipments[Effective_Week],2)</f>
        <v/>
      </c>
      <c r="D45">
        <f>SUMIFS(T_Shipments[Confirmed_Qty],T_Shipments[RM_Code],$A45,T_Shipments[Effective_Week],3)</f>
        <v/>
      </c>
      <c r="E45">
        <f>SUMIFS(T_Shipments[Confirmed_Qty],T_Shipments[RM_Code],$A45,T_Shipments[Effective_Week],4)</f>
        <v/>
      </c>
      <c r="F45">
        <f>SUMIFS(T_Shipments[Confirmed_Qty],T_Shipments[RM_Code],$A45,T_Shipments[Effective_Week],5)</f>
        <v/>
      </c>
      <c r="G45">
        <f>SUMIFS(T_Shipments[Confirmed_Qty],T_Shipments[RM_Code],$A45,T_Shipments[Effective_Week],6)</f>
        <v/>
      </c>
      <c r="H45">
        <f>SUMIFS(T_Shipments[Confirmed_Qty],T_Shipments[RM_Code],$A45,T_Shipments[Effective_Week],7)</f>
        <v/>
      </c>
      <c r="I45">
        <f>SUMIFS(T_Shipments[Confirmed_Qty],T_Shipments[RM_Code],$A45,T_Shipments[Effective_Week],8)</f>
        <v/>
      </c>
      <c r="J45">
        <f>SUMIFS(T_Shipments[Confirmed_Qty],T_Shipments[RM_Code],$A45,T_Shipments[Effective_Week],9)</f>
        <v/>
      </c>
      <c r="K45">
        <f>SUMIFS(T_Shipments[Confirmed_Qty],T_Shipments[RM_Code],$A45,T_Shipments[Effective_Week],10)</f>
        <v/>
      </c>
      <c r="L45">
        <f>SUMIFS(T_Shipments[Confirmed_Qty],T_Shipments[RM_Code],$A45,T_Shipments[Effective_Week],11)</f>
        <v/>
      </c>
      <c r="M45">
        <f>SUMIFS(T_Shipments[Confirmed_Qty],T_Shipments[RM_Code],$A45,T_Shipments[Effective_Week],12)</f>
        <v/>
      </c>
      <c r="N45">
        <f>SUMIFS(T_Shipments[Confirmed_Qty],T_Shipments[RM_Code],$A45,T_Shipments[Effective_Week],13)</f>
        <v/>
      </c>
      <c r="O45">
        <f>SUMIFS(T_Shipments[Confirmed_Qty],T_Shipments[RM_Code],$A45,T_Shipments[Effective_Week],14)</f>
        <v/>
      </c>
      <c r="P45">
        <f>SUMIFS(T_Shipments[Confirmed_Qty],T_Shipments[RM_Code],$A45,T_Shipments[Effective_Week],15)</f>
        <v/>
      </c>
      <c r="Q45">
        <f>SUMIFS(T_Shipments[Confirmed_Qty],T_Shipments[RM_Code],$A45,T_Shipments[Effective_Week],16)</f>
        <v/>
      </c>
      <c r="R45">
        <f>SUMIFS(T_Shipments[Confirmed_Qty],T_Shipments[RM_Code],$A45,T_Shipments[Effective_Week],17)</f>
        <v/>
      </c>
      <c r="S45">
        <f>SUMIFS(T_Shipments[Confirmed_Qty],T_Shipments[RM_Code],$A45,T_Shipments[Effective_Week],18)</f>
        <v/>
      </c>
      <c r="T45">
        <f>SUMIFS(T_Shipments[Confirmed_Qty],T_Shipments[RM_Code],$A45,T_Shipments[Effective_Week],19)</f>
        <v/>
      </c>
      <c r="U45">
        <f>SUMIFS(T_Shipments[Confirmed_Qty],T_Shipments[RM_Code],$A45,T_Shipments[Effective_Week],20)</f>
        <v/>
      </c>
      <c r="V45">
        <f>SUMIFS(T_Shipments[Confirmed_Qty],T_Shipments[RM_Code],$A45,T_Shipments[Effective_Week],21)</f>
        <v/>
      </c>
      <c r="W45">
        <f>SUMIFS(T_Shipments[Confirmed_Qty],T_Shipments[RM_Code],$A45,T_Shipments[Effective_Week],22)</f>
        <v/>
      </c>
      <c r="X45">
        <f>SUMIFS(T_Shipments[Confirmed_Qty],T_Shipments[RM_Code],$A45,T_Shipments[Effective_Week],23)</f>
        <v/>
      </c>
      <c r="Y45">
        <f>SUMIFS(T_Shipments[Confirmed_Qty],T_Shipments[RM_Code],$A45,T_Shipments[Effective_Week],24)</f>
        <v/>
      </c>
      <c r="Z45">
        <f>SUMIFS(T_Shipments[Confirmed_Qty],T_Shipments[RM_Code],$A45,T_Shipments[Effective_Week],25)</f>
        <v/>
      </c>
      <c r="AA45">
        <f>SUMIFS(T_Shipments[Confirmed_Qty],T_Shipments[RM_Code],$A45,T_Shipments[Effective_Week],26)</f>
        <v/>
      </c>
      <c r="AB45">
        <f>SUMIFS(T_Shipments[Confirmed_Qty],T_Shipments[RM_Code],$A45,T_Shipments[Effective_Week],27)</f>
        <v/>
      </c>
      <c r="AC45">
        <f>SUMIFS(T_Shipments[Confirmed_Qty],T_Shipments[RM_Code],$A45,T_Shipments[Effective_Week],28)</f>
        <v/>
      </c>
      <c r="AD45">
        <f>SUMIFS(T_Shipments[Confirmed_Qty],T_Shipments[RM_Code],$A45,T_Shipments[Effective_Week],29)</f>
        <v/>
      </c>
      <c r="AE45">
        <f>SUMIFS(T_Shipments[Confirmed_Qty],T_Shipments[RM_Code],$A45,T_Shipments[Effective_Week],30)</f>
        <v/>
      </c>
      <c r="AF45">
        <f>SUMIFS(T_Shipments[Confirmed_Qty],T_Shipments[RM_Code],$A45,T_Shipments[Effective_Week],31)</f>
        <v/>
      </c>
      <c r="AG45">
        <f>SUMIFS(T_Shipments[Confirmed_Qty],T_Shipments[RM_Code],$A45,T_Shipments[Effective_Week],32)</f>
        <v/>
      </c>
      <c r="AH45">
        <f>SUMIFS(T_Shipments[Confirmed_Qty],T_Shipments[RM_Code],$A45,T_Shipments[Effective_Week],33)</f>
        <v/>
      </c>
      <c r="AI45">
        <f>SUMIFS(T_Shipments[Confirmed_Qty],T_Shipments[RM_Code],$A45,T_Shipments[Effective_Week],34)</f>
        <v/>
      </c>
      <c r="AJ45">
        <f>SUMIFS(T_Shipments[Confirmed_Qty],T_Shipments[RM_Code],$A45,T_Shipments[Effective_Week],35)</f>
        <v/>
      </c>
      <c r="AK45">
        <f>SUMIFS(T_Shipments[Confirmed_Qty],T_Shipments[RM_Code],$A45,T_Shipments[Effective_Week],36)</f>
        <v/>
      </c>
      <c r="AL45">
        <f>SUMIFS(T_Shipments[Confirmed_Qty],T_Shipments[RM_Code],$A45,T_Shipments[Effective_Week],37)</f>
        <v/>
      </c>
      <c r="AM45">
        <f>SUMIFS(T_Shipments[Confirmed_Qty],T_Shipments[RM_Code],$A45,T_Shipments[Effective_Week],38)</f>
        <v/>
      </c>
      <c r="AN45">
        <f>SUMIFS(T_Shipments[Confirmed_Qty],T_Shipments[RM_Code],$A45,T_Shipments[Effective_Week],39)</f>
        <v/>
      </c>
      <c r="AO45">
        <f>SUMIFS(T_Shipments[Confirmed_Qty],T_Shipments[RM_Code],$A45,T_Shipments[Effective_Week],40)</f>
        <v/>
      </c>
      <c r="AP45">
        <f>SUMIFS(T_Shipments[Confirmed_Qty],T_Shipments[RM_Code],$A45,T_Shipments[Effective_Week],41)</f>
        <v/>
      </c>
      <c r="AQ45">
        <f>SUMIFS(T_Shipments[Confirmed_Qty],T_Shipments[RM_Code],$A45,T_Shipments[Effective_Week],42)</f>
        <v/>
      </c>
      <c r="AR45">
        <f>SUMIFS(T_Shipments[Confirmed_Qty],T_Shipments[RM_Code],$A45,T_Shipments[Effective_Week],43)</f>
        <v/>
      </c>
      <c r="AS45">
        <f>SUMIFS(T_Shipments[Confirmed_Qty],T_Shipments[RM_Code],$A45,T_Shipments[Effective_Week],44)</f>
        <v/>
      </c>
      <c r="AT45">
        <f>SUMIFS(T_Shipments[Confirmed_Qty],T_Shipments[RM_Code],$A45,T_Shipments[Effective_Week],45)</f>
        <v/>
      </c>
      <c r="AU45">
        <f>SUMIFS(T_Shipments[Confirmed_Qty],T_Shipments[RM_Code],$A45,T_Shipments[Effective_Week],46)</f>
        <v/>
      </c>
      <c r="AV45">
        <f>SUMIFS(T_Shipments[Confirmed_Qty],T_Shipments[RM_Code],$A45,T_Shipments[Effective_Week],47)</f>
        <v/>
      </c>
      <c r="AW45">
        <f>SUMIFS(T_Shipments[Confirmed_Qty],T_Shipments[RM_Code],$A45,T_Shipments[Effective_Week],48)</f>
        <v/>
      </c>
      <c r="AX45">
        <f>SUMIFS(T_Shipments[Confirmed_Qty],T_Shipments[RM_Code],$A45,T_Shipments[Effective_Week],49)</f>
        <v/>
      </c>
      <c r="AY45">
        <f>SUMIFS(T_Shipments[Confirmed_Qty],T_Shipments[RM_Code],$A45,T_Shipments[Effective_Week],50)</f>
        <v/>
      </c>
      <c r="AZ45">
        <f>SUMIFS(T_Shipments[Confirmed_Qty],T_Shipments[RM_Code],$A45,T_Shipments[Effective_Week],51)</f>
        <v/>
      </c>
      <c r="BA45">
        <f>SUMIFS(T_Shipments[Confirmed_Qty],T_Shipments[RM_Code],$A45,T_Shipments[Effective_Week],52)</f>
        <v/>
      </c>
      <c r="BB45">
        <f>SUMIFS(T_Shipments[Confirmed_Qty],T_Shipments[RM_Code],$A45,T_Shipments[Effective_Week],53)</f>
        <v/>
      </c>
      <c r="BC45">
        <f>SUMIFS(T_Shipments[Confirmed_Qty],T_Shipments[RM_Code],$A45,T_Shipments[Effective_Week],54)</f>
        <v/>
      </c>
      <c r="BD45">
        <f>SUMIFS(T_Shipments[Confirmed_Qty],T_Shipments[RM_Code],$A45,T_Shipments[Effective_Week],55)</f>
        <v/>
      </c>
      <c r="BE45">
        <f>SUMIFS(T_Shipments[Confirmed_Qty],T_Shipments[RM_Code],$A45,T_Shipments[Effective_Week],56)</f>
        <v/>
      </c>
      <c r="BF45">
        <f>SUMIFS(T_Shipments[Confirmed_Qty],T_Shipments[RM_Code],$A45,T_Shipments[Effective_Week],57)</f>
        <v/>
      </c>
      <c r="BG45">
        <f>SUMIFS(T_Shipments[Confirmed_Qty],T_Shipments[RM_Code],$A45,T_Shipments[Effective_Week],58)</f>
        <v/>
      </c>
      <c r="BH45">
        <f>SUMIFS(T_Shipments[Confirmed_Qty],T_Shipments[RM_Code],$A45,T_Shipments[Effective_Week],59)</f>
        <v/>
      </c>
      <c r="BI45">
        <f>SUMIFS(T_Shipments[Confirmed_Qty],T_Shipments[RM_Code],$A45,T_Shipments[Effective_Week],60)</f>
        <v/>
      </c>
      <c r="BJ45">
        <f>SUMIFS(T_Shipments[Confirmed_Qty],T_Shipments[RM_Code],$A45,T_Shipments[Effective_Week],61)</f>
        <v/>
      </c>
      <c r="BK45">
        <f>SUMIFS(T_Shipments[Confirmed_Qty],T_Shipments[RM_Code],$A45,T_Shipments[Effective_Week],62)</f>
        <v/>
      </c>
      <c r="BL45">
        <f>SUMIFS(T_Shipments[Confirmed_Qty],T_Shipments[RM_Code],$A45,T_Shipments[Effective_Week],63)</f>
        <v/>
      </c>
      <c r="BM45">
        <f>SUMIFS(T_Shipments[Confirmed_Qty],T_Shipments[RM_Code],$A45,T_Shipments[Effective_Week],64)</f>
        <v/>
      </c>
      <c r="BN45">
        <f>SUMIFS(T_Shipments[Confirmed_Qty],T_Shipments[RM_Code],$A45,T_Shipments[Effective_Week],65)</f>
        <v/>
      </c>
      <c r="BO45">
        <f>SUMIFS(T_Shipments[Confirmed_Qty],T_Shipments[RM_Code],$A45,T_Shipments[Effective_Week],66)</f>
        <v/>
      </c>
      <c r="BP45">
        <f>SUMIFS(T_Shipments[Confirmed_Qty],T_Shipments[RM_Code],$A45,T_Shipments[Effective_Week],67)</f>
        <v/>
      </c>
      <c r="BQ45">
        <f>SUMIFS(T_Shipments[Confirmed_Qty],T_Shipments[RM_Code],$A45,T_Shipments[Effective_Week],68)</f>
        <v/>
      </c>
      <c r="BR45">
        <f>SUMIFS(T_Shipments[Confirmed_Qty],T_Shipments[RM_Code],$A45,T_Shipments[Effective_Week],69)</f>
        <v/>
      </c>
      <c r="BS45">
        <f>SUMIFS(T_Shipments[Confirmed_Qty],T_Shipments[RM_Code],$A45,T_Shipments[Effective_Week],70)</f>
        <v/>
      </c>
      <c r="BT45">
        <f>SUMIFS(T_Shipments[Confirmed_Qty],T_Shipments[RM_Code],$A45,T_Shipments[Effective_Week],71)</f>
        <v/>
      </c>
      <c r="BU45">
        <f>SUMIFS(T_Shipments[Confirmed_Qty],T_Shipments[RM_Code],$A45,T_Shipments[Effective_Week],72)</f>
        <v/>
      </c>
      <c r="BV45">
        <f>SUMIFS(T_Shipments[Confirmed_Qty],T_Shipments[RM_Code],$A45,T_Shipments[Effective_Week],73)</f>
        <v/>
      </c>
      <c r="BW45">
        <f>SUMIFS(T_Shipments[Confirmed_Qty],T_Shipments[RM_Code],$A45,T_Shipments[Effective_Week],74)</f>
        <v/>
      </c>
      <c r="BX45">
        <f>SUMIFS(T_Shipments[Confirmed_Qty],T_Shipments[RM_Code],$A45,T_Shipments[Effective_Week],75)</f>
        <v/>
      </c>
      <c r="BY45">
        <f>SUMIFS(T_Shipments[Confirmed_Qty],T_Shipments[RM_Code],$A45,T_Shipments[Effective_Week],76)</f>
        <v/>
      </c>
      <c r="BZ45">
        <f>SUMIFS(T_Shipments[Confirmed_Qty],T_Shipments[RM_Code],$A45,T_Shipments[Effective_Week],77)</f>
        <v/>
      </c>
      <c r="CA45">
        <f>SUMIFS(T_Shipments[Confirmed_Qty],T_Shipments[RM_Code],$A45,T_Shipments[Effective_Week],78)</f>
        <v/>
      </c>
      <c r="CB45">
        <f>SUMIFS(T_Shipments[Confirmed_Qty],T_Shipments[RM_Code],$A45,T_Shipments[Effective_Week],79)</f>
        <v/>
      </c>
      <c r="CC45">
        <f>SUMIFS(T_Shipments[Confirmed_Qty],T_Shipments[RM_Code],$A45,T_Shipments[Effective_Week],80)</f>
        <v/>
      </c>
      <c r="CD45">
        <f>SUMIFS(T_Shipments[Confirmed_Qty],T_Shipments[RM_Code],$A45,T_Shipments[Effective_Week],81)</f>
        <v/>
      </c>
      <c r="CE45">
        <f>SUMIFS(T_Shipments[Confirmed_Qty],T_Shipments[RM_Code],$A45,T_Shipments[Effective_Week],82)</f>
        <v/>
      </c>
      <c r="CF45">
        <f>SUMIFS(T_Shipments[Confirmed_Qty],T_Shipments[RM_Code],$A45,T_Shipments[Effective_Week],83)</f>
        <v/>
      </c>
      <c r="CG45">
        <f>SUMIFS(T_Shipments[Confirmed_Qty],T_Shipments[RM_Code],$A45,T_Shipments[Effective_Week],84)</f>
        <v/>
      </c>
      <c r="CH45">
        <f>SUMIFS(T_Shipments[Confirmed_Qty],T_Shipments[RM_Code],$A45,T_Shipments[Effective_Week],85)</f>
        <v/>
      </c>
      <c r="CI45">
        <f>SUMIFS(T_Shipments[Confirmed_Qty],T_Shipments[RM_Code],$A45,T_Shipments[Effective_Week],86)</f>
        <v/>
      </c>
      <c r="CJ45">
        <f>SUMIFS(T_Shipments[Confirmed_Qty],T_Shipments[RM_Code],$A45,T_Shipments[Effective_Week],87)</f>
        <v/>
      </c>
      <c r="CK45">
        <f>SUMIFS(T_Shipments[Confirmed_Qty],T_Shipments[RM_Code],$A45,T_Shipments[Effective_Week],88)</f>
        <v/>
      </c>
      <c r="CL45">
        <f>SUMIFS(T_Shipments[Confirmed_Qty],T_Shipments[RM_Code],$A45,T_Shipments[Effective_Week],89)</f>
        <v/>
      </c>
      <c r="CM45">
        <f>SUMIFS(T_Shipments[Confirmed_Qty],T_Shipments[RM_Code],$A45,T_Shipments[Effective_Week],90)</f>
        <v/>
      </c>
      <c r="CN45">
        <f>SUMIFS(T_Shipments[Confirmed_Qty],T_Shipments[RM_Code],$A45,T_Shipments[Effective_Week],91)</f>
        <v/>
      </c>
      <c r="CO45">
        <f>SUMIFS(T_Shipments[Confirmed_Qty],T_Shipments[RM_Code],$A45,T_Shipments[Effective_Week],92)</f>
        <v/>
      </c>
      <c r="CP45">
        <f>SUMIFS(T_Shipments[Confirmed_Qty],T_Shipments[RM_Code],$A45,T_Shipments[Effective_Week],93)</f>
        <v/>
      </c>
      <c r="CQ45">
        <f>SUMIFS(T_Shipments[Confirmed_Qty],T_Shipments[RM_Code],$A45,T_Shipments[Effective_Week],94)</f>
        <v/>
      </c>
      <c r="CR45">
        <f>SUMIFS(T_Shipments[Confirmed_Qty],T_Shipments[RM_Code],$A45,T_Shipments[Effective_Week],95)</f>
        <v/>
      </c>
      <c r="CS45">
        <f>SUMIFS(T_Shipments[Confirmed_Qty],T_Shipments[RM_Code],$A45,T_Shipments[Effective_Week],96)</f>
        <v/>
      </c>
      <c r="CT45">
        <f>SUMIFS(T_Shipments[Confirmed_Qty],T_Shipments[RM_Code],$A45,T_Shipments[Effective_Week],97)</f>
        <v/>
      </c>
      <c r="CU45">
        <f>SUMIFS(T_Shipments[Confirmed_Qty],T_Shipments[RM_Code],$A45,T_Shipments[Effective_Week],98)</f>
        <v/>
      </c>
      <c r="CV45">
        <f>SUMIFS(T_Shipments[Confirmed_Qty],T_Shipments[RM_Code],$A45,T_Shipments[Effective_Week],99)</f>
        <v/>
      </c>
      <c r="CW45">
        <f>SUMIFS(T_Shipments[Confirmed_Qty],T_Shipments[RM_Code],$A45,T_Shipments[Effective_Week],100)</f>
        <v/>
      </c>
      <c r="CX45">
        <f>SUMIFS(T_Shipments[Confirmed_Qty],T_Shipments[RM_Code],$A45,T_Shipments[Effective_Week],101)</f>
        <v/>
      </c>
      <c r="CY45">
        <f>SUMIFS(T_Shipments[Confirmed_Qty],T_Shipments[RM_Code],$A45,T_Shipments[Effective_Week],102)</f>
        <v/>
      </c>
      <c r="CZ45">
        <f>SUMIFS(T_Shipments[Confirmed_Qty],T_Shipments[RM_Code],$A45,T_Shipments[Effective_Week],103)</f>
        <v/>
      </c>
      <c r="DA45">
        <f>SUMIFS(T_Shipments[Confirmed_Qty],T_Shipments[RM_Code],$A45,T_Shipments[Effective_Week],104)</f>
        <v/>
      </c>
    </row>
    <row r="46">
      <c r="A46" t="inlineStr">
        <is>
          <t>CHEM-1410</t>
        </is>
      </c>
      <c r="B46">
        <f>SUMIFS(T_Shipments[Confirmed_Qty],T_Shipments[RM_Code],$A46,T_Shipments[Effective_Week],1)</f>
        <v/>
      </c>
      <c r="C46">
        <f>SUMIFS(T_Shipments[Confirmed_Qty],T_Shipments[RM_Code],$A46,T_Shipments[Effective_Week],2)</f>
        <v/>
      </c>
      <c r="D46">
        <f>SUMIFS(T_Shipments[Confirmed_Qty],T_Shipments[RM_Code],$A46,T_Shipments[Effective_Week],3)</f>
        <v/>
      </c>
      <c r="E46">
        <f>SUMIFS(T_Shipments[Confirmed_Qty],T_Shipments[RM_Code],$A46,T_Shipments[Effective_Week],4)</f>
        <v/>
      </c>
      <c r="F46">
        <f>SUMIFS(T_Shipments[Confirmed_Qty],T_Shipments[RM_Code],$A46,T_Shipments[Effective_Week],5)</f>
        <v/>
      </c>
      <c r="G46">
        <f>SUMIFS(T_Shipments[Confirmed_Qty],T_Shipments[RM_Code],$A46,T_Shipments[Effective_Week],6)</f>
        <v/>
      </c>
      <c r="H46">
        <f>SUMIFS(T_Shipments[Confirmed_Qty],T_Shipments[RM_Code],$A46,T_Shipments[Effective_Week],7)</f>
        <v/>
      </c>
      <c r="I46">
        <f>SUMIFS(T_Shipments[Confirmed_Qty],T_Shipments[RM_Code],$A46,T_Shipments[Effective_Week],8)</f>
        <v/>
      </c>
      <c r="J46">
        <f>SUMIFS(T_Shipments[Confirmed_Qty],T_Shipments[RM_Code],$A46,T_Shipments[Effective_Week],9)</f>
        <v/>
      </c>
      <c r="K46">
        <f>SUMIFS(T_Shipments[Confirmed_Qty],T_Shipments[RM_Code],$A46,T_Shipments[Effective_Week],10)</f>
        <v/>
      </c>
      <c r="L46">
        <f>SUMIFS(T_Shipments[Confirmed_Qty],T_Shipments[RM_Code],$A46,T_Shipments[Effective_Week],11)</f>
        <v/>
      </c>
      <c r="M46">
        <f>SUMIFS(T_Shipments[Confirmed_Qty],T_Shipments[RM_Code],$A46,T_Shipments[Effective_Week],12)</f>
        <v/>
      </c>
      <c r="N46">
        <f>SUMIFS(T_Shipments[Confirmed_Qty],T_Shipments[RM_Code],$A46,T_Shipments[Effective_Week],13)</f>
        <v/>
      </c>
      <c r="O46">
        <f>SUMIFS(T_Shipments[Confirmed_Qty],T_Shipments[RM_Code],$A46,T_Shipments[Effective_Week],14)</f>
        <v/>
      </c>
      <c r="P46">
        <f>SUMIFS(T_Shipments[Confirmed_Qty],T_Shipments[RM_Code],$A46,T_Shipments[Effective_Week],15)</f>
        <v/>
      </c>
      <c r="Q46">
        <f>SUMIFS(T_Shipments[Confirmed_Qty],T_Shipments[RM_Code],$A46,T_Shipments[Effective_Week],16)</f>
        <v/>
      </c>
      <c r="R46">
        <f>SUMIFS(T_Shipments[Confirmed_Qty],T_Shipments[RM_Code],$A46,T_Shipments[Effective_Week],17)</f>
        <v/>
      </c>
      <c r="S46">
        <f>SUMIFS(T_Shipments[Confirmed_Qty],T_Shipments[RM_Code],$A46,T_Shipments[Effective_Week],18)</f>
        <v/>
      </c>
      <c r="T46">
        <f>SUMIFS(T_Shipments[Confirmed_Qty],T_Shipments[RM_Code],$A46,T_Shipments[Effective_Week],19)</f>
        <v/>
      </c>
      <c r="U46">
        <f>SUMIFS(T_Shipments[Confirmed_Qty],T_Shipments[RM_Code],$A46,T_Shipments[Effective_Week],20)</f>
        <v/>
      </c>
      <c r="V46">
        <f>SUMIFS(T_Shipments[Confirmed_Qty],T_Shipments[RM_Code],$A46,T_Shipments[Effective_Week],21)</f>
        <v/>
      </c>
      <c r="W46">
        <f>SUMIFS(T_Shipments[Confirmed_Qty],T_Shipments[RM_Code],$A46,T_Shipments[Effective_Week],22)</f>
        <v/>
      </c>
      <c r="X46">
        <f>SUMIFS(T_Shipments[Confirmed_Qty],T_Shipments[RM_Code],$A46,T_Shipments[Effective_Week],23)</f>
        <v/>
      </c>
      <c r="Y46">
        <f>SUMIFS(T_Shipments[Confirmed_Qty],T_Shipments[RM_Code],$A46,T_Shipments[Effective_Week],24)</f>
        <v/>
      </c>
      <c r="Z46">
        <f>SUMIFS(T_Shipments[Confirmed_Qty],T_Shipments[RM_Code],$A46,T_Shipments[Effective_Week],25)</f>
        <v/>
      </c>
      <c r="AA46">
        <f>SUMIFS(T_Shipments[Confirmed_Qty],T_Shipments[RM_Code],$A46,T_Shipments[Effective_Week],26)</f>
        <v/>
      </c>
      <c r="AB46">
        <f>SUMIFS(T_Shipments[Confirmed_Qty],T_Shipments[RM_Code],$A46,T_Shipments[Effective_Week],27)</f>
        <v/>
      </c>
      <c r="AC46">
        <f>SUMIFS(T_Shipments[Confirmed_Qty],T_Shipments[RM_Code],$A46,T_Shipments[Effective_Week],28)</f>
        <v/>
      </c>
      <c r="AD46">
        <f>SUMIFS(T_Shipments[Confirmed_Qty],T_Shipments[RM_Code],$A46,T_Shipments[Effective_Week],29)</f>
        <v/>
      </c>
      <c r="AE46">
        <f>SUMIFS(T_Shipments[Confirmed_Qty],T_Shipments[RM_Code],$A46,T_Shipments[Effective_Week],30)</f>
        <v/>
      </c>
      <c r="AF46">
        <f>SUMIFS(T_Shipments[Confirmed_Qty],T_Shipments[RM_Code],$A46,T_Shipments[Effective_Week],31)</f>
        <v/>
      </c>
      <c r="AG46">
        <f>SUMIFS(T_Shipments[Confirmed_Qty],T_Shipments[RM_Code],$A46,T_Shipments[Effective_Week],32)</f>
        <v/>
      </c>
      <c r="AH46">
        <f>SUMIFS(T_Shipments[Confirmed_Qty],T_Shipments[RM_Code],$A46,T_Shipments[Effective_Week],33)</f>
        <v/>
      </c>
      <c r="AI46">
        <f>SUMIFS(T_Shipments[Confirmed_Qty],T_Shipments[RM_Code],$A46,T_Shipments[Effective_Week],34)</f>
        <v/>
      </c>
      <c r="AJ46">
        <f>SUMIFS(T_Shipments[Confirmed_Qty],T_Shipments[RM_Code],$A46,T_Shipments[Effective_Week],35)</f>
        <v/>
      </c>
      <c r="AK46">
        <f>SUMIFS(T_Shipments[Confirmed_Qty],T_Shipments[RM_Code],$A46,T_Shipments[Effective_Week],36)</f>
        <v/>
      </c>
      <c r="AL46">
        <f>SUMIFS(T_Shipments[Confirmed_Qty],T_Shipments[RM_Code],$A46,T_Shipments[Effective_Week],37)</f>
        <v/>
      </c>
      <c r="AM46">
        <f>SUMIFS(T_Shipments[Confirmed_Qty],T_Shipments[RM_Code],$A46,T_Shipments[Effective_Week],38)</f>
        <v/>
      </c>
      <c r="AN46">
        <f>SUMIFS(T_Shipments[Confirmed_Qty],T_Shipments[RM_Code],$A46,T_Shipments[Effective_Week],39)</f>
        <v/>
      </c>
      <c r="AO46">
        <f>SUMIFS(T_Shipments[Confirmed_Qty],T_Shipments[RM_Code],$A46,T_Shipments[Effective_Week],40)</f>
        <v/>
      </c>
      <c r="AP46">
        <f>SUMIFS(T_Shipments[Confirmed_Qty],T_Shipments[RM_Code],$A46,T_Shipments[Effective_Week],41)</f>
        <v/>
      </c>
      <c r="AQ46">
        <f>SUMIFS(T_Shipments[Confirmed_Qty],T_Shipments[RM_Code],$A46,T_Shipments[Effective_Week],42)</f>
        <v/>
      </c>
      <c r="AR46">
        <f>SUMIFS(T_Shipments[Confirmed_Qty],T_Shipments[RM_Code],$A46,T_Shipments[Effective_Week],43)</f>
        <v/>
      </c>
      <c r="AS46">
        <f>SUMIFS(T_Shipments[Confirmed_Qty],T_Shipments[RM_Code],$A46,T_Shipments[Effective_Week],44)</f>
        <v/>
      </c>
      <c r="AT46">
        <f>SUMIFS(T_Shipments[Confirmed_Qty],T_Shipments[RM_Code],$A46,T_Shipments[Effective_Week],45)</f>
        <v/>
      </c>
      <c r="AU46">
        <f>SUMIFS(T_Shipments[Confirmed_Qty],T_Shipments[RM_Code],$A46,T_Shipments[Effective_Week],46)</f>
        <v/>
      </c>
      <c r="AV46">
        <f>SUMIFS(T_Shipments[Confirmed_Qty],T_Shipments[RM_Code],$A46,T_Shipments[Effective_Week],47)</f>
        <v/>
      </c>
      <c r="AW46">
        <f>SUMIFS(T_Shipments[Confirmed_Qty],T_Shipments[RM_Code],$A46,T_Shipments[Effective_Week],48)</f>
        <v/>
      </c>
      <c r="AX46">
        <f>SUMIFS(T_Shipments[Confirmed_Qty],T_Shipments[RM_Code],$A46,T_Shipments[Effective_Week],49)</f>
        <v/>
      </c>
      <c r="AY46">
        <f>SUMIFS(T_Shipments[Confirmed_Qty],T_Shipments[RM_Code],$A46,T_Shipments[Effective_Week],50)</f>
        <v/>
      </c>
      <c r="AZ46">
        <f>SUMIFS(T_Shipments[Confirmed_Qty],T_Shipments[RM_Code],$A46,T_Shipments[Effective_Week],51)</f>
        <v/>
      </c>
      <c r="BA46">
        <f>SUMIFS(T_Shipments[Confirmed_Qty],T_Shipments[RM_Code],$A46,T_Shipments[Effective_Week],52)</f>
        <v/>
      </c>
      <c r="BB46">
        <f>SUMIFS(T_Shipments[Confirmed_Qty],T_Shipments[RM_Code],$A46,T_Shipments[Effective_Week],53)</f>
        <v/>
      </c>
      <c r="BC46">
        <f>SUMIFS(T_Shipments[Confirmed_Qty],T_Shipments[RM_Code],$A46,T_Shipments[Effective_Week],54)</f>
        <v/>
      </c>
      <c r="BD46">
        <f>SUMIFS(T_Shipments[Confirmed_Qty],T_Shipments[RM_Code],$A46,T_Shipments[Effective_Week],55)</f>
        <v/>
      </c>
      <c r="BE46">
        <f>SUMIFS(T_Shipments[Confirmed_Qty],T_Shipments[RM_Code],$A46,T_Shipments[Effective_Week],56)</f>
        <v/>
      </c>
      <c r="BF46">
        <f>SUMIFS(T_Shipments[Confirmed_Qty],T_Shipments[RM_Code],$A46,T_Shipments[Effective_Week],57)</f>
        <v/>
      </c>
      <c r="BG46">
        <f>SUMIFS(T_Shipments[Confirmed_Qty],T_Shipments[RM_Code],$A46,T_Shipments[Effective_Week],58)</f>
        <v/>
      </c>
      <c r="BH46">
        <f>SUMIFS(T_Shipments[Confirmed_Qty],T_Shipments[RM_Code],$A46,T_Shipments[Effective_Week],59)</f>
        <v/>
      </c>
      <c r="BI46">
        <f>SUMIFS(T_Shipments[Confirmed_Qty],T_Shipments[RM_Code],$A46,T_Shipments[Effective_Week],60)</f>
        <v/>
      </c>
      <c r="BJ46">
        <f>SUMIFS(T_Shipments[Confirmed_Qty],T_Shipments[RM_Code],$A46,T_Shipments[Effective_Week],61)</f>
        <v/>
      </c>
      <c r="BK46">
        <f>SUMIFS(T_Shipments[Confirmed_Qty],T_Shipments[RM_Code],$A46,T_Shipments[Effective_Week],62)</f>
        <v/>
      </c>
      <c r="BL46">
        <f>SUMIFS(T_Shipments[Confirmed_Qty],T_Shipments[RM_Code],$A46,T_Shipments[Effective_Week],63)</f>
        <v/>
      </c>
      <c r="BM46">
        <f>SUMIFS(T_Shipments[Confirmed_Qty],T_Shipments[RM_Code],$A46,T_Shipments[Effective_Week],64)</f>
        <v/>
      </c>
      <c r="BN46">
        <f>SUMIFS(T_Shipments[Confirmed_Qty],T_Shipments[RM_Code],$A46,T_Shipments[Effective_Week],65)</f>
        <v/>
      </c>
      <c r="BO46">
        <f>SUMIFS(T_Shipments[Confirmed_Qty],T_Shipments[RM_Code],$A46,T_Shipments[Effective_Week],66)</f>
        <v/>
      </c>
      <c r="BP46">
        <f>SUMIFS(T_Shipments[Confirmed_Qty],T_Shipments[RM_Code],$A46,T_Shipments[Effective_Week],67)</f>
        <v/>
      </c>
      <c r="BQ46">
        <f>SUMIFS(T_Shipments[Confirmed_Qty],T_Shipments[RM_Code],$A46,T_Shipments[Effective_Week],68)</f>
        <v/>
      </c>
      <c r="BR46">
        <f>SUMIFS(T_Shipments[Confirmed_Qty],T_Shipments[RM_Code],$A46,T_Shipments[Effective_Week],69)</f>
        <v/>
      </c>
      <c r="BS46">
        <f>SUMIFS(T_Shipments[Confirmed_Qty],T_Shipments[RM_Code],$A46,T_Shipments[Effective_Week],70)</f>
        <v/>
      </c>
      <c r="BT46">
        <f>SUMIFS(T_Shipments[Confirmed_Qty],T_Shipments[RM_Code],$A46,T_Shipments[Effective_Week],71)</f>
        <v/>
      </c>
      <c r="BU46">
        <f>SUMIFS(T_Shipments[Confirmed_Qty],T_Shipments[RM_Code],$A46,T_Shipments[Effective_Week],72)</f>
        <v/>
      </c>
      <c r="BV46">
        <f>SUMIFS(T_Shipments[Confirmed_Qty],T_Shipments[RM_Code],$A46,T_Shipments[Effective_Week],73)</f>
        <v/>
      </c>
      <c r="BW46">
        <f>SUMIFS(T_Shipments[Confirmed_Qty],T_Shipments[RM_Code],$A46,T_Shipments[Effective_Week],74)</f>
        <v/>
      </c>
      <c r="BX46">
        <f>SUMIFS(T_Shipments[Confirmed_Qty],T_Shipments[RM_Code],$A46,T_Shipments[Effective_Week],75)</f>
        <v/>
      </c>
      <c r="BY46">
        <f>SUMIFS(T_Shipments[Confirmed_Qty],T_Shipments[RM_Code],$A46,T_Shipments[Effective_Week],76)</f>
        <v/>
      </c>
      <c r="BZ46">
        <f>SUMIFS(T_Shipments[Confirmed_Qty],T_Shipments[RM_Code],$A46,T_Shipments[Effective_Week],77)</f>
        <v/>
      </c>
      <c r="CA46">
        <f>SUMIFS(T_Shipments[Confirmed_Qty],T_Shipments[RM_Code],$A46,T_Shipments[Effective_Week],78)</f>
        <v/>
      </c>
      <c r="CB46">
        <f>SUMIFS(T_Shipments[Confirmed_Qty],T_Shipments[RM_Code],$A46,T_Shipments[Effective_Week],79)</f>
        <v/>
      </c>
      <c r="CC46">
        <f>SUMIFS(T_Shipments[Confirmed_Qty],T_Shipments[RM_Code],$A46,T_Shipments[Effective_Week],80)</f>
        <v/>
      </c>
      <c r="CD46">
        <f>SUMIFS(T_Shipments[Confirmed_Qty],T_Shipments[RM_Code],$A46,T_Shipments[Effective_Week],81)</f>
        <v/>
      </c>
      <c r="CE46">
        <f>SUMIFS(T_Shipments[Confirmed_Qty],T_Shipments[RM_Code],$A46,T_Shipments[Effective_Week],82)</f>
        <v/>
      </c>
      <c r="CF46">
        <f>SUMIFS(T_Shipments[Confirmed_Qty],T_Shipments[RM_Code],$A46,T_Shipments[Effective_Week],83)</f>
        <v/>
      </c>
      <c r="CG46">
        <f>SUMIFS(T_Shipments[Confirmed_Qty],T_Shipments[RM_Code],$A46,T_Shipments[Effective_Week],84)</f>
        <v/>
      </c>
      <c r="CH46">
        <f>SUMIFS(T_Shipments[Confirmed_Qty],T_Shipments[RM_Code],$A46,T_Shipments[Effective_Week],85)</f>
        <v/>
      </c>
      <c r="CI46">
        <f>SUMIFS(T_Shipments[Confirmed_Qty],T_Shipments[RM_Code],$A46,T_Shipments[Effective_Week],86)</f>
        <v/>
      </c>
      <c r="CJ46">
        <f>SUMIFS(T_Shipments[Confirmed_Qty],T_Shipments[RM_Code],$A46,T_Shipments[Effective_Week],87)</f>
        <v/>
      </c>
      <c r="CK46">
        <f>SUMIFS(T_Shipments[Confirmed_Qty],T_Shipments[RM_Code],$A46,T_Shipments[Effective_Week],88)</f>
        <v/>
      </c>
      <c r="CL46">
        <f>SUMIFS(T_Shipments[Confirmed_Qty],T_Shipments[RM_Code],$A46,T_Shipments[Effective_Week],89)</f>
        <v/>
      </c>
      <c r="CM46">
        <f>SUMIFS(T_Shipments[Confirmed_Qty],T_Shipments[RM_Code],$A46,T_Shipments[Effective_Week],90)</f>
        <v/>
      </c>
      <c r="CN46">
        <f>SUMIFS(T_Shipments[Confirmed_Qty],T_Shipments[RM_Code],$A46,T_Shipments[Effective_Week],91)</f>
        <v/>
      </c>
      <c r="CO46">
        <f>SUMIFS(T_Shipments[Confirmed_Qty],T_Shipments[RM_Code],$A46,T_Shipments[Effective_Week],92)</f>
        <v/>
      </c>
      <c r="CP46">
        <f>SUMIFS(T_Shipments[Confirmed_Qty],T_Shipments[RM_Code],$A46,T_Shipments[Effective_Week],93)</f>
        <v/>
      </c>
      <c r="CQ46">
        <f>SUMIFS(T_Shipments[Confirmed_Qty],T_Shipments[RM_Code],$A46,T_Shipments[Effective_Week],94)</f>
        <v/>
      </c>
      <c r="CR46">
        <f>SUMIFS(T_Shipments[Confirmed_Qty],T_Shipments[RM_Code],$A46,T_Shipments[Effective_Week],95)</f>
        <v/>
      </c>
      <c r="CS46">
        <f>SUMIFS(T_Shipments[Confirmed_Qty],T_Shipments[RM_Code],$A46,T_Shipments[Effective_Week],96)</f>
        <v/>
      </c>
      <c r="CT46">
        <f>SUMIFS(T_Shipments[Confirmed_Qty],T_Shipments[RM_Code],$A46,T_Shipments[Effective_Week],97)</f>
        <v/>
      </c>
      <c r="CU46">
        <f>SUMIFS(T_Shipments[Confirmed_Qty],T_Shipments[RM_Code],$A46,T_Shipments[Effective_Week],98)</f>
        <v/>
      </c>
      <c r="CV46">
        <f>SUMIFS(T_Shipments[Confirmed_Qty],T_Shipments[RM_Code],$A46,T_Shipments[Effective_Week],99)</f>
        <v/>
      </c>
      <c r="CW46">
        <f>SUMIFS(T_Shipments[Confirmed_Qty],T_Shipments[RM_Code],$A46,T_Shipments[Effective_Week],100)</f>
        <v/>
      </c>
      <c r="CX46">
        <f>SUMIFS(T_Shipments[Confirmed_Qty],T_Shipments[RM_Code],$A46,T_Shipments[Effective_Week],101)</f>
        <v/>
      </c>
      <c r="CY46">
        <f>SUMIFS(T_Shipments[Confirmed_Qty],T_Shipments[RM_Code],$A46,T_Shipments[Effective_Week],102)</f>
        <v/>
      </c>
      <c r="CZ46">
        <f>SUMIFS(T_Shipments[Confirmed_Qty],T_Shipments[RM_Code],$A46,T_Shipments[Effective_Week],103)</f>
        <v/>
      </c>
      <c r="DA46">
        <f>SUMIFS(T_Shipments[Confirmed_Qty],T_Shipments[RM_Code],$A46,T_Shipments[Effective_Week],104)</f>
        <v/>
      </c>
    </row>
    <row r="47">
      <c r="A47" t="inlineStr">
        <is>
          <t>CHEM-1430</t>
        </is>
      </c>
      <c r="B47">
        <f>SUMIFS(T_Shipments[Confirmed_Qty],T_Shipments[RM_Code],$A47,T_Shipments[Effective_Week],1)</f>
        <v/>
      </c>
      <c r="C47">
        <f>SUMIFS(T_Shipments[Confirmed_Qty],T_Shipments[RM_Code],$A47,T_Shipments[Effective_Week],2)</f>
        <v/>
      </c>
      <c r="D47">
        <f>SUMIFS(T_Shipments[Confirmed_Qty],T_Shipments[RM_Code],$A47,T_Shipments[Effective_Week],3)</f>
        <v/>
      </c>
      <c r="E47">
        <f>SUMIFS(T_Shipments[Confirmed_Qty],T_Shipments[RM_Code],$A47,T_Shipments[Effective_Week],4)</f>
        <v/>
      </c>
      <c r="F47">
        <f>SUMIFS(T_Shipments[Confirmed_Qty],T_Shipments[RM_Code],$A47,T_Shipments[Effective_Week],5)</f>
        <v/>
      </c>
      <c r="G47">
        <f>SUMIFS(T_Shipments[Confirmed_Qty],T_Shipments[RM_Code],$A47,T_Shipments[Effective_Week],6)</f>
        <v/>
      </c>
      <c r="H47">
        <f>SUMIFS(T_Shipments[Confirmed_Qty],T_Shipments[RM_Code],$A47,T_Shipments[Effective_Week],7)</f>
        <v/>
      </c>
      <c r="I47">
        <f>SUMIFS(T_Shipments[Confirmed_Qty],T_Shipments[RM_Code],$A47,T_Shipments[Effective_Week],8)</f>
        <v/>
      </c>
      <c r="J47">
        <f>SUMIFS(T_Shipments[Confirmed_Qty],T_Shipments[RM_Code],$A47,T_Shipments[Effective_Week],9)</f>
        <v/>
      </c>
      <c r="K47">
        <f>SUMIFS(T_Shipments[Confirmed_Qty],T_Shipments[RM_Code],$A47,T_Shipments[Effective_Week],10)</f>
        <v/>
      </c>
      <c r="L47">
        <f>SUMIFS(T_Shipments[Confirmed_Qty],T_Shipments[RM_Code],$A47,T_Shipments[Effective_Week],11)</f>
        <v/>
      </c>
      <c r="M47">
        <f>SUMIFS(T_Shipments[Confirmed_Qty],T_Shipments[RM_Code],$A47,T_Shipments[Effective_Week],12)</f>
        <v/>
      </c>
      <c r="N47">
        <f>SUMIFS(T_Shipments[Confirmed_Qty],T_Shipments[RM_Code],$A47,T_Shipments[Effective_Week],13)</f>
        <v/>
      </c>
      <c r="O47">
        <f>SUMIFS(T_Shipments[Confirmed_Qty],T_Shipments[RM_Code],$A47,T_Shipments[Effective_Week],14)</f>
        <v/>
      </c>
      <c r="P47">
        <f>SUMIFS(T_Shipments[Confirmed_Qty],T_Shipments[RM_Code],$A47,T_Shipments[Effective_Week],15)</f>
        <v/>
      </c>
      <c r="Q47">
        <f>SUMIFS(T_Shipments[Confirmed_Qty],T_Shipments[RM_Code],$A47,T_Shipments[Effective_Week],16)</f>
        <v/>
      </c>
      <c r="R47">
        <f>SUMIFS(T_Shipments[Confirmed_Qty],T_Shipments[RM_Code],$A47,T_Shipments[Effective_Week],17)</f>
        <v/>
      </c>
      <c r="S47">
        <f>SUMIFS(T_Shipments[Confirmed_Qty],T_Shipments[RM_Code],$A47,T_Shipments[Effective_Week],18)</f>
        <v/>
      </c>
      <c r="T47">
        <f>SUMIFS(T_Shipments[Confirmed_Qty],T_Shipments[RM_Code],$A47,T_Shipments[Effective_Week],19)</f>
        <v/>
      </c>
      <c r="U47">
        <f>SUMIFS(T_Shipments[Confirmed_Qty],T_Shipments[RM_Code],$A47,T_Shipments[Effective_Week],20)</f>
        <v/>
      </c>
      <c r="V47">
        <f>SUMIFS(T_Shipments[Confirmed_Qty],T_Shipments[RM_Code],$A47,T_Shipments[Effective_Week],21)</f>
        <v/>
      </c>
      <c r="W47">
        <f>SUMIFS(T_Shipments[Confirmed_Qty],T_Shipments[RM_Code],$A47,T_Shipments[Effective_Week],22)</f>
        <v/>
      </c>
      <c r="X47">
        <f>SUMIFS(T_Shipments[Confirmed_Qty],T_Shipments[RM_Code],$A47,T_Shipments[Effective_Week],23)</f>
        <v/>
      </c>
      <c r="Y47">
        <f>SUMIFS(T_Shipments[Confirmed_Qty],T_Shipments[RM_Code],$A47,T_Shipments[Effective_Week],24)</f>
        <v/>
      </c>
      <c r="Z47">
        <f>SUMIFS(T_Shipments[Confirmed_Qty],T_Shipments[RM_Code],$A47,T_Shipments[Effective_Week],25)</f>
        <v/>
      </c>
      <c r="AA47">
        <f>SUMIFS(T_Shipments[Confirmed_Qty],T_Shipments[RM_Code],$A47,T_Shipments[Effective_Week],26)</f>
        <v/>
      </c>
      <c r="AB47">
        <f>SUMIFS(T_Shipments[Confirmed_Qty],T_Shipments[RM_Code],$A47,T_Shipments[Effective_Week],27)</f>
        <v/>
      </c>
      <c r="AC47">
        <f>SUMIFS(T_Shipments[Confirmed_Qty],T_Shipments[RM_Code],$A47,T_Shipments[Effective_Week],28)</f>
        <v/>
      </c>
      <c r="AD47">
        <f>SUMIFS(T_Shipments[Confirmed_Qty],T_Shipments[RM_Code],$A47,T_Shipments[Effective_Week],29)</f>
        <v/>
      </c>
      <c r="AE47">
        <f>SUMIFS(T_Shipments[Confirmed_Qty],T_Shipments[RM_Code],$A47,T_Shipments[Effective_Week],30)</f>
        <v/>
      </c>
      <c r="AF47">
        <f>SUMIFS(T_Shipments[Confirmed_Qty],T_Shipments[RM_Code],$A47,T_Shipments[Effective_Week],31)</f>
        <v/>
      </c>
      <c r="AG47">
        <f>SUMIFS(T_Shipments[Confirmed_Qty],T_Shipments[RM_Code],$A47,T_Shipments[Effective_Week],32)</f>
        <v/>
      </c>
      <c r="AH47">
        <f>SUMIFS(T_Shipments[Confirmed_Qty],T_Shipments[RM_Code],$A47,T_Shipments[Effective_Week],33)</f>
        <v/>
      </c>
      <c r="AI47">
        <f>SUMIFS(T_Shipments[Confirmed_Qty],T_Shipments[RM_Code],$A47,T_Shipments[Effective_Week],34)</f>
        <v/>
      </c>
      <c r="AJ47">
        <f>SUMIFS(T_Shipments[Confirmed_Qty],T_Shipments[RM_Code],$A47,T_Shipments[Effective_Week],35)</f>
        <v/>
      </c>
      <c r="AK47">
        <f>SUMIFS(T_Shipments[Confirmed_Qty],T_Shipments[RM_Code],$A47,T_Shipments[Effective_Week],36)</f>
        <v/>
      </c>
      <c r="AL47">
        <f>SUMIFS(T_Shipments[Confirmed_Qty],T_Shipments[RM_Code],$A47,T_Shipments[Effective_Week],37)</f>
        <v/>
      </c>
      <c r="AM47">
        <f>SUMIFS(T_Shipments[Confirmed_Qty],T_Shipments[RM_Code],$A47,T_Shipments[Effective_Week],38)</f>
        <v/>
      </c>
      <c r="AN47">
        <f>SUMIFS(T_Shipments[Confirmed_Qty],T_Shipments[RM_Code],$A47,T_Shipments[Effective_Week],39)</f>
        <v/>
      </c>
      <c r="AO47">
        <f>SUMIFS(T_Shipments[Confirmed_Qty],T_Shipments[RM_Code],$A47,T_Shipments[Effective_Week],40)</f>
        <v/>
      </c>
      <c r="AP47">
        <f>SUMIFS(T_Shipments[Confirmed_Qty],T_Shipments[RM_Code],$A47,T_Shipments[Effective_Week],41)</f>
        <v/>
      </c>
      <c r="AQ47">
        <f>SUMIFS(T_Shipments[Confirmed_Qty],T_Shipments[RM_Code],$A47,T_Shipments[Effective_Week],42)</f>
        <v/>
      </c>
      <c r="AR47">
        <f>SUMIFS(T_Shipments[Confirmed_Qty],T_Shipments[RM_Code],$A47,T_Shipments[Effective_Week],43)</f>
        <v/>
      </c>
      <c r="AS47">
        <f>SUMIFS(T_Shipments[Confirmed_Qty],T_Shipments[RM_Code],$A47,T_Shipments[Effective_Week],44)</f>
        <v/>
      </c>
      <c r="AT47">
        <f>SUMIFS(T_Shipments[Confirmed_Qty],T_Shipments[RM_Code],$A47,T_Shipments[Effective_Week],45)</f>
        <v/>
      </c>
      <c r="AU47">
        <f>SUMIFS(T_Shipments[Confirmed_Qty],T_Shipments[RM_Code],$A47,T_Shipments[Effective_Week],46)</f>
        <v/>
      </c>
      <c r="AV47">
        <f>SUMIFS(T_Shipments[Confirmed_Qty],T_Shipments[RM_Code],$A47,T_Shipments[Effective_Week],47)</f>
        <v/>
      </c>
      <c r="AW47">
        <f>SUMIFS(T_Shipments[Confirmed_Qty],T_Shipments[RM_Code],$A47,T_Shipments[Effective_Week],48)</f>
        <v/>
      </c>
      <c r="AX47">
        <f>SUMIFS(T_Shipments[Confirmed_Qty],T_Shipments[RM_Code],$A47,T_Shipments[Effective_Week],49)</f>
        <v/>
      </c>
      <c r="AY47">
        <f>SUMIFS(T_Shipments[Confirmed_Qty],T_Shipments[RM_Code],$A47,T_Shipments[Effective_Week],50)</f>
        <v/>
      </c>
      <c r="AZ47">
        <f>SUMIFS(T_Shipments[Confirmed_Qty],T_Shipments[RM_Code],$A47,T_Shipments[Effective_Week],51)</f>
        <v/>
      </c>
      <c r="BA47">
        <f>SUMIFS(T_Shipments[Confirmed_Qty],T_Shipments[RM_Code],$A47,T_Shipments[Effective_Week],52)</f>
        <v/>
      </c>
      <c r="BB47">
        <f>SUMIFS(T_Shipments[Confirmed_Qty],T_Shipments[RM_Code],$A47,T_Shipments[Effective_Week],53)</f>
        <v/>
      </c>
      <c r="BC47">
        <f>SUMIFS(T_Shipments[Confirmed_Qty],T_Shipments[RM_Code],$A47,T_Shipments[Effective_Week],54)</f>
        <v/>
      </c>
      <c r="BD47">
        <f>SUMIFS(T_Shipments[Confirmed_Qty],T_Shipments[RM_Code],$A47,T_Shipments[Effective_Week],55)</f>
        <v/>
      </c>
      <c r="BE47">
        <f>SUMIFS(T_Shipments[Confirmed_Qty],T_Shipments[RM_Code],$A47,T_Shipments[Effective_Week],56)</f>
        <v/>
      </c>
      <c r="BF47">
        <f>SUMIFS(T_Shipments[Confirmed_Qty],T_Shipments[RM_Code],$A47,T_Shipments[Effective_Week],57)</f>
        <v/>
      </c>
      <c r="BG47">
        <f>SUMIFS(T_Shipments[Confirmed_Qty],T_Shipments[RM_Code],$A47,T_Shipments[Effective_Week],58)</f>
        <v/>
      </c>
      <c r="BH47">
        <f>SUMIFS(T_Shipments[Confirmed_Qty],T_Shipments[RM_Code],$A47,T_Shipments[Effective_Week],59)</f>
        <v/>
      </c>
      <c r="BI47">
        <f>SUMIFS(T_Shipments[Confirmed_Qty],T_Shipments[RM_Code],$A47,T_Shipments[Effective_Week],60)</f>
        <v/>
      </c>
      <c r="BJ47">
        <f>SUMIFS(T_Shipments[Confirmed_Qty],T_Shipments[RM_Code],$A47,T_Shipments[Effective_Week],61)</f>
        <v/>
      </c>
      <c r="BK47">
        <f>SUMIFS(T_Shipments[Confirmed_Qty],T_Shipments[RM_Code],$A47,T_Shipments[Effective_Week],62)</f>
        <v/>
      </c>
      <c r="BL47">
        <f>SUMIFS(T_Shipments[Confirmed_Qty],T_Shipments[RM_Code],$A47,T_Shipments[Effective_Week],63)</f>
        <v/>
      </c>
      <c r="BM47">
        <f>SUMIFS(T_Shipments[Confirmed_Qty],T_Shipments[RM_Code],$A47,T_Shipments[Effective_Week],64)</f>
        <v/>
      </c>
      <c r="BN47">
        <f>SUMIFS(T_Shipments[Confirmed_Qty],T_Shipments[RM_Code],$A47,T_Shipments[Effective_Week],65)</f>
        <v/>
      </c>
      <c r="BO47">
        <f>SUMIFS(T_Shipments[Confirmed_Qty],T_Shipments[RM_Code],$A47,T_Shipments[Effective_Week],66)</f>
        <v/>
      </c>
      <c r="BP47">
        <f>SUMIFS(T_Shipments[Confirmed_Qty],T_Shipments[RM_Code],$A47,T_Shipments[Effective_Week],67)</f>
        <v/>
      </c>
      <c r="BQ47">
        <f>SUMIFS(T_Shipments[Confirmed_Qty],T_Shipments[RM_Code],$A47,T_Shipments[Effective_Week],68)</f>
        <v/>
      </c>
      <c r="BR47">
        <f>SUMIFS(T_Shipments[Confirmed_Qty],T_Shipments[RM_Code],$A47,T_Shipments[Effective_Week],69)</f>
        <v/>
      </c>
      <c r="BS47">
        <f>SUMIFS(T_Shipments[Confirmed_Qty],T_Shipments[RM_Code],$A47,T_Shipments[Effective_Week],70)</f>
        <v/>
      </c>
      <c r="BT47">
        <f>SUMIFS(T_Shipments[Confirmed_Qty],T_Shipments[RM_Code],$A47,T_Shipments[Effective_Week],71)</f>
        <v/>
      </c>
      <c r="BU47">
        <f>SUMIFS(T_Shipments[Confirmed_Qty],T_Shipments[RM_Code],$A47,T_Shipments[Effective_Week],72)</f>
        <v/>
      </c>
      <c r="BV47">
        <f>SUMIFS(T_Shipments[Confirmed_Qty],T_Shipments[RM_Code],$A47,T_Shipments[Effective_Week],73)</f>
        <v/>
      </c>
      <c r="BW47">
        <f>SUMIFS(T_Shipments[Confirmed_Qty],T_Shipments[RM_Code],$A47,T_Shipments[Effective_Week],74)</f>
        <v/>
      </c>
      <c r="BX47">
        <f>SUMIFS(T_Shipments[Confirmed_Qty],T_Shipments[RM_Code],$A47,T_Shipments[Effective_Week],75)</f>
        <v/>
      </c>
      <c r="BY47">
        <f>SUMIFS(T_Shipments[Confirmed_Qty],T_Shipments[RM_Code],$A47,T_Shipments[Effective_Week],76)</f>
        <v/>
      </c>
      <c r="BZ47">
        <f>SUMIFS(T_Shipments[Confirmed_Qty],T_Shipments[RM_Code],$A47,T_Shipments[Effective_Week],77)</f>
        <v/>
      </c>
      <c r="CA47">
        <f>SUMIFS(T_Shipments[Confirmed_Qty],T_Shipments[RM_Code],$A47,T_Shipments[Effective_Week],78)</f>
        <v/>
      </c>
      <c r="CB47">
        <f>SUMIFS(T_Shipments[Confirmed_Qty],T_Shipments[RM_Code],$A47,T_Shipments[Effective_Week],79)</f>
        <v/>
      </c>
      <c r="CC47">
        <f>SUMIFS(T_Shipments[Confirmed_Qty],T_Shipments[RM_Code],$A47,T_Shipments[Effective_Week],80)</f>
        <v/>
      </c>
      <c r="CD47">
        <f>SUMIFS(T_Shipments[Confirmed_Qty],T_Shipments[RM_Code],$A47,T_Shipments[Effective_Week],81)</f>
        <v/>
      </c>
      <c r="CE47">
        <f>SUMIFS(T_Shipments[Confirmed_Qty],T_Shipments[RM_Code],$A47,T_Shipments[Effective_Week],82)</f>
        <v/>
      </c>
      <c r="CF47">
        <f>SUMIFS(T_Shipments[Confirmed_Qty],T_Shipments[RM_Code],$A47,T_Shipments[Effective_Week],83)</f>
        <v/>
      </c>
      <c r="CG47">
        <f>SUMIFS(T_Shipments[Confirmed_Qty],T_Shipments[RM_Code],$A47,T_Shipments[Effective_Week],84)</f>
        <v/>
      </c>
      <c r="CH47">
        <f>SUMIFS(T_Shipments[Confirmed_Qty],T_Shipments[RM_Code],$A47,T_Shipments[Effective_Week],85)</f>
        <v/>
      </c>
      <c r="CI47">
        <f>SUMIFS(T_Shipments[Confirmed_Qty],T_Shipments[RM_Code],$A47,T_Shipments[Effective_Week],86)</f>
        <v/>
      </c>
      <c r="CJ47">
        <f>SUMIFS(T_Shipments[Confirmed_Qty],T_Shipments[RM_Code],$A47,T_Shipments[Effective_Week],87)</f>
        <v/>
      </c>
      <c r="CK47">
        <f>SUMIFS(T_Shipments[Confirmed_Qty],T_Shipments[RM_Code],$A47,T_Shipments[Effective_Week],88)</f>
        <v/>
      </c>
      <c r="CL47">
        <f>SUMIFS(T_Shipments[Confirmed_Qty],T_Shipments[RM_Code],$A47,T_Shipments[Effective_Week],89)</f>
        <v/>
      </c>
      <c r="CM47">
        <f>SUMIFS(T_Shipments[Confirmed_Qty],T_Shipments[RM_Code],$A47,T_Shipments[Effective_Week],90)</f>
        <v/>
      </c>
      <c r="CN47">
        <f>SUMIFS(T_Shipments[Confirmed_Qty],T_Shipments[RM_Code],$A47,T_Shipments[Effective_Week],91)</f>
        <v/>
      </c>
      <c r="CO47">
        <f>SUMIFS(T_Shipments[Confirmed_Qty],T_Shipments[RM_Code],$A47,T_Shipments[Effective_Week],92)</f>
        <v/>
      </c>
      <c r="CP47">
        <f>SUMIFS(T_Shipments[Confirmed_Qty],T_Shipments[RM_Code],$A47,T_Shipments[Effective_Week],93)</f>
        <v/>
      </c>
      <c r="CQ47">
        <f>SUMIFS(T_Shipments[Confirmed_Qty],T_Shipments[RM_Code],$A47,T_Shipments[Effective_Week],94)</f>
        <v/>
      </c>
      <c r="CR47">
        <f>SUMIFS(T_Shipments[Confirmed_Qty],T_Shipments[RM_Code],$A47,T_Shipments[Effective_Week],95)</f>
        <v/>
      </c>
      <c r="CS47">
        <f>SUMIFS(T_Shipments[Confirmed_Qty],T_Shipments[RM_Code],$A47,T_Shipments[Effective_Week],96)</f>
        <v/>
      </c>
      <c r="CT47">
        <f>SUMIFS(T_Shipments[Confirmed_Qty],T_Shipments[RM_Code],$A47,T_Shipments[Effective_Week],97)</f>
        <v/>
      </c>
      <c r="CU47">
        <f>SUMIFS(T_Shipments[Confirmed_Qty],T_Shipments[RM_Code],$A47,T_Shipments[Effective_Week],98)</f>
        <v/>
      </c>
      <c r="CV47">
        <f>SUMIFS(T_Shipments[Confirmed_Qty],T_Shipments[RM_Code],$A47,T_Shipments[Effective_Week],99)</f>
        <v/>
      </c>
      <c r="CW47">
        <f>SUMIFS(T_Shipments[Confirmed_Qty],T_Shipments[RM_Code],$A47,T_Shipments[Effective_Week],100)</f>
        <v/>
      </c>
      <c r="CX47">
        <f>SUMIFS(T_Shipments[Confirmed_Qty],T_Shipments[RM_Code],$A47,T_Shipments[Effective_Week],101)</f>
        <v/>
      </c>
      <c r="CY47">
        <f>SUMIFS(T_Shipments[Confirmed_Qty],T_Shipments[RM_Code],$A47,T_Shipments[Effective_Week],102)</f>
        <v/>
      </c>
      <c r="CZ47">
        <f>SUMIFS(T_Shipments[Confirmed_Qty],T_Shipments[RM_Code],$A47,T_Shipments[Effective_Week],103)</f>
        <v/>
      </c>
      <c r="DA47">
        <f>SUMIFS(T_Shipments[Confirmed_Qty],T_Shipments[RM_Code],$A47,T_Shipments[Effective_Week],104)</f>
        <v/>
      </c>
    </row>
    <row r="48">
      <c r="A48" t="inlineStr">
        <is>
          <t>CHEM-1450</t>
        </is>
      </c>
      <c r="B48">
        <f>SUMIFS(T_Shipments[Confirmed_Qty],T_Shipments[RM_Code],$A48,T_Shipments[Effective_Week],1)</f>
        <v/>
      </c>
      <c r="C48">
        <f>SUMIFS(T_Shipments[Confirmed_Qty],T_Shipments[RM_Code],$A48,T_Shipments[Effective_Week],2)</f>
        <v/>
      </c>
      <c r="D48">
        <f>SUMIFS(T_Shipments[Confirmed_Qty],T_Shipments[RM_Code],$A48,T_Shipments[Effective_Week],3)</f>
        <v/>
      </c>
      <c r="E48">
        <f>SUMIFS(T_Shipments[Confirmed_Qty],T_Shipments[RM_Code],$A48,T_Shipments[Effective_Week],4)</f>
        <v/>
      </c>
      <c r="F48">
        <f>SUMIFS(T_Shipments[Confirmed_Qty],T_Shipments[RM_Code],$A48,T_Shipments[Effective_Week],5)</f>
        <v/>
      </c>
      <c r="G48">
        <f>SUMIFS(T_Shipments[Confirmed_Qty],T_Shipments[RM_Code],$A48,T_Shipments[Effective_Week],6)</f>
        <v/>
      </c>
      <c r="H48">
        <f>SUMIFS(T_Shipments[Confirmed_Qty],T_Shipments[RM_Code],$A48,T_Shipments[Effective_Week],7)</f>
        <v/>
      </c>
      <c r="I48">
        <f>SUMIFS(T_Shipments[Confirmed_Qty],T_Shipments[RM_Code],$A48,T_Shipments[Effective_Week],8)</f>
        <v/>
      </c>
      <c r="J48">
        <f>SUMIFS(T_Shipments[Confirmed_Qty],T_Shipments[RM_Code],$A48,T_Shipments[Effective_Week],9)</f>
        <v/>
      </c>
      <c r="K48">
        <f>SUMIFS(T_Shipments[Confirmed_Qty],T_Shipments[RM_Code],$A48,T_Shipments[Effective_Week],10)</f>
        <v/>
      </c>
      <c r="L48">
        <f>SUMIFS(T_Shipments[Confirmed_Qty],T_Shipments[RM_Code],$A48,T_Shipments[Effective_Week],11)</f>
        <v/>
      </c>
      <c r="M48">
        <f>SUMIFS(T_Shipments[Confirmed_Qty],T_Shipments[RM_Code],$A48,T_Shipments[Effective_Week],12)</f>
        <v/>
      </c>
      <c r="N48">
        <f>SUMIFS(T_Shipments[Confirmed_Qty],T_Shipments[RM_Code],$A48,T_Shipments[Effective_Week],13)</f>
        <v/>
      </c>
      <c r="O48">
        <f>SUMIFS(T_Shipments[Confirmed_Qty],T_Shipments[RM_Code],$A48,T_Shipments[Effective_Week],14)</f>
        <v/>
      </c>
      <c r="P48">
        <f>SUMIFS(T_Shipments[Confirmed_Qty],T_Shipments[RM_Code],$A48,T_Shipments[Effective_Week],15)</f>
        <v/>
      </c>
      <c r="Q48">
        <f>SUMIFS(T_Shipments[Confirmed_Qty],T_Shipments[RM_Code],$A48,T_Shipments[Effective_Week],16)</f>
        <v/>
      </c>
      <c r="R48">
        <f>SUMIFS(T_Shipments[Confirmed_Qty],T_Shipments[RM_Code],$A48,T_Shipments[Effective_Week],17)</f>
        <v/>
      </c>
      <c r="S48">
        <f>SUMIFS(T_Shipments[Confirmed_Qty],T_Shipments[RM_Code],$A48,T_Shipments[Effective_Week],18)</f>
        <v/>
      </c>
      <c r="T48">
        <f>SUMIFS(T_Shipments[Confirmed_Qty],T_Shipments[RM_Code],$A48,T_Shipments[Effective_Week],19)</f>
        <v/>
      </c>
      <c r="U48">
        <f>SUMIFS(T_Shipments[Confirmed_Qty],T_Shipments[RM_Code],$A48,T_Shipments[Effective_Week],20)</f>
        <v/>
      </c>
      <c r="V48">
        <f>SUMIFS(T_Shipments[Confirmed_Qty],T_Shipments[RM_Code],$A48,T_Shipments[Effective_Week],21)</f>
        <v/>
      </c>
      <c r="W48">
        <f>SUMIFS(T_Shipments[Confirmed_Qty],T_Shipments[RM_Code],$A48,T_Shipments[Effective_Week],22)</f>
        <v/>
      </c>
      <c r="X48">
        <f>SUMIFS(T_Shipments[Confirmed_Qty],T_Shipments[RM_Code],$A48,T_Shipments[Effective_Week],23)</f>
        <v/>
      </c>
      <c r="Y48">
        <f>SUMIFS(T_Shipments[Confirmed_Qty],T_Shipments[RM_Code],$A48,T_Shipments[Effective_Week],24)</f>
        <v/>
      </c>
      <c r="Z48">
        <f>SUMIFS(T_Shipments[Confirmed_Qty],T_Shipments[RM_Code],$A48,T_Shipments[Effective_Week],25)</f>
        <v/>
      </c>
      <c r="AA48">
        <f>SUMIFS(T_Shipments[Confirmed_Qty],T_Shipments[RM_Code],$A48,T_Shipments[Effective_Week],26)</f>
        <v/>
      </c>
      <c r="AB48">
        <f>SUMIFS(T_Shipments[Confirmed_Qty],T_Shipments[RM_Code],$A48,T_Shipments[Effective_Week],27)</f>
        <v/>
      </c>
      <c r="AC48">
        <f>SUMIFS(T_Shipments[Confirmed_Qty],T_Shipments[RM_Code],$A48,T_Shipments[Effective_Week],28)</f>
        <v/>
      </c>
      <c r="AD48">
        <f>SUMIFS(T_Shipments[Confirmed_Qty],T_Shipments[RM_Code],$A48,T_Shipments[Effective_Week],29)</f>
        <v/>
      </c>
      <c r="AE48">
        <f>SUMIFS(T_Shipments[Confirmed_Qty],T_Shipments[RM_Code],$A48,T_Shipments[Effective_Week],30)</f>
        <v/>
      </c>
      <c r="AF48">
        <f>SUMIFS(T_Shipments[Confirmed_Qty],T_Shipments[RM_Code],$A48,T_Shipments[Effective_Week],31)</f>
        <v/>
      </c>
      <c r="AG48">
        <f>SUMIFS(T_Shipments[Confirmed_Qty],T_Shipments[RM_Code],$A48,T_Shipments[Effective_Week],32)</f>
        <v/>
      </c>
      <c r="AH48">
        <f>SUMIFS(T_Shipments[Confirmed_Qty],T_Shipments[RM_Code],$A48,T_Shipments[Effective_Week],33)</f>
        <v/>
      </c>
      <c r="AI48">
        <f>SUMIFS(T_Shipments[Confirmed_Qty],T_Shipments[RM_Code],$A48,T_Shipments[Effective_Week],34)</f>
        <v/>
      </c>
      <c r="AJ48">
        <f>SUMIFS(T_Shipments[Confirmed_Qty],T_Shipments[RM_Code],$A48,T_Shipments[Effective_Week],35)</f>
        <v/>
      </c>
      <c r="AK48">
        <f>SUMIFS(T_Shipments[Confirmed_Qty],T_Shipments[RM_Code],$A48,T_Shipments[Effective_Week],36)</f>
        <v/>
      </c>
      <c r="AL48">
        <f>SUMIFS(T_Shipments[Confirmed_Qty],T_Shipments[RM_Code],$A48,T_Shipments[Effective_Week],37)</f>
        <v/>
      </c>
      <c r="AM48">
        <f>SUMIFS(T_Shipments[Confirmed_Qty],T_Shipments[RM_Code],$A48,T_Shipments[Effective_Week],38)</f>
        <v/>
      </c>
      <c r="AN48">
        <f>SUMIFS(T_Shipments[Confirmed_Qty],T_Shipments[RM_Code],$A48,T_Shipments[Effective_Week],39)</f>
        <v/>
      </c>
      <c r="AO48">
        <f>SUMIFS(T_Shipments[Confirmed_Qty],T_Shipments[RM_Code],$A48,T_Shipments[Effective_Week],40)</f>
        <v/>
      </c>
      <c r="AP48">
        <f>SUMIFS(T_Shipments[Confirmed_Qty],T_Shipments[RM_Code],$A48,T_Shipments[Effective_Week],41)</f>
        <v/>
      </c>
      <c r="AQ48">
        <f>SUMIFS(T_Shipments[Confirmed_Qty],T_Shipments[RM_Code],$A48,T_Shipments[Effective_Week],42)</f>
        <v/>
      </c>
      <c r="AR48">
        <f>SUMIFS(T_Shipments[Confirmed_Qty],T_Shipments[RM_Code],$A48,T_Shipments[Effective_Week],43)</f>
        <v/>
      </c>
      <c r="AS48">
        <f>SUMIFS(T_Shipments[Confirmed_Qty],T_Shipments[RM_Code],$A48,T_Shipments[Effective_Week],44)</f>
        <v/>
      </c>
      <c r="AT48">
        <f>SUMIFS(T_Shipments[Confirmed_Qty],T_Shipments[RM_Code],$A48,T_Shipments[Effective_Week],45)</f>
        <v/>
      </c>
      <c r="AU48">
        <f>SUMIFS(T_Shipments[Confirmed_Qty],T_Shipments[RM_Code],$A48,T_Shipments[Effective_Week],46)</f>
        <v/>
      </c>
      <c r="AV48">
        <f>SUMIFS(T_Shipments[Confirmed_Qty],T_Shipments[RM_Code],$A48,T_Shipments[Effective_Week],47)</f>
        <v/>
      </c>
      <c r="AW48">
        <f>SUMIFS(T_Shipments[Confirmed_Qty],T_Shipments[RM_Code],$A48,T_Shipments[Effective_Week],48)</f>
        <v/>
      </c>
      <c r="AX48">
        <f>SUMIFS(T_Shipments[Confirmed_Qty],T_Shipments[RM_Code],$A48,T_Shipments[Effective_Week],49)</f>
        <v/>
      </c>
      <c r="AY48">
        <f>SUMIFS(T_Shipments[Confirmed_Qty],T_Shipments[RM_Code],$A48,T_Shipments[Effective_Week],50)</f>
        <v/>
      </c>
      <c r="AZ48">
        <f>SUMIFS(T_Shipments[Confirmed_Qty],T_Shipments[RM_Code],$A48,T_Shipments[Effective_Week],51)</f>
        <v/>
      </c>
      <c r="BA48">
        <f>SUMIFS(T_Shipments[Confirmed_Qty],T_Shipments[RM_Code],$A48,T_Shipments[Effective_Week],52)</f>
        <v/>
      </c>
      <c r="BB48">
        <f>SUMIFS(T_Shipments[Confirmed_Qty],T_Shipments[RM_Code],$A48,T_Shipments[Effective_Week],53)</f>
        <v/>
      </c>
      <c r="BC48">
        <f>SUMIFS(T_Shipments[Confirmed_Qty],T_Shipments[RM_Code],$A48,T_Shipments[Effective_Week],54)</f>
        <v/>
      </c>
      <c r="BD48">
        <f>SUMIFS(T_Shipments[Confirmed_Qty],T_Shipments[RM_Code],$A48,T_Shipments[Effective_Week],55)</f>
        <v/>
      </c>
      <c r="BE48">
        <f>SUMIFS(T_Shipments[Confirmed_Qty],T_Shipments[RM_Code],$A48,T_Shipments[Effective_Week],56)</f>
        <v/>
      </c>
      <c r="BF48">
        <f>SUMIFS(T_Shipments[Confirmed_Qty],T_Shipments[RM_Code],$A48,T_Shipments[Effective_Week],57)</f>
        <v/>
      </c>
      <c r="BG48">
        <f>SUMIFS(T_Shipments[Confirmed_Qty],T_Shipments[RM_Code],$A48,T_Shipments[Effective_Week],58)</f>
        <v/>
      </c>
      <c r="BH48">
        <f>SUMIFS(T_Shipments[Confirmed_Qty],T_Shipments[RM_Code],$A48,T_Shipments[Effective_Week],59)</f>
        <v/>
      </c>
      <c r="BI48">
        <f>SUMIFS(T_Shipments[Confirmed_Qty],T_Shipments[RM_Code],$A48,T_Shipments[Effective_Week],60)</f>
        <v/>
      </c>
      <c r="BJ48">
        <f>SUMIFS(T_Shipments[Confirmed_Qty],T_Shipments[RM_Code],$A48,T_Shipments[Effective_Week],61)</f>
        <v/>
      </c>
      <c r="BK48">
        <f>SUMIFS(T_Shipments[Confirmed_Qty],T_Shipments[RM_Code],$A48,T_Shipments[Effective_Week],62)</f>
        <v/>
      </c>
      <c r="BL48">
        <f>SUMIFS(T_Shipments[Confirmed_Qty],T_Shipments[RM_Code],$A48,T_Shipments[Effective_Week],63)</f>
        <v/>
      </c>
      <c r="BM48">
        <f>SUMIFS(T_Shipments[Confirmed_Qty],T_Shipments[RM_Code],$A48,T_Shipments[Effective_Week],64)</f>
        <v/>
      </c>
      <c r="BN48">
        <f>SUMIFS(T_Shipments[Confirmed_Qty],T_Shipments[RM_Code],$A48,T_Shipments[Effective_Week],65)</f>
        <v/>
      </c>
      <c r="BO48">
        <f>SUMIFS(T_Shipments[Confirmed_Qty],T_Shipments[RM_Code],$A48,T_Shipments[Effective_Week],66)</f>
        <v/>
      </c>
      <c r="BP48">
        <f>SUMIFS(T_Shipments[Confirmed_Qty],T_Shipments[RM_Code],$A48,T_Shipments[Effective_Week],67)</f>
        <v/>
      </c>
      <c r="BQ48">
        <f>SUMIFS(T_Shipments[Confirmed_Qty],T_Shipments[RM_Code],$A48,T_Shipments[Effective_Week],68)</f>
        <v/>
      </c>
      <c r="BR48">
        <f>SUMIFS(T_Shipments[Confirmed_Qty],T_Shipments[RM_Code],$A48,T_Shipments[Effective_Week],69)</f>
        <v/>
      </c>
      <c r="BS48">
        <f>SUMIFS(T_Shipments[Confirmed_Qty],T_Shipments[RM_Code],$A48,T_Shipments[Effective_Week],70)</f>
        <v/>
      </c>
      <c r="BT48">
        <f>SUMIFS(T_Shipments[Confirmed_Qty],T_Shipments[RM_Code],$A48,T_Shipments[Effective_Week],71)</f>
        <v/>
      </c>
      <c r="BU48">
        <f>SUMIFS(T_Shipments[Confirmed_Qty],T_Shipments[RM_Code],$A48,T_Shipments[Effective_Week],72)</f>
        <v/>
      </c>
      <c r="BV48">
        <f>SUMIFS(T_Shipments[Confirmed_Qty],T_Shipments[RM_Code],$A48,T_Shipments[Effective_Week],73)</f>
        <v/>
      </c>
      <c r="BW48">
        <f>SUMIFS(T_Shipments[Confirmed_Qty],T_Shipments[RM_Code],$A48,T_Shipments[Effective_Week],74)</f>
        <v/>
      </c>
      <c r="BX48">
        <f>SUMIFS(T_Shipments[Confirmed_Qty],T_Shipments[RM_Code],$A48,T_Shipments[Effective_Week],75)</f>
        <v/>
      </c>
      <c r="BY48">
        <f>SUMIFS(T_Shipments[Confirmed_Qty],T_Shipments[RM_Code],$A48,T_Shipments[Effective_Week],76)</f>
        <v/>
      </c>
      <c r="BZ48">
        <f>SUMIFS(T_Shipments[Confirmed_Qty],T_Shipments[RM_Code],$A48,T_Shipments[Effective_Week],77)</f>
        <v/>
      </c>
      <c r="CA48">
        <f>SUMIFS(T_Shipments[Confirmed_Qty],T_Shipments[RM_Code],$A48,T_Shipments[Effective_Week],78)</f>
        <v/>
      </c>
      <c r="CB48">
        <f>SUMIFS(T_Shipments[Confirmed_Qty],T_Shipments[RM_Code],$A48,T_Shipments[Effective_Week],79)</f>
        <v/>
      </c>
      <c r="CC48">
        <f>SUMIFS(T_Shipments[Confirmed_Qty],T_Shipments[RM_Code],$A48,T_Shipments[Effective_Week],80)</f>
        <v/>
      </c>
      <c r="CD48">
        <f>SUMIFS(T_Shipments[Confirmed_Qty],T_Shipments[RM_Code],$A48,T_Shipments[Effective_Week],81)</f>
        <v/>
      </c>
      <c r="CE48">
        <f>SUMIFS(T_Shipments[Confirmed_Qty],T_Shipments[RM_Code],$A48,T_Shipments[Effective_Week],82)</f>
        <v/>
      </c>
      <c r="CF48">
        <f>SUMIFS(T_Shipments[Confirmed_Qty],T_Shipments[RM_Code],$A48,T_Shipments[Effective_Week],83)</f>
        <v/>
      </c>
      <c r="CG48">
        <f>SUMIFS(T_Shipments[Confirmed_Qty],T_Shipments[RM_Code],$A48,T_Shipments[Effective_Week],84)</f>
        <v/>
      </c>
      <c r="CH48">
        <f>SUMIFS(T_Shipments[Confirmed_Qty],T_Shipments[RM_Code],$A48,T_Shipments[Effective_Week],85)</f>
        <v/>
      </c>
      <c r="CI48">
        <f>SUMIFS(T_Shipments[Confirmed_Qty],T_Shipments[RM_Code],$A48,T_Shipments[Effective_Week],86)</f>
        <v/>
      </c>
      <c r="CJ48">
        <f>SUMIFS(T_Shipments[Confirmed_Qty],T_Shipments[RM_Code],$A48,T_Shipments[Effective_Week],87)</f>
        <v/>
      </c>
      <c r="CK48">
        <f>SUMIFS(T_Shipments[Confirmed_Qty],T_Shipments[RM_Code],$A48,T_Shipments[Effective_Week],88)</f>
        <v/>
      </c>
      <c r="CL48">
        <f>SUMIFS(T_Shipments[Confirmed_Qty],T_Shipments[RM_Code],$A48,T_Shipments[Effective_Week],89)</f>
        <v/>
      </c>
      <c r="CM48">
        <f>SUMIFS(T_Shipments[Confirmed_Qty],T_Shipments[RM_Code],$A48,T_Shipments[Effective_Week],90)</f>
        <v/>
      </c>
      <c r="CN48">
        <f>SUMIFS(T_Shipments[Confirmed_Qty],T_Shipments[RM_Code],$A48,T_Shipments[Effective_Week],91)</f>
        <v/>
      </c>
      <c r="CO48">
        <f>SUMIFS(T_Shipments[Confirmed_Qty],T_Shipments[RM_Code],$A48,T_Shipments[Effective_Week],92)</f>
        <v/>
      </c>
      <c r="CP48">
        <f>SUMIFS(T_Shipments[Confirmed_Qty],T_Shipments[RM_Code],$A48,T_Shipments[Effective_Week],93)</f>
        <v/>
      </c>
      <c r="CQ48">
        <f>SUMIFS(T_Shipments[Confirmed_Qty],T_Shipments[RM_Code],$A48,T_Shipments[Effective_Week],94)</f>
        <v/>
      </c>
      <c r="CR48">
        <f>SUMIFS(T_Shipments[Confirmed_Qty],T_Shipments[RM_Code],$A48,T_Shipments[Effective_Week],95)</f>
        <v/>
      </c>
      <c r="CS48">
        <f>SUMIFS(T_Shipments[Confirmed_Qty],T_Shipments[RM_Code],$A48,T_Shipments[Effective_Week],96)</f>
        <v/>
      </c>
      <c r="CT48">
        <f>SUMIFS(T_Shipments[Confirmed_Qty],T_Shipments[RM_Code],$A48,T_Shipments[Effective_Week],97)</f>
        <v/>
      </c>
      <c r="CU48">
        <f>SUMIFS(T_Shipments[Confirmed_Qty],T_Shipments[RM_Code],$A48,T_Shipments[Effective_Week],98)</f>
        <v/>
      </c>
      <c r="CV48">
        <f>SUMIFS(T_Shipments[Confirmed_Qty],T_Shipments[RM_Code],$A48,T_Shipments[Effective_Week],99)</f>
        <v/>
      </c>
      <c r="CW48">
        <f>SUMIFS(T_Shipments[Confirmed_Qty],T_Shipments[RM_Code],$A48,T_Shipments[Effective_Week],100)</f>
        <v/>
      </c>
      <c r="CX48">
        <f>SUMIFS(T_Shipments[Confirmed_Qty],T_Shipments[RM_Code],$A48,T_Shipments[Effective_Week],101)</f>
        <v/>
      </c>
      <c r="CY48">
        <f>SUMIFS(T_Shipments[Confirmed_Qty],T_Shipments[RM_Code],$A48,T_Shipments[Effective_Week],102)</f>
        <v/>
      </c>
      <c r="CZ48">
        <f>SUMIFS(T_Shipments[Confirmed_Qty],T_Shipments[RM_Code],$A48,T_Shipments[Effective_Week],103)</f>
        <v/>
      </c>
      <c r="DA48">
        <f>SUMIFS(T_Shipments[Confirmed_Qty],T_Shipments[RM_Code],$A48,T_Shipments[Effective_Week],104)</f>
        <v/>
      </c>
    </row>
    <row r="49">
      <c r="A49" t="inlineStr">
        <is>
          <t>CHEM-1470</t>
        </is>
      </c>
      <c r="B49">
        <f>SUMIFS(T_Shipments[Confirmed_Qty],T_Shipments[RM_Code],$A49,T_Shipments[Effective_Week],1)</f>
        <v/>
      </c>
      <c r="C49">
        <f>SUMIFS(T_Shipments[Confirmed_Qty],T_Shipments[RM_Code],$A49,T_Shipments[Effective_Week],2)</f>
        <v/>
      </c>
      <c r="D49">
        <f>SUMIFS(T_Shipments[Confirmed_Qty],T_Shipments[RM_Code],$A49,T_Shipments[Effective_Week],3)</f>
        <v/>
      </c>
      <c r="E49">
        <f>SUMIFS(T_Shipments[Confirmed_Qty],T_Shipments[RM_Code],$A49,T_Shipments[Effective_Week],4)</f>
        <v/>
      </c>
      <c r="F49">
        <f>SUMIFS(T_Shipments[Confirmed_Qty],T_Shipments[RM_Code],$A49,T_Shipments[Effective_Week],5)</f>
        <v/>
      </c>
      <c r="G49">
        <f>SUMIFS(T_Shipments[Confirmed_Qty],T_Shipments[RM_Code],$A49,T_Shipments[Effective_Week],6)</f>
        <v/>
      </c>
      <c r="H49">
        <f>SUMIFS(T_Shipments[Confirmed_Qty],T_Shipments[RM_Code],$A49,T_Shipments[Effective_Week],7)</f>
        <v/>
      </c>
      <c r="I49">
        <f>SUMIFS(T_Shipments[Confirmed_Qty],T_Shipments[RM_Code],$A49,T_Shipments[Effective_Week],8)</f>
        <v/>
      </c>
      <c r="J49">
        <f>SUMIFS(T_Shipments[Confirmed_Qty],T_Shipments[RM_Code],$A49,T_Shipments[Effective_Week],9)</f>
        <v/>
      </c>
      <c r="K49">
        <f>SUMIFS(T_Shipments[Confirmed_Qty],T_Shipments[RM_Code],$A49,T_Shipments[Effective_Week],10)</f>
        <v/>
      </c>
      <c r="L49">
        <f>SUMIFS(T_Shipments[Confirmed_Qty],T_Shipments[RM_Code],$A49,T_Shipments[Effective_Week],11)</f>
        <v/>
      </c>
      <c r="M49">
        <f>SUMIFS(T_Shipments[Confirmed_Qty],T_Shipments[RM_Code],$A49,T_Shipments[Effective_Week],12)</f>
        <v/>
      </c>
      <c r="N49">
        <f>SUMIFS(T_Shipments[Confirmed_Qty],T_Shipments[RM_Code],$A49,T_Shipments[Effective_Week],13)</f>
        <v/>
      </c>
      <c r="O49">
        <f>SUMIFS(T_Shipments[Confirmed_Qty],T_Shipments[RM_Code],$A49,T_Shipments[Effective_Week],14)</f>
        <v/>
      </c>
      <c r="P49">
        <f>SUMIFS(T_Shipments[Confirmed_Qty],T_Shipments[RM_Code],$A49,T_Shipments[Effective_Week],15)</f>
        <v/>
      </c>
      <c r="Q49">
        <f>SUMIFS(T_Shipments[Confirmed_Qty],T_Shipments[RM_Code],$A49,T_Shipments[Effective_Week],16)</f>
        <v/>
      </c>
      <c r="R49">
        <f>SUMIFS(T_Shipments[Confirmed_Qty],T_Shipments[RM_Code],$A49,T_Shipments[Effective_Week],17)</f>
        <v/>
      </c>
      <c r="S49">
        <f>SUMIFS(T_Shipments[Confirmed_Qty],T_Shipments[RM_Code],$A49,T_Shipments[Effective_Week],18)</f>
        <v/>
      </c>
      <c r="T49">
        <f>SUMIFS(T_Shipments[Confirmed_Qty],T_Shipments[RM_Code],$A49,T_Shipments[Effective_Week],19)</f>
        <v/>
      </c>
      <c r="U49">
        <f>SUMIFS(T_Shipments[Confirmed_Qty],T_Shipments[RM_Code],$A49,T_Shipments[Effective_Week],20)</f>
        <v/>
      </c>
      <c r="V49">
        <f>SUMIFS(T_Shipments[Confirmed_Qty],T_Shipments[RM_Code],$A49,T_Shipments[Effective_Week],21)</f>
        <v/>
      </c>
      <c r="W49">
        <f>SUMIFS(T_Shipments[Confirmed_Qty],T_Shipments[RM_Code],$A49,T_Shipments[Effective_Week],22)</f>
        <v/>
      </c>
      <c r="X49">
        <f>SUMIFS(T_Shipments[Confirmed_Qty],T_Shipments[RM_Code],$A49,T_Shipments[Effective_Week],23)</f>
        <v/>
      </c>
      <c r="Y49">
        <f>SUMIFS(T_Shipments[Confirmed_Qty],T_Shipments[RM_Code],$A49,T_Shipments[Effective_Week],24)</f>
        <v/>
      </c>
      <c r="Z49">
        <f>SUMIFS(T_Shipments[Confirmed_Qty],T_Shipments[RM_Code],$A49,T_Shipments[Effective_Week],25)</f>
        <v/>
      </c>
      <c r="AA49">
        <f>SUMIFS(T_Shipments[Confirmed_Qty],T_Shipments[RM_Code],$A49,T_Shipments[Effective_Week],26)</f>
        <v/>
      </c>
      <c r="AB49">
        <f>SUMIFS(T_Shipments[Confirmed_Qty],T_Shipments[RM_Code],$A49,T_Shipments[Effective_Week],27)</f>
        <v/>
      </c>
      <c r="AC49">
        <f>SUMIFS(T_Shipments[Confirmed_Qty],T_Shipments[RM_Code],$A49,T_Shipments[Effective_Week],28)</f>
        <v/>
      </c>
      <c r="AD49">
        <f>SUMIFS(T_Shipments[Confirmed_Qty],T_Shipments[RM_Code],$A49,T_Shipments[Effective_Week],29)</f>
        <v/>
      </c>
      <c r="AE49">
        <f>SUMIFS(T_Shipments[Confirmed_Qty],T_Shipments[RM_Code],$A49,T_Shipments[Effective_Week],30)</f>
        <v/>
      </c>
      <c r="AF49">
        <f>SUMIFS(T_Shipments[Confirmed_Qty],T_Shipments[RM_Code],$A49,T_Shipments[Effective_Week],31)</f>
        <v/>
      </c>
      <c r="AG49">
        <f>SUMIFS(T_Shipments[Confirmed_Qty],T_Shipments[RM_Code],$A49,T_Shipments[Effective_Week],32)</f>
        <v/>
      </c>
      <c r="AH49">
        <f>SUMIFS(T_Shipments[Confirmed_Qty],T_Shipments[RM_Code],$A49,T_Shipments[Effective_Week],33)</f>
        <v/>
      </c>
      <c r="AI49">
        <f>SUMIFS(T_Shipments[Confirmed_Qty],T_Shipments[RM_Code],$A49,T_Shipments[Effective_Week],34)</f>
        <v/>
      </c>
      <c r="AJ49">
        <f>SUMIFS(T_Shipments[Confirmed_Qty],T_Shipments[RM_Code],$A49,T_Shipments[Effective_Week],35)</f>
        <v/>
      </c>
      <c r="AK49">
        <f>SUMIFS(T_Shipments[Confirmed_Qty],T_Shipments[RM_Code],$A49,T_Shipments[Effective_Week],36)</f>
        <v/>
      </c>
      <c r="AL49">
        <f>SUMIFS(T_Shipments[Confirmed_Qty],T_Shipments[RM_Code],$A49,T_Shipments[Effective_Week],37)</f>
        <v/>
      </c>
      <c r="AM49">
        <f>SUMIFS(T_Shipments[Confirmed_Qty],T_Shipments[RM_Code],$A49,T_Shipments[Effective_Week],38)</f>
        <v/>
      </c>
      <c r="AN49">
        <f>SUMIFS(T_Shipments[Confirmed_Qty],T_Shipments[RM_Code],$A49,T_Shipments[Effective_Week],39)</f>
        <v/>
      </c>
      <c r="AO49">
        <f>SUMIFS(T_Shipments[Confirmed_Qty],T_Shipments[RM_Code],$A49,T_Shipments[Effective_Week],40)</f>
        <v/>
      </c>
      <c r="AP49">
        <f>SUMIFS(T_Shipments[Confirmed_Qty],T_Shipments[RM_Code],$A49,T_Shipments[Effective_Week],41)</f>
        <v/>
      </c>
      <c r="AQ49">
        <f>SUMIFS(T_Shipments[Confirmed_Qty],T_Shipments[RM_Code],$A49,T_Shipments[Effective_Week],42)</f>
        <v/>
      </c>
      <c r="AR49">
        <f>SUMIFS(T_Shipments[Confirmed_Qty],T_Shipments[RM_Code],$A49,T_Shipments[Effective_Week],43)</f>
        <v/>
      </c>
      <c r="AS49">
        <f>SUMIFS(T_Shipments[Confirmed_Qty],T_Shipments[RM_Code],$A49,T_Shipments[Effective_Week],44)</f>
        <v/>
      </c>
      <c r="AT49">
        <f>SUMIFS(T_Shipments[Confirmed_Qty],T_Shipments[RM_Code],$A49,T_Shipments[Effective_Week],45)</f>
        <v/>
      </c>
      <c r="AU49">
        <f>SUMIFS(T_Shipments[Confirmed_Qty],T_Shipments[RM_Code],$A49,T_Shipments[Effective_Week],46)</f>
        <v/>
      </c>
      <c r="AV49">
        <f>SUMIFS(T_Shipments[Confirmed_Qty],T_Shipments[RM_Code],$A49,T_Shipments[Effective_Week],47)</f>
        <v/>
      </c>
      <c r="AW49">
        <f>SUMIFS(T_Shipments[Confirmed_Qty],T_Shipments[RM_Code],$A49,T_Shipments[Effective_Week],48)</f>
        <v/>
      </c>
      <c r="AX49">
        <f>SUMIFS(T_Shipments[Confirmed_Qty],T_Shipments[RM_Code],$A49,T_Shipments[Effective_Week],49)</f>
        <v/>
      </c>
      <c r="AY49">
        <f>SUMIFS(T_Shipments[Confirmed_Qty],T_Shipments[RM_Code],$A49,T_Shipments[Effective_Week],50)</f>
        <v/>
      </c>
      <c r="AZ49">
        <f>SUMIFS(T_Shipments[Confirmed_Qty],T_Shipments[RM_Code],$A49,T_Shipments[Effective_Week],51)</f>
        <v/>
      </c>
      <c r="BA49">
        <f>SUMIFS(T_Shipments[Confirmed_Qty],T_Shipments[RM_Code],$A49,T_Shipments[Effective_Week],52)</f>
        <v/>
      </c>
      <c r="BB49">
        <f>SUMIFS(T_Shipments[Confirmed_Qty],T_Shipments[RM_Code],$A49,T_Shipments[Effective_Week],53)</f>
        <v/>
      </c>
      <c r="BC49">
        <f>SUMIFS(T_Shipments[Confirmed_Qty],T_Shipments[RM_Code],$A49,T_Shipments[Effective_Week],54)</f>
        <v/>
      </c>
      <c r="BD49">
        <f>SUMIFS(T_Shipments[Confirmed_Qty],T_Shipments[RM_Code],$A49,T_Shipments[Effective_Week],55)</f>
        <v/>
      </c>
      <c r="BE49">
        <f>SUMIFS(T_Shipments[Confirmed_Qty],T_Shipments[RM_Code],$A49,T_Shipments[Effective_Week],56)</f>
        <v/>
      </c>
      <c r="BF49">
        <f>SUMIFS(T_Shipments[Confirmed_Qty],T_Shipments[RM_Code],$A49,T_Shipments[Effective_Week],57)</f>
        <v/>
      </c>
      <c r="BG49">
        <f>SUMIFS(T_Shipments[Confirmed_Qty],T_Shipments[RM_Code],$A49,T_Shipments[Effective_Week],58)</f>
        <v/>
      </c>
      <c r="BH49">
        <f>SUMIFS(T_Shipments[Confirmed_Qty],T_Shipments[RM_Code],$A49,T_Shipments[Effective_Week],59)</f>
        <v/>
      </c>
      <c r="BI49">
        <f>SUMIFS(T_Shipments[Confirmed_Qty],T_Shipments[RM_Code],$A49,T_Shipments[Effective_Week],60)</f>
        <v/>
      </c>
      <c r="BJ49">
        <f>SUMIFS(T_Shipments[Confirmed_Qty],T_Shipments[RM_Code],$A49,T_Shipments[Effective_Week],61)</f>
        <v/>
      </c>
      <c r="BK49">
        <f>SUMIFS(T_Shipments[Confirmed_Qty],T_Shipments[RM_Code],$A49,T_Shipments[Effective_Week],62)</f>
        <v/>
      </c>
      <c r="BL49">
        <f>SUMIFS(T_Shipments[Confirmed_Qty],T_Shipments[RM_Code],$A49,T_Shipments[Effective_Week],63)</f>
        <v/>
      </c>
      <c r="BM49">
        <f>SUMIFS(T_Shipments[Confirmed_Qty],T_Shipments[RM_Code],$A49,T_Shipments[Effective_Week],64)</f>
        <v/>
      </c>
      <c r="BN49">
        <f>SUMIFS(T_Shipments[Confirmed_Qty],T_Shipments[RM_Code],$A49,T_Shipments[Effective_Week],65)</f>
        <v/>
      </c>
      <c r="BO49">
        <f>SUMIFS(T_Shipments[Confirmed_Qty],T_Shipments[RM_Code],$A49,T_Shipments[Effective_Week],66)</f>
        <v/>
      </c>
      <c r="BP49">
        <f>SUMIFS(T_Shipments[Confirmed_Qty],T_Shipments[RM_Code],$A49,T_Shipments[Effective_Week],67)</f>
        <v/>
      </c>
      <c r="BQ49">
        <f>SUMIFS(T_Shipments[Confirmed_Qty],T_Shipments[RM_Code],$A49,T_Shipments[Effective_Week],68)</f>
        <v/>
      </c>
      <c r="BR49">
        <f>SUMIFS(T_Shipments[Confirmed_Qty],T_Shipments[RM_Code],$A49,T_Shipments[Effective_Week],69)</f>
        <v/>
      </c>
      <c r="BS49">
        <f>SUMIFS(T_Shipments[Confirmed_Qty],T_Shipments[RM_Code],$A49,T_Shipments[Effective_Week],70)</f>
        <v/>
      </c>
      <c r="BT49">
        <f>SUMIFS(T_Shipments[Confirmed_Qty],T_Shipments[RM_Code],$A49,T_Shipments[Effective_Week],71)</f>
        <v/>
      </c>
      <c r="BU49">
        <f>SUMIFS(T_Shipments[Confirmed_Qty],T_Shipments[RM_Code],$A49,T_Shipments[Effective_Week],72)</f>
        <v/>
      </c>
      <c r="BV49">
        <f>SUMIFS(T_Shipments[Confirmed_Qty],T_Shipments[RM_Code],$A49,T_Shipments[Effective_Week],73)</f>
        <v/>
      </c>
      <c r="BW49">
        <f>SUMIFS(T_Shipments[Confirmed_Qty],T_Shipments[RM_Code],$A49,T_Shipments[Effective_Week],74)</f>
        <v/>
      </c>
      <c r="BX49">
        <f>SUMIFS(T_Shipments[Confirmed_Qty],T_Shipments[RM_Code],$A49,T_Shipments[Effective_Week],75)</f>
        <v/>
      </c>
      <c r="BY49">
        <f>SUMIFS(T_Shipments[Confirmed_Qty],T_Shipments[RM_Code],$A49,T_Shipments[Effective_Week],76)</f>
        <v/>
      </c>
      <c r="BZ49">
        <f>SUMIFS(T_Shipments[Confirmed_Qty],T_Shipments[RM_Code],$A49,T_Shipments[Effective_Week],77)</f>
        <v/>
      </c>
      <c r="CA49">
        <f>SUMIFS(T_Shipments[Confirmed_Qty],T_Shipments[RM_Code],$A49,T_Shipments[Effective_Week],78)</f>
        <v/>
      </c>
      <c r="CB49">
        <f>SUMIFS(T_Shipments[Confirmed_Qty],T_Shipments[RM_Code],$A49,T_Shipments[Effective_Week],79)</f>
        <v/>
      </c>
      <c r="CC49">
        <f>SUMIFS(T_Shipments[Confirmed_Qty],T_Shipments[RM_Code],$A49,T_Shipments[Effective_Week],80)</f>
        <v/>
      </c>
      <c r="CD49">
        <f>SUMIFS(T_Shipments[Confirmed_Qty],T_Shipments[RM_Code],$A49,T_Shipments[Effective_Week],81)</f>
        <v/>
      </c>
      <c r="CE49">
        <f>SUMIFS(T_Shipments[Confirmed_Qty],T_Shipments[RM_Code],$A49,T_Shipments[Effective_Week],82)</f>
        <v/>
      </c>
      <c r="CF49">
        <f>SUMIFS(T_Shipments[Confirmed_Qty],T_Shipments[RM_Code],$A49,T_Shipments[Effective_Week],83)</f>
        <v/>
      </c>
      <c r="CG49">
        <f>SUMIFS(T_Shipments[Confirmed_Qty],T_Shipments[RM_Code],$A49,T_Shipments[Effective_Week],84)</f>
        <v/>
      </c>
      <c r="CH49">
        <f>SUMIFS(T_Shipments[Confirmed_Qty],T_Shipments[RM_Code],$A49,T_Shipments[Effective_Week],85)</f>
        <v/>
      </c>
      <c r="CI49">
        <f>SUMIFS(T_Shipments[Confirmed_Qty],T_Shipments[RM_Code],$A49,T_Shipments[Effective_Week],86)</f>
        <v/>
      </c>
      <c r="CJ49">
        <f>SUMIFS(T_Shipments[Confirmed_Qty],T_Shipments[RM_Code],$A49,T_Shipments[Effective_Week],87)</f>
        <v/>
      </c>
      <c r="CK49">
        <f>SUMIFS(T_Shipments[Confirmed_Qty],T_Shipments[RM_Code],$A49,T_Shipments[Effective_Week],88)</f>
        <v/>
      </c>
      <c r="CL49">
        <f>SUMIFS(T_Shipments[Confirmed_Qty],T_Shipments[RM_Code],$A49,T_Shipments[Effective_Week],89)</f>
        <v/>
      </c>
      <c r="CM49">
        <f>SUMIFS(T_Shipments[Confirmed_Qty],T_Shipments[RM_Code],$A49,T_Shipments[Effective_Week],90)</f>
        <v/>
      </c>
      <c r="CN49">
        <f>SUMIFS(T_Shipments[Confirmed_Qty],T_Shipments[RM_Code],$A49,T_Shipments[Effective_Week],91)</f>
        <v/>
      </c>
      <c r="CO49">
        <f>SUMIFS(T_Shipments[Confirmed_Qty],T_Shipments[RM_Code],$A49,T_Shipments[Effective_Week],92)</f>
        <v/>
      </c>
      <c r="CP49">
        <f>SUMIFS(T_Shipments[Confirmed_Qty],T_Shipments[RM_Code],$A49,T_Shipments[Effective_Week],93)</f>
        <v/>
      </c>
      <c r="CQ49">
        <f>SUMIFS(T_Shipments[Confirmed_Qty],T_Shipments[RM_Code],$A49,T_Shipments[Effective_Week],94)</f>
        <v/>
      </c>
      <c r="CR49">
        <f>SUMIFS(T_Shipments[Confirmed_Qty],T_Shipments[RM_Code],$A49,T_Shipments[Effective_Week],95)</f>
        <v/>
      </c>
      <c r="CS49">
        <f>SUMIFS(T_Shipments[Confirmed_Qty],T_Shipments[RM_Code],$A49,T_Shipments[Effective_Week],96)</f>
        <v/>
      </c>
      <c r="CT49">
        <f>SUMIFS(T_Shipments[Confirmed_Qty],T_Shipments[RM_Code],$A49,T_Shipments[Effective_Week],97)</f>
        <v/>
      </c>
      <c r="CU49">
        <f>SUMIFS(T_Shipments[Confirmed_Qty],T_Shipments[RM_Code],$A49,T_Shipments[Effective_Week],98)</f>
        <v/>
      </c>
      <c r="CV49">
        <f>SUMIFS(T_Shipments[Confirmed_Qty],T_Shipments[RM_Code],$A49,T_Shipments[Effective_Week],99)</f>
        <v/>
      </c>
      <c r="CW49">
        <f>SUMIFS(T_Shipments[Confirmed_Qty],T_Shipments[RM_Code],$A49,T_Shipments[Effective_Week],100)</f>
        <v/>
      </c>
      <c r="CX49">
        <f>SUMIFS(T_Shipments[Confirmed_Qty],T_Shipments[RM_Code],$A49,T_Shipments[Effective_Week],101)</f>
        <v/>
      </c>
      <c r="CY49">
        <f>SUMIFS(T_Shipments[Confirmed_Qty],T_Shipments[RM_Code],$A49,T_Shipments[Effective_Week],102)</f>
        <v/>
      </c>
      <c r="CZ49">
        <f>SUMIFS(T_Shipments[Confirmed_Qty],T_Shipments[RM_Code],$A49,T_Shipments[Effective_Week],103)</f>
        <v/>
      </c>
      <c r="DA49">
        <f>SUMIFS(T_Shipments[Confirmed_Qty],T_Shipments[RM_Code],$A49,T_Shipments[Effective_Week],104)</f>
        <v/>
      </c>
    </row>
    <row r="50">
      <c r="A50" t="inlineStr">
        <is>
          <t>CHEM-1480</t>
        </is>
      </c>
      <c r="B50">
        <f>SUMIFS(T_Shipments[Confirmed_Qty],T_Shipments[RM_Code],$A50,T_Shipments[Effective_Week],1)</f>
        <v/>
      </c>
      <c r="C50">
        <f>SUMIFS(T_Shipments[Confirmed_Qty],T_Shipments[RM_Code],$A50,T_Shipments[Effective_Week],2)</f>
        <v/>
      </c>
      <c r="D50">
        <f>SUMIFS(T_Shipments[Confirmed_Qty],T_Shipments[RM_Code],$A50,T_Shipments[Effective_Week],3)</f>
        <v/>
      </c>
      <c r="E50">
        <f>SUMIFS(T_Shipments[Confirmed_Qty],T_Shipments[RM_Code],$A50,T_Shipments[Effective_Week],4)</f>
        <v/>
      </c>
      <c r="F50">
        <f>SUMIFS(T_Shipments[Confirmed_Qty],T_Shipments[RM_Code],$A50,T_Shipments[Effective_Week],5)</f>
        <v/>
      </c>
      <c r="G50">
        <f>SUMIFS(T_Shipments[Confirmed_Qty],T_Shipments[RM_Code],$A50,T_Shipments[Effective_Week],6)</f>
        <v/>
      </c>
      <c r="H50">
        <f>SUMIFS(T_Shipments[Confirmed_Qty],T_Shipments[RM_Code],$A50,T_Shipments[Effective_Week],7)</f>
        <v/>
      </c>
      <c r="I50">
        <f>SUMIFS(T_Shipments[Confirmed_Qty],T_Shipments[RM_Code],$A50,T_Shipments[Effective_Week],8)</f>
        <v/>
      </c>
      <c r="J50">
        <f>SUMIFS(T_Shipments[Confirmed_Qty],T_Shipments[RM_Code],$A50,T_Shipments[Effective_Week],9)</f>
        <v/>
      </c>
      <c r="K50">
        <f>SUMIFS(T_Shipments[Confirmed_Qty],T_Shipments[RM_Code],$A50,T_Shipments[Effective_Week],10)</f>
        <v/>
      </c>
      <c r="L50">
        <f>SUMIFS(T_Shipments[Confirmed_Qty],T_Shipments[RM_Code],$A50,T_Shipments[Effective_Week],11)</f>
        <v/>
      </c>
      <c r="M50">
        <f>SUMIFS(T_Shipments[Confirmed_Qty],T_Shipments[RM_Code],$A50,T_Shipments[Effective_Week],12)</f>
        <v/>
      </c>
      <c r="N50">
        <f>SUMIFS(T_Shipments[Confirmed_Qty],T_Shipments[RM_Code],$A50,T_Shipments[Effective_Week],13)</f>
        <v/>
      </c>
      <c r="O50">
        <f>SUMIFS(T_Shipments[Confirmed_Qty],T_Shipments[RM_Code],$A50,T_Shipments[Effective_Week],14)</f>
        <v/>
      </c>
      <c r="P50">
        <f>SUMIFS(T_Shipments[Confirmed_Qty],T_Shipments[RM_Code],$A50,T_Shipments[Effective_Week],15)</f>
        <v/>
      </c>
      <c r="Q50">
        <f>SUMIFS(T_Shipments[Confirmed_Qty],T_Shipments[RM_Code],$A50,T_Shipments[Effective_Week],16)</f>
        <v/>
      </c>
      <c r="R50">
        <f>SUMIFS(T_Shipments[Confirmed_Qty],T_Shipments[RM_Code],$A50,T_Shipments[Effective_Week],17)</f>
        <v/>
      </c>
      <c r="S50">
        <f>SUMIFS(T_Shipments[Confirmed_Qty],T_Shipments[RM_Code],$A50,T_Shipments[Effective_Week],18)</f>
        <v/>
      </c>
      <c r="T50">
        <f>SUMIFS(T_Shipments[Confirmed_Qty],T_Shipments[RM_Code],$A50,T_Shipments[Effective_Week],19)</f>
        <v/>
      </c>
      <c r="U50">
        <f>SUMIFS(T_Shipments[Confirmed_Qty],T_Shipments[RM_Code],$A50,T_Shipments[Effective_Week],20)</f>
        <v/>
      </c>
      <c r="V50">
        <f>SUMIFS(T_Shipments[Confirmed_Qty],T_Shipments[RM_Code],$A50,T_Shipments[Effective_Week],21)</f>
        <v/>
      </c>
      <c r="W50">
        <f>SUMIFS(T_Shipments[Confirmed_Qty],T_Shipments[RM_Code],$A50,T_Shipments[Effective_Week],22)</f>
        <v/>
      </c>
      <c r="X50">
        <f>SUMIFS(T_Shipments[Confirmed_Qty],T_Shipments[RM_Code],$A50,T_Shipments[Effective_Week],23)</f>
        <v/>
      </c>
      <c r="Y50">
        <f>SUMIFS(T_Shipments[Confirmed_Qty],T_Shipments[RM_Code],$A50,T_Shipments[Effective_Week],24)</f>
        <v/>
      </c>
      <c r="Z50">
        <f>SUMIFS(T_Shipments[Confirmed_Qty],T_Shipments[RM_Code],$A50,T_Shipments[Effective_Week],25)</f>
        <v/>
      </c>
      <c r="AA50">
        <f>SUMIFS(T_Shipments[Confirmed_Qty],T_Shipments[RM_Code],$A50,T_Shipments[Effective_Week],26)</f>
        <v/>
      </c>
      <c r="AB50">
        <f>SUMIFS(T_Shipments[Confirmed_Qty],T_Shipments[RM_Code],$A50,T_Shipments[Effective_Week],27)</f>
        <v/>
      </c>
      <c r="AC50">
        <f>SUMIFS(T_Shipments[Confirmed_Qty],T_Shipments[RM_Code],$A50,T_Shipments[Effective_Week],28)</f>
        <v/>
      </c>
      <c r="AD50">
        <f>SUMIFS(T_Shipments[Confirmed_Qty],T_Shipments[RM_Code],$A50,T_Shipments[Effective_Week],29)</f>
        <v/>
      </c>
      <c r="AE50">
        <f>SUMIFS(T_Shipments[Confirmed_Qty],T_Shipments[RM_Code],$A50,T_Shipments[Effective_Week],30)</f>
        <v/>
      </c>
      <c r="AF50">
        <f>SUMIFS(T_Shipments[Confirmed_Qty],T_Shipments[RM_Code],$A50,T_Shipments[Effective_Week],31)</f>
        <v/>
      </c>
      <c r="AG50">
        <f>SUMIFS(T_Shipments[Confirmed_Qty],T_Shipments[RM_Code],$A50,T_Shipments[Effective_Week],32)</f>
        <v/>
      </c>
      <c r="AH50">
        <f>SUMIFS(T_Shipments[Confirmed_Qty],T_Shipments[RM_Code],$A50,T_Shipments[Effective_Week],33)</f>
        <v/>
      </c>
      <c r="AI50">
        <f>SUMIFS(T_Shipments[Confirmed_Qty],T_Shipments[RM_Code],$A50,T_Shipments[Effective_Week],34)</f>
        <v/>
      </c>
      <c r="AJ50">
        <f>SUMIFS(T_Shipments[Confirmed_Qty],T_Shipments[RM_Code],$A50,T_Shipments[Effective_Week],35)</f>
        <v/>
      </c>
      <c r="AK50">
        <f>SUMIFS(T_Shipments[Confirmed_Qty],T_Shipments[RM_Code],$A50,T_Shipments[Effective_Week],36)</f>
        <v/>
      </c>
      <c r="AL50">
        <f>SUMIFS(T_Shipments[Confirmed_Qty],T_Shipments[RM_Code],$A50,T_Shipments[Effective_Week],37)</f>
        <v/>
      </c>
      <c r="AM50">
        <f>SUMIFS(T_Shipments[Confirmed_Qty],T_Shipments[RM_Code],$A50,T_Shipments[Effective_Week],38)</f>
        <v/>
      </c>
      <c r="AN50">
        <f>SUMIFS(T_Shipments[Confirmed_Qty],T_Shipments[RM_Code],$A50,T_Shipments[Effective_Week],39)</f>
        <v/>
      </c>
      <c r="AO50">
        <f>SUMIFS(T_Shipments[Confirmed_Qty],T_Shipments[RM_Code],$A50,T_Shipments[Effective_Week],40)</f>
        <v/>
      </c>
      <c r="AP50">
        <f>SUMIFS(T_Shipments[Confirmed_Qty],T_Shipments[RM_Code],$A50,T_Shipments[Effective_Week],41)</f>
        <v/>
      </c>
      <c r="AQ50">
        <f>SUMIFS(T_Shipments[Confirmed_Qty],T_Shipments[RM_Code],$A50,T_Shipments[Effective_Week],42)</f>
        <v/>
      </c>
      <c r="AR50">
        <f>SUMIFS(T_Shipments[Confirmed_Qty],T_Shipments[RM_Code],$A50,T_Shipments[Effective_Week],43)</f>
        <v/>
      </c>
      <c r="AS50">
        <f>SUMIFS(T_Shipments[Confirmed_Qty],T_Shipments[RM_Code],$A50,T_Shipments[Effective_Week],44)</f>
        <v/>
      </c>
      <c r="AT50">
        <f>SUMIFS(T_Shipments[Confirmed_Qty],T_Shipments[RM_Code],$A50,T_Shipments[Effective_Week],45)</f>
        <v/>
      </c>
      <c r="AU50">
        <f>SUMIFS(T_Shipments[Confirmed_Qty],T_Shipments[RM_Code],$A50,T_Shipments[Effective_Week],46)</f>
        <v/>
      </c>
      <c r="AV50">
        <f>SUMIFS(T_Shipments[Confirmed_Qty],T_Shipments[RM_Code],$A50,T_Shipments[Effective_Week],47)</f>
        <v/>
      </c>
      <c r="AW50">
        <f>SUMIFS(T_Shipments[Confirmed_Qty],T_Shipments[RM_Code],$A50,T_Shipments[Effective_Week],48)</f>
        <v/>
      </c>
      <c r="AX50">
        <f>SUMIFS(T_Shipments[Confirmed_Qty],T_Shipments[RM_Code],$A50,T_Shipments[Effective_Week],49)</f>
        <v/>
      </c>
      <c r="AY50">
        <f>SUMIFS(T_Shipments[Confirmed_Qty],T_Shipments[RM_Code],$A50,T_Shipments[Effective_Week],50)</f>
        <v/>
      </c>
      <c r="AZ50">
        <f>SUMIFS(T_Shipments[Confirmed_Qty],T_Shipments[RM_Code],$A50,T_Shipments[Effective_Week],51)</f>
        <v/>
      </c>
      <c r="BA50">
        <f>SUMIFS(T_Shipments[Confirmed_Qty],T_Shipments[RM_Code],$A50,T_Shipments[Effective_Week],52)</f>
        <v/>
      </c>
      <c r="BB50">
        <f>SUMIFS(T_Shipments[Confirmed_Qty],T_Shipments[RM_Code],$A50,T_Shipments[Effective_Week],53)</f>
        <v/>
      </c>
      <c r="BC50">
        <f>SUMIFS(T_Shipments[Confirmed_Qty],T_Shipments[RM_Code],$A50,T_Shipments[Effective_Week],54)</f>
        <v/>
      </c>
      <c r="BD50">
        <f>SUMIFS(T_Shipments[Confirmed_Qty],T_Shipments[RM_Code],$A50,T_Shipments[Effective_Week],55)</f>
        <v/>
      </c>
      <c r="BE50">
        <f>SUMIFS(T_Shipments[Confirmed_Qty],T_Shipments[RM_Code],$A50,T_Shipments[Effective_Week],56)</f>
        <v/>
      </c>
      <c r="BF50">
        <f>SUMIFS(T_Shipments[Confirmed_Qty],T_Shipments[RM_Code],$A50,T_Shipments[Effective_Week],57)</f>
        <v/>
      </c>
      <c r="BG50">
        <f>SUMIFS(T_Shipments[Confirmed_Qty],T_Shipments[RM_Code],$A50,T_Shipments[Effective_Week],58)</f>
        <v/>
      </c>
      <c r="BH50">
        <f>SUMIFS(T_Shipments[Confirmed_Qty],T_Shipments[RM_Code],$A50,T_Shipments[Effective_Week],59)</f>
        <v/>
      </c>
      <c r="BI50">
        <f>SUMIFS(T_Shipments[Confirmed_Qty],T_Shipments[RM_Code],$A50,T_Shipments[Effective_Week],60)</f>
        <v/>
      </c>
      <c r="BJ50">
        <f>SUMIFS(T_Shipments[Confirmed_Qty],T_Shipments[RM_Code],$A50,T_Shipments[Effective_Week],61)</f>
        <v/>
      </c>
      <c r="BK50">
        <f>SUMIFS(T_Shipments[Confirmed_Qty],T_Shipments[RM_Code],$A50,T_Shipments[Effective_Week],62)</f>
        <v/>
      </c>
      <c r="BL50">
        <f>SUMIFS(T_Shipments[Confirmed_Qty],T_Shipments[RM_Code],$A50,T_Shipments[Effective_Week],63)</f>
        <v/>
      </c>
      <c r="BM50">
        <f>SUMIFS(T_Shipments[Confirmed_Qty],T_Shipments[RM_Code],$A50,T_Shipments[Effective_Week],64)</f>
        <v/>
      </c>
      <c r="BN50">
        <f>SUMIFS(T_Shipments[Confirmed_Qty],T_Shipments[RM_Code],$A50,T_Shipments[Effective_Week],65)</f>
        <v/>
      </c>
      <c r="BO50">
        <f>SUMIFS(T_Shipments[Confirmed_Qty],T_Shipments[RM_Code],$A50,T_Shipments[Effective_Week],66)</f>
        <v/>
      </c>
      <c r="BP50">
        <f>SUMIFS(T_Shipments[Confirmed_Qty],T_Shipments[RM_Code],$A50,T_Shipments[Effective_Week],67)</f>
        <v/>
      </c>
      <c r="BQ50">
        <f>SUMIFS(T_Shipments[Confirmed_Qty],T_Shipments[RM_Code],$A50,T_Shipments[Effective_Week],68)</f>
        <v/>
      </c>
      <c r="BR50">
        <f>SUMIFS(T_Shipments[Confirmed_Qty],T_Shipments[RM_Code],$A50,T_Shipments[Effective_Week],69)</f>
        <v/>
      </c>
      <c r="BS50">
        <f>SUMIFS(T_Shipments[Confirmed_Qty],T_Shipments[RM_Code],$A50,T_Shipments[Effective_Week],70)</f>
        <v/>
      </c>
      <c r="BT50">
        <f>SUMIFS(T_Shipments[Confirmed_Qty],T_Shipments[RM_Code],$A50,T_Shipments[Effective_Week],71)</f>
        <v/>
      </c>
      <c r="BU50">
        <f>SUMIFS(T_Shipments[Confirmed_Qty],T_Shipments[RM_Code],$A50,T_Shipments[Effective_Week],72)</f>
        <v/>
      </c>
      <c r="BV50">
        <f>SUMIFS(T_Shipments[Confirmed_Qty],T_Shipments[RM_Code],$A50,T_Shipments[Effective_Week],73)</f>
        <v/>
      </c>
      <c r="BW50">
        <f>SUMIFS(T_Shipments[Confirmed_Qty],T_Shipments[RM_Code],$A50,T_Shipments[Effective_Week],74)</f>
        <v/>
      </c>
      <c r="BX50">
        <f>SUMIFS(T_Shipments[Confirmed_Qty],T_Shipments[RM_Code],$A50,T_Shipments[Effective_Week],75)</f>
        <v/>
      </c>
      <c r="BY50">
        <f>SUMIFS(T_Shipments[Confirmed_Qty],T_Shipments[RM_Code],$A50,T_Shipments[Effective_Week],76)</f>
        <v/>
      </c>
      <c r="BZ50">
        <f>SUMIFS(T_Shipments[Confirmed_Qty],T_Shipments[RM_Code],$A50,T_Shipments[Effective_Week],77)</f>
        <v/>
      </c>
      <c r="CA50">
        <f>SUMIFS(T_Shipments[Confirmed_Qty],T_Shipments[RM_Code],$A50,T_Shipments[Effective_Week],78)</f>
        <v/>
      </c>
      <c r="CB50">
        <f>SUMIFS(T_Shipments[Confirmed_Qty],T_Shipments[RM_Code],$A50,T_Shipments[Effective_Week],79)</f>
        <v/>
      </c>
      <c r="CC50">
        <f>SUMIFS(T_Shipments[Confirmed_Qty],T_Shipments[RM_Code],$A50,T_Shipments[Effective_Week],80)</f>
        <v/>
      </c>
      <c r="CD50">
        <f>SUMIFS(T_Shipments[Confirmed_Qty],T_Shipments[RM_Code],$A50,T_Shipments[Effective_Week],81)</f>
        <v/>
      </c>
      <c r="CE50">
        <f>SUMIFS(T_Shipments[Confirmed_Qty],T_Shipments[RM_Code],$A50,T_Shipments[Effective_Week],82)</f>
        <v/>
      </c>
      <c r="CF50">
        <f>SUMIFS(T_Shipments[Confirmed_Qty],T_Shipments[RM_Code],$A50,T_Shipments[Effective_Week],83)</f>
        <v/>
      </c>
      <c r="CG50">
        <f>SUMIFS(T_Shipments[Confirmed_Qty],T_Shipments[RM_Code],$A50,T_Shipments[Effective_Week],84)</f>
        <v/>
      </c>
      <c r="CH50">
        <f>SUMIFS(T_Shipments[Confirmed_Qty],T_Shipments[RM_Code],$A50,T_Shipments[Effective_Week],85)</f>
        <v/>
      </c>
      <c r="CI50">
        <f>SUMIFS(T_Shipments[Confirmed_Qty],T_Shipments[RM_Code],$A50,T_Shipments[Effective_Week],86)</f>
        <v/>
      </c>
      <c r="CJ50">
        <f>SUMIFS(T_Shipments[Confirmed_Qty],T_Shipments[RM_Code],$A50,T_Shipments[Effective_Week],87)</f>
        <v/>
      </c>
      <c r="CK50">
        <f>SUMIFS(T_Shipments[Confirmed_Qty],T_Shipments[RM_Code],$A50,T_Shipments[Effective_Week],88)</f>
        <v/>
      </c>
      <c r="CL50">
        <f>SUMIFS(T_Shipments[Confirmed_Qty],T_Shipments[RM_Code],$A50,T_Shipments[Effective_Week],89)</f>
        <v/>
      </c>
      <c r="CM50">
        <f>SUMIFS(T_Shipments[Confirmed_Qty],T_Shipments[RM_Code],$A50,T_Shipments[Effective_Week],90)</f>
        <v/>
      </c>
      <c r="CN50">
        <f>SUMIFS(T_Shipments[Confirmed_Qty],T_Shipments[RM_Code],$A50,T_Shipments[Effective_Week],91)</f>
        <v/>
      </c>
      <c r="CO50">
        <f>SUMIFS(T_Shipments[Confirmed_Qty],T_Shipments[RM_Code],$A50,T_Shipments[Effective_Week],92)</f>
        <v/>
      </c>
      <c r="CP50">
        <f>SUMIFS(T_Shipments[Confirmed_Qty],T_Shipments[RM_Code],$A50,T_Shipments[Effective_Week],93)</f>
        <v/>
      </c>
      <c r="CQ50">
        <f>SUMIFS(T_Shipments[Confirmed_Qty],T_Shipments[RM_Code],$A50,T_Shipments[Effective_Week],94)</f>
        <v/>
      </c>
      <c r="CR50">
        <f>SUMIFS(T_Shipments[Confirmed_Qty],T_Shipments[RM_Code],$A50,T_Shipments[Effective_Week],95)</f>
        <v/>
      </c>
      <c r="CS50">
        <f>SUMIFS(T_Shipments[Confirmed_Qty],T_Shipments[RM_Code],$A50,T_Shipments[Effective_Week],96)</f>
        <v/>
      </c>
      <c r="CT50">
        <f>SUMIFS(T_Shipments[Confirmed_Qty],T_Shipments[RM_Code],$A50,T_Shipments[Effective_Week],97)</f>
        <v/>
      </c>
      <c r="CU50">
        <f>SUMIFS(T_Shipments[Confirmed_Qty],T_Shipments[RM_Code],$A50,T_Shipments[Effective_Week],98)</f>
        <v/>
      </c>
      <c r="CV50">
        <f>SUMIFS(T_Shipments[Confirmed_Qty],T_Shipments[RM_Code],$A50,T_Shipments[Effective_Week],99)</f>
        <v/>
      </c>
      <c r="CW50">
        <f>SUMIFS(T_Shipments[Confirmed_Qty],T_Shipments[RM_Code],$A50,T_Shipments[Effective_Week],100)</f>
        <v/>
      </c>
      <c r="CX50">
        <f>SUMIFS(T_Shipments[Confirmed_Qty],T_Shipments[RM_Code],$A50,T_Shipments[Effective_Week],101)</f>
        <v/>
      </c>
      <c r="CY50">
        <f>SUMIFS(T_Shipments[Confirmed_Qty],T_Shipments[RM_Code],$A50,T_Shipments[Effective_Week],102)</f>
        <v/>
      </c>
      <c r="CZ50">
        <f>SUMIFS(T_Shipments[Confirmed_Qty],T_Shipments[RM_Code],$A50,T_Shipments[Effective_Week],103)</f>
        <v/>
      </c>
      <c r="DA50">
        <f>SUMIFS(T_Shipments[Confirmed_Qty],T_Shipments[RM_Code],$A50,T_Shipments[Effective_Week],104)</f>
        <v/>
      </c>
    </row>
    <row r="51">
      <c r="A51" t="inlineStr">
        <is>
          <t>CHEM-1560</t>
        </is>
      </c>
      <c r="B51">
        <f>SUMIFS(T_Shipments[Confirmed_Qty],T_Shipments[RM_Code],$A51,T_Shipments[Effective_Week],1)</f>
        <v/>
      </c>
      <c r="C51">
        <f>SUMIFS(T_Shipments[Confirmed_Qty],T_Shipments[RM_Code],$A51,T_Shipments[Effective_Week],2)</f>
        <v/>
      </c>
      <c r="D51">
        <f>SUMIFS(T_Shipments[Confirmed_Qty],T_Shipments[RM_Code],$A51,T_Shipments[Effective_Week],3)</f>
        <v/>
      </c>
      <c r="E51">
        <f>SUMIFS(T_Shipments[Confirmed_Qty],T_Shipments[RM_Code],$A51,T_Shipments[Effective_Week],4)</f>
        <v/>
      </c>
      <c r="F51">
        <f>SUMIFS(T_Shipments[Confirmed_Qty],T_Shipments[RM_Code],$A51,T_Shipments[Effective_Week],5)</f>
        <v/>
      </c>
      <c r="G51">
        <f>SUMIFS(T_Shipments[Confirmed_Qty],T_Shipments[RM_Code],$A51,T_Shipments[Effective_Week],6)</f>
        <v/>
      </c>
      <c r="H51">
        <f>SUMIFS(T_Shipments[Confirmed_Qty],T_Shipments[RM_Code],$A51,T_Shipments[Effective_Week],7)</f>
        <v/>
      </c>
      <c r="I51">
        <f>SUMIFS(T_Shipments[Confirmed_Qty],T_Shipments[RM_Code],$A51,T_Shipments[Effective_Week],8)</f>
        <v/>
      </c>
      <c r="J51">
        <f>SUMIFS(T_Shipments[Confirmed_Qty],T_Shipments[RM_Code],$A51,T_Shipments[Effective_Week],9)</f>
        <v/>
      </c>
      <c r="K51">
        <f>SUMIFS(T_Shipments[Confirmed_Qty],T_Shipments[RM_Code],$A51,T_Shipments[Effective_Week],10)</f>
        <v/>
      </c>
      <c r="L51">
        <f>SUMIFS(T_Shipments[Confirmed_Qty],T_Shipments[RM_Code],$A51,T_Shipments[Effective_Week],11)</f>
        <v/>
      </c>
      <c r="M51">
        <f>SUMIFS(T_Shipments[Confirmed_Qty],T_Shipments[RM_Code],$A51,T_Shipments[Effective_Week],12)</f>
        <v/>
      </c>
      <c r="N51">
        <f>SUMIFS(T_Shipments[Confirmed_Qty],T_Shipments[RM_Code],$A51,T_Shipments[Effective_Week],13)</f>
        <v/>
      </c>
      <c r="O51">
        <f>SUMIFS(T_Shipments[Confirmed_Qty],T_Shipments[RM_Code],$A51,T_Shipments[Effective_Week],14)</f>
        <v/>
      </c>
      <c r="P51">
        <f>SUMIFS(T_Shipments[Confirmed_Qty],T_Shipments[RM_Code],$A51,T_Shipments[Effective_Week],15)</f>
        <v/>
      </c>
      <c r="Q51">
        <f>SUMIFS(T_Shipments[Confirmed_Qty],T_Shipments[RM_Code],$A51,T_Shipments[Effective_Week],16)</f>
        <v/>
      </c>
      <c r="R51">
        <f>SUMIFS(T_Shipments[Confirmed_Qty],T_Shipments[RM_Code],$A51,T_Shipments[Effective_Week],17)</f>
        <v/>
      </c>
      <c r="S51">
        <f>SUMIFS(T_Shipments[Confirmed_Qty],T_Shipments[RM_Code],$A51,T_Shipments[Effective_Week],18)</f>
        <v/>
      </c>
      <c r="T51">
        <f>SUMIFS(T_Shipments[Confirmed_Qty],T_Shipments[RM_Code],$A51,T_Shipments[Effective_Week],19)</f>
        <v/>
      </c>
      <c r="U51">
        <f>SUMIFS(T_Shipments[Confirmed_Qty],T_Shipments[RM_Code],$A51,T_Shipments[Effective_Week],20)</f>
        <v/>
      </c>
      <c r="V51">
        <f>SUMIFS(T_Shipments[Confirmed_Qty],T_Shipments[RM_Code],$A51,T_Shipments[Effective_Week],21)</f>
        <v/>
      </c>
      <c r="W51">
        <f>SUMIFS(T_Shipments[Confirmed_Qty],T_Shipments[RM_Code],$A51,T_Shipments[Effective_Week],22)</f>
        <v/>
      </c>
      <c r="X51">
        <f>SUMIFS(T_Shipments[Confirmed_Qty],T_Shipments[RM_Code],$A51,T_Shipments[Effective_Week],23)</f>
        <v/>
      </c>
      <c r="Y51">
        <f>SUMIFS(T_Shipments[Confirmed_Qty],T_Shipments[RM_Code],$A51,T_Shipments[Effective_Week],24)</f>
        <v/>
      </c>
      <c r="Z51">
        <f>SUMIFS(T_Shipments[Confirmed_Qty],T_Shipments[RM_Code],$A51,T_Shipments[Effective_Week],25)</f>
        <v/>
      </c>
      <c r="AA51">
        <f>SUMIFS(T_Shipments[Confirmed_Qty],T_Shipments[RM_Code],$A51,T_Shipments[Effective_Week],26)</f>
        <v/>
      </c>
      <c r="AB51">
        <f>SUMIFS(T_Shipments[Confirmed_Qty],T_Shipments[RM_Code],$A51,T_Shipments[Effective_Week],27)</f>
        <v/>
      </c>
      <c r="AC51">
        <f>SUMIFS(T_Shipments[Confirmed_Qty],T_Shipments[RM_Code],$A51,T_Shipments[Effective_Week],28)</f>
        <v/>
      </c>
      <c r="AD51">
        <f>SUMIFS(T_Shipments[Confirmed_Qty],T_Shipments[RM_Code],$A51,T_Shipments[Effective_Week],29)</f>
        <v/>
      </c>
      <c r="AE51">
        <f>SUMIFS(T_Shipments[Confirmed_Qty],T_Shipments[RM_Code],$A51,T_Shipments[Effective_Week],30)</f>
        <v/>
      </c>
      <c r="AF51">
        <f>SUMIFS(T_Shipments[Confirmed_Qty],T_Shipments[RM_Code],$A51,T_Shipments[Effective_Week],31)</f>
        <v/>
      </c>
      <c r="AG51">
        <f>SUMIFS(T_Shipments[Confirmed_Qty],T_Shipments[RM_Code],$A51,T_Shipments[Effective_Week],32)</f>
        <v/>
      </c>
      <c r="AH51">
        <f>SUMIFS(T_Shipments[Confirmed_Qty],T_Shipments[RM_Code],$A51,T_Shipments[Effective_Week],33)</f>
        <v/>
      </c>
      <c r="AI51">
        <f>SUMIFS(T_Shipments[Confirmed_Qty],T_Shipments[RM_Code],$A51,T_Shipments[Effective_Week],34)</f>
        <v/>
      </c>
      <c r="AJ51">
        <f>SUMIFS(T_Shipments[Confirmed_Qty],T_Shipments[RM_Code],$A51,T_Shipments[Effective_Week],35)</f>
        <v/>
      </c>
      <c r="AK51">
        <f>SUMIFS(T_Shipments[Confirmed_Qty],T_Shipments[RM_Code],$A51,T_Shipments[Effective_Week],36)</f>
        <v/>
      </c>
      <c r="AL51">
        <f>SUMIFS(T_Shipments[Confirmed_Qty],T_Shipments[RM_Code],$A51,T_Shipments[Effective_Week],37)</f>
        <v/>
      </c>
      <c r="AM51">
        <f>SUMIFS(T_Shipments[Confirmed_Qty],T_Shipments[RM_Code],$A51,T_Shipments[Effective_Week],38)</f>
        <v/>
      </c>
      <c r="AN51">
        <f>SUMIFS(T_Shipments[Confirmed_Qty],T_Shipments[RM_Code],$A51,T_Shipments[Effective_Week],39)</f>
        <v/>
      </c>
      <c r="AO51">
        <f>SUMIFS(T_Shipments[Confirmed_Qty],T_Shipments[RM_Code],$A51,T_Shipments[Effective_Week],40)</f>
        <v/>
      </c>
      <c r="AP51">
        <f>SUMIFS(T_Shipments[Confirmed_Qty],T_Shipments[RM_Code],$A51,T_Shipments[Effective_Week],41)</f>
        <v/>
      </c>
      <c r="AQ51">
        <f>SUMIFS(T_Shipments[Confirmed_Qty],T_Shipments[RM_Code],$A51,T_Shipments[Effective_Week],42)</f>
        <v/>
      </c>
      <c r="AR51">
        <f>SUMIFS(T_Shipments[Confirmed_Qty],T_Shipments[RM_Code],$A51,T_Shipments[Effective_Week],43)</f>
        <v/>
      </c>
      <c r="AS51">
        <f>SUMIFS(T_Shipments[Confirmed_Qty],T_Shipments[RM_Code],$A51,T_Shipments[Effective_Week],44)</f>
        <v/>
      </c>
      <c r="AT51">
        <f>SUMIFS(T_Shipments[Confirmed_Qty],T_Shipments[RM_Code],$A51,T_Shipments[Effective_Week],45)</f>
        <v/>
      </c>
      <c r="AU51">
        <f>SUMIFS(T_Shipments[Confirmed_Qty],T_Shipments[RM_Code],$A51,T_Shipments[Effective_Week],46)</f>
        <v/>
      </c>
      <c r="AV51">
        <f>SUMIFS(T_Shipments[Confirmed_Qty],T_Shipments[RM_Code],$A51,T_Shipments[Effective_Week],47)</f>
        <v/>
      </c>
      <c r="AW51">
        <f>SUMIFS(T_Shipments[Confirmed_Qty],T_Shipments[RM_Code],$A51,T_Shipments[Effective_Week],48)</f>
        <v/>
      </c>
      <c r="AX51">
        <f>SUMIFS(T_Shipments[Confirmed_Qty],T_Shipments[RM_Code],$A51,T_Shipments[Effective_Week],49)</f>
        <v/>
      </c>
      <c r="AY51">
        <f>SUMIFS(T_Shipments[Confirmed_Qty],T_Shipments[RM_Code],$A51,T_Shipments[Effective_Week],50)</f>
        <v/>
      </c>
      <c r="AZ51">
        <f>SUMIFS(T_Shipments[Confirmed_Qty],T_Shipments[RM_Code],$A51,T_Shipments[Effective_Week],51)</f>
        <v/>
      </c>
      <c r="BA51">
        <f>SUMIFS(T_Shipments[Confirmed_Qty],T_Shipments[RM_Code],$A51,T_Shipments[Effective_Week],52)</f>
        <v/>
      </c>
      <c r="BB51">
        <f>SUMIFS(T_Shipments[Confirmed_Qty],T_Shipments[RM_Code],$A51,T_Shipments[Effective_Week],53)</f>
        <v/>
      </c>
      <c r="BC51">
        <f>SUMIFS(T_Shipments[Confirmed_Qty],T_Shipments[RM_Code],$A51,T_Shipments[Effective_Week],54)</f>
        <v/>
      </c>
      <c r="BD51">
        <f>SUMIFS(T_Shipments[Confirmed_Qty],T_Shipments[RM_Code],$A51,T_Shipments[Effective_Week],55)</f>
        <v/>
      </c>
      <c r="BE51">
        <f>SUMIFS(T_Shipments[Confirmed_Qty],T_Shipments[RM_Code],$A51,T_Shipments[Effective_Week],56)</f>
        <v/>
      </c>
      <c r="BF51">
        <f>SUMIFS(T_Shipments[Confirmed_Qty],T_Shipments[RM_Code],$A51,T_Shipments[Effective_Week],57)</f>
        <v/>
      </c>
      <c r="BG51">
        <f>SUMIFS(T_Shipments[Confirmed_Qty],T_Shipments[RM_Code],$A51,T_Shipments[Effective_Week],58)</f>
        <v/>
      </c>
      <c r="BH51">
        <f>SUMIFS(T_Shipments[Confirmed_Qty],T_Shipments[RM_Code],$A51,T_Shipments[Effective_Week],59)</f>
        <v/>
      </c>
      <c r="BI51">
        <f>SUMIFS(T_Shipments[Confirmed_Qty],T_Shipments[RM_Code],$A51,T_Shipments[Effective_Week],60)</f>
        <v/>
      </c>
      <c r="BJ51">
        <f>SUMIFS(T_Shipments[Confirmed_Qty],T_Shipments[RM_Code],$A51,T_Shipments[Effective_Week],61)</f>
        <v/>
      </c>
      <c r="BK51">
        <f>SUMIFS(T_Shipments[Confirmed_Qty],T_Shipments[RM_Code],$A51,T_Shipments[Effective_Week],62)</f>
        <v/>
      </c>
      <c r="BL51">
        <f>SUMIFS(T_Shipments[Confirmed_Qty],T_Shipments[RM_Code],$A51,T_Shipments[Effective_Week],63)</f>
        <v/>
      </c>
      <c r="BM51">
        <f>SUMIFS(T_Shipments[Confirmed_Qty],T_Shipments[RM_Code],$A51,T_Shipments[Effective_Week],64)</f>
        <v/>
      </c>
      <c r="BN51">
        <f>SUMIFS(T_Shipments[Confirmed_Qty],T_Shipments[RM_Code],$A51,T_Shipments[Effective_Week],65)</f>
        <v/>
      </c>
      <c r="BO51">
        <f>SUMIFS(T_Shipments[Confirmed_Qty],T_Shipments[RM_Code],$A51,T_Shipments[Effective_Week],66)</f>
        <v/>
      </c>
      <c r="BP51">
        <f>SUMIFS(T_Shipments[Confirmed_Qty],T_Shipments[RM_Code],$A51,T_Shipments[Effective_Week],67)</f>
        <v/>
      </c>
      <c r="BQ51">
        <f>SUMIFS(T_Shipments[Confirmed_Qty],T_Shipments[RM_Code],$A51,T_Shipments[Effective_Week],68)</f>
        <v/>
      </c>
      <c r="BR51">
        <f>SUMIFS(T_Shipments[Confirmed_Qty],T_Shipments[RM_Code],$A51,T_Shipments[Effective_Week],69)</f>
        <v/>
      </c>
      <c r="BS51">
        <f>SUMIFS(T_Shipments[Confirmed_Qty],T_Shipments[RM_Code],$A51,T_Shipments[Effective_Week],70)</f>
        <v/>
      </c>
      <c r="BT51">
        <f>SUMIFS(T_Shipments[Confirmed_Qty],T_Shipments[RM_Code],$A51,T_Shipments[Effective_Week],71)</f>
        <v/>
      </c>
      <c r="BU51">
        <f>SUMIFS(T_Shipments[Confirmed_Qty],T_Shipments[RM_Code],$A51,T_Shipments[Effective_Week],72)</f>
        <v/>
      </c>
      <c r="BV51">
        <f>SUMIFS(T_Shipments[Confirmed_Qty],T_Shipments[RM_Code],$A51,T_Shipments[Effective_Week],73)</f>
        <v/>
      </c>
      <c r="BW51">
        <f>SUMIFS(T_Shipments[Confirmed_Qty],T_Shipments[RM_Code],$A51,T_Shipments[Effective_Week],74)</f>
        <v/>
      </c>
      <c r="BX51">
        <f>SUMIFS(T_Shipments[Confirmed_Qty],T_Shipments[RM_Code],$A51,T_Shipments[Effective_Week],75)</f>
        <v/>
      </c>
      <c r="BY51">
        <f>SUMIFS(T_Shipments[Confirmed_Qty],T_Shipments[RM_Code],$A51,T_Shipments[Effective_Week],76)</f>
        <v/>
      </c>
      <c r="BZ51">
        <f>SUMIFS(T_Shipments[Confirmed_Qty],T_Shipments[RM_Code],$A51,T_Shipments[Effective_Week],77)</f>
        <v/>
      </c>
      <c r="CA51">
        <f>SUMIFS(T_Shipments[Confirmed_Qty],T_Shipments[RM_Code],$A51,T_Shipments[Effective_Week],78)</f>
        <v/>
      </c>
      <c r="CB51">
        <f>SUMIFS(T_Shipments[Confirmed_Qty],T_Shipments[RM_Code],$A51,T_Shipments[Effective_Week],79)</f>
        <v/>
      </c>
      <c r="CC51">
        <f>SUMIFS(T_Shipments[Confirmed_Qty],T_Shipments[RM_Code],$A51,T_Shipments[Effective_Week],80)</f>
        <v/>
      </c>
      <c r="CD51">
        <f>SUMIFS(T_Shipments[Confirmed_Qty],T_Shipments[RM_Code],$A51,T_Shipments[Effective_Week],81)</f>
        <v/>
      </c>
      <c r="CE51">
        <f>SUMIFS(T_Shipments[Confirmed_Qty],T_Shipments[RM_Code],$A51,T_Shipments[Effective_Week],82)</f>
        <v/>
      </c>
      <c r="CF51">
        <f>SUMIFS(T_Shipments[Confirmed_Qty],T_Shipments[RM_Code],$A51,T_Shipments[Effective_Week],83)</f>
        <v/>
      </c>
      <c r="CG51">
        <f>SUMIFS(T_Shipments[Confirmed_Qty],T_Shipments[RM_Code],$A51,T_Shipments[Effective_Week],84)</f>
        <v/>
      </c>
      <c r="CH51">
        <f>SUMIFS(T_Shipments[Confirmed_Qty],T_Shipments[RM_Code],$A51,T_Shipments[Effective_Week],85)</f>
        <v/>
      </c>
      <c r="CI51">
        <f>SUMIFS(T_Shipments[Confirmed_Qty],T_Shipments[RM_Code],$A51,T_Shipments[Effective_Week],86)</f>
        <v/>
      </c>
      <c r="CJ51">
        <f>SUMIFS(T_Shipments[Confirmed_Qty],T_Shipments[RM_Code],$A51,T_Shipments[Effective_Week],87)</f>
        <v/>
      </c>
      <c r="CK51">
        <f>SUMIFS(T_Shipments[Confirmed_Qty],T_Shipments[RM_Code],$A51,T_Shipments[Effective_Week],88)</f>
        <v/>
      </c>
      <c r="CL51">
        <f>SUMIFS(T_Shipments[Confirmed_Qty],T_Shipments[RM_Code],$A51,T_Shipments[Effective_Week],89)</f>
        <v/>
      </c>
      <c r="CM51">
        <f>SUMIFS(T_Shipments[Confirmed_Qty],T_Shipments[RM_Code],$A51,T_Shipments[Effective_Week],90)</f>
        <v/>
      </c>
      <c r="CN51">
        <f>SUMIFS(T_Shipments[Confirmed_Qty],T_Shipments[RM_Code],$A51,T_Shipments[Effective_Week],91)</f>
        <v/>
      </c>
      <c r="CO51">
        <f>SUMIFS(T_Shipments[Confirmed_Qty],T_Shipments[RM_Code],$A51,T_Shipments[Effective_Week],92)</f>
        <v/>
      </c>
      <c r="CP51">
        <f>SUMIFS(T_Shipments[Confirmed_Qty],T_Shipments[RM_Code],$A51,T_Shipments[Effective_Week],93)</f>
        <v/>
      </c>
      <c r="CQ51">
        <f>SUMIFS(T_Shipments[Confirmed_Qty],T_Shipments[RM_Code],$A51,T_Shipments[Effective_Week],94)</f>
        <v/>
      </c>
      <c r="CR51">
        <f>SUMIFS(T_Shipments[Confirmed_Qty],T_Shipments[RM_Code],$A51,T_Shipments[Effective_Week],95)</f>
        <v/>
      </c>
      <c r="CS51">
        <f>SUMIFS(T_Shipments[Confirmed_Qty],T_Shipments[RM_Code],$A51,T_Shipments[Effective_Week],96)</f>
        <v/>
      </c>
      <c r="CT51">
        <f>SUMIFS(T_Shipments[Confirmed_Qty],T_Shipments[RM_Code],$A51,T_Shipments[Effective_Week],97)</f>
        <v/>
      </c>
      <c r="CU51">
        <f>SUMIFS(T_Shipments[Confirmed_Qty],T_Shipments[RM_Code],$A51,T_Shipments[Effective_Week],98)</f>
        <v/>
      </c>
      <c r="CV51">
        <f>SUMIFS(T_Shipments[Confirmed_Qty],T_Shipments[RM_Code],$A51,T_Shipments[Effective_Week],99)</f>
        <v/>
      </c>
      <c r="CW51">
        <f>SUMIFS(T_Shipments[Confirmed_Qty],T_Shipments[RM_Code],$A51,T_Shipments[Effective_Week],100)</f>
        <v/>
      </c>
      <c r="CX51">
        <f>SUMIFS(T_Shipments[Confirmed_Qty],T_Shipments[RM_Code],$A51,T_Shipments[Effective_Week],101)</f>
        <v/>
      </c>
      <c r="CY51">
        <f>SUMIFS(T_Shipments[Confirmed_Qty],T_Shipments[RM_Code],$A51,T_Shipments[Effective_Week],102)</f>
        <v/>
      </c>
      <c r="CZ51">
        <f>SUMIFS(T_Shipments[Confirmed_Qty],T_Shipments[RM_Code],$A51,T_Shipments[Effective_Week],103)</f>
        <v/>
      </c>
      <c r="DA51">
        <f>SUMIFS(T_Shipments[Confirmed_Qty],T_Shipments[RM_Code],$A51,T_Shipments[Effective_Week],104)</f>
        <v/>
      </c>
    </row>
    <row r="52">
      <c r="A52" t="inlineStr">
        <is>
          <t>CHEM-1520</t>
        </is>
      </c>
      <c r="B52">
        <f>SUMIFS(T_Shipments[Confirmed_Qty],T_Shipments[RM_Code],$A52,T_Shipments[Effective_Week],1)</f>
        <v/>
      </c>
      <c r="C52">
        <f>SUMIFS(T_Shipments[Confirmed_Qty],T_Shipments[RM_Code],$A52,T_Shipments[Effective_Week],2)</f>
        <v/>
      </c>
      <c r="D52">
        <f>SUMIFS(T_Shipments[Confirmed_Qty],T_Shipments[RM_Code],$A52,T_Shipments[Effective_Week],3)</f>
        <v/>
      </c>
      <c r="E52">
        <f>SUMIFS(T_Shipments[Confirmed_Qty],T_Shipments[RM_Code],$A52,T_Shipments[Effective_Week],4)</f>
        <v/>
      </c>
      <c r="F52">
        <f>SUMIFS(T_Shipments[Confirmed_Qty],T_Shipments[RM_Code],$A52,T_Shipments[Effective_Week],5)</f>
        <v/>
      </c>
      <c r="G52">
        <f>SUMIFS(T_Shipments[Confirmed_Qty],T_Shipments[RM_Code],$A52,T_Shipments[Effective_Week],6)</f>
        <v/>
      </c>
      <c r="H52">
        <f>SUMIFS(T_Shipments[Confirmed_Qty],T_Shipments[RM_Code],$A52,T_Shipments[Effective_Week],7)</f>
        <v/>
      </c>
      <c r="I52">
        <f>SUMIFS(T_Shipments[Confirmed_Qty],T_Shipments[RM_Code],$A52,T_Shipments[Effective_Week],8)</f>
        <v/>
      </c>
      <c r="J52">
        <f>SUMIFS(T_Shipments[Confirmed_Qty],T_Shipments[RM_Code],$A52,T_Shipments[Effective_Week],9)</f>
        <v/>
      </c>
      <c r="K52">
        <f>SUMIFS(T_Shipments[Confirmed_Qty],T_Shipments[RM_Code],$A52,T_Shipments[Effective_Week],10)</f>
        <v/>
      </c>
      <c r="L52">
        <f>SUMIFS(T_Shipments[Confirmed_Qty],T_Shipments[RM_Code],$A52,T_Shipments[Effective_Week],11)</f>
        <v/>
      </c>
      <c r="M52">
        <f>SUMIFS(T_Shipments[Confirmed_Qty],T_Shipments[RM_Code],$A52,T_Shipments[Effective_Week],12)</f>
        <v/>
      </c>
      <c r="N52">
        <f>SUMIFS(T_Shipments[Confirmed_Qty],T_Shipments[RM_Code],$A52,T_Shipments[Effective_Week],13)</f>
        <v/>
      </c>
      <c r="O52">
        <f>SUMIFS(T_Shipments[Confirmed_Qty],T_Shipments[RM_Code],$A52,T_Shipments[Effective_Week],14)</f>
        <v/>
      </c>
      <c r="P52">
        <f>SUMIFS(T_Shipments[Confirmed_Qty],T_Shipments[RM_Code],$A52,T_Shipments[Effective_Week],15)</f>
        <v/>
      </c>
      <c r="Q52">
        <f>SUMIFS(T_Shipments[Confirmed_Qty],T_Shipments[RM_Code],$A52,T_Shipments[Effective_Week],16)</f>
        <v/>
      </c>
      <c r="R52">
        <f>SUMIFS(T_Shipments[Confirmed_Qty],T_Shipments[RM_Code],$A52,T_Shipments[Effective_Week],17)</f>
        <v/>
      </c>
      <c r="S52">
        <f>SUMIFS(T_Shipments[Confirmed_Qty],T_Shipments[RM_Code],$A52,T_Shipments[Effective_Week],18)</f>
        <v/>
      </c>
      <c r="T52">
        <f>SUMIFS(T_Shipments[Confirmed_Qty],T_Shipments[RM_Code],$A52,T_Shipments[Effective_Week],19)</f>
        <v/>
      </c>
      <c r="U52">
        <f>SUMIFS(T_Shipments[Confirmed_Qty],T_Shipments[RM_Code],$A52,T_Shipments[Effective_Week],20)</f>
        <v/>
      </c>
      <c r="V52">
        <f>SUMIFS(T_Shipments[Confirmed_Qty],T_Shipments[RM_Code],$A52,T_Shipments[Effective_Week],21)</f>
        <v/>
      </c>
      <c r="W52">
        <f>SUMIFS(T_Shipments[Confirmed_Qty],T_Shipments[RM_Code],$A52,T_Shipments[Effective_Week],22)</f>
        <v/>
      </c>
      <c r="X52">
        <f>SUMIFS(T_Shipments[Confirmed_Qty],T_Shipments[RM_Code],$A52,T_Shipments[Effective_Week],23)</f>
        <v/>
      </c>
      <c r="Y52">
        <f>SUMIFS(T_Shipments[Confirmed_Qty],T_Shipments[RM_Code],$A52,T_Shipments[Effective_Week],24)</f>
        <v/>
      </c>
      <c r="Z52">
        <f>SUMIFS(T_Shipments[Confirmed_Qty],T_Shipments[RM_Code],$A52,T_Shipments[Effective_Week],25)</f>
        <v/>
      </c>
      <c r="AA52">
        <f>SUMIFS(T_Shipments[Confirmed_Qty],T_Shipments[RM_Code],$A52,T_Shipments[Effective_Week],26)</f>
        <v/>
      </c>
      <c r="AB52">
        <f>SUMIFS(T_Shipments[Confirmed_Qty],T_Shipments[RM_Code],$A52,T_Shipments[Effective_Week],27)</f>
        <v/>
      </c>
      <c r="AC52">
        <f>SUMIFS(T_Shipments[Confirmed_Qty],T_Shipments[RM_Code],$A52,T_Shipments[Effective_Week],28)</f>
        <v/>
      </c>
      <c r="AD52">
        <f>SUMIFS(T_Shipments[Confirmed_Qty],T_Shipments[RM_Code],$A52,T_Shipments[Effective_Week],29)</f>
        <v/>
      </c>
      <c r="AE52">
        <f>SUMIFS(T_Shipments[Confirmed_Qty],T_Shipments[RM_Code],$A52,T_Shipments[Effective_Week],30)</f>
        <v/>
      </c>
      <c r="AF52">
        <f>SUMIFS(T_Shipments[Confirmed_Qty],T_Shipments[RM_Code],$A52,T_Shipments[Effective_Week],31)</f>
        <v/>
      </c>
      <c r="AG52">
        <f>SUMIFS(T_Shipments[Confirmed_Qty],T_Shipments[RM_Code],$A52,T_Shipments[Effective_Week],32)</f>
        <v/>
      </c>
      <c r="AH52">
        <f>SUMIFS(T_Shipments[Confirmed_Qty],T_Shipments[RM_Code],$A52,T_Shipments[Effective_Week],33)</f>
        <v/>
      </c>
      <c r="AI52">
        <f>SUMIFS(T_Shipments[Confirmed_Qty],T_Shipments[RM_Code],$A52,T_Shipments[Effective_Week],34)</f>
        <v/>
      </c>
      <c r="AJ52">
        <f>SUMIFS(T_Shipments[Confirmed_Qty],T_Shipments[RM_Code],$A52,T_Shipments[Effective_Week],35)</f>
        <v/>
      </c>
      <c r="AK52">
        <f>SUMIFS(T_Shipments[Confirmed_Qty],T_Shipments[RM_Code],$A52,T_Shipments[Effective_Week],36)</f>
        <v/>
      </c>
      <c r="AL52">
        <f>SUMIFS(T_Shipments[Confirmed_Qty],T_Shipments[RM_Code],$A52,T_Shipments[Effective_Week],37)</f>
        <v/>
      </c>
      <c r="AM52">
        <f>SUMIFS(T_Shipments[Confirmed_Qty],T_Shipments[RM_Code],$A52,T_Shipments[Effective_Week],38)</f>
        <v/>
      </c>
      <c r="AN52">
        <f>SUMIFS(T_Shipments[Confirmed_Qty],T_Shipments[RM_Code],$A52,T_Shipments[Effective_Week],39)</f>
        <v/>
      </c>
      <c r="AO52">
        <f>SUMIFS(T_Shipments[Confirmed_Qty],T_Shipments[RM_Code],$A52,T_Shipments[Effective_Week],40)</f>
        <v/>
      </c>
      <c r="AP52">
        <f>SUMIFS(T_Shipments[Confirmed_Qty],T_Shipments[RM_Code],$A52,T_Shipments[Effective_Week],41)</f>
        <v/>
      </c>
      <c r="AQ52">
        <f>SUMIFS(T_Shipments[Confirmed_Qty],T_Shipments[RM_Code],$A52,T_Shipments[Effective_Week],42)</f>
        <v/>
      </c>
      <c r="AR52">
        <f>SUMIFS(T_Shipments[Confirmed_Qty],T_Shipments[RM_Code],$A52,T_Shipments[Effective_Week],43)</f>
        <v/>
      </c>
      <c r="AS52">
        <f>SUMIFS(T_Shipments[Confirmed_Qty],T_Shipments[RM_Code],$A52,T_Shipments[Effective_Week],44)</f>
        <v/>
      </c>
      <c r="AT52">
        <f>SUMIFS(T_Shipments[Confirmed_Qty],T_Shipments[RM_Code],$A52,T_Shipments[Effective_Week],45)</f>
        <v/>
      </c>
      <c r="AU52">
        <f>SUMIFS(T_Shipments[Confirmed_Qty],T_Shipments[RM_Code],$A52,T_Shipments[Effective_Week],46)</f>
        <v/>
      </c>
      <c r="AV52">
        <f>SUMIFS(T_Shipments[Confirmed_Qty],T_Shipments[RM_Code],$A52,T_Shipments[Effective_Week],47)</f>
        <v/>
      </c>
      <c r="AW52">
        <f>SUMIFS(T_Shipments[Confirmed_Qty],T_Shipments[RM_Code],$A52,T_Shipments[Effective_Week],48)</f>
        <v/>
      </c>
      <c r="AX52">
        <f>SUMIFS(T_Shipments[Confirmed_Qty],T_Shipments[RM_Code],$A52,T_Shipments[Effective_Week],49)</f>
        <v/>
      </c>
      <c r="AY52">
        <f>SUMIFS(T_Shipments[Confirmed_Qty],T_Shipments[RM_Code],$A52,T_Shipments[Effective_Week],50)</f>
        <v/>
      </c>
      <c r="AZ52">
        <f>SUMIFS(T_Shipments[Confirmed_Qty],T_Shipments[RM_Code],$A52,T_Shipments[Effective_Week],51)</f>
        <v/>
      </c>
      <c r="BA52">
        <f>SUMIFS(T_Shipments[Confirmed_Qty],T_Shipments[RM_Code],$A52,T_Shipments[Effective_Week],52)</f>
        <v/>
      </c>
      <c r="BB52">
        <f>SUMIFS(T_Shipments[Confirmed_Qty],T_Shipments[RM_Code],$A52,T_Shipments[Effective_Week],53)</f>
        <v/>
      </c>
      <c r="BC52">
        <f>SUMIFS(T_Shipments[Confirmed_Qty],T_Shipments[RM_Code],$A52,T_Shipments[Effective_Week],54)</f>
        <v/>
      </c>
      <c r="BD52">
        <f>SUMIFS(T_Shipments[Confirmed_Qty],T_Shipments[RM_Code],$A52,T_Shipments[Effective_Week],55)</f>
        <v/>
      </c>
      <c r="BE52">
        <f>SUMIFS(T_Shipments[Confirmed_Qty],T_Shipments[RM_Code],$A52,T_Shipments[Effective_Week],56)</f>
        <v/>
      </c>
      <c r="BF52">
        <f>SUMIFS(T_Shipments[Confirmed_Qty],T_Shipments[RM_Code],$A52,T_Shipments[Effective_Week],57)</f>
        <v/>
      </c>
      <c r="BG52">
        <f>SUMIFS(T_Shipments[Confirmed_Qty],T_Shipments[RM_Code],$A52,T_Shipments[Effective_Week],58)</f>
        <v/>
      </c>
      <c r="BH52">
        <f>SUMIFS(T_Shipments[Confirmed_Qty],T_Shipments[RM_Code],$A52,T_Shipments[Effective_Week],59)</f>
        <v/>
      </c>
      <c r="BI52">
        <f>SUMIFS(T_Shipments[Confirmed_Qty],T_Shipments[RM_Code],$A52,T_Shipments[Effective_Week],60)</f>
        <v/>
      </c>
      <c r="BJ52">
        <f>SUMIFS(T_Shipments[Confirmed_Qty],T_Shipments[RM_Code],$A52,T_Shipments[Effective_Week],61)</f>
        <v/>
      </c>
      <c r="BK52">
        <f>SUMIFS(T_Shipments[Confirmed_Qty],T_Shipments[RM_Code],$A52,T_Shipments[Effective_Week],62)</f>
        <v/>
      </c>
      <c r="BL52">
        <f>SUMIFS(T_Shipments[Confirmed_Qty],T_Shipments[RM_Code],$A52,T_Shipments[Effective_Week],63)</f>
        <v/>
      </c>
      <c r="BM52">
        <f>SUMIFS(T_Shipments[Confirmed_Qty],T_Shipments[RM_Code],$A52,T_Shipments[Effective_Week],64)</f>
        <v/>
      </c>
      <c r="BN52">
        <f>SUMIFS(T_Shipments[Confirmed_Qty],T_Shipments[RM_Code],$A52,T_Shipments[Effective_Week],65)</f>
        <v/>
      </c>
      <c r="BO52">
        <f>SUMIFS(T_Shipments[Confirmed_Qty],T_Shipments[RM_Code],$A52,T_Shipments[Effective_Week],66)</f>
        <v/>
      </c>
      <c r="BP52">
        <f>SUMIFS(T_Shipments[Confirmed_Qty],T_Shipments[RM_Code],$A52,T_Shipments[Effective_Week],67)</f>
        <v/>
      </c>
      <c r="BQ52">
        <f>SUMIFS(T_Shipments[Confirmed_Qty],T_Shipments[RM_Code],$A52,T_Shipments[Effective_Week],68)</f>
        <v/>
      </c>
      <c r="BR52">
        <f>SUMIFS(T_Shipments[Confirmed_Qty],T_Shipments[RM_Code],$A52,T_Shipments[Effective_Week],69)</f>
        <v/>
      </c>
      <c r="BS52">
        <f>SUMIFS(T_Shipments[Confirmed_Qty],T_Shipments[RM_Code],$A52,T_Shipments[Effective_Week],70)</f>
        <v/>
      </c>
      <c r="BT52">
        <f>SUMIFS(T_Shipments[Confirmed_Qty],T_Shipments[RM_Code],$A52,T_Shipments[Effective_Week],71)</f>
        <v/>
      </c>
      <c r="BU52">
        <f>SUMIFS(T_Shipments[Confirmed_Qty],T_Shipments[RM_Code],$A52,T_Shipments[Effective_Week],72)</f>
        <v/>
      </c>
      <c r="BV52">
        <f>SUMIFS(T_Shipments[Confirmed_Qty],T_Shipments[RM_Code],$A52,T_Shipments[Effective_Week],73)</f>
        <v/>
      </c>
      <c r="BW52">
        <f>SUMIFS(T_Shipments[Confirmed_Qty],T_Shipments[RM_Code],$A52,T_Shipments[Effective_Week],74)</f>
        <v/>
      </c>
      <c r="BX52">
        <f>SUMIFS(T_Shipments[Confirmed_Qty],T_Shipments[RM_Code],$A52,T_Shipments[Effective_Week],75)</f>
        <v/>
      </c>
      <c r="BY52">
        <f>SUMIFS(T_Shipments[Confirmed_Qty],T_Shipments[RM_Code],$A52,T_Shipments[Effective_Week],76)</f>
        <v/>
      </c>
      <c r="BZ52">
        <f>SUMIFS(T_Shipments[Confirmed_Qty],T_Shipments[RM_Code],$A52,T_Shipments[Effective_Week],77)</f>
        <v/>
      </c>
      <c r="CA52">
        <f>SUMIFS(T_Shipments[Confirmed_Qty],T_Shipments[RM_Code],$A52,T_Shipments[Effective_Week],78)</f>
        <v/>
      </c>
      <c r="CB52">
        <f>SUMIFS(T_Shipments[Confirmed_Qty],T_Shipments[RM_Code],$A52,T_Shipments[Effective_Week],79)</f>
        <v/>
      </c>
      <c r="CC52">
        <f>SUMIFS(T_Shipments[Confirmed_Qty],T_Shipments[RM_Code],$A52,T_Shipments[Effective_Week],80)</f>
        <v/>
      </c>
      <c r="CD52">
        <f>SUMIFS(T_Shipments[Confirmed_Qty],T_Shipments[RM_Code],$A52,T_Shipments[Effective_Week],81)</f>
        <v/>
      </c>
      <c r="CE52">
        <f>SUMIFS(T_Shipments[Confirmed_Qty],T_Shipments[RM_Code],$A52,T_Shipments[Effective_Week],82)</f>
        <v/>
      </c>
      <c r="CF52">
        <f>SUMIFS(T_Shipments[Confirmed_Qty],T_Shipments[RM_Code],$A52,T_Shipments[Effective_Week],83)</f>
        <v/>
      </c>
      <c r="CG52">
        <f>SUMIFS(T_Shipments[Confirmed_Qty],T_Shipments[RM_Code],$A52,T_Shipments[Effective_Week],84)</f>
        <v/>
      </c>
      <c r="CH52">
        <f>SUMIFS(T_Shipments[Confirmed_Qty],T_Shipments[RM_Code],$A52,T_Shipments[Effective_Week],85)</f>
        <v/>
      </c>
      <c r="CI52">
        <f>SUMIFS(T_Shipments[Confirmed_Qty],T_Shipments[RM_Code],$A52,T_Shipments[Effective_Week],86)</f>
        <v/>
      </c>
      <c r="CJ52">
        <f>SUMIFS(T_Shipments[Confirmed_Qty],T_Shipments[RM_Code],$A52,T_Shipments[Effective_Week],87)</f>
        <v/>
      </c>
      <c r="CK52">
        <f>SUMIFS(T_Shipments[Confirmed_Qty],T_Shipments[RM_Code],$A52,T_Shipments[Effective_Week],88)</f>
        <v/>
      </c>
      <c r="CL52">
        <f>SUMIFS(T_Shipments[Confirmed_Qty],T_Shipments[RM_Code],$A52,T_Shipments[Effective_Week],89)</f>
        <v/>
      </c>
      <c r="CM52">
        <f>SUMIFS(T_Shipments[Confirmed_Qty],T_Shipments[RM_Code],$A52,T_Shipments[Effective_Week],90)</f>
        <v/>
      </c>
      <c r="CN52">
        <f>SUMIFS(T_Shipments[Confirmed_Qty],T_Shipments[RM_Code],$A52,T_Shipments[Effective_Week],91)</f>
        <v/>
      </c>
      <c r="CO52">
        <f>SUMIFS(T_Shipments[Confirmed_Qty],T_Shipments[RM_Code],$A52,T_Shipments[Effective_Week],92)</f>
        <v/>
      </c>
      <c r="CP52">
        <f>SUMIFS(T_Shipments[Confirmed_Qty],T_Shipments[RM_Code],$A52,T_Shipments[Effective_Week],93)</f>
        <v/>
      </c>
      <c r="CQ52">
        <f>SUMIFS(T_Shipments[Confirmed_Qty],T_Shipments[RM_Code],$A52,T_Shipments[Effective_Week],94)</f>
        <v/>
      </c>
      <c r="CR52">
        <f>SUMIFS(T_Shipments[Confirmed_Qty],T_Shipments[RM_Code],$A52,T_Shipments[Effective_Week],95)</f>
        <v/>
      </c>
      <c r="CS52">
        <f>SUMIFS(T_Shipments[Confirmed_Qty],T_Shipments[RM_Code],$A52,T_Shipments[Effective_Week],96)</f>
        <v/>
      </c>
      <c r="CT52">
        <f>SUMIFS(T_Shipments[Confirmed_Qty],T_Shipments[RM_Code],$A52,T_Shipments[Effective_Week],97)</f>
        <v/>
      </c>
      <c r="CU52">
        <f>SUMIFS(T_Shipments[Confirmed_Qty],T_Shipments[RM_Code],$A52,T_Shipments[Effective_Week],98)</f>
        <v/>
      </c>
      <c r="CV52">
        <f>SUMIFS(T_Shipments[Confirmed_Qty],T_Shipments[RM_Code],$A52,T_Shipments[Effective_Week],99)</f>
        <v/>
      </c>
      <c r="CW52">
        <f>SUMIFS(T_Shipments[Confirmed_Qty],T_Shipments[RM_Code],$A52,T_Shipments[Effective_Week],100)</f>
        <v/>
      </c>
      <c r="CX52">
        <f>SUMIFS(T_Shipments[Confirmed_Qty],T_Shipments[RM_Code],$A52,T_Shipments[Effective_Week],101)</f>
        <v/>
      </c>
      <c r="CY52">
        <f>SUMIFS(T_Shipments[Confirmed_Qty],T_Shipments[RM_Code],$A52,T_Shipments[Effective_Week],102)</f>
        <v/>
      </c>
      <c r="CZ52">
        <f>SUMIFS(T_Shipments[Confirmed_Qty],T_Shipments[RM_Code],$A52,T_Shipments[Effective_Week],103)</f>
        <v/>
      </c>
      <c r="DA52">
        <f>SUMIFS(T_Shipments[Confirmed_Qty],T_Shipments[RM_Code],$A52,T_Shipments[Effective_Week],104)</f>
        <v/>
      </c>
    </row>
    <row r="53">
      <c r="A53" t="inlineStr">
        <is>
          <t>CHEM-1580</t>
        </is>
      </c>
      <c r="B53">
        <f>SUMIFS(T_Shipments[Confirmed_Qty],T_Shipments[RM_Code],$A53,T_Shipments[Effective_Week],1)</f>
        <v/>
      </c>
      <c r="C53">
        <f>SUMIFS(T_Shipments[Confirmed_Qty],T_Shipments[RM_Code],$A53,T_Shipments[Effective_Week],2)</f>
        <v/>
      </c>
      <c r="D53">
        <f>SUMIFS(T_Shipments[Confirmed_Qty],T_Shipments[RM_Code],$A53,T_Shipments[Effective_Week],3)</f>
        <v/>
      </c>
      <c r="E53">
        <f>SUMIFS(T_Shipments[Confirmed_Qty],T_Shipments[RM_Code],$A53,T_Shipments[Effective_Week],4)</f>
        <v/>
      </c>
      <c r="F53">
        <f>SUMIFS(T_Shipments[Confirmed_Qty],T_Shipments[RM_Code],$A53,T_Shipments[Effective_Week],5)</f>
        <v/>
      </c>
      <c r="G53">
        <f>SUMIFS(T_Shipments[Confirmed_Qty],T_Shipments[RM_Code],$A53,T_Shipments[Effective_Week],6)</f>
        <v/>
      </c>
      <c r="H53">
        <f>SUMIFS(T_Shipments[Confirmed_Qty],T_Shipments[RM_Code],$A53,T_Shipments[Effective_Week],7)</f>
        <v/>
      </c>
      <c r="I53">
        <f>SUMIFS(T_Shipments[Confirmed_Qty],T_Shipments[RM_Code],$A53,T_Shipments[Effective_Week],8)</f>
        <v/>
      </c>
      <c r="J53">
        <f>SUMIFS(T_Shipments[Confirmed_Qty],T_Shipments[RM_Code],$A53,T_Shipments[Effective_Week],9)</f>
        <v/>
      </c>
      <c r="K53">
        <f>SUMIFS(T_Shipments[Confirmed_Qty],T_Shipments[RM_Code],$A53,T_Shipments[Effective_Week],10)</f>
        <v/>
      </c>
      <c r="L53">
        <f>SUMIFS(T_Shipments[Confirmed_Qty],T_Shipments[RM_Code],$A53,T_Shipments[Effective_Week],11)</f>
        <v/>
      </c>
      <c r="M53">
        <f>SUMIFS(T_Shipments[Confirmed_Qty],T_Shipments[RM_Code],$A53,T_Shipments[Effective_Week],12)</f>
        <v/>
      </c>
      <c r="N53">
        <f>SUMIFS(T_Shipments[Confirmed_Qty],T_Shipments[RM_Code],$A53,T_Shipments[Effective_Week],13)</f>
        <v/>
      </c>
      <c r="O53">
        <f>SUMIFS(T_Shipments[Confirmed_Qty],T_Shipments[RM_Code],$A53,T_Shipments[Effective_Week],14)</f>
        <v/>
      </c>
      <c r="P53">
        <f>SUMIFS(T_Shipments[Confirmed_Qty],T_Shipments[RM_Code],$A53,T_Shipments[Effective_Week],15)</f>
        <v/>
      </c>
      <c r="Q53">
        <f>SUMIFS(T_Shipments[Confirmed_Qty],T_Shipments[RM_Code],$A53,T_Shipments[Effective_Week],16)</f>
        <v/>
      </c>
      <c r="R53">
        <f>SUMIFS(T_Shipments[Confirmed_Qty],T_Shipments[RM_Code],$A53,T_Shipments[Effective_Week],17)</f>
        <v/>
      </c>
      <c r="S53">
        <f>SUMIFS(T_Shipments[Confirmed_Qty],T_Shipments[RM_Code],$A53,T_Shipments[Effective_Week],18)</f>
        <v/>
      </c>
      <c r="T53">
        <f>SUMIFS(T_Shipments[Confirmed_Qty],T_Shipments[RM_Code],$A53,T_Shipments[Effective_Week],19)</f>
        <v/>
      </c>
      <c r="U53">
        <f>SUMIFS(T_Shipments[Confirmed_Qty],T_Shipments[RM_Code],$A53,T_Shipments[Effective_Week],20)</f>
        <v/>
      </c>
      <c r="V53">
        <f>SUMIFS(T_Shipments[Confirmed_Qty],T_Shipments[RM_Code],$A53,T_Shipments[Effective_Week],21)</f>
        <v/>
      </c>
      <c r="W53">
        <f>SUMIFS(T_Shipments[Confirmed_Qty],T_Shipments[RM_Code],$A53,T_Shipments[Effective_Week],22)</f>
        <v/>
      </c>
      <c r="X53">
        <f>SUMIFS(T_Shipments[Confirmed_Qty],T_Shipments[RM_Code],$A53,T_Shipments[Effective_Week],23)</f>
        <v/>
      </c>
      <c r="Y53">
        <f>SUMIFS(T_Shipments[Confirmed_Qty],T_Shipments[RM_Code],$A53,T_Shipments[Effective_Week],24)</f>
        <v/>
      </c>
      <c r="Z53">
        <f>SUMIFS(T_Shipments[Confirmed_Qty],T_Shipments[RM_Code],$A53,T_Shipments[Effective_Week],25)</f>
        <v/>
      </c>
      <c r="AA53">
        <f>SUMIFS(T_Shipments[Confirmed_Qty],T_Shipments[RM_Code],$A53,T_Shipments[Effective_Week],26)</f>
        <v/>
      </c>
      <c r="AB53">
        <f>SUMIFS(T_Shipments[Confirmed_Qty],T_Shipments[RM_Code],$A53,T_Shipments[Effective_Week],27)</f>
        <v/>
      </c>
      <c r="AC53">
        <f>SUMIFS(T_Shipments[Confirmed_Qty],T_Shipments[RM_Code],$A53,T_Shipments[Effective_Week],28)</f>
        <v/>
      </c>
      <c r="AD53">
        <f>SUMIFS(T_Shipments[Confirmed_Qty],T_Shipments[RM_Code],$A53,T_Shipments[Effective_Week],29)</f>
        <v/>
      </c>
      <c r="AE53">
        <f>SUMIFS(T_Shipments[Confirmed_Qty],T_Shipments[RM_Code],$A53,T_Shipments[Effective_Week],30)</f>
        <v/>
      </c>
      <c r="AF53">
        <f>SUMIFS(T_Shipments[Confirmed_Qty],T_Shipments[RM_Code],$A53,T_Shipments[Effective_Week],31)</f>
        <v/>
      </c>
      <c r="AG53">
        <f>SUMIFS(T_Shipments[Confirmed_Qty],T_Shipments[RM_Code],$A53,T_Shipments[Effective_Week],32)</f>
        <v/>
      </c>
      <c r="AH53">
        <f>SUMIFS(T_Shipments[Confirmed_Qty],T_Shipments[RM_Code],$A53,T_Shipments[Effective_Week],33)</f>
        <v/>
      </c>
      <c r="AI53">
        <f>SUMIFS(T_Shipments[Confirmed_Qty],T_Shipments[RM_Code],$A53,T_Shipments[Effective_Week],34)</f>
        <v/>
      </c>
      <c r="AJ53">
        <f>SUMIFS(T_Shipments[Confirmed_Qty],T_Shipments[RM_Code],$A53,T_Shipments[Effective_Week],35)</f>
        <v/>
      </c>
      <c r="AK53">
        <f>SUMIFS(T_Shipments[Confirmed_Qty],T_Shipments[RM_Code],$A53,T_Shipments[Effective_Week],36)</f>
        <v/>
      </c>
      <c r="AL53">
        <f>SUMIFS(T_Shipments[Confirmed_Qty],T_Shipments[RM_Code],$A53,T_Shipments[Effective_Week],37)</f>
        <v/>
      </c>
      <c r="AM53">
        <f>SUMIFS(T_Shipments[Confirmed_Qty],T_Shipments[RM_Code],$A53,T_Shipments[Effective_Week],38)</f>
        <v/>
      </c>
      <c r="AN53">
        <f>SUMIFS(T_Shipments[Confirmed_Qty],T_Shipments[RM_Code],$A53,T_Shipments[Effective_Week],39)</f>
        <v/>
      </c>
      <c r="AO53">
        <f>SUMIFS(T_Shipments[Confirmed_Qty],T_Shipments[RM_Code],$A53,T_Shipments[Effective_Week],40)</f>
        <v/>
      </c>
      <c r="AP53">
        <f>SUMIFS(T_Shipments[Confirmed_Qty],T_Shipments[RM_Code],$A53,T_Shipments[Effective_Week],41)</f>
        <v/>
      </c>
      <c r="AQ53">
        <f>SUMIFS(T_Shipments[Confirmed_Qty],T_Shipments[RM_Code],$A53,T_Shipments[Effective_Week],42)</f>
        <v/>
      </c>
      <c r="AR53">
        <f>SUMIFS(T_Shipments[Confirmed_Qty],T_Shipments[RM_Code],$A53,T_Shipments[Effective_Week],43)</f>
        <v/>
      </c>
      <c r="AS53">
        <f>SUMIFS(T_Shipments[Confirmed_Qty],T_Shipments[RM_Code],$A53,T_Shipments[Effective_Week],44)</f>
        <v/>
      </c>
      <c r="AT53">
        <f>SUMIFS(T_Shipments[Confirmed_Qty],T_Shipments[RM_Code],$A53,T_Shipments[Effective_Week],45)</f>
        <v/>
      </c>
      <c r="AU53">
        <f>SUMIFS(T_Shipments[Confirmed_Qty],T_Shipments[RM_Code],$A53,T_Shipments[Effective_Week],46)</f>
        <v/>
      </c>
      <c r="AV53">
        <f>SUMIFS(T_Shipments[Confirmed_Qty],T_Shipments[RM_Code],$A53,T_Shipments[Effective_Week],47)</f>
        <v/>
      </c>
      <c r="AW53">
        <f>SUMIFS(T_Shipments[Confirmed_Qty],T_Shipments[RM_Code],$A53,T_Shipments[Effective_Week],48)</f>
        <v/>
      </c>
      <c r="AX53">
        <f>SUMIFS(T_Shipments[Confirmed_Qty],T_Shipments[RM_Code],$A53,T_Shipments[Effective_Week],49)</f>
        <v/>
      </c>
      <c r="AY53">
        <f>SUMIFS(T_Shipments[Confirmed_Qty],T_Shipments[RM_Code],$A53,T_Shipments[Effective_Week],50)</f>
        <v/>
      </c>
      <c r="AZ53">
        <f>SUMIFS(T_Shipments[Confirmed_Qty],T_Shipments[RM_Code],$A53,T_Shipments[Effective_Week],51)</f>
        <v/>
      </c>
      <c r="BA53">
        <f>SUMIFS(T_Shipments[Confirmed_Qty],T_Shipments[RM_Code],$A53,T_Shipments[Effective_Week],52)</f>
        <v/>
      </c>
      <c r="BB53">
        <f>SUMIFS(T_Shipments[Confirmed_Qty],T_Shipments[RM_Code],$A53,T_Shipments[Effective_Week],53)</f>
        <v/>
      </c>
      <c r="BC53">
        <f>SUMIFS(T_Shipments[Confirmed_Qty],T_Shipments[RM_Code],$A53,T_Shipments[Effective_Week],54)</f>
        <v/>
      </c>
      <c r="BD53">
        <f>SUMIFS(T_Shipments[Confirmed_Qty],T_Shipments[RM_Code],$A53,T_Shipments[Effective_Week],55)</f>
        <v/>
      </c>
      <c r="BE53">
        <f>SUMIFS(T_Shipments[Confirmed_Qty],T_Shipments[RM_Code],$A53,T_Shipments[Effective_Week],56)</f>
        <v/>
      </c>
      <c r="BF53">
        <f>SUMIFS(T_Shipments[Confirmed_Qty],T_Shipments[RM_Code],$A53,T_Shipments[Effective_Week],57)</f>
        <v/>
      </c>
      <c r="BG53">
        <f>SUMIFS(T_Shipments[Confirmed_Qty],T_Shipments[RM_Code],$A53,T_Shipments[Effective_Week],58)</f>
        <v/>
      </c>
      <c r="BH53">
        <f>SUMIFS(T_Shipments[Confirmed_Qty],T_Shipments[RM_Code],$A53,T_Shipments[Effective_Week],59)</f>
        <v/>
      </c>
      <c r="BI53">
        <f>SUMIFS(T_Shipments[Confirmed_Qty],T_Shipments[RM_Code],$A53,T_Shipments[Effective_Week],60)</f>
        <v/>
      </c>
      <c r="BJ53">
        <f>SUMIFS(T_Shipments[Confirmed_Qty],T_Shipments[RM_Code],$A53,T_Shipments[Effective_Week],61)</f>
        <v/>
      </c>
      <c r="BK53">
        <f>SUMIFS(T_Shipments[Confirmed_Qty],T_Shipments[RM_Code],$A53,T_Shipments[Effective_Week],62)</f>
        <v/>
      </c>
      <c r="BL53">
        <f>SUMIFS(T_Shipments[Confirmed_Qty],T_Shipments[RM_Code],$A53,T_Shipments[Effective_Week],63)</f>
        <v/>
      </c>
      <c r="BM53">
        <f>SUMIFS(T_Shipments[Confirmed_Qty],T_Shipments[RM_Code],$A53,T_Shipments[Effective_Week],64)</f>
        <v/>
      </c>
      <c r="BN53">
        <f>SUMIFS(T_Shipments[Confirmed_Qty],T_Shipments[RM_Code],$A53,T_Shipments[Effective_Week],65)</f>
        <v/>
      </c>
      <c r="BO53">
        <f>SUMIFS(T_Shipments[Confirmed_Qty],T_Shipments[RM_Code],$A53,T_Shipments[Effective_Week],66)</f>
        <v/>
      </c>
      <c r="BP53">
        <f>SUMIFS(T_Shipments[Confirmed_Qty],T_Shipments[RM_Code],$A53,T_Shipments[Effective_Week],67)</f>
        <v/>
      </c>
      <c r="BQ53">
        <f>SUMIFS(T_Shipments[Confirmed_Qty],T_Shipments[RM_Code],$A53,T_Shipments[Effective_Week],68)</f>
        <v/>
      </c>
      <c r="BR53">
        <f>SUMIFS(T_Shipments[Confirmed_Qty],T_Shipments[RM_Code],$A53,T_Shipments[Effective_Week],69)</f>
        <v/>
      </c>
      <c r="BS53">
        <f>SUMIFS(T_Shipments[Confirmed_Qty],T_Shipments[RM_Code],$A53,T_Shipments[Effective_Week],70)</f>
        <v/>
      </c>
      <c r="BT53">
        <f>SUMIFS(T_Shipments[Confirmed_Qty],T_Shipments[RM_Code],$A53,T_Shipments[Effective_Week],71)</f>
        <v/>
      </c>
      <c r="BU53">
        <f>SUMIFS(T_Shipments[Confirmed_Qty],T_Shipments[RM_Code],$A53,T_Shipments[Effective_Week],72)</f>
        <v/>
      </c>
      <c r="BV53">
        <f>SUMIFS(T_Shipments[Confirmed_Qty],T_Shipments[RM_Code],$A53,T_Shipments[Effective_Week],73)</f>
        <v/>
      </c>
      <c r="BW53">
        <f>SUMIFS(T_Shipments[Confirmed_Qty],T_Shipments[RM_Code],$A53,T_Shipments[Effective_Week],74)</f>
        <v/>
      </c>
      <c r="BX53">
        <f>SUMIFS(T_Shipments[Confirmed_Qty],T_Shipments[RM_Code],$A53,T_Shipments[Effective_Week],75)</f>
        <v/>
      </c>
      <c r="BY53">
        <f>SUMIFS(T_Shipments[Confirmed_Qty],T_Shipments[RM_Code],$A53,T_Shipments[Effective_Week],76)</f>
        <v/>
      </c>
      <c r="BZ53">
        <f>SUMIFS(T_Shipments[Confirmed_Qty],T_Shipments[RM_Code],$A53,T_Shipments[Effective_Week],77)</f>
        <v/>
      </c>
      <c r="CA53">
        <f>SUMIFS(T_Shipments[Confirmed_Qty],T_Shipments[RM_Code],$A53,T_Shipments[Effective_Week],78)</f>
        <v/>
      </c>
      <c r="CB53">
        <f>SUMIFS(T_Shipments[Confirmed_Qty],T_Shipments[RM_Code],$A53,T_Shipments[Effective_Week],79)</f>
        <v/>
      </c>
      <c r="CC53">
        <f>SUMIFS(T_Shipments[Confirmed_Qty],T_Shipments[RM_Code],$A53,T_Shipments[Effective_Week],80)</f>
        <v/>
      </c>
      <c r="CD53">
        <f>SUMIFS(T_Shipments[Confirmed_Qty],T_Shipments[RM_Code],$A53,T_Shipments[Effective_Week],81)</f>
        <v/>
      </c>
      <c r="CE53">
        <f>SUMIFS(T_Shipments[Confirmed_Qty],T_Shipments[RM_Code],$A53,T_Shipments[Effective_Week],82)</f>
        <v/>
      </c>
      <c r="CF53">
        <f>SUMIFS(T_Shipments[Confirmed_Qty],T_Shipments[RM_Code],$A53,T_Shipments[Effective_Week],83)</f>
        <v/>
      </c>
      <c r="CG53">
        <f>SUMIFS(T_Shipments[Confirmed_Qty],T_Shipments[RM_Code],$A53,T_Shipments[Effective_Week],84)</f>
        <v/>
      </c>
      <c r="CH53">
        <f>SUMIFS(T_Shipments[Confirmed_Qty],T_Shipments[RM_Code],$A53,T_Shipments[Effective_Week],85)</f>
        <v/>
      </c>
      <c r="CI53">
        <f>SUMIFS(T_Shipments[Confirmed_Qty],T_Shipments[RM_Code],$A53,T_Shipments[Effective_Week],86)</f>
        <v/>
      </c>
      <c r="CJ53">
        <f>SUMIFS(T_Shipments[Confirmed_Qty],T_Shipments[RM_Code],$A53,T_Shipments[Effective_Week],87)</f>
        <v/>
      </c>
      <c r="CK53">
        <f>SUMIFS(T_Shipments[Confirmed_Qty],T_Shipments[RM_Code],$A53,T_Shipments[Effective_Week],88)</f>
        <v/>
      </c>
      <c r="CL53">
        <f>SUMIFS(T_Shipments[Confirmed_Qty],T_Shipments[RM_Code],$A53,T_Shipments[Effective_Week],89)</f>
        <v/>
      </c>
      <c r="CM53">
        <f>SUMIFS(T_Shipments[Confirmed_Qty],T_Shipments[RM_Code],$A53,T_Shipments[Effective_Week],90)</f>
        <v/>
      </c>
      <c r="CN53">
        <f>SUMIFS(T_Shipments[Confirmed_Qty],T_Shipments[RM_Code],$A53,T_Shipments[Effective_Week],91)</f>
        <v/>
      </c>
      <c r="CO53">
        <f>SUMIFS(T_Shipments[Confirmed_Qty],T_Shipments[RM_Code],$A53,T_Shipments[Effective_Week],92)</f>
        <v/>
      </c>
      <c r="CP53">
        <f>SUMIFS(T_Shipments[Confirmed_Qty],T_Shipments[RM_Code],$A53,T_Shipments[Effective_Week],93)</f>
        <v/>
      </c>
      <c r="CQ53">
        <f>SUMIFS(T_Shipments[Confirmed_Qty],T_Shipments[RM_Code],$A53,T_Shipments[Effective_Week],94)</f>
        <v/>
      </c>
      <c r="CR53">
        <f>SUMIFS(T_Shipments[Confirmed_Qty],T_Shipments[RM_Code],$A53,T_Shipments[Effective_Week],95)</f>
        <v/>
      </c>
      <c r="CS53">
        <f>SUMIFS(T_Shipments[Confirmed_Qty],T_Shipments[RM_Code],$A53,T_Shipments[Effective_Week],96)</f>
        <v/>
      </c>
      <c r="CT53">
        <f>SUMIFS(T_Shipments[Confirmed_Qty],T_Shipments[RM_Code],$A53,T_Shipments[Effective_Week],97)</f>
        <v/>
      </c>
      <c r="CU53">
        <f>SUMIFS(T_Shipments[Confirmed_Qty],T_Shipments[RM_Code],$A53,T_Shipments[Effective_Week],98)</f>
        <v/>
      </c>
      <c r="CV53">
        <f>SUMIFS(T_Shipments[Confirmed_Qty],T_Shipments[RM_Code],$A53,T_Shipments[Effective_Week],99)</f>
        <v/>
      </c>
      <c r="CW53">
        <f>SUMIFS(T_Shipments[Confirmed_Qty],T_Shipments[RM_Code],$A53,T_Shipments[Effective_Week],100)</f>
        <v/>
      </c>
      <c r="CX53">
        <f>SUMIFS(T_Shipments[Confirmed_Qty],T_Shipments[RM_Code],$A53,T_Shipments[Effective_Week],101)</f>
        <v/>
      </c>
      <c r="CY53">
        <f>SUMIFS(T_Shipments[Confirmed_Qty],T_Shipments[RM_Code],$A53,T_Shipments[Effective_Week],102)</f>
        <v/>
      </c>
      <c r="CZ53">
        <f>SUMIFS(T_Shipments[Confirmed_Qty],T_Shipments[RM_Code],$A53,T_Shipments[Effective_Week],103)</f>
        <v/>
      </c>
      <c r="DA53">
        <f>SUMIFS(T_Shipments[Confirmed_Qty],T_Shipments[RM_Code],$A53,T_Shipments[Effective_Week],104)</f>
        <v/>
      </c>
    </row>
    <row r="54">
      <c r="A54" t="inlineStr">
        <is>
          <t>CHEM-1550</t>
        </is>
      </c>
      <c r="B54">
        <f>SUMIFS(T_Shipments[Confirmed_Qty],T_Shipments[RM_Code],$A54,T_Shipments[Effective_Week],1)</f>
        <v/>
      </c>
      <c r="C54">
        <f>SUMIFS(T_Shipments[Confirmed_Qty],T_Shipments[RM_Code],$A54,T_Shipments[Effective_Week],2)</f>
        <v/>
      </c>
      <c r="D54">
        <f>SUMIFS(T_Shipments[Confirmed_Qty],T_Shipments[RM_Code],$A54,T_Shipments[Effective_Week],3)</f>
        <v/>
      </c>
      <c r="E54">
        <f>SUMIFS(T_Shipments[Confirmed_Qty],T_Shipments[RM_Code],$A54,T_Shipments[Effective_Week],4)</f>
        <v/>
      </c>
      <c r="F54">
        <f>SUMIFS(T_Shipments[Confirmed_Qty],T_Shipments[RM_Code],$A54,T_Shipments[Effective_Week],5)</f>
        <v/>
      </c>
      <c r="G54">
        <f>SUMIFS(T_Shipments[Confirmed_Qty],T_Shipments[RM_Code],$A54,T_Shipments[Effective_Week],6)</f>
        <v/>
      </c>
      <c r="H54">
        <f>SUMIFS(T_Shipments[Confirmed_Qty],T_Shipments[RM_Code],$A54,T_Shipments[Effective_Week],7)</f>
        <v/>
      </c>
      <c r="I54">
        <f>SUMIFS(T_Shipments[Confirmed_Qty],T_Shipments[RM_Code],$A54,T_Shipments[Effective_Week],8)</f>
        <v/>
      </c>
      <c r="J54">
        <f>SUMIFS(T_Shipments[Confirmed_Qty],T_Shipments[RM_Code],$A54,T_Shipments[Effective_Week],9)</f>
        <v/>
      </c>
      <c r="K54">
        <f>SUMIFS(T_Shipments[Confirmed_Qty],T_Shipments[RM_Code],$A54,T_Shipments[Effective_Week],10)</f>
        <v/>
      </c>
      <c r="L54">
        <f>SUMIFS(T_Shipments[Confirmed_Qty],T_Shipments[RM_Code],$A54,T_Shipments[Effective_Week],11)</f>
        <v/>
      </c>
      <c r="M54">
        <f>SUMIFS(T_Shipments[Confirmed_Qty],T_Shipments[RM_Code],$A54,T_Shipments[Effective_Week],12)</f>
        <v/>
      </c>
      <c r="N54">
        <f>SUMIFS(T_Shipments[Confirmed_Qty],T_Shipments[RM_Code],$A54,T_Shipments[Effective_Week],13)</f>
        <v/>
      </c>
      <c r="O54">
        <f>SUMIFS(T_Shipments[Confirmed_Qty],T_Shipments[RM_Code],$A54,T_Shipments[Effective_Week],14)</f>
        <v/>
      </c>
      <c r="P54">
        <f>SUMIFS(T_Shipments[Confirmed_Qty],T_Shipments[RM_Code],$A54,T_Shipments[Effective_Week],15)</f>
        <v/>
      </c>
      <c r="Q54">
        <f>SUMIFS(T_Shipments[Confirmed_Qty],T_Shipments[RM_Code],$A54,T_Shipments[Effective_Week],16)</f>
        <v/>
      </c>
      <c r="R54">
        <f>SUMIFS(T_Shipments[Confirmed_Qty],T_Shipments[RM_Code],$A54,T_Shipments[Effective_Week],17)</f>
        <v/>
      </c>
      <c r="S54">
        <f>SUMIFS(T_Shipments[Confirmed_Qty],T_Shipments[RM_Code],$A54,T_Shipments[Effective_Week],18)</f>
        <v/>
      </c>
      <c r="T54">
        <f>SUMIFS(T_Shipments[Confirmed_Qty],T_Shipments[RM_Code],$A54,T_Shipments[Effective_Week],19)</f>
        <v/>
      </c>
      <c r="U54">
        <f>SUMIFS(T_Shipments[Confirmed_Qty],T_Shipments[RM_Code],$A54,T_Shipments[Effective_Week],20)</f>
        <v/>
      </c>
      <c r="V54">
        <f>SUMIFS(T_Shipments[Confirmed_Qty],T_Shipments[RM_Code],$A54,T_Shipments[Effective_Week],21)</f>
        <v/>
      </c>
      <c r="W54">
        <f>SUMIFS(T_Shipments[Confirmed_Qty],T_Shipments[RM_Code],$A54,T_Shipments[Effective_Week],22)</f>
        <v/>
      </c>
      <c r="X54">
        <f>SUMIFS(T_Shipments[Confirmed_Qty],T_Shipments[RM_Code],$A54,T_Shipments[Effective_Week],23)</f>
        <v/>
      </c>
      <c r="Y54">
        <f>SUMIFS(T_Shipments[Confirmed_Qty],T_Shipments[RM_Code],$A54,T_Shipments[Effective_Week],24)</f>
        <v/>
      </c>
      <c r="Z54">
        <f>SUMIFS(T_Shipments[Confirmed_Qty],T_Shipments[RM_Code],$A54,T_Shipments[Effective_Week],25)</f>
        <v/>
      </c>
      <c r="AA54">
        <f>SUMIFS(T_Shipments[Confirmed_Qty],T_Shipments[RM_Code],$A54,T_Shipments[Effective_Week],26)</f>
        <v/>
      </c>
      <c r="AB54">
        <f>SUMIFS(T_Shipments[Confirmed_Qty],T_Shipments[RM_Code],$A54,T_Shipments[Effective_Week],27)</f>
        <v/>
      </c>
      <c r="AC54">
        <f>SUMIFS(T_Shipments[Confirmed_Qty],T_Shipments[RM_Code],$A54,T_Shipments[Effective_Week],28)</f>
        <v/>
      </c>
      <c r="AD54">
        <f>SUMIFS(T_Shipments[Confirmed_Qty],T_Shipments[RM_Code],$A54,T_Shipments[Effective_Week],29)</f>
        <v/>
      </c>
      <c r="AE54">
        <f>SUMIFS(T_Shipments[Confirmed_Qty],T_Shipments[RM_Code],$A54,T_Shipments[Effective_Week],30)</f>
        <v/>
      </c>
      <c r="AF54">
        <f>SUMIFS(T_Shipments[Confirmed_Qty],T_Shipments[RM_Code],$A54,T_Shipments[Effective_Week],31)</f>
        <v/>
      </c>
      <c r="AG54">
        <f>SUMIFS(T_Shipments[Confirmed_Qty],T_Shipments[RM_Code],$A54,T_Shipments[Effective_Week],32)</f>
        <v/>
      </c>
      <c r="AH54">
        <f>SUMIFS(T_Shipments[Confirmed_Qty],T_Shipments[RM_Code],$A54,T_Shipments[Effective_Week],33)</f>
        <v/>
      </c>
      <c r="AI54">
        <f>SUMIFS(T_Shipments[Confirmed_Qty],T_Shipments[RM_Code],$A54,T_Shipments[Effective_Week],34)</f>
        <v/>
      </c>
      <c r="AJ54">
        <f>SUMIFS(T_Shipments[Confirmed_Qty],T_Shipments[RM_Code],$A54,T_Shipments[Effective_Week],35)</f>
        <v/>
      </c>
      <c r="AK54">
        <f>SUMIFS(T_Shipments[Confirmed_Qty],T_Shipments[RM_Code],$A54,T_Shipments[Effective_Week],36)</f>
        <v/>
      </c>
      <c r="AL54">
        <f>SUMIFS(T_Shipments[Confirmed_Qty],T_Shipments[RM_Code],$A54,T_Shipments[Effective_Week],37)</f>
        <v/>
      </c>
      <c r="AM54">
        <f>SUMIFS(T_Shipments[Confirmed_Qty],T_Shipments[RM_Code],$A54,T_Shipments[Effective_Week],38)</f>
        <v/>
      </c>
      <c r="AN54">
        <f>SUMIFS(T_Shipments[Confirmed_Qty],T_Shipments[RM_Code],$A54,T_Shipments[Effective_Week],39)</f>
        <v/>
      </c>
      <c r="AO54">
        <f>SUMIFS(T_Shipments[Confirmed_Qty],T_Shipments[RM_Code],$A54,T_Shipments[Effective_Week],40)</f>
        <v/>
      </c>
      <c r="AP54">
        <f>SUMIFS(T_Shipments[Confirmed_Qty],T_Shipments[RM_Code],$A54,T_Shipments[Effective_Week],41)</f>
        <v/>
      </c>
      <c r="AQ54">
        <f>SUMIFS(T_Shipments[Confirmed_Qty],T_Shipments[RM_Code],$A54,T_Shipments[Effective_Week],42)</f>
        <v/>
      </c>
      <c r="AR54">
        <f>SUMIFS(T_Shipments[Confirmed_Qty],T_Shipments[RM_Code],$A54,T_Shipments[Effective_Week],43)</f>
        <v/>
      </c>
      <c r="AS54">
        <f>SUMIFS(T_Shipments[Confirmed_Qty],T_Shipments[RM_Code],$A54,T_Shipments[Effective_Week],44)</f>
        <v/>
      </c>
      <c r="AT54">
        <f>SUMIFS(T_Shipments[Confirmed_Qty],T_Shipments[RM_Code],$A54,T_Shipments[Effective_Week],45)</f>
        <v/>
      </c>
      <c r="AU54">
        <f>SUMIFS(T_Shipments[Confirmed_Qty],T_Shipments[RM_Code],$A54,T_Shipments[Effective_Week],46)</f>
        <v/>
      </c>
      <c r="AV54">
        <f>SUMIFS(T_Shipments[Confirmed_Qty],T_Shipments[RM_Code],$A54,T_Shipments[Effective_Week],47)</f>
        <v/>
      </c>
      <c r="AW54">
        <f>SUMIFS(T_Shipments[Confirmed_Qty],T_Shipments[RM_Code],$A54,T_Shipments[Effective_Week],48)</f>
        <v/>
      </c>
      <c r="AX54">
        <f>SUMIFS(T_Shipments[Confirmed_Qty],T_Shipments[RM_Code],$A54,T_Shipments[Effective_Week],49)</f>
        <v/>
      </c>
      <c r="AY54">
        <f>SUMIFS(T_Shipments[Confirmed_Qty],T_Shipments[RM_Code],$A54,T_Shipments[Effective_Week],50)</f>
        <v/>
      </c>
      <c r="AZ54">
        <f>SUMIFS(T_Shipments[Confirmed_Qty],T_Shipments[RM_Code],$A54,T_Shipments[Effective_Week],51)</f>
        <v/>
      </c>
      <c r="BA54">
        <f>SUMIFS(T_Shipments[Confirmed_Qty],T_Shipments[RM_Code],$A54,T_Shipments[Effective_Week],52)</f>
        <v/>
      </c>
      <c r="BB54">
        <f>SUMIFS(T_Shipments[Confirmed_Qty],T_Shipments[RM_Code],$A54,T_Shipments[Effective_Week],53)</f>
        <v/>
      </c>
      <c r="BC54">
        <f>SUMIFS(T_Shipments[Confirmed_Qty],T_Shipments[RM_Code],$A54,T_Shipments[Effective_Week],54)</f>
        <v/>
      </c>
      <c r="BD54">
        <f>SUMIFS(T_Shipments[Confirmed_Qty],T_Shipments[RM_Code],$A54,T_Shipments[Effective_Week],55)</f>
        <v/>
      </c>
      <c r="BE54">
        <f>SUMIFS(T_Shipments[Confirmed_Qty],T_Shipments[RM_Code],$A54,T_Shipments[Effective_Week],56)</f>
        <v/>
      </c>
      <c r="BF54">
        <f>SUMIFS(T_Shipments[Confirmed_Qty],T_Shipments[RM_Code],$A54,T_Shipments[Effective_Week],57)</f>
        <v/>
      </c>
      <c r="BG54">
        <f>SUMIFS(T_Shipments[Confirmed_Qty],T_Shipments[RM_Code],$A54,T_Shipments[Effective_Week],58)</f>
        <v/>
      </c>
      <c r="BH54">
        <f>SUMIFS(T_Shipments[Confirmed_Qty],T_Shipments[RM_Code],$A54,T_Shipments[Effective_Week],59)</f>
        <v/>
      </c>
      <c r="BI54">
        <f>SUMIFS(T_Shipments[Confirmed_Qty],T_Shipments[RM_Code],$A54,T_Shipments[Effective_Week],60)</f>
        <v/>
      </c>
      <c r="BJ54">
        <f>SUMIFS(T_Shipments[Confirmed_Qty],T_Shipments[RM_Code],$A54,T_Shipments[Effective_Week],61)</f>
        <v/>
      </c>
      <c r="BK54">
        <f>SUMIFS(T_Shipments[Confirmed_Qty],T_Shipments[RM_Code],$A54,T_Shipments[Effective_Week],62)</f>
        <v/>
      </c>
      <c r="BL54">
        <f>SUMIFS(T_Shipments[Confirmed_Qty],T_Shipments[RM_Code],$A54,T_Shipments[Effective_Week],63)</f>
        <v/>
      </c>
      <c r="BM54">
        <f>SUMIFS(T_Shipments[Confirmed_Qty],T_Shipments[RM_Code],$A54,T_Shipments[Effective_Week],64)</f>
        <v/>
      </c>
      <c r="BN54">
        <f>SUMIFS(T_Shipments[Confirmed_Qty],T_Shipments[RM_Code],$A54,T_Shipments[Effective_Week],65)</f>
        <v/>
      </c>
      <c r="BO54">
        <f>SUMIFS(T_Shipments[Confirmed_Qty],T_Shipments[RM_Code],$A54,T_Shipments[Effective_Week],66)</f>
        <v/>
      </c>
      <c r="BP54">
        <f>SUMIFS(T_Shipments[Confirmed_Qty],T_Shipments[RM_Code],$A54,T_Shipments[Effective_Week],67)</f>
        <v/>
      </c>
      <c r="BQ54">
        <f>SUMIFS(T_Shipments[Confirmed_Qty],T_Shipments[RM_Code],$A54,T_Shipments[Effective_Week],68)</f>
        <v/>
      </c>
      <c r="BR54">
        <f>SUMIFS(T_Shipments[Confirmed_Qty],T_Shipments[RM_Code],$A54,T_Shipments[Effective_Week],69)</f>
        <v/>
      </c>
      <c r="BS54">
        <f>SUMIFS(T_Shipments[Confirmed_Qty],T_Shipments[RM_Code],$A54,T_Shipments[Effective_Week],70)</f>
        <v/>
      </c>
      <c r="BT54">
        <f>SUMIFS(T_Shipments[Confirmed_Qty],T_Shipments[RM_Code],$A54,T_Shipments[Effective_Week],71)</f>
        <v/>
      </c>
      <c r="BU54">
        <f>SUMIFS(T_Shipments[Confirmed_Qty],T_Shipments[RM_Code],$A54,T_Shipments[Effective_Week],72)</f>
        <v/>
      </c>
      <c r="BV54">
        <f>SUMIFS(T_Shipments[Confirmed_Qty],T_Shipments[RM_Code],$A54,T_Shipments[Effective_Week],73)</f>
        <v/>
      </c>
      <c r="BW54">
        <f>SUMIFS(T_Shipments[Confirmed_Qty],T_Shipments[RM_Code],$A54,T_Shipments[Effective_Week],74)</f>
        <v/>
      </c>
      <c r="BX54">
        <f>SUMIFS(T_Shipments[Confirmed_Qty],T_Shipments[RM_Code],$A54,T_Shipments[Effective_Week],75)</f>
        <v/>
      </c>
      <c r="BY54">
        <f>SUMIFS(T_Shipments[Confirmed_Qty],T_Shipments[RM_Code],$A54,T_Shipments[Effective_Week],76)</f>
        <v/>
      </c>
      <c r="BZ54">
        <f>SUMIFS(T_Shipments[Confirmed_Qty],T_Shipments[RM_Code],$A54,T_Shipments[Effective_Week],77)</f>
        <v/>
      </c>
      <c r="CA54">
        <f>SUMIFS(T_Shipments[Confirmed_Qty],T_Shipments[RM_Code],$A54,T_Shipments[Effective_Week],78)</f>
        <v/>
      </c>
      <c r="CB54">
        <f>SUMIFS(T_Shipments[Confirmed_Qty],T_Shipments[RM_Code],$A54,T_Shipments[Effective_Week],79)</f>
        <v/>
      </c>
      <c r="CC54">
        <f>SUMIFS(T_Shipments[Confirmed_Qty],T_Shipments[RM_Code],$A54,T_Shipments[Effective_Week],80)</f>
        <v/>
      </c>
      <c r="CD54">
        <f>SUMIFS(T_Shipments[Confirmed_Qty],T_Shipments[RM_Code],$A54,T_Shipments[Effective_Week],81)</f>
        <v/>
      </c>
      <c r="CE54">
        <f>SUMIFS(T_Shipments[Confirmed_Qty],T_Shipments[RM_Code],$A54,T_Shipments[Effective_Week],82)</f>
        <v/>
      </c>
      <c r="CF54">
        <f>SUMIFS(T_Shipments[Confirmed_Qty],T_Shipments[RM_Code],$A54,T_Shipments[Effective_Week],83)</f>
        <v/>
      </c>
      <c r="CG54">
        <f>SUMIFS(T_Shipments[Confirmed_Qty],T_Shipments[RM_Code],$A54,T_Shipments[Effective_Week],84)</f>
        <v/>
      </c>
      <c r="CH54">
        <f>SUMIFS(T_Shipments[Confirmed_Qty],T_Shipments[RM_Code],$A54,T_Shipments[Effective_Week],85)</f>
        <v/>
      </c>
      <c r="CI54">
        <f>SUMIFS(T_Shipments[Confirmed_Qty],T_Shipments[RM_Code],$A54,T_Shipments[Effective_Week],86)</f>
        <v/>
      </c>
      <c r="CJ54">
        <f>SUMIFS(T_Shipments[Confirmed_Qty],T_Shipments[RM_Code],$A54,T_Shipments[Effective_Week],87)</f>
        <v/>
      </c>
      <c r="CK54">
        <f>SUMIFS(T_Shipments[Confirmed_Qty],T_Shipments[RM_Code],$A54,T_Shipments[Effective_Week],88)</f>
        <v/>
      </c>
      <c r="CL54">
        <f>SUMIFS(T_Shipments[Confirmed_Qty],T_Shipments[RM_Code],$A54,T_Shipments[Effective_Week],89)</f>
        <v/>
      </c>
      <c r="CM54">
        <f>SUMIFS(T_Shipments[Confirmed_Qty],T_Shipments[RM_Code],$A54,T_Shipments[Effective_Week],90)</f>
        <v/>
      </c>
      <c r="CN54">
        <f>SUMIFS(T_Shipments[Confirmed_Qty],T_Shipments[RM_Code],$A54,T_Shipments[Effective_Week],91)</f>
        <v/>
      </c>
      <c r="CO54">
        <f>SUMIFS(T_Shipments[Confirmed_Qty],T_Shipments[RM_Code],$A54,T_Shipments[Effective_Week],92)</f>
        <v/>
      </c>
      <c r="CP54">
        <f>SUMIFS(T_Shipments[Confirmed_Qty],T_Shipments[RM_Code],$A54,T_Shipments[Effective_Week],93)</f>
        <v/>
      </c>
      <c r="CQ54">
        <f>SUMIFS(T_Shipments[Confirmed_Qty],T_Shipments[RM_Code],$A54,T_Shipments[Effective_Week],94)</f>
        <v/>
      </c>
      <c r="CR54">
        <f>SUMIFS(T_Shipments[Confirmed_Qty],T_Shipments[RM_Code],$A54,T_Shipments[Effective_Week],95)</f>
        <v/>
      </c>
      <c r="CS54">
        <f>SUMIFS(T_Shipments[Confirmed_Qty],T_Shipments[RM_Code],$A54,T_Shipments[Effective_Week],96)</f>
        <v/>
      </c>
      <c r="CT54">
        <f>SUMIFS(T_Shipments[Confirmed_Qty],T_Shipments[RM_Code],$A54,T_Shipments[Effective_Week],97)</f>
        <v/>
      </c>
      <c r="CU54">
        <f>SUMIFS(T_Shipments[Confirmed_Qty],T_Shipments[RM_Code],$A54,T_Shipments[Effective_Week],98)</f>
        <v/>
      </c>
      <c r="CV54">
        <f>SUMIFS(T_Shipments[Confirmed_Qty],T_Shipments[RM_Code],$A54,T_Shipments[Effective_Week],99)</f>
        <v/>
      </c>
      <c r="CW54">
        <f>SUMIFS(T_Shipments[Confirmed_Qty],T_Shipments[RM_Code],$A54,T_Shipments[Effective_Week],100)</f>
        <v/>
      </c>
      <c r="CX54">
        <f>SUMIFS(T_Shipments[Confirmed_Qty],T_Shipments[RM_Code],$A54,T_Shipments[Effective_Week],101)</f>
        <v/>
      </c>
      <c r="CY54">
        <f>SUMIFS(T_Shipments[Confirmed_Qty],T_Shipments[RM_Code],$A54,T_Shipments[Effective_Week],102)</f>
        <v/>
      </c>
      <c r="CZ54">
        <f>SUMIFS(T_Shipments[Confirmed_Qty],T_Shipments[RM_Code],$A54,T_Shipments[Effective_Week],103)</f>
        <v/>
      </c>
      <c r="DA54">
        <f>SUMIFS(T_Shipments[Confirmed_Qty],T_Shipments[RM_Code],$A54,T_Shipments[Effective_Week],104)</f>
        <v/>
      </c>
    </row>
    <row r="55">
      <c r="A55" t="inlineStr">
        <is>
          <t>CHEM-1510</t>
        </is>
      </c>
      <c r="B55">
        <f>SUMIFS(T_Shipments[Confirmed_Qty],T_Shipments[RM_Code],$A55,T_Shipments[Effective_Week],1)</f>
        <v/>
      </c>
      <c r="C55">
        <f>SUMIFS(T_Shipments[Confirmed_Qty],T_Shipments[RM_Code],$A55,T_Shipments[Effective_Week],2)</f>
        <v/>
      </c>
      <c r="D55">
        <f>SUMIFS(T_Shipments[Confirmed_Qty],T_Shipments[RM_Code],$A55,T_Shipments[Effective_Week],3)</f>
        <v/>
      </c>
      <c r="E55">
        <f>SUMIFS(T_Shipments[Confirmed_Qty],T_Shipments[RM_Code],$A55,T_Shipments[Effective_Week],4)</f>
        <v/>
      </c>
      <c r="F55">
        <f>SUMIFS(T_Shipments[Confirmed_Qty],T_Shipments[RM_Code],$A55,T_Shipments[Effective_Week],5)</f>
        <v/>
      </c>
      <c r="G55">
        <f>SUMIFS(T_Shipments[Confirmed_Qty],T_Shipments[RM_Code],$A55,T_Shipments[Effective_Week],6)</f>
        <v/>
      </c>
      <c r="H55">
        <f>SUMIFS(T_Shipments[Confirmed_Qty],T_Shipments[RM_Code],$A55,T_Shipments[Effective_Week],7)</f>
        <v/>
      </c>
      <c r="I55">
        <f>SUMIFS(T_Shipments[Confirmed_Qty],T_Shipments[RM_Code],$A55,T_Shipments[Effective_Week],8)</f>
        <v/>
      </c>
      <c r="J55">
        <f>SUMIFS(T_Shipments[Confirmed_Qty],T_Shipments[RM_Code],$A55,T_Shipments[Effective_Week],9)</f>
        <v/>
      </c>
      <c r="K55">
        <f>SUMIFS(T_Shipments[Confirmed_Qty],T_Shipments[RM_Code],$A55,T_Shipments[Effective_Week],10)</f>
        <v/>
      </c>
      <c r="L55">
        <f>SUMIFS(T_Shipments[Confirmed_Qty],T_Shipments[RM_Code],$A55,T_Shipments[Effective_Week],11)</f>
        <v/>
      </c>
      <c r="M55">
        <f>SUMIFS(T_Shipments[Confirmed_Qty],T_Shipments[RM_Code],$A55,T_Shipments[Effective_Week],12)</f>
        <v/>
      </c>
      <c r="N55">
        <f>SUMIFS(T_Shipments[Confirmed_Qty],T_Shipments[RM_Code],$A55,T_Shipments[Effective_Week],13)</f>
        <v/>
      </c>
      <c r="O55">
        <f>SUMIFS(T_Shipments[Confirmed_Qty],T_Shipments[RM_Code],$A55,T_Shipments[Effective_Week],14)</f>
        <v/>
      </c>
      <c r="P55">
        <f>SUMIFS(T_Shipments[Confirmed_Qty],T_Shipments[RM_Code],$A55,T_Shipments[Effective_Week],15)</f>
        <v/>
      </c>
      <c r="Q55">
        <f>SUMIFS(T_Shipments[Confirmed_Qty],T_Shipments[RM_Code],$A55,T_Shipments[Effective_Week],16)</f>
        <v/>
      </c>
      <c r="R55">
        <f>SUMIFS(T_Shipments[Confirmed_Qty],T_Shipments[RM_Code],$A55,T_Shipments[Effective_Week],17)</f>
        <v/>
      </c>
      <c r="S55">
        <f>SUMIFS(T_Shipments[Confirmed_Qty],T_Shipments[RM_Code],$A55,T_Shipments[Effective_Week],18)</f>
        <v/>
      </c>
      <c r="T55">
        <f>SUMIFS(T_Shipments[Confirmed_Qty],T_Shipments[RM_Code],$A55,T_Shipments[Effective_Week],19)</f>
        <v/>
      </c>
      <c r="U55">
        <f>SUMIFS(T_Shipments[Confirmed_Qty],T_Shipments[RM_Code],$A55,T_Shipments[Effective_Week],20)</f>
        <v/>
      </c>
      <c r="V55">
        <f>SUMIFS(T_Shipments[Confirmed_Qty],T_Shipments[RM_Code],$A55,T_Shipments[Effective_Week],21)</f>
        <v/>
      </c>
      <c r="W55">
        <f>SUMIFS(T_Shipments[Confirmed_Qty],T_Shipments[RM_Code],$A55,T_Shipments[Effective_Week],22)</f>
        <v/>
      </c>
      <c r="X55">
        <f>SUMIFS(T_Shipments[Confirmed_Qty],T_Shipments[RM_Code],$A55,T_Shipments[Effective_Week],23)</f>
        <v/>
      </c>
      <c r="Y55">
        <f>SUMIFS(T_Shipments[Confirmed_Qty],T_Shipments[RM_Code],$A55,T_Shipments[Effective_Week],24)</f>
        <v/>
      </c>
      <c r="Z55">
        <f>SUMIFS(T_Shipments[Confirmed_Qty],T_Shipments[RM_Code],$A55,T_Shipments[Effective_Week],25)</f>
        <v/>
      </c>
      <c r="AA55">
        <f>SUMIFS(T_Shipments[Confirmed_Qty],T_Shipments[RM_Code],$A55,T_Shipments[Effective_Week],26)</f>
        <v/>
      </c>
      <c r="AB55">
        <f>SUMIFS(T_Shipments[Confirmed_Qty],T_Shipments[RM_Code],$A55,T_Shipments[Effective_Week],27)</f>
        <v/>
      </c>
      <c r="AC55">
        <f>SUMIFS(T_Shipments[Confirmed_Qty],T_Shipments[RM_Code],$A55,T_Shipments[Effective_Week],28)</f>
        <v/>
      </c>
      <c r="AD55">
        <f>SUMIFS(T_Shipments[Confirmed_Qty],T_Shipments[RM_Code],$A55,T_Shipments[Effective_Week],29)</f>
        <v/>
      </c>
      <c r="AE55">
        <f>SUMIFS(T_Shipments[Confirmed_Qty],T_Shipments[RM_Code],$A55,T_Shipments[Effective_Week],30)</f>
        <v/>
      </c>
      <c r="AF55">
        <f>SUMIFS(T_Shipments[Confirmed_Qty],T_Shipments[RM_Code],$A55,T_Shipments[Effective_Week],31)</f>
        <v/>
      </c>
      <c r="AG55">
        <f>SUMIFS(T_Shipments[Confirmed_Qty],T_Shipments[RM_Code],$A55,T_Shipments[Effective_Week],32)</f>
        <v/>
      </c>
      <c r="AH55">
        <f>SUMIFS(T_Shipments[Confirmed_Qty],T_Shipments[RM_Code],$A55,T_Shipments[Effective_Week],33)</f>
        <v/>
      </c>
      <c r="AI55">
        <f>SUMIFS(T_Shipments[Confirmed_Qty],T_Shipments[RM_Code],$A55,T_Shipments[Effective_Week],34)</f>
        <v/>
      </c>
      <c r="AJ55">
        <f>SUMIFS(T_Shipments[Confirmed_Qty],T_Shipments[RM_Code],$A55,T_Shipments[Effective_Week],35)</f>
        <v/>
      </c>
      <c r="AK55">
        <f>SUMIFS(T_Shipments[Confirmed_Qty],T_Shipments[RM_Code],$A55,T_Shipments[Effective_Week],36)</f>
        <v/>
      </c>
      <c r="AL55">
        <f>SUMIFS(T_Shipments[Confirmed_Qty],T_Shipments[RM_Code],$A55,T_Shipments[Effective_Week],37)</f>
        <v/>
      </c>
      <c r="AM55">
        <f>SUMIFS(T_Shipments[Confirmed_Qty],T_Shipments[RM_Code],$A55,T_Shipments[Effective_Week],38)</f>
        <v/>
      </c>
      <c r="AN55">
        <f>SUMIFS(T_Shipments[Confirmed_Qty],T_Shipments[RM_Code],$A55,T_Shipments[Effective_Week],39)</f>
        <v/>
      </c>
      <c r="AO55">
        <f>SUMIFS(T_Shipments[Confirmed_Qty],T_Shipments[RM_Code],$A55,T_Shipments[Effective_Week],40)</f>
        <v/>
      </c>
      <c r="AP55">
        <f>SUMIFS(T_Shipments[Confirmed_Qty],T_Shipments[RM_Code],$A55,T_Shipments[Effective_Week],41)</f>
        <v/>
      </c>
      <c r="AQ55">
        <f>SUMIFS(T_Shipments[Confirmed_Qty],T_Shipments[RM_Code],$A55,T_Shipments[Effective_Week],42)</f>
        <v/>
      </c>
      <c r="AR55">
        <f>SUMIFS(T_Shipments[Confirmed_Qty],T_Shipments[RM_Code],$A55,T_Shipments[Effective_Week],43)</f>
        <v/>
      </c>
      <c r="AS55">
        <f>SUMIFS(T_Shipments[Confirmed_Qty],T_Shipments[RM_Code],$A55,T_Shipments[Effective_Week],44)</f>
        <v/>
      </c>
      <c r="AT55">
        <f>SUMIFS(T_Shipments[Confirmed_Qty],T_Shipments[RM_Code],$A55,T_Shipments[Effective_Week],45)</f>
        <v/>
      </c>
      <c r="AU55">
        <f>SUMIFS(T_Shipments[Confirmed_Qty],T_Shipments[RM_Code],$A55,T_Shipments[Effective_Week],46)</f>
        <v/>
      </c>
      <c r="AV55">
        <f>SUMIFS(T_Shipments[Confirmed_Qty],T_Shipments[RM_Code],$A55,T_Shipments[Effective_Week],47)</f>
        <v/>
      </c>
      <c r="AW55">
        <f>SUMIFS(T_Shipments[Confirmed_Qty],T_Shipments[RM_Code],$A55,T_Shipments[Effective_Week],48)</f>
        <v/>
      </c>
      <c r="AX55">
        <f>SUMIFS(T_Shipments[Confirmed_Qty],T_Shipments[RM_Code],$A55,T_Shipments[Effective_Week],49)</f>
        <v/>
      </c>
      <c r="AY55">
        <f>SUMIFS(T_Shipments[Confirmed_Qty],T_Shipments[RM_Code],$A55,T_Shipments[Effective_Week],50)</f>
        <v/>
      </c>
      <c r="AZ55">
        <f>SUMIFS(T_Shipments[Confirmed_Qty],T_Shipments[RM_Code],$A55,T_Shipments[Effective_Week],51)</f>
        <v/>
      </c>
      <c r="BA55">
        <f>SUMIFS(T_Shipments[Confirmed_Qty],T_Shipments[RM_Code],$A55,T_Shipments[Effective_Week],52)</f>
        <v/>
      </c>
      <c r="BB55">
        <f>SUMIFS(T_Shipments[Confirmed_Qty],T_Shipments[RM_Code],$A55,T_Shipments[Effective_Week],53)</f>
        <v/>
      </c>
      <c r="BC55">
        <f>SUMIFS(T_Shipments[Confirmed_Qty],T_Shipments[RM_Code],$A55,T_Shipments[Effective_Week],54)</f>
        <v/>
      </c>
      <c r="BD55">
        <f>SUMIFS(T_Shipments[Confirmed_Qty],T_Shipments[RM_Code],$A55,T_Shipments[Effective_Week],55)</f>
        <v/>
      </c>
      <c r="BE55">
        <f>SUMIFS(T_Shipments[Confirmed_Qty],T_Shipments[RM_Code],$A55,T_Shipments[Effective_Week],56)</f>
        <v/>
      </c>
      <c r="BF55">
        <f>SUMIFS(T_Shipments[Confirmed_Qty],T_Shipments[RM_Code],$A55,T_Shipments[Effective_Week],57)</f>
        <v/>
      </c>
      <c r="BG55">
        <f>SUMIFS(T_Shipments[Confirmed_Qty],T_Shipments[RM_Code],$A55,T_Shipments[Effective_Week],58)</f>
        <v/>
      </c>
      <c r="BH55">
        <f>SUMIFS(T_Shipments[Confirmed_Qty],T_Shipments[RM_Code],$A55,T_Shipments[Effective_Week],59)</f>
        <v/>
      </c>
      <c r="BI55">
        <f>SUMIFS(T_Shipments[Confirmed_Qty],T_Shipments[RM_Code],$A55,T_Shipments[Effective_Week],60)</f>
        <v/>
      </c>
      <c r="BJ55">
        <f>SUMIFS(T_Shipments[Confirmed_Qty],T_Shipments[RM_Code],$A55,T_Shipments[Effective_Week],61)</f>
        <v/>
      </c>
      <c r="BK55">
        <f>SUMIFS(T_Shipments[Confirmed_Qty],T_Shipments[RM_Code],$A55,T_Shipments[Effective_Week],62)</f>
        <v/>
      </c>
      <c r="BL55">
        <f>SUMIFS(T_Shipments[Confirmed_Qty],T_Shipments[RM_Code],$A55,T_Shipments[Effective_Week],63)</f>
        <v/>
      </c>
      <c r="BM55">
        <f>SUMIFS(T_Shipments[Confirmed_Qty],T_Shipments[RM_Code],$A55,T_Shipments[Effective_Week],64)</f>
        <v/>
      </c>
      <c r="BN55">
        <f>SUMIFS(T_Shipments[Confirmed_Qty],T_Shipments[RM_Code],$A55,T_Shipments[Effective_Week],65)</f>
        <v/>
      </c>
      <c r="BO55">
        <f>SUMIFS(T_Shipments[Confirmed_Qty],T_Shipments[RM_Code],$A55,T_Shipments[Effective_Week],66)</f>
        <v/>
      </c>
      <c r="BP55">
        <f>SUMIFS(T_Shipments[Confirmed_Qty],T_Shipments[RM_Code],$A55,T_Shipments[Effective_Week],67)</f>
        <v/>
      </c>
      <c r="BQ55">
        <f>SUMIFS(T_Shipments[Confirmed_Qty],T_Shipments[RM_Code],$A55,T_Shipments[Effective_Week],68)</f>
        <v/>
      </c>
      <c r="BR55">
        <f>SUMIFS(T_Shipments[Confirmed_Qty],T_Shipments[RM_Code],$A55,T_Shipments[Effective_Week],69)</f>
        <v/>
      </c>
      <c r="BS55">
        <f>SUMIFS(T_Shipments[Confirmed_Qty],T_Shipments[RM_Code],$A55,T_Shipments[Effective_Week],70)</f>
        <v/>
      </c>
      <c r="BT55">
        <f>SUMIFS(T_Shipments[Confirmed_Qty],T_Shipments[RM_Code],$A55,T_Shipments[Effective_Week],71)</f>
        <v/>
      </c>
      <c r="BU55">
        <f>SUMIFS(T_Shipments[Confirmed_Qty],T_Shipments[RM_Code],$A55,T_Shipments[Effective_Week],72)</f>
        <v/>
      </c>
      <c r="BV55">
        <f>SUMIFS(T_Shipments[Confirmed_Qty],T_Shipments[RM_Code],$A55,T_Shipments[Effective_Week],73)</f>
        <v/>
      </c>
      <c r="BW55">
        <f>SUMIFS(T_Shipments[Confirmed_Qty],T_Shipments[RM_Code],$A55,T_Shipments[Effective_Week],74)</f>
        <v/>
      </c>
      <c r="BX55">
        <f>SUMIFS(T_Shipments[Confirmed_Qty],T_Shipments[RM_Code],$A55,T_Shipments[Effective_Week],75)</f>
        <v/>
      </c>
      <c r="BY55">
        <f>SUMIFS(T_Shipments[Confirmed_Qty],T_Shipments[RM_Code],$A55,T_Shipments[Effective_Week],76)</f>
        <v/>
      </c>
      <c r="BZ55">
        <f>SUMIFS(T_Shipments[Confirmed_Qty],T_Shipments[RM_Code],$A55,T_Shipments[Effective_Week],77)</f>
        <v/>
      </c>
      <c r="CA55">
        <f>SUMIFS(T_Shipments[Confirmed_Qty],T_Shipments[RM_Code],$A55,T_Shipments[Effective_Week],78)</f>
        <v/>
      </c>
      <c r="CB55">
        <f>SUMIFS(T_Shipments[Confirmed_Qty],T_Shipments[RM_Code],$A55,T_Shipments[Effective_Week],79)</f>
        <v/>
      </c>
      <c r="CC55">
        <f>SUMIFS(T_Shipments[Confirmed_Qty],T_Shipments[RM_Code],$A55,T_Shipments[Effective_Week],80)</f>
        <v/>
      </c>
      <c r="CD55">
        <f>SUMIFS(T_Shipments[Confirmed_Qty],T_Shipments[RM_Code],$A55,T_Shipments[Effective_Week],81)</f>
        <v/>
      </c>
      <c r="CE55">
        <f>SUMIFS(T_Shipments[Confirmed_Qty],T_Shipments[RM_Code],$A55,T_Shipments[Effective_Week],82)</f>
        <v/>
      </c>
      <c r="CF55">
        <f>SUMIFS(T_Shipments[Confirmed_Qty],T_Shipments[RM_Code],$A55,T_Shipments[Effective_Week],83)</f>
        <v/>
      </c>
      <c r="CG55">
        <f>SUMIFS(T_Shipments[Confirmed_Qty],T_Shipments[RM_Code],$A55,T_Shipments[Effective_Week],84)</f>
        <v/>
      </c>
      <c r="CH55">
        <f>SUMIFS(T_Shipments[Confirmed_Qty],T_Shipments[RM_Code],$A55,T_Shipments[Effective_Week],85)</f>
        <v/>
      </c>
      <c r="CI55">
        <f>SUMIFS(T_Shipments[Confirmed_Qty],T_Shipments[RM_Code],$A55,T_Shipments[Effective_Week],86)</f>
        <v/>
      </c>
      <c r="CJ55">
        <f>SUMIFS(T_Shipments[Confirmed_Qty],T_Shipments[RM_Code],$A55,T_Shipments[Effective_Week],87)</f>
        <v/>
      </c>
      <c r="CK55">
        <f>SUMIFS(T_Shipments[Confirmed_Qty],T_Shipments[RM_Code],$A55,T_Shipments[Effective_Week],88)</f>
        <v/>
      </c>
      <c r="CL55">
        <f>SUMIFS(T_Shipments[Confirmed_Qty],T_Shipments[RM_Code],$A55,T_Shipments[Effective_Week],89)</f>
        <v/>
      </c>
      <c r="CM55">
        <f>SUMIFS(T_Shipments[Confirmed_Qty],T_Shipments[RM_Code],$A55,T_Shipments[Effective_Week],90)</f>
        <v/>
      </c>
      <c r="CN55">
        <f>SUMIFS(T_Shipments[Confirmed_Qty],T_Shipments[RM_Code],$A55,T_Shipments[Effective_Week],91)</f>
        <v/>
      </c>
      <c r="CO55">
        <f>SUMIFS(T_Shipments[Confirmed_Qty],T_Shipments[RM_Code],$A55,T_Shipments[Effective_Week],92)</f>
        <v/>
      </c>
      <c r="CP55">
        <f>SUMIFS(T_Shipments[Confirmed_Qty],T_Shipments[RM_Code],$A55,T_Shipments[Effective_Week],93)</f>
        <v/>
      </c>
      <c r="CQ55">
        <f>SUMIFS(T_Shipments[Confirmed_Qty],T_Shipments[RM_Code],$A55,T_Shipments[Effective_Week],94)</f>
        <v/>
      </c>
      <c r="CR55">
        <f>SUMIFS(T_Shipments[Confirmed_Qty],T_Shipments[RM_Code],$A55,T_Shipments[Effective_Week],95)</f>
        <v/>
      </c>
      <c r="CS55">
        <f>SUMIFS(T_Shipments[Confirmed_Qty],T_Shipments[RM_Code],$A55,T_Shipments[Effective_Week],96)</f>
        <v/>
      </c>
      <c r="CT55">
        <f>SUMIFS(T_Shipments[Confirmed_Qty],T_Shipments[RM_Code],$A55,T_Shipments[Effective_Week],97)</f>
        <v/>
      </c>
      <c r="CU55">
        <f>SUMIFS(T_Shipments[Confirmed_Qty],T_Shipments[RM_Code],$A55,T_Shipments[Effective_Week],98)</f>
        <v/>
      </c>
      <c r="CV55">
        <f>SUMIFS(T_Shipments[Confirmed_Qty],T_Shipments[RM_Code],$A55,T_Shipments[Effective_Week],99)</f>
        <v/>
      </c>
      <c r="CW55">
        <f>SUMIFS(T_Shipments[Confirmed_Qty],T_Shipments[RM_Code],$A55,T_Shipments[Effective_Week],100)</f>
        <v/>
      </c>
      <c r="CX55">
        <f>SUMIFS(T_Shipments[Confirmed_Qty],T_Shipments[RM_Code],$A55,T_Shipments[Effective_Week],101)</f>
        <v/>
      </c>
      <c r="CY55">
        <f>SUMIFS(T_Shipments[Confirmed_Qty],T_Shipments[RM_Code],$A55,T_Shipments[Effective_Week],102)</f>
        <v/>
      </c>
      <c r="CZ55">
        <f>SUMIFS(T_Shipments[Confirmed_Qty],T_Shipments[RM_Code],$A55,T_Shipments[Effective_Week],103)</f>
        <v/>
      </c>
      <c r="DA55">
        <f>SUMIFS(T_Shipments[Confirmed_Qty],T_Shipments[RM_Code],$A55,T_Shipments[Effective_Week],104)</f>
        <v/>
      </c>
    </row>
    <row r="56">
      <c r="A56" t="inlineStr">
        <is>
          <t>CHEM-1080</t>
        </is>
      </c>
      <c r="B56">
        <f>SUMIFS(T_Shipments[Confirmed_Qty],T_Shipments[RM_Code],$A56,T_Shipments[Effective_Week],1)</f>
        <v/>
      </c>
      <c r="C56">
        <f>SUMIFS(T_Shipments[Confirmed_Qty],T_Shipments[RM_Code],$A56,T_Shipments[Effective_Week],2)</f>
        <v/>
      </c>
      <c r="D56">
        <f>SUMIFS(T_Shipments[Confirmed_Qty],T_Shipments[RM_Code],$A56,T_Shipments[Effective_Week],3)</f>
        <v/>
      </c>
      <c r="E56">
        <f>SUMIFS(T_Shipments[Confirmed_Qty],T_Shipments[RM_Code],$A56,T_Shipments[Effective_Week],4)</f>
        <v/>
      </c>
      <c r="F56">
        <f>SUMIFS(T_Shipments[Confirmed_Qty],T_Shipments[RM_Code],$A56,T_Shipments[Effective_Week],5)</f>
        <v/>
      </c>
      <c r="G56">
        <f>SUMIFS(T_Shipments[Confirmed_Qty],T_Shipments[RM_Code],$A56,T_Shipments[Effective_Week],6)</f>
        <v/>
      </c>
      <c r="H56">
        <f>SUMIFS(T_Shipments[Confirmed_Qty],T_Shipments[RM_Code],$A56,T_Shipments[Effective_Week],7)</f>
        <v/>
      </c>
      <c r="I56">
        <f>SUMIFS(T_Shipments[Confirmed_Qty],T_Shipments[RM_Code],$A56,T_Shipments[Effective_Week],8)</f>
        <v/>
      </c>
      <c r="J56">
        <f>SUMIFS(T_Shipments[Confirmed_Qty],T_Shipments[RM_Code],$A56,T_Shipments[Effective_Week],9)</f>
        <v/>
      </c>
      <c r="K56">
        <f>SUMIFS(T_Shipments[Confirmed_Qty],T_Shipments[RM_Code],$A56,T_Shipments[Effective_Week],10)</f>
        <v/>
      </c>
      <c r="L56">
        <f>SUMIFS(T_Shipments[Confirmed_Qty],T_Shipments[RM_Code],$A56,T_Shipments[Effective_Week],11)</f>
        <v/>
      </c>
      <c r="M56">
        <f>SUMIFS(T_Shipments[Confirmed_Qty],T_Shipments[RM_Code],$A56,T_Shipments[Effective_Week],12)</f>
        <v/>
      </c>
      <c r="N56">
        <f>SUMIFS(T_Shipments[Confirmed_Qty],T_Shipments[RM_Code],$A56,T_Shipments[Effective_Week],13)</f>
        <v/>
      </c>
      <c r="O56">
        <f>SUMIFS(T_Shipments[Confirmed_Qty],T_Shipments[RM_Code],$A56,T_Shipments[Effective_Week],14)</f>
        <v/>
      </c>
      <c r="P56">
        <f>SUMIFS(T_Shipments[Confirmed_Qty],T_Shipments[RM_Code],$A56,T_Shipments[Effective_Week],15)</f>
        <v/>
      </c>
      <c r="Q56">
        <f>SUMIFS(T_Shipments[Confirmed_Qty],T_Shipments[RM_Code],$A56,T_Shipments[Effective_Week],16)</f>
        <v/>
      </c>
      <c r="R56">
        <f>SUMIFS(T_Shipments[Confirmed_Qty],T_Shipments[RM_Code],$A56,T_Shipments[Effective_Week],17)</f>
        <v/>
      </c>
      <c r="S56">
        <f>SUMIFS(T_Shipments[Confirmed_Qty],T_Shipments[RM_Code],$A56,T_Shipments[Effective_Week],18)</f>
        <v/>
      </c>
      <c r="T56">
        <f>SUMIFS(T_Shipments[Confirmed_Qty],T_Shipments[RM_Code],$A56,T_Shipments[Effective_Week],19)</f>
        <v/>
      </c>
      <c r="U56">
        <f>SUMIFS(T_Shipments[Confirmed_Qty],T_Shipments[RM_Code],$A56,T_Shipments[Effective_Week],20)</f>
        <v/>
      </c>
      <c r="V56">
        <f>SUMIFS(T_Shipments[Confirmed_Qty],T_Shipments[RM_Code],$A56,T_Shipments[Effective_Week],21)</f>
        <v/>
      </c>
      <c r="W56">
        <f>SUMIFS(T_Shipments[Confirmed_Qty],T_Shipments[RM_Code],$A56,T_Shipments[Effective_Week],22)</f>
        <v/>
      </c>
      <c r="X56">
        <f>SUMIFS(T_Shipments[Confirmed_Qty],T_Shipments[RM_Code],$A56,T_Shipments[Effective_Week],23)</f>
        <v/>
      </c>
      <c r="Y56">
        <f>SUMIFS(T_Shipments[Confirmed_Qty],T_Shipments[RM_Code],$A56,T_Shipments[Effective_Week],24)</f>
        <v/>
      </c>
      <c r="Z56">
        <f>SUMIFS(T_Shipments[Confirmed_Qty],T_Shipments[RM_Code],$A56,T_Shipments[Effective_Week],25)</f>
        <v/>
      </c>
      <c r="AA56">
        <f>SUMIFS(T_Shipments[Confirmed_Qty],T_Shipments[RM_Code],$A56,T_Shipments[Effective_Week],26)</f>
        <v/>
      </c>
      <c r="AB56">
        <f>SUMIFS(T_Shipments[Confirmed_Qty],T_Shipments[RM_Code],$A56,T_Shipments[Effective_Week],27)</f>
        <v/>
      </c>
      <c r="AC56">
        <f>SUMIFS(T_Shipments[Confirmed_Qty],T_Shipments[RM_Code],$A56,T_Shipments[Effective_Week],28)</f>
        <v/>
      </c>
      <c r="AD56">
        <f>SUMIFS(T_Shipments[Confirmed_Qty],T_Shipments[RM_Code],$A56,T_Shipments[Effective_Week],29)</f>
        <v/>
      </c>
      <c r="AE56">
        <f>SUMIFS(T_Shipments[Confirmed_Qty],T_Shipments[RM_Code],$A56,T_Shipments[Effective_Week],30)</f>
        <v/>
      </c>
      <c r="AF56">
        <f>SUMIFS(T_Shipments[Confirmed_Qty],T_Shipments[RM_Code],$A56,T_Shipments[Effective_Week],31)</f>
        <v/>
      </c>
      <c r="AG56">
        <f>SUMIFS(T_Shipments[Confirmed_Qty],T_Shipments[RM_Code],$A56,T_Shipments[Effective_Week],32)</f>
        <v/>
      </c>
      <c r="AH56">
        <f>SUMIFS(T_Shipments[Confirmed_Qty],T_Shipments[RM_Code],$A56,T_Shipments[Effective_Week],33)</f>
        <v/>
      </c>
      <c r="AI56">
        <f>SUMIFS(T_Shipments[Confirmed_Qty],T_Shipments[RM_Code],$A56,T_Shipments[Effective_Week],34)</f>
        <v/>
      </c>
      <c r="AJ56">
        <f>SUMIFS(T_Shipments[Confirmed_Qty],T_Shipments[RM_Code],$A56,T_Shipments[Effective_Week],35)</f>
        <v/>
      </c>
      <c r="AK56">
        <f>SUMIFS(T_Shipments[Confirmed_Qty],T_Shipments[RM_Code],$A56,T_Shipments[Effective_Week],36)</f>
        <v/>
      </c>
      <c r="AL56">
        <f>SUMIFS(T_Shipments[Confirmed_Qty],T_Shipments[RM_Code],$A56,T_Shipments[Effective_Week],37)</f>
        <v/>
      </c>
      <c r="AM56">
        <f>SUMIFS(T_Shipments[Confirmed_Qty],T_Shipments[RM_Code],$A56,T_Shipments[Effective_Week],38)</f>
        <v/>
      </c>
      <c r="AN56">
        <f>SUMIFS(T_Shipments[Confirmed_Qty],T_Shipments[RM_Code],$A56,T_Shipments[Effective_Week],39)</f>
        <v/>
      </c>
      <c r="AO56">
        <f>SUMIFS(T_Shipments[Confirmed_Qty],T_Shipments[RM_Code],$A56,T_Shipments[Effective_Week],40)</f>
        <v/>
      </c>
      <c r="AP56">
        <f>SUMIFS(T_Shipments[Confirmed_Qty],T_Shipments[RM_Code],$A56,T_Shipments[Effective_Week],41)</f>
        <v/>
      </c>
      <c r="AQ56">
        <f>SUMIFS(T_Shipments[Confirmed_Qty],T_Shipments[RM_Code],$A56,T_Shipments[Effective_Week],42)</f>
        <v/>
      </c>
      <c r="AR56">
        <f>SUMIFS(T_Shipments[Confirmed_Qty],T_Shipments[RM_Code],$A56,T_Shipments[Effective_Week],43)</f>
        <v/>
      </c>
      <c r="AS56">
        <f>SUMIFS(T_Shipments[Confirmed_Qty],T_Shipments[RM_Code],$A56,T_Shipments[Effective_Week],44)</f>
        <v/>
      </c>
      <c r="AT56">
        <f>SUMIFS(T_Shipments[Confirmed_Qty],T_Shipments[RM_Code],$A56,T_Shipments[Effective_Week],45)</f>
        <v/>
      </c>
      <c r="AU56">
        <f>SUMIFS(T_Shipments[Confirmed_Qty],T_Shipments[RM_Code],$A56,T_Shipments[Effective_Week],46)</f>
        <v/>
      </c>
      <c r="AV56">
        <f>SUMIFS(T_Shipments[Confirmed_Qty],T_Shipments[RM_Code],$A56,T_Shipments[Effective_Week],47)</f>
        <v/>
      </c>
      <c r="AW56">
        <f>SUMIFS(T_Shipments[Confirmed_Qty],T_Shipments[RM_Code],$A56,T_Shipments[Effective_Week],48)</f>
        <v/>
      </c>
      <c r="AX56">
        <f>SUMIFS(T_Shipments[Confirmed_Qty],T_Shipments[RM_Code],$A56,T_Shipments[Effective_Week],49)</f>
        <v/>
      </c>
      <c r="AY56">
        <f>SUMIFS(T_Shipments[Confirmed_Qty],T_Shipments[RM_Code],$A56,T_Shipments[Effective_Week],50)</f>
        <v/>
      </c>
      <c r="AZ56">
        <f>SUMIFS(T_Shipments[Confirmed_Qty],T_Shipments[RM_Code],$A56,T_Shipments[Effective_Week],51)</f>
        <v/>
      </c>
      <c r="BA56">
        <f>SUMIFS(T_Shipments[Confirmed_Qty],T_Shipments[RM_Code],$A56,T_Shipments[Effective_Week],52)</f>
        <v/>
      </c>
      <c r="BB56">
        <f>SUMIFS(T_Shipments[Confirmed_Qty],T_Shipments[RM_Code],$A56,T_Shipments[Effective_Week],53)</f>
        <v/>
      </c>
      <c r="BC56">
        <f>SUMIFS(T_Shipments[Confirmed_Qty],T_Shipments[RM_Code],$A56,T_Shipments[Effective_Week],54)</f>
        <v/>
      </c>
      <c r="BD56">
        <f>SUMIFS(T_Shipments[Confirmed_Qty],T_Shipments[RM_Code],$A56,T_Shipments[Effective_Week],55)</f>
        <v/>
      </c>
      <c r="BE56">
        <f>SUMIFS(T_Shipments[Confirmed_Qty],T_Shipments[RM_Code],$A56,T_Shipments[Effective_Week],56)</f>
        <v/>
      </c>
      <c r="BF56">
        <f>SUMIFS(T_Shipments[Confirmed_Qty],T_Shipments[RM_Code],$A56,T_Shipments[Effective_Week],57)</f>
        <v/>
      </c>
      <c r="BG56">
        <f>SUMIFS(T_Shipments[Confirmed_Qty],T_Shipments[RM_Code],$A56,T_Shipments[Effective_Week],58)</f>
        <v/>
      </c>
      <c r="BH56">
        <f>SUMIFS(T_Shipments[Confirmed_Qty],T_Shipments[RM_Code],$A56,T_Shipments[Effective_Week],59)</f>
        <v/>
      </c>
      <c r="BI56">
        <f>SUMIFS(T_Shipments[Confirmed_Qty],T_Shipments[RM_Code],$A56,T_Shipments[Effective_Week],60)</f>
        <v/>
      </c>
      <c r="BJ56">
        <f>SUMIFS(T_Shipments[Confirmed_Qty],T_Shipments[RM_Code],$A56,T_Shipments[Effective_Week],61)</f>
        <v/>
      </c>
      <c r="BK56">
        <f>SUMIFS(T_Shipments[Confirmed_Qty],T_Shipments[RM_Code],$A56,T_Shipments[Effective_Week],62)</f>
        <v/>
      </c>
      <c r="BL56">
        <f>SUMIFS(T_Shipments[Confirmed_Qty],T_Shipments[RM_Code],$A56,T_Shipments[Effective_Week],63)</f>
        <v/>
      </c>
      <c r="BM56">
        <f>SUMIFS(T_Shipments[Confirmed_Qty],T_Shipments[RM_Code],$A56,T_Shipments[Effective_Week],64)</f>
        <v/>
      </c>
      <c r="BN56">
        <f>SUMIFS(T_Shipments[Confirmed_Qty],T_Shipments[RM_Code],$A56,T_Shipments[Effective_Week],65)</f>
        <v/>
      </c>
      <c r="BO56">
        <f>SUMIFS(T_Shipments[Confirmed_Qty],T_Shipments[RM_Code],$A56,T_Shipments[Effective_Week],66)</f>
        <v/>
      </c>
      <c r="BP56">
        <f>SUMIFS(T_Shipments[Confirmed_Qty],T_Shipments[RM_Code],$A56,T_Shipments[Effective_Week],67)</f>
        <v/>
      </c>
      <c r="BQ56">
        <f>SUMIFS(T_Shipments[Confirmed_Qty],T_Shipments[RM_Code],$A56,T_Shipments[Effective_Week],68)</f>
        <v/>
      </c>
      <c r="BR56">
        <f>SUMIFS(T_Shipments[Confirmed_Qty],T_Shipments[RM_Code],$A56,T_Shipments[Effective_Week],69)</f>
        <v/>
      </c>
      <c r="BS56">
        <f>SUMIFS(T_Shipments[Confirmed_Qty],T_Shipments[RM_Code],$A56,T_Shipments[Effective_Week],70)</f>
        <v/>
      </c>
      <c r="BT56">
        <f>SUMIFS(T_Shipments[Confirmed_Qty],T_Shipments[RM_Code],$A56,T_Shipments[Effective_Week],71)</f>
        <v/>
      </c>
      <c r="BU56">
        <f>SUMIFS(T_Shipments[Confirmed_Qty],T_Shipments[RM_Code],$A56,T_Shipments[Effective_Week],72)</f>
        <v/>
      </c>
      <c r="BV56">
        <f>SUMIFS(T_Shipments[Confirmed_Qty],T_Shipments[RM_Code],$A56,T_Shipments[Effective_Week],73)</f>
        <v/>
      </c>
      <c r="BW56">
        <f>SUMIFS(T_Shipments[Confirmed_Qty],T_Shipments[RM_Code],$A56,T_Shipments[Effective_Week],74)</f>
        <v/>
      </c>
      <c r="BX56">
        <f>SUMIFS(T_Shipments[Confirmed_Qty],T_Shipments[RM_Code],$A56,T_Shipments[Effective_Week],75)</f>
        <v/>
      </c>
      <c r="BY56">
        <f>SUMIFS(T_Shipments[Confirmed_Qty],T_Shipments[RM_Code],$A56,T_Shipments[Effective_Week],76)</f>
        <v/>
      </c>
      <c r="BZ56">
        <f>SUMIFS(T_Shipments[Confirmed_Qty],T_Shipments[RM_Code],$A56,T_Shipments[Effective_Week],77)</f>
        <v/>
      </c>
      <c r="CA56">
        <f>SUMIFS(T_Shipments[Confirmed_Qty],T_Shipments[RM_Code],$A56,T_Shipments[Effective_Week],78)</f>
        <v/>
      </c>
      <c r="CB56">
        <f>SUMIFS(T_Shipments[Confirmed_Qty],T_Shipments[RM_Code],$A56,T_Shipments[Effective_Week],79)</f>
        <v/>
      </c>
      <c r="CC56">
        <f>SUMIFS(T_Shipments[Confirmed_Qty],T_Shipments[RM_Code],$A56,T_Shipments[Effective_Week],80)</f>
        <v/>
      </c>
      <c r="CD56">
        <f>SUMIFS(T_Shipments[Confirmed_Qty],T_Shipments[RM_Code],$A56,T_Shipments[Effective_Week],81)</f>
        <v/>
      </c>
      <c r="CE56">
        <f>SUMIFS(T_Shipments[Confirmed_Qty],T_Shipments[RM_Code],$A56,T_Shipments[Effective_Week],82)</f>
        <v/>
      </c>
      <c r="CF56">
        <f>SUMIFS(T_Shipments[Confirmed_Qty],T_Shipments[RM_Code],$A56,T_Shipments[Effective_Week],83)</f>
        <v/>
      </c>
      <c r="CG56">
        <f>SUMIFS(T_Shipments[Confirmed_Qty],T_Shipments[RM_Code],$A56,T_Shipments[Effective_Week],84)</f>
        <v/>
      </c>
      <c r="CH56">
        <f>SUMIFS(T_Shipments[Confirmed_Qty],T_Shipments[RM_Code],$A56,T_Shipments[Effective_Week],85)</f>
        <v/>
      </c>
      <c r="CI56">
        <f>SUMIFS(T_Shipments[Confirmed_Qty],T_Shipments[RM_Code],$A56,T_Shipments[Effective_Week],86)</f>
        <v/>
      </c>
      <c r="CJ56">
        <f>SUMIFS(T_Shipments[Confirmed_Qty],T_Shipments[RM_Code],$A56,T_Shipments[Effective_Week],87)</f>
        <v/>
      </c>
      <c r="CK56">
        <f>SUMIFS(T_Shipments[Confirmed_Qty],T_Shipments[RM_Code],$A56,T_Shipments[Effective_Week],88)</f>
        <v/>
      </c>
      <c r="CL56">
        <f>SUMIFS(T_Shipments[Confirmed_Qty],T_Shipments[RM_Code],$A56,T_Shipments[Effective_Week],89)</f>
        <v/>
      </c>
      <c r="CM56">
        <f>SUMIFS(T_Shipments[Confirmed_Qty],T_Shipments[RM_Code],$A56,T_Shipments[Effective_Week],90)</f>
        <v/>
      </c>
      <c r="CN56">
        <f>SUMIFS(T_Shipments[Confirmed_Qty],T_Shipments[RM_Code],$A56,T_Shipments[Effective_Week],91)</f>
        <v/>
      </c>
      <c r="CO56">
        <f>SUMIFS(T_Shipments[Confirmed_Qty],T_Shipments[RM_Code],$A56,T_Shipments[Effective_Week],92)</f>
        <v/>
      </c>
      <c r="CP56">
        <f>SUMIFS(T_Shipments[Confirmed_Qty],T_Shipments[RM_Code],$A56,T_Shipments[Effective_Week],93)</f>
        <v/>
      </c>
      <c r="CQ56">
        <f>SUMIFS(T_Shipments[Confirmed_Qty],T_Shipments[RM_Code],$A56,T_Shipments[Effective_Week],94)</f>
        <v/>
      </c>
      <c r="CR56">
        <f>SUMIFS(T_Shipments[Confirmed_Qty],T_Shipments[RM_Code],$A56,T_Shipments[Effective_Week],95)</f>
        <v/>
      </c>
      <c r="CS56">
        <f>SUMIFS(T_Shipments[Confirmed_Qty],T_Shipments[RM_Code],$A56,T_Shipments[Effective_Week],96)</f>
        <v/>
      </c>
      <c r="CT56">
        <f>SUMIFS(T_Shipments[Confirmed_Qty],T_Shipments[RM_Code],$A56,T_Shipments[Effective_Week],97)</f>
        <v/>
      </c>
      <c r="CU56">
        <f>SUMIFS(T_Shipments[Confirmed_Qty],T_Shipments[RM_Code],$A56,T_Shipments[Effective_Week],98)</f>
        <v/>
      </c>
      <c r="CV56">
        <f>SUMIFS(T_Shipments[Confirmed_Qty],T_Shipments[RM_Code],$A56,T_Shipments[Effective_Week],99)</f>
        <v/>
      </c>
      <c r="CW56">
        <f>SUMIFS(T_Shipments[Confirmed_Qty],T_Shipments[RM_Code],$A56,T_Shipments[Effective_Week],100)</f>
        <v/>
      </c>
      <c r="CX56">
        <f>SUMIFS(T_Shipments[Confirmed_Qty],T_Shipments[RM_Code],$A56,T_Shipments[Effective_Week],101)</f>
        <v/>
      </c>
      <c r="CY56">
        <f>SUMIFS(T_Shipments[Confirmed_Qty],T_Shipments[RM_Code],$A56,T_Shipments[Effective_Week],102)</f>
        <v/>
      </c>
      <c r="CZ56">
        <f>SUMIFS(T_Shipments[Confirmed_Qty],T_Shipments[RM_Code],$A56,T_Shipments[Effective_Week],103)</f>
        <v/>
      </c>
      <c r="DA56">
        <f>SUMIFS(T_Shipments[Confirmed_Qty],T_Shipments[RM_Code],$A56,T_Shipments[Effective_Week],104)</f>
        <v/>
      </c>
    </row>
    <row r="57">
      <c r="A57" t="inlineStr">
        <is>
          <t>CHEM-1770</t>
        </is>
      </c>
      <c r="B57">
        <f>SUMIFS(T_Shipments[Confirmed_Qty],T_Shipments[RM_Code],$A57,T_Shipments[Effective_Week],1)</f>
        <v/>
      </c>
      <c r="C57">
        <f>SUMIFS(T_Shipments[Confirmed_Qty],T_Shipments[RM_Code],$A57,T_Shipments[Effective_Week],2)</f>
        <v/>
      </c>
      <c r="D57">
        <f>SUMIFS(T_Shipments[Confirmed_Qty],T_Shipments[RM_Code],$A57,T_Shipments[Effective_Week],3)</f>
        <v/>
      </c>
      <c r="E57">
        <f>SUMIFS(T_Shipments[Confirmed_Qty],T_Shipments[RM_Code],$A57,T_Shipments[Effective_Week],4)</f>
        <v/>
      </c>
      <c r="F57">
        <f>SUMIFS(T_Shipments[Confirmed_Qty],T_Shipments[RM_Code],$A57,T_Shipments[Effective_Week],5)</f>
        <v/>
      </c>
      <c r="G57">
        <f>SUMIFS(T_Shipments[Confirmed_Qty],T_Shipments[RM_Code],$A57,T_Shipments[Effective_Week],6)</f>
        <v/>
      </c>
      <c r="H57">
        <f>SUMIFS(T_Shipments[Confirmed_Qty],T_Shipments[RM_Code],$A57,T_Shipments[Effective_Week],7)</f>
        <v/>
      </c>
      <c r="I57">
        <f>SUMIFS(T_Shipments[Confirmed_Qty],T_Shipments[RM_Code],$A57,T_Shipments[Effective_Week],8)</f>
        <v/>
      </c>
      <c r="J57">
        <f>SUMIFS(T_Shipments[Confirmed_Qty],T_Shipments[RM_Code],$A57,T_Shipments[Effective_Week],9)</f>
        <v/>
      </c>
      <c r="K57">
        <f>SUMIFS(T_Shipments[Confirmed_Qty],T_Shipments[RM_Code],$A57,T_Shipments[Effective_Week],10)</f>
        <v/>
      </c>
      <c r="L57">
        <f>SUMIFS(T_Shipments[Confirmed_Qty],T_Shipments[RM_Code],$A57,T_Shipments[Effective_Week],11)</f>
        <v/>
      </c>
      <c r="M57">
        <f>SUMIFS(T_Shipments[Confirmed_Qty],T_Shipments[RM_Code],$A57,T_Shipments[Effective_Week],12)</f>
        <v/>
      </c>
      <c r="N57">
        <f>SUMIFS(T_Shipments[Confirmed_Qty],T_Shipments[RM_Code],$A57,T_Shipments[Effective_Week],13)</f>
        <v/>
      </c>
      <c r="O57">
        <f>SUMIFS(T_Shipments[Confirmed_Qty],T_Shipments[RM_Code],$A57,T_Shipments[Effective_Week],14)</f>
        <v/>
      </c>
      <c r="P57">
        <f>SUMIFS(T_Shipments[Confirmed_Qty],T_Shipments[RM_Code],$A57,T_Shipments[Effective_Week],15)</f>
        <v/>
      </c>
      <c r="Q57">
        <f>SUMIFS(T_Shipments[Confirmed_Qty],T_Shipments[RM_Code],$A57,T_Shipments[Effective_Week],16)</f>
        <v/>
      </c>
      <c r="R57">
        <f>SUMIFS(T_Shipments[Confirmed_Qty],T_Shipments[RM_Code],$A57,T_Shipments[Effective_Week],17)</f>
        <v/>
      </c>
      <c r="S57">
        <f>SUMIFS(T_Shipments[Confirmed_Qty],T_Shipments[RM_Code],$A57,T_Shipments[Effective_Week],18)</f>
        <v/>
      </c>
      <c r="T57">
        <f>SUMIFS(T_Shipments[Confirmed_Qty],T_Shipments[RM_Code],$A57,T_Shipments[Effective_Week],19)</f>
        <v/>
      </c>
      <c r="U57">
        <f>SUMIFS(T_Shipments[Confirmed_Qty],T_Shipments[RM_Code],$A57,T_Shipments[Effective_Week],20)</f>
        <v/>
      </c>
      <c r="V57">
        <f>SUMIFS(T_Shipments[Confirmed_Qty],T_Shipments[RM_Code],$A57,T_Shipments[Effective_Week],21)</f>
        <v/>
      </c>
      <c r="W57">
        <f>SUMIFS(T_Shipments[Confirmed_Qty],T_Shipments[RM_Code],$A57,T_Shipments[Effective_Week],22)</f>
        <v/>
      </c>
      <c r="X57">
        <f>SUMIFS(T_Shipments[Confirmed_Qty],T_Shipments[RM_Code],$A57,T_Shipments[Effective_Week],23)</f>
        <v/>
      </c>
      <c r="Y57">
        <f>SUMIFS(T_Shipments[Confirmed_Qty],T_Shipments[RM_Code],$A57,T_Shipments[Effective_Week],24)</f>
        <v/>
      </c>
      <c r="Z57">
        <f>SUMIFS(T_Shipments[Confirmed_Qty],T_Shipments[RM_Code],$A57,T_Shipments[Effective_Week],25)</f>
        <v/>
      </c>
      <c r="AA57">
        <f>SUMIFS(T_Shipments[Confirmed_Qty],T_Shipments[RM_Code],$A57,T_Shipments[Effective_Week],26)</f>
        <v/>
      </c>
      <c r="AB57">
        <f>SUMIFS(T_Shipments[Confirmed_Qty],T_Shipments[RM_Code],$A57,T_Shipments[Effective_Week],27)</f>
        <v/>
      </c>
      <c r="AC57">
        <f>SUMIFS(T_Shipments[Confirmed_Qty],T_Shipments[RM_Code],$A57,T_Shipments[Effective_Week],28)</f>
        <v/>
      </c>
      <c r="AD57">
        <f>SUMIFS(T_Shipments[Confirmed_Qty],T_Shipments[RM_Code],$A57,T_Shipments[Effective_Week],29)</f>
        <v/>
      </c>
      <c r="AE57">
        <f>SUMIFS(T_Shipments[Confirmed_Qty],T_Shipments[RM_Code],$A57,T_Shipments[Effective_Week],30)</f>
        <v/>
      </c>
      <c r="AF57">
        <f>SUMIFS(T_Shipments[Confirmed_Qty],T_Shipments[RM_Code],$A57,T_Shipments[Effective_Week],31)</f>
        <v/>
      </c>
      <c r="AG57">
        <f>SUMIFS(T_Shipments[Confirmed_Qty],T_Shipments[RM_Code],$A57,T_Shipments[Effective_Week],32)</f>
        <v/>
      </c>
      <c r="AH57">
        <f>SUMIFS(T_Shipments[Confirmed_Qty],T_Shipments[RM_Code],$A57,T_Shipments[Effective_Week],33)</f>
        <v/>
      </c>
      <c r="AI57">
        <f>SUMIFS(T_Shipments[Confirmed_Qty],T_Shipments[RM_Code],$A57,T_Shipments[Effective_Week],34)</f>
        <v/>
      </c>
      <c r="AJ57">
        <f>SUMIFS(T_Shipments[Confirmed_Qty],T_Shipments[RM_Code],$A57,T_Shipments[Effective_Week],35)</f>
        <v/>
      </c>
      <c r="AK57">
        <f>SUMIFS(T_Shipments[Confirmed_Qty],T_Shipments[RM_Code],$A57,T_Shipments[Effective_Week],36)</f>
        <v/>
      </c>
      <c r="AL57">
        <f>SUMIFS(T_Shipments[Confirmed_Qty],T_Shipments[RM_Code],$A57,T_Shipments[Effective_Week],37)</f>
        <v/>
      </c>
      <c r="AM57">
        <f>SUMIFS(T_Shipments[Confirmed_Qty],T_Shipments[RM_Code],$A57,T_Shipments[Effective_Week],38)</f>
        <v/>
      </c>
      <c r="AN57">
        <f>SUMIFS(T_Shipments[Confirmed_Qty],T_Shipments[RM_Code],$A57,T_Shipments[Effective_Week],39)</f>
        <v/>
      </c>
      <c r="AO57">
        <f>SUMIFS(T_Shipments[Confirmed_Qty],T_Shipments[RM_Code],$A57,T_Shipments[Effective_Week],40)</f>
        <v/>
      </c>
      <c r="AP57">
        <f>SUMIFS(T_Shipments[Confirmed_Qty],T_Shipments[RM_Code],$A57,T_Shipments[Effective_Week],41)</f>
        <v/>
      </c>
      <c r="AQ57">
        <f>SUMIFS(T_Shipments[Confirmed_Qty],T_Shipments[RM_Code],$A57,T_Shipments[Effective_Week],42)</f>
        <v/>
      </c>
      <c r="AR57">
        <f>SUMIFS(T_Shipments[Confirmed_Qty],T_Shipments[RM_Code],$A57,T_Shipments[Effective_Week],43)</f>
        <v/>
      </c>
      <c r="AS57">
        <f>SUMIFS(T_Shipments[Confirmed_Qty],T_Shipments[RM_Code],$A57,T_Shipments[Effective_Week],44)</f>
        <v/>
      </c>
      <c r="AT57">
        <f>SUMIFS(T_Shipments[Confirmed_Qty],T_Shipments[RM_Code],$A57,T_Shipments[Effective_Week],45)</f>
        <v/>
      </c>
      <c r="AU57">
        <f>SUMIFS(T_Shipments[Confirmed_Qty],T_Shipments[RM_Code],$A57,T_Shipments[Effective_Week],46)</f>
        <v/>
      </c>
      <c r="AV57">
        <f>SUMIFS(T_Shipments[Confirmed_Qty],T_Shipments[RM_Code],$A57,T_Shipments[Effective_Week],47)</f>
        <v/>
      </c>
      <c r="AW57">
        <f>SUMIFS(T_Shipments[Confirmed_Qty],T_Shipments[RM_Code],$A57,T_Shipments[Effective_Week],48)</f>
        <v/>
      </c>
      <c r="AX57">
        <f>SUMIFS(T_Shipments[Confirmed_Qty],T_Shipments[RM_Code],$A57,T_Shipments[Effective_Week],49)</f>
        <v/>
      </c>
      <c r="AY57">
        <f>SUMIFS(T_Shipments[Confirmed_Qty],T_Shipments[RM_Code],$A57,T_Shipments[Effective_Week],50)</f>
        <v/>
      </c>
      <c r="AZ57">
        <f>SUMIFS(T_Shipments[Confirmed_Qty],T_Shipments[RM_Code],$A57,T_Shipments[Effective_Week],51)</f>
        <v/>
      </c>
      <c r="BA57">
        <f>SUMIFS(T_Shipments[Confirmed_Qty],T_Shipments[RM_Code],$A57,T_Shipments[Effective_Week],52)</f>
        <v/>
      </c>
      <c r="BB57">
        <f>SUMIFS(T_Shipments[Confirmed_Qty],T_Shipments[RM_Code],$A57,T_Shipments[Effective_Week],53)</f>
        <v/>
      </c>
      <c r="BC57">
        <f>SUMIFS(T_Shipments[Confirmed_Qty],T_Shipments[RM_Code],$A57,T_Shipments[Effective_Week],54)</f>
        <v/>
      </c>
      <c r="BD57">
        <f>SUMIFS(T_Shipments[Confirmed_Qty],T_Shipments[RM_Code],$A57,T_Shipments[Effective_Week],55)</f>
        <v/>
      </c>
      <c r="BE57">
        <f>SUMIFS(T_Shipments[Confirmed_Qty],T_Shipments[RM_Code],$A57,T_Shipments[Effective_Week],56)</f>
        <v/>
      </c>
      <c r="BF57">
        <f>SUMIFS(T_Shipments[Confirmed_Qty],T_Shipments[RM_Code],$A57,T_Shipments[Effective_Week],57)</f>
        <v/>
      </c>
      <c r="BG57">
        <f>SUMIFS(T_Shipments[Confirmed_Qty],T_Shipments[RM_Code],$A57,T_Shipments[Effective_Week],58)</f>
        <v/>
      </c>
      <c r="BH57">
        <f>SUMIFS(T_Shipments[Confirmed_Qty],T_Shipments[RM_Code],$A57,T_Shipments[Effective_Week],59)</f>
        <v/>
      </c>
      <c r="BI57">
        <f>SUMIFS(T_Shipments[Confirmed_Qty],T_Shipments[RM_Code],$A57,T_Shipments[Effective_Week],60)</f>
        <v/>
      </c>
      <c r="BJ57">
        <f>SUMIFS(T_Shipments[Confirmed_Qty],T_Shipments[RM_Code],$A57,T_Shipments[Effective_Week],61)</f>
        <v/>
      </c>
      <c r="BK57">
        <f>SUMIFS(T_Shipments[Confirmed_Qty],T_Shipments[RM_Code],$A57,T_Shipments[Effective_Week],62)</f>
        <v/>
      </c>
      <c r="BL57">
        <f>SUMIFS(T_Shipments[Confirmed_Qty],T_Shipments[RM_Code],$A57,T_Shipments[Effective_Week],63)</f>
        <v/>
      </c>
      <c r="BM57">
        <f>SUMIFS(T_Shipments[Confirmed_Qty],T_Shipments[RM_Code],$A57,T_Shipments[Effective_Week],64)</f>
        <v/>
      </c>
      <c r="BN57">
        <f>SUMIFS(T_Shipments[Confirmed_Qty],T_Shipments[RM_Code],$A57,T_Shipments[Effective_Week],65)</f>
        <v/>
      </c>
      <c r="BO57">
        <f>SUMIFS(T_Shipments[Confirmed_Qty],T_Shipments[RM_Code],$A57,T_Shipments[Effective_Week],66)</f>
        <v/>
      </c>
      <c r="BP57">
        <f>SUMIFS(T_Shipments[Confirmed_Qty],T_Shipments[RM_Code],$A57,T_Shipments[Effective_Week],67)</f>
        <v/>
      </c>
      <c r="BQ57">
        <f>SUMIFS(T_Shipments[Confirmed_Qty],T_Shipments[RM_Code],$A57,T_Shipments[Effective_Week],68)</f>
        <v/>
      </c>
      <c r="BR57">
        <f>SUMIFS(T_Shipments[Confirmed_Qty],T_Shipments[RM_Code],$A57,T_Shipments[Effective_Week],69)</f>
        <v/>
      </c>
      <c r="BS57">
        <f>SUMIFS(T_Shipments[Confirmed_Qty],T_Shipments[RM_Code],$A57,T_Shipments[Effective_Week],70)</f>
        <v/>
      </c>
      <c r="BT57">
        <f>SUMIFS(T_Shipments[Confirmed_Qty],T_Shipments[RM_Code],$A57,T_Shipments[Effective_Week],71)</f>
        <v/>
      </c>
      <c r="BU57">
        <f>SUMIFS(T_Shipments[Confirmed_Qty],T_Shipments[RM_Code],$A57,T_Shipments[Effective_Week],72)</f>
        <v/>
      </c>
      <c r="BV57">
        <f>SUMIFS(T_Shipments[Confirmed_Qty],T_Shipments[RM_Code],$A57,T_Shipments[Effective_Week],73)</f>
        <v/>
      </c>
      <c r="BW57">
        <f>SUMIFS(T_Shipments[Confirmed_Qty],T_Shipments[RM_Code],$A57,T_Shipments[Effective_Week],74)</f>
        <v/>
      </c>
      <c r="BX57">
        <f>SUMIFS(T_Shipments[Confirmed_Qty],T_Shipments[RM_Code],$A57,T_Shipments[Effective_Week],75)</f>
        <v/>
      </c>
      <c r="BY57">
        <f>SUMIFS(T_Shipments[Confirmed_Qty],T_Shipments[RM_Code],$A57,T_Shipments[Effective_Week],76)</f>
        <v/>
      </c>
      <c r="BZ57">
        <f>SUMIFS(T_Shipments[Confirmed_Qty],T_Shipments[RM_Code],$A57,T_Shipments[Effective_Week],77)</f>
        <v/>
      </c>
      <c r="CA57">
        <f>SUMIFS(T_Shipments[Confirmed_Qty],T_Shipments[RM_Code],$A57,T_Shipments[Effective_Week],78)</f>
        <v/>
      </c>
      <c r="CB57">
        <f>SUMIFS(T_Shipments[Confirmed_Qty],T_Shipments[RM_Code],$A57,T_Shipments[Effective_Week],79)</f>
        <v/>
      </c>
      <c r="CC57">
        <f>SUMIFS(T_Shipments[Confirmed_Qty],T_Shipments[RM_Code],$A57,T_Shipments[Effective_Week],80)</f>
        <v/>
      </c>
      <c r="CD57">
        <f>SUMIFS(T_Shipments[Confirmed_Qty],T_Shipments[RM_Code],$A57,T_Shipments[Effective_Week],81)</f>
        <v/>
      </c>
      <c r="CE57">
        <f>SUMIFS(T_Shipments[Confirmed_Qty],T_Shipments[RM_Code],$A57,T_Shipments[Effective_Week],82)</f>
        <v/>
      </c>
      <c r="CF57">
        <f>SUMIFS(T_Shipments[Confirmed_Qty],T_Shipments[RM_Code],$A57,T_Shipments[Effective_Week],83)</f>
        <v/>
      </c>
      <c r="CG57">
        <f>SUMIFS(T_Shipments[Confirmed_Qty],T_Shipments[RM_Code],$A57,T_Shipments[Effective_Week],84)</f>
        <v/>
      </c>
      <c r="CH57">
        <f>SUMIFS(T_Shipments[Confirmed_Qty],T_Shipments[RM_Code],$A57,T_Shipments[Effective_Week],85)</f>
        <v/>
      </c>
      <c r="CI57">
        <f>SUMIFS(T_Shipments[Confirmed_Qty],T_Shipments[RM_Code],$A57,T_Shipments[Effective_Week],86)</f>
        <v/>
      </c>
      <c r="CJ57">
        <f>SUMIFS(T_Shipments[Confirmed_Qty],T_Shipments[RM_Code],$A57,T_Shipments[Effective_Week],87)</f>
        <v/>
      </c>
      <c r="CK57">
        <f>SUMIFS(T_Shipments[Confirmed_Qty],T_Shipments[RM_Code],$A57,T_Shipments[Effective_Week],88)</f>
        <v/>
      </c>
      <c r="CL57">
        <f>SUMIFS(T_Shipments[Confirmed_Qty],T_Shipments[RM_Code],$A57,T_Shipments[Effective_Week],89)</f>
        <v/>
      </c>
      <c r="CM57">
        <f>SUMIFS(T_Shipments[Confirmed_Qty],T_Shipments[RM_Code],$A57,T_Shipments[Effective_Week],90)</f>
        <v/>
      </c>
      <c r="CN57">
        <f>SUMIFS(T_Shipments[Confirmed_Qty],T_Shipments[RM_Code],$A57,T_Shipments[Effective_Week],91)</f>
        <v/>
      </c>
      <c r="CO57">
        <f>SUMIFS(T_Shipments[Confirmed_Qty],T_Shipments[RM_Code],$A57,T_Shipments[Effective_Week],92)</f>
        <v/>
      </c>
      <c r="CP57">
        <f>SUMIFS(T_Shipments[Confirmed_Qty],T_Shipments[RM_Code],$A57,T_Shipments[Effective_Week],93)</f>
        <v/>
      </c>
      <c r="CQ57">
        <f>SUMIFS(T_Shipments[Confirmed_Qty],T_Shipments[RM_Code],$A57,T_Shipments[Effective_Week],94)</f>
        <v/>
      </c>
      <c r="CR57">
        <f>SUMIFS(T_Shipments[Confirmed_Qty],T_Shipments[RM_Code],$A57,T_Shipments[Effective_Week],95)</f>
        <v/>
      </c>
      <c r="CS57">
        <f>SUMIFS(T_Shipments[Confirmed_Qty],T_Shipments[RM_Code],$A57,T_Shipments[Effective_Week],96)</f>
        <v/>
      </c>
      <c r="CT57">
        <f>SUMIFS(T_Shipments[Confirmed_Qty],T_Shipments[RM_Code],$A57,T_Shipments[Effective_Week],97)</f>
        <v/>
      </c>
      <c r="CU57">
        <f>SUMIFS(T_Shipments[Confirmed_Qty],T_Shipments[RM_Code],$A57,T_Shipments[Effective_Week],98)</f>
        <v/>
      </c>
      <c r="CV57">
        <f>SUMIFS(T_Shipments[Confirmed_Qty],T_Shipments[RM_Code],$A57,T_Shipments[Effective_Week],99)</f>
        <v/>
      </c>
      <c r="CW57">
        <f>SUMIFS(T_Shipments[Confirmed_Qty],T_Shipments[RM_Code],$A57,T_Shipments[Effective_Week],100)</f>
        <v/>
      </c>
      <c r="CX57">
        <f>SUMIFS(T_Shipments[Confirmed_Qty],T_Shipments[RM_Code],$A57,T_Shipments[Effective_Week],101)</f>
        <v/>
      </c>
      <c r="CY57">
        <f>SUMIFS(T_Shipments[Confirmed_Qty],T_Shipments[RM_Code],$A57,T_Shipments[Effective_Week],102)</f>
        <v/>
      </c>
      <c r="CZ57">
        <f>SUMIFS(T_Shipments[Confirmed_Qty],T_Shipments[RM_Code],$A57,T_Shipments[Effective_Week],103)</f>
        <v/>
      </c>
      <c r="DA57">
        <f>SUMIFS(T_Shipments[Confirmed_Qty],T_Shipments[RM_Code],$A57,T_Shipments[Effective_Week],104)</f>
        <v/>
      </c>
    </row>
    <row r="58">
      <c r="A58" t="inlineStr">
        <is>
          <t>CHEM-1850</t>
        </is>
      </c>
      <c r="B58">
        <f>SUMIFS(T_Shipments[Confirmed_Qty],T_Shipments[RM_Code],$A58,T_Shipments[Effective_Week],1)</f>
        <v/>
      </c>
      <c r="C58">
        <f>SUMIFS(T_Shipments[Confirmed_Qty],T_Shipments[RM_Code],$A58,T_Shipments[Effective_Week],2)</f>
        <v/>
      </c>
      <c r="D58">
        <f>SUMIFS(T_Shipments[Confirmed_Qty],T_Shipments[RM_Code],$A58,T_Shipments[Effective_Week],3)</f>
        <v/>
      </c>
      <c r="E58">
        <f>SUMIFS(T_Shipments[Confirmed_Qty],T_Shipments[RM_Code],$A58,T_Shipments[Effective_Week],4)</f>
        <v/>
      </c>
      <c r="F58">
        <f>SUMIFS(T_Shipments[Confirmed_Qty],T_Shipments[RM_Code],$A58,T_Shipments[Effective_Week],5)</f>
        <v/>
      </c>
      <c r="G58">
        <f>SUMIFS(T_Shipments[Confirmed_Qty],T_Shipments[RM_Code],$A58,T_Shipments[Effective_Week],6)</f>
        <v/>
      </c>
      <c r="H58">
        <f>SUMIFS(T_Shipments[Confirmed_Qty],T_Shipments[RM_Code],$A58,T_Shipments[Effective_Week],7)</f>
        <v/>
      </c>
      <c r="I58">
        <f>SUMIFS(T_Shipments[Confirmed_Qty],T_Shipments[RM_Code],$A58,T_Shipments[Effective_Week],8)</f>
        <v/>
      </c>
      <c r="J58">
        <f>SUMIFS(T_Shipments[Confirmed_Qty],T_Shipments[RM_Code],$A58,T_Shipments[Effective_Week],9)</f>
        <v/>
      </c>
      <c r="K58">
        <f>SUMIFS(T_Shipments[Confirmed_Qty],T_Shipments[RM_Code],$A58,T_Shipments[Effective_Week],10)</f>
        <v/>
      </c>
      <c r="L58">
        <f>SUMIFS(T_Shipments[Confirmed_Qty],T_Shipments[RM_Code],$A58,T_Shipments[Effective_Week],11)</f>
        <v/>
      </c>
      <c r="M58">
        <f>SUMIFS(T_Shipments[Confirmed_Qty],T_Shipments[RM_Code],$A58,T_Shipments[Effective_Week],12)</f>
        <v/>
      </c>
      <c r="N58">
        <f>SUMIFS(T_Shipments[Confirmed_Qty],T_Shipments[RM_Code],$A58,T_Shipments[Effective_Week],13)</f>
        <v/>
      </c>
      <c r="O58">
        <f>SUMIFS(T_Shipments[Confirmed_Qty],T_Shipments[RM_Code],$A58,T_Shipments[Effective_Week],14)</f>
        <v/>
      </c>
      <c r="P58">
        <f>SUMIFS(T_Shipments[Confirmed_Qty],T_Shipments[RM_Code],$A58,T_Shipments[Effective_Week],15)</f>
        <v/>
      </c>
      <c r="Q58">
        <f>SUMIFS(T_Shipments[Confirmed_Qty],T_Shipments[RM_Code],$A58,T_Shipments[Effective_Week],16)</f>
        <v/>
      </c>
      <c r="R58">
        <f>SUMIFS(T_Shipments[Confirmed_Qty],T_Shipments[RM_Code],$A58,T_Shipments[Effective_Week],17)</f>
        <v/>
      </c>
      <c r="S58">
        <f>SUMIFS(T_Shipments[Confirmed_Qty],T_Shipments[RM_Code],$A58,T_Shipments[Effective_Week],18)</f>
        <v/>
      </c>
      <c r="T58">
        <f>SUMIFS(T_Shipments[Confirmed_Qty],T_Shipments[RM_Code],$A58,T_Shipments[Effective_Week],19)</f>
        <v/>
      </c>
      <c r="U58">
        <f>SUMIFS(T_Shipments[Confirmed_Qty],T_Shipments[RM_Code],$A58,T_Shipments[Effective_Week],20)</f>
        <v/>
      </c>
      <c r="V58">
        <f>SUMIFS(T_Shipments[Confirmed_Qty],T_Shipments[RM_Code],$A58,T_Shipments[Effective_Week],21)</f>
        <v/>
      </c>
      <c r="W58">
        <f>SUMIFS(T_Shipments[Confirmed_Qty],T_Shipments[RM_Code],$A58,T_Shipments[Effective_Week],22)</f>
        <v/>
      </c>
      <c r="X58">
        <f>SUMIFS(T_Shipments[Confirmed_Qty],T_Shipments[RM_Code],$A58,T_Shipments[Effective_Week],23)</f>
        <v/>
      </c>
      <c r="Y58">
        <f>SUMIFS(T_Shipments[Confirmed_Qty],T_Shipments[RM_Code],$A58,T_Shipments[Effective_Week],24)</f>
        <v/>
      </c>
      <c r="Z58">
        <f>SUMIFS(T_Shipments[Confirmed_Qty],T_Shipments[RM_Code],$A58,T_Shipments[Effective_Week],25)</f>
        <v/>
      </c>
      <c r="AA58">
        <f>SUMIFS(T_Shipments[Confirmed_Qty],T_Shipments[RM_Code],$A58,T_Shipments[Effective_Week],26)</f>
        <v/>
      </c>
      <c r="AB58">
        <f>SUMIFS(T_Shipments[Confirmed_Qty],T_Shipments[RM_Code],$A58,T_Shipments[Effective_Week],27)</f>
        <v/>
      </c>
      <c r="AC58">
        <f>SUMIFS(T_Shipments[Confirmed_Qty],T_Shipments[RM_Code],$A58,T_Shipments[Effective_Week],28)</f>
        <v/>
      </c>
      <c r="AD58">
        <f>SUMIFS(T_Shipments[Confirmed_Qty],T_Shipments[RM_Code],$A58,T_Shipments[Effective_Week],29)</f>
        <v/>
      </c>
      <c r="AE58">
        <f>SUMIFS(T_Shipments[Confirmed_Qty],T_Shipments[RM_Code],$A58,T_Shipments[Effective_Week],30)</f>
        <v/>
      </c>
      <c r="AF58">
        <f>SUMIFS(T_Shipments[Confirmed_Qty],T_Shipments[RM_Code],$A58,T_Shipments[Effective_Week],31)</f>
        <v/>
      </c>
      <c r="AG58">
        <f>SUMIFS(T_Shipments[Confirmed_Qty],T_Shipments[RM_Code],$A58,T_Shipments[Effective_Week],32)</f>
        <v/>
      </c>
      <c r="AH58">
        <f>SUMIFS(T_Shipments[Confirmed_Qty],T_Shipments[RM_Code],$A58,T_Shipments[Effective_Week],33)</f>
        <v/>
      </c>
      <c r="AI58">
        <f>SUMIFS(T_Shipments[Confirmed_Qty],T_Shipments[RM_Code],$A58,T_Shipments[Effective_Week],34)</f>
        <v/>
      </c>
      <c r="AJ58">
        <f>SUMIFS(T_Shipments[Confirmed_Qty],T_Shipments[RM_Code],$A58,T_Shipments[Effective_Week],35)</f>
        <v/>
      </c>
      <c r="AK58">
        <f>SUMIFS(T_Shipments[Confirmed_Qty],T_Shipments[RM_Code],$A58,T_Shipments[Effective_Week],36)</f>
        <v/>
      </c>
      <c r="AL58">
        <f>SUMIFS(T_Shipments[Confirmed_Qty],T_Shipments[RM_Code],$A58,T_Shipments[Effective_Week],37)</f>
        <v/>
      </c>
      <c r="AM58">
        <f>SUMIFS(T_Shipments[Confirmed_Qty],T_Shipments[RM_Code],$A58,T_Shipments[Effective_Week],38)</f>
        <v/>
      </c>
      <c r="AN58">
        <f>SUMIFS(T_Shipments[Confirmed_Qty],T_Shipments[RM_Code],$A58,T_Shipments[Effective_Week],39)</f>
        <v/>
      </c>
      <c r="AO58">
        <f>SUMIFS(T_Shipments[Confirmed_Qty],T_Shipments[RM_Code],$A58,T_Shipments[Effective_Week],40)</f>
        <v/>
      </c>
      <c r="AP58">
        <f>SUMIFS(T_Shipments[Confirmed_Qty],T_Shipments[RM_Code],$A58,T_Shipments[Effective_Week],41)</f>
        <v/>
      </c>
      <c r="AQ58">
        <f>SUMIFS(T_Shipments[Confirmed_Qty],T_Shipments[RM_Code],$A58,T_Shipments[Effective_Week],42)</f>
        <v/>
      </c>
      <c r="AR58">
        <f>SUMIFS(T_Shipments[Confirmed_Qty],T_Shipments[RM_Code],$A58,T_Shipments[Effective_Week],43)</f>
        <v/>
      </c>
      <c r="AS58">
        <f>SUMIFS(T_Shipments[Confirmed_Qty],T_Shipments[RM_Code],$A58,T_Shipments[Effective_Week],44)</f>
        <v/>
      </c>
      <c r="AT58">
        <f>SUMIFS(T_Shipments[Confirmed_Qty],T_Shipments[RM_Code],$A58,T_Shipments[Effective_Week],45)</f>
        <v/>
      </c>
      <c r="AU58">
        <f>SUMIFS(T_Shipments[Confirmed_Qty],T_Shipments[RM_Code],$A58,T_Shipments[Effective_Week],46)</f>
        <v/>
      </c>
      <c r="AV58">
        <f>SUMIFS(T_Shipments[Confirmed_Qty],T_Shipments[RM_Code],$A58,T_Shipments[Effective_Week],47)</f>
        <v/>
      </c>
      <c r="AW58">
        <f>SUMIFS(T_Shipments[Confirmed_Qty],T_Shipments[RM_Code],$A58,T_Shipments[Effective_Week],48)</f>
        <v/>
      </c>
      <c r="AX58">
        <f>SUMIFS(T_Shipments[Confirmed_Qty],T_Shipments[RM_Code],$A58,T_Shipments[Effective_Week],49)</f>
        <v/>
      </c>
      <c r="AY58">
        <f>SUMIFS(T_Shipments[Confirmed_Qty],T_Shipments[RM_Code],$A58,T_Shipments[Effective_Week],50)</f>
        <v/>
      </c>
      <c r="AZ58">
        <f>SUMIFS(T_Shipments[Confirmed_Qty],T_Shipments[RM_Code],$A58,T_Shipments[Effective_Week],51)</f>
        <v/>
      </c>
      <c r="BA58">
        <f>SUMIFS(T_Shipments[Confirmed_Qty],T_Shipments[RM_Code],$A58,T_Shipments[Effective_Week],52)</f>
        <v/>
      </c>
      <c r="BB58">
        <f>SUMIFS(T_Shipments[Confirmed_Qty],T_Shipments[RM_Code],$A58,T_Shipments[Effective_Week],53)</f>
        <v/>
      </c>
      <c r="BC58">
        <f>SUMIFS(T_Shipments[Confirmed_Qty],T_Shipments[RM_Code],$A58,T_Shipments[Effective_Week],54)</f>
        <v/>
      </c>
      <c r="BD58">
        <f>SUMIFS(T_Shipments[Confirmed_Qty],T_Shipments[RM_Code],$A58,T_Shipments[Effective_Week],55)</f>
        <v/>
      </c>
      <c r="BE58">
        <f>SUMIFS(T_Shipments[Confirmed_Qty],T_Shipments[RM_Code],$A58,T_Shipments[Effective_Week],56)</f>
        <v/>
      </c>
      <c r="BF58">
        <f>SUMIFS(T_Shipments[Confirmed_Qty],T_Shipments[RM_Code],$A58,T_Shipments[Effective_Week],57)</f>
        <v/>
      </c>
      <c r="BG58">
        <f>SUMIFS(T_Shipments[Confirmed_Qty],T_Shipments[RM_Code],$A58,T_Shipments[Effective_Week],58)</f>
        <v/>
      </c>
      <c r="BH58">
        <f>SUMIFS(T_Shipments[Confirmed_Qty],T_Shipments[RM_Code],$A58,T_Shipments[Effective_Week],59)</f>
        <v/>
      </c>
      <c r="BI58">
        <f>SUMIFS(T_Shipments[Confirmed_Qty],T_Shipments[RM_Code],$A58,T_Shipments[Effective_Week],60)</f>
        <v/>
      </c>
      <c r="BJ58">
        <f>SUMIFS(T_Shipments[Confirmed_Qty],T_Shipments[RM_Code],$A58,T_Shipments[Effective_Week],61)</f>
        <v/>
      </c>
      <c r="BK58">
        <f>SUMIFS(T_Shipments[Confirmed_Qty],T_Shipments[RM_Code],$A58,T_Shipments[Effective_Week],62)</f>
        <v/>
      </c>
      <c r="BL58">
        <f>SUMIFS(T_Shipments[Confirmed_Qty],T_Shipments[RM_Code],$A58,T_Shipments[Effective_Week],63)</f>
        <v/>
      </c>
      <c r="BM58">
        <f>SUMIFS(T_Shipments[Confirmed_Qty],T_Shipments[RM_Code],$A58,T_Shipments[Effective_Week],64)</f>
        <v/>
      </c>
      <c r="BN58">
        <f>SUMIFS(T_Shipments[Confirmed_Qty],T_Shipments[RM_Code],$A58,T_Shipments[Effective_Week],65)</f>
        <v/>
      </c>
      <c r="BO58">
        <f>SUMIFS(T_Shipments[Confirmed_Qty],T_Shipments[RM_Code],$A58,T_Shipments[Effective_Week],66)</f>
        <v/>
      </c>
      <c r="BP58">
        <f>SUMIFS(T_Shipments[Confirmed_Qty],T_Shipments[RM_Code],$A58,T_Shipments[Effective_Week],67)</f>
        <v/>
      </c>
      <c r="BQ58">
        <f>SUMIFS(T_Shipments[Confirmed_Qty],T_Shipments[RM_Code],$A58,T_Shipments[Effective_Week],68)</f>
        <v/>
      </c>
      <c r="BR58">
        <f>SUMIFS(T_Shipments[Confirmed_Qty],T_Shipments[RM_Code],$A58,T_Shipments[Effective_Week],69)</f>
        <v/>
      </c>
      <c r="BS58">
        <f>SUMIFS(T_Shipments[Confirmed_Qty],T_Shipments[RM_Code],$A58,T_Shipments[Effective_Week],70)</f>
        <v/>
      </c>
      <c r="BT58">
        <f>SUMIFS(T_Shipments[Confirmed_Qty],T_Shipments[RM_Code],$A58,T_Shipments[Effective_Week],71)</f>
        <v/>
      </c>
      <c r="BU58">
        <f>SUMIFS(T_Shipments[Confirmed_Qty],T_Shipments[RM_Code],$A58,T_Shipments[Effective_Week],72)</f>
        <v/>
      </c>
      <c r="BV58">
        <f>SUMIFS(T_Shipments[Confirmed_Qty],T_Shipments[RM_Code],$A58,T_Shipments[Effective_Week],73)</f>
        <v/>
      </c>
      <c r="BW58">
        <f>SUMIFS(T_Shipments[Confirmed_Qty],T_Shipments[RM_Code],$A58,T_Shipments[Effective_Week],74)</f>
        <v/>
      </c>
      <c r="BX58">
        <f>SUMIFS(T_Shipments[Confirmed_Qty],T_Shipments[RM_Code],$A58,T_Shipments[Effective_Week],75)</f>
        <v/>
      </c>
      <c r="BY58">
        <f>SUMIFS(T_Shipments[Confirmed_Qty],T_Shipments[RM_Code],$A58,T_Shipments[Effective_Week],76)</f>
        <v/>
      </c>
      <c r="BZ58">
        <f>SUMIFS(T_Shipments[Confirmed_Qty],T_Shipments[RM_Code],$A58,T_Shipments[Effective_Week],77)</f>
        <v/>
      </c>
      <c r="CA58">
        <f>SUMIFS(T_Shipments[Confirmed_Qty],T_Shipments[RM_Code],$A58,T_Shipments[Effective_Week],78)</f>
        <v/>
      </c>
      <c r="CB58">
        <f>SUMIFS(T_Shipments[Confirmed_Qty],T_Shipments[RM_Code],$A58,T_Shipments[Effective_Week],79)</f>
        <v/>
      </c>
      <c r="CC58">
        <f>SUMIFS(T_Shipments[Confirmed_Qty],T_Shipments[RM_Code],$A58,T_Shipments[Effective_Week],80)</f>
        <v/>
      </c>
      <c r="CD58">
        <f>SUMIFS(T_Shipments[Confirmed_Qty],T_Shipments[RM_Code],$A58,T_Shipments[Effective_Week],81)</f>
        <v/>
      </c>
      <c r="CE58">
        <f>SUMIFS(T_Shipments[Confirmed_Qty],T_Shipments[RM_Code],$A58,T_Shipments[Effective_Week],82)</f>
        <v/>
      </c>
      <c r="CF58">
        <f>SUMIFS(T_Shipments[Confirmed_Qty],T_Shipments[RM_Code],$A58,T_Shipments[Effective_Week],83)</f>
        <v/>
      </c>
      <c r="CG58">
        <f>SUMIFS(T_Shipments[Confirmed_Qty],T_Shipments[RM_Code],$A58,T_Shipments[Effective_Week],84)</f>
        <v/>
      </c>
      <c r="CH58">
        <f>SUMIFS(T_Shipments[Confirmed_Qty],T_Shipments[RM_Code],$A58,T_Shipments[Effective_Week],85)</f>
        <v/>
      </c>
      <c r="CI58">
        <f>SUMIFS(T_Shipments[Confirmed_Qty],T_Shipments[RM_Code],$A58,T_Shipments[Effective_Week],86)</f>
        <v/>
      </c>
      <c r="CJ58">
        <f>SUMIFS(T_Shipments[Confirmed_Qty],T_Shipments[RM_Code],$A58,T_Shipments[Effective_Week],87)</f>
        <v/>
      </c>
      <c r="CK58">
        <f>SUMIFS(T_Shipments[Confirmed_Qty],T_Shipments[RM_Code],$A58,T_Shipments[Effective_Week],88)</f>
        <v/>
      </c>
      <c r="CL58">
        <f>SUMIFS(T_Shipments[Confirmed_Qty],T_Shipments[RM_Code],$A58,T_Shipments[Effective_Week],89)</f>
        <v/>
      </c>
      <c r="CM58">
        <f>SUMIFS(T_Shipments[Confirmed_Qty],T_Shipments[RM_Code],$A58,T_Shipments[Effective_Week],90)</f>
        <v/>
      </c>
      <c r="CN58">
        <f>SUMIFS(T_Shipments[Confirmed_Qty],T_Shipments[RM_Code],$A58,T_Shipments[Effective_Week],91)</f>
        <v/>
      </c>
      <c r="CO58">
        <f>SUMIFS(T_Shipments[Confirmed_Qty],T_Shipments[RM_Code],$A58,T_Shipments[Effective_Week],92)</f>
        <v/>
      </c>
      <c r="CP58">
        <f>SUMIFS(T_Shipments[Confirmed_Qty],T_Shipments[RM_Code],$A58,T_Shipments[Effective_Week],93)</f>
        <v/>
      </c>
      <c r="CQ58">
        <f>SUMIFS(T_Shipments[Confirmed_Qty],T_Shipments[RM_Code],$A58,T_Shipments[Effective_Week],94)</f>
        <v/>
      </c>
      <c r="CR58">
        <f>SUMIFS(T_Shipments[Confirmed_Qty],T_Shipments[RM_Code],$A58,T_Shipments[Effective_Week],95)</f>
        <v/>
      </c>
      <c r="CS58">
        <f>SUMIFS(T_Shipments[Confirmed_Qty],T_Shipments[RM_Code],$A58,T_Shipments[Effective_Week],96)</f>
        <v/>
      </c>
      <c r="CT58">
        <f>SUMIFS(T_Shipments[Confirmed_Qty],T_Shipments[RM_Code],$A58,T_Shipments[Effective_Week],97)</f>
        <v/>
      </c>
      <c r="CU58">
        <f>SUMIFS(T_Shipments[Confirmed_Qty],T_Shipments[RM_Code],$A58,T_Shipments[Effective_Week],98)</f>
        <v/>
      </c>
      <c r="CV58">
        <f>SUMIFS(T_Shipments[Confirmed_Qty],T_Shipments[RM_Code],$A58,T_Shipments[Effective_Week],99)</f>
        <v/>
      </c>
      <c r="CW58">
        <f>SUMIFS(T_Shipments[Confirmed_Qty],T_Shipments[RM_Code],$A58,T_Shipments[Effective_Week],100)</f>
        <v/>
      </c>
      <c r="CX58">
        <f>SUMIFS(T_Shipments[Confirmed_Qty],T_Shipments[RM_Code],$A58,T_Shipments[Effective_Week],101)</f>
        <v/>
      </c>
      <c r="CY58">
        <f>SUMIFS(T_Shipments[Confirmed_Qty],T_Shipments[RM_Code],$A58,T_Shipments[Effective_Week],102)</f>
        <v/>
      </c>
      <c r="CZ58">
        <f>SUMIFS(T_Shipments[Confirmed_Qty],T_Shipments[RM_Code],$A58,T_Shipments[Effective_Week],103)</f>
        <v/>
      </c>
      <c r="DA58">
        <f>SUMIFS(T_Shipments[Confirmed_Qty],T_Shipments[RM_Code],$A58,T_Shipments[Effective_Week],104)</f>
        <v/>
      </c>
    </row>
    <row r="59">
      <c r="A59" t="inlineStr">
        <is>
          <t>CHEM-1780</t>
        </is>
      </c>
      <c r="B59">
        <f>SUMIFS(T_Shipments[Confirmed_Qty],T_Shipments[RM_Code],$A59,T_Shipments[Effective_Week],1)</f>
        <v/>
      </c>
      <c r="C59">
        <f>SUMIFS(T_Shipments[Confirmed_Qty],T_Shipments[RM_Code],$A59,T_Shipments[Effective_Week],2)</f>
        <v/>
      </c>
      <c r="D59">
        <f>SUMIFS(T_Shipments[Confirmed_Qty],T_Shipments[RM_Code],$A59,T_Shipments[Effective_Week],3)</f>
        <v/>
      </c>
      <c r="E59">
        <f>SUMIFS(T_Shipments[Confirmed_Qty],T_Shipments[RM_Code],$A59,T_Shipments[Effective_Week],4)</f>
        <v/>
      </c>
      <c r="F59">
        <f>SUMIFS(T_Shipments[Confirmed_Qty],T_Shipments[RM_Code],$A59,T_Shipments[Effective_Week],5)</f>
        <v/>
      </c>
      <c r="G59">
        <f>SUMIFS(T_Shipments[Confirmed_Qty],T_Shipments[RM_Code],$A59,T_Shipments[Effective_Week],6)</f>
        <v/>
      </c>
      <c r="H59">
        <f>SUMIFS(T_Shipments[Confirmed_Qty],T_Shipments[RM_Code],$A59,T_Shipments[Effective_Week],7)</f>
        <v/>
      </c>
      <c r="I59">
        <f>SUMIFS(T_Shipments[Confirmed_Qty],T_Shipments[RM_Code],$A59,T_Shipments[Effective_Week],8)</f>
        <v/>
      </c>
      <c r="J59">
        <f>SUMIFS(T_Shipments[Confirmed_Qty],T_Shipments[RM_Code],$A59,T_Shipments[Effective_Week],9)</f>
        <v/>
      </c>
      <c r="K59">
        <f>SUMIFS(T_Shipments[Confirmed_Qty],T_Shipments[RM_Code],$A59,T_Shipments[Effective_Week],10)</f>
        <v/>
      </c>
      <c r="L59">
        <f>SUMIFS(T_Shipments[Confirmed_Qty],T_Shipments[RM_Code],$A59,T_Shipments[Effective_Week],11)</f>
        <v/>
      </c>
      <c r="M59">
        <f>SUMIFS(T_Shipments[Confirmed_Qty],T_Shipments[RM_Code],$A59,T_Shipments[Effective_Week],12)</f>
        <v/>
      </c>
      <c r="N59">
        <f>SUMIFS(T_Shipments[Confirmed_Qty],T_Shipments[RM_Code],$A59,T_Shipments[Effective_Week],13)</f>
        <v/>
      </c>
      <c r="O59">
        <f>SUMIFS(T_Shipments[Confirmed_Qty],T_Shipments[RM_Code],$A59,T_Shipments[Effective_Week],14)</f>
        <v/>
      </c>
      <c r="P59">
        <f>SUMIFS(T_Shipments[Confirmed_Qty],T_Shipments[RM_Code],$A59,T_Shipments[Effective_Week],15)</f>
        <v/>
      </c>
      <c r="Q59">
        <f>SUMIFS(T_Shipments[Confirmed_Qty],T_Shipments[RM_Code],$A59,T_Shipments[Effective_Week],16)</f>
        <v/>
      </c>
      <c r="R59">
        <f>SUMIFS(T_Shipments[Confirmed_Qty],T_Shipments[RM_Code],$A59,T_Shipments[Effective_Week],17)</f>
        <v/>
      </c>
      <c r="S59">
        <f>SUMIFS(T_Shipments[Confirmed_Qty],T_Shipments[RM_Code],$A59,T_Shipments[Effective_Week],18)</f>
        <v/>
      </c>
      <c r="T59">
        <f>SUMIFS(T_Shipments[Confirmed_Qty],T_Shipments[RM_Code],$A59,T_Shipments[Effective_Week],19)</f>
        <v/>
      </c>
      <c r="U59">
        <f>SUMIFS(T_Shipments[Confirmed_Qty],T_Shipments[RM_Code],$A59,T_Shipments[Effective_Week],20)</f>
        <v/>
      </c>
      <c r="V59">
        <f>SUMIFS(T_Shipments[Confirmed_Qty],T_Shipments[RM_Code],$A59,T_Shipments[Effective_Week],21)</f>
        <v/>
      </c>
      <c r="W59">
        <f>SUMIFS(T_Shipments[Confirmed_Qty],T_Shipments[RM_Code],$A59,T_Shipments[Effective_Week],22)</f>
        <v/>
      </c>
      <c r="X59">
        <f>SUMIFS(T_Shipments[Confirmed_Qty],T_Shipments[RM_Code],$A59,T_Shipments[Effective_Week],23)</f>
        <v/>
      </c>
      <c r="Y59">
        <f>SUMIFS(T_Shipments[Confirmed_Qty],T_Shipments[RM_Code],$A59,T_Shipments[Effective_Week],24)</f>
        <v/>
      </c>
      <c r="Z59">
        <f>SUMIFS(T_Shipments[Confirmed_Qty],T_Shipments[RM_Code],$A59,T_Shipments[Effective_Week],25)</f>
        <v/>
      </c>
      <c r="AA59">
        <f>SUMIFS(T_Shipments[Confirmed_Qty],T_Shipments[RM_Code],$A59,T_Shipments[Effective_Week],26)</f>
        <v/>
      </c>
      <c r="AB59">
        <f>SUMIFS(T_Shipments[Confirmed_Qty],T_Shipments[RM_Code],$A59,T_Shipments[Effective_Week],27)</f>
        <v/>
      </c>
      <c r="AC59">
        <f>SUMIFS(T_Shipments[Confirmed_Qty],T_Shipments[RM_Code],$A59,T_Shipments[Effective_Week],28)</f>
        <v/>
      </c>
      <c r="AD59">
        <f>SUMIFS(T_Shipments[Confirmed_Qty],T_Shipments[RM_Code],$A59,T_Shipments[Effective_Week],29)</f>
        <v/>
      </c>
      <c r="AE59">
        <f>SUMIFS(T_Shipments[Confirmed_Qty],T_Shipments[RM_Code],$A59,T_Shipments[Effective_Week],30)</f>
        <v/>
      </c>
      <c r="AF59">
        <f>SUMIFS(T_Shipments[Confirmed_Qty],T_Shipments[RM_Code],$A59,T_Shipments[Effective_Week],31)</f>
        <v/>
      </c>
      <c r="AG59">
        <f>SUMIFS(T_Shipments[Confirmed_Qty],T_Shipments[RM_Code],$A59,T_Shipments[Effective_Week],32)</f>
        <v/>
      </c>
      <c r="AH59">
        <f>SUMIFS(T_Shipments[Confirmed_Qty],T_Shipments[RM_Code],$A59,T_Shipments[Effective_Week],33)</f>
        <v/>
      </c>
      <c r="AI59">
        <f>SUMIFS(T_Shipments[Confirmed_Qty],T_Shipments[RM_Code],$A59,T_Shipments[Effective_Week],34)</f>
        <v/>
      </c>
      <c r="AJ59">
        <f>SUMIFS(T_Shipments[Confirmed_Qty],T_Shipments[RM_Code],$A59,T_Shipments[Effective_Week],35)</f>
        <v/>
      </c>
      <c r="AK59">
        <f>SUMIFS(T_Shipments[Confirmed_Qty],T_Shipments[RM_Code],$A59,T_Shipments[Effective_Week],36)</f>
        <v/>
      </c>
      <c r="AL59">
        <f>SUMIFS(T_Shipments[Confirmed_Qty],T_Shipments[RM_Code],$A59,T_Shipments[Effective_Week],37)</f>
        <v/>
      </c>
      <c r="AM59">
        <f>SUMIFS(T_Shipments[Confirmed_Qty],T_Shipments[RM_Code],$A59,T_Shipments[Effective_Week],38)</f>
        <v/>
      </c>
      <c r="AN59">
        <f>SUMIFS(T_Shipments[Confirmed_Qty],T_Shipments[RM_Code],$A59,T_Shipments[Effective_Week],39)</f>
        <v/>
      </c>
      <c r="AO59">
        <f>SUMIFS(T_Shipments[Confirmed_Qty],T_Shipments[RM_Code],$A59,T_Shipments[Effective_Week],40)</f>
        <v/>
      </c>
      <c r="AP59">
        <f>SUMIFS(T_Shipments[Confirmed_Qty],T_Shipments[RM_Code],$A59,T_Shipments[Effective_Week],41)</f>
        <v/>
      </c>
      <c r="AQ59">
        <f>SUMIFS(T_Shipments[Confirmed_Qty],T_Shipments[RM_Code],$A59,T_Shipments[Effective_Week],42)</f>
        <v/>
      </c>
      <c r="AR59">
        <f>SUMIFS(T_Shipments[Confirmed_Qty],T_Shipments[RM_Code],$A59,T_Shipments[Effective_Week],43)</f>
        <v/>
      </c>
      <c r="AS59">
        <f>SUMIFS(T_Shipments[Confirmed_Qty],T_Shipments[RM_Code],$A59,T_Shipments[Effective_Week],44)</f>
        <v/>
      </c>
      <c r="AT59">
        <f>SUMIFS(T_Shipments[Confirmed_Qty],T_Shipments[RM_Code],$A59,T_Shipments[Effective_Week],45)</f>
        <v/>
      </c>
      <c r="AU59">
        <f>SUMIFS(T_Shipments[Confirmed_Qty],T_Shipments[RM_Code],$A59,T_Shipments[Effective_Week],46)</f>
        <v/>
      </c>
      <c r="AV59">
        <f>SUMIFS(T_Shipments[Confirmed_Qty],T_Shipments[RM_Code],$A59,T_Shipments[Effective_Week],47)</f>
        <v/>
      </c>
      <c r="AW59">
        <f>SUMIFS(T_Shipments[Confirmed_Qty],T_Shipments[RM_Code],$A59,T_Shipments[Effective_Week],48)</f>
        <v/>
      </c>
      <c r="AX59">
        <f>SUMIFS(T_Shipments[Confirmed_Qty],T_Shipments[RM_Code],$A59,T_Shipments[Effective_Week],49)</f>
        <v/>
      </c>
      <c r="AY59">
        <f>SUMIFS(T_Shipments[Confirmed_Qty],T_Shipments[RM_Code],$A59,T_Shipments[Effective_Week],50)</f>
        <v/>
      </c>
      <c r="AZ59">
        <f>SUMIFS(T_Shipments[Confirmed_Qty],T_Shipments[RM_Code],$A59,T_Shipments[Effective_Week],51)</f>
        <v/>
      </c>
      <c r="BA59">
        <f>SUMIFS(T_Shipments[Confirmed_Qty],T_Shipments[RM_Code],$A59,T_Shipments[Effective_Week],52)</f>
        <v/>
      </c>
      <c r="BB59">
        <f>SUMIFS(T_Shipments[Confirmed_Qty],T_Shipments[RM_Code],$A59,T_Shipments[Effective_Week],53)</f>
        <v/>
      </c>
      <c r="BC59">
        <f>SUMIFS(T_Shipments[Confirmed_Qty],T_Shipments[RM_Code],$A59,T_Shipments[Effective_Week],54)</f>
        <v/>
      </c>
      <c r="BD59">
        <f>SUMIFS(T_Shipments[Confirmed_Qty],T_Shipments[RM_Code],$A59,T_Shipments[Effective_Week],55)</f>
        <v/>
      </c>
      <c r="BE59">
        <f>SUMIFS(T_Shipments[Confirmed_Qty],T_Shipments[RM_Code],$A59,T_Shipments[Effective_Week],56)</f>
        <v/>
      </c>
      <c r="BF59">
        <f>SUMIFS(T_Shipments[Confirmed_Qty],T_Shipments[RM_Code],$A59,T_Shipments[Effective_Week],57)</f>
        <v/>
      </c>
      <c r="BG59">
        <f>SUMIFS(T_Shipments[Confirmed_Qty],T_Shipments[RM_Code],$A59,T_Shipments[Effective_Week],58)</f>
        <v/>
      </c>
      <c r="BH59">
        <f>SUMIFS(T_Shipments[Confirmed_Qty],T_Shipments[RM_Code],$A59,T_Shipments[Effective_Week],59)</f>
        <v/>
      </c>
      <c r="BI59">
        <f>SUMIFS(T_Shipments[Confirmed_Qty],T_Shipments[RM_Code],$A59,T_Shipments[Effective_Week],60)</f>
        <v/>
      </c>
      <c r="BJ59">
        <f>SUMIFS(T_Shipments[Confirmed_Qty],T_Shipments[RM_Code],$A59,T_Shipments[Effective_Week],61)</f>
        <v/>
      </c>
      <c r="BK59">
        <f>SUMIFS(T_Shipments[Confirmed_Qty],T_Shipments[RM_Code],$A59,T_Shipments[Effective_Week],62)</f>
        <v/>
      </c>
      <c r="BL59">
        <f>SUMIFS(T_Shipments[Confirmed_Qty],T_Shipments[RM_Code],$A59,T_Shipments[Effective_Week],63)</f>
        <v/>
      </c>
      <c r="BM59">
        <f>SUMIFS(T_Shipments[Confirmed_Qty],T_Shipments[RM_Code],$A59,T_Shipments[Effective_Week],64)</f>
        <v/>
      </c>
      <c r="BN59">
        <f>SUMIFS(T_Shipments[Confirmed_Qty],T_Shipments[RM_Code],$A59,T_Shipments[Effective_Week],65)</f>
        <v/>
      </c>
      <c r="BO59">
        <f>SUMIFS(T_Shipments[Confirmed_Qty],T_Shipments[RM_Code],$A59,T_Shipments[Effective_Week],66)</f>
        <v/>
      </c>
      <c r="BP59">
        <f>SUMIFS(T_Shipments[Confirmed_Qty],T_Shipments[RM_Code],$A59,T_Shipments[Effective_Week],67)</f>
        <v/>
      </c>
      <c r="BQ59">
        <f>SUMIFS(T_Shipments[Confirmed_Qty],T_Shipments[RM_Code],$A59,T_Shipments[Effective_Week],68)</f>
        <v/>
      </c>
      <c r="BR59">
        <f>SUMIFS(T_Shipments[Confirmed_Qty],T_Shipments[RM_Code],$A59,T_Shipments[Effective_Week],69)</f>
        <v/>
      </c>
      <c r="BS59">
        <f>SUMIFS(T_Shipments[Confirmed_Qty],T_Shipments[RM_Code],$A59,T_Shipments[Effective_Week],70)</f>
        <v/>
      </c>
      <c r="BT59">
        <f>SUMIFS(T_Shipments[Confirmed_Qty],T_Shipments[RM_Code],$A59,T_Shipments[Effective_Week],71)</f>
        <v/>
      </c>
      <c r="BU59">
        <f>SUMIFS(T_Shipments[Confirmed_Qty],T_Shipments[RM_Code],$A59,T_Shipments[Effective_Week],72)</f>
        <v/>
      </c>
      <c r="BV59">
        <f>SUMIFS(T_Shipments[Confirmed_Qty],T_Shipments[RM_Code],$A59,T_Shipments[Effective_Week],73)</f>
        <v/>
      </c>
      <c r="BW59">
        <f>SUMIFS(T_Shipments[Confirmed_Qty],T_Shipments[RM_Code],$A59,T_Shipments[Effective_Week],74)</f>
        <v/>
      </c>
      <c r="BX59">
        <f>SUMIFS(T_Shipments[Confirmed_Qty],T_Shipments[RM_Code],$A59,T_Shipments[Effective_Week],75)</f>
        <v/>
      </c>
      <c r="BY59">
        <f>SUMIFS(T_Shipments[Confirmed_Qty],T_Shipments[RM_Code],$A59,T_Shipments[Effective_Week],76)</f>
        <v/>
      </c>
      <c r="BZ59">
        <f>SUMIFS(T_Shipments[Confirmed_Qty],T_Shipments[RM_Code],$A59,T_Shipments[Effective_Week],77)</f>
        <v/>
      </c>
      <c r="CA59">
        <f>SUMIFS(T_Shipments[Confirmed_Qty],T_Shipments[RM_Code],$A59,T_Shipments[Effective_Week],78)</f>
        <v/>
      </c>
      <c r="CB59">
        <f>SUMIFS(T_Shipments[Confirmed_Qty],T_Shipments[RM_Code],$A59,T_Shipments[Effective_Week],79)</f>
        <v/>
      </c>
      <c r="CC59">
        <f>SUMIFS(T_Shipments[Confirmed_Qty],T_Shipments[RM_Code],$A59,T_Shipments[Effective_Week],80)</f>
        <v/>
      </c>
      <c r="CD59">
        <f>SUMIFS(T_Shipments[Confirmed_Qty],T_Shipments[RM_Code],$A59,T_Shipments[Effective_Week],81)</f>
        <v/>
      </c>
      <c r="CE59">
        <f>SUMIFS(T_Shipments[Confirmed_Qty],T_Shipments[RM_Code],$A59,T_Shipments[Effective_Week],82)</f>
        <v/>
      </c>
      <c r="CF59">
        <f>SUMIFS(T_Shipments[Confirmed_Qty],T_Shipments[RM_Code],$A59,T_Shipments[Effective_Week],83)</f>
        <v/>
      </c>
      <c r="CG59">
        <f>SUMIFS(T_Shipments[Confirmed_Qty],T_Shipments[RM_Code],$A59,T_Shipments[Effective_Week],84)</f>
        <v/>
      </c>
      <c r="CH59">
        <f>SUMIFS(T_Shipments[Confirmed_Qty],T_Shipments[RM_Code],$A59,T_Shipments[Effective_Week],85)</f>
        <v/>
      </c>
      <c r="CI59">
        <f>SUMIFS(T_Shipments[Confirmed_Qty],T_Shipments[RM_Code],$A59,T_Shipments[Effective_Week],86)</f>
        <v/>
      </c>
      <c r="CJ59">
        <f>SUMIFS(T_Shipments[Confirmed_Qty],T_Shipments[RM_Code],$A59,T_Shipments[Effective_Week],87)</f>
        <v/>
      </c>
      <c r="CK59">
        <f>SUMIFS(T_Shipments[Confirmed_Qty],T_Shipments[RM_Code],$A59,T_Shipments[Effective_Week],88)</f>
        <v/>
      </c>
      <c r="CL59">
        <f>SUMIFS(T_Shipments[Confirmed_Qty],T_Shipments[RM_Code],$A59,T_Shipments[Effective_Week],89)</f>
        <v/>
      </c>
      <c r="CM59">
        <f>SUMIFS(T_Shipments[Confirmed_Qty],T_Shipments[RM_Code],$A59,T_Shipments[Effective_Week],90)</f>
        <v/>
      </c>
      <c r="CN59">
        <f>SUMIFS(T_Shipments[Confirmed_Qty],T_Shipments[RM_Code],$A59,T_Shipments[Effective_Week],91)</f>
        <v/>
      </c>
      <c r="CO59">
        <f>SUMIFS(T_Shipments[Confirmed_Qty],T_Shipments[RM_Code],$A59,T_Shipments[Effective_Week],92)</f>
        <v/>
      </c>
      <c r="CP59">
        <f>SUMIFS(T_Shipments[Confirmed_Qty],T_Shipments[RM_Code],$A59,T_Shipments[Effective_Week],93)</f>
        <v/>
      </c>
      <c r="CQ59">
        <f>SUMIFS(T_Shipments[Confirmed_Qty],T_Shipments[RM_Code],$A59,T_Shipments[Effective_Week],94)</f>
        <v/>
      </c>
      <c r="CR59">
        <f>SUMIFS(T_Shipments[Confirmed_Qty],T_Shipments[RM_Code],$A59,T_Shipments[Effective_Week],95)</f>
        <v/>
      </c>
      <c r="CS59">
        <f>SUMIFS(T_Shipments[Confirmed_Qty],T_Shipments[RM_Code],$A59,T_Shipments[Effective_Week],96)</f>
        <v/>
      </c>
      <c r="CT59">
        <f>SUMIFS(T_Shipments[Confirmed_Qty],T_Shipments[RM_Code],$A59,T_Shipments[Effective_Week],97)</f>
        <v/>
      </c>
      <c r="CU59">
        <f>SUMIFS(T_Shipments[Confirmed_Qty],T_Shipments[RM_Code],$A59,T_Shipments[Effective_Week],98)</f>
        <v/>
      </c>
      <c r="CV59">
        <f>SUMIFS(T_Shipments[Confirmed_Qty],T_Shipments[RM_Code],$A59,T_Shipments[Effective_Week],99)</f>
        <v/>
      </c>
      <c r="CW59">
        <f>SUMIFS(T_Shipments[Confirmed_Qty],T_Shipments[RM_Code],$A59,T_Shipments[Effective_Week],100)</f>
        <v/>
      </c>
      <c r="CX59">
        <f>SUMIFS(T_Shipments[Confirmed_Qty],T_Shipments[RM_Code],$A59,T_Shipments[Effective_Week],101)</f>
        <v/>
      </c>
      <c r="CY59">
        <f>SUMIFS(T_Shipments[Confirmed_Qty],T_Shipments[RM_Code],$A59,T_Shipments[Effective_Week],102)</f>
        <v/>
      </c>
      <c r="CZ59">
        <f>SUMIFS(T_Shipments[Confirmed_Qty],T_Shipments[RM_Code],$A59,T_Shipments[Effective_Week],103)</f>
        <v/>
      </c>
      <c r="DA59">
        <f>SUMIFS(T_Shipments[Confirmed_Qty],T_Shipments[RM_Code],$A59,T_Shipments[Effective_Week],104)</f>
        <v/>
      </c>
    </row>
    <row r="60">
      <c r="A60" t="inlineStr">
        <is>
          <t>CHEM-1020</t>
        </is>
      </c>
      <c r="B60">
        <f>SUMIFS(T_Shipments[Confirmed_Qty],T_Shipments[RM_Code],$A60,T_Shipments[Effective_Week],1)</f>
        <v/>
      </c>
      <c r="C60">
        <f>SUMIFS(T_Shipments[Confirmed_Qty],T_Shipments[RM_Code],$A60,T_Shipments[Effective_Week],2)</f>
        <v/>
      </c>
      <c r="D60">
        <f>SUMIFS(T_Shipments[Confirmed_Qty],T_Shipments[RM_Code],$A60,T_Shipments[Effective_Week],3)</f>
        <v/>
      </c>
      <c r="E60">
        <f>SUMIFS(T_Shipments[Confirmed_Qty],T_Shipments[RM_Code],$A60,T_Shipments[Effective_Week],4)</f>
        <v/>
      </c>
      <c r="F60">
        <f>SUMIFS(T_Shipments[Confirmed_Qty],T_Shipments[RM_Code],$A60,T_Shipments[Effective_Week],5)</f>
        <v/>
      </c>
      <c r="G60">
        <f>SUMIFS(T_Shipments[Confirmed_Qty],T_Shipments[RM_Code],$A60,T_Shipments[Effective_Week],6)</f>
        <v/>
      </c>
      <c r="H60">
        <f>SUMIFS(T_Shipments[Confirmed_Qty],T_Shipments[RM_Code],$A60,T_Shipments[Effective_Week],7)</f>
        <v/>
      </c>
      <c r="I60">
        <f>SUMIFS(T_Shipments[Confirmed_Qty],T_Shipments[RM_Code],$A60,T_Shipments[Effective_Week],8)</f>
        <v/>
      </c>
      <c r="J60">
        <f>SUMIFS(T_Shipments[Confirmed_Qty],T_Shipments[RM_Code],$A60,T_Shipments[Effective_Week],9)</f>
        <v/>
      </c>
      <c r="K60">
        <f>SUMIFS(T_Shipments[Confirmed_Qty],T_Shipments[RM_Code],$A60,T_Shipments[Effective_Week],10)</f>
        <v/>
      </c>
      <c r="L60">
        <f>SUMIFS(T_Shipments[Confirmed_Qty],T_Shipments[RM_Code],$A60,T_Shipments[Effective_Week],11)</f>
        <v/>
      </c>
      <c r="M60">
        <f>SUMIFS(T_Shipments[Confirmed_Qty],T_Shipments[RM_Code],$A60,T_Shipments[Effective_Week],12)</f>
        <v/>
      </c>
      <c r="N60">
        <f>SUMIFS(T_Shipments[Confirmed_Qty],T_Shipments[RM_Code],$A60,T_Shipments[Effective_Week],13)</f>
        <v/>
      </c>
      <c r="O60">
        <f>SUMIFS(T_Shipments[Confirmed_Qty],T_Shipments[RM_Code],$A60,T_Shipments[Effective_Week],14)</f>
        <v/>
      </c>
      <c r="P60">
        <f>SUMIFS(T_Shipments[Confirmed_Qty],T_Shipments[RM_Code],$A60,T_Shipments[Effective_Week],15)</f>
        <v/>
      </c>
      <c r="Q60">
        <f>SUMIFS(T_Shipments[Confirmed_Qty],T_Shipments[RM_Code],$A60,T_Shipments[Effective_Week],16)</f>
        <v/>
      </c>
      <c r="R60">
        <f>SUMIFS(T_Shipments[Confirmed_Qty],T_Shipments[RM_Code],$A60,T_Shipments[Effective_Week],17)</f>
        <v/>
      </c>
      <c r="S60">
        <f>SUMIFS(T_Shipments[Confirmed_Qty],T_Shipments[RM_Code],$A60,T_Shipments[Effective_Week],18)</f>
        <v/>
      </c>
      <c r="T60">
        <f>SUMIFS(T_Shipments[Confirmed_Qty],T_Shipments[RM_Code],$A60,T_Shipments[Effective_Week],19)</f>
        <v/>
      </c>
      <c r="U60">
        <f>SUMIFS(T_Shipments[Confirmed_Qty],T_Shipments[RM_Code],$A60,T_Shipments[Effective_Week],20)</f>
        <v/>
      </c>
      <c r="V60">
        <f>SUMIFS(T_Shipments[Confirmed_Qty],T_Shipments[RM_Code],$A60,T_Shipments[Effective_Week],21)</f>
        <v/>
      </c>
      <c r="W60">
        <f>SUMIFS(T_Shipments[Confirmed_Qty],T_Shipments[RM_Code],$A60,T_Shipments[Effective_Week],22)</f>
        <v/>
      </c>
      <c r="X60">
        <f>SUMIFS(T_Shipments[Confirmed_Qty],T_Shipments[RM_Code],$A60,T_Shipments[Effective_Week],23)</f>
        <v/>
      </c>
      <c r="Y60">
        <f>SUMIFS(T_Shipments[Confirmed_Qty],T_Shipments[RM_Code],$A60,T_Shipments[Effective_Week],24)</f>
        <v/>
      </c>
      <c r="Z60">
        <f>SUMIFS(T_Shipments[Confirmed_Qty],T_Shipments[RM_Code],$A60,T_Shipments[Effective_Week],25)</f>
        <v/>
      </c>
      <c r="AA60">
        <f>SUMIFS(T_Shipments[Confirmed_Qty],T_Shipments[RM_Code],$A60,T_Shipments[Effective_Week],26)</f>
        <v/>
      </c>
      <c r="AB60">
        <f>SUMIFS(T_Shipments[Confirmed_Qty],T_Shipments[RM_Code],$A60,T_Shipments[Effective_Week],27)</f>
        <v/>
      </c>
      <c r="AC60">
        <f>SUMIFS(T_Shipments[Confirmed_Qty],T_Shipments[RM_Code],$A60,T_Shipments[Effective_Week],28)</f>
        <v/>
      </c>
      <c r="AD60">
        <f>SUMIFS(T_Shipments[Confirmed_Qty],T_Shipments[RM_Code],$A60,T_Shipments[Effective_Week],29)</f>
        <v/>
      </c>
      <c r="AE60">
        <f>SUMIFS(T_Shipments[Confirmed_Qty],T_Shipments[RM_Code],$A60,T_Shipments[Effective_Week],30)</f>
        <v/>
      </c>
      <c r="AF60">
        <f>SUMIFS(T_Shipments[Confirmed_Qty],T_Shipments[RM_Code],$A60,T_Shipments[Effective_Week],31)</f>
        <v/>
      </c>
      <c r="AG60">
        <f>SUMIFS(T_Shipments[Confirmed_Qty],T_Shipments[RM_Code],$A60,T_Shipments[Effective_Week],32)</f>
        <v/>
      </c>
      <c r="AH60">
        <f>SUMIFS(T_Shipments[Confirmed_Qty],T_Shipments[RM_Code],$A60,T_Shipments[Effective_Week],33)</f>
        <v/>
      </c>
      <c r="AI60">
        <f>SUMIFS(T_Shipments[Confirmed_Qty],T_Shipments[RM_Code],$A60,T_Shipments[Effective_Week],34)</f>
        <v/>
      </c>
      <c r="AJ60">
        <f>SUMIFS(T_Shipments[Confirmed_Qty],T_Shipments[RM_Code],$A60,T_Shipments[Effective_Week],35)</f>
        <v/>
      </c>
      <c r="AK60">
        <f>SUMIFS(T_Shipments[Confirmed_Qty],T_Shipments[RM_Code],$A60,T_Shipments[Effective_Week],36)</f>
        <v/>
      </c>
      <c r="AL60">
        <f>SUMIFS(T_Shipments[Confirmed_Qty],T_Shipments[RM_Code],$A60,T_Shipments[Effective_Week],37)</f>
        <v/>
      </c>
      <c r="AM60">
        <f>SUMIFS(T_Shipments[Confirmed_Qty],T_Shipments[RM_Code],$A60,T_Shipments[Effective_Week],38)</f>
        <v/>
      </c>
      <c r="AN60">
        <f>SUMIFS(T_Shipments[Confirmed_Qty],T_Shipments[RM_Code],$A60,T_Shipments[Effective_Week],39)</f>
        <v/>
      </c>
      <c r="AO60">
        <f>SUMIFS(T_Shipments[Confirmed_Qty],T_Shipments[RM_Code],$A60,T_Shipments[Effective_Week],40)</f>
        <v/>
      </c>
      <c r="AP60">
        <f>SUMIFS(T_Shipments[Confirmed_Qty],T_Shipments[RM_Code],$A60,T_Shipments[Effective_Week],41)</f>
        <v/>
      </c>
      <c r="AQ60">
        <f>SUMIFS(T_Shipments[Confirmed_Qty],T_Shipments[RM_Code],$A60,T_Shipments[Effective_Week],42)</f>
        <v/>
      </c>
      <c r="AR60">
        <f>SUMIFS(T_Shipments[Confirmed_Qty],T_Shipments[RM_Code],$A60,T_Shipments[Effective_Week],43)</f>
        <v/>
      </c>
      <c r="AS60">
        <f>SUMIFS(T_Shipments[Confirmed_Qty],T_Shipments[RM_Code],$A60,T_Shipments[Effective_Week],44)</f>
        <v/>
      </c>
      <c r="AT60">
        <f>SUMIFS(T_Shipments[Confirmed_Qty],T_Shipments[RM_Code],$A60,T_Shipments[Effective_Week],45)</f>
        <v/>
      </c>
      <c r="AU60">
        <f>SUMIFS(T_Shipments[Confirmed_Qty],T_Shipments[RM_Code],$A60,T_Shipments[Effective_Week],46)</f>
        <v/>
      </c>
      <c r="AV60">
        <f>SUMIFS(T_Shipments[Confirmed_Qty],T_Shipments[RM_Code],$A60,T_Shipments[Effective_Week],47)</f>
        <v/>
      </c>
      <c r="AW60">
        <f>SUMIFS(T_Shipments[Confirmed_Qty],T_Shipments[RM_Code],$A60,T_Shipments[Effective_Week],48)</f>
        <v/>
      </c>
      <c r="AX60">
        <f>SUMIFS(T_Shipments[Confirmed_Qty],T_Shipments[RM_Code],$A60,T_Shipments[Effective_Week],49)</f>
        <v/>
      </c>
      <c r="AY60">
        <f>SUMIFS(T_Shipments[Confirmed_Qty],T_Shipments[RM_Code],$A60,T_Shipments[Effective_Week],50)</f>
        <v/>
      </c>
      <c r="AZ60">
        <f>SUMIFS(T_Shipments[Confirmed_Qty],T_Shipments[RM_Code],$A60,T_Shipments[Effective_Week],51)</f>
        <v/>
      </c>
      <c r="BA60">
        <f>SUMIFS(T_Shipments[Confirmed_Qty],T_Shipments[RM_Code],$A60,T_Shipments[Effective_Week],52)</f>
        <v/>
      </c>
      <c r="BB60">
        <f>SUMIFS(T_Shipments[Confirmed_Qty],T_Shipments[RM_Code],$A60,T_Shipments[Effective_Week],53)</f>
        <v/>
      </c>
      <c r="BC60">
        <f>SUMIFS(T_Shipments[Confirmed_Qty],T_Shipments[RM_Code],$A60,T_Shipments[Effective_Week],54)</f>
        <v/>
      </c>
      <c r="BD60">
        <f>SUMIFS(T_Shipments[Confirmed_Qty],T_Shipments[RM_Code],$A60,T_Shipments[Effective_Week],55)</f>
        <v/>
      </c>
      <c r="BE60">
        <f>SUMIFS(T_Shipments[Confirmed_Qty],T_Shipments[RM_Code],$A60,T_Shipments[Effective_Week],56)</f>
        <v/>
      </c>
      <c r="BF60">
        <f>SUMIFS(T_Shipments[Confirmed_Qty],T_Shipments[RM_Code],$A60,T_Shipments[Effective_Week],57)</f>
        <v/>
      </c>
      <c r="BG60">
        <f>SUMIFS(T_Shipments[Confirmed_Qty],T_Shipments[RM_Code],$A60,T_Shipments[Effective_Week],58)</f>
        <v/>
      </c>
      <c r="BH60">
        <f>SUMIFS(T_Shipments[Confirmed_Qty],T_Shipments[RM_Code],$A60,T_Shipments[Effective_Week],59)</f>
        <v/>
      </c>
      <c r="BI60">
        <f>SUMIFS(T_Shipments[Confirmed_Qty],T_Shipments[RM_Code],$A60,T_Shipments[Effective_Week],60)</f>
        <v/>
      </c>
      <c r="BJ60">
        <f>SUMIFS(T_Shipments[Confirmed_Qty],T_Shipments[RM_Code],$A60,T_Shipments[Effective_Week],61)</f>
        <v/>
      </c>
      <c r="BK60">
        <f>SUMIFS(T_Shipments[Confirmed_Qty],T_Shipments[RM_Code],$A60,T_Shipments[Effective_Week],62)</f>
        <v/>
      </c>
      <c r="BL60">
        <f>SUMIFS(T_Shipments[Confirmed_Qty],T_Shipments[RM_Code],$A60,T_Shipments[Effective_Week],63)</f>
        <v/>
      </c>
      <c r="BM60">
        <f>SUMIFS(T_Shipments[Confirmed_Qty],T_Shipments[RM_Code],$A60,T_Shipments[Effective_Week],64)</f>
        <v/>
      </c>
      <c r="BN60">
        <f>SUMIFS(T_Shipments[Confirmed_Qty],T_Shipments[RM_Code],$A60,T_Shipments[Effective_Week],65)</f>
        <v/>
      </c>
      <c r="BO60">
        <f>SUMIFS(T_Shipments[Confirmed_Qty],T_Shipments[RM_Code],$A60,T_Shipments[Effective_Week],66)</f>
        <v/>
      </c>
      <c r="BP60">
        <f>SUMIFS(T_Shipments[Confirmed_Qty],T_Shipments[RM_Code],$A60,T_Shipments[Effective_Week],67)</f>
        <v/>
      </c>
      <c r="BQ60">
        <f>SUMIFS(T_Shipments[Confirmed_Qty],T_Shipments[RM_Code],$A60,T_Shipments[Effective_Week],68)</f>
        <v/>
      </c>
      <c r="BR60">
        <f>SUMIFS(T_Shipments[Confirmed_Qty],T_Shipments[RM_Code],$A60,T_Shipments[Effective_Week],69)</f>
        <v/>
      </c>
      <c r="BS60">
        <f>SUMIFS(T_Shipments[Confirmed_Qty],T_Shipments[RM_Code],$A60,T_Shipments[Effective_Week],70)</f>
        <v/>
      </c>
      <c r="BT60">
        <f>SUMIFS(T_Shipments[Confirmed_Qty],T_Shipments[RM_Code],$A60,T_Shipments[Effective_Week],71)</f>
        <v/>
      </c>
      <c r="BU60">
        <f>SUMIFS(T_Shipments[Confirmed_Qty],T_Shipments[RM_Code],$A60,T_Shipments[Effective_Week],72)</f>
        <v/>
      </c>
      <c r="BV60">
        <f>SUMIFS(T_Shipments[Confirmed_Qty],T_Shipments[RM_Code],$A60,T_Shipments[Effective_Week],73)</f>
        <v/>
      </c>
      <c r="BW60">
        <f>SUMIFS(T_Shipments[Confirmed_Qty],T_Shipments[RM_Code],$A60,T_Shipments[Effective_Week],74)</f>
        <v/>
      </c>
      <c r="BX60">
        <f>SUMIFS(T_Shipments[Confirmed_Qty],T_Shipments[RM_Code],$A60,T_Shipments[Effective_Week],75)</f>
        <v/>
      </c>
      <c r="BY60">
        <f>SUMIFS(T_Shipments[Confirmed_Qty],T_Shipments[RM_Code],$A60,T_Shipments[Effective_Week],76)</f>
        <v/>
      </c>
      <c r="BZ60">
        <f>SUMIFS(T_Shipments[Confirmed_Qty],T_Shipments[RM_Code],$A60,T_Shipments[Effective_Week],77)</f>
        <v/>
      </c>
      <c r="CA60">
        <f>SUMIFS(T_Shipments[Confirmed_Qty],T_Shipments[RM_Code],$A60,T_Shipments[Effective_Week],78)</f>
        <v/>
      </c>
      <c r="CB60">
        <f>SUMIFS(T_Shipments[Confirmed_Qty],T_Shipments[RM_Code],$A60,T_Shipments[Effective_Week],79)</f>
        <v/>
      </c>
      <c r="CC60">
        <f>SUMIFS(T_Shipments[Confirmed_Qty],T_Shipments[RM_Code],$A60,T_Shipments[Effective_Week],80)</f>
        <v/>
      </c>
      <c r="CD60">
        <f>SUMIFS(T_Shipments[Confirmed_Qty],T_Shipments[RM_Code],$A60,T_Shipments[Effective_Week],81)</f>
        <v/>
      </c>
      <c r="CE60">
        <f>SUMIFS(T_Shipments[Confirmed_Qty],T_Shipments[RM_Code],$A60,T_Shipments[Effective_Week],82)</f>
        <v/>
      </c>
      <c r="CF60">
        <f>SUMIFS(T_Shipments[Confirmed_Qty],T_Shipments[RM_Code],$A60,T_Shipments[Effective_Week],83)</f>
        <v/>
      </c>
      <c r="CG60">
        <f>SUMIFS(T_Shipments[Confirmed_Qty],T_Shipments[RM_Code],$A60,T_Shipments[Effective_Week],84)</f>
        <v/>
      </c>
      <c r="CH60">
        <f>SUMIFS(T_Shipments[Confirmed_Qty],T_Shipments[RM_Code],$A60,T_Shipments[Effective_Week],85)</f>
        <v/>
      </c>
      <c r="CI60">
        <f>SUMIFS(T_Shipments[Confirmed_Qty],T_Shipments[RM_Code],$A60,T_Shipments[Effective_Week],86)</f>
        <v/>
      </c>
      <c r="CJ60">
        <f>SUMIFS(T_Shipments[Confirmed_Qty],T_Shipments[RM_Code],$A60,T_Shipments[Effective_Week],87)</f>
        <v/>
      </c>
      <c r="CK60">
        <f>SUMIFS(T_Shipments[Confirmed_Qty],T_Shipments[RM_Code],$A60,T_Shipments[Effective_Week],88)</f>
        <v/>
      </c>
      <c r="CL60">
        <f>SUMIFS(T_Shipments[Confirmed_Qty],T_Shipments[RM_Code],$A60,T_Shipments[Effective_Week],89)</f>
        <v/>
      </c>
      <c r="CM60">
        <f>SUMIFS(T_Shipments[Confirmed_Qty],T_Shipments[RM_Code],$A60,T_Shipments[Effective_Week],90)</f>
        <v/>
      </c>
      <c r="CN60">
        <f>SUMIFS(T_Shipments[Confirmed_Qty],T_Shipments[RM_Code],$A60,T_Shipments[Effective_Week],91)</f>
        <v/>
      </c>
      <c r="CO60">
        <f>SUMIFS(T_Shipments[Confirmed_Qty],T_Shipments[RM_Code],$A60,T_Shipments[Effective_Week],92)</f>
        <v/>
      </c>
      <c r="CP60">
        <f>SUMIFS(T_Shipments[Confirmed_Qty],T_Shipments[RM_Code],$A60,T_Shipments[Effective_Week],93)</f>
        <v/>
      </c>
      <c r="CQ60">
        <f>SUMIFS(T_Shipments[Confirmed_Qty],T_Shipments[RM_Code],$A60,T_Shipments[Effective_Week],94)</f>
        <v/>
      </c>
      <c r="CR60">
        <f>SUMIFS(T_Shipments[Confirmed_Qty],T_Shipments[RM_Code],$A60,T_Shipments[Effective_Week],95)</f>
        <v/>
      </c>
      <c r="CS60">
        <f>SUMIFS(T_Shipments[Confirmed_Qty],T_Shipments[RM_Code],$A60,T_Shipments[Effective_Week],96)</f>
        <v/>
      </c>
      <c r="CT60">
        <f>SUMIFS(T_Shipments[Confirmed_Qty],T_Shipments[RM_Code],$A60,T_Shipments[Effective_Week],97)</f>
        <v/>
      </c>
      <c r="CU60">
        <f>SUMIFS(T_Shipments[Confirmed_Qty],T_Shipments[RM_Code],$A60,T_Shipments[Effective_Week],98)</f>
        <v/>
      </c>
      <c r="CV60">
        <f>SUMIFS(T_Shipments[Confirmed_Qty],T_Shipments[RM_Code],$A60,T_Shipments[Effective_Week],99)</f>
        <v/>
      </c>
      <c r="CW60">
        <f>SUMIFS(T_Shipments[Confirmed_Qty],T_Shipments[RM_Code],$A60,T_Shipments[Effective_Week],100)</f>
        <v/>
      </c>
      <c r="CX60">
        <f>SUMIFS(T_Shipments[Confirmed_Qty],T_Shipments[RM_Code],$A60,T_Shipments[Effective_Week],101)</f>
        <v/>
      </c>
      <c r="CY60">
        <f>SUMIFS(T_Shipments[Confirmed_Qty],T_Shipments[RM_Code],$A60,T_Shipments[Effective_Week],102)</f>
        <v/>
      </c>
      <c r="CZ60">
        <f>SUMIFS(T_Shipments[Confirmed_Qty],T_Shipments[RM_Code],$A60,T_Shipments[Effective_Week],103)</f>
        <v/>
      </c>
      <c r="DA60">
        <f>SUMIFS(T_Shipments[Confirmed_Qty],T_Shipments[RM_Code],$A60,T_Shipments[Effective_Week],104)</f>
        <v/>
      </c>
    </row>
    <row r="61">
      <c r="A61" t="inlineStr">
        <is>
          <t>CSA Code</t>
        </is>
      </c>
      <c r="B61">
        <f>SUMIFS(T_Shipments[Confirmed_Qty],T_Shipments[RM_Code],$A61,T_Shipments[Effective_Week],1)</f>
        <v/>
      </c>
      <c r="C61">
        <f>SUMIFS(T_Shipments[Confirmed_Qty],T_Shipments[RM_Code],$A61,T_Shipments[Effective_Week],2)</f>
        <v/>
      </c>
      <c r="D61">
        <f>SUMIFS(T_Shipments[Confirmed_Qty],T_Shipments[RM_Code],$A61,T_Shipments[Effective_Week],3)</f>
        <v/>
      </c>
      <c r="E61">
        <f>SUMIFS(T_Shipments[Confirmed_Qty],T_Shipments[RM_Code],$A61,T_Shipments[Effective_Week],4)</f>
        <v/>
      </c>
      <c r="F61">
        <f>SUMIFS(T_Shipments[Confirmed_Qty],T_Shipments[RM_Code],$A61,T_Shipments[Effective_Week],5)</f>
        <v/>
      </c>
      <c r="G61">
        <f>SUMIFS(T_Shipments[Confirmed_Qty],T_Shipments[RM_Code],$A61,T_Shipments[Effective_Week],6)</f>
        <v/>
      </c>
      <c r="H61">
        <f>SUMIFS(T_Shipments[Confirmed_Qty],T_Shipments[RM_Code],$A61,T_Shipments[Effective_Week],7)</f>
        <v/>
      </c>
      <c r="I61">
        <f>SUMIFS(T_Shipments[Confirmed_Qty],T_Shipments[RM_Code],$A61,T_Shipments[Effective_Week],8)</f>
        <v/>
      </c>
      <c r="J61">
        <f>SUMIFS(T_Shipments[Confirmed_Qty],T_Shipments[RM_Code],$A61,T_Shipments[Effective_Week],9)</f>
        <v/>
      </c>
      <c r="K61">
        <f>SUMIFS(T_Shipments[Confirmed_Qty],T_Shipments[RM_Code],$A61,T_Shipments[Effective_Week],10)</f>
        <v/>
      </c>
      <c r="L61">
        <f>SUMIFS(T_Shipments[Confirmed_Qty],T_Shipments[RM_Code],$A61,T_Shipments[Effective_Week],11)</f>
        <v/>
      </c>
      <c r="M61">
        <f>SUMIFS(T_Shipments[Confirmed_Qty],T_Shipments[RM_Code],$A61,T_Shipments[Effective_Week],12)</f>
        <v/>
      </c>
      <c r="N61">
        <f>SUMIFS(T_Shipments[Confirmed_Qty],T_Shipments[RM_Code],$A61,T_Shipments[Effective_Week],13)</f>
        <v/>
      </c>
      <c r="O61">
        <f>SUMIFS(T_Shipments[Confirmed_Qty],T_Shipments[RM_Code],$A61,T_Shipments[Effective_Week],14)</f>
        <v/>
      </c>
      <c r="P61">
        <f>SUMIFS(T_Shipments[Confirmed_Qty],T_Shipments[RM_Code],$A61,T_Shipments[Effective_Week],15)</f>
        <v/>
      </c>
      <c r="Q61">
        <f>SUMIFS(T_Shipments[Confirmed_Qty],T_Shipments[RM_Code],$A61,T_Shipments[Effective_Week],16)</f>
        <v/>
      </c>
      <c r="R61">
        <f>SUMIFS(T_Shipments[Confirmed_Qty],T_Shipments[RM_Code],$A61,T_Shipments[Effective_Week],17)</f>
        <v/>
      </c>
      <c r="S61">
        <f>SUMIFS(T_Shipments[Confirmed_Qty],T_Shipments[RM_Code],$A61,T_Shipments[Effective_Week],18)</f>
        <v/>
      </c>
      <c r="T61">
        <f>SUMIFS(T_Shipments[Confirmed_Qty],T_Shipments[RM_Code],$A61,T_Shipments[Effective_Week],19)</f>
        <v/>
      </c>
      <c r="U61">
        <f>SUMIFS(T_Shipments[Confirmed_Qty],T_Shipments[RM_Code],$A61,T_Shipments[Effective_Week],20)</f>
        <v/>
      </c>
      <c r="V61">
        <f>SUMIFS(T_Shipments[Confirmed_Qty],T_Shipments[RM_Code],$A61,T_Shipments[Effective_Week],21)</f>
        <v/>
      </c>
      <c r="W61">
        <f>SUMIFS(T_Shipments[Confirmed_Qty],T_Shipments[RM_Code],$A61,T_Shipments[Effective_Week],22)</f>
        <v/>
      </c>
      <c r="X61">
        <f>SUMIFS(T_Shipments[Confirmed_Qty],T_Shipments[RM_Code],$A61,T_Shipments[Effective_Week],23)</f>
        <v/>
      </c>
      <c r="Y61">
        <f>SUMIFS(T_Shipments[Confirmed_Qty],T_Shipments[RM_Code],$A61,T_Shipments[Effective_Week],24)</f>
        <v/>
      </c>
      <c r="Z61">
        <f>SUMIFS(T_Shipments[Confirmed_Qty],T_Shipments[RM_Code],$A61,T_Shipments[Effective_Week],25)</f>
        <v/>
      </c>
      <c r="AA61">
        <f>SUMIFS(T_Shipments[Confirmed_Qty],T_Shipments[RM_Code],$A61,T_Shipments[Effective_Week],26)</f>
        <v/>
      </c>
      <c r="AB61">
        <f>SUMIFS(T_Shipments[Confirmed_Qty],T_Shipments[RM_Code],$A61,T_Shipments[Effective_Week],27)</f>
        <v/>
      </c>
      <c r="AC61">
        <f>SUMIFS(T_Shipments[Confirmed_Qty],T_Shipments[RM_Code],$A61,T_Shipments[Effective_Week],28)</f>
        <v/>
      </c>
      <c r="AD61">
        <f>SUMIFS(T_Shipments[Confirmed_Qty],T_Shipments[RM_Code],$A61,T_Shipments[Effective_Week],29)</f>
        <v/>
      </c>
      <c r="AE61">
        <f>SUMIFS(T_Shipments[Confirmed_Qty],T_Shipments[RM_Code],$A61,T_Shipments[Effective_Week],30)</f>
        <v/>
      </c>
      <c r="AF61">
        <f>SUMIFS(T_Shipments[Confirmed_Qty],T_Shipments[RM_Code],$A61,T_Shipments[Effective_Week],31)</f>
        <v/>
      </c>
      <c r="AG61">
        <f>SUMIFS(T_Shipments[Confirmed_Qty],T_Shipments[RM_Code],$A61,T_Shipments[Effective_Week],32)</f>
        <v/>
      </c>
      <c r="AH61">
        <f>SUMIFS(T_Shipments[Confirmed_Qty],T_Shipments[RM_Code],$A61,T_Shipments[Effective_Week],33)</f>
        <v/>
      </c>
      <c r="AI61">
        <f>SUMIFS(T_Shipments[Confirmed_Qty],T_Shipments[RM_Code],$A61,T_Shipments[Effective_Week],34)</f>
        <v/>
      </c>
      <c r="AJ61">
        <f>SUMIFS(T_Shipments[Confirmed_Qty],T_Shipments[RM_Code],$A61,T_Shipments[Effective_Week],35)</f>
        <v/>
      </c>
      <c r="AK61">
        <f>SUMIFS(T_Shipments[Confirmed_Qty],T_Shipments[RM_Code],$A61,T_Shipments[Effective_Week],36)</f>
        <v/>
      </c>
      <c r="AL61">
        <f>SUMIFS(T_Shipments[Confirmed_Qty],T_Shipments[RM_Code],$A61,T_Shipments[Effective_Week],37)</f>
        <v/>
      </c>
      <c r="AM61">
        <f>SUMIFS(T_Shipments[Confirmed_Qty],T_Shipments[RM_Code],$A61,T_Shipments[Effective_Week],38)</f>
        <v/>
      </c>
      <c r="AN61">
        <f>SUMIFS(T_Shipments[Confirmed_Qty],T_Shipments[RM_Code],$A61,T_Shipments[Effective_Week],39)</f>
        <v/>
      </c>
      <c r="AO61">
        <f>SUMIFS(T_Shipments[Confirmed_Qty],T_Shipments[RM_Code],$A61,T_Shipments[Effective_Week],40)</f>
        <v/>
      </c>
      <c r="AP61">
        <f>SUMIFS(T_Shipments[Confirmed_Qty],T_Shipments[RM_Code],$A61,T_Shipments[Effective_Week],41)</f>
        <v/>
      </c>
      <c r="AQ61">
        <f>SUMIFS(T_Shipments[Confirmed_Qty],T_Shipments[RM_Code],$A61,T_Shipments[Effective_Week],42)</f>
        <v/>
      </c>
      <c r="AR61">
        <f>SUMIFS(T_Shipments[Confirmed_Qty],T_Shipments[RM_Code],$A61,T_Shipments[Effective_Week],43)</f>
        <v/>
      </c>
      <c r="AS61">
        <f>SUMIFS(T_Shipments[Confirmed_Qty],T_Shipments[RM_Code],$A61,T_Shipments[Effective_Week],44)</f>
        <v/>
      </c>
      <c r="AT61">
        <f>SUMIFS(T_Shipments[Confirmed_Qty],T_Shipments[RM_Code],$A61,T_Shipments[Effective_Week],45)</f>
        <v/>
      </c>
      <c r="AU61">
        <f>SUMIFS(T_Shipments[Confirmed_Qty],T_Shipments[RM_Code],$A61,T_Shipments[Effective_Week],46)</f>
        <v/>
      </c>
      <c r="AV61">
        <f>SUMIFS(T_Shipments[Confirmed_Qty],T_Shipments[RM_Code],$A61,T_Shipments[Effective_Week],47)</f>
        <v/>
      </c>
      <c r="AW61">
        <f>SUMIFS(T_Shipments[Confirmed_Qty],T_Shipments[RM_Code],$A61,T_Shipments[Effective_Week],48)</f>
        <v/>
      </c>
      <c r="AX61">
        <f>SUMIFS(T_Shipments[Confirmed_Qty],T_Shipments[RM_Code],$A61,T_Shipments[Effective_Week],49)</f>
        <v/>
      </c>
      <c r="AY61">
        <f>SUMIFS(T_Shipments[Confirmed_Qty],T_Shipments[RM_Code],$A61,T_Shipments[Effective_Week],50)</f>
        <v/>
      </c>
      <c r="AZ61">
        <f>SUMIFS(T_Shipments[Confirmed_Qty],T_Shipments[RM_Code],$A61,T_Shipments[Effective_Week],51)</f>
        <v/>
      </c>
      <c r="BA61">
        <f>SUMIFS(T_Shipments[Confirmed_Qty],T_Shipments[RM_Code],$A61,T_Shipments[Effective_Week],52)</f>
        <v/>
      </c>
      <c r="BB61">
        <f>SUMIFS(T_Shipments[Confirmed_Qty],T_Shipments[RM_Code],$A61,T_Shipments[Effective_Week],53)</f>
        <v/>
      </c>
      <c r="BC61">
        <f>SUMIFS(T_Shipments[Confirmed_Qty],T_Shipments[RM_Code],$A61,T_Shipments[Effective_Week],54)</f>
        <v/>
      </c>
      <c r="BD61">
        <f>SUMIFS(T_Shipments[Confirmed_Qty],T_Shipments[RM_Code],$A61,T_Shipments[Effective_Week],55)</f>
        <v/>
      </c>
      <c r="BE61">
        <f>SUMIFS(T_Shipments[Confirmed_Qty],T_Shipments[RM_Code],$A61,T_Shipments[Effective_Week],56)</f>
        <v/>
      </c>
      <c r="BF61">
        <f>SUMIFS(T_Shipments[Confirmed_Qty],T_Shipments[RM_Code],$A61,T_Shipments[Effective_Week],57)</f>
        <v/>
      </c>
      <c r="BG61">
        <f>SUMIFS(T_Shipments[Confirmed_Qty],T_Shipments[RM_Code],$A61,T_Shipments[Effective_Week],58)</f>
        <v/>
      </c>
      <c r="BH61">
        <f>SUMIFS(T_Shipments[Confirmed_Qty],T_Shipments[RM_Code],$A61,T_Shipments[Effective_Week],59)</f>
        <v/>
      </c>
      <c r="BI61">
        <f>SUMIFS(T_Shipments[Confirmed_Qty],T_Shipments[RM_Code],$A61,T_Shipments[Effective_Week],60)</f>
        <v/>
      </c>
      <c r="BJ61">
        <f>SUMIFS(T_Shipments[Confirmed_Qty],T_Shipments[RM_Code],$A61,T_Shipments[Effective_Week],61)</f>
        <v/>
      </c>
      <c r="BK61">
        <f>SUMIFS(T_Shipments[Confirmed_Qty],T_Shipments[RM_Code],$A61,T_Shipments[Effective_Week],62)</f>
        <v/>
      </c>
      <c r="BL61">
        <f>SUMIFS(T_Shipments[Confirmed_Qty],T_Shipments[RM_Code],$A61,T_Shipments[Effective_Week],63)</f>
        <v/>
      </c>
      <c r="BM61">
        <f>SUMIFS(T_Shipments[Confirmed_Qty],T_Shipments[RM_Code],$A61,T_Shipments[Effective_Week],64)</f>
        <v/>
      </c>
      <c r="BN61">
        <f>SUMIFS(T_Shipments[Confirmed_Qty],T_Shipments[RM_Code],$A61,T_Shipments[Effective_Week],65)</f>
        <v/>
      </c>
      <c r="BO61">
        <f>SUMIFS(T_Shipments[Confirmed_Qty],T_Shipments[RM_Code],$A61,T_Shipments[Effective_Week],66)</f>
        <v/>
      </c>
      <c r="BP61">
        <f>SUMIFS(T_Shipments[Confirmed_Qty],T_Shipments[RM_Code],$A61,T_Shipments[Effective_Week],67)</f>
        <v/>
      </c>
      <c r="BQ61">
        <f>SUMIFS(T_Shipments[Confirmed_Qty],T_Shipments[RM_Code],$A61,T_Shipments[Effective_Week],68)</f>
        <v/>
      </c>
      <c r="BR61">
        <f>SUMIFS(T_Shipments[Confirmed_Qty],T_Shipments[RM_Code],$A61,T_Shipments[Effective_Week],69)</f>
        <v/>
      </c>
      <c r="BS61">
        <f>SUMIFS(T_Shipments[Confirmed_Qty],T_Shipments[RM_Code],$A61,T_Shipments[Effective_Week],70)</f>
        <v/>
      </c>
      <c r="BT61">
        <f>SUMIFS(T_Shipments[Confirmed_Qty],T_Shipments[RM_Code],$A61,T_Shipments[Effective_Week],71)</f>
        <v/>
      </c>
      <c r="BU61">
        <f>SUMIFS(T_Shipments[Confirmed_Qty],T_Shipments[RM_Code],$A61,T_Shipments[Effective_Week],72)</f>
        <v/>
      </c>
      <c r="BV61">
        <f>SUMIFS(T_Shipments[Confirmed_Qty],T_Shipments[RM_Code],$A61,T_Shipments[Effective_Week],73)</f>
        <v/>
      </c>
      <c r="BW61">
        <f>SUMIFS(T_Shipments[Confirmed_Qty],T_Shipments[RM_Code],$A61,T_Shipments[Effective_Week],74)</f>
        <v/>
      </c>
      <c r="BX61">
        <f>SUMIFS(T_Shipments[Confirmed_Qty],T_Shipments[RM_Code],$A61,T_Shipments[Effective_Week],75)</f>
        <v/>
      </c>
      <c r="BY61">
        <f>SUMIFS(T_Shipments[Confirmed_Qty],T_Shipments[RM_Code],$A61,T_Shipments[Effective_Week],76)</f>
        <v/>
      </c>
      <c r="BZ61">
        <f>SUMIFS(T_Shipments[Confirmed_Qty],T_Shipments[RM_Code],$A61,T_Shipments[Effective_Week],77)</f>
        <v/>
      </c>
      <c r="CA61">
        <f>SUMIFS(T_Shipments[Confirmed_Qty],T_Shipments[RM_Code],$A61,T_Shipments[Effective_Week],78)</f>
        <v/>
      </c>
      <c r="CB61">
        <f>SUMIFS(T_Shipments[Confirmed_Qty],T_Shipments[RM_Code],$A61,T_Shipments[Effective_Week],79)</f>
        <v/>
      </c>
      <c r="CC61">
        <f>SUMIFS(T_Shipments[Confirmed_Qty],T_Shipments[RM_Code],$A61,T_Shipments[Effective_Week],80)</f>
        <v/>
      </c>
      <c r="CD61">
        <f>SUMIFS(T_Shipments[Confirmed_Qty],T_Shipments[RM_Code],$A61,T_Shipments[Effective_Week],81)</f>
        <v/>
      </c>
      <c r="CE61">
        <f>SUMIFS(T_Shipments[Confirmed_Qty],T_Shipments[RM_Code],$A61,T_Shipments[Effective_Week],82)</f>
        <v/>
      </c>
      <c r="CF61">
        <f>SUMIFS(T_Shipments[Confirmed_Qty],T_Shipments[RM_Code],$A61,T_Shipments[Effective_Week],83)</f>
        <v/>
      </c>
      <c r="CG61">
        <f>SUMIFS(T_Shipments[Confirmed_Qty],T_Shipments[RM_Code],$A61,T_Shipments[Effective_Week],84)</f>
        <v/>
      </c>
      <c r="CH61">
        <f>SUMIFS(T_Shipments[Confirmed_Qty],T_Shipments[RM_Code],$A61,T_Shipments[Effective_Week],85)</f>
        <v/>
      </c>
      <c r="CI61">
        <f>SUMIFS(T_Shipments[Confirmed_Qty],T_Shipments[RM_Code],$A61,T_Shipments[Effective_Week],86)</f>
        <v/>
      </c>
      <c r="CJ61">
        <f>SUMIFS(T_Shipments[Confirmed_Qty],T_Shipments[RM_Code],$A61,T_Shipments[Effective_Week],87)</f>
        <v/>
      </c>
      <c r="CK61">
        <f>SUMIFS(T_Shipments[Confirmed_Qty],T_Shipments[RM_Code],$A61,T_Shipments[Effective_Week],88)</f>
        <v/>
      </c>
      <c r="CL61">
        <f>SUMIFS(T_Shipments[Confirmed_Qty],T_Shipments[RM_Code],$A61,T_Shipments[Effective_Week],89)</f>
        <v/>
      </c>
      <c r="CM61">
        <f>SUMIFS(T_Shipments[Confirmed_Qty],T_Shipments[RM_Code],$A61,T_Shipments[Effective_Week],90)</f>
        <v/>
      </c>
      <c r="CN61">
        <f>SUMIFS(T_Shipments[Confirmed_Qty],T_Shipments[RM_Code],$A61,T_Shipments[Effective_Week],91)</f>
        <v/>
      </c>
      <c r="CO61">
        <f>SUMIFS(T_Shipments[Confirmed_Qty],T_Shipments[RM_Code],$A61,T_Shipments[Effective_Week],92)</f>
        <v/>
      </c>
      <c r="CP61">
        <f>SUMIFS(T_Shipments[Confirmed_Qty],T_Shipments[RM_Code],$A61,T_Shipments[Effective_Week],93)</f>
        <v/>
      </c>
      <c r="CQ61">
        <f>SUMIFS(T_Shipments[Confirmed_Qty],T_Shipments[RM_Code],$A61,T_Shipments[Effective_Week],94)</f>
        <v/>
      </c>
      <c r="CR61">
        <f>SUMIFS(T_Shipments[Confirmed_Qty],T_Shipments[RM_Code],$A61,T_Shipments[Effective_Week],95)</f>
        <v/>
      </c>
      <c r="CS61">
        <f>SUMIFS(T_Shipments[Confirmed_Qty],T_Shipments[RM_Code],$A61,T_Shipments[Effective_Week],96)</f>
        <v/>
      </c>
      <c r="CT61">
        <f>SUMIFS(T_Shipments[Confirmed_Qty],T_Shipments[RM_Code],$A61,T_Shipments[Effective_Week],97)</f>
        <v/>
      </c>
      <c r="CU61">
        <f>SUMIFS(T_Shipments[Confirmed_Qty],T_Shipments[RM_Code],$A61,T_Shipments[Effective_Week],98)</f>
        <v/>
      </c>
      <c r="CV61">
        <f>SUMIFS(T_Shipments[Confirmed_Qty],T_Shipments[RM_Code],$A61,T_Shipments[Effective_Week],99)</f>
        <v/>
      </c>
      <c r="CW61">
        <f>SUMIFS(T_Shipments[Confirmed_Qty],T_Shipments[RM_Code],$A61,T_Shipments[Effective_Week],100)</f>
        <v/>
      </c>
      <c r="CX61">
        <f>SUMIFS(T_Shipments[Confirmed_Qty],T_Shipments[RM_Code],$A61,T_Shipments[Effective_Week],101)</f>
        <v/>
      </c>
      <c r="CY61">
        <f>SUMIFS(T_Shipments[Confirmed_Qty],T_Shipments[RM_Code],$A61,T_Shipments[Effective_Week],102)</f>
        <v/>
      </c>
      <c r="CZ61">
        <f>SUMIFS(T_Shipments[Confirmed_Qty],T_Shipments[RM_Code],$A61,T_Shipments[Effective_Week],103)</f>
        <v/>
      </c>
      <c r="DA61">
        <f>SUMIFS(T_Shipments[Confirmed_Qty],T_Shipments[RM_Code],$A61,T_Shipments[Effective_Week],104)</f>
        <v/>
      </c>
    </row>
    <row r="62">
      <c r="A62" t="inlineStr">
        <is>
          <t>Ester Film</t>
        </is>
      </c>
      <c r="B62">
        <f>SUMIFS(T_Shipments[Confirmed_Qty],T_Shipments[RM_Code],$A62,T_Shipments[Effective_Week],1)</f>
        <v/>
      </c>
      <c r="C62">
        <f>SUMIFS(T_Shipments[Confirmed_Qty],T_Shipments[RM_Code],$A62,T_Shipments[Effective_Week],2)</f>
        <v/>
      </c>
      <c r="D62">
        <f>SUMIFS(T_Shipments[Confirmed_Qty],T_Shipments[RM_Code],$A62,T_Shipments[Effective_Week],3)</f>
        <v/>
      </c>
      <c r="E62">
        <f>SUMIFS(T_Shipments[Confirmed_Qty],T_Shipments[RM_Code],$A62,T_Shipments[Effective_Week],4)</f>
        <v/>
      </c>
      <c r="F62">
        <f>SUMIFS(T_Shipments[Confirmed_Qty],T_Shipments[RM_Code],$A62,T_Shipments[Effective_Week],5)</f>
        <v/>
      </c>
      <c r="G62">
        <f>SUMIFS(T_Shipments[Confirmed_Qty],T_Shipments[RM_Code],$A62,T_Shipments[Effective_Week],6)</f>
        <v/>
      </c>
      <c r="H62">
        <f>SUMIFS(T_Shipments[Confirmed_Qty],T_Shipments[RM_Code],$A62,T_Shipments[Effective_Week],7)</f>
        <v/>
      </c>
      <c r="I62">
        <f>SUMIFS(T_Shipments[Confirmed_Qty],T_Shipments[RM_Code],$A62,T_Shipments[Effective_Week],8)</f>
        <v/>
      </c>
      <c r="J62">
        <f>SUMIFS(T_Shipments[Confirmed_Qty],T_Shipments[RM_Code],$A62,T_Shipments[Effective_Week],9)</f>
        <v/>
      </c>
      <c r="K62">
        <f>SUMIFS(T_Shipments[Confirmed_Qty],T_Shipments[RM_Code],$A62,T_Shipments[Effective_Week],10)</f>
        <v/>
      </c>
      <c r="L62">
        <f>SUMIFS(T_Shipments[Confirmed_Qty],T_Shipments[RM_Code],$A62,T_Shipments[Effective_Week],11)</f>
        <v/>
      </c>
      <c r="M62">
        <f>SUMIFS(T_Shipments[Confirmed_Qty],T_Shipments[RM_Code],$A62,T_Shipments[Effective_Week],12)</f>
        <v/>
      </c>
      <c r="N62">
        <f>SUMIFS(T_Shipments[Confirmed_Qty],T_Shipments[RM_Code],$A62,T_Shipments[Effective_Week],13)</f>
        <v/>
      </c>
      <c r="O62">
        <f>SUMIFS(T_Shipments[Confirmed_Qty],T_Shipments[RM_Code],$A62,T_Shipments[Effective_Week],14)</f>
        <v/>
      </c>
      <c r="P62">
        <f>SUMIFS(T_Shipments[Confirmed_Qty],T_Shipments[RM_Code],$A62,T_Shipments[Effective_Week],15)</f>
        <v/>
      </c>
      <c r="Q62">
        <f>SUMIFS(T_Shipments[Confirmed_Qty],T_Shipments[RM_Code],$A62,T_Shipments[Effective_Week],16)</f>
        <v/>
      </c>
      <c r="R62">
        <f>SUMIFS(T_Shipments[Confirmed_Qty],T_Shipments[RM_Code],$A62,T_Shipments[Effective_Week],17)</f>
        <v/>
      </c>
      <c r="S62">
        <f>SUMIFS(T_Shipments[Confirmed_Qty],T_Shipments[RM_Code],$A62,T_Shipments[Effective_Week],18)</f>
        <v/>
      </c>
      <c r="T62">
        <f>SUMIFS(T_Shipments[Confirmed_Qty],T_Shipments[RM_Code],$A62,T_Shipments[Effective_Week],19)</f>
        <v/>
      </c>
      <c r="U62">
        <f>SUMIFS(T_Shipments[Confirmed_Qty],T_Shipments[RM_Code],$A62,T_Shipments[Effective_Week],20)</f>
        <v/>
      </c>
      <c r="V62">
        <f>SUMIFS(T_Shipments[Confirmed_Qty],T_Shipments[RM_Code],$A62,T_Shipments[Effective_Week],21)</f>
        <v/>
      </c>
      <c r="W62">
        <f>SUMIFS(T_Shipments[Confirmed_Qty],T_Shipments[RM_Code],$A62,T_Shipments[Effective_Week],22)</f>
        <v/>
      </c>
      <c r="X62">
        <f>SUMIFS(T_Shipments[Confirmed_Qty],T_Shipments[RM_Code],$A62,T_Shipments[Effective_Week],23)</f>
        <v/>
      </c>
      <c r="Y62">
        <f>SUMIFS(T_Shipments[Confirmed_Qty],T_Shipments[RM_Code],$A62,T_Shipments[Effective_Week],24)</f>
        <v/>
      </c>
      <c r="Z62">
        <f>SUMIFS(T_Shipments[Confirmed_Qty],T_Shipments[RM_Code],$A62,T_Shipments[Effective_Week],25)</f>
        <v/>
      </c>
      <c r="AA62">
        <f>SUMIFS(T_Shipments[Confirmed_Qty],T_Shipments[RM_Code],$A62,T_Shipments[Effective_Week],26)</f>
        <v/>
      </c>
      <c r="AB62">
        <f>SUMIFS(T_Shipments[Confirmed_Qty],T_Shipments[RM_Code],$A62,T_Shipments[Effective_Week],27)</f>
        <v/>
      </c>
      <c r="AC62">
        <f>SUMIFS(T_Shipments[Confirmed_Qty],T_Shipments[RM_Code],$A62,T_Shipments[Effective_Week],28)</f>
        <v/>
      </c>
      <c r="AD62">
        <f>SUMIFS(T_Shipments[Confirmed_Qty],T_Shipments[RM_Code],$A62,T_Shipments[Effective_Week],29)</f>
        <v/>
      </c>
      <c r="AE62">
        <f>SUMIFS(T_Shipments[Confirmed_Qty],T_Shipments[RM_Code],$A62,T_Shipments[Effective_Week],30)</f>
        <v/>
      </c>
      <c r="AF62">
        <f>SUMIFS(T_Shipments[Confirmed_Qty],T_Shipments[RM_Code],$A62,T_Shipments[Effective_Week],31)</f>
        <v/>
      </c>
      <c r="AG62">
        <f>SUMIFS(T_Shipments[Confirmed_Qty],T_Shipments[RM_Code],$A62,T_Shipments[Effective_Week],32)</f>
        <v/>
      </c>
      <c r="AH62">
        <f>SUMIFS(T_Shipments[Confirmed_Qty],T_Shipments[RM_Code],$A62,T_Shipments[Effective_Week],33)</f>
        <v/>
      </c>
      <c r="AI62">
        <f>SUMIFS(T_Shipments[Confirmed_Qty],T_Shipments[RM_Code],$A62,T_Shipments[Effective_Week],34)</f>
        <v/>
      </c>
      <c r="AJ62">
        <f>SUMIFS(T_Shipments[Confirmed_Qty],T_Shipments[RM_Code],$A62,T_Shipments[Effective_Week],35)</f>
        <v/>
      </c>
      <c r="AK62">
        <f>SUMIFS(T_Shipments[Confirmed_Qty],T_Shipments[RM_Code],$A62,T_Shipments[Effective_Week],36)</f>
        <v/>
      </c>
      <c r="AL62">
        <f>SUMIFS(T_Shipments[Confirmed_Qty],T_Shipments[RM_Code],$A62,T_Shipments[Effective_Week],37)</f>
        <v/>
      </c>
      <c r="AM62">
        <f>SUMIFS(T_Shipments[Confirmed_Qty],T_Shipments[RM_Code],$A62,T_Shipments[Effective_Week],38)</f>
        <v/>
      </c>
      <c r="AN62">
        <f>SUMIFS(T_Shipments[Confirmed_Qty],T_Shipments[RM_Code],$A62,T_Shipments[Effective_Week],39)</f>
        <v/>
      </c>
      <c r="AO62">
        <f>SUMIFS(T_Shipments[Confirmed_Qty],T_Shipments[RM_Code],$A62,T_Shipments[Effective_Week],40)</f>
        <v/>
      </c>
      <c r="AP62">
        <f>SUMIFS(T_Shipments[Confirmed_Qty],T_Shipments[RM_Code],$A62,T_Shipments[Effective_Week],41)</f>
        <v/>
      </c>
      <c r="AQ62">
        <f>SUMIFS(T_Shipments[Confirmed_Qty],T_Shipments[RM_Code],$A62,T_Shipments[Effective_Week],42)</f>
        <v/>
      </c>
      <c r="AR62">
        <f>SUMIFS(T_Shipments[Confirmed_Qty],T_Shipments[RM_Code],$A62,T_Shipments[Effective_Week],43)</f>
        <v/>
      </c>
      <c r="AS62">
        <f>SUMIFS(T_Shipments[Confirmed_Qty],T_Shipments[RM_Code],$A62,T_Shipments[Effective_Week],44)</f>
        <v/>
      </c>
      <c r="AT62">
        <f>SUMIFS(T_Shipments[Confirmed_Qty],T_Shipments[RM_Code],$A62,T_Shipments[Effective_Week],45)</f>
        <v/>
      </c>
      <c r="AU62">
        <f>SUMIFS(T_Shipments[Confirmed_Qty],T_Shipments[RM_Code],$A62,T_Shipments[Effective_Week],46)</f>
        <v/>
      </c>
      <c r="AV62">
        <f>SUMIFS(T_Shipments[Confirmed_Qty],T_Shipments[RM_Code],$A62,T_Shipments[Effective_Week],47)</f>
        <v/>
      </c>
      <c r="AW62">
        <f>SUMIFS(T_Shipments[Confirmed_Qty],T_Shipments[RM_Code],$A62,T_Shipments[Effective_Week],48)</f>
        <v/>
      </c>
      <c r="AX62">
        <f>SUMIFS(T_Shipments[Confirmed_Qty],T_Shipments[RM_Code],$A62,T_Shipments[Effective_Week],49)</f>
        <v/>
      </c>
      <c r="AY62">
        <f>SUMIFS(T_Shipments[Confirmed_Qty],T_Shipments[RM_Code],$A62,T_Shipments[Effective_Week],50)</f>
        <v/>
      </c>
      <c r="AZ62">
        <f>SUMIFS(T_Shipments[Confirmed_Qty],T_Shipments[RM_Code],$A62,T_Shipments[Effective_Week],51)</f>
        <v/>
      </c>
      <c r="BA62">
        <f>SUMIFS(T_Shipments[Confirmed_Qty],T_Shipments[RM_Code],$A62,T_Shipments[Effective_Week],52)</f>
        <v/>
      </c>
      <c r="BB62">
        <f>SUMIFS(T_Shipments[Confirmed_Qty],T_Shipments[RM_Code],$A62,T_Shipments[Effective_Week],53)</f>
        <v/>
      </c>
      <c r="BC62">
        <f>SUMIFS(T_Shipments[Confirmed_Qty],T_Shipments[RM_Code],$A62,T_Shipments[Effective_Week],54)</f>
        <v/>
      </c>
      <c r="BD62">
        <f>SUMIFS(T_Shipments[Confirmed_Qty],T_Shipments[RM_Code],$A62,T_Shipments[Effective_Week],55)</f>
        <v/>
      </c>
      <c r="BE62">
        <f>SUMIFS(T_Shipments[Confirmed_Qty],T_Shipments[RM_Code],$A62,T_Shipments[Effective_Week],56)</f>
        <v/>
      </c>
      <c r="BF62">
        <f>SUMIFS(T_Shipments[Confirmed_Qty],T_Shipments[RM_Code],$A62,T_Shipments[Effective_Week],57)</f>
        <v/>
      </c>
      <c r="BG62">
        <f>SUMIFS(T_Shipments[Confirmed_Qty],T_Shipments[RM_Code],$A62,T_Shipments[Effective_Week],58)</f>
        <v/>
      </c>
      <c r="BH62">
        <f>SUMIFS(T_Shipments[Confirmed_Qty],T_Shipments[RM_Code],$A62,T_Shipments[Effective_Week],59)</f>
        <v/>
      </c>
      <c r="BI62">
        <f>SUMIFS(T_Shipments[Confirmed_Qty],T_Shipments[RM_Code],$A62,T_Shipments[Effective_Week],60)</f>
        <v/>
      </c>
      <c r="BJ62">
        <f>SUMIFS(T_Shipments[Confirmed_Qty],T_Shipments[RM_Code],$A62,T_Shipments[Effective_Week],61)</f>
        <v/>
      </c>
      <c r="BK62">
        <f>SUMIFS(T_Shipments[Confirmed_Qty],T_Shipments[RM_Code],$A62,T_Shipments[Effective_Week],62)</f>
        <v/>
      </c>
      <c r="BL62">
        <f>SUMIFS(T_Shipments[Confirmed_Qty],T_Shipments[RM_Code],$A62,T_Shipments[Effective_Week],63)</f>
        <v/>
      </c>
      <c r="BM62">
        <f>SUMIFS(T_Shipments[Confirmed_Qty],T_Shipments[RM_Code],$A62,T_Shipments[Effective_Week],64)</f>
        <v/>
      </c>
      <c r="BN62">
        <f>SUMIFS(T_Shipments[Confirmed_Qty],T_Shipments[RM_Code],$A62,T_Shipments[Effective_Week],65)</f>
        <v/>
      </c>
      <c r="BO62">
        <f>SUMIFS(T_Shipments[Confirmed_Qty],T_Shipments[RM_Code],$A62,T_Shipments[Effective_Week],66)</f>
        <v/>
      </c>
      <c r="BP62">
        <f>SUMIFS(T_Shipments[Confirmed_Qty],T_Shipments[RM_Code],$A62,T_Shipments[Effective_Week],67)</f>
        <v/>
      </c>
      <c r="BQ62">
        <f>SUMIFS(T_Shipments[Confirmed_Qty],T_Shipments[RM_Code],$A62,T_Shipments[Effective_Week],68)</f>
        <v/>
      </c>
      <c r="BR62">
        <f>SUMIFS(T_Shipments[Confirmed_Qty],T_Shipments[RM_Code],$A62,T_Shipments[Effective_Week],69)</f>
        <v/>
      </c>
      <c r="BS62">
        <f>SUMIFS(T_Shipments[Confirmed_Qty],T_Shipments[RM_Code],$A62,T_Shipments[Effective_Week],70)</f>
        <v/>
      </c>
      <c r="BT62">
        <f>SUMIFS(T_Shipments[Confirmed_Qty],T_Shipments[RM_Code],$A62,T_Shipments[Effective_Week],71)</f>
        <v/>
      </c>
      <c r="BU62">
        <f>SUMIFS(T_Shipments[Confirmed_Qty],T_Shipments[RM_Code],$A62,T_Shipments[Effective_Week],72)</f>
        <v/>
      </c>
      <c r="BV62">
        <f>SUMIFS(T_Shipments[Confirmed_Qty],T_Shipments[RM_Code],$A62,T_Shipments[Effective_Week],73)</f>
        <v/>
      </c>
      <c r="BW62">
        <f>SUMIFS(T_Shipments[Confirmed_Qty],T_Shipments[RM_Code],$A62,T_Shipments[Effective_Week],74)</f>
        <v/>
      </c>
      <c r="BX62">
        <f>SUMIFS(T_Shipments[Confirmed_Qty],T_Shipments[RM_Code],$A62,T_Shipments[Effective_Week],75)</f>
        <v/>
      </c>
      <c r="BY62">
        <f>SUMIFS(T_Shipments[Confirmed_Qty],T_Shipments[RM_Code],$A62,T_Shipments[Effective_Week],76)</f>
        <v/>
      </c>
      <c r="BZ62">
        <f>SUMIFS(T_Shipments[Confirmed_Qty],T_Shipments[RM_Code],$A62,T_Shipments[Effective_Week],77)</f>
        <v/>
      </c>
      <c r="CA62">
        <f>SUMIFS(T_Shipments[Confirmed_Qty],T_Shipments[RM_Code],$A62,T_Shipments[Effective_Week],78)</f>
        <v/>
      </c>
      <c r="CB62">
        <f>SUMIFS(T_Shipments[Confirmed_Qty],T_Shipments[RM_Code],$A62,T_Shipments[Effective_Week],79)</f>
        <v/>
      </c>
      <c r="CC62">
        <f>SUMIFS(T_Shipments[Confirmed_Qty],T_Shipments[RM_Code],$A62,T_Shipments[Effective_Week],80)</f>
        <v/>
      </c>
      <c r="CD62">
        <f>SUMIFS(T_Shipments[Confirmed_Qty],T_Shipments[RM_Code],$A62,T_Shipments[Effective_Week],81)</f>
        <v/>
      </c>
      <c r="CE62">
        <f>SUMIFS(T_Shipments[Confirmed_Qty],T_Shipments[RM_Code],$A62,T_Shipments[Effective_Week],82)</f>
        <v/>
      </c>
      <c r="CF62">
        <f>SUMIFS(T_Shipments[Confirmed_Qty],T_Shipments[RM_Code],$A62,T_Shipments[Effective_Week],83)</f>
        <v/>
      </c>
      <c r="CG62">
        <f>SUMIFS(T_Shipments[Confirmed_Qty],T_Shipments[RM_Code],$A62,T_Shipments[Effective_Week],84)</f>
        <v/>
      </c>
      <c r="CH62">
        <f>SUMIFS(T_Shipments[Confirmed_Qty],T_Shipments[RM_Code],$A62,T_Shipments[Effective_Week],85)</f>
        <v/>
      </c>
      <c r="CI62">
        <f>SUMIFS(T_Shipments[Confirmed_Qty],T_Shipments[RM_Code],$A62,T_Shipments[Effective_Week],86)</f>
        <v/>
      </c>
      <c r="CJ62">
        <f>SUMIFS(T_Shipments[Confirmed_Qty],T_Shipments[RM_Code],$A62,T_Shipments[Effective_Week],87)</f>
        <v/>
      </c>
      <c r="CK62">
        <f>SUMIFS(T_Shipments[Confirmed_Qty],T_Shipments[RM_Code],$A62,T_Shipments[Effective_Week],88)</f>
        <v/>
      </c>
      <c r="CL62">
        <f>SUMIFS(T_Shipments[Confirmed_Qty],T_Shipments[RM_Code],$A62,T_Shipments[Effective_Week],89)</f>
        <v/>
      </c>
      <c r="CM62">
        <f>SUMIFS(T_Shipments[Confirmed_Qty],T_Shipments[RM_Code],$A62,T_Shipments[Effective_Week],90)</f>
        <v/>
      </c>
      <c r="CN62">
        <f>SUMIFS(T_Shipments[Confirmed_Qty],T_Shipments[RM_Code],$A62,T_Shipments[Effective_Week],91)</f>
        <v/>
      </c>
      <c r="CO62">
        <f>SUMIFS(T_Shipments[Confirmed_Qty],T_Shipments[RM_Code],$A62,T_Shipments[Effective_Week],92)</f>
        <v/>
      </c>
      <c r="CP62">
        <f>SUMIFS(T_Shipments[Confirmed_Qty],T_Shipments[RM_Code],$A62,T_Shipments[Effective_Week],93)</f>
        <v/>
      </c>
      <c r="CQ62">
        <f>SUMIFS(T_Shipments[Confirmed_Qty],T_Shipments[RM_Code],$A62,T_Shipments[Effective_Week],94)</f>
        <v/>
      </c>
      <c r="CR62">
        <f>SUMIFS(T_Shipments[Confirmed_Qty],T_Shipments[RM_Code],$A62,T_Shipments[Effective_Week],95)</f>
        <v/>
      </c>
      <c r="CS62">
        <f>SUMIFS(T_Shipments[Confirmed_Qty],T_Shipments[RM_Code],$A62,T_Shipments[Effective_Week],96)</f>
        <v/>
      </c>
      <c r="CT62">
        <f>SUMIFS(T_Shipments[Confirmed_Qty],T_Shipments[RM_Code],$A62,T_Shipments[Effective_Week],97)</f>
        <v/>
      </c>
      <c r="CU62">
        <f>SUMIFS(T_Shipments[Confirmed_Qty],T_Shipments[RM_Code],$A62,T_Shipments[Effective_Week],98)</f>
        <v/>
      </c>
      <c r="CV62">
        <f>SUMIFS(T_Shipments[Confirmed_Qty],T_Shipments[RM_Code],$A62,T_Shipments[Effective_Week],99)</f>
        <v/>
      </c>
      <c r="CW62">
        <f>SUMIFS(T_Shipments[Confirmed_Qty],T_Shipments[RM_Code],$A62,T_Shipments[Effective_Week],100)</f>
        <v/>
      </c>
      <c r="CX62">
        <f>SUMIFS(T_Shipments[Confirmed_Qty],T_Shipments[RM_Code],$A62,T_Shipments[Effective_Week],101)</f>
        <v/>
      </c>
      <c r="CY62">
        <f>SUMIFS(T_Shipments[Confirmed_Qty],T_Shipments[RM_Code],$A62,T_Shipments[Effective_Week],102)</f>
        <v/>
      </c>
      <c r="CZ62">
        <f>SUMIFS(T_Shipments[Confirmed_Qty],T_Shipments[RM_Code],$A62,T_Shipments[Effective_Week],103)</f>
        <v/>
      </c>
      <c r="DA62">
        <f>SUMIFS(T_Shipments[Confirmed_Qty],T_Shipments[RM_Code],$A62,T_Shipments[Effective_Week],104)</f>
        <v/>
      </c>
    </row>
    <row r="63">
      <c r="A63" t="inlineStr">
        <is>
          <t>PP Film</t>
        </is>
      </c>
      <c r="B63">
        <f>SUMIFS(T_Shipments[Confirmed_Qty],T_Shipments[RM_Code],$A63,T_Shipments[Effective_Week],1)</f>
        <v/>
      </c>
      <c r="C63">
        <f>SUMIFS(T_Shipments[Confirmed_Qty],T_Shipments[RM_Code],$A63,T_Shipments[Effective_Week],2)</f>
        <v/>
      </c>
      <c r="D63">
        <f>SUMIFS(T_Shipments[Confirmed_Qty],T_Shipments[RM_Code],$A63,T_Shipments[Effective_Week],3)</f>
        <v/>
      </c>
      <c r="E63">
        <f>SUMIFS(T_Shipments[Confirmed_Qty],T_Shipments[RM_Code],$A63,T_Shipments[Effective_Week],4)</f>
        <v/>
      </c>
      <c r="F63">
        <f>SUMIFS(T_Shipments[Confirmed_Qty],T_Shipments[RM_Code],$A63,T_Shipments[Effective_Week],5)</f>
        <v/>
      </c>
      <c r="G63">
        <f>SUMIFS(T_Shipments[Confirmed_Qty],T_Shipments[RM_Code],$A63,T_Shipments[Effective_Week],6)</f>
        <v/>
      </c>
      <c r="H63">
        <f>SUMIFS(T_Shipments[Confirmed_Qty],T_Shipments[RM_Code],$A63,T_Shipments[Effective_Week],7)</f>
        <v/>
      </c>
      <c r="I63">
        <f>SUMIFS(T_Shipments[Confirmed_Qty],T_Shipments[RM_Code],$A63,T_Shipments[Effective_Week],8)</f>
        <v/>
      </c>
      <c r="J63">
        <f>SUMIFS(T_Shipments[Confirmed_Qty],T_Shipments[RM_Code],$A63,T_Shipments[Effective_Week],9)</f>
        <v/>
      </c>
      <c r="K63">
        <f>SUMIFS(T_Shipments[Confirmed_Qty],T_Shipments[RM_Code],$A63,T_Shipments[Effective_Week],10)</f>
        <v/>
      </c>
      <c r="L63">
        <f>SUMIFS(T_Shipments[Confirmed_Qty],T_Shipments[RM_Code],$A63,T_Shipments[Effective_Week],11)</f>
        <v/>
      </c>
      <c r="M63">
        <f>SUMIFS(T_Shipments[Confirmed_Qty],T_Shipments[RM_Code],$A63,T_Shipments[Effective_Week],12)</f>
        <v/>
      </c>
      <c r="N63">
        <f>SUMIFS(T_Shipments[Confirmed_Qty],T_Shipments[RM_Code],$A63,T_Shipments[Effective_Week],13)</f>
        <v/>
      </c>
      <c r="O63">
        <f>SUMIFS(T_Shipments[Confirmed_Qty],T_Shipments[RM_Code],$A63,T_Shipments[Effective_Week],14)</f>
        <v/>
      </c>
      <c r="P63">
        <f>SUMIFS(T_Shipments[Confirmed_Qty],T_Shipments[RM_Code],$A63,T_Shipments[Effective_Week],15)</f>
        <v/>
      </c>
      <c r="Q63">
        <f>SUMIFS(T_Shipments[Confirmed_Qty],T_Shipments[RM_Code],$A63,T_Shipments[Effective_Week],16)</f>
        <v/>
      </c>
      <c r="R63">
        <f>SUMIFS(T_Shipments[Confirmed_Qty],T_Shipments[RM_Code],$A63,T_Shipments[Effective_Week],17)</f>
        <v/>
      </c>
      <c r="S63">
        <f>SUMIFS(T_Shipments[Confirmed_Qty],T_Shipments[RM_Code],$A63,T_Shipments[Effective_Week],18)</f>
        <v/>
      </c>
      <c r="T63">
        <f>SUMIFS(T_Shipments[Confirmed_Qty],T_Shipments[RM_Code],$A63,T_Shipments[Effective_Week],19)</f>
        <v/>
      </c>
      <c r="U63">
        <f>SUMIFS(T_Shipments[Confirmed_Qty],T_Shipments[RM_Code],$A63,T_Shipments[Effective_Week],20)</f>
        <v/>
      </c>
      <c r="V63">
        <f>SUMIFS(T_Shipments[Confirmed_Qty],T_Shipments[RM_Code],$A63,T_Shipments[Effective_Week],21)</f>
        <v/>
      </c>
      <c r="W63">
        <f>SUMIFS(T_Shipments[Confirmed_Qty],T_Shipments[RM_Code],$A63,T_Shipments[Effective_Week],22)</f>
        <v/>
      </c>
      <c r="X63">
        <f>SUMIFS(T_Shipments[Confirmed_Qty],T_Shipments[RM_Code],$A63,T_Shipments[Effective_Week],23)</f>
        <v/>
      </c>
      <c r="Y63">
        <f>SUMIFS(T_Shipments[Confirmed_Qty],T_Shipments[RM_Code],$A63,T_Shipments[Effective_Week],24)</f>
        <v/>
      </c>
      <c r="Z63">
        <f>SUMIFS(T_Shipments[Confirmed_Qty],T_Shipments[RM_Code],$A63,T_Shipments[Effective_Week],25)</f>
        <v/>
      </c>
      <c r="AA63">
        <f>SUMIFS(T_Shipments[Confirmed_Qty],T_Shipments[RM_Code],$A63,T_Shipments[Effective_Week],26)</f>
        <v/>
      </c>
      <c r="AB63">
        <f>SUMIFS(T_Shipments[Confirmed_Qty],T_Shipments[RM_Code],$A63,T_Shipments[Effective_Week],27)</f>
        <v/>
      </c>
      <c r="AC63">
        <f>SUMIFS(T_Shipments[Confirmed_Qty],T_Shipments[RM_Code],$A63,T_Shipments[Effective_Week],28)</f>
        <v/>
      </c>
      <c r="AD63">
        <f>SUMIFS(T_Shipments[Confirmed_Qty],T_Shipments[RM_Code],$A63,T_Shipments[Effective_Week],29)</f>
        <v/>
      </c>
      <c r="AE63">
        <f>SUMIFS(T_Shipments[Confirmed_Qty],T_Shipments[RM_Code],$A63,T_Shipments[Effective_Week],30)</f>
        <v/>
      </c>
      <c r="AF63">
        <f>SUMIFS(T_Shipments[Confirmed_Qty],T_Shipments[RM_Code],$A63,T_Shipments[Effective_Week],31)</f>
        <v/>
      </c>
      <c r="AG63">
        <f>SUMIFS(T_Shipments[Confirmed_Qty],T_Shipments[RM_Code],$A63,T_Shipments[Effective_Week],32)</f>
        <v/>
      </c>
      <c r="AH63">
        <f>SUMIFS(T_Shipments[Confirmed_Qty],T_Shipments[RM_Code],$A63,T_Shipments[Effective_Week],33)</f>
        <v/>
      </c>
      <c r="AI63">
        <f>SUMIFS(T_Shipments[Confirmed_Qty],T_Shipments[RM_Code],$A63,T_Shipments[Effective_Week],34)</f>
        <v/>
      </c>
      <c r="AJ63">
        <f>SUMIFS(T_Shipments[Confirmed_Qty],T_Shipments[RM_Code],$A63,T_Shipments[Effective_Week],35)</f>
        <v/>
      </c>
      <c r="AK63">
        <f>SUMIFS(T_Shipments[Confirmed_Qty],T_Shipments[RM_Code],$A63,T_Shipments[Effective_Week],36)</f>
        <v/>
      </c>
      <c r="AL63">
        <f>SUMIFS(T_Shipments[Confirmed_Qty],T_Shipments[RM_Code],$A63,T_Shipments[Effective_Week],37)</f>
        <v/>
      </c>
      <c r="AM63">
        <f>SUMIFS(T_Shipments[Confirmed_Qty],T_Shipments[RM_Code],$A63,T_Shipments[Effective_Week],38)</f>
        <v/>
      </c>
      <c r="AN63">
        <f>SUMIFS(T_Shipments[Confirmed_Qty],T_Shipments[RM_Code],$A63,T_Shipments[Effective_Week],39)</f>
        <v/>
      </c>
      <c r="AO63">
        <f>SUMIFS(T_Shipments[Confirmed_Qty],T_Shipments[RM_Code],$A63,T_Shipments[Effective_Week],40)</f>
        <v/>
      </c>
      <c r="AP63">
        <f>SUMIFS(T_Shipments[Confirmed_Qty],T_Shipments[RM_Code],$A63,T_Shipments[Effective_Week],41)</f>
        <v/>
      </c>
      <c r="AQ63">
        <f>SUMIFS(T_Shipments[Confirmed_Qty],T_Shipments[RM_Code],$A63,T_Shipments[Effective_Week],42)</f>
        <v/>
      </c>
      <c r="AR63">
        <f>SUMIFS(T_Shipments[Confirmed_Qty],T_Shipments[RM_Code],$A63,T_Shipments[Effective_Week],43)</f>
        <v/>
      </c>
      <c r="AS63">
        <f>SUMIFS(T_Shipments[Confirmed_Qty],T_Shipments[RM_Code],$A63,T_Shipments[Effective_Week],44)</f>
        <v/>
      </c>
      <c r="AT63">
        <f>SUMIFS(T_Shipments[Confirmed_Qty],T_Shipments[RM_Code],$A63,T_Shipments[Effective_Week],45)</f>
        <v/>
      </c>
      <c r="AU63">
        <f>SUMIFS(T_Shipments[Confirmed_Qty],T_Shipments[RM_Code],$A63,T_Shipments[Effective_Week],46)</f>
        <v/>
      </c>
      <c r="AV63">
        <f>SUMIFS(T_Shipments[Confirmed_Qty],T_Shipments[RM_Code],$A63,T_Shipments[Effective_Week],47)</f>
        <v/>
      </c>
      <c r="AW63">
        <f>SUMIFS(T_Shipments[Confirmed_Qty],T_Shipments[RM_Code],$A63,T_Shipments[Effective_Week],48)</f>
        <v/>
      </c>
      <c r="AX63">
        <f>SUMIFS(T_Shipments[Confirmed_Qty],T_Shipments[RM_Code],$A63,T_Shipments[Effective_Week],49)</f>
        <v/>
      </c>
      <c r="AY63">
        <f>SUMIFS(T_Shipments[Confirmed_Qty],T_Shipments[RM_Code],$A63,T_Shipments[Effective_Week],50)</f>
        <v/>
      </c>
      <c r="AZ63">
        <f>SUMIFS(T_Shipments[Confirmed_Qty],T_Shipments[RM_Code],$A63,T_Shipments[Effective_Week],51)</f>
        <v/>
      </c>
      <c r="BA63">
        <f>SUMIFS(T_Shipments[Confirmed_Qty],T_Shipments[RM_Code],$A63,T_Shipments[Effective_Week],52)</f>
        <v/>
      </c>
      <c r="BB63">
        <f>SUMIFS(T_Shipments[Confirmed_Qty],T_Shipments[RM_Code],$A63,T_Shipments[Effective_Week],53)</f>
        <v/>
      </c>
      <c r="BC63">
        <f>SUMIFS(T_Shipments[Confirmed_Qty],T_Shipments[RM_Code],$A63,T_Shipments[Effective_Week],54)</f>
        <v/>
      </c>
      <c r="BD63">
        <f>SUMIFS(T_Shipments[Confirmed_Qty],T_Shipments[RM_Code],$A63,T_Shipments[Effective_Week],55)</f>
        <v/>
      </c>
      <c r="BE63">
        <f>SUMIFS(T_Shipments[Confirmed_Qty],T_Shipments[RM_Code],$A63,T_Shipments[Effective_Week],56)</f>
        <v/>
      </c>
      <c r="BF63">
        <f>SUMIFS(T_Shipments[Confirmed_Qty],T_Shipments[RM_Code],$A63,T_Shipments[Effective_Week],57)</f>
        <v/>
      </c>
      <c r="BG63">
        <f>SUMIFS(T_Shipments[Confirmed_Qty],T_Shipments[RM_Code],$A63,T_Shipments[Effective_Week],58)</f>
        <v/>
      </c>
      <c r="BH63">
        <f>SUMIFS(T_Shipments[Confirmed_Qty],T_Shipments[RM_Code],$A63,T_Shipments[Effective_Week],59)</f>
        <v/>
      </c>
      <c r="BI63">
        <f>SUMIFS(T_Shipments[Confirmed_Qty],T_Shipments[RM_Code],$A63,T_Shipments[Effective_Week],60)</f>
        <v/>
      </c>
      <c r="BJ63">
        <f>SUMIFS(T_Shipments[Confirmed_Qty],T_Shipments[RM_Code],$A63,T_Shipments[Effective_Week],61)</f>
        <v/>
      </c>
      <c r="BK63">
        <f>SUMIFS(T_Shipments[Confirmed_Qty],T_Shipments[RM_Code],$A63,T_Shipments[Effective_Week],62)</f>
        <v/>
      </c>
      <c r="BL63">
        <f>SUMIFS(T_Shipments[Confirmed_Qty],T_Shipments[RM_Code],$A63,T_Shipments[Effective_Week],63)</f>
        <v/>
      </c>
      <c r="BM63">
        <f>SUMIFS(T_Shipments[Confirmed_Qty],T_Shipments[RM_Code],$A63,T_Shipments[Effective_Week],64)</f>
        <v/>
      </c>
      <c r="BN63">
        <f>SUMIFS(T_Shipments[Confirmed_Qty],T_Shipments[RM_Code],$A63,T_Shipments[Effective_Week],65)</f>
        <v/>
      </c>
      <c r="BO63">
        <f>SUMIFS(T_Shipments[Confirmed_Qty],T_Shipments[RM_Code],$A63,T_Shipments[Effective_Week],66)</f>
        <v/>
      </c>
      <c r="BP63">
        <f>SUMIFS(T_Shipments[Confirmed_Qty],T_Shipments[RM_Code],$A63,T_Shipments[Effective_Week],67)</f>
        <v/>
      </c>
      <c r="BQ63">
        <f>SUMIFS(T_Shipments[Confirmed_Qty],T_Shipments[RM_Code],$A63,T_Shipments[Effective_Week],68)</f>
        <v/>
      </c>
      <c r="BR63">
        <f>SUMIFS(T_Shipments[Confirmed_Qty],T_Shipments[RM_Code],$A63,T_Shipments[Effective_Week],69)</f>
        <v/>
      </c>
      <c r="BS63">
        <f>SUMIFS(T_Shipments[Confirmed_Qty],T_Shipments[RM_Code],$A63,T_Shipments[Effective_Week],70)</f>
        <v/>
      </c>
      <c r="BT63">
        <f>SUMIFS(T_Shipments[Confirmed_Qty],T_Shipments[RM_Code],$A63,T_Shipments[Effective_Week],71)</f>
        <v/>
      </c>
      <c r="BU63">
        <f>SUMIFS(T_Shipments[Confirmed_Qty],T_Shipments[RM_Code],$A63,T_Shipments[Effective_Week],72)</f>
        <v/>
      </c>
      <c r="BV63">
        <f>SUMIFS(T_Shipments[Confirmed_Qty],T_Shipments[RM_Code],$A63,T_Shipments[Effective_Week],73)</f>
        <v/>
      </c>
      <c r="BW63">
        <f>SUMIFS(T_Shipments[Confirmed_Qty],T_Shipments[RM_Code],$A63,T_Shipments[Effective_Week],74)</f>
        <v/>
      </c>
      <c r="BX63">
        <f>SUMIFS(T_Shipments[Confirmed_Qty],T_Shipments[RM_Code],$A63,T_Shipments[Effective_Week],75)</f>
        <v/>
      </c>
      <c r="BY63">
        <f>SUMIFS(T_Shipments[Confirmed_Qty],T_Shipments[RM_Code],$A63,T_Shipments[Effective_Week],76)</f>
        <v/>
      </c>
      <c r="BZ63">
        <f>SUMIFS(T_Shipments[Confirmed_Qty],T_Shipments[RM_Code],$A63,T_Shipments[Effective_Week],77)</f>
        <v/>
      </c>
      <c r="CA63">
        <f>SUMIFS(T_Shipments[Confirmed_Qty],T_Shipments[RM_Code],$A63,T_Shipments[Effective_Week],78)</f>
        <v/>
      </c>
      <c r="CB63">
        <f>SUMIFS(T_Shipments[Confirmed_Qty],T_Shipments[RM_Code],$A63,T_Shipments[Effective_Week],79)</f>
        <v/>
      </c>
      <c r="CC63">
        <f>SUMIFS(T_Shipments[Confirmed_Qty],T_Shipments[RM_Code],$A63,T_Shipments[Effective_Week],80)</f>
        <v/>
      </c>
      <c r="CD63">
        <f>SUMIFS(T_Shipments[Confirmed_Qty],T_Shipments[RM_Code],$A63,T_Shipments[Effective_Week],81)</f>
        <v/>
      </c>
      <c r="CE63">
        <f>SUMIFS(T_Shipments[Confirmed_Qty],T_Shipments[RM_Code],$A63,T_Shipments[Effective_Week],82)</f>
        <v/>
      </c>
      <c r="CF63">
        <f>SUMIFS(T_Shipments[Confirmed_Qty],T_Shipments[RM_Code],$A63,T_Shipments[Effective_Week],83)</f>
        <v/>
      </c>
      <c r="CG63">
        <f>SUMIFS(T_Shipments[Confirmed_Qty],T_Shipments[RM_Code],$A63,T_Shipments[Effective_Week],84)</f>
        <v/>
      </c>
      <c r="CH63">
        <f>SUMIFS(T_Shipments[Confirmed_Qty],T_Shipments[RM_Code],$A63,T_Shipments[Effective_Week],85)</f>
        <v/>
      </c>
      <c r="CI63">
        <f>SUMIFS(T_Shipments[Confirmed_Qty],T_Shipments[RM_Code],$A63,T_Shipments[Effective_Week],86)</f>
        <v/>
      </c>
      <c r="CJ63">
        <f>SUMIFS(T_Shipments[Confirmed_Qty],T_Shipments[RM_Code],$A63,T_Shipments[Effective_Week],87)</f>
        <v/>
      </c>
      <c r="CK63">
        <f>SUMIFS(T_Shipments[Confirmed_Qty],T_Shipments[RM_Code],$A63,T_Shipments[Effective_Week],88)</f>
        <v/>
      </c>
      <c r="CL63">
        <f>SUMIFS(T_Shipments[Confirmed_Qty],T_Shipments[RM_Code],$A63,T_Shipments[Effective_Week],89)</f>
        <v/>
      </c>
      <c r="CM63">
        <f>SUMIFS(T_Shipments[Confirmed_Qty],T_Shipments[RM_Code],$A63,T_Shipments[Effective_Week],90)</f>
        <v/>
      </c>
      <c r="CN63">
        <f>SUMIFS(T_Shipments[Confirmed_Qty],T_Shipments[RM_Code],$A63,T_Shipments[Effective_Week],91)</f>
        <v/>
      </c>
      <c r="CO63">
        <f>SUMIFS(T_Shipments[Confirmed_Qty],T_Shipments[RM_Code],$A63,T_Shipments[Effective_Week],92)</f>
        <v/>
      </c>
      <c r="CP63">
        <f>SUMIFS(T_Shipments[Confirmed_Qty],T_Shipments[RM_Code],$A63,T_Shipments[Effective_Week],93)</f>
        <v/>
      </c>
      <c r="CQ63">
        <f>SUMIFS(T_Shipments[Confirmed_Qty],T_Shipments[RM_Code],$A63,T_Shipments[Effective_Week],94)</f>
        <v/>
      </c>
      <c r="CR63">
        <f>SUMIFS(T_Shipments[Confirmed_Qty],T_Shipments[RM_Code],$A63,T_Shipments[Effective_Week],95)</f>
        <v/>
      </c>
      <c r="CS63">
        <f>SUMIFS(T_Shipments[Confirmed_Qty],T_Shipments[RM_Code],$A63,T_Shipments[Effective_Week],96)</f>
        <v/>
      </c>
      <c r="CT63">
        <f>SUMIFS(T_Shipments[Confirmed_Qty],T_Shipments[RM_Code],$A63,T_Shipments[Effective_Week],97)</f>
        <v/>
      </c>
      <c r="CU63">
        <f>SUMIFS(T_Shipments[Confirmed_Qty],T_Shipments[RM_Code],$A63,T_Shipments[Effective_Week],98)</f>
        <v/>
      </c>
      <c r="CV63">
        <f>SUMIFS(T_Shipments[Confirmed_Qty],T_Shipments[RM_Code],$A63,T_Shipments[Effective_Week],99)</f>
        <v/>
      </c>
      <c r="CW63">
        <f>SUMIFS(T_Shipments[Confirmed_Qty],T_Shipments[RM_Code],$A63,T_Shipments[Effective_Week],100)</f>
        <v/>
      </c>
      <c r="CX63">
        <f>SUMIFS(T_Shipments[Confirmed_Qty],T_Shipments[RM_Code],$A63,T_Shipments[Effective_Week],101)</f>
        <v/>
      </c>
      <c r="CY63">
        <f>SUMIFS(T_Shipments[Confirmed_Qty],T_Shipments[RM_Code],$A63,T_Shipments[Effective_Week],102)</f>
        <v/>
      </c>
      <c r="CZ63">
        <f>SUMIFS(T_Shipments[Confirmed_Qty],T_Shipments[RM_Code],$A63,T_Shipments[Effective_Week],103)</f>
        <v/>
      </c>
      <c r="DA63">
        <f>SUMIFS(T_Shipments[Confirmed_Qty],T_Shipments[RM_Code],$A63,T_Shipments[Effective_Week],104)</f>
        <v/>
      </c>
    </row>
    <row r="64">
      <c r="A64" t="inlineStr">
        <is>
          <t>5SN</t>
        </is>
      </c>
      <c r="B64">
        <f>SUMIFS(T_Shipments[Confirmed_Qty],T_Shipments[RM_Code],$A64,T_Shipments[Effective_Week],1)</f>
        <v/>
      </c>
      <c r="C64">
        <f>SUMIFS(T_Shipments[Confirmed_Qty],T_Shipments[RM_Code],$A64,T_Shipments[Effective_Week],2)</f>
        <v/>
      </c>
      <c r="D64">
        <f>SUMIFS(T_Shipments[Confirmed_Qty],T_Shipments[RM_Code],$A64,T_Shipments[Effective_Week],3)</f>
        <v/>
      </c>
      <c r="E64">
        <f>SUMIFS(T_Shipments[Confirmed_Qty],T_Shipments[RM_Code],$A64,T_Shipments[Effective_Week],4)</f>
        <v/>
      </c>
      <c r="F64">
        <f>SUMIFS(T_Shipments[Confirmed_Qty],T_Shipments[RM_Code],$A64,T_Shipments[Effective_Week],5)</f>
        <v/>
      </c>
      <c r="G64">
        <f>SUMIFS(T_Shipments[Confirmed_Qty],T_Shipments[RM_Code],$A64,T_Shipments[Effective_Week],6)</f>
        <v/>
      </c>
      <c r="H64">
        <f>SUMIFS(T_Shipments[Confirmed_Qty],T_Shipments[RM_Code],$A64,T_Shipments[Effective_Week],7)</f>
        <v/>
      </c>
      <c r="I64">
        <f>SUMIFS(T_Shipments[Confirmed_Qty],T_Shipments[RM_Code],$A64,T_Shipments[Effective_Week],8)</f>
        <v/>
      </c>
      <c r="J64">
        <f>SUMIFS(T_Shipments[Confirmed_Qty],T_Shipments[RM_Code],$A64,T_Shipments[Effective_Week],9)</f>
        <v/>
      </c>
      <c r="K64">
        <f>SUMIFS(T_Shipments[Confirmed_Qty],T_Shipments[RM_Code],$A64,T_Shipments[Effective_Week],10)</f>
        <v/>
      </c>
      <c r="L64">
        <f>SUMIFS(T_Shipments[Confirmed_Qty],T_Shipments[RM_Code],$A64,T_Shipments[Effective_Week],11)</f>
        <v/>
      </c>
      <c r="M64">
        <f>SUMIFS(T_Shipments[Confirmed_Qty],T_Shipments[RM_Code],$A64,T_Shipments[Effective_Week],12)</f>
        <v/>
      </c>
      <c r="N64">
        <f>SUMIFS(T_Shipments[Confirmed_Qty],T_Shipments[RM_Code],$A64,T_Shipments[Effective_Week],13)</f>
        <v/>
      </c>
      <c r="O64">
        <f>SUMIFS(T_Shipments[Confirmed_Qty],T_Shipments[RM_Code],$A64,T_Shipments[Effective_Week],14)</f>
        <v/>
      </c>
      <c r="P64">
        <f>SUMIFS(T_Shipments[Confirmed_Qty],T_Shipments[RM_Code],$A64,T_Shipments[Effective_Week],15)</f>
        <v/>
      </c>
      <c r="Q64">
        <f>SUMIFS(T_Shipments[Confirmed_Qty],T_Shipments[RM_Code],$A64,T_Shipments[Effective_Week],16)</f>
        <v/>
      </c>
      <c r="R64">
        <f>SUMIFS(T_Shipments[Confirmed_Qty],T_Shipments[RM_Code],$A64,T_Shipments[Effective_Week],17)</f>
        <v/>
      </c>
      <c r="S64">
        <f>SUMIFS(T_Shipments[Confirmed_Qty],T_Shipments[RM_Code],$A64,T_Shipments[Effective_Week],18)</f>
        <v/>
      </c>
      <c r="T64">
        <f>SUMIFS(T_Shipments[Confirmed_Qty],T_Shipments[RM_Code],$A64,T_Shipments[Effective_Week],19)</f>
        <v/>
      </c>
      <c r="U64">
        <f>SUMIFS(T_Shipments[Confirmed_Qty],T_Shipments[RM_Code],$A64,T_Shipments[Effective_Week],20)</f>
        <v/>
      </c>
      <c r="V64">
        <f>SUMIFS(T_Shipments[Confirmed_Qty],T_Shipments[RM_Code],$A64,T_Shipments[Effective_Week],21)</f>
        <v/>
      </c>
      <c r="W64">
        <f>SUMIFS(T_Shipments[Confirmed_Qty],T_Shipments[RM_Code],$A64,T_Shipments[Effective_Week],22)</f>
        <v/>
      </c>
      <c r="X64">
        <f>SUMIFS(T_Shipments[Confirmed_Qty],T_Shipments[RM_Code],$A64,T_Shipments[Effective_Week],23)</f>
        <v/>
      </c>
      <c r="Y64">
        <f>SUMIFS(T_Shipments[Confirmed_Qty],T_Shipments[RM_Code],$A64,T_Shipments[Effective_Week],24)</f>
        <v/>
      </c>
      <c r="Z64">
        <f>SUMIFS(T_Shipments[Confirmed_Qty],T_Shipments[RM_Code],$A64,T_Shipments[Effective_Week],25)</f>
        <v/>
      </c>
      <c r="AA64">
        <f>SUMIFS(T_Shipments[Confirmed_Qty],T_Shipments[RM_Code],$A64,T_Shipments[Effective_Week],26)</f>
        <v/>
      </c>
      <c r="AB64">
        <f>SUMIFS(T_Shipments[Confirmed_Qty],T_Shipments[RM_Code],$A64,T_Shipments[Effective_Week],27)</f>
        <v/>
      </c>
      <c r="AC64">
        <f>SUMIFS(T_Shipments[Confirmed_Qty],T_Shipments[RM_Code],$A64,T_Shipments[Effective_Week],28)</f>
        <v/>
      </c>
      <c r="AD64">
        <f>SUMIFS(T_Shipments[Confirmed_Qty],T_Shipments[RM_Code],$A64,T_Shipments[Effective_Week],29)</f>
        <v/>
      </c>
      <c r="AE64">
        <f>SUMIFS(T_Shipments[Confirmed_Qty],T_Shipments[RM_Code],$A64,T_Shipments[Effective_Week],30)</f>
        <v/>
      </c>
      <c r="AF64">
        <f>SUMIFS(T_Shipments[Confirmed_Qty],T_Shipments[RM_Code],$A64,T_Shipments[Effective_Week],31)</f>
        <v/>
      </c>
      <c r="AG64">
        <f>SUMIFS(T_Shipments[Confirmed_Qty],T_Shipments[RM_Code],$A64,T_Shipments[Effective_Week],32)</f>
        <v/>
      </c>
      <c r="AH64">
        <f>SUMIFS(T_Shipments[Confirmed_Qty],T_Shipments[RM_Code],$A64,T_Shipments[Effective_Week],33)</f>
        <v/>
      </c>
      <c r="AI64">
        <f>SUMIFS(T_Shipments[Confirmed_Qty],T_Shipments[RM_Code],$A64,T_Shipments[Effective_Week],34)</f>
        <v/>
      </c>
      <c r="AJ64">
        <f>SUMIFS(T_Shipments[Confirmed_Qty],T_Shipments[RM_Code],$A64,T_Shipments[Effective_Week],35)</f>
        <v/>
      </c>
      <c r="AK64">
        <f>SUMIFS(T_Shipments[Confirmed_Qty],T_Shipments[RM_Code],$A64,T_Shipments[Effective_Week],36)</f>
        <v/>
      </c>
      <c r="AL64">
        <f>SUMIFS(T_Shipments[Confirmed_Qty],T_Shipments[RM_Code],$A64,T_Shipments[Effective_Week],37)</f>
        <v/>
      </c>
      <c r="AM64">
        <f>SUMIFS(T_Shipments[Confirmed_Qty],T_Shipments[RM_Code],$A64,T_Shipments[Effective_Week],38)</f>
        <v/>
      </c>
      <c r="AN64">
        <f>SUMIFS(T_Shipments[Confirmed_Qty],T_Shipments[RM_Code],$A64,T_Shipments[Effective_Week],39)</f>
        <v/>
      </c>
      <c r="AO64">
        <f>SUMIFS(T_Shipments[Confirmed_Qty],T_Shipments[RM_Code],$A64,T_Shipments[Effective_Week],40)</f>
        <v/>
      </c>
      <c r="AP64">
        <f>SUMIFS(T_Shipments[Confirmed_Qty],T_Shipments[RM_Code],$A64,T_Shipments[Effective_Week],41)</f>
        <v/>
      </c>
      <c r="AQ64">
        <f>SUMIFS(T_Shipments[Confirmed_Qty],T_Shipments[RM_Code],$A64,T_Shipments[Effective_Week],42)</f>
        <v/>
      </c>
      <c r="AR64">
        <f>SUMIFS(T_Shipments[Confirmed_Qty],T_Shipments[RM_Code],$A64,T_Shipments[Effective_Week],43)</f>
        <v/>
      </c>
      <c r="AS64">
        <f>SUMIFS(T_Shipments[Confirmed_Qty],T_Shipments[RM_Code],$A64,T_Shipments[Effective_Week],44)</f>
        <v/>
      </c>
      <c r="AT64">
        <f>SUMIFS(T_Shipments[Confirmed_Qty],T_Shipments[RM_Code],$A64,T_Shipments[Effective_Week],45)</f>
        <v/>
      </c>
      <c r="AU64">
        <f>SUMIFS(T_Shipments[Confirmed_Qty],T_Shipments[RM_Code],$A64,T_Shipments[Effective_Week],46)</f>
        <v/>
      </c>
      <c r="AV64">
        <f>SUMIFS(T_Shipments[Confirmed_Qty],T_Shipments[RM_Code],$A64,T_Shipments[Effective_Week],47)</f>
        <v/>
      </c>
      <c r="AW64">
        <f>SUMIFS(T_Shipments[Confirmed_Qty],T_Shipments[RM_Code],$A64,T_Shipments[Effective_Week],48)</f>
        <v/>
      </c>
      <c r="AX64">
        <f>SUMIFS(T_Shipments[Confirmed_Qty],T_Shipments[RM_Code],$A64,T_Shipments[Effective_Week],49)</f>
        <v/>
      </c>
      <c r="AY64">
        <f>SUMIFS(T_Shipments[Confirmed_Qty],T_Shipments[RM_Code],$A64,T_Shipments[Effective_Week],50)</f>
        <v/>
      </c>
      <c r="AZ64">
        <f>SUMIFS(T_Shipments[Confirmed_Qty],T_Shipments[RM_Code],$A64,T_Shipments[Effective_Week],51)</f>
        <v/>
      </c>
      <c r="BA64">
        <f>SUMIFS(T_Shipments[Confirmed_Qty],T_Shipments[RM_Code],$A64,T_Shipments[Effective_Week],52)</f>
        <v/>
      </c>
      <c r="BB64">
        <f>SUMIFS(T_Shipments[Confirmed_Qty],T_Shipments[RM_Code],$A64,T_Shipments[Effective_Week],53)</f>
        <v/>
      </c>
      <c r="BC64">
        <f>SUMIFS(T_Shipments[Confirmed_Qty],T_Shipments[RM_Code],$A64,T_Shipments[Effective_Week],54)</f>
        <v/>
      </c>
      <c r="BD64">
        <f>SUMIFS(T_Shipments[Confirmed_Qty],T_Shipments[RM_Code],$A64,T_Shipments[Effective_Week],55)</f>
        <v/>
      </c>
      <c r="BE64">
        <f>SUMIFS(T_Shipments[Confirmed_Qty],T_Shipments[RM_Code],$A64,T_Shipments[Effective_Week],56)</f>
        <v/>
      </c>
      <c r="BF64">
        <f>SUMIFS(T_Shipments[Confirmed_Qty],T_Shipments[RM_Code],$A64,T_Shipments[Effective_Week],57)</f>
        <v/>
      </c>
      <c r="BG64">
        <f>SUMIFS(T_Shipments[Confirmed_Qty],T_Shipments[RM_Code],$A64,T_Shipments[Effective_Week],58)</f>
        <v/>
      </c>
      <c r="BH64">
        <f>SUMIFS(T_Shipments[Confirmed_Qty],T_Shipments[RM_Code],$A64,T_Shipments[Effective_Week],59)</f>
        <v/>
      </c>
      <c r="BI64">
        <f>SUMIFS(T_Shipments[Confirmed_Qty],T_Shipments[RM_Code],$A64,T_Shipments[Effective_Week],60)</f>
        <v/>
      </c>
      <c r="BJ64">
        <f>SUMIFS(T_Shipments[Confirmed_Qty],T_Shipments[RM_Code],$A64,T_Shipments[Effective_Week],61)</f>
        <v/>
      </c>
      <c r="BK64">
        <f>SUMIFS(T_Shipments[Confirmed_Qty],T_Shipments[RM_Code],$A64,T_Shipments[Effective_Week],62)</f>
        <v/>
      </c>
      <c r="BL64">
        <f>SUMIFS(T_Shipments[Confirmed_Qty],T_Shipments[RM_Code],$A64,T_Shipments[Effective_Week],63)</f>
        <v/>
      </c>
      <c r="BM64">
        <f>SUMIFS(T_Shipments[Confirmed_Qty],T_Shipments[RM_Code],$A64,T_Shipments[Effective_Week],64)</f>
        <v/>
      </c>
      <c r="BN64">
        <f>SUMIFS(T_Shipments[Confirmed_Qty],T_Shipments[RM_Code],$A64,T_Shipments[Effective_Week],65)</f>
        <v/>
      </c>
      <c r="BO64">
        <f>SUMIFS(T_Shipments[Confirmed_Qty],T_Shipments[RM_Code],$A64,T_Shipments[Effective_Week],66)</f>
        <v/>
      </c>
      <c r="BP64">
        <f>SUMIFS(T_Shipments[Confirmed_Qty],T_Shipments[RM_Code],$A64,T_Shipments[Effective_Week],67)</f>
        <v/>
      </c>
      <c r="BQ64">
        <f>SUMIFS(T_Shipments[Confirmed_Qty],T_Shipments[RM_Code],$A64,T_Shipments[Effective_Week],68)</f>
        <v/>
      </c>
      <c r="BR64">
        <f>SUMIFS(T_Shipments[Confirmed_Qty],T_Shipments[RM_Code],$A64,T_Shipments[Effective_Week],69)</f>
        <v/>
      </c>
      <c r="BS64">
        <f>SUMIFS(T_Shipments[Confirmed_Qty],T_Shipments[RM_Code],$A64,T_Shipments[Effective_Week],70)</f>
        <v/>
      </c>
      <c r="BT64">
        <f>SUMIFS(T_Shipments[Confirmed_Qty],T_Shipments[RM_Code],$A64,T_Shipments[Effective_Week],71)</f>
        <v/>
      </c>
      <c r="BU64">
        <f>SUMIFS(T_Shipments[Confirmed_Qty],T_Shipments[RM_Code],$A64,T_Shipments[Effective_Week],72)</f>
        <v/>
      </c>
      <c r="BV64">
        <f>SUMIFS(T_Shipments[Confirmed_Qty],T_Shipments[RM_Code],$A64,T_Shipments[Effective_Week],73)</f>
        <v/>
      </c>
      <c r="BW64">
        <f>SUMIFS(T_Shipments[Confirmed_Qty],T_Shipments[RM_Code],$A64,T_Shipments[Effective_Week],74)</f>
        <v/>
      </c>
      <c r="BX64">
        <f>SUMIFS(T_Shipments[Confirmed_Qty],T_Shipments[RM_Code],$A64,T_Shipments[Effective_Week],75)</f>
        <v/>
      </c>
      <c r="BY64">
        <f>SUMIFS(T_Shipments[Confirmed_Qty],T_Shipments[RM_Code],$A64,T_Shipments[Effective_Week],76)</f>
        <v/>
      </c>
      <c r="BZ64">
        <f>SUMIFS(T_Shipments[Confirmed_Qty],T_Shipments[RM_Code],$A64,T_Shipments[Effective_Week],77)</f>
        <v/>
      </c>
      <c r="CA64">
        <f>SUMIFS(T_Shipments[Confirmed_Qty],T_Shipments[RM_Code],$A64,T_Shipments[Effective_Week],78)</f>
        <v/>
      </c>
      <c r="CB64">
        <f>SUMIFS(T_Shipments[Confirmed_Qty],T_Shipments[RM_Code],$A64,T_Shipments[Effective_Week],79)</f>
        <v/>
      </c>
      <c r="CC64">
        <f>SUMIFS(T_Shipments[Confirmed_Qty],T_Shipments[RM_Code],$A64,T_Shipments[Effective_Week],80)</f>
        <v/>
      </c>
      <c r="CD64">
        <f>SUMIFS(T_Shipments[Confirmed_Qty],T_Shipments[RM_Code],$A64,T_Shipments[Effective_Week],81)</f>
        <v/>
      </c>
      <c r="CE64">
        <f>SUMIFS(T_Shipments[Confirmed_Qty],T_Shipments[RM_Code],$A64,T_Shipments[Effective_Week],82)</f>
        <v/>
      </c>
      <c r="CF64">
        <f>SUMIFS(T_Shipments[Confirmed_Qty],T_Shipments[RM_Code],$A64,T_Shipments[Effective_Week],83)</f>
        <v/>
      </c>
      <c r="CG64">
        <f>SUMIFS(T_Shipments[Confirmed_Qty],T_Shipments[RM_Code],$A64,T_Shipments[Effective_Week],84)</f>
        <v/>
      </c>
      <c r="CH64">
        <f>SUMIFS(T_Shipments[Confirmed_Qty],T_Shipments[RM_Code],$A64,T_Shipments[Effective_Week],85)</f>
        <v/>
      </c>
      <c r="CI64">
        <f>SUMIFS(T_Shipments[Confirmed_Qty],T_Shipments[RM_Code],$A64,T_Shipments[Effective_Week],86)</f>
        <v/>
      </c>
      <c r="CJ64">
        <f>SUMIFS(T_Shipments[Confirmed_Qty],T_Shipments[RM_Code],$A64,T_Shipments[Effective_Week],87)</f>
        <v/>
      </c>
      <c r="CK64">
        <f>SUMIFS(T_Shipments[Confirmed_Qty],T_Shipments[RM_Code],$A64,T_Shipments[Effective_Week],88)</f>
        <v/>
      </c>
      <c r="CL64">
        <f>SUMIFS(T_Shipments[Confirmed_Qty],T_Shipments[RM_Code],$A64,T_Shipments[Effective_Week],89)</f>
        <v/>
      </c>
      <c r="CM64">
        <f>SUMIFS(T_Shipments[Confirmed_Qty],T_Shipments[RM_Code],$A64,T_Shipments[Effective_Week],90)</f>
        <v/>
      </c>
      <c r="CN64">
        <f>SUMIFS(T_Shipments[Confirmed_Qty],T_Shipments[RM_Code],$A64,T_Shipments[Effective_Week],91)</f>
        <v/>
      </c>
      <c r="CO64">
        <f>SUMIFS(T_Shipments[Confirmed_Qty],T_Shipments[RM_Code],$A64,T_Shipments[Effective_Week],92)</f>
        <v/>
      </c>
      <c r="CP64">
        <f>SUMIFS(T_Shipments[Confirmed_Qty],T_Shipments[RM_Code],$A64,T_Shipments[Effective_Week],93)</f>
        <v/>
      </c>
      <c r="CQ64">
        <f>SUMIFS(T_Shipments[Confirmed_Qty],T_Shipments[RM_Code],$A64,T_Shipments[Effective_Week],94)</f>
        <v/>
      </c>
      <c r="CR64">
        <f>SUMIFS(T_Shipments[Confirmed_Qty],T_Shipments[RM_Code],$A64,T_Shipments[Effective_Week],95)</f>
        <v/>
      </c>
      <c r="CS64">
        <f>SUMIFS(T_Shipments[Confirmed_Qty],T_Shipments[RM_Code],$A64,T_Shipments[Effective_Week],96)</f>
        <v/>
      </c>
      <c r="CT64">
        <f>SUMIFS(T_Shipments[Confirmed_Qty],T_Shipments[RM_Code],$A64,T_Shipments[Effective_Week],97)</f>
        <v/>
      </c>
      <c r="CU64">
        <f>SUMIFS(T_Shipments[Confirmed_Qty],T_Shipments[RM_Code],$A64,T_Shipments[Effective_Week],98)</f>
        <v/>
      </c>
      <c r="CV64">
        <f>SUMIFS(T_Shipments[Confirmed_Qty],T_Shipments[RM_Code],$A64,T_Shipments[Effective_Week],99)</f>
        <v/>
      </c>
      <c r="CW64">
        <f>SUMIFS(T_Shipments[Confirmed_Qty],T_Shipments[RM_Code],$A64,T_Shipments[Effective_Week],100)</f>
        <v/>
      </c>
      <c r="CX64">
        <f>SUMIFS(T_Shipments[Confirmed_Qty],T_Shipments[RM_Code],$A64,T_Shipments[Effective_Week],101)</f>
        <v/>
      </c>
      <c r="CY64">
        <f>SUMIFS(T_Shipments[Confirmed_Qty],T_Shipments[RM_Code],$A64,T_Shipments[Effective_Week],102)</f>
        <v/>
      </c>
      <c r="CZ64">
        <f>SUMIFS(T_Shipments[Confirmed_Qty],T_Shipments[RM_Code],$A64,T_Shipments[Effective_Week],103)</f>
        <v/>
      </c>
      <c r="DA64">
        <f>SUMIFS(T_Shipments[Confirmed_Qty],T_Shipments[RM_Code],$A64,T_Shipments[Effective_Week],104)</f>
        <v/>
      </c>
    </row>
    <row r="65">
      <c r="A65" t="inlineStr">
        <is>
          <t>1JN</t>
        </is>
      </c>
      <c r="B65">
        <f>SUMIFS(T_Shipments[Confirmed_Qty],T_Shipments[RM_Code],$A65,T_Shipments[Effective_Week],1)</f>
        <v/>
      </c>
      <c r="C65">
        <f>SUMIFS(T_Shipments[Confirmed_Qty],T_Shipments[RM_Code],$A65,T_Shipments[Effective_Week],2)</f>
        <v/>
      </c>
      <c r="D65">
        <f>SUMIFS(T_Shipments[Confirmed_Qty],T_Shipments[RM_Code],$A65,T_Shipments[Effective_Week],3)</f>
        <v/>
      </c>
      <c r="E65">
        <f>SUMIFS(T_Shipments[Confirmed_Qty],T_Shipments[RM_Code],$A65,T_Shipments[Effective_Week],4)</f>
        <v/>
      </c>
      <c r="F65">
        <f>SUMIFS(T_Shipments[Confirmed_Qty],T_Shipments[RM_Code],$A65,T_Shipments[Effective_Week],5)</f>
        <v/>
      </c>
      <c r="G65">
        <f>SUMIFS(T_Shipments[Confirmed_Qty],T_Shipments[RM_Code],$A65,T_Shipments[Effective_Week],6)</f>
        <v/>
      </c>
      <c r="H65">
        <f>SUMIFS(T_Shipments[Confirmed_Qty],T_Shipments[RM_Code],$A65,T_Shipments[Effective_Week],7)</f>
        <v/>
      </c>
      <c r="I65">
        <f>SUMIFS(T_Shipments[Confirmed_Qty],T_Shipments[RM_Code],$A65,T_Shipments[Effective_Week],8)</f>
        <v/>
      </c>
      <c r="J65">
        <f>SUMIFS(T_Shipments[Confirmed_Qty],T_Shipments[RM_Code],$A65,T_Shipments[Effective_Week],9)</f>
        <v/>
      </c>
      <c r="K65">
        <f>SUMIFS(T_Shipments[Confirmed_Qty],T_Shipments[RM_Code],$A65,T_Shipments[Effective_Week],10)</f>
        <v/>
      </c>
      <c r="L65">
        <f>SUMIFS(T_Shipments[Confirmed_Qty],T_Shipments[RM_Code],$A65,T_Shipments[Effective_Week],11)</f>
        <v/>
      </c>
      <c r="M65">
        <f>SUMIFS(T_Shipments[Confirmed_Qty],T_Shipments[RM_Code],$A65,T_Shipments[Effective_Week],12)</f>
        <v/>
      </c>
      <c r="N65">
        <f>SUMIFS(T_Shipments[Confirmed_Qty],T_Shipments[RM_Code],$A65,T_Shipments[Effective_Week],13)</f>
        <v/>
      </c>
      <c r="O65">
        <f>SUMIFS(T_Shipments[Confirmed_Qty],T_Shipments[RM_Code],$A65,T_Shipments[Effective_Week],14)</f>
        <v/>
      </c>
      <c r="P65">
        <f>SUMIFS(T_Shipments[Confirmed_Qty],T_Shipments[RM_Code],$A65,T_Shipments[Effective_Week],15)</f>
        <v/>
      </c>
      <c r="Q65">
        <f>SUMIFS(T_Shipments[Confirmed_Qty],T_Shipments[RM_Code],$A65,T_Shipments[Effective_Week],16)</f>
        <v/>
      </c>
      <c r="R65">
        <f>SUMIFS(T_Shipments[Confirmed_Qty],T_Shipments[RM_Code],$A65,T_Shipments[Effective_Week],17)</f>
        <v/>
      </c>
      <c r="S65">
        <f>SUMIFS(T_Shipments[Confirmed_Qty],T_Shipments[RM_Code],$A65,T_Shipments[Effective_Week],18)</f>
        <v/>
      </c>
      <c r="T65">
        <f>SUMIFS(T_Shipments[Confirmed_Qty],T_Shipments[RM_Code],$A65,T_Shipments[Effective_Week],19)</f>
        <v/>
      </c>
      <c r="U65">
        <f>SUMIFS(T_Shipments[Confirmed_Qty],T_Shipments[RM_Code],$A65,T_Shipments[Effective_Week],20)</f>
        <v/>
      </c>
      <c r="V65">
        <f>SUMIFS(T_Shipments[Confirmed_Qty],T_Shipments[RM_Code],$A65,T_Shipments[Effective_Week],21)</f>
        <v/>
      </c>
      <c r="W65">
        <f>SUMIFS(T_Shipments[Confirmed_Qty],T_Shipments[RM_Code],$A65,T_Shipments[Effective_Week],22)</f>
        <v/>
      </c>
      <c r="X65">
        <f>SUMIFS(T_Shipments[Confirmed_Qty],T_Shipments[RM_Code],$A65,T_Shipments[Effective_Week],23)</f>
        <v/>
      </c>
      <c r="Y65">
        <f>SUMIFS(T_Shipments[Confirmed_Qty],T_Shipments[RM_Code],$A65,T_Shipments[Effective_Week],24)</f>
        <v/>
      </c>
      <c r="Z65">
        <f>SUMIFS(T_Shipments[Confirmed_Qty],T_Shipments[RM_Code],$A65,T_Shipments[Effective_Week],25)</f>
        <v/>
      </c>
      <c r="AA65">
        <f>SUMIFS(T_Shipments[Confirmed_Qty],T_Shipments[RM_Code],$A65,T_Shipments[Effective_Week],26)</f>
        <v/>
      </c>
      <c r="AB65">
        <f>SUMIFS(T_Shipments[Confirmed_Qty],T_Shipments[RM_Code],$A65,T_Shipments[Effective_Week],27)</f>
        <v/>
      </c>
      <c r="AC65">
        <f>SUMIFS(T_Shipments[Confirmed_Qty],T_Shipments[RM_Code],$A65,T_Shipments[Effective_Week],28)</f>
        <v/>
      </c>
      <c r="AD65">
        <f>SUMIFS(T_Shipments[Confirmed_Qty],T_Shipments[RM_Code],$A65,T_Shipments[Effective_Week],29)</f>
        <v/>
      </c>
      <c r="AE65">
        <f>SUMIFS(T_Shipments[Confirmed_Qty],T_Shipments[RM_Code],$A65,T_Shipments[Effective_Week],30)</f>
        <v/>
      </c>
      <c r="AF65">
        <f>SUMIFS(T_Shipments[Confirmed_Qty],T_Shipments[RM_Code],$A65,T_Shipments[Effective_Week],31)</f>
        <v/>
      </c>
      <c r="AG65">
        <f>SUMIFS(T_Shipments[Confirmed_Qty],T_Shipments[RM_Code],$A65,T_Shipments[Effective_Week],32)</f>
        <v/>
      </c>
      <c r="AH65">
        <f>SUMIFS(T_Shipments[Confirmed_Qty],T_Shipments[RM_Code],$A65,T_Shipments[Effective_Week],33)</f>
        <v/>
      </c>
      <c r="AI65">
        <f>SUMIFS(T_Shipments[Confirmed_Qty],T_Shipments[RM_Code],$A65,T_Shipments[Effective_Week],34)</f>
        <v/>
      </c>
      <c r="AJ65">
        <f>SUMIFS(T_Shipments[Confirmed_Qty],T_Shipments[RM_Code],$A65,T_Shipments[Effective_Week],35)</f>
        <v/>
      </c>
      <c r="AK65">
        <f>SUMIFS(T_Shipments[Confirmed_Qty],T_Shipments[RM_Code],$A65,T_Shipments[Effective_Week],36)</f>
        <v/>
      </c>
      <c r="AL65">
        <f>SUMIFS(T_Shipments[Confirmed_Qty],T_Shipments[RM_Code],$A65,T_Shipments[Effective_Week],37)</f>
        <v/>
      </c>
      <c r="AM65">
        <f>SUMIFS(T_Shipments[Confirmed_Qty],T_Shipments[RM_Code],$A65,T_Shipments[Effective_Week],38)</f>
        <v/>
      </c>
      <c r="AN65">
        <f>SUMIFS(T_Shipments[Confirmed_Qty],T_Shipments[RM_Code],$A65,T_Shipments[Effective_Week],39)</f>
        <v/>
      </c>
      <c r="AO65">
        <f>SUMIFS(T_Shipments[Confirmed_Qty],T_Shipments[RM_Code],$A65,T_Shipments[Effective_Week],40)</f>
        <v/>
      </c>
      <c r="AP65">
        <f>SUMIFS(T_Shipments[Confirmed_Qty],T_Shipments[RM_Code],$A65,T_Shipments[Effective_Week],41)</f>
        <v/>
      </c>
      <c r="AQ65">
        <f>SUMIFS(T_Shipments[Confirmed_Qty],T_Shipments[RM_Code],$A65,T_Shipments[Effective_Week],42)</f>
        <v/>
      </c>
      <c r="AR65">
        <f>SUMIFS(T_Shipments[Confirmed_Qty],T_Shipments[RM_Code],$A65,T_Shipments[Effective_Week],43)</f>
        <v/>
      </c>
      <c r="AS65">
        <f>SUMIFS(T_Shipments[Confirmed_Qty],T_Shipments[RM_Code],$A65,T_Shipments[Effective_Week],44)</f>
        <v/>
      </c>
      <c r="AT65">
        <f>SUMIFS(T_Shipments[Confirmed_Qty],T_Shipments[RM_Code],$A65,T_Shipments[Effective_Week],45)</f>
        <v/>
      </c>
      <c r="AU65">
        <f>SUMIFS(T_Shipments[Confirmed_Qty],T_Shipments[RM_Code],$A65,T_Shipments[Effective_Week],46)</f>
        <v/>
      </c>
      <c r="AV65">
        <f>SUMIFS(T_Shipments[Confirmed_Qty],T_Shipments[RM_Code],$A65,T_Shipments[Effective_Week],47)</f>
        <v/>
      </c>
      <c r="AW65">
        <f>SUMIFS(T_Shipments[Confirmed_Qty],T_Shipments[RM_Code],$A65,T_Shipments[Effective_Week],48)</f>
        <v/>
      </c>
      <c r="AX65">
        <f>SUMIFS(T_Shipments[Confirmed_Qty],T_Shipments[RM_Code],$A65,T_Shipments[Effective_Week],49)</f>
        <v/>
      </c>
      <c r="AY65">
        <f>SUMIFS(T_Shipments[Confirmed_Qty],T_Shipments[RM_Code],$A65,T_Shipments[Effective_Week],50)</f>
        <v/>
      </c>
      <c r="AZ65">
        <f>SUMIFS(T_Shipments[Confirmed_Qty],T_Shipments[RM_Code],$A65,T_Shipments[Effective_Week],51)</f>
        <v/>
      </c>
      <c r="BA65">
        <f>SUMIFS(T_Shipments[Confirmed_Qty],T_Shipments[RM_Code],$A65,T_Shipments[Effective_Week],52)</f>
        <v/>
      </c>
      <c r="BB65">
        <f>SUMIFS(T_Shipments[Confirmed_Qty],T_Shipments[RM_Code],$A65,T_Shipments[Effective_Week],53)</f>
        <v/>
      </c>
      <c r="BC65">
        <f>SUMIFS(T_Shipments[Confirmed_Qty],T_Shipments[RM_Code],$A65,T_Shipments[Effective_Week],54)</f>
        <v/>
      </c>
      <c r="BD65">
        <f>SUMIFS(T_Shipments[Confirmed_Qty],T_Shipments[RM_Code],$A65,T_Shipments[Effective_Week],55)</f>
        <v/>
      </c>
      <c r="BE65">
        <f>SUMIFS(T_Shipments[Confirmed_Qty],T_Shipments[RM_Code],$A65,T_Shipments[Effective_Week],56)</f>
        <v/>
      </c>
      <c r="BF65">
        <f>SUMIFS(T_Shipments[Confirmed_Qty],T_Shipments[RM_Code],$A65,T_Shipments[Effective_Week],57)</f>
        <v/>
      </c>
      <c r="BG65">
        <f>SUMIFS(T_Shipments[Confirmed_Qty],T_Shipments[RM_Code],$A65,T_Shipments[Effective_Week],58)</f>
        <v/>
      </c>
      <c r="BH65">
        <f>SUMIFS(T_Shipments[Confirmed_Qty],T_Shipments[RM_Code],$A65,T_Shipments[Effective_Week],59)</f>
        <v/>
      </c>
      <c r="BI65">
        <f>SUMIFS(T_Shipments[Confirmed_Qty],T_Shipments[RM_Code],$A65,T_Shipments[Effective_Week],60)</f>
        <v/>
      </c>
      <c r="BJ65">
        <f>SUMIFS(T_Shipments[Confirmed_Qty],T_Shipments[RM_Code],$A65,T_Shipments[Effective_Week],61)</f>
        <v/>
      </c>
      <c r="BK65">
        <f>SUMIFS(T_Shipments[Confirmed_Qty],T_Shipments[RM_Code],$A65,T_Shipments[Effective_Week],62)</f>
        <v/>
      </c>
      <c r="BL65">
        <f>SUMIFS(T_Shipments[Confirmed_Qty],T_Shipments[RM_Code],$A65,T_Shipments[Effective_Week],63)</f>
        <v/>
      </c>
      <c r="BM65">
        <f>SUMIFS(T_Shipments[Confirmed_Qty],T_Shipments[RM_Code],$A65,T_Shipments[Effective_Week],64)</f>
        <v/>
      </c>
      <c r="BN65">
        <f>SUMIFS(T_Shipments[Confirmed_Qty],T_Shipments[RM_Code],$A65,T_Shipments[Effective_Week],65)</f>
        <v/>
      </c>
      <c r="BO65">
        <f>SUMIFS(T_Shipments[Confirmed_Qty],T_Shipments[RM_Code],$A65,T_Shipments[Effective_Week],66)</f>
        <v/>
      </c>
      <c r="BP65">
        <f>SUMIFS(T_Shipments[Confirmed_Qty],T_Shipments[RM_Code],$A65,T_Shipments[Effective_Week],67)</f>
        <v/>
      </c>
      <c r="BQ65">
        <f>SUMIFS(T_Shipments[Confirmed_Qty],T_Shipments[RM_Code],$A65,T_Shipments[Effective_Week],68)</f>
        <v/>
      </c>
      <c r="BR65">
        <f>SUMIFS(T_Shipments[Confirmed_Qty],T_Shipments[RM_Code],$A65,T_Shipments[Effective_Week],69)</f>
        <v/>
      </c>
      <c r="BS65">
        <f>SUMIFS(T_Shipments[Confirmed_Qty],T_Shipments[RM_Code],$A65,T_Shipments[Effective_Week],70)</f>
        <v/>
      </c>
      <c r="BT65">
        <f>SUMIFS(T_Shipments[Confirmed_Qty],T_Shipments[RM_Code],$A65,T_Shipments[Effective_Week],71)</f>
        <v/>
      </c>
      <c r="BU65">
        <f>SUMIFS(T_Shipments[Confirmed_Qty],T_Shipments[RM_Code],$A65,T_Shipments[Effective_Week],72)</f>
        <v/>
      </c>
      <c r="BV65">
        <f>SUMIFS(T_Shipments[Confirmed_Qty],T_Shipments[RM_Code],$A65,T_Shipments[Effective_Week],73)</f>
        <v/>
      </c>
      <c r="BW65">
        <f>SUMIFS(T_Shipments[Confirmed_Qty],T_Shipments[RM_Code],$A65,T_Shipments[Effective_Week],74)</f>
        <v/>
      </c>
      <c r="BX65">
        <f>SUMIFS(T_Shipments[Confirmed_Qty],T_Shipments[RM_Code],$A65,T_Shipments[Effective_Week],75)</f>
        <v/>
      </c>
      <c r="BY65">
        <f>SUMIFS(T_Shipments[Confirmed_Qty],T_Shipments[RM_Code],$A65,T_Shipments[Effective_Week],76)</f>
        <v/>
      </c>
      <c r="BZ65">
        <f>SUMIFS(T_Shipments[Confirmed_Qty],T_Shipments[RM_Code],$A65,T_Shipments[Effective_Week],77)</f>
        <v/>
      </c>
      <c r="CA65">
        <f>SUMIFS(T_Shipments[Confirmed_Qty],T_Shipments[RM_Code],$A65,T_Shipments[Effective_Week],78)</f>
        <v/>
      </c>
      <c r="CB65">
        <f>SUMIFS(T_Shipments[Confirmed_Qty],T_Shipments[RM_Code],$A65,T_Shipments[Effective_Week],79)</f>
        <v/>
      </c>
      <c r="CC65">
        <f>SUMIFS(T_Shipments[Confirmed_Qty],T_Shipments[RM_Code],$A65,T_Shipments[Effective_Week],80)</f>
        <v/>
      </c>
      <c r="CD65">
        <f>SUMIFS(T_Shipments[Confirmed_Qty],T_Shipments[RM_Code],$A65,T_Shipments[Effective_Week],81)</f>
        <v/>
      </c>
      <c r="CE65">
        <f>SUMIFS(T_Shipments[Confirmed_Qty],T_Shipments[RM_Code],$A65,T_Shipments[Effective_Week],82)</f>
        <v/>
      </c>
      <c r="CF65">
        <f>SUMIFS(T_Shipments[Confirmed_Qty],T_Shipments[RM_Code],$A65,T_Shipments[Effective_Week],83)</f>
        <v/>
      </c>
      <c r="CG65">
        <f>SUMIFS(T_Shipments[Confirmed_Qty],T_Shipments[RM_Code],$A65,T_Shipments[Effective_Week],84)</f>
        <v/>
      </c>
      <c r="CH65">
        <f>SUMIFS(T_Shipments[Confirmed_Qty],T_Shipments[RM_Code],$A65,T_Shipments[Effective_Week],85)</f>
        <v/>
      </c>
      <c r="CI65">
        <f>SUMIFS(T_Shipments[Confirmed_Qty],T_Shipments[RM_Code],$A65,T_Shipments[Effective_Week],86)</f>
        <v/>
      </c>
      <c r="CJ65">
        <f>SUMIFS(T_Shipments[Confirmed_Qty],T_Shipments[RM_Code],$A65,T_Shipments[Effective_Week],87)</f>
        <v/>
      </c>
      <c r="CK65">
        <f>SUMIFS(T_Shipments[Confirmed_Qty],T_Shipments[RM_Code],$A65,T_Shipments[Effective_Week],88)</f>
        <v/>
      </c>
      <c r="CL65">
        <f>SUMIFS(T_Shipments[Confirmed_Qty],T_Shipments[RM_Code],$A65,T_Shipments[Effective_Week],89)</f>
        <v/>
      </c>
      <c r="CM65">
        <f>SUMIFS(T_Shipments[Confirmed_Qty],T_Shipments[RM_Code],$A65,T_Shipments[Effective_Week],90)</f>
        <v/>
      </c>
      <c r="CN65">
        <f>SUMIFS(T_Shipments[Confirmed_Qty],T_Shipments[RM_Code],$A65,T_Shipments[Effective_Week],91)</f>
        <v/>
      </c>
      <c r="CO65">
        <f>SUMIFS(T_Shipments[Confirmed_Qty],T_Shipments[RM_Code],$A65,T_Shipments[Effective_Week],92)</f>
        <v/>
      </c>
      <c r="CP65">
        <f>SUMIFS(T_Shipments[Confirmed_Qty],T_Shipments[RM_Code],$A65,T_Shipments[Effective_Week],93)</f>
        <v/>
      </c>
      <c r="CQ65">
        <f>SUMIFS(T_Shipments[Confirmed_Qty],T_Shipments[RM_Code],$A65,T_Shipments[Effective_Week],94)</f>
        <v/>
      </c>
      <c r="CR65">
        <f>SUMIFS(T_Shipments[Confirmed_Qty],T_Shipments[RM_Code],$A65,T_Shipments[Effective_Week],95)</f>
        <v/>
      </c>
      <c r="CS65">
        <f>SUMIFS(T_Shipments[Confirmed_Qty],T_Shipments[RM_Code],$A65,T_Shipments[Effective_Week],96)</f>
        <v/>
      </c>
      <c r="CT65">
        <f>SUMIFS(T_Shipments[Confirmed_Qty],T_Shipments[RM_Code],$A65,T_Shipments[Effective_Week],97)</f>
        <v/>
      </c>
      <c r="CU65">
        <f>SUMIFS(T_Shipments[Confirmed_Qty],T_Shipments[RM_Code],$A65,T_Shipments[Effective_Week],98)</f>
        <v/>
      </c>
      <c r="CV65">
        <f>SUMIFS(T_Shipments[Confirmed_Qty],T_Shipments[RM_Code],$A65,T_Shipments[Effective_Week],99)</f>
        <v/>
      </c>
      <c r="CW65">
        <f>SUMIFS(T_Shipments[Confirmed_Qty],T_Shipments[RM_Code],$A65,T_Shipments[Effective_Week],100)</f>
        <v/>
      </c>
      <c r="CX65">
        <f>SUMIFS(T_Shipments[Confirmed_Qty],T_Shipments[RM_Code],$A65,T_Shipments[Effective_Week],101)</f>
        <v/>
      </c>
      <c r="CY65">
        <f>SUMIFS(T_Shipments[Confirmed_Qty],T_Shipments[RM_Code],$A65,T_Shipments[Effective_Week],102)</f>
        <v/>
      </c>
      <c r="CZ65">
        <f>SUMIFS(T_Shipments[Confirmed_Qty],T_Shipments[RM_Code],$A65,T_Shipments[Effective_Week],103)</f>
        <v/>
      </c>
      <c r="DA65">
        <f>SUMIFS(T_Shipments[Confirmed_Qty],T_Shipments[RM_Code],$A65,T_Shipments[Effective_Week],104)</f>
        <v/>
      </c>
    </row>
    <row r="66">
      <c r="A66" t="inlineStr">
        <is>
          <t>V03</t>
        </is>
      </c>
      <c r="B66">
        <f>SUMIFS(T_Shipments[Confirmed_Qty],T_Shipments[RM_Code],$A66,T_Shipments[Effective_Week],1)</f>
        <v/>
      </c>
      <c r="C66">
        <f>SUMIFS(T_Shipments[Confirmed_Qty],T_Shipments[RM_Code],$A66,T_Shipments[Effective_Week],2)</f>
        <v/>
      </c>
      <c r="D66">
        <f>SUMIFS(T_Shipments[Confirmed_Qty],T_Shipments[RM_Code],$A66,T_Shipments[Effective_Week],3)</f>
        <v/>
      </c>
      <c r="E66">
        <f>SUMIFS(T_Shipments[Confirmed_Qty],T_Shipments[RM_Code],$A66,T_Shipments[Effective_Week],4)</f>
        <v/>
      </c>
      <c r="F66">
        <f>SUMIFS(T_Shipments[Confirmed_Qty],T_Shipments[RM_Code],$A66,T_Shipments[Effective_Week],5)</f>
        <v/>
      </c>
      <c r="G66">
        <f>SUMIFS(T_Shipments[Confirmed_Qty],T_Shipments[RM_Code],$A66,T_Shipments[Effective_Week],6)</f>
        <v/>
      </c>
      <c r="H66">
        <f>SUMIFS(T_Shipments[Confirmed_Qty],T_Shipments[RM_Code],$A66,T_Shipments[Effective_Week],7)</f>
        <v/>
      </c>
      <c r="I66">
        <f>SUMIFS(T_Shipments[Confirmed_Qty],T_Shipments[RM_Code],$A66,T_Shipments[Effective_Week],8)</f>
        <v/>
      </c>
      <c r="J66">
        <f>SUMIFS(T_Shipments[Confirmed_Qty],T_Shipments[RM_Code],$A66,T_Shipments[Effective_Week],9)</f>
        <v/>
      </c>
      <c r="K66">
        <f>SUMIFS(T_Shipments[Confirmed_Qty],T_Shipments[RM_Code],$A66,T_Shipments[Effective_Week],10)</f>
        <v/>
      </c>
      <c r="L66">
        <f>SUMIFS(T_Shipments[Confirmed_Qty],T_Shipments[RM_Code],$A66,T_Shipments[Effective_Week],11)</f>
        <v/>
      </c>
      <c r="M66">
        <f>SUMIFS(T_Shipments[Confirmed_Qty],T_Shipments[RM_Code],$A66,T_Shipments[Effective_Week],12)</f>
        <v/>
      </c>
      <c r="N66">
        <f>SUMIFS(T_Shipments[Confirmed_Qty],T_Shipments[RM_Code],$A66,T_Shipments[Effective_Week],13)</f>
        <v/>
      </c>
      <c r="O66">
        <f>SUMIFS(T_Shipments[Confirmed_Qty],T_Shipments[RM_Code],$A66,T_Shipments[Effective_Week],14)</f>
        <v/>
      </c>
      <c r="P66">
        <f>SUMIFS(T_Shipments[Confirmed_Qty],T_Shipments[RM_Code],$A66,T_Shipments[Effective_Week],15)</f>
        <v/>
      </c>
      <c r="Q66">
        <f>SUMIFS(T_Shipments[Confirmed_Qty],T_Shipments[RM_Code],$A66,T_Shipments[Effective_Week],16)</f>
        <v/>
      </c>
      <c r="R66">
        <f>SUMIFS(T_Shipments[Confirmed_Qty],T_Shipments[RM_Code],$A66,T_Shipments[Effective_Week],17)</f>
        <v/>
      </c>
      <c r="S66">
        <f>SUMIFS(T_Shipments[Confirmed_Qty],T_Shipments[RM_Code],$A66,T_Shipments[Effective_Week],18)</f>
        <v/>
      </c>
      <c r="T66">
        <f>SUMIFS(T_Shipments[Confirmed_Qty],T_Shipments[RM_Code],$A66,T_Shipments[Effective_Week],19)</f>
        <v/>
      </c>
      <c r="U66">
        <f>SUMIFS(T_Shipments[Confirmed_Qty],T_Shipments[RM_Code],$A66,T_Shipments[Effective_Week],20)</f>
        <v/>
      </c>
      <c r="V66">
        <f>SUMIFS(T_Shipments[Confirmed_Qty],T_Shipments[RM_Code],$A66,T_Shipments[Effective_Week],21)</f>
        <v/>
      </c>
      <c r="W66">
        <f>SUMIFS(T_Shipments[Confirmed_Qty],T_Shipments[RM_Code],$A66,T_Shipments[Effective_Week],22)</f>
        <v/>
      </c>
      <c r="X66">
        <f>SUMIFS(T_Shipments[Confirmed_Qty],T_Shipments[RM_Code],$A66,T_Shipments[Effective_Week],23)</f>
        <v/>
      </c>
      <c r="Y66">
        <f>SUMIFS(T_Shipments[Confirmed_Qty],T_Shipments[RM_Code],$A66,T_Shipments[Effective_Week],24)</f>
        <v/>
      </c>
      <c r="Z66">
        <f>SUMIFS(T_Shipments[Confirmed_Qty],T_Shipments[RM_Code],$A66,T_Shipments[Effective_Week],25)</f>
        <v/>
      </c>
      <c r="AA66">
        <f>SUMIFS(T_Shipments[Confirmed_Qty],T_Shipments[RM_Code],$A66,T_Shipments[Effective_Week],26)</f>
        <v/>
      </c>
      <c r="AB66">
        <f>SUMIFS(T_Shipments[Confirmed_Qty],T_Shipments[RM_Code],$A66,T_Shipments[Effective_Week],27)</f>
        <v/>
      </c>
      <c r="AC66">
        <f>SUMIFS(T_Shipments[Confirmed_Qty],T_Shipments[RM_Code],$A66,T_Shipments[Effective_Week],28)</f>
        <v/>
      </c>
      <c r="AD66">
        <f>SUMIFS(T_Shipments[Confirmed_Qty],T_Shipments[RM_Code],$A66,T_Shipments[Effective_Week],29)</f>
        <v/>
      </c>
      <c r="AE66">
        <f>SUMIFS(T_Shipments[Confirmed_Qty],T_Shipments[RM_Code],$A66,T_Shipments[Effective_Week],30)</f>
        <v/>
      </c>
      <c r="AF66">
        <f>SUMIFS(T_Shipments[Confirmed_Qty],T_Shipments[RM_Code],$A66,T_Shipments[Effective_Week],31)</f>
        <v/>
      </c>
      <c r="AG66">
        <f>SUMIFS(T_Shipments[Confirmed_Qty],T_Shipments[RM_Code],$A66,T_Shipments[Effective_Week],32)</f>
        <v/>
      </c>
      <c r="AH66">
        <f>SUMIFS(T_Shipments[Confirmed_Qty],T_Shipments[RM_Code],$A66,T_Shipments[Effective_Week],33)</f>
        <v/>
      </c>
      <c r="AI66">
        <f>SUMIFS(T_Shipments[Confirmed_Qty],T_Shipments[RM_Code],$A66,T_Shipments[Effective_Week],34)</f>
        <v/>
      </c>
      <c r="AJ66">
        <f>SUMIFS(T_Shipments[Confirmed_Qty],T_Shipments[RM_Code],$A66,T_Shipments[Effective_Week],35)</f>
        <v/>
      </c>
      <c r="AK66">
        <f>SUMIFS(T_Shipments[Confirmed_Qty],T_Shipments[RM_Code],$A66,T_Shipments[Effective_Week],36)</f>
        <v/>
      </c>
      <c r="AL66">
        <f>SUMIFS(T_Shipments[Confirmed_Qty],T_Shipments[RM_Code],$A66,T_Shipments[Effective_Week],37)</f>
        <v/>
      </c>
      <c r="AM66">
        <f>SUMIFS(T_Shipments[Confirmed_Qty],T_Shipments[RM_Code],$A66,T_Shipments[Effective_Week],38)</f>
        <v/>
      </c>
      <c r="AN66">
        <f>SUMIFS(T_Shipments[Confirmed_Qty],T_Shipments[RM_Code],$A66,T_Shipments[Effective_Week],39)</f>
        <v/>
      </c>
      <c r="AO66">
        <f>SUMIFS(T_Shipments[Confirmed_Qty],T_Shipments[RM_Code],$A66,T_Shipments[Effective_Week],40)</f>
        <v/>
      </c>
      <c r="AP66">
        <f>SUMIFS(T_Shipments[Confirmed_Qty],T_Shipments[RM_Code],$A66,T_Shipments[Effective_Week],41)</f>
        <v/>
      </c>
      <c r="AQ66">
        <f>SUMIFS(T_Shipments[Confirmed_Qty],T_Shipments[RM_Code],$A66,T_Shipments[Effective_Week],42)</f>
        <v/>
      </c>
      <c r="AR66">
        <f>SUMIFS(T_Shipments[Confirmed_Qty],T_Shipments[RM_Code],$A66,T_Shipments[Effective_Week],43)</f>
        <v/>
      </c>
      <c r="AS66">
        <f>SUMIFS(T_Shipments[Confirmed_Qty],T_Shipments[RM_Code],$A66,T_Shipments[Effective_Week],44)</f>
        <v/>
      </c>
      <c r="AT66">
        <f>SUMIFS(T_Shipments[Confirmed_Qty],T_Shipments[RM_Code],$A66,T_Shipments[Effective_Week],45)</f>
        <v/>
      </c>
      <c r="AU66">
        <f>SUMIFS(T_Shipments[Confirmed_Qty],T_Shipments[RM_Code],$A66,T_Shipments[Effective_Week],46)</f>
        <v/>
      </c>
      <c r="AV66">
        <f>SUMIFS(T_Shipments[Confirmed_Qty],T_Shipments[RM_Code],$A66,T_Shipments[Effective_Week],47)</f>
        <v/>
      </c>
      <c r="AW66">
        <f>SUMIFS(T_Shipments[Confirmed_Qty],T_Shipments[RM_Code],$A66,T_Shipments[Effective_Week],48)</f>
        <v/>
      </c>
      <c r="AX66">
        <f>SUMIFS(T_Shipments[Confirmed_Qty],T_Shipments[RM_Code],$A66,T_Shipments[Effective_Week],49)</f>
        <v/>
      </c>
      <c r="AY66">
        <f>SUMIFS(T_Shipments[Confirmed_Qty],T_Shipments[RM_Code],$A66,T_Shipments[Effective_Week],50)</f>
        <v/>
      </c>
      <c r="AZ66">
        <f>SUMIFS(T_Shipments[Confirmed_Qty],T_Shipments[RM_Code],$A66,T_Shipments[Effective_Week],51)</f>
        <v/>
      </c>
      <c r="BA66">
        <f>SUMIFS(T_Shipments[Confirmed_Qty],T_Shipments[RM_Code],$A66,T_Shipments[Effective_Week],52)</f>
        <v/>
      </c>
      <c r="BB66">
        <f>SUMIFS(T_Shipments[Confirmed_Qty],T_Shipments[RM_Code],$A66,T_Shipments[Effective_Week],53)</f>
        <v/>
      </c>
      <c r="BC66">
        <f>SUMIFS(T_Shipments[Confirmed_Qty],T_Shipments[RM_Code],$A66,T_Shipments[Effective_Week],54)</f>
        <v/>
      </c>
      <c r="BD66">
        <f>SUMIFS(T_Shipments[Confirmed_Qty],T_Shipments[RM_Code],$A66,T_Shipments[Effective_Week],55)</f>
        <v/>
      </c>
      <c r="BE66">
        <f>SUMIFS(T_Shipments[Confirmed_Qty],T_Shipments[RM_Code],$A66,T_Shipments[Effective_Week],56)</f>
        <v/>
      </c>
      <c r="BF66">
        <f>SUMIFS(T_Shipments[Confirmed_Qty],T_Shipments[RM_Code],$A66,T_Shipments[Effective_Week],57)</f>
        <v/>
      </c>
      <c r="BG66">
        <f>SUMIFS(T_Shipments[Confirmed_Qty],T_Shipments[RM_Code],$A66,T_Shipments[Effective_Week],58)</f>
        <v/>
      </c>
      <c r="BH66">
        <f>SUMIFS(T_Shipments[Confirmed_Qty],T_Shipments[RM_Code],$A66,T_Shipments[Effective_Week],59)</f>
        <v/>
      </c>
      <c r="BI66">
        <f>SUMIFS(T_Shipments[Confirmed_Qty],T_Shipments[RM_Code],$A66,T_Shipments[Effective_Week],60)</f>
        <v/>
      </c>
      <c r="BJ66">
        <f>SUMIFS(T_Shipments[Confirmed_Qty],T_Shipments[RM_Code],$A66,T_Shipments[Effective_Week],61)</f>
        <v/>
      </c>
      <c r="BK66">
        <f>SUMIFS(T_Shipments[Confirmed_Qty],T_Shipments[RM_Code],$A66,T_Shipments[Effective_Week],62)</f>
        <v/>
      </c>
      <c r="BL66">
        <f>SUMIFS(T_Shipments[Confirmed_Qty],T_Shipments[RM_Code],$A66,T_Shipments[Effective_Week],63)</f>
        <v/>
      </c>
      <c r="BM66">
        <f>SUMIFS(T_Shipments[Confirmed_Qty],T_Shipments[RM_Code],$A66,T_Shipments[Effective_Week],64)</f>
        <v/>
      </c>
      <c r="BN66">
        <f>SUMIFS(T_Shipments[Confirmed_Qty],T_Shipments[RM_Code],$A66,T_Shipments[Effective_Week],65)</f>
        <v/>
      </c>
      <c r="BO66">
        <f>SUMIFS(T_Shipments[Confirmed_Qty],T_Shipments[RM_Code],$A66,T_Shipments[Effective_Week],66)</f>
        <v/>
      </c>
      <c r="BP66">
        <f>SUMIFS(T_Shipments[Confirmed_Qty],T_Shipments[RM_Code],$A66,T_Shipments[Effective_Week],67)</f>
        <v/>
      </c>
      <c r="BQ66">
        <f>SUMIFS(T_Shipments[Confirmed_Qty],T_Shipments[RM_Code],$A66,T_Shipments[Effective_Week],68)</f>
        <v/>
      </c>
      <c r="BR66">
        <f>SUMIFS(T_Shipments[Confirmed_Qty],T_Shipments[RM_Code],$A66,T_Shipments[Effective_Week],69)</f>
        <v/>
      </c>
      <c r="BS66">
        <f>SUMIFS(T_Shipments[Confirmed_Qty],T_Shipments[RM_Code],$A66,T_Shipments[Effective_Week],70)</f>
        <v/>
      </c>
      <c r="BT66">
        <f>SUMIFS(T_Shipments[Confirmed_Qty],T_Shipments[RM_Code],$A66,T_Shipments[Effective_Week],71)</f>
        <v/>
      </c>
      <c r="BU66">
        <f>SUMIFS(T_Shipments[Confirmed_Qty],T_Shipments[RM_Code],$A66,T_Shipments[Effective_Week],72)</f>
        <v/>
      </c>
      <c r="BV66">
        <f>SUMIFS(T_Shipments[Confirmed_Qty],T_Shipments[RM_Code],$A66,T_Shipments[Effective_Week],73)</f>
        <v/>
      </c>
      <c r="BW66">
        <f>SUMIFS(T_Shipments[Confirmed_Qty],T_Shipments[RM_Code],$A66,T_Shipments[Effective_Week],74)</f>
        <v/>
      </c>
      <c r="BX66">
        <f>SUMIFS(T_Shipments[Confirmed_Qty],T_Shipments[RM_Code],$A66,T_Shipments[Effective_Week],75)</f>
        <v/>
      </c>
      <c r="BY66">
        <f>SUMIFS(T_Shipments[Confirmed_Qty],T_Shipments[RM_Code],$A66,T_Shipments[Effective_Week],76)</f>
        <v/>
      </c>
      <c r="BZ66">
        <f>SUMIFS(T_Shipments[Confirmed_Qty],T_Shipments[RM_Code],$A66,T_Shipments[Effective_Week],77)</f>
        <v/>
      </c>
      <c r="CA66">
        <f>SUMIFS(T_Shipments[Confirmed_Qty],T_Shipments[RM_Code],$A66,T_Shipments[Effective_Week],78)</f>
        <v/>
      </c>
      <c r="CB66">
        <f>SUMIFS(T_Shipments[Confirmed_Qty],T_Shipments[RM_Code],$A66,T_Shipments[Effective_Week],79)</f>
        <v/>
      </c>
      <c r="CC66">
        <f>SUMIFS(T_Shipments[Confirmed_Qty],T_Shipments[RM_Code],$A66,T_Shipments[Effective_Week],80)</f>
        <v/>
      </c>
      <c r="CD66">
        <f>SUMIFS(T_Shipments[Confirmed_Qty],T_Shipments[RM_Code],$A66,T_Shipments[Effective_Week],81)</f>
        <v/>
      </c>
      <c r="CE66">
        <f>SUMIFS(T_Shipments[Confirmed_Qty],T_Shipments[RM_Code],$A66,T_Shipments[Effective_Week],82)</f>
        <v/>
      </c>
      <c r="CF66">
        <f>SUMIFS(T_Shipments[Confirmed_Qty],T_Shipments[RM_Code],$A66,T_Shipments[Effective_Week],83)</f>
        <v/>
      </c>
      <c r="CG66">
        <f>SUMIFS(T_Shipments[Confirmed_Qty],T_Shipments[RM_Code],$A66,T_Shipments[Effective_Week],84)</f>
        <v/>
      </c>
      <c r="CH66">
        <f>SUMIFS(T_Shipments[Confirmed_Qty],T_Shipments[RM_Code],$A66,T_Shipments[Effective_Week],85)</f>
        <v/>
      </c>
      <c r="CI66">
        <f>SUMIFS(T_Shipments[Confirmed_Qty],T_Shipments[RM_Code],$A66,T_Shipments[Effective_Week],86)</f>
        <v/>
      </c>
      <c r="CJ66">
        <f>SUMIFS(T_Shipments[Confirmed_Qty],T_Shipments[RM_Code],$A66,T_Shipments[Effective_Week],87)</f>
        <v/>
      </c>
      <c r="CK66">
        <f>SUMIFS(T_Shipments[Confirmed_Qty],T_Shipments[RM_Code],$A66,T_Shipments[Effective_Week],88)</f>
        <v/>
      </c>
      <c r="CL66">
        <f>SUMIFS(T_Shipments[Confirmed_Qty],T_Shipments[RM_Code],$A66,T_Shipments[Effective_Week],89)</f>
        <v/>
      </c>
      <c r="CM66">
        <f>SUMIFS(T_Shipments[Confirmed_Qty],T_Shipments[RM_Code],$A66,T_Shipments[Effective_Week],90)</f>
        <v/>
      </c>
      <c r="CN66">
        <f>SUMIFS(T_Shipments[Confirmed_Qty],T_Shipments[RM_Code],$A66,T_Shipments[Effective_Week],91)</f>
        <v/>
      </c>
      <c r="CO66">
        <f>SUMIFS(T_Shipments[Confirmed_Qty],T_Shipments[RM_Code],$A66,T_Shipments[Effective_Week],92)</f>
        <v/>
      </c>
      <c r="CP66">
        <f>SUMIFS(T_Shipments[Confirmed_Qty],T_Shipments[RM_Code],$A66,T_Shipments[Effective_Week],93)</f>
        <v/>
      </c>
      <c r="CQ66">
        <f>SUMIFS(T_Shipments[Confirmed_Qty],T_Shipments[RM_Code],$A66,T_Shipments[Effective_Week],94)</f>
        <v/>
      </c>
      <c r="CR66">
        <f>SUMIFS(T_Shipments[Confirmed_Qty],T_Shipments[RM_Code],$A66,T_Shipments[Effective_Week],95)</f>
        <v/>
      </c>
      <c r="CS66">
        <f>SUMIFS(T_Shipments[Confirmed_Qty],T_Shipments[RM_Code],$A66,T_Shipments[Effective_Week],96)</f>
        <v/>
      </c>
      <c r="CT66">
        <f>SUMIFS(T_Shipments[Confirmed_Qty],T_Shipments[RM_Code],$A66,T_Shipments[Effective_Week],97)</f>
        <v/>
      </c>
      <c r="CU66">
        <f>SUMIFS(T_Shipments[Confirmed_Qty],T_Shipments[RM_Code],$A66,T_Shipments[Effective_Week],98)</f>
        <v/>
      </c>
      <c r="CV66">
        <f>SUMIFS(T_Shipments[Confirmed_Qty],T_Shipments[RM_Code],$A66,T_Shipments[Effective_Week],99)</f>
        <v/>
      </c>
      <c r="CW66">
        <f>SUMIFS(T_Shipments[Confirmed_Qty],T_Shipments[RM_Code],$A66,T_Shipments[Effective_Week],100)</f>
        <v/>
      </c>
      <c r="CX66">
        <f>SUMIFS(T_Shipments[Confirmed_Qty],T_Shipments[RM_Code],$A66,T_Shipments[Effective_Week],101)</f>
        <v/>
      </c>
      <c r="CY66">
        <f>SUMIFS(T_Shipments[Confirmed_Qty],T_Shipments[RM_Code],$A66,T_Shipments[Effective_Week],102)</f>
        <v/>
      </c>
      <c r="CZ66">
        <f>SUMIFS(T_Shipments[Confirmed_Qty],T_Shipments[RM_Code],$A66,T_Shipments[Effective_Week],103)</f>
        <v/>
      </c>
      <c r="DA66">
        <f>SUMIFS(T_Shipments[Confirmed_Qty],T_Shipments[RM_Code],$A66,T_Shipments[Effective_Week],104)</f>
        <v/>
      </c>
    </row>
    <row r="67">
      <c r="A67" t="inlineStr">
        <is>
          <t>V19</t>
        </is>
      </c>
      <c r="B67">
        <f>SUMIFS(T_Shipments[Confirmed_Qty],T_Shipments[RM_Code],$A67,T_Shipments[Effective_Week],1)</f>
        <v/>
      </c>
      <c r="C67">
        <f>SUMIFS(T_Shipments[Confirmed_Qty],T_Shipments[RM_Code],$A67,T_Shipments[Effective_Week],2)</f>
        <v/>
      </c>
      <c r="D67">
        <f>SUMIFS(T_Shipments[Confirmed_Qty],T_Shipments[RM_Code],$A67,T_Shipments[Effective_Week],3)</f>
        <v/>
      </c>
      <c r="E67">
        <f>SUMIFS(T_Shipments[Confirmed_Qty],T_Shipments[RM_Code],$A67,T_Shipments[Effective_Week],4)</f>
        <v/>
      </c>
      <c r="F67">
        <f>SUMIFS(T_Shipments[Confirmed_Qty],T_Shipments[RM_Code],$A67,T_Shipments[Effective_Week],5)</f>
        <v/>
      </c>
      <c r="G67">
        <f>SUMIFS(T_Shipments[Confirmed_Qty],T_Shipments[RM_Code],$A67,T_Shipments[Effective_Week],6)</f>
        <v/>
      </c>
      <c r="H67">
        <f>SUMIFS(T_Shipments[Confirmed_Qty],T_Shipments[RM_Code],$A67,T_Shipments[Effective_Week],7)</f>
        <v/>
      </c>
      <c r="I67">
        <f>SUMIFS(T_Shipments[Confirmed_Qty],T_Shipments[RM_Code],$A67,T_Shipments[Effective_Week],8)</f>
        <v/>
      </c>
      <c r="J67">
        <f>SUMIFS(T_Shipments[Confirmed_Qty],T_Shipments[RM_Code],$A67,T_Shipments[Effective_Week],9)</f>
        <v/>
      </c>
      <c r="K67">
        <f>SUMIFS(T_Shipments[Confirmed_Qty],T_Shipments[RM_Code],$A67,T_Shipments[Effective_Week],10)</f>
        <v/>
      </c>
      <c r="L67">
        <f>SUMIFS(T_Shipments[Confirmed_Qty],T_Shipments[RM_Code],$A67,T_Shipments[Effective_Week],11)</f>
        <v/>
      </c>
      <c r="M67">
        <f>SUMIFS(T_Shipments[Confirmed_Qty],T_Shipments[RM_Code],$A67,T_Shipments[Effective_Week],12)</f>
        <v/>
      </c>
      <c r="N67">
        <f>SUMIFS(T_Shipments[Confirmed_Qty],T_Shipments[RM_Code],$A67,T_Shipments[Effective_Week],13)</f>
        <v/>
      </c>
      <c r="O67">
        <f>SUMIFS(T_Shipments[Confirmed_Qty],T_Shipments[RM_Code],$A67,T_Shipments[Effective_Week],14)</f>
        <v/>
      </c>
      <c r="P67">
        <f>SUMIFS(T_Shipments[Confirmed_Qty],T_Shipments[RM_Code],$A67,T_Shipments[Effective_Week],15)</f>
        <v/>
      </c>
      <c r="Q67">
        <f>SUMIFS(T_Shipments[Confirmed_Qty],T_Shipments[RM_Code],$A67,T_Shipments[Effective_Week],16)</f>
        <v/>
      </c>
      <c r="R67">
        <f>SUMIFS(T_Shipments[Confirmed_Qty],T_Shipments[RM_Code],$A67,T_Shipments[Effective_Week],17)</f>
        <v/>
      </c>
      <c r="S67">
        <f>SUMIFS(T_Shipments[Confirmed_Qty],T_Shipments[RM_Code],$A67,T_Shipments[Effective_Week],18)</f>
        <v/>
      </c>
      <c r="T67">
        <f>SUMIFS(T_Shipments[Confirmed_Qty],T_Shipments[RM_Code],$A67,T_Shipments[Effective_Week],19)</f>
        <v/>
      </c>
      <c r="U67">
        <f>SUMIFS(T_Shipments[Confirmed_Qty],T_Shipments[RM_Code],$A67,T_Shipments[Effective_Week],20)</f>
        <v/>
      </c>
      <c r="V67">
        <f>SUMIFS(T_Shipments[Confirmed_Qty],T_Shipments[RM_Code],$A67,T_Shipments[Effective_Week],21)</f>
        <v/>
      </c>
      <c r="W67">
        <f>SUMIFS(T_Shipments[Confirmed_Qty],T_Shipments[RM_Code],$A67,T_Shipments[Effective_Week],22)</f>
        <v/>
      </c>
      <c r="X67">
        <f>SUMIFS(T_Shipments[Confirmed_Qty],T_Shipments[RM_Code],$A67,T_Shipments[Effective_Week],23)</f>
        <v/>
      </c>
      <c r="Y67">
        <f>SUMIFS(T_Shipments[Confirmed_Qty],T_Shipments[RM_Code],$A67,T_Shipments[Effective_Week],24)</f>
        <v/>
      </c>
      <c r="Z67">
        <f>SUMIFS(T_Shipments[Confirmed_Qty],T_Shipments[RM_Code],$A67,T_Shipments[Effective_Week],25)</f>
        <v/>
      </c>
      <c r="AA67">
        <f>SUMIFS(T_Shipments[Confirmed_Qty],T_Shipments[RM_Code],$A67,T_Shipments[Effective_Week],26)</f>
        <v/>
      </c>
      <c r="AB67">
        <f>SUMIFS(T_Shipments[Confirmed_Qty],T_Shipments[RM_Code],$A67,T_Shipments[Effective_Week],27)</f>
        <v/>
      </c>
      <c r="AC67">
        <f>SUMIFS(T_Shipments[Confirmed_Qty],T_Shipments[RM_Code],$A67,T_Shipments[Effective_Week],28)</f>
        <v/>
      </c>
      <c r="AD67">
        <f>SUMIFS(T_Shipments[Confirmed_Qty],T_Shipments[RM_Code],$A67,T_Shipments[Effective_Week],29)</f>
        <v/>
      </c>
      <c r="AE67">
        <f>SUMIFS(T_Shipments[Confirmed_Qty],T_Shipments[RM_Code],$A67,T_Shipments[Effective_Week],30)</f>
        <v/>
      </c>
      <c r="AF67">
        <f>SUMIFS(T_Shipments[Confirmed_Qty],T_Shipments[RM_Code],$A67,T_Shipments[Effective_Week],31)</f>
        <v/>
      </c>
      <c r="AG67">
        <f>SUMIFS(T_Shipments[Confirmed_Qty],T_Shipments[RM_Code],$A67,T_Shipments[Effective_Week],32)</f>
        <v/>
      </c>
      <c r="AH67">
        <f>SUMIFS(T_Shipments[Confirmed_Qty],T_Shipments[RM_Code],$A67,T_Shipments[Effective_Week],33)</f>
        <v/>
      </c>
      <c r="AI67">
        <f>SUMIFS(T_Shipments[Confirmed_Qty],T_Shipments[RM_Code],$A67,T_Shipments[Effective_Week],34)</f>
        <v/>
      </c>
      <c r="AJ67">
        <f>SUMIFS(T_Shipments[Confirmed_Qty],T_Shipments[RM_Code],$A67,T_Shipments[Effective_Week],35)</f>
        <v/>
      </c>
      <c r="AK67">
        <f>SUMIFS(T_Shipments[Confirmed_Qty],T_Shipments[RM_Code],$A67,T_Shipments[Effective_Week],36)</f>
        <v/>
      </c>
      <c r="AL67">
        <f>SUMIFS(T_Shipments[Confirmed_Qty],T_Shipments[RM_Code],$A67,T_Shipments[Effective_Week],37)</f>
        <v/>
      </c>
      <c r="AM67">
        <f>SUMIFS(T_Shipments[Confirmed_Qty],T_Shipments[RM_Code],$A67,T_Shipments[Effective_Week],38)</f>
        <v/>
      </c>
      <c r="AN67">
        <f>SUMIFS(T_Shipments[Confirmed_Qty],T_Shipments[RM_Code],$A67,T_Shipments[Effective_Week],39)</f>
        <v/>
      </c>
      <c r="AO67">
        <f>SUMIFS(T_Shipments[Confirmed_Qty],T_Shipments[RM_Code],$A67,T_Shipments[Effective_Week],40)</f>
        <v/>
      </c>
      <c r="AP67">
        <f>SUMIFS(T_Shipments[Confirmed_Qty],T_Shipments[RM_Code],$A67,T_Shipments[Effective_Week],41)</f>
        <v/>
      </c>
      <c r="AQ67">
        <f>SUMIFS(T_Shipments[Confirmed_Qty],T_Shipments[RM_Code],$A67,T_Shipments[Effective_Week],42)</f>
        <v/>
      </c>
      <c r="AR67">
        <f>SUMIFS(T_Shipments[Confirmed_Qty],T_Shipments[RM_Code],$A67,T_Shipments[Effective_Week],43)</f>
        <v/>
      </c>
      <c r="AS67">
        <f>SUMIFS(T_Shipments[Confirmed_Qty],T_Shipments[RM_Code],$A67,T_Shipments[Effective_Week],44)</f>
        <v/>
      </c>
      <c r="AT67">
        <f>SUMIFS(T_Shipments[Confirmed_Qty],T_Shipments[RM_Code],$A67,T_Shipments[Effective_Week],45)</f>
        <v/>
      </c>
      <c r="AU67">
        <f>SUMIFS(T_Shipments[Confirmed_Qty],T_Shipments[RM_Code],$A67,T_Shipments[Effective_Week],46)</f>
        <v/>
      </c>
      <c r="AV67">
        <f>SUMIFS(T_Shipments[Confirmed_Qty],T_Shipments[RM_Code],$A67,T_Shipments[Effective_Week],47)</f>
        <v/>
      </c>
      <c r="AW67">
        <f>SUMIFS(T_Shipments[Confirmed_Qty],T_Shipments[RM_Code],$A67,T_Shipments[Effective_Week],48)</f>
        <v/>
      </c>
      <c r="AX67">
        <f>SUMIFS(T_Shipments[Confirmed_Qty],T_Shipments[RM_Code],$A67,T_Shipments[Effective_Week],49)</f>
        <v/>
      </c>
      <c r="AY67">
        <f>SUMIFS(T_Shipments[Confirmed_Qty],T_Shipments[RM_Code],$A67,T_Shipments[Effective_Week],50)</f>
        <v/>
      </c>
      <c r="AZ67">
        <f>SUMIFS(T_Shipments[Confirmed_Qty],T_Shipments[RM_Code],$A67,T_Shipments[Effective_Week],51)</f>
        <v/>
      </c>
      <c r="BA67">
        <f>SUMIFS(T_Shipments[Confirmed_Qty],T_Shipments[RM_Code],$A67,T_Shipments[Effective_Week],52)</f>
        <v/>
      </c>
      <c r="BB67">
        <f>SUMIFS(T_Shipments[Confirmed_Qty],T_Shipments[RM_Code],$A67,T_Shipments[Effective_Week],53)</f>
        <v/>
      </c>
      <c r="BC67">
        <f>SUMIFS(T_Shipments[Confirmed_Qty],T_Shipments[RM_Code],$A67,T_Shipments[Effective_Week],54)</f>
        <v/>
      </c>
      <c r="BD67">
        <f>SUMIFS(T_Shipments[Confirmed_Qty],T_Shipments[RM_Code],$A67,T_Shipments[Effective_Week],55)</f>
        <v/>
      </c>
      <c r="BE67">
        <f>SUMIFS(T_Shipments[Confirmed_Qty],T_Shipments[RM_Code],$A67,T_Shipments[Effective_Week],56)</f>
        <v/>
      </c>
      <c r="BF67">
        <f>SUMIFS(T_Shipments[Confirmed_Qty],T_Shipments[RM_Code],$A67,T_Shipments[Effective_Week],57)</f>
        <v/>
      </c>
      <c r="BG67">
        <f>SUMIFS(T_Shipments[Confirmed_Qty],T_Shipments[RM_Code],$A67,T_Shipments[Effective_Week],58)</f>
        <v/>
      </c>
      <c r="BH67">
        <f>SUMIFS(T_Shipments[Confirmed_Qty],T_Shipments[RM_Code],$A67,T_Shipments[Effective_Week],59)</f>
        <v/>
      </c>
      <c r="BI67">
        <f>SUMIFS(T_Shipments[Confirmed_Qty],T_Shipments[RM_Code],$A67,T_Shipments[Effective_Week],60)</f>
        <v/>
      </c>
      <c r="BJ67">
        <f>SUMIFS(T_Shipments[Confirmed_Qty],T_Shipments[RM_Code],$A67,T_Shipments[Effective_Week],61)</f>
        <v/>
      </c>
      <c r="BK67">
        <f>SUMIFS(T_Shipments[Confirmed_Qty],T_Shipments[RM_Code],$A67,T_Shipments[Effective_Week],62)</f>
        <v/>
      </c>
      <c r="BL67">
        <f>SUMIFS(T_Shipments[Confirmed_Qty],T_Shipments[RM_Code],$A67,T_Shipments[Effective_Week],63)</f>
        <v/>
      </c>
      <c r="BM67">
        <f>SUMIFS(T_Shipments[Confirmed_Qty],T_Shipments[RM_Code],$A67,T_Shipments[Effective_Week],64)</f>
        <v/>
      </c>
      <c r="BN67">
        <f>SUMIFS(T_Shipments[Confirmed_Qty],T_Shipments[RM_Code],$A67,T_Shipments[Effective_Week],65)</f>
        <v/>
      </c>
      <c r="BO67">
        <f>SUMIFS(T_Shipments[Confirmed_Qty],T_Shipments[RM_Code],$A67,T_Shipments[Effective_Week],66)</f>
        <v/>
      </c>
      <c r="BP67">
        <f>SUMIFS(T_Shipments[Confirmed_Qty],T_Shipments[RM_Code],$A67,T_Shipments[Effective_Week],67)</f>
        <v/>
      </c>
      <c r="BQ67">
        <f>SUMIFS(T_Shipments[Confirmed_Qty],T_Shipments[RM_Code],$A67,T_Shipments[Effective_Week],68)</f>
        <v/>
      </c>
      <c r="BR67">
        <f>SUMIFS(T_Shipments[Confirmed_Qty],T_Shipments[RM_Code],$A67,T_Shipments[Effective_Week],69)</f>
        <v/>
      </c>
      <c r="BS67">
        <f>SUMIFS(T_Shipments[Confirmed_Qty],T_Shipments[RM_Code],$A67,T_Shipments[Effective_Week],70)</f>
        <v/>
      </c>
      <c r="BT67">
        <f>SUMIFS(T_Shipments[Confirmed_Qty],T_Shipments[RM_Code],$A67,T_Shipments[Effective_Week],71)</f>
        <v/>
      </c>
      <c r="BU67">
        <f>SUMIFS(T_Shipments[Confirmed_Qty],T_Shipments[RM_Code],$A67,T_Shipments[Effective_Week],72)</f>
        <v/>
      </c>
      <c r="BV67">
        <f>SUMIFS(T_Shipments[Confirmed_Qty],T_Shipments[RM_Code],$A67,T_Shipments[Effective_Week],73)</f>
        <v/>
      </c>
      <c r="BW67">
        <f>SUMIFS(T_Shipments[Confirmed_Qty],T_Shipments[RM_Code],$A67,T_Shipments[Effective_Week],74)</f>
        <v/>
      </c>
      <c r="BX67">
        <f>SUMIFS(T_Shipments[Confirmed_Qty],T_Shipments[RM_Code],$A67,T_Shipments[Effective_Week],75)</f>
        <v/>
      </c>
      <c r="BY67">
        <f>SUMIFS(T_Shipments[Confirmed_Qty],T_Shipments[RM_Code],$A67,T_Shipments[Effective_Week],76)</f>
        <v/>
      </c>
      <c r="BZ67">
        <f>SUMIFS(T_Shipments[Confirmed_Qty],T_Shipments[RM_Code],$A67,T_Shipments[Effective_Week],77)</f>
        <v/>
      </c>
      <c r="CA67">
        <f>SUMIFS(T_Shipments[Confirmed_Qty],T_Shipments[RM_Code],$A67,T_Shipments[Effective_Week],78)</f>
        <v/>
      </c>
      <c r="CB67">
        <f>SUMIFS(T_Shipments[Confirmed_Qty],T_Shipments[RM_Code],$A67,T_Shipments[Effective_Week],79)</f>
        <v/>
      </c>
      <c r="CC67">
        <f>SUMIFS(T_Shipments[Confirmed_Qty],T_Shipments[RM_Code],$A67,T_Shipments[Effective_Week],80)</f>
        <v/>
      </c>
      <c r="CD67">
        <f>SUMIFS(T_Shipments[Confirmed_Qty],T_Shipments[RM_Code],$A67,T_Shipments[Effective_Week],81)</f>
        <v/>
      </c>
      <c r="CE67">
        <f>SUMIFS(T_Shipments[Confirmed_Qty],T_Shipments[RM_Code],$A67,T_Shipments[Effective_Week],82)</f>
        <v/>
      </c>
      <c r="CF67">
        <f>SUMIFS(T_Shipments[Confirmed_Qty],T_Shipments[RM_Code],$A67,T_Shipments[Effective_Week],83)</f>
        <v/>
      </c>
      <c r="CG67">
        <f>SUMIFS(T_Shipments[Confirmed_Qty],T_Shipments[RM_Code],$A67,T_Shipments[Effective_Week],84)</f>
        <v/>
      </c>
      <c r="CH67">
        <f>SUMIFS(T_Shipments[Confirmed_Qty],T_Shipments[RM_Code],$A67,T_Shipments[Effective_Week],85)</f>
        <v/>
      </c>
      <c r="CI67">
        <f>SUMIFS(T_Shipments[Confirmed_Qty],T_Shipments[RM_Code],$A67,T_Shipments[Effective_Week],86)</f>
        <v/>
      </c>
      <c r="CJ67">
        <f>SUMIFS(T_Shipments[Confirmed_Qty],T_Shipments[RM_Code],$A67,T_Shipments[Effective_Week],87)</f>
        <v/>
      </c>
      <c r="CK67">
        <f>SUMIFS(T_Shipments[Confirmed_Qty],T_Shipments[RM_Code],$A67,T_Shipments[Effective_Week],88)</f>
        <v/>
      </c>
      <c r="CL67">
        <f>SUMIFS(T_Shipments[Confirmed_Qty],T_Shipments[RM_Code],$A67,T_Shipments[Effective_Week],89)</f>
        <v/>
      </c>
      <c r="CM67">
        <f>SUMIFS(T_Shipments[Confirmed_Qty],T_Shipments[RM_Code],$A67,T_Shipments[Effective_Week],90)</f>
        <v/>
      </c>
      <c r="CN67">
        <f>SUMIFS(T_Shipments[Confirmed_Qty],T_Shipments[RM_Code],$A67,T_Shipments[Effective_Week],91)</f>
        <v/>
      </c>
      <c r="CO67">
        <f>SUMIFS(T_Shipments[Confirmed_Qty],T_Shipments[RM_Code],$A67,T_Shipments[Effective_Week],92)</f>
        <v/>
      </c>
      <c r="CP67">
        <f>SUMIFS(T_Shipments[Confirmed_Qty],T_Shipments[RM_Code],$A67,T_Shipments[Effective_Week],93)</f>
        <v/>
      </c>
      <c r="CQ67">
        <f>SUMIFS(T_Shipments[Confirmed_Qty],T_Shipments[RM_Code],$A67,T_Shipments[Effective_Week],94)</f>
        <v/>
      </c>
      <c r="CR67">
        <f>SUMIFS(T_Shipments[Confirmed_Qty],T_Shipments[RM_Code],$A67,T_Shipments[Effective_Week],95)</f>
        <v/>
      </c>
      <c r="CS67">
        <f>SUMIFS(T_Shipments[Confirmed_Qty],T_Shipments[RM_Code],$A67,T_Shipments[Effective_Week],96)</f>
        <v/>
      </c>
      <c r="CT67">
        <f>SUMIFS(T_Shipments[Confirmed_Qty],T_Shipments[RM_Code],$A67,T_Shipments[Effective_Week],97)</f>
        <v/>
      </c>
      <c r="CU67">
        <f>SUMIFS(T_Shipments[Confirmed_Qty],T_Shipments[RM_Code],$A67,T_Shipments[Effective_Week],98)</f>
        <v/>
      </c>
      <c r="CV67">
        <f>SUMIFS(T_Shipments[Confirmed_Qty],T_Shipments[RM_Code],$A67,T_Shipments[Effective_Week],99)</f>
        <v/>
      </c>
      <c r="CW67">
        <f>SUMIFS(T_Shipments[Confirmed_Qty],T_Shipments[RM_Code],$A67,T_Shipments[Effective_Week],100)</f>
        <v/>
      </c>
      <c r="CX67">
        <f>SUMIFS(T_Shipments[Confirmed_Qty],T_Shipments[RM_Code],$A67,T_Shipments[Effective_Week],101)</f>
        <v/>
      </c>
      <c r="CY67">
        <f>SUMIFS(T_Shipments[Confirmed_Qty],T_Shipments[RM_Code],$A67,T_Shipments[Effective_Week],102)</f>
        <v/>
      </c>
      <c r="CZ67">
        <f>SUMIFS(T_Shipments[Confirmed_Qty],T_Shipments[RM_Code],$A67,T_Shipments[Effective_Week],103)</f>
        <v/>
      </c>
      <c r="DA67">
        <f>SUMIFS(T_Shipments[Confirmed_Qty],T_Shipments[RM_Code],$A67,T_Shipments[Effective_Week],104)</f>
        <v/>
      </c>
    </row>
    <row r="68">
      <c r="A68" t="inlineStr">
        <is>
          <t>3TP</t>
        </is>
      </c>
      <c r="B68">
        <f>SUMIFS(T_Shipments[Confirmed_Qty],T_Shipments[RM_Code],$A68,T_Shipments[Effective_Week],1)</f>
        <v/>
      </c>
      <c r="C68">
        <f>SUMIFS(T_Shipments[Confirmed_Qty],T_Shipments[RM_Code],$A68,T_Shipments[Effective_Week],2)</f>
        <v/>
      </c>
      <c r="D68">
        <f>SUMIFS(T_Shipments[Confirmed_Qty],T_Shipments[RM_Code],$A68,T_Shipments[Effective_Week],3)</f>
        <v/>
      </c>
      <c r="E68">
        <f>SUMIFS(T_Shipments[Confirmed_Qty],T_Shipments[RM_Code],$A68,T_Shipments[Effective_Week],4)</f>
        <v/>
      </c>
      <c r="F68">
        <f>SUMIFS(T_Shipments[Confirmed_Qty],T_Shipments[RM_Code],$A68,T_Shipments[Effective_Week],5)</f>
        <v/>
      </c>
      <c r="G68">
        <f>SUMIFS(T_Shipments[Confirmed_Qty],T_Shipments[RM_Code],$A68,T_Shipments[Effective_Week],6)</f>
        <v/>
      </c>
      <c r="H68">
        <f>SUMIFS(T_Shipments[Confirmed_Qty],T_Shipments[RM_Code],$A68,T_Shipments[Effective_Week],7)</f>
        <v/>
      </c>
      <c r="I68">
        <f>SUMIFS(T_Shipments[Confirmed_Qty],T_Shipments[RM_Code],$A68,T_Shipments[Effective_Week],8)</f>
        <v/>
      </c>
      <c r="J68">
        <f>SUMIFS(T_Shipments[Confirmed_Qty],T_Shipments[RM_Code],$A68,T_Shipments[Effective_Week],9)</f>
        <v/>
      </c>
      <c r="K68">
        <f>SUMIFS(T_Shipments[Confirmed_Qty],T_Shipments[RM_Code],$A68,T_Shipments[Effective_Week],10)</f>
        <v/>
      </c>
      <c r="L68">
        <f>SUMIFS(T_Shipments[Confirmed_Qty],T_Shipments[RM_Code],$A68,T_Shipments[Effective_Week],11)</f>
        <v/>
      </c>
      <c r="M68">
        <f>SUMIFS(T_Shipments[Confirmed_Qty],T_Shipments[RM_Code],$A68,T_Shipments[Effective_Week],12)</f>
        <v/>
      </c>
      <c r="N68">
        <f>SUMIFS(T_Shipments[Confirmed_Qty],T_Shipments[RM_Code],$A68,T_Shipments[Effective_Week],13)</f>
        <v/>
      </c>
      <c r="O68">
        <f>SUMIFS(T_Shipments[Confirmed_Qty],T_Shipments[RM_Code],$A68,T_Shipments[Effective_Week],14)</f>
        <v/>
      </c>
      <c r="P68">
        <f>SUMIFS(T_Shipments[Confirmed_Qty],T_Shipments[RM_Code],$A68,T_Shipments[Effective_Week],15)</f>
        <v/>
      </c>
      <c r="Q68">
        <f>SUMIFS(T_Shipments[Confirmed_Qty],T_Shipments[RM_Code],$A68,T_Shipments[Effective_Week],16)</f>
        <v/>
      </c>
      <c r="R68">
        <f>SUMIFS(T_Shipments[Confirmed_Qty],T_Shipments[RM_Code],$A68,T_Shipments[Effective_Week],17)</f>
        <v/>
      </c>
      <c r="S68">
        <f>SUMIFS(T_Shipments[Confirmed_Qty],T_Shipments[RM_Code],$A68,T_Shipments[Effective_Week],18)</f>
        <v/>
      </c>
      <c r="T68">
        <f>SUMIFS(T_Shipments[Confirmed_Qty],T_Shipments[RM_Code],$A68,T_Shipments[Effective_Week],19)</f>
        <v/>
      </c>
      <c r="U68">
        <f>SUMIFS(T_Shipments[Confirmed_Qty],T_Shipments[RM_Code],$A68,T_Shipments[Effective_Week],20)</f>
        <v/>
      </c>
      <c r="V68">
        <f>SUMIFS(T_Shipments[Confirmed_Qty],T_Shipments[RM_Code],$A68,T_Shipments[Effective_Week],21)</f>
        <v/>
      </c>
      <c r="W68">
        <f>SUMIFS(T_Shipments[Confirmed_Qty],T_Shipments[RM_Code],$A68,T_Shipments[Effective_Week],22)</f>
        <v/>
      </c>
      <c r="X68">
        <f>SUMIFS(T_Shipments[Confirmed_Qty],T_Shipments[RM_Code],$A68,T_Shipments[Effective_Week],23)</f>
        <v/>
      </c>
      <c r="Y68">
        <f>SUMIFS(T_Shipments[Confirmed_Qty],T_Shipments[RM_Code],$A68,T_Shipments[Effective_Week],24)</f>
        <v/>
      </c>
      <c r="Z68">
        <f>SUMIFS(T_Shipments[Confirmed_Qty],T_Shipments[RM_Code],$A68,T_Shipments[Effective_Week],25)</f>
        <v/>
      </c>
      <c r="AA68">
        <f>SUMIFS(T_Shipments[Confirmed_Qty],T_Shipments[RM_Code],$A68,T_Shipments[Effective_Week],26)</f>
        <v/>
      </c>
      <c r="AB68">
        <f>SUMIFS(T_Shipments[Confirmed_Qty],T_Shipments[RM_Code],$A68,T_Shipments[Effective_Week],27)</f>
        <v/>
      </c>
      <c r="AC68">
        <f>SUMIFS(T_Shipments[Confirmed_Qty],T_Shipments[RM_Code],$A68,T_Shipments[Effective_Week],28)</f>
        <v/>
      </c>
      <c r="AD68">
        <f>SUMIFS(T_Shipments[Confirmed_Qty],T_Shipments[RM_Code],$A68,T_Shipments[Effective_Week],29)</f>
        <v/>
      </c>
      <c r="AE68">
        <f>SUMIFS(T_Shipments[Confirmed_Qty],T_Shipments[RM_Code],$A68,T_Shipments[Effective_Week],30)</f>
        <v/>
      </c>
      <c r="AF68">
        <f>SUMIFS(T_Shipments[Confirmed_Qty],T_Shipments[RM_Code],$A68,T_Shipments[Effective_Week],31)</f>
        <v/>
      </c>
      <c r="AG68">
        <f>SUMIFS(T_Shipments[Confirmed_Qty],T_Shipments[RM_Code],$A68,T_Shipments[Effective_Week],32)</f>
        <v/>
      </c>
      <c r="AH68">
        <f>SUMIFS(T_Shipments[Confirmed_Qty],T_Shipments[RM_Code],$A68,T_Shipments[Effective_Week],33)</f>
        <v/>
      </c>
      <c r="AI68">
        <f>SUMIFS(T_Shipments[Confirmed_Qty],T_Shipments[RM_Code],$A68,T_Shipments[Effective_Week],34)</f>
        <v/>
      </c>
      <c r="AJ68">
        <f>SUMIFS(T_Shipments[Confirmed_Qty],T_Shipments[RM_Code],$A68,T_Shipments[Effective_Week],35)</f>
        <v/>
      </c>
      <c r="AK68">
        <f>SUMIFS(T_Shipments[Confirmed_Qty],T_Shipments[RM_Code],$A68,T_Shipments[Effective_Week],36)</f>
        <v/>
      </c>
      <c r="AL68">
        <f>SUMIFS(T_Shipments[Confirmed_Qty],T_Shipments[RM_Code],$A68,T_Shipments[Effective_Week],37)</f>
        <v/>
      </c>
      <c r="AM68">
        <f>SUMIFS(T_Shipments[Confirmed_Qty],T_Shipments[RM_Code],$A68,T_Shipments[Effective_Week],38)</f>
        <v/>
      </c>
      <c r="AN68">
        <f>SUMIFS(T_Shipments[Confirmed_Qty],T_Shipments[RM_Code],$A68,T_Shipments[Effective_Week],39)</f>
        <v/>
      </c>
      <c r="AO68">
        <f>SUMIFS(T_Shipments[Confirmed_Qty],T_Shipments[RM_Code],$A68,T_Shipments[Effective_Week],40)</f>
        <v/>
      </c>
      <c r="AP68">
        <f>SUMIFS(T_Shipments[Confirmed_Qty],T_Shipments[RM_Code],$A68,T_Shipments[Effective_Week],41)</f>
        <v/>
      </c>
      <c r="AQ68">
        <f>SUMIFS(T_Shipments[Confirmed_Qty],T_Shipments[RM_Code],$A68,T_Shipments[Effective_Week],42)</f>
        <v/>
      </c>
      <c r="AR68">
        <f>SUMIFS(T_Shipments[Confirmed_Qty],T_Shipments[RM_Code],$A68,T_Shipments[Effective_Week],43)</f>
        <v/>
      </c>
      <c r="AS68">
        <f>SUMIFS(T_Shipments[Confirmed_Qty],T_Shipments[RM_Code],$A68,T_Shipments[Effective_Week],44)</f>
        <v/>
      </c>
      <c r="AT68">
        <f>SUMIFS(T_Shipments[Confirmed_Qty],T_Shipments[RM_Code],$A68,T_Shipments[Effective_Week],45)</f>
        <v/>
      </c>
      <c r="AU68">
        <f>SUMIFS(T_Shipments[Confirmed_Qty],T_Shipments[RM_Code],$A68,T_Shipments[Effective_Week],46)</f>
        <v/>
      </c>
      <c r="AV68">
        <f>SUMIFS(T_Shipments[Confirmed_Qty],T_Shipments[RM_Code],$A68,T_Shipments[Effective_Week],47)</f>
        <v/>
      </c>
      <c r="AW68">
        <f>SUMIFS(T_Shipments[Confirmed_Qty],T_Shipments[RM_Code],$A68,T_Shipments[Effective_Week],48)</f>
        <v/>
      </c>
      <c r="AX68">
        <f>SUMIFS(T_Shipments[Confirmed_Qty],T_Shipments[RM_Code],$A68,T_Shipments[Effective_Week],49)</f>
        <v/>
      </c>
      <c r="AY68">
        <f>SUMIFS(T_Shipments[Confirmed_Qty],T_Shipments[RM_Code],$A68,T_Shipments[Effective_Week],50)</f>
        <v/>
      </c>
      <c r="AZ68">
        <f>SUMIFS(T_Shipments[Confirmed_Qty],T_Shipments[RM_Code],$A68,T_Shipments[Effective_Week],51)</f>
        <v/>
      </c>
      <c r="BA68">
        <f>SUMIFS(T_Shipments[Confirmed_Qty],T_Shipments[RM_Code],$A68,T_Shipments[Effective_Week],52)</f>
        <v/>
      </c>
      <c r="BB68">
        <f>SUMIFS(T_Shipments[Confirmed_Qty],T_Shipments[RM_Code],$A68,T_Shipments[Effective_Week],53)</f>
        <v/>
      </c>
      <c r="BC68">
        <f>SUMIFS(T_Shipments[Confirmed_Qty],T_Shipments[RM_Code],$A68,T_Shipments[Effective_Week],54)</f>
        <v/>
      </c>
      <c r="BD68">
        <f>SUMIFS(T_Shipments[Confirmed_Qty],T_Shipments[RM_Code],$A68,T_Shipments[Effective_Week],55)</f>
        <v/>
      </c>
      <c r="BE68">
        <f>SUMIFS(T_Shipments[Confirmed_Qty],T_Shipments[RM_Code],$A68,T_Shipments[Effective_Week],56)</f>
        <v/>
      </c>
      <c r="BF68">
        <f>SUMIFS(T_Shipments[Confirmed_Qty],T_Shipments[RM_Code],$A68,T_Shipments[Effective_Week],57)</f>
        <v/>
      </c>
      <c r="BG68">
        <f>SUMIFS(T_Shipments[Confirmed_Qty],T_Shipments[RM_Code],$A68,T_Shipments[Effective_Week],58)</f>
        <v/>
      </c>
      <c r="BH68">
        <f>SUMIFS(T_Shipments[Confirmed_Qty],T_Shipments[RM_Code],$A68,T_Shipments[Effective_Week],59)</f>
        <v/>
      </c>
      <c r="BI68">
        <f>SUMIFS(T_Shipments[Confirmed_Qty],T_Shipments[RM_Code],$A68,T_Shipments[Effective_Week],60)</f>
        <v/>
      </c>
      <c r="BJ68">
        <f>SUMIFS(T_Shipments[Confirmed_Qty],T_Shipments[RM_Code],$A68,T_Shipments[Effective_Week],61)</f>
        <v/>
      </c>
      <c r="BK68">
        <f>SUMIFS(T_Shipments[Confirmed_Qty],T_Shipments[RM_Code],$A68,T_Shipments[Effective_Week],62)</f>
        <v/>
      </c>
      <c r="BL68">
        <f>SUMIFS(T_Shipments[Confirmed_Qty],T_Shipments[RM_Code],$A68,T_Shipments[Effective_Week],63)</f>
        <v/>
      </c>
      <c r="BM68">
        <f>SUMIFS(T_Shipments[Confirmed_Qty],T_Shipments[RM_Code],$A68,T_Shipments[Effective_Week],64)</f>
        <v/>
      </c>
      <c r="BN68">
        <f>SUMIFS(T_Shipments[Confirmed_Qty],T_Shipments[RM_Code],$A68,T_Shipments[Effective_Week],65)</f>
        <v/>
      </c>
      <c r="BO68">
        <f>SUMIFS(T_Shipments[Confirmed_Qty],T_Shipments[RM_Code],$A68,T_Shipments[Effective_Week],66)</f>
        <v/>
      </c>
      <c r="BP68">
        <f>SUMIFS(T_Shipments[Confirmed_Qty],T_Shipments[RM_Code],$A68,T_Shipments[Effective_Week],67)</f>
        <v/>
      </c>
      <c r="BQ68">
        <f>SUMIFS(T_Shipments[Confirmed_Qty],T_Shipments[RM_Code],$A68,T_Shipments[Effective_Week],68)</f>
        <v/>
      </c>
      <c r="BR68">
        <f>SUMIFS(T_Shipments[Confirmed_Qty],T_Shipments[RM_Code],$A68,T_Shipments[Effective_Week],69)</f>
        <v/>
      </c>
      <c r="BS68">
        <f>SUMIFS(T_Shipments[Confirmed_Qty],T_Shipments[RM_Code],$A68,T_Shipments[Effective_Week],70)</f>
        <v/>
      </c>
      <c r="BT68">
        <f>SUMIFS(T_Shipments[Confirmed_Qty],T_Shipments[RM_Code],$A68,T_Shipments[Effective_Week],71)</f>
        <v/>
      </c>
      <c r="BU68">
        <f>SUMIFS(T_Shipments[Confirmed_Qty],T_Shipments[RM_Code],$A68,T_Shipments[Effective_Week],72)</f>
        <v/>
      </c>
      <c r="BV68">
        <f>SUMIFS(T_Shipments[Confirmed_Qty],T_Shipments[RM_Code],$A68,T_Shipments[Effective_Week],73)</f>
        <v/>
      </c>
      <c r="BW68">
        <f>SUMIFS(T_Shipments[Confirmed_Qty],T_Shipments[RM_Code],$A68,T_Shipments[Effective_Week],74)</f>
        <v/>
      </c>
      <c r="BX68">
        <f>SUMIFS(T_Shipments[Confirmed_Qty],T_Shipments[RM_Code],$A68,T_Shipments[Effective_Week],75)</f>
        <v/>
      </c>
      <c r="BY68">
        <f>SUMIFS(T_Shipments[Confirmed_Qty],T_Shipments[RM_Code],$A68,T_Shipments[Effective_Week],76)</f>
        <v/>
      </c>
      <c r="BZ68">
        <f>SUMIFS(T_Shipments[Confirmed_Qty],T_Shipments[RM_Code],$A68,T_Shipments[Effective_Week],77)</f>
        <v/>
      </c>
      <c r="CA68">
        <f>SUMIFS(T_Shipments[Confirmed_Qty],T_Shipments[RM_Code],$A68,T_Shipments[Effective_Week],78)</f>
        <v/>
      </c>
      <c r="CB68">
        <f>SUMIFS(T_Shipments[Confirmed_Qty],T_Shipments[RM_Code],$A68,T_Shipments[Effective_Week],79)</f>
        <v/>
      </c>
      <c r="CC68">
        <f>SUMIFS(T_Shipments[Confirmed_Qty],T_Shipments[RM_Code],$A68,T_Shipments[Effective_Week],80)</f>
        <v/>
      </c>
      <c r="CD68">
        <f>SUMIFS(T_Shipments[Confirmed_Qty],T_Shipments[RM_Code],$A68,T_Shipments[Effective_Week],81)</f>
        <v/>
      </c>
      <c r="CE68">
        <f>SUMIFS(T_Shipments[Confirmed_Qty],T_Shipments[RM_Code],$A68,T_Shipments[Effective_Week],82)</f>
        <v/>
      </c>
      <c r="CF68">
        <f>SUMIFS(T_Shipments[Confirmed_Qty],T_Shipments[RM_Code],$A68,T_Shipments[Effective_Week],83)</f>
        <v/>
      </c>
      <c r="CG68">
        <f>SUMIFS(T_Shipments[Confirmed_Qty],T_Shipments[RM_Code],$A68,T_Shipments[Effective_Week],84)</f>
        <v/>
      </c>
      <c r="CH68">
        <f>SUMIFS(T_Shipments[Confirmed_Qty],T_Shipments[RM_Code],$A68,T_Shipments[Effective_Week],85)</f>
        <v/>
      </c>
      <c r="CI68">
        <f>SUMIFS(T_Shipments[Confirmed_Qty],T_Shipments[RM_Code],$A68,T_Shipments[Effective_Week],86)</f>
        <v/>
      </c>
      <c r="CJ68">
        <f>SUMIFS(T_Shipments[Confirmed_Qty],T_Shipments[RM_Code],$A68,T_Shipments[Effective_Week],87)</f>
        <v/>
      </c>
      <c r="CK68">
        <f>SUMIFS(T_Shipments[Confirmed_Qty],T_Shipments[RM_Code],$A68,T_Shipments[Effective_Week],88)</f>
        <v/>
      </c>
      <c r="CL68">
        <f>SUMIFS(T_Shipments[Confirmed_Qty],T_Shipments[RM_Code],$A68,T_Shipments[Effective_Week],89)</f>
        <v/>
      </c>
      <c r="CM68">
        <f>SUMIFS(T_Shipments[Confirmed_Qty],T_Shipments[RM_Code],$A68,T_Shipments[Effective_Week],90)</f>
        <v/>
      </c>
      <c r="CN68">
        <f>SUMIFS(T_Shipments[Confirmed_Qty],T_Shipments[RM_Code],$A68,T_Shipments[Effective_Week],91)</f>
        <v/>
      </c>
      <c r="CO68">
        <f>SUMIFS(T_Shipments[Confirmed_Qty],T_Shipments[RM_Code],$A68,T_Shipments[Effective_Week],92)</f>
        <v/>
      </c>
      <c r="CP68">
        <f>SUMIFS(T_Shipments[Confirmed_Qty],T_Shipments[RM_Code],$A68,T_Shipments[Effective_Week],93)</f>
        <v/>
      </c>
      <c r="CQ68">
        <f>SUMIFS(T_Shipments[Confirmed_Qty],T_Shipments[RM_Code],$A68,T_Shipments[Effective_Week],94)</f>
        <v/>
      </c>
      <c r="CR68">
        <f>SUMIFS(T_Shipments[Confirmed_Qty],T_Shipments[RM_Code],$A68,T_Shipments[Effective_Week],95)</f>
        <v/>
      </c>
      <c r="CS68">
        <f>SUMIFS(T_Shipments[Confirmed_Qty],T_Shipments[RM_Code],$A68,T_Shipments[Effective_Week],96)</f>
        <v/>
      </c>
      <c r="CT68">
        <f>SUMIFS(T_Shipments[Confirmed_Qty],T_Shipments[RM_Code],$A68,T_Shipments[Effective_Week],97)</f>
        <v/>
      </c>
      <c r="CU68">
        <f>SUMIFS(T_Shipments[Confirmed_Qty],T_Shipments[RM_Code],$A68,T_Shipments[Effective_Week],98)</f>
        <v/>
      </c>
      <c r="CV68">
        <f>SUMIFS(T_Shipments[Confirmed_Qty],T_Shipments[RM_Code],$A68,T_Shipments[Effective_Week],99)</f>
        <v/>
      </c>
      <c r="CW68">
        <f>SUMIFS(T_Shipments[Confirmed_Qty],T_Shipments[RM_Code],$A68,T_Shipments[Effective_Week],100)</f>
        <v/>
      </c>
      <c r="CX68">
        <f>SUMIFS(T_Shipments[Confirmed_Qty],T_Shipments[RM_Code],$A68,T_Shipments[Effective_Week],101)</f>
        <v/>
      </c>
      <c r="CY68">
        <f>SUMIFS(T_Shipments[Confirmed_Qty],T_Shipments[RM_Code],$A68,T_Shipments[Effective_Week],102)</f>
        <v/>
      </c>
      <c r="CZ68">
        <f>SUMIFS(T_Shipments[Confirmed_Qty],T_Shipments[RM_Code],$A68,T_Shipments[Effective_Week],103)</f>
        <v/>
      </c>
      <c r="DA68">
        <f>SUMIFS(T_Shipments[Confirmed_Qty],T_Shipments[RM_Code],$A68,T_Shipments[Effective_Week],104)</f>
        <v/>
      </c>
    </row>
    <row r="69">
      <c r="A69" t="inlineStr">
        <is>
          <t>CHEM-1740</t>
        </is>
      </c>
      <c r="B69">
        <f>SUMIFS(T_Shipments[Confirmed_Qty],T_Shipments[RM_Code],$A69,T_Shipments[Effective_Week],1)</f>
        <v/>
      </c>
      <c r="C69">
        <f>SUMIFS(T_Shipments[Confirmed_Qty],T_Shipments[RM_Code],$A69,T_Shipments[Effective_Week],2)</f>
        <v/>
      </c>
      <c r="D69">
        <f>SUMIFS(T_Shipments[Confirmed_Qty],T_Shipments[RM_Code],$A69,T_Shipments[Effective_Week],3)</f>
        <v/>
      </c>
      <c r="E69">
        <f>SUMIFS(T_Shipments[Confirmed_Qty],T_Shipments[RM_Code],$A69,T_Shipments[Effective_Week],4)</f>
        <v/>
      </c>
      <c r="F69">
        <f>SUMIFS(T_Shipments[Confirmed_Qty],T_Shipments[RM_Code],$A69,T_Shipments[Effective_Week],5)</f>
        <v/>
      </c>
      <c r="G69">
        <f>SUMIFS(T_Shipments[Confirmed_Qty],T_Shipments[RM_Code],$A69,T_Shipments[Effective_Week],6)</f>
        <v/>
      </c>
      <c r="H69">
        <f>SUMIFS(T_Shipments[Confirmed_Qty],T_Shipments[RM_Code],$A69,T_Shipments[Effective_Week],7)</f>
        <v/>
      </c>
      <c r="I69">
        <f>SUMIFS(T_Shipments[Confirmed_Qty],T_Shipments[RM_Code],$A69,T_Shipments[Effective_Week],8)</f>
        <v/>
      </c>
      <c r="J69">
        <f>SUMIFS(T_Shipments[Confirmed_Qty],T_Shipments[RM_Code],$A69,T_Shipments[Effective_Week],9)</f>
        <v/>
      </c>
      <c r="K69">
        <f>SUMIFS(T_Shipments[Confirmed_Qty],T_Shipments[RM_Code],$A69,T_Shipments[Effective_Week],10)</f>
        <v/>
      </c>
      <c r="L69">
        <f>SUMIFS(T_Shipments[Confirmed_Qty],T_Shipments[RM_Code],$A69,T_Shipments[Effective_Week],11)</f>
        <v/>
      </c>
      <c r="M69">
        <f>SUMIFS(T_Shipments[Confirmed_Qty],T_Shipments[RM_Code],$A69,T_Shipments[Effective_Week],12)</f>
        <v/>
      </c>
      <c r="N69">
        <f>SUMIFS(T_Shipments[Confirmed_Qty],T_Shipments[RM_Code],$A69,T_Shipments[Effective_Week],13)</f>
        <v/>
      </c>
      <c r="O69">
        <f>SUMIFS(T_Shipments[Confirmed_Qty],T_Shipments[RM_Code],$A69,T_Shipments[Effective_Week],14)</f>
        <v/>
      </c>
      <c r="P69">
        <f>SUMIFS(T_Shipments[Confirmed_Qty],T_Shipments[RM_Code],$A69,T_Shipments[Effective_Week],15)</f>
        <v/>
      </c>
      <c r="Q69">
        <f>SUMIFS(T_Shipments[Confirmed_Qty],T_Shipments[RM_Code],$A69,T_Shipments[Effective_Week],16)</f>
        <v/>
      </c>
      <c r="R69">
        <f>SUMIFS(T_Shipments[Confirmed_Qty],T_Shipments[RM_Code],$A69,T_Shipments[Effective_Week],17)</f>
        <v/>
      </c>
      <c r="S69">
        <f>SUMIFS(T_Shipments[Confirmed_Qty],T_Shipments[RM_Code],$A69,T_Shipments[Effective_Week],18)</f>
        <v/>
      </c>
      <c r="T69">
        <f>SUMIFS(T_Shipments[Confirmed_Qty],T_Shipments[RM_Code],$A69,T_Shipments[Effective_Week],19)</f>
        <v/>
      </c>
      <c r="U69">
        <f>SUMIFS(T_Shipments[Confirmed_Qty],T_Shipments[RM_Code],$A69,T_Shipments[Effective_Week],20)</f>
        <v/>
      </c>
      <c r="V69">
        <f>SUMIFS(T_Shipments[Confirmed_Qty],T_Shipments[RM_Code],$A69,T_Shipments[Effective_Week],21)</f>
        <v/>
      </c>
      <c r="W69">
        <f>SUMIFS(T_Shipments[Confirmed_Qty],T_Shipments[RM_Code],$A69,T_Shipments[Effective_Week],22)</f>
        <v/>
      </c>
      <c r="X69">
        <f>SUMIFS(T_Shipments[Confirmed_Qty],T_Shipments[RM_Code],$A69,T_Shipments[Effective_Week],23)</f>
        <v/>
      </c>
      <c r="Y69">
        <f>SUMIFS(T_Shipments[Confirmed_Qty],T_Shipments[RM_Code],$A69,T_Shipments[Effective_Week],24)</f>
        <v/>
      </c>
      <c r="Z69">
        <f>SUMIFS(T_Shipments[Confirmed_Qty],T_Shipments[RM_Code],$A69,T_Shipments[Effective_Week],25)</f>
        <v/>
      </c>
      <c r="AA69">
        <f>SUMIFS(T_Shipments[Confirmed_Qty],T_Shipments[RM_Code],$A69,T_Shipments[Effective_Week],26)</f>
        <v/>
      </c>
      <c r="AB69">
        <f>SUMIFS(T_Shipments[Confirmed_Qty],T_Shipments[RM_Code],$A69,T_Shipments[Effective_Week],27)</f>
        <v/>
      </c>
      <c r="AC69">
        <f>SUMIFS(T_Shipments[Confirmed_Qty],T_Shipments[RM_Code],$A69,T_Shipments[Effective_Week],28)</f>
        <v/>
      </c>
      <c r="AD69">
        <f>SUMIFS(T_Shipments[Confirmed_Qty],T_Shipments[RM_Code],$A69,T_Shipments[Effective_Week],29)</f>
        <v/>
      </c>
      <c r="AE69">
        <f>SUMIFS(T_Shipments[Confirmed_Qty],T_Shipments[RM_Code],$A69,T_Shipments[Effective_Week],30)</f>
        <v/>
      </c>
      <c r="AF69">
        <f>SUMIFS(T_Shipments[Confirmed_Qty],T_Shipments[RM_Code],$A69,T_Shipments[Effective_Week],31)</f>
        <v/>
      </c>
      <c r="AG69">
        <f>SUMIFS(T_Shipments[Confirmed_Qty],T_Shipments[RM_Code],$A69,T_Shipments[Effective_Week],32)</f>
        <v/>
      </c>
      <c r="AH69">
        <f>SUMIFS(T_Shipments[Confirmed_Qty],T_Shipments[RM_Code],$A69,T_Shipments[Effective_Week],33)</f>
        <v/>
      </c>
      <c r="AI69">
        <f>SUMIFS(T_Shipments[Confirmed_Qty],T_Shipments[RM_Code],$A69,T_Shipments[Effective_Week],34)</f>
        <v/>
      </c>
      <c r="AJ69">
        <f>SUMIFS(T_Shipments[Confirmed_Qty],T_Shipments[RM_Code],$A69,T_Shipments[Effective_Week],35)</f>
        <v/>
      </c>
      <c r="AK69">
        <f>SUMIFS(T_Shipments[Confirmed_Qty],T_Shipments[RM_Code],$A69,T_Shipments[Effective_Week],36)</f>
        <v/>
      </c>
      <c r="AL69">
        <f>SUMIFS(T_Shipments[Confirmed_Qty],T_Shipments[RM_Code],$A69,T_Shipments[Effective_Week],37)</f>
        <v/>
      </c>
      <c r="AM69">
        <f>SUMIFS(T_Shipments[Confirmed_Qty],T_Shipments[RM_Code],$A69,T_Shipments[Effective_Week],38)</f>
        <v/>
      </c>
      <c r="AN69">
        <f>SUMIFS(T_Shipments[Confirmed_Qty],T_Shipments[RM_Code],$A69,T_Shipments[Effective_Week],39)</f>
        <v/>
      </c>
      <c r="AO69">
        <f>SUMIFS(T_Shipments[Confirmed_Qty],T_Shipments[RM_Code],$A69,T_Shipments[Effective_Week],40)</f>
        <v/>
      </c>
      <c r="AP69">
        <f>SUMIFS(T_Shipments[Confirmed_Qty],T_Shipments[RM_Code],$A69,T_Shipments[Effective_Week],41)</f>
        <v/>
      </c>
      <c r="AQ69">
        <f>SUMIFS(T_Shipments[Confirmed_Qty],T_Shipments[RM_Code],$A69,T_Shipments[Effective_Week],42)</f>
        <v/>
      </c>
      <c r="AR69">
        <f>SUMIFS(T_Shipments[Confirmed_Qty],T_Shipments[RM_Code],$A69,T_Shipments[Effective_Week],43)</f>
        <v/>
      </c>
      <c r="AS69">
        <f>SUMIFS(T_Shipments[Confirmed_Qty],T_Shipments[RM_Code],$A69,T_Shipments[Effective_Week],44)</f>
        <v/>
      </c>
      <c r="AT69">
        <f>SUMIFS(T_Shipments[Confirmed_Qty],T_Shipments[RM_Code],$A69,T_Shipments[Effective_Week],45)</f>
        <v/>
      </c>
      <c r="AU69">
        <f>SUMIFS(T_Shipments[Confirmed_Qty],T_Shipments[RM_Code],$A69,T_Shipments[Effective_Week],46)</f>
        <v/>
      </c>
      <c r="AV69">
        <f>SUMIFS(T_Shipments[Confirmed_Qty],T_Shipments[RM_Code],$A69,T_Shipments[Effective_Week],47)</f>
        <v/>
      </c>
      <c r="AW69">
        <f>SUMIFS(T_Shipments[Confirmed_Qty],T_Shipments[RM_Code],$A69,T_Shipments[Effective_Week],48)</f>
        <v/>
      </c>
      <c r="AX69">
        <f>SUMIFS(T_Shipments[Confirmed_Qty],T_Shipments[RM_Code],$A69,T_Shipments[Effective_Week],49)</f>
        <v/>
      </c>
      <c r="AY69">
        <f>SUMIFS(T_Shipments[Confirmed_Qty],T_Shipments[RM_Code],$A69,T_Shipments[Effective_Week],50)</f>
        <v/>
      </c>
      <c r="AZ69">
        <f>SUMIFS(T_Shipments[Confirmed_Qty],T_Shipments[RM_Code],$A69,T_Shipments[Effective_Week],51)</f>
        <v/>
      </c>
      <c r="BA69">
        <f>SUMIFS(T_Shipments[Confirmed_Qty],T_Shipments[RM_Code],$A69,T_Shipments[Effective_Week],52)</f>
        <v/>
      </c>
      <c r="BB69">
        <f>SUMIFS(T_Shipments[Confirmed_Qty],T_Shipments[RM_Code],$A69,T_Shipments[Effective_Week],53)</f>
        <v/>
      </c>
      <c r="BC69">
        <f>SUMIFS(T_Shipments[Confirmed_Qty],T_Shipments[RM_Code],$A69,T_Shipments[Effective_Week],54)</f>
        <v/>
      </c>
      <c r="BD69">
        <f>SUMIFS(T_Shipments[Confirmed_Qty],T_Shipments[RM_Code],$A69,T_Shipments[Effective_Week],55)</f>
        <v/>
      </c>
      <c r="BE69">
        <f>SUMIFS(T_Shipments[Confirmed_Qty],T_Shipments[RM_Code],$A69,T_Shipments[Effective_Week],56)</f>
        <v/>
      </c>
      <c r="BF69">
        <f>SUMIFS(T_Shipments[Confirmed_Qty],T_Shipments[RM_Code],$A69,T_Shipments[Effective_Week],57)</f>
        <v/>
      </c>
      <c r="BG69">
        <f>SUMIFS(T_Shipments[Confirmed_Qty],T_Shipments[RM_Code],$A69,T_Shipments[Effective_Week],58)</f>
        <v/>
      </c>
      <c r="BH69">
        <f>SUMIFS(T_Shipments[Confirmed_Qty],T_Shipments[RM_Code],$A69,T_Shipments[Effective_Week],59)</f>
        <v/>
      </c>
      <c r="BI69">
        <f>SUMIFS(T_Shipments[Confirmed_Qty],T_Shipments[RM_Code],$A69,T_Shipments[Effective_Week],60)</f>
        <v/>
      </c>
      <c r="BJ69">
        <f>SUMIFS(T_Shipments[Confirmed_Qty],T_Shipments[RM_Code],$A69,T_Shipments[Effective_Week],61)</f>
        <v/>
      </c>
      <c r="BK69">
        <f>SUMIFS(T_Shipments[Confirmed_Qty],T_Shipments[RM_Code],$A69,T_Shipments[Effective_Week],62)</f>
        <v/>
      </c>
      <c r="BL69">
        <f>SUMIFS(T_Shipments[Confirmed_Qty],T_Shipments[RM_Code],$A69,T_Shipments[Effective_Week],63)</f>
        <v/>
      </c>
      <c r="BM69">
        <f>SUMIFS(T_Shipments[Confirmed_Qty],T_Shipments[RM_Code],$A69,T_Shipments[Effective_Week],64)</f>
        <v/>
      </c>
      <c r="BN69">
        <f>SUMIFS(T_Shipments[Confirmed_Qty],T_Shipments[RM_Code],$A69,T_Shipments[Effective_Week],65)</f>
        <v/>
      </c>
      <c r="BO69">
        <f>SUMIFS(T_Shipments[Confirmed_Qty],T_Shipments[RM_Code],$A69,T_Shipments[Effective_Week],66)</f>
        <v/>
      </c>
      <c r="BP69">
        <f>SUMIFS(T_Shipments[Confirmed_Qty],T_Shipments[RM_Code],$A69,T_Shipments[Effective_Week],67)</f>
        <v/>
      </c>
      <c r="BQ69">
        <f>SUMIFS(T_Shipments[Confirmed_Qty],T_Shipments[RM_Code],$A69,T_Shipments[Effective_Week],68)</f>
        <v/>
      </c>
      <c r="BR69">
        <f>SUMIFS(T_Shipments[Confirmed_Qty],T_Shipments[RM_Code],$A69,T_Shipments[Effective_Week],69)</f>
        <v/>
      </c>
      <c r="BS69">
        <f>SUMIFS(T_Shipments[Confirmed_Qty],T_Shipments[RM_Code],$A69,T_Shipments[Effective_Week],70)</f>
        <v/>
      </c>
      <c r="BT69">
        <f>SUMIFS(T_Shipments[Confirmed_Qty],T_Shipments[RM_Code],$A69,T_Shipments[Effective_Week],71)</f>
        <v/>
      </c>
      <c r="BU69">
        <f>SUMIFS(T_Shipments[Confirmed_Qty],T_Shipments[RM_Code],$A69,T_Shipments[Effective_Week],72)</f>
        <v/>
      </c>
      <c r="BV69">
        <f>SUMIFS(T_Shipments[Confirmed_Qty],T_Shipments[RM_Code],$A69,T_Shipments[Effective_Week],73)</f>
        <v/>
      </c>
      <c r="BW69">
        <f>SUMIFS(T_Shipments[Confirmed_Qty],T_Shipments[RM_Code],$A69,T_Shipments[Effective_Week],74)</f>
        <v/>
      </c>
      <c r="BX69">
        <f>SUMIFS(T_Shipments[Confirmed_Qty],T_Shipments[RM_Code],$A69,T_Shipments[Effective_Week],75)</f>
        <v/>
      </c>
      <c r="BY69">
        <f>SUMIFS(T_Shipments[Confirmed_Qty],T_Shipments[RM_Code],$A69,T_Shipments[Effective_Week],76)</f>
        <v/>
      </c>
      <c r="BZ69">
        <f>SUMIFS(T_Shipments[Confirmed_Qty],T_Shipments[RM_Code],$A69,T_Shipments[Effective_Week],77)</f>
        <v/>
      </c>
      <c r="CA69">
        <f>SUMIFS(T_Shipments[Confirmed_Qty],T_Shipments[RM_Code],$A69,T_Shipments[Effective_Week],78)</f>
        <v/>
      </c>
      <c r="CB69">
        <f>SUMIFS(T_Shipments[Confirmed_Qty],T_Shipments[RM_Code],$A69,T_Shipments[Effective_Week],79)</f>
        <v/>
      </c>
      <c r="CC69">
        <f>SUMIFS(T_Shipments[Confirmed_Qty],T_Shipments[RM_Code],$A69,T_Shipments[Effective_Week],80)</f>
        <v/>
      </c>
      <c r="CD69">
        <f>SUMIFS(T_Shipments[Confirmed_Qty],T_Shipments[RM_Code],$A69,T_Shipments[Effective_Week],81)</f>
        <v/>
      </c>
      <c r="CE69">
        <f>SUMIFS(T_Shipments[Confirmed_Qty],T_Shipments[RM_Code],$A69,T_Shipments[Effective_Week],82)</f>
        <v/>
      </c>
      <c r="CF69">
        <f>SUMIFS(T_Shipments[Confirmed_Qty],T_Shipments[RM_Code],$A69,T_Shipments[Effective_Week],83)</f>
        <v/>
      </c>
      <c r="CG69">
        <f>SUMIFS(T_Shipments[Confirmed_Qty],T_Shipments[RM_Code],$A69,T_Shipments[Effective_Week],84)</f>
        <v/>
      </c>
      <c r="CH69">
        <f>SUMIFS(T_Shipments[Confirmed_Qty],T_Shipments[RM_Code],$A69,T_Shipments[Effective_Week],85)</f>
        <v/>
      </c>
      <c r="CI69">
        <f>SUMIFS(T_Shipments[Confirmed_Qty],T_Shipments[RM_Code],$A69,T_Shipments[Effective_Week],86)</f>
        <v/>
      </c>
      <c r="CJ69">
        <f>SUMIFS(T_Shipments[Confirmed_Qty],T_Shipments[RM_Code],$A69,T_Shipments[Effective_Week],87)</f>
        <v/>
      </c>
      <c r="CK69">
        <f>SUMIFS(T_Shipments[Confirmed_Qty],T_Shipments[RM_Code],$A69,T_Shipments[Effective_Week],88)</f>
        <v/>
      </c>
      <c r="CL69">
        <f>SUMIFS(T_Shipments[Confirmed_Qty],T_Shipments[RM_Code],$A69,T_Shipments[Effective_Week],89)</f>
        <v/>
      </c>
      <c r="CM69">
        <f>SUMIFS(T_Shipments[Confirmed_Qty],T_Shipments[RM_Code],$A69,T_Shipments[Effective_Week],90)</f>
        <v/>
      </c>
      <c r="CN69">
        <f>SUMIFS(T_Shipments[Confirmed_Qty],T_Shipments[RM_Code],$A69,T_Shipments[Effective_Week],91)</f>
        <v/>
      </c>
      <c r="CO69">
        <f>SUMIFS(T_Shipments[Confirmed_Qty],T_Shipments[RM_Code],$A69,T_Shipments[Effective_Week],92)</f>
        <v/>
      </c>
      <c r="CP69">
        <f>SUMIFS(T_Shipments[Confirmed_Qty],T_Shipments[RM_Code],$A69,T_Shipments[Effective_Week],93)</f>
        <v/>
      </c>
      <c r="CQ69">
        <f>SUMIFS(T_Shipments[Confirmed_Qty],T_Shipments[RM_Code],$A69,T_Shipments[Effective_Week],94)</f>
        <v/>
      </c>
      <c r="CR69">
        <f>SUMIFS(T_Shipments[Confirmed_Qty],T_Shipments[RM_Code],$A69,T_Shipments[Effective_Week],95)</f>
        <v/>
      </c>
      <c r="CS69">
        <f>SUMIFS(T_Shipments[Confirmed_Qty],T_Shipments[RM_Code],$A69,T_Shipments[Effective_Week],96)</f>
        <v/>
      </c>
      <c r="CT69">
        <f>SUMIFS(T_Shipments[Confirmed_Qty],T_Shipments[RM_Code],$A69,T_Shipments[Effective_Week],97)</f>
        <v/>
      </c>
      <c r="CU69">
        <f>SUMIFS(T_Shipments[Confirmed_Qty],T_Shipments[RM_Code],$A69,T_Shipments[Effective_Week],98)</f>
        <v/>
      </c>
      <c r="CV69">
        <f>SUMIFS(T_Shipments[Confirmed_Qty],T_Shipments[RM_Code],$A69,T_Shipments[Effective_Week],99)</f>
        <v/>
      </c>
      <c r="CW69">
        <f>SUMIFS(T_Shipments[Confirmed_Qty],T_Shipments[RM_Code],$A69,T_Shipments[Effective_Week],100)</f>
        <v/>
      </c>
      <c r="CX69">
        <f>SUMIFS(T_Shipments[Confirmed_Qty],T_Shipments[RM_Code],$A69,T_Shipments[Effective_Week],101)</f>
        <v/>
      </c>
      <c r="CY69">
        <f>SUMIFS(T_Shipments[Confirmed_Qty],T_Shipments[RM_Code],$A69,T_Shipments[Effective_Week],102)</f>
        <v/>
      </c>
      <c r="CZ69">
        <f>SUMIFS(T_Shipments[Confirmed_Qty],T_Shipments[RM_Code],$A69,T_Shipments[Effective_Week],103)</f>
        <v/>
      </c>
      <c r="DA69">
        <f>SUMIFS(T_Shipments[Confirmed_Qty],T_Shipments[RM_Code],$A69,T_Shipments[Effective_Week],104)</f>
        <v/>
      </c>
    </row>
    <row r="70">
      <c r="A70" t="inlineStr">
        <is>
          <t>CHEM-1750</t>
        </is>
      </c>
      <c r="B70">
        <f>SUMIFS(T_Shipments[Confirmed_Qty],T_Shipments[RM_Code],$A70,T_Shipments[Effective_Week],1)</f>
        <v/>
      </c>
      <c r="C70">
        <f>SUMIFS(T_Shipments[Confirmed_Qty],T_Shipments[RM_Code],$A70,T_Shipments[Effective_Week],2)</f>
        <v/>
      </c>
      <c r="D70">
        <f>SUMIFS(T_Shipments[Confirmed_Qty],T_Shipments[RM_Code],$A70,T_Shipments[Effective_Week],3)</f>
        <v/>
      </c>
      <c r="E70">
        <f>SUMIFS(T_Shipments[Confirmed_Qty],T_Shipments[RM_Code],$A70,T_Shipments[Effective_Week],4)</f>
        <v/>
      </c>
      <c r="F70">
        <f>SUMIFS(T_Shipments[Confirmed_Qty],T_Shipments[RM_Code],$A70,T_Shipments[Effective_Week],5)</f>
        <v/>
      </c>
      <c r="G70">
        <f>SUMIFS(T_Shipments[Confirmed_Qty],T_Shipments[RM_Code],$A70,T_Shipments[Effective_Week],6)</f>
        <v/>
      </c>
      <c r="H70">
        <f>SUMIFS(T_Shipments[Confirmed_Qty],T_Shipments[RM_Code],$A70,T_Shipments[Effective_Week],7)</f>
        <v/>
      </c>
      <c r="I70">
        <f>SUMIFS(T_Shipments[Confirmed_Qty],T_Shipments[RM_Code],$A70,T_Shipments[Effective_Week],8)</f>
        <v/>
      </c>
      <c r="J70">
        <f>SUMIFS(T_Shipments[Confirmed_Qty],T_Shipments[RM_Code],$A70,T_Shipments[Effective_Week],9)</f>
        <v/>
      </c>
      <c r="K70">
        <f>SUMIFS(T_Shipments[Confirmed_Qty],T_Shipments[RM_Code],$A70,T_Shipments[Effective_Week],10)</f>
        <v/>
      </c>
      <c r="L70">
        <f>SUMIFS(T_Shipments[Confirmed_Qty],T_Shipments[RM_Code],$A70,T_Shipments[Effective_Week],11)</f>
        <v/>
      </c>
      <c r="M70">
        <f>SUMIFS(T_Shipments[Confirmed_Qty],T_Shipments[RM_Code],$A70,T_Shipments[Effective_Week],12)</f>
        <v/>
      </c>
      <c r="N70">
        <f>SUMIFS(T_Shipments[Confirmed_Qty],T_Shipments[RM_Code],$A70,T_Shipments[Effective_Week],13)</f>
        <v/>
      </c>
      <c r="O70">
        <f>SUMIFS(T_Shipments[Confirmed_Qty],T_Shipments[RM_Code],$A70,T_Shipments[Effective_Week],14)</f>
        <v/>
      </c>
      <c r="P70">
        <f>SUMIFS(T_Shipments[Confirmed_Qty],T_Shipments[RM_Code],$A70,T_Shipments[Effective_Week],15)</f>
        <v/>
      </c>
      <c r="Q70">
        <f>SUMIFS(T_Shipments[Confirmed_Qty],T_Shipments[RM_Code],$A70,T_Shipments[Effective_Week],16)</f>
        <v/>
      </c>
      <c r="R70">
        <f>SUMIFS(T_Shipments[Confirmed_Qty],T_Shipments[RM_Code],$A70,T_Shipments[Effective_Week],17)</f>
        <v/>
      </c>
      <c r="S70">
        <f>SUMIFS(T_Shipments[Confirmed_Qty],T_Shipments[RM_Code],$A70,T_Shipments[Effective_Week],18)</f>
        <v/>
      </c>
      <c r="T70">
        <f>SUMIFS(T_Shipments[Confirmed_Qty],T_Shipments[RM_Code],$A70,T_Shipments[Effective_Week],19)</f>
        <v/>
      </c>
      <c r="U70">
        <f>SUMIFS(T_Shipments[Confirmed_Qty],T_Shipments[RM_Code],$A70,T_Shipments[Effective_Week],20)</f>
        <v/>
      </c>
      <c r="V70">
        <f>SUMIFS(T_Shipments[Confirmed_Qty],T_Shipments[RM_Code],$A70,T_Shipments[Effective_Week],21)</f>
        <v/>
      </c>
      <c r="W70">
        <f>SUMIFS(T_Shipments[Confirmed_Qty],T_Shipments[RM_Code],$A70,T_Shipments[Effective_Week],22)</f>
        <v/>
      </c>
      <c r="X70">
        <f>SUMIFS(T_Shipments[Confirmed_Qty],T_Shipments[RM_Code],$A70,T_Shipments[Effective_Week],23)</f>
        <v/>
      </c>
      <c r="Y70">
        <f>SUMIFS(T_Shipments[Confirmed_Qty],T_Shipments[RM_Code],$A70,T_Shipments[Effective_Week],24)</f>
        <v/>
      </c>
      <c r="Z70">
        <f>SUMIFS(T_Shipments[Confirmed_Qty],T_Shipments[RM_Code],$A70,T_Shipments[Effective_Week],25)</f>
        <v/>
      </c>
      <c r="AA70">
        <f>SUMIFS(T_Shipments[Confirmed_Qty],T_Shipments[RM_Code],$A70,T_Shipments[Effective_Week],26)</f>
        <v/>
      </c>
      <c r="AB70">
        <f>SUMIFS(T_Shipments[Confirmed_Qty],T_Shipments[RM_Code],$A70,T_Shipments[Effective_Week],27)</f>
        <v/>
      </c>
      <c r="AC70">
        <f>SUMIFS(T_Shipments[Confirmed_Qty],T_Shipments[RM_Code],$A70,T_Shipments[Effective_Week],28)</f>
        <v/>
      </c>
      <c r="AD70">
        <f>SUMIFS(T_Shipments[Confirmed_Qty],T_Shipments[RM_Code],$A70,T_Shipments[Effective_Week],29)</f>
        <v/>
      </c>
      <c r="AE70">
        <f>SUMIFS(T_Shipments[Confirmed_Qty],T_Shipments[RM_Code],$A70,T_Shipments[Effective_Week],30)</f>
        <v/>
      </c>
      <c r="AF70">
        <f>SUMIFS(T_Shipments[Confirmed_Qty],T_Shipments[RM_Code],$A70,T_Shipments[Effective_Week],31)</f>
        <v/>
      </c>
      <c r="AG70">
        <f>SUMIFS(T_Shipments[Confirmed_Qty],T_Shipments[RM_Code],$A70,T_Shipments[Effective_Week],32)</f>
        <v/>
      </c>
      <c r="AH70">
        <f>SUMIFS(T_Shipments[Confirmed_Qty],T_Shipments[RM_Code],$A70,T_Shipments[Effective_Week],33)</f>
        <v/>
      </c>
      <c r="AI70">
        <f>SUMIFS(T_Shipments[Confirmed_Qty],T_Shipments[RM_Code],$A70,T_Shipments[Effective_Week],34)</f>
        <v/>
      </c>
      <c r="AJ70">
        <f>SUMIFS(T_Shipments[Confirmed_Qty],T_Shipments[RM_Code],$A70,T_Shipments[Effective_Week],35)</f>
        <v/>
      </c>
      <c r="AK70">
        <f>SUMIFS(T_Shipments[Confirmed_Qty],T_Shipments[RM_Code],$A70,T_Shipments[Effective_Week],36)</f>
        <v/>
      </c>
      <c r="AL70">
        <f>SUMIFS(T_Shipments[Confirmed_Qty],T_Shipments[RM_Code],$A70,T_Shipments[Effective_Week],37)</f>
        <v/>
      </c>
      <c r="AM70">
        <f>SUMIFS(T_Shipments[Confirmed_Qty],T_Shipments[RM_Code],$A70,T_Shipments[Effective_Week],38)</f>
        <v/>
      </c>
      <c r="AN70">
        <f>SUMIFS(T_Shipments[Confirmed_Qty],T_Shipments[RM_Code],$A70,T_Shipments[Effective_Week],39)</f>
        <v/>
      </c>
      <c r="AO70">
        <f>SUMIFS(T_Shipments[Confirmed_Qty],T_Shipments[RM_Code],$A70,T_Shipments[Effective_Week],40)</f>
        <v/>
      </c>
      <c r="AP70">
        <f>SUMIFS(T_Shipments[Confirmed_Qty],T_Shipments[RM_Code],$A70,T_Shipments[Effective_Week],41)</f>
        <v/>
      </c>
      <c r="AQ70">
        <f>SUMIFS(T_Shipments[Confirmed_Qty],T_Shipments[RM_Code],$A70,T_Shipments[Effective_Week],42)</f>
        <v/>
      </c>
      <c r="AR70">
        <f>SUMIFS(T_Shipments[Confirmed_Qty],T_Shipments[RM_Code],$A70,T_Shipments[Effective_Week],43)</f>
        <v/>
      </c>
      <c r="AS70">
        <f>SUMIFS(T_Shipments[Confirmed_Qty],T_Shipments[RM_Code],$A70,T_Shipments[Effective_Week],44)</f>
        <v/>
      </c>
      <c r="AT70">
        <f>SUMIFS(T_Shipments[Confirmed_Qty],T_Shipments[RM_Code],$A70,T_Shipments[Effective_Week],45)</f>
        <v/>
      </c>
      <c r="AU70">
        <f>SUMIFS(T_Shipments[Confirmed_Qty],T_Shipments[RM_Code],$A70,T_Shipments[Effective_Week],46)</f>
        <v/>
      </c>
      <c r="AV70">
        <f>SUMIFS(T_Shipments[Confirmed_Qty],T_Shipments[RM_Code],$A70,T_Shipments[Effective_Week],47)</f>
        <v/>
      </c>
      <c r="AW70">
        <f>SUMIFS(T_Shipments[Confirmed_Qty],T_Shipments[RM_Code],$A70,T_Shipments[Effective_Week],48)</f>
        <v/>
      </c>
      <c r="AX70">
        <f>SUMIFS(T_Shipments[Confirmed_Qty],T_Shipments[RM_Code],$A70,T_Shipments[Effective_Week],49)</f>
        <v/>
      </c>
      <c r="AY70">
        <f>SUMIFS(T_Shipments[Confirmed_Qty],T_Shipments[RM_Code],$A70,T_Shipments[Effective_Week],50)</f>
        <v/>
      </c>
      <c r="AZ70">
        <f>SUMIFS(T_Shipments[Confirmed_Qty],T_Shipments[RM_Code],$A70,T_Shipments[Effective_Week],51)</f>
        <v/>
      </c>
      <c r="BA70">
        <f>SUMIFS(T_Shipments[Confirmed_Qty],T_Shipments[RM_Code],$A70,T_Shipments[Effective_Week],52)</f>
        <v/>
      </c>
      <c r="BB70">
        <f>SUMIFS(T_Shipments[Confirmed_Qty],T_Shipments[RM_Code],$A70,T_Shipments[Effective_Week],53)</f>
        <v/>
      </c>
      <c r="BC70">
        <f>SUMIFS(T_Shipments[Confirmed_Qty],T_Shipments[RM_Code],$A70,T_Shipments[Effective_Week],54)</f>
        <v/>
      </c>
      <c r="BD70">
        <f>SUMIFS(T_Shipments[Confirmed_Qty],T_Shipments[RM_Code],$A70,T_Shipments[Effective_Week],55)</f>
        <v/>
      </c>
      <c r="BE70">
        <f>SUMIFS(T_Shipments[Confirmed_Qty],T_Shipments[RM_Code],$A70,T_Shipments[Effective_Week],56)</f>
        <v/>
      </c>
      <c r="BF70">
        <f>SUMIFS(T_Shipments[Confirmed_Qty],T_Shipments[RM_Code],$A70,T_Shipments[Effective_Week],57)</f>
        <v/>
      </c>
      <c r="BG70">
        <f>SUMIFS(T_Shipments[Confirmed_Qty],T_Shipments[RM_Code],$A70,T_Shipments[Effective_Week],58)</f>
        <v/>
      </c>
      <c r="BH70">
        <f>SUMIFS(T_Shipments[Confirmed_Qty],T_Shipments[RM_Code],$A70,T_Shipments[Effective_Week],59)</f>
        <v/>
      </c>
      <c r="BI70">
        <f>SUMIFS(T_Shipments[Confirmed_Qty],T_Shipments[RM_Code],$A70,T_Shipments[Effective_Week],60)</f>
        <v/>
      </c>
      <c r="BJ70">
        <f>SUMIFS(T_Shipments[Confirmed_Qty],T_Shipments[RM_Code],$A70,T_Shipments[Effective_Week],61)</f>
        <v/>
      </c>
      <c r="BK70">
        <f>SUMIFS(T_Shipments[Confirmed_Qty],T_Shipments[RM_Code],$A70,T_Shipments[Effective_Week],62)</f>
        <v/>
      </c>
      <c r="BL70">
        <f>SUMIFS(T_Shipments[Confirmed_Qty],T_Shipments[RM_Code],$A70,T_Shipments[Effective_Week],63)</f>
        <v/>
      </c>
      <c r="BM70">
        <f>SUMIFS(T_Shipments[Confirmed_Qty],T_Shipments[RM_Code],$A70,T_Shipments[Effective_Week],64)</f>
        <v/>
      </c>
      <c r="BN70">
        <f>SUMIFS(T_Shipments[Confirmed_Qty],T_Shipments[RM_Code],$A70,T_Shipments[Effective_Week],65)</f>
        <v/>
      </c>
      <c r="BO70">
        <f>SUMIFS(T_Shipments[Confirmed_Qty],T_Shipments[RM_Code],$A70,T_Shipments[Effective_Week],66)</f>
        <v/>
      </c>
      <c r="BP70">
        <f>SUMIFS(T_Shipments[Confirmed_Qty],T_Shipments[RM_Code],$A70,T_Shipments[Effective_Week],67)</f>
        <v/>
      </c>
      <c r="BQ70">
        <f>SUMIFS(T_Shipments[Confirmed_Qty],T_Shipments[RM_Code],$A70,T_Shipments[Effective_Week],68)</f>
        <v/>
      </c>
      <c r="BR70">
        <f>SUMIFS(T_Shipments[Confirmed_Qty],T_Shipments[RM_Code],$A70,T_Shipments[Effective_Week],69)</f>
        <v/>
      </c>
      <c r="BS70">
        <f>SUMIFS(T_Shipments[Confirmed_Qty],T_Shipments[RM_Code],$A70,T_Shipments[Effective_Week],70)</f>
        <v/>
      </c>
      <c r="BT70">
        <f>SUMIFS(T_Shipments[Confirmed_Qty],T_Shipments[RM_Code],$A70,T_Shipments[Effective_Week],71)</f>
        <v/>
      </c>
      <c r="BU70">
        <f>SUMIFS(T_Shipments[Confirmed_Qty],T_Shipments[RM_Code],$A70,T_Shipments[Effective_Week],72)</f>
        <v/>
      </c>
      <c r="BV70">
        <f>SUMIFS(T_Shipments[Confirmed_Qty],T_Shipments[RM_Code],$A70,T_Shipments[Effective_Week],73)</f>
        <v/>
      </c>
      <c r="BW70">
        <f>SUMIFS(T_Shipments[Confirmed_Qty],T_Shipments[RM_Code],$A70,T_Shipments[Effective_Week],74)</f>
        <v/>
      </c>
      <c r="BX70">
        <f>SUMIFS(T_Shipments[Confirmed_Qty],T_Shipments[RM_Code],$A70,T_Shipments[Effective_Week],75)</f>
        <v/>
      </c>
      <c r="BY70">
        <f>SUMIFS(T_Shipments[Confirmed_Qty],T_Shipments[RM_Code],$A70,T_Shipments[Effective_Week],76)</f>
        <v/>
      </c>
      <c r="BZ70">
        <f>SUMIFS(T_Shipments[Confirmed_Qty],T_Shipments[RM_Code],$A70,T_Shipments[Effective_Week],77)</f>
        <v/>
      </c>
      <c r="CA70">
        <f>SUMIFS(T_Shipments[Confirmed_Qty],T_Shipments[RM_Code],$A70,T_Shipments[Effective_Week],78)</f>
        <v/>
      </c>
      <c r="CB70">
        <f>SUMIFS(T_Shipments[Confirmed_Qty],T_Shipments[RM_Code],$A70,T_Shipments[Effective_Week],79)</f>
        <v/>
      </c>
      <c r="CC70">
        <f>SUMIFS(T_Shipments[Confirmed_Qty],T_Shipments[RM_Code],$A70,T_Shipments[Effective_Week],80)</f>
        <v/>
      </c>
      <c r="CD70">
        <f>SUMIFS(T_Shipments[Confirmed_Qty],T_Shipments[RM_Code],$A70,T_Shipments[Effective_Week],81)</f>
        <v/>
      </c>
      <c r="CE70">
        <f>SUMIFS(T_Shipments[Confirmed_Qty],T_Shipments[RM_Code],$A70,T_Shipments[Effective_Week],82)</f>
        <v/>
      </c>
      <c r="CF70">
        <f>SUMIFS(T_Shipments[Confirmed_Qty],T_Shipments[RM_Code],$A70,T_Shipments[Effective_Week],83)</f>
        <v/>
      </c>
      <c r="CG70">
        <f>SUMIFS(T_Shipments[Confirmed_Qty],T_Shipments[RM_Code],$A70,T_Shipments[Effective_Week],84)</f>
        <v/>
      </c>
      <c r="CH70">
        <f>SUMIFS(T_Shipments[Confirmed_Qty],T_Shipments[RM_Code],$A70,T_Shipments[Effective_Week],85)</f>
        <v/>
      </c>
      <c r="CI70">
        <f>SUMIFS(T_Shipments[Confirmed_Qty],T_Shipments[RM_Code],$A70,T_Shipments[Effective_Week],86)</f>
        <v/>
      </c>
      <c r="CJ70">
        <f>SUMIFS(T_Shipments[Confirmed_Qty],T_Shipments[RM_Code],$A70,T_Shipments[Effective_Week],87)</f>
        <v/>
      </c>
      <c r="CK70">
        <f>SUMIFS(T_Shipments[Confirmed_Qty],T_Shipments[RM_Code],$A70,T_Shipments[Effective_Week],88)</f>
        <v/>
      </c>
      <c r="CL70">
        <f>SUMIFS(T_Shipments[Confirmed_Qty],T_Shipments[RM_Code],$A70,T_Shipments[Effective_Week],89)</f>
        <v/>
      </c>
      <c r="CM70">
        <f>SUMIFS(T_Shipments[Confirmed_Qty],T_Shipments[RM_Code],$A70,T_Shipments[Effective_Week],90)</f>
        <v/>
      </c>
      <c r="CN70">
        <f>SUMIFS(T_Shipments[Confirmed_Qty],T_Shipments[RM_Code],$A70,T_Shipments[Effective_Week],91)</f>
        <v/>
      </c>
      <c r="CO70">
        <f>SUMIFS(T_Shipments[Confirmed_Qty],T_Shipments[RM_Code],$A70,T_Shipments[Effective_Week],92)</f>
        <v/>
      </c>
      <c r="CP70">
        <f>SUMIFS(T_Shipments[Confirmed_Qty],T_Shipments[RM_Code],$A70,T_Shipments[Effective_Week],93)</f>
        <v/>
      </c>
      <c r="CQ70">
        <f>SUMIFS(T_Shipments[Confirmed_Qty],T_Shipments[RM_Code],$A70,T_Shipments[Effective_Week],94)</f>
        <v/>
      </c>
      <c r="CR70">
        <f>SUMIFS(T_Shipments[Confirmed_Qty],T_Shipments[RM_Code],$A70,T_Shipments[Effective_Week],95)</f>
        <v/>
      </c>
      <c r="CS70">
        <f>SUMIFS(T_Shipments[Confirmed_Qty],T_Shipments[RM_Code],$A70,T_Shipments[Effective_Week],96)</f>
        <v/>
      </c>
      <c r="CT70">
        <f>SUMIFS(T_Shipments[Confirmed_Qty],T_Shipments[RM_Code],$A70,T_Shipments[Effective_Week],97)</f>
        <v/>
      </c>
      <c r="CU70">
        <f>SUMIFS(T_Shipments[Confirmed_Qty],T_Shipments[RM_Code],$A70,T_Shipments[Effective_Week],98)</f>
        <v/>
      </c>
      <c r="CV70">
        <f>SUMIFS(T_Shipments[Confirmed_Qty],T_Shipments[RM_Code],$A70,T_Shipments[Effective_Week],99)</f>
        <v/>
      </c>
      <c r="CW70">
        <f>SUMIFS(T_Shipments[Confirmed_Qty],T_Shipments[RM_Code],$A70,T_Shipments[Effective_Week],100)</f>
        <v/>
      </c>
      <c r="CX70">
        <f>SUMIFS(T_Shipments[Confirmed_Qty],T_Shipments[RM_Code],$A70,T_Shipments[Effective_Week],101)</f>
        <v/>
      </c>
      <c r="CY70">
        <f>SUMIFS(T_Shipments[Confirmed_Qty],T_Shipments[RM_Code],$A70,T_Shipments[Effective_Week],102)</f>
        <v/>
      </c>
      <c r="CZ70">
        <f>SUMIFS(T_Shipments[Confirmed_Qty],T_Shipments[RM_Code],$A70,T_Shipments[Effective_Week],103)</f>
        <v/>
      </c>
      <c r="DA70">
        <f>SUMIFS(T_Shipments[Confirmed_Qty],T_Shipments[RM_Code],$A70,T_Shipments[Effective_Week],104)</f>
        <v/>
      </c>
    </row>
    <row r="71">
      <c r="A71" t="inlineStr">
        <is>
          <t>848530</t>
        </is>
      </c>
      <c r="B71">
        <f>SUMIFS(T_Shipments[Confirmed_Qty],T_Shipments[RM_Code],$A71,T_Shipments[Effective_Week],1)</f>
        <v/>
      </c>
      <c r="C71">
        <f>SUMIFS(T_Shipments[Confirmed_Qty],T_Shipments[RM_Code],$A71,T_Shipments[Effective_Week],2)</f>
        <v/>
      </c>
      <c r="D71">
        <f>SUMIFS(T_Shipments[Confirmed_Qty],T_Shipments[RM_Code],$A71,T_Shipments[Effective_Week],3)</f>
        <v/>
      </c>
      <c r="E71">
        <f>SUMIFS(T_Shipments[Confirmed_Qty],T_Shipments[RM_Code],$A71,T_Shipments[Effective_Week],4)</f>
        <v/>
      </c>
      <c r="F71">
        <f>SUMIFS(T_Shipments[Confirmed_Qty],T_Shipments[RM_Code],$A71,T_Shipments[Effective_Week],5)</f>
        <v/>
      </c>
      <c r="G71">
        <f>SUMIFS(T_Shipments[Confirmed_Qty],T_Shipments[RM_Code],$A71,T_Shipments[Effective_Week],6)</f>
        <v/>
      </c>
      <c r="H71">
        <f>SUMIFS(T_Shipments[Confirmed_Qty],T_Shipments[RM_Code],$A71,T_Shipments[Effective_Week],7)</f>
        <v/>
      </c>
      <c r="I71">
        <f>SUMIFS(T_Shipments[Confirmed_Qty],T_Shipments[RM_Code],$A71,T_Shipments[Effective_Week],8)</f>
        <v/>
      </c>
      <c r="J71">
        <f>SUMIFS(T_Shipments[Confirmed_Qty],T_Shipments[RM_Code],$A71,T_Shipments[Effective_Week],9)</f>
        <v/>
      </c>
      <c r="K71">
        <f>SUMIFS(T_Shipments[Confirmed_Qty],T_Shipments[RM_Code],$A71,T_Shipments[Effective_Week],10)</f>
        <v/>
      </c>
      <c r="L71">
        <f>SUMIFS(T_Shipments[Confirmed_Qty],T_Shipments[RM_Code],$A71,T_Shipments[Effective_Week],11)</f>
        <v/>
      </c>
      <c r="M71">
        <f>SUMIFS(T_Shipments[Confirmed_Qty],T_Shipments[RM_Code],$A71,T_Shipments[Effective_Week],12)</f>
        <v/>
      </c>
      <c r="N71">
        <f>SUMIFS(T_Shipments[Confirmed_Qty],T_Shipments[RM_Code],$A71,T_Shipments[Effective_Week],13)</f>
        <v/>
      </c>
      <c r="O71">
        <f>SUMIFS(T_Shipments[Confirmed_Qty],T_Shipments[RM_Code],$A71,T_Shipments[Effective_Week],14)</f>
        <v/>
      </c>
      <c r="P71">
        <f>SUMIFS(T_Shipments[Confirmed_Qty],T_Shipments[RM_Code],$A71,T_Shipments[Effective_Week],15)</f>
        <v/>
      </c>
      <c r="Q71">
        <f>SUMIFS(T_Shipments[Confirmed_Qty],T_Shipments[RM_Code],$A71,T_Shipments[Effective_Week],16)</f>
        <v/>
      </c>
      <c r="R71">
        <f>SUMIFS(T_Shipments[Confirmed_Qty],T_Shipments[RM_Code],$A71,T_Shipments[Effective_Week],17)</f>
        <v/>
      </c>
      <c r="S71">
        <f>SUMIFS(T_Shipments[Confirmed_Qty],T_Shipments[RM_Code],$A71,T_Shipments[Effective_Week],18)</f>
        <v/>
      </c>
      <c r="T71">
        <f>SUMIFS(T_Shipments[Confirmed_Qty],T_Shipments[RM_Code],$A71,T_Shipments[Effective_Week],19)</f>
        <v/>
      </c>
      <c r="U71">
        <f>SUMIFS(T_Shipments[Confirmed_Qty],T_Shipments[RM_Code],$A71,T_Shipments[Effective_Week],20)</f>
        <v/>
      </c>
      <c r="V71">
        <f>SUMIFS(T_Shipments[Confirmed_Qty],T_Shipments[RM_Code],$A71,T_Shipments[Effective_Week],21)</f>
        <v/>
      </c>
      <c r="W71">
        <f>SUMIFS(T_Shipments[Confirmed_Qty],T_Shipments[RM_Code],$A71,T_Shipments[Effective_Week],22)</f>
        <v/>
      </c>
      <c r="X71">
        <f>SUMIFS(T_Shipments[Confirmed_Qty],T_Shipments[RM_Code],$A71,T_Shipments[Effective_Week],23)</f>
        <v/>
      </c>
      <c r="Y71">
        <f>SUMIFS(T_Shipments[Confirmed_Qty],T_Shipments[RM_Code],$A71,T_Shipments[Effective_Week],24)</f>
        <v/>
      </c>
      <c r="Z71">
        <f>SUMIFS(T_Shipments[Confirmed_Qty],T_Shipments[RM_Code],$A71,T_Shipments[Effective_Week],25)</f>
        <v/>
      </c>
      <c r="AA71">
        <f>SUMIFS(T_Shipments[Confirmed_Qty],T_Shipments[RM_Code],$A71,T_Shipments[Effective_Week],26)</f>
        <v/>
      </c>
      <c r="AB71">
        <f>SUMIFS(T_Shipments[Confirmed_Qty],T_Shipments[RM_Code],$A71,T_Shipments[Effective_Week],27)</f>
        <v/>
      </c>
      <c r="AC71">
        <f>SUMIFS(T_Shipments[Confirmed_Qty],T_Shipments[RM_Code],$A71,T_Shipments[Effective_Week],28)</f>
        <v/>
      </c>
      <c r="AD71">
        <f>SUMIFS(T_Shipments[Confirmed_Qty],T_Shipments[RM_Code],$A71,T_Shipments[Effective_Week],29)</f>
        <v/>
      </c>
      <c r="AE71">
        <f>SUMIFS(T_Shipments[Confirmed_Qty],T_Shipments[RM_Code],$A71,T_Shipments[Effective_Week],30)</f>
        <v/>
      </c>
      <c r="AF71">
        <f>SUMIFS(T_Shipments[Confirmed_Qty],T_Shipments[RM_Code],$A71,T_Shipments[Effective_Week],31)</f>
        <v/>
      </c>
      <c r="AG71">
        <f>SUMIFS(T_Shipments[Confirmed_Qty],T_Shipments[RM_Code],$A71,T_Shipments[Effective_Week],32)</f>
        <v/>
      </c>
      <c r="AH71">
        <f>SUMIFS(T_Shipments[Confirmed_Qty],T_Shipments[RM_Code],$A71,T_Shipments[Effective_Week],33)</f>
        <v/>
      </c>
      <c r="AI71">
        <f>SUMIFS(T_Shipments[Confirmed_Qty],T_Shipments[RM_Code],$A71,T_Shipments[Effective_Week],34)</f>
        <v/>
      </c>
      <c r="AJ71">
        <f>SUMIFS(T_Shipments[Confirmed_Qty],T_Shipments[RM_Code],$A71,T_Shipments[Effective_Week],35)</f>
        <v/>
      </c>
      <c r="AK71">
        <f>SUMIFS(T_Shipments[Confirmed_Qty],T_Shipments[RM_Code],$A71,T_Shipments[Effective_Week],36)</f>
        <v/>
      </c>
      <c r="AL71">
        <f>SUMIFS(T_Shipments[Confirmed_Qty],T_Shipments[RM_Code],$A71,T_Shipments[Effective_Week],37)</f>
        <v/>
      </c>
      <c r="AM71">
        <f>SUMIFS(T_Shipments[Confirmed_Qty],T_Shipments[RM_Code],$A71,T_Shipments[Effective_Week],38)</f>
        <v/>
      </c>
      <c r="AN71">
        <f>SUMIFS(T_Shipments[Confirmed_Qty],T_Shipments[RM_Code],$A71,T_Shipments[Effective_Week],39)</f>
        <v/>
      </c>
      <c r="AO71">
        <f>SUMIFS(T_Shipments[Confirmed_Qty],T_Shipments[RM_Code],$A71,T_Shipments[Effective_Week],40)</f>
        <v/>
      </c>
      <c r="AP71">
        <f>SUMIFS(T_Shipments[Confirmed_Qty],T_Shipments[RM_Code],$A71,T_Shipments[Effective_Week],41)</f>
        <v/>
      </c>
      <c r="AQ71">
        <f>SUMIFS(T_Shipments[Confirmed_Qty],T_Shipments[RM_Code],$A71,T_Shipments[Effective_Week],42)</f>
        <v/>
      </c>
      <c r="AR71">
        <f>SUMIFS(T_Shipments[Confirmed_Qty],T_Shipments[RM_Code],$A71,T_Shipments[Effective_Week],43)</f>
        <v/>
      </c>
      <c r="AS71">
        <f>SUMIFS(T_Shipments[Confirmed_Qty],T_Shipments[RM_Code],$A71,T_Shipments[Effective_Week],44)</f>
        <v/>
      </c>
      <c r="AT71">
        <f>SUMIFS(T_Shipments[Confirmed_Qty],T_Shipments[RM_Code],$A71,T_Shipments[Effective_Week],45)</f>
        <v/>
      </c>
      <c r="AU71">
        <f>SUMIFS(T_Shipments[Confirmed_Qty],T_Shipments[RM_Code],$A71,T_Shipments[Effective_Week],46)</f>
        <v/>
      </c>
      <c r="AV71">
        <f>SUMIFS(T_Shipments[Confirmed_Qty],T_Shipments[RM_Code],$A71,T_Shipments[Effective_Week],47)</f>
        <v/>
      </c>
      <c r="AW71">
        <f>SUMIFS(T_Shipments[Confirmed_Qty],T_Shipments[RM_Code],$A71,T_Shipments[Effective_Week],48)</f>
        <v/>
      </c>
      <c r="AX71">
        <f>SUMIFS(T_Shipments[Confirmed_Qty],T_Shipments[RM_Code],$A71,T_Shipments[Effective_Week],49)</f>
        <v/>
      </c>
      <c r="AY71">
        <f>SUMIFS(T_Shipments[Confirmed_Qty],T_Shipments[RM_Code],$A71,T_Shipments[Effective_Week],50)</f>
        <v/>
      </c>
      <c r="AZ71">
        <f>SUMIFS(T_Shipments[Confirmed_Qty],T_Shipments[RM_Code],$A71,T_Shipments[Effective_Week],51)</f>
        <v/>
      </c>
      <c r="BA71">
        <f>SUMIFS(T_Shipments[Confirmed_Qty],T_Shipments[RM_Code],$A71,T_Shipments[Effective_Week],52)</f>
        <v/>
      </c>
      <c r="BB71">
        <f>SUMIFS(T_Shipments[Confirmed_Qty],T_Shipments[RM_Code],$A71,T_Shipments[Effective_Week],53)</f>
        <v/>
      </c>
      <c r="BC71">
        <f>SUMIFS(T_Shipments[Confirmed_Qty],T_Shipments[RM_Code],$A71,T_Shipments[Effective_Week],54)</f>
        <v/>
      </c>
      <c r="BD71">
        <f>SUMIFS(T_Shipments[Confirmed_Qty],T_Shipments[RM_Code],$A71,T_Shipments[Effective_Week],55)</f>
        <v/>
      </c>
      <c r="BE71">
        <f>SUMIFS(T_Shipments[Confirmed_Qty],T_Shipments[RM_Code],$A71,T_Shipments[Effective_Week],56)</f>
        <v/>
      </c>
      <c r="BF71">
        <f>SUMIFS(T_Shipments[Confirmed_Qty],T_Shipments[RM_Code],$A71,T_Shipments[Effective_Week],57)</f>
        <v/>
      </c>
      <c r="BG71">
        <f>SUMIFS(T_Shipments[Confirmed_Qty],T_Shipments[RM_Code],$A71,T_Shipments[Effective_Week],58)</f>
        <v/>
      </c>
      <c r="BH71">
        <f>SUMIFS(T_Shipments[Confirmed_Qty],T_Shipments[RM_Code],$A71,T_Shipments[Effective_Week],59)</f>
        <v/>
      </c>
      <c r="BI71">
        <f>SUMIFS(T_Shipments[Confirmed_Qty],T_Shipments[RM_Code],$A71,T_Shipments[Effective_Week],60)</f>
        <v/>
      </c>
      <c r="BJ71">
        <f>SUMIFS(T_Shipments[Confirmed_Qty],T_Shipments[RM_Code],$A71,T_Shipments[Effective_Week],61)</f>
        <v/>
      </c>
      <c r="BK71">
        <f>SUMIFS(T_Shipments[Confirmed_Qty],T_Shipments[RM_Code],$A71,T_Shipments[Effective_Week],62)</f>
        <v/>
      </c>
      <c r="BL71">
        <f>SUMIFS(T_Shipments[Confirmed_Qty],T_Shipments[RM_Code],$A71,T_Shipments[Effective_Week],63)</f>
        <v/>
      </c>
      <c r="BM71">
        <f>SUMIFS(T_Shipments[Confirmed_Qty],T_Shipments[RM_Code],$A71,T_Shipments[Effective_Week],64)</f>
        <v/>
      </c>
      <c r="BN71">
        <f>SUMIFS(T_Shipments[Confirmed_Qty],T_Shipments[RM_Code],$A71,T_Shipments[Effective_Week],65)</f>
        <v/>
      </c>
      <c r="BO71">
        <f>SUMIFS(T_Shipments[Confirmed_Qty],T_Shipments[RM_Code],$A71,T_Shipments[Effective_Week],66)</f>
        <v/>
      </c>
      <c r="BP71">
        <f>SUMIFS(T_Shipments[Confirmed_Qty],T_Shipments[RM_Code],$A71,T_Shipments[Effective_Week],67)</f>
        <v/>
      </c>
      <c r="BQ71">
        <f>SUMIFS(T_Shipments[Confirmed_Qty],T_Shipments[RM_Code],$A71,T_Shipments[Effective_Week],68)</f>
        <v/>
      </c>
      <c r="BR71">
        <f>SUMIFS(T_Shipments[Confirmed_Qty],T_Shipments[RM_Code],$A71,T_Shipments[Effective_Week],69)</f>
        <v/>
      </c>
      <c r="BS71">
        <f>SUMIFS(T_Shipments[Confirmed_Qty],T_Shipments[RM_Code],$A71,T_Shipments[Effective_Week],70)</f>
        <v/>
      </c>
      <c r="BT71">
        <f>SUMIFS(T_Shipments[Confirmed_Qty],T_Shipments[RM_Code],$A71,T_Shipments[Effective_Week],71)</f>
        <v/>
      </c>
      <c r="BU71">
        <f>SUMIFS(T_Shipments[Confirmed_Qty],T_Shipments[RM_Code],$A71,T_Shipments[Effective_Week],72)</f>
        <v/>
      </c>
      <c r="BV71">
        <f>SUMIFS(T_Shipments[Confirmed_Qty],T_Shipments[RM_Code],$A71,T_Shipments[Effective_Week],73)</f>
        <v/>
      </c>
      <c r="BW71">
        <f>SUMIFS(T_Shipments[Confirmed_Qty],T_Shipments[RM_Code],$A71,T_Shipments[Effective_Week],74)</f>
        <v/>
      </c>
      <c r="BX71">
        <f>SUMIFS(T_Shipments[Confirmed_Qty],T_Shipments[RM_Code],$A71,T_Shipments[Effective_Week],75)</f>
        <v/>
      </c>
      <c r="BY71">
        <f>SUMIFS(T_Shipments[Confirmed_Qty],T_Shipments[RM_Code],$A71,T_Shipments[Effective_Week],76)</f>
        <v/>
      </c>
      <c r="BZ71">
        <f>SUMIFS(T_Shipments[Confirmed_Qty],T_Shipments[RM_Code],$A71,T_Shipments[Effective_Week],77)</f>
        <v/>
      </c>
      <c r="CA71">
        <f>SUMIFS(T_Shipments[Confirmed_Qty],T_Shipments[RM_Code],$A71,T_Shipments[Effective_Week],78)</f>
        <v/>
      </c>
      <c r="CB71">
        <f>SUMIFS(T_Shipments[Confirmed_Qty],T_Shipments[RM_Code],$A71,T_Shipments[Effective_Week],79)</f>
        <v/>
      </c>
      <c r="CC71">
        <f>SUMIFS(T_Shipments[Confirmed_Qty],T_Shipments[RM_Code],$A71,T_Shipments[Effective_Week],80)</f>
        <v/>
      </c>
      <c r="CD71">
        <f>SUMIFS(T_Shipments[Confirmed_Qty],T_Shipments[RM_Code],$A71,T_Shipments[Effective_Week],81)</f>
        <v/>
      </c>
      <c r="CE71">
        <f>SUMIFS(T_Shipments[Confirmed_Qty],T_Shipments[RM_Code],$A71,T_Shipments[Effective_Week],82)</f>
        <v/>
      </c>
      <c r="CF71">
        <f>SUMIFS(T_Shipments[Confirmed_Qty],T_Shipments[RM_Code],$A71,T_Shipments[Effective_Week],83)</f>
        <v/>
      </c>
      <c r="CG71">
        <f>SUMIFS(T_Shipments[Confirmed_Qty],T_Shipments[RM_Code],$A71,T_Shipments[Effective_Week],84)</f>
        <v/>
      </c>
      <c r="CH71">
        <f>SUMIFS(T_Shipments[Confirmed_Qty],T_Shipments[RM_Code],$A71,T_Shipments[Effective_Week],85)</f>
        <v/>
      </c>
      <c r="CI71">
        <f>SUMIFS(T_Shipments[Confirmed_Qty],T_Shipments[RM_Code],$A71,T_Shipments[Effective_Week],86)</f>
        <v/>
      </c>
      <c r="CJ71">
        <f>SUMIFS(T_Shipments[Confirmed_Qty],T_Shipments[RM_Code],$A71,T_Shipments[Effective_Week],87)</f>
        <v/>
      </c>
      <c r="CK71">
        <f>SUMIFS(T_Shipments[Confirmed_Qty],T_Shipments[RM_Code],$A71,T_Shipments[Effective_Week],88)</f>
        <v/>
      </c>
      <c r="CL71">
        <f>SUMIFS(T_Shipments[Confirmed_Qty],T_Shipments[RM_Code],$A71,T_Shipments[Effective_Week],89)</f>
        <v/>
      </c>
      <c r="CM71">
        <f>SUMIFS(T_Shipments[Confirmed_Qty],T_Shipments[RM_Code],$A71,T_Shipments[Effective_Week],90)</f>
        <v/>
      </c>
      <c r="CN71">
        <f>SUMIFS(T_Shipments[Confirmed_Qty],T_Shipments[RM_Code],$A71,T_Shipments[Effective_Week],91)</f>
        <v/>
      </c>
      <c r="CO71">
        <f>SUMIFS(T_Shipments[Confirmed_Qty],T_Shipments[RM_Code],$A71,T_Shipments[Effective_Week],92)</f>
        <v/>
      </c>
      <c r="CP71">
        <f>SUMIFS(T_Shipments[Confirmed_Qty],T_Shipments[RM_Code],$A71,T_Shipments[Effective_Week],93)</f>
        <v/>
      </c>
      <c r="CQ71">
        <f>SUMIFS(T_Shipments[Confirmed_Qty],T_Shipments[RM_Code],$A71,T_Shipments[Effective_Week],94)</f>
        <v/>
      </c>
      <c r="CR71">
        <f>SUMIFS(T_Shipments[Confirmed_Qty],T_Shipments[RM_Code],$A71,T_Shipments[Effective_Week],95)</f>
        <v/>
      </c>
      <c r="CS71">
        <f>SUMIFS(T_Shipments[Confirmed_Qty],T_Shipments[RM_Code],$A71,T_Shipments[Effective_Week],96)</f>
        <v/>
      </c>
      <c r="CT71">
        <f>SUMIFS(T_Shipments[Confirmed_Qty],T_Shipments[RM_Code],$A71,T_Shipments[Effective_Week],97)</f>
        <v/>
      </c>
      <c r="CU71">
        <f>SUMIFS(T_Shipments[Confirmed_Qty],T_Shipments[RM_Code],$A71,T_Shipments[Effective_Week],98)</f>
        <v/>
      </c>
      <c r="CV71">
        <f>SUMIFS(T_Shipments[Confirmed_Qty],T_Shipments[RM_Code],$A71,T_Shipments[Effective_Week],99)</f>
        <v/>
      </c>
      <c r="CW71">
        <f>SUMIFS(T_Shipments[Confirmed_Qty],T_Shipments[RM_Code],$A71,T_Shipments[Effective_Week],100)</f>
        <v/>
      </c>
      <c r="CX71">
        <f>SUMIFS(T_Shipments[Confirmed_Qty],T_Shipments[RM_Code],$A71,T_Shipments[Effective_Week],101)</f>
        <v/>
      </c>
      <c r="CY71">
        <f>SUMIFS(T_Shipments[Confirmed_Qty],T_Shipments[RM_Code],$A71,T_Shipments[Effective_Week],102)</f>
        <v/>
      </c>
      <c r="CZ71">
        <f>SUMIFS(T_Shipments[Confirmed_Qty],T_Shipments[RM_Code],$A71,T_Shipments[Effective_Week],103)</f>
        <v/>
      </c>
      <c r="DA71">
        <f>SUMIFS(T_Shipments[Confirmed_Qty],T_Shipments[RM_Code],$A71,T_Shipments[Effective_Week],104)</f>
        <v/>
      </c>
    </row>
    <row r="72">
      <c r="A72" t="inlineStr">
        <is>
          <t>848531</t>
        </is>
      </c>
      <c r="B72">
        <f>SUMIFS(T_Shipments[Confirmed_Qty],T_Shipments[RM_Code],$A72,T_Shipments[Effective_Week],1)</f>
        <v/>
      </c>
      <c r="C72">
        <f>SUMIFS(T_Shipments[Confirmed_Qty],T_Shipments[RM_Code],$A72,T_Shipments[Effective_Week],2)</f>
        <v/>
      </c>
      <c r="D72">
        <f>SUMIFS(T_Shipments[Confirmed_Qty],T_Shipments[RM_Code],$A72,T_Shipments[Effective_Week],3)</f>
        <v/>
      </c>
      <c r="E72">
        <f>SUMIFS(T_Shipments[Confirmed_Qty],T_Shipments[RM_Code],$A72,T_Shipments[Effective_Week],4)</f>
        <v/>
      </c>
      <c r="F72">
        <f>SUMIFS(T_Shipments[Confirmed_Qty],T_Shipments[RM_Code],$A72,T_Shipments[Effective_Week],5)</f>
        <v/>
      </c>
      <c r="G72">
        <f>SUMIFS(T_Shipments[Confirmed_Qty],T_Shipments[RM_Code],$A72,T_Shipments[Effective_Week],6)</f>
        <v/>
      </c>
      <c r="H72">
        <f>SUMIFS(T_Shipments[Confirmed_Qty],T_Shipments[RM_Code],$A72,T_Shipments[Effective_Week],7)</f>
        <v/>
      </c>
      <c r="I72">
        <f>SUMIFS(T_Shipments[Confirmed_Qty],T_Shipments[RM_Code],$A72,T_Shipments[Effective_Week],8)</f>
        <v/>
      </c>
      <c r="J72">
        <f>SUMIFS(T_Shipments[Confirmed_Qty],T_Shipments[RM_Code],$A72,T_Shipments[Effective_Week],9)</f>
        <v/>
      </c>
      <c r="K72">
        <f>SUMIFS(T_Shipments[Confirmed_Qty],T_Shipments[RM_Code],$A72,T_Shipments[Effective_Week],10)</f>
        <v/>
      </c>
      <c r="L72">
        <f>SUMIFS(T_Shipments[Confirmed_Qty],T_Shipments[RM_Code],$A72,T_Shipments[Effective_Week],11)</f>
        <v/>
      </c>
      <c r="M72">
        <f>SUMIFS(T_Shipments[Confirmed_Qty],T_Shipments[RM_Code],$A72,T_Shipments[Effective_Week],12)</f>
        <v/>
      </c>
      <c r="N72">
        <f>SUMIFS(T_Shipments[Confirmed_Qty],T_Shipments[RM_Code],$A72,T_Shipments[Effective_Week],13)</f>
        <v/>
      </c>
      <c r="O72">
        <f>SUMIFS(T_Shipments[Confirmed_Qty],T_Shipments[RM_Code],$A72,T_Shipments[Effective_Week],14)</f>
        <v/>
      </c>
      <c r="P72">
        <f>SUMIFS(T_Shipments[Confirmed_Qty],T_Shipments[RM_Code],$A72,T_Shipments[Effective_Week],15)</f>
        <v/>
      </c>
      <c r="Q72">
        <f>SUMIFS(T_Shipments[Confirmed_Qty],T_Shipments[RM_Code],$A72,T_Shipments[Effective_Week],16)</f>
        <v/>
      </c>
      <c r="R72">
        <f>SUMIFS(T_Shipments[Confirmed_Qty],T_Shipments[RM_Code],$A72,T_Shipments[Effective_Week],17)</f>
        <v/>
      </c>
      <c r="S72">
        <f>SUMIFS(T_Shipments[Confirmed_Qty],T_Shipments[RM_Code],$A72,T_Shipments[Effective_Week],18)</f>
        <v/>
      </c>
      <c r="T72">
        <f>SUMIFS(T_Shipments[Confirmed_Qty],T_Shipments[RM_Code],$A72,T_Shipments[Effective_Week],19)</f>
        <v/>
      </c>
      <c r="U72">
        <f>SUMIFS(T_Shipments[Confirmed_Qty],T_Shipments[RM_Code],$A72,T_Shipments[Effective_Week],20)</f>
        <v/>
      </c>
      <c r="V72">
        <f>SUMIFS(T_Shipments[Confirmed_Qty],T_Shipments[RM_Code],$A72,T_Shipments[Effective_Week],21)</f>
        <v/>
      </c>
      <c r="W72">
        <f>SUMIFS(T_Shipments[Confirmed_Qty],T_Shipments[RM_Code],$A72,T_Shipments[Effective_Week],22)</f>
        <v/>
      </c>
      <c r="X72">
        <f>SUMIFS(T_Shipments[Confirmed_Qty],T_Shipments[RM_Code],$A72,T_Shipments[Effective_Week],23)</f>
        <v/>
      </c>
      <c r="Y72">
        <f>SUMIFS(T_Shipments[Confirmed_Qty],T_Shipments[RM_Code],$A72,T_Shipments[Effective_Week],24)</f>
        <v/>
      </c>
      <c r="Z72">
        <f>SUMIFS(T_Shipments[Confirmed_Qty],T_Shipments[RM_Code],$A72,T_Shipments[Effective_Week],25)</f>
        <v/>
      </c>
      <c r="AA72">
        <f>SUMIFS(T_Shipments[Confirmed_Qty],T_Shipments[RM_Code],$A72,T_Shipments[Effective_Week],26)</f>
        <v/>
      </c>
      <c r="AB72">
        <f>SUMIFS(T_Shipments[Confirmed_Qty],T_Shipments[RM_Code],$A72,T_Shipments[Effective_Week],27)</f>
        <v/>
      </c>
      <c r="AC72">
        <f>SUMIFS(T_Shipments[Confirmed_Qty],T_Shipments[RM_Code],$A72,T_Shipments[Effective_Week],28)</f>
        <v/>
      </c>
      <c r="AD72">
        <f>SUMIFS(T_Shipments[Confirmed_Qty],T_Shipments[RM_Code],$A72,T_Shipments[Effective_Week],29)</f>
        <v/>
      </c>
      <c r="AE72">
        <f>SUMIFS(T_Shipments[Confirmed_Qty],T_Shipments[RM_Code],$A72,T_Shipments[Effective_Week],30)</f>
        <v/>
      </c>
      <c r="AF72">
        <f>SUMIFS(T_Shipments[Confirmed_Qty],T_Shipments[RM_Code],$A72,T_Shipments[Effective_Week],31)</f>
        <v/>
      </c>
      <c r="AG72">
        <f>SUMIFS(T_Shipments[Confirmed_Qty],T_Shipments[RM_Code],$A72,T_Shipments[Effective_Week],32)</f>
        <v/>
      </c>
      <c r="AH72">
        <f>SUMIFS(T_Shipments[Confirmed_Qty],T_Shipments[RM_Code],$A72,T_Shipments[Effective_Week],33)</f>
        <v/>
      </c>
      <c r="AI72">
        <f>SUMIFS(T_Shipments[Confirmed_Qty],T_Shipments[RM_Code],$A72,T_Shipments[Effective_Week],34)</f>
        <v/>
      </c>
      <c r="AJ72">
        <f>SUMIFS(T_Shipments[Confirmed_Qty],T_Shipments[RM_Code],$A72,T_Shipments[Effective_Week],35)</f>
        <v/>
      </c>
      <c r="AK72">
        <f>SUMIFS(T_Shipments[Confirmed_Qty],T_Shipments[RM_Code],$A72,T_Shipments[Effective_Week],36)</f>
        <v/>
      </c>
      <c r="AL72">
        <f>SUMIFS(T_Shipments[Confirmed_Qty],T_Shipments[RM_Code],$A72,T_Shipments[Effective_Week],37)</f>
        <v/>
      </c>
      <c r="AM72">
        <f>SUMIFS(T_Shipments[Confirmed_Qty],T_Shipments[RM_Code],$A72,T_Shipments[Effective_Week],38)</f>
        <v/>
      </c>
      <c r="AN72">
        <f>SUMIFS(T_Shipments[Confirmed_Qty],T_Shipments[RM_Code],$A72,T_Shipments[Effective_Week],39)</f>
        <v/>
      </c>
      <c r="AO72">
        <f>SUMIFS(T_Shipments[Confirmed_Qty],T_Shipments[RM_Code],$A72,T_Shipments[Effective_Week],40)</f>
        <v/>
      </c>
      <c r="AP72">
        <f>SUMIFS(T_Shipments[Confirmed_Qty],T_Shipments[RM_Code],$A72,T_Shipments[Effective_Week],41)</f>
        <v/>
      </c>
      <c r="AQ72">
        <f>SUMIFS(T_Shipments[Confirmed_Qty],T_Shipments[RM_Code],$A72,T_Shipments[Effective_Week],42)</f>
        <v/>
      </c>
      <c r="AR72">
        <f>SUMIFS(T_Shipments[Confirmed_Qty],T_Shipments[RM_Code],$A72,T_Shipments[Effective_Week],43)</f>
        <v/>
      </c>
      <c r="AS72">
        <f>SUMIFS(T_Shipments[Confirmed_Qty],T_Shipments[RM_Code],$A72,T_Shipments[Effective_Week],44)</f>
        <v/>
      </c>
      <c r="AT72">
        <f>SUMIFS(T_Shipments[Confirmed_Qty],T_Shipments[RM_Code],$A72,T_Shipments[Effective_Week],45)</f>
        <v/>
      </c>
      <c r="AU72">
        <f>SUMIFS(T_Shipments[Confirmed_Qty],T_Shipments[RM_Code],$A72,T_Shipments[Effective_Week],46)</f>
        <v/>
      </c>
      <c r="AV72">
        <f>SUMIFS(T_Shipments[Confirmed_Qty],T_Shipments[RM_Code],$A72,T_Shipments[Effective_Week],47)</f>
        <v/>
      </c>
      <c r="AW72">
        <f>SUMIFS(T_Shipments[Confirmed_Qty],T_Shipments[RM_Code],$A72,T_Shipments[Effective_Week],48)</f>
        <v/>
      </c>
      <c r="AX72">
        <f>SUMIFS(T_Shipments[Confirmed_Qty],T_Shipments[RM_Code],$A72,T_Shipments[Effective_Week],49)</f>
        <v/>
      </c>
      <c r="AY72">
        <f>SUMIFS(T_Shipments[Confirmed_Qty],T_Shipments[RM_Code],$A72,T_Shipments[Effective_Week],50)</f>
        <v/>
      </c>
      <c r="AZ72">
        <f>SUMIFS(T_Shipments[Confirmed_Qty],T_Shipments[RM_Code],$A72,T_Shipments[Effective_Week],51)</f>
        <v/>
      </c>
      <c r="BA72">
        <f>SUMIFS(T_Shipments[Confirmed_Qty],T_Shipments[RM_Code],$A72,T_Shipments[Effective_Week],52)</f>
        <v/>
      </c>
      <c r="BB72">
        <f>SUMIFS(T_Shipments[Confirmed_Qty],T_Shipments[RM_Code],$A72,T_Shipments[Effective_Week],53)</f>
        <v/>
      </c>
      <c r="BC72">
        <f>SUMIFS(T_Shipments[Confirmed_Qty],T_Shipments[RM_Code],$A72,T_Shipments[Effective_Week],54)</f>
        <v/>
      </c>
      <c r="BD72">
        <f>SUMIFS(T_Shipments[Confirmed_Qty],T_Shipments[RM_Code],$A72,T_Shipments[Effective_Week],55)</f>
        <v/>
      </c>
      <c r="BE72">
        <f>SUMIFS(T_Shipments[Confirmed_Qty],T_Shipments[RM_Code],$A72,T_Shipments[Effective_Week],56)</f>
        <v/>
      </c>
      <c r="BF72">
        <f>SUMIFS(T_Shipments[Confirmed_Qty],T_Shipments[RM_Code],$A72,T_Shipments[Effective_Week],57)</f>
        <v/>
      </c>
      <c r="BG72">
        <f>SUMIFS(T_Shipments[Confirmed_Qty],T_Shipments[RM_Code],$A72,T_Shipments[Effective_Week],58)</f>
        <v/>
      </c>
      <c r="BH72">
        <f>SUMIFS(T_Shipments[Confirmed_Qty],T_Shipments[RM_Code],$A72,T_Shipments[Effective_Week],59)</f>
        <v/>
      </c>
      <c r="BI72">
        <f>SUMIFS(T_Shipments[Confirmed_Qty],T_Shipments[RM_Code],$A72,T_Shipments[Effective_Week],60)</f>
        <v/>
      </c>
      <c r="BJ72">
        <f>SUMIFS(T_Shipments[Confirmed_Qty],T_Shipments[RM_Code],$A72,T_Shipments[Effective_Week],61)</f>
        <v/>
      </c>
      <c r="BK72">
        <f>SUMIFS(T_Shipments[Confirmed_Qty],T_Shipments[RM_Code],$A72,T_Shipments[Effective_Week],62)</f>
        <v/>
      </c>
      <c r="BL72">
        <f>SUMIFS(T_Shipments[Confirmed_Qty],T_Shipments[RM_Code],$A72,T_Shipments[Effective_Week],63)</f>
        <v/>
      </c>
      <c r="BM72">
        <f>SUMIFS(T_Shipments[Confirmed_Qty],T_Shipments[RM_Code],$A72,T_Shipments[Effective_Week],64)</f>
        <v/>
      </c>
      <c r="BN72">
        <f>SUMIFS(T_Shipments[Confirmed_Qty],T_Shipments[RM_Code],$A72,T_Shipments[Effective_Week],65)</f>
        <v/>
      </c>
      <c r="BO72">
        <f>SUMIFS(T_Shipments[Confirmed_Qty],T_Shipments[RM_Code],$A72,T_Shipments[Effective_Week],66)</f>
        <v/>
      </c>
      <c r="BP72">
        <f>SUMIFS(T_Shipments[Confirmed_Qty],T_Shipments[RM_Code],$A72,T_Shipments[Effective_Week],67)</f>
        <v/>
      </c>
      <c r="BQ72">
        <f>SUMIFS(T_Shipments[Confirmed_Qty],T_Shipments[RM_Code],$A72,T_Shipments[Effective_Week],68)</f>
        <v/>
      </c>
      <c r="BR72">
        <f>SUMIFS(T_Shipments[Confirmed_Qty],T_Shipments[RM_Code],$A72,T_Shipments[Effective_Week],69)</f>
        <v/>
      </c>
      <c r="BS72">
        <f>SUMIFS(T_Shipments[Confirmed_Qty],T_Shipments[RM_Code],$A72,T_Shipments[Effective_Week],70)</f>
        <v/>
      </c>
      <c r="BT72">
        <f>SUMIFS(T_Shipments[Confirmed_Qty],T_Shipments[RM_Code],$A72,T_Shipments[Effective_Week],71)</f>
        <v/>
      </c>
      <c r="BU72">
        <f>SUMIFS(T_Shipments[Confirmed_Qty],T_Shipments[RM_Code],$A72,T_Shipments[Effective_Week],72)</f>
        <v/>
      </c>
      <c r="BV72">
        <f>SUMIFS(T_Shipments[Confirmed_Qty],T_Shipments[RM_Code],$A72,T_Shipments[Effective_Week],73)</f>
        <v/>
      </c>
      <c r="BW72">
        <f>SUMIFS(T_Shipments[Confirmed_Qty],T_Shipments[RM_Code],$A72,T_Shipments[Effective_Week],74)</f>
        <v/>
      </c>
      <c r="BX72">
        <f>SUMIFS(T_Shipments[Confirmed_Qty],T_Shipments[RM_Code],$A72,T_Shipments[Effective_Week],75)</f>
        <v/>
      </c>
      <c r="BY72">
        <f>SUMIFS(T_Shipments[Confirmed_Qty],T_Shipments[RM_Code],$A72,T_Shipments[Effective_Week],76)</f>
        <v/>
      </c>
      <c r="BZ72">
        <f>SUMIFS(T_Shipments[Confirmed_Qty],T_Shipments[RM_Code],$A72,T_Shipments[Effective_Week],77)</f>
        <v/>
      </c>
      <c r="CA72">
        <f>SUMIFS(T_Shipments[Confirmed_Qty],T_Shipments[RM_Code],$A72,T_Shipments[Effective_Week],78)</f>
        <v/>
      </c>
      <c r="CB72">
        <f>SUMIFS(T_Shipments[Confirmed_Qty],T_Shipments[RM_Code],$A72,T_Shipments[Effective_Week],79)</f>
        <v/>
      </c>
      <c r="CC72">
        <f>SUMIFS(T_Shipments[Confirmed_Qty],T_Shipments[RM_Code],$A72,T_Shipments[Effective_Week],80)</f>
        <v/>
      </c>
      <c r="CD72">
        <f>SUMIFS(T_Shipments[Confirmed_Qty],T_Shipments[RM_Code],$A72,T_Shipments[Effective_Week],81)</f>
        <v/>
      </c>
      <c r="CE72">
        <f>SUMIFS(T_Shipments[Confirmed_Qty],T_Shipments[RM_Code],$A72,T_Shipments[Effective_Week],82)</f>
        <v/>
      </c>
      <c r="CF72">
        <f>SUMIFS(T_Shipments[Confirmed_Qty],T_Shipments[RM_Code],$A72,T_Shipments[Effective_Week],83)</f>
        <v/>
      </c>
      <c r="CG72">
        <f>SUMIFS(T_Shipments[Confirmed_Qty],T_Shipments[RM_Code],$A72,T_Shipments[Effective_Week],84)</f>
        <v/>
      </c>
      <c r="CH72">
        <f>SUMIFS(T_Shipments[Confirmed_Qty],T_Shipments[RM_Code],$A72,T_Shipments[Effective_Week],85)</f>
        <v/>
      </c>
      <c r="CI72">
        <f>SUMIFS(T_Shipments[Confirmed_Qty],T_Shipments[RM_Code],$A72,T_Shipments[Effective_Week],86)</f>
        <v/>
      </c>
      <c r="CJ72">
        <f>SUMIFS(T_Shipments[Confirmed_Qty],T_Shipments[RM_Code],$A72,T_Shipments[Effective_Week],87)</f>
        <v/>
      </c>
      <c r="CK72">
        <f>SUMIFS(T_Shipments[Confirmed_Qty],T_Shipments[RM_Code],$A72,T_Shipments[Effective_Week],88)</f>
        <v/>
      </c>
      <c r="CL72">
        <f>SUMIFS(T_Shipments[Confirmed_Qty],T_Shipments[RM_Code],$A72,T_Shipments[Effective_Week],89)</f>
        <v/>
      </c>
      <c r="CM72">
        <f>SUMIFS(T_Shipments[Confirmed_Qty],T_Shipments[RM_Code],$A72,T_Shipments[Effective_Week],90)</f>
        <v/>
      </c>
      <c r="CN72">
        <f>SUMIFS(T_Shipments[Confirmed_Qty],T_Shipments[RM_Code],$A72,T_Shipments[Effective_Week],91)</f>
        <v/>
      </c>
      <c r="CO72">
        <f>SUMIFS(T_Shipments[Confirmed_Qty],T_Shipments[RM_Code],$A72,T_Shipments[Effective_Week],92)</f>
        <v/>
      </c>
      <c r="CP72">
        <f>SUMIFS(T_Shipments[Confirmed_Qty],T_Shipments[RM_Code],$A72,T_Shipments[Effective_Week],93)</f>
        <v/>
      </c>
      <c r="CQ72">
        <f>SUMIFS(T_Shipments[Confirmed_Qty],T_Shipments[RM_Code],$A72,T_Shipments[Effective_Week],94)</f>
        <v/>
      </c>
      <c r="CR72">
        <f>SUMIFS(T_Shipments[Confirmed_Qty],T_Shipments[RM_Code],$A72,T_Shipments[Effective_Week],95)</f>
        <v/>
      </c>
      <c r="CS72">
        <f>SUMIFS(T_Shipments[Confirmed_Qty],T_Shipments[RM_Code],$A72,T_Shipments[Effective_Week],96)</f>
        <v/>
      </c>
      <c r="CT72">
        <f>SUMIFS(T_Shipments[Confirmed_Qty],T_Shipments[RM_Code],$A72,T_Shipments[Effective_Week],97)</f>
        <v/>
      </c>
      <c r="CU72">
        <f>SUMIFS(T_Shipments[Confirmed_Qty],T_Shipments[RM_Code],$A72,T_Shipments[Effective_Week],98)</f>
        <v/>
      </c>
      <c r="CV72">
        <f>SUMIFS(T_Shipments[Confirmed_Qty],T_Shipments[RM_Code],$A72,T_Shipments[Effective_Week],99)</f>
        <v/>
      </c>
      <c r="CW72">
        <f>SUMIFS(T_Shipments[Confirmed_Qty],T_Shipments[RM_Code],$A72,T_Shipments[Effective_Week],100)</f>
        <v/>
      </c>
      <c r="CX72">
        <f>SUMIFS(T_Shipments[Confirmed_Qty],T_Shipments[RM_Code],$A72,T_Shipments[Effective_Week],101)</f>
        <v/>
      </c>
      <c r="CY72">
        <f>SUMIFS(T_Shipments[Confirmed_Qty],T_Shipments[RM_Code],$A72,T_Shipments[Effective_Week],102)</f>
        <v/>
      </c>
      <c r="CZ72">
        <f>SUMIFS(T_Shipments[Confirmed_Qty],T_Shipments[RM_Code],$A72,T_Shipments[Effective_Week],103)</f>
        <v/>
      </c>
      <c r="DA72">
        <f>SUMIFS(T_Shipments[Confirmed_Qty],T_Shipments[RM_Code],$A72,T_Shipments[Effective_Week],104)</f>
        <v/>
      </c>
    </row>
    <row r="73">
      <c r="A73" t="inlineStr">
        <is>
          <t>846227</t>
        </is>
      </c>
      <c r="B73">
        <f>SUMIFS(T_Shipments[Confirmed_Qty],T_Shipments[RM_Code],$A73,T_Shipments[Effective_Week],1)</f>
        <v/>
      </c>
      <c r="C73">
        <f>SUMIFS(T_Shipments[Confirmed_Qty],T_Shipments[RM_Code],$A73,T_Shipments[Effective_Week],2)</f>
        <v/>
      </c>
      <c r="D73">
        <f>SUMIFS(T_Shipments[Confirmed_Qty],T_Shipments[RM_Code],$A73,T_Shipments[Effective_Week],3)</f>
        <v/>
      </c>
      <c r="E73">
        <f>SUMIFS(T_Shipments[Confirmed_Qty],T_Shipments[RM_Code],$A73,T_Shipments[Effective_Week],4)</f>
        <v/>
      </c>
      <c r="F73">
        <f>SUMIFS(T_Shipments[Confirmed_Qty],T_Shipments[RM_Code],$A73,T_Shipments[Effective_Week],5)</f>
        <v/>
      </c>
      <c r="G73">
        <f>SUMIFS(T_Shipments[Confirmed_Qty],T_Shipments[RM_Code],$A73,T_Shipments[Effective_Week],6)</f>
        <v/>
      </c>
      <c r="H73">
        <f>SUMIFS(T_Shipments[Confirmed_Qty],T_Shipments[RM_Code],$A73,T_Shipments[Effective_Week],7)</f>
        <v/>
      </c>
      <c r="I73">
        <f>SUMIFS(T_Shipments[Confirmed_Qty],T_Shipments[RM_Code],$A73,T_Shipments[Effective_Week],8)</f>
        <v/>
      </c>
      <c r="J73">
        <f>SUMIFS(T_Shipments[Confirmed_Qty],T_Shipments[RM_Code],$A73,T_Shipments[Effective_Week],9)</f>
        <v/>
      </c>
      <c r="K73">
        <f>SUMIFS(T_Shipments[Confirmed_Qty],T_Shipments[RM_Code],$A73,T_Shipments[Effective_Week],10)</f>
        <v/>
      </c>
      <c r="L73">
        <f>SUMIFS(T_Shipments[Confirmed_Qty],T_Shipments[RM_Code],$A73,T_Shipments[Effective_Week],11)</f>
        <v/>
      </c>
      <c r="M73">
        <f>SUMIFS(T_Shipments[Confirmed_Qty],T_Shipments[RM_Code],$A73,T_Shipments[Effective_Week],12)</f>
        <v/>
      </c>
      <c r="N73">
        <f>SUMIFS(T_Shipments[Confirmed_Qty],T_Shipments[RM_Code],$A73,T_Shipments[Effective_Week],13)</f>
        <v/>
      </c>
      <c r="O73">
        <f>SUMIFS(T_Shipments[Confirmed_Qty],T_Shipments[RM_Code],$A73,T_Shipments[Effective_Week],14)</f>
        <v/>
      </c>
      <c r="P73">
        <f>SUMIFS(T_Shipments[Confirmed_Qty],T_Shipments[RM_Code],$A73,T_Shipments[Effective_Week],15)</f>
        <v/>
      </c>
      <c r="Q73">
        <f>SUMIFS(T_Shipments[Confirmed_Qty],T_Shipments[RM_Code],$A73,T_Shipments[Effective_Week],16)</f>
        <v/>
      </c>
      <c r="R73">
        <f>SUMIFS(T_Shipments[Confirmed_Qty],T_Shipments[RM_Code],$A73,T_Shipments[Effective_Week],17)</f>
        <v/>
      </c>
      <c r="S73">
        <f>SUMIFS(T_Shipments[Confirmed_Qty],T_Shipments[RM_Code],$A73,T_Shipments[Effective_Week],18)</f>
        <v/>
      </c>
      <c r="T73">
        <f>SUMIFS(T_Shipments[Confirmed_Qty],T_Shipments[RM_Code],$A73,T_Shipments[Effective_Week],19)</f>
        <v/>
      </c>
      <c r="U73">
        <f>SUMIFS(T_Shipments[Confirmed_Qty],T_Shipments[RM_Code],$A73,T_Shipments[Effective_Week],20)</f>
        <v/>
      </c>
      <c r="V73">
        <f>SUMIFS(T_Shipments[Confirmed_Qty],T_Shipments[RM_Code],$A73,T_Shipments[Effective_Week],21)</f>
        <v/>
      </c>
      <c r="W73">
        <f>SUMIFS(T_Shipments[Confirmed_Qty],T_Shipments[RM_Code],$A73,T_Shipments[Effective_Week],22)</f>
        <v/>
      </c>
      <c r="X73">
        <f>SUMIFS(T_Shipments[Confirmed_Qty],T_Shipments[RM_Code],$A73,T_Shipments[Effective_Week],23)</f>
        <v/>
      </c>
      <c r="Y73">
        <f>SUMIFS(T_Shipments[Confirmed_Qty],T_Shipments[RM_Code],$A73,T_Shipments[Effective_Week],24)</f>
        <v/>
      </c>
      <c r="Z73">
        <f>SUMIFS(T_Shipments[Confirmed_Qty],T_Shipments[RM_Code],$A73,T_Shipments[Effective_Week],25)</f>
        <v/>
      </c>
      <c r="AA73">
        <f>SUMIFS(T_Shipments[Confirmed_Qty],T_Shipments[RM_Code],$A73,T_Shipments[Effective_Week],26)</f>
        <v/>
      </c>
      <c r="AB73">
        <f>SUMIFS(T_Shipments[Confirmed_Qty],T_Shipments[RM_Code],$A73,T_Shipments[Effective_Week],27)</f>
        <v/>
      </c>
      <c r="AC73">
        <f>SUMIFS(T_Shipments[Confirmed_Qty],T_Shipments[RM_Code],$A73,T_Shipments[Effective_Week],28)</f>
        <v/>
      </c>
      <c r="AD73">
        <f>SUMIFS(T_Shipments[Confirmed_Qty],T_Shipments[RM_Code],$A73,T_Shipments[Effective_Week],29)</f>
        <v/>
      </c>
      <c r="AE73">
        <f>SUMIFS(T_Shipments[Confirmed_Qty],T_Shipments[RM_Code],$A73,T_Shipments[Effective_Week],30)</f>
        <v/>
      </c>
      <c r="AF73">
        <f>SUMIFS(T_Shipments[Confirmed_Qty],T_Shipments[RM_Code],$A73,T_Shipments[Effective_Week],31)</f>
        <v/>
      </c>
      <c r="AG73">
        <f>SUMIFS(T_Shipments[Confirmed_Qty],T_Shipments[RM_Code],$A73,T_Shipments[Effective_Week],32)</f>
        <v/>
      </c>
      <c r="AH73">
        <f>SUMIFS(T_Shipments[Confirmed_Qty],T_Shipments[RM_Code],$A73,T_Shipments[Effective_Week],33)</f>
        <v/>
      </c>
      <c r="AI73">
        <f>SUMIFS(T_Shipments[Confirmed_Qty],T_Shipments[RM_Code],$A73,T_Shipments[Effective_Week],34)</f>
        <v/>
      </c>
      <c r="AJ73">
        <f>SUMIFS(T_Shipments[Confirmed_Qty],T_Shipments[RM_Code],$A73,T_Shipments[Effective_Week],35)</f>
        <v/>
      </c>
      <c r="AK73">
        <f>SUMIFS(T_Shipments[Confirmed_Qty],T_Shipments[RM_Code],$A73,T_Shipments[Effective_Week],36)</f>
        <v/>
      </c>
      <c r="AL73">
        <f>SUMIFS(T_Shipments[Confirmed_Qty],T_Shipments[RM_Code],$A73,T_Shipments[Effective_Week],37)</f>
        <v/>
      </c>
      <c r="AM73">
        <f>SUMIFS(T_Shipments[Confirmed_Qty],T_Shipments[RM_Code],$A73,T_Shipments[Effective_Week],38)</f>
        <v/>
      </c>
      <c r="AN73">
        <f>SUMIFS(T_Shipments[Confirmed_Qty],T_Shipments[RM_Code],$A73,T_Shipments[Effective_Week],39)</f>
        <v/>
      </c>
      <c r="AO73">
        <f>SUMIFS(T_Shipments[Confirmed_Qty],T_Shipments[RM_Code],$A73,T_Shipments[Effective_Week],40)</f>
        <v/>
      </c>
      <c r="AP73">
        <f>SUMIFS(T_Shipments[Confirmed_Qty],T_Shipments[RM_Code],$A73,T_Shipments[Effective_Week],41)</f>
        <v/>
      </c>
      <c r="AQ73">
        <f>SUMIFS(T_Shipments[Confirmed_Qty],T_Shipments[RM_Code],$A73,T_Shipments[Effective_Week],42)</f>
        <v/>
      </c>
      <c r="AR73">
        <f>SUMIFS(T_Shipments[Confirmed_Qty],T_Shipments[RM_Code],$A73,T_Shipments[Effective_Week],43)</f>
        <v/>
      </c>
      <c r="AS73">
        <f>SUMIFS(T_Shipments[Confirmed_Qty],T_Shipments[RM_Code],$A73,T_Shipments[Effective_Week],44)</f>
        <v/>
      </c>
      <c r="AT73">
        <f>SUMIFS(T_Shipments[Confirmed_Qty],T_Shipments[RM_Code],$A73,T_Shipments[Effective_Week],45)</f>
        <v/>
      </c>
      <c r="AU73">
        <f>SUMIFS(T_Shipments[Confirmed_Qty],T_Shipments[RM_Code],$A73,T_Shipments[Effective_Week],46)</f>
        <v/>
      </c>
      <c r="AV73">
        <f>SUMIFS(T_Shipments[Confirmed_Qty],T_Shipments[RM_Code],$A73,T_Shipments[Effective_Week],47)</f>
        <v/>
      </c>
      <c r="AW73">
        <f>SUMIFS(T_Shipments[Confirmed_Qty],T_Shipments[RM_Code],$A73,T_Shipments[Effective_Week],48)</f>
        <v/>
      </c>
      <c r="AX73">
        <f>SUMIFS(T_Shipments[Confirmed_Qty],T_Shipments[RM_Code],$A73,T_Shipments[Effective_Week],49)</f>
        <v/>
      </c>
      <c r="AY73">
        <f>SUMIFS(T_Shipments[Confirmed_Qty],T_Shipments[RM_Code],$A73,T_Shipments[Effective_Week],50)</f>
        <v/>
      </c>
      <c r="AZ73">
        <f>SUMIFS(T_Shipments[Confirmed_Qty],T_Shipments[RM_Code],$A73,T_Shipments[Effective_Week],51)</f>
        <v/>
      </c>
      <c r="BA73">
        <f>SUMIFS(T_Shipments[Confirmed_Qty],T_Shipments[RM_Code],$A73,T_Shipments[Effective_Week],52)</f>
        <v/>
      </c>
      <c r="BB73">
        <f>SUMIFS(T_Shipments[Confirmed_Qty],T_Shipments[RM_Code],$A73,T_Shipments[Effective_Week],53)</f>
        <v/>
      </c>
      <c r="BC73">
        <f>SUMIFS(T_Shipments[Confirmed_Qty],T_Shipments[RM_Code],$A73,T_Shipments[Effective_Week],54)</f>
        <v/>
      </c>
      <c r="BD73">
        <f>SUMIFS(T_Shipments[Confirmed_Qty],T_Shipments[RM_Code],$A73,T_Shipments[Effective_Week],55)</f>
        <v/>
      </c>
      <c r="BE73">
        <f>SUMIFS(T_Shipments[Confirmed_Qty],T_Shipments[RM_Code],$A73,T_Shipments[Effective_Week],56)</f>
        <v/>
      </c>
      <c r="BF73">
        <f>SUMIFS(T_Shipments[Confirmed_Qty],T_Shipments[RM_Code],$A73,T_Shipments[Effective_Week],57)</f>
        <v/>
      </c>
      <c r="BG73">
        <f>SUMIFS(T_Shipments[Confirmed_Qty],T_Shipments[RM_Code],$A73,T_Shipments[Effective_Week],58)</f>
        <v/>
      </c>
      <c r="BH73">
        <f>SUMIFS(T_Shipments[Confirmed_Qty],T_Shipments[RM_Code],$A73,T_Shipments[Effective_Week],59)</f>
        <v/>
      </c>
      <c r="BI73">
        <f>SUMIFS(T_Shipments[Confirmed_Qty],T_Shipments[RM_Code],$A73,T_Shipments[Effective_Week],60)</f>
        <v/>
      </c>
      <c r="BJ73">
        <f>SUMIFS(T_Shipments[Confirmed_Qty],T_Shipments[RM_Code],$A73,T_Shipments[Effective_Week],61)</f>
        <v/>
      </c>
      <c r="BK73">
        <f>SUMIFS(T_Shipments[Confirmed_Qty],T_Shipments[RM_Code],$A73,T_Shipments[Effective_Week],62)</f>
        <v/>
      </c>
      <c r="BL73">
        <f>SUMIFS(T_Shipments[Confirmed_Qty],T_Shipments[RM_Code],$A73,T_Shipments[Effective_Week],63)</f>
        <v/>
      </c>
      <c r="BM73">
        <f>SUMIFS(T_Shipments[Confirmed_Qty],T_Shipments[RM_Code],$A73,T_Shipments[Effective_Week],64)</f>
        <v/>
      </c>
      <c r="BN73">
        <f>SUMIFS(T_Shipments[Confirmed_Qty],T_Shipments[RM_Code],$A73,T_Shipments[Effective_Week],65)</f>
        <v/>
      </c>
      <c r="BO73">
        <f>SUMIFS(T_Shipments[Confirmed_Qty],T_Shipments[RM_Code],$A73,T_Shipments[Effective_Week],66)</f>
        <v/>
      </c>
      <c r="BP73">
        <f>SUMIFS(T_Shipments[Confirmed_Qty],T_Shipments[RM_Code],$A73,T_Shipments[Effective_Week],67)</f>
        <v/>
      </c>
      <c r="BQ73">
        <f>SUMIFS(T_Shipments[Confirmed_Qty],T_Shipments[RM_Code],$A73,T_Shipments[Effective_Week],68)</f>
        <v/>
      </c>
      <c r="BR73">
        <f>SUMIFS(T_Shipments[Confirmed_Qty],T_Shipments[RM_Code],$A73,T_Shipments[Effective_Week],69)</f>
        <v/>
      </c>
      <c r="BS73">
        <f>SUMIFS(T_Shipments[Confirmed_Qty],T_Shipments[RM_Code],$A73,T_Shipments[Effective_Week],70)</f>
        <v/>
      </c>
      <c r="BT73">
        <f>SUMIFS(T_Shipments[Confirmed_Qty],T_Shipments[RM_Code],$A73,T_Shipments[Effective_Week],71)</f>
        <v/>
      </c>
      <c r="BU73">
        <f>SUMIFS(T_Shipments[Confirmed_Qty],T_Shipments[RM_Code],$A73,T_Shipments[Effective_Week],72)</f>
        <v/>
      </c>
      <c r="BV73">
        <f>SUMIFS(T_Shipments[Confirmed_Qty],T_Shipments[RM_Code],$A73,T_Shipments[Effective_Week],73)</f>
        <v/>
      </c>
      <c r="BW73">
        <f>SUMIFS(T_Shipments[Confirmed_Qty],T_Shipments[RM_Code],$A73,T_Shipments[Effective_Week],74)</f>
        <v/>
      </c>
      <c r="BX73">
        <f>SUMIFS(T_Shipments[Confirmed_Qty],T_Shipments[RM_Code],$A73,T_Shipments[Effective_Week],75)</f>
        <v/>
      </c>
      <c r="BY73">
        <f>SUMIFS(T_Shipments[Confirmed_Qty],T_Shipments[RM_Code],$A73,T_Shipments[Effective_Week],76)</f>
        <v/>
      </c>
      <c r="BZ73">
        <f>SUMIFS(T_Shipments[Confirmed_Qty],T_Shipments[RM_Code],$A73,T_Shipments[Effective_Week],77)</f>
        <v/>
      </c>
      <c r="CA73">
        <f>SUMIFS(T_Shipments[Confirmed_Qty],T_Shipments[RM_Code],$A73,T_Shipments[Effective_Week],78)</f>
        <v/>
      </c>
      <c r="CB73">
        <f>SUMIFS(T_Shipments[Confirmed_Qty],T_Shipments[RM_Code],$A73,T_Shipments[Effective_Week],79)</f>
        <v/>
      </c>
      <c r="CC73">
        <f>SUMIFS(T_Shipments[Confirmed_Qty],T_Shipments[RM_Code],$A73,T_Shipments[Effective_Week],80)</f>
        <v/>
      </c>
      <c r="CD73">
        <f>SUMIFS(T_Shipments[Confirmed_Qty],T_Shipments[RM_Code],$A73,T_Shipments[Effective_Week],81)</f>
        <v/>
      </c>
      <c r="CE73">
        <f>SUMIFS(T_Shipments[Confirmed_Qty],T_Shipments[RM_Code],$A73,T_Shipments[Effective_Week],82)</f>
        <v/>
      </c>
      <c r="CF73">
        <f>SUMIFS(T_Shipments[Confirmed_Qty],T_Shipments[RM_Code],$A73,T_Shipments[Effective_Week],83)</f>
        <v/>
      </c>
      <c r="CG73">
        <f>SUMIFS(T_Shipments[Confirmed_Qty],T_Shipments[RM_Code],$A73,T_Shipments[Effective_Week],84)</f>
        <v/>
      </c>
      <c r="CH73">
        <f>SUMIFS(T_Shipments[Confirmed_Qty],T_Shipments[RM_Code],$A73,T_Shipments[Effective_Week],85)</f>
        <v/>
      </c>
      <c r="CI73">
        <f>SUMIFS(T_Shipments[Confirmed_Qty],T_Shipments[RM_Code],$A73,T_Shipments[Effective_Week],86)</f>
        <v/>
      </c>
      <c r="CJ73">
        <f>SUMIFS(T_Shipments[Confirmed_Qty],T_Shipments[RM_Code],$A73,T_Shipments[Effective_Week],87)</f>
        <v/>
      </c>
      <c r="CK73">
        <f>SUMIFS(T_Shipments[Confirmed_Qty],T_Shipments[RM_Code],$A73,T_Shipments[Effective_Week],88)</f>
        <v/>
      </c>
      <c r="CL73">
        <f>SUMIFS(T_Shipments[Confirmed_Qty],T_Shipments[RM_Code],$A73,T_Shipments[Effective_Week],89)</f>
        <v/>
      </c>
      <c r="CM73">
        <f>SUMIFS(T_Shipments[Confirmed_Qty],T_Shipments[RM_Code],$A73,T_Shipments[Effective_Week],90)</f>
        <v/>
      </c>
      <c r="CN73">
        <f>SUMIFS(T_Shipments[Confirmed_Qty],T_Shipments[RM_Code],$A73,T_Shipments[Effective_Week],91)</f>
        <v/>
      </c>
      <c r="CO73">
        <f>SUMIFS(T_Shipments[Confirmed_Qty],T_Shipments[RM_Code],$A73,T_Shipments[Effective_Week],92)</f>
        <v/>
      </c>
      <c r="CP73">
        <f>SUMIFS(T_Shipments[Confirmed_Qty],T_Shipments[RM_Code],$A73,T_Shipments[Effective_Week],93)</f>
        <v/>
      </c>
      <c r="CQ73">
        <f>SUMIFS(T_Shipments[Confirmed_Qty],T_Shipments[RM_Code],$A73,T_Shipments[Effective_Week],94)</f>
        <v/>
      </c>
      <c r="CR73">
        <f>SUMIFS(T_Shipments[Confirmed_Qty],T_Shipments[RM_Code],$A73,T_Shipments[Effective_Week],95)</f>
        <v/>
      </c>
      <c r="CS73">
        <f>SUMIFS(T_Shipments[Confirmed_Qty],T_Shipments[RM_Code],$A73,T_Shipments[Effective_Week],96)</f>
        <v/>
      </c>
      <c r="CT73">
        <f>SUMIFS(T_Shipments[Confirmed_Qty],T_Shipments[RM_Code],$A73,T_Shipments[Effective_Week],97)</f>
        <v/>
      </c>
      <c r="CU73">
        <f>SUMIFS(T_Shipments[Confirmed_Qty],T_Shipments[RM_Code],$A73,T_Shipments[Effective_Week],98)</f>
        <v/>
      </c>
      <c r="CV73">
        <f>SUMIFS(T_Shipments[Confirmed_Qty],T_Shipments[RM_Code],$A73,T_Shipments[Effective_Week],99)</f>
        <v/>
      </c>
      <c r="CW73">
        <f>SUMIFS(T_Shipments[Confirmed_Qty],T_Shipments[RM_Code],$A73,T_Shipments[Effective_Week],100)</f>
        <v/>
      </c>
      <c r="CX73">
        <f>SUMIFS(T_Shipments[Confirmed_Qty],T_Shipments[RM_Code],$A73,T_Shipments[Effective_Week],101)</f>
        <v/>
      </c>
      <c r="CY73">
        <f>SUMIFS(T_Shipments[Confirmed_Qty],T_Shipments[RM_Code],$A73,T_Shipments[Effective_Week],102)</f>
        <v/>
      </c>
      <c r="CZ73">
        <f>SUMIFS(T_Shipments[Confirmed_Qty],T_Shipments[RM_Code],$A73,T_Shipments[Effective_Week],103)</f>
        <v/>
      </c>
      <c r="DA73">
        <f>SUMIFS(T_Shipments[Confirmed_Qty],T_Shipments[RM_Code],$A73,T_Shipments[Effective_Week],104)</f>
        <v/>
      </c>
    </row>
    <row r="74">
      <c r="A74" t="inlineStr">
        <is>
          <t>OLJ</t>
        </is>
      </c>
      <c r="B74">
        <f>SUMIFS(T_Shipments[Confirmed_Qty],T_Shipments[RM_Code],$A74,T_Shipments[Effective_Week],1)</f>
        <v/>
      </c>
      <c r="C74">
        <f>SUMIFS(T_Shipments[Confirmed_Qty],T_Shipments[RM_Code],$A74,T_Shipments[Effective_Week],2)</f>
        <v/>
      </c>
      <c r="D74">
        <f>SUMIFS(T_Shipments[Confirmed_Qty],T_Shipments[RM_Code],$A74,T_Shipments[Effective_Week],3)</f>
        <v/>
      </c>
      <c r="E74">
        <f>SUMIFS(T_Shipments[Confirmed_Qty],T_Shipments[RM_Code],$A74,T_Shipments[Effective_Week],4)</f>
        <v/>
      </c>
      <c r="F74">
        <f>SUMIFS(T_Shipments[Confirmed_Qty],T_Shipments[RM_Code],$A74,T_Shipments[Effective_Week],5)</f>
        <v/>
      </c>
      <c r="G74">
        <f>SUMIFS(T_Shipments[Confirmed_Qty],T_Shipments[RM_Code],$A74,T_Shipments[Effective_Week],6)</f>
        <v/>
      </c>
      <c r="H74">
        <f>SUMIFS(T_Shipments[Confirmed_Qty],T_Shipments[RM_Code],$A74,T_Shipments[Effective_Week],7)</f>
        <v/>
      </c>
      <c r="I74">
        <f>SUMIFS(T_Shipments[Confirmed_Qty],T_Shipments[RM_Code],$A74,T_Shipments[Effective_Week],8)</f>
        <v/>
      </c>
      <c r="J74">
        <f>SUMIFS(T_Shipments[Confirmed_Qty],T_Shipments[RM_Code],$A74,T_Shipments[Effective_Week],9)</f>
        <v/>
      </c>
      <c r="K74">
        <f>SUMIFS(T_Shipments[Confirmed_Qty],T_Shipments[RM_Code],$A74,T_Shipments[Effective_Week],10)</f>
        <v/>
      </c>
      <c r="L74">
        <f>SUMIFS(T_Shipments[Confirmed_Qty],T_Shipments[RM_Code],$A74,T_Shipments[Effective_Week],11)</f>
        <v/>
      </c>
      <c r="M74">
        <f>SUMIFS(T_Shipments[Confirmed_Qty],T_Shipments[RM_Code],$A74,T_Shipments[Effective_Week],12)</f>
        <v/>
      </c>
      <c r="N74">
        <f>SUMIFS(T_Shipments[Confirmed_Qty],T_Shipments[RM_Code],$A74,T_Shipments[Effective_Week],13)</f>
        <v/>
      </c>
      <c r="O74">
        <f>SUMIFS(T_Shipments[Confirmed_Qty],T_Shipments[RM_Code],$A74,T_Shipments[Effective_Week],14)</f>
        <v/>
      </c>
      <c r="P74">
        <f>SUMIFS(T_Shipments[Confirmed_Qty],T_Shipments[RM_Code],$A74,T_Shipments[Effective_Week],15)</f>
        <v/>
      </c>
      <c r="Q74">
        <f>SUMIFS(T_Shipments[Confirmed_Qty],T_Shipments[RM_Code],$A74,T_Shipments[Effective_Week],16)</f>
        <v/>
      </c>
      <c r="R74">
        <f>SUMIFS(T_Shipments[Confirmed_Qty],T_Shipments[RM_Code],$A74,T_Shipments[Effective_Week],17)</f>
        <v/>
      </c>
      <c r="S74">
        <f>SUMIFS(T_Shipments[Confirmed_Qty],T_Shipments[RM_Code],$A74,T_Shipments[Effective_Week],18)</f>
        <v/>
      </c>
      <c r="T74">
        <f>SUMIFS(T_Shipments[Confirmed_Qty],T_Shipments[RM_Code],$A74,T_Shipments[Effective_Week],19)</f>
        <v/>
      </c>
      <c r="U74">
        <f>SUMIFS(T_Shipments[Confirmed_Qty],T_Shipments[RM_Code],$A74,T_Shipments[Effective_Week],20)</f>
        <v/>
      </c>
      <c r="V74">
        <f>SUMIFS(T_Shipments[Confirmed_Qty],T_Shipments[RM_Code],$A74,T_Shipments[Effective_Week],21)</f>
        <v/>
      </c>
      <c r="W74">
        <f>SUMIFS(T_Shipments[Confirmed_Qty],T_Shipments[RM_Code],$A74,T_Shipments[Effective_Week],22)</f>
        <v/>
      </c>
      <c r="X74">
        <f>SUMIFS(T_Shipments[Confirmed_Qty],T_Shipments[RM_Code],$A74,T_Shipments[Effective_Week],23)</f>
        <v/>
      </c>
      <c r="Y74">
        <f>SUMIFS(T_Shipments[Confirmed_Qty],T_Shipments[RM_Code],$A74,T_Shipments[Effective_Week],24)</f>
        <v/>
      </c>
      <c r="Z74">
        <f>SUMIFS(T_Shipments[Confirmed_Qty],T_Shipments[RM_Code],$A74,T_Shipments[Effective_Week],25)</f>
        <v/>
      </c>
      <c r="AA74">
        <f>SUMIFS(T_Shipments[Confirmed_Qty],T_Shipments[RM_Code],$A74,T_Shipments[Effective_Week],26)</f>
        <v/>
      </c>
      <c r="AB74">
        <f>SUMIFS(T_Shipments[Confirmed_Qty],T_Shipments[RM_Code],$A74,T_Shipments[Effective_Week],27)</f>
        <v/>
      </c>
      <c r="AC74">
        <f>SUMIFS(T_Shipments[Confirmed_Qty],T_Shipments[RM_Code],$A74,T_Shipments[Effective_Week],28)</f>
        <v/>
      </c>
      <c r="AD74">
        <f>SUMIFS(T_Shipments[Confirmed_Qty],T_Shipments[RM_Code],$A74,T_Shipments[Effective_Week],29)</f>
        <v/>
      </c>
      <c r="AE74">
        <f>SUMIFS(T_Shipments[Confirmed_Qty],T_Shipments[RM_Code],$A74,T_Shipments[Effective_Week],30)</f>
        <v/>
      </c>
      <c r="AF74">
        <f>SUMIFS(T_Shipments[Confirmed_Qty],T_Shipments[RM_Code],$A74,T_Shipments[Effective_Week],31)</f>
        <v/>
      </c>
      <c r="AG74">
        <f>SUMIFS(T_Shipments[Confirmed_Qty],T_Shipments[RM_Code],$A74,T_Shipments[Effective_Week],32)</f>
        <v/>
      </c>
      <c r="AH74">
        <f>SUMIFS(T_Shipments[Confirmed_Qty],T_Shipments[RM_Code],$A74,T_Shipments[Effective_Week],33)</f>
        <v/>
      </c>
      <c r="AI74">
        <f>SUMIFS(T_Shipments[Confirmed_Qty],T_Shipments[RM_Code],$A74,T_Shipments[Effective_Week],34)</f>
        <v/>
      </c>
      <c r="AJ74">
        <f>SUMIFS(T_Shipments[Confirmed_Qty],T_Shipments[RM_Code],$A74,T_Shipments[Effective_Week],35)</f>
        <v/>
      </c>
      <c r="AK74">
        <f>SUMIFS(T_Shipments[Confirmed_Qty],T_Shipments[RM_Code],$A74,T_Shipments[Effective_Week],36)</f>
        <v/>
      </c>
      <c r="AL74">
        <f>SUMIFS(T_Shipments[Confirmed_Qty],T_Shipments[RM_Code],$A74,T_Shipments[Effective_Week],37)</f>
        <v/>
      </c>
      <c r="AM74">
        <f>SUMIFS(T_Shipments[Confirmed_Qty],T_Shipments[RM_Code],$A74,T_Shipments[Effective_Week],38)</f>
        <v/>
      </c>
      <c r="AN74">
        <f>SUMIFS(T_Shipments[Confirmed_Qty],T_Shipments[RM_Code],$A74,T_Shipments[Effective_Week],39)</f>
        <v/>
      </c>
      <c r="AO74">
        <f>SUMIFS(T_Shipments[Confirmed_Qty],T_Shipments[RM_Code],$A74,T_Shipments[Effective_Week],40)</f>
        <v/>
      </c>
      <c r="AP74">
        <f>SUMIFS(T_Shipments[Confirmed_Qty],T_Shipments[RM_Code],$A74,T_Shipments[Effective_Week],41)</f>
        <v/>
      </c>
      <c r="AQ74">
        <f>SUMIFS(T_Shipments[Confirmed_Qty],T_Shipments[RM_Code],$A74,T_Shipments[Effective_Week],42)</f>
        <v/>
      </c>
      <c r="AR74">
        <f>SUMIFS(T_Shipments[Confirmed_Qty],T_Shipments[RM_Code],$A74,T_Shipments[Effective_Week],43)</f>
        <v/>
      </c>
      <c r="AS74">
        <f>SUMIFS(T_Shipments[Confirmed_Qty],T_Shipments[RM_Code],$A74,T_Shipments[Effective_Week],44)</f>
        <v/>
      </c>
      <c r="AT74">
        <f>SUMIFS(T_Shipments[Confirmed_Qty],T_Shipments[RM_Code],$A74,T_Shipments[Effective_Week],45)</f>
        <v/>
      </c>
      <c r="AU74">
        <f>SUMIFS(T_Shipments[Confirmed_Qty],T_Shipments[RM_Code],$A74,T_Shipments[Effective_Week],46)</f>
        <v/>
      </c>
      <c r="AV74">
        <f>SUMIFS(T_Shipments[Confirmed_Qty],T_Shipments[RM_Code],$A74,T_Shipments[Effective_Week],47)</f>
        <v/>
      </c>
      <c r="AW74">
        <f>SUMIFS(T_Shipments[Confirmed_Qty],T_Shipments[RM_Code],$A74,T_Shipments[Effective_Week],48)</f>
        <v/>
      </c>
      <c r="AX74">
        <f>SUMIFS(T_Shipments[Confirmed_Qty],T_Shipments[RM_Code],$A74,T_Shipments[Effective_Week],49)</f>
        <v/>
      </c>
      <c r="AY74">
        <f>SUMIFS(T_Shipments[Confirmed_Qty],T_Shipments[RM_Code],$A74,T_Shipments[Effective_Week],50)</f>
        <v/>
      </c>
      <c r="AZ74">
        <f>SUMIFS(T_Shipments[Confirmed_Qty],T_Shipments[RM_Code],$A74,T_Shipments[Effective_Week],51)</f>
        <v/>
      </c>
      <c r="BA74">
        <f>SUMIFS(T_Shipments[Confirmed_Qty],T_Shipments[RM_Code],$A74,T_Shipments[Effective_Week],52)</f>
        <v/>
      </c>
      <c r="BB74">
        <f>SUMIFS(T_Shipments[Confirmed_Qty],T_Shipments[RM_Code],$A74,T_Shipments[Effective_Week],53)</f>
        <v/>
      </c>
      <c r="BC74">
        <f>SUMIFS(T_Shipments[Confirmed_Qty],T_Shipments[RM_Code],$A74,T_Shipments[Effective_Week],54)</f>
        <v/>
      </c>
      <c r="BD74">
        <f>SUMIFS(T_Shipments[Confirmed_Qty],T_Shipments[RM_Code],$A74,T_Shipments[Effective_Week],55)</f>
        <v/>
      </c>
      <c r="BE74">
        <f>SUMIFS(T_Shipments[Confirmed_Qty],T_Shipments[RM_Code],$A74,T_Shipments[Effective_Week],56)</f>
        <v/>
      </c>
      <c r="BF74">
        <f>SUMIFS(T_Shipments[Confirmed_Qty],T_Shipments[RM_Code],$A74,T_Shipments[Effective_Week],57)</f>
        <v/>
      </c>
      <c r="BG74">
        <f>SUMIFS(T_Shipments[Confirmed_Qty],T_Shipments[RM_Code],$A74,T_Shipments[Effective_Week],58)</f>
        <v/>
      </c>
      <c r="BH74">
        <f>SUMIFS(T_Shipments[Confirmed_Qty],T_Shipments[RM_Code],$A74,T_Shipments[Effective_Week],59)</f>
        <v/>
      </c>
      <c r="BI74">
        <f>SUMIFS(T_Shipments[Confirmed_Qty],T_Shipments[RM_Code],$A74,T_Shipments[Effective_Week],60)</f>
        <v/>
      </c>
      <c r="BJ74">
        <f>SUMIFS(T_Shipments[Confirmed_Qty],T_Shipments[RM_Code],$A74,T_Shipments[Effective_Week],61)</f>
        <v/>
      </c>
      <c r="BK74">
        <f>SUMIFS(T_Shipments[Confirmed_Qty],T_Shipments[RM_Code],$A74,T_Shipments[Effective_Week],62)</f>
        <v/>
      </c>
      <c r="BL74">
        <f>SUMIFS(T_Shipments[Confirmed_Qty],T_Shipments[RM_Code],$A74,T_Shipments[Effective_Week],63)</f>
        <v/>
      </c>
      <c r="BM74">
        <f>SUMIFS(T_Shipments[Confirmed_Qty],T_Shipments[RM_Code],$A74,T_Shipments[Effective_Week],64)</f>
        <v/>
      </c>
      <c r="BN74">
        <f>SUMIFS(T_Shipments[Confirmed_Qty],T_Shipments[RM_Code],$A74,T_Shipments[Effective_Week],65)</f>
        <v/>
      </c>
      <c r="BO74">
        <f>SUMIFS(T_Shipments[Confirmed_Qty],T_Shipments[RM_Code],$A74,T_Shipments[Effective_Week],66)</f>
        <v/>
      </c>
      <c r="BP74">
        <f>SUMIFS(T_Shipments[Confirmed_Qty],T_Shipments[RM_Code],$A74,T_Shipments[Effective_Week],67)</f>
        <v/>
      </c>
      <c r="BQ74">
        <f>SUMIFS(T_Shipments[Confirmed_Qty],T_Shipments[RM_Code],$A74,T_Shipments[Effective_Week],68)</f>
        <v/>
      </c>
      <c r="BR74">
        <f>SUMIFS(T_Shipments[Confirmed_Qty],T_Shipments[RM_Code],$A74,T_Shipments[Effective_Week],69)</f>
        <v/>
      </c>
      <c r="BS74">
        <f>SUMIFS(T_Shipments[Confirmed_Qty],T_Shipments[RM_Code],$A74,T_Shipments[Effective_Week],70)</f>
        <v/>
      </c>
      <c r="BT74">
        <f>SUMIFS(T_Shipments[Confirmed_Qty],T_Shipments[RM_Code],$A74,T_Shipments[Effective_Week],71)</f>
        <v/>
      </c>
      <c r="BU74">
        <f>SUMIFS(T_Shipments[Confirmed_Qty],T_Shipments[RM_Code],$A74,T_Shipments[Effective_Week],72)</f>
        <v/>
      </c>
      <c r="BV74">
        <f>SUMIFS(T_Shipments[Confirmed_Qty],T_Shipments[RM_Code],$A74,T_Shipments[Effective_Week],73)</f>
        <v/>
      </c>
      <c r="BW74">
        <f>SUMIFS(T_Shipments[Confirmed_Qty],T_Shipments[RM_Code],$A74,T_Shipments[Effective_Week],74)</f>
        <v/>
      </c>
      <c r="BX74">
        <f>SUMIFS(T_Shipments[Confirmed_Qty],T_Shipments[RM_Code],$A74,T_Shipments[Effective_Week],75)</f>
        <v/>
      </c>
      <c r="BY74">
        <f>SUMIFS(T_Shipments[Confirmed_Qty],T_Shipments[RM_Code],$A74,T_Shipments[Effective_Week],76)</f>
        <v/>
      </c>
      <c r="BZ74">
        <f>SUMIFS(T_Shipments[Confirmed_Qty],T_Shipments[RM_Code],$A74,T_Shipments[Effective_Week],77)</f>
        <v/>
      </c>
      <c r="CA74">
        <f>SUMIFS(T_Shipments[Confirmed_Qty],T_Shipments[RM_Code],$A74,T_Shipments[Effective_Week],78)</f>
        <v/>
      </c>
      <c r="CB74">
        <f>SUMIFS(T_Shipments[Confirmed_Qty],T_Shipments[RM_Code],$A74,T_Shipments[Effective_Week],79)</f>
        <v/>
      </c>
      <c r="CC74">
        <f>SUMIFS(T_Shipments[Confirmed_Qty],T_Shipments[RM_Code],$A74,T_Shipments[Effective_Week],80)</f>
        <v/>
      </c>
      <c r="CD74">
        <f>SUMIFS(T_Shipments[Confirmed_Qty],T_Shipments[RM_Code],$A74,T_Shipments[Effective_Week],81)</f>
        <v/>
      </c>
      <c r="CE74">
        <f>SUMIFS(T_Shipments[Confirmed_Qty],T_Shipments[RM_Code],$A74,T_Shipments[Effective_Week],82)</f>
        <v/>
      </c>
      <c r="CF74">
        <f>SUMIFS(T_Shipments[Confirmed_Qty],T_Shipments[RM_Code],$A74,T_Shipments[Effective_Week],83)</f>
        <v/>
      </c>
      <c r="CG74">
        <f>SUMIFS(T_Shipments[Confirmed_Qty],T_Shipments[RM_Code],$A74,T_Shipments[Effective_Week],84)</f>
        <v/>
      </c>
      <c r="CH74">
        <f>SUMIFS(T_Shipments[Confirmed_Qty],T_Shipments[RM_Code],$A74,T_Shipments[Effective_Week],85)</f>
        <v/>
      </c>
      <c r="CI74">
        <f>SUMIFS(T_Shipments[Confirmed_Qty],T_Shipments[RM_Code],$A74,T_Shipments[Effective_Week],86)</f>
        <v/>
      </c>
      <c r="CJ74">
        <f>SUMIFS(T_Shipments[Confirmed_Qty],T_Shipments[RM_Code],$A74,T_Shipments[Effective_Week],87)</f>
        <v/>
      </c>
      <c r="CK74">
        <f>SUMIFS(T_Shipments[Confirmed_Qty],T_Shipments[RM_Code],$A74,T_Shipments[Effective_Week],88)</f>
        <v/>
      </c>
      <c r="CL74">
        <f>SUMIFS(T_Shipments[Confirmed_Qty],T_Shipments[RM_Code],$A74,T_Shipments[Effective_Week],89)</f>
        <v/>
      </c>
      <c r="CM74">
        <f>SUMIFS(T_Shipments[Confirmed_Qty],T_Shipments[RM_Code],$A74,T_Shipments[Effective_Week],90)</f>
        <v/>
      </c>
      <c r="CN74">
        <f>SUMIFS(T_Shipments[Confirmed_Qty],T_Shipments[RM_Code],$A74,T_Shipments[Effective_Week],91)</f>
        <v/>
      </c>
      <c r="CO74">
        <f>SUMIFS(T_Shipments[Confirmed_Qty],T_Shipments[RM_Code],$A74,T_Shipments[Effective_Week],92)</f>
        <v/>
      </c>
      <c r="CP74">
        <f>SUMIFS(T_Shipments[Confirmed_Qty],T_Shipments[RM_Code],$A74,T_Shipments[Effective_Week],93)</f>
        <v/>
      </c>
      <c r="CQ74">
        <f>SUMIFS(T_Shipments[Confirmed_Qty],T_Shipments[RM_Code],$A74,T_Shipments[Effective_Week],94)</f>
        <v/>
      </c>
      <c r="CR74">
        <f>SUMIFS(T_Shipments[Confirmed_Qty],T_Shipments[RM_Code],$A74,T_Shipments[Effective_Week],95)</f>
        <v/>
      </c>
      <c r="CS74">
        <f>SUMIFS(T_Shipments[Confirmed_Qty],T_Shipments[RM_Code],$A74,T_Shipments[Effective_Week],96)</f>
        <v/>
      </c>
      <c r="CT74">
        <f>SUMIFS(T_Shipments[Confirmed_Qty],T_Shipments[RM_Code],$A74,T_Shipments[Effective_Week],97)</f>
        <v/>
      </c>
      <c r="CU74">
        <f>SUMIFS(T_Shipments[Confirmed_Qty],T_Shipments[RM_Code],$A74,T_Shipments[Effective_Week],98)</f>
        <v/>
      </c>
      <c r="CV74">
        <f>SUMIFS(T_Shipments[Confirmed_Qty],T_Shipments[RM_Code],$A74,T_Shipments[Effective_Week],99)</f>
        <v/>
      </c>
      <c r="CW74">
        <f>SUMIFS(T_Shipments[Confirmed_Qty],T_Shipments[RM_Code],$A74,T_Shipments[Effective_Week],100)</f>
        <v/>
      </c>
      <c r="CX74">
        <f>SUMIFS(T_Shipments[Confirmed_Qty],T_Shipments[RM_Code],$A74,T_Shipments[Effective_Week],101)</f>
        <v/>
      </c>
      <c r="CY74">
        <f>SUMIFS(T_Shipments[Confirmed_Qty],T_Shipments[RM_Code],$A74,T_Shipments[Effective_Week],102)</f>
        <v/>
      </c>
      <c r="CZ74">
        <f>SUMIFS(T_Shipments[Confirmed_Qty],T_Shipments[RM_Code],$A74,T_Shipments[Effective_Week],103)</f>
        <v/>
      </c>
      <c r="DA74">
        <f>SUMIFS(T_Shipments[Confirmed_Qty],T_Shipments[RM_Code],$A74,T_Shipments[Effective_Week],104)</f>
        <v/>
      </c>
    </row>
    <row r="75">
      <c r="A75" t="inlineStr">
        <is>
          <t>CHEM-1500</t>
        </is>
      </c>
      <c r="B75">
        <f>SUMIFS(T_Shipments[Confirmed_Qty],T_Shipments[RM_Code],$A75,T_Shipments[Effective_Week],1)</f>
        <v/>
      </c>
      <c r="C75">
        <f>SUMIFS(T_Shipments[Confirmed_Qty],T_Shipments[RM_Code],$A75,T_Shipments[Effective_Week],2)</f>
        <v/>
      </c>
      <c r="D75">
        <f>SUMIFS(T_Shipments[Confirmed_Qty],T_Shipments[RM_Code],$A75,T_Shipments[Effective_Week],3)</f>
        <v/>
      </c>
      <c r="E75">
        <f>SUMIFS(T_Shipments[Confirmed_Qty],T_Shipments[RM_Code],$A75,T_Shipments[Effective_Week],4)</f>
        <v/>
      </c>
      <c r="F75">
        <f>SUMIFS(T_Shipments[Confirmed_Qty],T_Shipments[RM_Code],$A75,T_Shipments[Effective_Week],5)</f>
        <v/>
      </c>
      <c r="G75">
        <f>SUMIFS(T_Shipments[Confirmed_Qty],T_Shipments[RM_Code],$A75,T_Shipments[Effective_Week],6)</f>
        <v/>
      </c>
      <c r="H75">
        <f>SUMIFS(T_Shipments[Confirmed_Qty],T_Shipments[RM_Code],$A75,T_Shipments[Effective_Week],7)</f>
        <v/>
      </c>
      <c r="I75">
        <f>SUMIFS(T_Shipments[Confirmed_Qty],T_Shipments[RM_Code],$A75,T_Shipments[Effective_Week],8)</f>
        <v/>
      </c>
      <c r="J75">
        <f>SUMIFS(T_Shipments[Confirmed_Qty],T_Shipments[RM_Code],$A75,T_Shipments[Effective_Week],9)</f>
        <v/>
      </c>
      <c r="K75">
        <f>SUMIFS(T_Shipments[Confirmed_Qty],T_Shipments[RM_Code],$A75,T_Shipments[Effective_Week],10)</f>
        <v/>
      </c>
      <c r="L75">
        <f>SUMIFS(T_Shipments[Confirmed_Qty],T_Shipments[RM_Code],$A75,T_Shipments[Effective_Week],11)</f>
        <v/>
      </c>
      <c r="M75">
        <f>SUMIFS(T_Shipments[Confirmed_Qty],T_Shipments[RM_Code],$A75,T_Shipments[Effective_Week],12)</f>
        <v/>
      </c>
      <c r="N75">
        <f>SUMIFS(T_Shipments[Confirmed_Qty],T_Shipments[RM_Code],$A75,T_Shipments[Effective_Week],13)</f>
        <v/>
      </c>
      <c r="O75">
        <f>SUMIFS(T_Shipments[Confirmed_Qty],T_Shipments[RM_Code],$A75,T_Shipments[Effective_Week],14)</f>
        <v/>
      </c>
      <c r="P75">
        <f>SUMIFS(T_Shipments[Confirmed_Qty],T_Shipments[RM_Code],$A75,T_Shipments[Effective_Week],15)</f>
        <v/>
      </c>
      <c r="Q75">
        <f>SUMIFS(T_Shipments[Confirmed_Qty],T_Shipments[RM_Code],$A75,T_Shipments[Effective_Week],16)</f>
        <v/>
      </c>
      <c r="R75">
        <f>SUMIFS(T_Shipments[Confirmed_Qty],T_Shipments[RM_Code],$A75,T_Shipments[Effective_Week],17)</f>
        <v/>
      </c>
      <c r="S75">
        <f>SUMIFS(T_Shipments[Confirmed_Qty],T_Shipments[RM_Code],$A75,T_Shipments[Effective_Week],18)</f>
        <v/>
      </c>
      <c r="T75">
        <f>SUMIFS(T_Shipments[Confirmed_Qty],T_Shipments[RM_Code],$A75,T_Shipments[Effective_Week],19)</f>
        <v/>
      </c>
      <c r="U75">
        <f>SUMIFS(T_Shipments[Confirmed_Qty],T_Shipments[RM_Code],$A75,T_Shipments[Effective_Week],20)</f>
        <v/>
      </c>
      <c r="V75">
        <f>SUMIFS(T_Shipments[Confirmed_Qty],T_Shipments[RM_Code],$A75,T_Shipments[Effective_Week],21)</f>
        <v/>
      </c>
      <c r="W75">
        <f>SUMIFS(T_Shipments[Confirmed_Qty],T_Shipments[RM_Code],$A75,T_Shipments[Effective_Week],22)</f>
        <v/>
      </c>
      <c r="X75">
        <f>SUMIFS(T_Shipments[Confirmed_Qty],T_Shipments[RM_Code],$A75,T_Shipments[Effective_Week],23)</f>
        <v/>
      </c>
      <c r="Y75">
        <f>SUMIFS(T_Shipments[Confirmed_Qty],T_Shipments[RM_Code],$A75,T_Shipments[Effective_Week],24)</f>
        <v/>
      </c>
      <c r="Z75">
        <f>SUMIFS(T_Shipments[Confirmed_Qty],T_Shipments[RM_Code],$A75,T_Shipments[Effective_Week],25)</f>
        <v/>
      </c>
      <c r="AA75">
        <f>SUMIFS(T_Shipments[Confirmed_Qty],T_Shipments[RM_Code],$A75,T_Shipments[Effective_Week],26)</f>
        <v/>
      </c>
      <c r="AB75">
        <f>SUMIFS(T_Shipments[Confirmed_Qty],T_Shipments[RM_Code],$A75,T_Shipments[Effective_Week],27)</f>
        <v/>
      </c>
      <c r="AC75">
        <f>SUMIFS(T_Shipments[Confirmed_Qty],T_Shipments[RM_Code],$A75,T_Shipments[Effective_Week],28)</f>
        <v/>
      </c>
      <c r="AD75">
        <f>SUMIFS(T_Shipments[Confirmed_Qty],T_Shipments[RM_Code],$A75,T_Shipments[Effective_Week],29)</f>
        <v/>
      </c>
      <c r="AE75">
        <f>SUMIFS(T_Shipments[Confirmed_Qty],T_Shipments[RM_Code],$A75,T_Shipments[Effective_Week],30)</f>
        <v/>
      </c>
      <c r="AF75">
        <f>SUMIFS(T_Shipments[Confirmed_Qty],T_Shipments[RM_Code],$A75,T_Shipments[Effective_Week],31)</f>
        <v/>
      </c>
      <c r="AG75">
        <f>SUMIFS(T_Shipments[Confirmed_Qty],T_Shipments[RM_Code],$A75,T_Shipments[Effective_Week],32)</f>
        <v/>
      </c>
      <c r="AH75">
        <f>SUMIFS(T_Shipments[Confirmed_Qty],T_Shipments[RM_Code],$A75,T_Shipments[Effective_Week],33)</f>
        <v/>
      </c>
      <c r="AI75">
        <f>SUMIFS(T_Shipments[Confirmed_Qty],T_Shipments[RM_Code],$A75,T_Shipments[Effective_Week],34)</f>
        <v/>
      </c>
      <c r="AJ75">
        <f>SUMIFS(T_Shipments[Confirmed_Qty],T_Shipments[RM_Code],$A75,T_Shipments[Effective_Week],35)</f>
        <v/>
      </c>
      <c r="AK75">
        <f>SUMIFS(T_Shipments[Confirmed_Qty],T_Shipments[RM_Code],$A75,T_Shipments[Effective_Week],36)</f>
        <v/>
      </c>
      <c r="AL75">
        <f>SUMIFS(T_Shipments[Confirmed_Qty],T_Shipments[RM_Code],$A75,T_Shipments[Effective_Week],37)</f>
        <v/>
      </c>
      <c r="AM75">
        <f>SUMIFS(T_Shipments[Confirmed_Qty],T_Shipments[RM_Code],$A75,T_Shipments[Effective_Week],38)</f>
        <v/>
      </c>
      <c r="AN75">
        <f>SUMIFS(T_Shipments[Confirmed_Qty],T_Shipments[RM_Code],$A75,T_Shipments[Effective_Week],39)</f>
        <v/>
      </c>
      <c r="AO75">
        <f>SUMIFS(T_Shipments[Confirmed_Qty],T_Shipments[RM_Code],$A75,T_Shipments[Effective_Week],40)</f>
        <v/>
      </c>
      <c r="AP75">
        <f>SUMIFS(T_Shipments[Confirmed_Qty],T_Shipments[RM_Code],$A75,T_Shipments[Effective_Week],41)</f>
        <v/>
      </c>
      <c r="AQ75">
        <f>SUMIFS(T_Shipments[Confirmed_Qty],T_Shipments[RM_Code],$A75,T_Shipments[Effective_Week],42)</f>
        <v/>
      </c>
      <c r="AR75">
        <f>SUMIFS(T_Shipments[Confirmed_Qty],T_Shipments[RM_Code],$A75,T_Shipments[Effective_Week],43)</f>
        <v/>
      </c>
      <c r="AS75">
        <f>SUMIFS(T_Shipments[Confirmed_Qty],T_Shipments[RM_Code],$A75,T_Shipments[Effective_Week],44)</f>
        <v/>
      </c>
      <c r="AT75">
        <f>SUMIFS(T_Shipments[Confirmed_Qty],T_Shipments[RM_Code],$A75,T_Shipments[Effective_Week],45)</f>
        <v/>
      </c>
      <c r="AU75">
        <f>SUMIFS(T_Shipments[Confirmed_Qty],T_Shipments[RM_Code],$A75,T_Shipments[Effective_Week],46)</f>
        <v/>
      </c>
      <c r="AV75">
        <f>SUMIFS(T_Shipments[Confirmed_Qty],T_Shipments[RM_Code],$A75,T_Shipments[Effective_Week],47)</f>
        <v/>
      </c>
      <c r="AW75">
        <f>SUMIFS(T_Shipments[Confirmed_Qty],T_Shipments[RM_Code],$A75,T_Shipments[Effective_Week],48)</f>
        <v/>
      </c>
      <c r="AX75">
        <f>SUMIFS(T_Shipments[Confirmed_Qty],T_Shipments[RM_Code],$A75,T_Shipments[Effective_Week],49)</f>
        <v/>
      </c>
      <c r="AY75">
        <f>SUMIFS(T_Shipments[Confirmed_Qty],T_Shipments[RM_Code],$A75,T_Shipments[Effective_Week],50)</f>
        <v/>
      </c>
      <c r="AZ75">
        <f>SUMIFS(T_Shipments[Confirmed_Qty],T_Shipments[RM_Code],$A75,T_Shipments[Effective_Week],51)</f>
        <v/>
      </c>
      <c r="BA75">
        <f>SUMIFS(T_Shipments[Confirmed_Qty],T_Shipments[RM_Code],$A75,T_Shipments[Effective_Week],52)</f>
        <v/>
      </c>
      <c r="BB75">
        <f>SUMIFS(T_Shipments[Confirmed_Qty],T_Shipments[RM_Code],$A75,T_Shipments[Effective_Week],53)</f>
        <v/>
      </c>
      <c r="BC75">
        <f>SUMIFS(T_Shipments[Confirmed_Qty],T_Shipments[RM_Code],$A75,T_Shipments[Effective_Week],54)</f>
        <v/>
      </c>
      <c r="BD75">
        <f>SUMIFS(T_Shipments[Confirmed_Qty],T_Shipments[RM_Code],$A75,T_Shipments[Effective_Week],55)</f>
        <v/>
      </c>
      <c r="BE75">
        <f>SUMIFS(T_Shipments[Confirmed_Qty],T_Shipments[RM_Code],$A75,T_Shipments[Effective_Week],56)</f>
        <v/>
      </c>
      <c r="BF75">
        <f>SUMIFS(T_Shipments[Confirmed_Qty],T_Shipments[RM_Code],$A75,T_Shipments[Effective_Week],57)</f>
        <v/>
      </c>
      <c r="BG75">
        <f>SUMIFS(T_Shipments[Confirmed_Qty],T_Shipments[RM_Code],$A75,T_Shipments[Effective_Week],58)</f>
        <v/>
      </c>
      <c r="BH75">
        <f>SUMIFS(T_Shipments[Confirmed_Qty],T_Shipments[RM_Code],$A75,T_Shipments[Effective_Week],59)</f>
        <v/>
      </c>
      <c r="BI75">
        <f>SUMIFS(T_Shipments[Confirmed_Qty],T_Shipments[RM_Code],$A75,T_Shipments[Effective_Week],60)</f>
        <v/>
      </c>
      <c r="BJ75">
        <f>SUMIFS(T_Shipments[Confirmed_Qty],T_Shipments[RM_Code],$A75,T_Shipments[Effective_Week],61)</f>
        <v/>
      </c>
      <c r="BK75">
        <f>SUMIFS(T_Shipments[Confirmed_Qty],T_Shipments[RM_Code],$A75,T_Shipments[Effective_Week],62)</f>
        <v/>
      </c>
      <c r="BL75">
        <f>SUMIFS(T_Shipments[Confirmed_Qty],T_Shipments[RM_Code],$A75,T_Shipments[Effective_Week],63)</f>
        <v/>
      </c>
      <c r="BM75">
        <f>SUMIFS(T_Shipments[Confirmed_Qty],T_Shipments[RM_Code],$A75,T_Shipments[Effective_Week],64)</f>
        <v/>
      </c>
      <c r="BN75">
        <f>SUMIFS(T_Shipments[Confirmed_Qty],T_Shipments[RM_Code],$A75,T_Shipments[Effective_Week],65)</f>
        <v/>
      </c>
      <c r="BO75">
        <f>SUMIFS(T_Shipments[Confirmed_Qty],T_Shipments[RM_Code],$A75,T_Shipments[Effective_Week],66)</f>
        <v/>
      </c>
      <c r="BP75">
        <f>SUMIFS(T_Shipments[Confirmed_Qty],T_Shipments[RM_Code],$A75,T_Shipments[Effective_Week],67)</f>
        <v/>
      </c>
      <c r="BQ75">
        <f>SUMIFS(T_Shipments[Confirmed_Qty],T_Shipments[RM_Code],$A75,T_Shipments[Effective_Week],68)</f>
        <v/>
      </c>
      <c r="BR75">
        <f>SUMIFS(T_Shipments[Confirmed_Qty],T_Shipments[RM_Code],$A75,T_Shipments[Effective_Week],69)</f>
        <v/>
      </c>
      <c r="BS75">
        <f>SUMIFS(T_Shipments[Confirmed_Qty],T_Shipments[RM_Code],$A75,T_Shipments[Effective_Week],70)</f>
        <v/>
      </c>
      <c r="BT75">
        <f>SUMIFS(T_Shipments[Confirmed_Qty],T_Shipments[RM_Code],$A75,T_Shipments[Effective_Week],71)</f>
        <v/>
      </c>
      <c r="BU75">
        <f>SUMIFS(T_Shipments[Confirmed_Qty],T_Shipments[RM_Code],$A75,T_Shipments[Effective_Week],72)</f>
        <v/>
      </c>
      <c r="BV75">
        <f>SUMIFS(T_Shipments[Confirmed_Qty],T_Shipments[RM_Code],$A75,T_Shipments[Effective_Week],73)</f>
        <v/>
      </c>
      <c r="BW75">
        <f>SUMIFS(T_Shipments[Confirmed_Qty],T_Shipments[RM_Code],$A75,T_Shipments[Effective_Week],74)</f>
        <v/>
      </c>
      <c r="BX75">
        <f>SUMIFS(T_Shipments[Confirmed_Qty],T_Shipments[RM_Code],$A75,T_Shipments[Effective_Week],75)</f>
        <v/>
      </c>
      <c r="BY75">
        <f>SUMIFS(T_Shipments[Confirmed_Qty],T_Shipments[RM_Code],$A75,T_Shipments[Effective_Week],76)</f>
        <v/>
      </c>
      <c r="BZ75">
        <f>SUMIFS(T_Shipments[Confirmed_Qty],T_Shipments[RM_Code],$A75,T_Shipments[Effective_Week],77)</f>
        <v/>
      </c>
      <c r="CA75">
        <f>SUMIFS(T_Shipments[Confirmed_Qty],T_Shipments[RM_Code],$A75,T_Shipments[Effective_Week],78)</f>
        <v/>
      </c>
      <c r="CB75">
        <f>SUMIFS(T_Shipments[Confirmed_Qty],T_Shipments[RM_Code],$A75,T_Shipments[Effective_Week],79)</f>
        <v/>
      </c>
      <c r="CC75">
        <f>SUMIFS(T_Shipments[Confirmed_Qty],T_Shipments[RM_Code],$A75,T_Shipments[Effective_Week],80)</f>
        <v/>
      </c>
      <c r="CD75">
        <f>SUMIFS(T_Shipments[Confirmed_Qty],T_Shipments[RM_Code],$A75,T_Shipments[Effective_Week],81)</f>
        <v/>
      </c>
      <c r="CE75">
        <f>SUMIFS(T_Shipments[Confirmed_Qty],T_Shipments[RM_Code],$A75,T_Shipments[Effective_Week],82)</f>
        <v/>
      </c>
      <c r="CF75">
        <f>SUMIFS(T_Shipments[Confirmed_Qty],T_Shipments[RM_Code],$A75,T_Shipments[Effective_Week],83)</f>
        <v/>
      </c>
      <c r="CG75">
        <f>SUMIFS(T_Shipments[Confirmed_Qty],T_Shipments[RM_Code],$A75,T_Shipments[Effective_Week],84)</f>
        <v/>
      </c>
      <c r="CH75">
        <f>SUMIFS(T_Shipments[Confirmed_Qty],T_Shipments[RM_Code],$A75,T_Shipments[Effective_Week],85)</f>
        <v/>
      </c>
      <c r="CI75">
        <f>SUMIFS(T_Shipments[Confirmed_Qty],T_Shipments[RM_Code],$A75,T_Shipments[Effective_Week],86)</f>
        <v/>
      </c>
      <c r="CJ75">
        <f>SUMIFS(T_Shipments[Confirmed_Qty],T_Shipments[RM_Code],$A75,T_Shipments[Effective_Week],87)</f>
        <v/>
      </c>
      <c r="CK75">
        <f>SUMIFS(T_Shipments[Confirmed_Qty],T_Shipments[RM_Code],$A75,T_Shipments[Effective_Week],88)</f>
        <v/>
      </c>
      <c r="CL75">
        <f>SUMIFS(T_Shipments[Confirmed_Qty],T_Shipments[RM_Code],$A75,T_Shipments[Effective_Week],89)</f>
        <v/>
      </c>
      <c r="CM75">
        <f>SUMIFS(T_Shipments[Confirmed_Qty],T_Shipments[RM_Code],$A75,T_Shipments[Effective_Week],90)</f>
        <v/>
      </c>
      <c r="CN75">
        <f>SUMIFS(T_Shipments[Confirmed_Qty],T_Shipments[RM_Code],$A75,T_Shipments[Effective_Week],91)</f>
        <v/>
      </c>
      <c r="CO75">
        <f>SUMIFS(T_Shipments[Confirmed_Qty],T_Shipments[RM_Code],$A75,T_Shipments[Effective_Week],92)</f>
        <v/>
      </c>
      <c r="CP75">
        <f>SUMIFS(T_Shipments[Confirmed_Qty],T_Shipments[RM_Code],$A75,T_Shipments[Effective_Week],93)</f>
        <v/>
      </c>
      <c r="CQ75">
        <f>SUMIFS(T_Shipments[Confirmed_Qty],T_Shipments[RM_Code],$A75,T_Shipments[Effective_Week],94)</f>
        <v/>
      </c>
      <c r="CR75">
        <f>SUMIFS(T_Shipments[Confirmed_Qty],T_Shipments[RM_Code],$A75,T_Shipments[Effective_Week],95)</f>
        <v/>
      </c>
      <c r="CS75">
        <f>SUMIFS(T_Shipments[Confirmed_Qty],T_Shipments[RM_Code],$A75,T_Shipments[Effective_Week],96)</f>
        <v/>
      </c>
      <c r="CT75">
        <f>SUMIFS(T_Shipments[Confirmed_Qty],T_Shipments[RM_Code],$A75,T_Shipments[Effective_Week],97)</f>
        <v/>
      </c>
      <c r="CU75">
        <f>SUMIFS(T_Shipments[Confirmed_Qty],T_Shipments[RM_Code],$A75,T_Shipments[Effective_Week],98)</f>
        <v/>
      </c>
      <c r="CV75">
        <f>SUMIFS(T_Shipments[Confirmed_Qty],T_Shipments[RM_Code],$A75,T_Shipments[Effective_Week],99)</f>
        <v/>
      </c>
      <c r="CW75">
        <f>SUMIFS(T_Shipments[Confirmed_Qty],T_Shipments[RM_Code],$A75,T_Shipments[Effective_Week],100)</f>
        <v/>
      </c>
      <c r="CX75">
        <f>SUMIFS(T_Shipments[Confirmed_Qty],T_Shipments[RM_Code],$A75,T_Shipments[Effective_Week],101)</f>
        <v/>
      </c>
      <c r="CY75">
        <f>SUMIFS(T_Shipments[Confirmed_Qty],T_Shipments[RM_Code],$A75,T_Shipments[Effective_Week],102)</f>
        <v/>
      </c>
      <c r="CZ75">
        <f>SUMIFS(T_Shipments[Confirmed_Qty],T_Shipments[RM_Code],$A75,T_Shipments[Effective_Week],103)</f>
        <v/>
      </c>
      <c r="DA75">
        <f>SUMIFS(T_Shipments[Confirmed_Qty],T_Shipments[RM_Code],$A75,T_Shipments[Effective_Week],104)</f>
        <v/>
      </c>
    </row>
    <row r="76">
      <c r="A76" t="inlineStr">
        <is>
          <t>CHEM-1810</t>
        </is>
      </c>
      <c r="B76">
        <f>SUMIFS(T_Shipments[Confirmed_Qty],T_Shipments[RM_Code],$A76,T_Shipments[Effective_Week],1)</f>
        <v/>
      </c>
      <c r="C76">
        <f>SUMIFS(T_Shipments[Confirmed_Qty],T_Shipments[RM_Code],$A76,T_Shipments[Effective_Week],2)</f>
        <v/>
      </c>
      <c r="D76">
        <f>SUMIFS(T_Shipments[Confirmed_Qty],T_Shipments[RM_Code],$A76,T_Shipments[Effective_Week],3)</f>
        <v/>
      </c>
      <c r="E76">
        <f>SUMIFS(T_Shipments[Confirmed_Qty],T_Shipments[RM_Code],$A76,T_Shipments[Effective_Week],4)</f>
        <v/>
      </c>
      <c r="F76">
        <f>SUMIFS(T_Shipments[Confirmed_Qty],T_Shipments[RM_Code],$A76,T_Shipments[Effective_Week],5)</f>
        <v/>
      </c>
      <c r="G76">
        <f>SUMIFS(T_Shipments[Confirmed_Qty],T_Shipments[RM_Code],$A76,T_Shipments[Effective_Week],6)</f>
        <v/>
      </c>
      <c r="H76">
        <f>SUMIFS(T_Shipments[Confirmed_Qty],T_Shipments[RM_Code],$A76,T_Shipments[Effective_Week],7)</f>
        <v/>
      </c>
      <c r="I76">
        <f>SUMIFS(T_Shipments[Confirmed_Qty],T_Shipments[RM_Code],$A76,T_Shipments[Effective_Week],8)</f>
        <v/>
      </c>
      <c r="J76">
        <f>SUMIFS(T_Shipments[Confirmed_Qty],T_Shipments[RM_Code],$A76,T_Shipments[Effective_Week],9)</f>
        <v/>
      </c>
      <c r="K76">
        <f>SUMIFS(T_Shipments[Confirmed_Qty],T_Shipments[RM_Code],$A76,T_Shipments[Effective_Week],10)</f>
        <v/>
      </c>
      <c r="L76">
        <f>SUMIFS(T_Shipments[Confirmed_Qty],T_Shipments[RM_Code],$A76,T_Shipments[Effective_Week],11)</f>
        <v/>
      </c>
      <c r="M76">
        <f>SUMIFS(T_Shipments[Confirmed_Qty],T_Shipments[RM_Code],$A76,T_Shipments[Effective_Week],12)</f>
        <v/>
      </c>
      <c r="N76">
        <f>SUMIFS(T_Shipments[Confirmed_Qty],T_Shipments[RM_Code],$A76,T_Shipments[Effective_Week],13)</f>
        <v/>
      </c>
      <c r="O76">
        <f>SUMIFS(T_Shipments[Confirmed_Qty],T_Shipments[RM_Code],$A76,T_Shipments[Effective_Week],14)</f>
        <v/>
      </c>
      <c r="P76">
        <f>SUMIFS(T_Shipments[Confirmed_Qty],T_Shipments[RM_Code],$A76,T_Shipments[Effective_Week],15)</f>
        <v/>
      </c>
      <c r="Q76">
        <f>SUMIFS(T_Shipments[Confirmed_Qty],T_Shipments[RM_Code],$A76,T_Shipments[Effective_Week],16)</f>
        <v/>
      </c>
      <c r="R76">
        <f>SUMIFS(T_Shipments[Confirmed_Qty],T_Shipments[RM_Code],$A76,T_Shipments[Effective_Week],17)</f>
        <v/>
      </c>
      <c r="S76">
        <f>SUMIFS(T_Shipments[Confirmed_Qty],T_Shipments[RM_Code],$A76,T_Shipments[Effective_Week],18)</f>
        <v/>
      </c>
      <c r="T76">
        <f>SUMIFS(T_Shipments[Confirmed_Qty],T_Shipments[RM_Code],$A76,T_Shipments[Effective_Week],19)</f>
        <v/>
      </c>
      <c r="U76">
        <f>SUMIFS(T_Shipments[Confirmed_Qty],T_Shipments[RM_Code],$A76,T_Shipments[Effective_Week],20)</f>
        <v/>
      </c>
      <c r="V76">
        <f>SUMIFS(T_Shipments[Confirmed_Qty],T_Shipments[RM_Code],$A76,T_Shipments[Effective_Week],21)</f>
        <v/>
      </c>
      <c r="W76">
        <f>SUMIFS(T_Shipments[Confirmed_Qty],T_Shipments[RM_Code],$A76,T_Shipments[Effective_Week],22)</f>
        <v/>
      </c>
      <c r="X76">
        <f>SUMIFS(T_Shipments[Confirmed_Qty],T_Shipments[RM_Code],$A76,T_Shipments[Effective_Week],23)</f>
        <v/>
      </c>
      <c r="Y76">
        <f>SUMIFS(T_Shipments[Confirmed_Qty],T_Shipments[RM_Code],$A76,T_Shipments[Effective_Week],24)</f>
        <v/>
      </c>
      <c r="Z76">
        <f>SUMIFS(T_Shipments[Confirmed_Qty],T_Shipments[RM_Code],$A76,T_Shipments[Effective_Week],25)</f>
        <v/>
      </c>
      <c r="AA76">
        <f>SUMIFS(T_Shipments[Confirmed_Qty],T_Shipments[RM_Code],$A76,T_Shipments[Effective_Week],26)</f>
        <v/>
      </c>
      <c r="AB76">
        <f>SUMIFS(T_Shipments[Confirmed_Qty],T_Shipments[RM_Code],$A76,T_Shipments[Effective_Week],27)</f>
        <v/>
      </c>
      <c r="AC76">
        <f>SUMIFS(T_Shipments[Confirmed_Qty],T_Shipments[RM_Code],$A76,T_Shipments[Effective_Week],28)</f>
        <v/>
      </c>
      <c r="AD76">
        <f>SUMIFS(T_Shipments[Confirmed_Qty],T_Shipments[RM_Code],$A76,T_Shipments[Effective_Week],29)</f>
        <v/>
      </c>
      <c r="AE76">
        <f>SUMIFS(T_Shipments[Confirmed_Qty],T_Shipments[RM_Code],$A76,T_Shipments[Effective_Week],30)</f>
        <v/>
      </c>
      <c r="AF76">
        <f>SUMIFS(T_Shipments[Confirmed_Qty],T_Shipments[RM_Code],$A76,T_Shipments[Effective_Week],31)</f>
        <v/>
      </c>
      <c r="AG76">
        <f>SUMIFS(T_Shipments[Confirmed_Qty],T_Shipments[RM_Code],$A76,T_Shipments[Effective_Week],32)</f>
        <v/>
      </c>
      <c r="AH76">
        <f>SUMIFS(T_Shipments[Confirmed_Qty],T_Shipments[RM_Code],$A76,T_Shipments[Effective_Week],33)</f>
        <v/>
      </c>
      <c r="AI76">
        <f>SUMIFS(T_Shipments[Confirmed_Qty],T_Shipments[RM_Code],$A76,T_Shipments[Effective_Week],34)</f>
        <v/>
      </c>
      <c r="AJ76">
        <f>SUMIFS(T_Shipments[Confirmed_Qty],T_Shipments[RM_Code],$A76,T_Shipments[Effective_Week],35)</f>
        <v/>
      </c>
      <c r="AK76">
        <f>SUMIFS(T_Shipments[Confirmed_Qty],T_Shipments[RM_Code],$A76,T_Shipments[Effective_Week],36)</f>
        <v/>
      </c>
      <c r="AL76">
        <f>SUMIFS(T_Shipments[Confirmed_Qty],T_Shipments[RM_Code],$A76,T_Shipments[Effective_Week],37)</f>
        <v/>
      </c>
      <c r="AM76">
        <f>SUMIFS(T_Shipments[Confirmed_Qty],T_Shipments[RM_Code],$A76,T_Shipments[Effective_Week],38)</f>
        <v/>
      </c>
      <c r="AN76">
        <f>SUMIFS(T_Shipments[Confirmed_Qty],T_Shipments[RM_Code],$A76,T_Shipments[Effective_Week],39)</f>
        <v/>
      </c>
      <c r="AO76">
        <f>SUMIFS(T_Shipments[Confirmed_Qty],T_Shipments[RM_Code],$A76,T_Shipments[Effective_Week],40)</f>
        <v/>
      </c>
      <c r="AP76">
        <f>SUMIFS(T_Shipments[Confirmed_Qty],T_Shipments[RM_Code],$A76,T_Shipments[Effective_Week],41)</f>
        <v/>
      </c>
      <c r="AQ76">
        <f>SUMIFS(T_Shipments[Confirmed_Qty],T_Shipments[RM_Code],$A76,T_Shipments[Effective_Week],42)</f>
        <v/>
      </c>
      <c r="AR76">
        <f>SUMIFS(T_Shipments[Confirmed_Qty],T_Shipments[RM_Code],$A76,T_Shipments[Effective_Week],43)</f>
        <v/>
      </c>
      <c r="AS76">
        <f>SUMIFS(T_Shipments[Confirmed_Qty],T_Shipments[RM_Code],$A76,T_Shipments[Effective_Week],44)</f>
        <v/>
      </c>
      <c r="AT76">
        <f>SUMIFS(T_Shipments[Confirmed_Qty],T_Shipments[RM_Code],$A76,T_Shipments[Effective_Week],45)</f>
        <v/>
      </c>
      <c r="AU76">
        <f>SUMIFS(T_Shipments[Confirmed_Qty],T_Shipments[RM_Code],$A76,T_Shipments[Effective_Week],46)</f>
        <v/>
      </c>
      <c r="AV76">
        <f>SUMIFS(T_Shipments[Confirmed_Qty],T_Shipments[RM_Code],$A76,T_Shipments[Effective_Week],47)</f>
        <v/>
      </c>
      <c r="AW76">
        <f>SUMIFS(T_Shipments[Confirmed_Qty],T_Shipments[RM_Code],$A76,T_Shipments[Effective_Week],48)</f>
        <v/>
      </c>
      <c r="AX76">
        <f>SUMIFS(T_Shipments[Confirmed_Qty],T_Shipments[RM_Code],$A76,T_Shipments[Effective_Week],49)</f>
        <v/>
      </c>
      <c r="AY76">
        <f>SUMIFS(T_Shipments[Confirmed_Qty],T_Shipments[RM_Code],$A76,T_Shipments[Effective_Week],50)</f>
        <v/>
      </c>
      <c r="AZ76">
        <f>SUMIFS(T_Shipments[Confirmed_Qty],T_Shipments[RM_Code],$A76,T_Shipments[Effective_Week],51)</f>
        <v/>
      </c>
      <c r="BA76">
        <f>SUMIFS(T_Shipments[Confirmed_Qty],T_Shipments[RM_Code],$A76,T_Shipments[Effective_Week],52)</f>
        <v/>
      </c>
      <c r="BB76">
        <f>SUMIFS(T_Shipments[Confirmed_Qty],T_Shipments[RM_Code],$A76,T_Shipments[Effective_Week],53)</f>
        <v/>
      </c>
      <c r="BC76">
        <f>SUMIFS(T_Shipments[Confirmed_Qty],T_Shipments[RM_Code],$A76,T_Shipments[Effective_Week],54)</f>
        <v/>
      </c>
      <c r="BD76">
        <f>SUMIFS(T_Shipments[Confirmed_Qty],T_Shipments[RM_Code],$A76,T_Shipments[Effective_Week],55)</f>
        <v/>
      </c>
      <c r="BE76">
        <f>SUMIFS(T_Shipments[Confirmed_Qty],T_Shipments[RM_Code],$A76,T_Shipments[Effective_Week],56)</f>
        <v/>
      </c>
      <c r="BF76">
        <f>SUMIFS(T_Shipments[Confirmed_Qty],T_Shipments[RM_Code],$A76,T_Shipments[Effective_Week],57)</f>
        <v/>
      </c>
      <c r="BG76">
        <f>SUMIFS(T_Shipments[Confirmed_Qty],T_Shipments[RM_Code],$A76,T_Shipments[Effective_Week],58)</f>
        <v/>
      </c>
      <c r="BH76">
        <f>SUMIFS(T_Shipments[Confirmed_Qty],T_Shipments[RM_Code],$A76,T_Shipments[Effective_Week],59)</f>
        <v/>
      </c>
      <c r="BI76">
        <f>SUMIFS(T_Shipments[Confirmed_Qty],T_Shipments[RM_Code],$A76,T_Shipments[Effective_Week],60)</f>
        <v/>
      </c>
      <c r="BJ76">
        <f>SUMIFS(T_Shipments[Confirmed_Qty],T_Shipments[RM_Code],$A76,T_Shipments[Effective_Week],61)</f>
        <v/>
      </c>
      <c r="BK76">
        <f>SUMIFS(T_Shipments[Confirmed_Qty],T_Shipments[RM_Code],$A76,T_Shipments[Effective_Week],62)</f>
        <v/>
      </c>
      <c r="BL76">
        <f>SUMIFS(T_Shipments[Confirmed_Qty],T_Shipments[RM_Code],$A76,T_Shipments[Effective_Week],63)</f>
        <v/>
      </c>
      <c r="BM76">
        <f>SUMIFS(T_Shipments[Confirmed_Qty],T_Shipments[RM_Code],$A76,T_Shipments[Effective_Week],64)</f>
        <v/>
      </c>
      <c r="BN76">
        <f>SUMIFS(T_Shipments[Confirmed_Qty],T_Shipments[RM_Code],$A76,T_Shipments[Effective_Week],65)</f>
        <v/>
      </c>
      <c r="BO76">
        <f>SUMIFS(T_Shipments[Confirmed_Qty],T_Shipments[RM_Code],$A76,T_Shipments[Effective_Week],66)</f>
        <v/>
      </c>
      <c r="BP76">
        <f>SUMIFS(T_Shipments[Confirmed_Qty],T_Shipments[RM_Code],$A76,T_Shipments[Effective_Week],67)</f>
        <v/>
      </c>
      <c r="BQ76">
        <f>SUMIFS(T_Shipments[Confirmed_Qty],T_Shipments[RM_Code],$A76,T_Shipments[Effective_Week],68)</f>
        <v/>
      </c>
      <c r="BR76">
        <f>SUMIFS(T_Shipments[Confirmed_Qty],T_Shipments[RM_Code],$A76,T_Shipments[Effective_Week],69)</f>
        <v/>
      </c>
      <c r="BS76">
        <f>SUMIFS(T_Shipments[Confirmed_Qty],T_Shipments[RM_Code],$A76,T_Shipments[Effective_Week],70)</f>
        <v/>
      </c>
      <c r="BT76">
        <f>SUMIFS(T_Shipments[Confirmed_Qty],T_Shipments[RM_Code],$A76,T_Shipments[Effective_Week],71)</f>
        <v/>
      </c>
      <c r="BU76">
        <f>SUMIFS(T_Shipments[Confirmed_Qty],T_Shipments[RM_Code],$A76,T_Shipments[Effective_Week],72)</f>
        <v/>
      </c>
      <c r="BV76">
        <f>SUMIFS(T_Shipments[Confirmed_Qty],T_Shipments[RM_Code],$A76,T_Shipments[Effective_Week],73)</f>
        <v/>
      </c>
      <c r="BW76">
        <f>SUMIFS(T_Shipments[Confirmed_Qty],T_Shipments[RM_Code],$A76,T_Shipments[Effective_Week],74)</f>
        <v/>
      </c>
      <c r="BX76">
        <f>SUMIFS(T_Shipments[Confirmed_Qty],T_Shipments[RM_Code],$A76,T_Shipments[Effective_Week],75)</f>
        <v/>
      </c>
      <c r="BY76">
        <f>SUMIFS(T_Shipments[Confirmed_Qty],T_Shipments[RM_Code],$A76,T_Shipments[Effective_Week],76)</f>
        <v/>
      </c>
      <c r="BZ76">
        <f>SUMIFS(T_Shipments[Confirmed_Qty],T_Shipments[RM_Code],$A76,T_Shipments[Effective_Week],77)</f>
        <v/>
      </c>
      <c r="CA76">
        <f>SUMIFS(T_Shipments[Confirmed_Qty],T_Shipments[RM_Code],$A76,T_Shipments[Effective_Week],78)</f>
        <v/>
      </c>
      <c r="CB76">
        <f>SUMIFS(T_Shipments[Confirmed_Qty],T_Shipments[RM_Code],$A76,T_Shipments[Effective_Week],79)</f>
        <v/>
      </c>
      <c r="CC76">
        <f>SUMIFS(T_Shipments[Confirmed_Qty],T_Shipments[RM_Code],$A76,T_Shipments[Effective_Week],80)</f>
        <v/>
      </c>
      <c r="CD76">
        <f>SUMIFS(T_Shipments[Confirmed_Qty],T_Shipments[RM_Code],$A76,T_Shipments[Effective_Week],81)</f>
        <v/>
      </c>
      <c r="CE76">
        <f>SUMIFS(T_Shipments[Confirmed_Qty],T_Shipments[RM_Code],$A76,T_Shipments[Effective_Week],82)</f>
        <v/>
      </c>
      <c r="CF76">
        <f>SUMIFS(T_Shipments[Confirmed_Qty],T_Shipments[RM_Code],$A76,T_Shipments[Effective_Week],83)</f>
        <v/>
      </c>
      <c r="CG76">
        <f>SUMIFS(T_Shipments[Confirmed_Qty],T_Shipments[RM_Code],$A76,T_Shipments[Effective_Week],84)</f>
        <v/>
      </c>
      <c r="CH76">
        <f>SUMIFS(T_Shipments[Confirmed_Qty],T_Shipments[RM_Code],$A76,T_Shipments[Effective_Week],85)</f>
        <v/>
      </c>
      <c r="CI76">
        <f>SUMIFS(T_Shipments[Confirmed_Qty],T_Shipments[RM_Code],$A76,T_Shipments[Effective_Week],86)</f>
        <v/>
      </c>
      <c r="CJ76">
        <f>SUMIFS(T_Shipments[Confirmed_Qty],T_Shipments[RM_Code],$A76,T_Shipments[Effective_Week],87)</f>
        <v/>
      </c>
      <c r="CK76">
        <f>SUMIFS(T_Shipments[Confirmed_Qty],T_Shipments[RM_Code],$A76,T_Shipments[Effective_Week],88)</f>
        <v/>
      </c>
      <c r="CL76">
        <f>SUMIFS(T_Shipments[Confirmed_Qty],T_Shipments[RM_Code],$A76,T_Shipments[Effective_Week],89)</f>
        <v/>
      </c>
      <c r="CM76">
        <f>SUMIFS(T_Shipments[Confirmed_Qty],T_Shipments[RM_Code],$A76,T_Shipments[Effective_Week],90)</f>
        <v/>
      </c>
      <c r="CN76">
        <f>SUMIFS(T_Shipments[Confirmed_Qty],T_Shipments[RM_Code],$A76,T_Shipments[Effective_Week],91)</f>
        <v/>
      </c>
      <c r="CO76">
        <f>SUMIFS(T_Shipments[Confirmed_Qty],T_Shipments[RM_Code],$A76,T_Shipments[Effective_Week],92)</f>
        <v/>
      </c>
      <c r="CP76">
        <f>SUMIFS(T_Shipments[Confirmed_Qty],T_Shipments[RM_Code],$A76,T_Shipments[Effective_Week],93)</f>
        <v/>
      </c>
      <c r="CQ76">
        <f>SUMIFS(T_Shipments[Confirmed_Qty],T_Shipments[RM_Code],$A76,T_Shipments[Effective_Week],94)</f>
        <v/>
      </c>
      <c r="CR76">
        <f>SUMIFS(T_Shipments[Confirmed_Qty],T_Shipments[RM_Code],$A76,T_Shipments[Effective_Week],95)</f>
        <v/>
      </c>
      <c r="CS76">
        <f>SUMIFS(T_Shipments[Confirmed_Qty],T_Shipments[RM_Code],$A76,T_Shipments[Effective_Week],96)</f>
        <v/>
      </c>
      <c r="CT76">
        <f>SUMIFS(T_Shipments[Confirmed_Qty],T_Shipments[RM_Code],$A76,T_Shipments[Effective_Week],97)</f>
        <v/>
      </c>
      <c r="CU76">
        <f>SUMIFS(T_Shipments[Confirmed_Qty],T_Shipments[RM_Code],$A76,T_Shipments[Effective_Week],98)</f>
        <v/>
      </c>
      <c r="CV76">
        <f>SUMIFS(T_Shipments[Confirmed_Qty],T_Shipments[RM_Code],$A76,T_Shipments[Effective_Week],99)</f>
        <v/>
      </c>
      <c r="CW76">
        <f>SUMIFS(T_Shipments[Confirmed_Qty],T_Shipments[RM_Code],$A76,T_Shipments[Effective_Week],100)</f>
        <v/>
      </c>
      <c r="CX76">
        <f>SUMIFS(T_Shipments[Confirmed_Qty],T_Shipments[RM_Code],$A76,T_Shipments[Effective_Week],101)</f>
        <v/>
      </c>
      <c r="CY76">
        <f>SUMIFS(T_Shipments[Confirmed_Qty],T_Shipments[RM_Code],$A76,T_Shipments[Effective_Week],102)</f>
        <v/>
      </c>
      <c r="CZ76">
        <f>SUMIFS(T_Shipments[Confirmed_Qty],T_Shipments[RM_Code],$A76,T_Shipments[Effective_Week],103)</f>
        <v/>
      </c>
      <c r="DA76">
        <f>SUMIFS(T_Shipments[Confirmed_Qty],T_Shipments[RM_Code],$A76,T_Shipments[Effective_Week],104)</f>
        <v/>
      </c>
    </row>
    <row r="77">
      <c r="A77" t="inlineStr">
        <is>
          <t>Chem-1220</t>
        </is>
      </c>
      <c r="B77">
        <f>SUMIFS(T_Shipments[Confirmed_Qty],T_Shipments[RM_Code],$A77,T_Shipments[Effective_Week],1)</f>
        <v/>
      </c>
      <c r="C77">
        <f>SUMIFS(T_Shipments[Confirmed_Qty],T_Shipments[RM_Code],$A77,T_Shipments[Effective_Week],2)</f>
        <v/>
      </c>
      <c r="D77">
        <f>SUMIFS(T_Shipments[Confirmed_Qty],T_Shipments[RM_Code],$A77,T_Shipments[Effective_Week],3)</f>
        <v/>
      </c>
      <c r="E77">
        <f>SUMIFS(T_Shipments[Confirmed_Qty],T_Shipments[RM_Code],$A77,T_Shipments[Effective_Week],4)</f>
        <v/>
      </c>
      <c r="F77">
        <f>SUMIFS(T_Shipments[Confirmed_Qty],T_Shipments[RM_Code],$A77,T_Shipments[Effective_Week],5)</f>
        <v/>
      </c>
      <c r="G77">
        <f>SUMIFS(T_Shipments[Confirmed_Qty],T_Shipments[RM_Code],$A77,T_Shipments[Effective_Week],6)</f>
        <v/>
      </c>
      <c r="H77">
        <f>SUMIFS(T_Shipments[Confirmed_Qty],T_Shipments[RM_Code],$A77,T_Shipments[Effective_Week],7)</f>
        <v/>
      </c>
      <c r="I77">
        <f>SUMIFS(T_Shipments[Confirmed_Qty],T_Shipments[RM_Code],$A77,T_Shipments[Effective_Week],8)</f>
        <v/>
      </c>
      <c r="J77">
        <f>SUMIFS(T_Shipments[Confirmed_Qty],T_Shipments[RM_Code],$A77,T_Shipments[Effective_Week],9)</f>
        <v/>
      </c>
      <c r="K77">
        <f>SUMIFS(T_Shipments[Confirmed_Qty],T_Shipments[RM_Code],$A77,T_Shipments[Effective_Week],10)</f>
        <v/>
      </c>
      <c r="L77">
        <f>SUMIFS(T_Shipments[Confirmed_Qty],T_Shipments[RM_Code],$A77,T_Shipments[Effective_Week],11)</f>
        <v/>
      </c>
      <c r="M77">
        <f>SUMIFS(T_Shipments[Confirmed_Qty],T_Shipments[RM_Code],$A77,T_Shipments[Effective_Week],12)</f>
        <v/>
      </c>
      <c r="N77">
        <f>SUMIFS(T_Shipments[Confirmed_Qty],T_Shipments[RM_Code],$A77,T_Shipments[Effective_Week],13)</f>
        <v/>
      </c>
      <c r="O77">
        <f>SUMIFS(T_Shipments[Confirmed_Qty],T_Shipments[RM_Code],$A77,T_Shipments[Effective_Week],14)</f>
        <v/>
      </c>
      <c r="P77">
        <f>SUMIFS(T_Shipments[Confirmed_Qty],T_Shipments[RM_Code],$A77,T_Shipments[Effective_Week],15)</f>
        <v/>
      </c>
      <c r="Q77">
        <f>SUMIFS(T_Shipments[Confirmed_Qty],T_Shipments[RM_Code],$A77,T_Shipments[Effective_Week],16)</f>
        <v/>
      </c>
      <c r="R77">
        <f>SUMIFS(T_Shipments[Confirmed_Qty],T_Shipments[RM_Code],$A77,T_Shipments[Effective_Week],17)</f>
        <v/>
      </c>
      <c r="S77">
        <f>SUMIFS(T_Shipments[Confirmed_Qty],T_Shipments[RM_Code],$A77,T_Shipments[Effective_Week],18)</f>
        <v/>
      </c>
      <c r="T77">
        <f>SUMIFS(T_Shipments[Confirmed_Qty],T_Shipments[RM_Code],$A77,T_Shipments[Effective_Week],19)</f>
        <v/>
      </c>
      <c r="U77">
        <f>SUMIFS(T_Shipments[Confirmed_Qty],T_Shipments[RM_Code],$A77,T_Shipments[Effective_Week],20)</f>
        <v/>
      </c>
      <c r="V77">
        <f>SUMIFS(T_Shipments[Confirmed_Qty],T_Shipments[RM_Code],$A77,T_Shipments[Effective_Week],21)</f>
        <v/>
      </c>
      <c r="W77">
        <f>SUMIFS(T_Shipments[Confirmed_Qty],T_Shipments[RM_Code],$A77,T_Shipments[Effective_Week],22)</f>
        <v/>
      </c>
      <c r="X77">
        <f>SUMIFS(T_Shipments[Confirmed_Qty],T_Shipments[RM_Code],$A77,T_Shipments[Effective_Week],23)</f>
        <v/>
      </c>
      <c r="Y77">
        <f>SUMIFS(T_Shipments[Confirmed_Qty],T_Shipments[RM_Code],$A77,T_Shipments[Effective_Week],24)</f>
        <v/>
      </c>
      <c r="Z77">
        <f>SUMIFS(T_Shipments[Confirmed_Qty],T_Shipments[RM_Code],$A77,T_Shipments[Effective_Week],25)</f>
        <v/>
      </c>
      <c r="AA77">
        <f>SUMIFS(T_Shipments[Confirmed_Qty],T_Shipments[RM_Code],$A77,T_Shipments[Effective_Week],26)</f>
        <v/>
      </c>
      <c r="AB77">
        <f>SUMIFS(T_Shipments[Confirmed_Qty],T_Shipments[RM_Code],$A77,T_Shipments[Effective_Week],27)</f>
        <v/>
      </c>
      <c r="AC77">
        <f>SUMIFS(T_Shipments[Confirmed_Qty],T_Shipments[RM_Code],$A77,T_Shipments[Effective_Week],28)</f>
        <v/>
      </c>
      <c r="AD77">
        <f>SUMIFS(T_Shipments[Confirmed_Qty],T_Shipments[RM_Code],$A77,T_Shipments[Effective_Week],29)</f>
        <v/>
      </c>
      <c r="AE77">
        <f>SUMIFS(T_Shipments[Confirmed_Qty],T_Shipments[RM_Code],$A77,T_Shipments[Effective_Week],30)</f>
        <v/>
      </c>
      <c r="AF77">
        <f>SUMIFS(T_Shipments[Confirmed_Qty],T_Shipments[RM_Code],$A77,T_Shipments[Effective_Week],31)</f>
        <v/>
      </c>
      <c r="AG77">
        <f>SUMIFS(T_Shipments[Confirmed_Qty],T_Shipments[RM_Code],$A77,T_Shipments[Effective_Week],32)</f>
        <v/>
      </c>
      <c r="AH77">
        <f>SUMIFS(T_Shipments[Confirmed_Qty],T_Shipments[RM_Code],$A77,T_Shipments[Effective_Week],33)</f>
        <v/>
      </c>
      <c r="AI77">
        <f>SUMIFS(T_Shipments[Confirmed_Qty],T_Shipments[RM_Code],$A77,T_Shipments[Effective_Week],34)</f>
        <v/>
      </c>
      <c r="AJ77">
        <f>SUMIFS(T_Shipments[Confirmed_Qty],T_Shipments[RM_Code],$A77,T_Shipments[Effective_Week],35)</f>
        <v/>
      </c>
      <c r="AK77">
        <f>SUMIFS(T_Shipments[Confirmed_Qty],T_Shipments[RM_Code],$A77,T_Shipments[Effective_Week],36)</f>
        <v/>
      </c>
      <c r="AL77">
        <f>SUMIFS(T_Shipments[Confirmed_Qty],T_Shipments[RM_Code],$A77,T_Shipments[Effective_Week],37)</f>
        <v/>
      </c>
      <c r="AM77">
        <f>SUMIFS(T_Shipments[Confirmed_Qty],T_Shipments[RM_Code],$A77,T_Shipments[Effective_Week],38)</f>
        <v/>
      </c>
      <c r="AN77">
        <f>SUMIFS(T_Shipments[Confirmed_Qty],T_Shipments[RM_Code],$A77,T_Shipments[Effective_Week],39)</f>
        <v/>
      </c>
      <c r="AO77">
        <f>SUMIFS(T_Shipments[Confirmed_Qty],T_Shipments[RM_Code],$A77,T_Shipments[Effective_Week],40)</f>
        <v/>
      </c>
      <c r="AP77">
        <f>SUMIFS(T_Shipments[Confirmed_Qty],T_Shipments[RM_Code],$A77,T_Shipments[Effective_Week],41)</f>
        <v/>
      </c>
      <c r="AQ77">
        <f>SUMIFS(T_Shipments[Confirmed_Qty],T_Shipments[RM_Code],$A77,T_Shipments[Effective_Week],42)</f>
        <v/>
      </c>
      <c r="AR77">
        <f>SUMIFS(T_Shipments[Confirmed_Qty],T_Shipments[RM_Code],$A77,T_Shipments[Effective_Week],43)</f>
        <v/>
      </c>
      <c r="AS77">
        <f>SUMIFS(T_Shipments[Confirmed_Qty],T_Shipments[RM_Code],$A77,T_Shipments[Effective_Week],44)</f>
        <v/>
      </c>
      <c r="AT77">
        <f>SUMIFS(T_Shipments[Confirmed_Qty],T_Shipments[RM_Code],$A77,T_Shipments[Effective_Week],45)</f>
        <v/>
      </c>
      <c r="AU77">
        <f>SUMIFS(T_Shipments[Confirmed_Qty],T_Shipments[RM_Code],$A77,T_Shipments[Effective_Week],46)</f>
        <v/>
      </c>
      <c r="AV77">
        <f>SUMIFS(T_Shipments[Confirmed_Qty],T_Shipments[RM_Code],$A77,T_Shipments[Effective_Week],47)</f>
        <v/>
      </c>
      <c r="AW77">
        <f>SUMIFS(T_Shipments[Confirmed_Qty],T_Shipments[RM_Code],$A77,T_Shipments[Effective_Week],48)</f>
        <v/>
      </c>
      <c r="AX77">
        <f>SUMIFS(T_Shipments[Confirmed_Qty],T_Shipments[RM_Code],$A77,T_Shipments[Effective_Week],49)</f>
        <v/>
      </c>
      <c r="AY77">
        <f>SUMIFS(T_Shipments[Confirmed_Qty],T_Shipments[RM_Code],$A77,T_Shipments[Effective_Week],50)</f>
        <v/>
      </c>
      <c r="AZ77">
        <f>SUMIFS(T_Shipments[Confirmed_Qty],T_Shipments[RM_Code],$A77,T_Shipments[Effective_Week],51)</f>
        <v/>
      </c>
      <c r="BA77">
        <f>SUMIFS(T_Shipments[Confirmed_Qty],T_Shipments[RM_Code],$A77,T_Shipments[Effective_Week],52)</f>
        <v/>
      </c>
      <c r="BB77">
        <f>SUMIFS(T_Shipments[Confirmed_Qty],T_Shipments[RM_Code],$A77,T_Shipments[Effective_Week],53)</f>
        <v/>
      </c>
      <c r="BC77">
        <f>SUMIFS(T_Shipments[Confirmed_Qty],T_Shipments[RM_Code],$A77,T_Shipments[Effective_Week],54)</f>
        <v/>
      </c>
      <c r="BD77">
        <f>SUMIFS(T_Shipments[Confirmed_Qty],T_Shipments[RM_Code],$A77,T_Shipments[Effective_Week],55)</f>
        <v/>
      </c>
      <c r="BE77">
        <f>SUMIFS(T_Shipments[Confirmed_Qty],T_Shipments[RM_Code],$A77,T_Shipments[Effective_Week],56)</f>
        <v/>
      </c>
      <c r="BF77">
        <f>SUMIFS(T_Shipments[Confirmed_Qty],T_Shipments[RM_Code],$A77,T_Shipments[Effective_Week],57)</f>
        <v/>
      </c>
      <c r="BG77">
        <f>SUMIFS(T_Shipments[Confirmed_Qty],T_Shipments[RM_Code],$A77,T_Shipments[Effective_Week],58)</f>
        <v/>
      </c>
      <c r="BH77">
        <f>SUMIFS(T_Shipments[Confirmed_Qty],T_Shipments[RM_Code],$A77,T_Shipments[Effective_Week],59)</f>
        <v/>
      </c>
      <c r="BI77">
        <f>SUMIFS(T_Shipments[Confirmed_Qty],T_Shipments[RM_Code],$A77,T_Shipments[Effective_Week],60)</f>
        <v/>
      </c>
      <c r="BJ77">
        <f>SUMIFS(T_Shipments[Confirmed_Qty],T_Shipments[RM_Code],$A77,T_Shipments[Effective_Week],61)</f>
        <v/>
      </c>
      <c r="BK77">
        <f>SUMIFS(T_Shipments[Confirmed_Qty],T_Shipments[RM_Code],$A77,T_Shipments[Effective_Week],62)</f>
        <v/>
      </c>
      <c r="BL77">
        <f>SUMIFS(T_Shipments[Confirmed_Qty],T_Shipments[RM_Code],$A77,T_Shipments[Effective_Week],63)</f>
        <v/>
      </c>
      <c r="BM77">
        <f>SUMIFS(T_Shipments[Confirmed_Qty],T_Shipments[RM_Code],$A77,T_Shipments[Effective_Week],64)</f>
        <v/>
      </c>
      <c r="BN77">
        <f>SUMIFS(T_Shipments[Confirmed_Qty],T_Shipments[RM_Code],$A77,T_Shipments[Effective_Week],65)</f>
        <v/>
      </c>
      <c r="BO77">
        <f>SUMIFS(T_Shipments[Confirmed_Qty],T_Shipments[RM_Code],$A77,T_Shipments[Effective_Week],66)</f>
        <v/>
      </c>
      <c r="BP77">
        <f>SUMIFS(T_Shipments[Confirmed_Qty],T_Shipments[RM_Code],$A77,T_Shipments[Effective_Week],67)</f>
        <v/>
      </c>
      <c r="BQ77">
        <f>SUMIFS(T_Shipments[Confirmed_Qty],T_Shipments[RM_Code],$A77,T_Shipments[Effective_Week],68)</f>
        <v/>
      </c>
      <c r="BR77">
        <f>SUMIFS(T_Shipments[Confirmed_Qty],T_Shipments[RM_Code],$A77,T_Shipments[Effective_Week],69)</f>
        <v/>
      </c>
      <c r="BS77">
        <f>SUMIFS(T_Shipments[Confirmed_Qty],T_Shipments[RM_Code],$A77,T_Shipments[Effective_Week],70)</f>
        <v/>
      </c>
      <c r="BT77">
        <f>SUMIFS(T_Shipments[Confirmed_Qty],T_Shipments[RM_Code],$A77,T_Shipments[Effective_Week],71)</f>
        <v/>
      </c>
      <c r="BU77">
        <f>SUMIFS(T_Shipments[Confirmed_Qty],T_Shipments[RM_Code],$A77,T_Shipments[Effective_Week],72)</f>
        <v/>
      </c>
      <c r="BV77">
        <f>SUMIFS(T_Shipments[Confirmed_Qty],T_Shipments[RM_Code],$A77,T_Shipments[Effective_Week],73)</f>
        <v/>
      </c>
      <c r="BW77">
        <f>SUMIFS(T_Shipments[Confirmed_Qty],T_Shipments[RM_Code],$A77,T_Shipments[Effective_Week],74)</f>
        <v/>
      </c>
      <c r="BX77">
        <f>SUMIFS(T_Shipments[Confirmed_Qty],T_Shipments[RM_Code],$A77,T_Shipments[Effective_Week],75)</f>
        <v/>
      </c>
      <c r="BY77">
        <f>SUMIFS(T_Shipments[Confirmed_Qty],T_Shipments[RM_Code],$A77,T_Shipments[Effective_Week],76)</f>
        <v/>
      </c>
      <c r="BZ77">
        <f>SUMIFS(T_Shipments[Confirmed_Qty],T_Shipments[RM_Code],$A77,T_Shipments[Effective_Week],77)</f>
        <v/>
      </c>
      <c r="CA77">
        <f>SUMIFS(T_Shipments[Confirmed_Qty],T_Shipments[RM_Code],$A77,T_Shipments[Effective_Week],78)</f>
        <v/>
      </c>
      <c r="CB77">
        <f>SUMIFS(T_Shipments[Confirmed_Qty],T_Shipments[RM_Code],$A77,T_Shipments[Effective_Week],79)</f>
        <v/>
      </c>
      <c r="CC77">
        <f>SUMIFS(T_Shipments[Confirmed_Qty],T_Shipments[RM_Code],$A77,T_Shipments[Effective_Week],80)</f>
        <v/>
      </c>
      <c r="CD77">
        <f>SUMIFS(T_Shipments[Confirmed_Qty],T_Shipments[RM_Code],$A77,T_Shipments[Effective_Week],81)</f>
        <v/>
      </c>
      <c r="CE77">
        <f>SUMIFS(T_Shipments[Confirmed_Qty],T_Shipments[RM_Code],$A77,T_Shipments[Effective_Week],82)</f>
        <v/>
      </c>
      <c r="CF77">
        <f>SUMIFS(T_Shipments[Confirmed_Qty],T_Shipments[RM_Code],$A77,T_Shipments[Effective_Week],83)</f>
        <v/>
      </c>
      <c r="CG77">
        <f>SUMIFS(T_Shipments[Confirmed_Qty],T_Shipments[RM_Code],$A77,T_Shipments[Effective_Week],84)</f>
        <v/>
      </c>
      <c r="CH77">
        <f>SUMIFS(T_Shipments[Confirmed_Qty],T_Shipments[RM_Code],$A77,T_Shipments[Effective_Week],85)</f>
        <v/>
      </c>
      <c r="CI77">
        <f>SUMIFS(T_Shipments[Confirmed_Qty],T_Shipments[RM_Code],$A77,T_Shipments[Effective_Week],86)</f>
        <v/>
      </c>
      <c r="CJ77">
        <f>SUMIFS(T_Shipments[Confirmed_Qty],T_Shipments[RM_Code],$A77,T_Shipments[Effective_Week],87)</f>
        <v/>
      </c>
      <c r="CK77">
        <f>SUMIFS(T_Shipments[Confirmed_Qty],T_Shipments[RM_Code],$A77,T_Shipments[Effective_Week],88)</f>
        <v/>
      </c>
      <c r="CL77">
        <f>SUMIFS(T_Shipments[Confirmed_Qty],T_Shipments[RM_Code],$A77,T_Shipments[Effective_Week],89)</f>
        <v/>
      </c>
      <c r="CM77">
        <f>SUMIFS(T_Shipments[Confirmed_Qty],T_Shipments[RM_Code],$A77,T_Shipments[Effective_Week],90)</f>
        <v/>
      </c>
      <c r="CN77">
        <f>SUMIFS(T_Shipments[Confirmed_Qty],T_Shipments[RM_Code],$A77,T_Shipments[Effective_Week],91)</f>
        <v/>
      </c>
      <c r="CO77">
        <f>SUMIFS(T_Shipments[Confirmed_Qty],T_Shipments[RM_Code],$A77,T_Shipments[Effective_Week],92)</f>
        <v/>
      </c>
      <c r="CP77">
        <f>SUMIFS(T_Shipments[Confirmed_Qty],T_Shipments[RM_Code],$A77,T_Shipments[Effective_Week],93)</f>
        <v/>
      </c>
      <c r="CQ77">
        <f>SUMIFS(T_Shipments[Confirmed_Qty],T_Shipments[RM_Code],$A77,T_Shipments[Effective_Week],94)</f>
        <v/>
      </c>
      <c r="CR77">
        <f>SUMIFS(T_Shipments[Confirmed_Qty],T_Shipments[RM_Code],$A77,T_Shipments[Effective_Week],95)</f>
        <v/>
      </c>
      <c r="CS77">
        <f>SUMIFS(T_Shipments[Confirmed_Qty],T_Shipments[RM_Code],$A77,T_Shipments[Effective_Week],96)</f>
        <v/>
      </c>
      <c r="CT77">
        <f>SUMIFS(T_Shipments[Confirmed_Qty],T_Shipments[RM_Code],$A77,T_Shipments[Effective_Week],97)</f>
        <v/>
      </c>
      <c r="CU77">
        <f>SUMIFS(T_Shipments[Confirmed_Qty],T_Shipments[RM_Code],$A77,T_Shipments[Effective_Week],98)</f>
        <v/>
      </c>
      <c r="CV77">
        <f>SUMIFS(T_Shipments[Confirmed_Qty],T_Shipments[RM_Code],$A77,T_Shipments[Effective_Week],99)</f>
        <v/>
      </c>
      <c r="CW77">
        <f>SUMIFS(T_Shipments[Confirmed_Qty],T_Shipments[RM_Code],$A77,T_Shipments[Effective_Week],100)</f>
        <v/>
      </c>
      <c r="CX77">
        <f>SUMIFS(T_Shipments[Confirmed_Qty],T_Shipments[RM_Code],$A77,T_Shipments[Effective_Week],101)</f>
        <v/>
      </c>
      <c r="CY77">
        <f>SUMIFS(T_Shipments[Confirmed_Qty],T_Shipments[RM_Code],$A77,T_Shipments[Effective_Week],102)</f>
        <v/>
      </c>
      <c r="CZ77">
        <f>SUMIFS(T_Shipments[Confirmed_Qty],T_Shipments[RM_Code],$A77,T_Shipments[Effective_Week],103)</f>
        <v/>
      </c>
      <c r="DA77">
        <f>SUMIFS(T_Shipments[Confirmed_Qty],T_Shipments[RM_Code],$A77,T_Shipments[Effective_Week],104)</f>
        <v/>
      </c>
    </row>
    <row r="78">
      <c r="A78" t="inlineStr">
        <is>
          <t>Chem-1610</t>
        </is>
      </c>
      <c r="B78">
        <f>SUMIFS(T_Shipments[Confirmed_Qty],T_Shipments[RM_Code],$A78,T_Shipments[Effective_Week],1)</f>
        <v/>
      </c>
      <c r="C78">
        <f>SUMIFS(T_Shipments[Confirmed_Qty],T_Shipments[RM_Code],$A78,T_Shipments[Effective_Week],2)</f>
        <v/>
      </c>
      <c r="D78">
        <f>SUMIFS(T_Shipments[Confirmed_Qty],T_Shipments[RM_Code],$A78,T_Shipments[Effective_Week],3)</f>
        <v/>
      </c>
      <c r="E78">
        <f>SUMIFS(T_Shipments[Confirmed_Qty],T_Shipments[RM_Code],$A78,T_Shipments[Effective_Week],4)</f>
        <v/>
      </c>
      <c r="F78">
        <f>SUMIFS(T_Shipments[Confirmed_Qty],T_Shipments[RM_Code],$A78,T_Shipments[Effective_Week],5)</f>
        <v/>
      </c>
      <c r="G78">
        <f>SUMIFS(T_Shipments[Confirmed_Qty],T_Shipments[RM_Code],$A78,T_Shipments[Effective_Week],6)</f>
        <v/>
      </c>
      <c r="H78">
        <f>SUMIFS(T_Shipments[Confirmed_Qty],T_Shipments[RM_Code],$A78,T_Shipments[Effective_Week],7)</f>
        <v/>
      </c>
      <c r="I78">
        <f>SUMIFS(T_Shipments[Confirmed_Qty],T_Shipments[RM_Code],$A78,T_Shipments[Effective_Week],8)</f>
        <v/>
      </c>
      <c r="J78">
        <f>SUMIFS(T_Shipments[Confirmed_Qty],T_Shipments[RM_Code],$A78,T_Shipments[Effective_Week],9)</f>
        <v/>
      </c>
      <c r="K78">
        <f>SUMIFS(T_Shipments[Confirmed_Qty],T_Shipments[RM_Code],$A78,T_Shipments[Effective_Week],10)</f>
        <v/>
      </c>
      <c r="L78">
        <f>SUMIFS(T_Shipments[Confirmed_Qty],T_Shipments[RM_Code],$A78,T_Shipments[Effective_Week],11)</f>
        <v/>
      </c>
      <c r="M78">
        <f>SUMIFS(T_Shipments[Confirmed_Qty],T_Shipments[RM_Code],$A78,T_Shipments[Effective_Week],12)</f>
        <v/>
      </c>
      <c r="N78">
        <f>SUMIFS(T_Shipments[Confirmed_Qty],T_Shipments[RM_Code],$A78,T_Shipments[Effective_Week],13)</f>
        <v/>
      </c>
      <c r="O78">
        <f>SUMIFS(T_Shipments[Confirmed_Qty],T_Shipments[RM_Code],$A78,T_Shipments[Effective_Week],14)</f>
        <v/>
      </c>
      <c r="P78">
        <f>SUMIFS(T_Shipments[Confirmed_Qty],T_Shipments[RM_Code],$A78,T_Shipments[Effective_Week],15)</f>
        <v/>
      </c>
      <c r="Q78">
        <f>SUMIFS(T_Shipments[Confirmed_Qty],T_Shipments[RM_Code],$A78,T_Shipments[Effective_Week],16)</f>
        <v/>
      </c>
      <c r="R78">
        <f>SUMIFS(T_Shipments[Confirmed_Qty],T_Shipments[RM_Code],$A78,T_Shipments[Effective_Week],17)</f>
        <v/>
      </c>
      <c r="S78">
        <f>SUMIFS(T_Shipments[Confirmed_Qty],T_Shipments[RM_Code],$A78,T_Shipments[Effective_Week],18)</f>
        <v/>
      </c>
      <c r="T78">
        <f>SUMIFS(T_Shipments[Confirmed_Qty],T_Shipments[RM_Code],$A78,T_Shipments[Effective_Week],19)</f>
        <v/>
      </c>
      <c r="U78">
        <f>SUMIFS(T_Shipments[Confirmed_Qty],T_Shipments[RM_Code],$A78,T_Shipments[Effective_Week],20)</f>
        <v/>
      </c>
      <c r="V78">
        <f>SUMIFS(T_Shipments[Confirmed_Qty],T_Shipments[RM_Code],$A78,T_Shipments[Effective_Week],21)</f>
        <v/>
      </c>
      <c r="W78">
        <f>SUMIFS(T_Shipments[Confirmed_Qty],T_Shipments[RM_Code],$A78,T_Shipments[Effective_Week],22)</f>
        <v/>
      </c>
      <c r="X78">
        <f>SUMIFS(T_Shipments[Confirmed_Qty],T_Shipments[RM_Code],$A78,T_Shipments[Effective_Week],23)</f>
        <v/>
      </c>
      <c r="Y78">
        <f>SUMIFS(T_Shipments[Confirmed_Qty],T_Shipments[RM_Code],$A78,T_Shipments[Effective_Week],24)</f>
        <v/>
      </c>
      <c r="Z78">
        <f>SUMIFS(T_Shipments[Confirmed_Qty],T_Shipments[RM_Code],$A78,T_Shipments[Effective_Week],25)</f>
        <v/>
      </c>
      <c r="AA78">
        <f>SUMIFS(T_Shipments[Confirmed_Qty],T_Shipments[RM_Code],$A78,T_Shipments[Effective_Week],26)</f>
        <v/>
      </c>
      <c r="AB78">
        <f>SUMIFS(T_Shipments[Confirmed_Qty],T_Shipments[RM_Code],$A78,T_Shipments[Effective_Week],27)</f>
        <v/>
      </c>
      <c r="AC78">
        <f>SUMIFS(T_Shipments[Confirmed_Qty],T_Shipments[RM_Code],$A78,T_Shipments[Effective_Week],28)</f>
        <v/>
      </c>
      <c r="AD78">
        <f>SUMIFS(T_Shipments[Confirmed_Qty],T_Shipments[RM_Code],$A78,T_Shipments[Effective_Week],29)</f>
        <v/>
      </c>
      <c r="AE78">
        <f>SUMIFS(T_Shipments[Confirmed_Qty],T_Shipments[RM_Code],$A78,T_Shipments[Effective_Week],30)</f>
        <v/>
      </c>
      <c r="AF78">
        <f>SUMIFS(T_Shipments[Confirmed_Qty],T_Shipments[RM_Code],$A78,T_Shipments[Effective_Week],31)</f>
        <v/>
      </c>
      <c r="AG78">
        <f>SUMIFS(T_Shipments[Confirmed_Qty],T_Shipments[RM_Code],$A78,T_Shipments[Effective_Week],32)</f>
        <v/>
      </c>
      <c r="AH78">
        <f>SUMIFS(T_Shipments[Confirmed_Qty],T_Shipments[RM_Code],$A78,T_Shipments[Effective_Week],33)</f>
        <v/>
      </c>
      <c r="AI78">
        <f>SUMIFS(T_Shipments[Confirmed_Qty],T_Shipments[RM_Code],$A78,T_Shipments[Effective_Week],34)</f>
        <v/>
      </c>
      <c r="AJ78">
        <f>SUMIFS(T_Shipments[Confirmed_Qty],T_Shipments[RM_Code],$A78,T_Shipments[Effective_Week],35)</f>
        <v/>
      </c>
      <c r="AK78">
        <f>SUMIFS(T_Shipments[Confirmed_Qty],T_Shipments[RM_Code],$A78,T_Shipments[Effective_Week],36)</f>
        <v/>
      </c>
      <c r="AL78">
        <f>SUMIFS(T_Shipments[Confirmed_Qty],T_Shipments[RM_Code],$A78,T_Shipments[Effective_Week],37)</f>
        <v/>
      </c>
      <c r="AM78">
        <f>SUMIFS(T_Shipments[Confirmed_Qty],T_Shipments[RM_Code],$A78,T_Shipments[Effective_Week],38)</f>
        <v/>
      </c>
      <c r="AN78">
        <f>SUMIFS(T_Shipments[Confirmed_Qty],T_Shipments[RM_Code],$A78,T_Shipments[Effective_Week],39)</f>
        <v/>
      </c>
      <c r="AO78">
        <f>SUMIFS(T_Shipments[Confirmed_Qty],T_Shipments[RM_Code],$A78,T_Shipments[Effective_Week],40)</f>
        <v/>
      </c>
      <c r="AP78">
        <f>SUMIFS(T_Shipments[Confirmed_Qty],T_Shipments[RM_Code],$A78,T_Shipments[Effective_Week],41)</f>
        <v/>
      </c>
      <c r="AQ78">
        <f>SUMIFS(T_Shipments[Confirmed_Qty],T_Shipments[RM_Code],$A78,T_Shipments[Effective_Week],42)</f>
        <v/>
      </c>
      <c r="AR78">
        <f>SUMIFS(T_Shipments[Confirmed_Qty],T_Shipments[RM_Code],$A78,T_Shipments[Effective_Week],43)</f>
        <v/>
      </c>
      <c r="AS78">
        <f>SUMIFS(T_Shipments[Confirmed_Qty],T_Shipments[RM_Code],$A78,T_Shipments[Effective_Week],44)</f>
        <v/>
      </c>
      <c r="AT78">
        <f>SUMIFS(T_Shipments[Confirmed_Qty],T_Shipments[RM_Code],$A78,T_Shipments[Effective_Week],45)</f>
        <v/>
      </c>
      <c r="AU78">
        <f>SUMIFS(T_Shipments[Confirmed_Qty],T_Shipments[RM_Code],$A78,T_Shipments[Effective_Week],46)</f>
        <v/>
      </c>
      <c r="AV78">
        <f>SUMIFS(T_Shipments[Confirmed_Qty],T_Shipments[RM_Code],$A78,T_Shipments[Effective_Week],47)</f>
        <v/>
      </c>
      <c r="AW78">
        <f>SUMIFS(T_Shipments[Confirmed_Qty],T_Shipments[RM_Code],$A78,T_Shipments[Effective_Week],48)</f>
        <v/>
      </c>
      <c r="AX78">
        <f>SUMIFS(T_Shipments[Confirmed_Qty],T_Shipments[RM_Code],$A78,T_Shipments[Effective_Week],49)</f>
        <v/>
      </c>
      <c r="AY78">
        <f>SUMIFS(T_Shipments[Confirmed_Qty],T_Shipments[RM_Code],$A78,T_Shipments[Effective_Week],50)</f>
        <v/>
      </c>
      <c r="AZ78">
        <f>SUMIFS(T_Shipments[Confirmed_Qty],T_Shipments[RM_Code],$A78,T_Shipments[Effective_Week],51)</f>
        <v/>
      </c>
      <c r="BA78">
        <f>SUMIFS(T_Shipments[Confirmed_Qty],T_Shipments[RM_Code],$A78,T_Shipments[Effective_Week],52)</f>
        <v/>
      </c>
      <c r="BB78">
        <f>SUMIFS(T_Shipments[Confirmed_Qty],T_Shipments[RM_Code],$A78,T_Shipments[Effective_Week],53)</f>
        <v/>
      </c>
      <c r="BC78">
        <f>SUMIFS(T_Shipments[Confirmed_Qty],T_Shipments[RM_Code],$A78,T_Shipments[Effective_Week],54)</f>
        <v/>
      </c>
      <c r="BD78">
        <f>SUMIFS(T_Shipments[Confirmed_Qty],T_Shipments[RM_Code],$A78,T_Shipments[Effective_Week],55)</f>
        <v/>
      </c>
      <c r="BE78">
        <f>SUMIFS(T_Shipments[Confirmed_Qty],T_Shipments[RM_Code],$A78,T_Shipments[Effective_Week],56)</f>
        <v/>
      </c>
      <c r="BF78">
        <f>SUMIFS(T_Shipments[Confirmed_Qty],T_Shipments[RM_Code],$A78,T_Shipments[Effective_Week],57)</f>
        <v/>
      </c>
      <c r="BG78">
        <f>SUMIFS(T_Shipments[Confirmed_Qty],T_Shipments[RM_Code],$A78,T_Shipments[Effective_Week],58)</f>
        <v/>
      </c>
      <c r="BH78">
        <f>SUMIFS(T_Shipments[Confirmed_Qty],T_Shipments[RM_Code],$A78,T_Shipments[Effective_Week],59)</f>
        <v/>
      </c>
      <c r="BI78">
        <f>SUMIFS(T_Shipments[Confirmed_Qty],T_Shipments[RM_Code],$A78,T_Shipments[Effective_Week],60)</f>
        <v/>
      </c>
      <c r="BJ78">
        <f>SUMIFS(T_Shipments[Confirmed_Qty],T_Shipments[RM_Code],$A78,T_Shipments[Effective_Week],61)</f>
        <v/>
      </c>
      <c r="BK78">
        <f>SUMIFS(T_Shipments[Confirmed_Qty],T_Shipments[RM_Code],$A78,T_Shipments[Effective_Week],62)</f>
        <v/>
      </c>
      <c r="BL78">
        <f>SUMIFS(T_Shipments[Confirmed_Qty],T_Shipments[RM_Code],$A78,T_Shipments[Effective_Week],63)</f>
        <v/>
      </c>
      <c r="BM78">
        <f>SUMIFS(T_Shipments[Confirmed_Qty],T_Shipments[RM_Code],$A78,T_Shipments[Effective_Week],64)</f>
        <v/>
      </c>
      <c r="BN78">
        <f>SUMIFS(T_Shipments[Confirmed_Qty],T_Shipments[RM_Code],$A78,T_Shipments[Effective_Week],65)</f>
        <v/>
      </c>
      <c r="BO78">
        <f>SUMIFS(T_Shipments[Confirmed_Qty],T_Shipments[RM_Code],$A78,T_Shipments[Effective_Week],66)</f>
        <v/>
      </c>
      <c r="BP78">
        <f>SUMIFS(T_Shipments[Confirmed_Qty],T_Shipments[RM_Code],$A78,T_Shipments[Effective_Week],67)</f>
        <v/>
      </c>
      <c r="BQ78">
        <f>SUMIFS(T_Shipments[Confirmed_Qty],T_Shipments[RM_Code],$A78,T_Shipments[Effective_Week],68)</f>
        <v/>
      </c>
      <c r="BR78">
        <f>SUMIFS(T_Shipments[Confirmed_Qty],T_Shipments[RM_Code],$A78,T_Shipments[Effective_Week],69)</f>
        <v/>
      </c>
      <c r="BS78">
        <f>SUMIFS(T_Shipments[Confirmed_Qty],T_Shipments[RM_Code],$A78,T_Shipments[Effective_Week],70)</f>
        <v/>
      </c>
      <c r="BT78">
        <f>SUMIFS(T_Shipments[Confirmed_Qty],T_Shipments[RM_Code],$A78,T_Shipments[Effective_Week],71)</f>
        <v/>
      </c>
      <c r="BU78">
        <f>SUMIFS(T_Shipments[Confirmed_Qty],T_Shipments[RM_Code],$A78,T_Shipments[Effective_Week],72)</f>
        <v/>
      </c>
      <c r="BV78">
        <f>SUMIFS(T_Shipments[Confirmed_Qty],T_Shipments[RM_Code],$A78,T_Shipments[Effective_Week],73)</f>
        <v/>
      </c>
      <c r="BW78">
        <f>SUMIFS(T_Shipments[Confirmed_Qty],T_Shipments[RM_Code],$A78,T_Shipments[Effective_Week],74)</f>
        <v/>
      </c>
      <c r="BX78">
        <f>SUMIFS(T_Shipments[Confirmed_Qty],T_Shipments[RM_Code],$A78,T_Shipments[Effective_Week],75)</f>
        <v/>
      </c>
      <c r="BY78">
        <f>SUMIFS(T_Shipments[Confirmed_Qty],T_Shipments[RM_Code],$A78,T_Shipments[Effective_Week],76)</f>
        <v/>
      </c>
      <c r="BZ78">
        <f>SUMIFS(T_Shipments[Confirmed_Qty],T_Shipments[RM_Code],$A78,T_Shipments[Effective_Week],77)</f>
        <v/>
      </c>
      <c r="CA78">
        <f>SUMIFS(T_Shipments[Confirmed_Qty],T_Shipments[RM_Code],$A78,T_Shipments[Effective_Week],78)</f>
        <v/>
      </c>
      <c r="CB78">
        <f>SUMIFS(T_Shipments[Confirmed_Qty],T_Shipments[RM_Code],$A78,T_Shipments[Effective_Week],79)</f>
        <v/>
      </c>
      <c r="CC78">
        <f>SUMIFS(T_Shipments[Confirmed_Qty],T_Shipments[RM_Code],$A78,T_Shipments[Effective_Week],80)</f>
        <v/>
      </c>
      <c r="CD78">
        <f>SUMIFS(T_Shipments[Confirmed_Qty],T_Shipments[RM_Code],$A78,T_Shipments[Effective_Week],81)</f>
        <v/>
      </c>
      <c r="CE78">
        <f>SUMIFS(T_Shipments[Confirmed_Qty],T_Shipments[RM_Code],$A78,T_Shipments[Effective_Week],82)</f>
        <v/>
      </c>
      <c r="CF78">
        <f>SUMIFS(T_Shipments[Confirmed_Qty],T_Shipments[RM_Code],$A78,T_Shipments[Effective_Week],83)</f>
        <v/>
      </c>
      <c r="CG78">
        <f>SUMIFS(T_Shipments[Confirmed_Qty],T_Shipments[RM_Code],$A78,T_Shipments[Effective_Week],84)</f>
        <v/>
      </c>
      <c r="CH78">
        <f>SUMIFS(T_Shipments[Confirmed_Qty],T_Shipments[RM_Code],$A78,T_Shipments[Effective_Week],85)</f>
        <v/>
      </c>
      <c r="CI78">
        <f>SUMIFS(T_Shipments[Confirmed_Qty],T_Shipments[RM_Code],$A78,T_Shipments[Effective_Week],86)</f>
        <v/>
      </c>
      <c r="CJ78">
        <f>SUMIFS(T_Shipments[Confirmed_Qty],T_Shipments[RM_Code],$A78,T_Shipments[Effective_Week],87)</f>
        <v/>
      </c>
      <c r="CK78">
        <f>SUMIFS(T_Shipments[Confirmed_Qty],T_Shipments[RM_Code],$A78,T_Shipments[Effective_Week],88)</f>
        <v/>
      </c>
      <c r="CL78">
        <f>SUMIFS(T_Shipments[Confirmed_Qty],T_Shipments[RM_Code],$A78,T_Shipments[Effective_Week],89)</f>
        <v/>
      </c>
      <c r="CM78">
        <f>SUMIFS(T_Shipments[Confirmed_Qty],T_Shipments[RM_Code],$A78,T_Shipments[Effective_Week],90)</f>
        <v/>
      </c>
      <c r="CN78">
        <f>SUMIFS(T_Shipments[Confirmed_Qty],T_Shipments[RM_Code],$A78,T_Shipments[Effective_Week],91)</f>
        <v/>
      </c>
      <c r="CO78">
        <f>SUMIFS(T_Shipments[Confirmed_Qty],T_Shipments[RM_Code],$A78,T_Shipments[Effective_Week],92)</f>
        <v/>
      </c>
      <c r="CP78">
        <f>SUMIFS(T_Shipments[Confirmed_Qty],T_Shipments[RM_Code],$A78,T_Shipments[Effective_Week],93)</f>
        <v/>
      </c>
      <c r="CQ78">
        <f>SUMIFS(T_Shipments[Confirmed_Qty],T_Shipments[RM_Code],$A78,T_Shipments[Effective_Week],94)</f>
        <v/>
      </c>
      <c r="CR78">
        <f>SUMIFS(T_Shipments[Confirmed_Qty],T_Shipments[RM_Code],$A78,T_Shipments[Effective_Week],95)</f>
        <v/>
      </c>
      <c r="CS78">
        <f>SUMIFS(T_Shipments[Confirmed_Qty],T_Shipments[RM_Code],$A78,T_Shipments[Effective_Week],96)</f>
        <v/>
      </c>
      <c r="CT78">
        <f>SUMIFS(T_Shipments[Confirmed_Qty],T_Shipments[RM_Code],$A78,T_Shipments[Effective_Week],97)</f>
        <v/>
      </c>
      <c r="CU78">
        <f>SUMIFS(T_Shipments[Confirmed_Qty],T_Shipments[RM_Code],$A78,T_Shipments[Effective_Week],98)</f>
        <v/>
      </c>
      <c r="CV78">
        <f>SUMIFS(T_Shipments[Confirmed_Qty],T_Shipments[RM_Code],$A78,T_Shipments[Effective_Week],99)</f>
        <v/>
      </c>
      <c r="CW78">
        <f>SUMIFS(T_Shipments[Confirmed_Qty],T_Shipments[RM_Code],$A78,T_Shipments[Effective_Week],100)</f>
        <v/>
      </c>
      <c r="CX78">
        <f>SUMIFS(T_Shipments[Confirmed_Qty],T_Shipments[RM_Code],$A78,T_Shipments[Effective_Week],101)</f>
        <v/>
      </c>
      <c r="CY78">
        <f>SUMIFS(T_Shipments[Confirmed_Qty],T_Shipments[RM_Code],$A78,T_Shipments[Effective_Week],102)</f>
        <v/>
      </c>
      <c r="CZ78">
        <f>SUMIFS(T_Shipments[Confirmed_Qty],T_Shipments[RM_Code],$A78,T_Shipments[Effective_Week],103)</f>
        <v/>
      </c>
      <c r="DA78">
        <f>SUMIFS(T_Shipments[Confirmed_Qty],T_Shipments[RM_Code],$A78,T_Shipments[Effective_Week],104)</f>
        <v/>
      </c>
    </row>
    <row r="79">
      <c r="A79" t="inlineStr">
        <is>
          <t>Chem-1490</t>
        </is>
      </c>
      <c r="B79">
        <f>SUMIFS(T_Shipments[Confirmed_Qty],T_Shipments[RM_Code],$A79,T_Shipments[Effective_Week],1)</f>
        <v/>
      </c>
      <c r="C79">
        <f>SUMIFS(T_Shipments[Confirmed_Qty],T_Shipments[RM_Code],$A79,T_Shipments[Effective_Week],2)</f>
        <v/>
      </c>
      <c r="D79">
        <f>SUMIFS(T_Shipments[Confirmed_Qty],T_Shipments[RM_Code],$A79,T_Shipments[Effective_Week],3)</f>
        <v/>
      </c>
      <c r="E79">
        <f>SUMIFS(T_Shipments[Confirmed_Qty],T_Shipments[RM_Code],$A79,T_Shipments[Effective_Week],4)</f>
        <v/>
      </c>
      <c r="F79">
        <f>SUMIFS(T_Shipments[Confirmed_Qty],T_Shipments[RM_Code],$A79,T_Shipments[Effective_Week],5)</f>
        <v/>
      </c>
      <c r="G79">
        <f>SUMIFS(T_Shipments[Confirmed_Qty],T_Shipments[RM_Code],$A79,T_Shipments[Effective_Week],6)</f>
        <v/>
      </c>
      <c r="H79">
        <f>SUMIFS(T_Shipments[Confirmed_Qty],T_Shipments[RM_Code],$A79,T_Shipments[Effective_Week],7)</f>
        <v/>
      </c>
      <c r="I79">
        <f>SUMIFS(T_Shipments[Confirmed_Qty],T_Shipments[RM_Code],$A79,T_Shipments[Effective_Week],8)</f>
        <v/>
      </c>
      <c r="J79">
        <f>SUMIFS(T_Shipments[Confirmed_Qty],T_Shipments[RM_Code],$A79,T_Shipments[Effective_Week],9)</f>
        <v/>
      </c>
      <c r="K79">
        <f>SUMIFS(T_Shipments[Confirmed_Qty],T_Shipments[RM_Code],$A79,T_Shipments[Effective_Week],10)</f>
        <v/>
      </c>
      <c r="L79">
        <f>SUMIFS(T_Shipments[Confirmed_Qty],T_Shipments[RM_Code],$A79,T_Shipments[Effective_Week],11)</f>
        <v/>
      </c>
      <c r="M79">
        <f>SUMIFS(T_Shipments[Confirmed_Qty],T_Shipments[RM_Code],$A79,T_Shipments[Effective_Week],12)</f>
        <v/>
      </c>
      <c r="N79">
        <f>SUMIFS(T_Shipments[Confirmed_Qty],T_Shipments[RM_Code],$A79,T_Shipments[Effective_Week],13)</f>
        <v/>
      </c>
      <c r="O79">
        <f>SUMIFS(T_Shipments[Confirmed_Qty],T_Shipments[RM_Code],$A79,T_Shipments[Effective_Week],14)</f>
        <v/>
      </c>
      <c r="P79">
        <f>SUMIFS(T_Shipments[Confirmed_Qty],T_Shipments[RM_Code],$A79,T_Shipments[Effective_Week],15)</f>
        <v/>
      </c>
      <c r="Q79">
        <f>SUMIFS(T_Shipments[Confirmed_Qty],T_Shipments[RM_Code],$A79,T_Shipments[Effective_Week],16)</f>
        <v/>
      </c>
      <c r="R79">
        <f>SUMIFS(T_Shipments[Confirmed_Qty],T_Shipments[RM_Code],$A79,T_Shipments[Effective_Week],17)</f>
        <v/>
      </c>
      <c r="S79">
        <f>SUMIFS(T_Shipments[Confirmed_Qty],T_Shipments[RM_Code],$A79,T_Shipments[Effective_Week],18)</f>
        <v/>
      </c>
      <c r="T79">
        <f>SUMIFS(T_Shipments[Confirmed_Qty],T_Shipments[RM_Code],$A79,T_Shipments[Effective_Week],19)</f>
        <v/>
      </c>
      <c r="U79">
        <f>SUMIFS(T_Shipments[Confirmed_Qty],T_Shipments[RM_Code],$A79,T_Shipments[Effective_Week],20)</f>
        <v/>
      </c>
      <c r="V79">
        <f>SUMIFS(T_Shipments[Confirmed_Qty],T_Shipments[RM_Code],$A79,T_Shipments[Effective_Week],21)</f>
        <v/>
      </c>
      <c r="W79">
        <f>SUMIFS(T_Shipments[Confirmed_Qty],T_Shipments[RM_Code],$A79,T_Shipments[Effective_Week],22)</f>
        <v/>
      </c>
      <c r="X79">
        <f>SUMIFS(T_Shipments[Confirmed_Qty],T_Shipments[RM_Code],$A79,T_Shipments[Effective_Week],23)</f>
        <v/>
      </c>
      <c r="Y79">
        <f>SUMIFS(T_Shipments[Confirmed_Qty],T_Shipments[RM_Code],$A79,T_Shipments[Effective_Week],24)</f>
        <v/>
      </c>
      <c r="Z79">
        <f>SUMIFS(T_Shipments[Confirmed_Qty],T_Shipments[RM_Code],$A79,T_Shipments[Effective_Week],25)</f>
        <v/>
      </c>
      <c r="AA79">
        <f>SUMIFS(T_Shipments[Confirmed_Qty],T_Shipments[RM_Code],$A79,T_Shipments[Effective_Week],26)</f>
        <v/>
      </c>
      <c r="AB79">
        <f>SUMIFS(T_Shipments[Confirmed_Qty],T_Shipments[RM_Code],$A79,T_Shipments[Effective_Week],27)</f>
        <v/>
      </c>
      <c r="AC79">
        <f>SUMIFS(T_Shipments[Confirmed_Qty],T_Shipments[RM_Code],$A79,T_Shipments[Effective_Week],28)</f>
        <v/>
      </c>
      <c r="AD79">
        <f>SUMIFS(T_Shipments[Confirmed_Qty],T_Shipments[RM_Code],$A79,T_Shipments[Effective_Week],29)</f>
        <v/>
      </c>
      <c r="AE79">
        <f>SUMIFS(T_Shipments[Confirmed_Qty],T_Shipments[RM_Code],$A79,T_Shipments[Effective_Week],30)</f>
        <v/>
      </c>
      <c r="AF79">
        <f>SUMIFS(T_Shipments[Confirmed_Qty],T_Shipments[RM_Code],$A79,T_Shipments[Effective_Week],31)</f>
        <v/>
      </c>
      <c r="AG79">
        <f>SUMIFS(T_Shipments[Confirmed_Qty],T_Shipments[RM_Code],$A79,T_Shipments[Effective_Week],32)</f>
        <v/>
      </c>
      <c r="AH79">
        <f>SUMIFS(T_Shipments[Confirmed_Qty],T_Shipments[RM_Code],$A79,T_Shipments[Effective_Week],33)</f>
        <v/>
      </c>
      <c r="AI79">
        <f>SUMIFS(T_Shipments[Confirmed_Qty],T_Shipments[RM_Code],$A79,T_Shipments[Effective_Week],34)</f>
        <v/>
      </c>
      <c r="AJ79">
        <f>SUMIFS(T_Shipments[Confirmed_Qty],T_Shipments[RM_Code],$A79,T_Shipments[Effective_Week],35)</f>
        <v/>
      </c>
      <c r="AK79">
        <f>SUMIFS(T_Shipments[Confirmed_Qty],T_Shipments[RM_Code],$A79,T_Shipments[Effective_Week],36)</f>
        <v/>
      </c>
      <c r="AL79">
        <f>SUMIFS(T_Shipments[Confirmed_Qty],T_Shipments[RM_Code],$A79,T_Shipments[Effective_Week],37)</f>
        <v/>
      </c>
      <c r="AM79">
        <f>SUMIFS(T_Shipments[Confirmed_Qty],T_Shipments[RM_Code],$A79,T_Shipments[Effective_Week],38)</f>
        <v/>
      </c>
      <c r="AN79">
        <f>SUMIFS(T_Shipments[Confirmed_Qty],T_Shipments[RM_Code],$A79,T_Shipments[Effective_Week],39)</f>
        <v/>
      </c>
      <c r="AO79">
        <f>SUMIFS(T_Shipments[Confirmed_Qty],T_Shipments[RM_Code],$A79,T_Shipments[Effective_Week],40)</f>
        <v/>
      </c>
      <c r="AP79">
        <f>SUMIFS(T_Shipments[Confirmed_Qty],T_Shipments[RM_Code],$A79,T_Shipments[Effective_Week],41)</f>
        <v/>
      </c>
      <c r="AQ79">
        <f>SUMIFS(T_Shipments[Confirmed_Qty],T_Shipments[RM_Code],$A79,T_Shipments[Effective_Week],42)</f>
        <v/>
      </c>
      <c r="AR79">
        <f>SUMIFS(T_Shipments[Confirmed_Qty],T_Shipments[RM_Code],$A79,T_Shipments[Effective_Week],43)</f>
        <v/>
      </c>
      <c r="AS79">
        <f>SUMIFS(T_Shipments[Confirmed_Qty],T_Shipments[RM_Code],$A79,T_Shipments[Effective_Week],44)</f>
        <v/>
      </c>
      <c r="AT79">
        <f>SUMIFS(T_Shipments[Confirmed_Qty],T_Shipments[RM_Code],$A79,T_Shipments[Effective_Week],45)</f>
        <v/>
      </c>
      <c r="AU79">
        <f>SUMIFS(T_Shipments[Confirmed_Qty],T_Shipments[RM_Code],$A79,T_Shipments[Effective_Week],46)</f>
        <v/>
      </c>
      <c r="AV79">
        <f>SUMIFS(T_Shipments[Confirmed_Qty],T_Shipments[RM_Code],$A79,T_Shipments[Effective_Week],47)</f>
        <v/>
      </c>
      <c r="AW79">
        <f>SUMIFS(T_Shipments[Confirmed_Qty],T_Shipments[RM_Code],$A79,T_Shipments[Effective_Week],48)</f>
        <v/>
      </c>
      <c r="AX79">
        <f>SUMIFS(T_Shipments[Confirmed_Qty],T_Shipments[RM_Code],$A79,T_Shipments[Effective_Week],49)</f>
        <v/>
      </c>
      <c r="AY79">
        <f>SUMIFS(T_Shipments[Confirmed_Qty],T_Shipments[RM_Code],$A79,T_Shipments[Effective_Week],50)</f>
        <v/>
      </c>
      <c r="AZ79">
        <f>SUMIFS(T_Shipments[Confirmed_Qty],T_Shipments[RM_Code],$A79,T_Shipments[Effective_Week],51)</f>
        <v/>
      </c>
      <c r="BA79">
        <f>SUMIFS(T_Shipments[Confirmed_Qty],T_Shipments[RM_Code],$A79,T_Shipments[Effective_Week],52)</f>
        <v/>
      </c>
      <c r="BB79">
        <f>SUMIFS(T_Shipments[Confirmed_Qty],T_Shipments[RM_Code],$A79,T_Shipments[Effective_Week],53)</f>
        <v/>
      </c>
      <c r="BC79">
        <f>SUMIFS(T_Shipments[Confirmed_Qty],T_Shipments[RM_Code],$A79,T_Shipments[Effective_Week],54)</f>
        <v/>
      </c>
      <c r="BD79">
        <f>SUMIFS(T_Shipments[Confirmed_Qty],T_Shipments[RM_Code],$A79,T_Shipments[Effective_Week],55)</f>
        <v/>
      </c>
      <c r="BE79">
        <f>SUMIFS(T_Shipments[Confirmed_Qty],T_Shipments[RM_Code],$A79,T_Shipments[Effective_Week],56)</f>
        <v/>
      </c>
      <c r="BF79">
        <f>SUMIFS(T_Shipments[Confirmed_Qty],T_Shipments[RM_Code],$A79,T_Shipments[Effective_Week],57)</f>
        <v/>
      </c>
      <c r="BG79">
        <f>SUMIFS(T_Shipments[Confirmed_Qty],T_Shipments[RM_Code],$A79,T_Shipments[Effective_Week],58)</f>
        <v/>
      </c>
      <c r="BH79">
        <f>SUMIFS(T_Shipments[Confirmed_Qty],T_Shipments[RM_Code],$A79,T_Shipments[Effective_Week],59)</f>
        <v/>
      </c>
      <c r="BI79">
        <f>SUMIFS(T_Shipments[Confirmed_Qty],T_Shipments[RM_Code],$A79,T_Shipments[Effective_Week],60)</f>
        <v/>
      </c>
      <c r="BJ79">
        <f>SUMIFS(T_Shipments[Confirmed_Qty],T_Shipments[RM_Code],$A79,T_Shipments[Effective_Week],61)</f>
        <v/>
      </c>
      <c r="BK79">
        <f>SUMIFS(T_Shipments[Confirmed_Qty],T_Shipments[RM_Code],$A79,T_Shipments[Effective_Week],62)</f>
        <v/>
      </c>
      <c r="BL79">
        <f>SUMIFS(T_Shipments[Confirmed_Qty],T_Shipments[RM_Code],$A79,T_Shipments[Effective_Week],63)</f>
        <v/>
      </c>
      <c r="BM79">
        <f>SUMIFS(T_Shipments[Confirmed_Qty],T_Shipments[RM_Code],$A79,T_Shipments[Effective_Week],64)</f>
        <v/>
      </c>
      <c r="BN79">
        <f>SUMIFS(T_Shipments[Confirmed_Qty],T_Shipments[RM_Code],$A79,T_Shipments[Effective_Week],65)</f>
        <v/>
      </c>
      <c r="BO79">
        <f>SUMIFS(T_Shipments[Confirmed_Qty],T_Shipments[RM_Code],$A79,T_Shipments[Effective_Week],66)</f>
        <v/>
      </c>
      <c r="BP79">
        <f>SUMIFS(T_Shipments[Confirmed_Qty],T_Shipments[RM_Code],$A79,T_Shipments[Effective_Week],67)</f>
        <v/>
      </c>
      <c r="BQ79">
        <f>SUMIFS(T_Shipments[Confirmed_Qty],T_Shipments[RM_Code],$A79,T_Shipments[Effective_Week],68)</f>
        <v/>
      </c>
      <c r="BR79">
        <f>SUMIFS(T_Shipments[Confirmed_Qty],T_Shipments[RM_Code],$A79,T_Shipments[Effective_Week],69)</f>
        <v/>
      </c>
      <c r="BS79">
        <f>SUMIFS(T_Shipments[Confirmed_Qty],T_Shipments[RM_Code],$A79,T_Shipments[Effective_Week],70)</f>
        <v/>
      </c>
      <c r="BT79">
        <f>SUMIFS(T_Shipments[Confirmed_Qty],T_Shipments[RM_Code],$A79,T_Shipments[Effective_Week],71)</f>
        <v/>
      </c>
      <c r="BU79">
        <f>SUMIFS(T_Shipments[Confirmed_Qty],T_Shipments[RM_Code],$A79,T_Shipments[Effective_Week],72)</f>
        <v/>
      </c>
      <c r="BV79">
        <f>SUMIFS(T_Shipments[Confirmed_Qty],T_Shipments[RM_Code],$A79,T_Shipments[Effective_Week],73)</f>
        <v/>
      </c>
      <c r="BW79">
        <f>SUMIFS(T_Shipments[Confirmed_Qty],T_Shipments[RM_Code],$A79,T_Shipments[Effective_Week],74)</f>
        <v/>
      </c>
      <c r="BX79">
        <f>SUMIFS(T_Shipments[Confirmed_Qty],T_Shipments[RM_Code],$A79,T_Shipments[Effective_Week],75)</f>
        <v/>
      </c>
      <c r="BY79">
        <f>SUMIFS(T_Shipments[Confirmed_Qty],T_Shipments[RM_Code],$A79,T_Shipments[Effective_Week],76)</f>
        <v/>
      </c>
      <c r="BZ79">
        <f>SUMIFS(T_Shipments[Confirmed_Qty],T_Shipments[RM_Code],$A79,T_Shipments[Effective_Week],77)</f>
        <v/>
      </c>
      <c r="CA79">
        <f>SUMIFS(T_Shipments[Confirmed_Qty],T_Shipments[RM_Code],$A79,T_Shipments[Effective_Week],78)</f>
        <v/>
      </c>
      <c r="CB79">
        <f>SUMIFS(T_Shipments[Confirmed_Qty],T_Shipments[RM_Code],$A79,T_Shipments[Effective_Week],79)</f>
        <v/>
      </c>
      <c r="CC79">
        <f>SUMIFS(T_Shipments[Confirmed_Qty],T_Shipments[RM_Code],$A79,T_Shipments[Effective_Week],80)</f>
        <v/>
      </c>
      <c r="CD79">
        <f>SUMIFS(T_Shipments[Confirmed_Qty],T_Shipments[RM_Code],$A79,T_Shipments[Effective_Week],81)</f>
        <v/>
      </c>
      <c r="CE79">
        <f>SUMIFS(T_Shipments[Confirmed_Qty],T_Shipments[RM_Code],$A79,T_Shipments[Effective_Week],82)</f>
        <v/>
      </c>
      <c r="CF79">
        <f>SUMIFS(T_Shipments[Confirmed_Qty],T_Shipments[RM_Code],$A79,T_Shipments[Effective_Week],83)</f>
        <v/>
      </c>
      <c r="CG79">
        <f>SUMIFS(T_Shipments[Confirmed_Qty],T_Shipments[RM_Code],$A79,T_Shipments[Effective_Week],84)</f>
        <v/>
      </c>
      <c r="CH79">
        <f>SUMIFS(T_Shipments[Confirmed_Qty],T_Shipments[RM_Code],$A79,T_Shipments[Effective_Week],85)</f>
        <v/>
      </c>
      <c r="CI79">
        <f>SUMIFS(T_Shipments[Confirmed_Qty],T_Shipments[RM_Code],$A79,T_Shipments[Effective_Week],86)</f>
        <v/>
      </c>
      <c r="CJ79">
        <f>SUMIFS(T_Shipments[Confirmed_Qty],T_Shipments[RM_Code],$A79,T_Shipments[Effective_Week],87)</f>
        <v/>
      </c>
      <c r="CK79">
        <f>SUMIFS(T_Shipments[Confirmed_Qty],T_Shipments[RM_Code],$A79,T_Shipments[Effective_Week],88)</f>
        <v/>
      </c>
      <c r="CL79">
        <f>SUMIFS(T_Shipments[Confirmed_Qty],T_Shipments[RM_Code],$A79,T_Shipments[Effective_Week],89)</f>
        <v/>
      </c>
      <c r="CM79">
        <f>SUMIFS(T_Shipments[Confirmed_Qty],T_Shipments[RM_Code],$A79,T_Shipments[Effective_Week],90)</f>
        <v/>
      </c>
      <c r="CN79">
        <f>SUMIFS(T_Shipments[Confirmed_Qty],T_Shipments[RM_Code],$A79,T_Shipments[Effective_Week],91)</f>
        <v/>
      </c>
      <c r="CO79">
        <f>SUMIFS(T_Shipments[Confirmed_Qty],T_Shipments[RM_Code],$A79,T_Shipments[Effective_Week],92)</f>
        <v/>
      </c>
      <c r="CP79">
        <f>SUMIFS(T_Shipments[Confirmed_Qty],T_Shipments[RM_Code],$A79,T_Shipments[Effective_Week],93)</f>
        <v/>
      </c>
      <c r="CQ79">
        <f>SUMIFS(T_Shipments[Confirmed_Qty],T_Shipments[RM_Code],$A79,T_Shipments[Effective_Week],94)</f>
        <v/>
      </c>
      <c r="CR79">
        <f>SUMIFS(T_Shipments[Confirmed_Qty],T_Shipments[RM_Code],$A79,T_Shipments[Effective_Week],95)</f>
        <v/>
      </c>
      <c r="CS79">
        <f>SUMIFS(T_Shipments[Confirmed_Qty],T_Shipments[RM_Code],$A79,T_Shipments[Effective_Week],96)</f>
        <v/>
      </c>
      <c r="CT79">
        <f>SUMIFS(T_Shipments[Confirmed_Qty],T_Shipments[RM_Code],$A79,T_Shipments[Effective_Week],97)</f>
        <v/>
      </c>
      <c r="CU79">
        <f>SUMIFS(T_Shipments[Confirmed_Qty],T_Shipments[RM_Code],$A79,T_Shipments[Effective_Week],98)</f>
        <v/>
      </c>
      <c r="CV79">
        <f>SUMIFS(T_Shipments[Confirmed_Qty],T_Shipments[RM_Code],$A79,T_Shipments[Effective_Week],99)</f>
        <v/>
      </c>
      <c r="CW79">
        <f>SUMIFS(T_Shipments[Confirmed_Qty],T_Shipments[RM_Code],$A79,T_Shipments[Effective_Week],100)</f>
        <v/>
      </c>
      <c r="CX79">
        <f>SUMIFS(T_Shipments[Confirmed_Qty],T_Shipments[RM_Code],$A79,T_Shipments[Effective_Week],101)</f>
        <v/>
      </c>
      <c r="CY79">
        <f>SUMIFS(T_Shipments[Confirmed_Qty],T_Shipments[RM_Code],$A79,T_Shipments[Effective_Week],102)</f>
        <v/>
      </c>
      <c r="CZ79">
        <f>SUMIFS(T_Shipments[Confirmed_Qty],T_Shipments[RM_Code],$A79,T_Shipments[Effective_Week],103)</f>
        <v/>
      </c>
      <c r="DA79">
        <f>SUMIFS(T_Shipments[Confirmed_Qty],T_Shipments[RM_Code],$A79,T_Shipments[Effective_Week],104)</f>
        <v/>
      </c>
    </row>
    <row r="80">
      <c r="A80" t="inlineStr">
        <is>
          <t>Chem-1790</t>
        </is>
      </c>
      <c r="B80">
        <f>SUMIFS(T_Shipments[Confirmed_Qty],T_Shipments[RM_Code],$A80,T_Shipments[Effective_Week],1)</f>
        <v/>
      </c>
      <c r="C80">
        <f>SUMIFS(T_Shipments[Confirmed_Qty],T_Shipments[RM_Code],$A80,T_Shipments[Effective_Week],2)</f>
        <v/>
      </c>
      <c r="D80">
        <f>SUMIFS(T_Shipments[Confirmed_Qty],T_Shipments[RM_Code],$A80,T_Shipments[Effective_Week],3)</f>
        <v/>
      </c>
      <c r="E80">
        <f>SUMIFS(T_Shipments[Confirmed_Qty],T_Shipments[RM_Code],$A80,T_Shipments[Effective_Week],4)</f>
        <v/>
      </c>
      <c r="F80">
        <f>SUMIFS(T_Shipments[Confirmed_Qty],T_Shipments[RM_Code],$A80,T_Shipments[Effective_Week],5)</f>
        <v/>
      </c>
      <c r="G80">
        <f>SUMIFS(T_Shipments[Confirmed_Qty],T_Shipments[RM_Code],$A80,T_Shipments[Effective_Week],6)</f>
        <v/>
      </c>
      <c r="H80">
        <f>SUMIFS(T_Shipments[Confirmed_Qty],T_Shipments[RM_Code],$A80,T_Shipments[Effective_Week],7)</f>
        <v/>
      </c>
      <c r="I80">
        <f>SUMIFS(T_Shipments[Confirmed_Qty],T_Shipments[RM_Code],$A80,T_Shipments[Effective_Week],8)</f>
        <v/>
      </c>
      <c r="J80">
        <f>SUMIFS(T_Shipments[Confirmed_Qty],T_Shipments[RM_Code],$A80,T_Shipments[Effective_Week],9)</f>
        <v/>
      </c>
      <c r="K80">
        <f>SUMIFS(T_Shipments[Confirmed_Qty],T_Shipments[RM_Code],$A80,T_Shipments[Effective_Week],10)</f>
        <v/>
      </c>
      <c r="L80">
        <f>SUMIFS(T_Shipments[Confirmed_Qty],T_Shipments[RM_Code],$A80,T_Shipments[Effective_Week],11)</f>
        <v/>
      </c>
      <c r="M80">
        <f>SUMIFS(T_Shipments[Confirmed_Qty],T_Shipments[RM_Code],$A80,T_Shipments[Effective_Week],12)</f>
        <v/>
      </c>
      <c r="N80">
        <f>SUMIFS(T_Shipments[Confirmed_Qty],T_Shipments[RM_Code],$A80,T_Shipments[Effective_Week],13)</f>
        <v/>
      </c>
      <c r="O80">
        <f>SUMIFS(T_Shipments[Confirmed_Qty],T_Shipments[RM_Code],$A80,T_Shipments[Effective_Week],14)</f>
        <v/>
      </c>
      <c r="P80">
        <f>SUMIFS(T_Shipments[Confirmed_Qty],T_Shipments[RM_Code],$A80,T_Shipments[Effective_Week],15)</f>
        <v/>
      </c>
      <c r="Q80">
        <f>SUMIFS(T_Shipments[Confirmed_Qty],T_Shipments[RM_Code],$A80,T_Shipments[Effective_Week],16)</f>
        <v/>
      </c>
      <c r="R80">
        <f>SUMIFS(T_Shipments[Confirmed_Qty],T_Shipments[RM_Code],$A80,T_Shipments[Effective_Week],17)</f>
        <v/>
      </c>
      <c r="S80">
        <f>SUMIFS(T_Shipments[Confirmed_Qty],T_Shipments[RM_Code],$A80,T_Shipments[Effective_Week],18)</f>
        <v/>
      </c>
      <c r="T80">
        <f>SUMIFS(T_Shipments[Confirmed_Qty],T_Shipments[RM_Code],$A80,T_Shipments[Effective_Week],19)</f>
        <v/>
      </c>
      <c r="U80">
        <f>SUMIFS(T_Shipments[Confirmed_Qty],T_Shipments[RM_Code],$A80,T_Shipments[Effective_Week],20)</f>
        <v/>
      </c>
      <c r="V80">
        <f>SUMIFS(T_Shipments[Confirmed_Qty],T_Shipments[RM_Code],$A80,T_Shipments[Effective_Week],21)</f>
        <v/>
      </c>
      <c r="W80">
        <f>SUMIFS(T_Shipments[Confirmed_Qty],T_Shipments[RM_Code],$A80,T_Shipments[Effective_Week],22)</f>
        <v/>
      </c>
      <c r="X80">
        <f>SUMIFS(T_Shipments[Confirmed_Qty],T_Shipments[RM_Code],$A80,T_Shipments[Effective_Week],23)</f>
        <v/>
      </c>
      <c r="Y80">
        <f>SUMIFS(T_Shipments[Confirmed_Qty],T_Shipments[RM_Code],$A80,T_Shipments[Effective_Week],24)</f>
        <v/>
      </c>
      <c r="Z80">
        <f>SUMIFS(T_Shipments[Confirmed_Qty],T_Shipments[RM_Code],$A80,T_Shipments[Effective_Week],25)</f>
        <v/>
      </c>
      <c r="AA80">
        <f>SUMIFS(T_Shipments[Confirmed_Qty],T_Shipments[RM_Code],$A80,T_Shipments[Effective_Week],26)</f>
        <v/>
      </c>
      <c r="AB80">
        <f>SUMIFS(T_Shipments[Confirmed_Qty],T_Shipments[RM_Code],$A80,T_Shipments[Effective_Week],27)</f>
        <v/>
      </c>
      <c r="AC80">
        <f>SUMIFS(T_Shipments[Confirmed_Qty],T_Shipments[RM_Code],$A80,T_Shipments[Effective_Week],28)</f>
        <v/>
      </c>
      <c r="AD80">
        <f>SUMIFS(T_Shipments[Confirmed_Qty],T_Shipments[RM_Code],$A80,T_Shipments[Effective_Week],29)</f>
        <v/>
      </c>
      <c r="AE80">
        <f>SUMIFS(T_Shipments[Confirmed_Qty],T_Shipments[RM_Code],$A80,T_Shipments[Effective_Week],30)</f>
        <v/>
      </c>
      <c r="AF80">
        <f>SUMIFS(T_Shipments[Confirmed_Qty],T_Shipments[RM_Code],$A80,T_Shipments[Effective_Week],31)</f>
        <v/>
      </c>
      <c r="AG80">
        <f>SUMIFS(T_Shipments[Confirmed_Qty],T_Shipments[RM_Code],$A80,T_Shipments[Effective_Week],32)</f>
        <v/>
      </c>
      <c r="AH80">
        <f>SUMIFS(T_Shipments[Confirmed_Qty],T_Shipments[RM_Code],$A80,T_Shipments[Effective_Week],33)</f>
        <v/>
      </c>
      <c r="AI80">
        <f>SUMIFS(T_Shipments[Confirmed_Qty],T_Shipments[RM_Code],$A80,T_Shipments[Effective_Week],34)</f>
        <v/>
      </c>
      <c r="AJ80">
        <f>SUMIFS(T_Shipments[Confirmed_Qty],T_Shipments[RM_Code],$A80,T_Shipments[Effective_Week],35)</f>
        <v/>
      </c>
      <c r="AK80">
        <f>SUMIFS(T_Shipments[Confirmed_Qty],T_Shipments[RM_Code],$A80,T_Shipments[Effective_Week],36)</f>
        <v/>
      </c>
      <c r="AL80">
        <f>SUMIFS(T_Shipments[Confirmed_Qty],T_Shipments[RM_Code],$A80,T_Shipments[Effective_Week],37)</f>
        <v/>
      </c>
      <c r="AM80">
        <f>SUMIFS(T_Shipments[Confirmed_Qty],T_Shipments[RM_Code],$A80,T_Shipments[Effective_Week],38)</f>
        <v/>
      </c>
      <c r="AN80">
        <f>SUMIFS(T_Shipments[Confirmed_Qty],T_Shipments[RM_Code],$A80,T_Shipments[Effective_Week],39)</f>
        <v/>
      </c>
      <c r="AO80">
        <f>SUMIFS(T_Shipments[Confirmed_Qty],T_Shipments[RM_Code],$A80,T_Shipments[Effective_Week],40)</f>
        <v/>
      </c>
      <c r="AP80">
        <f>SUMIFS(T_Shipments[Confirmed_Qty],T_Shipments[RM_Code],$A80,T_Shipments[Effective_Week],41)</f>
        <v/>
      </c>
      <c r="AQ80">
        <f>SUMIFS(T_Shipments[Confirmed_Qty],T_Shipments[RM_Code],$A80,T_Shipments[Effective_Week],42)</f>
        <v/>
      </c>
      <c r="AR80">
        <f>SUMIFS(T_Shipments[Confirmed_Qty],T_Shipments[RM_Code],$A80,T_Shipments[Effective_Week],43)</f>
        <v/>
      </c>
      <c r="AS80">
        <f>SUMIFS(T_Shipments[Confirmed_Qty],T_Shipments[RM_Code],$A80,T_Shipments[Effective_Week],44)</f>
        <v/>
      </c>
      <c r="AT80">
        <f>SUMIFS(T_Shipments[Confirmed_Qty],T_Shipments[RM_Code],$A80,T_Shipments[Effective_Week],45)</f>
        <v/>
      </c>
      <c r="AU80">
        <f>SUMIFS(T_Shipments[Confirmed_Qty],T_Shipments[RM_Code],$A80,T_Shipments[Effective_Week],46)</f>
        <v/>
      </c>
      <c r="AV80">
        <f>SUMIFS(T_Shipments[Confirmed_Qty],T_Shipments[RM_Code],$A80,T_Shipments[Effective_Week],47)</f>
        <v/>
      </c>
      <c r="AW80">
        <f>SUMIFS(T_Shipments[Confirmed_Qty],T_Shipments[RM_Code],$A80,T_Shipments[Effective_Week],48)</f>
        <v/>
      </c>
      <c r="AX80">
        <f>SUMIFS(T_Shipments[Confirmed_Qty],T_Shipments[RM_Code],$A80,T_Shipments[Effective_Week],49)</f>
        <v/>
      </c>
      <c r="AY80">
        <f>SUMIFS(T_Shipments[Confirmed_Qty],T_Shipments[RM_Code],$A80,T_Shipments[Effective_Week],50)</f>
        <v/>
      </c>
      <c r="AZ80">
        <f>SUMIFS(T_Shipments[Confirmed_Qty],T_Shipments[RM_Code],$A80,T_Shipments[Effective_Week],51)</f>
        <v/>
      </c>
      <c r="BA80">
        <f>SUMIFS(T_Shipments[Confirmed_Qty],T_Shipments[RM_Code],$A80,T_Shipments[Effective_Week],52)</f>
        <v/>
      </c>
      <c r="BB80">
        <f>SUMIFS(T_Shipments[Confirmed_Qty],T_Shipments[RM_Code],$A80,T_Shipments[Effective_Week],53)</f>
        <v/>
      </c>
      <c r="BC80">
        <f>SUMIFS(T_Shipments[Confirmed_Qty],T_Shipments[RM_Code],$A80,T_Shipments[Effective_Week],54)</f>
        <v/>
      </c>
      <c r="BD80">
        <f>SUMIFS(T_Shipments[Confirmed_Qty],T_Shipments[RM_Code],$A80,T_Shipments[Effective_Week],55)</f>
        <v/>
      </c>
      <c r="BE80">
        <f>SUMIFS(T_Shipments[Confirmed_Qty],T_Shipments[RM_Code],$A80,T_Shipments[Effective_Week],56)</f>
        <v/>
      </c>
      <c r="BF80">
        <f>SUMIFS(T_Shipments[Confirmed_Qty],T_Shipments[RM_Code],$A80,T_Shipments[Effective_Week],57)</f>
        <v/>
      </c>
      <c r="BG80">
        <f>SUMIFS(T_Shipments[Confirmed_Qty],T_Shipments[RM_Code],$A80,T_Shipments[Effective_Week],58)</f>
        <v/>
      </c>
      <c r="BH80">
        <f>SUMIFS(T_Shipments[Confirmed_Qty],T_Shipments[RM_Code],$A80,T_Shipments[Effective_Week],59)</f>
        <v/>
      </c>
      <c r="BI80">
        <f>SUMIFS(T_Shipments[Confirmed_Qty],T_Shipments[RM_Code],$A80,T_Shipments[Effective_Week],60)</f>
        <v/>
      </c>
      <c r="BJ80">
        <f>SUMIFS(T_Shipments[Confirmed_Qty],T_Shipments[RM_Code],$A80,T_Shipments[Effective_Week],61)</f>
        <v/>
      </c>
      <c r="BK80">
        <f>SUMIFS(T_Shipments[Confirmed_Qty],T_Shipments[RM_Code],$A80,T_Shipments[Effective_Week],62)</f>
        <v/>
      </c>
      <c r="BL80">
        <f>SUMIFS(T_Shipments[Confirmed_Qty],T_Shipments[RM_Code],$A80,T_Shipments[Effective_Week],63)</f>
        <v/>
      </c>
      <c r="BM80">
        <f>SUMIFS(T_Shipments[Confirmed_Qty],T_Shipments[RM_Code],$A80,T_Shipments[Effective_Week],64)</f>
        <v/>
      </c>
      <c r="BN80">
        <f>SUMIFS(T_Shipments[Confirmed_Qty],T_Shipments[RM_Code],$A80,T_Shipments[Effective_Week],65)</f>
        <v/>
      </c>
      <c r="BO80">
        <f>SUMIFS(T_Shipments[Confirmed_Qty],T_Shipments[RM_Code],$A80,T_Shipments[Effective_Week],66)</f>
        <v/>
      </c>
      <c r="BP80">
        <f>SUMIFS(T_Shipments[Confirmed_Qty],T_Shipments[RM_Code],$A80,T_Shipments[Effective_Week],67)</f>
        <v/>
      </c>
      <c r="BQ80">
        <f>SUMIFS(T_Shipments[Confirmed_Qty],T_Shipments[RM_Code],$A80,T_Shipments[Effective_Week],68)</f>
        <v/>
      </c>
      <c r="BR80">
        <f>SUMIFS(T_Shipments[Confirmed_Qty],T_Shipments[RM_Code],$A80,T_Shipments[Effective_Week],69)</f>
        <v/>
      </c>
      <c r="BS80">
        <f>SUMIFS(T_Shipments[Confirmed_Qty],T_Shipments[RM_Code],$A80,T_Shipments[Effective_Week],70)</f>
        <v/>
      </c>
      <c r="BT80">
        <f>SUMIFS(T_Shipments[Confirmed_Qty],T_Shipments[RM_Code],$A80,T_Shipments[Effective_Week],71)</f>
        <v/>
      </c>
      <c r="BU80">
        <f>SUMIFS(T_Shipments[Confirmed_Qty],T_Shipments[RM_Code],$A80,T_Shipments[Effective_Week],72)</f>
        <v/>
      </c>
      <c r="BV80">
        <f>SUMIFS(T_Shipments[Confirmed_Qty],T_Shipments[RM_Code],$A80,T_Shipments[Effective_Week],73)</f>
        <v/>
      </c>
      <c r="BW80">
        <f>SUMIFS(T_Shipments[Confirmed_Qty],T_Shipments[RM_Code],$A80,T_Shipments[Effective_Week],74)</f>
        <v/>
      </c>
      <c r="BX80">
        <f>SUMIFS(T_Shipments[Confirmed_Qty],T_Shipments[RM_Code],$A80,T_Shipments[Effective_Week],75)</f>
        <v/>
      </c>
      <c r="BY80">
        <f>SUMIFS(T_Shipments[Confirmed_Qty],T_Shipments[RM_Code],$A80,T_Shipments[Effective_Week],76)</f>
        <v/>
      </c>
      <c r="BZ80">
        <f>SUMIFS(T_Shipments[Confirmed_Qty],T_Shipments[RM_Code],$A80,T_Shipments[Effective_Week],77)</f>
        <v/>
      </c>
      <c r="CA80">
        <f>SUMIFS(T_Shipments[Confirmed_Qty],T_Shipments[RM_Code],$A80,T_Shipments[Effective_Week],78)</f>
        <v/>
      </c>
      <c r="CB80">
        <f>SUMIFS(T_Shipments[Confirmed_Qty],T_Shipments[RM_Code],$A80,T_Shipments[Effective_Week],79)</f>
        <v/>
      </c>
      <c r="CC80">
        <f>SUMIFS(T_Shipments[Confirmed_Qty],T_Shipments[RM_Code],$A80,T_Shipments[Effective_Week],80)</f>
        <v/>
      </c>
      <c r="CD80">
        <f>SUMIFS(T_Shipments[Confirmed_Qty],T_Shipments[RM_Code],$A80,T_Shipments[Effective_Week],81)</f>
        <v/>
      </c>
      <c r="CE80">
        <f>SUMIFS(T_Shipments[Confirmed_Qty],T_Shipments[RM_Code],$A80,T_Shipments[Effective_Week],82)</f>
        <v/>
      </c>
      <c r="CF80">
        <f>SUMIFS(T_Shipments[Confirmed_Qty],T_Shipments[RM_Code],$A80,T_Shipments[Effective_Week],83)</f>
        <v/>
      </c>
      <c r="CG80">
        <f>SUMIFS(T_Shipments[Confirmed_Qty],T_Shipments[RM_Code],$A80,T_Shipments[Effective_Week],84)</f>
        <v/>
      </c>
      <c r="CH80">
        <f>SUMIFS(T_Shipments[Confirmed_Qty],T_Shipments[RM_Code],$A80,T_Shipments[Effective_Week],85)</f>
        <v/>
      </c>
      <c r="CI80">
        <f>SUMIFS(T_Shipments[Confirmed_Qty],T_Shipments[RM_Code],$A80,T_Shipments[Effective_Week],86)</f>
        <v/>
      </c>
      <c r="CJ80">
        <f>SUMIFS(T_Shipments[Confirmed_Qty],T_Shipments[RM_Code],$A80,T_Shipments[Effective_Week],87)</f>
        <v/>
      </c>
      <c r="CK80">
        <f>SUMIFS(T_Shipments[Confirmed_Qty],T_Shipments[RM_Code],$A80,T_Shipments[Effective_Week],88)</f>
        <v/>
      </c>
      <c r="CL80">
        <f>SUMIFS(T_Shipments[Confirmed_Qty],T_Shipments[RM_Code],$A80,T_Shipments[Effective_Week],89)</f>
        <v/>
      </c>
      <c r="CM80">
        <f>SUMIFS(T_Shipments[Confirmed_Qty],T_Shipments[RM_Code],$A80,T_Shipments[Effective_Week],90)</f>
        <v/>
      </c>
      <c r="CN80">
        <f>SUMIFS(T_Shipments[Confirmed_Qty],T_Shipments[RM_Code],$A80,T_Shipments[Effective_Week],91)</f>
        <v/>
      </c>
      <c r="CO80">
        <f>SUMIFS(T_Shipments[Confirmed_Qty],T_Shipments[RM_Code],$A80,T_Shipments[Effective_Week],92)</f>
        <v/>
      </c>
      <c r="CP80">
        <f>SUMIFS(T_Shipments[Confirmed_Qty],T_Shipments[RM_Code],$A80,T_Shipments[Effective_Week],93)</f>
        <v/>
      </c>
      <c r="CQ80">
        <f>SUMIFS(T_Shipments[Confirmed_Qty],T_Shipments[RM_Code],$A80,T_Shipments[Effective_Week],94)</f>
        <v/>
      </c>
      <c r="CR80">
        <f>SUMIFS(T_Shipments[Confirmed_Qty],T_Shipments[RM_Code],$A80,T_Shipments[Effective_Week],95)</f>
        <v/>
      </c>
      <c r="CS80">
        <f>SUMIFS(T_Shipments[Confirmed_Qty],T_Shipments[RM_Code],$A80,T_Shipments[Effective_Week],96)</f>
        <v/>
      </c>
      <c r="CT80">
        <f>SUMIFS(T_Shipments[Confirmed_Qty],T_Shipments[RM_Code],$A80,T_Shipments[Effective_Week],97)</f>
        <v/>
      </c>
      <c r="CU80">
        <f>SUMIFS(T_Shipments[Confirmed_Qty],T_Shipments[RM_Code],$A80,T_Shipments[Effective_Week],98)</f>
        <v/>
      </c>
      <c r="CV80">
        <f>SUMIFS(T_Shipments[Confirmed_Qty],T_Shipments[RM_Code],$A80,T_Shipments[Effective_Week],99)</f>
        <v/>
      </c>
      <c r="CW80">
        <f>SUMIFS(T_Shipments[Confirmed_Qty],T_Shipments[RM_Code],$A80,T_Shipments[Effective_Week],100)</f>
        <v/>
      </c>
      <c r="CX80">
        <f>SUMIFS(T_Shipments[Confirmed_Qty],T_Shipments[RM_Code],$A80,T_Shipments[Effective_Week],101)</f>
        <v/>
      </c>
      <c r="CY80">
        <f>SUMIFS(T_Shipments[Confirmed_Qty],T_Shipments[RM_Code],$A80,T_Shipments[Effective_Week],102)</f>
        <v/>
      </c>
      <c r="CZ80">
        <f>SUMIFS(T_Shipments[Confirmed_Qty],T_Shipments[RM_Code],$A80,T_Shipments[Effective_Week],103)</f>
        <v/>
      </c>
      <c r="DA80">
        <f>SUMIFS(T_Shipments[Confirmed_Qty],T_Shipments[RM_Code],$A80,T_Shipments[Effective_Week],104)</f>
        <v/>
      </c>
    </row>
    <row r="81">
      <c r="A81" t="inlineStr">
        <is>
          <t>Chem-1800</t>
        </is>
      </c>
      <c r="B81">
        <f>SUMIFS(T_Shipments[Confirmed_Qty],T_Shipments[RM_Code],$A81,T_Shipments[Effective_Week],1)</f>
        <v/>
      </c>
      <c r="C81">
        <f>SUMIFS(T_Shipments[Confirmed_Qty],T_Shipments[RM_Code],$A81,T_Shipments[Effective_Week],2)</f>
        <v/>
      </c>
      <c r="D81">
        <f>SUMIFS(T_Shipments[Confirmed_Qty],T_Shipments[RM_Code],$A81,T_Shipments[Effective_Week],3)</f>
        <v/>
      </c>
      <c r="E81">
        <f>SUMIFS(T_Shipments[Confirmed_Qty],T_Shipments[RM_Code],$A81,T_Shipments[Effective_Week],4)</f>
        <v/>
      </c>
      <c r="F81">
        <f>SUMIFS(T_Shipments[Confirmed_Qty],T_Shipments[RM_Code],$A81,T_Shipments[Effective_Week],5)</f>
        <v/>
      </c>
      <c r="G81">
        <f>SUMIFS(T_Shipments[Confirmed_Qty],T_Shipments[RM_Code],$A81,T_Shipments[Effective_Week],6)</f>
        <v/>
      </c>
      <c r="H81">
        <f>SUMIFS(T_Shipments[Confirmed_Qty],T_Shipments[RM_Code],$A81,T_Shipments[Effective_Week],7)</f>
        <v/>
      </c>
      <c r="I81">
        <f>SUMIFS(T_Shipments[Confirmed_Qty],T_Shipments[RM_Code],$A81,T_Shipments[Effective_Week],8)</f>
        <v/>
      </c>
      <c r="J81">
        <f>SUMIFS(T_Shipments[Confirmed_Qty],T_Shipments[RM_Code],$A81,T_Shipments[Effective_Week],9)</f>
        <v/>
      </c>
      <c r="K81">
        <f>SUMIFS(T_Shipments[Confirmed_Qty],T_Shipments[RM_Code],$A81,T_Shipments[Effective_Week],10)</f>
        <v/>
      </c>
      <c r="L81">
        <f>SUMIFS(T_Shipments[Confirmed_Qty],T_Shipments[RM_Code],$A81,T_Shipments[Effective_Week],11)</f>
        <v/>
      </c>
      <c r="M81">
        <f>SUMIFS(T_Shipments[Confirmed_Qty],T_Shipments[RM_Code],$A81,T_Shipments[Effective_Week],12)</f>
        <v/>
      </c>
      <c r="N81">
        <f>SUMIFS(T_Shipments[Confirmed_Qty],T_Shipments[RM_Code],$A81,T_Shipments[Effective_Week],13)</f>
        <v/>
      </c>
      <c r="O81">
        <f>SUMIFS(T_Shipments[Confirmed_Qty],T_Shipments[RM_Code],$A81,T_Shipments[Effective_Week],14)</f>
        <v/>
      </c>
      <c r="P81">
        <f>SUMIFS(T_Shipments[Confirmed_Qty],T_Shipments[RM_Code],$A81,T_Shipments[Effective_Week],15)</f>
        <v/>
      </c>
      <c r="Q81">
        <f>SUMIFS(T_Shipments[Confirmed_Qty],T_Shipments[RM_Code],$A81,T_Shipments[Effective_Week],16)</f>
        <v/>
      </c>
      <c r="R81">
        <f>SUMIFS(T_Shipments[Confirmed_Qty],T_Shipments[RM_Code],$A81,T_Shipments[Effective_Week],17)</f>
        <v/>
      </c>
      <c r="S81">
        <f>SUMIFS(T_Shipments[Confirmed_Qty],T_Shipments[RM_Code],$A81,T_Shipments[Effective_Week],18)</f>
        <v/>
      </c>
      <c r="T81">
        <f>SUMIFS(T_Shipments[Confirmed_Qty],T_Shipments[RM_Code],$A81,T_Shipments[Effective_Week],19)</f>
        <v/>
      </c>
      <c r="U81">
        <f>SUMIFS(T_Shipments[Confirmed_Qty],T_Shipments[RM_Code],$A81,T_Shipments[Effective_Week],20)</f>
        <v/>
      </c>
      <c r="V81">
        <f>SUMIFS(T_Shipments[Confirmed_Qty],T_Shipments[RM_Code],$A81,T_Shipments[Effective_Week],21)</f>
        <v/>
      </c>
      <c r="W81">
        <f>SUMIFS(T_Shipments[Confirmed_Qty],T_Shipments[RM_Code],$A81,T_Shipments[Effective_Week],22)</f>
        <v/>
      </c>
      <c r="X81">
        <f>SUMIFS(T_Shipments[Confirmed_Qty],T_Shipments[RM_Code],$A81,T_Shipments[Effective_Week],23)</f>
        <v/>
      </c>
      <c r="Y81">
        <f>SUMIFS(T_Shipments[Confirmed_Qty],T_Shipments[RM_Code],$A81,T_Shipments[Effective_Week],24)</f>
        <v/>
      </c>
      <c r="Z81">
        <f>SUMIFS(T_Shipments[Confirmed_Qty],T_Shipments[RM_Code],$A81,T_Shipments[Effective_Week],25)</f>
        <v/>
      </c>
      <c r="AA81">
        <f>SUMIFS(T_Shipments[Confirmed_Qty],T_Shipments[RM_Code],$A81,T_Shipments[Effective_Week],26)</f>
        <v/>
      </c>
      <c r="AB81">
        <f>SUMIFS(T_Shipments[Confirmed_Qty],T_Shipments[RM_Code],$A81,T_Shipments[Effective_Week],27)</f>
        <v/>
      </c>
      <c r="AC81">
        <f>SUMIFS(T_Shipments[Confirmed_Qty],T_Shipments[RM_Code],$A81,T_Shipments[Effective_Week],28)</f>
        <v/>
      </c>
      <c r="AD81">
        <f>SUMIFS(T_Shipments[Confirmed_Qty],T_Shipments[RM_Code],$A81,T_Shipments[Effective_Week],29)</f>
        <v/>
      </c>
      <c r="AE81">
        <f>SUMIFS(T_Shipments[Confirmed_Qty],T_Shipments[RM_Code],$A81,T_Shipments[Effective_Week],30)</f>
        <v/>
      </c>
      <c r="AF81">
        <f>SUMIFS(T_Shipments[Confirmed_Qty],T_Shipments[RM_Code],$A81,T_Shipments[Effective_Week],31)</f>
        <v/>
      </c>
      <c r="AG81">
        <f>SUMIFS(T_Shipments[Confirmed_Qty],T_Shipments[RM_Code],$A81,T_Shipments[Effective_Week],32)</f>
        <v/>
      </c>
      <c r="AH81">
        <f>SUMIFS(T_Shipments[Confirmed_Qty],T_Shipments[RM_Code],$A81,T_Shipments[Effective_Week],33)</f>
        <v/>
      </c>
      <c r="AI81">
        <f>SUMIFS(T_Shipments[Confirmed_Qty],T_Shipments[RM_Code],$A81,T_Shipments[Effective_Week],34)</f>
        <v/>
      </c>
      <c r="AJ81">
        <f>SUMIFS(T_Shipments[Confirmed_Qty],T_Shipments[RM_Code],$A81,T_Shipments[Effective_Week],35)</f>
        <v/>
      </c>
      <c r="AK81">
        <f>SUMIFS(T_Shipments[Confirmed_Qty],T_Shipments[RM_Code],$A81,T_Shipments[Effective_Week],36)</f>
        <v/>
      </c>
      <c r="AL81">
        <f>SUMIFS(T_Shipments[Confirmed_Qty],T_Shipments[RM_Code],$A81,T_Shipments[Effective_Week],37)</f>
        <v/>
      </c>
      <c r="AM81">
        <f>SUMIFS(T_Shipments[Confirmed_Qty],T_Shipments[RM_Code],$A81,T_Shipments[Effective_Week],38)</f>
        <v/>
      </c>
      <c r="AN81">
        <f>SUMIFS(T_Shipments[Confirmed_Qty],T_Shipments[RM_Code],$A81,T_Shipments[Effective_Week],39)</f>
        <v/>
      </c>
      <c r="AO81">
        <f>SUMIFS(T_Shipments[Confirmed_Qty],T_Shipments[RM_Code],$A81,T_Shipments[Effective_Week],40)</f>
        <v/>
      </c>
      <c r="AP81">
        <f>SUMIFS(T_Shipments[Confirmed_Qty],T_Shipments[RM_Code],$A81,T_Shipments[Effective_Week],41)</f>
        <v/>
      </c>
      <c r="AQ81">
        <f>SUMIFS(T_Shipments[Confirmed_Qty],T_Shipments[RM_Code],$A81,T_Shipments[Effective_Week],42)</f>
        <v/>
      </c>
      <c r="AR81">
        <f>SUMIFS(T_Shipments[Confirmed_Qty],T_Shipments[RM_Code],$A81,T_Shipments[Effective_Week],43)</f>
        <v/>
      </c>
      <c r="AS81">
        <f>SUMIFS(T_Shipments[Confirmed_Qty],T_Shipments[RM_Code],$A81,T_Shipments[Effective_Week],44)</f>
        <v/>
      </c>
      <c r="AT81">
        <f>SUMIFS(T_Shipments[Confirmed_Qty],T_Shipments[RM_Code],$A81,T_Shipments[Effective_Week],45)</f>
        <v/>
      </c>
      <c r="AU81">
        <f>SUMIFS(T_Shipments[Confirmed_Qty],T_Shipments[RM_Code],$A81,T_Shipments[Effective_Week],46)</f>
        <v/>
      </c>
      <c r="AV81">
        <f>SUMIFS(T_Shipments[Confirmed_Qty],T_Shipments[RM_Code],$A81,T_Shipments[Effective_Week],47)</f>
        <v/>
      </c>
      <c r="AW81">
        <f>SUMIFS(T_Shipments[Confirmed_Qty],T_Shipments[RM_Code],$A81,T_Shipments[Effective_Week],48)</f>
        <v/>
      </c>
      <c r="AX81">
        <f>SUMIFS(T_Shipments[Confirmed_Qty],T_Shipments[RM_Code],$A81,T_Shipments[Effective_Week],49)</f>
        <v/>
      </c>
      <c r="AY81">
        <f>SUMIFS(T_Shipments[Confirmed_Qty],T_Shipments[RM_Code],$A81,T_Shipments[Effective_Week],50)</f>
        <v/>
      </c>
      <c r="AZ81">
        <f>SUMIFS(T_Shipments[Confirmed_Qty],T_Shipments[RM_Code],$A81,T_Shipments[Effective_Week],51)</f>
        <v/>
      </c>
      <c r="BA81">
        <f>SUMIFS(T_Shipments[Confirmed_Qty],T_Shipments[RM_Code],$A81,T_Shipments[Effective_Week],52)</f>
        <v/>
      </c>
      <c r="BB81">
        <f>SUMIFS(T_Shipments[Confirmed_Qty],T_Shipments[RM_Code],$A81,T_Shipments[Effective_Week],53)</f>
        <v/>
      </c>
      <c r="BC81">
        <f>SUMIFS(T_Shipments[Confirmed_Qty],T_Shipments[RM_Code],$A81,T_Shipments[Effective_Week],54)</f>
        <v/>
      </c>
      <c r="BD81">
        <f>SUMIFS(T_Shipments[Confirmed_Qty],T_Shipments[RM_Code],$A81,T_Shipments[Effective_Week],55)</f>
        <v/>
      </c>
      <c r="BE81">
        <f>SUMIFS(T_Shipments[Confirmed_Qty],T_Shipments[RM_Code],$A81,T_Shipments[Effective_Week],56)</f>
        <v/>
      </c>
      <c r="BF81">
        <f>SUMIFS(T_Shipments[Confirmed_Qty],T_Shipments[RM_Code],$A81,T_Shipments[Effective_Week],57)</f>
        <v/>
      </c>
      <c r="BG81">
        <f>SUMIFS(T_Shipments[Confirmed_Qty],T_Shipments[RM_Code],$A81,T_Shipments[Effective_Week],58)</f>
        <v/>
      </c>
      <c r="BH81">
        <f>SUMIFS(T_Shipments[Confirmed_Qty],T_Shipments[RM_Code],$A81,T_Shipments[Effective_Week],59)</f>
        <v/>
      </c>
      <c r="BI81">
        <f>SUMIFS(T_Shipments[Confirmed_Qty],T_Shipments[RM_Code],$A81,T_Shipments[Effective_Week],60)</f>
        <v/>
      </c>
      <c r="BJ81">
        <f>SUMIFS(T_Shipments[Confirmed_Qty],T_Shipments[RM_Code],$A81,T_Shipments[Effective_Week],61)</f>
        <v/>
      </c>
      <c r="BK81">
        <f>SUMIFS(T_Shipments[Confirmed_Qty],T_Shipments[RM_Code],$A81,T_Shipments[Effective_Week],62)</f>
        <v/>
      </c>
      <c r="BL81">
        <f>SUMIFS(T_Shipments[Confirmed_Qty],T_Shipments[RM_Code],$A81,T_Shipments[Effective_Week],63)</f>
        <v/>
      </c>
      <c r="BM81">
        <f>SUMIFS(T_Shipments[Confirmed_Qty],T_Shipments[RM_Code],$A81,T_Shipments[Effective_Week],64)</f>
        <v/>
      </c>
      <c r="BN81">
        <f>SUMIFS(T_Shipments[Confirmed_Qty],T_Shipments[RM_Code],$A81,T_Shipments[Effective_Week],65)</f>
        <v/>
      </c>
      <c r="BO81">
        <f>SUMIFS(T_Shipments[Confirmed_Qty],T_Shipments[RM_Code],$A81,T_Shipments[Effective_Week],66)</f>
        <v/>
      </c>
      <c r="BP81">
        <f>SUMIFS(T_Shipments[Confirmed_Qty],T_Shipments[RM_Code],$A81,T_Shipments[Effective_Week],67)</f>
        <v/>
      </c>
      <c r="BQ81">
        <f>SUMIFS(T_Shipments[Confirmed_Qty],T_Shipments[RM_Code],$A81,T_Shipments[Effective_Week],68)</f>
        <v/>
      </c>
      <c r="BR81">
        <f>SUMIFS(T_Shipments[Confirmed_Qty],T_Shipments[RM_Code],$A81,T_Shipments[Effective_Week],69)</f>
        <v/>
      </c>
      <c r="BS81">
        <f>SUMIFS(T_Shipments[Confirmed_Qty],T_Shipments[RM_Code],$A81,T_Shipments[Effective_Week],70)</f>
        <v/>
      </c>
      <c r="BT81">
        <f>SUMIFS(T_Shipments[Confirmed_Qty],T_Shipments[RM_Code],$A81,T_Shipments[Effective_Week],71)</f>
        <v/>
      </c>
      <c r="BU81">
        <f>SUMIFS(T_Shipments[Confirmed_Qty],T_Shipments[RM_Code],$A81,T_Shipments[Effective_Week],72)</f>
        <v/>
      </c>
      <c r="BV81">
        <f>SUMIFS(T_Shipments[Confirmed_Qty],T_Shipments[RM_Code],$A81,T_Shipments[Effective_Week],73)</f>
        <v/>
      </c>
      <c r="BW81">
        <f>SUMIFS(T_Shipments[Confirmed_Qty],T_Shipments[RM_Code],$A81,T_Shipments[Effective_Week],74)</f>
        <v/>
      </c>
      <c r="BX81">
        <f>SUMIFS(T_Shipments[Confirmed_Qty],T_Shipments[RM_Code],$A81,T_Shipments[Effective_Week],75)</f>
        <v/>
      </c>
      <c r="BY81">
        <f>SUMIFS(T_Shipments[Confirmed_Qty],T_Shipments[RM_Code],$A81,T_Shipments[Effective_Week],76)</f>
        <v/>
      </c>
      <c r="BZ81">
        <f>SUMIFS(T_Shipments[Confirmed_Qty],T_Shipments[RM_Code],$A81,T_Shipments[Effective_Week],77)</f>
        <v/>
      </c>
      <c r="CA81">
        <f>SUMIFS(T_Shipments[Confirmed_Qty],T_Shipments[RM_Code],$A81,T_Shipments[Effective_Week],78)</f>
        <v/>
      </c>
      <c r="CB81">
        <f>SUMIFS(T_Shipments[Confirmed_Qty],T_Shipments[RM_Code],$A81,T_Shipments[Effective_Week],79)</f>
        <v/>
      </c>
      <c r="CC81">
        <f>SUMIFS(T_Shipments[Confirmed_Qty],T_Shipments[RM_Code],$A81,T_Shipments[Effective_Week],80)</f>
        <v/>
      </c>
      <c r="CD81">
        <f>SUMIFS(T_Shipments[Confirmed_Qty],T_Shipments[RM_Code],$A81,T_Shipments[Effective_Week],81)</f>
        <v/>
      </c>
      <c r="CE81">
        <f>SUMIFS(T_Shipments[Confirmed_Qty],T_Shipments[RM_Code],$A81,T_Shipments[Effective_Week],82)</f>
        <v/>
      </c>
      <c r="CF81">
        <f>SUMIFS(T_Shipments[Confirmed_Qty],T_Shipments[RM_Code],$A81,T_Shipments[Effective_Week],83)</f>
        <v/>
      </c>
      <c r="CG81">
        <f>SUMIFS(T_Shipments[Confirmed_Qty],T_Shipments[RM_Code],$A81,T_Shipments[Effective_Week],84)</f>
        <v/>
      </c>
      <c r="CH81">
        <f>SUMIFS(T_Shipments[Confirmed_Qty],T_Shipments[RM_Code],$A81,T_Shipments[Effective_Week],85)</f>
        <v/>
      </c>
      <c r="CI81">
        <f>SUMIFS(T_Shipments[Confirmed_Qty],T_Shipments[RM_Code],$A81,T_Shipments[Effective_Week],86)</f>
        <v/>
      </c>
      <c r="CJ81">
        <f>SUMIFS(T_Shipments[Confirmed_Qty],T_Shipments[RM_Code],$A81,T_Shipments[Effective_Week],87)</f>
        <v/>
      </c>
      <c r="CK81">
        <f>SUMIFS(T_Shipments[Confirmed_Qty],T_Shipments[RM_Code],$A81,T_Shipments[Effective_Week],88)</f>
        <v/>
      </c>
      <c r="CL81">
        <f>SUMIFS(T_Shipments[Confirmed_Qty],T_Shipments[RM_Code],$A81,T_Shipments[Effective_Week],89)</f>
        <v/>
      </c>
      <c r="CM81">
        <f>SUMIFS(T_Shipments[Confirmed_Qty],T_Shipments[RM_Code],$A81,T_Shipments[Effective_Week],90)</f>
        <v/>
      </c>
      <c r="CN81">
        <f>SUMIFS(T_Shipments[Confirmed_Qty],T_Shipments[RM_Code],$A81,T_Shipments[Effective_Week],91)</f>
        <v/>
      </c>
      <c r="CO81">
        <f>SUMIFS(T_Shipments[Confirmed_Qty],T_Shipments[RM_Code],$A81,T_Shipments[Effective_Week],92)</f>
        <v/>
      </c>
      <c r="CP81">
        <f>SUMIFS(T_Shipments[Confirmed_Qty],T_Shipments[RM_Code],$A81,T_Shipments[Effective_Week],93)</f>
        <v/>
      </c>
      <c r="CQ81">
        <f>SUMIFS(T_Shipments[Confirmed_Qty],T_Shipments[RM_Code],$A81,T_Shipments[Effective_Week],94)</f>
        <v/>
      </c>
      <c r="CR81">
        <f>SUMIFS(T_Shipments[Confirmed_Qty],T_Shipments[RM_Code],$A81,T_Shipments[Effective_Week],95)</f>
        <v/>
      </c>
      <c r="CS81">
        <f>SUMIFS(T_Shipments[Confirmed_Qty],T_Shipments[RM_Code],$A81,T_Shipments[Effective_Week],96)</f>
        <v/>
      </c>
      <c r="CT81">
        <f>SUMIFS(T_Shipments[Confirmed_Qty],T_Shipments[RM_Code],$A81,T_Shipments[Effective_Week],97)</f>
        <v/>
      </c>
      <c r="CU81">
        <f>SUMIFS(T_Shipments[Confirmed_Qty],T_Shipments[RM_Code],$A81,T_Shipments[Effective_Week],98)</f>
        <v/>
      </c>
      <c r="CV81">
        <f>SUMIFS(T_Shipments[Confirmed_Qty],T_Shipments[RM_Code],$A81,T_Shipments[Effective_Week],99)</f>
        <v/>
      </c>
      <c r="CW81">
        <f>SUMIFS(T_Shipments[Confirmed_Qty],T_Shipments[RM_Code],$A81,T_Shipments[Effective_Week],100)</f>
        <v/>
      </c>
      <c r="CX81">
        <f>SUMIFS(T_Shipments[Confirmed_Qty],T_Shipments[RM_Code],$A81,T_Shipments[Effective_Week],101)</f>
        <v/>
      </c>
      <c r="CY81">
        <f>SUMIFS(T_Shipments[Confirmed_Qty],T_Shipments[RM_Code],$A81,T_Shipments[Effective_Week],102)</f>
        <v/>
      </c>
      <c r="CZ81">
        <f>SUMIFS(T_Shipments[Confirmed_Qty],T_Shipments[RM_Code],$A81,T_Shipments[Effective_Week],103)</f>
        <v/>
      </c>
      <c r="DA81">
        <f>SUMIFS(T_Shipments[Confirmed_Qty],T_Shipments[RM_Code],$A81,T_Shipments[Effective_Week],104)</f>
        <v/>
      </c>
    </row>
    <row r="82">
      <c r="A82" t="inlineStr">
        <is>
          <t>A043</t>
        </is>
      </c>
      <c r="B82">
        <f>SUMIFS(T_Shipments[Confirmed_Qty],T_Shipments[RM_Code],$A82,T_Shipments[Effective_Week],1)</f>
        <v/>
      </c>
      <c r="C82">
        <f>SUMIFS(T_Shipments[Confirmed_Qty],T_Shipments[RM_Code],$A82,T_Shipments[Effective_Week],2)</f>
        <v/>
      </c>
      <c r="D82">
        <f>SUMIFS(T_Shipments[Confirmed_Qty],T_Shipments[RM_Code],$A82,T_Shipments[Effective_Week],3)</f>
        <v/>
      </c>
      <c r="E82">
        <f>SUMIFS(T_Shipments[Confirmed_Qty],T_Shipments[RM_Code],$A82,T_Shipments[Effective_Week],4)</f>
        <v/>
      </c>
      <c r="F82">
        <f>SUMIFS(T_Shipments[Confirmed_Qty],T_Shipments[RM_Code],$A82,T_Shipments[Effective_Week],5)</f>
        <v/>
      </c>
      <c r="G82">
        <f>SUMIFS(T_Shipments[Confirmed_Qty],T_Shipments[RM_Code],$A82,T_Shipments[Effective_Week],6)</f>
        <v/>
      </c>
      <c r="H82">
        <f>SUMIFS(T_Shipments[Confirmed_Qty],T_Shipments[RM_Code],$A82,T_Shipments[Effective_Week],7)</f>
        <v/>
      </c>
      <c r="I82">
        <f>SUMIFS(T_Shipments[Confirmed_Qty],T_Shipments[RM_Code],$A82,T_Shipments[Effective_Week],8)</f>
        <v/>
      </c>
      <c r="J82">
        <f>SUMIFS(T_Shipments[Confirmed_Qty],T_Shipments[RM_Code],$A82,T_Shipments[Effective_Week],9)</f>
        <v/>
      </c>
      <c r="K82">
        <f>SUMIFS(T_Shipments[Confirmed_Qty],T_Shipments[RM_Code],$A82,T_Shipments[Effective_Week],10)</f>
        <v/>
      </c>
      <c r="L82">
        <f>SUMIFS(T_Shipments[Confirmed_Qty],T_Shipments[RM_Code],$A82,T_Shipments[Effective_Week],11)</f>
        <v/>
      </c>
      <c r="M82">
        <f>SUMIFS(T_Shipments[Confirmed_Qty],T_Shipments[RM_Code],$A82,T_Shipments[Effective_Week],12)</f>
        <v/>
      </c>
      <c r="N82">
        <f>SUMIFS(T_Shipments[Confirmed_Qty],T_Shipments[RM_Code],$A82,T_Shipments[Effective_Week],13)</f>
        <v/>
      </c>
      <c r="O82">
        <f>SUMIFS(T_Shipments[Confirmed_Qty],T_Shipments[RM_Code],$A82,T_Shipments[Effective_Week],14)</f>
        <v/>
      </c>
      <c r="P82">
        <f>SUMIFS(T_Shipments[Confirmed_Qty],T_Shipments[RM_Code],$A82,T_Shipments[Effective_Week],15)</f>
        <v/>
      </c>
      <c r="Q82">
        <f>SUMIFS(T_Shipments[Confirmed_Qty],T_Shipments[RM_Code],$A82,T_Shipments[Effective_Week],16)</f>
        <v/>
      </c>
      <c r="R82">
        <f>SUMIFS(T_Shipments[Confirmed_Qty],T_Shipments[RM_Code],$A82,T_Shipments[Effective_Week],17)</f>
        <v/>
      </c>
      <c r="S82">
        <f>SUMIFS(T_Shipments[Confirmed_Qty],T_Shipments[RM_Code],$A82,T_Shipments[Effective_Week],18)</f>
        <v/>
      </c>
      <c r="T82">
        <f>SUMIFS(T_Shipments[Confirmed_Qty],T_Shipments[RM_Code],$A82,T_Shipments[Effective_Week],19)</f>
        <v/>
      </c>
      <c r="U82">
        <f>SUMIFS(T_Shipments[Confirmed_Qty],T_Shipments[RM_Code],$A82,T_Shipments[Effective_Week],20)</f>
        <v/>
      </c>
      <c r="V82">
        <f>SUMIFS(T_Shipments[Confirmed_Qty],T_Shipments[RM_Code],$A82,T_Shipments[Effective_Week],21)</f>
        <v/>
      </c>
      <c r="W82">
        <f>SUMIFS(T_Shipments[Confirmed_Qty],T_Shipments[RM_Code],$A82,T_Shipments[Effective_Week],22)</f>
        <v/>
      </c>
      <c r="X82">
        <f>SUMIFS(T_Shipments[Confirmed_Qty],T_Shipments[RM_Code],$A82,T_Shipments[Effective_Week],23)</f>
        <v/>
      </c>
      <c r="Y82">
        <f>SUMIFS(T_Shipments[Confirmed_Qty],T_Shipments[RM_Code],$A82,T_Shipments[Effective_Week],24)</f>
        <v/>
      </c>
      <c r="Z82">
        <f>SUMIFS(T_Shipments[Confirmed_Qty],T_Shipments[RM_Code],$A82,T_Shipments[Effective_Week],25)</f>
        <v/>
      </c>
      <c r="AA82">
        <f>SUMIFS(T_Shipments[Confirmed_Qty],T_Shipments[RM_Code],$A82,T_Shipments[Effective_Week],26)</f>
        <v/>
      </c>
      <c r="AB82">
        <f>SUMIFS(T_Shipments[Confirmed_Qty],T_Shipments[RM_Code],$A82,T_Shipments[Effective_Week],27)</f>
        <v/>
      </c>
      <c r="AC82">
        <f>SUMIFS(T_Shipments[Confirmed_Qty],T_Shipments[RM_Code],$A82,T_Shipments[Effective_Week],28)</f>
        <v/>
      </c>
      <c r="AD82">
        <f>SUMIFS(T_Shipments[Confirmed_Qty],T_Shipments[RM_Code],$A82,T_Shipments[Effective_Week],29)</f>
        <v/>
      </c>
      <c r="AE82">
        <f>SUMIFS(T_Shipments[Confirmed_Qty],T_Shipments[RM_Code],$A82,T_Shipments[Effective_Week],30)</f>
        <v/>
      </c>
      <c r="AF82">
        <f>SUMIFS(T_Shipments[Confirmed_Qty],T_Shipments[RM_Code],$A82,T_Shipments[Effective_Week],31)</f>
        <v/>
      </c>
      <c r="AG82">
        <f>SUMIFS(T_Shipments[Confirmed_Qty],T_Shipments[RM_Code],$A82,T_Shipments[Effective_Week],32)</f>
        <v/>
      </c>
      <c r="AH82">
        <f>SUMIFS(T_Shipments[Confirmed_Qty],T_Shipments[RM_Code],$A82,T_Shipments[Effective_Week],33)</f>
        <v/>
      </c>
      <c r="AI82">
        <f>SUMIFS(T_Shipments[Confirmed_Qty],T_Shipments[RM_Code],$A82,T_Shipments[Effective_Week],34)</f>
        <v/>
      </c>
      <c r="AJ82">
        <f>SUMIFS(T_Shipments[Confirmed_Qty],T_Shipments[RM_Code],$A82,T_Shipments[Effective_Week],35)</f>
        <v/>
      </c>
      <c r="AK82">
        <f>SUMIFS(T_Shipments[Confirmed_Qty],T_Shipments[RM_Code],$A82,T_Shipments[Effective_Week],36)</f>
        <v/>
      </c>
      <c r="AL82">
        <f>SUMIFS(T_Shipments[Confirmed_Qty],T_Shipments[RM_Code],$A82,T_Shipments[Effective_Week],37)</f>
        <v/>
      </c>
      <c r="AM82">
        <f>SUMIFS(T_Shipments[Confirmed_Qty],T_Shipments[RM_Code],$A82,T_Shipments[Effective_Week],38)</f>
        <v/>
      </c>
      <c r="AN82">
        <f>SUMIFS(T_Shipments[Confirmed_Qty],T_Shipments[RM_Code],$A82,T_Shipments[Effective_Week],39)</f>
        <v/>
      </c>
      <c r="AO82">
        <f>SUMIFS(T_Shipments[Confirmed_Qty],T_Shipments[RM_Code],$A82,T_Shipments[Effective_Week],40)</f>
        <v/>
      </c>
      <c r="AP82">
        <f>SUMIFS(T_Shipments[Confirmed_Qty],T_Shipments[RM_Code],$A82,T_Shipments[Effective_Week],41)</f>
        <v/>
      </c>
      <c r="AQ82">
        <f>SUMIFS(T_Shipments[Confirmed_Qty],T_Shipments[RM_Code],$A82,T_Shipments[Effective_Week],42)</f>
        <v/>
      </c>
      <c r="AR82">
        <f>SUMIFS(T_Shipments[Confirmed_Qty],T_Shipments[RM_Code],$A82,T_Shipments[Effective_Week],43)</f>
        <v/>
      </c>
      <c r="AS82">
        <f>SUMIFS(T_Shipments[Confirmed_Qty],T_Shipments[RM_Code],$A82,T_Shipments[Effective_Week],44)</f>
        <v/>
      </c>
      <c r="AT82">
        <f>SUMIFS(T_Shipments[Confirmed_Qty],T_Shipments[RM_Code],$A82,T_Shipments[Effective_Week],45)</f>
        <v/>
      </c>
      <c r="AU82">
        <f>SUMIFS(T_Shipments[Confirmed_Qty],T_Shipments[RM_Code],$A82,T_Shipments[Effective_Week],46)</f>
        <v/>
      </c>
      <c r="AV82">
        <f>SUMIFS(T_Shipments[Confirmed_Qty],T_Shipments[RM_Code],$A82,T_Shipments[Effective_Week],47)</f>
        <v/>
      </c>
      <c r="AW82">
        <f>SUMIFS(T_Shipments[Confirmed_Qty],T_Shipments[RM_Code],$A82,T_Shipments[Effective_Week],48)</f>
        <v/>
      </c>
      <c r="AX82">
        <f>SUMIFS(T_Shipments[Confirmed_Qty],T_Shipments[RM_Code],$A82,T_Shipments[Effective_Week],49)</f>
        <v/>
      </c>
      <c r="AY82">
        <f>SUMIFS(T_Shipments[Confirmed_Qty],T_Shipments[RM_Code],$A82,T_Shipments[Effective_Week],50)</f>
        <v/>
      </c>
      <c r="AZ82">
        <f>SUMIFS(T_Shipments[Confirmed_Qty],T_Shipments[RM_Code],$A82,T_Shipments[Effective_Week],51)</f>
        <v/>
      </c>
      <c r="BA82">
        <f>SUMIFS(T_Shipments[Confirmed_Qty],T_Shipments[RM_Code],$A82,T_Shipments[Effective_Week],52)</f>
        <v/>
      </c>
      <c r="BB82">
        <f>SUMIFS(T_Shipments[Confirmed_Qty],T_Shipments[RM_Code],$A82,T_Shipments[Effective_Week],53)</f>
        <v/>
      </c>
      <c r="BC82">
        <f>SUMIFS(T_Shipments[Confirmed_Qty],T_Shipments[RM_Code],$A82,T_Shipments[Effective_Week],54)</f>
        <v/>
      </c>
      <c r="BD82">
        <f>SUMIFS(T_Shipments[Confirmed_Qty],T_Shipments[RM_Code],$A82,T_Shipments[Effective_Week],55)</f>
        <v/>
      </c>
      <c r="BE82">
        <f>SUMIFS(T_Shipments[Confirmed_Qty],T_Shipments[RM_Code],$A82,T_Shipments[Effective_Week],56)</f>
        <v/>
      </c>
      <c r="BF82">
        <f>SUMIFS(T_Shipments[Confirmed_Qty],T_Shipments[RM_Code],$A82,T_Shipments[Effective_Week],57)</f>
        <v/>
      </c>
      <c r="BG82">
        <f>SUMIFS(T_Shipments[Confirmed_Qty],T_Shipments[RM_Code],$A82,T_Shipments[Effective_Week],58)</f>
        <v/>
      </c>
      <c r="BH82">
        <f>SUMIFS(T_Shipments[Confirmed_Qty],T_Shipments[RM_Code],$A82,T_Shipments[Effective_Week],59)</f>
        <v/>
      </c>
      <c r="BI82">
        <f>SUMIFS(T_Shipments[Confirmed_Qty],T_Shipments[RM_Code],$A82,T_Shipments[Effective_Week],60)</f>
        <v/>
      </c>
      <c r="BJ82">
        <f>SUMIFS(T_Shipments[Confirmed_Qty],T_Shipments[RM_Code],$A82,T_Shipments[Effective_Week],61)</f>
        <v/>
      </c>
      <c r="BK82">
        <f>SUMIFS(T_Shipments[Confirmed_Qty],T_Shipments[RM_Code],$A82,T_Shipments[Effective_Week],62)</f>
        <v/>
      </c>
      <c r="BL82">
        <f>SUMIFS(T_Shipments[Confirmed_Qty],T_Shipments[RM_Code],$A82,T_Shipments[Effective_Week],63)</f>
        <v/>
      </c>
      <c r="BM82">
        <f>SUMIFS(T_Shipments[Confirmed_Qty],T_Shipments[RM_Code],$A82,T_Shipments[Effective_Week],64)</f>
        <v/>
      </c>
      <c r="BN82">
        <f>SUMIFS(T_Shipments[Confirmed_Qty],T_Shipments[RM_Code],$A82,T_Shipments[Effective_Week],65)</f>
        <v/>
      </c>
      <c r="BO82">
        <f>SUMIFS(T_Shipments[Confirmed_Qty],T_Shipments[RM_Code],$A82,T_Shipments[Effective_Week],66)</f>
        <v/>
      </c>
      <c r="BP82">
        <f>SUMIFS(T_Shipments[Confirmed_Qty],T_Shipments[RM_Code],$A82,T_Shipments[Effective_Week],67)</f>
        <v/>
      </c>
      <c r="BQ82">
        <f>SUMIFS(T_Shipments[Confirmed_Qty],T_Shipments[RM_Code],$A82,T_Shipments[Effective_Week],68)</f>
        <v/>
      </c>
      <c r="BR82">
        <f>SUMIFS(T_Shipments[Confirmed_Qty],T_Shipments[RM_Code],$A82,T_Shipments[Effective_Week],69)</f>
        <v/>
      </c>
      <c r="BS82">
        <f>SUMIFS(T_Shipments[Confirmed_Qty],T_Shipments[RM_Code],$A82,T_Shipments[Effective_Week],70)</f>
        <v/>
      </c>
      <c r="BT82">
        <f>SUMIFS(T_Shipments[Confirmed_Qty],T_Shipments[RM_Code],$A82,T_Shipments[Effective_Week],71)</f>
        <v/>
      </c>
      <c r="BU82">
        <f>SUMIFS(T_Shipments[Confirmed_Qty],T_Shipments[RM_Code],$A82,T_Shipments[Effective_Week],72)</f>
        <v/>
      </c>
      <c r="BV82">
        <f>SUMIFS(T_Shipments[Confirmed_Qty],T_Shipments[RM_Code],$A82,T_Shipments[Effective_Week],73)</f>
        <v/>
      </c>
      <c r="BW82">
        <f>SUMIFS(T_Shipments[Confirmed_Qty],T_Shipments[RM_Code],$A82,T_Shipments[Effective_Week],74)</f>
        <v/>
      </c>
      <c r="BX82">
        <f>SUMIFS(T_Shipments[Confirmed_Qty],T_Shipments[RM_Code],$A82,T_Shipments[Effective_Week],75)</f>
        <v/>
      </c>
      <c r="BY82">
        <f>SUMIFS(T_Shipments[Confirmed_Qty],T_Shipments[RM_Code],$A82,T_Shipments[Effective_Week],76)</f>
        <v/>
      </c>
      <c r="BZ82">
        <f>SUMIFS(T_Shipments[Confirmed_Qty],T_Shipments[RM_Code],$A82,T_Shipments[Effective_Week],77)</f>
        <v/>
      </c>
      <c r="CA82">
        <f>SUMIFS(T_Shipments[Confirmed_Qty],T_Shipments[RM_Code],$A82,T_Shipments[Effective_Week],78)</f>
        <v/>
      </c>
      <c r="CB82">
        <f>SUMIFS(T_Shipments[Confirmed_Qty],T_Shipments[RM_Code],$A82,T_Shipments[Effective_Week],79)</f>
        <v/>
      </c>
      <c r="CC82">
        <f>SUMIFS(T_Shipments[Confirmed_Qty],T_Shipments[RM_Code],$A82,T_Shipments[Effective_Week],80)</f>
        <v/>
      </c>
      <c r="CD82">
        <f>SUMIFS(T_Shipments[Confirmed_Qty],T_Shipments[RM_Code],$A82,T_Shipments[Effective_Week],81)</f>
        <v/>
      </c>
      <c r="CE82">
        <f>SUMIFS(T_Shipments[Confirmed_Qty],T_Shipments[RM_Code],$A82,T_Shipments[Effective_Week],82)</f>
        <v/>
      </c>
      <c r="CF82">
        <f>SUMIFS(T_Shipments[Confirmed_Qty],T_Shipments[RM_Code],$A82,T_Shipments[Effective_Week],83)</f>
        <v/>
      </c>
      <c r="CG82">
        <f>SUMIFS(T_Shipments[Confirmed_Qty],T_Shipments[RM_Code],$A82,T_Shipments[Effective_Week],84)</f>
        <v/>
      </c>
      <c r="CH82">
        <f>SUMIFS(T_Shipments[Confirmed_Qty],T_Shipments[RM_Code],$A82,T_Shipments[Effective_Week],85)</f>
        <v/>
      </c>
      <c r="CI82">
        <f>SUMIFS(T_Shipments[Confirmed_Qty],T_Shipments[RM_Code],$A82,T_Shipments[Effective_Week],86)</f>
        <v/>
      </c>
      <c r="CJ82">
        <f>SUMIFS(T_Shipments[Confirmed_Qty],T_Shipments[RM_Code],$A82,T_Shipments[Effective_Week],87)</f>
        <v/>
      </c>
      <c r="CK82">
        <f>SUMIFS(T_Shipments[Confirmed_Qty],T_Shipments[RM_Code],$A82,T_Shipments[Effective_Week],88)</f>
        <v/>
      </c>
      <c r="CL82">
        <f>SUMIFS(T_Shipments[Confirmed_Qty],T_Shipments[RM_Code],$A82,T_Shipments[Effective_Week],89)</f>
        <v/>
      </c>
      <c r="CM82">
        <f>SUMIFS(T_Shipments[Confirmed_Qty],T_Shipments[RM_Code],$A82,T_Shipments[Effective_Week],90)</f>
        <v/>
      </c>
      <c r="CN82">
        <f>SUMIFS(T_Shipments[Confirmed_Qty],T_Shipments[RM_Code],$A82,T_Shipments[Effective_Week],91)</f>
        <v/>
      </c>
      <c r="CO82">
        <f>SUMIFS(T_Shipments[Confirmed_Qty],T_Shipments[RM_Code],$A82,T_Shipments[Effective_Week],92)</f>
        <v/>
      </c>
      <c r="CP82">
        <f>SUMIFS(T_Shipments[Confirmed_Qty],T_Shipments[RM_Code],$A82,T_Shipments[Effective_Week],93)</f>
        <v/>
      </c>
      <c r="CQ82">
        <f>SUMIFS(T_Shipments[Confirmed_Qty],T_Shipments[RM_Code],$A82,T_Shipments[Effective_Week],94)</f>
        <v/>
      </c>
      <c r="CR82">
        <f>SUMIFS(T_Shipments[Confirmed_Qty],T_Shipments[RM_Code],$A82,T_Shipments[Effective_Week],95)</f>
        <v/>
      </c>
      <c r="CS82">
        <f>SUMIFS(T_Shipments[Confirmed_Qty],T_Shipments[RM_Code],$A82,T_Shipments[Effective_Week],96)</f>
        <v/>
      </c>
      <c r="CT82">
        <f>SUMIFS(T_Shipments[Confirmed_Qty],T_Shipments[RM_Code],$A82,T_Shipments[Effective_Week],97)</f>
        <v/>
      </c>
      <c r="CU82">
        <f>SUMIFS(T_Shipments[Confirmed_Qty],T_Shipments[RM_Code],$A82,T_Shipments[Effective_Week],98)</f>
        <v/>
      </c>
      <c r="CV82">
        <f>SUMIFS(T_Shipments[Confirmed_Qty],T_Shipments[RM_Code],$A82,T_Shipments[Effective_Week],99)</f>
        <v/>
      </c>
      <c r="CW82">
        <f>SUMIFS(T_Shipments[Confirmed_Qty],T_Shipments[RM_Code],$A82,T_Shipments[Effective_Week],100)</f>
        <v/>
      </c>
      <c r="CX82">
        <f>SUMIFS(T_Shipments[Confirmed_Qty],T_Shipments[RM_Code],$A82,T_Shipments[Effective_Week],101)</f>
        <v/>
      </c>
      <c r="CY82">
        <f>SUMIFS(T_Shipments[Confirmed_Qty],T_Shipments[RM_Code],$A82,T_Shipments[Effective_Week],102)</f>
        <v/>
      </c>
      <c r="CZ82">
        <f>SUMIFS(T_Shipments[Confirmed_Qty],T_Shipments[RM_Code],$A82,T_Shipments[Effective_Week],103)</f>
        <v/>
      </c>
      <c r="DA82">
        <f>SUMIFS(T_Shipments[Confirmed_Qty],T_Shipments[RM_Code],$A82,T_Shipments[Effective_Week],104)</f>
        <v/>
      </c>
    </row>
    <row r="83">
      <c r="A83" t="inlineStr">
        <is>
          <t>CHEM-1220</t>
        </is>
      </c>
      <c r="B83">
        <f>SUMIFS(T_Shipments[Confirmed_Qty],T_Shipments[RM_Code],$A83,T_Shipments[Effective_Week],1)</f>
        <v/>
      </c>
      <c r="C83">
        <f>SUMIFS(T_Shipments[Confirmed_Qty],T_Shipments[RM_Code],$A83,T_Shipments[Effective_Week],2)</f>
        <v/>
      </c>
      <c r="D83">
        <f>SUMIFS(T_Shipments[Confirmed_Qty],T_Shipments[RM_Code],$A83,T_Shipments[Effective_Week],3)</f>
        <v/>
      </c>
      <c r="E83">
        <f>SUMIFS(T_Shipments[Confirmed_Qty],T_Shipments[RM_Code],$A83,T_Shipments[Effective_Week],4)</f>
        <v/>
      </c>
      <c r="F83">
        <f>SUMIFS(T_Shipments[Confirmed_Qty],T_Shipments[RM_Code],$A83,T_Shipments[Effective_Week],5)</f>
        <v/>
      </c>
      <c r="G83">
        <f>SUMIFS(T_Shipments[Confirmed_Qty],T_Shipments[RM_Code],$A83,T_Shipments[Effective_Week],6)</f>
        <v/>
      </c>
      <c r="H83">
        <f>SUMIFS(T_Shipments[Confirmed_Qty],T_Shipments[RM_Code],$A83,T_Shipments[Effective_Week],7)</f>
        <v/>
      </c>
      <c r="I83">
        <f>SUMIFS(T_Shipments[Confirmed_Qty],T_Shipments[RM_Code],$A83,T_Shipments[Effective_Week],8)</f>
        <v/>
      </c>
      <c r="J83">
        <f>SUMIFS(T_Shipments[Confirmed_Qty],T_Shipments[RM_Code],$A83,T_Shipments[Effective_Week],9)</f>
        <v/>
      </c>
      <c r="K83">
        <f>SUMIFS(T_Shipments[Confirmed_Qty],T_Shipments[RM_Code],$A83,T_Shipments[Effective_Week],10)</f>
        <v/>
      </c>
      <c r="L83">
        <f>SUMIFS(T_Shipments[Confirmed_Qty],T_Shipments[RM_Code],$A83,T_Shipments[Effective_Week],11)</f>
        <v/>
      </c>
      <c r="M83">
        <f>SUMIFS(T_Shipments[Confirmed_Qty],T_Shipments[RM_Code],$A83,T_Shipments[Effective_Week],12)</f>
        <v/>
      </c>
      <c r="N83">
        <f>SUMIFS(T_Shipments[Confirmed_Qty],T_Shipments[RM_Code],$A83,T_Shipments[Effective_Week],13)</f>
        <v/>
      </c>
      <c r="O83">
        <f>SUMIFS(T_Shipments[Confirmed_Qty],T_Shipments[RM_Code],$A83,T_Shipments[Effective_Week],14)</f>
        <v/>
      </c>
      <c r="P83">
        <f>SUMIFS(T_Shipments[Confirmed_Qty],T_Shipments[RM_Code],$A83,T_Shipments[Effective_Week],15)</f>
        <v/>
      </c>
      <c r="Q83">
        <f>SUMIFS(T_Shipments[Confirmed_Qty],T_Shipments[RM_Code],$A83,T_Shipments[Effective_Week],16)</f>
        <v/>
      </c>
      <c r="R83">
        <f>SUMIFS(T_Shipments[Confirmed_Qty],T_Shipments[RM_Code],$A83,T_Shipments[Effective_Week],17)</f>
        <v/>
      </c>
      <c r="S83">
        <f>SUMIFS(T_Shipments[Confirmed_Qty],T_Shipments[RM_Code],$A83,T_Shipments[Effective_Week],18)</f>
        <v/>
      </c>
      <c r="T83">
        <f>SUMIFS(T_Shipments[Confirmed_Qty],T_Shipments[RM_Code],$A83,T_Shipments[Effective_Week],19)</f>
        <v/>
      </c>
      <c r="U83">
        <f>SUMIFS(T_Shipments[Confirmed_Qty],T_Shipments[RM_Code],$A83,T_Shipments[Effective_Week],20)</f>
        <v/>
      </c>
      <c r="V83">
        <f>SUMIFS(T_Shipments[Confirmed_Qty],T_Shipments[RM_Code],$A83,T_Shipments[Effective_Week],21)</f>
        <v/>
      </c>
      <c r="W83">
        <f>SUMIFS(T_Shipments[Confirmed_Qty],T_Shipments[RM_Code],$A83,T_Shipments[Effective_Week],22)</f>
        <v/>
      </c>
      <c r="X83">
        <f>SUMIFS(T_Shipments[Confirmed_Qty],T_Shipments[RM_Code],$A83,T_Shipments[Effective_Week],23)</f>
        <v/>
      </c>
      <c r="Y83">
        <f>SUMIFS(T_Shipments[Confirmed_Qty],T_Shipments[RM_Code],$A83,T_Shipments[Effective_Week],24)</f>
        <v/>
      </c>
      <c r="Z83">
        <f>SUMIFS(T_Shipments[Confirmed_Qty],T_Shipments[RM_Code],$A83,T_Shipments[Effective_Week],25)</f>
        <v/>
      </c>
      <c r="AA83">
        <f>SUMIFS(T_Shipments[Confirmed_Qty],T_Shipments[RM_Code],$A83,T_Shipments[Effective_Week],26)</f>
        <v/>
      </c>
      <c r="AB83">
        <f>SUMIFS(T_Shipments[Confirmed_Qty],T_Shipments[RM_Code],$A83,T_Shipments[Effective_Week],27)</f>
        <v/>
      </c>
      <c r="AC83">
        <f>SUMIFS(T_Shipments[Confirmed_Qty],T_Shipments[RM_Code],$A83,T_Shipments[Effective_Week],28)</f>
        <v/>
      </c>
      <c r="AD83">
        <f>SUMIFS(T_Shipments[Confirmed_Qty],T_Shipments[RM_Code],$A83,T_Shipments[Effective_Week],29)</f>
        <v/>
      </c>
      <c r="AE83">
        <f>SUMIFS(T_Shipments[Confirmed_Qty],T_Shipments[RM_Code],$A83,T_Shipments[Effective_Week],30)</f>
        <v/>
      </c>
      <c r="AF83">
        <f>SUMIFS(T_Shipments[Confirmed_Qty],T_Shipments[RM_Code],$A83,T_Shipments[Effective_Week],31)</f>
        <v/>
      </c>
      <c r="AG83">
        <f>SUMIFS(T_Shipments[Confirmed_Qty],T_Shipments[RM_Code],$A83,T_Shipments[Effective_Week],32)</f>
        <v/>
      </c>
      <c r="AH83">
        <f>SUMIFS(T_Shipments[Confirmed_Qty],T_Shipments[RM_Code],$A83,T_Shipments[Effective_Week],33)</f>
        <v/>
      </c>
      <c r="AI83">
        <f>SUMIFS(T_Shipments[Confirmed_Qty],T_Shipments[RM_Code],$A83,T_Shipments[Effective_Week],34)</f>
        <v/>
      </c>
      <c r="AJ83">
        <f>SUMIFS(T_Shipments[Confirmed_Qty],T_Shipments[RM_Code],$A83,T_Shipments[Effective_Week],35)</f>
        <v/>
      </c>
      <c r="AK83">
        <f>SUMIFS(T_Shipments[Confirmed_Qty],T_Shipments[RM_Code],$A83,T_Shipments[Effective_Week],36)</f>
        <v/>
      </c>
      <c r="AL83">
        <f>SUMIFS(T_Shipments[Confirmed_Qty],T_Shipments[RM_Code],$A83,T_Shipments[Effective_Week],37)</f>
        <v/>
      </c>
      <c r="AM83">
        <f>SUMIFS(T_Shipments[Confirmed_Qty],T_Shipments[RM_Code],$A83,T_Shipments[Effective_Week],38)</f>
        <v/>
      </c>
      <c r="AN83">
        <f>SUMIFS(T_Shipments[Confirmed_Qty],T_Shipments[RM_Code],$A83,T_Shipments[Effective_Week],39)</f>
        <v/>
      </c>
      <c r="AO83">
        <f>SUMIFS(T_Shipments[Confirmed_Qty],T_Shipments[RM_Code],$A83,T_Shipments[Effective_Week],40)</f>
        <v/>
      </c>
      <c r="AP83">
        <f>SUMIFS(T_Shipments[Confirmed_Qty],T_Shipments[RM_Code],$A83,T_Shipments[Effective_Week],41)</f>
        <v/>
      </c>
      <c r="AQ83">
        <f>SUMIFS(T_Shipments[Confirmed_Qty],T_Shipments[RM_Code],$A83,T_Shipments[Effective_Week],42)</f>
        <v/>
      </c>
      <c r="AR83">
        <f>SUMIFS(T_Shipments[Confirmed_Qty],T_Shipments[RM_Code],$A83,T_Shipments[Effective_Week],43)</f>
        <v/>
      </c>
      <c r="AS83">
        <f>SUMIFS(T_Shipments[Confirmed_Qty],T_Shipments[RM_Code],$A83,T_Shipments[Effective_Week],44)</f>
        <v/>
      </c>
      <c r="AT83">
        <f>SUMIFS(T_Shipments[Confirmed_Qty],T_Shipments[RM_Code],$A83,T_Shipments[Effective_Week],45)</f>
        <v/>
      </c>
      <c r="AU83">
        <f>SUMIFS(T_Shipments[Confirmed_Qty],T_Shipments[RM_Code],$A83,T_Shipments[Effective_Week],46)</f>
        <v/>
      </c>
      <c r="AV83">
        <f>SUMIFS(T_Shipments[Confirmed_Qty],T_Shipments[RM_Code],$A83,T_Shipments[Effective_Week],47)</f>
        <v/>
      </c>
      <c r="AW83">
        <f>SUMIFS(T_Shipments[Confirmed_Qty],T_Shipments[RM_Code],$A83,T_Shipments[Effective_Week],48)</f>
        <v/>
      </c>
      <c r="AX83">
        <f>SUMIFS(T_Shipments[Confirmed_Qty],T_Shipments[RM_Code],$A83,T_Shipments[Effective_Week],49)</f>
        <v/>
      </c>
      <c r="AY83">
        <f>SUMIFS(T_Shipments[Confirmed_Qty],T_Shipments[RM_Code],$A83,T_Shipments[Effective_Week],50)</f>
        <v/>
      </c>
      <c r="AZ83">
        <f>SUMIFS(T_Shipments[Confirmed_Qty],T_Shipments[RM_Code],$A83,T_Shipments[Effective_Week],51)</f>
        <v/>
      </c>
      <c r="BA83">
        <f>SUMIFS(T_Shipments[Confirmed_Qty],T_Shipments[RM_Code],$A83,T_Shipments[Effective_Week],52)</f>
        <v/>
      </c>
      <c r="BB83">
        <f>SUMIFS(T_Shipments[Confirmed_Qty],T_Shipments[RM_Code],$A83,T_Shipments[Effective_Week],53)</f>
        <v/>
      </c>
      <c r="BC83">
        <f>SUMIFS(T_Shipments[Confirmed_Qty],T_Shipments[RM_Code],$A83,T_Shipments[Effective_Week],54)</f>
        <v/>
      </c>
      <c r="BD83">
        <f>SUMIFS(T_Shipments[Confirmed_Qty],T_Shipments[RM_Code],$A83,T_Shipments[Effective_Week],55)</f>
        <v/>
      </c>
      <c r="BE83">
        <f>SUMIFS(T_Shipments[Confirmed_Qty],T_Shipments[RM_Code],$A83,T_Shipments[Effective_Week],56)</f>
        <v/>
      </c>
      <c r="BF83">
        <f>SUMIFS(T_Shipments[Confirmed_Qty],T_Shipments[RM_Code],$A83,T_Shipments[Effective_Week],57)</f>
        <v/>
      </c>
      <c r="BG83">
        <f>SUMIFS(T_Shipments[Confirmed_Qty],T_Shipments[RM_Code],$A83,T_Shipments[Effective_Week],58)</f>
        <v/>
      </c>
      <c r="BH83">
        <f>SUMIFS(T_Shipments[Confirmed_Qty],T_Shipments[RM_Code],$A83,T_Shipments[Effective_Week],59)</f>
        <v/>
      </c>
      <c r="BI83">
        <f>SUMIFS(T_Shipments[Confirmed_Qty],T_Shipments[RM_Code],$A83,T_Shipments[Effective_Week],60)</f>
        <v/>
      </c>
      <c r="BJ83">
        <f>SUMIFS(T_Shipments[Confirmed_Qty],T_Shipments[RM_Code],$A83,T_Shipments[Effective_Week],61)</f>
        <v/>
      </c>
      <c r="BK83">
        <f>SUMIFS(T_Shipments[Confirmed_Qty],T_Shipments[RM_Code],$A83,T_Shipments[Effective_Week],62)</f>
        <v/>
      </c>
      <c r="BL83">
        <f>SUMIFS(T_Shipments[Confirmed_Qty],T_Shipments[RM_Code],$A83,T_Shipments[Effective_Week],63)</f>
        <v/>
      </c>
      <c r="BM83">
        <f>SUMIFS(T_Shipments[Confirmed_Qty],T_Shipments[RM_Code],$A83,T_Shipments[Effective_Week],64)</f>
        <v/>
      </c>
      <c r="BN83">
        <f>SUMIFS(T_Shipments[Confirmed_Qty],T_Shipments[RM_Code],$A83,T_Shipments[Effective_Week],65)</f>
        <v/>
      </c>
      <c r="BO83">
        <f>SUMIFS(T_Shipments[Confirmed_Qty],T_Shipments[RM_Code],$A83,T_Shipments[Effective_Week],66)</f>
        <v/>
      </c>
      <c r="BP83">
        <f>SUMIFS(T_Shipments[Confirmed_Qty],T_Shipments[RM_Code],$A83,T_Shipments[Effective_Week],67)</f>
        <v/>
      </c>
      <c r="BQ83">
        <f>SUMIFS(T_Shipments[Confirmed_Qty],T_Shipments[RM_Code],$A83,T_Shipments[Effective_Week],68)</f>
        <v/>
      </c>
      <c r="BR83">
        <f>SUMIFS(T_Shipments[Confirmed_Qty],T_Shipments[RM_Code],$A83,T_Shipments[Effective_Week],69)</f>
        <v/>
      </c>
      <c r="BS83">
        <f>SUMIFS(T_Shipments[Confirmed_Qty],T_Shipments[RM_Code],$A83,T_Shipments[Effective_Week],70)</f>
        <v/>
      </c>
      <c r="BT83">
        <f>SUMIFS(T_Shipments[Confirmed_Qty],T_Shipments[RM_Code],$A83,T_Shipments[Effective_Week],71)</f>
        <v/>
      </c>
      <c r="BU83">
        <f>SUMIFS(T_Shipments[Confirmed_Qty],T_Shipments[RM_Code],$A83,T_Shipments[Effective_Week],72)</f>
        <v/>
      </c>
      <c r="BV83">
        <f>SUMIFS(T_Shipments[Confirmed_Qty],T_Shipments[RM_Code],$A83,T_Shipments[Effective_Week],73)</f>
        <v/>
      </c>
      <c r="BW83">
        <f>SUMIFS(T_Shipments[Confirmed_Qty],T_Shipments[RM_Code],$A83,T_Shipments[Effective_Week],74)</f>
        <v/>
      </c>
      <c r="BX83">
        <f>SUMIFS(T_Shipments[Confirmed_Qty],T_Shipments[RM_Code],$A83,T_Shipments[Effective_Week],75)</f>
        <v/>
      </c>
      <c r="BY83">
        <f>SUMIFS(T_Shipments[Confirmed_Qty],T_Shipments[RM_Code],$A83,T_Shipments[Effective_Week],76)</f>
        <v/>
      </c>
      <c r="BZ83">
        <f>SUMIFS(T_Shipments[Confirmed_Qty],T_Shipments[RM_Code],$A83,T_Shipments[Effective_Week],77)</f>
        <v/>
      </c>
      <c r="CA83">
        <f>SUMIFS(T_Shipments[Confirmed_Qty],T_Shipments[RM_Code],$A83,T_Shipments[Effective_Week],78)</f>
        <v/>
      </c>
      <c r="CB83">
        <f>SUMIFS(T_Shipments[Confirmed_Qty],T_Shipments[RM_Code],$A83,T_Shipments[Effective_Week],79)</f>
        <v/>
      </c>
      <c r="CC83">
        <f>SUMIFS(T_Shipments[Confirmed_Qty],T_Shipments[RM_Code],$A83,T_Shipments[Effective_Week],80)</f>
        <v/>
      </c>
      <c r="CD83">
        <f>SUMIFS(T_Shipments[Confirmed_Qty],T_Shipments[RM_Code],$A83,T_Shipments[Effective_Week],81)</f>
        <v/>
      </c>
      <c r="CE83">
        <f>SUMIFS(T_Shipments[Confirmed_Qty],T_Shipments[RM_Code],$A83,T_Shipments[Effective_Week],82)</f>
        <v/>
      </c>
      <c r="CF83">
        <f>SUMIFS(T_Shipments[Confirmed_Qty],T_Shipments[RM_Code],$A83,T_Shipments[Effective_Week],83)</f>
        <v/>
      </c>
      <c r="CG83">
        <f>SUMIFS(T_Shipments[Confirmed_Qty],T_Shipments[RM_Code],$A83,T_Shipments[Effective_Week],84)</f>
        <v/>
      </c>
      <c r="CH83">
        <f>SUMIFS(T_Shipments[Confirmed_Qty],T_Shipments[RM_Code],$A83,T_Shipments[Effective_Week],85)</f>
        <v/>
      </c>
      <c r="CI83">
        <f>SUMIFS(T_Shipments[Confirmed_Qty],T_Shipments[RM_Code],$A83,T_Shipments[Effective_Week],86)</f>
        <v/>
      </c>
      <c r="CJ83">
        <f>SUMIFS(T_Shipments[Confirmed_Qty],T_Shipments[RM_Code],$A83,T_Shipments[Effective_Week],87)</f>
        <v/>
      </c>
      <c r="CK83">
        <f>SUMIFS(T_Shipments[Confirmed_Qty],T_Shipments[RM_Code],$A83,T_Shipments[Effective_Week],88)</f>
        <v/>
      </c>
      <c r="CL83">
        <f>SUMIFS(T_Shipments[Confirmed_Qty],T_Shipments[RM_Code],$A83,T_Shipments[Effective_Week],89)</f>
        <v/>
      </c>
      <c r="CM83">
        <f>SUMIFS(T_Shipments[Confirmed_Qty],T_Shipments[RM_Code],$A83,T_Shipments[Effective_Week],90)</f>
        <v/>
      </c>
      <c r="CN83">
        <f>SUMIFS(T_Shipments[Confirmed_Qty],T_Shipments[RM_Code],$A83,T_Shipments[Effective_Week],91)</f>
        <v/>
      </c>
      <c r="CO83">
        <f>SUMIFS(T_Shipments[Confirmed_Qty],T_Shipments[RM_Code],$A83,T_Shipments[Effective_Week],92)</f>
        <v/>
      </c>
      <c r="CP83">
        <f>SUMIFS(T_Shipments[Confirmed_Qty],T_Shipments[RM_Code],$A83,T_Shipments[Effective_Week],93)</f>
        <v/>
      </c>
      <c r="CQ83">
        <f>SUMIFS(T_Shipments[Confirmed_Qty],T_Shipments[RM_Code],$A83,T_Shipments[Effective_Week],94)</f>
        <v/>
      </c>
      <c r="CR83">
        <f>SUMIFS(T_Shipments[Confirmed_Qty],T_Shipments[RM_Code],$A83,T_Shipments[Effective_Week],95)</f>
        <v/>
      </c>
      <c r="CS83">
        <f>SUMIFS(T_Shipments[Confirmed_Qty],T_Shipments[RM_Code],$A83,T_Shipments[Effective_Week],96)</f>
        <v/>
      </c>
      <c r="CT83">
        <f>SUMIFS(T_Shipments[Confirmed_Qty],T_Shipments[RM_Code],$A83,T_Shipments[Effective_Week],97)</f>
        <v/>
      </c>
      <c r="CU83">
        <f>SUMIFS(T_Shipments[Confirmed_Qty],T_Shipments[RM_Code],$A83,T_Shipments[Effective_Week],98)</f>
        <v/>
      </c>
      <c r="CV83">
        <f>SUMIFS(T_Shipments[Confirmed_Qty],T_Shipments[RM_Code],$A83,T_Shipments[Effective_Week],99)</f>
        <v/>
      </c>
      <c r="CW83">
        <f>SUMIFS(T_Shipments[Confirmed_Qty],T_Shipments[RM_Code],$A83,T_Shipments[Effective_Week],100)</f>
        <v/>
      </c>
      <c r="CX83">
        <f>SUMIFS(T_Shipments[Confirmed_Qty],T_Shipments[RM_Code],$A83,T_Shipments[Effective_Week],101)</f>
        <v/>
      </c>
      <c r="CY83">
        <f>SUMIFS(T_Shipments[Confirmed_Qty],T_Shipments[RM_Code],$A83,T_Shipments[Effective_Week],102)</f>
        <v/>
      </c>
      <c r="CZ83">
        <f>SUMIFS(T_Shipments[Confirmed_Qty],T_Shipments[RM_Code],$A83,T_Shipments[Effective_Week],103)</f>
        <v/>
      </c>
      <c r="DA83">
        <f>SUMIFS(T_Shipments[Confirmed_Qty],T_Shipments[RM_Code],$A83,T_Shipments[Effective_Week],104)</f>
        <v/>
      </c>
    </row>
    <row r="84">
      <c r="A84" t="inlineStr">
        <is>
          <t>CHEM-1260</t>
        </is>
      </c>
      <c r="B84">
        <f>SUMIFS(T_Shipments[Confirmed_Qty],T_Shipments[RM_Code],$A84,T_Shipments[Effective_Week],1)</f>
        <v/>
      </c>
      <c r="C84">
        <f>SUMIFS(T_Shipments[Confirmed_Qty],T_Shipments[RM_Code],$A84,T_Shipments[Effective_Week],2)</f>
        <v/>
      </c>
      <c r="D84">
        <f>SUMIFS(T_Shipments[Confirmed_Qty],T_Shipments[RM_Code],$A84,T_Shipments[Effective_Week],3)</f>
        <v/>
      </c>
      <c r="E84">
        <f>SUMIFS(T_Shipments[Confirmed_Qty],T_Shipments[RM_Code],$A84,T_Shipments[Effective_Week],4)</f>
        <v/>
      </c>
      <c r="F84">
        <f>SUMIFS(T_Shipments[Confirmed_Qty],T_Shipments[RM_Code],$A84,T_Shipments[Effective_Week],5)</f>
        <v/>
      </c>
      <c r="G84">
        <f>SUMIFS(T_Shipments[Confirmed_Qty],T_Shipments[RM_Code],$A84,T_Shipments[Effective_Week],6)</f>
        <v/>
      </c>
      <c r="H84">
        <f>SUMIFS(T_Shipments[Confirmed_Qty],T_Shipments[RM_Code],$A84,T_Shipments[Effective_Week],7)</f>
        <v/>
      </c>
      <c r="I84">
        <f>SUMIFS(T_Shipments[Confirmed_Qty],T_Shipments[RM_Code],$A84,T_Shipments[Effective_Week],8)</f>
        <v/>
      </c>
      <c r="J84">
        <f>SUMIFS(T_Shipments[Confirmed_Qty],T_Shipments[RM_Code],$A84,T_Shipments[Effective_Week],9)</f>
        <v/>
      </c>
      <c r="K84">
        <f>SUMIFS(T_Shipments[Confirmed_Qty],T_Shipments[RM_Code],$A84,T_Shipments[Effective_Week],10)</f>
        <v/>
      </c>
      <c r="L84">
        <f>SUMIFS(T_Shipments[Confirmed_Qty],T_Shipments[RM_Code],$A84,T_Shipments[Effective_Week],11)</f>
        <v/>
      </c>
      <c r="M84">
        <f>SUMIFS(T_Shipments[Confirmed_Qty],T_Shipments[RM_Code],$A84,T_Shipments[Effective_Week],12)</f>
        <v/>
      </c>
      <c r="N84">
        <f>SUMIFS(T_Shipments[Confirmed_Qty],T_Shipments[RM_Code],$A84,T_Shipments[Effective_Week],13)</f>
        <v/>
      </c>
      <c r="O84">
        <f>SUMIFS(T_Shipments[Confirmed_Qty],T_Shipments[RM_Code],$A84,T_Shipments[Effective_Week],14)</f>
        <v/>
      </c>
      <c r="P84">
        <f>SUMIFS(T_Shipments[Confirmed_Qty],T_Shipments[RM_Code],$A84,T_Shipments[Effective_Week],15)</f>
        <v/>
      </c>
      <c r="Q84">
        <f>SUMIFS(T_Shipments[Confirmed_Qty],T_Shipments[RM_Code],$A84,T_Shipments[Effective_Week],16)</f>
        <v/>
      </c>
      <c r="R84">
        <f>SUMIFS(T_Shipments[Confirmed_Qty],T_Shipments[RM_Code],$A84,T_Shipments[Effective_Week],17)</f>
        <v/>
      </c>
      <c r="S84">
        <f>SUMIFS(T_Shipments[Confirmed_Qty],T_Shipments[RM_Code],$A84,T_Shipments[Effective_Week],18)</f>
        <v/>
      </c>
      <c r="T84">
        <f>SUMIFS(T_Shipments[Confirmed_Qty],T_Shipments[RM_Code],$A84,T_Shipments[Effective_Week],19)</f>
        <v/>
      </c>
      <c r="U84">
        <f>SUMIFS(T_Shipments[Confirmed_Qty],T_Shipments[RM_Code],$A84,T_Shipments[Effective_Week],20)</f>
        <v/>
      </c>
      <c r="V84">
        <f>SUMIFS(T_Shipments[Confirmed_Qty],T_Shipments[RM_Code],$A84,T_Shipments[Effective_Week],21)</f>
        <v/>
      </c>
      <c r="W84">
        <f>SUMIFS(T_Shipments[Confirmed_Qty],T_Shipments[RM_Code],$A84,T_Shipments[Effective_Week],22)</f>
        <v/>
      </c>
      <c r="X84">
        <f>SUMIFS(T_Shipments[Confirmed_Qty],T_Shipments[RM_Code],$A84,T_Shipments[Effective_Week],23)</f>
        <v/>
      </c>
      <c r="Y84">
        <f>SUMIFS(T_Shipments[Confirmed_Qty],T_Shipments[RM_Code],$A84,T_Shipments[Effective_Week],24)</f>
        <v/>
      </c>
      <c r="Z84">
        <f>SUMIFS(T_Shipments[Confirmed_Qty],T_Shipments[RM_Code],$A84,T_Shipments[Effective_Week],25)</f>
        <v/>
      </c>
      <c r="AA84">
        <f>SUMIFS(T_Shipments[Confirmed_Qty],T_Shipments[RM_Code],$A84,T_Shipments[Effective_Week],26)</f>
        <v/>
      </c>
      <c r="AB84">
        <f>SUMIFS(T_Shipments[Confirmed_Qty],T_Shipments[RM_Code],$A84,T_Shipments[Effective_Week],27)</f>
        <v/>
      </c>
      <c r="AC84">
        <f>SUMIFS(T_Shipments[Confirmed_Qty],T_Shipments[RM_Code],$A84,T_Shipments[Effective_Week],28)</f>
        <v/>
      </c>
      <c r="AD84">
        <f>SUMIFS(T_Shipments[Confirmed_Qty],T_Shipments[RM_Code],$A84,T_Shipments[Effective_Week],29)</f>
        <v/>
      </c>
      <c r="AE84">
        <f>SUMIFS(T_Shipments[Confirmed_Qty],T_Shipments[RM_Code],$A84,T_Shipments[Effective_Week],30)</f>
        <v/>
      </c>
      <c r="AF84">
        <f>SUMIFS(T_Shipments[Confirmed_Qty],T_Shipments[RM_Code],$A84,T_Shipments[Effective_Week],31)</f>
        <v/>
      </c>
      <c r="AG84">
        <f>SUMIFS(T_Shipments[Confirmed_Qty],T_Shipments[RM_Code],$A84,T_Shipments[Effective_Week],32)</f>
        <v/>
      </c>
      <c r="AH84">
        <f>SUMIFS(T_Shipments[Confirmed_Qty],T_Shipments[RM_Code],$A84,T_Shipments[Effective_Week],33)</f>
        <v/>
      </c>
      <c r="AI84">
        <f>SUMIFS(T_Shipments[Confirmed_Qty],T_Shipments[RM_Code],$A84,T_Shipments[Effective_Week],34)</f>
        <v/>
      </c>
      <c r="AJ84">
        <f>SUMIFS(T_Shipments[Confirmed_Qty],T_Shipments[RM_Code],$A84,T_Shipments[Effective_Week],35)</f>
        <v/>
      </c>
      <c r="AK84">
        <f>SUMIFS(T_Shipments[Confirmed_Qty],T_Shipments[RM_Code],$A84,T_Shipments[Effective_Week],36)</f>
        <v/>
      </c>
      <c r="AL84">
        <f>SUMIFS(T_Shipments[Confirmed_Qty],T_Shipments[RM_Code],$A84,T_Shipments[Effective_Week],37)</f>
        <v/>
      </c>
      <c r="AM84">
        <f>SUMIFS(T_Shipments[Confirmed_Qty],T_Shipments[RM_Code],$A84,T_Shipments[Effective_Week],38)</f>
        <v/>
      </c>
      <c r="AN84">
        <f>SUMIFS(T_Shipments[Confirmed_Qty],T_Shipments[RM_Code],$A84,T_Shipments[Effective_Week],39)</f>
        <v/>
      </c>
      <c r="AO84">
        <f>SUMIFS(T_Shipments[Confirmed_Qty],T_Shipments[RM_Code],$A84,T_Shipments[Effective_Week],40)</f>
        <v/>
      </c>
      <c r="AP84">
        <f>SUMIFS(T_Shipments[Confirmed_Qty],T_Shipments[RM_Code],$A84,T_Shipments[Effective_Week],41)</f>
        <v/>
      </c>
      <c r="AQ84">
        <f>SUMIFS(T_Shipments[Confirmed_Qty],T_Shipments[RM_Code],$A84,T_Shipments[Effective_Week],42)</f>
        <v/>
      </c>
      <c r="AR84">
        <f>SUMIFS(T_Shipments[Confirmed_Qty],T_Shipments[RM_Code],$A84,T_Shipments[Effective_Week],43)</f>
        <v/>
      </c>
      <c r="AS84">
        <f>SUMIFS(T_Shipments[Confirmed_Qty],T_Shipments[RM_Code],$A84,T_Shipments[Effective_Week],44)</f>
        <v/>
      </c>
      <c r="AT84">
        <f>SUMIFS(T_Shipments[Confirmed_Qty],T_Shipments[RM_Code],$A84,T_Shipments[Effective_Week],45)</f>
        <v/>
      </c>
      <c r="AU84">
        <f>SUMIFS(T_Shipments[Confirmed_Qty],T_Shipments[RM_Code],$A84,T_Shipments[Effective_Week],46)</f>
        <v/>
      </c>
      <c r="AV84">
        <f>SUMIFS(T_Shipments[Confirmed_Qty],T_Shipments[RM_Code],$A84,T_Shipments[Effective_Week],47)</f>
        <v/>
      </c>
      <c r="AW84">
        <f>SUMIFS(T_Shipments[Confirmed_Qty],T_Shipments[RM_Code],$A84,T_Shipments[Effective_Week],48)</f>
        <v/>
      </c>
      <c r="AX84">
        <f>SUMIFS(T_Shipments[Confirmed_Qty],T_Shipments[RM_Code],$A84,T_Shipments[Effective_Week],49)</f>
        <v/>
      </c>
      <c r="AY84">
        <f>SUMIFS(T_Shipments[Confirmed_Qty],T_Shipments[RM_Code],$A84,T_Shipments[Effective_Week],50)</f>
        <v/>
      </c>
      <c r="AZ84">
        <f>SUMIFS(T_Shipments[Confirmed_Qty],T_Shipments[RM_Code],$A84,T_Shipments[Effective_Week],51)</f>
        <v/>
      </c>
      <c r="BA84">
        <f>SUMIFS(T_Shipments[Confirmed_Qty],T_Shipments[RM_Code],$A84,T_Shipments[Effective_Week],52)</f>
        <v/>
      </c>
      <c r="BB84">
        <f>SUMIFS(T_Shipments[Confirmed_Qty],T_Shipments[RM_Code],$A84,T_Shipments[Effective_Week],53)</f>
        <v/>
      </c>
      <c r="BC84">
        <f>SUMIFS(T_Shipments[Confirmed_Qty],T_Shipments[RM_Code],$A84,T_Shipments[Effective_Week],54)</f>
        <v/>
      </c>
      <c r="BD84">
        <f>SUMIFS(T_Shipments[Confirmed_Qty],T_Shipments[RM_Code],$A84,T_Shipments[Effective_Week],55)</f>
        <v/>
      </c>
      <c r="BE84">
        <f>SUMIFS(T_Shipments[Confirmed_Qty],T_Shipments[RM_Code],$A84,T_Shipments[Effective_Week],56)</f>
        <v/>
      </c>
      <c r="BF84">
        <f>SUMIFS(T_Shipments[Confirmed_Qty],T_Shipments[RM_Code],$A84,T_Shipments[Effective_Week],57)</f>
        <v/>
      </c>
      <c r="BG84">
        <f>SUMIFS(T_Shipments[Confirmed_Qty],T_Shipments[RM_Code],$A84,T_Shipments[Effective_Week],58)</f>
        <v/>
      </c>
      <c r="BH84">
        <f>SUMIFS(T_Shipments[Confirmed_Qty],T_Shipments[RM_Code],$A84,T_Shipments[Effective_Week],59)</f>
        <v/>
      </c>
      <c r="BI84">
        <f>SUMIFS(T_Shipments[Confirmed_Qty],T_Shipments[RM_Code],$A84,T_Shipments[Effective_Week],60)</f>
        <v/>
      </c>
      <c r="BJ84">
        <f>SUMIFS(T_Shipments[Confirmed_Qty],T_Shipments[RM_Code],$A84,T_Shipments[Effective_Week],61)</f>
        <v/>
      </c>
      <c r="BK84">
        <f>SUMIFS(T_Shipments[Confirmed_Qty],T_Shipments[RM_Code],$A84,T_Shipments[Effective_Week],62)</f>
        <v/>
      </c>
      <c r="BL84">
        <f>SUMIFS(T_Shipments[Confirmed_Qty],T_Shipments[RM_Code],$A84,T_Shipments[Effective_Week],63)</f>
        <v/>
      </c>
      <c r="BM84">
        <f>SUMIFS(T_Shipments[Confirmed_Qty],T_Shipments[RM_Code],$A84,T_Shipments[Effective_Week],64)</f>
        <v/>
      </c>
      <c r="BN84">
        <f>SUMIFS(T_Shipments[Confirmed_Qty],T_Shipments[RM_Code],$A84,T_Shipments[Effective_Week],65)</f>
        <v/>
      </c>
      <c r="BO84">
        <f>SUMIFS(T_Shipments[Confirmed_Qty],T_Shipments[RM_Code],$A84,T_Shipments[Effective_Week],66)</f>
        <v/>
      </c>
      <c r="BP84">
        <f>SUMIFS(T_Shipments[Confirmed_Qty],T_Shipments[RM_Code],$A84,T_Shipments[Effective_Week],67)</f>
        <v/>
      </c>
      <c r="BQ84">
        <f>SUMIFS(T_Shipments[Confirmed_Qty],T_Shipments[RM_Code],$A84,T_Shipments[Effective_Week],68)</f>
        <v/>
      </c>
      <c r="BR84">
        <f>SUMIFS(T_Shipments[Confirmed_Qty],T_Shipments[RM_Code],$A84,T_Shipments[Effective_Week],69)</f>
        <v/>
      </c>
      <c r="BS84">
        <f>SUMIFS(T_Shipments[Confirmed_Qty],T_Shipments[RM_Code],$A84,T_Shipments[Effective_Week],70)</f>
        <v/>
      </c>
      <c r="BT84">
        <f>SUMIFS(T_Shipments[Confirmed_Qty],T_Shipments[RM_Code],$A84,T_Shipments[Effective_Week],71)</f>
        <v/>
      </c>
      <c r="BU84">
        <f>SUMIFS(T_Shipments[Confirmed_Qty],T_Shipments[RM_Code],$A84,T_Shipments[Effective_Week],72)</f>
        <v/>
      </c>
      <c r="BV84">
        <f>SUMIFS(T_Shipments[Confirmed_Qty],T_Shipments[RM_Code],$A84,T_Shipments[Effective_Week],73)</f>
        <v/>
      </c>
      <c r="BW84">
        <f>SUMIFS(T_Shipments[Confirmed_Qty],T_Shipments[RM_Code],$A84,T_Shipments[Effective_Week],74)</f>
        <v/>
      </c>
      <c r="BX84">
        <f>SUMIFS(T_Shipments[Confirmed_Qty],T_Shipments[RM_Code],$A84,T_Shipments[Effective_Week],75)</f>
        <v/>
      </c>
      <c r="BY84">
        <f>SUMIFS(T_Shipments[Confirmed_Qty],T_Shipments[RM_Code],$A84,T_Shipments[Effective_Week],76)</f>
        <v/>
      </c>
      <c r="BZ84">
        <f>SUMIFS(T_Shipments[Confirmed_Qty],T_Shipments[RM_Code],$A84,T_Shipments[Effective_Week],77)</f>
        <v/>
      </c>
      <c r="CA84">
        <f>SUMIFS(T_Shipments[Confirmed_Qty],T_Shipments[RM_Code],$A84,T_Shipments[Effective_Week],78)</f>
        <v/>
      </c>
      <c r="CB84">
        <f>SUMIFS(T_Shipments[Confirmed_Qty],T_Shipments[RM_Code],$A84,T_Shipments[Effective_Week],79)</f>
        <v/>
      </c>
      <c r="CC84">
        <f>SUMIFS(T_Shipments[Confirmed_Qty],T_Shipments[RM_Code],$A84,T_Shipments[Effective_Week],80)</f>
        <v/>
      </c>
      <c r="CD84">
        <f>SUMIFS(T_Shipments[Confirmed_Qty],T_Shipments[RM_Code],$A84,T_Shipments[Effective_Week],81)</f>
        <v/>
      </c>
      <c r="CE84">
        <f>SUMIFS(T_Shipments[Confirmed_Qty],T_Shipments[RM_Code],$A84,T_Shipments[Effective_Week],82)</f>
        <v/>
      </c>
      <c r="CF84">
        <f>SUMIFS(T_Shipments[Confirmed_Qty],T_Shipments[RM_Code],$A84,T_Shipments[Effective_Week],83)</f>
        <v/>
      </c>
      <c r="CG84">
        <f>SUMIFS(T_Shipments[Confirmed_Qty],T_Shipments[RM_Code],$A84,T_Shipments[Effective_Week],84)</f>
        <v/>
      </c>
      <c r="CH84">
        <f>SUMIFS(T_Shipments[Confirmed_Qty],T_Shipments[RM_Code],$A84,T_Shipments[Effective_Week],85)</f>
        <v/>
      </c>
      <c r="CI84">
        <f>SUMIFS(T_Shipments[Confirmed_Qty],T_Shipments[RM_Code],$A84,T_Shipments[Effective_Week],86)</f>
        <v/>
      </c>
      <c r="CJ84">
        <f>SUMIFS(T_Shipments[Confirmed_Qty],T_Shipments[RM_Code],$A84,T_Shipments[Effective_Week],87)</f>
        <v/>
      </c>
      <c r="CK84">
        <f>SUMIFS(T_Shipments[Confirmed_Qty],T_Shipments[RM_Code],$A84,T_Shipments[Effective_Week],88)</f>
        <v/>
      </c>
      <c r="CL84">
        <f>SUMIFS(T_Shipments[Confirmed_Qty],T_Shipments[RM_Code],$A84,T_Shipments[Effective_Week],89)</f>
        <v/>
      </c>
      <c r="CM84">
        <f>SUMIFS(T_Shipments[Confirmed_Qty],T_Shipments[RM_Code],$A84,T_Shipments[Effective_Week],90)</f>
        <v/>
      </c>
      <c r="CN84">
        <f>SUMIFS(T_Shipments[Confirmed_Qty],T_Shipments[RM_Code],$A84,T_Shipments[Effective_Week],91)</f>
        <v/>
      </c>
      <c r="CO84">
        <f>SUMIFS(T_Shipments[Confirmed_Qty],T_Shipments[RM_Code],$A84,T_Shipments[Effective_Week],92)</f>
        <v/>
      </c>
      <c r="CP84">
        <f>SUMIFS(T_Shipments[Confirmed_Qty],T_Shipments[RM_Code],$A84,T_Shipments[Effective_Week],93)</f>
        <v/>
      </c>
      <c r="CQ84">
        <f>SUMIFS(T_Shipments[Confirmed_Qty],T_Shipments[RM_Code],$A84,T_Shipments[Effective_Week],94)</f>
        <v/>
      </c>
      <c r="CR84">
        <f>SUMIFS(T_Shipments[Confirmed_Qty],T_Shipments[RM_Code],$A84,T_Shipments[Effective_Week],95)</f>
        <v/>
      </c>
      <c r="CS84">
        <f>SUMIFS(T_Shipments[Confirmed_Qty],T_Shipments[RM_Code],$A84,T_Shipments[Effective_Week],96)</f>
        <v/>
      </c>
      <c r="CT84">
        <f>SUMIFS(T_Shipments[Confirmed_Qty],T_Shipments[RM_Code],$A84,T_Shipments[Effective_Week],97)</f>
        <v/>
      </c>
      <c r="CU84">
        <f>SUMIFS(T_Shipments[Confirmed_Qty],T_Shipments[RM_Code],$A84,T_Shipments[Effective_Week],98)</f>
        <v/>
      </c>
      <c r="CV84">
        <f>SUMIFS(T_Shipments[Confirmed_Qty],T_Shipments[RM_Code],$A84,T_Shipments[Effective_Week],99)</f>
        <v/>
      </c>
      <c r="CW84">
        <f>SUMIFS(T_Shipments[Confirmed_Qty],T_Shipments[RM_Code],$A84,T_Shipments[Effective_Week],100)</f>
        <v/>
      </c>
      <c r="CX84">
        <f>SUMIFS(T_Shipments[Confirmed_Qty],T_Shipments[RM_Code],$A84,T_Shipments[Effective_Week],101)</f>
        <v/>
      </c>
      <c r="CY84">
        <f>SUMIFS(T_Shipments[Confirmed_Qty],T_Shipments[RM_Code],$A84,T_Shipments[Effective_Week],102)</f>
        <v/>
      </c>
      <c r="CZ84">
        <f>SUMIFS(T_Shipments[Confirmed_Qty],T_Shipments[RM_Code],$A84,T_Shipments[Effective_Week],103)</f>
        <v/>
      </c>
      <c r="DA84">
        <f>SUMIFS(T_Shipments[Confirmed_Qty],T_Shipments[RM_Code],$A84,T_Shipments[Effective_Week],104)</f>
        <v/>
      </c>
    </row>
    <row r="85">
      <c r="A85" t="inlineStr">
        <is>
          <t>CHEM-1790</t>
        </is>
      </c>
      <c r="B85">
        <f>SUMIFS(T_Shipments[Confirmed_Qty],T_Shipments[RM_Code],$A85,T_Shipments[Effective_Week],1)</f>
        <v/>
      </c>
      <c r="C85">
        <f>SUMIFS(T_Shipments[Confirmed_Qty],T_Shipments[RM_Code],$A85,T_Shipments[Effective_Week],2)</f>
        <v/>
      </c>
      <c r="D85">
        <f>SUMIFS(T_Shipments[Confirmed_Qty],T_Shipments[RM_Code],$A85,T_Shipments[Effective_Week],3)</f>
        <v/>
      </c>
      <c r="E85">
        <f>SUMIFS(T_Shipments[Confirmed_Qty],T_Shipments[RM_Code],$A85,T_Shipments[Effective_Week],4)</f>
        <v/>
      </c>
      <c r="F85">
        <f>SUMIFS(T_Shipments[Confirmed_Qty],T_Shipments[RM_Code],$A85,T_Shipments[Effective_Week],5)</f>
        <v/>
      </c>
      <c r="G85">
        <f>SUMIFS(T_Shipments[Confirmed_Qty],T_Shipments[RM_Code],$A85,T_Shipments[Effective_Week],6)</f>
        <v/>
      </c>
      <c r="H85">
        <f>SUMIFS(T_Shipments[Confirmed_Qty],T_Shipments[RM_Code],$A85,T_Shipments[Effective_Week],7)</f>
        <v/>
      </c>
      <c r="I85">
        <f>SUMIFS(T_Shipments[Confirmed_Qty],T_Shipments[RM_Code],$A85,T_Shipments[Effective_Week],8)</f>
        <v/>
      </c>
      <c r="J85">
        <f>SUMIFS(T_Shipments[Confirmed_Qty],T_Shipments[RM_Code],$A85,T_Shipments[Effective_Week],9)</f>
        <v/>
      </c>
      <c r="K85">
        <f>SUMIFS(T_Shipments[Confirmed_Qty],T_Shipments[RM_Code],$A85,T_Shipments[Effective_Week],10)</f>
        <v/>
      </c>
      <c r="L85">
        <f>SUMIFS(T_Shipments[Confirmed_Qty],T_Shipments[RM_Code],$A85,T_Shipments[Effective_Week],11)</f>
        <v/>
      </c>
      <c r="M85">
        <f>SUMIFS(T_Shipments[Confirmed_Qty],T_Shipments[RM_Code],$A85,T_Shipments[Effective_Week],12)</f>
        <v/>
      </c>
      <c r="N85">
        <f>SUMIFS(T_Shipments[Confirmed_Qty],T_Shipments[RM_Code],$A85,T_Shipments[Effective_Week],13)</f>
        <v/>
      </c>
      <c r="O85">
        <f>SUMIFS(T_Shipments[Confirmed_Qty],T_Shipments[RM_Code],$A85,T_Shipments[Effective_Week],14)</f>
        <v/>
      </c>
      <c r="P85">
        <f>SUMIFS(T_Shipments[Confirmed_Qty],T_Shipments[RM_Code],$A85,T_Shipments[Effective_Week],15)</f>
        <v/>
      </c>
      <c r="Q85">
        <f>SUMIFS(T_Shipments[Confirmed_Qty],T_Shipments[RM_Code],$A85,T_Shipments[Effective_Week],16)</f>
        <v/>
      </c>
      <c r="R85">
        <f>SUMIFS(T_Shipments[Confirmed_Qty],T_Shipments[RM_Code],$A85,T_Shipments[Effective_Week],17)</f>
        <v/>
      </c>
      <c r="S85">
        <f>SUMIFS(T_Shipments[Confirmed_Qty],T_Shipments[RM_Code],$A85,T_Shipments[Effective_Week],18)</f>
        <v/>
      </c>
      <c r="T85">
        <f>SUMIFS(T_Shipments[Confirmed_Qty],T_Shipments[RM_Code],$A85,T_Shipments[Effective_Week],19)</f>
        <v/>
      </c>
      <c r="U85">
        <f>SUMIFS(T_Shipments[Confirmed_Qty],T_Shipments[RM_Code],$A85,T_Shipments[Effective_Week],20)</f>
        <v/>
      </c>
      <c r="V85">
        <f>SUMIFS(T_Shipments[Confirmed_Qty],T_Shipments[RM_Code],$A85,T_Shipments[Effective_Week],21)</f>
        <v/>
      </c>
      <c r="W85">
        <f>SUMIFS(T_Shipments[Confirmed_Qty],T_Shipments[RM_Code],$A85,T_Shipments[Effective_Week],22)</f>
        <v/>
      </c>
      <c r="X85">
        <f>SUMIFS(T_Shipments[Confirmed_Qty],T_Shipments[RM_Code],$A85,T_Shipments[Effective_Week],23)</f>
        <v/>
      </c>
      <c r="Y85">
        <f>SUMIFS(T_Shipments[Confirmed_Qty],T_Shipments[RM_Code],$A85,T_Shipments[Effective_Week],24)</f>
        <v/>
      </c>
      <c r="Z85">
        <f>SUMIFS(T_Shipments[Confirmed_Qty],T_Shipments[RM_Code],$A85,T_Shipments[Effective_Week],25)</f>
        <v/>
      </c>
      <c r="AA85">
        <f>SUMIFS(T_Shipments[Confirmed_Qty],T_Shipments[RM_Code],$A85,T_Shipments[Effective_Week],26)</f>
        <v/>
      </c>
      <c r="AB85">
        <f>SUMIFS(T_Shipments[Confirmed_Qty],T_Shipments[RM_Code],$A85,T_Shipments[Effective_Week],27)</f>
        <v/>
      </c>
      <c r="AC85">
        <f>SUMIFS(T_Shipments[Confirmed_Qty],T_Shipments[RM_Code],$A85,T_Shipments[Effective_Week],28)</f>
        <v/>
      </c>
      <c r="AD85">
        <f>SUMIFS(T_Shipments[Confirmed_Qty],T_Shipments[RM_Code],$A85,T_Shipments[Effective_Week],29)</f>
        <v/>
      </c>
      <c r="AE85">
        <f>SUMIFS(T_Shipments[Confirmed_Qty],T_Shipments[RM_Code],$A85,T_Shipments[Effective_Week],30)</f>
        <v/>
      </c>
      <c r="AF85">
        <f>SUMIFS(T_Shipments[Confirmed_Qty],T_Shipments[RM_Code],$A85,T_Shipments[Effective_Week],31)</f>
        <v/>
      </c>
      <c r="AG85">
        <f>SUMIFS(T_Shipments[Confirmed_Qty],T_Shipments[RM_Code],$A85,T_Shipments[Effective_Week],32)</f>
        <v/>
      </c>
      <c r="AH85">
        <f>SUMIFS(T_Shipments[Confirmed_Qty],T_Shipments[RM_Code],$A85,T_Shipments[Effective_Week],33)</f>
        <v/>
      </c>
      <c r="AI85">
        <f>SUMIFS(T_Shipments[Confirmed_Qty],T_Shipments[RM_Code],$A85,T_Shipments[Effective_Week],34)</f>
        <v/>
      </c>
      <c r="AJ85">
        <f>SUMIFS(T_Shipments[Confirmed_Qty],T_Shipments[RM_Code],$A85,T_Shipments[Effective_Week],35)</f>
        <v/>
      </c>
      <c r="AK85">
        <f>SUMIFS(T_Shipments[Confirmed_Qty],T_Shipments[RM_Code],$A85,T_Shipments[Effective_Week],36)</f>
        <v/>
      </c>
      <c r="AL85">
        <f>SUMIFS(T_Shipments[Confirmed_Qty],T_Shipments[RM_Code],$A85,T_Shipments[Effective_Week],37)</f>
        <v/>
      </c>
      <c r="AM85">
        <f>SUMIFS(T_Shipments[Confirmed_Qty],T_Shipments[RM_Code],$A85,T_Shipments[Effective_Week],38)</f>
        <v/>
      </c>
      <c r="AN85">
        <f>SUMIFS(T_Shipments[Confirmed_Qty],T_Shipments[RM_Code],$A85,T_Shipments[Effective_Week],39)</f>
        <v/>
      </c>
      <c r="AO85">
        <f>SUMIFS(T_Shipments[Confirmed_Qty],T_Shipments[RM_Code],$A85,T_Shipments[Effective_Week],40)</f>
        <v/>
      </c>
      <c r="AP85">
        <f>SUMIFS(T_Shipments[Confirmed_Qty],T_Shipments[RM_Code],$A85,T_Shipments[Effective_Week],41)</f>
        <v/>
      </c>
      <c r="AQ85">
        <f>SUMIFS(T_Shipments[Confirmed_Qty],T_Shipments[RM_Code],$A85,T_Shipments[Effective_Week],42)</f>
        <v/>
      </c>
      <c r="AR85">
        <f>SUMIFS(T_Shipments[Confirmed_Qty],T_Shipments[RM_Code],$A85,T_Shipments[Effective_Week],43)</f>
        <v/>
      </c>
      <c r="AS85">
        <f>SUMIFS(T_Shipments[Confirmed_Qty],T_Shipments[RM_Code],$A85,T_Shipments[Effective_Week],44)</f>
        <v/>
      </c>
      <c r="AT85">
        <f>SUMIFS(T_Shipments[Confirmed_Qty],T_Shipments[RM_Code],$A85,T_Shipments[Effective_Week],45)</f>
        <v/>
      </c>
      <c r="AU85">
        <f>SUMIFS(T_Shipments[Confirmed_Qty],T_Shipments[RM_Code],$A85,T_Shipments[Effective_Week],46)</f>
        <v/>
      </c>
      <c r="AV85">
        <f>SUMIFS(T_Shipments[Confirmed_Qty],T_Shipments[RM_Code],$A85,T_Shipments[Effective_Week],47)</f>
        <v/>
      </c>
      <c r="AW85">
        <f>SUMIFS(T_Shipments[Confirmed_Qty],T_Shipments[RM_Code],$A85,T_Shipments[Effective_Week],48)</f>
        <v/>
      </c>
      <c r="AX85">
        <f>SUMIFS(T_Shipments[Confirmed_Qty],T_Shipments[RM_Code],$A85,T_Shipments[Effective_Week],49)</f>
        <v/>
      </c>
      <c r="AY85">
        <f>SUMIFS(T_Shipments[Confirmed_Qty],T_Shipments[RM_Code],$A85,T_Shipments[Effective_Week],50)</f>
        <v/>
      </c>
      <c r="AZ85">
        <f>SUMIFS(T_Shipments[Confirmed_Qty],T_Shipments[RM_Code],$A85,T_Shipments[Effective_Week],51)</f>
        <v/>
      </c>
      <c r="BA85">
        <f>SUMIFS(T_Shipments[Confirmed_Qty],T_Shipments[RM_Code],$A85,T_Shipments[Effective_Week],52)</f>
        <v/>
      </c>
      <c r="BB85">
        <f>SUMIFS(T_Shipments[Confirmed_Qty],T_Shipments[RM_Code],$A85,T_Shipments[Effective_Week],53)</f>
        <v/>
      </c>
      <c r="BC85">
        <f>SUMIFS(T_Shipments[Confirmed_Qty],T_Shipments[RM_Code],$A85,T_Shipments[Effective_Week],54)</f>
        <v/>
      </c>
      <c r="BD85">
        <f>SUMIFS(T_Shipments[Confirmed_Qty],T_Shipments[RM_Code],$A85,T_Shipments[Effective_Week],55)</f>
        <v/>
      </c>
      <c r="BE85">
        <f>SUMIFS(T_Shipments[Confirmed_Qty],T_Shipments[RM_Code],$A85,T_Shipments[Effective_Week],56)</f>
        <v/>
      </c>
      <c r="BF85">
        <f>SUMIFS(T_Shipments[Confirmed_Qty],T_Shipments[RM_Code],$A85,T_Shipments[Effective_Week],57)</f>
        <v/>
      </c>
      <c r="BG85">
        <f>SUMIFS(T_Shipments[Confirmed_Qty],T_Shipments[RM_Code],$A85,T_Shipments[Effective_Week],58)</f>
        <v/>
      </c>
      <c r="BH85">
        <f>SUMIFS(T_Shipments[Confirmed_Qty],T_Shipments[RM_Code],$A85,T_Shipments[Effective_Week],59)</f>
        <v/>
      </c>
      <c r="BI85">
        <f>SUMIFS(T_Shipments[Confirmed_Qty],T_Shipments[RM_Code],$A85,T_Shipments[Effective_Week],60)</f>
        <v/>
      </c>
      <c r="BJ85">
        <f>SUMIFS(T_Shipments[Confirmed_Qty],T_Shipments[RM_Code],$A85,T_Shipments[Effective_Week],61)</f>
        <v/>
      </c>
      <c r="BK85">
        <f>SUMIFS(T_Shipments[Confirmed_Qty],T_Shipments[RM_Code],$A85,T_Shipments[Effective_Week],62)</f>
        <v/>
      </c>
      <c r="BL85">
        <f>SUMIFS(T_Shipments[Confirmed_Qty],T_Shipments[RM_Code],$A85,T_Shipments[Effective_Week],63)</f>
        <v/>
      </c>
      <c r="BM85">
        <f>SUMIFS(T_Shipments[Confirmed_Qty],T_Shipments[RM_Code],$A85,T_Shipments[Effective_Week],64)</f>
        <v/>
      </c>
      <c r="BN85">
        <f>SUMIFS(T_Shipments[Confirmed_Qty],T_Shipments[RM_Code],$A85,T_Shipments[Effective_Week],65)</f>
        <v/>
      </c>
      <c r="BO85">
        <f>SUMIFS(T_Shipments[Confirmed_Qty],T_Shipments[RM_Code],$A85,T_Shipments[Effective_Week],66)</f>
        <v/>
      </c>
      <c r="BP85">
        <f>SUMIFS(T_Shipments[Confirmed_Qty],T_Shipments[RM_Code],$A85,T_Shipments[Effective_Week],67)</f>
        <v/>
      </c>
      <c r="BQ85">
        <f>SUMIFS(T_Shipments[Confirmed_Qty],T_Shipments[RM_Code],$A85,T_Shipments[Effective_Week],68)</f>
        <v/>
      </c>
      <c r="BR85">
        <f>SUMIFS(T_Shipments[Confirmed_Qty],T_Shipments[RM_Code],$A85,T_Shipments[Effective_Week],69)</f>
        <v/>
      </c>
      <c r="BS85">
        <f>SUMIFS(T_Shipments[Confirmed_Qty],T_Shipments[RM_Code],$A85,T_Shipments[Effective_Week],70)</f>
        <v/>
      </c>
      <c r="BT85">
        <f>SUMIFS(T_Shipments[Confirmed_Qty],T_Shipments[RM_Code],$A85,T_Shipments[Effective_Week],71)</f>
        <v/>
      </c>
      <c r="BU85">
        <f>SUMIFS(T_Shipments[Confirmed_Qty],T_Shipments[RM_Code],$A85,T_Shipments[Effective_Week],72)</f>
        <v/>
      </c>
      <c r="BV85">
        <f>SUMIFS(T_Shipments[Confirmed_Qty],T_Shipments[RM_Code],$A85,T_Shipments[Effective_Week],73)</f>
        <v/>
      </c>
      <c r="BW85">
        <f>SUMIFS(T_Shipments[Confirmed_Qty],T_Shipments[RM_Code],$A85,T_Shipments[Effective_Week],74)</f>
        <v/>
      </c>
      <c r="BX85">
        <f>SUMIFS(T_Shipments[Confirmed_Qty],T_Shipments[RM_Code],$A85,T_Shipments[Effective_Week],75)</f>
        <v/>
      </c>
      <c r="BY85">
        <f>SUMIFS(T_Shipments[Confirmed_Qty],T_Shipments[RM_Code],$A85,T_Shipments[Effective_Week],76)</f>
        <v/>
      </c>
      <c r="BZ85">
        <f>SUMIFS(T_Shipments[Confirmed_Qty],T_Shipments[RM_Code],$A85,T_Shipments[Effective_Week],77)</f>
        <v/>
      </c>
      <c r="CA85">
        <f>SUMIFS(T_Shipments[Confirmed_Qty],T_Shipments[RM_Code],$A85,T_Shipments[Effective_Week],78)</f>
        <v/>
      </c>
      <c r="CB85">
        <f>SUMIFS(T_Shipments[Confirmed_Qty],T_Shipments[RM_Code],$A85,T_Shipments[Effective_Week],79)</f>
        <v/>
      </c>
      <c r="CC85">
        <f>SUMIFS(T_Shipments[Confirmed_Qty],T_Shipments[RM_Code],$A85,T_Shipments[Effective_Week],80)</f>
        <v/>
      </c>
      <c r="CD85">
        <f>SUMIFS(T_Shipments[Confirmed_Qty],T_Shipments[RM_Code],$A85,T_Shipments[Effective_Week],81)</f>
        <v/>
      </c>
      <c r="CE85">
        <f>SUMIFS(T_Shipments[Confirmed_Qty],T_Shipments[RM_Code],$A85,T_Shipments[Effective_Week],82)</f>
        <v/>
      </c>
      <c r="CF85">
        <f>SUMIFS(T_Shipments[Confirmed_Qty],T_Shipments[RM_Code],$A85,T_Shipments[Effective_Week],83)</f>
        <v/>
      </c>
      <c r="CG85">
        <f>SUMIFS(T_Shipments[Confirmed_Qty],T_Shipments[RM_Code],$A85,T_Shipments[Effective_Week],84)</f>
        <v/>
      </c>
      <c r="CH85">
        <f>SUMIFS(T_Shipments[Confirmed_Qty],T_Shipments[RM_Code],$A85,T_Shipments[Effective_Week],85)</f>
        <v/>
      </c>
      <c r="CI85">
        <f>SUMIFS(T_Shipments[Confirmed_Qty],T_Shipments[RM_Code],$A85,T_Shipments[Effective_Week],86)</f>
        <v/>
      </c>
      <c r="CJ85">
        <f>SUMIFS(T_Shipments[Confirmed_Qty],T_Shipments[RM_Code],$A85,T_Shipments[Effective_Week],87)</f>
        <v/>
      </c>
      <c r="CK85">
        <f>SUMIFS(T_Shipments[Confirmed_Qty],T_Shipments[RM_Code],$A85,T_Shipments[Effective_Week],88)</f>
        <v/>
      </c>
      <c r="CL85">
        <f>SUMIFS(T_Shipments[Confirmed_Qty],T_Shipments[RM_Code],$A85,T_Shipments[Effective_Week],89)</f>
        <v/>
      </c>
      <c r="CM85">
        <f>SUMIFS(T_Shipments[Confirmed_Qty],T_Shipments[RM_Code],$A85,T_Shipments[Effective_Week],90)</f>
        <v/>
      </c>
      <c r="CN85">
        <f>SUMIFS(T_Shipments[Confirmed_Qty],T_Shipments[RM_Code],$A85,T_Shipments[Effective_Week],91)</f>
        <v/>
      </c>
      <c r="CO85">
        <f>SUMIFS(T_Shipments[Confirmed_Qty],T_Shipments[RM_Code],$A85,T_Shipments[Effective_Week],92)</f>
        <v/>
      </c>
      <c r="CP85">
        <f>SUMIFS(T_Shipments[Confirmed_Qty],T_Shipments[RM_Code],$A85,T_Shipments[Effective_Week],93)</f>
        <v/>
      </c>
      <c r="CQ85">
        <f>SUMIFS(T_Shipments[Confirmed_Qty],T_Shipments[RM_Code],$A85,T_Shipments[Effective_Week],94)</f>
        <v/>
      </c>
      <c r="CR85">
        <f>SUMIFS(T_Shipments[Confirmed_Qty],T_Shipments[RM_Code],$A85,T_Shipments[Effective_Week],95)</f>
        <v/>
      </c>
      <c r="CS85">
        <f>SUMIFS(T_Shipments[Confirmed_Qty],T_Shipments[RM_Code],$A85,T_Shipments[Effective_Week],96)</f>
        <v/>
      </c>
      <c r="CT85">
        <f>SUMIFS(T_Shipments[Confirmed_Qty],T_Shipments[RM_Code],$A85,T_Shipments[Effective_Week],97)</f>
        <v/>
      </c>
      <c r="CU85">
        <f>SUMIFS(T_Shipments[Confirmed_Qty],T_Shipments[RM_Code],$A85,T_Shipments[Effective_Week],98)</f>
        <v/>
      </c>
      <c r="CV85">
        <f>SUMIFS(T_Shipments[Confirmed_Qty],T_Shipments[RM_Code],$A85,T_Shipments[Effective_Week],99)</f>
        <v/>
      </c>
      <c r="CW85">
        <f>SUMIFS(T_Shipments[Confirmed_Qty],T_Shipments[RM_Code],$A85,T_Shipments[Effective_Week],100)</f>
        <v/>
      </c>
      <c r="CX85">
        <f>SUMIFS(T_Shipments[Confirmed_Qty],T_Shipments[RM_Code],$A85,T_Shipments[Effective_Week],101)</f>
        <v/>
      </c>
      <c r="CY85">
        <f>SUMIFS(T_Shipments[Confirmed_Qty],T_Shipments[RM_Code],$A85,T_Shipments[Effective_Week],102)</f>
        <v/>
      </c>
      <c r="CZ85">
        <f>SUMIFS(T_Shipments[Confirmed_Qty],T_Shipments[RM_Code],$A85,T_Shipments[Effective_Week],103)</f>
        <v/>
      </c>
      <c r="DA85">
        <f>SUMIFS(T_Shipments[Confirmed_Qty],T_Shipments[RM_Code],$A85,T_Shipments[Effective_Week],104)</f>
        <v/>
      </c>
    </row>
    <row r="86">
      <c r="A86" t="inlineStr">
        <is>
          <t>TSZ-616</t>
        </is>
      </c>
      <c r="B86">
        <f>SUMIFS(T_Shipments[Confirmed_Qty],T_Shipments[RM_Code],$A86,T_Shipments[Effective_Week],1)</f>
        <v/>
      </c>
      <c r="C86">
        <f>SUMIFS(T_Shipments[Confirmed_Qty],T_Shipments[RM_Code],$A86,T_Shipments[Effective_Week],2)</f>
        <v/>
      </c>
      <c r="D86">
        <f>SUMIFS(T_Shipments[Confirmed_Qty],T_Shipments[RM_Code],$A86,T_Shipments[Effective_Week],3)</f>
        <v/>
      </c>
      <c r="E86">
        <f>SUMIFS(T_Shipments[Confirmed_Qty],T_Shipments[RM_Code],$A86,T_Shipments[Effective_Week],4)</f>
        <v/>
      </c>
      <c r="F86">
        <f>SUMIFS(T_Shipments[Confirmed_Qty],T_Shipments[RM_Code],$A86,T_Shipments[Effective_Week],5)</f>
        <v/>
      </c>
      <c r="G86">
        <f>SUMIFS(T_Shipments[Confirmed_Qty],T_Shipments[RM_Code],$A86,T_Shipments[Effective_Week],6)</f>
        <v/>
      </c>
      <c r="H86">
        <f>SUMIFS(T_Shipments[Confirmed_Qty],T_Shipments[RM_Code],$A86,T_Shipments[Effective_Week],7)</f>
        <v/>
      </c>
      <c r="I86">
        <f>SUMIFS(T_Shipments[Confirmed_Qty],T_Shipments[RM_Code],$A86,T_Shipments[Effective_Week],8)</f>
        <v/>
      </c>
      <c r="J86">
        <f>SUMIFS(T_Shipments[Confirmed_Qty],T_Shipments[RM_Code],$A86,T_Shipments[Effective_Week],9)</f>
        <v/>
      </c>
      <c r="K86">
        <f>SUMIFS(T_Shipments[Confirmed_Qty],T_Shipments[RM_Code],$A86,T_Shipments[Effective_Week],10)</f>
        <v/>
      </c>
      <c r="L86">
        <f>SUMIFS(T_Shipments[Confirmed_Qty],T_Shipments[RM_Code],$A86,T_Shipments[Effective_Week],11)</f>
        <v/>
      </c>
      <c r="M86">
        <f>SUMIFS(T_Shipments[Confirmed_Qty],T_Shipments[RM_Code],$A86,T_Shipments[Effective_Week],12)</f>
        <v/>
      </c>
      <c r="N86">
        <f>SUMIFS(T_Shipments[Confirmed_Qty],T_Shipments[RM_Code],$A86,T_Shipments[Effective_Week],13)</f>
        <v/>
      </c>
      <c r="O86">
        <f>SUMIFS(T_Shipments[Confirmed_Qty],T_Shipments[RM_Code],$A86,T_Shipments[Effective_Week],14)</f>
        <v/>
      </c>
      <c r="P86">
        <f>SUMIFS(T_Shipments[Confirmed_Qty],T_Shipments[RM_Code],$A86,T_Shipments[Effective_Week],15)</f>
        <v/>
      </c>
      <c r="Q86">
        <f>SUMIFS(T_Shipments[Confirmed_Qty],T_Shipments[RM_Code],$A86,T_Shipments[Effective_Week],16)</f>
        <v/>
      </c>
      <c r="R86">
        <f>SUMIFS(T_Shipments[Confirmed_Qty],T_Shipments[RM_Code],$A86,T_Shipments[Effective_Week],17)</f>
        <v/>
      </c>
      <c r="S86">
        <f>SUMIFS(T_Shipments[Confirmed_Qty],T_Shipments[RM_Code],$A86,T_Shipments[Effective_Week],18)</f>
        <v/>
      </c>
      <c r="T86">
        <f>SUMIFS(T_Shipments[Confirmed_Qty],T_Shipments[RM_Code],$A86,T_Shipments[Effective_Week],19)</f>
        <v/>
      </c>
      <c r="U86">
        <f>SUMIFS(T_Shipments[Confirmed_Qty],T_Shipments[RM_Code],$A86,T_Shipments[Effective_Week],20)</f>
        <v/>
      </c>
      <c r="V86">
        <f>SUMIFS(T_Shipments[Confirmed_Qty],T_Shipments[RM_Code],$A86,T_Shipments[Effective_Week],21)</f>
        <v/>
      </c>
      <c r="W86">
        <f>SUMIFS(T_Shipments[Confirmed_Qty],T_Shipments[RM_Code],$A86,T_Shipments[Effective_Week],22)</f>
        <v/>
      </c>
      <c r="X86">
        <f>SUMIFS(T_Shipments[Confirmed_Qty],T_Shipments[RM_Code],$A86,T_Shipments[Effective_Week],23)</f>
        <v/>
      </c>
      <c r="Y86">
        <f>SUMIFS(T_Shipments[Confirmed_Qty],T_Shipments[RM_Code],$A86,T_Shipments[Effective_Week],24)</f>
        <v/>
      </c>
      <c r="Z86">
        <f>SUMIFS(T_Shipments[Confirmed_Qty],T_Shipments[RM_Code],$A86,T_Shipments[Effective_Week],25)</f>
        <v/>
      </c>
      <c r="AA86">
        <f>SUMIFS(T_Shipments[Confirmed_Qty],T_Shipments[RM_Code],$A86,T_Shipments[Effective_Week],26)</f>
        <v/>
      </c>
      <c r="AB86">
        <f>SUMIFS(T_Shipments[Confirmed_Qty],T_Shipments[RM_Code],$A86,T_Shipments[Effective_Week],27)</f>
        <v/>
      </c>
      <c r="AC86">
        <f>SUMIFS(T_Shipments[Confirmed_Qty],T_Shipments[RM_Code],$A86,T_Shipments[Effective_Week],28)</f>
        <v/>
      </c>
      <c r="AD86">
        <f>SUMIFS(T_Shipments[Confirmed_Qty],T_Shipments[RM_Code],$A86,T_Shipments[Effective_Week],29)</f>
        <v/>
      </c>
      <c r="AE86">
        <f>SUMIFS(T_Shipments[Confirmed_Qty],T_Shipments[RM_Code],$A86,T_Shipments[Effective_Week],30)</f>
        <v/>
      </c>
      <c r="AF86">
        <f>SUMIFS(T_Shipments[Confirmed_Qty],T_Shipments[RM_Code],$A86,T_Shipments[Effective_Week],31)</f>
        <v/>
      </c>
      <c r="AG86">
        <f>SUMIFS(T_Shipments[Confirmed_Qty],T_Shipments[RM_Code],$A86,T_Shipments[Effective_Week],32)</f>
        <v/>
      </c>
      <c r="AH86">
        <f>SUMIFS(T_Shipments[Confirmed_Qty],T_Shipments[RM_Code],$A86,T_Shipments[Effective_Week],33)</f>
        <v/>
      </c>
      <c r="AI86">
        <f>SUMIFS(T_Shipments[Confirmed_Qty],T_Shipments[RM_Code],$A86,T_Shipments[Effective_Week],34)</f>
        <v/>
      </c>
      <c r="AJ86">
        <f>SUMIFS(T_Shipments[Confirmed_Qty],T_Shipments[RM_Code],$A86,T_Shipments[Effective_Week],35)</f>
        <v/>
      </c>
      <c r="AK86">
        <f>SUMIFS(T_Shipments[Confirmed_Qty],T_Shipments[RM_Code],$A86,T_Shipments[Effective_Week],36)</f>
        <v/>
      </c>
      <c r="AL86">
        <f>SUMIFS(T_Shipments[Confirmed_Qty],T_Shipments[RM_Code],$A86,T_Shipments[Effective_Week],37)</f>
        <v/>
      </c>
      <c r="AM86">
        <f>SUMIFS(T_Shipments[Confirmed_Qty],T_Shipments[RM_Code],$A86,T_Shipments[Effective_Week],38)</f>
        <v/>
      </c>
      <c r="AN86">
        <f>SUMIFS(T_Shipments[Confirmed_Qty],T_Shipments[RM_Code],$A86,T_Shipments[Effective_Week],39)</f>
        <v/>
      </c>
      <c r="AO86">
        <f>SUMIFS(T_Shipments[Confirmed_Qty],T_Shipments[RM_Code],$A86,T_Shipments[Effective_Week],40)</f>
        <v/>
      </c>
      <c r="AP86">
        <f>SUMIFS(T_Shipments[Confirmed_Qty],T_Shipments[RM_Code],$A86,T_Shipments[Effective_Week],41)</f>
        <v/>
      </c>
      <c r="AQ86">
        <f>SUMIFS(T_Shipments[Confirmed_Qty],T_Shipments[RM_Code],$A86,T_Shipments[Effective_Week],42)</f>
        <v/>
      </c>
      <c r="AR86">
        <f>SUMIFS(T_Shipments[Confirmed_Qty],T_Shipments[RM_Code],$A86,T_Shipments[Effective_Week],43)</f>
        <v/>
      </c>
      <c r="AS86">
        <f>SUMIFS(T_Shipments[Confirmed_Qty],T_Shipments[RM_Code],$A86,T_Shipments[Effective_Week],44)</f>
        <v/>
      </c>
      <c r="AT86">
        <f>SUMIFS(T_Shipments[Confirmed_Qty],T_Shipments[RM_Code],$A86,T_Shipments[Effective_Week],45)</f>
        <v/>
      </c>
      <c r="AU86">
        <f>SUMIFS(T_Shipments[Confirmed_Qty],T_Shipments[RM_Code],$A86,T_Shipments[Effective_Week],46)</f>
        <v/>
      </c>
      <c r="AV86">
        <f>SUMIFS(T_Shipments[Confirmed_Qty],T_Shipments[RM_Code],$A86,T_Shipments[Effective_Week],47)</f>
        <v/>
      </c>
      <c r="AW86">
        <f>SUMIFS(T_Shipments[Confirmed_Qty],T_Shipments[RM_Code],$A86,T_Shipments[Effective_Week],48)</f>
        <v/>
      </c>
      <c r="AX86">
        <f>SUMIFS(T_Shipments[Confirmed_Qty],T_Shipments[RM_Code],$A86,T_Shipments[Effective_Week],49)</f>
        <v/>
      </c>
      <c r="AY86">
        <f>SUMIFS(T_Shipments[Confirmed_Qty],T_Shipments[RM_Code],$A86,T_Shipments[Effective_Week],50)</f>
        <v/>
      </c>
      <c r="AZ86">
        <f>SUMIFS(T_Shipments[Confirmed_Qty],T_Shipments[RM_Code],$A86,T_Shipments[Effective_Week],51)</f>
        <v/>
      </c>
      <c r="BA86">
        <f>SUMIFS(T_Shipments[Confirmed_Qty],T_Shipments[RM_Code],$A86,T_Shipments[Effective_Week],52)</f>
        <v/>
      </c>
      <c r="BB86">
        <f>SUMIFS(T_Shipments[Confirmed_Qty],T_Shipments[RM_Code],$A86,T_Shipments[Effective_Week],53)</f>
        <v/>
      </c>
      <c r="BC86">
        <f>SUMIFS(T_Shipments[Confirmed_Qty],T_Shipments[RM_Code],$A86,T_Shipments[Effective_Week],54)</f>
        <v/>
      </c>
      <c r="BD86">
        <f>SUMIFS(T_Shipments[Confirmed_Qty],T_Shipments[RM_Code],$A86,T_Shipments[Effective_Week],55)</f>
        <v/>
      </c>
      <c r="BE86">
        <f>SUMIFS(T_Shipments[Confirmed_Qty],T_Shipments[RM_Code],$A86,T_Shipments[Effective_Week],56)</f>
        <v/>
      </c>
      <c r="BF86">
        <f>SUMIFS(T_Shipments[Confirmed_Qty],T_Shipments[RM_Code],$A86,T_Shipments[Effective_Week],57)</f>
        <v/>
      </c>
      <c r="BG86">
        <f>SUMIFS(T_Shipments[Confirmed_Qty],T_Shipments[RM_Code],$A86,T_Shipments[Effective_Week],58)</f>
        <v/>
      </c>
      <c r="BH86">
        <f>SUMIFS(T_Shipments[Confirmed_Qty],T_Shipments[RM_Code],$A86,T_Shipments[Effective_Week],59)</f>
        <v/>
      </c>
      <c r="BI86">
        <f>SUMIFS(T_Shipments[Confirmed_Qty],T_Shipments[RM_Code],$A86,T_Shipments[Effective_Week],60)</f>
        <v/>
      </c>
      <c r="BJ86">
        <f>SUMIFS(T_Shipments[Confirmed_Qty],T_Shipments[RM_Code],$A86,T_Shipments[Effective_Week],61)</f>
        <v/>
      </c>
      <c r="BK86">
        <f>SUMIFS(T_Shipments[Confirmed_Qty],T_Shipments[RM_Code],$A86,T_Shipments[Effective_Week],62)</f>
        <v/>
      </c>
      <c r="BL86">
        <f>SUMIFS(T_Shipments[Confirmed_Qty],T_Shipments[RM_Code],$A86,T_Shipments[Effective_Week],63)</f>
        <v/>
      </c>
      <c r="BM86">
        <f>SUMIFS(T_Shipments[Confirmed_Qty],T_Shipments[RM_Code],$A86,T_Shipments[Effective_Week],64)</f>
        <v/>
      </c>
      <c r="BN86">
        <f>SUMIFS(T_Shipments[Confirmed_Qty],T_Shipments[RM_Code],$A86,T_Shipments[Effective_Week],65)</f>
        <v/>
      </c>
      <c r="BO86">
        <f>SUMIFS(T_Shipments[Confirmed_Qty],T_Shipments[RM_Code],$A86,T_Shipments[Effective_Week],66)</f>
        <v/>
      </c>
      <c r="BP86">
        <f>SUMIFS(T_Shipments[Confirmed_Qty],T_Shipments[RM_Code],$A86,T_Shipments[Effective_Week],67)</f>
        <v/>
      </c>
      <c r="BQ86">
        <f>SUMIFS(T_Shipments[Confirmed_Qty],T_Shipments[RM_Code],$A86,T_Shipments[Effective_Week],68)</f>
        <v/>
      </c>
      <c r="BR86">
        <f>SUMIFS(T_Shipments[Confirmed_Qty],T_Shipments[RM_Code],$A86,T_Shipments[Effective_Week],69)</f>
        <v/>
      </c>
      <c r="BS86">
        <f>SUMIFS(T_Shipments[Confirmed_Qty],T_Shipments[RM_Code],$A86,T_Shipments[Effective_Week],70)</f>
        <v/>
      </c>
      <c r="BT86">
        <f>SUMIFS(T_Shipments[Confirmed_Qty],T_Shipments[RM_Code],$A86,T_Shipments[Effective_Week],71)</f>
        <v/>
      </c>
      <c r="BU86">
        <f>SUMIFS(T_Shipments[Confirmed_Qty],T_Shipments[RM_Code],$A86,T_Shipments[Effective_Week],72)</f>
        <v/>
      </c>
      <c r="BV86">
        <f>SUMIFS(T_Shipments[Confirmed_Qty],T_Shipments[RM_Code],$A86,T_Shipments[Effective_Week],73)</f>
        <v/>
      </c>
      <c r="BW86">
        <f>SUMIFS(T_Shipments[Confirmed_Qty],T_Shipments[RM_Code],$A86,T_Shipments[Effective_Week],74)</f>
        <v/>
      </c>
      <c r="BX86">
        <f>SUMIFS(T_Shipments[Confirmed_Qty],T_Shipments[RM_Code],$A86,T_Shipments[Effective_Week],75)</f>
        <v/>
      </c>
      <c r="BY86">
        <f>SUMIFS(T_Shipments[Confirmed_Qty],T_Shipments[RM_Code],$A86,T_Shipments[Effective_Week],76)</f>
        <v/>
      </c>
      <c r="BZ86">
        <f>SUMIFS(T_Shipments[Confirmed_Qty],T_Shipments[RM_Code],$A86,T_Shipments[Effective_Week],77)</f>
        <v/>
      </c>
      <c r="CA86">
        <f>SUMIFS(T_Shipments[Confirmed_Qty],T_Shipments[RM_Code],$A86,T_Shipments[Effective_Week],78)</f>
        <v/>
      </c>
      <c r="CB86">
        <f>SUMIFS(T_Shipments[Confirmed_Qty],T_Shipments[RM_Code],$A86,T_Shipments[Effective_Week],79)</f>
        <v/>
      </c>
      <c r="CC86">
        <f>SUMIFS(T_Shipments[Confirmed_Qty],T_Shipments[RM_Code],$A86,T_Shipments[Effective_Week],80)</f>
        <v/>
      </c>
      <c r="CD86">
        <f>SUMIFS(T_Shipments[Confirmed_Qty],T_Shipments[RM_Code],$A86,T_Shipments[Effective_Week],81)</f>
        <v/>
      </c>
      <c r="CE86">
        <f>SUMIFS(T_Shipments[Confirmed_Qty],T_Shipments[RM_Code],$A86,T_Shipments[Effective_Week],82)</f>
        <v/>
      </c>
      <c r="CF86">
        <f>SUMIFS(T_Shipments[Confirmed_Qty],T_Shipments[RM_Code],$A86,T_Shipments[Effective_Week],83)</f>
        <v/>
      </c>
      <c r="CG86">
        <f>SUMIFS(T_Shipments[Confirmed_Qty],T_Shipments[RM_Code],$A86,T_Shipments[Effective_Week],84)</f>
        <v/>
      </c>
      <c r="CH86">
        <f>SUMIFS(T_Shipments[Confirmed_Qty],T_Shipments[RM_Code],$A86,T_Shipments[Effective_Week],85)</f>
        <v/>
      </c>
      <c r="CI86">
        <f>SUMIFS(T_Shipments[Confirmed_Qty],T_Shipments[RM_Code],$A86,T_Shipments[Effective_Week],86)</f>
        <v/>
      </c>
      <c r="CJ86">
        <f>SUMIFS(T_Shipments[Confirmed_Qty],T_Shipments[RM_Code],$A86,T_Shipments[Effective_Week],87)</f>
        <v/>
      </c>
      <c r="CK86">
        <f>SUMIFS(T_Shipments[Confirmed_Qty],T_Shipments[RM_Code],$A86,T_Shipments[Effective_Week],88)</f>
        <v/>
      </c>
      <c r="CL86">
        <f>SUMIFS(T_Shipments[Confirmed_Qty],T_Shipments[RM_Code],$A86,T_Shipments[Effective_Week],89)</f>
        <v/>
      </c>
      <c r="CM86">
        <f>SUMIFS(T_Shipments[Confirmed_Qty],T_Shipments[RM_Code],$A86,T_Shipments[Effective_Week],90)</f>
        <v/>
      </c>
      <c r="CN86">
        <f>SUMIFS(T_Shipments[Confirmed_Qty],T_Shipments[RM_Code],$A86,T_Shipments[Effective_Week],91)</f>
        <v/>
      </c>
      <c r="CO86">
        <f>SUMIFS(T_Shipments[Confirmed_Qty],T_Shipments[RM_Code],$A86,T_Shipments[Effective_Week],92)</f>
        <v/>
      </c>
      <c r="CP86">
        <f>SUMIFS(T_Shipments[Confirmed_Qty],T_Shipments[RM_Code],$A86,T_Shipments[Effective_Week],93)</f>
        <v/>
      </c>
      <c r="CQ86">
        <f>SUMIFS(T_Shipments[Confirmed_Qty],T_Shipments[RM_Code],$A86,T_Shipments[Effective_Week],94)</f>
        <v/>
      </c>
      <c r="CR86">
        <f>SUMIFS(T_Shipments[Confirmed_Qty],T_Shipments[RM_Code],$A86,T_Shipments[Effective_Week],95)</f>
        <v/>
      </c>
      <c r="CS86">
        <f>SUMIFS(T_Shipments[Confirmed_Qty],T_Shipments[RM_Code],$A86,T_Shipments[Effective_Week],96)</f>
        <v/>
      </c>
      <c r="CT86">
        <f>SUMIFS(T_Shipments[Confirmed_Qty],T_Shipments[RM_Code],$A86,T_Shipments[Effective_Week],97)</f>
        <v/>
      </c>
      <c r="CU86">
        <f>SUMIFS(T_Shipments[Confirmed_Qty],T_Shipments[RM_Code],$A86,T_Shipments[Effective_Week],98)</f>
        <v/>
      </c>
      <c r="CV86">
        <f>SUMIFS(T_Shipments[Confirmed_Qty],T_Shipments[RM_Code],$A86,T_Shipments[Effective_Week],99)</f>
        <v/>
      </c>
      <c r="CW86">
        <f>SUMIFS(T_Shipments[Confirmed_Qty],T_Shipments[RM_Code],$A86,T_Shipments[Effective_Week],100)</f>
        <v/>
      </c>
      <c r="CX86">
        <f>SUMIFS(T_Shipments[Confirmed_Qty],T_Shipments[RM_Code],$A86,T_Shipments[Effective_Week],101)</f>
        <v/>
      </c>
      <c r="CY86">
        <f>SUMIFS(T_Shipments[Confirmed_Qty],T_Shipments[RM_Code],$A86,T_Shipments[Effective_Week],102)</f>
        <v/>
      </c>
      <c r="CZ86">
        <f>SUMIFS(T_Shipments[Confirmed_Qty],T_Shipments[RM_Code],$A86,T_Shipments[Effective_Week],103)</f>
        <v/>
      </c>
      <c r="DA86">
        <f>SUMIFS(T_Shipments[Confirmed_Qty],T_Shipments[RM_Code],$A86,T_Shipments[Effective_Week],104)</f>
        <v/>
      </c>
    </row>
    <row r="87">
      <c r="A87" t="inlineStr">
        <is>
          <t>CHEM-1180</t>
        </is>
      </c>
      <c r="B87">
        <f>SUMIFS(T_Shipments[Confirmed_Qty],T_Shipments[RM_Code],$A87,T_Shipments[Effective_Week],1)</f>
        <v/>
      </c>
      <c r="C87">
        <f>SUMIFS(T_Shipments[Confirmed_Qty],T_Shipments[RM_Code],$A87,T_Shipments[Effective_Week],2)</f>
        <v/>
      </c>
      <c r="D87">
        <f>SUMIFS(T_Shipments[Confirmed_Qty],T_Shipments[RM_Code],$A87,T_Shipments[Effective_Week],3)</f>
        <v/>
      </c>
      <c r="E87">
        <f>SUMIFS(T_Shipments[Confirmed_Qty],T_Shipments[RM_Code],$A87,T_Shipments[Effective_Week],4)</f>
        <v/>
      </c>
      <c r="F87">
        <f>SUMIFS(T_Shipments[Confirmed_Qty],T_Shipments[RM_Code],$A87,T_Shipments[Effective_Week],5)</f>
        <v/>
      </c>
      <c r="G87">
        <f>SUMIFS(T_Shipments[Confirmed_Qty],T_Shipments[RM_Code],$A87,T_Shipments[Effective_Week],6)</f>
        <v/>
      </c>
      <c r="H87">
        <f>SUMIFS(T_Shipments[Confirmed_Qty],T_Shipments[RM_Code],$A87,T_Shipments[Effective_Week],7)</f>
        <v/>
      </c>
      <c r="I87">
        <f>SUMIFS(T_Shipments[Confirmed_Qty],T_Shipments[RM_Code],$A87,T_Shipments[Effective_Week],8)</f>
        <v/>
      </c>
      <c r="J87">
        <f>SUMIFS(T_Shipments[Confirmed_Qty],T_Shipments[RM_Code],$A87,T_Shipments[Effective_Week],9)</f>
        <v/>
      </c>
      <c r="K87">
        <f>SUMIFS(T_Shipments[Confirmed_Qty],T_Shipments[RM_Code],$A87,T_Shipments[Effective_Week],10)</f>
        <v/>
      </c>
      <c r="L87">
        <f>SUMIFS(T_Shipments[Confirmed_Qty],T_Shipments[RM_Code],$A87,T_Shipments[Effective_Week],11)</f>
        <v/>
      </c>
      <c r="M87">
        <f>SUMIFS(T_Shipments[Confirmed_Qty],T_Shipments[RM_Code],$A87,T_Shipments[Effective_Week],12)</f>
        <v/>
      </c>
      <c r="N87">
        <f>SUMIFS(T_Shipments[Confirmed_Qty],T_Shipments[RM_Code],$A87,T_Shipments[Effective_Week],13)</f>
        <v/>
      </c>
      <c r="O87">
        <f>SUMIFS(T_Shipments[Confirmed_Qty],T_Shipments[RM_Code],$A87,T_Shipments[Effective_Week],14)</f>
        <v/>
      </c>
      <c r="P87">
        <f>SUMIFS(T_Shipments[Confirmed_Qty],T_Shipments[RM_Code],$A87,T_Shipments[Effective_Week],15)</f>
        <v/>
      </c>
      <c r="Q87">
        <f>SUMIFS(T_Shipments[Confirmed_Qty],T_Shipments[RM_Code],$A87,T_Shipments[Effective_Week],16)</f>
        <v/>
      </c>
      <c r="R87">
        <f>SUMIFS(T_Shipments[Confirmed_Qty],T_Shipments[RM_Code],$A87,T_Shipments[Effective_Week],17)</f>
        <v/>
      </c>
      <c r="S87">
        <f>SUMIFS(T_Shipments[Confirmed_Qty],T_Shipments[RM_Code],$A87,T_Shipments[Effective_Week],18)</f>
        <v/>
      </c>
      <c r="T87">
        <f>SUMIFS(T_Shipments[Confirmed_Qty],T_Shipments[RM_Code],$A87,T_Shipments[Effective_Week],19)</f>
        <v/>
      </c>
      <c r="U87">
        <f>SUMIFS(T_Shipments[Confirmed_Qty],T_Shipments[RM_Code],$A87,T_Shipments[Effective_Week],20)</f>
        <v/>
      </c>
      <c r="V87">
        <f>SUMIFS(T_Shipments[Confirmed_Qty],T_Shipments[RM_Code],$A87,T_Shipments[Effective_Week],21)</f>
        <v/>
      </c>
      <c r="W87">
        <f>SUMIFS(T_Shipments[Confirmed_Qty],T_Shipments[RM_Code],$A87,T_Shipments[Effective_Week],22)</f>
        <v/>
      </c>
      <c r="X87">
        <f>SUMIFS(T_Shipments[Confirmed_Qty],T_Shipments[RM_Code],$A87,T_Shipments[Effective_Week],23)</f>
        <v/>
      </c>
      <c r="Y87">
        <f>SUMIFS(T_Shipments[Confirmed_Qty],T_Shipments[RM_Code],$A87,T_Shipments[Effective_Week],24)</f>
        <v/>
      </c>
      <c r="Z87">
        <f>SUMIFS(T_Shipments[Confirmed_Qty],T_Shipments[RM_Code],$A87,T_Shipments[Effective_Week],25)</f>
        <v/>
      </c>
      <c r="AA87">
        <f>SUMIFS(T_Shipments[Confirmed_Qty],T_Shipments[RM_Code],$A87,T_Shipments[Effective_Week],26)</f>
        <v/>
      </c>
      <c r="AB87">
        <f>SUMIFS(T_Shipments[Confirmed_Qty],T_Shipments[RM_Code],$A87,T_Shipments[Effective_Week],27)</f>
        <v/>
      </c>
      <c r="AC87">
        <f>SUMIFS(T_Shipments[Confirmed_Qty],T_Shipments[RM_Code],$A87,T_Shipments[Effective_Week],28)</f>
        <v/>
      </c>
      <c r="AD87">
        <f>SUMIFS(T_Shipments[Confirmed_Qty],T_Shipments[RM_Code],$A87,T_Shipments[Effective_Week],29)</f>
        <v/>
      </c>
      <c r="AE87">
        <f>SUMIFS(T_Shipments[Confirmed_Qty],T_Shipments[RM_Code],$A87,T_Shipments[Effective_Week],30)</f>
        <v/>
      </c>
      <c r="AF87">
        <f>SUMIFS(T_Shipments[Confirmed_Qty],T_Shipments[RM_Code],$A87,T_Shipments[Effective_Week],31)</f>
        <v/>
      </c>
      <c r="AG87">
        <f>SUMIFS(T_Shipments[Confirmed_Qty],T_Shipments[RM_Code],$A87,T_Shipments[Effective_Week],32)</f>
        <v/>
      </c>
      <c r="AH87">
        <f>SUMIFS(T_Shipments[Confirmed_Qty],T_Shipments[RM_Code],$A87,T_Shipments[Effective_Week],33)</f>
        <v/>
      </c>
      <c r="AI87">
        <f>SUMIFS(T_Shipments[Confirmed_Qty],T_Shipments[RM_Code],$A87,T_Shipments[Effective_Week],34)</f>
        <v/>
      </c>
      <c r="AJ87">
        <f>SUMIFS(T_Shipments[Confirmed_Qty],T_Shipments[RM_Code],$A87,T_Shipments[Effective_Week],35)</f>
        <v/>
      </c>
      <c r="AK87">
        <f>SUMIFS(T_Shipments[Confirmed_Qty],T_Shipments[RM_Code],$A87,T_Shipments[Effective_Week],36)</f>
        <v/>
      </c>
      <c r="AL87">
        <f>SUMIFS(T_Shipments[Confirmed_Qty],T_Shipments[RM_Code],$A87,T_Shipments[Effective_Week],37)</f>
        <v/>
      </c>
      <c r="AM87">
        <f>SUMIFS(T_Shipments[Confirmed_Qty],T_Shipments[RM_Code],$A87,T_Shipments[Effective_Week],38)</f>
        <v/>
      </c>
      <c r="AN87">
        <f>SUMIFS(T_Shipments[Confirmed_Qty],T_Shipments[RM_Code],$A87,T_Shipments[Effective_Week],39)</f>
        <v/>
      </c>
      <c r="AO87">
        <f>SUMIFS(T_Shipments[Confirmed_Qty],T_Shipments[RM_Code],$A87,T_Shipments[Effective_Week],40)</f>
        <v/>
      </c>
      <c r="AP87">
        <f>SUMIFS(T_Shipments[Confirmed_Qty],T_Shipments[RM_Code],$A87,T_Shipments[Effective_Week],41)</f>
        <v/>
      </c>
      <c r="AQ87">
        <f>SUMIFS(T_Shipments[Confirmed_Qty],T_Shipments[RM_Code],$A87,T_Shipments[Effective_Week],42)</f>
        <v/>
      </c>
      <c r="AR87">
        <f>SUMIFS(T_Shipments[Confirmed_Qty],T_Shipments[RM_Code],$A87,T_Shipments[Effective_Week],43)</f>
        <v/>
      </c>
      <c r="AS87">
        <f>SUMIFS(T_Shipments[Confirmed_Qty],T_Shipments[RM_Code],$A87,T_Shipments[Effective_Week],44)</f>
        <v/>
      </c>
      <c r="AT87">
        <f>SUMIFS(T_Shipments[Confirmed_Qty],T_Shipments[RM_Code],$A87,T_Shipments[Effective_Week],45)</f>
        <v/>
      </c>
      <c r="AU87">
        <f>SUMIFS(T_Shipments[Confirmed_Qty],T_Shipments[RM_Code],$A87,T_Shipments[Effective_Week],46)</f>
        <v/>
      </c>
      <c r="AV87">
        <f>SUMIFS(T_Shipments[Confirmed_Qty],T_Shipments[RM_Code],$A87,T_Shipments[Effective_Week],47)</f>
        <v/>
      </c>
      <c r="AW87">
        <f>SUMIFS(T_Shipments[Confirmed_Qty],T_Shipments[RM_Code],$A87,T_Shipments[Effective_Week],48)</f>
        <v/>
      </c>
      <c r="AX87">
        <f>SUMIFS(T_Shipments[Confirmed_Qty],T_Shipments[RM_Code],$A87,T_Shipments[Effective_Week],49)</f>
        <v/>
      </c>
      <c r="AY87">
        <f>SUMIFS(T_Shipments[Confirmed_Qty],T_Shipments[RM_Code],$A87,T_Shipments[Effective_Week],50)</f>
        <v/>
      </c>
      <c r="AZ87">
        <f>SUMIFS(T_Shipments[Confirmed_Qty],T_Shipments[RM_Code],$A87,T_Shipments[Effective_Week],51)</f>
        <v/>
      </c>
      <c r="BA87">
        <f>SUMIFS(T_Shipments[Confirmed_Qty],T_Shipments[RM_Code],$A87,T_Shipments[Effective_Week],52)</f>
        <v/>
      </c>
      <c r="BB87">
        <f>SUMIFS(T_Shipments[Confirmed_Qty],T_Shipments[RM_Code],$A87,T_Shipments[Effective_Week],53)</f>
        <v/>
      </c>
      <c r="BC87">
        <f>SUMIFS(T_Shipments[Confirmed_Qty],T_Shipments[RM_Code],$A87,T_Shipments[Effective_Week],54)</f>
        <v/>
      </c>
      <c r="BD87">
        <f>SUMIFS(T_Shipments[Confirmed_Qty],T_Shipments[RM_Code],$A87,T_Shipments[Effective_Week],55)</f>
        <v/>
      </c>
      <c r="BE87">
        <f>SUMIFS(T_Shipments[Confirmed_Qty],T_Shipments[RM_Code],$A87,T_Shipments[Effective_Week],56)</f>
        <v/>
      </c>
      <c r="BF87">
        <f>SUMIFS(T_Shipments[Confirmed_Qty],T_Shipments[RM_Code],$A87,T_Shipments[Effective_Week],57)</f>
        <v/>
      </c>
      <c r="BG87">
        <f>SUMIFS(T_Shipments[Confirmed_Qty],T_Shipments[RM_Code],$A87,T_Shipments[Effective_Week],58)</f>
        <v/>
      </c>
      <c r="BH87">
        <f>SUMIFS(T_Shipments[Confirmed_Qty],T_Shipments[RM_Code],$A87,T_Shipments[Effective_Week],59)</f>
        <v/>
      </c>
      <c r="BI87">
        <f>SUMIFS(T_Shipments[Confirmed_Qty],T_Shipments[RM_Code],$A87,T_Shipments[Effective_Week],60)</f>
        <v/>
      </c>
      <c r="BJ87">
        <f>SUMIFS(T_Shipments[Confirmed_Qty],T_Shipments[RM_Code],$A87,T_Shipments[Effective_Week],61)</f>
        <v/>
      </c>
      <c r="BK87">
        <f>SUMIFS(T_Shipments[Confirmed_Qty],T_Shipments[RM_Code],$A87,T_Shipments[Effective_Week],62)</f>
        <v/>
      </c>
      <c r="BL87">
        <f>SUMIFS(T_Shipments[Confirmed_Qty],T_Shipments[RM_Code],$A87,T_Shipments[Effective_Week],63)</f>
        <v/>
      </c>
      <c r="BM87">
        <f>SUMIFS(T_Shipments[Confirmed_Qty],T_Shipments[RM_Code],$A87,T_Shipments[Effective_Week],64)</f>
        <v/>
      </c>
      <c r="BN87">
        <f>SUMIFS(T_Shipments[Confirmed_Qty],T_Shipments[RM_Code],$A87,T_Shipments[Effective_Week],65)</f>
        <v/>
      </c>
      <c r="BO87">
        <f>SUMIFS(T_Shipments[Confirmed_Qty],T_Shipments[RM_Code],$A87,T_Shipments[Effective_Week],66)</f>
        <v/>
      </c>
      <c r="BP87">
        <f>SUMIFS(T_Shipments[Confirmed_Qty],T_Shipments[RM_Code],$A87,T_Shipments[Effective_Week],67)</f>
        <v/>
      </c>
      <c r="BQ87">
        <f>SUMIFS(T_Shipments[Confirmed_Qty],T_Shipments[RM_Code],$A87,T_Shipments[Effective_Week],68)</f>
        <v/>
      </c>
      <c r="BR87">
        <f>SUMIFS(T_Shipments[Confirmed_Qty],T_Shipments[RM_Code],$A87,T_Shipments[Effective_Week],69)</f>
        <v/>
      </c>
      <c r="BS87">
        <f>SUMIFS(T_Shipments[Confirmed_Qty],T_Shipments[RM_Code],$A87,T_Shipments[Effective_Week],70)</f>
        <v/>
      </c>
      <c r="BT87">
        <f>SUMIFS(T_Shipments[Confirmed_Qty],T_Shipments[RM_Code],$A87,T_Shipments[Effective_Week],71)</f>
        <v/>
      </c>
      <c r="BU87">
        <f>SUMIFS(T_Shipments[Confirmed_Qty],T_Shipments[RM_Code],$A87,T_Shipments[Effective_Week],72)</f>
        <v/>
      </c>
      <c r="BV87">
        <f>SUMIFS(T_Shipments[Confirmed_Qty],T_Shipments[RM_Code],$A87,T_Shipments[Effective_Week],73)</f>
        <v/>
      </c>
      <c r="BW87">
        <f>SUMIFS(T_Shipments[Confirmed_Qty],T_Shipments[RM_Code],$A87,T_Shipments[Effective_Week],74)</f>
        <v/>
      </c>
      <c r="BX87">
        <f>SUMIFS(T_Shipments[Confirmed_Qty],T_Shipments[RM_Code],$A87,T_Shipments[Effective_Week],75)</f>
        <v/>
      </c>
      <c r="BY87">
        <f>SUMIFS(T_Shipments[Confirmed_Qty],T_Shipments[RM_Code],$A87,T_Shipments[Effective_Week],76)</f>
        <v/>
      </c>
      <c r="BZ87">
        <f>SUMIFS(T_Shipments[Confirmed_Qty],T_Shipments[RM_Code],$A87,T_Shipments[Effective_Week],77)</f>
        <v/>
      </c>
      <c r="CA87">
        <f>SUMIFS(T_Shipments[Confirmed_Qty],T_Shipments[RM_Code],$A87,T_Shipments[Effective_Week],78)</f>
        <v/>
      </c>
      <c r="CB87">
        <f>SUMIFS(T_Shipments[Confirmed_Qty],T_Shipments[RM_Code],$A87,T_Shipments[Effective_Week],79)</f>
        <v/>
      </c>
      <c r="CC87">
        <f>SUMIFS(T_Shipments[Confirmed_Qty],T_Shipments[RM_Code],$A87,T_Shipments[Effective_Week],80)</f>
        <v/>
      </c>
      <c r="CD87">
        <f>SUMIFS(T_Shipments[Confirmed_Qty],T_Shipments[RM_Code],$A87,T_Shipments[Effective_Week],81)</f>
        <v/>
      </c>
      <c r="CE87">
        <f>SUMIFS(T_Shipments[Confirmed_Qty],T_Shipments[RM_Code],$A87,T_Shipments[Effective_Week],82)</f>
        <v/>
      </c>
      <c r="CF87">
        <f>SUMIFS(T_Shipments[Confirmed_Qty],T_Shipments[RM_Code],$A87,T_Shipments[Effective_Week],83)</f>
        <v/>
      </c>
      <c r="CG87">
        <f>SUMIFS(T_Shipments[Confirmed_Qty],T_Shipments[RM_Code],$A87,T_Shipments[Effective_Week],84)</f>
        <v/>
      </c>
      <c r="CH87">
        <f>SUMIFS(T_Shipments[Confirmed_Qty],T_Shipments[RM_Code],$A87,T_Shipments[Effective_Week],85)</f>
        <v/>
      </c>
      <c r="CI87">
        <f>SUMIFS(T_Shipments[Confirmed_Qty],T_Shipments[RM_Code],$A87,T_Shipments[Effective_Week],86)</f>
        <v/>
      </c>
      <c r="CJ87">
        <f>SUMIFS(T_Shipments[Confirmed_Qty],T_Shipments[RM_Code],$A87,T_Shipments[Effective_Week],87)</f>
        <v/>
      </c>
      <c r="CK87">
        <f>SUMIFS(T_Shipments[Confirmed_Qty],T_Shipments[RM_Code],$A87,T_Shipments[Effective_Week],88)</f>
        <v/>
      </c>
      <c r="CL87">
        <f>SUMIFS(T_Shipments[Confirmed_Qty],T_Shipments[RM_Code],$A87,T_Shipments[Effective_Week],89)</f>
        <v/>
      </c>
      <c r="CM87">
        <f>SUMIFS(T_Shipments[Confirmed_Qty],T_Shipments[RM_Code],$A87,T_Shipments[Effective_Week],90)</f>
        <v/>
      </c>
      <c r="CN87">
        <f>SUMIFS(T_Shipments[Confirmed_Qty],T_Shipments[RM_Code],$A87,T_Shipments[Effective_Week],91)</f>
        <v/>
      </c>
      <c r="CO87">
        <f>SUMIFS(T_Shipments[Confirmed_Qty],T_Shipments[RM_Code],$A87,T_Shipments[Effective_Week],92)</f>
        <v/>
      </c>
      <c r="CP87">
        <f>SUMIFS(T_Shipments[Confirmed_Qty],T_Shipments[RM_Code],$A87,T_Shipments[Effective_Week],93)</f>
        <v/>
      </c>
      <c r="CQ87">
        <f>SUMIFS(T_Shipments[Confirmed_Qty],T_Shipments[RM_Code],$A87,T_Shipments[Effective_Week],94)</f>
        <v/>
      </c>
      <c r="CR87">
        <f>SUMIFS(T_Shipments[Confirmed_Qty],T_Shipments[RM_Code],$A87,T_Shipments[Effective_Week],95)</f>
        <v/>
      </c>
      <c r="CS87">
        <f>SUMIFS(T_Shipments[Confirmed_Qty],T_Shipments[RM_Code],$A87,T_Shipments[Effective_Week],96)</f>
        <v/>
      </c>
      <c r="CT87">
        <f>SUMIFS(T_Shipments[Confirmed_Qty],T_Shipments[RM_Code],$A87,T_Shipments[Effective_Week],97)</f>
        <v/>
      </c>
      <c r="CU87">
        <f>SUMIFS(T_Shipments[Confirmed_Qty],T_Shipments[RM_Code],$A87,T_Shipments[Effective_Week],98)</f>
        <v/>
      </c>
      <c r="CV87">
        <f>SUMIFS(T_Shipments[Confirmed_Qty],T_Shipments[RM_Code],$A87,T_Shipments[Effective_Week],99)</f>
        <v/>
      </c>
      <c r="CW87">
        <f>SUMIFS(T_Shipments[Confirmed_Qty],T_Shipments[RM_Code],$A87,T_Shipments[Effective_Week],100)</f>
        <v/>
      </c>
      <c r="CX87">
        <f>SUMIFS(T_Shipments[Confirmed_Qty],T_Shipments[RM_Code],$A87,T_Shipments[Effective_Week],101)</f>
        <v/>
      </c>
      <c r="CY87">
        <f>SUMIFS(T_Shipments[Confirmed_Qty],T_Shipments[RM_Code],$A87,T_Shipments[Effective_Week],102)</f>
        <v/>
      </c>
      <c r="CZ87">
        <f>SUMIFS(T_Shipments[Confirmed_Qty],T_Shipments[RM_Code],$A87,T_Shipments[Effective_Week],103)</f>
        <v/>
      </c>
      <c r="DA87">
        <f>SUMIFS(T_Shipments[Confirmed_Qty],T_Shipments[RM_Code],$A87,T_Shipments[Effective_Week],104)</f>
        <v/>
      </c>
    </row>
    <row r="88">
      <c r="A88" t="inlineStr">
        <is>
          <t>TSZ-938</t>
        </is>
      </c>
      <c r="B88">
        <f>SUMIFS(T_Shipments[Confirmed_Qty],T_Shipments[RM_Code],$A88,T_Shipments[Effective_Week],1)</f>
        <v/>
      </c>
      <c r="C88">
        <f>SUMIFS(T_Shipments[Confirmed_Qty],T_Shipments[RM_Code],$A88,T_Shipments[Effective_Week],2)</f>
        <v/>
      </c>
      <c r="D88">
        <f>SUMIFS(T_Shipments[Confirmed_Qty],T_Shipments[RM_Code],$A88,T_Shipments[Effective_Week],3)</f>
        <v/>
      </c>
      <c r="E88">
        <f>SUMIFS(T_Shipments[Confirmed_Qty],T_Shipments[RM_Code],$A88,T_Shipments[Effective_Week],4)</f>
        <v/>
      </c>
      <c r="F88">
        <f>SUMIFS(T_Shipments[Confirmed_Qty],T_Shipments[RM_Code],$A88,T_Shipments[Effective_Week],5)</f>
        <v/>
      </c>
      <c r="G88">
        <f>SUMIFS(T_Shipments[Confirmed_Qty],T_Shipments[RM_Code],$A88,T_Shipments[Effective_Week],6)</f>
        <v/>
      </c>
      <c r="H88">
        <f>SUMIFS(T_Shipments[Confirmed_Qty],T_Shipments[RM_Code],$A88,T_Shipments[Effective_Week],7)</f>
        <v/>
      </c>
      <c r="I88">
        <f>SUMIFS(T_Shipments[Confirmed_Qty],T_Shipments[RM_Code],$A88,T_Shipments[Effective_Week],8)</f>
        <v/>
      </c>
      <c r="J88">
        <f>SUMIFS(T_Shipments[Confirmed_Qty],T_Shipments[RM_Code],$A88,T_Shipments[Effective_Week],9)</f>
        <v/>
      </c>
      <c r="K88">
        <f>SUMIFS(T_Shipments[Confirmed_Qty],T_Shipments[RM_Code],$A88,T_Shipments[Effective_Week],10)</f>
        <v/>
      </c>
      <c r="L88">
        <f>SUMIFS(T_Shipments[Confirmed_Qty],T_Shipments[RM_Code],$A88,T_Shipments[Effective_Week],11)</f>
        <v/>
      </c>
      <c r="M88">
        <f>SUMIFS(T_Shipments[Confirmed_Qty],T_Shipments[RM_Code],$A88,T_Shipments[Effective_Week],12)</f>
        <v/>
      </c>
      <c r="N88">
        <f>SUMIFS(T_Shipments[Confirmed_Qty],T_Shipments[RM_Code],$A88,T_Shipments[Effective_Week],13)</f>
        <v/>
      </c>
      <c r="O88">
        <f>SUMIFS(T_Shipments[Confirmed_Qty],T_Shipments[RM_Code],$A88,T_Shipments[Effective_Week],14)</f>
        <v/>
      </c>
      <c r="P88">
        <f>SUMIFS(T_Shipments[Confirmed_Qty],T_Shipments[RM_Code],$A88,T_Shipments[Effective_Week],15)</f>
        <v/>
      </c>
      <c r="Q88">
        <f>SUMIFS(T_Shipments[Confirmed_Qty],T_Shipments[RM_Code],$A88,T_Shipments[Effective_Week],16)</f>
        <v/>
      </c>
      <c r="R88">
        <f>SUMIFS(T_Shipments[Confirmed_Qty],T_Shipments[RM_Code],$A88,T_Shipments[Effective_Week],17)</f>
        <v/>
      </c>
      <c r="S88">
        <f>SUMIFS(T_Shipments[Confirmed_Qty],T_Shipments[RM_Code],$A88,T_Shipments[Effective_Week],18)</f>
        <v/>
      </c>
      <c r="T88">
        <f>SUMIFS(T_Shipments[Confirmed_Qty],T_Shipments[RM_Code],$A88,T_Shipments[Effective_Week],19)</f>
        <v/>
      </c>
      <c r="U88">
        <f>SUMIFS(T_Shipments[Confirmed_Qty],T_Shipments[RM_Code],$A88,T_Shipments[Effective_Week],20)</f>
        <v/>
      </c>
      <c r="V88">
        <f>SUMIFS(T_Shipments[Confirmed_Qty],T_Shipments[RM_Code],$A88,T_Shipments[Effective_Week],21)</f>
        <v/>
      </c>
      <c r="W88">
        <f>SUMIFS(T_Shipments[Confirmed_Qty],T_Shipments[RM_Code],$A88,T_Shipments[Effective_Week],22)</f>
        <v/>
      </c>
      <c r="X88">
        <f>SUMIFS(T_Shipments[Confirmed_Qty],T_Shipments[RM_Code],$A88,T_Shipments[Effective_Week],23)</f>
        <v/>
      </c>
      <c r="Y88">
        <f>SUMIFS(T_Shipments[Confirmed_Qty],T_Shipments[RM_Code],$A88,T_Shipments[Effective_Week],24)</f>
        <v/>
      </c>
      <c r="Z88">
        <f>SUMIFS(T_Shipments[Confirmed_Qty],T_Shipments[RM_Code],$A88,T_Shipments[Effective_Week],25)</f>
        <v/>
      </c>
      <c r="AA88">
        <f>SUMIFS(T_Shipments[Confirmed_Qty],T_Shipments[RM_Code],$A88,T_Shipments[Effective_Week],26)</f>
        <v/>
      </c>
      <c r="AB88">
        <f>SUMIFS(T_Shipments[Confirmed_Qty],T_Shipments[RM_Code],$A88,T_Shipments[Effective_Week],27)</f>
        <v/>
      </c>
      <c r="AC88">
        <f>SUMIFS(T_Shipments[Confirmed_Qty],T_Shipments[RM_Code],$A88,T_Shipments[Effective_Week],28)</f>
        <v/>
      </c>
      <c r="AD88">
        <f>SUMIFS(T_Shipments[Confirmed_Qty],T_Shipments[RM_Code],$A88,T_Shipments[Effective_Week],29)</f>
        <v/>
      </c>
      <c r="AE88">
        <f>SUMIFS(T_Shipments[Confirmed_Qty],T_Shipments[RM_Code],$A88,T_Shipments[Effective_Week],30)</f>
        <v/>
      </c>
      <c r="AF88">
        <f>SUMIFS(T_Shipments[Confirmed_Qty],T_Shipments[RM_Code],$A88,T_Shipments[Effective_Week],31)</f>
        <v/>
      </c>
      <c r="AG88">
        <f>SUMIFS(T_Shipments[Confirmed_Qty],T_Shipments[RM_Code],$A88,T_Shipments[Effective_Week],32)</f>
        <v/>
      </c>
      <c r="AH88">
        <f>SUMIFS(T_Shipments[Confirmed_Qty],T_Shipments[RM_Code],$A88,T_Shipments[Effective_Week],33)</f>
        <v/>
      </c>
      <c r="AI88">
        <f>SUMIFS(T_Shipments[Confirmed_Qty],T_Shipments[RM_Code],$A88,T_Shipments[Effective_Week],34)</f>
        <v/>
      </c>
      <c r="AJ88">
        <f>SUMIFS(T_Shipments[Confirmed_Qty],T_Shipments[RM_Code],$A88,T_Shipments[Effective_Week],35)</f>
        <v/>
      </c>
      <c r="AK88">
        <f>SUMIFS(T_Shipments[Confirmed_Qty],T_Shipments[RM_Code],$A88,T_Shipments[Effective_Week],36)</f>
        <v/>
      </c>
      <c r="AL88">
        <f>SUMIFS(T_Shipments[Confirmed_Qty],T_Shipments[RM_Code],$A88,T_Shipments[Effective_Week],37)</f>
        <v/>
      </c>
      <c r="AM88">
        <f>SUMIFS(T_Shipments[Confirmed_Qty],T_Shipments[RM_Code],$A88,T_Shipments[Effective_Week],38)</f>
        <v/>
      </c>
      <c r="AN88">
        <f>SUMIFS(T_Shipments[Confirmed_Qty],T_Shipments[RM_Code],$A88,T_Shipments[Effective_Week],39)</f>
        <v/>
      </c>
      <c r="AO88">
        <f>SUMIFS(T_Shipments[Confirmed_Qty],T_Shipments[RM_Code],$A88,T_Shipments[Effective_Week],40)</f>
        <v/>
      </c>
      <c r="AP88">
        <f>SUMIFS(T_Shipments[Confirmed_Qty],T_Shipments[RM_Code],$A88,T_Shipments[Effective_Week],41)</f>
        <v/>
      </c>
      <c r="AQ88">
        <f>SUMIFS(T_Shipments[Confirmed_Qty],T_Shipments[RM_Code],$A88,T_Shipments[Effective_Week],42)</f>
        <v/>
      </c>
      <c r="AR88">
        <f>SUMIFS(T_Shipments[Confirmed_Qty],T_Shipments[RM_Code],$A88,T_Shipments[Effective_Week],43)</f>
        <v/>
      </c>
      <c r="AS88">
        <f>SUMIFS(T_Shipments[Confirmed_Qty],T_Shipments[RM_Code],$A88,T_Shipments[Effective_Week],44)</f>
        <v/>
      </c>
      <c r="AT88">
        <f>SUMIFS(T_Shipments[Confirmed_Qty],T_Shipments[RM_Code],$A88,T_Shipments[Effective_Week],45)</f>
        <v/>
      </c>
      <c r="AU88">
        <f>SUMIFS(T_Shipments[Confirmed_Qty],T_Shipments[RM_Code],$A88,T_Shipments[Effective_Week],46)</f>
        <v/>
      </c>
      <c r="AV88">
        <f>SUMIFS(T_Shipments[Confirmed_Qty],T_Shipments[RM_Code],$A88,T_Shipments[Effective_Week],47)</f>
        <v/>
      </c>
      <c r="AW88">
        <f>SUMIFS(T_Shipments[Confirmed_Qty],T_Shipments[RM_Code],$A88,T_Shipments[Effective_Week],48)</f>
        <v/>
      </c>
      <c r="AX88">
        <f>SUMIFS(T_Shipments[Confirmed_Qty],T_Shipments[RM_Code],$A88,T_Shipments[Effective_Week],49)</f>
        <v/>
      </c>
      <c r="AY88">
        <f>SUMIFS(T_Shipments[Confirmed_Qty],T_Shipments[RM_Code],$A88,T_Shipments[Effective_Week],50)</f>
        <v/>
      </c>
      <c r="AZ88">
        <f>SUMIFS(T_Shipments[Confirmed_Qty],T_Shipments[RM_Code],$A88,T_Shipments[Effective_Week],51)</f>
        <v/>
      </c>
      <c r="BA88">
        <f>SUMIFS(T_Shipments[Confirmed_Qty],T_Shipments[RM_Code],$A88,T_Shipments[Effective_Week],52)</f>
        <v/>
      </c>
      <c r="BB88">
        <f>SUMIFS(T_Shipments[Confirmed_Qty],T_Shipments[RM_Code],$A88,T_Shipments[Effective_Week],53)</f>
        <v/>
      </c>
      <c r="BC88">
        <f>SUMIFS(T_Shipments[Confirmed_Qty],T_Shipments[RM_Code],$A88,T_Shipments[Effective_Week],54)</f>
        <v/>
      </c>
      <c r="BD88">
        <f>SUMIFS(T_Shipments[Confirmed_Qty],T_Shipments[RM_Code],$A88,T_Shipments[Effective_Week],55)</f>
        <v/>
      </c>
      <c r="BE88">
        <f>SUMIFS(T_Shipments[Confirmed_Qty],T_Shipments[RM_Code],$A88,T_Shipments[Effective_Week],56)</f>
        <v/>
      </c>
      <c r="BF88">
        <f>SUMIFS(T_Shipments[Confirmed_Qty],T_Shipments[RM_Code],$A88,T_Shipments[Effective_Week],57)</f>
        <v/>
      </c>
      <c r="BG88">
        <f>SUMIFS(T_Shipments[Confirmed_Qty],T_Shipments[RM_Code],$A88,T_Shipments[Effective_Week],58)</f>
        <v/>
      </c>
      <c r="BH88">
        <f>SUMIFS(T_Shipments[Confirmed_Qty],T_Shipments[RM_Code],$A88,T_Shipments[Effective_Week],59)</f>
        <v/>
      </c>
      <c r="BI88">
        <f>SUMIFS(T_Shipments[Confirmed_Qty],T_Shipments[RM_Code],$A88,T_Shipments[Effective_Week],60)</f>
        <v/>
      </c>
      <c r="BJ88">
        <f>SUMIFS(T_Shipments[Confirmed_Qty],T_Shipments[RM_Code],$A88,T_Shipments[Effective_Week],61)</f>
        <v/>
      </c>
      <c r="BK88">
        <f>SUMIFS(T_Shipments[Confirmed_Qty],T_Shipments[RM_Code],$A88,T_Shipments[Effective_Week],62)</f>
        <v/>
      </c>
      <c r="BL88">
        <f>SUMIFS(T_Shipments[Confirmed_Qty],T_Shipments[RM_Code],$A88,T_Shipments[Effective_Week],63)</f>
        <v/>
      </c>
      <c r="BM88">
        <f>SUMIFS(T_Shipments[Confirmed_Qty],T_Shipments[RM_Code],$A88,T_Shipments[Effective_Week],64)</f>
        <v/>
      </c>
      <c r="BN88">
        <f>SUMIFS(T_Shipments[Confirmed_Qty],T_Shipments[RM_Code],$A88,T_Shipments[Effective_Week],65)</f>
        <v/>
      </c>
      <c r="BO88">
        <f>SUMIFS(T_Shipments[Confirmed_Qty],T_Shipments[RM_Code],$A88,T_Shipments[Effective_Week],66)</f>
        <v/>
      </c>
      <c r="BP88">
        <f>SUMIFS(T_Shipments[Confirmed_Qty],T_Shipments[RM_Code],$A88,T_Shipments[Effective_Week],67)</f>
        <v/>
      </c>
      <c r="BQ88">
        <f>SUMIFS(T_Shipments[Confirmed_Qty],T_Shipments[RM_Code],$A88,T_Shipments[Effective_Week],68)</f>
        <v/>
      </c>
      <c r="BR88">
        <f>SUMIFS(T_Shipments[Confirmed_Qty],T_Shipments[RM_Code],$A88,T_Shipments[Effective_Week],69)</f>
        <v/>
      </c>
      <c r="BS88">
        <f>SUMIFS(T_Shipments[Confirmed_Qty],T_Shipments[RM_Code],$A88,T_Shipments[Effective_Week],70)</f>
        <v/>
      </c>
      <c r="BT88">
        <f>SUMIFS(T_Shipments[Confirmed_Qty],T_Shipments[RM_Code],$A88,T_Shipments[Effective_Week],71)</f>
        <v/>
      </c>
      <c r="BU88">
        <f>SUMIFS(T_Shipments[Confirmed_Qty],T_Shipments[RM_Code],$A88,T_Shipments[Effective_Week],72)</f>
        <v/>
      </c>
      <c r="BV88">
        <f>SUMIFS(T_Shipments[Confirmed_Qty],T_Shipments[RM_Code],$A88,T_Shipments[Effective_Week],73)</f>
        <v/>
      </c>
      <c r="BW88">
        <f>SUMIFS(T_Shipments[Confirmed_Qty],T_Shipments[RM_Code],$A88,T_Shipments[Effective_Week],74)</f>
        <v/>
      </c>
      <c r="BX88">
        <f>SUMIFS(T_Shipments[Confirmed_Qty],T_Shipments[RM_Code],$A88,T_Shipments[Effective_Week],75)</f>
        <v/>
      </c>
      <c r="BY88">
        <f>SUMIFS(T_Shipments[Confirmed_Qty],T_Shipments[RM_Code],$A88,T_Shipments[Effective_Week],76)</f>
        <v/>
      </c>
      <c r="BZ88">
        <f>SUMIFS(T_Shipments[Confirmed_Qty],T_Shipments[RM_Code],$A88,T_Shipments[Effective_Week],77)</f>
        <v/>
      </c>
      <c r="CA88">
        <f>SUMIFS(T_Shipments[Confirmed_Qty],T_Shipments[RM_Code],$A88,T_Shipments[Effective_Week],78)</f>
        <v/>
      </c>
      <c r="CB88">
        <f>SUMIFS(T_Shipments[Confirmed_Qty],T_Shipments[RM_Code],$A88,T_Shipments[Effective_Week],79)</f>
        <v/>
      </c>
      <c r="CC88">
        <f>SUMIFS(T_Shipments[Confirmed_Qty],T_Shipments[RM_Code],$A88,T_Shipments[Effective_Week],80)</f>
        <v/>
      </c>
      <c r="CD88">
        <f>SUMIFS(T_Shipments[Confirmed_Qty],T_Shipments[RM_Code],$A88,T_Shipments[Effective_Week],81)</f>
        <v/>
      </c>
      <c r="CE88">
        <f>SUMIFS(T_Shipments[Confirmed_Qty],T_Shipments[RM_Code],$A88,T_Shipments[Effective_Week],82)</f>
        <v/>
      </c>
      <c r="CF88">
        <f>SUMIFS(T_Shipments[Confirmed_Qty],T_Shipments[RM_Code],$A88,T_Shipments[Effective_Week],83)</f>
        <v/>
      </c>
      <c r="CG88">
        <f>SUMIFS(T_Shipments[Confirmed_Qty],T_Shipments[RM_Code],$A88,T_Shipments[Effective_Week],84)</f>
        <v/>
      </c>
      <c r="CH88">
        <f>SUMIFS(T_Shipments[Confirmed_Qty],T_Shipments[RM_Code],$A88,T_Shipments[Effective_Week],85)</f>
        <v/>
      </c>
      <c r="CI88">
        <f>SUMIFS(T_Shipments[Confirmed_Qty],T_Shipments[RM_Code],$A88,T_Shipments[Effective_Week],86)</f>
        <v/>
      </c>
      <c r="CJ88">
        <f>SUMIFS(T_Shipments[Confirmed_Qty],T_Shipments[RM_Code],$A88,T_Shipments[Effective_Week],87)</f>
        <v/>
      </c>
      <c r="CK88">
        <f>SUMIFS(T_Shipments[Confirmed_Qty],T_Shipments[RM_Code],$A88,T_Shipments[Effective_Week],88)</f>
        <v/>
      </c>
      <c r="CL88">
        <f>SUMIFS(T_Shipments[Confirmed_Qty],T_Shipments[RM_Code],$A88,T_Shipments[Effective_Week],89)</f>
        <v/>
      </c>
      <c r="CM88">
        <f>SUMIFS(T_Shipments[Confirmed_Qty],T_Shipments[RM_Code],$A88,T_Shipments[Effective_Week],90)</f>
        <v/>
      </c>
      <c r="CN88">
        <f>SUMIFS(T_Shipments[Confirmed_Qty],T_Shipments[RM_Code],$A88,T_Shipments[Effective_Week],91)</f>
        <v/>
      </c>
      <c r="CO88">
        <f>SUMIFS(T_Shipments[Confirmed_Qty],T_Shipments[RM_Code],$A88,T_Shipments[Effective_Week],92)</f>
        <v/>
      </c>
      <c r="CP88">
        <f>SUMIFS(T_Shipments[Confirmed_Qty],T_Shipments[RM_Code],$A88,T_Shipments[Effective_Week],93)</f>
        <v/>
      </c>
      <c r="CQ88">
        <f>SUMIFS(T_Shipments[Confirmed_Qty],T_Shipments[RM_Code],$A88,T_Shipments[Effective_Week],94)</f>
        <v/>
      </c>
      <c r="CR88">
        <f>SUMIFS(T_Shipments[Confirmed_Qty],T_Shipments[RM_Code],$A88,T_Shipments[Effective_Week],95)</f>
        <v/>
      </c>
      <c r="CS88">
        <f>SUMIFS(T_Shipments[Confirmed_Qty],T_Shipments[RM_Code],$A88,T_Shipments[Effective_Week],96)</f>
        <v/>
      </c>
      <c r="CT88">
        <f>SUMIFS(T_Shipments[Confirmed_Qty],T_Shipments[RM_Code],$A88,T_Shipments[Effective_Week],97)</f>
        <v/>
      </c>
      <c r="CU88">
        <f>SUMIFS(T_Shipments[Confirmed_Qty],T_Shipments[RM_Code],$A88,T_Shipments[Effective_Week],98)</f>
        <v/>
      </c>
      <c r="CV88">
        <f>SUMIFS(T_Shipments[Confirmed_Qty],T_Shipments[RM_Code],$A88,T_Shipments[Effective_Week],99)</f>
        <v/>
      </c>
      <c r="CW88">
        <f>SUMIFS(T_Shipments[Confirmed_Qty],T_Shipments[RM_Code],$A88,T_Shipments[Effective_Week],100)</f>
        <v/>
      </c>
      <c r="CX88">
        <f>SUMIFS(T_Shipments[Confirmed_Qty],T_Shipments[RM_Code],$A88,T_Shipments[Effective_Week],101)</f>
        <v/>
      </c>
      <c r="CY88">
        <f>SUMIFS(T_Shipments[Confirmed_Qty],T_Shipments[RM_Code],$A88,T_Shipments[Effective_Week],102)</f>
        <v/>
      </c>
      <c r="CZ88">
        <f>SUMIFS(T_Shipments[Confirmed_Qty],T_Shipments[RM_Code],$A88,T_Shipments[Effective_Week],103)</f>
        <v/>
      </c>
      <c r="DA88">
        <f>SUMIFS(T_Shipments[Confirmed_Qty],T_Shipments[RM_Code],$A88,T_Shipments[Effective_Week],104)</f>
        <v/>
      </c>
    </row>
    <row r="89">
      <c r="A89" t="inlineStr">
        <is>
          <t>CHEM-1460</t>
        </is>
      </c>
      <c r="B89">
        <f>SUMIFS(T_Shipments[Confirmed_Qty],T_Shipments[RM_Code],$A89,T_Shipments[Effective_Week],1)</f>
        <v/>
      </c>
      <c r="C89">
        <f>SUMIFS(T_Shipments[Confirmed_Qty],T_Shipments[RM_Code],$A89,T_Shipments[Effective_Week],2)</f>
        <v/>
      </c>
      <c r="D89">
        <f>SUMIFS(T_Shipments[Confirmed_Qty],T_Shipments[RM_Code],$A89,T_Shipments[Effective_Week],3)</f>
        <v/>
      </c>
      <c r="E89">
        <f>SUMIFS(T_Shipments[Confirmed_Qty],T_Shipments[RM_Code],$A89,T_Shipments[Effective_Week],4)</f>
        <v/>
      </c>
      <c r="F89">
        <f>SUMIFS(T_Shipments[Confirmed_Qty],T_Shipments[RM_Code],$A89,T_Shipments[Effective_Week],5)</f>
        <v/>
      </c>
      <c r="G89">
        <f>SUMIFS(T_Shipments[Confirmed_Qty],T_Shipments[RM_Code],$A89,T_Shipments[Effective_Week],6)</f>
        <v/>
      </c>
      <c r="H89">
        <f>SUMIFS(T_Shipments[Confirmed_Qty],T_Shipments[RM_Code],$A89,T_Shipments[Effective_Week],7)</f>
        <v/>
      </c>
      <c r="I89">
        <f>SUMIFS(T_Shipments[Confirmed_Qty],T_Shipments[RM_Code],$A89,T_Shipments[Effective_Week],8)</f>
        <v/>
      </c>
      <c r="J89">
        <f>SUMIFS(T_Shipments[Confirmed_Qty],T_Shipments[RM_Code],$A89,T_Shipments[Effective_Week],9)</f>
        <v/>
      </c>
      <c r="K89">
        <f>SUMIFS(T_Shipments[Confirmed_Qty],T_Shipments[RM_Code],$A89,T_Shipments[Effective_Week],10)</f>
        <v/>
      </c>
      <c r="L89">
        <f>SUMIFS(T_Shipments[Confirmed_Qty],T_Shipments[RM_Code],$A89,T_Shipments[Effective_Week],11)</f>
        <v/>
      </c>
      <c r="M89">
        <f>SUMIFS(T_Shipments[Confirmed_Qty],T_Shipments[RM_Code],$A89,T_Shipments[Effective_Week],12)</f>
        <v/>
      </c>
      <c r="N89">
        <f>SUMIFS(T_Shipments[Confirmed_Qty],T_Shipments[RM_Code],$A89,T_Shipments[Effective_Week],13)</f>
        <v/>
      </c>
      <c r="O89">
        <f>SUMIFS(T_Shipments[Confirmed_Qty],T_Shipments[RM_Code],$A89,T_Shipments[Effective_Week],14)</f>
        <v/>
      </c>
      <c r="P89">
        <f>SUMIFS(T_Shipments[Confirmed_Qty],T_Shipments[RM_Code],$A89,T_Shipments[Effective_Week],15)</f>
        <v/>
      </c>
      <c r="Q89">
        <f>SUMIFS(T_Shipments[Confirmed_Qty],T_Shipments[RM_Code],$A89,T_Shipments[Effective_Week],16)</f>
        <v/>
      </c>
      <c r="R89">
        <f>SUMIFS(T_Shipments[Confirmed_Qty],T_Shipments[RM_Code],$A89,T_Shipments[Effective_Week],17)</f>
        <v/>
      </c>
      <c r="S89">
        <f>SUMIFS(T_Shipments[Confirmed_Qty],T_Shipments[RM_Code],$A89,T_Shipments[Effective_Week],18)</f>
        <v/>
      </c>
      <c r="T89">
        <f>SUMIFS(T_Shipments[Confirmed_Qty],T_Shipments[RM_Code],$A89,T_Shipments[Effective_Week],19)</f>
        <v/>
      </c>
      <c r="U89">
        <f>SUMIFS(T_Shipments[Confirmed_Qty],T_Shipments[RM_Code],$A89,T_Shipments[Effective_Week],20)</f>
        <v/>
      </c>
      <c r="V89">
        <f>SUMIFS(T_Shipments[Confirmed_Qty],T_Shipments[RM_Code],$A89,T_Shipments[Effective_Week],21)</f>
        <v/>
      </c>
      <c r="W89">
        <f>SUMIFS(T_Shipments[Confirmed_Qty],T_Shipments[RM_Code],$A89,T_Shipments[Effective_Week],22)</f>
        <v/>
      </c>
      <c r="X89">
        <f>SUMIFS(T_Shipments[Confirmed_Qty],T_Shipments[RM_Code],$A89,T_Shipments[Effective_Week],23)</f>
        <v/>
      </c>
      <c r="Y89">
        <f>SUMIFS(T_Shipments[Confirmed_Qty],T_Shipments[RM_Code],$A89,T_Shipments[Effective_Week],24)</f>
        <v/>
      </c>
      <c r="Z89">
        <f>SUMIFS(T_Shipments[Confirmed_Qty],T_Shipments[RM_Code],$A89,T_Shipments[Effective_Week],25)</f>
        <v/>
      </c>
      <c r="AA89">
        <f>SUMIFS(T_Shipments[Confirmed_Qty],T_Shipments[RM_Code],$A89,T_Shipments[Effective_Week],26)</f>
        <v/>
      </c>
      <c r="AB89">
        <f>SUMIFS(T_Shipments[Confirmed_Qty],T_Shipments[RM_Code],$A89,T_Shipments[Effective_Week],27)</f>
        <v/>
      </c>
      <c r="AC89">
        <f>SUMIFS(T_Shipments[Confirmed_Qty],T_Shipments[RM_Code],$A89,T_Shipments[Effective_Week],28)</f>
        <v/>
      </c>
      <c r="AD89">
        <f>SUMIFS(T_Shipments[Confirmed_Qty],T_Shipments[RM_Code],$A89,T_Shipments[Effective_Week],29)</f>
        <v/>
      </c>
      <c r="AE89">
        <f>SUMIFS(T_Shipments[Confirmed_Qty],T_Shipments[RM_Code],$A89,T_Shipments[Effective_Week],30)</f>
        <v/>
      </c>
      <c r="AF89">
        <f>SUMIFS(T_Shipments[Confirmed_Qty],T_Shipments[RM_Code],$A89,T_Shipments[Effective_Week],31)</f>
        <v/>
      </c>
      <c r="AG89">
        <f>SUMIFS(T_Shipments[Confirmed_Qty],T_Shipments[RM_Code],$A89,T_Shipments[Effective_Week],32)</f>
        <v/>
      </c>
      <c r="AH89">
        <f>SUMIFS(T_Shipments[Confirmed_Qty],T_Shipments[RM_Code],$A89,T_Shipments[Effective_Week],33)</f>
        <v/>
      </c>
      <c r="AI89">
        <f>SUMIFS(T_Shipments[Confirmed_Qty],T_Shipments[RM_Code],$A89,T_Shipments[Effective_Week],34)</f>
        <v/>
      </c>
      <c r="AJ89">
        <f>SUMIFS(T_Shipments[Confirmed_Qty],T_Shipments[RM_Code],$A89,T_Shipments[Effective_Week],35)</f>
        <v/>
      </c>
      <c r="AK89">
        <f>SUMIFS(T_Shipments[Confirmed_Qty],T_Shipments[RM_Code],$A89,T_Shipments[Effective_Week],36)</f>
        <v/>
      </c>
      <c r="AL89">
        <f>SUMIFS(T_Shipments[Confirmed_Qty],T_Shipments[RM_Code],$A89,T_Shipments[Effective_Week],37)</f>
        <v/>
      </c>
      <c r="AM89">
        <f>SUMIFS(T_Shipments[Confirmed_Qty],T_Shipments[RM_Code],$A89,T_Shipments[Effective_Week],38)</f>
        <v/>
      </c>
      <c r="AN89">
        <f>SUMIFS(T_Shipments[Confirmed_Qty],T_Shipments[RM_Code],$A89,T_Shipments[Effective_Week],39)</f>
        <v/>
      </c>
      <c r="AO89">
        <f>SUMIFS(T_Shipments[Confirmed_Qty],T_Shipments[RM_Code],$A89,T_Shipments[Effective_Week],40)</f>
        <v/>
      </c>
      <c r="AP89">
        <f>SUMIFS(T_Shipments[Confirmed_Qty],T_Shipments[RM_Code],$A89,T_Shipments[Effective_Week],41)</f>
        <v/>
      </c>
      <c r="AQ89">
        <f>SUMIFS(T_Shipments[Confirmed_Qty],T_Shipments[RM_Code],$A89,T_Shipments[Effective_Week],42)</f>
        <v/>
      </c>
      <c r="AR89">
        <f>SUMIFS(T_Shipments[Confirmed_Qty],T_Shipments[RM_Code],$A89,T_Shipments[Effective_Week],43)</f>
        <v/>
      </c>
      <c r="AS89">
        <f>SUMIFS(T_Shipments[Confirmed_Qty],T_Shipments[RM_Code],$A89,T_Shipments[Effective_Week],44)</f>
        <v/>
      </c>
      <c r="AT89">
        <f>SUMIFS(T_Shipments[Confirmed_Qty],T_Shipments[RM_Code],$A89,T_Shipments[Effective_Week],45)</f>
        <v/>
      </c>
      <c r="AU89">
        <f>SUMIFS(T_Shipments[Confirmed_Qty],T_Shipments[RM_Code],$A89,T_Shipments[Effective_Week],46)</f>
        <v/>
      </c>
      <c r="AV89">
        <f>SUMIFS(T_Shipments[Confirmed_Qty],T_Shipments[RM_Code],$A89,T_Shipments[Effective_Week],47)</f>
        <v/>
      </c>
      <c r="AW89">
        <f>SUMIFS(T_Shipments[Confirmed_Qty],T_Shipments[RM_Code],$A89,T_Shipments[Effective_Week],48)</f>
        <v/>
      </c>
      <c r="AX89">
        <f>SUMIFS(T_Shipments[Confirmed_Qty],T_Shipments[RM_Code],$A89,T_Shipments[Effective_Week],49)</f>
        <v/>
      </c>
      <c r="AY89">
        <f>SUMIFS(T_Shipments[Confirmed_Qty],T_Shipments[RM_Code],$A89,T_Shipments[Effective_Week],50)</f>
        <v/>
      </c>
      <c r="AZ89">
        <f>SUMIFS(T_Shipments[Confirmed_Qty],T_Shipments[RM_Code],$A89,T_Shipments[Effective_Week],51)</f>
        <v/>
      </c>
      <c r="BA89">
        <f>SUMIFS(T_Shipments[Confirmed_Qty],T_Shipments[RM_Code],$A89,T_Shipments[Effective_Week],52)</f>
        <v/>
      </c>
      <c r="BB89">
        <f>SUMIFS(T_Shipments[Confirmed_Qty],T_Shipments[RM_Code],$A89,T_Shipments[Effective_Week],53)</f>
        <v/>
      </c>
      <c r="BC89">
        <f>SUMIFS(T_Shipments[Confirmed_Qty],T_Shipments[RM_Code],$A89,T_Shipments[Effective_Week],54)</f>
        <v/>
      </c>
      <c r="BD89">
        <f>SUMIFS(T_Shipments[Confirmed_Qty],T_Shipments[RM_Code],$A89,T_Shipments[Effective_Week],55)</f>
        <v/>
      </c>
      <c r="BE89">
        <f>SUMIFS(T_Shipments[Confirmed_Qty],T_Shipments[RM_Code],$A89,T_Shipments[Effective_Week],56)</f>
        <v/>
      </c>
      <c r="BF89">
        <f>SUMIFS(T_Shipments[Confirmed_Qty],T_Shipments[RM_Code],$A89,T_Shipments[Effective_Week],57)</f>
        <v/>
      </c>
      <c r="BG89">
        <f>SUMIFS(T_Shipments[Confirmed_Qty],T_Shipments[RM_Code],$A89,T_Shipments[Effective_Week],58)</f>
        <v/>
      </c>
      <c r="BH89">
        <f>SUMIFS(T_Shipments[Confirmed_Qty],T_Shipments[RM_Code],$A89,T_Shipments[Effective_Week],59)</f>
        <v/>
      </c>
      <c r="BI89">
        <f>SUMIFS(T_Shipments[Confirmed_Qty],T_Shipments[RM_Code],$A89,T_Shipments[Effective_Week],60)</f>
        <v/>
      </c>
      <c r="BJ89">
        <f>SUMIFS(T_Shipments[Confirmed_Qty],T_Shipments[RM_Code],$A89,T_Shipments[Effective_Week],61)</f>
        <v/>
      </c>
      <c r="BK89">
        <f>SUMIFS(T_Shipments[Confirmed_Qty],T_Shipments[RM_Code],$A89,T_Shipments[Effective_Week],62)</f>
        <v/>
      </c>
      <c r="BL89">
        <f>SUMIFS(T_Shipments[Confirmed_Qty],T_Shipments[RM_Code],$A89,T_Shipments[Effective_Week],63)</f>
        <v/>
      </c>
      <c r="BM89">
        <f>SUMIFS(T_Shipments[Confirmed_Qty],T_Shipments[RM_Code],$A89,T_Shipments[Effective_Week],64)</f>
        <v/>
      </c>
      <c r="BN89">
        <f>SUMIFS(T_Shipments[Confirmed_Qty],T_Shipments[RM_Code],$A89,T_Shipments[Effective_Week],65)</f>
        <v/>
      </c>
      <c r="BO89">
        <f>SUMIFS(T_Shipments[Confirmed_Qty],T_Shipments[RM_Code],$A89,T_Shipments[Effective_Week],66)</f>
        <v/>
      </c>
      <c r="BP89">
        <f>SUMIFS(T_Shipments[Confirmed_Qty],T_Shipments[RM_Code],$A89,T_Shipments[Effective_Week],67)</f>
        <v/>
      </c>
      <c r="BQ89">
        <f>SUMIFS(T_Shipments[Confirmed_Qty],T_Shipments[RM_Code],$A89,T_Shipments[Effective_Week],68)</f>
        <v/>
      </c>
      <c r="BR89">
        <f>SUMIFS(T_Shipments[Confirmed_Qty],T_Shipments[RM_Code],$A89,T_Shipments[Effective_Week],69)</f>
        <v/>
      </c>
      <c r="BS89">
        <f>SUMIFS(T_Shipments[Confirmed_Qty],T_Shipments[RM_Code],$A89,T_Shipments[Effective_Week],70)</f>
        <v/>
      </c>
      <c r="BT89">
        <f>SUMIFS(T_Shipments[Confirmed_Qty],T_Shipments[RM_Code],$A89,T_Shipments[Effective_Week],71)</f>
        <v/>
      </c>
      <c r="BU89">
        <f>SUMIFS(T_Shipments[Confirmed_Qty],T_Shipments[RM_Code],$A89,T_Shipments[Effective_Week],72)</f>
        <v/>
      </c>
      <c r="BV89">
        <f>SUMIFS(T_Shipments[Confirmed_Qty],T_Shipments[RM_Code],$A89,T_Shipments[Effective_Week],73)</f>
        <v/>
      </c>
      <c r="BW89">
        <f>SUMIFS(T_Shipments[Confirmed_Qty],T_Shipments[RM_Code],$A89,T_Shipments[Effective_Week],74)</f>
        <v/>
      </c>
      <c r="BX89">
        <f>SUMIFS(T_Shipments[Confirmed_Qty],T_Shipments[RM_Code],$A89,T_Shipments[Effective_Week],75)</f>
        <v/>
      </c>
      <c r="BY89">
        <f>SUMIFS(T_Shipments[Confirmed_Qty],T_Shipments[RM_Code],$A89,T_Shipments[Effective_Week],76)</f>
        <v/>
      </c>
      <c r="BZ89">
        <f>SUMIFS(T_Shipments[Confirmed_Qty],T_Shipments[RM_Code],$A89,T_Shipments[Effective_Week],77)</f>
        <v/>
      </c>
      <c r="CA89">
        <f>SUMIFS(T_Shipments[Confirmed_Qty],T_Shipments[RM_Code],$A89,T_Shipments[Effective_Week],78)</f>
        <v/>
      </c>
      <c r="CB89">
        <f>SUMIFS(T_Shipments[Confirmed_Qty],T_Shipments[RM_Code],$A89,T_Shipments[Effective_Week],79)</f>
        <v/>
      </c>
      <c r="CC89">
        <f>SUMIFS(T_Shipments[Confirmed_Qty],T_Shipments[RM_Code],$A89,T_Shipments[Effective_Week],80)</f>
        <v/>
      </c>
      <c r="CD89">
        <f>SUMIFS(T_Shipments[Confirmed_Qty],T_Shipments[RM_Code],$A89,T_Shipments[Effective_Week],81)</f>
        <v/>
      </c>
      <c r="CE89">
        <f>SUMIFS(T_Shipments[Confirmed_Qty],T_Shipments[RM_Code],$A89,T_Shipments[Effective_Week],82)</f>
        <v/>
      </c>
      <c r="CF89">
        <f>SUMIFS(T_Shipments[Confirmed_Qty],T_Shipments[RM_Code],$A89,T_Shipments[Effective_Week],83)</f>
        <v/>
      </c>
      <c r="CG89">
        <f>SUMIFS(T_Shipments[Confirmed_Qty],T_Shipments[RM_Code],$A89,T_Shipments[Effective_Week],84)</f>
        <v/>
      </c>
      <c r="CH89">
        <f>SUMIFS(T_Shipments[Confirmed_Qty],T_Shipments[RM_Code],$A89,T_Shipments[Effective_Week],85)</f>
        <v/>
      </c>
      <c r="CI89">
        <f>SUMIFS(T_Shipments[Confirmed_Qty],T_Shipments[RM_Code],$A89,T_Shipments[Effective_Week],86)</f>
        <v/>
      </c>
      <c r="CJ89">
        <f>SUMIFS(T_Shipments[Confirmed_Qty],T_Shipments[RM_Code],$A89,T_Shipments[Effective_Week],87)</f>
        <v/>
      </c>
      <c r="CK89">
        <f>SUMIFS(T_Shipments[Confirmed_Qty],T_Shipments[RM_Code],$A89,T_Shipments[Effective_Week],88)</f>
        <v/>
      </c>
      <c r="CL89">
        <f>SUMIFS(T_Shipments[Confirmed_Qty],T_Shipments[RM_Code],$A89,T_Shipments[Effective_Week],89)</f>
        <v/>
      </c>
      <c r="CM89">
        <f>SUMIFS(T_Shipments[Confirmed_Qty],T_Shipments[RM_Code],$A89,T_Shipments[Effective_Week],90)</f>
        <v/>
      </c>
      <c r="CN89">
        <f>SUMIFS(T_Shipments[Confirmed_Qty],T_Shipments[RM_Code],$A89,T_Shipments[Effective_Week],91)</f>
        <v/>
      </c>
      <c r="CO89">
        <f>SUMIFS(T_Shipments[Confirmed_Qty],T_Shipments[RM_Code],$A89,T_Shipments[Effective_Week],92)</f>
        <v/>
      </c>
      <c r="CP89">
        <f>SUMIFS(T_Shipments[Confirmed_Qty],T_Shipments[RM_Code],$A89,T_Shipments[Effective_Week],93)</f>
        <v/>
      </c>
      <c r="CQ89">
        <f>SUMIFS(T_Shipments[Confirmed_Qty],T_Shipments[RM_Code],$A89,T_Shipments[Effective_Week],94)</f>
        <v/>
      </c>
      <c r="CR89">
        <f>SUMIFS(T_Shipments[Confirmed_Qty],T_Shipments[RM_Code],$A89,T_Shipments[Effective_Week],95)</f>
        <v/>
      </c>
      <c r="CS89">
        <f>SUMIFS(T_Shipments[Confirmed_Qty],T_Shipments[RM_Code],$A89,T_Shipments[Effective_Week],96)</f>
        <v/>
      </c>
      <c r="CT89">
        <f>SUMIFS(T_Shipments[Confirmed_Qty],T_Shipments[RM_Code],$A89,T_Shipments[Effective_Week],97)</f>
        <v/>
      </c>
      <c r="CU89">
        <f>SUMIFS(T_Shipments[Confirmed_Qty],T_Shipments[RM_Code],$A89,T_Shipments[Effective_Week],98)</f>
        <v/>
      </c>
      <c r="CV89">
        <f>SUMIFS(T_Shipments[Confirmed_Qty],T_Shipments[RM_Code],$A89,T_Shipments[Effective_Week],99)</f>
        <v/>
      </c>
      <c r="CW89">
        <f>SUMIFS(T_Shipments[Confirmed_Qty],T_Shipments[RM_Code],$A89,T_Shipments[Effective_Week],100)</f>
        <v/>
      </c>
      <c r="CX89">
        <f>SUMIFS(T_Shipments[Confirmed_Qty],T_Shipments[RM_Code],$A89,T_Shipments[Effective_Week],101)</f>
        <v/>
      </c>
      <c r="CY89">
        <f>SUMIFS(T_Shipments[Confirmed_Qty],T_Shipments[RM_Code],$A89,T_Shipments[Effective_Week],102)</f>
        <v/>
      </c>
      <c r="CZ89">
        <f>SUMIFS(T_Shipments[Confirmed_Qty],T_Shipments[RM_Code],$A89,T_Shipments[Effective_Week],103)</f>
        <v/>
      </c>
      <c r="DA89">
        <f>SUMIFS(T_Shipments[Confirmed_Qty],T_Shipments[RM_Code],$A89,T_Shipments[Effective_Week],104)</f>
        <v/>
      </c>
    </row>
    <row r="90">
      <c r="A90" t="inlineStr">
        <is>
          <t>CHEM-1490</t>
        </is>
      </c>
      <c r="B90">
        <f>SUMIFS(T_Shipments[Confirmed_Qty],T_Shipments[RM_Code],$A90,T_Shipments[Effective_Week],1)</f>
        <v/>
      </c>
      <c r="C90">
        <f>SUMIFS(T_Shipments[Confirmed_Qty],T_Shipments[RM_Code],$A90,T_Shipments[Effective_Week],2)</f>
        <v/>
      </c>
      <c r="D90">
        <f>SUMIFS(T_Shipments[Confirmed_Qty],T_Shipments[RM_Code],$A90,T_Shipments[Effective_Week],3)</f>
        <v/>
      </c>
      <c r="E90">
        <f>SUMIFS(T_Shipments[Confirmed_Qty],T_Shipments[RM_Code],$A90,T_Shipments[Effective_Week],4)</f>
        <v/>
      </c>
      <c r="F90">
        <f>SUMIFS(T_Shipments[Confirmed_Qty],T_Shipments[RM_Code],$A90,T_Shipments[Effective_Week],5)</f>
        <v/>
      </c>
      <c r="G90">
        <f>SUMIFS(T_Shipments[Confirmed_Qty],T_Shipments[RM_Code],$A90,T_Shipments[Effective_Week],6)</f>
        <v/>
      </c>
      <c r="H90">
        <f>SUMIFS(T_Shipments[Confirmed_Qty],T_Shipments[RM_Code],$A90,T_Shipments[Effective_Week],7)</f>
        <v/>
      </c>
      <c r="I90">
        <f>SUMIFS(T_Shipments[Confirmed_Qty],T_Shipments[RM_Code],$A90,T_Shipments[Effective_Week],8)</f>
        <v/>
      </c>
      <c r="J90">
        <f>SUMIFS(T_Shipments[Confirmed_Qty],T_Shipments[RM_Code],$A90,T_Shipments[Effective_Week],9)</f>
        <v/>
      </c>
      <c r="K90">
        <f>SUMIFS(T_Shipments[Confirmed_Qty],T_Shipments[RM_Code],$A90,T_Shipments[Effective_Week],10)</f>
        <v/>
      </c>
      <c r="L90">
        <f>SUMIFS(T_Shipments[Confirmed_Qty],T_Shipments[RM_Code],$A90,T_Shipments[Effective_Week],11)</f>
        <v/>
      </c>
      <c r="M90">
        <f>SUMIFS(T_Shipments[Confirmed_Qty],T_Shipments[RM_Code],$A90,T_Shipments[Effective_Week],12)</f>
        <v/>
      </c>
      <c r="N90">
        <f>SUMIFS(T_Shipments[Confirmed_Qty],T_Shipments[RM_Code],$A90,T_Shipments[Effective_Week],13)</f>
        <v/>
      </c>
      <c r="O90">
        <f>SUMIFS(T_Shipments[Confirmed_Qty],T_Shipments[RM_Code],$A90,T_Shipments[Effective_Week],14)</f>
        <v/>
      </c>
      <c r="P90">
        <f>SUMIFS(T_Shipments[Confirmed_Qty],T_Shipments[RM_Code],$A90,T_Shipments[Effective_Week],15)</f>
        <v/>
      </c>
      <c r="Q90">
        <f>SUMIFS(T_Shipments[Confirmed_Qty],T_Shipments[RM_Code],$A90,T_Shipments[Effective_Week],16)</f>
        <v/>
      </c>
      <c r="R90">
        <f>SUMIFS(T_Shipments[Confirmed_Qty],T_Shipments[RM_Code],$A90,T_Shipments[Effective_Week],17)</f>
        <v/>
      </c>
      <c r="S90">
        <f>SUMIFS(T_Shipments[Confirmed_Qty],T_Shipments[RM_Code],$A90,T_Shipments[Effective_Week],18)</f>
        <v/>
      </c>
      <c r="T90">
        <f>SUMIFS(T_Shipments[Confirmed_Qty],T_Shipments[RM_Code],$A90,T_Shipments[Effective_Week],19)</f>
        <v/>
      </c>
      <c r="U90">
        <f>SUMIFS(T_Shipments[Confirmed_Qty],T_Shipments[RM_Code],$A90,T_Shipments[Effective_Week],20)</f>
        <v/>
      </c>
      <c r="V90">
        <f>SUMIFS(T_Shipments[Confirmed_Qty],T_Shipments[RM_Code],$A90,T_Shipments[Effective_Week],21)</f>
        <v/>
      </c>
      <c r="W90">
        <f>SUMIFS(T_Shipments[Confirmed_Qty],T_Shipments[RM_Code],$A90,T_Shipments[Effective_Week],22)</f>
        <v/>
      </c>
      <c r="X90">
        <f>SUMIFS(T_Shipments[Confirmed_Qty],T_Shipments[RM_Code],$A90,T_Shipments[Effective_Week],23)</f>
        <v/>
      </c>
      <c r="Y90">
        <f>SUMIFS(T_Shipments[Confirmed_Qty],T_Shipments[RM_Code],$A90,T_Shipments[Effective_Week],24)</f>
        <v/>
      </c>
      <c r="Z90">
        <f>SUMIFS(T_Shipments[Confirmed_Qty],T_Shipments[RM_Code],$A90,T_Shipments[Effective_Week],25)</f>
        <v/>
      </c>
      <c r="AA90">
        <f>SUMIFS(T_Shipments[Confirmed_Qty],T_Shipments[RM_Code],$A90,T_Shipments[Effective_Week],26)</f>
        <v/>
      </c>
      <c r="AB90">
        <f>SUMIFS(T_Shipments[Confirmed_Qty],T_Shipments[RM_Code],$A90,T_Shipments[Effective_Week],27)</f>
        <v/>
      </c>
      <c r="AC90">
        <f>SUMIFS(T_Shipments[Confirmed_Qty],T_Shipments[RM_Code],$A90,T_Shipments[Effective_Week],28)</f>
        <v/>
      </c>
      <c r="AD90">
        <f>SUMIFS(T_Shipments[Confirmed_Qty],T_Shipments[RM_Code],$A90,T_Shipments[Effective_Week],29)</f>
        <v/>
      </c>
      <c r="AE90">
        <f>SUMIFS(T_Shipments[Confirmed_Qty],T_Shipments[RM_Code],$A90,T_Shipments[Effective_Week],30)</f>
        <v/>
      </c>
      <c r="AF90">
        <f>SUMIFS(T_Shipments[Confirmed_Qty],T_Shipments[RM_Code],$A90,T_Shipments[Effective_Week],31)</f>
        <v/>
      </c>
      <c r="AG90">
        <f>SUMIFS(T_Shipments[Confirmed_Qty],T_Shipments[RM_Code],$A90,T_Shipments[Effective_Week],32)</f>
        <v/>
      </c>
      <c r="AH90">
        <f>SUMIFS(T_Shipments[Confirmed_Qty],T_Shipments[RM_Code],$A90,T_Shipments[Effective_Week],33)</f>
        <v/>
      </c>
      <c r="AI90">
        <f>SUMIFS(T_Shipments[Confirmed_Qty],T_Shipments[RM_Code],$A90,T_Shipments[Effective_Week],34)</f>
        <v/>
      </c>
      <c r="AJ90">
        <f>SUMIFS(T_Shipments[Confirmed_Qty],T_Shipments[RM_Code],$A90,T_Shipments[Effective_Week],35)</f>
        <v/>
      </c>
      <c r="AK90">
        <f>SUMIFS(T_Shipments[Confirmed_Qty],T_Shipments[RM_Code],$A90,T_Shipments[Effective_Week],36)</f>
        <v/>
      </c>
      <c r="AL90">
        <f>SUMIFS(T_Shipments[Confirmed_Qty],T_Shipments[RM_Code],$A90,T_Shipments[Effective_Week],37)</f>
        <v/>
      </c>
      <c r="AM90">
        <f>SUMIFS(T_Shipments[Confirmed_Qty],T_Shipments[RM_Code],$A90,T_Shipments[Effective_Week],38)</f>
        <v/>
      </c>
      <c r="AN90">
        <f>SUMIFS(T_Shipments[Confirmed_Qty],T_Shipments[RM_Code],$A90,T_Shipments[Effective_Week],39)</f>
        <v/>
      </c>
      <c r="AO90">
        <f>SUMIFS(T_Shipments[Confirmed_Qty],T_Shipments[RM_Code],$A90,T_Shipments[Effective_Week],40)</f>
        <v/>
      </c>
      <c r="AP90">
        <f>SUMIFS(T_Shipments[Confirmed_Qty],T_Shipments[RM_Code],$A90,T_Shipments[Effective_Week],41)</f>
        <v/>
      </c>
      <c r="AQ90">
        <f>SUMIFS(T_Shipments[Confirmed_Qty],T_Shipments[RM_Code],$A90,T_Shipments[Effective_Week],42)</f>
        <v/>
      </c>
      <c r="AR90">
        <f>SUMIFS(T_Shipments[Confirmed_Qty],T_Shipments[RM_Code],$A90,T_Shipments[Effective_Week],43)</f>
        <v/>
      </c>
      <c r="AS90">
        <f>SUMIFS(T_Shipments[Confirmed_Qty],T_Shipments[RM_Code],$A90,T_Shipments[Effective_Week],44)</f>
        <v/>
      </c>
      <c r="AT90">
        <f>SUMIFS(T_Shipments[Confirmed_Qty],T_Shipments[RM_Code],$A90,T_Shipments[Effective_Week],45)</f>
        <v/>
      </c>
      <c r="AU90">
        <f>SUMIFS(T_Shipments[Confirmed_Qty],T_Shipments[RM_Code],$A90,T_Shipments[Effective_Week],46)</f>
        <v/>
      </c>
      <c r="AV90">
        <f>SUMIFS(T_Shipments[Confirmed_Qty],T_Shipments[RM_Code],$A90,T_Shipments[Effective_Week],47)</f>
        <v/>
      </c>
      <c r="AW90">
        <f>SUMIFS(T_Shipments[Confirmed_Qty],T_Shipments[RM_Code],$A90,T_Shipments[Effective_Week],48)</f>
        <v/>
      </c>
      <c r="AX90">
        <f>SUMIFS(T_Shipments[Confirmed_Qty],T_Shipments[RM_Code],$A90,T_Shipments[Effective_Week],49)</f>
        <v/>
      </c>
      <c r="AY90">
        <f>SUMIFS(T_Shipments[Confirmed_Qty],T_Shipments[RM_Code],$A90,T_Shipments[Effective_Week],50)</f>
        <v/>
      </c>
      <c r="AZ90">
        <f>SUMIFS(T_Shipments[Confirmed_Qty],T_Shipments[RM_Code],$A90,T_Shipments[Effective_Week],51)</f>
        <v/>
      </c>
      <c r="BA90">
        <f>SUMIFS(T_Shipments[Confirmed_Qty],T_Shipments[RM_Code],$A90,T_Shipments[Effective_Week],52)</f>
        <v/>
      </c>
      <c r="BB90">
        <f>SUMIFS(T_Shipments[Confirmed_Qty],T_Shipments[RM_Code],$A90,T_Shipments[Effective_Week],53)</f>
        <v/>
      </c>
      <c r="BC90">
        <f>SUMIFS(T_Shipments[Confirmed_Qty],T_Shipments[RM_Code],$A90,T_Shipments[Effective_Week],54)</f>
        <v/>
      </c>
      <c r="BD90">
        <f>SUMIFS(T_Shipments[Confirmed_Qty],T_Shipments[RM_Code],$A90,T_Shipments[Effective_Week],55)</f>
        <v/>
      </c>
      <c r="BE90">
        <f>SUMIFS(T_Shipments[Confirmed_Qty],T_Shipments[RM_Code],$A90,T_Shipments[Effective_Week],56)</f>
        <v/>
      </c>
      <c r="BF90">
        <f>SUMIFS(T_Shipments[Confirmed_Qty],T_Shipments[RM_Code],$A90,T_Shipments[Effective_Week],57)</f>
        <v/>
      </c>
      <c r="BG90">
        <f>SUMIFS(T_Shipments[Confirmed_Qty],T_Shipments[RM_Code],$A90,T_Shipments[Effective_Week],58)</f>
        <v/>
      </c>
      <c r="BH90">
        <f>SUMIFS(T_Shipments[Confirmed_Qty],T_Shipments[RM_Code],$A90,T_Shipments[Effective_Week],59)</f>
        <v/>
      </c>
      <c r="BI90">
        <f>SUMIFS(T_Shipments[Confirmed_Qty],T_Shipments[RM_Code],$A90,T_Shipments[Effective_Week],60)</f>
        <v/>
      </c>
      <c r="BJ90">
        <f>SUMIFS(T_Shipments[Confirmed_Qty],T_Shipments[RM_Code],$A90,T_Shipments[Effective_Week],61)</f>
        <v/>
      </c>
      <c r="BK90">
        <f>SUMIFS(T_Shipments[Confirmed_Qty],T_Shipments[RM_Code],$A90,T_Shipments[Effective_Week],62)</f>
        <v/>
      </c>
      <c r="BL90">
        <f>SUMIFS(T_Shipments[Confirmed_Qty],T_Shipments[RM_Code],$A90,T_Shipments[Effective_Week],63)</f>
        <v/>
      </c>
      <c r="BM90">
        <f>SUMIFS(T_Shipments[Confirmed_Qty],T_Shipments[RM_Code],$A90,T_Shipments[Effective_Week],64)</f>
        <v/>
      </c>
      <c r="BN90">
        <f>SUMIFS(T_Shipments[Confirmed_Qty],T_Shipments[RM_Code],$A90,T_Shipments[Effective_Week],65)</f>
        <v/>
      </c>
      <c r="BO90">
        <f>SUMIFS(T_Shipments[Confirmed_Qty],T_Shipments[RM_Code],$A90,T_Shipments[Effective_Week],66)</f>
        <v/>
      </c>
      <c r="BP90">
        <f>SUMIFS(T_Shipments[Confirmed_Qty],T_Shipments[RM_Code],$A90,T_Shipments[Effective_Week],67)</f>
        <v/>
      </c>
      <c r="BQ90">
        <f>SUMIFS(T_Shipments[Confirmed_Qty],T_Shipments[RM_Code],$A90,T_Shipments[Effective_Week],68)</f>
        <v/>
      </c>
      <c r="BR90">
        <f>SUMIFS(T_Shipments[Confirmed_Qty],T_Shipments[RM_Code],$A90,T_Shipments[Effective_Week],69)</f>
        <v/>
      </c>
      <c r="BS90">
        <f>SUMIFS(T_Shipments[Confirmed_Qty],T_Shipments[RM_Code],$A90,T_Shipments[Effective_Week],70)</f>
        <v/>
      </c>
      <c r="BT90">
        <f>SUMIFS(T_Shipments[Confirmed_Qty],T_Shipments[RM_Code],$A90,T_Shipments[Effective_Week],71)</f>
        <v/>
      </c>
      <c r="BU90">
        <f>SUMIFS(T_Shipments[Confirmed_Qty],T_Shipments[RM_Code],$A90,T_Shipments[Effective_Week],72)</f>
        <v/>
      </c>
      <c r="BV90">
        <f>SUMIFS(T_Shipments[Confirmed_Qty],T_Shipments[RM_Code],$A90,T_Shipments[Effective_Week],73)</f>
        <v/>
      </c>
      <c r="BW90">
        <f>SUMIFS(T_Shipments[Confirmed_Qty],T_Shipments[RM_Code],$A90,T_Shipments[Effective_Week],74)</f>
        <v/>
      </c>
      <c r="BX90">
        <f>SUMIFS(T_Shipments[Confirmed_Qty],T_Shipments[RM_Code],$A90,T_Shipments[Effective_Week],75)</f>
        <v/>
      </c>
      <c r="BY90">
        <f>SUMIFS(T_Shipments[Confirmed_Qty],T_Shipments[RM_Code],$A90,T_Shipments[Effective_Week],76)</f>
        <v/>
      </c>
      <c r="BZ90">
        <f>SUMIFS(T_Shipments[Confirmed_Qty],T_Shipments[RM_Code],$A90,T_Shipments[Effective_Week],77)</f>
        <v/>
      </c>
      <c r="CA90">
        <f>SUMIFS(T_Shipments[Confirmed_Qty],T_Shipments[RM_Code],$A90,T_Shipments[Effective_Week],78)</f>
        <v/>
      </c>
      <c r="CB90">
        <f>SUMIFS(T_Shipments[Confirmed_Qty],T_Shipments[RM_Code],$A90,T_Shipments[Effective_Week],79)</f>
        <v/>
      </c>
      <c r="CC90">
        <f>SUMIFS(T_Shipments[Confirmed_Qty],T_Shipments[RM_Code],$A90,T_Shipments[Effective_Week],80)</f>
        <v/>
      </c>
      <c r="CD90">
        <f>SUMIFS(T_Shipments[Confirmed_Qty],T_Shipments[RM_Code],$A90,T_Shipments[Effective_Week],81)</f>
        <v/>
      </c>
      <c r="CE90">
        <f>SUMIFS(T_Shipments[Confirmed_Qty],T_Shipments[RM_Code],$A90,T_Shipments[Effective_Week],82)</f>
        <v/>
      </c>
      <c r="CF90">
        <f>SUMIFS(T_Shipments[Confirmed_Qty],T_Shipments[RM_Code],$A90,T_Shipments[Effective_Week],83)</f>
        <v/>
      </c>
      <c r="CG90">
        <f>SUMIFS(T_Shipments[Confirmed_Qty],T_Shipments[RM_Code],$A90,T_Shipments[Effective_Week],84)</f>
        <v/>
      </c>
      <c r="CH90">
        <f>SUMIFS(T_Shipments[Confirmed_Qty],T_Shipments[RM_Code],$A90,T_Shipments[Effective_Week],85)</f>
        <v/>
      </c>
      <c r="CI90">
        <f>SUMIFS(T_Shipments[Confirmed_Qty],T_Shipments[RM_Code],$A90,T_Shipments[Effective_Week],86)</f>
        <v/>
      </c>
      <c r="CJ90">
        <f>SUMIFS(T_Shipments[Confirmed_Qty],T_Shipments[RM_Code],$A90,T_Shipments[Effective_Week],87)</f>
        <v/>
      </c>
      <c r="CK90">
        <f>SUMIFS(T_Shipments[Confirmed_Qty],T_Shipments[RM_Code],$A90,T_Shipments[Effective_Week],88)</f>
        <v/>
      </c>
      <c r="CL90">
        <f>SUMIFS(T_Shipments[Confirmed_Qty],T_Shipments[RM_Code],$A90,T_Shipments[Effective_Week],89)</f>
        <v/>
      </c>
      <c r="CM90">
        <f>SUMIFS(T_Shipments[Confirmed_Qty],T_Shipments[RM_Code],$A90,T_Shipments[Effective_Week],90)</f>
        <v/>
      </c>
      <c r="CN90">
        <f>SUMIFS(T_Shipments[Confirmed_Qty],T_Shipments[RM_Code],$A90,T_Shipments[Effective_Week],91)</f>
        <v/>
      </c>
      <c r="CO90">
        <f>SUMIFS(T_Shipments[Confirmed_Qty],T_Shipments[RM_Code],$A90,T_Shipments[Effective_Week],92)</f>
        <v/>
      </c>
      <c r="CP90">
        <f>SUMIFS(T_Shipments[Confirmed_Qty],T_Shipments[RM_Code],$A90,T_Shipments[Effective_Week],93)</f>
        <v/>
      </c>
      <c r="CQ90">
        <f>SUMIFS(T_Shipments[Confirmed_Qty],T_Shipments[RM_Code],$A90,T_Shipments[Effective_Week],94)</f>
        <v/>
      </c>
      <c r="CR90">
        <f>SUMIFS(T_Shipments[Confirmed_Qty],T_Shipments[RM_Code],$A90,T_Shipments[Effective_Week],95)</f>
        <v/>
      </c>
      <c r="CS90">
        <f>SUMIFS(T_Shipments[Confirmed_Qty],T_Shipments[RM_Code],$A90,T_Shipments[Effective_Week],96)</f>
        <v/>
      </c>
      <c r="CT90">
        <f>SUMIFS(T_Shipments[Confirmed_Qty],T_Shipments[RM_Code],$A90,T_Shipments[Effective_Week],97)</f>
        <v/>
      </c>
      <c r="CU90">
        <f>SUMIFS(T_Shipments[Confirmed_Qty],T_Shipments[RM_Code],$A90,T_Shipments[Effective_Week],98)</f>
        <v/>
      </c>
      <c r="CV90">
        <f>SUMIFS(T_Shipments[Confirmed_Qty],T_Shipments[RM_Code],$A90,T_Shipments[Effective_Week],99)</f>
        <v/>
      </c>
      <c r="CW90">
        <f>SUMIFS(T_Shipments[Confirmed_Qty],T_Shipments[RM_Code],$A90,T_Shipments[Effective_Week],100)</f>
        <v/>
      </c>
      <c r="CX90">
        <f>SUMIFS(T_Shipments[Confirmed_Qty],T_Shipments[RM_Code],$A90,T_Shipments[Effective_Week],101)</f>
        <v/>
      </c>
      <c r="CY90">
        <f>SUMIFS(T_Shipments[Confirmed_Qty],T_Shipments[RM_Code],$A90,T_Shipments[Effective_Week],102)</f>
        <v/>
      </c>
      <c r="CZ90">
        <f>SUMIFS(T_Shipments[Confirmed_Qty],T_Shipments[RM_Code],$A90,T_Shipments[Effective_Week],103)</f>
        <v/>
      </c>
      <c r="DA90">
        <f>SUMIFS(T_Shipments[Confirmed_Qty],T_Shipments[RM_Code],$A90,T_Shipments[Effective_Week],104)</f>
        <v/>
      </c>
    </row>
    <row r="91">
      <c r="A91" t="inlineStr">
        <is>
          <t>CHEM-1610</t>
        </is>
      </c>
      <c r="B91">
        <f>SUMIFS(T_Shipments[Confirmed_Qty],T_Shipments[RM_Code],$A91,T_Shipments[Effective_Week],1)</f>
        <v/>
      </c>
      <c r="C91">
        <f>SUMIFS(T_Shipments[Confirmed_Qty],T_Shipments[RM_Code],$A91,T_Shipments[Effective_Week],2)</f>
        <v/>
      </c>
      <c r="D91">
        <f>SUMIFS(T_Shipments[Confirmed_Qty],T_Shipments[RM_Code],$A91,T_Shipments[Effective_Week],3)</f>
        <v/>
      </c>
      <c r="E91">
        <f>SUMIFS(T_Shipments[Confirmed_Qty],T_Shipments[RM_Code],$A91,T_Shipments[Effective_Week],4)</f>
        <v/>
      </c>
      <c r="F91">
        <f>SUMIFS(T_Shipments[Confirmed_Qty],T_Shipments[RM_Code],$A91,T_Shipments[Effective_Week],5)</f>
        <v/>
      </c>
      <c r="G91">
        <f>SUMIFS(T_Shipments[Confirmed_Qty],T_Shipments[RM_Code],$A91,T_Shipments[Effective_Week],6)</f>
        <v/>
      </c>
      <c r="H91">
        <f>SUMIFS(T_Shipments[Confirmed_Qty],T_Shipments[RM_Code],$A91,T_Shipments[Effective_Week],7)</f>
        <v/>
      </c>
      <c r="I91">
        <f>SUMIFS(T_Shipments[Confirmed_Qty],T_Shipments[RM_Code],$A91,T_Shipments[Effective_Week],8)</f>
        <v/>
      </c>
      <c r="J91">
        <f>SUMIFS(T_Shipments[Confirmed_Qty],T_Shipments[RM_Code],$A91,T_Shipments[Effective_Week],9)</f>
        <v/>
      </c>
      <c r="K91">
        <f>SUMIFS(T_Shipments[Confirmed_Qty],T_Shipments[RM_Code],$A91,T_Shipments[Effective_Week],10)</f>
        <v/>
      </c>
      <c r="L91">
        <f>SUMIFS(T_Shipments[Confirmed_Qty],T_Shipments[RM_Code],$A91,T_Shipments[Effective_Week],11)</f>
        <v/>
      </c>
      <c r="M91">
        <f>SUMIFS(T_Shipments[Confirmed_Qty],T_Shipments[RM_Code],$A91,T_Shipments[Effective_Week],12)</f>
        <v/>
      </c>
      <c r="N91">
        <f>SUMIFS(T_Shipments[Confirmed_Qty],T_Shipments[RM_Code],$A91,T_Shipments[Effective_Week],13)</f>
        <v/>
      </c>
      <c r="O91">
        <f>SUMIFS(T_Shipments[Confirmed_Qty],T_Shipments[RM_Code],$A91,T_Shipments[Effective_Week],14)</f>
        <v/>
      </c>
      <c r="P91">
        <f>SUMIFS(T_Shipments[Confirmed_Qty],T_Shipments[RM_Code],$A91,T_Shipments[Effective_Week],15)</f>
        <v/>
      </c>
      <c r="Q91">
        <f>SUMIFS(T_Shipments[Confirmed_Qty],T_Shipments[RM_Code],$A91,T_Shipments[Effective_Week],16)</f>
        <v/>
      </c>
      <c r="R91">
        <f>SUMIFS(T_Shipments[Confirmed_Qty],T_Shipments[RM_Code],$A91,T_Shipments[Effective_Week],17)</f>
        <v/>
      </c>
      <c r="S91">
        <f>SUMIFS(T_Shipments[Confirmed_Qty],T_Shipments[RM_Code],$A91,T_Shipments[Effective_Week],18)</f>
        <v/>
      </c>
      <c r="T91">
        <f>SUMIFS(T_Shipments[Confirmed_Qty],T_Shipments[RM_Code],$A91,T_Shipments[Effective_Week],19)</f>
        <v/>
      </c>
      <c r="U91">
        <f>SUMIFS(T_Shipments[Confirmed_Qty],T_Shipments[RM_Code],$A91,T_Shipments[Effective_Week],20)</f>
        <v/>
      </c>
      <c r="V91">
        <f>SUMIFS(T_Shipments[Confirmed_Qty],T_Shipments[RM_Code],$A91,T_Shipments[Effective_Week],21)</f>
        <v/>
      </c>
      <c r="W91">
        <f>SUMIFS(T_Shipments[Confirmed_Qty],T_Shipments[RM_Code],$A91,T_Shipments[Effective_Week],22)</f>
        <v/>
      </c>
      <c r="X91">
        <f>SUMIFS(T_Shipments[Confirmed_Qty],T_Shipments[RM_Code],$A91,T_Shipments[Effective_Week],23)</f>
        <v/>
      </c>
      <c r="Y91">
        <f>SUMIFS(T_Shipments[Confirmed_Qty],T_Shipments[RM_Code],$A91,T_Shipments[Effective_Week],24)</f>
        <v/>
      </c>
      <c r="Z91">
        <f>SUMIFS(T_Shipments[Confirmed_Qty],T_Shipments[RM_Code],$A91,T_Shipments[Effective_Week],25)</f>
        <v/>
      </c>
      <c r="AA91">
        <f>SUMIFS(T_Shipments[Confirmed_Qty],T_Shipments[RM_Code],$A91,T_Shipments[Effective_Week],26)</f>
        <v/>
      </c>
      <c r="AB91">
        <f>SUMIFS(T_Shipments[Confirmed_Qty],T_Shipments[RM_Code],$A91,T_Shipments[Effective_Week],27)</f>
        <v/>
      </c>
      <c r="AC91">
        <f>SUMIFS(T_Shipments[Confirmed_Qty],T_Shipments[RM_Code],$A91,T_Shipments[Effective_Week],28)</f>
        <v/>
      </c>
      <c r="AD91">
        <f>SUMIFS(T_Shipments[Confirmed_Qty],T_Shipments[RM_Code],$A91,T_Shipments[Effective_Week],29)</f>
        <v/>
      </c>
      <c r="AE91">
        <f>SUMIFS(T_Shipments[Confirmed_Qty],T_Shipments[RM_Code],$A91,T_Shipments[Effective_Week],30)</f>
        <v/>
      </c>
      <c r="AF91">
        <f>SUMIFS(T_Shipments[Confirmed_Qty],T_Shipments[RM_Code],$A91,T_Shipments[Effective_Week],31)</f>
        <v/>
      </c>
      <c r="AG91">
        <f>SUMIFS(T_Shipments[Confirmed_Qty],T_Shipments[RM_Code],$A91,T_Shipments[Effective_Week],32)</f>
        <v/>
      </c>
      <c r="AH91">
        <f>SUMIFS(T_Shipments[Confirmed_Qty],T_Shipments[RM_Code],$A91,T_Shipments[Effective_Week],33)</f>
        <v/>
      </c>
      <c r="AI91">
        <f>SUMIFS(T_Shipments[Confirmed_Qty],T_Shipments[RM_Code],$A91,T_Shipments[Effective_Week],34)</f>
        <v/>
      </c>
      <c r="AJ91">
        <f>SUMIFS(T_Shipments[Confirmed_Qty],T_Shipments[RM_Code],$A91,T_Shipments[Effective_Week],35)</f>
        <v/>
      </c>
      <c r="AK91">
        <f>SUMIFS(T_Shipments[Confirmed_Qty],T_Shipments[RM_Code],$A91,T_Shipments[Effective_Week],36)</f>
        <v/>
      </c>
      <c r="AL91">
        <f>SUMIFS(T_Shipments[Confirmed_Qty],T_Shipments[RM_Code],$A91,T_Shipments[Effective_Week],37)</f>
        <v/>
      </c>
      <c r="AM91">
        <f>SUMIFS(T_Shipments[Confirmed_Qty],T_Shipments[RM_Code],$A91,T_Shipments[Effective_Week],38)</f>
        <v/>
      </c>
      <c r="AN91">
        <f>SUMIFS(T_Shipments[Confirmed_Qty],T_Shipments[RM_Code],$A91,T_Shipments[Effective_Week],39)</f>
        <v/>
      </c>
      <c r="AO91">
        <f>SUMIFS(T_Shipments[Confirmed_Qty],T_Shipments[RM_Code],$A91,T_Shipments[Effective_Week],40)</f>
        <v/>
      </c>
      <c r="AP91">
        <f>SUMIFS(T_Shipments[Confirmed_Qty],T_Shipments[RM_Code],$A91,T_Shipments[Effective_Week],41)</f>
        <v/>
      </c>
      <c r="AQ91">
        <f>SUMIFS(T_Shipments[Confirmed_Qty],T_Shipments[RM_Code],$A91,T_Shipments[Effective_Week],42)</f>
        <v/>
      </c>
      <c r="AR91">
        <f>SUMIFS(T_Shipments[Confirmed_Qty],T_Shipments[RM_Code],$A91,T_Shipments[Effective_Week],43)</f>
        <v/>
      </c>
      <c r="AS91">
        <f>SUMIFS(T_Shipments[Confirmed_Qty],T_Shipments[RM_Code],$A91,T_Shipments[Effective_Week],44)</f>
        <v/>
      </c>
      <c r="AT91">
        <f>SUMIFS(T_Shipments[Confirmed_Qty],T_Shipments[RM_Code],$A91,T_Shipments[Effective_Week],45)</f>
        <v/>
      </c>
      <c r="AU91">
        <f>SUMIFS(T_Shipments[Confirmed_Qty],T_Shipments[RM_Code],$A91,T_Shipments[Effective_Week],46)</f>
        <v/>
      </c>
      <c r="AV91">
        <f>SUMIFS(T_Shipments[Confirmed_Qty],T_Shipments[RM_Code],$A91,T_Shipments[Effective_Week],47)</f>
        <v/>
      </c>
      <c r="AW91">
        <f>SUMIFS(T_Shipments[Confirmed_Qty],T_Shipments[RM_Code],$A91,T_Shipments[Effective_Week],48)</f>
        <v/>
      </c>
      <c r="AX91">
        <f>SUMIFS(T_Shipments[Confirmed_Qty],T_Shipments[RM_Code],$A91,T_Shipments[Effective_Week],49)</f>
        <v/>
      </c>
      <c r="AY91">
        <f>SUMIFS(T_Shipments[Confirmed_Qty],T_Shipments[RM_Code],$A91,T_Shipments[Effective_Week],50)</f>
        <v/>
      </c>
      <c r="AZ91">
        <f>SUMIFS(T_Shipments[Confirmed_Qty],T_Shipments[RM_Code],$A91,T_Shipments[Effective_Week],51)</f>
        <v/>
      </c>
      <c r="BA91">
        <f>SUMIFS(T_Shipments[Confirmed_Qty],T_Shipments[RM_Code],$A91,T_Shipments[Effective_Week],52)</f>
        <v/>
      </c>
      <c r="BB91">
        <f>SUMIFS(T_Shipments[Confirmed_Qty],T_Shipments[RM_Code],$A91,T_Shipments[Effective_Week],53)</f>
        <v/>
      </c>
      <c r="BC91">
        <f>SUMIFS(T_Shipments[Confirmed_Qty],T_Shipments[RM_Code],$A91,T_Shipments[Effective_Week],54)</f>
        <v/>
      </c>
      <c r="BD91">
        <f>SUMIFS(T_Shipments[Confirmed_Qty],T_Shipments[RM_Code],$A91,T_Shipments[Effective_Week],55)</f>
        <v/>
      </c>
      <c r="BE91">
        <f>SUMIFS(T_Shipments[Confirmed_Qty],T_Shipments[RM_Code],$A91,T_Shipments[Effective_Week],56)</f>
        <v/>
      </c>
      <c r="BF91">
        <f>SUMIFS(T_Shipments[Confirmed_Qty],T_Shipments[RM_Code],$A91,T_Shipments[Effective_Week],57)</f>
        <v/>
      </c>
      <c r="BG91">
        <f>SUMIFS(T_Shipments[Confirmed_Qty],T_Shipments[RM_Code],$A91,T_Shipments[Effective_Week],58)</f>
        <v/>
      </c>
      <c r="BH91">
        <f>SUMIFS(T_Shipments[Confirmed_Qty],T_Shipments[RM_Code],$A91,T_Shipments[Effective_Week],59)</f>
        <v/>
      </c>
      <c r="BI91">
        <f>SUMIFS(T_Shipments[Confirmed_Qty],T_Shipments[RM_Code],$A91,T_Shipments[Effective_Week],60)</f>
        <v/>
      </c>
      <c r="BJ91">
        <f>SUMIFS(T_Shipments[Confirmed_Qty],T_Shipments[RM_Code],$A91,T_Shipments[Effective_Week],61)</f>
        <v/>
      </c>
      <c r="BK91">
        <f>SUMIFS(T_Shipments[Confirmed_Qty],T_Shipments[RM_Code],$A91,T_Shipments[Effective_Week],62)</f>
        <v/>
      </c>
      <c r="BL91">
        <f>SUMIFS(T_Shipments[Confirmed_Qty],T_Shipments[RM_Code],$A91,T_Shipments[Effective_Week],63)</f>
        <v/>
      </c>
      <c r="BM91">
        <f>SUMIFS(T_Shipments[Confirmed_Qty],T_Shipments[RM_Code],$A91,T_Shipments[Effective_Week],64)</f>
        <v/>
      </c>
      <c r="BN91">
        <f>SUMIFS(T_Shipments[Confirmed_Qty],T_Shipments[RM_Code],$A91,T_Shipments[Effective_Week],65)</f>
        <v/>
      </c>
      <c r="BO91">
        <f>SUMIFS(T_Shipments[Confirmed_Qty],T_Shipments[RM_Code],$A91,T_Shipments[Effective_Week],66)</f>
        <v/>
      </c>
      <c r="BP91">
        <f>SUMIFS(T_Shipments[Confirmed_Qty],T_Shipments[RM_Code],$A91,T_Shipments[Effective_Week],67)</f>
        <v/>
      </c>
      <c r="BQ91">
        <f>SUMIFS(T_Shipments[Confirmed_Qty],T_Shipments[RM_Code],$A91,T_Shipments[Effective_Week],68)</f>
        <v/>
      </c>
      <c r="BR91">
        <f>SUMIFS(T_Shipments[Confirmed_Qty],T_Shipments[RM_Code],$A91,T_Shipments[Effective_Week],69)</f>
        <v/>
      </c>
      <c r="BS91">
        <f>SUMIFS(T_Shipments[Confirmed_Qty],T_Shipments[RM_Code],$A91,T_Shipments[Effective_Week],70)</f>
        <v/>
      </c>
      <c r="BT91">
        <f>SUMIFS(T_Shipments[Confirmed_Qty],T_Shipments[RM_Code],$A91,T_Shipments[Effective_Week],71)</f>
        <v/>
      </c>
      <c r="BU91">
        <f>SUMIFS(T_Shipments[Confirmed_Qty],T_Shipments[RM_Code],$A91,T_Shipments[Effective_Week],72)</f>
        <v/>
      </c>
      <c r="BV91">
        <f>SUMIFS(T_Shipments[Confirmed_Qty],T_Shipments[RM_Code],$A91,T_Shipments[Effective_Week],73)</f>
        <v/>
      </c>
      <c r="BW91">
        <f>SUMIFS(T_Shipments[Confirmed_Qty],T_Shipments[RM_Code],$A91,T_Shipments[Effective_Week],74)</f>
        <v/>
      </c>
      <c r="BX91">
        <f>SUMIFS(T_Shipments[Confirmed_Qty],T_Shipments[RM_Code],$A91,T_Shipments[Effective_Week],75)</f>
        <v/>
      </c>
      <c r="BY91">
        <f>SUMIFS(T_Shipments[Confirmed_Qty],T_Shipments[RM_Code],$A91,T_Shipments[Effective_Week],76)</f>
        <v/>
      </c>
      <c r="BZ91">
        <f>SUMIFS(T_Shipments[Confirmed_Qty],T_Shipments[RM_Code],$A91,T_Shipments[Effective_Week],77)</f>
        <v/>
      </c>
      <c r="CA91">
        <f>SUMIFS(T_Shipments[Confirmed_Qty],T_Shipments[RM_Code],$A91,T_Shipments[Effective_Week],78)</f>
        <v/>
      </c>
      <c r="CB91">
        <f>SUMIFS(T_Shipments[Confirmed_Qty],T_Shipments[RM_Code],$A91,T_Shipments[Effective_Week],79)</f>
        <v/>
      </c>
      <c r="CC91">
        <f>SUMIFS(T_Shipments[Confirmed_Qty],T_Shipments[RM_Code],$A91,T_Shipments[Effective_Week],80)</f>
        <v/>
      </c>
      <c r="CD91">
        <f>SUMIFS(T_Shipments[Confirmed_Qty],T_Shipments[RM_Code],$A91,T_Shipments[Effective_Week],81)</f>
        <v/>
      </c>
      <c r="CE91">
        <f>SUMIFS(T_Shipments[Confirmed_Qty],T_Shipments[RM_Code],$A91,T_Shipments[Effective_Week],82)</f>
        <v/>
      </c>
      <c r="CF91">
        <f>SUMIFS(T_Shipments[Confirmed_Qty],T_Shipments[RM_Code],$A91,T_Shipments[Effective_Week],83)</f>
        <v/>
      </c>
      <c r="CG91">
        <f>SUMIFS(T_Shipments[Confirmed_Qty],T_Shipments[RM_Code],$A91,T_Shipments[Effective_Week],84)</f>
        <v/>
      </c>
      <c r="CH91">
        <f>SUMIFS(T_Shipments[Confirmed_Qty],T_Shipments[RM_Code],$A91,T_Shipments[Effective_Week],85)</f>
        <v/>
      </c>
      <c r="CI91">
        <f>SUMIFS(T_Shipments[Confirmed_Qty],T_Shipments[RM_Code],$A91,T_Shipments[Effective_Week],86)</f>
        <v/>
      </c>
      <c r="CJ91">
        <f>SUMIFS(T_Shipments[Confirmed_Qty],T_Shipments[RM_Code],$A91,T_Shipments[Effective_Week],87)</f>
        <v/>
      </c>
      <c r="CK91">
        <f>SUMIFS(T_Shipments[Confirmed_Qty],T_Shipments[RM_Code],$A91,T_Shipments[Effective_Week],88)</f>
        <v/>
      </c>
      <c r="CL91">
        <f>SUMIFS(T_Shipments[Confirmed_Qty],T_Shipments[RM_Code],$A91,T_Shipments[Effective_Week],89)</f>
        <v/>
      </c>
      <c r="CM91">
        <f>SUMIFS(T_Shipments[Confirmed_Qty],T_Shipments[RM_Code],$A91,T_Shipments[Effective_Week],90)</f>
        <v/>
      </c>
      <c r="CN91">
        <f>SUMIFS(T_Shipments[Confirmed_Qty],T_Shipments[RM_Code],$A91,T_Shipments[Effective_Week],91)</f>
        <v/>
      </c>
      <c r="CO91">
        <f>SUMIFS(T_Shipments[Confirmed_Qty],T_Shipments[RM_Code],$A91,T_Shipments[Effective_Week],92)</f>
        <v/>
      </c>
      <c r="CP91">
        <f>SUMIFS(T_Shipments[Confirmed_Qty],T_Shipments[RM_Code],$A91,T_Shipments[Effective_Week],93)</f>
        <v/>
      </c>
      <c r="CQ91">
        <f>SUMIFS(T_Shipments[Confirmed_Qty],T_Shipments[RM_Code],$A91,T_Shipments[Effective_Week],94)</f>
        <v/>
      </c>
      <c r="CR91">
        <f>SUMIFS(T_Shipments[Confirmed_Qty],T_Shipments[RM_Code],$A91,T_Shipments[Effective_Week],95)</f>
        <v/>
      </c>
      <c r="CS91">
        <f>SUMIFS(T_Shipments[Confirmed_Qty],T_Shipments[RM_Code],$A91,T_Shipments[Effective_Week],96)</f>
        <v/>
      </c>
      <c r="CT91">
        <f>SUMIFS(T_Shipments[Confirmed_Qty],T_Shipments[RM_Code],$A91,T_Shipments[Effective_Week],97)</f>
        <v/>
      </c>
      <c r="CU91">
        <f>SUMIFS(T_Shipments[Confirmed_Qty],T_Shipments[RM_Code],$A91,T_Shipments[Effective_Week],98)</f>
        <v/>
      </c>
      <c r="CV91">
        <f>SUMIFS(T_Shipments[Confirmed_Qty],T_Shipments[RM_Code],$A91,T_Shipments[Effective_Week],99)</f>
        <v/>
      </c>
      <c r="CW91">
        <f>SUMIFS(T_Shipments[Confirmed_Qty],T_Shipments[RM_Code],$A91,T_Shipments[Effective_Week],100)</f>
        <v/>
      </c>
      <c r="CX91">
        <f>SUMIFS(T_Shipments[Confirmed_Qty],T_Shipments[RM_Code],$A91,T_Shipments[Effective_Week],101)</f>
        <v/>
      </c>
      <c r="CY91">
        <f>SUMIFS(T_Shipments[Confirmed_Qty],T_Shipments[RM_Code],$A91,T_Shipments[Effective_Week],102)</f>
        <v/>
      </c>
      <c r="CZ91">
        <f>SUMIFS(T_Shipments[Confirmed_Qty],T_Shipments[RM_Code],$A91,T_Shipments[Effective_Week],103)</f>
        <v/>
      </c>
      <c r="DA91">
        <f>SUMIFS(T_Shipments[Confirmed_Qty],T_Shipments[RM_Code],$A91,T_Shipments[Effective_Week],104)</f>
        <v/>
      </c>
    </row>
    <row r="92">
      <c r="A92" t="inlineStr">
        <is>
          <t>CHEM-1640</t>
        </is>
      </c>
      <c r="B92">
        <f>SUMIFS(T_Shipments[Confirmed_Qty],T_Shipments[RM_Code],$A92,T_Shipments[Effective_Week],1)</f>
        <v/>
      </c>
      <c r="C92">
        <f>SUMIFS(T_Shipments[Confirmed_Qty],T_Shipments[RM_Code],$A92,T_Shipments[Effective_Week],2)</f>
        <v/>
      </c>
      <c r="D92">
        <f>SUMIFS(T_Shipments[Confirmed_Qty],T_Shipments[RM_Code],$A92,T_Shipments[Effective_Week],3)</f>
        <v/>
      </c>
      <c r="E92">
        <f>SUMIFS(T_Shipments[Confirmed_Qty],T_Shipments[RM_Code],$A92,T_Shipments[Effective_Week],4)</f>
        <v/>
      </c>
      <c r="F92">
        <f>SUMIFS(T_Shipments[Confirmed_Qty],T_Shipments[RM_Code],$A92,T_Shipments[Effective_Week],5)</f>
        <v/>
      </c>
      <c r="G92">
        <f>SUMIFS(T_Shipments[Confirmed_Qty],T_Shipments[RM_Code],$A92,T_Shipments[Effective_Week],6)</f>
        <v/>
      </c>
      <c r="H92">
        <f>SUMIFS(T_Shipments[Confirmed_Qty],T_Shipments[RM_Code],$A92,T_Shipments[Effective_Week],7)</f>
        <v/>
      </c>
      <c r="I92">
        <f>SUMIFS(T_Shipments[Confirmed_Qty],T_Shipments[RM_Code],$A92,T_Shipments[Effective_Week],8)</f>
        <v/>
      </c>
      <c r="J92">
        <f>SUMIFS(T_Shipments[Confirmed_Qty],T_Shipments[RM_Code],$A92,T_Shipments[Effective_Week],9)</f>
        <v/>
      </c>
      <c r="K92">
        <f>SUMIFS(T_Shipments[Confirmed_Qty],T_Shipments[RM_Code],$A92,T_Shipments[Effective_Week],10)</f>
        <v/>
      </c>
      <c r="L92">
        <f>SUMIFS(T_Shipments[Confirmed_Qty],T_Shipments[RM_Code],$A92,T_Shipments[Effective_Week],11)</f>
        <v/>
      </c>
      <c r="M92">
        <f>SUMIFS(T_Shipments[Confirmed_Qty],T_Shipments[RM_Code],$A92,T_Shipments[Effective_Week],12)</f>
        <v/>
      </c>
      <c r="N92">
        <f>SUMIFS(T_Shipments[Confirmed_Qty],T_Shipments[RM_Code],$A92,T_Shipments[Effective_Week],13)</f>
        <v/>
      </c>
      <c r="O92">
        <f>SUMIFS(T_Shipments[Confirmed_Qty],T_Shipments[RM_Code],$A92,T_Shipments[Effective_Week],14)</f>
        <v/>
      </c>
      <c r="P92">
        <f>SUMIFS(T_Shipments[Confirmed_Qty],T_Shipments[RM_Code],$A92,T_Shipments[Effective_Week],15)</f>
        <v/>
      </c>
      <c r="Q92">
        <f>SUMIFS(T_Shipments[Confirmed_Qty],T_Shipments[RM_Code],$A92,T_Shipments[Effective_Week],16)</f>
        <v/>
      </c>
      <c r="R92">
        <f>SUMIFS(T_Shipments[Confirmed_Qty],T_Shipments[RM_Code],$A92,T_Shipments[Effective_Week],17)</f>
        <v/>
      </c>
      <c r="S92">
        <f>SUMIFS(T_Shipments[Confirmed_Qty],T_Shipments[RM_Code],$A92,T_Shipments[Effective_Week],18)</f>
        <v/>
      </c>
      <c r="T92">
        <f>SUMIFS(T_Shipments[Confirmed_Qty],T_Shipments[RM_Code],$A92,T_Shipments[Effective_Week],19)</f>
        <v/>
      </c>
      <c r="U92">
        <f>SUMIFS(T_Shipments[Confirmed_Qty],T_Shipments[RM_Code],$A92,T_Shipments[Effective_Week],20)</f>
        <v/>
      </c>
      <c r="V92">
        <f>SUMIFS(T_Shipments[Confirmed_Qty],T_Shipments[RM_Code],$A92,T_Shipments[Effective_Week],21)</f>
        <v/>
      </c>
      <c r="W92">
        <f>SUMIFS(T_Shipments[Confirmed_Qty],T_Shipments[RM_Code],$A92,T_Shipments[Effective_Week],22)</f>
        <v/>
      </c>
      <c r="X92">
        <f>SUMIFS(T_Shipments[Confirmed_Qty],T_Shipments[RM_Code],$A92,T_Shipments[Effective_Week],23)</f>
        <v/>
      </c>
      <c r="Y92">
        <f>SUMIFS(T_Shipments[Confirmed_Qty],T_Shipments[RM_Code],$A92,T_Shipments[Effective_Week],24)</f>
        <v/>
      </c>
      <c r="Z92">
        <f>SUMIFS(T_Shipments[Confirmed_Qty],T_Shipments[RM_Code],$A92,T_Shipments[Effective_Week],25)</f>
        <v/>
      </c>
      <c r="AA92">
        <f>SUMIFS(T_Shipments[Confirmed_Qty],T_Shipments[RM_Code],$A92,T_Shipments[Effective_Week],26)</f>
        <v/>
      </c>
      <c r="AB92">
        <f>SUMIFS(T_Shipments[Confirmed_Qty],T_Shipments[RM_Code],$A92,T_Shipments[Effective_Week],27)</f>
        <v/>
      </c>
      <c r="AC92">
        <f>SUMIFS(T_Shipments[Confirmed_Qty],T_Shipments[RM_Code],$A92,T_Shipments[Effective_Week],28)</f>
        <v/>
      </c>
      <c r="AD92">
        <f>SUMIFS(T_Shipments[Confirmed_Qty],T_Shipments[RM_Code],$A92,T_Shipments[Effective_Week],29)</f>
        <v/>
      </c>
      <c r="AE92">
        <f>SUMIFS(T_Shipments[Confirmed_Qty],T_Shipments[RM_Code],$A92,T_Shipments[Effective_Week],30)</f>
        <v/>
      </c>
      <c r="AF92">
        <f>SUMIFS(T_Shipments[Confirmed_Qty],T_Shipments[RM_Code],$A92,T_Shipments[Effective_Week],31)</f>
        <v/>
      </c>
      <c r="AG92">
        <f>SUMIFS(T_Shipments[Confirmed_Qty],T_Shipments[RM_Code],$A92,T_Shipments[Effective_Week],32)</f>
        <v/>
      </c>
      <c r="AH92">
        <f>SUMIFS(T_Shipments[Confirmed_Qty],T_Shipments[RM_Code],$A92,T_Shipments[Effective_Week],33)</f>
        <v/>
      </c>
      <c r="AI92">
        <f>SUMIFS(T_Shipments[Confirmed_Qty],T_Shipments[RM_Code],$A92,T_Shipments[Effective_Week],34)</f>
        <v/>
      </c>
      <c r="AJ92">
        <f>SUMIFS(T_Shipments[Confirmed_Qty],T_Shipments[RM_Code],$A92,T_Shipments[Effective_Week],35)</f>
        <v/>
      </c>
      <c r="AK92">
        <f>SUMIFS(T_Shipments[Confirmed_Qty],T_Shipments[RM_Code],$A92,T_Shipments[Effective_Week],36)</f>
        <v/>
      </c>
      <c r="AL92">
        <f>SUMIFS(T_Shipments[Confirmed_Qty],T_Shipments[RM_Code],$A92,T_Shipments[Effective_Week],37)</f>
        <v/>
      </c>
      <c r="AM92">
        <f>SUMIFS(T_Shipments[Confirmed_Qty],T_Shipments[RM_Code],$A92,T_Shipments[Effective_Week],38)</f>
        <v/>
      </c>
      <c r="AN92">
        <f>SUMIFS(T_Shipments[Confirmed_Qty],T_Shipments[RM_Code],$A92,T_Shipments[Effective_Week],39)</f>
        <v/>
      </c>
      <c r="AO92">
        <f>SUMIFS(T_Shipments[Confirmed_Qty],T_Shipments[RM_Code],$A92,T_Shipments[Effective_Week],40)</f>
        <v/>
      </c>
      <c r="AP92">
        <f>SUMIFS(T_Shipments[Confirmed_Qty],T_Shipments[RM_Code],$A92,T_Shipments[Effective_Week],41)</f>
        <v/>
      </c>
      <c r="AQ92">
        <f>SUMIFS(T_Shipments[Confirmed_Qty],T_Shipments[RM_Code],$A92,T_Shipments[Effective_Week],42)</f>
        <v/>
      </c>
      <c r="AR92">
        <f>SUMIFS(T_Shipments[Confirmed_Qty],T_Shipments[RM_Code],$A92,T_Shipments[Effective_Week],43)</f>
        <v/>
      </c>
      <c r="AS92">
        <f>SUMIFS(T_Shipments[Confirmed_Qty],T_Shipments[RM_Code],$A92,T_Shipments[Effective_Week],44)</f>
        <v/>
      </c>
      <c r="AT92">
        <f>SUMIFS(T_Shipments[Confirmed_Qty],T_Shipments[RM_Code],$A92,T_Shipments[Effective_Week],45)</f>
        <v/>
      </c>
      <c r="AU92">
        <f>SUMIFS(T_Shipments[Confirmed_Qty],T_Shipments[RM_Code],$A92,T_Shipments[Effective_Week],46)</f>
        <v/>
      </c>
      <c r="AV92">
        <f>SUMIFS(T_Shipments[Confirmed_Qty],T_Shipments[RM_Code],$A92,T_Shipments[Effective_Week],47)</f>
        <v/>
      </c>
      <c r="AW92">
        <f>SUMIFS(T_Shipments[Confirmed_Qty],T_Shipments[RM_Code],$A92,T_Shipments[Effective_Week],48)</f>
        <v/>
      </c>
      <c r="AX92">
        <f>SUMIFS(T_Shipments[Confirmed_Qty],T_Shipments[RM_Code],$A92,T_Shipments[Effective_Week],49)</f>
        <v/>
      </c>
      <c r="AY92">
        <f>SUMIFS(T_Shipments[Confirmed_Qty],T_Shipments[RM_Code],$A92,T_Shipments[Effective_Week],50)</f>
        <v/>
      </c>
      <c r="AZ92">
        <f>SUMIFS(T_Shipments[Confirmed_Qty],T_Shipments[RM_Code],$A92,T_Shipments[Effective_Week],51)</f>
        <v/>
      </c>
      <c r="BA92">
        <f>SUMIFS(T_Shipments[Confirmed_Qty],T_Shipments[RM_Code],$A92,T_Shipments[Effective_Week],52)</f>
        <v/>
      </c>
      <c r="BB92">
        <f>SUMIFS(T_Shipments[Confirmed_Qty],T_Shipments[RM_Code],$A92,T_Shipments[Effective_Week],53)</f>
        <v/>
      </c>
      <c r="BC92">
        <f>SUMIFS(T_Shipments[Confirmed_Qty],T_Shipments[RM_Code],$A92,T_Shipments[Effective_Week],54)</f>
        <v/>
      </c>
      <c r="BD92">
        <f>SUMIFS(T_Shipments[Confirmed_Qty],T_Shipments[RM_Code],$A92,T_Shipments[Effective_Week],55)</f>
        <v/>
      </c>
      <c r="BE92">
        <f>SUMIFS(T_Shipments[Confirmed_Qty],T_Shipments[RM_Code],$A92,T_Shipments[Effective_Week],56)</f>
        <v/>
      </c>
      <c r="BF92">
        <f>SUMIFS(T_Shipments[Confirmed_Qty],T_Shipments[RM_Code],$A92,T_Shipments[Effective_Week],57)</f>
        <v/>
      </c>
      <c r="BG92">
        <f>SUMIFS(T_Shipments[Confirmed_Qty],T_Shipments[RM_Code],$A92,T_Shipments[Effective_Week],58)</f>
        <v/>
      </c>
      <c r="BH92">
        <f>SUMIFS(T_Shipments[Confirmed_Qty],T_Shipments[RM_Code],$A92,T_Shipments[Effective_Week],59)</f>
        <v/>
      </c>
      <c r="BI92">
        <f>SUMIFS(T_Shipments[Confirmed_Qty],T_Shipments[RM_Code],$A92,T_Shipments[Effective_Week],60)</f>
        <v/>
      </c>
      <c r="BJ92">
        <f>SUMIFS(T_Shipments[Confirmed_Qty],T_Shipments[RM_Code],$A92,T_Shipments[Effective_Week],61)</f>
        <v/>
      </c>
      <c r="BK92">
        <f>SUMIFS(T_Shipments[Confirmed_Qty],T_Shipments[RM_Code],$A92,T_Shipments[Effective_Week],62)</f>
        <v/>
      </c>
      <c r="BL92">
        <f>SUMIFS(T_Shipments[Confirmed_Qty],T_Shipments[RM_Code],$A92,T_Shipments[Effective_Week],63)</f>
        <v/>
      </c>
      <c r="BM92">
        <f>SUMIFS(T_Shipments[Confirmed_Qty],T_Shipments[RM_Code],$A92,T_Shipments[Effective_Week],64)</f>
        <v/>
      </c>
      <c r="BN92">
        <f>SUMIFS(T_Shipments[Confirmed_Qty],T_Shipments[RM_Code],$A92,T_Shipments[Effective_Week],65)</f>
        <v/>
      </c>
      <c r="BO92">
        <f>SUMIFS(T_Shipments[Confirmed_Qty],T_Shipments[RM_Code],$A92,T_Shipments[Effective_Week],66)</f>
        <v/>
      </c>
      <c r="BP92">
        <f>SUMIFS(T_Shipments[Confirmed_Qty],T_Shipments[RM_Code],$A92,T_Shipments[Effective_Week],67)</f>
        <v/>
      </c>
      <c r="BQ92">
        <f>SUMIFS(T_Shipments[Confirmed_Qty],T_Shipments[RM_Code],$A92,T_Shipments[Effective_Week],68)</f>
        <v/>
      </c>
      <c r="BR92">
        <f>SUMIFS(T_Shipments[Confirmed_Qty],T_Shipments[RM_Code],$A92,T_Shipments[Effective_Week],69)</f>
        <v/>
      </c>
      <c r="BS92">
        <f>SUMIFS(T_Shipments[Confirmed_Qty],T_Shipments[RM_Code],$A92,T_Shipments[Effective_Week],70)</f>
        <v/>
      </c>
      <c r="BT92">
        <f>SUMIFS(T_Shipments[Confirmed_Qty],T_Shipments[RM_Code],$A92,T_Shipments[Effective_Week],71)</f>
        <v/>
      </c>
      <c r="BU92">
        <f>SUMIFS(T_Shipments[Confirmed_Qty],T_Shipments[RM_Code],$A92,T_Shipments[Effective_Week],72)</f>
        <v/>
      </c>
      <c r="BV92">
        <f>SUMIFS(T_Shipments[Confirmed_Qty],T_Shipments[RM_Code],$A92,T_Shipments[Effective_Week],73)</f>
        <v/>
      </c>
      <c r="BW92">
        <f>SUMIFS(T_Shipments[Confirmed_Qty],T_Shipments[RM_Code],$A92,T_Shipments[Effective_Week],74)</f>
        <v/>
      </c>
      <c r="BX92">
        <f>SUMIFS(T_Shipments[Confirmed_Qty],T_Shipments[RM_Code],$A92,T_Shipments[Effective_Week],75)</f>
        <v/>
      </c>
      <c r="BY92">
        <f>SUMIFS(T_Shipments[Confirmed_Qty],T_Shipments[RM_Code],$A92,T_Shipments[Effective_Week],76)</f>
        <v/>
      </c>
      <c r="BZ92">
        <f>SUMIFS(T_Shipments[Confirmed_Qty],T_Shipments[RM_Code],$A92,T_Shipments[Effective_Week],77)</f>
        <v/>
      </c>
      <c r="CA92">
        <f>SUMIFS(T_Shipments[Confirmed_Qty],T_Shipments[RM_Code],$A92,T_Shipments[Effective_Week],78)</f>
        <v/>
      </c>
      <c r="CB92">
        <f>SUMIFS(T_Shipments[Confirmed_Qty],T_Shipments[RM_Code],$A92,T_Shipments[Effective_Week],79)</f>
        <v/>
      </c>
      <c r="CC92">
        <f>SUMIFS(T_Shipments[Confirmed_Qty],T_Shipments[RM_Code],$A92,T_Shipments[Effective_Week],80)</f>
        <v/>
      </c>
      <c r="CD92">
        <f>SUMIFS(T_Shipments[Confirmed_Qty],T_Shipments[RM_Code],$A92,T_Shipments[Effective_Week],81)</f>
        <v/>
      </c>
      <c r="CE92">
        <f>SUMIFS(T_Shipments[Confirmed_Qty],T_Shipments[RM_Code],$A92,T_Shipments[Effective_Week],82)</f>
        <v/>
      </c>
      <c r="CF92">
        <f>SUMIFS(T_Shipments[Confirmed_Qty],T_Shipments[RM_Code],$A92,T_Shipments[Effective_Week],83)</f>
        <v/>
      </c>
      <c r="CG92">
        <f>SUMIFS(T_Shipments[Confirmed_Qty],T_Shipments[RM_Code],$A92,T_Shipments[Effective_Week],84)</f>
        <v/>
      </c>
      <c r="CH92">
        <f>SUMIFS(T_Shipments[Confirmed_Qty],T_Shipments[RM_Code],$A92,T_Shipments[Effective_Week],85)</f>
        <v/>
      </c>
      <c r="CI92">
        <f>SUMIFS(T_Shipments[Confirmed_Qty],T_Shipments[RM_Code],$A92,T_Shipments[Effective_Week],86)</f>
        <v/>
      </c>
      <c r="CJ92">
        <f>SUMIFS(T_Shipments[Confirmed_Qty],T_Shipments[RM_Code],$A92,T_Shipments[Effective_Week],87)</f>
        <v/>
      </c>
      <c r="CK92">
        <f>SUMIFS(T_Shipments[Confirmed_Qty],T_Shipments[RM_Code],$A92,T_Shipments[Effective_Week],88)</f>
        <v/>
      </c>
      <c r="CL92">
        <f>SUMIFS(T_Shipments[Confirmed_Qty],T_Shipments[RM_Code],$A92,T_Shipments[Effective_Week],89)</f>
        <v/>
      </c>
      <c r="CM92">
        <f>SUMIFS(T_Shipments[Confirmed_Qty],T_Shipments[RM_Code],$A92,T_Shipments[Effective_Week],90)</f>
        <v/>
      </c>
      <c r="CN92">
        <f>SUMIFS(T_Shipments[Confirmed_Qty],T_Shipments[RM_Code],$A92,T_Shipments[Effective_Week],91)</f>
        <v/>
      </c>
      <c r="CO92">
        <f>SUMIFS(T_Shipments[Confirmed_Qty],T_Shipments[RM_Code],$A92,T_Shipments[Effective_Week],92)</f>
        <v/>
      </c>
      <c r="CP92">
        <f>SUMIFS(T_Shipments[Confirmed_Qty],T_Shipments[RM_Code],$A92,T_Shipments[Effective_Week],93)</f>
        <v/>
      </c>
      <c r="CQ92">
        <f>SUMIFS(T_Shipments[Confirmed_Qty],T_Shipments[RM_Code],$A92,T_Shipments[Effective_Week],94)</f>
        <v/>
      </c>
      <c r="CR92">
        <f>SUMIFS(T_Shipments[Confirmed_Qty],T_Shipments[RM_Code],$A92,T_Shipments[Effective_Week],95)</f>
        <v/>
      </c>
      <c r="CS92">
        <f>SUMIFS(T_Shipments[Confirmed_Qty],T_Shipments[RM_Code],$A92,T_Shipments[Effective_Week],96)</f>
        <v/>
      </c>
      <c r="CT92">
        <f>SUMIFS(T_Shipments[Confirmed_Qty],T_Shipments[RM_Code],$A92,T_Shipments[Effective_Week],97)</f>
        <v/>
      </c>
      <c r="CU92">
        <f>SUMIFS(T_Shipments[Confirmed_Qty],T_Shipments[RM_Code],$A92,T_Shipments[Effective_Week],98)</f>
        <v/>
      </c>
      <c r="CV92">
        <f>SUMIFS(T_Shipments[Confirmed_Qty],T_Shipments[RM_Code],$A92,T_Shipments[Effective_Week],99)</f>
        <v/>
      </c>
      <c r="CW92">
        <f>SUMIFS(T_Shipments[Confirmed_Qty],T_Shipments[RM_Code],$A92,T_Shipments[Effective_Week],100)</f>
        <v/>
      </c>
      <c r="CX92">
        <f>SUMIFS(T_Shipments[Confirmed_Qty],T_Shipments[RM_Code],$A92,T_Shipments[Effective_Week],101)</f>
        <v/>
      </c>
      <c r="CY92">
        <f>SUMIFS(T_Shipments[Confirmed_Qty],T_Shipments[RM_Code],$A92,T_Shipments[Effective_Week],102)</f>
        <v/>
      </c>
      <c r="CZ92">
        <f>SUMIFS(T_Shipments[Confirmed_Qty],T_Shipments[RM_Code],$A92,T_Shipments[Effective_Week],103)</f>
        <v/>
      </c>
      <c r="DA92">
        <f>SUMIFS(T_Shipments[Confirmed_Qty],T_Shipments[RM_Code],$A92,T_Shipments[Effective_Week],104)</f>
        <v/>
      </c>
    </row>
    <row r="93">
      <c r="A93" t="inlineStr">
        <is>
          <t>CHEM-1030</t>
        </is>
      </c>
      <c r="B93">
        <f>SUMIFS(T_Shipments[Confirmed_Qty],T_Shipments[RM_Code],$A93,T_Shipments[Effective_Week],1)</f>
        <v/>
      </c>
      <c r="C93">
        <f>SUMIFS(T_Shipments[Confirmed_Qty],T_Shipments[RM_Code],$A93,T_Shipments[Effective_Week],2)</f>
        <v/>
      </c>
      <c r="D93">
        <f>SUMIFS(T_Shipments[Confirmed_Qty],T_Shipments[RM_Code],$A93,T_Shipments[Effective_Week],3)</f>
        <v/>
      </c>
      <c r="E93">
        <f>SUMIFS(T_Shipments[Confirmed_Qty],T_Shipments[RM_Code],$A93,T_Shipments[Effective_Week],4)</f>
        <v/>
      </c>
      <c r="F93">
        <f>SUMIFS(T_Shipments[Confirmed_Qty],T_Shipments[RM_Code],$A93,T_Shipments[Effective_Week],5)</f>
        <v/>
      </c>
      <c r="G93">
        <f>SUMIFS(T_Shipments[Confirmed_Qty],T_Shipments[RM_Code],$A93,T_Shipments[Effective_Week],6)</f>
        <v/>
      </c>
      <c r="H93">
        <f>SUMIFS(T_Shipments[Confirmed_Qty],T_Shipments[RM_Code],$A93,T_Shipments[Effective_Week],7)</f>
        <v/>
      </c>
      <c r="I93">
        <f>SUMIFS(T_Shipments[Confirmed_Qty],T_Shipments[RM_Code],$A93,T_Shipments[Effective_Week],8)</f>
        <v/>
      </c>
      <c r="J93">
        <f>SUMIFS(T_Shipments[Confirmed_Qty],T_Shipments[RM_Code],$A93,T_Shipments[Effective_Week],9)</f>
        <v/>
      </c>
      <c r="K93">
        <f>SUMIFS(T_Shipments[Confirmed_Qty],T_Shipments[RM_Code],$A93,T_Shipments[Effective_Week],10)</f>
        <v/>
      </c>
      <c r="L93">
        <f>SUMIFS(T_Shipments[Confirmed_Qty],T_Shipments[RM_Code],$A93,T_Shipments[Effective_Week],11)</f>
        <v/>
      </c>
      <c r="M93">
        <f>SUMIFS(T_Shipments[Confirmed_Qty],T_Shipments[RM_Code],$A93,T_Shipments[Effective_Week],12)</f>
        <v/>
      </c>
      <c r="N93">
        <f>SUMIFS(T_Shipments[Confirmed_Qty],T_Shipments[RM_Code],$A93,T_Shipments[Effective_Week],13)</f>
        <v/>
      </c>
      <c r="O93">
        <f>SUMIFS(T_Shipments[Confirmed_Qty],T_Shipments[RM_Code],$A93,T_Shipments[Effective_Week],14)</f>
        <v/>
      </c>
      <c r="P93">
        <f>SUMIFS(T_Shipments[Confirmed_Qty],T_Shipments[RM_Code],$A93,T_Shipments[Effective_Week],15)</f>
        <v/>
      </c>
      <c r="Q93">
        <f>SUMIFS(T_Shipments[Confirmed_Qty],T_Shipments[RM_Code],$A93,T_Shipments[Effective_Week],16)</f>
        <v/>
      </c>
      <c r="R93">
        <f>SUMIFS(T_Shipments[Confirmed_Qty],T_Shipments[RM_Code],$A93,T_Shipments[Effective_Week],17)</f>
        <v/>
      </c>
      <c r="S93">
        <f>SUMIFS(T_Shipments[Confirmed_Qty],T_Shipments[RM_Code],$A93,T_Shipments[Effective_Week],18)</f>
        <v/>
      </c>
      <c r="T93">
        <f>SUMIFS(T_Shipments[Confirmed_Qty],T_Shipments[RM_Code],$A93,T_Shipments[Effective_Week],19)</f>
        <v/>
      </c>
      <c r="U93">
        <f>SUMIFS(T_Shipments[Confirmed_Qty],T_Shipments[RM_Code],$A93,T_Shipments[Effective_Week],20)</f>
        <v/>
      </c>
      <c r="V93">
        <f>SUMIFS(T_Shipments[Confirmed_Qty],T_Shipments[RM_Code],$A93,T_Shipments[Effective_Week],21)</f>
        <v/>
      </c>
      <c r="W93">
        <f>SUMIFS(T_Shipments[Confirmed_Qty],T_Shipments[RM_Code],$A93,T_Shipments[Effective_Week],22)</f>
        <v/>
      </c>
      <c r="X93">
        <f>SUMIFS(T_Shipments[Confirmed_Qty],T_Shipments[RM_Code],$A93,T_Shipments[Effective_Week],23)</f>
        <v/>
      </c>
      <c r="Y93">
        <f>SUMIFS(T_Shipments[Confirmed_Qty],T_Shipments[RM_Code],$A93,T_Shipments[Effective_Week],24)</f>
        <v/>
      </c>
      <c r="Z93">
        <f>SUMIFS(T_Shipments[Confirmed_Qty],T_Shipments[RM_Code],$A93,T_Shipments[Effective_Week],25)</f>
        <v/>
      </c>
      <c r="AA93">
        <f>SUMIFS(T_Shipments[Confirmed_Qty],T_Shipments[RM_Code],$A93,T_Shipments[Effective_Week],26)</f>
        <v/>
      </c>
      <c r="AB93">
        <f>SUMIFS(T_Shipments[Confirmed_Qty],T_Shipments[RM_Code],$A93,T_Shipments[Effective_Week],27)</f>
        <v/>
      </c>
      <c r="AC93">
        <f>SUMIFS(T_Shipments[Confirmed_Qty],T_Shipments[RM_Code],$A93,T_Shipments[Effective_Week],28)</f>
        <v/>
      </c>
      <c r="AD93">
        <f>SUMIFS(T_Shipments[Confirmed_Qty],T_Shipments[RM_Code],$A93,T_Shipments[Effective_Week],29)</f>
        <v/>
      </c>
      <c r="AE93">
        <f>SUMIFS(T_Shipments[Confirmed_Qty],T_Shipments[RM_Code],$A93,T_Shipments[Effective_Week],30)</f>
        <v/>
      </c>
      <c r="AF93">
        <f>SUMIFS(T_Shipments[Confirmed_Qty],T_Shipments[RM_Code],$A93,T_Shipments[Effective_Week],31)</f>
        <v/>
      </c>
      <c r="AG93">
        <f>SUMIFS(T_Shipments[Confirmed_Qty],T_Shipments[RM_Code],$A93,T_Shipments[Effective_Week],32)</f>
        <v/>
      </c>
      <c r="AH93">
        <f>SUMIFS(T_Shipments[Confirmed_Qty],T_Shipments[RM_Code],$A93,T_Shipments[Effective_Week],33)</f>
        <v/>
      </c>
      <c r="AI93">
        <f>SUMIFS(T_Shipments[Confirmed_Qty],T_Shipments[RM_Code],$A93,T_Shipments[Effective_Week],34)</f>
        <v/>
      </c>
      <c r="AJ93">
        <f>SUMIFS(T_Shipments[Confirmed_Qty],T_Shipments[RM_Code],$A93,T_Shipments[Effective_Week],35)</f>
        <v/>
      </c>
      <c r="AK93">
        <f>SUMIFS(T_Shipments[Confirmed_Qty],T_Shipments[RM_Code],$A93,T_Shipments[Effective_Week],36)</f>
        <v/>
      </c>
      <c r="AL93">
        <f>SUMIFS(T_Shipments[Confirmed_Qty],T_Shipments[RM_Code],$A93,T_Shipments[Effective_Week],37)</f>
        <v/>
      </c>
      <c r="AM93">
        <f>SUMIFS(T_Shipments[Confirmed_Qty],T_Shipments[RM_Code],$A93,T_Shipments[Effective_Week],38)</f>
        <v/>
      </c>
      <c r="AN93">
        <f>SUMIFS(T_Shipments[Confirmed_Qty],T_Shipments[RM_Code],$A93,T_Shipments[Effective_Week],39)</f>
        <v/>
      </c>
      <c r="AO93">
        <f>SUMIFS(T_Shipments[Confirmed_Qty],T_Shipments[RM_Code],$A93,T_Shipments[Effective_Week],40)</f>
        <v/>
      </c>
      <c r="AP93">
        <f>SUMIFS(T_Shipments[Confirmed_Qty],T_Shipments[RM_Code],$A93,T_Shipments[Effective_Week],41)</f>
        <v/>
      </c>
      <c r="AQ93">
        <f>SUMIFS(T_Shipments[Confirmed_Qty],T_Shipments[RM_Code],$A93,T_Shipments[Effective_Week],42)</f>
        <v/>
      </c>
      <c r="AR93">
        <f>SUMIFS(T_Shipments[Confirmed_Qty],T_Shipments[RM_Code],$A93,T_Shipments[Effective_Week],43)</f>
        <v/>
      </c>
      <c r="AS93">
        <f>SUMIFS(T_Shipments[Confirmed_Qty],T_Shipments[RM_Code],$A93,T_Shipments[Effective_Week],44)</f>
        <v/>
      </c>
      <c r="AT93">
        <f>SUMIFS(T_Shipments[Confirmed_Qty],T_Shipments[RM_Code],$A93,T_Shipments[Effective_Week],45)</f>
        <v/>
      </c>
      <c r="AU93">
        <f>SUMIFS(T_Shipments[Confirmed_Qty],T_Shipments[RM_Code],$A93,T_Shipments[Effective_Week],46)</f>
        <v/>
      </c>
      <c r="AV93">
        <f>SUMIFS(T_Shipments[Confirmed_Qty],T_Shipments[RM_Code],$A93,T_Shipments[Effective_Week],47)</f>
        <v/>
      </c>
      <c r="AW93">
        <f>SUMIFS(T_Shipments[Confirmed_Qty],T_Shipments[RM_Code],$A93,T_Shipments[Effective_Week],48)</f>
        <v/>
      </c>
      <c r="AX93">
        <f>SUMIFS(T_Shipments[Confirmed_Qty],T_Shipments[RM_Code],$A93,T_Shipments[Effective_Week],49)</f>
        <v/>
      </c>
      <c r="AY93">
        <f>SUMIFS(T_Shipments[Confirmed_Qty],T_Shipments[RM_Code],$A93,T_Shipments[Effective_Week],50)</f>
        <v/>
      </c>
      <c r="AZ93">
        <f>SUMIFS(T_Shipments[Confirmed_Qty],T_Shipments[RM_Code],$A93,T_Shipments[Effective_Week],51)</f>
        <v/>
      </c>
      <c r="BA93">
        <f>SUMIFS(T_Shipments[Confirmed_Qty],T_Shipments[RM_Code],$A93,T_Shipments[Effective_Week],52)</f>
        <v/>
      </c>
      <c r="BB93">
        <f>SUMIFS(T_Shipments[Confirmed_Qty],T_Shipments[RM_Code],$A93,T_Shipments[Effective_Week],53)</f>
        <v/>
      </c>
      <c r="BC93">
        <f>SUMIFS(T_Shipments[Confirmed_Qty],T_Shipments[RM_Code],$A93,T_Shipments[Effective_Week],54)</f>
        <v/>
      </c>
      <c r="BD93">
        <f>SUMIFS(T_Shipments[Confirmed_Qty],T_Shipments[RM_Code],$A93,T_Shipments[Effective_Week],55)</f>
        <v/>
      </c>
      <c r="BE93">
        <f>SUMIFS(T_Shipments[Confirmed_Qty],T_Shipments[RM_Code],$A93,T_Shipments[Effective_Week],56)</f>
        <v/>
      </c>
      <c r="BF93">
        <f>SUMIFS(T_Shipments[Confirmed_Qty],T_Shipments[RM_Code],$A93,T_Shipments[Effective_Week],57)</f>
        <v/>
      </c>
      <c r="BG93">
        <f>SUMIFS(T_Shipments[Confirmed_Qty],T_Shipments[RM_Code],$A93,T_Shipments[Effective_Week],58)</f>
        <v/>
      </c>
      <c r="BH93">
        <f>SUMIFS(T_Shipments[Confirmed_Qty],T_Shipments[RM_Code],$A93,T_Shipments[Effective_Week],59)</f>
        <v/>
      </c>
      <c r="BI93">
        <f>SUMIFS(T_Shipments[Confirmed_Qty],T_Shipments[RM_Code],$A93,T_Shipments[Effective_Week],60)</f>
        <v/>
      </c>
      <c r="BJ93">
        <f>SUMIFS(T_Shipments[Confirmed_Qty],T_Shipments[RM_Code],$A93,T_Shipments[Effective_Week],61)</f>
        <v/>
      </c>
      <c r="BK93">
        <f>SUMIFS(T_Shipments[Confirmed_Qty],T_Shipments[RM_Code],$A93,T_Shipments[Effective_Week],62)</f>
        <v/>
      </c>
      <c r="BL93">
        <f>SUMIFS(T_Shipments[Confirmed_Qty],T_Shipments[RM_Code],$A93,T_Shipments[Effective_Week],63)</f>
        <v/>
      </c>
      <c r="BM93">
        <f>SUMIFS(T_Shipments[Confirmed_Qty],T_Shipments[RM_Code],$A93,T_Shipments[Effective_Week],64)</f>
        <v/>
      </c>
      <c r="BN93">
        <f>SUMIFS(T_Shipments[Confirmed_Qty],T_Shipments[RM_Code],$A93,T_Shipments[Effective_Week],65)</f>
        <v/>
      </c>
      <c r="BO93">
        <f>SUMIFS(T_Shipments[Confirmed_Qty],T_Shipments[RM_Code],$A93,T_Shipments[Effective_Week],66)</f>
        <v/>
      </c>
      <c r="BP93">
        <f>SUMIFS(T_Shipments[Confirmed_Qty],T_Shipments[RM_Code],$A93,T_Shipments[Effective_Week],67)</f>
        <v/>
      </c>
      <c r="BQ93">
        <f>SUMIFS(T_Shipments[Confirmed_Qty],T_Shipments[RM_Code],$A93,T_Shipments[Effective_Week],68)</f>
        <v/>
      </c>
      <c r="BR93">
        <f>SUMIFS(T_Shipments[Confirmed_Qty],T_Shipments[RM_Code],$A93,T_Shipments[Effective_Week],69)</f>
        <v/>
      </c>
      <c r="BS93">
        <f>SUMIFS(T_Shipments[Confirmed_Qty],T_Shipments[RM_Code],$A93,T_Shipments[Effective_Week],70)</f>
        <v/>
      </c>
      <c r="BT93">
        <f>SUMIFS(T_Shipments[Confirmed_Qty],T_Shipments[RM_Code],$A93,T_Shipments[Effective_Week],71)</f>
        <v/>
      </c>
      <c r="BU93">
        <f>SUMIFS(T_Shipments[Confirmed_Qty],T_Shipments[RM_Code],$A93,T_Shipments[Effective_Week],72)</f>
        <v/>
      </c>
      <c r="BV93">
        <f>SUMIFS(T_Shipments[Confirmed_Qty],T_Shipments[RM_Code],$A93,T_Shipments[Effective_Week],73)</f>
        <v/>
      </c>
      <c r="BW93">
        <f>SUMIFS(T_Shipments[Confirmed_Qty],T_Shipments[RM_Code],$A93,T_Shipments[Effective_Week],74)</f>
        <v/>
      </c>
      <c r="BX93">
        <f>SUMIFS(T_Shipments[Confirmed_Qty],T_Shipments[RM_Code],$A93,T_Shipments[Effective_Week],75)</f>
        <v/>
      </c>
      <c r="BY93">
        <f>SUMIFS(T_Shipments[Confirmed_Qty],T_Shipments[RM_Code],$A93,T_Shipments[Effective_Week],76)</f>
        <v/>
      </c>
      <c r="BZ93">
        <f>SUMIFS(T_Shipments[Confirmed_Qty],T_Shipments[RM_Code],$A93,T_Shipments[Effective_Week],77)</f>
        <v/>
      </c>
      <c r="CA93">
        <f>SUMIFS(T_Shipments[Confirmed_Qty],T_Shipments[RM_Code],$A93,T_Shipments[Effective_Week],78)</f>
        <v/>
      </c>
      <c r="CB93">
        <f>SUMIFS(T_Shipments[Confirmed_Qty],T_Shipments[RM_Code],$A93,T_Shipments[Effective_Week],79)</f>
        <v/>
      </c>
      <c r="CC93">
        <f>SUMIFS(T_Shipments[Confirmed_Qty],T_Shipments[RM_Code],$A93,T_Shipments[Effective_Week],80)</f>
        <v/>
      </c>
      <c r="CD93">
        <f>SUMIFS(T_Shipments[Confirmed_Qty],T_Shipments[RM_Code],$A93,T_Shipments[Effective_Week],81)</f>
        <v/>
      </c>
      <c r="CE93">
        <f>SUMIFS(T_Shipments[Confirmed_Qty],T_Shipments[RM_Code],$A93,T_Shipments[Effective_Week],82)</f>
        <v/>
      </c>
      <c r="CF93">
        <f>SUMIFS(T_Shipments[Confirmed_Qty],T_Shipments[RM_Code],$A93,T_Shipments[Effective_Week],83)</f>
        <v/>
      </c>
      <c r="CG93">
        <f>SUMIFS(T_Shipments[Confirmed_Qty],T_Shipments[RM_Code],$A93,T_Shipments[Effective_Week],84)</f>
        <v/>
      </c>
      <c r="CH93">
        <f>SUMIFS(T_Shipments[Confirmed_Qty],T_Shipments[RM_Code],$A93,T_Shipments[Effective_Week],85)</f>
        <v/>
      </c>
      <c r="CI93">
        <f>SUMIFS(T_Shipments[Confirmed_Qty],T_Shipments[RM_Code],$A93,T_Shipments[Effective_Week],86)</f>
        <v/>
      </c>
      <c r="CJ93">
        <f>SUMIFS(T_Shipments[Confirmed_Qty],T_Shipments[RM_Code],$A93,T_Shipments[Effective_Week],87)</f>
        <v/>
      </c>
      <c r="CK93">
        <f>SUMIFS(T_Shipments[Confirmed_Qty],T_Shipments[RM_Code],$A93,T_Shipments[Effective_Week],88)</f>
        <v/>
      </c>
      <c r="CL93">
        <f>SUMIFS(T_Shipments[Confirmed_Qty],T_Shipments[RM_Code],$A93,T_Shipments[Effective_Week],89)</f>
        <v/>
      </c>
      <c r="CM93">
        <f>SUMIFS(T_Shipments[Confirmed_Qty],T_Shipments[RM_Code],$A93,T_Shipments[Effective_Week],90)</f>
        <v/>
      </c>
      <c r="CN93">
        <f>SUMIFS(T_Shipments[Confirmed_Qty],T_Shipments[RM_Code],$A93,T_Shipments[Effective_Week],91)</f>
        <v/>
      </c>
      <c r="CO93">
        <f>SUMIFS(T_Shipments[Confirmed_Qty],T_Shipments[RM_Code],$A93,T_Shipments[Effective_Week],92)</f>
        <v/>
      </c>
      <c r="CP93">
        <f>SUMIFS(T_Shipments[Confirmed_Qty],T_Shipments[RM_Code],$A93,T_Shipments[Effective_Week],93)</f>
        <v/>
      </c>
      <c r="CQ93">
        <f>SUMIFS(T_Shipments[Confirmed_Qty],T_Shipments[RM_Code],$A93,T_Shipments[Effective_Week],94)</f>
        <v/>
      </c>
      <c r="CR93">
        <f>SUMIFS(T_Shipments[Confirmed_Qty],T_Shipments[RM_Code],$A93,T_Shipments[Effective_Week],95)</f>
        <v/>
      </c>
      <c r="CS93">
        <f>SUMIFS(T_Shipments[Confirmed_Qty],T_Shipments[RM_Code],$A93,T_Shipments[Effective_Week],96)</f>
        <v/>
      </c>
      <c r="CT93">
        <f>SUMIFS(T_Shipments[Confirmed_Qty],T_Shipments[RM_Code],$A93,T_Shipments[Effective_Week],97)</f>
        <v/>
      </c>
      <c r="CU93">
        <f>SUMIFS(T_Shipments[Confirmed_Qty],T_Shipments[RM_Code],$A93,T_Shipments[Effective_Week],98)</f>
        <v/>
      </c>
      <c r="CV93">
        <f>SUMIFS(T_Shipments[Confirmed_Qty],T_Shipments[RM_Code],$A93,T_Shipments[Effective_Week],99)</f>
        <v/>
      </c>
      <c r="CW93">
        <f>SUMIFS(T_Shipments[Confirmed_Qty],T_Shipments[RM_Code],$A93,T_Shipments[Effective_Week],100)</f>
        <v/>
      </c>
      <c r="CX93">
        <f>SUMIFS(T_Shipments[Confirmed_Qty],T_Shipments[RM_Code],$A93,T_Shipments[Effective_Week],101)</f>
        <v/>
      </c>
      <c r="CY93">
        <f>SUMIFS(T_Shipments[Confirmed_Qty],T_Shipments[RM_Code],$A93,T_Shipments[Effective_Week],102)</f>
        <v/>
      </c>
      <c r="CZ93">
        <f>SUMIFS(T_Shipments[Confirmed_Qty],T_Shipments[RM_Code],$A93,T_Shipments[Effective_Week],103)</f>
        <v/>
      </c>
      <c r="DA93">
        <f>SUMIFS(T_Shipments[Confirmed_Qty],T_Shipments[RM_Code],$A93,T_Shipments[Effective_Week],104)</f>
        <v/>
      </c>
    </row>
    <row r="94">
      <c r="A94" t="inlineStr">
        <is>
          <t>CHEM-1800</t>
        </is>
      </c>
      <c r="B94">
        <f>SUMIFS(T_Shipments[Confirmed_Qty],T_Shipments[RM_Code],$A94,T_Shipments[Effective_Week],1)</f>
        <v/>
      </c>
      <c r="C94">
        <f>SUMIFS(T_Shipments[Confirmed_Qty],T_Shipments[RM_Code],$A94,T_Shipments[Effective_Week],2)</f>
        <v/>
      </c>
      <c r="D94">
        <f>SUMIFS(T_Shipments[Confirmed_Qty],T_Shipments[RM_Code],$A94,T_Shipments[Effective_Week],3)</f>
        <v/>
      </c>
      <c r="E94">
        <f>SUMIFS(T_Shipments[Confirmed_Qty],T_Shipments[RM_Code],$A94,T_Shipments[Effective_Week],4)</f>
        <v/>
      </c>
      <c r="F94">
        <f>SUMIFS(T_Shipments[Confirmed_Qty],T_Shipments[RM_Code],$A94,T_Shipments[Effective_Week],5)</f>
        <v/>
      </c>
      <c r="G94">
        <f>SUMIFS(T_Shipments[Confirmed_Qty],T_Shipments[RM_Code],$A94,T_Shipments[Effective_Week],6)</f>
        <v/>
      </c>
      <c r="H94">
        <f>SUMIFS(T_Shipments[Confirmed_Qty],T_Shipments[RM_Code],$A94,T_Shipments[Effective_Week],7)</f>
        <v/>
      </c>
      <c r="I94">
        <f>SUMIFS(T_Shipments[Confirmed_Qty],T_Shipments[RM_Code],$A94,T_Shipments[Effective_Week],8)</f>
        <v/>
      </c>
      <c r="J94">
        <f>SUMIFS(T_Shipments[Confirmed_Qty],T_Shipments[RM_Code],$A94,T_Shipments[Effective_Week],9)</f>
        <v/>
      </c>
      <c r="K94">
        <f>SUMIFS(T_Shipments[Confirmed_Qty],T_Shipments[RM_Code],$A94,T_Shipments[Effective_Week],10)</f>
        <v/>
      </c>
      <c r="L94">
        <f>SUMIFS(T_Shipments[Confirmed_Qty],T_Shipments[RM_Code],$A94,T_Shipments[Effective_Week],11)</f>
        <v/>
      </c>
      <c r="M94">
        <f>SUMIFS(T_Shipments[Confirmed_Qty],T_Shipments[RM_Code],$A94,T_Shipments[Effective_Week],12)</f>
        <v/>
      </c>
      <c r="N94">
        <f>SUMIFS(T_Shipments[Confirmed_Qty],T_Shipments[RM_Code],$A94,T_Shipments[Effective_Week],13)</f>
        <v/>
      </c>
      <c r="O94">
        <f>SUMIFS(T_Shipments[Confirmed_Qty],T_Shipments[RM_Code],$A94,T_Shipments[Effective_Week],14)</f>
        <v/>
      </c>
      <c r="P94">
        <f>SUMIFS(T_Shipments[Confirmed_Qty],T_Shipments[RM_Code],$A94,T_Shipments[Effective_Week],15)</f>
        <v/>
      </c>
      <c r="Q94">
        <f>SUMIFS(T_Shipments[Confirmed_Qty],T_Shipments[RM_Code],$A94,T_Shipments[Effective_Week],16)</f>
        <v/>
      </c>
      <c r="R94">
        <f>SUMIFS(T_Shipments[Confirmed_Qty],T_Shipments[RM_Code],$A94,T_Shipments[Effective_Week],17)</f>
        <v/>
      </c>
      <c r="S94">
        <f>SUMIFS(T_Shipments[Confirmed_Qty],T_Shipments[RM_Code],$A94,T_Shipments[Effective_Week],18)</f>
        <v/>
      </c>
      <c r="T94">
        <f>SUMIFS(T_Shipments[Confirmed_Qty],T_Shipments[RM_Code],$A94,T_Shipments[Effective_Week],19)</f>
        <v/>
      </c>
      <c r="U94">
        <f>SUMIFS(T_Shipments[Confirmed_Qty],T_Shipments[RM_Code],$A94,T_Shipments[Effective_Week],20)</f>
        <v/>
      </c>
      <c r="V94">
        <f>SUMIFS(T_Shipments[Confirmed_Qty],T_Shipments[RM_Code],$A94,T_Shipments[Effective_Week],21)</f>
        <v/>
      </c>
      <c r="W94">
        <f>SUMIFS(T_Shipments[Confirmed_Qty],T_Shipments[RM_Code],$A94,T_Shipments[Effective_Week],22)</f>
        <v/>
      </c>
      <c r="X94">
        <f>SUMIFS(T_Shipments[Confirmed_Qty],T_Shipments[RM_Code],$A94,T_Shipments[Effective_Week],23)</f>
        <v/>
      </c>
      <c r="Y94">
        <f>SUMIFS(T_Shipments[Confirmed_Qty],T_Shipments[RM_Code],$A94,T_Shipments[Effective_Week],24)</f>
        <v/>
      </c>
      <c r="Z94">
        <f>SUMIFS(T_Shipments[Confirmed_Qty],T_Shipments[RM_Code],$A94,T_Shipments[Effective_Week],25)</f>
        <v/>
      </c>
      <c r="AA94">
        <f>SUMIFS(T_Shipments[Confirmed_Qty],T_Shipments[RM_Code],$A94,T_Shipments[Effective_Week],26)</f>
        <v/>
      </c>
      <c r="AB94">
        <f>SUMIFS(T_Shipments[Confirmed_Qty],T_Shipments[RM_Code],$A94,T_Shipments[Effective_Week],27)</f>
        <v/>
      </c>
      <c r="AC94">
        <f>SUMIFS(T_Shipments[Confirmed_Qty],T_Shipments[RM_Code],$A94,T_Shipments[Effective_Week],28)</f>
        <v/>
      </c>
      <c r="AD94">
        <f>SUMIFS(T_Shipments[Confirmed_Qty],T_Shipments[RM_Code],$A94,T_Shipments[Effective_Week],29)</f>
        <v/>
      </c>
      <c r="AE94">
        <f>SUMIFS(T_Shipments[Confirmed_Qty],T_Shipments[RM_Code],$A94,T_Shipments[Effective_Week],30)</f>
        <v/>
      </c>
      <c r="AF94">
        <f>SUMIFS(T_Shipments[Confirmed_Qty],T_Shipments[RM_Code],$A94,T_Shipments[Effective_Week],31)</f>
        <v/>
      </c>
      <c r="AG94">
        <f>SUMIFS(T_Shipments[Confirmed_Qty],T_Shipments[RM_Code],$A94,T_Shipments[Effective_Week],32)</f>
        <v/>
      </c>
      <c r="AH94">
        <f>SUMIFS(T_Shipments[Confirmed_Qty],T_Shipments[RM_Code],$A94,T_Shipments[Effective_Week],33)</f>
        <v/>
      </c>
      <c r="AI94">
        <f>SUMIFS(T_Shipments[Confirmed_Qty],T_Shipments[RM_Code],$A94,T_Shipments[Effective_Week],34)</f>
        <v/>
      </c>
      <c r="AJ94">
        <f>SUMIFS(T_Shipments[Confirmed_Qty],T_Shipments[RM_Code],$A94,T_Shipments[Effective_Week],35)</f>
        <v/>
      </c>
      <c r="AK94">
        <f>SUMIFS(T_Shipments[Confirmed_Qty],T_Shipments[RM_Code],$A94,T_Shipments[Effective_Week],36)</f>
        <v/>
      </c>
      <c r="AL94">
        <f>SUMIFS(T_Shipments[Confirmed_Qty],T_Shipments[RM_Code],$A94,T_Shipments[Effective_Week],37)</f>
        <v/>
      </c>
      <c r="AM94">
        <f>SUMIFS(T_Shipments[Confirmed_Qty],T_Shipments[RM_Code],$A94,T_Shipments[Effective_Week],38)</f>
        <v/>
      </c>
      <c r="AN94">
        <f>SUMIFS(T_Shipments[Confirmed_Qty],T_Shipments[RM_Code],$A94,T_Shipments[Effective_Week],39)</f>
        <v/>
      </c>
      <c r="AO94">
        <f>SUMIFS(T_Shipments[Confirmed_Qty],T_Shipments[RM_Code],$A94,T_Shipments[Effective_Week],40)</f>
        <v/>
      </c>
      <c r="AP94">
        <f>SUMIFS(T_Shipments[Confirmed_Qty],T_Shipments[RM_Code],$A94,T_Shipments[Effective_Week],41)</f>
        <v/>
      </c>
      <c r="AQ94">
        <f>SUMIFS(T_Shipments[Confirmed_Qty],T_Shipments[RM_Code],$A94,T_Shipments[Effective_Week],42)</f>
        <v/>
      </c>
      <c r="AR94">
        <f>SUMIFS(T_Shipments[Confirmed_Qty],T_Shipments[RM_Code],$A94,T_Shipments[Effective_Week],43)</f>
        <v/>
      </c>
      <c r="AS94">
        <f>SUMIFS(T_Shipments[Confirmed_Qty],T_Shipments[RM_Code],$A94,T_Shipments[Effective_Week],44)</f>
        <v/>
      </c>
      <c r="AT94">
        <f>SUMIFS(T_Shipments[Confirmed_Qty],T_Shipments[RM_Code],$A94,T_Shipments[Effective_Week],45)</f>
        <v/>
      </c>
      <c r="AU94">
        <f>SUMIFS(T_Shipments[Confirmed_Qty],T_Shipments[RM_Code],$A94,T_Shipments[Effective_Week],46)</f>
        <v/>
      </c>
      <c r="AV94">
        <f>SUMIFS(T_Shipments[Confirmed_Qty],T_Shipments[RM_Code],$A94,T_Shipments[Effective_Week],47)</f>
        <v/>
      </c>
      <c r="AW94">
        <f>SUMIFS(T_Shipments[Confirmed_Qty],T_Shipments[RM_Code],$A94,T_Shipments[Effective_Week],48)</f>
        <v/>
      </c>
      <c r="AX94">
        <f>SUMIFS(T_Shipments[Confirmed_Qty],T_Shipments[RM_Code],$A94,T_Shipments[Effective_Week],49)</f>
        <v/>
      </c>
      <c r="AY94">
        <f>SUMIFS(T_Shipments[Confirmed_Qty],T_Shipments[RM_Code],$A94,T_Shipments[Effective_Week],50)</f>
        <v/>
      </c>
      <c r="AZ94">
        <f>SUMIFS(T_Shipments[Confirmed_Qty],T_Shipments[RM_Code],$A94,T_Shipments[Effective_Week],51)</f>
        <v/>
      </c>
      <c r="BA94">
        <f>SUMIFS(T_Shipments[Confirmed_Qty],T_Shipments[RM_Code],$A94,T_Shipments[Effective_Week],52)</f>
        <v/>
      </c>
      <c r="BB94">
        <f>SUMIFS(T_Shipments[Confirmed_Qty],T_Shipments[RM_Code],$A94,T_Shipments[Effective_Week],53)</f>
        <v/>
      </c>
      <c r="BC94">
        <f>SUMIFS(T_Shipments[Confirmed_Qty],T_Shipments[RM_Code],$A94,T_Shipments[Effective_Week],54)</f>
        <v/>
      </c>
      <c r="BD94">
        <f>SUMIFS(T_Shipments[Confirmed_Qty],T_Shipments[RM_Code],$A94,T_Shipments[Effective_Week],55)</f>
        <v/>
      </c>
      <c r="BE94">
        <f>SUMIFS(T_Shipments[Confirmed_Qty],T_Shipments[RM_Code],$A94,T_Shipments[Effective_Week],56)</f>
        <v/>
      </c>
      <c r="BF94">
        <f>SUMIFS(T_Shipments[Confirmed_Qty],T_Shipments[RM_Code],$A94,T_Shipments[Effective_Week],57)</f>
        <v/>
      </c>
      <c r="BG94">
        <f>SUMIFS(T_Shipments[Confirmed_Qty],T_Shipments[RM_Code],$A94,T_Shipments[Effective_Week],58)</f>
        <v/>
      </c>
      <c r="BH94">
        <f>SUMIFS(T_Shipments[Confirmed_Qty],T_Shipments[RM_Code],$A94,T_Shipments[Effective_Week],59)</f>
        <v/>
      </c>
      <c r="BI94">
        <f>SUMIFS(T_Shipments[Confirmed_Qty],T_Shipments[RM_Code],$A94,T_Shipments[Effective_Week],60)</f>
        <v/>
      </c>
      <c r="BJ94">
        <f>SUMIFS(T_Shipments[Confirmed_Qty],T_Shipments[RM_Code],$A94,T_Shipments[Effective_Week],61)</f>
        <v/>
      </c>
      <c r="BK94">
        <f>SUMIFS(T_Shipments[Confirmed_Qty],T_Shipments[RM_Code],$A94,T_Shipments[Effective_Week],62)</f>
        <v/>
      </c>
      <c r="BL94">
        <f>SUMIFS(T_Shipments[Confirmed_Qty],T_Shipments[RM_Code],$A94,T_Shipments[Effective_Week],63)</f>
        <v/>
      </c>
      <c r="BM94">
        <f>SUMIFS(T_Shipments[Confirmed_Qty],T_Shipments[RM_Code],$A94,T_Shipments[Effective_Week],64)</f>
        <v/>
      </c>
      <c r="BN94">
        <f>SUMIFS(T_Shipments[Confirmed_Qty],T_Shipments[RM_Code],$A94,T_Shipments[Effective_Week],65)</f>
        <v/>
      </c>
      <c r="BO94">
        <f>SUMIFS(T_Shipments[Confirmed_Qty],T_Shipments[RM_Code],$A94,T_Shipments[Effective_Week],66)</f>
        <v/>
      </c>
      <c r="BP94">
        <f>SUMIFS(T_Shipments[Confirmed_Qty],T_Shipments[RM_Code],$A94,T_Shipments[Effective_Week],67)</f>
        <v/>
      </c>
      <c r="BQ94">
        <f>SUMIFS(T_Shipments[Confirmed_Qty],T_Shipments[RM_Code],$A94,T_Shipments[Effective_Week],68)</f>
        <v/>
      </c>
      <c r="BR94">
        <f>SUMIFS(T_Shipments[Confirmed_Qty],T_Shipments[RM_Code],$A94,T_Shipments[Effective_Week],69)</f>
        <v/>
      </c>
      <c r="BS94">
        <f>SUMIFS(T_Shipments[Confirmed_Qty],T_Shipments[RM_Code],$A94,T_Shipments[Effective_Week],70)</f>
        <v/>
      </c>
      <c r="BT94">
        <f>SUMIFS(T_Shipments[Confirmed_Qty],T_Shipments[RM_Code],$A94,T_Shipments[Effective_Week],71)</f>
        <v/>
      </c>
      <c r="BU94">
        <f>SUMIFS(T_Shipments[Confirmed_Qty],T_Shipments[RM_Code],$A94,T_Shipments[Effective_Week],72)</f>
        <v/>
      </c>
      <c r="BV94">
        <f>SUMIFS(T_Shipments[Confirmed_Qty],T_Shipments[RM_Code],$A94,T_Shipments[Effective_Week],73)</f>
        <v/>
      </c>
      <c r="BW94">
        <f>SUMIFS(T_Shipments[Confirmed_Qty],T_Shipments[RM_Code],$A94,T_Shipments[Effective_Week],74)</f>
        <v/>
      </c>
      <c r="BX94">
        <f>SUMIFS(T_Shipments[Confirmed_Qty],T_Shipments[RM_Code],$A94,T_Shipments[Effective_Week],75)</f>
        <v/>
      </c>
      <c r="BY94">
        <f>SUMIFS(T_Shipments[Confirmed_Qty],T_Shipments[RM_Code],$A94,T_Shipments[Effective_Week],76)</f>
        <v/>
      </c>
      <c r="BZ94">
        <f>SUMIFS(T_Shipments[Confirmed_Qty],T_Shipments[RM_Code],$A94,T_Shipments[Effective_Week],77)</f>
        <v/>
      </c>
      <c r="CA94">
        <f>SUMIFS(T_Shipments[Confirmed_Qty],T_Shipments[RM_Code],$A94,T_Shipments[Effective_Week],78)</f>
        <v/>
      </c>
      <c r="CB94">
        <f>SUMIFS(T_Shipments[Confirmed_Qty],T_Shipments[RM_Code],$A94,T_Shipments[Effective_Week],79)</f>
        <v/>
      </c>
      <c r="CC94">
        <f>SUMIFS(T_Shipments[Confirmed_Qty],T_Shipments[RM_Code],$A94,T_Shipments[Effective_Week],80)</f>
        <v/>
      </c>
      <c r="CD94">
        <f>SUMIFS(T_Shipments[Confirmed_Qty],T_Shipments[RM_Code],$A94,T_Shipments[Effective_Week],81)</f>
        <v/>
      </c>
      <c r="CE94">
        <f>SUMIFS(T_Shipments[Confirmed_Qty],T_Shipments[RM_Code],$A94,T_Shipments[Effective_Week],82)</f>
        <v/>
      </c>
      <c r="CF94">
        <f>SUMIFS(T_Shipments[Confirmed_Qty],T_Shipments[RM_Code],$A94,T_Shipments[Effective_Week],83)</f>
        <v/>
      </c>
      <c r="CG94">
        <f>SUMIFS(T_Shipments[Confirmed_Qty],T_Shipments[RM_Code],$A94,T_Shipments[Effective_Week],84)</f>
        <v/>
      </c>
      <c r="CH94">
        <f>SUMIFS(T_Shipments[Confirmed_Qty],T_Shipments[RM_Code],$A94,T_Shipments[Effective_Week],85)</f>
        <v/>
      </c>
      <c r="CI94">
        <f>SUMIFS(T_Shipments[Confirmed_Qty],T_Shipments[RM_Code],$A94,T_Shipments[Effective_Week],86)</f>
        <v/>
      </c>
      <c r="CJ94">
        <f>SUMIFS(T_Shipments[Confirmed_Qty],T_Shipments[RM_Code],$A94,T_Shipments[Effective_Week],87)</f>
        <v/>
      </c>
      <c r="CK94">
        <f>SUMIFS(T_Shipments[Confirmed_Qty],T_Shipments[RM_Code],$A94,T_Shipments[Effective_Week],88)</f>
        <v/>
      </c>
      <c r="CL94">
        <f>SUMIFS(T_Shipments[Confirmed_Qty],T_Shipments[RM_Code],$A94,T_Shipments[Effective_Week],89)</f>
        <v/>
      </c>
      <c r="CM94">
        <f>SUMIFS(T_Shipments[Confirmed_Qty],T_Shipments[RM_Code],$A94,T_Shipments[Effective_Week],90)</f>
        <v/>
      </c>
      <c r="CN94">
        <f>SUMIFS(T_Shipments[Confirmed_Qty],T_Shipments[RM_Code],$A94,T_Shipments[Effective_Week],91)</f>
        <v/>
      </c>
      <c r="CO94">
        <f>SUMIFS(T_Shipments[Confirmed_Qty],T_Shipments[RM_Code],$A94,T_Shipments[Effective_Week],92)</f>
        <v/>
      </c>
      <c r="CP94">
        <f>SUMIFS(T_Shipments[Confirmed_Qty],T_Shipments[RM_Code],$A94,T_Shipments[Effective_Week],93)</f>
        <v/>
      </c>
      <c r="CQ94">
        <f>SUMIFS(T_Shipments[Confirmed_Qty],T_Shipments[RM_Code],$A94,T_Shipments[Effective_Week],94)</f>
        <v/>
      </c>
      <c r="CR94">
        <f>SUMIFS(T_Shipments[Confirmed_Qty],T_Shipments[RM_Code],$A94,T_Shipments[Effective_Week],95)</f>
        <v/>
      </c>
      <c r="CS94">
        <f>SUMIFS(T_Shipments[Confirmed_Qty],T_Shipments[RM_Code],$A94,T_Shipments[Effective_Week],96)</f>
        <v/>
      </c>
      <c r="CT94">
        <f>SUMIFS(T_Shipments[Confirmed_Qty],T_Shipments[RM_Code],$A94,T_Shipments[Effective_Week],97)</f>
        <v/>
      </c>
      <c r="CU94">
        <f>SUMIFS(T_Shipments[Confirmed_Qty],T_Shipments[RM_Code],$A94,T_Shipments[Effective_Week],98)</f>
        <v/>
      </c>
      <c r="CV94">
        <f>SUMIFS(T_Shipments[Confirmed_Qty],T_Shipments[RM_Code],$A94,T_Shipments[Effective_Week],99)</f>
        <v/>
      </c>
      <c r="CW94">
        <f>SUMIFS(T_Shipments[Confirmed_Qty],T_Shipments[RM_Code],$A94,T_Shipments[Effective_Week],100)</f>
        <v/>
      </c>
      <c r="CX94">
        <f>SUMIFS(T_Shipments[Confirmed_Qty],T_Shipments[RM_Code],$A94,T_Shipments[Effective_Week],101)</f>
        <v/>
      </c>
      <c r="CY94">
        <f>SUMIFS(T_Shipments[Confirmed_Qty],T_Shipments[RM_Code],$A94,T_Shipments[Effective_Week],102)</f>
        <v/>
      </c>
      <c r="CZ94">
        <f>SUMIFS(T_Shipments[Confirmed_Qty],T_Shipments[RM_Code],$A94,T_Shipments[Effective_Week],103)</f>
        <v/>
      </c>
      <c r="DA94">
        <f>SUMIFS(T_Shipments[Confirmed_Qty],T_Shipments[RM_Code],$A94,T_Shipments[Effective_Week],104)</f>
        <v/>
      </c>
    </row>
    <row r="95">
      <c r="A95" t="inlineStr">
        <is>
          <t>CHEM-1710</t>
        </is>
      </c>
      <c r="B95">
        <f>SUMIFS(T_Shipments[Confirmed_Qty],T_Shipments[RM_Code],$A95,T_Shipments[Effective_Week],1)</f>
        <v/>
      </c>
      <c r="C95">
        <f>SUMIFS(T_Shipments[Confirmed_Qty],T_Shipments[RM_Code],$A95,T_Shipments[Effective_Week],2)</f>
        <v/>
      </c>
      <c r="D95">
        <f>SUMIFS(T_Shipments[Confirmed_Qty],T_Shipments[RM_Code],$A95,T_Shipments[Effective_Week],3)</f>
        <v/>
      </c>
      <c r="E95">
        <f>SUMIFS(T_Shipments[Confirmed_Qty],T_Shipments[RM_Code],$A95,T_Shipments[Effective_Week],4)</f>
        <v/>
      </c>
      <c r="F95">
        <f>SUMIFS(T_Shipments[Confirmed_Qty],T_Shipments[RM_Code],$A95,T_Shipments[Effective_Week],5)</f>
        <v/>
      </c>
      <c r="G95">
        <f>SUMIFS(T_Shipments[Confirmed_Qty],T_Shipments[RM_Code],$A95,T_Shipments[Effective_Week],6)</f>
        <v/>
      </c>
      <c r="H95">
        <f>SUMIFS(T_Shipments[Confirmed_Qty],T_Shipments[RM_Code],$A95,T_Shipments[Effective_Week],7)</f>
        <v/>
      </c>
      <c r="I95">
        <f>SUMIFS(T_Shipments[Confirmed_Qty],T_Shipments[RM_Code],$A95,T_Shipments[Effective_Week],8)</f>
        <v/>
      </c>
      <c r="J95">
        <f>SUMIFS(T_Shipments[Confirmed_Qty],T_Shipments[RM_Code],$A95,T_Shipments[Effective_Week],9)</f>
        <v/>
      </c>
      <c r="K95">
        <f>SUMIFS(T_Shipments[Confirmed_Qty],T_Shipments[RM_Code],$A95,T_Shipments[Effective_Week],10)</f>
        <v/>
      </c>
      <c r="L95">
        <f>SUMIFS(T_Shipments[Confirmed_Qty],T_Shipments[RM_Code],$A95,T_Shipments[Effective_Week],11)</f>
        <v/>
      </c>
      <c r="M95">
        <f>SUMIFS(T_Shipments[Confirmed_Qty],T_Shipments[RM_Code],$A95,T_Shipments[Effective_Week],12)</f>
        <v/>
      </c>
      <c r="N95">
        <f>SUMIFS(T_Shipments[Confirmed_Qty],T_Shipments[RM_Code],$A95,T_Shipments[Effective_Week],13)</f>
        <v/>
      </c>
      <c r="O95">
        <f>SUMIFS(T_Shipments[Confirmed_Qty],T_Shipments[RM_Code],$A95,T_Shipments[Effective_Week],14)</f>
        <v/>
      </c>
      <c r="P95">
        <f>SUMIFS(T_Shipments[Confirmed_Qty],T_Shipments[RM_Code],$A95,T_Shipments[Effective_Week],15)</f>
        <v/>
      </c>
      <c r="Q95">
        <f>SUMIFS(T_Shipments[Confirmed_Qty],T_Shipments[RM_Code],$A95,T_Shipments[Effective_Week],16)</f>
        <v/>
      </c>
      <c r="R95">
        <f>SUMIFS(T_Shipments[Confirmed_Qty],T_Shipments[RM_Code],$A95,T_Shipments[Effective_Week],17)</f>
        <v/>
      </c>
      <c r="S95">
        <f>SUMIFS(T_Shipments[Confirmed_Qty],T_Shipments[RM_Code],$A95,T_Shipments[Effective_Week],18)</f>
        <v/>
      </c>
      <c r="T95">
        <f>SUMIFS(T_Shipments[Confirmed_Qty],T_Shipments[RM_Code],$A95,T_Shipments[Effective_Week],19)</f>
        <v/>
      </c>
      <c r="U95">
        <f>SUMIFS(T_Shipments[Confirmed_Qty],T_Shipments[RM_Code],$A95,T_Shipments[Effective_Week],20)</f>
        <v/>
      </c>
      <c r="V95">
        <f>SUMIFS(T_Shipments[Confirmed_Qty],T_Shipments[RM_Code],$A95,T_Shipments[Effective_Week],21)</f>
        <v/>
      </c>
      <c r="W95">
        <f>SUMIFS(T_Shipments[Confirmed_Qty],T_Shipments[RM_Code],$A95,T_Shipments[Effective_Week],22)</f>
        <v/>
      </c>
      <c r="X95">
        <f>SUMIFS(T_Shipments[Confirmed_Qty],T_Shipments[RM_Code],$A95,T_Shipments[Effective_Week],23)</f>
        <v/>
      </c>
      <c r="Y95">
        <f>SUMIFS(T_Shipments[Confirmed_Qty],T_Shipments[RM_Code],$A95,T_Shipments[Effective_Week],24)</f>
        <v/>
      </c>
      <c r="Z95">
        <f>SUMIFS(T_Shipments[Confirmed_Qty],T_Shipments[RM_Code],$A95,T_Shipments[Effective_Week],25)</f>
        <v/>
      </c>
      <c r="AA95">
        <f>SUMIFS(T_Shipments[Confirmed_Qty],T_Shipments[RM_Code],$A95,T_Shipments[Effective_Week],26)</f>
        <v/>
      </c>
      <c r="AB95">
        <f>SUMIFS(T_Shipments[Confirmed_Qty],T_Shipments[RM_Code],$A95,T_Shipments[Effective_Week],27)</f>
        <v/>
      </c>
      <c r="AC95">
        <f>SUMIFS(T_Shipments[Confirmed_Qty],T_Shipments[RM_Code],$A95,T_Shipments[Effective_Week],28)</f>
        <v/>
      </c>
      <c r="AD95">
        <f>SUMIFS(T_Shipments[Confirmed_Qty],T_Shipments[RM_Code],$A95,T_Shipments[Effective_Week],29)</f>
        <v/>
      </c>
      <c r="AE95">
        <f>SUMIFS(T_Shipments[Confirmed_Qty],T_Shipments[RM_Code],$A95,T_Shipments[Effective_Week],30)</f>
        <v/>
      </c>
      <c r="AF95">
        <f>SUMIFS(T_Shipments[Confirmed_Qty],T_Shipments[RM_Code],$A95,T_Shipments[Effective_Week],31)</f>
        <v/>
      </c>
      <c r="AG95">
        <f>SUMIFS(T_Shipments[Confirmed_Qty],T_Shipments[RM_Code],$A95,T_Shipments[Effective_Week],32)</f>
        <v/>
      </c>
      <c r="AH95">
        <f>SUMIFS(T_Shipments[Confirmed_Qty],T_Shipments[RM_Code],$A95,T_Shipments[Effective_Week],33)</f>
        <v/>
      </c>
      <c r="AI95">
        <f>SUMIFS(T_Shipments[Confirmed_Qty],T_Shipments[RM_Code],$A95,T_Shipments[Effective_Week],34)</f>
        <v/>
      </c>
      <c r="AJ95">
        <f>SUMIFS(T_Shipments[Confirmed_Qty],T_Shipments[RM_Code],$A95,T_Shipments[Effective_Week],35)</f>
        <v/>
      </c>
      <c r="AK95">
        <f>SUMIFS(T_Shipments[Confirmed_Qty],T_Shipments[RM_Code],$A95,T_Shipments[Effective_Week],36)</f>
        <v/>
      </c>
      <c r="AL95">
        <f>SUMIFS(T_Shipments[Confirmed_Qty],T_Shipments[RM_Code],$A95,T_Shipments[Effective_Week],37)</f>
        <v/>
      </c>
      <c r="AM95">
        <f>SUMIFS(T_Shipments[Confirmed_Qty],T_Shipments[RM_Code],$A95,T_Shipments[Effective_Week],38)</f>
        <v/>
      </c>
      <c r="AN95">
        <f>SUMIFS(T_Shipments[Confirmed_Qty],T_Shipments[RM_Code],$A95,T_Shipments[Effective_Week],39)</f>
        <v/>
      </c>
      <c r="AO95">
        <f>SUMIFS(T_Shipments[Confirmed_Qty],T_Shipments[RM_Code],$A95,T_Shipments[Effective_Week],40)</f>
        <v/>
      </c>
      <c r="AP95">
        <f>SUMIFS(T_Shipments[Confirmed_Qty],T_Shipments[RM_Code],$A95,T_Shipments[Effective_Week],41)</f>
        <v/>
      </c>
      <c r="AQ95">
        <f>SUMIFS(T_Shipments[Confirmed_Qty],T_Shipments[RM_Code],$A95,T_Shipments[Effective_Week],42)</f>
        <v/>
      </c>
      <c r="AR95">
        <f>SUMIFS(T_Shipments[Confirmed_Qty],T_Shipments[RM_Code],$A95,T_Shipments[Effective_Week],43)</f>
        <v/>
      </c>
      <c r="AS95">
        <f>SUMIFS(T_Shipments[Confirmed_Qty],T_Shipments[RM_Code],$A95,T_Shipments[Effective_Week],44)</f>
        <v/>
      </c>
      <c r="AT95">
        <f>SUMIFS(T_Shipments[Confirmed_Qty],T_Shipments[RM_Code],$A95,T_Shipments[Effective_Week],45)</f>
        <v/>
      </c>
      <c r="AU95">
        <f>SUMIFS(T_Shipments[Confirmed_Qty],T_Shipments[RM_Code],$A95,T_Shipments[Effective_Week],46)</f>
        <v/>
      </c>
      <c r="AV95">
        <f>SUMIFS(T_Shipments[Confirmed_Qty],T_Shipments[RM_Code],$A95,T_Shipments[Effective_Week],47)</f>
        <v/>
      </c>
      <c r="AW95">
        <f>SUMIFS(T_Shipments[Confirmed_Qty],T_Shipments[RM_Code],$A95,T_Shipments[Effective_Week],48)</f>
        <v/>
      </c>
      <c r="AX95">
        <f>SUMIFS(T_Shipments[Confirmed_Qty],T_Shipments[RM_Code],$A95,T_Shipments[Effective_Week],49)</f>
        <v/>
      </c>
      <c r="AY95">
        <f>SUMIFS(T_Shipments[Confirmed_Qty],T_Shipments[RM_Code],$A95,T_Shipments[Effective_Week],50)</f>
        <v/>
      </c>
      <c r="AZ95">
        <f>SUMIFS(T_Shipments[Confirmed_Qty],T_Shipments[RM_Code],$A95,T_Shipments[Effective_Week],51)</f>
        <v/>
      </c>
      <c r="BA95">
        <f>SUMIFS(T_Shipments[Confirmed_Qty],T_Shipments[RM_Code],$A95,T_Shipments[Effective_Week],52)</f>
        <v/>
      </c>
      <c r="BB95">
        <f>SUMIFS(T_Shipments[Confirmed_Qty],T_Shipments[RM_Code],$A95,T_Shipments[Effective_Week],53)</f>
        <v/>
      </c>
      <c r="BC95">
        <f>SUMIFS(T_Shipments[Confirmed_Qty],T_Shipments[RM_Code],$A95,T_Shipments[Effective_Week],54)</f>
        <v/>
      </c>
      <c r="BD95">
        <f>SUMIFS(T_Shipments[Confirmed_Qty],T_Shipments[RM_Code],$A95,T_Shipments[Effective_Week],55)</f>
        <v/>
      </c>
      <c r="BE95">
        <f>SUMIFS(T_Shipments[Confirmed_Qty],T_Shipments[RM_Code],$A95,T_Shipments[Effective_Week],56)</f>
        <v/>
      </c>
      <c r="BF95">
        <f>SUMIFS(T_Shipments[Confirmed_Qty],T_Shipments[RM_Code],$A95,T_Shipments[Effective_Week],57)</f>
        <v/>
      </c>
      <c r="BG95">
        <f>SUMIFS(T_Shipments[Confirmed_Qty],T_Shipments[RM_Code],$A95,T_Shipments[Effective_Week],58)</f>
        <v/>
      </c>
      <c r="BH95">
        <f>SUMIFS(T_Shipments[Confirmed_Qty],T_Shipments[RM_Code],$A95,T_Shipments[Effective_Week],59)</f>
        <v/>
      </c>
      <c r="BI95">
        <f>SUMIFS(T_Shipments[Confirmed_Qty],T_Shipments[RM_Code],$A95,T_Shipments[Effective_Week],60)</f>
        <v/>
      </c>
      <c r="BJ95">
        <f>SUMIFS(T_Shipments[Confirmed_Qty],T_Shipments[RM_Code],$A95,T_Shipments[Effective_Week],61)</f>
        <v/>
      </c>
      <c r="BK95">
        <f>SUMIFS(T_Shipments[Confirmed_Qty],T_Shipments[RM_Code],$A95,T_Shipments[Effective_Week],62)</f>
        <v/>
      </c>
      <c r="BL95">
        <f>SUMIFS(T_Shipments[Confirmed_Qty],T_Shipments[RM_Code],$A95,T_Shipments[Effective_Week],63)</f>
        <v/>
      </c>
      <c r="BM95">
        <f>SUMIFS(T_Shipments[Confirmed_Qty],T_Shipments[RM_Code],$A95,T_Shipments[Effective_Week],64)</f>
        <v/>
      </c>
      <c r="BN95">
        <f>SUMIFS(T_Shipments[Confirmed_Qty],T_Shipments[RM_Code],$A95,T_Shipments[Effective_Week],65)</f>
        <v/>
      </c>
      <c r="BO95">
        <f>SUMIFS(T_Shipments[Confirmed_Qty],T_Shipments[RM_Code],$A95,T_Shipments[Effective_Week],66)</f>
        <v/>
      </c>
      <c r="BP95">
        <f>SUMIFS(T_Shipments[Confirmed_Qty],T_Shipments[RM_Code],$A95,T_Shipments[Effective_Week],67)</f>
        <v/>
      </c>
      <c r="BQ95">
        <f>SUMIFS(T_Shipments[Confirmed_Qty],T_Shipments[RM_Code],$A95,T_Shipments[Effective_Week],68)</f>
        <v/>
      </c>
      <c r="BR95">
        <f>SUMIFS(T_Shipments[Confirmed_Qty],T_Shipments[RM_Code],$A95,T_Shipments[Effective_Week],69)</f>
        <v/>
      </c>
      <c r="BS95">
        <f>SUMIFS(T_Shipments[Confirmed_Qty],T_Shipments[RM_Code],$A95,T_Shipments[Effective_Week],70)</f>
        <v/>
      </c>
      <c r="BT95">
        <f>SUMIFS(T_Shipments[Confirmed_Qty],T_Shipments[RM_Code],$A95,T_Shipments[Effective_Week],71)</f>
        <v/>
      </c>
      <c r="BU95">
        <f>SUMIFS(T_Shipments[Confirmed_Qty],T_Shipments[RM_Code],$A95,T_Shipments[Effective_Week],72)</f>
        <v/>
      </c>
      <c r="BV95">
        <f>SUMIFS(T_Shipments[Confirmed_Qty],T_Shipments[RM_Code],$A95,T_Shipments[Effective_Week],73)</f>
        <v/>
      </c>
      <c r="BW95">
        <f>SUMIFS(T_Shipments[Confirmed_Qty],T_Shipments[RM_Code],$A95,T_Shipments[Effective_Week],74)</f>
        <v/>
      </c>
      <c r="BX95">
        <f>SUMIFS(T_Shipments[Confirmed_Qty],T_Shipments[RM_Code],$A95,T_Shipments[Effective_Week],75)</f>
        <v/>
      </c>
      <c r="BY95">
        <f>SUMIFS(T_Shipments[Confirmed_Qty],T_Shipments[RM_Code],$A95,T_Shipments[Effective_Week],76)</f>
        <v/>
      </c>
      <c r="BZ95">
        <f>SUMIFS(T_Shipments[Confirmed_Qty],T_Shipments[RM_Code],$A95,T_Shipments[Effective_Week],77)</f>
        <v/>
      </c>
      <c r="CA95">
        <f>SUMIFS(T_Shipments[Confirmed_Qty],T_Shipments[RM_Code],$A95,T_Shipments[Effective_Week],78)</f>
        <v/>
      </c>
      <c r="CB95">
        <f>SUMIFS(T_Shipments[Confirmed_Qty],T_Shipments[RM_Code],$A95,T_Shipments[Effective_Week],79)</f>
        <v/>
      </c>
      <c r="CC95">
        <f>SUMIFS(T_Shipments[Confirmed_Qty],T_Shipments[RM_Code],$A95,T_Shipments[Effective_Week],80)</f>
        <v/>
      </c>
      <c r="CD95">
        <f>SUMIFS(T_Shipments[Confirmed_Qty],T_Shipments[RM_Code],$A95,T_Shipments[Effective_Week],81)</f>
        <v/>
      </c>
      <c r="CE95">
        <f>SUMIFS(T_Shipments[Confirmed_Qty],T_Shipments[RM_Code],$A95,T_Shipments[Effective_Week],82)</f>
        <v/>
      </c>
      <c r="CF95">
        <f>SUMIFS(T_Shipments[Confirmed_Qty],T_Shipments[RM_Code],$A95,T_Shipments[Effective_Week],83)</f>
        <v/>
      </c>
      <c r="CG95">
        <f>SUMIFS(T_Shipments[Confirmed_Qty],T_Shipments[RM_Code],$A95,T_Shipments[Effective_Week],84)</f>
        <v/>
      </c>
      <c r="CH95">
        <f>SUMIFS(T_Shipments[Confirmed_Qty],T_Shipments[RM_Code],$A95,T_Shipments[Effective_Week],85)</f>
        <v/>
      </c>
      <c r="CI95">
        <f>SUMIFS(T_Shipments[Confirmed_Qty],T_Shipments[RM_Code],$A95,T_Shipments[Effective_Week],86)</f>
        <v/>
      </c>
      <c r="CJ95">
        <f>SUMIFS(T_Shipments[Confirmed_Qty],T_Shipments[RM_Code],$A95,T_Shipments[Effective_Week],87)</f>
        <v/>
      </c>
      <c r="CK95">
        <f>SUMIFS(T_Shipments[Confirmed_Qty],T_Shipments[RM_Code],$A95,T_Shipments[Effective_Week],88)</f>
        <v/>
      </c>
      <c r="CL95">
        <f>SUMIFS(T_Shipments[Confirmed_Qty],T_Shipments[RM_Code],$A95,T_Shipments[Effective_Week],89)</f>
        <v/>
      </c>
      <c r="CM95">
        <f>SUMIFS(T_Shipments[Confirmed_Qty],T_Shipments[RM_Code],$A95,T_Shipments[Effective_Week],90)</f>
        <v/>
      </c>
      <c r="CN95">
        <f>SUMIFS(T_Shipments[Confirmed_Qty],T_Shipments[RM_Code],$A95,T_Shipments[Effective_Week],91)</f>
        <v/>
      </c>
      <c r="CO95">
        <f>SUMIFS(T_Shipments[Confirmed_Qty],T_Shipments[RM_Code],$A95,T_Shipments[Effective_Week],92)</f>
        <v/>
      </c>
      <c r="CP95">
        <f>SUMIFS(T_Shipments[Confirmed_Qty],T_Shipments[RM_Code],$A95,T_Shipments[Effective_Week],93)</f>
        <v/>
      </c>
      <c r="CQ95">
        <f>SUMIFS(T_Shipments[Confirmed_Qty],T_Shipments[RM_Code],$A95,T_Shipments[Effective_Week],94)</f>
        <v/>
      </c>
      <c r="CR95">
        <f>SUMIFS(T_Shipments[Confirmed_Qty],T_Shipments[RM_Code],$A95,T_Shipments[Effective_Week],95)</f>
        <v/>
      </c>
      <c r="CS95">
        <f>SUMIFS(T_Shipments[Confirmed_Qty],T_Shipments[RM_Code],$A95,T_Shipments[Effective_Week],96)</f>
        <v/>
      </c>
      <c r="CT95">
        <f>SUMIFS(T_Shipments[Confirmed_Qty],T_Shipments[RM_Code],$A95,T_Shipments[Effective_Week],97)</f>
        <v/>
      </c>
      <c r="CU95">
        <f>SUMIFS(T_Shipments[Confirmed_Qty],T_Shipments[RM_Code],$A95,T_Shipments[Effective_Week],98)</f>
        <v/>
      </c>
      <c r="CV95">
        <f>SUMIFS(T_Shipments[Confirmed_Qty],T_Shipments[RM_Code],$A95,T_Shipments[Effective_Week],99)</f>
        <v/>
      </c>
      <c r="CW95">
        <f>SUMIFS(T_Shipments[Confirmed_Qty],T_Shipments[RM_Code],$A95,T_Shipments[Effective_Week],100)</f>
        <v/>
      </c>
      <c r="CX95">
        <f>SUMIFS(T_Shipments[Confirmed_Qty],T_Shipments[RM_Code],$A95,T_Shipments[Effective_Week],101)</f>
        <v/>
      </c>
      <c r="CY95">
        <f>SUMIFS(T_Shipments[Confirmed_Qty],T_Shipments[RM_Code],$A95,T_Shipments[Effective_Week],102)</f>
        <v/>
      </c>
      <c r="CZ95">
        <f>SUMIFS(T_Shipments[Confirmed_Qty],T_Shipments[RM_Code],$A95,T_Shipments[Effective_Week],103)</f>
        <v/>
      </c>
      <c r="DA95">
        <f>SUMIFS(T_Shipments[Confirmed_Qty],T_Shipments[RM_Code],$A95,T_Shipments[Effective_Week],104)</f>
        <v/>
      </c>
    </row>
    <row r="96">
      <c r="A96" t="inlineStr">
        <is>
          <t>CHEM-1170</t>
        </is>
      </c>
      <c r="B96">
        <f>SUMIFS(T_Shipments[Confirmed_Qty],T_Shipments[RM_Code],$A96,T_Shipments[Effective_Week],1)</f>
        <v/>
      </c>
      <c r="C96">
        <f>SUMIFS(T_Shipments[Confirmed_Qty],T_Shipments[RM_Code],$A96,T_Shipments[Effective_Week],2)</f>
        <v/>
      </c>
      <c r="D96">
        <f>SUMIFS(T_Shipments[Confirmed_Qty],T_Shipments[RM_Code],$A96,T_Shipments[Effective_Week],3)</f>
        <v/>
      </c>
      <c r="E96">
        <f>SUMIFS(T_Shipments[Confirmed_Qty],T_Shipments[RM_Code],$A96,T_Shipments[Effective_Week],4)</f>
        <v/>
      </c>
      <c r="F96">
        <f>SUMIFS(T_Shipments[Confirmed_Qty],T_Shipments[RM_Code],$A96,T_Shipments[Effective_Week],5)</f>
        <v/>
      </c>
      <c r="G96">
        <f>SUMIFS(T_Shipments[Confirmed_Qty],T_Shipments[RM_Code],$A96,T_Shipments[Effective_Week],6)</f>
        <v/>
      </c>
      <c r="H96">
        <f>SUMIFS(T_Shipments[Confirmed_Qty],T_Shipments[RM_Code],$A96,T_Shipments[Effective_Week],7)</f>
        <v/>
      </c>
      <c r="I96">
        <f>SUMIFS(T_Shipments[Confirmed_Qty],T_Shipments[RM_Code],$A96,T_Shipments[Effective_Week],8)</f>
        <v/>
      </c>
      <c r="J96">
        <f>SUMIFS(T_Shipments[Confirmed_Qty],T_Shipments[RM_Code],$A96,T_Shipments[Effective_Week],9)</f>
        <v/>
      </c>
      <c r="K96">
        <f>SUMIFS(T_Shipments[Confirmed_Qty],T_Shipments[RM_Code],$A96,T_Shipments[Effective_Week],10)</f>
        <v/>
      </c>
      <c r="L96">
        <f>SUMIFS(T_Shipments[Confirmed_Qty],T_Shipments[RM_Code],$A96,T_Shipments[Effective_Week],11)</f>
        <v/>
      </c>
      <c r="M96">
        <f>SUMIFS(T_Shipments[Confirmed_Qty],T_Shipments[RM_Code],$A96,T_Shipments[Effective_Week],12)</f>
        <v/>
      </c>
      <c r="N96">
        <f>SUMIFS(T_Shipments[Confirmed_Qty],T_Shipments[RM_Code],$A96,T_Shipments[Effective_Week],13)</f>
        <v/>
      </c>
      <c r="O96">
        <f>SUMIFS(T_Shipments[Confirmed_Qty],T_Shipments[RM_Code],$A96,T_Shipments[Effective_Week],14)</f>
        <v/>
      </c>
      <c r="P96">
        <f>SUMIFS(T_Shipments[Confirmed_Qty],T_Shipments[RM_Code],$A96,T_Shipments[Effective_Week],15)</f>
        <v/>
      </c>
      <c r="Q96">
        <f>SUMIFS(T_Shipments[Confirmed_Qty],T_Shipments[RM_Code],$A96,T_Shipments[Effective_Week],16)</f>
        <v/>
      </c>
      <c r="R96">
        <f>SUMIFS(T_Shipments[Confirmed_Qty],T_Shipments[RM_Code],$A96,T_Shipments[Effective_Week],17)</f>
        <v/>
      </c>
      <c r="S96">
        <f>SUMIFS(T_Shipments[Confirmed_Qty],T_Shipments[RM_Code],$A96,T_Shipments[Effective_Week],18)</f>
        <v/>
      </c>
      <c r="T96">
        <f>SUMIFS(T_Shipments[Confirmed_Qty],T_Shipments[RM_Code],$A96,T_Shipments[Effective_Week],19)</f>
        <v/>
      </c>
      <c r="U96">
        <f>SUMIFS(T_Shipments[Confirmed_Qty],T_Shipments[RM_Code],$A96,T_Shipments[Effective_Week],20)</f>
        <v/>
      </c>
      <c r="V96">
        <f>SUMIFS(T_Shipments[Confirmed_Qty],T_Shipments[RM_Code],$A96,T_Shipments[Effective_Week],21)</f>
        <v/>
      </c>
      <c r="W96">
        <f>SUMIFS(T_Shipments[Confirmed_Qty],T_Shipments[RM_Code],$A96,T_Shipments[Effective_Week],22)</f>
        <v/>
      </c>
      <c r="X96">
        <f>SUMIFS(T_Shipments[Confirmed_Qty],T_Shipments[RM_Code],$A96,T_Shipments[Effective_Week],23)</f>
        <v/>
      </c>
      <c r="Y96">
        <f>SUMIFS(T_Shipments[Confirmed_Qty],T_Shipments[RM_Code],$A96,T_Shipments[Effective_Week],24)</f>
        <v/>
      </c>
      <c r="Z96">
        <f>SUMIFS(T_Shipments[Confirmed_Qty],T_Shipments[RM_Code],$A96,T_Shipments[Effective_Week],25)</f>
        <v/>
      </c>
      <c r="AA96">
        <f>SUMIFS(T_Shipments[Confirmed_Qty],T_Shipments[RM_Code],$A96,T_Shipments[Effective_Week],26)</f>
        <v/>
      </c>
      <c r="AB96">
        <f>SUMIFS(T_Shipments[Confirmed_Qty],T_Shipments[RM_Code],$A96,T_Shipments[Effective_Week],27)</f>
        <v/>
      </c>
      <c r="AC96">
        <f>SUMIFS(T_Shipments[Confirmed_Qty],T_Shipments[RM_Code],$A96,T_Shipments[Effective_Week],28)</f>
        <v/>
      </c>
      <c r="AD96">
        <f>SUMIFS(T_Shipments[Confirmed_Qty],T_Shipments[RM_Code],$A96,T_Shipments[Effective_Week],29)</f>
        <v/>
      </c>
      <c r="AE96">
        <f>SUMIFS(T_Shipments[Confirmed_Qty],T_Shipments[RM_Code],$A96,T_Shipments[Effective_Week],30)</f>
        <v/>
      </c>
      <c r="AF96">
        <f>SUMIFS(T_Shipments[Confirmed_Qty],T_Shipments[RM_Code],$A96,T_Shipments[Effective_Week],31)</f>
        <v/>
      </c>
      <c r="AG96">
        <f>SUMIFS(T_Shipments[Confirmed_Qty],T_Shipments[RM_Code],$A96,T_Shipments[Effective_Week],32)</f>
        <v/>
      </c>
      <c r="AH96">
        <f>SUMIFS(T_Shipments[Confirmed_Qty],T_Shipments[RM_Code],$A96,T_Shipments[Effective_Week],33)</f>
        <v/>
      </c>
      <c r="AI96">
        <f>SUMIFS(T_Shipments[Confirmed_Qty],T_Shipments[RM_Code],$A96,T_Shipments[Effective_Week],34)</f>
        <v/>
      </c>
      <c r="AJ96">
        <f>SUMIFS(T_Shipments[Confirmed_Qty],T_Shipments[RM_Code],$A96,T_Shipments[Effective_Week],35)</f>
        <v/>
      </c>
      <c r="AK96">
        <f>SUMIFS(T_Shipments[Confirmed_Qty],T_Shipments[RM_Code],$A96,T_Shipments[Effective_Week],36)</f>
        <v/>
      </c>
      <c r="AL96">
        <f>SUMIFS(T_Shipments[Confirmed_Qty],T_Shipments[RM_Code],$A96,T_Shipments[Effective_Week],37)</f>
        <v/>
      </c>
      <c r="AM96">
        <f>SUMIFS(T_Shipments[Confirmed_Qty],T_Shipments[RM_Code],$A96,T_Shipments[Effective_Week],38)</f>
        <v/>
      </c>
      <c r="AN96">
        <f>SUMIFS(T_Shipments[Confirmed_Qty],T_Shipments[RM_Code],$A96,T_Shipments[Effective_Week],39)</f>
        <v/>
      </c>
      <c r="AO96">
        <f>SUMIFS(T_Shipments[Confirmed_Qty],T_Shipments[RM_Code],$A96,T_Shipments[Effective_Week],40)</f>
        <v/>
      </c>
      <c r="AP96">
        <f>SUMIFS(T_Shipments[Confirmed_Qty],T_Shipments[RM_Code],$A96,T_Shipments[Effective_Week],41)</f>
        <v/>
      </c>
      <c r="AQ96">
        <f>SUMIFS(T_Shipments[Confirmed_Qty],T_Shipments[RM_Code],$A96,T_Shipments[Effective_Week],42)</f>
        <v/>
      </c>
      <c r="AR96">
        <f>SUMIFS(T_Shipments[Confirmed_Qty],T_Shipments[RM_Code],$A96,T_Shipments[Effective_Week],43)</f>
        <v/>
      </c>
      <c r="AS96">
        <f>SUMIFS(T_Shipments[Confirmed_Qty],T_Shipments[RM_Code],$A96,T_Shipments[Effective_Week],44)</f>
        <v/>
      </c>
      <c r="AT96">
        <f>SUMIFS(T_Shipments[Confirmed_Qty],T_Shipments[RM_Code],$A96,T_Shipments[Effective_Week],45)</f>
        <v/>
      </c>
      <c r="AU96">
        <f>SUMIFS(T_Shipments[Confirmed_Qty],T_Shipments[RM_Code],$A96,T_Shipments[Effective_Week],46)</f>
        <v/>
      </c>
      <c r="AV96">
        <f>SUMIFS(T_Shipments[Confirmed_Qty],T_Shipments[RM_Code],$A96,T_Shipments[Effective_Week],47)</f>
        <v/>
      </c>
      <c r="AW96">
        <f>SUMIFS(T_Shipments[Confirmed_Qty],T_Shipments[RM_Code],$A96,T_Shipments[Effective_Week],48)</f>
        <v/>
      </c>
      <c r="AX96">
        <f>SUMIFS(T_Shipments[Confirmed_Qty],T_Shipments[RM_Code],$A96,T_Shipments[Effective_Week],49)</f>
        <v/>
      </c>
      <c r="AY96">
        <f>SUMIFS(T_Shipments[Confirmed_Qty],T_Shipments[RM_Code],$A96,T_Shipments[Effective_Week],50)</f>
        <v/>
      </c>
      <c r="AZ96">
        <f>SUMIFS(T_Shipments[Confirmed_Qty],T_Shipments[RM_Code],$A96,T_Shipments[Effective_Week],51)</f>
        <v/>
      </c>
      <c r="BA96">
        <f>SUMIFS(T_Shipments[Confirmed_Qty],T_Shipments[RM_Code],$A96,T_Shipments[Effective_Week],52)</f>
        <v/>
      </c>
      <c r="BB96">
        <f>SUMIFS(T_Shipments[Confirmed_Qty],T_Shipments[RM_Code],$A96,T_Shipments[Effective_Week],53)</f>
        <v/>
      </c>
      <c r="BC96">
        <f>SUMIFS(T_Shipments[Confirmed_Qty],T_Shipments[RM_Code],$A96,T_Shipments[Effective_Week],54)</f>
        <v/>
      </c>
      <c r="BD96">
        <f>SUMIFS(T_Shipments[Confirmed_Qty],T_Shipments[RM_Code],$A96,T_Shipments[Effective_Week],55)</f>
        <v/>
      </c>
      <c r="BE96">
        <f>SUMIFS(T_Shipments[Confirmed_Qty],T_Shipments[RM_Code],$A96,T_Shipments[Effective_Week],56)</f>
        <v/>
      </c>
      <c r="BF96">
        <f>SUMIFS(T_Shipments[Confirmed_Qty],T_Shipments[RM_Code],$A96,T_Shipments[Effective_Week],57)</f>
        <v/>
      </c>
      <c r="BG96">
        <f>SUMIFS(T_Shipments[Confirmed_Qty],T_Shipments[RM_Code],$A96,T_Shipments[Effective_Week],58)</f>
        <v/>
      </c>
      <c r="BH96">
        <f>SUMIFS(T_Shipments[Confirmed_Qty],T_Shipments[RM_Code],$A96,T_Shipments[Effective_Week],59)</f>
        <v/>
      </c>
      <c r="BI96">
        <f>SUMIFS(T_Shipments[Confirmed_Qty],T_Shipments[RM_Code],$A96,T_Shipments[Effective_Week],60)</f>
        <v/>
      </c>
      <c r="BJ96">
        <f>SUMIFS(T_Shipments[Confirmed_Qty],T_Shipments[RM_Code],$A96,T_Shipments[Effective_Week],61)</f>
        <v/>
      </c>
      <c r="BK96">
        <f>SUMIFS(T_Shipments[Confirmed_Qty],T_Shipments[RM_Code],$A96,T_Shipments[Effective_Week],62)</f>
        <v/>
      </c>
      <c r="BL96">
        <f>SUMIFS(T_Shipments[Confirmed_Qty],T_Shipments[RM_Code],$A96,T_Shipments[Effective_Week],63)</f>
        <v/>
      </c>
      <c r="BM96">
        <f>SUMIFS(T_Shipments[Confirmed_Qty],T_Shipments[RM_Code],$A96,T_Shipments[Effective_Week],64)</f>
        <v/>
      </c>
      <c r="BN96">
        <f>SUMIFS(T_Shipments[Confirmed_Qty],T_Shipments[RM_Code],$A96,T_Shipments[Effective_Week],65)</f>
        <v/>
      </c>
      <c r="BO96">
        <f>SUMIFS(T_Shipments[Confirmed_Qty],T_Shipments[RM_Code],$A96,T_Shipments[Effective_Week],66)</f>
        <v/>
      </c>
      <c r="BP96">
        <f>SUMIFS(T_Shipments[Confirmed_Qty],T_Shipments[RM_Code],$A96,T_Shipments[Effective_Week],67)</f>
        <v/>
      </c>
      <c r="BQ96">
        <f>SUMIFS(T_Shipments[Confirmed_Qty],T_Shipments[RM_Code],$A96,T_Shipments[Effective_Week],68)</f>
        <v/>
      </c>
      <c r="BR96">
        <f>SUMIFS(T_Shipments[Confirmed_Qty],T_Shipments[RM_Code],$A96,T_Shipments[Effective_Week],69)</f>
        <v/>
      </c>
      <c r="BS96">
        <f>SUMIFS(T_Shipments[Confirmed_Qty],T_Shipments[RM_Code],$A96,T_Shipments[Effective_Week],70)</f>
        <v/>
      </c>
      <c r="BT96">
        <f>SUMIFS(T_Shipments[Confirmed_Qty],T_Shipments[RM_Code],$A96,T_Shipments[Effective_Week],71)</f>
        <v/>
      </c>
      <c r="BU96">
        <f>SUMIFS(T_Shipments[Confirmed_Qty],T_Shipments[RM_Code],$A96,T_Shipments[Effective_Week],72)</f>
        <v/>
      </c>
      <c r="BV96">
        <f>SUMIFS(T_Shipments[Confirmed_Qty],T_Shipments[RM_Code],$A96,T_Shipments[Effective_Week],73)</f>
        <v/>
      </c>
      <c r="BW96">
        <f>SUMIFS(T_Shipments[Confirmed_Qty],T_Shipments[RM_Code],$A96,T_Shipments[Effective_Week],74)</f>
        <v/>
      </c>
      <c r="BX96">
        <f>SUMIFS(T_Shipments[Confirmed_Qty],T_Shipments[RM_Code],$A96,T_Shipments[Effective_Week],75)</f>
        <v/>
      </c>
      <c r="BY96">
        <f>SUMIFS(T_Shipments[Confirmed_Qty],T_Shipments[RM_Code],$A96,T_Shipments[Effective_Week],76)</f>
        <v/>
      </c>
      <c r="BZ96">
        <f>SUMIFS(T_Shipments[Confirmed_Qty],T_Shipments[RM_Code],$A96,T_Shipments[Effective_Week],77)</f>
        <v/>
      </c>
      <c r="CA96">
        <f>SUMIFS(T_Shipments[Confirmed_Qty],T_Shipments[RM_Code],$A96,T_Shipments[Effective_Week],78)</f>
        <v/>
      </c>
      <c r="CB96">
        <f>SUMIFS(T_Shipments[Confirmed_Qty],T_Shipments[RM_Code],$A96,T_Shipments[Effective_Week],79)</f>
        <v/>
      </c>
      <c r="CC96">
        <f>SUMIFS(T_Shipments[Confirmed_Qty],T_Shipments[RM_Code],$A96,T_Shipments[Effective_Week],80)</f>
        <v/>
      </c>
      <c r="CD96">
        <f>SUMIFS(T_Shipments[Confirmed_Qty],T_Shipments[RM_Code],$A96,T_Shipments[Effective_Week],81)</f>
        <v/>
      </c>
      <c r="CE96">
        <f>SUMIFS(T_Shipments[Confirmed_Qty],T_Shipments[RM_Code],$A96,T_Shipments[Effective_Week],82)</f>
        <v/>
      </c>
      <c r="CF96">
        <f>SUMIFS(T_Shipments[Confirmed_Qty],T_Shipments[RM_Code],$A96,T_Shipments[Effective_Week],83)</f>
        <v/>
      </c>
      <c r="CG96">
        <f>SUMIFS(T_Shipments[Confirmed_Qty],T_Shipments[RM_Code],$A96,T_Shipments[Effective_Week],84)</f>
        <v/>
      </c>
      <c r="CH96">
        <f>SUMIFS(T_Shipments[Confirmed_Qty],T_Shipments[RM_Code],$A96,T_Shipments[Effective_Week],85)</f>
        <v/>
      </c>
      <c r="CI96">
        <f>SUMIFS(T_Shipments[Confirmed_Qty],T_Shipments[RM_Code],$A96,T_Shipments[Effective_Week],86)</f>
        <v/>
      </c>
      <c r="CJ96">
        <f>SUMIFS(T_Shipments[Confirmed_Qty],T_Shipments[RM_Code],$A96,T_Shipments[Effective_Week],87)</f>
        <v/>
      </c>
      <c r="CK96">
        <f>SUMIFS(T_Shipments[Confirmed_Qty],T_Shipments[RM_Code],$A96,T_Shipments[Effective_Week],88)</f>
        <v/>
      </c>
      <c r="CL96">
        <f>SUMIFS(T_Shipments[Confirmed_Qty],T_Shipments[RM_Code],$A96,T_Shipments[Effective_Week],89)</f>
        <v/>
      </c>
      <c r="CM96">
        <f>SUMIFS(T_Shipments[Confirmed_Qty],T_Shipments[RM_Code],$A96,T_Shipments[Effective_Week],90)</f>
        <v/>
      </c>
      <c r="CN96">
        <f>SUMIFS(T_Shipments[Confirmed_Qty],T_Shipments[RM_Code],$A96,T_Shipments[Effective_Week],91)</f>
        <v/>
      </c>
      <c r="CO96">
        <f>SUMIFS(T_Shipments[Confirmed_Qty],T_Shipments[RM_Code],$A96,T_Shipments[Effective_Week],92)</f>
        <v/>
      </c>
      <c r="CP96">
        <f>SUMIFS(T_Shipments[Confirmed_Qty],T_Shipments[RM_Code],$A96,T_Shipments[Effective_Week],93)</f>
        <v/>
      </c>
      <c r="CQ96">
        <f>SUMIFS(T_Shipments[Confirmed_Qty],T_Shipments[RM_Code],$A96,T_Shipments[Effective_Week],94)</f>
        <v/>
      </c>
      <c r="CR96">
        <f>SUMIFS(T_Shipments[Confirmed_Qty],T_Shipments[RM_Code],$A96,T_Shipments[Effective_Week],95)</f>
        <v/>
      </c>
      <c r="CS96">
        <f>SUMIFS(T_Shipments[Confirmed_Qty],T_Shipments[RM_Code],$A96,T_Shipments[Effective_Week],96)</f>
        <v/>
      </c>
      <c r="CT96">
        <f>SUMIFS(T_Shipments[Confirmed_Qty],T_Shipments[RM_Code],$A96,T_Shipments[Effective_Week],97)</f>
        <v/>
      </c>
      <c r="CU96">
        <f>SUMIFS(T_Shipments[Confirmed_Qty],T_Shipments[RM_Code],$A96,T_Shipments[Effective_Week],98)</f>
        <v/>
      </c>
      <c r="CV96">
        <f>SUMIFS(T_Shipments[Confirmed_Qty],T_Shipments[RM_Code],$A96,T_Shipments[Effective_Week],99)</f>
        <v/>
      </c>
      <c r="CW96">
        <f>SUMIFS(T_Shipments[Confirmed_Qty],T_Shipments[RM_Code],$A96,T_Shipments[Effective_Week],100)</f>
        <v/>
      </c>
      <c r="CX96">
        <f>SUMIFS(T_Shipments[Confirmed_Qty],T_Shipments[RM_Code],$A96,T_Shipments[Effective_Week],101)</f>
        <v/>
      </c>
      <c r="CY96">
        <f>SUMIFS(T_Shipments[Confirmed_Qty],T_Shipments[RM_Code],$A96,T_Shipments[Effective_Week],102)</f>
        <v/>
      </c>
      <c r="CZ96">
        <f>SUMIFS(T_Shipments[Confirmed_Qty],T_Shipments[RM_Code],$A96,T_Shipments[Effective_Week],103)</f>
        <v/>
      </c>
      <c r="DA96">
        <f>SUMIFS(T_Shipments[Confirmed_Qty],T_Shipments[RM_Code],$A96,T_Shipments[Effective_Week],104)</f>
        <v/>
      </c>
    </row>
    <row r="97">
      <c r="A97" t="inlineStr">
        <is>
          <t>CHEM-1620</t>
        </is>
      </c>
      <c r="B97">
        <f>SUMIFS(T_Shipments[Confirmed_Qty],T_Shipments[RM_Code],$A97,T_Shipments[Effective_Week],1)</f>
        <v/>
      </c>
      <c r="C97">
        <f>SUMIFS(T_Shipments[Confirmed_Qty],T_Shipments[RM_Code],$A97,T_Shipments[Effective_Week],2)</f>
        <v/>
      </c>
      <c r="D97">
        <f>SUMIFS(T_Shipments[Confirmed_Qty],T_Shipments[RM_Code],$A97,T_Shipments[Effective_Week],3)</f>
        <v/>
      </c>
      <c r="E97">
        <f>SUMIFS(T_Shipments[Confirmed_Qty],T_Shipments[RM_Code],$A97,T_Shipments[Effective_Week],4)</f>
        <v/>
      </c>
      <c r="F97">
        <f>SUMIFS(T_Shipments[Confirmed_Qty],T_Shipments[RM_Code],$A97,T_Shipments[Effective_Week],5)</f>
        <v/>
      </c>
      <c r="G97">
        <f>SUMIFS(T_Shipments[Confirmed_Qty],T_Shipments[RM_Code],$A97,T_Shipments[Effective_Week],6)</f>
        <v/>
      </c>
      <c r="H97">
        <f>SUMIFS(T_Shipments[Confirmed_Qty],T_Shipments[RM_Code],$A97,T_Shipments[Effective_Week],7)</f>
        <v/>
      </c>
      <c r="I97">
        <f>SUMIFS(T_Shipments[Confirmed_Qty],T_Shipments[RM_Code],$A97,T_Shipments[Effective_Week],8)</f>
        <v/>
      </c>
      <c r="J97">
        <f>SUMIFS(T_Shipments[Confirmed_Qty],T_Shipments[RM_Code],$A97,T_Shipments[Effective_Week],9)</f>
        <v/>
      </c>
      <c r="K97">
        <f>SUMIFS(T_Shipments[Confirmed_Qty],T_Shipments[RM_Code],$A97,T_Shipments[Effective_Week],10)</f>
        <v/>
      </c>
      <c r="L97">
        <f>SUMIFS(T_Shipments[Confirmed_Qty],T_Shipments[RM_Code],$A97,T_Shipments[Effective_Week],11)</f>
        <v/>
      </c>
      <c r="M97">
        <f>SUMIFS(T_Shipments[Confirmed_Qty],T_Shipments[RM_Code],$A97,T_Shipments[Effective_Week],12)</f>
        <v/>
      </c>
      <c r="N97">
        <f>SUMIFS(T_Shipments[Confirmed_Qty],T_Shipments[RM_Code],$A97,T_Shipments[Effective_Week],13)</f>
        <v/>
      </c>
      <c r="O97">
        <f>SUMIFS(T_Shipments[Confirmed_Qty],T_Shipments[RM_Code],$A97,T_Shipments[Effective_Week],14)</f>
        <v/>
      </c>
      <c r="P97">
        <f>SUMIFS(T_Shipments[Confirmed_Qty],T_Shipments[RM_Code],$A97,T_Shipments[Effective_Week],15)</f>
        <v/>
      </c>
      <c r="Q97">
        <f>SUMIFS(T_Shipments[Confirmed_Qty],T_Shipments[RM_Code],$A97,T_Shipments[Effective_Week],16)</f>
        <v/>
      </c>
      <c r="R97">
        <f>SUMIFS(T_Shipments[Confirmed_Qty],T_Shipments[RM_Code],$A97,T_Shipments[Effective_Week],17)</f>
        <v/>
      </c>
      <c r="S97">
        <f>SUMIFS(T_Shipments[Confirmed_Qty],T_Shipments[RM_Code],$A97,T_Shipments[Effective_Week],18)</f>
        <v/>
      </c>
      <c r="T97">
        <f>SUMIFS(T_Shipments[Confirmed_Qty],T_Shipments[RM_Code],$A97,T_Shipments[Effective_Week],19)</f>
        <v/>
      </c>
      <c r="U97">
        <f>SUMIFS(T_Shipments[Confirmed_Qty],T_Shipments[RM_Code],$A97,T_Shipments[Effective_Week],20)</f>
        <v/>
      </c>
      <c r="V97">
        <f>SUMIFS(T_Shipments[Confirmed_Qty],T_Shipments[RM_Code],$A97,T_Shipments[Effective_Week],21)</f>
        <v/>
      </c>
      <c r="W97">
        <f>SUMIFS(T_Shipments[Confirmed_Qty],T_Shipments[RM_Code],$A97,T_Shipments[Effective_Week],22)</f>
        <v/>
      </c>
      <c r="X97">
        <f>SUMIFS(T_Shipments[Confirmed_Qty],T_Shipments[RM_Code],$A97,T_Shipments[Effective_Week],23)</f>
        <v/>
      </c>
      <c r="Y97">
        <f>SUMIFS(T_Shipments[Confirmed_Qty],T_Shipments[RM_Code],$A97,T_Shipments[Effective_Week],24)</f>
        <v/>
      </c>
      <c r="Z97">
        <f>SUMIFS(T_Shipments[Confirmed_Qty],T_Shipments[RM_Code],$A97,T_Shipments[Effective_Week],25)</f>
        <v/>
      </c>
      <c r="AA97">
        <f>SUMIFS(T_Shipments[Confirmed_Qty],T_Shipments[RM_Code],$A97,T_Shipments[Effective_Week],26)</f>
        <v/>
      </c>
      <c r="AB97">
        <f>SUMIFS(T_Shipments[Confirmed_Qty],T_Shipments[RM_Code],$A97,T_Shipments[Effective_Week],27)</f>
        <v/>
      </c>
      <c r="AC97">
        <f>SUMIFS(T_Shipments[Confirmed_Qty],T_Shipments[RM_Code],$A97,T_Shipments[Effective_Week],28)</f>
        <v/>
      </c>
      <c r="AD97">
        <f>SUMIFS(T_Shipments[Confirmed_Qty],T_Shipments[RM_Code],$A97,T_Shipments[Effective_Week],29)</f>
        <v/>
      </c>
      <c r="AE97">
        <f>SUMIFS(T_Shipments[Confirmed_Qty],T_Shipments[RM_Code],$A97,T_Shipments[Effective_Week],30)</f>
        <v/>
      </c>
      <c r="AF97">
        <f>SUMIFS(T_Shipments[Confirmed_Qty],T_Shipments[RM_Code],$A97,T_Shipments[Effective_Week],31)</f>
        <v/>
      </c>
      <c r="AG97">
        <f>SUMIFS(T_Shipments[Confirmed_Qty],T_Shipments[RM_Code],$A97,T_Shipments[Effective_Week],32)</f>
        <v/>
      </c>
      <c r="AH97">
        <f>SUMIFS(T_Shipments[Confirmed_Qty],T_Shipments[RM_Code],$A97,T_Shipments[Effective_Week],33)</f>
        <v/>
      </c>
      <c r="AI97">
        <f>SUMIFS(T_Shipments[Confirmed_Qty],T_Shipments[RM_Code],$A97,T_Shipments[Effective_Week],34)</f>
        <v/>
      </c>
      <c r="AJ97">
        <f>SUMIFS(T_Shipments[Confirmed_Qty],T_Shipments[RM_Code],$A97,T_Shipments[Effective_Week],35)</f>
        <v/>
      </c>
      <c r="AK97">
        <f>SUMIFS(T_Shipments[Confirmed_Qty],T_Shipments[RM_Code],$A97,T_Shipments[Effective_Week],36)</f>
        <v/>
      </c>
      <c r="AL97">
        <f>SUMIFS(T_Shipments[Confirmed_Qty],T_Shipments[RM_Code],$A97,T_Shipments[Effective_Week],37)</f>
        <v/>
      </c>
      <c r="AM97">
        <f>SUMIFS(T_Shipments[Confirmed_Qty],T_Shipments[RM_Code],$A97,T_Shipments[Effective_Week],38)</f>
        <v/>
      </c>
      <c r="AN97">
        <f>SUMIFS(T_Shipments[Confirmed_Qty],T_Shipments[RM_Code],$A97,T_Shipments[Effective_Week],39)</f>
        <v/>
      </c>
      <c r="AO97">
        <f>SUMIFS(T_Shipments[Confirmed_Qty],T_Shipments[RM_Code],$A97,T_Shipments[Effective_Week],40)</f>
        <v/>
      </c>
      <c r="AP97">
        <f>SUMIFS(T_Shipments[Confirmed_Qty],T_Shipments[RM_Code],$A97,T_Shipments[Effective_Week],41)</f>
        <v/>
      </c>
      <c r="AQ97">
        <f>SUMIFS(T_Shipments[Confirmed_Qty],T_Shipments[RM_Code],$A97,T_Shipments[Effective_Week],42)</f>
        <v/>
      </c>
      <c r="AR97">
        <f>SUMIFS(T_Shipments[Confirmed_Qty],T_Shipments[RM_Code],$A97,T_Shipments[Effective_Week],43)</f>
        <v/>
      </c>
      <c r="AS97">
        <f>SUMIFS(T_Shipments[Confirmed_Qty],T_Shipments[RM_Code],$A97,T_Shipments[Effective_Week],44)</f>
        <v/>
      </c>
      <c r="AT97">
        <f>SUMIFS(T_Shipments[Confirmed_Qty],T_Shipments[RM_Code],$A97,T_Shipments[Effective_Week],45)</f>
        <v/>
      </c>
      <c r="AU97">
        <f>SUMIFS(T_Shipments[Confirmed_Qty],T_Shipments[RM_Code],$A97,T_Shipments[Effective_Week],46)</f>
        <v/>
      </c>
      <c r="AV97">
        <f>SUMIFS(T_Shipments[Confirmed_Qty],T_Shipments[RM_Code],$A97,T_Shipments[Effective_Week],47)</f>
        <v/>
      </c>
      <c r="AW97">
        <f>SUMIFS(T_Shipments[Confirmed_Qty],T_Shipments[RM_Code],$A97,T_Shipments[Effective_Week],48)</f>
        <v/>
      </c>
      <c r="AX97">
        <f>SUMIFS(T_Shipments[Confirmed_Qty],T_Shipments[RM_Code],$A97,T_Shipments[Effective_Week],49)</f>
        <v/>
      </c>
      <c r="AY97">
        <f>SUMIFS(T_Shipments[Confirmed_Qty],T_Shipments[RM_Code],$A97,T_Shipments[Effective_Week],50)</f>
        <v/>
      </c>
      <c r="AZ97">
        <f>SUMIFS(T_Shipments[Confirmed_Qty],T_Shipments[RM_Code],$A97,T_Shipments[Effective_Week],51)</f>
        <v/>
      </c>
      <c r="BA97">
        <f>SUMIFS(T_Shipments[Confirmed_Qty],T_Shipments[RM_Code],$A97,T_Shipments[Effective_Week],52)</f>
        <v/>
      </c>
      <c r="BB97">
        <f>SUMIFS(T_Shipments[Confirmed_Qty],T_Shipments[RM_Code],$A97,T_Shipments[Effective_Week],53)</f>
        <v/>
      </c>
      <c r="BC97">
        <f>SUMIFS(T_Shipments[Confirmed_Qty],T_Shipments[RM_Code],$A97,T_Shipments[Effective_Week],54)</f>
        <v/>
      </c>
      <c r="BD97">
        <f>SUMIFS(T_Shipments[Confirmed_Qty],T_Shipments[RM_Code],$A97,T_Shipments[Effective_Week],55)</f>
        <v/>
      </c>
      <c r="BE97">
        <f>SUMIFS(T_Shipments[Confirmed_Qty],T_Shipments[RM_Code],$A97,T_Shipments[Effective_Week],56)</f>
        <v/>
      </c>
      <c r="BF97">
        <f>SUMIFS(T_Shipments[Confirmed_Qty],T_Shipments[RM_Code],$A97,T_Shipments[Effective_Week],57)</f>
        <v/>
      </c>
      <c r="BG97">
        <f>SUMIFS(T_Shipments[Confirmed_Qty],T_Shipments[RM_Code],$A97,T_Shipments[Effective_Week],58)</f>
        <v/>
      </c>
      <c r="BH97">
        <f>SUMIFS(T_Shipments[Confirmed_Qty],T_Shipments[RM_Code],$A97,T_Shipments[Effective_Week],59)</f>
        <v/>
      </c>
      <c r="BI97">
        <f>SUMIFS(T_Shipments[Confirmed_Qty],T_Shipments[RM_Code],$A97,T_Shipments[Effective_Week],60)</f>
        <v/>
      </c>
      <c r="BJ97">
        <f>SUMIFS(T_Shipments[Confirmed_Qty],T_Shipments[RM_Code],$A97,T_Shipments[Effective_Week],61)</f>
        <v/>
      </c>
      <c r="BK97">
        <f>SUMIFS(T_Shipments[Confirmed_Qty],T_Shipments[RM_Code],$A97,T_Shipments[Effective_Week],62)</f>
        <v/>
      </c>
      <c r="BL97">
        <f>SUMIFS(T_Shipments[Confirmed_Qty],T_Shipments[RM_Code],$A97,T_Shipments[Effective_Week],63)</f>
        <v/>
      </c>
      <c r="BM97">
        <f>SUMIFS(T_Shipments[Confirmed_Qty],T_Shipments[RM_Code],$A97,T_Shipments[Effective_Week],64)</f>
        <v/>
      </c>
      <c r="BN97">
        <f>SUMIFS(T_Shipments[Confirmed_Qty],T_Shipments[RM_Code],$A97,T_Shipments[Effective_Week],65)</f>
        <v/>
      </c>
      <c r="BO97">
        <f>SUMIFS(T_Shipments[Confirmed_Qty],T_Shipments[RM_Code],$A97,T_Shipments[Effective_Week],66)</f>
        <v/>
      </c>
      <c r="BP97">
        <f>SUMIFS(T_Shipments[Confirmed_Qty],T_Shipments[RM_Code],$A97,T_Shipments[Effective_Week],67)</f>
        <v/>
      </c>
      <c r="BQ97">
        <f>SUMIFS(T_Shipments[Confirmed_Qty],T_Shipments[RM_Code],$A97,T_Shipments[Effective_Week],68)</f>
        <v/>
      </c>
      <c r="BR97">
        <f>SUMIFS(T_Shipments[Confirmed_Qty],T_Shipments[RM_Code],$A97,T_Shipments[Effective_Week],69)</f>
        <v/>
      </c>
      <c r="BS97">
        <f>SUMIFS(T_Shipments[Confirmed_Qty],T_Shipments[RM_Code],$A97,T_Shipments[Effective_Week],70)</f>
        <v/>
      </c>
      <c r="BT97">
        <f>SUMIFS(T_Shipments[Confirmed_Qty],T_Shipments[RM_Code],$A97,T_Shipments[Effective_Week],71)</f>
        <v/>
      </c>
      <c r="BU97">
        <f>SUMIFS(T_Shipments[Confirmed_Qty],T_Shipments[RM_Code],$A97,T_Shipments[Effective_Week],72)</f>
        <v/>
      </c>
      <c r="BV97">
        <f>SUMIFS(T_Shipments[Confirmed_Qty],T_Shipments[RM_Code],$A97,T_Shipments[Effective_Week],73)</f>
        <v/>
      </c>
      <c r="BW97">
        <f>SUMIFS(T_Shipments[Confirmed_Qty],T_Shipments[RM_Code],$A97,T_Shipments[Effective_Week],74)</f>
        <v/>
      </c>
      <c r="BX97">
        <f>SUMIFS(T_Shipments[Confirmed_Qty],T_Shipments[RM_Code],$A97,T_Shipments[Effective_Week],75)</f>
        <v/>
      </c>
      <c r="BY97">
        <f>SUMIFS(T_Shipments[Confirmed_Qty],T_Shipments[RM_Code],$A97,T_Shipments[Effective_Week],76)</f>
        <v/>
      </c>
      <c r="BZ97">
        <f>SUMIFS(T_Shipments[Confirmed_Qty],T_Shipments[RM_Code],$A97,T_Shipments[Effective_Week],77)</f>
        <v/>
      </c>
      <c r="CA97">
        <f>SUMIFS(T_Shipments[Confirmed_Qty],T_Shipments[RM_Code],$A97,T_Shipments[Effective_Week],78)</f>
        <v/>
      </c>
      <c r="CB97">
        <f>SUMIFS(T_Shipments[Confirmed_Qty],T_Shipments[RM_Code],$A97,T_Shipments[Effective_Week],79)</f>
        <v/>
      </c>
      <c r="CC97">
        <f>SUMIFS(T_Shipments[Confirmed_Qty],T_Shipments[RM_Code],$A97,T_Shipments[Effective_Week],80)</f>
        <v/>
      </c>
      <c r="CD97">
        <f>SUMIFS(T_Shipments[Confirmed_Qty],T_Shipments[RM_Code],$A97,T_Shipments[Effective_Week],81)</f>
        <v/>
      </c>
      <c r="CE97">
        <f>SUMIFS(T_Shipments[Confirmed_Qty],T_Shipments[RM_Code],$A97,T_Shipments[Effective_Week],82)</f>
        <v/>
      </c>
      <c r="CF97">
        <f>SUMIFS(T_Shipments[Confirmed_Qty],T_Shipments[RM_Code],$A97,T_Shipments[Effective_Week],83)</f>
        <v/>
      </c>
      <c r="CG97">
        <f>SUMIFS(T_Shipments[Confirmed_Qty],T_Shipments[RM_Code],$A97,T_Shipments[Effective_Week],84)</f>
        <v/>
      </c>
      <c r="CH97">
        <f>SUMIFS(T_Shipments[Confirmed_Qty],T_Shipments[RM_Code],$A97,T_Shipments[Effective_Week],85)</f>
        <v/>
      </c>
      <c r="CI97">
        <f>SUMIFS(T_Shipments[Confirmed_Qty],T_Shipments[RM_Code],$A97,T_Shipments[Effective_Week],86)</f>
        <v/>
      </c>
      <c r="CJ97">
        <f>SUMIFS(T_Shipments[Confirmed_Qty],T_Shipments[RM_Code],$A97,T_Shipments[Effective_Week],87)</f>
        <v/>
      </c>
      <c r="CK97">
        <f>SUMIFS(T_Shipments[Confirmed_Qty],T_Shipments[RM_Code],$A97,T_Shipments[Effective_Week],88)</f>
        <v/>
      </c>
      <c r="CL97">
        <f>SUMIFS(T_Shipments[Confirmed_Qty],T_Shipments[RM_Code],$A97,T_Shipments[Effective_Week],89)</f>
        <v/>
      </c>
      <c r="CM97">
        <f>SUMIFS(T_Shipments[Confirmed_Qty],T_Shipments[RM_Code],$A97,T_Shipments[Effective_Week],90)</f>
        <v/>
      </c>
      <c r="CN97">
        <f>SUMIFS(T_Shipments[Confirmed_Qty],T_Shipments[RM_Code],$A97,T_Shipments[Effective_Week],91)</f>
        <v/>
      </c>
      <c r="CO97">
        <f>SUMIFS(T_Shipments[Confirmed_Qty],T_Shipments[RM_Code],$A97,T_Shipments[Effective_Week],92)</f>
        <v/>
      </c>
      <c r="CP97">
        <f>SUMIFS(T_Shipments[Confirmed_Qty],T_Shipments[RM_Code],$A97,T_Shipments[Effective_Week],93)</f>
        <v/>
      </c>
      <c r="CQ97">
        <f>SUMIFS(T_Shipments[Confirmed_Qty],T_Shipments[RM_Code],$A97,T_Shipments[Effective_Week],94)</f>
        <v/>
      </c>
      <c r="CR97">
        <f>SUMIFS(T_Shipments[Confirmed_Qty],T_Shipments[RM_Code],$A97,T_Shipments[Effective_Week],95)</f>
        <v/>
      </c>
      <c r="CS97">
        <f>SUMIFS(T_Shipments[Confirmed_Qty],T_Shipments[RM_Code],$A97,T_Shipments[Effective_Week],96)</f>
        <v/>
      </c>
      <c r="CT97">
        <f>SUMIFS(T_Shipments[Confirmed_Qty],T_Shipments[RM_Code],$A97,T_Shipments[Effective_Week],97)</f>
        <v/>
      </c>
      <c r="CU97">
        <f>SUMIFS(T_Shipments[Confirmed_Qty],T_Shipments[RM_Code],$A97,T_Shipments[Effective_Week],98)</f>
        <v/>
      </c>
      <c r="CV97">
        <f>SUMIFS(T_Shipments[Confirmed_Qty],T_Shipments[RM_Code],$A97,T_Shipments[Effective_Week],99)</f>
        <v/>
      </c>
      <c r="CW97">
        <f>SUMIFS(T_Shipments[Confirmed_Qty],T_Shipments[RM_Code],$A97,T_Shipments[Effective_Week],100)</f>
        <v/>
      </c>
      <c r="CX97">
        <f>SUMIFS(T_Shipments[Confirmed_Qty],T_Shipments[RM_Code],$A97,T_Shipments[Effective_Week],101)</f>
        <v/>
      </c>
      <c r="CY97">
        <f>SUMIFS(T_Shipments[Confirmed_Qty],T_Shipments[RM_Code],$A97,T_Shipments[Effective_Week],102)</f>
        <v/>
      </c>
      <c r="CZ97">
        <f>SUMIFS(T_Shipments[Confirmed_Qty],T_Shipments[RM_Code],$A97,T_Shipments[Effective_Week],103)</f>
        <v/>
      </c>
      <c r="DA97">
        <f>SUMIFS(T_Shipments[Confirmed_Qty],T_Shipments[RM_Code],$A97,T_Shipments[Effective_Week],104)</f>
        <v/>
      </c>
    </row>
    <row r="98">
      <c r="A98" t="inlineStr">
        <is>
          <t>CHEM-1050</t>
        </is>
      </c>
      <c r="B98">
        <f>SUMIFS(T_Shipments[Confirmed_Qty],T_Shipments[RM_Code],$A98,T_Shipments[Effective_Week],1)</f>
        <v/>
      </c>
      <c r="C98">
        <f>SUMIFS(T_Shipments[Confirmed_Qty],T_Shipments[RM_Code],$A98,T_Shipments[Effective_Week],2)</f>
        <v/>
      </c>
      <c r="D98">
        <f>SUMIFS(T_Shipments[Confirmed_Qty],T_Shipments[RM_Code],$A98,T_Shipments[Effective_Week],3)</f>
        <v/>
      </c>
      <c r="E98">
        <f>SUMIFS(T_Shipments[Confirmed_Qty],T_Shipments[RM_Code],$A98,T_Shipments[Effective_Week],4)</f>
        <v/>
      </c>
      <c r="F98">
        <f>SUMIFS(T_Shipments[Confirmed_Qty],T_Shipments[RM_Code],$A98,T_Shipments[Effective_Week],5)</f>
        <v/>
      </c>
      <c r="G98">
        <f>SUMIFS(T_Shipments[Confirmed_Qty],T_Shipments[RM_Code],$A98,T_Shipments[Effective_Week],6)</f>
        <v/>
      </c>
      <c r="H98">
        <f>SUMIFS(T_Shipments[Confirmed_Qty],T_Shipments[RM_Code],$A98,T_Shipments[Effective_Week],7)</f>
        <v/>
      </c>
      <c r="I98">
        <f>SUMIFS(T_Shipments[Confirmed_Qty],T_Shipments[RM_Code],$A98,T_Shipments[Effective_Week],8)</f>
        <v/>
      </c>
      <c r="J98">
        <f>SUMIFS(T_Shipments[Confirmed_Qty],T_Shipments[RM_Code],$A98,T_Shipments[Effective_Week],9)</f>
        <v/>
      </c>
      <c r="K98">
        <f>SUMIFS(T_Shipments[Confirmed_Qty],T_Shipments[RM_Code],$A98,T_Shipments[Effective_Week],10)</f>
        <v/>
      </c>
      <c r="L98">
        <f>SUMIFS(T_Shipments[Confirmed_Qty],T_Shipments[RM_Code],$A98,T_Shipments[Effective_Week],11)</f>
        <v/>
      </c>
      <c r="M98">
        <f>SUMIFS(T_Shipments[Confirmed_Qty],T_Shipments[RM_Code],$A98,T_Shipments[Effective_Week],12)</f>
        <v/>
      </c>
      <c r="N98">
        <f>SUMIFS(T_Shipments[Confirmed_Qty],T_Shipments[RM_Code],$A98,T_Shipments[Effective_Week],13)</f>
        <v/>
      </c>
      <c r="O98">
        <f>SUMIFS(T_Shipments[Confirmed_Qty],T_Shipments[RM_Code],$A98,T_Shipments[Effective_Week],14)</f>
        <v/>
      </c>
      <c r="P98">
        <f>SUMIFS(T_Shipments[Confirmed_Qty],T_Shipments[RM_Code],$A98,T_Shipments[Effective_Week],15)</f>
        <v/>
      </c>
      <c r="Q98">
        <f>SUMIFS(T_Shipments[Confirmed_Qty],T_Shipments[RM_Code],$A98,T_Shipments[Effective_Week],16)</f>
        <v/>
      </c>
      <c r="R98">
        <f>SUMIFS(T_Shipments[Confirmed_Qty],T_Shipments[RM_Code],$A98,T_Shipments[Effective_Week],17)</f>
        <v/>
      </c>
      <c r="S98">
        <f>SUMIFS(T_Shipments[Confirmed_Qty],T_Shipments[RM_Code],$A98,T_Shipments[Effective_Week],18)</f>
        <v/>
      </c>
      <c r="T98">
        <f>SUMIFS(T_Shipments[Confirmed_Qty],T_Shipments[RM_Code],$A98,T_Shipments[Effective_Week],19)</f>
        <v/>
      </c>
      <c r="U98">
        <f>SUMIFS(T_Shipments[Confirmed_Qty],T_Shipments[RM_Code],$A98,T_Shipments[Effective_Week],20)</f>
        <v/>
      </c>
      <c r="V98">
        <f>SUMIFS(T_Shipments[Confirmed_Qty],T_Shipments[RM_Code],$A98,T_Shipments[Effective_Week],21)</f>
        <v/>
      </c>
      <c r="W98">
        <f>SUMIFS(T_Shipments[Confirmed_Qty],T_Shipments[RM_Code],$A98,T_Shipments[Effective_Week],22)</f>
        <v/>
      </c>
      <c r="X98">
        <f>SUMIFS(T_Shipments[Confirmed_Qty],T_Shipments[RM_Code],$A98,T_Shipments[Effective_Week],23)</f>
        <v/>
      </c>
      <c r="Y98">
        <f>SUMIFS(T_Shipments[Confirmed_Qty],T_Shipments[RM_Code],$A98,T_Shipments[Effective_Week],24)</f>
        <v/>
      </c>
      <c r="Z98">
        <f>SUMIFS(T_Shipments[Confirmed_Qty],T_Shipments[RM_Code],$A98,T_Shipments[Effective_Week],25)</f>
        <v/>
      </c>
      <c r="AA98">
        <f>SUMIFS(T_Shipments[Confirmed_Qty],T_Shipments[RM_Code],$A98,T_Shipments[Effective_Week],26)</f>
        <v/>
      </c>
      <c r="AB98">
        <f>SUMIFS(T_Shipments[Confirmed_Qty],T_Shipments[RM_Code],$A98,T_Shipments[Effective_Week],27)</f>
        <v/>
      </c>
      <c r="AC98">
        <f>SUMIFS(T_Shipments[Confirmed_Qty],T_Shipments[RM_Code],$A98,T_Shipments[Effective_Week],28)</f>
        <v/>
      </c>
      <c r="AD98">
        <f>SUMIFS(T_Shipments[Confirmed_Qty],T_Shipments[RM_Code],$A98,T_Shipments[Effective_Week],29)</f>
        <v/>
      </c>
      <c r="AE98">
        <f>SUMIFS(T_Shipments[Confirmed_Qty],T_Shipments[RM_Code],$A98,T_Shipments[Effective_Week],30)</f>
        <v/>
      </c>
      <c r="AF98">
        <f>SUMIFS(T_Shipments[Confirmed_Qty],T_Shipments[RM_Code],$A98,T_Shipments[Effective_Week],31)</f>
        <v/>
      </c>
      <c r="AG98">
        <f>SUMIFS(T_Shipments[Confirmed_Qty],T_Shipments[RM_Code],$A98,T_Shipments[Effective_Week],32)</f>
        <v/>
      </c>
      <c r="AH98">
        <f>SUMIFS(T_Shipments[Confirmed_Qty],T_Shipments[RM_Code],$A98,T_Shipments[Effective_Week],33)</f>
        <v/>
      </c>
      <c r="AI98">
        <f>SUMIFS(T_Shipments[Confirmed_Qty],T_Shipments[RM_Code],$A98,T_Shipments[Effective_Week],34)</f>
        <v/>
      </c>
      <c r="AJ98">
        <f>SUMIFS(T_Shipments[Confirmed_Qty],T_Shipments[RM_Code],$A98,T_Shipments[Effective_Week],35)</f>
        <v/>
      </c>
      <c r="AK98">
        <f>SUMIFS(T_Shipments[Confirmed_Qty],T_Shipments[RM_Code],$A98,T_Shipments[Effective_Week],36)</f>
        <v/>
      </c>
      <c r="AL98">
        <f>SUMIFS(T_Shipments[Confirmed_Qty],T_Shipments[RM_Code],$A98,T_Shipments[Effective_Week],37)</f>
        <v/>
      </c>
      <c r="AM98">
        <f>SUMIFS(T_Shipments[Confirmed_Qty],T_Shipments[RM_Code],$A98,T_Shipments[Effective_Week],38)</f>
        <v/>
      </c>
      <c r="AN98">
        <f>SUMIFS(T_Shipments[Confirmed_Qty],T_Shipments[RM_Code],$A98,T_Shipments[Effective_Week],39)</f>
        <v/>
      </c>
      <c r="AO98">
        <f>SUMIFS(T_Shipments[Confirmed_Qty],T_Shipments[RM_Code],$A98,T_Shipments[Effective_Week],40)</f>
        <v/>
      </c>
      <c r="AP98">
        <f>SUMIFS(T_Shipments[Confirmed_Qty],T_Shipments[RM_Code],$A98,T_Shipments[Effective_Week],41)</f>
        <v/>
      </c>
      <c r="AQ98">
        <f>SUMIFS(T_Shipments[Confirmed_Qty],T_Shipments[RM_Code],$A98,T_Shipments[Effective_Week],42)</f>
        <v/>
      </c>
      <c r="AR98">
        <f>SUMIFS(T_Shipments[Confirmed_Qty],T_Shipments[RM_Code],$A98,T_Shipments[Effective_Week],43)</f>
        <v/>
      </c>
      <c r="AS98">
        <f>SUMIFS(T_Shipments[Confirmed_Qty],T_Shipments[RM_Code],$A98,T_Shipments[Effective_Week],44)</f>
        <v/>
      </c>
      <c r="AT98">
        <f>SUMIFS(T_Shipments[Confirmed_Qty],T_Shipments[RM_Code],$A98,T_Shipments[Effective_Week],45)</f>
        <v/>
      </c>
      <c r="AU98">
        <f>SUMIFS(T_Shipments[Confirmed_Qty],T_Shipments[RM_Code],$A98,T_Shipments[Effective_Week],46)</f>
        <v/>
      </c>
      <c r="AV98">
        <f>SUMIFS(T_Shipments[Confirmed_Qty],T_Shipments[RM_Code],$A98,T_Shipments[Effective_Week],47)</f>
        <v/>
      </c>
      <c r="AW98">
        <f>SUMIFS(T_Shipments[Confirmed_Qty],T_Shipments[RM_Code],$A98,T_Shipments[Effective_Week],48)</f>
        <v/>
      </c>
      <c r="AX98">
        <f>SUMIFS(T_Shipments[Confirmed_Qty],T_Shipments[RM_Code],$A98,T_Shipments[Effective_Week],49)</f>
        <v/>
      </c>
      <c r="AY98">
        <f>SUMIFS(T_Shipments[Confirmed_Qty],T_Shipments[RM_Code],$A98,T_Shipments[Effective_Week],50)</f>
        <v/>
      </c>
      <c r="AZ98">
        <f>SUMIFS(T_Shipments[Confirmed_Qty],T_Shipments[RM_Code],$A98,T_Shipments[Effective_Week],51)</f>
        <v/>
      </c>
      <c r="BA98">
        <f>SUMIFS(T_Shipments[Confirmed_Qty],T_Shipments[RM_Code],$A98,T_Shipments[Effective_Week],52)</f>
        <v/>
      </c>
      <c r="BB98">
        <f>SUMIFS(T_Shipments[Confirmed_Qty],T_Shipments[RM_Code],$A98,T_Shipments[Effective_Week],53)</f>
        <v/>
      </c>
      <c r="BC98">
        <f>SUMIFS(T_Shipments[Confirmed_Qty],T_Shipments[RM_Code],$A98,T_Shipments[Effective_Week],54)</f>
        <v/>
      </c>
      <c r="BD98">
        <f>SUMIFS(T_Shipments[Confirmed_Qty],T_Shipments[RM_Code],$A98,T_Shipments[Effective_Week],55)</f>
        <v/>
      </c>
      <c r="BE98">
        <f>SUMIFS(T_Shipments[Confirmed_Qty],T_Shipments[RM_Code],$A98,T_Shipments[Effective_Week],56)</f>
        <v/>
      </c>
      <c r="BF98">
        <f>SUMIFS(T_Shipments[Confirmed_Qty],T_Shipments[RM_Code],$A98,T_Shipments[Effective_Week],57)</f>
        <v/>
      </c>
      <c r="BG98">
        <f>SUMIFS(T_Shipments[Confirmed_Qty],T_Shipments[RM_Code],$A98,T_Shipments[Effective_Week],58)</f>
        <v/>
      </c>
      <c r="BH98">
        <f>SUMIFS(T_Shipments[Confirmed_Qty],T_Shipments[RM_Code],$A98,T_Shipments[Effective_Week],59)</f>
        <v/>
      </c>
      <c r="BI98">
        <f>SUMIFS(T_Shipments[Confirmed_Qty],T_Shipments[RM_Code],$A98,T_Shipments[Effective_Week],60)</f>
        <v/>
      </c>
      <c r="BJ98">
        <f>SUMIFS(T_Shipments[Confirmed_Qty],T_Shipments[RM_Code],$A98,T_Shipments[Effective_Week],61)</f>
        <v/>
      </c>
      <c r="BK98">
        <f>SUMIFS(T_Shipments[Confirmed_Qty],T_Shipments[RM_Code],$A98,T_Shipments[Effective_Week],62)</f>
        <v/>
      </c>
      <c r="BL98">
        <f>SUMIFS(T_Shipments[Confirmed_Qty],T_Shipments[RM_Code],$A98,T_Shipments[Effective_Week],63)</f>
        <v/>
      </c>
      <c r="BM98">
        <f>SUMIFS(T_Shipments[Confirmed_Qty],T_Shipments[RM_Code],$A98,T_Shipments[Effective_Week],64)</f>
        <v/>
      </c>
      <c r="BN98">
        <f>SUMIFS(T_Shipments[Confirmed_Qty],T_Shipments[RM_Code],$A98,T_Shipments[Effective_Week],65)</f>
        <v/>
      </c>
      <c r="BO98">
        <f>SUMIFS(T_Shipments[Confirmed_Qty],T_Shipments[RM_Code],$A98,T_Shipments[Effective_Week],66)</f>
        <v/>
      </c>
      <c r="BP98">
        <f>SUMIFS(T_Shipments[Confirmed_Qty],T_Shipments[RM_Code],$A98,T_Shipments[Effective_Week],67)</f>
        <v/>
      </c>
      <c r="BQ98">
        <f>SUMIFS(T_Shipments[Confirmed_Qty],T_Shipments[RM_Code],$A98,T_Shipments[Effective_Week],68)</f>
        <v/>
      </c>
      <c r="BR98">
        <f>SUMIFS(T_Shipments[Confirmed_Qty],T_Shipments[RM_Code],$A98,T_Shipments[Effective_Week],69)</f>
        <v/>
      </c>
      <c r="BS98">
        <f>SUMIFS(T_Shipments[Confirmed_Qty],T_Shipments[RM_Code],$A98,T_Shipments[Effective_Week],70)</f>
        <v/>
      </c>
      <c r="BT98">
        <f>SUMIFS(T_Shipments[Confirmed_Qty],T_Shipments[RM_Code],$A98,T_Shipments[Effective_Week],71)</f>
        <v/>
      </c>
      <c r="BU98">
        <f>SUMIFS(T_Shipments[Confirmed_Qty],T_Shipments[RM_Code],$A98,T_Shipments[Effective_Week],72)</f>
        <v/>
      </c>
      <c r="BV98">
        <f>SUMIFS(T_Shipments[Confirmed_Qty],T_Shipments[RM_Code],$A98,T_Shipments[Effective_Week],73)</f>
        <v/>
      </c>
      <c r="BW98">
        <f>SUMIFS(T_Shipments[Confirmed_Qty],T_Shipments[RM_Code],$A98,T_Shipments[Effective_Week],74)</f>
        <v/>
      </c>
      <c r="BX98">
        <f>SUMIFS(T_Shipments[Confirmed_Qty],T_Shipments[RM_Code],$A98,T_Shipments[Effective_Week],75)</f>
        <v/>
      </c>
      <c r="BY98">
        <f>SUMIFS(T_Shipments[Confirmed_Qty],T_Shipments[RM_Code],$A98,T_Shipments[Effective_Week],76)</f>
        <v/>
      </c>
      <c r="BZ98">
        <f>SUMIFS(T_Shipments[Confirmed_Qty],T_Shipments[RM_Code],$A98,T_Shipments[Effective_Week],77)</f>
        <v/>
      </c>
      <c r="CA98">
        <f>SUMIFS(T_Shipments[Confirmed_Qty],T_Shipments[RM_Code],$A98,T_Shipments[Effective_Week],78)</f>
        <v/>
      </c>
      <c r="CB98">
        <f>SUMIFS(T_Shipments[Confirmed_Qty],T_Shipments[RM_Code],$A98,T_Shipments[Effective_Week],79)</f>
        <v/>
      </c>
      <c r="CC98">
        <f>SUMIFS(T_Shipments[Confirmed_Qty],T_Shipments[RM_Code],$A98,T_Shipments[Effective_Week],80)</f>
        <v/>
      </c>
      <c r="CD98">
        <f>SUMIFS(T_Shipments[Confirmed_Qty],T_Shipments[RM_Code],$A98,T_Shipments[Effective_Week],81)</f>
        <v/>
      </c>
      <c r="CE98">
        <f>SUMIFS(T_Shipments[Confirmed_Qty],T_Shipments[RM_Code],$A98,T_Shipments[Effective_Week],82)</f>
        <v/>
      </c>
      <c r="CF98">
        <f>SUMIFS(T_Shipments[Confirmed_Qty],T_Shipments[RM_Code],$A98,T_Shipments[Effective_Week],83)</f>
        <v/>
      </c>
      <c r="CG98">
        <f>SUMIFS(T_Shipments[Confirmed_Qty],T_Shipments[RM_Code],$A98,T_Shipments[Effective_Week],84)</f>
        <v/>
      </c>
      <c r="CH98">
        <f>SUMIFS(T_Shipments[Confirmed_Qty],T_Shipments[RM_Code],$A98,T_Shipments[Effective_Week],85)</f>
        <v/>
      </c>
      <c r="CI98">
        <f>SUMIFS(T_Shipments[Confirmed_Qty],T_Shipments[RM_Code],$A98,T_Shipments[Effective_Week],86)</f>
        <v/>
      </c>
      <c r="CJ98">
        <f>SUMIFS(T_Shipments[Confirmed_Qty],T_Shipments[RM_Code],$A98,T_Shipments[Effective_Week],87)</f>
        <v/>
      </c>
      <c r="CK98">
        <f>SUMIFS(T_Shipments[Confirmed_Qty],T_Shipments[RM_Code],$A98,T_Shipments[Effective_Week],88)</f>
        <v/>
      </c>
      <c r="CL98">
        <f>SUMIFS(T_Shipments[Confirmed_Qty],T_Shipments[RM_Code],$A98,T_Shipments[Effective_Week],89)</f>
        <v/>
      </c>
      <c r="CM98">
        <f>SUMIFS(T_Shipments[Confirmed_Qty],T_Shipments[RM_Code],$A98,T_Shipments[Effective_Week],90)</f>
        <v/>
      </c>
      <c r="CN98">
        <f>SUMIFS(T_Shipments[Confirmed_Qty],T_Shipments[RM_Code],$A98,T_Shipments[Effective_Week],91)</f>
        <v/>
      </c>
      <c r="CO98">
        <f>SUMIFS(T_Shipments[Confirmed_Qty],T_Shipments[RM_Code],$A98,T_Shipments[Effective_Week],92)</f>
        <v/>
      </c>
      <c r="CP98">
        <f>SUMIFS(T_Shipments[Confirmed_Qty],T_Shipments[RM_Code],$A98,T_Shipments[Effective_Week],93)</f>
        <v/>
      </c>
      <c r="CQ98">
        <f>SUMIFS(T_Shipments[Confirmed_Qty],T_Shipments[RM_Code],$A98,T_Shipments[Effective_Week],94)</f>
        <v/>
      </c>
      <c r="CR98">
        <f>SUMIFS(T_Shipments[Confirmed_Qty],T_Shipments[RM_Code],$A98,T_Shipments[Effective_Week],95)</f>
        <v/>
      </c>
      <c r="CS98">
        <f>SUMIFS(T_Shipments[Confirmed_Qty],T_Shipments[RM_Code],$A98,T_Shipments[Effective_Week],96)</f>
        <v/>
      </c>
      <c r="CT98">
        <f>SUMIFS(T_Shipments[Confirmed_Qty],T_Shipments[RM_Code],$A98,T_Shipments[Effective_Week],97)</f>
        <v/>
      </c>
      <c r="CU98">
        <f>SUMIFS(T_Shipments[Confirmed_Qty],T_Shipments[RM_Code],$A98,T_Shipments[Effective_Week],98)</f>
        <v/>
      </c>
      <c r="CV98">
        <f>SUMIFS(T_Shipments[Confirmed_Qty],T_Shipments[RM_Code],$A98,T_Shipments[Effective_Week],99)</f>
        <v/>
      </c>
      <c r="CW98">
        <f>SUMIFS(T_Shipments[Confirmed_Qty],T_Shipments[RM_Code],$A98,T_Shipments[Effective_Week],100)</f>
        <v/>
      </c>
      <c r="CX98">
        <f>SUMIFS(T_Shipments[Confirmed_Qty],T_Shipments[RM_Code],$A98,T_Shipments[Effective_Week],101)</f>
        <v/>
      </c>
      <c r="CY98">
        <f>SUMIFS(T_Shipments[Confirmed_Qty],T_Shipments[RM_Code],$A98,T_Shipments[Effective_Week],102)</f>
        <v/>
      </c>
      <c r="CZ98">
        <f>SUMIFS(T_Shipments[Confirmed_Qty],T_Shipments[RM_Code],$A98,T_Shipments[Effective_Week],103)</f>
        <v/>
      </c>
      <c r="DA98">
        <f>SUMIFS(T_Shipments[Confirmed_Qty],T_Shipments[RM_Code],$A98,T_Shipments[Effective_Week],104)</f>
        <v/>
      </c>
    </row>
    <row r="99">
      <c r="A99" t="inlineStr">
        <is>
          <t>CHEM-1190</t>
        </is>
      </c>
      <c r="B99">
        <f>SUMIFS(T_Shipments[Confirmed_Qty],T_Shipments[RM_Code],$A99,T_Shipments[Effective_Week],1)</f>
        <v/>
      </c>
      <c r="C99">
        <f>SUMIFS(T_Shipments[Confirmed_Qty],T_Shipments[RM_Code],$A99,T_Shipments[Effective_Week],2)</f>
        <v/>
      </c>
      <c r="D99">
        <f>SUMIFS(T_Shipments[Confirmed_Qty],T_Shipments[RM_Code],$A99,T_Shipments[Effective_Week],3)</f>
        <v/>
      </c>
      <c r="E99">
        <f>SUMIFS(T_Shipments[Confirmed_Qty],T_Shipments[RM_Code],$A99,T_Shipments[Effective_Week],4)</f>
        <v/>
      </c>
      <c r="F99">
        <f>SUMIFS(T_Shipments[Confirmed_Qty],T_Shipments[RM_Code],$A99,T_Shipments[Effective_Week],5)</f>
        <v/>
      </c>
      <c r="G99">
        <f>SUMIFS(T_Shipments[Confirmed_Qty],T_Shipments[RM_Code],$A99,T_Shipments[Effective_Week],6)</f>
        <v/>
      </c>
      <c r="H99">
        <f>SUMIFS(T_Shipments[Confirmed_Qty],T_Shipments[RM_Code],$A99,T_Shipments[Effective_Week],7)</f>
        <v/>
      </c>
      <c r="I99">
        <f>SUMIFS(T_Shipments[Confirmed_Qty],T_Shipments[RM_Code],$A99,T_Shipments[Effective_Week],8)</f>
        <v/>
      </c>
      <c r="J99">
        <f>SUMIFS(T_Shipments[Confirmed_Qty],T_Shipments[RM_Code],$A99,T_Shipments[Effective_Week],9)</f>
        <v/>
      </c>
      <c r="K99">
        <f>SUMIFS(T_Shipments[Confirmed_Qty],T_Shipments[RM_Code],$A99,T_Shipments[Effective_Week],10)</f>
        <v/>
      </c>
      <c r="L99">
        <f>SUMIFS(T_Shipments[Confirmed_Qty],T_Shipments[RM_Code],$A99,T_Shipments[Effective_Week],11)</f>
        <v/>
      </c>
      <c r="M99">
        <f>SUMIFS(T_Shipments[Confirmed_Qty],T_Shipments[RM_Code],$A99,T_Shipments[Effective_Week],12)</f>
        <v/>
      </c>
      <c r="N99">
        <f>SUMIFS(T_Shipments[Confirmed_Qty],T_Shipments[RM_Code],$A99,T_Shipments[Effective_Week],13)</f>
        <v/>
      </c>
      <c r="O99">
        <f>SUMIFS(T_Shipments[Confirmed_Qty],T_Shipments[RM_Code],$A99,T_Shipments[Effective_Week],14)</f>
        <v/>
      </c>
      <c r="P99">
        <f>SUMIFS(T_Shipments[Confirmed_Qty],T_Shipments[RM_Code],$A99,T_Shipments[Effective_Week],15)</f>
        <v/>
      </c>
      <c r="Q99">
        <f>SUMIFS(T_Shipments[Confirmed_Qty],T_Shipments[RM_Code],$A99,T_Shipments[Effective_Week],16)</f>
        <v/>
      </c>
      <c r="R99">
        <f>SUMIFS(T_Shipments[Confirmed_Qty],T_Shipments[RM_Code],$A99,T_Shipments[Effective_Week],17)</f>
        <v/>
      </c>
      <c r="S99">
        <f>SUMIFS(T_Shipments[Confirmed_Qty],T_Shipments[RM_Code],$A99,T_Shipments[Effective_Week],18)</f>
        <v/>
      </c>
      <c r="T99">
        <f>SUMIFS(T_Shipments[Confirmed_Qty],T_Shipments[RM_Code],$A99,T_Shipments[Effective_Week],19)</f>
        <v/>
      </c>
      <c r="U99">
        <f>SUMIFS(T_Shipments[Confirmed_Qty],T_Shipments[RM_Code],$A99,T_Shipments[Effective_Week],20)</f>
        <v/>
      </c>
      <c r="V99">
        <f>SUMIFS(T_Shipments[Confirmed_Qty],T_Shipments[RM_Code],$A99,T_Shipments[Effective_Week],21)</f>
        <v/>
      </c>
      <c r="W99">
        <f>SUMIFS(T_Shipments[Confirmed_Qty],T_Shipments[RM_Code],$A99,T_Shipments[Effective_Week],22)</f>
        <v/>
      </c>
      <c r="X99">
        <f>SUMIFS(T_Shipments[Confirmed_Qty],T_Shipments[RM_Code],$A99,T_Shipments[Effective_Week],23)</f>
        <v/>
      </c>
      <c r="Y99">
        <f>SUMIFS(T_Shipments[Confirmed_Qty],T_Shipments[RM_Code],$A99,T_Shipments[Effective_Week],24)</f>
        <v/>
      </c>
      <c r="Z99">
        <f>SUMIFS(T_Shipments[Confirmed_Qty],T_Shipments[RM_Code],$A99,T_Shipments[Effective_Week],25)</f>
        <v/>
      </c>
      <c r="AA99">
        <f>SUMIFS(T_Shipments[Confirmed_Qty],T_Shipments[RM_Code],$A99,T_Shipments[Effective_Week],26)</f>
        <v/>
      </c>
      <c r="AB99">
        <f>SUMIFS(T_Shipments[Confirmed_Qty],T_Shipments[RM_Code],$A99,T_Shipments[Effective_Week],27)</f>
        <v/>
      </c>
      <c r="AC99">
        <f>SUMIFS(T_Shipments[Confirmed_Qty],T_Shipments[RM_Code],$A99,T_Shipments[Effective_Week],28)</f>
        <v/>
      </c>
      <c r="AD99">
        <f>SUMIFS(T_Shipments[Confirmed_Qty],T_Shipments[RM_Code],$A99,T_Shipments[Effective_Week],29)</f>
        <v/>
      </c>
      <c r="AE99">
        <f>SUMIFS(T_Shipments[Confirmed_Qty],T_Shipments[RM_Code],$A99,T_Shipments[Effective_Week],30)</f>
        <v/>
      </c>
      <c r="AF99">
        <f>SUMIFS(T_Shipments[Confirmed_Qty],T_Shipments[RM_Code],$A99,T_Shipments[Effective_Week],31)</f>
        <v/>
      </c>
      <c r="AG99">
        <f>SUMIFS(T_Shipments[Confirmed_Qty],T_Shipments[RM_Code],$A99,T_Shipments[Effective_Week],32)</f>
        <v/>
      </c>
      <c r="AH99">
        <f>SUMIFS(T_Shipments[Confirmed_Qty],T_Shipments[RM_Code],$A99,T_Shipments[Effective_Week],33)</f>
        <v/>
      </c>
      <c r="AI99">
        <f>SUMIFS(T_Shipments[Confirmed_Qty],T_Shipments[RM_Code],$A99,T_Shipments[Effective_Week],34)</f>
        <v/>
      </c>
      <c r="AJ99">
        <f>SUMIFS(T_Shipments[Confirmed_Qty],T_Shipments[RM_Code],$A99,T_Shipments[Effective_Week],35)</f>
        <v/>
      </c>
      <c r="AK99">
        <f>SUMIFS(T_Shipments[Confirmed_Qty],T_Shipments[RM_Code],$A99,T_Shipments[Effective_Week],36)</f>
        <v/>
      </c>
      <c r="AL99">
        <f>SUMIFS(T_Shipments[Confirmed_Qty],T_Shipments[RM_Code],$A99,T_Shipments[Effective_Week],37)</f>
        <v/>
      </c>
      <c r="AM99">
        <f>SUMIFS(T_Shipments[Confirmed_Qty],T_Shipments[RM_Code],$A99,T_Shipments[Effective_Week],38)</f>
        <v/>
      </c>
      <c r="AN99">
        <f>SUMIFS(T_Shipments[Confirmed_Qty],T_Shipments[RM_Code],$A99,T_Shipments[Effective_Week],39)</f>
        <v/>
      </c>
      <c r="AO99">
        <f>SUMIFS(T_Shipments[Confirmed_Qty],T_Shipments[RM_Code],$A99,T_Shipments[Effective_Week],40)</f>
        <v/>
      </c>
      <c r="AP99">
        <f>SUMIFS(T_Shipments[Confirmed_Qty],T_Shipments[RM_Code],$A99,T_Shipments[Effective_Week],41)</f>
        <v/>
      </c>
      <c r="AQ99">
        <f>SUMIFS(T_Shipments[Confirmed_Qty],T_Shipments[RM_Code],$A99,T_Shipments[Effective_Week],42)</f>
        <v/>
      </c>
      <c r="AR99">
        <f>SUMIFS(T_Shipments[Confirmed_Qty],T_Shipments[RM_Code],$A99,T_Shipments[Effective_Week],43)</f>
        <v/>
      </c>
      <c r="AS99">
        <f>SUMIFS(T_Shipments[Confirmed_Qty],T_Shipments[RM_Code],$A99,T_Shipments[Effective_Week],44)</f>
        <v/>
      </c>
      <c r="AT99">
        <f>SUMIFS(T_Shipments[Confirmed_Qty],T_Shipments[RM_Code],$A99,T_Shipments[Effective_Week],45)</f>
        <v/>
      </c>
      <c r="AU99">
        <f>SUMIFS(T_Shipments[Confirmed_Qty],T_Shipments[RM_Code],$A99,T_Shipments[Effective_Week],46)</f>
        <v/>
      </c>
      <c r="AV99">
        <f>SUMIFS(T_Shipments[Confirmed_Qty],T_Shipments[RM_Code],$A99,T_Shipments[Effective_Week],47)</f>
        <v/>
      </c>
      <c r="AW99">
        <f>SUMIFS(T_Shipments[Confirmed_Qty],T_Shipments[RM_Code],$A99,T_Shipments[Effective_Week],48)</f>
        <v/>
      </c>
      <c r="AX99">
        <f>SUMIFS(T_Shipments[Confirmed_Qty],T_Shipments[RM_Code],$A99,T_Shipments[Effective_Week],49)</f>
        <v/>
      </c>
      <c r="AY99">
        <f>SUMIFS(T_Shipments[Confirmed_Qty],T_Shipments[RM_Code],$A99,T_Shipments[Effective_Week],50)</f>
        <v/>
      </c>
      <c r="AZ99">
        <f>SUMIFS(T_Shipments[Confirmed_Qty],T_Shipments[RM_Code],$A99,T_Shipments[Effective_Week],51)</f>
        <v/>
      </c>
      <c r="BA99">
        <f>SUMIFS(T_Shipments[Confirmed_Qty],T_Shipments[RM_Code],$A99,T_Shipments[Effective_Week],52)</f>
        <v/>
      </c>
      <c r="BB99">
        <f>SUMIFS(T_Shipments[Confirmed_Qty],T_Shipments[RM_Code],$A99,T_Shipments[Effective_Week],53)</f>
        <v/>
      </c>
      <c r="BC99">
        <f>SUMIFS(T_Shipments[Confirmed_Qty],T_Shipments[RM_Code],$A99,T_Shipments[Effective_Week],54)</f>
        <v/>
      </c>
      <c r="BD99">
        <f>SUMIFS(T_Shipments[Confirmed_Qty],T_Shipments[RM_Code],$A99,T_Shipments[Effective_Week],55)</f>
        <v/>
      </c>
      <c r="BE99">
        <f>SUMIFS(T_Shipments[Confirmed_Qty],T_Shipments[RM_Code],$A99,T_Shipments[Effective_Week],56)</f>
        <v/>
      </c>
      <c r="BF99">
        <f>SUMIFS(T_Shipments[Confirmed_Qty],T_Shipments[RM_Code],$A99,T_Shipments[Effective_Week],57)</f>
        <v/>
      </c>
      <c r="BG99">
        <f>SUMIFS(T_Shipments[Confirmed_Qty],T_Shipments[RM_Code],$A99,T_Shipments[Effective_Week],58)</f>
        <v/>
      </c>
      <c r="BH99">
        <f>SUMIFS(T_Shipments[Confirmed_Qty],T_Shipments[RM_Code],$A99,T_Shipments[Effective_Week],59)</f>
        <v/>
      </c>
      <c r="BI99">
        <f>SUMIFS(T_Shipments[Confirmed_Qty],T_Shipments[RM_Code],$A99,T_Shipments[Effective_Week],60)</f>
        <v/>
      </c>
      <c r="BJ99">
        <f>SUMIFS(T_Shipments[Confirmed_Qty],T_Shipments[RM_Code],$A99,T_Shipments[Effective_Week],61)</f>
        <v/>
      </c>
      <c r="BK99">
        <f>SUMIFS(T_Shipments[Confirmed_Qty],T_Shipments[RM_Code],$A99,T_Shipments[Effective_Week],62)</f>
        <v/>
      </c>
      <c r="BL99">
        <f>SUMIFS(T_Shipments[Confirmed_Qty],T_Shipments[RM_Code],$A99,T_Shipments[Effective_Week],63)</f>
        <v/>
      </c>
      <c r="BM99">
        <f>SUMIFS(T_Shipments[Confirmed_Qty],T_Shipments[RM_Code],$A99,T_Shipments[Effective_Week],64)</f>
        <v/>
      </c>
      <c r="BN99">
        <f>SUMIFS(T_Shipments[Confirmed_Qty],T_Shipments[RM_Code],$A99,T_Shipments[Effective_Week],65)</f>
        <v/>
      </c>
      <c r="BO99">
        <f>SUMIFS(T_Shipments[Confirmed_Qty],T_Shipments[RM_Code],$A99,T_Shipments[Effective_Week],66)</f>
        <v/>
      </c>
      <c r="BP99">
        <f>SUMIFS(T_Shipments[Confirmed_Qty],T_Shipments[RM_Code],$A99,T_Shipments[Effective_Week],67)</f>
        <v/>
      </c>
      <c r="BQ99">
        <f>SUMIFS(T_Shipments[Confirmed_Qty],T_Shipments[RM_Code],$A99,T_Shipments[Effective_Week],68)</f>
        <v/>
      </c>
      <c r="BR99">
        <f>SUMIFS(T_Shipments[Confirmed_Qty],T_Shipments[RM_Code],$A99,T_Shipments[Effective_Week],69)</f>
        <v/>
      </c>
      <c r="BS99">
        <f>SUMIFS(T_Shipments[Confirmed_Qty],T_Shipments[RM_Code],$A99,T_Shipments[Effective_Week],70)</f>
        <v/>
      </c>
      <c r="BT99">
        <f>SUMIFS(T_Shipments[Confirmed_Qty],T_Shipments[RM_Code],$A99,T_Shipments[Effective_Week],71)</f>
        <v/>
      </c>
      <c r="BU99">
        <f>SUMIFS(T_Shipments[Confirmed_Qty],T_Shipments[RM_Code],$A99,T_Shipments[Effective_Week],72)</f>
        <v/>
      </c>
      <c r="BV99">
        <f>SUMIFS(T_Shipments[Confirmed_Qty],T_Shipments[RM_Code],$A99,T_Shipments[Effective_Week],73)</f>
        <v/>
      </c>
      <c r="BW99">
        <f>SUMIFS(T_Shipments[Confirmed_Qty],T_Shipments[RM_Code],$A99,T_Shipments[Effective_Week],74)</f>
        <v/>
      </c>
      <c r="BX99">
        <f>SUMIFS(T_Shipments[Confirmed_Qty],T_Shipments[RM_Code],$A99,T_Shipments[Effective_Week],75)</f>
        <v/>
      </c>
      <c r="BY99">
        <f>SUMIFS(T_Shipments[Confirmed_Qty],T_Shipments[RM_Code],$A99,T_Shipments[Effective_Week],76)</f>
        <v/>
      </c>
      <c r="BZ99">
        <f>SUMIFS(T_Shipments[Confirmed_Qty],T_Shipments[RM_Code],$A99,T_Shipments[Effective_Week],77)</f>
        <v/>
      </c>
      <c r="CA99">
        <f>SUMIFS(T_Shipments[Confirmed_Qty],T_Shipments[RM_Code],$A99,T_Shipments[Effective_Week],78)</f>
        <v/>
      </c>
      <c r="CB99">
        <f>SUMIFS(T_Shipments[Confirmed_Qty],T_Shipments[RM_Code],$A99,T_Shipments[Effective_Week],79)</f>
        <v/>
      </c>
      <c r="CC99">
        <f>SUMIFS(T_Shipments[Confirmed_Qty],T_Shipments[RM_Code],$A99,T_Shipments[Effective_Week],80)</f>
        <v/>
      </c>
      <c r="CD99">
        <f>SUMIFS(T_Shipments[Confirmed_Qty],T_Shipments[RM_Code],$A99,T_Shipments[Effective_Week],81)</f>
        <v/>
      </c>
      <c r="CE99">
        <f>SUMIFS(T_Shipments[Confirmed_Qty],T_Shipments[RM_Code],$A99,T_Shipments[Effective_Week],82)</f>
        <v/>
      </c>
      <c r="CF99">
        <f>SUMIFS(T_Shipments[Confirmed_Qty],T_Shipments[RM_Code],$A99,T_Shipments[Effective_Week],83)</f>
        <v/>
      </c>
      <c r="CG99">
        <f>SUMIFS(T_Shipments[Confirmed_Qty],T_Shipments[RM_Code],$A99,T_Shipments[Effective_Week],84)</f>
        <v/>
      </c>
      <c r="CH99">
        <f>SUMIFS(T_Shipments[Confirmed_Qty],T_Shipments[RM_Code],$A99,T_Shipments[Effective_Week],85)</f>
        <v/>
      </c>
      <c r="CI99">
        <f>SUMIFS(T_Shipments[Confirmed_Qty],T_Shipments[RM_Code],$A99,T_Shipments[Effective_Week],86)</f>
        <v/>
      </c>
      <c r="CJ99">
        <f>SUMIFS(T_Shipments[Confirmed_Qty],T_Shipments[RM_Code],$A99,T_Shipments[Effective_Week],87)</f>
        <v/>
      </c>
      <c r="CK99">
        <f>SUMIFS(T_Shipments[Confirmed_Qty],T_Shipments[RM_Code],$A99,T_Shipments[Effective_Week],88)</f>
        <v/>
      </c>
      <c r="CL99">
        <f>SUMIFS(T_Shipments[Confirmed_Qty],T_Shipments[RM_Code],$A99,T_Shipments[Effective_Week],89)</f>
        <v/>
      </c>
      <c r="CM99">
        <f>SUMIFS(T_Shipments[Confirmed_Qty],T_Shipments[RM_Code],$A99,T_Shipments[Effective_Week],90)</f>
        <v/>
      </c>
      <c r="CN99">
        <f>SUMIFS(T_Shipments[Confirmed_Qty],T_Shipments[RM_Code],$A99,T_Shipments[Effective_Week],91)</f>
        <v/>
      </c>
      <c r="CO99">
        <f>SUMIFS(T_Shipments[Confirmed_Qty],T_Shipments[RM_Code],$A99,T_Shipments[Effective_Week],92)</f>
        <v/>
      </c>
      <c r="CP99">
        <f>SUMIFS(T_Shipments[Confirmed_Qty],T_Shipments[RM_Code],$A99,T_Shipments[Effective_Week],93)</f>
        <v/>
      </c>
      <c r="CQ99">
        <f>SUMIFS(T_Shipments[Confirmed_Qty],T_Shipments[RM_Code],$A99,T_Shipments[Effective_Week],94)</f>
        <v/>
      </c>
      <c r="CR99">
        <f>SUMIFS(T_Shipments[Confirmed_Qty],T_Shipments[RM_Code],$A99,T_Shipments[Effective_Week],95)</f>
        <v/>
      </c>
      <c r="CS99">
        <f>SUMIFS(T_Shipments[Confirmed_Qty],T_Shipments[RM_Code],$A99,T_Shipments[Effective_Week],96)</f>
        <v/>
      </c>
      <c r="CT99">
        <f>SUMIFS(T_Shipments[Confirmed_Qty],T_Shipments[RM_Code],$A99,T_Shipments[Effective_Week],97)</f>
        <v/>
      </c>
      <c r="CU99">
        <f>SUMIFS(T_Shipments[Confirmed_Qty],T_Shipments[RM_Code],$A99,T_Shipments[Effective_Week],98)</f>
        <v/>
      </c>
      <c r="CV99">
        <f>SUMIFS(T_Shipments[Confirmed_Qty],T_Shipments[RM_Code],$A99,T_Shipments[Effective_Week],99)</f>
        <v/>
      </c>
      <c r="CW99">
        <f>SUMIFS(T_Shipments[Confirmed_Qty],T_Shipments[RM_Code],$A99,T_Shipments[Effective_Week],100)</f>
        <v/>
      </c>
      <c r="CX99">
        <f>SUMIFS(T_Shipments[Confirmed_Qty],T_Shipments[RM_Code],$A99,T_Shipments[Effective_Week],101)</f>
        <v/>
      </c>
      <c r="CY99">
        <f>SUMIFS(T_Shipments[Confirmed_Qty],T_Shipments[RM_Code],$A99,T_Shipments[Effective_Week],102)</f>
        <v/>
      </c>
      <c r="CZ99">
        <f>SUMIFS(T_Shipments[Confirmed_Qty],T_Shipments[RM_Code],$A99,T_Shipments[Effective_Week],103)</f>
        <v/>
      </c>
      <c r="DA99">
        <f>SUMIFS(T_Shipments[Confirmed_Qty],T_Shipments[RM_Code],$A99,T_Shipments[Effective_Week],104)</f>
        <v/>
      </c>
    </row>
    <row r="100">
      <c r="A100" t="inlineStr">
        <is>
          <t>CHEM-1630</t>
        </is>
      </c>
      <c r="B100">
        <f>SUMIFS(T_Shipments[Confirmed_Qty],T_Shipments[RM_Code],$A100,T_Shipments[Effective_Week],1)</f>
        <v/>
      </c>
      <c r="C100">
        <f>SUMIFS(T_Shipments[Confirmed_Qty],T_Shipments[RM_Code],$A100,T_Shipments[Effective_Week],2)</f>
        <v/>
      </c>
      <c r="D100">
        <f>SUMIFS(T_Shipments[Confirmed_Qty],T_Shipments[RM_Code],$A100,T_Shipments[Effective_Week],3)</f>
        <v/>
      </c>
      <c r="E100">
        <f>SUMIFS(T_Shipments[Confirmed_Qty],T_Shipments[RM_Code],$A100,T_Shipments[Effective_Week],4)</f>
        <v/>
      </c>
      <c r="F100">
        <f>SUMIFS(T_Shipments[Confirmed_Qty],T_Shipments[RM_Code],$A100,T_Shipments[Effective_Week],5)</f>
        <v/>
      </c>
      <c r="G100">
        <f>SUMIFS(T_Shipments[Confirmed_Qty],T_Shipments[RM_Code],$A100,T_Shipments[Effective_Week],6)</f>
        <v/>
      </c>
      <c r="H100">
        <f>SUMIFS(T_Shipments[Confirmed_Qty],T_Shipments[RM_Code],$A100,T_Shipments[Effective_Week],7)</f>
        <v/>
      </c>
      <c r="I100">
        <f>SUMIFS(T_Shipments[Confirmed_Qty],T_Shipments[RM_Code],$A100,T_Shipments[Effective_Week],8)</f>
        <v/>
      </c>
      <c r="J100">
        <f>SUMIFS(T_Shipments[Confirmed_Qty],T_Shipments[RM_Code],$A100,T_Shipments[Effective_Week],9)</f>
        <v/>
      </c>
      <c r="K100">
        <f>SUMIFS(T_Shipments[Confirmed_Qty],T_Shipments[RM_Code],$A100,T_Shipments[Effective_Week],10)</f>
        <v/>
      </c>
      <c r="L100">
        <f>SUMIFS(T_Shipments[Confirmed_Qty],T_Shipments[RM_Code],$A100,T_Shipments[Effective_Week],11)</f>
        <v/>
      </c>
      <c r="M100">
        <f>SUMIFS(T_Shipments[Confirmed_Qty],T_Shipments[RM_Code],$A100,T_Shipments[Effective_Week],12)</f>
        <v/>
      </c>
      <c r="N100">
        <f>SUMIFS(T_Shipments[Confirmed_Qty],T_Shipments[RM_Code],$A100,T_Shipments[Effective_Week],13)</f>
        <v/>
      </c>
      <c r="O100">
        <f>SUMIFS(T_Shipments[Confirmed_Qty],T_Shipments[RM_Code],$A100,T_Shipments[Effective_Week],14)</f>
        <v/>
      </c>
      <c r="P100">
        <f>SUMIFS(T_Shipments[Confirmed_Qty],T_Shipments[RM_Code],$A100,T_Shipments[Effective_Week],15)</f>
        <v/>
      </c>
      <c r="Q100">
        <f>SUMIFS(T_Shipments[Confirmed_Qty],T_Shipments[RM_Code],$A100,T_Shipments[Effective_Week],16)</f>
        <v/>
      </c>
      <c r="R100">
        <f>SUMIFS(T_Shipments[Confirmed_Qty],T_Shipments[RM_Code],$A100,T_Shipments[Effective_Week],17)</f>
        <v/>
      </c>
      <c r="S100">
        <f>SUMIFS(T_Shipments[Confirmed_Qty],T_Shipments[RM_Code],$A100,T_Shipments[Effective_Week],18)</f>
        <v/>
      </c>
      <c r="T100">
        <f>SUMIFS(T_Shipments[Confirmed_Qty],T_Shipments[RM_Code],$A100,T_Shipments[Effective_Week],19)</f>
        <v/>
      </c>
      <c r="U100">
        <f>SUMIFS(T_Shipments[Confirmed_Qty],T_Shipments[RM_Code],$A100,T_Shipments[Effective_Week],20)</f>
        <v/>
      </c>
      <c r="V100">
        <f>SUMIFS(T_Shipments[Confirmed_Qty],T_Shipments[RM_Code],$A100,T_Shipments[Effective_Week],21)</f>
        <v/>
      </c>
      <c r="W100">
        <f>SUMIFS(T_Shipments[Confirmed_Qty],T_Shipments[RM_Code],$A100,T_Shipments[Effective_Week],22)</f>
        <v/>
      </c>
      <c r="X100">
        <f>SUMIFS(T_Shipments[Confirmed_Qty],T_Shipments[RM_Code],$A100,T_Shipments[Effective_Week],23)</f>
        <v/>
      </c>
      <c r="Y100">
        <f>SUMIFS(T_Shipments[Confirmed_Qty],T_Shipments[RM_Code],$A100,T_Shipments[Effective_Week],24)</f>
        <v/>
      </c>
      <c r="Z100">
        <f>SUMIFS(T_Shipments[Confirmed_Qty],T_Shipments[RM_Code],$A100,T_Shipments[Effective_Week],25)</f>
        <v/>
      </c>
      <c r="AA100">
        <f>SUMIFS(T_Shipments[Confirmed_Qty],T_Shipments[RM_Code],$A100,T_Shipments[Effective_Week],26)</f>
        <v/>
      </c>
      <c r="AB100">
        <f>SUMIFS(T_Shipments[Confirmed_Qty],T_Shipments[RM_Code],$A100,T_Shipments[Effective_Week],27)</f>
        <v/>
      </c>
      <c r="AC100">
        <f>SUMIFS(T_Shipments[Confirmed_Qty],T_Shipments[RM_Code],$A100,T_Shipments[Effective_Week],28)</f>
        <v/>
      </c>
      <c r="AD100">
        <f>SUMIFS(T_Shipments[Confirmed_Qty],T_Shipments[RM_Code],$A100,T_Shipments[Effective_Week],29)</f>
        <v/>
      </c>
      <c r="AE100">
        <f>SUMIFS(T_Shipments[Confirmed_Qty],T_Shipments[RM_Code],$A100,T_Shipments[Effective_Week],30)</f>
        <v/>
      </c>
      <c r="AF100">
        <f>SUMIFS(T_Shipments[Confirmed_Qty],T_Shipments[RM_Code],$A100,T_Shipments[Effective_Week],31)</f>
        <v/>
      </c>
      <c r="AG100">
        <f>SUMIFS(T_Shipments[Confirmed_Qty],T_Shipments[RM_Code],$A100,T_Shipments[Effective_Week],32)</f>
        <v/>
      </c>
      <c r="AH100">
        <f>SUMIFS(T_Shipments[Confirmed_Qty],T_Shipments[RM_Code],$A100,T_Shipments[Effective_Week],33)</f>
        <v/>
      </c>
      <c r="AI100">
        <f>SUMIFS(T_Shipments[Confirmed_Qty],T_Shipments[RM_Code],$A100,T_Shipments[Effective_Week],34)</f>
        <v/>
      </c>
      <c r="AJ100">
        <f>SUMIFS(T_Shipments[Confirmed_Qty],T_Shipments[RM_Code],$A100,T_Shipments[Effective_Week],35)</f>
        <v/>
      </c>
      <c r="AK100">
        <f>SUMIFS(T_Shipments[Confirmed_Qty],T_Shipments[RM_Code],$A100,T_Shipments[Effective_Week],36)</f>
        <v/>
      </c>
      <c r="AL100">
        <f>SUMIFS(T_Shipments[Confirmed_Qty],T_Shipments[RM_Code],$A100,T_Shipments[Effective_Week],37)</f>
        <v/>
      </c>
      <c r="AM100">
        <f>SUMIFS(T_Shipments[Confirmed_Qty],T_Shipments[RM_Code],$A100,T_Shipments[Effective_Week],38)</f>
        <v/>
      </c>
      <c r="AN100">
        <f>SUMIFS(T_Shipments[Confirmed_Qty],T_Shipments[RM_Code],$A100,T_Shipments[Effective_Week],39)</f>
        <v/>
      </c>
      <c r="AO100">
        <f>SUMIFS(T_Shipments[Confirmed_Qty],T_Shipments[RM_Code],$A100,T_Shipments[Effective_Week],40)</f>
        <v/>
      </c>
      <c r="AP100">
        <f>SUMIFS(T_Shipments[Confirmed_Qty],T_Shipments[RM_Code],$A100,T_Shipments[Effective_Week],41)</f>
        <v/>
      </c>
      <c r="AQ100">
        <f>SUMIFS(T_Shipments[Confirmed_Qty],T_Shipments[RM_Code],$A100,T_Shipments[Effective_Week],42)</f>
        <v/>
      </c>
      <c r="AR100">
        <f>SUMIFS(T_Shipments[Confirmed_Qty],T_Shipments[RM_Code],$A100,T_Shipments[Effective_Week],43)</f>
        <v/>
      </c>
      <c r="AS100">
        <f>SUMIFS(T_Shipments[Confirmed_Qty],T_Shipments[RM_Code],$A100,T_Shipments[Effective_Week],44)</f>
        <v/>
      </c>
      <c r="AT100">
        <f>SUMIFS(T_Shipments[Confirmed_Qty],T_Shipments[RM_Code],$A100,T_Shipments[Effective_Week],45)</f>
        <v/>
      </c>
      <c r="AU100">
        <f>SUMIFS(T_Shipments[Confirmed_Qty],T_Shipments[RM_Code],$A100,T_Shipments[Effective_Week],46)</f>
        <v/>
      </c>
      <c r="AV100">
        <f>SUMIFS(T_Shipments[Confirmed_Qty],T_Shipments[RM_Code],$A100,T_Shipments[Effective_Week],47)</f>
        <v/>
      </c>
      <c r="AW100">
        <f>SUMIFS(T_Shipments[Confirmed_Qty],T_Shipments[RM_Code],$A100,T_Shipments[Effective_Week],48)</f>
        <v/>
      </c>
      <c r="AX100">
        <f>SUMIFS(T_Shipments[Confirmed_Qty],T_Shipments[RM_Code],$A100,T_Shipments[Effective_Week],49)</f>
        <v/>
      </c>
      <c r="AY100">
        <f>SUMIFS(T_Shipments[Confirmed_Qty],T_Shipments[RM_Code],$A100,T_Shipments[Effective_Week],50)</f>
        <v/>
      </c>
      <c r="AZ100">
        <f>SUMIFS(T_Shipments[Confirmed_Qty],T_Shipments[RM_Code],$A100,T_Shipments[Effective_Week],51)</f>
        <v/>
      </c>
      <c r="BA100">
        <f>SUMIFS(T_Shipments[Confirmed_Qty],T_Shipments[RM_Code],$A100,T_Shipments[Effective_Week],52)</f>
        <v/>
      </c>
      <c r="BB100">
        <f>SUMIFS(T_Shipments[Confirmed_Qty],T_Shipments[RM_Code],$A100,T_Shipments[Effective_Week],53)</f>
        <v/>
      </c>
      <c r="BC100">
        <f>SUMIFS(T_Shipments[Confirmed_Qty],T_Shipments[RM_Code],$A100,T_Shipments[Effective_Week],54)</f>
        <v/>
      </c>
      <c r="BD100">
        <f>SUMIFS(T_Shipments[Confirmed_Qty],T_Shipments[RM_Code],$A100,T_Shipments[Effective_Week],55)</f>
        <v/>
      </c>
      <c r="BE100">
        <f>SUMIFS(T_Shipments[Confirmed_Qty],T_Shipments[RM_Code],$A100,T_Shipments[Effective_Week],56)</f>
        <v/>
      </c>
      <c r="BF100">
        <f>SUMIFS(T_Shipments[Confirmed_Qty],T_Shipments[RM_Code],$A100,T_Shipments[Effective_Week],57)</f>
        <v/>
      </c>
      <c r="BG100">
        <f>SUMIFS(T_Shipments[Confirmed_Qty],T_Shipments[RM_Code],$A100,T_Shipments[Effective_Week],58)</f>
        <v/>
      </c>
      <c r="BH100">
        <f>SUMIFS(T_Shipments[Confirmed_Qty],T_Shipments[RM_Code],$A100,T_Shipments[Effective_Week],59)</f>
        <v/>
      </c>
      <c r="BI100">
        <f>SUMIFS(T_Shipments[Confirmed_Qty],T_Shipments[RM_Code],$A100,T_Shipments[Effective_Week],60)</f>
        <v/>
      </c>
      <c r="BJ100">
        <f>SUMIFS(T_Shipments[Confirmed_Qty],T_Shipments[RM_Code],$A100,T_Shipments[Effective_Week],61)</f>
        <v/>
      </c>
      <c r="BK100">
        <f>SUMIFS(T_Shipments[Confirmed_Qty],T_Shipments[RM_Code],$A100,T_Shipments[Effective_Week],62)</f>
        <v/>
      </c>
      <c r="BL100">
        <f>SUMIFS(T_Shipments[Confirmed_Qty],T_Shipments[RM_Code],$A100,T_Shipments[Effective_Week],63)</f>
        <v/>
      </c>
      <c r="BM100">
        <f>SUMIFS(T_Shipments[Confirmed_Qty],T_Shipments[RM_Code],$A100,T_Shipments[Effective_Week],64)</f>
        <v/>
      </c>
      <c r="BN100">
        <f>SUMIFS(T_Shipments[Confirmed_Qty],T_Shipments[RM_Code],$A100,T_Shipments[Effective_Week],65)</f>
        <v/>
      </c>
      <c r="BO100">
        <f>SUMIFS(T_Shipments[Confirmed_Qty],T_Shipments[RM_Code],$A100,T_Shipments[Effective_Week],66)</f>
        <v/>
      </c>
      <c r="BP100">
        <f>SUMIFS(T_Shipments[Confirmed_Qty],T_Shipments[RM_Code],$A100,T_Shipments[Effective_Week],67)</f>
        <v/>
      </c>
      <c r="BQ100">
        <f>SUMIFS(T_Shipments[Confirmed_Qty],T_Shipments[RM_Code],$A100,T_Shipments[Effective_Week],68)</f>
        <v/>
      </c>
      <c r="BR100">
        <f>SUMIFS(T_Shipments[Confirmed_Qty],T_Shipments[RM_Code],$A100,T_Shipments[Effective_Week],69)</f>
        <v/>
      </c>
      <c r="BS100">
        <f>SUMIFS(T_Shipments[Confirmed_Qty],T_Shipments[RM_Code],$A100,T_Shipments[Effective_Week],70)</f>
        <v/>
      </c>
      <c r="BT100">
        <f>SUMIFS(T_Shipments[Confirmed_Qty],T_Shipments[RM_Code],$A100,T_Shipments[Effective_Week],71)</f>
        <v/>
      </c>
      <c r="BU100">
        <f>SUMIFS(T_Shipments[Confirmed_Qty],T_Shipments[RM_Code],$A100,T_Shipments[Effective_Week],72)</f>
        <v/>
      </c>
      <c r="BV100">
        <f>SUMIFS(T_Shipments[Confirmed_Qty],T_Shipments[RM_Code],$A100,T_Shipments[Effective_Week],73)</f>
        <v/>
      </c>
      <c r="BW100">
        <f>SUMIFS(T_Shipments[Confirmed_Qty],T_Shipments[RM_Code],$A100,T_Shipments[Effective_Week],74)</f>
        <v/>
      </c>
      <c r="BX100">
        <f>SUMIFS(T_Shipments[Confirmed_Qty],T_Shipments[RM_Code],$A100,T_Shipments[Effective_Week],75)</f>
        <v/>
      </c>
      <c r="BY100">
        <f>SUMIFS(T_Shipments[Confirmed_Qty],T_Shipments[RM_Code],$A100,T_Shipments[Effective_Week],76)</f>
        <v/>
      </c>
      <c r="BZ100">
        <f>SUMIFS(T_Shipments[Confirmed_Qty],T_Shipments[RM_Code],$A100,T_Shipments[Effective_Week],77)</f>
        <v/>
      </c>
      <c r="CA100">
        <f>SUMIFS(T_Shipments[Confirmed_Qty],T_Shipments[RM_Code],$A100,T_Shipments[Effective_Week],78)</f>
        <v/>
      </c>
      <c r="CB100">
        <f>SUMIFS(T_Shipments[Confirmed_Qty],T_Shipments[RM_Code],$A100,T_Shipments[Effective_Week],79)</f>
        <v/>
      </c>
      <c r="CC100">
        <f>SUMIFS(T_Shipments[Confirmed_Qty],T_Shipments[RM_Code],$A100,T_Shipments[Effective_Week],80)</f>
        <v/>
      </c>
      <c r="CD100">
        <f>SUMIFS(T_Shipments[Confirmed_Qty],T_Shipments[RM_Code],$A100,T_Shipments[Effective_Week],81)</f>
        <v/>
      </c>
      <c r="CE100">
        <f>SUMIFS(T_Shipments[Confirmed_Qty],T_Shipments[RM_Code],$A100,T_Shipments[Effective_Week],82)</f>
        <v/>
      </c>
      <c r="CF100">
        <f>SUMIFS(T_Shipments[Confirmed_Qty],T_Shipments[RM_Code],$A100,T_Shipments[Effective_Week],83)</f>
        <v/>
      </c>
      <c r="CG100">
        <f>SUMIFS(T_Shipments[Confirmed_Qty],T_Shipments[RM_Code],$A100,T_Shipments[Effective_Week],84)</f>
        <v/>
      </c>
      <c r="CH100">
        <f>SUMIFS(T_Shipments[Confirmed_Qty],T_Shipments[RM_Code],$A100,T_Shipments[Effective_Week],85)</f>
        <v/>
      </c>
      <c r="CI100">
        <f>SUMIFS(T_Shipments[Confirmed_Qty],T_Shipments[RM_Code],$A100,T_Shipments[Effective_Week],86)</f>
        <v/>
      </c>
      <c r="CJ100">
        <f>SUMIFS(T_Shipments[Confirmed_Qty],T_Shipments[RM_Code],$A100,T_Shipments[Effective_Week],87)</f>
        <v/>
      </c>
      <c r="CK100">
        <f>SUMIFS(T_Shipments[Confirmed_Qty],T_Shipments[RM_Code],$A100,T_Shipments[Effective_Week],88)</f>
        <v/>
      </c>
      <c r="CL100">
        <f>SUMIFS(T_Shipments[Confirmed_Qty],T_Shipments[RM_Code],$A100,T_Shipments[Effective_Week],89)</f>
        <v/>
      </c>
      <c r="CM100">
        <f>SUMIFS(T_Shipments[Confirmed_Qty],T_Shipments[RM_Code],$A100,T_Shipments[Effective_Week],90)</f>
        <v/>
      </c>
      <c r="CN100">
        <f>SUMIFS(T_Shipments[Confirmed_Qty],T_Shipments[RM_Code],$A100,T_Shipments[Effective_Week],91)</f>
        <v/>
      </c>
      <c r="CO100">
        <f>SUMIFS(T_Shipments[Confirmed_Qty],T_Shipments[RM_Code],$A100,T_Shipments[Effective_Week],92)</f>
        <v/>
      </c>
      <c r="CP100">
        <f>SUMIFS(T_Shipments[Confirmed_Qty],T_Shipments[RM_Code],$A100,T_Shipments[Effective_Week],93)</f>
        <v/>
      </c>
      <c r="CQ100">
        <f>SUMIFS(T_Shipments[Confirmed_Qty],T_Shipments[RM_Code],$A100,T_Shipments[Effective_Week],94)</f>
        <v/>
      </c>
      <c r="CR100">
        <f>SUMIFS(T_Shipments[Confirmed_Qty],T_Shipments[RM_Code],$A100,T_Shipments[Effective_Week],95)</f>
        <v/>
      </c>
      <c r="CS100">
        <f>SUMIFS(T_Shipments[Confirmed_Qty],T_Shipments[RM_Code],$A100,T_Shipments[Effective_Week],96)</f>
        <v/>
      </c>
      <c r="CT100">
        <f>SUMIFS(T_Shipments[Confirmed_Qty],T_Shipments[RM_Code],$A100,T_Shipments[Effective_Week],97)</f>
        <v/>
      </c>
      <c r="CU100">
        <f>SUMIFS(T_Shipments[Confirmed_Qty],T_Shipments[RM_Code],$A100,T_Shipments[Effective_Week],98)</f>
        <v/>
      </c>
      <c r="CV100">
        <f>SUMIFS(T_Shipments[Confirmed_Qty],T_Shipments[RM_Code],$A100,T_Shipments[Effective_Week],99)</f>
        <v/>
      </c>
      <c r="CW100">
        <f>SUMIFS(T_Shipments[Confirmed_Qty],T_Shipments[RM_Code],$A100,T_Shipments[Effective_Week],100)</f>
        <v/>
      </c>
      <c r="CX100">
        <f>SUMIFS(T_Shipments[Confirmed_Qty],T_Shipments[RM_Code],$A100,T_Shipments[Effective_Week],101)</f>
        <v/>
      </c>
      <c r="CY100">
        <f>SUMIFS(T_Shipments[Confirmed_Qty],T_Shipments[RM_Code],$A100,T_Shipments[Effective_Week],102)</f>
        <v/>
      </c>
      <c r="CZ100">
        <f>SUMIFS(T_Shipments[Confirmed_Qty],T_Shipments[RM_Code],$A100,T_Shipments[Effective_Week],103)</f>
        <v/>
      </c>
      <c r="DA100">
        <f>SUMIFS(T_Shipments[Confirmed_Qty],T_Shipments[RM_Code],$A100,T_Shipments[Effective_Week],104)</f>
        <v/>
      </c>
    </row>
    <row r="101">
      <c r="A101" t="inlineStr">
        <is>
          <t>CHEM-1090</t>
        </is>
      </c>
      <c r="B101">
        <f>SUMIFS(T_Shipments[Confirmed_Qty],T_Shipments[RM_Code],$A101,T_Shipments[Effective_Week],1)</f>
        <v/>
      </c>
      <c r="C101">
        <f>SUMIFS(T_Shipments[Confirmed_Qty],T_Shipments[RM_Code],$A101,T_Shipments[Effective_Week],2)</f>
        <v/>
      </c>
      <c r="D101">
        <f>SUMIFS(T_Shipments[Confirmed_Qty],T_Shipments[RM_Code],$A101,T_Shipments[Effective_Week],3)</f>
        <v/>
      </c>
      <c r="E101">
        <f>SUMIFS(T_Shipments[Confirmed_Qty],T_Shipments[RM_Code],$A101,T_Shipments[Effective_Week],4)</f>
        <v/>
      </c>
      <c r="F101">
        <f>SUMIFS(T_Shipments[Confirmed_Qty],T_Shipments[RM_Code],$A101,T_Shipments[Effective_Week],5)</f>
        <v/>
      </c>
      <c r="G101">
        <f>SUMIFS(T_Shipments[Confirmed_Qty],T_Shipments[RM_Code],$A101,T_Shipments[Effective_Week],6)</f>
        <v/>
      </c>
      <c r="H101">
        <f>SUMIFS(T_Shipments[Confirmed_Qty],T_Shipments[RM_Code],$A101,T_Shipments[Effective_Week],7)</f>
        <v/>
      </c>
      <c r="I101">
        <f>SUMIFS(T_Shipments[Confirmed_Qty],T_Shipments[RM_Code],$A101,T_Shipments[Effective_Week],8)</f>
        <v/>
      </c>
      <c r="J101">
        <f>SUMIFS(T_Shipments[Confirmed_Qty],T_Shipments[RM_Code],$A101,T_Shipments[Effective_Week],9)</f>
        <v/>
      </c>
      <c r="K101">
        <f>SUMIFS(T_Shipments[Confirmed_Qty],T_Shipments[RM_Code],$A101,T_Shipments[Effective_Week],10)</f>
        <v/>
      </c>
      <c r="L101">
        <f>SUMIFS(T_Shipments[Confirmed_Qty],T_Shipments[RM_Code],$A101,T_Shipments[Effective_Week],11)</f>
        <v/>
      </c>
      <c r="M101">
        <f>SUMIFS(T_Shipments[Confirmed_Qty],T_Shipments[RM_Code],$A101,T_Shipments[Effective_Week],12)</f>
        <v/>
      </c>
      <c r="N101">
        <f>SUMIFS(T_Shipments[Confirmed_Qty],T_Shipments[RM_Code],$A101,T_Shipments[Effective_Week],13)</f>
        <v/>
      </c>
      <c r="O101">
        <f>SUMIFS(T_Shipments[Confirmed_Qty],T_Shipments[RM_Code],$A101,T_Shipments[Effective_Week],14)</f>
        <v/>
      </c>
      <c r="P101">
        <f>SUMIFS(T_Shipments[Confirmed_Qty],T_Shipments[RM_Code],$A101,T_Shipments[Effective_Week],15)</f>
        <v/>
      </c>
      <c r="Q101">
        <f>SUMIFS(T_Shipments[Confirmed_Qty],T_Shipments[RM_Code],$A101,T_Shipments[Effective_Week],16)</f>
        <v/>
      </c>
      <c r="R101">
        <f>SUMIFS(T_Shipments[Confirmed_Qty],T_Shipments[RM_Code],$A101,T_Shipments[Effective_Week],17)</f>
        <v/>
      </c>
      <c r="S101">
        <f>SUMIFS(T_Shipments[Confirmed_Qty],T_Shipments[RM_Code],$A101,T_Shipments[Effective_Week],18)</f>
        <v/>
      </c>
      <c r="T101">
        <f>SUMIFS(T_Shipments[Confirmed_Qty],T_Shipments[RM_Code],$A101,T_Shipments[Effective_Week],19)</f>
        <v/>
      </c>
      <c r="U101">
        <f>SUMIFS(T_Shipments[Confirmed_Qty],T_Shipments[RM_Code],$A101,T_Shipments[Effective_Week],20)</f>
        <v/>
      </c>
      <c r="V101">
        <f>SUMIFS(T_Shipments[Confirmed_Qty],T_Shipments[RM_Code],$A101,T_Shipments[Effective_Week],21)</f>
        <v/>
      </c>
      <c r="W101">
        <f>SUMIFS(T_Shipments[Confirmed_Qty],T_Shipments[RM_Code],$A101,T_Shipments[Effective_Week],22)</f>
        <v/>
      </c>
      <c r="X101">
        <f>SUMIFS(T_Shipments[Confirmed_Qty],T_Shipments[RM_Code],$A101,T_Shipments[Effective_Week],23)</f>
        <v/>
      </c>
      <c r="Y101">
        <f>SUMIFS(T_Shipments[Confirmed_Qty],T_Shipments[RM_Code],$A101,T_Shipments[Effective_Week],24)</f>
        <v/>
      </c>
      <c r="Z101">
        <f>SUMIFS(T_Shipments[Confirmed_Qty],T_Shipments[RM_Code],$A101,T_Shipments[Effective_Week],25)</f>
        <v/>
      </c>
      <c r="AA101">
        <f>SUMIFS(T_Shipments[Confirmed_Qty],T_Shipments[RM_Code],$A101,T_Shipments[Effective_Week],26)</f>
        <v/>
      </c>
      <c r="AB101">
        <f>SUMIFS(T_Shipments[Confirmed_Qty],T_Shipments[RM_Code],$A101,T_Shipments[Effective_Week],27)</f>
        <v/>
      </c>
      <c r="AC101">
        <f>SUMIFS(T_Shipments[Confirmed_Qty],T_Shipments[RM_Code],$A101,T_Shipments[Effective_Week],28)</f>
        <v/>
      </c>
      <c r="AD101">
        <f>SUMIFS(T_Shipments[Confirmed_Qty],T_Shipments[RM_Code],$A101,T_Shipments[Effective_Week],29)</f>
        <v/>
      </c>
      <c r="AE101">
        <f>SUMIFS(T_Shipments[Confirmed_Qty],T_Shipments[RM_Code],$A101,T_Shipments[Effective_Week],30)</f>
        <v/>
      </c>
      <c r="AF101">
        <f>SUMIFS(T_Shipments[Confirmed_Qty],T_Shipments[RM_Code],$A101,T_Shipments[Effective_Week],31)</f>
        <v/>
      </c>
      <c r="AG101">
        <f>SUMIFS(T_Shipments[Confirmed_Qty],T_Shipments[RM_Code],$A101,T_Shipments[Effective_Week],32)</f>
        <v/>
      </c>
      <c r="AH101">
        <f>SUMIFS(T_Shipments[Confirmed_Qty],T_Shipments[RM_Code],$A101,T_Shipments[Effective_Week],33)</f>
        <v/>
      </c>
      <c r="AI101">
        <f>SUMIFS(T_Shipments[Confirmed_Qty],T_Shipments[RM_Code],$A101,T_Shipments[Effective_Week],34)</f>
        <v/>
      </c>
      <c r="AJ101">
        <f>SUMIFS(T_Shipments[Confirmed_Qty],T_Shipments[RM_Code],$A101,T_Shipments[Effective_Week],35)</f>
        <v/>
      </c>
      <c r="AK101">
        <f>SUMIFS(T_Shipments[Confirmed_Qty],T_Shipments[RM_Code],$A101,T_Shipments[Effective_Week],36)</f>
        <v/>
      </c>
      <c r="AL101">
        <f>SUMIFS(T_Shipments[Confirmed_Qty],T_Shipments[RM_Code],$A101,T_Shipments[Effective_Week],37)</f>
        <v/>
      </c>
      <c r="AM101">
        <f>SUMIFS(T_Shipments[Confirmed_Qty],T_Shipments[RM_Code],$A101,T_Shipments[Effective_Week],38)</f>
        <v/>
      </c>
      <c r="AN101">
        <f>SUMIFS(T_Shipments[Confirmed_Qty],T_Shipments[RM_Code],$A101,T_Shipments[Effective_Week],39)</f>
        <v/>
      </c>
      <c r="AO101">
        <f>SUMIFS(T_Shipments[Confirmed_Qty],T_Shipments[RM_Code],$A101,T_Shipments[Effective_Week],40)</f>
        <v/>
      </c>
      <c r="AP101">
        <f>SUMIFS(T_Shipments[Confirmed_Qty],T_Shipments[RM_Code],$A101,T_Shipments[Effective_Week],41)</f>
        <v/>
      </c>
      <c r="AQ101">
        <f>SUMIFS(T_Shipments[Confirmed_Qty],T_Shipments[RM_Code],$A101,T_Shipments[Effective_Week],42)</f>
        <v/>
      </c>
      <c r="AR101">
        <f>SUMIFS(T_Shipments[Confirmed_Qty],T_Shipments[RM_Code],$A101,T_Shipments[Effective_Week],43)</f>
        <v/>
      </c>
      <c r="AS101">
        <f>SUMIFS(T_Shipments[Confirmed_Qty],T_Shipments[RM_Code],$A101,T_Shipments[Effective_Week],44)</f>
        <v/>
      </c>
      <c r="AT101">
        <f>SUMIFS(T_Shipments[Confirmed_Qty],T_Shipments[RM_Code],$A101,T_Shipments[Effective_Week],45)</f>
        <v/>
      </c>
      <c r="AU101">
        <f>SUMIFS(T_Shipments[Confirmed_Qty],T_Shipments[RM_Code],$A101,T_Shipments[Effective_Week],46)</f>
        <v/>
      </c>
      <c r="AV101">
        <f>SUMIFS(T_Shipments[Confirmed_Qty],T_Shipments[RM_Code],$A101,T_Shipments[Effective_Week],47)</f>
        <v/>
      </c>
      <c r="AW101">
        <f>SUMIFS(T_Shipments[Confirmed_Qty],T_Shipments[RM_Code],$A101,T_Shipments[Effective_Week],48)</f>
        <v/>
      </c>
      <c r="AX101">
        <f>SUMIFS(T_Shipments[Confirmed_Qty],T_Shipments[RM_Code],$A101,T_Shipments[Effective_Week],49)</f>
        <v/>
      </c>
      <c r="AY101">
        <f>SUMIFS(T_Shipments[Confirmed_Qty],T_Shipments[RM_Code],$A101,T_Shipments[Effective_Week],50)</f>
        <v/>
      </c>
      <c r="AZ101">
        <f>SUMIFS(T_Shipments[Confirmed_Qty],T_Shipments[RM_Code],$A101,T_Shipments[Effective_Week],51)</f>
        <v/>
      </c>
      <c r="BA101">
        <f>SUMIFS(T_Shipments[Confirmed_Qty],T_Shipments[RM_Code],$A101,T_Shipments[Effective_Week],52)</f>
        <v/>
      </c>
      <c r="BB101">
        <f>SUMIFS(T_Shipments[Confirmed_Qty],T_Shipments[RM_Code],$A101,T_Shipments[Effective_Week],53)</f>
        <v/>
      </c>
      <c r="BC101">
        <f>SUMIFS(T_Shipments[Confirmed_Qty],T_Shipments[RM_Code],$A101,T_Shipments[Effective_Week],54)</f>
        <v/>
      </c>
      <c r="BD101">
        <f>SUMIFS(T_Shipments[Confirmed_Qty],T_Shipments[RM_Code],$A101,T_Shipments[Effective_Week],55)</f>
        <v/>
      </c>
      <c r="BE101">
        <f>SUMIFS(T_Shipments[Confirmed_Qty],T_Shipments[RM_Code],$A101,T_Shipments[Effective_Week],56)</f>
        <v/>
      </c>
      <c r="BF101">
        <f>SUMIFS(T_Shipments[Confirmed_Qty],T_Shipments[RM_Code],$A101,T_Shipments[Effective_Week],57)</f>
        <v/>
      </c>
      <c r="BG101">
        <f>SUMIFS(T_Shipments[Confirmed_Qty],T_Shipments[RM_Code],$A101,T_Shipments[Effective_Week],58)</f>
        <v/>
      </c>
      <c r="BH101">
        <f>SUMIFS(T_Shipments[Confirmed_Qty],T_Shipments[RM_Code],$A101,T_Shipments[Effective_Week],59)</f>
        <v/>
      </c>
      <c r="BI101">
        <f>SUMIFS(T_Shipments[Confirmed_Qty],T_Shipments[RM_Code],$A101,T_Shipments[Effective_Week],60)</f>
        <v/>
      </c>
      <c r="BJ101">
        <f>SUMIFS(T_Shipments[Confirmed_Qty],T_Shipments[RM_Code],$A101,T_Shipments[Effective_Week],61)</f>
        <v/>
      </c>
      <c r="BK101">
        <f>SUMIFS(T_Shipments[Confirmed_Qty],T_Shipments[RM_Code],$A101,T_Shipments[Effective_Week],62)</f>
        <v/>
      </c>
      <c r="BL101">
        <f>SUMIFS(T_Shipments[Confirmed_Qty],T_Shipments[RM_Code],$A101,T_Shipments[Effective_Week],63)</f>
        <v/>
      </c>
      <c r="BM101">
        <f>SUMIFS(T_Shipments[Confirmed_Qty],T_Shipments[RM_Code],$A101,T_Shipments[Effective_Week],64)</f>
        <v/>
      </c>
      <c r="BN101">
        <f>SUMIFS(T_Shipments[Confirmed_Qty],T_Shipments[RM_Code],$A101,T_Shipments[Effective_Week],65)</f>
        <v/>
      </c>
      <c r="BO101">
        <f>SUMIFS(T_Shipments[Confirmed_Qty],T_Shipments[RM_Code],$A101,T_Shipments[Effective_Week],66)</f>
        <v/>
      </c>
      <c r="BP101">
        <f>SUMIFS(T_Shipments[Confirmed_Qty],T_Shipments[RM_Code],$A101,T_Shipments[Effective_Week],67)</f>
        <v/>
      </c>
      <c r="BQ101">
        <f>SUMIFS(T_Shipments[Confirmed_Qty],T_Shipments[RM_Code],$A101,T_Shipments[Effective_Week],68)</f>
        <v/>
      </c>
      <c r="BR101">
        <f>SUMIFS(T_Shipments[Confirmed_Qty],T_Shipments[RM_Code],$A101,T_Shipments[Effective_Week],69)</f>
        <v/>
      </c>
      <c r="BS101">
        <f>SUMIFS(T_Shipments[Confirmed_Qty],T_Shipments[RM_Code],$A101,T_Shipments[Effective_Week],70)</f>
        <v/>
      </c>
      <c r="BT101">
        <f>SUMIFS(T_Shipments[Confirmed_Qty],T_Shipments[RM_Code],$A101,T_Shipments[Effective_Week],71)</f>
        <v/>
      </c>
      <c r="BU101">
        <f>SUMIFS(T_Shipments[Confirmed_Qty],T_Shipments[RM_Code],$A101,T_Shipments[Effective_Week],72)</f>
        <v/>
      </c>
      <c r="BV101">
        <f>SUMIFS(T_Shipments[Confirmed_Qty],T_Shipments[RM_Code],$A101,T_Shipments[Effective_Week],73)</f>
        <v/>
      </c>
      <c r="BW101">
        <f>SUMIFS(T_Shipments[Confirmed_Qty],T_Shipments[RM_Code],$A101,T_Shipments[Effective_Week],74)</f>
        <v/>
      </c>
      <c r="BX101">
        <f>SUMIFS(T_Shipments[Confirmed_Qty],T_Shipments[RM_Code],$A101,T_Shipments[Effective_Week],75)</f>
        <v/>
      </c>
      <c r="BY101">
        <f>SUMIFS(T_Shipments[Confirmed_Qty],T_Shipments[RM_Code],$A101,T_Shipments[Effective_Week],76)</f>
        <v/>
      </c>
      <c r="BZ101">
        <f>SUMIFS(T_Shipments[Confirmed_Qty],T_Shipments[RM_Code],$A101,T_Shipments[Effective_Week],77)</f>
        <v/>
      </c>
      <c r="CA101">
        <f>SUMIFS(T_Shipments[Confirmed_Qty],T_Shipments[RM_Code],$A101,T_Shipments[Effective_Week],78)</f>
        <v/>
      </c>
      <c r="CB101">
        <f>SUMIFS(T_Shipments[Confirmed_Qty],T_Shipments[RM_Code],$A101,T_Shipments[Effective_Week],79)</f>
        <v/>
      </c>
      <c r="CC101">
        <f>SUMIFS(T_Shipments[Confirmed_Qty],T_Shipments[RM_Code],$A101,T_Shipments[Effective_Week],80)</f>
        <v/>
      </c>
      <c r="CD101">
        <f>SUMIFS(T_Shipments[Confirmed_Qty],T_Shipments[RM_Code],$A101,T_Shipments[Effective_Week],81)</f>
        <v/>
      </c>
      <c r="CE101">
        <f>SUMIFS(T_Shipments[Confirmed_Qty],T_Shipments[RM_Code],$A101,T_Shipments[Effective_Week],82)</f>
        <v/>
      </c>
      <c r="CF101">
        <f>SUMIFS(T_Shipments[Confirmed_Qty],T_Shipments[RM_Code],$A101,T_Shipments[Effective_Week],83)</f>
        <v/>
      </c>
      <c r="CG101">
        <f>SUMIFS(T_Shipments[Confirmed_Qty],T_Shipments[RM_Code],$A101,T_Shipments[Effective_Week],84)</f>
        <v/>
      </c>
      <c r="CH101">
        <f>SUMIFS(T_Shipments[Confirmed_Qty],T_Shipments[RM_Code],$A101,T_Shipments[Effective_Week],85)</f>
        <v/>
      </c>
      <c r="CI101">
        <f>SUMIFS(T_Shipments[Confirmed_Qty],T_Shipments[RM_Code],$A101,T_Shipments[Effective_Week],86)</f>
        <v/>
      </c>
      <c r="CJ101">
        <f>SUMIFS(T_Shipments[Confirmed_Qty],T_Shipments[RM_Code],$A101,T_Shipments[Effective_Week],87)</f>
        <v/>
      </c>
      <c r="CK101">
        <f>SUMIFS(T_Shipments[Confirmed_Qty],T_Shipments[RM_Code],$A101,T_Shipments[Effective_Week],88)</f>
        <v/>
      </c>
      <c r="CL101">
        <f>SUMIFS(T_Shipments[Confirmed_Qty],T_Shipments[RM_Code],$A101,T_Shipments[Effective_Week],89)</f>
        <v/>
      </c>
      <c r="CM101">
        <f>SUMIFS(T_Shipments[Confirmed_Qty],T_Shipments[RM_Code],$A101,T_Shipments[Effective_Week],90)</f>
        <v/>
      </c>
      <c r="CN101">
        <f>SUMIFS(T_Shipments[Confirmed_Qty],T_Shipments[RM_Code],$A101,T_Shipments[Effective_Week],91)</f>
        <v/>
      </c>
      <c r="CO101">
        <f>SUMIFS(T_Shipments[Confirmed_Qty],T_Shipments[RM_Code],$A101,T_Shipments[Effective_Week],92)</f>
        <v/>
      </c>
      <c r="CP101">
        <f>SUMIFS(T_Shipments[Confirmed_Qty],T_Shipments[RM_Code],$A101,T_Shipments[Effective_Week],93)</f>
        <v/>
      </c>
      <c r="CQ101">
        <f>SUMIFS(T_Shipments[Confirmed_Qty],T_Shipments[RM_Code],$A101,T_Shipments[Effective_Week],94)</f>
        <v/>
      </c>
      <c r="CR101">
        <f>SUMIFS(T_Shipments[Confirmed_Qty],T_Shipments[RM_Code],$A101,T_Shipments[Effective_Week],95)</f>
        <v/>
      </c>
      <c r="CS101">
        <f>SUMIFS(T_Shipments[Confirmed_Qty],T_Shipments[RM_Code],$A101,T_Shipments[Effective_Week],96)</f>
        <v/>
      </c>
      <c r="CT101">
        <f>SUMIFS(T_Shipments[Confirmed_Qty],T_Shipments[RM_Code],$A101,T_Shipments[Effective_Week],97)</f>
        <v/>
      </c>
      <c r="CU101">
        <f>SUMIFS(T_Shipments[Confirmed_Qty],T_Shipments[RM_Code],$A101,T_Shipments[Effective_Week],98)</f>
        <v/>
      </c>
      <c r="CV101">
        <f>SUMIFS(T_Shipments[Confirmed_Qty],T_Shipments[RM_Code],$A101,T_Shipments[Effective_Week],99)</f>
        <v/>
      </c>
      <c r="CW101">
        <f>SUMIFS(T_Shipments[Confirmed_Qty],T_Shipments[RM_Code],$A101,T_Shipments[Effective_Week],100)</f>
        <v/>
      </c>
      <c r="CX101">
        <f>SUMIFS(T_Shipments[Confirmed_Qty],T_Shipments[RM_Code],$A101,T_Shipments[Effective_Week],101)</f>
        <v/>
      </c>
      <c r="CY101">
        <f>SUMIFS(T_Shipments[Confirmed_Qty],T_Shipments[RM_Code],$A101,T_Shipments[Effective_Week],102)</f>
        <v/>
      </c>
      <c r="CZ101">
        <f>SUMIFS(T_Shipments[Confirmed_Qty],T_Shipments[RM_Code],$A101,T_Shipments[Effective_Week],103)</f>
        <v/>
      </c>
      <c r="DA101">
        <f>SUMIFS(T_Shipments[Confirmed_Qty],T_Shipments[RM_Code],$A101,T_Shipments[Effective_Week],104)</f>
        <v/>
      </c>
    </row>
    <row r="102">
      <c r="A102" t="inlineStr">
        <is>
          <t>CHEM-1310</t>
        </is>
      </c>
      <c r="B102">
        <f>SUMIFS(T_Shipments[Confirmed_Qty],T_Shipments[RM_Code],$A102,T_Shipments[Effective_Week],1)</f>
        <v/>
      </c>
      <c r="C102">
        <f>SUMIFS(T_Shipments[Confirmed_Qty],T_Shipments[RM_Code],$A102,T_Shipments[Effective_Week],2)</f>
        <v/>
      </c>
      <c r="D102">
        <f>SUMIFS(T_Shipments[Confirmed_Qty],T_Shipments[RM_Code],$A102,T_Shipments[Effective_Week],3)</f>
        <v/>
      </c>
      <c r="E102">
        <f>SUMIFS(T_Shipments[Confirmed_Qty],T_Shipments[RM_Code],$A102,T_Shipments[Effective_Week],4)</f>
        <v/>
      </c>
      <c r="F102">
        <f>SUMIFS(T_Shipments[Confirmed_Qty],T_Shipments[RM_Code],$A102,T_Shipments[Effective_Week],5)</f>
        <v/>
      </c>
      <c r="G102">
        <f>SUMIFS(T_Shipments[Confirmed_Qty],T_Shipments[RM_Code],$A102,T_Shipments[Effective_Week],6)</f>
        <v/>
      </c>
      <c r="H102">
        <f>SUMIFS(T_Shipments[Confirmed_Qty],T_Shipments[RM_Code],$A102,T_Shipments[Effective_Week],7)</f>
        <v/>
      </c>
      <c r="I102">
        <f>SUMIFS(T_Shipments[Confirmed_Qty],T_Shipments[RM_Code],$A102,T_Shipments[Effective_Week],8)</f>
        <v/>
      </c>
      <c r="J102">
        <f>SUMIFS(T_Shipments[Confirmed_Qty],T_Shipments[RM_Code],$A102,T_Shipments[Effective_Week],9)</f>
        <v/>
      </c>
      <c r="K102">
        <f>SUMIFS(T_Shipments[Confirmed_Qty],T_Shipments[RM_Code],$A102,T_Shipments[Effective_Week],10)</f>
        <v/>
      </c>
      <c r="L102">
        <f>SUMIFS(T_Shipments[Confirmed_Qty],T_Shipments[RM_Code],$A102,T_Shipments[Effective_Week],11)</f>
        <v/>
      </c>
      <c r="M102">
        <f>SUMIFS(T_Shipments[Confirmed_Qty],T_Shipments[RM_Code],$A102,T_Shipments[Effective_Week],12)</f>
        <v/>
      </c>
      <c r="N102">
        <f>SUMIFS(T_Shipments[Confirmed_Qty],T_Shipments[RM_Code],$A102,T_Shipments[Effective_Week],13)</f>
        <v/>
      </c>
      <c r="O102">
        <f>SUMIFS(T_Shipments[Confirmed_Qty],T_Shipments[RM_Code],$A102,T_Shipments[Effective_Week],14)</f>
        <v/>
      </c>
      <c r="P102">
        <f>SUMIFS(T_Shipments[Confirmed_Qty],T_Shipments[RM_Code],$A102,T_Shipments[Effective_Week],15)</f>
        <v/>
      </c>
      <c r="Q102">
        <f>SUMIFS(T_Shipments[Confirmed_Qty],T_Shipments[RM_Code],$A102,T_Shipments[Effective_Week],16)</f>
        <v/>
      </c>
      <c r="R102">
        <f>SUMIFS(T_Shipments[Confirmed_Qty],T_Shipments[RM_Code],$A102,T_Shipments[Effective_Week],17)</f>
        <v/>
      </c>
      <c r="S102">
        <f>SUMIFS(T_Shipments[Confirmed_Qty],T_Shipments[RM_Code],$A102,T_Shipments[Effective_Week],18)</f>
        <v/>
      </c>
      <c r="T102">
        <f>SUMIFS(T_Shipments[Confirmed_Qty],T_Shipments[RM_Code],$A102,T_Shipments[Effective_Week],19)</f>
        <v/>
      </c>
      <c r="U102">
        <f>SUMIFS(T_Shipments[Confirmed_Qty],T_Shipments[RM_Code],$A102,T_Shipments[Effective_Week],20)</f>
        <v/>
      </c>
      <c r="V102">
        <f>SUMIFS(T_Shipments[Confirmed_Qty],T_Shipments[RM_Code],$A102,T_Shipments[Effective_Week],21)</f>
        <v/>
      </c>
      <c r="W102">
        <f>SUMIFS(T_Shipments[Confirmed_Qty],T_Shipments[RM_Code],$A102,T_Shipments[Effective_Week],22)</f>
        <v/>
      </c>
      <c r="X102">
        <f>SUMIFS(T_Shipments[Confirmed_Qty],T_Shipments[RM_Code],$A102,T_Shipments[Effective_Week],23)</f>
        <v/>
      </c>
      <c r="Y102">
        <f>SUMIFS(T_Shipments[Confirmed_Qty],T_Shipments[RM_Code],$A102,T_Shipments[Effective_Week],24)</f>
        <v/>
      </c>
      <c r="Z102">
        <f>SUMIFS(T_Shipments[Confirmed_Qty],T_Shipments[RM_Code],$A102,T_Shipments[Effective_Week],25)</f>
        <v/>
      </c>
      <c r="AA102">
        <f>SUMIFS(T_Shipments[Confirmed_Qty],T_Shipments[RM_Code],$A102,T_Shipments[Effective_Week],26)</f>
        <v/>
      </c>
      <c r="AB102">
        <f>SUMIFS(T_Shipments[Confirmed_Qty],T_Shipments[RM_Code],$A102,T_Shipments[Effective_Week],27)</f>
        <v/>
      </c>
      <c r="AC102">
        <f>SUMIFS(T_Shipments[Confirmed_Qty],T_Shipments[RM_Code],$A102,T_Shipments[Effective_Week],28)</f>
        <v/>
      </c>
      <c r="AD102">
        <f>SUMIFS(T_Shipments[Confirmed_Qty],T_Shipments[RM_Code],$A102,T_Shipments[Effective_Week],29)</f>
        <v/>
      </c>
      <c r="AE102">
        <f>SUMIFS(T_Shipments[Confirmed_Qty],T_Shipments[RM_Code],$A102,T_Shipments[Effective_Week],30)</f>
        <v/>
      </c>
      <c r="AF102">
        <f>SUMIFS(T_Shipments[Confirmed_Qty],T_Shipments[RM_Code],$A102,T_Shipments[Effective_Week],31)</f>
        <v/>
      </c>
      <c r="AG102">
        <f>SUMIFS(T_Shipments[Confirmed_Qty],T_Shipments[RM_Code],$A102,T_Shipments[Effective_Week],32)</f>
        <v/>
      </c>
      <c r="AH102">
        <f>SUMIFS(T_Shipments[Confirmed_Qty],T_Shipments[RM_Code],$A102,T_Shipments[Effective_Week],33)</f>
        <v/>
      </c>
      <c r="AI102">
        <f>SUMIFS(T_Shipments[Confirmed_Qty],T_Shipments[RM_Code],$A102,T_Shipments[Effective_Week],34)</f>
        <v/>
      </c>
      <c r="AJ102">
        <f>SUMIFS(T_Shipments[Confirmed_Qty],T_Shipments[RM_Code],$A102,T_Shipments[Effective_Week],35)</f>
        <v/>
      </c>
      <c r="AK102">
        <f>SUMIFS(T_Shipments[Confirmed_Qty],T_Shipments[RM_Code],$A102,T_Shipments[Effective_Week],36)</f>
        <v/>
      </c>
      <c r="AL102">
        <f>SUMIFS(T_Shipments[Confirmed_Qty],T_Shipments[RM_Code],$A102,T_Shipments[Effective_Week],37)</f>
        <v/>
      </c>
      <c r="AM102">
        <f>SUMIFS(T_Shipments[Confirmed_Qty],T_Shipments[RM_Code],$A102,T_Shipments[Effective_Week],38)</f>
        <v/>
      </c>
      <c r="AN102">
        <f>SUMIFS(T_Shipments[Confirmed_Qty],T_Shipments[RM_Code],$A102,T_Shipments[Effective_Week],39)</f>
        <v/>
      </c>
      <c r="AO102">
        <f>SUMIFS(T_Shipments[Confirmed_Qty],T_Shipments[RM_Code],$A102,T_Shipments[Effective_Week],40)</f>
        <v/>
      </c>
      <c r="AP102">
        <f>SUMIFS(T_Shipments[Confirmed_Qty],T_Shipments[RM_Code],$A102,T_Shipments[Effective_Week],41)</f>
        <v/>
      </c>
      <c r="AQ102">
        <f>SUMIFS(T_Shipments[Confirmed_Qty],T_Shipments[RM_Code],$A102,T_Shipments[Effective_Week],42)</f>
        <v/>
      </c>
      <c r="AR102">
        <f>SUMIFS(T_Shipments[Confirmed_Qty],T_Shipments[RM_Code],$A102,T_Shipments[Effective_Week],43)</f>
        <v/>
      </c>
      <c r="AS102">
        <f>SUMIFS(T_Shipments[Confirmed_Qty],T_Shipments[RM_Code],$A102,T_Shipments[Effective_Week],44)</f>
        <v/>
      </c>
      <c r="AT102">
        <f>SUMIFS(T_Shipments[Confirmed_Qty],T_Shipments[RM_Code],$A102,T_Shipments[Effective_Week],45)</f>
        <v/>
      </c>
      <c r="AU102">
        <f>SUMIFS(T_Shipments[Confirmed_Qty],T_Shipments[RM_Code],$A102,T_Shipments[Effective_Week],46)</f>
        <v/>
      </c>
      <c r="AV102">
        <f>SUMIFS(T_Shipments[Confirmed_Qty],T_Shipments[RM_Code],$A102,T_Shipments[Effective_Week],47)</f>
        <v/>
      </c>
      <c r="AW102">
        <f>SUMIFS(T_Shipments[Confirmed_Qty],T_Shipments[RM_Code],$A102,T_Shipments[Effective_Week],48)</f>
        <v/>
      </c>
      <c r="AX102">
        <f>SUMIFS(T_Shipments[Confirmed_Qty],T_Shipments[RM_Code],$A102,T_Shipments[Effective_Week],49)</f>
        <v/>
      </c>
      <c r="AY102">
        <f>SUMIFS(T_Shipments[Confirmed_Qty],T_Shipments[RM_Code],$A102,T_Shipments[Effective_Week],50)</f>
        <v/>
      </c>
      <c r="AZ102">
        <f>SUMIFS(T_Shipments[Confirmed_Qty],T_Shipments[RM_Code],$A102,T_Shipments[Effective_Week],51)</f>
        <v/>
      </c>
      <c r="BA102">
        <f>SUMIFS(T_Shipments[Confirmed_Qty],T_Shipments[RM_Code],$A102,T_Shipments[Effective_Week],52)</f>
        <v/>
      </c>
      <c r="BB102">
        <f>SUMIFS(T_Shipments[Confirmed_Qty],T_Shipments[RM_Code],$A102,T_Shipments[Effective_Week],53)</f>
        <v/>
      </c>
      <c r="BC102">
        <f>SUMIFS(T_Shipments[Confirmed_Qty],T_Shipments[RM_Code],$A102,T_Shipments[Effective_Week],54)</f>
        <v/>
      </c>
      <c r="BD102">
        <f>SUMIFS(T_Shipments[Confirmed_Qty],T_Shipments[RM_Code],$A102,T_Shipments[Effective_Week],55)</f>
        <v/>
      </c>
      <c r="BE102">
        <f>SUMIFS(T_Shipments[Confirmed_Qty],T_Shipments[RM_Code],$A102,T_Shipments[Effective_Week],56)</f>
        <v/>
      </c>
      <c r="BF102">
        <f>SUMIFS(T_Shipments[Confirmed_Qty],T_Shipments[RM_Code],$A102,T_Shipments[Effective_Week],57)</f>
        <v/>
      </c>
      <c r="BG102">
        <f>SUMIFS(T_Shipments[Confirmed_Qty],T_Shipments[RM_Code],$A102,T_Shipments[Effective_Week],58)</f>
        <v/>
      </c>
      <c r="BH102">
        <f>SUMIFS(T_Shipments[Confirmed_Qty],T_Shipments[RM_Code],$A102,T_Shipments[Effective_Week],59)</f>
        <v/>
      </c>
      <c r="BI102">
        <f>SUMIFS(T_Shipments[Confirmed_Qty],T_Shipments[RM_Code],$A102,T_Shipments[Effective_Week],60)</f>
        <v/>
      </c>
      <c r="BJ102">
        <f>SUMIFS(T_Shipments[Confirmed_Qty],T_Shipments[RM_Code],$A102,T_Shipments[Effective_Week],61)</f>
        <v/>
      </c>
      <c r="BK102">
        <f>SUMIFS(T_Shipments[Confirmed_Qty],T_Shipments[RM_Code],$A102,T_Shipments[Effective_Week],62)</f>
        <v/>
      </c>
      <c r="BL102">
        <f>SUMIFS(T_Shipments[Confirmed_Qty],T_Shipments[RM_Code],$A102,T_Shipments[Effective_Week],63)</f>
        <v/>
      </c>
      <c r="BM102">
        <f>SUMIFS(T_Shipments[Confirmed_Qty],T_Shipments[RM_Code],$A102,T_Shipments[Effective_Week],64)</f>
        <v/>
      </c>
      <c r="BN102">
        <f>SUMIFS(T_Shipments[Confirmed_Qty],T_Shipments[RM_Code],$A102,T_Shipments[Effective_Week],65)</f>
        <v/>
      </c>
      <c r="BO102">
        <f>SUMIFS(T_Shipments[Confirmed_Qty],T_Shipments[RM_Code],$A102,T_Shipments[Effective_Week],66)</f>
        <v/>
      </c>
      <c r="BP102">
        <f>SUMIFS(T_Shipments[Confirmed_Qty],T_Shipments[RM_Code],$A102,T_Shipments[Effective_Week],67)</f>
        <v/>
      </c>
      <c r="BQ102">
        <f>SUMIFS(T_Shipments[Confirmed_Qty],T_Shipments[RM_Code],$A102,T_Shipments[Effective_Week],68)</f>
        <v/>
      </c>
      <c r="BR102">
        <f>SUMIFS(T_Shipments[Confirmed_Qty],T_Shipments[RM_Code],$A102,T_Shipments[Effective_Week],69)</f>
        <v/>
      </c>
      <c r="BS102">
        <f>SUMIFS(T_Shipments[Confirmed_Qty],T_Shipments[RM_Code],$A102,T_Shipments[Effective_Week],70)</f>
        <v/>
      </c>
      <c r="BT102">
        <f>SUMIFS(T_Shipments[Confirmed_Qty],T_Shipments[RM_Code],$A102,T_Shipments[Effective_Week],71)</f>
        <v/>
      </c>
      <c r="BU102">
        <f>SUMIFS(T_Shipments[Confirmed_Qty],T_Shipments[RM_Code],$A102,T_Shipments[Effective_Week],72)</f>
        <v/>
      </c>
      <c r="BV102">
        <f>SUMIFS(T_Shipments[Confirmed_Qty],T_Shipments[RM_Code],$A102,T_Shipments[Effective_Week],73)</f>
        <v/>
      </c>
      <c r="BW102">
        <f>SUMIFS(T_Shipments[Confirmed_Qty],T_Shipments[RM_Code],$A102,T_Shipments[Effective_Week],74)</f>
        <v/>
      </c>
      <c r="BX102">
        <f>SUMIFS(T_Shipments[Confirmed_Qty],T_Shipments[RM_Code],$A102,T_Shipments[Effective_Week],75)</f>
        <v/>
      </c>
      <c r="BY102">
        <f>SUMIFS(T_Shipments[Confirmed_Qty],T_Shipments[RM_Code],$A102,T_Shipments[Effective_Week],76)</f>
        <v/>
      </c>
      <c r="BZ102">
        <f>SUMIFS(T_Shipments[Confirmed_Qty],T_Shipments[RM_Code],$A102,T_Shipments[Effective_Week],77)</f>
        <v/>
      </c>
      <c r="CA102">
        <f>SUMIFS(T_Shipments[Confirmed_Qty],T_Shipments[RM_Code],$A102,T_Shipments[Effective_Week],78)</f>
        <v/>
      </c>
      <c r="CB102">
        <f>SUMIFS(T_Shipments[Confirmed_Qty],T_Shipments[RM_Code],$A102,T_Shipments[Effective_Week],79)</f>
        <v/>
      </c>
      <c r="CC102">
        <f>SUMIFS(T_Shipments[Confirmed_Qty],T_Shipments[RM_Code],$A102,T_Shipments[Effective_Week],80)</f>
        <v/>
      </c>
      <c r="CD102">
        <f>SUMIFS(T_Shipments[Confirmed_Qty],T_Shipments[RM_Code],$A102,T_Shipments[Effective_Week],81)</f>
        <v/>
      </c>
      <c r="CE102">
        <f>SUMIFS(T_Shipments[Confirmed_Qty],T_Shipments[RM_Code],$A102,T_Shipments[Effective_Week],82)</f>
        <v/>
      </c>
      <c r="CF102">
        <f>SUMIFS(T_Shipments[Confirmed_Qty],T_Shipments[RM_Code],$A102,T_Shipments[Effective_Week],83)</f>
        <v/>
      </c>
      <c r="CG102">
        <f>SUMIFS(T_Shipments[Confirmed_Qty],T_Shipments[RM_Code],$A102,T_Shipments[Effective_Week],84)</f>
        <v/>
      </c>
      <c r="CH102">
        <f>SUMIFS(T_Shipments[Confirmed_Qty],T_Shipments[RM_Code],$A102,T_Shipments[Effective_Week],85)</f>
        <v/>
      </c>
      <c r="CI102">
        <f>SUMIFS(T_Shipments[Confirmed_Qty],T_Shipments[RM_Code],$A102,T_Shipments[Effective_Week],86)</f>
        <v/>
      </c>
      <c r="CJ102">
        <f>SUMIFS(T_Shipments[Confirmed_Qty],T_Shipments[RM_Code],$A102,T_Shipments[Effective_Week],87)</f>
        <v/>
      </c>
      <c r="CK102">
        <f>SUMIFS(T_Shipments[Confirmed_Qty],T_Shipments[RM_Code],$A102,T_Shipments[Effective_Week],88)</f>
        <v/>
      </c>
      <c r="CL102">
        <f>SUMIFS(T_Shipments[Confirmed_Qty],T_Shipments[RM_Code],$A102,T_Shipments[Effective_Week],89)</f>
        <v/>
      </c>
      <c r="CM102">
        <f>SUMIFS(T_Shipments[Confirmed_Qty],T_Shipments[RM_Code],$A102,T_Shipments[Effective_Week],90)</f>
        <v/>
      </c>
      <c r="CN102">
        <f>SUMIFS(T_Shipments[Confirmed_Qty],T_Shipments[RM_Code],$A102,T_Shipments[Effective_Week],91)</f>
        <v/>
      </c>
      <c r="CO102">
        <f>SUMIFS(T_Shipments[Confirmed_Qty],T_Shipments[RM_Code],$A102,T_Shipments[Effective_Week],92)</f>
        <v/>
      </c>
      <c r="CP102">
        <f>SUMIFS(T_Shipments[Confirmed_Qty],T_Shipments[RM_Code],$A102,T_Shipments[Effective_Week],93)</f>
        <v/>
      </c>
      <c r="CQ102">
        <f>SUMIFS(T_Shipments[Confirmed_Qty],T_Shipments[RM_Code],$A102,T_Shipments[Effective_Week],94)</f>
        <v/>
      </c>
      <c r="CR102">
        <f>SUMIFS(T_Shipments[Confirmed_Qty],T_Shipments[RM_Code],$A102,T_Shipments[Effective_Week],95)</f>
        <v/>
      </c>
      <c r="CS102">
        <f>SUMIFS(T_Shipments[Confirmed_Qty],T_Shipments[RM_Code],$A102,T_Shipments[Effective_Week],96)</f>
        <v/>
      </c>
      <c r="CT102">
        <f>SUMIFS(T_Shipments[Confirmed_Qty],T_Shipments[RM_Code],$A102,T_Shipments[Effective_Week],97)</f>
        <v/>
      </c>
      <c r="CU102">
        <f>SUMIFS(T_Shipments[Confirmed_Qty],T_Shipments[RM_Code],$A102,T_Shipments[Effective_Week],98)</f>
        <v/>
      </c>
      <c r="CV102">
        <f>SUMIFS(T_Shipments[Confirmed_Qty],T_Shipments[RM_Code],$A102,T_Shipments[Effective_Week],99)</f>
        <v/>
      </c>
      <c r="CW102">
        <f>SUMIFS(T_Shipments[Confirmed_Qty],T_Shipments[RM_Code],$A102,T_Shipments[Effective_Week],100)</f>
        <v/>
      </c>
      <c r="CX102">
        <f>SUMIFS(T_Shipments[Confirmed_Qty],T_Shipments[RM_Code],$A102,T_Shipments[Effective_Week],101)</f>
        <v/>
      </c>
      <c r="CY102">
        <f>SUMIFS(T_Shipments[Confirmed_Qty],T_Shipments[RM_Code],$A102,T_Shipments[Effective_Week],102)</f>
        <v/>
      </c>
      <c r="CZ102">
        <f>SUMIFS(T_Shipments[Confirmed_Qty],T_Shipments[RM_Code],$A102,T_Shipments[Effective_Week],103)</f>
        <v/>
      </c>
      <c r="DA102">
        <f>SUMIFS(T_Shipments[Confirmed_Qty],T_Shipments[RM_Code],$A102,T_Shipments[Effective_Week],104)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7" t="inlineStr">
        <is>
          <t>RM_Code</t>
        </is>
      </c>
      <c r="B1" s="27" t="inlineStr">
        <is>
          <t>2026-W01</t>
        </is>
      </c>
      <c r="C1" s="27" t="inlineStr">
        <is>
          <t>2026-W02</t>
        </is>
      </c>
      <c r="D1" s="27" t="inlineStr">
        <is>
          <t>2026-W03</t>
        </is>
      </c>
      <c r="E1" s="27" t="inlineStr">
        <is>
          <t>2026-W04</t>
        </is>
      </c>
      <c r="F1" s="27" t="inlineStr">
        <is>
          <t>2026-W05</t>
        </is>
      </c>
      <c r="G1" s="27" t="inlineStr">
        <is>
          <t>2026-W06</t>
        </is>
      </c>
      <c r="H1" s="27" t="inlineStr">
        <is>
          <t>2026-W07</t>
        </is>
      </c>
      <c r="I1" s="27" t="inlineStr">
        <is>
          <t>2026-W08</t>
        </is>
      </c>
      <c r="J1" s="27" t="inlineStr">
        <is>
          <t>2026-W09</t>
        </is>
      </c>
      <c r="K1" s="27" t="inlineStr">
        <is>
          <t>2026-W10</t>
        </is>
      </c>
      <c r="L1" s="27" t="inlineStr">
        <is>
          <t>2026-W11</t>
        </is>
      </c>
      <c r="M1" s="27" t="inlineStr">
        <is>
          <t>2026-W12</t>
        </is>
      </c>
      <c r="N1" s="27" t="inlineStr">
        <is>
          <t>2026-W13</t>
        </is>
      </c>
      <c r="O1" s="27" t="inlineStr">
        <is>
          <t>2026-W14</t>
        </is>
      </c>
      <c r="P1" s="27" t="inlineStr">
        <is>
          <t>2026-W15</t>
        </is>
      </c>
      <c r="Q1" s="27" t="inlineStr">
        <is>
          <t>2026-W16</t>
        </is>
      </c>
      <c r="R1" s="27" t="inlineStr">
        <is>
          <t>2026-W17</t>
        </is>
      </c>
      <c r="S1" s="27" t="inlineStr">
        <is>
          <t>2026-W18</t>
        </is>
      </c>
      <c r="T1" s="27" t="inlineStr">
        <is>
          <t>2026-W19</t>
        </is>
      </c>
      <c r="U1" s="27" t="inlineStr">
        <is>
          <t>2026-W20</t>
        </is>
      </c>
      <c r="V1" s="27" t="inlineStr">
        <is>
          <t>2026-W21</t>
        </is>
      </c>
      <c r="W1" s="27" t="inlineStr">
        <is>
          <t>2026-W22</t>
        </is>
      </c>
      <c r="X1" s="27" t="inlineStr">
        <is>
          <t>2026-W23</t>
        </is>
      </c>
      <c r="Y1" s="27" t="inlineStr">
        <is>
          <t>2026-W24</t>
        </is>
      </c>
      <c r="Z1" s="27" t="inlineStr">
        <is>
          <t>2026-W25</t>
        </is>
      </c>
      <c r="AA1" s="27" t="inlineStr">
        <is>
          <t>2026-W26</t>
        </is>
      </c>
      <c r="AB1" s="27" t="inlineStr">
        <is>
          <t>2026-W27</t>
        </is>
      </c>
      <c r="AC1" s="27" t="inlineStr">
        <is>
          <t>2026-W28</t>
        </is>
      </c>
      <c r="AD1" s="27" t="inlineStr">
        <is>
          <t>2026-W29</t>
        </is>
      </c>
      <c r="AE1" s="27" t="inlineStr">
        <is>
          <t>2026-W30</t>
        </is>
      </c>
      <c r="AF1" s="27" t="inlineStr">
        <is>
          <t>2026-W31</t>
        </is>
      </c>
      <c r="AG1" s="27" t="inlineStr">
        <is>
          <t>2026-W32</t>
        </is>
      </c>
      <c r="AH1" s="27" t="inlineStr">
        <is>
          <t>2026-W33</t>
        </is>
      </c>
      <c r="AI1" s="27" t="inlineStr">
        <is>
          <t>2026-W34</t>
        </is>
      </c>
      <c r="AJ1" s="27" t="inlineStr">
        <is>
          <t>2026-W35</t>
        </is>
      </c>
      <c r="AK1" s="27" t="inlineStr">
        <is>
          <t>2026-W36</t>
        </is>
      </c>
      <c r="AL1" s="27" t="inlineStr">
        <is>
          <t>2026-W37</t>
        </is>
      </c>
      <c r="AM1" s="27" t="inlineStr">
        <is>
          <t>2026-W38</t>
        </is>
      </c>
      <c r="AN1" s="27" t="inlineStr">
        <is>
          <t>2026-W39</t>
        </is>
      </c>
      <c r="AO1" s="27" t="inlineStr">
        <is>
          <t>2026-W40</t>
        </is>
      </c>
      <c r="AP1" s="27" t="inlineStr">
        <is>
          <t>2026-W41</t>
        </is>
      </c>
      <c r="AQ1" s="27" t="inlineStr">
        <is>
          <t>2026-W42</t>
        </is>
      </c>
      <c r="AR1" s="27" t="inlineStr">
        <is>
          <t>2026-W43</t>
        </is>
      </c>
      <c r="AS1" s="27" t="inlineStr">
        <is>
          <t>2026-W44</t>
        </is>
      </c>
      <c r="AT1" s="27" t="inlineStr">
        <is>
          <t>2026-W45</t>
        </is>
      </c>
      <c r="AU1" s="27" t="inlineStr">
        <is>
          <t>2026-W46</t>
        </is>
      </c>
      <c r="AV1" s="27" t="inlineStr">
        <is>
          <t>2026-W47</t>
        </is>
      </c>
      <c r="AW1" s="27" t="inlineStr">
        <is>
          <t>2026-W48</t>
        </is>
      </c>
      <c r="AX1" s="27" t="inlineStr">
        <is>
          <t>2026-W49</t>
        </is>
      </c>
      <c r="AY1" s="27" t="inlineStr">
        <is>
          <t>2026-W50</t>
        </is>
      </c>
      <c r="AZ1" s="27" t="inlineStr">
        <is>
          <t>2026-W51</t>
        </is>
      </c>
      <c r="BA1" s="27" t="inlineStr">
        <is>
          <t>2026-W52</t>
        </is>
      </c>
      <c r="BB1" s="27" t="inlineStr">
        <is>
          <t>2027-W01</t>
        </is>
      </c>
      <c r="BC1" s="27" t="inlineStr">
        <is>
          <t>2027-W02</t>
        </is>
      </c>
      <c r="BD1" s="27" t="inlineStr">
        <is>
          <t>2027-W03</t>
        </is>
      </c>
      <c r="BE1" s="27" t="inlineStr">
        <is>
          <t>2027-W04</t>
        </is>
      </c>
      <c r="BF1" s="27" t="inlineStr">
        <is>
          <t>2027-W05</t>
        </is>
      </c>
      <c r="BG1" s="27" t="inlineStr">
        <is>
          <t>2027-W06</t>
        </is>
      </c>
      <c r="BH1" s="27" t="inlineStr">
        <is>
          <t>2027-W07</t>
        </is>
      </c>
      <c r="BI1" s="27" t="inlineStr">
        <is>
          <t>2027-W08</t>
        </is>
      </c>
      <c r="BJ1" s="27" t="inlineStr">
        <is>
          <t>2027-W09</t>
        </is>
      </c>
      <c r="BK1" s="27" t="inlineStr">
        <is>
          <t>2027-W10</t>
        </is>
      </c>
      <c r="BL1" s="27" t="inlineStr">
        <is>
          <t>2027-W11</t>
        </is>
      </c>
      <c r="BM1" s="27" t="inlineStr">
        <is>
          <t>2027-W12</t>
        </is>
      </c>
      <c r="BN1" s="27" t="inlineStr">
        <is>
          <t>2027-W13</t>
        </is>
      </c>
      <c r="BO1" s="27" t="inlineStr">
        <is>
          <t>2027-W14</t>
        </is>
      </c>
      <c r="BP1" s="27" t="inlineStr">
        <is>
          <t>2027-W15</t>
        </is>
      </c>
      <c r="BQ1" s="27" t="inlineStr">
        <is>
          <t>2027-W16</t>
        </is>
      </c>
      <c r="BR1" s="27" t="inlineStr">
        <is>
          <t>2027-W17</t>
        </is>
      </c>
      <c r="BS1" s="27" t="inlineStr">
        <is>
          <t>2027-W18</t>
        </is>
      </c>
      <c r="BT1" s="27" t="inlineStr">
        <is>
          <t>2027-W19</t>
        </is>
      </c>
      <c r="BU1" s="27" t="inlineStr">
        <is>
          <t>2027-W20</t>
        </is>
      </c>
      <c r="BV1" s="27" t="inlineStr">
        <is>
          <t>2027-W21</t>
        </is>
      </c>
      <c r="BW1" s="27" t="inlineStr">
        <is>
          <t>2027-W22</t>
        </is>
      </c>
      <c r="BX1" s="27" t="inlineStr">
        <is>
          <t>2027-W23</t>
        </is>
      </c>
      <c r="BY1" s="27" t="inlineStr">
        <is>
          <t>2027-W24</t>
        </is>
      </c>
      <c r="BZ1" s="27" t="inlineStr">
        <is>
          <t>2027-W25</t>
        </is>
      </c>
      <c r="CA1" s="27" t="inlineStr">
        <is>
          <t>2027-W26</t>
        </is>
      </c>
      <c r="CB1" s="27" t="inlineStr">
        <is>
          <t>2027-W27</t>
        </is>
      </c>
      <c r="CC1" s="27" t="inlineStr">
        <is>
          <t>2027-W28</t>
        </is>
      </c>
      <c r="CD1" s="27" t="inlineStr">
        <is>
          <t>2027-W29</t>
        </is>
      </c>
      <c r="CE1" s="27" t="inlineStr">
        <is>
          <t>2027-W30</t>
        </is>
      </c>
      <c r="CF1" s="27" t="inlineStr">
        <is>
          <t>2027-W31</t>
        </is>
      </c>
      <c r="CG1" s="27" t="inlineStr">
        <is>
          <t>2027-W32</t>
        </is>
      </c>
      <c r="CH1" s="27" t="inlineStr">
        <is>
          <t>2027-W33</t>
        </is>
      </c>
      <c r="CI1" s="27" t="inlineStr">
        <is>
          <t>2027-W34</t>
        </is>
      </c>
      <c r="CJ1" s="27" t="inlineStr">
        <is>
          <t>2027-W35</t>
        </is>
      </c>
      <c r="CK1" s="27" t="inlineStr">
        <is>
          <t>2027-W36</t>
        </is>
      </c>
      <c r="CL1" s="27" t="inlineStr">
        <is>
          <t>2027-W37</t>
        </is>
      </c>
      <c r="CM1" s="27" t="inlineStr">
        <is>
          <t>2027-W38</t>
        </is>
      </c>
      <c r="CN1" s="27" t="inlineStr">
        <is>
          <t>2027-W39</t>
        </is>
      </c>
      <c r="CO1" s="27" t="inlineStr">
        <is>
          <t>2027-W40</t>
        </is>
      </c>
      <c r="CP1" s="27" t="inlineStr">
        <is>
          <t>2027-W41</t>
        </is>
      </c>
      <c r="CQ1" s="27" t="inlineStr">
        <is>
          <t>2027-W42</t>
        </is>
      </c>
      <c r="CR1" s="27" t="inlineStr">
        <is>
          <t>2027-W43</t>
        </is>
      </c>
      <c r="CS1" s="27" t="inlineStr">
        <is>
          <t>2027-W44</t>
        </is>
      </c>
      <c r="CT1" s="27" t="inlineStr">
        <is>
          <t>2027-W45</t>
        </is>
      </c>
      <c r="CU1" s="27" t="inlineStr">
        <is>
          <t>2027-W46</t>
        </is>
      </c>
      <c r="CV1" s="27" t="inlineStr">
        <is>
          <t>2027-W47</t>
        </is>
      </c>
      <c r="CW1" s="27" t="inlineStr">
        <is>
          <t>2027-W48</t>
        </is>
      </c>
      <c r="CX1" s="27" t="inlineStr">
        <is>
          <t>2027-W49</t>
        </is>
      </c>
      <c r="CY1" s="27" t="inlineStr">
        <is>
          <t>2027-W50</t>
        </is>
      </c>
      <c r="CZ1" s="27" t="inlineStr">
        <is>
          <t>2027-W51</t>
        </is>
      </c>
      <c r="DA1" s="27" t="inlineStr">
        <is>
          <t>2027-W52</t>
        </is>
      </c>
    </row>
    <row r="2">
      <c r="A2" t="inlineStr">
        <is>
          <t>CHEM-1250</t>
        </is>
      </c>
      <c r="B2">
        <f>IF(COUNTIFS(T_StockCount[RM_Code],$A2,T_StockCount[WeekIndex],1)&gt;0,SUMIFS(T_StockCount[CountedQty],T_StockCount[RM_Code],$A2,T_StockCount[WeekIndex],1),IF((COUNTIFS(T_SelfStock[RM_Code],$A2,T_SelfStock[WeekIndex],1)&gt;0)*(COUNTIFS(T_TTAFStock[RM_Code],$A2,T_TTAFStock[WeekIndex],1)&gt;0)&gt;0,SUMIFS(T_SelfStock[Self_Qty],T_SelfStock[RM_Code],$A2,T_SelfStock[WeekIndex],1)+SUMIFS(T_TTAFStock[TTAF_Qty],T_TTAFStock[RM_Code],$A2,T_TTAFStock[WeekIndex],1),IFERROR(INDEX(T_OpeningStock[Opening_Qty],MATCH($A2,T_OpeningStock[RM_Code],0)),0)+'Grid_Incoming'!B2-'Grid_Requirement'!B2))</f>
        <v/>
      </c>
      <c r="C2">
        <f>IF(COUNTIFS(T_StockCount[RM_Code],$A2,T_StockCount[WeekIndex],2)&gt;0,SUMIFS(T_StockCount[CountedQty],T_StockCount[RM_Code],$A2,T_StockCount[WeekIndex],2),IF((COUNTIFS(T_SelfStock[RM_Code],$A2,T_SelfStock[WeekIndex],2)&gt;0)*(COUNTIFS(T_TTAFStock[RM_Code],$A2,T_TTAFStock[WeekIndex],2)&gt;0)&gt;0,SUMIFS(T_SelfStock[Self_Qty],T_SelfStock[RM_Code],$A2,T_SelfStock[WeekIndex],2)+SUMIFS(T_TTAFStock[TTAF_Qty],T_TTAFStock[RM_Code],$A2,T_TTAFStock[WeekIndex],2),B2+'Grid_Incoming'!C2-'Grid_Requirement'!C2))</f>
        <v/>
      </c>
      <c r="D2">
        <f>IF(COUNTIFS(T_StockCount[RM_Code],$A2,T_StockCount[WeekIndex],3)&gt;0,SUMIFS(T_StockCount[CountedQty],T_StockCount[RM_Code],$A2,T_StockCount[WeekIndex],3),IF((COUNTIFS(T_SelfStock[RM_Code],$A2,T_SelfStock[WeekIndex],3)&gt;0)*(COUNTIFS(T_TTAFStock[RM_Code],$A2,T_TTAFStock[WeekIndex],3)&gt;0)&gt;0,SUMIFS(T_SelfStock[Self_Qty],T_SelfStock[RM_Code],$A2,T_SelfStock[WeekIndex],3)+SUMIFS(T_TTAFStock[TTAF_Qty],T_TTAFStock[RM_Code],$A2,T_TTAFStock[WeekIndex],3),C2+'Grid_Incoming'!D2-'Grid_Requirement'!D2))</f>
        <v/>
      </c>
      <c r="E2">
        <f>IF(COUNTIFS(T_StockCount[RM_Code],$A2,T_StockCount[WeekIndex],4)&gt;0,SUMIFS(T_StockCount[CountedQty],T_StockCount[RM_Code],$A2,T_StockCount[WeekIndex],4),IF((COUNTIFS(T_SelfStock[RM_Code],$A2,T_SelfStock[WeekIndex],4)&gt;0)*(COUNTIFS(T_TTAFStock[RM_Code],$A2,T_TTAFStock[WeekIndex],4)&gt;0)&gt;0,SUMIFS(T_SelfStock[Self_Qty],T_SelfStock[RM_Code],$A2,T_SelfStock[WeekIndex],4)+SUMIFS(T_TTAFStock[TTAF_Qty],T_TTAFStock[RM_Code],$A2,T_TTAFStock[WeekIndex],4),D2+'Grid_Incoming'!E2-'Grid_Requirement'!E2))</f>
        <v/>
      </c>
      <c r="F2">
        <f>IF(COUNTIFS(T_StockCount[RM_Code],$A2,T_StockCount[WeekIndex],5)&gt;0,SUMIFS(T_StockCount[CountedQty],T_StockCount[RM_Code],$A2,T_StockCount[WeekIndex],5),IF((COUNTIFS(T_SelfStock[RM_Code],$A2,T_SelfStock[WeekIndex],5)&gt;0)*(COUNTIFS(T_TTAFStock[RM_Code],$A2,T_TTAFStock[WeekIndex],5)&gt;0)&gt;0,SUMIFS(T_SelfStock[Self_Qty],T_SelfStock[RM_Code],$A2,T_SelfStock[WeekIndex],5)+SUMIFS(T_TTAFStock[TTAF_Qty],T_TTAFStock[RM_Code],$A2,T_TTAFStock[WeekIndex],5),E2+'Grid_Incoming'!F2-'Grid_Requirement'!F2))</f>
        <v/>
      </c>
      <c r="G2">
        <f>IF(COUNTIFS(T_StockCount[RM_Code],$A2,T_StockCount[WeekIndex],6)&gt;0,SUMIFS(T_StockCount[CountedQty],T_StockCount[RM_Code],$A2,T_StockCount[WeekIndex],6),IF((COUNTIFS(T_SelfStock[RM_Code],$A2,T_SelfStock[WeekIndex],6)&gt;0)*(COUNTIFS(T_TTAFStock[RM_Code],$A2,T_TTAFStock[WeekIndex],6)&gt;0)&gt;0,SUMIFS(T_SelfStock[Self_Qty],T_SelfStock[RM_Code],$A2,T_SelfStock[WeekIndex],6)+SUMIFS(T_TTAFStock[TTAF_Qty],T_TTAFStock[RM_Code],$A2,T_TTAFStock[WeekIndex],6),F2+'Grid_Incoming'!G2-'Grid_Requirement'!G2))</f>
        <v/>
      </c>
      <c r="H2">
        <f>IF(COUNTIFS(T_StockCount[RM_Code],$A2,T_StockCount[WeekIndex],7)&gt;0,SUMIFS(T_StockCount[CountedQty],T_StockCount[RM_Code],$A2,T_StockCount[WeekIndex],7),IF((COUNTIFS(T_SelfStock[RM_Code],$A2,T_SelfStock[WeekIndex],7)&gt;0)*(COUNTIFS(T_TTAFStock[RM_Code],$A2,T_TTAFStock[WeekIndex],7)&gt;0)&gt;0,SUMIFS(T_SelfStock[Self_Qty],T_SelfStock[RM_Code],$A2,T_SelfStock[WeekIndex],7)+SUMIFS(T_TTAFStock[TTAF_Qty],T_TTAFStock[RM_Code],$A2,T_TTAFStock[WeekIndex],7),G2+'Grid_Incoming'!H2-'Grid_Requirement'!H2))</f>
        <v/>
      </c>
      <c r="I2">
        <f>IF(COUNTIFS(T_StockCount[RM_Code],$A2,T_StockCount[WeekIndex],8)&gt;0,SUMIFS(T_StockCount[CountedQty],T_StockCount[RM_Code],$A2,T_StockCount[WeekIndex],8),IF((COUNTIFS(T_SelfStock[RM_Code],$A2,T_SelfStock[WeekIndex],8)&gt;0)*(COUNTIFS(T_TTAFStock[RM_Code],$A2,T_TTAFStock[WeekIndex],8)&gt;0)&gt;0,SUMIFS(T_SelfStock[Self_Qty],T_SelfStock[RM_Code],$A2,T_SelfStock[WeekIndex],8)+SUMIFS(T_TTAFStock[TTAF_Qty],T_TTAFStock[RM_Code],$A2,T_TTAFStock[WeekIndex],8),H2+'Grid_Incoming'!I2-'Grid_Requirement'!I2))</f>
        <v/>
      </c>
      <c r="J2">
        <f>IF(COUNTIFS(T_StockCount[RM_Code],$A2,T_StockCount[WeekIndex],9)&gt;0,SUMIFS(T_StockCount[CountedQty],T_StockCount[RM_Code],$A2,T_StockCount[WeekIndex],9),IF((COUNTIFS(T_SelfStock[RM_Code],$A2,T_SelfStock[WeekIndex],9)&gt;0)*(COUNTIFS(T_TTAFStock[RM_Code],$A2,T_TTAFStock[WeekIndex],9)&gt;0)&gt;0,SUMIFS(T_SelfStock[Self_Qty],T_SelfStock[RM_Code],$A2,T_SelfStock[WeekIndex],9)+SUMIFS(T_TTAFStock[TTAF_Qty],T_TTAFStock[RM_Code],$A2,T_TTAFStock[WeekIndex],9),I2+'Grid_Incoming'!J2-'Grid_Requirement'!J2))</f>
        <v/>
      </c>
      <c r="K2">
        <f>IF(COUNTIFS(T_StockCount[RM_Code],$A2,T_StockCount[WeekIndex],10)&gt;0,SUMIFS(T_StockCount[CountedQty],T_StockCount[RM_Code],$A2,T_StockCount[WeekIndex],10),IF((COUNTIFS(T_SelfStock[RM_Code],$A2,T_SelfStock[WeekIndex],10)&gt;0)*(COUNTIFS(T_TTAFStock[RM_Code],$A2,T_TTAFStock[WeekIndex],10)&gt;0)&gt;0,SUMIFS(T_SelfStock[Self_Qty],T_SelfStock[RM_Code],$A2,T_SelfStock[WeekIndex],10)+SUMIFS(T_TTAFStock[TTAF_Qty],T_TTAFStock[RM_Code],$A2,T_TTAFStock[WeekIndex],10),J2+'Grid_Incoming'!K2-'Grid_Requirement'!K2))</f>
        <v/>
      </c>
      <c r="L2">
        <f>IF(COUNTIFS(T_StockCount[RM_Code],$A2,T_StockCount[WeekIndex],11)&gt;0,SUMIFS(T_StockCount[CountedQty],T_StockCount[RM_Code],$A2,T_StockCount[WeekIndex],11),IF((COUNTIFS(T_SelfStock[RM_Code],$A2,T_SelfStock[WeekIndex],11)&gt;0)*(COUNTIFS(T_TTAFStock[RM_Code],$A2,T_TTAFStock[WeekIndex],11)&gt;0)&gt;0,SUMIFS(T_SelfStock[Self_Qty],T_SelfStock[RM_Code],$A2,T_SelfStock[WeekIndex],11)+SUMIFS(T_TTAFStock[TTAF_Qty],T_TTAFStock[RM_Code],$A2,T_TTAFStock[WeekIndex],11),K2+'Grid_Incoming'!L2-'Grid_Requirement'!L2))</f>
        <v/>
      </c>
      <c r="M2">
        <f>IF(COUNTIFS(T_StockCount[RM_Code],$A2,T_StockCount[WeekIndex],12)&gt;0,SUMIFS(T_StockCount[CountedQty],T_StockCount[RM_Code],$A2,T_StockCount[WeekIndex],12),IF((COUNTIFS(T_SelfStock[RM_Code],$A2,T_SelfStock[WeekIndex],12)&gt;0)*(COUNTIFS(T_TTAFStock[RM_Code],$A2,T_TTAFStock[WeekIndex],12)&gt;0)&gt;0,SUMIFS(T_SelfStock[Self_Qty],T_SelfStock[RM_Code],$A2,T_SelfStock[WeekIndex],12)+SUMIFS(T_TTAFStock[TTAF_Qty],T_TTAFStock[RM_Code],$A2,T_TTAFStock[WeekIndex],12),L2+'Grid_Incoming'!M2-'Grid_Requirement'!M2))</f>
        <v/>
      </c>
      <c r="N2">
        <f>IF(COUNTIFS(T_StockCount[RM_Code],$A2,T_StockCount[WeekIndex],13)&gt;0,SUMIFS(T_StockCount[CountedQty],T_StockCount[RM_Code],$A2,T_StockCount[WeekIndex],13),IF((COUNTIFS(T_SelfStock[RM_Code],$A2,T_SelfStock[WeekIndex],13)&gt;0)*(COUNTIFS(T_TTAFStock[RM_Code],$A2,T_TTAFStock[WeekIndex],13)&gt;0)&gt;0,SUMIFS(T_SelfStock[Self_Qty],T_SelfStock[RM_Code],$A2,T_SelfStock[WeekIndex],13)+SUMIFS(T_TTAFStock[TTAF_Qty],T_TTAFStock[RM_Code],$A2,T_TTAFStock[WeekIndex],13),M2+'Grid_Incoming'!N2-'Grid_Requirement'!N2))</f>
        <v/>
      </c>
      <c r="O2">
        <f>IF(COUNTIFS(T_StockCount[RM_Code],$A2,T_StockCount[WeekIndex],14)&gt;0,SUMIFS(T_StockCount[CountedQty],T_StockCount[RM_Code],$A2,T_StockCount[WeekIndex],14),IF((COUNTIFS(T_SelfStock[RM_Code],$A2,T_SelfStock[WeekIndex],14)&gt;0)*(COUNTIFS(T_TTAFStock[RM_Code],$A2,T_TTAFStock[WeekIndex],14)&gt;0)&gt;0,SUMIFS(T_SelfStock[Self_Qty],T_SelfStock[RM_Code],$A2,T_SelfStock[WeekIndex],14)+SUMIFS(T_TTAFStock[TTAF_Qty],T_TTAFStock[RM_Code],$A2,T_TTAFStock[WeekIndex],14),N2+'Grid_Incoming'!O2-'Grid_Requirement'!O2))</f>
        <v/>
      </c>
      <c r="P2">
        <f>IF(COUNTIFS(T_StockCount[RM_Code],$A2,T_StockCount[WeekIndex],15)&gt;0,SUMIFS(T_StockCount[CountedQty],T_StockCount[RM_Code],$A2,T_StockCount[WeekIndex],15),IF((COUNTIFS(T_SelfStock[RM_Code],$A2,T_SelfStock[WeekIndex],15)&gt;0)*(COUNTIFS(T_TTAFStock[RM_Code],$A2,T_TTAFStock[WeekIndex],15)&gt;0)&gt;0,SUMIFS(T_SelfStock[Self_Qty],T_SelfStock[RM_Code],$A2,T_SelfStock[WeekIndex],15)+SUMIFS(T_TTAFStock[TTAF_Qty],T_TTAFStock[RM_Code],$A2,T_TTAFStock[WeekIndex],15),O2+'Grid_Incoming'!P2-'Grid_Requirement'!P2))</f>
        <v/>
      </c>
      <c r="Q2">
        <f>IF(COUNTIFS(T_StockCount[RM_Code],$A2,T_StockCount[WeekIndex],16)&gt;0,SUMIFS(T_StockCount[CountedQty],T_StockCount[RM_Code],$A2,T_StockCount[WeekIndex],16),IF((COUNTIFS(T_SelfStock[RM_Code],$A2,T_SelfStock[WeekIndex],16)&gt;0)*(COUNTIFS(T_TTAFStock[RM_Code],$A2,T_TTAFStock[WeekIndex],16)&gt;0)&gt;0,SUMIFS(T_SelfStock[Self_Qty],T_SelfStock[RM_Code],$A2,T_SelfStock[WeekIndex],16)+SUMIFS(T_TTAFStock[TTAF_Qty],T_TTAFStock[RM_Code],$A2,T_TTAFStock[WeekIndex],16),P2+'Grid_Incoming'!Q2-'Grid_Requirement'!Q2))</f>
        <v/>
      </c>
      <c r="R2">
        <f>IF(COUNTIFS(T_StockCount[RM_Code],$A2,T_StockCount[WeekIndex],17)&gt;0,SUMIFS(T_StockCount[CountedQty],T_StockCount[RM_Code],$A2,T_StockCount[WeekIndex],17),IF((COUNTIFS(T_SelfStock[RM_Code],$A2,T_SelfStock[WeekIndex],17)&gt;0)*(COUNTIFS(T_TTAFStock[RM_Code],$A2,T_TTAFStock[WeekIndex],17)&gt;0)&gt;0,SUMIFS(T_SelfStock[Self_Qty],T_SelfStock[RM_Code],$A2,T_SelfStock[WeekIndex],17)+SUMIFS(T_TTAFStock[TTAF_Qty],T_TTAFStock[RM_Code],$A2,T_TTAFStock[WeekIndex],17),Q2+'Grid_Incoming'!R2-'Grid_Requirement'!R2))</f>
        <v/>
      </c>
      <c r="S2">
        <f>IF(COUNTIFS(T_StockCount[RM_Code],$A2,T_StockCount[WeekIndex],18)&gt;0,SUMIFS(T_StockCount[CountedQty],T_StockCount[RM_Code],$A2,T_StockCount[WeekIndex],18),IF((COUNTIFS(T_SelfStock[RM_Code],$A2,T_SelfStock[WeekIndex],18)&gt;0)*(COUNTIFS(T_TTAFStock[RM_Code],$A2,T_TTAFStock[WeekIndex],18)&gt;0)&gt;0,SUMIFS(T_SelfStock[Self_Qty],T_SelfStock[RM_Code],$A2,T_SelfStock[WeekIndex],18)+SUMIFS(T_TTAFStock[TTAF_Qty],T_TTAFStock[RM_Code],$A2,T_TTAFStock[WeekIndex],18),R2+'Grid_Incoming'!S2-'Grid_Requirement'!S2))</f>
        <v/>
      </c>
      <c r="T2">
        <f>IF(COUNTIFS(T_StockCount[RM_Code],$A2,T_StockCount[WeekIndex],19)&gt;0,SUMIFS(T_StockCount[CountedQty],T_StockCount[RM_Code],$A2,T_StockCount[WeekIndex],19),IF((COUNTIFS(T_SelfStock[RM_Code],$A2,T_SelfStock[WeekIndex],19)&gt;0)*(COUNTIFS(T_TTAFStock[RM_Code],$A2,T_TTAFStock[WeekIndex],19)&gt;0)&gt;0,SUMIFS(T_SelfStock[Self_Qty],T_SelfStock[RM_Code],$A2,T_SelfStock[WeekIndex],19)+SUMIFS(T_TTAFStock[TTAF_Qty],T_TTAFStock[RM_Code],$A2,T_TTAFStock[WeekIndex],19),S2+'Grid_Incoming'!T2-'Grid_Requirement'!T2))</f>
        <v/>
      </c>
      <c r="U2">
        <f>IF(COUNTIFS(T_StockCount[RM_Code],$A2,T_StockCount[WeekIndex],20)&gt;0,SUMIFS(T_StockCount[CountedQty],T_StockCount[RM_Code],$A2,T_StockCount[WeekIndex],20),IF((COUNTIFS(T_SelfStock[RM_Code],$A2,T_SelfStock[WeekIndex],20)&gt;0)*(COUNTIFS(T_TTAFStock[RM_Code],$A2,T_TTAFStock[WeekIndex],20)&gt;0)&gt;0,SUMIFS(T_SelfStock[Self_Qty],T_SelfStock[RM_Code],$A2,T_SelfStock[WeekIndex],20)+SUMIFS(T_TTAFStock[TTAF_Qty],T_TTAFStock[RM_Code],$A2,T_TTAFStock[WeekIndex],20),T2+'Grid_Incoming'!U2-'Grid_Requirement'!U2))</f>
        <v/>
      </c>
      <c r="V2">
        <f>IF(COUNTIFS(T_StockCount[RM_Code],$A2,T_StockCount[WeekIndex],21)&gt;0,SUMIFS(T_StockCount[CountedQty],T_StockCount[RM_Code],$A2,T_StockCount[WeekIndex],21),IF((COUNTIFS(T_SelfStock[RM_Code],$A2,T_SelfStock[WeekIndex],21)&gt;0)*(COUNTIFS(T_TTAFStock[RM_Code],$A2,T_TTAFStock[WeekIndex],21)&gt;0)&gt;0,SUMIFS(T_SelfStock[Self_Qty],T_SelfStock[RM_Code],$A2,T_SelfStock[WeekIndex],21)+SUMIFS(T_TTAFStock[TTAF_Qty],T_TTAFStock[RM_Code],$A2,T_TTAFStock[WeekIndex],21),U2+'Grid_Incoming'!V2-'Grid_Requirement'!V2))</f>
        <v/>
      </c>
      <c r="W2">
        <f>IF(COUNTIFS(T_StockCount[RM_Code],$A2,T_StockCount[WeekIndex],22)&gt;0,SUMIFS(T_StockCount[CountedQty],T_StockCount[RM_Code],$A2,T_StockCount[WeekIndex],22),IF((COUNTIFS(T_SelfStock[RM_Code],$A2,T_SelfStock[WeekIndex],22)&gt;0)*(COUNTIFS(T_TTAFStock[RM_Code],$A2,T_TTAFStock[WeekIndex],22)&gt;0)&gt;0,SUMIFS(T_SelfStock[Self_Qty],T_SelfStock[RM_Code],$A2,T_SelfStock[WeekIndex],22)+SUMIFS(T_TTAFStock[TTAF_Qty],T_TTAFStock[RM_Code],$A2,T_TTAFStock[WeekIndex],22),V2+'Grid_Incoming'!W2-'Grid_Requirement'!W2))</f>
        <v/>
      </c>
      <c r="X2">
        <f>IF(COUNTIFS(T_StockCount[RM_Code],$A2,T_StockCount[WeekIndex],23)&gt;0,SUMIFS(T_StockCount[CountedQty],T_StockCount[RM_Code],$A2,T_StockCount[WeekIndex],23),IF((COUNTIFS(T_SelfStock[RM_Code],$A2,T_SelfStock[WeekIndex],23)&gt;0)*(COUNTIFS(T_TTAFStock[RM_Code],$A2,T_TTAFStock[WeekIndex],23)&gt;0)&gt;0,SUMIFS(T_SelfStock[Self_Qty],T_SelfStock[RM_Code],$A2,T_SelfStock[WeekIndex],23)+SUMIFS(T_TTAFStock[TTAF_Qty],T_TTAFStock[RM_Code],$A2,T_TTAFStock[WeekIndex],23),W2+'Grid_Incoming'!X2-'Grid_Requirement'!X2))</f>
        <v/>
      </c>
      <c r="Y2">
        <f>IF(COUNTIFS(T_StockCount[RM_Code],$A2,T_StockCount[WeekIndex],24)&gt;0,SUMIFS(T_StockCount[CountedQty],T_StockCount[RM_Code],$A2,T_StockCount[WeekIndex],24),IF((COUNTIFS(T_SelfStock[RM_Code],$A2,T_SelfStock[WeekIndex],24)&gt;0)*(COUNTIFS(T_TTAFStock[RM_Code],$A2,T_TTAFStock[WeekIndex],24)&gt;0)&gt;0,SUMIFS(T_SelfStock[Self_Qty],T_SelfStock[RM_Code],$A2,T_SelfStock[WeekIndex],24)+SUMIFS(T_TTAFStock[TTAF_Qty],T_TTAFStock[RM_Code],$A2,T_TTAFStock[WeekIndex],24),X2+'Grid_Incoming'!Y2-'Grid_Requirement'!Y2))</f>
        <v/>
      </c>
      <c r="Z2">
        <f>IF(COUNTIFS(T_StockCount[RM_Code],$A2,T_StockCount[WeekIndex],25)&gt;0,SUMIFS(T_StockCount[CountedQty],T_StockCount[RM_Code],$A2,T_StockCount[WeekIndex],25),IF((COUNTIFS(T_SelfStock[RM_Code],$A2,T_SelfStock[WeekIndex],25)&gt;0)*(COUNTIFS(T_TTAFStock[RM_Code],$A2,T_TTAFStock[WeekIndex],25)&gt;0)&gt;0,SUMIFS(T_SelfStock[Self_Qty],T_SelfStock[RM_Code],$A2,T_SelfStock[WeekIndex],25)+SUMIFS(T_TTAFStock[TTAF_Qty],T_TTAFStock[RM_Code],$A2,T_TTAFStock[WeekIndex],25),Y2+'Grid_Incoming'!Z2-'Grid_Requirement'!Z2))</f>
        <v/>
      </c>
      <c r="AA2">
        <f>IF(COUNTIFS(T_StockCount[RM_Code],$A2,T_StockCount[WeekIndex],26)&gt;0,SUMIFS(T_StockCount[CountedQty],T_StockCount[RM_Code],$A2,T_StockCount[WeekIndex],26),IF((COUNTIFS(T_SelfStock[RM_Code],$A2,T_SelfStock[WeekIndex],26)&gt;0)*(COUNTIFS(T_TTAFStock[RM_Code],$A2,T_TTAFStock[WeekIndex],26)&gt;0)&gt;0,SUMIFS(T_SelfStock[Self_Qty],T_SelfStock[RM_Code],$A2,T_SelfStock[WeekIndex],26)+SUMIFS(T_TTAFStock[TTAF_Qty],T_TTAFStock[RM_Code],$A2,T_TTAFStock[WeekIndex],26),Z2+'Grid_Incoming'!AA2-'Grid_Requirement'!AA2))</f>
        <v/>
      </c>
      <c r="AB2">
        <f>IF(COUNTIFS(T_StockCount[RM_Code],$A2,T_StockCount[WeekIndex],27)&gt;0,SUMIFS(T_StockCount[CountedQty],T_StockCount[RM_Code],$A2,T_StockCount[WeekIndex],27),IF((COUNTIFS(T_SelfStock[RM_Code],$A2,T_SelfStock[WeekIndex],27)&gt;0)*(COUNTIFS(T_TTAFStock[RM_Code],$A2,T_TTAFStock[WeekIndex],27)&gt;0)&gt;0,SUMIFS(T_SelfStock[Self_Qty],T_SelfStock[RM_Code],$A2,T_SelfStock[WeekIndex],27)+SUMIFS(T_TTAFStock[TTAF_Qty],T_TTAFStock[RM_Code],$A2,T_TTAFStock[WeekIndex],27),AA2+'Grid_Incoming'!AB2-'Grid_Requirement'!AB2))</f>
        <v/>
      </c>
      <c r="AC2">
        <f>IF(COUNTIFS(T_StockCount[RM_Code],$A2,T_StockCount[WeekIndex],28)&gt;0,SUMIFS(T_StockCount[CountedQty],T_StockCount[RM_Code],$A2,T_StockCount[WeekIndex],28),IF((COUNTIFS(T_SelfStock[RM_Code],$A2,T_SelfStock[WeekIndex],28)&gt;0)*(COUNTIFS(T_TTAFStock[RM_Code],$A2,T_TTAFStock[WeekIndex],28)&gt;0)&gt;0,SUMIFS(T_SelfStock[Self_Qty],T_SelfStock[RM_Code],$A2,T_SelfStock[WeekIndex],28)+SUMIFS(T_TTAFStock[TTAF_Qty],T_TTAFStock[RM_Code],$A2,T_TTAFStock[WeekIndex],28),AB2+'Grid_Incoming'!AC2-'Grid_Requirement'!AC2))</f>
        <v/>
      </c>
      <c r="AD2">
        <f>IF(COUNTIFS(T_StockCount[RM_Code],$A2,T_StockCount[WeekIndex],29)&gt;0,SUMIFS(T_StockCount[CountedQty],T_StockCount[RM_Code],$A2,T_StockCount[WeekIndex],29),IF((COUNTIFS(T_SelfStock[RM_Code],$A2,T_SelfStock[WeekIndex],29)&gt;0)*(COUNTIFS(T_TTAFStock[RM_Code],$A2,T_TTAFStock[WeekIndex],29)&gt;0)&gt;0,SUMIFS(T_SelfStock[Self_Qty],T_SelfStock[RM_Code],$A2,T_SelfStock[WeekIndex],29)+SUMIFS(T_TTAFStock[TTAF_Qty],T_TTAFStock[RM_Code],$A2,T_TTAFStock[WeekIndex],29),AC2+'Grid_Incoming'!AD2-'Grid_Requirement'!AD2))</f>
        <v/>
      </c>
      <c r="AE2">
        <f>IF(COUNTIFS(T_StockCount[RM_Code],$A2,T_StockCount[WeekIndex],30)&gt;0,SUMIFS(T_StockCount[CountedQty],T_StockCount[RM_Code],$A2,T_StockCount[WeekIndex],30),IF((COUNTIFS(T_SelfStock[RM_Code],$A2,T_SelfStock[WeekIndex],30)&gt;0)*(COUNTIFS(T_TTAFStock[RM_Code],$A2,T_TTAFStock[WeekIndex],30)&gt;0)&gt;0,SUMIFS(T_SelfStock[Self_Qty],T_SelfStock[RM_Code],$A2,T_SelfStock[WeekIndex],30)+SUMIFS(T_TTAFStock[TTAF_Qty],T_TTAFStock[RM_Code],$A2,T_TTAFStock[WeekIndex],30),AD2+'Grid_Incoming'!AE2-'Grid_Requirement'!AE2))</f>
        <v/>
      </c>
      <c r="AF2">
        <f>IF(COUNTIFS(T_StockCount[RM_Code],$A2,T_StockCount[WeekIndex],31)&gt;0,SUMIFS(T_StockCount[CountedQty],T_StockCount[RM_Code],$A2,T_StockCount[WeekIndex],31),IF((COUNTIFS(T_SelfStock[RM_Code],$A2,T_SelfStock[WeekIndex],31)&gt;0)*(COUNTIFS(T_TTAFStock[RM_Code],$A2,T_TTAFStock[WeekIndex],31)&gt;0)&gt;0,SUMIFS(T_SelfStock[Self_Qty],T_SelfStock[RM_Code],$A2,T_SelfStock[WeekIndex],31)+SUMIFS(T_TTAFStock[TTAF_Qty],T_TTAFStock[RM_Code],$A2,T_TTAFStock[WeekIndex],31),AE2+'Grid_Incoming'!AF2-'Grid_Requirement'!AF2))</f>
        <v/>
      </c>
      <c r="AG2">
        <f>IF(COUNTIFS(T_StockCount[RM_Code],$A2,T_StockCount[WeekIndex],32)&gt;0,SUMIFS(T_StockCount[CountedQty],T_StockCount[RM_Code],$A2,T_StockCount[WeekIndex],32),IF((COUNTIFS(T_SelfStock[RM_Code],$A2,T_SelfStock[WeekIndex],32)&gt;0)*(COUNTIFS(T_TTAFStock[RM_Code],$A2,T_TTAFStock[WeekIndex],32)&gt;0)&gt;0,SUMIFS(T_SelfStock[Self_Qty],T_SelfStock[RM_Code],$A2,T_SelfStock[WeekIndex],32)+SUMIFS(T_TTAFStock[TTAF_Qty],T_TTAFStock[RM_Code],$A2,T_TTAFStock[WeekIndex],32),AF2+'Grid_Incoming'!AG2-'Grid_Requirement'!AG2))</f>
        <v/>
      </c>
      <c r="AH2">
        <f>IF(COUNTIFS(T_StockCount[RM_Code],$A2,T_StockCount[WeekIndex],33)&gt;0,SUMIFS(T_StockCount[CountedQty],T_StockCount[RM_Code],$A2,T_StockCount[WeekIndex],33),IF((COUNTIFS(T_SelfStock[RM_Code],$A2,T_SelfStock[WeekIndex],33)&gt;0)*(COUNTIFS(T_TTAFStock[RM_Code],$A2,T_TTAFStock[WeekIndex],33)&gt;0)&gt;0,SUMIFS(T_SelfStock[Self_Qty],T_SelfStock[RM_Code],$A2,T_SelfStock[WeekIndex],33)+SUMIFS(T_TTAFStock[TTAF_Qty],T_TTAFStock[RM_Code],$A2,T_TTAFStock[WeekIndex],33),AG2+'Grid_Incoming'!AH2-'Grid_Requirement'!AH2))</f>
        <v/>
      </c>
      <c r="AI2">
        <f>IF(COUNTIFS(T_StockCount[RM_Code],$A2,T_StockCount[WeekIndex],34)&gt;0,SUMIFS(T_StockCount[CountedQty],T_StockCount[RM_Code],$A2,T_StockCount[WeekIndex],34),IF((COUNTIFS(T_SelfStock[RM_Code],$A2,T_SelfStock[WeekIndex],34)&gt;0)*(COUNTIFS(T_TTAFStock[RM_Code],$A2,T_TTAFStock[WeekIndex],34)&gt;0)&gt;0,SUMIFS(T_SelfStock[Self_Qty],T_SelfStock[RM_Code],$A2,T_SelfStock[WeekIndex],34)+SUMIFS(T_TTAFStock[TTAF_Qty],T_TTAFStock[RM_Code],$A2,T_TTAFStock[WeekIndex],34),AH2+'Grid_Incoming'!AI2-'Grid_Requirement'!AI2))</f>
        <v/>
      </c>
      <c r="AJ2">
        <f>IF(COUNTIFS(T_StockCount[RM_Code],$A2,T_StockCount[WeekIndex],35)&gt;0,SUMIFS(T_StockCount[CountedQty],T_StockCount[RM_Code],$A2,T_StockCount[WeekIndex],35),IF((COUNTIFS(T_SelfStock[RM_Code],$A2,T_SelfStock[WeekIndex],35)&gt;0)*(COUNTIFS(T_TTAFStock[RM_Code],$A2,T_TTAFStock[WeekIndex],35)&gt;0)&gt;0,SUMIFS(T_SelfStock[Self_Qty],T_SelfStock[RM_Code],$A2,T_SelfStock[WeekIndex],35)+SUMIFS(T_TTAFStock[TTAF_Qty],T_TTAFStock[RM_Code],$A2,T_TTAFStock[WeekIndex],35),AI2+'Grid_Incoming'!AJ2-'Grid_Requirement'!AJ2))</f>
        <v/>
      </c>
      <c r="AK2">
        <f>IF(COUNTIFS(T_StockCount[RM_Code],$A2,T_StockCount[WeekIndex],36)&gt;0,SUMIFS(T_StockCount[CountedQty],T_StockCount[RM_Code],$A2,T_StockCount[WeekIndex],36),IF((COUNTIFS(T_SelfStock[RM_Code],$A2,T_SelfStock[WeekIndex],36)&gt;0)*(COUNTIFS(T_TTAFStock[RM_Code],$A2,T_TTAFStock[WeekIndex],36)&gt;0)&gt;0,SUMIFS(T_SelfStock[Self_Qty],T_SelfStock[RM_Code],$A2,T_SelfStock[WeekIndex],36)+SUMIFS(T_TTAFStock[TTAF_Qty],T_TTAFStock[RM_Code],$A2,T_TTAFStock[WeekIndex],36),AJ2+'Grid_Incoming'!AK2-'Grid_Requirement'!AK2))</f>
        <v/>
      </c>
      <c r="AL2">
        <f>IF(COUNTIFS(T_StockCount[RM_Code],$A2,T_StockCount[WeekIndex],37)&gt;0,SUMIFS(T_StockCount[CountedQty],T_StockCount[RM_Code],$A2,T_StockCount[WeekIndex],37),IF((COUNTIFS(T_SelfStock[RM_Code],$A2,T_SelfStock[WeekIndex],37)&gt;0)*(COUNTIFS(T_TTAFStock[RM_Code],$A2,T_TTAFStock[WeekIndex],37)&gt;0)&gt;0,SUMIFS(T_SelfStock[Self_Qty],T_SelfStock[RM_Code],$A2,T_SelfStock[WeekIndex],37)+SUMIFS(T_TTAFStock[TTAF_Qty],T_TTAFStock[RM_Code],$A2,T_TTAFStock[WeekIndex],37),AK2+'Grid_Incoming'!AL2-'Grid_Requirement'!AL2))</f>
        <v/>
      </c>
      <c r="AM2">
        <f>IF(COUNTIFS(T_StockCount[RM_Code],$A2,T_StockCount[WeekIndex],38)&gt;0,SUMIFS(T_StockCount[CountedQty],T_StockCount[RM_Code],$A2,T_StockCount[WeekIndex],38),IF((COUNTIFS(T_SelfStock[RM_Code],$A2,T_SelfStock[WeekIndex],38)&gt;0)*(COUNTIFS(T_TTAFStock[RM_Code],$A2,T_TTAFStock[WeekIndex],38)&gt;0)&gt;0,SUMIFS(T_SelfStock[Self_Qty],T_SelfStock[RM_Code],$A2,T_SelfStock[WeekIndex],38)+SUMIFS(T_TTAFStock[TTAF_Qty],T_TTAFStock[RM_Code],$A2,T_TTAFStock[WeekIndex],38),AL2+'Grid_Incoming'!AM2-'Grid_Requirement'!AM2))</f>
        <v/>
      </c>
      <c r="AN2">
        <f>IF(COUNTIFS(T_StockCount[RM_Code],$A2,T_StockCount[WeekIndex],39)&gt;0,SUMIFS(T_StockCount[CountedQty],T_StockCount[RM_Code],$A2,T_StockCount[WeekIndex],39),IF((COUNTIFS(T_SelfStock[RM_Code],$A2,T_SelfStock[WeekIndex],39)&gt;0)*(COUNTIFS(T_TTAFStock[RM_Code],$A2,T_TTAFStock[WeekIndex],39)&gt;0)&gt;0,SUMIFS(T_SelfStock[Self_Qty],T_SelfStock[RM_Code],$A2,T_SelfStock[WeekIndex],39)+SUMIFS(T_TTAFStock[TTAF_Qty],T_TTAFStock[RM_Code],$A2,T_TTAFStock[WeekIndex],39),AM2+'Grid_Incoming'!AN2-'Grid_Requirement'!AN2))</f>
        <v/>
      </c>
      <c r="AO2">
        <f>IF(COUNTIFS(T_StockCount[RM_Code],$A2,T_StockCount[WeekIndex],40)&gt;0,SUMIFS(T_StockCount[CountedQty],T_StockCount[RM_Code],$A2,T_StockCount[WeekIndex],40),IF((COUNTIFS(T_SelfStock[RM_Code],$A2,T_SelfStock[WeekIndex],40)&gt;0)*(COUNTIFS(T_TTAFStock[RM_Code],$A2,T_TTAFStock[WeekIndex],40)&gt;0)&gt;0,SUMIFS(T_SelfStock[Self_Qty],T_SelfStock[RM_Code],$A2,T_SelfStock[WeekIndex],40)+SUMIFS(T_TTAFStock[TTAF_Qty],T_TTAFStock[RM_Code],$A2,T_TTAFStock[WeekIndex],40),AN2+'Grid_Incoming'!AO2-'Grid_Requirement'!AO2))</f>
        <v/>
      </c>
      <c r="AP2">
        <f>IF(COUNTIFS(T_StockCount[RM_Code],$A2,T_StockCount[WeekIndex],41)&gt;0,SUMIFS(T_StockCount[CountedQty],T_StockCount[RM_Code],$A2,T_StockCount[WeekIndex],41),IF((COUNTIFS(T_SelfStock[RM_Code],$A2,T_SelfStock[WeekIndex],41)&gt;0)*(COUNTIFS(T_TTAFStock[RM_Code],$A2,T_TTAFStock[WeekIndex],41)&gt;0)&gt;0,SUMIFS(T_SelfStock[Self_Qty],T_SelfStock[RM_Code],$A2,T_SelfStock[WeekIndex],41)+SUMIFS(T_TTAFStock[TTAF_Qty],T_TTAFStock[RM_Code],$A2,T_TTAFStock[WeekIndex],41),AO2+'Grid_Incoming'!AP2-'Grid_Requirement'!AP2))</f>
        <v/>
      </c>
      <c r="AQ2">
        <f>IF(COUNTIFS(T_StockCount[RM_Code],$A2,T_StockCount[WeekIndex],42)&gt;0,SUMIFS(T_StockCount[CountedQty],T_StockCount[RM_Code],$A2,T_StockCount[WeekIndex],42),IF((COUNTIFS(T_SelfStock[RM_Code],$A2,T_SelfStock[WeekIndex],42)&gt;0)*(COUNTIFS(T_TTAFStock[RM_Code],$A2,T_TTAFStock[WeekIndex],42)&gt;0)&gt;0,SUMIFS(T_SelfStock[Self_Qty],T_SelfStock[RM_Code],$A2,T_SelfStock[WeekIndex],42)+SUMIFS(T_TTAFStock[TTAF_Qty],T_TTAFStock[RM_Code],$A2,T_TTAFStock[WeekIndex],42),AP2+'Grid_Incoming'!AQ2-'Grid_Requirement'!AQ2))</f>
        <v/>
      </c>
      <c r="AR2">
        <f>IF(COUNTIFS(T_StockCount[RM_Code],$A2,T_StockCount[WeekIndex],43)&gt;0,SUMIFS(T_StockCount[CountedQty],T_StockCount[RM_Code],$A2,T_StockCount[WeekIndex],43),IF((COUNTIFS(T_SelfStock[RM_Code],$A2,T_SelfStock[WeekIndex],43)&gt;0)*(COUNTIFS(T_TTAFStock[RM_Code],$A2,T_TTAFStock[WeekIndex],43)&gt;0)&gt;0,SUMIFS(T_SelfStock[Self_Qty],T_SelfStock[RM_Code],$A2,T_SelfStock[WeekIndex],43)+SUMIFS(T_TTAFStock[TTAF_Qty],T_TTAFStock[RM_Code],$A2,T_TTAFStock[WeekIndex],43),AQ2+'Grid_Incoming'!AR2-'Grid_Requirement'!AR2))</f>
        <v/>
      </c>
      <c r="AS2">
        <f>IF(COUNTIFS(T_StockCount[RM_Code],$A2,T_StockCount[WeekIndex],44)&gt;0,SUMIFS(T_StockCount[CountedQty],T_StockCount[RM_Code],$A2,T_StockCount[WeekIndex],44),IF((COUNTIFS(T_SelfStock[RM_Code],$A2,T_SelfStock[WeekIndex],44)&gt;0)*(COUNTIFS(T_TTAFStock[RM_Code],$A2,T_TTAFStock[WeekIndex],44)&gt;0)&gt;0,SUMIFS(T_SelfStock[Self_Qty],T_SelfStock[RM_Code],$A2,T_SelfStock[WeekIndex],44)+SUMIFS(T_TTAFStock[TTAF_Qty],T_TTAFStock[RM_Code],$A2,T_TTAFStock[WeekIndex],44),AR2+'Grid_Incoming'!AS2-'Grid_Requirement'!AS2))</f>
        <v/>
      </c>
      <c r="AT2">
        <f>IF(COUNTIFS(T_StockCount[RM_Code],$A2,T_StockCount[WeekIndex],45)&gt;0,SUMIFS(T_StockCount[CountedQty],T_StockCount[RM_Code],$A2,T_StockCount[WeekIndex],45),IF((COUNTIFS(T_SelfStock[RM_Code],$A2,T_SelfStock[WeekIndex],45)&gt;0)*(COUNTIFS(T_TTAFStock[RM_Code],$A2,T_TTAFStock[WeekIndex],45)&gt;0)&gt;0,SUMIFS(T_SelfStock[Self_Qty],T_SelfStock[RM_Code],$A2,T_SelfStock[WeekIndex],45)+SUMIFS(T_TTAFStock[TTAF_Qty],T_TTAFStock[RM_Code],$A2,T_TTAFStock[WeekIndex],45),AS2+'Grid_Incoming'!AT2-'Grid_Requirement'!AT2))</f>
        <v/>
      </c>
      <c r="AU2">
        <f>IF(COUNTIFS(T_StockCount[RM_Code],$A2,T_StockCount[WeekIndex],46)&gt;0,SUMIFS(T_StockCount[CountedQty],T_StockCount[RM_Code],$A2,T_StockCount[WeekIndex],46),IF((COUNTIFS(T_SelfStock[RM_Code],$A2,T_SelfStock[WeekIndex],46)&gt;0)*(COUNTIFS(T_TTAFStock[RM_Code],$A2,T_TTAFStock[WeekIndex],46)&gt;0)&gt;0,SUMIFS(T_SelfStock[Self_Qty],T_SelfStock[RM_Code],$A2,T_SelfStock[WeekIndex],46)+SUMIFS(T_TTAFStock[TTAF_Qty],T_TTAFStock[RM_Code],$A2,T_TTAFStock[WeekIndex],46),AT2+'Grid_Incoming'!AU2-'Grid_Requirement'!AU2))</f>
        <v/>
      </c>
      <c r="AV2">
        <f>IF(COUNTIFS(T_StockCount[RM_Code],$A2,T_StockCount[WeekIndex],47)&gt;0,SUMIFS(T_StockCount[CountedQty],T_StockCount[RM_Code],$A2,T_StockCount[WeekIndex],47),IF((COUNTIFS(T_SelfStock[RM_Code],$A2,T_SelfStock[WeekIndex],47)&gt;0)*(COUNTIFS(T_TTAFStock[RM_Code],$A2,T_TTAFStock[WeekIndex],47)&gt;0)&gt;0,SUMIFS(T_SelfStock[Self_Qty],T_SelfStock[RM_Code],$A2,T_SelfStock[WeekIndex],47)+SUMIFS(T_TTAFStock[TTAF_Qty],T_TTAFStock[RM_Code],$A2,T_TTAFStock[WeekIndex],47),AU2+'Grid_Incoming'!AV2-'Grid_Requirement'!AV2))</f>
        <v/>
      </c>
      <c r="AW2">
        <f>IF(COUNTIFS(T_StockCount[RM_Code],$A2,T_StockCount[WeekIndex],48)&gt;0,SUMIFS(T_StockCount[CountedQty],T_StockCount[RM_Code],$A2,T_StockCount[WeekIndex],48),IF((COUNTIFS(T_SelfStock[RM_Code],$A2,T_SelfStock[WeekIndex],48)&gt;0)*(COUNTIFS(T_TTAFStock[RM_Code],$A2,T_TTAFStock[WeekIndex],48)&gt;0)&gt;0,SUMIFS(T_SelfStock[Self_Qty],T_SelfStock[RM_Code],$A2,T_SelfStock[WeekIndex],48)+SUMIFS(T_TTAFStock[TTAF_Qty],T_TTAFStock[RM_Code],$A2,T_TTAFStock[WeekIndex],48),AV2+'Grid_Incoming'!AW2-'Grid_Requirement'!AW2))</f>
        <v/>
      </c>
      <c r="AX2">
        <f>IF(COUNTIFS(T_StockCount[RM_Code],$A2,T_StockCount[WeekIndex],49)&gt;0,SUMIFS(T_StockCount[CountedQty],T_StockCount[RM_Code],$A2,T_StockCount[WeekIndex],49),IF((COUNTIFS(T_SelfStock[RM_Code],$A2,T_SelfStock[WeekIndex],49)&gt;0)*(COUNTIFS(T_TTAFStock[RM_Code],$A2,T_TTAFStock[WeekIndex],49)&gt;0)&gt;0,SUMIFS(T_SelfStock[Self_Qty],T_SelfStock[RM_Code],$A2,T_SelfStock[WeekIndex],49)+SUMIFS(T_TTAFStock[TTAF_Qty],T_TTAFStock[RM_Code],$A2,T_TTAFStock[WeekIndex],49),AW2+'Grid_Incoming'!AX2-'Grid_Requirement'!AX2))</f>
        <v/>
      </c>
      <c r="AY2">
        <f>IF(COUNTIFS(T_StockCount[RM_Code],$A2,T_StockCount[WeekIndex],50)&gt;0,SUMIFS(T_StockCount[CountedQty],T_StockCount[RM_Code],$A2,T_StockCount[WeekIndex],50),IF((COUNTIFS(T_SelfStock[RM_Code],$A2,T_SelfStock[WeekIndex],50)&gt;0)*(COUNTIFS(T_TTAFStock[RM_Code],$A2,T_TTAFStock[WeekIndex],50)&gt;0)&gt;0,SUMIFS(T_SelfStock[Self_Qty],T_SelfStock[RM_Code],$A2,T_SelfStock[WeekIndex],50)+SUMIFS(T_TTAFStock[TTAF_Qty],T_TTAFStock[RM_Code],$A2,T_TTAFStock[WeekIndex],50),AX2+'Grid_Incoming'!AY2-'Grid_Requirement'!AY2))</f>
        <v/>
      </c>
      <c r="AZ2">
        <f>IF(COUNTIFS(T_StockCount[RM_Code],$A2,T_StockCount[WeekIndex],51)&gt;0,SUMIFS(T_StockCount[CountedQty],T_StockCount[RM_Code],$A2,T_StockCount[WeekIndex],51),IF((COUNTIFS(T_SelfStock[RM_Code],$A2,T_SelfStock[WeekIndex],51)&gt;0)*(COUNTIFS(T_TTAFStock[RM_Code],$A2,T_TTAFStock[WeekIndex],51)&gt;0)&gt;0,SUMIFS(T_SelfStock[Self_Qty],T_SelfStock[RM_Code],$A2,T_SelfStock[WeekIndex],51)+SUMIFS(T_TTAFStock[TTAF_Qty],T_TTAFStock[RM_Code],$A2,T_TTAFStock[WeekIndex],51),AY2+'Grid_Incoming'!AZ2-'Grid_Requirement'!AZ2))</f>
        <v/>
      </c>
      <c r="BA2">
        <f>IF(COUNTIFS(T_StockCount[RM_Code],$A2,T_StockCount[WeekIndex],52)&gt;0,SUMIFS(T_StockCount[CountedQty],T_StockCount[RM_Code],$A2,T_StockCount[WeekIndex],52),IF((COUNTIFS(T_SelfStock[RM_Code],$A2,T_SelfStock[WeekIndex],52)&gt;0)*(COUNTIFS(T_TTAFStock[RM_Code],$A2,T_TTAFStock[WeekIndex],52)&gt;0)&gt;0,SUMIFS(T_SelfStock[Self_Qty],T_SelfStock[RM_Code],$A2,T_SelfStock[WeekIndex],52)+SUMIFS(T_TTAFStock[TTAF_Qty],T_TTAFStock[RM_Code],$A2,T_TTAFStock[WeekIndex],52),AZ2+'Grid_Incoming'!BA2-'Grid_Requirement'!BA2))</f>
        <v/>
      </c>
      <c r="BB2">
        <f>IF(COUNTIFS(T_StockCount[RM_Code],$A2,T_StockCount[WeekIndex],53)&gt;0,SUMIFS(T_StockCount[CountedQty],T_StockCount[RM_Code],$A2,T_StockCount[WeekIndex],53),IF((COUNTIFS(T_SelfStock[RM_Code],$A2,T_SelfStock[WeekIndex],53)&gt;0)*(COUNTIFS(T_TTAFStock[RM_Code],$A2,T_TTAFStock[WeekIndex],53)&gt;0)&gt;0,SUMIFS(T_SelfStock[Self_Qty],T_SelfStock[RM_Code],$A2,T_SelfStock[WeekIndex],53)+SUMIFS(T_TTAFStock[TTAF_Qty],T_TTAFStock[RM_Code],$A2,T_TTAFStock[WeekIndex],53),BA2+'Grid_Incoming'!BB2-'Grid_Requirement'!BB2))</f>
        <v/>
      </c>
      <c r="BC2">
        <f>IF(COUNTIFS(T_StockCount[RM_Code],$A2,T_StockCount[WeekIndex],54)&gt;0,SUMIFS(T_StockCount[CountedQty],T_StockCount[RM_Code],$A2,T_StockCount[WeekIndex],54),IF((COUNTIFS(T_SelfStock[RM_Code],$A2,T_SelfStock[WeekIndex],54)&gt;0)*(COUNTIFS(T_TTAFStock[RM_Code],$A2,T_TTAFStock[WeekIndex],54)&gt;0)&gt;0,SUMIFS(T_SelfStock[Self_Qty],T_SelfStock[RM_Code],$A2,T_SelfStock[WeekIndex],54)+SUMIFS(T_TTAFStock[TTAF_Qty],T_TTAFStock[RM_Code],$A2,T_TTAFStock[WeekIndex],54),BB2+'Grid_Incoming'!BC2-'Grid_Requirement'!BC2))</f>
        <v/>
      </c>
      <c r="BD2">
        <f>IF(COUNTIFS(T_StockCount[RM_Code],$A2,T_StockCount[WeekIndex],55)&gt;0,SUMIFS(T_StockCount[CountedQty],T_StockCount[RM_Code],$A2,T_StockCount[WeekIndex],55),IF((COUNTIFS(T_SelfStock[RM_Code],$A2,T_SelfStock[WeekIndex],55)&gt;0)*(COUNTIFS(T_TTAFStock[RM_Code],$A2,T_TTAFStock[WeekIndex],55)&gt;0)&gt;0,SUMIFS(T_SelfStock[Self_Qty],T_SelfStock[RM_Code],$A2,T_SelfStock[WeekIndex],55)+SUMIFS(T_TTAFStock[TTAF_Qty],T_TTAFStock[RM_Code],$A2,T_TTAFStock[WeekIndex],55),BC2+'Grid_Incoming'!BD2-'Grid_Requirement'!BD2))</f>
        <v/>
      </c>
      <c r="BE2">
        <f>IF(COUNTIFS(T_StockCount[RM_Code],$A2,T_StockCount[WeekIndex],56)&gt;0,SUMIFS(T_StockCount[CountedQty],T_StockCount[RM_Code],$A2,T_StockCount[WeekIndex],56),IF((COUNTIFS(T_SelfStock[RM_Code],$A2,T_SelfStock[WeekIndex],56)&gt;0)*(COUNTIFS(T_TTAFStock[RM_Code],$A2,T_TTAFStock[WeekIndex],56)&gt;0)&gt;0,SUMIFS(T_SelfStock[Self_Qty],T_SelfStock[RM_Code],$A2,T_SelfStock[WeekIndex],56)+SUMIFS(T_TTAFStock[TTAF_Qty],T_TTAFStock[RM_Code],$A2,T_TTAFStock[WeekIndex],56),BD2+'Grid_Incoming'!BE2-'Grid_Requirement'!BE2))</f>
        <v/>
      </c>
      <c r="BF2">
        <f>IF(COUNTIFS(T_StockCount[RM_Code],$A2,T_StockCount[WeekIndex],57)&gt;0,SUMIFS(T_StockCount[CountedQty],T_StockCount[RM_Code],$A2,T_StockCount[WeekIndex],57),IF((COUNTIFS(T_SelfStock[RM_Code],$A2,T_SelfStock[WeekIndex],57)&gt;0)*(COUNTIFS(T_TTAFStock[RM_Code],$A2,T_TTAFStock[WeekIndex],57)&gt;0)&gt;0,SUMIFS(T_SelfStock[Self_Qty],T_SelfStock[RM_Code],$A2,T_SelfStock[WeekIndex],57)+SUMIFS(T_TTAFStock[TTAF_Qty],T_TTAFStock[RM_Code],$A2,T_TTAFStock[WeekIndex],57),BE2+'Grid_Incoming'!BF2-'Grid_Requirement'!BF2))</f>
        <v/>
      </c>
      <c r="BG2">
        <f>IF(COUNTIFS(T_StockCount[RM_Code],$A2,T_StockCount[WeekIndex],58)&gt;0,SUMIFS(T_StockCount[CountedQty],T_StockCount[RM_Code],$A2,T_StockCount[WeekIndex],58),IF((COUNTIFS(T_SelfStock[RM_Code],$A2,T_SelfStock[WeekIndex],58)&gt;0)*(COUNTIFS(T_TTAFStock[RM_Code],$A2,T_TTAFStock[WeekIndex],58)&gt;0)&gt;0,SUMIFS(T_SelfStock[Self_Qty],T_SelfStock[RM_Code],$A2,T_SelfStock[WeekIndex],58)+SUMIFS(T_TTAFStock[TTAF_Qty],T_TTAFStock[RM_Code],$A2,T_TTAFStock[WeekIndex],58),BF2+'Grid_Incoming'!BG2-'Grid_Requirement'!BG2))</f>
        <v/>
      </c>
      <c r="BH2">
        <f>IF(COUNTIFS(T_StockCount[RM_Code],$A2,T_StockCount[WeekIndex],59)&gt;0,SUMIFS(T_StockCount[CountedQty],T_StockCount[RM_Code],$A2,T_StockCount[WeekIndex],59),IF((COUNTIFS(T_SelfStock[RM_Code],$A2,T_SelfStock[WeekIndex],59)&gt;0)*(COUNTIFS(T_TTAFStock[RM_Code],$A2,T_TTAFStock[WeekIndex],59)&gt;0)&gt;0,SUMIFS(T_SelfStock[Self_Qty],T_SelfStock[RM_Code],$A2,T_SelfStock[WeekIndex],59)+SUMIFS(T_TTAFStock[TTAF_Qty],T_TTAFStock[RM_Code],$A2,T_TTAFStock[WeekIndex],59),BG2+'Grid_Incoming'!BH2-'Grid_Requirement'!BH2))</f>
        <v/>
      </c>
      <c r="BI2">
        <f>IF(COUNTIFS(T_StockCount[RM_Code],$A2,T_StockCount[WeekIndex],60)&gt;0,SUMIFS(T_StockCount[CountedQty],T_StockCount[RM_Code],$A2,T_StockCount[WeekIndex],60),IF((COUNTIFS(T_SelfStock[RM_Code],$A2,T_SelfStock[WeekIndex],60)&gt;0)*(COUNTIFS(T_TTAFStock[RM_Code],$A2,T_TTAFStock[WeekIndex],60)&gt;0)&gt;0,SUMIFS(T_SelfStock[Self_Qty],T_SelfStock[RM_Code],$A2,T_SelfStock[WeekIndex],60)+SUMIFS(T_TTAFStock[TTAF_Qty],T_TTAFStock[RM_Code],$A2,T_TTAFStock[WeekIndex],60),BH2+'Grid_Incoming'!BI2-'Grid_Requirement'!BI2))</f>
        <v/>
      </c>
      <c r="BJ2">
        <f>IF(COUNTIFS(T_StockCount[RM_Code],$A2,T_StockCount[WeekIndex],61)&gt;0,SUMIFS(T_StockCount[CountedQty],T_StockCount[RM_Code],$A2,T_StockCount[WeekIndex],61),IF((COUNTIFS(T_SelfStock[RM_Code],$A2,T_SelfStock[WeekIndex],61)&gt;0)*(COUNTIFS(T_TTAFStock[RM_Code],$A2,T_TTAFStock[WeekIndex],61)&gt;0)&gt;0,SUMIFS(T_SelfStock[Self_Qty],T_SelfStock[RM_Code],$A2,T_SelfStock[WeekIndex],61)+SUMIFS(T_TTAFStock[TTAF_Qty],T_TTAFStock[RM_Code],$A2,T_TTAFStock[WeekIndex],61),BI2+'Grid_Incoming'!BJ2-'Grid_Requirement'!BJ2))</f>
        <v/>
      </c>
      <c r="BK2">
        <f>IF(COUNTIFS(T_StockCount[RM_Code],$A2,T_StockCount[WeekIndex],62)&gt;0,SUMIFS(T_StockCount[CountedQty],T_StockCount[RM_Code],$A2,T_StockCount[WeekIndex],62),IF((COUNTIFS(T_SelfStock[RM_Code],$A2,T_SelfStock[WeekIndex],62)&gt;0)*(COUNTIFS(T_TTAFStock[RM_Code],$A2,T_TTAFStock[WeekIndex],62)&gt;0)&gt;0,SUMIFS(T_SelfStock[Self_Qty],T_SelfStock[RM_Code],$A2,T_SelfStock[WeekIndex],62)+SUMIFS(T_TTAFStock[TTAF_Qty],T_TTAFStock[RM_Code],$A2,T_TTAFStock[WeekIndex],62),BJ2+'Grid_Incoming'!BK2-'Grid_Requirement'!BK2))</f>
        <v/>
      </c>
      <c r="BL2">
        <f>IF(COUNTIFS(T_StockCount[RM_Code],$A2,T_StockCount[WeekIndex],63)&gt;0,SUMIFS(T_StockCount[CountedQty],T_StockCount[RM_Code],$A2,T_StockCount[WeekIndex],63),IF((COUNTIFS(T_SelfStock[RM_Code],$A2,T_SelfStock[WeekIndex],63)&gt;0)*(COUNTIFS(T_TTAFStock[RM_Code],$A2,T_TTAFStock[WeekIndex],63)&gt;0)&gt;0,SUMIFS(T_SelfStock[Self_Qty],T_SelfStock[RM_Code],$A2,T_SelfStock[WeekIndex],63)+SUMIFS(T_TTAFStock[TTAF_Qty],T_TTAFStock[RM_Code],$A2,T_TTAFStock[WeekIndex],63),BK2+'Grid_Incoming'!BL2-'Grid_Requirement'!BL2))</f>
        <v/>
      </c>
      <c r="BM2">
        <f>IF(COUNTIFS(T_StockCount[RM_Code],$A2,T_StockCount[WeekIndex],64)&gt;0,SUMIFS(T_StockCount[CountedQty],T_StockCount[RM_Code],$A2,T_StockCount[WeekIndex],64),IF((COUNTIFS(T_SelfStock[RM_Code],$A2,T_SelfStock[WeekIndex],64)&gt;0)*(COUNTIFS(T_TTAFStock[RM_Code],$A2,T_TTAFStock[WeekIndex],64)&gt;0)&gt;0,SUMIFS(T_SelfStock[Self_Qty],T_SelfStock[RM_Code],$A2,T_SelfStock[WeekIndex],64)+SUMIFS(T_TTAFStock[TTAF_Qty],T_TTAFStock[RM_Code],$A2,T_TTAFStock[WeekIndex],64),BL2+'Grid_Incoming'!BM2-'Grid_Requirement'!BM2))</f>
        <v/>
      </c>
      <c r="BN2">
        <f>IF(COUNTIFS(T_StockCount[RM_Code],$A2,T_StockCount[WeekIndex],65)&gt;0,SUMIFS(T_StockCount[CountedQty],T_StockCount[RM_Code],$A2,T_StockCount[WeekIndex],65),IF((COUNTIFS(T_SelfStock[RM_Code],$A2,T_SelfStock[WeekIndex],65)&gt;0)*(COUNTIFS(T_TTAFStock[RM_Code],$A2,T_TTAFStock[WeekIndex],65)&gt;0)&gt;0,SUMIFS(T_SelfStock[Self_Qty],T_SelfStock[RM_Code],$A2,T_SelfStock[WeekIndex],65)+SUMIFS(T_TTAFStock[TTAF_Qty],T_TTAFStock[RM_Code],$A2,T_TTAFStock[WeekIndex],65),BM2+'Grid_Incoming'!BN2-'Grid_Requirement'!BN2))</f>
        <v/>
      </c>
      <c r="BO2">
        <f>IF(COUNTIFS(T_StockCount[RM_Code],$A2,T_StockCount[WeekIndex],66)&gt;0,SUMIFS(T_StockCount[CountedQty],T_StockCount[RM_Code],$A2,T_StockCount[WeekIndex],66),IF((COUNTIFS(T_SelfStock[RM_Code],$A2,T_SelfStock[WeekIndex],66)&gt;0)*(COUNTIFS(T_TTAFStock[RM_Code],$A2,T_TTAFStock[WeekIndex],66)&gt;0)&gt;0,SUMIFS(T_SelfStock[Self_Qty],T_SelfStock[RM_Code],$A2,T_SelfStock[WeekIndex],66)+SUMIFS(T_TTAFStock[TTAF_Qty],T_TTAFStock[RM_Code],$A2,T_TTAFStock[WeekIndex],66),BN2+'Grid_Incoming'!BO2-'Grid_Requirement'!BO2))</f>
        <v/>
      </c>
      <c r="BP2">
        <f>IF(COUNTIFS(T_StockCount[RM_Code],$A2,T_StockCount[WeekIndex],67)&gt;0,SUMIFS(T_StockCount[CountedQty],T_StockCount[RM_Code],$A2,T_StockCount[WeekIndex],67),IF((COUNTIFS(T_SelfStock[RM_Code],$A2,T_SelfStock[WeekIndex],67)&gt;0)*(COUNTIFS(T_TTAFStock[RM_Code],$A2,T_TTAFStock[WeekIndex],67)&gt;0)&gt;0,SUMIFS(T_SelfStock[Self_Qty],T_SelfStock[RM_Code],$A2,T_SelfStock[WeekIndex],67)+SUMIFS(T_TTAFStock[TTAF_Qty],T_TTAFStock[RM_Code],$A2,T_TTAFStock[WeekIndex],67),BO2+'Grid_Incoming'!BP2-'Grid_Requirement'!BP2))</f>
        <v/>
      </c>
      <c r="BQ2">
        <f>IF(COUNTIFS(T_StockCount[RM_Code],$A2,T_StockCount[WeekIndex],68)&gt;0,SUMIFS(T_StockCount[CountedQty],T_StockCount[RM_Code],$A2,T_StockCount[WeekIndex],68),IF((COUNTIFS(T_SelfStock[RM_Code],$A2,T_SelfStock[WeekIndex],68)&gt;0)*(COUNTIFS(T_TTAFStock[RM_Code],$A2,T_TTAFStock[WeekIndex],68)&gt;0)&gt;0,SUMIFS(T_SelfStock[Self_Qty],T_SelfStock[RM_Code],$A2,T_SelfStock[WeekIndex],68)+SUMIFS(T_TTAFStock[TTAF_Qty],T_TTAFStock[RM_Code],$A2,T_TTAFStock[WeekIndex],68),BP2+'Grid_Incoming'!BQ2-'Grid_Requirement'!BQ2))</f>
        <v/>
      </c>
      <c r="BR2">
        <f>IF(COUNTIFS(T_StockCount[RM_Code],$A2,T_StockCount[WeekIndex],69)&gt;0,SUMIFS(T_StockCount[CountedQty],T_StockCount[RM_Code],$A2,T_StockCount[WeekIndex],69),IF((COUNTIFS(T_SelfStock[RM_Code],$A2,T_SelfStock[WeekIndex],69)&gt;0)*(COUNTIFS(T_TTAFStock[RM_Code],$A2,T_TTAFStock[WeekIndex],69)&gt;0)&gt;0,SUMIFS(T_SelfStock[Self_Qty],T_SelfStock[RM_Code],$A2,T_SelfStock[WeekIndex],69)+SUMIFS(T_TTAFStock[TTAF_Qty],T_TTAFStock[RM_Code],$A2,T_TTAFStock[WeekIndex],69),BQ2+'Grid_Incoming'!BR2-'Grid_Requirement'!BR2))</f>
        <v/>
      </c>
      <c r="BS2">
        <f>IF(COUNTIFS(T_StockCount[RM_Code],$A2,T_StockCount[WeekIndex],70)&gt;0,SUMIFS(T_StockCount[CountedQty],T_StockCount[RM_Code],$A2,T_StockCount[WeekIndex],70),IF((COUNTIFS(T_SelfStock[RM_Code],$A2,T_SelfStock[WeekIndex],70)&gt;0)*(COUNTIFS(T_TTAFStock[RM_Code],$A2,T_TTAFStock[WeekIndex],70)&gt;0)&gt;0,SUMIFS(T_SelfStock[Self_Qty],T_SelfStock[RM_Code],$A2,T_SelfStock[WeekIndex],70)+SUMIFS(T_TTAFStock[TTAF_Qty],T_TTAFStock[RM_Code],$A2,T_TTAFStock[WeekIndex],70),BR2+'Grid_Incoming'!BS2-'Grid_Requirement'!BS2))</f>
        <v/>
      </c>
      <c r="BT2">
        <f>IF(COUNTIFS(T_StockCount[RM_Code],$A2,T_StockCount[WeekIndex],71)&gt;0,SUMIFS(T_StockCount[CountedQty],T_StockCount[RM_Code],$A2,T_StockCount[WeekIndex],71),IF((COUNTIFS(T_SelfStock[RM_Code],$A2,T_SelfStock[WeekIndex],71)&gt;0)*(COUNTIFS(T_TTAFStock[RM_Code],$A2,T_TTAFStock[WeekIndex],71)&gt;0)&gt;0,SUMIFS(T_SelfStock[Self_Qty],T_SelfStock[RM_Code],$A2,T_SelfStock[WeekIndex],71)+SUMIFS(T_TTAFStock[TTAF_Qty],T_TTAFStock[RM_Code],$A2,T_TTAFStock[WeekIndex],71),BS2+'Grid_Incoming'!BT2-'Grid_Requirement'!BT2))</f>
        <v/>
      </c>
      <c r="BU2">
        <f>IF(COUNTIFS(T_StockCount[RM_Code],$A2,T_StockCount[WeekIndex],72)&gt;0,SUMIFS(T_StockCount[CountedQty],T_StockCount[RM_Code],$A2,T_StockCount[WeekIndex],72),IF((COUNTIFS(T_SelfStock[RM_Code],$A2,T_SelfStock[WeekIndex],72)&gt;0)*(COUNTIFS(T_TTAFStock[RM_Code],$A2,T_TTAFStock[WeekIndex],72)&gt;0)&gt;0,SUMIFS(T_SelfStock[Self_Qty],T_SelfStock[RM_Code],$A2,T_SelfStock[WeekIndex],72)+SUMIFS(T_TTAFStock[TTAF_Qty],T_TTAFStock[RM_Code],$A2,T_TTAFStock[WeekIndex],72),BT2+'Grid_Incoming'!BU2-'Grid_Requirement'!BU2))</f>
        <v/>
      </c>
      <c r="BV2">
        <f>IF(COUNTIFS(T_StockCount[RM_Code],$A2,T_StockCount[WeekIndex],73)&gt;0,SUMIFS(T_StockCount[CountedQty],T_StockCount[RM_Code],$A2,T_StockCount[WeekIndex],73),IF((COUNTIFS(T_SelfStock[RM_Code],$A2,T_SelfStock[WeekIndex],73)&gt;0)*(COUNTIFS(T_TTAFStock[RM_Code],$A2,T_TTAFStock[WeekIndex],73)&gt;0)&gt;0,SUMIFS(T_SelfStock[Self_Qty],T_SelfStock[RM_Code],$A2,T_SelfStock[WeekIndex],73)+SUMIFS(T_TTAFStock[TTAF_Qty],T_TTAFStock[RM_Code],$A2,T_TTAFStock[WeekIndex],73),BU2+'Grid_Incoming'!BV2-'Grid_Requirement'!BV2))</f>
        <v/>
      </c>
      <c r="BW2">
        <f>IF(COUNTIFS(T_StockCount[RM_Code],$A2,T_StockCount[WeekIndex],74)&gt;0,SUMIFS(T_StockCount[CountedQty],T_StockCount[RM_Code],$A2,T_StockCount[WeekIndex],74),IF((COUNTIFS(T_SelfStock[RM_Code],$A2,T_SelfStock[WeekIndex],74)&gt;0)*(COUNTIFS(T_TTAFStock[RM_Code],$A2,T_TTAFStock[WeekIndex],74)&gt;0)&gt;0,SUMIFS(T_SelfStock[Self_Qty],T_SelfStock[RM_Code],$A2,T_SelfStock[WeekIndex],74)+SUMIFS(T_TTAFStock[TTAF_Qty],T_TTAFStock[RM_Code],$A2,T_TTAFStock[WeekIndex],74),BV2+'Grid_Incoming'!BW2-'Grid_Requirement'!BW2))</f>
        <v/>
      </c>
      <c r="BX2">
        <f>IF(COUNTIFS(T_StockCount[RM_Code],$A2,T_StockCount[WeekIndex],75)&gt;0,SUMIFS(T_StockCount[CountedQty],T_StockCount[RM_Code],$A2,T_StockCount[WeekIndex],75),IF((COUNTIFS(T_SelfStock[RM_Code],$A2,T_SelfStock[WeekIndex],75)&gt;0)*(COUNTIFS(T_TTAFStock[RM_Code],$A2,T_TTAFStock[WeekIndex],75)&gt;0)&gt;0,SUMIFS(T_SelfStock[Self_Qty],T_SelfStock[RM_Code],$A2,T_SelfStock[WeekIndex],75)+SUMIFS(T_TTAFStock[TTAF_Qty],T_TTAFStock[RM_Code],$A2,T_TTAFStock[WeekIndex],75),BW2+'Grid_Incoming'!BX2-'Grid_Requirement'!BX2))</f>
        <v/>
      </c>
      <c r="BY2">
        <f>IF(COUNTIFS(T_StockCount[RM_Code],$A2,T_StockCount[WeekIndex],76)&gt;0,SUMIFS(T_StockCount[CountedQty],T_StockCount[RM_Code],$A2,T_StockCount[WeekIndex],76),IF((COUNTIFS(T_SelfStock[RM_Code],$A2,T_SelfStock[WeekIndex],76)&gt;0)*(COUNTIFS(T_TTAFStock[RM_Code],$A2,T_TTAFStock[WeekIndex],76)&gt;0)&gt;0,SUMIFS(T_SelfStock[Self_Qty],T_SelfStock[RM_Code],$A2,T_SelfStock[WeekIndex],76)+SUMIFS(T_TTAFStock[TTAF_Qty],T_TTAFStock[RM_Code],$A2,T_TTAFStock[WeekIndex],76),BX2+'Grid_Incoming'!BY2-'Grid_Requirement'!BY2))</f>
        <v/>
      </c>
      <c r="BZ2">
        <f>IF(COUNTIFS(T_StockCount[RM_Code],$A2,T_StockCount[WeekIndex],77)&gt;0,SUMIFS(T_StockCount[CountedQty],T_StockCount[RM_Code],$A2,T_StockCount[WeekIndex],77),IF((COUNTIFS(T_SelfStock[RM_Code],$A2,T_SelfStock[WeekIndex],77)&gt;0)*(COUNTIFS(T_TTAFStock[RM_Code],$A2,T_TTAFStock[WeekIndex],77)&gt;0)&gt;0,SUMIFS(T_SelfStock[Self_Qty],T_SelfStock[RM_Code],$A2,T_SelfStock[WeekIndex],77)+SUMIFS(T_TTAFStock[TTAF_Qty],T_TTAFStock[RM_Code],$A2,T_TTAFStock[WeekIndex],77),BY2+'Grid_Incoming'!BZ2-'Grid_Requirement'!BZ2))</f>
        <v/>
      </c>
      <c r="CA2">
        <f>IF(COUNTIFS(T_StockCount[RM_Code],$A2,T_StockCount[WeekIndex],78)&gt;0,SUMIFS(T_StockCount[CountedQty],T_StockCount[RM_Code],$A2,T_StockCount[WeekIndex],78),IF((COUNTIFS(T_SelfStock[RM_Code],$A2,T_SelfStock[WeekIndex],78)&gt;0)*(COUNTIFS(T_TTAFStock[RM_Code],$A2,T_TTAFStock[WeekIndex],78)&gt;0)&gt;0,SUMIFS(T_SelfStock[Self_Qty],T_SelfStock[RM_Code],$A2,T_SelfStock[WeekIndex],78)+SUMIFS(T_TTAFStock[TTAF_Qty],T_TTAFStock[RM_Code],$A2,T_TTAFStock[WeekIndex],78),BZ2+'Grid_Incoming'!CA2-'Grid_Requirement'!CA2))</f>
        <v/>
      </c>
      <c r="CB2">
        <f>IF(COUNTIFS(T_StockCount[RM_Code],$A2,T_StockCount[WeekIndex],79)&gt;0,SUMIFS(T_StockCount[CountedQty],T_StockCount[RM_Code],$A2,T_StockCount[WeekIndex],79),IF((COUNTIFS(T_SelfStock[RM_Code],$A2,T_SelfStock[WeekIndex],79)&gt;0)*(COUNTIFS(T_TTAFStock[RM_Code],$A2,T_TTAFStock[WeekIndex],79)&gt;0)&gt;0,SUMIFS(T_SelfStock[Self_Qty],T_SelfStock[RM_Code],$A2,T_SelfStock[WeekIndex],79)+SUMIFS(T_TTAFStock[TTAF_Qty],T_TTAFStock[RM_Code],$A2,T_TTAFStock[WeekIndex],79),CA2+'Grid_Incoming'!CB2-'Grid_Requirement'!CB2))</f>
        <v/>
      </c>
      <c r="CC2">
        <f>IF(COUNTIFS(T_StockCount[RM_Code],$A2,T_StockCount[WeekIndex],80)&gt;0,SUMIFS(T_StockCount[CountedQty],T_StockCount[RM_Code],$A2,T_StockCount[WeekIndex],80),IF((COUNTIFS(T_SelfStock[RM_Code],$A2,T_SelfStock[WeekIndex],80)&gt;0)*(COUNTIFS(T_TTAFStock[RM_Code],$A2,T_TTAFStock[WeekIndex],80)&gt;0)&gt;0,SUMIFS(T_SelfStock[Self_Qty],T_SelfStock[RM_Code],$A2,T_SelfStock[WeekIndex],80)+SUMIFS(T_TTAFStock[TTAF_Qty],T_TTAFStock[RM_Code],$A2,T_TTAFStock[WeekIndex],80),CB2+'Grid_Incoming'!CC2-'Grid_Requirement'!CC2))</f>
        <v/>
      </c>
      <c r="CD2">
        <f>IF(COUNTIFS(T_StockCount[RM_Code],$A2,T_StockCount[WeekIndex],81)&gt;0,SUMIFS(T_StockCount[CountedQty],T_StockCount[RM_Code],$A2,T_StockCount[WeekIndex],81),IF((COUNTIFS(T_SelfStock[RM_Code],$A2,T_SelfStock[WeekIndex],81)&gt;0)*(COUNTIFS(T_TTAFStock[RM_Code],$A2,T_TTAFStock[WeekIndex],81)&gt;0)&gt;0,SUMIFS(T_SelfStock[Self_Qty],T_SelfStock[RM_Code],$A2,T_SelfStock[WeekIndex],81)+SUMIFS(T_TTAFStock[TTAF_Qty],T_TTAFStock[RM_Code],$A2,T_TTAFStock[WeekIndex],81),CC2+'Grid_Incoming'!CD2-'Grid_Requirement'!CD2))</f>
        <v/>
      </c>
      <c r="CE2">
        <f>IF(COUNTIFS(T_StockCount[RM_Code],$A2,T_StockCount[WeekIndex],82)&gt;0,SUMIFS(T_StockCount[CountedQty],T_StockCount[RM_Code],$A2,T_StockCount[WeekIndex],82),IF((COUNTIFS(T_SelfStock[RM_Code],$A2,T_SelfStock[WeekIndex],82)&gt;0)*(COUNTIFS(T_TTAFStock[RM_Code],$A2,T_TTAFStock[WeekIndex],82)&gt;0)&gt;0,SUMIFS(T_SelfStock[Self_Qty],T_SelfStock[RM_Code],$A2,T_SelfStock[WeekIndex],82)+SUMIFS(T_TTAFStock[TTAF_Qty],T_TTAFStock[RM_Code],$A2,T_TTAFStock[WeekIndex],82),CD2+'Grid_Incoming'!CE2-'Grid_Requirement'!CE2))</f>
        <v/>
      </c>
      <c r="CF2">
        <f>IF(COUNTIFS(T_StockCount[RM_Code],$A2,T_StockCount[WeekIndex],83)&gt;0,SUMIFS(T_StockCount[CountedQty],T_StockCount[RM_Code],$A2,T_StockCount[WeekIndex],83),IF((COUNTIFS(T_SelfStock[RM_Code],$A2,T_SelfStock[WeekIndex],83)&gt;0)*(COUNTIFS(T_TTAFStock[RM_Code],$A2,T_TTAFStock[WeekIndex],83)&gt;0)&gt;0,SUMIFS(T_SelfStock[Self_Qty],T_SelfStock[RM_Code],$A2,T_SelfStock[WeekIndex],83)+SUMIFS(T_TTAFStock[TTAF_Qty],T_TTAFStock[RM_Code],$A2,T_TTAFStock[WeekIndex],83),CE2+'Grid_Incoming'!CF2-'Grid_Requirement'!CF2))</f>
        <v/>
      </c>
      <c r="CG2">
        <f>IF(COUNTIFS(T_StockCount[RM_Code],$A2,T_StockCount[WeekIndex],84)&gt;0,SUMIFS(T_StockCount[CountedQty],T_StockCount[RM_Code],$A2,T_StockCount[WeekIndex],84),IF((COUNTIFS(T_SelfStock[RM_Code],$A2,T_SelfStock[WeekIndex],84)&gt;0)*(COUNTIFS(T_TTAFStock[RM_Code],$A2,T_TTAFStock[WeekIndex],84)&gt;0)&gt;0,SUMIFS(T_SelfStock[Self_Qty],T_SelfStock[RM_Code],$A2,T_SelfStock[WeekIndex],84)+SUMIFS(T_TTAFStock[TTAF_Qty],T_TTAFStock[RM_Code],$A2,T_TTAFStock[WeekIndex],84),CF2+'Grid_Incoming'!CG2-'Grid_Requirement'!CG2))</f>
        <v/>
      </c>
      <c r="CH2">
        <f>IF(COUNTIFS(T_StockCount[RM_Code],$A2,T_StockCount[WeekIndex],85)&gt;0,SUMIFS(T_StockCount[CountedQty],T_StockCount[RM_Code],$A2,T_StockCount[WeekIndex],85),IF((COUNTIFS(T_SelfStock[RM_Code],$A2,T_SelfStock[WeekIndex],85)&gt;0)*(COUNTIFS(T_TTAFStock[RM_Code],$A2,T_TTAFStock[WeekIndex],85)&gt;0)&gt;0,SUMIFS(T_SelfStock[Self_Qty],T_SelfStock[RM_Code],$A2,T_SelfStock[WeekIndex],85)+SUMIFS(T_TTAFStock[TTAF_Qty],T_TTAFStock[RM_Code],$A2,T_TTAFStock[WeekIndex],85),CG2+'Grid_Incoming'!CH2-'Grid_Requirement'!CH2))</f>
        <v/>
      </c>
      <c r="CI2">
        <f>IF(COUNTIFS(T_StockCount[RM_Code],$A2,T_StockCount[WeekIndex],86)&gt;0,SUMIFS(T_StockCount[CountedQty],T_StockCount[RM_Code],$A2,T_StockCount[WeekIndex],86),IF((COUNTIFS(T_SelfStock[RM_Code],$A2,T_SelfStock[WeekIndex],86)&gt;0)*(COUNTIFS(T_TTAFStock[RM_Code],$A2,T_TTAFStock[WeekIndex],86)&gt;0)&gt;0,SUMIFS(T_SelfStock[Self_Qty],T_SelfStock[RM_Code],$A2,T_SelfStock[WeekIndex],86)+SUMIFS(T_TTAFStock[TTAF_Qty],T_TTAFStock[RM_Code],$A2,T_TTAFStock[WeekIndex],86),CH2+'Grid_Incoming'!CI2-'Grid_Requirement'!CI2))</f>
        <v/>
      </c>
      <c r="CJ2">
        <f>IF(COUNTIFS(T_StockCount[RM_Code],$A2,T_StockCount[WeekIndex],87)&gt;0,SUMIFS(T_StockCount[CountedQty],T_StockCount[RM_Code],$A2,T_StockCount[WeekIndex],87),IF((COUNTIFS(T_SelfStock[RM_Code],$A2,T_SelfStock[WeekIndex],87)&gt;0)*(COUNTIFS(T_TTAFStock[RM_Code],$A2,T_TTAFStock[WeekIndex],87)&gt;0)&gt;0,SUMIFS(T_SelfStock[Self_Qty],T_SelfStock[RM_Code],$A2,T_SelfStock[WeekIndex],87)+SUMIFS(T_TTAFStock[TTAF_Qty],T_TTAFStock[RM_Code],$A2,T_TTAFStock[WeekIndex],87),CI2+'Grid_Incoming'!CJ2-'Grid_Requirement'!CJ2))</f>
        <v/>
      </c>
      <c r="CK2">
        <f>IF(COUNTIFS(T_StockCount[RM_Code],$A2,T_StockCount[WeekIndex],88)&gt;0,SUMIFS(T_StockCount[CountedQty],T_StockCount[RM_Code],$A2,T_StockCount[WeekIndex],88),IF((COUNTIFS(T_SelfStock[RM_Code],$A2,T_SelfStock[WeekIndex],88)&gt;0)*(COUNTIFS(T_TTAFStock[RM_Code],$A2,T_TTAFStock[WeekIndex],88)&gt;0)&gt;0,SUMIFS(T_SelfStock[Self_Qty],T_SelfStock[RM_Code],$A2,T_SelfStock[WeekIndex],88)+SUMIFS(T_TTAFStock[TTAF_Qty],T_TTAFStock[RM_Code],$A2,T_TTAFStock[WeekIndex],88),CJ2+'Grid_Incoming'!CK2-'Grid_Requirement'!CK2))</f>
        <v/>
      </c>
      <c r="CL2">
        <f>IF(COUNTIFS(T_StockCount[RM_Code],$A2,T_StockCount[WeekIndex],89)&gt;0,SUMIFS(T_StockCount[CountedQty],T_StockCount[RM_Code],$A2,T_StockCount[WeekIndex],89),IF((COUNTIFS(T_SelfStock[RM_Code],$A2,T_SelfStock[WeekIndex],89)&gt;0)*(COUNTIFS(T_TTAFStock[RM_Code],$A2,T_TTAFStock[WeekIndex],89)&gt;0)&gt;0,SUMIFS(T_SelfStock[Self_Qty],T_SelfStock[RM_Code],$A2,T_SelfStock[WeekIndex],89)+SUMIFS(T_TTAFStock[TTAF_Qty],T_TTAFStock[RM_Code],$A2,T_TTAFStock[WeekIndex],89),CK2+'Grid_Incoming'!CL2-'Grid_Requirement'!CL2))</f>
        <v/>
      </c>
      <c r="CM2">
        <f>IF(COUNTIFS(T_StockCount[RM_Code],$A2,T_StockCount[WeekIndex],90)&gt;0,SUMIFS(T_StockCount[CountedQty],T_StockCount[RM_Code],$A2,T_StockCount[WeekIndex],90),IF((COUNTIFS(T_SelfStock[RM_Code],$A2,T_SelfStock[WeekIndex],90)&gt;0)*(COUNTIFS(T_TTAFStock[RM_Code],$A2,T_TTAFStock[WeekIndex],90)&gt;0)&gt;0,SUMIFS(T_SelfStock[Self_Qty],T_SelfStock[RM_Code],$A2,T_SelfStock[WeekIndex],90)+SUMIFS(T_TTAFStock[TTAF_Qty],T_TTAFStock[RM_Code],$A2,T_TTAFStock[WeekIndex],90),CL2+'Grid_Incoming'!CM2-'Grid_Requirement'!CM2))</f>
        <v/>
      </c>
      <c r="CN2">
        <f>IF(COUNTIFS(T_StockCount[RM_Code],$A2,T_StockCount[WeekIndex],91)&gt;0,SUMIFS(T_StockCount[CountedQty],T_StockCount[RM_Code],$A2,T_StockCount[WeekIndex],91),IF((COUNTIFS(T_SelfStock[RM_Code],$A2,T_SelfStock[WeekIndex],91)&gt;0)*(COUNTIFS(T_TTAFStock[RM_Code],$A2,T_TTAFStock[WeekIndex],91)&gt;0)&gt;0,SUMIFS(T_SelfStock[Self_Qty],T_SelfStock[RM_Code],$A2,T_SelfStock[WeekIndex],91)+SUMIFS(T_TTAFStock[TTAF_Qty],T_TTAFStock[RM_Code],$A2,T_TTAFStock[WeekIndex],91),CM2+'Grid_Incoming'!CN2-'Grid_Requirement'!CN2))</f>
        <v/>
      </c>
      <c r="CO2">
        <f>IF(COUNTIFS(T_StockCount[RM_Code],$A2,T_StockCount[WeekIndex],92)&gt;0,SUMIFS(T_StockCount[CountedQty],T_StockCount[RM_Code],$A2,T_StockCount[WeekIndex],92),IF((COUNTIFS(T_SelfStock[RM_Code],$A2,T_SelfStock[WeekIndex],92)&gt;0)*(COUNTIFS(T_TTAFStock[RM_Code],$A2,T_TTAFStock[WeekIndex],92)&gt;0)&gt;0,SUMIFS(T_SelfStock[Self_Qty],T_SelfStock[RM_Code],$A2,T_SelfStock[WeekIndex],92)+SUMIFS(T_TTAFStock[TTAF_Qty],T_TTAFStock[RM_Code],$A2,T_TTAFStock[WeekIndex],92),CN2+'Grid_Incoming'!CO2-'Grid_Requirement'!CO2))</f>
        <v/>
      </c>
      <c r="CP2">
        <f>IF(COUNTIFS(T_StockCount[RM_Code],$A2,T_StockCount[WeekIndex],93)&gt;0,SUMIFS(T_StockCount[CountedQty],T_StockCount[RM_Code],$A2,T_StockCount[WeekIndex],93),IF((COUNTIFS(T_SelfStock[RM_Code],$A2,T_SelfStock[WeekIndex],93)&gt;0)*(COUNTIFS(T_TTAFStock[RM_Code],$A2,T_TTAFStock[WeekIndex],93)&gt;0)&gt;0,SUMIFS(T_SelfStock[Self_Qty],T_SelfStock[RM_Code],$A2,T_SelfStock[WeekIndex],93)+SUMIFS(T_TTAFStock[TTAF_Qty],T_TTAFStock[RM_Code],$A2,T_TTAFStock[WeekIndex],93),CO2+'Grid_Incoming'!CP2-'Grid_Requirement'!CP2))</f>
        <v/>
      </c>
      <c r="CQ2">
        <f>IF(COUNTIFS(T_StockCount[RM_Code],$A2,T_StockCount[WeekIndex],94)&gt;0,SUMIFS(T_StockCount[CountedQty],T_StockCount[RM_Code],$A2,T_StockCount[WeekIndex],94),IF((COUNTIFS(T_SelfStock[RM_Code],$A2,T_SelfStock[WeekIndex],94)&gt;0)*(COUNTIFS(T_TTAFStock[RM_Code],$A2,T_TTAFStock[WeekIndex],94)&gt;0)&gt;0,SUMIFS(T_SelfStock[Self_Qty],T_SelfStock[RM_Code],$A2,T_SelfStock[WeekIndex],94)+SUMIFS(T_TTAFStock[TTAF_Qty],T_TTAFStock[RM_Code],$A2,T_TTAFStock[WeekIndex],94),CP2+'Grid_Incoming'!CQ2-'Grid_Requirement'!CQ2))</f>
        <v/>
      </c>
      <c r="CR2">
        <f>IF(COUNTIFS(T_StockCount[RM_Code],$A2,T_StockCount[WeekIndex],95)&gt;0,SUMIFS(T_StockCount[CountedQty],T_StockCount[RM_Code],$A2,T_StockCount[WeekIndex],95),IF((COUNTIFS(T_SelfStock[RM_Code],$A2,T_SelfStock[WeekIndex],95)&gt;0)*(COUNTIFS(T_TTAFStock[RM_Code],$A2,T_TTAFStock[WeekIndex],95)&gt;0)&gt;0,SUMIFS(T_SelfStock[Self_Qty],T_SelfStock[RM_Code],$A2,T_SelfStock[WeekIndex],95)+SUMIFS(T_TTAFStock[TTAF_Qty],T_TTAFStock[RM_Code],$A2,T_TTAFStock[WeekIndex],95),CQ2+'Grid_Incoming'!CR2-'Grid_Requirement'!CR2))</f>
        <v/>
      </c>
      <c r="CS2">
        <f>IF(COUNTIFS(T_StockCount[RM_Code],$A2,T_StockCount[WeekIndex],96)&gt;0,SUMIFS(T_StockCount[CountedQty],T_StockCount[RM_Code],$A2,T_StockCount[WeekIndex],96),IF((COUNTIFS(T_SelfStock[RM_Code],$A2,T_SelfStock[WeekIndex],96)&gt;0)*(COUNTIFS(T_TTAFStock[RM_Code],$A2,T_TTAFStock[WeekIndex],96)&gt;0)&gt;0,SUMIFS(T_SelfStock[Self_Qty],T_SelfStock[RM_Code],$A2,T_SelfStock[WeekIndex],96)+SUMIFS(T_TTAFStock[TTAF_Qty],T_TTAFStock[RM_Code],$A2,T_TTAFStock[WeekIndex],96),CR2+'Grid_Incoming'!CS2-'Grid_Requirement'!CS2))</f>
        <v/>
      </c>
      <c r="CT2">
        <f>IF(COUNTIFS(T_StockCount[RM_Code],$A2,T_StockCount[WeekIndex],97)&gt;0,SUMIFS(T_StockCount[CountedQty],T_StockCount[RM_Code],$A2,T_StockCount[WeekIndex],97),IF((COUNTIFS(T_SelfStock[RM_Code],$A2,T_SelfStock[WeekIndex],97)&gt;0)*(COUNTIFS(T_TTAFStock[RM_Code],$A2,T_TTAFStock[WeekIndex],97)&gt;0)&gt;0,SUMIFS(T_SelfStock[Self_Qty],T_SelfStock[RM_Code],$A2,T_SelfStock[WeekIndex],97)+SUMIFS(T_TTAFStock[TTAF_Qty],T_TTAFStock[RM_Code],$A2,T_TTAFStock[WeekIndex],97),CS2+'Grid_Incoming'!CT2-'Grid_Requirement'!CT2))</f>
        <v/>
      </c>
      <c r="CU2">
        <f>IF(COUNTIFS(T_StockCount[RM_Code],$A2,T_StockCount[WeekIndex],98)&gt;0,SUMIFS(T_StockCount[CountedQty],T_StockCount[RM_Code],$A2,T_StockCount[WeekIndex],98),IF((COUNTIFS(T_SelfStock[RM_Code],$A2,T_SelfStock[WeekIndex],98)&gt;0)*(COUNTIFS(T_TTAFStock[RM_Code],$A2,T_TTAFStock[WeekIndex],98)&gt;0)&gt;0,SUMIFS(T_SelfStock[Self_Qty],T_SelfStock[RM_Code],$A2,T_SelfStock[WeekIndex],98)+SUMIFS(T_TTAFStock[TTAF_Qty],T_TTAFStock[RM_Code],$A2,T_TTAFStock[WeekIndex],98),CT2+'Grid_Incoming'!CU2-'Grid_Requirement'!CU2))</f>
        <v/>
      </c>
      <c r="CV2">
        <f>IF(COUNTIFS(T_StockCount[RM_Code],$A2,T_StockCount[WeekIndex],99)&gt;0,SUMIFS(T_StockCount[CountedQty],T_StockCount[RM_Code],$A2,T_StockCount[WeekIndex],99),IF((COUNTIFS(T_SelfStock[RM_Code],$A2,T_SelfStock[WeekIndex],99)&gt;0)*(COUNTIFS(T_TTAFStock[RM_Code],$A2,T_TTAFStock[WeekIndex],99)&gt;0)&gt;0,SUMIFS(T_SelfStock[Self_Qty],T_SelfStock[RM_Code],$A2,T_SelfStock[WeekIndex],99)+SUMIFS(T_TTAFStock[TTAF_Qty],T_TTAFStock[RM_Code],$A2,T_TTAFStock[WeekIndex],99),CU2+'Grid_Incoming'!CV2-'Grid_Requirement'!CV2))</f>
        <v/>
      </c>
      <c r="CW2">
        <f>IF(COUNTIFS(T_StockCount[RM_Code],$A2,T_StockCount[WeekIndex],100)&gt;0,SUMIFS(T_StockCount[CountedQty],T_StockCount[RM_Code],$A2,T_StockCount[WeekIndex],100),IF((COUNTIFS(T_SelfStock[RM_Code],$A2,T_SelfStock[WeekIndex],100)&gt;0)*(COUNTIFS(T_TTAFStock[RM_Code],$A2,T_TTAFStock[WeekIndex],100)&gt;0)&gt;0,SUMIFS(T_SelfStock[Self_Qty],T_SelfStock[RM_Code],$A2,T_SelfStock[WeekIndex],100)+SUMIFS(T_TTAFStock[TTAF_Qty],T_TTAFStock[RM_Code],$A2,T_TTAFStock[WeekIndex],100),CV2+'Grid_Incoming'!CW2-'Grid_Requirement'!CW2))</f>
        <v/>
      </c>
      <c r="CX2">
        <f>IF(COUNTIFS(T_StockCount[RM_Code],$A2,T_StockCount[WeekIndex],101)&gt;0,SUMIFS(T_StockCount[CountedQty],T_StockCount[RM_Code],$A2,T_StockCount[WeekIndex],101),IF((COUNTIFS(T_SelfStock[RM_Code],$A2,T_SelfStock[WeekIndex],101)&gt;0)*(COUNTIFS(T_TTAFStock[RM_Code],$A2,T_TTAFStock[WeekIndex],101)&gt;0)&gt;0,SUMIFS(T_SelfStock[Self_Qty],T_SelfStock[RM_Code],$A2,T_SelfStock[WeekIndex],101)+SUMIFS(T_TTAFStock[TTAF_Qty],T_TTAFStock[RM_Code],$A2,T_TTAFStock[WeekIndex],101),CW2+'Grid_Incoming'!CX2-'Grid_Requirement'!CX2))</f>
        <v/>
      </c>
      <c r="CY2">
        <f>IF(COUNTIFS(T_StockCount[RM_Code],$A2,T_StockCount[WeekIndex],102)&gt;0,SUMIFS(T_StockCount[CountedQty],T_StockCount[RM_Code],$A2,T_StockCount[WeekIndex],102),IF((COUNTIFS(T_SelfStock[RM_Code],$A2,T_SelfStock[WeekIndex],102)&gt;0)*(COUNTIFS(T_TTAFStock[RM_Code],$A2,T_TTAFStock[WeekIndex],102)&gt;0)&gt;0,SUMIFS(T_SelfStock[Self_Qty],T_SelfStock[RM_Code],$A2,T_SelfStock[WeekIndex],102)+SUMIFS(T_TTAFStock[TTAF_Qty],T_TTAFStock[RM_Code],$A2,T_TTAFStock[WeekIndex],102),CX2+'Grid_Incoming'!CY2-'Grid_Requirement'!CY2))</f>
        <v/>
      </c>
      <c r="CZ2">
        <f>IF(COUNTIFS(T_StockCount[RM_Code],$A2,T_StockCount[WeekIndex],103)&gt;0,SUMIFS(T_StockCount[CountedQty],T_StockCount[RM_Code],$A2,T_StockCount[WeekIndex],103),IF((COUNTIFS(T_SelfStock[RM_Code],$A2,T_SelfStock[WeekIndex],103)&gt;0)*(COUNTIFS(T_TTAFStock[RM_Code],$A2,T_TTAFStock[WeekIndex],103)&gt;0)&gt;0,SUMIFS(T_SelfStock[Self_Qty],T_SelfStock[RM_Code],$A2,T_SelfStock[WeekIndex],103)+SUMIFS(T_TTAFStock[TTAF_Qty],T_TTAFStock[RM_Code],$A2,T_TTAFStock[WeekIndex],103),CY2+'Grid_Incoming'!CZ2-'Grid_Requirement'!CZ2))</f>
        <v/>
      </c>
      <c r="DA2">
        <f>IF(COUNTIFS(T_StockCount[RM_Code],$A2,T_StockCount[WeekIndex],104)&gt;0,SUMIFS(T_StockCount[CountedQty],T_StockCount[RM_Code],$A2,T_StockCount[WeekIndex],104),IF((COUNTIFS(T_SelfStock[RM_Code],$A2,T_SelfStock[WeekIndex],104)&gt;0)*(COUNTIFS(T_TTAFStock[RM_Code],$A2,T_TTAFStock[WeekIndex],104)&gt;0)&gt;0,SUMIFS(T_SelfStock[Self_Qty],T_SelfStock[RM_Code],$A2,T_SelfStock[WeekIndex],104)+SUMIFS(T_TTAFStock[TTAF_Qty],T_TTAFStock[RM_Code],$A2,T_TTAFStock[WeekIndex],104),CZ2+'Grid_Incoming'!DA2-'Grid_Requirement'!DA2))</f>
        <v/>
      </c>
    </row>
    <row r="3">
      <c r="A3" t="inlineStr">
        <is>
          <t>CHEM-1670</t>
        </is>
      </c>
      <c r="B3">
        <f>IF(COUNTIFS(T_StockCount[RM_Code],$A3,T_StockCount[WeekIndex],1)&gt;0,SUMIFS(T_StockCount[CountedQty],T_StockCount[RM_Code],$A3,T_StockCount[WeekIndex],1),IF((COUNTIFS(T_SelfStock[RM_Code],$A3,T_SelfStock[WeekIndex],1)&gt;0)*(COUNTIFS(T_TTAFStock[RM_Code],$A3,T_TTAFStock[WeekIndex],1)&gt;0)&gt;0,SUMIFS(T_SelfStock[Self_Qty],T_SelfStock[RM_Code],$A3,T_SelfStock[WeekIndex],1)+SUMIFS(T_TTAFStock[TTAF_Qty],T_TTAFStock[RM_Code],$A3,T_TTAFStock[WeekIndex],1),IFERROR(INDEX(T_OpeningStock[Opening_Qty],MATCH($A3,T_OpeningStock[RM_Code],0)),0)+'Grid_Incoming'!B3-'Grid_Requirement'!B3))</f>
        <v/>
      </c>
      <c r="C3">
        <f>IF(COUNTIFS(T_StockCount[RM_Code],$A3,T_StockCount[WeekIndex],2)&gt;0,SUMIFS(T_StockCount[CountedQty],T_StockCount[RM_Code],$A3,T_StockCount[WeekIndex],2),IF((COUNTIFS(T_SelfStock[RM_Code],$A3,T_SelfStock[WeekIndex],2)&gt;0)*(COUNTIFS(T_TTAFStock[RM_Code],$A3,T_TTAFStock[WeekIndex],2)&gt;0)&gt;0,SUMIFS(T_SelfStock[Self_Qty],T_SelfStock[RM_Code],$A3,T_SelfStock[WeekIndex],2)+SUMIFS(T_TTAFStock[TTAF_Qty],T_TTAFStock[RM_Code],$A3,T_TTAFStock[WeekIndex],2),B3+'Grid_Incoming'!C3-'Grid_Requirement'!C3))</f>
        <v/>
      </c>
      <c r="D3">
        <f>IF(COUNTIFS(T_StockCount[RM_Code],$A3,T_StockCount[WeekIndex],3)&gt;0,SUMIFS(T_StockCount[CountedQty],T_StockCount[RM_Code],$A3,T_StockCount[WeekIndex],3),IF((COUNTIFS(T_SelfStock[RM_Code],$A3,T_SelfStock[WeekIndex],3)&gt;0)*(COUNTIFS(T_TTAFStock[RM_Code],$A3,T_TTAFStock[WeekIndex],3)&gt;0)&gt;0,SUMIFS(T_SelfStock[Self_Qty],T_SelfStock[RM_Code],$A3,T_SelfStock[WeekIndex],3)+SUMIFS(T_TTAFStock[TTAF_Qty],T_TTAFStock[RM_Code],$A3,T_TTAFStock[WeekIndex],3),C3+'Grid_Incoming'!D3-'Grid_Requirement'!D3))</f>
        <v/>
      </c>
      <c r="E3">
        <f>IF(COUNTIFS(T_StockCount[RM_Code],$A3,T_StockCount[WeekIndex],4)&gt;0,SUMIFS(T_StockCount[CountedQty],T_StockCount[RM_Code],$A3,T_StockCount[WeekIndex],4),IF((COUNTIFS(T_SelfStock[RM_Code],$A3,T_SelfStock[WeekIndex],4)&gt;0)*(COUNTIFS(T_TTAFStock[RM_Code],$A3,T_TTAFStock[WeekIndex],4)&gt;0)&gt;0,SUMIFS(T_SelfStock[Self_Qty],T_SelfStock[RM_Code],$A3,T_SelfStock[WeekIndex],4)+SUMIFS(T_TTAFStock[TTAF_Qty],T_TTAFStock[RM_Code],$A3,T_TTAFStock[WeekIndex],4),D3+'Grid_Incoming'!E3-'Grid_Requirement'!E3))</f>
        <v/>
      </c>
      <c r="F3">
        <f>IF(COUNTIFS(T_StockCount[RM_Code],$A3,T_StockCount[WeekIndex],5)&gt;0,SUMIFS(T_StockCount[CountedQty],T_StockCount[RM_Code],$A3,T_StockCount[WeekIndex],5),IF((COUNTIFS(T_SelfStock[RM_Code],$A3,T_SelfStock[WeekIndex],5)&gt;0)*(COUNTIFS(T_TTAFStock[RM_Code],$A3,T_TTAFStock[WeekIndex],5)&gt;0)&gt;0,SUMIFS(T_SelfStock[Self_Qty],T_SelfStock[RM_Code],$A3,T_SelfStock[WeekIndex],5)+SUMIFS(T_TTAFStock[TTAF_Qty],T_TTAFStock[RM_Code],$A3,T_TTAFStock[WeekIndex],5),E3+'Grid_Incoming'!F3-'Grid_Requirement'!F3))</f>
        <v/>
      </c>
      <c r="G3">
        <f>IF(COUNTIFS(T_StockCount[RM_Code],$A3,T_StockCount[WeekIndex],6)&gt;0,SUMIFS(T_StockCount[CountedQty],T_StockCount[RM_Code],$A3,T_StockCount[WeekIndex],6),IF((COUNTIFS(T_SelfStock[RM_Code],$A3,T_SelfStock[WeekIndex],6)&gt;0)*(COUNTIFS(T_TTAFStock[RM_Code],$A3,T_TTAFStock[WeekIndex],6)&gt;0)&gt;0,SUMIFS(T_SelfStock[Self_Qty],T_SelfStock[RM_Code],$A3,T_SelfStock[WeekIndex],6)+SUMIFS(T_TTAFStock[TTAF_Qty],T_TTAFStock[RM_Code],$A3,T_TTAFStock[WeekIndex],6),F3+'Grid_Incoming'!G3-'Grid_Requirement'!G3))</f>
        <v/>
      </c>
      <c r="H3">
        <f>IF(COUNTIFS(T_StockCount[RM_Code],$A3,T_StockCount[WeekIndex],7)&gt;0,SUMIFS(T_StockCount[CountedQty],T_StockCount[RM_Code],$A3,T_StockCount[WeekIndex],7),IF((COUNTIFS(T_SelfStock[RM_Code],$A3,T_SelfStock[WeekIndex],7)&gt;0)*(COUNTIFS(T_TTAFStock[RM_Code],$A3,T_TTAFStock[WeekIndex],7)&gt;0)&gt;0,SUMIFS(T_SelfStock[Self_Qty],T_SelfStock[RM_Code],$A3,T_SelfStock[WeekIndex],7)+SUMIFS(T_TTAFStock[TTAF_Qty],T_TTAFStock[RM_Code],$A3,T_TTAFStock[WeekIndex],7),G3+'Grid_Incoming'!H3-'Grid_Requirement'!H3))</f>
        <v/>
      </c>
      <c r="I3">
        <f>IF(COUNTIFS(T_StockCount[RM_Code],$A3,T_StockCount[WeekIndex],8)&gt;0,SUMIFS(T_StockCount[CountedQty],T_StockCount[RM_Code],$A3,T_StockCount[WeekIndex],8),IF((COUNTIFS(T_SelfStock[RM_Code],$A3,T_SelfStock[WeekIndex],8)&gt;0)*(COUNTIFS(T_TTAFStock[RM_Code],$A3,T_TTAFStock[WeekIndex],8)&gt;0)&gt;0,SUMIFS(T_SelfStock[Self_Qty],T_SelfStock[RM_Code],$A3,T_SelfStock[WeekIndex],8)+SUMIFS(T_TTAFStock[TTAF_Qty],T_TTAFStock[RM_Code],$A3,T_TTAFStock[WeekIndex],8),H3+'Grid_Incoming'!I3-'Grid_Requirement'!I3))</f>
        <v/>
      </c>
      <c r="J3">
        <f>IF(COUNTIFS(T_StockCount[RM_Code],$A3,T_StockCount[WeekIndex],9)&gt;0,SUMIFS(T_StockCount[CountedQty],T_StockCount[RM_Code],$A3,T_StockCount[WeekIndex],9),IF((COUNTIFS(T_SelfStock[RM_Code],$A3,T_SelfStock[WeekIndex],9)&gt;0)*(COUNTIFS(T_TTAFStock[RM_Code],$A3,T_TTAFStock[WeekIndex],9)&gt;0)&gt;0,SUMIFS(T_SelfStock[Self_Qty],T_SelfStock[RM_Code],$A3,T_SelfStock[WeekIndex],9)+SUMIFS(T_TTAFStock[TTAF_Qty],T_TTAFStock[RM_Code],$A3,T_TTAFStock[WeekIndex],9),I3+'Grid_Incoming'!J3-'Grid_Requirement'!J3))</f>
        <v/>
      </c>
      <c r="K3">
        <f>IF(COUNTIFS(T_StockCount[RM_Code],$A3,T_StockCount[WeekIndex],10)&gt;0,SUMIFS(T_StockCount[CountedQty],T_StockCount[RM_Code],$A3,T_StockCount[WeekIndex],10),IF((COUNTIFS(T_SelfStock[RM_Code],$A3,T_SelfStock[WeekIndex],10)&gt;0)*(COUNTIFS(T_TTAFStock[RM_Code],$A3,T_TTAFStock[WeekIndex],10)&gt;0)&gt;0,SUMIFS(T_SelfStock[Self_Qty],T_SelfStock[RM_Code],$A3,T_SelfStock[WeekIndex],10)+SUMIFS(T_TTAFStock[TTAF_Qty],T_TTAFStock[RM_Code],$A3,T_TTAFStock[WeekIndex],10),J3+'Grid_Incoming'!K3-'Grid_Requirement'!K3))</f>
        <v/>
      </c>
      <c r="L3">
        <f>IF(COUNTIFS(T_StockCount[RM_Code],$A3,T_StockCount[WeekIndex],11)&gt;0,SUMIFS(T_StockCount[CountedQty],T_StockCount[RM_Code],$A3,T_StockCount[WeekIndex],11),IF((COUNTIFS(T_SelfStock[RM_Code],$A3,T_SelfStock[WeekIndex],11)&gt;0)*(COUNTIFS(T_TTAFStock[RM_Code],$A3,T_TTAFStock[WeekIndex],11)&gt;0)&gt;0,SUMIFS(T_SelfStock[Self_Qty],T_SelfStock[RM_Code],$A3,T_SelfStock[WeekIndex],11)+SUMIFS(T_TTAFStock[TTAF_Qty],T_TTAFStock[RM_Code],$A3,T_TTAFStock[WeekIndex],11),K3+'Grid_Incoming'!L3-'Grid_Requirement'!L3))</f>
        <v/>
      </c>
      <c r="M3">
        <f>IF(COUNTIFS(T_StockCount[RM_Code],$A3,T_StockCount[WeekIndex],12)&gt;0,SUMIFS(T_StockCount[CountedQty],T_StockCount[RM_Code],$A3,T_StockCount[WeekIndex],12),IF((COUNTIFS(T_SelfStock[RM_Code],$A3,T_SelfStock[WeekIndex],12)&gt;0)*(COUNTIFS(T_TTAFStock[RM_Code],$A3,T_TTAFStock[WeekIndex],12)&gt;0)&gt;0,SUMIFS(T_SelfStock[Self_Qty],T_SelfStock[RM_Code],$A3,T_SelfStock[WeekIndex],12)+SUMIFS(T_TTAFStock[TTAF_Qty],T_TTAFStock[RM_Code],$A3,T_TTAFStock[WeekIndex],12),L3+'Grid_Incoming'!M3-'Grid_Requirement'!M3))</f>
        <v/>
      </c>
      <c r="N3">
        <f>IF(COUNTIFS(T_StockCount[RM_Code],$A3,T_StockCount[WeekIndex],13)&gt;0,SUMIFS(T_StockCount[CountedQty],T_StockCount[RM_Code],$A3,T_StockCount[WeekIndex],13),IF((COUNTIFS(T_SelfStock[RM_Code],$A3,T_SelfStock[WeekIndex],13)&gt;0)*(COUNTIFS(T_TTAFStock[RM_Code],$A3,T_TTAFStock[WeekIndex],13)&gt;0)&gt;0,SUMIFS(T_SelfStock[Self_Qty],T_SelfStock[RM_Code],$A3,T_SelfStock[WeekIndex],13)+SUMIFS(T_TTAFStock[TTAF_Qty],T_TTAFStock[RM_Code],$A3,T_TTAFStock[WeekIndex],13),M3+'Grid_Incoming'!N3-'Grid_Requirement'!N3))</f>
        <v/>
      </c>
      <c r="O3">
        <f>IF(COUNTIFS(T_StockCount[RM_Code],$A3,T_StockCount[WeekIndex],14)&gt;0,SUMIFS(T_StockCount[CountedQty],T_StockCount[RM_Code],$A3,T_StockCount[WeekIndex],14),IF((COUNTIFS(T_SelfStock[RM_Code],$A3,T_SelfStock[WeekIndex],14)&gt;0)*(COUNTIFS(T_TTAFStock[RM_Code],$A3,T_TTAFStock[WeekIndex],14)&gt;0)&gt;0,SUMIFS(T_SelfStock[Self_Qty],T_SelfStock[RM_Code],$A3,T_SelfStock[WeekIndex],14)+SUMIFS(T_TTAFStock[TTAF_Qty],T_TTAFStock[RM_Code],$A3,T_TTAFStock[WeekIndex],14),N3+'Grid_Incoming'!O3-'Grid_Requirement'!O3))</f>
        <v/>
      </c>
      <c r="P3">
        <f>IF(COUNTIFS(T_StockCount[RM_Code],$A3,T_StockCount[WeekIndex],15)&gt;0,SUMIFS(T_StockCount[CountedQty],T_StockCount[RM_Code],$A3,T_StockCount[WeekIndex],15),IF((COUNTIFS(T_SelfStock[RM_Code],$A3,T_SelfStock[WeekIndex],15)&gt;0)*(COUNTIFS(T_TTAFStock[RM_Code],$A3,T_TTAFStock[WeekIndex],15)&gt;0)&gt;0,SUMIFS(T_SelfStock[Self_Qty],T_SelfStock[RM_Code],$A3,T_SelfStock[WeekIndex],15)+SUMIFS(T_TTAFStock[TTAF_Qty],T_TTAFStock[RM_Code],$A3,T_TTAFStock[WeekIndex],15),O3+'Grid_Incoming'!P3-'Grid_Requirement'!P3))</f>
        <v/>
      </c>
      <c r="Q3">
        <f>IF(COUNTIFS(T_StockCount[RM_Code],$A3,T_StockCount[WeekIndex],16)&gt;0,SUMIFS(T_StockCount[CountedQty],T_StockCount[RM_Code],$A3,T_StockCount[WeekIndex],16),IF((COUNTIFS(T_SelfStock[RM_Code],$A3,T_SelfStock[WeekIndex],16)&gt;0)*(COUNTIFS(T_TTAFStock[RM_Code],$A3,T_TTAFStock[WeekIndex],16)&gt;0)&gt;0,SUMIFS(T_SelfStock[Self_Qty],T_SelfStock[RM_Code],$A3,T_SelfStock[WeekIndex],16)+SUMIFS(T_TTAFStock[TTAF_Qty],T_TTAFStock[RM_Code],$A3,T_TTAFStock[WeekIndex],16),P3+'Grid_Incoming'!Q3-'Grid_Requirement'!Q3))</f>
        <v/>
      </c>
      <c r="R3">
        <f>IF(COUNTIFS(T_StockCount[RM_Code],$A3,T_StockCount[WeekIndex],17)&gt;0,SUMIFS(T_StockCount[CountedQty],T_StockCount[RM_Code],$A3,T_StockCount[WeekIndex],17),IF((COUNTIFS(T_SelfStock[RM_Code],$A3,T_SelfStock[WeekIndex],17)&gt;0)*(COUNTIFS(T_TTAFStock[RM_Code],$A3,T_TTAFStock[WeekIndex],17)&gt;0)&gt;0,SUMIFS(T_SelfStock[Self_Qty],T_SelfStock[RM_Code],$A3,T_SelfStock[WeekIndex],17)+SUMIFS(T_TTAFStock[TTAF_Qty],T_TTAFStock[RM_Code],$A3,T_TTAFStock[WeekIndex],17),Q3+'Grid_Incoming'!R3-'Grid_Requirement'!R3))</f>
        <v/>
      </c>
      <c r="S3">
        <f>IF(COUNTIFS(T_StockCount[RM_Code],$A3,T_StockCount[WeekIndex],18)&gt;0,SUMIFS(T_StockCount[CountedQty],T_StockCount[RM_Code],$A3,T_StockCount[WeekIndex],18),IF((COUNTIFS(T_SelfStock[RM_Code],$A3,T_SelfStock[WeekIndex],18)&gt;0)*(COUNTIFS(T_TTAFStock[RM_Code],$A3,T_TTAFStock[WeekIndex],18)&gt;0)&gt;0,SUMIFS(T_SelfStock[Self_Qty],T_SelfStock[RM_Code],$A3,T_SelfStock[WeekIndex],18)+SUMIFS(T_TTAFStock[TTAF_Qty],T_TTAFStock[RM_Code],$A3,T_TTAFStock[WeekIndex],18),R3+'Grid_Incoming'!S3-'Grid_Requirement'!S3))</f>
        <v/>
      </c>
      <c r="T3">
        <f>IF(COUNTIFS(T_StockCount[RM_Code],$A3,T_StockCount[WeekIndex],19)&gt;0,SUMIFS(T_StockCount[CountedQty],T_StockCount[RM_Code],$A3,T_StockCount[WeekIndex],19),IF((COUNTIFS(T_SelfStock[RM_Code],$A3,T_SelfStock[WeekIndex],19)&gt;0)*(COUNTIFS(T_TTAFStock[RM_Code],$A3,T_TTAFStock[WeekIndex],19)&gt;0)&gt;0,SUMIFS(T_SelfStock[Self_Qty],T_SelfStock[RM_Code],$A3,T_SelfStock[WeekIndex],19)+SUMIFS(T_TTAFStock[TTAF_Qty],T_TTAFStock[RM_Code],$A3,T_TTAFStock[WeekIndex],19),S3+'Grid_Incoming'!T3-'Grid_Requirement'!T3))</f>
        <v/>
      </c>
      <c r="U3">
        <f>IF(COUNTIFS(T_StockCount[RM_Code],$A3,T_StockCount[WeekIndex],20)&gt;0,SUMIFS(T_StockCount[CountedQty],T_StockCount[RM_Code],$A3,T_StockCount[WeekIndex],20),IF((COUNTIFS(T_SelfStock[RM_Code],$A3,T_SelfStock[WeekIndex],20)&gt;0)*(COUNTIFS(T_TTAFStock[RM_Code],$A3,T_TTAFStock[WeekIndex],20)&gt;0)&gt;0,SUMIFS(T_SelfStock[Self_Qty],T_SelfStock[RM_Code],$A3,T_SelfStock[WeekIndex],20)+SUMIFS(T_TTAFStock[TTAF_Qty],T_TTAFStock[RM_Code],$A3,T_TTAFStock[WeekIndex],20),T3+'Grid_Incoming'!U3-'Grid_Requirement'!U3))</f>
        <v/>
      </c>
      <c r="V3">
        <f>IF(COUNTIFS(T_StockCount[RM_Code],$A3,T_StockCount[WeekIndex],21)&gt;0,SUMIFS(T_StockCount[CountedQty],T_StockCount[RM_Code],$A3,T_StockCount[WeekIndex],21),IF((COUNTIFS(T_SelfStock[RM_Code],$A3,T_SelfStock[WeekIndex],21)&gt;0)*(COUNTIFS(T_TTAFStock[RM_Code],$A3,T_TTAFStock[WeekIndex],21)&gt;0)&gt;0,SUMIFS(T_SelfStock[Self_Qty],T_SelfStock[RM_Code],$A3,T_SelfStock[WeekIndex],21)+SUMIFS(T_TTAFStock[TTAF_Qty],T_TTAFStock[RM_Code],$A3,T_TTAFStock[WeekIndex],21),U3+'Grid_Incoming'!V3-'Grid_Requirement'!V3))</f>
        <v/>
      </c>
      <c r="W3">
        <f>IF(COUNTIFS(T_StockCount[RM_Code],$A3,T_StockCount[WeekIndex],22)&gt;0,SUMIFS(T_StockCount[CountedQty],T_StockCount[RM_Code],$A3,T_StockCount[WeekIndex],22),IF((COUNTIFS(T_SelfStock[RM_Code],$A3,T_SelfStock[WeekIndex],22)&gt;0)*(COUNTIFS(T_TTAFStock[RM_Code],$A3,T_TTAFStock[WeekIndex],22)&gt;0)&gt;0,SUMIFS(T_SelfStock[Self_Qty],T_SelfStock[RM_Code],$A3,T_SelfStock[WeekIndex],22)+SUMIFS(T_TTAFStock[TTAF_Qty],T_TTAFStock[RM_Code],$A3,T_TTAFStock[WeekIndex],22),V3+'Grid_Incoming'!W3-'Grid_Requirement'!W3))</f>
        <v/>
      </c>
      <c r="X3">
        <f>IF(COUNTIFS(T_StockCount[RM_Code],$A3,T_StockCount[WeekIndex],23)&gt;0,SUMIFS(T_StockCount[CountedQty],T_StockCount[RM_Code],$A3,T_StockCount[WeekIndex],23),IF((COUNTIFS(T_SelfStock[RM_Code],$A3,T_SelfStock[WeekIndex],23)&gt;0)*(COUNTIFS(T_TTAFStock[RM_Code],$A3,T_TTAFStock[WeekIndex],23)&gt;0)&gt;0,SUMIFS(T_SelfStock[Self_Qty],T_SelfStock[RM_Code],$A3,T_SelfStock[WeekIndex],23)+SUMIFS(T_TTAFStock[TTAF_Qty],T_TTAFStock[RM_Code],$A3,T_TTAFStock[WeekIndex],23),W3+'Grid_Incoming'!X3-'Grid_Requirement'!X3))</f>
        <v/>
      </c>
      <c r="Y3">
        <f>IF(COUNTIFS(T_StockCount[RM_Code],$A3,T_StockCount[WeekIndex],24)&gt;0,SUMIFS(T_StockCount[CountedQty],T_StockCount[RM_Code],$A3,T_StockCount[WeekIndex],24),IF((COUNTIFS(T_SelfStock[RM_Code],$A3,T_SelfStock[WeekIndex],24)&gt;0)*(COUNTIFS(T_TTAFStock[RM_Code],$A3,T_TTAFStock[WeekIndex],24)&gt;0)&gt;0,SUMIFS(T_SelfStock[Self_Qty],T_SelfStock[RM_Code],$A3,T_SelfStock[WeekIndex],24)+SUMIFS(T_TTAFStock[TTAF_Qty],T_TTAFStock[RM_Code],$A3,T_TTAFStock[WeekIndex],24),X3+'Grid_Incoming'!Y3-'Grid_Requirement'!Y3))</f>
        <v/>
      </c>
      <c r="Z3">
        <f>IF(COUNTIFS(T_StockCount[RM_Code],$A3,T_StockCount[WeekIndex],25)&gt;0,SUMIFS(T_StockCount[CountedQty],T_StockCount[RM_Code],$A3,T_StockCount[WeekIndex],25),IF((COUNTIFS(T_SelfStock[RM_Code],$A3,T_SelfStock[WeekIndex],25)&gt;0)*(COUNTIFS(T_TTAFStock[RM_Code],$A3,T_TTAFStock[WeekIndex],25)&gt;0)&gt;0,SUMIFS(T_SelfStock[Self_Qty],T_SelfStock[RM_Code],$A3,T_SelfStock[WeekIndex],25)+SUMIFS(T_TTAFStock[TTAF_Qty],T_TTAFStock[RM_Code],$A3,T_TTAFStock[WeekIndex],25),Y3+'Grid_Incoming'!Z3-'Grid_Requirement'!Z3))</f>
        <v/>
      </c>
      <c r="AA3">
        <f>IF(COUNTIFS(T_StockCount[RM_Code],$A3,T_StockCount[WeekIndex],26)&gt;0,SUMIFS(T_StockCount[CountedQty],T_StockCount[RM_Code],$A3,T_StockCount[WeekIndex],26),IF((COUNTIFS(T_SelfStock[RM_Code],$A3,T_SelfStock[WeekIndex],26)&gt;0)*(COUNTIFS(T_TTAFStock[RM_Code],$A3,T_TTAFStock[WeekIndex],26)&gt;0)&gt;0,SUMIFS(T_SelfStock[Self_Qty],T_SelfStock[RM_Code],$A3,T_SelfStock[WeekIndex],26)+SUMIFS(T_TTAFStock[TTAF_Qty],T_TTAFStock[RM_Code],$A3,T_TTAFStock[WeekIndex],26),Z3+'Grid_Incoming'!AA3-'Grid_Requirement'!AA3))</f>
        <v/>
      </c>
      <c r="AB3">
        <f>IF(COUNTIFS(T_StockCount[RM_Code],$A3,T_StockCount[WeekIndex],27)&gt;0,SUMIFS(T_StockCount[CountedQty],T_StockCount[RM_Code],$A3,T_StockCount[WeekIndex],27),IF((COUNTIFS(T_SelfStock[RM_Code],$A3,T_SelfStock[WeekIndex],27)&gt;0)*(COUNTIFS(T_TTAFStock[RM_Code],$A3,T_TTAFStock[WeekIndex],27)&gt;0)&gt;0,SUMIFS(T_SelfStock[Self_Qty],T_SelfStock[RM_Code],$A3,T_SelfStock[WeekIndex],27)+SUMIFS(T_TTAFStock[TTAF_Qty],T_TTAFStock[RM_Code],$A3,T_TTAFStock[WeekIndex],27),AA3+'Grid_Incoming'!AB3-'Grid_Requirement'!AB3))</f>
        <v/>
      </c>
      <c r="AC3">
        <f>IF(COUNTIFS(T_StockCount[RM_Code],$A3,T_StockCount[WeekIndex],28)&gt;0,SUMIFS(T_StockCount[CountedQty],T_StockCount[RM_Code],$A3,T_StockCount[WeekIndex],28),IF((COUNTIFS(T_SelfStock[RM_Code],$A3,T_SelfStock[WeekIndex],28)&gt;0)*(COUNTIFS(T_TTAFStock[RM_Code],$A3,T_TTAFStock[WeekIndex],28)&gt;0)&gt;0,SUMIFS(T_SelfStock[Self_Qty],T_SelfStock[RM_Code],$A3,T_SelfStock[WeekIndex],28)+SUMIFS(T_TTAFStock[TTAF_Qty],T_TTAFStock[RM_Code],$A3,T_TTAFStock[WeekIndex],28),AB3+'Grid_Incoming'!AC3-'Grid_Requirement'!AC3))</f>
        <v/>
      </c>
      <c r="AD3">
        <f>IF(COUNTIFS(T_StockCount[RM_Code],$A3,T_StockCount[WeekIndex],29)&gt;0,SUMIFS(T_StockCount[CountedQty],T_StockCount[RM_Code],$A3,T_StockCount[WeekIndex],29),IF((COUNTIFS(T_SelfStock[RM_Code],$A3,T_SelfStock[WeekIndex],29)&gt;0)*(COUNTIFS(T_TTAFStock[RM_Code],$A3,T_TTAFStock[WeekIndex],29)&gt;0)&gt;0,SUMIFS(T_SelfStock[Self_Qty],T_SelfStock[RM_Code],$A3,T_SelfStock[WeekIndex],29)+SUMIFS(T_TTAFStock[TTAF_Qty],T_TTAFStock[RM_Code],$A3,T_TTAFStock[WeekIndex],29),AC3+'Grid_Incoming'!AD3-'Grid_Requirement'!AD3))</f>
        <v/>
      </c>
      <c r="AE3">
        <f>IF(COUNTIFS(T_StockCount[RM_Code],$A3,T_StockCount[WeekIndex],30)&gt;0,SUMIFS(T_StockCount[CountedQty],T_StockCount[RM_Code],$A3,T_StockCount[WeekIndex],30),IF((COUNTIFS(T_SelfStock[RM_Code],$A3,T_SelfStock[WeekIndex],30)&gt;0)*(COUNTIFS(T_TTAFStock[RM_Code],$A3,T_TTAFStock[WeekIndex],30)&gt;0)&gt;0,SUMIFS(T_SelfStock[Self_Qty],T_SelfStock[RM_Code],$A3,T_SelfStock[WeekIndex],30)+SUMIFS(T_TTAFStock[TTAF_Qty],T_TTAFStock[RM_Code],$A3,T_TTAFStock[WeekIndex],30),AD3+'Grid_Incoming'!AE3-'Grid_Requirement'!AE3))</f>
        <v/>
      </c>
      <c r="AF3">
        <f>IF(COUNTIFS(T_StockCount[RM_Code],$A3,T_StockCount[WeekIndex],31)&gt;0,SUMIFS(T_StockCount[CountedQty],T_StockCount[RM_Code],$A3,T_StockCount[WeekIndex],31),IF((COUNTIFS(T_SelfStock[RM_Code],$A3,T_SelfStock[WeekIndex],31)&gt;0)*(COUNTIFS(T_TTAFStock[RM_Code],$A3,T_TTAFStock[WeekIndex],31)&gt;0)&gt;0,SUMIFS(T_SelfStock[Self_Qty],T_SelfStock[RM_Code],$A3,T_SelfStock[WeekIndex],31)+SUMIFS(T_TTAFStock[TTAF_Qty],T_TTAFStock[RM_Code],$A3,T_TTAFStock[WeekIndex],31),AE3+'Grid_Incoming'!AF3-'Grid_Requirement'!AF3))</f>
        <v/>
      </c>
      <c r="AG3">
        <f>IF(COUNTIFS(T_StockCount[RM_Code],$A3,T_StockCount[WeekIndex],32)&gt;0,SUMIFS(T_StockCount[CountedQty],T_StockCount[RM_Code],$A3,T_StockCount[WeekIndex],32),IF((COUNTIFS(T_SelfStock[RM_Code],$A3,T_SelfStock[WeekIndex],32)&gt;0)*(COUNTIFS(T_TTAFStock[RM_Code],$A3,T_TTAFStock[WeekIndex],32)&gt;0)&gt;0,SUMIFS(T_SelfStock[Self_Qty],T_SelfStock[RM_Code],$A3,T_SelfStock[WeekIndex],32)+SUMIFS(T_TTAFStock[TTAF_Qty],T_TTAFStock[RM_Code],$A3,T_TTAFStock[WeekIndex],32),AF3+'Grid_Incoming'!AG3-'Grid_Requirement'!AG3))</f>
        <v/>
      </c>
      <c r="AH3">
        <f>IF(COUNTIFS(T_StockCount[RM_Code],$A3,T_StockCount[WeekIndex],33)&gt;0,SUMIFS(T_StockCount[CountedQty],T_StockCount[RM_Code],$A3,T_StockCount[WeekIndex],33),IF((COUNTIFS(T_SelfStock[RM_Code],$A3,T_SelfStock[WeekIndex],33)&gt;0)*(COUNTIFS(T_TTAFStock[RM_Code],$A3,T_TTAFStock[WeekIndex],33)&gt;0)&gt;0,SUMIFS(T_SelfStock[Self_Qty],T_SelfStock[RM_Code],$A3,T_SelfStock[WeekIndex],33)+SUMIFS(T_TTAFStock[TTAF_Qty],T_TTAFStock[RM_Code],$A3,T_TTAFStock[WeekIndex],33),AG3+'Grid_Incoming'!AH3-'Grid_Requirement'!AH3))</f>
        <v/>
      </c>
      <c r="AI3">
        <f>IF(COUNTIFS(T_StockCount[RM_Code],$A3,T_StockCount[WeekIndex],34)&gt;0,SUMIFS(T_StockCount[CountedQty],T_StockCount[RM_Code],$A3,T_StockCount[WeekIndex],34),IF((COUNTIFS(T_SelfStock[RM_Code],$A3,T_SelfStock[WeekIndex],34)&gt;0)*(COUNTIFS(T_TTAFStock[RM_Code],$A3,T_TTAFStock[WeekIndex],34)&gt;0)&gt;0,SUMIFS(T_SelfStock[Self_Qty],T_SelfStock[RM_Code],$A3,T_SelfStock[WeekIndex],34)+SUMIFS(T_TTAFStock[TTAF_Qty],T_TTAFStock[RM_Code],$A3,T_TTAFStock[WeekIndex],34),AH3+'Grid_Incoming'!AI3-'Grid_Requirement'!AI3))</f>
        <v/>
      </c>
      <c r="AJ3">
        <f>IF(COUNTIFS(T_StockCount[RM_Code],$A3,T_StockCount[WeekIndex],35)&gt;0,SUMIFS(T_StockCount[CountedQty],T_StockCount[RM_Code],$A3,T_StockCount[WeekIndex],35),IF((COUNTIFS(T_SelfStock[RM_Code],$A3,T_SelfStock[WeekIndex],35)&gt;0)*(COUNTIFS(T_TTAFStock[RM_Code],$A3,T_TTAFStock[WeekIndex],35)&gt;0)&gt;0,SUMIFS(T_SelfStock[Self_Qty],T_SelfStock[RM_Code],$A3,T_SelfStock[WeekIndex],35)+SUMIFS(T_TTAFStock[TTAF_Qty],T_TTAFStock[RM_Code],$A3,T_TTAFStock[WeekIndex],35),AI3+'Grid_Incoming'!AJ3-'Grid_Requirement'!AJ3))</f>
        <v/>
      </c>
      <c r="AK3">
        <f>IF(COUNTIFS(T_StockCount[RM_Code],$A3,T_StockCount[WeekIndex],36)&gt;0,SUMIFS(T_StockCount[CountedQty],T_StockCount[RM_Code],$A3,T_StockCount[WeekIndex],36),IF((COUNTIFS(T_SelfStock[RM_Code],$A3,T_SelfStock[WeekIndex],36)&gt;0)*(COUNTIFS(T_TTAFStock[RM_Code],$A3,T_TTAFStock[WeekIndex],36)&gt;0)&gt;0,SUMIFS(T_SelfStock[Self_Qty],T_SelfStock[RM_Code],$A3,T_SelfStock[WeekIndex],36)+SUMIFS(T_TTAFStock[TTAF_Qty],T_TTAFStock[RM_Code],$A3,T_TTAFStock[WeekIndex],36),AJ3+'Grid_Incoming'!AK3-'Grid_Requirement'!AK3))</f>
        <v/>
      </c>
      <c r="AL3">
        <f>IF(COUNTIFS(T_StockCount[RM_Code],$A3,T_StockCount[WeekIndex],37)&gt;0,SUMIFS(T_StockCount[CountedQty],T_StockCount[RM_Code],$A3,T_StockCount[WeekIndex],37),IF((COUNTIFS(T_SelfStock[RM_Code],$A3,T_SelfStock[WeekIndex],37)&gt;0)*(COUNTIFS(T_TTAFStock[RM_Code],$A3,T_TTAFStock[WeekIndex],37)&gt;0)&gt;0,SUMIFS(T_SelfStock[Self_Qty],T_SelfStock[RM_Code],$A3,T_SelfStock[WeekIndex],37)+SUMIFS(T_TTAFStock[TTAF_Qty],T_TTAFStock[RM_Code],$A3,T_TTAFStock[WeekIndex],37),AK3+'Grid_Incoming'!AL3-'Grid_Requirement'!AL3))</f>
        <v/>
      </c>
      <c r="AM3">
        <f>IF(COUNTIFS(T_StockCount[RM_Code],$A3,T_StockCount[WeekIndex],38)&gt;0,SUMIFS(T_StockCount[CountedQty],T_StockCount[RM_Code],$A3,T_StockCount[WeekIndex],38),IF((COUNTIFS(T_SelfStock[RM_Code],$A3,T_SelfStock[WeekIndex],38)&gt;0)*(COUNTIFS(T_TTAFStock[RM_Code],$A3,T_TTAFStock[WeekIndex],38)&gt;0)&gt;0,SUMIFS(T_SelfStock[Self_Qty],T_SelfStock[RM_Code],$A3,T_SelfStock[WeekIndex],38)+SUMIFS(T_TTAFStock[TTAF_Qty],T_TTAFStock[RM_Code],$A3,T_TTAFStock[WeekIndex],38),AL3+'Grid_Incoming'!AM3-'Grid_Requirement'!AM3))</f>
        <v/>
      </c>
      <c r="AN3">
        <f>IF(COUNTIFS(T_StockCount[RM_Code],$A3,T_StockCount[WeekIndex],39)&gt;0,SUMIFS(T_StockCount[CountedQty],T_StockCount[RM_Code],$A3,T_StockCount[WeekIndex],39),IF((COUNTIFS(T_SelfStock[RM_Code],$A3,T_SelfStock[WeekIndex],39)&gt;0)*(COUNTIFS(T_TTAFStock[RM_Code],$A3,T_TTAFStock[WeekIndex],39)&gt;0)&gt;0,SUMIFS(T_SelfStock[Self_Qty],T_SelfStock[RM_Code],$A3,T_SelfStock[WeekIndex],39)+SUMIFS(T_TTAFStock[TTAF_Qty],T_TTAFStock[RM_Code],$A3,T_TTAFStock[WeekIndex],39),AM3+'Grid_Incoming'!AN3-'Grid_Requirement'!AN3))</f>
        <v/>
      </c>
      <c r="AO3">
        <f>IF(COUNTIFS(T_StockCount[RM_Code],$A3,T_StockCount[WeekIndex],40)&gt;0,SUMIFS(T_StockCount[CountedQty],T_StockCount[RM_Code],$A3,T_StockCount[WeekIndex],40),IF((COUNTIFS(T_SelfStock[RM_Code],$A3,T_SelfStock[WeekIndex],40)&gt;0)*(COUNTIFS(T_TTAFStock[RM_Code],$A3,T_TTAFStock[WeekIndex],40)&gt;0)&gt;0,SUMIFS(T_SelfStock[Self_Qty],T_SelfStock[RM_Code],$A3,T_SelfStock[WeekIndex],40)+SUMIFS(T_TTAFStock[TTAF_Qty],T_TTAFStock[RM_Code],$A3,T_TTAFStock[WeekIndex],40),AN3+'Grid_Incoming'!AO3-'Grid_Requirement'!AO3))</f>
        <v/>
      </c>
      <c r="AP3">
        <f>IF(COUNTIFS(T_StockCount[RM_Code],$A3,T_StockCount[WeekIndex],41)&gt;0,SUMIFS(T_StockCount[CountedQty],T_StockCount[RM_Code],$A3,T_StockCount[WeekIndex],41),IF((COUNTIFS(T_SelfStock[RM_Code],$A3,T_SelfStock[WeekIndex],41)&gt;0)*(COUNTIFS(T_TTAFStock[RM_Code],$A3,T_TTAFStock[WeekIndex],41)&gt;0)&gt;0,SUMIFS(T_SelfStock[Self_Qty],T_SelfStock[RM_Code],$A3,T_SelfStock[WeekIndex],41)+SUMIFS(T_TTAFStock[TTAF_Qty],T_TTAFStock[RM_Code],$A3,T_TTAFStock[WeekIndex],41),AO3+'Grid_Incoming'!AP3-'Grid_Requirement'!AP3))</f>
        <v/>
      </c>
      <c r="AQ3">
        <f>IF(COUNTIFS(T_StockCount[RM_Code],$A3,T_StockCount[WeekIndex],42)&gt;0,SUMIFS(T_StockCount[CountedQty],T_StockCount[RM_Code],$A3,T_StockCount[WeekIndex],42),IF((COUNTIFS(T_SelfStock[RM_Code],$A3,T_SelfStock[WeekIndex],42)&gt;0)*(COUNTIFS(T_TTAFStock[RM_Code],$A3,T_TTAFStock[WeekIndex],42)&gt;0)&gt;0,SUMIFS(T_SelfStock[Self_Qty],T_SelfStock[RM_Code],$A3,T_SelfStock[WeekIndex],42)+SUMIFS(T_TTAFStock[TTAF_Qty],T_TTAFStock[RM_Code],$A3,T_TTAFStock[WeekIndex],42),AP3+'Grid_Incoming'!AQ3-'Grid_Requirement'!AQ3))</f>
        <v/>
      </c>
      <c r="AR3">
        <f>IF(COUNTIFS(T_StockCount[RM_Code],$A3,T_StockCount[WeekIndex],43)&gt;0,SUMIFS(T_StockCount[CountedQty],T_StockCount[RM_Code],$A3,T_StockCount[WeekIndex],43),IF((COUNTIFS(T_SelfStock[RM_Code],$A3,T_SelfStock[WeekIndex],43)&gt;0)*(COUNTIFS(T_TTAFStock[RM_Code],$A3,T_TTAFStock[WeekIndex],43)&gt;0)&gt;0,SUMIFS(T_SelfStock[Self_Qty],T_SelfStock[RM_Code],$A3,T_SelfStock[WeekIndex],43)+SUMIFS(T_TTAFStock[TTAF_Qty],T_TTAFStock[RM_Code],$A3,T_TTAFStock[WeekIndex],43),AQ3+'Grid_Incoming'!AR3-'Grid_Requirement'!AR3))</f>
        <v/>
      </c>
      <c r="AS3">
        <f>IF(COUNTIFS(T_StockCount[RM_Code],$A3,T_StockCount[WeekIndex],44)&gt;0,SUMIFS(T_StockCount[CountedQty],T_StockCount[RM_Code],$A3,T_StockCount[WeekIndex],44),IF((COUNTIFS(T_SelfStock[RM_Code],$A3,T_SelfStock[WeekIndex],44)&gt;0)*(COUNTIFS(T_TTAFStock[RM_Code],$A3,T_TTAFStock[WeekIndex],44)&gt;0)&gt;0,SUMIFS(T_SelfStock[Self_Qty],T_SelfStock[RM_Code],$A3,T_SelfStock[WeekIndex],44)+SUMIFS(T_TTAFStock[TTAF_Qty],T_TTAFStock[RM_Code],$A3,T_TTAFStock[WeekIndex],44),AR3+'Grid_Incoming'!AS3-'Grid_Requirement'!AS3))</f>
        <v/>
      </c>
      <c r="AT3">
        <f>IF(COUNTIFS(T_StockCount[RM_Code],$A3,T_StockCount[WeekIndex],45)&gt;0,SUMIFS(T_StockCount[CountedQty],T_StockCount[RM_Code],$A3,T_StockCount[WeekIndex],45),IF((COUNTIFS(T_SelfStock[RM_Code],$A3,T_SelfStock[WeekIndex],45)&gt;0)*(COUNTIFS(T_TTAFStock[RM_Code],$A3,T_TTAFStock[WeekIndex],45)&gt;0)&gt;0,SUMIFS(T_SelfStock[Self_Qty],T_SelfStock[RM_Code],$A3,T_SelfStock[WeekIndex],45)+SUMIFS(T_TTAFStock[TTAF_Qty],T_TTAFStock[RM_Code],$A3,T_TTAFStock[WeekIndex],45),AS3+'Grid_Incoming'!AT3-'Grid_Requirement'!AT3))</f>
        <v/>
      </c>
      <c r="AU3">
        <f>IF(COUNTIFS(T_StockCount[RM_Code],$A3,T_StockCount[WeekIndex],46)&gt;0,SUMIFS(T_StockCount[CountedQty],T_StockCount[RM_Code],$A3,T_StockCount[WeekIndex],46),IF((COUNTIFS(T_SelfStock[RM_Code],$A3,T_SelfStock[WeekIndex],46)&gt;0)*(COUNTIFS(T_TTAFStock[RM_Code],$A3,T_TTAFStock[WeekIndex],46)&gt;0)&gt;0,SUMIFS(T_SelfStock[Self_Qty],T_SelfStock[RM_Code],$A3,T_SelfStock[WeekIndex],46)+SUMIFS(T_TTAFStock[TTAF_Qty],T_TTAFStock[RM_Code],$A3,T_TTAFStock[WeekIndex],46),AT3+'Grid_Incoming'!AU3-'Grid_Requirement'!AU3))</f>
        <v/>
      </c>
      <c r="AV3">
        <f>IF(COUNTIFS(T_StockCount[RM_Code],$A3,T_StockCount[WeekIndex],47)&gt;0,SUMIFS(T_StockCount[CountedQty],T_StockCount[RM_Code],$A3,T_StockCount[WeekIndex],47),IF((COUNTIFS(T_SelfStock[RM_Code],$A3,T_SelfStock[WeekIndex],47)&gt;0)*(COUNTIFS(T_TTAFStock[RM_Code],$A3,T_TTAFStock[WeekIndex],47)&gt;0)&gt;0,SUMIFS(T_SelfStock[Self_Qty],T_SelfStock[RM_Code],$A3,T_SelfStock[WeekIndex],47)+SUMIFS(T_TTAFStock[TTAF_Qty],T_TTAFStock[RM_Code],$A3,T_TTAFStock[WeekIndex],47),AU3+'Grid_Incoming'!AV3-'Grid_Requirement'!AV3))</f>
        <v/>
      </c>
      <c r="AW3">
        <f>IF(COUNTIFS(T_StockCount[RM_Code],$A3,T_StockCount[WeekIndex],48)&gt;0,SUMIFS(T_StockCount[CountedQty],T_StockCount[RM_Code],$A3,T_StockCount[WeekIndex],48),IF((COUNTIFS(T_SelfStock[RM_Code],$A3,T_SelfStock[WeekIndex],48)&gt;0)*(COUNTIFS(T_TTAFStock[RM_Code],$A3,T_TTAFStock[WeekIndex],48)&gt;0)&gt;0,SUMIFS(T_SelfStock[Self_Qty],T_SelfStock[RM_Code],$A3,T_SelfStock[WeekIndex],48)+SUMIFS(T_TTAFStock[TTAF_Qty],T_TTAFStock[RM_Code],$A3,T_TTAFStock[WeekIndex],48),AV3+'Grid_Incoming'!AW3-'Grid_Requirement'!AW3))</f>
        <v/>
      </c>
      <c r="AX3">
        <f>IF(COUNTIFS(T_StockCount[RM_Code],$A3,T_StockCount[WeekIndex],49)&gt;0,SUMIFS(T_StockCount[CountedQty],T_StockCount[RM_Code],$A3,T_StockCount[WeekIndex],49),IF((COUNTIFS(T_SelfStock[RM_Code],$A3,T_SelfStock[WeekIndex],49)&gt;0)*(COUNTIFS(T_TTAFStock[RM_Code],$A3,T_TTAFStock[WeekIndex],49)&gt;0)&gt;0,SUMIFS(T_SelfStock[Self_Qty],T_SelfStock[RM_Code],$A3,T_SelfStock[WeekIndex],49)+SUMIFS(T_TTAFStock[TTAF_Qty],T_TTAFStock[RM_Code],$A3,T_TTAFStock[WeekIndex],49),AW3+'Grid_Incoming'!AX3-'Grid_Requirement'!AX3))</f>
        <v/>
      </c>
      <c r="AY3">
        <f>IF(COUNTIFS(T_StockCount[RM_Code],$A3,T_StockCount[WeekIndex],50)&gt;0,SUMIFS(T_StockCount[CountedQty],T_StockCount[RM_Code],$A3,T_StockCount[WeekIndex],50),IF((COUNTIFS(T_SelfStock[RM_Code],$A3,T_SelfStock[WeekIndex],50)&gt;0)*(COUNTIFS(T_TTAFStock[RM_Code],$A3,T_TTAFStock[WeekIndex],50)&gt;0)&gt;0,SUMIFS(T_SelfStock[Self_Qty],T_SelfStock[RM_Code],$A3,T_SelfStock[WeekIndex],50)+SUMIFS(T_TTAFStock[TTAF_Qty],T_TTAFStock[RM_Code],$A3,T_TTAFStock[WeekIndex],50),AX3+'Grid_Incoming'!AY3-'Grid_Requirement'!AY3))</f>
        <v/>
      </c>
      <c r="AZ3">
        <f>IF(COUNTIFS(T_StockCount[RM_Code],$A3,T_StockCount[WeekIndex],51)&gt;0,SUMIFS(T_StockCount[CountedQty],T_StockCount[RM_Code],$A3,T_StockCount[WeekIndex],51),IF((COUNTIFS(T_SelfStock[RM_Code],$A3,T_SelfStock[WeekIndex],51)&gt;0)*(COUNTIFS(T_TTAFStock[RM_Code],$A3,T_TTAFStock[WeekIndex],51)&gt;0)&gt;0,SUMIFS(T_SelfStock[Self_Qty],T_SelfStock[RM_Code],$A3,T_SelfStock[WeekIndex],51)+SUMIFS(T_TTAFStock[TTAF_Qty],T_TTAFStock[RM_Code],$A3,T_TTAFStock[WeekIndex],51),AY3+'Grid_Incoming'!AZ3-'Grid_Requirement'!AZ3))</f>
        <v/>
      </c>
      <c r="BA3">
        <f>IF(COUNTIFS(T_StockCount[RM_Code],$A3,T_StockCount[WeekIndex],52)&gt;0,SUMIFS(T_StockCount[CountedQty],T_StockCount[RM_Code],$A3,T_StockCount[WeekIndex],52),IF((COUNTIFS(T_SelfStock[RM_Code],$A3,T_SelfStock[WeekIndex],52)&gt;0)*(COUNTIFS(T_TTAFStock[RM_Code],$A3,T_TTAFStock[WeekIndex],52)&gt;0)&gt;0,SUMIFS(T_SelfStock[Self_Qty],T_SelfStock[RM_Code],$A3,T_SelfStock[WeekIndex],52)+SUMIFS(T_TTAFStock[TTAF_Qty],T_TTAFStock[RM_Code],$A3,T_TTAFStock[WeekIndex],52),AZ3+'Grid_Incoming'!BA3-'Grid_Requirement'!BA3))</f>
        <v/>
      </c>
      <c r="BB3">
        <f>IF(COUNTIFS(T_StockCount[RM_Code],$A3,T_StockCount[WeekIndex],53)&gt;0,SUMIFS(T_StockCount[CountedQty],T_StockCount[RM_Code],$A3,T_StockCount[WeekIndex],53),IF((COUNTIFS(T_SelfStock[RM_Code],$A3,T_SelfStock[WeekIndex],53)&gt;0)*(COUNTIFS(T_TTAFStock[RM_Code],$A3,T_TTAFStock[WeekIndex],53)&gt;0)&gt;0,SUMIFS(T_SelfStock[Self_Qty],T_SelfStock[RM_Code],$A3,T_SelfStock[WeekIndex],53)+SUMIFS(T_TTAFStock[TTAF_Qty],T_TTAFStock[RM_Code],$A3,T_TTAFStock[WeekIndex],53),BA3+'Grid_Incoming'!BB3-'Grid_Requirement'!BB3))</f>
        <v/>
      </c>
      <c r="BC3">
        <f>IF(COUNTIFS(T_StockCount[RM_Code],$A3,T_StockCount[WeekIndex],54)&gt;0,SUMIFS(T_StockCount[CountedQty],T_StockCount[RM_Code],$A3,T_StockCount[WeekIndex],54),IF((COUNTIFS(T_SelfStock[RM_Code],$A3,T_SelfStock[WeekIndex],54)&gt;0)*(COUNTIFS(T_TTAFStock[RM_Code],$A3,T_TTAFStock[WeekIndex],54)&gt;0)&gt;0,SUMIFS(T_SelfStock[Self_Qty],T_SelfStock[RM_Code],$A3,T_SelfStock[WeekIndex],54)+SUMIFS(T_TTAFStock[TTAF_Qty],T_TTAFStock[RM_Code],$A3,T_TTAFStock[WeekIndex],54),BB3+'Grid_Incoming'!BC3-'Grid_Requirement'!BC3))</f>
        <v/>
      </c>
      <c r="BD3">
        <f>IF(COUNTIFS(T_StockCount[RM_Code],$A3,T_StockCount[WeekIndex],55)&gt;0,SUMIFS(T_StockCount[CountedQty],T_StockCount[RM_Code],$A3,T_StockCount[WeekIndex],55),IF((COUNTIFS(T_SelfStock[RM_Code],$A3,T_SelfStock[WeekIndex],55)&gt;0)*(COUNTIFS(T_TTAFStock[RM_Code],$A3,T_TTAFStock[WeekIndex],55)&gt;0)&gt;0,SUMIFS(T_SelfStock[Self_Qty],T_SelfStock[RM_Code],$A3,T_SelfStock[WeekIndex],55)+SUMIFS(T_TTAFStock[TTAF_Qty],T_TTAFStock[RM_Code],$A3,T_TTAFStock[WeekIndex],55),BC3+'Grid_Incoming'!BD3-'Grid_Requirement'!BD3))</f>
        <v/>
      </c>
      <c r="BE3">
        <f>IF(COUNTIFS(T_StockCount[RM_Code],$A3,T_StockCount[WeekIndex],56)&gt;0,SUMIFS(T_StockCount[CountedQty],T_StockCount[RM_Code],$A3,T_StockCount[WeekIndex],56),IF((COUNTIFS(T_SelfStock[RM_Code],$A3,T_SelfStock[WeekIndex],56)&gt;0)*(COUNTIFS(T_TTAFStock[RM_Code],$A3,T_TTAFStock[WeekIndex],56)&gt;0)&gt;0,SUMIFS(T_SelfStock[Self_Qty],T_SelfStock[RM_Code],$A3,T_SelfStock[WeekIndex],56)+SUMIFS(T_TTAFStock[TTAF_Qty],T_TTAFStock[RM_Code],$A3,T_TTAFStock[WeekIndex],56),BD3+'Grid_Incoming'!BE3-'Grid_Requirement'!BE3))</f>
        <v/>
      </c>
      <c r="BF3">
        <f>IF(COUNTIFS(T_StockCount[RM_Code],$A3,T_StockCount[WeekIndex],57)&gt;0,SUMIFS(T_StockCount[CountedQty],T_StockCount[RM_Code],$A3,T_StockCount[WeekIndex],57),IF((COUNTIFS(T_SelfStock[RM_Code],$A3,T_SelfStock[WeekIndex],57)&gt;0)*(COUNTIFS(T_TTAFStock[RM_Code],$A3,T_TTAFStock[WeekIndex],57)&gt;0)&gt;0,SUMIFS(T_SelfStock[Self_Qty],T_SelfStock[RM_Code],$A3,T_SelfStock[WeekIndex],57)+SUMIFS(T_TTAFStock[TTAF_Qty],T_TTAFStock[RM_Code],$A3,T_TTAFStock[WeekIndex],57),BE3+'Grid_Incoming'!BF3-'Grid_Requirement'!BF3))</f>
        <v/>
      </c>
      <c r="BG3">
        <f>IF(COUNTIFS(T_StockCount[RM_Code],$A3,T_StockCount[WeekIndex],58)&gt;0,SUMIFS(T_StockCount[CountedQty],T_StockCount[RM_Code],$A3,T_StockCount[WeekIndex],58),IF((COUNTIFS(T_SelfStock[RM_Code],$A3,T_SelfStock[WeekIndex],58)&gt;0)*(COUNTIFS(T_TTAFStock[RM_Code],$A3,T_TTAFStock[WeekIndex],58)&gt;0)&gt;0,SUMIFS(T_SelfStock[Self_Qty],T_SelfStock[RM_Code],$A3,T_SelfStock[WeekIndex],58)+SUMIFS(T_TTAFStock[TTAF_Qty],T_TTAFStock[RM_Code],$A3,T_TTAFStock[WeekIndex],58),BF3+'Grid_Incoming'!BG3-'Grid_Requirement'!BG3))</f>
        <v/>
      </c>
      <c r="BH3">
        <f>IF(COUNTIFS(T_StockCount[RM_Code],$A3,T_StockCount[WeekIndex],59)&gt;0,SUMIFS(T_StockCount[CountedQty],T_StockCount[RM_Code],$A3,T_StockCount[WeekIndex],59),IF((COUNTIFS(T_SelfStock[RM_Code],$A3,T_SelfStock[WeekIndex],59)&gt;0)*(COUNTIFS(T_TTAFStock[RM_Code],$A3,T_TTAFStock[WeekIndex],59)&gt;0)&gt;0,SUMIFS(T_SelfStock[Self_Qty],T_SelfStock[RM_Code],$A3,T_SelfStock[WeekIndex],59)+SUMIFS(T_TTAFStock[TTAF_Qty],T_TTAFStock[RM_Code],$A3,T_TTAFStock[WeekIndex],59),BG3+'Grid_Incoming'!BH3-'Grid_Requirement'!BH3))</f>
        <v/>
      </c>
      <c r="BI3">
        <f>IF(COUNTIFS(T_StockCount[RM_Code],$A3,T_StockCount[WeekIndex],60)&gt;0,SUMIFS(T_StockCount[CountedQty],T_StockCount[RM_Code],$A3,T_StockCount[WeekIndex],60),IF((COUNTIFS(T_SelfStock[RM_Code],$A3,T_SelfStock[WeekIndex],60)&gt;0)*(COUNTIFS(T_TTAFStock[RM_Code],$A3,T_TTAFStock[WeekIndex],60)&gt;0)&gt;0,SUMIFS(T_SelfStock[Self_Qty],T_SelfStock[RM_Code],$A3,T_SelfStock[WeekIndex],60)+SUMIFS(T_TTAFStock[TTAF_Qty],T_TTAFStock[RM_Code],$A3,T_TTAFStock[WeekIndex],60),BH3+'Grid_Incoming'!BI3-'Grid_Requirement'!BI3))</f>
        <v/>
      </c>
      <c r="BJ3">
        <f>IF(COUNTIFS(T_StockCount[RM_Code],$A3,T_StockCount[WeekIndex],61)&gt;0,SUMIFS(T_StockCount[CountedQty],T_StockCount[RM_Code],$A3,T_StockCount[WeekIndex],61),IF((COUNTIFS(T_SelfStock[RM_Code],$A3,T_SelfStock[WeekIndex],61)&gt;0)*(COUNTIFS(T_TTAFStock[RM_Code],$A3,T_TTAFStock[WeekIndex],61)&gt;0)&gt;0,SUMIFS(T_SelfStock[Self_Qty],T_SelfStock[RM_Code],$A3,T_SelfStock[WeekIndex],61)+SUMIFS(T_TTAFStock[TTAF_Qty],T_TTAFStock[RM_Code],$A3,T_TTAFStock[WeekIndex],61),BI3+'Grid_Incoming'!BJ3-'Grid_Requirement'!BJ3))</f>
        <v/>
      </c>
      <c r="BK3">
        <f>IF(COUNTIFS(T_StockCount[RM_Code],$A3,T_StockCount[WeekIndex],62)&gt;0,SUMIFS(T_StockCount[CountedQty],T_StockCount[RM_Code],$A3,T_StockCount[WeekIndex],62),IF((COUNTIFS(T_SelfStock[RM_Code],$A3,T_SelfStock[WeekIndex],62)&gt;0)*(COUNTIFS(T_TTAFStock[RM_Code],$A3,T_TTAFStock[WeekIndex],62)&gt;0)&gt;0,SUMIFS(T_SelfStock[Self_Qty],T_SelfStock[RM_Code],$A3,T_SelfStock[WeekIndex],62)+SUMIFS(T_TTAFStock[TTAF_Qty],T_TTAFStock[RM_Code],$A3,T_TTAFStock[WeekIndex],62),BJ3+'Grid_Incoming'!BK3-'Grid_Requirement'!BK3))</f>
        <v/>
      </c>
      <c r="BL3">
        <f>IF(COUNTIFS(T_StockCount[RM_Code],$A3,T_StockCount[WeekIndex],63)&gt;0,SUMIFS(T_StockCount[CountedQty],T_StockCount[RM_Code],$A3,T_StockCount[WeekIndex],63),IF((COUNTIFS(T_SelfStock[RM_Code],$A3,T_SelfStock[WeekIndex],63)&gt;0)*(COUNTIFS(T_TTAFStock[RM_Code],$A3,T_TTAFStock[WeekIndex],63)&gt;0)&gt;0,SUMIFS(T_SelfStock[Self_Qty],T_SelfStock[RM_Code],$A3,T_SelfStock[WeekIndex],63)+SUMIFS(T_TTAFStock[TTAF_Qty],T_TTAFStock[RM_Code],$A3,T_TTAFStock[WeekIndex],63),BK3+'Grid_Incoming'!BL3-'Grid_Requirement'!BL3))</f>
        <v/>
      </c>
      <c r="BM3">
        <f>IF(COUNTIFS(T_StockCount[RM_Code],$A3,T_StockCount[WeekIndex],64)&gt;0,SUMIFS(T_StockCount[CountedQty],T_StockCount[RM_Code],$A3,T_StockCount[WeekIndex],64),IF((COUNTIFS(T_SelfStock[RM_Code],$A3,T_SelfStock[WeekIndex],64)&gt;0)*(COUNTIFS(T_TTAFStock[RM_Code],$A3,T_TTAFStock[WeekIndex],64)&gt;0)&gt;0,SUMIFS(T_SelfStock[Self_Qty],T_SelfStock[RM_Code],$A3,T_SelfStock[WeekIndex],64)+SUMIFS(T_TTAFStock[TTAF_Qty],T_TTAFStock[RM_Code],$A3,T_TTAFStock[WeekIndex],64),BL3+'Grid_Incoming'!BM3-'Grid_Requirement'!BM3))</f>
        <v/>
      </c>
      <c r="BN3">
        <f>IF(COUNTIFS(T_StockCount[RM_Code],$A3,T_StockCount[WeekIndex],65)&gt;0,SUMIFS(T_StockCount[CountedQty],T_StockCount[RM_Code],$A3,T_StockCount[WeekIndex],65),IF((COUNTIFS(T_SelfStock[RM_Code],$A3,T_SelfStock[WeekIndex],65)&gt;0)*(COUNTIFS(T_TTAFStock[RM_Code],$A3,T_TTAFStock[WeekIndex],65)&gt;0)&gt;0,SUMIFS(T_SelfStock[Self_Qty],T_SelfStock[RM_Code],$A3,T_SelfStock[WeekIndex],65)+SUMIFS(T_TTAFStock[TTAF_Qty],T_TTAFStock[RM_Code],$A3,T_TTAFStock[WeekIndex],65),BM3+'Grid_Incoming'!BN3-'Grid_Requirement'!BN3))</f>
        <v/>
      </c>
      <c r="BO3">
        <f>IF(COUNTIFS(T_StockCount[RM_Code],$A3,T_StockCount[WeekIndex],66)&gt;0,SUMIFS(T_StockCount[CountedQty],T_StockCount[RM_Code],$A3,T_StockCount[WeekIndex],66),IF((COUNTIFS(T_SelfStock[RM_Code],$A3,T_SelfStock[WeekIndex],66)&gt;0)*(COUNTIFS(T_TTAFStock[RM_Code],$A3,T_TTAFStock[WeekIndex],66)&gt;0)&gt;0,SUMIFS(T_SelfStock[Self_Qty],T_SelfStock[RM_Code],$A3,T_SelfStock[WeekIndex],66)+SUMIFS(T_TTAFStock[TTAF_Qty],T_TTAFStock[RM_Code],$A3,T_TTAFStock[WeekIndex],66),BN3+'Grid_Incoming'!BO3-'Grid_Requirement'!BO3))</f>
        <v/>
      </c>
      <c r="BP3">
        <f>IF(COUNTIFS(T_StockCount[RM_Code],$A3,T_StockCount[WeekIndex],67)&gt;0,SUMIFS(T_StockCount[CountedQty],T_StockCount[RM_Code],$A3,T_StockCount[WeekIndex],67),IF((COUNTIFS(T_SelfStock[RM_Code],$A3,T_SelfStock[WeekIndex],67)&gt;0)*(COUNTIFS(T_TTAFStock[RM_Code],$A3,T_TTAFStock[WeekIndex],67)&gt;0)&gt;0,SUMIFS(T_SelfStock[Self_Qty],T_SelfStock[RM_Code],$A3,T_SelfStock[WeekIndex],67)+SUMIFS(T_TTAFStock[TTAF_Qty],T_TTAFStock[RM_Code],$A3,T_TTAFStock[WeekIndex],67),BO3+'Grid_Incoming'!BP3-'Grid_Requirement'!BP3))</f>
        <v/>
      </c>
      <c r="BQ3">
        <f>IF(COUNTIFS(T_StockCount[RM_Code],$A3,T_StockCount[WeekIndex],68)&gt;0,SUMIFS(T_StockCount[CountedQty],T_StockCount[RM_Code],$A3,T_StockCount[WeekIndex],68),IF((COUNTIFS(T_SelfStock[RM_Code],$A3,T_SelfStock[WeekIndex],68)&gt;0)*(COUNTIFS(T_TTAFStock[RM_Code],$A3,T_TTAFStock[WeekIndex],68)&gt;0)&gt;0,SUMIFS(T_SelfStock[Self_Qty],T_SelfStock[RM_Code],$A3,T_SelfStock[WeekIndex],68)+SUMIFS(T_TTAFStock[TTAF_Qty],T_TTAFStock[RM_Code],$A3,T_TTAFStock[WeekIndex],68),BP3+'Grid_Incoming'!BQ3-'Grid_Requirement'!BQ3))</f>
        <v/>
      </c>
      <c r="BR3">
        <f>IF(COUNTIFS(T_StockCount[RM_Code],$A3,T_StockCount[WeekIndex],69)&gt;0,SUMIFS(T_StockCount[CountedQty],T_StockCount[RM_Code],$A3,T_StockCount[WeekIndex],69),IF((COUNTIFS(T_SelfStock[RM_Code],$A3,T_SelfStock[WeekIndex],69)&gt;0)*(COUNTIFS(T_TTAFStock[RM_Code],$A3,T_TTAFStock[WeekIndex],69)&gt;0)&gt;0,SUMIFS(T_SelfStock[Self_Qty],T_SelfStock[RM_Code],$A3,T_SelfStock[WeekIndex],69)+SUMIFS(T_TTAFStock[TTAF_Qty],T_TTAFStock[RM_Code],$A3,T_TTAFStock[WeekIndex],69),BQ3+'Grid_Incoming'!BR3-'Grid_Requirement'!BR3))</f>
        <v/>
      </c>
      <c r="BS3">
        <f>IF(COUNTIFS(T_StockCount[RM_Code],$A3,T_StockCount[WeekIndex],70)&gt;0,SUMIFS(T_StockCount[CountedQty],T_StockCount[RM_Code],$A3,T_StockCount[WeekIndex],70),IF((COUNTIFS(T_SelfStock[RM_Code],$A3,T_SelfStock[WeekIndex],70)&gt;0)*(COUNTIFS(T_TTAFStock[RM_Code],$A3,T_TTAFStock[WeekIndex],70)&gt;0)&gt;0,SUMIFS(T_SelfStock[Self_Qty],T_SelfStock[RM_Code],$A3,T_SelfStock[WeekIndex],70)+SUMIFS(T_TTAFStock[TTAF_Qty],T_TTAFStock[RM_Code],$A3,T_TTAFStock[WeekIndex],70),BR3+'Grid_Incoming'!BS3-'Grid_Requirement'!BS3))</f>
        <v/>
      </c>
      <c r="BT3">
        <f>IF(COUNTIFS(T_StockCount[RM_Code],$A3,T_StockCount[WeekIndex],71)&gt;0,SUMIFS(T_StockCount[CountedQty],T_StockCount[RM_Code],$A3,T_StockCount[WeekIndex],71),IF((COUNTIFS(T_SelfStock[RM_Code],$A3,T_SelfStock[WeekIndex],71)&gt;0)*(COUNTIFS(T_TTAFStock[RM_Code],$A3,T_TTAFStock[WeekIndex],71)&gt;0)&gt;0,SUMIFS(T_SelfStock[Self_Qty],T_SelfStock[RM_Code],$A3,T_SelfStock[WeekIndex],71)+SUMIFS(T_TTAFStock[TTAF_Qty],T_TTAFStock[RM_Code],$A3,T_TTAFStock[WeekIndex],71),BS3+'Grid_Incoming'!BT3-'Grid_Requirement'!BT3))</f>
        <v/>
      </c>
      <c r="BU3">
        <f>IF(COUNTIFS(T_StockCount[RM_Code],$A3,T_StockCount[WeekIndex],72)&gt;0,SUMIFS(T_StockCount[CountedQty],T_StockCount[RM_Code],$A3,T_StockCount[WeekIndex],72),IF((COUNTIFS(T_SelfStock[RM_Code],$A3,T_SelfStock[WeekIndex],72)&gt;0)*(COUNTIFS(T_TTAFStock[RM_Code],$A3,T_TTAFStock[WeekIndex],72)&gt;0)&gt;0,SUMIFS(T_SelfStock[Self_Qty],T_SelfStock[RM_Code],$A3,T_SelfStock[WeekIndex],72)+SUMIFS(T_TTAFStock[TTAF_Qty],T_TTAFStock[RM_Code],$A3,T_TTAFStock[WeekIndex],72),BT3+'Grid_Incoming'!BU3-'Grid_Requirement'!BU3))</f>
        <v/>
      </c>
      <c r="BV3">
        <f>IF(COUNTIFS(T_StockCount[RM_Code],$A3,T_StockCount[WeekIndex],73)&gt;0,SUMIFS(T_StockCount[CountedQty],T_StockCount[RM_Code],$A3,T_StockCount[WeekIndex],73),IF((COUNTIFS(T_SelfStock[RM_Code],$A3,T_SelfStock[WeekIndex],73)&gt;0)*(COUNTIFS(T_TTAFStock[RM_Code],$A3,T_TTAFStock[WeekIndex],73)&gt;0)&gt;0,SUMIFS(T_SelfStock[Self_Qty],T_SelfStock[RM_Code],$A3,T_SelfStock[WeekIndex],73)+SUMIFS(T_TTAFStock[TTAF_Qty],T_TTAFStock[RM_Code],$A3,T_TTAFStock[WeekIndex],73),BU3+'Grid_Incoming'!BV3-'Grid_Requirement'!BV3))</f>
        <v/>
      </c>
      <c r="BW3">
        <f>IF(COUNTIFS(T_StockCount[RM_Code],$A3,T_StockCount[WeekIndex],74)&gt;0,SUMIFS(T_StockCount[CountedQty],T_StockCount[RM_Code],$A3,T_StockCount[WeekIndex],74),IF((COUNTIFS(T_SelfStock[RM_Code],$A3,T_SelfStock[WeekIndex],74)&gt;0)*(COUNTIFS(T_TTAFStock[RM_Code],$A3,T_TTAFStock[WeekIndex],74)&gt;0)&gt;0,SUMIFS(T_SelfStock[Self_Qty],T_SelfStock[RM_Code],$A3,T_SelfStock[WeekIndex],74)+SUMIFS(T_TTAFStock[TTAF_Qty],T_TTAFStock[RM_Code],$A3,T_TTAFStock[WeekIndex],74),BV3+'Grid_Incoming'!BW3-'Grid_Requirement'!BW3))</f>
        <v/>
      </c>
      <c r="BX3">
        <f>IF(COUNTIFS(T_StockCount[RM_Code],$A3,T_StockCount[WeekIndex],75)&gt;0,SUMIFS(T_StockCount[CountedQty],T_StockCount[RM_Code],$A3,T_StockCount[WeekIndex],75),IF((COUNTIFS(T_SelfStock[RM_Code],$A3,T_SelfStock[WeekIndex],75)&gt;0)*(COUNTIFS(T_TTAFStock[RM_Code],$A3,T_TTAFStock[WeekIndex],75)&gt;0)&gt;0,SUMIFS(T_SelfStock[Self_Qty],T_SelfStock[RM_Code],$A3,T_SelfStock[WeekIndex],75)+SUMIFS(T_TTAFStock[TTAF_Qty],T_TTAFStock[RM_Code],$A3,T_TTAFStock[WeekIndex],75),BW3+'Grid_Incoming'!BX3-'Grid_Requirement'!BX3))</f>
        <v/>
      </c>
      <c r="BY3">
        <f>IF(COUNTIFS(T_StockCount[RM_Code],$A3,T_StockCount[WeekIndex],76)&gt;0,SUMIFS(T_StockCount[CountedQty],T_StockCount[RM_Code],$A3,T_StockCount[WeekIndex],76),IF((COUNTIFS(T_SelfStock[RM_Code],$A3,T_SelfStock[WeekIndex],76)&gt;0)*(COUNTIFS(T_TTAFStock[RM_Code],$A3,T_TTAFStock[WeekIndex],76)&gt;0)&gt;0,SUMIFS(T_SelfStock[Self_Qty],T_SelfStock[RM_Code],$A3,T_SelfStock[WeekIndex],76)+SUMIFS(T_TTAFStock[TTAF_Qty],T_TTAFStock[RM_Code],$A3,T_TTAFStock[WeekIndex],76),BX3+'Grid_Incoming'!BY3-'Grid_Requirement'!BY3))</f>
        <v/>
      </c>
      <c r="BZ3">
        <f>IF(COUNTIFS(T_StockCount[RM_Code],$A3,T_StockCount[WeekIndex],77)&gt;0,SUMIFS(T_StockCount[CountedQty],T_StockCount[RM_Code],$A3,T_StockCount[WeekIndex],77),IF((COUNTIFS(T_SelfStock[RM_Code],$A3,T_SelfStock[WeekIndex],77)&gt;0)*(COUNTIFS(T_TTAFStock[RM_Code],$A3,T_TTAFStock[WeekIndex],77)&gt;0)&gt;0,SUMIFS(T_SelfStock[Self_Qty],T_SelfStock[RM_Code],$A3,T_SelfStock[WeekIndex],77)+SUMIFS(T_TTAFStock[TTAF_Qty],T_TTAFStock[RM_Code],$A3,T_TTAFStock[WeekIndex],77),BY3+'Grid_Incoming'!BZ3-'Grid_Requirement'!BZ3))</f>
        <v/>
      </c>
      <c r="CA3">
        <f>IF(COUNTIFS(T_StockCount[RM_Code],$A3,T_StockCount[WeekIndex],78)&gt;0,SUMIFS(T_StockCount[CountedQty],T_StockCount[RM_Code],$A3,T_StockCount[WeekIndex],78),IF((COUNTIFS(T_SelfStock[RM_Code],$A3,T_SelfStock[WeekIndex],78)&gt;0)*(COUNTIFS(T_TTAFStock[RM_Code],$A3,T_TTAFStock[WeekIndex],78)&gt;0)&gt;0,SUMIFS(T_SelfStock[Self_Qty],T_SelfStock[RM_Code],$A3,T_SelfStock[WeekIndex],78)+SUMIFS(T_TTAFStock[TTAF_Qty],T_TTAFStock[RM_Code],$A3,T_TTAFStock[WeekIndex],78),BZ3+'Grid_Incoming'!CA3-'Grid_Requirement'!CA3))</f>
        <v/>
      </c>
      <c r="CB3">
        <f>IF(COUNTIFS(T_StockCount[RM_Code],$A3,T_StockCount[WeekIndex],79)&gt;0,SUMIFS(T_StockCount[CountedQty],T_StockCount[RM_Code],$A3,T_StockCount[WeekIndex],79),IF((COUNTIFS(T_SelfStock[RM_Code],$A3,T_SelfStock[WeekIndex],79)&gt;0)*(COUNTIFS(T_TTAFStock[RM_Code],$A3,T_TTAFStock[WeekIndex],79)&gt;0)&gt;0,SUMIFS(T_SelfStock[Self_Qty],T_SelfStock[RM_Code],$A3,T_SelfStock[WeekIndex],79)+SUMIFS(T_TTAFStock[TTAF_Qty],T_TTAFStock[RM_Code],$A3,T_TTAFStock[WeekIndex],79),CA3+'Grid_Incoming'!CB3-'Grid_Requirement'!CB3))</f>
        <v/>
      </c>
      <c r="CC3">
        <f>IF(COUNTIFS(T_StockCount[RM_Code],$A3,T_StockCount[WeekIndex],80)&gt;0,SUMIFS(T_StockCount[CountedQty],T_StockCount[RM_Code],$A3,T_StockCount[WeekIndex],80),IF((COUNTIFS(T_SelfStock[RM_Code],$A3,T_SelfStock[WeekIndex],80)&gt;0)*(COUNTIFS(T_TTAFStock[RM_Code],$A3,T_TTAFStock[WeekIndex],80)&gt;0)&gt;0,SUMIFS(T_SelfStock[Self_Qty],T_SelfStock[RM_Code],$A3,T_SelfStock[WeekIndex],80)+SUMIFS(T_TTAFStock[TTAF_Qty],T_TTAFStock[RM_Code],$A3,T_TTAFStock[WeekIndex],80),CB3+'Grid_Incoming'!CC3-'Grid_Requirement'!CC3))</f>
        <v/>
      </c>
      <c r="CD3">
        <f>IF(COUNTIFS(T_StockCount[RM_Code],$A3,T_StockCount[WeekIndex],81)&gt;0,SUMIFS(T_StockCount[CountedQty],T_StockCount[RM_Code],$A3,T_StockCount[WeekIndex],81),IF((COUNTIFS(T_SelfStock[RM_Code],$A3,T_SelfStock[WeekIndex],81)&gt;0)*(COUNTIFS(T_TTAFStock[RM_Code],$A3,T_TTAFStock[WeekIndex],81)&gt;0)&gt;0,SUMIFS(T_SelfStock[Self_Qty],T_SelfStock[RM_Code],$A3,T_SelfStock[WeekIndex],81)+SUMIFS(T_TTAFStock[TTAF_Qty],T_TTAFStock[RM_Code],$A3,T_TTAFStock[WeekIndex],81),CC3+'Grid_Incoming'!CD3-'Grid_Requirement'!CD3))</f>
        <v/>
      </c>
      <c r="CE3">
        <f>IF(COUNTIFS(T_StockCount[RM_Code],$A3,T_StockCount[WeekIndex],82)&gt;0,SUMIFS(T_StockCount[CountedQty],T_StockCount[RM_Code],$A3,T_StockCount[WeekIndex],82),IF((COUNTIFS(T_SelfStock[RM_Code],$A3,T_SelfStock[WeekIndex],82)&gt;0)*(COUNTIFS(T_TTAFStock[RM_Code],$A3,T_TTAFStock[WeekIndex],82)&gt;0)&gt;0,SUMIFS(T_SelfStock[Self_Qty],T_SelfStock[RM_Code],$A3,T_SelfStock[WeekIndex],82)+SUMIFS(T_TTAFStock[TTAF_Qty],T_TTAFStock[RM_Code],$A3,T_TTAFStock[WeekIndex],82),CD3+'Grid_Incoming'!CE3-'Grid_Requirement'!CE3))</f>
        <v/>
      </c>
      <c r="CF3">
        <f>IF(COUNTIFS(T_StockCount[RM_Code],$A3,T_StockCount[WeekIndex],83)&gt;0,SUMIFS(T_StockCount[CountedQty],T_StockCount[RM_Code],$A3,T_StockCount[WeekIndex],83),IF((COUNTIFS(T_SelfStock[RM_Code],$A3,T_SelfStock[WeekIndex],83)&gt;0)*(COUNTIFS(T_TTAFStock[RM_Code],$A3,T_TTAFStock[WeekIndex],83)&gt;0)&gt;0,SUMIFS(T_SelfStock[Self_Qty],T_SelfStock[RM_Code],$A3,T_SelfStock[WeekIndex],83)+SUMIFS(T_TTAFStock[TTAF_Qty],T_TTAFStock[RM_Code],$A3,T_TTAFStock[WeekIndex],83),CE3+'Grid_Incoming'!CF3-'Grid_Requirement'!CF3))</f>
        <v/>
      </c>
      <c r="CG3">
        <f>IF(COUNTIFS(T_StockCount[RM_Code],$A3,T_StockCount[WeekIndex],84)&gt;0,SUMIFS(T_StockCount[CountedQty],T_StockCount[RM_Code],$A3,T_StockCount[WeekIndex],84),IF((COUNTIFS(T_SelfStock[RM_Code],$A3,T_SelfStock[WeekIndex],84)&gt;0)*(COUNTIFS(T_TTAFStock[RM_Code],$A3,T_TTAFStock[WeekIndex],84)&gt;0)&gt;0,SUMIFS(T_SelfStock[Self_Qty],T_SelfStock[RM_Code],$A3,T_SelfStock[WeekIndex],84)+SUMIFS(T_TTAFStock[TTAF_Qty],T_TTAFStock[RM_Code],$A3,T_TTAFStock[WeekIndex],84),CF3+'Grid_Incoming'!CG3-'Grid_Requirement'!CG3))</f>
        <v/>
      </c>
      <c r="CH3">
        <f>IF(COUNTIFS(T_StockCount[RM_Code],$A3,T_StockCount[WeekIndex],85)&gt;0,SUMIFS(T_StockCount[CountedQty],T_StockCount[RM_Code],$A3,T_StockCount[WeekIndex],85),IF((COUNTIFS(T_SelfStock[RM_Code],$A3,T_SelfStock[WeekIndex],85)&gt;0)*(COUNTIFS(T_TTAFStock[RM_Code],$A3,T_TTAFStock[WeekIndex],85)&gt;0)&gt;0,SUMIFS(T_SelfStock[Self_Qty],T_SelfStock[RM_Code],$A3,T_SelfStock[WeekIndex],85)+SUMIFS(T_TTAFStock[TTAF_Qty],T_TTAFStock[RM_Code],$A3,T_TTAFStock[WeekIndex],85),CG3+'Grid_Incoming'!CH3-'Grid_Requirement'!CH3))</f>
        <v/>
      </c>
      <c r="CI3">
        <f>IF(COUNTIFS(T_StockCount[RM_Code],$A3,T_StockCount[WeekIndex],86)&gt;0,SUMIFS(T_StockCount[CountedQty],T_StockCount[RM_Code],$A3,T_StockCount[WeekIndex],86),IF((COUNTIFS(T_SelfStock[RM_Code],$A3,T_SelfStock[WeekIndex],86)&gt;0)*(COUNTIFS(T_TTAFStock[RM_Code],$A3,T_TTAFStock[WeekIndex],86)&gt;0)&gt;0,SUMIFS(T_SelfStock[Self_Qty],T_SelfStock[RM_Code],$A3,T_SelfStock[WeekIndex],86)+SUMIFS(T_TTAFStock[TTAF_Qty],T_TTAFStock[RM_Code],$A3,T_TTAFStock[WeekIndex],86),CH3+'Grid_Incoming'!CI3-'Grid_Requirement'!CI3))</f>
        <v/>
      </c>
      <c r="CJ3">
        <f>IF(COUNTIFS(T_StockCount[RM_Code],$A3,T_StockCount[WeekIndex],87)&gt;0,SUMIFS(T_StockCount[CountedQty],T_StockCount[RM_Code],$A3,T_StockCount[WeekIndex],87),IF((COUNTIFS(T_SelfStock[RM_Code],$A3,T_SelfStock[WeekIndex],87)&gt;0)*(COUNTIFS(T_TTAFStock[RM_Code],$A3,T_TTAFStock[WeekIndex],87)&gt;0)&gt;0,SUMIFS(T_SelfStock[Self_Qty],T_SelfStock[RM_Code],$A3,T_SelfStock[WeekIndex],87)+SUMIFS(T_TTAFStock[TTAF_Qty],T_TTAFStock[RM_Code],$A3,T_TTAFStock[WeekIndex],87),CI3+'Grid_Incoming'!CJ3-'Grid_Requirement'!CJ3))</f>
        <v/>
      </c>
      <c r="CK3">
        <f>IF(COUNTIFS(T_StockCount[RM_Code],$A3,T_StockCount[WeekIndex],88)&gt;0,SUMIFS(T_StockCount[CountedQty],T_StockCount[RM_Code],$A3,T_StockCount[WeekIndex],88),IF((COUNTIFS(T_SelfStock[RM_Code],$A3,T_SelfStock[WeekIndex],88)&gt;0)*(COUNTIFS(T_TTAFStock[RM_Code],$A3,T_TTAFStock[WeekIndex],88)&gt;0)&gt;0,SUMIFS(T_SelfStock[Self_Qty],T_SelfStock[RM_Code],$A3,T_SelfStock[WeekIndex],88)+SUMIFS(T_TTAFStock[TTAF_Qty],T_TTAFStock[RM_Code],$A3,T_TTAFStock[WeekIndex],88),CJ3+'Grid_Incoming'!CK3-'Grid_Requirement'!CK3))</f>
        <v/>
      </c>
      <c r="CL3">
        <f>IF(COUNTIFS(T_StockCount[RM_Code],$A3,T_StockCount[WeekIndex],89)&gt;0,SUMIFS(T_StockCount[CountedQty],T_StockCount[RM_Code],$A3,T_StockCount[WeekIndex],89),IF((COUNTIFS(T_SelfStock[RM_Code],$A3,T_SelfStock[WeekIndex],89)&gt;0)*(COUNTIFS(T_TTAFStock[RM_Code],$A3,T_TTAFStock[WeekIndex],89)&gt;0)&gt;0,SUMIFS(T_SelfStock[Self_Qty],T_SelfStock[RM_Code],$A3,T_SelfStock[WeekIndex],89)+SUMIFS(T_TTAFStock[TTAF_Qty],T_TTAFStock[RM_Code],$A3,T_TTAFStock[WeekIndex],89),CK3+'Grid_Incoming'!CL3-'Grid_Requirement'!CL3))</f>
        <v/>
      </c>
      <c r="CM3">
        <f>IF(COUNTIFS(T_StockCount[RM_Code],$A3,T_StockCount[WeekIndex],90)&gt;0,SUMIFS(T_StockCount[CountedQty],T_StockCount[RM_Code],$A3,T_StockCount[WeekIndex],90),IF((COUNTIFS(T_SelfStock[RM_Code],$A3,T_SelfStock[WeekIndex],90)&gt;0)*(COUNTIFS(T_TTAFStock[RM_Code],$A3,T_TTAFStock[WeekIndex],90)&gt;0)&gt;0,SUMIFS(T_SelfStock[Self_Qty],T_SelfStock[RM_Code],$A3,T_SelfStock[WeekIndex],90)+SUMIFS(T_TTAFStock[TTAF_Qty],T_TTAFStock[RM_Code],$A3,T_TTAFStock[WeekIndex],90),CL3+'Grid_Incoming'!CM3-'Grid_Requirement'!CM3))</f>
        <v/>
      </c>
      <c r="CN3">
        <f>IF(COUNTIFS(T_StockCount[RM_Code],$A3,T_StockCount[WeekIndex],91)&gt;0,SUMIFS(T_StockCount[CountedQty],T_StockCount[RM_Code],$A3,T_StockCount[WeekIndex],91),IF((COUNTIFS(T_SelfStock[RM_Code],$A3,T_SelfStock[WeekIndex],91)&gt;0)*(COUNTIFS(T_TTAFStock[RM_Code],$A3,T_TTAFStock[WeekIndex],91)&gt;0)&gt;0,SUMIFS(T_SelfStock[Self_Qty],T_SelfStock[RM_Code],$A3,T_SelfStock[WeekIndex],91)+SUMIFS(T_TTAFStock[TTAF_Qty],T_TTAFStock[RM_Code],$A3,T_TTAFStock[WeekIndex],91),CM3+'Grid_Incoming'!CN3-'Grid_Requirement'!CN3))</f>
        <v/>
      </c>
      <c r="CO3">
        <f>IF(COUNTIFS(T_StockCount[RM_Code],$A3,T_StockCount[WeekIndex],92)&gt;0,SUMIFS(T_StockCount[CountedQty],T_StockCount[RM_Code],$A3,T_StockCount[WeekIndex],92),IF((COUNTIFS(T_SelfStock[RM_Code],$A3,T_SelfStock[WeekIndex],92)&gt;0)*(COUNTIFS(T_TTAFStock[RM_Code],$A3,T_TTAFStock[WeekIndex],92)&gt;0)&gt;0,SUMIFS(T_SelfStock[Self_Qty],T_SelfStock[RM_Code],$A3,T_SelfStock[WeekIndex],92)+SUMIFS(T_TTAFStock[TTAF_Qty],T_TTAFStock[RM_Code],$A3,T_TTAFStock[WeekIndex],92),CN3+'Grid_Incoming'!CO3-'Grid_Requirement'!CO3))</f>
        <v/>
      </c>
      <c r="CP3">
        <f>IF(COUNTIFS(T_StockCount[RM_Code],$A3,T_StockCount[WeekIndex],93)&gt;0,SUMIFS(T_StockCount[CountedQty],T_StockCount[RM_Code],$A3,T_StockCount[WeekIndex],93),IF((COUNTIFS(T_SelfStock[RM_Code],$A3,T_SelfStock[WeekIndex],93)&gt;0)*(COUNTIFS(T_TTAFStock[RM_Code],$A3,T_TTAFStock[WeekIndex],93)&gt;0)&gt;0,SUMIFS(T_SelfStock[Self_Qty],T_SelfStock[RM_Code],$A3,T_SelfStock[WeekIndex],93)+SUMIFS(T_TTAFStock[TTAF_Qty],T_TTAFStock[RM_Code],$A3,T_TTAFStock[WeekIndex],93),CO3+'Grid_Incoming'!CP3-'Grid_Requirement'!CP3))</f>
        <v/>
      </c>
      <c r="CQ3">
        <f>IF(COUNTIFS(T_StockCount[RM_Code],$A3,T_StockCount[WeekIndex],94)&gt;0,SUMIFS(T_StockCount[CountedQty],T_StockCount[RM_Code],$A3,T_StockCount[WeekIndex],94),IF((COUNTIFS(T_SelfStock[RM_Code],$A3,T_SelfStock[WeekIndex],94)&gt;0)*(COUNTIFS(T_TTAFStock[RM_Code],$A3,T_TTAFStock[WeekIndex],94)&gt;0)&gt;0,SUMIFS(T_SelfStock[Self_Qty],T_SelfStock[RM_Code],$A3,T_SelfStock[WeekIndex],94)+SUMIFS(T_TTAFStock[TTAF_Qty],T_TTAFStock[RM_Code],$A3,T_TTAFStock[WeekIndex],94),CP3+'Grid_Incoming'!CQ3-'Grid_Requirement'!CQ3))</f>
        <v/>
      </c>
      <c r="CR3">
        <f>IF(COUNTIFS(T_StockCount[RM_Code],$A3,T_StockCount[WeekIndex],95)&gt;0,SUMIFS(T_StockCount[CountedQty],T_StockCount[RM_Code],$A3,T_StockCount[WeekIndex],95),IF((COUNTIFS(T_SelfStock[RM_Code],$A3,T_SelfStock[WeekIndex],95)&gt;0)*(COUNTIFS(T_TTAFStock[RM_Code],$A3,T_TTAFStock[WeekIndex],95)&gt;0)&gt;0,SUMIFS(T_SelfStock[Self_Qty],T_SelfStock[RM_Code],$A3,T_SelfStock[WeekIndex],95)+SUMIFS(T_TTAFStock[TTAF_Qty],T_TTAFStock[RM_Code],$A3,T_TTAFStock[WeekIndex],95),CQ3+'Grid_Incoming'!CR3-'Grid_Requirement'!CR3))</f>
        <v/>
      </c>
      <c r="CS3">
        <f>IF(COUNTIFS(T_StockCount[RM_Code],$A3,T_StockCount[WeekIndex],96)&gt;0,SUMIFS(T_StockCount[CountedQty],T_StockCount[RM_Code],$A3,T_StockCount[WeekIndex],96),IF((COUNTIFS(T_SelfStock[RM_Code],$A3,T_SelfStock[WeekIndex],96)&gt;0)*(COUNTIFS(T_TTAFStock[RM_Code],$A3,T_TTAFStock[WeekIndex],96)&gt;0)&gt;0,SUMIFS(T_SelfStock[Self_Qty],T_SelfStock[RM_Code],$A3,T_SelfStock[WeekIndex],96)+SUMIFS(T_TTAFStock[TTAF_Qty],T_TTAFStock[RM_Code],$A3,T_TTAFStock[WeekIndex],96),CR3+'Grid_Incoming'!CS3-'Grid_Requirement'!CS3))</f>
        <v/>
      </c>
      <c r="CT3">
        <f>IF(COUNTIFS(T_StockCount[RM_Code],$A3,T_StockCount[WeekIndex],97)&gt;0,SUMIFS(T_StockCount[CountedQty],T_StockCount[RM_Code],$A3,T_StockCount[WeekIndex],97),IF((COUNTIFS(T_SelfStock[RM_Code],$A3,T_SelfStock[WeekIndex],97)&gt;0)*(COUNTIFS(T_TTAFStock[RM_Code],$A3,T_TTAFStock[WeekIndex],97)&gt;0)&gt;0,SUMIFS(T_SelfStock[Self_Qty],T_SelfStock[RM_Code],$A3,T_SelfStock[WeekIndex],97)+SUMIFS(T_TTAFStock[TTAF_Qty],T_TTAFStock[RM_Code],$A3,T_TTAFStock[WeekIndex],97),CS3+'Grid_Incoming'!CT3-'Grid_Requirement'!CT3))</f>
        <v/>
      </c>
      <c r="CU3">
        <f>IF(COUNTIFS(T_StockCount[RM_Code],$A3,T_StockCount[WeekIndex],98)&gt;0,SUMIFS(T_StockCount[CountedQty],T_StockCount[RM_Code],$A3,T_StockCount[WeekIndex],98),IF((COUNTIFS(T_SelfStock[RM_Code],$A3,T_SelfStock[WeekIndex],98)&gt;0)*(COUNTIFS(T_TTAFStock[RM_Code],$A3,T_TTAFStock[WeekIndex],98)&gt;0)&gt;0,SUMIFS(T_SelfStock[Self_Qty],T_SelfStock[RM_Code],$A3,T_SelfStock[WeekIndex],98)+SUMIFS(T_TTAFStock[TTAF_Qty],T_TTAFStock[RM_Code],$A3,T_TTAFStock[WeekIndex],98),CT3+'Grid_Incoming'!CU3-'Grid_Requirement'!CU3))</f>
        <v/>
      </c>
      <c r="CV3">
        <f>IF(COUNTIFS(T_StockCount[RM_Code],$A3,T_StockCount[WeekIndex],99)&gt;0,SUMIFS(T_StockCount[CountedQty],T_StockCount[RM_Code],$A3,T_StockCount[WeekIndex],99),IF((COUNTIFS(T_SelfStock[RM_Code],$A3,T_SelfStock[WeekIndex],99)&gt;0)*(COUNTIFS(T_TTAFStock[RM_Code],$A3,T_TTAFStock[WeekIndex],99)&gt;0)&gt;0,SUMIFS(T_SelfStock[Self_Qty],T_SelfStock[RM_Code],$A3,T_SelfStock[WeekIndex],99)+SUMIFS(T_TTAFStock[TTAF_Qty],T_TTAFStock[RM_Code],$A3,T_TTAFStock[WeekIndex],99),CU3+'Grid_Incoming'!CV3-'Grid_Requirement'!CV3))</f>
        <v/>
      </c>
      <c r="CW3">
        <f>IF(COUNTIFS(T_StockCount[RM_Code],$A3,T_StockCount[WeekIndex],100)&gt;0,SUMIFS(T_StockCount[CountedQty],T_StockCount[RM_Code],$A3,T_StockCount[WeekIndex],100),IF((COUNTIFS(T_SelfStock[RM_Code],$A3,T_SelfStock[WeekIndex],100)&gt;0)*(COUNTIFS(T_TTAFStock[RM_Code],$A3,T_TTAFStock[WeekIndex],100)&gt;0)&gt;0,SUMIFS(T_SelfStock[Self_Qty],T_SelfStock[RM_Code],$A3,T_SelfStock[WeekIndex],100)+SUMIFS(T_TTAFStock[TTAF_Qty],T_TTAFStock[RM_Code],$A3,T_TTAFStock[WeekIndex],100),CV3+'Grid_Incoming'!CW3-'Grid_Requirement'!CW3))</f>
        <v/>
      </c>
      <c r="CX3">
        <f>IF(COUNTIFS(T_StockCount[RM_Code],$A3,T_StockCount[WeekIndex],101)&gt;0,SUMIFS(T_StockCount[CountedQty],T_StockCount[RM_Code],$A3,T_StockCount[WeekIndex],101),IF((COUNTIFS(T_SelfStock[RM_Code],$A3,T_SelfStock[WeekIndex],101)&gt;0)*(COUNTIFS(T_TTAFStock[RM_Code],$A3,T_TTAFStock[WeekIndex],101)&gt;0)&gt;0,SUMIFS(T_SelfStock[Self_Qty],T_SelfStock[RM_Code],$A3,T_SelfStock[WeekIndex],101)+SUMIFS(T_TTAFStock[TTAF_Qty],T_TTAFStock[RM_Code],$A3,T_TTAFStock[WeekIndex],101),CW3+'Grid_Incoming'!CX3-'Grid_Requirement'!CX3))</f>
        <v/>
      </c>
      <c r="CY3">
        <f>IF(COUNTIFS(T_StockCount[RM_Code],$A3,T_StockCount[WeekIndex],102)&gt;0,SUMIFS(T_StockCount[CountedQty],T_StockCount[RM_Code],$A3,T_StockCount[WeekIndex],102),IF((COUNTIFS(T_SelfStock[RM_Code],$A3,T_SelfStock[WeekIndex],102)&gt;0)*(COUNTIFS(T_TTAFStock[RM_Code],$A3,T_TTAFStock[WeekIndex],102)&gt;0)&gt;0,SUMIFS(T_SelfStock[Self_Qty],T_SelfStock[RM_Code],$A3,T_SelfStock[WeekIndex],102)+SUMIFS(T_TTAFStock[TTAF_Qty],T_TTAFStock[RM_Code],$A3,T_TTAFStock[WeekIndex],102),CX3+'Grid_Incoming'!CY3-'Grid_Requirement'!CY3))</f>
        <v/>
      </c>
      <c r="CZ3">
        <f>IF(COUNTIFS(T_StockCount[RM_Code],$A3,T_StockCount[WeekIndex],103)&gt;0,SUMIFS(T_StockCount[CountedQty],T_StockCount[RM_Code],$A3,T_StockCount[WeekIndex],103),IF((COUNTIFS(T_SelfStock[RM_Code],$A3,T_SelfStock[WeekIndex],103)&gt;0)*(COUNTIFS(T_TTAFStock[RM_Code],$A3,T_TTAFStock[WeekIndex],103)&gt;0)&gt;0,SUMIFS(T_SelfStock[Self_Qty],T_SelfStock[RM_Code],$A3,T_SelfStock[WeekIndex],103)+SUMIFS(T_TTAFStock[TTAF_Qty],T_TTAFStock[RM_Code],$A3,T_TTAFStock[WeekIndex],103),CY3+'Grid_Incoming'!CZ3-'Grid_Requirement'!CZ3))</f>
        <v/>
      </c>
      <c r="DA3">
        <f>IF(COUNTIFS(T_StockCount[RM_Code],$A3,T_StockCount[WeekIndex],104)&gt;0,SUMIFS(T_StockCount[CountedQty],T_StockCount[RM_Code],$A3,T_StockCount[WeekIndex],104),IF((COUNTIFS(T_SelfStock[RM_Code],$A3,T_SelfStock[WeekIndex],104)&gt;0)*(COUNTIFS(T_TTAFStock[RM_Code],$A3,T_TTAFStock[WeekIndex],104)&gt;0)&gt;0,SUMIFS(T_SelfStock[Self_Qty],T_SelfStock[RM_Code],$A3,T_SelfStock[WeekIndex],104)+SUMIFS(T_TTAFStock[TTAF_Qty],T_TTAFStock[RM_Code],$A3,T_TTAFStock[WeekIndex],104),CZ3+'Grid_Incoming'!DA3-'Grid_Requirement'!DA3))</f>
        <v/>
      </c>
    </row>
    <row r="4">
      <c r="A4" t="inlineStr">
        <is>
          <t>CHEM-1700</t>
        </is>
      </c>
      <c r="B4">
        <f>IF(COUNTIFS(T_StockCount[RM_Code],$A4,T_StockCount[WeekIndex],1)&gt;0,SUMIFS(T_StockCount[CountedQty],T_StockCount[RM_Code],$A4,T_StockCount[WeekIndex],1),IF((COUNTIFS(T_SelfStock[RM_Code],$A4,T_SelfStock[WeekIndex],1)&gt;0)*(COUNTIFS(T_TTAFStock[RM_Code],$A4,T_TTAFStock[WeekIndex],1)&gt;0)&gt;0,SUMIFS(T_SelfStock[Self_Qty],T_SelfStock[RM_Code],$A4,T_SelfStock[WeekIndex],1)+SUMIFS(T_TTAFStock[TTAF_Qty],T_TTAFStock[RM_Code],$A4,T_TTAFStock[WeekIndex],1),IFERROR(INDEX(T_OpeningStock[Opening_Qty],MATCH($A4,T_OpeningStock[RM_Code],0)),0)+'Grid_Incoming'!B4-'Grid_Requirement'!B4))</f>
        <v/>
      </c>
      <c r="C4">
        <f>IF(COUNTIFS(T_StockCount[RM_Code],$A4,T_StockCount[WeekIndex],2)&gt;0,SUMIFS(T_StockCount[CountedQty],T_StockCount[RM_Code],$A4,T_StockCount[WeekIndex],2),IF((COUNTIFS(T_SelfStock[RM_Code],$A4,T_SelfStock[WeekIndex],2)&gt;0)*(COUNTIFS(T_TTAFStock[RM_Code],$A4,T_TTAFStock[WeekIndex],2)&gt;0)&gt;0,SUMIFS(T_SelfStock[Self_Qty],T_SelfStock[RM_Code],$A4,T_SelfStock[WeekIndex],2)+SUMIFS(T_TTAFStock[TTAF_Qty],T_TTAFStock[RM_Code],$A4,T_TTAFStock[WeekIndex],2),B4+'Grid_Incoming'!C4-'Grid_Requirement'!C4))</f>
        <v/>
      </c>
      <c r="D4">
        <f>IF(COUNTIFS(T_StockCount[RM_Code],$A4,T_StockCount[WeekIndex],3)&gt;0,SUMIFS(T_StockCount[CountedQty],T_StockCount[RM_Code],$A4,T_StockCount[WeekIndex],3),IF((COUNTIFS(T_SelfStock[RM_Code],$A4,T_SelfStock[WeekIndex],3)&gt;0)*(COUNTIFS(T_TTAFStock[RM_Code],$A4,T_TTAFStock[WeekIndex],3)&gt;0)&gt;0,SUMIFS(T_SelfStock[Self_Qty],T_SelfStock[RM_Code],$A4,T_SelfStock[WeekIndex],3)+SUMIFS(T_TTAFStock[TTAF_Qty],T_TTAFStock[RM_Code],$A4,T_TTAFStock[WeekIndex],3),C4+'Grid_Incoming'!D4-'Grid_Requirement'!D4))</f>
        <v/>
      </c>
      <c r="E4">
        <f>IF(COUNTIFS(T_StockCount[RM_Code],$A4,T_StockCount[WeekIndex],4)&gt;0,SUMIFS(T_StockCount[CountedQty],T_StockCount[RM_Code],$A4,T_StockCount[WeekIndex],4),IF((COUNTIFS(T_SelfStock[RM_Code],$A4,T_SelfStock[WeekIndex],4)&gt;0)*(COUNTIFS(T_TTAFStock[RM_Code],$A4,T_TTAFStock[WeekIndex],4)&gt;0)&gt;0,SUMIFS(T_SelfStock[Self_Qty],T_SelfStock[RM_Code],$A4,T_SelfStock[WeekIndex],4)+SUMIFS(T_TTAFStock[TTAF_Qty],T_TTAFStock[RM_Code],$A4,T_TTAFStock[WeekIndex],4),D4+'Grid_Incoming'!E4-'Grid_Requirement'!E4))</f>
        <v/>
      </c>
      <c r="F4">
        <f>IF(COUNTIFS(T_StockCount[RM_Code],$A4,T_StockCount[WeekIndex],5)&gt;0,SUMIFS(T_StockCount[CountedQty],T_StockCount[RM_Code],$A4,T_StockCount[WeekIndex],5),IF((COUNTIFS(T_SelfStock[RM_Code],$A4,T_SelfStock[WeekIndex],5)&gt;0)*(COUNTIFS(T_TTAFStock[RM_Code],$A4,T_TTAFStock[WeekIndex],5)&gt;0)&gt;0,SUMIFS(T_SelfStock[Self_Qty],T_SelfStock[RM_Code],$A4,T_SelfStock[WeekIndex],5)+SUMIFS(T_TTAFStock[TTAF_Qty],T_TTAFStock[RM_Code],$A4,T_TTAFStock[WeekIndex],5),E4+'Grid_Incoming'!F4-'Grid_Requirement'!F4))</f>
        <v/>
      </c>
      <c r="G4">
        <f>IF(COUNTIFS(T_StockCount[RM_Code],$A4,T_StockCount[WeekIndex],6)&gt;0,SUMIFS(T_StockCount[CountedQty],T_StockCount[RM_Code],$A4,T_StockCount[WeekIndex],6),IF((COUNTIFS(T_SelfStock[RM_Code],$A4,T_SelfStock[WeekIndex],6)&gt;0)*(COUNTIFS(T_TTAFStock[RM_Code],$A4,T_TTAFStock[WeekIndex],6)&gt;0)&gt;0,SUMIFS(T_SelfStock[Self_Qty],T_SelfStock[RM_Code],$A4,T_SelfStock[WeekIndex],6)+SUMIFS(T_TTAFStock[TTAF_Qty],T_TTAFStock[RM_Code],$A4,T_TTAFStock[WeekIndex],6),F4+'Grid_Incoming'!G4-'Grid_Requirement'!G4))</f>
        <v/>
      </c>
      <c r="H4">
        <f>IF(COUNTIFS(T_StockCount[RM_Code],$A4,T_StockCount[WeekIndex],7)&gt;0,SUMIFS(T_StockCount[CountedQty],T_StockCount[RM_Code],$A4,T_StockCount[WeekIndex],7),IF((COUNTIFS(T_SelfStock[RM_Code],$A4,T_SelfStock[WeekIndex],7)&gt;0)*(COUNTIFS(T_TTAFStock[RM_Code],$A4,T_TTAFStock[WeekIndex],7)&gt;0)&gt;0,SUMIFS(T_SelfStock[Self_Qty],T_SelfStock[RM_Code],$A4,T_SelfStock[WeekIndex],7)+SUMIFS(T_TTAFStock[TTAF_Qty],T_TTAFStock[RM_Code],$A4,T_TTAFStock[WeekIndex],7),G4+'Grid_Incoming'!H4-'Grid_Requirement'!H4))</f>
        <v/>
      </c>
      <c r="I4">
        <f>IF(COUNTIFS(T_StockCount[RM_Code],$A4,T_StockCount[WeekIndex],8)&gt;0,SUMIFS(T_StockCount[CountedQty],T_StockCount[RM_Code],$A4,T_StockCount[WeekIndex],8),IF((COUNTIFS(T_SelfStock[RM_Code],$A4,T_SelfStock[WeekIndex],8)&gt;0)*(COUNTIFS(T_TTAFStock[RM_Code],$A4,T_TTAFStock[WeekIndex],8)&gt;0)&gt;0,SUMIFS(T_SelfStock[Self_Qty],T_SelfStock[RM_Code],$A4,T_SelfStock[WeekIndex],8)+SUMIFS(T_TTAFStock[TTAF_Qty],T_TTAFStock[RM_Code],$A4,T_TTAFStock[WeekIndex],8),H4+'Grid_Incoming'!I4-'Grid_Requirement'!I4))</f>
        <v/>
      </c>
      <c r="J4">
        <f>IF(COUNTIFS(T_StockCount[RM_Code],$A4,T_StockCount[WeekIndex],9)&gt;0,SUMIFS(T_StockCount[CountedQty],T_StockCount[RM_Code],$A4,T_StockCount[WeekIndex],9),IF((COUNTIFS(T_SelfStock[RM_Code],$A4,T_SelfStock[WeekIndex],9)&gt;0)*(COUNTIFS(T_TTAFStock[RM_Code],$A4,T_TTAFStock[WeekIndex],9)&gt;0)&gt;0,SUMIFS(T_SelfStock[Self_Qty],T_SelfStock[RM_Code],$A4,T_SelfStock[WeekIndex],9)+SUMIFS(T_TTAFStock[TTAF_Qty],T_TTAFStock[RM_Code],$A4,T_TTAFStock[WeekIndex],9),I4+'Grid_Incoming'!J4-'Grid_Requirement'!J4))</f>
        <v/>
      </c>
      <c r="K4">
        <f>IF(COUNTIFS(T_StockCount[RM_Code],$A4,T_StockCount[WeekIndex],10)&gt;0,SUMIFS(T_StockCount[CountedQty],T_StockCount[RM_Code],$A4,T_StockCount[WeekIndex],10),IF((COUNTIFS(T_SelfStock[RM_Code],$A4,T_SelfStock[WeekIndex],10)&gt;0)*(COUNTIFS(T_TTAFStock[RM_Code],$A4,T_TTAFStock[WeekIndex],10)&gt;0)&gt;0,SUMIFS(T_SelfStock[Self_Qty],T_SelfStock[RM_Code],$A4,T_SelfStock[WeekIndex],10)+SUMIFS(T_TTAFStock[TTAF_Qty],T_TTAFStock[RM_Code],$A4,T_TTAFStock[WeekIndex],10),J4+'Grid_Incoming'!K4-'Grid_Requirement'!K4))</f>
        <v/>
      </c>
      <c r="L4">
        <f>IF(COUNTIFS(T_StockCount[RM_Code],$A4,T_StockCount[WeekIndex],11)&gt;0,SUMIFS(T_StockCount[CountedQty],T_StockCount[RM_Code],$A4,T_StockCount[WeekIndex],11),IF((COUNTIFS(T_SelfStock[RM_Code],$A4,T_SelfStock[WeekIndex],11)&gt;0)*(COUNTIFS(T_TTAFStock[RM_Code],$A4,T_TTAFStock[WeekIndex],11)&gt;0)&gt;0,SUMIFS(T_SelfStock[Self_Qty],T_SelfStock[RM_Code],$A4,T_SelfStock[WeekIndex],11)+SUMIFS(T_TTAFStock[TTAF_Qty],T_TTAFStock[RM_Code],$A4,T_TTAFStock[WeekIndex],11),K4+'Grid_Incoming'!L4-'Grid_Requirement'!L4))</f>
        <v/>
      </c>
      <c r="M4">
        <f>IF(COUNTIFS(T_StockCount[RM_Code],$A4,T_StockCount[WeekIndex],12)&gt;0,SUMIFS(T_StockCount[CountedQty],T_StockCount[RM_Code],$A4,T_StockCount[WeekIndex],12),IF((COUNTIFS(T_SelfStock[RM_Code],$A4,T_SelfStock[WeekIndex],12)&gt;0)*(COUNTIFS(T_TTAFStock[RM_Code],$A4,T_TTAFStock[WeekIndex],12)&gt;0)&gt;0,SUMIFS(T_SelfStock[Self_Qty],T_SelfStock[RM_Code],$A4,T_SelfStock[WeekIndex],12)+SUMIFS(T_TTAFStock[TTAF_Qty],T_TTAFStock[RM_Code],$A4,T_TTAFStock[WeekIndex],12),L4+'Grid_Incoming'!M4-'Grid_Requirement'!M4))</f>
        <v/>
      </c>
      <c r="N4">
        <f>IF(COUNTIFS(T_StockCount[RM_Code],$A4,T_StockCount[WeekIndex],13)&gt;0,SUMIFS(T_StockCount[CountedQty],T_StockCount[RM_Code],$A4,T_StockCount[WeekIndex],13),IF((COUNTIFS(T_SelfStock[RM_Code],$A4,T_SelfStock[WeekIndex],13)&gt;0)*(COUNTIFS(T_TTAFStock[RM_Code],$A4,T_TTAFStock[WeekIndex],13)&gt;0)&gt;0,SUMIFS(T_SelfStock[Self_Qty],T_SelfStock[RM_Code],$A4,T_SelfStock[WeekIndex],13)+SUMIFS(T_TTAFStock[TTAF_Qty],T_TTAFStock[RM_Code],$A4,T_TTAFStock[WeekIndex],13),M4+'Grid_Incoming'!N4-'Grid_Requirement'!N4))</f>
        <v/>
      </c>
      <c r="O4">
        <f>IF(COUNTIFS(T_StockCount[RM_Code],$A4,T_StockCount[WeekIndex],14)&gt;0,SUMIFS(T_StockCount[CountedQty],T_StockCount[RM_Code],$A4,T_StockCount[WeekIndex],14),IF((COUNTIFS(T_SelfStock[RM_Code],$A4,T_SelfStock[WeekIndex],14)&gt;0)*(COUNTIFS(T_TTAFStock[RM_Code],$A4,T_TTAFStock[WeekIndex],14)&gt;0)&gt;0,SUMIFS(T_SelfStock[Self_Qty],T_SelfStock[RM_Code],$A4,T_SelfStock[WeekIndex],14)+SUMIFS(T_TTAFStock[TTAF_Qty],T_TTAFStock[RM_Code],$A4,T_TTAFStock[WeekIndex],14),N4+'Grid_Incoming'!O4-'Grid_Requirement'!O4))</f>
        <v/>
      </c>
      <c r="P4">
        <f>IF(COUNTIFS(T_StockCount[RM_Code],$A4,T_StockCount[WeekIndex],15)&gt;0,SUMIFS(T_StockCount[CountedQty],T_StockCount[RM_Code],$A4,T_StockCount[WeekIndex],15),IF((COUNTIFS(T_SelfStock[RM_Code],$A4,T_SelfStock[WeekIndex],15)&gt;0)*(COUNTIFS(T_TTAFStock[RM_Code],$A4,T_TTAFStock[WeekIndex],15)&gt;0)&gt;0,SUMIFS(T_SelfStock[Self_Qty],T_SelfStock[RM_Code],$A4,T_SelfStock[WeekIndex],15)+SUMIFS(T_TTAFStock[TTAF_Qty],T_TTAFStock[RM_Code],$A4,T_TTAFStock[WeekIndex],15),O4+'Grid_Incoming'!P4-'Grid_Requirement'!P4))</f>
        <v/>
      </c>
      <c r="Q4">
        <f>IF(COUNTIFS(T_StockCount[RM_Code],$A4,T_StockCount[WeekIndex],16)&gt;0,SUMIFS(T_StockCount[CountedQty],T_StockCount[RM_Code],$A4,T_StockCount[WeekIndex],16),IF((COUNTIFS(T_SelfStock[RM_Code],$A4,T_SelfStock[WeekIndex],16)&gt;0)*(COUNTIFS(T_TTAFStock[RM_Code],$A4,T_TTAFStock[WeekIndex],16)&gt;0)&gt;0,SUMIFS(T_SelfStock[Self_Qty],T_SelfStock[RM_Code],$A4,T_SelfStock[WeekIndex],16)+SUMIFS(T_TTAFStock[TTAF_Qty],T_TTAFStock[RM_Code],$A4,T_TTAFStock[WeekIndex],16),P4+'Grid_Incoming'!Q4-'Grid_Requirement'!Q4))</f>
        <v/>
      </c>
      <c r="R4">
        <f>IF(COUNTIFS(T_StockCount[RM_Code],$A4,T_StockCount[WeekIndex],17)&gt;0,SUMIFS(T_StockCount[CountedQty],T_StockCount[RM_Code],$A4,T_StockCount[WeekIndex],17),IF((COUNTIFS(T_SelfStock[RM_Code],$A4,T_SelfStock[WeekIndex],17)&gt;0)*(COUNTIFS(T_TTAFStock[RM_Code],$A4,T_TTAFStock[WeekIndex],17)&gt;0)&gt;0,SUMIFS(T_SelfStock[Self_Qty],T_SelfStock[RM_Code],$A4,T_SelfStock[WeekIndex],17)+SUMIFS(T_TTAFStock[TTAF_Qty],T_TTAFStock[RM_Code],$A4,T_TTAFStock[WeekIndex],17),Q4+'Grid_Incoming'!R4-'Grid_Requirement'!R4))</f>
        <v/>
      </c>
      <c r="S4">
        <f>IF(COUNTIFS(T_StockCount[RM_Code],$A4,T_StockCount[WeekIndex],18)&gt;0,SUMIFS(T_StockCount[CountedQty],T_StockCount[RM_Code],$A4,T_StockCount[WeekIndex],18),IF((COUNTIFS(T_SelfStock[RM_Code],$A4,T_SelfStock[WeekIndex],18)&gt;0)*(COUNTIFS(T_TTAFStock[RM_Code],$A4,T_TTAFStock[WeekIndex],18)&gt;0)&gt;0,SUMIFS(T_SelfStock[Self_Qty],T_SelfStock[RM_Code],$A4,T_SelfStock[WeekIndex],18)+SUMIFS(T_TTAFStock[TTAF_Qty],T_TTAFStock[RM_Code],$A4,T_TTAFStock[WeekIndex],18),R4+'Grid_Incoming'!S4-'Grid_Requirement'!S4))</f>
        <v/>
      </c>
      <c r="T4">
        <f>IF(COUNTIFS(T_StockCount[RM_Code],$A4,T_StockCount[WeekIndex],19)&gt;0,SUMIFS(T_StockCount[CountedQty],T_StockCount[RM_Code],$A4,T_StockCount[WeekIndex],19),IF((COUNTIFS(T_SelfStock[RM_Code],$A4,T_SelfStock[WeekIndex],19)&gt;0)*(COUNTIFS(T_TTAFStock[RM_Code],$A4,T_TTAFStock[WeekIndex],19)&gt;0)&gt;0,SUMIFS(T_SelfStock[Self_Qty],T_SelfStock[RM_Code],$A4,T_SelfStock[WeekIndex],19)+SUMIFS(T_TTAFStock[TTAF_Qty],T_TTAFStock[RM_Code],$A4,T_TTAFStock[WeekIndex],19),S4+'Grid_Incoming'!T4-'Grid_Requirement'!T4))</f>
        <v/>
      </c>
      <c r="U4">
        <f>IF(COUNTIFS(T_StockCount[RM_Code],$A4,T_StockCount[WeekIndex],20)&gt;0,SUMIFS(T_StockCount[CountedQty],T_StockCount[RM_Code],$A4,T_StockCount[WeekIndex],20),IF((COUNTIFS(T_SelfStock[RM_Code],$A4,T_SelfStock[WeekIndex],20)&gt;0)*(COUNTIFS(T_TTAFStock[RM_Code],$A4,T_TTAFStock[WeekIndex],20)&gt;0)&gt;0,SUMIFS(T_SelfStock[Self_Qty],T_SelfStock[RM_Code],$A4,T_SelfStock[WeekIndex],20)+SUMIFS(T_TTAFStock[TTAF_Qty],T_TTAFStock[RM_Code],$A4,T_TTAFStock[WeekIndex],20),T4+'Grid_Incoming'!U4-'Grid_Requirement'!U4))</f>
        <v/>
      </c>
      <c r="V4">
        <f>IF(COUNTIFS(T_StockCount[RM_Code],$A4,T_StockCount[WeekIndex],21)&gt;0,SUMIFS(T_StockCount[CountedQty],T_StockCount[RM_Code],$A4,T_StockCount[WeekIndex],21),IF((COUNTIFS(T_SelfStock[RM_Code],$A4,T_SelfStock[WeekIndex],21)&gt;0)*(COUNTIFS(T_TTAFStock[RM_Code],$A4,T_TTAFStock[WeekIndex],21)&gt;0)&gt;0,SUMIFS(T_SelfStock[Self_Qty],T_SelfStock[RM_Code],$A4,T_SelfStock[WeekIndex],21)+SUMIFS(T_TTAFStock[TTAF_Qty],T_TTAFStock[RM_Code],$A4,T_TTAFStock[WeekIndex],21),U4+'Grid_Incoming'!V4-'Grid_Requirement'!V4))</f>
        <v/>
      </c>
      <c r="W4">
        <f>IF(COUNTIFS(T_StockCount[RM_Code],$A4,T_StockCount[WeekIndex],22)&gt;0,SUMIFS(T_StockCount[CountedQty],T_StockCount[RM_Code],$A4,T_StockCount[WeekIndex],22),IF((COUNTIFS(T_SelfStock[RM_Code],$A4,T_SelfStock[WeekIndex],22)&gt;0)*(COUNTIFS(T_TTAFStock[RM_Code],$A4,T_TTAFStock[WeekIndex],22)&gt;0)&gt;0,SUMIFS(T_SelfStock[Self_Qty],T_SelfStock[RM_Code],$A4,T_SelfStock[WeekIndex],22)+SUMIFS(T_TTAFStock[TTAF_Qty],T_TTAFStock[RM_Code],$A4,T_TTAFStock[WeekIndex],22),V4+'Grid_Incoming'!W4-'Grid_Requirement'!W4))</f>
        <v/>
      </c>
      <c r="X4">
        <f>IF(COUNTIFS(T_StockCount[RM_Code],$A4,T_StockCount[WeekIndex],23)&gt;0,SUMIFS(T_StockCount[CountedQty],T_StockCount[RM_Code],$A4,T_StockCount[WeekIndex],23),IF((COUNTIFS(T_SelfStock[RM_Code],$A4,T_SelfStock[WeekIndex],23)&gt;0)*(COUNTIFS(T_TTAFStock[RM_Code],$A4,T_TTAFStock[WeekIndex],23)&gt;0)&gt;0,SUMIFS(T_SelfStock[Self_Qty],T_SelfStock[RM_Code],$A4,T_SelfStock[WeekIndex],23)+SUMIFS(T_TTAFStock[TTAF_Qty],T_TTAFStock[RM_Code],$A4,T_TTAFStock[WeekIndex],23),W4+'Grid_Incoming'!X4-'Grid_Requirement'!X4))</f>
        <v/>
      </c>
      <c r="Y4">
        <f>IF(COUNTIFS(T_StockCount[RM_Code],$A4,T_StockCount[WeekIndex],24)&gt;0,SUMIFS(T_StockCount[CountedQty],T_StockCount[RM_Code],$A4,T_StockCount[WeekIndex],24),IF((COUNTIFS(T_SelfStock[RM_Code],$A4,T_SelfStock[WeekIndex],24)&gt;0)*(COUNTIFS(T_TTAFStock[RM_Code],$A4,T_TTAFStock[WeekIndex],24)&gt;0)&gt;0,SUMIFS(T_SelfStock[Self_Qty],T_SelfStock[RM_Code],$A4,T_SelfStock[WeekIndex],24)+SUMIFS(T_TTAFStock[TTAF_Qty],T_TTAFStock[RM_Code],$A4,T_TTAFStock[WeekIndex],24),X4+'Grid_Incoming'!Y4-'Grid_Requirement'!Y4))</f>
        <v/>
      </c>
      <c r="Z4">
        <f>IF(COUNTIFS(T_StockCount[RM_Code],$A4,T_StockCount[WeekIndex],25)&gt;0,SUMIFS(T_StockCount[CountedQty],T_StockCount[RM_Code],$A4,T_StockCount[WeekIndex],25),IF((COUNTIFS(T_SelfStock[RM_Code],$A4,T_SelfStock[WeekIndex],25)&gt;0)*(COUNTIFS(T_TTAFStock[RM_Code],$A4,T_TTAFStock[WeekIndex],25)&gt;0)&gt;0,SUMIFS(T_SelfStock[Self_Qty],T_SelfStock[RM_Code],$A4,T_SelfStock[WeekIndex],25)+SUMIFS(T_TTAFStock[TTAF_Qty],T_TTAFStock[RM_Code],$A4,T_TTAFStock[WeekIndex],25),Y4+'Grid_Incoming'!Z4-'Grid_Requirement'!Z4))</f>
        <v/>
      </c>
      <c r="AA4">
        <f>IF(COUNTIFS(T_StockCount[RM_Code],$A4,T_StockCount[WeekIndex],26)&gt;0,SUMIFS(T_StockCount[CountedQty],T_StockCount[RM_Code],$A4,T_StockCount[WeekIndex],26),IF((COUNTIFS(T_SelfStock[RM_Code],$A4,T_SelfStock[WeekIndex],26)&gt;0)*(COUNTIFS(T_TTAFStock[RM_Code],$A4,T_TTAFStock[WeekIndex],26)&gt;0)&gt;0,SUMIFS(T_SelfStock[Self_Qty],T_SelfStock[RM_Code],$A4,T_SelfStock[WeekIndex],26)+SUMIFS(T_TTAFStock[TTAF_Qty],T_TTAFStock[RM_Code],$A4,T_TTAFStock[WeekIndex],26),Z4+'Grid_Incoming'!AA4-'Grid_Requirement'!AA4))</f>
        <v/>
      </c>
      <c r="AB4">
        <f>IF(COUNTIFS(T_StockCount[RM_Code],$A4,T_StockCount[WeekIndex],27)&gt;0,SUMIFS(T_StockCount[CountedQty],T_StockCount[RM_Code],$A4,T_StockCount[WeekIndex],27),IF((COUNTIFS(T_SelfStock[RM_Code],$A4,T_SelfStock[WeekIndex],27)&gt;0)*(COUNTIFS(T_TTAFStock[RM_Code],$A4,T_TTAFStock[WeekIndex],27)&gt;0)&gt;0,SUMIFS(T_SelfStock[Self_Qty],T_SelfStock[RM_Code],$A4,T_SelfStock[WeekIndex],27)+SUMIFS(T_TTAFStock[TTAF_Qty],T_TTAFStock[RM_Code],$A4,T_TTAFStock[WeekIndex],27),AA4+'Grid_Incoming'!AB4-'Grid_Requirement'!AB4))</f>
        <v/>
      </c>
      <c r="AC4">
        <f>IF(COUNTIFS(T_StockCount[RM_Code],$A4,T_StockCount[WeekIndex],28)&gt;0,SUMIFS(T_StockCount[CountedQty],T_StockCount[RM_Code],$A4,T_StockCount[WeekIndex],28),IF((COUNTIFS(T_SelfStock[RM_Code],$A4,T_SelfStock[WeekIndex],28)&gt;0)*(COUNTIFS(T_TTAFStock[RM_Code],$A4,T_TTAFStock[WeekIndex],28)&gt;0)&gt;0,SUMIFS(T_SelfStock[Self_Qty],T_SelfStock[RM_Code],$A4,T_SelfStock[WeekIndex],28)+SUMIFS(T_TTAFStock[TTAF_Qty],T_TTAFStock[RM_Code],$A4,T_TTAFStock[WeekIndex],28),AB4+'Grid_Incoming'!AC4-'Grid_Requirement'!AC4))</f>
        <v/>
      </c>
      <c r="AD4">
        <f>IF(COUNTIFS(T_StockCount[RM_Code],$A4,T_StockCount[WeekIndex],29)&gt;0,SUMIFS(T_StockCount[CountedQty],T_StockCount[RM_Code],$A4,T_StockCount[WeekIndex],29),IF((COUNTIFS(T_SelfStock[RM_Code],$A4,T_SelfStock[WeekIndex],29)&gt;0)*(COUNTIFS(T_TTAFStock[RM_Code],$A4,T_TTAFStock[WeekIndex],29)&gt;0)&gt;0,SUMIFS(T_SelfStock[Self_Qty],T_SelfStock[RM_Code],$A4,T_SelfStock[WeekIndex],29)+SUMIFS(T_TTAFStock[TTAF_Qty],T_TTAFStock[RM_Code],$A4,T_TTAFStock[WeekIndex],29),AC4+'Grid_Incoming'!AD4-'Grid_Requirement'!AD4))</f>
        <v/>
      </c>
      <c r="AE4">
        <f>IF(COUNTIFS(T_StockCount[RM_Code],$A4,T_StockCount[WeekIndex],30)&gt;0,SUMIFS(T_StockCount[CountedQty],T_StockCount[RM_Code],$A4,T_StockCount[WeekIndex],30),IF((COUNTIFS(T_SelfStock[RM_Code],$A4,T_SelfStock[WeekIndex],30)&gt;0)*(COUNTIFS(T_TTAFStock[RM_Code],$A4,T_TTAFStock[WeekIndex],30)&gt;0)&gt;0,SUMIFS(T_SelfStock[Self_Qty],T_SelfStock[RM_Code],$A4,T_SelfStock[WeekIndex],30)+SUMIFS(T_TTAFStock[TTAF_Qty],T_TTAFStock[RM_Code],$A4,T_TTAFStock[WeekIndex],30),AD4+'Grid_Incoming'!AE4-'Grid_Requirement'!AE4))</f>
        <v/>
      </c>
      <c r="AF4">
        <f>IF(COUNTIFS(T_StockCount[RM_Code],$A4,T_StockCount[WeekIndex],31)&gt;0,SUMIFS(T_StockCount[CountedQty],T_StockCount[RM_Code],$A4,T_StockCount[WeekIndex],31),IF((COUNTIFS(T_SelfStock[RM_Code],$A4,T_SelfStock[WeekIndex],31)&gt;0)*(COUNTIFS(T_TTAFStock[RM_Code],$A4,T_TTAFStock[WeekIndex],31)&gt;0)&gt;0,SUMIFS(T_SelfStock[Self_Qty],T_SelfStock[RM_Code],$A4,T_SelfStock[WeekIndex],31)+SUMIFS(T_TTAFStock[TTAF_Qty],T_TTAFStock[RM_Code],$A4,T_TTAFStock[WeekIndex],31),AE4+'Grid_Incoming'!AF4-'Grid_Requirement'!AF4))</f>
        <v/>
      </c>
      <c r="AG4">
        <f>IF(COUNTIFS(T_StockCount[RM_Code],$A4,T_StockCount[WeekIndex],32)&gt;0,SUMIFS(T_StockCount[CountedQty],T_StockCount[RM_Code],$A4,T_StockCount[WeekIndex],32),IF((COUNTIFS(T_SelfStock[RM_Code],$A4,T_SelfStock[WeekIndex],32)&gt;0)*(COUNTIFS(T_TTAFStock[RM_Code],$A4,T_TTAFStock[WeekIndex],32)&gt;0)&gt;0,SUMIFS(T_SelfStock[Self_Qty],T_SelfStock[RM_Code],$A4,T_SelfStock[WeekIndex],32)+SUMIFS(T_TTAFStock[TTAF_Qty],T_TTAFStock[RM_Code],$A4,T_TTAFStock[WeekIndex],32),AF4+'Grid_Incoming'!AG4-'Grid_Requirement'!AG4))</f>
        <v/>
      </c>
      <c r="AH4">
        <f>IF(COUNTIFS(T_StockCount[RM_Code],$A4,T_StockCount[WeekIndex],33)&gt;0,SUMIFS(T_StockCount[CountedQty],T_StockCount[RM_Code],$A4,T_StockCount[WeekIndex],33),IF((COUNTIFS(T_SelfStock[RM_Code],$A4,T_SelfStock[WeekIndex],33)&gt;0)*(COUNTIFS(T_TTAFStock[RM_Code],$A4,T_TTAFStock[WeekIndex],33)&gt;0)&gt;0,SUMIFS(T_SelfStock[Self_Qty],T_SelfStock[RM_Code],$A4,T_SelfStock[WeekIndex],33)+SUMIFS(T_TTAFStock[TTAF_Qty],T_TTAFStock[RM_Code],$A4,T_TTAFStock[WeekIndex],33),AG4+'Grid_Incoming'!AH4-'Grid_Requirement'!AH4))</f>
        <v/>
      </c>
      <c r="AI4">
        <f>IF(COUNTIFS(T_StockCount[RM_Code],$A4,T_StockCount[WeekIndex],34)&gt;0,SUMIFS(T_StockCount[CountedQty],T_StockCount[RM_Code],$A4,T_StockCount[WeekIndex],34),IF((COUNTIFS(T_SelfStock[RM_Code],$A4,T_SelfStock[WeekIndex],34)&gt;0)*(COUNTIFS(T_TTAFStock[RM_Code],$A4,T_TTAFStock[WeekIndex],34)&gt;0)&gt;0,SUMIFS(T_SelfStock[Self_Qty],T_SelfStock[RM_Code],$A4,T_SelfStock[WeekIndex],34)+SUMIFS(T_TTAFStock[TTAF_Qty],T_TTAFStock[RM_Code],$A4,T_TTAFStock[WeekIndex],34),AH4+'Grid_Incoming'!AI4-'Grid_Requirement'!AI4))</f>
        <v/>
      </c>
      <c r="AJ4">
        <f>IF(COUNTIFS(T_StockCount[RM_Code],$A4,T_StockCount[WeekIndex],35)&gt;0,SUMIFS(T_StockCount[CountedQty],T_StockCount[RM_Code],$A4,T_StockCount[WeekIndex],35),IF((COUNTIFS(T_SelfStock[RM_Code],$A4,T_SelfStock[WeekIndex],35)&gt;0)*(COUNTIFS(T_TTAFStock[RM_Code],$A4,T_TTAFStock[WeekIndex],35)&gt;0)&gt;0,SUMIFS(T_SelfStock[Self_Qty],T_SelfStock[RM_Code],$A4,T_SelfStock[WeekIndex],35)+SUMIFS(T_TTAFStock[TTAF_Qty],T_TTAFStock[RM_Code],$A4,T_TTAFStock[WeekIndex],35),AI4+'Grid_Incoming'!AJ4-'Grid_Requirement'!AJ4))</f>
        <v/>
      </c>
      <c r="AK4">
        <f>IF(COUNTIFS(T_StockCount[RM_Code],$A4,T_StockCount[WeekIndex],36)&gt;0,SUMIFS(T_StockCount[CountedQty],T_StockCount[RM_Code],$A4,T_StockCount[WeekIndex],36),IF((COUNTIFS(T_SelfStock[RM_Code],$A4,T_SelfStock[WeekIndex],36)&gt;0)*(COUNTIFS(T_TTAFStock[RM_Code],$A4,T_TTAFStock[WeekIndex],36)&gt;0)&gt;0,SUMIFS(T_SelfStock[Self_Qty],T_SelfStock[RM_Code],$A4,T_SelfStock[WeekIndex],36)+SUMIFS(T_TTAFStock[TTAF_Qty],T_TTAFStock[RM_Code],$A4,T_TTAFStock[WeekIndex],36),AJ4+'Grid_Incoming'!AK4-'Grid_Requirement'!AK4))</f>
        <v/>
      </c>
      <c r="AL4">
        <f>IF(COUNTIFS(T_StockCount[RM_Code],$A4,T_StockCount[WeekIndex],37)&gt;0,SUMIFS(T_StockCount[CountedQty],T_StockCount[RM_Code],$A4,T_StockCount[WeekIndex],37),IF((COUNTIFS(T_SelfStock[RM_Code],$A4,T_SelfStock[WeekIndex],37)&gt;0)*(COUNTIFS(T_TTAFStock[RM_Code],$A4,T_TTAFStock[WeekIndex],37)&gt;0)&gt;0,SUMIFS(T_SelfStock[Self_Qty],T_SelfStock[RM_Code],$A4,T_SelfStock[WeekIndex],37)+SUMIFS(T_TTAFStock[TTAF_Qty],T_TTAFStock[RM_Code],$A4,T_TTAFStock[WeekIndex],37),AK4+'Grid_Incoming'!AL4-'Grid_Requirement'!AL4))</f>
        <v/>
      </c>
      <c r="AM4">
        <f>IF(COUNTIFS(T_StockCount[RM_Code],$A4,T_StockCount[WeekIndex],38)&gt;0,SUMIFS(T_StockCount[CountedQty],T_StockCount[RM_Code],$A4,T_StockCount[WeekIndex],38),IF((COUNTIFS(T_SelfStock[RM_Code],$A4,T_SelfStock[WeekIndex],38)&gt;0)*(COUNTIFS(T_TTAFStock[RM_Code],$A4,T_TTAFStock[WeekIndex],38)&gt;0)&gt;0,SUMIFS(T_SelfStock[Self_Qty],T_SelfStock[RM_Code],$A4,T_SelfStock[WeekIndex],38)+SUMIFS(T_TTAFStock[TTAF_Qty],T_TTAFStock[RM_Code],$A4,T_TTAFStock[WeekIndex],38),AL4+'Grid_Incoming'!AM4-'Grid_Requirement'!AM4))</f>
        <v/>
      </c>
      <c r="AN4">
        <f>IF(COUNTIFS(T_StockCount[RM_Code],$A4,T_StockCount[WeekIndex],39)&gt;0,SUMIFS(T_StockCount[CountedQty],T_StockCount[RM_Code],$A4,T_StockCount[WeekIndex],39),IF((COUNTIFS(T_SelfStock[RM_Code],$A4,T_SelfStock[WeekIndex],39)&gt;0)*(COUNTIFS(T_TTAFStock[RM_Code],$A4,T_TTAFStock[WeekIndex],39)&gt;0)&gt;0,SUMIFS(T_SelfStock[Self_Qty],T_SelfStock[RM_Code],$A4,T_SelfStock[WeekIndex],39)+SUMIFS(T_TTAFStock[TTAF_Qty],T_TTAFStock[RM_Code],$A4,T_TTAFStock[WeekIndex],39),AM4+'Grid_Incoming'!AN4-'Grid_Requirement'!AN4))</f>
        <v/>
      </c>
      <c r="AO4">
        <f>IF(COUNTIFS(T_StockCount[RM_Code],$A4,T_StockCount[WeekIndex],40)&gt;0,SUMIFS(T_StockCount[CountedQty],T_StockCount[RM_Code],$A4,T_StockCount[WeekIndex],40),IF((COUNTIFS(T_SelfStock[RM_Code],$A4,T_SelfStock[WeekIndex],40)&gt;0)*(COUNTIFS(T_TTAFStock[RM_Code],$A4,T_TTAFStock[WeekIndex],40)&gt;0)&gt;0,SUMIFS(T_SelfStock[Self_Qty],T_SelfStock[RM_Code],$A4,T_SelfStock[WeekIndex],40)+SUMIFS(T_TTAFStock[TTAF_Qty],T_TTAFStock[RM_Code],$A4,T_TTAFStock[WeekIndex],40),AN4+'Grid_Incoming'!AO4-'Grid_Requirement'!AO4))</f>
        <v/>
      </c>
      <c r="AP4">
        <f>IF(COUNTIFS(T_StockCount[RM_Code],$A4,T_StockCount[WeekIndex],41)&gt;0,SUMIFS(T_StockCount[CountedQty],T_StockCount[RM_Code],$A4,T_StockCount[WeekIndex],41),IF((COUNTIFS(T_SelfStock[RM_Code],$A4,T_SelfStock[WeekIndex],41)&gt;0)*(COUNTIFS(T_TTAFStock[RM_Code],$A4,T_TTAFStock[WeekIndex],41)&gt;0)&gt;0,SUMIFS(T_SelfStock[Self_Qty],T_SelfStock[RM_Code],$A4,T_SelfStock[WeekIndex],41)+SUMIFS(T_TTAFStock[TTAF_Qty],T_TTAFStock[RM_Code],$A4,T_TTAFStock[WeekIndex],41),AO4+'Grid_Incoming'!AP4-'Grid_Requirement'!AP4))</f>
        <v/>
      </c>
      <c r="AQ4">
        <f>IF(COUNTIFS(T_StockCount[RM_Code],$A4,T_StockCount[WeekIndex],42)&gt;0,SUMIFS(T_StockCount[CountedQty],T_StockCount[RM_Code],$A4,T_StockCount[WeekIndex],42),IF((COUNTIFS(T_SelfStock[RM_Code],$A4,T_SelfStock[WeekIndex],42)&gt;0)*(COUNTIFS(T_TTAFStock[RM_Code],$A4,T_TTAFStock[WeekIndex],42)&gt;0)&gt;0,SUMIFS(T_SelfStock[Self_Qty],T_SelfStock[RM_Code],$A4,T_SelfStock[WeekIndex],42)+SUMIFS(T_TTAFStock[TTAF_Qty],T_TTAFStock[RM_Code],$A4,T_TTAFStock[WeekIndex],42),AP4+'Grid_Incoming'!AQ4-'Grid_Requirement'!AQ4))</f>
        <v/>
      </c>
      <c r="AR4">
        <f>IF(COUNTIFS(T_StockCount[RM_Code],$A4,T_StockCount[WeekIndex],43)&gt;0,SUMIFS(T_StockCount[CountedQty],T_StockCount[RM_Code],$A4,T_StockCount[WeekIndex],43),IF((COUNTIFS(T_SelfStock[RM_Code],$A4,T_SelfStock[WeekIndex],43)&gt;0)*(COUNTIFS(T_TTAFStock[RM_Code],$A4,T_TTAFStock[WeekIndex],43)&gt;0)&gt;0,SUMIFS(T_SelfStock[Self_Qty],T_SelfStock[RM_Code],$A4,T_SelfStock[WeekIndex],43)+SUMIFS(T_TTAFStock[TTAF_Qty],T_TTAFStock[RM_Code],$A4,T_TTAFStock[WeekIndex],43),AQ4+'Grid_Incoming'!AR4-'Grid_Requirement'!AR4))</f>
        <v/>
      </c>
      <c r="AS4">
        <f>IF(COUNTIFS(T_StockCount[RM_Code],$A4,T_StockCount[WeekIndex],44)&gt;0,SUMIFS(T_StockCount[CountedQty],T_StockCount[RM_Code],$A4,T_StockCount[WeekIndex],44),IF((COUNTIFS(T_SelfStock[RM_Code],$A4,T_SelfStock[WeekIndex],44)&gt;0)*(COUNTIFS(T_TTAFStock[RM_Code],$A4,T_TTAFStock[WeekIndex],44)&gt;0)&gt;0,SUMIFS(T_SelfStock[Self_Qty],T_SelfStock[RM_Code],$A4,T_SelfStock[WeekIndex],44)+SUMIFS(T_TTAFStock[TTAF_Qty],T_TTAFStock[RM_Code],$A4,T_TTAFStock[WeekIndex],44),AR4+'Grid_Incoming'!AS4-'Grid_Requirement'!AS4))</f>
        <v/>
      </c>
      <c r="AT4">
        <f>IF(COUNTIFS(T_StockCount[RM_Code],$A4,T_StockCount[WeekIndex],45)&gt;0,SUMIFS(T_StockCount[CountedQty],T_StockCount[RM_Code],$A4,T_StockCount[WeekIndex],45),IF((COUNTIFS(T_SelfStock[RM_Code],$A4,T_SelfStock[WeekIndex],45)&gt;0)*(COUNTIFS(T_TTAFStock[RM_Code],$A4,T_TTAFStock[WeekIndex],45)&gt;0)&gt;0,SUMIFS(T_SelfStock[Self_Qty],T_SelfStock[RM_Code],$A4,T_SelfStock[WeekIndex],45)+SUMIFS(T_TTAFStock[TTAF_Qty],T_TTAFStock[RM_Code],$A4,T_TTAFStock[WeekIndex],45),AS4+'Grid_Incoming'!AT4-'Grid_Requirement'!AT4))</f>
        <v/>
      </c>
      <c r="AU4">
        <f>IF(COUNTIFS(T_StockCount[RM_Code],$A4,T_StockCount[WeekIndex],46)&gt;0,SUMIFS(T_StockCount[CountedQty],T_StockCount[RM_Code],$A4,T_StockCount[WeekIndex],46),IF((COUNTIFS(T_SelfStock[RM_Code],$A4,T_SelfStock[WeekIndex],46)&gt;0)*(COUNTIFS(T_TTAFStock[RM_Code],$A4,T_TTAFStock[WeekIndex],46)&gt;0)&gt;0,SUMIFS(T_SelfStock[Self_Qty],T_SelfStock[RM_Code],$A4,T_SelfStock[WeekIndex],46)+SUMIFS(T_TTAFStock[TTAF_Qty],T_TTAFStock[RM_Code],$A4,T_TTAFStock[WeekIndex],46),AT4+'Grid_Incoming'!AU4-'Grid_Requirement'!AU4))</f>
        <v/>
      </c>
      <c r="AV4">
        <f>IF(COUNTIFS(T_StockCount[RM_Code],$A4,T_StockCount[WeekIndex],47)&gt;0,SUMIFS(T_StockCount[CountedQty],T_StockCount[RM_Code],$A4,T_StockCount[WeekIndex],47),IF((COUNTIFS(T_SelfStock[RM_Code],$A4,T_SelfStock[WeekIndex],47)&gt;0)*(COUNTIFS(T_TTAFStock[RM_Code],$A4,T_TTAFStock[WeekIndex],47)&gt;0)&gt;0,SUMIFS(T_SelfStock[Self_Qty],T_SelfStock[RM_Code],$A4,T_SelfStock[WeekIndex],47)+SUMIFS(T_TTAFStock[TTAF_Qty],T_TTAFStock[RM_Code],$A4,T_TTAFStock[WeekIndex],47),AU4+'Grid_Incoming'!AV4-'Grid_Requirement'!AV4))</f>
        <v/>
      </c>
      <c r="AW4">
        <f>IF(COUNTIFS(T_StockCount[RM_Code],$A4,T_StockCount[WeekIndex],48)&gt;0,SUMIFS(T_StockCount[CountedQty],T_StockCount[RM_Code],$A4,T_StockCount[WeekIndex],48),IF((COUNTIFS(T_SelfStock[RM_Code],$A4,T_SelfStock[WeekIndex],48)&gt;0)*(COUNTIFS(T_TTAFStock[RM_Code],$A4,T_TTAFStock[WeekIndex],48)&gt;0)&gt;0,SUMIFS(T_SelfStock[Self_Qty],T_SelfStock[RM_Code],$A4,T_SelfStock[WeekIndex],48)+SUMIFS(T_TTAFStock[TTAF_Qty],T_TTAFStock[RM_Code],$A4,T_TTAFStock[WeekIndex],48),AV4+'Grid_Incoming'!AW4-'Grid_Requirement'!AW4))</f>
        <v/>
      </c>
      <c r="AX4">
        <f>IF(COUNTIFS(T_StockCount[RM_Code],$A4,T_StockCount[WeekIndex],49)&gt;0,SUMIFS(T_StockCount[CountedQty],T_StockCount[RM_Code],$A4,T_StockCount[WeekIndex],49),IF((COUNTIFS(T_SelfStock[RM_Code],$A4,T_SelfStock[WeekIndex],49)&gt;0)*(COUNTIFS(T_TTAFStock[RM_Code],$A4,T_TTAFStock[WeekIndex],49)&gt;0)&gt;0,SUMIFS(T_SelfStock[Self_Qty],T_SelfStock[RM_Code],$A4,T_SelfStock[WeekIndex],49)+SUMIFS(T_TTAFStock[TTAF_Qty],T_TTAFStock[RM_Code],$A4,T_TTAFStock[WeekIndex],49),AW4+'Grid_Incoming'!AX4-'Grid_Requirement'!AX4))</f>
        <v/>
      </c>
      <c r="AY4">
        <f>IF(COUNTIFS(T_StockCount[RM_Code],$A4,T_StockCount[WeekIndex],50)&gt;0,SUMIFS(T_StockCount[CountedQty],T_StockCount[RM_Code],$A4,T_StockCount[WeekIndex],50),IF((COUNTIFS(T_SelfStock[RM_Code],$A4,T_SelfStock[WeekIndex],50)&gt;0)*(COUNTIFS(T_TTAFStock[RM_Code],$A4,T_TTAFStock[WeekIndex],50)&gt;0)&gt;0,SUMIFS(T_SelfStock[Self_Qty],T_SelfStock[RM_Code],$A4,T_SelfStock[WeekIndex],50)+SUMIFS(T_TTAFStock[TTAF_Qty],T_TTAFStock[RM_Code],$A4,T_TTAFStock[WeekIndex],50),AX4+'Grid_Incoming'!AY4-'Grid_Requirement'!AY4))</f>
        <v/>
      </c>
      <c r="AZ4">
        <f>IF(COUNTIFS(T_StockCount[RM_Code],$A4,T_StockCount[WeekIndex],51)&gt;0,SUMIFS(T_StockCount[CountedQty],T_StockCount[RM_Code],$A4,T_StockCount[WeekIndex],51),IF((COUNTIFS(T_SelfStock[RM_Code],$A4,T_SelfStock[WeekIndex],51)&gt;0)*(COUNTIFS(T_TTAFStock[RM_Code],$A4,T_TTAFStock[WeekIndex],51)&gt;0)&gt;0,SUMIFS(T_SelfStock[Self_Qty],T_SelfStock[RM_Code],$A4,T_SelfStock[WeekIndex],51)+SUMIFS(T_TTAFStock[TTAF_Qty],T_TTAFStock[RM_Code],$A4,T_TTAFStock[WeekIndex],51),AY4+'Grid_Incoming'!AZ4-'Grid_Requirement'!AZ4))</f>
        <v/>
      </c>
      <c r="BA4">
        <f>IF(COUNTIFS(T_StockCount[RM_Code],$A4,T_StockCount[WeekIndex],52)&gt;0,SUMIFS(T_StockCount[CountedQty],T_StockCount[RM_Code],$A4,T_StockCount[WeekIndex],52),IF((COUNTIFS(T_SelfStock[RM_Code],$A4,T_SelfStock[WeekIndex],52)&gt;0)*(COUNTIFS(T_TTAFStock[RM_Code],$A4,T_TTAFStock[WeekIndex],52)&gt;0)&gt;0,SUMIFS(T_SelfStock[Self_Qty],T_SelfStock[RM_Code],$A4,T_SelfStock[WeekIndex],52)+SUMIFS(T_TTAFStock[TTAF_Qty],T_TTAFStock[RM_Code],$A4,T_TTAFStock[WeekIndex],52),AZ4+'Grid_Incoming'!BA4-'Grid_Requirement'!BA4))</f>
        <v/>
      </c>
      <c r="BB4">
        <f>IF(COUNTIFS(T_StockCount[RM_Code],$A4,T_StockCount[WeekIndex],53)&gt;0,SUMIFS(T_StockCount[CountedQty],T_StockCount[RM_Code],$A4,T_StockCount[WeekIndex],53),IF((COUNTIFS(T_SelfStock[RM_Code],$A4,T_SelfStock[WeekIndex],53)&gt;0)*(COUNTIFS(T_TTAFStock[RM_Code],$A4,T_TTAFStock[WeekIndex],53)&gt;0)&gt;0,SUMIFS(T_SelfStock[Self_Qty],T_SelfStock[RM_Code],$A4,T_SelfStock[WeekIndex],53)+SUMIFS(T_TTAFStock[TTAF_Qty],T_TTAFStock[RM_Code],$A4,T_TTAFStock[WeekIndex],53),BA4+'Grid_Incoming'!BB4-'Grid_Requirement'!BB4))</f>
        <v/>
      </c>
      <c r="BC4">
        <f>IF(COUNTIFS(T_StockCount[RM_Code],$A4,T_StockCount[WeekIndex],54)&gt;0,SUMIFS(T_StockCount[CountedQty],T_StockCount[RM_Code],$A4,T_StockCount[WeekIndex],54),IF((COUNTIFS(T_SelfStock[RM_Code],$A4,T_SelfStock[WeekIndex],54)&gt;0)*(COUNTIFS(T_TTAFStock[RM_Code],$A4,T_TTAFStock[WeekIndex],54)&gt;0)&gt;0,SUMIFS(T_SelfStock[Self_Qty],T_SelfStock[RM_Code],$A4,T_SelfStock[WeekIndex],54)+SUMIFS(T_TTAFStock[TTAF_Qty],T_TTAFStock[RM_Code],$A4,T_TTAFStock[WeekIndex],54),BB4+'Grid_Incoming'!BC4-'Grid_Requirement'!BC4))</f>
        <v/>
      </c>
      <c r="BD4">
        <f>IF(COUNTIFS(T_StockCount[RM_Code],$A4,T_StockCount[WeekIndex],55)&gt;0,SUMIFS(T_StockCount[CountedQty],T_StockCount[RM_Code],$A4,T_StockCount[WeekIndex],55),IF((COUNTIFS(T_SelfStock[RM_Code],$A4,T_SelfStock[WeekIndex],55)&gt;0)*(COUNTIFS(T_TTAFStock[RM_Code],$A4,T_TTAFStock[WeekIndex],55)&gt;0)&gt;0,SUMIFS(T_SelfStock[Self_Qty],T_SelfStock[RM_Code],$A4,T_SelfStock[WeekIndex],55)+SUMIFS(T_TTAFStock[TTAF_Qty],T_TTAFStock[RM_Code],$A4,T_TTAFStock[WeekIndex],55),BC4+'Grid_Incoming'!BD4-'Grid_Requirement'!BD4))</f>
        <v/>
      </c>
      <c r="BE4">
        <f>IF(COUNTIFS(T_StockCount[RM_Code],$A4,T_StockCount[WeekIndex],56)&gt;0,SUMIFS(T_StockCount[CountedQty],T_StockCount[RM_Code],$A4,T_StockCount[WeekIndex],56),IF((COUNTIFS(T_SelfStock[RM_Code],$A4,T_SelfStock[WeekIndex],56)&gt;0)*(COUNTIFS(T_TTAFStock[RM_Code],$A4,T_TTAFStock[WeekIndex],56)&gt;0)&gt;0,SUMIFS(T_SelfStock[Self_Qty],T_SelfStock[RM_Code],$A4,T_SelfStock[WeekIndex],56)+SUMIFS(T_TTAFStock[TTAF_Qty],T_TTAFStock[RM_Code],$A4,T_TTAFStock[WeekIndex],56),BD4+'Grid_Incoming'!BE4-'Grid_Requirement'!BE4))</f>
        <v/>
      </c>
      <c r="BF4">
        <f>IF(COUNTIFS(T_StockCount[RM_Code],$A4,T_StockCount[WeekIndex],57)&gt;0,SUMIFS(T_StockCount[CountedQty],T_StockCount[RM_Code],$A4,T_StockCount[WeekIndex],57),IF((COUNTIFS(T_SelfStock[RM_Code],$A4,T_SelfStock[WeekIndex],57)&gt;0)*(COUNTIFS(T_TTAFStock[RM_Code],$A4,T_TTAFStock[WeekIndex],57)&gt;0)&gt;0,SUMIFS(T_SelfStock[Self_Qty],T_SelfStock[RM_Code],$A4,T_SelfStock[WeekIndex],57)+SUMIFS(T_TTAFStock[TTAF_Qty],T_TTAFStock[RM_Code],$A4,T_TTAFStock[WeekIndex],57),BE4+'Grid_Incoming'!BF4-'Grid_Requirement'!BF4))</f>
        <v/>
      </c>
      <c r="BG4">
        <f>IF(COUNTIFS(T_StockCount[RM_Code],$A4,T_StockCount[WeekIndex],58)&gt;0,SUMIFS(T_StockCount[CountedQty],T_StockCount[RM_Code],$A4,T_StockCount[WeekIndex],58),IF((COUNTIFS(T_SelfStock[RM_Code],$A4,T_SelfStock[WeekIndex],58)&gt;0)*(COUNTIFS(T_TTAFStock[RM_Code],$A4,T_TTAFStock[WeekIndex],58)&gt;0)&gt;0,SUMIFS(T_SelfStock[Self_Qty],T_SelfStock[RM_Code],$A4,T_SelfStock[WeekIndex],58)+SUMIFS(T_TTAFStock[TTAF_Qty],T_TTAFStock[RM_Code],$A4,T_TTAFStock[WeekIndex],58),BF4+'Grid_Incoming'!BG4-'Grid_Requirement'!BG4))</f>
        <v/>
      </c>
      <c r="BH4">
        <f>IF(COUNTIFS(T_StockCount[RM_Code],$A4,T_StockCount[WeekIndex],59)&gt;0,SUMIFS(T_StockCount[CountedQty],T_StockCount[RM_Code],$A4,T_StockCount[WeekIndex],59),IF((COUNTIFS(T_SelfStock[RM_Code],$A4,T_SelfStock[WeekIndex],59)&gt;0)*(COUNTIFS(T_TTAFStock[RM_Code],$A4,T_TTAFStock[WeekIndex],59)&gt;0)&gt;0,SUMIFS(T_SelfStock[Self_Qty],T_SelfStock[RM_Code],$A4,T_SelfStock[WeekIndex],59)+SUMIFS(T_TTAFStock[TTAF_Qty],T_TTAFStock[RM_Code],$A4,T_TTAFStock[WeekIndex],59),BG4+'Grid_Incoming'!BH4-'Grid_Requirement'!BH4))</f>
        <v/>
      </c>
      <c r="BI4">
        <f>IF(COUNTIFS(T_StockCount[RM_Code],$A4,T_StockCount[WeekIndex],60)&gt;0,SUMIFS(T_StockCount[CountedQty],T_StockCount[RM_Code],$A4,T_StockCount[WeekIndex],60),IF((COUNTIFS(T_SelfStock[RM_Code],$A4,T_SelfStock[WeekIndex],60)&gt;0)*(COUNTIFS(T_TTAFStock[RM_Code],$A4,T_TTAFStock[WeekIndex],60)&gt;0)&gt;0,SUMIFS(T_SelfStock[Self_Qty],T_SelfStock[RM_Code],$A4,T_SelfStock[WeekIndex],60)+SUMIFS(T_TTAFStock[TTAF_Qty],T_TTAFStock[RM_Code],$A4,T_TTAFStock[WeekIndex],60),BH4+'Grid_Incoming'!BI4-'Grid_Requirement'!BI4))</f>
        <v/>
      </c>
      <c r="BJ4">
        <f>IF(COUNTIFS(T_StockCount[RM_Code],$A4,T_StockCount[WeekIndex],61)&gt;0,SUMIFS(T_StockCount[CountedQty],T_StockCount[RM_Code],$A4,T_StockCount[WeekIndex],61),IF((COUNTIFS(T_SelfStock[RM_Code],$A4,T_SelfStock[WeekIndex],61)&gt;0)*(COUNTIFS(T_TTAFStock[RM_Code],$A4,T_TTAFStock[WeekIndex],61)&gt;0)&gt;0,SUMIFS(T_SelfStock[Self_Qty],T_SelfStock[RM_Code],$A4,T_SelfStock[WeekIndex],61)+SUMIFS(T_TTAFStock[TTAF_Qty],T_TTAFStock[RM_Code],$A4,T_TTAFStock[WeekIndex],61),BI4+'Grid_Incoming'!BJ4-'Grid_Requirement'!BJ4))</f>
        <v/>
      </c>
      <c r="BK4">
        <f>IF(COUNTIFS(T_StockCount[RM_Code],$A4,T_StockCount[WeekIndex],62)&gt;0,SUMIFS(T_StockCount[CountedQty],T_StockCount[RM_Code],$A4,T_StockCount[WeekIndex],62),IF((COUNTIFS(T_SelfStock[RM_Code],$A4,T_SelfStock[WeekIndex],62)&gt;0)*(COUNTIFS(T_TTAFStock[RM_Code],$A4,T_TTAFStock[WeekIndex],62)&gt;0)&gt;0,SUMIFS(T_SelfStock[Self_Qty],T_SelfStock[RM_Code],$A4,T_SelfStock[WeekIndex],62)+SUMIFS(T_TTAFStock[TTAF_Qty],T_TTAFStock[RM_Code],$A4,T_TTAFStock[WeekIndex],62),BJ4+'Grid_Incoming'!BK4-'Grid_Requirement'!BK4))</f>
        <v/>
      </c>
      <c r="BL4">
        <f>IF(COUNTIFS(T_StockCount[RM_Code],$A4,T_StockCount[WeekIndex],63)&gt;0,SUMIFS(T_StockCount[CountedQty],T_StockCount[RM_Code],$A4,T_StockCount[WeekIndex],63),IF((COUNTIFS(T_SelfStock[RM_Code],$A4,T_SelfStock[WeekIndex],63)&gt;0)*(COUNTIFS(T_TTAFStock[RM_Code],$A4,T_TTAFStock[WeekIndex],63)&gt;0)&gt;0,SUMIFS(T_SelfStock[Self_Qty],T_SelfStock[RM_Code],$A4,T_SelfStock[WeekIndex],63)+SUMIFS(T_TTAFStock[TTAF_Qty],T_TTAFStock[RM_Code],$A4,T_TTAFStock[WeekIndex],63),BK4+'Grid_Incoming'!BL4-'Grid_Requirement'!BL4))</f>
        <v/>
      </c>
      <c r="BM4">
        <f>IF(COUNTIFS(T_StockCount[RM_Code],$A4,T_StockCount[WeekIndex],64)&gt;0,SUMIFS(T_StockCount[CountedQty],T_StockCount[RM_Code],$A4,T_StockCount[WeekIndex],64),IF((COUNTIFS(T_SelfStock[RM_Code],$A4,T_SelfStock[WeekIndex],64)&gt;0)*(COUNTIFS(T_TTAFStock[RM_Code],$A4,T_TTAFStock[WeekIndex],64)&gt;0)&gt;0,SUMIFS(T_SelfStock[Self_Qty],T_SelfStock[RM_Code],$A4,T_SelfStock[WeekIndex],64)+SUMIFS(T_TTAFStock[TTAF_Qty],T_TTAFStock[RM_Code],$A4,T_TTAFStock[WeekIndex],64),BL4+'Grid_Incoming'!BM4-'Grid_Requirement'!BM4))</f>
        <v/>
      </c>
      <c r="BN4">
        <f>IF(COUNTIFS(T_StockCount[RM_Code],$A4,T_StockCount[WeekIndex],65)&gt;0,SUMIFS(T_StockCount[CountedQty],T_StockCount[RM_Code],$A4,T_StockCount[WeekIndex],65),IF((COUNTIFS(T_SelfStock[RM_Code],$A4,T_SelfStock[WeekIndex],65)&gt;0)*(COUNTIFS(T_TTAFStock[RM_Code],$A4,T_TTAFStock[WeekIndex],65)&gt;0)&gt;0,SUMIFS(T_SelfStock[Self_Qty],T_SelfStock[RM_Code],$A4,T_SelfStock[WeekIndex],65)+SUMIFS(T_TTAFStock[TTAF_Qty],T_TTAFStock[RM_Code],$A4,T_TTAFStock[WeekIndex],65),BM4+'Grid_Incoming'!BN4-'Grid_Requirement'!BN4))</f>
        <v/>
      </c>
      <c r="BO4">
        <f>IF(COUNTIFS(T_StockCount[RM_Code],$A4,T_StockCount[WeekIndex],66)&gt;0,SUMIFS(T_StockCount[CountedQty],T_StockCount[RM_Code],$A4,T_StockCount[WeekIndex],66),IF((COUNTIFS(T_SelfStock[RM_Code],$A4,T_SelfStock[WeekIndex],66)&gt;0)*(COUNTIFS(T_TTAFStock[RM_Code],$A4,T_TTAFStock[WeekIndex],66)&gt;0)&gt;0,SUMIFS(T_SelfStock[Self_Qty],T_SelfStock[RM_Code],$A4,T_SelfStock[WeekIndex],66)+SUMIFS(T_TTAFStock[TTAF_Qty],T_TTAFStock[RM_Code],$A4,T_TTAFStock[WeekIndex],66),BN4+'Grid_Incoming'!BO4-'Grid_Requirement'!BO4))</f>
        <v/>
      </c>
      <c r="BP4">
        <f>IF(COUNTIFS(T_StockCount[RM_Code],$A4,T_StockCount[WeekIndex],67)&gt;0,SUMIFS(T_StockCount[CountedQty],T_StockCount[RM_Code],$A4,T_StockCount[WeekIndex],67),IF((COUNTIFS(T_SelfStock[RM_Code],$A4,T_SelfStock[WeekIndex],67)&gt;0)*(COUNTIFS(T_TTAFStock[RM_Code],$A4,T_TTAFStock[WeekIndex],67)&gt;0)&gt;0,SUMIFS(T_SelfStock[Self_Qty],T_SelfStock[RM_Code],$A4,T_SelfStock[WeekIndex],67)+SUMIFS(T_TTAFStock[TTAF_Qty],T_TTAFStock[RM_Code],$A4,T_TTAFStock[WeekIndex],67),BO4+'Grid_Incoming'!BP4-'Grid_Requirement'!BP4))</f>
        <v/>
      </c>
      <c r="BQ4">
        <f>IF(COUNTIFS(T_StockCount[RM_Code],$A4,T_StockCount[WeekIndex],68)&gt;0,SUMIFS(T_StockCount[CountedQty],T_StockCount[RM_Code],$A4,T_StockCount[WeekIndex],68),IF((COUNTIFS(T_SelfStock[RM_Code],$A4,T_SelfStock[WeekIndex],68)&gt;0)*(COUNTIFS(T_TTAFStock[RM_Code],$A4,T_TTAFStock[WeekIndex],68)&gt;0)&gt;0,SUMIFS(T_SelfStock[Self_Qty],T_SelfStock[RM_Code],$A4,T_SelfStock[WeekIndex],68)+SUMIFS(T_TTAFStock[TTAF_Qty],T_TTAFStock[RM_Code],$A4,T_TTAFStock[WeekIndex],68),BP4+'Grid_Incoming'!BQ4-'Grid_Requirement'!BQ4))</f>
        <v/>
      </c>
      <c r="BR4">
        <f>IF(COUNTIFS(T_StockCount[RM_Code],$A4,T_StockCount[WeekIndex],69)&gt;0,SUMIFS(T_StockCount[CountedQty],T_StockCount[RM_Code],$A4,T_StockCount[WeekIndex],69),IF((COUNTIFS(T_SelfStock[RM_Code],$A4,T_SelfStock[WeekIndex],69)&gt;0)*(COUNTIFS(T_TTAFStock[RM_Code],$A4,T_TTAFStock[WeekIndex],69)&gt;0)&gt;0,SUMIFS(T_SelfStock[Self_Qty],T_SelfStock[RM_Code],$A4,T_SelfStock[WeekIndex],69)+SUMIFS(T_TTAFStock[TTAF_Qty],T_TTAFStock[RM_Code],$A4,T_TTAFStock[WeekIndex],69),BQ4+'Grid_Incoming'!BR4-'Grid_Requirement'!BR4))</f>
        <v/>
      </c>
      <c r="BS4">
        <f>IF(COUNTIFS(T_StockCount[RM_Code],$A4,T_StockCount[WeekIndex],70)&gt;0,SUMIFS(T_StockCount[CountedQty],T_StockCount[RM_Code],$A4,T_StockCount[WeekIndex],70),IF((COUNTIFS(T_SelfStock[RM_Code],$A4,T_SelfStock[WeekIndex],70)&gt;0)*(COUNTIFS(T_TTAFStock[RM_Code],$A4,T_TTAFStock[WeekIndex],70)&gt;0)&gt;0,SUMIFS(T_SelfStock[Self_Qty],T_SelfStock[RM_Code],$A4,T_SelfStock[WeekIndex],70)+SUMIFS(T_TTAFStock[TTAF_Qty],T_TTAFStock[RM_Code],$A4,T_TTAFStock[WeekIndex],70),BR4+'Grid_Incoming'!BS4-'Grid_Requirement'!BS4))</f>
        <v/>
      </c>
      <c r="BT4">
        <f>IF(COUNTIFS(T_StockCount[RM_Code],$A4,T_StockCount[WeekIndex],71)&gt;0,SUMIFS(T_StockCount[CountedQty],T_StockCount[RM_Code],$A4,T_StockCount[WeekIndex],71),IF((COUNTIFS(T_SelfStock[RM_Code],$A4,T_SelfStock[WeekIndex],71)&gt;0)*(COUNTIFS(T_TTAFStock[RM_Code],$A4,T_TTAFStock[WeekIndex],71)&gt;0)&gt;0,SUMIFS(T_SelfStock[Self_Qty],T_SelfStock[RM_Code],$A4,T_SelfStock[WeekIndex],71)+SUMIFS(T_TTAFStock[TTAF_Qty],T_TTAFStock[RM_Code],$A4,T_TTAFStock[WeekIndex],71),BS4+'Grid_Incoming'!BT4-'Grid_Requirement'!BT4))</f>
        <v/>
      </c>
      <c r="BU4">
        <f>IF(COUNTIFS(T_StockCount[RM_Code],$A4,T_StockCount[WeekIndex],72)&gt;0,SUMIFS(T_StockCount[CountedQty],T_StockCount[RM_Code],$A4,T_StockCount[WeekIndex],72),IF((COUNTIFS(T_SelfStock[RM_Code],$A4,T_SelfStock[WeekIndex],72)&gt;0)*(COUNTIFS(T_TTAFStock[RM_Code],$A4,T_TTAFStock[WeekIndex],72)&gt;0)&gt;0,SUMIFS(T_SelfStock[Self_Qty],T_SelfStock[RM_Code],$A4,T_SelfStock[WeekIndex],72)+SUMIFS(T_TTAFStock[TTAF_Qty],T_TTAFStock[RM_Code],$A4,T_TTAFStock[WeekIndex],72),BT4+'Grid_Incoming'!BU4-'Grid_Requirement'!BU4))</f>
        <v/>
      </c>
      <c r="BV4">
        <f>IF(COUNTIFS(T_StockCount[RM_Code],$A4,T_StockCount[WeekIndex],73)&gt;0,SUMIFS(T_StockCount[CountedQty],T_StockCount[RM_Code],$A4,T_StockCount[WeekIndex],73),IF((COUNTIFS(T_SelfStock[RM_Code],$A4,T_SelfStock[WeekIndex],73)&gt;0)*(COUNTIFS(T_TTAFStock[RM_Code],$A4,T_TTAFStock[WeekIndex],73)&gt;0)&gt;0,SUMIFS(T_SelfStock[Self_Qty],T_SelfStock[RM_Code],$A4,T_SelfStock[WeekIndex],73)+SUMIFS(T_TTAFStock[TTAF_Qty],T_TTAFStock[RM_Code],$A4,T_TTAFStock[WeekIndex],73),BU4+'Grid_Incoming'!BV4-'Grid_Requirement'!BV4))</f>
        <v/>
      </c>
      <c r="BW4">
        <f>IF(COUNTIFS(T_StockCount[RM_Code],$A4,T_StockCount[WeekIndex],74)&gt;0,SUMIFS(T_StockCount[CountedQty],T_StockCount[RM_Code],$A4,T_StockCount[WeekIndex],74),IF((COUNTIFS(T_SelfStock[RM_Code],$A4,T_SelfStock[WeekIndex],74)&gt;0)*(COUNTIFS(T_TTAFStock[RM_Code],$A4,T_TTAFStock[WeekIndex],74)&gt;0)&gt;0,SUMIFS(T_SelfStock[Self_Qty],T_SelfStock[RM_Code],$A4,T_SelfStock[WeekIndex],74)+SUMIFS(T_TTAFStock[TTAF_Qty],T_TTAFStock[RM_Code],$A4,T_TTAFStock[WeekIndex],74),BV4+'Grid_Incoming'!BW4-'Grid_Requirement'!BW4))</f>
        <v/>
      </c>
      <c r="BX4">
        <f>IF(COUNTIFS(T_StockCount[RM_Code],$A4,T_StockCount[WeekIndex],75)&gt;0,SUMIFS(T_StockCount[CountedQty],T_StockCount[RM_Code],$A4,T_StockCount[WeekIndex],75),IF((COUNTIFS(T_SelfStock[RM_Code],$A4,T_SelfStock[WeekIndex],75)&gt;0)*(COUNTIFS(T_TTAFStock[RM_Code],$A4,T_TTAFStock[WeekIndex],75)&gt;0)&gt;0,SUMIFS(T_SelfStock[Self_Qty],T_SelfStock[RM_Code],$A4,T_SelfStock[WeekIndex],75)+SUMIFS(T_TTAFStock[TTAF_Qty],T_TTAFStock[RM_Code],$A4,T_TTAFStock[WeekIndex],75),BW4+'Grid_Incoming'!BX4-'Grid_Requirement'!BX4))</f>
        <v/>
      </c>
      <c r="BY4">
        <f>IF(COUNTIFS(T_StockCount[RM_Code],$A4,T_StockCount[WeekIndex],76)&gt;0,SUMIFS(T_StockCount[CountedQty],T_StockCount[RM_Code],$A4,T_StockCount[WeekIndex],76),IF((COUNTIFS(T_SelfStock[RM_Code],$A4,T_SelfStock[WeekIndex],76)&gt;0)*(COUNTIFS(T_TTAFStock[RM_Code],$A4,T_TTAFStock[WeekIndex],76)&gt;0)&gt;0,SUMIFS(T_SelfStock[Self_Qty],T_SelfStock[RM_Code],$A4,T_SelfStock[WeekIndex],76)+SUMIFS(T_TTAFStock[TTAF_Qty],T_TTAFStock[RM_Code],$A4,T_TTAFStock[WeekIndex],76),BX4+'Grid_Incoming'!BY4-'Grid_Requirement'!BY4))</f>
        <v/>
      </c>
      <c r="BZ4">
        <f>IF(COUNTIFS(T_StockCount[RM_Code],$A4,T_StockCount[WeekIndex],77)&gt;0,SUMIFS(T_StockCount[CountedQty],T_StockCount[RM_Code],$A4,T_StockCount[WeekIndex],77),IF((COUNTIFS(T_SelfStock[RM_Code],$A4,T_SelfStock[WeekIndex],77)&gt;0)*(COUNTIFS(T_TTAFStock[RM_Code],$A4,T_TTAFStock[WeekIndex],77)&gt;0)&gt;0,SUMIFS(T_SelfStock[Self_Qty],T_SelfStock[RM_Code],$A4,T_SelfStock[WeekIndex],77)+SUMIFS(T_TTAFStock[TTAF_Qty],T_TTAFStock[RM_Code],$A4,T_TTAFStock[WeekIndex],77),BY4+'Grid_Incoming'!BZ4-'Grid_Requirement'!BZ4))</f>
        <v/>
      </c>
      <c r="CA4">
        <f>IF(COUNTIFS(T_StockCount[RM_Code],$A4,T_StockCount[WeekIndex],78)&gt;0,SUMIFS(T_StockCount[CountedQty],T_StockCount[RM_Code],$A4,T_StockCount[WeekIndex],78),IF((COUNTIFS(T_SelfStock[RM_Code],$A4,T_SelfStock[WeekIndex],78)&gt;0)*(COUNTIFS(T_TTAFStock[RM_Code],$A4,T_TTAFStock[WeekIndex],78)&gt;0)&gt;0,SUMIFS(T_SelfStock[Self_Qty],T_SelfStock[RM_Code],$A4,T_SelfStock[WeekIndex],78)+SUMIFS(T_TTAFStock[TTAF_Qty],T_TTAFStock[RM_Code],$A4,T_TTAFStock[WeekIndex],78),BZ4+'Grid_Incoming'!CA4-'Grid_Requirement'!CA4))</f>
        <v/>
      </c>
      <c r="CB4">
        <f>IF(COUNTIFS(T_StockCount[RM_Code],$A4,T_StockCount[WeekIndex],79)&gt;0,SUMIFS(T_StockCount[CountedQty],T_StockCount[RM_Code],$A4,T_StockCount[WeekIndex],79),IF((COUNTIFS(T_SelfStock[RM_Code],$A4,T_SelfStock[WeekIndex],79)&gt;0)*(COUNTIFS(T_TTAFStock[RM_Code],$A4,T_TTAFStock[WeekIndex],79)&gt;0)&gt;0,SUMIFS(T_SelfStock[Self_Qty],T_SelfStock[RM_Code],$A4,T_SelfStock[WeekIndex],79)+SUMIFS(T_TTAFStock[TTAF_Qty],T_TTAFStock[RM_Code],$A4,T_TTAFStock[WeekIndex],79),CA4+'Grid_Incoming'!CB4-'Grid_Requirement'!CB4))</f>
        <v/>
      </c>
      <c r="CC4">
        <f>IF(COUNTIFS(T_StockCount[RM_Code],$A4,T_StockCount[WeekIndex],80)&gt;0,SUMIFS(T_StockCount[CountedQty],T_StockCount[RM_Code],$A4,T_StockCount[WeekIndex],80),IF((COUNTIFS(T_SelfStock[RM_Code],$A4,T_SelfStock[WeekIndex],80)&gt;0)*(COUNTIFS(T_TTAFStock[RM_Code],$A4,T_TTAFStock[WeekIndex],80)&gt;0)&gt;0,SUMIFS(T_SelfStock[Self_Qty],T_SelfStock[RM_Code],$A4,T_SelfStock[WeekIndex],80)+SUMIFS(T_TTAFStock[TTAF_Qty],T_TTAFStock[RM_Code],$A4,T_TTAFStock[WeekIndex],80),CB4+'Grid_Incoming'!CC4-'Grid_Requirement'!CC4))</f>
        <v/>
      </c>
      <c r="CD4">
        <f>IF(COUNTIFS(T_StockCount[RM_Code],$A4,T_StockCount[WeekIndex],81)&gt;0,SUMIFS(T_StockCount[CountedQty],T_StockCount[RM_Code],$A4,T_StockCount[WeekIndex],81),IF((COUNTIFS(T_SelfStock[RM_Code],$A4,T_SelfStock[WeekIndex],81)&gt;0)*(COUNTIFS(T_TTAFStock[RM_Code],$A4,T_TTAFStock[WeekIndex],81)&gt;0)&gt;0,SUMIFS(T_SelfStock[Self_Qty],T_SelfStock[RM_Code],$A4,T_SelfStock[WeekIndex],81)+SUMIFS(T_TTAFStock[TTAF_Qty],T_TTAFStock[RM_Code],$A4,T_TTAFStock[WeekIndex],81),CC4+'Grid_Incoming'!CD4-'Grid_Requirement'!CD4))</f>
        <v/>
      </c>
      <c r="CE4">
        <f>IF(COUNTIFS(T_StockCount[RM_Code],$A4,T_StockCount[WeekIndex],82)&gt;0,SUMIFS(T_StockCount[CountedQty],T_StockCount[RM_Code],$A4,T_StockCount[WeekIndex],82),IF((COUNTIFS(T_SelfStock[RM_Code],$A4,T_SelfStock[WeekIndex],82)&gt;0)*(COUNTIFS(T_TTAFStock[RM_Code],$A4,T_TTAFStock[WeekIndex],82)&gt;0)&gt;0,SUMIFS(T_SelfStock[Self_Qty],T_SelfStock[RM_Code],$A4,T_SelfStock[WeekIndex],82)+SUMIFS(T_TTAFStock[TTAF_Qty],T_TTAFStock[RM_Code],$A4,T_TTAFStock[WeekIndex],82),CD4+'Grid_Incoming'!CE4-'Grid_Requirement'!CE4))</f>
        <v/>
      </c>
      <c r="CF4">
        <f>IF(COUNTIFS(T_StockCount[RM_Code],$A4,T_StockCount[WeekIndex],83)&gt;0,SUMIFS(T_StockCount[CountedQty],T_StockCount[RM_Code],$A4,T_StockCount[WeekIndex],83),IF((COUNTIFS(T_SelfStock[RM_Code],$A4,T_SelfStock[WeekIndex],83)&gt;0)*(COUNTIFS(T_TTAFStock[RM_Code],$A4,T_TTAFStock[WeekIndex],83)&gt;0)&gt;0,SUMIFS(T_SelfStock[Self_Qty],T_SelfStock[RM_Code],$A4,T_SelfStock[WeekIndex],83)+SUMIFS(T_TTAFStock[TTAF_Qty],T_TTAFStock[RM_Code],$A4,T_TTAFStock[WeekIndex],83),CE4+'Grid_Incoming'!CF4-'Grid_Requirement'!CF4))</f>
        <v/>
      </c>
      <c r="CG4">
        <f>IF(COUNTIFS(T_StockCount[RM_Code],$A4,T_StockCount[WeekIndex],84)&gt;0,SUMIFS(T_StockCount[CountedQty],T_StockCount[RM_Code],$A4,T_StockCount[WeekIndex],84),IF((COUNTIFS(T_SelfStock[RM_Code],$A4,T_SelfStock[WeekIndex],84)&gt;0)*(COUNTIFS(T_TTAFStock[RM_Code],$A4,T_TTAFStock[WeekIndex],84)&gt;0)&gt;0,SUMIFS(T_SelfStock[Self_Qty],T_SelfStock[RM_Code],$A4,T_SelfStock[WeekIndex],84)+SUMIFS(T_TTAFStock[TTAF_Qty],T_TTAFStock[RM_Code],$A4,T_TTAFStock[WeekIndex],84),CF4+'Grid_Incoming'!CG4-'Grid_Requirement'!CG4))</f>
        <v/>
      </c>
      <c r="CH4">
        <f>IF(COUNTIFS(T_StockCount[RM_Code],$A4,T_StockCount[WeekIndex],85)&gt;0,SUMIFS(T_StockCount[CountedQty],T_StockCount[RM_Code],$A4,T_StockCount[WeekIndex],85),IF((COUNTIFS(T_SelfStock[RM_Code],$A4,T_SelfStock[WeekIndex],85)&gt;0)*(COUNTIFS(T_TTAFStock[RM_Code],$A4,T_TTAFStock[WeekIndex],85)&gt;0)&gt;0,SUMIFS(T_SelfStock[Self_Qty],T_SelfStock[RM_Code],$A4,T_SelfStock[WeekIndex],85)+SUMIFS(T_TTAFStock[TTAF_Qty],T_TTAFStock[RM_Code],$A4,T_TTAFStock[WeekIndex],85),CG4+'Grid_Incoming'!CH4-'Grid_Requirement'!CH4))</f>
        <v/>
      </c>
      <c r="CI4">
        <f>IF(COUNTIFS(T_StockCount[RM_Code],$A4,T_StockCount[WeekIndex],86)&gt;0,SUMIFS(T_StockCount[CountedQty],T_StockCount[RM_Code],$A4,T_StockCount[WeekIndex],86),IF((COUNTIFS(T_SelfStock[RM_Code],$A4,T_SelfStock[WeekIndex],86)&gt;0)*(COUNTIFS(T_TTAFStock[RM_Code],$A4,T_TTAFStock[WeekIndex],86)&gt;0)&gt;0,SUMIFS(T_SelfStock[Self_Qty],T_SelfStock[RM_Code],$A4,T_SelfStock[WeekIndex],86)+SUMIFS(T_TTAFStock[TTAF_Qty],T_TTAFStock[RM_Code],$A4,T_TTAFStock[WeekIndex],86),CH4+'Grid_Incoming'!CI4-'Grid_Requirement'!CI4))</f>
        <v/>
      </c>
      <c r="CJ4">
        <f>IF(COUNTIFS(T_StockCount[RM_Code],$A4,T_StockCount[WeekIndex],87)&gt;0,SUMIFS(T_StockCount[CountedQty],T_StockCount[RM_Code],$A4,T_StockCount[WeekIndex],87),IF((COUNTIFS(T_SelfStock[RM_Code],$A4,T_SelfStock[WeekIndex],87)&gt;0)*(COUNTIFS(T_TTAFStock[RM_Code],$A4,T_TTAFStock[WeekIndex],87)&gt;0)&gt;0,SUMIFS(T_SelfStock[Self_Qty],T_SelfStock[RM_Code],$A4,T_SelfStock[WeekIndex],87)+SUMIFS(T_TTAFStock[TTAF_Qty],T_TTAFStock[RM_Code],$A4,T_TTAFStock[WeekIndex],87),CI4+'Grid_Incoming'!CJ4-'Grid_Requirement'!CJ4))</f>
        <v/>
      </c>
      <c r="CK4">
        <f>IF(COUNTIFS(T_StockCount[RM_Code],$A4,T_StockCount[WeekIndex],88)&gt;0,SUMIFS(T_StockCount[CountedQty],T_StockCount[RM_Code],$A4,T_StockCount[WeekIndex],88),IF((COUNTIFS(T_SelfStock[RM_Code],$A4,T_SelfStock[WeekIndex],88)&gt;0)*(COUNTIFS(T_TTAFStock[RM_Code],$A4,T_TTAFStock[WeekIndex],88)&gt;0)&gt;0,SUMIFS(T_SelfStock[Self_Qty],T_SelfStock[RM_Code],$A4,T_SelfStock[WeekIndex],88)+SUMIFS(T_TTAFStock[TTAF_Qty],T_TTAFStock[RM_Code],$A4,T_TTAFStock[WeekIndex],88),CJ4+'Grid_Incoming'!CK4-'Grid_Requirement'!CK4))</f>
        <v/>
      </c>
      <c r="CL4">
        <f>IF(COUNTIFS(T_StockCount[RM_Code],$A4,T_StockCount[WeekIndex],89)&gt;0,SUMIFS(T_StockCount[CountedQty],T_StockCount[RM_Code],$A4,T_StockCount[WeekIndex],89),IF((COUNTIFS(T_SelfStock[RM_Code],$A4,T_SelfStock[WeekIndex],89)&gt;0)*(COUNTIFS(T_TTAFStock[RM_Code],$A4,T_TTAFStock[WeekIndex],89)&gt;0)&gt;0,SUMIFS(T_SelfStock[Self_Qty],T_SelfStock[RM_Code],$A4,T_SelfStock[WeekIndex],89)+SUMIFS(T_TTAFStock[TTAF_Qty],T_TTAFStock[RM_Code],$A4,T_TTAFStock[WeekIndex],89),CK4+'Grid_Incoming'!CL4-'Grid_Requirement'!CL4))</f>
        <v/>
      </c>
      <c r="CM4">
        <f>IF(COUNTIFS(T_StockCount[RM_Code],$A4,T_StockCount[WeekIndex],90)&gt;0,SUMIFS(T_StockCount[CountedQty],T_StockCount[RM_Code],$A4,T_StockCount[WeekIndex],90),IF((COUNTIFS(T_SelfStock[RM_Code],$A4,T_SelfStock[WeekIndex],90)&gt;0)*(COUNTIFS(T_TTAFStock[RM_Code],$A4,T_TTAFStock[WeekIndex],90)&gt;0)&gt;0,SUMIFS(T_SelfStock[Self_Qty],T_SelfStock[RM_Code],$A4,T_SelfStock[WeekIndex],90)+SUMIFS(T_TTAFStock[TTAF_Qty],T_TTAFStock[RM_Code],$A4,T_TTAFStock[WeekIndex],90),CL4+'Grid_Incoming'!CM4-'Grid_Requirement'!CM4))</f>
        <v/>
      </c>
      <c r="CN4">
        <f>IF(COUNTIFS(T_StockCount[RM_Code],$A4,T_StockCount[WeekIndex],91)&gt;0,SUMIFS(T_StockCount[CountedQty],T_StockCount[RM_Code],$A4,T_StockCount[WeekIndex],91),IF((COUNTIFS(T_SelfStock[RM_Code],$A4,T_SelfStock[WeekIndex],91)&gt;0)*(COUNTIFS(T_TTAFStock[RM_Code],$A4,T_TTAFStock[WeekIndex],91)&gt;0)&gt;0,SUMIFS(T_SelfStock[Self_Qty],T_SelfStock[RM_Code],$A4,T_SelfStock[WeekIndex],91)+SUMIFS(T_TTAFStock[TTAF_Qty],T_TTAFStock[RM_Code],$A4,T_TTAFStock[WeekIndex],91),CM4+'Grid_Incoming'!CN4-'Grid_Requirement'!CN4))</f>
        <v/>
      </c>
      <c r="CO4">
        <f>IF(COUNTIFS(T_StockCount[RM_Code],$A4,T_StockCount[WeekIndex],92)&gt;0,SUMIFS(T_StockCount[CountedQty],T_StockCount[RM_Code],$A4,T_StockCount[WeekIndex],92),IF((COUNTIFS(T_SelfStock[RM_Code],$A4,T_SelfStock[WeekIndex],92)&gt;0)*(COUNTIFS(T_TTAFStock[RM_Code],$A4,T_TTAFStock[WeekIndex],92)&gt;0)&gt;0,SUMIFS(T_SelfStock[Self_Qty],T_SelfStock[RM_Code],$A4,T_SelfStock[WeekIndex],92)+SUMIFS(T_TTAFStock[TTAF_Qty],T_TTAFStock[RM_Code],$A4,T_TTAFStock[WeekIndex],92),CN4+'Grid_Incoming'!CO4-'Grid_Requirement'!CO4))</f>
        <v/>
      </c>
      <c r="CP4">
        <f>IF(COUNTIFS(T_StockCount[RM_Code],$A4,T_StockCount[WeekIndex],93)&gt;0,SUMIFS(T_StockCount[CountedQty],T_StockCount[RM_Code],$A4,T_StockCount[WeekIndex],93),IF((COUNTIFS(T_SelfStock[RM_Code],$A4,T_SelfStock[WeekIndex],93)&gt;0)*(COUNTIFS(T_TTAFStock[RM_Code],$A4,T_TTAFStock[WeekIndex],93)&gt;0)&gt;0,SUMIFS(T_SelfStock[Self_Qty],T_SelfStock[RM_Code],$A4,T_SelfStock[WeekIndex],93)+SUMIFS(T_TTAFStock[TTAF_Qty],T_TTAFStock[RM_Code],$A4,T_TTAFStock[WeekIndex],93),CO4+'Grid_Incoming'!CP4-'Grid_Requirement'!CP4))</f>
        <v/>
      </c>
      <c r="CQ4">
        <f>IF(COUNTIFS(T_StockCount[RM_Code],$A4,T_StockCount[WeekIndex],94)&gt;0,SUMIFS(T_StockCount[CountedQty],T_StockCount[RM_Code],$A4,T_StockCount[WeekIndex],94),IF((COUNTIFS(T_SelfStock[RM_Code],$A4,T_SelfStock[WeekIndex],94)&gt;0)*(COUNTIFS(T_TTAFStock[RM_Code],$A4,T_TTAFStock[WeekIndex],94)&gt;0)&gt;0,SUMIFS(T_SelfStock[Self_Qty],T_SelfStock[RM_Code],$A4,T_SelfStock[WeekIndex],94)+SUMIFS(T_TTAFStock[TTAF_Qty],T_TTAFStock[RM_Code],$A4,T_TTAFStock[WeekIndex],94),CP4+'Grid_Incoming'!CQ4-'Grid_Requirement'!CQ4))</f>
        <v/>
      </c>
      <c r="CR4">
        <f>IF(COUNTIFS(T_StockCount[RM_Code],$A4,T_StockCount[WeekIndex],95)&gt;0,SUMIFS(T_StockCount[CountedQty],T_StockCount[RM_Code],$A4,T_StockCount[WeekIndex],95),IF((COUNTIFS(T_SelfStock[RM_Code],$A4,T_SelfStock[WeekIndex],95)&gt;0)*(COUNTIFS(T_TTAFStock[RM_Code],$A4,T_TTAFStock[WeekIndex],95)&gt;0)&gt;0,SUMIFS(T_SelfStock[Self_Qty],T_SelfStock[RM_Code],$A4,T_SelfStock[WeekIndex],95)+SUMIFS(T_TTAFStock[TTAF_Qty],T_TTAFStock[RM_Code],$A4,T_TTAFStock[WeekIndex],95),CQ4+'Grid_Incoming'!CR4-'Grid_Requirement'!CR4))</f>
        <v/>
      </c>
      <c r="CS4">
        <f>IF(COUNTIFS(T_StockCount[RM_Code],$A4,T_StockCount[WeekIndex],96)&gt;0,SUMIFS(T_StockCount[CountedQty],T_StockCount[RM_Code],$A4,T_StockCount[WeekIndex],96),IF((COUNTIFS(T_SelfStock[RM_Code],$A4,T_SelfStock[WeekIndex],96)&gt;0)*(COUNTIFS(T_TTAFStock[RM_Code],$A4,T_TTAFStock[WeekIndex],96)&gt;0)&gt;0,SUMIFS(T_SelfStock[Self_Qty],T_SelfStock[RM_Code],$A4,T_SelfStock[WeekIndex],96)+SUMIFS(T_TTAFStock[TTAF_Qty],T_TTAFStock[RM_Code],$A4,T_TTAFStock[WeekIndex],96),CR4+'Grid_Incoming'!CS4-'Grid_Requirement'!CS4))</f>
        <v/>
      </c>
      <c r="CT4">
        <f>IF(COUNTIFS(T_StockCount[RM_Code],$A4,T_StockCount[WeekIndex],97)&gt;0,SUMIFS(T_StockCount[CountedQty],T_StockCount[RM_Code],$A4,T_StockCount[WeekIndex],97),IF((COUNTIFS(T_SelfStock[RM_Code],$A4,T_SelfStock[WeekIndex],97)&gt;0)*(COUNTIFS(T_TTAFStock[RM_Code],$A4,T_TTAFStock[WeekIndex],97)&gt;0)&gt;0,SUMIFS(T_SelfStock[Self_Qty],T_SelfStock[RM_Code],$A4,T_SelfStock[WeekIndex],97)+SUMIFS(T_TTAFStock[TTAF_Qty],T_TTAFStock[RM_Code],$A4,T_TTAFStock[WeekIndex],97),CS4+'Grid_Incoming'!CT4-'Grid_Requirement'!CT4))</f>
        <v/>
      </c>
      <c r="CU4">
        <f>IF(COUNTIFS(T_StockCount[RM_Code],$A4,T_StockCount[WeekIndex],98)&gt;0,SUMIFS(T_StockCount[CountedQty],T_StockCount[RM_Code],$A4,T_StockCount[WeekIndex],98),IF((COUNTIFS(T_SelfStock[RM_Code],$A4,T_SelfStock[WeekIndex],98)&gt;0)*(COUNTIFS(T_TTAFStock[RM_Code],$A4,T_TTAFStock[WeekIndex],98)&gt;0)&gt;0,SUMIFS(T_SelfStock[Self_Qty],T_SelfStock[RM_Code],$A4,T_SelfStock[WeekIndex],98)+SUMIFS(T_TTAFStock[TTAF_Qty],T_TTAFStock[RM_Code],$A4,T_TTAFStock[WeekIndex],98),CT4+'Grid_Incoming'!CU4-'Grid_Requirement'!CU4))</f>
        <v/>
      </c>
      <c r="CV4">
        <f>IF(COUNTIFS(T_StockCount[RM_Code],$A4,T_StockCount[WeekIndex],99)&gt;0,SUMIFS(T_StockCount[CountedQty],T_StockCount[RM_Code],$A4,T_StockCount[WeekIndex],99),IF((COUNTIFS(T_SelfStock[RM_Code],$A4,T_SelfStock[WeekIndex],99)&gt;0)*(COUNTIFS(T_TTAFStock[RM_Code],$A4,T_TTAFStock[WeekIndex],99)&gt;0)&gt;0,SUMIFS(T_SelfStock[Self_Qty],T_SelfStock[RM_Code],$A4,T_SelfStock[WeekIndex],99)+SUMIFS(T_TTAFStock[TTAF_Qty],T_TTAFStock[RM_Code],$A4,T_TTAFStock[WeekIndex],99),CU4+'Grid_Incoming'!CV4-'Grid_Requirement'!CV4))</f>
        <v/>
      </c>
      <c r="CW4">
        <f>IF(COUNTIFS(T_StockCount[RM_Code],$A4,T_StockCount[WeekIndex],100)&gt;0,SUMIFS(T_StockCount[CountedQty],T_StockCount[RM_Code],$A4,T_StockCount[WeekIndex],100),IF((COUNTIFS(T_SelfStock[RM_Code],$A4,T_SelfStock[WeekIndex],100)&gt;0)*(COUNTIFS(T_TTAFStock[RM_Code],$A4,T_TTAFStock[WeekIndex],100)&gt;0)&gt;0,SUMIFS(T_SelfStock[Self_Qty],T_SelfStock[RM_Code],$A4,T_SelfStock[WeekIndex],100)+SUMIFS(T_TTAFStock[TTAF_Qty],T_TTAFStock[RM_Code],$A4,T_TTAFStock[WeekIndex],100),CV4+'Grid_Incoming'!CW4-'Grid_Requirement'!CW4))</f>
        <v/>
      </c>
      <c r="CX4">
        <f>IF(COUNTIFS(T_StockCount[RM_Code],$A4,T_StockCount[WeekIndex],101)&gt;0,SUMIFS(T_StockCount[CountedQty],T_StockCount[RM_Code],$A4,T_StockCount[WeekIndex],101),IF((COUNTIFS(T_SelfStock[RM_Code],$A4,T_SelfStock[WeekIndex],101)&gt;0)*(COUNTIFS(T_TTAFStock[RM_Code],$A4,T_TTAFStock[WeekIndex],101)&gt;0)&gt;0,SUMIFS(T_SelfStock[Self_Qty],T_SelfStock[RM_Code],$A4,T_SelfStock[WeekIndex],101)+SUMIFS(T_TTAFStock[TTAF_Qty],T_TTAFStock[RM_Code],$A4,T_TTAFStock[WeekIndex],101),CW4+'Grid_Incoming'!CX4-'Grid_Requirement'!CX4))</f>
        <v/>
      </c>
      <c r="CY4">
        <f>IF(COUNTIFS(T_StockCount[RM_Code],$A4,T_StockCount[WeekIndex],102)&gt;0,SUMIFS(T_StockCount[CountedQty],T_StockCount[RM_Code],$A4,T_StockCount[WeekIndex],102),IF((COUNTIFS(T_SelfStock[RM_Code],$A4,T_SelfStock[WeekIndex],102)&gt;0)*(COUNTIFS(T_TTAFStock[RM_Code],$A4,T_TTAFStock[WeekIndex],102)&gt;0)&gt;0,SUMIFS(T_SelfStock[Self_Qty],T_SelfStock[RM_Code],$A4,T_SelfStock[WeekIndex],102)+SUMIFS(T_TTAFStock[TTAF_Qty],T_TTAFStock[RM_Code],$A4,T_TTAFStock[WeekIndex],102),CX4+'Grid_Incoming'!CY4-'Grid_Requirement'!CY4))</f>
        <v/>
      </c>
      <c r="CZ4">
        <f>IF(COUNTIFS(T_StockCount[RM_Code],$A4,T_StockCount[WeekIndex],103)&gt;0,SUMIFS(T_StockCount[CountedQty],T_StockCount[RM_Code],$A4,T_StockCount[WeekIndex],103),IF((COUNTIFS(T_SelfStock[RM_Code],$A4,T_SelfStock[WeekIndex],103)&gt;0)*(COUNTIFS(T_TTAFStock[RM_Code],$A4,T_TTAFStock[WeekIndex],103)&gt;0)&gt;0,SUMIFS(T_SelfStock[Self_Qty],T_SelfStock[RM_Code],$A4,T_SelfStock[WeekIndex],103)+SUMIFS(T_TTAFStock[TTAF_Qty],T_TTAFStock[RM_Code],$A4,T_TTAFStock[WeekIndex],103),CY4+'Grid_Incoming'!CZ4-'Grid_Requirement'!CZ4))</f>
        <v/>
      </c>
      <c r="DA4">
        <f>IF(COUNTIFS(T_StockCount[RM_Code],$A4,T_StockCount[WeekIndex],104)&gt;0,SUMIFS(T_StockCount[CountedQty],T_StockCount[RM_Code],$A4,T_StockCount[WeekIndex],104),IF((COUNTIFS(T_SelfStock[RM_Code],$A4,T_SelfStock[WeekIndex],104)&gt;0)*(COUNTIFS(T_TTAFStock[RM_Code],$A4,T_TTAFStock[WeekIndex],104)&gt;0)&gt;0,SUMIFS(T_SelfStock[Self_Qty],T_SelfStock[RM_Code],$A4,T_SelfStock[WeekIndex],104)+SUMIFS(T_TTAFStock[TTAF_Qty],T_TTAFStock[RM_Code],$A4,T_TTAFStock[WeekIndex],104),CZ4+'Grid_Incoming'!DA4-'Grid_Requirement'!DA4))</f>
        <v/>
      </c>
    </row>
    <row r="5">
      <c r="A5" t="inlineStr">
        <is>
          <t>CHEM-1420</t>
        </is>
      </c>
      <c r="B5">
        <f>IF(COUNTIFS(T_StockCount[RM_Code],$A5,T_StockCount[WeekIndex],1)&gt;0,SUMIFS(T_StockCount[CountedQty],T_StockCount[RM_Code],$A5,T_StockCount[WeekIndex],1),IF((COUNTIFS(T_SelfStock[RM_Code],$A5,T_SelfStock[WeekIndex],1)&gt;0)*(COUNTIFS(T_TTAFStock[RM_Code],$A5,T_TTAFStock[WeekIndex],1)&gt;0)&gt;0,SUMIFS(T_SelfStock[Self_Qty],T_SelfStock[RM_Code],$A5,T_SelfStock[WeekIndex],1)+SUMIFS(T_TTAFStock[TTAF_Qty],T_TTAFStock[RM_Code],$A5,T_TTAFStock[WeekIndex],1),IFERROR(INDEX(T_OpeningStock[Opening_Qty],MATCH($A5,T_OpeningStock[RM_Code],0)),0)+'Grid_Incoming'!B5-'Grid_Requirement'!B5))</f>
        <v/>
      </c>
      <c r="C5">
        <f>IF(COUNTIFS(T_StockCount[RM_Code],$A5,T_StockCount[WeekIndex],2)&gt;0,SUMIFS(T_StockCount[CountedQty],T_StockCount[RM_Code],$A5,T_StockCount[WeekIndex],2),IF((COUNTIFS(T_SelfStock[RM_Code],$A5,T_SelfStock[WeekIndex],2)&gt;0)*(COUNTIFS(T_TTAFStock[RM_Code],$A5,T_TTAFStock[WeekIndex],2)&gt;0)&gt;0,SUMIFS(T_SelfStock[Self_Qty],T_SelfStock[RM_Code],$A5,T_SelfStock[WeekIndex],2)+SUMIFS(T_TTAFStock[TTAF_Qty],T_TTAFStock[RM_Code],$A5,T_TTAFStock[WeekIndex],2),B5+'Grid_Incoming'!C5-'Grid_Requirement'!C5))</f>
        <v/>
      </c>
      <c r="D5">
        <f>IF(COUNTIFS(T_StockCount[RM_Code],$A5,T_StockCount[WeekIndex],3)&gt;0,SUMIFS(T_StockCount[CountedQty],T_StockCount[RM_Code],$A5,T_StockCount[WeekIndex],3),IF((COUNTIFS(T_SelfStock[RM_Code],$A5,T_SelfStock[WeekIndex],3)&gt;0)*(COUNTIFS(T_TTAFStock[RM_Code],$A5,T_TTAFStock[WeekIndex],3)&gt;0)&gt;0,SUMIFS(T_SelfStock[Self_Qty],T_SelfStock[RM_Code],$A5,T_SelfStock[WeekIndex],3)+SUMIFS(T_TTAFStock[TTAF_Qty],T_TTAFStock[RM_Code],$A5,T_TTAFStock[WeekIndex],3),C5+'Grid_Incoming'!D5-'Grid_Requirement'!D5))</f>
        <v/>
      </c>
      <c r="E5">
        <f>IF(COUNTIFS(T_StockCount[RM_Code],$A5,T_StockCount[WeekIndex],4)&gt;0,SUMIFS(T_StockCount[CountedQty],T_StockCount[RM_Code],$A5,T_StockCount[WeekIndex],4),IF((COUNTIFS(T_SelfStock[RM_Code],$A5,T_SelfStock[WeekIndex],4)&gt;0)*(COUNTIFS(T_TTAFStock[RM_Code],$A5,T_TTAFStock[WeekIndex],4)&gt;0)&gt;0,SUMIFS(T_SelfStock[Self_Qty],T_SelfStock[RM_Code],$A5,T_SelfStock[WeekIndex],4)+SUMIFS(T_TTAFStock[TTAF_Qty],T_TTAFStock[RM_Code],$A5,T_TTAFStock[WeekIndex],4),D5+'Grid_Incoming'!E5-'Grid_Requirement'!E5))</f>
        <v/>
      </c>
      <c r="F5">
        <f>IF(COUNTIFS(T_StockCount[RM_Code],$A5,T_StockCount[WeekIndex],5)&gt;0,SUMIFS(T_StockCount[CountedQty],T_StockCount[RM_Code],$A5,T_StockCount[WeekIndex],5),IF((COUNTIFS(T_SelfStock[RM_Code],$A5,T_SelfStock[WeekIndex],5)&gt;0)*(COUNTIFS(T_TTAFStock[RM_Code],$A5,T_TTAFStock[WeekIndex],5)&gt;0)&gt;0,SUMIFS(T_SelfStock[Self_Qty],T_SelfStock[RM_Code],$A5,T_SelfStock[WeekIndex],5)+SUMIFS(T_TTAFStock[TTAF_Qty],T_TTAFStock[RM_Code],$A5,T_TTAFStock[WeekIndex],5),E5+'Grid_Incoming'!F5-'Grid_Requirement'!F5))</f>
        <v/>
      </c>
      <c r="G5">
        <f>IF(COUNTIFS(T_StockCount[RM_Code],$A5,T_StockCount[WeekIndex],6)&gt;0,SUMIFS(T_StockCount[CountedQty],T_StockCount[RM_Code],$A5,T_StockCount[WeekIndex],6),IF((COUNTIFS(T_SelfStock[RM_Code],$A5,T_SelfStock[WeekIndex],6)&gt;0)*(COUNTIFS(T_TTAFStock[RM_Code],$A5,T_TTAFStock[WeekIndex],6)&gt;0)&gt;0,SUMIFS(T_SelfStock[Self_Qty],T_SelfStock[RM_Code],$A5,T_SelfStock[WeekIndex],6)+SUMIFS(T_TTAFStock[TTAF_Qty],T_TTAFStock[RM_Code],$A5,T_TTAFStock[WeekIndex],6),F5+'Grid_Incoming'!G5-'Grid_Requirement'!G5))</f>
        <v/>
      </c>
      <c r="H5">
        <f>IF(COUNTIFS(T_StockCount[RM_Code],$A5,T_StockCount[WeekIndex],7)&gt;0,SUMIFS(T_StockCount[CountedQty],T_StockCount[RM_Code],$A5,T_StockCount[WeekIndex],7),IF((COUNTIFS(T_SelfStock[RM_Code],$A5,T_SelfStock[WeekIndex],7)&gt;0)*(COUNTIFS(T_TTAFStock[RM_Code],$A5,T_TTAFStock[WeekIndex],7)&gt;0)&gt;0,SUMIFS(T_SelfStock[Self_Qty],T_SelfStock[RM_Code],$A5,T_SelfStock[WeekIndex],7)+SUMIFS(T_TTAFStock[TTAF_Qty],T_TTAFStock[RM_Code],$A5,T_TTAFStock[WeekIndex],7),G5+'Grid_Incoming'!H5-'Grid_Requirement'!H5))</f>
        <v/>
      </c>
      <c r="I5">
        <f>IF(COUNTIFS(T_StockCount[RM_Code],$A5,T_StockCount[WeekIndex],8)&gt;0,SUMIFS(T_StockCount[CountedQty],T_StockCount[RM_Code],$A5,T_StockCount[WeekIndex],8),IF((COUNTIFS(T_SelfStock[RM_Code],$A5,T_SelfStock[WeekIndex],8)&gt;0)*(COUNTIFS(T_TTAFStock[RM_Code],$A5,T_TTAFStock[WeekIndex],8)&gt;0)&gt;0,SUMIFS(T_SelfStock[Self_Qty],T_SelfStock[RM_Code],$A5,T_SelfStock[WeekIndex],8)+SUMIFS(T_TTAFStock[TTAF_Qty],T_TTAFStock[RM_Code],$A5,T_TTAFStock[WeekIndex],8),H5+'Grid_Incoming'!I5-'Grid_Requirement'!I5))</f>
        <v/>
      </c>
      <c r="J5">
        <f>IF(COUNTIFS(T_StockCount[RM_Code],$A5,T_StockCount[WeekIndex],9)&gt;0,SUMIFS(T_StockCount[CountedQty],T_StockCount[RM_Code],$A5,T_StockCount[WeekIndex],9),IF((COUNTIFS(T_SelfStock[RM_Code],$A5,T_SelfStock[WeekIndex],9)&gt;0)*(COUNTIFS(T_TTAFStock[RM_Code],$A5,T_TTAFStock[WeekIndex],9)&gt;0)&gt;0,SUMIFS(T_SelfStock[Self_Qty],T_SelfStock[RM_Code],$A5,T_SelfStock[WeekIndex],9)+SUMIFS(T_TTAFStock[TTAF_Qty],T_TTAFStock[RM_Code],$A5,T_TTAFStock[WeekIndex],9),I5+'Grid_Incoming'!J5-'Grid_Requirement'!J5))</f>
        <v/>
      </c>
      <c r="K5">
        <f>IF(COUNTIFS(T_StockCount[RM_Code],$A5,T_StockCount[WeekIndex],10)&gt;0,SUMIFS(T_StockCount[CountedQty],T_StockCount[RM_Code],$A5,T_StockCount[WeekIndex],10),IF((COUNTIFS(T_SelfStock[RM_Code],$A5,T_SelfStock[WeekIndex],10)&gt;0)*(COUNTIFS(T_TTAFStock[RM_Code],$A5,T_TTAFStock[WeekIndex],10)&gt;0)&gt;0,SUMIFS(T_SelfStock[Self_Qty],T_SelfStock[RM_Code],$A5,T_SelfStock[WeekIndex],10)+SUMIFS(T_TTAFStock[TTAF_Qty],T_TTAFStock[RM_Code],$A5,T_TTAFStock[WeekIndex],10),J5+'Grid_Incoming'!K5-'Grid_Requirement'!K5))</f>
        <v/>
      </c>
      <c r="L5">
        <f>IF(COUNTIFS(T_StockCount[RM_Code],$A5,T_StockCount[WeekIndex],11)&gt;0,SUMIFS(T_StockCount[CountedQty],T_StockCount[RM_Code],$A5,T_StockCount[WeekIndex],11),IF((COUNTIFS(T_SelfStock[RM_Code],$A5,T_SelfStock[WeekIndex],11)&gt;0)*(COUNTIFS(T_TTAFStock[RM_Code],$A5,T_TTAFStock[WeekIndex],11)&gt;0)&gt;0,SUMIFS(T_SelfStock[Self_Qty],T_SelfStock[RM_Code],$A5,T_SelfStock[WeekIndex],11)+SUMIFS(T_TTAFStock[TTAF_Qty],T_TTAFStock[RM_Code],$A5,T_TTAFStock[WeekIndex],11),K5+'Grid_Incoming'!L5-'Grid_Requirement'!L5))</f>
        <v/>
      </c>
      <c r="M5">
        <f>IF(COUNTIFS(T_StockCount[RM_Code],$A5,T_StockCount[WeekIndex],12)&gt;0,SUMIFS(T_StockCount[CountedQty],T_StockCount[RM_Code],$A5,T_StockCount[WeekIndex],12),IF((COUNTIFS(T_SelfStock[RM_Code],$A5,T_SelfStock[WeekIndex],12)&gt;0)*(COUNTIFS(T_TTAFStock[RM_Code],$A5,T_TTAFStock[WeekIndex],12)&gt;0)&gt;0,SUMIFS(T_SelfStock[Self_Qty],T_SelfStock[RM_Code],$A5,T_SelfStock[WeekIndex],12)+SUMIFS(T_TTAFStock[TTAF_Qty],T_TTAFStock[RM_Code],$A5,T_TTAFStock[WeekIndex],12),L5+'Grid_Incoming'!M5-'Grid_Requirement'!M5))</f>
        <v/>
      </c>
      <c r="N5">
        <f>IF(COUNTIFS(T_StockCount[RM_Code],$A5,T_StockCount[WeekIndex],13)&gt;0,SUMIFS(T_StockCount[CountedQty],T_StockCount[RM_Code],$A5,T_StockCount[WeekIndex],13),IF((COUNTIFS(T_SelfStock[RM_Code],$A5,T_SelfStock[WeekIndex],13)&gt;0)*(COUNTIFS(T_TTAFStock[RM_Code],$A5,T_TTAFStock[WeekIndex],13)&gt;0)&gt;0,SUMIFS(T_SelfStock[Self_Qty],T_SelfStock[RM_Code],$A5,T_SelfStock[WeekIndex],13)+SUMIFS(T_TTAFStock[TTAF_Qty],T_TTAFStock[RM_Code],$A5,T_TTAFStock[WeekIndex],13),M5+'Grid_Incoming'!N5-'Grid_Requirement'!N5))</f>
        <v/>
      </c>
      <c r="O5">
        <f>IF(COUNTIFS(T_StockCount[RM_Code],$A5,T_StockCount[WeekIndex],14)&gt;0,SUMIFS(T_StockCount[CountedQty],T_StockCount[RM_Code],$A5,T_StockCount[WeekIndex],14),IF((COUNTIFS(T_SelfStock[RM_Code],$A5,T_SelfStock[WeekIndex],14)&gt;0)*(COUNTIFS(T_TTAFStock[RM_Code],$A5,T_TTAFStock[WeekIndex],14)&gt;0)&gt;0,SUMIFS(T_SelfStock[Self_Qty],T_SelfStock[RM_Code],$A5,T_SelfStock[WeekIndex],14)+SUMIFS(T_TTAFStock[TTAF_Qty],T_TTAFStock[RM_Code],$A5,T_TTAFStock[WeekIndex],14),N5+'Grid_Incoming'!O5-'Grid_Requirement'!O5))</f>
        <v/>
      </c>
      <c r="P5">
        <f>IF(COUNTIFS(T_StockCount[RM_Code],$A5,T_StockCount[WeekIndex],15)&gt;0,SUMIFS(T_StockCount[CountedQty],T_StockCount[RM_Code],$A5,T_StockCount[WeekIndex],15),IF((COUNTIFS(T_SelfStock[RM_Code],$A5,T_SelfStock[WeekIndex],15)&gt;0)*(COUNTIFS(T_TTAFStock[RM_Code],$A5,T_TTAFStock[WeekIndex],15)&gt;0)&gt;0,SUMIFS(T_SelfStock[Self_Qty],T_SelfStock[RM_Code],$A5,T_SelfStock[WeekIndex],15)+SUMIFS(T_TTAFStock[TTAF_Qty],T_TTAFStock[RM_Code],$A5,T_TTAFStock[WeekIndex],15),O5+'Grid_Incoming'!P5-'Grid_Requirement'!P5))</f>
        <v/>
      </c>
      <c r="Q5">
        <f>IF(COUNTIFS(T_StockCount[RM_Code],$A5,T_StockCount[WeekIndex],16)&gt;0,SUMIFS(T_StockCount[CountedQty],T_StockCount[RM_Code],$A5,T_StockCount[WeekIndex],16),IF((COUNTIFS(T_SelfStock[RM_Code],$A5,T_SelfStock[WeekIndex],16)&gt;0)*(COUNTIFS(T_TTAFStock[RM_Code],$A5,T_TTAFStock[WeekIndex],16)&gt;0)&gt;0,SUMIFS(T_SelfStock[Self_Qty],T_SelfStock[RM_Code],$A5,T_SelfStock[WeekIndex],16)+SUMIFS(T_TTAFStock[TTAF_Qty],T_TTAFStock[RM_Code],$A5,T_TTAFStock[WeekIndex],16),P5+'Grid_Incoming'!Q5-'Grid_Requirement'!Q5))</f>
        <v/>
      </c>
      <c r="R5">
        <f>IF(COUNTIFS(T_StockCount[RM_Code],$A5,T_StockCount[WeekIndex],17)&gt;0,SUMIFS(T_StockCount[CountedQty],T_StockCount[RM_Code],$A5,T_StockCount[WeekIndex],17),IF((COUNTIFS(T_SelfStock[RM_Code],$A5,T_SelfStock[WeekIndex],17)&gt;0)*(COUNTIFS(T_TTAFStock[RM_Code],$A5,T_TTAFStock[WeekIndex],17)&gt;0)&gt;0,SUMIFS(T_SelfStock[Self_Qty],T_SelfStock[RM_Code],$A5,T_SelfStock[WeekIndex],17)+SUMIFS(T_TTAFStock[TTAF_Qty],T_TTAFStock[RM_Code],$A5,T_TTAFStock[WeekIndex],17),Q5+'Grid_Incoming'!R5-'Grid_Requirement'!R5))</f>
        <v/>
      </c>
      <c r="S5">
        <f>IF(COUNTIFS(T_StockCount[RM_Code],$A5,T_StockCount[WeekIndex],18)&gt;0,SUMIFS(T_StockCount[CountedQty],T_StockCount[RM_Code],$A5,T_StockCount[WeekIndex],18),IF((COUNTIFS(T_SelfStock[RM_Code],$A5,T_SelfStock[WeekIndex],18)&gt;0)*(COUNTIFS(T_TTAFStock[RM_Code],$A5,T_TTAFStock[WeekIndex],18)&gt;0)&gt;0,SUMIFS(T_SelfStock[Self_Qty],T_SelfStock[RM_Code],$A5,T_SelfStock[WeekIndex],18)+SUMIFS(T_TTAFStock[TTAF_Qty],T_TTAFStock[RM_Code],$A5,T_TTAFStock[WeekIndex],18),R5+'Grid_Incoming'!S5-'Grid_Requirement'!S5))</f>
        <v/>
      </c>
      <c r="T5">
        <f>IF(COUNTIFS(T_StockCount[RM_Code],$A5,T_StockCount[WeekIndex],19)&gt;0,SUMIFS(T_StockCount[CountedQty],T_StockCount[RM_Code],$A5,T_StockCount[WeekIndex],19),IF((COUNTIFS(T_SelfStock[RM_Code],$A5,T_SelfStock[WeekIndex],19)&gt;0)*(COUNTIFS(T_TTAFStock[RM_Code],$A5,T_TTAFStock[WeekIndex],19)&gt;0)&gt;0,SUMIFS(T_SelfStock[Self_Qty],T_SelfStock[RM_Code],$A5,T_SelfStock[WeekIndex],19)+SUMIFS(T_TTAFStock[TTAF_Qty],T_TTAFStock[RM_Code],$A5,T_TTAFStock[WeekIndex],19),S5+'Grid_Incoming'!T5-'Grid_Requirement'!T5))</f>
        <v/>
      </c>
      <c r="U5">
        <f>IF(COUNTIFS(T_StockCount[RM_Code],$A5,T_StockCount[WeekIndex],20)&gt;0,SUMIFS(T_StockCount[CountedQty],T_StockCount[RM_Code],$A5,T_StockCount[WeekIndex],20),IF((COUNTIFS(T_SelfStock[RM_Code],$A5,T_SelfStock[WeekIndex],20)&gt;0)*(COUNTIFS(T_TTAFStock[RM_Code],$A5,T_TTAFStock[WeekIndex],20)&gt;0)&gt;0,SUMIFS(T_SelfStock[Self_Qty],T_SelfStock[RM_Code],$A5,T_SelfStock[WeekIndex],20)+SUMIFS(T_TTAFStock[TTAF_Qty],T_TTAFStock[RM_Code],$A5,T_TTAFStock[WeekIndex],20),T5+'Grid_Incoming'!U5-'Grid_Requirement'!U5))</f>
        <v/>
      </c>
      <c r="V5">
        <f>IF(COUNTIFS(T_StockCount[RM_Code],$A5,T_StockCount[WeekIndex],21)&gt;0,SUMIFS(T_StockCount[CountedQty],T_StockCount[RM_Code],$A5,T_StockCount[WeekIndex],21),IF((COUNTIFS(T_SelfStock[RM_Code],$A5,T_SelfStock[WeekIndex],21)&gt;0)*(COUNTIFS(T_TTAFStock[RM_Code],$A5,T_TTAFStock[WeekIndex],21)&gt;0)&gt;0,SUMIFS(T_SelfStock[Self_Qty],T_SelfStock[RM_Code],$A5,T_SelfStock[WeekIndex],21)+SUMIFS(T_TTAFStock[TTAF_Qty],T_TTAFStock[RM_Code],$A5,T_TTAFStock[WeekIndex],21),U5+'Grid_Incoming'!V5-'Grid_Requirement'!V5))</f>
        <v/>
      </c>
      <c r="W5">
        <f>IF(COUNTIFS(T_StockCount[RM_Code],$A5,T_StockCount[WeekIndex],22)&gt;0,SUMIFS(T_StockCount[CountedQty],T_StockCount[RM_Code],$A5,T_StockCount[WeekIndex],22),IF((COUNTIFS(T_SelfStock[RM_Code],$A5,T_SelfStock[WeekIndex],22)&gt;0)*(COUNTIFS(T_TTAFStock[RM_Code],$A5,T_TTAFStock[WeekIndex],22)&gt;0)&gt;0,SUMIFS(T_SelfStock[Self_Qty],T_SelfStock[RM_Code],$A5,T_SelfStock[WeekIndex],22)+SUMIFS(T_TTAFStock[TTAF_Qty],T_TTAFStock[RM_Code],$A5,T_TTAFStock[WeekIndex],22),V5+'Grid_Incoming'!W5-'Grid_Requirement'!W5))</f>
        <v/>
      </c>
      <c r="X5">
        <f>IF(COUNTIFS(T_StockCount[RM_Code],$A5,T_StockCount[WeekIndex],23)&gt;0,SUMIFS(T_StockCount[CountedQty],T_StockCount[RM_Code],$A5,T_StockCount[WeekIndex],23),IF((COUNTIFS(T_SelfStock[RM_Code],$A5,T_SelfStock[WeekIndex],23)&gt;0)*(COUNTIFS(T_TTAFStock[RM_Code],$A5,T_TTAFStock[WeekIndex],23)&gt;0)&gt;0,SUMIFS(T_SelfStock[Self_Qty],T_SelfStock[RM_Code],$A5,T_SelfStock[WeekIndex],23)+SUMIFS(T_TTAFStock[TTAF_Qty],T_TTAFStock[RM_Code],$A5,T_TTAFStock[WeekIndex],23),W5+'Grid_Incoming'!X5-'Grid_Requirement'!X5))</f>
        <v/>
      </c>
      <c r="Y5">
        <f>IF(COUNTIFS(T_StockCount[RM_Code],$A5,T_StockCount[WeekIndex],24)&gt;0,SUMIFS(T_StockCount[CountedQty],T_StockCount[RM_Code],$A5,T_StockCount[WeekIndex],24),IF((COUNTIFS(T_SelfStock[RM_Code],$A5,T_SelfStock[WeekIndex],24)&gt;0)*(COUNTIFS(T_TTAFStock[RM_Code],$A5,T_TTAFStock[WeekIndex],24)&gt;0)&gt;0,SUMIFS(T_SelfStock[Self_Qty],T_SelfStock[RM_Code],$A5,T_SelfStock[WeekIndex],24)+SUMIFS(T_TTAFStock[TTAF_Qty],T_TTAFStock[RM_Code],$A5,T_TTAFStock[WeekIndex],24),X5+'Grid_Incoming'!Y5-'Grid_Requirement'!Y5))</f>
        <v/>
      </c>
      <c r="Z5">
        <f>IF(COUNTIFS(T_StockCount[RM_Code],$A5,T_StockCount[WeekIndex],25)&gt;0,SUMIFS(T_StockCount[CountedQty],T_StockCount[RM_Code],$A5,T_StockCount[WeekIndex],25),IF((COUNTIFS(T_SelfStock[RM_Code],$A5,T_SelfStock[WeekIndex],25)&gt;0)*(COUNTIFS(T_TTAFStock[RM_Code],$A5,T_TTAFStock[WeekIndex],25)&gt;0)&gt;0,SUMIFS(T_SelfStock[Self_Qty],T_SelfStock[RM_Code],$A5,T_SelfStock[WeekIndex],25)+SUMIFS(T_TTAFStock[TTAF_Qty],T_TTAFStock[RM_Code],$A5,T_TTAFStock[WeekIndex],25),Y5+'Grid_Incoming'!Z5-'Grid_Requirement'!Z5))</f>
        <v/>
      </c>
      <c r="AA5">
        <f>IF(COUNTIFS(T_StockCount[RM_Code],$A5,T_StockCount[WeekIndex],26)&gt;0,SUMIFS(T_StockCount[CountedQty],T_StockCount[RM_Code],$A5,T_StockCount[WeekIndex],26),IF((COUNTIFS(T_SelfStock[RM_Code],$A5,T_SelfStock[WeekIndex],26)&gt;0)*(COUNTIFS(T_TTAFStock[RM_Code],$A5,T_TTAFStock[WeekIndex],26)&gt;0)&gt;0,SUMIFS(T_SelfStock[Self_Qty],T_SelfStock[RM_Code],$A5,T_SelfStock[WeekIndex],26)+SUMIFS(T_TTAFStock[TTAF_Qty],T_TTAFStock[RM_Code],$A5,T_TTAFStock[WeekIndex],26),Z5+'Grid_Incoming'!AA5-'Grid_Requirement'!AA5))</f>
        <v/>
      </c>
      <c r="AB5">
        <f>IF(COUNTIFS(T_StockCount[RM_Code],$A5,T_StockCount[WeekIndex],27)&gt;0,SUMIFS(T_StockCount[CountedQty],T_StockCount[RM_Code],$A5,T_StockCount[WeekIndex],27),IF((COUNTIFS(T_SelfStock[RM_Code],$A5,T_SelfStock[WeekIndex],27)&gt;0)*(COUNTIFS(T_TTAFStock[RM_Code],$A5,T_TTAFStock[WeekIndex],27)&gt;0)&gt;0,SUMIFS(T_SelfStock[Self_Qty],T_SelfStock[RM_Code],$A5,T_SelfStock[WeekIndex],27)+SUMIFS(T_TTAFStock[TTAF_Qty],T_TTAFStock[RM_Code],$A5,T_TTAFStock[WeekIndex],27),AA5+'Grid_Incoming'!AB5-'Grid_Requirement'!AB5))</f>
        <v/>
      </c>
      <c r="AC5">
        <f>IF(COUNTIFS(T_StockCount[RM_Code],$A5,T_StockCount[WeekIndex],28)&gt;0,SUMIFS(T_StockCount[CountedQty],T_StockCount[RM_Code],$A5,T_StockCount[WeekIndex],28),IF((COUNTIFS(T_SelfStock[RM_Code],$A5,T_SelfStock[WeekIndex],28)&gt;0)*(COUNTIFS(T_TTAFStock[RM_Code],$A5,T_TTAFStock[WeekIndex],28)&gt;0)&gt;0,SUMIFS(T_SelfStock[Self_Qty],T_SelfStock[RM_Code],$A5,T_SelfStock[WeekIndex],28)+SUMIFS(T_TTAFStock[TTAF_Qty],T_TTAFStock[RM_Code],$A5,T_TTAFStock[WeekIndex],28),AB5+'Grid_Incoming'!AC5-'Grid_Requirement'!AC5))</f>
        <v/>
      </c>
      <c r="AD5">
        <f>IF(COUNTIFS(T_StockCount[RM_Code],$A5,T_StockCount[WeekIndex],29)&gt;0,SUMIFS(T_StockCount[CountedQty],T_StockCount[RM_Code],$A5,T_StockCount[WeekIndex],29),IF((COUNTIFS(T_SelfStock[RM_Code],$A5,T_SelfStock[WeekIndex],29)&gt;0)*(COUNTIFS(T_TTAFStock[RM_Code],$A5,T_TTAFStock[WeekIndex],29)&gt;0)&gt;0,SUMIFS(T_SelfStock[Self_Qty],T_SelfStock[RM_Code],$A5,T_SelfStock[WeekIndex],29)+SUMIFS(T_TTAFStock[TTAF_Qty],T_TTAFStock[RM_Code],$A5,T_TTAFStock[WeekIndex],29),AC5+'Grid_Incoming'!AD5-'Grid_Requirement'!AD5))</f>
        <v/>
      </c>
      <c r="AE5">
        <f>IF(COUNTIFS(T_StockCount[RM_Code],$A5,T_StockCount[WeekIndex],30)&gt;0,SUMIFS(T_StockCount[CountedQty],T_StockCount[RM_Code],$A5,T_StockCount[WeekIndex],30),IF((COUNTIFS(T_SelfStock[RM_Code],$A5,T_SelfStock[WeekIndex],30)&gt;0)*(COUNTIFS(T_TTAFStock[RM_Code],$A5,T_TTAFStock[WeekIndex],30)&gt;0)&gt;0,SUMIFS(T_SelfStock[Self_Qty],T_SelfStock[RM_Code],$A5,T_SelfStock[WeekIndex],30)+SUMIFS(T_TTAFStock[TTAF_Qty],T_TTAFStock[RM_Code],$A5,T_TTAFStock[WeekIndex],30),AD5+'Grid_Incoming'!AE5-'Grid_Requirement'!AE5))</f>
        <v/>
      </c>
      <c r="AF5">
        <f>IF(COUNTIFS(T_StockCount[RM_Code],$A5,T_StockCount[WeekIndex],31)&gt;0,SUMIFS(T_StockCount[CountedQty],T_StockCount[RM_Code],$A5,T_StockCount[WeekIndex],31),IF((COUNTIFS(T_SelfStock[RM_Code],$A5,T_SelfStock[WeekIndex],31)&gt;0)*(COUNTIFS(T_TTAFStock[RM_Code],$A5,T_TTAFStock[WeekIndex],31)&gt;0)&gt;0,SUMIFS(T_SelfStock[Self_Qty],T_SelfStock[RM_Code],$A5,T_SelfStock[WeekIndex],31)+SUMIFS(T_TTAFStock[TTAF_Qty],T_TTAFStock[RM_Code],$A5,T_TTAFStock[WeekIndex],31),AE5+'Grid_Incoming'!AF5-'Grid_Requirement'!AF5))</f>
        <v/>
      </c>
      <c r="AG5">
        <f>IF(COUNTIFS(T_StockCount[RM_Code],$A5,T_StockCount[WeekIndex],32)&gt;0,SUMIFS(T_StockCount[CountedQty],T_StockCount[RM_Code],$A5,T_StockCount[WeekIndex],32),IF((COUNTIFS(T_SelfStock[RM_Code],$A5,T_SelfStock[WeekIndex],32)&gt;0)*(COUNTIFS(T_TTAFStock[RM_Code],$A5,T_TTAFStock[WeekIndex],32)&gt;0)&gt;0,SUMIFS(T_SelfStock[Self_Qty],T_SelfStock[RM_Code],$A5,T_SelfStock[WeekIndex],32)+SUMIFS(T_TTAFStock[TTAF_Qty],T_TTAFStock[RM_Code],$A5,T_TTAFStock[WeekIndex],32),AF5+'Grid_Incoming'!AG5-'Grid_Requirement'!AG5))</f>
        <v/>
      </c>
      <c r="AH5">
        <f>IF(COUNTIFS(T_StockCount[RM_Code],$A5,T_StockCount[WeekIndex],33)&gt;0,SUMIFS(T_StockCount[CountedQty],T_StockCount[RM_Code],$A5,T_StockCount[WeekIndex],33),IF((COUNTIFS(T_SelfStock[RM_Code],$A5,T_SelfStock[WeekIndex],33)&gt;0)*(COUNTIFS(T_TTAFStock[RM_Code],$A5,T_TTAFStock[WeekIndex],33)&gt;0)&gt;0,SUMIFS(T_SelfStock[Self_Qty],T_SelfStock[RM_Code],$A5,T_SelfStock[WeekIndex],33)+SUMIFS(T_TTAFStock[TTAF_Qty],T_TTAFStock[RM_Code],$A5,T_TTAFStock[WeekIndex],33),AG5+'Grid_Incoming'!AH5-'Grid_Requirement'!AH5))</f>
        <v/>
      </c>
      <c r="AI5">
        <f>IF(COUNTIFS(T_StockCount[RM_Code],$A5,T_StockCount[WeekIndex],34)&gt;0,SUMIFS(T_StockCount[CountedQty],T_StockCount[RM_Code],$A5,T_StockCount[WeekIndex],34),IF((COUNTIFS(T_SelfStock[RM_Code],$A5,T_SelfStock[WeekIndex],34)&gt;0)*(COUNTIFS(T_TTAFStock[RM_Code],$A5,T_TTAFStock[WeekIndex],34)&gt;0)&gt;0,SUMIFS(T_SelfStock[Self_Qty],T_SelfStock[RM_Code],$A5,T_SelfStock[WeekIndex],34)+SUMIFS(T_TTAFStock[TTAF_Qty],T_TTAFStock[RM_Code],$A5,T_TTAFStock[WeekIndex],34),AH5+'Grid_Incoming'!AI5-'Grid_Requirement'!AI5))</f>
        <v/>
      </c>
      <c r="AJ5">
        <f>IF(COUNTIFS(T_StockCount[RM_Code],$A5,T_StockCount[WeekIndex],35)&gt;0,SUMIFS(T_StockCount[CountedQty],T_StockCount[RM_Code],$A5,T_StockCount[WeekIndex],35),IF((COUNTIFS(T_SelfStock[RM_Code],$A5,T_SelfStock[WeekIndex],35)&gt;0)*(COUNTIFS(T_TTAFStock[RM_Code],$A5,T_TTAFStock[WeekIndex],35)&gt;0)&gt;0,SUMIFS(T_SelfStock[Self_Qty],T_SelfStock[RM_Code],$A5,T_SelfStock[WeekIndex],35)+SUMIFS(T_TTAFStock[TTAF_Qty],T_TTAFStock[RM_Code],$A5,T_TTAFStock[WeekIndex],35),AI5+'Grid_Incoming'!AJ5-'Grid_Requirement'!AJ5))</f>
        <v/>
      </c>
      <c r="AK5">
        <f>IF(COUNTIFS(T_StockCount[RM_Code],$A5,T_StockCount[WeekIndex],36)&gt;0,SUMIFS(T_StockCount[CountedQty],T_StockCount[RM_Code],$A5,T_StockCount[WeekIndex],36),IF((COUNTIFS(T_SelfStock[RM_Code],$A5,T_SelfStock[WeekIndex],36)&gt;0)*(COUNTIFS(T_TTAFStock[RM_Code],$A5,T_TTAFStock[WeekIndex],36)&gt;0)&gt;0,SUMIFS(T_SelfStock[Self_Qty],T_SelfStock[RM_Code],$A5,T_SelfStock[WeekIndex],36)+SUMIFS(T_TTAFStock[TTAF_Qty],T_TTAFStock[RM_Code],$A5,T_TTAFStock[WeekIndex],36),AJ5+'Grid_Incoming'!AK5-'Grid_Requirement'!AK5))</f>
        <v/>
      </c>
      <c r="AL5">
        <f>IF(COUNTIFS(T_StockCount[RM_Code],$A5,T_StockCount[WeekIndex],37)&gt;0,SUMIFS(T_StockCount[CountedQty],T_StockCount[RM_Code],$A5,T_StockCount[WeekIndex],37),IF((COUNTIFS(T_SelfStock[RM_Code],$A5,T_SelfStock[WeekIndex],37)&gt;0)*(COUNTIFS(T_TTAFStock[RM_Code],$A5,T_TTAFStock[WeekIndex],37)&gt;0)&gt;0,SUMIFS(T_SelfStock[Self_Qty],T_SelfStock[RM_Code],$A5,T_SelfStock[WeekIndex],37)+SUMIFS(T_TTAFStock[TTAF_Qty],T_TTAFStock[RM_Code],$A5,T_TTAFStock[WeekIndex],37),AK5+'Grid_Incoming'!AL5-'Grid_Requirement'!AL5))</f>
        <v/>
      </c>
      <c r="AM5">
        <f>IF(COUNTIFS(T_StockCount[RM_Code],$A5,T_StockCount[WeekIndex],38)&gt;0,SUMIFS(T_StockCount[CountedQty],T_StockCount[RM_Code],$A5,T_StockCount[WeekIndex],38),IF((COUNTIFS(T_SelfStock[RM_Code],$A5,T_SelfStock[WeekIndex],38)&gt;0)*(COUNTIFS(T_TTAFStock[RM_Code],$A5,T_TTAFStock[WeekIndex],38)&gt;0)&gt;0,SUMIFS(T_SelfStock[Self_Qty],T_SelfStock[RM_Code],$A5,T_SelfStock[WeekIndex],38)+SUMIFS(T_TTAFStock[TTAF_Qty],T_TTAFStock[RM_Code],$A5,T_TTAFStock[WeekIndex],38),AL5+'Grid_Incoming'!AM5-'Grid_Requirement'!AM5))</f>
        <v/>
      </c>
      <c r="AN5">
        <f>IF(COUNTIFS(T_StockCount[RM_Code],$A5,T_StockCount[WeekIndex],39)&gt;0,SUMIFS(T_StockCount[CountedQty],T_StockCount[RM_Code],$A5,T_StockCount[WeekIndex],39),IF((COUNTIFS(T_SelfStock[RM_Code],$A5,T_SelfStock[WeekIndex],39)&gt;0)*(COUNTIFS(T_TTAFStock[RM_Code],$A5,T_TTAFStock[WeekIndex],39)&gt;0)&gt;0,SUMIFS(T_SelfStock[Self_Qty],T_SelfStock[RM_Code],$A5,T_SelfStock[WeekIndex],39)+SUMIFS(T_TTAFStock[TTAF_Qty],T_TTAFStock[RM_Code],$A5,T_TTAFStock[WeekIndex],39),AM5+'Grid_Incoming'!AN5-'Grid_Requirement'!AN5))</f>
        <v/>
      </c>
      <c r="AO5">
        <f>IF(COUNTIFS(T_StockCount[RM_Code],$A5,T_StockCount[WeekIndex],40)&gt;0,SUMIFS(T_StockCount[CountedQty],T_StockCount[RM_Code],$A5,T_StockCount[WeekIndex],40),IF((COUNTIFS(T_SelfStock[RM_Code],$A5,T_SelfStock[WeekIndex],40)&gt;0)*(COUNTIFS(T_TTAFStock[RM_Code],$A5,T_TTAFStock[WeekIndex],40)&gt;0)&gt;0,SUMIFS(T_SelfStock[Self_Qty],T_SelfStock[RM_Code],$A5,T_SelfStock[WeekIndex],40)+SUMIFS(T_TTAFStock[TTAF_Qty],T_TTAFStock[RM_Code],$A5,T_TTAFStock[WeekIndex],40),AN5+'Grid_Incoming'!AO5-'Grid_Requirement'!AO5))</f>
        <v/>
      </c>
      <c r="AP5">
        <f>IF(COUNTIFS(T_StockCount[RM_Code],$A5,T_StockCount[WeekIndex],41)&gt;0,SUMIFS(T_StockCount[CountedQty],T_StockCount[RM_Code],$A5,T_StockCount[WeekIndex],41),IF((COUNTIFS(T_SelfStock[RM_Code],$A5,T_SelfStock[WeekIndex],41)&gt;0)*(COUNTIFS(T_TTAFStock[RM_Code],$A5,T_TTAFStock[WeekIndex],41)&gt;0)&gt;0,SUMIFS(T_SelfStock[Self_Qty],T_SelfStock[RM_Code],$A5,T_SelfStock[WeekIndex],41)+SUMIFS(T_TTAFStock[TTAF_Qty],T_TTAFStock[RM_Code],$A5,T_TTAFStock[WeekIndex],41),AO5+'Grid_Incoming'!AP5-'Grid_Requirement'!AP5))</f>
        <v/>
      </c>
      <c r="AQ5">
        <f>IF(COUNTIFS(T_StockCount[RM_Code],$A5,T_StockCount[WeekIndex],42)&gt;0,SUMIFS(T_StockCount[CountedQty],T_StockCount[RM_Code],$A5,T_StockCount[WeekIndex],42),IF((COUNTIFS(T_SelfStock[RM_Code],$A5,T_SelfStock[WeekIndex],42)&gt;0)*(COUNTIFS(T_TTAFStock[RM_Code],$A5,T_TTAFStock[WeekIndex],42)&gt;0)&gt;0,SUMIFS(T_SelfStock[Self_Qty],T_SelfStock[RM_Code],$A5,T_SelfStock[WeekIndex],42)+SUMIFS(T_TTAFStock[TTAF_Qty],T_TTAFStock[RM_Code],$A5,T_TTAFStock[WeekIndex],42),AP5+'Grid_Incoming'!AQ5-'Grid_Requirement'!AQ5))</f>
        <v/>
      </c>
      <c r="AR5">
        <f>IF(COUNTIFS(T_StockCount[RM_Code],$A5,T_StockCount[WeekIndex],43)&gt;0,SUMIFS(T_StockCount[CountedQty],T_StockCount[RM_Code],$A5,T_StockCount[WeekIndex],43),IF((COUNTIFS(T_SelfStock[RM_Code],$A5,T_SelfStock[WeekIndex],43)&gt;0)*(COUNTIFS(T_TTAFStock[RM_Code],$A5,T_TTAFStock[WeekIndex],43)&gt;0)&gt;0,SUMIFS(T_SelfStock[Self_Qty],T_SelfStock[RM_Code],$A5,T_SelfStock[WeekIndex],43)+SUMIFS(T_TTAFStock[TTAF_Qty],T_TTAFStock[RM_Code],$A5,T_TTAFStock[WeekIndex],43),AQ5+'Grid_Incoming'!AR5-'Grid_Requirement'!AR5))</f>
        <v/>
      </c>
      <c r="AS5">
        <f>IF(COUNTIFS(T_StockCount[RM_Code],$A5,T_StockCount[WeekIndex],44)&gt;0,SUMIFS(T_StockCount[CountedQty],T_StockCount[RM_Code],$A5,T_StockCount[WeekIndex],44),IF((COUNTIFS(T_SelfStock[RM_Code],$A5,T_SelfStock[WeekIndex],44)&gt;0)*(COUNTIFS(T_TTAFStock[RM_Code],$A5,T_TTAFStock[WeekIndex],44)&gt;0)&gt;0,SUMIFS(T_SelfStock[Self_Qty],T_SelfStock[RM_Code],$A5,T_SelfStock[WeekIndex],44)+SUMIFS(T_TTAFStock[TTAF_Qty],T_TTAFStock[RM_Code],$A5,T_TTAFStock[WeekIndex],44),AR5+'Grid_Incoming'!AS5-'Grid_Requirement'!AS5))</f>
        <v/>
      </c>
      <c r="AT5">
        <f>IF(COUNTIFS(T_StockCount[RM_Code],$A5,T_StockCount[WeekIndex],45)&gt;0,SUMIFS(T_StockCount[CountedQty],T_StockCount[RM_Code],$A5,T_StockCount[WeekIndex],45),IF((COUNTIFS(T_SelfStock[RM_Code],$A5,T_SelfStock[WeekIndex],45)&gt;0)*(COUNTIFS(T_TTAFStock[RM_Code],$A5,T_TTAFStock[WeekIndex],45)&gt;0)&gt;0,SUMIFS(T_SelfStock[Self_Qty],T_SelfStock[RM_Code],$A5,T_SelfStock[WeekIndex],45)+SUMIFS(T_TTAFStock[TTAF_Qty],T_TTAFStock[RM_Code],$A5,T_TTAFStock[WeekIndex],45),AS5+'Grid_Incoming'!AT5-'Grid_Requirement'!AT5))</f>
        <v/>
      </c>
      <c r="AU5">
        <f>IF(COUNTIFS(T_StockCount[RM_Code],$A5,T_StockCount[WeekIndex],46)&gt;0,SUMIFS(T_StockCount[CountedQty],T_StockCount[RM_Code],$A5,T_StockCount[WeekIndex],46),IF((COUNTIFS(T_SelfStock[RM_Code],$A5,T_SelfStock[WeekIndex],46)&gt;0)*(COUNTIFS(T_TTAFStock[RM_Code],$A5,T_TTAFStock[WeekIndex],46)&gt;0)&gt;0,SUMIFS(T_SelfStock[Self_Qty],T_SelfStock[RM_Code],$A5,T_SelfStock[WeekIndex],46)+SUMIFS(T_TTAFStock[TTAF_Qty],T_TTAFStock[RM_Code],$A5,T_TTAFStock[WeekIndex],46),AT5+'Grid_Incoming'!AU5-'Grid_Requirement'!AU5))</f>
        <v/>
      </c>
      <c r="AV5">
        <f>IF(COUNTIFS(T_StockCount[RM_Code],$A5,T_StockCount[WeekIndex],47)&gt;0,SUMIFS(T_StockCount[CountedQty],T_StockCount[RM_Code],$A5,T_StockCount[WeekIndex],47),IF((COUNTIFS(T_SelfStock[RM_Code],$A5,T_SelfStock[WeekIndex],47)&gt;0)*(COUNTIFS(T_TTAFStock[RM_Code],$A5,T_TTAFStock[WeekIndex],47)&gt;0)&gt;0,SUMIFS(T_SelfStock[Self_Qty],T_SelfStock[RM_Code],$A5,T_SelfStock[WeekIndex],47)+SUMIFS(T_TTAFStock[TTAF_Qty],T_TTAFStock[RM_Code],$A5,T_TTAFStock[WeekIndex],47),AU5+'Grid_Incoming'!AV5-'Grid_Requirement'!AV5))</f>
        <v/>
      </c>
      <c r="AW5">
        <f>IF(COUNTIFS(T_StockCount[RM_Code],$A5,T_StockCount[WeekIndex],48)&gt;0,SUMIFS(T_StockCount[CountedQty],T_StockCount[RM_Code],$A5,T_StockCount[WeekIndex],48),IF((COUNTIFS(T_SelfStock[RM_Code],$A5,T_SelfStock[WeekIndex],48)&gt;0)*(COUNTIFS(T_TTAFStock[RM_Code],$A5,T_TTAFStock[WeekIndex],48)&gt;0)&gt;0,SUMIFS(T_SelfStock[Self_Qty],T_SelfStock[RM_Code],$A5,T_SelfStock[WeekIndex],48)+SUMIFS(T_TTAFStock[TTAF_Qty],T_TTAFStock[RM_Code],$A5,T_TTAFStock[WeekIndex],48),AV5+'Grid_Incoming'!AW5-'Grid_Requirement'!AW5))</f>
        <v/>
      </c>
      <c r="AX5">
        <f>IF(COUNTIFS(T_StockCount[RM_Code],$A5,T_StockCount[WeekIndex],49)&gt;0,SUMIFS(T_StockCount[CountedQty],T_StockCount[RM_Code],$A5,T_StockCount[WeekIndex],49),IF((COUNTIFS(T_SelfStock[RM_Code],$A5,T_SelfStock[WeekIndex],49)&gt;0)*(COUNTIFS(T_TTAFStock[RM_Code],$A5,T_TTAFStock[WeekIndex],49)&gt;0)&gt;0,SUMIFS(T_SelfStock[Self_Qty],T_SelfStock[RM_Code],$A5,T_SelfStock[WeekIndex],49)+SUMIFS(T_TTAFStock[TTAF_Qty],T_TTAFStock[RM_Code],$A5,T_TTAFStock[WeekIndex],49),AW5+'Grid_Incoming'!AX5-'Grid_Requirement'!AX5))</f>
        <v/>
      </c>
      <c r="AY5">
        <f>IF(COUNTIFS(T_StockCount[RM_Code],$A5,T_StockCount[WeekIndex],50)&gt;0,SUMIFS(T_StockCount[CountedQty],T_StockCount[RM_Code],$A5,T_StockCount[WeekIndex],50),IF((COUNTIFS(T_SelfStock[RM_Code],$A5,T_SelfStock[WeekIndex],50)&gt;0)*(COUNTIFS(T_TTAFStock[RM_Code],$A5,T_TTAFStock[WeekIndex],50)&gt;0)&gt;0,SUMIFS(T_SelfStock[Self_Qty],T_SelfStock[RM_Code],$A5,T_SelfStock[WeekIndex],50)+SUMIFS(T_TTAFStock[TTAF_Qty],T_TTAFStock[RM_Code],$A5,T_TTAFStock[WeekIndex],50),AX5+'Grid_Incoming'!AY5-'Grid_Requirement'!AY5))</f>
        <v/>
      </c>
      <c r="AZ5">
        <f>IF(COUNTIFS(T_StockCount[RM_Code],$A5,T_StockCount[WeekIndex],51)&gt;0,SUMIFS(T_StockCount[CountedQty],T_StockCount[RM_Code],$A5,T_StockCount[WeekIndex],51),IF((COUNTIFS(T_SelfStock[RM_Code],$A5,T_SelfStock[WeekIndex],51)&gt;0)*(COUNTIFS(T_TTAFStock[RM_Code],$A5,T_TTAFStock[WeekIndex],51)&gt;0)&gt;0,SUMIFS(T_SelfStock[Self_Qty],T_SelfStock[RM_Code],$A5,T_SelfStock[WeekIndex],51)+SUMIFS(T_TTAFStock[TTAF_Qty],T_TTAFStock[RM_Code],$A5,T_TTAFStock[WeekIndex],51),AY5+'Grid_Incoming'!AZ5-'Grid_Requirement'!AZ5))</f>
        <v/>
      </c>
      <c r="BA5">
        <f>IF(COUNTIFS(T_StockCount[RM_Code],$A5,T_StockCount[WeekIndex],52)&gt;0,SUMIFS(T_StockCount[CountedQty],T_StockCount[RM_Code],$A5,T_StockCount[WeekIndex],52),IF((COUNTIFS(T_SelfStock[RM_Code],$A5,T_SelfStock[WeekIndex],52)&gt;0)*(COUNTIFS(T_TTAFStock[RM_Code],$A5,T_TTAFStock[WeekIndex],52)&gt;0)&gt;0,SUMIFS(T_SelfStock[Self_Qty],T_SelfStock[RM_Code],$A5,T_SelfStock[WeekIndex],52)+SUMIFS(T_TTAFStock[TTAF_Qty],T_TTAFStock[RM_Code],$A5,T_TTAFStock[WeekIndex],52),AZ5+'Grid_Incoming'!BA5-'Grid_Requirement'!BA5))</f>
        <v/>
      </c>
      <c r="BB5">
        <f>IF(COUNTIFS(T_StockCount[RM_Code],$A5,T_StockCount[WeekIndex],53)&gt;0,SUMIFS(T_StockCount[CountedQty],T_StockCount[RM_Code],$A5,T_StockCount[WeekIndex],53),IF((COUNTIFS(T_SelfStock[RM_Code],$A5,T_SelfStock[WeekIndex],53)&gt;0)*(COUNTIFS(T_TTAFStock[RM_Code],$A5,T_TTAFStock[WeekIndex],53)&gt;0)&gt;0,SUMIFS(T_SelfStock[Self_Qty],T_SelfStock[RM_Code],$A5,T_SelfStock[WeekIndex],53)+SUMIFS(T_TTAFStock[TTAF_Qty],T_TTAFStock[RM_Code],$A5,T_TTAFStock[WeekIndex],53),BA5+'Grid_Incoming'!BB5-'Grid_Requirement'!BB5))</f>
        <v/>
      </c>
      <c r="BC5">
        <f>IF(COUNTIFS(T_StockCount[RM_Code],$A5,T_StockCount[WeekIndex],54)&gt;0,SUMIFS(T_StockCount[CountedQty],T_StockCount[RM_Code],$A5,T_StockCount[WeekIndex],54),IF((COUNTIFS(T_SelfStock[RM_Code],$A5,T_SelfStock[WeekIndex],54)&gt;0)*(COUNTIFS(T_TTAFStock[RM_Code],$A5,T_TTAFStock[WeekIndex],54)&gt;0)&gt;0,SUMIFS(T_SelfStock[Self_Qty],T_SelfStock[RM_Code],$A5,T_SelfStock[WeekIndex],54)+SUMIFS(T_TTAFStock[TTAF_Qty],T_TTAFStock[RM_Code],$A5,T_TTAFStock[WeekIndex],54),BB5+'Grid_Incoming'!BC5-'Grid_Requirement'!BC5))</f>
        <v/>
      </c>
      <c r="BD5">
        <f>IF(COUNTIFS(T_StockCount[RM_Code],$A5,T_StockCount[WeekIndex],55)&gt;0,SUMIFS(T_StockCount[CountedQty],T_StockCount[RM_Code],$A5,T_StockCount[WeekIndex],55),IF((COUNTIFS(T_SelfStock[RM_Code],$A5,T_SelfStock[WeekIndex],55)&gt;0)*(COUNTIFS(T_TTAFStock[RM_Code],$A5,T_TTAFStock[WeekIndex],55)&gt;0)&gt;0,SUMIFS(T_SelfStock[Self_Qty],T_SelfStock[RM_Code],$A5,T_SelfStock[WeekIndex],55)+SUMIFS(T_TTAFStock[TTAF_Qty],T_TTAFStock[RM_Code],$A5,T_TTAFStock[WeekIndex],55),BC5+'Grid_Incoming'!BD5-'Grid_Requirement'!BD5))</f>
        <v/>
      </c>
      <c r="BE5">
        <f>IF(COUNTIFS(T_StockCount[RM_Code],$A5,T_StockCount[WeekIndex],56)&gt;0,SUMIFS(T_StockCount[CountedQty],T_StockCount[RM_Code],$A5,T_StockCount[WeekIndex],56),IF((COUNTIFS(T_SelfStock[RM_Code],$A5,T_SelfStock[WeekIndex],56)&gt;0)*(COUNTIFS(T_TTAFStock[RM_Code],$A5,T_TTAFStock[WeekIndex],56)&gt;0)&gt;0,SUMIFS(T_SelfStock[Self_Qty],T_SelfStock[RM_Code],$A5,T_SelfStock[WeekIndex],56)+SUMIFS(T_TTAFStock[TTAF_Qty],T_TTAFStock[RM_Code],$A5,T_TTAFStock[WeekIndex],56),BD5+'Grid_Incoming'!BE5-'Grid_Requirement'!BE5))</f>
        <v/>
      </c>
      <c r="BF5">
        <f>IF(COUNTIFS(T_StockCount[RM_Code],$A5,T_StockCount[WeekIndex],57)&gt;0,SUMIFS(T_StockCount[CountedQty],T_StockCount[RM_Code],$A5,T_StockCount[WeekIndex],57),IF((COUNTIFS(T_SelfStock[RM_Code],$A5,T_SelfStock[WeekIndex],57)&gt;0)*(COUNTIFS(T_TTAFStock[RM_Code],$A5,T_TTAFStock[WeekIndex],57)&gt;0)&gt;0,SUMIFS(T_SelfStock[Self_Qty],T_SelfStock[RM_Code],$A5,T_SelfStock[WeekIndex],57)+SUMIFS(T_TTAFStock[TTAF_Qty],T_TTAFStock[RM_Code],$A5,T_TTAFStock[WeekIndex],57),BE5+'Grid_Incoming'!BF5-'Grid_Requirement'!BF5))</f>
        <v/>
      </c>
      <c r="BG5">
        <f>IF(COUNTIFS(T_StockCount[RM_Code],$A5,T_StockCount[WeekIndex],58)&gt;0,SUMIFS(T_StockCount[CountedQty],T_StockCount[RM_Code],$A5,T_StockCount[WeekIndex],58),IF((COUNTIFS(T_SelfStock[RM_Code],$A5,T_SelfStock[WeekIndex],58)&gt;0)*(COUNTIFS(T_TTAFStock[RM_Code],$A5,T_TTAFStock[WeekIndex],58)&gt;0)&gt;0,SUMIFS(T_SelfStock[Self_Qty],T_SelfStock[RM_Code],$A5,T_SelfStock[WeekIndex],58)+SUMIFS(T_TTAFStock[TTAF_Qty],T_TTAFStock[RM_Code],$A5,T_TTAFStock[WeekIndex],58),BF5+'Grid_Incoming'!BG5-'Grid_Requirement'!BG5))</f>
        <v/>
      </c>
      <c r="BH5">
        <f>IF(COUNTIFS(T_StockCount[RM_Code],$A5,T_StockCount[WeekIndex],59)&gt;0,SUMIFS(T_StockCount[CountedQty],T_StockCount[RM_Code],$A5,T_StockCount[WeekIndex],59),IF((COUNTIFS(T_SelfStock[RM_Code],$A5,T_SelfStock[WeekIndex],59)&gt;0)*(COUNTIFS(T_TTAFStock[RM_Code],$A5,T_TTAFStock[WeekIndex],59)&gt;0)&gt;0,SUMIFS(T_SelfStock[Self_Qty],T_SelfStock[RM_Code],$A5,T_SelfStock[WeekIndex],59)+SUMIFS(T_TTAFStock[TTAF_Qty],T_TTAFStock[RM_Code],$A5,T_TTAFStock[WeekIndex],59),BG5+'Grid_Incoming'!BH5-'Grid_Requirement'!BH5))</f>
        <v/>
      </c>
      <c r="BI5">
        <f>IF(COUNTIFS(T_StockCount[RM_Code],$A5,T_StockCount[WeekIndex],60)&gt;0,SUMIFS(T_StockCount[CountedQty],T_StockCount[RM_Code],$A5,T_StockCount[WeekIndex],60),IF((COUNTIFS(T_SelfStock[RM_Code],$A5,T_SelfStock[WeekIndex],60)&gt;0)*(COUNTIFS(T_TTAFStock[RM_Code],$A5,T_TTAFStock[WeekIndex],60)&gt;0)&gt;0,SUMIFS(T_SelfStock[Self_Qty],T_SelfStock[RM_Code],$A5,T_SelfStock[WeekIndex],60)+SUMIFS(T_TTAFStock[TTAF_Qty],T_TTAFStock[RM_Code],$A5,T_TTAFStock[WeekIndex],60),BH5+'Grid_Incoming'!BI5-'Grid_Requirement'!BI5))</f>
        <v/>
      </c>
      <c r="BJ5">
        <f>IF(COUNTIFS(T_StockCount[RM_Code],$A5,T_StockCount[WeekIndex],61)&gt;0,SUMIFS(T_StockCount[CountedQty],T_StockCount[RM_Code],$A5,T_StockCount[WeekIndex],61),IF((COUNTIFS(T_SelfStock[RM_Code],$A5,T_SelfStock[WeekIndex],61)&gt;0)*(COUNTIFS(T_TTAFStock[RM_Code],$A5,T_TTAFStock[WeekIndex],61)&gt;0)&gt;0,SUMIFS(T_SelfStock[Self_Qty],T_SelfStock[RM_Code],$A5,T_SelfStock[WeekIndex],61)+SUMIFS(T_TTAFStock[TTAF_Qty],T_TTAFStock[RM_Code],$A5,T_TTAFStock[WeekIndex],61),BI5+'Grid_Incoming'!BJ5-'Grid_Requirement'!BJ5))</f>
        <v/>
      </c>
      <c r="BK5">
        <f>IF(COUNTIFS(T_StockCount[RM_Code],$A5,T_StockCount[WeekIndex],62)&gt;0,SUMIFS(T_StockCount[CountedQty],T_StockCount[RM_Code],$A5,T_StockCount[WeekIndex],62),IF((COUNTIFS(T_SelfStock[RM_Code],$A5,T_SelfStock[WeekIndex],62)&gt;0)*(COUNTIFS(T_TTAFStock[RM_Code],$A5,T_TTAFStock[WeekIndex],62)&gt;0)&gt;0,SUMIFS(T_SelfStock[Self_Qty],T_SelfStock[RM_Code],$A5,T_SelfStock[WeekIndex],62)+SUMIFS(T_TTAFStock[TTAF_Qty],T_TTAFStock[RM_Code],$A5,T_TTAFStock[WeekIndex],62),BJ5+'Grid_Incoming'!BK5-'Grid_Requirement'!BK5))</f>
        <v/>
      </c>
      <c r="BL5">
        <f>IF(COUNTIFS(T_StockCount[RM_Code],$A5,T_StockCount[WeekIndex],63)&gt;0,SUMIFS(T_StockCount[CountedQty],T_StockCount[RM_Code],$A5,T_StockCount[WeekIndex],63),IF((COUNTIFS(T_SelfStock[RM_Code],$A5,T_SelfStock[WeekIndex],63)&gt;0)*(COUNTIFS(T_TTAFStock[RM_Code],$A5,T_TTAFStock[WeekIndex],63)&gt;0)&gt;0,SUMIFS(T_SelfStock[Self_Qty],T_SelfStock[RM_Code],$A5,T_SelfStock[WeekIndex],63)+SUMIFS(T_TTAFStock[TTAF_Qty],T_TTAFStock[RM_Code],$A5,T_TTAFStock[WeekIndex],63),BK5+'Grid_Incoming'!BL5-'Grid_Requirement'!BL5))</f>
        <v/>
      </c>
      <c r="BM5">
        <f>IF(COUNTIFS(T_StockCount[RM_Code],$A5,T_StockCount[WeekIndex],64)&gt;0,SUMIFS(T_StockCount[CountedQty],T_StockCount[RM_Code],$A5,T_StockCount[WeekIndex],64),IF((COUNTIFS(T_SelfStock[RM_Code],$A5,T_SelfStock[WeekIndex],64)&gt;0)*(COUNTIFS(T_TTAFStock[RM_Code],$A5,T_TTAFStock[WeekIndex],64)&gt;0)&gt;0,SUMIFS(T_SelfStock[Self_Qty],T_SelfStock[RM_Code],$A5,T_SelfStock[WeekIndex],64)+SUMIFS(T_TTAFStock[TTAF_Qty],T_TTAFStock[RM_Code],$A5,T_TTAFStock[WeekIndex],64),BL5+'Grid_Incoming'!BM5-'Grid_Requirement'!BM5))</f>
        <v/>
      </c>
      <c r="BN5">
        <f>IF(COUNTIFS(T_StockCount[RM_Code],$A5,T_StockCount[WeekIndex],65)&gt;0,SUMIFS(T_StockCount[CountedQty],T_StockCount[RM_Code],$A5,T_StockCount[WeekIndex],65),IF((COUNTIFS(T_SelfStock[RM_Code],$A5,T_SelfStock[WeekIndex],65)&gt;0)*(COUNTIFS(T_TTAFStock[RM_Code],$A5,T_TTAFStock[WeekIndex],65)&gt;0)&gt;0,SUMIFS(T_SelfStock[Self_Qty],T_SelfStock[RM_Code],$A5,T_SelfStock[WeekIndex],65)+SUMIFS(T_TTAFStock[TTAF_Qty],T_TTAFStock[RM_Code],$A5,T_TTAFStock[WeekIndex],65),BM5+'Grid_Incoming'!BN5-'Grid_Requirement'!BN5))</f>
        <v/>
      </c>
      <c r="BO5">
        <f>IF(COUNTIFS(T_StockCount[RM_Code],$A5,T_StockCount[WeekIndex],66)&gt;0,SUMIFS(T_StockCount[CountedQty],T_StockCount[RM_Code],$A5,T_StockCount[WeekIndex],66),IF((COUNTIFS(T_SelfStock[RM_Code],$A5,T_SelfStock[WeekIndex],66)&gt;0)*(COUNTIFS(T_TTAFStock[RM_Code],$A5,T_TTAFStock[WeekIndex],66)&gt;0)&gt;0,SUMIFS(T_SelfStock[Self_Qty],T_SelfStock[RM_Code],$A5,T_SelfStock[WeekIndex],66)+SUMIFS(T_TTAFStock[TTAF_Qty],T_TTAFStock[RM_Code],$A5,T_TTAFStock[WeekIndex],66),BN5+'Grid_Incoming'!BO5-'Grid_Requirement'!BO5))</f>
        <v/>
      </c>
      <c r="BP5">
        <f>IF(COUNTIFS(T_StockCount[RM_Code],$A5,T_StockCount[WeekIndex],67)&gt;0,SUMIFS(T_StockCount[CountedQty],T_StockCount[RM_Code],$A5,T_StockCount[WeekIndex],67),IF((COUNTIFS(T_SelfStock[RM_Code],$A5,T_SelfStock[WeekIndex],67)&gt;0)*(COUNTIFS(T_TTAFStock[RM_Code],$A5,T_TTAFStock[WeekIndex],67)&gt;0)&gt;0,SUMIFS(T_SelfStock[Self_Qty],T_SelfStock[RM_Code],$A5,T_SelfStock[WeekIndex],67)+SUMIFS(T_TTAFStock[TTAF_Qty],T_TTAFStock[RM_Code],$A5,T_TTAFStock[WeekIndex],67),BO5+'Grid_Incoming'!BP5-'Grid_Requirement'!BP5))</f>
        <v/>
      </c>
      <c r="BQ5">
        <f>IF(COUNTIFS(T_StockCount[RM_Code],$A5,T_StockCount[WeekIndex],68)&gt;0,SUMIFS(T_StockCount[CountedQty],T_StockCount[RM_Code],$A5,T_StockCount[WeekIndex],68),IF((COUNTIFS(T_SelfStock[RM_Code],$A5,T_SelfStock[WeekIndex],68)&gt;0)*(COUNTIFS(T_TTAFStock[RM_Code],$A5,T_TTAFStock[WeekIndex],68)&gt;0)&gt;0,SUMIFS(T_SelfStock[Self_Qty],T_SelfStock[RM_Code],$A5,T_SelfStock[WeekIndex],68)+SUMIFS(T_TTAFStock[TTAF_Qty],T_TTAFStock[RM_Code],$A5,T_TTAFStock[WeekIndex],68),BP5+'Grid_Incoming'!BQ5-'Grid_Requirement'!BQ5))</f>
        <v/>
      </c>
      <c r="BR5">
        <f>IF(COUNTIFS(T_StockCount[RM_Code],$A5,T_StockCount[WeekIndex],69)&gt;0,SUMIFS(T_StockCount[CountedQty],T_StockCount[RM_Code],$A5,T_StockCount[WeekIndex],69),IF((COUNTIFS(T_SelfStock[RM_Code],$A5,T_SelfStock[WeekIndex],69)&gt;0)*(COUNTIFS(T_TTAFStock[RM_Code],$A5,T_TTAFStock[WeekIndex],69)&gt;0)&gt;0,SUMIFS(T_SelfStock[Self_Qty],T_SelfStock[RM_Code],$A5,T_SelfStock[WeekIndex],69)+SUMIFS(T_TTAFStock[TTAF_Qty],T_TTAFStock[RM_Code],$A5,T_TTAFStock[WeekIndex],69),BQ5+'Grid_Incoming'!BR5-'Grid_Requirement'!BR5))</f>
        <v/>
      </c>
      <c r="BS5">
        <f>IF(COUNTIFS(T_StockCount[RM_Code],$A5,T_StockCount[WeekIndex],70)&gt;0,SUMIFS(T_StockCount[CountedQty],T_StockCount[RM_Code],$A5,T_StockCount[WeekIndex],70),IF((COUNTIFS(T_SelfStock[RM_Code],$A5,T_SelfStock[WeekIndex],70)&gt;0)*(COUNTIFS(T_TTAFStock[RM_Code],$A5,T_TTAFStock[WeekIndex],70)&gt;0)&gt;0,SUMIFS(T_SelfStock[Self_Qty],T_SelfStock[RM_Code],$A5,T_SelfStock[WeekIndex],70)+SUMIFS(T_TTAFStock[TTAF_Qty],T_TTAFStock[RM_Code],$A5,T_TTAFStock[WeekIndex],70),BR5+'Grid_Incoming'!BS5-'Grid_Requirement'!BS5))</f>
        <v/>
      </c>
      <c r="BT5">
        <f>IF(COUNTIFS(T_StockCount[RM_Code],$A5,T_StockCount[WeekIndex],71)&gt;0,SUMIFS(T_StockCount[CountedQty],T_StockCount[RM_Code],$A5,T_StockCount[WeekIndex],71),IF((COUNTIFS(T_SelfStock[RM_Code],$A5,T_SelfStock[WeekIndex],71)&gt;0)*(COUNTIFS(T_TTAFStock[RM_Code],$A5,T_TTAFStock[WeekIndex],71)&gt;0)&gt;0,SUMIFS(T_SelfStock[Self_Qty],T_SelfStock[RM_Code],$A5,T_SelfStock[WeekIndex],71)+SUMIFS(T_TTAFStock[TTAF_Qty],T_TTAFStock[RM_Code],$A5,T_TTAFStock[WeekIndex],71),BS5+'Grid_Incoming'!BT5-'Grid_Requirement'!BT5))</f>
        <v/>
      </c>
      <c r="BU5">
        <f>IF(COUNTIFS(T_StockCount[RM_Code],$A5,T_StockCount[WeekIndex],72)&gt;0,SUMIFS(T_StockCount[CountedQty],T_StockCount[RM_Code],$A5,T_StockCount[WeekIndex],72),IF((COUNTIFS(T_SelfStock[RM_Code],$A5,T_SelfStock[WeekIndex],72)&gt;0)*(COUNTIFS(T_TTAFStock[RM_Code],$A5,T_TTAFStock[WeekIndex],72)&gt;0)&gt;0,SUMIFS(T_SelfStock[Self_Qty],T_SelfStock[RM_Code],$A5,T_SelfStock[WeekIndex],72)+SUMIFS(T_TTAFStock[TTAF_Qty],T_TTAFStock[RM_Code],$A5,T_TTAFStock[WeekIndex],72),BT5+'Grid_Incoming'!BU5-'Grid_Requirement'!BU5))</f>
        <v/>
      </c>
      <c r="BV5">
        <f>IF(COUNTIFS(T_StockCount[RM_Code],$A5,T_StockCount[WeekIndex],73)&gt;0,SUMIFS(T_StockCount[CountedQty],T_StockCount[RM_Code],$A5,T_StockCount[WeekIndex],73),IF((COUNTIFS(T_SelfStock[RM_Code],$A5,T_SelfStock[WeekIndex],73)&gt;0)*(COUNTIFS(T_TTAFStock[RM_Code],$A5,T_TTAFStock[WeekIndex],73)&gt;0)&gt;0,SUMIFS(T_SelfStock[Self_Qty],T_SelfStock[RM_Code],$A5,T_SelfStock[WeekIndex],73)+SUMIFS(T_TTAFStock[TTAF_Qty],T_TTAFStock[RM_Code],$A5,T_TTAFStock[WeekIndex],73),BU5+'Grid_Incoming'!BV5-'Grid_Requirement'!BV5))</f>
        <v/>
      </c>
      <c r="BW5">
        <f>IF(COUNTIFS(T_StockCount[RM_Code],$A5,T_StockCount[WeekIndex],74)&gt;0,SUMIFS(T_StockCount[CountedQty],T_StockCount[RM_Code],$A5,T_StockCount[WeekIndex],74),IF((COUNTIFS(T_SelfStock[RM_Code],$A5,T_SelfStock[WeekIndex],74)&gt;0)*(COUNTIFS(T_TTAFStock[RM_Code],$A5,T_TTAFStock[WeekIndex],74)&gt;0)&gt;0,SUMIFS(T_SelfStock[Self_Qty],T_SelfStock[RM_Code],$A5,T_SelfStock[WeekIndex],74)+SUMIFS(T_TTAFStock[TTAF_Qty],T_TTAFStock[RM_Code],$A5,T_TTAFStock[WeekIndex],74),BV5+'Grid_Incoming'!BW5-'Grid_Requirement'!BW5))</f>
        <v/>
      </c>
      <c r="BX5">
        <f>IF(COUNTIFS(T_StockCount[RM_Code],$A5,T_StockCount[WeekIndex],75)&gt;0,SUMIFS(T_StockCount[CountedQty],T_StockCount[RM_Code],$A5,T_StockCount[WeekIndex],75),IF((COUNTIFS(T_SelfStock[RM_Code],$A5,T_SelfStock[WeekIndex],75)&gt;0)*(COUNTIFS(T_TTAFStock[RM_Code],$A5,T_TTAFStock[WeekIndex],75)&gt;0)&gt;0,SUMIFS(T_SelfStock[Self_Qty],T_SelfStock[RM_Code],$A5,T_SelfStock[WeekIndex],75)+SUMIFS(T_TTAFStock[TTAF_Qty],T_TTAFStock[RM_Code],$A5,T_TTAFStock[WeekIndex],75),BW5+'Grid_Incoming'!BX5-'Grid_Requirement'!BX5))</f>
        <v/>
      </c>
      <c r="BY5">
        <f>IF(COUNTIFS(T_StockCount[RM_Code],$A5,T_StockCount[WeekIndex],76)&gt;0,SUMIFS(T_StockCount[CountedQty],T_StockCount[RM_Code],$A5,T_StockCount[WeekIndex],76),IF((COUNTIFS(T_SelfStock[RM_Code],$A5,T_SelfStock[WeekIndex],76)&gt;0)*(COUNTIFS(T_TTAFStock[RM_Code],$A5,T_TTAFStock[WeekIndex],76)&gt;0)&gt;0,SUMIFS(T_SelfStock[Self_Qty],T_SelfStock[RM_Code],$A5,T_SelfStock[WeekIndex],76)+SUMIFS(T_TTAFStock[TTAF_Qty],T_TTAFStock[RM_Code],$A5,T_TTAFStock[WeekIndex],76),BX5+'Grid_Incoming'!BY5-'Grid_Requirement'!BY5))</f>
        <v/>
      </c>
      <c r="BZ5">
        <f>IF(COUNTIFS(T_StockCount[RM_Code],$A5,T_StockCount[WeekIndex],77)&gt;0,SUMIFS(T_StockCount[CountedQty],T_StockCount[RM_Code],$A5,T_StockCount[WeekIndex],77),IF((COUNTIFS(T_SelfStock[RM_Code],$A5,T_SelfStock[WeekIndex],77)&gt;0)*(COUNTIFS(T_TTAFStock[RM_Code],$A5,T_TTAFStock[WeekIndex],77)&gt;0)&gt;0,SUMIFS(T_SelfStock[Self_Qty],T_SelfStock[RM_Code],$A5,T_SelfStock[WeekIndex],77)+SUMIFS(T_TTAFStock[TTAF_Qty],T_TTAFStock[RM_Code],$A5,T_TTAFStock[WeekIndex],77),BY5+'Grid_Incoming'!BZ5-'Grid_Requirement'!BZ5))</f>
        <v/>
      </c>
      <c r="CA5">
        <f>IF(COUNTIFS(T_StockCount[RM_Code],$A5,T_StockCount[WeekIndex],78)&gt;0,SUMIFS(T_StockCount[CountedQty],T_StockCount[RM_Code],$A5,T_StockCount[WeekIndex],78),IF((COUNTIFS(T_SelfStock[RM_Code],$A5,T_SelfStock[WeekIndex],78)&gt;0)*(COUNTIFS(T_TTAFStock[RM_Code],$A5,T_TTAFStock[WeekIndex],78)&gt;0)&gt;0,SUMIFS(T_SelfStock[Self_Qty],T_SelfStock[RM_Code],$A5,T_SelfStock[WeekIndex],78)+SUMIFS(T_TTAFStock[TTAF_Qty],T_TTAFStock[RM_Code],$A5,T_TTAFStock[WeekIndex],78),BZ5+'Grid_Incoming'!CA5-'Grid_Requirement'!CA5))</f>
        <v/>
      </c>
      <c r="CB5">
        <f>IF(COUNTIFS(T_StockCount[RM_Code],$A5,T_StockCount[WeekIndex],79)&gt;0,SUMIFS(T_StockCount[CountedQty],T_StockCount[RM_Code],$A5,T_StockCount[WeekIndex],79),IF((COUNTIFS(T_SelfStock[RM_Code],$A5,T_SelfStock[WeekIndex],79)&gt;0)*(COUNTIFS(T_TTAFStock[RM_Code],$A5,T_TTAFStock[WeekIndex],79)&gt;0)&gt;0,SUMIFS(T_SelfStock[Self_Qty],T_SelfStock[RM_Code],$A5,T_SelfStock[WeekIndex],79)+SUMIFS(T_TTAFStock[TTAF_Qty],T_TTAFStock[RM_Code],$A5,T_TTAFStock[WeekIndex],79),CA5+'Grid_Incoming'!CB5-'Grid_Requirement'!CB5))</f>
        <v/>
      </c>
      <c r="CC5">
        <f>IF(COUNTIFS(T_StockCount[RM_Code],$A5,T_StockCount[WeekIndex],80)&gt;0,SUMIFS(T_StockCount[CountedQty],T_StockCount[RM_Code],$A5,T_StockCount[WeekIndex],80),IF((COUNTIFS(T_SelfStock[RM_Code],$A5,T_SelfStock[WeekIndex],80)&gt;0)*(COUNTIFS(T_TTAFStock[RM_Code],$A5,T_TTAFStock[WeekIndex],80)&gt;0)&gt;0,SUMIFS(T_SelfStock[Self_Qty],T_SelfStock[RM_Code],$A5,T_SelfStock[WeekIndex],80)+SUMIFS(T_TTAFStock[TTAF_Qty],T_TTAFStock[RM_Code],$A5,T_TTAFStock[WeekIndex],80),CB5+'Grid_Incoming'!CC5-'Grid_Requirement'!CC5))</f>
        <v/>
      </c>
      <c r="CD5">
        <f>IF(COUNTIFS(T_StockCount[RM_Code],$A5,T_StockCount[WeekIndex],81)&gt;0,SUMIFS(T_StockCount[CountedQty],T_StockCount[RM_Code],$A5,T_StockCount[WeekIndex],81),IF((COUNTIFS(T_SelfStock[RM_Code],$A5,T_SelfStock[WeekIndex],81)&gt;0)*(COUNTIFS(T_TTAFStock[RM_Code],$A5,T_TTAFStock[WeekIndex],81)&gt;0)&gt;0,SUMIFS(T_SelfStock[Self_Qty],T_SelfStock[RM_Code],$A5,T_SelfStock[WeekIndex],81)+SUMIFS(T_TTAFStock[TTAF_Qty],T_TTAFStock[RM_Code],$A5,T_TTAFStock[WeekIndex],81),CC5+'Grid_Incoming'!CD5-'Grid_Requirement'!CD5))</f>
        <v/>
      </c>
      <c r="CE5">
        <f>IF(COUNTIFS(T_StockCount[RM_Code],$A5,T_StockCount[WeekIndex],82)&gt;0,SUMIFS(T_StockCount[CountedQty],T_StockCount[RM_Code],$A5,T_StockCount[WeekIndex],82),IF((COUNTIFS(T_SelfStock[RM_Code],$A5,T_SelfStock[WeekIndex],82)&gt;0)*(COUNTIFS(T_TTAFStock[RM_Code],$A5,T_TTAFStock[WeekIndex],82)&gt;0)&gt;0,SUMIFS(T_SelfStock[Self_Qty],T_SelfStock[RM_Code],$A5,T_SelfStock[WeekIndex],82)+SUMIFS(T_TTAFStock[TTAF_Qty],T_TTAFStock[RM_Code],$A5,T_TTAFStock[WeekIndex],82),CD5+'Grid_Incoming'!CE5-'Grid_Requirement'!CE5))</f>
        <v/>
      </c>
      <c r="CF5">
        <f>IF(COUNTIFS(T_StockCount[RM_Code],$A5,T_StockCount[WeekIndex],83)&gt;0,SUMIFS(T_StockCount[CountedQty],T_StockCount[RM_Code],$A5,T_StockCount[WeekIndex],83),IF((COUNTIFS(T_SelfStock[RM_Code],$A5,T_SelfStock[WeekIndex],83)&gt;0)*(COUNTIFS(T_TTAFStock[RM_Code],$A5,T_TTAFStock[WeekIndex],83)&gt;0)&gt;0,SUMIFS(T_SelfStock[Self_Qty],T_SelfStock[RM_Code],$A5,T_SelfStock[WeekIndex],83)+SUMIFS(T_TTAFStock[TTAF_Qty],T_TTAFStock[RM_Code],$A5,T_TTAFStock[WeekIndex],83),CE5+'Grid_Incoming'!CF5-'Grid_Requirement'!CF5))</f>
        <v/>
      </c>
      <c r="CG5">
        <f>IF(COUNTIFS(T_StockCount[RM_Code],$A5,T_StockCount[WeekIndex],84)&gt;0,SUMIFS(T_StockCount[CountedQty],T_StockCount[RM_Code],$A5,T_StockCount[WeekIndex],84),IF((COUNTIFS(T_SelfStock[RM_Code],$A5,T_SelfStock[WeekIndex],84)&gt;0)*(COUNTIFS(T_TTAFStock[RM_Code],$A5,T_TTAFStock[WeekIndex],84)&gt;0)&gt;0,SUMIFS(T_SelfStock[Self_Qty],T_SelfStock[RM_Code],$A5,T_SelfStock[WeekIndex],84)+SUMIFS(T_TTAFStock[TTAF_Qty],T_TTAFStock[RM_Code],$A5,T_TTAFStock[WeekIndex],84),CF5+'Grid_Incoming'!CG5-'Grid_Requirement'!CG5))</f>
        <v/>
      </c>
      <c r="CH5">
        <f>IF(COUNTIFS(T_StockCount[RM_Code],$A5,T_StockCount[WeekIndex],85)&gt;0,SUMIFS(T_StockCount[CountedQty],T_StockCount[RM_Code],$A5,T_StockCount[WeekIndex],85),IF((COUNTIFS(T_SelfStock[RM_Code],$A5,T_SelfStock[WeekIndex],85)&gt;0)*(COUNTIFS(T_TTAFStock[RM_Code],$A5,T_TTAFStock[WeekIndex],85)&gt;0)&gt;0,SUMIFS(T_SelfStock[Self_Qty],T_SelfStock[RM_Code],$A5,T_SelfStock[WeekIndex],85)+SUMIFS(T_TTAFStock[TTAF_Qty],T_TTAFStock[RM_Code],$A5,T_TTAFStock[WeekIndex],85),CG5+'Grid_Incoming'!CH5-'Grid_Requirement'!CH5))</f>
        <v/>
      </c>
      <c r="CI5">
        <f>IF(COUNTIFS(T_StockCount[RM_Code],$A5,T_StockCount[WeekIndex],86)&gt;0,SUMIFS(T_StockCount[CountedQty],T_StockCount[RM_Code],$A5,T_StockCount[WeekIndex],86),IF((COUNTIFS(T_SelfStock[RM_Code],$A5,T_SelfStock[WeekIndex],86)&gt;0)*(COUNTIFS(T_TTAFStock[RM_Code],$A5,T_TTAFStock[WeekIndex],86)&gt;0)&gt;0,SUMIFS(T_SelfStock[Self_Qty],T_SelfStock[RM_Code],$A5,T_SelfStock[WeekIndex],86)+SUMIFS(T_TTAFStock[TTAF_Qty],T_TTAFStock[RM_Code],$A5,T_TTAFStock[WeekIndex],86),CH5+'Grid_Incoming'!CI5-'Grid_Requirement'!CI5))</f>
        <v/>
      </c>
      <c r="CJ5">
        <f>IF(COUNTIFS(T_StockCount[RM_Code],$A5,T_StockCount[WeekIndex],87)&gt;0,SUMIFS(T_StockCount[CountedQty],T_StockCount[RM_Code],$A5,T_StockCount[WeekIndex],87),IF((COUNTIFS(T_SelfStock[RM_Code],$A5,T_SelfStock[WeekIndex],87)&gt;0)*(COUNTIFS(T_TTAFStock[RM_Code],$A5,T_TTAFStock[WeekIndex],87)&gt;0)&gt;0,SUMIFS(T_SelfStock[Self_Qty],T_SelfStock[RM_Code],$A5,T_SelfStock[WeekIndex],87)+SUMIFS(T_TTAFStock[TTAF_Qty],T_TTAFStock[RM_Code],$A5,T_TTAFStock[WeekIndex],87),CI5+'Grid_Incoming'!CJ5-'Grid_Requirement'!CJ5))</f>
        <v/>
      </c>
      <c r="CK5">
        <f>IF(COUNTIFS(T_StockCount[RM_Code],$A5,T_StockCount[WeekIndex],88)&gt;0,SUMIFS(T_StockCount[CountedQty],T_StockCount[RM_Code],$A5,T_StockCount[WeekIndex],88),IF((COUNTIFS(T_SelfStock[RM_Code],$A5,T_SelfStock[WeekIndex],88)&gt;0)*(COUNTIFS(T_TTAFStock[RM_Code],$A5,T_TTAFStock[WeekIndex],88)&gt;0)&gt;0,SUMIFS(T_SelfStock[Self_Qty],T_SelfStock[RM_Code],$A5,T_SelfStock[WeekIndex],88)+SUMIFS(T_TTAFStock[TTAF_Qty],T_TTAFStock[RM_Code],$A5,T_TTAFStock[WeekIndex],88),CJ5+'Grid_Incoming'!CK5-'Grid_Requirement'!CK5))</f>
        <v/>
      </c>
      <c r="CL5">
        <f>IF(COUNTIFS(T_StockCount[RM_Code],$A5,T_StockCount[WeekIndex],89)&gt;0,SUMIFS(T_StockCount[CountedQty],T_StockCount[RM_Code],$A5,T_StockCount[WeekIndex],89),IF((COUNTIFS(T_SelfStock[RM_Code],$A5,T_SelfStock[WeekIndex],89)&gt;0)*(COUNTIFS(T_TTAFStock[RM_Code],$A5,T_TTAFStock[WeekIndex],89)&gt;0)&gt;0,SUMIFS(T_SelfStock[Self_Qty],T_SelfStock[RM_Code],$A5,T_SelfStock[WeekIndex],89)+SUMIFS(T_TTAFStock[TTAF_Qty],T_TTAFStock[RM_Code],$A5,T_TTAFStock[WeekIndex],89),CK5+'Grid_Incoming'!CL5-'Grid_Requirement'!CL5))</f>
        <v/>
      </c>
      <c r="CM5">
        <f>IF(COUNTIFS(T_StockCount[RM_Code],$A5,T_StockCount[WeekIndex],90)&gt;0,SUMIFS(T_StockCount[CountedQty],T_StockCount[RM_Code],$A5,T_StockCount[WeekIndex],90),IF((COUNTIFS(T_SelfStock[RM_Code],$A5,T_SelfStock[WeekIndex],90)&gt;0)*(COUNTIFS(T_TTAFStock[RM_Code],$A5,T_TTAFStock[WeekIndex],90)&gt;0)&gt;0,SUMIFS(T_SelfStock[Self_Qty],T_SelfStock[RM_Code],$A5,T_SelfStock[WeekIndex],90)+SUMIFS(T_TTAFStock[TTAF_Qty],T_TTAFStock[RM_Code],$A5,T_TTAFStock[WeekIndex],90),CL5+'Grid_Incoming'!CM5-'Grid_Requirement'!CM5))</f>
        <v/>
      </c>
      <c r="CN5">
        <f>IF(COUNTIFS(T_StockCount[RM_Code],$A5,T_StockCount[WeekIndex],91)&gt;0,SUMIFS(T_StockCount[CountedQty],T_StockCount[RM_Code],$A5,T_StockCount[WeekIndex],91),IF((COUNTIFS(T_SelfStock[RM_Code],$A5,T_SelfStock[WeekIndex],91)&gt;0)*(COUNTIFS(T_TTAFStock[RM_Code],$A5,T_TTAFStock[WeekIndex],91)&gt;0)&gt;0,SUMIFS(T_SelfStock[Self_Qty],T_SelfStock[RM_Code],$A5,T_SelfStock[WeekIndex],91)+SUMIFS(T_TTAFStock[TTAF_Qty],T_TTAFStock[RM_Code],$A5,T_TTAFStock[WeekIndex],91),CM5+'Grid_Incoming'!CN5-'Grid_Requirement'!CN5))</f>
        <v/>
      </c>
      <c r="CO5">
        <f>IF(COUNTIFS(T_StockCount[RM_Code],$A5,T_StockCount[WeekIndex],92)&gt;0,SUMIFS(T_StockCount[CountedQty],T_StockCount[RM_Code],$A5,T_StockCount[WeekIndex],92),IF((COUNTIFS(T_SelfStock[RM_Code],$A5,T_SelfStock[WeekIndex],92)&gt;0)*(COUNTIFS(T_TTAFStock[RM_Code],$A5,T_TTAFStock[WeekIndex],92)&gt;0)&gt;0,SUMIFS(T_SelfStock[Self_Qty],T_SelfStock[RM_Code],$A5,T_SelfStock[WeekIndex],92)+SUMIFS(T_TTAFStock[TTAF_Qty],T_TTAFStock[RM_Code],$A5,T_TTAFStock[WeekIndex],92),CN5+'Grid_Incoming'!CO5-'Grid_Requirement'!CO5))</f>
        <v/>
      </c>
      <c r="CP5">
        <f>IF(COUNTIFS(T_StockCount[RM_Code],$A5,T_StockCount[WeekIndex],93)&gt;0,SUMIFS(T_StockCount[CountedQty],T_StockCount[RM_Code],$A5,T_StockCount[WeekIndex],93),IF((COUNTIFS(T_SelfStock[RM_Code],$A5,T_SelfStock[WeekIndex],93)&gt;0)*(COUNTIFS(T_TTAFStock[RM_Code],$A5,T_TTAFStock[WeekIndex],93)&gt;0)&gt;0,SUMIFS(T_SelfStock[Self_Qty],T_SelfStock[RM_Code],$A5,T_SelfStock[WeekIndex],93)+SUMIFS(T_TTAFStock[TTAF_Qty],T_TTAFStock[RM_Code],$A5,T_TTAFStock[WeekIndex],93),CO5+'Grid_Incoming'!CP5-'Grid_Requirement'!CP5))</f>
        <v/>
      </c>
      <c r="CQ5">
        <f>IF(COUNTIFS(T_StockCount[RM_Code],$A5,T_StockCount[WeekIndex],94)&gt;0,SUMIFS(T_StockCount[CountedQty],T_StockCount[RM_Code],$A5,T_StockCount[WeekIndex],94),IF((COUNTIFS(T_SelfStock[RM_Code],$A5,T_SelfStock[WeekIndex],94)&gt;0)*(COUNTIFS(T_TTAFStock[RM_Code],$A5,T_TTAFStock[WeekIndex],94)&gt;0)&gt;0,SUMIFS(T_SelfStock[Self_Qty],T_SelfStock[RM_Code],$A5,T_SelfStock[WeekIndex],94)+SUMIFS(T_TTAFStock[TTAF_Qty],T_TTAFStock[RM_Code],$A5,T_TTAFStock[WeekIndex],94),CP5+'Grid_Incoming'!CQ5-'Grid_Requirement'!CQ5))</f>
        <v/>
      </c>
      <c r="CR5">
        <f>IF(COUNTIFS(T_StockCount[RM_Code],$A5,T_StockCount[WeekIndex],95)&gt;0,SUMIFS(T_StockCount[CountedQty],T_StockCount[RM_Code],$A5,T_StockCount[WeekIndex],95),IF((COUNTIFS(T_SelfStock[RM_Code],$A5,T_SelfStock[WeekIndex],95)&gt;0)*(COUNTIFS(T_TTAFStock[RM_Code],$A5,T_TTAFStock[WeekIndex],95)&gt;0)&gt;0,SUMIFS(T_SelfStock[Self_Qty],T_SelfStock[RM_Code],$A5,T_SelfStock[WeekIndex],95)+SUMIFS(T_TTAFStock[TTAF_Qty],T_TTAFStock[RM_Code],$A5,T_TTAFStock[WeekIndex],95),CQ5+'Grid_Incoming'!CR5-'Grid_Requirement'!CR5))</f>
        <v/>
      </c>
      <c r="CS5">
        <f>IF(COUNTIFS(T_StockCount[RM_Code],$A5,T_StockCount[WeekIndex],96)&gt;0,SUMIFS(T_StockCount[CountedQty],T_StockCount[RM_Code],$A5,T_StockCount[WeekIndex],96),IF((COUNTIFS(T_SelfStock[RM_Code],$A5,T_SelfStock[WeekIndex],96)&gt;0)*(COUNTIFS(T_TTAFStock[RM_Code],$A5,T_TTAFStock[WeekIndex],96)&gt;0)&gt;0,SUMIFS(T_SelfStock[Self_Qty],T_SelfStock[RM_Code],$A5,T_SelfStock[WeekIndex],96)+SUMIFS(T_TTAFStock[TTAF_Qty],T_TTAFStock[RM_Code],$A5,T_TTAFStock[WeekIndex],96),CR5+'Grid_Incoming'!CS5-'Grid_Requirement'!CS5))</f>
        <v/>
      </c>
      <c r="CT5">
        <f>IF(COUNTIFS(T_StockCount[RM_Code],$A5,T_StockCount[WeekIndex],97)&gt;0,SUMIFS(T_StockCount[CountedQty],T_StockCount[RM_Code],$A5,T_StockCount[WeekIndex],97),IF((COUNTIFS(T_SelfStock[RM_Code],$A5,T_SelfStock[WeekIndex],97)&gt;0)*(COUNTIFS(T_TTAFStock[RM_Code],$A5,T_TTAFStock[WeekIndex],97)&gt;0)&gt;0,SUMIFS(T_SelfStock[Self_Qty],T_SelfStock[RM_Code],$A5,T_SelfStock[WeekIndex],97)+SUMIFS(T_TTAFStock[TTAF_Qty],T_TTAFStock[RM_Code],$A5,T_TTAFStock[WeekIndex],97),CS5+'Grid_Incoming'!CT5-'Grid_Requirement'!CT5))</f>
        <v/>
      </c>
      <c r="CU5">
        <f>IF(COUNTIFS(T_StockCount[RM_Code],$A5,T_StockCount[WeekIndex],98)&gt;0,SUMIFS(T_StockCount[CountedQty],T_StockCount[RM_Code],$A5,T_StockCount[WeekIndex],98),IF((COUNTIFS(T_SelfStock[RM_Code],$A5,T_SelfStock[WeekIndex],98)&gt;0)*(COUNTIFS(T_TTAFStock[RM_Code],$A5,T_TTAFStock[WeekIndex],98)&gt;0)&gt;0,SUMIFS(T_SelfStock[Self_Qty],T_SelfStock[RM_Code],$A5,T_SelfStock[WeekIndex],98)+SUMIFS(T_TTAFStock[TTAF_Qty],T_TTAFStock[RM_Code],$A5,T_TTAFStock[WeekIndex],98),CT5+'Grid_Incoming'!CU5-'Grid_Requirement'!CU5))</f>
        <v/>
      </c>
      <c r="CV5">
        <f>IF(COUNTIFS(T_StockCount[RM_Code],$A5,T_StockCount[WeekIndex],99)&gt;0,SUMIFS(T_StockCount[CountedQty],T_StockCount[RM_Code],$A5,T_StockCount[WeekIndex],99),IF((COUNTIFS(T_SelfStock[RM_Code],$A5,T_SelfStock[WeekIndex],99)&gt;0)*(COUNTIFS(T_TTAFStock[RM_Code],$A5,T_TTAFStock[WeekIndex],99)&gt;0)&gt;0,SUMIFS(T_SelfStock[Self_Qty],T_SelfStock[RM_Code],$A5,T_SelfStock[WeekIndex],99)+SUMIFS(T_TTAFStock[TTAF_Qty],T_TTAFStock[RM_Code],$A5,T_TTAFStock[WeekIndex],99),CU5+'Grid_Incoming'!CV5-'Grid_Requirement'!CV5))</f>
        <v/>
      </c>
      <c r="CW5">
        <f>IF(COUNTIFS(T_StockCount[RM_Code],$A5,T_StockCount[WeekIndex],100)&gt;0,SUMIFS(T_StockCount[CountedQty],T_StockCount[RM_Code],$A5,T_StockCount[WeekIndex],100),IF((COUNTIFS(T_SelfStock[RM_Code],$A5,T_SelfStock[WeekIndex],100)&gt;0)*(COUNTIFS(T_TTAFStock[RM_Code],$A5,T_TTAFStock[WeekIndex],100)&gt;0)&gt;0,SUMIFS(T_SelfStock[Self_Qty],T_SelfStock[RM_Code],$A5,T_SelfStock[WeekIndex],100)+SUMIFS(T_TTAFStock[TTAF_Qty],T_TTAFStock[RM_Code],$A5,T_TTAFStock[WeekIndex],100),CV5+'Grid_Incoming'!CW5-'Grid_Requirement'!CW5))</f>
        <v/>
      </c>
      <c r="CX5">
        <f>IF(COUNTIFS(T_StockCount[RM_Code],$A5,T_StockCount[WeekIndex],101)&gt;0,SUMIFS(T_StockCount[CountedQty],T_StockCount[RM_Code],$A5,T_StockCount[WeekIndex],101),IF((COUNTIFS(T_SelfStock[RM_Code],$A5,T_SelfStock[WeekIndex],101)&gt;0)*(COUNTIFS(T_TTAFStock[RM_Code],$A5,T_TTAFStock[WeekIndex],101)&gt;0)&gt;0,SUMIFS(T_SelfStock[Self_Qty],T_SelfStock[RM_Code],$A5,T_SelfStock[WeekIndex],101)+SUMIFS(T_TTAFStock[TTAF_Qty],T_TTAFStock[RM_Code],$A5,T_TTAFStock[WeekIndex],101),CW5+'Grid_Incoming'!CX5-'Grid_Requirement'!CX5))</f>
        <v/>
      </c>
      <c r="CY5">
        <f>IF(COUNTIFS(T_StockCount[RM_Code],$A5,T_StockCount[WeekIndex],102)&gt;0,SUMIFS(T_StockCount[CountedQty],T_StockCount[RM_Code],$A5,T_StockCount[WeekIndex],102),IF((COUNTIFS(T_SelfStock[RM_Code],$A5,T_SelfStock[WeekIndex],102)&gt;0)*(COUNTIFS(T_TTAFStock[RM_Code],$A5,T_TTAFStock[WeekIndex],102)&gt;0)&gt;0,SUMIFS(T_SelfStock[Self_Qty],T_SelfStock[RM_Code],$A5,T_SelfStock[WeekIndex],102)+SUMIFS(T_TTAFStock[TTAF_Qty],T_TTAFStock[RM_Code],$A5,T_TTAFStock[WeekIndex],102),CX5+'Grid_Incoming'!CY5-'Grid_Requirement'!CY5))</f>
        <v/>
      </c>
      <c r="CZ5">
        <f>IF(COUNTIFS(T_StockCount[RM_Code],$A5,T_StockCount[WeekIndex],103)&gt;0,SUMIFS(T_StockCount[CountedQty],T_StockCount[RM_Code],$A5,T_StockCount[WeekIndex],103),IF((COUNTIFS(T_SelfStock[RM_Code],$A5,T_SelfStock[WeekIndex],103)&gt;0)*(COUNTIFS(T_TTAFStock[RM_Code],$A5,T_TTAFStock[WeekIndex],103)&gt;0)&gt;0,SUMIFS(T_SelfStock[Self_Qty],T_SelfStock[RM_Code],$A5,T_SelfStock[WeekIndex],103)+SUMIFS(T_TTAFStock[TTAF_Qty],T_TTAFStock[RM_Code],$A5,T_TTAFStock[WeekIndex],103),CY5+'Grid_Incoming'!CZ5-'Grid_Requirement'!CZ5))</f>
        <v/>
      </c>
      <c r="DA5">
        <f>IF(COUNTIFS(T_StockCount[RM_Code],$A5,T_StockCount[WeekIndex],104)&gt;0,SUMIFS(T_StockCount[CountedQty],T_StockCount[RM_Code],$A5,T_StockCount[WeekIndex],104),IF((COUNTIFS(T_SelfStock[RM_Code],$A5,T_SelfStock[WeekIndex],104)&gt;0)*(COUNTIFS(T_TTAFStock[RM_Code],$A5,T_TTAFStock[WeekIndex],104)&gt;0)&gt;0,SUMIFS(T_SelfStock[Self_Qty],T_SelfStock[RM_Code],$A5,T_SelfStock[WeekIndex],104)+SUMIFS(T_TTAFStock[TTAF_Qty],T_TTAFStock[RM_Code],$A5,T_TTAFStock[WeekIndex],104),CZ5+'Grid_Incoming'!DA5-'Grid_Requirement'!DA5))</f>
        <v/>
      </c>
    </row>
    <row r="6">
      <c r="A6" t="inlineStr">
        <is>
          <t>CHEM-1530</t>
        </is>
      </c>
      <c r="B6">
        <f>IF(COUNTIFS(T_StockCount[RM_Code],$A6,T_StockCount[WeekIndex],1)&gt;0,SUMIFS(T_StockCount[CountedQty],T_StockCount[RM_Code],$A6,T_StockCount[WeekIndex],1),IF((COUNTIFS(T_SelfStock[RM_Code],$A6,T_SelfStock[WeekIndex],1)&gt;0)*(COUNTIFS(T_TTAFStock[RM_Code],$A6,T_TTAFStock[WeekIndex],1)&gt;0)&gt;0,SUMIFS(T_SelfStock[Self_Qty],T_SelfStock[RM_Code],$A6,T_SelfStock[WeekIndex],1)+SUMIFS(T_TTAFStock[TTAF_Qty],T_TTAFStock[RM_Code],$A6,T_TTAFStock[WeekIndex],1),IFERROR(INDEX(T_OpeningStock[Opening_Qty],MATCH($A6,T_OpeningStock[RM_Code],0)),0)+'Grid_Incoming'!B6-'Grid_Requirement'!B6))</f>
        <v/>
      </c>
      <c r="C6">
        <f>IF(COUNTIFS(T_StockCount[RM_Code],$A6,T_StockCount[WeekIndex],2)&gt;0,SUMIFS(T_StockCount[CountedQty],T_StockCount[RM_Code],$A6,T_StockCount[WeekIndex],2),IF((COUNTIFS(T_SelfStock[RM_Code],$A6,T_SelfStock[WeekIndex],2)&gt;0)*(COUNTIFS(T_TTAFStock[RM_Code],$A6,T_TTAFStock[WeekIndex],2)&gt;0)&gt;0,SUMIFS(T_SelfStock[Self_Qty],T_SelfStock[RM_Code],$A6,T_SelfStock[WeekIndex],2)+SUMIFS(T_TTAFStock[TTAF_Qty],T_TTAFStock[RM_Code],$A6,T_TTAFStock[WeekIndex],2),B6+'Grid_Incoming'!C6-'Grid_Requirement'!C6))</f>
        <v/>
      </c>
      <c r="D6">
        <f>IF(COUNTIFS(T_StockCount[RM_Code],$A6,T_StockCount[WeekIndex],3)&gt;0,SUMIFS(T_StockCount[CountedQty],T_StockCount[RM_Code],$A6,T_StockCount[WeekIndex],3),IF((COUNTIFS(T_SelfStock[RM_Code],$A6,T_SelfStock[WeekIndex],3)&gt;0)*(COUNTIFS(T_TTAFStock[RM_Code],$A6,T_TTAFStock[WeekIndex],3)&gt;0)&gt;0,SUMIFS(T_SelfStock[Self_Qty],T_SelfStock[RM_Code],$A6,T_SelfStock[WeekIndex],3)+SUMIFS(T_TTAFStock[TTAF_Qty],T_TTAFStock[RM_Code],$A6,T_TTAFStock[WeekIndex],3),C6+'Grid_Incoming'!D6-'Grid_Requirement'!D6))</f>
        <v/>
      </c>
      <c r="E6">
        <f>IF(COUNTIFS(T_StockCount[RM_Code],$A6,T_StockCount[WeekIndex],4)&gt;0,SUMIFS(T_StockCount[CountedQty],T_StockCount[RM_Code],$A6,T_StockCount[WeekIndex],4),IF((COUNTIFS(T_SelfStock[RM_Code],$A6,T_SelfStock[WeekIndex],4)&gt;0)*(COUNTIFS(T_TTAFStock[RM_Code],$A6,T_TTAFStock[WeekIndex],4)&gt;0)&gt;0,SUMIFS(T_SelfStock[Self_Qty],T_SelfStock[RM_Code],$A6,T_SelfStock[WeekIndex],4)+SUMIFS(T_TTAFStock[TTAF_Qty],T_TTAFStock[RM_Code],$A6,T_TTAFStock[WeekIndex],4),D6+'Grid_Incoming'!E6-'Grid_Requirement'!E6))</f>
        <v/>
      </c>
      <c r="F6">
        <f>IF(COUNTIFS(T_StockCount[RM_Code],$A6,T_StockCount[WeekIndex],5)&gt;0,SUMIFS(T_StockCount[CountedQty],T_StockCount[RM_Code],$A6,T_StockCount[WeekIndex],5),IF((COUNTIFS(T_SelfStock[RM_Code],$A6,T_SelfStock[WeekIndex],5)&gt;0)*(COUNTIFS(T_TTAFStock[RM_Code],$A6,T_TTAFStock[WeekIndex],5)&gt;0)&gt;0,SUMIFS(T_SelfStock[Self_Qty],T_SelfStock[RM_Code],$A6,T_SelfStock[WeekIndex],5)+SUMIFS(T_TTAFStock[TTAF_Qty],T_TTAFStock[RM_Code],$A6,T_TTAFStock[WeekIndex],5),E6+'Grid_Incoming'!F6-'Grid_Requirement'!F6))</f>
        <v/>
      </c>
      <c r="G6">
        <f>IF(COUNTIFS(T_StockCount[RM_Code],$A6,T_StockCount[WeekIndex],6)&gt;0,SUMIFS(T_StockCount[CountedQty],T_StockCount[RM_Code],$A6,T_StockCount[WeekIndex],6),IF((COUNTIFS(T_SelfStock[RM_Code],$A6,T_SelfStock[WeekIndex],6)&gt;0)*(COUNTIFS(T_TTAFStock[RM_Code],$A6,T_TTAFStock[WeekIndex],6)&gt;0)&gt;0,SUMIFS(T_SelfStock[Self_Qty],T_SelfStock[RM_Code],$A6,T_SelfStock[WeekIndex],6)+SUMIFS(T_TTAFStock[TTAF_Qty],T_TTAFStock[RM_Code],$A6,T_TTAFStock[WeekIndex],6),F6+'Grid_Incoming'!G6-'Grid_Requirement'!G6))</f>
        <v/>
      </c>
      <c r="H6">
        <f>IF(COUNTIFS(T_StockCount[RM_Code],$A6,T_StockCount[WeekIndex],7)&gt;0,SUMIFS(T_StockCount[CountedQty],T_StockCount[RM_Code],$A6,T_StockCount[WeekIndex],7),IF((COUNTIFS(T_SelfStock[RM_Code],$A6,T_SelfStock[WeekIndex],7)&gt;0)*(COUNTIFS(T_TTAFStock[RM_Code],$A6,T_TTAFStock[WeekIndex],7)&gt;0)&gt;0,SUMIFS(T_SelfStock[Self_Qty],T_SelfStock[RM_Code],$A6,T_SelfStock[WeekIndex],7)+SUMIFS(T_TTAFStock[TTAF_Qty],T_TTAFStock[RM_Code],$A6,T_TTAFStock[WeekIndex],7),G6+'Grid_Incoming'!H6-'Grid_Requirement'!H6))</f>
        <v/>
      </c>
      <c r="I6">
        <f>IF(COUNTIFS(T_StockCount[RM_Code],$A6,T_StockCount[WeekIndex],8)&gt;0,SUMIFS(T_StockCount[CountedQty],T_StockCount[RM_Code],$A6,T_StockCount[WeekIndex],8),IF((COUNTIFS(T_SelfStock[RM_Code],$A6,T_SelfStock[WeekIndex],8)&gt;0)*(COUNTIFS(T_TTAFStock[RM_Code],$A6,T_TTAFStock[WeekIndex],8)&gt;0)&gt;0,SUMIFS(T_SelfStock[Self_Qty],T_SelfStock[RM_Code],$A6,T_SelfStock[WeekIndex],8)+SUMIFS(T_TTAFStock[TTAF_Qty],T_TTAFStock[RM_Code],$A6,T_TTAFStock[WeekIndex],8),H6+'Grid_Incoming'!I6-'Grid_Requirement'!I6))</f>
        <v/>
      </c>
      <c r="J6">
        <f>IF(COUNTIFS(T_StockCount[RM_Code],$A6,T_StockCount[WeekIndex],9)&gt;0,SUMIFS(T_StockCount[CountedQty],T_StockCount[RM_Code],$A6,T_StockCount[WeekIndex],9),IF((COUNTIFS(T_SelfStock[RM_Code],$A6,T_SelfStock[WeekIndex],9)&gt;0)*(COUNTIFS(T_TTAFStock[RM_Code],$A6,T_TTAFStock[WeekIndex],9)&gt;0)&gt;0,SUMIFS(T_SelfStock[Self_Qty],T_SelfStock[RM_Code],$A6,T_SelfStock[WeekIndex],9)+SUMIFS(T_TTAFStock[TTAF_Qty],T_TTAFStock[RM_Code],$A6,T_TTAFStock[WeekIndex],9),I6+'Grid_Incoming'!J6-'Grid_Requirement'!J6))</f>
        <v/>
      </c>
      <c r="K6">
        <f>IF(COUNTIFS(T_StockCount[RM_Code],$A6,T_StockCount[WeekIndex],10)&gt;0,SUMIFS(T_StockCount[CountedQty],T_StockCount[RM_Code],$A6,T_StockCount[WeekIndex],10),IF((COUNTIFS(T_SelfStock[RM_Code],$A6,T_SelfStock[WeekIndex],10)&gt;0)*(COUNTIFS(T_TTAFStock[RM_Code],$A6,T_TTAFStock[WeekIndex],10)&gt;0)&gt;0,SUMIFS(T_SelfStock[Self_Qty],T_SelfStock[RM_Code],$A6,T_SelfStock[WeekIndex],10)+SUMIFS(T_TTAFStock[TTAF_Qty],T_TTAFStock[RM_Code],$A6,T_TTAFStock[WeekIndex],10),J6+'Grid_Incoming'!K6-'Grid_Requirement'!K6))</f>
        <v/>
      </c>
      <c r="L6">
        <f>IF(COUNTIFS(T_StockCount[RM_Code],$A6,T_StockCount[WeekIndex],11)&gt;0,SUMIFS(T_StockCount[CountedQty],T_StockCount[RM_Code],$A6,T_StockCount[WeekIndex],11),IF((COUNTIFS(T_SelfStock[RM_Code],$A6,T_SelfStock[WeekIndex],11)&gt;0)*(COUNTIFS(T_TTAFStock[RM_Code],$A6,T_TTAFStock[WeekIndex],11)&gt;0)&gt;0,SUMIFS(T_SelfStock[Self_Qty],T_SelfStock[RM_Code],$A6,T_SelfStock[WeekIndex],11)+SUMIFS(T_TTAFStock[TTAF_Qty],T_TTAFStock[RM_Code],$A6,T_TTAFStock[WeekIndex],11),K6+'Grid_Incoming'!L6-'Grid_Requirement'!L6))</f>
        <v/>
      </c>
      <c r="M6">
        <f>IF(COUNTIFS(T_StockCount[RM_Code],$A6,T_StockCount[WeekIndex],12)&gt;0,SUMIFS(T_StockCount[CountedQty],T_StockCount[RM_Code],$A6,T_StockCount[WeekIndex],12),IF((COUNTIFS(T_SelfStock[RM_Code],$A6,T_SelfStock[WeekIndex],12)&gt;0)*(COUNTIFS(T_TTAFStock[RM_Code],$A6,T_TTAFStock[WeekIndex],12)&gt;0)&gt;0,SUMIFS(T_SelfStock[Self_Qty],T_SelfStock[RM_Code],$A6,T_SelfStock[WeekIndex],12)+SUMIFS(T_TTAFStock[TTAF_Qty],T_TTAFStock[RM_Code],$A6,T_TTAFStock[WeekIndex],12),L6+'Grid_Incoming'!M6-'Grid_Requirement'!M6))</f>
        <v/>
      </c>
      <c r="N6">
        <f>IF(COUNTIFS(T_StockCount[RM_Code],$A6,T_StockCount[WeekIndex],13)&gt;0,SUMIFS(T_StockCount[CountedQty],T_StockCount[RM_Code],$A6,T_StockCount[WeekIndex],13),IF((COUNTIFS(T_SelfStock[RM_Code],$A6,T_SelfStock[WeekIndex],13)&gt;0)*(COUNTIFS(T_TTAFStock[RM_Code],$A6,T_TTAFStock[WeekIndex],13)&gt;0)&gt;0,SUMIFS(T_SelfStock[Self_Qty],T_SelfStock[RM_Code],$A6,T_SelfStock[WeekIndex],13)+SUMIFS(T_TTAFStock[TTAF_Qty],T_TTAFStock[RM_Code],$A6,T_TTAFStock[WeekIndex],13),M6+'Grid_Incoming'!N6-'Grid_Requirement'!N6))</f>
        <v/>
      </c>
      <c r="O6">
        <f>IF(COUNTIFS(T_StockCount[RM_Code],$A6,T_StockCount[WeekIndex],14)&gt;0,SUMIFS(T_StockCount[CountedQty],T_StockCount[RM_Code],$A6,T_StockCount[WeekIndex],14),IF((COUNTIFS(T_SelfStock[RM_Code],$A6,T_SelfStock[WeekIndex],14)&gt;0)*(COUNTIFS(T_TTAFStock[RM_Code],$A6,T_TTAFStock[WeekIndex],14)&gt;0)&gt;0,SUMIFS(T_SelfStock[Self_Qty],T_SelfStock[RM_Code],$A6,T_SelfStock[WeekIndex],14)+SUMIFS(T_TTAFStock[TTAF_Qty],T_TTAFStock[RM_Code],$A6,T_TTAFStock[WeekIndex],14),N6+'Grid_Incoming'!O6-'Grid_Requirement'!O6))</f>
        <v/>
      </c>
      <c r="P6">
        <f>IF(COUNTIFS(T_StockCount[RM_Code],$A6,T_StockCount[WeekIndex],15)&gt;0,SUMIFS(T_StockCount[CountedQty],T_StockCount[RM_Code],$A6,T_StockCount[WeekIndex],15),IF((COUNTIFS(T_SelfStock[RM_Code],$A6,T_SelfStock[WeekIndex],15)&gt;0)*(COUNTIFS(T_TTAFStock[RM_Code],$A6,T_TTAFStock[WeekIndex],15)&gt;0)&gt;0,SUMIFS(T_SelfStock[Self_Qty],T_SelfStock[RM_Code],$A6,T_SelfStock[WeekIndex],15)+SUMIFS(T_TTAFStock[TTAF_Qty],T_TTAFStock[RM_Code],$A6,T_TTAFStock[WeekIndex],15),O6+'Grid_Incoming'!P6-'Grid_Requirement'!P6))</f>
        <v/>
      </c>
      <c r="Q6">
        <f>IF(COUNTIFS(T_StockCount[RM_Code],$A6,T_StockCount[WeekIndex],16)&gt;0,SUMIFS(T_StockCount[CountedQty],T_StockCount[RM_Code],$A6,T_StockCount[WeekIndex],16),IF((COUNTIFS(T_SelfStock[RM_Code],$A6,T_SelfStock[WeekIndex],16)&gt;0)*(COUNTIFS(T_TTAFStock[RM_Code],$A6,T_TTAFStock[WeekIndex],16)&gt;0)&gt;0,SUMIFS(T_SelfStock[Self_Qty],T_SelfStock[RM_Code],$A6,T_SelfStock[WeekIndex],16)+SUMIFS(T_TTAFStock[TTAF_Qty],T_TTAFStock[RM_Code],$A6,T_TTAFStock[WeekIndex],16),P6+'Grid_Incoming'!Q6-'Grid_Requirement'!Q6))</f>
        <v/>
      </c>
      <c r="R6">
        <f>IF(COUNTIFS(T_StockCount[RM_Code],$A6,T_StockCount[WeekIndex],17)&gt;0,SUMIFS(T_StockCount[CountedQty],T_StockCount[RM_Code],$A6,T_StockCount[WeekIndex],17),IF((COUNTIFS(T_SelfStock[RM_Code],$A6,T_SelfStock[WeekIndex],17)&gt;0)*(COUNTIFS(T_TTAFStock[RM_Code],$A6,T_TTAFStock[WeekIndex],17)&gt;0)&gt;0,SUMIFS(T_SelfStock[Self_Qty],T_SelfStock[RM_Code],$A6,T_SelfStock[WeekIndex],17)+SUMIFS(T_TTAFStock[TTAF_Qty],T_TTAFStock[RM_Code],$A6,T_TTAFStock[WeekIndex],17),Q6+'Grid_Incoming'!R6-'Grid_Requirement'!R6))</f>
        <v/>
      </c>
      <c r="S6">
        <f>IF(COUNTIFS(T_StockCount[RM_Code],$A6,T_StockCount[WeekIndex],18)&gt;0,SUMIFS(T_StockCount[CountedQty],T_StockCount[RM_Code],$A6,T_StockCount[WeekIndex],18),IF((COUNTIFS(T_SelfStock[RM_Code],$A6,T_SelfStock[WeekIndex],18)&gt;0)*(COUNTIFS(T_TTAFStock[RM_Code],$A6,T_TTAFStock[WeekIndex],18)&gt;0)&gt;0,SUMIFS(T_SelfStock[Self_Qty],T_SelfStock[RM_Code],$A6,T_SelfStock[WeekIndex],18)+SUMIFS(T_TTAFStock[TTAF_Qty],T_TTAFStock[RM_Code],$A6,T_TTAFStock[WeekIndex],18),R6+'Grid_Incoming'!S6-'Grid_Requirement'!S6))</f>
        <v/>
      </c>
      <c r="T6">
        <f>IF(COUNTIFS(T_StockCount[RM_Code],$A6,T_StockCount[WeekIndex],19)&gt;0,SUMIFS(T_StockCount[CountedQty],T_StockCount[RM_Code],$A6,T_StockCount[WeekIndex],19),IF((COUNTIFS(T_SelfStock[RM_Code],$A6,T_SelfStock[WeekIndex],19)&gt;0)*(COUNTIFS(T_TTAFStock[RM_Code],$A6,T_TTAFStock[WeekIndex],19)&gt;0)&gt;0,SUMIFS(T_SelfStock[Self_Qty],T_SelfStock[RM_Code],$A6,T_SelfStock[WeekIndex],19)+SUMIFS(T_TTAFStock[TTAF_Qty],T_TTAFStock[RM_Code],$A6,T_TTAFStock[WeekIndex],19),S6+'Grid_Incoming'!T6-'Grid_Requirement'!T6))</f>
        <v/>
      </c>
      <c r="U6">
        <f>IF(COUNTIFS(T_StockCount[RM_Code],$A6,T_StockCount[WeekIndex],20)&gt;0,SUMIFS(T_StockCount[CountedQty],T_StockCount[RM_Code],$A6,T_StockCount[WeekIndex],20),IF((COUNTIFS(T_SelfStock[RM_Code],$A6,T_SelfStock[WeekIndex],20)&gt;0)*(COUNTIFS(T_TTAFStock[RM_Code],$A6,T_TTAFStock[WeekIndex],20)&gt;0)&gt;0,SUMIFS(T_SelfStock[Self_Qty],T_SelfStock[RM_Code],$A6,T_SelfStock[WeekIndex],20)+SUMIFS(T_TTAFStock[TTAF_Qty],T_TTAFStock[RM_Code],$A6,T_TTAFStock[WeekIndex],20),T6+'Grid_Incoming'!U6-'Grid_Requirement'!U6))</f>
        <v/>
      </c>
      <c r="V6">
        <f>IF(COUNTIFS(T_StockCount[RM_Code],$A6,T_StockCount[WeekIndex],21)&gt;0,SUMIFS(T_StockCount[CountedQty],T_StockCount[RM_Code],$A6,T_StockCount[WeekIndex],21),IF((COUNTIFS(T_SelfStock[RM_Code],$A6,T_SelfStock[WeekIndex],21)&gt;0)*(COUNTIFS(T_TTAFStock[RM_Code],$A6,T_TTAFStock[WeekIndex],21)&gt;0)&gt;0,SUMIFS(T_SelfStock[Self_Qty],T_SelfStock[RM_Code],$A6,T_SelfStock[WeekIndex],21)+SUMIFS(T_TTAFStock[TTAF_Qty],T_TTAFStock[RM_Code],$A6,T_TTAFStock[WeekIndex],21),U6+'Grid_Incoming'!V6-'Grid_Requirement'!V6))</f>
        <v/>
      </c>
      <c r="W6">
        <f>IF(COUNTIFS(T_StockCount[RM_Code],$A6,T_StockCount[WeekIndex],22)&gt;0,SUMIFS(T_StockCount[CountedQty],T_StockCount[RM_Code],$A6,T_StockCount[WeekIndex],22),IF((COUNTIFS(T_SelfStock[RM_Code],$A6,T_SelfStock[WeekIndex],22)&gt;0)*(COUNTIFS(T_TTAFStock[RM_Code],$A6,T_TTAFStock[WeekIndex],22)&gt;0)&gt;0,SUMIFS(T_SelfStock[Self_Qty],T_SelfStock[RM_Code],$A6,T_SelfStock[WeekIndex],22)+SUMIFS(T_TTAFStock[TTAF_Qty],T_TTAFStock[RM_Code],$A6,T_TTAFStock[WeekIndex],22),V6+'Grid_Incoming'!W6-'Grid_Requirement'!W6))</f>
        <v/>
      </c>
      <c r="X6">
        <f>IF(COUNTIFS(T_StockCount[RM_Code],$A6,T_StockCount[WeekIndex],23)&gt;0,SUMIFS(T_StockCount[CountedQty],T_StockCount[RM_Code],$A6,T_StockCount[WeekIndex],23),IF((COUNTIFS(T_SelfStock[RM_Code],$A6,T_SelfStock[WeekIndex],23)&gt;0)*(COUNTIFS(T_TTAFStock[RM_Code],$A6,T_TTAFStock[WeekIndex],23)&gt;0)&gt;0,SUMIFS(T_SelfStock[Self_Qty],T_SelfStock[RM_Code],$A6,T_SelfStock[WeekIndex],23)+SUMIFS(T_TTAFStock[TTAF_Qty],T_TTAFStock[RM_Code],$A6,T_TTAFStock[WeekIndex],23),W6+'Grid_Incoming'!X6-'Grid_Requirement'!X6))</f>
        <v/>
      </c>
      <c r="Y6">
        <f>IF(COUNTIFS(T_StockCount[RM_Code],$A6,T_StockCount[WeekIndex],24)&gt;0,SUMIFS(T_StockCount[CountedQty],T_StockCount[RM_Code],$A6,T_StockCount[WeekIndex],24),IF((COUNTIFS(T_SelfStock[RM_Code],$A6,T_SelfStock[WeekIndex],24)&gt;0)*(COUNTIFS(T_TTAFStock[RM_Code],$A6,T_TTAFStock[WeekIndex],24)&gt;0)&gt;0,SUMIFS(T_SelfStock[Self_Qty],T_SelfStock[RM_Code],$A6,T_SelfStock[WeekIndex],24)+SUMIFS(T_TTAFStock[TTAF_Qty],T_TTAFStock[RM_Code],$A6,T_TTAFStock[WeekIndex],24),X6+'Grid_Incoming'!Y6-'Grid_Requirement'!Y6))</f>
        <v/>
      </c>
      <c r="Z6">
        <f>IF(COUNTIFS(T_StockCount[RM_Code],$A6,T_StockCount[WeekIndex],25)&gt;0,SUMIFS(T_StockCount[CountedQty],T_StockCount[RM_Code],$A6,T_StockCount[WeekIndex],25),IF((COUNTIFS(T_SelfStock[RM_Code],$A6,T_SelfStock[WeekIndex],25)&gt;0)*(COUNTIFS(T_TTAFStock[RM_Code],$A6,T_TTAFStock[WeekIndex],25)&gt;0)&gt;0,SUMIFS(T_SelfStock[Self_Qty],T_SelfStock[RM_Code],$A6,T_SelfStock[WeekIndex],25)+SUMIFS(T_TTAFStock[TTAF_Qty],T_TTAFStock[RM_Code],$A6,T_TTAFStock[WeekIndex],25),Y6+'Grid_Incoming'!Z6-'Grid_Requirement'!Z6))</f>
        <v/>
      </c>
      <c r="AA6">
        <f>IF(COUNTIFS(T_StockCount[RM_Code],$A6,T_StockCount[WeekIndex],26)&gt;0,SUMIFS(T_StockCount[CountedQty],T_StockCount[RM_Code],$A6,T_StockCount[WeekIndex],26),IF((COUNTIFS(T_SelfStock[RM_Code],$A6,T_SelfStock[WeekIndex],26)&gt;0)*(COUNTIFS(T_TTAFStock[RM_Code],$A6,T_TTAFStock[WeekIndex],26)&gt;0)&gt;0,SUMIFS(T_SelfStock[Self_Qty],T_SelfStock[RM_Code],$A6,T_SelfStock[WeekIndex],26)+SUMIFS(T_TTAFStock[TTAF_Qty],T_TTAFStock[RM_Code],$A6,T_TTAFStock[WeekIndex],26),Z6+'Grid_Incoming'!AA6-'Grid_Requirement'!AA6))</f>
        <v/>
      </c>
      <c r="AB6">
        <f>IF(COUNTIFS(T_StockCount[RM_Code],$A6,T_StockCount[WeekIndex],27)&gt;0,SUMIFS(T_StockCount[CountedQty],T_StockCount[RM_Code],$A6,T_StockCount[WeekIndex],27),IF((COUNTIFS(T_SelfStock[RM_Code],$A6,T_SelfStock[WeekIndex],27)&gt;0)*(COUNTIFS(T_TTAFStock[RM_Code],$A6,T_TTAFStock[WeekIndex],27)&gt;0)&gt;0,SUMIFS(T_SelfStock[Self_Qty],T_SelfStock[RM_Code],$A6,T_SelfStock[WeekIndex],27)+SUMIFS(T_TTAFStock[TTAF_Qty],T_TTAFStock[RM_Code],$A6,T_TTAFStock[WeekIndex],27),AA6+'Grid_Incoming'!AB6-'Grid_Requirement'!AB6))</f>
        <v/>
      </c>
      <c r="AC6">
        <f>IF(COUNTIFS(T_StockCount[RM_Code],$A6,T_StockCount[WeekIndex],28)&gt;0,SUMIFS(T_StockCount[CountedQty],T_StockCount[RM_Code],$A6,T_StockCount[WeekIndex],28),IF((COUNTIFS(T_SelfStock[RM_Code],$A6,T_SelfStock[WeekIndex],28)&gt;0)*(COUNTIFS(T_TTAFStock[RM_Code],$A6,T_TTAFStock[WeekIndex],28)&gt;0)&gt;0,SUMIFS(T_SelfStock[Self_Qty],T_SelfStock[RM_Code],$A6,T_SelfStock[WeekIndex],28)+SUMIFS(T_TTAFStock[TTAF_Qty],T_TTAFStock[RM_Code],$A6,T_TTAFStock[WeekIndex],28),AB6+'Grid_Incoming'!AC6-'Grid_Requirement'!AC6))</f>
        <v/>
      </c>
      <c r="AD6">
        <f>IF(COUNTIFS(T_StockCount[RM_Code],$A6,T_StockCount[WeekIndex],29)&gt;0,SUMIFS(T_StockCount[CountedQty],T_StockCount[RM_Code],$A6,T_StockCount[WeekIndex],29),IF((COUNTIFS(T_SelfStock[RM_Code],$A6,T_SelfStock[WeekIndex],29)&gt;0)*(COUNTIFS(T_TTAFStock[RM_Code],$A6,T_TTAFStock[WeekIndex],29)&gt;0)&gt;0,SUMIFS(T_SelfStock[Self_Qty],T_SelfStock[RM_Code],$A6,T_SelfStock[WeekIndex],29)+SUMIFS(T_TTAFStock[TTAF_Qty],T_TTAFStock[RM_Code],$A6,T_TTAFStock[WeekIndex],29),AC6+'Grid_Incoming'!AD6-'Grid_Requirement'!AD6))</f>
        <v/>
      </c>
      <c r="AE6">
        <f>IF(COUNTIFS(T_StockCount[RM_Code],$A6,T_StockCount[WeekIndex],30)&gt;0,SUMIFS(T_StockCount[CountedQty],T_StockCount[RM_Code],$A6,T_StockCount[WeekIndex],30),IF((COUNTIFS(T_SelfStock[RM_Code],$A6,T_SelfStock[WeekIndex],30)&gt;0)*(COUNTIFS(T_TTAFStock[RM_Code],$A6,T_TTAFStock[WeekIndex],30)&gt;0)&gt;0,SUMIFS(T_SelfStock[Self_Qty],T_SelfStock[RM_Code],$A6,T_SelfStock[WeekIndex],30)+SUMIFS(T_TTAFStock[TTAF_Qty],T_TTAFStock[RM_Code],$A6,T_TTAFStock[WeekIndex],30),AD6+'Grid_Incoming'!AE6-'Grid_Requirement'!AE6))</f>
        <v/>
      </c>
      <c r="AF6">
        <f>IF(COUNTIFS(T_StockCount[RM_Code],$A6,T_StockCount[WeekIndex],31)&gt;0,SUMIFS(T_StockCount[CountedQty],T_StockCount[RM_Code],$A6,T_StockCount[WeekIndex],31),IF((COUNTIFS(T_SelfStock[RM_Code],$A6,T_SelfStock[WeekIndex],31)&gt;0)*(COUNTIFS(T_TTAFStock[RM_Code],$A6,T_TTAFStock[WeekIndex],31)&gt;0)&gt;0,SUMIFS(T_SelfStock[Self_Qty],T_SelfStock[RM_Code],$A6,T_SelfStock[WeekIndex],31)+SUMIFS(T_TTAFStock[TTAF_Qty],T_TTAFStock[RM_Code],$A6,T_TTAFStock[WeekIndex],31),AE6+'Grid_Incoming'!AF6-'Grid_Requirement'!AF6))</f>
        <v/>
      </c>
      <c r="AG6">
        <f>IF(COUNTIFS(T_StockCount[RM_Code],$A6,T_StockCount[WeekIndex],32)&gt;0,SUMIFS(T_StockCount[CountedQty],T_StockCount[RM_Code],$A6,T_StockCount[WeekIndex],32),IF((COUNTIFS(T_SelfStock[RM_Code],$A6,T_SelfStock[WeekIndex],32)&gt;0)*(COUNTIFS(T_TTAFStock[RM_Code],$A6,T_TTAFStock[WeekIndex],32)&gt;0)&gt;0,SUMIFS(T_SelfStock[Self_Qty],T_SelfStock[RM_Code],$A6,T_SelfStock[WeekIndex],32)+SUMIFS(T_TTAFStock[TTAF_Qty],T_TTAFStock[RM_Code],$A6,T_TTAFStock[WeekIndex],32),AF6+'Grid_Incoming'!AG6-'Grid_Requirement'!AG6))</f>
        <v/>
      </c>
      <c r="AH6">
        <f>IF(COUNTIFS(T_StockCount[RM_Code],$A6,T_StockCount[WeekIndex],33)&gt;0,SUMIFS(T_StockCount[CountedQty],T_StockCount[RM_Code],$A6,T_StockCount[WeekIndex],33),IF((COUNTIFS(T_SelfStock[RM_Code],$A6,T_SelfStock[WeekIndex],33)&gt;0)*(COUNTIFS(T_TTAFStock[RM_Code],$A6,T_TTAFStock[WeekIndex],33)&gt;0)&gt;0,SUMIFS(T_SelfStock[Self_Qty],T_SelfStock[RM_Code],$A6,T_SelfStock[WeekIndex],33)+SUMIFS(T_TTAFStock[TTAF_Qty],T_TTAFStock[RM_Code],$A6,T_TTAFStock[WeekIndex],33),AG6+'Grid_Incoming'!AH6-'Grid_Requirement'!AH6))</f>
        <v/>
      </c>
      <c r="AI6">
        <f>IF(COUNTIFS(T_StockCount[RM_Code],$A6,T_StockCount[WeekIndex],34)&gt;0,SUMIFS(T_StockCount[CountedQty],T_StockCount[RM_Code],$A6,T_StockCount[WeekIndex],34),IF((COUNTIFS(T_SelfStock[RM_Code],$A6,T_SelfStock[WeekIndex],34)&gt;0)*(COUNTIFS(T_TTAFStock[RM_Code],$A6,T_TTAFStock[WeekIndex],34)&gt;0)&gt;0,SUMIFS(T_SelfStock[Self_Qty],T_SelfStock[RM_Code],$A6,T_SelfStock[WeekIndex],34)+SUMIFS(T_TTAFStock[TTAF_Qty],T_TTAFStock[RM_Code],$A6,T_TTAFStock[WeekIndex],34),AH6+'Grid_Incoming'!AI6-'Grid_Requirement'!AI6))</f>
        <v/>
      </c>
      <c r="AJ6">
        <f>IF(COUNTIFS(T_StockCount[RM_Code],$A6,T_StockCount[WeekIndex],35)&gt;0,SUMIFS(T_StockCount[CountedQty],T_StockCount[RM_Code],$A6,T_StockCount[WeekIndex],35),IF((COUNTIFS(T_SelfStock[RM_Code],$A6,T_SelfStock[WeekIndex],35)&gt;0)*(COUNTIFS(T_TTAFStock[RM_Code],$A6,T_TTAFStock[WeekIndex],35)&gt;0)&gt;0,SUMIFS(T_SelfStock[Self_Qty],T_SelfStock[RM_Code],$A6,T_SelfStock[WeekIndex],35)+SUMIFS(T_TTAFStock[TTAF_Qty],T_TTAFStock[RM_Code],$A6,T_TTAFStock[WeekIndex],35),AI6+'Grid_Incoming'!AJ6-'Grid_Requirement'!AJ6))</f>
        <v/>
      </c>
      <c r="AK6">
        <f>IF(COUNTIFS(T_StockCount[RM_Code],$A6,T_StockCount[WeekIndex],36)&gt;0,SUMIFS(T_StockCount[CountedQty],T_StockCount[RM_Code],$A6,T_StockCount[WeekIndex],36),IF((COUNTIFS(T_SelfStock[RM_Code],$A6,T_SelfStock[WeekIndex],36)&gt;0)*(COUNTIFS(T_TTAFStock[RM_Code],$A6,T_TTAFStock[WeekIndex],36)&gt;0)&gt;0,SUMIFS(T_SelfStock[Self_Qty],T_SelfStock[RM_Code],$A6,T_SelfStock[WeekIndex],36)+SUMIFS(T_TTAFStock[TTAF_Qty],T_TTAFStock[RM_Code],$A6,T_TTAFStock[WeekIndex],36),AJ6+'Grid_Incoming'!AK6-'Grid_Requirement'!AK6))</f>
        <v/>
      </c>
      <c r="AL6">
        <f>IF(COUNTIFS(T_StockCount[RM_Code],$A6,T_StockCount[WeekIndex],37)&gt;0,SUMIFS(T_StockCount[CountedQty],T_StockCount[RM_Code],$A6,T_StockCount[WeekIndex],37),IF((COUNTIFS(T_SelfStock[RM_Code],$A6,T_SelfStock[WeekIndex],37)&gt;0)*(COUNTIFS(T_TTAFStock[RM_Code],$A6,T_TTAFStock[WeekIndex],37)&gt;0)&gt;0,SUMIFS(T_SelfStock[Self_Qty],T_SelfStock[RM_Code],$A6,T_SelfStock[WeekIndex],37)+SUMIFS(T_TTAFStock[TTAF_Qty],T_TTAFStock[RM_Code],$A6,T_TTAFStock[WeekIndex],37),AK6+'Grid_Incoming'!AL6-'Grid_Requirement'!AL6))</f>
        <v/>
      </c>
      <c r="AM6">
        <f>IF(COUNTIFS(T_StockCount[RM_Code],$A6,T_StockCount[WeekIndex],38)&gt;0,SUMIFS(T_StockCount[CountedQty],T_StockCount[RM_Code],$A6,T_StockCount[WeekIndex],38),IF((COUNTIFS(T_SelfStock[RM_Code],$A6,T_SelfStock[WeekIndex],38)&gt;0)*(COUNTIFS(T_TTAFStock[RM_Code],$A6,T_TTAFStock[WeekIndex],38)&gt;0)&gt;0,SUMIFS(T_SelfStock[Self_Qty],T_SelfStock[RM_Code],$A6,T_SelfStock[WeekIndex],38)+SUMIFS(T_TTAFStock[TTAF_Qty],T_TTAFStock[RM_Code],$A6,T_TTAFStock[WeekIndex],38),AL6+'Grid_Incoming'!AM6-'Grid_Requirement'!AM6))</f>
        <v/>
      </c>
      <c r="AN6">
        <f>IF(COUNTIFS(T_StockCount[RM_Code],$A6,T_StockCount[WeekIndex],39)&gt;0,SUMIFS(T_StockCount[CountedQty],T_StockCount[RM_Code],$A6,T_StockCount[WeekIndex],39),IF((COUNTIFS(T_SelfStock[RM_Code],$A6,T_SelfStock[WeekIndex],39)&gt;0)*(COUNTIFS(T_TTAFStock[RM_Code],$A6,T_TTAFStock[WeekIndex],39)&gt;0)&gt;0,SUMIFS(T_SelfStock[Self_Qty],T_SelfStock[RM_Code],$A6,T_SelfStock[WeekIndex],39)+SUMIFS(T_TTAFStock[TTAF_Qty],T_TTAFStock[RM_Code],$A6,T_TTAFStock[WeekIndex],39),AM6+'Grid_Incoming'!AN6-'Grid_Requirement'!AN6))</f>
        <v/>
      </c>
      <c r="AO6">
        <f>IF(COUNTIFS(T_StockCount[RM_Code],$A6,T_StockCount[WeekIndex],40)&gt;0,SUMIFS(T_StockCount[CountedQty],T_StockCount[RM_Code],$A6,T_StockCount[WeekIndex],40),IF((COUNTIFS(T_SelfStock[RM_Code],$A6,T_SelfStock[WeekIndex],40)&gt;0)*(COUNTIFS(T_TTAFStock[RM_Code],$A6,T_TTAFStock[WeekIndex],40)&gt;0)&gt;0,SUMIFS(T_SelfStock[Self_Qty],T_SelfStock[RM_Code],$A6,T_SelfStock[WeekIndex],40)+SUMIFS(T_TTAFStock[TTAF_Qty],T_TTAFStock[RM_Code],$A6,T_TTAFStock[WeekIndex],40),AN6+'Grid_Incoming'!AO6-'Grid_Requirement'!AO6))</f>
        <v/>
      </c>
      <c r="AP6">
        <f>IF(COUNTIFS(T_StockCount[RM_Code],$A6,T_StockCount[WeekIndex],41)&gt;0,SUMIFS(T_StockCount[CountedQty],T_StockCount[RM_Code],$A6,T_StockCount[WeekIndex],41),IF((COUNTIFS(T_SelfStock[RM_Code],$A6,T_SelfStock[WeekIndex],41)&gt;0)*(COUNTIFS(T_TTAFStock[RM_Code],$A6,T_TTAFStock[WeekIndex],41)&gt;0)&gt;0,SUMIFS(T_SelfStock[Self_Qty],T_SelfStock[RM_Code],$A6,T_SelfStock[WeekIndex],41)+SUMIFS(T_TTAFStock[TTAF_Qty],T_TTAFStock[RM_Code],$A6,T_TTAFStock[WeekIndex],41),AO6+'Grid_Incoming'!AP6-'Grid_Requirement'!AP6))</f>
        <v/>
      </c>
      <c r="AQ6">
        <f>IF(COUNTIFS(T_StockCount[RM_Code],$A6,T_StockCount[WeekIndex],42)&gt;0,SUMIFS(T_StockCount[CountedQty],T_StockCount[RM_Code],$A6,T_StockCount[WeekIndex],42),IF((COUNTIFS(T_SelfStock[RM_Code],$A6,T_SelfStock[WeekIndex],42)&gt;0)*(COUNTIFS(T_TTAFStock[RM_Code],$A6,T_TTAFStock[WeekIndex],42)&gt;0)&gt;0,SUMIFS(T_SelfStock[Self_Qty],T_SelfStock[RM_Code],$A6,T_SelfStock[WeekIndex],42)+SUMIFS(T_TTAFStock[TTAF_Qty],T_TTAFStock[RM_Code],$A6,T_TTAFStock[WeekIndex],42),AP6+'Grid_Incoming'!AQ6-'Grid_Requirement'!AQ6))</f>
        <v/>
      </c>
      <c r="AR6">
        <f>IF(COUNTIFS(T_StockCount[RM_Code],$A6,T_StockCount[WeekIndex],43)&gt;0,SUMIFS(T_StockCount[CountedQty],T_StockCount[RM_Code],$A6,T_StockCount[WeekIndex],43),IF((COUNTIFS(T_SelfStock[RM_Code],$A6,T_SelfStock[WeekIndex],43)&gt;0)*(COUNTIFS(T_TTAFStock[RM_Code],$A6,T_TTAFStock[WeekIndex],43)&gt;0)&gt;0,SUMIFS(T_SelfStock[Self_Qty],T_SelfStock[RM_Code],$A6,T_SelfStock[WeekIndex],43)+SUMIFS(T_TTAFStock[TTAF_Qty],T_TTAFStock[RM_Code],$A6,T_TTAFStock[WeekIndex],43),AQ6+'Grid_Incoming'!AR6-'Grid_Requirement'!AR6))</f>
        <v/>
      </c>
      <c r="AS6">
        <f>IF(COUNTIFS(T_StockCount[RM_Code],$A6,T_StockCount[WeekIndex],44)&gt;0,SUMIFS(T_StockCount[CountedQty],T_StockCount[RM_Code],$A6,T_StockCount[WeekIndex],44),IF((COUNTIFS(T_SelfStock[RM_Code],$A6,T_SelfStock[WeekIndex],44)&gt;0)*(COUNTIFS(T_TTAFStock[RM_Code],$A6,T_TTAFStock[WeekIndex],44)&gt;0)&gt;0,SUMIFS(T_SelfStock[Self_Qty],T_SelfStock[RM_Code],$A6,T_SelfStock[WeekIndex],44)+SUMIFS(T_TTAFStock[TTAF_Qty],T_TTAFStock[RM_Code],$A6,T_TTAFStock[WeekIndex],44),AR6+'Grid_Incoming'!AS6-'Grid_Requirement'!AS6))</f>
        <v/>
      </c>
      <c r="AT6">
        <f>IF(COUNTIFS(T_StockCount[RM_Code],$A6,T_StockCount[WeekIndex],45)&gt;0,SUMIFS(T_StockCount[CountedQty],T_StockCount[RM_Code],$A6,T_StockCount[WeekIndex],45),IF((COUNTIFS(T_SelfStock[RM_Code],$A6,T_SelfStock[WeekIndex],45)&gt;0)*(COUNTIFS(T_TTAFStock[RM_Code],$A6,T_TTAFStock[WeekIndex],45)&gt;0)&gt;0,SUMIFS(T_SelfStock[Self_Qty],T_SelfStock[RM_Code],$A6,T_SelfStock[WeekIndex],45)+SUMIFS(T_TTAFStock[TTAF_Qty],T_TTAFStock[RM_Code],$A6,T_TTAFStock[WeekIndex],45),AS6+'Grid_Incoming'!AT6-'Grid_Requirement'!AT6))</f>
        <v/>
      </c>
      <c r="AU6">
        <f>IF(COUNTIFS(T_StockCount[RM_Code],$A6,T_StockCount[WeekIndex],46)&gt;0,SUMIFS(T_StockCount[CountedQty],T_StockCount[RM_Code],$A6,T_StockCount[WeekIndex],46),IF((COUNTIFS(T_SelfStock[RM_Code],$A6,T_SelfStock[WeekIndex],46)&gt;0)*(COUNTIFS(T_TTAFStock[RM_Code],$A6,T_TTAFStock[WeekIndex],46)&gt;0)&gt;0,SUMIFS(T_SelfStock[Self_Qty],T_SelfStock[RM_Code],$A6,T_SelfStock[WeekIndex],46)+SUMIFS(T_TTAFStock[TTAF_Qty],T_TTAFStock[RM_Code],$A6,T_TTAFStock[WeekIndex],46),AT6+'Grid_Incoming'!AU6-'Grid_Requirement'!AU6))</f>
        <v/>
      </c>
      <c r="AV6">
        <f>IF(COUNTIFS(T_StockCount[RM_Code],$A6,T_StockCount[WeekIndex],47)&gt;0,SUMIFS(T_StockCount[CountedQty],T_StockCount[RM_Code],$A6,T_StockCount[WeekIndex],47),IF((COUNTIFS(T_SelfStock[RM_Code],$A6,T_SelfStock[WeekIndex],47)&gt;0)*(COUNTIFS(T_TTAFStock[RM_Code],$A6,T_TTAFStock[WeekIndex],47)&gt;0)&gt;0,SUMIFS(T_SelfStock[Self_Qty],T_SelfStock[RM_Code],$A6,T_SelfStock[WeekIndex],47)+SUMIFS(T_TTAFStock[TTAF_Qty],T_TTAFStock[RM_Code],$A6,T_TTAFStock[WeekIndex],47),AU6+'Grid_Incoming'!AV6-'Grid_Requirement'!AV6))</f>
        <v/>
      </c>
      <c r="AW6">
        <f>IF(COUNTIFS(T_StockCount[RM_Code],$A6,T_StockCount[WeekIndex],48)&gt;0,SUMIFS(T_StockCount[CountedQty],T_StockCount[RM_Code],$A6,T_StockCount[WeekIndex],48),IF((COUNTIFS(T_SelfStock[RM_Code],$A6,T_SelfStock[WeekIndex],48)&gt;0)*(COUNTIFS(T_TTAFStock[RM_Code],$A6,T_TTAFStock[WeekIndex],48)&gt;0)&gt;0,SUMIFS(T_SelfStock[Self_Qty],T_SelfStock[RM_Code],$A6,T_SelfStock[WeekIndex],48)+SUMIFS(T_TTAFStock[TTAF_Qty],T_TTAFStock[RM_Code],$A6,T_TTAFStock[WeekIndex],48),AV6+'Grid_Incoming'!AW6-'Grid_Requirement'!AW6))</f>
        <v/>
      </c>
      <c r="AX6">
        <f>IF(COUNTIFS(T_StockCount[RM_Code],$A6,T_StockCount[WeekIndex],49)&gt;0,SUMIFS(T_StockCount[CountedQty],T_StockCount[RM_Code],$A6,T_StockCount[WeekIndex],49),IF((COUNTIFS(T_SelfStock[RM_Code],$A6,T_SelfStock[WeekIndex],49)&gt;0)*(COUNTIFS(T_TTAFStock[RM_Code],$A6,T_TTAFStock[WeekIndex],49)&gt;0)&gt;0,SUMIFS(T_SelfStock[Self_Qty],T_SelfStock[RM_Code],$A6,T_SelfStock[WeekIndex],49)+SUMIFS(T_TTAFStock[TTAF_Qty],T_TTAFStock[RM_Code],$A6,T_TTAFStock[WeekIndex],49),AW6+'Grid_Incoming'!AX6-'Grid_Requirement'!AX6))</f>
        <v/>
      </c>
      <c r="AY6">
        <f>IF(COUNTIFS(T_StockCount[RM_Code],$A6,T_StockCount[WeekIndex],50)&gt;0,SUMIFS(T_StockCount[CountedQty],T_StockCount[RM_Code],$A6,T_StockCount[WeekIndex],50),IF((COUNTIFS(T_SelfStock[RM_Code],$A6,T_SelfStock[WeekIndex],50)&gt;0)*(COUNTIFS(T_TTAFStock[RM_Code],$A6,T_TTAFStock[WeekIndex],50)&gt;0)&gt;0,SUMIFS(T_SelfStock[Self_Qty],T_SelfStock[RM_Code],$A6,T_SelfStock[WeekIndex],50)+SUMIFS(T_TTAFStock[TTAF_Qty],T_TTAFStock[RM_Code],$A6,T_TTAFStock[WeekIndex],50),AX6+'Grid_Incoming'!AY6-'Grid_Requirement'!AY6))</f>
        <v/>
      </c>
      <c r="AZ6">
        <f>IF(COUNTIFS(T_StockCount[RM_Code],$A6,T_StockCount[WeekIndex],51)&gt;0,SUMIFS(T_StockCount[CountedQty],T_StockCount[RM_Code],$A6,T_StockCount[WeekIndex],51),IF((COUNTIFS(T_SelfStock[RM_Code],$A6,T_SelfStock[WeekIndex],51)&gt;0)*(COUNTIFS(T_TTAFStock[RM_Code],$A6,T_TTAFStock[WeekIndex],51)&gt;0)&gt;0,SUMIFS(T_SelfStock[Self_Qty],T_SelfStock[RM_Code],$A6,T_SelfStock[WeekIndex],51)+SUMIFS(T_TTAFStock[TTAF_Qty],T_TTAFStock[RM_Code],$A6,T_TTAFStock[WeekIndex],51),AY6+'Grid_Incoming'!AZ6-'Grid_Requirement'!AZ6))</f>
        <v/>
      </c>
      <c r="BA6">
        <f>IF(COUNTIFS(T_StockCount[RM_Code],$A6,T_StockCount[WeekIndex],52)&gt;0,SUMIFS(T_StockCount[CountedQty],T_StockCount[RM_Code],$A6,T_StockCount[WeekIndex],52),IF((COUNTIFS(T_SelfStock[RM_Code],$A6,T_SelfStock[WeekIndex],52)&gt;0)*(COUNTIFS(T_TTAFStock[RM_Code],$A6,T_TTAFStock[WeekIndex],52)&gt;0)&gt;0,SUMIFS(T_SelfStock[Self_Qty],T_SelfStock[RM_Code],$A6,T_SelfStock[WeekIndex],52)+SUMIFS(T_TTAFStock[TTAF_Qty],T_TTAFStock[RM_Code],$A6,T_TTAFStock[WeekIndex],52),AZ6+'Grid_Incoming'!BA6-'Grid_Requirement'!BA6))</f>
        <v/>
      </c>
      <c r="BB6">
        <f>IF(COUNTIFS(T_StockCount[RM_Code],$A6,T_StockCount[WeekIndex],53)&gt;0,SUMIFS(T_StockCount[CountedQty],T_StockCount[RM_Code],$A6,T_StockCount[WeekIndex],53),IF((COUNTIFS(T_SelfStock[RM_Code],$A6,T_SelfStock[WeekIndex],53)&gt;0)*(COUNTIFS(T_TTAFStock[RM_Code],$A6,T_TTAFStock[WeekIndex],53)&gt;0)&gt;0,SUMIFS(T_SelfStock[Self_Qty],T_SelfStock[RM_Code],$A6,T_SelfStock[WeekIndex],53)+SUMIFS(T_TTAFStock[TTAF_Qty],T_TTAFStock[RM_Code],$A6,T_TTAFStock[WeekIndex],53),BA6+'Grid_Incoming'!BB6-'Grid_Requirement'!BB6))</f>
        <v/>
      </c>
      <c r="BC6">
        <f>IF(COUNTIFS(T_StockCount[RM_Code],$A6,T_StockCount[WeekIndex],54)&gt;0,SUMIFS(T_StockCount[CountedQty],T_StockCount[RM_Code],$A6,T_StockCount[WeekIndex],54),IF((COUNTIFS(T_SelfStock[RM_Code],$A6,T_SelfStock[WeekIndex],54)&gt;0)*(COUNTIFS(T_TTAFStock[RM_Code],$A6,T_TTAFStock[WeekIndex],54)&gt;0)&gt;0,SUMIFS(T_SelfStock[Self_Qty],T_SelfStock[RM_Code],$A6,T_SelfStock[WeekIndex],54)+SUMIFS(T_TTAFStock[TTAF_Qty],T_TTAFStock[RM_Code],$A6,T_TTAFStock[WeekIndex],54),BB6+'Grid_Incoming'!BC6-'Grid_Requirement'!BC6))</f>
        <v/>
      </c>
      <c r="BD6">
        <f>IF(COUNTIFS(T_StockCount[RM_Code],$A6,T_StockCount[WeekIndex],55)&gt;0,SUMIFS(T_StockCount[CountedQty],T_StockCount[RM_Code],$A6,T_StockCount[WeekIndex],55),IF((COUNTIFS(T_SelfStock[RM_Code],$A6,T_SelfStock[WeekIndex],55)&gt;0)*(COUNTIFS(T_TTAFStock[RM_Code],$A6,T_TTAFStock[WeekIndex],55)&gt;0)&gt;0,SUMIFS(T_SelfStock[Self_Qty],T_SelfStock[RM_Code],$A6,T_SelfStock[WeekIndex],55)+SUMIFS(T_TTAFStock[TTAF_Qty],T_TTAFStock[RM_Code],$A6,T_TTAFStock[WeekIndex],55),BC6+'Grid_Incoming'!BD6-'Grid_Requirement'!BD6))</f>
        <v/>
      </c>
      <c r="BE6">
        <f>IF(COUNTIFS(T_StockCount[RM_Code],$A6,T_StockCount[WeekIndex],56)&gt;0,SUMIFS(T_StockCount[CountedQty],T_StockCount[RM_Code],$A6,T_StockCount[WeekIndex],56),IF((COUNTIFS(T_SelfStock[RM_Code],$A6,T_SelfStock[WeekIndex],56)&gt;0)*(COUNTIFS(T_TTAFStock[RM_Code],$A6,T_TTAFStock[WeekIndex],56)&gt;0)&gt;0,SUMIFS(T_SelfStock[Self_Qty],T_SelfStock[RM_Code],$A6,T_SelfStock[WeekIndex],56)+SUMIFS(T_TTAFStock[TTAF_Qty],T_TTAFStock[RM_Code],$A6,T_TTAFStock[WeekIndex],56),BD6+'Grid_Incoming'!BE6-'Grid_Requirement'!BE6))</f>
        <v/>
      </c>
      <c r="BF6">
        <f>IF(COUNTIFS(T_StockCount[RM_Code],$A6,T_StockCount[WeekIndex],57)&gt;0,SUMIFS(T_StockCount[CountedQty],T_StockCount[RM_Code],$A6,T_StockCount[WeekIndex],57),IF((COUNTIFS(T_SelfStock[RM_Code],$A6,T_SelfStock[WeekIndex],57)&gt;0)*(COUNTIFS(T_TTAFStock[RM_Code],$A6,T_TTAFStock[WeekIndex],57)&gt;0)&gt;0,SUMIFS(T_SelfStock[Self_Qty],T_SelfStock[RM_Code],$A6,T_SelfStock[WeekIndex],57)+SUMIFS(T_TTAFStock[TTAF_Qty],T_TTAFStock[RM_Code],$A6,T_TTAFStock[WeekIndex],57),BE6+'Grid_Incoming'!BF6-'Grid_Requirement'!BF6))</f>
        <v/>
      </c>
      <c r="BG6">
        <f>IF(COUNTIFS(T_StockCount[RM_Code],$A6,T_StockCount[WeekIndex],58)&gt;0,SUMIFS(T_StockCount[CountedQty],T_StockCount[RM_Code],$A6,T_StockCount[WeekIndex],58),IF((COUNTIFS(T_SelfStock[RM_Code],$A6,T_SelfStock[WeekIndex],58)&gt;0)*(COUNTIFS(T_TTAFStock[RM_Code],$A6,T_TTAFStock[WeekIndex],58)&gt;0)&gt;0,SUMIFS(T_SelfStock[Self_Qty],T_SelfStock[RM_Code],$A6,T_SelfStock[WeekIndex],58)+SUMIFS(T_TTAFStock[TTAF_Qty],T_TTAFStock[RM_Code],$A6,T_TTAFStock[WeekIndex],58),BF6+'Grid_Incoming'!BG6-'Grid_Requirement'!BG6))</f>
        <v/>
      </c>
      <c r="BH6">
        <f>IF(COUNTIFS(T_StockCount[RM_Code],$A6,T_StockCount[WeekIndex],59)&gt;0,SUMIFS(T_StockCount[CountedQty],T_StockCount[RM_Code],$A6,T_StockCount[WeekIndex],59),IF((COUNTIFS(T_SelfStock[RM_Code],$A6,T_SelfStock[WeekIndex],59)&gt;0)*(COUNTIFS(T_TTAFStock[RM_Code],$A6,T_TTAFStock[WeekIndex],59)&gt;0)&gt;0,SUMIFS(T_SelfStock[Self_Qty],T_SelfStock[RM_Code],$A6,T_SelfStock[WeekIndex],59)+SUMIFS(T_TTAFStock[TTAF_Qty],T_TTAFStock[RM_Code],$A6,T_TTAFStock[WeekIndex],59),BG6+'Grid_Incoming'!BH6-'Grid_Requirement'!BH6))</f>
        <v/>
      </c>
      <c r="BI6">
        <f>IF(COUNTIFS(T_StockCount[RM_Code],$A6,T_StockCount[WeekIndex],60)&gt;0,SUMIFS(T_StockCount[CountedQty],T_StockCount[RM_Code],$A6,T_StockCount[WeekIndex],60),IF((COUNTIFS(T_SelfStock[RM_Code],$A6,T_SelfStock[WeekIndex],60)&gt;0)*(COUNTIFS(T_TTAFStock[RM_Code],$A6,T_TTAFStock[WeekIndex],60)&gt;0)&gt;0,SUMIFS(T_SelfStock[Self_Qty],T_SelfStock[RM_Code],$A6,T_SelfStock[WeekIndex],60)+SUMIFS(T_TTAFStock[TTAF_Qty],T_TTAFStock[RM_Code],$A6,T_TTAFStock[WeekIndex],60),BH6+'Grid_Incoming'!BI6-'Grid_Requirement'!BI6))</f>
        <v/>
      </c>
      <c r="BJ6">
        <f>IF(COUNTIFS(T_StockCount[RM_Code],$A6,T_StockCount[WeekIndex],61)&gt;0,SUMIFS(T_StockCount[CountedQty],T_StockCount[RM_Code],$A6,T_StockCount[WeekIndex],61),IF((COUNTIFS(T_SelfStock[RM_Code],$A6,T_SelfStock[WeekIndex],61)&gt;0)*(COUNTIFS(T_TTAFStock[RM_Code],$A6,T_TTAFStock[WeekIndex],61)&gt;0)&gt;0,SUMIFS(T_SelfStock[Self_Qty],T_SelfStock[RM_Code],$A6,T_SelfStock[WeekIndex],61)+SUMIFS(T_TTAFStock[TTAF_Qty],T_TTAFStock[RM_Code],$A6,T_TTAFStock[WeekIndex],61),BI6+'Grid_Incoming'!BJ6-'Grid_Requirement'!BJ6))</f>
        <v/>
      </c>
      <c r="BK6">
        <f>IF(COUNTIFS(T_StockCount[RM_Code],$A6,T_StockCount[WeekIndex],62)&gt;0,SUMIFS(T_StockCount[CountedQty],T_StockCount[RM_Code],$A6,T_StockCount[WeekIndex],62),IF((COUNTIFS(T_SelfStock[RM_Code],$A6,T_SelfStock[WeekIndex],62)&gt;0)*(COUNTIFS(T_TTAFStock[RM_Code],$A6,T_TTAFStock[WeekIndex],62)&gt;0)&gt;0,SUMIFS(T_SelfStock[Self_Qty],T_SelfStock[RM_Code],$A6,T_SelfStock[WeekIndex],62)+SUMIFS(T_TTAFStock[TTAF_Qty],T_TTAFStock[RM_Code],$A6,T_TTAFStock[WeekIndex],62),BJ6+'Grid_Incoming'!BK6-'Grid_Requirement'!BK6))</f>
        <v/>
      </c>
      <c r="BL6">
        <f>IF(COUNTIFS(T_StockCount[RM_Code],$A6,T_StockCount[WeekIndex],63)&gt;0,SUMIFS(T_StockCount[CountedQty],T_StockCount[RM_Code],$A6,T_StockCount[WeekIndex],63),IF((COUNTIFS(T_SelfStock[RM_Code],$A6,T_SelfStock[WeekIndex],63)&gt;0)*(COUNTIFS(T_TTAFStock[RM_Code],$A6,T_TTAFStock[WeekIndex],63)&gt;0)&gt;0,SUMIFS(T_SelfStock[Self_Qty],T_SelfStock[RM_Code],$A6,T_SelfStock[WeekIndex],63)+SUMIFS(T_TTAFStock[TTAF_Qty],T_TTAFStock[RM_Code],$A6,T_TTAFStock[WeekIndex],63),BK6+'Grid_Incoming'!BL6-'Grid_Requirement'!BL6))</f>
        <v/>
      </c>
      <c r="BM6">
        <f>IF(COUNTIFS(T_StockCount[RM_Code],$A6,T_StockCount[WeekIndex],64)&gt;0,SUMIFS(T_StockCount[CountedQty],T_StockCount[RM_Code],$A6,T_StockCount[WeekIndex],64),IF((COUNTIFS(T_SelfStock[RM_Code],$A6,T_SelfStock[WeekIndex],64)&gt;0)*(COUNTIFS(T_TTAFStock[RM_Code],$A6,T_TTAFStock[WeekIndex],64)&gt;0)&gt;0,SUMIFS(T_SelfStock[Self_Qty],T_SelfStock[RM_Code],$A6,T_SelfStock[WeekIndex],64)+SUMIFS(T_TTAFStock[TTAF_Qty],T_TTAFStock[RM_Code],$A6,T_TTAFStock[WeekIndex],64),BL6+'Grid_Incoming'!BM6-'Grid_Requirement'!BM6))</f>
        <v/>
      </c>
      <c r="BN6">
        <f>IF(COUNTIFS(T_StockCount[RM_Code],$A6,T_StockCount[WeekIndex],65)&gt;0,SUMIFS(T_StockCount[CountedQty],T_StockCount[RM_Code],$A6,T_StockCount[WeekIndex],65),IF((COUNTIFS(T_SelfStock[RM_Code],$A6,T_SelfStock[WeekIndex],65)&gt;0)*(COUNTIFS(T_TTAFStock[RM_Code],$A6,T_TTAFStock[WeekIndex],65)&gt;0)&gt;0,SUMIFS(T_SelfStock[Self_Qty],T_SelfStock[RM_Code],$A6,T_SelfStock[WeekIndex],65)+SUMIFS(T_TTAFStock[TTAF_Qty],T_TTAFStock[RM_Code],$A6,T_TTAFStock[WeekIndex],65),BM6+'Grid_Incoming'!BN6-'Grid_Requirement'!BN6))</f>
        <v/>
      </c>
      <c r="BO6">
        <f>IF(COUNTIFS(T_StockCount[RM_Code],$A6,T_StockCount[WeekIndex],66)&gt;0,SUMIFS(T_StockCount[CountedQty],T_StockCount[RM_Code],$A6,T_StockCount[WeekIndex],66),IF((COUNTIFS(T_SelfStock[RM_Code],$A6,T_SelfStock[WeekIndex],66)&gt;0)*(COUNTIFS(T_TTAFStock[RM_Code],$A6,T_TTAFStock[WeekIndex],66)&gt;0)&gt;0,SUMIFS(T_SelfStock[Self_Qty],T_SelfStock[RM_Code],$A6,T_SelfStock[WeekIndex],66)+SUMIFS(T_TTAFStock[TTAF_Qty],T_TTAFStock[RM_Code],$A6,T_TTAFStock[WeekIndex],66),BN6+'Grid_Incoming'!BO6-'Grid_Requirement'!BO6))</f>
        <v/>
      </c>
      <c r="BP6">
        <f>IF(COUNTIFS(T_StockCount[RM_Code],$A6,T_StockCount[WeekIndex],67)&gt;0,SUMIFS(T_StockCount[CountedQty],T_StockCount[RM_Code],$A6,T_StockCount[WeekIndex],67),IF((COUNTIFS(T_SelfStock[RM_Code],$A6,T_SelfStock[WeekIndex],67)&gt;0)*(COUNTIFS(T_TTAFStock[RM_Code],$A6,T_TTAFStock[WeekIndex],67)&gt;0)&gt;0,SUMIFS(T_SelfStock[Self_Qty],T_SelfStock[RM_Code],$A6,T_SelfStock[WeekIndex],67)+SUMIFS(T_TTAFStock[TTAF_Qty],T_TTAFStock[RM_Code],$A6,T_TTAFStock[WeekIndex],67),BO6+'Grid_Incoming'!BP6-'Grid_Requirement'!BP6))</f>
        <v/>
      </c>
      <c r="BQ6">
        <f>IF(COUNTIFS(T_StockCount[RM_Code],$A6,T_StockCount[WeekIndex],68)&gt;0,SUMIFS(T_StockCount[CountedQty],T_StockCount[RM_Code],$A6,T_StockCount[WeekIndex],68),IF((COUNTIFS(T_SelfStock[RM_Code],$A6,T_SelfStock[WeekIndex],68)&gt;0)*(COUNTIFS(T_TTAFStock[RM_Code],$A6,T_TTAFStock[WeekIndex],68)&gt;0)&gt;0,SUMIFS(T_SelfStock[Self_Qty],T_SelfStock[RM_Code],$A6,T_SelfStock[WeekIndex],68)+SUMIFS(T_TTAFStock[TTAF_Qty],T_TTAFStock[RM_Code],$A6,T_TTAFStock[WeekIndex],68),BP6+'Grid_Incoming'!BQ6-'Grid_Requirement'!BQ6))</f>
        <v/>
      </c>
      <c r="BR6">
        <f>IF(COUNTIFS(T_StockCount[RM_Code],$A6,T_StockCount[WeekIndex],69)&gt;0,SUMIFS(T_StockCount[CountedQty],T_StockCount[RM_Code],$A6,T_StockCount[WeekIndex],69),IF((COUNTIFS(T_SelfStock[RM_Code],$A6,T_SelfStock[WeekIndex],69)&gt;0)*(COUNTIFS(T_TTAFStock[RM_Code],$A6,T_TTAFStock[WeekIndex],69)&gt;0)&gt;0,SUMIFS(T_SelfStock[Self_Qty],T_SelfStock[RM_Code],$A6,T_SelfStock[WeekIndex],69)+SUMIFS(T_TTAFStock[TTAF_Qty],T_TTAFStock[RM_Code],$A6,T_TTAFStock[WeekIndex],69),BQ6+'Grid_Incoming'!BR6-'Grid_Requirement'!BR6))</f>
        <v/>
      </c>
      <c r="BS6">
        <f>IF(COUNTIFS(T_StockCount[RM_Code],$A6,T_StockCount[WeekIndex],70)&gt;0,SUMIFS(T_StockCount[CountedQty],T_StockCount[RM_Code],$A6,T_StockCount[WeekIndex],70),IF((COUNTIFS(T_SelfStock[RM_Code],$A6,T_SelfStock[WeekIndex],70)&gt;0)*(COUNTIFS(T_TTAFStock[RM_Code],$A6,T_TTAFStock[WeekIndex],70)&gt;0)&gt;0,SUMIFS(T_SelfStock[Self_Qty],T_SelfStock[RM_Code],$A6,T_SelfStock[WeekIndex],70)+SUMIFS(T_TTAFStock[TTAF_Qty],T_TTAFStock[RM_Code],$A6,T_TTAFStock[WeekIndex],70),BR6+'Grid_Incoming'!BS6-'Grid_Requirement'!BS6))</f>
        <v/>
      </c>
      <c r="BT6">
        <f>IF(COUNTIFS(T_StockCount[RM_Code],$A6,T_StockCount[WeekIndex],71)&gt;0,SUMIFS(T_StockCount[CountedQty],T_StockCount[RM_Code],$A6,T_StockCount[WeekIndex],71),IF((COUNTIFS(T_SelfStock[RM_Code],$A6,T_SelfStock[WeekIndex],71)&gt;0)*(COUNTIFS(T_TTAFStock[RM_Code],$A6,T_TTAFStock[WeekIndex],71)&gt;0)&gt;0,SUMIFS(T_SelfStock[Self_Qty],T_SelfStock[RM_Code],$A6,T_SelfStock[WeekIndex],71)+SUMIFS(T_TTAFStock[TTAF_Qty],T_TTAFStock[RM_Code],$A6,T_TTAFStock[WeekIndex],71),BS6+'Grid_Incoming'!BT6-'Grid_Requirement'!BT6))</f>
        <v/>
      </c>
      <c r="BU6">
        <f>IF(COUNTIFS(T_StockCount[RM_Code],$A6,T_StockCount[WeekIndex],72)&gt;0,SUMIFS(T_StockCount[CountedQty],T_StockCount[RM_Code],$A6,T_StockCount[WeekIndex],72),IF((COUNTIFS(T_SelfStock[RM_Code],$A6,T_SelfStock[WeekIndex],72)&gt;0)*(COUNTIFS(T_TTAFStock[RM_Code],$A6,T_TTAFStock[WeekIndex],72)&gt;0)&gt;0,SUMIFS(T_SelfStock[Self_Qty],T_SelfStock[RM_Code],$A6,T_SelfStock[WeekIndex],72)+SUMIFS(T_TTAFStock[TTAF_Qty],T_TTAFStock[RM_Code],$A6,T_TTAFStock[WeekIndex],72),BT6+'Grid_Incoming'!BU6-'Grid_Requirement'!BU6))</f>
        <v/>
      </c>
      <c r="BV6">
        <f>IF(COUNTIFS(T_StockCount[RM_Code],$A6,T_StockCount[WeekIndex],73)&gt;0,SUMIFS(T_StockCount[CountedQty],T_StockCount[RM_Code],$A6,T_StockCount[WeekIndex],73),IF((COUNTIFS(T_SelfStock[RM_Code],$A6,T_SelfStock[WeekIndex],73)&gt;0)*(COUNTIFS(T_TTAFStock[RM_Code],$A6,T_TTAFStock[WeekIndex],73)&gt;0)&gt;0,SUMIFS(T_SelfStock[Self_Qty],T_SelfStock[RM_Code],$A6,T_SelfStock[WeekIndex],73)+SUMIFS(T_TTAFStock[TTAF_Qty],T_TTAFStock[RM_Code],$A6,T_TTAFStock[WeekIndex],73),BU6+'Grid_Incoming'!BV6-'Grid_Requirement'!BV6))</f>
        <v/>
      </c>
      <c r="BW6">
        <f>IF(COUNTIFS(T_StockCount[RM_Code],$A6,T_StockCount[WeekIndex],74)&gt;0,SUMIFS(T_StockCount[CountedQty],T_StockCount[RM_Code],$A6,T_StockCount[WeekIndex],74),IF((COUNTIFS(T_SelfStock[RM_Code],$A6,T_SelfStock[WeekIndex],74)&gt;0)*(COUNTIFS(T_TTAFStock[RM_Code],$A6,T_TTAFStock[WeekIndex],74)&gt;0)&gt;0,SUMIFS(T_SelfStock[Self_Qty],T_SelfStock[RM_Code],$A6,T_SelfStock[WeekIndex],74)+SUMIFS(T_TTAFStock[TTAF_Qty],T_TTAFStock[RM_Code],$A6,T_TTAFStock[WeekIndex],74),BV6+'Grid_Incoming'!BW6-'Grid_Requirement'!BW6))</f>
        <v/>
      </c>
      <c r="BX6">
        <f>IF(COUNTIFS(T_StockCount[RM_Code],$A6,T_StockCount[WeekIndex],75)&gt;0,SUMIFS(T_StockCount[CountedQty],T_StockCount[RM_Code],$A6,T_StockCount[WeekIndex],75),IF((COUNTIFS(T_SelfStock[RM_Code],$A6,T_SelfStock[WeekIndex],75)&gt;0)*(COUNTIFS(T_TTAFStock[RM_Code],$A6,T_TTAFStock[WeekIndex],75)&gt;0)&gt;0,SUMIFS(T_SelfStock[Self_Qty],T_SelfStock[RM_Code],$A6,T_SelfStock[WeekIndex],75)+SUMIFS(T_TTAFStock[TTAF_Qty],T_TTAFStock[RM_Code],$A6,T_TTAFStock[WeekIndex],75),BW6+'Grid_Incoming'!BX6-'Grid_Requirement'!BX6))</f>
        <v/>
      </c>
      <c r="BY6">
        <f>IF(COUNTIFS(T_StockCount[RM_Code],$A6,T_StockCount[WeekIndex],76)&gt;0,SUMIFS(T_StockCount[CountedQty],T_StockCount[RM_Code],$A6,T_StockCount[WeekIndex],76),IF((COUNTIFS(T_SelfStock[RM_Code],$A6,T_SelfStock[WeekIndex],76)&gt;0)*(COUNTIFS(T_TTAFStock[RM_Code],$A6,T_TTAFStock[WeekIndex],76)&gt;0)&gt;0,SUMIFS(T_SelfStock[Self_Qty],T_SelfStock[RM_Code],$A6,T_SelfStock[WeekIndex],76)+SUMIFS(T_TTAFStock[TTAF_Qty],T_TTAFStock[RM_Code],$A6,T_TTAFStock[WeekIndex],76),BX6+'Grid_Incoming'!BY6-'Grid_Requirement'!BY6))</f>
        <v/>
      </c>
      <c r="BZ6">
        <f>IF(COUNTIFS(T_StockCount[RM_Code],$A6,T_StockCount[WeekIndex],77)&gt;0,SUMIFS(T_StockCount[CountedQty],T_StockCount[RM_Code],$A6,T_StockCount[WeekIndex],77),IF((COUNTIFS(T_SelfStock[RM_Code],$A6,T_SelfStock[WeekIndex],77)&gt;0)*(COUNTIFS(T_TTAFStock[RM_Code],$A6,T_TTAFStock[WeekIndex],77)&gt;0)&gt;0,SUMIFS(T_SelfStock[Self_Qty],T_SelfStock[RM_Code],$A6,T_SelfStock[WeekIndex],77)+SUMIFS(T_TTAFStock[TTAF_Qty],T_TTAFStock[RM_Code],$A6,T_TTAFStock[WeekIndex],77),BY6+'Grid_Incoming'!BZ6-'Grid_Requirement'!BZ6))</f>
        <v/>
      </c>
      <c r="CA6">
        <f>IF(COUNTIFS(T_StockCount[RM_Code],$A6,T_StockCount[WeekIndex],78)&gt;0,SUMIFS(T_StockCount[CountedQty],T_StockCount[RM_Code],$A6,T_StockCount[WeekIndex],78),IF((COUNTIFS(T_SelfStock[RM_Code],$A6,T_SelfStock[WeekIndex],78)&gt;0)*(COUNTIFS(T_TTAFStock[RM_Code],$A6,T_TTAFStock[WeekIndex],78)&gt;0)&gt;0,SUMIFS(T_SelfStock[Self_Qty],T_SelfStock[RM_Code],$A6,T_SelfStock[WeekIndex],78)+SUMIFS(T_TTAFStock[TTAF_Qty],T_TTAFStock[RM_Code],$A6,T_TTAFStock[WeekIndex],78),BZ6+'Grid_Incoming'!CA6-'Grid_Requirement'!CA6))</f>
        <v/>
      </c>
      <c r="CB6">
        <f>IF(COUNTIFS(T_StockCount[RM_Code],$A6,T_StockCount[WeekIndex],79)&gt;0,SUMIFS(T_StockCount[CountedQty],T_StockCount[RM_Code],$A6,T_StockCount[WeekIndex],79),IF((COUNTIFS(T_SelfStock[RM_Code],$A6,T_SelfStock[WeekIndex],79)&gt;0)*(COUNTIFS(T_TTAFStock[RM_Code],$A6,T_TTAFStock[WeekIndex],79)&gt;0)&gt;0,SUMIFS(T_SelfStock[Self_Qty],T_SelfStock[RM_Code],$A6,T_SelfStock[WeekIndex],79)+SUMIFS(T_TTAFStock[TTAF_Qty],T_TTAFStock[RM_Code],$A6,T_TTAFStock[WeekIndex],79),CA6+'Grid_Incoming'!CB6-'Grid_Requirement'!CB6))</f>
        <v/>
      </c>
      <c r="CC6">
        <f>IF(COUNTIFS(T_StockCount[RM_Code],$A6,T_StockCount[WeekIndex],80)&gt;0,SUMIFS(T_StockCount[CountedQty],T_StockCount[RM_Code],$A6,T_StockCount[WeekIndex],80),IF((COUNTIFS(T_SelfStock[RM_Code],$A6,T_SelfStock[WeekIndex],80)&gt;0)*(COUNTIFS(T_TTAFStock[RM_Code],$A6,T_TTAFStock[WeekIndex],80)&gt;0)&gt;0,SUMIFS(T_SelfStock[Self_Qty],T_SelfStock[RM_Code],$A6,T_SelfStock[WeekIndex],80)+SUMIFS(T_TTAFStock[TTAF_Qty],T_TTAFStock[RM_Code],$A6,T_TTAFStock[WeekIndex],80),CB6+'Grid_Incoming'!CC6-'Grid_Requirement'!CC6))</f>
        <v/>
      </c>
      <c r="CD6">
        <f>IF(COUNTIFS(T_StockCount[RM_Code],$A6,T_StockCount[WeekIndex],81)&gt;0,SUMIFS(T_StockCount[CountedQty],T_StockCount[RM_Code],$A6,T_StockCount[WeekIndex],81),IF((COUNTIFS(T_SelfStock[RM_Code],$A6,T_SelfStock[WeekIndex],81)&gt;0)*(COUNTIFS(T_TTAFStock[RM_Code],$A6,T_TTAFStock[WeekIndex],81)&gt;0)&gt;0,SUMIFS(T_SelfStock[Self_Qty],T_SelfStock[RM_Code],$A6,T_SelfStock[WeekIndex],81)+SUMIFS(T_TTAFStock[TTAF_Qty],T_TTAFStock[RM_Code],$A6,T_TTAFStock[WeekIndex],81),CC6+'Grid_Incoming'!CD6-'Grid_Requirement'!CD6))</f>
        <v/>
      </c>
      <c r="CE6">
        <f>IF(COUNTIFS(T_StockCount[RM_Code],$A6,T_StockCount[WeekIndex],82)&gt;0,SUMIFS(T_StockCount[CountedQty],T_StockCount[RM_Code],$A6,T_StockCount[WeekIndex],82),IF((COUNTIFS(T_SelfStock[RM_Code],$A6,T_SelfStock[WeekIndex],82)&gt;0)*(COUNTIFS(T_TTAFStock[RM_Code],$A6,T_TTAFStock[WeekIndex],82)&gt;0)&gt;0,SUMIFS(T_SelfStock[Self_Qty],T_SelfStock[RM_Code],$A6,T_SelfStock[WeekIndex],82)+SUMIFS(T_TTAFStock[TTAF_Qty],T_TTAFStock[RM_Code],$A6,T_TTAFStock[WeekIndex],82),CD6+'Grid_Incoming'!CE6-'Grid_Requirement'!CE6))</f>
        <v/>
      </c>
      <c r="CF6">
        <f>IF(COUNTIFS(T_StockCount[RM_Code],$A6,T_StockCount[WeekIndex],83)&gt;0,SUMIFS(T_StockCount[CountedQty],T_StockCount[RM_Code],$A6,T_StockCount[WeekIndex],83),IF((COUNTIFS(T_SelfStock[RM_Code],$A6,T_SelfStock[WeekIndex],83)&gt;0)*(COUNTIFS(T_TTAFStock[RM_Code],$A6,T_TTAFStock[WeekIndex],83)&gt;0)&gt;0,SUMIFS(T_SelfStock[Self_Qty],T_SelfStock[RM_Code],$A6,T_SelfStock[WeekIndex],83)+SUMIFS(T_TTAFStock[TTAF_Qty],T_TTAFStock[RM_Code],$A6,T_TTAFStock[WeekIndex],83),CE6+'Grid_Incoming'!CF6-'Grid_Requirement'!CF6))</f>
        <v/>
      </c>
      <c r="CG6">
        <f>IF(COUNTIFS(T_StockCount[RM_Code],$A6,T_StockCount[WeekIndex],84)&gt;0,SUMIFS(T_StockCount[CountedQty],T_StockCount[RM_Code],$A6,T_StockCount[WeekIndex],84),IF((COUNTIFS(T_SelfStock[RM_Code],$A6,T_SelfStock[WeekIndex],84)&gt;0)*(COUNTIFS(T_TTAFStock[RM_Code],$A6,T_TTAFStock[WeekIndex],84)&gt;0)&gt;0,SUMIFS(T_SelfStock[Self_Qty],T_SelfStock[RM_Code],$A6,T_SelfStock[WeekIndex],84)+SUMIFS(T_TTAFStock[TTAF_Qty],T_TTAFStock[RM_Code],$A6,T_TTAFStock[WeekIndex],84),CF6+'Grid_Incoming'!CG6-'Grid_Requirement'!CG6))</f>
        <v/>
      </c>
      <c r="CH6">
        <f>IF(COUNTIFS(T_StockCount[RM_Code],$A6,T_StockCount[WeekIndex],85)&gt;0,SUMIFS(T_StockCount[CountedQty],T_StockCount[RM_Code],$A6,T_StockCount[WeekIndex],85),IF((COUNTIFS(T_SelfStock[RM_Code],$A6,T_SelfStock[WeekIndex],85)&gt;0)*(COUNTIFS(T_TTAFStock[RM_Code],$A6,T_TTAFStock[WeekIndex],85)&gt;0)&gt;0,SUMIFS(T_SelfStock[Self_Qty],T_SelfStock[RM_Code],$A6,T_SelfStock[WeekIndex],85)+SUMIFS(T_TTAFStock[TTAF_Qty],T_TTAFStock[RM_Code],$A6,T_TTAFStock[WeekIndex],85),CG6+'Grid_Incoming'!CH6-'Grid_Requirement'!CH6))</f>
        <v/>
      </c>
      <c r="CI6">
        <f>IF(COUNTIFS(T_StockCount[RM_Code],$A6,T_StockCount[WeekIndex],86)&gt;0,SUMIFS(T_StockCount[CountedQty],T_StockCount[RM_Code],$A6,T_StockCount[WeekIndex],86),IF((COUNTIFS(T_SelfStock[RM_Code],$A6,T_SelfStock[WeekIndex],86)&gt;0)*(COUNTIFS(T_TTAFStock[RM_Code],$A6,T_TTAFStock[WeekIndex],86)&gt;0)&gt;0,SUMIFS(T_SelfStock[Self_Qty],T_SelfStock[RM_Code],$A6,T_SelfStock[WeekIndex],86)+SUMIFS(T_TTAFStock[TTAF_Qty],T_TTAFStock[RM_Code],$A6,T_TTAFStock[WeekIndex],86),CH6+'Grid_Incoming'!CI6-'Grid_Requirement'!CI6))</f>
        <v/>
      </c>
      <c r="CJ6">
        <f>IF(COUNTIFS(T_StockCount[RM_Code],$A6,T_StockCount[WeekIndex],87)&gt;0,SUMIFS(T_StockCount[CountedQty],T_StockCount[RM_Code],$A6,T_StockCount[WeekIndex],87),IF((COUNTIFS(T_SelfStock[RM_Code],$A6,T_SelfStock[WeekIndex],87)&gt;0)*(COUNTIFS(T_TTAFStock[RM_Code],$A6,T_TTAFStock[WeekIndex],87)&gt;0)&gt;0,SUMIFS(T_SelfStock[Self_Qty],T_SelfStock[RM_Code],$A6,T_SelfStock[WeekIndex],87)+SUMIFS(T_TTAFStock[TTAF_Qty],T_TTAFStock[RM_Code],$A6,T_TTAFStock[WeekIndex],87),CI6+'Grid_Incoming'!CJ6-'Grid_Requirement'!CJ6))</f>
        <v/>
      </c>
      <c r="CK6">
        <f>IF(COUNTIFS(T_StockCount[RM_Code],$A6,T_StockCount[WeekIndex],88)&gt;0,SUMIFS(T_StockCount[CountedQty],T_StockCount[RM_Code],$A6,T_StockCount[WeekIndex],88),IF((COUNTIFS(T_SelfStock[RM_Code],$A6,T_SelfStock[WeekIndex],88)&gt;0)*(COUNTIFS(T_TTAFStock[RM_Code],$A6,T_TTAFStock[WeekIndex],88)&gt;0)&gt;0,SUMIFS(T_SelfStock[Self_Qty],T_SelfStock[RM_Code],$A6,T_SelfStock[WeekIndex],88)+SUMIFS(T_TTAFStock[TTAF_Qty],T_TTAFStock[RM_Code],$A6,T_TTAFStock[WeekIndex],88),CJ6+'Grid_Incoming'!CK6-'Grid_Requirement'!CK6))</f>
        <v/>
      </c>
      <c r="CL6">
        <f>IF(COUNTIFS(T_StockCount[RM_Code],$A6,T_StockCount[WeekIndex],89)&gt;0,SUMIFS(T_StockCount[CountedQty],T_StockCount[RM_Code],$A6,T_StockCount[WeekIndex],89),IF((COUNTIFS(T_SelfStock[RM_Code],$A6,T_SelfStock[WeekIndex],89)&gt;0)*(COUNTIFS(T_TTAFStock[RM_Code],$A6,T_TTAFStock[WeekIndex],89)&gt;0)&gt;0,SUMIFS(T_SelfStock[Self_Qty],T_SelfStock[RM_Code],$A6,T_SelfStock[WeekIndex],89)+SUMIFS(T_TTAFStock[TTAF_Qty],T_TTAFStock[RM_Code],$A6,T_TTAFStock[WeekIndex],89),CK6+'Grid_Incoming'!CL6-'Grid_Requirement'!CL6))</f>
        <v/>
      </c>
      <c r="CM6">
        <f>IF(COUNTIFS(T_StockCount[RM_Code],$A6,T_StockCount[WeekIndex],90)&gt;0,SUMIFS(T_StockCount[CountedQty],T_StockCount[RM_Code],$A6,T_StockCount[WeekIndex],90),IF((COUNTIFS(T_SelfStock[RM_Code],$A6,T_SelfStock[WeekIndex],90)&gt;0)*(COUNTIFS(T_TTAFStock[RM_Code],$A6,T_TTAFStock[WeekIndex],90)&gt;0)&gt;0,SUMIFS(T_SelfStock[Self_Qty],T_SelfStock[RM_Code],$A6,T_SelfStock[WeekIndex],90)+SUMIFS(T_TTAFStock[TTAF_Qty],T_TTAFStock[RM_Code],$A6,T_TTAFStock[WeekIndex],90),CL6+'Grid_Incoming'!CM6-'Grid_Requirement'!CM6))</f>
        <v/>
      </c>
      <c r="CN6">
        <f>IF(COUNTIFS(T_StockCount[RM_Code],$A6,T_StockCount[WeekIndex],91)&gt;0,SUMIFS(T_StockCount[CountedQty],T_StockCount[RM_Code],$A6,T_StockCount[WeekIndex],91),IF((COUNTIFS(T_SelfStock[RM_Code],$A6,T_SelfStock[WeekIndex],91)&gt;0)*(COUNTIFS(T_TTAFStock[RM_Code],$A6,T_TTAFStock[WeekIndex],91)&gt;0)&gt;0,SUMIFS(T_SelfStock[Self_Qty],T_SelfStock[RM_Code],$A6,T_SelfStock[WeekIndex],91)+SUMIFS(T_TTAFStock[TTAF_Qty],T_TTAFStock[RM_Code],$A6,T_TTAFStock[WeekIndex],91),CM6+'Grid_Incoming'!CN6-'Grid_Requirement'!CN6))</f>
        <v/>
      </c>
      <c r="CO6">
        <f>IF(COUNTIFS(T_StockCount[RM_Code],$A6,T_StockCount[WeekIndex],92)&gt;0,SUMIFS(T_StockCount[CountedQty],T_StockCount[RM_Code],$A6,T_StockCount[WeekIndex],92),IF((COUNTIFS(T_SelfStock[RM_Code],$A6,T_SelfStock[WeekIndex],92)&gt;0)*(COUNTIFS(T_TTAFStock[RM_Code],$A6,T_TTAFStock[WeekIndex],92)&gt;0)&gt;0,SUMIFS(T_SelfStock[Self_Qty],T_SelfStock[RM_Code],$A6,T_SelfStock[WeekIndex],92)+SUMIFS(T_TTAFStock[TTAF_Qty],T_TTAFStock[RM_Code],$A6,T_TTAFStock[WeekIndex],92),CN6+'Grid_Incoming'!CO6-'Grid_Requirement'!CO6))</f>
        <v/>
      </c>
      <c r="CP6">
        <f>IF(COUNTIFS(T_StockCount[RM_Code],$A6,T_StockCount[WeekIndex],93)&gt;0,SUMIFS(T_StockCount[CountedQty],T_StockCount[RM_Code],$A6,T_StockCount[WeekIndex],93),IF((COUNTIFS(T_SelfStock[RM_Code],$A6,T_SelfStock[WeekIndex],93)&gt;0)*(COUNTIFS(T_TTAFStock[RM_Code],$A6,T_TTAFStock[WeekIndex],93)&gt;0)&gt;0,SUMIFS(T_SelfStock[Self_Qty],T_SelfStock[RM_Code],$A6,T_SelfStock[WeekIndex],93)+SUMIFS(T_TTAFStock[TTAF_Qty],T_TTAFStock[RM_Code],$A6,T_TTAFStock[WeekIndex],93),CO6+'Grid_Incoming'!CP6-'Grid_Requirement'!CP6))</f>
        <v/>
      </c>
      <c r="CQ6">
        <f>IF(COUNTIFS(T_StockCount[RM_Code],$A6,T_StockCount[WeekIndex],94)&gt;0,SUMIFS(T_StockCount[CountedQty],T_StockCount[RM_Code],$A6,T_StockCount[WeekIndex],94),IF((COUNTIFS(T_SelfStock[RM_Code],$A6,T_SelfStock[WeekIndex],94)&gt;0)*(COUNTIFS(T_TTAFStock[RM_Code],$A6,T_TTAFStock[WeekIndex],94)&gt;0)&gt;0,SUMIFS(T_SelfStock[Self_Qty],T_SelfStock[RM_Code],$A6,T_SelfStock[WeekIndex],94)+SUMIFS(T_TTAFStock[TTAF_Qty],T_TTAFStock[RM_Code],$A6,T_TTAFStock[WeekIndex],94),CP6+'Grid_Incoming'!CQ6-'Grid_Requirement'!CQ6))</f>
        <v/>
      </c>
      <c r="CR6">
        <f>IF(COUNTIFS(T_StockCount[RM_Code],$A6,T_StockCount[WeekIndex],95)&gt;0,SUMIFS(T_StockCount[CountedQty],T_StockCount[RM_Code],$A6,T_StockCount[WeekIndex],95),IF((COUNTIFS(T_SelfStock[RM_Code],$A6,T_SelfStock[WeekIndex],95)&gt;0)*(COUNTIFS(T_TTAFStock[RM_Code],$A6,T_TTAFStock[WeekIndex],95)&gt;0)&gt;0,SUMIFS(T_SelfStock[Self_Qty],T_SelfStock[RM_Code],$A6,T_SelfStock[WeekIndex],95)+SUMIFS(T_TTAFStock[TTAF_Qty],T_TTAFStock[RM_Code],$A6,T_TTAFStock[WeekIndex],95),CQ6+'Grid_Incoming'!CR6-'Grid_Requirement'!CR6))</f>
        <v/>
      </c>
      <c r="CS6">
        <f>IF(COUNTIFS(T_StockCount[RM_Code],$A6,T_StockCount[WeekIndex],96)&gt;0,SUMIFS(T_StockCount[CountedQty],T_StockCount[RM_Code],$A6,T_StockCount[WeekIndex],96),IF((COUNTIFS(T_SelfStock[RM_Code],$A6,T_SelfStock[WeekIndex],96)&gt;0)*(COUNTIFS(T_TTAFStock[RM_Code],$A6,T_TTAFStock[WeekIndex],96)&gt;0)&gt;0,SUMIFS(T_SelfStock[Self_Qty],T_SelfStock[RM_Code],$A6,T_SelfStock[WeekIndex],96)+SUMIFS(T_TTAFStock[TTAF_Qty],T_TTAFStock[RM_Code],$A6,T_TTAFStock[WeekIndex],96),CR6+'Grid_Incoming'!CS6-'Grid_Requirement'!CS6))</f>
        <v/>
      </c>
      <c r="CT6">
        <f>IF(COUNTIFS(T_StockCount[RM_Code],$A6,T_StockCount[WeekIndex],97)&gt;0,SUMIFS(T_StockCount[CountedQty],T_StockCount[RM_Code],$A6,T_StockCount[WeekIndex],97),IF((COUNTIFS(T_SelfStock[RM_Code],$A6,T_SelfStock[WeekIndex],97)&gt;0)*(COUNTIFS(T_TTAFStock[RM_Code],$A6,T_TTAFStock[WeekIndex],97)&gt;0)&gt;0,SUMIFS(T_SelfStock[Self_Qty],T_SelfStock[RM_Code],$A6,T_SelfStock[WeekIndex],97)+SUMIFS(T_TTAFStock[TTAF_Qty],T_TTAFStock[RM_Code],$A6,T_TTAFStock[WeekIndex],97),CS6+'Grid_Incoming'!CT6-'Grid_Requirement'!CT6))</f>
        <v/>
      </c>
      <c r="CU6">
        <f>IF(COUNTIFS(T_StockCount[RM_Code],$A6,T_StockCount[WeekIndex],98)&gt;0,SUMIFS(T_StockCount[CountedQty],T_StockCount[RM_Code],$A6,T_StockCount[WeekIndex],98),IF((COUNTIFS(T_SelfStock[RM_Code],$A6,T_SelfStock[WeekIndex],98)&gt;0)*(COUNTIFS(T_TTAFStock[RM_Code],$A6,T_TTAFStock[WeekIndex],98)&gt;0)&gt;0,SUMIFS(T_SelfStock[Self_Qty],T_SelfStock[RM_Code],$A6,T_SelfStock[WeekIndex],98)+SUMIFS(T_TTAFStock[TTAF_Qty],T_TTAFStock[RM_Code],$A6,T_TTAFStock[WeekIndex],98),CT6+'Grid_Incoming'!CU6-'Grid_Requirement'!CU6))</f>
        <v/>
      </c>
      <c r="CV6">
        <f>IF(COUNTIFS(T_StockCount[RM_Code],$A6,T_StockCount[WeekIndex],99)&gt;0,SUMIFS(T_StockCount[CountedQty],T_StockCount[RM_Code],$A6,T_StockCount[WeekIndex],99),IF((COUNTIFS(T_SelfStock[RM_Code],$A6,T_SelfStock[WeekIndex],99)&gt;0)*(COUNTIFS(T_TTAFStock[RM_Code],$A6,T_TTAFStock[WeekIndex],99)&gt;0)&gt;0,SUMIFS(T_SelfStock[Self_Qty],T_SelfStock[RM_Code],$A6,T_SelfStock[WeekIndex],99)+SUMIFS(T_TTAFStock[TTAF_Qty],T_TTAFStock[RM_Code],$A6,T_TTAFStock[WeekIndex],99),CU6+'Grid_Incoming'!CV6-'Grid_Requirement'!CV6))</f>
        <v/>
      </c>
      <c r="CW6">
        <f>IF(COUNTIFS(T_StockCount[RM_Code],$A6,T_StockCount[WeekIndex],100)&gt;0,SUMIFS(T_StockCount[CountedQty],T_StockCount[RM_Code],$A6,T_StockCount[WeekIndex],100),IF((COUNTIFS(T_SelfStock[RM_Code],$A6,T_SelfStock[WeekIndex],100)&gt;0)*(COUNTIFS(T_TTAFStock[RM_Code],$A6,T_TTAFStock[WeekIndex],100)&gt;0)&gt;0,SUMIFS(T_SelfStock[Self_Qty],T_SelfStock[RM_Code],$A6,T_SelfStock[WeekIndex],100)+SUMIFS(T_TTAFStock[TTAF_Qty],T_TTAFStock[RM_Code],$A6,T_TTAFStock[WeekIndex],100),CV6+'Grid_Incoming'!CW6-'Grid_Requirement'!CW6))</f>
        <v/>
      </c>
      <c r="CX6">
        <f>IF(COUNTIFS(T_StockCount[RM_Code],$A6,T_StockCount[WeekIndex],101)&gt;0,SUMIFS(T_StockCount[CountedQty],T_StockCount[RM_Code],$A6,T_StockCount[WeekIndex],101),IF((COUNTIFS(T_SelfStock[RM_Code],$A6,T_SelfStock[WeekIndex],101)&gt;0)*(COUNTIFS(T_TTAFStock[RM_Code],$A6,T_TTAFStock[WeekIndex],101)&gt;0)&gt;0,SUMIFS(T_SelfStock[Self_Qty],T_SelfStock[RM_Code],$A6,T_SelfStock[WeekIndex],101)+SUMIFS(T_TTAFStock[TTAF_Qty],T_TTAFStock[RM_Code],$A6,T_TTAFStock[WeekIndex],101),CW6+'Grid_Incoming'!CX6-'Grid_Requirement'!CX6))</f>
        <v/>
      </c>
      <c r="CY6">
        <f>IF(COUNTIFS(T_StockCount[RM_Code],$A6,T_StockCount[WeekIndex],102)&gt;0,SUMIFS(T_StockCount[CountedQty],T_StockCount[RM_Code],$A6,T_StockCount[WeekIndex],102),IF((COUNTIFS(T_SelfStock[RM_Code],$A6,T_SelfStock[WeekIndex],102)&gt;0)*(COUNTIFS(T_TTAFStock[RM_Code],$A6,T_TTAFStock[WeekIndex],102)&gt;0)&gt;0,SUMIFS(T_SelfStock[Self_Qty],T_SelfStock[RM_Code],$A6,T_SelfStock[WeekIndex],102)+SUMIFS(T_TTAFStock[TTAF_Qty],T_TTAFStock[RM_Code],$A6,T_TTAFStock[WeekIndex],102),CX6+'Grid_Incoming'!CY6-'Grid_Requirement'!CY6))</f>
        <v/>
      </c>
      <c r="CZ6">
        <f>IF(COUNTIFS(T_StockCount[RM_Code],$A6,T_StockCount[WeekIndex],103)&gt;0,SUMIFS(T_StockCount[CountedQty],T_StockCount[RM_Code],$A6,T_StockCount[WeekIndex],103),IF((COUNTIFS(T_SelfStock[RM_Code],$A6,T_SelfStock[WeekIndex],103)&gt;0)*(COUNTIFS(T_TTAFStock[RM_Code],$A6,T_TTAFStock[WeekIndex],103)&gt;0)&gt;0,SUMIFS(T_SelfStock[Self_Qty],T_SelfStock[RM_Code],$A6,T_SelfStock[WeekIndex],103)+SUMIFS(T_TTAFStock[TTAF_Qty],T_TTAFStock[RM_Code],$A6,T_TTAFStock[WeekIndex],103),CY6+'Grid_Incoming'!CZ6-'Grid_Requirement'!CZ6))</f>
        <v/>
      </c>
      <c r="DA6">
        <f>IF(COUNTIFS(T_StockCount[RM_Code],$A6,T_StockCount[WeekIndex],104)&gt;0,SUMIFS(T_StockCount[CountedQty],T_StockCount[RM_Code],$A6,T_StockCount[WeekIndex],104),IF((COUNTIFS(T_SelfStock[RM_Code],$A6,T_SelfStock[WeekIndex],104)&gt;0)*(COUNTIFS(T_TTAFStock[RM_Code],$A6,T_TTAFStock[WeekIndex],104)&gt;0)&gt;0,SUMIFS(T_SelfStock[Self_Qty],T_SelfStock[RM_Code],$A6,T_SelfStock[WeekIndex],104)+SUMIFS(T_TTAFStock[TTAF_Qty],T_TTAFStock[RM_Code],$A6,T_TTAFStock[WeekIndex],104),CZ6+'Grid_Incoming'!DA6-'Grid_Requirement'!DA6))</f>
        <v/>
      </c>
    </row>
    <row r="7">
      <c r="A7" t="inlineStr">
        <is>
          <t>CHEM-1540</t>
        </is>
      </c>
      <c r="B7">
        <f>IF(COUNTIFS(T_StockCount[RM_Code],$A7,T_StockCount[WeekIndex],1)&gt;0,SUMIFS(T_StockCount[CountedQty],T_StockCount[RM_Code],$A7,T_StockCount[WeekIndex],1),IF((COUNTIFS(T_SelfStock[RM_Code],$A7,T_SelfStock[WeekIndex],1)&gt;0)*(COUNTIFS(T_TTAFStock[RM_Code],$A7,T_TTAFStock[WeekIndex],1)&gt;0)&gt;0,SUMIFS(T_SelfStock[Self_Qty],T_SelfStock[RM_Code],$A7,T_SelfStock[WeekIndex],1)+SUMIFS(T_TTAFStock[TTAF_Qty],T_TTAFStock[RM_Code],$A7,T_TTAFStock[WeekIndex],1),IFERROR(INDEX(T_OpeningStock[Opening_Qty],MATCH($A7,T_OpeningStock[RM_Code],0)),0)+'Grid_Incoming'!B7-'Grid_Requirement'!B7))</f>
        <v/>
      </c>
      <c r="C7">
        <f>IF(COUNTIFS(T_StockCount[RM_Code],$A7,T_StockCount[WeekIndex],2)&gt;0,SUMIFS(T_StockCount[CountedQty],T_StockCount[RM_Code],$A7,T_StockCount[WeekIndex],2),IF((COUNTIFS(T_SelfStock[RM_Code],$A7,T_SelfStock[WeekIndex],2)&gt;0)*(COUNTIFS(T_TTAFStock[RM_Code],$A7,T_TTAFStock[WeekIndex],2)&gt;0)&gt;0,SUMIFS(T_SelfStock[Self_Qty],T_SelfStock[RM_Code],$A7,T_SelfStock[WeekIndex],2)+SUMIFS(T_TTAFStock[TTAF_Qty],T_TTAFStock[RM_Code],$A7,T_TTAFStock[WeekIndex],2),B7+'Grid_Incoming'!C7-'Grid_Requirement'!C7))</f>
        <v/>
      </c>
      <c r="D7">
        <f>IF(COUNTIFS(T_StockCount[RM_Code],$A7,T_StockCount[WeekIndex],3)&gt;0,SUMIFS(T_StockCount[CountedQty],T_StockCount[RM_Code],$A7,T_StockCount[WeekIndex],3),IF((COUNTIFS(T_SelfStock[RM_Code],$A7,T_SelfStock[WeekIndex],3)&gt;0)*(COUNTIFS(T_TTAFStock[RM_Code],$A7,T_TTAFStock[WeekIndex],3)&gt;0)&gt;0,SUMIFS(T_SelfStock[Self_Qty],T_SelfStock[RM_Code],$A7,T_SelfStock[WeekIndex],3)+SUMIFS(T_TTAFStock[TTAF_Qty],T_TTAFStock[RM_Code],$A7,T_TTAFStock[WeekIndex],3),C7+'Grid_Incoming'!D7-'Grid_Requirement'!D7))</f>
        <v/>
      </c>
      <c r="E7">
        <f>IF(COUNTIFS(T_StockCount[RM_Code],$A7,T_StockCount[WeekIndex],4)&gt;0,SUMIFS(T_StockCount[CountedQty],T_StockCount[RM_Code],$A7,T_StockCount[WeekIndex],4),IF((COUNTIFS(T_SelfStock[RM_Code],$A7,T_SelfStock[WeekIndex],4)&gt;0)*(COUNTIFS(T_TTAFStock[RM_Code],$A7,T_TTAFStock[WeekIndex],4)&gt;0)&gt;0,SUMIFS(T_SelfStock[Self_Qty],T_SelfStock[RM_Code],$A7,T_SelfStock[WeekIndex],4)+SUMIFS(T_TTAFStock[TTAF_Qty],T_TTAFStock[RM_Code],$A7,T_TTAFStock[WeekIndex],4),D7+'Grid_Incoming'!E7-'Grid_Requirement'!E7))</f>
        <v/>
      </c>
      <c r="F7">
        <f>IF(COUNTIFS(T_StockCount[RM_Code],$A7,T_StockCount[WeekIndex],5)&gt;0,SUMIFS(T_StockCount[CountedQty],T_StockCount[RM_Code],$A7,T_StockCount[WeekIndex],5),IF((COUNTIFS(T_SelfStock[RM_Code],$A7,T_SelfStock[WeekIndex],5)&gt;0)*(COUNTIFS(T_TTAFStock[RM_Code],$A7,T_TTAFStock[WeekIndex],5)&gt;0)&gt;0,SUMIFS(T_SelfStock[Self_Qty],T_SelfStock[RM_Code],$A7,T_SelfStock[WeekIndex],5)+SUMIFS(T_TTAFStock[TTAF_Qty],T_TTAFStock[RM_Code],$A7,T_TTAFStock[WeekIndex],5),E7+'Grid_Incoming'!F7-'Grid_Requirement'!F7))</f>
        <v/>
      </c>
      <c r="G7">
        <f>IF(COUNTIFS(T_StockCount[RM_Code],$A7,T_StockCount[WeekIndex],6)&gt;0,SUMIFS(T_StockCount[CountedQty],T_StockCount[RM_Code],$A7,T_StockCount[WeekIndex],6),IF((COUNTIFS(T_SelfStock[RM_Code],$A7,T_SelfStock[WeekIndex],6)&gt;0)*(COUNTIFS(T_TTAFStock[RM_Code],$A7,T_TTAFStock[WeekIndex],6)&gt;0)&gt;0,SUMIFS(T_SelfStock[Self_Qty],T_SelfStock[RM_Code],$A7,T_SelfStock[WeekIndex],6)+SUMIFS(T_TTAFStock[TTAF_Qty],T_TTAFStock[RM_Code],$A7,T_TTAFStock[WeekIndex],6),F7+'Grid_Incoming'!G7-'Grid_Requirement'!G7))</f>
        <v/>
      </c>
      <c r="H7">
        <f>IF(COUNTIFS(T_StockCount[RM_Code],$A7,T_StockCount[WeekIndex],7)&gt;0,SUMIFS(T_StockCount[CountedQty],T_StockCount[RM_Code],$A7,T_StockCount[WeekIndex],7),IF((COUNTIFS(T_SelfStock[RM_Code],$A7,T_SelfStock[WeekIndex],7)&gt;0)*(COUNTIFS(T_TTAFStock[RM_Code],$A7,T_TTAFStock[WeekIndex],7)&gt;0)&gt;0,SUMIFS(T_SelfStock[Self_Qty],T_SelfStock[RM_Code],$A7,T_SelfStock[WeekIndex],7)+SUMIFS(T_TTAFStock[TTAF_Qty],T_TTAFStock[RM_Code],$A7,T_TTAFStock[WeekIndex],7),G7+'Grid_Incoming'!H7-'Grid_Requirement'!H7))</f>
        <v/>
      </c>
      <c r="I7">
        <f>IF(COUNTIFS(T_StockCount[RM_Code],$A7,T_StockCount[WeekIndex],8)&gt;0,SUMIFS(T_StockCount[CountedQty],T_StockCount[RM_Code],$A7,T_StockCount[WeekIndex],8),IF((COUNTIFS(T_SelfStock[RM_Code],$A7,T_SelfStock[WeekIndex],8)&gt;0)*(COUNTIFS(T_TTAFStock[RM_Code],$A7,T_TTAFStock[WeekIndex],8)&gt;0)&gt;0,SUMIFS(T_SelfStock[Self_Qty],T_SelfStock[RM_Code],$A7,T_SelfStock[WeekIndex],8)+SUMIFS(T_TTAFStock[TTAF_Qty],T_TTAFStock[RM_Code],$A7,T_TTAFStock[WeekIndex],8),H7+'Grid_Incoming'!I7-'Grid_Requirement'!I7))</f>
        <v/>
      </c>
      <c r="J7">
        <f>IF(COUNTIFS(T_StockCount[RM_Code],$A7,T_StockCount[WeekIndex],9)&gt;0,SUMIFS(T_StockCount[CountedQty],T_StockCount[RM_Code],$A7,T_StockCount[WeekIndex],9),IF((COUNTIFS(T_SelfStock[RM_Code],$A7,T_SelfStock[WeekIndex],9)&gt;0)*(COUNTIFS(T_TTAFStock[RM_Code],$A7,T_TTAFStock[WeekIndex],9)&gt;0)&gt;0,SUMIFS(T_SelfStock[Self_Qty],T_SelfStock[RM_Code],$A7,T_SelfStock[WeekIndex],9)+SUMIFS(T_TTAFStock[TTAF_Qty],T_TTAFStock[RM_Code],$A7,T_TTAFStock[WeekIndex],9),I7+'Grid_Incoming'!J7-'Grid_Requirement'!J7))</f>
        <v/>
      </c>
      <c r="K7">
        <f>IF(COUNTIFS(T_StockCount[RM_Code],$A7,T_StockCount[WeekIndex],10)&gt;0,SUMIFS(T_StockCount[CountedQty],T_StockCount[RM_Code],$A7,T_StockCount[WeekIndex],10),IF((COUNTIFS(T_SelfStock[RM_Code],$A7,T_SelfStock[WeekIndex],10)&gt;0)*(COUNTIFS(T_TTAFStock[RM_Code],$A7,T_TTAFStock[WeekIndex],10)&gt;0)&gt;0,SUMIFS(T_SelfStock[Self_Qty],T_SelfStock[RM_Code],$A7,T_SelfStock[WeekIndex],10)+SUMIFS(T_TTAFStock[TTAF_Qty],T_TTAFStock[RM_Code],$A7,T_TTAFStock[WeekIndex],10),J7+'Grid_Incoming'!K7-'Grid_Requirement'!K7))</f>
        <v/>
      </c>
      <c r="L7">
        <f>IF(COUNTIFS(T_StockCount[RM_Code],$A7,T_StockCount[WeekIndex],11)&gt;0,SUMIFS(T_StockCount[CountedQty],T_StockCount[RM_Code],$A7,T_StockCount[WeekIndex],11),IF((COUNTIFS(T_SelfStock[RM_Code],$A7,T_SelfStock[WeekIndex],11)&gt;0)*(COUNTIFS(T_TTAFStock[RM_Code],$A7,T_TTAFStock[WeekIndex],11)&gt;0)&gt;0,SUMIFS(T_SelfStock[Self_Qty],T_SelfStock[RM_Code],$A7,T_SelfStock[WeekIndex],11)+SUMIFS(T_TTAFStock[TTAF_Qty],T_TTAFStock[RM_Code],$A7,T_TTAFStock[WeekIndex],11),K7+'Grid_Incoming'!L7-'Grid_Requirement'!L7))</f>
        <v/>
      </c>
      <c r="M7">
        <f>IF(COUNTIFS(T_StockCount[RM_Code],$A7,T_StockCount[WeekIndex],12)&gt;0,SUMIFS(T_StockCount[CountedQty],T_StockCount[RM_Code],$A7,T_StockCount[WeekIndex],12),IF((COUNTIFS(T_SelfStock[RM_Code],$A7,T_SelfStock[WeekIndex],12)&gt;0)*(COUNTIFS(T_TTAFStock[RM_Code],$A7,T_TTAFStock[WeekIndex],12)&gt;0)&gt;0,SUMIFS(T_SelfStock[Self_Qty],T_SelfStock[RM_Code],$A7,T_SelfStock[WeekIndex],12)+SUMIFS(T_TTAFStock[TTAF_Qty],T_TTAFStock[RM_Code],$A7,T_TTAFStock[WeekIndex],12),L7+'Grid_Incoming'!M7-'Grid_Requirement'!M7))</f>
        <v/>
      </c>
      <c r="N7">
        <f>IF(COUNTIFS(T_StockCount[RM_Code],$A7,T_StockCount[WeekIndex],13)&gt;0,SUMIFS(T_StockCount[CountedQty],T_StockCount[RM_Code],$A7,T_StockCount[WeekIndex],13),IF((COUNTIFS(T_SelfStock[RM_Code],$A7,T_SelfStock[WeekIndex],13)&gt;0)*(COUNTIFS(T_TTAFStock[RM_Code],$A7,T_TTAFStock[WeekIndex],13)&gt;0)&gt;0,SUMIFS(T_SelfStock[Self_Qty],T_SelfStock[RM_Code],$A7,T_SelfStock[WeekIndex],13)+SUMIFS(T_TTAFStock[TTAF_Qty],T_TTAFStock[RM_Code],$A7,T_TTAFStock[WeekIndex],13),M7+'Grid_Incoming'!N7-'Grid_Requirement'!N7))</f>
        <v/>
      </c>
      <c r="O7">
        <f>IF(COUNTIFS(T_StockCount[RM_Code],$A7,T_StockCount[WeekIndex],14)&gt;0,SUMIFS(T_StockCount[CountedQty],T_StockCount[RM_Code],$A7,T_StockCount[WeekIndex],14),IF((COUNTIFS(T_SelfStock[RM_Code],$A7,T_SelfStock[WeekIndex],14)&gt;0)*(COUNTIFS(T_TTAFStock[RM_Code],$A7,T_TTAFStock[WeekIndex],14)&gt;0)&gt;0,SUMIFS(T_SelfStock[Self_Qty],T_SelfStock[RM_Code],$A7,T_SelfStock[WeekIndex],14)+SUMIFS(T_TTAFStock[TTAF_Qty],T_TTAFStock[RM_Code],$A7,T_TTAFStock[WeekIndex],14),N7+'Grid_Incoming'!O7-'Grid_Requirement'!O7))</f>
        <v/>
      </c>
      <c r="P7">
        <f>IF(COUNTIFS(T_StockCount[RM_Code],$A7,T_StockCount[WeekIndex],15)&gt;0,SUMIFS(T_StockCount[CountedQty],T_StockCount[RM_Code],$A7,T_StockCount[WeekIndex],15),IF((COUNTIFS(T_SelfStock[RM_Code],$A7,T_SelfStock[WeekIndex],15)&gt;0)*(COUNTIFS(T_TTAFStock[RM_Code],$A7,T_TTAFStock[WeekIndex],15)&gt;0)&gt;0,SUMIFS(T_SelfStock[Self_Qty],T_SelfStock[RM_Code],$A7,T_SelfStock[WeekIndex],15)+SUMIFS(T_TTAFStock[TTAF_Qty],T_TTAFStock[RM_Code],$A7,T_TTAFStock[WeekIndex],15),O7+'Grid_Incoming'!P7-'Grid_Requirement'!P7))</f>
        <v/>
      </c>
      <c r="Q7">
        <f>IF(COUNTIFS(T_StockCount[RM_Code],$A7,T_StockCount[WeekIndex],16)&gt;0,SUMIFS(T_StockCount[CountedQty],T_StockCount[RM_Code],$A7,T_StockCount[WeekIndex],16),IF((COUNTIFS(T_SelfStock[RM_Code],$A7,T_SelfStock[WeekIndex],16)&gt;0)*(COUNTIFS(T_TTAFStock[RM_Code],$A7,T_TTAFStock[WeekIndex],16)&gt;0)&gt;0,SUMIFS(T_SelfStock[Self_Qty],T_SelfStock[RM_Code],$A7,T_SelfStock[WeekIndex],16)+SUMIFS(T_TTAFStock[TTAF_Qty],T_TTAFStock[RM_Code],$A7,T_TTAFStock[WeekIndex],16),P7+'Grid_Incoming'!Q7-'Grid_Requirement'!Q7))</f>
        <v/>
      </c>
      <c r="R7">
        <f>IF(COUNTIFS(T_StockCount[RM_Code],$A7,T_StockCount[WeekIndex],17)&gt;0,SUMIFS(T_StockCount[CountedQty],T_StockCount[RM_Code],$A7,T_StockCount[WeekIndex],17),IF((COUNTIFS(T_SelfStock[RM_Code],$A7,T_SelfStock[WeekIndex],17)&gt;0)*(COUNTIFS(T_TTAFStock[RM_Code],$A7,T_TTAFStock[WeekIndex],17)&gt;0)&gt;0,SUMIFS(T_SelfStock[Self_Qty],T_SelfStock[RM_Code],$A7,T_SelfStock[WeekIndex],17)+SUMIFS(T_TTAFStock[TTAF_Qty],T_TTAFStock[RM_Code],$A7,T_TTAFStock[WeekIndex],17),Q7+'Grid_Incoming'!R7-'Grid_Requirement'!R7))</f>
        <v/>
      </c>
      <c r="S7">
        <f>IF(COUNTIFS(T_StockCount[RM_Code],$A7,T_StockCount[WeekIndex],18)&gt;0,SUMIFS(T_StockCount[CountedQty],T_StockCount[RM_Code],$A7,T_StockCount[WeekIndex],18),IF((COUNTIFS(T_SelfStock[RM_Code],$A7,T_SelfStock[WeekIndex],18)&gt;0)*(COUNTIFS(T_TTAFStock[RM_Code],$A7,T_TTAFStock[WeekIndex],18)&gt;0)&gt;0,SUMIFS(T_SelfStock[Self_Qty],T_SelfStock[RM_Code],$A7,T_SelfStock[WeekIndex],18)+SUMIFS(T_TTAFStock[TTAF_Qty],T_TTAFStock[RM_Code],$A7,T_TTAFStock[WeekIndex],18),R7+'Grid_Incoming'!S7-'Grid_Requirement'!S7))</f>
        <v/>
      </c>
      <c r="T7">
        <f>IF(COUNTIFS(T_StockCount[RM_Code],$A7,T_StockCount[WeekIndex],19)&gt;0,SUMIFS(T_StockCount[CountedQty],T_StockCount[RM_Code],$A7,T_StockCount[WeekIndex],19),IF((COUNTIFS(T_SelfStock[RM_Code],$A7,T_SelfStock[WeekIndex],19)&gt;0)*(COUNTIFS(T_TTAFStock[RM_Code],$A7,T_TTAFStock[WeekIndex],19)&gt;0)&gt;0,SUMIFS(T_SelfStock[Self_Qty],T_SelfStock[RM_Code],$A7,T_SelfStock[WeekIndex],19)+SUMIFS(T_TTAFStock[TTAF_Qty],T_TTAFStock[RM_Code],$A7,T_TTAFStock[WeekIndex],19),S7+'Grid_Incoming'!T7-'Grid_Requirement'!T7))</f>
        <v/>
      </c>
      <c r="U7">
        <f>IF(COUNTIFS(T_StockCount[RM_Code],$A7,T_StockCount[WeekIndex],20)&gt;0,SUMIFS(T_StockCount[CountedQty],T_StockCount[RM_Code],$A7,T_StockCount[WeekIndex],20),IF((COUNTIFS(T_SelfStock[RM_Code],$A7,T_SelfStock[WeekIndex],20)&gt;0)*(COUNTIFS(T_TTAFStock[RM_Code],$A7,T_TTAFStock[WeekIndex],20)&gt;0)&gt;0,SUMIFS(T_SelfStock[Self_Qty],T_SelfStock[RM_Code],$A7,T_SelfStock[WeekIndex],20)+SUMIFS(T_TTAFStock[TTAF_Qty],T_TTAFStock[RM_Code],$A7,T_TTAFStock[WeekIndex],20),T7+'Grid_Incoming'!U7-'Grid_Requirement'!U7))</f>
        <v/>
      </c>
      <c r="V7">
        <f>IF(COUNTIFS(T_StockCount[RM_Code],$A7,T_StockCount[WeekIndex],21)&gt;0,SUMIFS(T_StockCount[CountedQty],T_StockCount[RM_Code],$A7,T_StockCount[WeekIndex],21),IF((COUNTIFS(T_SelfStock[RM_Code],$A7,T_SelfStock[WeekIndex],21)&gt;0)*(COUNTIFS(T_TTAFStock[RM_Code],$A7,T_TTAFStock[WeekIndex],21)&gt;0)&gt;0,SUMIFS(T_SelfStock[Self_Qty],T_SelfStock[RM_Code],$A7,T_SelfStock[WeekIndex],21)+SUMIFS(T_TTAFStock[TTAF_Qty],T_TTAFStock[RM_Code],$A7,T_TTAFStock[WeekIndex],21),U7+'Grid_Incoming'!V7-'Grid_Requirement'!V7))</f>
        <v/>
      </c>
      <c r="W7">
        <f>IF(COUNTIFS(T_StockCount[RM_Code],$A7,T_StockCount[WeekIndex],22)&gt;0,SUMIFS(T_StockCount[CountedQty],T_StockCount[RM_Code],$A7,T_StockCount[WeekIndex],22),IF((COUNTIFS(T_SelfStock[RM_Code],$A7,T_SelfStock[WeekIndex],22)&gt;0)*(COUNTIFS(T_TTAFStock[RM_Code],$A7,T_TTAFStock[WeekIndex],22)&gt;0)&gt;0,SUMIFS(T_SelfStock[Self_Qty],T_SelfStock[RM_Code],$A7,T_SelfStock[WeekIndex],22)+SUMIFS(T_TTAFStock[TTAF_Qty],T_TTAFStock[RM_Code],$A7,T_TTAFStock[WeekIndex],22),V7+'Grid_Incoming'!W7-'Grid_Requirement'!W7))</f>
        <v/>
      </c>
      <c r="X7">
        <f>IF(COUNTIFS(T_StockCount[RM_Code],$A7,T_StockCount[WeekIndex],23)&gt;0,SUMIFS(T_StockCount[CountedQty],T_StockCount[RM_Code],$A7,T_StockCount[WeekIndex],23),IF((COUNTIFS(T_SelfStock[RM_Code],$A7,T_SelfStock[WeekIndex],23)&gt;0)*(COUNTIFS(T_TTAFStock[RM_Code],$A7,T_TTAFStock[WeekIndex],23)&gt;0)&gt;0,SUMIFS(T_SelfStock[Self_Qty],T_SelfStock[RM_Code],$A7,T_SelfStock[WeekIndex],23)+SUMIFS(T_TTAFStock[TTAF_Qty],T_TTAFStock[RM_Code],$A7,T_TTAFStock[WeekIndex],23),W7+'Grid_Incoming'!X7-'Grid_Requirement'!X7))</f>
        <v/>
      </c>
      <c r="Y7">
        <f>IF(COUNTIFS(T_StockCount[RM_Code],$A7,T_StockCount[WeekIndex],24)&gt;0,SUMIFS(T_StockCount[CountedQty],T_StockCount[RM_Code],$A7,T_StockCount[WeekIndex],24),IF((COUNTIFS(T_SelfStock[RM_Code],$A7,T_SelfStock[WeekIndex],24)&gt;0)*(COUNTIFS(T_TTAFStock[RM_Code],$A7,T_TTAFStock[WeekIndex],24)&gt;0)&gt;0,SUMIFS(T_SelfStock[Self_Qty],T_SelfStock[RM_Code],$A7,T_SelfStock[WeekIndex],24)+SUMIFS(T_TTAFStock[TTAF_Qty],T_TTAFStock[RM_Code],$A7,T_TTAFStock[WeekIndex],24),X7+'Grid_Incoming'!Y7-'Grid_Requirement'!Y7))</f>
        <v/>
      </c>
      <c r="Z7">
        <f>IF(COUNTIFS(T_StockCount[RM_Code],$A7,T_StockCount[WeekIndex],25)&gt;0,SUMIFS(T_StockCount[CountedQty],T_StockCount[RM_Code],$A7,T_StockCount[WeekIndex],25),IF((COUNTIFS(T_SelfStock[RM_Code],$A7,T_SelfStock[WeekIndex],25)&gt;0)*(COUNTIFS(T_TTAFStock[RM_Code],$A7,T_TTAFStock[WeekIndex],25)&gt;0)&gt;0,SUMIFS(T_SelfStock[Self_Qty],T_SelfStock[RM_Code],$A7,T_SelfStock[WeekIndex],25)+SUMIFS(T_TTAFStock[TTAF_Qty],T_TTAFStock[RM_Code],$A7,T_TTAFStock[WeekIndex],25),Y7+'Grid_Incoming'!Z7-'Grid_Requirement'!Z7))</f>
        <v/>
      </c>
      <c r="AA7">
        <f>IF(COUNTIFS(T_StockCount[RM_Code],$A7,T_StockCount[WeekIndex],26)&gt;0,SUMIFS(T_StockCount[CountedQty],T_StockCount[RM_Code],$A7,T_StockCount[WeekIndex],26),IF((COUNTIFS(T_SelfStock[RM_Code],$A7,T_SelfStock[WeekIndex],26)&gt;0)*(COUNTIFS(T_TTAFStock[RM_Code],$A7,T_TTAFStock[WeekIndex],26)&gt;0)&gt;0,SUMIFS(T_SelfStock[Self_Qty],T_SelfStock[RM_Code],$A7,T_SelfStock[WeekIndex],26)+SUMIFS(T_TTAFStock[TTAF_Qty],T_TTAFStock[RM_Code],$A7,T_TTAFStock[WeekIndex],26),Z7+'Grid_Incoming'!AA7-'Grid_Requirement'!AA7))</f>
        <v/>
      </c>
      <c r="AB7">
        <f>IF(COUNTIFS(T_StockCount[RM_Code],$A7,T_StockCount[WeekIndex],27)&gt;0,SUMIFS(T_StockCount[CountedQty],T_StockCount[RM_Code],$A7,T_StockCount[WeekIndex],27),IF((COUNTIFS(T_SelfStock[RM_Code],$A7,T_SelfStock[WeekIndex],27)&gt;0)*(COUNTIFS(T_TTAFStock[RM_Code],$A7,T_TTAFStock[WeekIndex],27)&gt;0)&gt;0,SUMIFS(T_SelfStock[Self_Qty],T_SelfStock[RM_Code],$A7,T_SelfStock[WeekIndex],27)+SUMIFS(T_TTAFStock[TTAF_Qty],T_TTAFStock[RM_Code],$A7,T_TTAFStock[WeekIndex],27),AA7+'Grid_Incoming'!AB7-'Grid_Requirement'!AB7))</f>
        <v/>
      </c>
      <c r="AC7">
        <f>IF(COUNTIFS(T_StockCount[RM_Code],$A7,T_StockCount[WeekIndex],28)&gt;0,SUMIFS(T_StockCount[CountedQty],T_StockCount[RM_Code],$A7,T_StockCount[WeekIndex],28),IF((COUNTIFS(T_SelfStock[RM_Code],$A7,T_SelfStock[WeekIndex],28)&gt;0)*(COUNTIFS(T_TTAFStock[RM_Code],$A7,T_TTAFStock[WeekIndex],28)&gt;0)&gt;0,SUMIFS(T_SelfStock[Self_Qty],T_SelfStock[RM_Code],$A7,T_SelfStock[WeekIndex],28)+SUMIFS(T_TTAFStock[TTAF_Qty],T_TTAFStock[RM_Code],$A7,T_TTAFStock[WeekIndex],28),AB7+'Grid_Incoming'!AC7-'Grid_Requirement'!AC7))</f>
        <v/>
      </c>
      <c r="AD7">
        <f>IF(COUNTIFS(T_StockCount[RM_Code],$A7,T_StockCount[WeekIndex],29)&gt;0,SUMIFS(T_StockCount[CountedQty],T_StockCount[RM_Code],$A7,T_StockCount[WeekIndex],29),IF((COUNTIFS(T_SelfStock[RM_Code],$A7,T_SelfStock[WeekIndex],29)&gt;0)*(COUNTIFS(T_TTAFStock[RM_Code],$A7,T_TTAFStock[WeekIndex],29)&gt;0)&gt;0,SUMIFS(T_SelfStock[Self_Qty],T_SelfStock[RM_Code],$A7,T_SelfStock[WeekIndex],29)+SUMIFS(T_TTAFStock[TTAF_Qty],T_TTAFStock[RM_Code],$A7,T_TTAFStock[WeekIndex],29),AC7+'Grid_Incoming'!AD7-'Grid_Requirement'!AD7))</f>
        <v/>
      </c>
      <c r="AE7">
        <f>IF(COUNTIFS(T_StockCount[RM_Code],$A7,T_StockCount[WeekIndex],30)&gt;0,SUMIFS(T_StockCount[CountedQty],T_StockCount[RM_Code],$A7,T_StockCount[WeekIndex],30),IF((COUNTIFS(T_SelfStock[RM_Code],$A7,T_SelfStock[WeekIndex],30)&gt;0)*(COUNTIFS(T_TTAFStock[RM_Code],$A7,T_TTAFStock[WeekIndex],30)&gt;0)&gt;0,SUMIFS(T_SelfStock[Self_Qty],T_SelfStock[RM_Code],$A7,T_SelfStock[WeekIndex],30)+SUMIFS(T_TTAFStock[TTAF_Qty],T_TTAFStock[RM_Code],$A7,T_TTAFStock[WeekIndex],30),AD7+'Grid_Incoming'!AE7-'Grid_Requirement'!AE7))</f>
        <v/>
      </c>
      <c r="AF7">
        <f>IF(COUNTIFS(T_StockCount[RM_Code],$A7,T_StockCount[WeekIndex],31)&gt;0,SUMIFS(T_StockCount[CountedQty],T_StockCount[RM_Code],$A7,T_StockCount[WeekIndex],31),IF((COUNTIFS(T_SelfStock[RM_Code],$A7,T_SelfStock[WeekIndex],31)&gt;0)*(COUNTIFS(T_TTAFStock[RM_Code],$A7,T_TTAFStock[WeekIndex],31)&gt;0)&gt;0,SUMIFS(T_SelfStock[Self_Qty],T_SelfStock[RM_Code],$A7,T_SelfStock[WeekIndex],31)+SUMIFS(T_TTAFStock[TTAF_Qty],T_TTAFStock[RM_Code],$A7,T_TTAFStock[WeekIndex],31),AE7+'Grid_Incoming'!AF7-'Grid_Requirement'!AF7))</f>
        <v/>
      </c>
      <c r="AG7">
        <f>IF(COUNTIFS(T_StockCount[RM_Code],$A7,T_StockCount[WeekIndex],32)&gt;0,SUMIFS(T_StockCount[CountedQty],T_StockCount[RM_Code],$A7,T_StockCount[WeekIndex],32),IF((COUNTIFS(T_SelfStock[RM_Code],$A7,T_SelfStock[WeekIndex],32)&gt;0)*(COUNTIFS(T_TTAFStock[RM_Code],$A7,T_TTAFStock[WeekIndex],32)&gt;0)&gt;0,SUMIFS(T_SelfStock[Self_Qty],T_SelfStock[RM_Code],$A7,T_SelfStock[WeekIndex],32)+SUMIFS(T_TTAFStock[TTAF_Qty],T_TTAFStock[RM_Code],$A7,T_TTAFStock[WeekIndex],32),AF7+'Grid_Incoming'!AG7-'Grid_Requirement'!AG7))</f>
        <v/>
      </c>
      <c r="AH7">
        <f>IF(COUNTIFS(T_StockCount[RM_Code],$A7,T_StockCount[WeekIndex],33)&gt;0,SUMIFS(T_StockCount[CountedQty],T_StockCount[RM_Code],$A7,T_StockCount[WeekIndex],33),IF((COUNTIFS(T_SelfStock[RM_Code],$A7,T_SelfStock[WeekIndex],33)&gt;0)*(COUNTIFS(T_TTAFStock[RM_Code],$A7,T_TTAFStock[WeekIndex],33)&gt;0)&gt;0,SUMIFS(T_SelfStock[Self_Qty],T_SelfStock[RM_Code],$A7,T_SelfStock[WeekIndex],33)+SUMIFS(T_TTAFStock[TTAF_Qty],T_TTAFStock[RM_Code],$A7,T_TTAFStock[WeekIndex],33),AG7+'Grid_Incoming'!AH7-'Grid_Requirement'!AH7))</f>
        <v/>
      </c>
      <c r="AI7">
        <f>IF(COUNTIFS(T_StockCount[RM_Code],$A7,T_StockCount[WeekIndex],34)&gt;0,SUMIFS(T_StockCount[CountedQty],T_StockCount[RM_Code],$A7,T_StockCount[WeekIndex],34),IF((COUNTIFS(T_SelfStock[RM_Code],$A7,T_SelfStock[WeekIndex],34)&gt;0)*(COUNTIFS(T_TTAFStock[RM_Code],$A7,T_TTAFStock[WeekIndex],34)&gt;0)&gt;0,SUMIFS(T_SelfStock[Self_Qty],T_SelfStock[RM_Code],$A7,T_SelfStock[WeekIndex],34)+SUMIFS(T_TTAFStock[TTAF_Qty],T_TTAFStock[RM_Code],$A7,T_TTAFStock[WeekIndex],34),AH7+'Grid_Incoming'!AI7-'Grid_Requirement'!AI7))</f>
        <v/>
      </c>
      <c r="AJ7">
        <f>IF(COUNTIFS(T_StockCount[RM_Code],$A7,T_StockCount[WeekIndex],35)&gt;0,SUMIFS(T_StockCount[CountedQty],T_StockCount[RM_Code],$A7,T_StockCount[WeekIndex],35),IF((COUNTIFS(T_SelfStock[RM_Code],$A7,T_SelfStock[WeekIndex],35)&gt;0)*(COUNTIFS(T_TTAFStock[RM_Code],$A7,T_TTAFStock[WeekIndex],35)&gt;0)&gt;0,SUMIFS(T_SelfStock[Self_Qty],T_SelfStock[RM_Code],$A7,T_SelfStock[WeekIndex],35)+SUMIFS(T_TTAFStock[TTAF_Qty],T_TTAFStock[RM_Code],$A7,T_TTAFStock[WeekIndex],35),AI7+'Grid_Incoming'!AJ7-'Grid_Requirement'!AJ7))</f>
        <v/>
      </c>
      <c r="AK7">
        <f>IF(COUNTIFS(T_StockCount[RM_Code],$A7,T_StockCount[WeekIndex],36)&gt;0,SUMIFS(T_StockCount[CountedQty],T_StockCount[RM_Code],$A7,T_StockCount[WeekIndex],36),IF((COUNTIFS(T_SelfStock[RM_Code],$A7,T_SelfStock[WeekIndex],36)&gt;0)*(COUNTIFS(T_TTAFStock[RM_Code],$A7,T_TTAFStock[WeekIndex],36)&gt;0)&gt;0,SUMIFS(T_SelfStock[Self_Qty],T_SelfStock[RM_Code],$A7,T_SelfStock[WeekIndex],36)+SUMIFS(T_TTAFStock[TTAF_Qty],T_TTAFStock[RM_Code],$A7,T_TTAFStock[WeekIndex],36),AJ7+'Grid_Incoming'!AK7-'Grid_Requirement'!AK7))</f>
        <v/>
      </c>
      <c r="AL7">
        <f>IF(COUNTIFS(T_StockCount[RM_Code],$A7,T_StockCount[WeekIndex],37)&gt;0,SUMIFS(T_StockCount[CountedQty],T_StockCount[RM_Code],$A7,T_StockCount[WeekIndex],37),IF((COUNTIFS(T_SelfStock[RM_Code],$A7,T_SelfStock[WeekIndex],37)&gt;0)*(COUNTIFS(T_TTAFStock[RM_Code],$A7,T_TTAFStock[WeekIndex],37)&gt;0)&gt;0,SUMIFS(T_SelfStock[Self_Qty],T_SelfStock[RM_Code],$A7,T_SelfStock[WeekIndex],37)+SUMIFS(T_TTAFStock[TTAF_Qty],T_TTAFStock[RM_Code],$A7,T_TTAFStock[WeekIndex],37),AK7+'Grid_Incoming'!AL7-'Grid_Requirement'!AL7))</f>
        <v/>
      </c>
      <c r="AM7">
        <f>IF(COUNTIFS(T_StockCount[RM_Code],$A7,T_StockCount[WeekIndex],38)&gt;0,SUMIFS(T_StockCount[CountedQty],T_StockCount[RM_Code],$A7,T_StockCount[WeekIndex],38),IF((COUNTIFS(T_SelfStock[RM_Code],$A7,T_SelfStock[WeekIndex],38)&gt;0)*(COUNTIFS(T_TTAFStock[RM_Code],$A7,T_TTAFStock[WeekIndex],38)&gt;0)&gt;0,SUMIFS(T_SelfStock[Self_Qty],T_SelfStock[RM_Code],$A7,T_SelfStock[WeekIndex],38)+SUMIFS(T_TTAFStock[TTAF_Qty],T_TTAFStock[RM_Code],$A7,T_TTAFStock[WeekIndex],38),AL7+'Grid_Incoming'!AM7-'Grid_Requirement'!AM7))</f>
        <v/>
      </c>
      <c r="AN7">
        <f>IF(COUNTIFS(T_StockCount[RM_Code],$A7,T_StockCount[WeekIndex],39)&gt;0,SUMIFS(T_StockCount[CountedQty],T_StockCount[RM_Code],$A7,T_StockCount[WeekIndex],39),IF((COUNTIFS(T_SelfStock[RM_Code],$A7,T_SelfStock[WeekIndex],39)&gt;0)*(COUNTIFS(T_TTAFStock[RM_Code],$A7,T_TTAFStock[WeekIndex],39)&gt;0)&gt;0,SUMIFS(T_SelfStock[Self_Qty],T_SelfStock[RM_Code],$A7,T_SelfStock[WeekIndex],39)+SUMIFS(T_TTAFStock[TTAF_Qty],T_TTAFStock[RM_Code],$A7,T_TTAFStock[WeekIndex],39),AM7+'Grid_Incoming'!AN7-'Grid_Requirement'!AN7))</f>
        <v/>
      </c>
      <c r="AO7">
        <f>IF(COUNTIFS(T_StockCount[RM_Code],$A7,T_StockCount[WeekIndex],40)&gt;0,SUMIFS(T_StockCount[CountedQty],T_StockCount[RM_Code],$A7,T_StockCount[WeekIndex],40),IF((COUNTIFS(T_SelfStock[RM_Code],$A7,T_SelfStock[WeekIndex],40)&gt;0)*(COUNTIFS(T_TTAFStock[RM_Code],$A7,T_TTAFStock[WeekIndex],40)&gt;0)&gt;0,SUMIFS(T_SelfStock[Self_Qty],T_SelfStock[RM_Code],$A7,T_SelfStock[WeekIndex],40)+SUMIFS(T_TTAFStock[TTAF_Qty],T_TTAFStock[RM_Code],$A7,T_TTAFStock[WeekIndex],40),AN7+'Grid_Incoming'!AO7-'Grid_Requirement'!AO7))</f>
        <v/>
      </c>
      <c r="AP7">
        <f>IF(COUNTIFS(T_StockCount[RM_Code],$A7,T_StockCount[WeekIndex],41)&gt;0,SUMIFS(T_StockCount[CountedQty],T_StockCount[RM_Code],$A7,T_StockCount[WeekIndex],41),IF((COUNTIFS(T_SelfStock[RM_Code],$A7,T_SelfStock[WeekIndex],41)&gt;0)*(COUNTIFS(T_TTAFStock[RM_Code],$A7,T_TTAFStock[WeekIndex],41)&gt;0)&gt;0,SUMIFS(T_SelfStock[Self_Qty],T_SelfStock[RM_Code],$A7,T_SelfStock[WeekIndex],41)+SUMIFS(T_TTAFStock[TTAF_Qty],T_TTAFStock[RM_Code],$A7,T_TTAFStock[WeekIndex],41),AO7+'Grid_Incoming'!AP7-'Grid_Requirement'!AP7))</f>
        <v/>
      </c>
      <c r="AQ7">
        <f>IF(COUNTIFS(T_StockCount[RM_Code],$A7,T_StockCount[WeekIndex],42)&gt;0,SUMIFS(T_StockCount[CountedQty],T_StockCount[RM_Code],$A7,T_StockCount[WeekIndex],42),IF((COUNTIFS(T_SelfStock[RM_Code],$A7,T_SelfStock[WeekIndex],42)&gt;0)*(COUNTIFS(T_TTAFStock[RM_Code],$A7,T_TTAFStock[WeekIndex],42)&gt;0)&gt;0,SUMIFS(T_SelfStock[Self_Qty],T_SelfStock[RM_Code],$A7,T_SelfStock[WeekIndex],42)+SUMIFS(T_TTAFStock[TTAF_Qty],T_TTAFStock[RM_Code],$A7,T_TTAFStock[WeekIndex],42),AP7+'Grid_Incoming'!AQ7-'Grid_Requirement'!AQ7))</f>
        <v/>
      </c>
      <c r="AR7">
        <f>IF(COUNTIFS(T_StockCount[RM_Code],$A7,T_StockCount[WeekIndex],43)&gt;0,SUMIFS(T_StockCount[CountedQty],T_StockCount[RM_Code],$A7,T_StockCount[WeekIndex],43),IF((COUNTIFS(T_SelfStock[RM_Code],$A7,T_SelfStock[WeekIndex],43)&gt;0)*(COUNTIFS(T_TTAFStock[RM_Code],$A7,T_TTAFStock[WeekIndex],43)&gt;0)&gt;0,SUMIFS(T_SelfStock[Self_Qty],T_SelfStock[RM_Code],$A7,T_SelfStock[WeekIndex],43)+SUMIFS(T_TTAFStock[TTAF_Qty],T_TTAFStock[RM_Code],$A7,T_TTAFStock[WeekIndex],43),AQ7+'Grid_Incoming'!AR7-'Grid_Requirement'!AR7))</f>
        <v/>
      </c>
      <c r="AS7">
        <f>IF(COUNTIFS(T_StockCount[RM_Code],$A7,T_StockCount[WeekIndex],44)&gt;0,SUMIFS(T_StockCount[CountedQty],T_StockCount[RM_Code],$A7,T_StockCount[WeekIndex],44),IF((COUNTIFS(T_SelfStock[RM_Code],$A7,T_SelfStock[WeekIndex],44)&gt;0)*(COUNTIFS(T_TTAFStock[RM_Code],$A7,T_TTAFStock[WeekIndex],44)&gt;0)&gt;0,SUMIFS(T_SelfStock[Self_Qty],T_SelfStock[RM_Code],$A7,T_SelfStock[WeekIndex],44)+SUMIFS(T_TTAFStock[TTAF_Qty],T_TTAFStock[RM_Code],$A7,T_TTAFStock[WeekIndex],44),AR7+'Grid_Incoming'!AS7-'Grid_Requirement'!AS7))</f>
        <v/>
      </c>
      <c r="AT7">
        <f>IF(COUNTIFS(T_StockCount[RM_Code],$A7,T_StockCount[WeekIndex],45)&gt;0,SUMIFS(T_StockCount[CountedQty],T_StockCount[RM_Code],$A7,T_StockCount[WeekIndex],45),IF((COUNTIFS(T_SelfStock[RM_Code],$A7,T_SelfStock[WeekIndex],45)&gt;0)*(COUNTIFS(T_TTAFStock[RM_Code],$A7,T_TTAFStock[WeekIndex],45)&gt;0)&gt;0,SUMIFS(T_SelfStock[Self_Qty],T_SelfStock[RM_Code],$A7,T_SelfStock[WeekIndex],45)+SUMIFS(T_TTAFStock[TTAF_Qty],T_TTAFStock[RM_Code],$A7,T_TTAFStock[WeekIndex],45),AS7+'Grid_Incoming'!AT7-'Grid_Requirement'!AT7))</f>
        <v/>
      </c>
      <c r="AU7">
        <f>IF(COUNTIFS(T_StockCount[RM_Code],$A7,T_StockCount[WeekIndex],46)&gt;0,SUMIFS(T_StockCount[CountedQty],T_StockCount[RM_Code],$A7,T_StockCount[WeekIndex],46),IF((COUNTIFS(T_SelfStock[RM_Code],$A7,T_SelfStock[WeekIndex],46)&gt;0)*(COUNTIFS(T_TTAFStock[RM_Code],$A7,T_TTAFStock[WeekIndex],46)&gt;0)&gt;0,SUMIFS(T_SelfStock[Self_Qty],T_SelfStock[RM_Code],$A7,T_SelfStock[WeekIndex],46)+SUMIFS(T_TTAFStock[TTAF_Qty],T_TTAFStock[RM_Code],$A7,T_TTAFStock[WeekIndex],46),AT7+'Grid_Incoming'!AU7-'Grid_Requirement'!AU7))</f>
        <v/>
      </c>
      <c r="AV7">
        <f>IF(COUNTIFS(T_StockCount[RM_Code],$A7,T_StockCount[WeekIndex],47)&gt;0,SUMIFS(T_StockCount[CountedQty],T_StockCount[RM_Code],$A7,T_StockCount[WeekIndex],47),IF((COUNTIFS(T_SelfStock[RM_Code],$A7,T_SelfStock[WeekIndex],47)&gt;0)*(COUNTIFS(T_TTAFStock[RM_Code],$A7,T_TTAFStock[WeekIndex],47)&gt;0)&gt;0,SUMIFS(T_SelfStock[Self_Qty],T_SelfStock[RM_Code],$A7,T_SelfStock[WeekIndex],47)+SUMIFS(T_TTAFStock[TTAF_Qty],T_TTAFStock[RM_Code],$A7,T_TTAFStock[WeekIndex],47),AU7+'Grid_Incoming'!AV7-'Grid_Requirement'!AV7))</f>
        <v/>
      </c>
      <c r="AW7">
        <f>IF(COUNTIFS(T_StockCount[RM_Code],$A7,T_StockCount[WeekIndex],48)&gt;0,SUMIFS(T_StockCount[CountedQty],T_StockCount[RM_Code],$A7,T_StockCount[WeekIndex],48),IF((COUNTIFS(T_SelfStock[RM_Code],$A7,T_SelfStock[WeekIndex],48)&gt;0)*(COUNTIFS(T_TTAFStock[RM_Code],$A7,T_TTAFStock[WeekIndex],48)&gt;0)&gt;0,SUMIFS(T_SelfStock[Self_Qty],T_SelfStock[RM_Code],$A7,T_SelfStock[WeekIndex],48)+SUMIFS(T_TTAFStock[TTAF_Qty],T_TTAFStock[RM_Code],$A7,T_TTAFStock[WeekIndex],48),AV7+'Grid_Incoming'!AW7-'Grid_Requirement'!AW7))</f>
        <v/>
      </c>
      <c r="AX7">
        <f>IF(COUNTIFS(T_StockCount[RM_Code],$A7,T_StockCount[WeekIndex],49)&gt;0,SUMIFS(T_StockCount[CountedQty],T_StockCount[RM_Code],$A7,T_StockCount[WeekIndex],49),IF((COUNTIFS(T_SelfStock[RM_Code],$A7,T_SelfStock[WeekIndex],49)&gt;0)*(COUNTIFS(T_TTAFStock[RM_Code],$A7,T_TTAFStock[WeekIndex],49)&gt;0)&gt;0,SUMIFS(T_SelfStock[Self_Qty],T_SelfStock[RM_Code],$A7,T_SelfStock[WeekIndex],49)+SUMIFS(T_TTAFStock[TTAF_Qty],T_TTAFStock[RM_Code],$A7,T_TTAFStock[WeekIndex],49),AW7+'Grid_Incoming'!AX7-'Grid_Requirement'!AX7))</f>
        <v/>
      </c>
      <c r="AY7">
        <f>IF(COUNTIFS(T_StockCount[RM_Code],$A7,T_StockCount[WeekIndex],50)&gt;0,SUMIFS(T_StockCount[CountedQty],T_StockCount[RM_Code],$A7,T_StockCount[WeekIndex],50),IF((COUNTIFS(T_SelfStock[RM_Code],$A7,T_SelfStock[WeekIndex],50)&gt;0)*(COUNTIFS(T_TTAFStock[RM_Code],$A7,T_TTAFStock[WeekIndex],50)&gt;0)&gt;0,SUMIFS(T_SelfStock[Self_Qty],T_SelfStock[RM_Code],$A7,T_SelfStock[WeekIndex],50)+SUMIFS(T_TTAFStock[TTAF_Qty],T_TTAFStock[RM_Code],$A7,T_TTAFStock[WeekIndex],50),AX7+'Grid_Incoming'!AY7-'Grid_Requirement'!AY7))</f>
        <v/>
      </c>
      <c r="AZ7">
        <f>IF(COUNTIFS(T_StockCount[RM_Code],$A7,T_StockCount[WeekIndex],51)&gt;0,SUMIFS(T_StockCount[CountedQty],T_StockCount[RM_Code],$A7,T_StockCount[WeekIndex],51),IF((COUNTIFS(T_SelfStock[RM_Code],$A7,T_SelfStock[WeekIndex],51)&gt;0)*(COUNTIFS(T_TTAFStock[RM_Code],$A7,T_TTAFStock[WeekIndex],51)&gt;0)&gt;0,SUMIFS(T_SelfStock[Self_Qty],T_SelfStock[RM_Code],$A7,T_SelfStock[WeekIndex],51)+SUMIFS(T_TTAFStock[TTAF_Qty],T_TTAFStock[RM_Code],$A7,T_TTAFStock[WeekIndex],51),AY7+'Grid_Incoming'!AZ7-'Grid_Requirement'!AZ7))</f>
        <v/>
      </c>
      <c r="BA7">
        <f>IF(COUNTIFS(T_StockCount[RM_Code],$A7,T_StockCount[WeekIndex],52)&gt;0,SUMIFS(T_StockCount[CountedQty],T_StockCount[RM_Code],$A7,T_StockCount[WeekIndex],52),IF((COUNTIFS(T_SelfStock[RM_Code],$A7,T_SelfStock[WeekIndex],52)&gt;0)*(COUNTIFS(T_TTAFStock[RM_Code],$A7,T_TTAFStock[WeekIndex],52)&gt;0)&gt;0,SUMIFS(T_SelfStock[Self_Qty],T_SelfStock[RM_Code],$A7,T_SelfStock[WeekIndex],52)+SUMIFS(T_TTAFStock[TTAF_Qty],T_TTAFStock[RM_Code],$A7,T_TTAFStock[WeekIndex],52),AZ7+'Grid_Incoming'!BA7-'Grid_Requirement'!BA7))</f>
        <v/>
      </c>
      <c r="BB7">
        <f>IF(COUNTIFS(T_StockCount[RM_Code],$A7,T_StockCount[WeekIndex],53)&gt;0,SUMIFS(T_StockCount[CountedQty],T_StockCount[RM_Code],$A7,T_StockCount[WeekIndex],53),IF((COUNTIFS(T_SelfStock[RM_Code],$A7,T_SelfStock[WeekIndex],53)&gt;0)*(COUNTIFS(T_TTAFStock[RM_Code],$A7,T_TTAFStock[WeekIndex],53)&gt;0)&gt;0,SUMIFS(T_SelfStock[Self_Qty],T_SelfStock[RM_Code],$A7,T_SelfStock[WeekIndex],53)+SUMIFS(T_TTAFStock[TTAF_Qty],T_TTAFStock[RM_Code],$A7,T_TTAFStock[WeekIndex],53),BA7+'Grid_Incoming'!BB7-'Grid_Requirement'!BB7))</f>
        <v/>
      </c>
      <c r="BC7">
        <f>IF(COUNTIFS(T_StockCount[RM_Code],$A7,T_StockCount[WeekIndex],54)&gt;0,SUMIFS(T_StockCount[CountedQty],T_StockCount[RM_Code],$A7,T_StockCount[WeekIndex],54),IF((COUNTIFS(T_SelfStock[RM_Code],$A7,T_SelfStock[WeekIndex],54)&gt;0)*(COUNTIFS(T_TTAFStock[RM_Code],$A7,T_TTAFStock[WeekIndex],54)&gt;0)&gt;0,SUMIFS(T_SelfStock[Self_Qty],T_SelfStock[RM_Code],$A7,T_SelfStock[WeekIndex],54)+SUMIFS(T_TTAFStock[TTAF_Qty],T_TTAFStock[RM_Code],$A7,T_TTAFStock[WeekIndex],54),BB7+'Grid_Incoming'!BC7-'Grid_Requirement'!BC7))</f>
        <v/>
      </c>
      <c r="BD7">
        <f>IF(COUNTIFS(T_StockCount[RM_Code],$A7,T_StockCount[WeekIndex],55)&gt;0,SUMIFS(T_StockCount[CountedQty],T_StockCount[RM_Code],$A7,T_StockCount[WeekIndex],55),IF((COUNTIFS(T_SelfStock[RM_Code],$A7,T_SelfStock[WeekIndex],55)&gt;0)*(COUNTIFS(T_TTAFStock[RM_Code],$A7,T_TTAFStock[WeekIndex],55)&gt;0)&gt;0,SUMIFS(T_SelfStock[Self_Qty],T_SelfStock[RM_Code],$A7,T_SelfStock[WeekIndex],55)+SUMIFS(T_TTAFStock[TTAF_Qty],T_TTAFStock[RM_Code],$A7,T_TTAFStock[WeekIndex],55),BC7+'Grid_Incoming'!BD7-'Grid_Requirement'!BD7))</f>
        <v/>
      </c>
      <c r="BE7">
        <f>IF(COUNTIFS(T_StockCount[RM_Code],$A7,T_StockCount[WeekIndex],56)&gt;0,SUMIFS(T_StockCount[CountedQty],T_StockCount[RM_Code],$A7,T_StockCount[WeekIndex],56),IF((COUNTIFS(T_SelfStock[RM_Code],$A7,T_SelfStock[WeekIndex],56)&gt;0)*(COUNTIFS(T_TTAFStock[RM_Code],$A7,T_TTAFStock[WeekIndex],56)&gt;0)&gt;0,SUMIFS(T_SelfStock[Self_Qty],T_SelfStock[RM_Code],$A7,T_SelfStock[WeekIndex],56)+SUMIFS(T_TTAFStock[TTAF_Qty],T_TTAFStock[RM_Code],$A7,T_TTAFStock[WeekIndex],56),BD7+'Grid_Incoming'!BE7-'Grid_Requirement'!BE7))</f>
        <v/>
      </c>
      <c r="BF7">
        <f>IF(COUNTIFS(T_StockCount[RM_Code],$A7,T_StockCount[WeekIndex],57)&gt;0,SUMIFS(T_StockCount[CountedQty],T_StockCount[RM_Code],$A7,T_StockCount[WeekIndex],57),IF((COUNTIFS(T_SelfStock[RM_Code],$A7,T_SelfStock[WeekIndex],57)&gt;0)*(COUNTIFS(T_TTAFStock[RM_Code],$A7,T_TTAFStock[WeekIndex],57)&gt;0)&gt;0,SUMIFS(T_SelfStock[Self_Qty],T_SelfStock[RM_Code],$A7,T_SelfStock[WeekIndex],57)+SUMIFS(T_TTAFStock[TTAF_Qty],T_TTAFStock[RM_Code],$A7,T_TTAFStock[WeekIndex],57),BE7+'Grid_Incoming'!BF7-'Grid_Requirement'!BF7))</f>
        <v/>
      </c>
      <c r="BG7">
        <f>IF(COUNTIFS(T_StockCount[RM_Code],$A7,T_StockCount[WeekIndex],58)&gt;0,SUMIFS(T_StockCount[CountedQty],T_StockCount[RM_Code],$A7,T_StockCount[WeekIndex],58),IF((COUNTIFS(T_SelfStock[RM_Code],$A7,T_SelfStock[WeekIndex],58)&gt;0)*(COUNTIFS(T_TTAFStock[RM_Code],$A7,T_TTAFStock[WeekIndex],58)&gt;0)&gt;0,SUMIFS(T_SelfStock[Self_Qty],T_SelfStock[RM_Code],$A7,T_SelfStock[WeekIndex],58)+SUMIFS(T_TTAFStock[TTAF_Qty],T_TTAFStock[RM_Code],$A7,T_TTAFStock[WeekIndex],58),BF7+'Grid_Incoming'!BG7-'Grid_Requirement'!BG7))</f>
        <v/>
      </c>
      <c r="BH7">
        <f>IF(COUNTIFS(T_StockCount[RM_Code],$A7,T_StockCount[WeekIndex],59)&gt;0,SUMIFS(T_StockCount[CountedQty],T_StockCount[RM_Code],$A7,T_StockCount[WeekIndex],59),IF((COUNTIFS(T_SelfStock[RM_Code],$A7,T_SelfStock[WeekIndex],59)&gt;0)*(COUNTIFS(T_TTAFStock[RM_Code],$A7,T_TTAFStock[WeekIndex],59)&gt;0)&gt;0,SUMIFS(T_SelfStock[Self_Qty],T_SelfStock[RM_Code],$A7,T_SelfStock[WeekIndex],59)+SUMIFS(T_TTAFStock[TTAF_Qty],T_TTAFStock[RM_Code],$A7,T_TTAFStock[WeekIndex],59),BG7+'Grid_Incoming'!BH7-'Grid_Requirement'!BH7))</f>
        <v/>
      </c>
      <c r="BI7">
        <f>IF(COUNTIFS(T_StockCount[RM_Code],$A7,T_StockCount[WeekIndex],60)&gt;0,SUMIFS(T_StockCount[CountedQty],T_StockCount[RM_Code],$A7,T_StockCount[WeekIndex],60),IF((COUNTIFS(T_SelfStock[RM_Code],$A7,T_SelfStock[WeekIndex],60)&gt;0)*(COUNTIFS(T_TTAFStock[RM_Code],$A7,T_TTAFStock[WeekIndex],60)&gt;0)&gt;0,SUMIFS(T_SelfStock[Self_Qty],T_SelfStock[RM_Code],$A7,T_SelfStock[WeekIndex],60)+SUMIFS(T_TTAFStock[TTAF_Qty],T_TTAFStock[RM_Code],$A7,T_TTAFStock[WeekIndex],60),BH7+'Grid_Incoming'!BI7-'Grid_Requirement'!BI7))</f>
        <v/>
      </c>
      <c r="BJ7">
        <f>IF(COUNTIFS(T_StockCount[RM_Code],$A7,T_StockCount[WeekIndex],61)&gt;0,SUMIFS(T_StockCount[CountedQty],T_StockCount[RM_Code],$A7,T_StockCount[WeekIndex],61),IF((COUNTIFS(T_SelfStock[RM_Code],$A7,T_SelfStock[WeekIndex],61)&gt;0)*(COUNTIFS(T_TTAFStock[RM_Code],$A7,T_TTAFStock[WeekIndex],61)&gt;0)&gt;0,SUMIFS(T_SelfStock[Self_Qty],T_SelfStock[RM_Code],$A7,T_SelfStock[WeekIndex],61)+SUMIFS(T_TTAFStock[TTAF_Qty],T_TTAFStock[RM_Code],$A7,T_TTAFStock[WeekIndex],61),BI7+'Grid_Incoming'!BJ7-'Grid_Requirement'!BJ7))</f>
        <v/>
      </c>
      <c r="BK7">
        <f>IF(COUNTIFS(T_StockCount[RM_Code],$A7,T_StockCount[WeekIndex],62)&gt;0,SUMIFS(T_StockCount[CountedQty],T_StockCount[RM_Code],$A7,T_StockCount[WeekIndex],62),IF((COUNTIFS(T_SelfStock[RM_Code],$A7,T_SelfStock[WeekIndex],62)&gt;0)*(COUNTIFS(T_TTAFStock[RM_Code],$A7,T_TTAFStock[WeekIndex],62)&gt;0)&gt;0,SUMIFS(T_SelfStock[Self_Qty],T_SelfStock[RM_Code],$A7,T_SelfStock[WeekIndex],62)+SUMIFS(T_TTAFStock[TTAF_Qty],T_TTAFStock[RM_Code],$A7,T_TTAFStock[WeekIndex],62),BJ7+'Grid_Incoming'!BK7-'Grid_Requirement'!BK7))</f>
        <v/>
      </c>
      <c r="BL7">
        <f>IF(COUNTIFS(T_StockCount[RM_Code],$A7,T_StockCount[WeekIndex],63)&gt;0,SUMIFS(T_StockCount[CountedQty],T_StockCount[RM_Code],$A7,T_StockCount[WeekIndex],63),IF((COUNTIFS(T_SelfStock[RM_Code],$A7,T_SelfStock[WeekIndex],63)&gt;0)*(COUNTIFS(T_TTAFStock[RM_Code],$A7,T_TTAFStock[WeekIndex],63)&gt;0)&gt;0,SUMIFS(T_SelfStock[Self_Qty],T_SelfStock[RM_Code],$A7,T_SelfStock[WeekIndex],63)+SUMIFS(T_TTAFStock[TTAF_Qty],T_TTAFStock[RM_Code],$A7,T_TTAFStock[WeekIndex],63),BK7+'Grid_Incoming'!BL7-'Grid_Requirement'!BL7))</f>
        <v/>
      </c>
      <c r="BM7">
        <f>IF(COUNTIFS(T_StockCount[RM_Code],$A7,T_StockCount[WeekIndex],64)&gt;0,SUMIFS(T_StockCount[CountedQty],T_StockCount[RM_Code],$A7,T_StockCount[WeekIndex],64),IF((COUNTIFS(T_SelfStock[RM_Code],$A7,T_SelfStock[WeekIndex],64)&gt;0)*(COUNTIFS(T_TTAFStock[RM_Code],$A7,T_TTAFStock[WeekIndex],64)&gt;0)&gt;0,SUMIFS(T_SelfStock[Self_Qty],T_SelfStock[RM_Code],$A7,T_SelfStock[WeekIndex],64)+SUMIFS(T_TTAFStock[TTAF_Qty],T_TTAFStock[RM_Code],$A7,T_TTAFStock[WeekIndex],64),BL7+'Grid_Incoming'!BM7-'Grid_Requirement'!BM7))</f>
        <v/>
      </c>
      <c r="BN7">
        <f>IF(COUNTIFS(T_StockCount[RM_Code],$A7,T_StockCount[WeekIndex],65)&gt;0,SUMIFS(T_StockCount[CountedQty],T_StockCount[RM_Code],$A7,T_StockCount[WeekIndex],65),IF((COUNTIFS(T_SelfStock[RM_Code],$A7,T_SelfStock[WeekIndex],65)&gt;0)*(COUNTIFS(T_TTAFStock[RM_Code],$A7,T_TTAFStock[WeekIndex],65)&gt;0)&gt;0,SUMIFS(T_SelfStock[Self_Qty],T_SelfStock[RM_Code],$A7,T_SelfStock[WeekIndex],65)+SUMIFS(T_TTAFStock[TTAF_Qty],T_TTAFStock[RM_Code],$A7,T_TTAFStock[WeekIndex],65),BM7+'Grid_Incoming'!BN7-'Grid_Requirement'!BN7))</f>
        <v/>
      </c>
      <c r="BO7">
        <f>IF(COUNTIFS(T_StockCount[RM_Code],$A7,T_StockCount[WeekIndex],66)&gt;0,SUMIFS(T_StockCount[CountedQty],T_StockCount[RM_Code],$A7,T_StockCount[WeekIndex],66),IF((COUNTIFS(T_SelfStock[RM_Code],$A7,T_SelfStock[WeekIndex],66)&gt;0)*(COUNTIFS(T_TTAFStock[RM_Code],$A7,T_TTAFStock[WeekIndex],66)&gt;0)&gt;0,SUMIFS(T_SelfStock[Self_Qty],T_SelfStock[RM_Code],$A7,T_SelfStock[WeekIndex],66)+SUMIFS(T_TTAFStock[TTAF_Qty],T_TTAFStock[RM_Code],$A7,T_TTAFStock[WeekIndex],66),BN7+'Grid_Incoming'!BO7-'Grid_Requirement'!BO7))</f>
        <v/>
      </c>
      <c r="BP7">
        <f>IF(COUNTIFS(T_StockCount[RM_Code],$A7,T_StockCount[WeekIndex],67)&gt;0,SUMIFS(T_StockCount[CountedQty],T_StockCount[RM_Code],$A7,T_StockCount[WeekIndex],67),IF((COUNTIFS(T_SelfStock[RM_Code],$A7,T_SelfStock[WeekIndex],67)&gt;0)*(COUNTIFS(T_TTAFStock[RM_Code],$A7,T_TTAFStock[WeekIndex],67)&gt;0)&gt;0,SUMIFS(T_SelfStock[Self_Qty],T_SelfStock[RM_Code],$A7,T_SelfStock[WeekIndex],67)+SUMIFS(T_TTAFStock[TTAF_Qty],T_TTAFStock[RM_Code],$A7,T_TTAFStock[WeekIndex],67),BO7+'Grid_Incoming'!BP7-'Grid_Requirement'!BP7))</f>
        <v/>
      </c>
      <c r="BQ7">
        <f>IF(COUNTIFS(T_StockCount[RM_Code],$A7,T_StockCount[WeekIndex],68)&gt;0,SUMIFS(T_StockCount[CountedQty],T_StockCount[RM_Code],$A7,T_StockCount[WeekIndex],68),IF((COUNTIFS(T_SelfStock[RM_Code],$A7,T_SelfStock[WeekIndex],68)&gt;0)*(COUNTIFS(T_TTAFStock[RM_Code],$A7,T_TTAFStock[WeekIndex],68)&gt;0)&gt;0,SUMIFS(T_SelfStock[Self_Qty],T_SelfStock[RM_Code],$A7,T_SelfStock[WeekIndex],68)+SUMIFS(T_TTAFStock[TTAF_Qty],T_TTAFStock[RM_Code],$A7,T_TTAFStock[WeekIndex],68),BP7+'Grid_Incoming'!BQ7-'Grid_Requirement'!BQ7))</f>
        <v/>
      </c>
      <c r="BR7">
        <f>IF(COUNTIFS(T_StockCount[RM_Code],$A7,T_StockCount[WeekIndex],69)&gt;0,SUMIFS(T_StockCount[CountedQty],T_StockCount[RM_Code],$A7,T_StockCount[WeekIndex],69),IF((COUNTIFS(T_SelfStock[RM_Code],$A7,T_SelfStock[WeekIndex],69)&gt;0)*(COUNTIFS(T_TTAFStock[RM_Code],$A7,T_TTAFStock[WeekIndex],69)&gt;0)&gt;0,SUMIFS(T_SelfStock[Self_Qty],T_SelfStock[RM_Code],$A7,T_SelfStock[WeekIndex],69)+SUMIFS(T_TTAFStock[TTAF_Qty],T_TTAFStock[RM_Code],$A7,T_TTAFStock[WeekIndex],69),BQ7+'Grid_Incoming'!BR7-'Grid_Requirement'!BR7))</f>
        <v/>
      </c>
      <c r="BS7">
        <f>IF(COUNTIFS(T_StockCount[RM_Code],$A7,T_StockCount[WeekIndex],70)&gt;0,SUMIFS(T_StockCount[CountedQty],T_StockCount[RM_Code],$A7,T_StockCount[WeekIndex],70),IF((COUNTIFS(T_SelfStock[RM_Code],$A7,T_SelfStock[WeekIndex],70)&gt;0)*(COUNTIFS(T_TTAFStock[RM_Code],$A7,T_TTAFStock[WeekIndex],70)&gt;0)&gt;0,SUMIFS(T_SelfStock[Self_Qty],T_SelfStock[RM_Code],$A7,T_SelfStock[WeekIndex],70)+SUMIFS(T_TTAFStock[TTAF_Qty],T_TTAFStock[RM_Code],$A7,T_TTAFStock[WeekIndex],70),BR7+'Grid_Incoming'!BS7-'Grid_Requirement'!BS7))</f>
        <v/>
      </c>
      <c r="BT7">
        <f>IF(COUNTIFS(T_StockCount[RM_Code],$A7,T_StockCount[WeekIndex],71)&gt;0,SUMIFS(T_StockCount[CountedQty],T_StockCount[RM_Code],$A7,T_StockCount[WeekIndex],71),IF((COUNTIFS(T_SelfStock[RM_Code],$A7,T_SelfStock[WeekIndex],71)&gt;0)*(COUNTIFS(T_TTAFStock[RM_Code],$A7,T_TTAFStock[WeekIndex],71)&gt;0)&gt;0,SUMIFS(T_SelfStock[Self_Qty],T_SelfStock[RM_Code],$A7,T_SelfStock[WeekIndex],71)+SUMIFS(T_TTAFStock[TTAF_Qty],T_TTAFStock[RM_Code],$A7,T_TTAFStock[WeekIndex],71),BS7+'Grid_Incoming'!BT7-'Grid_Requirement'!BT7))</f>
        <v/>
      </c>
      <c r="BU7">
        <f>IF(COUNTIFS(T_StockCount[RM_Code],$A7,T_StockCount[WeekIndex],72)&gt;0,SUMIFS(T_StockCount[CountedQty],T_StockCount[RM_Code],$A7,T_StockCount[WeekIndex],72),IF((COUNTIFS(T_SelfStock[RM_Code],$A7,T_SelfStock[WeekIndex],72)&gt;0)*(COUNTIFS(T_TTAFStock[RM_Code],$A7,T_TTAFStock[WeekIndex],72)&gt;0)&gt;0,SUMIFS(T_SelfStock[Self_Qty],T_SelfStock[RM_Code],$A7,T_SelfStock[WeekIndex],72)+SUMIFS(T_TTAFStock[TTAF_Qty],T_TTAFStock[RM_Code],$A7,T_TTAFStock[WeekIndex],72),BT7+'Grid_Incoming'!BU7-'Grid_Requirement'!BU7))</f>
        <v/>
      </c>
      <c r="BV7">
        <f>IF(COUNTIFS(T_StockCount[RM_Code],$A7,T_StockCount[WeekIndex],73)&gt;0,SUMIFS(T_StockCount[CountedQty],T_StockCount[RM_Code],$A7,T_StockCount[WeekIndex],73),IF((COUNTIFS(T_SelfStock[RM_Code],$A7,T_SelfStock[WeekIndex],73)&gt;0)*(COUNTIFS(T_TTAFStock[RM_Code],$A7,T_TTAFStock[WeekIndex],73)&gt;0)&gt;0,SUMIFS(T_SelfStock[Self_Qty],T_SelfStock[RM_Code],$A7,T_SelfStock[WeekIndex],73)+SUMIFS(T_TTAFStock[TTAF_Qty],T_TTAFStock[RM_Code],$A7,T_TTAFStock[WeekIndex],73),BU7+'Grid_Incoming'!BV7-'Grid_Requirement'!BV7))</f>
        <v/>
      </c>
      <c r="BW7">
        <f>IF(COUNTIFS(T_StockCount[RM_Code],$A7,T_StockCount[WeekIndex],74)&gt;0,SUMIFS(T_StockCount[CountedQty],T_StockCount[RM_Code],$A7,T_StockCount[WeekIndex],74),IF((COUNTIFS(T_SelfStock[RM_Code],$A7,T_SelfStock[WeekIndex],74)&gt;0)*(COUNTIFS(T_TTAFStock[RM_Code],$A7,T_TTAFStock[WeekIndex],74)&gt;0)&gt;0,SUMIFS(T_SelfStock[Self_Qty],T_SelfStock[RM_Code],$A7,T_SelfStock[WeekIndex],74)+SUMIFS(T_TTAFStock[TTAF_Qty],T_TTAFStock[RM_Code],$A7,T_TTAFStock[WeekIndex],74),BV7+'Grid_Incoming'!BW7-'Grid_Requirement'!BW7))</f>
        <v/>
      </c>
      <c r="BX7">
        <f>IF(COUNTIFS(T_StockCount[RM_Code],$A7,T_StockCount[WeekIndex],75)&gt;0,SUMIFS(T_StockCount[CountedQty],T_StockCount[RM_Code],$A7,T_StockCount[WeekIndex],75),IF((COUNTIFS(T_SelfStock[RM_Code],$A7,T_SelfStock[WeekIndex],75)&gt;0)*(COUNTIFS(T_TTAFStock[RM_Code],$A7,T_TTAFStock[WeekIndex],75)&gt;0)&gt;0,SUMIFS(T_SelfStock[Self_Qty],T_SelfStock[RM_Code],$A7,T_SelfStock[WeekIndex],75)+SUMIFS(T_TTAFStock[TTAF_Qty],T_TTAFStock[RM_Code],$A7,T_TTAFStock[WeekIndex],75),BW7+'Grid_Incoming'!BX7-'Grid_Requirement'!BX7))</f>
        <v/>
      </c>
      <c r="BY7">
        <f>IF(COUNTIFS(T_StockCount[RM_Code],$A7,T_StockCount[WeekIndex],76)&gt;0,SUMIFS(T_StockCount[CountedQty],T_StockCount[RM_Code],$A7,T_StockCount[WeekIndex],76),IF((COUNTIFS(T_SelfStock[RM_Code],$A7,T_SelfStock[WeekIndex],76)&gt;0)*(COUNTIFS(T_TTAFStock[RM_Code],$A7,T_TTAFStock[WeekIndex],76)&gt;0)&gt;0,SUMIFS(T_SelfStock[Self_Qty],T_SelfStock[RM_Code],$A7,T_SelfStock[WeekIndex],76)+SUMIFS(T_TTAFStock[TTAF_Qty],T_TTAFStock[RM_Code],$A7,T_TTAFStock[WeekIndex],76),BX7+'Grid_Incoming'!BY7-'Grid_Requirement'!BY7))</f>
        <v/>
      </c>
      <c r="BZ7">
        <f>IF(COUNTIFS(T_StockCount[RM_Code],$A7,T_StockCount[WeekIndex],77)&gt;0,SUMIFS(T_StockCount[CountedQty],T_StockCount[RM_Code],$A7,T_StockCount[WeekIndex],77),IF((COUNTIFS(T_SelfStock[RM_Code],$A7,T_SelfStock[WeekIndex],77)&gt;0)*(COUNTIFS(T_TTAFStock[RM_Code],$A7,T_TTAFStock[WeekIndex],77)&gt;0)&gt;0,SUMIFS(T_SelfStock[Self_Qty],T_SelfStock[RM_Code],$A7,T_SelfStock[WeekIndex],77)+SUMIFS(T_TTAFStock[TTAF_Qty],T_TTAFStock[RM_Code],$A7,T_TTAFStock[WeekIndex],77),BY7+'Grid_Incoming'!BZ7-'Grid_Requirement'!BZ7))</f>
        <v/>
      </c>
      <c r="CA7">
        <f>IF(COUNTIFS(T_StockCount[RM_Code],$A7,T_StockCount[WeekIndex],78)&gt;0,SUMIFS(T_StockCount[CountedQty],T_StockCount[RM_Code],$A7,T_StockCount[WeekIndex],78),IF((COUNTIFS(T_SelfStock[RM_Code],$A7,T_SelfStock[WeekIndex],78)&gt;0)*(COUNTIFS(T_TTAFStock[RM_Code],$A7,T_TTAFStock[WeekIndex],78)&gt;0)&gt;0,SUMIFS(T_SelfStock[Self_Qty],T_SelfStock[RM_Code],$A7,T_SelfStock[WeekIndex],78)+SUMIFS(T_TTAFStock[TTAF_Qty],T_TTAFStock[RM_Code],$A7,T_TTAFStock[WeekIndex],78),BZ7+'Grid_Incoming'!CA7-'Grid_Requirement'!CA7))</f>
        <v/>
      </c>
      <c r="CB7">
        <f>IF(COUNTIFS(T_StockCount[RM_Code],$A7,T_StockCount[WeekIndex],79)&gt;0,SUMIFS(T_StockCount[CountedQty],T_StockCount[RM_Code],$A7,T_StockCount[WeekIndex],79),IF((COUNTIFS(T_SelfStock[RM_Code],$A7,T_SelfStock[WeekIndex],79)&gt;0)*(COUNTIFS(T_TTAFStock[RM_Code],$A7,T_TTAFStock[WeekIndex],79)&gt;0)&gt;0,SUMIFS(T_SelfStock[Self_Qty],T_SelfStock[RM_Code],$A7,T_SelfStock[WeekIndex],79)+SUMIFS(T_TTAFStock[TTAF_Qty],T_TTAFStock[RM_Code],$A7,T_TTAFStock[WeekIndex],79),CA7+'Grid_Incoming'!CB7-'Grid_Requirement'!CB7))</f>
        <v/>
      </c>
      <c r="CC7">
        <f>IF(COUNTIFS(T_StockCount[RM_Code],$A7,T_StockCount[WeekIndex],80)&gt;0,SUMIFS(T_StockCount[CountedQty],T_StockCount[RM_Code],$A7,T_StockCount[WeekIndex],80),IF((COUNTIFS(T_SelfStock[RM_Code],$A7,T_SelfStock[WeekIndex],80)&gt;0)*(COUNTIFS(T_TTAFStock[RM_Code],$A7,T_TTAFStock[WeekIndex],80)&gt;0)&gt;0,SUMIFS(T_SelfStock[Self_Qty],T_SelfStock[RM_Code],$A7,T_SelfStock[WeekIndex],80)+SUMIFS(T_TTAFStock[TTAF_Qty],T_TTAFStock[RM_Code],$A7,T_TTAFStock[WeekIndex],80),CB7+'Grid_Incoming'!CC7-'Grid_Requirement'!CC7))</f>
        <v/>
      </c>
      <c r="CD7">
        <f>IF(COUNTIFS(T_StockCount[RM_Code],$A7,T_StockCount[WeekIndex],81)&gt;0,SUMIFS(T_StockCount[CountedQty],T_StockCount[RM_Code],$A7,T_StockCount[WeekIndex],81),IF((COUNTIFS(T_SelfStock[RM_Code],$A7,T_SelfStock[WeekIndex],81)&gt;0)*(COUNTIFS(T_TTAFStock[RM_Code],$A7,T_TTAFStock[WeekIndex],81)&gt;0)&gt;0,SUMIFS(T_SelfStock[Self_Qty],T_SelfStock[RM_Code],$A7,T_SelfStock[WeekIndex],81)+SUMIFS(T_TTAFStock[TTAF_Qty],T_TTAFStock[RM_Code],$A7,T_TTAFStock[WeekIndex],81),CC7+'Grid_Incoming'!CD7-'Grid_Requirement'!CD7))</f>
        <v/>
      </c>
      <c r="CE7">
        <f>IF(COUNTIFS(T_StockCount[RM_Code],$A7,T_StockCount[WeekIndex],82)&gt;0,SUMIFS(T_StockCount[CountedQty],T_StockCount[RM_Code],$A7,T_StockCount[WeekIndex],82),IF((COUNTIFS(T_SelfStock[RM_Code],$A7,T_SelfStock[WeekIndex],82)&gt;0)*(COUNTIFS(T_TTAFStock[RM_Code],$A7,T_TTAFStock[WeekIndex],82)&gt;0)&gt;0,SUMIFS(T_SelfStock[Self_Qty],T_SelfStock[RM_Code],$A7,T_SelfStock[WeekIndex],82)+SUMIFS(T_TTAFStock[TTAF_Qty],T_TTAFStock[RM_Code],$A7,T_TTAFStock[WeekIndex],82),CD7+'Grid_Incoming'!CE7-'Grid_Requirement'!CE7))</f>
        <v/>
      </c>
      <c r="CF7">
        <f>IF(COUNTIFS(T_StockCount[RM_Code],$A7,T_StockCount[WeekIndex],83)&gt;0,SUMIFS(T_StockCount[CountedQty],T_StockCount[RM_Code],$A7,T_StockCount[WeekIndex],83),IF((COUNTIFS(T_SelfStock[RM_Code],$A7,T_SelfStock[WeekIndex],83)&gt;0)*(COUNTIFS(T_TTAFStock[RM_Code],$A7,T_TTAFStock[WeekIndex],83)&gt;0)&gt;0,SUMIFS(T_SelfStock[Self_Qty],T_SelfStock[RM_Code],$A7,T_SelfStock[WeekIndex],83)+SUMIFS(T_TTAFStock[TTAF_Qty],T_TTAFStock[RM_Code],$A7,T_TTAFStock[WeekIndex],83),CE7+'Grid_Incoming'!CF7-'Grid_Requirement'!CF7))</f>
        <v/>
      </c>
      <c r="CG7">
        <f>IF(COUNTIFS(T_StockCount[RM_Code],$A7,T_StockCount[WeekIndex],84)&gt;0,SUMIFS(T_StockCount[CountedQty],T_StockCount[RM_Code],$A7,T_StockCount[WeekIndex],84),IF((COUNTIFS(T_SelfStock[RM_Code],$A7,T_SelfStock[WeekIndex],84)&gt;0)*(COUNTIFS(T_TTAFStock[RM_Code],$A7,T_TTAFStock[WeekIndex],84)&gt;0)&gt;0,SUMIFS(T_SelfStock[Self_Qty],T_SelfStock[RM_Code],$A7,T_SelfStock[WeekIndex],84)+SUMIFS(T_TTAFStock[TTAF_Qty],T_TTAFStock[RM_Code],$A7,T_TTAFStock[WeekIndex],84),CF7+'Grid_Incoming'!CG7-'Grid_Requirement'!CG7))</f>
        <v/>
      </c>
      <c r="CH7">
        <f>IF(COUNTIFS(T_StockCount[RM_Code],$A7,T_StockCount[WeekIndex],85)&gt;0,SUMIFS(T_StockCount[CountedQty],T_StockCount[RM_Code],$A7,T_StockCount[WeekIndex],85),IF((COUNTIFS(T_SelfStock[RM_Code],$A7,T_SelfStock[WeekIndex],85)&gt;0)*(COUNTIFS(T_TTAFStock[RM_Code],$A7,T_TTAFStock[WeekIndex],85)&gt;0)&gt;0,SUMIFS(T_SelfStock[Self_Qty],T_SelfStock[RM_Code],$A7,T_SelfStock[WeekIndex],85)+SUMIFS(T_TTAFStock[TTAF_Qty],T_TTAFStock[RM_Code],$A7,T_TTAFStock[WeekIndex],85),CG7+'Grid_Incoming'!CH7-'Grid_Requirement'!CH7))</f>
        <v/>
      </c>
      <c r="CI7">
        <f>IF(COUNTIFS(T_StockCount[RM_Code],$A7,T_StockCount[WeekIndex],86)&gt;0,SUMIFS(T_StockCount[CountedQty],T_StockCount[RM_Code],$A7,T_StockCount[WeekIndex],86),IF((COUNTIFS(T_SelfStock[RM_Code],$A7,T_SelfStock[WeekIndex],86)&gt;0)*(COUNTIFS(T_TTAFStock[RM_Code],$A7,T_TTAFStock[WeekIndex],86)&gt;0)&gt;0,SUMIFS(T_SelfStock[Self_Qty],T_SelfStock[RM_Code],$A7,T_SelfStock[WeekIndex],86)+SUMIFS(T_TTAFStock[TTAF_Qty],T_TTAFStock[RM_Code],$A7,T_TTAFStock[WeekIndex],86),CH7+'Grid_Incoming'!CI7-'Grid_Requirement'!CI7))</f>
        <v/>
      </c>
      <c r="CJ7">
        <f>IF(COUNTIFS(T_StockCount[RM_Code],$A7,T_StockCount[WeekIndex],87)&gt;0,SUMIFS(T_StockCount[CountedQty],T_StockCount[RM_Code],$A7,T_StockCount[WeekIndex],87),IF((COUNTIFS(T_SelfStock[RM_Code],$A7,T_SelfStock[WeekIndex],87)&gt;0)*(COUNTIFS(T_TTAFStock[RM_Code],$A7,T_TTAFStock[WeekIndex],87)&gt;0)&gt;0,SUMIFS(T_SelfStock[Self_Qty],T_SelfStock[RM_Code],$A7,T_SelfStock[WeekIndex],87)+SUMIFS(T_TTAFStock[TTAF_Qty],T_TTAFStock[RM_Code],$A7,T_TTAFStock[WeekIndex],87),CI7+'Grid_Incoming'!CJ7-'Grid_Requirement'!CJ7))</f>
        <v/>
      </c>
      <c r="CK7">
        <f>IF(COUNTIFS(T_StockCount[RM_Code],$A7,T_StockCount[WeekIndex],88)&gt;0,SUMIFS(T_StockCount[CountedQty],T_StockCount[RM_Code],$A7,T_StockCount[WeekIndex],88),IF((COUNTIFS(T_SelfStock[RM_Code],$A7,T_SelfStock[WeekIndex],88)&gt;0)*(COUNTIFS(T_TTAFStock[RM_Code],$A7,T_TTAFStock[WeekIndex],88)&gt;0)&gt;0,SUMIFS(T_SelfStock[Self_Qty],T_SelfStock[RM_Code],$A7,T_SelfStock[WeekIndex],88)+SUMIFS(T_TTAFStock[TTAF_Qty],T_TTAFStock[RM_Code],$A7,T_TTAFStock[WeekIndex],88),CJ7+'Grid_Incoming'!CK7-'Grid_Requirement'!CK7))</f>
        <v/>
      </c>
      <c r="CL7">
        <f>IF(COUNTIFS(T_StockCount[RM_Code],$A7,T_StockCount[WeekIndex],89)&gt;0,SUMIFS(T_StockCount[CountedQty],T_StockCount[RM_Code],$A7,T_StockCount[WeekIndex],89),IF((COUNTIFS(T_SelfStock[RM_Code],$A7,T_SelfStock[WeekIndex],89)&gt;0)*(COUNTIFS(T_TTAFStock[RM_Code],$A7,T_TTAFStock[WeekIndex],89)&gt;0)&gt;0,SUMIFS(T_SelfStock[Self_Qty],T_SelfStock[RM_Code],$A7,T_SelfStock[WeekIndex],89)+SUMIFS(T_TTAFStock[TTAF_Qty],T_TTAFStock[RM_Code],$A7,T_TTAFStock[WeekIndex],89),CK7+'Grid_Incoming'!CL7-'Grid_Requirement'!CL7))</f>
        <v/>
      </c>
      <c r="CM7">
        <f>IF(COUNTIFS(T_StockCount[RM_Code],$A7,T_StockCount[WeekIndex],90)&gt;0,SUMIFS(T_StockCount[CountedQty],T_StockCount[RM_Code],$A7,T_StockCount[WeekIndex],90),IF((COUNTIFS(T_SelfStock[RM_Code],$A7,T_SelfStock[WeekIndex],90)&gt;0)*(COUNTIFS(T_TTAFStock[RM_Code],$A7,T_TTAFStock[WeekIndex],90)&gt;0)&gt;0,SUMIFS(T_SelfStock[Self_Qty],T_SelfStock[RM_Code],$A7,T_SelfStock[WeekIndex],90)+SUMIFS(T_TTAFStock[TTAF_Qty],T_TTAFStock[RM_Code],$A7,T_TTAFStock[WeekIndex],90),CL7+'Grid_Incoming'!CM7-'Grid_Requirement'!CM7))</f>
        <v/>
      </c>
      <c r="CN7">
        <f>IF(COUNTIFS(T_StockCount[RM_Code],$A7,T_StockCount[WeekIndex],91)&gt;0,SUMIFS(T_StockCount[CountedQty],T_StockCount[RM_Code],$A7,T_StockCount[WeekIndex],91),IF((COUNTIFS(T_SelfStock[RM_Code],$A7,T_SelfStock[WeekIndex],91)&gt;0)*(COUNTIFS(T_TTAFStock[RM_Code],$A7,T_TTAFStock[WeekIndex],91)&gt;0)&gt;0,SUMIFS(T_SelfStock[Self_Qty],T_SelfStock[RM_Code],$A7,T_SelfStock[WeekIndex],91)+SUMIFS(T_TTAFStock[TTAF_Qty],T_TTAFStock[RM_Code],$A7,T_TTAFStock[WeekIndex],91),CM7+'Grid_Incoming'!CN7-'Grid_Requirement'!CN7))</f>
        <v/>
      </c>
      <c r="CO7">
        <f>IF(COUNTIFS(T_StockCount[RM_Code],$A7,T_StockCount[WeekIndex],92)&gt;0,SUMIFS(T_StockCount[CountedQty],T_StockCount[RM_Code],$A7,T_StockCount[WeekIndex],92),IF((COUNTIFS(T_SelfStock[RM_Code],$A7,T_SelfStock[WeekIndex],92)&gt;0)*(COUNTIFS(T_TTAFStock[RM_Code],$A7,T_TTAFStock[WeekIndex],92)&gt;0)&gt;0,SUMIFS(T_SelfStock[Self_Qty],T_SelfStock[RM_Code],$A7,T_SelfStock[WeekIndex],92)+SUMIFS(T_TTAFStock[TTAF_Qty],T_TTAFStock[RM_Code],$A7,T_TTAFStock[WeekIndex],92),CN7+'Grid_Incoming'!CO7-'Grid_Requirement'!CO7))</f>
        <v/>
      </c>
      <c r="CP7">
        <f>IF(COUNTIFS(T_StockCount[RM_Code],$A7,T_StockCount[WeekIndex],93)&gt;0,SUMIFS(T_StockCount[CountedQty],T_StockCount[RM_Code],$A7,T_StockCount[WeekIndex],93),IF((COUNTIFS(T_SelfStock[RM_Code],$A7,T_SelfStock[WeekIndex],93)&gt;0)*(COUNTIFS(T_TTAFStock[RM_Code],$A7,T_TTAFStock[WeekIndex],93)&gt;0)&gt;0,SUMIFS(T_SelfStock[Self_Qty],T_SelfStock[RM_Code],$A7,T_SelfStock[WeekIndex],93)+SUMIFS(T_TTAFStock[TTAF_Qty],T_TTAFStock[RM_Code],$A7,T_TTAFStock[WeekIndex],93),CO7+'Grid_Incoming'!CP7-'Grid_Requirement'!CP7))</f>
        <v/>
      </c>
      <c r="CQ7">
        <f>IF(COUNTIFS(T_StockCount[RM_Code],$A7,T_StockCount[WeekIndex],94)&gt;0,SUMIFS(T_StockCount[CountedQty],T_StockCount[RM_Code],$A7,T_StockCount[WeekIndex],94),IF((COUNTIFS(T_SelfStock[RM_Code],$A7,T_SelfStock[WeekIndex],94)&gt;0)*(COUNTIFS(T_TTAFStock[RM_Code],$A7,T_TTAFStock[WeekIndex],94)&gt;0)&gt;0,SUMIFS(T_SelfStock[Self_Qty],T_SelfStock[RM_Code],$A7,T_SelfStock[WeekIndex],94)+SUMIFS(T_TTAFStock[TTAF_Qty],T_TTAFStock[RM_Code],$A7,T_TTAFStock[WeekIndex],94),CP7+'Grid_Incoming'!CQ7-'Grid_Requirement'!CQ7))</f>
        <v/>
      </c>
      <c r="CR7">
        <f>IF(COUNTIFS(T_StockCount[RM_Code],$A7,T_StockCount[WeekIndex],95)&gt;0,SUMIFS(T_StockCount[CountedQty],T_StockCount[RM_Code],$A7,T_StockCount[WeekIndex],95),IF((COUNTIFS(T_SelfStock[RM_Code],$A7,T_SelfStock[WeekIndex],95)&gt;0)*(COUNTIFS(T_TTAFStock[RM_Code],$A7,T_TTAFStock[WeekIndex],95)&gt;0)&gt;0,SUMIFS(T_SelfStock[Self_Qty],T_SelfStock[RM_Code],$A7,T_SelfStock[WeekIndex],95)+SUMIFS(T_TTAFStock[TTAF_Qty],T_TTAFStock[RM_Code],$A7,T_TTAFStock[WeekIndex],95),CQ7+'Grid_Incoming'!CR7-'Grid_Requirement'!CR7))</f>
        <v/>
      </c>
      <c r="CS7">
        <f>IF(COUNTIFS(T_StockCount[RM_Code],$A7,T_StockCount[WeekIndex],96)&gt;0,SUMIFS(T_StockCount[CountedQty],T_StockCount[RM_Code],$A7,T_StockCount[WeekIndex],96),IF((COUNTIFS(T_SelfStock[RM_Code],$A7,T_SelfStock[WeekIndex],96)&gt;0)*(COUNTIFS(T_TTAFStock[RM_Code],$A7,T_TTAFStock[WeekIndex],96)&gt;0)&gt;0,SUMIFS(T_SelfStock[Self_Qty],T_SelfStock[RM_Code],$A7,T_SelfStock[WeekIndex],96)+SUMIFS(T_TTAFStock[TTAF_Qty],T_TTAFStock[RM_Code],$A7,T_TTAFStock[WeekIndex],96),CR7+'Grid_Incoming'!CS7-'Grid_Requirement'!CS7))</f>
        <v/>
      </c>
      <c r="CT7">
        <f>IF(COUNTIFS(T_StockCount[RM_Code],$A7,T_StockCount[WeekIndex],97)&gt;0,SUMIFS(T_StockCount[CountedQty],T_StockCount[RM_Code],$A7,T_StockCount[WeekIndex],97),IF((COUNTIFS(T_SelfStock[RM_Code],$A7,T_SelfStock[WeekIndex],97)&gt;0)*(COUNTIFS(T_TTAFStock[RM_Code],$A7,T_TTAFStock[WeekIndex],97)&gt;0)&gt;0,SUMIFS(T_SelfStock[Self_Qty],T_SelfStock[RM_Code],$A7,T_SelfStock[WeekIndex],97)+SUMIFS(T_TTAFStock[TTAF_Qty],T_TTAFStock[RM_Code],$A7,T_TTAFStock[WeekIndex],97),CS7+'Grid_Incoming'!CT7-'Grid_Requirement'!CT7))</f>
        <v/>
      </c>
      <c r="CU7">
        <f>IF(COUNTIFS(T_StockCount[RM_Code],$A7,T_StockCount[WeekIndex],98)&gt;0,SUMIFS(T_StockCount[CountedQty],T_StockCount[RM_Code],$A7,T_StockCount[WeekIndex],98),IF((COUNTIFS(T_SelfStock[RM_Code],$A7,T_SelfStock[WeekIndex],98)&gt;0)*(COUNTIFS(T_TTAFStock[RM_Code],$A7,T_TTAFStock[WeekIndex],98)&gt;0)&gt;0,SUMIFS(T_SelfStock[Self_Qty],T_SelfStock[RM_Code],$A7,T_SelfStock[WeekIndex],98)+SUMIFS(T_TTAFStock[TTAF_Qty],T_TTAFStock[RM_Code],$A7,T_TTAFStock[WeekIndex],98),CT7+'Grid_Incoming'!CU7-'Grid_Requirement'!CU7))</f>
        <v/>
      </c>
      <c r="CV7">
        <f>IF(COUNTIFS(T_StockCount[RM_Code],$A7,T_StockCount[WeekIndex],99)&gt;0,SUMIFS(T_StockCount[CountedQty],T_StockCount[RM_Code],$A7,T_StockCount[WeekIndex],99),IF((COUNTIFS(T_SelfStock[RM_Code],$A7,T_SelfStock[WeekIndex],99)&gt;0)*(COUNTIFS(T_TTAFStock[RM_Code],$A7,T_TTAFStock[WeekIndex],99)&gt;0)&gt;0,SUMIFS(T_SelfStock[Self_Qty],T_SelfStock[RM_Code],$A7,T_SelfStock[WeekIndex],99)+SUMIFS(T_TTAFStock[TTAF_Qty],T_TTAFStock[RM_Code],$A7,T_TTAFStock[WeekIndex],99),CU7+'Grid_Incoming'!CV7-'Grid_Requirement'!CV7))</f>
        <v/>
      </c>
      <c r="CW7">
        <f>IF(COUNTIFS(T_StockCount[RM_Code],$A7,T_StockCount[WeekIndex],100)&gt;0,SUMIFS(T_StockCount[CountedQty],T_StockCount[RM_Code],$A7,T_StockCount[WeekIndex],100),IF((COUNTIFS(T_SelfStock[RM_Code],$A7,T_SelfStock[WeekIndex],100)&gt;0)*(COUNTIFS(T_TTAFStock[RM_Code],$A7,T_TTAFStock[WeekIndex],100)&gt;0)&gt;0,SUMIFS(T_SelfStock[Self_Qty],T_SelfStock[RM_Code],$A7,T_SelfStock[WeekIndex],100)+SUMIFS(T_TTAFStock[TTAF_Qty],T_TTAFStock[RM_Code],$A7,T_TTAFStock[WeekIndex],100),CV7+'Grid_Incoming'!CW7-'Grid_Requirement'!CW7))</f>
        <v/>
      </c>
      <c r="CX7">
        <f>IF(COUNTIFS(T_StockCount[RM_Code],$A7,T_StockCount[WeekIndex],101)&gt;0,SUMIFS(T_StockCount[CountedQty],T_StockCount[RM_Code],$A7,T_StockCount[WeekIndex],101),IF((COUNTIFS(T_SelfStock[RM_Code],$A7,T_SelfStock[WeekIndex],101)&gt;0)*(COUNTIFS(T_TTAFStock[RM_Code],$A7,T_TTAFStock[WeekIndex],101)&gt;0)&gt;0,SUMIFS(T_SelfStock[Self_Qty],T_SelfStock[RM_Code],$A7,T_SelfStock[WeekIndex],101)+SUMIFS(T_TTAFStock[TTAF_Qty],T_TTAFStock[RM_Code],$A7,T_TTAFStock[WeekIndex],101),CW7+'Grid_Incoming'!CX7-'Grid_Requirement'!CX7))</f>
        <v/>
      </c>
      <c r="CY7">
        <f>IF(COUNTIFS(T_StockCount[RM_Code],$A7,T_StockCount[WeekIndex],102)&gt;0,SUMIFS(T_StockCount[CountedQty],T_StockCount[RM_Code],$A7,T_StockCount[WeekIndex],102),IF((COUNTIFS(T_SelfStock[RM_Code],$A7,T_SelfStock[WeekIndex],102)&gt;0)*(COUNTIFS(T_TTAFStock[RM_Code],$A7,T_TTAFStock[WeekIndex],102)&gt;0)&gt;0,SUMIFS(T_SelfStock[Self_Qty],T_SelfStock[RM_Code],$A7,T_SelfStock[WeekIndex],102)+SUMIFS(T_TTAFStock[TTAF_Qty],T_TTAFStock[RM_Code],$A7,T_TTAFStock[WeekIndex],102),CX7+'Grid_Incoming'!CY7-'Grid_Requirement'!CY7))</f>
        <v/>
      </c>
      <c r="CZ7">
        <f>IF(COUNTIFS(T_StockCount[RM_Code],$A7,T_StockCount[WeekIndex],103)&gt;0,SUMIFS(T_StockCount[CountedQty],T_StockCount[RM_Code],$A7,T_StockCount[WeekIndex],103),IF((COUNTIFS(T_SelfStock[RM_Code],$A7,T_SelfStock[WeekIndex],103)&gt;0)*(COUNTIFS(T_TTAFStock[RM_Code],$A7,T_TTAFStock[WeekIndex],103)&gt;0)&gt;0,SUMIFS(T_SelfStock[Self_Qty],T_SelfStock[RM_Code],$A7,T_SelfStock[WeekIndex],103)+SUMIFS(T_TTAFStock[TTAF_Qty],T_TTAFStock[RM_Code],$A7,T_TTAFStock[WeekIndex],103),CY7+'Grid_Incoming'!CZ7-'Grid_Requirement'!CZ7))</f>
        <v/>
      </c>
      <c r="DA7">
        <f>IF(COUNTIFS(T_StockCount[RM_Code],$A7,T_StockCount[WeekIndex],104)&gt;0,SUMIFS(T_StockCount[CountedQty],T_StockCount[RM_Code],$A7,T_StockCount[WeekIndex],104),IF((COUNTIFS(T_SelfStock[RM_Code],$A7,T_SelfStock[WeekIndex],104)&gt;0)*(COUNTIFS(T_TTAFStock[RM_Code],$A7,T_TTAFStock[WeekIndex],104)&gt;0)&gt;0,SUMIFS(T_SelfStock[Self_Qty],T_SelfStock[RM_Code],$A7,T_SelfStock[WeekIndex],104)+SUMIFS(T_TTAFStock[TTAF_Qty],T_TTAFStock[RM_Code],$A7,T_TTAFStock[WeekIndex],104),CZ7+'Grid_Incoming'!DA7-'Grid_Requirement'!DA7))</f>
        <v/>
      </c>
    </row>
    <row r="8">
      <c r="A8" t="inlineStr">
        <is>
          <t>CHEM-1690</t>
        </is>
      </c>
      <c r="B8">
        <f>IF(COUNTIFS(T_StockCount[RM_Code],$A8,T_StockCount[WeekIndex],1)&gt;0,SUMIFS(T_StockCount[CountedQty],T_StockCount[RM_Code],$A8,T_StockCount[WeekIndex],1),IF((COUNTIFS(T_SelfStock[RM_Code],$A8,T_SelfStock[WeekIndex],1)&gt;0)*(COUNTIFS(T_TTAFStock[RM_Code],$A8,T_TTAFStock[WeekIndex],1)&gt;0)&gt;0,SUMIFS(T_SelfStock[Self_Qty],T_SelfStock[RM_Code],$A8,T_SelfStock[WeekIndex],1)+SUMIFS(T_TTAFStock[TTAF_Qty],T_TTAFStock[RM_Code],$A8,T_TTAFStock[WeekIndex],1),IFERROR(INDEX(T_OpeningStock[Opening_Qty],MATCH($A8,T_OpeningStock[RM_Code],0)),0)+'Grid_Incoming'!B8-'Grid_Requirement'!B8))</f>
        <v/>
      </c>
      <c r="C8">
        <f>IF(COUNTIFS(T_StockCount[RM_Code],$A8,T_StockCount[WeekIndex],2)&gt;0,SUMIFS(T_StockCount[CountedQty],T_StockCount[RM_Code],$A8,T_StockCount[WeekIndex],2),IF((COUNTIFS(T_SelfStock[RM_Code],$A8,T_SelfStock[WeekIndex],2)&gt;0)*(COUNTIFS(T_TTAFStock[RM_Code],$A8,T_TTAFStock[WeekIndex],2)&gt;0)&gt;0,SUMIFS(T_SelfStock[Self_Qty],T_SelfStock[RM_Code],$A8,T_SelfStock[WeekIndex],2)+SUMIFS(T_TTAFStock[TTAF_Qty],T_TTAFStock[RM_Code],$A8,T_TTAFStock[WeekIndex],2),B8+'Grid_Incoming'!C8-'Grid_Requirement'!C8))</f>
        <v/>
      </c>
      <c r="D8">
        <f>IF(COUNTIFS(T_StockCount[RM_Code],$A8,T_StockCount[WeekIndex],3)&gt;0,SUMIFS(T_StockCount[CountedQty],T_StockCount[RM_Code],$A8,T_StockCount[WeekIndex],3),IF((COUNTIFS(T_SelfStock[RM_Code],$A8,T_SelfStock[WeekIndex],3)&gt;0)*(COUNTIFS(T_TTAFStock[RM_Code],$A8,T_TTAFStock[WeekIndex],3)&gt;0)&gt;0,SUMIFS(T_SelfStock[Self_Qty],T_SelfStock[RM_Code],$A8,T_SelfStock[WeekIndex],3)+SUMIFS(T_TTAFStock[TTAF_Qty],T_TTAFStock[RM_Code],$A8,T_TTAFStock[WeekIndex],3),C8+'Grid_Incoming'!D8-'Grid_Requirement'!D8))</f>
        <v/>
      </c>
      <c r="E8">
        <f>IF(COUNTIFS(T_StockCount[RM_Code],$A8,T_StockCount[WeekIndex],4)&gt;0,SUMIFS(T_StockCount[CountedQty],T_StockCount[RM_Code],$A8,T_StockCount[WeekIndex],4),IF((COUNTIFS(T_SelfStock[RM_Code],$A8,T_SelfStock[WeekIndex],4)&gt;0)*(COUNTIFS(T_TTAFStock[RM_Code],$A8,T_TTAFStock[WeekIndex],4)&gt;0)&gt;0,SUMIFS(T_SelfStock[Self_Qty],T_SelfStock[RM_Code],$A8,T_SelfStock[WeekIndex],4)+SUMIFS(T_TTAFStock[TTAF_Qty],T_TTAFStock[RM_Code],$A8,T_TTAFStock[WeekIndex],4),D8+'Grid_Incoming'!E8-'Grid_Requirement'!E8))</f>
        <v/>
      </c>
      <c r="F8">
        <f>IF(COUNTIFS(T_StockCount[RM_Code],$A8,T_StockCount[WeekIndex],5)&gt;0,SUMIFS(T_StockCount[CountedQty],T_StockCount[RM_Code],$A8,T_StockCount[WeekIndex],5),IF((COUNTIFS(T_SelfStock[RM_Code],$A8,T_SelfStock[WeekIndex],5)&gt;0)*(COUNTIFS(T_TTAFStock[RM_Code],$A8,T_TTAFStock[WeekIndex],5)&gt;0)&gt;0,SUMIFS(T_SelfStock[Self_Qty],T_SelfStock[RM_Code],$A8,T_SelfStock[WeekIndex],5)+SUMIFS(T_TTAFStock[TTAF_Qty],T_TTAFStock[RM_Code],$A8,T_TTAFStock[WeekIndex],5),E8+'Grid_Incoming'!F8-'Grid_Requirement'!F8))</f>
        <v/>
      </c>
      <c r="G8">
        <f>IF(COUNTIFS(T_StockCount[RM_Code],$A8,T_StockCount[WeekIndex],6)&gt;0,SUMIFS(T_StockCount[CountedQty],T_StockCount[RM_Code],$A8,T_StockCount[WeekIndex],6),IF((COUNTIFS(T_SelfStock[RM_Code],$A8,T_SelfStock[WeekIndex],6)&gt;0)*(COUNTIFS(T_TTAFStock[RM_Code],$A8,T_TTAFStock[WeekIndex],6)&gt;0)&gt;0,SUMIFS(T_SelfStock[Self_Qty],T_SelfStock[RM_Code],$A8,T_SelfStock[WeekIndex],6)+SUMIFS(T_TTAFStock[TTAF_Qty],T_TTAFStock[RM_Code],$A8,T_TTAFStock[WeekIndex],6),F8+'Grid_Incoming'!G8-'Grid_Requirement'!G8))</f>
        <v/>
      </c>
      <c r="H8">
        <f>IF(COUNTIFS(T_StockCount[RM_Code],$A8,T_StockCount[WeekIndex],7)&gt;0,SUMIFS(T_StockCount[CountedQty],T_StockCount[RM_Code],$A8,T_StockCount[WeekIndex],7),IF((COUNTIFS(T_SelfStock[RM_Code],$A8,T_SelfStock[WeekIndex],7)&gt;0)*(COUNTIFS(T_TTAFStock[RM_Code],$A8,T_TTAFStock[WeekIndex],7)&gt;0)&gt;0,SUMIFS(T_SelfStock[Self_Qty],T_SelfStock[RM_Code],$A8,T_SelfStock[WeekIndex],7)+SUMIFS(T_TTAFStock[TTAF_Qty],T_TTAFStock[RM_Code],$A8,T_TTAFStock[WeekIndex],7),G8+'Grid_Incoming'!H8-'Grid_Requirement'!H8))</f>
        <v/>
      </c>
      <c r="I8">
        <f>IF(COUNTIFS(T_StockCount[RM_Code],$A8,T_StockCount[WeekIndex],8)&gt;0,SUMIFS(T_StockCount[CountedQty],T_StockCount[RM_Code],$A8,T_StockCount[WeekIndex],8),IF((COUNTIFS(T_SelfStock[RM_Code],$A8,T_SelfStock[WeekIndex],8)&gt;0)*(COUNTIFS(T_TTAFStock[RM_Code],$A8,T_TTAFStock[WeekIndex],8)&gt;0)&gt;0,SUMIFS(T_SelfStock[Self_Qty],T_SelfStock[RM_Code],$A8,T_SelfStock[WeekIndex],8)+SUMIFS(T_TTAFStock[TTAF_Qty],T_TTAFStock[RM_Code],$A8,T_TTAFStock[WeekIndex],8),H8+'Grid_Incoming'!I8-'Grid_Requirement'!I8))</f>
        <v/>
      </c>
      <c r="J8">
        <f>IF(COUNTIFS(T_StockCount[RM_Code],$A8,T_StockCount[WeekIndex],9)&gt;0,SUMIFS(T_StockCount[CountedQty],T_StockCount[RM_Code],$A8,T_StockCount[WeekIndex],9),IF((COUNTIFS(T_SelfStock[RM_Code],$A8,T_SelfStock[WeekIndex],9)&gt;0)*(COUNTIFS(T_TTAFStock[RM_Code],$A8,T_TTAFStock[WeekIndex],9)&gt;0)&gt;0,SUMIFS(T_SelfStock[Self_Qty],T_SelfStock[RM_Code],$A8,T_SelfStock[WeekIndex],9)+SUMIFS(T_TTAFStock[TTAF_Qty],T_TTAFStock[RM_Code],$A8,T_TTAFStock[WeekIndex],9),I8+'Grid_Incoming'!J8-'Grid_Requirement'!J8))</f>
        <v/>
      </c>
      <c r="K8">
        <f>IF(COUNTIFS(T_StockCount[RM_Code],$A8,T_StockCount[WeekIndex],10)&gt;0,SUMIFS(T_StockCount[CountedQty],T_StockCount[RM_Code],$A8,T_StockCount[WeekIndex],10),IF((COUNTIFS(T_SelfStock[RM_Code],$A8,T_SelfStock[WeekIndex],10)&gt;0)*(COUNTIFS(T_TTAFStock[RM_Code],$A8,T_TTAFStock[WeekIndex],10)&gt;0)&gt;0,SUMIFS(T_SelfStock[Self_Qty],T_SelfStock[RM_Code],$A8,T_SelfStock[WeekIndex],10)+SUMIFS(T_TTAFStock[TTAF_Qty],T_TTAFStock[RM_Code],$A8,T_TTAFStock[WeekIndex],10),J8+'Grid_Incoming'!K8-'Grid_Requirement'!K8))</f>
        <v/>
      </c>
      <c r="L8">
        <f>IF(COUNTIFS(T_StockCount[RM_Code],$A8,T_StockCount[WeekIndex],11)&gt;0,SUMIFS(T_StockCount[CountedQty],T_StockCount[RM_Code],$A8,T_StockCount[WeekIndex],11),IF((COUNTIFS(T_SelfStock[RM_Code],$A8,T_SelfStock[WeekIndex],11)&gt;0)*(COUNTIFS(T_TTAFStock[RM_Code],$A8,T_TTAFStock[WeekIndex],11)&gt;0)&gt;0,SUMIFS(T_SelfStock[Self_Qty],T_SelfStock[RM_Code],$A8,T_SelfStock[WeekIndex],11)+SUMIFS(T_TTAFStock[TTAF_Qty],T_TTAFStock[RM_Code],$A8,T_TTAFStock[WeekIndex],11),K8+'Grid_Incoming'!L8-'Grid_Requirement'!L8))</f>
        <v/>
      </c>
      <c r="M8">
        <f>IF(COUNTIFS(T_StockCount[RM_Code],$A8,T_StockCount[WeekIndex],12)&gt;0,SUMIFS(T_StockCount[CountedQty],T_StockCount[RM_Code],$A8,T_StockCount[WeekIndex],12),IF((COUNTIFS(T_SelfStock[RM_Code],$A8,T_SelfStock[WeekIndex],12)&gt;0)*(COUNTIFS(T_TTAFStock[RM_Code],$A8,T_TTAFStock[WeekIndex],12)&gt;0)&gt;0,SUMIFS(T_SelfStock[Self_Qty],T_SelfStock[RM_Code],$A8,T_SelfStock[WeekIndex],12)+SUMIFS(T_TTAFStock[TTAF_Qty],T_TTAFStock[RM_Code],$A8,T_TTAFStock[WeekIndex],12),L8+'Grid_Incoming'!M8-'Grid_Requirement'!M8))</f>
        <v/>
      </c>
      <c r="N8">
        <f>IF(COUNTIFS(T_StockCount[RM_Code],$A8,T_StockCount[WeekIndex],13)&gt;0,SUMIFS(T_StockCount[CountedQty],T_StockCount[RM_Code],$A8,T_StockCount[WeekIndex],13),IF((COUNTIFS(T_SelfStock[RM_Code],$A8,T_SelfStock[WeekIndex],13)&gt;0)*(COUNTIFS(T_TTAFStock[RM_Code],$A8,T_TTAFStock[WeekIndex],13)&gt;0)&gt;0,SUMIFS(T_SelfStock[Self_Qty],T_SelfStock[RM_Code],$A8,T_SelfStock[WeekIndex],13)+SUMIFS(T_TTAFStock[TTAF_Qty],T_TTAFStock[RM_Code],$A8,T_TTAFStock[WeekIndex],13),M8+'Grid_Incoming'!N8-'Grid_Requirement'!N8))</f>
        <v/>
      </c>
      <c r="O8">
        <f>IF(COUNTIFS(T_StockCount[RM_Code],$A8,T_StockCount[WeekIndex],14)&gt;0,SUMIFS(T_StockCount[CountedQty],T_StockCount[RM_Code],$A8,T_StockCount[WeekIndex],14),IF((COUNTIFS(T_SelfStock[RM_Code],$A8,T_SelfStock[WeekIndex],14)&gt;0)*(COUNTIFS(T_TTAFStock[RM_Code],$A8,T_TTAFStock[WeekIndex],14)&gt;0)&gt;0,SUMIFS(T_SelfStock[Self_Qty],T_SelfStock[RM_Code],$A8,T_SelfStock[WeekIndex],14)+SUMIFS(T_TTAFStock[TTAF_Qty],T_TTAFStock[RM_Code],$A8,T_TTAFStock[WeekIndex],14),N8+'Grid_Incoming'!O8-'Grid_Requirement'!O8))</f>
        <v/>
      </c>
      <c r="P8">
        <f>IF(COUNTIFS(T_StockCount[RM_Code],$A8,T_StockCount[WeekIndex],15)&gt;0,SUMIFS(T_StockCount[CountedQty],T_StockCount[RM_Code],$A8,T_StockCount[WeekIndex],15),IF((COUNTIFS(T_SelfStock[RM_Code],$A8,T_SelfStock[WeekIndex],15)&gt;0)*(COUNTIFS(T_TTAFStock[RM_Code],$A8,T_TTAFStock[WeekIndex],15)&gt;0)&gt;0,SUMIFS(T_SelfStock[Self_Qty],T_SelfStock[RM_Code],$A8,T_SelfStock[WeekIndex],15)+SUMIFS(T_TTAFStock[TTAF_Qty],T_TTAFStock[RM_Code],$A8,T_TTAFStock[WeekIndex],15),O8+'Grid_Incoming'!P8-'Grid_Requirement'!P8))</f>
        <v/>
      </c>
      <c r="Q8">
        <f>IF(COUNTIFS(T_StockCount[RM_Code],$A8,T_StockCount[WeekIndex],16)&gt;0,SUMIFS(T_StockCount[CountedQty],T_StockCount[RM_Code],$A8,T_StockCount[WeekIndex],16),IF((COUNTIFS(T_SelfStock[RM_Code],$A8,T_SelfStock[WeekIndex],16)&gt;0)*(COUNTIFS(T_TTAFStock[RM_Code],$A8,T_TTAFStock[WeekIndex],16)&gt;0)&gt;0,SUMIFS(T_SelfStock[Self_Qty],T_SelfStock[RM_Code],$A8,T_SelfStock[WeekIndex],16)+SUMIFS(T_TTAFStock[TTAF_Qty],T_TTAFStock[RM_Code],$A8,T_TTAFStock[WeekIndex],16),P8+'Grid_Incoming'!Q8-'Grid_Requirement'!Q8))</f>
        <v/>
      </c>
      <c r="R8">
        <f>IF(COUNTIFS(T_StockCount[RM_Code],$A8,T_StockCount[WeekIndex],17)&gt;0,SUMIFS(T_StockCount[CountedQty],T_StockCount[RM_Code],$A8,T_StockCount[WeekIndex],17),IF((COUNTIFS(T_SelfStock[RM_Code],$A8,T_SelfStock[WeekIndex],17)&gt;0)*(COUNTIFS(T_TTAFStock[RM_Code],$A8,T_TTAFStock[WeekIndex],17)&gt;0)&gt;0,SUMIFS(T_SelfStock[Self_Qty],T_SelfStock[RM_Code],$A8,T_SelfStock[WeekIndex],17)+SUMIFS(T_TTAFStock[TTAF_Qty],T_TTAFStock[RM_Code],$A8,T_TTAFStock[WeekIndex],17),Q8+'Grid_Incoming'!R8-'Grid_Requirement'!R8))</f>
        <v/>
      </c>
      <c r="S8">
        <f>IF(COUNTIFS(T_StockCount[RM_Code],$A8,T_StockCount[WeekIndex],18)&gt;0,SUMIFS(T_StockCount[CountedQty],T_StockCount[RM_Code],$A8,T_StockCount[WeekIndex],18),IF((COUNTIFS(T_SelfStock[RM_Code],$A8,T_SelfStock[WeekIndex],18)&gt;0)*(COUNTIFS(T_TTAFStock[RM_Code],$A8,T_TTAFStock[WeekIndex],18)&gt;0)&gt;0,SUMIFS(T_SelfStock[Self_Qty],T_SelfStock[RM_Code],$A8,T_SelfStock[WeekIndex],18)+SUMIFS(T_TTAFStock[TTAF_Qty],T_TTAFStock[RM_Code],$A8,T_TTAFStock[WeekIndex],18),R8+'Grid_Incoming'!S8-'Grid_Requirement'!S8))</f>
        <v/>
      </c>
      <c r="T8">
        <f>IF(COUNTIFS(T_StockCount[RM_Code],$A8,T_StockCount[WeekIndex],19)&gt;0,SUMIFS(T_StockCount[CountedQty],T_StockCount[RM_Code],$A8,T_StockCount[WeekIndex],19),IF((COUNTIFS(T_SelfStock[RM_Code],$A8,T_SelfStock[WeekIndex],19)&gt;0)*(COUNTIFS(T_TTAFStock[RM_Code],$A8,T_TTAFStock[WeekIndex],19)&gt;0)&gt;0,SUMIFS(T_SelfStock[Self_Qty],T_SelfStock[RM_Code],$A8,T_SelfStock[WeekIndex],19)+SUMIFS(T_TTAFStock[TTAF_Qty],T_TTAFStock[RM_Code],$A8,T_TTAFStock[WeekIndex],19),S8+'Grid_Incoming'!T8-'Grid_Requirement'!T8))</f>
        <v/>
      </c>
      <c r="U8">
        <f>IF(COUNTIFS(T_StockCount[RM_Code],$A8,T_StockCount[WeekIndex],20)&gt;0,SUMIFS(T_StockCount[CountedQty],T_StockCount[RM_Code],$A8,T_StockCount[WeekIndex],20),IF((COUNTIFS(T_SelfStock[RM_Code],$A8,T_SelfStock[WeekIndex],20)&gt;0)*(COUNTIFS(T_TTAFStock[RM_Code],$A8,T_TTAFStock[WeekIndex],20)&gt;0)&gt;0,SUMIFS(T_SelfStock[Self_Qty],T_SelfStock[RM_Code],$A8,T_SelfStock[WeekIndex],20)+SUMIFS(T_TTAFStock[TTAF_Qty],T_TTAFStock[RM_Code],$A8,T_TTAFStock[WeekIndex],20),T8+'Grid_Incoming'!U8-'Grid_Requirement'!U8))</f>
        <v/>
      </c>
      <c r="V8">
        <f>IF(COUNTIFS(T_StockCount[RM_Code],$A8,T_StockCount[WeekIndex],21)&gt;0,SUMIFS(T_StockCount[CountedQty],T_StockCount[RM_Code],$A8,T_StockCount[WeekIndex],21),IF((COUNTIFS(T_SelfStock[RM_Code],$A8,T_SelfStock[WeekIndex],21)&gt;0)*(COUNTIFS(T_TTAFStock[RM_Code],$A8,T_TTAFStock[WeekIndex],21)&gt;0)&gt;0,SUMIFS(T_SelfStock[Self_Qty],T_SelfStock[RM_Code],$A8,T_SelfStock[WeekIndex],21)+SUMIFS(T_TTAFStock[TTAF_Qty],T_TTAFStock[RM_Code],$A8,T_TTAFStock[WeekIndex],21),U8+'Grid_Incoming'!V8-'Grid_Requirement'!V8))</f>
        <v/>
      </c>
      <c r="W8">
        <f>IF(COUNTIFS(T_StockCount[RM_Code],$A8,T_StockCount[WeekIndex],22)&gt;0,SUMIFS(T_StockCount[CountedQty],T_StockCount[RM_Code],$A8,T_StockCount[WeekIndex],22),IF((COUNTIFS(T_SelfStock[RM_Code],$A8,T_SelfStock[WeekIndex],22)&gt;0)*(COUNTIFS(T_TTAFStock[RM_Code],$A8,T_TTAFStock[WeekIndex],22)&gt;0)&gt;0,SUMIFS(T_SelfStock[Self_Qty],T_SelfStock[RM_Code],$A8,T_SelfStock[WeekIndex],22)+SUMIFS(T_TTAFStock[TTAF_Qty],T_TTAFStock[RM_Code],$A8,T_TTAFStock[WeekIndex],22),V8+'Grid_Incoming'!W8-'Grid_Requirement'!W8))</f>
        <v/>
      </c>
      <c r="X8">
        <f>IF(COUNTIFS(T_StockCount[RM_Code],$A8,T_StockCount[WeekIndex],23)&gt;0,SUMIFS(T_StockCount[CountedQty],T_StockCount[RM_Code],$A8,T_StockCount[WeekIndex],23),IF((COUNTIFS(T_SelfStock[RM_Code],$A8,T_SelfStock[WeekIndex],23)&gt;0)*(COUNTIFS(T_TTAFStock[RM_Code],$A8,T_TTAFStock[WeekIndex],23)&gt;0)&gt;0,SUMIFS(T_SelfStock[Self_Qty],T_SelfStock[RM_Code],$A8,T_SelfStock[WeekIndex],23)+SUMIFS(T_TTAFStock[TTAF_Qty],T_TTAFStock[RM_Code],$A8,T_TTAFStock[WeekIndex],23),W8+'Grid_Incoming'!X8-'Grid_Requirement'!X8))</f>
        <v/>
      </c>
      <c r="Y8">
        <f>IF(COUNTIFS(T_StockCount[RM_Code],$A8,T_StockCount[WeekIndex],24)&gt;0,SUMIFS(T_StockCount[CountedQty],T_StockCount[RM_Code],$A8,T_StockCount[WeekIndex],24),IF((COUNTIFS(T_SelfStock[RM_Code],$A8,T_SelfStock[WeekIndex],24)&gt;0)*(COUNTIFS(T_TTAFStock[RM_Code],$A8,T_TTAFStock[WeekIndex],24)&gt;0)&gt;0,SUMIFS(T_SelfStock[Self_Qty],T_SelfStock[RM_Code],$A8,T_SelfStock[WeekIndex],24)+SUMIFS(T_TTAFStock[TTAF_Qty],T_TTAFStock[RM_Code],$A8,T_TTAFStock[WeekIndex],24),X8+'Grid_Incoming'!Y8-'Grid_Requirement'!Y8))</f>
        <v/>
      </c>
      <c r="Z8">
        <f>IF(COUNTIFS(T_StockCount[RM_Code],$A8,T_StockCount[WeekIndex],25)&gt;0,SUMIFS(T_StockCount[CountedQty],T_StockCount[RM_Code],$A8,T_StockCount[WeekIndex],25),IF((COUNTIFS(T_SelfStock[RM_Code],$A8,T_SelfStock[WeekIndex],25)&gt;0)*(COUNTIFS(T_TTAFStock[RM_Code],$A8,T_TTAFStock[WeekIndex],25)&gt;0)&gt;0,SUMIFS(T_SelfStock[Self_Qty],T_SelfStock[RM_Code],$A8,T_SelfStock[WeekIndex],25)+SUMIFS(T_TTAFStock[TTAF_Qty],T_TTAFStock[RM_Code],$A8,T_TTAFStock[WeekIndex],25),Y8+'Grid_Incoming'!Z8-'Grid_Requirement'!Z8))</f>
        <v/>
      </c>
      <c r="AA8">
        <f>IF(COUNTIFS(T_StockCount[RM_Code],$A8,T_StockCount[WeekIndex],26)&gt;0,SUMIFS(T_StockCount[CountedQty],T_StockCount[RM_Code],$A8,T_StockCount[WeekIndex],26),IF((COUNTIFS(T_SelfStock[RM_Code],$A8,T_SelfStock[WeekIndex],26)&gt;0)*(COUNTIFS(T_TTAFStock[RM_Code],$A8,T_TTAFStock[WeekIndex],26)&gt;0)&gt;0,SUMIFS(T_SelfStock[Self_Qty],T_SelfStock[RM_Code],$A8,T_SelfStock[WeekIndex],26)+SUMIFS(T_TTAFStock[TTAF_Qty],T_TTAFStock[RM_Code],$A8,T_TTAFStock[WeekIndex],26),Z8+'Grid_Incoming'!AA8-'Grid_Requirement'!AA8))</f>
        <v/>
      </c>
      <c r="AB8">
        <f>IF(COUNTIFS(T_StockCount[RM_Code],$A8,T_StockCount[WeekIndex],27)&gt;0,SUMIFS(T_StockCount[CountedQty],T_StockCount[RM_Code],$A8,T_StockCount[WeekIndex],27),IF((COUNTIFS(T_SelfStock[RM_Code],$A8,T_SelfStock[WeekIndex],27)&gt;0)*(COUNTIFS(T_TTAFStock[RM_Code],$A8,T_TTAFStock[WeekIndex],27)&gt;0)&gt;0,SUMIFS(T_SelfStock[Self_Qty],T_SelfStock[RM_Code],$A8,T_SelfStock[WeekIndex],27)+SUMIFS(T_TTAFStock[TTAF_Qty],T_TTAFStock[RM_Code],$A8,T_TTAFStock[WeekIndex],27),AA8+'Grid_Incoming'!AB8-'Grid_Requirement'!AB8))</f>
        <v/>
      </c>
      <c r="AC8">
        <f>IF(COUNTIFS(T_StockCount[RM_Code],$A8,T_StockCount[WeekIndex],28)&gt;0,SUMIFS(T_StockCount[CountedQty],T_StockCount[RM_Code],$A8,T_StockCount[WeekIndex],28),IF((COUNTIFS(T_SelfStock[RM_Code],$A8,T_SelfStock[WeekIndex],28)&gt;0)*(COUNTIFS(T_TTAFStock[RM_Code],$A8,T_TTAFStock[WeekIndex],28)&gt;0)&gt;0,SUMIFS(T_SelfStock[Self_Qty],T_SelfStock[RM_Code],$A8,T_SelfStock[WeekIndex],28)+SUMIFS(T_TTAFStock[TTAF_Qty],T_TTAFStock[RM_Code],$A8,T_TTAFStock[WeekIndex],28),AB8+'Grid_Incoming'!AC8-'Grid_Requirement'!AC8))</f>
        <v/>
      </c>
      <c r="AD8">
        <f>IF(COUNTIFS(T_StockCount[RM_Code],$A8,T_StockCount[WeekIndex],29)&gt;0,SUMIFS(T_StockCount[CountedQty],T_StockCount[RM_Code],$A8,T_StockCount[WeekIndex],29),IF((COUNTIFS(T_SelfStock[RM_Code],$A8,T_SelfStock[WeekIndex],29)&gt;0)*(COUNTIFS(T_TTAFStock[RM_Code],$A8,T_TTAFStock[WeekIndex],29)&gt;0)&gt;0,SUMIFS(T_SelfStock[Self_Qty],T_SelfStock[RM_Code],$A8,T_SelfStock[WeekIndex],29)+SUMIFS(T_TTAFStock[TTAF_Qty],T_TTAFStock[RM_Code],$A8,T_TTAFStock[WeekIndex],29),AC8+'Grid_Incoming'!AD8-'Grid_Requirement'!AD8))</f>
        <v/>
      </c>
      <c r="AE8">
        <f>IF(COUNTIFS(T_StockCount[RM_Code],$A8,T_StockCount[WeekIndex],30)&gt;0,SUMIFS(T_StockCount[CountedQty],T_StockCount[RM_Code],$A8,T_StockCount[WeekIndex],30),IF((COUNTIFS(T_SelfStock[RM_Code],$A8,T_SelfStock[WeekIndex],30)&gt;0)*(COUNTIFS(T_TTAFStock[RM_Code],$A8,T_TTAFStock[WeekIndex],30)&gt;0)&gt;0,SUMIFS(T_SelfStock[Self_Qty],T_SelfStock[RM_Code],$A8,T_SelfStock[WeekIndex],30)+SUMIFS(T_TTAFStock[TTAF_Qty],T_TTAFStock[RM_Code],$A8,T_TTAFStock[WeekIndex],30),AD8+'Grid_Incoming'!AE8-'Grid_Requirement'!AE8))</f>
        <v/>
      </c>
      <c r="AF8">
        <f>IF(COUNTIFS(T_StockCount[RM_Code],$A8,T_StockCount[WeekIndex],31)&gt;0,SUMIFS(T_StockCount[CountedQty],T_StockCount[RM_Code],$A8,T_StockCount[WeekIndex],31),IF((COUNTIFS(T_SelfStock[RM_Code],$A8,T_SelfStock[WeekIndex],31)&gt;0)*(COUNTIFS(T_TTAFStock[RM_Code],$A8,T_TTAFStock[WeekIndex],31)&gt;0)&gt;0,SUMIFS(T_SelfStock[Self_Qty],T_SelfStock[RM_Code],$A8,T_SelfStock[WeekIndex],31)+SUMIFS(T_TTAFStock[TTAF_Qty],T_TTAFStock[RM_Code],$A8,T_TTAFStock[WeekIndex],31),AE8+'Grid_Incoming'!AF8-'Grid_Requirement'!AF8))</f>
        <v/>
      </c>
      <c r="AG8">
        <f>IF(COUNTIFS(T_StockCount[RM_Code],$A8,T_StockCount[WeekIndex],32)&gt;0,SUMIFS(T_StockCount[CountedQty],T_StockCount[RM_Code],$A8,T_StockCount[WeekIndex],32),IF((COUNTIFS(T_SelfStock[RM_Code],$A8,T_SelfStock[WeekIndex],32)&gt;0)*(COUNTIFS(T_TTAFStock[RM_Code],$A8,T_TTAFStock[WeekIndex],32)&gt;0)&gt;0,SUMIFS(T_SelfStock[Self_Qty],T_SelfStock[RM_Code],$A8,T_SelfStock[WeekIndex],32)+SUMIFS(T_TTAFStock[TTAF_Qty],T_TTAFStock[RM_Code],$A8,T_TTAFStock[WeekIndex],32),AF8+'Grid_Incoming'!AG8-'Grid_Requirement'!AG8))</f>
        <v/>
      </c>
      <c r="AH8">
        <f>IF(COUNTIFS(T_StockCount[RM_Code],$A8,T_StockCount[WeekIndex],33)&gt;0,SUMIFS(T_StockCount[CountedQty],T_StockCount[RM_Code],$A8,T_StockCount[WeekIndex],33),IF((COUNTIFS(T_SelfStock[RM_Code],$A8,T_SelfStock[WeekIndex],33)&gt;0)*(COUNTIFS(T_TTAFStock[RM_Code],$A8,T_TTAFStock[WeekIndex],33)&gt;0)&gt;0,SUMIFS(T_SelfStock[Self_Qty],T_SelfStock[RM_Code],$A8,T_SelfStock[WeekIndex],33)+SUMIFS(T_TTAFStock[TTAF_Qty],T_TTAFStock[RM_Code],$A8,T_TTAFStock[WeekIndex],33),AG8+'Grid_Incoming'!AH8-'Grid_Requirement'!AH8))</f>
        <v/>
      </c>
      <c r="AI8">
        <f>IF(COUNTIFS(T_StockCount[RM_Code],$A8,T_StockCount[WeekIndex],34)&gt;0,SUMIFS(T_StockCount[CountedQty],T_StockCount[RM_Code],$A8,T_StockCount[WeekIndex],34),IF((COUNTIFS(T_SelfStock[RM_Code],$A8,T_SelfStock[WeekIndex],34)&gt;0)*(COUNTIFS(T_TTAFStock[RM_Code],$A8,T_TTAFStock[WeekIndex],34)&gt;0)&gt;0,SUMIFS(T_SelfStock[Self_Qty],T_SelfStock[RM_Code],$A8,T_SelfStock[WeekIndex],34)+SUMIFS(T_TTAFStock[TTAF_Qty],T_TTAFStock[RM_Code],$A8,T_TTAFStock[WeekIndex],34),AH8+'Grid_Incoming'!AI8-'Grid_Requirement'!AI8))</f>
        <v/>
      </c>
      <c r="AJ8">
        <f>IF(COUNTIFS(T_StockCount[RM_Code],$A8,T_StockCount[WeekIndex],35)&gt;0,SUMIFS(T_StockCount[CountedQty],T_StockCount[RM_Code],$A8,T_StockCount[WeekIndex],35),IF((COUNTIFS(T_SelfStock[RM_Code],$A8,T_SelfStock[WeekIndex],35)&gt;0)*(COUNTIFS(T_TTAFStock[RM_Code],$A8,T_TTAFStock[WeekIndex],35)&gt;0)&gt;0,SUMIFS(T_SelfStock[Self_Qty],T_SelfStock[RM_Code],$A8,T_SelfStock[WeekIndex],35)+SUMIFS(T_TTAFStock[TTAF_Qty],T_TTAFStock[RM_Code],$A8,T_TTAFStock[WeekIndex],35),AI8+'Grid_Incoming'!AJ8-'Grid_Requirement'!AJ8))</f>
        <v/>
      </c>
      <c r="AK8">
        <f>IF(COUNTIFS(T_StockCount[RM_Code],$A8,T_StockCount[WeekIndex],36)&gt;0,SUMIFS(T_StockCount[CountedQty],T_StockCount[RM_Code],$A8,T_StockCount[WeekIndex],36),IF((COUNTIFS(T_SelfStock[RM_Code],$A8,T_SelfStock[WeekIndex],36)&gt;0)*(COUNTIFS(T_TTAFStock[RM_Code],$A8,T_TTAFStock[WeekIndex],36)&gt;0)&gt;0,SUMIFS(T_SelfStock[Self_Qty],T_SelfStock[RM_Code],$A8,T_SelfStock[WeekIndex],36)+SUMIFS(T_TTAFStock[TTAF_Qty],T_TTAFStock[RM_Code],$A8,T_TTAFStock[WeekIndex],36),AJ8+'Grid_Incoming'!AK8-'Grid_Requirement'!AK8))</f>
        <v/>
      </c>
      <c r="AL8">
        <f>IF(COUNTIFS(T_StockCount[RM_Code],$A8,T_StockCount[WeekIndex],37)&gt;0,SUMIFS(T_StockCount[CountedQty],T_StockCount[RM_Code],$A8,T_StockCount[WeekIndex],37),IF((COUNTIFS(T_SelfStock[RM_Code],$A8,T_SelfStock[WeekIndex],37)&gt;0)*(COUNTIFS(T_TTAFStock[RM_Code],$A8,T_TTAFStock[WeekIndex],37)&gt;0)&gt;0,SUMIFS(T_SelfStock[Self_Qty],T_SelfStock[RM_Code],$A8,T_SelfStock[WeekIndex],37)+SUMIFS(T_TTAFStock[TTAF_Qty],T_TTAFStock[RM_Code],$A8,T_TTAFStock[WeekIndex],37),AK8+'Grid_Incoming'!AL8-'Grid_Requirement'!AL8))</f>
        <v/>
      </c>
      <c r="AM8">
        <f>IF(COUNTIFS(T_StockCount[RM_Code],$A8,T_StockCount[WeekIndex],38)&gt;0,SUMIFS(T_StockCount[CountedQty],T_StockCount[RM_Code],$A8,T_StockCount[WeekIndex],38),IF((COUNTIFS(T_SelfStock[RM_Code],$A8,T_SelfStock[WeekIndex],38)&gt;0)*(COUNTIFS(T_TTAFStock[RM_Code],$A8,T_TTAFStock[WeekIndex],38)&gt;0)&gt;0,SUMIFS(T_SelfStock[Self_Qty],T_SelfStock[RM_Code],$A8,T_SelfStock[WeekIndex],38)+SUMIFS(T_TTAFStock[TTAF_Qty],T_TTAFStock[RM_Code],$A8,T_TTAFStock[WeekIndex],38),AL8+'Grid_Incoming'!AM8-'Grid_Requirement'!AM8))</f>
        <v/>
      </c>
      <c r="AN8">
        <f>IF(COUNTIFS(T_StockCount[RM_Code],$A8,T_StockCount[WeekIndex],39)&gt;0,SUMIFS(T_StockCount[CountedQty],T_StockCount[RM_Code],$A8,T_StockCount[WeekIndex],39),IF((COUNTIFS(T_SelfStock[RM_Code],$A8,T_SelfStock[WeekIndex],39)&gt;0)*(COUNTIFS(T_TTAFStock[RM_Code],$A8,T_TTAFStock[WeekIndex],39)&gt;0)&gt;0,SUMIFS(T_SelfStock[Self_Qty],T_SelfStock[RM_Code],$A8,T_SelfStock[WeekIndex],39)+SUMIFS(T_TTAFStock[TTAF_Qty],T_TTAFStock[RM_Code],$A8,T_TTAFStock[WeekIndex],39),AM8+'Grid_Incoming'!AN8-'Grid_Requirement'!AN8))</f>
        <v/>
      </c>
      <c r="AO8">
        <f>IF(COUNTIFS(T_StockCount[RM_Code],$A8,T_StockCount[WeekIndex],40)&gt;0,SUMIFS(T_StockCount[CountedQty],T_StockCount[RM_Code],$A8,T_StockCount[WeekIndex],40),IF((COUNTIFS(T_SelfStock[RM_Code],$A8,T_SelfStock[WeekIndex],40)&gt;0)*(COUNTIFS(T_TTAFStock[RM_Code],$A8,T_TTAFStock[WeekIndex],40)&gt;0)&gt;0,SUMIFS(T_SelfStock[Self_Qty],T_SelfStock[RM_Code],$A8,T_SelfStock[WeekIndex],40)+SUMIFS(T_TTAFStock[TTAF_Qty],T_TTAFStock[RM_Code],$A8,T_TTAFStock[WeekIndex],40),AN8+'Grid_Incoming'!AO8-'Grid_Requirement'!AO8))</f>
        <v/>
      </c>
      <c r="AP8">
        <f>IF(COUNTIFS(T_StockCount[RM_Code],$A8,T_StockCount[WeekIndex],41)&gt;0,SUMIFS(T_StockCount[CountedQty],T_StockCount[RM_Code],$A8,T_StockCount[WeekIndex],41),IF((COUNTIFS(T_SelfStock[RM_Code],$A8,T_SelfStock[WeekIndex],41)&gt;0)*(COUNTIFS(T_TTAFStock[RM_Code],$A8,T_TTAFStock[WeekIndex],41)&gt;0)&gt;0,SUMIFS(T_SelfStock[Self_Qty],T_SelfStock[RM_Code],$A8,T_SelfStock[WeekIndex],41)+SUMIFS(T_TTAFStock[TTAF_Qty],T_TTAFStock[RM_Code],$A8,T_TTAFStock[WeekIndex],41),AO8+'Grid_Incoming'!AP8-'Grid_Requirement'!AP8))</f>
        <v/>
      </c>
      <c r="AQ8">
        <f>IF(COUNTIFS(T_StockCount[RM_Code],$A8,T_StockCount[WeekIndex],42)&gt;0,SUMIFS(T_StockCount[CountedQty],T_StockCount[RM_Code],$A8,T_StockCount[WeekIndex],42),IF((COUNTIFS(T_SelfStock[RM_Code],$A8,T_SelfStock[WeekIndex],42)&gt;0)*(COUNTIFS(T_TTAFStock[RM_Code],$A8,T_TTAFStock[WeekIndex],42)&gt;0)&gt;0,SUMIFS(T_SelfStock[Self_Qty],T_SelfStock[RM_Code],$A8,T_SelfStock[WeekIndex],42)+SUMIFS(T_TTAFStock[TTAF_Qty],T_TTAFStock[RM_Code],$A8,T_TTAFStock[WeekIndex],42),AP8+'Grid_Incoming'!AQ8-'Grid_Requirement'!AQ8))</f>
        <v/>
      </c>
      <c r="AR8">
        <f>IF(COUNTIFS(T_StockCount[RM_Code],$A8,T_StockCount[WeekIndex],43)&gt;0,SUMIFS(T_StockCount[CountedQty],T_StockCount[RM_Code],$A8,T_StockCount[WeekIndex],43),IF((COUNTIFS(T_SelfStock[RM_Code],$A8,T_SelfStock[WeekIndex],43)&gt;0)*(COUNTIFS(T_TTAFStock[RM_Code],$A8,T_TTAFStock[WeekIndex],43)&gt;0)&gt;0,SUMIFS(T_SelfStock[Self_Qty],T_SelfStock[RM_Code],$A8,T_SelfStock[WeekIndex],43)+SUMIFS(T_TTAFStock[TTAF_Qty],T_TTAFStock[RM_Code],$A8,T_TTAFStock[WeekIndex],43),AQ8+'Grid_Incoming'!AR8-'Grid_Requirement'!AR8))</f>
        <v/>
      </c>
      <c r="AS8">
        <f>IF(COUNTIFS(T_StockCount[RM_Code],$A8,T_StockCount[WeekIndex],44)&gt;0,SUMIFS(T_StockCount[CountedQty],T_StockCount[RM_Code],$A8,T_StockCount[WeekIndex],44),IF((COUNTIFS(T_SelfStock[RM_Code],$A8,T_SelfStock[WeekIndex],44)&gt;0)*(COUNTIFS(T_TTAFStock[RM_Code],$A8,T_TTAFStock[WeekIndex],44)&gt;0)&gt;0,SUMIFS(T_SelfStock[Self_Qty],T_SelfStock[RM_Code],$A8,T_SelfStock[WeekIndex],44)+SUMIFS(T_TTAFStock[TTAF_Qty],T_TTAFStock[RM_Code],$A8,T_TTAFStock[WeekIndex],44),AR8+'Grid_Incoming'!AS8-'Grid_Requirement'!AS8))</f>
        <v/>
      </c>
      <c r="AT8">
        <f>IF(COUNTIFS(T_StockCount[RM_Code],$A8,T_StockCount[WeekIndex],45)&gt;0,SUMIFS(T_StockCount[CountedQty],T_StockCount[RM_Code],$A8,T_StockCount[WeekIndex],45),IF((COUNTIFS(T_SelfStock[RM_Code],$A8,T_SelfStock[WeekIndex],45)&gt;0)*(COUNTIFS(T_TTAFStock[RM_Code],$A8,T_TTAFStock[WeekIndex],45)&gt;0)&gt;0,SUMIFS(T_SelfStock[Self_Qty],T_SelfStock[RM_Code],$A8,T_SelfStock[WeekIndex],45)+SUMIFS(T_TTAFStock[TTAF_Qty],T_TTAFStock[RM_Code],$A8,T_TTAFStock[WeekIndex],45),AS8+'Grid_Incoming'!AT8-'Grid_Requirement'!AT8))</f>
        <v/>
      </c>
      <c r="AU8">
        <f>IF(COUNTIFS(T_StockCount[RM_Code],$A8,T_StockCount[WeekIndex],46)&gt;0,SUMIFS(T_StockCount[CountedQty],T_StockCount[RM_Code],$A8,T_StockCount[WeekIndex],46),IF((COUNTIFS(T_SelfStock[RM_Code],$A8,T_SelfStock[WeekIndex],46)&gt;0)*(COUNTIFS(T_TTAFStock[RM_Code],$A8,T_TTAFStock[WeekIndex],46)&gt;0)&gt;0,SUMIFS(T_SelfStock[Self_Qty],T_SelfStock[RM_Code],$A8,T_SelfStock[WeekIndex],46)+SUMIFS(T_TTAFStock[TTAF_Qty],T_TTAFStock[RM_Code],$A8,T_TTAFStock[WeekIndex],46),AT8+'Grid_Incoming'!AU8-'Grid_Requirement'!AU8))</f>
        <v/>
      </c>
      <c r="AV8">
        <f>IF(COUNTIFS(T_StockCount[RM_Code],$A8,T_StockCount[WeekIndex],47)&gt;0,SUMIFS(T_StockCount[CountedQty],T_StockCount[RM_Code],$A8,T_StockCount[WeekIndex],47),IF((COUNTIFS(T_SelfStock[RM_Code],$A8,T_SelfStock[WeekIndex],47)&gt;0)*(COUNTIFS(T_TTAFStock[RM_Code],$A8,T_TTAFStock[WeekIndex],47)&gt;0)&gt;0,SUMIFS(T_SelfStock[Self_Qty],T_SelfStock[RM_Code],$A8,T_SelfStock[WeekIndex],47)+SUMIFS(T_TTAFStock[TTAF_Qty],T_TTAFStock[RM_Code],$A8,T_TTAFStock[WeekIndex],47),AU8+'Grid_Incoming'!AV8-'Grid_Requirement'!AV8))</f>
        <v/>
      </c>
      <c r="AW8">
        <f>IF(COUNTIFS(T_StockCount[RM_Code],$A8,T_StockCount[WeekIndex],48)&gt;0,SUMIFS(T_StockCount[CountedQty],T_StockCount[RM_Code],$A8,T_StockCount[WeekIndex],48),IF((COUNTIFS(T_SelfStock[RM_Code],$A8,T_SelfStock[WeekIndex],48)&gt;0)*(COUNTIFS(T_TTAFStock[RM_Code],$A8,T_TTAFStock[WeekIndex],48)&gt;0)&gt;0,SUMIFS(T_SelfStock[Self_Qty],T_SelfStock[RM_Code],$A8,T_SelfStock[WeekIndex],48)+SUMIFS(T_TTAFStock[TTAF_Qty],T_TTAFStock[RM_Code],$A8,T_TTAFStock[WeekIndex],48),AV8+'Grid_Incoming'!AW8-'Grid_Requirement'!AW8))</f>
        <v/>
      </c>
      <c r="AX8">
        <f>IF(COUNTIFS(T_StockCount[RM_Code],$A8,T_StockCount[WeekIndex],49)&gt;0,SUMIFS(T_StockCount[CountedQty],T_StockCount[RM_Code],$A8,T_StockCount[WeekIndex],49),IF((COUNTIFS(T_SelfStock[RM_Code],$A8,T_SelfStock[WeekIndex],49)&gt;0)*(COUNTIFS(T_TTAFStock[RM_Code],$A8,T_TTAFStock[WeekIndex],49)&gt;0)&gt;0,SUMIFS(T_SelfStock[Self_Qty],T_SelfStock[RM_Code],$A8,T_SelfStock[WeekIndex],49)+SUMIFS(T_TTAFStock[TTAF_Qty],T_TTAFStock[RM_Code],$A8,T_TTAFStock[WeekIndex],49),AW8+'Grid_Incoming'!AX8-'Grid_Requirement'!AX8))</f>
        <v/>
      </c>
      <c r="AY8">
        <f>IF(COUNTIFS(T_StockCount[RM_Code],$A8,T_StockCount[WeekIndex],50)&gt;0,SUMIFS(T_StockCount[CountedQty],T_StockCount[RM_Code],$A8,T_StockCount[WeekIndex],50),IF((COUNTIFS(T_SelfStock[RM_Code],$A8,T_SelfStock[WeekIndex],50)&gt;0)*(COUNTIFS(T_TTAFStock[RM_Code],$A8,T_TTAFStock[WeekIndex],50)&gt;0)&gt;0,SUMIFS(T_SelfStock[Self_Qty],T_SelfStock[RM_Code],$A8,T_SelfStock[WeekIndex],50)+SUMIFS(T_TTAFStock[TTAF_Qty],T_TTAFStock[RM_Code],$A8,T_TTAFStock[WeekIndex],50),AX8+'Grid_Incoming'!AY8-'Grid_Requirement'!AY8))</f>
        <v/>
      </c>
      <c r="AZ8">
        <f>IF(COUNTIFS(T_StockCount[RM_Code],$A8,T_StockCount[WeekIndex],51)&gt;0,SUMIFS(T_StockCount[CountedQty],T_StockCount[RM_Code],$A8,T_StockCount[WeekIndex],51),IF((COUNTIFS(T_SelfStock[RM_Code],$A8,T_SelfStock[WeekIndex],51)&gt;0)*(COUNTIFS(T_TTAFStock[RM_Code],$A8,T_TTAFStock[WeekIndex],51)&gt;0)&gt;0,SUMIFS(T_SelfStock[Self_Qty],T_SelfStock[RM_Code],$A8,T_SelfStock[WeekIndex],51)+SUMIFS(T_TTAFStock[TTAF_Qty],T_TTAFStock[RM_Code],$A8,T_TTAFStock[WeekIndex],51),AY8+'Grid_Incoming'!AZ8-'Grid_Requirement'!AZ8))</f>
        <v/>
      </c>
      <c r="BA8">
        <f>IF(COUNTIFS(T_StockCount[RM_Code],$A8,T_StockCount[WeekIndex],52)&gt;0,SUMIFS(T_StockCount[CountedQty],T_StockCount[RM_Code],$A8,T_StockCount[WeekIndex],52),IF((COUNTIFS(T_SelfStock[RM_Code],$A8,T_SelfStock[WeekIndex],52)&gt;0)*(COUNTIFS(T_TTAFStock[RM_Code],$A8,T_TTAFStock[WeekIndex],52)&gt;0)&gt;0,SUMIFS(T_SelfStock[Self_Qty],T_SelfStock[RM_Code],$A8,T_SelfStock[WeekIndex],52)+SUMIFS(T_TTAFStock[TTAF_Qty],T_TTAFStock[RM_Code],$A8,T_TTAFStock[WeekIndex],52),AZ8+'Grid_Incoming'!BA8-'Grid_Requirement'!BA8))</f>
        <v/>
      </c>
      <c r="BB8">
        <f>IF(COUNTIFS(T_StockCount[RM_Code],$A8,T_StockCount[WeekIndex],53)&gt;0,SUMIFS(T_StockCount[CountedQty],T_StockCount[RM_Code],$A8,T_StockCount[WeekIndex],53),IF((COUNTIFS(T_SelfStock[RM_Code],$A8,T_SelfStock[WeekIndex],53)&gt;0)*(COUNTIFS(T_TTAFStock[RM_Code],$A8,T_TTAFStock[WeekIndex],53)&gt;0)&gt;0,SUMIFS(T_SelfStock[Self_Qty],T_SelfStock[RM_Code],$A8,T_SelfStock[WeekIndex],53)+SUMIFS(T_TTAFStock[TTAF_Qty],T_TTAFStock[RM_Code],$A8,T_TTAFStock[WeekIndex],53),BA8+'Grid_Incoming'!BB8-'Grid_Requirement'!BB8))</f>
        <v/>
      </c>
      <c r="BC8">
        <f>IF(COUNTIFS(T_StockCount[RM_Code],$A8,T_StockCount[WeekIndex],54)&gt;0,SUMIFS(T_StockCount[CountedQty],T_StockCount[RM_Code],$A8,T_StockCount[WeekIndex],54),IF((COUNTIFS(T_SelfStock[RM_Code],$A8,T_SelfStock[WeekIndex],54)&gt;0)*(COUNTIFS(T_TTAFStock[RM_Code],$A8,T_TTAFStock[WeekIndex],54)&gt;0)&gt;0,SUMIFS(T_SelfStock[Self_Qty],T_SelfStock[RM_Code],$A8,T_SelfStock[WeekIndex],54)+SUMIFS(T_TTAFStock[TTAF_Qty],T_TTAFStock[RM_Code],$A8,T_TTAFStock[WeekIndex],54),BB8+'Grid_Incoming'!BC8-'Grid_Requirement'!BC8))</f>
        <v/>
      </c>
      <c r="BD8">
        <f>IF(COUNTIFS(T_StockCount[RM_Code],$A8,T_StockCount[WeekIndex],55)&gt;0,SUMIFS(T_StockCount[CountedQty],T_StockCount[RM_Code],$A8,T_StockCount[WeekIndex],55),IF((COUNTIFS(T_SelfStock[RM_Code],$A8,T_SelfStock[WeekIndex],55)&gt;0)*(COUNTIFS(T_TTAFStock[RM_Code],$A8,T_TTAFStock[WeekIndex],55)&gt;0)&gt;0,SUMIFS(T_SelfStock[Self_Qty],T_SelfStock[RM_Code],$A8,T_SelfStock[WeekIndex],55)+SUMIFS(T_TTAFStock[TTAF_Qty],T_TTAFStock[RM_Code],$A8,T_TTAFStock[WeekIndex],55),BC8+'Grid_Incoming'!BD8-'Grid_Requirement'!BD8))</f>
        <v/>
      </c>
      <c r="BE8">
        <f>IF(COUNTIFS(T_StockCount[RM_Code],$A8,T_StockCount[WeekIndex],56)&gt;0,SUMIFS(T_StockCount[CountedQty],T_StockCount[RM_Code],$A8,T_StockCount[WeekIndex],56),IF((COUNTIFS(T_SelfStock[RM_Code],$A8,T_SelfStock[WeekIndex],56)&gt;0)*(COUNTIFS(T_TTAFStock[RM_Code],$A8,T_TTAFStock[WeekIndex],56)&gt;0)&gt;0,SUMIFS(T_SelfStock[Self_Qty],T_SelfStock[RM_Code],$A8,T_SelfStock[WeekIndex],56)+SUMIFS(T_TTAFStock[TTAF_Qty],T_TTAFStock[RM_Code],$A8,T_TTAFStock[WeekIndex],56),BD8+'Grid_Incoming'!BE8-'Grid_Requirement'!BE8))</f>
        <v/>
      </c>
      <c r="BF8">
        <f>IF(COUNTIFS(T_StockCount[RM_Code],$A8,T_StockCount[WeekIndex],57)&gt;0,SUMIFS(T_StockCount[CountedQty],T_StockCount[RM_Code],$A8,T_StockCount[WeekIndex],57),IF((COUNTIFS(T_SelfStock[RM_Code],$A8,T_SelfStock[WeekIndex],57)&gt;0)*(COUNTIFS(T_TTAFStock[RM_Code],$A8,T_TTAFStock[WeekIndex],57)&gt;0)&gt;0,SUMIFS(T_SelfStock[Self_Qty],T_SelfStock[RM_Code],$A8,T_SelfStock[WeekIndex],57)+SUMIFS(T_TTAFStock[TTAF_Qty],T_TTAFStock[RM_Code],$A8,T_TTAFStock[WeekIndex],57),BE8+'Grid_Incoming'!BF8-'Grid_Requirement'!BF8))</f>
        <v/>
      </c>
      <c r="BG8">
        <f>IF(COUNTIFS(T_StockCount[RM_Code],$A8,T_StockCount[WeekIndex],58)&gt;0,SUMIFS(T_StockCount[CountedQty],T_StockCount[RM_Code],$A8,T_StockCount[WeekIndex],58),IF((COUNTIFS(T_SelfStock[RM_Code],$A8,T_SelfStock[WeekIndex],58)&gt;0)*(COUNTIFS(T_TTAFStock[RM_Code],$A8,T_TTAFStock[WeekIndex],58)&gt;0)&gt;0,SUMIFS(T_SelfStock[Self_Qty],T_SelfStock[RM_Code],$A8,T_SelfStock[WeekIndex],58)+SUMIFS(T_TTAFStock[TTAF_Qty],T_TTAFStock[RM_Code],$A8,T_TTAFStock[WeekIndex],58),BF8+'Grid_Incoming'!BG8-'Grid_Requirement'!BG8))</f>
        <v/>
      </c>
      <c r="BH8">
        <f>IF(COUNTIFS(T_StockCount[RM_Code],$A8,T_StockCount[WeekIndex],59)&gt;0,SUMIFS(T_StockCount[CountedQty],T_StockCount[RM_Code],$A8,T_StockCount[WeekIndex],59),IF((COUNTIFS(T_SelfStock[RM_Code],$A8,T_SelfStock[WeekIndex],59)&gt;0)*(COUNTIFS(T_TTAFStock[RM_Code],$A8,T_TTAFStock[WeekIndex],59)&gt;0)&gt;0,SUMIFS(T_SelfStock[Self_Qty],T_SelfStock[RM_Code],$A8,T_SelfStock[WeekIndex],59)+SUMIFS(T_TTAFStock[TTAF_Qty],T_TTAFStock[RM_Code],$A8,T_TTAFStock[WeekIndex],59),BG8+'Grid_Incoming'!BH8-'Grid_Requirement'!BH8))</f>
        <v/>
      </c>
      <c r="BI8">
        <f>IF(COUNTIFS(T_StockCount[RM_Code],$A8,T_StockCount[WeekIndex],60)&gt;0,SUMIFS(T_StockCount[CountedQty],T_StockCount[RM_Code],$A8,T_StockCount[WeekIndex],60),IF((COUNTIFS(T_SelfStock[RM_Code],$A8,T_SelfStock[WeekIndex],60)&gt;0)*(COUNTIFS(T_TTAFStock[RM_Code],$A8,T_TTAFStock[WeekIndex],60)&gt;0)&gt;0,SUMIFS(T_SelfStock[Self_Qty],T_SelfStock[RM_Code],$A8,T_SelfStock[WeekIndex],60)+SUMIFS(T_TTAFStock[TTAF_Qty],T_TTAFStock[RM_Code],$A8,T_TTAFStock[WeekIndex],60),BH8+'Grid_Incoming'!BI8-'Grid_Requirement'!BI8))</f>
        <v/>
      </c>
      <c r="BJ8">
        <f>IF(COUNTIFS(T_StockCount[RM_Code],$A8,T_StockCount[WeekIndex],61)&gt;0,SUMIFS(T_StockCount[CountedQty],T_StockCount[RM_Code],$A8,T_StockCount[WeekIndex],61),IF((COUNTIFS(T_SelfStock[RM_Code],$A8,T_SelfStock[WeekIndex],61)&gt;0)*(COUNTIFS(T_TTAFStock[RM_Code],$A8,T_TTAFStock[WeekIndex],61)&gt;0)&gt;0,SUMIFS(T_SelfStock[Self_Qty],T_SelfStock[RM_Code],$A8,T_SelfStock[WeekIndex],61)+SUMIFS(T_TTAFStock[TTAF_Qty],T_TTAFStock[RM_Code],$A8,T_TTAFStock[WeekIndex],61),BI8+'Grid_Incoming'!BJ8-'Grid_Requirement'!BJ8))</f>
        <v/>
      </c>
      <c r="BK8">
        <f>IF(COUNTIFS(T_StockCount[RM_Code],$A8,T_StockCount[WeekIndex],62)&gt;0,SUMIFS(T_StockCount[CountedQty],T_StockCount[RM_Code],$A8,T_StockCount[WeekIndex],62),IF((COUNTIFS(T_SelfStock[RM_Code],$A8,T_SelfStock[WeekIndex],62)&gt;0)*(COUNTIFS(T_TTAFStock[RM_Code],$A8,T_TTAFStock[WeekIndex],62)&gt;0)&gt;0,SUMIFS(T_SelfStock[Self_Qty],T_SelfStock[RM_Code],$A8,T_SelfStock[WeekIndex],62)+SUMIFS(T_TTAFStock[TTAF_Qty],T_TTAFStock[RM_Code],$A8,T_TTAFStock[WeekIndex],62),BJ8+'Grid_Incoming'!BK8-'Grid_Requirement'!BK8))</f>
        <v/>
      </c>
      <c r="BL8">
        <f>IF(COUNTIFS(T_StockCount[RM_Code],$A8,T_StockCount[WeekIndex],63)&gt;0,SUMIFS(T_StockCount[CountedQty],T_StockCount[RM_Code],$A8,T_StockCount[WeekIndex],63),IF((COUNTIFS(T_SelfStock[RM_Code],$A8,T_SelfStock[WeekIndex],63)&gt;0)*(COUNTIFS(T_TTAFStock[RM_Code],$A8,T_TTAFStock[WeekIndex],63)&gt;0)&gt;0,SUMIFS(T_SelfStock[Self_Qty],T_SelfStock[RM_Code],$A8,T_SelfStock[WeekIndex],63)+SUMIFS(T_TTAFStock[TTAF_Qty],T_TTAFStock[RM_Code],$A8,T_TTAFStock[WeekIndex],63),BK8+'Grid_Incoming'!BL8-'Grid_Requirement'!BL8))</f>
        <v/>
      </c>
      <c r="BM8">
        <f>IF(COUNTIFS(T_StockCount[RM_Code],$A8,T_StockCount[WeekIndex],64)&gt;0,SUMIFS(T_StockCount[CountedQty],T_StockCount[RM_Code],$A8,T_StockCount[WeekIndex],64),IF((COUNTIFS(T_SelfStock[RM_Code],$A8,T_SelfStock[WeekIndex],64)&gt;0)*(COUNTIFS(T_TTAFStock[RM_Code],$A8,T_TTAFStock[WeekIndex],64)&gt;0)&gt;0,SUMIFS(T_SelfStock[Self_Qty],T_SelfStock[RM_Code],$A8,T_SelfStock[WeekIndex],64)+SUMIFS(T_TTAFStock[TTAF_Qty],T_TTAFStock[RM_Code],$A8,T_TTAFStock[WeekIndex],64),BL8+'Grid_Incoming'!BM8-'Grid_Requirement'!BM8))</f>
        <v/>
      </c>
      <c r="BN8">
        <f>IF(COUNTIFS(T_StockCount[RM_Code],$A8,T_StockCount[WeekIndex],65)&gt;0,SUMIFS(T_StockCount[CountedQty],T_StockCount[RM_Code],$A8,T_StockCount[WeekIndex],65),IF((COUNTIFS(T_SelfStock[RM_Code],$A8,T_SelfStock[WeekIndex],65)&gt;0)*(COUNTIFS(T_TTAFStock[RM_Code],$A8,T_TTAFStock[WeekIndex],65)&gt;0)&gt;0,SUMIFS(T_SelfStock[Self_Qty],T_SelfStock[RM_Code],$A8,T_SelfStock[WeekIndex],65)+SUMIFS(T_TTAFStock[TTAF_Qty],T_TTAFStock[RM_Code],$A8,T_TTAFStock[WeekIndex],65),BM8+'Grid_Incoming'!BN8-'Grid_Requirement'!BN8))</f>
        <v/>
      </c>
      <c r="BO8">
        <f>IF(COUNTIFS(T_StockCount[RM_Code],$A8,T_StockCount[WeekIndex],66)&gt;0,SUMIFS(T_StockCount[CountedQty],T_StockCount[RM_Code],$A8,T_StockCount[WeekIndex],66),IF((COUNTIFS(T_SelfStock[RM_Code],$A8,T_SelfStock[WeekIndex],66)&gt;0)*(COUNTIFS(T_TTAFStock[RM_Code],$A8,T_TTAFStock[WeekIndex],66)&gt;0)&gt;0,SUMIFS(T_SelfStock[Self_Qty],T_SelfStock[RM_Code],$A8,T_SelfStock[WeekIndex],66)+SUMIFS(T_TTAFStock[TTAF_Qty],T_TTAFStock[RM_Code],$A8,T_TTAFStock[WeekIndex],66),BN8+'Grid_Incoming'!BO8-'Grid_Requirement'!BO8))</f>
        <v/>
      </c>
      <c r="BP8">
        <f>IF(COUNTIFS(T_StockCount[RM_Code],$A8,T_StockCount[WeekIndex],67)&gt;0,SUMIFS(T_StockCount[CountedQty],T_StockCount[RM_Code],$A8,T_StockCount[WeekIndex],67),IF((COUNTIFS(T_SelfStock[RM_Code],$A8,T_SelfStock[WeekIndex],67)&gt;0)*(COUNTIFS(T_TTAFStock[RM_Code],$A8,T_TTAFStock[WeekIndex],67)&gt;0)&gt;0,SUMIFS(T_SelfStock[Self_Qty],T_SelfStock[RM_Code],$A8,T_SelfStock[WeekIndex],67)+SUMIFS(T_TTAFStock[TTAF_Qty],T_TTAFStock[RM_Code],$A8,T_TTAFStock[WeekIndex],67),BO8+'Grid_Incoming'!BP8-'Grid_Requirement'!BP8))</f>
        <v/>
      </c>
      <c r="BQ8">
        <f>IF(COUNTIFS(T_StockCount[RM_Code],$A8,T_StockCount[WeekIndex],68)&gt;0,SUMIFS(T_StockCount[CountedQty],T_StockCount[RM_Code],$A8,T_StockCount[WeekIndex],68),IF((COUNTIFS(T_SelfStock[RM_Code],$A8,T_SelfStock[WeekIndex],68)&gt;0)*(COUNTIFS(T_TTAFStock[RM_Code],$A8,T_TTAFStock[WeekIndex],68)&gt;0)&gt;0,SUMIFS(T_SelfStock[Self_Qty],T_SelfStock[RM_Code],$A8,T_SelfStock[WeekIndex],68)+SUMIFS(T_TTAFStock[TTAF_Qty],T_TTAFStock[RM_Code],$A8,T_TTAFStock[WeekIndex],68),BP8+'Grid_Incoming'!BQ8-'Grid_Requirement'!BQ8))</f>
        <v/>
      </c>
      <c r="BR8">
        <f>IF(COUNTIFS(T_StockCount[RM_Code],$A8,T_StockCount[WeekIndex],69)&gt;0,SUMIFS(T_StockCount[CountedQty],T_StockCount[RM_Code],$A8,T_StockCount[WeekIndex],69),IF((COUNTIFS(T_SelfStock[RM_Code],$A8,T_SelfStock[WeekIndex],69)&gt;0)*(COUNTIFS(T_TTAFStock[RM_Code],$A8,T_TTAFStock[WeekIndex],69)&gt;0)&gt;0,SUMIFS(T_SelfStock[Self_Qty],T_SelfStock[RM_Code],$A8,T_SelfStock[WeekIndex],69)+SUMIFS(T_TTAFStock[TTAF_Qty],T_TTAFStock[RM_Code],$A8,T_TTAFStock[WeekIndex],69),BQ8+'Grid_Incoming'!BR8-'Grid_Requirement'!BR8))</f>
        <v/>
      </c>
      <c r="BS8">
        <f>IF(COUNTIFS(T_StockCount[RM_Code],$A8,T_StockCount[WeekIndex],70)&gt;0,SUMIFS(T_StockCount[CountedQty],T_StockCount[RM_Code],$A8,T_StockCount[WeekIndex],70),IF((COUNTIFS(T_SelfStock[RM_Code],$A8,T_SelfStock[WeekIndex],70)&gt;0)*(COUNTIFS(T_TTAFStock[RM_Code],$A8,T_TTAFStock[WeekIndex],70)&gt;0)&gt;0,SUMIFS(T_SelfStock[Self_Qty],T_SelfStock[RM_Code],$A8,T_SelfStock[WeekIndex],70)+SUMIFS(T_TTAFStock[TTAF_Qty],T_TTAFStock[RM_Code],$A8,T_TTAFStock[WeekIndex],70),BR8+'Grid_Incoming'!BS8-'Grid_Requirement'!BS8))</f>
        <v/>
      </c>
      <c r="BT8">
        <f>IF(COUNTIFS(T_StockCount[RM_Code],$A8,T_StockCount[WeekIndex],71)&gt;0,SUMIFS(T_StockCount[CountedQty],T_StockCount[RM_Code],$A8,T_StockCount[WeekIndex],71),IF((COUNTIFS(T_SelfStock[RM_Code],$A8,T_SelfStock[WeekIndex],71)&gt;0)*(COUNTIFS(T_TTAFStock[RM_Code],$A8,T_TTAFStock[WeekIndex],71)&gt;0)&gt;0,SUMIFS(T_SelfStock[Self_Qty],T_SelfStock[RM_Code],$A8,T_SelfStock[WeekIndex],71)+SUMIFS(T_TTAFStock[TTAF_Qty],T_TTAFStock[RM_Code],$A8,T_TTAFStock[WeekIndex],71),BS8+'Grid_Incoming'!BT8-'Grid_Requirement'!BT8))</f>
        <v/>
      </c>
      <c r="BU8">
        <f>IF(COUNTIFS(T_StockCount[RM_Code],$A8,T_StockCount[WeekIndex],72)&gt;0,SUMIFS(T_StockCount[CountedQty],T_StockCount[RM_Code],$A8,T_StockCount[WeekIndex],72),IF((COUNTIFS(T_SelfStock[RM_Code],$A8,T_SelfStock[WeekIndex],72)&gt;0)*(COUNTIFS(T_TTAFStock[RM_Code],$A8,T_TTAFStock[WeekIndex],72)&gt;0)&gt;0,SUMIFS(T_SelfStock[Self_Qty],T_SelfStock[RM_Code],$A8,T_SelfStock[WeekIndex],72)+SUMIFS(T_TTAFStock[TTAF_Qty],T_TTAFStock[RM_Code],$A8,T_TTAFStock[WeekIndex],72),BT8+'Grid_Incoming'!BU8-'Grid_Requirement'!BU8))</f>
        <v/>
      </c>
      <c r="BV8">
        <f>IF(COUNTIFS(T_StockCount[RM_Code],$A8,T_StockCount[WeekIndex],73)&gt;0,SUMIFS(T_StockCount[CountedQty],T_StockCount[RM_Code],$A8,T_StockCount[WeekIndex],73),IF((COUNTIFS(T_SelfStock[RM_Code],$A8,T_SelfStock[WeekIndex],73)&gt;0)*(COUNTIFS(T_TTAFStock[RM_Code],$A8,T_TTAFStock[WeekIndex],73)&gt;0)&gt;0,SUMIFS(T_SelfStock[Self_Qty],T_SelfStock[RM_Code],$A8,T_SelfStock[WeekIndex],73)+SUMIFS(T_TTAFStock[TTAF_Qty],T_TTAFStock[RM_Code],$A8,T_TTAFStock[WeekIndex],73),BU8+'Grid_Incoming'!BV8-'Grid_Requirement'!BV8))</f>
        <v/>
      </c>
      <c r="BW8">
        <f>IF(COUNTIFS(T_StockCount[RM_Code],$A8,T_StockCount[WeekIndex],74)&gt;0,SUMIFS(T_StockCount[CountedQty],T_StockCount[RM_Code],$A8,T_StockCount[WeekIndex],74),IF((COUNTIFS(T_SelfStock[RM_Code],$A8,T_SelfStock[WeekIndex],74)&gt;0)*(COUNTIFS(T_TTAFStock[RM_Code],$A8,T_TTAFStock[WeekIndex],74)&gt;0)&gt;0,SUMIFS(T_SelfStock[Self_Qty],T_SelfStock[RM_Code],$A8,T_SelfStock[WeekIndex],74)+SUMIFS(T_TTAFStock[TTAF_Qty],T_TTAFStock[RM_Code],$A8,T_TTAFStock[WeekIndex],74),BV8+'Grid_Incoming'!BW8-'Grid_Requirement'!BW8))</f>
        <v/>
      </c>
      <c r="BX8">
        <f>IF(COUNTIFS(T_StockCount[RM_Code],$A8,T_StockCount[WeekIndex],75)&gt;0,SUMIFS(T_StockCount[CountedQty],T_StockCount[RM_Code],$A8,T_StockCount[WeekIndex],75),IF((COUNTIFS(T_SelfStock[RM_Code],$A8,T_SelfStock[WeekIndex],75)&gt;0)*(COUNTIFS(T_TTAFStock[RM_Code],$A8,T_TTAFStock[WeekIndex],75)&gt;0)&gt;0,SUMIFS(T_SelfStock[Self_Qty],T_SelfStock[RM_Code],$A8,T_SelfStock[WeekIndex],75)+SUMIFS(T_TTAFStock[TTAF_Qty],T_TTAFStock[RM_Code],$A8,T_TTAFStock[WeekIndex],75),BW8+'Grid_Incoming'!BX8-'Grid_Requirement'!BX8))</f>
        <v/>
      </c>
      <c r="BY8">
        <f>IF(COUNTIFS(T_StockCount[RM_Code],$A8,T_StockCount[WeekIndex],76)&gt;0,SUMIFS(T_StockCount[CountedQty],T_StockCount[RM_Code],$A8,T_StockCount[WeekIndex],76),IF((COUNTIFS(T_SelfStock[RM_Code],$A8,T_SelfStock[WeekIndex],76)&gt;0)*(COUNTIFS(T_TTAFStock[RM_Code],$A8,T_TTAFStock[WeekIndex],76)&gt;0)&gt;0,SUMIFS(T_SelfStock[Self_Qty],T_SelfStock[RM_Code],$A8,T_SelfStock[WeekIndex],76)+SUMIFS(T_TTAFStock[TTAF_Qty],T_TTAFStock[RM_Code],$A8,T_TTAFStock[WeekIndex],76),BX8+'Grid_Incoming'!BY8-'Grid_Requirement'!BY8))</f>
        <v/>
      </c>
      <c r="BZ8">
        <f>IF(COUNTIFS(T_StockCount[RM_Code],$A8,T_StockCount[WeekIndex],77)&gt;0,SUMIFS(T_StockCount[CountedQty],T_StockCount[RM_Code],$A8,T_StockCount[WeekIndex],77),IF((COUNTIFS(T_SelfStock[RM_Code],$A8,T_SelfStock[WeekIndex],77)&gt;0)*(COUNTIFS(T_TTAFStock[RM_Code],$A8,T_TTAFStock[WeekIndex],77)&gt;0)&gt;0,SUMIFS(T_SelfStock[Self_Qty],T_SelfStock[RM_Code],$A8,T_SelfStock[WeekIndex],77)+SUMIFS(T_TTAFStock[TTAF_Qty],T_TTAFStock[RM_Code],$A8,T_TTAFStock[WeekIndex],77),BY8+'Grid_Incoming'!BZ8-'Grid_Requirement'!BZ8))</f>
        <v/>
      </c>
      <c r="CA8">
        <f>IF(COUNTIFS(T_StockCount[RM_Code],$A8,T_StockCount[WeekIndex],78)&gt;0,SUMIFS(T_StockCount[CountedQty],T_StockCount[RM_Code],$A8,T_StockCount[WeekIndex],78),IF((COUNTIFS(T_SelfStock[RM_Code],$A8,T_SelfStock[WeekIndex],78)&gt;0)*(COUNTIFS(T_TTAFStock[RM_Code],$A8,T_TTAFStock[WeekIndex],78)&gt;0)&gt;0,SUMIFS(T_SelfStock[Self_Qty],T_SelfStock[RM_Code],$A8,T_SelfStock[WeekIndex],78)+SUMIFS(T_TTAFStock[TTAF_Qty],T_TTAFStock[RM_Code],$A8,T_TTAFStock[WeekIndex],78),BZ8+'Grid_Incoming'!CA8-'Grid_Requirement'!CA8))</f>
        <v/>
      </c>
      <c r="CB8">
        <f>IF(COUNTIFS(T_StockCount[RM_Code],$A8,T_StockCount[WeekIndex],79)&gt;0,SUMIFS(T_StockCount[CountedQty],T_StockCount[RM_Code],$A8,T_StockCount[WeekIndex],79),IF((COUNTIFS(T_SelfStock[RM_Code],$A8,T_SelfStock[WeekIndex],79)&gt;0)*(COUNTIFS(T_TTAFStock[RM_Code],$A8,T_TTAFStock[WeekIndex],79)&gt;0)&gt;0,SUMIFS(T_SelfStock[Self_Qty],T_SelfStock[RM_Code],$A8,T_SelfStock[WeekIndex],79)+SUMIFS(T_TTAFStock[TTAF_Qty],T_TTAFStock[RM_Code],$A8,T_TTAFStock[WeekIndex],79),CA8+'Grid_Incoming'!CB8-'Grid_Requirement'!CB8))</f>
        <v/>
      </c>
      <c r="CC8">
        <f>IF(COUNTIFS(T_StockCount[RM_Code],$A8,T_StockCount[WeekIndex],80)&gt;0,SUMIFS(T_StockCount[CountedQty],T_StockCount[RM_Code],$A8,T_StockCount[WeekIndex],80),IF((COUNTIFS(T_SelfStock[RM_Code],$A8,T_SelfStock[WeekIndex],80)&gt;0)*(COUNTIFS(T_TTAFStock[RM_Code],$A8,T_TTAFStock[WeekIndex],80)&gt;0)&gt;0,SUMIFS(T_SelfStock[Self_Qty],T_SelfStock[RM_Code],$A8,T_SelfStock[WeekIndex],80)+SUMIFS(T_TTAFStock[TTAF_Qty],T_TTAFStock[RM_Code],$A8,T_TTAFStock[WeekIndex],80),CB8+'Grid_Incoming'!CC8-'Grid_Requirement'!CC8))</f>
        <v/>
      </c>
      <c r="CD8">
        <f>IF(COUNTIFS(T_StockCount[RM_Code],$A8,T_StockCount[WeekIndex],81)&gt;0,SUMIFS(T_StockCount[CountedQty],T_StockCount[RM_Code],$A8,T_StockCount[WeekIndex],81),IF((COUNTIFS(T_SelfStock[RM_Code],$A8,T_SelfStock[WeekIndex],81)&gt;0)*(COUNTIFS(T_TTAFStock[RM_Code],$A8,T_TTAFStock[WeekIndex],81)&gt;0)&gt;0,SUMIFS(T_SelfStock[Self_Qty],T_SelfStock[RM_Code],$A8,T_SelfStock[WeekIndex],81)+SUMIFS(T_TTAFStock[TTAF_Qty],T_TTAFStock[RM_Code],$A8,T_TTAFStock[WeekIndex],81),CC8+'Grid_Incoming'!CD8-'Grid_Requirement'!CD8))</f>
        <v/>
      </c>
      <c r="CE8">
        <f>IF(COUNTIFS(T_StockCount[RM_Code],$A8,T_StockCount[WeekIndex],82)&gt;0,SUMIFS(T_StockCount[CountedQty],T_StockCount[RM_Code],$A8,T_StockCount[WeekIndex],82),IF((COUNTIFS(T_SelfStock[RM_Code],$A8,T_SelfStock[WeekIndex],82)&gt;0)*(COUNTIFS(T_TTAFStock[RM_Code],$A8,T_TTAFStock[WeekIndex],82)&gt;0)&gt;0,SUMIFS(T_SelfStock[Self_Qty],T_SelfStock[RM_Code],$A8,T_SelfStock[WeekIndex],82)+SUMIFS(T_TTAFStock[TTAF_Qty],T_TTAFStock[RM_Code],$A8,T_TTAFStock[WeekIndex],82),CD8+'Grid_Incoming'!CE8-'Grid_Requirement'!CE8))</f>
        <v/>
      </c>
      <c r="CF8">
        <f>IF(COUNTIFS(T_StockCount[RM_Code],$A8,T_StockCount[WeekIndex],83)&gt;0,SUMIFS(T_StockCount[CountedQty],T_StockCount[RM_Code],$A8,T_StockCount[WeekIndex],83),IF((COUNTIFS(T_SelfStock[RM_Code],$A8,T_SelfStock[WeekIndex],83)&gt;0)*(COUNTIFS(T_TTAFStock[RM_Code],$A8,T_TTAFStock[WeekIndex],83)&gt;0)&gt;0,SUMIFS(T_SelfStock[Self_Qty],T_SelfStock[RM_Code],$A8,T_SelfStock[WeekIndex],83)+SUMIFS(T_TTAFStock[TTAF_Qty],T_TTAFStock[RM_Code],$A8,T_TTAFStock[WeekIndex],83),CE8+'Grid_Incoming'!CF8-'Grid_Requirement'!CF8))</f>
        <v/>
      </c>
      <c r="CG8">
        <f>IF(COUNTIFS(T_StockCount[RM_Code],$A8,T_StockCount[WeekIndex],84)&gt;0,SUMIFS(T_StockCount[CountedQty],T_StockCount[RM_Code],$A8,T_StockCount[WeekIndex],84),IF((COUNTIFS(T_SelfStock[RM_Code],$A8,T_SelfStock[WeekIndex],84)&gt;0)*(COUNTIFS(T_TTAFStock[RM_Code],$A8,T_TTAFStock[WeekIndex],84)&gt;0)&gt;0,SUMIFS(T_SelfStock[Self_Qty],T_SelfStock[RM_Code],$A8,T_SelfStock[WeekIndex],84)+SUMIFS(T_TTAFStock[TTAF_Qty],T_TTAFStock[RM_Code],$A8,T_TTAFStock[WeekIndex],84),CF8+'Grid_Incoming'!CG8-'Grid_Requirement'!CG8))</f>
        <v/>
      </c>
      <c r="CH8">
        <f>IF(COUNTIFS(T_StockCount[RM_Code],$A8,T_StockCount[WeekIndex],85)&gt;0,SUMIFS(T_StockCount[CountedQty],T_StockCount[RM_Code],$A8,T_StockCount[WeekIndex],85),IF((COUNTIFS(T_SelfStock[RM_Code],$A8,T_SelfStock[WeekIndex],85)&gt;0)*(COUNTIFS(T_TTAFStock[RM_Code],$A8,T_TTAFStock[WeekIndex],85)&gt;0)&gt;0,SUMIFS(T_SelfStock[Self_Qty],T_SelfStock[RM_Code],$A8,T_SelfStock[WeekIndex],85)+SUMIFS(T_TTAFStock[TTAF_Qty],T_TTAFStock[RM_Code],$A8,T_TTAFStock[WeekIndex],85),CG8+'Grid_Incoming'!CH8-'Grid_Requirement'!CH8))</f>
        <v/>
      </c>
      <c r="CI8">
        <f>IF(COUNTIFS(T_StockCount[RM_Code],$A8,T_StockCount[WeekIndex],86)&gt;0,SUMIFS(T_StockCount[CountedQty],T_StockCount[RM_Code],$A8,T_StockCount[WeekIndex],86),IF((COUNTIFS(T_SelfStock[RM_Code],$A8,T_SelfStock[WeekIndex],86)&gt;0)*(COUNTIFS(T_TTAFStock[RM_Code],$A8,T_TTAFStock[WeekIndex],86)&gt;0)&gt;0,SUMIFS(T_SelfStock[Self_Qty],T_SelfStock[RM_Code],$A8,T_SelfStock[WeekIndex],86)+SUMIFS(T_TTAFStock[TTAF_Qty],T_TTAFStock[RM_Code],$A8,T_TTAFStock[WeekIndex],86),CH8+'Grid_Incoming'!CI8-'Grid_Requirement'!CI8))</f>
        <v/>
      </c>
      <c r="CJ8">
        <f>IF(COUNTIFS(T_StockCount[RM_Code],$A8,T_StockCount[WeekIndex],87)&gt;0,SUMIFS(T_StockCount[CountedQty],T_StockCount[RM_Code],$A8,T_StockCount[WeekIndex],87),IF((COUNTIFS(T_SelfStock[RM_Code],$A8,T_SelfStock[WeekIndex],87)&gt;0)*(COUNTIFS(T_TTAFStock[RM_Code],$A8,T_TTAFStock[WeekIndex],87)&gt;0)&gt;0,SUMIFS(T_SelfStock[Self_Qty],T_SelfStock[RM_Code],$A8,T_SelfStock[WeekIndex],87)+SUMIFS(T_TTAFStock[TTAF_Qty],T_TTAFStock[RM_Code],$A8,T_TTAFStock[WeekIndex],87),CI8+'Grid_Incoming'!CJ8-'Grid_Requirement'!CJ8))</f>
        <v/>
      </c>
      <c r="CK8">
        <f>IF(COUNTIFS(T_StockCount[RM_Code],$A8,T_StockCount[WeekIndex],88)&gt;0,SUMIFS(T_StockCount[CountedQty],T_StockCount[RM_Code],$A8,T_StockCount[WeekIndex],88),IF((COUNTIFS(T_SelfStock[RM_Code],$A8,T_SelfStock[WeekIndex],88)&gt;0)*(COUNTIFS(T_TTAFStock[RM_Code],$A8,T_TTAFStock[WeekIndex],88)&gt;0)&gt;0,SUMIFS(T_SelfStock[Self_Qty],T_SelfStock[RM_Code],$A8,T_SelfStock[WeekIndex],88)+SUMIFS(T_TTAFStock[TTAF_Qty],T_TTAFStock[RM_Code],$A8,T_TTAFStock[WeekIndex],88),CJ8+'Grid_Incoming'!CK8-'Grid_Requirement'!CK8))</f>
        <v/>
      </c>
      <c r="CL8">
        <f>IF(COUNTIFS(T_StockCount[RM_Code],$A8,T_StockCount[WeekIndex],89)&gt;0,SUMIFS(T_StockCount[CountedQty],T_StockCount[RM_Code],$A8,T_StockCount[WeekIndex],89),IF((COUNTIFS(T_SelfStock[RM_Code],$A8,T_SelfStock[WeekIndex],89)&gt;0)*(COUNTIFS(T_TTAFStock[RM_Code],$A8,T_TTAFStock[WeekIndex],89)&gt;0)&gt;0,SUMIFS(T_SelfStock[Self_Qty],T_SelfStock[RM_Code],$A8,T_SelfStock[WeekIndex],89)+SUMIFS(T_TTAFStock[TTAF_Qty],T_TTAFStock[RM_Code],$A8,T_TTAFStock[WeekIndex],89),CK8+'Grid_Incoming'!CL8-'Grid_Requirement'!CL8))</f>
        <v/>
      </c>
      <c r="CM8">
        <f>IF(COUNTIFS(T_StockCount[RM_Code],$A8,T_StockCount[WeekIndex],90)&gt;0,SUMIFS(T_StockCount[CountedQty],T_StockCount[RM_Code],$A8,T_StockCount[WeekIndex],90),IF((COUNTIFS(T_SelfStock[RM_Code],$A8,T_SelfStock[WeekIndex],90)&gt;0)*(COUNTIFS(T_TTAFStock[RM_Code],$A8,T_TTAFStock[WeekIndex],90)&gt;0)&gt;0,SUMIFS(T_SelfStock[Self_Qty],T_SelfStock[RM_Code],$A8,T_SelfStock[WeekIndex],90)+SUMIFS(T_TTAFStock[TTAF_Qty],T_TTAFStock[RM_Code],$A8,T_TTAFStock[WeekIndex],90),CL8+'Grid_Incoming'!CM8-'Grid_Requirement'!CM8))</f>
        <v/>
      </c>
      <c r="CN8">
        <f>IF(COUNTIFS(T_StockCount[RM_Code],$A8,T_StockCount[WeekIndex],91)&gt;0,SUMIFS(T_StockCount[CountedQty],T_StockCount[RM_Code],$A8,T_StockCount[WeekIndex],91),IF((COUNTIFS(T_SelfStock[RM_Code],$A8,T_SelfStock[WeekIndex],91)&gt;0)*(COUNTIFS(T_TTAFStock[RM_Code],$A8,T_TTAFStock[WeekIndex],91)&gt;0)&gt;0,SUMIFS(T_SelfStock[Self_Qty],T_SelfStock[RM_Code],$A8,T_SelfStock[WeekIndex],91)+SUMIFS(T_TTAFStock[TTAF_Qty],T_TTAFStock[RM_Code],$A8,T_TTAFStock[WeekIndex],91),CM8+'Grid_Incoming'!CN8-'Grid_Requirement'!CN8))</f>
        <v/>
      </c>
      <c r="CO8">
        <f>IF(COUNTIFS(T_StockCount[RM_Code],$A8,T_StockCount[WeekIndex],92)&gt;0,SUMIFS(T_StockCount[CountedQty],T_StockCount[RM_Code],$A8,T_StockCount[WeekIndex],92),IF((COUNTIFS(T_SelfStock[RM_Code],$A8,T_SelfStock[WeekIndex],92)&gt;0)*(COUNTIFS(T_TTAFStock[RM_Code],$A8,T_TTAFStock[WeekIndex],92)&gt;0)&gt;0,SUMIFS(T_SelfStock[Self_Qty],T_SelfStock[RM_Code],$A8,T_SelfStock[WeekIndex],92)+SUMIFS(T_TTAFStock[TTAF_Qty],T_TTAFStock[RM_Code],$A8,T_TTAFStock[WeekIndex],92),CN8+'Grid_Incoming'!CO8-'Grid_Requirement'!CO8))</f>
        <v/>
      </c>
      <c r="CP8">
        <f>IF(COUNTIFS(T_StockCount[RM_Code],$A8,T_StockCount[WeekIndex],93)&gt;0,SUMIFS(T_StockCount[CountedQty],T_StockCount[RM_Code],$A8,T_StockCount[WeekIndex],93),IF((COUNTIFS(T_SelfStock[RM_Code],$A8,T_SelfStock[WeekIndex],93)&gt;0)*(COUNTIFS(T_TTAFStock[RM_Code],$A8,T_TTAFStock[WeekIndex],93)&gt;0)&gt;0,SUMIFS(T_SelfStock[Self_Qty],T_SelfStock[RM_Code],$A8,T_SelfStock[WeekIndex],93)+SUMIFS(T_TTAFStock[TTAF_Qty],T_TTAFStock[RM_Code],$A8,T_TTAFStock[WeekIndex],93),CO8+'Grid_Incoming'!CP8-'Grid_Requirement'!CP8))</f>
        <v/>
      </c>
      <c r="CQ8">
        <f>IF(COUNTIFS(T_StockCount[RM_Code],$A8,T_StockCount[WeekIndex],94)&gt;0,SUMIFS(T_StockCount[CountedQty],T_StockCount[RM_Code],$A8,T_StockCount[WeekIndex],94),IF((COUNTIFS(T_SelfStock[RM_Code],$A8,T_SelfStock[WeekIndex],94)&gt;0)*(COUNTIFS(T_TTAFStock[RM_Code],$A8,T_TTAFStock[WeekIndex],94)&gt;0)&gt;0,SUMIFS(T_SelfStock[Self_Qty],T_SelfStock[RM_Code],$A8,T_SelfStock[WeekIndex],94)+SUMIFS(T_TTAFStock[TTAF_Qty],T_TTAFStock[RM_Code],$A8,T_TTAFStock[WeekIndex],94),CP8+'Grid_Incoming'!CQ8-'Grid_Requirement'!CQ8))</f>
        <v/>
      </c>
      <c r="CR8">
        <f>IF(COUNTIFS(T_StockCount[RM_Code],$A8,T_StockCount[WeekIndex],95)&gt;0,SUMIFS(T_StockCount[CountedQty],T_StockCount[RM_Code],$A8,T_StockCount[WeekIndex],95),IF((COUNTIFS(T_SelfStock[RM_Code],$A8,T_SelfStock[WeekIndex],95)&gt;0)*(COUNTIFS(T_TTAFStock[RM_Code],$A8,T_TTAFStock[WeekIndex],95)&gt;0)&gt;0,SUMIFS(T_SelfStock[Self_Qty],T_SelfStock[RM_Code],$A8,T_SelfStock[WeekIndex],95)+SUMIFS(T_TTAFStock[TTAF_Qty],T_TTAFStock[RM_Code],$A8,T_TTAFStock[WeekIndex],95),CQ8+'Grid_Incoming'!CR8-'Grid_Requirement'!CR8))</f>
        <v/>
      </c>
      <c r="CS8">
        <f>IF(COUNTIFS(T_StockCount[RM_Code],$A8,T_StockCount[WeekIndex],96)&gt;0,SUMIFS(T_StockCount[CountedQty],T_StockCount[RM_Code],$A8,T_StockCount[WeekIndex],96),IF((COUNTIFS(T_SelfStock[RM_Code],$A8,T_SelfStock[WeekIndex],96)&gt;0)*(COUNTIFS(T_TTAFStock[RM_Code],$A8,T_TTAFStock[WeekIndex],96)&gt;0)&gt;0,SUMIFS(T_SelfStock[Self_Qty],T_SelfStock[RM_Code],$A8,T_SelfStock[WeekIndex],96)+SUMIFS(T_TTAFStock[TTAF_Qty],T_TTAFStock[RM_Code],$A8,T_TTAFStock[WeekIndex],96),CR8+'Grid_Incoming'!CS8-'Grid_Requirement'!CS8))</f>
        <v/>
      </c>
      <c r="CT8">
        <f>IF(COUNTIFS(T_StockCount[RM_Code],$A8,T_StockCount[WeekIndex],97)&gt;0,SUMIFS(T_StockCount[CountedQty],T_StockCount[RM_Code],$A8,T_StockCount[WeekIndex],97),IF((COUNTIFS(T_SelfStock[RM_Code],$A8,T_SelfStock[WeekIndex],97)&gt;0)*(COUNTIFS(T_TTAFStock[RM_Code],$A8,T_TTAFStock[WeekIndex],97)&gt;0)&gt;0,SUMIFS(T_SelfStock[Self_Qty],T_SelfStock[RM_Code],$A8,T_SelfStock[WeekIndex],97)+SUMIFS(T_TTAFStock[TTAF_Qty],T_TTAFStock[RM_Code],$A8,T_TTAFStock[WeekIndex],97),CS8+'Grid_Incoming'!CT8-'Grid_Requirement'!CT8))</f>
        <v/>
      </c>
      <c r="CU8">
        <f>IF(COUNTIFS(T_StockCount[RM_Code],$A8,T_StockCount[WeekIndex],98)&gt;0,SUMIFS(T_StockCount[CountedQty],T_StockCount[RM_Code],$A8,T_StockCount[WeekIndex],98),IF((COUNTIFS(T_SelfStock[RM_Code],$A8,T_SelfStock[WeekIndex],98)&gt;0)*(COUNTIFS(T_TTAFStock[RM_Code],$A8,T_TTAFStock[WeekIndex],98)&gt;0)&gt;0,SUMIFS(T_SelfStock[Self_Qty],T_SelfStock[RM_Code],$A8,T_SelfStock[WeekIndex],98)+SUMIFS(T_TTAFStock[TTAF_Qty],T_TTAFStock[RM_Code],$A8,T_TTAFStock[WeekIndex],98),CT8+'Grid_Incoming'!CU8-'Grid_Requirement'!CU8))</f>
        <v/>
      </c>
      <c r="CV8">
        <f>IF(COUNTIFS(T_StockCount[RM_Code],$A8,T_StockCount[WeekIndex],99)&gt;0,SUMIFS(T_StockCount[CountedQty],T_StockCount[RM_Code],$A8,T_StockCount[WeekIndex],99),IF((COUNTIFS(T_SelfStock[RM_Code],$A8,T_SelfStock[WeekIndex],99)&gt;0)*(COUNTIFS(T_TTAFStock[RM_Code],$A8,T_TTAFStock[WeekIndex],99)&gt;0)&gt;0,SUMIFS(T_SelfStock[Self_Qty],T_SelfStock[RM_Code],$A8,T_SelfStock[WeekIndex],99)+SUMIFS(T_TTAFStock[TTAF_Qty],T_TTAFStock[RM_Code],$A8,T_TTAFStock[WeekIndex],99),CU8+'Grid_Incoming'!CV8-'Grid_Requirement'!CV8))</f>
        <v/>
      </c>
      <c r="CW8">
        <f>IF(COUNTIFS(T_StockCount[RM_Code],$A8,T_StockCount[WeekIndex],100)&gt;0,SUMIFS(T_StockCount[CountedQty],T_StockCount[RM_Code],$A8,T_StockCount[WeekIndex],100),IF((COUNTIFS(T_SelfStock[RM_Code],$A8,T_SelfStock[WeekIndex],100)&gt;0)*(COUNTIFS(T_TTAFStock[RM_Code],$A8,T_TTAFStock[WeekIndex],100)&gt;0)&gt;0,SUMIFS(T_SelfStock[Self_Qty],T_SelfStock[RM_Code],$A8,T_SelfStock[WeekIndex],100)+SUMIFS(T_TTAFStock[TTAF_Qty],T_TTAFStock[RM_Code],$A8,T_TTAFStock[WeekIndex],100),CV8+'Grid_Incoming'!CW8-'Grid_Requirement'!CW8))</f>
        <v/>
      </c>
      <c r="CX8">
        <f>IF(COUNTIFS(T_StockCount[RM_Code],$A8,T_StockCount[WeekIndex],101)&gt;0,SUMIFS(T_StockCount[CountedQty],T_StockCount[RM_Code],$A8,T_StockCount[WeekIndex],101),IF((COUNTIFS(T_SelfStock[RM_Code],$A8,T_SelfStock[WeekIndex],101)&gt;0)*(COUNTIFS(T_TTAFStock[RM_Code],$A8,T_TTAFStock[WeekIndex],101)&gt;0)&gt;0,SUMIFS(T_SelfStock[Self_Qty],T_SelfStock[RM_Code],$A8,T_SelfStock[WeekIndex],101)+SUMIFS(T_TTAFStock[TTAF_Qty],T_TTAFStock[RM_Code],$A8,T_TTAFStock[WeekIndex],101),CW8+'Grid_Incoming'!CX8-'Grid_Requirement'!CX8))</f>
        <v/>
      </c>
      <c r="CY8">
        <f>IF(COUNTIFS(T_StockCount[RM_Code],$A8,T_StockCount[WeekIndex],102)&gt;0,SUMIFS(T_StockCount[CountedQty],T_StockCount[RM_Code],$A8,T_StockCount[WeekIndex],102),IF((COUNTIFS(T_SelfStock[RM_Code],$A8,T_SelfStock[WeekIndex],102)&gt;0)*(COUNTIFS(T_TTAFStock[RM_Code],$A8,T_TTAFStock[WeekIndex],102)&gt;0)&gt;0,SUMIFS(T_SelfStock[Self_Qty],T_SelfStock[RM_Code],$A8,T_SelfStock[WeekIndex],102)+SUMIFS(T_TTAFStock[TTAF_Qty],T_TTAFStock[RM_Code],$A8,T_TTAFStock[WeekIndex],102),CX8+'Grid_Incoming'!CY8-'Grid_Requirement'!CY8))</f>
        <v/>
      </c>
      <c r="CZ8">
        <f>IF(COUNTIFS(T_StockCount[RM_Code],$A8,T_StockCount[WeekIndex],103)&gt;0,SUMIFS(T_StockCount[CountedQty],T_StockCount[RM_Code],$A8,T_StockCount[WeekIndex],103),IF((COUNTIFS(T_SelfStock[RM_Code],$A8,T_SelfStock[WeekIndex],103)&gt;0)*(COUNTIFS(T_TTAFStock[RM_Code],$A8,T_TTAFStock[WeekIndex],103)&gt;0)&gt;0,SUMIFS(T_SelfStock[Self_Qty],T_SelfStock[RM_Code],$A8,T_SelfStock[WeekIndex],103)+SUMIFS(T_TTAFStock[TTAF_Qty],T_TTAFStock[RM_Code],$A8,T_TTAFStock[WeekIndex],103),CY8+'Grid_Incoming'!CZ8-'Grid_Requirement'!CZ8))</f>
        <v/>
      </c>
      <c r="DA8">
        <f>IF(COUNTIFS(T_StockCount[RM_Code],$A8,T_StockCount[WeekIndex],104)&gt;0,SUMIFS(T_StockCount[CountedQty],T_StockCount[RM_Code],$A8,T_StockCount[WeekIndex],104),IF((COUNTIFS(T_SelfStock[RM_Code],$A8,T_SelfStock[WeekIndex],104)&gt;0)*(COUNTIFS(T_TTAFStock[RM_Code],$A8,T_TTAFStock[WeekIndex],104)&gt;0)&gt;0,SUMIFS(T_SelfStock[Self_Qty],T_SelfStock[RM_Code],$A8,T_SelfStock[WeekIndex],104)+SUMIFS(T_TTAFStock[TTAF_Qty],T_TTAFStock[RM_Code],$A8,T_TTAFStock[WeekIndex],104),CZ8+'Grid_Incoming'!DA8-'Grid_Requirement'!DA8))</f>
        <v/>
      </c>
    </row>
    <row r="9">
      <c r="A9" t="inlineStr">
        <is>
          <t>CHEM-1720</t>
        </is>
      </c>
      <c r="B9">
        <f>IF(COUNTIFS(T_StockCount[RM_Code],$A9,T_StockCount[WeekIndex],1)&gt;0,SUMIFS(T_StockCount[CountedQty],T_StockCount[RM_Code],$A9,T_StockCount[WeekIndex],1),IF((COUNTIFS(T_SelfStock[RM_Code],$A9,T_SelfStock[WeekIndex],1)&gt;0)*(COUNTIFS(T_TTAFStock[RM_Code],$A9,T_TTAFStock[WeekIndex],1)&gt;0)&gt;0,SUMIFS(T_SelfStock[Self_Qty],T_SelfStock[RM_Code],$A9,T_SelfStock[WeekIndex],1)+SUMIFS(T_TTAFStock[TTAF_Qty],T_TTAFStock[RM_Code],$A9,T_TTAFStock[WeekIndex],1),IFERROR(INDEX(T_OpeningStock[Opening_Qty],MATCH($A9,T_OpeningStock[RM_Code],0)),0)+'Grid_Incoming'!B9-'Grid_Requirement'!B9))</f>
        <v/>
      </c>
      <c r="C9">
        <f>IF(COUNTIFS(T_StockCount[RM_Code],$A9,T_StockCount[WeekIndex],2)&gt;0,SUMIFS(T_StockCount[CountedQty],T_StockCount[RM_Code],$A9,T_StockCount[WeekIndex],2),IF((COUNTIFS(T_SelfStock[RM_Code],$A9,T_SelfStock[WeekIndex],2)&gt;0)*(COUNTIFS(T_TTAFStock[RM_Code],$A9,T_TTAFStock[WeekIndex],2)&gt;0)&gt;0,SUMIFS(T_SelfStock[Self_Qty],T_SelfStock[RM_Code],$A9,T_SelfStock[WeekIndex],2)+SUMIFS(T_TTAFStock[TTAF_Qty],T_TTAFStock[RM_Code],$A9,T_TTAFStock[WeekIndex],2),B9+'Grid_Incoming'!C9-'Grid_Requirement'!C9))</f>
        <v/>
      </c>
      <c r="D9">
        <f>IF(COUNTIFS(T_StockCount[RM_Code],$A9,T_StockCount[WeekIndex],3)&gt;0,SUMIFS(T_StockCount[CountedQty],T_StockCount[RM_Code],$A9,T_StockCount[WeekIndex],3),IF((COUNTIFS(T_SelfStock[RM_Code],$A9,T_SelfStock[WeekIndex],3)&gt;0)*(COUNTIFS(T_TTAFStock[RM_Code],$A9,T_TTAFStock[WeekIndex],3)&gt;0)&gt;0,SUMIFS(T_SelfStock[Self_Qty],T_SelfStock[RM_Code],$A9,T_SelfStock[WeekIndex],3)+SUMIFS(T_TTAFStock[TTAF_Qty],T_TTAFStock[RM_Code],$A9,T_TTAFStock[WeekIndex],3),C9+'Grid_Incoming'!D9-'Grid_Requirement'!D9))</f>
        <v/>
      </c>
      <c r="E9">
        <f>IF(COUNTIFS(T_StockCount[RM_Code],$A9,T_StockCount[WeekIndex],4)&gt;0,SUMIFS(T_StockCount[CountedQty],T_StockCount[RM_Code],$A9,T_StockCount[WeekIndex],4),IF((COUNTIFS(T_SelfStock[RM_Code],$A9,T_SelfStock[WeekIndex],4)&gt;0)*(COUNTIFS(T_TTAFStock[RM_Code],$A9,T_TTAFStock[WeekIndex],4)&gt;0)&gt;0,SUMIFS(T_SelfStock[Self_Qty],T_SelfStock[RM_Code],$A9,T_SelfStock[WeekIndex],4)+SUMIFS(T_TTAFStock[TTAF_Qty],T_TTAFStock[RM_Code],$A9,T_TTAFStock[WeekIndex],4),D9+'Grid_Incoming'!E9-'Grid_Requirement'!E9))</f>
        <v/>
      </c>
      <c r="F9">
        <f>IF(COUNTIFS(T_StockCount[RM_Code],$A9,T_StockCount[WeekIndex],5)&gt;0,SUMIFS(T_StockCount[CountedQty],T_StockCount[RM_Code],$A9,T_StockCount[WeekIndex],5),IF((COUNTIFS(T_SelfStock[RM_Code],$A9,T_SelfStock[WeekIndex],5)&gt;0)*(COUNTIFS(T_TTAFStock[RM_Code],$A9,T_TTAFStock[WeekIndex],5)&gt;0)&gt;0,SUMIFS(T_SelfStock[Self_Qty],T_SelfStock[RM_Code],$A9,T_SelfStock[WeekIndex],5)+SUMIFS(T_TTAFStock[TTAF_Qty],T_TTAFStock[RM_Code],$A9,T_TTAFStock[WeekIndex],5),E9+'Grid_Incoming'!F9-'Grid_Requirement'!F9))</f>
        <v/>
      </c>
      <c r="G9">
        <f>IF(COUNTIFS(T_StockCount[RM_Code],$A9,T_StockCount[WeekIndex],6)&gt;0,SUMIFS(T_StockCount[CountedQty],T_StockCount[RM_Code],$A9,T_StockCount[WeekIndex],6),IF((COUNTIFS(T_SelfStock[RM_Code],$A9,T_SelfStock[WeekIndex],6)&gt;0)*(COUNTIFS(T_TTAFStock[RM_Code],$A9,T_TTAFStock[WeekIndex],6)&gt;0)&gt;0,SUMIFS(T_SelfStock[Self_Qty],T_SelfStock[RM_Code],$A9,T_SelfStock[WeekIndex],6)+SUMIFS(T_TTAFStock[TTAF_Qty],T_TTAFStock[RM_Code],$A9,T_TTAFStock[WeekIndex],6),F9+'Grid_Incoming'!G9-'Grid_Requirement'!G9))</f>
        <v/>
      </c>
      <c r="H9">
        <f>IF(COUNTIFS(T_StockCount[RM_Code],$A9,T_StockCount[WeekIndex],7)&gt;0,SUMIFS(T_StockCount[CountedQty],T_StockCount[RM_Code],$A9,T_StockCount[WeekIndex],7),IF((COUNTIFS(T_SelfStock[RM_Code],$A9,T_SelfStock[WeekIndex],7)&gt;0)*(COUNTIFS(T_TTAFStock[RM_Code],$A9,T_TTAFStock[WeekIndex],7)&gt;0)&gt;0,SUMIFS(T_SelfStock[Self_Qty],T_SelfStock[RM_Code],$A9,T_SelfStock[WeekIndex],7)+SUMIFS(T_TTAFStock[TTAF_Qty],T_TTAFStock[RM_Code],$A9,T_TTAFStock[WeekIndex],7),G9+'Grid_Incoming'!H9-'Grid_Requirement'!H9))</f>
        <v/>
      </c>
      <c r="I9">
        <f>IF(COUNTIFS(T_StockCount[RM_Code],$A9,T_StockCount[WeekIndex],8)&gt;0,SUMIFS(T_StockCount[CountedQty],T_StockCount[RM_Code],$A9,T_StockCount[WeekIndex],8),IF((COUNTIFS(T_SelfStock[RM_Code],$A9,T_SelfStock[WeekIndex],8)&gt;0)*(COUNTIFS(T_TTAFStock[RM_Code],$A9,T_TTAFStock[WeekIndex],8)&gt;0)&gt;0,SUMIFS(T_SelfStock[Self_Qty],T_SelfStock[RM_Code],$A9,T_SelfStock[WeekIndex],8)+SUMIFS(T_TTAFStock[TTAF_Qty],T_TTAFStock[RM_Code],$A9,T_TTAFStock[WeekIndex],8),H9+'Grid_Incoming'!I9-'Grid_Requirement'!I9))</f>
        <v/>
      </c>
      <c r="J9">
        <f>IF(COUNTIFS(T_StockCount[RM_Code],$A9,T_StockCount[WeekIndex],9)&gt;0,SUMIFS(T_StockCount[CountedQty],T_StockCount[RM_Code],$A9,T_StockCount[WeekIndex],9),IF((COUNTIFS(T_SelfStock[RM_Code],$A9,T_SelfStock[WeekIndex],9)&gt;0)*(COUNTIFS(T_TTAFStock[RM_Code],$A9,T_TTAFStock[WeekIndex],9)&gt;0)&gt;0,SUMIFS(T_SelfStock[Self_Qty],T_SelfStock[RM_Code],$A9,T_SelfStock[WeekIndex],9)+SUMIFS(T_TTAFStock[TTAF_Qty],T_TTAFStock[RM_Code],$A9,T_TTAFStock[WeekIndex],9),I9+'Grid_Incoming'!J9-'Grid_Requirement'!J9))</f>
        <v/>
      </c>
      <c r="K9">
        <f>IF(COUNTIFS(T_StockCount[RM_Code],$A9,T_StockCount[WeekIndex],10)&gt;0,SUMIFS(T_StockCount[CountedQty],T_StockCount[RM_Code],$A9,T_StockCount[WeekIndex],10),IF((COUNTIFS(T_SelfStock[RM_Code],$A9,T_SelfStock[WeekIndex],10)&gt;0)*(COUNTIFS(T_TTAFStock[RM_Code],$A9,T_TTAFStock[WeekIndex],10)&gt;0)&gt;0,SUMIFS(T_SelfStock[Self_Qty],T_SelfStock[RM_Code],$A9,T_SelfStock[WeekIndex],10)+SUMIFS(T_TTAFStock[TTAF_Qty],T_TTAFStock[RM_Code],$A9,T_TTAFStock[WeekIndex],10),J9+'Grid_Incoming'!K9-'Grid_Requirement'!K9))</f>
        <v/>
      </c>
      <c r="L9">
        <f>IF(COUNTIFS(T_StockCount[RM_Code],$A9,T_StockCount[WeekIndex],11)&gt;0,SUMIFS(T_StockCount[CountedQty],T_StockCount[RM_Code],$A9,T_StockCount[WeekIndex],11),IF((COUNTIFS(T_SelfStock[RM_Code],$A9,T_SelfStock[WeekIndex],11)&gt;0)*(COUNTIFS(T_TTAFStock[RM_Code],$A9,T_TTAFStock[WeekIndex],11)&gt;0)&gt;0,SUMIFS(T_SelfStock[Self_Qty],T_SelfStock[RM_Code],$A9,T_SelfStock[WeekIndex],11)+SUMIFS(T_TTAFStock[TTAF_Qty],T_TTAFStock[RM_Code],$A9,T_TTAFStock[WeekIndex],11),K9+'Grid_Incoming'!L9-'Grid_Requirement'!L9))</f>
        <v/>
      </c>
      <c r="M9">
        <f>IF(COUNTIFS(T_StockCount[RM_Code],$A9,T_StockCount[WeekIndex],12)&gt;0,SUMIFS(T_StockCount[CountedQty],T_StockCount[RM_Code],$A9,T_StockCount[WeekIndex],12),IF((COUNTIFS(T_SelfStock[RM_Code],$A9,T_SelfStock[WeekIndex],12)&gt;0)*(COUNTIFS(T_TTAFStock[RM_Code],$A9,T_TTAFStock[WeekIndex],12)&gt;0)&gt;0,SUMIFS(T_SelfStock[Self_Qty],T_SelfStock[RM_Code],$A9,T_SelfStock[WeekIndex],12)+SUMIFS(T_TTAFStock[TTAF_Qty],T_TTAFStock[RM_Code],$A9,T_TTAFStock[WeekIndex],12),L9+'Grid_Incoming'!M9-'Grid_Requirement'!M9))</f>
        <v/>
      </c>
      <c r="N9">
        <f>IF(COUNTIFS(T_StockCount[RM_Code],$A9,T_StockCount[WeekIndex],13)&gt;0,SUMIFS(T_StockCount[CountedQty],T_StockCount[RM_Code],$A9,T_StockCount[WeekIndex],13),IF((COUNTIFS(T_SelfStock[RM_Code],$A9,T_SelfStock[WeekIndex],13)&gt;0)*(COUNTIFS(T_TTAFStock[RM_Code],$A9,T_TTAFStock[WeekIndex],13)&gt;0)&gt;0,SUMIFS(T_SelfStock[Self_Qty],T_SelfStock[RM_Code],$A9,T_SelfStock[WeekIndex],13)+SUMIFS(T_TTAFStock[TTAF_Qty],T_TTAFStock[RM_Code],$A9,T_TTAFStock[WeekIndex],13),M9+'Grid_Incoming'!N9-'Grid_Requirement'!N9))</f>
        <v/>
      </c>
      <c r="O9">
        <f>IF(COUNTIFS(T_StockCount[RM_Code],$A9,T_StockCount[WeekIndex],14)&gt;0,SUMIFS(T_StockCount[CountedQty],T_StockCount[RM_Code],$A9,T_StockCount[WeekIndex],14),IF((COUNTIFS(T_SelfStock[RM_Code],$A9,T_SelfStock[WeekIndex],14)&gt;0)*(COUNTIFS(T_TTAFStock[RM_Code],$A9,T_TTAFStock[WeekIndex],14)&gt;0)&gt;0,SUMIFS(T_SelfStock[Self_Qty],T_SelfStock[RM_Code],$A9,T_SelfStock[WeekIndex],14)+SUMIFS(T_TTAFStock[TTAF_Qty],T_TTAFStock[RM_Code],$A9,T_TTAFStock[WeekIndex],14),N9+'Grid_Incoming'!O9-'Grid_Requirement'!O9))</f>
        <v/>
      </c>
      <c r="P9">
        <f>IF(COUNTIFS(T_StockCount[RM_Code],$A9,T_StockCount[WeekIndex],15)&gt;0,SUMIFS(T_StockCount[CountedQty],T_StockCount[RM_Code],$A9,T_StockCount[WeekIndex],15),IF((COUNTIFS(T_SelfStock[RM_Code],$A9,T_SelfStock[WeekIndex],15)&gt;0)*(COUNTIFS(T_TTAFStock[RM_Code],$A9,T_TTAFStock[WeekIndex],15)&gt;0)&gt;0,SUMIFS(T_SelfStock[Self_Qty],T_SelfStock[RM_Code],$A9,T_SelfStock[WeekIndex],15)+SUMIFS(T_TTAFStock[TTAF_Qty],T_TTAFStock[RM_Code],$A9,T_TTAFStock[WeekIndex],15),O9+'Grid_Incoming'!P9-'Grid_Requirement'!P9))</f>
        <v/>
      </c>
      <c r="Q9">
        <f>IF(COUNTIFS(T_StockCount[RM_Code],$A9,T_StockCount[WeekIndex],16)&gt;0,SUMIFS(T_StockCount[CountedQty],T_StockCount[RM_Code],$A9,T_StockCount[WeekIndex],16),IF((COUNTIFS(T_SelfStock[RM_Code],$A9,T_SelfStock[WeekIndex],16)&gt;0)*(COUNTIFS(T_TTAFStock[RM_Code],$A9,T_TTAFStock[WeekIndex],16)&gt;0)&gt;0,SUMIFS(T_SelfStock[Self_Qty],T_SelfStock[RM_Code],$A9,T_SelfStock[WeekIndex],16)+SUMIFS(T_TTAFStock[TTAF_Qty],T_TTAFStock[RM_Code],$A9,T_TTAFStock[WeekIndex],16),P9+'Grid_Incoming'!Q9-'Grid_Requirement'!Q9))</f>
        <v/>
      </c>
      <c r="R9">
        <f>IF(COUNTIFS(T_StockCount[RM_Code],$A9,T_StockCount[WeekIndex],17)&gt;0,SUMIFS(T_StockCount[CountedQty],T_StockCount[RM_Code],$A9,T_StockCount[WeekIndex],17),IF((COUNTIFS(T_SelfStock[RM_Code],$A9,T_SelfStock[WeekIndex],17)&gt;0)*(COUNTIFS(T_TTAFStock[RM_Code],$A9,T_TTAFStock[WeekIndex],17)&gt;0)&gt;0,SUMIFS(T_SelfStock[Self_Qty],T_SelfStock[RM_Code],$A9,T_SelfStock[WeekIndex],17)+SUMIFS(T_TTAFStock[TTAF_Qty],T_TTAFStock[RM_Code],$A9,T_TTAFStock[WeekIndex],17),Q9+'Grid_Incoming'!R9-'Grid_Requirement'!R9))</f>
        <v/>
      </c>
      <c r="S9">
        <f>IF(COUNTIFS(T_StockCount[RM_Code],$A9,T_StockCount[WeekIndex],18)&gt;0,SUMIFS(T_StockCount[CountedQty],T_StockCount[RM_Code],$A9,T_StockCount[WeekIndex],18),IF((COUNTIFS(T_SelfStock[RM_Code],$A9,T_SelfStock[WeekIndex],18)&gt;0)*(COUNTIFS(T_TTAFStock[RM_Code],$A9,T_TTAFStock[WeekIndex],18)&gt;0)&gt;0,SUMIFS(T_SelfStock[Self_Qty],T_SelfStock[RM_Code],$A9,T_SelfStock[WeekIndex],18)+SUMIFS(T_TTAFStock[TTAF_Qty],T_TTAFStock[RM_Code],$A9,T_TTAFStock[WeekIndex],18),R9+'Grid_Incoming'!S9-'Grid_Requirement'!S9))</f>
        <v/>
      </c>
      <c r="T9">
        <f>IF(COUNTIFS(T_StockCount[RM_Code],$A9,T_StockCount[WeekIndex],19)&gt;0,SUMIFS(T_StockCount[CountedQty],T_StockCount[RM_Code],$A9,T_StockCount[WeekIndex],19),IF((COUNTIFS(T_SelfStock[RM_Code],$A9,T_SelfStock[WeekIndex],19)&gt;0)*(COUNTIFS(T_TTAFStock[RM_Code],$A9,T_TTAFStock[WeekIndex],19)&gt;0)&gt;0,SUMIFS(T_SelfStock[Self_Qty],T_SelfStock[RM_Code],$A9,T_SelfStock[WeekIndex],19)+SUMIFS(T_TTAFStock[TTAF_Qty],T_TTAFStock[RM_Code],$A9,T_TTAFStock[WeekIndex],19),S9+'Grid_Incoming'!T9-'Grid_Requirement'!T9))</f>
        <v/>
      </c>
      <c r="U9">
        <f>IF(COUNTIFS(T_StockCount[RM_Code],$A9,T_StockCount[WeekIndex],20)&gt;0,SUMIFS(T_StockCount[CountedQty],T_StockCount[RM_Code],$A9,T_StockCount[WeekIndex],20),IF((COUNTIFS(T_SelfStock[RM_Code],$A9,T_SelfStock[WeekIndex],20)&gt;0)*(COUNTIFS(T_TTAFStock[RM_Code],$A9,T_TTAFStock[WeekIndex],20)&gt;0)&gt;0,SUMIFS(T_SelfStock[Self_Qty],T_SelfStock[RM_Code],$A9,T_SelfStock[WeekIndex],20)+SUMIFS(T_TTAFStock[TTAF_Qty],T_TTAFStock[RM_Code],$A9,T_TTAFStock[WeekIndex],20),T9+'Grid_Incoming'!U9-'Grid_Requirement'!U9))</f>
        <v/>
      </c>
      <c r="V9">
        <f>IF(COUNTIFS(T_StockCount[RM_Code],$A9,T_StockCount[WeekIndex],21)&gt;0,SUMIFS(T_StockCount[CountedQty],T_StockCount[RM_Code],$A9,T_StockCount[WeekIndex],21),IF((COUNTIFS(T_SelfStock[RM_Code],$A9,T_SelfStock[WeekIndex],21)&gt;0)*(COUNTIFS(T_TTAFStock[RM_Code],$A9,T_TTAFStock[WeekIndex],21)&gt;0)&gt;0,SUMIFS(T_SelfStock[Self_Qty],T_SelfStock[RM_Code],$A9,T_SelfStock[WeekIndex],21)+SUMIFS(T_TTAFStock[TTAF_Qty],T_TTAFStock[RM_Code],$A9,T_TTAFStock[WeekIndex],21),U9+'Grid_Incoming'!V9-'Grid_Requirement'!V9))</f>
        <v/>
      </c>
      <c r="W9">
        <f>IF(COUNTIFS(T_StockCount[RM_Code],$A9,T_StockCount[WeekIndex],22)&gt;0,SUMIFS(T_StockCount[CountedQty],T_StockCount[RM_Code],$A9,T_StockCount[WeekIndex],22),IF((COUNTIFS(T_SelfStock[RM_Code],$A9,T_SelfStock[WeekIndex],22)&gt;0)*(COUNTIFS(T_TTAFStock[RM_Code],$A9,T_TTAFStock[WeekIndex],22)&gt;0)&gt;0,SUMIFS(T_SelfStock[Self_Qty],T_SelfStock[RM_Code],$A9,T_SelfStock[WeekIndex],22)+SUMIFS(T_TTAFStock[TTAF_Qty],T_TTAFStock[RM_Code],$A9,T_TTAFStock[WeekIndex],22),V9+'Grid_Incoming'!W9-'Grid_Requirement'!W9))</f>
        <v/>
      </c>
      <c r="X9">
        <f>IF(COUNTIFS(T_StockCount[RM_Code],$A9,T_StockCount[WeekIndex],23)&gt;0,SUMIFS(T_StockCount[CountedQty],T_StockCount[RM_Code],$A9,T_StockCount[WeekIndex],23),IF((COUNTIFS(T_SelfStock[RM_Code],$A9,T_SelfStock[WeekIndex],23)&gt;0)*(COUNTIFS(T_TTAFStock[RM_Code],$A9,T_TTAFStock[WeekIndex],23)&gt;0)&gt;0,SUMIFS(T_SelfStock[Self_Qty],T_SelfStock[RM_Code],$A9,T_SelfStock[WeekIndex],23)+SUMIFS(T_TTAFStock[TTAF_Qty],T_TTAFStock[RM_Code],$A9,T_TTAFStock[WeekIndex],23),W9+'Grid_Incoming'!X9-'Grid_Requirement'!X9))</f>
        <v/>
      </c>
      <c r="Y9">
        <f>IF(COUNTIFS(T_StockCount[RM_Code],$A9,T_StockCount[WeekIndex],24)&gt;0,SUMIFS(T_StockCount[CountedQty],T_StockCount[RM_Code],$A9,T_StockCount[WeekIndex],24),IF((COUNTIFS(T_SelfStock[RM_Code],$A9,T_SelfStock[WeekIndex],24)&gt;0)*(COUNTIFS(T_TTAFStock[RM_Code],$A9,T_TTAFStock[WeekIndex],24)&gt;0)&gt;0,SUMIFS(T_SelfStock[Self_Qty],T_SelfStock[RM_Code],$A9,T_SelfStock[WeekIndex],24)+SUMIFS(T_TTAFStock[TTAF_Qty],T_TTAFStock[RM_Code],$A9,T_TTAFStock[WeekIndex],24),X9+'Grid_Incoming'!Y9-'Grid_Requirement'!Y9))</f>
        <v/>
      </c>
      <c r="Z9">
        <f>IF(COUNTIFS(T_StockCount[RM_Code],$A9,T_StockCount[WeekIndex],25)&gt;0,SUMIFS(T_StockCount[CountedQty],T_StockCount[RM_Code],$A9,T_StockCount[WeekIndex],25),IF((COUNTIFS(T_SelfStock[RM_Code],$A9,T_SelfStock[WeekIndex],25)&gt;0)*(COUNTIFS(T_TTAFStock[RM_Code],$A9,T_TTAFStock[WeekIndex],25)&gt;0)&gt;0,SUMIFS(T_SelfStock[Self_Qty],T_SelfStock[RM_Code],$A9,T_SelfStock[WeekIndex],25)+SUMIFS(T_TTAFStock[TTAF_Qty],T_TTAFStock[RM_Code],$A9,T_TTAFStock[WeekIndex],25),Y9+'Grid_Incoming'!Z9-'Grid_Requirement'!Z9))</f>
        <v/>
      </c>
      <c r="AA9">
        <f>IF(COUNTIFS(T_StockCount[RM_Code],$A9,T_StockCount[WeekIndex],26)&gt;0,SUMIFS(T_StockCount[CountedQty],T_StockCount[RM_Code],$A9,T_StockCount[WeekIndex],26),IF((COUNTIFS(T_SelfStock[RM_Code],$A9,T_SelfStock[WeekIndex],26)&gt;0)*(COUNTIFS(T_TTAFStock[RM_Code],$A9,T_TTAFStock[WeekIndex],26)&gt;0)&gt;0,SUMIFS(T_SelfStock[Self_Qty],T_SelfStock[RM_Code],$A9,T_SelfStock[WeekIndex],26)+SUMIFS(T_TTAFStock[TTAF_Qty],T_TTAFStock[RM_Code],$A9,T_TTAFStock[WeekIndex],26),Z9+'Grid_Incoming'!AA9-'Grid_Requirement'!AA9))</f>
        <v/>
      </c>
      <c r="AB9">
        <f>IF(COUNTIFS(T_StockCount[RM_Code],$A9,T_StockCount[WeekIndex],27)&gt;0,SUMIFS(T_StockCount[CountedQty],T_StockCount[RM_Code],$A9,T_StockCount[WeekIndex],27),IF((COUNTIFS(T_SelfStock[RM_Code],$A9,T_SelfStock[WeekIndex],27)&gt;0)*(COUNTIFS(T_TTAFStock[RM_Code],$A9,T_TTAFStock[WeekIndex],27)&gt;0)&gt;0,SUMIFS(T_SelfStock[Self_Qty],T_SelfStock[RM_Code],$A9,T_SelfStock[WeekIndex],27)+SUMIFS(T_TTAFStock[TTAF_Qty],T_TTAFStock[RM_Code],$A9,T_TTAFStock[WeekIndex],27),AA9+'Grid_Incoming'!AB9-'Grid_Requirement'!AB9))</f>
        <v/>
      </c>
      <c r="AC9">
        <f>IF(COUNTIFS(T_StockCount[RM_Code],$A9,T_StockCount[WeekIndex],28)&gt;0,SUMIFS(T_StockCount[CountedQty],T_StockCount[RM_Code],$A9,T_StockCount[WeekIndex],28),IF((COUNTIFS(T_SelfStock[RM_Code],$A9,T_SelfStock[WeekIndex],28)&gt;0)*(COUNTIFS(T_TTAFStock[RM_Code],$A9,T_TTAFStock[WeekIndex],28)&gt;0)&gt;0,SUMIFS(T_SelfStock[Self_Qty],T_SelfStock[RM_Code],$A9,T_SelfStock[WeekIndex],28)+SUMIFS(T_TTAFStock[TTAF_Qty],T_TTAFStock[RM_Code],$A9,T_TTAFStock[WeekIndex],28),AB9+'Grid_Incoming'!AC9-'Grid_Requirement'!AC9))</f>
        <v/>
      </c>
      <c r="AD9">
        <f>IF(COUNTIFS(T_StockCount[RM_Code],$A9,T_StockCount[WeekIndex],29)&gt;0,SUMIFS(T_StockCount[CountedQty],T_StockCount[RM_Code],$A9,T_StockCount[WeekIndex],29),IF((COUNTIFS(T_SelfStock[RM_Code],$A9,T_SelfStock[WeekIndex],29)&gt;0)*(COUNTIFS(T_TTAFStock[RM_Code],$A9,T_TTAFStock[WeekIndex],29)&gt;0)&gt;0,SUMIFS(T_SelfStock[Self_Qty],T_SelfStock[RM_Code],$A9,T_SelfStock[WeekIndex],29)+SUMIFS(T_TTAFStock[TTAF_Qty],T_TTAFStock[RM_Code],$A9,T_TTAFStock[WeekIndex],29),AC9+'Grid_Incoming'!AD9-'Grid_Requirement'!AD9))</f>
        <v/>
      </c>
      <c r="AE9">
        <f>IF(COUNTIFS(T_StockCount[RM_Code],$A9,T_StockCount[WeekIndex],30)&gt;0,SUMIFS(T_StockCount[CountedQty],T_StockCount[RM_Code],$A9,T_StockCount[WeekIndex],30),IF((COUNTIFS(T_SelfStock[RM_Code],$A9,T_SelfStock[WeekIndex],30)&gt;0)*(COUNTIFS(T_TTAFStock[RM_Code],$A9,T_TTAFStock[WeekIndex],30)&gt;0)&gt;0,SUMIFS(T_SelfStock[Self_Qty],T_SelfStock[RM_Code],$A9,T_SelfStock[WeekIndex],30)+SUMIFS(T_TTAFStock[TTAF_Qty],T_TTAFStock[RM_Code],$A9,T_TTAFStock[WeekIndex],30),AD9+'Grid_Incoming'!AE9-'Grid_Requirement'!AE9))</f>
        <v/>
      </c>
      <c r="AF9">
        <f>IF(COUNTIFS(T_StockCount[RM_Code],$A9,T_StockCount[WeekIndex],31)&gt;0,SUMIFS(T_StockCount[CountedQty],T_StockCount[RM_Code],$A9,T_StockCount[WeekIndex],31),IF((COUNTIFS(T_SelfStock[RM_Code],$A9,T_SelfStock[WeekIndex],31)&gt;0)*(COUNTIFS(T_TTAFStock[RM_Code],$A9,T_TTAFStock[WeekIndex],31)&gt;0)&gt;0,SUMIFS(T_SelfStock[Self_Qty],T_SelfStock[RM_Code],$A9,T_SelfStock[WeekIndex],31)+SUMIFS(T_TTAFStock[TTAF_Qty],T_TTAFStock[RM_Code],$A9,T_TTAFStock[WeekIndex],31),AE9+'Grid_Incoming'!AF9-'Grid_Requirement'!AF9))</f>
        <v/>
      </c>
      <c r="AG9">
        <f>IF(COUNTIFS(T_StockCount[RM_Code],$A9,T_StockCount[WeekIndex],32)&gt;0,SUMIFS(T_StockCount[CountedQty],T_StockCount[RM_Code],$A9,T_StockCount[WeekIndex],32),IF((COUNTIFS(T_SelfStock[RM_Code],$A9,T_SelfStock[WeekIndex],32)&gt;0)*(COUNTIFS(T_TTAFStock[RM_Code],$A9,T_TTAFStock[WeekIndex],32)&gt;0)&gt;0,SUMIFS(T_SelfStock[Self_Qty],T_SelfStock[RM_Code],$A9,T_SelfStock[WeekIndex],32)+SUMIFS(T_TTAFStock[TTAF_Qty],T_TTAFStock[RM_Code],$A9,T_TTAFStock[WeekIndex],32),AF9+'Grid_Incoming'!AG9-'Grid_Requirement'!AG9))</f>
        <v/>
      </c>
      <c r="AH9">
        <f>IF(COUNTIFS(T_StockCount[RM_Code],$A9,T_StockCount[WeekIndex],33)&gt;0,SUMIFS(T_StockCount[CountedQty],T_StockCount[RM_Code],$A9,T_StockCount[WeekIndex],33),IF((COUNTIFS(T_SelfStock[RM_Code],$A9,T_SelfStock[WeekIndex],33)&gt;0)*(COUNTIFS(T_TTAFStock[RM_Code],$A9,T_TTAFStock[WeekIndex],33)&gt;0)&gt;0,SUMIFS(T_SelfStock[Self_Qty],T_SelfStock[RM_Code],$A9,T_SelfStock[WeekIndex],33)+SUMIFS(T_TTAFStock[TTAF_Qty],T_TTAFStock[RM_Code],$A9,T_TTAFStock[WeekIndex],33),AG9+'Grid_Incoming'!AH9-'Grid_Requirement'!AH9))</f>
        <v/>
      </c>
      <c r="AI9">
        <f>IF(COUNTIFS(T_StockCount[RM_Code],$A9,T_StockCount[WeekIndex],34)&gt;0,SUMIFS(T_StockCount[CountedQty],T_StockCount[RM_Code],$A9,T_StockCount[WeekIndex],34),IF((COUNTIFS(T_SelfStock[RM_Code],$A9,T_SelfStock[WeekIndex],34)&gt;0)*(COUNTIFS(T_TTAFStock[RM_Code],$A9,T_TTAFStock[WeekIndex],34)&gt;0)&gt;0,SUMIFS(T_SelfStock[Self_Qty],T_SelfStock[RM_Code],$A9,T_SelfStock[WeekIndex],34)+SUMIFS(T_TTAFStock[TTAF_Qty],T_TTAFStock[RM_Code],$A9,T_TTAFStock[WeekIndex],34),AH9+'Grid_Incoming'!AI9-'Grid_Requirement'!AI9))</f>
        <v/>
      </c>
      <c r="AJ9">
        <f>IF(COUNTIFS(T_StockCount[RM_Code],$A9,T_StockCount[WeekIndex],35)&gt;0,SUMIFS(T_StockCount[CountedQty],T_StockCount[RM_Code],$A9,T_StockCount[WeekIndex],35),IF((COUNTIFS(T_SelfStock[RM_Code],$A9,T_SelfStock[WeekIndex],35)&gt;0)*(COUNTIFS(T_TTAFStock[RM_Code],$A9,T_TTAFStock[WeekIndex],35)&gt;0)&gt;0,SUMIFS(T_SelfStock[Self_Qty],T_SelfStock[RM_Code],$A9,T_SelfStock[WeekIndex],35)+SUMIFS(T_TTAFStock[TTAF_Qty],T_TTAFStock[RM_Code],$A9,T_TTAFStock[WeekIndex],35),AI9+'Grid_Incoming'!AJ9-'Grid_Requirement'!AJ9))</f>
        <v/>
      </c>
      <c r="AK9">
        <f>IF(COUNTIFS(T_StockCount[RM_Code],$A9,T_StockCount[WeekIndex],36)&gt;0,SUMIFS(T_StockCount[CountedQty],T_StockCount[RM_Code],$A9,T_StockCount[WeekIndex],36),IF((COUNTIFS(T_SelfStock[RM_Code],$A9,T_SelfStock[WeekIndex],36)&gt;0)*(COUNTIFS(T_TTAFStock[RM_Code],$A9,T_TTAFStock[WeekIndex],36)&gt;0)&gt;0,SUMIFS(T_SelfStock[Self_Qty],T_SelfStock[RM_Code],$A9,T_SelfStock[WeekIndex],36)+SUMIFS(T_TTAFStock[TTAF_Qty],T_TTAFStock[RM_Code],$A9,T_TTAFStock[WeekIndex],36),AJ9+'Grid_Incoming'!AK9-'Grid_Requirement'!AK9))</f>
        <v/>
      </c>
      <c r="AL9">
        <f>IF(COUNTIFS(T_StockCount[RM_Code],$A9,T_StockCount[WeekIndex],37)&gt;0,SUMIFS(T_StockCount[CountedQty],T_StockCount[RM_Code],$A9,T_StockCount[WeekIndex],37),IF((COUNTIFS(T_SelfStock[RM_Code],$A9,T_SelfStock[WeekIndex],37)&gt;0)*(COUNTIFS(T_TTAFStock[RM_Code],$A9,T_TTAFStock[WeekIndex],37)&gt;0)&gt;0,SUMIFS(T_SelfStock[Self_Qty],T_SelfStock[RM_Code],$A9,T_SelfStock[WeekIndex],37)+SUMIFS(T_TTAFStock[TTAF_Qty],T_TTAFStock[RM_Code],$A9,T_TTAFStock[WeekIndex],37),AK9+'Grid_Incoming'!AL9-'Grid_Requirement'!AL9))</f>
        <v/>
      </c>
      <c r="AM9">
        <f>IF(COUNTIFS(T_StockCount[RM_Code],$A9,T_StockCount[WeekIndex],38)&gt;0,SUMIFS(T_StockCount[CountedQty],T_StockCount[RM_Code],$A9,T_StockCount[WeekIndex],38),IF((COUNTIFS(T_SelfStock[RM_Code],$A9,T_SelfStock[WeekIndex],38)&gt;0)*(COUNTIFS(T_TTAFStock[RM_Code],$A9,T_TTAFStock[WeekIndex],38)&gt;0)&gt;0,SUMIFS(T_SelfStock[Self_Qty],T_SelfStock[RM_Code],$A9,T_SelfStock[WeekIndex],38)+SUMIFS(T_TTAFStock[TTAF_Qty],T_TTAFStock[RM_Code],$A9,T_TTAFStock[WeekIndex],38),AL9+'Grid_Incoming'!AM9-'Grid_Requirement'!AM9))</f>
        <v/>
      </c>
      <c r="AN9">
        <f>IF(COUNTIFS(T_StockCount[RM_Code],$A9,T_StockCount[WeekIndex],39)&gt;0,SUMIFS(T_StockCount[CountedQty],T_StockCount[RM_Code],$A9,T_StockCount[WeekIndex],39),IF((COUNTIFS(T_SelfStock[RM_Code],$A9,T_SelfStock[WeekIndex],39)&gt;0)*(COUNTIFS(T_TTAFStock[RM_Code],$A9,T_TTAFStock[WeekIndex],39)&gt;0)&gt;0,SUMIFS(T_SelfStock[Self_Qty],T_SelfStock[RM_Code],$A9,T_SelfStock[WeekIndex],39)+SUMIFS(T_TTAFStock[TTAF_Qty],T_TTAFStock[RM_Code],$A9,T_TTAFStock[WeekIndex],39),AM9+'Grid_Incoming'!AN9-'Grid_Requirement'!AN9))</f>
        <v/>
      </c>
      <c r="AO9">
        <f>IF(COUNTIFS(T_StockCount[RM_Code],$A9,T_StockCount[WeekIndex],40)&gt;0,SUMIFS(T_StockCount[CountedQty],T_StockCount[RM_Code],$A9,T_StockCount[WeekIndex],40),IF((COUNTIFS(T_SelfStock[RM_Code],$A9,T_SelfStock[WeekIndex],40)&gt;0)*(COUNTIFS(T_TTAFStock[RM_Code],$A9,T_TTAFStock[WeekIndex],40)&gt;0)&gt;0,SUMIFS(T_SelfStock[Self_Qty],T_SelfStock[RM_Code],$A9,T_SelfStock[WeekIndex],40)+SUMIFS(T_TTAFStock[TTAF_Qty],T_TTAFStock[RM_Code],$A9,T_TTAFStock[WeekIndex],40),AN9+'Grid_Incoming'!AO9-'Grid_Requirement'!AO9))</f>
        <v/>
      </c>
      <c r="AP9">
        <f>IF(COUNTIFS(T_StockCount[RM_Code],$A9,T_StockCount[WeekIndex],41)&gt;0,SUMIFS(T_StockCount[CountedQty],T_StockCount[RM_Code],$A9,T_StockCount[WeekIndex],41),IF((COUNTIFS(T_SelfStock[RM_Code],$A9,T_SelfStock[WeekIndex],41)&gt;0)*(COUNTIFS(T_TTAFStock[RM_Code],$A9,T_TTAFStock[WeekIndex],41)&gt;0)&gt;0,SUMIFS(T_SelfStock[Self_Qty],T_SelfStock[RM_Code],$A9,T_SelfStock[WeekIndex],41)+SUMIFS(T_TTAFStock[TTAF_Qty],T_TTAFStock[RM_Code],$A9,T_TTAFStock[WeekIndex],41),AO9+'Grid_Incoming'!AP9-'Grid_Requirement'!AP9))</f>
        <v/>
      </c>
      <c r="AQ9">
        <f>IF(COUNTIFS(T_StockCount[RM_Code],$A9,T_StockCount[WeekIndex],42)&gt;0,SUMIFS(T_StockCount[CountedQty],T_StockCount[RM_Code],$A9,T_StockCount[WeekIndex],42),IF((COUNTIFS(T_SelfStock[RM_Code],$A9,T_SelfStock[WeekIndex],42)&gt;0)*(COUNTIFS(T_TTAFStock[RM_Code],$A9,T_TTAFStock[WeekIndex],42)&gt;0)&gt;0,SUMIFS(T_SelfStock[Self_Qty],T_SelfStock[RM_Code],$A9,T_SelfStock[WeekIndex],42)+SUMIFS(T_TTAFStock[TTAF_Qty],T_TTAFStock[RM_Code],$A9,T_TTAFStock[WeekIndex],42),AP9+'Grid_Incoming'!AQ9-'Grid_Requirement'!AQ9))</f>
        <v/>
      </c>
      <c r="AR9">
        <f>IF(COUNTIFS(T_StockCount[RM_Code],$A9,T_StockCount[WeekIndex],43)&gt;0,SUMIFS(T_StockCount[CountedQty],T_StockCount[RM_Code],$A9,T_StockCount[WeekIndex],43),IF((COUNTIFS(T_SelfStock[RM_Code],$A9,T_SelfStock[WeekIndex],43)&gt;0)*(COUNTIFS(T_TTAFStock[RM_Code],$A9,T_TTAFStock[WeekIndex],43)&gt;0)&gt;0,SUMIFS(T_SelfStock[Self_Qty],T_SelfStock[RM_Code],$A9,T_SelfStock[WeekIndex],43)+SUMIFS(T_TTAFStock[TTAF_Qty],T_TTAFStock[RM_Code],$A9,T_TTAFStock[WeekIndex],43),AQ9+'Grid_Incoming'!AR9-'Grid_Requirement'!AR9))</f>
        <v/>
      </c>
      <c r="AS9">
        <f>IF(COUNTIFS(T_StockCount[RM_Code],$A9,T_StockCount[WeekIndex],44)&gt;0,SUMIFS(T_StockCount[CountedQty],T_StockCount[RM_Code],$A9,T_StockCount[WeekIndex],44),IF((COUNTIFS(T_SelfStock[RM_Code],$A9,T_SelfStock[WeekIndex],44)&gt;0)*(COUNTIFS(T_TTAFStock[RM_Code],$A9,T_TTAFStock[WeekIndex],44)&gt;0)&gt;0,SUMIFS(T_SelfStock[Self_Qty],T_SelfStock[RM_Code],$A9,T_SelfStock[WeekIndex],44)+SUMIFS(T_TTAFStock[TTAF_Qty],T_TTAFStock[RM_Code],$A9,T_TTAFStock[WeekIndex],44),AR9+'Grid_Incoming'!AS9-'Grid_Requirement'!AS9))</f>
        <v/>
      </c>
      <c r="AT9">
        <f>IF(COUNTIFS(T_StockCount[RM_Code],$A9,T_StockCount[WeekIndex],45)&gt;0,SUMIFS(T_StockCount[CountedQty],T_StockCount[RM_Code],$A9,T_StockCount[WeekIndex],45),IF((COUNTIFS(T_SelfStock[RM_Code],$A9,T_SelfStock[WeekIndex],45)&gt;0)*(COUNTIFS(T_TTAFStock[RM_Code],$A9,T_TTAFStock[WeekIndex],45)&gt;0)&gt;0,SUMIFS(T_SelfStock[Self_Qty],T_SelfStock[RM_Code],$A9,T_SelfStock[WeekIndex],45)+SUMIFS(T_TTAFStock[TTAF_Qty],T_TTAFStock[RM_Code],$A9,T_TTAFStock[WeekIndex],45),AS9+'Grid_Incoming'!AT9-'Grid_Requirement'!AT9))</f>
        <v/>
      </c>
      <c r="AU9">
        <f>IF(COUNTIFS(T_StockCount[RM_Code],$A9,T_StockCount[WeekIndex],46)&gt;0,SUMIFS(T_StockCount[CountedQty],T_StockCount[RM_Code],$A9,T_StockCount[WeekIndex],46),IF((COUNTIFS(T_SelfStock[RM_Code],$A9,T_SelfStock[WeekIndex],46)&gt;0)*(COUNTIFS(T_TTAFStock[RM_Code],$A9,T_TTAFStock[WeekIndex],46)&gt;0)&gt;0,SUMIFS(T_SelfStock[Self_Qty],T_SelfStock[RM_Code],$A9,T_SelfStock[WeekIndex],46)+SUMIFS(T_TTAFStock[TTAF_Qty],T_TTAFStock[RM_Code],$A9,T_TTAFStock[WeekIndex],46),AT9+'Grid_Incoming'!AU9-'Grid_Requirement'!AU9))</f>
        <v/>
      </c>
      <c r="AV9">
        <f>IF(COUNTIFS(T_StockCount[RM_Code],$A9,T_StockCount[WeekIndex],47)&gt;0,SUMIFS(T_StockCount[CountedQty],T_StockCount[RM_Code],$A9,T_StockCount[WeekIndex],47),IF((COUNTIFS(T_SelfStock[RM_Code],$A9,T_SelfStock[WeekIndex],47)&gt;0)*(COUNTIFS(T_TTAFStock[RM_Code],$A9,T_TTAFStock[WeekIndex],47)&gt;0)&gt;0,SUMIFS(T_SelfStock[Self_Qty],T_SelfStock[RM_Code],$A9,T_SelfStock[WeekIndex],47)+SUMIFS(T_TTAFStock[TTAF_Qty],T_TTAFStock[RM_Code],$A9,T_TTAFStock[WeekIndex],47),AU9+'Grid_Incoming'!AV9-'Grid_Requirement'!AV9))</f>
        <v/>
      </c>
      <c r="AW9">
        <f>IF(COUNTIFS(T_StockCount[RM_Code],$A9,T_StockCount[WeekIndex],48)&gt;0,SUMIFS(T_StockCount[CountedQty],T_StockCount[RM_Code],$A9,T_StockCount[WeekIndex],48),IF((COUNTIFS(T_SelfStock[RM_Code],$A9,T_SelfStock[WeekIndex],48)&gt;0)*(COUNTIFS(T_TTAFStock[RM_Code],$A9,T_TTAFStock[WeekIndex],48)&gt;0)&gt;0,SUMIFS(T_SelfStock[Self_Qty],T_SelfStock[RM_Code],$A9,T_SelfStock[WeekIndex],48)+SUMIFS(T_TTAFStock[TTAF_Qty],T_TTAFStock[RM_Code],$A9,T_TTAFStock[WeekIndex],48),AV9+'Grid_Incoming'!AW9-'Grid_Requirement'!AW9))</f>
        <v/>
      </c>
      <c r="AX9">
        <f>IF(COUNTIFS(T_StockCount[RM_Code],$A9,T_StockCount[WeekIndex],49)&gt;0,SUMIFS(T_StockCount[CountedQty],T_StockCount[RM_Code],$A9,T_StockCount[WeekIndex],49),IF((COUNTIFS(T_SelfStock[RM_Code],$A9,T_SelfStock[WeekIndex],49)&gt;0)*(COUNTIFS(T_TTAFStock[RM_Code],$A9,T_TTAFStock[WeekIndex],49)&gt;0)&gt;0,SUMIFS(T_SelfStock[Self_Qty],T_SelfStock[RM_Code],$A9,T_SelfStock[WeekIndex],49)+SUMIFS(T_TTAFStock[TTAF_Qty],T_TTAFStock[RM_Code],$A9,T_TTAFStock[WeekIndex],49),AW9+'Grid_Incoming'!AX9-'Grid_Requirement'!AX9))</f>
        <v/>
      </c>
      <c r="AY9">
        <f>IF(COUNTIFS(T_StockCount[RM_Code],$A9,T_StockCount[WeekIndex],50)&gt;0,SUMIFS(T_StockCount[CountedQty],T_StockCount[RM_Code],$A9,T_StockCount[WeekIndex],50),IF((COUNTIFS(T_SelfStock[RM_Code],$A9,T_SelfStock[WeekIndex],50)&gt;0)*(COUNTIFS(T_TTAFStock[RM_Code],$A9,T_TTAFStock[WeekIndex],50)&gt;0)&gt;0,SUMIFS(T_SelfStock[Self_Qty],T_SelfStock[RM_Code],$A9,T_SelfStock[WeekIndex],50)+SUMIFS(T_TTAFStock[TTAF_Qty],T_TTAFStock[RM_Code],$A9,T_TTAFStock[WeekIndex],50),AX9+'Grid_Incoming'!AY9-'Grid_Requirement'!AY9))</f>
        <v/>
      </c>
      <c r="AZ9">
        <f>IF(COUNTIFS(T_StockCount[RM_Code],$A9,T_StockCount[WeekIndex],51)&gt;0,SUMIFS(T_StockCount[CountedQty],T_StockCount[RM_Code],$A9,T_StockCount[WeekIndex],51),IF((COUNTIFS(T_SelfStock[RM_Code],$A9,T_SelfStock[WeekIndex],51)&gt;0)*(COUNTIFS(T_TTAFStock[RM_Code],$A9,T_TTAFStock[WeekIndex],51)&gt;0)&gt;0,SUMIFS(T_SelfStock[Self_Qty],T_SelfStock[RM_Code],$A9,T_SelfStock[WeekIndex],51)+SUMIFS(T_TTAFStock[TTAF_Qty],T_TTAFStock[RM_Code],$A9,T_TTAFStock[WeekIndex],51),AY9+'Grid_Incoming'!AZ9-'Grid_Requirement'!AZ9))</f>
        <v/>
      </c>
      <c r="BA9">
        <f>IF(COUNTIFS(T_StockCount[RM_Code],$A9,T_StockCount[WeekIndex],52)&gt;0,SUMIFS(T_StockCount[CountedQty],T_StockCount[RM_Code],$A9,T_StockCount[WeekIndex],52),IF((COUNTIFS(T_SelfStock[RM_Code],$A9,T_SelfStock[WeekIndex],52)&gt;0)*(COUNTIFS(T_TTAFStock[RM_Code],$A9,T_TTAFStock[WeekIndex],52)&gt;0)&gt;0,SUMIFS(T_SelfStock[Self_Qty],T_SelfStock[RM_Code],$A9,T_SelfStock[WeekIndex],52)+SUMIFS(T_TTAFStock[TTAF_Qty],T_TTAFStock[RM_Code],$A9,T_TTAFStock[WeekIndex],52),AZ9+'Grid_Incoming'!BA9-'Grid_Requirement'!BA9))</f>
        <v/>
      </c>
      <c r="BB9">
        <f>IF(COUNTIFS(T_StockCount[RM_Code],$A9,T_StockCount[WeekIndex],53)&gt;0,SUMIFS(T_StockCount[CountedQty],T_StockCount[RM_Code],$A9,T_StockCount[WeekIndex],53),IF((COUNTIFS(T_SelfStock[RM_Code],$A9,T_SelfStock[WeekIndex],53)&gt;0)*(COUNTIFS(T_TTAFStock[RM_Code],$A9,T_TTAFStock[WeekIndex],53)&gt;0)&gt;0,SUMIFS(T_SelfStock[Self_Qty],T_SelfStock[RM_Code],$A9,T_SelfStock[WeekIndex],53)+SUMIFS(T_TTAFStock[TTAF_Qty],T_TTAFStock[RM_Code],$A9,T_TTAFStock[WeekIndex],53),BA9+'Grid_Incoming'!BB9-'Grid_Requirement'!BB9))</f>
        <v/>
      </c>
      <c r="BC9">
        <f>IF(COUNTIFS(T_StockCount[RM_Code],$A9,T_StockCount[WeekIndex],54)&gt;0,SUMIFS(T_StockCount[CountedQty],T_StockCount[RM_Code],$A9,T_StockCount[WeekIndex],54),IF((COUNTIFS(T_SelfStock[RM_Code],$A9,T_SelfStock[WeekIndex],54)&gt;0)*(COUNTIFS(T_TTAFStock[RM_Code],$A9,T_TTAFStock[WeekIndex],54)&gt;0)&gt;0,SUMIFS(T_SelfStock[Self_Qty],T_SelfStock[RM_Code],$A9,T_SelfStock[WeekIndex],54)+SUMIFS(T_TTAFStock[TTAF_Qty],T_TTAFStock[RM_Code],$A9,T_TTAFStock[WeekIndex],54),BB9+'Grid_Incoming'!BC9-'Grid_Requirement'!BC9))</f>
        <v/>
      </c>
      <c r="BD9">
        <f>IF(COUNTIFS(T_StockCount[RM_Code],$A9,T_StockCount[WeekIndex],55)&gt;0,SUMIFS(T_StockCount[CountedQty],T_StockCount[RM_Code],$A9,T_StockCount[WeekIndex],55),IF((COUNTIFS(T_SelfStock[RM_Code],$A9,T_SelfStock[WeekIndex],55)&gt;0)*(COUNTIFS(T_TTAFStock[RM_Code],$A9,T_TTAFStock[WeekIndex],55)&gt;0)&gt;0,SUMIFS(T_SelfStock[Self_Qty],T_SelfStock[RM_Code],$A9,T_SelfStock[WeekIndex],55)+SUMIFS(T_TTAFStock[TTAF_Qty],T_TTAFStock[RM_Code],$A9,T_TTAFStock[WeekIndex],55),BC9+'Grid_Incoming'!BD9-'Grid_Requirement'!BD9))</f>
        <v/>
      </c>
      <c r="BE9">
        <f>IF(COUNTIFS(T_StockCount[RM_Code],$A9,T_StockCount[WeekIndex],56)&gt;0,SUMIFS(T_StockCount[CountedQty],T_StockCount[RM_Code],$A9,T_StockCount[WeekIndex],56),IF((COUNTIFS(T_SelfStock[RM_Code],$A9,T_SelfStock[WeekIndex],56)&gt;0)*(COUNTIFS(T_TTAFStock[RM_Code],$A9,T_TTAFStock[WeekIndex],56)&gt;0)&gt;0,SUMIFS(T_SelfStock[Self_Qty],T_SelfStock[RM_Code],$A9,T_SelfStock[WeekIndex],56)+SUMIFS(T_TTAFStock[TTAF_Qty],T_TTAFStock[RM_Code],$A9,T_TTAFStock[WeekIndex],56),BD9+'Grid_Incoming'!BE9-'Grid_Requirement'!BE9))</f>
        <v/>
      </c>
      <c r="BF9">
        <f>IF(COUNTIFS(T_StockCount[RM_Code],$A9,T_StockCount[WeekIndex],57)&gt;0,SUMIFS(T_StockCount[CountedQty],T_StockCount[RM_Code],$A9,T_StockCount[WeekIndex],57),IF((COUNTIFS(T_SelfStock[RM_Code],$A9,T_SelfStock[WeekIndex],57)&gt;0)*(COUNTIFS(T_TTAFStock[RM_Code],$A9,T_TTAFStock[WeekIndex],57)&gt;0)&gt;0,SUMIFS(T_SelfStock[Self_Qty],T_SelfStock[RM_Code],$A9,T_SelfStock[WeekIndex],57)+SUMIFS(T_TTAFStock[TTAF_Qty],T_TTAFStock[RM_Code],$A9,T_TTAFStock[WeekIndex],57),BE9+'Grid_Incoming'!BF9-'Grid_Requirement'!BF9))</f>
        <v/>
      </c>
      <c r="BG9">
        <f>IF(COUNTIFS(T_StockCount[RM_Code],$A9,T_StockCount[WeekIndex],58)&gt;0,SUMIFS(T_StockCount[CountedQty],T_StockCount[RM_Code],$A9,T_StockCount[WeekIndex],58),IF((COUNTIFS(T_SelfStock[RM_Code],$A9,T_SelfStock[WeekIndex],58)&gt;0)*(COUNTIFS(T_TTAFStock[RM_Code],$A9,T_TTAFStock[WeekIndex],58)&gt;0)&gt;0,SUMIFS(T_SelfStock[Self_Qty],T_SelfStock[RM_Code],$A9,T_SelfStock[WeekIndex],58)+SUMIFS(T_TTAFStock[TTAF_Qty],T_TTAFStock[RM_Code],$A9,T_TTAFStock[WeekIndex],58),BF9+'Grid_Incoming'!BG9-'Grid_Requirement'!BG9))</f>
        <v/>
      </c>
      <c r="BH9">
        <f>IF(COUNTIFS(T_StockCount[RM_Code],$A9,T_StockCount[WeekIndex],59)&gt;0,SUMIFS(T_StockCount[CountedQty],T_StockCount[RM_Code],$A9,T_StockCount[WeekIndex],59),IF((COUNTIFS(T_SelfStock[RM_Code],$A9,T_SelfStock[WeekIndex],59)&gt;0)*(COUNTIFS(T_TTAFStock[RM_Code],$A9,T_TTAFStock[WeekIndex],59)&gt;0)&gt;0,SUMIFS(T_SelfStock[Self_Qty],T_SelfStock[RM_Code],$A9,T_SelfStock[WeekIndex],59)+SUMIFS(T_TTAFStock[TTAF_Qty],T_TTAFStock[RM_Code],$A9,T_TTAFStock[WeekIndex],59),BG9+'Grid_Incoming'!BH9-'Grid_Requirement'!BH9))</f>
        <v/>
      </c>
      <c r="BI9">
        <f>IF(COUNTIFS(T_StockCount[RM_Code],$A9,T_StockCount[WeekIndex],60)&gt;0,SUMIFS(T_StockCount[CountedQty],T_StockCount[RM_Code],$A9,T_StockCount[WeekIndex],60),IF((COUNTIFS(T_SelfStock[RM_Code],$A9,T_SelfStock[WeekIndex],60)&gt;0)*(COUNTIFS(T_TTAFStock[RM_Code],$A9,T_TTAFStock[WeekIndex],60)&gt;0)&gt;0,SUMIFS(T_SelfStock[Self_Qty],T_SelfStock[RM_Code],$A9,T_SelfStock[WeekIndex],60)+SUMIFS(T_TTAFStock[TTAF_Qty],T_TTAFStock[RM_Code],$A9,T_TTAFStock[WeekIndex],60),BH9+'Grid_Incoming'!BI9-'Grid_Requirement'!BI9))</f>
        <v/>
      </c>
      <c r="BJ9">
        <f>IF(COUNTIFS(T_StockCount[RM_Code],$A9,T_StockCount[WeekIndex],61)&gt;0,SUMIFS(T_StockCount[CountedQty],T_StockCount[RM_Code],$A9,T_StockCount[WeekIndex],61),IF((COUNTIFS(T_SelfStock[RM_Code],$A9,T_SelfStock[WeekIndex],61)&gt;0)*(COUNTIFS(T_TTAFStock[RM_Code],$A9,T_TTAFStock[WeekIndex],61)&gt;0)&gt;0,SUMIFS(T_SelfStock[Self_Qty],T_SelfStock[RM_Code],$A9,T_SelfStock[WeekIndex],61)+SUMIFS(T_TTAFStock[TTAF_Qty],T_TTAFStock[RM_Code],$A9,T_TTAFStock[WeekIndex],61),BI9+'Grid_Incoming'!BJ9-'Grid_Requirement'!BJ9))</f>
        <v/>
      </c>
      <c r="BK9">
        <f>IF(COUNTIFS(T_StockCount[RM_Code],$A9,T_StockCount[WeekIndex],62)&gt;0,SUMIFS(T_StockCount[CountedQty],T_StockCount[RM_Code],$A9,T_StockCount[WeekIndex],62),IF((COUNTIFS(T_SelfStock[RM_Code],$A9,T_SelfStock[WeekIndex],62)&gt;0)*(COUNTIFS(T_TTAFStock[RM_Code],$A9,T_TTAFStock[WeekIndex],62)&gt;0)&gt;0,SUMIFS(T_SelfStock[Self_Qty],T_SelfStock[RM_Code],$A9,T_SelfStock[WeekIndex],62)+SUMIFS(T_TTAFStock[TTAF_Qty],T_TTAFStock[RM_Code],$A9,T_TTAFStock[WeekIndex],62),BJ9+'Grid_Incoming'!BK9-'Grid_Requirement'!BK9))</f>
        <v/>
      </c>
      <c r="BL9">
        <f>IF(COUNTIFS(T_StockCount[RM_Code],$A9,T_StockCount[WeekIndex],63)&gt;0,SUMIFS(T_StockCount[CountedQty],T_StockCount[RM_Code],$A9,T_StockCount[WeekIndex],63),IF((COUNTIFS(T_SelfStock[RM_Code],$A9,T_SelfStock[WeekIndex],63)&gt;0)*(COUNTIFS(T_TTAFStock[RM_Code],$A9,T_TTAFStock[WeekIndex],63)&gt;0)&gt;0,SUMIFS(T_SelfStock[Self_Qty],T_SelfStock[RM_Code],$A9,T_SelfStock[WeekIndex],63)+SUMIFS(T_TTAFStock[TTAF_Qty],T_TTAFStock[RM_Code],$A9,T_TTAFStock[WeekIndex],63),BK9+'Grid_Incoming'!BL9-'Grid_Requirement'!BL9))</f>
        <v/>
      </c>
      <c r="BM9">
        <f>IF(COUNTIFS(T_StockCount[RM_Code],$A9,T_StockCount[WeekIndex],64)&gt;0,SUMIFS(T_StockCount[CountedQty],T_StockCount[RM_Code],$A9,T_StockCount[WeekIndex],64),IF((COUNTIFS(T_SelfStock[RM_Code],$A9,T_SelfStock[WeekIndex],64)&gt;0)*(COUNTIFS(T_TTAFStock[RM_Code],$A9,T_TTAFStock[WeekIndex],64)&gt;0)&gt;0,SUMIFS(T_SelfStock[Self_Qty],T_SelfStock[RM_Code],$A9,T_SelfStock[WeekIndex],64)+SUMIFS(T_TTAFStock[TTAF_Qty],T_TTAFStock[RM_Code],$A9,T_TTAFStock[WeekIndex],64),BL9+'Grid_Incoming'!BM9-'Grid_Requirement'!BM9))</f>
        <v/>
      </c>
      <c r="BN9">
        <f>IF(COUNTIFS(T_StockCount[RM_Code],$A9,T_StockCount[WeekIndex],65)&gt;0,SUMIFS(T_StockCount[CountedQty],T_StockCount[RM_Code],$A9,T_StockCount[WeekIndex],65),IF((COUNTIFS(T_SelfStock[RM_Code],$A9,T_SelfStock[WeekIndex],65)&gt;0)*(COUNTIFS(T_TTAFStock[RM_Code],$A9,T_TTAFStock[WeekIndex],65)&gt;0)&gt;0,SUMIFS(T_SelfStock[Self_Qty],T_SelfStock[RM_Code],$A9,T_SelfStock[WeekIndex],65)+SUMIFS(T_TTAFStock[TTAF_Qty],T_TTAFStock[RM_Code],$A9,T_TTAFStock[WeekIndex],65),BM9+'Grid_Incoming'!BN9-'Grid_Requirement'!BN9))</f>
        <v/>
      </c>
      <c r="BO9">
        <f>IF(COUNTIFS(T_StockCount[RM_Code],$A9,T_StockCount[WeekIndex],66)&gt;0,SUMIFS(T_StockCount[CountedQty],T_StockCount[RM_Code],$A9,T_StockCount[WeekIndex],66),IF((COUNTIFS(T_SelfStock[RM_Code],$A9,T_SelfStock[WeekIndex],66)&gt;0)*(COUNTIFS(T_TTAFStock[RM_Code],$A9,T_TTAFStock[WeekIndex],66)&gt;0)&gt;0,SUMIFS(T_SelfStock[Self_Qty],T_SelfStock[RM_Code],$A9,T_SelfStock[WeekIndex],66)+SUMIFS(T_TTAFStock[TTAF_Qty],T_TTAFStock[RM_Code],$A9,T_TTAFStock[WeekIndex],66),BN9+'Grid_Incoming'!BO9-'Grid_Requirement'!BO9))</f>
        <v/>
      </c>
      <c r="BP9">
        <f>IF(COUNTIFS(T_StockCount[RM_Code],$A9,T_StockCount[WeekIndex],67)&gt;0,SUMIFS(T_StockCount[CountedQty],T_StockCount[RM_Code],$A9,T_StockCount[WeekIndex],67),IF((COUNTIFS(T_SelfStock[RM_Code],$A9,T_SelfStock[WeekIndex],67)&gt;0)*(COUNTIFS(T_TTAFStock[RM_Code],$A9,T_TTAFStock[WeekIndex],67)&gt;0)&gt;0,SUMIFS(T_SelfStock[Self_Qty],T_SelfStock[RM_Code],$A9,T_SelfStock[WeekIndex],67)+SUMIFS(T_TTAFStock[TTAF_Qty],T_TTAFStock[RM_Code],$A9,T_TTAFStock[WeekIndex],67),BO9+'Grid_Incoming'!BP9-'Grid_Requirement'!BP9))</f>
        <v/>
      </c>
      <c r="BQ9">
        <f>IF(COUNTIFS(T_StockCount[RM_Code],$A9,T_StockCount[WeekIndex],68)&gt;0,SUMIFS(T_StockCount[CountedQty],T_StockCount[RM_Code],$A9,T_StockCount[WeekIndex],68),IF((COUNTIFS(T_SelfStock[RM_Code],$A9,T_SelfStock[WeekIndex],68)&gt;0)*(COUNTIFS(T_TTAFStock[RM_Code],$A9,T_TTAFStock[WeekIndex],68)&gt;0)&gt;0,SUMIFS(T_SelfStock[Self_Qty],T_SelfStock[RM_Code],$A9,T_SelfStock[WeekIndex],68)+SUMIFS(T_TTAFStock[TTAF_Qty],T_TTAFStock[RM_Code],$A9,T_TTAFStock[WeekIndex],68),BP9+'Grid_Incoming'!BQ9-'Grid_Requirement'!BQ9))</f>
        <v/>
      </c>
      <c r="BR9">
        <f>IF(COUNTIFS(T_StockCount[RM_Code],$A9,T_StockCount[WeekIndex],69)&gt;0,SUMIFS(T_StockCount[CountedQty],T_StockCount[RM_Code],$A9,T_StockCount[WeekIndex],69),IF((COUNTIFS(T_SelfStock[RM_Code],$A9,T_SelfStock[WeekIndex],69)&gt;0)*(COUNTIFS(T_TTAFStock[RM_Code],$A9,T_TTAFStock[WeekIndex],69)&gt;0)&gt;0,SUMIFS(T_SelfStock[Self_Qty],T_SelfStock[RM_Code],$A9,T_SelfStock[WeekIndex],69)+SUMIFS(T_TTAFStock[TTAF_Qty],T_TTAFStock[RM_Code],$A9,T_TTAFStock[WeekIndex],69),BQ9+'Grid_Incoming'!BR9-'Grid_Requirement'!BR9))</f>
        <v/>
      </c>
      <c r="BS9">
        <f>IF(COUNTIFS(T_StockCount[RM_Code],$A9,T_StockCount[WeekIndex],70)&gt;0,SUMIFS(T_StockCount[CountedQty],T_StockCount[RM_Code],$A9,T_StockCount[WeekIndex],70),IF((COUNTIFS(T_SelfStock[RM_Code],$A9,T_SelfStock[WeekIndex],70)&gt;0)*(COUNTIFS(T_TTAFStock[RM_Code],$A9,T_TTAFStock[WeekIndex],70)&gt;0)&gt;0,SUMIFS(T_SelfStock[Self_Qty],T_SelfStock[RM_Code],$A9,T_SelfStock[WeekIndex],70)+SUMIFS(T_TTAFStock[TTAF_Qty],T_TTAFStock[RM_Code],$A9,T_TTAFStock[WeekIndex],70),BR9+'Grid_Incoming'!BS9-'Grid_Requirement'!BS9))</f>
        <v/>
      </c>
      <c r="BT9">
        <f>IF(COUNTIFS(T_StockCount[RM_Code],$A9,T_StockCount[WeekIndex],71)&gt;0,SUMIFS(T_StockCount[CountedQty],T_StockCount[RM_Code],$A9,T_StockCount[WeekIndex],71),IF((COUNTIFS(T_SelfStock[RM_Code],$A9,T_SelfStock[WeekIndex],71)&gt;0)*(COUNTIFS(T_TTAFStock[RM_Code],$A9,T_TTAFStock[WeekIndex],71)&gt;0)&gt;0,SUMIFS(T_SelfStock[Self_Qty],T_SelfStock[RM_Code],$A9,T_SelfStock[WeekIndex],71)+SUMIFS(T_TTAFStock[TTAF_Qty],T_TTAFStock[RM_Code],$A9,T_TTAFStock[WeekIndex],71),BS9+'Grid_Incoming'!BT9-'Grid_Requirement'!BT9))</f>
        <v/>
      </c>
      <c r="BU9">
        <f>IF(COUNTIFS(T_StockCount[RM_Code],$A9,T_StockCount[WeekIndex],72)&gt;0,SUMIFS(T_StockCount[CountedQty],T_StockCount[RM_Code],$A9,T_StockCount[WeekIndex],72),IF((COUNTIFS(T_SelfStock[RM_Code],$A9,T_SelfStock[WeekIndex],72)&gt;0)*(COUNTIFS(T_TTAFStock[RM_Code],$A9,T_TTAFStock[WeekIndex],72)&gt;0)&gt;0,SUMIFS(T_SelfStock[Self_Qty],T_SelfStock[RM_Code],$A9,T_SelfStock[WeekIndex],72)+SUMIFS(T_TTAFStock[TTAF_Qty],T_TTAFStock[RM_Code],$A9,T_TTAFStock[WeekIndex],72),BT9+'Grid_Incoming'!BU9-'Grid_Requirement'!BU9))</f>
        <v/>
      </c>
      <c r="BV9">
        <f>IF(COUNTIFS(T_StockCount[RM_Code],$A9,T_StockCount[WeekIndex],73)&gt;0,SUMIFS(T_StockCount[CountedQty],T_StockCount[RM_Code],$A9,T_StockCount[WeekIndex],73),IF((COUNTIFS(T_SelfStock[RM_Code],$A9,T_SelfStock[WeekIndex],73)&gt;0)*(COUNTIFS(T_TTAFStock[RM_Code],$A9,T_TTAFStock[WeekIndex],73)&gt;0)&gt;0,SUMIFS(T_SelfStock[Self_Qty],T_SelfStock[RM_Code],$A9,T_SelfStock[WeekIndex],73)+SUMIFS(T_TTAFStock[TTAF_Qty],T_TTAFStock[RM_Code],$A9,T_TTAFStock[WeekIndex],73),BU9+'Grid_Incoming'!BV9-'Grid_Requirement'!BV9))</f>
        <v/>
      </c>
      <c r="BW9">
        <f>IF(COUNTIFS(T_StockCount[RM_Code],$A9,T_StockCount[WeekIndex],74)&gt;0,SUMIFS(T_StockCount[CountedQty],T_StockCount[RM_Code],$A9,T_StockCount[WeekIndex],74),IF((COUNTIFS(T_SelfStock[RM_Code],$A9,T_SelfStock[WeekIndex],74)&gt;0)*(COUNTIFS(T_TTAFStock[RM_Code],$A9,T_TTAFStock[WeekIndex],74)&gt;0)&gt;0,SUMIFS(T_SelfStock[Self_Qty],T_SelfStock[RM_Code],$A9,T_SelfStock[WeekIndex],74)+SUMIFS(T_TTAFStock[TTAF_Qty],T_TTAFStock[RM_Code],$A9,T_TTAFStock[WeekIndex],74),BV9+'Grid_Incoming'!BW9-'Grid_Requirement'!BW9))</f>
        <v/>
      </c>
      <c r="BX9">
        <f>IF(COUNTIFS(T_StockCount[RM_Code],$A9,T_StockCount[WeekIndex],75)&gt;0,SUMIFS(T_StockCount[CountedQty],T_StockCount[RM_Code],$A9,T_StockCount[WeekIndex],75),IF((COUNTIFS(T_SelfStock[RM_Code],$A9,T_SelfStock[WeekIndex],75)&gt;0)*(COUNTIFS(T_TTAFStock[RM_Code],$A9,T_TTAFStock[WeekIndex],75)&gt;0)&gt;0,SUMIFS(T_SelfStock[Self_Qty],T_SelfStock[RM_Code],$A9,T_SelfStock[WeekIndex],75)+SUMIFS(T_TTAFStock[TTAF_Qty],T_TTAFStock[RM_Code],$A9,T_TTAFStock[WeekIndex],75),BW9+'Grid_Incoming'!BX9-'Grid_Requirement'!BX9))</f>
        <v/>
      </c>
      <c r="BY9">
        <f>IF(COUNTIFS(T_StockCount[RM_Code],$A9,T_StockCount[WeekIndex],76)&gt;0,SUMIFS(T_StockCount[CountedQty],T_StockCount[RM_Code],$A9,T_StockCount[WeekIndex],76),IF((COUNTIFS(T_SelfStock[RM_Code],$A9,T_SelfStock[WeekIndex],76)&gt;0)*(COUNTIFS(T_TTAFStock[RM_Code],$A9,T_TTAFStock[WeekIndex],76)&gt;0)&gt;0,SUMIFS(T_SelfStock[Self_Qty],T_SelfStock[RM_Code],$A9,T_SelfStock[WeekIndex],76)+SUMIFS(T_TTAFStock[TTAF_Qty],T_TTAFStock[RM_Code],$A9,T_TTAFStock[WeekIndex],76),BX9+'Grid_Incoming'!BY9-'Grid_Requirement'!BY9))</f>
        <v/>
      </c>
      <c r="BZ9">
        <f>IF(COUNTIFS(T_StockCount[RM_Code],$A9,T_StockCount[WeekIndex],77)&gt;0,SUMIFS(T_StockCount[CountedQty],T_StockCount[RM_Code],$A9,T_StockCount[WeekIndex],77),IF((COUNTIFS(T_SelfStock[RM_Code],$A9,T_SelfStock[WeekIndex],77)&gt;0)*(COUNTIFS(T_TTAFStock[RM_Code],$A9,T_TTAFStock[WeekIndex],77)&gt;0)&gt;0,SUMIFS(T_SelfStock[Self_Qty],T_SelfStock[RM_Code],$A9,T_SelfStock[WeekIndex],77)+SUMIFS(T_TTAFStock[TTAF_Qty],T_TTAFStock[RM_Code],$A9,T_TTAFStock[WeekIndex],77),BY9+'Grid_Incoming'!BZ9-'Grid_Requirement'!BZ9))</f>
        <v/>
      </c>
      <c r="CA9">
        <f>IF(COUNTIFS(T_StockCount[RM_Code],$A9,T_StockCount[WeekIndex],78)&gt;0,SUMIFS(T_StockCount[CountedQty],T_StockCount[RM_Code],$A9,T_StockCount[WeekIndex],78),IF((COUNTIFS(T_SelfStock[RM_Code],$A9,T_SelfStock[WeekIndex],78)&gt;0)*(COUNTIFS(T_TTAFStock[RM_Code],$A9,T_TTAFStock[WeekIndex],78)&gt;0)&gt;0,SUMIFS(T_SelfStock[Self_Qty],T_SelfStock[RM_Code],$A9,T_SelfStock[WeekIndex],78)+SUMIFS(T_TTAFStock[TTAF_Qty],T_TTAFStock[RM_Code],$A9,T_TTAFStock[WeekIndex],78),BZ9+'Grid_Incoming'!CA9-'Grid_Requirement'!CA9))</f>
        <v/>
      </c>
      <c r="CB9">
        <f>IF(COUNTIFS(T_StockCount[RM_Code],$A9,T_StockCount[WeekIndex],79)&gt;0,SUMIFS(T_StockCount[CountedQty],T_StockCount[RM_Code],$A9,T_StockCount[WeekIndex],79),IF((COUNTIFS(T_SelfStock[RM_Code],$A9,T_SelfStock[WeekIndex],79)&gt;0)*(COUNTIFS(T_TTAFStock[RM_Code],$A9,T_TTAFStock[WeekIndex],79)&gt;0)&gt;0,SUMIFS(T_SelfStock[Self_Qty],T_SelfStock[RM_Code],$A9,T_SelfStock[WeekIndex],79)+SUMIFS(T_TTAFStock[TTAF_Qty],T_TTAFStock[RM_Code],$A9,T_TTAFStock[WeekIndex],79),CA9+'Grid_Incoming'!CB9-'Grid_Requirement'!CB9))</f>
        <v/>
      </c>
      <c r="CC9">
        <f>IF(COUNTIFS(T_StockCount[RM_Code],$A9,T_StockCount[WeekIndex],80)&gt;0,SUMIFS(T_StockCount[CountedQty],T_StockCount[RM_Code],$A9,T_StockCount[WeekIndex],80),IF((COUNTIFS(T_SelfStock[RM_Code],$A9,T_SelfStock[WeekIndex],80)&gt;0)*(COUNTIFS(T_TTAFStock[RM_Code],$A9,T_TTAFStock[WeekIndex],80)&gt;0)&gt;0,SUMIFS(T_SelfStock[Self_Qty],T_SelfStock[RM_Code],$A9,T_SelfStock[WeekIndex],80)+SUMIFS(T_TTAFStock[TTAF_Qty],T_TTAFStock[RM_Code],$A9,T_TTAFStock[WeekIndex],80),CB9+'Grid_Incoming'!CC9-'Grid_Requirement'!CC9))</f>
        <v/>
      </c>
      <c r="CD9">
        <f>IF(COUNTIFS(T_StockCount[RM_Code],$A9,T_StockCount[WeekIndex],81)&gt;0,SUMIFS(T_StockCount[CountedQty],T_StockCount[RM_Code],$A9,T_StockCount[WeekIndex],81),IF((COUNTIFS(T_SelfStock[RM_Code],$A9,T_SelfStock[WeekIndex],81)&gt;0)*(COUNTIFS(T_TTAFStock[RM_Code],$A9,T_TTAFStock[WeekIndex],81)&gt;0)&gt;0,SUMIFS(T_SelfStock[Self_Qty],T_SelfStock[RM_Code],$A9,T_SelfStock[WeekIndex],81)+SUMIFS(T_TTAFStock[TTAF_Qty],T_TTAFStock[RM_Code],$A9,T_TTAFStock[WeekIndex],81),CC9+'Grid_Incoming'!CD9-'Grid_Requirement'!CD9))</f>
        <v/>
      </c>
      <c r="CE9">
        <f>IF(COUNTIFS(T_StockCount[RM_Code],$A9,T_StockCount[WeekIndex],82)&gt;0,SUMIFS(T_StockCount[CountedQty],T_StockCount[RM_Code],$A9,T_StockCount[WeekIndex],82),IF((COUNTIFS(T_SelfStock[RM_Code],$A9,T_SelfStock[WeekIndex],82)&gt;0)*(COUNTIFS(T_TTAFStock[RM_Code],$A9,T_TTAFStock[WeekIndex],82)&gt;0)&gt;0,SUMIFS(T_SelfStock[Self_Qty],T_SelfStock[RM_Code],$A9,T_SelfStock[WeekIndex],82)+SUMIFS(T_TTAFStock[TTAF_Qty],T_TTAFStock[RM_Code],$A9,T_TTAFStock[WeekIndex],82),CD9+'Grid_Incoming'!CE9-'Grid_Requirement'!CE9))</f>
        <v/>
      </c>
      <c r="CF9">
        <f>IF(COUNTIFS(T_StockCount[RM_Code],$A9,T_StockCount[WeekIndex],83)&gt;0,SUMIFS(T_StockCount[CountedQty],T_StockCount[RM_Code],$A9,T_StockCount[WeekIndex],83),IF((COUNTIFS(T_SelfStock[RM_Code],$A9,T_SelfStock[WeekIndex],83)&gt;0)*(COUNTIFS(T_TTAFStock[RM_Code],$A9,T_TTAFStock[WeekIndex],83)&gt;0)&gt;0,SUMIFS(T_SelfStock[Self_Qty],T_SelfStock[RM_Code],$A9,T_SelfStock[WeekIndex],83)+SUMIFS(T_TTAFStock[TTAF_Qty],T_TTAFStock[RM_Code],$A9,T_TTAFStock[WeekIndex],83),CE9+'Grid_Incoming'!CF9-'Grid_Requirement'!CF9))</f>
        <v/>
      </c>
      <c r="CG9">
        <f>IF(COUNTIFS(T_StockCount[RM_Code],$A9,T_StockCount[WeekIndex],84)&gt;0,SUMIFS(T_StockCount[CountedQty],T_StockCount[RM_Code],$A9,T_StockCount[WeekIndex],84),IF((COUNTIFS(T_SelfStock[RM_Code],$A9,T_SelfStock[WeekIndex],84)&gt;0)*(COUNTIFS(T_TTAFStock[RM_Code],$A9,T_TTAFStock[WeekIndex],84)&gt;0)&gt;0,SUMIFS(T_SelfStock[Self_Qty],T_SelfStock[RM_Code],$A9,T_SelfStock[WeekIndex],84)+SUMIFS(T_TTAFStock[TTAF_Qty],T_TTAFStock[RM_Code],$A9,T_TTAFStock[WeekIndex],84),CF9+'Grid_Incoming'!CG9-'Grid_Requirement'!CG9))</f>
        <v/>
      </c>
      <c r="CH9">
        <f>IF(COUNTIFS(T_StockCount[RM_Code],$A9,T_StockCount[WeekIndex],85)&gt;0,SUMIFS(T_StockCount[CountedQty],T_StockCount[RM_Code],$A9,T_StockCount[WeekIndex],85),IF((COUNTIFS(T_SelfStock[RM_Code],$A9,T_SelfStock[WeekIndex],85)&gt;0)*(COUNTIFS(T_TTAFStock[RM_Code],$A9,T_TTAFStock[WeekIndex],85)&gt;0)&gt;0,SUMIFS(T_SelfStock[Self_Qty],T_SelfStock[RM_Code],$A9,T_SelfStock[WeekIndex],85)+SUMIFS(T_TTAFStock[TTAF_Qty],T_TTAFStock[RM_Code],$A9,T_TTAFStock[WeekIndex],85),CG9+'Grid_Incoming'!CH9-'Grid_Requirement'!CH9))</f>
        <v/>
      </c>
      <c r="CI9">
        <f>IF(COUNTIFS(T_StockCount[RM_Code],$A9,T_StockCount[WeekIndex],86)&gt;0,SUMIFS(T_StockCount[CountedQty],T_StockCount[RM_Code],$A9,T_StockCount[WeekIndex],86),IF((COUNTIFS(T_SelfStock[RM_Code],$A9,T_SelfStock[WeekIndex],86)&gt;0)*(COUNTIFS(T_TTAFStock[RM_Code],$A9,T_TTAFStock[WeekIndex],86)&gt;0)&gt;0,SUMIFS(T_SelfStock[Self_Qty],T_SelfStock[RM_Code],$A9,T_SelfStock[WeekIndex],86)+SUMIFS(T_TTAFStock[TTAF_Qty],T_TTAFStock[RM_Code],$A9,T_TTAFStock[WeekIndex],86),CH9+'Grid_Incoming'!CI9-'Grid_Requirement'!CI9))</f>
        <v/>
      </c>
      <c r="CJ9">
        <f>IF(COUNTIFS(T_StockCount[RM_Code],$A9,T_StockCount[WeekIndex],87)&gt;0,SUMIFS(T_StockCount[CountedQty],T_StockCount[RM_Code],$A9,T_StockCount[WeekIndex],87),IF((COUNTIFS(T_SelfStock[RM_Code],$A9,T_SelfStock[WeekIndex],87)&gt;0)*(COUNTIFS(T_TTAFStock[RM_Code],$A9,T_TTAFStock[WeekIndex],87)&gt;0)&gt;0,SUMIFS(T_SelfStock[Self_Qty],T_SelfStock[RM_Code],$A9,T_SelfStock[WeekIndex],87)+SUMIFS(T_TTAFStock[TTAF_Qty],T_TTAFStock[RM_Code],$A9,T_TTAFStock[WeekIndex],87),CI9+'Grid_Incoming'!CJ9-'Grid_Requirement'!CJ9))</f>
        <v/>
      </c>
      <c r="CK9">
        <f>IF(COUNTIFS(T_StockCount[RM_Code],$A9,T_StockCount[WeekIndex],88)&gt;0,SUMIFS(T_StockCount[CountedQty],T_StockCount[RM_Code],$A9,T_StockCount[WeekIndex],88),IF((COUNTIFS(T_SelfStock[RM_Code],$A9,T_SelfStock[WeekIndex],88)&gt;0)*(COUNTIFS(T_TTAFStock[RM_Code],$A9,T_TTAFStock[WeekIndex],88)&gt;0)&gt;0,SUMIFS(T_SelfStock[Self_Qty],T_SelfStock[RM_Code],$A9,T_SelfStock[WeekIndex],88)+SUMIFS(T_TTAFStock[TTAF_Qty],T_TTAFStock[RM_Code],$A9,T_TTAFStock[WeekIndex],88),CJ9+'Grid_Incoming'!CK9-'Grid_Requirement'!CK9))</f>
        <v/>
      </c>
      <c r="CL9">
        <f>IF(COUNTIFS(T_StockCount[RM_Code],$A9,T_StockCount[WeekIndex],89)&gt;0,SUMIFS(T_StockCount[CountedQty],T_StockCount[RM_Code],$A9,T_StockCount[WeekIndex],89),IF((COUNTIFS(T_SelfStock[RM_Code],$A9,T_SelfStock[WeekIndex],89)&gt;0)*(COUNTIFS(T_TTAFStock[RM_Code],$A9,T_TTAFStock[WeekIndex],89)&gt;0)&gt;0,SUMIFS(T_SelfStock[Self_Qty],T_SelfStock[RM_Code],$A9,T_SelfStock[WeekIndex],89)+SUMIFS(T_TTAFStock[TTAF_Qty],T_TTAFStock[RM_Code],$A9,T_TTAFStock[WeekIndex],89),CK9+'Grid_Incoming'!CL9-'Grid_Requirement'!CL9))</f>
        <v/>
      </c>
      <c r="CM9">
        <f>IF(COUNTIFS(T_StockCount[RM_Code],$A9,T_StockCount[WeekIndex],90)&gt;0,SUMIFS(T_StockCount[CountedQty],T_StockCount[RM_Code],$A9,T_StockCount[WeekIndex],90),IF((COUNTIFS(T_SelfStock[RM_Code],$A9,T_SelfStock[WeekIndex],90)&gt;0)*(COUNTIFS(T_TTAFStock[RM_Code],$A9,T_TTAFStock[WeekIndex],90)&gt;0)&gt;0,SUMIFS(T_SelfStock[Self_Qty],T_SelfStock[RM_Code],$A9,T_SelfStock[WeekIndex],90)+SUMIFS(T_TTAFStock[TTAF_Qty],T_TTAFStock[RM_Code],$A9,T_TTAFStock[WeekIndex],90),CL9+'Grid_Incoming'!CM9-'Grid_Requirement'!CM9))</f>
        <v/>
      </c>
      <c r="CN9">
        <f>IF(COUNTIFS(T_StockCount[RM_Code],$A9,T_StockCount[WeekIndex],91)&gt;0,SUMIFS(T_StockCount[CountedQty],T_StockCount[RM_Code],$A9,T_StockCount[WeekIndex],91),IF((COUNTIFS(T_SelfStock[RM_Code],$A9,T_SelfStock[WeekIndex],91)&gt;0)*(COUNTIFS(T_TTAFStock[RM_Code],$A9,T_TTAFStock[WeekIndex],91)&gt;0)&gt;0,SUMIFS(T_SelfStock[Self_Qty],T_SelfStock[RM_Code],$A9,T_SelfStock[WeekIndex],91)+SUMIFS(T_TTAFStock[TTAF_Qty],T_TTAFStock[RM_Code],$A9,T_TTAFStock[WeekIndex],91),CM9+'Grid_Incoming'!CN9-'Grid_Requirement'!CN9))</f>
        <v/>
      </c>
      <c r="CO9">
        <f>IF(COUNTIFS(T_StockCount[RM_Code],$A9,T_StockCount[WeekIndex],92)&gt;0,SUMIFS(T_StockCount[CountedQty],T_StockCount[RM_Code],$A9,T_StockCount[WeekIndex],92),IF((COUNTIFS(T_SelfStock[RM_Code],$A9,T_SelfStock[WeekIndex],92)&gt;0)*(COUNTIFS(T_TTAFStock[RM_Code],$A9,T_TTAFStock[WeekIndex],92)&gt;0)&gt;0,SUMIFS(T_SelfStock[Self_Qty],T_SelfStock[RM_Code],$A9,T_SelfStock[WeekIndex],92)+SUMIFS(T_TTAFStock[TTAF_Qty],T_TTAFStock[RM_Code],$A9,T_TTAFStock[WeekIndex],92),CN9+'Grid_Incoming'!CO9-'Grid_Requirement'!CO9))</f>
        <v/>
      </c>
      <c r="CP9">
        <f>IF(COUNTIFS(T_StockCount[RM_Code],$A9,T_StockCount[WeekIndex],93)&gt;0,SUMIFS(T_StockCount[CountedQty],T_StockCount[RM_Code],$A9,T_StockCount[WeekIndex],93),IF((COUNTIFS(T_SelfStock[RM_Code],$A9,T_SelfStock[WeekIndex],93)&gt;0)*(COUNTIFS(T_TTAFStock[RM_Code],$A9,T_TTAFStock[WeekIndex],93)&gt;0)&gt;0,SUMIFS(T_SelfStock[Self_Qty],T_SelfStock[RM_Code],$A9,T_SelfStock[WeekIndex],93)+SUMIFS(T_TTAFStock[TTAF_Qty],T_TTAFStock[RM_Code],$A9,T_TTAFStock[WeekIndex],93),CO9+'Grid_Incoming'!CP9-'Grid_Requirement'!CP9))</f>
        <v/>
      </c>
      <c r="CQ9">
        <f>IF(COUNTIFS(T_StockCount[RM_Code],$A9,T_StockCount[WeekIndex],94)&gt;0,SUMIFS(T_StockCount[CountedQty],T_StockCount[RM_Code],$A9,T_StockCount[WeekIndex],94),IF((COUNTIFS(T_SelfStock[RM_Code],$A9,T_SelfStock[WeekIndex],94)&gt;0)*(COUNTIFS(T_TTAFStock[RM_Code],$A9,T_TTAFStock[WeekIndex],94)&gt;0)&gt;0,SUMIFS(T_SelfStock[Self_Qty],T_SelfStock[RM_Code],$A9,T_SelfStock[WeekIndex],94)+SUMIFS(T_TTAFStock[TTAF_Qty],T_TTAFStock[RM_Code],$A9,T_TTAFStock[WeekIndex],94),CP9+'Grid_Incoming'!CQ9-'Grid_Requirement'!CQ9))</f>
        <v/>
      </c>
      <c r="CR9">
        <f>IF(COUNTIFS(T_StockCount[RM_Code],$A9,T_StockCount[WeekIndex],95)&gt;0,SUMIFS(T_StockCount[CountedQty],T_StockCount[RM_Code],$A9,T_StockCount[WeekIndex],95),IF((COUNTIFS(T_SelfStock[RM_Code],$A9,T_SelfStock[WeekIndex],95)&gt;0)*(COUNTIFS(T_TTAFStock[RM_Code],$A9,T_TTAFStock[WeekIndex],95)&gt;0)&gt;0,SUMIFS(T_SelfStock[Self_Qty],T_SelfStock[RM_Code],$A9,T_SelfStock[WeekIndex],95)+SUMIFS(T_TTAFStock[TTAF_Qty],T_TTAFStock[RM_Code],$A9,T_TTAFStock[WeekIndex],95),CQ9+'Grid_Incoming'!CR9-'Grid_Requirement'!CR9))</f>
        <v/>
      </c>
      <c r="CS9">
        <f>IF(COUNTIFS(T_StockCount[RM_Code],$A9,T_StockCount[WeekIndex],96)&gt;0,SUMIFS(T_StockCount[CountedQty],T_StockCount[RM_Code],$A9,T_StockCount[WeekIndex],96),IF((COUNTIFS(T_SelfStock[RM_Code],$A9,T_SelfStock[WeekIndex],96)&gt;0)*(COUNTIFS(T_TTAFStock[RM_Code],$A9,T_TTAFStock[WeekIndex],96)&gt;0)&gt;0,SUMIFS(T_SelfStock[Self_Qty],T_SelfStock[RM_Code],$A9,T_SelfStock[WeekIndex],96)+SUMIFS(T_TTAFStock[TTAF_Qty],T_TTAFStock[RM_Code],$A9,T_TTAFStock[WeekIndex],96),CR9+'Grid_Incoming'!CS9-'Grid_Requirement'!CS9))</f>
        <v/>
      </c>
      <c r="CT9">
        <f>IF(COUNTIFS(T_StockCount[RM_Code],$A9,T_StockCount[WeekIndex],97)&gt;0,SUMIFS(T_StockCount[CountedQty],T_StockCount[RM_Code],$A9,T_StockCount[WeekIndex],97),IF((COUNTIFS(T_SelfStock[RM_Code],$A9,T_SelfStock[WeekIndex],97)&gt;0)*(COUNTIFS(T_TTAFStock[RM_Code],$A9,T_TTAFStock[WeekIndex],97)&gt;0)&gt;0,SUMIFS(T_SelfStock[Self_Qty],T_SelfStock[RM_Code],$A9,T_SelfStock[WeekIndex],97)+SUMIFS(T_TTAFStock[TTAF_Qty],T_TTAFStock[RM_Code],$A9,T_TTAFStock[WeekIndex],97),CS9+'Grid_Incoming'!CT9-'Grid_Requirement'!CT9))</f>
        <v/>
      </c>
      <c r="CU9">
        <f>IF(COUNTIFS(T_StockCount[RM_Code],$A9,T_StockCount[WeekIndex],98)&gt;0,SUMIFS(T_StockCount[CountedQty],T_StockCount[RM_Code],$A9,T_StockCount[WeekIndex],98),IF((COUNTIFS(T_SelfStock[RM_Code],$A9,T_SelfStock[WeekIndex],98)&gt;0)*(COUNTIFS(T_TTAFStock[RM_Code],$A9,T_TTAFStock[WeekIndex],98)&gt;0)&gt;0,SUMIFS(T_SelfStock[Self_Qty],T_SelfStock[RM_Code],$A9,T_SelfStock[WeekIndex],98)+SUMIFS(T_TTAFStock[TTAF_Qty],T_TTAFStock[RM_Code],$A9,T_TTAFStock[WeekIndex],98),CT9+'Grid_Incoming'!CU9-'Grid_Requirement'!CU9))</f>
        <v/>
      </c>
      <c r="CV9">
        <f>IF(COUNTIFS(T_StockCount[RM_Code],$A9,T_StockCount[WeekIndex],99)&gt;0,SUMIFS(T_StockCount[CountedQty],T_StockCount[RM_Code],$A9,T_StockCount[WeekIndex],99),IF((COUNTIFS(T_SelfStock[RM_Code],$A9,T_SelfStock[WeekIndex],99)&gt;0)*(COUNTIFS(T_TTAFStock[RM_Code],$A9,T_TTAFStock[WeekIndex],99)&gt;0)&gt;0,SUMIFS(T_SelfStock[Self_Qty],T_SelfStock[RM_Code],$A9,T_SelfStock[WeekIndex],99)+SUMIFS(T_TTAFStock[TTAF_Qty],T_TTAFStock[RM_Code],$A9,T_TTAFStock[WeekIndex],99),CU9+'Grid_Incoming'!CV9-'Grid_Requirement'!CV9))</f>
        <v/>
      </c>
      <c r="CW9">
        <f>IF(COUNTIFS(T_StockCount[RM_Code],$A9,T_StockCount[WeekIndex],100)&gt;0,SUMIFS(T_StockCount[CountedQty],T_StockCount[RM_Code],$A9,T_StockCount[WeekIndex],100),IF((COUNTIFS(T_SelfStock[RM_Code],$A9,T_SelfStock[WeekIndex],100)&gt;0)*(COUNTIFS(T_TTAFStock[RM_Code],$A9,T_TTAFStock[WeekIndex],100)&gt;0)&gt;0,SUMIFS(T_SelfStock[Self_Qty],T_SelfStock[RM_Code],$A9,T_SelfStock[WeekIndex],100)+SUMIFS(T_TTAFStock[TTAF_Qty],T_TTAFStock[RM_Code],$A9,T_TTAFStock[WeekIndex],100),CV9+'Grid_Incoming'!CW9-'Grid_Requirement'!CW9))</f>
        <v/>
      </c>
      <c r="CX9">
        <f>IF(COUNTIFS(T_StockCount[RM_Code],$A9,T_StockCount[WeekIndex],101)&gt;0,SUMIFS(T_StockCount[CountedQty],T_StockCount[RM_Code],$A9,T_StockCount[WeekIndex],101),IF((COUNTIFS(T_SelfStock[RM_Code],$A9,T_SelfStock[WeekIndex],101)&gt;0)*(COUNTIFS(T_TTAFStock[RM_Code],$A9,T_TTAFStock[WeekIndex],101)&gt;0)&gt;0,SUMIFS(T_SelfStock[Self_Qty],T_SelfStock[RM_Code],$A9,T_SelfStock[WeekIndex],101)+SUMIFS(T_TTAFStock[TTAF_Qty],T_TTAFStock[RM_Code],$A9,T_TTAFStock[WeekIndex],101),CW9+'Grid_Incoming'!CX9-'Grid_Requirement'!CX9))</f>
        <v/>
      </c>
      <c r="CY9">
        <f>IF(COUNTIFS(T_StockCount[RM_Code],$A9,T_StockCount[WeekIndex],102)&gt;0,SUMIFS(T_StockCount[CountedQty],T_StockCount[RM_Code],$A9,T_StockCount[WeekIndex],102),IF((COUNTIFS(T_SelfStock[RM_Code],$A9,T_SelfStock[WeekIndex],102)&gt;0)*(COUNTIFS(T_TTAFStock[RM_Code],$A9,T_TTAFStock[WeekIndex],102)&gt;0)&gt;0,SUMIFS(T_SelfStock[Self_Qty],T_SelfStock[RM_Code],$A9,T_SelfStock[WeekIndex],102)+SUMIFS(T_TTAFStock[TTAF_Qty],T_TTAFStock[RM_Code],$A9,T_TTAFStock[WeekIndex],102),CX9+'Grid_Incoming'!CY9-'Grid_Requirement'!CY9))</f>
        <v/>
      </c>
      <c r="CZ9">
        <f>IF(COUNTIFS(T_StockCount[RM_Code],$A9,T_StockCount[WeekIndex],103)&gt;0,SUMIFS(T_StockCount[CountedQty],T_StockCount[RM_Code],$A9,T_StockCount[WeekIndex],103),IF((COUNTIFS(T_SelfStock[RM_Code],$A9,T_SelfStock[WeekIndex],103)&gt;0)*(COUNTIFS(T_TTAFStock[RM_Code],$A9,T_TTAFStock[WeekIndex],103)&gt;0)&gt;0,SUMIFS(T_SelfStock[Self_Qty],T_SelfStock[RM_Code],$A9,T_SelfStock[WeekIndex],103)+SUMIFS(T_TTAFStock[TTAF_Qty],T_TTAFStock[RM_Code],$A9,T_TTAFStock[WeekIndex],103),CY9+'Grid_Incoming'!CZ9-'Grid_Requirement'!CZ9))</f>
        <v/>
      </c>
      <c r="DA9">
        <f>IF(COUNTIFS(T_StockCount[RM_Code],$A9,T_StockCount[WeekIndex],104)&gt;0,SUMIFS(T_StockCount[CountedQty],T_StockCount[RM_Code],$A9,T_StockCount[WeekIndex],104),IF((COUNTIFS(T_SelfStock[RM_Code],$A9,T_SelfStock[WeekIndex],104)&gt;0)*(COUNTIFS(T_TTAFStock[RM_Code],$A9,T_TTAFStock[WeekIndex],104)&gt;0)&gt;0,SUMIFS(T_SelfStock[Self_Qty],T_SelfStock[RM_Code],$A9,T_SelfStock[WeekIndex],104)+SUMIFS(T_TTAFStock[TTAF_Qty],T_TTAFStock[RM_Code],$A9,T_TTAFStock[WeekIndex],104),CZ9+'Grid_Incoming'!DA9-'Grid_Requirement'!DA9))</f>
        <v/>
      </c>
    </row>
    <row r="10">
      <c r="A10" t="inlineStr">
        <is>
          <t>CHEM-1440</t>
        </is>
      </c>
      <c r="B10">
        <f>IF(COUNTIFS(T_StockCount[RM_Code],$A10,T_StockCount[WeekIndex],1)&gt;0,SUMIFS(T_StockCount[CountedQty],T_StockCount[RM_Code],$A10,T_StockCount[WeekIndex],1),IF((COUNTIFS(T_SelfStock[RM_Code],$A10,T_SelfStock[WeekIndex],1)&gt;0)*(COUNTIFS(T_TTAFStock[RM_Code],$A10,T_TTAFStock[WeekIndex],1)&gt;0)&gt;0,SUMIFS(T_SelfStock[Self_Qty],T_SelfStock[RM_Code],$A10,T_SelfStock[WeekIndex],1)+SUMIFS(T_TTAFStock[TTAF_Qty],T_TTAFStock[RM_Code],$A10,T_TTAFStock[WeekIndex],1),IFERROR(INDEX(T_OpeningStock[Opening_Qty],MATCH($A10,T_OpeningStock[RM_Code],0)),0)+'Grid_Incoming'!B10-'Grid_Requirement'!B10))</f>
        <v/>
      </c>
      <c r="C10">
        <f>IF(COUNTIFS(T_StockCount[RM_Code],$A10,T_StockCount[WeekIndex],2)&gt;0,SUMIFS(T_StockCount[CountedQty],T_StockCount[RM_Code],$A10,T_StockCount[WeekIndex],2),IF((COUNTIFS(T_SelfStock[RM_Code],$A10,T_SelfStock[WeekIndex],2)&gt;0)*(COUNTIFS(T_TTAFStock[RM_Code],$A10,T_TTAFStock[WeekIndex],2)&gt;0)&gt;0,SUMIFS(T_SelfStock[Self_Qty],T_SelfStock[RM_Code],$A10,T_SelfStock[WeekIndex],2)+SUMIFS(T_TTAFStock[TTAF_Qty],T_TTAFStock[RM_Code],$A10,T_TTAFStock[WeekIndex],2),B10+'Grid_Incoming'!C10-'Grid_Requirement'!C10))</f>
        <v/>
      </c>
      <c r="D10">
        <f>IF(COUNTIFS(T_StockCount[RM_Code],$A10,T_StockCount[WeekIndex],3)&gt;0,SUMIFS(T_StockCount[CountedQty],T_StockCount[RM_Code],$A10,T_StockCount[WeekIndex],3),IF((COUNTIFS(T_SelfStock[RM_Code],$A10,T_SelfStock[WeekIndex],3)&gt;0)*(COUNTIFS(T_TTAFStock[RM_Code],$A10,T_TTAFStock[WeekIndex],3)&gt;0)&gt;0,SUMIFS(T_SelfStock[Self_Qty],T_SelfStock[RM_Code],$A10,T_SelfStock[WeekIndex],3)+SUMIFS(T_TTAFStock[TTAF_Qty],T_TTAFStock[RM_Code],$A10,T_TTAFStock[WeekIndex],3),C10+'Grid_Incoming'!D10-'Grid_Requirement'!D10))</f>
        <v/>
      </c>
      <c r="E10">
        <f>IF(COUNTIFS(T_StockCount[RM_Code],$A10,T_StockCount[WeekIndex],4)&gt;0,SUMIFS(T_StockCount[CountedQty],T_StockCount[RM_Code],$A10,T_StockCount[WeekIndex],4),IF((COUNTIFS(T_SelfStock[RM_Code],$A10,T_SelfStock[WeekIndex],4)&gt;0)*(COUNTIFS(T_TTAFStock[RM_Code],$A10,T_TTAFStock[WeekIndex],4)&gt;0)&gt;0,SUMIFS(T_SelfStock[Self_Qty],T_SelfStock[RM_Code],$A10,T_SelfStock[WeekIndex],4)+SUMIFS(T_TTAFStock[TTAF_Qty],T_TTAFStock[RM_Code],$A10,T_TTAFStock[WeekIndex],4),D10+'Grid_Incoming'!E10-'Grid_Requirement'!E10))</f>
        <v/>
      </c>
      <c r="F10">
        <f>IF(COUNTIFS(T_StockCount[RM_Code],$A10,T_StockCount[WeekIndex],5)&gt;0,SUMIFS(T_StockCount[CountedQty],T_StockCount[RM_Code],$A10,T_StockCount[WeekIndex],5),IF((COUNTIFS(T_SelfStock[RM_Code],$A10,T_SelfStock[WeekIndex],5)&gt;0)*(COUNTIFS(T_TTAFStock[RM_Code],$A10,T_TTAFStock[WeekIndex],5)&gt;0)&gt;0,SUMIFS(T_SelfStock[Self_Qty],T_SelfStock[RM_Code],$A10,T_SelfStock[WeekIndex],5)+SUMIFS(T_TTAFStock[TTAF_Qty],T_TTAFStock[RM_Code],$A10,T_TTAFStock[WeekIndex],5),E10+'Grid_Incoming'!F10-'Grid_Requirement'!F10))</f>
        <v/>
      </c>
      <c r="G10">
        <f>IF(COUNTIFS(T_StockCount[RM_Code],$A10,T_StockCount[WeekIndex],6)&gt;0,SUMIFS(T_StockCount[CountedQty],T_StockCount[RM_Code],$A10,T_StockCount[WeekIndex],6),IF((COUNTIFS(T_SelfStock[RM_Code],$A10,T_SelfStock[WeekIndex],6)&gt;0)*(COUNTIFS(T_TTAFStock[RM_Code],$A10,T_TTAFStock[WeekIndex],6)&gt;0)&gt;0,SUMIFS(T_SelfStock[Self_Qty],T_SelfStock[RM_Code],$A10,T_SelfStock[WeekIndex],6)+SUMIFS(T_TTAFStock[TTAF_Qty],T_TTAFStock[RM_Code],$A10,T_TTAFStock[WeekIndex],6),F10+'Grid_Incoming'!G10-'Grid_Requirement'!G10))</f>
        <v/>
      </c>
      <c r="H10">
        <f>IF(COUNTIFS(T_StockCount[RM_Code],$A10,T_StockCount[WeekIndex],7)&gt;0,SUMIFS(T_StockCount[CountedQty],T_StockCount[RM_Code],$A10,T_StockCount[WeekIndex],7),IF((COUNTIFS(T_SelfStock[RM_Code],$A10,T_SelfStock[WeekIndex],7)&gt;0)*(COUNTIFS(T_TTAFStock[RM_Code],$A10,T_TTAFStock[WeekIndex],7)&gt;0)&gt;0,SUMIFS(T_SelfStock[Self_Qty],T_SelfStock[RM_Code],$A10,T_SelfStock[WeekIndex],7)+SUMIFS(T_TTAFStock[TTAF_Qty],T_TTAFStock[RM_Code],$A10,T_TTAFStock[WeekIndex],7),G10+'Grid_Incoming'!H10-'Grid_Requirement'!H10))</f>
        <v/>
      </c>
      <c r="I10">
        <f>IF(COUNTIFS(T_StockCount[RM_Code],$A10,T_StockCount[WeekIndex],8)&gt;0,SUMIFS(T_StockCount[CountedQty],T_StockCount[RM_Code],$A10,T_StockCount[WeekIndex],8),IF((COUNTIFS(T_SelfStock[RM_Code],$A10,T_SelfStock[WeekIndex],8)&gt;0)*(COUNTIFS(T_TTAFStock[RM_Code],$A10,T_TTAFStock[WeekIndex],8)&gt;0)&gt;0,SUMIFS(T_SelfStock[Self_Qty],T_SelfStock[RM_Code],$A10,T_SelfStock[WeekIndex],8)+SUMIFS(T_TTAFStock[TTAF_Qty],T_TTAFStock[RM_Code],$A10,T_TTAFStock[WeekIndex],8),H10+'Grid_Incoming'!I10-'Grid_Requirement'!I10))</f>
        <v/>
      </c>
      <c r="J10">
        <f>IF(COUNTIFS(T_StockCount[RM_Code],$A10,T_StockCount[WeekIndex],9)&gt;0,SUMIFS(T_StockCount[CountedQty],T_StockCount[RM_Code],$A10,T_StockCount[WeekIndex],9),IF((COUNTIFS(T_SelfStock[RM_Code],$A10,T_SelfStock[WeekIndex],9)&gt;0)*(COUNTIFS(T_TTAFStock[RM_Code],$A10,T_TTAFStock[WeekIndex],9)&gt;0)&gt;0,SUMIFS(T_SelfStock[Self_Qty],T_SelfStock[RM_Code],$A10,T_SelfStock[WeekIndex],9)+SUMIFS(T_TTAFStock[TTAF_Qty],T_TTAFStock[RM_Code],$A10,T_TTAFStock[WeekIndex],9),I10+'Grid_Incoming'!J10-'Grid_Requirement'!J10))</f>
        <v/>
      </c>
      <c r="K10">
        <f>IF(COUNTIFS(T_StockCount[RM_Code],$A10,T_StockCount[WeekIndex],10)&gt;0,SUMIFS(T_StockCount[CountedQty],T_StockCount[RM_Code],$A10,T_StockCount[WeekIndex],10),IF((COUNTIFS(T_SelfStock[RM_Code],$A10,T_SelfStock[WeekIndex],10)&gt;0)*(COUNTIFS(T_TTAFStock[RM_Code],$A10,T_TTAFStock[WeekIndex],10)&gt;0)&gt;0,SUMIFS(T_SelfStock[Self_Qty],T_SelfStock[RM_Code],$A10,T_SelfStock[WeekIndex],10)+SUMIFS(T_TTAFStock[TTAF_Qty],T_TTAFStock[RM_Code],$A10,T_TTAFStock[WeekIndex],10),J10+'Grid_Incoming'!K10-'Grid_Requirement'!K10))</f>
        <v/>
      </c>
      <c r="L10">
        <f>IF(COUNTIFS(T_StockCount[RM_Code],$A10,T_StockCount[WeekIndex],11)&gt;0,SUMIFS(T_StockCount[CountedQty],T_StockCount[RM_Code],$A10,T_StockCount[WeekIndex],11),IF((COUNTIFS(T_SelfStock[RM_Code],$A10,T_SelfStock[WeekIndex],11)&gt;0)*(COUNTIFS(T_TTAFStock[RM_Code],$A10,T_TTAFStock[WeekIndex],11)&gt;0)&gt;0,SUMIFS(T_SelfStock[Self_Qty],T_SelfStock[RM_Code],$A10,T_SelfStock[WeekIndex],11)+SUMIFS(T_TTAFStock[TTAF_Qty],T_TTAFStock[RM_Code],$A10,T_TTAFStock[WeekIndex],11),K10+'Grid_Incoming'!L10-'Grid_Requirement'!L10))</f>
        <v/>
      </c>
      <c r="M10">
        <f>IF(COUNTIFS(T_StockCount[RM_Code],$A10,T_StockCount[WeekIndex],12)&gt;0,SUMIFS(T_StockCount[CountedQty],T_StockCount[RM_Code],$A10,T_StockCount[WeekIndex],12),IF((COUNTIFS(T_SelfStock[RM_Code],$A10,T_SelfStock[WeekIndex],12)&gt;0)*(COUNTIFS(T_TTAFStock[RM_Code],$A10,T_TTAFStock[WeekIndex],12)&gt;0)&gt;0,SUMIFS(T_SelfStock[Self_Qty],T_SelfStock[RM_Code],$A10,T_SelfStock[WeekIndex],12)+SUMIFS(T_TTAFStock[TTAF_Qty],T_TTAFStock[RM_Code],$A10,T_TTAFStock[WeekIndex],12),L10+'Grid_Incoming'!M10-'Grid_Requirement'!M10))</f>
        <v/>
      </c>
      <c r="N10">
        <f>IF(COUNTIFS(T_StockCount[RM_Code],$A10,T_StockCount[WeekIndex],13)&gt;0,SUMIFS(T_StockCount[CountedQty],T_StockCount[RM_Code],$A10,T_StockCount[WeekIndex],13),IF((COUNTIFS(T_SelfStock[RM_Code],$A10,T_SelfStock[WeekIndex],13)&gt;0)*(COUNTIFS(T_TTAFStock[RM_Code],$A10,T_TTAFStock[WeekIndex],13)&gt;0)&gt;0,SUMIFS(T_SelfStock[Self_Qty],T_SelfStock[RM_Code],$A10,T_SelfStock[WeekIndex],13)+SUMIFS(T_TTAFStock[TTAF_Qty],T_TTAFStock[RM_Code],$A10,T_TTAFStock[WeekIndex],13),M10+'Grid_Incoming'!N10-'Grid_Requirement'!N10))</f>
        <v/>
      </c>
      <c r="O10">
        <f>IF(COUNTIFS(T_StockCount[RM_Code],$A10,T_StockCount[WeekIndex],14)&gt;0,SUMIFS(T_StockCount[CountedQty],T_StockCount[RM_Code],$A10,T_StockCount[WeekIndex],14),IF((COUNTIFS(T_SelfStock[RM_Code],$A10,T_SelfStock[WeekIndex],14)&gt;0)*(COUNTIFS(T_TTAFStock[RM_Code],$A10,T_TTAFStock[WeekIndex],14)&gt;0)&gt;0,SUMIFS(T_SelfStock[Self_Qty],T_SelfStock[RM_Code],$A10,T_SelfStock[WeekIndex],14)+SUMIFS(T_TTAFStock[TTAF_Qty],T_TTAFStock[RM_Code],$A10,T_TTAFStock[WeekIndex],14),N10+'Grid_Incoming'!O10-'Grid_Requirement'!O10))</f>
        <v/>
      </c>
      <c r="P10">
        <f>IF(COUNTIFS(T_StockCount[RM_Code],$A10,T_StockCount[WeekIndex],15)&gt;0,SUMIFS(T_StockCount[CountedQty],T_StockCount[RM_Code],$A10,T_StockCount[WeekIndex],15),IF((COUNTIFS(T_SelfStock[RM_Code],$A10,T_SelfStock[WeekIndex],15)&gt;0)*(COUNTIFS(T_TTAFStock[RM_Code],$A10,T_TTAFStock[WeekIndex],15)&gt;0)&gt;0,SUMIFS(T_SelfStock[Self_Qty],T_SelfStock[RM_Code],$A10,T_SelfStock[WeekIndex],15)+SUMIFS(T_TTAFStock[TTAF_Qty],T_TTAFStock[RM_Code],$A10,T_TTAFStock[WeekIndex],15),O10+'Grid_Incoming'!P10-'Grid_Requirement'!P10))</f>
        <v/>
      </c>
      <c r="Q10">
        <f>IF(COUNTIFS(T_StockCount[RM_Code],$A10,T_StockCount[WeekIndex],16)&gt;0,SUMIFS(T_StockCount[CountedQty],T_StockCount[RM_Code],$A10,T_StockCount[WeekIndex],16),IF((COUNTIFS(T_SelfStock[RM_Code],$A10,T_SelfStock[WeekIndex],16)&gt;0)*(COUNTIFS(T_TTAFStock[RM_Code],$A10,T_TTAFStock[WeekIndex],16)&gt;0)&gt;0,SUMIFS(T_SelfStock[Self_Qty],T_SelfStock[RM_Code],$A10,T_SelfStock[WeekIndex],16)+SUMIFS(T_TTAFStock[TTAF_Qty],T_TTAFStock[RM_Code],$A10,T_TTAFStock[WeekIndex],16),P10+'Grid_Incoming'!Q10-'Grid_Requirement'!Q10))</f>
        <v/>
      </c>
      <c r="R10">
        <f>IF(COUNTIFS(T_StockCount[RM_Code],$A10,T_StockCount[WeekIndex],17)&gt;0,SUMIFS(T_StockCount[CountedQty],T_StockCount[RM_Code],$A10,T_StockCount[WeekIndex],17),IF((COUNTIFS(T_SelfStock[RM_Code],$A10,T_SelfStock[WeekIndex],17)&gt;0)*(COUNTIFS(T_TTAFStock[RM_Code],$A10,T_TTAFStock[WeekIndex],17)&gt;0)&gt;0,SUMIFS(T_SelfStock[Self_Qty],T_SelfStock[RM_Code],$A10,T_SelfStock[WeekIndex],17)+SUMIFS(T_TTAFStock[TTAF_Qty],T_TTAFStock[RM_Code],$A10,T_TTAFStock[WeekIndex],17),Q10+'Grid_Incoming'!R10-'Grid_Requirement'!R10))</f>
        <v/>
      </c>
      <c r="S10">
        <f>IF(COUNTIFS(T_StockCount[RM_Code],$A10,T_StockCount[WeekIndex],18)&gt;0,SUMIFS(T_StockCount[CountedQty],T_StockCount[RM_Code],$A10,T_StockCount[WeekIndex],18),IF((COUNTIFS(T_SelfStock[RM_Code],$A10,T_SelfStock[WeekIndex],18)&gt;0)*(COUNTIFS(T_TTAFStock[RM_Code],$A10,T_TTAFStock[WeekIndex],18)&gt;0)&gt;0,SUMIFS(T_SelfStock[Self_Qty],T_SelfStock[RM_Code],$A10,T_SelfStock[WeekIndex],18)+SUMIFS(T_TTAFStock[TTAF_Qty],T_TTAFStock[RM_Code],$A10,T_TTAFStock[WeekIndex],18),R10+'Grid_Incoming'!S10-'Grid_Requirement'!S10))</f>
        <v/>
      </c>
      <c r="T10">
        <f>IF(COUNTIFS(T_StockCount[RM_Code],$A10,T_StockCount[WeekIndex],19)&gt;0,SUMIFS(T_StockCount[CountedQty],T_StockCount[RM_Code],$A10,T_StockCount[WeekIndex],19),IF((COUNTIFS(T_SelfStock[RM_Code],$A10,T_SelfStock[WeekIndex],19)&gt;0)*(COUNTIFS(T_TTAFStock[RM_Code],$A10,T_TTAFStock[WeekIndex],19)&gt;0)&gt;0,SUMIFS(T_SelfStock[Self_Qty],T_SelfStock[RM_Code],$A10,T_SelfStock[WeekIndex],19)+SUMIFS(T_TTAFStock[TTAF_Qty],T_TTAFStock[RM_Code],$A10,T_TTAFStock[WeekIndex],19),S10+'Grid_Incoming'!T10-'Grid_Requirement'!T10))</f>
        <v/>
      </c>
      <c r="U10">
        <f>IF(COUNTIFS(T_StockCount[RM_Code],$A10,T_StockCount[WeekIndex],20)&gt;0,SUMIFS(T_StockCount[CountedQty],T_StockCount[RM_Code],$A10,T_StockCount[WeekIndex],20),IF((COUNTIFS(T_SelfStock[RM_Code],$A10,T_SelfStock[WeekIndex],20)&gt;0)*(COUNTIFS(T_TTAFStock[RM_Code],$A10,T_TTAFStock[WeekIndex],20)&gt;0)&gt;0,SUMIFS(T_SelfStock[Self_Qty],T_SelfStock[RM_Code],$A10,T_SelfStock[WeekIndex],20)+SUMIFS(T_TTAFStock[TTAF_Qty],T_TTAFStock[RM_Code],$A10,T_TTAFStock[WeekIndex],20),T10+'Grid_Incoming'!U10-'Grid_Requirement'!U10))</f>
        <v/>
      </c>
      <c r="V10">
        <f>IF(COUNTIFS(T_StockCount[RM_Code],$A10,T_StockCount[WeekIndex],21)&gt;0,SUMIFS(T_StockCount[CountedQty],T_StockCount[RM_Code],$A10,T_StockCount[WeekIndex],21),IF((COUNTIFS(T_SelfStock[RM_Code],$A10,T_SelfStock[WeekIndex],21)&gt;0)*(COUNTIFS(T_TTAFStock[RM_Code],$A10,T_TTAFStock[WeekIndex],21)&gt;0)&gt;0,SUMIFS(T_SelfStock[Self_Qty],T_SelfStock[RM_Code],$A10,T_SelfStock[WeekIndex],21)+SUMIFS(T_TTAFStock[TTAF_Qty],T_TTAFStock[RM_Code],$A10,T_TTAFStock[WeekIndex],21),U10+'Grid_Incoming'!V10-'Grid_Requirement'!V10))</f>
        <v/>
      </c>
      <c r="W10">
        <f>IF(COUNTIFS(T_StockCount[RM_Code],$A10,T_StockCount[WeekIndex],22)&gt;0,SUMIFS(T_StockCount[CountedQty],T_StockCount[RM_Code],$A10,T_StockCount[WeekIndex],22),IF((COUNTIFS(T_SelfStock[RM_Code],$A10,T_SelfStock[WeekIndex],22)&gt;0)*(COUNTIFS(T_TTAFStock[RM_Code],$A10,T_TTAFStock[WeekIndex],22)&gt;0)&gt;0,SUMIFS(T_SelfStock[Self_Qty],T_SelfStock[RM_Code],$A10,T_SelfStock[WeekIndex],22)+SUMIFS(T_TTAFStock[TTAF_Qty],T_TTAFStock[RM_Code],$A10,T_TTAFStock[WeekIndex],22),V10+'Grid_Incoming'!W10-'Grid_Requirement'!W10))</f>
        <v/>
      </c>
      <c r="X10">
        <f>IF(COUNTIFS(T_StockCount[RM_Code],$A10,T_StockCount[WeekIndex],23)&gt;0,SUMIFS(T_StockCount[CountedQty],T_StockCount[RM_Code],$A10,T_StockCount[WeekIndex],23),IF((COUNTIFS(T_SelfStock[RM_Code],$A10,T_SelfStock[WeekIndex],23)&gt;0)*(COUNTIFS(T_TTAFStock[RM_Code],$A10,T_TTAFStock[WeekIndex],23)&gt;0)&gt;0,SUMIFS(T_SelfStock[Self_Qty],T_SelfStock[RM_Code],$A10,T_SelfStock[WeekIndex],23)+SUMIFS(T_TTAFStock[TTAF_Qty],T_TTAFStock[RM_Code],$A10,T_TTAFStock[WeekIndex],23),W10+'Grid_Incoming'!X10-'Grid_Requirement'!X10))</f>
        <v/>
      </c>
      <c r="Y10">
        <f>IF(COUNTIFS(T_StockCount[RM_Code],$A10,T_StockCount[WeekIndex],24)&gt;0,SUMIFS(T_StockCount[CountedQty],T_StockCount[RM_Code],$A10,T_StockCount[WeekIndex],24),IF((COUNTIFS(T_SelfStock[RM_Code],$A10,T_SelfStock[WeekIndex],24)&gt;0)*(COUNTIFS(T_TTAFStock[RM_Code],$A10,T_TTAFStock[WeekIndex],24)&gt;0)&gt;0,SUMIFS(T_SelfStock[Self_Qty],T_SelfStock[RM_Code],$A10,T_SelfStock[WeekIndex],24)+SUMIFS(T_TTAFStock[TTAF_Qty],T_TTAFStock[RM_Code],$A10,T_TTAFStock[WeekIndex],24),X10+'Grid_Incoming'!Y10-'Grid_Requirement'!Y10))</f>
        <v/>
      </c>
      <c r="Z10">
        <f>IF(COUNTIFS(T_StockCount[RM_Code],$A10,T_StockCount[WeekIndex],25)&gt;0,SUMIFS(T_StockCount[CountedQty],T_StockCount[RM_Code],$A10,T_StockCount[WeekIndex],25),IF((COUNTIFS(T_SelfStock[RM_Code],$A10,T_SelfStock[WeekIndex],25)&gt;0)*(COUNTIFS(T_TTAFStock[RM_Code],$A10,T_TTAFStock[WeekIndex],25)&gt;0)&gt;0,SUMIFS(T_SelfStock[Self_Qty],T_SelfStock[RM_Code],$A10,T_SelfStock[WeekIndex],25)+SUMIFS(T_TTAFStock[TTAF_Qty],T_TTAFStock[RM_Code],$A10,T_TTAFStock[WeekIndex],25),Y10+'Grid_Incoming'!Z10-'Grid_Requirement'!Z10))</f>
        <v/>
      </c>
      <c r="AA10">
        <f>IF(COUNTIFS(T_StockCount[RM_Code],$A10,T_StockCount[WeekIndex],26)&gt;0,SUMIFS(T_StockCount[CountedQty],T_StockCount[RM_Code],$A10,T_StockCount[WeekIndex],26),IF((COUNTIFS(T_SelfStock[RM_Code],$A10,T_SelfStock[WeekIndex],26)&gt;0)*(COUNTIFS(T_TTAFStock[RM_Code],$A10,T_TTAFStock[WeekIndex],26)&gt;0)&gt;0,SUMIFS(T_SelfStock[Self_Qty],T_SelfStock[RM_Code],$A10,T_SelfStock[WeekIndex],26)+SUMIFS(T_TTAFStock[TTAF_Qty],T_TTAFStock[RM_Code],$A10,T_TTAFStock[WeekIndex],26),Z10+'Grid_Incoming'!AA10-'Grid_Requirement'!AA10))</f>
        <v/>
      </c>
      <c r="AB10">
        <f>IF(COUNTIFS(T_StockCount[RM_Code],$A10,T_StockCount[WeekIndex],27)&gt;0,SUMIFS(T_StockCount[CountedQty],T_StockCount[RM_Code],$A10,T_StockCount[WeekIndex],27),IF((COUNTIFS(T_SelfStock[RM_Code],$A10,T_SelfStock[WeekIndex],27)&gt;0)*(COUNTIFS(T_TTAFStock[RM_Code],$A10,T_TTAFStock[WeekIndex],27)&gt;0)&gt;0,SUMIFS(T_SelfStock[Self_Qty],T_SelfStock[RM_Code],$A10,T_SelfStock[WeekIndex],27)+SUMIFS(T_TTAFStock[TTAF_Qty],T_TTAFStock[RM_Code],$A10,T_TTAFStock[WeekIndex],27),AA10+'Grid_Incoming'!AB10-'Grid_Requirement'!AB10))</f>
        <v/>
      </c>
      <c r="AC10">
        <f>IF(COUNTIFS(T_StockCount[RM_Code],$A10,T_StockCount[WeekIndex],28)&gt;0,SUMIFS(T_StockCount[CountedQty],T_StockCount[RM_Code],$A10,T_StockCount[WeekIndex],28),IF((COUNTIFS(T_SelfStock[RM_Code],$A10,T_SelfStock[WeekIndex],28)&gt;0)*(COUNTIFS(T_TTAFStock[RM_Code],$A10,T_TTAFStock[WeekIndex],28)&gt;0)&gt;0,SUMIFS(T_SelfStock[Self_Qty],T_SelfStock[RM_Code],$A10,T_SelfStock[WeekIndex],28)+SUMIFS(T_TTAFStock[TTAF_Qty],T_TTAFStock[RM_Code],$A10,T_TTAFStock[WeekIndex],28),AB10+'Grid_Incoming'!AC10-'Grid_Requirement'!AC10))</f>
        <v/>
      </c>
      <c r="AD10">
        <f>IF(COUNTIFS(T_StockCount[RM_Code],$A10,T_StockCount[WeekIndex],29)&gt;0,SUMIFS(T_StockCount[CountedQty],T_StockCount[RM_Code],$A10,T_StockCount[WeekIndex],29),IF((COUNTIFS(T_SelfStock[RM_Code],$A10,T_SelfStock[WeekIndex],29)&gt;0)*(COUNTIFS(T_TTAFStock[RM_Code],$A10,T_TTAFStock[WeekIndex],29)&gt;0)&gt;0,SUMIFS(T_SelfStock[Self_Qty],T_SelfStock[RM_Code],$A10,T_SelfStock[WeekIndex],29)+SUMIFS(T_TTAFStock[TTAF_Qty],T_TTAFStock[RM_Code],$A10,T_TTAFStock[WeekIndex],29),AC10+'Grid_Incoming'!AD10-'Grid_Requirement'!AD10))</f>
        <v/>
      </c>
      <c r="AE10">
        <f>IF(COUNTIFS(T_StockCount[RM_Code],$A10,T_StockCount[WeekIndex],30)&gt;0,SUMIFS(T_StockCount[CountedQty],T_StockCount[RM_Code],$A10,T_StockCount[WeekIndex],30),IF((COUNTIFS(T_SelfStock[RM_Code],$A10,T_SelfStock[WeekIndex],30)&gt;0)*(COUNTIFS(T_TTAFStock[RM_Code],$A10,T_TTAFStock[WeekIndex],30)&gt;0)&gt;0,SUMIFS(T_SelfStock[Self_Qty],T_SelfStock[RM_Code],$A10,T_SelfStock[WeekIndex],30)+SUMIFS(T_TTAFStock[TTAF_Qty],T_TTAFStock[RM_Code],$A10,T_TTAFStock[WeekIndex],30),AD10+'Grid_Incoming'!AE10-'Grid_Requirement'!AE10))</f>
        <v/>
      </c>
      <c r="AF10">
        <f>IF(COUNTIFS(T_StockCount[RM_Code],$A10,T_StockCount[WeekIndex],31)&gt;0,SUMIFS(T_StockCount[CountedQty],T_StockCount[RM_Code],$A10,T_StockCount[WeekIndex],31),IF((COUNTIFS(T_SelfStock[RM_Code],$A10,T_SelfStock[WeekIndex],31)&gt;0)*(COUNTIFS(T_TTAFStock[RM_Code],$A10,T_TTAFStock[WeekIndex],31)&gt;0)&gt;0,SUMIFS(T_SelfStock[Self_Qty],T_SelfStock[RM_Code],$A10,T_SelfStock[WeekIndex],31)+SUMIFS(T_TTAFStock[TTAF_Qty],T_TTAFStock[RM_Code],$A10,T_TTAFStock[WeekIndex],31),AE10+'Grid_Incoming'!AF10-'Grid_Requirement'!AF10))</f>
        <v/>
      </c>
      <c r="AG10">
        <f>IF(COUNTIFS(T_StockCount[RM_Code],$A10,T_StockCount[WeekIndex],32)&gt;0,SUMIFS(T_StockCount[CountedQty],T_StockCount[RM_Code],$A10,T_StockCount[WeekIndex],32),IF((COUNTIFS(T_SelfStock[RM_Code],$A10,T_SelfStock[WeekIndex],32)&gt;0)*(COUNTIFS(T_TTAFStock[RM_Code],$A10,T_TTAFStock[WeekIndex],32)&gt;0)&gt;0,SUMIFS(T_SelfStock[Self_Qty],T_SelfStock[RM_Code],$A10,T_SelfStock[WeekIndex],32)+SUMIFS(T_TTAFStock[TTAF_Qty],T_TTAFStock[RM_Code],$A10,T_TTAFStock[WeekIndex],32),AF10+'Grid_Incoming'!AG10-'Grid_Requirement'!AG10))</f>
        <v/>
      </c>
      <c r="AH10">
        <f>IF(COUNTIFS(T_StockCount[RM_Code],$A10,T_StockCount[WeekIndex],33)&gt;0,SUMIFS(T_StockCount[CountedQty],T_StockCount[RM_Code],$A10,T_StockCount[WeekIndex],33),IF((COUNTIFS(T_SelfStock[RM_Code],$A10,T_SelfStock[WeekIndex],33)&gt;0)*(COUNTIFS(T_TTAFStock[RM_Code],$A10,T_TTAFStock[WeekIndex],33)&gt;0)&gt;0,SUMIFS(T_SelfStock[Self_Qty],T_SelfStock[RM_Code],$A10,T_SelfStock[WeekIndex],33)+SUMIFS(T_TTAFStock[TTAF_Qty],T_TTAFStock[RM_Code],$A10,T_TTAFStock[WeekIndex],33),AG10+'Grid_Incoming'!AH10-'Grid_Requirement'!AH10))</f>
        <v/>
      </c>
      <c r="AI10">
        <f>IF(COUNTIFS(T_StockCount[RM_Code],$A10,T_StockCount[WeekIndex],34)&gt;0,SUMIFS(T_StockCount[CountedQty],T_StockCount[RM_Code],$A10,T_StockCount[WeekIndex],34),IF((COUNTIFS(T_SelfStock[RM_Code],$A10,T_SelfStock[WeekIndex],34)&gt;0)*(COUNTIFS(T_TTAFStock[RM_Code],$A10,T_TTAFStock[WeekIndex],34)&gt;0)&gt;0,SUMIFS(T_SelfStock[Self_Qty],T_SelfStock[RM_Code],$A10,T_SelfStock[WeekIndex],34)+SUMIFS(T_TTAFStock[TTAF_Qty],T_TTAFStock[RM_Code],$A10,T_TTAFStock[WeekIndex],34),AH10+'Grid_Incoming'!AI10-'Grid_Requirement'!AI10))</f>
        <v/>
      </c>
      <c r="AJ10">
        <f>IF(COUNTIFS(T_StockCount[RM_Code],$A10,T_StockCount[WeekIndex],35)&gt;0,SUMIFS(T_StockCount[CountedQty],T_StockCount[RM_Code],$A10,T_StockCount[WeekIndex],35),IF((COUNTIFS(T_SelfStock[RM_Code],$A10,T_SelfStock[WeekIndex],35)&gt;0)*(COUNTIFS(T_TTAFStock[RM_Code],$A10,T_TTAFStock[WeekIndex],35)&gt;0)&gt;0,SUMIFS(T_SelfStock[Self_Qty],T_SelfStock[RM_Code],$A10,T_SelfStock[WeekIndex],35)+SUMIFS(T_TTAFStock[TTAF_Qty],T_TTAFStock[RM_Code],$A10,T_TTAFStock[WeekIndex],35),AI10+'Grid_Incoming'!AJ10-'Grid_Requirement'!AJ10))</f>
        <v/>
      </c>
      <c r="AK10">
        <f>IF(COUNTIFS(T_StockCount[RM_Code],$A10,T_StockCount[WeekIndex],36)&gt;0,SUMIFS(T_StockCount[CountedQty],T_StockCount[RM_Code],$A10,T_StockCount[WeekIndex],36),IF((COUNTIFS(T_SelfStock[RM_Code],$A10,T_SelfStock[WeekIndex],36)&gt;0)*(COUNTIFS(T_TTAFStock[RM_Code],$A10,T_TTAFStock[WeekIndex],36)&gt;0)&gt;0,SUMIFS(T_SelfStock[Self_Qty],T_SelfStock[RM_Code],$A10,T_SelfStock[WeekIndex],36)+SUMIFS(T_TTAFStock[TTAF_Qty],T_TTAFStock[RM_Code],$A10,T_TTAFStock[WeekIndex],36),AJ10+'Grid_Incoming'!AK10-'Grid_Requirement'!AK10))</f>
        <v/>
      </c>
      <c r="AL10">
        <f>IF(COUNTIFS(T_StockCount[RM_Code],$A10,T_StockCount[WeekIndex],37)&gt;0,SUMIFS(T_StockCount[CountedQty],T_StockCount[RM_Code],$A10,T_StockCount[WeekIndex],37),IF((COUNTIFS(T_SelfStock[RM_Code],$A10,T_SelfStock[WeekIndex],37)&gt;0)*(COUNTIFS(T_TTAFStock[RM_Code],$A10,T_TTAFStock[WeekIndex],37)&gt;0)&gt;0,SUMIFS(T_SelfStock[Self_Qty],T_SelfStock[RM_Code],$A10,T_SelfStock[WeekIndex],37)+SUMIFS(T_TTAFStock[TTAF_Qty],T_TTAFStock[RM_Code],$A10,T_TTAFStock[WeekIndex],37),AK10+'Grid_Incoming'!AL10-'Grid_Requirement'!AL10))</f>
        <v/>
      </c>
      <c r="AM10">
        <f>IF(COUNTIFS(T_StockCount[RM_Code],$A10,T_StockCount[WeekIndex],38)&gt;0,SUMIFS(T_StockCount[CountedQty],T_StockCount[RM_Code],$A10,T_StockCount[WeekIndex],38),IF((COUNTIFS(T_SelfStock[RM_Code],$A10,T_SelfStock[WeekIndex],38)&gt;0)*(COUNTIFS(T_TTAFStock[RM_Code],$A10,T_TTAFStock[WeekIndex],38)&gt;0)&gt;0,SUMIFS(T_SelfStock[Self_Qty],T_SelfStock[RM_Code],$A10,T_SelfStock[WeekIndex],38)+SUMIFS(T_TTAFStock[TTAF_Qty],T_TTAFStock[RM_Code],$A10,T_TTAFStock[WeekIndex],38),AL10+'Grid_Incoming'!AM10-'Grid_Requirement'!AM10))</f>
        <v/>
      </c>
      <c r="AN10">
        <f>IF(COUNTIFS(T_StockCount[RM_Code],$A10,T_StockCount[WeekIndex],39)&gt;0,SUMIFS(T_StockCount[CountedQty],T_StockCount[RM_Code],$A10,T_StockCount[WeekIndex],39),IF((COUNTIFS(T_SelfStock[RM_Code],$A10,T_SelfStock[WeekIndex],39)&gt;0)*(COUNTIFS(T_TTAFStock[RM_Code],$A10,T_TTAFStock[WeekIndex],39)&gt;0)&gt;0,SUMIFS(T_SelfStock[Self_Qty],T_SelfStock[RM_Code],$A10,T_SelfStock[WeekIndex],39)+SUMIFS(T_TTAFStock[TTAF_Qty],T_TTAFStock[RM_Code],$A10,T_TTAFStock[WeekIndex],39),AM10+'Grid_Incoming'!AN10-'Grid_Requirement'!AN10))</f>
        <v/>
      </c>
      <c r="AO10">
        <f>IF(COUNTIFS(T_StockCount[RM_Code],$A10,T_StockCount[WeekIndex],40)&gt;0,SUMIFS(T_StockCount[CountedQty],T_StockCount[RM_Code],$A10,T_StockCount[WeekIndex],40),IF((COUNTIFS(T_SelfStock[RM_Code],$A10,T_SelfStock[WeekIndex],40)&gt;0)*(COUNTIFS(T_TTAFStock[RM_Code],$A10,T_TTAFStock[WeekIndex],40)&gt;0)&gt;0,SUMIFS(T_SelfStock[Self_Qty],T_SelfStock[RM_Code],$A10,T_SelfStock[WeekIndex],40)+SUMIFS(T_TTAFStock[TTAF_Qty],T_TTAFStock[RM_Code],$A10,T_TTAFStock[WeekIndex],40),AN10+'Grid_Incoming'!AO10-'Grid_Requirement'!AO10))</f>
        <v/>
      </c>
      <c r="AP10">
        <f>IF(COUNTIFS(T_StockCount[RM_Code],$A10,T_StockCount[WeekIndex],41)&gt;0,SUMIFS(T_StockCount[CountedQty],T_StockCount[RM_Code],$A10,T_StockCount[WeekIndex],41),IF((COUNTIFS(T_SelfStock[RM_Code],$A10,T_SelfStock[WeekIndex],41)&gt;0)*(COUNTIFS(T_TTAFStock[RM_Code],$A10,T_TTAFStock[WeekIndex],41)&gt;0)&gt;0,SUMIFS(T_SelfStock[Self_Qty],T_SelfStock[RM_Code],$A10,T_SelfStock[WeekIndex],41)+SUMIFS(T_TTAFStock[TTAF_Qty],T_TTAFStock[RM_Code],$A10,T_TTAFStock[WeekIndex],41),AO10+'Grid_Incoming'!AP10-'Grid_Requirement'!AP10))</f>
        <v/>
      </c>
      <c r="AQ10">
        <f>IF(COUNTIFS(T_StockCount[RM_Code],$A10,T_StockCount[WeekIndex],42)&gt;0,SUMIFS(T_StockCount[CountedQty],T_StockCount[RM_Code],$A10,T_StockCount[WeekIndex],42),IF((COUNTIFS(T_SelfStock[RM_Code],$A10,T_SelfStock[WeekIndex],42)&gt;0)*(COUNTIFS(T_TTAFStock[RM_Code],$A10,T_TTAFStock[WeekIndex],42)&gt;0)&gt;0,SUMIFS(T_SelfStock[Self_Qty],T_SelfStock[RM_Code],$A10,T_SelfStock[WeekIndex],42)+SUMIFS(T_TTAFStock[TTAF_Qty],T_TTAFStock[RM_Code],$A10,T_TTAFStock[WeekIndex],42),AP10+'Grid_Incoming'!AQ10-'Grid_Requirement'!AQ10))</f>
        <v/>
      </c>
      <c r="AR10">
        <f>IF(COUNTIFS(T_StockCount[RM_Code],$A10,T_StockCount[WeekIndex],43)&gt;0,SUMIFS(T_StockCount[CountedQty],T_StockCount[RM_Code],$A10,T_StockCount[WeekIndex],43),IF((COUNTIFS(T_SelfStock[RM_Code],$A10,T_SelfStock[WeekIndex],43)&gt;0)*(COUNTIFS(T_TTAFStock[RM_Code],$A10,T_TTAFStock[WeekIndex],43)&gt;0)&gt;0,SUMIFS(T_SelfStock[Self_Qty],T_SelfStock[RM_Code],$A10,T_SelfStock[WeekIndex],43)+SUMIFS(T_TTAFStock[TTAF_Qty],T_TTAFStock[RM_Code],$A10,T_TTAFStock[WeekIndex],43),AQ10+'Grid_Incoming'!AR10-'Grid_Requirement'!AR10))</f>
        <v/>
      </c>
      <c r="AS10">
        <f>IF(COUNTIFS(T_StockCount[RM_Code],$A10,T_StockCount[WeekIndex],44)&gt;0,SUMIFS(T_StockCount[CountedQty],T_StockCount[RM_Code],$A10,T_StockCount[WeekIndex],44),IF((COUNTIFS(T_SelfStock[RM_Code],$A10,T_SelfStock[WeekIndex],44)&gt;0)*(COUNTIFS(T_TTAFStock[RM_Code],$A10,T_TTAFStock[WeekIndex],44)&gt;0)&gt;0,SUMIFS(T_SelfStock[Self_Qty],T_SelfStock[RM_Code],$A10,T_SelfStock[WeekIndex],44)+SUMIFS(T_TTAFStock[TTAF_Qty],T_TTAFStock[RM_Code],$A10,T_TTAFStock[WeekIndex],44),AR10+'Grid_Incoming'!AS10-'Grid_Requirement'!AS10))</f>
        <v/>
      </c>
      <c r="AT10">
        <f>IF(COUNTIFS(T_StockCount[RM_Code],$A10,T_StockCount[WeekIndex],45)&gt;0,SUMIFS(T_StockCount[CountedQty],T_StockCount[RM_Code],$A10,T_StockCount[WeekIndex],45),IF((COUNTIFS(T_SelfStock[RM_Code],$A10,T_SelfStock[WeekIndex],45)&gt;0)*(COUNTIFS(T_TTAFStock[RM_Code],$A10,T_TTAFStock[WeekIndex],45)&gt;0)&gt;0,SUMIFS(T_SelfStock[Self_Qty],T_SelfStock[RM_Code],$A10,T_SelfStock[WeekIndex],45)+SUMIFS(T_TTAFStock[TTAF_Qty],T_TTAFStock[RM_Code],$A10,T_TTAFStock[WeekIndex],45),AS10+'Grid_Incoming'!AT10-'Grid_Requirement'!AT10))</f>
        <v/>
      </c>
      <c r="AU10">
        <f>IF(COUNTIFS(T_StockCount[RM_Code],$A10,T_StockCount[WeekIndex],46)&gt;0,SUMIFS(T_StockCount[CountedQty],T_StockCount[RM_Code],$A10,T_StockCount[WeekIndex],46),IF((COUNTIFS(T_SelfStock[RM_Code],$A10,T_SelfStock[WeekIndex],46)&gt;0)*(COUNTIFS(T_TTAFStock[RM_Code],$A10,T_TTAFStock[WeekIndex],46)&gt;0)&gt;0,SUMIFS(T_SelfStock[Self_Qty],T_SelfStock[RM_Code],$A10,T_SelfStock[WeekIndex],46)+SUMIFS(T_TTAFStock[TTAF_Qty],T_TTAFStock[RM_Code],$A10,T_TTAFStock[WeekIndex],46),AT10+'Grid_Incoming'!AU10-'Grid_Requirement'!AU10))</f>
        <v/>
      </c>
      <c r="AV10">
        <f>IF(COUNTIFS(T_StockCount[RM_Code],$A10,T_StockCount[WeekIndex],47)&gt;0,SUMIFS(T_StockCount[CountedQty],T_StockCount[RM_Code],$A10,T_StockCount[WeekIndex],47),IF((COUNTIFS(T_SelfStock[RM_Code],$A10,T_SelfStock[WeekIndex],47)&gt;0)*(COUNTIFS(T_TTAFStock[RM_Code],$A10,T_TTAFStock[WeekIndex],47)&gt;0)&gt;0,SUMIFS(T_SelfStock[Self_Qty],T_SelfStock[RM_Code],$A10,T_SelfStock[WeekIndex],47)+SUMIFS(T_TTAFStock[TTAF_Qty],T_TTAFStock[RM_Code],$A10,T_TTAFStock[WeekIndex],47),AU10+'Grid_Incoming'!AV10-'Grid_Requirement'!AV10))</f>
        <v/>
      </c>
      <c r="AW10">
        <f>IF(COUNTIFS(T_StockCount[RM_Code],$A10,T_StockCount[WeekIndex],48)&gt;0,SUMIFS(T_StockCount[CountedQty],T_StockCount[RM_Code],$A10,T_StockCount[WeekIndex],48),IF((COUNTIFS(T_SelfStock[RM_Code],$A10,T_SelfStock[WeekIndex],48)&gt;0)*(COUNTIFS(T_TTAFStock[RM_Code],$A10,T_TTAFStock[WeekIndex],48)&gt;0)&gt;0,SUMIFS(T_SelfStock[Self_Qty],T_SelfStock[RM_Code],$A10,T_SelfStock[WeekIndex],48)+SUMIFS(T_TTAFStock[TTAF_Qty],T_TTAFStock[RM_Code],$A10,T_TTAFStock[WeekIndex],48),AV10+'Grid_Incoming'!AW10-'Grid_Requirement'!AW10))</f>
        <v/>
      </c>
      <c r="AX10">
        <f>IF(COUNTIFS(T_StockCount[RM_Code],$A10,T_StockCount[WeekIndex],49)&gt;0,SUMIFS(T_StockCount[CountedQty],T_StockCount[RM_Code],$A10,T_StockCount[WeekIndex],49),IF((COUNTIFS(T_SelfStock[RM_Code],$A10,T_SelfStock[WeekIndex],49)&gt;0)*(COUNTIFS(T_TTAFStock[RM_Code],$A10,T_TTAFStock[WeekIndex],49)&gt;0)&gt;0,SUMIFS(T_SelfStock[Self_Qty],T_SelfStock[RM_Code],$A10,T_SelfStock[WeekIndex],49)+SUMIFS(T_TTAFStock[TTAF_Qty],T_TTAFStock[RM_Code],$A10,T_TTAFStock[WeekIndex],49),AW10+'Grid_Incoming'!AX10-'Grid_Requirement'!AX10))</f>
        <v/>
      </c>
      <c r="AY10">
        <f>IF(COUNTIFS(T_StockCount[RM_Code],$A10,T_StockCount[WeekIndex],50)&gt;0,SUMIFS(T_StockCount[CountedQty],T_StockCount[RM_Code],$A10,T_StockCount[WeekIndex],50),IF((COUNTIFS(T_SelfStock[RM_Code],$A10,T_SelfStock[WeekIndex],50)&gt;0)*(COUNTIFS(T_TTAFStock[RM_Code],$A10,T_TTAFStock[WeekIndex],50)&gt;0)&gt;0,SUMIFS(T_SelfStock[Self_Qty],T_SelfStock[RM_Code],$A10,T_SelfStock[WeekIndex],50)+SUMIFS(T_TTAFStock[TTAF_Qty],T_TTAFStock[RM_Code],$A10,T_TTAFStock[WeekIndex],50),AX10+'Grid_Incoming'!AY10-'Grid_Requirement'!AY10))</f>
        <v/>
      </c>
      <c r="AZ10">
        <f>IF(COUNTIFS(T_StockCount[RM_Code],$A10,T_StockCount[WeekIndex],51)&gt;0,SUMIFS(T_StockCount[CountedQty],T_StockCount[RM_Code],$A10,T_StockCount[WeekIndex],51),IF((COUNTIFS(T_SelfStock[RM_Code],$A10,T_SelfStock[WeekIndex],51)&gt;0)*(COUNTIFS(T_TTAFStock[RM_Code],$A10,T_TTAFStock[WeekIndex],51)&gt;0)&gt;0,SUMIFS(T_SelfStock[Self_Qty],T_SelfStock[RM_Code],$A10,T_SelfStock[WeekIndex],51)+SUMIFS(T_TTAFStock[TTAF_Qty],T_TTAFStock[RM_Code],$A10,T_TTAFStock[WeekIndex],51),AY10+'Grid_Incoming'!AZ10-'Grid_Requirement'!AZ10))</f>
        <v/>
      </c>
      <c r="BA10">
        <f>IF(COUNTIFS(T_StockCount[RM_Code],$A10,T_StockCount[WeekIndex],52)&gt;0,SUMIFS(T_StockCount[CountedQty],T_StockCount[RM_Code],$A10,T_StockCount[WeekIndex],52),IF((COUNTIFS(T_SelfStock[RM_Code],$A10,T_SelfStock[WeekIndex],52)&gt;0)*(COUNTIFS(T_TTAFStock[RM_Code],$A10,T_TTAFStock[WeekIndex],52)&gt;0)&gt;0,SUMIFS(T_SelfStock[Self_Qty],T_SelfStock[RM_Code],$A10,T_SelfStock[WeekIndex],52)+SUMIFS(T_TTAFStock[TTAF_Qty],T_TTAFStock[RM_Code],$A10,T_TTAFStock[WeekIndex],52),AZ10+'Grid_Incoming'!BA10-'Grid_Requirement'!BA10))</f>
        <v/>
      </c>
      <c r="BB10">
        <f>IF(COUNTIFS(T_StockCount[RM_Code],$A10,T_StockCount[WeekIndex],53)&gt;0,SUMIFS(T_StockCount[CountedQty],T_StockCount[RM_Code],$A10,T_StockCount[WeekIndex],53),IF((COUNTIFS(T_SelfStock[RM_Code],$A10,T_SelfStock[WeekIndex],53)&gt;0)*(COUNTIFS(T_TTAFStock[RM_Code],$A10,T_TTAFStock[WeekIndex],53)&gt;0)&gt;0,SUMIFS(T_SelfStock[Self_Qty],T_SelfStock[RM_Code],$A10,T_SelfStock[WeekIndex],53)+SUMIFS(T_TTAFStock[TTAF_Qty],T_TTAFStock[RM_Code],$A10,T_TTAFStock[WeekIndex],53),BA10+'Grid_Incoming'!BB10-'Grid_Requirement'!BB10))</f>
        <v/>
      </c>
      <c r="BC10">
        <f>IF(COUNTIFS(T_StockCount[RM_Code],$A10,T_StockCount[WeekIndex],54)&gt;0,SUMIFS(T_StockCount[CountedQty],T_StockCount[RM_Code],$A10,T_StockCount[WeekIndex],54),IF((COUNTIFS(T_SelfStock[RM_Code],$A10,T_SelfStock[WeekIndex],54)&gt;0)*(COUNTIFS(T_TTAFStock[RM_Code],$A10,T_TTAFStock[WeekIndex],54)&gt;0)&gt;0,SUMIFS(T_SelfStock[Self_Qty],T_SelfStock[RM_Code],$A10,T_SelfStock[WeekIndex],54)+SUMIFS(T_TTAFStock[TTAF_Qty],T_TTAFStock[RM_Code],$A10,T_TTAFStock[WeekIndex],54),BB10+'Grid_Incoming'!BC10-'Grid_Requirement'!BC10))</f>
        <v/>
      </c>
      <c r="BD10">
        <f>IF(COUNTIFS(T_StockCount[RM_Code],$A10,T_StockCount[WeekIndex],55)&gt;0,SUMIFS(T_StockCount[CountedQty],T_StockCount[RM_Code],$A10,T_StockCount[WeekIndex],55),IF((COUNTIFS(T_SelfStock[RM_Code],$A10,T_SelfStock[WeekIndex],55)&gt;0)*(COUNTIFS(T_TTAFStock[RM_Code],$A10,T_TTAFStock[WeekIndex],55)&gt;0)&gt;0,SUMIFS(T_SelfStock[Self_Qty],T_SelfStock[RM_Code],$A10,T_SelfStock[WeekIndex],55)+SUMIFS(T_TTAFStock[TTAF_Qty],T_TTAFStock[RM_Code],$A10,T_TTAFStock[WeekIndex],55),BC10+'Grid_Incoming'!BD10-'Grid_Requirement'!BD10))</f>
        <v/>
      </c>
      <c r="BE10">
        <f>IF(COUNTIFS(T_StockCount[RM_Code],$A10,T_StockCount[WeekIndex],56)&gt;0,SUMIFS(T_StockCount[CountedQty],T_StockCount[RM_Code],$A10,T_StockCount[WeekIndex],56),IF((COUNTIFS(T_SelfStock[RM_Code],$A10,T_SelfStock[WeekIndex],56)&gt;0)*(COUNTIFS(T_TTAFStock[RM_Code],$A10,T_TTAFStock[WeekIndex],56)&gt;0)&gt;0,SUMIFS(T_SelfStock[Self_Qty],T_SelfStock[RM_Code],$A10,T_SelfStock[WeekIndex],56)+SUMIFS(T_TTAFStock[TTAF_Qty],T_TTAFStock[RM_Code],$A10,T_TTAFStock[WeekIndex],56),BD10+'Grid_Incoming'!BE10-'Grid_Requirement'!BE10))</f>
        <v/>
      </c>
      <c r="BF10">
        <f>IF(COUNTIFS(T_StockCount[RM_Code],$A10,T_StockCount[WeekIndex],57)&gt;0,SUMIFS(T_StockCount[CountedQty],T_StockCount[RM_Code],$A10,T_StockCount[WeekIndex],57),IF((COUNTIFS(T_SelfStock[RM_Code],$A10,T_SelfStock[WeekIndex],57)&gt;0)*(COUNTIFS(T_TTAFStock[RM_Code],$A10,T_TTAFStock[WeekIndex],57)&gt;0)&gt;0,SUMIFS(T_SelfStock[Self_Qty],T_SelfStock[RM_Code],$A10,T_SelfStock[WeekIndex],57)+SUMIFS(T_TTAFStock[TTAF_Qty],T_TTAFStock[RM_Code],$A10,T_TTAFStock[WeekIndex],57),BE10+'Grid_Incoming'!BF10-'Grid_Requirement'!BF10))</f>
        <v/>
      </c>
      <c r="BG10">
        <f>IF(COUNTIFS(T_StockCount[RM_Code],$A10,T_StockCount[WeekIndex],58)&gt;0,SUMIFS(T_StockCount[CountedQty],T_StockCount[RM_Code],$A10,T_StockCount[WeekIndex],58),IF((COUNTIFS(T_SelfStock[RM_Code],$A10,T_SelfStock[WeekIndex],58)&gt;0)*(COUNTIFS(T_TTAFStock[RM_Code],$A10,T_TTAFStock[WeekIndex],58)&gt;0)&gt;0,SUMIFS(T_SelfStock[Self_Qty],T_SelfStock[RM_Code],$A10,T_SelfStock[WeekIndex],58)+SUMIFS(T_TTAFStock[TTAF_Qty],T_TTAFStock[RM_Code],$A10,T_TTAFStock[WeekIndex],58),BF10+'Grid_Incoming'!BG10-'Grid_Requirement'!BG10))</f>
        <v/>
      </c>
      <c r="BH10">
        <f>IF(COUNTIFS(T_StockCount[RM_Code],$A10,T_StockCount[WeekIndex],59)&gt;0,SUMIFS(T_StockCount[CountedQty],T_StockCount[RM_Code],$A10,T_StockCount[WeekIndex],59),IF((COUNTIFS(T_SelfStock[RM_Code],$A10,T_SelfStock[WeekIndex],59)&gt;0)*(COUNTIFS(T_TTAFStock[RM_Code],$A10,T_TTAFStock[WeekIndex],59)&gt;0)&gt;0,SUMIFS(T_SelfStock[Self_Qty],T_SelfStock[RM_Code],$A10,T_SelfStock[WeekIndex],59)+SUMIFS(T_TTAFStock[TTAF_Qty],T_TTAFStock[RM_Code],$A10,T_TTAFStock[WeekIndex],59),BG10+'Grid_Incoming'!BH10-'Grid_Requirement'!BH10))</f>
        <v/>
      </c>
      <c r="BI10">
        <f>IF(COUNTIFS(T_StockCount[RM_Code],$A10,T_StockCount[WeekIndex],60)&gt;0,SUMIFS(T_StockCount[CountedQty],T_StockCount[RM_Code],$A10,T_StockCount[WeekIndex],60),IF((COUNTIFS(T_SelfStock[RM_Code],$A10,T_SelfStock[WeekIndex],60)&gt;0)*(COUNTIFS(T_TTAFStock[RM_Code],$A10,T_TTAFStock[WeekIndex],60)&gt;0)&gt;0,SUMIFS(T_SelfStock[Self_Qty],T_SelfStock[RM_Code],$A10,T_SelfStock[WeekIndex],60)+SUMIFS(T_TTAFStock[TTAF_Qty],T_TTAFStock[RM_Code],$A10,T_TTAFStock[WeekIndex],60),BH10+'Grid_Incoming'!BI10-'Grid_Requirement'!BI10))</f>
        <v/>
      </c>
      <c r="BJ10">
        <f>IF(COUNTIFS(T_StockCount[RM_Code],$A10,T_StockCount[WeekIndex],61)&gt;0,SUMIFS(T_StockCount[CountedQty],T_StockCount[RM_Code],$A10,T_StockCount[WeekIndex],61),IF((COUNTIFS(T_SelfStock[RM_Code],$A10,T_SelfStock[WeekIndex],61)&gt;0)*(COUNTIFS(T_TTAFStock[RM_Code],$A10,T_TTAFStock[WeekIndex],61)&gt;0)&gt;0,SUMIFS(T_SelfStock[Self_Qty],T_SelfStock[RM_Code],$A10,T_SelfStock[WeekIndex],61)+SUMIFS(T_TTAFStock[TTAF_Qty],T_TTAFStock[RM_Code],$A10,T_TTAFStock[WeekIndex],61),BI10+'Grid_Incoming'!BJ10-'Grid_Requirement'!BJ10))</f>
        <v/>
      </c>
      <c r="BK10">
        <f>IF(COUNTIFS(T_StockCount[RM_Code],$A10,T_StockCount[WeekIndex],62)&gt;0,SUMIFS(T_StockCount[CountedQty],T_StockCount[RM_Code],$A10,T_StockCount[WeekIndex],62),IF((COUNTIFS(T_SelfStock[RM_Code],$A10,T_SelfStock[WeekIndex],62)&gt;0)*(COUNTIFS(T_TTAFStock[RM_Code],$A10,T_TTAFStock[WeekIndex],62)&gt;0)&gt;0,SUMIFS(T_SelfStock[Self_Qty],T_SelfStock[RM_Code],$A10,T_SelfStock[WeekIndex],62)+SUMIFS(T_TTAFStock[TTAF_Qty],T_TTAFStock[RM_Code],$A10,T_TTAFStock[WeekIndex],62),BJ10+'Grid_Incoming'!BK10-'Grid_Requirement'!BK10))</f>
        <v/>
      </c>
      <c r="BL10">
        <f>IF(COUNTIFS(T_StockCount[RM_Code],$A10,T_StockCount[WeekIndex],63)&gt;0,SUMIFS(T_StockCount[CountedQty],T_StockCount[RM_Code],$A10,T_StockCount[WeekIndex],63),IF((COUNTIFS(T_SelfStock[RM_Code],$A10,T_SelfStock[WeekIndex],63)&gt;0)*(COUNTIFS(T_TTAFStock[RM_Code],$A10,T_TTAFStock[WeekIndex],63)&gt;0)&gt;0,SUMIFS(T_SelfStock[Self_Qty],T_SelfStock[RM_Code],$A10,T_SelfStock[WeekIndex],63)+SUMIFS(T_TTAFStock[TTAF_Qty],T_TTAFStock[RM_Code],$A10,T_TTAFStock[WeekIndex],63),BK10+'Grid_Incoming'!BL10-'Grid_Requirement'!BL10))</f>
        <v/>
      </c>
      <c r="BM10">
        <f>IF(COUNTIFS(T_StockCount[RM_Code],$A10,T_StockCount[WeekIndex],64)&gt;0,SUMIFS(T_StockCount[CountedQty],T_StockCount[RM_Code],$A10,T_StockCount[WeekIndex],64),IF((COUNTIFS(T_SelfStock[RM_Code],$A10,T_SelfStock[WeekIndex],64)&gt;0)*(COUNTIFS(T_TTAFStock[RM_Code],$A10,T_TTAFStock[WeekIndex],64)&gt;0)&gt;0,SUMIFS(T_SelfStock[Self_Qty],T_SelfStock[RM_Code],$A10,T_SelfStock[WeekIndex],64)+SUMIFS(T_TTAFStock[TTAF_Qty],T_TTAFStock[RM_Code],$A10,T_TTAFStock[WeekIndex],64),BL10+'Grid_Incoming'!BM10-'Grid_Requirement'!BM10))</f>
        <v/>
      </c>
      <c r="BN10">
        <f>IF(COUNTIFS(T_StockCount[RM_Code],$A10,T_StockCount[WeekIndex],65)&gt;0,SUMIFS(T_StockCount[CountedQty],T_StockCount[RM_Code],$A10,T_StockCount[WeekIndex],65),IF((COUNTIFS(T_SelfStock[RM_Code],$A10,T_SelfStock[WeekIndex],65)&gt;0)*(COUNTIFS(T_TTAFStock[RM_Code],$A10,T_TTAFStock[WeekIndex],65)&gt;0)&gt;0,SUMIFS(T_SelfStock[Self_Qty],T_SelfStock[RM_Code],$A10,T_SelfStock[WeekIndex],65)+SUMIFS(T_TTAFStock[TTAF_Qty],T_TTAFStock[RM_Code],$A10,T_TTAFStock[WeekIndex],65),BM10+'Grid_Incoming'!BN10-'Grid_Requirement'!BN10))</f>
        <v/>
      </c>
      <c r="BO10">
        <f>IF(COUNTIFS(T_StockCount[RM_Code],$A10,T_StockCount[WeekIndex],66)&gt;0,SUMIFS(T_StockCount[CountedQty],T_StockCount[RM_Code],$A10,T_StockCount[WeekIndex],66),IF((COUNTIFS(T_SelfStock[RM_Code],$A10,T_SelfStock[WeekIndex],66)&gt;0)*(COUNTIFS(T_TTAFStock[RM_Code],$A10,T_TTAFStock[WeekIndex],66)&gt;0)&gt;0,SUMIFS(T_SelfStock[Self_Qty],T_SelfStock[RM_Code],$A10,T_SelfStock[WeekIndex],66)+SUMIFS(T_TTAFStock[TTAF_Qty],T_TTAFStock[RM_Code],$A10,T_TTAFStock[WeekIndex],66),BN10+'Grid_Incoming'!BO10-'Grid_Requirement'!BO10))</f>
        <v/>
      </c>
      <c r="BP10">
        <f>IF(COUNTIFS(T_StockCount[RM_Code],$A10,T_StockCount[WeekIndex],67)&gt;0,SUMIFS(T_StockCount[CountedQty],T_StockCount[RM_Code],$A10,T_StockCount[WeekIndex],67),IF((COUNTIFS(T_SelfStock[RM_Code],$A10,T_SelfStock[WeekIndex],67)&gt;0)*(COUNTIFS(T_TTAFStock[RM_Code],$A10,T_TTAFStock[WeekIndex],67)&gt;0)&gt;0,SUMIFS(T_SelfStock[Self_Qty],T_SelfStock[RM_Code],$A10,T_SelfStock[WeekIndex],67)+SUMIFS(T_TTAFStock[TTAF_Qty],T_TTAFStock[RM_Code],$A10,T_TTAFStock[WeekIndex],67),BO10+'Grid_Incoming'!BP10-'Grid_Requirement'!BP10))</f>
        <v/>
      </c>
      <c r="BQ10">
        <f>IF(COUNTIFS(T_StockCount[RM_Code],$A10,T_StockCount[WeekIndex],68)&gt;0,SUMIFS(T_StockCount[CountedQty],T_StockCount[RM_Code],$A10,T_StockCount[WeekIndex],68),IF((COUNTIFS(T_SelfStock[RM_Code],$A10,T_SelfStock[WeekIndex],68)&gt;0)*(COUNTIFS(T_TTAFStock[RM_Code],$A10,T_TTAFStock[WeekIndex],68)&gt;0)&gt;0,SUMIFS(T_SelfStock[Self_Qty],T_SelfStock[RM_Code],$A10,T_SelfStock[WeekIndex],68)+SUMIFS(T_TTAFStock[TTAF_Qty],T_TTAFStock[RM_Code],$A10,T_TTAFStock[WeekIndex],68),BP10+'Grid_Incoming'!BQ10-'Grid_Requirement'!BQ10))</f>
        <v/>
      </c>
      <c r="BR10">
        <f>IF(COUNTIFS(T_StockCount[RM_Code],$A10,T_StockCount[WeekIndex],69)&gt;0,SUMIFS(T_StockCount[CountedQty],T_StockCount[RM_Code],$A10,T_StockCount[WeekIndex],69),IF((COUNTIFS(T_SelfStock[RM_Code],$A10,T_SelfStock[WeekIndex],69)&gt;0)*(COUNTIFS(T_TTAFStock[RM_Code],$A10,T_TTAFStock[WeekIndex],69)&gt;0)&gt;0,SUMIFS(T_SelfStock[Self_Qty],T_SelfStock[RM_Code],$A10,T_SelfStock[WeekIndex],69)+SUMIFS(T_TTAFStock[TTAF_Qty],T_TTAFStock[RM_Code],$A10,T_TTAFStock[WeekIndex],69),BQ10+'Grid_Incoming'!BR10-'Grid_Requirement'!BR10))</f>
        <v/>
      </c>
      <c r="BS10">
        <f>IF(COUNTIFS(T_StockCount[RM_Code],$A10,T_StockCount[WeekIndex],70)&gt;0,SUMIFS(T_StockCount[CountedQty],T_StockCount[RM_Code],$A10,T_StockCount[WeekIndex],70),IF((COUNTIFS(T_SelfStock[RM_Code],$A10,T_SelfStock[WeekIndex],70)&gt;0)*(COUNTIFS(T_TTAFStock[RM_Code],$A10,T_TTAFStock[WeekIndex],70)&gt;0)&gt;0,SUMIFS(T_SelfStock[Self_Qty],T_SelfStock[RM_Code],$A10,T_SelfStock[WeekIndex],70)+SUMIFS(T_TTAFStock[TTAF_Qty],T_TTAFStock[RM_Code],$A10,T_TTAFStock[WeekIndex],70),BR10+'Grid_Incoming'!BS10-'Grid_Requirement'!BS10))</f>
        <v/>
      </c>
      <c r="BT10">
        <f>IF(COUNTIFS(T_StockCount[RM_Code],$A10,T_StockCount[WeekIndex],71)&gt;0,SUMIFS(T_StockCount[CountedQty],T_StockCount[RM_Code],$A10,T_StockCount[WeekIndex],71),IF((COUNTIFS(T_SelfStock[RM_Code],$A10,T_SelfStock[WeekIndex],71)&gt;0)*(COUNTIFS(T_TTAFStock[RM_Code],$A10,T_TTAFStock[WeekIndex],71)&gt;0)&gt;0,SUMIFS(T_SelfStock[Self_Qty],T_SelfStock[RM_Code],$A10,T_SelfStock[WeekIndex],71)+SUMIFS(T_TTAFStock[TTAF_Qty],T_TTAFStock[RM_Code],$A10,T_TTAFStock[WeekIndex],71),BS10+'Grid_Incoming'!BT10-'Grid_Requirement'!BT10))</f>
        <v/>
      </c>
      <c r="BU10">
        <f>IF(COUNTIFS(T_StockCount[RM_Code],$A10,T_StockCount[WeekIndex],72)&gt;0,SUMIFS(T_StockCount[CountedQty],T_StockCount[RM_Code],$A10,T_StockCount[WeekIndex],72),IF((COUNTIFS(T_SelfStock[RM_Code],$A10,T_SelfStock[WeekIndex],72)&gt;0)*(COUNTIFS(T_TTAFStock[RM_Code],$A10,T_TTAFStock[WeekIndex],72)&gt;0)&gt;0,SUMIFS(T_SelfStock[Self_Qty],T_SelfStock[RM_Code],$A10,T_SelfStock[WeekIndex],72)+SUMIFS(T_TTAFStock[TTAF_Qty],T_TTAFStock[RM_Code],$A10,T_TTAFStock[WeekIndex],72),BT10+'Grid_Incoming'!BU10-'Grid_Requirement'!BU10))</f>
        <v/>
      </c>
      <c r="BV10">
        <f>IF(COUNTIFS(T_StockCount[RM_Code],$A10,T_StockCount[WeekIndex],73)&gt;0,SUMIFS(T_StockCount[CountedQty],T_StockCount[RM_Code],$A10,T_StockCount[WeekIndex],73),IF((COUNTIFS(T_SelfStock[RM_Code],$A10,T_SelfStock[WeekIndex],73)&gt;0)*(COUNTIFS(T_TTAFStock[RM_Code],$A10,T_TTAFStock[WeekIndex],73)&gt;0)&gt;0,SUMIFS(T_SelfStock[Self_Qty],T_SelfStock[RM_Code],$A10,T_SelfStock[WeekIndex],73)+SUMIFS(T_TTAFStock[TTAF_Qty],T_TTAFStock[RM_Code],$A10,T_TTAFStock[WeekIndex],73),BU10+'Grid_Incoming'!BV10-'Grid_Requirement'!BV10))</f>
        <v/>
      </c>
      <c r="BW10">
        <f>IF(COUNTIFS(T_StockCount[RM_Code],$A10,T_StockCount[WeekIndex],74)&gt;0,SUMIFS(T_StockCount[CountedQty],T_StockCount[RM_Code],$A10,T_StockCount[WeekIndex],74),IF((COUNTIFS(T_SelfStock[RM_Code],$A10,T_SelfStock[WeekIndex],74)&gt;0)*(COUNTIFS(T_TTAFStock[RM_Code],$A10,T_TTAFStock[WeekIndex],74)&gt;0)&gt;0,SUMIFS(T_SelfStock[Self_Qty],T_SelfStock[RM_Code],$A10,T_SelfStock[WeekIndex],74)+SUMIFS(T_TTAFStock[TTAF_Qty],T_TTAFStock[RM_Code],$A10,T_TTAFStock[WeekIndex],74),BV10+'Grid_Incoming'!BW10-'Grid_Requirement'!BW10))</f>
        <v/>
      </c>
      <c r="BX10">
        <f>IF(COUNTIFS(T_StockCount[RM_Code],$A10,T_StockCount[WeekIndex],75)&gt;0,SUMIFS(T_StockCount[CountedQty],T_StockCount[RM_Code],$A10,T_StockCount[WeekIndex],75),IF((COUNTIFS(T_SelfStock[RM_Code],$A10,T_SelfStock[WeekIndex],75)&gt;0)*(COUNTIFS(T_TTAFStock[RM_Code],$A10,T_TTAFStock[WeekIndex],75)&gt;0)&gt;0,SUMIFS(T_SelfStock[Self_Qty],T_SelfStock[RM_Code],$A10,T_SelfStock[WeekIndex],75)+SUMIFS(T_TTAFStock[TTAF_Qty],T_TTAFStock[RM_Code],$A10,T_TTAFStock[WeekIndex],75),BW10+'Grid_Incoming'!BX10-'Grid_Requirement'!BX10))</f>
        <v/>
      </c>
      <c r="BY10">
        <f>IF(COUNTIFS(T_StockCount[RM_Code],$A10,T_StockCount[WeekIndex],76)&gt;0,SUMIFS(T_StockCount[CountedQty],T_StockCount[RM_Code],$A10,T_StockCount[WeekIndex],76),IF((COUNTIFS(T_SelfStock[RM_Code],$A10,T_SelfStock[WeekIndex],76)&gt;0)*(COUNTIFS(T_TTAFStock[RM_Code],$A10,T_TTAFStock[WeekIndex],76)&gt;0)&gt;0,SUMIFS(T_SelfStock[Self_Qty],T_SelfStock[RM_Code],$A10,T_SelfStock[WeekIndex],76)+SUMIFS(T_TTAFStock[TTAF_Qty],T_TTAFStock[RM_Code],$A10,T_TTAFStock[WeekIndex],76),BX10+'Grid_Incoming'!BY10-'Grid_Requirement'!BY10))</f>
        <v/>
      </c>
      <c r="BZ10">
        <f>IF(COUNTIFS(T_StockCount[RM_Code],$A10,T_StockCount[WeekIndex],77)&gt;0,SUMIFS(T_StockCount[CountedQty],T_StockCount[RM_Code],$A10,T_StockCount[WeekIndex],77),IF((COUNTIFS(T_SelfStock[RM_Code],$A10,T_SelfStock[WeekIndex],77)&gt;0)*(COUNTIFS(T_TTAFStock[RM_Code],$A10,T_TTAFStock[WeekIndex],77)&gt;0)&gt;0,SUMIFS(T_SelfStock[Self_Qty],T_SelfStock[RM_Code],$A10,T_SelfStock[WeekIndex],77)+SUMIFS(T_TTAFStock[TTAF_Qty],T_TTAFStock[RM_Code],$A10,T_TTAFStock[WeekIndex],77),BY10+'Grid_Incoming'!BZ10-'Grid_Requirement'!BZ10))</f>
        <v/>
      </c>
      <c r="CA10">
        <f>IF(COUNTIFS(T_StockCount[RM_Code],$A10,T_StockCount[WeekIndex],78)&gt;0,SUMIFS(T_StockCount[CountedQty],T_StockCount[RM_Code],$A10,T_StockCount[WeekIndex],78),IF((COUNTIFS(T_SelfStock[RM_Code],$A10,T_SelfStock[WeekIndex],78)&gt;0)*(COUNTIFS(T_TTAFStock[RM_Code],$A10,T_TTAFStock[WeekIndex],78)&gt;0)&gt;0,SUMIFS(T_SelfStock[Self_Qty],T_SelfStock[RM_Code],$A10,T_SelfStock[WeekIndex],78)+SUMIFS(T_TTAFStock[TTAF_Qty],T_TTAFStock[RM_Code],$A10,T_TTAFStock[WeekIndex],78),BZ10+'Grid_Incoming'!CA10-'Grid_Requirement'!CA10))</f>
        <v/>
      </c>
      <c r="CB10">
        <f>IF(COUNTIFS(T_StockCount[RM_Code],$A10,T_StockCount[WeekIndex],79)&gt;0,SUMIFS(T_StockCount[CountedQty],T_StockCount[RM_Code],$A10,T_StockCount[WeekIndex],79),IF((COUNTIFS(T_SelfStock[RM_Code],$A10,T_SelfStock[WeekIndex],79)&gt;0)*(COUNTIFS(T_TTAFStock[RM_Code],$A10,T_TTAFStock[WeekIndex],79)&gt;0)&gt;0,SUMIFS(T_SelfStock[Self_Qty],T_SelfStock[RM_Code],$A10,T_SelfStock[WeekIndex],79)+SUMIFS(T_TTAFStock[TTAF_Qty],T_TTAFStock[RM_Code],$A10,T_TTAFStock[WeekIndex],79),CA10+'Grid_Incoming'!CB10-'Grid_Requirement'!CB10))</f>
        <v/>
      </c>
      <c r="CC10">
        <f>IF(COUNTIFS(T_StockCount[RM_Code],$A10,T_StockCount[WeekIndex],80)&gt;0,SUMIFS(T_StockCount[CountedQty],T_StockCount[RM_Code],$A10,T_StockCount[WeekIndex],80),IF((COUNTIFS(T_SelfStock[RM_Code],$A10,T_SelfStock[WeekIndex],80)&gt;0)*(COUNTIFS(T_TTAFStock[RM_Code],$A10,T_TTAFStock[WeekIndex],80)&gt;0)&gt;0,SUMIFS(T_SelfStock[Self_Qty],T_SelfStock[RM_Code],$A10,T_SelfStock[WeekIndex],80)+SUMIFS(T_TTAFStock[TTAF_Qty],T_TTAFStock[RM_Code],$A10,T_TTAFStock[WeekIndex],80),CB10+'Grid_Incoming'!CC10-'Grid_Requirement'!CC10))</f>
        <v/>
      </c>
      <c r="CD10">
        <f>IF(COUNTIFS(T_StockCount[RM_Code],$A10,T_StockCount[WeekIndex],81)&gt;0,SUMIFS(T_StockCount[CountedQty],T_StockCount[RM_Code],$A10,T_StockCount[WeekIndex],81),IF((COUNTIFS(T_SelfStock[RM_Code],$A10,T_SelfStock[WeekIndex],81)&gt;0)*(COUNTIFS(T_TTAFStock[RM_Code],$A10,T_TTAFStock[WeekIndex],81)&gt;0)&gt;0,SUMIFS(T_SelfStock[Self_Qty],T_SelfStock[RM_Code],$A10,T_SelfStock[WeekIndex],81)+SUMIFS(T_TTAFStock[TTAF_Qty],T_TTAFStock[RM_Code],$A10,T_TTAFStock[WeekIndex],81),CC10+'Grid_Incoming'!CD10-'Grid_Requirement'!CD10))</f>
        <v/>
      </c>
      <c r="CE10">
        <f>IF(COUNTIFS(T_StockCount[RM_Code],$A10,T_StockCount[WeekIndex],82)&gt;0,SUMIFS(T_StockCount[CountedQty],T_StockCount[RM_Code],$A10,T_StockCount[WeekIndex],82),IF((COUNTIFS(T_SelfStock[RM_Code],$A10,T_SelfStock[WeekIndex],82)&gt;0)*(COUNTIFS(T_TTAFStock[RM_Code],$A10,T_TTAFStock[WeekIndex],82)&gt;0)&gt;0,SUMIFS(T_SelfStock[Self_Qty],T_SelfStock[RM_Code],$A10,T_SelfStock[WeekIndex],82)+SUMIFS(T_TTAFStock[TTAF_Qty],T_TTAFStock[RM_Code],$A10,T_TTAFStock[WeekIndex],82),CD10+'Grid_Incoming'!CE10-'Grid_Requirement'!CE10))</f>
        <v/>
      </c>
      <c r="CF10">
        <f>IF(COUNTIFS(T_StockCount[RM_Code],$A10,T_StockCount[WeekIndex],83)&gt;0,SUMIFS(T_StockCount[CountedQty],T_StockCount[RM_Code],$A10,T_StockCount[WeekIndex],83),IF((COUNTIFS(T_SelfStock[RM_Code],$A10,T_SelfStock[WeekIndex],83)&gt;0)*(COUNTIFS(T_TTAFStock[RM_Code],$A10,T_TTAFStock[WeekIndex],83)&gt;0)&gt;0,SUMIFS(T_SelfStock[Self_Qty],T_SelfStock[RM_Code],$A10,T_SelfStock[WeekIndex],83)+SUMIFS(T_TTAFStock[TTAF_Qty],T_TTAFStock[RM_Code],$A10,T_TTAFStock[WeekIndex],83),CE10+'Grid_Incoming'!CF10-'Grid_Requirement'!CF10))</f>
        <v/>
      </c>
      <c r="CG10">
        <f>IF(COUNTIFS(T_StockCount[RM_Code],$A10,T_StockCount[WeekIndex],84)&gt;0,SUMIFS(T_StockCount[CountedQty],T_StockCount[RM_Code],$A10,T_StockCount[WeekIndex],84),IF((COUNTIFS(T_SelfStock[RM_Code],$A10,T_SelfStock[WeekIndex],84)&gt;0)*(COUNTIFS(T_TTAFStock[RM_Code],$A10,T_TTAFStock[WeekIndex],84)&gt;0)&gt;0,SUMIFS(T_SelfStock[Self_Qty],T_SelfStock[RM_Code],$A10,T_SelfStock[WeekIndex],84)+SUMIFS(T_TTAFStock[TTAF_Qty],T_TTAFStock[RM_Code],$A10,T_TTAFStock[WeekIndex],84),CF10+'Grid_Incoming'!CG10-'Grid_Requirement'!CG10))</f>
        <v/>
      </c>
      <c r="CH10">
        <f>IF(COUNTIFS(T_StockCount[RM_Code],$A10,T_StockCount[WeekIndex],85)&gt;0,SUMIFS(T_StockCount[CountedQty],T_StockCount[RM_Code],$A10,T_StockCount[WeekIndex],85),IF((COUNTIFS(T_SelfStock[RM_Code],$A10,T_SelfStock[WeekIndex],85)&gt;0)*(COUNTIFS(T_TTAFStock[RM_Code],$A10,T_TTAFStock[WeekIndex],85)&gt;0)&gt;0,SUMIFS(T_SelfStock[Self_Qty],T_SelfStock[RM_Code],$A10,T_SelfStock[WeekIndex],85)+SUMIFS(T_TTAFStock[TTAF_Qty],T_TTAFStock[RM_Code],$A10,T_TTAFStock[WeekIndex],85),CG10+'Grid_Incoming'!CH10-'Grid_Requirement'!CH10))</f>
        <v/>
      </c>
      <c r="CI10">
        <f>IF(COUNTIFS(T_StockCount[RM_Code],$A10,T_StockCount[WeekIndex],86)&gt;0,SUMIFS(T_StockCount[CountedQty],T_StockCount[RM_Code],$A10,T_StockCount[WeekIndex],86),IF((COUNTIFS(T_SelfStock[RM_Code],$A10,T_SelfStock[WeekIndex],86)&gt;0)*(COUNTIFS(T_TTAFStock[RM_Code],$A10,T_TTAFStock[WeekIndex],86)&gt;0)&gt;0,SUMIFS(T_SelfStock[Self_Qty],T_SelfStock[RM_Code],$A10,T_SelfStock[WeekIndex],86)+SUMIFS(T_TTAFStock[TTAF_Qty],T_TTAFStock[RM_Code],$A10,T_TTAFStock[WeekIndex],86),CH10+'Grid_Incoming'!CI10-'Grid_Requirement'!CI10))</f>
        <v/>
      </c>
      <c r="CJ10">
        <f>IF(COUNTIFS(T_StockCount[RM_Code],$A10,T_StockCount[WeekIndex],87)&gt;0,SUMIFS(T_StockCount[CountedQty],T_StockCount[RM_Code],$A10,T_StockCount[WeekIndex],87),IF((COUNTIFS(T_SelfStock[RM_Code],$A10,T_SelfStock[WeekIndex],87)&gt;0)*(COUNTIFS(T_TTAFStock[RM_Code],$A10,T_TTAFStock[WeekIndex],87)&gt;0)&gt;0,SUMIFS(T_SelfStock[Self_Qty],T_SelfStock[RM_Code],$A10,T_SelfStock[WeekIndex],87)+SUMIFS(T_TTAFStock[TTAF_Qty],T_TTAFStock[RM_Code],$A10,T_TTAFStock[WeekIndex],87),CI10+'Grid_Incoming'!CJ10-'Grid_Requirement'!CJ10))</f>
        <v/>
      </c>
      <c r="CK10">
        <f>IF(COUNTIFS(T_StockCount[RM_Code],$A10,T_StockCount[WeekIndex],88)&gt;0,SUMIFS(T_StockCount[CountedQty],T_StockCount[RM_Code],$A10,T_StockCount[WeekIndex],88),IF((COUNTIFS(T_SelfStock[RM_Code],$A10,T_SelfStock[WeekIndex],88)&gt;0)*(COUNTIFS(T_TTAFStock[RM_Code],$A10,T_TTAFStock[WeekIndex],88)&gt;0)&gt;0,SUMIFS(T_SelfStock[Self_Qty],T_SelfStock[RM_Code],$A10,T_SelfStock[WeekIndex],88)+SUMIFS(T_TTAFStock[TTAF_Qty],T_TTAFStock[RM_Code],$A10,T_TTAFStock[WeekIndex],88),CJ10+'Grid_Incoming'!CK10-'Grid_Requirement'!CK10))</f>
        <v/>
      </c>
      <c r="CL10">
        <f>IF(COUNTIFS(T_StockCount[RM_Code],$A10,T_StockCount[WeekIndex],89)&gt;0,SUMIFS(T_StockCount[CountedQty],T_StockCount[RM_Code],$A10,T_StockCount[WeekIndex],89),IF((COUNTIFS(T_SelfStock[RM_Code],$A10,T_SelfStock[WeekIndex],89)&gt;0)*(COUNTIFS(T_TTAFStock[RM_Code],$A10,T_TTAFStock[WeekIndex],89)&gt;0)&gt;0,SUMIFS(T_SelfStock[Self_Qty],T_SelfStock[RM_Code],$A10,T_SelfStock[WeekIndex],89)+SUMIFS(T_TTAFStock[TTAF_Qty],T_TTAFStock[RM_Code],$A10,T_TTAFStock[WeekIndex],89),CK10+'Grid_Incoming'!CL10-'Grid_Requirement'!CL10))</f>
        <v/>
      </c>
      <c r="CM10">
        <f>IF(COUNTIFS(T_StockCount[RM_Code],$A10,T_StockCount[WeekIndex],90)&gt;0,SUMIFS(T_StockCount[CountedQty],T_StockCount[RM_Code],$A10,T_StockCount[WeekIndex],90),IF((COUNTIFS(T_SelfStock[RM_Code],$A10,T_SelfStock[WeekIndex],90)&gt;0)*(COUNTIFS(T_TTAFStock[RM_Code],$A10,T_TTAFStock[WeekIndex],90)&gt;0)&gt;0,SUMIFS(T_SelfStock[Self_Qty],T_SelfStock[RM_Code],$A10,T_SelfStock[WeekIndex],90)+SUMIFS(T_TTAFStock[TTAF_Qty],T_TTAFStock[RM_Code],$A10,T_TTAFStock[WeekIndex],90),CL10+'Grid_Incoming'!CM10-'Grid_Requirement'!CM10))</f>
        <v/>
      </c>
      <c r="CN10">
        <f>IF(COUNTIFS(T_StockCount[RM_Code],$A10,T_StockCount[WeekIndex],91)&gt;0,SUMIFS(T_StockCount[CountedQty],T_StockCount[RM_Code],$A10,T_StockCount[WeekIndex],91),IF((COUNTIFS(T_SelfStock[RM_Code],$A10,T_SelfStock[WeekIndex],91)&gt;0)*(COUNTIFS(T_TTAFStock[RM_Code],$A10,T_TTAFStock[WeekIndex],91)&gt;0)&gt;0,SUMIFS(T_SelfStock[Self_Qty],T_SelfStock[RM_Code],$A10,T_SelfStock[WeekIndex],91)+SUMIFS(T_TTAFStock[TTAF_Qty],T_TTAFStock[RM_Code],$A10,T_TTAFStock[WeekIndex],91),CM10+'Grid_Incoming'!CN10-'Grid_Requirement'!CN10))</f>
        <v/>
      </c>
      <c r="CO10">
        <f>IF(COUNTIFS(T_StockCount[RM_Code],$A10,T_StockCount[WeekIndex],92)&gt;0,SUMIFS(T_StockCount[CountedQty],T_StockCount[RM_Code],$A10,T_StockCount[WeekIndex],92),IF((COUNTIFS(T_SelfStock[RM_Code],$A10,T_SelfStock[WeekIndex],92)&gt;0)*(COUNTIFS(T_TTAFStock[RM_Code],$A10,T_TTAFStock[WeekIndex],92)&gt;0)&gt;0,SUMIFS(T_SelfStock[Self_Qty],T_SelfStock[RM_Code],$A10,T_SelfStock[WeekIndex],92)+SUMIFS(T_TTAFStock[TTAF_Qty],T_TTAFStock[RM_Code],$A10,T_TTAFStock[WeekIndex],92),CN10+'Grid_Incoming'!CO10-'Grid_Requirement'!CO10))</f>
        <v/>
      </c>
      <c r="CP10">
        <f>IF(COUNTIFS(T_StockCount[RM_Code],$A10,T_StockCount[WeekIndex],93)&gt;0,SUMIFS(T_StockCount[CountedQty],T_StockCount[RM_Code],$A10,T_StockCount[WeekIndex],93),IF((COUNTIFS(T_SelfStock[RM_Code],$A10,T_SelfStock[WeekIndex],93)&gt;0)*(COUNTIFS(T_TTAFStock[RM_Code],$A10,T_TTAFStock[WeekIndex],93)&gt;0)&gt;0,SUMIFS(T_SelfStock[Self_Qty],T_SelfStock[RM_Code],$A10,T_SelfStock[WeekIndex],93)+SUMIFS(T_TTAFStock[TTAF_Qty],T_TTAFStock[RM_Code],$A10,T_TTAFStock[WeekIndex],93),CO10+'Grid_Incoming'!CP10-'Grid_Requirement'!CP10))</f>
        <v/>
      </c>
      <c r="CQ10">
        <f>IF(COUNTIFS(T_StockCount[RM_Code],$A10,T_StockCount[WeekIndex],94)&gt;0,SUMIFS(T_StockCount[CountedQty],T_StockCount[RM_Code],$A10,T_StockCount[WeekIndex],94),IF((COUNTIFS(T_SelfStock[RM_Code],$A10,T_SelfStock[WeekIndex],94)&gt;0)*(COUNTIFS(T_TTAFStock[RM_Code],$A10,T_TTAFStock[WeekIndex],94)&gt;0)&gt;0,SUMIFS(T_SelfStock[Self_Qty],T_SelfStock[RM_Code],$A10,T_SelfStock[WeekIndex],94)+SUMIFS(T_TTAFStock[TTAF_Qty],T_TTAFStock[RM_Code],$A10,T_TTAFStock[WeekIndex],94),CP10+'Grid_Incoming'!CQ10-'Grid_Requirement'!CQ10))</f>
        <v/>
      </c>
      <c r="CR10">
        <f>IF(COUNTIFS(T_StockCount[RM_Code],$A10,T_StockCount[WeekIndex],95)&gt;0,SUMIFS(T_StockCount[CountedQty],T_StockCount[RM_Code],$A10,T_StockCount[WeekIndex],95),IF((COUNTIFS(T_SelfStock[RM_Code],$A10,T_SelfStock[WeekIndex],95)&gt;0)*(COUNTIFS(T_TTAFStock[RM_Code],$A10,T_TTAFStock[WeekIndex],95)&gt;0)&gt;0,SUMIFS(T_SelfStock[Self_Qty],T_SelfStock[RM_Code],$A10,T_SelfStock[WeekIndex],95)+SUMIFS(T_TTAFStock[TTAF_Qty],T_TTAFStock[RM_Code],$A10,T_TTAFStock[WeekIndex],95),CQ10+'Grid_Incoming'!CR10-'Grid_Requirement'!CR10))</f>
        <v/>
      </c>
      <c r="CS10">
        <f>IF(COUNTIFS(T_StockCount[RM_Code],$A10,T_StockCount[WeekIndex],96)&gt;0,SUMIFS(T_StockCount[CountedQty],T_StockCount[RM_Code],$A10,T_StockCount[WeekIndex],96),IF((COUNTIFS(T_SelfStock[RM_Code],$A10,T_SelfStock[WeekIndex],96)&gt;0)*(COUNTIFS(T_TTAFStock[RM_Code],$A10,T_TTAFStock[WeekIndex],96)&gt;0)&gt;0,SUMIFS(T_SelfStock[Self_Qty],T_SelfStock[RM_Code],$A10,T_SelfStock[WeekIndex],96)+SUMIFS(T_TTAFStock[TTAF_Qty],T_TTAFStock[RM_Code],$A10,T_TTAFStock[WeekIndex],96),CR10+'Grid_Incoming'!CS10-'Grid_Requirement'!CS10))</f>
        <v/>
      </c>
      <c r="CT10">
        <f>IF(COUNTIFS(T_StockCount[RM_Code],$A10,T_StockCount[WeekIndex],97)&gt;0,SUMIFS(T_StockCount[CountedQty],T_StockCount[RM_Code],$A10,T_StockCount[WeekIndex],97),IF((COUNTIFS(T_SelfStock[RM_Code],$A10,T_SelfStock[WeekIndex],97)&gt;0)*(COUNTIFS(T_TTAFStock[RM_Code],$A10,T_TTAFStock[WeekIndex],97)&gt;0)&gt;0,SUMIFS(T_SelfStock[Self_Qty],T_SelfStock[RM_Code],$A10,T_SelfStock[WeekIndex],97)+SUMIFS(T_TTAFStock[TTAF_Qty],T_TTAFStock[RM_Code],$A10,T_TTAFStock[WeekIndex],97),CS10+'Grid_Incoming'!CT10-'Grid_Requirement'!CT10))</f>
        <v/>
      </c>
      <c r="CU10">
        <f>IF(COUNTIFS(T_StockCount[RM_Code],$A10,T_StockCount[WeekIndex],98)&gt;0,SUMIFS(T_StockCount[CountedQty],T_StockCount[RM_Code],$A10,T_StockCount[WeekIndex],98),IF((COUNTIFS(T_SelfStock[RM_Code],$A10,T_SelfStock[WeekIndex],98)&gt;0)*(COUNTIFS(T_TTAFStock[RM_Code],$A10,T_TTAFStock[WeekIndex],98)&gt;0)&gt;0,SUMIFS(T_SelfStock[Self_Qty],T_SelfStock[RM_Code],$A10,T_SelfStock[WeekIndex],98)+SUMIFS(T_TTAFStock[TTAF_Qty],T_TTAFStock[RM_Code],$A10,T_TTAFStock[WeekIndex],98),CT10+'Grid_Incoming'!CU10-'Grid_Requirement'!CU10))</f>
        <v/>
      </c>
      <c r="CV10">
        <f>IF(COUNTIFS(T_StockCount[RM_Code],$A10,T_StockCount[WeekIndex],99)&gt;0,SUMIFS(T_StockCount[CountedQty],T_StockCount[RM_Code],$A10,T_StockCount[WeekIndex],99),IF((COUNTIFS(T_SelfStock[RM_Code],$A10,T_SelfStock[WeekIndex],99)&gt;0)*(COUNTIFS(T_TTAFStock[RM_Code],$A10,T_TTAFStock[WeekIndex],99)&gt;0)&gt;0,SUMIFS(T_SelfStock[Self_Qty],T_SelfStock[RM_Code],$A10,T_SelfStock[WeekIndex],99)+SUMIFS(T_TTAFStock[TTAF_Qty],T_TTAFStock[RM_Code],$A10,T_TTAFStock[WeekIndex],99),CU10+'Grid_Incoming'!CV10-'Grid_Requirement'!CV10))</f>
        <v/>
      </c>
      <c r="CW10">
        <f>IF(COUNTIFS(T_StockCount[RM_Code],$A10,T_StockCount[WeekIndex],100)&gt;0,SUMIFS(T_StockCount[CountedQty],T_StockCount[RM_Code],$A10,T_StockCount[WeekIndex],100),IF((COUNTIFS(T_SelfStock[RM_Code],$A10,T_SelfStock[WeekIndex],100)&gt;0)*(COUNTIFS(T_TTAFStock[RM_Code],$A10,T_TTAFStock[WeekIndex],100)&gt;0)&gt;0,SUMIFS(T_SelfStock[Self_Qty],T_SelfStock[RM_Code],$A10,T_SelfStock[WeekIndex],100)+SUMIFS(T_TTAFStock[TTAF_Qty],T_TTAFStock[RM_Code],$A10,T_TTAFStock[WeekIndex],100),CV10+'Grid_Incoming'!CW10-'Grid_Requirement'!CW10))</f>
        <v/>
      </c>
      <c r="CX10">
        <f>IF(COUNTIFS(T_StockCount[RM_Code],$A10,T_StockCount[WeekIndex],101)&gt;0,SUMIFS(T_StockCount[CountedQty],T_StockCount[RM_Code],$A10,T_StockCount[WeekIndex],101),IF((COUNTIFS(T_SelfStock[RM_Code],$A10,T_SelfStock[WeekIndex],101)&gt;0)*(COUNTIFS(T_TTAFStock[RM_Code],$A10,T_TTAFStock[WeekIndex],101)&gt;0)&gt;0,SUMIFS(T_SelfStock[Self_Qty],T_SelfStock[RM_Code],$A10,T_SelfStock[WeekIndex],101)+SUMIFS(T_TTAFStock[TTAF_Qty],T_TTAFStock[RM_Code],$A10,T_TTAFStock[WeekIndex],101),CW10+'Grid_Incoming'!CX10-'Grid_Requirement'!CX10))</f>
        <v/>
      </c>
      <c r="CY10">
        <f>IF(COUNTIFS(T_StockCount[RM_Code],$A10,T_StockCount[WeekIndex],102)&gt;0,SUMIFS(T_StockCount[CountedQty],T_StockCount[RM_Code],$A10,T_StockCount[WeekIndex],102),IF((COUNTIFS(T_SelfStock[RM_Code],$A10,T_SelfStock[WeekIndex],102)&gt;0)*(COUNTIFS(T_TTAFStock[RM_Code],$A10,T_TTAFStock[WeekIndex],102)&gt;0)&gt;0,SUMIFS(T_SelfStock[Self_Qty],T_SelfStock[RM_Code],$A10,T_SelfStock[WeekIndex],102)+SUMIFS(T_TTAFStock[TTAF_Qty],T_TTAFStock[RM_Code],$A10,T_TTAFStock[WeekIndex],102),CX10+'Grid_Incoming'!CY10-'Grid_Requirement'!CY10))</f>
        <v/>
      </c>
      <c r="CZ10">
        <f>IF(COUNTIFS(T_StockCount[RM_Code],$A10,T_StockCount[WeekIndex],103)&gt;0,SUMIFS(T_StockCount[CountedQty],T_StockCount[RM_Code],$A10,T_StockCount[WeekIndex],103),IF((COUNTIFS(T_SelfStock[RM_Code],$A10,T_SelfStock[WeekIndex],103)&gt;0)*(COUNTIFS(T_TTAFStock[RM_Code],$A10,T_TTAFStock[WeekIndex],103)&gt;0)&gt;0,SUMIFS(T_SelfStock[Self_Qty],T_SelfStock[RM_Code],$A10,T_SelfStock[WeekIndex],103)+SUMIFS(T_TTAFStock[TTAF_Qty],T_TTAFStock[RM_Code],$A10,T_TTAFStock[WeekIndex],103),CY10+'Grid_Incoming'!CZ10-'Grid_Requirement'!CZ10))</f>
        <v/>
      </c>
      <c r="DA10">
        <f>IF(COUNTIFS(T_StockCount[RM_Code],$A10,T_StockCount[WeekIndex],104)&gt;0,SUMIFS(T_StockCount[CountedQty],T_StockCount[RM_Code],$A10,T_StockCount[WeekIndex],104),IF((COUNTIFS(T_SelfStock[RM_Code],$A10,T_SelfStock[WeekIndex],104)&gt;0)*(COUNTIFS(T_TTAFStock[RM_Code],$A10,T_TTAFStock[WeekIndex],104)&gt;0)&gt;0,SUMIFS(T_SelfStock[Self_Qty],T_SelfStock[RM_Code],$A10,T_SelfStock[WeekIndex],104)+SUMIFS(T_TTAFStock[TTAF_Qty],T_TTAFStock[RM_Code],$A10,T_TTAFStock[WeekIndex],104),CZ10+'Grid_Incoming'!DA10-'Grid_Requirement'!DA10))</f>
        <v/>
      </c>
    </row>
    <row r="11">
      <c r="A11" t="inlineStr">
        <is>
          <t>PET FILM(900*1000)</t>
        </is>
      </c>
      <c r="B11">
        <f>IF(COUNTIFS(T_StockCount[RM_Code],$A11,T_StockCount[WeekIndex],1)&gt;0,SUMIFS(T_StockCount[CountedQty],T_StockCount[RM_Code],$A11,T_StockCount[WeekIndex],1),IF((COUNTIFS(T_SelfStock[RM_Code],$A11,T_SelfStock[WeekIndex],1)&gt;0)*(COUNTIFS(T_TTAFStock[RM_Code],$A11,T_TTAFStock[WeekIndex],1)&gt;0)&gt;0,SUMIFS(T_SelfStock[Self_Qty],T_SelfStock[RM_Code],$A11,T_SelfStock[WeekIndex],1)+SUMIFS(T_TTAFStock[TTAF_Qty],T_TTAFStock[RM_Code],$A11,T_TTAFStock[WeekIndex],1),IFERROR(INDEX(T_OpeningStock[Opening_Qty],MATCH($A11,T_OpeningStock[RM_Code],0)),0)+'Grid_Incoming'!B11-'Grid_Requirement'!B11))</f>
        <v/>
      </c>
      <c r="C11">
        <f>IF(COUNTIFS(T_StockCount[RM_Code],$A11,T_StockCount[WeekIndex],2)&gt;0,SUMIFS(T_StockCount[CountedQty],T_StockCount[RM_Code],$A11,T_StockCount[WeekIndex],2),IF((COUNTIFS(T_SelfStock[RM_Code],$A11,T_SelfStock[WeekIndex],2)&gt;0)*(COUNTIFS(T_TTAFStock[RM_Code],$A11,T_TTAFStock[WeekIndex],2)&gt;0)&gt;0,SUMIFS(T_SelfStock[Self_Qty],T_SelfStock[RM_Code],$A11,T_SelfStock[WeekIndex],2)+SUMIFS(T_TTAFStock[TTAF_Qty],T_TTAFStock[RM_Code],$A11,T_TTAFStock[WeekIndex],2),B11+'Grid_Incoming'!C11-'Grid_Requirement'!C11))</f>
        <v/>
      </c>
      <c r="D11">
        <f>IF(COUNTIFS(T_StockCount[RM_Code],$A11,T_StockCount[WeekIndex],3)&gt;0,SUMIFS(T_StockCount[CountedQty],T_StockCount[RM_Code],$A11,T_StockCount[WeekIndex],3),IF((COUNTIFS(T_SelfStock[RM_Code],$A11,T_SelfStock[WeekIndex],3)&gt;0)*(COUNTIFS(T_TTAFStock[RM_Code],$A11,T_TTAFStock[WeekIndex],3)&gt;0)&gt;0,SUMIFS(T_SelfStock[Self_Qty],T_SelfStock[RM_Code],$A11,T_SelfStock[WeekIndex],3)+SUMIFS(T_TTAFStock[TTAF_Qty],T_TTAFStock[RM_Code],$A11,T_TTAFStock[WeekIndex],3),C11+'Grid_Incoming'!D11-'Grid_Requirement'!D11))</f>
        <v/>
      </c>
      <c r="E11">
        <f>IF(COUNTIFS(T_StockCount[RM_Code],$A11,T_StockCount[WeekIndex],4)&gt;0,SUMIFS(T_StockCount[CountedQty],T_StockCount[RM_Code],$A11,T_StockCount[WeekIndex],4),IF((COUNTIFS(T_SelfStock[RM_Code],$A11,T_SelfStock[WeekIndex],4)&gt;0)*(COUNTIFS(T_TTAFStock[RM_Code],$A11,T_TTAFStock[WeekIndex],4)&gt;0)&gt;0,SUMIFS(T_SelfStock[Self_Qty],T_SelfStock[RM_Code],$A11,T_SelfStock[WeekIndex],4)+SUMIFS(T_TTAFStock[TTAF_Qty],T_TTAFStock[RM_Code],$A11,T_TTAFStock[WeekIndex],4),D11+'Grid_Incoming'!E11-'Grid_Requirement'!E11))</f>
        <v/>
      </c>
      <c r="F11">
        <f>IF(COUNTIFS(T_StockCount[RM_Code],$A11,T_StockCount[WeekIndex],5)&gt;0,SUMIFS(T_StockCount[CountedQty],T_StockCount[RM_Code],$A11,T_StockCount[WeekIndex],5),IF((COUNTIFS(T_SelfStock[RM_Code],$A11,T_SelfStock[WeekIndex],5)&gt;0)*(COUNTIFS(T_TTAFStock[RM_Code],$A11,T_TTAFStock[WeekIndex],5)&gt;0)&gt;0,SUMIFS(T_SelfStock[Self_Qty],T_SelfStock[RM_Code],$A11,T_SelfStock[WeekIndex],5)+SUMIFS(T_TTAFStock[TTAF_Qty],T_TTAFStock[RM_Code],$A11,T_TTAFStock[WeekIndex],5),E11+'Grid_Incoming'!F11-'Grid_Requirement'!F11))</f>
        <v/>
      </c>
      <c r="G11">
        <f>IF(COUNTIFS(T_StockCount[RM_Code],$A11,T_StockCount[WeekIndex],6)&gt;0,SUMIFS(T_StockCount[CountedQty],T_StockCount[RM_Code],$A11,T_StockCount[WeekIndex],6),IF((COUNTIFS(T_SelfStock[RM_Code],$A11,T_SelfStock[WeekIndex],6)&gt;0)*(COUNTIFS(T_TTAFStock[RM_Code],$A11,T_TTAFStock[WeekIndex],6)&gt;0)&gt;0,SUMIFS(T_SelfStock[Self_Qty],T_SelfStock[RM_Code],$A11,T_SelfStock[WeekIndex],6)+SUMIFS(T_TTAFStock[TTAF_Qty],T_TTAFStock[RM_Code],$A11,T_TTAFStock[WeekIndex],6),F11+'Grid_Incoming'!G11-'Grid_Requirement'!G11))</f>
        <v/>
      </c>
      <c r="H11">
        <f>IF(COUNTIFS(T_StockCount[RM_Code],$A11,T_StockCount[WeekIndex],7)&gt;0,SUMIFS(T_StockCount[CountedQty],T_StockCount[RM_Code],$A11,T_StockCount[WeekIndex],7),IF((COUNTIFS(T_SelfStock[RM_Code],$A11,T_SelfStock[WeekIndex],7)&gt;0)*(COUNTIFS(T_TTAFStock[RM_Code],$A11,T_TTAFStock[WeekIndex],7)&gt;0)&gt;0,SUMIFS(T_SelfStock[Self_Qty],T_SelfStock[RM_Code],$A11,T_SelfStock[WeekIndex],7)+SUMIFS(T_TTAFStock[TTAF_Qty],T_TTAFStock[RM_Code],$A11,T_TTAFStock[WeekIndex],7),G11+'Grid_Incoming'!H11-'Grid_Requirement'!H11))</f>
        <v/>
      </c>
      <c r="I11">
        <f>IF(COUNTIFS(T_StockCount[RM_Code],$A11,T_StockCount[WeekIndex],8)&gt;0,SUMIFS(T_StockCount[CountedQty],T_StockCount[RM_Code],$A11,T_StockCount[WeekIndex],8),IF((COUNTIFS(T_SelfStock[RM_Code],$A11,T_SelfStock[WeekIndex],8)&gt;0)*(COUNTIFS(T_TTAFStock[RM_Code],$A11,T_TTAFStock[WeekIndex],8)&gt;0)&gt;0,SUMIFS(T_SelfStock[Self_Qty],T_SelfStock[RM_Code],$A11,T_SelfStock[WeekIndex],8)+SUMIFS(T_TTAFStock[TTAF_Qty],T_TTAFStock[RM_Code],$A11,T_TTAFStock[WeekIndex],8),H11+'Grid_Incoming'!I11-'Grid_Requirement'!I11))</f>
        <v/>
      </c>
      <c r="J11">
        <f>IF(COUNTIFS(T_StockCount[RM_Code],$A11,T_StockCount[WeekIndex],9)&gt;0,SUMIFS(T_StockCount[CountedQty],T_StockCount[RM_Code],$A11,T_StockCount[WeekIndex],9),IF((COUNTIFS(T_SelfStock[RM_Code],$A11,T_SelfStock[WeekIndex],9)&gt;0)*(COUNTIFS(T_TTAFStock[RM_Code],$A11,T_TTAFStock[WeekIndex],9)&gt;0)&gt;0,SUMIFS(T_SelfStock[Self_Qty],T_SelfStock[RM_Code],$A11,T_SelfStock[WeekIndex],9)+SUMIFS(T_TTAFStock[TTAF_Qty],T_TTAFStock[RM_Code],$A11,T_TTAFStock[WeekIndex],9),I11+'Grid_Incoming'!J11-'Grid_Requirement'!J11))</f>
        <v/>
      </c>
      <c r="K11">
        <f>IF(COUNTIFS(T_StockCount[RM_Code],$A11,T_StockCount[WeekIndex],10)&gt;0,SUMIFS(T_StockCount[CountedQty],T_StockCount[RM_Code],$A11,T_StockCount[WeekIndex],10),IF((COUNTIFS(T_SelfStock[RM_Code],$A11,T_SelfStock[WeekIndex],10)&gt;0)*(COUNTIFS(T_TTAFStock[RM_Code],$A11,T_TTAFStock[WeekIndex],10)&gt;0)&gt;0,SUMIFS(T_SelfStock[Self_Qty],T_SelfStock[RM_Code],$A11,T_SelfStock[WeekIndex],10)+SUMIFS(T_TTAFStock[TTAF_Qty],T_TTAFStock[RM_Code],$A11,T_TTAFStock[WeekIndex],10),J11+'Grid_Incoming'!K11-'Grid_Requirement'!K11))</f>
        <v/>
      </c>
      <c r="L11">
        <f>IF(COUNTIFS(T_StockCount[RM_Code],$A11,T_StockCount[WeekIndex],11)&gt;0,SUMIFS(T_StockCount[CountedQty],T_StockCount[RM_Code],$A11,T_StockCount[WeekIndex],11),IF((COUNTIFS(T_SelfStock[RM_Code],$A11,T_SelfStock[WeekIndex],11)&gt;0)*(COUNTIFS(T_TTAFStock[RM_Code],$A11,T_TTAFStock[WeekIndex],11)&gt;0)&gt;0,SUMIFS(T_SelfStock[Self_Qty],T_SelfStock[RM_Code],$A11,T_SelfStock[WeekIndex],11)+SUMIFS(T_TTAFStock[TTAF_Qty],T_TTAFStock[RM_Code],$A11,T_TTAFStock[WeekIndex],11),K11+'Grid_Incoming'!L11-'Grid_Requirement'!L11))</f>
        <v/>
      </c>
      <c r="M11">
        <f>IF(COUNTIFS(T_StockCount[RM_Code],$A11,T_StockCount[WeekIndex],12)&gt;0,SUMIFS(T_StockCount[CountedQty],T_StockCount[RM_Code],$A11,T_StockCount[WeekIndex],12),IF((COUNTIFS(T_SelfStock[RM_Code],$A11,T_SelfStock[WeekIndex],12)&gt;0)*(COUNTIFS(T_TTAFStock[RM_Code],$A11,T_TTAFStock[WeekIndex],12)&gt;0)&gt;0,SUMIFS(T_SelfStock[Self_Qty],T_SelfStock[RM_Code],$A11,T_SelfStock[WeekIndex],12)+SUMIFS(T_TTAFStock[TTAF_Qty],T_TTAFStock[RM_Code],$A11,T_TTAFStock[WeekIndex],12),L11+'Grid_Incoming'!M11-'Grid_Requirement'!M11))</f>
        <v/>
      </c>
      <c r="N11">
        <f>IF(COUNTIFS(T_StockCount[RM_Code],$A11,T_StockCount[WeekIndex],13)&gt;0,SUMIFS(T_StockCount[CountedQty],T_StockCount[RM_Code],$A11,T_StockCount[WeekIndex],13),IF((COUNTIFS(T_SelfStock[RM_Code],$A11,T_SelfStock[WeekIndex],13)&gt;0)*(COUNTIFS(T_TTAFStock[RM_Code],$A11,T_TTAFStock[WeekIndex],13)&gt;0)&gt;0,SUMIFS(T_SelfStock[Self_Qty],T_SelfStock[RM_Code],$A11,T_SelfStock[WeekIndex],13)+SUMIFS(T_TTAFStock[TTAF_Qty],T_TTAFStock[RM_Code],$A11,T_TTAFStock[WeekIndex],13),M11+'Grid_Incoming'!N11-'Grid_Requirement'!N11))</f>
        <v/>
      </c>
      <c r="O11">
        <f>IF(COUNTIFS(T_StockCount[RM_Code],$A11,T_StockCount[WeekIndex],14)&gt;0,SUMIFS(T_StockCount[CountedQty],T_StockCount[RM_Code],$A11,T_StockCount[WeekIndex],14),IF((COUNTIFS(T_SelfStock[RM_Code],$A11,T_SelfStock[WeekIndex],14)&gt;0)*(COUNTIFS(T_TTAFStock[RM_Code],$A11,T_TTAFStock[WeekIndex],14)&gt;0)&gt;0,SUMIFS(T_SelfStock[Self_Qty],T_SelfStock[RM_Code],$A11,T_SelfStock[WeekIndex],14)+SUMIFS(T_TTAFStock[TTAF_Qty],T_TTAFStock[RM_Code],$A11,T_TTAFStock[WeekIndex],14),N11+'Grid_Incoming'!O11-'Grid_Requirement'!O11))</f>
        <v/>
      </c>
      <c r="P11">
        <f>IF(COUNTIFS(T_StockCount[RM_Code],$A11,T_StockCount[WeekIndex],15)&gt;0,SUMIFS(T_StockCount[CountedQty],T_StockCount[RM_Code],$A11,T_StockCount[WeekIndex],15),IF((COUNTIFS(T_SelfStock[RM_Code],$A11,T_SelfStock[WeekIndex],15)&gt;0)*(COUNTIFS(T_TTAFStock[RM_Code],$A11,T_TTAFStock[WeekIndex],15)&gt;0)&gt;0,SUMIFS(T_SelfStock[Self_Qty],T_SelfStock[RM_Code],$A11,T_SelfStock[WeekIndex],15)+SUMIFS(T_TTAFStock[TTAF_Qty],T_TTAFStock[RM_Code],$A11,T_TTAFStock[WeekIndex],15),O11+'Grid_Incoming'!P11-'Grid_Requirement'!P11))</f>
        <v/>
      </c>
      <c r="Q11">
        <f>IF(COUNTIFS(T_StockCount[RM_Code],$A11,T_StockCount[WeekIndex],16)&gt;0,SUMIFS(T_StockCount[CountedQty],T_StockCount[RM_Code],$A11,T_StockCount[WeekIndex],16),IF((COUNTIFS(T_SelfStock[RM_Code],$A11,T_SelfStock[WeekIndex],16)&gt;0)*(COUNTIFS(T_TTAFStock[RM_Code],$A11,T_TTAFStock[WeekIndex],16)&gt;0)&gt;0,SUMIFS(T_SelfStock[Self_Qty],T_SelfStock[RM_Code],$A11,T_SelfStock[WeekIndex],16)+SUMIFS(T_TTAFStock[TTAF_Qty],T_TTAFStock[RM_Code],$A11,T_TTAFStock[WeekIndex],16),P11+'Grid_Incoming'!Q11-'Grid_Requirement'!Q11))</f>
        <v/>
      </c>
      <c r="R11">
        <f>IF(COUNTIFS(T_StockCount[RM_Code],$A11,T_StockCount[WeekIndex],17)&gt;0,SUMIFS(T_StockCount[CountedQty],T_StockCount[RM_Code],$A11,T_StockCount[WeekIndex],17),IF((COUNTIFS(T_SelfStock[RM_Code],$A11,T_SelfStock[WeekIndex],17)&gt;0)*(COUNTIFS(T_TTAFStock[RM_Code],$A11,T_TTAFStock[WeekIndex],17)&gt;0)&gt;0,SUMIFS(T_SelfStock[Self_Qty],T_SelfStock[RM_Code],$A11,T_SelfStock[WeekIndex],17)+SUMIFS(T_TTAFStock[TTAF_Qty],T_TTAFStock[RM_Code],$A11,T_TTAFStock[WeekIndex],17),Q11+'Grid_Incoming'!R11-'Grid_Requirement'!R11))</f>
        <v/>
      </c>
      <c r="S11">
        <f>IF(COUNTIFS(T_StockCount[RM_Code],$A11,T_StockCount[WeekIndex],18)&gt;0,SUMIFS(T_StockCount[CountedQty],T_StockCount[RM_Code],$A11,T_StockCount[WeekIndex],18),IF((COUNTIFS(T_SelfStock[RM_Code],$A11,T_SelfStock[WeekIndex],18)&gt;0)*(COUNTIFS(T_TTAFStock[RM_Code],$A11,T_TTAFStock[WeekIndex],18)&gt;0)&gt;0,SUMIFS(T_SelfStock[Self_Qty],T_SelfStock[RM_Code],$A11,T_SelfStock[WeekIndex],18)+SUMIFS(T_TTAFStock[TTAF_Qty],T_TTAFStock[RM_Code],$A11,T_TTAFStock[WeekIndex],18),R11+'Grid_Incoming'!S11-'Grid_Requirement'!S11))</f>
        <v/>
      </c>
      <c r="T11">
        <f>IF(COUNTIFS(T_StockCount[RM_Code],$A11,T_StockCount[WeekIndex],19)&gt;0,SUMIFS(T_StockCount[CountedQty],T_StockCount[RM_Code],$A11,T_StockCount[WeekIndex],19),IF((COUNTIFS(T_SelfStock[RM_Code],$A11,T_SelfStock[WeekIndex],19)&gt;0)*(COUNTIFS(T_TTAFStock[RM_Code],$A11,T_TTAFStock[WeekIndex],19)&gt;0)&gt;0,SUMIFS(T_SelfStock[Self_Qty],T_SelfStock[RM_Code],$A11,T_SelfStock[WeekIndex],19)+SUMIFS(T_TTAFStock[TTAF_Qty],T_TTAFStock[RM_Code],$A11,T_TTAFStock[WeekIndex],19),S11+'Grid_Incoming'!T11-'Grid_Requirement'!T11))</f>
        <v/>
      </c>
      <c r="U11">
        <f>IF(COUNTIFS(T_StockCount[RM_Code],$A11,T_StockCount[WeekIndex],20)&gt;0,SUMIFS(T_StockCount[CountedQty],T_StockCount[RM_Code],$A11,T_StockCount[WeekIndex],20),IF((COUNTIFS(T_SelfStock[RM_Code],$A11,T_SelfStock[WeekIndex],20)&gt;0)*(COUNTIFS(T_TTAFStock[RM_Code],$A11,T_TTAFStock[WeekIndex],20)&gt;0)&gt;0,SUMIFS(T_SelfStock[Self_Qty],T_SelfStock[RM_Code],$A11,T_SelfStock[WeekIndex],20)+SUMIFS(T_TTAFStock[TTAF_Qty],T_TTAFStock[RM_Code],$A11,T_TTAFStock[WeekIndex],20),T11+'Grid_Incoming'!U11-'Grid_Requirement'!U11))</f>
        <v/>
      </c>
      <c r="V11">
        <f>IF(COUNTIFS(T_StockCount[RM_Code],$A11,T_StockCount[WeekIndex],21)&gt;0,SUMIFS(T_StockCount[CountedQty],T_StockCount[RM_Code],$A11,T_StockCount[WeekIndex],21),IF((COUNTIFS(T_SelfStock[RM_Code],$A11,T_SelfStock[WeekIndex],21)&gt;0)*(COUNTIFS(T_TTAFStock[RM_Code],$A11,T_TTAFStock[WeekIndex],21)&gt;0)&gt;0,SUMIFS(T_SelfStock[Self_Qty],T_SelfStock[RM_Code],$A11,T_SelfStock[WeekIndex],21)+SUMIFS(T_TTAFStock[TTAF_Qty],T_TTAFStock[RM_Code],$A11,T_TTAFStock[WeekIndex],21),U11+'Grid_Incoming'!V11-'Grid_Requirement'!V11))</f>
        <v/>
      </c>
      <c r="W11">
        <f>IF(COUNTIFS(T_StockCount[RM_Code],$A11,T_StockCount[WeekIndex],22)&gt;0,SUMIFS(T_StockCount[CountedQty],T_StockCount[RM_Code],$A11,T_StockCount[WeekIndex],22),IF((COUNTIFS(T_SelfStock[RM_Code],$A11,T_SelfStock[WeekIndex],22)&gt;0)*(COUNTIFS(T_TTAFStock[RM_Code],$A11,T_TTAFStock[WeekIndex],22)&gt;0)&gt;0,SUMIFS(T_SelfStock[Self_Qty],T_SelfStock[RM_Code],$A11,T_SelfStock[WeekIndex],22)+SUMIFS(T_TTAFStock[TTAF_Qty],T_TTAFStock[RM_Code],$A11,T_TTAFStock[WeekIndex],22),V11+'Grid_Incoming'!W11-'Grid_Requirement'!W11))</f>
        <v/>
      </c>
      <c r="X11">
        <f>IF(COUNTIFS(T_StockCount[RM_Code],$A11,T_StockCount[WeekIndex],23)&gt;0,SUMIFS(T_StockCount[CountedQty],T_StockCount[RM_Code],$A11,T_StockCount[WeekIndex],23),IF((COUNTIFS(T_SelfStock[RM_Code],$A11,T_SelfStock[WeekIndex],23)&gt;0)*(COUNTIFS(T_TTAFStock[RM_Code],$A11,T_TTAFStock[WeekIndex],23)&gt;0)&gt;0,SUMIFS(T_SelfStock[Self_Qty],T_SelfStock[RM_Code],$A11,T_SelfStock[WeekIndex],23)+SUMIFS(T_TTAFStock[TTAF_Qty],T_TTAFStock[RM_Code],$A11,T_TTAFStock[WeekIndex],23),W11+'Grid_Incoming'!X11-'Grid_Requirement'!X11))</f>
        <v/>
      </c>
      <c r="Y11">
        <f>IF(COUNTIFS(T_StockCount[RM_Code],$A11,T_StockCount[WeekIndex],24)&gt;0,SUMIFS(T_StockCount[CountedQty],T_StockCount[RM_Code],$A11,T_StockCount[WeekIndex],24),IF((COUNTIFS(T_SelfStock[RM_Code],$A11,T_SelfStock[WeekIndex],24)&gt;0)*(COUNTIFS(T_TTAFStock[RM_Code],$A11,T_TTAFStock[WeekIndex],24)&gt;0)&gt;0,SUMIFS(T_SelfStock[Self_Qty],T_SelfStock[RM_Code],$A11,T_SelfStock[WeekIndex],24)+SUMIFS(T_TTAFStock[TTAF_Qty],T_TTAFStock[RM_Code],$A11,T_TTAFStock[WeekIndex],24),X11+'Grid_Incoming'!Y11-'Grid_Requirement'!Y11))</f>
        <v/>
      </c>
      <c r="Z11">
        <f>IF(COUNTIFS(T_StockCount[RM_Code],$A11,T_StockCount[WeekIndex],25)&gt;0,SUMIFS(T_StockCount[CountedQty],T_StockCount[RM_Code],$A11,T_StockCount[WeekIndex],25),IF((COUNTIFS(T_SelfStock[RM_Code],$A11,T_SelfStock[WeekIndex],25)&gt;0)*(COUNTIFS(T_TTAFStock[RM_Code],$A11,T_TTAFStock[WeekIndex],25)&gt;0)&gt;0,SUMIFS(T_SelfStock[Self_Qty],T_SelfStock[RM_Code],$A11,T_SelfStock[WeekIndex],25)+SUMIFS(T_TTAFStock[TTAF_Qty],T_TTAFStock[RM_Code],$A11,T_TTAFStock[WeekIndex],25),Y11+'Grid_Incoming'!Z11-'Grid_Requirement'!Z11))</f>
        <v/>
      </c>
      <c r="AA11">
        <f>IF(COUNTIFS(T_StockCount[RM_Code],$A11,T_StockCount[WeekIndex],26)&gt;0,SUMIFS(T_StockCount[CountedQty],T_StockCount[RM_Code],$A11,T_StockCount[WeekIndex],26),IF((COUNTIFS(T_SelfStock[RM_Code],$A11,T_SelfStock[WeekIndex],26)&gt;0)*(COUNTIFS(T_TTAFStock[RM_Code],$A11,T_TTAFStock[WeekIndex],26)&gt;0)&gt;0,SUMIFS(T_SelfStock[Self_Qty],T_SelfStock[RM_Code],$A11,T_SelfStock[WeekIndex],26)+SUMIFS(T_TTAFStock[TTAF_Qty],T_TTAFStock[RM_Code],$A11,T_TTAFStock[WeekIndex],26),Z11+'Grid_Incoming'!AA11-'Grid_Requirement'!AA11))</f>
        <v/>
      </c>
      <c r="AB11">
        <f>IF(COUNTIFS(T_StockCount[RM_Code],$A11,T_StockCount[WeekIndex],27)&gt;0,SUMIFS(T_StockCount[CountedQty],T_StockCount[RM_Code],$A11,T_StockCount[WeekIndex],27),IF((COUNTIFS(T_SelfStock[RM_Code],$A11,T_SelfStock[WeekIndex],27)&gt;0)*(COUNTIFS(T_TTAFStock[RM_Code],$A11,T_TTAFStock[WeekIndex],27)&gt;0)&gt;0,SUMIFS(T_SelfStock[Self_Qty],T_SelfStock[RM_Code],$A11,T_SelfStock[WeekIndex],27)+SUMIFS(T_TTAFStock[TTAF_Qty],T_TTAFStock[RM_Code],$A11,T_TTAFStock[WeekIndex],27),AA11+'Grid_Incoming'!AB11-'Grid_Requirement'!AB11))</f>
        <v/>
      </c>
      <c r="AC11">
        <f>IF(COUNTIFS(T_StockCount[RM_Code],$A11,T_StockCount[WeekIndex],28)&gt;0,SUMIFS(T_StockCount[CountedQty],T_StockCount[RM_Code],$A11,T_StockCount[WeekIndex],28),IF((COUNTIFS(T_SelfStock[RM_Code],$A11,T_SelfStock[WeekIndex],28)&gt;0)*(COUNTIFS(T_TTAFStock[RM_Code],$A11,T_TTAFStock[WeekIndex],28)&gt;0)&gt;0,SUMIFS(T_SelfStock[Self_Qty],T_SelfStock[RM_Code],$A11,T_SelfStock[WeekIndex],28)+SUMIFS(T_TTAFStock[TTAF_Qty],T_TTAFStock[RM_Code],$A11,T_TTAFStock[WeekIndex],28),AB11+'Grid_Incoming'!AC11-'Grid_Requirement'!AC11))</f>
        <v/>
      </c>
      <c r="AD11">
        <f>IF(COUNTIFS(T_StockCount[RM_Code],$A11,T_StockCount[WeekIndex],29)&gt;0,SUMIFS(T_StockCount[CountedQty],T_StockCount[RM_Code],$A11,T_StockCount[WeekIndex],29),IF((COUNTIFS(T_SelfStock[RM_Code],$A11,T_SelfStock[WeekIndex],29)&gt;0)*(COUNTIFS(T_TTAFStock[RM_Code],$A11,T_TTAFStock[WeekIndex],29)&gt;0)&gt;0,SUMIFS(T_SelfStock[Self_Qty],T_SelfStock[RM_Code],$A11,T_SelfStock[WeekIndex],29)+SUMIFS(T_TTAFStock[TTAF_Qty],T_TTAFStock[RM_Code],$A11,T_TTAFStock[WeekIndex],29),AC11+'Grid_Incoming'!AD11-'Grid_Requirement'!AD11))</f>
        <v/>
      </c>
      <c r="AE11">
        <f>IF(COUNTIFS(T_StockCount[RM_Code],$A11,T_StockCount[WeekIndex],30)&gt;0,SUMIFS(T_StockCount[CountedQty],T_StockCount[RM_Code],$A11,T_StockCount[WeekIndex],30),IF((COUNTIFS(T_SelfStock[RM_Code],$A11,T_SelfStock[WeekIndex],30)&gt;0)*(COUNTIFS(T_TTAFStock[RM_Code],$A11,T_TTAFStock[WeekIndex],30)&gt;0)&gt;0,SUMIFS(T_SelfStock[Self_Qty],T_SelfStock[RM_Code],$A11,T_SelfStock[WeekIndex],30)+SUMIFS(T_TTAFStock[TTAF_Qty],T_TTAFStock[RM_Code],$A11,T_TTAFStock[WeekIndex],30),AD11+'Grid_Incoming'!AE11-'Grid_Requirement'!AE11))</f>
        <v/>
      </c>
      <c r="AF11">
        <f>IF(COUNTIFS(T_StockCount[RM_Code],$A11,T_StockCount[WeekIndex],31)&gt;0,SUMIFS(T_StockCount[CountedQty],T_StockCount[RM_Code],$A11,T_StockCount[WeekIndex],31),IF((COUNTIFS(T_SelfStock[RM_Code],$A11,T_SelfStock[WeekIndex],31)&gt;0)*(COUNTIFS(T_TTAFStock[RM_Code],$A11,T_TTAFStock[WeekIndex],31)&gt;0)&gt;0,SUMIFS(T_SelfStock[Self_Qty],T_SelfStock[RM_Code],$A11,T_SelfStock[WeekIndex],31)+SUMIFS(T_TTAFStock[TTAF_Qty],T_TTAFStock[RM_Code],$A11,T_TTAFStock[WeekIndex],31),AE11+'Grid_Incoming'!AF11-'Grid_Requirement'!AF11))</f>
        <v/>
      </c>
      <c r="AG11">
        <f>IF(COUNTIFS(T_StockCount[RM_Code],$A11,T_StockCount[WeekIndex],32)&gt;0,SUMIFS(T_StockCount[CountedQty],T_StockCount[RM_Code],$A11,T_StockCount[WeekIndex],32),IF((COUNTIFS(T_SelfStock[RM_Code],$A11,T_SelfStock[WeekIndex],32)&gt;0)*(COUNTIFS(T_TTAFStock[RM_Code],$A11,T_TTAFStock[WeekIndex],32)&gt;0)&gt;0,SUMIFS(T_SelfStock[Self_Qty],T_SelfStock[RM_Code],$A11,T_SelfStock[WeekIndex],32)+SUMIFS(T_TTAFStock[TTAF_Qty],T_TTAFStock[RM_Code],$A11,T_TTAFStock[WeekIndex],32),AF11+'Grid_Incoming'!AG11-'Grid_Requirement'!AG11))</f>
        <v/>
      </c>
      <c r="AH11">
        <f>IF(COUNTIFS(T_StockCount[RM_Code],$A11,T_StockCount[WeekIndex],33)&gt;0,SUMIFS(T_StockCount[CountedQty],T_StockCount[RM_Code],$A11,T_StockCount[WeekIndex],33),IF((COUNTIFS(T_SelfStock[RM_Code],$A11,T_SelfStock[WeekIndex],33)&gt;0)*(COUNTIFS(T_TTAFStock[RM_Code],$A11,T_TTAFStock[WeekIndex],33)&gt;0)&gt;0,SUMIFS(T_SelfStock[Self_Qty],T_SelfStock[RM_Code],$A11,T_SelfStock[WeekIndex],33)+SUMIFS(T_TTAFStock[TTAF_Qty],T_TTAFStock[RM_Code],$A11,T_TTAFStock[WeekIndex],33),AG11+'Grid_Incoming'!AH11-'Grid_Requirement'!AH11))</f>
        <v/>
      </c>
      <c r="AI11">
        <f>IF(COUNTIFS(T_StockCount[RM_Code],$A11,T_StockCount[WeekIndex],34)&gt;0,SUMIFS(T_StockCount[CountedQty],T_StockCount[RM_Code],$A11,T_StockCount[WeekIndex],34),IF((COUNTIFS(T_SelfStock[RM_Code],$A11,T_SelfStock[WeekIndex],34)&gt;0)*(COUNTIFS(T_TTAFStock[RM_Code],$A11,T_TTAFStock[WeekIndex],34)&gt;0)&gt;0,SUMIFS(T_SelfStock[Self_Qty],T_SelfStock[RM_Code],$A11,T_SelfStock[WeekIndex],34)+SUMIFS(T_TTAFStock[TTAF_Qty],T_TTAFStock[RM_Code],$A11,T_TTAFStock[WeekIndex],34),AH11+'Grid_Incoming'!AI11-'Grid_Requirement'!AI11))</f>
        <v/>
      </c>
      <c r="AJ11">
        <f>IF(COUNTIFS(T_StockCount[RM_Code],$A11,T_StockCount[WeekIndex],35)&gt;0,SUMIFS(T_StockCount[CountedQty],T_StockCount[RM_Code],$A11,T_StockCount[WeekIndex],35),IF((COUNTIFS(T_SelfStock[RM_Code],$A11,T_SelfStock[WeekIndex],35)&gt;0)*(COUNTIFS(T_TTAFStock[RM_Code],$A11,T_TTAFStock[WeekIndex],35)&gt;0)&gt;0,SUMIFS(T_SelfStock[Self_Qty],T_SelfStock[RM_Code],$A11,T_SelfStock[WeekIndex],35)+SUMIFS(T_TTAFStock[TTAF_Qty],T_TTAFStock[RM_Code],$A11,T_TTAFStock[WeekIndex],35),AI11+'Grid_Incoming'!AJ11-'Grid_Requirement'!AJ11))</f>
        <v/>
      </c>
      <c r="AK11">
        <f>IF(COUNTIFS(T_StockCount[RM_Code],$A11,T_StockCount[WeekIndex],36)&gt;0,SUMIFS(T_StockCount[CountedQty],T_StockCount[RM_Code],$A11,T_StockCount[WeekIndex],36),IF((COUNTIFS(T_SelfStock[RM_Code],$A11,T_SelfStock[WeekIndex],36)&gt;0)*(COUNTIFS(T_TTAFStock[RM_Code],$A11,T_TTAFStock[WeekIndex],36)&gt;0)&gt;0,SUMIFS(T_SelfStock[Self_Qty],T_SelfStock[RM_Code],$A11,T_SelfStock[WeekIndex],36)+SUMIFS(T_TTAFStock[TTAF_Qty],T_TTAFStock[RM_Code],$A11,T_TTAFStock[WeekIndex],36),AJ11+'Grid_Incoming'!AK11-'Grid_Requirement'!AK11))</f>
        <v/>
      </c>
      <c r="AL11">
        <f>IF(COUNTIFS(T_StockCount[RM_Code],$A11,T_StockCount[WeekIndex],37)&gt;0,SUMIFS(T_StockCount[CountedQty],T_StockCount[RM_Code],$A11,T_StockCount[WeekIndex],37),IF((COUNTIFS(T_SelfStock[RM_Code],$A11,T_SelfStock[WeekIndex],37)&gt;0)*(COUNTIFS(T_TTAFStock[RM_Code],$A11,T_TTAFStock[WeekIndex],37)&gt;0)&gt;0,SUMIFS(T_SelfStock[Self_Qty],T_SelfStock[RM_Code],$A11,T_SelfStock[WeekIndex],37)+SUMIFS(T_TTAFStock[TTAF_Qty],T_TTAFStock[RM_Code],$A11,T_TTAFStock[WeekIndex],37),AK11+'Grid_Incoming'!AL11-'Grid_Requirement'!AL11))</f>
        <v/>
      </c>
      <c r="AM11">
        <f>IF(COUNTIFS(T_StockCount[RM_Code],$A11,T_StockCount[WeekIndex],38)&gt;0,SUMIFS(T_StockCount[CountedQty],T_StockCount[RM_Code],$A11,T_StockCount[WeekIndex],38),IF((COUNTIFS(T_SelfStock[RM_Code],$A11,T_SelfStock[WeekIndex],38)&gt;0)*(COUNTIFS(T_TTAFStock[RM_Code],$A11,T_TTAFStock[WeekIndex],38)&gt;0)&gt;0,SUMIFS(T_SelfStock[Self_Qty],T_SelfStock[RM_Code],$A11,T_SelfStock[WeekIndex],38)+SUMIFS(T_TTAFStock[TTAF_Qty],T_TTAFStock[RM_Code],$A11,T_TTAFStock[WeekIndex],38),AL11+'Grid_Incoming'!AM11-'Grid_Requirement'!AM11))</f>
        <v/>
      </c>
      <c r="AN11">
        <f>IF(COUNTIFS(T_StockCount[RM_Code],$A11,T_StockCount[WeekIndex],39)&gt;0,SUMIFS(T_StockCount[CountedQty],T_StockCount[RM_Code],$A11,T_StockCount[WeekIndex],39),IF((COUNTIFS(T_SelfStock[RM_Code],$A11,T_SelfStock[WeekIndex],39)&gt;0)*(COUNTIFS(T_TTAFStock[RM_Code],$A11,T_TTAFStock[WeekIndex],39)&gt;0)&gt;0,SUMIFS(T_SelfStock[Self_Qty],T_SelfStock[RM_Code],$A11,T_SelfStock[WeekIndex],39)+SUMIFS(T_TTAFStock[TTAF_Qty],T_TTAFStock[RM_Code],$A11,T_TTAFStock[WeekIndex],39),AM11+'Grid_Incoming'!AN11-'Grid_Requirement'!AN11))</f>
        <v/>
      </c>
      <c r="AO11">
        <f>IF(COUNTIFS(T_StockCount[RM_Code],$A11,T_StockCount[WeekIndex],40)&gt;0,SUMIFS(T_StockCount[CountedQty],T_StockCount[RM_Code],$A11,T_StockCount[WeekIndex],40),IF((COUNTIFS(T_SelfStock[RM_Code],$A11,T_SelfStock[WeekIndex],40)&gt;0)*(COUNTIFS(T_TTAFStock[RM_Code],$A11,T_TTAFStock[WeekIndex],40)&gt;0)&gt;0,SUMIFS(T_SelfStock[Self_Qty],T_SelfStock[RM_Code],$A11,T_SelfStock[WeekIndex],40)+SUMIFS(T_TTAFStock[TTAF_Qty],T_TTAFStock[RM_Code],$A11,T_TTAFStock[WeekIndex],40),AN11+'Grid_Incoming'!AO11-'Grid_Requirement'!AO11))</f>
        <v/>
      </c>
      <c r="AP11">
        <f>IF(COUNTIFS(T_StockCount[RM_Code],$A11,T_StockCount[WeekIndex],41)&gt;0,SUMIFS(T_StockCount[CountedQty],T_StockCount[RM_Code],$A11,T_StockCount[WeekIndex],41),IF((COUNTIFS(T_SelfStock[RM_Code],$A11,T_SelfStock[WeekIndex],41)&gt;0)*(COUNTIFS(T_TTAFStock[RM_Code],$A11,T_TTAFStock[WeekIndex],41)&gt;0)&gt;0,SUMIFS(T_SelfStock[Self_Qty],T_SelfStock[RM_Code],$A11,T_SelfStock[WeekIndex],41)+SUMIFS(T_TTAFStock[TTAF_Qty],T_TTAFStock[RM_Code],$A11,T_TTAFStock[WeekIndex],41),AO11+'Grid_Incoming'!AP11-'Grid_Requirement'!AP11))</f>
        <v/>
      </c>
      <c r="AQ11">
        <f>IF(COUNTIFS(T_StockCount[RM_Code],$A11,T_StockCount[WeekIndex],42)&gt;0,SUMIFS(T_StockCount[CountedQty],T_StockCount[RM_Code],$A11,T_StockCount[WeekIndex],42),IF((COUNTIFS(T_SelfStock[RM_Code],$A11,T_SelfStock[WeekIndex],42)&gt;0)*(COUNTIFS(T_TTAFStock[RM_Code],$A11,T_TTAFStock[WeekIndex],42)&gt;0)&gt;0,SUMIFS(T_SelfStock[Self_Qty],T_SelfStock[RM_Code],$A11,T_SelfStock[WeekIndex],42)+SUMIFS(T_TTAFStock[TTAF_Qty],T_TTAFStock[RM_Code],$A11,T_TTAFStock[WeekIndex],42),AP11+'Grid_Incoming'!AQ11-'Grid_Requirement'!AQ11))</f>
        <v/>
      </c>
      <c r="AR11">
        <f>IF(COUNTIFS(T_StockCount[RM_Code],$A11,T_StockCount[WeekIndex],43)&gt;0,SUMIFS(T_StockCount[CountedQty],T_StockCount[RM_Code],$A11,T_StockCount[WeekIndex],43),IF((COUNTIFS(T_SelfStock[RM_Code],$A11,T_SelfStock[WeekIndex],43)&gt;0)*(COUNTIFS(T_TTAFStock[RM_Code],$A11,T_TTAFStock[WeekIndex],43)&gt;0)&gt;0,SUMIFS(T_SelfStock[Self_Qty],T_SelfStock[RM_Code],$A11,T_SelfStock[WeekIndex],43)+SUMIFS(T_TTAFStock[TTAF_Qty],T_TTAFStock[RM_Code],$A11,T_TTAFStock[WeekIndex],43),AQ11+'Grid_Incoming'!AR11-'Grid_Requirement'!AR11))</f>
        <v/>
      </c>
      <c r="AS11">
        <f>IF(COUNTIFS(T_StockCount[RM_Code],$A11,T_StockCount[WeekIndex],44)&gt;0,SUMIFS(T_StockCount[CountedQty],T_StockCount[RM_Code],$A11,T_StockCount[WeekIndex],44),IF((COUNTIFS(T_SelfStock[RM_Code],$A11,T_SelfStock[WeekIndex],44)&gt;0)*(COUNTIFS(T_TTAFStock[RM_Code],$A11,T_TTAFStock[WeekIndex],44)&gt;0)&gt;0,SUMIFS(T_SelfStock[Self_Qty],T_SelfStock[RM_Code],$A11,T_SelfStock[WeekIndex],44)+SUMIFS(T_TTAFStock[TTAF_Qty],T_TTAFStock[RM_Code],$A11,T_TTAFStock[WeekIndex],44),AR11+'Grid_Incoming'!AS11-'Grid_Requirement'!AS11))</f>
        <v/>
      </c>
      <c r="AT11">
        <f>IF(COUNTIFS(T_StockCount[RM_Code],$A11,T_StockCount[WeekIndex],45)&gt;0,SUMIFS(T_StockCount[CountedQty],T_StockCount[RM_Code],$A11,T_StockCount[WeekIndex],45),IF((COUNTIFS(T_SelfStock[RM_Code],$A11,T_SelfStock[WeekIndex],45)&gt;0)*(COUNTIFS(T_TTAFStock[RM_Code],$A11,T_TTAFStock[WeekIndex],45)&gt;0)&gt;0,SUMIFS(T_SelfStock[Self_Qty],T_SelfStock[RM_Code],$A11,T_SelfStock[WeekIndex],45)+SUMIFS(T_TTAFStock[TTAF_Qty],T_TTAFStock[RM_Code],$A11,T_TTAFStock[WeekIndex],45),AS11+'Grid_Incoming'!AT11-'Grid_Requirement'!AT11))</f>
        <v/>
      </c>
      <c r="AU11">
        <f>IF(COUNTIFS(T_StockCount[RM_Code],$A11,T_StockCount[WeekIndex],46)&gt;0,SUMIFS(T_StockCount[CountedQty],T_StockCount[RM_Code],$A11,T_StockCount[WeekIndex],46),IF((COUNTIFS(T_SelfStock[RM_Code],$A11,T_SelfStock[WeekIndex],46)&gt;0)*(COUNTIFS(T_TTAFStock[RM_Code],$A11,T_TTAFStock[WeekIndex],46)&gt;0)&gt;0,SUMIFS(T_SelfStock[Self_Qty],T_SelfStock[RM_Code],$A11,T_SelfStock[WeekIndex],46)+SUMIFS(T_TTAFStock[TTAF_Qty],T_TTAFStock[RM_Code],$A11,T_TTAFStock[WeekIndex],46),AT11+'Grid_Incoming'!AU11-'Grid_Requirement'!AU11))</f>
        <v/>
      </c>
      <c r="AV11">
        <f>IF(COUNTIFS(T_StockCount[RM_Code],$A11,T_StockCount[WeekIndex],47)&gt;0,SUMIFS(T_StockCount[CountedQty],T_StockCount[RM_Code],$A11,T_StockCount[WeekIndex],47),IF((COUNTIFS(T_SelfStock[RM_Code],$A11,T_SelfStock[WeekIndex],47)&gt;0)*(COUNTIFS(T_TTAFStock[RM_Code],$A11,T_TTAFStock[WeekIndex],47)&gt;0)&gt;0,SUMIFS(T_SelfStock[Self_Qty],T_SelfStock[RM_Code],$A11,T_SelfStock[WeekIndex],47)+SUMIFS(T_TTAFStock[TTAF_Qty],T_TTAFStock[RM_Code],$A11,T_TTAFStock[WeekIndex],47),AU11+'Grid_Incoming'!AV11-'Grid_Requirement'!AV11))</f>
        <v/>
      </c>
      <c r="AW11">
        <f>IF(COUNTIFS(T_StockCount[RM_Code],$A11,T_StockCount[WeekIndex],48)&gt;0,SUMIFS(T_StockCount[CountedQty],T_StockCount[RM_Code],$A11,T_StockCount[WeekIndex],48),IF((COUNTIFS(T_SelfStock[RM_Code],$A11,T_SelfStock[WeekIndex],48)&gt;0)*(COUNTIFS(T_TTAFStock[RM_Code],$A11,T_TTAFStock[WeekIndex],48)&gt;0)&gt;0,SUMIFS(T_SelfStock[Self_Qty],T_SelfStock[RM_Code],$A11,T_SelfStock[WeekIndex],48)+SUMIFS(T_TTAFStock[TTAF_Qty],T_TTAFStock[RM_Code],$A11,T_TTAFStock[WeekIndex],48),AV11+'Grid_Incoming'!AW11-'Grid_Requirement'!AW11))</f>
        <v/>
      </c>
      <c r="AX11">
        <f>IF(COUNTIFS(T_StockCount[RM_Code],$A11,T_StockCount[WeekIndex],49)&gt;0,SUMIFS(T_StockCount[CountedQty],T_StockCount[RM_Code],$A11,T_StockCount[WeekIndex],49),IF((COUNTIFS(T_SelfStock[RM_Code],$A11,T_SelfStock[WeekIndex],49)&gt;0)*(COUNTIFS(T_TTAFStock[RM_Code],$A11,T_TTAFStock[WeekIndex],49)&gt;0)&gt;0,SUMIFS(T_SelfStock[Self_Qty],T_SelfStock[RM_Code],$A11,T_SelfStock[WeekIndex],49)+SUMIFS(T_TTAFStock[TTAF_Qty],T_TTAFStock[RM_Code],$A11,T_TTAFStock[WeekIndex],49),AW11+'Grid_Incoming'!AX11-'Grid_Requirement'!AX11))</f>
        <v/>
      </c>
      <c r="AY11">
        <f>IF(COUNTIFS(T_StockCount[RM_Code],$A11,T_StockCount[WeekIndex],50)&gt;0,SUMIFS(T_StockCount[CountedQty],T_StockCount[RM_Code],$A11,T_StockCount[WeekIndex],50),IF((COUNTIFS(T_SelfStock[RM_Code],$A11,T_SelfStock[WeekIndex],50)&gt;0)*(COUNTIFS(T_TTAFStock[RM_Code],$A11,T_TTAFStock[WeekIndex],50)&gt;0)&gt;0,SUMIFS(T_SelfStock[Self_Qty],T_SelfStock[RM_Code],$A11,T_SelfStock[WeekIndex],50)+SUMIFS(T_TTAFStock[TTAF_Qty],T_TTAFStock[RM_Code],$A11,T_TTAFStock[WeekIndex],50),AX11+'Grid_Incoming'!AY11-'Grid_Requirement'!AY11))</f>
        <v/>
      </c>
      <c r="AZ11">
        <f>IF(COUNTIFS(T_StockCount[RM_Code],$A11,T_StockCount[WeekIndex],51)&gt;0,SUMIFS(T_StockCount[CountedQty],T_StockCount[RM_Code],$A11,T_StockCount[WeekIndex],51),IF((COUNTIFS(T_SelfStock[RM_Code],$A11,T_SelfStock[WeekIndex],51)&gt;0)*(COUNTIFS(T_TTAFStock[RM_Code],$A11,T_TTAFStock[WeekIndex],51)&gt;0)&gt;0,SUMIFS(T_SelfStock[Self_Qty],T_SelfStock[RM_Code],$A11,T_SelfStock[WeekIndex],51)+SUMIFS(T_TTAFStock[TTAF_Qty],T_TTAFStock[RM_Code],$A11,T_TTAFStock[WeekIndex],51),AY11+'Grid_Incoming'!AZ11-'Grid_Requirement'!AZ11))</f>
        <v/>
      </c>
      <c r="BA11">
        <f>IF(COUNTIFS(T_StockCount[RM_Code],$A11,T_StockCount[WeekIndex],52)&gt;0,SUMIFS(T_StockCount[CountedQty],T_StockCount[RM_Code],$A11,T_StockCount[WeekIndex],52),IF((COUNTIFS(T_SelfStock[RM_Code],$A11,T_SelfStock[WeekIndex],52)&gt;0)*(COUNTIFS(T_TTAFStock[RM_Code],$A11,T_TTAFStock[WeekIndex],52)&gt;0)&gt;0,SUMIFS(T_SelfStock[Self_Qty],T_SelfStock[RM_Code],$A11,T_SelfStock[WeekIndex],52)+SUMIFS(T_TTAFStock[TTAF_Qty],T_TTAFStock[RM_Code],$A11,T_TTAFStock[WeekIndex],52),AZ11+'Grid_Incoming'!BA11-'Grid_Requirement'!BA11))</f>
        <v/>
      </c>
      <c r="BB11">
        <f>IF(COUNTIFS(T_StockCount[RM_Code],$A11,T_StockCount[WeekIndex],53)&gt;0,SUMIFS(T_StockCount[CountedQty],T_StockCount[RM_Code],$A11,T_StockCount[WeekIndex],53),IF((COUNTIFS(T_SelfStock[RM_Code],$A11,T_SelfStock[WeekIndex],53)&gt;0)*(COUNTIFS(T_TTAFStock[RM_Code],$A11,T_TTAFStock[WeekIndex],53)&gt;0)&gt;0,SUMIFS(T_SelfStock[Self_Qty],T_SelfStock[RM_Code],$A11,T_SelfStock[WeekIndex],53)+SUMIFS(T_TTAFStock[TTAF_Qty],T_TTAFStock[RM_Code],$A11,T_TTAFStock[WeekIndex],53),BA11+'Grid_Incoming'!BB11-'Grid_Requirement'!BB11))</f>
        <v/>
      </c>
      <c r="BC11">
        <f>IF(COUNTIFS(T_StockCount[RM_Code],$A11,T_StockCount[WeekIndex],54)&gt;0,SUMIFS(T_StockCount[CountedQty],T_StockCount[RM_Code],$A11,T_StockCount[WeekIndex],54),IF((COUNTIFS(T_SelfStock[RM_Code],$A11,T_SelfStock[WeekIndex],54)&gt;0)*(COUNTIFS(T_TTAFStock[RM_Code],$A11,T_TTAFStock[WeekIndex],54)&gt;0)&gt;0,SUMIFS(T_SelfStock[Self_Qty],T_SelfStock[RM_Code],$A11,T_SelfStock[WeekIndex],54)+SUMIFS(T_TTAFStock[TTAF_Qty],T_TTAFStock[RM_Code],$A11,T_TTAFStock[WeekIndex],54),BB11+'Grid_Incoming'!BC11-'Grid_Requirement'!BC11))</f>
        <v/>
      </c>
      <c r="BD11">
        <f>IF(COUNTIFS(T_StockCount[RM_Code],$A11,T_StockCount[WeekIndex],55)&gt;0,SUMIFS(T_StockCount[CountedQty],T_StockCount[RM_Code],$A11,T_StockCount[WeekIndex],55),IF((COUNTIFS(T_SelfStock[RM_Code],$A11,T_SelfStock[WeekIndex],55)&gt;0)*(COUNTIFS(T_TTAFStock[RM_Code],$A11,T_TTAFStock[WeekIndex],55)&gt;0)&gt;0,SUMIFS(T_SelfStock[Self_Qty],T_SelfStock[RM_Code],$A11,T_SelfStock[WeekIndex],55)+SUMIFS(T_TTAFStock[TTAF_Qty],T_TTAFStock[RM_Code],$A11,T_TTAFStock[WeekIndex],55),BC11+'Grid_Incoming'!BD11-'Grid_Requirement'!BD11))</f>
        <v/>
      </c>
      <c r="BE11">
        <f>IF(COUNTIFS(T_StockCount[RM_Code],$A11,T_StockCount[WeekIndex],56)&gt;0,SUMIFS(T_StockCount[CountedQty],T_StockCount[RM_Code],$A11,T_StockCount[WeekIndex],56),IF((COUNTIFS(T_SelfStock[RM_Code],$A11,T_SelfStock[WeekIndex],56)&gt;0)*(COUNTIFS(T_TTAFStock[RM_Code],$A11,T_TTAFStock[WeekIndex],56)&gt;0)&gt;0,SUMIFS(T_SelfStock[Self_Qty],T_SelfStock[RM_Code],$A11,T_SelfStock[WeekIndex],56)+SUMIFS(T_TTAFStock[TTAF_Qty],T_TTAFStock[RM_Code],$A11,T_TTAFStock[WeekIndex],56),BD11+'Grid_Incoming'!BE11-'Grid_Requirement'!BE11))</f>
        <v/>
      </c>
      <c r="BF11">
        <f>IF(COUNTIFS(T_StockCount[RM_Code],$A11,T_StockCount[WeekIndex],57)&gt;0,SUMIFS(T_StockCount[CountedQty],T_StockCount[RM_Code],$A11,T_StockCount[WeekIndex],57),IF((COUNTIFS(T_SelfStock[RM_Code],$A11,T_SelfStock[WeekIndex],57)&gt;0)*(COUNTIFS(T_TTAFStock[RM_Code],$A11,T_TTAFStock[WeekIndex],57)&gt;0)&gt;0,SUMIFS(T_SelfStock[Self_Qty],T_SelfStock[RM_Code],$A11,T_SelfStock[WeekIndex],57)+SUMIFS(T_TTAFStock[TTAF_Qty],T_TTAFStock[RM_Code],$A11,T_TTAFStock[WeekIndex],57),BE11+'Grid_Incoming'!BF11-'Grid_Requirement'!BF11))</f>
        <v/>
      </c>
      <c r="BG11">
        <f>IF(COUNTIFS(T_StockCount[RM_Code],$A11,T_StockCount[WeekIndex],58)&gt;0,SUMIFS(T_StockCount[CountedQty],T_StockCount[RM_Code],$A11,T_StockCount[WeekIndex],58),IF((COUNTIFS(T_SelfStock[RM_Code],$A11,T_SelfStock[WeekIndex],58)&gt;0)*(COUNTIFS(T_TTAFStock[RM_Code],$A11,T_TTAFStock[WeekIndex],58)&gt;0)&gt;0,SUMIFS(T_SelfStock[Self_Qty],T_SelfStock[RM_Code],$A11,T_SelfStock[WeekIndex],58)+SUMIFS(T_TTAFStock[TTAF_Qty],T_TTAFStock[RM_Code],$A11,T_TTAFStock[WeekIndex],58),BF11+'Grid_Incoming'!BG11-'Grid_Requirement'!BG11))</f>
        <v/>
      </c>
      <c r="BH11">
        <f>IF(COUNTIFS(T_StockCount[RM_Code],$A11,T_StockCount[WeekIndex],59)&gt;0,SUMIFS(T_StockCount[CountedQty],T_StockCount[RM_Code],$A11,T_StockCount[WeekIndex],59),IF((COUNTIFS(T_SelfStock[RM_Code],$A11,T_SelfStock[WeekIndex],59)&gt;0)*(COUNTIFS(T_TTAFStock[RM_Code],$A11,T_TTAFStock[WeekIndex],59)&gt;0)&gt;0,SUMIFS(T_SelfStock[Self_Qty],T_SelfStock[RM_Code],$A11,T_SelfStock[WeekIndex],59)+SUMIFS(T_TTAFStock[TTAF_Qty],T_TTAFStock[RM_Code],$A11,T_TTAFStock[WeekIndex],59),BG11+'Grid_Incoming'!BH11-'Grid_Requirement'!BH11))</f>
        <v/>
      </c>
      <c r="BI11">
        <f>IF(COUNTIFS(T_StockCount[RM_Code],$A11,T_StockCount[WeekIndex],60)&gt;0,SUMIFS(T_StockCount[CountedQty],T_StockCount[RM_Code],$A11,T_StockCount[WeekIndex],60),IF((COUNTIFS(T_SelfStock[RM_Code],$A11,T_SelfStock[WeekIndex],60)&gt;0)*(COUNTIFS(T_TTAFStock[RM_Code],$A11,T_TTAFStock[WeekIndex],60)&gt;0)&gt;0,SUMIFS(T_SelfStock[Self_Qty],T_SelfStock[RM_Code],$A11,T_SelfStock[WeekIndex],60)+SUMIFS(T_TTAFStock[TTAF_Qty],T_TTAFStock[RM_Code],$A11,T_TTAFStock[WeekIndex],60),BH11+'Grid_Incoming'!BI11-'Grid_Requirement'!BI11))</f>
        <v/>
      </c>
      <c r="BJ11">
        <f>IF(COUNTIFS(T_StockCount[RM_Code],$A11,T_StockCount[WeekIndex],61)&gt;0,SUMIFS(T_StockCount[CountedQty],T_StockCount[RM_Code],$A11,T_StockCount[WeekIndex],61),IF((COUNTIFS(T_SelfStock[RM_Code],$A11,T_SelfStock[WeekIndex],61)&gt;0)*(COUNTIFS(T_TTAFStock[RM_Code],$A11,T_TTAFStock[WeekIndex],61)&gt;0)&gt;0,SUMIFS(T_SelfStock[Self_Qty],T_SelfStock[RM_Code],$A11,T_SelfStock[WeekIndex],61)+SUMIFS(T_TTAFStock[TTAF_Qty],T_TTAFStock[RM_Code],$A11,T_TTAFStock[WeekIndex],61),BI11+'Grid_Incoming'!BJ11-'Grid_Requirement'!BJ11))</f>
        <v/>
      </c>
      <c r="BK11">
        <f>IF(COUNTIFS(T_StockCount[RM_Code],$A11,T_StockCount[WeekIndex],62)&gt;0,SUMIFS(T_StockCount[CountedQty],T_StockCount[RM_Code],$A11,T_StockCount[WeekIndex],62),IF((COUNTIFS(T_SelfStock[RM_Code],$A11,T_SelfStock[WeekIndex],62)&gt;0)*(COUNTIFS(T_TTAFStock[RM_Code],$A11,T_TTAFStock[WeekIndex],62)&gt;0)&gt;0,SUMIFS(T_SelfStock[Self_Qty],T_SelfStock[RM_Code],$A11,T_SelfStock[WeekIndex],62)+SUMIFS(T_TTAFStock[TTAF_Qty],T_TTAFStock[RM_Code],$A11,T_TTAFStock[WeekIndex],62),BJ11+'Grid_Incoming'!BK11-'Grid_Requirement'!BK11))</f>
        <v/>
      </c>
      <c r="BL11">
        <f>IF(COUNTIFS(T_StockCount[RM_Code],$A11,T_StockCount[WeekIndex],63)&gt;0,SUMIFS(T_StockCount[CountedQty],T_StockCount[RM_Code],$A11,T_StockCount[WeekIndex],63),IF((COUNTIFS(T_SelfStock[RM_Code],$A11,T_SelfStock[WeekIndex],63)&gt;0)*(COUNTIFS(T_TTAFStock[RM_Code],$A11,T_TTAFStock[WeekIndex],63)&gt;0)&gt;0,SUMIFS(T_SelfStock[Self_Qty],T_SelfStock[RM_Code],$A11,T_SelfStock[WeekIndex],63)+SUMIFS(T_TTAFStock[TTAF_Qty],T_TTAFStock[RM_Code],$A11,T_TTAFStock[WeekIndex],63),BK11+'Grid_Incoming'!BL11-'Grid_Requirement'!BL11))</f>
        <v/>
      </c>
      <c r="BM11">
        <f>IF(COUNTIFS(T_StockCount[RM_Code],$A11,T_StockCount[WeekIndex],64)&gt;0,SUMIFS(T_StockCount[CountedQty],T_StockCount[RM_Code],$A11,T_StockCount[WeekIndex],64),IF((COUNTIFS(T_SelfStock[RM_Code],$A11,T_SelfStock[WeekIndex],64)&gt;0)*(COUNTIFS(T_TTAFStock[RM_Code],$A11,T_TTAFStock[WeekIndex],64)&gt;0)&gt;0,SUMIFS(T_SelfStock[Self_Qty],T_SelfStock[RM_Code],$A11,T_SelfStock[WeekIndex],64)+SUMIFS(T_TTAFStock[TTAF_Qty],T_TTAFStock[RM_Code],$A11,T_TTAFStock[WeekIndex],64),BL11+'Grid_Incoming'!BM11-'Grid_Requirement'!BM11))</f>
        <v/>
      </c>
      <c r="BN11">
        <f>IF(COUNTIFS(T_StockCount[RM_Code],$A11,T_StockCount[WeekIndex],65)&gt;0,SUMIFS(T_StockCount[CountedQty],T_StockCount[RM_Code],$A11,T_StockCount[WeekIndex],65),IF((COUNTIFS(T_SelfStock[RM_Code],$A11,T_SelfStock[WeekIndex],65)&gt;0)*(COUNTIFS(T_TTAFStock[RM_Code],$A11,T_TTAFStock[WeekIndex],65)&gt;0)&gt;0,SUMIFS(T_SelfStock[Self_Qty],T_SelfStock[RM_Code],$A11,T_SelfStock[WeekIndex],65)+SUMIFS(T_TTAFStock[TTAF_Qty],T_TTAFStock[RM_Code],$A11,T_TTAFStock[WeekIndex],65),BM11+'Grid_Incoming'!BN11-'Grid_Requirement'!BN11))</f>
        <v/>
      </c>
      <c r="BO11">
        <f>IF(COUNTIFS(T_StockCount[RM_Code],$A11,T_StockCount[WeekIndex],66)&gt;0,SUMIFS(T_StockCount[CountedQty],T_StockCount[RM_Code],$A11,T_StockCount[WeekIndex],66),IF((COUNTIFS(T_SelfStock[RM_Code],$A11,T_SelfStock[WeekIndex],66)&gt;0)*(COUNTIFS(T_TTAFStock[RM_Code],$A11,T_TTAFStock[WeekIndex],66)&gt;0)&gt;0,SUMIFS(T_SelfStock[Self_Qty],T_SelfStock[RM_Code],$A11,T_SelfStock[WeekIndex],66)+SUMIFS(T_TTAFStock[TTAF_Qty],T_TTAFStock[RM_Code],$A11,T_TTAFStock[WeekIndex],66),BN11+'Grid_Incoming'!BO11-'Grid_Requirement'!BO11))</f>
        <v/>
      </c>
      <c r="BP11">
        <f>IF(COUNTIFS(T_StockCount[RM_Code],$A11,T_StockCount[WeekIndex],67)&gt;0,SUMIFS(T_StockCount[CountedQty],T_StockCount[RM_Code],$A11,T_StockCount[WeekIndex],67),IF((COUNTIFS(T_SelfStock[RM_Code],$A11,T_SelfStock[WeekIndex],67)&gt;0)*(COUNTIFS(T_TTAFStock[RM_Code],$A11,T_TTAFStock[WeekIndex],67)&gt;0)&gt;0,SUMIFS(T_SelfStock[Self_Qty],T_SelfStock[RM_Code],$A11,T_SelfStock[WeekIndex],67)+SUMIFS(T_TTAFStock[TTAF_Qty],T_TTAFStock[RM_Code],$A11,T_TTAFStock[WeekIndex],67),BO11+'Grid_Incoming'!BP11-'Grid_Requirement'!BP11))</f>
        <v/>
      </c>
      <c r="BQ11">
        <f>IF(COUNTIFS(T_StockCount[RM_Code],$A11,T_StockCount[WeekIndex],68)&gt;0,SUMIFS(T_StockCount[CountedQty],T_StockCount[RM_Code],$A11,T_StockCount[WeekIndex],68),IF((COUNTIFS(T_SelfStock[RM_Code],$A11,T_SelfStock[WeekIndex],68)&gt;0)*(COUNTIFS(T_TTAFStock[RM_Code],$A11,T_TTAFStock[WeekIndex],68)&gt;0)&gt;0,SUMIFS(T_SelfStock[Self_Qty],T_SelfStock[RM_Code],$A11,T_SelfStock[WeekIndex],68)+SUMIFS(T_TTAFStock[TTAF_Qty],T_TTAFStock[RM_Code],$A11,T_TTAFStock[WeekIndex],68),BP11+'Grid_Incoming'!BQ11-'Grid_Requirement'!BQ11))</f>
        <v/>
      </c>
      <c r="BR11">
        <f>IF(COUNTIFS(T_StockCount[RM_Code],$A11,T_StockCount[WeekIndex],69)&gt;0,SUMIFS(T_StockCount[CountedQty],T_StockCount[RM_Code],$A11,T_StockCount[WeekIndex],69),IF((COUNTIFS(T_SelfStock[RM_Code],$A11,T_SelfStock[WeekIndex],69)&gt;0)*(COUNTIFS(T_TTAFStock[RM_Code],$A11,T_TTAFStock[WeekIndex],69)&gt;0)&gt;0,SUMIFS(T_SelfStock[Self_Qty],T_SelfStock[RM_Code],$A11,T_SelfStock[WeekIndex],69)+SUMIFS(T_TTAFStock[TTAF_Qty],T_TTAFStock[RM_Code],$A11,T_TTAFStock[WeekIndex],69),BQ11+'Grid_Incoming'!BR11-'Grid_Requirement'!BR11))</f>
        <v/>
      </c>
      <c r="BS11">
        <f>IF(COUNTIFS(T_StockCount[RM_Code],$A11,T_StockCount[WeekIndex],70)&gt;0,SUMIFS(T_StockCount[CountedQty],T_StockCount[RM_Code],$A11,T_StockCount[WeekIndex],70),IF((COUNTIFS(T_SelfStock[RM_Code],$A11,T_SelfStock[WeekIndex],70)&gt;0)*(COUNTIFS(T_TTAFStock[RM_Code],$A11,T_TTAFStock[WeekIndex],70)&gt;0)&gt;0,SUMIFS(T_SelfStock[Self_Qty],T_SelfStock[RM_Code],$A11,T_SelfStock[WeekIndex],70)+SUMIFS(T_TTAFStock[TTAF_Qty],T_TTAFStock[RM_Code],$A11,T_TTAFStock[WeekIndex],70),BR11+'Grid_Incoming'!BS11-'Grid_Requirement'!BS11))</f>
        <v/>
      </c>
      <c r="BT11">
        <f>IF(COUNTIFS(T_StockCount[RM_Code],$A11,T_StockCount[WeekIndex],71)&gt;0,SUMIFS(T_StockCount[CountedQty],T_StockCount[RM_Code],$A11,T_StockCount[WeekIndex],71),IF((COUNTIFS(T_SelfStock[RM_Code],$A11,T_SelfStock[WeekIndex],71)&gt;0)*(COUNTIFS(T_TTAFStock[RM_Code],$A11,T_TTAFStock[WeekIndex],71)&gt;0)&gt;0,SUMIFS(T_SelfStock[Self_Qty],T_SelfStock[RM_Code],$A11,T_SelfStock[WeekIndex],71)+SUMIFS(T_TTAFStock[TTAF_Qty],T_TTAFStock[RM_Code],$A11,T_TTAFStock[WeekIndex],71),BS11+'Grid_Incoming'!BT11-'Grid_Requirement'!BT11))</f>
        <v/>
      </c>
      <c r="BU11">
        <f>IF(COUNTIFS(T_StockCount[RM_Code],$A11,T_StockCount[WeekIndex],72)&gt;0,SUMIFS(T_StockCount[CountedQty],T_StockCount[RM_Code],$A11,T_StockCount[WeekIndex],72),IF((COUNTIFS(T_SelfStock[RM_Code],$A11,T_SelfStock[WeekIndex],72)&gt;0)*(COUNTIFS(T_TTAFStock[RM_Code],$A11,T_TTAFStock[WeekIndex],72)&gt;0)&gt;0,SUMIFS(T_SelfStock[Self_Qty],T_SelfStock[RM_Code],$A11,T_SelfStock[WeekIndex],72)+SUMIFS(T_TTAFStock[TTAF_Qty],T_TTAFStock[RM_Code],$A11,T_TTAFStock[WeekIndex],72),BT11+'Grid_Incoming'!BU11-'Grid_Requirement'!BU11))</f>
        <v/>
      </c>
      <c r="BV11">
        <f>IF(COUNTIFS(T_StockCount[RM_Code],$A11,T_StockCount[WeekIndex],73)&gt;0,SUMIFS(T_StockCount[CountedQty],T_StockCount[RM_Code],$A11,T_StockCount[WeekIndex],73),IF((COUNTIFS(T_SelfStock[RM_Code],$A11,T_SelfStock[WeekIndex],73)&gt;0)*(COUNTIFS(T_TTAFStock[RM_Code],$A11,T_TTAFStock[WeekIndex],73)&gt;0)&gt;0,SUMIFS(T_SelfStock[Self_Qty],T_SelfStock[RM_Code],$A11,T_SelfStock[WeekIndex],73)+SUMIFS(T_TTAFStock[TTAF_Qty],T_TTAFStock[RM_Code],$A11,T_TTAFStock[WeekIndex],73),BU11+'Grid_Incoming'!BV11-'Grid_Requirement'!BV11))</f>
        <v/>
      </c>
      <c r="BW11">
        <f>IF(COUNTIFS(T_StockCount[RM_Code],$A11,T_StockCount[WeekIndex],74)&gt;0,SUMIFS(T_StockCount[CountedQty],T_StockCount[RM_Code],$A11,T_StockCount[WeekIndex],74),IF((COUNTIFS(T_SelfStock[RM_Code],$A11,T_SelfStock[WeekIndex],74)&gt;0)*(COUNTIFS(T_TTAFStock[RM_Code],$A11,T_TTAFStock[WeekIndex],74)&gt;0)&gt;0,SUMIFS(T_SelfStock[Self_Qty],T_SelfStock[RM_Code],$A11,T_SelfStock[WeekIndex],74)+SUMIFS(T_TTAFStock[TTAF_Qty],T_TTAFStock[RM_Code],$A11,T_TTAFStock[WeekIndex],74),BV11+'Grid_Incoming'!BW11-'Grid_Requirement'!BW11))</f>
        <v/>
      </c>
      <c r="BX11">
        <f>IF(COUNTIFS(T_StockCount[RM_Code],$A11,T_StockCount[WeekIndex],75)&gt;0,SUMIFS(T_StockCount[CountedQty],T_StockCount[RM_Code],$A11,T_StockCount[WeekIndex],75),IF((COUNTIFS(T_SelfStock[RM_Code],$A11,T_SelfStock[WeekIndex],75)&gt;0)*(COUNTIFS(T_TTAFStock[RM_Code],$A11,T_TTAFStock[WeekIndex],75)&gt;0)&gt;0,SUMIFS(T_SelfStock[Self_Qty],T_SelfStock[RM_Code],$A11,T_SelfStock[WeekIndex],75)+SUMIFS(T_TTAFStock[TTAF_Qty],T_TTAFStock[RM_Code],$A11,T_TTAFStock[WeekIndex],75),BW11+'Grid_Incoming'!BX11-'Grid_Requirement'!BX11))</f>
        <v/>
      </c>
      <c r="BY11">
        <f>IF(COUNTIFS(T_StockCount[RM_Code],$A11,T_StockCount[WeekIndex],76)&gt;0,SUMIFS(T_StockCount[CountedQty],T_StockCount[RM_Code],$A11,T_StockCount[WeekIndex],76),IF((COUNTIFS(T_SelfStock[RM_Code],$A11,T_SelfStock[WeekIndex],76)&gt;0)*(COUNTIFS(T_TTAFStock[RM_Code],$A11,T_TTAFStock[WeekIndex],76)&gt;0)&gt;0,SUMIFS(T_SelfStock[Self_Qty],T_SelfStock[RM_Code],$A11,T_SelfStock[WeekIndex],76)+SUMIFS(T_TTAFStock[TTAF_Qty],T_TTAFStock[RM_Code],$A11,T_TTAFStock[WeekIndex],76),BX11+'Grid_Incoming'!BY11-'Grid_Requirement'!BY11))</f>
        <v/>
      </c>
      <c r="BZ11">
        <f>IF(COUNTIFS(T_StockCount[RM_Code],$A11,T_StockCount[WeekIndex],77)&gt;0,SUMIFS(T_StockCount[CountedQty],T_StockCount[RM_Code],$A11,T_StockCount[WeekIndex],77),IF((COUNTIFS(T_SelfStock[RM_Code],$A11,T_SelfStock[WeekIndex],77)&gt;0)*(COUNTIFS(T_TTAFStock[RM_Code],$A11,T_TTAFStock[WeekIndex],77)&gt;0)&gt;0,SUMIFS(T_SelfStock[Self_Qty],T_SelfStock[RM_Code],$A11,T_SelfStock[WeekIndex],77)+SUMIFS(T_TTAFStock[TTAF_Qty],T_TTAFStock[RM_Code],$A11,T_TTAFStock[WeekIndex],77),BY11+'Grid_Incoming'!BZ11-'Grid_Requirement'!BZ11))</f>
        <v/>
      </c>
      <c r="CA11">
        <f>IF(COUNTIFS(T_StockCount[RM_Code],$A11,T_StockCount[WeekIndex],78)&gt;0,SUMIFS(T_StockCount[CountedQty],T_StockCount[RM_Code],$A11,T_StockCount[WeekIndex],78),IF((COUNTIFS(T_SelfStock[RM_Code],$A11,T_SelfStock[WeekIndex],78)&gt;0)*(COUNTIFS(T_TTAFStock[RM_Code],$A11,T_TTAFStock[WeekIndex],78)&gt;0)&gt;0,SUMIFS(T_SelfStock[Self_Qty],T_SelfStock[RM_Code],$A11,T_SelfStock[WeekIndex],78)+SUMIFS(T_TTAFStock[TTAF_Qty],T_TTAFStock[RM_Code],$A11,T_TTAFStock[WeekIndex],78),BZ11+'Grid_Incoming'!CA11-'Grid_Requirement'!CA11))</f>
        <v/>
      </c>
      <c r="CB11">
        <f>IF(COUNTIFS(T_StockCount[RM_Code],$A11,T_StockCount[WeekIndex],79)&gt;0,SUMIFS(T_StockCount[CountedQty],T_StockCount[RM_Code],$A11,T_StockCount[WeekIndex],79),IF((COUNTIFS(T_SelfStock[RM_Code],$A11,T_SelfStock[WeekIndex],79)&gt;0)*(COUNTIFS(T_TTAFStock[RM_Code],$A11,T_TTAFStock[WeekIndex],79)&gt;0)&gt;0,SUMIFS(T_SelfStock[Self_Qty],T_SelfStock[RM_Code],$A11,T_SelfStock[WeekIndex],79)+SUMIFS(T_TTAFStock[TTAF_Qty],T_TTAFStock[RM_Code],$A11,T_TTAFStock[WeekIndex],79),CA11+'Grid_Incoming'!CB11-'Grid_Requirement'!CB11))</f>
        <v/>
      </c>
      <c r="CC11">
        <f>IF(COUNTIFS(T_StockCount[RM_Code],$A11,T_StockCount[WeekIndex],80)&gt;0,SUMIFS(T_StockCount[CountedQty],T_StockCount[RM_Code],$A11,T_StockCount[WeekIndex],80),IF((COUNTIFS(T_SelfStock[RM_Code],$A11,T_SelfStock[WeekIndex],80)&gt;0)*(COUNTIFS(T_TTAFStock[RM_Code],$A11,T_TTAFStock[WeekIndex],80)&gt;0)&gt;0,SUMIFS(T_SelfStock[Self_Qty],T_SelfStock[RM_Code],$A11,T_SelfStock[WeekIndex],80)+SUMIFS(T_TTAFStock[TTAF_Qty],T_TTAFStock[RM_Code],$A11,T_TTAFStock[WeekIndex],80),CB11+'Grid_Incoming'!CC11-'Grid_Requirement'!CC11))</f>
        <v/>
      </c>
      <c r="CD11">
        <f>IF(COUNTIFS(T_StockCount[RM_Code],$A11,T_StockCount[WeekIndex],81)&gt;0,SUMIFS(T_StockCount[CountedQty],T_StockCount[RM_Code],$A11,T_StockCount[WeekIndex],81),IF((COUNTIFS(T_SelfStock[RM_Code],$A11,T_SelfStock[WeekIndex],81)&gt;0)*(COUNTIFS(T_TTAFStock[RM_Code],$A11,T_TTAFStock[WeekIndex],81)&gt;0)&gt;0,SUMIFS(T_SelfStock[Self_Qty],T_SelfStock[RM_Code],$A11,T_SelfStock[WeekIndex],81)+SUMIFS(T_TTAFStock[TTAF_Qty],T_TTAFStock[RM_Code],$A11,T_TTAFStock[WeekIndex],81),CC11+'Grid_Incoming'!CD11-'Grid_Requirement'!CD11))</f>
        <v/>
      </c>
      <c r="CE11">
        <f>IF(COUNTIFS(T_StockCount[RM_Code],$A11,T_StockCount[WeekIndex],82)&gt;0,SUMIFS(T_StockCount[CountedQty],T_StockCount[RM_Code],$A11,T_StockCount[WeekIndex],82),IF((COUNTIFS(T_SelfStock[RM_Code],$A11,T_SelfStock[WeekIndex],82)&gt;0)*(COUNTIFS(T_TTAFStock[RM_Code],$A11,T_TTAFStock[WeekIndex],82)&gt;0)&gt;0,SUMIFS(T_SelfStock[Self_Qty],T_SelfStock[RM_Code],$A11,T_SelfStock[WeekIndex],82)+SUMIFS(T_TTAFStock[TTAF_Qty],T_TTAFStock[RM_Code],$A11,T_TTAFStock[WeekIndex],82),CD11+'Grid_Incoming'!CE11-'Grid_Requirement'!CE11))</f>
        <v/>
      </c>
      <c r="CF11">
        <f>IF(COUNTIFS(T_StockCount[RM_Code],$A11,T_StockCount[WeekIndex],83)&gt;0,SUMIFS(T_StockCount[CountedQty],T_StockCount[RM_Code],$A11,T_StockCount[WeekIndex],83),IF((COUNTIFS(T_SelfStock[RM_Code],$A11,T_SelfStock[WeekIndex],83)&gt;0)*(COUNTIFS(T_TTAFStock[RM_Code],$A11,T_TTAFStock[WeekIndex],83)&gt;0)&gt;0,SUMIFS(T_SelfStock[Self_Qty],T_SelfStock[RM_Code],$A11,T_SelfStock[WeekIndex],83)+SUMIFS(T_TTAFStock[TTAF_Qty],T_TTAFStock[RM_Code],$A11,T_TTAFStock[WeekIndex],83),CE11+'Grid_Incoming'!CF11-'Grid_Requirement'!CF11))</f>
        <v/>
      </c>
      <c r="CG11">
        <f>IF(COUNTIFS(T_StockCount[RM_Code],$A11,T_StockCount[WeekIndex],84)&gt;0,SUMIFS(T_StockCount[CountedQty],T_StockCount[RM_Code],$A11,T_StockCount[WeekIndex],84),IF((COUNTIFS(T_SelfStock[RM_Code],$A11,T_SelfStock[WeekIndex],84)&gt;0)*(COUNTIFS(T_TTAFStock[RM_Code],$A11,T_TTAFStock[WeekIndex],84)&gt;0)&gt;0,SUMIFS(T_SelfStock[Self_Qty],T_SelfStock[RM_Code],$A11,T_SelfStock[WeekIndex],84)+SUMIFS(T_TTAFStock[TTAF_Qty],T_TTAFStock[RM_Code],$A11,T_TTAFStock[WeekIndex],84),CF11+'Grid_Incoming'!CG11-'Grid_Requirement'!CG11))</f>
        <v/>
      </c>
      <c r="CH11">
        <f>IF(COUNTIFS(T_StockCount[RM_Code],$A11,T_StockCount[WeekIndex],85)&gt;0,SUMIFS(T_StockCount[CountedQty],T_StockCount[RM_Code],$A11,T_StockCount[WeekIndex],85),IF((COUNTIFS(T_SelfStock[RM_Code],$A11,T_SelfStock[WeekIndex],85)&gt;0)*(COUNTIFS(T_TTAFStock[RM_Code],$A11,T_TTAFStock[WeekIndex],85)&gt;0)&gt;0,SUMIFS(T_SelfStock[Self_Qty],T_SelfStock[RM_Code],$A11,T_SelfStock[WeekIndex],85)+SUMIFS(T_TTAFStock[TTAF_Qty],T_TTAFStock[RM_Code],$A11,T_TTAFStock[WeekIndex],85),CG11+'Grid_Incoming'!CH11-'Grid_Requirement'!CH11))</f>
        <v/>
      </c>
      <c r="CI11">
        <f>IF(COUNTIFS(T_StockCount[RM_Code],$A11,T_StockCount[WeekIndex],86)&gt;0,SUMIFS(T_StockCount[CountedQty],T_StockCount[RM_Code],$A11,T_StockCount[WeekIndex],86),IF((COUNTIFS(T_SelfStock[RM_Code],$A11,T_SelfStock[WeekIndex],86)&gt;0)*(COUNTIFS(T_TTAFStock[RM_Code],$A11,T_TTAFStock[WeekIndex],86)&gt;0)&gt;0,SUMIFS(T_SelfStock[Self_Qty],T_SelfStock[RM_Code],$A11,T_SelfStock[WeekIndex],86)+SUMIFS(T_TTAFStock[TTAF_Qty],T_TTAFStock[RM_Code],$A11,T_TTAFStock[WeekIndex],86),CH11+'Grid_Incoming'!CI11-'Grid_Requirement'!CI11))</f>
        <v/>
      </c>
      <c r="CJ11">
        <f>IF(COUNTIFS(T_StockCount[RM_Code],$A11,T_StockCount[WeekIndex],87)&gt;0,SUMIFS(T_StockCount[CountedQty],T_StockCount[RM_Code],$A11,T_StockCount[WeekIndex],87),IF((COUNTIFS(T_SelfStock[RM_Code],$A11,T_SelfStock[WeekIndex],87)&gt;0)*(COUNTIFS(T_TTAFStock[RM_Code],$A11,T_TTAFStock[WeekIndex],87)&gt;0)&gt;0,SUMIFS(T_SelfStock[Self_Qty],T_SelfStock[RM_Code],$A11,T_SelfStock[WeekIndex],87)+SUMIFS(T_TTAFStock[TTAF_Qty],T_TTAFStock[RM_Code],$A11,T_TTAFStock[WeekIndex],87),CI11+'Grid_Incoming'!CJ11-'Grid_Requirement'!CJ11))</f>
        <v/>
      </c>
      <c r="CK11">
        <f>IF(COUNTIFS(T_StockCount[RM_Code],$A11,T_StockCount[WeekIndex],88)&gt;0,SUMIFS(T_StockCount[CountedQty],T_StockCount[RM_Code],$A11,T_StockCount[WeekIndex],88),IF((COUNTIFS(T_SelfStock[RM_Code],$A11,T_SelfStock[WeekIndex],88)&gt;0)*(COUNTIFS(T_TTAFStock[RM_Code],$A11,T_TTAFStock[WeekIndex],88)&gt;0)&gt;0,SUMIFS(T_SelfStock[Self_Qty],T_SelfStock[RM_Code],$A11,T_SelfStock[WeekIndex],88)+SUMIFS(T_TTAFStock[TTAF_Qty],T_TTAFStock[RM_Code],$A11,T_TTAFStock[WeekIndex],88),CJ11+'Grid_Incoming'!CK11-'Grid_Requirement'!CK11))</f>
        <v/>
      </c>
      <c r="CL11">
        <f>IF(COUNTIFS(T_StockCount[RM_Code],$A11,T_StockCount[WeekIndex],89)&gt;0,SUMIFS(T_StockCount[CountedQty],T_StockCount[RM_Code],$A11,T_StockCount[WeekIndex],89),IF((COUNTIFS(T_SelfStock[RM_Code],$A11,T_SelfStock[WeekIndex],89)&gt;0)*(COUNTIFS(T_TTAFStock[RM_Code],$A11,T_TTAFStock[WeekIndex],89)&gt;0)&gt;0,SUMIFS(T_SelfStock[Self_Qty],T_SelfStock[RM_Code],$A11,T_SelfStock[WeekIndex],89)+SUMIFS(T_TTAFStock[TTAF_Qty],T_TTAFStock[RM_Code],$A11,T_TTAFStock[WeekIndex],89),CK11+'Grid_Incoming'!CL11-'Grid_Requirement'!CL11))</f>
        <v/>
      </c>
      <c r="CM11">
        <f>IF(COUNTIFS(T_StockCount[RM_Code],$A11,T_StockCount[WeekIndex],90)&gt;0,SUMIFS(T_StockCount[CountedQty],T_StockCount[RM_Code],$A11,T_StockCount[WeekIndex],90),IF((COUNTIFS(T_SelfStock[RM_Code],$A11,T_SelfStock[WeekIndex],90)&gt;0)*(COUNTIFS(T_TTAFStock[RM_Code],$A11,T_TTAFStock[WeekIndex],90)&gt;0)&gt;0,SUMIFS(T_SelfStock[Self_Qty],T_SelfStock[RM_Code],$A11,T_SelfStock[WeekIndex],90)+SUMIFS(T_TTAFStock[TTAF_Qty],T_TTAFStock[RM_Code],$A11,T_TTAFStock[WeekIndex],90),CL11+'Grid_Incoming'!CM11-'Grid_Requirement'!CM11))</f>
        <v/>
      </c>
      <c r="CN11">
        <f>IF(COUNTIFS(T_StockCount[RM_Code],$A11,T_StockCount[WeekIndex],91)&gt;0,SUMIFS(T_StockCount[CountedQty],T_StockCount[RM_Code],$A11,T_StockCount[WeekIndex],91),IF((COUNTIFS(T_SelfStock[RM_Code],$A11,T_SelfStock[WeekIndex],91)&gt;0)*(COUNTIFS(T_TTAFStock[RM_Code],$A11,T_TTAFStock[WeekIndex],91)&gt;0)&gt;0,SUMIFS(T_SelfStock[Self_Qty],T_SelfStock[RM_Code],$A11,T_SelfStock[WeekIndex],91)+SUMIFS(T_TTAFStock[TTAF_Qty],T_TTAFStock[RM_Code],$A11,T_TTAFStock[WeekIndex],91),CM11+'Grid_Incoming'!CN11-'Grid_Requirement'!CN11))</f>
        <v/>
      </c>
      <c r="CO11">
        <f>IF(COUNTIFS(T_StockCount[RM_Code],$A11,T_StockCount[WeekIndex],92)&gt;0,SUMIFS(T_StockCount[CountedQty],T_StockCount[RM_Code],$A11,T_StockCount[WeekIndex],92),IF((COUNTIFS(T_SelfStock[RM_Code],$A11,T_SelfStock[WeekIndex],92)&gt;0)*(COUNTIFS(T_TTAFStock[RM_Code],$A11,T_TTAFStock[WeekIndex],92)&gt;0)&gt;0,SUMIFS(T_SelfStock[Self_Qty],T_SelfStock[RM_Code],$A11,T_SelfStock[WeekIndex],92)+SUMIFS(T_TTAFStock[TTAF_Qty],T_TTAFStock[RM_Code],$A11,T_TTAFStock[WeekIndex],92),CN11+'Grid_Incoming'!CO11-'Grid_Requirement'!CO11))</f>
        <v/>
      </c>
      <c r="CP11">
        <f>IF(COUNTIFS(T_StockCount[RM_Code],$A11,T_StockCount[WeekIndex],93)&gt;0,SUMIFS(T_StockCount[CountedQty],T_StockCount[RM_Code],$A11,T_StockCount[WeekIndex],93),IF((COUNTIFS(T_SelfStock[RM_Code],$A11,T_SelfStock[WeekIndex],93)&gt;0)*(COUNTIFS(T_TTAFStock[RM_Code],$A11,T_TTAFStock[WeekIndex],93)&gt;0)&gt;0,SUMIFS(T_SelfStock[Self_Qty],T_SelfStock[RM_Code],$A11,T_SelfStock[WeekIndex],93)+SUMIFS(T_TTAFStock[TTAF_Qty],T_TTAFStock[RM_Code],$A11,T_TTAFStock[WeekIndex],93),CO11+'Grid_Incoming'!CP11-'Grid_Requirement'!CP11))</f>
        <v/>
      </c>
      <c r="CQ11">
        <f>IF(COUNTIFS(T_StockCount[RM_Code],$A11,T_StockCount[WeekIndex],94)&gt;0,SUMIFS(T_StockCount[CountedQty],T_StockCount[RM_Code],$A11,T_StockCount[WeekIndex],94),IF((COUNTIFS(T_SelfStock[RM_Code],$A11,T_SelfStock[WeekIndex],94)&gt;0)*(COUNTIFS(T_TTAFStock[RM_Code],$A11,T_TTAFStock[WeekIndex],94)&gt;0)&gt;0,SUMIFS(T_SelfStock[Self_Qty],T_SelfStock[RM_Code],$A11,T_SelfStock[WeekIndex],94)+SUMIFS(T_TTAFStock[TTAF_Qty],T_TTAFStock[RM_Code],$A11,T_TTAFStock[WeekIndex],94),CP11+'Grid_Incoming'!CQ11-'Grid_Requirement'!CQ11))</f>
        <v/>
      </c>
      <c r="CR11">
        <f>IF(COUNTIFS(T_StockCount[RM_Code],$A11,T_StockCount[WeekIndex],95)&gt;0,SUMIFS(T_StockCount[CountedQty],T_StockCount[RM_Code],$A11,T_StockCount[WeekIndex],95),IF((COUNTIFS(T_SelfStock[RM_Code],$A11,T_SelfStock[WeekIndex],95)&gt;0)*(COUNTIFS(T_TTAFStock[RM_Code],$A11,T_TTAFStock[WeekIndex],95)&gt;0)&gt;0,SUMIFS(T_SelfStock[Self_Qty],T_SelfStock[RM_Code],$A11,T_SelfStock[WeekIndex],95)+SUMIFS(T_TTAFStock[TTAF_Qty],T_TTAFStock[RM_Code],$A11,T_TTAFStock[WeekIndex],95),CQ11+'Grid_Incoming'!CR11-'Grid_Requirement'!CR11))</f>
        <v/>
      </c>
      <c r="CS11">
        <f>IF(COUNTIFS(T_StockCount[RM_Code],$A11,T_StockCount[WeekIndex],96)&gt;0,SUMIFS(T_StockCount[CountedQty],T_StockCount[RM_Code],$A11,T_StockCount[WeekIndex],96),IF((COUNTIFS(T_SelfStock[RM_Code],$A11,T_SelfStock[WeekIndex],96)&gt;0)*(COUNTIFS(T_TTAFStock[RM_Code],$A11,T_TTAFStock[WeekIndex],96)&gt;0)&gt;0,SUMIFS(T_SelfStock[Self_Qty],T_SelfStock[RM_Code],$A11,T_SelfStock[WeekIndex],96)+SUMIFS(T_TTAFStock[TTAF_Qty],T_TTAFStock[RM_Code],$A11,T_TTAFStock[WeekIndex],96),CR11+'Grid_Incoming'!CS11-'Grid_Requirement'!CS11))</f>
        <v/>
      </c>
      <c r="CT11">
        <f>IF(COUNTIFS(T_StockCount[RM_Code],$A11,T_StockCount[WeekIndex],97)&gt;0,SUMIFS(T_StockCount[CountedQty],T_StockCount[RM_Code],$A11,T_StockCount[WeekIndex],97),IF((COUNTIFS(T_SelfStock[RM_Code],$A11,T_SelfStock[WeekIndex],97)&gt;0)*(COUNTIFS(T_TTAFStock[RM_Code],$A11,T_TTAFStock[WeekIndex],97)&gt;0)&gt;0,SUMIFS(T_SelfStock[Self_Qty],T_SelfStock[RM_Code],$A11,T_SelfStock[WeekIndex],97)+SUMIFS(T_TTAFStock[TTAF_Qty],T_TTAFStock[RM_Code],$A11,T_TTAFStock[WeekIndex],97),CS11+'Grid_Incoming'!CT11-'Grid_Requirement'!CT11))</f>
        <v/>
      </c>
      <c r="CU11">
        <f>IF(COUNTIFS(T_StockCount[RM_Code],$A11,T_StockCount[WeekIndex],98)&gt;0,SUMIFS(T_StockCount[CountedQty],T_StockCount[RM_Code],$A11,T_StockCount[WeekIndex],98),IF((COUNTIFS(T_SelfStock[RM_Code],$A11,T_SelfStock[WeekIndex],98)&gt;0)*(COUNTIFS(T_TTAFStock[RM_Code],$A11,T_TTAFStock[WeekIndex],98)&gt;0)&gt;0,SUMIFS(T_SelfStock[Self_Qty],T_SelfStock[RM_Code],$A11,T_SelfStock[WeekIndex],98)+SUMIFS(T_TTAFStock[TTAF_Qty],T_TTAFStock[RM_Code],$A11,T_TTAFStock[WeekIndex],98),CT11+'Grid_Incoming'!CU11-'Grid_Requirement'!CU11))</f>
        <v/>
      </c>
      <c r="CV11">
        <f>IF(COUNTIFS(T_StockCount[RM_Code],$A11,T_StockCount[WeekIndex],99)&gt;0,SUMIFS(T_StockCount[CountedQty],T_StockCount[RM_Code],$A11,T_StockCount[WeekIndex],99),IF((COUNTIFS(T_SelfStock[RM_Code],$A11,T_SelfStock[WeekIndex],99)&gt;0)*(COUNTIFS(T_TTAFStock[RM_Code],$A11,T_TTAFStock[WeekIndex],99)&gt;0)&gt;0,SUMIFS(T_SelfStock[Self_Qty],T_SelfStock[RM_Code],$A11,T_SelfStock[WeekIndex],99)+SUMIFS(T_TTAFStock[TTAF_Qty],T_TTAFStock[RM_Code],$A11,T_TTAFStock[WeekIndex],99),CU11+'Grid_Incoming'!CV11-'Grid_Requirement'!CV11))</f>
        <v/>
      </c>
      <c r="CW11">
        <f>IF(COUNTIFS(T_StockCount[RM_Code],$A11,T_StockCount[WeekIndex],100)&gt;0,SUMIFS(T_StockCount[CountedQty],T_StockCount[RM_Code],$A11,T_StockCount[WeekIndex],100),IF((COUNTIFS(T_SelfStock[RM_Code],$A11,T_SelfStock[WeekIndex],100)&gt;0)*(COUNTIFS(T_TTAFStock[RM_Code],$A11,T_TTAFStock[WeekIndex],100)&gt;0)&gt;0,SUMIFS(T_SelfStock[Self_Qty],T_SelfStock[RM_Code],$A11,T_SelfStock[WeekIndex],100)+SUMIFS(T_TTAFStock[TTAF_Qty],T_TTAFStock[RM_Code],$A11,T_TTAFStock[WeekIndex],100),CV11+'Grid_Incoming'!CW11-'Grid_Requirement'!CW11))</f>
        <v/>
      </c>
      <c r="CX11">
        <f>IF(COUNTIFS(T_StockCount[RM_Code],$A11,T_StockCount[WeekIndex],101)&gt;0,SUMIFS(T_StockCount[CountedQty],T_StockCount[RM_Code],$A11,T_StockCount[WeekIndex],101),IF((COUNTIFS(T_SelfStock[RM_Code],$A11,T_SelfStock[WeekIndex],101)&gt;0)*(COUNTIFS(T_TTAFStock[RM_Code],$A11,T_TTAFStock[WeekIndex],101)&gt;0)&gt;0,SUMIFS(T_SelfStock[Self_Qty],T_SelfStock[RM_Code],$A11,T_SelfStock[WeekIndex],101)+SUMIFS(T_TTAFStock[TTAF_Qty],T_TTAFStock[RM_Code],$A11,T_TTAFStock[WeekIndex],101),CW11+'Grid_Incoming'!CX11-'Grid_Requirement'!CX11))</f>
        <v/>
      </c>
      <c r="CY11">
        <f>IF(COUNTIFS(T_StockCount[RM_Code],$A11,T_StockCount[WeekIndex],102)&gt;0,SUMIFS(T_StockCount[CountedQty],T_StockCount[RM_Code],$A11,T_StockCount[WeekIndex],102),IF((COUNTIFS(T_SelfStock[RM_Code],$A11,T_SelfStock[WeekIndex],102)&gt;0)*(COUNTIFS(T_TTAFStock[RM_Code],$A11,T_TTAFStock[WeekIndex],102)&gt;0)&gt;0,SUMIFS(T_SelfStock[Self_Qty],T_SelfStock[RM_Code],$A11,T_SelfStock[WeekIndex],102)+SUMIFS(T_TTAFStock[TTAF_Qty],T_TTAFStock[RM_Code],$A11,T_TTAFStock[WeekIndex],102),CX11+'Grid_Incoming'!CY11-'Grid_Requirement'!CY11))</f>
        <v/>
      </c>
      <c r="CZ11">
        <f>IF(COUNTIFS(T_StockCount[RM_Code],$A11,T_StockCount[WeekIndex],103)&gt;0,SUMIFS(T_StockCount[CountedQty],T_StockCount[RM_Code],$A11,T_StockCount[WeekIndex],103),IF((COUNTIFS(T_SelfStock[RM_Code],$A11,T_SelfStock[WeekIndex],103)&gt;0)*(COUNTIFS(T_TTAFStock[RM_Code],$A11,T_TTAFStock[WeekIndex],103)&gt;0)&gt;0,SUMIFS(T_SelfStock[Self_Qty],T_SelfStock[RM_Code],$A11,T_SelfStock[WeekIndex],103)+SUMIFS(T_TTAFStock[TTAF_Qty],T_TTAFStock[RM_Code],$A11,T_TTAFStock[WeekIndex],103),CY11+'Grid_Incoming'!CZ11-'Grid_Requirement'!CZ11))</f>
        <v/>
      </c>
      <c r="DA11">
        <f>IF(COUNTIFS(T_StockCount[RM_Code],$A11,T_StockCount[WeekIndex],104)&gt;0,SUMIFS(T_StockCount[CountedQty],T_StockCount[RM_Code],$A11,T_StockCount[WeekIndex],104),IF((COUNTIFS(T_SelfStock[RM_Code],$A11,T_SelfStock[WeekIndex],104)&gt;0)*(COUNTIFS(T_TTAFStock[RM_Code],$A11,T_TTAFStock[WeekIndex],104)&gt;0)&gt;0,SUMIFS(T_SelfStock[Self_Qty],T_SelfStock[RM_Code],$A11,T_SelfStock[WeekIndex],104)+SUMIFS(T_TTAFStock[TTAF_Qty],T_TTAFStock[RM_Code],$A11,T_TTAFStock[WeekIndex],104),CZ11+'Grid_Incoming'!DA11-'Grid_Requirement'!DA11))</f>
        <v/>
      </c>
    </row>
    <row r="12">
      <c r="A12" t="inlineStr">
        <is>
          <t>4HL</t>
        </is>
      </c>
      <c r="B12">
        <f>IF(COUNTIFS(T_StockCount[RM_Code],$A12,T_StockCount[WeekIndex],1)&gt;0,SUMIFS(T_StockCount[CountedQty],T_StockCount[RM_Code],$A12,T_StockCount[WeekIndex],1),IF((COUNTIFS(T_SelfStock[RM_Code],$A12,T_SelfStock[WeekIndex],1)&gt;0)*(COUNTIFS(T_TTAFStock[RM_Code],$A12,T_TTAFStock[WeekIndex],1)&gt;0)&gt;0,SUMIFS(T_SelfStock[Self_Qty],T_SelfStock[RM_Code],$A12,T_SelfStock[WeekIndex],1)+SUMIFS(T_TTAFStock[TTAF_Qty],T_TTAFStock[RM_Code],$A12,T_TTAFStock[WeekIndex],1),IFERROR(INDEX(T_OpeningStock[Opening_Qty],MATCH($A12,T_OpeningStock[RM_Code],0)),0)+'Grid_Incoming'!B12-'Grid_Requirement'!B12))</f>
        <v/>
      </c>
      <c r="C12">
        <f>IF(COUNTIFS(T_StockCount[RM_Code],$A12,T_StockCount[WeekIndex],2)&gt;0,SUMIFS(T_StockCount[CountedQty],T_StockCount[RM_Code],$A12,T_StockCount[WeekIndex],2),IF((COUNTIFS(T_SelfStock[RM_Code],$A12,T_SelfStock[WeekIndex],2)&gt;0)*(COUNTIFS(T_TTAFStock[RM_Code],$A12,T_TTAFStock[WeekIndex],2)&gt;0)&gt;0,SUMIFS(T_SelfStock[Self_Qty],T_SelfStock[RM_Code],$A12,T_SelfStock[WeekIndex],2)+SUMIFS(T_TTAFStock[TTAF_Qty],T_TTAFStock[RM_Code],$A12,T_TTAFStock[WeekIndex],2),B12+'Grid_Incoming'!C12-'Grid_Requirement'!C12))</f>
        <v/>
      </c>
      <c r="D12">
        <f>IF(COUNTIFS(T_StockCount[RM_Code],$A12,T_StockCount[WeekIndex],3)&gt;0,SUMIFS(T_StockCount[CountedQty],T_StockCount[RM_Code],$A12,T_StockCount[WeekIndex],3),IF((COUNTIFS(T_SelfStock[RM_Code],$A12,T_SelfStock[WeekIndex],3)&gt;0)*(COUNTIFS(T_TTAFStock[RM_Code],$A12,T_TTAFStock[WeekIndex],3)&gt;0)&gt;0,SUMIFS(T_SelfStock[Self_Qty],T_SelfStock[RM_Code],$A12,T_SelfStock[WeekIndex],3)+SUMIFS(T_TTAFStock[TTAF_Qty],T_TTAFStock[RM_Code],$A12,T_TTAFStock[WeekIndex],3),C12+'Grid_Incoming'!D12-'Grid_Requirement'!D12))</f>
        <v/>
      </c>
      <c r="E12">
        <f>IF(COUNTIFS(T_StockCount[RM_Code],$A12,T_StockCount[WeekIndex],4)&gt;0,SUMIFS(T_StockCount[CountedQty],T_StockCount[RM_Code],$A12,T_StockCount[WeekIndex],4),IF((COUNTIFS(T_SelfStock[RM_Code],$A12,T_SelfStock[WeekIndex],4)&gt;0)*(COUNTIFS(T_TTAFStock[RM_Code],$A12,T_TTAFStock[WeekIndex],4)&gt;0)&gt;0,SUMIFS(T_SelfStock[Self_Qty],T_SelfStock[RM_Code],$A12,T_SelfStock[WeekIndex],4)+SUMIFS(T_TTAFStock[TTAF_Qty],T_TTAFStock[RM_Code],$A12,T_TTAFStock[WeekIndex],4),D12+'Grid_Incoming'!E12-'Grid_Requirement'!E12))</f>
        <v/>
      </c>
      <c r="F12">
        <f>IF(COUNTIFS(T_StockCount[RM_Code],$A12,T_StockCount[WeekIndex],5)&gt;0,SUMIFS(T_StockCount[CountedQty],T_StockCount[RM_Code],$A12,T_StockCount[WeekIndex],5),IF((COUNTIFS(T_SelfStock[RM_Code],$A12,T_SelfStock[WeekIndex],5)&gt;0)*(COUNTIFS(T_TTAFStock[RM_Code],$A12,T_TTAFStock[WeekIndex],5)&gt;0)&gt;0,SUMIFS(T_SelfStock[Self_Qty],T_SelfStock[RM_Code],$A12,T_SelfStock[WeekIndex],5)+SUMIFS(T_TTAFStock[TTAF_Qty],T_TTAFStock[RM_Code],$A12,T_TTAFStock[WeekIndex],5),E12+'Grid_Incoming'!F12-'Grid_Requirement'!F12))</f>
        <v/>
      </c>
      <c r="G12">
        <f>IF(COUNTIFS(T_StockCount[RM_Code],$A12,T_StockCount[WeekIndex],6)&gt;0,SUMIFS(T_StockCount[CountedQty],T_StockCount[RM_Code],$A12,T_StockCount[WeekIndex],6),IF((COUNTIFS(T_SelfStock[RM_Code],$A12,T_SelfStock[WeekIndex],6)&gt;0)*(COUNTIFS(T_TTAFStock[RM_Code],$A12,T_TTAFStock[WeekIndex],6)&gt;0)&gt;0,SUMIFS(T_SelfStock[Self_Qty],T_SelfStock[RM_Code],$A12,T_SelfStock[WeekIndex],6)+SUMIFS(T_TTAFStock[TTAF_Qty],T_TTAFStock[RM_Code],$A12,T_TTAFStock[WeekIndex],6),F12+'Grid_Incoming'!G12-'Grid_Requirement'!G12))</f>
        <v/>
      </c>
      <c r="H12">
        <f>IF(COUNTIFS(T_StockCount[RM_Code],$A12,T_StockCount[WeekIndex],7)&gt;0,SUMIFS(T_StockCount[CountedQty],T_StockCount[RM_Code],$A12,T_StockCount[WeekIndex],7),IF((COUNTIFS(T_SelfStock[RM_Code],$A12,T_SelfStock[WeekIndex],7)&gt;0)*(COUNTIFS(T_TTAFStock[RM_Code],$A12,T_TTAFStock[WeekIndex],7)&gt;0)&gt;0,SUMIFS(T_SelfStock[Self_Qty],T_SelfStock[RM_Code],$A12,T_SelfStock[WeekIndex],7)+SUMIFS(T_TTAFStock[TTAF_Qty],T_TTAFStock[RM_Code],$A12,T_TTAFStock[WeekIndex],7),G12+'Grid_Incoming'!H12-'Grid_Requirement'!H12))</f>
        <v/>
      </c>
      <c r="I12">
        <f>IF(COUNTIFS(T_StockCount[RM_Code],$A12,T_StockCount[WeekIndex],8)&gt;0,SUMIFS(T_StockCount[CountedQty],T_StockCount[RM_Code],$A12,T_StockCount[WeekIndex],8),IF((COUNTIFS(T_SelfStock[RM_Code],$A12,T_SelfStock[WeekIndex],8)&gt;0)*(COUNTIFS(T_TTAFStock[RM_Code],$A12,T_TTAFStock[WeekIndex],8)&gt;0)&gt;0,SUMIFS(T_SelfStock[Self_Qty],T_SelfStock[RM_Code],$A12,T_SelfStock[WeekIndex],8)+SUMIFS(T_TTAFStock[TTAF_Qty],T_TTAFStock[RM_Code],$A12,T_TTAFStock[WeekIndex],8),H12+'Grid_Incoming'!I12-'Grid_Requirement'!I12))</f>
        <v/>
      </c>
      <c r="J12">
        <f>IF(COUNTIFS(T_StockCount[RM_Code],$A12,T_StockCount[WeekIndex],9)&gt;0,SUMIFS(T_StockCount[CountedQty],T_StockCount[RM_Code],$A12,T_StockCount[WeekIndex],9),IF((COUNTIFS(T_SelfStock[RM_Code],$A12,T_SelfStock[WeekIndex],9)&gt;0)*(COUNTIFS(T_TTAFStock[RM_Code],$A12,T_TTAFStock[WeekIndex],9)&gt;0)&gt;0,SUMIFS(T_SelfStock[Self_Qty],T_SelfStock[RM_Code],$A12,T_SelfStock[WeekIndex],9)+SUMIFS(T_TTAFStock[TTAF_Qty],T_TTAFStock[RM_Code],$A12,T_TTAFStock[WeekIndex],9),I12+'Grid_Incoming'!J12-'Grid_Requirement'!J12))</f>
        <v/>
      </c>
      <c r="K12">
        <f>IF(COUNTIFS(T_StockCount[RM_Code],$A12,T_StockCount[WeekIndex],10)&gt;0,SUMIFS(T_StockCount[CountedQty],T_StockCount[RM_Code],$A12,T_StockCount[WeekIndex],10),IF((COUNTIFS(T_SelfStock[RM_Code],$A12,T_SelfStock[WeekIndex],10)&gt;0)*(COUNTIFS(T_TTAFStock[RM_Code],$A12,T_TTAFStock[WeekIndex],10)&gt;0)&gt;0,SUMIFS(T_SelfStock[Self_Qty],T_SelfStock[RM_Code],$A12,T_SelfStock[WeekIndex],10)+SUMIFS(T_TTAFStock[TTAF_Qty],T_TTAFStock[RM_Code],$A12,T_TTAFStock[WeekIndex],10),J12+'Grid_Incoming'!K12-'Grid_Requirement'!K12))</f>
        <v/>
      </c>
      <c r="L12">
        <f>IF(COUNTIFS(T_StockCount[RM_Code],$A12,T_StockCount[WeekIndex],11)&gt;0,SUMIFS(T_StockCount[CountedQty],T_StockCount[RM_Code],$A12,T_StockCount[WeekIndex],11),IF((COUNTIFS(T_SelfStock[RM_Code],$A12,T_SelfStock[WeekIndex],11)&gt;0)*(COUNTIFS(T_TTAFStock[RM_Code],$A12,T_TTAFStock[WeekIndex],11)&gt;0)&gt;0,SUMIFS(T_SelfStock[Self_Qty],T_SelfStock[RM_Code],$A12,T_SelfStock[WeekIndex],11)+SUMIFS(T_TTAFStock[TTAF_Qty],T_TTAFStock[RM_Code],$A12,T_TTAFStock[WeekIndex],11),K12+'Grid_Incoming'!L12-'Grid_Requirement'!L12))</f>
        <v/>
      </c>
      <c r="M12">
        <f>IF(COUNTIFS(T_StockCount[RM_Code],$A12,T_StockCount[WeekIndex],12)&gt;0,SUMIFS(T_StockCount[CountedQty],T_StockCount[RM_Code],$A12,T_StockCount[WeekIndex],12),IF((COUNTIFS(T_SelfStock[RM_Code],$A12,T_SelfStock[WeekIndex],12)&gt;0)*(COUNTIFS(T_TTAFStock[RM_Code],$A12,T_TTAFStock[WeekIndex],12)&gt;0)&gt;0,SUMIFS(T_SelfStock[Self_Qty],T_SelfStock[RM_Code],$A12,T_SelfStock[WeekIndex],12)+SUMIFS(T_TTAFStock[TTAF_Qty],T_TTAFStock[RM_Code],$A12,T_TTAFStock[WeekIndex],12),L12+'Grid_Incoming'!M12-'Grid_Requirement'!M12))</f>
        <v/>
      </c>
      <c r="N12">
        <f>IF(COUNTIFS(T_StockCount[RM_Code],$A12,T_StockCount[WeekIndex],13)&gt;0,SUMIFS(T_StockCount[CountedQty],T_StockCount[RM_Code],$A12,T_StockCount[WeekIndex],13),IF((COUNTIFS(T_SelfStock[RM_Code],$A12,T_SelfStock[WeekIndex],13)&gt;0)*(COUNTIFS(T_TTAFStock[RM_Code],$A12,T_TTAFStock[WeekIndex],13)&gt;0)&gt;0,SUMIFS(T_SelfStock[Self_Qty],T_SelfStock[RM_Code],$A12,T_SelfStock[WeekIndex],13)+SUMIFS(T_TTAFStock[TTAF_Qty],T_TTAFStock[RM_Code],$A12,T_TTAFStock[WeekIndex],13),M12+'Grid_Incoming'!N12-'Grid_Requirement'!N12))</f>
        <v/>
      </c>
      <c r="O12">
        <f>IF(COUNTIFS(T_StockCount[RM_Code],$A12,T_StockCount[WeekIndex],14)&gt;0,SUMIFS(T_StockCount[CountedQty],T_StockCount[RM_Code],$A12,T_StockCount[WeekIndex],14),IF((COUNTIFS(T_SelfStock[RM_Code],$A12,T_SelfStock[WeekIndex],14)&gt;0)*(COUNTIFS(T_TTAFStock[RM_Code],$A12,T_TTAFStock[WeekIndex],14)&gt;0)&gt;0,SUMIFS(T_SelfStock[Self_Qty],T_SelfStock[RM_Code],$A12,T_SelfStock[WeekIndex],14)+SUMIFS(T_TTAFStock[TTAF_Qty],T_TTAFStock[RM_Code],$A12,T_TTAFStock[WeekIndex],14),N12+'Grid_Incoming'!O12-'Grid_Requirement'!O12))</f>
        <v/>
      </c>
      <c r="P12">
        <f>IF(COUNTIFS(T_StockCount[RM_Code],$A12,T_StockCount[WeekIndex],15)&gt;0,SUMIFS(T_StockCount[CountedQty],T_StockCount[RM_Code],$A12,T_StockCount[WeekIndex],15),IF((COUNTIFS(T_SelfStock[RM_Code],$A12,T_SelfStock[WeekIndex],15)&gt;0)*(COUNTIFS(T_TTAFStock[RM_Code],$A12,T_TTAFStock[WeekIndex],15)&gt;0)&gt;0,SUMIFS(T_SelfStock[Self_Qty],T_SelfStock[RM_Code],$A12,T_SelfStock[WeekIndex],15)+SUMIFS(T_TTAFStock[TTAF_Qty],T_TTAFStock[RM_Code],$A12,T_TTAFStock[WeekIndex],15),O12+'Grid_Incoming'!P12-'Grid_Requirement'!P12))</f>
        <v/>
      </c>
      <c r="Q12">
        <f>IF(COUNTIFS(T_StockCount[RM_Code],$A12,T_StockCount[WeekIndex],16)&gt;0,SUMIFS(T_StockCount[CountedQty],T_StockCount[RM_Code],$A12,T_StockCount[WeekIndex],16),IF((COUNTIFS(T_SelfStock[RM_Code],$A12,T_SelfStock[WeekIndex],16)&gt;0)*(COUNTIFS(T_TTAFStock[RM_Code],$A12,T_TTAFStock[WeekIndex],16)&gt;0)&gt;0,SUMIFS(T_SelfStock[Self_Qty],T_SelfStock[RM_Code],$A12,T_SelfStock[WeekIndex],16)+SUMIFS(T_TTAFStock[TTAF_Qty],T_TTAFStock[RM_Code],$A12,T_TTAFStock[WeekIndex],16),P12+'Grid_Incoming'!Q12-'Grid_Requirement'!Q12))</f>
        <v/>
      </c>
      <c r="R12">
        <f>IF(COUNTIFS(T_StockCount[RM_Code],$A12,T_StockCount[WeekIndex],17)&gt;0,SUMIFS(T_StockCount[CountedQty],T_StockCount[RM_Code],$A12,T_StockCount[WeekIndex],17),IF((COUNTIFS(T_SelfStock[RM_Code],$A12,T_SelfStock[WeekIndex],17)&gt;0)*(COUNTIFS(T_TTAFStock[RM_Code],$A12,T_TTAFStock[WeekIndex],17)&gt;0)&gt;0,SUMIFS(T_SelfStock[Self_Qty],T_SelfStock[RM_Code],$A12,T_SelfStock[WeekIndex],17)+SUMIFS(T_TTAFStock[TTAF_Qty],T_TTAFStock[RM_Code],$A12,T_TTAFStock[WeekIndex],17),Q12+'Grid_Incoming'!R12-'Grid_Requirement'!R12))</f>
        <v/>
      </c>
      <c r="S12">
        <f>IF(COUNTIFS(T_StockCount[RM_Code],$A12,T_StockCount[WeekIndex],18)&gt;0,SUMIFS(T_StockCount[CountedQty],T_StockCount[RM_Code],$A12,T_StockCount[WeekIndex],18),IF((COUNTIFS(T_SelfStock[RM_Code],$A12,T_SelfStock[WeekIndex],18)&gt;0)*(COUNTIFS(T_TTAFStock[RM_Code],$A12,T_TTAFStock[WeekIndex],18)&gt;0)&gt;0,SUMIFS(T_SelfStock[Self_Qty],T_SelfStock[RM_Code],$A12,T_SelfStock[WeekIndex],18)+SUMIFS(T_TTAFStock[TTAF_Qty],T_TTAFStock[RM_Code],$A12,T_TTAFStock[WeekIndex],18),R12+'Grid_Incoming'!S12-'Grid_Requirement'!S12))</f>
        <v/>
      </c>
      <c r="T12">
        <f>IF(COUNTIFS(T_StockCount[RM_Code],$A12,T_StockCount[WeekIndex],19)&gt;0,SUMIFS(T_StockCount[CountedQty],T_StockCount[RM_Code],$A12,T_StockCount[WeekIndex],19),IF((COUNTIFS(T_SelfStock[RM_Code],$A12,T_SelfStock[WeekIndex],19)&gt;0)*(COUNTIFS(T_TTAFStock[RM_Code],$A12,T_TTAFStock[WeekIndex],19)&gt;0)&gt;0,SUMIFS(T_SelfStock[Self_Qty],T_SelfStock[RM_Code],$A12,T_SelfStock[WeekIndex],19)+SUMIFS(T_TTAFStock[TTAF_Qty],T_TTAFStock[RM_Code],$A12,T_TTAFStock[WeekIndex],19),S12+'Grid_Incoming'!T12-'Grid_Requirement'!T12))</f>
        <v/>
      </c>
      <c r="U12">
        <f>IF(COUNTIFS(T_StockCount[RM_Code],$A12,T_StockCount[WeekIndex],20)&gt;0,SUMIFS(T_StockCount[CountedQty],T_StockCount[RM_Code],$A12,T_StockCount[WeekIndex],20),IF((COUNTIFS(T_SelfStock[RM_Code],$A12,T_SelfStock[WeekIndex],20)&gt;0)*(COUNTIFS(T_TTAFStock[RM_Code],$A12,T_TTAFStock[WeekIndex],20)&gt;0)&gt;0,SUMIFS(T_SelfStock[Self_Qty],T_SelfStock[RM_Code],$A12,T_SelfStock[WeekIndex],20)+SUMIFS(T_TTAFStock[TTAF_Qty],T_TTAFStock[RM_Code],$A12,T_TTAFStock[WeekIndex],20),T12+'Grid_Incoming'!U12-'Grid_Requirement'!U12))</f>
        <v/>
      </c>
      <c r="V12">
        <f>IF(COUNTIFS(T_StockCount[RM_Code],$A12,T_StockCount[WeekIndex],21)&gt;0,SUMIFS(T_StockCount[CountedQty],T_StockCount[RM_Code],$A12,T_StockCount[WeekIndex],21),IF((COUNTIFS(T_SelfStock[RM_Code],$A12,T_SelfStock[WeekIndex],21)&gt;0)*(COUNTIFS(T_TTAFStock[RM_Code],$A12,T_TTAFStock[WeekIndex],21)&gt;0)&gt;0,SUMIFS(T_SelfStock[Self_Qty],T_SelfStock[RM_Code],$A12,T_SelfStock[WeekIndex],21)+SUMIFS(T_TTAFStock[TTAF_Qty],T_TTAFStock[RM_Code],$A12,T_TTAFStock[WeekIndex],21),U12+'Grid_Incoming'!V12-'Grid_Requirement'!V12))</f>
        <v/>
      </c>
      <c r="W12">
        <f>IF(COUNTIFS(T_StockCount[RM_Code],$A12,T_StockCount[WeekIndex],22)&gt;0,SUMIFS(T_StockCount[CountedQty],T_StockCount[RM_Code],$A12,T_StockCount[WeekIndex],22),IF((COUNTIFS(T_SelfStock[RM_Code],$A12,T_SelfStock[WeekIndex],22)&gt;0)*(COUNTIFS(T_TTAFStock[RM_Code],$A12,T_TTAFStock[WeekIndex],22)&gt;0)&gt;0,SUMIFS(T_SelfStock[Self_Qty],T_SelfStock[RM_Code],$A12,T_SelfStock[WeekIndex],22)+SUMIFS(T_TTAFStock[TTAF_Qty],T_TTAFStock[RM_Code],$A12,T_TTAFStock[WeekIndex],22),V12+'Grid_Incoming'!W12-'Grid_Requirement'!W12))</f>
        <v/>
      </c>
      <c r="X12">
        <f>IF(COUNTIFS(T_StockCount[RM_Code],$A12,T_StockCount[WeekIndex],23)&gt;0,SUMIFS(T_StockCount[CountedQty],T_StockCount[RM_Code],$A12,T_StockCount[WeekIndex],23),IF((COUNTIFS(T_SelfStock[RM_Code],$A12,T_SelfStock[WeekIndex],23)&gt;0)*(COUNTIFS(T_TTAFStock[RM_Code],$A12,T_TTAFStock[WeekIndex],23)&gt;0)&gt;0,SUMIFS(T_SelfStock[Self_Qty],T_SelfStock[RM_Code],$A12,T_SelfStock[WeekIndex],23)+SUMIFS(T_TTAFStock[TTAF_Qty],T_TTAFStock[RM_Code],$A12,T_TTAFStock[WeekIndex],23),W12+'Grid_Incoming'!X12-'Grid_Requirement'!X12))</f>
        <v/>
      </c>
      <c r="Y12">
        <f>IF(COUNTIFS(T_StockCount[RM_Code],$A12,T_StockCount[WeekIndex],24)&gt;0,SUMIFS(T_StockCount[CountedQty],T_StockCount[RM_Code],$A12,T_StockCount[WeekIndex],24),IF((COUNTIFS(T_SelfStock[RM_Code],$A12,T_SelfStock[WeekIndex],24)&gt;0)*(COUNTIFS(T_TTAFStock[RM_Code],$A12,T_TTAFStock[WeekIndex],24)&gt;0)&gt;0,SUMIFS(T_SelfStock[Self_Qty],T_SelfStock[RM_Code],$A12,T_SelfStock[WeekIndex],24)+SUMIFS(T_TTAFStock[TTAF_Qty],T_TTAFStock[RM_Code],$A12,T_TTAFStock[WeekIndex],24),X12+'Grid_Incoming'!Y12-'Grid_Requirement'!Y12))</f>
        <v/>
      </c>
      <c r="Z12">
        <f>IF(COUNTIFS(T_StockCount[RM_Code],$A12,T_StockCount[WeekIndex],25)&gt;0,SUMIFS(T_StockCount[CountedQty],T_StockCount[RM_Code],$A12,T_StockCount[WeekIndex],25),IF((COUNTIFS(T_SelfStock[RM_Code],$A12,T_SelfStock[WeekIndex],25)&gt;0)*(COUNTIFS(T_TTAFStock[RM_Code],$A12,T_TTAFStock[WeekIndex],25)&gt;0)&gt;0,SUMIFS(T_SelfStock[Self_Qty],T_SelfStock[RM_Code],$A12,T_SelfStock[WeekIndex],25)+SUMIFS(T_TTAFStock[TTAF_Qty],T_TTAFStock[RM_Code],$A12,T_TTAFStock[WeekIndex],25),Y12+'Grid_Incoming'!Z12-'Grid_Requirement'!Z12))</f>
        <v/>
      </c>
      <c r="AA12">
        <f>IF(COUNTIFS(T_StockCount[RM_Code],$A12,T_StockCount[WeekIndex],26)&gt;0,SUMIFS(T_StockCount[CountedQty],T_StockCount[RM_Code],$A12,T_StockCount[WeekIndex],26),IF((COUNTIFS(T_SelfStock[RM_Code],$A12,T_SelfStock[WeekIndex],26)&gt;0)*(COUNTIFS(T_TTAFStock[RM_Code],$A12,T_TTAFStock[WeekIndex],26)&gt;0)&gt;0,SUMIFS(T_SelfStock[Self_Qty],T_SelfStock[RM_Code],$A12,T_SelfStock[WeekIndex],26)+SUMIFS(T_TTAFStock[TTAF_Qty],T_TTAFStock[RM_Code],$A12,T_TTAFStock[WeekIndex],26),Z12+'Grid_Incoming'!AA12-'Grid_Requirement'!AA12))</f>
        <v/>
      </c>
      <c r="AB12">
        <f>IF(COUNTIFS(T_StockCount[RM_Code],$A12,T_StockCount[WeekIndex],27)&gt;0,SUMIFS(T_StockCount[CountedQty],T_StockCount[RM_Code],$A12,T_StockCount[WeekIndex],27),IF((COUNTIFS(T_SelfStock[RM_Code],$A12,T_SelfStock[WeekIndex],27)&gt;0)*(COUNTIFS(T_TTAFStock[RM_Code],$A12,T_TTAFStock[WeekIndex],27)&gt;0)&gt;0,SUMIFS(T_SelfStock[Self_Qty],T_SelfStock[RM_Code],$A12,T_SelfStock[WeekIndex],27)+SUMIFS(T_TTAFStock[TTAF_Qty],T_TTAFStock[RM_Code],$A12,T_TTAFStock[WeekIndex],27),AA12+'Grid_Incoming'!AB12-'Grid_Requirement'!AB12))</f>
        <v/>
      </c>
      <c r="AC12">
        <f>IF(COUNTIFS(T_StockCount[RM_Code],$A12,T_StockCount[WeekIndex],28)&gt;0,SUMIFS(T_StockCount[CountedQty],T_StockCount[RM_Code],$A12,T_StockCount[WeekIndex],28),IF((COUNTIFS(T_SelfStock[RM_Code],$A12,T_SelfStock[WeekIndex],28)&gt;0)*(COUNTIFS(T_TTAFStock[RM_Code],$A12,T_TTAFStock[WeekIndex],28)&gt;0)&gt;0,SUMIFS(T_SelfStock[Self_Qty],T_SelfStock[RM_Code],$A12,T_SelfStock[WeekIndex],28)+SUMIFS(T_TTAFStock[TTAF_Qty],T_TTAFStock[RM_Code],$A12,T_TTAFStock[WeekIndex],28),AB12+'Grid_Incoming'!AC12-'Grid_Requirement'!AC12))</f>
        <v/>
      </c>
      <c r="AD12">
        <f>IF(COUNTIFS(T_StockCount[RM_Code],$A12,T_StockCount[WeekIndex],29)&gt;0,SUMIFS(T_StockCount[CountedQty],T_StockCount[RM_Code],$A12,T_StockCount[WeekIndex],29),IF((COUNTIFS(T_SelfStock[RM_Code],$A12,T_SelfStock[WeekIndex],29)&gt;0)*(COUNTIFS(T_TTAFStock[RM_Code],$A12,T_TTAFStock[WeekIndex],29)&gt;0)&gt;0,SUMIFS(T_SelfStock[Self_Qty],T_SelfStock[RM_Code],$A12,T_SelfStock[WeekIndex],29)+SUMIFS(T_TTAFStock[TTAF_Qty],T_TTAFStock[RM_Code],$A12,T_TTAFStock[WeekIndex],29),AC12+'Grid_Incoming'!AD12-'Grid_Requirement'!AD12))</f>
        <v/>
      </c>
      <c r="AE12">
        <f>IF(COUNTIFS(T_StockCount[RM_Code],$A12,T_StockCount[WeekIndex],30)&gt;0,SUMIFS(T_StockCount[CountedQty],T_StockCount[RM_Code],$A12,T_StockCount[WeekIndex],30),IF((COUNTIFS(T_SelfStock[RM_Code],$A12,T_SelfStock[WeekIndex],30)&gt;0)*(COUNTIFS(T_TTAFStock[RM_Code],$A12,T_TTAFStock[WeekIndex],30)&gt;0)&gt;0,SUMIFS(T_SelfStock[Self_Qty],T_SelfStock[RM_Code],$A12,T_SelfStock[WeekIndex],30)+SUMIFS(T_TTAFStock[TTAF_Qty],T_TTAFStock[RM_Code],$A12,T_TTAFStock[WeekIndex],30),AD12+'Grid_Incoming'!AE12-'Grid_Requirement'!AE12))</f>
        <v/>
      </c>
      <c r="AF12">
        <f>IF(COUNTIFS(T_StockCount[RM_Code],$A12,T_StockCount[WeekIndex],31)&gt;0,SUMIFS(T_StockCount[CountedQty],T_StockCount[RM_Code],$A12,T_StockCount[WeekIndex],31),IF((COUNTIFS(T_SelfStock[RM_Code],$A12,T_SelfStock[WeekIndex],31)&gt;0)*(COUNTIFS(T_TTAFStock[RM_Code],$A12,T_TTAFStock[WeekIndex],31)&gt;0)&gt;0,SUMIFS(T_SelfStock[Self_Qty],T_SelfStock[RM_Code],$A12,T_SelfStock[WeekIndex],31)+SUMIFS(T_TTAFStock[TTAF_Qty],T_TTAFStock[RM_Code],$A12,T_TTAFStock[WeekIndex],31),AE12+'Grid_Incoming'!AF12-'Grid_Requirement'!AF12))</f>
        <v/>
      </c>
      <c r="AG12">
        <f>IF(COUNTIFS(T_StockCount[RM_Code],$A12,T_StockCount[WeekIndex],32)&gt;0,SUMIFS(T_StockCount[CountedQty],T_StockCount[RM_Code],$A12,T_StockCount[WeekIndex],32),IF((COUNTIFS(T_SelfStock[RM_Code],$A12,T_SelfStock[WeekIndex],32)&gt;0)*(COUNTIFS(T_TTAFStock[RM_Code],$A12,T_TTAFStock[WeekIndex],32)&gt;0)&gt;0,SUMIFS(T_SelfStock[Self_Qty],T_SelfStock[RM_Code],$A12,T_SelfStock[WeekIndex],32)+SUMIFS(T_TTAFStock[TTAF_Qty],T_TTAFStock[RM_Code],$A12,T_TTAFStock[WeekIndex],32),AF12+'Grid_Incoming'!AG12-'Grid_Requirement'!AG12))</f>
        <v/>
      </c>
      <c r="AH12">
        <f>IF(COUNTIFS(T_StockCount[RM_Code],$A12,T_StockCount[WeekIndex],33)&gt;0,SUMIFS(T_StockCount[CountedQty],T_StockCount[RM_Code],$A12,T_StockCount[WeekIndex],33),IF((COUNTIFS(T_SelfStock[RM_Code],$A12,T_SelfStock[WeekIndex],33)&gt;0)*(COUNTIFS(T_TTAFStock[RM_Code],$A12,T_TTAFStock[WeekIndex],33)&gt;0)&gt;0,SUMIFS(T_SelfStock[Self_Qty],T_SelfStock[RM_Code],$A12,T_SelfStock[WeekIndex],33)+SUMIFS(T_TTAFStock[TTAF_Qty],T_TTAFStock[RM_Code],$A12,T_TTAFStock[WeekIndex],33),AG12+'Grid_Incoming'!AH12-'Grid_Requirement'!AH12))</f>
        <v/>
      </c>
      <c r="AI12">
        <f>IF(COUNTIFS(T_StockCount[RM_Code],$A12,T_StockCount[WeekIndex],34)&gt;0,SUMIFS(T_StockCount[CountedQty],T_StockCount[RM_Code],$A12,T_StockCount[WeekIndex],34),IF((COUNTIFS(T_SelfStock[RM_Code],$A12,T_SelfStock[WeekIndex],34)&gt;0)*(COUNTIFS(T_TTAFStock[RM_Code],$A12,T_TTAFStock[WeekIndex],34)&gt;0)&gt;0,SUMIFS(T_SelfStock[Self_Qty],T_SelfStock[RM_Code],$A12,T_SelfStock[WeekIndex],34)+SUMIFS(T_TTAFStock[TTAF_Qty],T_TTAFStock[RM_Code],$A12,T_TTAFStock[WeekIndex],34),AH12+'Grid_Incoming'!AI12-'Grid_Requirement'!AI12))</f>
        <v/>
      </c>
      <c r="AJ12">
        <f>IF(COUNTIFS(T_StockCount[RM_Code],$A12,T_StockCount[WeekIndex],35)&gt;0,SUMIFS(T_StockCount[CountedQty],T_StockCount[RM_Code],$A12,T_StockCount[WeekIndex],35),IF((COUNTIFS(T_SelfStock[RM_Code],$A12,T_SelfStock[WeekIndex],35)&gt;0)*(COUNTIFS(T_TTAFStock[RM_Code],$A12,T_TTAFStock[WeekIndex],35)&gt;0)&gt;0,SUMIFS(T_SelfStock[Self_Qty],T_SelfStock[RM_Code],$A12,T_SelfStock[WeekIndex],35)+SUMIFS(T_TTAFStock[TTAF_Qty],T_TTAFStock[RM_Code],$A12,T_TTAFStock[WeekIndex],35),AI12+'Grid_Incoming'!AJ12-'Grid_Requirement'!AJ12))</f>
        <v/>
      </c>
      <c r="AK12">
        <f>IF(COUNTIFS(T_StockCount[RM_Code],$A12,T_StockCount[WeekIndex],36)&gt;0,SUMIFS(T_StockCount[CountedQty],T_StockCount[RM_Code],$A12,T_StockCount[WeekIndex],36),IF((COUNTIFS(T_SelfStock[RM_Code],$A12,T_SelfStock[WeekIndex],36)&gt;0)*(COUNTIFS(T_TTAFStock[RM_Code],$A12,T_TTAFStock[WeekIndex],36)&gt;0)&gt;0,SUMIFS(T_SelfStock[Self_Qty],T_SelfStock[RM_Code],$A12,T_SelfStock[WeekIndex],36)+SUMIFS(T_TTAFStock[TTAF_Qty],T_TTAFStock[RM_Code],$A12,T_TTAFStock[WeekIndex],36),AJ12+'Grid_Incoming'!AK12-'Grid_Requirement'!AK12))</f>
        <v/>
      </c>
      <c r="AL12">
        <f>IF(COUNTIFS(T_StockCount[RM_Code],$A12,T_StockCount[WeekIndex],37)&gt;0,SUMIFS(T_StockCount[CountedQty],T_StockCount[RM_Code],$A12,T_StockCount[WeekIndex],37),IF((COUNTIFS(T_SelfStock[RM_Code],$A12,T_SelfStock[WeekIndex],37)&gt;0)*(COUNTIFS(T_TTAFStock[RM_Code],$A12,T_TTAFStock[WeekIndex],37)&gt;0)&gt;0,SUMIFS(T_SelfStock[Self_Qty],T_SelfStock[RM_Code],$A12,T_SelfStock[WeekIndex],37)+SUMIFS(T_TTAFStock[TTAF_Qty],T_TTAFStock[RM_Code],$A12,T_TTAFStock[WeekIndex],37),AK12+'Grid_Incoming'!AL12-'Grid_Requirement'!AL12))</f>
        <v/>
      </c>
      <c r="AM12">
        <f>IF(COUNTIFS(T_StockCount[RM_Code],$A12,T_StockCount[WeekIndex],38)&gt;0,SUMIFS(T_StockCount[CountedQty],T_StockCount[RM_Code],$A12,T_StockCount[WeekIndex],38),IF((COUNTIFS(T_SelfStock[RM_Code],$A12,T_SelfStock[WeekIndex],38)&gt;0)*(COUNTIFS(T_TTAFStock[RM_Code],$A12,T_TTAFStock[WeekIndex],38)&gt;0)&gt;0,SUMIFS(T_SelfStock[Self_Qty],T_SelfStock[RM_Code],$A12,T_SelfStock[WeekIndex],38)+SUMIFS(T_TTAFStock[TTAF_Qty],T_TTAFStock[RM_Code],$A12,T_TTAFStock[WeekIndex],38),AL12+'Grid_Incoming'!AM12-'Grid_Requirement'!AM12))</f>
        <v/>
      </c>
      <c r="AN12">
        <f>IF(COUNTIFS(T_StockCount[RM_Code],$A12,T_StockCount[WeekIndex],39)&gt;0,SUMIFS(T_StockCount[CountedQty],T_StockCount[RM_Code],$A12,T_StockCount[WeekIndex],39),IF((COUNTIFS(T_SelfStock[RM_Code],$A12,T_SelfStock[WeekIndex],39)&gt;0)*(COUNTIFS(T_TTAFStock[RM_Code],$A12,T_TTAFStock[WeekIndex],39)&gt;0)&gt;0,SUMIFS(T_SelfStock[Self_Qty],T_SelfStock[RM_Code],$A12,T_SelfStock[WeekIndex],39)+SUMIFS(T_TTAFStock[TTAF_Qty],T_TTAFStock[RM_Code],$A12,T_TTAFStock[WeekIndex],39),AM12+'Grid_Incoming'!AN12-'Grid_Requirement'!AN12))</f>
        <v/>
      </c>
      <c r="AO12">
        <f>IF(COUNTIFS(T_StockCount[RM_Code],$A12,T_StockCount[WeekIndex],40)&gt;0,SUMIFS(T_StockCount[CountedQty],T_StockCount[RM_Code],$A12,T_StockCount[WeekIndex],40),IF((COUNTIFS(T_SelfStock[RM_Code],$A12,T_SelfStock[WeekIndex],40)&gt;0)*(COUNTIFS(T_TTAFStock[RM_Code],$A12,T_TTAFStock[WeekIndex],40)&gt;0)&gt;0,SUMIFS(T_SelfStock[Self_Qty],T_SelfStock[RM_Code],$A12,T_SelfStock[WeekIndex],40)+SUMIFS(T_TTAFStock[TTAF_Qty],T_TTAFStock[RM_Code],$A12,T_TTAFStock[WeekIndex],40),AN12+'Grid_Incoming'!AO12-'Grid_Requirement'!AO12))</f>
        <v/>
      </c>
      <c r="AP12">
        <f>IF(COUNTIFS(T_StockCount[RM_Code],$A12,T_StockCount[WeekIndex],41)&gt;0,SUMIFS(T_StockCount[CountedQty],T_StockCount[RM_Code],$A12,T_StockCount[WeekIndex],41),IF((COUNTIFS(T_SelfStock[RM_Code],$A12,T_SelfStock[WeekIndex],41)&gt;0)*(COUNTIFS(T_TTAFStock[RM_Code],$A12,T_TTAFStock[WeekIndex],41)&gt;0)&gt;0,SUMIFS(T_SelfStock[Self_Qty],T_SelfStock[RM_Code],$A12,T_SelfStock[WeekIndex],41)+SUMIFS(T_TTAFStock[TTAF_Qty],T_TTAFStock[RM_Code],$A12,T_TTAFStock[WeekIndex],41),AO12+'Grid_Incoming'!AP12-'Grid_Requirement'!AP12))</f>
        <v/>
      </c>
      <c r="AQ12">
        <f>IF(COUNTIFS(T_StockCount[RM_Code],$A12,T_StockCount[WeekIndex],42)&gt;0,SUMIFS(T_StockCount[CountedQty],T_StockCount[RM_Code],$A12,T_StockCount[WeekIndex],42),IF((COUNTIFS(T_SelfStock[RM_Code],$A12,T_SelfStock[WeekIndex],42)&gt;0)*(COUNTIFS(T_TTAFStock[RM_Code],$A12,T_TTAFStock[WeekIndex],42)&gt;0)&gt;0,SUMIFS(T_SelfStock[Self_Qty],T_SelfStock[RM_Code],$A12,T_SelfStock[WeekIndex],42)+SUMIFS(T_TTAFStock[TTAF_Qty],T_TTAFStock[RM_Code],$A12,T_TTAFStock[WeekIndex],42),AP12+'Grid_Incoming'!AQ12-'Grid_Requirement'!AQ12))</f>
        <v/>
      </c>
      <c r="AR12">
        <f>IF(COUNTIFS(T_StockCount[RM_Code],$A12,T_StockCount[WeekIndex],43)&gt;0,SUMIFS(T_StockCount[CountedQty],T_StockCount[RM_Code],$A12,T_StockCount[WeekIndex],43),IF((COUNTIFS(T_SelfStock[RM_Code],$A12,T_SelfStock[WeekIndex],43)&gt;0)*(COUNTIFS(T_TTAFStock[RM_Code],$A12,T_TTAFStock[WeekIndex],43)&gt;0)&gt;0,SUMIFS(T_SelfStock[Self_Qty],T_SelfStock[RM_Code],$A12,T_SelfStock[WeekIndex],43)+SUMIFS(T_TTAFStock[TTAF_Qty],T_TTAFStock[RM_Code],$A12,T_TTAFStock[WeekIndex],43),AQ12+'Grid_Incoming'!AR12-'Grid_Requirement'!AR12))</f>
        <v/>
      </c>
      <c r="AS12">
        <f>IF(COUNTIFS(T_StockCount[RM_Code],$A12,T_StockCount[WeekIndex],44)&gt;0,SUMIFS(T_StockCount[CountedQty],T_StockCount[RM_Code],$A12,T_StockCount[WeekIndex],44),IF((COUNTIFS(T_SelfStock[RM_Code],$A12,T_SelfStock[WeekIndex],44)&gt;0)*(COUNTIFS(T_TTAFStock[RM_Code],$A12,T_TTAFStock[WeekIndex],44)&gt;0)&gt;0,SUMIFS(T_SelfStock[Self_Qty],T_SelfStock[RM_Code],$A12,T_SelfStock[WeekIndex],44)+SUMIFS(T_TTAFStock[TTAF_Qty],T_TTAFStock[RM_Code],$A12,T_TTAFStock[WeekIndex],44),AR12+'Grid_Incoming'!AS12-'Grid_Requirement'!AS12))</f>
        <v/>
      </c>
      <c r="AT12">
        <f>IF(COUNTIFS(T_StockCount[RM_Code],$A12,T_StockCount[WeekIndex],45)&gt;0,SUMIFS(T_StockCount[CountedQty],T_StockCount[RM_Code],$A12,T_StockCount[WeekIndex],45),IF((COUNTIFS(T_SelfStock[RM_Code],$A12,T_SelfStock[WeekIndex],45)&gt;0)*(COUNTIFS(T_TTAFStock[RM_Code],$A12,T_TTAFStock[WeekIndex],45)&gt;0)&gt;0,SUMIFS(T_SelfStock[Self_Qty],T_SelfStock[RM_Code],$A12,T_SelfStock[WeekIndex],45)+SUMIFS(T_TTAFStock[TTAF_Qty],T_TTAFStock[RM_Code],$A12,T_TTAFStock[WeekIndex],45),AS12+'Grid_Incoming'!AT12-'Grid_Requirement'!AT12))</f>
        <v/>
      </c>
      <c r="AU12">
        <f>IF(COUNTIFS(T_StockCount[RM_Code],$A12,T_StockCount[WeekIndex],46)&gt;0,SUMIFS(T_StockCount[CountedQty],T_StockCount[RM_Code],$A12,T_StockCount[WeekIndex],46),IF((COUNTIFS(T_SelfStock[RM_Code],$A12,T_SelfStock[WeekIndex],46)&gt;0)*(COUNTIFS(T_TTAFStock[RM_Code],$A12,T_TTAFStock[WeekIndex],46)&gt;0)&gt;0,SUMIFS(T_SelfStock[Self_Qty],T_SelfStock[RM_Code],$A12,T_SelfStock[WeekIndex],46)+SUMIFS(T_TTAFStock[TTAF_Qty],T_TTAFStock[RM_Code],$A12,T_TTAFStock[WeekIndex],46),AT12+'Grid_Incoming'!AU12-'Grid_Requirement'!AU12))</f>
        <v/>
      </c>
      <c r="AV12">
        <f>IF(COUNTIFS(T_StockCount[RM_Code],$A12,T_StockCount[WeekIndex],47)&gt;0,SUMIFS(T_StockCount[CountedQty],T_StockCount[RM_Code],$A12,T_StockCount[WeekIndex],47),IF((COUNTIFS(T_SelfStock[RM_Code],$A12,T_SelfStock[WeekIndex],47)&gt;0)*(COUNTIFS(T_TTAFStock[RM_Code],$A12,T_TTAFStock[WeekIndex],47)&gt;0)&gt;0,SUMIFS(T_SelfStock[Self_Qty],T_SelfStock[RM_Code],$A12,T_SelfStock[WeekIndex],47)+SUMIFS(T_TTAFStock[TTAF_Qty],T_TTAFStock[RM_Code],$A12,T_TTAFStock[WeekIndex],47),AU12+'Grid_Incoming'!AV12-'Grid_Requirement'!AV12))</f>
        <v/>
      </c>
      <c r="AW12">
        <f>IF(COUNTIFS(T_StockCount[RM_Code],$A12,T_StockCount[WeekIndex],48)&gt;0,SUMIFS(T_StockCount[CountedQty],T_StockCount[RM_Code],$A12,T_StockCount[WeekIndex],48),IF((COUNTIFS(T_SelfStock[RM_Code],$A12,T_SelfStock[WeekIndex],48)&gt;0)*(COUNTIFS(T_TTAFStock[RM_Code],$A12,T_TTAFStock[WeekIndex],48)&gt;0)&gt;0,SUMIFS(T_SelfStock[Self_Qty],T_SelfStock[RM_Code],$A12,T_SelfStock[WeekIndex],48)+SUMIFS(T_TTAFStock[TTAF_Qty],T_TTAFStock[RM_Code],$A12,T_TTAFStock[WeekIndex],48),AV12+'Grid_Incoming'!AW12-'Grid_Requirement'!AW12))</f>
        <v/>
      </c>
      <c r="AX12">
        <f>IF(COUNTIFS(T_StockCount[RM_Code],$A12,T_StockCount[WeekIndex],49)&gt;0,SUMIFS(T_StockCount[CountedQty],T_StockCount[RM_Code],$A12,T_StockCount[WeekIndex],49),IF((COUNTIFS(T_SelfStock[RM_Code],$A12,T_SelfStock[WeekIndex],49)&gt;0)*(COUNTIFS(T_TTAFStock[RM_Code],$A12,T_TTAFStock[WeekIndex],49)&gt;0)&gt;0,SUMIFS(T_SelfStock[Self_Qty],T_SelfStock[RM_Code],$A12,T_SelfStock[WeekIndex],49)+SUMIFS(T_TTAFStock[TTAF_Qty],T_TTAFStock[RM_Code],$A12,T_TTAFStock[WeekIndex],49),AW12+'Grid_Incoming'!AX12-'Grid_Requirement'!AX12))</f>
        <v/>
      </c>
      <c r="AY12">
        <f>IF(COUNTIFS(T_StockCount[RM_Code],$A12,T_StockCount[WeekIndex],50)&gt;0,SUMIFS(T_StockCount[CountedQty],T_StockCount[RM_Code],$A12,T_StockCount[WeekIndex],50),IF((COUNTIFS(T_SelfStock[RM_Code],$A12,T_SelfStock[WeekIndex],50)&gt;0)*(COUNTIFS(T_TTAFStock[RM_Code],$A12,T_TTAFStock[WeekIndex],50)&gt;0)&gt;0,SUMIFS(T_SelfStock[Self_Qty],T_SelfStock[RM_Code],$A12,T_SelfStock[WeekIndex],50)+SUMIFS(T_TTAFStock[TTAF_Qty],T_TTAFStock[RM_Code],$A12,T_TTAFStock[WeekIndex],50),AX12+'Grid_Incoming'!AY12-'Grid_Requirement'!AY12))</f>
        <v/>
      </c>
      <c r="AZ12">
        <f>IF(COUNTIFS(T_StockCount[RM_Code],$A12,T_StockCount[WeekIndex],51)&gt;0,SUMIFS(T_StockCount[CountedQty],T_StockCount[RM_Code],$A12,T_StockCount[WeekIndex],51),IF((COUNTIFS(T_SelfStock[RM_Code],$A12,T_SelfStock[WeekIndex],51)&gt;0)*(COUNTIFS(T_TTAFStock[RM_Code],$A12,T_TTAFStock[WeekIndex],51)&gt;0)&gt;0,SUMIFS(T_SelfStock[Self_Qty],T_SelfStock[RM_Code],$A12,T_SelfStock[WeekIndex],51)+SUMIFS(T_TTAFStock[TTAF_Qty],T_TTAFStock[RM_Code],$A12,T_TTAFStock[WeekIndex],51),AY12+'Grid_Incoming'!AZ12-'Grid_Requirement'!AZ12))</f>
        <v/>
      </c>
      <c r="BA12">
        <f>IF(COUNTIFS(T_StockCount[RM_Code],$A12,T_StockCount[WeekIndex],52)&gt;0,SUMIFS(T_StockCount[CountedQty],T_StockCount[RM_Code],$A12,T_StockCount[WeekIndex],52),IF((COUNTIFS(T_SelfStock[RM_Code],$A12,T_SelfStock[WeekIndex],52)&gt;0)*(COUNTIFS(T_TTAFStock[RM_Code],$A12,T_TTAFStock[WeekIndex],52)&gt;0)&gt;0,SUMIFS(T_SelfStock[Self_Qty],T_SelfStock[RM_Code],$A12,T_SelfStock[WeekIndex],52)+SUMIFS(T_TTAFStock[TTAF_Qty],T_TTAFStock[RM_Code],$A12,T_TTAFStock[WeekIndex],52),AZ12+'Grid_Incoming'!BA12-'Grid_Requirement'!BA12))</f>
        <v/>
      </c>
      <c r="BB12">
        <f>IF(COUNTIFS(T_StockCount[RM_Code],$A12,T_StockCount[WeekIndex],53)&gt;0,SUMIFS(T_StockCount[CountedQty],T_StockCount[RM_Code],$A12,T_StockCount[WeekIndex],53),IF((COUNTIFS(T_SelfStock[RM_Code],$A12,T_SelfStock[WeekIndex],53)&gt;0)*(COUNTIFS(T_TTAFStock[RM_Code],$A12,T_TTAFStock[WeekIndex],53)&gt;0)&gt;0,SUMIFS(T_SelfStock[Self_Qty],T_SelfStock[RM_Code],$A12,T_SelfStock[WeekIndex],53)+SUMIFS(T_TTAFStock[TTAF_Qty],T_TTAFStock[RM_Code],$A12,T_TTAFStock[WeekIndex],53),BA12+'Grid_Incoming'!BB12-'Grid_Requirement'!BB12))</f>
        <v/>
      </c>
      <c r="BC12">
        <f>IF(COUNTIFS(T_StockCount[RM_Code],$A12,T_StockCount[WeekIndex],54)&gt;0,SUMIFS(T_StockCount[CountedQty],T_StockCount[RM_Code],$A12,T_StockCount[WeekIndex],54),IF((COUNTIFS(T_SelfStock[RM_Code],$A12,T_SelfStock[WeekIndex],54)&gt;0)*(COUNTIFS(T_TTAFStock[RM_Code],$A12,T_TTAFStock[WeekIndex],54)&gt;0)&gt;0,SUMIFS(T_SelfStock[Self_Qty],T_SelfStock[RM_Code],$A12,T_SelfStock[WeekIndex],54)+SUMIFS(T_TTAFStock[TTAF_Qty],T_TTAFStock[RM_Code],$A12,T_TTAFStock[WeekIndex],54),BB12+'Grid_Incoming'!BC12-'Grid_Requirement'!BC12))</f>
        <v/>
      </c>
      <c r="BD12">
        <f>IF(COUNTIFS(T_StockCount[RM_Code],$A12,T_StockCount[WeekIndex],55)&gt;0,SUMIFS(T_StockCount[CountedQty],T_StockCount[RM_Code],$A12,T_StockCount[WeekIndex],55),IF((COUNTIFS(T_SelfStock[RM_Code],$A12,T_SelfStock[WeekIndex],55)&gt;0)*(COUNTIFS(T_TTAFStock[RM_Code],$A12,T_TTAFStock[WeekIndex],55)&gt;0)&gt;0,SUMIFS(T_SelfStock[Self_Qty],T_SelfStock[RM_Code],$A12,T_SelfStock[WeekIndex],55)+SUMIFS(T_TTAFStock[TTAF_Qty],T_TTAFStock[RM_Code],$A12,T_TTAFStock[WeekIndex],55),BC12+'Grid_Incoming'!BD12-'Grid_Requirement'!BD12))</f>
        <v/>
      </c>
      <c r="BE12">
        <f>IF(COUNTIFS(T_StockCount[RM_Code],$A12,T_StockCount[WeekIndex],56)&gt;0,SUMIFS(T_StockCount[CountedQty],T_StockCount[RM_Code],$A12,T_StockCount[WeekIndex],56),IF((COUNTIFS(T_SelfStock[RM_Code],$A12,T_SelfStock[WeekIndex],56)&gt;0)*(COUNTIFS(T_TTAFStock[RM_Code],$A12,T_TTAFStock[WeekIndex],56)&gt;0)&gt;0,SUMIFS(T_SelfStock[Self_Qty],T_SelfStock[RM_Code],$A12,T_SelfStock[WeekIndex],56)+SUMIFS(T_TTAFStock[TTAF_Qty],T_TTAFStock[RM_Code],$A12,T_TTAFStock[WeekIndex],56),BD12+'Grid_Incoming'!BE12-'Grid_Requirement'!BE12))</f>
        <v/>
      </c>
      <c r="BF12">
        <f>IF(COUNTIFS(T_StockCount[RM_Code],$A12,T_StockCount[WeekIndex],57)&gt;0,SUMIFS(T_StockCount[CountedQty],T_StockCount[RM_Code],$A12,T_StockCount[WeekIndex],57),IF((COUNTIFS(T_SelfStock[RM_Code],$A12,T_SelfStock[WeekIndex],57)&gt;0)*(COUNTIFS(T_TTAFStock[RM_Code],$A12,T_TTAFStock[WeekIndex],57)&gt;0)&gt;0,SUMIFS(T_SelfStock[Self_Qty],T_SelfStock[RM_Code],$A12,T_SelfStock[WeekIndex],57)+SUMIFS(T_TTAFStock[TTAF_Qty],T_TTAFStock[RM_Code],$A12,T_TTAFStock[WeekIndex],57),BE12+'Grid_Incoming'!BF12-'Grid_Requirement'!BF12))</f>
        <v/>
      </c>
      <c r="BG12">
        <f>IF(COUNTIFS(T_StockCount[RM_Code],$A12,T_StockCount[WeekIndex],58)&gt;0,SUMIFS(T_StockCount[CountedQty],T_StockCount[RM_Code],$A12,T_StockCount[WeekIndex],58),IF((COUNTIFS(T_SelfStock[RM_Code],$A12,T_SelfStock[WeekIndex],58)&gt;0)*(COUNTIFS(T_TTAFStock[RM_Code],$A12,T_TTAFStock[WeekIndex],58)&gt;0)&gt;0,SUMIFS(T_SelfStock[Self_Qty],T_SelfStock[RM_Code],$A12,T_SelfStock[WeekIndex],58)+SUMIFS(T_TTAFStock[TTAF_Qty],T_TTAFStock[RM_Code],$A12,T_TTAFStock[WeekIndex],58),BF12+'Grid_Incoming'!BG12-'Grid_Requirement'!BG12))</f>
        <v/>
      </c>
      <c r="BH12">
        <f>IF(COUNTIFS(T_StockCount[RM_Code],$A12,T_StockCount[WeekIndex],59)&gt;0,SUMIFS(T_StockCount[CountedQty],T_StockCount[RM_Code],$A12,T_StockCount[WeekIndex],59),IF((COUNTIFS(T_SelfStock[RM_Code],$A12,T_SelfStock[WeekIndex],59)&gt;0)*(COUNTIFS(T_TTAFStock[RM_Code],$A12,T_TTAFStock[WeekIndex],59)&gt;0)&gt;0,SUMIFS(T_SelfStock[Self_Qty],T_SelfStock[RM_Code],$A12,T_SelfStock[WeekIndex],59)+SUMIFS(T_TTAFStock[TTAF_Qty],T_TTAFStock[RM_Code],$A12,T_TTAFStock[WeekIndex],59),BG12+'Grid_Incoming'!BH12-'Grid_Requirement'!BH12))</f>
        <v/>
      </c>
      <c r="BI12">
        <f>IF(COUNTIFS(T_StockCount[RM_Code],$A12,T_StockCount[WeekIndex],60)&gt;0,SUMIFS(T_StockCount[CountedQty],T_StockCount[RM_Code],$A12,T_StockCount[WeekIndex],60),IF((COUNTIFS(T_SelfStock[RM_Code],$A12,T_SelfStock[WeekIndex],60)&gt;0)*(COUNTIFS(T_TTAFStock[RM_Code],$A12,T_TTAFStock[WeekIndex],60)&gt;0)&gt;0,SUMIFS(T_SelfStock[Self_Qty],T_SelfStock[RM_Code],$A12,T_SelfStock[WeekIndex],60)+SUMIFS(T_TTAFStock[TTAF_Qty],T_TTAFStock[RM_Code],$A12,T_TTAFStock[WeekIndex],60),BH12+'Grid_Incoming'!BI12-'Grid_Requirement'!BI12))</f>
        <v/>
      </c>
      <c r="BJ12">
        <f>IF(COUNTIFS(T_StockCount[RM_Code],$A12,T_StockCount[WeekIndex],61)&gt;0,SUMIFS(T_StockCount[CountedQty],T_StockCount[RM_Code],$A12,T_StockCount[WeekIndex],61),IF((COUNTIFS(T_SelfStock[RM_Code],$A12,T_SelfStock[WeekIndex],61)&gt;0)*(COUNTIFS(T_TTAFStock[RM_Code],$A12,T_TTAFStock[WeekIndex],61)&gt;0)&gt;0,SUMIFS(T_SelfStock[Self_Qty],T_SelfStock[RM_Code],$A12,T_SelfStock[WeekIndex],61)+SUMIFS(T_TTAFStock[TTAF_Qty],T_TTAFStock[RM_Code],$A12,T_TTAFStock[WeekIndex],61),BI12+'Grid_Incoming'!BJ12-'Grid_Requirement'!BJ12))</f>
        <v/>
      </c>
      <c r="BK12">
        <f>IF(COUNTIFS(T_StockCount[RM_Code],$A12,T_StockCount[WeekIndex],62)&gt;0,SUMIFS(T_StockCount[CountedQty],T_StockCount[RM_Code],$A12,T_StockCount[WeekIndex],62),IF((COUNTIFS(T_SelfStock[RM_Code],$A12,T_SelfStock[WeekIndex],62)&gt;0)*(COUNTIFS(T_TTAFStock[RM_Code],$A12,T_TTAFStock[WeekIndex],62)&gt;0)&gt;0,SUMIFS(T_SelfStock[Self_Qty],T_SelfStock[RM_Code],$A12,T_SelfStock[WeekIndex],62)+SUMIFS(T_TTAFStock[TTAF_Qty],T_TTAFStock[RM_Code],$A12,T_TTAFStock[WeekIndex],62),BJ12+'Grid_Incoming'!BK12-'Grid_Requirement'!BK12))</f>
        <v/>
      </c>
      <c r="BL12">
        <f>IF(COUNTIFS(T_StockCount[RM_Code],$A12,T_StockCount[WeekIndex],63)&gt;0,SUMIFS(T_StockCount[CountedQty],T_StockCount[RM_Code],$A12,T_StockCount[WeekIndex],63),IF((COUNTIFS(T_SelfStock[RM_Code],$A12,T_SelfStock[WeekIndex],63)&gt;0)*(COUNTIFS(T_TTAFStock[RM_Code],$A12,T_TTAFStock[WeekIndex],63)&gt;0)&gt;0,SUMIFS(T_SelfStock[Self_Qty],T_SelfStock[RM_Code],$A12,T_SelfStock[WeekIndex],63)+SUMIFS(T_TTAFStock[TTAF_Qty],T_TTAFStock[RM_Code],$A12,T_TTAFStock[WeekIndex],63),BK12+'Grid_Incoming'!BL12-'Grid_Requirement'!BL12))</f>
        <v/>
      </c>
      <c r="BM12">
        <f>IF(COUNTIFS(T_StockCount[RM_Code],$A12,T_StockCount[WeekIndex],64)&gt;0,SUMIFS(T_StockCount[CountedQty],T_StockCount[RM_Code],$A12,T_StockCount[WeekIndex],64),IF((COUNTIFS(T_SelfStock[RM_Code],$A12,T_SelfStock[WeekIndex],64)&gt;0)*(COUNTIFS(T_TTAFStock[RM_Code],$A12,T_TTAFStock[WeekIndex],64)&gt;0)&gt;0,SUMIFS(T_SelfStock[Self_Qty],T_SelfStock[RM_Code],$A12,T_SelfStock[WeekIndex],64)+SUMIFS(T_TTAFStock[TTAF_Qty],T_TTAFStock[RM_Code],$A12,T_TTAFStock[WeekIndex],64),BL12+'Grid_Incoming'!BM12-'Grid_Requirement'!BM12))</f>
        <v/>
      </c>
      <c r="BN12">
        <f>IF(COUNTIFS(T_StockCount[RM_Code],$A12,T_StockCount[WeekIndex],65)&gt;0,SUMIFS(T_StockCount[CountedQty],T_StockCount[RM_Code],$A12,T_StockCount[WeekIndex],65),IF((COUNTIFS(T_SelfStock[RM_Code],$A12,T_SelfStock[WeekIndex],65)&gt;0)*(COUNTIFS(T_TTAFStock[RM_Code],$A12,T_TTAFStock[WeekIndex],65)&gt;0)&gt;0,SUMIFS(T_SelfStock[Self_Qty],T_SelfStock[RM_Code],$A12,T_SelfStock[WeekIndex],65)+SUMIFS(T_TTAFStock[TTAF_Qty],T_TTAFStock[RM_Code],$A12,T_TTAFStock[WeekIndex],65),BM12+'Grid_Incoming'!BN12-'Grid_Requirement'!BN12))</f>
        <v/>
      </c>
      <c r="BO12">
        <f>IF(COUNTIFS(T_StockCount[RM_Code],$A12,T_StockCount[WeekIndex],66)&gt;0,SUMIFS(T_StockCount[CountedQty],T_StockCount[RM_Code],$A12,T_StockCount[WeekIndex],66),IF((COUNTIFS(T_SelfStock[RM_Code],$A12,T_SelfStock[WeekIndex],66)&gt;0)*(COUNTIFS(T_TTAFStock[RM_Code],$A12,T_TTAFStock[WeekIndex],66)&gt;0)&gt;0,SUMIFS(T_SelfStock[Self_Qty],T_SelfStock[RM_Code],$A12,T_SelfStock[WeekIndex],66)+SUMIFS(T_TTAFStock[TTAF_Qty],T_TTAFStock[RM_Code],$A12,T_TTAFStock[WeekIndex],66),BN12+'Grid_Incoming'!BO12-'Grid_Requirement'!BO12))</f>
        <v/>
      </c>
      <c r="BP12">
        <f>IF(COUNTIFS(T_StockCount[RM_Code],$A12,T_StockCount[WeekIndex],67)&gt;0,SUMIFS(T_StockCount[CountedQty],T_StockCount[RM_Code],$A12,T_StockCount[WeekIndex],67),IF((COUNTIFS(T_SelfStock[RM_Code],$A12,T_SelfStock[WeekIndex],67)&gt;0)*(COUNTIFS(T_TTAFStock[RM_Code],$A12,T_TTAFStock[WeekIndex],67)&gt;0)&gt;0,SUMIFS(T_SelfStock[Self_Qty],T_SelfStock[RM_Code],$A12,T_SelfStock[WeekIndex],67)+SUMIFS(T_TTAFStock[TTAF_Qty],T_TTAFStock[RM_Code],$A12,T_TTAFStock[WeekIndex],67),BO12+'Grid_Incoming'!BP12-'Grid_Requirement'!BP12))</f>
        <v/>
      </c>
      <c r="BQ12">
        <f>IF(COUNTIFS(T_StockCount[RM_Code],$A12,T_StockCount[WeekIndex],68)&gt;0,SUMIFS(T_StockCount[CountedQty],T_StockCount[RM_Code],$A12,T_StockCount[WeekIndex],68),IF((COUNTIFS(T_SelfStock[RM_Code],$A12,T_SelfStock[WeekIndex],68)&gt;0)*(COUNTIFS(T_TTAFStock[RM_Code],$A12,T_TTAFStock[WeekIndex],68)&gt;0)&gt;0,SUMIFS(T_SelfStock[Self_Qty],T_SelfStock[RM_Code],$A12,T_SelfStock[WeekIndex],68)+SUMIFS(T_TTAFStock[TTAF_Qty],T_TTAFStock[RM_Code],$A12,T_TTAFStock[WeekIndex],68),BP12+'Grid_Incoming'!BQ12-'Grid_Requirement'!BQ12))</f>
        <v/>
      </c>
      <c r="BR12">
        <f>IF(COUNTIFS(T_StockCount[RM_Code],$A12,T_StockCount[WeekIndex],69)&gt;0,SUMIFS(T_StockCount[CountedQty],T_StockCount[RM_Code],$A12,T_StockCount[WeekIndex],69),IF((COUNTIFS(T_SelfStock[RM_Code],$A12,T_SelfStock[WeekIndex],69)&gt;0)*(COUNTIFS(T_TTAFStock[RM_Code],$A12,T_TTAFStock[WeekIndex],69)&gt;0)&gt;0,SUMIFS(T_SelfStock[Self_Qty],T_SelfStock[RM_Code],$A12,T_SelfStock[WeekIndex],69)+SUMIFS(T_TTAFStock[TTAF_Qty],T_TTAFStock[RM_Code],$A12,T_TTAFStock[WeekIndex],69),BQ12+'Grid_Incoming'!BR12-'Grid_Requirement'!BR12))</f>
        <v/>
      </c>
      <c r="BS12">
        <f>IF(COUNTIFS(T_StockCount[RM_Code],$A12,T_StockCount[WeekIndex],70)&gt;0,SUMIFS(T_StockCount[CountedQty],T_StockCount[RM_Code],$A12,T_StockCount[WeekIndex],70),IF((COUNTIFS(T_SelfStock[RM_Code],$A12,T_SelfStock[WeekIndex],70)&gt;0)*(COUNTIFS(T_TTAFStock[RM_Code],$A12,T_TTAFStock[WeekIndex],70)&gt;0)&gt;0,SUMIFS(T_SelfStock[Self_Qty],T_SelfStock[RM_Code],$A12,T_SelfStock[WeekIndex],70)+SUMIFS(T_TTAFStock[TTAF_Qty],T_TTAFStock[RM_Code],$A12,T_TTAFStock[WeekIndex],70),BR12+'Grid_Incoming'!BS12-'Grid_Requirement'!BS12))</f>
        <v/>
      </c>
      <c r="BT12">
        <f>IF(COUNTIFS(T_StockCount[RM_Code],$A12,T_StockCount[WeekIndex],71)&gt;0,SUMIFS(T_StockCount[CountedQty],T_StockCount[RM_Code],$A12,T_StockCount[WeekIndex],71),IF((COUNTIFS(T_SelfStock[RM_Code],$A12,T_SelfStock[WeekIndex],71)&gt;0)*(COUNTIFS(T_TTAFStock[RM_Code],$A12,T_TTAFStock[WeekIndex],71)&gt;0)&gt;0,SUMIFS(T_SelfStock[Self_Qty],T_SelfStock[RM_Code],$A12,T_SelfStock[WeekIndex],71)+SUMIFS(T_TTAFStock[TTAF_Qty],T_TTAFStock[RM_Code],$A12,T_TTAFStock[WeekIndex],71),BS12+'Grid_Incoming'!BT12-'Grid_Requirement'!BT12))</f>
        <v/>
      </c>
      <c r="BU12">
        <f>IF(COUNTIFS(T_StockCount[RM_Code],$A12,T_StockCount[WeekIndex],72)&gt;0,SUMIFS(T_StockCount[CountedQty],T_StockCount[RM_Code],$A12,T_StockCount[WeekIndex],72),IF((COUNTIFS(T_SelfStock[RM_Code],$A12,T_SelfStock[WeekIndex],72)&gt;0)*(COUNTIFS(T_TTAFStock[RM_Code],$A12,T_TTAFStock[WeekIndex],72)&gt;0)&gt;0,SUMIFS(T_SelfStock[Self_Qty],T_SelfStock[RM_Code],$A12,T_SelfStock[WeekIndex],72)+SUMIFS(T_TTAFStock[TTAF_Qty],T_TTAFStock[RM_Code],$A12,T_TTAFStock[WeekIndex],72),BT12+'Grid_Incoming'!BU12-'Grid_Requirement'!BU12))</f>
        <v/>
      </c>
      <c r="BV12">
        <f>IF(COUNTIFS(T_StockCount[RM_Code],$A12,T_StockCount[WeekIndex],73)&gt;0,SUMIFS(T_StockCount[CountedQty],T_StockCount[RM_Code],$A12,T_StockCount[WeekIndex],73),IF((COUNTIFS(T_SelfStock[RM_Code],$A12,T_SelfStock[WeekIndex],73)&gt;0)*(COUNTIFS(T_TTAFStock[RM_Code],$A12,T_TTAFStock[WeekIndex],73)&gt;0)&gt;0,SUMIFS(T_SelfStock[Self_Qty],T_SelfStock[RM_Code],$A12,T_SelfStock[WeekIndex],73)+SUMIFS(T_TTAFStock[TTAF_Qty],T_TTAFStock[RM_Code],$A12,T_TTAFStock[WeekIndex],73),BU12+'Grid_Incoming'!BV12-'Grid_Requirement'!BV12))</f>
        <v/>
      </c>
      <c r="BW12">
        <f>IF(COUNTIFS(T_StockCount[RM_Code],$A12,T_StockCount[WeekIndex],74)&gt;0,SUMIFS(T_StockCount[CountedQty],T_StockCount[RM_Code],$A12,T_StockCount[WeekIndex],74),IF((COUNTIFS(T_SelfStock[RM_Code],$A12,T_SelfStock[WeekIndex],74)&gt;0)*(COUNTIFS(T_TTAFStock[RM_Code],$A12,T_TTAFStock[WeekIndex],74)&gt;0)&gt;0,SUMIFS(T_SelfStock[Self_Qty],T_SelfStock[RM_Code],$A12,T_SelfStock[WeekIndex],74)+SUMIFS(T_TTAFStock[TTAF_Qty],T_TTAFStock[RM_Code],$A12,T_TTAFStock[WeekIndex],74),BV12+'Grid_Incoming'!BW12-'Grid_Requirement'!BW12))</f>
        <v/>
      </c>
      <c r="BX12">
        <f>IF(COUNTIFS(T_StockCount[RM_Code],$A12,T_StockCount[WeekIndex],75)&gt;0,SUMIFS(T_StockCount[CountedQty],T_StockCount[RM_Code],$A12,T_StockCount[WeekIndex],75),IF((COUNTIFS(T_SelfStock[RM_Code],$A12,T_SelfStock[WeekIndex],75)&gt;0)*(COUNTIFS(T_TTAFStock[RM_Code],$A12,T_TTAFStock[WeekIndex],75)&gt;0)&gt;0,SUMIFS(T_SelfStock[Self_Qty],T_SelfStock[RM_Code],$A12,T_SelfStock[WeekIndex],75)+SUMIFS(T_TTAFStock[TTAF_Qty],T_TTAFStock[RM_Code],$A12,T_TTAFStock[WeekIndex],75),BW12+'Grid_Incoming'!BX12-'Grid_Requirement'!BX12))</f>
        <v/>
      </c>
      <c r="BY12">
        <f>IF(COUNTIFS(T_StockCount[RM_Code],$A12,T_StockCount[WeekIndex],76)&gt;0,SUMIFS(T_StockCount[CountedQty],T_StockCount[RM_Code],$A12,T_StockCount[WeekIndex],76),IF((COUNTIFS(T_SelfStock[RM_Code],$A12,T_SelfStock[WeekIndex],76)&gt;0)*(COUNTIFS(T_TTAFStock[RM_Code],$A12,T_TTAFStock[WeekIndex],76)&gt;0)&gt;0,SUMIFS(T_SelfStock[Self_Qty],T_SelfStock[RM_Code],$A12,T_SelfStock[WeekIndex],76)+SUMIFS(T_TTAFStock[TTAF_Qty],T_TTAFStock[RM_Code],$A12,T_TTAFStock[WeekIndex],76),BX12+'Grid_Incoming'!BY12-'Grid_Requirement'!BY12))</f>
        <v/>
      </c>
      <c r="BZ12">
        <f>IF(COUNTIFS(T_StockCount[RM_Code],$A12,T_StockCount[WeekIndex],77)&gt;0,SUMIFS(T_StockCount[CountedQty],T_StockCount[RM_Code],$A12,T_StockCount[WeekIndex],77),IF((COUNTIFS(T_SelfStock[RM_Code],$A12,T_SelfStock[WeekIndex],77)&gt;0)*(COUNTIFS(T_TTAFStock[RM_Code],$A12,T_TTAFStock[WeekIndex],77)&gt;0)&gt;0,SUMIFS(T_SelfStock[Self_Qty],T_SelfStock[RM_Code],$A12,T_SelfStock[WeekIndex],77)+SUMIFS(T_TTAFStock[TTAF_Qty],T_TTAFStock[RM_Code],$A12,T_TTAFStock[WeekIndex],77),BY12+'Grid_Incoming'!BZ12-'Grid_Requirement'!BZ12))</f>
        <v/>
      </c>
      <c r="CA12">
        <f>IF(COUNTIFS(T_StockCount[RM_Code],$A12,T_StockCount[WeekIndex],78)&gt;0,SUMIFS(T_StockCount[CountedQty],T_StockCount[RM_Code],$A12,T_StockCount[WeekIndex],78),IF((COUNTIFS(T_SelfStock[RM_Code],$A12,T_SelfStock[WeekIndex],78)&gt;0)*(COUNTIFS(T_TTAFStock[RM_Code],$A12,T_TTAFStock[WeekIndex],78)&gt;0)&gt;0,SUMIFS(T_SelfStock[Self_Qty],T_SelfStock[RM_Code],$A12,T_SelfStock[WeekIndex],78)+SUMIFS(T_TTAFStock[TTAF_Qty],T_TTAFStock[RM_Code],$A12,T_TTAFStock[WeekIndex],78),BZ12+'Grid_Incoming'!CA12-'Grid_Requirement'!CA12))</f>
        <v/>
      </c>
      <c r="CB12">
        <f>IF(COUNTIFS(T_StockCount[RM_Code],$A12,T_StockCount[WeekIndex],79)&gt;0,SUMIFS(T_StockCount[CountedQty],T_StockCount[RM_Code],$A12,T_StockCount[WeekIndex],79),IF((COUNTIFS(T_SelfStock[RM_Code],$A12,T_SelfStock[WeekIndex],79)&gt;0)*(COUNTIFS(T_TTAFStock[RM_Code],$A12,T_TTAFStock[WeekIndex],79)&gt;0)&gt;0,SUMIFS(T_SelfStock[Self_Qty],T_SelfStock[RM_Code],$A12,T_SelfStock[WeekIndex],79)+SUMIFS(T_TTAFStock[TTAF_Qty],T_TTAFStock[RM_Code],$A12,T_TTAFStock[WeekIndex],79),CA12+'Grid_Incoming'!CB12-'Grid_Requirement'!CB12))</f>
        <v/>
      </c>
      <c r="CC12">
        <f>IF(COUNTIFS(T_StockCount[RM_Code],$A12,T_StockCount[WeekIndex],80)&gt;0,SUMIFS(T_StockCount[CountedQty],T_StockCount[RM_Code],$A12,T_StockCount[WeekIndex],80),IF((COUNTIFS(T_SelfStock[RM_Code],$A12,T_SelfStock[WeekIndex],80)&gt;0)*(COUNTIFS(T_TTAFStock[RM_Code],$A12,T_TTAFStock[WeekIndex],80)&gt;0)&gt;0,SUMIFS(T_SelfStock[Self_Qty],T_SelfStock[RM_Code],$A12,T_SelfStock[WeekIndex],80)+SUMIFS(T_TTAFStock[TTAF_Qty],T_TTAFStock[RM_Code],$A12,T_TTAFStock[WeekIndex],80),CB12+'Grid_Incoming'!CC12-'Grid_Requirement'!CC12))</f>
        <v/>
      </c>
      <c r="CD12">
        <f>IF(COUNTIFS(T_StockCount[RM_Code],$A12,T_StockCount[WeekIndex],81)&gt;0,SUMIFS(T_StockCount[CountedQty],T_StockCount[RM_Code],$A12,T_StockCount[WeekIndex],81),IF((COUNTIFS(T_SelfStock[RM_Code],$A12,T_SelfStock[WeekIndex],81)&gt;0)*(COUNTIFS(T_TTAFStock[RM_Code],$A12,T_TTAFStock[WeekIndex],81)&gt;0)&gt;0,SUMIFS(T_SelfStock[Self_Qty],T_SelfStock[RM_Code],$A12,T_SelfStock[WeekIndex],81)+SUMIFS(T_TTAFStock[TTAF_Qty],T_TTAFStock[RM_Code],$A12,T_TTAFStock[WeekIndex],81),CC12+'Grid_Incoming'!CD12-'Grid_Requirement'!CD12))</f>
        <v/>
      </c>
      <c r="CE12">
        <f>IF(COUNTIFS(T_StockCount[RM_Code],$A12,T_StockCount[WeekIndex],82)&gt;0,SUMIFS(T_StockCount[CountedQty],T_StockCount[RM_Code],$A12,T_StockCount[WeekIndex],82),IF((COUNTIFS(T_SelfStock[RM_Code],$A12,T_SelfStock[WeekIndex],82)&gt;0)*(COUNTIFS(T_TTAFStock[RM_Code],$A12,T_TTAFStock[WeekIndex],82)&gt;0)&gt;0,SUMIFS(T_SelfStock[Self_Qty],T_SelfStock[RM_Code],$A12,T_SelfStock[WeekIndex],82)+SUMIFS(T_TTAFStock[TTAF_Qty],T_TTAFStock[RM_Code],$A12,T_TTAFStock[WeekIndex],82),CD12+'Grid_Incoming'!CE12-'Grid_Requirement'!CE12))</f>
        <v/>
      </c>
      <c r="CF12">
        <f>IF(COUNTIFS(T_StockCount[RM_Code],$A12,T_StockCount[WeekIndex],83)&gt;0,SUMIFS(T_StockCount[CountedQty],T_StockCount[RM_Code],$A12,T_StockCount[WeekIndex],83),IF((COUNTIFS(T_SelfStock[RM_Code],$A12,T_SelfStock[WeekIndex],83)&gt;0)*(COUNTIFS(T_TTAFStock[RM_Code],$A12,T_TTAFStock[WeekIndex],83)&gt;0)&gt;0,SUMIFS(T_SelfStock[Self_Qty],T_SelfStock[RM_Code],$A12,T_SelfStock[WeekIndex],83)+SUMIFS(T_TTAFStock[TTAF_Qty],T_TTAFStock[RM_Code],$A12,T_TTAFStock[WeekIndex],83),CE12+'Grid_Incoming'!CF12-'Grid_Requirement'!CF12))</f>
        <v/>
      </c>
      <c r="CG12">
        <f>IF(COUNTIFS(T_StockCount[RM_Code],$A12,T_StockCount[WeekIndex],84)&gt;0,SUMIFS(T_StockCount[CountedQty],T_StockCount[RM_Code],$A12,T_StockCount[WeekIndex],84),IF((COUNTIFS(T_SelfStock[RM_Code],$A12,T_SelfStock[WeekIndex],84)&gt;0)*(COUNTIFS(T_TTAFStock[RM_Code],$A12,T_TTAFStock[WeekIndex],84)&gt;0)&gt;0,SUMIFS(T_SelfStock[Self_Qty],T_SelfStock[RM_Code],$A12,T_SelfStock[WeekIndex],84)+SUMIFS(T_TTAFStock[TTAF_Qty],T_TTAFStock[RM_Code],$A12,T_TTAFStock[WeekIndex],84),CF12+'Grid_Incoming'!CG12-'Grid_Requirement'!CG12))</f>
        <v/>
      </c>
      <c r="CH12">
        <f>IF(COUNTIFS(T_StockCount[RM_Code],$A12,T_StockCount[WeekIndex],85)&gt;0,SUMIFS(T_StockCount[CountedQty],T_StockCount[RM_Code],$A12,T_StockCount[WeekIndex],85),IF((COUNTIFS(T_SelfStock[RM_Code],$A12,T_SelfStock[WeekIndex],85)&gt;0)*(COUNTIFS(T_TTAFStock[RM_Code],$A12,T_TTAFStock[WeekIndex],85)&gt;0)&gt;0,SUMIFS(T_SelfStock[Self_Qty],T_SelfStock[RM_Code],$A12,T_SelfStock[WeekIndex],85)+SUMIFS(T_TTAFStock[TTAF_Qty],T_TTAFStock[RM_Code],$A12,T_TTAFStock[WeekIndex],85),CG12+'Grid_Incoming'!CH12-'Grid_Requirement'!CH12))</f>
        <v/>
      </c>
      <c r="CI12">
        <f>IF(COUNTIFS(T_StockCount[RM_Code],$A12,T_StockCount[WeekIndex],86)&gt;0,SUMIFS(T_StockCount[CountedQty],T_StockCount[RM_Code],$A12,T_StockCount[WeekIndex],86),IF((COUNTIFS(T_SelfStock[RM_Code],$A12,T_SelfStock[WeekIndex],86)&gt;0)*(COUNTIFS(T_TTAFStock[RM_Code],$A12,T_TTAFStock[WeekIndex],86)&gt;0)&gt;0,SUMIFS(T_SelfStock[Self_Qty],T_SelfStock[RM_Code],$A12,T_SelfStock[WeekIndex],86)+SUMIFS(T_TTAFStock[TTAF_Qty],T_TTAFStock[RM_Code],$A12,T_TTAFStock[WeekIndex],86),CH12+'Grid_Incoming'!CI12-'Grid_Requirement'!CI12))</f>
        <v/>
      </c>
      <c r="CJ12">
        <f>IF(COUNTIFS(T_StockCount[RM_Code],$A12,T_StockCount[WeekIndex],87)&gt;0,SUMIFS(T_StockCount[CountedQty],T_StockCount[RM_Code],$A12,T_StockCount[WeekIndex],87),IF((COUNTIFS(T_SelfStock[RM_Code],$A12,T_SelfStock[WeekIndex],87)&gt;0)*(COUNTIFS(T_TTAFStock[RM_Code],$A12,T_TTAFStock[WeekIndex],87)&gt;0)&gt;0,SUMIFS(T_SelfStock[Self_Qty],T_SelfStock[RM_Code],$A12,T_SelfStock[WeekIndex],87)+SUMIFS(T_TTAFStock[TTAF_Qty],T_TTAFStock[RM_Code],$A12,T_TTAFStock[WeekIndex],87),CI12+'Grid_Incoming'!CJ12-'Grid_Requirement'!CJ12))</f>
        <v/>
      </c>
      <c r="CK12">
        <f>IF(COUNTIFS(T_StockCount[RM_Code],$A12,T_StockCount[WeekIndex],88)&gt;0,SUMIFS(T_StockCount[CountedQty],T_StockCount[RM_Code],$A12,T_StockCount[WeekIndex],88),IF((COUNTIFS(T_SelfStock[RM_Code],$A12,T_SelfStock[WeekIndex],88)&gt;0)*(COUNTIFS(T_TTAFStock[RM_Code],$A12,T_TTAFStock[WeekIndex],88)&gt;0)&gt;0,SUMIFS(T_SelfStock[Self_Qty],T_SelfStock[RM_Code],$A12,T_SelfStock[WeekIndex],88)+SUMIFS(T_TTAFStock[TTAF_Qty],T_TTAFStock[RM_Code],$A12,T_TTAFStock[WeekIndex],88),CJ12+'Grid_Incoming'!CK12-'Grid_Requirement'!CK12))</f>
        <v/>
      </c>
      <c r="CL12">
        <f>IF(COUNTIFS(T_StockCount[RM_Code],$A12,T_StockCount[WeekIndex],89)&gt;0,SUMIFS(T_StockCount[CountedQty],T_StockCount[RM_Code],$A12,T_StockCount[WeekIndex],89),IF((COUNTIFS(T_SelfStock[RM_Code],$A12,T_SelfStock[WeekIndex],89)&gt;0)*(COUNTIFS(T_TTAFStock[RM_Code],$A12,T_TTAFStock[WeekIndex],89)&gt;0)&gt;0,SUMIFS(T_SelfStock[Self_Qty],T_SelfStock[RM_Code],$A12,T_SelfStock[WeekIndex],89)+SUMIFS(T_TTAFStock[TTAF_Qty],T_TTAFStock[RM_Code],$A12,T_TTAFStock[WeekIndex],89),CK12+'Grid_Incoming'!CL12-'Grid_Requirement'!CL12))</f>
        <v/>
      </c>
      <c r="CM12">
        <f>IF(COUNTIFS(T_StockCount[RM_Code],$A12,T_StockCount[WeekIndex],90)&gt;0,SUMIFS(T_StockCount[CountedQty],T_StockCount[RM_Code],$A12,T_StockCount[WeekIndex],90),IF((COUNTIFS(T_SelfStock[RM_Code],$A12,T_SelfStock[WeekIndex],90)&gt;0)*(COUNTIFS(T_TTAFStock[RM_Code],$A12,T_TTAFStock[WeekIndex],90)&gt;0)&gt;0,SUMIFS(T_SelfStock[Self_Qty],T_SelfStock[RM_Code],$A12,T_SelfStock[WeekIndex],90)+SUMIFS(T_TTAFStock[TTAF_Qty],T_TTAFStock[RM_Code],$A12,T_TTAFStock[WeekIndex],90),CL12+'Grid_Incoming'!CM12-'Grid_Requirement'!CM12))</f>
        <v/>
      </c>
      <c r="CN12">
        <f>IF(COUNTIFS(T_StockCount[RM_Code],$A12,T_StockCount[WeekIndex],91)&gt;0,SUMIFS(T_StockCount[CountedQty],T_StockCount[RM_Code],$A12,T_StockCount[WeekIndex],91),IF((COUNTIFS(T_SelfStock[RM_Code],$A12,T_SelfStock[WeekIndex],91)&gt;0)*(COUNTIFS(T_TTAFStock[RM_Code],$A12,T_TTAFStock[WeekIndex],91)&gt;0)&gt;0,SUMIFS(T_SelfStock[Self_Qty],T_SelfStock[RM_Code],$A12,T_SelfStock[WeekIndex],91)+SUMIFS(T_TTAFStock[TTAF_Qty],T_TTAFStock[RM_Code],$A12,T_TTAFStock[WeekIndex],91),CM12+'Grid_Incoming'!CN12-'Grid_Requirement'!CN12))</f>
        <v/>
      </c>
      <c r="CO12">
        <f>IF(COUNTIFS(T_StockCount[RM_Code],$A12,T_StockCount[WeekIndex],92)&gt;0,SUMIFS(T_StockCount[CountedQty],T_StockCount[RM_Code],$A12,T_StockCount[WeekIndex],92),IF((COUNTIFS(T_SelfStock[RM_Code],$A12,T_SelfStock[WeekIndex],92)&gt;0)*(COUNTIFS(T_TTAFStock[RM_Code],$A12,T_TTAFStock[WeekIndex],92)&gt;0)&gt;0,SUMIFS(T_SelfStock[Self_Qty],T_SelfStock[RM_Code],$A12,T_SelfStock[WeekIndex],92)+SUMIFS(T_TTAFStock[TTAF_Qty],T_TTAFStock[RM_Code],$A12,T_TTAFStock[WeekIndex],92),CN12+'Grid_Incoming'!CO12-'Grid_Requirement'!CO12))</f>
        <v/>
      </c>
      <c r="CP12">
        <f>IF(COUNTIFS(T_StockCount[RM_Code],$A12,T_StockCount[WeekIndex],93)&gt;0,SUMIFS(T_StockCount[CountedQty],T_StockCount[RM_Code],$A12,T_StockCount[WeekIndex],93),IF((COUNTIFS(T_SelfStock[RM_Code],$A12,T_SelfStock[WeekIndex],93)&gt;0)*(COUNTIFS(T_TTAFStock[RM_Code],$A12,T_TTAFStock[WeekIndex],93)&gt;0)&gt;0,SUMIFS(T_SelfStock[Self_Qty],T_SelfStock[RM_Code],$A12,T_SelfStock[WeekIndex],93)+SUMIFS(T_TTAFStock[TTAF_Qty],T_TTAFStock[RM_Code],$A12,T_TTAFStock[WeekIndex],93),CO12+'Grid_Incoming'!CP12-'Grid_Requirement'!CP12))</f>
        <v/>
      </c>
      <c r="CQ12">
        <f>IF(COUNTIFS(T_StockCount[RM_Code],$A12,T_StockCount[WeekIndex],94)&gt;0,SUMIFS(T_StockCount[CountedQty],T_StockCount[RM_Code],$A12,T_StockCount[WeekIndex],94),IF((COUNTIFS(T_SelfStock[RM_Code],$A12,T_SelfStock[WeekIndex],94)&gt;0)*(COUNTIFS(T_TTAFStock[RM_Code],$A12,T_TTAFStock[WeekIndex],94)&gt;0)&gt;0,SUMIFS(T_SelfStock[Self_Qty],T_SelfStock[RM_Code],$A12,T_SelfStock[WeekIndex],94)+SUMIFS(T_TTAFStock[TTAF_Qty],T_TTAFStock[RM_Code],$A12,T_TTAFStock[WeekIndex],94),CP12+'Grid_Incoming'!CQ12-'Grid_Requirement'!CQ12))</f>
        <v/>
      </c>
      <c r="CR12">
        <f>IF(COUNTIFS(T_StockCount[RM_Code],$A12,T_StockCount[WeekIndex],95)&gt;0,SUMIFS(T_StockCount[CountedQty],T_StockCount[RM_Code],$A12,T_StockCount[WeekIndex],95),IF((COUNTIFS(T_SelfStock[RM_Code],$A12,T_SelfStock[WeekIndex],95)&gt;0)*(COUNTIFS(T_TTAFStock[RM_Code],$A12,T_TTAFStock[WeekIndex],95)&gt;0)&gt;0,SUMIFS(T_SelfStock[Self_Qty],T_SelfStock[RM_Code],$A12,T_SelfStock[WeekIndex],95)+SUMIFS(T_TTAFStock[TTAF_Qty],T_TTAFStock[RM_Code],$A12,T_TTAFStock[WeekIndex],95),CQ12+'Grid_Incoming'!CR12-'Grid_Requirement'!CR12))</f>
        <v/>
      </c>
      <c r="CS12">
        <f>IF(COUNTIFS(T_StockCount[RM_Code],$A12,T_StockCount[WeekIndex],96)&gt;0,SUMIFS(T_StockCount[CountedQty],T_StockCount[RM_Code],$A12,T_StockCount[WeekIndex],96),IF((COUNTIFS(T_SelfStock[RM_Code],$A12,T_SelfStock[WeekIndex],96)&gt;0)*(COUNTIFS(T_TTAFStock[RM_Code],$A12,T_TTAFStock[WeekIndex],96)&gt;0)&gt;0,SUMIFS(T_SelfStock[Self_Qty],T_SelfStock[RM_Code],$A12,T_SelfStock[WeekIndex],96)+SUMIFS(T_TTAFStock[TTAF_Qty],T_TTAFStock[RM_Code],$A12,T_TTAFStock[WeekIndex],96),CR12+'Grid_Incoming'!CS12-'Grid_Requirement'!CS12))</f>
        <v/>
      </c>
      <c r="CT12">
        <f>IF(COUNTIFS(T_StockCount[RM_Code],$A12,T_StockCount[WeekIndex],97)&gt;0,SUMIFS(T_StockCount[CountedQty],T_StockCount[RM_Code],$A12,T_StockCount[WeekIndex],97),IF((COUNTIFS(T_SelfStock[RM_Code],$A12,T_SelfStock[WeekIndex],97)&gt;0)*(COUNTIFS(T_TTAFStock[RM_Code],$A12,T_TTAFStock[WeekIndex],97)&gt;0)&gt;0,SUMIFS(T_SelfStock[Self_Qty],T_SelfStock[RM_Code],$A12,T_SelfStock[WeekIndex],97)+SUMIFS(T_TTAFStock[TTAF_Qty],T_TTAFStock[RM_Code],$A12,T_TTAFStock[WeekIndex],97),CS12+'Grid_Incoming'!CT12-'Grid_Requirement'!CT12))</f>
        <v/>
      </c>
      <c r="CU12">
        <f>IF(COUNTIFS(T_StockCount[RM_Code],$A12,T_StockCount[WeekIndex],98)&gt;0,SUMIFS(T_StockCount[CountedQty],T_StockCount[RM_Code],$A12,T_StockCount[WeekIndex],98),IF((COUNTIFS(T_SelfStock[RM_Code],$A12,T_SelfStock[WeekIndex],98)&gt;0)*(COUNTIFS(T_TTAFStock[RM_Code],$A12,T_TTAFStock[WeekIndex],98)&gt;0)&gt;0,SUMIFS(T_SelfStock[Self_Qty],T_SelfStock[RM_Code],$A12,T_SelfStock[WeekIndex],98)+SUMIFS(T_TTAFStock[TTAF_Qty],T_TTAFStock[RM_Code],$A12,T_TTAFStock[WeekIndex],98),CT12+'Grid_Incoming'!CU12-'Grid_Requirement'!CU12))</f>
        <v/>
      </c>
      <c r="CV12">
        <f>IF(COUNTIFS(T_StockCount[RM_Code],$A12,T_StockCount[WeekIndex],99)&gt;0,SUMIFS(T_StockCount[CountedQty],T_StockCount[RM_Code],$A12,T_StockCount[WeekIndex],99),IF((COUNTIFS(T_SelfStock[RM_Code],$A12,T_SelfStock[WeekIndex],99)&gt;0)*(COUNTIFS(T_TTAFStock[RM_Code],$A12,T_TTAFStock[WeekIndex],99)&gt;0)&gt;0,SUMIFS(T_SelfStock[Self_Qty],T_SelfStock[RM_Code],$A12,T_SelfStock[WeekIndex],99)+SUMIFS(T_TTAFStock[TTAF_Qty],T_TTAFStock[RM_Code],$A12,T_TTAFStock[WeekIndex],99),CU12+'Grid_Incoming'!CV12-'Grid_Requirement'!CV12))</f>
        <v/>
      </c>
      <c r="CW12">
        <f>IF(COUNTIFS(T_StockCount[RM_Code],$A12,T_StockCount[WeekIndex],100)&gt;0,SUMIFS(T_StockCount[CountedQty],T_StockCount[RM_Code],$A12,T_StockCount[WeekIndex],100),IF((COUNTIFS(T_SelfStock[RM_Code],$A12,T_SelfStock[WeekIndex],100)&gt;0)*(COUNTIFS(T_TTAFStock[RM_Code],$A12,T_TTAFStock[WeekIndex],100)&gt;0)&gt;0,SUMIFS(T_SelfStock[Self_Qty],T_SelfStock[RM_Code],$A12,T_SelfStock[WeekIndex],100)+SUMIFS(T_TTAFStock[TTAF_Qty],T_TTAFStock[RM_Code],$A12,T_TTAFStock[WeekIndex],100),CV12+'Grid_Incoming'!CW12-'Grid_Requirement'!CW12))</f>
        <v/>
      </c>
      <c r="CX12">
        <f>IF(COUNTIFS(T_StockCount[RM_Code],$A12,T_StockCount[WeekIndex],101)&gt;0,SUMIFS(T_StockCount[CountedQty],T_StockCount[RM_Code],$A12,T_StockCount[WeekIndex],101),IF((COUNTIFS(T_SelfStock[RM_Code],$A12,T_SelfStock[WeekIndex],101)&gt;0)*(COUNTIFS(T_TTAFStock[RM_Code],$A12,T_TTAFStock[WeekIndex],101)&gt;0)&gt;0,SUMIFS(T_SelfStock[Self_Qty],T_SelfStock[RM_Code],$A12,T_SelfStock[WeekIndex],101)+SUMIFS(T_TTAFStock[TTAF_Qty],T_TTAFStock[RM_Code],$A12,T_TTAFStock[WeekIndex],101),CW12+'Grid_Incoming'!CX12-'Grid_Requirement'!CX12))</f>
        <v/>
      </c>
      <c r="CY12">
        <f>IF(COUNTIFS(T_StockCount[RM_Code],$A12,T_StockCount[WeekIndex],102)&gt;0,SUMIFS(T_StockCount[CountedQty],T_StockCount[RM_Code],$A12,T_StockCount[WeekIndex],102),IF((COUNTIFS(T_SelfStock[RM_Code],$A12,T_SelfStock[WeekIndex],102)&gt;0)*(COUNTIFS(T_TTAFStock[RM_Code],$A12,T_TTAFStock[WeekIndex],102)&gt;0)&gt;0,SUMIFS(T_SelfStock[Self_Qty],T_SelfStock[RM_Code],$A12,T_SelfStock[WeekIndex],102)+SUMIFS(T_TTAFStock[TTAF_Qty],T_TTAFStock[RM_Code],$A12,T_TTAFStock[WeekIndex],102),CX12+'Grid_Incoming'!CY12-'Grid_Requirement'!CY12))</f>
        <v/>
      </c>
      <c r="CZ12">
        <f>IF(COUNTIFS(T_StockCount[RM_Code],$A12,T_StockCount[WeekIndex],103)&gt;0,SUMIFS(T_StockCount[CountedQty],T_StockCount[RM_Code],$A12,T_StockCount[WeekIndex],103),IF((COUNTIFS(T_SelfStock[RM_Code],$A12,T_SelfStock[WeekIndex],103)&gt;0)*(COUNTIFS(T_TTAFStock[RM_Code],$A12,T_TTAFStock[WeekIndex],103)&gt;0)&gt;0,SUMIFS(T_SelfStock[Self_Qty],T_SelfStock[RM_Code],$A12,T_SelfStock[WeekIndex],103)+SUMIFS(T_TTAFStock[TTAF_Qty],T_TTAFStock[RM_Code],$A12,T_TTAFStock[WeekIndex],103),CY12+'Grid_Incoming'!CZ12-'Grid_Requirement'!CZ12))</f>
        <v/>
      </c>
      <c r="DA12">
        <f>IF(COUNTIFS(T_StockCount[RM_Code],$A12,T_StockCount[WeekIndex],104)&gt;0,SUMIFS(T_StockCount[CountedQty],T_StockCount[RM_Code],$A12,T_StockCount[WeekIndex],104),IF((COUNTIFS(T_SelfStock[RM_Code],$A12,T_SelfStock[WeekIndex],104)&gt;0)*(COUNTIFS(T_TTAFStock[RM_Code],$A12,T_TTAFStock[WeekIndex],104)&gt;0)&gt;0,SUMIFS(T_SelfStock[Self_Qty],T_SelfStock[RM_Code],$A12,T_SelfStock[WeekIndex],104)+SUMIFS(T_TTAFStock[TTAF_Qty],T_TTAFStock[RM_Code],$A12,T_TTAFStock[WeekIndex],104),CZ12+'Grid_Incoming'!DA12-'Grid_Requirement'!DA12))</f>
        <v/>
      </c>
    </row>
    <row r="13">
      <c r="A13" t="inlineStr">
        <is>
          <t>1EK</t>
        </is>
      </c>
      <c r="B13">
        <f>IF(COUNTIFS(T_StockCount[RM_Code],$A13,T_StockCount[WeekIndex],1)&gt;0,SUMIFS(T_StockCount[CountedQty],T_StockCount[RM_Code],$A13,T_StockCount[WeekIndex],1),IF((COUNTIFS(T_SelfStock[RM_Code],$A13,T_SelfStock[WeekIndex],1)&gt;0)*(COUNTIFS(T_TTAFStock[RM_Code],$A13,T_TTAFStock[WeekIndex],1)&gt;0)&gt;0,SUMIFS(T_SelfStock[Self_Qty],T_SelfStock[RM_Code],$A13,T_SelfStock[WeekIndex],1)+SUMIFS(T_TTAFStock[TTAF_Qty],T_TTAFStock[RM_Code],$A13,T_TTAFStock[WeekIndex],1),IFERROR(INDEX(T_OpeningStock[Opening_Qty],MATCH($A13,T_OpeningStock[RM_Code],0)),0)+'Grid_Incoming'!B13-'Grid_Requirement'!B13))</f>
        <v/>
      </c>
      <c r="C13">
        <f>IF(COUNTIFS(T_StockCount[RM_Code],$A13,T_StockCount[WeekIndex],2)&gt;0,SUMIFS(T_StockCount[CountedQty],T_StockCount[RM_Code],$A13,T_StockCount[WeekIndex],2),IF((COUNTIFS(T_SelfStock[RM_Code],$A13,T_SelfStock[WeekIndex],2)&gt;0)*(COUNTIFS(T_TTAFStock[RM_Code],$A13,T_TTAFStock[WeekIndex],2)&gt;0)&gt;0,SUMIFS(T_SelfStock[Self_Qty],T_SelfStock[RM_Code],$A13,T_SelfStock[WeekIndex],2)+SUMIFS(T_TTAFStock[TTAF_Qty],T_TTAFStock[RM_Code],$A13,T_TTAFStock[WeekIndex],2),B13+'Grid_Incoming'!C13-'Grid_Requirement'!C13))</f>
        <v/>
      </c>
      <c r="D13">
        <f>IF(COUNTIFS(T_StockCount[RM_Code],$A13,T_StockCount[WeekIndex],3)&gt;0,SUMIFS(T_StockCount[CountedQty],T_StockCount[RM_Code],$A13,T_StockCount[WeekIndex],3),IF((COUNTIFS(T_SelfStock[RM_Code],$A13,T_SelfStock[WeekIndex],3)&gt;0)*(COUNTIFS(T_TTAFStock[RM_Code],$A13,T_TTAFStock[WeekIndex],3)&gt;0)&gt;0,SUMIFS(T_SelfStock[Self_Qty],T_SelfStock[RM_Code],$A13,T_SelfStock[WeekIndex],3)+SUMIFS(T_TTAFStock[TTAF_Qty],T_TTAFStock[RM_Code],$A13,T_TTAFStock[WeekIndex],3),C13+'Grid_Incoming'!D13-'Grid_Requirement'!D13))</f>
        <v/>
      </c>
      <c r="E13">
        <f>IF(COUNTIFS(T_StockCount[RM_Code],$A13,T_StockCount[WeekIndex],4)&gt;0,SUMIFS(T_StockCount[CountedQty],T_StockCount[RM_Code],$A13,T_StockCount[WeekIndex],4),IF((COUNTIFS(T_SelfStock[RM_Code],$A13,T_SelfStock[WeekIndex],4)&gt;0)*(COUNTIFS(T_TTAFStock[RM_Code],$A13,T_TTAFStock[WeekIndex],4)&gt;0)&gt;0,SUMIFS(T_SelfStock[Self_Qty],T_SelfStock[RM_Code],$A13,T_SelfStock[WeekIndex],4)+SUMIFS(T_TTAFStock[TTAF_Qty],T_TTAFStock[RM_Code],$A13,T_TTAFStock[WeekIndex],4),D13+'Grid_Incoming'!E13-'Grid_Requirement'!E13))</f>
        <v/>
      </c>
      <c r="F13">
        <f>IF(COUNTIFS(T_StockCount[RM_Code],$A13,T_StockCount[WeekIndex],5)&gt;0,SUMIFS(T_StockCount[CountedQty],T_StockCount[RM_Code],$A13,T_StockCount[WeekIndex],5),IF((COUNTIFS(T_SelfStock[RM_Code],$A13,T_SelfStock[WeekIndex],5)&gt;0)*(COUNTIFS(T_TTAFStock[RM_Code],$A13,T_TTAFStock[WeekIndex],5)&gt;0)&gt;0,SUMIFS(T_SelfStock[Self_Qty],T_SelfStock[RM_Code],$A13,T_SelfStock[WeekIndex],5)+SUMIFS(T_TTAFStock[TTAF_Qty],T_TTAFStock[RM_Code],$A13,T_TTAFStock[WeekIndex],5),E13+'Grid_Incoming'!F13-'Grid_Requirement'!F13))</f>
        <v/>
      </c>
      <c r="G13">
        <f>IF(COUNTIFS(T_StockCount[RM_Code],$A13,T_StockCount[WeekIndex],6)&gt;0,SUMIFS(T_StockCount[CountedQty],T_StockCount[RM_Code],$A13,T_StockCount[WeekIndex],6),IF((COUNTIFS(T_SelfStock[RM_Code],$A13,T_SelfStock[WeekIndex],6)&gt;0)*(COUNTIFS(T_TTAFStock[RM_Code],$A13,T_TTAFStock[WeekIndex],6)&gt;0)&gt;0,SUMIFS(T_SelfStock[Self_Qty],T_SelfStock[RM_Code],$A13,T_SelfStock[WeekIndex],6)+SUMIFS(T_TTAFStock[TTAF_Qty],T_TTAFStock[RM_Code],$A13,T_TTAFStock[WeekIndex],6),F13+'Grid_Incoming'!G13-'Grid_Requirement'!G13))</f>
        <v/>
      </c>
      <c r="H13">
        <f>IF(COUNTIFS(T_StockCount[RM_Code],$A13,T_StockCount[WeekIndex],7)&gt;0,SUMIFS(T_StockCount[CountedQty],T_StockCount[RM_Code],$A13,T_StockCount[WeekIndex],7),IF((COUNTIFS(T_SelfStock[RM_Code],$A13,T_SelfStock[WeekIndex],7)&gt;0)*(COUNTIFS(T_TTAFStock[RM_Code],$A13,T_TTAFStock[WeekIndex],7)&gt;0)&gt;0,SUMIFS(T_SelfStock[Self_Qty],T_SelfStock[RM_Code],$A13,T_SelfStock[WeekIndex],7)+SUMIFS(T_TTAFStock[TTAF_Qty],T_TTAFStock[RM_Code],$A13,T_TTAFStock[WeekIndex],7),G13+'Grid_Incoming'!H13-'Grid_Requirement'!H13))</f>
        <v/>
      </c>
      <c r="I13">
        <f>IF(COUNTIFS(T_StockCount[RM_Code],$A13,T_StockCount[WeekIndex],8)&gt;0,SUMIFS(T_StockCount[CountedQty],T_StockCount[RM_Code],$A13,T_StockCount[WeekIndex],8),IF((COUNTIFS(T_SelfStock[RM_Code],$A13,T_SelfStock[WeekIndex],8)&gt;0)*(COUNTIFS(T_TTAFStock[RM_Code],$A13,T_TTAFStock[WeekIndex],8)&gt;0)&gt;0,SUMIFS(T_SelfStock[Self_Qty],T_SelfStock[RM_Code],$A13,T_SelfStock[WeekIndex],8)+SUMIFS(T_TTAFStock[TTAF_Qty],T_TTAFStock[RM_Code],$A13,T_TTAFStock[WeekIndex],8),H13+'Grid_Incoming'!I13-'Grid_Requirement'!I13))</f>
        <v/>
      </c>
      <c r="J13">
        <f>IF(COUNTIFS(T_StockCount[RM_Code],$A13,T_StockCount[WeekIndex],9)&gt;0,SUMIFS(T_StockCount[CountedQty],T_StockCount[RM_Code],$A13,T_StockCount[WeekIndex],9),IF((COUNTIFS(T_SelfStock[RM_Code],$A13,T_SelfStock[WeekIndex],9)&gt;0)*(COUNTIFS(T_TTAFStock[RM_Code],$A13,T_TTAFStock[WeekIndex],9)&gt;0)&gt;0,SUMIFS(T_SelfStock[Self_Qty],T_SelfStock[RM_Code],$A13,T_SelfStock[WeekIndex],9)+SUMIFS(T_TTAFStock[TTAF_Qty],T_TTAFStock[RM_Code],$A13,T_TTAFStock[WeekIndex],9),I13+'Grid_Incoming'!J13-'Grid_Requirement'!J13))</f>
        <v/>
      </c>
      <c r="K13">
        <f>IF(COUNTIFS(T_StockCount[RM_Code],$A13,T_StockCount[WeekIndex],10)&gt;0,SUMIFS(T_StockCount[CountedQty],T_StockCount[RM_Code],$A13,T_StockCount[WeekIndex],10),IF((COUNTIFS(T_SelfStock[RM_Code],$A13,T_SelfStock[WeekIndex],10)&gt;0)*(COUNTIFS(T_TTAFStock[RM_Code],$A13,T_TTAFStock[WeekIndex],10)&gt;0)&gt;0,SUMIFS(T_SelfStock[Self_Qty],T_SelfStock[RM_Code],$A13,T_SelfStock[WeekIndex],10)+SUMIFS(T_TTAFStock[TTAF_Qty],T_TTAFStock[RM_Code],$A13,T_TTAFStock[WeekIndex],10),J13+'Grid_Incoming'!K13-'Grid_Requirement'!K13))</f>
        <v/>
      </c>
      <c r="L13">
        <f>IF(COUNTIFS(T_StockCount[RM_Code],$A13,T_StockCount[WeekIndex],11)&gt;0,SUMIFS(T_StockCount[CountedQty],T_StockCount[RM_Code],$A13,T_StockCount[WeekIndex],11),IF((COUNTIFS(T_SelfStock[RM_Code],$A13,T_SelfStock[WeekIndex],11)&gt;0)*(COUNTIFS(T_TTAFStock[RM_Code],$A13,T_TTAFStock[WeekIndex],11)&gt;0)&gt;0,SUMIFS(T_SelfStock[Self_Qty],T_SelfStock[RM_Code],$A13,T_SelfStock[WeekIndex],11)+SUMIFS(T_TTAFStock[TTAF_Qty],T_TTAFStock[RM_Code],$A13,T_TTAFStock[WeekIndex],11),K13+'Grid_Incoming'!L13-'Grid_Requirement'!L13))</f>
        <v/>
      </c>
      <c r="M13">
        <f>IF(COUNTIFS(T_StockCount[RM_Code],$A13,T_StockCount[WeekIndex],12)&gt;0,SUMIFS(T_StockCount[CountedQty],T_StockCount[RM_Code],$A13,T_StockCount[WeekIndex],12),IF((COUNTIFS(T_SelfStock[RM_Code],$A13,T_SelfStock[WeekIndex],12)&gt;0)*(COUNTIFS(T_TTAFStock[RM_Code],$A13,T_TTAFStock[WeekIndex],12)&gt;0)&gt;0,SUMIFS(T_SelfStock[Self_Qty],T_SelfStock[RM_Code],$A13,T_SelfStock[WeekIndex],12)+SUMIFS(T_TTAFStock[TTAF_Qty],T_TTAFStock[RM_Code],$A13,T_TTAFStock[WeekIndex],12),L13+'Grid_Incoming'!M13-'Grid_Requirement'!M13))</f>
        <v/>
      </c>
      <c r="N13">
        <f>IF(COUNTIFS(T_StockCount[RM_Code],$A13,T_StockCount[WeekIndex],13)&gt;0,SUMIFS(T_StockCount[CountedQty],T_StockCount[RM_Code],$A13,T_StockCount[WeekIndex],13),IF((COUNTIFS(T_SelfStock[RM_Code],$A13,T_SelfStock[WeekIndex],13)&gt;0)*(COUNTIFS(T_TTAFStock[RM_Code],$A13,T_TTAFStock[WeekIndex],13)&gt;0)&gt;0,SUMIFS(T_SelfStock[Self_Qty],T_SelfStock[RM_Code],$A13,T_SelfStock[WeekIndex],13)+SUMIFS(T_TTAFStock[TTAF_Qty],T_TTAFStock[RM_Code],$A13,T_TTAFStock[WeekIndex],13),M13+'Grid_Incoming'!N13-'Grid_Requirement'!N13))</f>
        <v/>
      </c>
      <c r="O13">
        <f>IF(COUNTIFS(T_StockCount[RM_Code],$A13,T_StockCount[WeekIndex],14)&gt;0,SUMIFS(T_StockCount[CountedQty],T_StockCount[RM_Code],$A13,T_StockCount[WeekIndex],14),IF((COUNTIFS(T_SelfStock[RM_Code],$A13,T_SelfStock[WeekIndex],14)&gt;0)*(COUNTIFS(T_TTAFStock[RM_Code],$A13,T_TTAFStock[WeekIndex],14)&gt;0)&gt;0,SUMIFS(T_SelfStock[Self_Qty],T_SelfStock[RM_Code],$A13,T_SelfStock[WeekIndex],14)+SUMIFS(T_TTAFStock[TTAF_Qty],T_TTAFStock[RM_Code],$A13,T_TTAFStock[WeekIndex],14),N13+'Grid_Incoming'!O13-'Grid_Requirement'!O13))</f>
        <v/>
      </c>
      <c r="P13">
        <f>IF(COUNTIFS(T_StockCount[RM_Code],$A13,T_StockCount[WeekIndex],15)&gt;0,SUMIFS(T_StockCount[CountedQty],T_StockCount[RM_Code],$A13,T_StockCount[WeekIndex],15),IF((COUNTIFS(T_SelfStock[RM_Code],$A13,T_SelfStock[WeekIndex],15)&gt;0)*(COUNTIFS(T_TTAFStock[RM_Code],$A13,T_TTAFStock[WeekIndex],15)&gt;0)&gt;0,SUMIFS(T_SelfStock[Self_Qty],T_SelfStock[RM_Code],$A13,T_SelfStock[WeekIndex],15)+SUMIFS(T_TTAFStock[TTAF_Qty],T_TTAFStock[RM_Code],$A13,T_TTAFStock[WeekIndex],15),O13+'Grid_Incoming'!P13-'Grid_Requirement'!P13))</f>
        <v/>
      </c>
      <c r="Q13">
        <f>IF(COUNTIFS(T_StockCount[RM_Code],$A13,T_StockCount[WeekIndex],16)&gt;0,SUMIFS(T_StockCount[CountedQty],T_StockCount[RM_Code],$A13,T_StockCount[WeekIndex],16),IF((COUNTIFS(T_SelfStock[RM_Code],$A13,T_SelfStock[WeekIndex],16)&gt;0)*(COUNTIFS(T_TTAFStock[RM_Code],$A13,T_TTAFStock[WeekIndex],16)&gt;0)&gt;0,SUMIFS(T_SelfStock[Self_Qty],T_SelfStock[RM_Code],$A13,T_SelfStock[WeekIndex],16)+SUMIFS(T_TTAFStock[TTAF_Qty],T_TTAFStock[RM_Code],$A13,T_TTAFStock[WeekIndex],16),P13+'Grid_Incoming'!Q13-'Grid_Requirement'!Q13))</f>
        <v/>
      </c>
      <c r="R13">
        <f>IF(COUNTIFS(T_StockCount[RM_Code],$A13,T_StockCount[WeekIndex],17)&gt;0,SUMIFS(T_StockCount[CountedQty],T_StockCount[RM_Code],$A13,T_StockCount[WeekIndex],17),IF((COUNTIFS(T_SelfStock[RM_Code],$A13,T_SelfStock[WeekIndex],17)&gt;0)*(COUNTIFS(T_TTAFStock[RM_Code],$A13,T_TTAFStock[WeekIndex],17)&gt;0)&gt;0,SUMIFS(T_SelfStock[Self_Qty],T_SelfStock[RM_Code],$A13,T_SelfStock[WeekIndex],17)+SUMIFS(T_TTAFStock[TTAF_Qty],T_TTAFStock[RM_Code],$A13,T_TTAFStock[WeekIndex],17),Q13+'Grid_Incoming'!R13-'Grid_Requirement'!R13))</f>
        <v/>
      </c>
      <c r="S13">
        <f>IF(COUNTIFS(T_StockCount[RM_Code],$A13,T_StockCount[WeekIndex],18)&gt;0,SUMIFS(T_StockCount[CountedQty],T_StockCount[RM_Code],$A13,T_StockCount[WeekIndex],18),IF((COUNTIFS(T_SelfStock[RM_Code],$A13,T_SelfStock[WeekIndex],18)&gt;0)*(COUNTIFS(T_TTAFStock[RM_Code],$A13,T_TTAFStock[WeekIndex],18)&gt;0)&gt;0,SUMIFS(T_SelfStock[Self_Qty],T_SelfStock[RM_Code],$A13,T_SelfStock[WeekIndex],18)+SUMIFS(T_TTAFStock[TTAF_Qty],T_TTAFStock[RM_Code],$A13,T_TTAFStock[WeekIndex],18),R13+'Grid_Incoming'!S13-'Grid_Requirement'!S13))</f>
        <v/>
      </c>
      <c r="T13">
        <f>IF(COUNTIFS(T_StockCount[RM_Code],$A13,T_StockCount[WeekIndex],19)&gt;0,SUMIFS(T_StockCount[CountedQty],T_StockCount[RM_Code],$A13,T_StockCount[WeekIndex],19),IF((COUNTIFS(T_SelfStock[RM_Code],$A13,T_SelfStock[WeekIndex],19)&gt;0)*(COUNTIFS(T_TTAFStock[RM_Code],$A13,T_TTAFStock[WeekIndex],19)&gt;0)&gt;0,SUMIFS(T_SelfStock[Self_Qty],T_SelfStock[RM_Code],$A13,T_SelfStock[WeekIndex],19)+SUMIFS(T_TTAFStock[TTAF_Qty],T_TTAFStock[RM_Code],$A13,T_TTAFStock[WeekIndex],19),S13+'Grid_Incoming'!T13-'Grid_Requirement'!T13))</f>
        <v/>
      </c>
      <c r="U13">
        <f>IF(COUNTIFS(T_StockCount[RM_Code],$A13,T_StockCount[WeekIndex],20)&gt;0,SUMIFS(T_StockCount[CountedQty],T_StockCount[RM_Code],$A13,T_StockCount[WeekIndex],20),IF((COUNTIFS(T_SelfStock[RM_Code],$A13,T_SelfStock[WeekIndex],20)&gt;0)*(COUNTIFS(T_TTAFStock[RM_Code],$A13,T_TTAFStock[WeekIndex],20)&gt;0)&gt;0,SUMIFS(T_SelfStock[Self_Qty],T_SelfStock[RM_Code],$A13,T_SelfStock[WeekIndex],20)+SUMIFS(T_TTAFStock[TTAF_Qty],T_TTAFStock[RM_Code],$A13,T_TTAFStock[WeekIndex],20),T13+'Grid_Incoming'!U13-'Grid_Requirement'!U13))</f>
        <v/>
      </c>
      <c r="V13">
        <f>IF(COUNTIFS(T_StockCount[RM_Code],$A13,T_StockCount[WeekIndex],21)&gt;0,SUMIFS(T_StockCount[CountedQty],T_StockCount[RM_Code],$A13,T_StockCount[WeekIndex],21),IF((COUNTIFS(T_SelfStock[RM_Code],$A13,T_SelfStock[WeekIndex],21)&gt;0)*(COUNTIFS(T_TTAFStock[RM_Code],$A13,T_TTAFStock[WeekIndex],21)&gt;0)&gt;0,SUMIFS(T_SelfStock[Self_Qty],T_SelfStock[RM_Code],$A13,T_SelfStock[WeekIndex],21)+SUMIFS(T_TTAFStock[TTAF_Qty],T_TTAFStock[RM_Code],$A13,T_TTAFStock[WeekIndex],21),U13+'Grid_Incoming'!V13-'Grid_Requirement'!V13))</f>
        <v/>
      </c>
      <c r="W13">
        <f>IF(COUNTIFS(T_StockCount[RM_Code],$A13,T_StockCount[WeekIndex],22)&gt;0,SUMIFS(T_StockCount[CountedQty],T_StockCount[RM_Code],$A13,T_StockCount[WeekIndex],22),IF((COUNTIFS(T_SelfStock[RM_Code],$A13,T_SelfStock[WeekIndex],22)&gt;0)*(COUNTIFS(T_TTAFStock[RM_Code],$A13,T_TTAFStock[WeekIndex],22)&gt;0)&gt;0,SUMIFS(T_SelfStock[Self_Qty],T_SelfStock[RM_Code],$A13,T_SelfStock[WeekIndex],22)+SUMIFS(T_TTAFStock[TTAF_Qty],T_TTAFStock[RM_Code],$A13,T_TTAFStock[WeekIndex],22),V13+'Grid_Incoming'!W13-'Grid_Requirement'!W13))</f>
        <v/>
      </c>
      <c r="X13">
        <f>IF(COUNTIFS(T_StockCount[RM_Code],$A13,T_StockCount[WeekIndex],23)&gt;0,SUMIFS(T_StockCount[CountedQty],T_StockCount[RM_Code],$A13,T_StockCount[WeekIndex],23),IF((COUNTIFS(T_SelfStock[RM_Code],$A13,T_SelfStock[WeekIndex],23)&gt;0)*(COUNTIFS(T_TTAFStock[RM_Code],$A13,T_TTAFStock[WeekIndex],23)&gt;0)&gt;0,SUMIFS(T_SelfStock[Self_Qty],T_SelfStock[RM_Code],$A13,T_SelfStock[WeekIndex],23)+SUMIFS(T_TTAFStock[TTAF_Qty],T_TTAFStock[RM_Code],$A13,T_TTAFStock[WeekIndex],23),W13+'Grid_Incoming'!X13-'Grid_Requirement'!X13))</f>
        <v/>
      </c>
      <c r="Y13">
        <f>IF(COUNTIFS(T_StockCount[RM_Code],$A13,T_StockCount[WeekIndex],24)&gt;0,SUMIFS(T_StockCount[CountedQty],T_StockCount[RM_Code],$A13,T_StockCount[WeekIndex],24),IF((COUNTIFS(T_SelfStock[RM_Code],$A13,T_SelfStock[WeekIndex],24)&gt;0)*(COUNTIFS(T_TTAFStock[RM_Code],$A13,T_TTAFStock[WeekIndex],24)&gt;0)&gt;0,SUMIFS(T_SelfStock[Self_Qty],T_SelfStock[RM_Code],$A13,T_SelfStock[WeekIndex],24)+SUMIFS(T_TTAFStock[TTAF_Qty],T_TTAFStock[RM_Code],$A13,T_TTAFStock[WeekIndex],24),X13+'Grid_Incoming'!Y13-'Grid_Requirement'!Y13))</f>
        <v/>
      </c>
      <c r="Z13">
        <f>IF(COUNTIFS(T_StockCount[RM_Code],$A13,T_StockCount[WeekIndex],25)&gt;0,SUMIFS(T_StockCount[CountedQty],T_StockCount[RM_Code],$A13,T_StockCount[WeekIndex],25),IF((COUNTIFS(T_SelfStock[RM_Code],$A13,T_SelfStock[WeekIndex],25)&gt;0)*(COUNTIFS(T_TTAFStock[RM_Code],$A13,T_TTAFStock[WeekIndex],25)&gt;0)&gt;0,SUMIFS(T_SelfStock[Self_Qty],T_SelfStock[RM_Code],$A13,T_SelfStock[WeekIndex],25)+SUMIFS(T_TTAFStock[TTAF_Qty],T_TTAFStock[RM_Code],$A13,T_TTAFStock[WeekIndex],25),Y13+'Grid_Incoming'!Z13-'Grid_Requirement'!Z13))</f>
        <v/>
      </c>
      <c r="AA13">
        <f>IF(COUNTIFS(T_StockCount[RM_Code],$A13,T_StockCount[WeekIndex],26)&gt;0,SUMIFS(T_StockCount[CountedQty],T_StockCount[RM_Code],$A13,T_StockCount[WeekIndex],26),IF((COUNTIFS(T_SelfStock[RM_Code],$A13,T_SelfStock[WeekIndex],26)&gt;0)*(COUNTIFS(T_TTAFStock[RM_Code],$A13,T_TTAFStock[WeekIndex],26)&gt;0)&gt;0,SUMIFS(T_SelfStock[Self_Qty],T_SelfStock[RM_Code],$A13,T_SelfStock[WeekIndex],26)+SUMIFS(T_TTAFStock[TTAF_Qty],T_TTAFStock[RM_Code],$A13,T_TTAFStock[WeekIndex],26),Z13+'Grid_Incoming'!AA13-'Grid_Requirement'!AA13))</f>
        <v/>
      </c>
      <c r="AB13">
        <f>IF(COUNTIFS(T_StockCount[RM_Code],$A13,T_StockCount[WeekIndex],27)&gt;0,SUMIFS(T_StockCount[CountedQty],T_StockCount[RM_Code],$A13,T_StockCount[WeekIndex],27),IF((COUNTIFS(T_SelfStock[RM_Code],$A13,T_SelfStock[WeekIndex],27)&gt;0)*(COUNTIFS(T_TTAFStock[RM_Code],$A13,T_TTAFStock[WeekIndex],27)&gt;0)&gt;0,SUMIFS(T_SelfStock[Self_Qty],T_SelfStock[RM_Code],$A13,T_SelfStock[WeekIndex],27)+SUMIFS(T_TTAFStock[TTAF_Qty],T_TTAFStock[RM_Code],$A13,T_TTAFStock[WeekIndex],27),AA13+'Grid_Incoming'!AB13-'Grid_Requirement'!AB13))</f>
        <v/>
      </c>
      <c r="AC13">
        <f>IF(COUNTIFS(T_StockCount[RM_Code],$A13,T_StockCount[WeekIndex],28)&gt;0,SUMIFS(T_StockCount[CountedQty],T_StockCount[RM_Code],$A13,T_StockCount[WeekIndex],28),IF((COUNTIFS(T_SelfStock[RM_Code],$A13,T_SelfStock[WeekIndex],28)&gt;0)*(COUNTIFS(T_TTAFStock[RM_Code],$A13,T_TTAFStock[WeekIndex],28)&gt;0)&gt;0,SUMIFS(T_SelfStock[Self_Qty],T_SelfStock[RM_Code],$A13,T_SelfStock[WeekIndex],28)+SUMIFS(T_TTAFStock[TTAF_Qty],T_TTAFStock[RM_Code],$A13,T_TTAFStock[WeekIndex],28),AB13+'Grid_Incoming'!AC13-'Grid_Requirement'!AC13))</f>
        <v/>
      </c>
      <c r="AD13">
        <f>IF(COUNTIFS(T_StockCount[RM_Code],$A13,T_StockCount[WeekIndex],29)&gt;0,SUMIFS(T_StockCount[CountedQty],T_StockCount[RM_Code],$A13,T_StockCount[WeekIndex],29),IF((COUNTIFS(T_SelfStock[RM_Code],$A13,T_SelfStock[WeekIndex],29)&gt;0)*(COUNTIFS(T_TTAFStock[RM_Code],$A13,T_TTAFStock[WeekIndex],29)&gt;0)&gt;0,SUMIFS(T_SelfStock[Self_Qty],T_SelfStock[RM_Code],$A13,T_SelfStock[WeekIndex],29)+SUMIFS(T_TTAFStock[TTAF_Qty],T_TTAFStock[RM_Code],$A13,T_TTAFStock[WeekIndex],29),AC13+'Grid_Incoming'!AD13-'Grid_Requirement'!AD13))</f>
        <v/>
      </c>
      <c r="AE13">
        <f>IF(COUNTIFS(T_StockCount[RM_Code],$A13,T_StockCount[WeekIndex],30)&gt;0,SUMIFS(T_StockCount[CountedQty],T_StockCount[RM_Code],$A13,T_StockCount[WeekIndex],30),IF((COUNTIFS(T_SelfStock[RM_Code],$A13,T_SelfStock[WeekIndex],30)&gt;0)*(COUNTIFS(T_TTAFStock[RM_Code],$A13,T_TTAFStock[WeekIndex],30)&gt;0)&gt;0,SUMIFS(T_SelfStock[Self_Qty],T_SelfStock[RM_Code],$A13,T_SelfStock[WeekIndex],30)+SUMIFS(T_TTAFStock[TTAF_Qty],T_TTAFStock[RM_Code],$A13,T_TTAFStock[WeekIndex],30),AD13+'Grid_Incoming'!AE13-'Grid_Requirement'!AE13))</f>
        <v/>
      </c>
      <c r="AF13">
        <f>IF(COUNTIFS(T_StockCount[RM_Code],$A13,T_StockCount[WeekIndex],31)&gt;0,SUMIFS(T_StockCount[CountedQty],T_StockCount[RM_Code],$A13,T_StockCount[WeekIndex],31),IF((COUNTIFS(T_SelfStock[RM_Code],$A13,T_SelfStock[WeekIndex],31)&gt;0)*(COUNTIFS(T_TTAFStock[RM_Code],$A13,T_TTAFStock[WeekIndex],31)&gt;0)&gt;0,SUMIFS(T_SelfStock[Self_Qty],T_SelfStock[RM_Code],$A13,T_SelfStock[WeekIndex],31)+SUMIFS(T_TTAFStock[TTAF_Qty],T_TTAFStock[RM_Code],$A13,T_TTAFStock[WeekIndex],31),AE13+'Grid_Incoming'!AF13-'Grid_Requirement'!AF13))</f>
        <v/>
      </c>
      <c r="AG13">
        <f>IF(COUNTIFS(T_StockCount[RM_Code],$A13,T_StockCount[WeekIndex],32)&gt;0,SUMIFS(T_StockCount[CountedQty],T_StockCount[RM_Code],$A13,T_StockCount[WeekIndex],32),IF((COUNTIFS(T_SelfStock[RM_Code],$A13,T_SelfStock[WeekIndex],32)&gt;0)*(COUNTIFS(T_TTAFStock[RM_Code],$A13,T_TTAFStock[WeekIndex],32)&gt;0)&gt;0,SUMIFS(T_SelfStock[Self_Qty],T_SelfStock[RM_Code],$A13,T_SelfStock[WeekIndex],32)+SUMIFS(T_TTAFStock[TTAF_Qty],T_TTAFStock[RM_Code],$A13,T_TTAFStock[WeekIndex],32),AF13+'Grid_Incoming'!AG13-'Grid_Requirement'!AG13))</f>
        <v/>
      </c>
      <c r="AH13">
        <f>IF(COUNTIFS(T_StockCount[RM_Code],$A13,T_StockCount[WeekIndex],33)&gt;0,SUMIFS(T_StockCount[CountedQty],T_StockCount[RM_Code],$A13,T_StockCount[WeekIndex],33),IF((COUNTIFS(T_SelfStock[RM_Code],$A13,T_SelfStock[WeekIndex],33)&gt;0)*(COUNTIFS(T_TTAFStock[RM_Code],$A13,T_TTAFStock[WeekIndex],33)&gt;0)&gt;0,SUMIFS(T_SelfStock[Self_Qty],T_SelfStock[RM_Code],$A13,T_SelfStock[WeekIndex],33)+SUMIFS(T_TTAFStock[TTAF_Qty],T_TTAFStock[RM_Code],$A13,T_TTAFStock[WeekIndex],33),AG13+'Grid_Incoming'!AH13-'Grid_Requirement'!AH13))</f>
        <v/>
      </c>
      <c r="AI13">
        <f>IF(COUNTIFS(T_StockCount[RM_Code],$A13,T_StockCount[WeekIndex],34)&gt;0,SUMIFS(T_StockCount[CountedQty],T_StockCount[RM_Code],$A13,T_StockCount[WeekIndex],34),IF((COUNTIFS(T_SelfStock[RM_Code],$A13,T_SelfStock[WeekIndex],34)&gt;0)*(COUNTIFS(T_TTAFStock[RM_Code],$A13,T_TTAFStock[WeekIndex],34)&gt;0)&gt;0,SUMIFS(T_SelfStock[Self_Qty],T_SelfStock[RM_Code],$A13,T_SelfStock[WeekIndex],34)+SUMIFS(T_TTAFStock[TTAF_Qty],T_TTAFStock[RM_Code],$A13,T_TTAFStock[WeekIndex],34),AH13+'Grid_Incoming'!AI13-'Grid_Requirement'!AI13))</f>
        <v/>
      </c>
      <c r="AJ13">
        <f>IF(COUNTIFS(T_StockCount[RM_Code],$A13,T_StockCount[WeekIndex],35)&gt;0,SUMIFS(T_StockCount[CountedQty],T_StockCount[RM_Code],$A13,T_StockCount[WeekIndex],35),IF((COUNTIFS(T_SelfStock[RM_Code],$A13,T_SelfStock[WeekIndex],35)&gt;0)*(COUNTIFS(T_TTAFStock[RM_Code],$A13,T_TTAFStock[WeekIndex],35)&gt;0)&gt;0,SUMIFS(T_SelfStock[Self_Qty],T_SelfStock[RM_Code],$A13,T_SelfStock[WeekIndex],35)+SUMIFS(T_TTAFStock[TTAF_Qty],T_TTAFStock[RM_Code],$A13,T_TTAFStock[WeekIndex],35),AI13+'Grid_Incoming'!AJ13-'Grid_Requirement'!AJ13))</f>
        <v/>
      </c>
      <c r="AK13">
        <f>IF(COUNTIFS(T_StockCount[RM_Code],$A13,T_StockCount[WeekIndex],36)&gt;0,SUMIFS(T_StockCount[CountedQty],T_StockCount[RM_Code],$A13,T_StockCount[WeekIndex],36),IF((COUNTIFS(T_SelfStock[RM_Code],$A13,T_SelfStock[WeekIndex],36)&gt;0)*(COUNTIFS(T_TTAFStock[RM_Code],$A13,T_TTAFStock[WeekIndex],36)&gt;0)&gt;0,SUMIFS(T_SelfStock[Self_Qty],T_SelfStock[RM_Code],$A13,T_SelfStock[WeekIndex],36)+SUMIFS(T_TTAFStock[TTAF_Qty],T_TTAFStock[RM_Code],$A13,T_TTAFStock[WeekIndex],36),AJ13+'Grid_Incoming'!AK13-'Grid_Requirement'!AK13))</f>
        <v/>
      </c>
      <c r="AL13">
        <f>IF(COUNTIFS(T_StockCount[RM_Code],$A13,T_StockCount[WeekIndex],37)&gt;0,SUMIFS(T_StockCount[CountedQty],T_StockCount[RM_Code],$A13,T_StockCount[WeekIndex],37),IF((COUNTIFS(T_SelfStock[RM_Code],$A13,T_SelfStock[WeekIndex],37)&gt;0)*(COUNTIFS(T_TTAFStock[RM_Code],$A13,T_TTAFStock[WeekIndex],37)&gt;0)&gt;0,SUMIFS(T_SelfStock[Self_Qty],T_SelfStock[RM_Code],$A13,T_SelfStock[WeekIndex],37)+SUMIFS(T_TTAFStock[TTAF_Qty],T_TTAFStock[RM_Code],$A13,T_TTAFStock[WeekIndex],37),AK13+'Grid_Incoming'!AL13-'Grid_Requirement'!AL13))</f>
        <v/>
      </c>
      <c r="AM13">
        <f>IF(COUNTIFS(T_StockCount[RM_Code],$A13,T_StockCount[WeekIndex],38)&gt;0,SUMIFS(T_StockCount[CountedQty],T_StockCount[RM_Code],$A13,T_StockCount[WeekIndex],38),IF((COUNTIFS(T_SelfStock[RM_Code],$A13,T_SelfStock[WeekIndex],38)&gt;0)*(COUNTIFS(T_TTAFStock[RM_Code],$A13,T_TTAFStock[WeekIndex],38)&gt;0)&gt;0,SUMIFS(T_SelfStock[Self_Qty],T_SelfStock[RM_Code],$A13,T_SelfStock[WeekIndex],38)+SUMIFS(T_TTAFStock[TTAF_Qty],T_TTAFStock[RM_Code],$A13,T_TTAFStock[WeekIndex],38),AL13+'Grid_Incoming'!AM13-'Grid_Requirement'!AM13))</f>
        <v/>
      </c>
      <c r="AN13">
        <f>IF(COUNTIFS(T_StockCount[RM_Code],$A13,T_StockCount[WeekIndex],39)&gt;0,SUMIFS(T_StockCount[CountedQty],T_StockCount[RM_Code],$A13,T_StockCount[WeekIndex],39),IF((COUNTIFS(T_SelfStock[RM_Code],$A13,T_SelfStock[WeekIndex],39)&gt;0)*(COUNTIFS(T_TTAFStock[RM_Code],$A13,T_TTAFStock[WeekIndex],39)&gt;0)&gt;0,SUMIFS(T_SelfStock[Self_Qty],T_SelfStock[RM_Code],$A13,T_SelfStock[WeekIndex],39)+SUMIFS(T_TTAFStock[TTAF_Qty],T_TTAFStock[RM_Code],$A13,T_TTAFStock[WeekIndex],39),AM13+'Grid_Incoming'!AN13-'Grid_Requirement'!AN13))</f>
        <v/>
      </c>
      <c r="AO13">
        <f>IF(COUNTIFS(T_StockCount[RM_Code],$A13,T_StockCount[WeekIndex],40)&gt;0,SUMIFS(T_StockCount[CountedQty],T_StockCount[RM_Code],$A13,T_StockCount[WeekIndex],40),IF((COUNTIFS(T_SelfStock[RM_Code],$A13,T_SelfStock[WeekIndex],40)&gt;0)*(COUNTIFS(T_TTAFStock[RM_Code],$A13,T_TTAFStock[WeekIndex],40)&gt;0)&gt;0,SUMIFS(T_SelfStock[Self_Qty],T_SelfStock[RM_Code],$A13,T_SelfStock[WeekIndex],40)+SUMIFS(T_TTAFStock[TTAF_Qty],T_TTAFStock[RM_Code],$A13,T_TTAFStock[WeekIndex],40),AN13+'Grid_Incoming'!AO13-'Grid_Requirement'!AO13))</f>
        <v/>
      </c>
      <c r="AP13">
        <f>IF(COUNTIFS(T_StockCount[RM_Code],$A13,T_StockCount[WeekIndex],41)&gt;0,SUMIFS(T_StockCount[CountedQty],T_StockCount[RM_Code],$A13,T_StockCount[WeekIndex],41),IF((COUNTIFS(T_SelfStock[RM_Code],$A13,T_SelfStock[WeekIndex],41)&gt;0)*(COUNTIFS(T_TTAFStock[RM_Code],$A13,T_TTAFStock[WeekIndex],41)&gt;0)&gt;0,SUMIFS(T_SelfStock[Self_Qty],T_SelfStock[RM_Code],$A13,T_SelfStock[WeekIndex],41)+SUMIFS(T_TTAFStock[TTAF_Qty],T_TTAFStock[RM_Code],$A13,T_TTAFStock[WeekIndex],41),AO13+'Grid_Incoming'!AP13-'Grid_Requirement'!AP13))</f>
        <v/>
      </c>
      <c r="AQ13">
        <f>IF(COUNTIFS(T_StockCount[RM_Code],$A13,T_StockCount[WeekIndex],42)&gt;0,SUMIFS(T_StockCount[CountedQty],T_StockCount[RM_Code],$A13,T_StockCount[WeekIndex],42),IF((COUNTIFS(T_SelfStock[RM_Code],$A13,T_SelfStock[WeekIndex],42)&gt;0)*(COUNTIFS(T_TTAFStock[RM_Code],$A13,T_TTAFStock[WeekIndex],42)&gt;0)&gt;0,SUMIFS(T_SelfStock[Self_Qty],T_SelfStock[RM_Code],$A13,T_SelfStock[WeekIndex],42)+SUMIFS(T_TTAFStock[TTAF_Qty],T_TTAFStock[RM_Code],$A13,T_TTAFStock[WeekIndex],42),AP13+'Grid_Incoming'!AQ13-'Grid_Requirement'!AQ13))</f>
        <v/>
      </c>
      <c r="AR13">
        <f>IF(COUNTIFS(T_StockCount[RM_Code],$A13,T_StockCount[WeekIndex],43)&gt;0,SUMIFS(T_StockCount[CountedQty],T_StockCount[RM_Code],$A13,T_StockCount[WeekIndex],43),IF((COUNTIFS(T_SelfStock[RM_Code],$A13,T_SelfStock[WeekIndex],43)&gt;0)*(COUNTIFS(T_TTAFStock[RM_Code],$A13,T_TTAFStock[WeekIndex],43)&gt;0)&gt;0,SUMIFS(T_SelfStock[Self_Qty],T_SelfStock[RM_Code],$A13,T_SelfStock[WeekIndex],43)+SUMIFS(T_TTAFStock[TTAF_Qty],T_TTAFStock[RM_Code],$A13,T_TTAFStock[WeekIndex],43),AQ13+'Grid_Incoming'!AR13-'Grid_Requirement'!AR13))</f>
        <v/>
      </c>
      <c r="AS13">
        <f>IF(COUNTIFS(T_StockCount[RM_Code],$A13,T_StockCount[WeekIndex],44)&gt;0,SUMIFS(T_StockCount[CountedQty],T_StockCount[RM_Code],$A13,T_StockCount[WeekIndex],44),IF((COUNTIFS(T_SelfStock[RM_Code],$A13,T_SelfStock[WeekIndex],44)&gt;0)*(COUNTIFS(T_TTAFStock[RM_Code],$A13,T_TTAFStock[WeekIndex],44)&gt;0)&gt;0,SUMIFS(T_SelfStock[Self_Qty],T_SelfStock[RM_Code],$A13,T_SelfStock[WeekIndex],44)+SUMIFS(T_TTAFStock[TTAF_Qty],T_TTAFStock[RM_Code],$A13,T_TTAFStock[WeekIndex],44),AR13+'Grid_Incoming'!AS13-'Grid_Requirement'!AS13))</f>
        <v/>
      </c>
      <c r="AT13">
        <f>IF(COUNTIFS(T_StockCount[RM_Code],$A13,T_StockCount[WeekIndex],45)&gt;0,SUMIFS(T_StockCount[CountedQty],T_StockCount[RM_Code],$A13,T_StockCount[WeekIndex],45),IF((COUNTIFS(T_SelfStock[RM_Code],$A13,T_SelfStock[WeekIndex],45)&gt;0)*(COUNTIFS(T_TTAFStock[RM_Code],$A13,T_TTAFStock[WeekIndex],45)&gt;0)&gt;0,SUMIFS(T_SelfStock[Self_Qty],T_SelfStock[RM_Code],$A13,T_SelfStock[WeekIndex],45)+SUMIFS(T_TTAFStock[TTAF_Qty],T_TTAFStock[RM_Code],$A13,T_TTAFStock[WeekIndex],45),AS13+'Grid_Incoming'!AT13-'Grid_Requirement'!AT13))</f>
        <v/>
      </c>
      <c r="AU13">
        <f>IF(COUNTIFS(T_StockCount[RM_Code],$A13,T_StockCount[WeekIndex],46)&gt;0,SUMIFS(T_StockCount[CountedQty],T_StockCount[RM_Code],$A13,T_StockCount[WeekIndex],46),IF((COUNTIFS(T_SelfStock[RM_Code],$A13,T_SelfStock[WeekIndex],46)&gt;0)*(COUNTIFS(T_TTAFStock[RM_Code],$A13,T_TTAFStock[WeekIndex],46)&gt;0)&gt;0,SUMIFS(T_SelfStock[Self_Qty],T_SelfStock[RM_Code],$A13,T_SelfStock[WeekIndex],46)+SUMIFS(T_TTAFStock[TTAF_Qty],T_TTAFStock[RM_Code],$A13,T_TTAFStock[WeekIndex],46),AT13+'Grid_Incoming'!AU13-'Grid_Requirement'!AU13))</f>
        <v/>
      </c>
      <c r="AV13">
        <f>IF(COUNTIFS(T_StockCount[RM_Code],$A13,T_StockCount[WeekIndex],47)&gt;0,SUMIFS(T_StockCount[CountedQty],T_StockCount[RM_Code],$A13,T_StockCount[WeekIndex],47),IF((COUNTIFS(T_SelfStock[RM_Code],$A13,T_SelfStock[WeekIndex],47)&gt;0)*(COUNTIFS(T_TTAFStock[RM_Code],$A13,T_TTAFStock[WeekIndex],47)&gt;0)&gt;0,SUMIFS(T_SelfStock[Self_Qty],T_SelfStock[RM_Code],$A13,T_SelfStock[WeekIndex],47)+SUMIFS(T_TTAFStock[TTAF_Qty],T_TTAFStock[RM_Code],$A13,T_TTAFStock[WeekIndex],47),AU13+'Grid_Incoming'!AV13-'Grid_Requirement'!AV13))</f>
        <v/>
      </c>
      <c r="AW13">
        <f>IF(COUNTIFS(T_StockCount[RM_Code],$A13,T_StockCount[WeekIndex],48)&gt;0,SUMIFS(T_StockCount[CountedQty],T_StockCount[RM_Code],$A13,T_StockCount[WeekIndex],48),IF((COUNTIFS(T_SelfStock[RM_Code],$A13,T_SelfStock[WeekIndex],48)&gt;0)*(COUNTIFS(T_TTAFStock[RM_Code],$A13,T_TTAFStock[WeekIndex],48)&gt;0)&gt;0,SUMIFS(T_SelfStock[Self_Qty],T_SelfStock[RM_Code],$A13,T_SelfStock[WeekIndex],48)+SUMIFS(T_TTAFStock[TTAF_Qty],T_TTAFStock[RM_Code],$A13,T_TTAFStock[WeekIndex],48),AV13+'Grid_Incoming'!AW13-'Grid_Requirement'!AW13))</f>
        <v/>
      </c>
      <c r="AX13">
        <f>IF(COUNTIFS(T_StockCount[RM_Code],$A13,T_StockCount[WeekIndex],49)&gt;0,SUMIFS(T_StockCount[CountedQty],T_StockCount[RM_Code],$A13,T_StockCount[WeekIndex],49),IF((COUNTIFS(T_SelfStock[RM_Code],$A13,T_SelfStock[WeekIndex],49)&gt;0)*(COUNTIFS(T_TTAFStock[RM_Code],$A13,T_TTAFStock[WeekIndex],49)&gt;0)&gt;0,SUMIFS(T_SelfStock[Self_Qty],T_SelfStock[RM_Code],$A13,T_SelfStock[WeekIndex],49)+SUMIFS(T_TTAFStock[TTAF_Qty],T_TTAFStock[RM_Code],$A13,T_TTAFStock[WeekIndex],49),AW13+'Grid_Incoming'!AX13-'Grid_Requirement'!AX13))</f>
        <v/>
      </c>
      <c r="AY13">
        <f>IF(COUNTIFS(T_StockCount[RM_Code],$A13,T_StockCount[WeekIndex],50)&gt;0,SUMIFS(T_StockCount[CountedQty],T_StockCount[RM_Code],$A13,T_StockCount[WeekIndex],50),IF((COUNTIFS(T_SelfStock[RM_Code],$A13,T_SelfStock[WeekIndex],50)&gt;0)*(COUNTIFS(T_TTAFStock[RM_Code],$A13,T_TTAFStock[WeekIndex],50)&gt;0)&gt;0,SUMIFS(T_SelfStock[Self_Qty],T_SelfStock[RM_Code],$A13,T_SelfStock[WeekIndex],50)+SUMIFS(T_TTAFStock[TTAF_Qty],T_TTAFStock[RM_Code],$A13,T_TTAFStock[WeekIndex],50),AX13+'Grid_Incoming'!AY13-'Grid_Requirement'!AY13))</f>
        <v/>
      </c>
      <c r="AZ13">
        <f>IF(COUNTIFS(T_StockCount[RM_Code],$A13,T_StockCount[WeekIndex],51)&gt;0,SUMIFS(T_StockCount[CountedQty],T_StockCount[RM_Code],$A13,T_StockCount[WeekIndex],51),IF((COUNTIFS(T_SelfStock[RM_Code],$A13,T_SelfStock[WeekIndex],51)&gt;0)*(COUNTIFS(T_TTAFStock[RM_Code],$A13,T_TTAFStock[WeekIndex],51)&gt;0)&gt;0,SUMIFS(T_SelfStock[Self_Qty],T_SelfStock[RM_Code],$A13,T_SelfStock[WeekIndex],51)+SUMIFS(T_TTAFStock[TTAF_Qty],T_TTAFStock[RM_Code],$A13,T_TTAFStock[WeekIndex],51),AY13+'Grid_Incoming'!AZ13-'Grid_Requirement'!AZ13))</f>
        <v/>
      </c>
      <c r="BA13">
        <f>IF(COUNTIFS(T_StockCount[RM_Code],$A13,T_StockCount[WeekIndex],52)&gt;0,SUMIFS(T_StockCount[CountedQty],T_StockCount[RM_Code],$A13,T_StockCount[WeekIndex],52),IF((COUNTIFS(T_SelfStock[RM_Code],$A13,T_SelfStock[WeekIndex],52)&gt;0)*(COUNTIFS(T_TTAFStock[RM_Code],$A13,T_TTAFStock[WeekIndex],52)&gt;0)&gt;0,SUMIFS(T_SelfStock[Self_Qty],T_SelfStock[RM_Code],$A13,T_SelfStock[WeekIndex],52)+SUMIFS(T_TTAFStock[TTAF_Qty],T_TTAFStock[RM_Code],$A13,T_TTAFStock[WeekIndex],52),AZ13+'Grid_Incoming'!BA13-'Grid_Requirement'!BA13))</f>
        <v/>
      </c>
      <c r="BB13">
        <f>IF(COUNTIFS(T_StockCount[RM_Code],$A13,T_StockCount[WeekIndex],53)&gt;0,SUMIFS(T_StockCount[CountedQty],T_StockCount[RM_Code],$A13,T_StockCount[WeekIndex],53),IF((COUNTIFS(T_SelfStock[RM_Code],$A13,T_SelfStock[WeekIndex],53)&gt;0)*(COUNTIFS(T_TTAFStock[RM_Code],$A13,T_TTAFStock[WeekIndex],53)&gt;0)&gt;0,SUMIFS(T_SelfStock[Self_Qty],T_SelfStock[RM_Code],$A13,T_SelfStock[WeekIndex],53)+SUMIFS(T_TTAFStock[TTAF_Qty],T_TTAFStock[RM_Code],$A13,T_TTAFStock[WeekIndex],53),BA13+'Grid_Incoming'!BB13-'Grid_Requirement'!BB13))</f>
        <v/>
      </c>
      <c r="BC13">
        <f>IF(COUNTIFS(T_StockCount[RM_Code],$A13,T_StockCount[WeekIndex],54)&gt;0,SUMIFS(T_StockCount[CountedQty],T_StockCount[RM_Code],$A13,T_StockCount[WeekIndex],54),IF((COUNTIFS(T_SelfStock[RM_Code],$A13,T_SelfStock[WeekIndex],54)&gt;0)*(COUNTIFS(T_TTAFStock[RM_Code],$A13,T_TTAFStock[WeekIndex],54)&gt;0)&gt;0,SUMIFS(T_SelfStock[Self_Qty],T_SelfStock[RM_Code],$A13,T_SelfStock[WeekIndex],54)+SUMIFS(T_TTAFStock[TTAF_Qty],T_TTAFStock[RM_Code],$A13,T_TTAFStock[WeekIndex],54),BB13+'Grid_Incoming'!BC13-'Grid_Requirement'!BC13))</f>
        <v/>
      </c>
      <c r="BD13">
        <f>IF(COUNTIFS(T_StockCount[RM_Code],$A13,T_StockCount[WeekIndex],55)&gt;0,SUMIFS(T_StockCount[CountedQty],T_StockCount[RM_Code],$A13,T_StockCount[WeekIndex],55),IF((COUNTIFS(T_SelfStock[RM_Code],$A13,T_SelfStock[WeekIndex],55)&gt;0)*(COUNTIFS(T_TTAFStock[RM_Code],$A13,T_TTAFStock[WeekIndex],55)&gt;0)&gt;0,SUMIFS(T_SelfStock[Self_Qty],T_SelfStock[RM_Code],$A13,T_SelfStock[WeekIndex],55)+SUMIFS(T_TTAFStock[TTAF_Qty],T_TTAFStock[RM_Code],$A13,T_TTAFStock[WeekIndex],55),BC13+'Grid_Incoming'!BD13-'Grid_Requirement'!BD13))</f>
        <v/>
      </c>
      <c r="BE13">
        <f>IF(COUNTIFS(T_StockCount[RM_Code],$A13,T_StockCount[WeekIndex],56)&gt;0,SUMIFS(T_StockCount[CountedQty],T_StockCount[RM_Code],$A13,T_StockCount[WeekIndex],56),IF((COUNTIFS(T_SelfStock[RM_Code],$A13,T_SelfStock[WeekIndex],56)&gt;0)*(COUNTIFS(T_TTAFStock[RM_Code],$A13,T_TTAFStock[WeekIndex],56)&gt;0)&gt;0,SUMIFS(T_SelfStock[Self_Qty],T_SelfStock[RM_Code],$A13,T_SelfStock[WeekIndex],56)+SUMIFS(T_TTAFStock[TTAF_Qty],T_TTAFStock[RM_Code],$A13,T_TTAFStock[WeekIndex],56),BD13+'Grid_Incoming'!BE13-'Grid_Requirement'!BE13))</f>
        <v/>
      </c>
      <c r="BF13">
        <f>IF(COUNTIFS(T_StockCount[RM_Code],$A13,T_StockCount[WeekIndex],57)&gt;0,SUMIFS(T_StockCount[CountedQty],T_StockCount[RM_Code],$A13,T_StockCount[WeekIndex],57),IF((COUNTIFS(T_SelfStock[RM_Code],$A13,T_SelfStock[WeekIndex],57)&gt;0)*(COUNTIFS(T_TTAFStock[RM_Code],$A13,T_TTAFStock[WeekIndex],57)&gt;0)&gt;0,SUMIFS(T_SelfStock[Self_Qty],T_SelfStock[RM_Code],$A13,T_SelfStock[WeekIndex],57)+SUMIFS(T_TTAFStock[TTAF_Qty],T_TTAFStock[RM_Code],$A13,T_TTAFStock[WeekIndex],57),BE13+'Grid_Incoming'!BF13-'Grid_Requirement'!BF13))</f>
        <v/>
      </c>
      <c r="BG13">
        <f>IF(COUNTIFS(T_StockCount[RM_Code],$A13,T_StockCount[WeekIndex],58)&gt;0,SUMIFS(T_StockCount[CountedQty],T_StockCount[RM_Code],$A13,T_StockCount[WeekIndex],58),IF((COUNTIFS(T_SelfStock[RM_Code],$A13,T_SelfStock[WeekIndex],58)&gt;0)*(COUNTIFS(T_TTAFStock[RM_Code],$A13,T_TTAFStock[WeekIndex],58)&gt;0)&gt;0,SUMIFS(T_SelfStock[Self_Qty],T_SelfStock[RM_Code],$A13,T_SelfStock[WeekIndex],58)+SUMIFS(T_TTAFStock[TTAF_Qty],T_TTAFStock[RM_Code],$A13,T_TTAFStock[WeekIndex],58),BF13+'Grid_Incoming'!BG13-'Grid_Requirement'!BG13))</f>
        <v/>
      </c>
      <c r="BH13">
        <f>IF(COUNTIFS(T_StockCount[RM_Code],$A13,T_StockCount[WeekIndex],59)&gt;0,SUMIFS(T_StockCount[CountedQty],T_StockCount[RM_Code],$A13,T_StockCount[WeekIndex],59),IF((COUNTIFS(T_SelfStock[RM_Code],$A13,T_SelfStock[WeekIndex],59)&gt;0)*(COUNTIFS(T_TTAFStock[RM_Code],$A13,T_TTAFStock[WeekIndex],59)&gt;0)&gt;0,SUMIFS(T_SelfStock[Self_Qty],T_SelfStock[RM_Code],$A13,T_SelfStock[WeekIndex],59)+SUMIFS(T_TTAFStock[TTAF_Qty],T_TTAFStock[RM_Code],$A13,T_TTAFStock[WeekIndex],59),BG13+'Grid_Incoming'!BH13-'Grid_Requirement'!BH13))</f>
        <v/>
      </c>
      <c r="BI13">
        <f>IF(COUNTIFS(T_StockCount[RM_Code],$A13,T_StockCount[WeekIndex],60)&gt;0,SUMIFS(T_StockCount[CountedQty],T_StockCount[RM_Code],$A13,T_StockCount[WeekIndex],60),IF((COUNTIFS(T_SelfStock[RM_Code],$A13,T_SelfStock[WeekIndex],60)&gt;0)*(COUNTIFS(T_TTAFStock[RM_Code],$A13,T_TTAFStock[WeekIndex],60)&gt;0)&gt;0,SUMIFS(T_SelfStock[Self_Qty],T_SelfStock[RM_Code],$A13,T_SelfStock[WeekIndex],60)+SUMIFS(T_TTAFStock[TTAF_Qty],T_TTAFStock[RM_Code],$A13,T_TTAFStock[WeekIndex],60),BH13+'Grid_Incoming'!BI13-'Grid_Requirement'!BI13))</f>
        <v/>
      </c>
      <c r="BJ13">
        <f>IF(COUNTIFS(T_StockCount[RM_Code],$A13,T_StockCount[WeekIndex],61)&gt;0,SUMIFS(T_StockCount[CountedQty],T_StockCount[RM_Code],$A13,T_StockCount[WeekIndex],61),IF((COUNTIFS(T_SelfStock[RM_Code],$A13,T_SelfStock[WeekIndex],61)&gt;0)*(COUNTIFS(T_TTAFStock[RM_Code],$A13,T_TTAFStock[WeekIndex],61)&gt;0)&gt;0,SUMIFS(T_SelfStock[Self_Qty],T_SelfStock[RM_Code],$A13,T_SelfStock[WeekIndex],61)+SUMIFS(T_TTAFStock[TTAF_Qty],T_TTAFStock[RM_Code],$A13,T_TTAFStock[WeekIndex],61),BI13+'Grid_Incoming'!BJ13-'Grid_Requirement'!BJ13))</f>
        <v/>
      </c>
      <c r="BK13">
        <f>IF(COUNTIFS(T_StockCount[RM_Code],$A13,T_StockCount[WeekIndex],62)&gt;0,SUMIFS(T_StockCount[CountedQty],T_StockCount[RM_Code],$A13,T_StockCount[WeekIndex],62),IF((COUNTIFS(T_SelfStock[RM_Code],$A13,T_SelfStock[WeekIndex],62)&gt;0)*(COUNTIFS(T_TTAFStock[RM_Code],$A13,T_TTAFStock[WeekIndex],62)&gt;0)&gt;0,SUMIFS(T_SelfStock[Self_Qty],T_SelfStock[RM_Code],$A13,T_SelfStock[WeekIndex],62)+SUMIFS(T_TTAFStock[TTAF_Qty],T_TTAFStock[RM_Code],$A13,T_TTAFStock[WeekIndex],62),BJ13+'Grid_Incoming'!BK13-'Grid_Requirement'!BK13))</f>
        <v/>
      </c>
      <c r="BL13">
        <f>IF(COUNTIFS(T_StockCount[RM_Code],$A13,T_StockCount[WeekIndex],63)&gt;0,SUMIFS(T_StockCount[CountedQty],T_StockCount[RM_Code],$A13,T_StockCount[WeekIndex],63),IF((COUNTIFS(T_SelfStock[RM_Code],$A13,T_SelfStock[WeekIndex],63)&gt;0)*(COUNTIFS(T_TTAFStock[RM_Code],$A13,T_TTAFStock[WeekIndex],63)&gt;0)&gt;0,SUMIFS(T_SelfStock[Self_Qty],T_SelfStock[RM_Code],$A13,T_SelfStock[WeekIndex],63)+SUMIFS(T_TTAFStock[TTAF_Qty],T_TTAFStock[RM_Code],$A13,T_TTAFStock[WeekIndex],63),BK13+'Grid_Incoming'!BL13-'Grid_Requirement'!BL13))</f>
        <v/>
      </c>
      <c r="BM13">
        <f>IF(COUNTIFS(T_StockCount[RM_Code],$A13,T_StockCount[WeekIndex],64)&gt;0,SUMIFS(T_StockCount[CountedQty],T_StockCount[RM_Code],$A13,T_StockCount[WeekIndex],64),IF((COUNTIFS(T_SelfStock[RM_Code],$A13,T_SelfStock[WeekIndex],64)&gt;0)*(COUNTIFS(T_TTAFStock[RM_Code],$A13,T_TTAFStock[WeekIndex],64)&gt;0)&gt;0,SUMIFS(T_SelfStock[Self_Qty],T_SelfStock[RM_Code],$A13,T_SelfStock[WeekIndex],64)+SUMIFS(T_TTAFStock[TTAF_Qty],T_TTAFStock[RM_Code],$A13,T_TTAFStock[WeekIndex],64),BL13+'Grid_Incoming'!BM13-'Grid_Requirement'!BM13))</f>
        <v/>
      </c>
      <c r="BN13">
        <f>IF(COUNTIFS(T_StockCount[RM_Code],$A13,T_StockCount[WeekIndex],65)&gt;0,SUMIFS(T_StockCount[CountedQty],T_StockCount[RM_Code],$A13,T_StockCount[WeekIndex],65),IF((COUNTIFS(T_SelfStock[RM_Code],$A13,T_SelfStock[WeekIndex],65)&gt;0)*(COUNTIFS(T_TTAFStock[RM_Code],$A13,T_TTAFStock[WeekIndex],65)&gt;0)&gt;0,SUMIFS(T_SelfStock[Self_Qty],T_SelfStock[RM_Code],$A13,T_SelfStock[WeekIndex],65)+SUMIFS(T_TTAFStock[TTAF_Qty],T_TTAFStock[RM_Code],$A13,T_TTAFStock[WeekIndex],65),BM13+'Grid_Incoming'!BN13-'Grid_Requirement'!BN13))</f>
        <v/>
      </c>
      <c r="BO13">
        <f>IF(COUNTIFS(T_StockCount[RM_Code],$A13,T_StockCount[WeekIndex],66)&gt;0,SUMIFS(T_StockCount[CountedQty],T_StockCount[RM_Code],$A13,T_StockCount[WeekIndex],66),IF((COUNTIFS(T_SelfStock[RM_Code],$A13,T_SelfStock[WeekIndex],66)&gt;0)*(COUNTIFS(T_TTAFStock[RM_Code],$A13,T_TTAFStock[WeekIndex],66)&gt;0)&gt;0,SUMIFS(T_SelfStock[Self_Qty],T_SelfStock[RM_Code],$A13,T_SelfStock[WeekIndex],66)+SUMIFS(T_TTAFStock[TTAF_Qty],T_TTAFStock[RM_Code],$A13,T_TTAFStock[WeekIndex],66),BN13+'Grid_Incoming'!BO13-'Grid_Requirement'!BO13))</f>
        <v/>
      </c>
      <c r="BP13">
        <f>IF(COUNTIFS(T_StockCount[RM_Code],$A13,T_StockCount[WeekIndex],67)&gt;0,SUMIFS(T_StockCount[CountedQty],T_StockCount[RM_Code],$A13,T_StockCount[WeekIndex],67),IF((COUNTIFS(T_SelfStock[RM_Code],$A13,T_SelfStock[WeekIndex],67)&gt;0)*(COUNTIFS(T_TTAFStock[RM_Code],$A13,T_TTAFStock[WeekIndex],67)&gt;0)&gt;0,SUMIFS(T_SelfStock[Self_Qty],T_SelfStock[RM_Code],$A13,T_SelfStock[WeekIndex],67)+SUMIFS(T_TTAFStock[TTAF_Qty],T_TTAFStock[RM_Code],$A13,T_TTAFStock[WeekIndex],67),BO13+'Grid_Incoming'!BP13-'Grid_Requirement'!BP13))</f>
        <v/>
      </c>
      <c r="BQ13">
        <f>IF(COUNTIFS(T_StockCount[RM_Code],$A13,T_StockCount[WeekIndex],68)&gt;0,SUMIFS(T_StockCount[CountedQty],T_StockCount[RM_Code],$A13,T_StockCount[WeekIndex],68),IF((COUNTIFS(T_SelfStock[RM_Code],$A13,T_SelfStock[WeekIndex],68)&gt;0)*(COUNTIFS(T_TTAFStock[RM_Code],$A13,T_TTAFStock[WeekIndex],68)&gt;0)&gt;0,SUMIFS(T_SelfStock[Self_Qty],T_SelfStock[RM_Code],$A13,T_SelfStock[WeekIndex],68)+SUMIFS(T_TTAFStock[TTAF_Qty],T_TTAFStock[RM_Code],$A13,T_TTAFStock[WeekIndex],68),BP13+'Grid_Incoming'!BQ13-'Grid_Requirement'!BQ13))</f>
        <v/>
      </c>
      <c r="BR13">
        <f>IF(COUNTIFS(T_StockCount[RM_Code],$A13,T_StockCount[WeekIndex],69)&gt;0,SUMIFS(T_StockCount[CountedQty],T_StockCount[RM_Code],$A13,T_StockCount[WeekIndex],69),IF((COUNTIFS(T_SelfStock[RM_Code],$A13,T_SelfStock[WeekIndex],69)&gt;0)*(COUNTIFS(T_TTAFStock[RM_Code],$A13,T_TTAFStock[WeekIndex],69)&gt;0)&gt;0,SUMIFS(T_SelfStock[Self_Qty],T_SelfStock[RM_Code],$A13,T_SelfStock[WeekIndex],69)+SUMIFS(T_TTAFStock[TTAF_Qty],T_TTAFStock[RM_Code],$A13,T_TTAFStock[WeekIndex],69),BQ13+'Grid_Incoming'!BR13-'Grid_Requirement'!BR13))</f>
        <v/>
      </c>
      <c r="BS13">
        <f>IF(COUNTIFS(T_StockCount[RM_Code],$A13,T_StockCount[WeekIndex],70)&gt;0,SUMIFS(T_StockCount[CountedQty],T_StockCount[RM_Code],$A13,T_StockCount[WeekIndex],70),IF((COUNTIFS(T_SelfStock[RM_Code],$A13,T_SelfStock[WeekIndex],70)&gt;0)*(COUNTIFS(T_TTAFStock[RM_Code],$A13,T_TTAFStock[WeekIndex],70)&gt;0)&gt;0,SUMIFS(T_SelfStock[Self_Qty],T_SelfStock[RM_Code],$A13,T_SelfStock[WeekIndex],70)+SUMIFS(T_TTAFStock[TTAF_Qty],T_TTAFStock[RM_Code],$A13,T_TTAFStock[WeekIndex],70),BR13+'Grid_Incoming'!BS13-'Grid_Requirement'!BS13))</f>
        <v/>
      </c>
      <c r="BT13">
        <f>IF(COUNTIFS(T_StockCount[RM_Code],$A13,T_StockCount[WeekIndex],71)&gt;0,SUMIFS(T_StockCount[CountedQty],T_StockCount[RM_Code],$A13,T_StockCount[WeekIndex],71),IF((COUNTIFS(T_SelfStock[RM_Code],$A13,T_SelfStock[WeekIndex],71)&gt;0)*(COUNTIFS(T_TTAFStock[RM_Code],$A13,T_TTAFStock[WeekIndex],71)&gt;0)&gt;0,SUMIFS(T_SelfStock[Self_Qty],T_SelfStock[RM_Code],$A13,T_SelfStock[WeekIndex],71)+SUMIFS(T_TTAFStock[TTAF_Qty],T_TTAFStock[RM_Code],$A13,T_TTAFStock[WeekIndex],71),BS13+'Grid_Incoming'!BT13-'Grid_Requirement'!BT13))</f>
        <v/>
      </c>
      <c r="BU13">
        <f>IF(COUNTIFS(T_StockCount[RM_Code],$A13,T_StockCount[WeekIndex],72)&gt;0,SUMIFS(T_StockCount[CountedQty],T_StockCount[RM_Code],$A13,T_StockCount[WeekIndex],72),IF((COUNTIFS(T_SelfStock[RM_Code],$A13,T_SelfStock[WeekIndex],72)&gt;0)*(COUNTIFS(T_TTAFStock[RM_Code],$A13,T_TTAFStock[WeekIndex],72)&gt;0)&gt;0,SUMIFS(T_SelfStock[Self_Qty],T_SelfStock[RM_Code],$A13,T_SelfStock[WeekIndex],72)+SUMIFS(T_TTAFStock[TTAF_Qty],T_TTAFStock[RM_Code],$A13,T_TTAFStock[WeekIndex],72),BT13+'Grid_Incoming'!BU13-'Grid_Requirement'!BU13))</f>
        <v/>
      </c>
      <c r="BV13">
        <f>IF(COUNTIFS(T_StockCount[RM_Code],$A13,T_StockCount[WeekIndex],73)&gt;0,SUMIFS(T_StockCount[CountedQty],T_StockCount[RM_Code],$A13,T_StockCount[WeekIndex],73),IF((COUNTIFS(T_SelfStock[RM_Code],$A13,T_SelfStock[WeekIndex],73)&gt;0)*(COUNTIFS(T_TTAFStock[RM_Code],$A13,T_TTAFStock[WeekIndex],73)&gt;0)&gt;0,SUMIFS(T_SelfStock[Self_Qty],T_SelfStock[RM_Code],$A13,T_SelfStock[WeekIndex],73)+SUMIFS(T_TTAFStock[TTAF_Qty],T_TTAFStock[RM_Code],$A13,T_TTAFStock[WeekIndex],73),BU13+'Grid_Incoming'!BV13-'Grid_Requirement'!BV13))</f>
        <v/>
      </c>
      <c r="BW13">
        <f>IF(COUNTIFS(T_StockCount[RM_Code],$A13,T_StockCount[WeekIndex],74)&gt;0,SUMIFS(T_StockCount[CountedQty],T_StockCount[RM_Code],$A13,T_StockCount[WeekIndex],74),IF((COUNTIFS(T_SelfStock[RM_Code],$A13,T_SelfStock[WeekIndex],74)&gt;0)*(COUNTIFS(T_TTAFStock[RM_Code],$A13,T_TTAFStock[WeekIndex],74)&gt;0)&gt;0,SUMIFS(T_SelfStock[Self_Qty],T_SelfStock[RM_Code],$A13,T_SelfStock[WeekIndex],74)+SUMIFS(T_TTAFStock[TTAF_Qty],T_TTAFStock[RM_Code],$A13,T_TTAFStock[WeekIndex],74),BV13+'Grid_Incoming'!BW13-'Grid_Requirement'!BW13))</f>
        <v/>
      </c>
      <c r="BX13">
        <f>IF(COUNTIFS(T_StockCount[RM_Code],$A13,T_StockCount[WeekIndex],75)&gt;0,SUMIFS(T_StockCount[CountedQty],T_StockCount[RM_Code],$A13,T_StockCount[WeekIndex],75),IF((COUNTIFS(T_SelfStock[RM_Code],$A13,T_SelfStock[WeekIndex],75)&gt;0)*(COUNTIFS(T_TTAFStock[RM_Code],$A13,T_TTAFStock[WeekIndex],75)&gt;0)&gt;0,SUMIFS(T_SelfStock[Self_Qty],T_SelfStock[RM_Code],$A13,T_SelfStock[WeekIndex],75)+SUMIFS(T_TTAFStock[TTAF_Qty],T_TTAFStock[RM_Code],$A13,T_TTAFStock[WeekIndex],75),BW13+'Grid_Incoming'!BX13-'Grid_Requirement'!BX13))</f>
        <v/>
      </c>
      <c r="BY13">
        <f>IF(COUNTIFS(T_StockCount[RM_Code],$A13,T_StockCount[WeekIndex],76)&gt;0,SUMIFS(T_StockCount[CountedQty],T_StockCount[RM_Code],$A13,T_StockCount[WeekIndex],76),IF((COUNTIFS(T_SelfStock[RM_Code],$A13,T_SelfStock[WeekIndex],76)&gt;0)*(COUNTIFS(T_TTAFStock[RM_Code],$A13,T_TTAFStock[WeekIndex],76)&gt;0)&gt;0,SUMIFS(T_SelfStock[Self_Qty],T_SelfStock[RM_Code],$A13,T_SelfStock[WeekIndex],76)+SUMIFS(T_TTAFStock[TTAF_Qty],T_TTAFStock[RM_Code],$A13,T_TTAFStock[WeekIndex],76),BX13+'Grid_Incoming'!BY13-'Grid_Requirement'!BY13))</f>
        <v/>
      </c>
      <c r="BZ13">
        <f>IF(COUNTIFS(T_StockCount[RM_Code],$A13,T_StockCount[WeekIndex],77)&gt;0,SUMIFS(T_StockCount[CountedQty],T_StockCount[RM_Code],$A13,T_StockCount[WeekIndex],77),IF((COUNTIFS(T_SelfStock[RM_Code],$A13,T_SelfStock[WeekIndex],77)&gt;0)*(COUNTIFS(T_TTAFStock[RM_Code],$A13,T_TTAFStock[WeekIndex],77)&gt;0)&gt;0,SUMIFS(T_SelfStock[Self_Qty],T_SelfStock[RM_Code],$A13,T_SelfStock[WeekIndex],77)+SUMIFS(T_TTAFStock[TTAF_Qty],T_TTAFStock[RM_Code],$A13,T_TTAFStock[WeekIndex],77),BY13+'Grid_Incoming'!BZ13-'Grid_Requirement'!BZ13))</f>
        <v/>
      </c>
      <c r="CA13">
        <f>IF(COUNTIFS(T_StockCount[RM_Code],$A13,T_StockCount[WeekIndex],78)&gt;0,SUMIFS(T_StockCount[CountedQty],T_StockCount[RM_Code],$A13,T_StockCount[WeekIndex],78),IF((COUNTIFS(T_SelfStock[RM_Code],$A13,T_SelfStock[WeekIndex],78)&gt;0)*(COUNTIFS(T_TTAFStock[RM_Code],$A13,T_TTAFStock[WeekIndex],78)&gt;0)&gt;0,SUMIFS(T_SelfStock[Self_Qty],T_SelfStock[RM_Code],$A13,T_SelfStock[WeekIndex],78)+SUMIFS(T_TTAFStock[TTAF_Qty],T_TTAFStock[RM_Code],$A13,T_TTAFStock[WeekIndex],78),BZ13+'Grid_Incoming'!CA13-'Grid_Requirement'!CA13))</f>
        <v/>
      </c>
      <c r="CB13">
        <f>IF(COUNTIFS(T_StockCount[RM_Code],$A13,T_StockCount[WeekIndex],79)&gt;0,SUMIFS(T_StockCount[CountedQty],T_StockCount[RM_Code],$A13,T_StockCount[WeekIndex],79),IF((COUNTIFS(T_SelfStock[RM_Code],$A13,T_SelfStock[WeekIndex],79)&gt;0)*(COUNTIFS(T_TTAFStock[RM_Code],$A13,T_TTAFStock[WeekIndex],79)&gt;0)&gt;0,SUMIFS(T_SelfStock[Self_Qty],T_SelfStock[RM_Code],$A13,T_SelfStock[WeekIndex],79)+SUMIFS(T_TTAFStock[TTAF_Qty],T_TTAFStock[RM_Code],$A13,T_TTAFStock[WeekIndex],79),CA13+'Grid_Incoming'!CB13-'Grid_Requirement'!CB13))</f>
        <v/>
      </c>
      <c r="CC13">
        <f>IF(COUNTIFS(T_StockCount[RM_Code],$A13,T_StockCount[WeekIndex],80)&gt;0,SUMIFS(T_StockCount[CountedQty],T_StockCount[RM_Code],$A13,T_StockCount[WeekIndex],80),IF((COUNTIFS(T_SelfStock[RM_Code],$A13,T_SelfStock[WeekIndex],80)&gt;0)*(COUNTIFS(T_TTAFStock[RM_Code],$A13,T_TTAFStock[WeekIndex],80)&gt;0)&gt;0,SUMIFS(T_SelfStock[Self_Qty],T_SelfStock[RM_Code],$A13,T_SelfStock[WeekIndex],80)+SUMIFS(T_TTAFStock[TTAF_Qty],T_TTAFStock[RM_Code],$A13,T_TTAFStock[WeekIndex],80),CB13+'Grid_Incoming'!CC13-'Grid_Requirement'!CC13))</f>
        <v/>
      </c>
      <c r="CD13">
        <f>IF(COUNTIFS(T_StockCount[RM_Code],$A13,T_StockCount[WeekIndex],81)&gt;0,SUMIFS(T_StockCount[CountedQty],T_StockCount[RM_Code],$A13,T_StockCount[WeekIndex],81),IF((COUNTIFS(T_SelfStock[RM_Code],$A13,T_SelfStock[WeekIndex],81)&gt;0)*(COUNTIFS(T_TTAFStock[RM_Code],$A13,T_TTAFStock[WeekIndex],81)&gt;0)&gt;0,SUMIFS(T_SelfStock[Self_Qty],T_SelfStock[RM_Code],$A13,T_SelfStock[WeekIndex],81)+SUMIFS(T_TTAFStock[TTAF_Qty],T_TTAFStock[RM_Code],$A13,T_TTAFStock[WeekIndex],81),CC13+'Grid_Incoming'!CD13-'Grid_Requirement'!CD13))</f>
        <v/>
      </c>
      <c r="CE13">
        <f>IF(COUNTIFS(T_StockCount[RM_Code],$A13,T_StockCount[WeekIndex],82)&gt;0,SUMIFS(T_StockCount[CountedQty],T_StockCount[RM_Code],$A13,T_StockCount[WeekIndex],82),IF((COUNTIFS(T_SelfStock[RM_Code],$A13,T_SelfStock[WeekIndex],82)&gt;0)*(COUNTIFS(T_TTAFStock[RM_Code],$A13,T_TTAFStock[WeekIndex],82)&gt;0)&gt;0,SUMIFS(T_SelfStock[Self_Qty],T_SelfStock[RM_Code],$A13,T_SelfStock[WeekIndex],82)+SUMIFS(T_TTAFStock[TTAF_Qty],T_TTAFStock[RM_Code],$A13,T_TTAFStock[WeekIndex],82),CD13+'Grid_Incoming'!CE13-'Grid_Requirement'!CE13))</f>
        <v/>
      </c>
      <c r="CF13">
        <f>IF(COUNTIFS(T_StockCount[RM_Code],$A13,T_StockCount[WeekIndex],83)&gt;0,SUMIFS(T_StockCount[CountedQty],T_StockCount[RM_Code],$A13,T_StockCount[WeekIndex],83),IF((COUNTIFS(T_SelfStock[RM_Code],$A13,T_SelfStock[WeekIndex],83)&gt;0)*(COUNTIFS(T_TTAFStock[RM_Code],$A13,T_TTAFStock[WeekIndex],83)&gt;0)&gt;0,SUMIFS(T_SelfStock[Self_Qty],T_SelfStock[RM_Code],$A13,T_SelfStock[WeekIndex],83)+SUMIFS(T_TTAFStock[TTAF_Qty],T_TTAFStock[RM_Code],$A13,T_TTAFStock[WeekIndex],83),CE13+'Grid_Incoming'!CF13-'Grid_Requirement'!CF13))</f>
        <v/>
      </c>
      <c r="CG13">
        <f>IF(COUNTIFS(T_StockCount[RM_Code],$A13,T_StockCount[WeekIndex],84)&gt;0,SUMIFS(T_StockCount[CountedQty],T_StockCount[RM_Code],$A13,T_StockCount[WeekIndex],84),IF((COUNTIFS(T_SelfStock[RM_Code],$A13,T_SelfStock[WeekIndex],84)&gt;0)*(COUNTIFS(T_TTAFStock[RM_Code],$A13,T_TTAFStock[WeekIndex],84)&gt;0)&gt;0,SUMIFS(T_SelfStock[Self_Qty],T_SelfStock[RM_Code],$A13,T_SelfStock[WeekIndex],84)+SUMIFS(T_TTAFStock[TTAF_Qty],T_TTAFStock[RM_Code],$A13,T_TTAFStock[WeekIndex],84),CF13+'Grid_Incoming'!CG13-'Grid_Requirement'!CG13))</f>
        <v/>
      </c>
      <c r="CH13">
        <f>IF(COUNTIFS(T_StockCount[RM_Code],$A13,T_StockCount[WeekIndex],85)&gt;0,SUMIFS(T_StockCount[CountedQty],T_StockCount[RM_Code],$A13,T_StockCount[WeekIndex],85),IF((COUNTIFS(T_SelfStock[RM_Code],$A13,T_SelfStock[WeekIndex],85)&gt;0)*(COUNTIFS(T_TTAFStock[RM_Code],$A13,T_TTAFStock[WeekIndex],85)&gt;0)&gt;0,SUMIFS(T_SelfStock[Self_Qty],T_SelfStock[RM_Code],$A13,T_SelfStock[WeekIndex],85)+SUMIFS(T_TTAFStock[TTAF_Qty],T_TTAFStock[RM_Code],$A13,T_TTAFStock[WeekIndex],85),CG13+'Grid_Incoming'!CH13-'Grid_Requirement'!CH13))</f>
        <v/>
      </c>
      <c r="CI13">
        <f>IF(COUNTIFS(T_StockCount[RM_Code],$A13,T_StockCount[WeekIndex],86)&gt;0,SUMIFS(T_StockCount[CountedQty],T_StockCount[RM_Code],$A13,T_StockCount[WeekIndex],86),IF((COUNTIFS(T_SelfStock[RM_Code],$A13,T_SelfStock[WeekIndex],86)&gt;0)*(COUNTIFS(T_TTAFStock[RM_Code],$A13,T_TTAFStock[WeekIndex],86)&gt;0)&gt;0,SUMIFS(T_SelfStock[Self_Qty],T_SelfStock[RM_Code],$A13,T_SelfStock[WeekIndex],86)+SUMIFS(T_TTAFStock[TTAF_Qty],T_TTAFStock[RM_Code],$A13,T_TTAFStock[WeekIndex],86),CH13+'Grid_Incoming'!CI13-'Grid_Requirement'!CI13))</f>
        <v/>
      </c>
      <c r="CJ13">
        <f>IF(COUNTIFS(T_StockCount[RM_Code],$A13,T_StockCount[WeekIndex],87)&gt;0,SUMIFS(T_StockCount[CountedQty],T_StockCount[RM_Code],$A13,T_StockCount[WeekIndex],87),IF((COUNTIFS(T_SelfStock[RM_Code],$A13,T_SelfStock[WeekIndex],87)&gt;0)*(COUNTIFS(T_TTAFStock[RM_Code],$A13,T_TTAFStock[WeekIndex],87)&gt;0)&gt;0,SUMIFS(T_SelfStock[Self_Qty],T_SelfStock[RM_Code],$A13,T_SelfStock[WeekIndex],87)+SUMIFS(T_TTAFStock[TTAF_Qty],T_TTAFStock[RM_Code],$A13,T_TTAFStock[WeekIndex],87),CI13+'Grid_Incoming'!CJ13-'Grid_Requirement'!CJ13))</f>
        <v/>
      </c>
      <c r="CK13">
        <f>IF(COUNTIFS(T_StockCount[RM_Code],$A13,T_StockCount[WeekIndex],88)&gt;0,SUMIFS(T_StockCount[CountedQty],T_StockCount[RM_Code],$A13,T_StockCount[WeekIndex],88),IF((COUNTIFS(T_SelfStock[RM_Code],$A13,T_SelfStock[WeekIndex],88)&gt;0)*(COUNTIFS(T_TTAFStock[RM_Code],$A13,T_TTAFStock[WeekIndex],88)&gt;0)&gt;0,SUMIFS(T_SelfStock[Self_Qty],T_SelfStock[RM_Code],$A13,T_SelfStock[WeekIndex],88)+SUMIFS(T_TTAFStock[TTAF_Qty],T_TTAFStock[RM_Code],$A13,T_TTAFStock[WeekIndex],88),CJ13+'Grid_Incoming'!CK13-'Grid_Requirement'!CK13))</f>
        <v/>
      </c>
      <c r="CL13">
        <f>IF(COUNTIFS(T_StockCount[RM_Code],$A13,T_StockCount[WeekIndex],89)&gt;0,SUMIFS(T_StockCount[CountedQty],T_StockCount[RM_Code],$A13,T_StockCount[WeekIndex],89),IF((COUNTIFS(T_SelfStock[RM_Code],$A13,T_SelfStock[WeekIndex],89)&gt;0)*(COUNTIFS(T_TTAFStock[RM_Code],$A13,T_TTAFStock[WeekIndex],89)&gt;0)&gt;0,SUMIFS(T_SelfStock[Self_Qty],T_SelfStock[RM_Code],$A13,T_SelfStock[WeekIndex],89)+SUMIFS(T_TTAFStock[TTAF_Qty],T_TTAFStock[RM_Code],$A13,T_TTAFStock[WeekIndex],89),CK13+'Grid_Incoming'!CL13-'Grid_Requirement'!CL13))</f>
        <v/>
      </c>
      <c r="CM13">
        <f>IF(COUNTIFS(T_StockCount[RM_Code],$A13,T_StockCount[WeekIndex],90)&gt;0,SUMIFS(T_StockCount[CountedQty],T_StockCount[RM_Code],$A13,T_StockCount[WeekIndex],90),IF((COUNTIFS(T_SelfStock[RM_Code],$A13,T_SelfStock[WeekIndex],90)&gt;0)*(COUNTIFS(T_TTAFStock[RM_Code],$A13,T_TTAFStock[WeekIndex],90)&gt;0)&gt;0,SUMIFS(T_SelfStock[Self_Qty],T_SelfStock[RM_Code],$A13,T_SelfStock[WeekIndex],90)+SUMIFS(T_TTAFStock[TTAF_Qty],T_TTAFStock[RM_Code],$A13,T_TTAFStock[WeekIndex],90),CL13+'Grid_Incoming'!CM13-'Grid_Requirement'!CM13))</f>
        <v/>
      </c>
      <c r="CN13">
        <f>IF(COUNTIFS(T_StockCount[RM_Code],$A13,T_StockCount[WeekIndex],91)&gt;0,SUMIFS(T_StockCount[CountedQty],T_StockCount[RM_Code],$A13,T_StockCount[WeekIndex],91),IF((COUNTIFS(T_SelfStock[RM_Code],$A13,T_SelfStock[WeekIndex],91)&gt;0)*(COUNTIFS(T_TTAFStock[RM_Code],$A13,T_TTAFStock[WeekIndex],91)&gt;0)&gt;0,SUMIFS(T_SelfStock[Self_Qty],T_SelfStock[RM_Code],$A13,T_SelfStock[WeekIndex],91)+SUMIFS(T_TTAFStock[TTAF_Qty],T_TTAFStock[RM_Code],$A13,T_TTAFStock[WeekIndex],91),CM13+'Grid_Incoming'!CN13-'Grid_Requirement'!CN13))</f>
        <v/>
      </c>
      <c r="CO13">
        <f>IF(COUNTIFS(T_StockCount[RM_Code],$A13,T_StockCount[WeekIndex],92)&gt;0,SUMIFS(T_StockCount[CountedQty],T_StockCount[RM_Code],$A13,T_StockCount[WeekIndex],92),IF((COUNTIFS(T_SelfStock[RM_Code],$A13,T_SelfStock[WeekIndex],92)&gt;0)*(COUNTIFS(T_TTAFStock[RM_Code],$A13,T_TTAFStock[WeekIndex],92)&gt;0)&gt;0,SUMIFS(T_SelfStock[Self_Qty],T_SelfStock[RM_Code],$A13,T_SelfStock[WeekIndex],92)+SUMIFS(T_TTAFStock[TTAF_Qty],T_TTAFStock[RM_Code],$A13,T_TTAFStock[WeekIndex],92),CN13+'Grid_Incoming'!CO13-'Grid_Requirement'!CO13))</f>
        <v/>
      </c>
      <c r="CP13">
        <f>IF(COUNTIFS(T_StockCount[RM_Code],$A13,T_StockCount[WeekIndex],93)&gt;0,SUMIFS(T_StockCount[CountedQty],T_StockCount[RM_Code],$A13,T_StockCount[WeekIndex],93),IF((COUNTIFS(T_SelfStock[RM_Code],$A13,T_SelfStock[WeekIndex],93)&gt;0)*(COUNTIFS(T_TTAFStock[RM_Code],$A13,T_TTAFStock[WeekIndex],93)&gt;0)&gt;0,SUMIFS(T_SelfStock[Self_Qty],T_SelfStock[RM_Code],$A13,T_SelfStock[WeekIndex],93)+SUMIFS(T_TTAFStock[TTAF_Qty],T_TTAFStock[RM_Code],$A13,T_TTAFStock[WeekIndex],93),CO13+'Grid_Incoming'!CP13-'Grid_Requirement'!CP13))</f>
        <v/>
      </c>
      <c r="CQ13">
        <f>IF(COUNTIFS(T_StockCount[RM_Code],$A13,T_StockCount[WeekIndex],94)&gt;0,SUMIFS(T_StockCount[CountedQty],T_StockCount[RM_Code],$A13,T_StockCount[WeekIndex],94),IF((COUNTIFS(T_SelfStock[RM_Code],$A13,T_SelfStock[WeekIndex],94)&gt;0)*(COUNTIFS(T_TTAFStock[RM_Code],$A13,T_TTAFStock[WeekIndex],94)&gt;0)&gt;0,SUMIFS(T_SelfStock[Self_Qty],T_SelfStock[RM_Code],$A13,T_SelfStock[WeekIndex],94)+SUMIFS(T_TTAFStock[TTAF_Qty],T_TTAFStock[RM_Code],$A13,T_TTAFStock[WeekIndex],94),CP13+'Grid_Incoming'!CQ13-'Grid_Requirement'!CQ13))</f>
        <v/>
      </c>
      <c r="CR13">
        <f>IF(COUNTIFS(T_StockCount[RM_Code],$A13,T_StockCount[WeekIndex],95)&gt;0,SUMIFS(T_StockCount[CountedQty],T_StockCount[RM_Code],$A13,T_StockCount[WeekIndex],95),IF((COUNTIFS(T_SelfStock[RM_Code],$A13,T_SelfStock[WeekIndex],95)&gt;0)*(COUNTIFS(T_TTAFStock[RM_Code],$A13,T_TTAFStock[WeekIndex],95)&gt;0)&gt;0,SUMIFS(T_SelfStock[Self_Qty],T_SelfStock[RM_Code],$A13,T_SelfStock[WeekIndex],95)+SUMIFS(T_TTAFStock[TTAF_Qty],T_TTAFStock[RM_Code],$A13,T_TTAFStock[WeekIndex],95),CQ13+'Grid_Incoming'!CR13-'Grid_Requirement'!CR13))</f>
        <v/>
      </c>
      <c r="CS13">
        <f>IF(COUNTIFS(T_StockCount[RM_Code],$A13,T_StockCount[WeekIndex],96)&gt;0,SUMIFS(T_StockCount[CountedQty],T_StockCount[RM_Code],$A13,T_StockCount[WeekIndex],96),IF((COUNTIFS(T_SelfStock[RM_Code],$A13,T_SelfStock[WeekIndex],96)&gt;0)*(COUNTIFS(T_TTAFStock[RM_Code],$A13,T_TTAFStock[WeekIndex],96)&gt;0)&gt;0,SUMIFS(T_SelfStock[Self_Qty],T_SelfStock[RM_Code],$A13,T_SelfStock[WeekIndex],96)+SUMIFS(T_TTAFStock[TTAF_Qty],T_TTAFStock[RM_Code],$A13,T_TTAFStock[WeekIndex],96),CR13+'Grid_Incoming'!CS13-'Grid_Requirement'!CS13))</f>
        <v/>
      </c>
      <c r="CT13">
        <f>IF(COUNTIFS(T_StockCount[RM_Code],$A13,T_StockCount[WeekIndex],97)&gt;0,SUMIFS(T_StockCount[CountedQty],T_StockCount[RM_Code],$A13,T_StockCount[WeekIndex],97),IF((COUNTIFS(T_SelfStock[RM_Code],$A13,T_SelfStock[WeekIndex],97)&gt;0)*(COUNTIFS(T_TTAFStock[RM_Code],$A13,T_TTAFStock[WeekIndex],97)&gt;0)&gt;0,SUMIFS(T_SelfStock[Self_Qty],T_SelfStock[RM_Code],$A13,T_SelfStock[WeekIndex],97)+SUMIFS(T_TTAFStock[TTAF_Qty],T_TTAFStock[RM_Code],$A13,T_TTAFStock[WeekIndex],97),CS13+'Grid_Incoming'!CT13-'Grid_Requirement'!CT13))</f>
        <v/>
      </c>
      <c r="CU13">
        <f>IF(COUNTIFS(T_StockCount[RM_Code],$A13,T_StockCount[WeekIndex],98)&gt;0,SUMIFS(T_StockCount[CountedQty],T_StockCount[RM_Code],$A13,T_StockCount[WeekIndex],98),IF((COUNTIFS(T_SelfStock[RM_Code],$A13,T_SelfStock[WeekIndex],98)&gt;0)*(COUNTIFS(T_TTAFStock[RM_Code],$A13,T_TTAFStock[WeekIndex],98)&gt;0)&gt;0,SUMIFS(T_SelfStock[Self_Qty],T_SelfStock[RM_Code],$A13,T_SelfStock[WeekIndex],98)+SUMIFS(T_TTAFStock[TTAF_Qty],T_TTAFStock[RM_Code],$A13,T_TTAFStock[WeekIndex],98),CT13+'Grid_Incoming'!CU13-'Grid_Requirement'!CU13))</f>
        <v/>
      </c>
      <c r="CV13">
        <f>IF(COUNTIFS(T_StockCount[RM_Code],$A13,T_StockCount[WeekIndex],99)&gt;0,SUMIFS(T_StockCount[CountedQty],T_StockCount[RM_Code],$A13,T_StockCount[WeekIndex],99),IF((COUNTIFS(T_SelfStock[RM_Code],$A13,T_SelfStock[WeekIndex],99)&gt;0)*(COUNTIFS(T_TTAFStock[RM_Code],$A13,T_TTAFStock[WeekIndex],99)&gt;0)&gt;0,SUMIFS(T_SelfStock[Self_Qty],T_SelfStock[RM_Code],$A13,T_SelfStock[WeekIndex],99)+SUMIFS(T_TTAFStock[TTAF_Qty],T_TTAFStock[RM_Code],$A13,T_TTAFStock[WeekIndex],99),CU13+'Grid_Incoming'!CV13-'Grid_Requirement'!CV13))</f>
        <v/>
      </c>
      <c r="CW13">
        <f>IF(COUNTIFS(T_StockCount[RM_Code],$A13,T_StockCount[WeekIndex],100)&gt;0,SUMIFS(T_StockCount[CountedQty],T_StockCount[RM_Code],$A13,T_StockCount[WeekIndex],100),IF((COUNTIFS(T_SelfStock[RM_Code],$A13,T_SelfStock[WeekIndex],100)&gt;0)*(COUNTIFS(T_TTAFStock[RM_Code],$A13,T_TTAFStock[WeekIndex],100)&gt;0)&gt;0,SUMIFS(T_SelfStock[Self_Qty],T_SelfStock[RM_Code],$A13,T_SelfStock[WeekIndex],100)+SUMIFS(T_TTAFStock[TTAF_Qty],T_TTAFStock[RM_Code],$A13,T_TTAFStock[WeekIndex],100),CV13+'Grid_Incoming'!CW13-'Grid_Requirement'!CW13))</f>
        <v/>
      </c>
      <c r="CX13">
        <f>IF(COUNTIFS(T_StockCount[RM_Code],$A13,T_StockCount[WeekIndex],101)&gt;0,SUMIFS(T_StockCount[CountedQty],T_StockCount[RM_Code],$A13,T_StockCount[WeekIndex],101),IF((COUNTIFS(T_SelfStock[RM_Code],$A13,T_SelfStock[WeekIndex],101)&gt;0)*(COUNTIFS(T_TTAFStock[RM_Code],$A13,T_TTAFStock[WeekIndex],101)&gt;0)&gt;0,SUMIFS(T_SelfStock[Self_Qty],T_SelfStock[RM_Code],$A13,T_SelfStock[WeekIndex],101)+SUMIFS(T_TTAFStock[TTAF_Qty],T_TTAFStock[RM_Code],$A13,T_TTAFStock[WeekIndex],101),CW13+'Grid_Incoming'!CX13-'Grid_Requirement'!CX13))</f>
        <v/>
      </c>
      <c r="CY13">
        <f>IF(COUNTIFS(T_StockCount[RM_Code],$A13,T_StockCount[WeekIndex],102)&gt;0,SUMIFS(T_StockCount[CountedQty],T_StockCount[RM_Code],$A13,T_StockCount[WeekIndex],102),IF((COUNTIFS(T_SelfStock[RM_Code],$A13,T_SelfStock[WeekIndex],102)&gt;0)*(COUNTIFS(T_TTAFStock[RM_Code],$A13,T_TTAFStock[WeekIndex],102)&gt;0)&gt;0,SUMIFS(T_SelfStock[Self_Qty],T_SelfStock[RM_Code],$A13,T_SelfStock[WeekIndex],102)+SUMIFS(T_TTAFStock[TTAF_Qty],T_TTAFStock[RM_Code],$A13,T_TTAFStock[WeekIndex],102),CX13+'Grid_Incoming'!CY13-'Grid_Requirement'!CY13))</f>
        <v/>
      </c>
      <c r="CZ13">
        <f>IF(COUNTIFS(T_StockCount[RM_Code],$A13,T_StockCount[WeekIndex],103)&gt;0,SUMIFS(T_StockCount[CountedQty],T_StockCount[RM_Code],$A13,T_StockCount[WeekIndex],103),IF((COUNTIFS(T_SelfStock[RM_Code],$A13,T_SelfStock[WeekIndex],103)&gt;0)*(COUNTIFS(T_TTAFStock[RM_Code],$A13,T_TTAFStock[WeekIndex],103)&gt;0)&gt;0,SUMIFS(T_SelfStock[Self_Qty],T_SelfStock[RM_Code],$A13,T_SelfStock[WeekIndex],103)+SUMIFS(T_TTAFStock[TTAF_Qty],T_TTAFStock[RM_Code],$A13,T_TTAFStock[WeekIndex],103),CY13+'Grid_Incoming'!CZ13-'Grid_Requirement'!CZ13))</f>
        <v/>
      </c>
      <c r="DA13">
        <f>IF(COUNTIFS(T_StockCount[RM_Code],$A13,T_StockCount[WeekIndex],104)&gt;0,SUMIFS(T_StockCount[CountedQty],T_StockCount[RM_Code],$A13,T_StockCount[WeekIndex],104),IF((COUNTIFS(T_SelfStock[RM_Code],$A13,T_SelfStock[WeekIndex],104)&gt;0)*(COUNTIFS(T_TTAFStock[RM_Code],$A13,T_TTAFStock[WeekIndex],104)&gt;0)&gt;0,SUMIFS(T_SelfStock[Self_Qty],T_SelfStock[RM_Code],$A13,T_SelfStock[WeekIndex],104)+SUMIFS(T_TTAFStock[TTAF_Qty],T_TTAFStock[RM_Code],$A13,T_TTAFStock[WeekIndex],104),CZ13+'Grid_Incoming'!DA13-'Grid_Requirement'!DA13))</f>
        <v/>
      </c>
    </row>
    <row r="14">
      <c r="A14" t="inlineStr">
        <is>
          <t>7CL</t>
        </is>
      </c>
      <c r="B14">
        <f>IF(COUNTIFS(T_StockCount[RM_Code],$A14,T_StockCount[WeekIndex],1)&gt;0,SUMIFS(T_StockCount[CountedQty],T_StockCount[RM_Code],$A14,T_StockCount[WeekIndex],1),IF((COUNTIFS(T_SelfStock[RM_Code],$A14,T_SelfStock[WeekIndex],1)&gt;0)*(COUNTIFS(T_TTAFStock[RM_Code],$A14,T_TTAFStock[WeekIndex],1)&gt;0)&gt;0,SUMIFS(T_SelfStock[Self_Qty],T_SelfStock[RM_Code],$A14,T_SelfStock[WeekIndex],1)+SUMIFS(T_TTAFStock[TTAF_Qty],T_TTAFStock[RM_Code],$A14,T_TTAFStock[WeekIndex],1),IFERROR(INDEX(T_OpeningStock[Opening_Qty],MATCH($A14,T_OpeningStock[RM_Code],0)),0)+'Grid_Incoming'!B14-'Grid_Requirement'!B14))</f>
        <v/>
      </c>
      <c r="C14">
        <f>IF(COUNTIFS(T_StockCount[RM_Code],$A14,T_StockCount[WeekIndex],2)&gt;0,SUMIFS(T_StockCount[CountedQty],T_StockCount[RM_Code],$A14,T_StockCount[WeekIndex],2),IF((COUNTIFS(T_SelfStock[RM_Code],$A14,T_SelfStock[WeekIndex],2)&gt;0)*(COUNTIFS(T_TTAFStock[RM_Code],$A14,T_TTAFStock[WeekIndex],2)&gt;0)&gt;0,SUMIFS(T_SelfStock[Self_Qty],T_SelfStock[RM_Code],$A14,T_SelfStock[WeekIndex],2)+SUMIFS(T_TTAFStock[TTAF_Qty],T_TTAFStock[RM_Code],$A14,T_TTAFStock[WeekIndex],2),B14+'Grid_Incoming'!C14-'Grid_Requirement'!C14))</f>
        <v/>
      </c>
      <c r="D14">
        <f>IF(COUNTIFS(T_StockCount[RM_Code],$A14,T_StockCount[WeekIndex],3)&gt;0,SUMIFS(T_StockCount[CountedQty],T_StockCount[RM_Code],$A14,T_StockCount[WeekIndex],3),IF((COUNTIFS(T_SelfStock[RM_Code],$A14,T_SelfStock[WeekIndex],3)&gt;0)*(COUNTIFS(T_TTAFStock[RM_Code],$A14,T_TTAFStock[WeekIndex],3)&gt;0)&gt;0,SUMIFS(T_SelfStock[Self_Qty],T_SelfStock[RM_Code],$A14,T_SelfStock[WeekIndex],3)+SUMIFS(T_TTAFStock[TTAF_Qty],T_TTAFStock[RM_Code],$A14,T_TTAFStock[WeekIndex],3),C14+'Grid_Incoming'!D14-'Grid_Requirement'!D14))</f>
        <v/>
      </c>
      <c r="E14">
        <f>IF(COUNTIFS(T_StockCount[RM_Code],$A14,T_StockCount[WeekIndex],4)&gt;0,SUMIFS(T_StockCount[CountedQty],T_StockCount[RM_Code],$A14,T_StockCount[WeekIndex],4),IF((COUNTIFS(T_SelfStock[RM_Code],$A14,T_SelfStock[WeekIndex],4)&gt;0)*(COUNTIFS(T_TTAFStock[RM_Code],$A14,T_TTAFStock[WeekIndex],4)&gt;0)&gt;0,SUMIFS(T_SelfStock[Self_Qty],T_SelfStock[RM_Code],$A14,T_SelfStock[WeekIndex],4)+SUMIFS(T_TTAFStock[TTAF_Qty],T_TTAFStock[RM_Code],$A14,T_TTAFStock[WeekIndex],4),D14+'Grid_Incoming'!E14-'Grid_Requirement'!E14))</f>
        <v/>
      </c>
      <c r="F14">
        <f>IF(COUNTIFS(T_StockCount[RM_Code],$A14,T_StockCount[WeekIndex],5)&gt;0,SUMIFS(T_StockCount[CountedQty],T_StockCount[RM_Code],$A14,T_StockCount[WeekIndex],5),IF((COUNTIFS(T_SelfStock[RM_Code],$A14,T_SelfStock[WeekIndex],5)&gt;0)*(COUNTIFS(T_TTAFStock[RM_Code],$A14,T_TTAFStock[WeekIndex],5)&gt;0)&gt;0,SUMIFS(T_SelfStock[Self_Qty],T_SelfStock[RM_Code],$A14,T_SelfStock[WeekIndex],5)+SUMIFS(T_TTAFStock[TTAF_Qty],T_TTAFStock[RM_Code],$A14,T_TTAFStock[WeekIndex],5),E14+'Grid_Incoming'!F14-'Grid_Requirement'!F14))</f>
        <v/>
      </c>
      <c r="G14">
        <f>IF(COUNTIFS(T_StockCount[RM_Code],$A14,T_StockCount[WeekIndex],6)&gt;0,SUMIFS(T_StockCount[CountedQty],T_StockCount[RM_Code],$A14,T_StockCount[WeekIndex],6),IF((COUNTIFS(T_SelfStock[RM_Code],$A14,T_SelfStock[WeekIndex],6)&gt;0)*(COUNTIFS(T_TTAFStock[RM_Code],$A14,T_TTAFStock[WeekIndex],6)&gt;0)&gt;0,SUMIFS(T_SelfStock[Self_Qty],T_SelfStock[RM_Code],$A14,T_SelfStock[WeekIndex],6)+SUMIFS(T_TTAFStock[TTAF_Qty],T_TTAFStock[RM_Code],$A14,T_TTAFStock[WeekIndex],6),F14+'Grid_Incoming'!G14-'Grid_Requirement'!G14))</f>
        <v/>
      </c>
      <c r="H14">
        <f>IF(COUNTIFS(T_StockCount[RM_Code],$A14,T_StockCount[WeekIndex],7)&gt;0,SUMIFS(T_StockCount[CountedQty],T_StockCount[RM_Code],$A14,T_StockCount[WeekIndex],7),IF((COUNTIFS(T_SelfStock[RM_Code],$A14,T_SelfStock[WeekIndex],7)&gt;0)*(COUNTIFS(T_TTAFStock[RM_Code],$A14,T_TTAFStock[WeekIndex],7)&gt;0)&gt;0,SUMIFS(T_SelfStock[Self_Qty],T_SelfStock[RM_Code],$A14,T_SelfStock[WeekIndex],7)+SUMIFS(T_TTAFStock[TTAF_Qty],T_TTAFStock[RM_Code],$A14,T_TTAFStock[WeekIndex],7),G14+'Grid_Incoming'!H14-'Grid_Requirement'!H14))</f>
        <v/>
      </c>
      <c r="I14">
        <f>IF(COUNTIFS(T_StockCount[RM_Code],$A14,T_StockCount[WeekIndex],8)&gt;0,SUMIFS(T_StockCount[CountedQty],T_StockCount[RM_Code],$A14,T_StockCount[WeekIndex],8),IF((COUNTIFS(T_SelfStock[RM_Code],$A14,T_SelfStock[WeekIndex],8)&gt;0)*(COUNTIFS(T_TTAFStock[RM_Code],$A14,T_TTAFStock[WeekIndex],8)&gt;0)&gt;0,SUMIFS(T_SelfStock[Self_Qty],T_SelfStock[RM_Code],$A14,T_SelfStock[WeekIndex],8)+SUMIFS(T_TTAFStock[TTAF_Qty],T_TTAFStock[RM_Code],$A14,T_TTAFStock[WeekIndex],8),H14+'Grid_Incoming'!I14-'Grid_Requirement'!I14))</f>
        <v/>
      </c>
      <c r="J14">
        <f>IF(COUNTIFS(T_StockCount[RM_Code],$A14,T_StockCount[WeekIndex],9)&gt;0,SUMIFS(T_StockCount[CountedQty],T_StockCount[RM_Code],$A14,T_StockCount[WeekIndex],9),IF((COUNTIFS(T_SelfStock[RM_Code],$A14,T_SelfStock[WeekIndex],9)&gt;0)*(COUNTIFS(T_TTAFStock[RM_Code],$A14,T_TTAFStock[WeekIndex],9)&gt;0)&gt;0,SUMIFS(T_SelfStock[Self_Qty],T_SelfStock[RM_Code],$A14,T_SelfStock[WeekIndex],9)+SUMIFS(T_TTAFStock[TTAF_Qty],T_TTAFStock[RM_Code],$A14,T_TTAFStock[WeekIndex],9),I14+'Grid_Incoming'!J14-'Grid_Requirement'!J14))</f>
        <v/>
      </c>
      <c r="K14">
        <f>IF(COUNTIFS(T_StockCount[RM_Code],$A14,T_StockCount[WeekIndex],10)&gt;0,SUMIFS(T_StockCount[CountedQty],T_StockCount[RM_Code],$A14,T_StockCount[WeekIndex],10),IF((COUNTIFS(T_SelfStock[RM_Code],$A14,T_SelfStock[WeekIndex],10)&gt;0)*(COUNTIFS(T_TTAFStock[RM_Code],$A14,T_TTAFStock[WeekIndex],10)&gt;0)&gt;0,SUMIFS(T_SelfStock[Self_Qty],T_SelfStock[RM_Code],$A14,T_SelfStock[WeekIndex],10)+SUMIFS(T_TTAFStock[TTAF_Qty],T_TTAFStock[RM_Code],$A14,T_TTAFStock[WeekIndex],10),J14+'Grid_Incoming'!K14-'Grid_Requirement'!K14))</f>
        <v/>
      </c>
      <c r="L14">
        <f>IF(COUNTIFS(T_StockCount[RM_Code],$A14,T_StockCount[WeekIndex],11)&gt;0,SUMIFS(T_StockCount[CountedQty],T_StockCount[RM_Code],$A14,T_StockCount[WeekIndex],11),IF((COUNTIFS(T_SelfStock[RM_Code],$A14,T_SelfStock[WeekIndex],11)&gt;0)*(COUNTIFS(T_TTAFStock[RM_Code],$A14,T_TTAFStock[WeekIndex],11)&gt;0)&gt;0,SUMIFS(T_SelfStock[Self_Qty],T_SelfStock[RM_Code],$A14,T_SelfStock[WeekIndex],11)+SUMIFS(T_TTAFStock[TTAF_Qty],T_TTAFStock[RM_Code],$A14,T_TTAFStock[WeekIndex],11),K14+'Grid_Incoming'!L14-'Grid_Requirement'!L14))</f>
        <v/>
      </c>
      <c r="M14">
        <f>IF(COUNTIFS(T_StockCount[RM_Code],$A14,T_StockCount[WeekIndex],12)&gt;0,SUMIFS(T_StockCount[CountedQty],T_StockCount[RM_Code],$A14,T_StockCount[WeekIndex],12),IF((COUNTIFS(T_SelfStock[RM_Code],$A14,T_SelfStock[WeekIndex],12)&gt;0)*(COUNTIFS(T_TTAFStock[RM_Code],$A14,T_TTAFStock[WeekIndex],12)&gt;0)&gt;0,SUMIFS(T_SelfStock[Self_Qty],T_SelfStock[RM_Code],$A14,T_SelfStock[WeekIndex],12)+SUMIFS(T_TTAFStock[TTAF_Qty],T_TTAFStock[RM_Code],$A14,T_TTAFStock[WeekIndex],12),L14+'Grid_Incoming'!M14-'Grid_Requirement'!M14))</f>
        <v/>
      </c>
      <c r="N14">
        <f>IF(COUNTIFS(T_StockCount[RM_Code],$A14,T_StockCount[WeekIndex],13)&gt;0,SUMIFS(T_StockCount[CountedQty],T_StockCount[RM_Code],$A14,T_StockCount[WeekIndex],13),IF((COUNTIFS(T_SelfStock[RM_Code],$A14,T_SelfStock[WeekIndex],13)&gt;0)*(COUNTIFS(T_TTAFStock[RM_Code],$A14,T_TTAFStock[WeekIndex],13)&gt;0)&gt;0,SUMIFS(T_SelfStock[Self_Qty],T_SelfStock[RM_Code],$A14,T_SelfStock[WeekIndex],13)+SUMIFS(T_TTAFStock[TTAF_Qty],T_TTAFStock[RM_Code],$A14,T_TTAFStock[WeekIndex],13),M14+'Grid_Incoming'!N14-'Grid_Requirement'!N14))</f>
        <v/>
      </c>
      <c r="O14">
        <f>IF(COUNTIFS(T_StockCount[RM_Code],$A14,T_StockCount[WeekIndex],14)&gt;0,SUMIFS(T_StockCount[CountedQty],T_StockCount[RM_Code],$A14,T_StockCount[WeekIndex],14),IF((COUNTIFS(T_SelfStock[RM_Code],$A14,T_SelfStock[WeekIndex],14)&gt;0)*(COUNTIFS(T_TTAFStock[RM_Code],$A14,T_TTAFStock[WeekIndex],14)&gt;0)&gt;0,SUMIFS(T_SelfStock[Self_Qty],T_SelfStock[RM_Code],$A14,T_SelfStock[WeekIndex],14)+SUMIFS(T_TTAFStock[TTAF_Qty],T_TTAFStock[RM_Code],$A14,T_TTAFStock[WeekIndex],14),N14+'Grid_Incoming'!O14-'Grid_Requirement'!O14))</f>
        <v/>
      </c>
      <c r="P14">
        <f>IF(COUNTIFS(T_StockCount[RM_Code],$A14,T_StockCount[WeekIndex],15)&gt;0,SUMIFS(T_StockCount[CountedQty],T_StockCount[RM_Code],$A14,T_StockCount[WeekIndex],15),IF((COUNTIFS(T_SelfStock[RM_Code],$A14,T_SelfStock[WeekIndex],15)&gt;0)*(COUNTIFS(T_TTAFStock[RM_Code],$A14,T_TTAFStock[WeekIndex],15)&gt;0)&gt;0,SUMIFS(T_SelfStock[Self_Qty],T_SelfStock[RM_Code],$A14,T_SelfStock[WeekIndex],15)+SUMIFS(T_TTAFStock[TTAF_Qty],T_TTAFStock[RM_Code],$A14,T_TTAFStock[WeekIndex],15),O14+'Grid_Incoming'!P14-'Grid_Requirement'!P14))</f>
        <v/>
      </c>
      <c r="Q14">
        <f>IF(COUNTIFS(T_StockCount[RM_Code],$A14,T_StockCount[WeekIndex],16)&gt;0,SUMIFS(T_StockCount[CountedQty],T_StockCount[RM_Code],$A14,T_StockCount[WeekIndex],16),IF((COUNTIFS(T_SelfStock[RM_Code],$A14,T_SelfStock[WeekIndex],16)&gt;0)*(COUNTIFS(T_TTAFStock[RM_Code],$A14,T_TTAFStock[WeekIndex],16)&gt;0)&gt;0,SUMIFS(T_SelfStock[Self_Qty],T_SelfStock[RM_Code],$A14,T_SelfStock[WeekIndex],16)+SUMIFS(T_TTAFStock[TTAF_Qty],T_TTAFStock[RM_Code],$A14,T_TTAFStock[WeekIndex],16),P14+'Grid_Incoming'!Q14-'Grid_Requirement'!Q14))</f>
        <v/>
      </c>
      <c r="R14">
        <f>IF(COUNTIFS(T_StockCount[RM_Code],$A14,T_StockCount[WeekIndex],17)&gt;0,SUMIFS(T_StockCount[CountedQty],T_StockCount[RM_Code],$A14,T_StockCount[WeekIndex],17),IF((COUNTIFS(T_SelfStock[RM_Code],$A14,T_SelfStock[WeekIndex],17)&gt;0)*(COUNTIFS(T_TTAFStock[RM_Code],$A14,T_TTAFStock[WeekIndex],17)&gt;0)&gt;0,SUMIFS(T_SelfStock[Self_Qty],T_SelfStock[RM_Code],$A14,T_SelfStock[WeekIndex],17)+SUMIFS(T_TTAFStock[TTAF_Qty],T_TTAFStock[RM_Code],$A14,T_TTAFStock[WeekIndex],17),Q14+'Grid_Incoming'!R14-'Grid_Requirement'!R14))</f>
        <v/>
      </c>
      <c r="S14">
        <f>IF(COUNTIFS(T_StockCount[RM_Code],$A14,T_StockCount[WeekIndex],18)&gt;0,SUMIFS(T_StockCount[CountedQty],T_StockCount[RM_Code],$A14,T_StockCount[WeekIndex],18),IF((COUNTIFS(T_SelfStock[RM_Code],$A14,T_SelfStock[WeekIndex],18)&gt;0)*(COUNTIFS(T_TTAFStock[RM_Code],$A14,T_TTAFStock[WeekIndex],18)&gt;0)&gt;0,SUMIFS(T_SelfStock[Self_Qty],T_SelfStock[RM_Code],$A14,T_SelfStock[WeekIndex],18)+SUMIFS(T_TTAFStock[TTAF_Qty],T_TTAFStock[RM_Code],$A14,T_TTAFStock[WeekIndex],18),R14+'Grid_Incoming'!S14-'Grid_Requirement'!S14))</f>
        <v/>
      </c>
      <c r="T14">
        <f>IF(COUNTIFS(T_StockCount[RM_Code],$A14,T_StockCount[WeekIndex],19)&gt;0,SUMIFS(T_StockCount[CountedQty],T_StockCount[RM_Code],$A14,T_StockCount[WeekIndex],19),IF((COUNTIFS(T_SelfStock[RM_Code],$A14,T_SelfStock[WeekIndex],19)&gt;0)*(COUNTIFS(T_TTAFStock[RM_Code],$A14,T_TTAFStock[WeekIndex],19)&gt;0)&gt;0,SUMIFS(T_SelfStock[Self_Qty],T_SelfStock[RM_Code],$A14,T_SelfStock[WeekIndex],19)+SUMIFS(T_TTAFStock[TTAF_Qty],T_TTAFStock[RM_Code],$A14,T_TTAFStock[WeekIndex],19),S14+'Grid_Incoming'!T14-'Grid_Requirement'!T14))</f>
        <v/>
      </c>
      <c r="U14">
        <f>IF(COUNTIFS(T_StockCount[RM_Code],$A14,T_StockCount[WeekIndex],20)&gt;0,SUMIFS(T_StockCount[CountedQty],T_StockCount[RM_Code],$A14,T_StockCount[WeekIndex],20),IF((COUNTIFS(T_SelfStock[RM_Code],$A14,T_SelfStock[WeekIndex],20)&gt;0)*(COUNTIFS(T_TTAFStock[RM_Code],$A14,T_TTAFStock[WeekIndex],20)&gt;0)&gt;0,SUMIFS(T_SelfStock[Self_Qty],T_SelfStock[RM_Code],$A14,T_SelfStock[WeekIndex],20)+SUMIFS(T_TTAFStock[TTAF_Qty],T_TTAFStock[RM_Code],$A14,T_TTAFStock[WeekIndex],20),T14+'Grid_Incoming'!U14-'Grid_Requirement'!U14))</f>
        <v/>
      </c>
      <c r="V14">
        <f>IF(COUNTIFS(T_StockCount[RM_Code],$A14,T_StockCount[WeekIndex],21)&gt;0,SUMIFS(T_StockCount[CountedQty],T_StockCount[RM_Code],$A14,T_StockCount[WeekIndex],21),IF((COUNTIFS(T_SelfStock[RM_Code],$A14,T_SelfStock[WeekIndex],21)&gt;0)*(COUNTIFS(T_TTAFStock[RM_Code],$A14,T_TTAFStock[WeekIndex],21)&gt;0)&gt;0,SUMIFS(T_SelfStock[Self_Qty],T_SelfStock[RM_Code],$A14,T_SelfStock[WeekIndex],21)+SUMIFS(T_TTAFStock[TTAF_Qty],T_TTAFStock[RM_Code],$A14,T_TTAFStock[WeekIndex],21),U14+'Grid_Incoming'!V14-'Grid_Requirement'!V14))</f>
        <v/>
      </c>
      <c r="W14">
        <f>IF(COUNTIFS(T_StockCount[RM_Code],$A14,T_StockCount[WeekIndex],22)&gt;0,SUMIFS(T_StockCount[CountedQty],T_StockCount[RM_Code],$A14,T_StockCount[WeekIndex],22),IF((COUNTIFS(T_SelfStock[RM_Code],$A14,T_SelfStock[WeekIndex],22)&gt;0)*(COUNTIFS(T_TTAFStock[RM_Code],$A14,T_TTAFStock[WeekIndex],22)&gt;0)&gt;0,SUMIFS(T_SelfStock[Self_Qty],T_SelfStock[RM_Code],$A14,T_SelfStock[WeekIndex],22)+SUMIFS(T_TTAFStock[TTAF_Qty],T_TTAFStock[RM_Code],$A14,T_TTAFStock[WeekIndex],22),V14+'Grid_Incoming'!W14-'Grid_Requirement'!W14))</f>
        <v/>
      </c>
      <c r="X14">
        <f>IF(COUNTIFS(T_StockCount[RM_Code],$A14,T_StockCount[WeekIndex],23)&gt;0,SUMIFS(T_StockCount[CountedQty],T_StockCount[RM_Code],$A14,T_StockCount[WeekIndex],23),IF((COUNTIFS(T_SelfStock[RM_Code],$A14,T_SelfStock[WeekIndex],23)&gt;0)*(COUNTIFS(T_TTAFStock[RM_Code],$A14,T_TTAFStock[WeekIndex],23)&gt;0)&gt;0,SUMIFS(T_SelfStock[Self_Qty],T_SelfStock[RM_Code],$A14,T_SelfStock[WeekIndex],23)+SUMIFS(T_TTAFStock[TTAF_Qty],T_TTAFStock[RM_Code],$A14,T_TTAFStock[WeekIndex],23),W14+'Grid_Incoming'!X14-'Grid_Requirement'!X14))</f>
        <v/>
      </c>
      <c r="Y14">
        <f>IF(COUNTIFS(T_StockCount[RM_Code],$A14,T_StockCount[WeekIndex],24)&gt;0,SUMIFS(T_StockCount[CountedQty],T_StockCount[RM_Code],$A14,T_StockCount[WeekIndex],24),IF((COUNTIFS(T_SelfStock[RM_Code],$A14,T_SelfStock[WeekIndex],24)&gt;0)*(COUNTIFS(T_TTAFStock[RM_Code],$A14,T_TTAFStock[WeekIndex],24)&gt;0)&gt;0,SUMIFS(T_SelfStock[Self_Qty],T_SelfStock[RM_Code],$A14,T_SelfStock[WeekIndex],24)+SUMIFS(T_TTAFStock[TTAF_Qty],T_TTAFStock[RM_Code],$A14,T_TTAFStock[WeekIndex],24),X14+'Grid_Incoming'!Y14-'Grid_Requirement'!Y14))</f>
        <v/>
      </c>
      <c r="Z14">
        <f>IF(COUNTIFS(T_StockCount[RM_Code],$A14,T_StockCount[WeekIndex],25)&gt;0,SUMIFS(T_StockCount[CountedQty],T_StockCount[RM_Code],$A14,T_StockCount[WeekIndex],25),IF((COUNTIFS(T_SelfStock[RM_Code],$A14,T_SelfStock[WeekIndex],25)&gt;0)*(COUNTIFS(T_TTAFStock[RM_Code],$A14,T_TTAFStock[WeekIndex],25)&gt;0)&gt;0,SUMIFS(T_SelfStock[Self_Qty],T_SelfStock[RM_Code],$A14,T_SelfStock[WeekIndex],25)+SUMIFS(T_TTAFStock[TTAF_Qty],T_TTAFStock[RM_Code],$A14,T_TTAFStock[WeekIndex],25),Y14+'Grid_Incoming'!Z14-'Grid_Requirement'!Z14))</f>
        <v/>
      </c>
      <c r="AA14">
        <f>IF(COUNTIFS(T_StockCount[RM_Code],$A14,T_StockCount[WeekIndex],26)&gt;0,SUMIFS(T_StockCount[CountedQty],T_StockCount[RM_Code],$A14,T_StockCount[WeekIndex],26),IF((COUNTIFS(T_SelfStock[RM_Code],$A14,T_SelfStock[WeekIndex],26)&gt;0)*(COUNTIFS(T_TTAFStock[RM_Code],$A14,T_TTAFStock[WeekIndex],26)&gt;0)&gt;0,SUMIFS(T_SelfStock[Self_Qty],T_SelfStock[RM_Code],$A14,T_SelfStock[WeekIndex],26)+SUMIFS(T_TTAFStock[TTAF_Qty],T_TTAFStock[RM_Code],$A14,T_TTAFStock[WeekIndex],26),Z14+'Grid_Incoming'!AA14-'Grid_Requirement'!AA14))</f>
        <v/>
      </c>
      <c r="AB14">
        <f>IF(COUNTIFS(T_StockCount[RM_Code],$A14,T_StockCount[WeekIndex],27)&gt;0,SUMIFS(T_StockCount[CountedQty],T_StockCount[RM_Code],$A14,T_StockCount[WeekIndex],27),IF((COUNTIFS(T_SelfStock[RM_Code],$A14,T_SelfStock[WeekIndex],27)&gt;0)*(COUNTIFS(T_TTAFStock[RM_Code],$A14,T_TTAFStock[WeekIndex],27)&gt;0)&gt;0,SUMIFS(T_SelfStock[Self_Qty],T_SelfStock[RM_Code],$A14,T_SelfStock[WeekIndex],27)+SUMIFS(T_TTAFStock[TTAF_Qty],T_TTAFStock[RM_Code],$A14,T_TTAFStock[WeekIndex],27),AA14+'Grid_Incoming'!AB14-'Grid_Requirement'!AB14))</f>
        <v/>
      </c>
      <c r="AC14">
        <f>IF(COUNTIFS(T_StockCount[RM_Code],$A14,T_StockCount[WeekIndex],28)&gt;0,SUMIFS(T_StockCount[CountedQty],T_StockCount[RM_Code],$A14,T_StockCount[WeekIndex],28),IF((COUNTIFS(T_SelfStock[RM_Code],$A14,T_SelfStock[WeekIndex],28)&gt;0)*(COUNTIFS(T_TTAFStock[RM_Code],$A14,T_TTAFStock[WeekIndex],28)&gt;0)&gt;0,SUMIFS(T_SelfStock[Self_Qty],T_SelfStock[RM_Code],$A14,T_SelfStock[WeekIndex],28)+SUMIFS(T_TTAFStock[TTAF_Qty],T_TTAFStock[RM_Code],$A14,T_TTAFStock[WeekIndex],28),AB14+'Grid_Incoming'!AC14-'Grid_Requirement'!AC14))</f>
        <v/>
      </c>
      <c r="AD14">
        <f>IF(COUNTIFS(T_StockCount[RM_Code],$A14,T_StockCount[WeekIndex],29)&gt;0,SUMIFS(T_StockCount[CountedQty],T_StockCount[RM_Code],$A14,T_StockCount[WeekIndex],29),IF((COUNTIFS(T_SelfStock[RM_Code],$A14,T_SelfStock[WeekIndex],29)&gt;0)*(COUNTIFS(T_TTAFStock[RM_Code],$A14,T_TTAFStock[WeekIndex],29)&gt;0)&gt;0,SUMIFS(T_SelfStock[Self_Qty],T_SelfStock[RM_Code],$A14,T_SelfStock[WeekIndex],29)+SUMIFS(T_TTAFStock[TTAF_Qty],T_TTAFStock[RM_Code],$A14,T_TTAFStock[WeekIndex],29),AC14+'Grid_Incoming'!AD14-'Grid_Requirement'!AD14))</f>
        <v/>
      </c>
      <c r="AE14">
        <f>IF(COUNTIFS(T_StockCount[RM_Code],$A14,T_StockCount[WeekIndex],30)&gt;0,SUMIFS(T_StockCount[CountedQty],T_StockCount[RM_Code],$A14,T_StockCount[WeekIndex],30),IF((COUNTIFS(T_SelfStock[RM_Code],$A14,T_SelfStock[WeekIndex],30)&gt;0)*(COUNTIFS(T_TTAFStock[RM_Code],$A14,T_TTAFStock[WeekIndex],30)&gt;0)&gt;0,SUMIFS(T_SelfStock[Self_Qty],T_SelfStock[RM_Code],$A14,T_SelfStock[WeekIndex],30)+SUMIFS(T_TTAFStock[TTAF_Qty],T_TTAFStock[RM_Code],$A14,T_TTAFStock[WeekIndex],30),AD14+'Grid_Incoming'!AE14-'Grid_Requirement'!AE14))</f>
        <v/>
      </c>
      <c r="AF14">
        <f>IF(COUNTIFS(T_StockCount[RM_Code],$A14,T_StockCount[WeekIndex],31)&gt;0,SUMIFS(T_StockCount[CountedQty],T_StockCount[RM_Code],$A14,T_StockCount[WeekIndex],31),IF((COUNTIFS(T_SelfStock[RM_Code],$A14,T_SelfStock[WeekIndex],31)&gt;0)*(COUNTIFS(T_TTAFStock[RM_Code],$A14,T_TTAFStock[WeekIndex],31)&gt;0)&gt;0,SUMIFS(T_SelfStock[Self_Qty],T_SelfStock[RM_Code],$A14,T_SelfStock[WeekIndex],31)+SUMIFS(T_TTAFStock[TTAF_Qty],T_TTAFStock[RM_Code],$A14,T_TTAFStock[WeekIndex],31),AE14+'Grid_Incoming'!AF14-'Grid_Requirement'!AF14))</f>
        <v/>
      </c>
      <c r="AG14">
        <f>IF(COUNTIFS(T_StockCount[RM_Code],$A14,T_StockCount[WeekIndex],32)&gt;0,SUMIFS(T_StockCount[CountedQty],T_StockCount[RM_Code],$A14,T_StockCount[WeekIndex],32),IF((COUNTIFS(T_SelfStock[RM_Code],$A14,T_SelfStock[WeekIndex],32)&gt;0)*(COUNTIFS(T_TTAFStock[RM_Code],$A14,T_TTAFStock[WeekIndex],32)&gt;0)&gt;0,SUMIFS(T_SelfStock[Self_Qty],T_SelfStock[RM_Code],$A14,T_SelfStock[WeekIndex],32)+SUMIFS(T_TTAFStock[TTAF_Qty],T_TTAFStock[RM_Code],$A14,T_TTAFStock[WeekIndex],32),AF14+'Grid_Incoming'!AG14-'Grid_Requirement'!AG14))</f>
        <v/>
      </c>
      <c r="AH14">
        <f>IF(COUNTIFS(T_StockCount[RM_Code],$A14,T_StockCount[WeekIndex],33)&gt;0,SUMIFS(T_StockCount[CountedQty],T_StockCount[RM_Code],$A14,T_StockCount[WeekIndex],33),IF((COUNTIFS(T_SelfStock[RM_Code],$A14,T_SelfStock[WeekIndex],33)&gt;0)*(COUNTIFS(T_TTAFStock[RM_Code],$A14,T_TTAFStock[WeekIndex],33)&gt;0)&gt;0,SUMIFS(T_SelfStock[Self_Qty],T_SelfStock[RM_Code],$A14,T_SelfStock[WeekIndex],33)+SUMIFS(T_TTAFStock[TTAF_Qty],T_TTAFStock[RM_Code],$A14,T_TTAFStock[WeekIndex],33),AG14+'Grid_Incoming'!AH14-'Grid_Requirement'!AH14))</f>
        <v/>
      </c>
      <c r="AI14">
        <f>IF(COUNTIFS(T_StockCount[RM_Code],$A14,T_StockCount[WeekIndex],34)&gt;0,SUMIFS(T_StockCount[CountedQty],T_StockCount[RM_Code],$A14,T_StockCount[WeekIndex],34),IF((COUNTIFS(T_SelfStock[RM_Code],$A14,T_SelfStock[WeekIndex],34)&gt;0)*(COUNTIFS(T_TTAFStock[RM_Code],$A14,T_TTAFStock[WeekIndex],34)&gt;0)&gt;0,SUMIFS(T_SelfStock[Self_Qty],T_SelfStock[RM_Code],$A14,T_SelfStock[WeekIndex],34)+SUMIFS(T_TTAFStock[TTAF_Qty],T_TTAFStock[RM_Code],$A14,T_TTAFStock[WeekIndex],34),AH14+'Grid_Incoming'!AI14-'Grid_Requirement'!AI14))</f>
        <v/>
      </c>
      <c r="AJ14">
        <f>IF(COUNTIFS(T_StockCount[RM_Code],$A14,T_StockCount[WeekIndex],35)&gt;0,SUMIFS(T_StockCount[CountedQty],T_StockCount[RM_Code],$A14,T_StockCount[WeekIndex],35),IF((COUNTIFS(T_SelfStock[RM_Code],$A14,T_SelfStock[WeekIndex],35)&gt;0)*(COUNTIFS(T_TTAFStock[RM_Code],$A14,T_TTAFStock[WeekIndex],35)&gt;0)&gt;0,SUMIFS(T_SelfStock[Self_Qty],T_SelfStock[RM_Code],$A14,T_SelfStock[WeekIndex],35)+SUMIFS(T_TTAFStock[TTAF_Qty],T_TTAFStock[RM_Code],$A14,T_TTAFStock[WeekIndex],35),AI14+'Grid_Incoming'!AJ14-'Grid_Requirement'!AJ14))</f>
        <v/>
      </c>
      <c r="AK14">
        <f>IF(COUNTIFS(T_StockCount[RM_Code],$A14,T_StockCount[WeekIndex],36)&gt;0,SUMIFS(T_StockCount[CountedQty],T_StockCount[RM_Code],$A14,T_StockCount[WeekIndex],36),IF((COUNTIFS(T_SelfStock[RM_Code],$A14,T_SelfStock[WeekIndex],36)&gt;0)*(COUNTIFS(T_TTAFStock[RM_Code],$A14,T_TTAFStock[WeekIndex],36)&gt;0)&gt;0,SUMIFS(T_SelfStock[Self_Qty],T_SelfStock[RM_Code],$A14,T_SelfStock[WeekIndex],36)+SUMIFS(T_TTAFStock[TTAF_Qty],T_TTAFStock[RM_Code],$A14,T_TTAFStock[WeekIndex],36),AJ14+'Grid_Incoming'!AK14-'Grid_Requirement'!AK14))</f>
        <v/>
      </c>
      <c r="AL14">
        <f>IF(COUNTIFS(T_StockCount[RM_Code],$A14,T_StockCount[WeekIndex],37)&gt;0,SUMIFS(T_StockCount[CountedQty],T_StockCount[RM_Code],$A14,T_StockCount[WeekIndex],37),IF((COUNTIFS(T_SelfStock[RM_Code],$A14,T_SelfStock[WeekIndex],37)&gt;0)*(COUNTIFS(T_TTAFStock[RM_Code],$A14,T_TTAFStock[WeekIndex],37)&gt;0)&gt;0,SUMIFS(T_SelfStock[Self_Qty],T_SelfStock[RM_Code],$A14,T_SelfStock[WeekIndex],37)+SUMIFS(T_TTAFStock[TTAF_Qty],T_TTAFStock[RM_Code],$A14,T_TTAFStock[WeekIndex],37),AK14+'Grid_Incoming'!AL14-'Grid_Requirement'!AL14))</f>
        <v/>
      </c>
      <c r="AM14">
        <f>IF(COUNTIFS(T_StockCount[RM_Code],$A14,T_StockCount[WeekIndex],38)&gt;0,SUMIFS(T_StockCount[CountedQty],T_StockCount[RM_Code],$A14,T_StockCount[WeekIndex],38),IF((COUNTIFS(T_SelfStock[RM_Code],$A14,T_SelfStock[WeekIndex],38)&gt;0)*(COUNTIFS(T_TTAFStock[RM_Code],$A14,T_TTAFStock[WeekIndex],38)&gt;0)&gt;0,SUMIFS(T_SelfStock[Self_Qty],T_SelfStock[RM_Code],$A14,T_SelfStock[WeekIndex],38)+SUMIFS(T_TTAFStock[TTAF_Qty],T_TTAFStock[RM_Code],$A14,T_TTAFStock[WeekIndex],38),AL14+'Grid_Incoming'!AM14-'Grid_Requirement'!AM14))</f>
        <v/>
      </c>
      <c r="AN14">
        <f>IF(COUNTIFS(T_StockCount[RM_Code],$A14,T_StockCount[WeekIndex],39)&gt;0,SUMIFS(T_StockCount[CountedQty],T_StockCount[RM_Code],$A14,T_StockCount[WeekIndex],39),IF((COUNTIFS(T_SelfStock[RM_Code],$A14,T_SelfStock[WeekIndex],39)&gt;0)*(COUNTIFS(T_TTAFStock[RM_Code],$A14,T_TTAFStock[WeekIndex],39)&gt;0)&gt;0,SUMIFS(T_SelfStock[Self_Qty],T_SelfStock[RM_Code],$A14,T_SelfStock[WeekIndex],39)+SUMIFS(T_TTAFStock[TTAF_Qty],T_TTAFStock[RM_Code],$A14,T_TTAFStock[WeekIndex],39),AM14+'Grid_Incoming'!AN14-'Grid_Requirement'!AN14))</f>
        <v/>
      </c>
      <c r="AO14">
        <f>IF(COUNTIFS(T_StockCount[RM_Code],$A14,T_StockCount[WeekIndex],40)&gt;0,SUMIFS(T_StockCount[CountedQty],T_StockCount[RM_Code],$A14,T_StockCount[WeekIndex],40),IF((COUNTIFS(T_SelfStock[RM_Code],$A14,T_SelfStock[WeekIndex],40)&gt;0)*(COUNTIFS(T_TTAFStock[RM_Code],$A14,T_TTAFStock[WeekIndex],40)&gt;0)&gt;0,SUMIFS(T_SelfStock[Self_Qty],T_SelfStock[RM_Code],$A14,T_SelfStock[WeekIndex],40)+SUMIFS(T_TTAFStock[TTAF_Qty],T_TTAFStock[RM_Code],$A14,T_TTAFStock[WeekIndex],40),AN14+'Grid_Incoming'!AO14-'Grid_Requirement'!AO14))</f>
        <v/>
      </c>
      <c r="AP14">
        <f>IF(COUNTIFS(T_StockCount[RM_Code],$A14,T_StockCount[WeekIndex],41)&gt;0,SUMIFS(T_StockCount[CountedQty],T_StockCount[RM_Code],$A14,T_StockCount[WeekIndex],41),IF((COUNTIFS(T_SelfStock[RM_Code],$A14,T_SelfStock[WeekIndex],41)&gt;0)*(COUNTIFS(T_TTAFStock[RM_Code],$A14,T_TTAFStock[WeekIndex],41)&gt;0)&gt;0,SUMIFS(T_SelfStock[Self_Qty],T_SelfStock[RM_Code],$A14,T_SelfStock[WeekIndex],41)+SUMIFS(T_TTAFStock[TTAF_Qty],T_TTAFStock[RM_Code],$A14,T_TTAFStock[WeekIndex],41),AO14+'Grid_Incoming'!AP14-'Grid_Requirement'!AP14))</f>
        <v/>
      </c>
      <c r="AQ14">
        <f>IF(COUNTIFS(T_StockCount[RM_Code],$A14,T_StockCount[WeekIndex],42)&gt;0,SUMIFS(T_StockCount[CountedQty],T_StockCount[RM_Code],$A14,T_StockCount[WeekIndex],42),IF((COUNTIFS(T_SelfStock[RM_Code],$A14,T_SelfStock[WeekIndex],42)&gt;0)*(COUNTIFS(T_TTAFStock[RM_Code],$A14,T_TTAFStock[WeekIndex],42)&gt;0)&gt;0,SUMIFS(T_SelfStock[Self_Qty],T_SelfStock[RM_Code],$A14,T_SelfStock[WeekIndex],42)+SUMIFS(T_TTAFStock[TTAF_Qty],T_TTAFStock[RM_Code],$A14,T_TTAFStock[WeekIndex],42),AP14+'Grid_Incoming'!AQ14-'Grid_Requirement'!AQ14))</f>
        <v/>
      </c>
      <c r="AR14">
        <f>IF(COUNTIFS(T_StockCount[RM_Code],$A14,T_StockCount[WeekIndex],43)&gt;0,SUMIFS(T_StockCount[CountedQty],T_StockCount[RM_Code],$A14,T_StockCount[WeekIndex],43),IF((COUNTIFS(T_SelfStock[RM_Code],$A14,T_SelfStock[WeekIndex],43)&gt;0)*(COUNTIFS(T_TTAFStock[RM_Code],$A14,T_TTAFStock[WeekIndex],43)&gt;0)&gt;0,SUMIFS(T_SelfStock[Self_Qty],T_SelfStock[RM_Code],$A14,T_SelfStock[WeekIndex],43)+SUMIFS(T_TTAFStock[TTAF_Qty],T_TTAFStock[RM_Code],$A14,T_TTAFStock[WeekIndex],43),AQ14+'Grid_Incoming'!AR14-'Grid_Requirement'!AR14))</f>
        <v/>
      </c>
      <c r="AS14">
        <f>IF(COUNTIFS(T_StockCount[RM_Code],$A14,T_StockCount[WeekIndex],44)&gt;0,SUMIFS(T_StockCount[CountedQty],T_StockCount[RM_Code],$A14,T_StockCount[WeekIndex],44),IF((COUNTIFS(T_SelfStock[RM_Code],$A14,T_SelfStock[WeekIndex],44)&gt;0)*(COUNTIFS(T_TTAFStock[RM_Code],$A14,T_TTAFStock[WeekIndex],44)&gt;0)&gt;0,SUMIFS(T_SelfStock[Self_Qty],T_SelfStock[RM_Code],$A14,T_SelfStock[WeekIndex],44)+SUMIFS(T_TTAFStock[TTAF_Qty],T_TTAFStock[RM_Code],$A14,T_TTAFStock[WeekIndex],44),AR14+'Grid_Incoming'!AS14-'Grid_Requirement'!AS14))</f>
        <v/>
      </c>
      <c r="AT14">
        <f>IF(COUNTIFS(T_StockCount[RM_Code],$A14,T_StockCount[WeekIndex],45)&gt;0,SUMIFS(T_StockCount[CountedQty],T_StockCount[RM_Code],$A14,T_StockCount[WeekIndex],45),IF((COUNTIFS(T_SelfStock[RM_Code],$A14,T_SelfStock[WeekIndex],45)&gt;0)*(COUNTIFS(T_TTAFStock[RM_Code],$A14,T_TTAFStock[WeekIndex],45)&gt;0)&gt;0,SUMIFS(T_SelfStock[Self_Qty],T_SelfStock[RM_Code],$A14,T_SelfStock[WeekIndex],45)+SUMIFS(T_TTAFStock[TTAF_Qty],T_TTAFStock[RM_Code],$A14,T_TTAFStock[WeekIndex],45),AS14+'Grid_Incoming'!AT14-'Grid_Requirement'!AT14))</f>
        <v/>
      </c>
      <c r="AU14">
        <f>IF(COUNTIFS(T_StockCount[RM_Code],$A14,T_StockCount[WeekIndex],46)&gt;0,SUMIFS(T_StockCount[CountedQty],T_StockCount[RM_Code],$A14,T_StockCount[WeekIndex],46),IF((COUNTIFS(T_SelfStock[RM_Code],$A14,T_SelfStock[WeekIndex],46)&gt;0)*(COUNTIFS(T_TTAFStock[RM_Code],$A14,T_TTAFStock[WeekIndex],46)&gt;0)&gt;0,SUMIFS(T_SelfStock[Self_Qty],T_SelfStock[RM_Code],$A14,T_SelfStock[WeekIndex],46)+SUMIFS(T_TTAFStock[TTAF_Qty],T_TTAFStock[RM_Code],$A14,T_TTAFStock[WeekIndex],46),AT14+'Grid_Incoming'!AU14-'Grid_Requirement'!AU14))</f>
        <v/>
      </c>
      <c r="AV14">
        <f>IF(COUNTIFS(T_StockCount[RM_Code],$A14,T_StockCount[WeekIndex],47)&gt;0,SUMIFS(T_StockCount[CountedQty],T_StockCount[RM_Code],$A14,T_StockCount[WeekIndex],47),IF((COUNTIFS(T_SelfStock[RM_Code],$A14,T_SelfStock[WeekIndex],47)&gt;0)*(COUNTIFS(T_TTAFStock[RM_Code],$A14,T_TTAFStock[WeekIndex],47)&gt;0)&gt;0,SUMIFS(T_SelfStock[Self_Qty],T_SelfStock[RM_Code],$A14,T_SelfStock[WeekIndex],47)+SUMIFS(T_TTAFStock[TTAF_Qty],T_TTAFStock[RM_Code],$A14,T_TTAFStock[WeekIndex],47),AU14+'Grid_Incoming'!AV14-'Grid_Requirement'!AV14))</f>
        <v/>
      </c>
      <c r="AW14">
        <f>IF(COUNTIFS(T_StockCount[RM_Code],$A14,T_StockCount[WeekIndex],48)&gt;0,SUMIFS(T_StockCount[CountedQty],T_StockCount[RM_Code],$A14,T_StockCount[WeekIndex],48),IF((COUNTIFS(T_SelfStock[RM_Code],$A14,T_SelfStock[WeekIndex],48)&gt;0)*(COUNTIFS(T_TTAFStock[RM_Code],$A14,T_TTAFStock[WeekIndex],48)&gt;0)&gt;0,SUMIFS(T_SelfStock[Self_Qty],T_SelfStock[RM_Code],$A14,T_SelfStock[WeekIndex],48)+SUMIFS(T_TTAFStock[TTAF_Qty],T_TTAFStock[RM_Code],$A14,T_TTAFStock[WeekIndex],48),AV14+'Grid_Incoming'!AW14-'Grid_Requirement'!AW14))</f>
        <v/>
      </c>
      <c r="AX14">
        <f>IF(COUNTIFS(T_StockCount[RM_Code],$A14,T_StockCount[WeekIndex],49)&gt;0,SUMIFS(T_StockCount[CountedQty],T_StockCount[RM_Code],$A14,T_StockCount[WeekIndex],49),IF((COUNTIFS(T_SelfStock[RM_Code],$A14,T_SelfStock[WeekIndex],49)&gt;0)*(COUNTIFS(T_TTAFStock[RM_Code],$A14,T_TTAFStock[WeekIndex],49)&gt;0)&gt;0,SUMIFS(T_SelfStock[Self_Qty],T_SelfStock[RM_Code],$A14,T_SelfStock[WeekIndex],49)+SUMIFS(T_TTAFStock[TTAF_Qty],T_TTAFStock[RM_Code],$A14,T_TTAFStock[WeekIndex],49),AW14+'Grid_Incoming'!AX14-'Grid_Requirement'!AX14))</f>
        <v/>
      </c>
      <c r="AY14">
        <f>IF(COUNTIFS(T_StockCount[RM_Code],$A14,T_StockCount[WeekIndex],50)&gt;0,SUMIFS(T_StockCount[CountedQty],T_StockCount[RM_Code],$A14,T_StockCount[WeekIndex],50),IF((COUNTIFS(T_SelfStock[RM_Code],$A14,T_SelfStock[WeekIndex],50)&gt;0)*(COUNTIFS(T_TTAFStock[RM_Code],$A14,T_TTAFStock[WeekIndex],50)&gt;0)&gt;0,SUMIFS(T_SelfStock[Self_Qty],T_SelfStock[RM_Code],$A14,T_SelfStock[WeekIndex],50)+SUMIFS(T_TTAFStock[TTAF_Qty],T_TTAFStock[RM_Code],$A14,T_TTAFStock[WeekIndex],50),AX14+'Grid_Incoming'!AY14-'Grid_Requirement'!AY14))</f>
        <v/>
      </c>
      <c r="AZ14">
        <f>IF(COUNTIFS(T_StockCount[RM_Code],$A14,T_StockCount[WeekIndex],51)&gt;0,SUMIFS(T_StockCount[CountedQty],T_StockCount[RM_Code],$A14,T_StockCount[WeekIndex],51),IF((COUNTIFS(T_SelfStock[RM_Code],$A14,T_SelfStock[WeekIndex],51)&gt;0)*(COUNTIFS(T_TTAFStock[RM_Code],$A14,T_TTAFStock[WeekIndex],51)&gt;0)&gt;0,SUMIFS(T_SelfStock[Self_Qty],T_SelfStock[RM_Code],$A14,T_SelfStock[WeekIndex],51)+SUMIFS(T_TTAFStock[TTAF_Qty],T_TTAFStock[RM_Code],$A14,T_TTAFStock[WeekIndex],51),AY14+'Grid_Incoming'!AZ14-'Grid_Requirement'!AZ14))</f>
        <v/>
      </c>
      <c r="BA14">
        <f>IF(COUNTIFS(T_StockCount[RM_Code],$A14,T_StockCount[WeekIndex],52)&gt;0,SUMIFS(T_StockCount[CountedQty],T_StockCount[RM_Code],$A14,T_StockCount[WeekIndex],52),IF((COUNTIFS(T_SelfStock[RM_Code],$A14,T_SelfStock[WeekIndex],52)&gt;0)*(COUNTIFS(T_TTAFStock[RM_Code],$A14,T_TTAFStock[WeekIndex],52)&gt;0)&gt;0,SUMIFS(T_SelfStock[Self_Qty],T_SelfStock[RM_Code],$A14,T_SelfStock[WeekIndex],52)+SUMIFS(T_TTAFStock[TTAF_Qty],T_TTAFStock[RM_Code],$A14,T_TTAFStock[WeekIndex],52),AZ14+'Grid_Incoming'!BA14-'Grid_Requirement'!BA14))</f>
        <v/>
      </c>
      <c r="BB14">
        <f>IF(COUNTIFS(T_StockCount[RM_Code],$A14,T_StockCount[WeekIndex],53)&gt;0,SUMIFS(T_StockCount[CountedQty],T_StockCount[RM_Code],$A14,T_StockCount[WeekIndex],53),IF((COUNTIFS(T_SelfStock[RM_Code],$A14,T_SelfStock[WeekIndex],53)&gt;0)*(COUNTIFS(T_TTAFStock[RM_Code],$A14,T_TTAFStock[WeekIndex],53)&gt;0)&gt;0,SUMIFS(T_SelfStock[Self_Qty],T_SelfStock[RM_Code],$A14,T_SelfStock[WeekIndex],53)+SUMIFS(T_TTAFStock[TTAF_Qty],T_TTAFStock[RM_Code],$A14,T_TTAFStock[WeekIndex],53),BA14+'Grid_Incoming'!BB14-'Grid_Requirement'!BB14))</f>
        <v/>
      </c>
      <c r="BC14">
        <f>IF(COUNTIFS(T_StockCount[RM_Code],$A14,T_StockCount[WeekIndex],54)&gt;0,SUMIFS(T_StockCount[CountedQty],T_StockCount[RM_Code],$A14,T_StockCount[WeekIndex],54),IF((COUNTIFS(T_SelfStock[RM_Code],$A14,T_SelfStock[WeekIndex],54)&gt;0)*(COUNTIFS(T_TTAFStock[RM_Code],$A14,T_TTAFStock[WeekIndex],54)&gt;0)&gt;0,SUMIFS(T_SelfStock[Self_Qty],T_SelfStock[RM_Code],$A14,T_SelfStock[WeekIndex],54)+SUMIFS(T_TTAFStock[TTAF_Qty],T_TTAFStock[RM_Code],$A14,T_TTAFStock[WeekIndex],54),BB14+'Grid_Incoming'!BC14-'Grid_Requirement'!BC14))</f>
        <v/>
      </c>
      <c r="BD14">
        <f>IF(COUNTIFS(T_StockCount[RM_Code],$A14,T_StockCount[WeekIndex],55)&gt;0,SUMIFS(T_StockCount[CountedQty],T_StockCount[RM_Code],$A14,T_StockCount[WeekIndex],55),IF((COUNTIFS(T_SelfStock[RM_Code],$A14,T_SelfStock[WeekIndex],55)&gt;0)*(COUNTIFS(T_TTAFStock[RM_Code],$A14,T_TTAFStock[WeekIndex],55)&gt;0)&gt;0,SUMIFS(T_SelfStock[Self_Qty],T_SelfStock[RM_Code],$A14,T_SelfStock[WeekIndex],55)+SUMIFS(T_TTAFStock[TTAF_Qty],T_TTAFStock[RM_Code],$A14,T_TTAFStock[WeekIndex],55),BC14+'Grid_Incoming'!BD14-'Grid_Requirement'!BD14))</f>
        <v/>
      </c>
      <c r="BE14">
        <f>IF(COUNTIFS(T_StockCount[RM_Code],$A14,T_StockCount[WeekIndex],56)&gt;0,SUMIFS(T_StockCount[CountedQty],T_StockCount[RM_Code],$A14,T_StockCount[WeekIndex],56),IF((COUNTIFS(T_SelfStock[RM_Code],$A14,T_SelfStock[WeekIndex],56)&gt;0)*(COUNTIFS(T_TTAFStock[RM_Code],$A14,T_TTAFStock[WeekIndex],56)&gt;0)&gt;0,SUMIFS(T_SelfStock[Self_Qty],T_SelfStock[RM_Code],$A14,T_SelfStock[WeekIndex],56)+SUMIFS(T_TTAFStock[TTAF_Qty],T_TTAFStock[RM_Code],$A14,T_TTAFStock[WeekIndex],56),BD14+'Grid_Incoming'!BE14-'Grid_Requirement'!BE14))</f>
        <v/>
      </c>
      <c r="BF14">
        <f>IF(COUNTIFS(T_StockCount[RM_Code],$A14,T_StockCount[WeekIndex],57)&gt;0,SUMIFS(T_StockCount[CountedQty],T_StockCount[RM_Code],$A14,T_StockCount[WeekIndex],57),IF((COUNTIFS(T_SelfStock[RM_Code],$A14,T_SelfStock[WeekIndex],57)&gt;0)*(COUNTIFS(T_TTAFStock[RM_Code],$A14,T_TTAFStock[WeekIndex],57)&gt;0)&gt;0,SUMIFS(T_SelfStock[Self_Qty],T_SelfStock[RM_Code],$A14,T_SelfStock[WeekIndex],57)+SUMIFS(T_TTAFStock[TTAF_Qty],T_TTAFStock[RM_Code],$A14,T_TTAFStock[WeekIndex],57),BE14+'Grid_Incoming'!BF14-'Grid_Requirement'!BF14))</f>
        <v/>
      </c>
      <c r="BG14">
        <f>IF(COUNTIFS(T_StockCount[RM_Code],$A14,T_StockCount[WeekIndex],58)&gt;0,SUMIFS(T_StockCount[CountedQty],T_StockCount[RM_Code],$A14,T_StockCount[WeekIndex],58),IF((COUNTIFS(T_SelfStock[RM_Code],$A14,T_SelfStock[WeekIndex],58)&gt;0)*(COUNTIFS(T_TTAFStock[RM_Code],$A14,T_TTAFStock[WeekIndex],58)&gt;0)&gt;0,SUMIFS(T_SelfStock[Self_Qty],T_SelfStock[RM_Code],$A14,T_SelfStock[WeekIndex],58)+SUMIFS(T_TTAFStock[TTAF_Qty],T_TTAFStock[RM_Code],$A14,T_TTAFStock[WeekIndex],58),BF14+'Grid_Incoming'!BG14-'Grid_Requirement'!BG14))</f>
        <v/>
      </c>
      <c r="BH14">
        <f>IF(COUNTIFS(T_StockCount[RM_Code],$A14,T_StockCount[WeekIndex],59)&gt;0,SUMIFS(T_StockCount[CountedQty],T_StockCount[RM_Code],$A14,T_StockCount[WeekIndex],59),IF((COUNTIFS(T_SelfStock[RM_Code],$A14,T_SelfStock[WeekIndex],59)&gt;0)*(COUNTIFS(T_TTAFStock[RM_Code],$A14,T_TTAFStock[WeekIndex],59)&gt;0)&gt;0,SUMIFS(T_SelfStock[Self_Qty],T_SelfStock[RM_Code],$A14,T_SelfStock[WeekIndex],59)+SUMIFS(T_TTAFStock[TTAF_Qty],T_TTAFStock[RM_Code],$A14,T_TTAFStock[WeekIndex],59),BG14+'Grid_Incoming'!BH14-'Grid_Requirement'!BH14))</f>
        <v/>
      </c>
      <c r="BI14">
        <f>IF(COUNTIFS(T_StockCount[RM_Code],$A14,T_StockCount[WeekIndex],60)&gt;0,SUMIFS(T_StockCount[CountedQty],T_StockCount[RM_Code],$A14,T_StockCount[WeekIndex],60),IF((COUNTIFS(T_SelfStock[RM_Code],$A14,T_SelfStock[WeekIndex],60)&gt;0)*(COUNTIFS(T_TTAFStock[RM_Code],$A14,T_TTAFStock[WeekIndex],60)&gt;0)&gt;0,SUMIFS(T_SelfStock[Self_Qty],T_SelfStock[RM_Code],$A14,T_SelfStock[WeekIndex],60)+SUMIFS(T_TTAFStock[TTAF_Qty],T_TTAFStock[RM_Code],$A14,T_TTAFStock[WeekIndex],60),BH14+'Grid_Incoming'!BI14-'Grid_Requirement'!BI14))</f>
        <v/>
      </c>
      <c r="BJ14">
        <f>IF(COUNTIFS(T_StockCount[RM_Code],$A14,T_StockCount[WeekIndex],61)&gt;0,SUMIFS(T_StockCount[CountedQty],T_StockCount[RM_Code],$A14,T_StockCount[WeekIndex],61),IF((COUNTIFS(T_SelfStock[RM_Code],$A14,T_SelfStock[WeekIndex],61)&gt;0)*(COUNTIFS(T_TTAFStock[RM_Code],$A14,T_TTAFStock[WeekIndex],61)&gt;0)&gt;0,SUMIFS(T_SelfStock[Self_Qty],T_SelfStock[RM_Code],$A14,T_SelfStock[WeekIndex],61)+SUMIFS(T_TTAFStock[TTAF_Qty],T_TTAFStock[RM_Code],$A14,T_TTAFStock[WeekIndex],61),BI14+'Grid_Incoming'!BJ14-'Grid_Requirement'!BJ14))</f>
        <v/>
      </c>
      <c r="BK14">
        <f>IF(COUNTIFS(T_StockCount[RM_Code],$A14,T_StockCount[WeekIndex],62)&gt;0,SUMIFS(T_StockCount[CountedQty],T_StockCount[RM_Code],$A14,T_StockCount[WeekIndex],62),IF((COUNTIFS(T_SelfStock[RM_Code],$A14,T_SelfStock[WeekIndex],62)&gt;0)*(COUNTIFS(T_TTAFStock[RM_Code],$A14,T_TTAFStock[WeekIndex],62)&gt;0)&gt;0,SUMIFS(T_SelfStock[Self_Qty],T_SelfStock[RM_Code],$A14,T_SelfStock[WeekIndex],62)+SUMIFS(T_TTAFStock[TTAF_Qty],T_TTAFStock[RM_Code],$A14,T_TTAFStock[WeekIndex],62),BJ14+'Grid_Incoming'!BK14-'Grid_Requirement'!BK14))</f>
        <v/>
      </c>
      <c r="BL14">
        <f>IF(COUNTIFS(T_StockCount[RM_Code],$A14,T_StockCount[WeekIndex],63)&gt;0,SUMIFS(T_StockCount[CountedQty],T_StockCount[RM_Code],$A14,T_StockCount[WeekIndex],63),IF((COUNTIFS(T_SelfStock[RM_Code],$A14,T_SelfStock[WeekIndex],63)&gt;0)*(COUNTIFS(T_TTAFStock[RM_Code],$A14,T_TTAFStock[WeekIndex],63)&gt;0)&gt;0,SUMIFS(T_SelfStock[Self_Qty],T_SelfStock[RM_Code],$A14,T_SelfStock[WeekIndex],63)+SUMIFS(T_TTAFStock[TTAF_Qty],T_TTAFStock[RM_Code],$A14,T_TTAFStock[WeekIndex],63),BK14+'Grid_Incoming'!BL14-'Grid_Requirement'!BL14))</f>
        <v/>
      </c>
      <c r="BM14">
        <f>IF(COUNTIFS(T_StockCount[RM_Code],$A14,T_StockCount[WeekIndex],64)&gt;0,SUMIFS(T_StockCount[CountedQty],T_StockCount[RM_Code],$A14,T_StockCount[WeekIndex],64),IF((COUNTIFS(T_SelfStock[RM_Code],$A14,T_SelfStock[WeekIndex],64)&gt;0)*(COUNTIFS(T_TTAFStock[RM_Code],$A14,T_TTAFStock[WeekIndex],64)&gt;0)&gt;0,SUMIFS(T_SelfStock[Self_Qty],T_SelfStock[RM_Code],$A14,T_SelfStock[WeekIndex],64)+SUMIFS(T_TTAFStock[TTAF_Qty],T_TTAFStock[RM_Code],$A14,T_TTAFStock[WeekIndex],64),BL14+'Grid_Incoming'!BM14-'Grid_Requirement'!BM14))</f>
        <v/>
      </c>
      <c r="BN14">
        <f>IF(COUNTIFS(T_StockCount[RM_Code],$A14,T_StockCount[WeekIndex],65)&gt;0,SUMIFS(T_StockCount[CountedQty],T_StockCount[RM_Code],$A14,T_StockCount[WeekIndex],65),IF((COUNTIFS(T_SelfStock[RM_Code],$A14,T_SelfStock[WeekIndex],65)&gt;0)*(COUNTIFS(T_TTAFStock[RM_Code],$A14,T_TTAFStock[WeekIndex],65)&gt;0)&gt;0,SUMIFS(T_SelfStock[Self_Qty],T_SelfStock[RM_Code],$A14,T_SelfStock[WeekIndex],65)+SUMIFS(T_TTAFStock[TTAF_Qty],T_TTAFStock[RM_Code],$A14,T_TTAFStock[WeekIndex],65),BM14+'Grid_Incoming'!BN14-'Grid_Requirement'!BN14))</f>
        <v/>
      </c>
      <c r="BO14">
        <f>IF(COUNTIFS(T_StockCount[RM_Code],$A14,T_StockCount[WeekIndex],66)&gt;0,SUMIFS(T_StockCount[CountedQty],T_StockCount[RM_Code],$A14,T_StockCount[WeekIndex],66),IF((COUNTIFS(T_SelfStock[RM_Code],$A14,T_SelfStock[WeekIndex],66)&gt;0)*(COUNTIFS(T_TTAFStock[RM_Code],$A14,T_TTAFStock[WeekIndex],66)&gt;0)&gt;0,SUMIFS(T_SelfStock[Self_Qty],T_SelfStock[RM_Code],$A14,T_SelfStock[WeekIndex],66)+SUMIFS(T_TTAFStock[TTAF_Qty],T_TTAFStock[RM_Code],$A14,T_TTAFStock[WeekIndex],66),BN14+'Grid_Incoming'!BO14-'Grid_Requirement'!BO14))</f>
        <v/>
      </c>
      <c r="BP14">
        <f>IF(COUNTIFS(T_StockCount[RM_Code],$A14,T_StockCount[WeekIndex],67)&gt;0,SUMIFS(T_StockCount[CountedQty],T_StockCount[RM_Code],$A14,T_StockCount[WeekIndex],67),IF((COUNTIFS(T_SelfStock[RM_Code],$A14,T_SelfStock[WeekIndex],67)&gt;0)*(COUNTIFS(T_TTAFStock[RM_Code],$A14,T_TTAFStock[WeekIndex],67)&gt;0)&gt;0,SUMIFS(T_SelfStock[Self_Qty],T_SelfStock[RM_Code],$A14,T_SelfStock[WeekIndex],67)+SUMIFS(T_TTAFStock[TTAF_Qty],T_TTAFStock[RM_Code],$A14,T_TTAFStock[WeekIndex],67),BO14+'Grid_Incoming'!BP14-'Grid_Requirement'!BP14))</f>
        <v/>
      </c>
      <c r="BQ14">
        <f>IF(COUNTIFS(T_StockCount[RM_Code],$A14,T_StockCount[WeekIndex],68)&gt;0,SUMIFS(T_StockCount[CountedQty],T_StockCount[RM_Code],$A14,T_StockCount[WeekIndex],68),IF((COUNTIFS(T_SelfStock[RM_Code],$A14,T_SelfStock[WeekIndex],68)&gt;0)*(COUNTIFS(T_TTAFStock[RM_Code],$A14,T_TTAFStock[WeekIndex],68)&gt;0)&gt;0,SUMIFS(T_SelfStock[Self_Qty],T_SelfStock[RM_Code],$A14,T_SelfStock[WeekIndex],68)+SUMIFS(T_TTAFStock[TTAF_Qty],T_TTAFStock[RM_Code],$A14,T_TTAFStock[WeekIndex],68),BP14+'Grid_Incoming'!BQ14-'Grid_Requirement'!BQ14))</f>
        <v/>
      </c>
      <c r="BR14">
        <f>IF(COUNTIFS(T_StockCount[RM_Code],$A14,T_StockCount[WeekIndex],69)&gt;0,SUMIFS(T_StockCount[CountedQty],T_StockCount[RM_Code],$A14,T_StockCount[WeekIndex],69),IF((COUNTIFS(T_SelfStock[RM_Code],$A14,T_SelfStock[WeekIndex],69)&gt;0)*(COUNTIFS(T_TTAFStock[RM_Code],$A14,T_TTAFStock[WeekIndex],69)&gt;0)&gt;0,SUMIFS(T_SelfStock[Self_Qty],T_SelfStock[RM_Code],$A14,T_SelfStock[WeekIndex],69)+SUMIFS(T_TTAFStock[TTAF_Qty],T_TTAFStock[RM_Code],$A14,T_TTAFStock[WeekIndex],69),BQ14+'Grid_Incoming'!BR14-'Grid_Requirement'!BR14))</f>
        <v/>
      </c>
      <c r="BS14">
        <f>IF(COUNTIFS(T_StockCount[RM_Code],$A14,T_StockCount[WeekIndex],70)&gt;0,SUMIFS(T_StockCount[CountedQty],T_StockCount[RM_Code],$A14,T_StockCount[WeekIndex],70),IF((COUNTIFS(T_SelfStock[RM_Code],$A14,T_SelfStock[WeekIndex],70)&gt;0)*(COUNTIFS(T_TTAFStock[RM_Code],$A14,T_TTAFStock[WeekIndex],70)&gt;0)&gt;0,SUMIFS(T_SelfStock[Self_Qty],T_SelfStock[RM_Code],$A14,T_SelfStock[WeekIndex],70)+SUMIFS(T_TTAFStock[TTAF_Qty],T_TTAFStock[RM_Code],$A14,T_TTAFStock[WeekIndex],70),BR14+'Grid_Incoming'!BS14-'Grid_Requirement'!BS14))</f>
        <v/>
      </c>
      <c r="BT14">
        <f>IF(COUNTIFS(T_StockCount[RM_Code],$A14,T_StockCount[WeekIndex],71)&gt;0,SUMIFS(T_StockCount[CountedQty],T_StockCount[RM_Code],$A14,T_StockCount[WeekIndex],71),IF((COUNTIFS(T_SelfStock[RM_Code],$A14,T_SelfStock[WeekIndex],71)&gt;0)*(COUNTIFS(T_TTAFStock[RM_Code],$A14,T_TTAFStock[WeekIndex],71)&gt;0)&gt;0,SUMIFS(T_SelfStock[Self_Qty],T_SelfStock[RM_Code],$A14,T_SelfStock[WeekIndex],71)+SUMIFS(T_TTAFStock[TTAF_Qty],T_TTAFStock[RM_Code],$A14,T_TTAFStock[WeekIndex],71),BS14+'Grid_Incoming'!BT14-'Grid_Requirement'!BT14))</f>
        <v/>
      </c>
      <c r="BU14">
        <f>IF(COUNTIFS(T_StockCount[RM_Code],$A14,T_StockCount[WeekIndex],72)&gt;0,SUMIFS(T_StockCount[CountedQty],T_StockCount[RM_Code],$A14,T_StockCount[WeekIndex],72),IF((COUNTIFS(T_SelfStock[RM_Code],$A14,T_SelfStock[WeekIndex],72)&gt;0)*(COUNTIFS(T_TTAFStock[RM_Code],$A14,T_TTAFStock[WeekIndex],72)&gt;0)&gt;0,SUMIFS(T_SelfStock[Self_Qty],T_SelfStock[RM_Code],$A14,T_SelfStock[WeekIndex],72)+SUMIFS(T_TTAFStock[TTAF_Qty],T_TTAFStock[RM_Code],$A14,T_TTAFStock[WeekIndex],72),BT14+'Grid_Incoming'!BU14-'Grid_Requirement'!BU14))</f>
        <v/>
      </c>
      <c r="BV14">
        <f>IF(COUNTIFS(T_StockCount[RM_Code],$A14,T_StockCount[WeekIndex],73)&gt;0,SUMIFS(T_StockCount[CountedQty],T_StockCount[RM_Code],$A14,T_StockCount[WeekIndex],73),IF((COUNTIFS(T_SelfStock[RM_Code],$A14,T_SelfStock[WeekIndex],73)&gt;0)*(COUNTIFS(T_TTAFStock[RM_Code],$A14,T_TTAFStock[WeekIndex],73)&gt;0)&gt;0,SUMIFS(T_SelfStock[Self_Qty],T_SelfStock[RM_Code],$A14,T_SelfStock[WeekIndex],73)+SUMIFS(T_TTAFStock[TTAF_Qty],T_TTAFStock[RM_Code],$A14,T_TTAFStock[WeekIndex],73),BU14+'Grid_Incoming'!BV14-'Grid_Requirement'!BV14))</f>
        <v/>
      </c>
      <c r="BW14">
        <f>IF(COUNTIFS(T_StockCount[RM_Code],$A14,T_StockCount[WeekIndex],74)&gt;0,SUMIFS(T_StockCount[CountedQty],T_StockCount[RM_Code],$A14,T_StockCount[WeekIndex],74),IF((COUNTIFS(T_SelfStock[RM_Code],$A14,T_SelfStock[WeekIndex],74)&gt;0)*(COUNTIFS(T_TTAFStock[RM_Code],$A14,T_TTAFStock[WeekIndex],74)&gt;0)&gt;0,SUMIFS(T_SelfStock[Self_Qty],T_SelfStock[RM_Code],$A14,T_SelfStock[WeekIndex],74)+SUMIFS(T_TTAFStock[TTAF_Qty],T_TTAFStock[RM_Code],$A14,T_TTAFStock[WeekIndex],74),BV14+'Grid_Incoming'!BW14-'Grid_Requirement'!BW14))</f>
        <v/>
      </c>
      <c r="BX14">
        <f>IF(COUNTIFS(T_StockCount[RM_Code],$A14,T_StockCount[WeekIndex],75)&gt;0,SUMIFS(T_StockCount[CountedQty],T_StockCount[RM_Code],$A14,T_StockCount[WeekIndex],75),IF((COUNTIFS(T_SelfStock[RM_Code],$A14,T_SelfStock[WeekIndex],75)&gt;0)*(COUNTIFS(T_TTAFStock[RM_Code],$A14,T_TTAFStock[WeekIndex],75)&gt;0)&gt;0,SUMIFS(T_SelfStock[Self_Qty],T_SelfStock[RM_Code],$A14,T_SelfStock[WeekIndex],75)+SUMIFS(T_TTAFStock[TTAF_Qty],T_TTAFStock[RM_Code],$A14,T_TTAFStock[WeekIndex],75),BW14+'Grid_Incoming'!BX14-'Grid_Requirement'!BX14))</f>
        <v/>
      </c>
      <c r="BY14">
        <f>IF(COUNTIFS(T_StockCount[RM_Code],$A14,T_StockCount[WeekIndex],76)&gt;0,SUMIFS(T_StockCount[CountedQty],T_StockCount[RM_Code],$A14,T_StockCount[WeekIndex],76),IF((COUNTIFS(T_SelfStock[RM_Code],$A14,T_SelfStock[WeekIndex],76)&gt;0)*(COUNTIFS(T_TTAFStock[RM_Code],$A14,T_TTAFStock[WeekIndex],76)&gt;0)&gt;0,SUMIFS(T_SelfStock[Self_Qty],T_SelfStock[RM_Code],$A14,T_SelfStock[WeekIndex],76)+SUMIFS(T_TTAFStock[TTAF_Qty],T_TTAFStock[RM_Code],$A14,T_TTAFStock[WeekIndex],76),BX14+'Grid_Incoming'!BY14-'Grid_Requirement'!BY14))</f>
        <v/>
      </c>
      <c r="BZ14">
        <f>IF(COUNTIFS(T_StockCount[RM_Code],$A14,T_StockCount[WeekIndex],77)&gt;0,SUMIFS(T_StockCount[CountedQty],T_StockCount[RM_Code],$A14,T_StockCount[WeekIndex],77),IF((COUNTIFS(T_SelfStock[RM_Code],$A14,T_SelfStock[WeekIndex],77)&gt;0)*(COUNTIFS(T_TTAFStock[RM_Code],$A14,T_TTAFStock[WeekIndex],77)&gt;0)&gt;0,SUMIFS(T_SelfStock[Self_Qty],T_SelfStock[RM_Code],$A14,T_SelfStock[WeekIndex],77)+SUMIFS(T_TTAFStock[TTAF_Qty],T_TTAFStock[RM_Code],$A14,T_TTAFStock[WeekIndex],77),BY14+'Grid_Incoming'!BZ14-'Grid_Requirement'!BZ14))</f>
        <v/>
      </c>
      <c r="CA14">
        <f>IF(COUNTIFS(T_StockCount[RM_Code],$A14,T_StockCount[WeekIndex],78)&gt;0,SUMIFS(T_StockCount[CountedQty],T_StockCount[RM_Code],$A14,T_StockCount[WeekIndex],78),IF((COUNTIFS(T_SelfStock[RM_Code],$A14,T_SelfStock[WeekIndex],78)&gt;0)*(COUNTIFS(T_TTAFStock[RM_Code],$A14,T_TTAFStock[WeekIndex],78)&gt;0)&gt;0,SUMIFS(T_SelfStock[Self_Qty],T_SelfStock[RM_Code],$A14,T_SelfStock[WeekIndex],78)+SUMIFS(T_TTAFStock[TTAF_Qty],T_TTAFStock[RM_Code],$A14,T_TTAFStock[WeekIndex],78),BZ14+'Grid_Incoming'!CA14-'Grid_Requirement'!CA14))</f>
        <v/>
      </c>
      <c r="CB14">
        <f>IF(COUNTIFS(T_StockCount[RM_Code],$A14,T_StockCount[WeekIndex],79)&gt;0,SUMIFS(T_StockCount[CountedQty],T_StockCount[RM_Code],$A14,T_StockCount[WeekIndex],79),IF((COUNTIFS(T_SelfStock[RM_Code],$A14,T_SelfStock[WeekIndex],79)&gt;0)*(COUNTIFS(T_TTAFStock[RM_Code],$A14,T_TTAFStock[WeekIndex],79)&gt;0)&gt;0,SUMIFS(T_SelfStock[Self_Qty],T_SelfStock[RM_Code],$A14,T_SelfStock[WeekIndex],79)+SUMIFS(T_TTAFStock[TTAF_Qty],T_TTAFStock[RM_Code],$A14,T_TTAFStock[WeekIndex],79),CA14+'Grid_Incoming'!CB14-'Grid_Requirement'!CB14))</f>
        <v/>
      </c>
      <c r="CC14">
        <f>IF(COUNTIFS(T_StockCount[RM_Code],$A14,T_StockCount[WeekIndex],80)&gt;0,SUMIFS(T_StockCount[CountedQty],T_StockCount[RM_Code],$A14,T_StockCount[WeekIndex],80),IF((COUNTIFS(T_SelfStock[RM_Code],$A14,T_SelfStock[WeekIndex],80)&gt;0)*(COUNTIFS(T_TTAFStock[RM_Code],$A14,T_TTAFStock[WeekIndex],80)&gt;0)&gt;0,SUMIFS(T_SelfStock[Self_Qty],T_SelfStock[RM_Code],$A14,T_SelfStock[WeekIndex],80)+SUMIFS(T_TTAFStock[TTAF_Qty],T_TTAFStock[RM_Code],$A14,T_TTAFStock[WeekIndex],80),CB14+'Grid_Incoming'!CC14-'Grid_Requirement'!CC14))</f>
        <v/>
      </c>
      <c r="CD14">
        <f>IF(COUNTIFS(T_StockCount[RM_Code],$A14,T_StockCount[WeekIndex],81)&gt;0,SUMIFS(T_StockCount[CountedQty],T_StockCount[RM_Code],$A14,T_StockCount[WeekIndex],81),IF((COUNTIFS(T_SelfStock[RM_Code],$A14,T_SelfStock[WeekIndex],81)&gt;0)*(COUNTIFS(T_TTAFStock[RM_Code],$A14,T_TTAFStock[WeekIndex],81)&gt;0)&gt;0,SUMIFS(T_SelfStock[Self_Qty],T_SelfStock[RM_Code],$A14,T_SelfStock[WeekIndex],81)+SUMIFS(T_TTAFStock[TTAF_Qty],T_TTAFStock[RM_Code],$A14,T_TTAFStock[WeekIndex],81),CC14+'Grid_Incoming'!CD14-'Grid_Requirement'!CD14))</f>
        <v/>
      </c>
      <c r="CE14">
        <f>IF(COUNTIFS(T_StockCount[RM_Code],$A14,T_StockCount[WeekIndex],82)&gt;0,SUMIFS(T_StockCount[CountedQty],T_StockCount[RM_Code],$A14,T_StockCount[WeekIndex],82),IF((COUNTIFS(T_SelfStock[RM_Code],$A14,T_SelfStock[WeekIndex],82)&gt;0)*(COUNTIFS(T_TTAFStock[RM_Code],$A14,T_TTAFStock[WeekIndex],82)&gt;0)&gt;0,SUMIFS(T_SelfStock[Self_Qty],T_SelfStock[RM_Code],$A14,T_SelfStock[WeekIndex],82)+SUMIFS(T_TTAFStock[TTAF_Qty],T_TTAFStock[RM_Code],$A14,T_TTAFStock[WeekIndex],82),CD14+'Grid_Incoming'!CE14-'Grid_Requirement'!CE14))</f>
        <v/>
      </c>
      <c r="CF14">
        <f>IF(COUNTIFS(T_StockCount[RM_Code],$A14,T_StockCount[WeekIndex],83)&gt;0,SUMIFS(T_StockCount[CountedQty],T_StockCount[RM_Code],$A14,T_StockCount[WeekIndex],83),IF((COUNTIFS(T_SelfStock[RM_Code],$A14,T_SelfStock[WeekIndex],83)&gt;0)*(COUNTIFS(T_TTAFStock[RM_Code],$A14,T_TTAFStock[WeekIndex],83)&gt;0)&gt;0,SUMIFS(T_SelfStock[Self_Qty],T_SelfStock[RM_Code],$A14,T_SelfStock[WeekIndex],83)+SUMIFS(T_TTAFStock[TTAF_Qty],T_TTAFStock[RM_Code],$A14,T_TTAFStock[WeekIndex],83),CE14+'Grid_Incoming'!CF14-'Grid_Requirement'!CF14))</f>
        <v/>
      </c>
      <c r="CG14">
        <f>IF(COUNTIFS(T_StockCount[RM_Code],$A14,T_StockCount[WeekIndex],84)&gt;0,SUMIFS(T_StockCount[CountedQty],T_StockCount[RM_Code],$A14,T_StockCount[WeekIndex],84),IF((COUNTIFS(T_SelfStock[RM_Code],$A14,T_SelfStock[WeekIndex],84)&gt;0)*(COUNTIFS(T_TTAFStock[RM_Code],$A14,T_TTAFStock[WeekIndex],84)&gt;0)&gt;0,SUMIFS(T_SelfStock[Self_Qty],T_SelfStock[RM_Code],$A14,T_SelfStock[WeekIndex],84)+SUMIFS(T_TTAFStock[TTAF_Qty],T_TTAFStock[RM_Code],$A14,T_TTAFStock[WeekIndex],84),CF14+'Grid_Incoming'!CG14-'Grid_Requirement'!CG14))</f>
        <v/>
      </c>
      <c r="CH14">
        <f>IF(COUNTIFS(T_StockCount[RM_Code],$A14,T_StockCount[WeekIndex],85)&gt;0,SUMIFS(T_StockCount[CountedQty],T_StockCount[RM_Code],$A14,T_StockCount[WeekIndex],85),IF((COUNTIFS(T_SelfStock[RM_Code],$A14,T_SelfStock[WeekIndex],85)&gt;0)*(COUNTIFS(T_TTAFStock[RM_Code],$A14,T_TTAFStock[WeekIndex],85)&gt;0)&gt;0,SUMIFS(T_SelfStock[Self_Qty],T_SelfStock[RM_Code],$A14,T_SelfStock[WeekIndex],85)+SUMIFS(T_TTAFStock[TTAF_Qty],T_TTAFStock[RM_Code],$A14,T_TTAFStock[WeekIndex],85),CG14+'Grid_Incoming'!CH14-'Grid_Requirement'!CH14))</f>
        <v/>
      </c>
      <c r="CI14">
        <f>IF(COUNTIFS(T_StockCount[RM_Code],$A14,T_StockCount[WeekIndex],86)&gt;0,SUMIFS(T_StockCount[CountedQty],T_StockCount[RM_Code],$A14,T_StockCount[WeekIndex],86),IF((COUNTIFS(T_SelfStock[RM_Code],$A14,T_SelfStock[WeekIndex],86)&gt;0)*(COUNTIFS(T_TTAFStock[RM_Code],$A14,T_TTAFStock[WeekIndex],86)&gt;0)&gt;0,SUMIFS(T_SelfStock[Self_Qty],T_SelfStock[RM_Code],$A14,T_SelfStock[WeekIndex],86)+SUMIFS(T_TTAFStock[TTAF_Qty],T_TTAFStock[RM_Code],$A14,T_TTAFStock[WeekIndex],86),CH14+'Grid_Incoming'!CI14-'Grid_Requirement'!CI14))</f>
        <v/>
      </c>
      <c r="CJ14">
        <f>IF(COUNTIFS(T_StockCount[RM_Code],$A14,T_StockCount[WeekIndex],87)&gt;0,SUMIFS(T_StockCount[CountedQty],T_StockCount[RM_Code],$A14,T_StockCount[WeekIndex],87),IF((COUNTIFS(T_SelfStock[RM_Code],$A14,T_SelfStock[WeekIndex],87)&gt;0)*(COUNTIFS(T_TTAFStock[RM_Code],$A14,T_TTAFStock[WeekIndex],87)&gt;0)&gt;0,SUMIFS(T_SelfStock[Self_Qty],T_SelfStock[RM_Code],$A14,T_SelfStock[WeekIndex],87)+SUMIFS(T_TTAFStock[TTAF_Qty],T_TTAFStock[RM_Code],$A14,T_TTAFStock[WeekIndex],87),CI14+'Grid_Incoming'!CJ14-'Grid_Requirement'!CJ14))</f>
        <v/>
      </c>
      <c r="CK14">
        <f>IF(COUNTIFS(T_StockCount[RM_Code],$A14,T_StockCount[WeekIndex],88)&gt;0,SUMIFS(T_StockCount[CountedQty],T_StockCount[RM_Code],$A14,T_StockCount[WeekIndex],88),IF((COUNTIFS(T_SelfStock[RM_Code],$A14,T_SelfStock[WeekIndex],88)&gt;0)*(COUNTIFS(T_TTAFStock[RM_Code],$A14,T_TTAFStock[WeekIndex],88)&gt;0)&gt;0,SUMIFS(T_SelfStock[Self_Qty],T_SelfStock[RM_Code],$A14,T_SelfStock[WeekIndex],88)+SUMIFS(T_TTAFStock[TTAF_Qty],T_TTAFStock[RM_Code],$A14,T_TTAFStock[WeekIndex],88),CJ14+'Grid_Incoming'!CK14-'Grid_Requirement'!CK14))</f>
        <v/>
      </c>
      <c r="CL14">
        <f>IF(COUNTIFS(T_StockCount[RM_Code],$A14,T_StockCount[WeekIndex],89)&gt;0,SUMIFS(T_StockCount[CountedQty],T_StockCount[RM_Code],$A14,T_StockCount[WeekIndex],89),IF((COUNTIFS(T_SelfStock[RM_Code],$A14,T_SelfStock[WeekIndex],89)&gt;0)*(COUNTIFS(T_TTAFStock[RM_Code],$A14,T_TTAFStock[WeekIndex],89)&gt;0)&gt;0,SUMIFS(T_SelfStock[Self_Qty],T_SelfStock[RM_Code],$A14,T_SelfStock[WeekIndex],89)+SUMIFS(T_TTAFStock[TTAF_Qty],T_TTAFStock[RM_Code],$A14,T_TTAFStock[WeekIndex],89),CK14+'Grid_Incoming'!CL14-'Grid_Requirement'!CL14))</f>
        <v/>
      </c>
      <c r="CM14">
        <f>IF(COUNTIFS(T_StockCount[RM_Code],$A14,T_StockCount[WeekIndex],90)&gt;0,SUMIFS(T_StockCount[CountedQty],T_StockCount[RM_Code],$A14,T_StockCount[WeekIndex],90),IF((COUNTIFS(T_SelfStock[RM_Code],$A14,T_SelfStock[WeekIndex],90)&gt;0)*(COUNTIFS(T_TTAFStock[RM_Code],$A14,T_TTAFStock[WeekIndex],90)&gt;0)&gt;0,SUMIFS(T_SelfStock[Self_Qty],T_SelfStock[RM_Code],$A14,T_SelfStock[WeekIndex],90)+SUMIFS(T_TTAFStock[TTAF_Qty],T_TTAFStock[RM_Code],$A14,T_TTAFStock[WeekIndex],90),CL14+'Grid_Incoming'!CM14-'Grid_Requirement'!CM14))</f>
        <v/>
      </c>
      <c r="CN14">
        <f>IF(COUNTIFS(T_StockCount[RM_Code],$A14,T_StockCount[WeekIndex],91)&gt;0,SUMIFS(T_StockCount[CountedQty],T_StockCount[RM_Code],$A14,T_StockCount[WeekIndex],91),IF((COUNTIFS(T_SelfStock[RM_Code],$A14,T_SelfStock[WeekIndex],91)&gt;0)*(COUNTIFS(T_TTAFStock[RM_Code],$A14,T_TTAFStock[WeekIndex],91)&gt;0)&gt;0,SUMIFS(T_SelfStock[Self_Qty],T_SelfStock[RM_Code],$A14,T_SelfStock[WeekIndex],91)+SUMIFS(T_TTAFStock[TTAF_Qty],T_TTAFStock[RM_Code],$A14,T_TTAFStock[WeekIndex],91),CM14+'Grid_Incoming'!CN14-'Grid_Requirement'!CN14))</f>
        <v/>
      </c>
      <c r="CO14">
        <f>IF(COUNTIFS(T_StockCount[RM_Code],$A14,T_StockCount[WeekIndex],92)&gt;0,SUMIFS(T_StockCount[CountedQty],T_StockCount[RM_Code],$A14,T_StockCount[WeekIndex],92),IF((COUNTIFS(T_SelfStock[RM_Code],$A14,T_SelfStock[WeekIndex],92)&gt;0)*(COUNTIFS(T_TTAFStock[RM_Code],$A14,T_TTAFStock[WeekIndex],92)&gt;0)&gt;0,SUMIFS(T_SelfStock[Self_Qty],T_SelfStock[RM_Code],$A14,T_SelfStock[WeekIndex],92)+SUMIFS(T_TTAFStock[TTAF_Qty],T_TTAFStock[RM_Code],$A14,T_TTAFStock[WeekIndex],92),CN14+'Grid_Incoming'!CO14-'Grid_Requirement'!CO14))</f>
        <v/>
      </c>
      <c r="CP14">
        <f>IF(COUNTIFS(T_StockCount[RM_Code],$A14,T_StockCount[WeekIndex],93)&gt;0,SUMIFS(T_StockCount[CountedQty],T_StockCount[RM_Code],$A14,T_StockCount[WeekIndex],93),IF((COUNTIFS(T_SelfStock[RM_Code],$A14,T_SelfStock[WeekIndex],93)&gt;0)*(COUNTIFS(T_TTAFStock[RM_Code],$A14,T_TTAFStock[WeekIndex],93)&gt;0)&gt;0,SUMIFS(T_SelfStock[Self_Qty],T_SelfStock[RM_Code],$A14,T_SelfStock[WeekIndex],93)+SUMIFS(T_TTAFStock[TTAF_Qty],T_TTAFStock[RM_Code],$A14,T_TTAFStock[WeekIndex],93),CO14+'Grid_Incoming'!CP14-'Grid_Requirement'!CP14))</f>
        <v/>
      </c>
      <c r="CQ14">
        <f>IF(COUNTIFS(T_StockCount[RM_Code],$A14,T_StockCount[WeekIndex],94)&gt;0,SUMIFS(T_StockCount[CountedQty],T_StockCount[RM_Code],$A14,T_StockCount[WeekIndex],94),IF((COUNTIFS(T_SelfStock[RM_Code],$A14,T_SelfStock[WeekIndex],94)&gt;0)*(COUNTIFS(T_TTAFStock[RM_Code],$A14,T_TTAFStock[WeekIndex],94)&gt;0)&gt;0,SUMIFS(T_SelfStock[Self_Qty],T_SelfStock[RM_Code],$A14,T_SelfStock[WeekIndex],94)+SUMIFS(T_TTAFStock[TTAF_Qty],T_TTAFStock[RM_Code],$A14,T_TTAFStock[WeekIndex],94),CP14+'Grid_Incoming'!CQ14-'Grid_Requirement'!CQ14))</f>
        <v/>
      </c>
      <c r="CR14">
        <f>IF(COUNTIFS(T_StockCount[RM_Code],$A14,T_StockCount[WeekIndex],95)&gt;0,SUMIFS(T_StockCount[CountedQty],T_StockCount[RM_Code],$A14,T_StockCount[WeekIndex],95),IF((COUNTIFS(T_SelfStock[RM_Code],$A14,T_SelfStock[WeekIndex],95)&gt;0)*(COUNTIFS(T_TTAFStock[RM_Code],$A14,T_TTAFStock[WeekIndex],95)&gt;0)&gt;0,SUMIFS(T_SelfStock[Self_Qty],T_SelfStock[RM_Code],$A14,T_SelfStock[WeekIndex],95)+SUMIFS(T_TTAFStock[TTAF_Qty],T_TTAFStock[RM_Code],$A14,T_TTAFStock[WeekIndex],95),CQ14+'Grid_Incoming'!CR14-'Grid_Requirement'!CR14))</f>
        <v/>
      </c>
      <c r="CS14">
        <f>IF(COUNTIFS(T_StockCount[RM_Code],$A14,T_StockCount[WeekIndex],96)&gt;0,SUMIFS(T_StockCount[CountedQty],T_StockCount[RM_Code],$A14,T_StockCount[WeekIndex],96),IF((COUNTIFS(T_SelfStock[RM_Code],$A14,T_SelfStock[WeekIndex],96)&gt;0)*(COUNTIFS(T_TTAFStock[RM_Code],$A14,T_TTAFStock[WeekIndex],96)&gt;0)&gt;0,SUMIFS(T_SelfStock[Self_Qty],T_SelfStock[RM_Code],$A14,T_SelfStock[WeekIndex],96)+SUMIFS(T_TTAFStock[TTAF_Qty],T_TTAFStock[RM_Code],$A14,T_TTAFStock[WeekIndex],96),CR14+'Grid_Incoming'!CS14-'Grid_Requirement'!CS14))</f>
        <v/>
      </c>
      <c r="CT14">
        <f>IF(COUNTIFS(T_StockCount[RM_Code],$A14,T_StockCount[WeekIndex],97)&gt;0,SUMIFS(T_StockCount[CountedQty],T_StockCount[RM_Code],$A14,T_StockCount[WeekIndex],97),IF((COUNTIFS(T_SelfStock[RM_Code],$A14,T_SelfStock[WeekIndex],97)&gt;0)*(COUNTIFS(T_TTAFStock[RM_Code],$A14,T_TTAFStock[WeekIndex],97)&gt;0)&gt;0,SUMIFS(T_SelfStock[Self_Qty],T_SelfStock[RM_Code],$A14,T_SelfStock[WeekIndex],97)+SUMIFS(T_TTAFStock[TTAF_Qty],T_TTAFStock[RM_Code],$A14,T_TTAFStock[WeekIndex],97),CS14+'Grid_Incoming'!CT14-'Grid_Requirement'!CT14))</f>
        <v/>
      </c>
      <c r="CU14">
        <f>IF(COUNTIFS(T_StockCount[RM_Code],$A14,T_StockCount[WeekIndex],98)&gt;0,SUMIFS(T_StockCount[CountedQty],T_StockCount[RM_Code],$A14,T_StockCount[WeekIndex],98),IF((COUNTIFS(T_SelfStock[RM_Code],$A14,T_SelfStock[WeekIndex],98)&gt;0)*(COUNTIFS(T_TTAFStock[RM_Code],$A14,T_TTAFStock[WeekIndex],98)&gt;0)&gt;0,SUMIFS(T_SelfStock[Self_Qty],T_SelfStock[RM_Code],$A14,T_SelfStock[WeekIndex],98)+SUMIFS(T_TTAFStock[TTAF_Qty],T_TTAFStock[RM_Code],$A14,T_TTAFStock[WeekIndex],98),CT14+'Grid_Incoming'!CU14-'Grid_Requirement'!CU14))</f>
        <v/>
      </c>
      <c r="CV14">
        <f>IF(COUNTIFS(T_StockCount[RM_Code],$A14,T_StockCount[WeekIndex],99)&gt;0,SUMIFS(T_StockCount[CountedQty],T_StockCount[RM_Code],$A14,T_StockCount[WeekIndex],99),IF((COUNTIFS(T_SelfStock[RM_Code],$A14,T_SelfStock[WeekIndex],99)&gt;0)*(COUNTIFS(T_TTAFStock[RM_Code],$A14,T_TTAFStock[WeekIndex],99)&gt;0)&gt;0,SUMIFS(T_SelfStock[Self_Qty],T_SelfStock[RM_Code],$A14,T_SelfStock[WeekIndex],99)+SUMIFS(T_TTAFStock[TTAF_Qty],T_TTAFStock[RM_Code],$A14,T_TTAFStock[WeekIndex],99),CU14+'Grid_Incoming'!CV14-'Grid_Requirement'!CV14))</f>
        <v/>
      </c>
      <c r="CW14">
        <f>IF(COUNTIFS(T_StockCount[RM_Code],$A14,T_StockCount[WeekIndex],100)&gt;0,SUMIFS(T_StockCount[CountedQty],T_StockCount[RM_Code],$A14,T_StockCount[WeekIndex],100),IF((COUNTIFS(T_SelfStock[RM_Code],$A14,T_SelfStock[WeekIndex],100)&gt;0)*(COUNTIFS(T_TTAFStock[RM_Code],$A14,T_TTAFStock[WeekIndex],100)&gt;0)&gt;0,SUMIFS(T_SelfStock[Self_Qty],T_SelfStock[RM_Code],$A14,T_SelfStock[WeekIndex],100)+SUMIFS(T_TTAFStock[TTAF_Qty],T_TTAFStock[RM_Code],$A14,T_TTAFStock[WeekIndex],100),CV14+'Grid_Incoming'!CW14-'Grid_Requirement'!CW14))</f>
        <v/>
      </c>
      <c r="CX14">
        <f>IF(COUNTIFS(T_StockCount[RM_Code],$A14,T_StockCount[WeekIndex],101)&gt;0,SUMIFS(T_StockCount[CountedQty],T_StockCount[RM_Code],$A14,T_StockCount[WeekIndex],101),IF((COUNTIFS(T_SelfStock[RM_Code],$A14,T_SelfStock[WeekIndex],101)&gt;0)*(COUNTIFS(T_TTAFStock[RM_Code],$A14,T_TTAFStock[WeekIndex],101)&gt;0)&gt;0,SUMIFS(T_SelfStock[Self_Qty],T_SelfStock[RM_Code],$A14,T_SelfStock[WeekIndex],101)+SUMIFS(T_TTAFStock[TTAF_Qty],T_TTAFStock[RM_Code],$A14,T_TTAFStock[WeekIndex],101),CW14+'Grid_Incoming'!CX14-'Grid_Requirement'!CX14))</f>
        <v/>
      </c>
      <c r="CY14">
        <f>IF(COUNTIFS(T_StockCount[RM_Code],$A14,T_StockCount[WeekIndex],102)&gt;0,SUMIFS(T_StockCount[CountedQty],T_StockCount[RM_Code],$A14,T_StockCount[WeekIndex],102),IF((COUNTIFS(T_SelfStock[RM_Code],$A14,T_SelfStock[WeekIndex],102)&gt;0)*(COUNTIFS(T_TTAFStock[RM_Code],$A14,T_TTAFStock[WeekIndex],102)&gt;0)&gt;0,SUMIFS(T_SelfStock[Self_Qty],T_SelfStock[RM_Code],$A14,T_SelfStock[WeekIndex],102)+SUMIFS(T_TTAFStock[TTAF_Qty],T_TTAFStock[RM_Code],$A14,T_TTAFStock[WeekIndex],102),CX14+'Grid_Incoming'!CY14-'Grid_Requirement'!CY14))</f>
        <v/>
      </c>
      <c r="CZ14">
        <f>IF(COUNTIFS(T_StockCount[RM_Code],$A14,T_StockCount[WeekIndex],103)&gt;0,SUMIFS(T_StockCount[CountedQty],T_StockCount[RM_Code],$A14,T_StockCount[WeekIndex],103),IF((COUNTIFS(T_SelfStock[RM_Code],$A14,T_SelfStock[WeekIndex],103)&gt;0)*(COUNTIFS(T_TTAFStock[RM_Code],$A14,T_TTAFStock[WeekIndex],103)&gt;0)&gt;0,SUMIFS(T_SelfStock[Self_Qty],T_SelfStock[RM_Code],$A14,T_SelfStock[WeekIndex],103)+SUMIFS(T_TTAFStock[TTAF_Qty],T_TTAFStock[RM_Code],$A14,T_TTAFStock[WeekIndex],103),CY14+'Grid_Incoming'!CZ14-'Grid_Requirement'!CZ14))</f>
        <v/>
      </c>
      <c r="DA14">
        <f>IF(COUNTIFS(T_StockCount[RM_Code],$A14,T_StockCount[WeekIndex],104)&gt;0,SUMIFS(T_StockCount[CountedQty],T_StockCount[RM_Code],$A14,T_StockCount[WeekIndex],104),IF((COUNTIFS(T_SelfStock[RM_Code],$A14,T_SelfStock[WeekIndex],104)&gt;0)*(COUNTIFS(T_TTAFStock[RM_Code],$A14,T_TTAFStock[WeekIndex],104)&gt;0)&gt;0,SUMIFS(T_SelfStock[Self_Qty],T_SelfStock[RM_Code],$A14,T_SelfStock[WeekIndex],104)+SUMIFS(T_TTAFStock[TTAF_Qty],T_TTAFStock[RM_Code],$A14,T_TTAFStock[WeekIndex],104),CZ14+'Grid_Incoming'!DA14-'Grid_Requirement'!DA14))</f>
        <v/>
      </c>
    </row>
    <row r="15">
      <c r="A15" t="inlineStr">
        <is>
          <t>9RN</t>
        </is>
      </c>
      <c r="B15">
        <f>IF(COUNTIFS(T_StockCount[RM_Code],$A15,T_StockCount[WeekIndex],1)&gt;0,SUMIFS(T_StockCount[CountedQty],T_StockCount[RM_Code],$A15,T_StockCount[WeekIndex],1),IF((COUNTIFS(T_SelfStock[RM_Code],$A15,T_SelfStock[WeekIndex],1)&gt;0)*(COUNTIFS(T_TTAFStock[RM_Code],$A15,T_TTAFStock[WeekIndex],1)&gt;0)&gt;0,SUMIFS(T_SelfStock[Self_Qty],T_SelfStock[RM_Code],$A15,T_SelfStock[WeekIndex],1)+SUMIFS(T_TTAFStock[TTAF_Qty],T_TTAFStock[RM_Code],$A15,T_TTAFStock[WeekIndex],1),IFERROR(INDEX(T_OpeningStock[Opening_Qty],MATCH($A15,T_OpeningStock[RM_Code],0)),0)+'Grid_Incoming'!B15-'Grid_Requirement'!B15))</f>
        <v/>
      </c>
      <c r="C15">
        <f>IF(COUNTIFS(T_StockCount[RM_Code],$A15,T_StockCount[WeekIndex],2)&gt;0,SUMIFS(T_StockCount[CountedQty],T_StockCount[RM_Code],$A15,T_StockCount[WeekIndex],2),IF((COUNTIFS(T_SelfStock[RM_Code],$A15,T_SelfStock[WeekIndex],2)&gt;0)*(COUNTIFS(T_TTAFStock[RM_Code],$A15,T_TTAFStock[WeekIndex],2)&gt;0)&gt;0,SUMIFS(T_SelfStock[Self_Qty],T_SelfStock[RM_Code],$A15,T_SelfStock[WeekIndex],2)+SUMIFS(T_TTAFStock[TTAF_Qty],T_TTAFStock[RM_Code],$A15,T_TTAFStock[WeekIndex],2),B15+'Grid_Incoming'!C15-'Grid_Requirement'!C15))</f>
        <v/>
      </c>
      <c r="D15">
        <f>IF(COUNTIFS(T_StockCount[RM_Code],$A15,T_StockCount[WeekIndex],3)&gt;0,SUMIFS(T_StockCount[CountedQty],T_StockCount[RM_Code],$A15,T_StockCount[WeekIndex],3),IF((COUNTIFS(T_SelfStock[RM_Code],$A15,T_SelfStock[WeekIndex],3)&gt;0)*(COUNTIFS(T_TTAFStock[RM_Code],$A15,T_TTAFStock[WeekIndex],3)&gt;0)&gt;0,SUMIFS(T_SelfStock[Self_Qty],T_SelfStock[RM_Code],$A15,T_SelfStock[WeekIndex],3)+SUMIFS(T_TTAFStock[TTAF_Qty],T_TTAFStock[RM_Code],$A15,T_TTAFStock[WeekIndex],3),C15+'Grid_Incoming'!D15-'Grid_Requirement'!D15))</f>
        <v/>
      </c>
      <c r="E15">
        <f>IF(COUNTIFS(T_StockCount[RM_Code],$A15,T_StockCount[WeekIndex],4)&gt;0,SUMIFS(T_StockCount[CountedQty],T_StockCount[RM_Code],$A15,T_StockCount[WeekIndex],4),IF((COUNTIFS(T_SelfStock[RM_Code],$A15,T_SelfStock[WeekIndex],4)&gt;0)*(COUNTIFS(T_TTAFStock[RM_Code],$A15,T_TTAFStock[WeekIndex],4)&gt;0)&gt;0,SUMIFS(T_SelfStock[Self_Qty],T_SelfStock[RM_Code],$A15,T_SelfStock[WeekIndex],4)+SUMIFS(T_TTAFStock[TTAF_Qty],T_TTAFStock[RM_Code],$A15,T_TTAFStock[WeekIndex],4),D15+'Grid_Incoming'!E15-'Grid_Requirement'!E15))</f>
        <v/>
      </c>
      <c r="F15">
        <f>IF(COUNTIFS(T_StockCount[RM_Code],$A15,T_StockCount[WeekIndex],5)&gt;0,SUMIFS(T_StockCount[CountedQty],T_StockCount[RM_Code],$A15,T_StockCount[WeekIndex],5),IF((COUNTIFS(T_SelfStock[RM_Code],$A15,T_SelfStock[WeekIndex],5)&gt;0)*(COUNTIFS(T_TTAFStock[RM_Code],$A15,T_TTAFStock[WeekIndex],5)&gt;0)&gt;0,SUMIFS(T_SelfStock[Self_Qty],T_SelfStock[RM_Code],$A15,T_SelfStock[WeekIndex],5)+SUMIFS(T_TTAFStock[TTAF_Qty],T_TTAFStock[RM_Code],$A15,T_TTAFStock[WeekIndex],5),E15+'Grid_Incoming'!F15-'Grid_Requirement'!F15))</f>
        <v/>
      </c>
      <c r="G15">
        <f>IF(COUNTIFS(T_StockCount[RM_Code],$A15,T_StockCount[WeekIndex],6)&gt;0,SUMIFS(T_StockCount[CountedQty],T_StockCount[RM_Code],$A15,T_StockCount[WeekIndex],6),IF((COUNTIFS(T_SelfStock[RM_Code],$A15,T_SelfStock[WeekIndex],6)&gt;0)*(COUNTIFS(T_TTAFStock[RM_Code],$A15,T_TTAFStock[WeekIndex],6)&gt;0)&gt;0,SUMIFS(T_SelfStock[Self_Qty],T_SelfStock[RM_Code],$A15,T_SelfStock[WeekIndex],6)+SUMIFS(T_TTAFStock[TTAF_Qty],T_TTAFStock[RM_Code],$A15,T_TTAFStock[WeekIndex],6),F15+'Grid_Incoming'!G15-'Grid_Requirement'!G15))</f>
        <v/>
      </c>
      <c r="H15">
        <f>IF(COUNTIFS(T_StockCount[RM_Code],$A15,T_StockCount[WeekIndex],7)&gt;0,SUMIFS(T_StockCount[CountedQty],T_StockCount[RM_Code],$A15,T_StockCount[WeekIndex],7),IF((COUNTIFS(T_SelfStock[RM_Code],$A15,T_SelfStock[WeekIndex],7)&gt;0)*(COUNTIFS(T_TTAFStock[RM_Code],$A15,T_TTAFStock[WeekIndex],7)&gt;0)&gt;0,SUMIFS(T_SelfStock[Self_Qty],T_SelfStock[RM_Code],$A15,T_SelfStock[WeekIndex],7)+SUMIFS(T_TTAFStock[TTAF_Qty],T_TTAFStock[RM_Code],$A15,T_TTAFStock[WeekIndex],7),G15+'Grid_Incoming'!H15-'Grid_Requirement'!H15))</f>
        <v/>
      </c>
      <c r="I15">
        <f>IF(COUNTIFS(T_StockCount[RM_Code],$A15,T_StockCount[WeekIndex],8)&gt;0,SUMIFS(T_StockCount[CountedQty],T_StockCount[RM_Code],$A15,T_StockCount[WeekIndex],8),IF((COUNTIFS(T_SelfStock[RM_Code],$A15,T_SelfStock[WeekIndex],8)&gt;0)*(COUNTIFS(T_TTAFStock[RM_Code],$A15,T_TTAFStock[WeekIndex],8)&gt;0)&gt;0,SUMIFS(T_SelfStock[Self_Qty],T_SelfStock[RM_Code],$A15,T_SelfStock[WeekIndex],8)+SUMIFS(T_TTAFStock[TTAF_Qty],T_TTAFStock[RM_Code],$A15,T_TTAFStock[WeekIndex],8),H15+'Grid_Incoming'!I15-'Grid_Requirement'!I15))</f>
        <v/>
      </c>
      <c r="J15">
        <f>IF(COUNTIFS(T_StockCount[RM_Code],$A15,T_StockCount[WeekIndex],9)&gt;0,SUMIFS(T_StockCount[CountedQty],T_StockCount[RM_Code],$A15,T_StockCount[WeekIndex],9),IF((COUNTIFS(T_SelfStock[RM_Code],$A15,T_SelfStock[WeekIndex],9)&gt;0)*(COUNTIFS(T_TTAFStock[RM_Code],$A15,T_TTAFStock[WeekIndex],9)&gt;0)&gt;0,SUMIFS(T_SelfStock[Self_Qty],T_SelfStock[RM_Code],$A15,T_SelfStock[WeekIndex],9)+SUMIFS(T_TTAFStock[TTAF_Qty],T_TTAFStock[RM_Code],$A15,T_TTAFStock[WeekIndex],9),I15+'Grid_Incoming'!J15-'Grid_Requirement'!J15))</f>
        <v/>
      </c>
      <c r="K15">
        <f>IF(COUNTIFS(T_StockCount[RM_Code],$A15,T_StockCount[WeekIndex],10)&gt;0,SUMIFS(T_StockCount[CountedQty],T_StockCount[RM_Code],$A15,T_StockCount[WeekIndex],10),IF((COUNTIFS(T_SelfStock[RM_Code],$A15,T_SelfStock[WeekIndex],10)&gt;0)*(COUNTIFS(T_TTAFStock[RM_Code],$A15,T_TTAFStock[WeekIndex],10)&gt;0)&gt;0,SUMIFS(T_SelfStock[Self_Qty],T_SelfStock[RM_Code],$A15,T_SelfStock[WeekIndex],10)+SUMIFS(T_TTAFStock[TTAF_Qty],T_TTAFStock[RM_Code],$A15,T_TTAFStock[WeekIndex],10),J15+'Grid_Incoming'!K15-'Grid_Requirement'!K15))</f>
        <v/>
      </c>
      <c r="L15">
        <f>IF(COUNTIFS(T_StockCount[RM_Code],$A15,T_StockCount[WeekIndex],11)&gt;0,SUMIFS(T_StockCount[CountedQty],T_StockCount[RM_Code],$A15,T_StockCount[WeekIndex],11),IF((COUNTIFS(T_SelfStock[RM_Code],$A15,T_SelfStock[WeekIndex],11)&gt;0)*(COUNTIFS(T_TTAFStock[RM_Code],$A15,T_TTAFStock[WeekIndex],11)&gt;0)&gt;0,SUMIFS(T_SelfStock[Self_Qty],T_SelfStock[RM_Code],$A15,T_SelfStock[WeekIndex],11)+SUMIFS(T_TTAFStock[TTAF_Qty],T_TTAFStock[RM_Code],$A15,T_TTAFStock[WeekIndex],11),K15+'Grid_Incoming'!L15-'Grid_Requirement'!L15))</f>
        <v/>
      </c>
      <c r="M15">
        <f>IF(COUNTIFS(T_StockCount[RM_Code],$A15,T_StockCount[WeekIndex],12)&gt;0,SUMIFS(T_StockCount[CountedQty],T_StockCount[RM_Code],$A15,T_StockCount[WeekIndex],12),IF((COUNTIFS(T_SelfStock[RM_Code],$A15,T_SelfStock[WeekIndex],12)&gt;0)*(COUNTIFS(T_TTAFStock[RM_Code],$A15,T_TTAFStock[WeekIndex],12)&gt;0)&gt;0,SUMIFS(T_SelfStock[Self_Qty],T_SelfStock[RM_Code],$A15,T_SelfStock[WeekIndex],12)+SUMIFS(T_TTAFStock[TTAF_Qty],T_TTAFStock[RM_Code],$A15,T_TTAFStock[WeekIndex],12),L15+'Grid_Incoming'!M15-'Grid_Requirement'!M15))</f>
        <v/>
      </c>
      <c r="N15">
        <f>IF(COUNTIFS(T_StockCount[RM_Code],$A15,T_StockCount[WeekIndex],13)&gt;0,SUMIFS(T_StockCount[CountedQty],T_StockCount[RM_Code],$A15,T_StockCount[WeekIndex],13),IF((COUNTIFS(T_SelfStock[RM_Code],$A15,T_SelfStock[WeekIndex],13)&gt;0)*(COUNTIFS(T_TTAFStock[RM_Code],$A15,T_TTAFStock[WeekIndex],13)&gt;0)&gt;0,SUMIFS(T_SelfStock[Self_Qty],T_SelfStock[RM_Code],$A15,T_SelfStock[WeekIndex],13)+SUMIFS(T_TTAFStock[TTAF_Qty],T_TTAFStock[RM_Code],$A15,T_TTAFStock[WeekIndex],13),M15+'Grid_Incoming'!N15-'Grid_Requirement'!N15))</f>
        <v/>
      </c>
      <c r="O15">
        <f>IF(COUNTIFS(T_StockCount[RM_Code],$A15,T_StockCount[WeekIndex],14)&gt;0,SUMIFS(T_StockCount[CountedQty],T_StockCount[RM_Code],$A15,T_StockCount[WeekIndex],14),IF((COUNTIFS(T_SelfStock[RM_Code],$A15,T_SelfStock[WeekIndex],14)&gt;0)*(COUNTIFS(T_TTAFStock[RM_Code],$A15,T_TTAFStock[WeekIndex],14)&gt;0)&gt;0,SUMIFS(T_SelfStock[Self_Qty],T_SelfStock[RM_Code],$A15,T_SelfStock[WeekIndex],14)+SUMIFS(T_TTAFStock[TTAF_Qty],T_TTAFStock[RM_Code],$A15,T_TTAFStock[WeekIndex],14),N15+'Grid_Incoming'!O15-'Grid_Requirement'!O15))</f>
        <v/>
      </c>
      <c r="P15">
        <f>IF(COUNTIFS(T_StockCount[RM_Code],$A15,T_StockCount[WeekIndex],15)&gt;0,SUMIFS(T_StockCount[CountedQty],T_StockCount[RM_Code],$A15,T_StockCount[WeekIndex],15),IF((COUNTIFS(T_SelfStock[RM_Code],$A15,T_SelfStock[WeekIndex],15)&gt;0)*(COUNTIFS(T_TTAFStock[RM_Code],$A15,T_TTAFStock[WeekIndex],15)&gt;0)&gt;0,SUMIFS(T_SelfStock[Self_Qty],T_SelfStock[RM_Code],$A15,T_SelfStock[WeekIndex],15)+SUMIFS(T_TTAFStock[TTAF_Qty],T_TTAFStock[RM_Code],$A15,T_TTAFStock[WeekIndex],15),O15+'Grid_Incoming'!P15-'Grid_Requirement'!P15))</f>
        <v/>
      </c>
      <c r="Q15">
        <f>IF(COUNTIFS(T_StockCount[RM_Code],$A15,T_StockCount[WeekIndex],16)&gt;0,SUMIFS(T_StockCount[CountedQty],T_StockCount[RM_Code],$A15,T_StockCount[WeekIndex],16),IF((COUNTIFS(T_SelfStock[RM_Code],$A15,T_SelfStock[WeekIndex],16)&gt;0)*(COUNTIFS(T_TTAFStock[RM_Code],$A15,T_TTAFStock[WeekIndex],16)&gt;0)&gt;0,SUMIFS(T_SelfStock[Self_Qty],T_SelfStock[RM_Code],$A15,T_SelfStock[WeekIndex],16)+SUMIFS(T_TTAFStock[TTAF_Qty],T_TTAFStock[RM_Code],$A15,T_TTAFStock[WeekIndex],16),P15+'Grid_Incoming'!Q15-'Grid_Requirement'!Q15))</f>
        <v/>
      </c>
      <c r="R15">
        <f>IF(COUNTIFS(T_StockCount[RM_Code],$A15,T_StockCount[WeekIndex],17)&gt;0,SUMIFS(T_StockCount[CountedQty],T_StockCount[RM_Code],$A15,T_StockCount[WeekIndex],17),IF((COUNTIFS(T_SelfStock[RM_Code],$A15,T_SelfStock[WeekIndex],17)&gt;0)*(COUNTIFS(T_TTAFStock[RM_Code],$A15,T_TTAFStock[WeekIndex],17)&gt;0)&gt;0,SUMIFS(T_SelfStock[Self_Qty],T_SelfStock[RM_Code],$A15,T_SelfStock[WeekIndex],17)+SUMIFS(T_TTAFStock[TTAF_Qty],T_TTAFStock[RM_Code],$A15,T_TTAFStock[WeekIndex],17),Q15+'Grid_Incoming'!R15-'Grid_Requirement'!R15))</f>
        <v/>
      </c>
      <c r="S15">
        <f>IF(COUNTIFS(T_StockCount[RM_Code],$A15,T_StockCount[WeekIndex],18)&gt;0,SUMIFS(T_StockCount[CountedQty],T_StockCount[RM_Code],$A15,T_StockCount[WeekIndex],18),IF((COUNTIFS(T_SelfStock[RM_Code],$A15,T_SelfStock[WeekIndex],18)&gt;0)*(COUNTIFS(T_TTAFStock[RM_Code],$A15,T_TTAFStock[WeekIndex],18)&gt;0)&gt;0,SUMIFS(T_SelfStock[Self_Qty],T_SelfStock[RM_Code],$A15,T_SelfStock[WeekIndex],18)+SUMIFS(T_TTAFStock[TTAF_Qty],T_TTAFStock[RM_Code],$A15,T_TTAFStock[WeekIndex],18),R15+'Grid_Incoming'!S15-'Grid_Requirement'!S15))</f>
        <v/>
      </c>
      <c r="T15">
        <f>IF(COUNTIFS(T_StockCount[RM_Code],$A15,T_StockCount[WeekIndex],19)&gt;0,SUMIFS(T_StockCount[CountedQty],T_StockCount[RM_Code],$A15,T_StockCount[WeekIndex],19),IF((COUNTIFS(T_SelfStock[RM_Code],$A15,T_SelfStock[WeekIndex],19)&gt;0)*(COUNTIFS(T_TTAFStock[RM_Code],$A15,T_TTAFStock[WeekIndex],19)&gt;0)&gt;0,SUMIFS(T_SelfStock[Self_Qty],T_SelfStock[RM_Code],$A15,T_SelfStock[WeekIndex],19)+SUMIFS(T_TTAFStock[TTAF_Qty],T_TTAFStock[RM_Code],$A15,T_TTAFStock[WeekIndex],19),S15+'Grid_Incoming'!T15-'Grid_Requirement'!T15))</f>
        <v/>
      </c>
      <c r="U15">
        <f>IF(COUNTIFS(T_StockCount[RM_Code],$A15,T_StockCount[WeekIndex],20)&gt;0,SUMIFS(T_StockCount[CountedQty],T_StockCount[RM_Code],$A15,T_StockCount[WeekIndex],20),IF((COUNTIFS(T_SelfStock[RM_Code],$A15,T_SelfStock[WeekIndex],20)&gt;0)*(COUNTIFS(T_TTAFStock[RM_Code],$A15,T_TTAFStock[WeekIndex],20)&gt;0)&gt;0,SUMIFS(T_SelfStock[Self_Qty],T_SelfStock[RM_Code],$A15,T_SelfStock[WeekIndex],20)+SUMIFS(T_TTAFStock[TTAF_Qty],T_TTAFStock[RM_Code],$A15,T_TTAFStock[WeekIndex],20),T15+'Grid_Incoming'!U15-'Grid_Requirement'!U15))</f>
        <v/>
      </c>
      <c r="V15">
        <f>IF(COUNTIFS(T_StockCount[RM_Code],$A15,T_StockCount[WeekIndex],21)&gt;0,SUMIFS(T_StockCount[CountedQty],T_StockCount[RM_Code],$A15,T_StockCount[WeekIndex],21),IF((COUNTIFS(T_SelfStock[RM_Code],$A15,T_SelfStock[WeekIndex],21)&gt;0)*(COUNTIFS(T_TTAFStock[RM_Code],$A15,T_TTAFStock[WeekIndex],21)&gt;0)&gt;0,SUMIFS(T_SelfStock[Self_Qty],T_SelfStock[RM_Code],$A15,T_SelfStock[WeekIndex],21)+SUMIFS(T_TTAFStock[TTAF_Qty],T_TTAFStock[RM_Code],$A15,T_TTAFStock[WeekIndex],21),U15+'Grid_Incoming'!V15-'Grid_Requirement'!V15))</f>
        <v/>
      </c>
      <c r="W15">
        <f>IF(COUNTIFS(T_StockCount[RM_Code],$A15,T_StockCount[WeekIndex],22)&gt;0,SUMIFS(T_StockCount[CountedQty],T_StockCount[RM_Code],$A15,T_StockCount[WeekIndex],22),IF((COUNTIFS(T_SelfStock[RM_Code],$A15,T_SelfStock[WeekIndex],22)&gt;0)*(COUNTIFS(T_TTAFStock[RM_Code],$A15,T_TTAFStock[WeekIndex],22)&gt;0)&gt;0,SUMIFS(T_SelfStock[Self_Qty],T_SelfStock[RM_Code],$A15,T_SelfStock[WeekIndex],22)+SUMIFS(T_TTAFStock[TTAF_Qty],T_TTAFStock[RM_Code],$A15,T_TTAFStock[WeekIndex],22),V15+'Grid_Incoming'!W15-'Grid_Requirement'!W15))</f>
        <v/>
      </c>
      <c r="X15">
        <f>IF(COUNTIFS(T_StockCount[RM_Code],$A15,T_StockCount[WeekIndex],23)&gt;0,SUMIFS(T_StockCount[CountedQty],T_StockCount[RM_Code],$A15,T_StockCount[WeekIndex],23),IF((COUNTIFS(T_SelfStock[RM_Code],$A15,T_SelfStock[WeekIndex],23)&gt;0)*(COUNTIFS(T_TTAFStock[RM_Code],$A15,T_TTAFStock[WeekIndex],23)&gt;0)&gt;0,SUMIFS(T_SelfStock[Self_Qty],T_SelfStock[RM_Code],$A15,T_SelfStock[WeekIndex],23)+SUMIFS(T_TTAFStock[TTAF_Qty],T_TTAFStock[RM_Code],$A15,T_TTAFStock[WeekIndex],23),W15+'Grid_Incoming'!X15-'Grid_Requirement'!X15))</f>
        <v/>
      </c>
      <c r="Y15">
        <f>IF(COUNTIFS(T_StockCount[RM_Code],$A15,T_StockCount[WeekIndex],24)&gt;0,SUMIFS(T_StockCount[CountedQty],T_StockCount[RM_Code],$A15,T_StockCount[WeekIndex],24),IF((COUNTIFS(T_SelfStock[RM_Code],$A15,T_SelfStock[WeekIndex],24)&gt;0)*(COUNTIFS(T_TTAFStock[RM_Code],$A15,T_TTAFStock[WeekIndex],24)&gt;0)&gt;0,SUMIFS(T_SelfStock[Self_Qty],T_SelfStock[RM_Code],$A15,T_SelfStock[WeekIndex],24)+SUMIFS(T_TTAFStock[TTAF_Qty],T_TTAFStock[RM_Code],$A15,T_TTAFStock[WeekIndex],24),X15+'Grid_Incoming'!Y15-'Grid_Requirement'!Y15))</f>
        <v/>
      </c>
      <c r="Z15">
        <f>IF(COUNTIFS(T_StockCount[RM_Code],$A15,T_StockCount[WeekIndex],25)&gt;0,SUMIFS(T_StockCount[CountedQty],T_StockCount[RM_Code],$A15,T_StockCount[WeekIndex],25),IF((COUNTIFS(T_SelfStock[RM_Code],$A15,T_SelfStock[WeekIndex],25)&gt;0)*(COUNTIFS(T_TTAFStock[RM_Code],$A15,T_TTAFStock[WeekIndex],25)&gt;0)&gt;0,SUMIFS(T_SelfStock[Self_Qty],T_SelfStock[RM_Code],$A15,T_SelfStock[WeekIndex],25)+SUMIFS(T_TTAFStock[TTAF_Qty],T_TTAFStock[RM_Code],$A15,T_TTAFStock[WeekIndex],25),Y15+'Grid_Incoming'!Z15-'Grid_Requirement'!Z15))</f>
        <v/>
      </c>
      <c r="AA15">
        <f>IF(COUNTIFS(T_StockCount[RM_Code],$A15,T_StockCount[WeekIndex],26)&gt;0,SUMIFS(T_StockCount[CountedQty],T_StockCount[RM_Code],$A15,T_StockCount[WeekIndex],26),IF((COUNTIFS(T_SelfStock[RM_Code],$A15,T_SelfStock[WeekIndex],26)&gt;0)*(COUNTIFS(T_TTAFStock[RM_Code],$A15,T_TTAFStock[WeekIndex],26)&gt;0)&gt;0,SUMIFS(T_SelfStock[Self_Qty],T_SelfStock[RM_Code],$A15,T_SelfStock[WeekIndex],26)+SUMIFS(T_TTAFStock[TTAF_Qty],T_TTAFStock[RM_Code],$A15,T_TTAFStock[WeekIndex],26),Z15+'Grid_Incoming'!AA15-'Grid_Requirement'!AA15))</f>
        <v/>
      </c>
      <c r="AB15">
        <f>IF(COUNTIFS(T_StockCount[RM_Code],$A15,T_StockCount[WeekIndex],27)&gt;0,SUMIFS(T_StockCount[CountedQty],T_StockCount[RM_Code],$A15,T_StockCount[WeekIndex],27),IF((COUNTIFS(T_SelfStock[RM_Code],$A15,T_SelfStock[WeekIndex],27)&gt;0)*(COUNTIFS(T_TTAFStock[RM_Code],$A15,T_TTAFStock[WeekIndex],27)&gt;0)&gt;0,SUMIFS(T_SelfStock[Self_Qty],T_SelfStock[RM_Code],$A15,T_SelfStock[WeekIndex],27)+SUMIFS(T_TTAFStock[TTAF_Qty],T_TTAFStock[RM_Code],$A15,T_TTAFStock[WeekIndex],27),AA15+'Grid_Incoming'!AB15-'Grid_Requirement'!AB15))</f>
        <v/>
      </c>
      <c r="AC15">
        <f>IF(COUNTIFS(T_StockCount[RM_Code],$A15,T_StockCount[WeekIndex],28)&gt;0,SUMIFS(T_StockCount[CountedQty],T_StockCount[RM_Code],$A15,T_StockCount[WeekIndex],28),IF((COUNTIFS(T_SelfStock[RM_Code],$A15,T_SelfStock[WeekIndex],28)&gt;0)*(COUNTIFS(T_TTAFStock[RM_Code],$A15,T_TTAFStock[WeekIndex],28)&gt;0)&gt;0,SUMIFS(T_SelfStock[Self_Qty],T_SelfStock[RM_Code],$A15,T_SelfStock[WeekIndex],28)+SUMIFS(T_TTAFStock[TTAF_Qty],T_TTAFStock[RM_Code],$A15,T_TTAFStock[WeekIndex],28),AB15+'Grid_Incoming'!AC15-'Grid_Requirement'!AC15))</f>
        <v/>
      </c>
      <c r="AD15">
        <f>IF(COUNTIFS(T_StockCount[RM_Code],$A15,T_StockCount[WeekIndex],29)&gt;0,SUMIFS(T_StockCount[CountedQty],T_StockCount[RM_Code],$A15,T_StockCount[WeekIndex],29),IF((COUNTIFS(T_SelfStock[RM_Code],$A15,T_SelfStock[WeekIndex],29)&gt;0)*(COUNTIFS(T_TTAFStock[RM_Code],$A15,T_TTAFStock[WeekIndex],29)&gt;0)&gt;0,SUMIFS(T_SelfStock[Self_Qty],T_SelfStock[RM_Code],$A15,T_SelfStock[WeekIndex],29)+SUMIFS(T_TTAFStock[TTAF_Qty],T_TTAFStock[RM_Code],$A15,T_TTAFStock[WeekIndex],29),AC15+'Grid_Incoming'!AD15-'Grid_Requirement'!AD15))</f>
        <v/>
      </c>
      <c r="AE15">
        <f>IF(COUNTIFS(T_StockCount[RM_Code],$A15,T_StockCount[WeekIndex],30)&gt;0,SUMIFS(T_StockCount[CountedQty],T_StockCount[RM_Code],$A15,T_StockCount[WeekIndex],30),IF((COUNTIFS(T_SelfStock[RM_Code],$A15,T_SelfStock[WeekIndex],30)&gt;0)*(COUNTIFS(T_TTAFStock[RM_Code],$A15,T_TTAFStock[WeekIndex],30)&gt;0)&gt;0,SUMIFS(T_SelfStock[Self_Qty],T_SelfStock[RM_Code],$A15,T_SelfStock[WeekIndex],30)+SUMIFS(T_TTAFStock[TTAF_Qty],T_TTAFStock[RM_Code],$A15,T_TTAFStock[WeekIndex],30),AD15+'Grid_Incoming'!AE15-'Grid_Requirement'!AE15))</f>
        <v/>
      </c>
      <c r="AF15">
        <f>IF(COUNTIFS(T_StockCount[RM_Code],$A15,T_StockCount[WeekIndex],31)&gt;0,SUMIFS(T_StockCount[CountedQty],T_StockCount[RM_Code],$A15,T_StockCount[WeekIndex],31),IF((COUNTIFS(T_SelfStock[RM_Code],$A15,T_SelfStock[WeekIndex],31)&gt;0)*(COUNTIFS(T_TTAFStock[RM_Code],$A15,T_TTAFStock[WeekIndex],31)&gt;0)&gt;0,SUMIFS(T_SelfStock[Self_Qty],T_SelfStock[RM_Code],$A15,T_SelfStock[WeekIndex],31)+SUMIFS(T_TTAFStock[TTAF_Qty],T_TTAFStock[RM_Code],$A15,T_TTAFStock[WeekIndex],31),AE15+'Grid_Incoming'!AF15-'Grid_Requirement'!AF15))</f>
        <v/>
      </c>
      <c r="AG15">
        <f>IF(COUNTIFS(T_StockCount[RM_Code],$A15,T_StockCount[WeekIndex],32)&gt;0,SUMIFS(T_StockCount[CountedQty],T_StockCount[RM_Code],$A15,T_StockCount[WeekIndex],32),IF((COUNTIFS(T_SelfStock[RM_Code],$A15,T_SelfStock[WeekIndex],32)&gt;0)*(COUNTIFS(T_TTAFStock[RM_Code],$A15,T_TTAFStock[WeekIndex],32)&gt;0)&gt;0,SUMIFS(T_SelfStock[Self_Qty],T_SelfStock[RM_Code],$A15,T_SelfStock[WeekIndex],32)+SUMIFS(T_TTAFStock[TTAF_Qty],T_TTAFStock[RM_Code],$A15,T_TTAFStock[WeekIndex],32),AF15+'Grid_Incoming'!AG15-'Grid_Requirement'!AG15))</f>
        <v/>
      </c>
      <c r="AH15">
        <f>IF(COUNTIFS(T_StockCount[RM_Code],$A15,T_StockCount[WeekIndex],33)&gt;0,SUMIFS(T_StockCount[CountedQty],T_StockCount[RM_Code],$A15,T_StockCount[WeekIndex],33),IF((COUNTIFS(T_SelfStock[RM_Code],$A15,T_SelfStock[WeekIndex],33)&gt;0)*(COUNTIFS(T_TTAFStock[RM_Code],$A15,T_TTAFStock[WeekIndex],33)&gt;0)&gt;0,SUMIFS(T_SelfStock[Self_Qty],T_SelfStock[RM_Code],$A15,T_SelfStock[WeekIndex],33)+SUMIFS(T_TTAFStock[TTAF_Qty],T_TTAFStock[RM_Code],$A15,T_TTAFStock[WeekIndex],33),AG15+'Grid_Incoming'!AH15-'Grid_Requirement'!AH15))</f>
        <v/>
      </c>
      <c r="AI15">
        <f>IF(COUNTIFS(T_StockCount[RM_Code],$A15,T_StockCount[WeekIndex],34)&gt;0,SUMIFS(T_StockCount[CountedQty],T_StockCount[RM_Code],$A15,T_StockCount[WeekIndex],34),IF((COUNTIFS(T_SelfStock[RM_Code],$A15,T_SelfStock[WeekIndex],34)&gt;0)*(COUNTIFS(T_TTAFStock[RM_Code],$A15,T_TTAFStock[WeekIndex],34)&gt;0)&gt;0,SUMIFS(T_SelfStock[Self_Qty],T_SelfStock[RM_Code],$A15,T_SelfStock[WeekIndex],34)+SUMIFS(T_TTAFStock[TTAF_Qty],T_TTAFStock[RM_Code],$A15,T_TTAFStock[WeekIndex],34),AH15+'Grid_Incoming'!AI15-'Grid_Requirement'!AI15))</f>
        <v/>
      </c>
      <c r="AJ15">
        <f>IF(COUNTIFS(T_StockCount[RM_Code],$A15,T_StockCount[WeekIndex],35)&gt;0,SUMIFS(T_StockCount[CountedQty],T_StockCount[RM_Code],$A15,T_StockCount[WeekIndex],35),IF((COUNTIFS(T_SelfStock[RM_Code],$A15,T_SelfStock[WeekIndex],35)&gt;0)*(COUNTIFS(T_TTAFStock[RM_Code],$A15,T_TTAFStock[WeekIndex],35)&gt;0)&gt;0,SUMIFS(T_SelfStock[Self_Qty],T_SelfStock[RM_Code],$A15,T_SelfStock[WeekIndex],35)+SUMIFS(T_TTAFStock[TTAF_Qty],T_TTAFStock[RM_Code],$A15,T_TTAFStock[WeekIndex],35),AI15+'Grid_Incoming'!AJ15-'Grid_Requirement'!AJ15))</f>
        <v/>
      </c>
      <c r="AK15">
        <f>IF(COUNTIFS(T_StockCount[RM_Code],$A15,T_StockCount[WeekIndex],36)&gt;0,SUMIFS(T_StockCount[CountedQty],T_StockCount[RM_Code],$A15,T_StockCount[WeekIndex],36),IF((COUNTIFS(T_SelfStock[RM_Code],$A15,T_SelfStock[WeekIndex],36)&gt;0)*(COUNTIFS(T_TTAFStock[RM_Code],$A15,T_TTAFStock[WeekIndex],36)&gt;0)&gt;0,SUMIFS(T_SelfStock[Self_Qty],T_SelfStock[RM_Code],$A15,T_SelfStock[WeekIndex],36)+SUMIFS(T_TTAFStock[TTAF_Qty],T_TTAFStock[RM_Code],$A15,T_TTAFStock[WeekIndex],36),AJ15+'Grid_Incoming'!AK15-'Grid_Requirement'!AK15))</f>
        <v/>
      </c>
      <c r="AL15">
        <f>IF(COUNTIFS(T_StockCount[RM_Code],$A15,T_StockCount[WeekIndex],37)&gt;0,SUMIFS(T_StockCount[CountedQty],T_StockCount[RM_Code],$A15,T_StockCount[WeekIndex],37),IF((COUNTIFS(T_SelfStock[RM_Code],$A15,T_SelfStock[WeekIndex],37)&gt;0)*(COUNTIFS(T_TTAFStock[RM_Code],$A15,T_TTAFStock[WeekIndex],37)&gt;0)&gt;0,SUMIFS(T_SelfStock[Self_Qty],T_SelfStock[RM_Code],$A15,T_SelfStock[WeekIndex],37)+SUMIFS(T_TTAFStock[TTAF_Qty],T_TTAFStock[RM_Code],$A15,T_TTAFStock[WeekIndex],37),AK15+'Grid_Incoming'!AL15-'Grid_Requirement'!AL15))</f>
        <v/>
      </c>
      <c r="AM15">
        <f>IF(COUNTIFS(T_StockCount[RM_Code],$A15,T_StockCount[WeekIndex],38)&gt;0,SUMIFS(T_StockCount[CountedQty],T_StockCount[RM_Code],$A15,T_StockCount[WeekIndex],38),IF((COUNTIFS(T_SelfStock[RM_Code],$A15,T_SelfStock[WeekIndex],38)&gt;0)*(COUNTIFS(T_TTAFStock[RM_Code],$A15,T_TTAFStock[WeekIndex],38)&gt;0)&gt;0,SUMIFS(T_SelfStock[Self_Qty],T_SelfStock[RM_Code],$A15,T_SelfStock[WeekIndex],38)+SUMIFS(T_TTAFStock[TTAF_Qty],T_TTAFStock[RM_Code],$A15,T_TTAFStock[WeekIndex],38),AL15+'Grid_Incoming'!AM15-'Grid_Requirement'!AM15))</f>
        <v/>
      </c>
      <c r="AN15">
        <f>IF(COUNTIFS(T_StockCount[RM_Code],$A15,T_StockCount[WeekIndex],39)&gt;0,SUMIFS(T_StockCount[CountedQty],T_StockCount[RM_Code],$A15,T_StockCount[WeekIndex],39),IF((COUNTIFS(T_SelfStock[RM_Code],$A15,T_SelfStock[WeekIndex],39)&gt;0)*(COUNTIFS(T_TTAFStock[RM_Code],$A15,T_TTAFStock[WeekIndex],39)&gt;0)&gt;0,SUMIFS(T_SelfStock[Self_Qty],T_SelfStock[RM_Code],$A15,T_SelfStock[WeekIndex],39)+SUMIFS(T_TTAFStock[TTAF_Qty],T_TTAFStock[RM_Code],$A15,T_TTAFStock[WeekIndex],39),AM15+'Grid_Incoming'!AN15-'Grid_Requirement'!AN15))</f>
        <v/>
      </c>
      <c r="AO15">
        <f>IF(COUNTIFS(T_StockCount[RM_Code],$A15,T_StockCount[WeekIndex],40)&gt;0,SUMIFS(T_StockCount[CountedQty],T_StockCount[RM_Code],$A15,T_StockCount[WeekIndex],40),IF((COUNTIFS(T_SelfStock[RM_Code],$A15,T_SelfStock[WeekIndex],40)&gt;0)*(COUNTIFS(T_TTAFStock[RM_Code],$A15,T_TTAFStock[WeekIndex],40)&gt;0)&gt;0,SUMIFS(T_SelfStock[Self_Qty],T_SelfStock[RM_Code],$A15,T_SelfStock[WeekIndex],40)+SUMIFS(T_TTAFStock[TTAF_Qty],T_TTAFStock[RM_Code],$A15,T_TTAFStock[WeekIndex],40),AN15+'Grid_Incoming'!AO15-'Grid_Requirement'!AO15))</f>
        <v/>
      </c>
      <c r="AP15">
        <f>IF(COUNTIFS(T_StockCount[RM_Code],$A15,T_StockCount[WeekIndex],41)&gt;0,SUMIFS(T_StockCount[CountedQty],T_StockCount[RM_Code],$A15,T_StockCount[WeekIndex],41),IF((COUNTIFS(T_SelfStock[RM_Code],$A15,T_SelfStock[WeekIndex],41)&gt;0)*(COUNTIFS(T_TTAFStock[RM_Code],$A15,T_TTAFStock[WeekIndex],41)&gt;0)&gt;0,SUMIFS(T_SelfStock[Self_Qty],T_SelfStock[RM_Code],$A15,T_SelfStock[WeekIndex],41)+SUMIFS(T_TTAFStock[TTAF_Qty],T_TTAFStock[RM_Code],$A15,T_TTAFStock[WeekIndex],41),AO15+'Grid_Incoming'!AP15-'Grid_Requirement'!AP15))</f>
        <v/>
      </c>
      <c r="AQ15">
        <f>IF(COUNTIFS(T_StockCount[RM_Code],$A15,T_StockCount[WeekIndex],42)&gt;0,SUMIFS(T_StockCount[CountedQty],T_StockCount[RM_Code],$A15,T_StockCount[WeekIndex],42),IF((COUNTIFS(T_SelfStock[RM_Code],$A15,T_SelfStock[WeekIndex],42)&gt;0)*(COUNTIFS(T_TTAFStock[RM_Code],$A15,T_TTAFStock[WeekIndex],42)&gt;0)&gt;0,SUMIFS(T_SelfStock[Self_Qty],T_SelfStock[RM_Code],$A15,T_SelfStock[WeekIndex],42)+SUMIFS(T_TTAFStock[TTAF_Qty],T_TTAFStock[RM_Code],$A15,T_TTAFStock[WeekIndex],42),AP15+'Grid_Incoming'!AQ15-'Grid_Requirement'!AQ15))</f>
        <v/>
      </c>
      <c r="AR15">
        <f>IF(COUNTIFS(T_StockCount[RM_Code],$A15,T_StockCount[WeekIndex],43)&gt;0,SUMIFS(T_StockCount[CountedQty],T_StockCount[RM_Code],$A15,T_StockCount[WeekIndex],43),IF((COUNTIFS(T_SelfStock[RM_Code],$A15,T_SelfStock[WeekIndex],43)&gt;0)*(COUNTIFS(T_TTAFStock[RM_Code],$A15,T_TTAFStock[WeekIndex],43)&gt;0)&gt;0,SUMIFS(T_SelfStock[Self_Qty],T_SelfStock[RM_Code],$A15,T_SelfStock[WeekIndex],43)+SUMIFS(T_TTAFStock[TTAF_Qty],T_TTAFStock[RM_Code],$A15,T_TTAFStock[WeekIndex],43),AQ15+'Grid_Incoming'!AR15-'Grid_Requirement'!AR15))</f>
        <v/>
      </c>
      <c r="AS15">
        <f>IF(COUNTIFS(T_StockCount[RM_Code],$A15,T_StockCount[WeekIndex],44)&gt;0,SUMIFS(T_StockCount[CountedQty],T_StockCount[RM_Code],$A15,T_StockCount[WeekIndex],44),IF((COUNTIFS(T_SelfStock[RM_Code],$A15,T_SelfStock[WeekIndex],44)&gt;0)*(COUNTIFS(T_TTAFStock[RM_Code],$A15,T_TTAFStock[WeekIndex],44)&gt;0)&gt;0,SUMIFS(T_SelfStock[Self_Qty],T_SelfStock[RM_Code],$A15,T_SelfStock[WeekIndex],44)+SUMIFS(T_TTAFStock[TTAF_Qty],T_TTAFStock[RM_Code],$A15,T_TTAFStock[WeekIndex],44),AR15+'Grid_Incoming'!AS15-'Grid_Requirement'!AS15))</f>
        <v/>
      </c>
      <c r="AT15">
        <f>IF(COUNTIFS(T_StockCount[RM_Code],$A15,T_StockCount[WeekIndex],45)&gt;0,SUMIFS(T_StockCount[CountedQty],T_StockCount[RM_Code],$A15,T_StockCount[WeekIndex],45),IF((COUNTIFS(T_SelfStock[RM_Code],$A15,T_SelfStock[WeekIndex],45)&gt;0)*(COUNTIFS(T_TTAFStock[RM_Code],$A15,T_TTAFStock[WeekIndex],45)&gt;0)&gt;0,SUMIFS(T_SelfStock[Self_Qty],T_SelfStock[RM_Code],$A15,T_SelfStock[WeekIndex],45)+SUMIFS(T_TTAFStock[TTAF_Qty],T_TTAFStock[RM_Code],$A15,T_TTAFStock[WeekIndex],45),AS15+'Grid_Incoming'!AT15-'Grid_Requirement'!AT15))</f>
        <v/>
      </c>
      <c r="AU15">
        <f>IF(COUNTIFS(T_StockCount[RM_Code],$A15,T_StockCount[WeekIndex],46)&gt;0,SUMIFS(T_StockCount[CountedQty],T_StockCount[RM_Code],$A15,T_StockCount[WeekIndex],46),IF((COUNTIFS(T_SelfStock[RM_Code],$A15,T_SelfStock[WeekIndex],46)&gt;0)*(COUNTIFS(T_TTAFStock[RM_Code],$A15,T_TTAFStock[WeekIndex],46)&gt;0)&gt;0,SUMIFS(T_SelfStock[Self_Qty],T_SelfStock[RM_Code],$A15,T_SelfStock[WeekIndex],46)+SUMIFS(T_TTAFStock[TTAF_Qty],T_TTAFStock[RM_Code],$A15,T_TTAFStock[WeekIndex],46),AT15+'Grid_Incoming'!AU15-'Grid_Requirement'!AU15))</f>
        <v/>
      </c>
      <c r="AV15">
        <f>IF(COUNTIFS(T_StockCount[RM_Code],$A15,T_StockCount[WeekIndex],47)&gt;0,SUMIFS(T_StockCount[CountedQty],T_StockCount[RM_Code],$A15,T_StockCount[WeekIndex],47),IF((COUNTIFS(T_SelfStock[RM_Code],$A15,T_SelfStock[WeekIndex],47)&gt;0)*(COUNTIFS(T_TTAFStock[RM_Code],$A15,T_TTAFStock[WeekIndex],47)&gt;0)&gt;0,SUMIFS(T_SelfStock[Self_Qty],T_SelfStock[RM_Code],$A15,T_SelfStock[WeekIndex],47)+SUMIFS(T_TTAFStock[TTAF_Qty],T_TTAFStock[RM_Code],$A15,T_TTAFStock[WeekIndex],47),AU15+'Grid_Incoming'!AV15-'Grid_Requirement'!AV15))</f>
        <v/>
      </c>
      <c r="AW15">
        <f>IF(COUNTIFS(T_StockCount[RM_Code],$A15,T_StockCount[WeekIndex],48)&gt;0,SUMIFS(T_StockCount[CountedQty],T_StockCount[RM_Code],$A15,T_StockCount[WeekIndex],48),IF((COUNTIFS(T_SelfStock[RM_Code],$A15,T_SelfStock[WeekIndex],48)&gt;0)*(COUNTIFS(T_TTAFStock[RM_Code],$A15,T_TTAFStock[WeekIndex],48)&gt;0)&gt;0,SUMIFS(T_SelfStock[Self_Qty],T_SelfStock[RM_Code],$A15,T_SelfStock[WeekIndex],48)+SUMIFS(T_TTAFStock[TTAF_Qty],T_TTAFStock[RM_Code],$A15,T_TTAFStock[WeekIndex],48),AV15+'Grid_Incoming'!AW15-'Grid_Requirement'!AW15))</f>
        <v/>
      </c>
      <c r="AX15">
        <f>IF(COUNTIFS(T_StockCount[RM_Code],$A15,T_StockCount[WeekIndex],49)&gt;0,SUMIFS(T_StockCount[CountedQty],T_StockCount[RM_Code],$A15,T_StockCount[WeekIndex],49),IF((COUNTIFS(T_SelfStock[RM_Code],$A15,T_SelfStock[WeekIndex],49)&gt;0)*(COUNTIFS(T_TTAFStock[RM_Code],$A15,T_TTAFStock[WeekIndex],49)&gt;0)&gt;0,SUMIFS(T_SelfStock[Self_Qty],T_SelfStock[RM_Code],$A15,T_SelfStock[WeekIndex],49)+SUMIFS(T_TTAFStock[TTAF_Qty],T_TTAFStock[RM_Code],$A15,T_TTAFStock[WeekIndex],49),AW15+'Grid_Incoming'!AX15-'Grid_Requirement'!AX15))</f>
        <v/>
      </c>
      <c r="AY15">
        <f>IF(COUNTIFS(T_StockCount[RM_Code],$A15,T_StockCount[WeekIndex],50)&gt;0,SUMIFS(T_StockCount[CountedQty],T_StockCount[RM_Code],$A15,T_StockCount[WeekIndex],50),IF((COUNTIFS(T_SelfStock[RM_Code],$A15,T_SelfStock[WeekIndex],50)&gt;0)*(COUNTIFS(T_TTAFStock[RM_Code],$A15,T_TTAFStock[WeekIndex],50)&gt;0)&gt;0,SUMIFS(T_SelfStock[Self_Qty],T_SelfStock[RM_Code],$A15,T_SelfStock[WeekIndex],50)+SUMIFS(T_TTAFStock[TTAF_Qty],T_TTAFStock[RM_Code],$A15,T_TTAFStock[WeekIndex],50),AX15+'Grid_Incoming'!AY15-'Grid_Requirement'!AY15))</f>
        <v/>
      </c>
      <c r="AZ15">
        <f>IF(COUNTIFS(T_StockCount[RM_Code],$A15,T_StockCount[WeekIndex],51)&gt;0,SUMIFS(T_StockCount[CountedQty],T_StockCount[RM_Code],$A15,T_StockCount[WeekIndex],51),IF((COUNTIFS(T_SelfStock[RM_Code],$A15,T_SelfStock[WeekIndex],51)&gt;0)*(COUNTIFS(T_TTAFStock[RM_Code],$A15,T_TTAFStock[WeekIndex],51)&gt;0)&gt;0,SUMIFS(T_SelfStock[Self_Qty],T_SelfStock[RM_Code],$A15,T_SelfStock[WeekIndex],51)+SUMIFS(T_TTAFStock[TTAF_Qty],T_TTAFStock[RM_Code],$A15,T_TTAFStock[WeekIndex],51),AY15+'Grid_Incoming'!AZ15-'Grid_Requirement'!AZ15))</f>
        <v/>
      </c>
      <c r="BA15">
        <f>IF(COUNTIFS(T_StockCount[RM_Code],$A15,T_StockCount[WeekIndex],52)&gt;0,SUMIFS(T_StockCount[CountedQty],T_StockCount[RM_Code],$A15,T_StockCount[WeekIndex],52),IF((COUNTIFS(T_SelfStock[RM_Code],$A15,T_SelfStock[WeekIndex],52)&gt;0)*(COUNTIFS(T_TTAFStock[RM_Code],$A15,T_TTAFStock[WeekIndex],52)&gt;0)&gt;0,SUMIFS(T_SelfStock[Self_Qty],T_SelfStock[RM_Code],$A15,T_SelfStock[WeekIndex],52)+SUMIFS(T_TTAFStock[TTAF_Qty],T_TTAFStock[RM_Code],$A15,T_TTAFStock[WeekIndex],52),AZ15+'Grid_Incoming'!BA15-'Grid_Requirement'!BA15))</f>
        <v/>
      </c>
      <c r="BB15">
        <f>IF(COUNTIFS(T_StockCount[RM_Code],$A15,T_StockCount[WeekIndex],53)&gt;0,SUMIFS(T_StockCount[CountedQty],T_StockCount[RM_Code],$A15,T_StockCount[WeekIndex],53),IF((COUNTIFS(T_SelfStock[RM_Code],$A15,T_SelfStock[WeekIndex],53)&gt;0)*(COUNTIFS(T_TTAFStock[RM_Code],$A15,T_TTAFStock[WeekIndex],53)&gt;0)&gt;0,SUMIFS(T_SelfStock[Self_Qty],T_SelfStock[RM_Code],$A15,T_SelfStock[WeekIndex],53)+SUMIFS(T_TTAFStock[TTAF_Qty],T_TTAFStock[RM_Code],$A15,T_TTAFStock[WeekIndex],53),BA15+'Grid_Incoming'!BB15-'Grid_Requirement'!BB15))</f>
        <v/>
      </c>
      <c r="BC15">
        <f>IF(COUNTIFS(T_StockCount[RM_Code],$A15,T_StockCount[WeekIndex],54)&gt;0,SUMIFS(T_StockCount[CountedQty],T_StockCount[RM_Code],$A15,T_StockCount[WeekIndex],54),IF((COUNTIFS(T_SelfStock[RM_Code],$A15,T_SelfStock[WeekIndex],54)&gt;0)*(COUNTIFS(T_TTAFStock[RM_Code],$A15,T_TTAFStock[WeekIndex],54)&gt;0)&gt;0,SUMIFS(T_SelfStock[Self_Qty],T_SelfStock[RM_Code],$A15,T_SelfStock[WeekIndex],54)+SUMIFS(T_TTAFStock[TTAF_Qty],T_TTAFStock[RM_Code],$A15,T_TTAFStock[WeekIndex],54),BB15+'Grid_Incoming'!BC15-'Grid_Requirement'!BC15))</f>
        <v/>
      </c>
      <c r="BD15">
        <f>IF(COUNTIFS(T_StockCount[RM_Code],$A15,T_StockCount[WeekIndex],55)&gt;0,SUMIFS(T_StockCount[CountedQty],T_StockCount[RM_Code],$A15,T_StockCount[WeekIndex],55),IF((COUNTIFS(T_SelfStock[RM_Code],$A15,T_SelfStock[WeekIndex],55)&gt;0)*(COUNTIFS(T_TTAFStock[RM_Code],$A15,T_TTAFStock[WeekIndex],55)&gt;0)&gt;0,SUMIFS(T_SelfStock[Self_Qty],T_SelfStock[RM_Code],$A15,T_SelfStock[WeekIndex],55)+SUMIFS(T_TTAFStock[TTAF_Qty],T_TTAFStock[RM_Code],$A15,T_TTAFStock[WeekIndex],55),BC15+'Grid_Incoming'!BD15-'Grid_Requirement'!BD15))</f>
        <v/>
      </c>
      <c r="BE15">
        <f>IF(COUNTIFS(T_StockCount[RM_Code],$A15,T_StockCount[WeekIndex],56)&gt;0,SUMIFS(T_StockCount[CountedQty],T_StockCount[RM_Code],$A15,T_StockCount[WeekIndex],56),IF((COUNTIFS(T_SelfStock[RM_Code],$A15,T_SelfStock[WeekIndex],56)&gt;0)*(COUNTIFS(T_TTAFStock[RM_Code],$A15,T_TTAFStock[WeekIndex],56)&gt;0)&gt;0,SUMIFS(T_SelfStock[Self_Qty],T_SelfStock[RM_Code],$A15,T_SelfStock[WeekIndex],56)+SUMIFS(T_TTAFStock[TTAF_Qty],T_TTAFStock[RM_Code],$A15,T_TTAFStock[WeekIndex],56),BD15+'Grid_Incoming'!BE15-'Grid_Requirement'!BE15))</f>
        <v/>
      </c>
      <c r="BF15">
        <f>IF(COUNTIFS(T_StockCount[RM_Code],$A15,T_StockCount[WeekIndex],57)&gt;0,SUMIFS(T_StockCount[CountedQty],T_StockCount[RM_Code],$A15,T_StockCount[WeekIndex],57),IF((COUNTIFS(T_SelfStock[RM_Code],$A15,T_SelfStock[WeekIndex],57)&gt;0)*(COUNTIFS(T_TTAFStock[RM_Code],$A15,T_TTAFStock[WeekIndex],57)&gt;0)&gt;0,SUMIFS(T_SelfStock[Self_Qty],T_SelfStock[RM_Code],$A15,T_SelfStock[WeekIndex],57)+SUMIFS(T_TTAFStock[TTAF_Qty],T_TTAFStock[RM_Code],$A15,T_TTAFStock[WeekIndex],57),BE15+'Grid_Incoming'!BF15-'Grid_Requirement'!BF15))</f>
        <v/>
      </c>
      <c r="BG15">
        <f>IF(COUNTIFS(T_StockCount[RM_Code],$A15,T_StockCount[WeekIndex],58)&gt;0,SUMIFS(T_StockCount[CountedQty],T_StockCount[RM_Code],$A15,T_StockCount[WeekIndex],58),IF((COUNTIFS(T_SelfStock[RM_Code],$A15,T_SelfStock[WeekIndex],58)&gt;0)*(COUNTIFS(T_TTAFStock[RM_Code],$A15,T_TTAFStock[WeekIndex],58)&gt;0)&gt;0,SUMIFS(T_SelfStock[Self_Qty],T_SelfStock[RM_Code],$A15,T_SelfStock[WeekIndex],58)+SUMIFS(T_TTAFStock[TTAF_Qty],T_TTAFStock[RM_Code],$A15,T_TTAFStock[WeekIndex],58),BF15+'Grid_Incoming'!BG15-'Grid_Requirement'!BG15))</f>
        <v/>
      </c>
      <c r="BH15">
        <f>IF(COUNTIFS(T_StockCount[RM_Code],$A15,T_StockCount[WeekIndex],59)&gt;0,SUMIFS(T_StockCount[CountedQty],T_StockCount[RM_Code],$A15,T_StockCount[WeekIndex],59),IF((COUNTIFS(T_SelfStock[RM_Code],$A15,T_SelfStock[WeekIndex],59)&gt;0)*(COUNTIFS(T_TTAFStock[RM_Code],$A15,T_TTAFStock[WeekIndex],59)&gt;0)&gt;0,SUMIFS(T_SelfStock[Self_Qty],T_SelfStock[RM_Code],$A15,T_SelfStock[WeekIndex],59)+SUMIFS(T_TTAFStock[TTAF_Qty],T_TTAFStock[RM_Code],$A15,T_TTAFStock[WeekIndex],59),BG15+'Grid_Incoming'!BH15-'Grid_Requirement'!BH15))</f>
        <v/>
      </c>
      <c r="BI15">
        <f>IF(COUNTIFS(T_StockCount[RM_Code],$A15,T_StockCount[WeekIndex],60)&gt;0,SUMIFS(T_StockCount[CountedQty],T_StockCount[RM_Code],$A15,T_StockCount[WeekIndex],60),IF((COUNTIFS(T_SelfStock[RM_Code],$A15,T_SelfStock[WeekIndex],60)&gt;0)*(COUNTIFS(T_TTAFStock[RM_Code],$A15,T_TTAFStock[WeekIndex],60)&gt;0)&gt;0,SUMIFS(T_SelfStock[Self_Qty],T_SelfStock[RM_Code],$A15,T_SelfStock[WeekIndex],60)+SUMIFS(T_TTAFStock[TTAF_Qty],T_TTAFStock[RM_Code],$A15,T_TTAFStock[WeekIndex],60),BH15+'Grid_Incoming'!BI15-'Grid_Requirement'!BI15))</f>
        <v/>
      </c>
      <c r="BJ15">
        <f>IF(COUNTIFS(T_StockCount[RM_Code],$A15,T_StockCount[WeekIndex],61)&gt;0,SUMIFS(T_StockCount[CountedQty],T_StockCount[RM_Code],$A15,T_StockCount[WeekIndex],61),IF((COUNTIFS(T_SelfStock[RM_Code],$A15,T_SelfStock[WeekIndex],61)&gt;0)*(COUNTIFS(T_TTAFStock[RM_Code],$A15,T_TTAFStock[WeekIndex],61)&gt;0)&gt;0,SUMIFS(T_SelfStock[Self_Qty],T_SelfStock[RM_Code],$A15,T_SelfStock[WeekIndex],61)+SUMIFS(T_TTAFStock[TTAF_Qty],T_TTAFStock[RM_Code],$A15,T_TTAFStock[WeekIndex],61),BI15+'Grid_Incoming'!BJ15-'Grid_Requirement'!BJ15))</f>
        <v/>
      </c>
      <c r="BK15">
        <f>IF(COUNTIFS(T_StockCount[RM_Code],$A15,T_StockCount[WeekIndex],62)&gt;0,SUMIFS(T_StockCount[CountedQty],T_StockCount[RM_Code],$A15,T_StockCount[WeekIndex],62),IF((COUNTIFS(T_SelfStock[RM_Code],$A15,T_SelfStock[WeekIndex],62)&gt;0)*(COUNTIFS(T_TTAFStock[RM_Code],$A15,T_TTAFStock[WeekIndex],62)&gt;0)&gt;0,SUMIFS(T_SelfStock[Self_Qty],T_SelfStock[RM_Code],$A15,T_SelfStock[WeekIndex],62)+SUMIFS(T_TTAFStock[TTAF_Qty],T_TTAFStock[RM_Code],$A15,T_TTAFStock[WeekIndex],62),BJ15+'Grid_Incoming'!BK15-'Grid_Requirement'!BK15))</f>
        <v/>
      </c>
      <c r="BL15">
        <f>IF(COUNTIFS(T_StockCount[RM_Code],$A15,T_StockCount[WeekIndex],63)&gt;0,SUMIFS(T_StockCount[CountedQty],T_StockCount[RM_Code],$A15,T_StockCount[WeekIndex],63),IF((COUNTIFS(T_SelfStock[RM_Code],$A15,T_SelfStock[WeekIndex],63)&gt;0)*(COUNTIFS(T_TTAFStock[RM_Code],$A15,T_TTAFStock[WeekIndex],63)&gt;0)&gt;0,SUMIFS(T_SelfStock[Self_Qty],T_SelfStock[RM_Code],$A15,T_SelfStock[WeekIndex],63)+SUMIFS(T_TTAFStock[TTAF_Qty],T_TTAFStock[RM_Code],$A15,T_TTAFStock[WeekIndex],63),BK15+'Grid_Incoming'!BL15-'Grid_Requirement'!BL15))</f>
        <v/>
      </c>
      <c r="BM15">
        <f>IF(COUNTIFS(T_StockCount[RM_Code],$A15,T_StockCount[WeekIndex],64)&gt;0,SUMIFS(T_StockCount[CountedQty],T_StockCount[RM_Code],$A15,T_StockCount[WeekIndex],64),IF((COUNTIFS(T_SelfStock[RM_Code],$A15,T_SelfStock[WeekIndex],64)&gt;0)*(COUNTIFS(T_TTAFStock[RM_Code],$A15,T_TTAFStock[WeekIndex],64)&gt;0)&gt;0,SUMIFS(T_SelfStock[Self_Qty],T_SelfStock[RM_Code],$A15,T_SelfStock[WeekIndex],64)+SUMIFS(T_TTAFStock[TTAF_Qty],T_TTAFStock[RM_Code],$A15,T_TTAFStock[WeekIndex],64),BL15+'Grid_Incoming'!BM15-'Grid_Requirement'!BM15))</f>
        <v/>
      </c>
      <c r="BN15">
        <f>IF(COUNTIFS(T_StockCount[RM_Code],$A15,T_StockCount[WeekIndex],65)&gt;0,SUMIFS(T_StockCount[CountedQty],T_StockCount[RM_Code],$A15,T_StockCount[WeekIndex],65),IF((COUNTIFS(T_SelfStock[RM_Code],$A15,T_SelfStock[WeekIndex],65)&gt;0)*(COUNTIFS(T_TTAFStock[RM_Code],$A15,T_TTAFStock[WeekIndex],65)&gt;0)&gt;0,SUMIFS(T_SelfStock[Self_Qty],T_SelfStock[RM_Code],$A15,T_SelfStock[WeekIndex],65)+SUMIFS(T_TTAFStock[TTAF_Qty],T_TTAFStock[RM_Code],$A15,T_TTAFStock[WeekIndex],65),BM15+'Grid_Incoming'!BN15-'Grid_Requirement'!BN15))</f>
        <v/>
      </c>
      <c r="BO15">
        <f>IF(COUNTIFS(T_StockCount[RM_Code],$A15,T_StockCount[WeekIndex],66)&gt;0,SUMIFS(T_StockCount[CountedQty],T_StockCount[RM_Code],$A15,T_StockCount[WeekIndex],66),IF((COUNTIFS(T_SelfStock[RM_Code],$A15,T_SelfStock[WeekIndex],66)&gt;0)*(COUNTIFS(T_TTAFStock[RM_Code],$A15,T_TTAFStock[WeekIndex],66)&gt;0)&gt;0,SUMIFS(T_SelfStock[Self_Qty],T_SelfStock[RM_Code],$A15,T_SelfStock[WeekIndex],66)+SUMIFS(T_TTAFStock[TTAF_Qty],T_TTAFStock[RM_Code],$A15,T_TTAFStock[WeekIndex],66),BN15+'Grid_Incoming'!BO15-'Grid_Requirement'!BO15))</f>
        <v/>
      </c>
      <c r="BP15">
        <f>IF(COUNTIFS(T_StockCount[RM_Code],$A15,T_StockCount[WeekIndex],67)&gt;0,SUMIFS(T_StockCount[CountedQty],T_StockCount[RM_Code],$A15,T_StockCount[WeekIndex],67),IF((COUNTIFS(T_SelfStock[RM_Code],$A15,T_SelfStock[WeekIndex],67)&gt;0)*(COUNTIFS(T_TTAFStock[RM_Code],$A15,T_TTAFStock[WeekIndex],67)&gt;0)&gt;0,SUMIFS(T_SelfStock[Self_Qty],T_SelfStock[RM_Code],$A15,T_SelfStock[WeekIndex],67)+SUMIFS(T_TTAFStock[TTAF_Qty],T_TTAFStock[RM_Code],$A15,T_TTAFStock[WeekIndex],67),BO15+'Grid_Incoming'!BP15-'Grid_Requirement'!BP15))</f>
        <v/>
      </c>
      <c r="BQ15">
        <f>IF(COUNTIFS(T_StockCount[RM_Code],$A15,T_StockCount[WeekIndex],68)&gt;0,SUMIFS(T_StockCount[CountedQty],T_StockCount[RM_Code],$A15,T_StockCount[WeekIndex],68),IF((COUNTIFS(T_SelfStock[RM_Code],$A15,T_SelfStock[WeekIndex],68)&gt;0)*(COUNTIFS(T_TTAFStock[RM_Code],$A15,T_TTAFStock[WeekIndex],68)&gt;0)&gt;0,SUMIFS(T_SelfStock[Self_Qty],T_SelfStock[RM_Code],$A15,T_SelfStock[WeekIndex],68)+SUMIFS(T_TTAFStock[TTAF_Qty],T_TTAFStock[RM_Code],$A15,T_TTAFStock[WeekIndex],68),BP15+'Grid_Incoming'!BQ15-'Grid_Requirement'!BQ15))</f>
        <v/>
      </c>
      <c r="BR15">
        <f>IF(COUNTIFS(T_StockCount[RM_Code],$A15,T_StockCount[WeekIndex],69)&gt;0,SUMIFS(T_StockCount[CountedQty],T_StockCount[RM_Code],$A15,T_StockCount[WeekIndex],69),IF((COUNTIFS(T_SelfStock[RM_Code],$A15,T_SelfStock[WeekIndex],69)&gt;0)*(COUNTIFS(T_TTAFStock[RM_Code],$A15,T_TTAFStock[WeekIndex],69)&gt;0)&gt;0,SUMIFS(T_SelfStock[Self_Qty],T_SelfStock[RM_Code],$A15,T_SelfStock[WeekIndex],69)+SUMIFS(T_TTAFStock[TTAF_Qty],T_TTAFStock[RM_Code],$A15,T_TTAFStock[WeekIndex],69),BQ15+'Grid_Incoming'!BR15-'Grid_Requirement'!BR15))</f>
        <v/>
      </c>
      <c r="BS15">
        <f>IF(COUNTIFS(T_StockCount[RM_Code],$A15,T_StockCount[WeekIndex],70)&gt;0,SUMIFS(T_StockCount[CountedQty],T_StockCount[RM_Code],$A15,T_StockCount[WeekIndex],70),IF((COUNTIFS(T_SelfStock[RM_Code],$A15,T_SelfStock[WeekIndex],70)&gt;0)*(COUNTIFS(T_TTAFStock[RM_Code],$A15,T_TTAFStock[WeekIndex],70)&gt;0)&gt;0,SUMIFS(T_SelfStock[Self_Qty],T_SelfStock[RM_Code],$A15,T_SelfStock[WeekIndex],70)+SUMIFS(T_TTAFStock[TTAF_Qty],T_TTAFStock[RM_Code],$A15,T_TTAFStock[WeekIndex],70),BR15+'Grid_Incoming'!BS15-'Grid_Requirement'!BS15))</f>
        <v/>
      </c>
      <c r="BT15">
        <f>IF(COUNTIFS(T_StockCount[RM_Code],$A15,T_StockCount[WeekIndex],71)&gt;0,SUMIFS(T_StockCount[CountedQty],T_StockCount[RM_Code],$A15,T_StockCount[WeekIndex],71),IF((COUNTIFS(T_SelfStock[RM_Code],$A15,T_SelfStock[WeekIndex],71)&gt;0)*(COUNTIFS(T_TTAFStock[RM_Code],$A15,T_TTAFStock[WeekIndex],71)&gt;0)&gt;0,SUMIFS(T_SelfStock[Self_Qty],T_SelfStock[RM_Code],$A15,T_SelfStock[WeekIndex],71)+SUMIFS(T_TTAFStock[TTAF_Qty],T_TTAFStock[RM_Code],$A15,T_TTAFStock[WeekIndex],71),BS15+'Grid_Incoming'!BT15-'Grid_Requirement'!BT15))</f>
        <v/>
      </c>
      <c r="BU15">
        <f>IF(COUNTIFS(T_StockCount[RM_Code],$A15,T_StockCount[WeekIndex],72)&gt;0,SUMIFS(T_StockCount[CountedQty],T_StockCount[RM_Code],$A15,T_StockCount[WeekIndex],72),IF((COUNTIFS(T_SelfStock[RM_Code],$A15,T_SelfStock[WeekIndex],72)&gt;0)*(COUNTIFS(T_TTAFStock[RM_Code],$A15,T_TTAFStock[WeekIndex],72)&gt;0)&gt;0,SUMIFS(T_SelfStock[Self_Qty],T_SelfStock[RM_Code],$A15,T_SelfStock[WeekIndex],72)+SUMIFS(T_TTAFStock[TTAF_Qty],T_TTAFStock[RM_Code],$A15,T_TTAFStock[WeekIndex],72),BT15+'Grid_Incoming'!BU15-'Grid_Requirement'!BU15))</f>
        <v/>
      </c>
      <c r="BV15">
        <f>IF(COUNTIFS(T_StockCount[RM_Code],$A15,T_StockCount[WeekIndex],73)&gt;0,SUMIFS(T_StockCount[CountedQty],T_StockCount[RM_Code],$A15,T_StockCount[WeekIndex],73),IF((COUNTIFS(T_SelfStock[RM_Code],$A15,T_SelfStock[WeekIndex],73)&gt;0)*(COUNTIFS(T_TTAFStock[RM_Code],$A15,T_TTAFStock[WeekIndex],73)&gt;0)&gt;0,SUMIFS(T_SelfStock[Self_Qty],T_SelfStock[RM_Code],$A15,T_SelfStock[WeekIndex],73)+SUMIFS(T_TTAFStock[TTAF_Qty],T_TTAFStock[RM_Code],$A15,T_TTAFStock[WeekIndex],73),BU15+'Grid_Incoming'!BV15-'Grid_Requirement'!BV15))</f>
        <v/>
      </c>
      <c r="BW15">
        <f>IF(COUNTIFS(T_StockCount[RM_Code],$A15,T_StockCount[WeekIndex],74)&gt;0,SUMIFS(T_StockCount[CountedQty],T_StockCount[RM_Code],$A15,T_StockCount[WeekIndex],74),IF((COUNTIFS(T_SelfStock[RM_Code],$A15,T_SelfStock[WeekIndex],74)&gt;0)*(COUNTIFS(T_TTAFStock[RM_Code],$A15,T_TTAFStock[WeekIndex],74)&gt;0)&gt;0,SUMIFS(T_SelfStock[Self_Qty],T_SelfStock[RM_Code],$A15,T_SelfStock[WeekIndex],74)+SUMIFS(T_TTAFStock[TTAF_Qty],T_TTAFStock[RM_Code],$A15,T_TTAFStock[WeekIndex],74),BV15+'Grid_Incoming'!BW15-'Grid_Requirement'!BW15))</f>
        <v/>
      </c>
      <c r="BX15">
        <f>IF(COUNTIFS(T_StockCount[RM_Code],$A15,T_StockCount[WeekIndex],75)&gt;0,SUMIFS(T_StockCount[CountedQty],T_StockCount[RM_Code],$A15,T_StockCount[WeekIndex],75),IF((COUNTIFS(T_SelfStock[RM_Code],$A15,T_SelfStock[WeekIndex],75)&gt;0)*(COUNTIFS(T_TTAFStock[RM_Code],$A15,T_TTAFStock[WeekIndex],75)&gt;0)&gt;0,SUMIFS(T_SelfStock[Self_Qty],T_SelfStock[RM_Code],$A15,T_SelfStock[WeekIndex],75)+SUMIFS(T_TTAFStock[TTAF_Qty],T_TTAFStock[RM_Code],$A15,T_TTAFStock[WeekIndex],75),BW15+'Grid_Incoming'!BX15-'Grid_Requirement'!BX15))</f>
        <v/>
      </c>
      <c r="BY15">
        <f>IF(COUNTIFS(T_StockCount[RM_Code],$A15,T_StockCount[WeekIndex],76)&gt;0,SUMIFS(T_StockCount[CountedQty],T_StockCount[RM_Code],$A15,T_StockCount[WeekIndex],76),IF((COUNTIFS(T_SelfStock[RM_Code],$A15,T_SelfStock[WeekIndex],76)&gt;0)*(COUNTIFS(T_TTAFStock[RM_Code],$A15,T_TTAFStock[WeekIndex],76)&gt;0)&gt;0,SUMIFS(T_SelfStock[Self_Qty],T_SelfStock[RM_Code],$A15,T_SelfStock[WeekIndex],76)+SUMIFS(T_TTAFStock[TTAF_Qty],T_TTAFStock[RM_Code],$A15,T_TTAFStock[WeekIndex],76),BX15+'Grid_Incoming'!BY15-'Grid_Requirement'!BY15))</f>
        <v/>
      </c>
      <c r="BZ15">
        <f>IF(COUNTIFS(T_StockCount[RM_Code],$A15,T_StockCount[WeekIndex],77)&gt;0,SUMIFS(T_StockCount[CountedQty],T_StockCount[RM_Code],$A15,T_StockCount[WeekIndex],77),IF((COUNTIFS(T_SelfStock[RM_Code],$A15,T_SelfStock[WeekIndex],77)&gt;0)*(COUNTIFS(T_TTAFStock[RM_Code],$A15,T_TTAFStock[WeekIndex],77)&gt;0)&gt;0,SUMIFS(T_SelfStock[Self_Qty],T_SelfStock[RM_Code],$A15,T_SelfStock[WeekIndex],77)+SUMIFS(T_TTAFStock[TTAF_Qty],T_TTAFStock[RM_Code],$A15,T_TTAFStock[WeekIndex],77),BY15+'Grid_Incoming'!BZ15-'Grid_Requirement'!BZ15))</f>
        <v/>
      </c>
      <c r="CA15">
        <f>IF(COUNTIFS(T_StockCount[RM_Code],$A15,T_StockCount[WeekIndex],78)&gt;0,SUMIFS(T_StockCount[CountedQty],T_StockCount[RM_Code],$A15,T_StockCount[WeekIndex],78),IF((COUNTIFS(T_SelfStock[RM_Code],$A15,T_SelfStock[WeekIndex],78)&gt;0)*(COUNTIFS(T_TTAFStock[RM_Code],$A15,T_TTAFStock[WeekIndex],78)&gt;0)&gt;0,SUMIFS(T_SelfStock[Self_Qty],T_SelfStock[RM_Code],$A15,T_SelfStock[WeekIndex],78)+SUMIFS(T_TTAFStock[TTAF_Qty],T_TTAFStock[RM_Code],$A15,T_TTAFStock[WeekIndex],78),BZ15+'Grid_Incoming'!CA15-'Grid_Requirement'!CA15))</f>
        <v/>
      </c>
      <c r="CB15">
        <f>IF(COUNTIFS(T_StockCount[RM_Code],$A15,T_StockCount[WeekIndex],79)&gt;0,SUMIFS(T_StockCount[CountedQty],T_StockCount[RM_Code],$A15,T_StockCount[WeekIndex],79),IF((COUNTIFS(T_SelfStock[RM_Code],$A15,T_SelfStock[WeekIndex],79)&gt;0)*(COUNTIFS(T_TTAFStock[RM_Code],$A15,T_TTAFStock[WeekIndex],79)&gt;0)&gt;0,SUMIFS(T_SelfStock[Self_Qty],T_SelfStock[RM_Code],$A15,T_SelfStock[WeekIndex],79)+SUMIFS(T_TTAFStock[TTAF_Qty],T_TTAFStock[RM_Code],$A15,T_TTAFStock[WeekIndex],79),CA15+'Grid_Incoming'!CB15-'Grid_Requirement'!CB15))</f>
        <v/>
      </c>
      <c r="CC15">
        <f>IF(COUNTIFS(T_StockCount[RM_Code],$A15,T_StockCount[WeekIndex],80)&gt;0,SUMIFS(T_StockCount[CountedQty],T_StockCount[RM_Code],$A15,T_StockCount[WeekIndex],80),IF((COUNTIFS(T_SelfStock[RM_Code],$A15,T_SelfStock[WeekIndex],80)&gt;0)*(COUNTIFS(T_TTAFStock[RM_Code],$A15,T_TTAFStock[WeekIndex],80)&gt;0)&gt;0,SUMIFS(T_SelfStock[Self_Qty],T_SelfStock[RM_Code],$A15,T_SelfStock[WeekIndex],80)+SUMIFS(T_TTAFStock[TTAF_Qty],T_TTAFStock[RM_Code],$A15,T_TTAFStock[WeekIndex],80),CB15+'Grid_Incoming'!CC15-'Grid_Requirement'!CC15))</f>
        <v/>
      </c>
      <c r="CD15">
        <f>IF(COUNTIFS(T_StockCount[RM_Code],$A15,T_StockCount[WeekIndex],81)&gt;0,SUMIFS(T_StockCount[CountedQty],T_StockCount[RM_Code],$A15,T_StockCount[WeekIndex],81),IF((COUNTIFS(T_SelfStock[RM_Code],$A15,T_SelfStock[WeekIndex],81)&gt;0)*(COUNTIFS(T_TTAFStock[RM_Code],$A15,T_TTAFStock[WeekIndex],81)&gt;0)&gt;0,SUMIFS(T_SelfStock[Self_Qty],T_SelfStock[RM_Code],$A15,T_SelfStock[WeekIndex],81)+SUMIFS(T_TTAFStock[TTAF_Qty],T_TTAFStock[RM_Code],$A15,T_TTAFStock[WeekIndex],81),CC15+'Grid_Incoming'!CD15-'Grid_Requirement'!CD15))</f>
        <v/>
      </c>
      <c r="CE15">
        <f>IF(COUNTIFS(T_StockCount[RM_Code],$A15,T_StockCount[WeekIndex],82)&gt;0,SUMIFS(T_StockCount[CountedQty],T_StockCount[RM_Code],$A15,T_StockCount[WeekIndex],82),IF((COUNTIFS(T_SelfStock[RM_Code],$A15,T_SelfStock[WeekIndex],82)&gt;0)*(COUNTIFS(T_TTAFStock[RM_Code],$A15,T_TTAFStock[WeekIndex],82)&gt;0)&gt;0,SUMIFS(T_SelfStock[Self_Qty],T_SelfStock[RM_Code],$A15,T_SelfStock[WeekIndex],82)+SUMIFS(T_TTAFStock[TTAF_Qty],T_TTAFStock[RM_Code],$A15,T_TTAFStock[WeekIndex],82),CD15+'Grid_Incoming'!CE15-'Grid_Requirement'!CE15))</f>
        <v/>
      </c>
      <c r="CF15">
        <f>IF(COUNTIFS(T_StockCount[RM_Code],$A15,T_StockCount[WeekIndex],83)&gt;0,SUMIFS(T_StockCount[CountedQty],T_StockCount[RM_Code],$A15,T_StockCount[WeekIndex],83),IF((COUNTIFS(T_SelfStock[RM_Code],$A15,T_SelfStock[WeekIndex],83)&gt;0)*(COUNTIFS(T_TTAFStock[RM_Code],$A15,T_TTAFStock[WeekIndex],83)&gt;0)&gt;0,SUMIFS(T_SelfStock[Self_Qty],T_SelfStock[RM_Code],$A15,T_SelfStock[WeekIndex],83)+SUMIFS(T_TTAFStock[TTAF_Qty],T_TTAFStock[RM_Code],$A15,T_TTAFStock[WeekIndex],83),CE15+'Grid_Incoming'!CF15-'Grid_Requirement'!CF15))</f>
        <v/>
      </c>
      <c r="CG15">
        <f>IF(COUNTIFS(T_StockCount[RM_Code],$A15,T_StockCount[WeekIndex],84)&gt;0,SUMIFS(T_StockCount[CountedQty],T_StockCount[RM_Code],$A15,T_StockCount[WeekIndex],84),IF((COUNTIFS(T_SelfStock[RM_Code],$A15,T_SelfStock[WeekIndex],84)&gt;0)*(COUNTIFS(T_TTAFStock[RM_Code],$A15,T_TTAFStock[WeekIndex],84)&gt;0)&gt;0,SUMIFS(T_SelfStock[Self_Qty],T_SelfStock[RM_Code],$A15,T_SelfStock[WeekIndex],84)+SUMIFS(T_TTAFStock[TTAF_Qty],T_TTAFStock[RM_Code],$A15,T_TTAFStock[WeekIndex],84),CF15+'Grid_Incoming'!CG15-'Grid_Requirement'!CG15))</f>
        <v/>
      </c>
      <c r="CH15">
        <f>IF(COUNTIFS(T_StockCount[RM_Code],$A15,T_StockCount[WeekIndex],85)&gt;0,SUMIFS(T_StockCount[CountedQty],T_StockCount[RM_Code],$A15,T_StockCount[WeekIndex],85),IF((COUNTIFS(T_SelfStock[RM_Code],$A15,T_SelfStock[WeekIndex],85)&gt;0)*(COUNTIFS(T_TTAFStock[RM_Code],$A15,T_TTAFStock[WeekIndex],85)&gt;0)&gt;0,SUMIFS(T_SelfStock[Self_Qty],T_SelfStock[RM_Code],$A15,T_SelfStock[WeekIndex],85)+SUMIFS(T_TTAFStock[TTAF_Qty],T_TTAFStock[RM_Code],$A15,T_TTAFStock[WeekIndex],85),CG15+'Grid_Incoming'!CH15-'Grid_Requirement'!CH15))</f>
        <v/>
      </c>
      <c r="CI15">
        <f>IF(COUNTIFS(T_StockCount[RM_Code],$A15,T_StockCount[WeekIndex],86)&gt;0,SUMIFS(T_StockCount[CountedQty],T_StockCount[RM_Code],$A15,T_StockCount[WeekIndex],86),IF((COUNTIFS(T_SelfStock[RM_Code],$A15,T_SelfStock[WeekIndex],86)&gt;0)*(COUNTIFS(T_TTAFStock[RM_Code],$A15,T_TTAFStock[WeekIndex],86)&gt;0)&gt;0,SUMIFS(T_SelfStock[Self_Qty],T_SelfStock[RM_Code],$A15,T_SelfStock[WeekIndex],86)+SUMIFS(T_TTAFStock[TTAF_Qty],T_TTAFStock[RM_Code],$A15,T_TTAFStock[WeekIndex],86),CH15+'Grid_Incoming'!CI15-'Grid_Requirement'!CI15))</f>
        <v/>
      </c>
      <c r="CJ15">
        <f>IF(COUNTIFS(T_StockCount[RM_Code],$A15,T_StockCount[WeekIndex],87)&gt;0,SUMIFS(T_StockCount[CountedQty],T_StockCount[RM_Code],$A15,T_StockCount[WeekIndex],87),IF((COUNTIFS(T_SelfStock[RM_Code],$A15,T_SelfStock[WeekIndex],87)&gt;0)*(COUNTIFS(T_TTAFStock[RM_Code],$A15,T_TTAFStock[WeekIndex],87)&gt;0)&gt;0,SUMIFS(T_SelfStock[Self_Qty],T_SelfStock[RM_Code],$A15,T_SelfStock[WeekIndex],87)+SUMIFS(T_TTAFStock[TTAF_Qty],T_TTAFStock[RM_Code],$A15,T_TTAFStock[WeekIndex],87),CI15+'Grid_Incoming'!CJ15-'Grid_Requirement'!CJ15))</f>
        <v/>
      </c>
      <c r="CK15">
        <f>IF(COUNTIFS(T_StockCount[RM_Code],$A15,T_StockCount[WeekIndex],88)&gt;0,SUMIFS(T_StockCount[CountedQty],T_StockCount[RM_Code],$A15,T_StockCount[WeekIndex],88),IF((COUNTIFS(T_SelfStock[RM_Code],$A15,T_SelfStock[WeekIndex],88)&gt;0)*(COUNTIFS(T_TTAFStock[RM_Code],$A15,T_TTAFStock[WeekIndex],88)&gt;0)&gt;0,SUMIFS(T_SelfStock[Self_Qty],T_SelfStock[RM_Code],$A15,T_SelfStock[WeekIndex],88)+SUMIFS(T_TTAFStock[TTAF_Qty],T_TTAFStock[RM_Code],$A15,T_TTAFStock[WeekIndex],88),CJ15+'Grid_Incoming'!CK15-'Grid_Requirement'!CK15))</f>
        <v/>
      </c>
      <c r="CL15">
        <f>IF(COUNTIFS(T_StockCount[RM_Code],$A15,T_StockCount[WeekIndex],89)&gt;0,SUMIFS(T_StockCount[CountedQty],T_StockCount[RM_Code],$A15,T_StockCount[WeekIndex],89),IF((COUNTIFS(T_SelfStock[RM_Code],$A15,T_SelfStock[WeekIndex],89)&gt;0)*(COUNTIFS(T_TTAFStock[RM_Code],$A15,T_TTAFStock[WeekIndex],89)&gt;0)&gt;0,SUMIFS(T_SelfStock[Self_Qty],T_SelfStock[RM_Code],$A15,T_SelfStock[WeekIndex],89)+SUMIFS(T_TTAFStock[TTAF_Qty],T_TTAFStock[RM_Code],$A15,T_TTAFStock[WeekIndex],89),CK15+'Grid_Incoming'!CL15-'Grid_Requirement'!CL15))</f>
        <v/>
      </c>
      <c r="CM15">
        <f>IF(COUNTIFS(T_StockCount[RM_Code],$A15,T_StockCount[WeekIndex],90)&gt;0,SUMIFS(T_StockCount[CountedQty],T_StockCount[RM_Code],$A15,T_StockCount[WeekIndex],90),IF((COUNTIFS(T_SelfStock[RM_Code],$A15,T_SelfStock[WeekIndex],90)&gt;0)*(COUNTIFS(T_TTAFStock[RM_Code],$A15,T_TTAFStock[WeekIndex],90)&gt;0)&gt;0,SUMIFS(T_SelfStock[Self_Qty],T_SelfStock[RM_Code],$A15,T_SelfStock[WeekIndex],90)+SUMIFS(T_TTAFStock[TTAF_Qty],T_TTAFStock[RM_Code],$A15,T_TTAFStock[WeekIndex],90),CL15+'Grid_Incoming'!CM15-'Grid_Requirement'!CM15))</f>
        <v/>
      </c>
      <c r="CN15">
        <f>IF(COUNTIFS(T_StockCount[RM_Code],$A15,T_StockCount[WeekIndex],91)&gt;0,SUMIFS(T_StockCount[CountedQty],T_StockCount[RM_Code],$A15,T_StockCount[WeekIndex],91),IF((COUNTIFS(T_SelfStock[RM_Code],$A15,T_SelfStock[WeekIndex],91)&gt;0)*(COUNTIFS(T_TTAFStock[RM_Code],$A15,T_TTAFStock[WeekIndex],91)&gt;0)&gt;0,SUMIFS(T_SelfStock[Self_Qty],T_SelfStock[RM_Code],$A15,T_SelfStock[WeekIndex],91)+SUMIFS(T_TTAFStock[TTAF_Qty],T_TTAFStock[RM_Code],$A15,T_TTAFStock[WeekIndex],91),CM15+'Grid_Incoming'!CN15-'Grid_Requirement'!CN15))</f>
        <v/>
      </c>
      <c r="CO15">
        <f>IF(COUNTIFS(T_StockCount[RM_Code],$A15,T_StockCount[WeekIndex],92)&gt;0,SUMIFS(T_StockCount[CountedQty],T_StockCount[RM_Code],$A15,T_StockCount[WeekIndex],92),IF((COUNTIFS(T_SelfStock[RM_Code],$A15,T_SelfStock[WeekIndex],92)&gt;0)*(COUNTIFS(T_TTAFStock[RM_Code],$A15,T_TTAFStock[WeekIndex],92)&gt;0)&gt;0,SUMIFS(T_SelfStock[Self_Qty],T_SelfStock[RM_Code],$A15,T_SelfStock[WeekIndex],92)+SUMIFS(T_TTAFStock[TTAF_Qty],T_TTAFStock[RM_Code],$A15,T_TTAFStock[WeekIndex],92),CN15+'Grid_Incoming'!CO15-'Grid_Requirement'!CO15))</f>
        <v/>
      </c>
      <c r="CP15">
        <f>IF(COUNTIFS(T_StockCount[RM_Code],$A15,T_StockCount[WeekIndex],93)&gt;0,SUMIFS(T_StockCount[CountedQty],T_StockCount[RM_Code],$A15,T_StockCount[WeekIndex],93),IF((COUNTIFS(T_SelfStock[RM_Code],$A15,T_SelfStock[WeekIndex],93)&gt;0)*(COUNTIFS(T_TTAFStock[RM_Code],$A15,T_TTAFStock[WeekIndex],93)&gt;0)&gt;0,SUMIFS(T_SelfStock[Self_Qty],T_SelfStock[RM_Code],$A15,T_SelfStock[WeekIndex],93)+SUMIFS(T_TTAFStock[TTAF_Qty],T_TTAFStock[RM_Code],$A15,T_TTAFStock[WeekIndex],93),CO15+'Grid_Incoming'!CP15-'Grid_Requirement'!CP15))</f>
        <v/>
      </c>
      <c r="CQ15">
        <f>IF(COUNTIFS(T_StockCount[RM_Code],$A15,T_StockCount[WeekIndex],94)&gt;0,SUMIFS(T_StockCount[CountedQty],T_StockCount[RM_Code],$A15,T_StockCount[WeekIndex],94),IF((COUNTIFS(T_SelfStock[RM_Code],$A15,T_SelfStock[WeekIndex],94)&gt;0)*(COUNTIFS(T_TTAFStock[RM_Code],$A15,T_TTAFStock[WeekIndex],94)&gt;0)&gt;0,SUMIFS(T_SelfStock[Self_Qty],T_SelfStock[RM_Code],$A15,T_SelfStock[WeekIndex],94)+SUMIFS(T_TTAFStock[TTAF_Qty],T_TTAFStock[RM_Code],$A15,T_TTAFStock[WeekIndex],94),CP15+'Grid_Incoming'!CQ15-'Grid_Requirement'!CQ15))</f>
        <v/>
      </c>
      <c r="CR15">
        <f>IF(COUNTIFS(T_StockCount[RM_Code],$A15,T_StockCount[WeekIndex],95)&gt;0,SUMIFS(T_StockCount[CountedQty],T_StockCount[RM_Code],$A15,T_StockCount[WeekIndex],95),IF((COUNTIFS(T_SelfStock[RM_Code],$A15,T_SelfStock[WeekIndex],95)&gt;0)*(COUNTIFS(T_TTAFStock[RM_Code],$A15,T_TTAFStock[WeekIndex],95)&gt;0)&gt;0,SUMIFS(T_SelfStock[Self_Qty],T_SelfStock[RM_Code],$A15,T_SelfStock[WeekIndex],95)+SUMIFS(T_TTAFStock[TTAF_Qty],T_TTAFStock[RM_Code],$A15,T_TTAFStock[WeekIndex],95),CQ15+'Grid_Incoming'!CR15-'Grid_Requirement'!CR15))</f>
        <v/>
      </c>
      <c r="CS15">
        <f>IF(COUNTIFS(T_StockCount[RM_Code],$A15,T_StockCount[WeekIndex],96)&gt;0,SUMIFS(T_StockCount[CountedQty],T_StockCount[RM_Code],$A15,T_StockCount[WeekIndex],96),IF((COUNTIFS(T_SelfStock[RM_Code],$A15,T_SelfStock[WeekIndex],96)&gt;0)*(COUNTIFS(T_TTAFStock[RM_Code],$A15,T_TTAFStock[WeekIndex],96)&gt;0)&gt;0,SUMIFS(T_SelfStock[Self_Qty],T_SelfStock[RM_Code],$A15,T_SelfStock[WeekIndex],96)+SUMIFS(T_TTAFStock[TTAF_Qty],T_TTAFStock[RM_Code],$A15,T_TTAFStock[WeekIndex],96),CR15+'Grid_Incoming'!CS15-'Grid_Requirement'!CS15))</f>
        <v/>
      </c>
      <c r="CT15">
        <f>IF(COUNTIFS(T_StockCount[RM_Code],$A15,T_StockCount[WeekIndex],97)&gt;0,SUMIFS(T_StockCount[CountedQty],T_StockCount[RM_Code],$A15,T_StockCount[WeekIndex],97),IF((COUNTIFS(T_SelfStock[RM_Code],$A15,T_SelfStock[WeekIndex],97)&gt;0)*(COUNTIFS(T_TTAFStock[RM_Code],$A15,T_TTAFStock[WeekIndex],97)&gt;0)&gt;0,SUMIFS(T_SelfStock[Self_Qty],T_SelfStock[RM_Code],$A15,T_SelfStock[WeekIndex],97)+SUMIFS(T_TTAFStock[TTAF_Qty],T_TTAFStock[RM_Code],$A15,T_TTAFStock[WeekIndex],97),CS15+'Grid_Incoming'!CT15-'Grid_Requirement'!CT15))</f>
        <v/>
      </c>
      <c r="CU15">
        <f>IF(COUNTIFS(T_StockCount[RM_Code],$A15,T_StockCount[WeekIndex],98)&gt;0,SUMIFS(T_StockCount[CountedQty],T_StockCount[RM_Code],$A15,T_StockCount[WeekIndex],98),IF((COUNTIFS(T_SelfStock[RM_Code],$A15,T_SelfStock[WeekIndex],98)&gt;0)*(COUNTIFS(T_TTAFStock[RM_Code],$A15,T_TTAFStock[WeekIndex],98)&gt;0)&gt;0,SUMIFS(T_SelfStock[Self_Qty],T_SelfStock[RM_Code],$A15,T_SelfStock[WeekIndex],98)+SUMIFS(T_TTAFStock[TTAF_Qty],T_TTAFStock[RM_Code],$A15,T_TTAFStock[WeekIndex],98),CT15+'Grid_Incoming'!CU15-'Grid_Requirement'!CU15))</f>
        <v/>
      </c>
      <c r="CV15">
        <f>IF(COUNTIFS(T_StockCount[RM_Code],$A15,T_StockCount[WeekIndex],99)&gt;0,SUMIFS(T_StockCount[CountedQty],T_StockCount[RM_Code],$A15,T_StockCount[WeekIndex],99),IF((COUNTIFS(T_SelfStock[RM_Code],$A15,T_SelfStock[WeekIndex],99)&gt;0)*(COUNTIFS(T_TTAFStock[RM_Code],$A15,T_TTAFStock[WeekIndex],99)&gt;0)&gt;0,SUMIFS(T_SelfStock[Self_Qty],T_SelfStock[RM_Code],$A15,T_SelfStock[WeekIndex],99)+SUMIFS(T_TTAFStock[TTAF_Qty],T_TTAFStock[RM_Code],$A15,T_TTAFStock[WeekIndex],99),CU15+'Grid_Incoming'!CV15-'Grid_Requirement'!CV15))</f>
        <v/>
      </c>
      <c r="CW15">
        <f>IF(COUNTIFS(T_StockCount[RM_Code],$A15,T_StockCount[WeekIndex],100)&gt;0,SUMIFS(T_StockCount[CountedQty],T_StockCount[RM_Code],$A15,T_StockCount[WeekIndex],100),IF((COUNTIFS(T_SelfStock[RM_Code],$A15,T_SelfStock[WeekIndex],100)&gt;0)*(COUNTIFS(T_TTAFStock[RM_Code],$A15,T_TTAFStock[WeekIndex],100)&gt;0)&gt;0,SUMIFS(T_SelfStock[Self_Qty],T_SelfStock[RM_Code],$A15,T_SelfStock[WeekIndex],100)+SUMIFS(T_TTAFStock[TTAF_Qty],T_TTAFStock[RM_Code],$A15,T_TTAFStock[WeekIndex],100),CV15+'Grid_Incoming'!CW15-'Grid_Requirement'!CW15))</f>
        <v/>
      </c>
      <c r="CX15">
        <f>IF(COUNTIFS(T_StockCount[RM_Code],$A15,T_StockCount[WeekIndex],101)&gt;0,SUMIFS(T_StockCount[CountedQty],T_StockCount[RM_Code],$A15,T_StockCount[WeekIndex],101),IF((COUNTIFS(T_SelfStock[RM_Code],$A15,T_SelfStock[WeekIndex],101)&gt;0)*(COUNTIFS(T_TTAFStock[RM_Code],$A15,T_TTAFStock[WeekIndex],101)&gt;0)&gt;0,SUMIFS(T_SelfStock[Self_Qty],T_SelfStock[RM_Code],$A15,T_SelfStock[WeekIndex],101)+SUMIFS(T_TTAFStock[TTAF_Qty],T_TTAFStock[RM_Code],$A15,T_TTAFStock[WeekIndex],101),CW15+'Grid_Incoming'!CX15-'Grid_Requirement'!CX15))</f>
        <v/>
      </c>
      <c r="CY15">
        <f>IF(COUNTIFS(T_StockCount[RM_Code],$A15,T_StockCount[WeekIndex],102)&gt;0,SUMIFS(T_StockCount[CountedQty],T_StockCount[RM_Code],$A15,T_StockCount[WeekIndex],102),IF((COUNTIFS(T_SelfStock[RM_Code],$A15,T_SelfStock[WeekIndex],102)&gt;0)*(COUNTIFS(T_TTAFStock[RM_Code],$A15,T_TTAFStock[WeekIndex],102)&gt;0)&gt;0,SUMIFS(T_SelfStock[Self_Qty],T_SelfStock[RM_Code],$A15,T_SelfStock[WeekIndex],102)+SUMIFS(T_TTAFStock[TTAF_Qty],T_TTAFStock[RM_Code],$A15,T_TTAFStock[WeekIndex],102),CX15+'Grid_Incoming'!CY15-'Grid_Requirement'!CY15))</f>
        <v/>
      </c>
      <c r="CZ15">
        <f>IF(COUNTIFS(T_StockCount[RM_Code],$A15,T_StockCount[WeekIndex],103)&gt;0,SUMIFS(T_StockCount[CountedQty],T_StockCount[RM_Code],$A15,T_StockCount[WeekIndex],103),IF((COUNTIFS(T_SelfStock[RM_Code],$A15,T_SelfStock[WeekIndex],103)&gt;0)*(COUNTIFS(T_TTAFStock[RM_Code],$A15,T_TTAFStock[WeekIndex],103)&gt;0)&gt;0,SUMIFS(T_SelfStock[Self_Qty],T_SelfStock[RM_Code],$A15,T_SelfStock[WeekIndex],103)+SUMIFS(T_TTAFStock[TTAF_Qty],T_TTAFStock[RM_Code],$A15,T_TTAFStock[WeekIndex],103),CY15+'Grid_Incoming'!CZ15-'Grid_Requirement'!CZ15))</f>
        <v/>
      </c>
      <c r="DA15">
        <f>IF(COUNTIFS(T_StockCount[RM_Code],$A15,T_StockCount[WeekIndex],104)&gt;0,SUMIFS(T_StockCount[CountedQty],T_StockCount[RM_Code],$A15,T_StockCount[WeekIndex],104),IF((COUNTIFS(T_SelfStock[RM_Code],$A15,T_SelfStock[WeekIndex],104)&gt;0)*(COUNTIFS(T_TTAFStock[RM_Code],$A15,T_TTAFStock[WeekIndex],104)&gt;0)&gt;0,SUMIFS(T_SelfStock[Self_Qty],T_SelfStock[RM_Code],$A15,T_SelfStock[WeekIndex],104)+SUMIFS(T_TTAFStock[TTAF_Qty],T_TTAFStock[RM_Code],$A15,T_TTAFStock[WeekIndex],104),CZ15+'Grid_Incoming'!DA15-'Grid_Requirement'!DA15))</f>
        <v/>
      </c>
    </row>
    <row r="16">
      <c r="A16" t="inlineStr">
        <is>
          <t>7EP</t>
        </is>
      </c>
      <c r="B16">
        <f>IF(COUNTIFS(T_StockCount[RM_Code],$A16,T_StockCount[WeekIndex],1)&gt;0,SUMIFS(T_StockCount[CountedQty],T_StockCount[RM_Code],$A16,T_StockCount[WeekIndex],1),IF((COUNTIFS(T_SelfStock[RM_Code],$A16,T_SelfStock[WeekIndex],1)&gt;0)*(COUNTIFS(T_TTAFStock[RM_Code],$A16,T_TTAFStock[WeekIndex],1)&gt;0)&gt;0,SUMIFS(T_SelfStock[Self_Qty],T_SelfStock[RM_Code],$A16,T_SelfStock[WeekIndex],1)+SUMIFS(T_TTAFStock[TTAF_Qty],T_TTAFStock[RM_Code],$A16,T_TTAFStock[WeekIndex],1),IFERROR(INDEX(T_OpeningStock[Opening_Qty],MATCH($A16,T_OpeningStock[RM_Code],0)),0)+'Grid_Incoming'!B16-'Grid_Requirement'!B16))</f>
        <v/>
      </c>
      <c r="C16">
        <f>IF(COUNTIFS(T_StockCount[RM_Code],$A16,T_StockCount[WeekIndex],2)&gt;0,SUMIFS(T_StockCount[CountedQty],T_StockCount[RM_Code],$A16,T_StockCount[WeekIndex],2),IF((COUNTIFS(T_SelfStock[RM_Code],$A16,T_SelfStock[WeekIndex],2)&gt;0)*(COUNTIFS(T_TTAFStock[RM_Code],$A16,T_TTAFStock[WeekIndex],2)&gt;0)&gt;0,SUMIFS(T_SelfStock[Self_Qty],T_SelfStock[RM_Code],$A16,T_SelfStock[WeekIndex],2)+SUMIFS(T_TTAFStock[TTAF_Qty],T_TTAFStock[RM_Code],$A16,T_TTAFStock[WeekIndex],2),B16+'Grid_Incoming'!C16-'Grid_Requirement'!C16))</f>
        <v/>
      </c>
      <c r="D16">
        <f>IF(COUNTIFS(T_StockCount[RM_Code],$A16,T_StockCount[WeekIndex],3)&gt;0,SUMIFS(T_StockCount[CountedQty],T_StockCount[RM_Code],$A16,T_StockCount[WeekIndex],3),IF((COUNTIFS(T_SelfStock[RM_Code],$A16,T_SelfStock[WeekIndex],3)&gt;0)*(COUNTIFS(T_TTAFStock[RM_Code],$A16,T_TTAFStock[WeekIndex],3)&gt;0)&gt;0,SUMIFS(T_SelfStock[Self_Qty],T_SelfStock[RM_Code],$A16,T_SelfStock[WeekIndex],3)+SUMIFS(T_TTAFStock[TTAF_Qty],T_TTAFStock[RM_Code],$A16,T_TTAFStock[WeekIndex],3),C16+'Grid_Incoming'!D16-'Grid_Requirement'!D16))</f>
        <v/>
      </c>
      <c r="E16">
        <f>IF(COUNTIFS(T_StockCount[RM_Code],$A16,T_StockCount[WeekIndex],4)&gt;0,SUMIFS(T_StockCount[CountedQty],T_StockCount[RM_Code],$A16,T_StockCount[WeekIndex],4),IF((COUNTIFS(T_SelfStock[RM_Code],$A16,T_SelfStock[WeekIndex],4)&gt;0)*(COUNTIFS(T_TTAFStock[RM_Code],$A16,T_TTAFStock[WeekIndex],4)&gt;0)&gt;0,SUMIFS(T_SelfStock[Self_Qty],T_SelfStock[RM_Code],$A16,T_SelfStock[WeekIndex],4)+SUMIFS(T_TTAFStock[TTAF_Qty],T_TTAFStock[RM_Code],$A16,T_TTAFStock[WeekIndex],4),D16+'Grid_Incoming'!E16-'Grid_Requirement'!E16))</f>
        <v/>
      </c>
      <c r="F16">
        <f>IF(COUNTIFS(T_StockCount[RM_Code],$A16,T_StockCount[WeekIndex],5)&gt;0,SUMIFS(T_StockCount[CountedQty],T_StockCount[RM_Code],$A16,T_StockCount[WeekIndex],5),IF((COUNTIFS(T_SelfStock[RM_Code],$A16,T_SelfStock[WeekIndex],5)&gt;0)*(COUNTIFS(T_TTAFStock[RM_Code],$A16,T_TTAFStock[WeekIndex],5)&gt;0)&gt;0,SUMIFS(T_SelfStock[Self_Qty],T_SelfStock[RM_Code],$A16,T_SelfStock[WeekIndex],5)+SUMIFS(T_TTAFStock[TTAF_Qty],T_TTAFStock[RM_Code],$A16,T_TTAFStock[WeekIndex],5),E16+'Grid_Incoming'!F16-'Grid_Requirement'!F16))</f>
        <v/>
      </c>
      <c r="G16">
        <f>IF(COUNTIFS(T_StockCount[RM_Code],$A16,T_StockCount[WeekIndex],6)&gt;0,SUMIFS(T_StockCount[CountedQty],T_StockCount[RM_Code],$A16,T_StockCount[WeekIndex],6),IF((COUNTIFS(T_SelfStock[RM_Code],$A16,T_SelfStock[WeekIndex],6)&gt;0)*(COUNTIFS(T_TTAFStock[RM_Code],$A16,T_TTAFStock[WeekIndex],6)&gt;0)&gt;0,SUMIFS(T_SelfStock[Self_Qty],T_SelfStock[RM_Code],$A16,T_SelfStock[WeekIndex],6)+SUMIFS(T_TTAFStock[TTAF_Qty],T_TTAFStock[RM_Code],$A16,T_TTAFStock[WeekIndex],6),F16+'Grid_Incoming'!G16-'Grid_Requirement'!G16))</f>
        <v/>
      </c>
      <c r="H16">
        <f>IF(COUNTIFS(T_StockCount[RM_Code],$A16,T_StockCount[WeekIndex],7)&gt;0,SUMIFS(T_StockCount[CountedQty],T_StockCount[RM_Code],$A16,T_StockCount[WeekIndex],7),IF((COUNTIFS(T_SelfStock[RM_Code],$A16,T_SelfStock[WeekIndex],7)&gt;0)*(COUNTIFS(T_TTAFStock[RM_Code],$A16,T_TTAFStock[WeekIndex],7)&gt;0)&gt;0,SUMIFS(T_SelfStock[Self_Qty],T_SelfStock[RM_Code],$A16,T_SelfStock[WeekIndex],7)+SUMIFS(T_TTAFStock[TTAF_Qty],T_TTAFStock[RM_Code],$A16,T_TTAFStock[WeekIndex],7),G16+'Grid_Incoming'!H16-'Grid_Requirement'!H16))</f>
        <v/>
      </c>
      <c r="I16">
        <f>IF(COUNTIFS(T_StockCount[RM_Code],$A16,T_StockCount[WeekIndex],8)&gt;0,SUMIFS(T_StockCount[CountedQty],T_StockCount[RM_Code],$A16,T_StockCount[WeekIndex],8),IF((COUNTIFS(T_SelfStock[RM_Code],$A16,T_SelfStock[WeekIndex],8)&gt;0)*(COUNTIFS(T_TTAFStock[RM_Code],$A16,T_TTAFStock[WeekIndex],8)&gt;0)&gt;0,SUMIFS(T_SelfStock[Self_Qty],T_SelfStock[RM_Code],$A16,T_SelfStock[WeekIndex],8)+SUMIFS(T_TTAFStock[TTAF_Qty],T_TTAFStock[RM_Code],$A16,T_TTAFStock[WeekIndex],8),H16+'Grid_Incoming'!I16-'Grid_Requirement'!I16))</f>
        <v/>
      </c>
      <c r="J16">
        <f>IF(COUNTIFS(T_StockCount[RM_Code],$A16,T_StockCount[WeekIndex],9)&gt;0,SUMIFS(T_StockCount[CountedQty],T_StockCount[RM_Code],$A16,T_StockCount[WeekIndex],9),IF((COUNTIFS(T_SelfStock[RM_Code],$A16,T_SelfStock[WeekIndex],9)&gt;0)*(COUNTIFS(T_TTAFStock[RM_Code],$A16,T_TTAFStock[WeekIndex],9)&gt;0)&gt;0,SUMIFS(T_SelfStock[Self_Qty],T_SelfStock[RM_Code],$A16,T_SelfStock[WeekIndex],9)+SUMIFS(T_TTAFStock[TTAF_Qty],T_TTAFStock[RM_Code],$A16,T_TTAFStock[WeekIndex],9),I16+'Grid_Incoming'!J16-'Grid_Requirement'!J16))</f>
        <v/>
      </c>
      <c r="K16">
        <f>IF(COUNTIFS(T_StockCount[RM_Code],$A16,T_StockCount[WeekIndex],10)&gt;0,SUMIFS(T_StockCount[CountedQty],T_StockCount[RM_Code],$A16,T_StockCount[WeekIndex],10),IF((COUNTIFS(T_SelfStock[RM_Code],$A16,T_SelfStock[WeekIndex],10)&gt;0)*(COUNTIFS(T_TTAFStock[RM_Code],$A16,T_TTAFStock[WeekIndex],10)&gt;0)&gt;0,SUMIFS(T_SelfStock[Self_Qty],T_SelfStock[RM_Code],$A16,T_SelfStock[WeekIndex],10)+SUMIFS(T_TTAFStock[TTAF_Qty],T_TTAFStock[RM_Code],$A16,T_TTAFStock[WeekIndex],10),J16+'Grid_Incoming'!K16-'Grid_Requirement'!K16))</f>
        <v/>
      </c>
      <c r="L16">
        <f>IF(COUNTIFS(T_StockCount[RM_Code],$A16,T_StockCount[WeekIndex],11)&gt;0,SUMIFS(T_StockCount[CountedQty],T_StockCount[RM_Code],$A16,T_StockCount[WeekIndex],11),IF((COUNTIFS(T_SelfStock[RM_Code],$A16,T_SelfStock[WeekIndex],11)&gt;0)*(COUNTIFS(T_TTAFStock[RM_Code],$A16,T_TTAFStock[WeekIndex],11)&gt;0)&gt;0,SUMIFS(T_SelfStock[Self_Qty],T_SelfStock[RM_Code],$A16,T_SelfStock[WeekIndex],11)+SUMIFS(T_TTAFStock[TTAF_Qty],T_TTAFStock[RM_Code],$A16,T_TTAFStock[WeekIndex],11),K16+'Grid_Incoming'!L16-'Grid_Requirement'!L16))</f>
        <v/>
      </c>
      <c r="M16">
        <f>IF(COUNTIFS(T_StockCount[RM_Code],$A16,T_StockCount[WeekIndex],12)&gt;0,SUMIFS(T_StockCount[CountedQty],T_StockCount[RM_Code],$A16,T_StockCount[WeekIndex],12),IF((COUNTIFS(T_SelfStock[RM_Code],$A16,T_SelfStock[WeekIndex],12)&gt;0)*(COUNTIFS(T_TTAFStock[RM_Code],$A16,T_TTAFStock[WeekIndex],12)&gt;0)&gt;0,SUMIFS(T_SelfStock[Self_Qty],T_SelfStock[RM_Code],$A16,T_SelfStock[WeekIndex],12)+SUMIFS(T_TTAFStock[TTAF_Qty],T_TTAFStock[RM_Code],$A16,T_TTAFStock[WeekIndex],12),L16+'Grid_Incoming'!M16-'Grid_Requirement'!M16))</f>
        <v/>
      </c>
      <c r="N16">
        <f>IF(COUNTIFS(T_StockCount[RM_Code],$A16,T_StockCount[WeekIndex],13)&gt;0,SUMIFS(T_StockCount[CountedQty],T_StockCount[RM_Code],$A16,T_StockCount[WeekIndex],13),IF((COUNTIFS(T_SelfStock[RM_Code],$A16,T_SelfStock[WeekIndex],13)&gt;0)*(COUNTIFS(T_TTAFStock[RM_Code],$A16,T_TTAFStock[WeekIndex],13)&gt;0)&gt;0,SUMIFS(T_SelfStock[Self_Qty],T_SelfStock[RM_Code],$A16,T_SelfStock[WeekIndex],13)+SUMIFS(T_TTAFStock[TTAF_Qty],T_TTAFStock[RM_Code],$A16,T_TTAFStock[WeekIndex],13),M16+'Grid_Incoming'!N16-'Grid_Requirement'!N16))</f>
        <v/>
      </c>
      <c r="O16">
        <f>IF(COUNTIFS(T_StockCount[RM_Code],$A16,T_StockCount[WeekIndex],14)&gt;0,SUMIFS(T_StockCount[CountedQty],T_StockCount[RM_Code],$A16,T_StockCount[WeekIndex],14),IF((COUNTIFS(T_SelfStock[RM_Code],$A16,T_SelfStock[WeekIndex],14)&gt;0)*(COUNTIFS(T_TTAFStock[RM_Code],$A16,T_TTAFStock[WeekIndex],14)&gt;0)&gt;0,SUMIFS(T_SelfStock[Self_Qty],T_SelfStock[RM_Code],$A16,T_SelfStock[WeekIndex],14)+SUMIFS(T_TTAFStock[TTAF_Qty],T_TTAFStock[RM_Code],$A16,T_TTAFStock[WeekIndex],14),N16+'Grid_Incoming'!O16-'Grid_Requirement'!O16))</f>
        <v/>
      </c>
      <c r="P16">
        <f>IF(COUNTIFS(T_StockCount[RM_Code],$A16,T_StockCount[WeekIndex],15)&gt;0,SUMIFS(T_StockCount[CountedQty],T_StockCount[RM_Code],$A16,T_StockCount[WeekIndex],15),IF((COUNTIFS(T_SelfStock[RM_Code],$A16,T_SelfStock[WeekIndex],15)&gt;0)*(COUNTIFS(T_TTAFStock[RM_Code],$A16,T_TTAFStock[WeekIndex],15)&gt;0)&gt;0,SUMIFS(T_SelfStock[Self_Qty],T_SelfStock[RM_Code],$A16,T_SelfStock[WeekIndex],15)+SUMIFS(T_TTAFStock[TTAF_Qty],T_TTAFStock[RM_Code],$A16,T_TTAFStock[WeekIndex],15),O16+'Grid_Incoming'!P16-'Grid_Requirement'!P16))</f>
        <v/>
      </c>
      <c r="Q16">
        <f>IF(COUNTIFS(T_StockCount[RM_Code],$A16,T_StockCount[WeekIndex],16)&gt;0,SUMIFS(T_StockCount[CountedQty],T_StockCount[RM_Code],$A16,T_StockCount[WeekIndex],16),IF((COUNTIFS(T_SelfStock[RM_Code],$A16,T_SelfStock[WeekIndex],16)&gt;0)*(COUNTIFS(T_TTAFStock[RM_Code],$A16,T_TTAFStock[WeekIndex],16)&gt;0)&gt;0,SUMIFS(T_SelfStock[Self_Qty],T_SelfStock[RM_Code],$A16,T_SelfStock[WeekIndex],16)+SUMIFS(T_TTAFStock[TTAF_Qty],T_TTAFStock[RM_Code],$A16,T_TTAFStock[WeekIndex],16),P16+'Grid_Incoming'!Q16-'Grid_Requirement'!Q16))</f>
        <v/>
      </c>
      <c r="R16">
        <f>IF(COUNTIFS(T_StockCount[RM_Code],$A16,T_StockCount[WeekIndex],17)&gt;0,SUMIFS(T_StockCount[CountedQty],T_StockCount[RM_Code],$A16,T_StockCount[WeekIndex],17),IF((COUNTIFS(T_SelfStock[RM_Code],$A16,T_SelfStock[WeekIndex],17)&gt;0)*(COUNTIFS(T_TTAFStock[RM_Code],$A16,T_TTAFStock[WeekIndex],17)&gt;0)&gt;0,SUMIFS(T_SelfStock[Self_Qty],T_SelfStock[RM_Code],$A16,T_SelfStock[WeekIndex],17)+SUMIFS(T_TTAFStock[TTAF_Qty],T_TTAFStock[RM_Code],$A16,T_TTAFStock[WeekIndex],17),Q16+'Grid_Incoming'!R16-'Grid_Requirement'!R16))</f>
        <v/>
      </c>
      <c r="S16">
        <f>IF(COUNTIFS(T_StockCount[RM_Code],$A16,T_StockCount[WeekIndex],18)&gt;0,SUMIFS(T_StockCount[CountedQty],T_StockCount[RM_Code],$A16,T_StockCount[WeekIndex],18),IF((COUNTIFS(T_SelfStock[RM_Code],$A16,T_SelfStock[WeekIndex],18)&gt;0)*(COUNTIFS(T_TTAFStock[RM_Code],$A16,T_TTAFStock[WeekIndex],18)&gt;0)&gt;0,SUMIFS(T_SelfStock[Self_Qty],T_SelfStock[RM_Code],$A16,T_SelfStock[WeekIndex],18)+SUMIFS(T_TTAFStock[TTAF_Qty],T_TTAFStock[RM_Code],$A16,T_TTAFStock[WeekIndex],18),R16+'Grid_Incoming'!S16-'Grid_Requirement'!S16))</f>
        <v/>
      </c>
      <c r="T16">
        <f>IF(COUNTIFS(T_StockCount[RM_Code],$A16,T_StockCount[WeekIndex],19)&gt;0,SUMIFS(T_StockCount[CountedQty],T_StockCount[RM_Code],$A16,T_StockCount[WeekIndex],19),IF((COUNTIFS(T_SelfStock[RM_Code],$A16,T_SelfStock[WeekIndex],19)&gt;0)*(COUNTIFS(T_TTAFStock[RM_Code],$A16,T_TTAFStock[WeekIndex],19)&gt;0)&gt;0,SUMIFS(T_SelfStock[Self_Qty],T_SelfStock[RM_Code],$A16,T_SelfStock[WeekIndex],19)+SUMIFS(T_TTAFStock[TTAF_Qty],T_TTAFStock[RM_Code],$A16,T_TTAFStock[WeekIndex],19),S16+'Grid_Incoming'!T16-'Grid_Requirement'!T16))</f>
        <v/>
      </c>
      <c r="U16">
        <f>IF(COUNTIFS(T_StockCount[RM_Code],$A16,T_StockCount[WeekIndex],20)&gt;0,SUMIFS(T_StockCount[CountedQty],T_StockCount[RM_Code],$A16,T_StockCount[WeekIndex],20),IF((COUNTIFS(T_SelfStock[RM_Code],$A16,T_SelfStock[WeekIndex],20)&gt;0)*(COUNTIFS(T_TTAFStock[RM_Code],$A16,T_TTAFStock[WeekIndex],20)&gt;0)&gt;0,SUMIFS(T_SelfStock[Self_Qty],T_SelfStock[RM_Code],$A16,T_SelfStock[WeekIndex],20)+SUMIFS(T_TTAFStock[TTAF_Qty],T_TTAFStock[RM_Code],$A16,T_TTAFStock[WeekIndex],20),T16+'Grid_Incoming'!U16-'Grid_Requirement'!U16))</f>
        <v/>
      </c>
      <c r="V16">
        <f>IF(COUNTIFS(T_StockCount[RM_Code],$A16,T_StockCount[WeekIndex],21)&gt;0,SUMIFS(T_StockCount[CountedQty],T_StockCount[RM_Code],$A16,T_StockCount[WeekIndex],21),IF((COUNTIFS(T_SelfStock[RM_Code],$A16,T_SelfStock[WeekIndex],21)&gt;0)*(COUNTIFS(T_TTAFStock[RM_Code],$A16,T_TTAFStock[WeekIndex],21)&gt;0)&gt;0,SUMIFS(T_SelfStock[Self_Qty],T_SelfStock[RM_Code],$A16,T_SelfStock[WeekIndex],21)+SUMIFS(T_TTAFStock[TTAF_Qty],T_TTAFStock[RM_Code],$A16,T_TTAFStock[WeekIndex],21),U16+'Grid_Incoming'!V16-'Grid_Requirement'!V16))</f>
        <v/>
      </c>
      <c r="W16">
        <f>IF(COUNTIFS(T_StockCount[RM_Code],$A16,T_StockCount[WeekIndex],22)&gt;0,SUMIFS(T_StockCount[CountedQty],T_StockCount[RM_Code],$A16,T_StockCount[WeekIndex],22),IF((COUNTIFS(T_SelfStock[RM_Code],$A16,T_SelfStock[WeekIndex],22)&gt;0)*(COUNTIFS(T_TTAFStock[RM_Code],$A16,T_TTAFStock[WeekIndex],22)&gt;0)&gt;0,SUMIFS(T_SelfStock[Self_Qty],T_SelfStock[RM_Code],$A16,T_SelfStock[WeekIndex],22)+SUMIFS(T_TTAFStock[TTAF_Qty],T_TTAFStock[RM_Code],$A16,T_TTAFStock[WeekIndex],22),V16+'Grid_Incoming'!W16-'Grid_Requirement'!W16))</f>
        <v/>
      </c>
      <c r="X16">
        <f>IF(COUNTIFS(T_StockCount[RM_Code],$A16,T_StockCount[WeekIndex],23)&gt;0,SUMIFS(T_StockCount[CountedQty],T_StockCount[RM_Code],$A16,T_StockCount[WeekIndex],23),IF((COUNTIFS(T_SelfStock[RM_Code],$A16,T_SelfStock[WeekIndex],23)&gt;0)*(COUNTIFS(T_TTAFStock[RM_Code],$A16,T_TTAFStock[WeekIndex],23)&gt;0)&gt;0,SUMIFS(T_SelfStock[Self_Qty],T_SelfStock[RM_Code],$A16,T_SelfStock[WeekIndex],23)+SUMIFS(T_TTAFStock[TTAF_Qty],T_TTAFStock[RM_Code],$A16,T_TTAFStock[WeekIndex],23),W16+'Grid_Incoming'!X16-'Grid_Requirement'!X16))</f>
        <v/>
      </c>
      <c r="Y16">
        <f>IF(COUNTIFS(T_StockCount[RM_Code],$A16,T_StockCount[WeekIndex],24)&gt;0,SUMIFS(T_StockCount[CountedQty],T_StockCount[RM_Code],$A16,T_StockCount[WeekIndex],24),IF((COUNTIFS(T_SelfStock[RM_Code],$A16,T_SelfStock[WeekIndex],24)&gt;0)*(COUNTIFS(T_TTAFStock[RM_Code],$A16,T_TTAFStock[WeekIndex],24)&gt;0)&gt;0,SUMIFS(T_SelfStock[Self_Qty],T_SelfStock[RM_Code],$A16,T_SelfStock[WeekIndex],24)+SUMIFS(T_TTAFStock[TTAF_Qty],T_TTAFStock[RM_Code],$A16,T_TTAFStock[WeekIndex],24),X16+'Grid_Incoming'!Y16-'Grid_Requirement'!Y16))</f>
        <v/>
      </c>
      <c r="Z16">
        <f>IF(COUNTIFS(T_StockCount[RM_Code],$A16,T_StockCount[WeekIndex],25)&gt;0,SUMIFS(T_StockCount[CountedQty],T_StockCount[RM_Code],$A16,T_StockCount[WeekIndex],25),IF((COUNTIFS(T_SelfStock[RM_Code],$A16,T_SelfStock[WeekIndex],25)&gt;0)*(COUNTIFS(T_TTAFStock[RM_Code],$A16,T_TTAFStock[WeekIndex],25)&gt;0)&gt;0,SUMIFS(T_SelfStock[Self_Qty],T_SelfStock[RM_Code],$A16,T_SelfStock[WeekIndex],25)+SUMIFS(T_TTAFStock[TTAF_Qty],T_TTAFStock[RM_Code],$A16,T_TTAFStock[WeekIndex],25),Y16+'Grid_Incoming'!Z16-'Grid_Requirement'!Z16))</f>
        <v/>
      </c>
      <c r="AA16">
        <f>IF(COUNTIFS(T_StockCount[RM_Code],$A16,T_StockCount[WeekIndex],26)&gt;0,SUMIFS(T_StockCount[CountedQty],T_StockCount[RM_Code],$A16,T_StockCount[WeekIndex],26),IF((COUNTIFS(T_SelfStock[RM_Code],$A16,T_SelfStock[WeekIndex],26)&gt;0)*(COUNTIFS(T_TTAFStock[RM_Code],$A16,T_TTAFStock[WeekIndex],26)&gt;0)&gt;0,SUMIFS(T_SelfStock[Self_Qty],T_SelfStock[RM_Code],$A16,T_SelfStock[WeekIndex],26)+SUMIFS(T_TTAFStock[TTAF_Qty],T_TTAFStock[RM_Code],$A16,T_TTAFStock[WeekIndex],26),Z16+'Grid_Incoming'!AA16-'Grid_Requirement'!AA16))</f>
        <v/>
      </c>
      <c r="AB16">
        <f>IF(COUNTIFS(T_StockCount[RM_Code],$A16,T_StockCount[WeekIndex],27)&gt;0,SUMIFS(T_StockCount[CountedQty],T_StockCount[RM_Code],$A16,T_StockCount[WeekIndex],27),IF((COUNTIFS(T_SelfStock[RM_Code],$A16,T_SelfStock[WeekIndex],27)&gt;0)*(COUNTIFS(T_TTAFStock[RM_Code],$A16,T_TTAFStock[WeekIndex],27)&gt;0)&gt;0,SUMIFS(T_SelfStock[Self_Qty],T_SelfStock[RM_Code],$A16,T_SelfStock[WeekIndex],27)+SUMIFS(T_TTAFStock[TTAF_Qty],T_TTAFStock[RM_Code],$A16,T_TTAFStock[WeekIndex],27),AA16+'Grid_Incoming'!AB16-'Grid_Requirement'!AB16))</f>
        <v/>
      </c>
      <c r="AC16">
        <f>IF(COUNTIFS(T_StockCount[RM_Code],$A16,T_StockCount[WeekIndex],28)&gt;0,SUMIFS(T_StockCount[CountedQty],T_StockCount[RM_Code],$A16,T_StockCount[WeekIndex],28),IF((COUNTIFS(T_SelfStock[RM_Code],$A16,T_SelfStock[WeekIndex],28)&gt;0)*(COUNTIFS(T_TTAFStock[RM_Code],$A16,T_TTAFStock[WeekIndex],28)&gt;0)&gt;0,SUMIFS(T_SelfStock[Self_Qty],T_SelfStock[RM_Code],$A16,T_SelfStock[WeekIndex],28)+SUMIFS(T_TTAFStock[TTAF_Qty],T_TTAFStock[RM_Code],$A16,T_TTAFStock[WeekIndex],28),AB16+'Grid_Incoming'!AC16-'Grid_Requirement'!AC16))</f>
        <v/>
      </c>
      <c r="AD16">
        <f>IF(COUNTIFS(T_StockCount[RM_Code],$A16,T_StockCount[WeekIndex],29)&gt;0,SUMIFS(T_StockCount[CountedQty],T_StockCount[RM_Code],$A16,T_StockCount[WeekIndex],29),IF((COUNTIFS(T_SelfStock[RM_Code],$A16,T_SelfStock[WeekIndex],29)&gt;0)*(COUNTIFS(T_TTAFStock[RM_Code],$A16,T_TTAFStock[WeekIndex],29)&gt;0)&gt;0,SUMIFS(T_SelfStock[Self_Qty],T_SelfStock[RM_Code],$A16,T_SelfStock[WeekIndex],29)+SUMIFS(T_TTAFStock[TTAF_Qty],T_TTAFStock[RM_Code],$A16,T_TTAFStock[WeekIndex],29),AC16+'Grid_Incoming'!AD16-'Grid_Requirement'!AD16))</f>
        <v/>
      </c>
      <c r="AE16">
        <f>IF(COUNTIFS(T_StockCount[RM_Code],$A16,T_StockCount[WeekIndex],30)&gt;0,SUMIFS(T_StockCount[CountedQty],T_StockCount[RM_Code],$A16,T_StockCount[WeekIndex],30),IF((COUNTIFS(T_SelfStock[RM_Code],$A16,T_SelfStock[WeekIndex],30)&gt;0)*(COUNTIFS(T_TTAFStock[RM_Code],$A16,T_TTAFStock[WeekIndex],30)&gt;0)&gt;0,SUMIFS(T_SelfStock[Self_Qty],T_SelfStock[RM_Code],$A16,T_SelfStock[WeekIndex],30)+SUMIFS(T_TTAFStock[TTAF_Qty],T_TTAFStock[RM_Code],$A16,T_TTAFStock[WeekIndex],30),AD16+'Grid_Incoming'!AE16-'Grid_Requirement'!AE16))</f>
        <v/>
      </c>
      <c r="AF16">
        <f>IF(COUNTIFS(T_StockCount[RM_Code],$A16,T_StockCount[WeekIndex],31)&gt;0,SUMIFS(T_StockCount[CountedQty],T_StockCount[RM_Code],$A16,T_StockCount[WeekIndex],31),IF((COUNTIFS(T_SelfStock[RM_Code],$A16,T_SelfStock[WeekIndex],31)&gt;0)*(COUNTIFS(T_TTAFStock[RM_Code],$A16,T_TTAFStock[WeekIndex],31)&gt;0)&gt;0,SUMIFS(T_SelfStock[Self_Qty],T_SelfStock[RM_Code],$A16,T_SelfStock[WeekIndex],31)+SUMIFS(T_TTAFStock[TTAF_Qty],T_TTAFStock[RM_Code],$A16,T_TTAFStock[WeekIndex],31),AE16+'Grid_Incoming'!AF16-'Grid_Requirement'!AF16))</f>
        <v/>
      </c>
      <c r="AG16">
        <f>IF(COUNTIFS(T_StockCount[RM_Code],$A16,T_StockCount[WeekIndex],32)&gt;0,SUMIFS(T_StockCount[CountedQty],T_StockCount[RM_Code],$A16,T_StockCount[WeekIndex],32),IF((COUNTIFS(T_SelfStock[RM_Code],$A16,T_SelfStock[WeekIndex],32)&gt;0)*(COUNTIFS(T_TTAFStock[RM_Code],$A16,T_TTAFStock[WeekIndex],32)&gt;0)&gt;0,SUMIFS(T_SelfStock[Self_Qty],T_SelfStock[RM_Code],$A16,T_SelfStock[WeekIndex],32)+SUMIFS(T_TTAFStock[TTAF_Qty],T_TTAFStock[RM_Code],$A16,T_TTAFStock[WeekIndex],32),AF16+'Grid_Incoming'!AG16-'Grid_Requirement'!AG16))</f>
        <v/>
      </c>
      <c r="AH16">
        <f>IF(COUNTIFS(T_StockCount[RM_Code],$A16,T_StockCount[WeekIndex],33)&gt;0,SUMIFS(T_StockCount[CountedQty],T_StockCount[RM_Code],$A16,T_StockCount[WeekIndex],33),IF((COUNTIFS(T_SelfStock[RM_Code],$A16,T_SelfStock[WeekIndex],33)&gt;0)*(COUNTIFS(T_TTAFStock[RM_Code],$A16,T_TTAFStock[WeekIndex],33)&gt;0)&gt;0,SUMIFS(T_SelfStock[Self_Qty],T_SelfStock[RM_Code],$A16,T_SelfStock[WeekIndex],33)+SUMIFS(T_TTAFStock[TTAF_Qty],T_TTAFStock[RM_Code],$A16,T_TTAFStock[WeekIndex],33),AG16+'Grid_Incoming'!AH16-'Grid_Requirement'!AH16))</f>
        <v/>
      </c>
      <c r="AI16">
        <f>IF(COUNTIFS(T_StockCount[RM_Code],$A16,T_StockCount[WeekIndex],34)&gt;0,SUMIFS(T_StockCount[CountedQty],T_StockCount[RM_Code],$A16,T_StockCount[WeekIndex],34),IF((COUNTIFS(T_SelfStock[RM_Code],$A16,T_SelfStock[WeekIndex],34)&gt;0)*(COUNTIFS(T_TTAFStock[RM_Code],$A16,T_TTAFStock[WeekIndex],34)&gt;0)&gt;0,SUMIFS(T_SelfStock[Self_Qty],T_SelfStock[RM_Code],$A16,T_SelfStock[WeekIndex],34)+SUMIFS(T_TTAFStock[TTAF_Qty],T_TTAFStock[RM_Code],$A16,T_TTAFStock[WeekIndex],34),AH16+'Grid_Incoming'!AI16-'Grid_Requirement'!AI16))</f>
        <v/>
      </c>
      <c r="AJ16">
        <f>IF(COUNTIFS(T_StockCount[RM_Code],$A16,T_StockCount[WeekIndex],35)&gt;0,SUMIFS(T_StockCount[CountedQty],T_StockCount[RM_Code],$A16,T_StockCount[WeekIndex],35),IF((COUNTIFS(T_SelfStock[RM_Code],$A16,T_SelfStock[WeekIndex],35)&gt;0)*(COUNTIFS(T_TTAFStock[RM_Code],$A16,T_TTAFStock[WeekIndex],35)&gt;0)&gt;0,SUMIFS(T_SelfStock[Self_Qty],T_SelfStock[RM_Code],$A16,T_SelfStock[WeekIndex],35)+SUMIFS(T_TTAFStock[TTAF_Qty],T_TTAFStock[RM_Code],$A16,T_TTAFStock[WeekIndex],35),AI16+'Grid_Incoming'!AJ16-'Grid_Requirement'!AJ16))</f>
        <v/>
      </c>
      <c r="AK16">
        <f>IF(COUNTIFS(T_StockCount[RM_Code],$A16,T_StockCount[WeekIndex],36)&gt;0,SUMIFS(T_StockCount[CountedQty],T_StockCount[RM_Code],$A16,T_StockCount[WeekIndex],36),IF((COUNTIFS(T_SelfStock[RM_Code],$A16,T_SelfStock[WeekIndex],36)&gt;0)*(COUNTIFS(T_TTAFStock[RM_Code],$A16,T_TTAFStock[WeekIndex],36)&gt;0)&gt;0,SUMIFS(T_SelfStock[Self_Qty],T_SelfStock[RM_Code],$A16,T_SelfStock[WeekIndex],36)+SUMIFS(T_TTAFStock[TTAF_Qty],T_TTAFStock[RM_Code],$A16,T_TTAFStock[WeekIndex],36),AJ16+'Grid_Incoming'!AK16-'Grid_Requirement'!AK16))</f>
        <v/>
      </c>
      <c r="AL16">
        <f>IF(COUNTIFS(T_StockCount[RM_Code],$A16,T_StockCount[WeekIndex],37)&gt;0,SUMIFS(T_StockCount[CountedQty],T_StockCount[RM_Code],$A16,T_StockCount[WeekIndex],37),IF((COUNTIFS(T_SelfStock[RM_Code],$A16,T_SelfStock[WeekIndex],37)&gt;0)*(COUNTIFS(T_TTAFStock[RM_Code],$A16,T_TTAFStock[WeekIndex],37)&gt;0)&gt;0,SUMIFS(T_SelfStock[Self_Qty],T_SelfStock[RM_Code],$A16,T_SelfStock[WeekIndex],37)+SUMIFS(T_TTAFStock[TTAF_Qty],T_TTAFStock[RM_Code],$A16,T_TTAFStock[WeekIndex],37),AK16+'Grid_Incoming'!AL16-'Grid_Requirement'!AL16))</f>
        <v/>
      </c>
      <c r="AM16">
        <f>IF(COUNTIFS(T_StockCount[RM_Code],$A16,T_StockCount[WeekIndex],38)&gt;0,SUMIFS(T_StockCount[CountedQty],T_StockCount[RM_Code],$A16,T_StockCount[WeekIndex],38),IF((COUNTIFS(T_SelfStock[RM_Code],$A16,T_SelfStock[WeekIndex],38)&gt;0)*(COUNTIFS(T_TTAFStock[RM_Code],$A16,T_TTAFStock[WeekIndex],38)&gt;0)&gt;0,SUMIFS(T_SelfStock[Self_Qty],T_SelfStock[RM_Code],$A16,T_SelfStock[WeekIndex],38)+SUMIFS(T_TTAFStock[TTAF_Qty],T_TTAFStock[RM_Code],$A16,T_TTAFStock[WeekIndex],38),AL16+'Grid_Incoming'!AM16-'Grid_Requirement'!AM16))</f>
        <v/>
      </c>
      <c r="AN16">
        <f>IF(COUNTIFS(T_StockCount[RM_Code],$A16,T_StockCount[WeekIndex],39)&gt;0,SUMIFS(T_StockCount[CountedQty],T_StockCount[RM_Code],$A16,T_StockCount[WeekIndex],39),IF((COUNTIFS(T_SelfStock[RM_Code],$A16,T_SelfStock[WeekIndex],39)&gt;0)*(COUNTIFS(T_TTAFStock[RM_Code],$A16,T_TTAFStock[WeekIndex],39)&gt;0)&gt;0,SUMIFS(T_SelfStock[Self_Qty],T_SelfStock[RM_Code],$A16,T_SelfStock[WeekIndex],39)+SUMIFS(T_TTAFStock[TTAF_Qty],T_TTAFStock[RM_Code],$A16,T_TTAFStock[WeekIndex],39),AM16+'Grid_Incoming'!AN16-'Grid_Requirement'!AN16))</f>
        <v/>
      </c>
      <c r="AO16">
        <f>IF(COUNTIFS(T_StockCount[RM_Code],$A16,T_StockCount[WeekIndex],40)&gt;0,SUMIFS(T_StockCount[CountedQty],T_StockCount[RM_Code],$A16,T_StockCount[WeekIndex],40),IF((COUNTIFS(T_SelfStock[RM_Code],$A16,T_SelfStock[WeekIndex],40)&gt;0)*(COUNTIFS(T_TTAFStock[RM_Code],$A16,T_TTAFStock[WeekIndex],40)&gt;0)&gt;0,SUMIFS(T_SelfStock[Self_Qty],T_SelfStock[RM_Code],$A16,T_SelfStock[WeekIndex],40)+SUMIFS(T_TTAFStock[TTAF_Qty],T_TTAFStock[RM_Code],$A16,T_TTAFStock[WeekIndex],40),AN16+'Grid_Incoming'!AO16-'Grid_Requirement'!AO16))</f>
        <v/>
      </c>
      <c r="AP16">
        <f>IF(COUNTIFS(T_StockCount[RM_Code],$A16,T_StockCount[WeekIndex],41)&gt;0,SUMIFS(T_StockCount[CountedQty],T_StockCount[RM_Code],$A16,T_StockCount[WeekIndex],41),IF((COUNTIFS(T_SelfStock[RM_Code],$A16,T_SelfStock[WeekIndex],41)&gt;0)*(COUNTIFS(T_TTAFStock[RM_Code],$A16,T_TTAFStock[WeekIndex],41)&gt;0)&gt;0,SUMIFS(T_SelfStock[Self_Qty],T_SelfStock[RM_Code],$A16,T_SelfStock[WeekIndex],41)+SUMIFS(T_TTAFStock[TTAF_Qty],T_TTAFStock[RM_Code],$A16,T_TTAFStock[WeekIndex],41),AO16+'Grid_Incoming'!AP16-'Grid_Requirement'!AP16))</f>
        <v/>
      </c>
      <c r="AQ16">
        <f>IF(COUNTIFS(T_StockCount[RM_Code],$A16,T_StockCount[WeekIndex],42)&gt;0,SUMIFS(T_StockCount[CountedQty],T_StockCount[RM_Code],$A16,T_StockCount[WeekIndex],42),IF((COUNTIFS(T_SelfStock[RM_Code],$A16,T_SelfStock[WeekIndex],42)&gt;0)*(COUNTIFS(T_TTAFStock[RM_Code],$A16,T_TTAFStock[WeekIndex],42)&gt;0)&gt;0,SUMIFS(T_SelfStock[Self_Qty],T_SelfStock[RM_Code],$A16,T_SelfStock[WeekIndex],42)+SUMIFS(T_TTAFStock[TTAF_Qty],T_TTAFStock[RM_Code],$A16,T_TTAFStock[WeekIndex],42),AP16+'Grid_Incoming'!AQ16-'Grid_Requirement'!AQ16))</f>
        <v/>
      </c>
      <c r="AR16">
        <f>IF(COUNTIFS(T_StockCount[RM_Code],$A16,T_StockCount[WeekIndex],43)&gt;0,SUMIFS(T_StockCount[CountedQty],T_StockCount[RM_Code],$A16,T_StockCount[WeekIndex],43),IF((COUNTIFS(T_SelfStock[RM_Code],$A16,T_SelfStock[WeekIndex],43)&gt;0)*(COUNTIFS(T_TTAFStock[RM_Code],$A16,T_TTAFStock[WeekIndex],43)&gt;0)&gt;0,SUMIFS(T_SelfStock[Self_Qty],T_SelfStock[RM_Code],$A16,T_SelfStock[WeekIndex],43)+SUMIFS(T_TTAFStock[TTAF_Qty],T_TTAFStock[RM_Code],$A16,T_TTAFStock[WeekIndex],43),AQ16+'Grid_Incoming'!AR16-'Grid_Requirement'!AR16))</f>
        <v/>
      </c>
      <c r="AS16">
        <f>IF(COUNTIFS(T_StockCount[RM_Code],$A16,T_StockCount[WeekIndex],44)&gt;0,SUMIFS(T_StockCount[CountedQty],T_StockCount[RM_Code],$A16,T_StockCount[WeekIndex],44),IF((COUNTIFS(T_SelfStock[RM_Code],$A16,T_SelfStock[WeekIndex],44)&gt;0)*(COUNTIFS(T_TTAFStock[RM_Code],$A16,T_TTAFStock[WeekIndex],44)&gt;0)&gt;0,SUMIFS(T_SelfStock[Self_Qty],T_SelfStock[RM_Code],$A16,T_SelfStock[WeekIndex],44)+SUMIFS(T_TTAFStock[TTAF_Qty],T_TTAFStock[RM_Code],$A16,T_TTAFStock[WeekIndex],44),AR16+'Grid_Incoming'!AS16-'Grid_Requirement'!AS16))</f>
        <v/>
      </c>
      <c r="AT16">
        <f>IF(COUNTIFS(T_StockCount[RM_Code],$A16,T_StockCount[WeekIndex],45)&gt;0,SUMIFS(T_StockCount[CountedQty],T_StockCount[RM_Code],$A16,T_StockCount[WeekIndex],45),IF((COUNTIFS(T_SelfStock[RM_Code],$A16,T_SelfStock[WeekIndex],45)&gt;0)*(COUNTIFS(T_TTAFStock[RM_Code],$A16,T_TTAFStock[WeekIndex],45)&gt;0)&gt;0,SUMIFS(T_SelfStock[Self_Qty],T_SelfStock[RM_Code],$A16,T_SelfStock[WeekIndex],45)+SUMIFS(T_TTAFStock[TTAF_Qty],T_TTAFStock[RM_Code],$A16,T_TTAFStock[WeekIndex],45),AS16+'Grid_Incoming'!AT16-'Grid_Requirement'!AT16))</f>
        <v/>
      </c>
      <c r="AU16">
        <f>IF(COUNTIFS(T_StockCount[RM_Code],$A16,T_StockCount[WeekIndex],46)&gt;0,SUMIFS(T_StockCount[CountedQty],T_StockCount[RM_Code],$A16,T_StockCount[WeekIndex],46),IF((COUNTIFS(T_SelfStock[RM_Code],$A16,T_SelfStock[WeekIndex],46)&gt;0)*(COUNTIFS(T_TTAFStock[RM_Code],$A16,T_TTAFStock[WeekIndex],46)&gt;0)&gt;0,SUMIFS(T_SelfStock[Self_Qty],T_SelfStock[RM_Code],$A16,T_SelfStock[WeekIndex],46)+SUMIFS(T_TTAFStock[TTAF_Qty],T_TTAFStock[RM_Code],$A16,T_TTAFStock[WeekIndex],46),AT16+'Grid_Incoming'!AU16-'Grid_Requirement'!AU16))</f>
        <v/>
      </c>
      <c r="AV16">
        <f>IF(COUNTIFS(T_StockCount[RM_Code],$A16,T_StockCount[WeekIndex],47)&gt;0,SUMIFS(T_StockCount[CountedQty],T_StockCount[RM_Code],$A16,T_StockCount[WeekIndex],47),IF((COUNTIFS(T_SelfStock[RM_Code],$A16,T_SelfStock[WeekIndex],47)&gt;0)*(COUNTIFS(T_TTAFStock[RM_Code],$A16,T_TTAFStock[WeekIndex],47)&gt;0)&gt;0,SUMIFS(T_SelfStock[Self_Qty],T_SelfStock[RM_Code],$A16,T_SelfStock[WeekIndex],47)+SUMIFS(T_TTAFStock[TTAF_Qty],T_TTAFStock[RM_Code],$A16,T_TTAFStock[WeekIndex],47),AU16+'Grid_Incoming'!AV16-'Grid_Requirement'!AV16))</f>
        <v/>
      </c>
      <c r="AW16">
        <f>IF(COUNTIFS(T_StockCount[RM_Code],$A16,T_StockCount[WeekIndex],48)&gt;0,SUMIFS(T_StockCount[CountedQty],T_StockCount[RM_Code],$A16,T_StockCount[WeekIndex],48),IF((COUNTIFS(T_SelfStock[RM_Code],$A16,T_SelfStock[WeekIndex],48)&gt;0)*(COUNTIFS(T_TTAFStock[RM_Code],$A16,T_TTAFStock[WeekIndex],48)&gt;0)&gt;0,SUMIFS(T_SelfStock[Self_Qty],T_SelfStock[RM_Code],$A16,T_SelfStock[WeekIndex],48)+SUMIFS(T_TTAFStock[TTAF_Qty],T_TTAFStock[RM_Code],$A16,T_TTAFStock[WeekIndex],48),AV16+'Grid_Incoming'!AW16-'Grid_Requirement'!AW16))</f>
        <v/>
      </c>
      <c r="AX16">
        <f>IF(COUNTIFS(T_StockCount[RM_Code],$A16,T_StockCount[WeekIndex],49)&gt;0,SUMIFS(T_StockCount[CountedQty],T_StockCount[RM_Code],$A16,T_StockCount[WeekIndex],49),IF((COUNTIFS(T_SelfStock[RM_Code],$A16,T_SelfStock[WeekIndex],49)&gt;0)*(COUNTIFS(T_TTAFStock[RM_Code],$A16,T_TTAFStock[WeekIndex],49)&gt;0)&gt;0,SUMIFS(T_SelfStock[Self_Qty],T_SelfStock[RM_Code],$A16,T_SelfStock[WeekIndex],49)+SUMIFS(T_TTAFStock[TTAF_Qty],T_TTAFStock[RM_Code],$A16,T_TTAFStock[WeekIndex],49),AW16+'Grid_Incoming'!AX16-'Grid_Requirement'!AX16))</f>
        <v/>
      </c>
      <c r="AY16">
        <f>IF(COUNTIFS(T_StockCount[RM_Code],$A16,T_StockCount[WeekIndex],50)&gt;0,SUMIFS(T_StockCount[CountedQty],T_StockCount[RM_Code],$A16,T_StockCount[WeekIndex],50),IF((COUNTIFS(T_SelfStock[RM_Code],$A16,T_SelfStock[WeekIndex],50)&gt;0)*(COUNTIFS(T_TTAFStock[RM_Code],$A16,T_TTAFStock[WeekIndex],50)&gt;0)&gt;0,SUMIFS(T_SelfStock[Self_Qty],T_SelfStock[RM_Code],$A16,T_SelfStock[WeekIndex],50)+SUMIFS(T_TTAFStock[TTAF_Qty],T_TTAFStock[RM_Code],$A16,T_TTAFStock[WeekIndex],50),AX16+'Grid_Incoming'!AY16-'Grid_Requirement'!AY16))</f>
        <v/>
      </c>
      <c r="AZ16">
        <f>IF(COUNTIFS(T_StockCount[RM_Code],$A16,T_StockCount[WeekIndex],51)&gt;0,SUMIFS(T_StockCount[CountedQty],T_StockCount[RM_Code],$A16,T_StockCount[WeekIndex],51),IF((COUNTIFS(T_SelfStock[RM_Code],$A16,T_SelfStock[WeekIndex],51)&gt;0)*(COUNTIFS(T_TTAFStock[RM_Code],$A16,T_TTAFStock[WeekIndex],51)&gt;0)&gt;0,SUMIFS(T_SelfStock[Self_Qty],T_SelfStock[RM_Code],$A16,T_SelfStock[WeekIndex],51)+SUMIFS(T_TTAFStock[TTAF_Qty],T_TTAFStock[RM_Code],$A16,T_TTAFStock[WeekIndex],51),AY16+'Grid_Incoming'!AZ16-'Grid_Requirement'!AZ16))</f>
        <v/>
      </c>
      <c r="BA16">
        <f>IF(COUNTIFS(T_StockCount[RM_Code],$A16,T_StockCount[WeekIndex],52)&gt;0,SUMIFS(T_StockCount[CountedQty],T_StockCount[RM_Code],$A16,T_StockCount[WeekIndex],52),IF((COUNTIFS(T_SelfStock[RM_Code],$A16,T_SelfStock[WeekIndex],52)&gt;0)*(COUNTIFS(T_TTAFStock[RM_Code],$A16,T_TTAFStock[WeekIndex],52)&gt;0)&gt;0,SUMIFS(T_SelfStock[Self_Qty],T_SelfStock[RM_Code],$A16,T_SelfStock[WeekIndex],52)+SUMIFS(T_TTAFStock[TTAF_Qty],T_TTAFStock[RM_Code],$A16,T_TTAFStock[WeekIndex],52),AZ16+'Grid_Incoming'!BA16-'Grid_Requirement'!BA16))</f>
        <v/>
      </c>
      <c r="BB16">
        <f>IF(COUNTIFS(T_StockCount[RM_Code],$A16,T_StockCount[WeekIndex],53)&gt;0,SUMIFS(T_StockCount[CountedQty],T_StockCount[RM_Code],$A16,T_StockCount[WeekIndex],53),IF((COUNTIFS(T_SelfStock[RM_Code],$A16,T_SelfStock[WeekIndex],53)&gt;0)*(COUNTIFS(T_TTAFStock[RM_Code],$A16,T_TTAFStock[WeekIndex],53)&gt;0)&gt;0,SUMIFS(T_SelfStock[Self_Qty],T_SelfStock[RM_Code],$A16,T_SelfStock[WeekIndex],53)+SUMIFS(T_TTAFStock[TTAF_Qty],T_TTAFStock[RM_Code],$A16,T_TTAFStock[WeekIndex],53),BA16+'Grid_Incoming'!BB16-'Grid_Requirement'!BB16))</f>
        <v/>
      </c>
      <c r="BC16">
        <f>IF(COUNTIFS(T_StockCount[RM_Code],$A16,T_StockCount[WeekIndex],54)&gt;0,SUMIFS(T_StockCount[CountedQty],T_StockCount[RM_Code],$A16,T_StockCount[WeekIndex],54),IF((COUNTIFS(T_SelfStock[RM_Code],$A16,T_SelfStock[WeekIndex],54)&gt;0)*(COUNTIFS(T_TTAFStock[RM_Code],$A16,T_TTAFStock[WeekIndex],54)&gt;0)&gt;0,SUMIFS(T_SelfStock[Self_Qty],T_SelfStock[RM_Code],$A16,T_SelfStock[WeekIndex],54)+SUMIFS(T_TTAFStock[TTAF_Qty],T_TTAFStock[RM_Code],$A16,T_TTAFStock[WeekIndex],54),BB16+'Grid_Incoming'!BC16-'Grid_Requirement'!BC16))</f>
        <v/>
      </c>
      <c r="BD16">
        <f>IF(COUNTIFS(T_StockCount[RM_Code],$A16,T_StockCount[WeekIndex],55)&gt;0,SUMIFS(T_StockCount[CountedQty],T_StockCount[RM_Code],$A16,T_StockCount[WeekIndex],55),IF((COUNTIFS(T_SelfStock[RM_Code],$A16,T_SelfStock[WeekIndex],55)&gt;0)*(COUNTIFS(T_TTAFStock[RM_Code],$A16,T_TTAFStock[WeekIndex],55)&gt;0)&gt;0,SUMIFS(T_SelfStock[Self_Qty],T_SelfStock[RM_Code],$A16,T_SelfStock[WeekIndex],55)+SUMIFS(T_TTAFStock[TTAF_Qty],T_TTAFStock[RM_Code],$A16,T_TTAFStock[WeekIndex],55),BC16+'Grid_Incoming'!BD16-'Grid_Requirement'!BD16))</f>
        <v/>
      </c>
      <c r="BE16">
        <f>IF(COUNTIFS(T_StockCount[RM_Code],$A16,T_StockCount[WeekIndex],56)&gt;0,SUMIFS(T_StockCount[CountedQty],T_StockCount[RM_Code],$A16,T_StockCount[WeekIndex],56),IF((COUNTIFS(T_SelfStock[RM_Code],$A16,T_SelfStock[WeekIndex],56)&gt;0)*(COUNTIFS(T_TTAFStock[RM_Code],$A16,T_TTAFStock[WeekIndex],56)&gt;0)&gt;0,SUMIFS(T_SelfStock[Self_Qty],T_SelfStock[RM_Code],$A16,T_SelfStock[WeekIndex],56)+SUMIFS(T_TTAFStock[TTAF_Qty],T_TTAFStock[RM_Code],$A16,T_TTAFStock[WeekIndex],56),BD16+'Grid_Incoming'!BE16-'Grid_Requirement'!BE16))</f>
        <v/>
      </c>
      <c r="BF16">
        <f>IF(COUNTIFS(T_StockCount[RM_Code],$A16,T_StockCount[WeekIndex],57)&gt;0,SUMIFS(T_StockCount[CountedQty],T_StockCount[RM_Code],$A16,T_StockCount[WeekIndex],57),IF((COUNTIFS(T_SelfStock[RM_Code],$A16,T_SelfStock[WeekIndex],57)&gt;0)*(COUNTIFS(T_TTAFStock[RM_Code],$A16,T_TTAFStock[WeekIndex],57)&gt;0)&gt;0,SUMIFS(T_SelfStock[Self_Qty],T_SelfStock[RM_Code],$A16,T_SelfStock[WeekIndex],57)+SUMIFS(T_TTAFStock[TTAF_Qty],T_TTAFStock[RM_Code],$A16,T_TTAFStock[WeekIndex],57),BE16+'Grid_Incoming'!BF16-'Grid_Requirement'!BF16))</f>
        <v/>
      </c>
      <c r="BG16">
        <f>IF(COUNTIFS(T_StockCount[RM_Code],$A16,T_StockCount[WeekIndex],58)&gt;0,SUMIFS(T_StockCount[CountedQty],T_StockCount[RM_Code],$A16,T_StockCount[WeekIndex],58),IF((COUNTIFS(T_SelfStock[RM_Code],$A16,T_SelfStock[WeekIndex],58)&gt;0)*(COUNTIFS(T_TTAFStock[RM_Code],$A16,T_TTAFStock[WeekIndex],58)&gt;0)&gt;0,SUMIFS(T_SelfStock[Self_Qty],T_SelfStock[RM_Code],$A16,T_SelfStock[WeekIndex],58)+SUMIFS(T_TTAFStock[TTAF_Qty],T_TTAFStock[RM_Code],$A16,T_TTAFStock[WeekIndex],58),BF16+'Grid_Incoming'!BG16-'Grid_Requirement'!BG16))</f>
        <v/>
      </c>
      <c r="BH16">
        <f>IF(COUNTIFS(T_StockCount[RM_Code],$A16,T_StockCount[WeekIndex],59)&gt;0,SUMIFS(T_StockCount[CountedQty],T_StockCount[RM_Code],$A16,T_StockCount[WeekIndex],59),IF((COUNTIFS(T_SelfStock[RM_Code],$A16,T_SelfStock[WeekIndex],59)&gt;0)*(COUNTIFS(T_TTAFStock[RM_Code],$A16,T_TTAFStock[WeekIndex],59)&gt;0)&gt;0,SUMIFS(T_SelfStock[Self_Qty],T_SelfStock[RM_Code],$A16,T_SelfStock[WeekIndex],59)+SUMIFS(T_TTAFStock[TTAF_Qty],T_TTAFStock[RM_Code],$A16,T_TTAFStock[WeekIndex],59),BG16+'Grid_Incoming'!BH16-'Grid_Requirement'!BH16))</f>
        <v/>
      </c>
      <c r="BI16">
        <f>IF(COUNTIFS(T_StockCount[RM_Code],$A16,T_StockCount[WeekIndex],60)&gt;0,SUMIFS(T_StockCount[CountedQty],T_StockCount[RM_Code],$A16,T_StockCount[WeekIndex],60),IF((COUNTIFS(T_SelfStock[RM_Code],$A16,T_SelfStock[WeekIndex],60)&gt;0)*(COUNTIFS(T_TTAFStock[RM_Code],$A16,T_TTAFStock[WeekIndex],60)&gt;0)&gt;0,SUMIFS(T_SelfStock[Self_Qty],T_SelfStock[RM_Code],$A16,T_SelfStock[WeekIndex],60)+SUMIFS(T_TTAFStock[TTAF_Qty],T_TTAFStock[RM_Code],$A16,T_TTAFStock[WeekIndex],60),BH16+'Grid_Incoming'!BI16-'Grid_Requirement'!BI16))</f>
        <v/>
      </c>
      <c r="BJ16">
        <f>IF(COUNTIFS(T_StockCount[RM_Code],$A16,T_StockCount[WeekIndex],61)&gt;0,SUMIFS(T_StockCount[CountedQty],T_StockCount[RM_Code],$A16,T_StockCount[WeekIndex],61),IF((COUNTIFS(T_SelfStock[RM_Code],$A16,T_SelfStock[WeekIndex],61)&gt;0)*(COUNTIFS(T_TTAFStock[RM_Code],$A16,T_TTAFStock[WeekIndex],61)&gt;0)&gt;0,SUMIFS(T_SelfStock[Self_Qty],T_SelfStock[RM_Code],$A16,T_SelfStock[WeekIndex],61)+SUMIFS(T_TTAFStock[TTAF_Qty],T_TTAFStock[RM_Code],$A16,T_TTAFStock[WeekIndex],61),BI16+'Grid_Incoming'!BJ16-'Grid_Requirement'!BJ16))</f>
        <v/>
      </c>
      <c r="BK16">
        <f>IF(COUNTIFS(T_StockCount[RM_Code],$A16,T_StockCount[WeekIndex],62)&gt;0,SUMIFS(T_StockCount[CountedQty],T_StockCount[RM_Code],$A16,T_StockCount[WeekIndex],62),IF((COUNTIFS(T_SelfStock[RM_Code],$A16,T_SelfStock[WeekIndex],62)&gt;0)*(COUNTIFS(T_TTAFStock[RM_Code],$A16,T_TTAFStock[WeekIndex],62)&gt;0)&gt;0,SUMIFS(T_SelfStock[Self_Qty],T_SelfStock[RM_Code],$A16,T_SelfStock[WeekIndex],62)+SUMIFS(T_TTAFStock[TTAF_Qty],T_TTAFStock[RM_Code],$A16,T_TTAFStock[WeekIndex],62),BJ16+'Grid_Incoming'!BK16-'Grid_Requirement'!BK16))</f>
        <v/>
      </c>
      <c r="BL16">
        <f>IF(COUNTIFS(T_StockCount[RM_Code],$A16,T_StockCount[WeekIndex],63)&gt;0,SUMIFS(T_StockCount[CountedQty],T_StockCount[RM_Code],$A16,T_StockCount[WeekIndex],63),IF((COUNTIFS(T_SelfStock[RM_Code],$A16,T_SelfStock[WeekIndex],63)&gt;0)*(COUNTIFS(T_TTAFStock[RM_Code],$A16,T_TTAFStock[WeekIndex],63)&gt;0)&gt;0,SUMIFS(T_SelfStock[Self_Qty],T_SelfStock[RM_Code],$A16,T_SelfStock[WeekIndex],63)+SUMIFS(T_TTAFStock[TTAF_Qty],T_TTAFStock[RM_Code],$A16,T_TTAFStock[WeekIndex],63),BK16+'Grid_Incoming'!BL16-'Grid_Requirement'!BL16))</f>
        <v/>
      </c>
      <c r="BM16">
        <f>IF(COUNTIFS(T_StockCount[RM_Code],$A16,T_StockCount[WeekIndex],64)&gt;0,SUMIFS(T_StockCount[CountedQty],T_StockCount[RM_Code],$A16,T_StockCount[WeekIndex],64),IF((COUNTIFS(T_SelfStock[RM_Code],$A16,T_SelfStock[WeekIndex],64)&gt;0)*(COUNTIFS(T_TTAFStock[RM_Code],$A16,T_TTAFStock[WeekIndex],64)&gt;0)&gt;0,SUMIFS(T_SelfStock[Self_Qty],T_SelfStock[RM_Code],$A16,T_SelfStock[WeekIndex],64)+SUMIFS(T_TTAFStock[TTAF_Qty],T_TTAFStock[RM_Code],$A16,T_TTAFStock[WeekIndex],64),BL16+'Grid_Incoming'!BM16-'Grid_Requirement'!BM16))</f>
        <v/>
      </c>
      <c r="BN16">
        <f>IF(COUNTIFS(T_StockCount[RM_Code],$A16,T_StockCount[WeekIndex],65)&gt;0,SUMIFS(T_StockCount[CountedQty],T_StockCount[RM_Code],$A16,T_StockCount[WeekIndex],65),IF((COUNTIFS(T_SelfStock[RM_Code],$A16,T_SelfStock[WeekIndex],65)&gt;0)*(COUNTIFS(T_TTAFStock[RM_Code],$A16,T_TTAFStock[WeekIndex],65)&gt;0)&gt;0,SUMIFS(T_SelfStock[Self_Qty],T_SelfStock[RM_Code],$A16,T_SelfStock[WeekIndex],65)+SUMIFS(T_TTAFStock[TTAF_Qty],T_TTAFStock[RM_Code],$A16,T_TTAFStock[WeekIndex],65),BM16+'Grid_Incoming'!BN16-'Grid_Requirement'!BN16))</f>
        <v/>
      </c>
      <c r="BO16">
        <f>IF(COUNTIFS(T_StockCount[RM_Code],$A16,T_StockCount[WeekIndex],66)&gt;0,SUMIFS(T_StockCount[CountedQty],T_StockCount[RM_Code],$A16,T_StockCount[WeekIndex],66),IF((COUNTIFS(T_SelfStock[RM_Code],$A16,T_SelfStock[WeekIndex],66)&gt;0)*(COUNTIFS(T_TTAFStock[RM_Code],$A16,T_TTAFStock[WeekIndex],66)&gt;0)&gt;0,SUMIFS(T_SelfStock[Self_Qty],T_SelfStock[RM_Code],$A16,T_SelfStock[WeekIndex],66)+SUMIFS(T_TTAFStock[TTAF_Qty],T_TTAFStock[RM_Code],$A16,T_TTAFStock[WeekIndex],66),BN16+'Grid_Incoming'!BO16-'Grid_Requirement'!BO16))</f>
        <v/>
      </c>
      <c r="BP16">
        <f>IF(COUNTIFS(T_StockCount[RM_Code],$A16,T_StockCount[WeekIndex],67)&gt;0,SUMIFS(T_StockCount[CountedQty],T_StockCount[RM_Code],$A16,T_StockCount[WeekIndex],67),IF((COUNTIFS(T_SelfStock[RM_Code],$A16,T_SelfStock[WeekIndex],67)&gt;0)*(COUNTIFS(T_TTAFStock[RM_Code],$A16,T_TTAFStock[WeekIndex],67)&gt;0)&gt;0,SUMIFS(T_SelfStock[Self_Qty],T_SelfStock[RM_Code],$A16,T_SelfStock[WeekIndex],67)+SUMIFS(T_TTAFStock[TTAF_Qty],T_TTAFStock[RM_Code],$A16,T_TTAFStock[WeekIndex],67),BO16+'Grid_Incoming'!BP16-'Grid_Requirement'!BP16))</f>
        <v/>
      </c>
      <c r="BQ16">
        <f>IF(COUNTIFS(T_StockCount[RM_Code],$A16,T_StockCount[WeekIndex],68)&gt;0,SUMIFS(T_StockCount[CountedQty],T_StockCount[RM_Code],$A16,T_StockCount[WeekIndex],68),IF((COUNTIFS(T_SelfStock[RM_Code],$A16,T_SelfStock[WeekIndex],68)&gt;0)*(COUNTIFS(T_TTAFStock[RM_Code],$A16,T_TTAFStock[WeekIndex],68)&gt;0)&gt;0,SUMIFS(T_SelfStock[Self_Qty],T_SelfStock[RM_Code],$A16,T_SelfStock[WeekIndex],68)+SUMIFS(T_TTAFStock[TTAF_Qty],T_TTAFStock[RM_Code],$A16,T_TTAFStock[WeekIndex],68),BP16+'Grid_Incoming'!BQ16-'Grid_Requirement'!BQ16))</f>
        <v/>
      </c>
      <c r="BR16">
        <f>IF(COUNTIFS(T_StockCount[RM_Code],$A16,T_StockCount[WeekIndex],69)&gt;0,SUMIFS(T_StockCount[CountedQty],T_StockCount[RM_Code],$A16,T_StockCount[WeekIndex],69),IF((COUNTIFS(T_SelfStock[RM_Code],$A16,T_SelfStock[WeekIndex],69)&gt;0)*(COUNTIFS(T_TTAFStock[RM_Code],$A16,T_TTAFStock[WeekIndex],69)&gt;0)&gt;0,SUMIFS(T_SelfStock[Self_Qty],T_SelfStock[RM_Code],$A16,T_SelfStock[WeekIndex],69)+SUMIFS(T_TTAFStock[TTAF_Qty],T_TTAFStock[RM_Code],$A16,T_TTAFStock[WeekIndex],69),BQ16+'Grid_Incoming'!BR16-'Grid_Requirement'!BR16))</f>
        <v/>
      </c>
      <c r="BS16">
        <f>IF(COUNTIFS(T_StockCount[RM_Code],$A16,T_StockCount[WeekIndex],70)&gt;0,SUMIFS(T_StockCount[CountedQty],T_StockCount[RM_Code],$A16,T_StockCount[WeekIndex],70),IF((COUNTIFS(T_SelfStock[RM_Code],$A16,T_SelfStock[WeekIndex],70)&gt;0)*(COUNTIFS(T_TTAFStock[RM_Code],$A16,T_TTAFStock[WeekIndex],70)&gt;0)&gt;0,SUMIFS(T_SelfStock[Self_Qty],T_SelfStock[RM_Code],$A16,T_SelfStock[WeekIndex],70)+SUMIFS(T_TTAFStock[TTAF_Qty],T_TTAFStock[RM_Code],$A16,T_TTAFStock[WeekIndex],70),BR16+'Grid_Incoming'!BS16-'Grid_Requirement'!BS16))</f>
        <v/>
      </c>
      <c r="BT16">
        <f>IF(COUNTIFS(T_StockCount[RM_Code],$A16,T_StockCount[WeekIndex],71)&gt;0,SUMIFS(T_StockCount[CountedQty],T_StockCount[RM_Code],$A16,T_StockCount[WeekIndex],71),IF((COUNTIFS(T_SelfStock[RM_Code],$A16,T_SelfStock[WeekIndex],71)&gt;0)*(COUNTIFS(T_TTAFStock[RM_Code],$A16,T_TTAFStock[WeekIndex],71)&gt;0)&gt;0,SUMIFS(T_SelfStock[Self_Qty],T_SelfStock[RM_Code],$A16,T_SelfStock[WeekIndex],71)+SUMIFS(T_TTAFStock[TTAF_Qty],T_TTAFStock[RM_Code],$A16,T_TTAFStock[WeekIndex],71),BS16+'Grid_Incoming'!BT16-'Grid_Requirement'!BT16))</f>
        <v/>
      </c>
      <c r="BU16">
        <f>IF(COUNTIFS(T_StockCount[RM_Code],$A16,T_StockCount[WeekIndex],72)&gt;0,SUMIFS(T_StockCount[CountedQty],T_StockCount[RM_Code],$A16,T_StockCount[WeekIndex],72),IF((COUNTIFS(T_SelfStock[RM_Code],$A16,T_SelfStock[WeekIndex],72)&gt;0)*(COUNTIFS(T_TTAFStock[RM_Code],$A16,T_TTAFStock[WeekIndex],72)&gt;0)&gt;0,SUMIFS(T_SelfStock[Self_Qty],T_SelfStock[RM_Code],$A16,T_SelfStock[WeekIndex],72)+SUMIFS(T_TTAFStock[TTAF_Qty],T_TTAFStock[RM_Code],$A16,T_TTAFStock[WeekIndex],72),BT16+'Grid_Incoming'!BU16-'Grid_Requirement'!BU16))</f>
        <v/>
      </c>
      <c r="BV16">
        <f>IF(COUNTIFS(T_StockCount[RM_Code],$A16,T_StockCount[WeekIndex],73)&gt;0,SUMIFS(T_StockCount[CountedQty],T_StockCount[RM_Code],$A16,T_StockCount[WeekIndex],73),IF((COUNTIFS(T_SelfStock[RM_Code],$A16,T_SelfStock[WeekIndex],73)&gt;0)*(COUNTIFS(T_TTAFStock[RM_Code],$A16,T_TTAFStock[WeekIndex],73)&gt;0)&gt;0,SUMIFS(T_SelfStock[Self_Qty],T_SelfStock[RM_Code],$A16,T_SelfStock[WeekIndex],73)+SUMIFS(T_TTAFStock[TTAF_Qty],T_TTAFStock[RM_Code],$A16,T_TTAFStock[WeekIndex],73),BU16+'Grid_Incoming'!BV16-'Grid_Requirement'!BV16))</f>
        <v/>
      </c>
      <c r="BW16">
        <f>IF(COUNTIFS(T_StockCount[RM_Code],$A16,T_StockCount[WeekIndex],74)&gt;0,SUMIFS(T_StockCount[CountedQty],T_StockCount[RM_Code],$A16,T_StockCount[WeekIndex],74),IF((COUNTIFS(T_SelfStock[RM_Code],$A16,T_SelfStock[WeekIndex],74)&gt;0)*(COUNTIFS(T_TTAFStock[RM_Code],$A16,T_TTAFStock[WeekIndex],74)&gt;0)&gt;0,SUMIFS(T_SelfStock[Self_Qty],T_SelfStock[RM_Code],$A16,T_SelfStock[WeekIndex],74)+SUMIFS(T_TTAFStock[TTAF_Qty],T_TTAFStock[RM_Code],$A16,T_TTAFStock[WeekIndex],74),BV16+'Grid_Incoming'!BW16-'Grid_Requirement'!BW16))</f>
        <v/>
      </c>
      <c r="BX16">
        <f>IF(COUNTIFS(T_StockCount[RM_Code],$A16,T_StockCount[WeekIndex],75)&gt;0,SUMIFS(T_StockCount[CountedQty],T_StockCount[RM_Code],$A16,T_StockCount[WeekIndex],75),IF((COUNTIFS(T_SelfStock[RM_Code],$A16,T_SelfStock[WeekIndex],75)&gt;0)*(COUNTIFS(T_TTAFStock[RM_Code],$A16,T_TTAFStock[WeekIndex],75)&gt;0)&gt;0,SUMIFS(T_SelfStock[Self_Qty],T_SelfStock[RM_Code],$A16,T_SelfStock[WeekIndex],75)+SUMIFS(T_TTAFStock[TTAF_Qty],T_TTAFStock[RM_Code],$A16,T_TTAFStock[WeekIndex],75),BW16+'Grid_Incoming'!BX16-'Grid_Requirement'!BX16))</f>
        <v/>
      </c>
      <c r="BY16">
        <f>IF(COUNTIFS(T_StockCount[RM_Code],$A16,T_StockCount[WeekIndex],76)&gt;0,SUMIFS(T_StockCount[CountedQty],T_StockCount[RM_Code],$A16,T_StockCount[WeekIndex],76),IF((COUNTIFS(T_SelfStock[RM_Code],$A16,T_SelfStock[WeekIndex],76)&gt;0)*(COUNTIFS(T_TTAFStock[RM_Code],$A16,T_TTAFStock[WeekIndex],76)&gt;0)&gt;0,SUMIFS(T_SelfStock[Self_Qty],T_SelfStock[RM_Code],$A16,T_SelfStock[WeekIndex],76)+SUMIFS(T_TTAFStock[TTAF_Qty],T_TTAFStock[RM_Code],$A16,T_TTAFStock[WeekIndex],76),BX16+'Grid_Incoming'!BY16-'Grid_Requirement'!BY16))</f>
        <v/>
      </c>
      <c r="BZ16">
        <f>IF(COUNTIFS(T_StockCount[RM_Code],$A16,T_StockCount[WeekIndex],77)&gt;0,SUMIFS(T_StockCount[CountedQty],T_StockCount[RM_Code],$A16,T_StockCount[WeekIndex],77),IF((COUNTIFS(T_SelfStock[RM_Code],$A16,T_SelfStock[WeekIndex],77)&gt;0)*(COUNTIFS(T_TTAFStock[RM_Code],$A16,T_TTAFStock[WeekIndex],77)&gt;0)&gt;0,SUMIFS(T_SelfStock[Self_Qty],T_SelfStock[RM_Code],$A16,T_SelfStock[WeekIndex],77)+SUMIFS(T_TTAFStock[TTAF_Qty],T_TTAFStock[RM_Code],$A16,T_TTAFStock[WeekIndex],77),BY16+'Grid_Incoming'!BZ16-'Grid_Requirement'!BZ16))</f>
        <v/>
      </c>
      <c r="CA16">
        <f>IF(COUNTIFS(T_StockCount[RM_Code],$A16,T_StockCount[WeekIndex],78)&gt;0,SUMIFS(T_StockCount[CountedQty],T_StockCount[RM_Code],$A16,T_StockCount[WeekIndex],78),IF((COUNTIFS(T_SelfStock[RM_Code],$A16,T_SelfStock[WeekIndex],78)&gt;0)*(COUNTIFS(T_TTAFStock[RM_Code],$A16,T_TTAFStock[WeekIndex],78)&gt;0)&gt;0,SUMIFS(T_SelfStock[Self_Qty],T_SelfStock[RM_Code],$A16,T_SelfStock[WeekIndex],78)+SUMIFS(T_TTAFStock[TTAF_Qty],T_TTAFStock[RM_Code],$A16,T_TTAFStock[WeekIndex],78),BZ16+'Grid_Incoming'!CA16-'Grid_Requirement'!CA16))</f>
        <v/>
      </c>
      <c r="CB16">
        <f>IF(COUNTIFS(T_StockCount[RM_Code],$A16,T_StockCount[WeekIndex],79)&gt;0,SUMIFS(T_StockCount[CountedQty],T_StockCount[RM_Code],$A16,T_StockCount[WeekIndex],79),IF((COUNTIFS(T_SelfStock[RM_Code],$A16,T_SelfStock[WeekIndex],79)&gt;0)*(COUNTIFS(T_TTAFStock[RM_Code],$A16,T_TTAFStock[WeekIndex],79)&gt;0)&gt;0,SUMIFS(T_SelfStock[Self_Qty],T_SelfStock[RM_Code],$A16,T_SelfStock[WeekIndex],79)+SUMIFS(T_TTAFStock[TTAF_Qty],T_TTAFStock[RM_Code],$A16,T_TTAFStock[WeekIndex],79),CA16+'Grid_Incoming'!CB16-'Grid_Requirement'!CB16))</f>
        <v/>
      </c>
      <c r="CC16">
        <f>IF(COUNTIFS(T_StockCount[RM_Code],$A16,T_StockCount[WeekIndex],80)&gt;0,SUMIFS(T_StockCount[CountedQty],T_StockCount[RM_Code],$A16,T_StockCount[WeekIndex],80),IF((COUNTIFS(T_SelfStock[RM_Code],$A16,T_SelfStock[WeekIndex],80)&gt;0)*(COUNTIFS(T_TTAFStock[RM_Code],$A16,T_TTAFStock[WeekIndex],80)&gt;0)&gt;0,SUMIFS(T_SelfStock[Self_Qty],T_SelfStock[RM_Code],$A16,T_SelfStock[WeekIndex],80)+SUMIFS(T_TTAFStock[TTAF_Qty],T_TTAFStock[RM_Code],$A16,T_TTAFStock[WeekIndex],80),CB16+'Grid_Incoming'!CC16-'Grid_Requirement'!CC16))</f>
        <v/>
      </c>
      <c r="CD16">
        <f>IF(COUNTIFS(T_StockCount[RM_Code],$A16,T_StockCount[WeekIndex],81)&gt;0,SUMIFS(T_StockCount[CountedQty],T_StockCount[RM_Code],$A16,T_StockCount[WeekIndex],81),IF((COUNTIFS(T_SelfStock[RM_Code],$A16,T_SelfStock[WeekIndex],81)&gt;0)*(COUNTIFS(T_TTAFStock[RM_Code],$A16,T_TTAFStock[WeekIndex],81)&gt;0)&gt;0,SUMIFS(T_SelfStock[Self_Qty],T_SelfStock[RM_Code],$A16,T_SelfStock[WeekIndex],81)+SUMIFS(T_TTAFStock[TTAF_Qty],T_TTAFStock[RM_Code],$A16,T_TTAFStock[WeekIndex],81),CC16+'Grid_Incoming'!CD16-'Grid_Requirement'!CD16))</f>
        <v/>
      </c>
      <c r="CE16">
        <f>IF(COUNTIFS(T_StockCount[RM_Code],$A16,T_StockCount[WeekIndex],82)&gt;0,SUMIFS(T_StockCount[CountedQty],T_StockCount[RM_Code],$A16,T_StockCount[WeekIndex],82),IF((COUNTIFS(T_SelfStock[RM_Code],$A16,T_SelfStock[WeekIndex],82)&gt;0)*(COUNTIFS(T_TTAFStock[RM_Code],$A16,T_TTAFStock[WeekIndex],82)&gt;0)&gt;0,SUMIFS(T_SelfStock[Self_Qty],T_SelfStock[RM_Code],$A16,T_SelfStock[WeekIndex],82)+SUMIFS(T_TTAFStock[TTAF_Qty],T_TTAFStock[RM_Code],$A16,T_TTAFStock[WeekIndex],82),CD16+'Grid_Incoming'!CE16-'Grid_Requirement'!CE16))</f>
        <v/>
      </c>
      <c r="CF16">
        <f>IF(COUNTIFS(T_StockCount[RM_Code],$A16,T_StockCount[WeekIndex],83)&gt;0,SUMIFS(T_StockCount[CountedQty],T_StockCount[RM_Code],$A16,T_StockCount[WeekIndex],83),IF((COUNTIFS(T_SelfStock[RM_Code],$A16,T_SelfStock[WeekIndex],83)&gt;0)*(COUNTIFS(T_TTAFStock[RM_Code],$A16,T_TTAFStock[WeekIndex],83)&gt;0)&gt;0,SUMIFS(T_SelfStock[Self_Qty],T_SelfStock[RM_Code],$A16,T_SelfStock[WeekIndex],83)+SUMIFS(T_TTAFStock[TTAF_Qty],T_TTAFStock[RM_Code],$A16,T_TTAFStock[WeekIndex],83),CE16+'Grid_Incoming'!CF16-'Grid_Requirement'!CF16))</f>
        <v/>
      </c>
      <c r="CG16">
        <f>IF(COUNTIFS(T_StockCount[RM_Code],$A16,T_StockCount[WeekIndex],84)&gt;0,SUMIFS(T_StockCount[CountedQty],T_StockCount[RM_Code],$A16,T_StockCount[WeekIndex],84),IF((COUNTIFS(T_SelfStock[RM_Code],$A16,T_SelfStock[WeekIndex],84)&gt;0)*(COUNTIFS(T_TTAFStock[RM_Code],$A16,T_TTAFStock[WeekIndex],84)&gt;0)&gt;0,SUMIFS(T_SelfStock[Self_Qty],T_SelfStock[RM_Code],$A16,T_SelfStock[WeekIndex],84)+SUMIFS(T_TTAFStock[TTAF_Qty],T_TTAFStock[RM_Code],$A16,T_TTAFStock[WeekIndex],84),CF16+'Grid_Incoming'!CG16-'Grid_Requirement'!CG16))</f>
        <v/>
      </c>
      <c r="CH16">
        <f>IF(COUNTIFS(T_StockCount[RM_Code],$A16,T_StockCount[WeekIndex],85)&gt;0,SUMIFS(T_StockCount[CountedQty],T_StockCount[RM_Code],$A16,T_StockCount[WeekIndex],85),IF((COUNTIFS(T_SelfStock[RM_Code],$A16,T_SelfStock[WeekIndex],85)&gt;0)*(COUNTIFS(T_TTAFStock[RM_Code],$A16,T_TTAFStock[WeekIndex],85)&gt;0)&gt;0,SUMIFS(T_SelfStock[Self_Qty],T_SelfStock[RM_Code],$A16,T_SelfStock[WeekIndex],85)+SUMIFS(T_TTAFStock[TTAF_Qty],T_TTAFStock[RM_Code],$A16,T_TTAFStock[WeekIndex],85),CG16+'Grid_Incoming'!CH16-'Grid_Requirement'!CH16))</f>
        <v/>
      </c>
      <c r="CI16">
        <f>IF(COUNTIFS(T_StockCount[RM_Code],$A16,T_StockCount[WeekIndex],86)&gt;0,SUMIFS(T_StockCount[CountedQty],T_StockCount[RM_Code],$A16,T_StockCount[WeekIndex],86),IF((COUNTIFS(T_SelfStock[RM_Code],$A16,T_SelfStock[WeekIndex],86)&gt;0)*(COUNTIFS(T_TTAFStock[RM_Code],$A16,T_TTAFStock[WeekIndex],86)&gt;0)&gt;0,SUMIFS(T_SelfStock[Self_Qty],T_SelfStock[RM_Code],$A16,T_SelfStock[WeekIndex],86)+SUMIFS(T_TTAFStock[TTAF_Qty],T_TTAFStock[RM_Code],$A16,T_TTAFStock[WeekIndex],86),CH16+'Grid_Incoming'!CI16-'Grid_Requirement'!CI16))</f>
        <v/>
      </c>
      <c r="CJ16">
        <f>IF(COUNTIFS(T_StockCount[RM_Code],$A16,T_StockCount[WeekIndex],87)&gt;0,SUMIFS(T_StockCount[CountedQty],T_StockCount[RM_Code],$A16,T_StockCount[WeekIndex],87),IF((COUNTIFS(T_SelfStock[RM_Code],$A16,T_SelfStock[WeekIndex],87)&gt;0)*(COUNTIFS(T_TTAFStock[RM_Code],$A16,T_TTAFStock[WeekIndex],87)&gt;0)&gt;0,SUMIFS(T_SelfStock[Self_Qty],T_SelfStock[RM_Code],$A16,T_SelfStock[WeekIndex],87)+SUMIFS(T_TTAFStock[TTAF_Qty],T_TTAFStock[RM_Code],$A16,T_TTAFStock[WeekIndex],87),CI16+'Grid_Incoming'!CJ16-'Grid_Requirement'!CJ16))</f>
        <v/>
      </c>
      <c r="CK16">
        <f>IF(COUNTIFS(T_StockCount[RM_Code],$A16,T_StockCount[WeekIndex],88)&gt;0,SUMIFS(T_StockCount[CountedQty],T_StockCount[RM_Code],$A16,T_StockCount[WeekIndex],88),IF((COUNTIFS(T_SelfStock[RM_Code],$A16,T_SelfStock[WeekIndex],88)&gt;0)*(COUNTIFS(T_TTAFStock[RM_Code],$A16,T_TTAFStock[WeekIndex],88)&gt;0)&gt;0,SUMIFS(T_SelfStock[Self_Qty],T_SelfStock[RM_Code],$A16,T_SelfStock[WeekIndex],88)+SUMIFS(T_TTAFStock[TTAF_Qty],T_TTAFStock[RM_Code],$A16,T_TTAFStock[WeekIndex],88),CJ16+'Grid_Incoming'!CK16-'Grid_Requirement'!CK16))</f>
        <v/>
      </c>
      <c r="CL16">
        <f>IF(COUNTIFS(T_StockCount[RM_Code],$A16,T_StockCount[WeekIndex],89)&gt;0,SUMIFS(T_StockCount[CountedQty],T_StockCount[RM_Code],$A16,T_StockCount[WeekIndex],89),IF((COUNTIFS(T_SelfStock[RM_Code],$A16,T_SelfStock[WeekIndex],89)&gt;0)*(COUNTIFS(T_TTAFStock[RM_Code],$A16,T_TTAFStock[WeekIndex],89)&gt;0)&gt;0,SUMIFS(T_SelfStock[Self_Qty],T_SelfStock[RM_Code],$A16,T_SelfStock[WeekIndex],89)+SUMIFS(T_TTAFStock[TTAF_Qty],T_TTAFStock[RM_Code],$A16,T_TTAFStock[WeekIndex],89),CK16+'Grid_Incoming'!CL16-'Grid_Requirement'!CL16))</f>
        <v/>
      </c>
      <c r="CM16">
        <f>IF(COUNTIFS(T_StockCount[RM_Code],$A16,T_StockCount[WeekIndex],90)&gt;0,SUMIFS(T_StockCount[CountedQty],T_StockCount[RM_Code],$A16,T_StockCount[WeekIndex],90),IF((COUNTIFS(T_SelfStock[RM_Code],$A16,T_SelfStock[WeekIndex],90)&gt;0)*(COUNTIFS(T_TTAFStock[RM_Code],$A16,T_TTAFStock[WeekIndex],90)&gt;0)&gt;0,SUMIFS(T_SelfStock[Self_Qty],T_SelfStock[RM_Code],$A16,T_SelfStock[WeekIndex],90)+SUMIFS(T_TTAFStock[TTAF_Qty],T_TTAFStock[RM_Code],$A16,T_TTAFStock[WeekIndex],90),CL16+'Grid_Incoming'!CM16-'Grid_Requirement'!CM16))</f>
        <v/>
      </c>
      <c r="CN16">
        <f>IF(COUNTIFS(T_StockCount[RM_Code],$A16,T_StockCount[WeekIndex],91)&gt;0,SUMIFS(T_StockCount[CountedQty],T_StockCount[RM_Code],$A16,T_StockCount[WeekIndex],91),IF((COUNTIFS(T_SelfStock[RM_Code],$A16,T_SelfStock[WeekIndex],91)&gt;0)*(COUNTIFS(T_TTAFStock[RM_Code],$A16,T_TTAFStock[WeekIndex],91)&gt;0)&gt;0,SUMIFS(T_SelfStock[Self_Qty],T_SelfStock[RM_Code],$A16,T_SelfStock[WeekIndex],91)+SUMIFS(T_TTAFStock[TTAF_Qty],T_TTAFStock[RM_Code],$A16,T_TTAFStock[WeekIndex],91),CM16+'Grid_Incoming'!CN16-'Grid_Requirement'!CN16))</f>
        <v/>
      </c>
      <c r="CO16">
        <f>IF(COUNTIFS(T_StockCount[RM_Code],$A16,T_StockCount[WeekIndex],92)&gt;0,SUMIFS(T_StockCount[CountedQty],T_StockCount[RM_Code],$A16,T_StockCount[WeekIndex],92),IF((COUNTIFS(T_SelfStock[RM_Code],$A16,T_SelfStock[WeekIndex],92)&gt;0)*(COUNTIFS(T_TTAFStock[RM_Code],$A16,T_TTAFStock[WeekIndex],92)&gt;0)&gt;0,SUMIFS(T_SelfStock[Self_Qty],T_SelfStock[RM_Code],$A16,T_SelfStock[WeekIndex],92)+SUMIFS(T_TTAFStock[TTAF_Qty],T_TTAFStock[RM_Code],$A16,T_TTAFStock[WeekIndex],92),CN16+'Grid_Incoming'!CO16-'Grid_Requirement'!CO16))</f>
        <v/>
      </c>
      <c r="CP16">
        <f>IF(COUNTIFS(T_StockCount[RM_Code],$A16,T_StockCount[WeekIndex],93)&gt;0,SUMIFS(T_StockCount[CountedQty],T_StockCount[RM_Code],$A16,T_StockCount[WeekIndex],93),IF((COUNTIFS(T_SelfStock[RM_Code],$A16,T_SelfStock[WeekIndex],93)&gt;0)*(COUNTIFS(T_TTAFStock[RM_Code],$A16,T_TTAFStock[WeekIndex],93)&gt;0)&gt;0,SUMIFS(T_SelfStock[Self_Qty],T_SelfStock[RM_Code],$A16,T_SelfStock[WeekIndex],93)+SUMIFS(T_TTAFStock[TTAF_Qty],T_TTAFStock[RM_Code],$A16,T_TTAFStock[WeekIndex],93),CO16+'Grid_Incoming'!CP16-'Grid_Requirement'!CP16))</f>
        <v/>
      </c>
      <c r="CQ16">
        <f>IF(COUNTIFS(T_StockCount[RM_Code],$A16,T_StockCount[WeekIndex],94)&gt;0,SUMIFS(T_StockCount[CountedQty],T_StockCount[RM_Code],$A16,T_StockCount[WeekIndex],94),IF((COUNTIFS(T_SelfStock[RM_Code],$A16,T_SelfStock[WeekIndex],94)&gt;0)*(COUNTIFS(T_TTAFStock[RM_Code],$A16,T_TTAFStock[WeekIndex],94)&gt;0)&gt;0,SUMIFS(T_SelfStock[Self_Qty],T_SelfStock[RM_Code],$A16,T_SelfStock[WeekIndex],94)+SUMIFS(T_TTAFStock[TTAF_Qty],T_TTAFStock[RM_Code],$A16,T_TTAFStock[WeekIndex],94),CP16+'Grid_Incoming'!CQ16-'Grid_Requirement'!CQ16))</f>
        <v/>
      </c>
      <c r="CR16">
        <f>IF(COUNTIFS(T_StockCount[RM_Code],$A16,T_StockCount[WeekIndex],95)&gt;0,SUMIFS(T_StockCount[CountedQty],T_StockCount[RM_Code],$A16,T_StockCount[WeekIndex],95),IF((COUNTIFS(T_SelfStock[RM_Code],$A16,T_SelfStock[WeekIndex],95)&gt;0)*(COUNTIFS(T_TTAFStock[RM_Code],$A16,T_TTAFStock[WeekIndex],95)&gt;0)&gt;0,SUMIFS(T_SelfStock[Self_Qty],T_SelfStock[RM_Code],$A16,T_SelfStock[WeekIndex],95)+SUMIFS(T_TTAFStock[TTAF_Qty],T_TTAFStock[RM_Code],$A16,T_TTAFStock[WeekIndex],95),CQ16+'Grid_Incoming'!CR16-'Grid_Requirement'!CR16))</f>
        <v/>
      </c>
      <c r="CS16">
        <f>IF(COUNTIFS(T_StockCount[RM_Code],$A16,T_StockCount[WeekIndex],96)&gt;0,SUMIFS(T_StockCount[CountedQty],T_StockCount[RM_Code],$A16,T_StockCount[WeekIndex],96),IF((COUNTIFS(T_SelfStock[RM_Code],$A16,T_SelfStock[WeekIndex],96)&gt;0)*(COUNTIFS(T_TTAFStock[RM_Code],$A16,T_TTAFStock[WeekIndex],96)&gt;0)&gt;0,SUMIFS(T_SelfStock[Self_Qty],T_SelfStock[RM_Code],$A16,T_SelfStock[WeekIndex],96)+SUMIFS(T_TTAFStock[TTAF_Qty],T_TTAFStock[RM_Code],$A16,T_TTAFStock[WeekIndex],96),CR16+'Grid_Incoming'!CS16-'Grid_Requirement'!CS16))</f>
        <v/>
      </c>
      <c r="CT16">
        <f>IF(COUNTIFS(T_StockCount[RM_Code],$A16,T_StockCount[WeekIndex],97)&gt;0,SUMIFS(T_StockCount[CountedQty],T_StockCount[RM_Code],$A16,T_StockCount[WeekIndex],97),IF((COUNTIFS(T_SelfStock[RM_Code],$A16,T_SelfStock[WeekIndex],97)&gt;0)*(COUNTIFS(T_TTAFStock[RM_Code],$A16,T_TTAFStock[WeekIndex],97)&gt;0)&gt;0,SUMIFS(T_SelfStock[Self_Qty],T_SelfStock[RM_Code],$A16,T_SelfStock[WeekIndex],97)+SUMIFS(T_TTAFStock[TTAF_Qty],T_TTAFStock[RM_Code],$A16,T_TTAFStock[WeekIndex],97),CS16+'Grid_Incoming'!CT16-'Grid_Requirement'!CT16))</f>
        <v/>
      </c>
      <c r="CU16">
        <f>IF(COUNTIFS(T_StockCount[RM_Code],$A16,T_StockCount[WeekIndex],98)&gt;0,SUMIFS(T_StockCount[CountedQty],T_StockCount[RM_Code],$A16,T_StockCount[WeekIndex],98),IF((COUNTIFS(T_SelfStock[RM_Code],$A16,T_SelfStock[WeekIndex],98)&gt;0)*(COUNTIFS(T_TTAFStock[RM_Code],$A16,T_TTAFStock[WeekIndex],98)&gt;0)&gt;0,SUMIFS(T_SelfStock[Self_Qty],T_SelfStock[RM_Code],$A16,T_SelfStock[WeekIndex],98)+SUMIFS(T_TTAFStock[TTAF_Qty],T_TTAFStock[RM_Code],$A16,T_TTAFStock[WeekIndex],98),CT16+'Grid_Incoming'!CU16-'Grid_Requirement'!CU16))</f>
        <v/>
      </c>
      <c r="CV16">
        <f>IF(COUNTIFS(T_StockCount[RM_Code],$A16,T_StockCount[WeekIndex],99)&gt;0,SUMIFS(T_StockCount[CountedQty],T_StockCount[RM_Code],$A16,T_StockCount[WeekIndex],99),IF((COUNTIFS(T_SelfStock[RM_Code],$A16,T_SelfStock[WeekIndex],99)&gt;0)*(COUNTIFS(T_TTAFStock[RM_Code],$A16,T_TTAFStock[WeekIndex],99)&gt;0)&gt;0,SUMIFS(T_SelfStock[Self_Qty],T_SelfStock[RM_Code],$A16,T_SelfStock[WeekIndex],99)+SUMIFS(T_TTAFStock[TTAF_Qty],T_TTAFStock[RM_Code],$A16,T_TTAFStock[WeekIndex],99),CU16+'Grid_Incoming'!CV16-'Grid_Requirement'!CV16))</f>
        <v/>
      </c>
      <c r="CW16">
        <f>IF(COUNTIFS(T_StockCount[RM_Code],$A16,T_StockCount[WeekIndex],100)&gt;0,SUMIFS(T_StockCount[CountedQty],T_StockCount[RM_Code],$A16,T_StockCount[WeekIndex],100),IF((COUNTIFS(T_SelfStock[RM_Code],$A16,T_SelfStock[WeekIndex],100)&gt;0)*(COUNTIFS(T_TTAFStock[RM_Code],$A16,T_TTAFStock[WeekIndex],100)&gt;0)&gt;0,SUMIFS(T_SelfStock[Self_Qty],T_SelfStock[RM_Code],$A16,T_SelfStock[WeekIndex],100)+SUMIFS(T_TTAFStock[TTAF_Qty],T_TTAFStock[RM_Code],$A16,T_TTAFStock[WeekIndex],100),CV16+'Grid_Incoming'!CW16-'Grid_Requirement'!CW16))</f>
        <v/>
      </c>
      <c r="CX16">
        <f>IF(COUNTIFS(T_StockCount[RM_Code],$A16,T_StockCount[WeekIndex],101)&gt;0,SUMIFS(T_StockCount[CountedQty],T_StockCount[RM_Code],$A16,T_StockCount[WeekIndex],101),IF((COUNTIFS(T_SelfStock[RM_Code],$A16,T_SelfStock[WeekIndex],101)&gt;0)*(COUNTIFS(T_TTAFStock[RM_Code],$A16,T_TTAFStock[WeekIndex],101)&gt;0)&gt;0,SUMIFS(T_SelfStock[Self_Qty],T_SelfStock[RM_Code],$A16,T_SelfStock[WeekIndex],101)+SUMIFS(T_TTAFStock[TTAF_Qty],T_TTAFStock[RM_Code],$A16,T_TTAFStock[WeekIndex],101),CW16+'Grid_Incoming'!CX16-'Grid_Requirement'!CX16))</f>
        <v/>
      </c>
      <c r="CY16">
        <f>IF(COUNTIFS(T_StockCount[RM_Code],$A16,T_StockCount[WeekIndex],102)&gt;0,SUMIFS(T_StockCount[CountedQty],T_StockCount[RM_Code],$A16,T_StockCount[WeekIndex],102),IF((COUNTIFS(T_SelfStock[RM_Code],$A16,T_SelfStock[WeekIndex],102)&gt;0)*(COUNTIFS(T_TTAFStock[RM_Code],$A16,T_TTAFStock[WeekIndex],102)&gt;0)&gt;0,SUMIFS(T_SelfStock[Self_Qty],T_SelfStock[RM_Code],$A16,T_SelfStock[WeekIndex],102)+SUMIFS(T_TTAFStock[TTAF_Qty],T_TTAFStock[RM_Code],$A16,T_TTAFStock[WeekIndex],102),CX16+'Grid_Incoming'!CY16-'Grid_Requirement'!CY16))</f>
        <v/>
      </c>
      <c r="CZ16">
        <f>IF(COUNTIFS(T_StockCount[RM_Code],$A16,T_StockCount[WeekIndex],103)&gt;0,SUMIFS(T_StockCount[CountedQty],T_StockCount[RM_Code],$A16,T_StockCount[WeekIndex],103),IF((COUNTIFS(T_SelfStock[RM_Code],$A16,T_SelfStock[WeekIndex],103)&gt;0)*(COUNTIFS(T_TTAFStock[RM_Code],$A16,T_TTAFStock[WeekIndex],103)&gt;0)&gt;0,SUMIFS(T_SelfStock[Self_Qty],T_SelfStock[RM_Code],$A16,T_SelfStock[WeekIndex],103)+SUMIFS(T_TTAFStock[TTAF_Qty],T_TTAFStock[RM_Code],$A16,T_TTAFStock[WeekIndex],103),CY16+'Grid_Incoming'!CZ16-'Grid_Requirement'!CZ16))</f>
        <v/>
      </c>
      <c r="DA16">
        <f>IF(COUNTIFS(T_StockCount[RM_Code],$A16,T_StockCount[WeekIndex],104)&gt;0,SUMIFS(T_StockCount[CountedQty],T_StockCount[RM_Code],$A16,T_StockCount[WeekIndex],104),IF((COUNTIFS(T_SelfStock[RM_Code],$A16,T_SelfStock[WeekIndex],104)&gt;0)*(COUNTIFS(T_TTAFStock[RM_Code],$A16,T_TTAFStock[WeekIndex],104)&gt;0)&gt;0,SUMIFS(T_SelfStock[Self_Qty],T_SelfStock[RM_Code],$A16,T_SelfStock[WeekIndex],104)+SUMIFS(T_TTAFStock[TTAF_Qty],T_TTAFStock[RM_Code],$A16,T_TTAFStock[WeekIndex],104),CZ16+'Grid_Incoming'!DA16-'Grid_Requirement'!DA16))</f>
        <v/>
      </c>
    </row>
    <row r="17">
      <c r="A17" t="inlineStr">
        <is>
          <t>F2290</t>
        </is>
      </c>
      <c r="B17">
        <f>IF(COUNTIFS(T_StockCount[RM_Code],$A17,T_StockCount[WeekIndex],1)&gt;0,SUMIFS(T_StockCount[CountedQty],T_StockCount[RM_Code],$A17,T_StockCount[WeekIndex],1),IF((COUNTIFS(T_SelfStock[RM_Code],$A17,T_SelfStock[WeekIndex],1)&gt;0)*(COUNTIFS(T_TTAFStock[RM_Code],$A17,T_TTAFStock[WeekIndex],1)&gt;0)&gt;0,SUMIFS(T_SelfStock[Self_Qty],T_SelfStock[RM_Code],$A17,T_SelfStock[WeekIndex],1)+SUMIFS(T_TTAFStock[TTAF_Qty],T_TTAFStock[RM_Code],$A17,T_TTAFStock[WeekIndex],1),IFERROR(INDEX(T_OpeningStock[Opening_Qty],MATCH($A17,T_OpeningStock[RM_Code],0)),0)+'Grid_Incoming'!B17-'Grid_Requirement'!B17))</f>
        <v/>
      </c>
      <c r="C17">
        <f>IF(COUNTIFS(T_StockCount[RM_Code],$A17,T_StockCount[WeekIndex],2)&gt;0,SUMIFS(T_StockCount[CountedQty],T_StockCount[RM_Code],$A17,T_StockCount[WeekIndex],2),IF((COUNTIFS(T_SelfStock[RM_Code],$A17,T_SelfStock[WeekIndex],2)&gt;0)*(COUNTIFS(T_TTAFStock[RM_Code],$A17,T_TTAFStock[WeekIndex],2)&gt;0)&gt;0,SUMIFS(T_SelfStock[Self_Qty],T_SelfStock[RM_Code],$A17,T_SelfStock[WeekIndex],2)+SUMIFS(T_TTAFStock[TTAF_Qty],T_TTAFStock[RM_Code],$A17,T_TTAFStock[WeekIndex],2),B17+'Grid_Incoming'!C17-'Grid_Requirement'!C17))</f>
        <v/>
      </c>
      <c r="D17">
        <f>IF(COUNTIFS(T_StockCount[RM_Code],$A17,T_StockCount[WeekIndex],3)&gt;0,SUMIFS(T_StockCount[CountedQty],T_StockCount[RM_Code],$A17,T_StockCount[WeekIndex],3),IF((COUNTIFS(T_SelfStock[RM_Code],$A17,T_SelfStock[WeekIndex],3)&gt;0)*(COUNTIFS(T_TTAFStock[RM_Code],$A17,T_TTAFStock[WeekIndex],3)&gt;0)&gt;0,SUMIFS(T_SelfStock[Self_Qty],T_SelfStock[RM_Code],$A17,T_SelfStock[WeekIndex],3)+SUMIFS(T_TTAFStock[TTAF_Qty],T_TTAFStock[RM_Code],$A17,T_TTAFStock[WeekIndex],3),C17+'Grid_Incoming'!D17-'Grid_Requirement'!D17))</f>
        <v/>
      </c>
      <c r="E17">
        <f>IF(COUNTIFS(T_StockCount[RM_Code],$A17,T_StockCount[WeekIndex],4)&gt;0,SUMIFS(T_StockCount[CountedQty],T_StockCount[RM_Code],$A17,T_StockCount[WeekIndex],4),IF((COUNTIFS(T_SelfStock[RM_Code],$A17,T_SelfStock[WeekIndex],4)&gt;0)*(COUNTIFS(T_TTAFStock[RM_Code],$A17,T_TTAFStock[WeekIndex],4)&gt;0)&gt;0,SUMIFS(T_SelfStock[Self_Qty],T_SelfStock[RM_Code],$A17,T_SelfStock[WeekIndex],4)+SUMIFS(T_TTAFStock[TTAF_Qty],T_TTAFStock[RM_Code],$A17,T_TTAFStock[WeekIndex],4),D17+'Grid_Incoming'!E17-'Grid_Requirement'!E17))</f>
        <v/>
      </c>
      <c r="F17">
        <f>IF(COUNTIFS(T_StockCount[RM_Code],$A17,T_StockCount[WeekIndex],5)&gt;0,SUMIFS(T_StockCount[CountedQty],T_StockCount[RM_Code],$A17,T_StockCount[WeekIndex],5),IF((COUNTIFS(T_SelfStock[RM_Code],$A17,T_SelfStock[WeekIndex],5)&gt;0)*(COUNTIFS(T_TTAFStock[RM_Code],$A17,T_TTAFStock[WeekIndex],5)&gt;0)&gt;0,SUMIFS(T_SelfStock[Self_Qty],T_SelfStock[RM_Code],$A17,T_SelfStock[WeekIndex],5)+SUMIFS(T_TTAFStock[TTAF_Qty],T_TTAFStock[RM_Code],$A17,T_TTAFStock[WeekIndex],5),E17+'Grid_Incoming'!F17-'Grid_Requirement'!F17))</f>
        <v/>
      </c>
      <c r="G17">
        <f>IF(COUNTIFS(T_StockCount[RM_Code],$A17,T_StockCount[WeekIndex],6)&gt;0,SUMIFS(T_StockCount[CountedQty],T_StockCount[RM_Code],$A17,T_StockCount[WeekIndex],6),IF((COUNTIFS(T_SelfStock[RM_Code],$A17,T_SelfStock[WeekIndex],6)&gt;0)*(COUNTIFS(T_TTAFStock[RM_Code],$A17,T_TTAFStock[WeekIndex],6)&gt;0)&gt;0,SUMIFS(T_SelfStock[Self_Qty],T_SelfStock[RM_Code],$A17,T_SelfStock[WeekIndex],6)+SUMIFS(T_TTAFStock[TTAF_Qty],T_TTAFStock[RM_Code],$A17,T_TTAFStock[WeekIndex],6),F17+'Grid_Incoming'!G17-'Grid_Requirement'!G17))</f>
        <v/>
      </c>
      <c r="H17">
        <f>IF(COUNTIFS(T_StockCount[RM_Code],$A17,T_StockCount[WeekIndex],7)&gt;0,SUMIFS(T_StockCount[CountedQty],T_StockCount[RM_Code],$A17,T_StockCount[WeekIndex],7),IF((COUNTIFS(T_SelfStock[RM_Code],$A17,T_SelfStock[WeekIndex],7)&gt;0)*(COUNTIFS(T_TTAFStock[RM_Code],$A17,T_TTAFStock[WeekIndex],7)&gt;0)&gt;0,SUMIFS(T_SelfStock[Self_Qty],T_SelfStock[RM_Code],$A17,T_SelfStock[WeekIndex],7)+SUMIFS(T_TTAFStock[TTAF_Qty],T_TTAFStock[RM_Code],$A17,T_TTAFStock[WeekIndex],7),G17+'Grid_Incoming'!H17-'Grid_Requirement'!H17))</f>
        <v/>
      </c>
      <c r="I17">
        <f>IF(COUNTIFS(T_StockCount[RM_Code],$A17,T_StockCount[WeekIndex],8)&gt;0,SUMIFS(T_StockCount[CountedQty],T_StockCount[RM_Code],$A17,T_StockCount[WeekIndex],8),IF((COUNTIFS(T_SelfStock[RM_Code],$A17,T_SelfStock[WeekIndex],8)&gt;0)*(COUNTIFS(T_TTAFStock[RM_Code],$A17,T_TTAFStock[WeekIndex],8)&gt;0)&gt;0,SUMIFS(T_SelfStock[Self_Qty],T_SelfStock[RM_Code],$A17,T_SelfStock[WeekIndex],8)+SUMIFS(T_TTAFStock[TTAF_Qty],T_TTAFStock[RM_Code],$A17,T_TTAFStock[WeekIndex],8),H17+'Grid_Incoming'!I17-'Grid_Requirement'!I17))</f>
        <v/>
      </c>
      <c r="J17">
        <f>IF(COUNTIFS(T_StockCount[RM_Code],$A17,T_StockCount[WeekIndex],9)&gt;0,SUMIFS(T_StockCount[CountedQty],T_StockCount[RM_Code],$A17,T_StockCount[WeekIndex],9),IF((COUNTIFS(T_SelfStock[RM_Code],$A17,T_SelfStock[WeekIndex],9)&gt;0)*(COUNTIFS(T_TTAFStock[RM_Code],$A17,T_TTAFStock[WeekIndex],9)&gt;0)&gt;0,SUMIFS(T_SelfStock[Self_Qty],T_SelfStock[RM_Code],$A17,T_SelfStock[WeekIndex],9)+SUMIFS(T_TTAFStock[TTAF_Qty],T_TTAFStock[RM_Code],$A17,T_TTAFStock[WeekIndex],9),I17+'Grid_Incoming'!J17-'Grid_Requirement'!J17))</f>
        <v/>
      </c>
      <c r="K17">
        <f>IF(COUNTIFS(T_StockCount[RM_Code],$A17,T_StockCount[WeekIndex],10)&gt;0,SUMIFS(T_StockCount[CountedQty],T_StockCount[RM_Code],$A17,T_StockCount[WeekIndex],10),IF((COUNTIFS(T_SelfStock[RM_Code],$A17,T_SelfStock[WeekIndex],10)&gt;0)*(COUNTIFS(T_TTAFStock[RM_Code],$A17,T_TTAFStock[WeekIndex],10)&gt;0)&gt;0,SUMIFS(T_SelfStock[Self_Qty],T_SelfStock[RM_Code],$A17,T_SelfStock[WeekIndex],10)+SUMIFS(T_TTAFStock[TTAF_Qty],T_TTAFStock[RM_Code],$A17,T_TTAFStock[WeekIndex],10),J17+'Grid_Incoming'!K17-'Grid_Requirement'!K17))</f>
        <v/>
      </c>
      <c r="L17">
        <f>IF(COUNTIFS(T_StockCount[RM_Code],$A17,T_StockCount[WeekIndex],11)&gt;0,SUMIFS(T_StockCount[CountedQty],T_StockCount[RM_Code],$A17,T_StockCount[WeekIndex],11),IF((COUNTIFS(T_SelfStock[RM_Code],$A17,T_SelfStock[WeekIndex],11)&gt;0)*(COUNTIFS(T_TTAFStock[RM_Code],$A17,T_TTAFStock[WeekIndex],11)&gt;0)&gt;0,SUMIFS(T_SelfStock[Self_Qty],T_SelfStock[RM_Code],$A17,T_SelfStock[WeekIndex],11)+SUMIFS(T_TTAFStock[TTAF_Qty],T_TTAFStock[RM_Code],$A17,T_TTAFStock[WeekIndex],11),K17+'Grid_Incoming'!L17-'Grid_Requirement'!L17))</f>
        <v/>
      </c>
      <c r="M17">
        <f>IF(COUNTIFS(T_StockCount[RM_Code],$A17,T_StockCount[WeekIndex],12)&gt;0,SUMIFS(T_StockCount[CountedQty],T_StockCount[RM_Code],$A17,T_StockCount[WeekIndex],12),IF((COUNTIFS(T_SelfStock[RM_Code],$A17,T_SelfStock[WeekIndex],12)&gt;0)*(COUNTIFS(T_TTAFStock[RM_Code],$A17,T_TTAFStock[WeekIndex],12)&gt;0)&gt;0,SUMIFS(T_SelfStock[Self_Qty],T_SelfStock[RM_Code],$A17,T_SelfStock[WeekIndex],12)+SUMIFS(T_TTAFStock[TTAF_Qty],T_TTAFStock[RM_Code],$A17,T_TTAFStock[WeekIndex],12),L17+'Grid_Incoming'!M17-'Grid_Requirement'!M17))</f>
        <v/>
      </c>
      <c r="N17">
        <f>IF(COUNTIFS(T_StockCount[RM_Code],$A17,T_StockCount[WeekIndex],13)&gt;0,SUMIFS(T_StockCount[CountedQty],T_StockCount[RM_Code],$A17,T_StockCount[WeekIndex],13),IF((COUNTIFS(T_SelfStock[RM_Code],$A17,T_SelfStock[WeekIndex],13)&gt;0)*(COUNTIFS(T_TTAFStock[RM_Code],$A17,T_TTAFStock[WeekIndex],13)&gt;0)&gt;0,SUMIFS(T_SelfStock[Self_Qty],T_SelfStock[RM_Code],$A17,T_SelfStock[WeekIndex],13)+SUMIFS(T_TTAFStock[TTAF_Qty],T_TTAFStock[RM_Code],$A17,T_TTAFStock[WeekIndex],13),M17+'Grid_Incoming'!N17-'Grid_Requirement'!N17))</f>
        <v/>
      </c>
      <c r="O17">
        <f>IF(COUNTIFS(T_StockCount[RM_Code],$A17,T_StockCount[WeekIndex],14)&gt;0,SUMIFS(T_StockCount[CountedQty],T_StockCount[RM_Code],$A17,T_StockCount[WeekIndex],14),IF((COUNTIFS(T_SelfStock[RM_Code],$A17,T_SelfStock[WeekIndex],14)&gt;0)*(COUNTIFS(T_TTAFStock[RM_Code],$A17,T_TTAFStock[WeekIndex],14)&gt;0)&gt;0,SUMIFS(T_SelfStock[Self_Qty],T_SelfStock[RM_Code],$A17,T_SelfStock[WeekIndex],14)+SUMIFS(T_TTAFStock[TTAF_Qty],T_TTAFStock[RM_Code],$A17,T_TTAFStock[WeekIndex],14),N17+'Grid_Incoming'!O17-'Grid_Requirement'!O17))</f>
        <v/>
      </c>
      <c r="P17">
        <f>IF(COUNTIFS(T_StockCount[RM_Code],$A17,T_StockCount[WeekIndex],15)&gt;0,SUMIFS(T_StockCount[CountedQty],T_StockCount[RM_Code],$A17,T_StockCount[WeekIndex],15),IF((COUNTIFS(T_SelfStock[RM_Code],$A17,T_SelfStock[WeekIndex],15)&gt;0)*(COUNTIFS(T_TTAFStock[RM_Code],$A17,T_TTAFStock[WeekIndex],15)&gt;0)&gt;0,SUMIFS(T_SelfStock[Self_Qty],T_SelfStock[RM_Code],$A17,T_SelfStock[WeekIndex],15)+SUMIFS(T_TTAFStock[TTAF_Qty],T_TTAFStock[RM_Code],$A17,T_TTAFStock[WeekIndex],15),O17+'Grid_Incoming'!P17-'Grid_Requirement'!P17))</f>
        <v/>
      </c>
      <c r="Q17">
        <f>IF(COUNTIFS(T_StockCount[RM_Code],$A17,T_StockCount[WeekIndex],16)&gt;0,SUMIFS(T_StockCount[CountedQty],T_StockCount[RM_Code],$A17,T_StockCount[WeekIndex],16),IF((COUNTIFS(T_SelfStock[RM_Code],$A17,T_SelfStock[WeekIndex],16)&gt;0)*(COUNTIFS(T_TTAFStock[RM_Code],$A17,T_TTAFStock[WeekIndex],16)&gt;0)&gt;0,SUMIFS(T_SelfStock[Self_Qty],T_SelfStock[RM_Code],$A17,T_SelfStock[WeekIndex],16)+SUMIFS(T_TTAFStock[TTAF_Qty],T_TTAFStock[RM_Code],$A17,T_TTAFStock[WeekIndex],16),P17+'Grid_Incoming'!Q17-'Grid_Requirement'!Q17))</f>
        <v/>
      </c>
      <c r="R17">
        <f>IF(COUNTIFS(T_StockCount[RM_Code],$A17,T_StockCount[WeekIndex],17)&gt;0,SUMIFS(T_StockCount[CountedQty],T_StockCount[RM_Code],$A17,T_StockCount[WeekIndex],17),IF((COUNTIFS(T_SelfStock[RM_Code],$A17,T_SelfStock[WeekIndex],17)&gt;0)*(COUNTIFS(T_TTAFStock[RM_Code],$A17,T_TTAFStock[WeekIndex],17)&gt;0)&gt;0,SUMIFS(T_SelfStock[Self_Qty],T_SelfStock[RM_Code],$A17,T_SelfStock[WeekIndex],17)+SUMIFS(T_TTAFStock[TTAF_Qty],T_TTAFStock[RM_Code],$A17,T_TTAFStock[WeekIndex],17),Q17+'Grid_Incoming'!R17-'Grid_Requirement'!R17))</f>
        <v/>
      </c>
      <c r="S17">
        <f>IF(COUNTIFS(T_StockCount[RM_Code],$A17,T_StockCount[WeekIndex],18)&gt;0,SUMIFS(T_StockCount[CountedQty],T_StockCount[RM_Code],$A17,T_StockCount[WeekIndex],18),IF((COUNTIFS(T_SelfStock[RM_Code],$A17,T_SelfStock[WeekIndex],18)&gt;0)*(COUNTIFS(T_TTAFStock[RM_Code],$A17,T_TTAFStock[WeekIndex],18)&gt;0)&gt;0,SUMIFS(T_SelfStock[Self_Qty],T_SelfStock[RM_Code],$A17,T_SelfStock[WeekIndex],18)+SUMIFS(T_TTAFStock[TTAF_Qty],T_TTAFStock[RM_Code],$A17,T_TTAFStock[WeekIndex],18),R17+'Grid_Incoming'!S17-'Grid_Requirement'!S17))</f>
        <v/>
      </c>
      <c r="T17">
        <f>IF(COUNTIFS(T_StockCount[RM_Code],$A17,T_StockCount[WeekIndex],19)&gt;0,SUMIFS(T_StockCount[CountedQty],T_StockCount[RM_Code],$A17,T_StockCount[WeekIndex],19),IF((COUNTIFS(T_SelfStock[RM_Code],$A17,T_SelfStock[WeekIndex],19)&gt;0)*(COUNTIFS(T_TTAFStock[RM_Code],$A17,T_TTAFStock[WeekIndex],19)&gt;0)&gt;0,SUMIFS(T_SelfStock[Self_Qty],T_SelfStock[RM_Code],$A17,T_SelfStock[WeekIndex],19)+SUMIFS(T_TTAFStock[TTAF_Qty],T_TTAFStock[RM_Code],$A17,T_TTAFStock[WeekIndex],19),S17+'Grid_Incoming'!T17-'Grid_Requirement'!T17))</f>
        <v/>
      </c>
      <c r="U17">
        <f>IF(COUNTIFS(T_StockCount[RM_Code],$A17,T_StockCount[WeekIndex],20)&gt;0,SUMIFS(T_StockCount[CountedQty],T_StockCount[RM_Code],$A17,T_StockCount[WeekIndex],20),IF((COUNTIFS(T_SelfStock[RM_Code],$A17,T_SelfStock[WeekIndex],20)&gt;0)*(COUNTIFS(T_TTAFStock[RM_Code],$A17,T_TTAFStock[WeekIndex],20)&gt;0)&gt;0,SUMIFS(T_SelfStock[Self_Qty],T_SelfStock[RM_Code],$A17,T_SelfStock[WeekIndex],20)+SUMIFS(T_TTAFStock[TTAF_Qty],T_TTAFStock[RM_Code],$A17,T_TTAFStock[WeekIndex],20),T17+'Grid_Incoming'!U17-'Grid_Requirement'!U17))</f>
        <v/>
      </c>
      <c r="V17">
        <f>IF(COUNTIFS(T_StockCount[RM_Code],$A17,T_StockCount[WeekIndex],21)&gt;0,SUMIFS(T_StockCount[CountedQty],T_StockCount[RM_Code],$A17,T_StockCount[WeekIndex],21),IF((COUNTIFS(T_SelfStock[RM_Code],$A17,T_SelfStock[WeekIndex],21)&gt;0)*(COUNTIFS(T_TTAFStock[RM_Code],$A17,T_TTAFStock[WeekIndex],21)&gt;0)&gt;0,SUMIFS(T_SelfStock[Self_Qty],T_SelfStock[RM_Code],$A17,T_SelfStock[WeekIndex],21)+SUMIFS(T_TTAFStock[TTAF_Qty],T_TTAFStock[RM_Code],$A17,T_TTAFStock[WeekIndex],21),U17+'Grid_Incoming'!V17-'Grid_Requirement'!V17))</f>
        <v/>
      </c>
      <c r="W17">
        <f>IF(COUNTIFS(T_StockCount[RM_Code],$A17,T_StockCount[WeekIndex],22)&gt;0,SUMIFS(T_StockCount[CountedQty],T_StockCount[RM_Code],$A17,T_StockCount[WeekIndex],22),IF((COUNTIFS(T_SelfStock[RM_Code],$A17,T_SelfStock[WeekIndex],22)&gt;0)*(COUNTIFS(T_TTAFStock[RM_Code],$A17,T_TTAFStock[WeekIndex],22)&gt;0)&gt;0,SUMIFS(T_SelfStock[Self_Qty],T_SelfStock[RM_Code],$A17,T_SelfStock[WeekIndex],22)+SUMIFS(T_TTAFStock[TTAF_Qty],T_TTAFStock[RM_Code],$A17,T_TTAFStock[WeekIndex],22),V17+'Grid_Incoming'!W17-'Grid_Requirement'!W17))</f>
        <v/>
      </c>
      <c r="X17">
        <f>IF(COUNTIFS(T_StockCount[RM_Code],$A17,T_StockCount[WeekIndex],23)&gt;0,SUMIFS(T_StockCount[CountedQty],T_StockCount[RM_Code],$A17,T_StockCount[WeekIndex],23),IF((COUNTIFS(T_SelfStock[RM_Code],$A17,T_SelfStock[WeekIndex],23)&gt;0)*(COUNTIFS(T_TTAFStock[RM_Code],$A17,T_TTAFStock[WeekIndex],23)&gt;0)&gt;0,SUMIFS(T_SelfStock[Self_Qty],T_SelfStock[RM_Code],$A17,T_SelfStock[WeekIndex],23)+SUMIFS(T_TTAFStock[TTAF_Qty],T_TTAFStock[RM_Code],$A17,T_TTAFStock[WeekIndex],23),W17+'Grid_Incoming'!X17-'Grid_Requirement'!X17))</f>
        <v/>
      </c>
      <c r="Y17">
        <f>IF(COUNTIFS(T_StockCount[RM_Code],$A17,T_StockCount[WeekIndex],24)&gt;0,SUMIFS(T_StockCount[CountedQty],T_StockCount[RM_Code],$A17,T_StockCount[WeekIndex],24),IF((COUNTIFS(T_SelfStock[RM_Code],$A17,T_SelfStock[WeekIndex],24)&gt;0)*(COUNTIFS(T_TTAFStock[RM_Code],$A17,T_TTAFStock[WeekIndex],24)&gt;0)&gt;0,SUMIFS(T_SelfStock[Self_Qty],T_SelfStock[RM_Code],$A17,T_SelfStock[WeekIndex],24)+SUMIFS(T_TTAFStock[TTAF_Qty],T_TTAFStock[RM_Code],$A17,T_TTAFStock[WeekIndex],24),X17+'Grid_Incoming'!Y17-'Grid_Requirement'!Y17))</f>
        <v/>
      </c>
      <c r="Z17">
        <f>IF(COUNTIFS(T_StockCount[RM_Code],$A17,T_StockCount[WeekIndex],25)&gt;0,SUMIFS(T_StockCount[CountedQty],T_StockCount[RM_Code],$A17,T_StockCount[WeekIndex],25),IF((COUNTIFS(T_SelfStock[RM_Code],$A17,T_SelfStock[WeekIndex],25)&gt;0)*(COUNTIFS(T_TTAFStock[RM_Code],$A17,T_TTAFStock[WeekIndex],25)&gt;0)&gt;0,SUMIFS(T_SelfStock[Self_Qty],T_SelfStock[RM_Code],$A17,T_SelfStock[WeekIndex],25)+SUMIFS(T_TTAFStock[TTAF_Qty],T_TTAFStock[RM_Code],$A17,T_TTAFStock[WeekIndex],25),Y17+'Grid_Incoming'!Z17-'Grid_Requirement'!Z17))</f>
        <v/>
      </c>
      <c r="AA17">
        <f>IF(COUNTIFS(T_StockCount[RM_Code],$A17,T_StockCount[WeekIndex],26)&gt;0,SUMIFS(T_StockCount[CountedQty],T_StockCount[RM_Code],$A17,T_StockCount[WeekIndex],26),IF((COUNTIFS(T_SelfStock[RM_Code],$A17,T_SelfStock[WeekIndex],26)&gt;0)*(COUNTIFS(T_TTAFStock[RM_Code],$A17,T_TTAFStock[WeekIndex],26)&gt;0)&gt;0,SUMIFS(T_SelfStock[Self_Qty],T_SelfStock[RM_Code],$A17,T_SelfStock[WeekIndex],26)+SUMIFS(T_TTAFStock[TTAF_Qty],T_TTAFStock[RM_Code],$A17,T_TTAFStock[WeekIndex],26),Z17+'Grid_Incoming'!AA17-'Grid_Requirement'!AA17))</f>
        <v/>
      </c>
      <c r="AB17">
        <f>IF(COUNTIFS(T_StockCount[RM_Code],$A17,T_StockCount[WeekIndex],27)&gt;0,SUMIFS(T_StockCount[CountedQty],T_StockCount[RM_Code],$A17,T_StockCount[WeekIndex],27),IF((COUNTIFS(T_SelfStock[RM_Code],$A17,T_SelfStock[WeekIndex],27)&gt;0)*(COUNTIFS(T_TTAFStock[RM_Code],$A17,T_TTAFStock[WeekIndex],27)&gt;0)&gt;0,SUMIFS(T_SelfStock[Self_Qty],T_SelfStock[RM_Code],$A17,T_SelfStock[WeekIndex],27)+SUMIFS(T_TTAFStock[TTAF_Qty],T_TTAFStock[RM_Code],$A17,T_TTAFStock[WeekIndex],27),AA17+'Grid_Incoming'!AB17-'Grid_Requirement'!AB17))</f>
        <v/>
      </c>
      <c r="AC17">
        <f>IF(COUNTIFS(T_StockCount[RM_Code],$A17,T_StockCount[WeekIndex],28)&gt;0,SUMIFS(T_StockCount[CountedQty],T_StockCount[RM_Code],$A17,T_StockCount[WeekIndex],28),IF((COUNTIFS(T_SelfStock[RM_Code],$A17,T_SelfStock[WeekIndex],28)&gt;0)*(COUNTIFS(T_TTAFStock[RM_Code],$A17,T_TTAFStock[WeekIndex],28)&gt;0)&gt;0,SUMIFS(T_SelfStock[Self_Qty],T_SelfStock[RM_Code],$A17,T_SelfStock[WeekIndex],28)+SUMIFS(T_TTAFStock[TTAF_Qty],T_TTAFStock[RM_Code],$A17,T_TTAFStock[WeekIndex],28),AB17+'Grid_Incoming'!AC17-'Grid_Requirement'!AC17))</f>
        <v/>
      </c>
      <c r="AD17">
        <f>IF(COUNTIFS(T_StockCount[RM_Code],$A17,T_StockCount[WeekIndex],29)&gt;0,SUMIFS(T_StockCount[CountedQty],T_StockCount[RM_Code],$A17,T_StockCount[WeekIndex],29),IF((COUNTIFS(T_SelfStock[RM_Code],$A17,T_SelfStock[WeekIndex],29)&gt;0)*(COUNTIFS(T_TTAFStock[RM_Code],$A17,T_TTAFStock[WeekIndex],29)&gt;0)&gt;0,SUMIFS(T_SelfStock[Self_Qty],T_SelfStock[RM_Code],$A17,T_SelfStock[WeekIndex],29)+SUMIFS(T_TTAFStock[TTAF_Qty],T_TTAFStock[RM_Code],$A17,T_TTAFStock[WeekIndex],29),AC17+'Grid_Incoming'!AD17-'Grid_Requirement'!AD17))</f>
        <v/>
      </c>
      <c r="AE17">
        <f>IF(COUNTIFS(T_StockCount[RM_Code],$A17,T_StockCount[WeekIndex],30)&gt;0,SUMIFS(T_StockCount[CountedQty],T_StockCount[RM_Code],$A17,T_StockCount[WeekIndex],30),IF((COUNTIFS(T_SelfStock[RM_Code],$A17,T_SelfStock[WeekIndex],30)&gt;0)*(COUNTIFS(T_TTAFStock[RM_Code],$A17,T_TTAFStock[WeekIndex],30)&gt;0)&gt;0,SUMIFS(T_SelfStock[Self_Qty],T_SelfStock[RM_Code],$A17,T_SelfStock[WeekIndex],30)+SUMIFS(T_TTAFStock[TTAF_Qty],T_TTAFStock[RM_Code],$A17,T_TTAFStock[WeekIndex],30),AD17+'Grid_Incoming'!AE17-'Grid_Requirement'!AE17))</f>
        <v/>
      </c>
      <c r="AF17">
        <f>IF(COUNTIFS(T_StockCount[RM_Code],$A17,T_StockCount[WeekIndex],31)&gt;0,SUMIFS(T_StockCount[CountedQty],T_StockCount[RM_Code],$A17,T_StockCount[WeekIndex],31),IF((COUNTIFS(T_SelfStock[RM_Code],$A17,T_SelfStock[WeekIndex],31)&gt;0)*(COUNTIFS(T_TTAFStock[RM_Code],$A17,T_TTAFStock[WeekIndex],31)&gt;0)&gt;0,SUMIFS(T_SelfStock[Self_Qty],T_SelfStock[RM_Code],$A17,T_SelfStock[WeekIndex],31)+SUMIFS(T_TTAFStock[TTAF_Qty],T_TTAFStock[RM_Code],$A17,T_TTAFStock[WeekIndex],31),AE17+'Grid_Incoming'!AF17-'Grid_Requirement'!AF17))</f>
        <v/>
      </c>
      <c r="AG17">
        <f>IF(COUNTIFS(T_StockCount[RM_Code],$A17,T_StockCount[WeekIndex],32)&gt;0,SUMIFS(T_StockCount[CountedQty],T_StockCount[RM_Code],$A17,T_StockCount[WeekIndex],32),IF((COUNTIFS(T_SelfStock[RM_Code],$A17,T_SelfStock[WeekIndex],32)&gt;0)*(COUNTIFS(T_TTAFStock[RM_Code],$A17,T_TTAFStock[WeekIndex],32)&gt;0)&gt;0,SUMIFS(T_SelfStock[Self_Qty],T_SelfStock[RM_Code],$A17,T_SelfStock[WeekIndex],32)+SUMIFS(T_TTAFStock[TTAF_Qty],T_TTAFStock[RM_Code],$A17,T_TTAFStock[WeekIndex],32),AF17+'Grid_Incoming'!AG17-'Grid_Requirement'!AG17))</f>
        <v/>
      </c>
      <c r="AH17">
        <f>IF(COUNTIFS(T_StockCount[RM_Code],$A17,T_StockCount[WeekIndex],33)&gt;0,SUMIFS(T_StockCount[CountedQty],T_StockCount[RM_Code],$A17,T_StockCount[WeekIndex],33),IF((COUNTIFS(T_SelfStock[RM_Code],$A17,T_SelfStock[WeekIndex],33)&gt;0)*(COUNTIFS(T_TTAFStock[RM_Code],$A17,T_TTAFStock[WeekIndex],33)&gt;0)&gt;0,SUMIFS(T_SelfStock[Self_Qty],T_SelfStock[RM_Code],$A17,T_SelfStock[WeekIndex],33)+SUMIFS(T_TTAFStock[TTAF_Qty],T_TTAFStock[RM_Code],$A17,T_TTAFStock[WeekIndex],33),AG17+'Grid_Incoming'!AH17-'Grid_Requirement'!AH17))</f>
        <v/>
      </c>
      <c r="AI17">
        <f>IF(COUNTIFS(T_StockCount[RM_Code],$A17,T_StockCount[WeekIndex],34)&gt;0,SUMIFS(T_StockCount[CountedQty],T_StockCount[RM_Code],$A17,T_StockCount[WeekIndex],34),IF((COUNTIFS(T_SelfStock[RM_Code],$A17,T_SelfStock[WeekIndex],34)&gt;0)*(COUNTIFS(T_TTAFStock[RM_Code],$A17,T_TTAFStock[WeekIndex],34)&gt;0)&gt;0,SUMIFS(T_SelfStock[Self_Qty],T_SelfStock[RM_Code],$A17,T_SelfStock[WeekIndex],34)+SUMIFS(T_TTAFStock[TTAF_Qty],T_TTAFStock[RM_Code],$A17,T_TTAFStock[WeekIndex],34),AH17+'Grid_Incoming'!AI17-'Grid_Requirement'!AI17))</f>
        <v/>
      </c>
      <c r="AJ17">
        <f>IF(COUNTIFS(T_StockCount[RM_Code],$A17,T_StockCount[WeekIndex],35)&gt;0,SUMIFS(T_StockCount[CountedQty],T_StockCount[RM_Code],$A17,T_StockCount[WeekIndex],35),IF((COUNTIFS(T_SelfStock[RM_Code],$A17,T_SelfStock[WeekIndex],35)&gt;0)*(COUNTIFS(T_TTAFStock[RM_Code],$A17,T_TTAFStock[WeekIndex],35)&gt;0)&gt;0,SUMIFS(T_SelfStock[Self_Qty],T_SelfStock[RM_Code],$A17,T_SelfStock[WeekIndex],35)+SUMIFS(T_TTAFStock[TTAF_Qty],T_TTAFStock[RM_Code],$A17,T_TTAFStock[WeekIndex],35),AI17+'Grid_Incoming'!AJ17-'Grid_Requirement'!AJ17))</f>
        <v/>
      </c>
      <c r="AK17">
        <f>IF(COUNTIFS(T_StockCount[RM_Code],$A17,T_StockCount[WeekIndex],36)&gt;0,SUMIFS(T_StockCount[CountedQty],T_StockCount[RM_Code],$A17,T_StockCount[WeekIndex],36),IF((COUNTIFS(T_SelfStock[RM_Code],$A17,T_SelfStock[WeekIndex],36)&gt;0)*(COUNTIFS(T_TTAFStock[RM_Code],$A17,T_TTAFStock[WeekIndex],36)&gt;0)&gt;0,SUMIFS(T_SelfStock[Self_Qty],T_SelfStock[RM_Code],$A17,T_SelfStock[WeekIndex],36)+SUMIFS(T_TTAFStock[TTAF_Qty],T_TTAFStock[RM_Code],$A17,T_TTAFStock[WeekIndex],36),AJ17+'Grid_Incoming'!AK17-'Grid_Requirement'!AK17))</f>
        <v/>
      </c>
      <c r="AL17">
        <f>IF(COUNTIFS(T_StockCount[RM_Code],$A17,T_StockCount[WeekIndex],37)&gt;0,SUMIFS(T_StockCount[CountedQty],T_StockCount[RM_Code],$A17,T_StockCount[WeekIndex],37),IF((COUNTIFS(T_SelfStock[RM_Code],$A17,T_SelfStock[WeekIndex],37)&gt;0)*(COUNTIFS(T_TTAFStock[RM_Code],$A17,T_TTAFStock[WeekIndex],37)&gt;0)&gt;0,SUMIFS(T_SelfStock[Self_Qty],T_SelfStock[RM_Code],$A17,T_SelfStock[WeekIndex],37)+SUMIFS(T_TTAFStock[TTAF_Qty],T_TTAFStock[RM_Code],$A17,T_TTAFStock[WeekIndex],37),AK17+'Grid_Incoming'!AL17-'Grid_Requirement'!AL17))</f>
        <v/>
      </c>
      <c r="AM17">
        <f>IF(COUNTIFS(T_StockCount[RM_Code],$A17,T_StockCount[WeekIndex],38)&gt;0,SUMIFS(T_StockCount[CountedQty],T_StockCount[RM_Code],$A17,T_StockCount[WeekIndex],38),IF((COUNTIFS(T_SelfStock[RM_Code],$A17,T_SelfStock[WeekIndex],38)&gt;0)*(COUNTIFS(T_TTAFStock[RM_Code],$A17,T_TTAFStock[WeekIndex],38)&gt;0)&gt;0,SUMIFS(T_SelfStock[Self_Qty],T_SelfStock[RM_Code],$A17,T_SelfStock[WeekIndex],38)+SUMIFS(T_TTAFStock[TTAF_Qty],T_TTAFStock[RM_Code],$A17,T_TTAFStock[WeekIndex],38),AL17+'Grid_Incoming'!AM17-'Grid_Requirement'!AM17))</f>
        <v/>
      </c>
      <c r="AN17">
        <f>IF(COUNTIFS(T_StockCount[RM_Code],$A17,T_StockCount[WeekIndex],39)&gt;0,SUMIFS(T_StockCount[CountedQty],T_StockCount[RM_Code],$A17,T_StockCount[WeekIndex],39),IF((COUNTIFS(T_SelfStock[RM_Code],$A17,T_SelfStock[WeekIndex],39)&gt;0)*(COUNTIFS(T_TTAFStock[RM_Code],$A17,T_TTAFStock[WeekIndex],39)&gt;0)&gt;0,SUMIFS(T_SelfStock[Self_Qty],T_SelfStock[RM_Code],$A17,T_SelfStock[WeekIndex],39)+SUMIFS(T_TTAFStock[TTAF_Qty],T_TTAFStock[RM_Code],$A17,T_TTAFStock[WeekIndex],39),AM17+'Grid_Incoming'!AN17-'Grid_Requirement'!AN17))</f>
        <v/>
      </c>
      <c r="AO17">
        <f>IF(COUNTIFS(T_StockCount[RM_Code],$A17,T_StockCount[WeekIndex],40)&gt;0,SUMIFS(T_StockCount[CountedQty],T_StockCount[RM_Code],$A17,T_StockCount[WeekIndex],40),IF((COUNTIFS(T_SelfStock[RM_Code],$A17,T_SelfStock[WeekIndex],40)&gt;0)*(COUNTIFS(T_TTAFStock[RM_Code],$A17,T_TTAFStock[WeekIndex],40)&gt;0)&gt;0,SUMIFS(T_SelfStock[Self_Qty],T_SelfStock[RM_Code],$A17,T_SelfStock[WeekIndex],40)+SUMIFS(T_TTAFStock[TTAF_Qty],T_TTAFStock[RM_Code],$A17,T_TTAFStock[WeekIndex],40),AN17+'Grid_Incoming'!AO17-'Grid_Requirement'!AO17))</f>
        <v/>
      </c>
      <c r="AP17">
        <f>IF(COUNTIFS(T_StockCount[RM_Code],$A17,T_StockCount[WeekIndex],41)&gt;0,SUMIFS(T_StockCount[CountedQty],T_StockCount[RM_Code],$A17,T_StockCount[WeekIndex],41),IF((COUNTIFS(T_SelfStock[RM_Code],$A17,T_SelfStock[WeekIndex],41)&gt;0)*(COUNTIFS(T_TTAFStock[RM_Code],$A17,T_TTAFStock[WeekIndex],41)&gt;0)&gt;0,SUMIFS(T_SelfStock[Self_Qty],T_SelfStock[RM_Code],$A17,T_SelfStock[WeekIndex],41)+SUMIFS(T_TTAFStock[TTAF_Qty],T_TTAFStock[RM_Code],$A17,T_TTAFStock[WeekIndex],41),AO17+'Grid_Incoming'!AP17-'Grid_Requirement'!AP17))</f>
        <v/>
      </c>
      <c r="AQ17">
        <f>IF(COUNTIFS(T_StockCount[RM_Code],$A17,T_StockCount[WeekIndex],42)&gt;0,SUMIFS(T_StockCount[CountedQty],T_StockCount[RM_Code],$A17,T_StockCount[WeekIndex],42),IF((COUNTIFS(T_SelfStock[RM_Code],$A17,T_SelfStock[WeekIndex],42)&gt;0)*(COUNTIFS(T_TTAFStock[RM_Code],$A17,T_TTAFStock[WeekIndex],42)&gt;0)&gt;0,SUMIFS(T_SelfStock[Self_Qty],T_SelfStock[RM_Code],$A17,T_SelfStock[WeekIndex],42)+SUMIFS(T_TTAFStock[TTAF_Qty],T_TTAFStock[RM_Code],$A17,T_TTAFStock[WeekIndex],42),AP17+'Grid_Incoming'!AQ17-'Grid_Requirement'!AQ17))</f>
        <v/>
      </c>
      <c r="AR17">
        <f>IF(COUNTIFS(T_StockCount[RM_Code],$A17,T_StockCount[WeekIndex],43)&gt;0,SUMIFS(T_StockCount[CountedQty],T_StockCount[RM_Code],$A17,T_StockCount[WeekIndex],43),IF((COUNTIFS(T_SelfStock[RM_Code],$A17,T_SelfStock[WeekIndex],43)&gt;0)*(COUNTIFS(T_TTAFStock[RM_Code],$A17,T_TTAFStock[WeekIndex],43)&gt;0)&gt;0,SUMIFS(T_SelfStock[Self_Qty],T_SelfStock[RM_Code],$A17,T_SelfStock[WeekIndex],43)+SUMIFS(T_TTAFStock[TTAF_Qty],T_TTAFStock[RM_Code],$A17,T_TTAFStock[WeekIndex],43),AQ17+'Grid_Incoming'!AR17-'Grid_Requirement'!AR17))</f>
        <v/>
      </c>
      <c r="AS17">
        <f>IF(COUNTIFS(T_StockCount[RM_Code],$A17,T_StockCount[WeekIndex],44)&gt;0,SUMIFS(T_StockCount[CountedQty],T_StockCount[RM_Code],$A17,T_StockCount[WeekIndex],44),IF((COUNTIFS(T_SelfStock[RM_Code],$A17,T_SelfStock[WeekIndex],44)&gt;0)*(COUNTIFS(T_TTAFStock[RM_Code],$A17,T_TTAFStock[WeekIndex],44)&gt;0)&gt;0,SUMIFS(T_SelfStock[Self_Qty],T_SelfStock[RM_Code],$A17,T_SelfStock[WeekIndex],44)+SUMIFS(T_TTAFStock[TTAF_Qty],T_TTAFStock[RM_Code],$A17,T_TTAFStock[WeekIndex],44),AR17+'Grid_Incoming'!AS17-'Grid_Requirement'!AS17))</f>
        <v/>
      </c>
      <c r="AT17">
        <f>IF(COUNTIFS(T_StockCount[RM_Code],$A17,T_StockCount[WeekIndex],45)&gt;0,SUMIFS(T_StockCount[CountedQty],T_StockCount[RM_Code],$A17,T_StockCount[WeekIndex],45),IF((COUNTIFS(T_SelfStock[RM_Code],$A17,T_SelfStock[WeekIndex],45)&gt;0)*(COUNTIFS(T_TTAFStock[RM_Code],$A17,T_TTAFStock[WeekIndex],45)&gt;0)&gt;0,SUMIFS(T_SelfStock[Self_Qty],T_SelfStock[RM_Code],$A17,T_SelfStock[WeekIndex],45)+SUMIFS(T_TTAFStock[TTAF_Qty],T_TTAFStock[RM_Code],$A17,T_TTAFStock[WeekIndex],45),AS17+'Grid_Incoming'!AT17-'Grid_Requirement'!AT17))</f>
        <v/>
      </c>
      <c r="AU17">
        <f>IF(COUNTIFS(T_StockCount[RM_Code],$A17,T_StockCount[WeekIndex],46)&gt;0,SUMIFS(T_StockCount[CountedQty],T_StockCount[RM_Code],$A17,T_StockCount[WeekIndex],46),IF((COUNTIFS(T_SelfStock[RM_Code],$A17,T_SelfStock[WeekIndex],46)&gt;0)*(COUNTIFS(T_TTAFStock[RM_Code],$A17,T_TTAFStock[WeekIndex],46)&gt;0)&gt;0,SUMIFS(T_SelfStock[Self_Qty],T_SelfStock[RM_Code],$A17,T_SelfStock[WeekIndex],46)+SUMIFS(T_TTAFStock[TTAF_Qty],T_TTAFStock[RM_Code],$A17,T_TTAFStock[WeekIndex],46),AT17+'Grid_Incoming'!AU17-'Grid_Requirement'!AU17))</f>
        <v/>
      </c>
      <c r="AV17">
        <f>IF(COUNTIFS(T_StockCount[RM_Code],$A17,T_StockCount[WeekIndex],47)&gt;0,SUMIFS(T_StockCount[CountedQty],T_StockCount[RM_Code],$A17,T_StockCount[WeekIndex],47),IF((COUNTIFS(T_SelfStock[RM_Code],$A17,T_SelfStock[WeekIndex],47)&gt;0)*(COUNTIFS(T_TTAFStock[RM_Code],$A17,T_TTAFStock[WeekIndex],47)&gt;0)&gt;0,SUMIFS(T_SelfStock[Self_Qty],T_SelfStock[RM_Code],$A17,T_SelfStock[WeekIndex],47)+SUMIFS(T_TTAFStock[TTAF_Qty],T_TTAFStock[RM_Code],$A17,T_TTAFStock[WeekIndex],47),AU17+'Grid_Incoming'!AV17-'Grid_Requirement'!AV17))</f>
        <v/>
      </c>
      <c r="AW17">
        <f>IF(COUNTIFS(T_StockCount[RM_Code],$A17,T_StockCount[WeekIndex],48)&gt;0,SUMIFS(T_StockCount[CountedQty],T_StockCount[RM_Code],$A17,T_StockCount[WeekIndex],48),IF((COUNTIFS(T_SelfStock[RM_Code],$A17,T_SelfStock[WeekIndex],48)&gt;0)*(COUNTIFS(T_TTAFStock[RM_Code],$A17,T_TTAFStock[WeekIndex],48)&gt;0)&gt;0,SUMIFS(T_SelfStock[Self_Qty],T_SelfStock[RM_Code],$A17,T_SelfStock[WeekIndex],48)+SUMIFS(T_TTAFStock[TTAF_Qty],T_TTAFStock[RM_Code],$A17,T_TTAFStock[WeekIndex],48),AV17+'Grid_Incoming'!AW17-'Grid_Requirement'!AW17))</f>
        <v/>
      </c>
      <c r="AX17">
        <f>IF(COUNTIFS(T_StockCount[RM_Code],$A17,T_StockCount[WeekIndex],49)&gt;0,SUMIFS(T_StockCount[CountedQty],T_StockCount[RM_Code],$A17,T_StockCount[WeekIndex],49),IF((COUNTIFS(T_SelfStock[RM_Code],$A17,T_SelfStock[WeekIndex],49)&gt;0)*(COUNTIFS(T_TTAFStock[RM_Code],$A17,T_TTAFStock[WeekIndex],49)&gt;0)&gt;0,SUMIFS(T_SelfStock[Self_Qty],T_SelfStock[RM_Code],$A17,T_SelfStock[WeekIndex],49)+SUMIFS(T_TTAFStock[TTAF_Qty],T_TTAFStock[RM_Code],$A17,T_TTAFStock[WeekIndex],49),AW17+'Grid_Incoming'!AX17-'Grid_Requirement'!AX17))</f>
        <v/>
      </c>
      <c r="AY17">
        <f>IF(COUNTIFS(T_StockCount[RM_Code],$A17,T_StockCount[WeekIndex],50)&gt;0,SUMIFS(T_StockCount[CountedQty],T_StockCount[RM_Code],$A17,T_StockCount[WeekIndex],50),IF((COUNTIFS(T_SelfStock[RM_Code],$A17,T_SelfStock[WeekIndex],50)&gt;0)*(COUNTIFS(T_TTAFStock[RM_Code],$A17,T_TTAFStock[WeekIndex],50)&gt;0)&gt;0,SUMIFS(T_SelfStock[Self_Qty],T_SelfStock[RM_Code],$A17,T_SelfStock[WeekIndex],50)+SUMIFS(T_TTAFStock[TTAF_Qty],T_TTAFStock[RM_Code],$A17,T_TTAFStock[WeekIndex],50),AX17+'Grid_Incoming'!AY17-'Grid_Requirement'!AY17))</f>
        <v/>
      </c>
      <c r="AZ17">
        <f>IF(COUNTIFS(T_StockCount[RM_Code],$A17,T_StockCount[WeekIndex],51)&gt;0,SUMIFS(T_StockCount[CountedQty],T_StockCount[RM_Code],$A17,T_StockCount[WeekIndex],51),IF((COUNTIFS(T_SelfStock[RM_Code],$A17,T_SelfStock[WeekIndex],51)&gt;0)*(COUNTIFS(T_TTAFStock[RM_Code],$A17,T_TTAFStock[WeekIndex],51)&gt;0)&gt;0,SUMIFS(T_SelfStock[Self_Qty],T_SelfStock[RM_Code],$A17,T_SelfStock[WeekIndex],51)+SUMIFS(T_TTAFStock[TTAF_Qty],T_TTAFStock[RM_Code],$A17,T_TTAFStock[WeekIndex],51),AY17+'Grid_Incoming'!AZ17-'Grid_Requirement'!AZ17))</f>
        <v/>
      </c>
      <c r="BA17">
        <f>IF(COUNTIFS(T_StockCount[RM_Code],$A17,T_StockCount[WeekIndex],52)&gt;0,SUMIFS(T_StockCount[CountedQty],T_StockCount[RM_Code],$A17,T_StockCount[WeekIndex],52),IF((COUNTIFS(T_SelfStock[RM_Code],$A17,T_SelfStock[WeekIndex],52)&gt;0)*(COUNTIFS(T_TTAFStock[RM_Code],$A17,T_TTAFStock[WeekIndex],52)&gt;0)&gt;0,SUMIFS(T_SelfStock[Self_Qty],T_SelfStock[RM_Code],$A17,T_SelfStock[WeekIndex],52)+SUMIFS(T_TTAFStock[TTAF_Qty],T_TTAFStock[RM_Code],$A17,T_TTAFStock[WeekIndex],52),AZ17+'Grid_Incoming'!BA17-'Grid_Requirement'!BA17))</f>
        <v/>
      </c>
      <c r="BB17">
        <f>IF(COUNTIFS(T_StockCount[RM_Code],$A17,T_StockCount[WeekIndex],53)&gt;0,SUMIFS(T_StockCount[CountedQty],T_StockCount[RM_Code],$A17,T_StockCount[WeekIndex],53),IF((COUNTIFS(T_SelfStock[RM_Code],$A17,T_SelfStock[WeekIndex],53)&gt;0)*(COUNTIFS(T_TTAFStock[RM_Code],$A17,T_TTAFStock[WeekIndex],53)&gt;0)&gt;0,SUMIFS(T_SelfStock[Self_Qty],T_SelfStock[RM_Code],$A17,T_SelfStock[WeekIndex],53)+SUMIFS(T_TTAFStock[TTAF_Qty],T_TTAFStock[RM_Code],$A17,T_TTAFStock[WeekIndex],53),BA17+'Grid_Incoming'!BB17-'Grid_Requirement'!BB17))</f>
        <v/>
      </c>
      <c r="BC17">
        <f>IF(COUNTIFS(T_StockCount[RM_Code],$A17,T_StockCount[WeekIndex],54)&gt;0,SUMIFS(T_StockCount[CountedQty],T_StockCount[RM_Code],$A17,T_StockCount[WeekIndex],54),IF((COUNTIFS(T_SelfStock[RM_Code],$A17,T_SelfStock[WeekIndex],54)&gt;0)*(COUNTIFS(T_TTAFStock[RM_Code],$A17,T_TTAFStock[WeekIndex],54)&gt;0)&gt;0,SUMIFS(T_SelfStock[Self_Qty],T_SelfStock[RM_Code],$A17,T_SelfStock[WeekIndex],54)+SUMIFS(T_TTAFStock[TTAF_Qty],T_TTAFStock[RM_Code],$A17,T_TTAFStock[WeekIndex],54),BB17+'Grid_Incoming'!BC17-'Grid_Requirement'!BC17))</f>
        <v/>
      </c>
      <c r="BD17">
        <f>IF(COUNTIFS(T_StockCount[RM_Code],$A17,T_StockCount[WeekIndex],55)&gt;0,SUMIFS(T_StockCount[CountedQty],T_StockCount[RM_Code],$A17,T_StockCount[WeekIndex],55),IF((COUNTIFS(T_SelfStock[RM_Code],$A17,T_SelfStock[WeekIndex],55)&gt;0)*(COUNTIFS(T_TTAFStock[RM_Code],$A17,T_TTAFStock[WeekIndex],55)&gt;0)&gt;0,SUMIFS(T_SelfStock[Self_Qty],T_SelfStock[RM_Code],$A17,T_SelfStock[WeekIndex],55)+SUMIFS(T_TTAFStock[TTAF_Qty],T_TTAFStock[RM_Code],$A17,T_TTAFStock[WeekIndex],55),BC17+'Grid_Incoming'!BD17-'Grid_Requirement'!BD17))</f>
        <v/>
      </c>
      <c r="BE17">
        <f>IF(COUNTIFS(T_StockCount[RM_Code],$A17,T_StockCount[WeekIndex],56)&gt;0,SUMIFS(T_StockCount[CountedQty],T_StockCount[RM_Code],$A17,T_StockCount[WeekIndex],56),IF((COUNTIFS(T_SelfStock[RM_Code],$A17,T_SelfStock[WeekIndex],56)&gt;0)*(COUNTIFS(T_TTAFStock[RM_Code],$A17,T_TTAFStock[WeekIndex],56)&gt;0)&gt;0,SUMIFS(T_SelfStock[Self_Qty],T_SelfStock[RM_Code],$A17,T_SelfStock[WeekIndex],56)+SUMIFS(T_TTAFStock[TTAF_Qty],T_TTAFStock[RM_Code],$A17,T_TTAFStock[WeekIndex],56),BD17+'Grid_Incoming'!BE17-'Grid_Requirement'!BE17))</f>
        <v/>
      </c>
      <c r="BF17">
        <f>IF(COUNTIFS(T_StockCount[RM_Code],$A17,T_StockCount[WeekIndex],57)&gt;0,SUMIFS(T_StockCount[CountedQty],T_StockCount[RM_Code],$A17,T_StockCount[WeekIndex],57),IF((COUNTIFS(T_SelfStock[RM_Code],$A17,T_SelfStock[WeekIndex],57)&gt;0)*(COUNTIFS(T_TTAFStock[RM_Code],$A17,T_TTAFStock[WeekIndex],57)&gt;0)&gt;0,SUMIFS(T_SelfStock[Self_Qty],T_SelfStock[RM_Code],$A17,T_SelfStock[WeekIndex],57)+SUMIFS(T_TTAFStock[TTAF_Qty],T_TTAFStock[RM_Code],$A17,T_TTAFStock[WeekIndex],57),BE17+'Grid_Incoming'!BF17-'Grid_Requirement'!BF17))</f>
        <v/>
      </c>
      <c r="BG17">
        <f>IF(COUNTIFS(T_StockCount[RM_Code],$A17,T_StockCount[WeekIndex],58)&gt;0,SUMIFS(T_StockCount[CountedQty],T_StockCount[RM_Code],$A17,T_StockCount[WeekIndex],58),IF((COUNTIFS(T_SelfStock[RM_Code],$A17,T_SelfStock[WeekIndex],58)&gt;0)*(COUNTIFS(T_TTAFStock[RM_Code],$A17,T_TTAFStock[WeekIndex],58)&gt;0)&gt;0,SUMIFS(T_SelfStock[Self_Qty],T_SelfStock[RM_Code],$A17,T_SelfStock[WeekIndex],58)+SUMIFS(T_TTAFStock[TTAF_Qty],T_TTAFStock[RM_Code],$A17,T_TTAFStock[WeekIndex],58),BF17+'Grid_Incoming'!BG17-'Grid_Requirement'!BG17))</f>
        <v/>
      </c>
      <c r="BH17">
        <f>IF(COUNTIFS(T_StockCount[RM_Code],$A17,T_StockCount[WeekIndex],59)&gt;0,SUMIFS(T_StockCount[CountedQty],T_StockCount[RM_Code],$A17,T_StockCount[WeekIndex],59),IF((COUNTIFS(T_SelfStock[RM_Code],$A17,T_SelfStock[WeekIndex],59)&gt;0)*(COUNTIFS(T_TTAFStock[RM_Code],$A17,T_TTAFStock[WeekIndex],59)&gt;0)&gt;0,SUMIFS(T_SelfStock[Self_Qty],T_SelfStock[RM_Code],$A17,T_SelfStock[WeekIndex],59)+SUMIFS(T_TTAFStock[TTAF_Qty],T_TTAFStock[RM_Code],$A17,T_TTAFStock[WeekIndex],59),BG17+'Grid_Incoming'!BH17-'Grid_Requirement'!BH17))</f>
        <v/>
      </c>
      <c r="BI17">
        <f>IF(COUNTIFS(T_StockCount[RM_Code],$A17,T_StockCount[WeekIndex],60)&gt;0,SUMIFS(T_StockCount[CountedQty],T_StockCount[RM_Code],$A17,T_StockCount[WeekIndex],60),IF((COUNTIFS(T_SelfStock[RM_Code],$A17,T_SelfStock[WeekIndex],60)&gt;0)*(COUNTIFS(T_TTAFStock[RM_Code],$A17,T_TTAFStock[WeekIndex],60)&gt;0)&gt;0,SUMIFS(T_SelfStock[Self_Qty],T_SelfStock[RM_Code],$A17,T_SelfStock[WeekIndex],60)+SUMIFS(T_TTAFStock[TTAF_Qty],T_TTAFStock[RM_Code],$A17,T_TTAFStock[WeekIndex],60),BH17+'Grid_Incoming'!BI17-'Grid_Requirement'!BI17))</f>
        <v/>
      </c>
      <c r="BJ17">
        <f>IF(COUNTIFS(T_StockCount[RM_Code],$A17,T_StockCount[WeekIndex],61)&gt;0,SUMIFS(T_StockCount[CountedQty],T_StockCount[RM_Code],$A17,T_StockCount[WeekIndex],61),IF((COUNTIFS(T_SelfStock[RM_Code],$A17,T_SelfStock[WeekIndex],61)&gt;0)*(COUNTIFS(T_TTAFStock[RM_Code],$A17,T_TTAFStock[WeekIndex],61)&gt;0)&gt;0,SUMIFS(T_SelfStock[Self_Qty],T_SelfStock[RM_Code],$A17,T_SelfStock[WeekIndex],61)+SUMIFS(T_TTAFStock[TTAF_Qty],T_TTAFStock[RM_Code],$A17,T_TTAFStock[WeekIndex],61),BI17+'Grid_Incoming'!BJ17-'Grid_Requirement'!BJ17))</f>
        <v/>
      </c>
      <c r="BK17">
        <f>IF(COUNTIFS(T_StockCount[RM_Code],$A17,T_StockCount[WeekIndex],62)&gt;0,SUMIFS(T_StockCount[CountedQty],T_StockCount[RM_Code],$A17,T_StockCount[WeekIndex],62),IF((COUNTIFS(T_SelfStock[RM_Code],$A17,T_SelfStock[WeekIndex],62)&gt;0)*(COUNTIFS(T_TTAFStock[RM_Code],$A17,T_TTAFStock[WeekIndex],62)&gt;0)&gt;0,SUMIFS(T_SelfStock[Self_Qty],T_SelfStock[RM_Code],$A17,T_SelfStock[WeekIndex],62)+SUMIFS(T_TTAFStock[TTAF_Qty],T_TTAFStock[RM_Code],$A17,T_TTAFStock[WeekIndex],62),BJ17+'Grid_Incoming'!BK17-'Grid_Requirement'!BK17))</f>
        <v/>
      </c>
      <c r="BL17">
        <f>IF(COUNTIFS(T_StockCount[RM_Code],$A17,T_StockCount[WeekIndex],63)&gt;0,SUMIFS(T_StockCount[CountedQty],T_StockCount[RM_Code],$A17,T_StockCount[WeekIndex],63),IF((COUNTIFS(T_SelfStock[RM_Code],$A17,T_SelfStock[WeekIndex],63)&gt;0)*(COUNTIFS(T_TTAFStock[RM_Code],$A17,T_TTAFStock[WeekIndex],63)&gt;0)&gt;0,SUMIFS(T_SelfStock[Self_Qty],T_SelfStock[RM_Code],$A17,T_SelfStock[WeekIndex],63)+SUMIFS(T_TTAFStock[TTAF_Qty],T_TTAFStock[RM_Code],$A17,T_TTAFStock[WeekIndex],63),BK17+'Grid_Incoming'!BL17-'Grid_Requirement'!BL17))</f>
        <v/>
      </c>
      <c r="BM17">
        <f>IF(COUNTIFS(T_StockCount[RM_Code],$A17,T_StockCount[WeekIndex],64)&gt;0,SUMIFS(T_StockCount[CountedQty],T_StockCount[RM_Code],$A17,T_StockCount[WeekIndex],64),IF((COUNTIFS(T_SelfStock[RM_Code],$A17,T_SelfStock[WeekIndex],64)&gt;0)*(COUNTIFS(T_TTAFStock[RM_Code],$A17,T_TTAFStock[WeekIndex],64)&gt;0)&gt;0,SUMIFS(T_SelfStock[Self_Qty],T_SelfStock[RM_Code],$A17,T_SelfStock[WeekIndex],64)+SUMIFS(T_TTAFStock[TTAF_Qty],T_TTAFStock[RM_Code],$A17,T_TTAFStock[WeekIndex],64),BL17+'Grid_Incoming'!BM17-'Grid_Requirement'!BM17))</f>
        <v/>
      </c>
      <c r="BN17">
        <f>IF(COUNTIFS(T_StockCount[RM_Code],$A17,T_StockCount[WeekIndex],65)&gt;0,SUMIFS(T_StockCount[CountedQty],T_StockCount[RM_Code],$A17,T_StockCount[WeekIndex],65),IF((COUNTIFS(T_SelfStock[RM_Code],$A17,T_SelfStock[WeekIndex],65)&gt;0)*(COUNTIFS(T_TTAFStock[RM_Code],$A17,T_TTAFStock[WeekIndex],65)&gt;0)&gt;0,SUMIFS(T_SelfStock[Self_Qty],T_SelfStock[RM_Code],$A17,T_SelfStock[WeekIndex],65)+SUMIFS(T_TTAFStock[TTAF_Qty],T_TTAFStock[RM_Code],$A17,T_TTAFStock[WeekIndex],65),BM17+'Grid_Incoming'!BN17-'Grid_Requirement'!BN17))</f>
        <v/>
      </c>
      <c r="BO17">
        <f>IF(COUNTIFS(T_StockCount[RM_Code],$A17,T_StockCount[WeekIndex],66)&gt;0,SUMIFS(T_StockCount[CountedQty],T_StockCount[RM_Code],$A17,T_StockCount[WeekIndex],66),IF((COUNTIFS(T_SelfStock[RM_Code],$A17,T_SelfStock[WeekIndex],66)&gt;0)*(COUNTIFS(T_TTAFStock[RM_Code],$A17,T_TTAFStock[WeekIndex],66)&gt;0)&gt;0,SUMIFS(T_SelfStock[Self_Qty],T_SelfStock[RM_Code],$A17,T_SelfStock[WeekIndex],66)+SUMIFS(T_TTAFStock[TTAF_Qty],T_TTAFStock[RM_Code],$A17,T_TTAFStock[WeekIndex],66),BN17+'Grid_Incoming'!BO17-'Grid_Requirement'!BO17))</f>
        <v/>
      </c>
      <c r="BP17">
        <f>IF(COUNTIFS(T_StockCount[RM_Code],$A17,T_StockCount[WeekIndex],67)&gt;0,SUMIFS(T_StockCount[CountedQty],T_StockCount[RM_Code],$A17,T_StockCount[WeekIndex],67),IF((COUNTIFS(T_SelfStock[RM_Code],$A17,T_SelfStock[WeekIndex],67)&gt;0)*(COUNTIFS(T_TTAFStock[RM_Code],$A17,T_TTAFStock[WeekIndex],67)&gt;0)&gt;0,SUMIFS(T_SelfStock[Self_Qty],T_SelfStock[RM_Code],$A17,T_SelfStock[WeekIndex],67)+SUMIFS(T_TTAFStock[TTAF_Qty],T_TTAFStock[RM_Code],$A17,T_TTAFStock[WeekIndex],67),BO17+'Grid_Incoming'!BP17-'Grid_Requirement'!BP17))</f>
        <v/>
      </c>
      <c r="BQ17">
        <f>IF(COUNTIFS(T_StockCount[RM_Code],$A17,T_StockCount[WeekIndex],68)&gt;0,SUMIFS(T_StockCount[CountedQty],T_StockCount[RM_Code],$A17,T_StockCount[WeekIndex],68),IF((COUNTIFS(T_SelfStock[RM_Code],$A17,T_SelfStock[WeekIndex],68)&gt;0)*(COUNTIFS(T_TTAFStock[RM_Code],$A17,T_TTAFStock[WeekIndex],68)&gt;0)&gt;0,SUMIFS(T_SelfStock[Self_Qty],T_SelfStock[RM_Code],$A17,T_SelfStock[WeekIndex],68)+SUMIFS(T_TTAFStock[TTAF_Qty],T_TTAFStock[RM_Code],$A17,T_TTAFStock[WeekIndex],68),BP17+'Grid_Incoming'!BQ17-'Grid_Requirement'!BQ17))</f>
        <v/>
      </c>
      <c r="BR17">
        <f>IF(COUNTIFS(T_StockCount[RM_Code],$A17,T_StockCount[WeekIndex],69)&gt;0,SUMIFS(T_StockCount[CountedQty],T_StockCount[RM_Code],$A17,T_StockCount[WeekIndex],69),IF((COUNTIFS(T_SelfStock[RM_Code],$A17,T_SelfStock[WeekIndex],69)&gt;0)*(COUNTIFS(T_TTAFStock[RM_Code],$A17,T_TTAFStock[WeekIndex],69)&gt;0)&gt;0,SUMIFS(T_SelfStock[Self_Qty],T_SelfStock[RM_Code],$A17,T_SelfStock[WeekIndex],69)+SUMIFS(T_TTAFStock[TTAF_Qty],T_TTAFStock[RM_Code],$A17,T_TTAFStock[WeekIndex],69),BQ17+'Grid_Incoming'!BR17-'Grid_Requirement'!BR17))</f>
        <v/>
      </c>
      <c r="BS17">
        <f>IF(COUNTIFS(T_StockCount[RM_Code],$A17,T_StockCount[WeekIndex],70)&gt;0,SUMIFS(T_StockCount[CountedQty],T_StockCount[RM_Code],$A17,T_StockCount[WeekIndex],70),IF((COUNTIFS(T_SelfStock[RM_Code],$A17,T_SelfStock[WeekIndex],70)&gt;0)*(COUNTIFS(T_TTAFStock[RM_Code],$A17,T_TTAFStock[WeekIndex],70)&gt;0)&gt;0,SUMIFS(T_SelfStock[Self_Qty],T_SelfStock[RM_Code],$A17,T_SelfStock[WeekIndex],70)+SUMIFS(T_TTAFStock[TTAF_Qty],T_TTAFStock[RM_Code],$A17,T_TTAFStock[WeekIndex],70),BR17+'Grid_Incoming'!BS17-'Grid_Requirement'!BS17))</f>
        <v/>
      </c>
      <c r="BT17">
        <f>IF(COUNTIFS(T_StockCount[RM_Code],$A17,T_StockCount[WeekIndex],71)&gt;0,SUMIFS(T_StockCount[CountedQty],T_StockCount[RM_Code],$A17,T_StockCount[WeekIndex],71),IF((COUNTIFS(T_SelfStock[RM_Code],$A17,T_SelfStock[WeekIndex],71)&gt;0)*(COUNTIFS(T_TTAFStock[RM_Code],$A17,T_TTAFStock[WeekIndex],71)&gt;0)&gt;0,SUMIFS(T_SelfStock[Self_Qty],T_SelfStock[RM_Code],$A17,T_SelfStock[WeekIndex],71)+SUMIFS(T_TTAFStock[TTAF_Qty],T_TTAFStock[RM_Code],$A17,T_TTAFStock[WeekIndex],71),BS17+'Grid_Incoming'!BT17-'Grid_Requirement'!BT17))</f>
        <v/>
      </c>
      <c r="BU17">
        <f>IF(COUNTIFS(T_StockCount[RM_Code],$A17,T_StockCount[WeekIndex],72)&gt;0,SUMIFS(T_StockCount[CountedQty],T_StockCount[RM_Code],$A17,T_StockCount[WeekIndex],72),IF((COUNTIFS(T_SelfStock[RM_Code],$A17,T_SelfStock[WeekIndex],72)&gt;0)*(COUNTIFS(T_TTAFStock[RM_Code],$A17,T_TTAFStock[WeekIndex],72)&gt;0)&gt;0,SUMIFS(T_SelfStock[Self_Qty],T_SelfStock[RM_Code],$A17,T_SelfStock[WeekIndex],72)+SUMIFS(T_TTAFStock[TTAF_Qty],T_TTAFStock[RM_Code],$A17,T_TTAFStock[WeekIndex],72),BT17+'Grid_Incoming'!BU17-'Grid_Requirement'!BU17))</f>
        <v/>
      </c>
      <c r="BV17">
        <f>IF(COUNTIFS(T_StockCount[RM_Code],$A17,T_StockCount[WeekIndex],73)&gt;0,SUMIFS(T_StockCount[CountedQty],T_StockCount[RM_Code],$A17,T_StockCount[WeekIndex],73),IF((COUNTIFS(T_SelfStock[RM_Code],$A17,T_SelfStock[WeekIndex],73)&gt;0)*(COUNTIFS(T_TTAFStock[RM_Code],$A17,T_TTAFStock[WeekIndex],73)&gt;0)&gt;0,SUMIFS(T_SelfStock[Self_Qty],T_SelfStock[RM_Code],$A17,T_SelfStock[WeekIndex],73)+SUMIFS(T_TTAFStock[TTAF_Qty],T_TTAFStock[RM_Code],$A17,T_TTAFStock[WeekIndex],73),BU17+'Grid_Incoming'!BV17-'Grid_Requirement'!BV17))</f>
        <v/>
      </c>
      <c r="BW17">
        <f>IF(COUNTIFS(T_StockCount[RM_Code],$A17,T_StockCount[WeekIndex],74)&gt;0,SUMIFS(T_StockCount[CountedQty],T_StockCount[RM_Code],$A17,T_StockCount[WeekIndex],74),IF((COUNTIFS(T_SelfStock[RM_Code],$A17,T_SelfStock[WeekIndex],74)&gt;0)*(COUNTIFS(T_TTAFStock[RM_Code],$A17,T_TTAFStock[WeekIndex],74)&gt;0)&gt;0,SUMIFS(T_SelfStock[Self_Qty],T_SelfStock[RM_Code],$A17,T_SelfStock[WeekIndex],74)+SUMIFS(T_TTAFStock[TTAF_Qty],T_TTAFStock[RM_Code],$A17,T_TTAFStock[WeekIndex],74),BV17+'Grid_Incoming'!BW17-'Grid_Requirement'!BW17))</f>
        <v/>
      </c>
      <c r="BX17">
        <f>IF(COUNTIFS(T_StockCount[RM_Code],$A17,T_StockCount[WeekIndex],75)&gt;0,SUMIFS(T_StockCount[CountedQty],T_StockCount[RM_Code],$A17,T_StockCount[WeekIndex],75),IF((COUNTIFS(T_SelfStock[RM_Code],$A17,T_SelfStock[WeekIndex],75)&gt;0)*(COUNTIFS(T_TTAFStock[RM_Code],$A17,T_TTAFStock[WeekIndex],75)&gt;0)&gt;0,SUMIFS(T_SelfStock[Self_Qty],T_SelfStock[RM_Code],$A17,T_SelfStock[WeekIndex],75)+SUMIFS(T_TTAFStock[TTAF_Qty],T_TTAFStock[RM_Code],$A17,T_TTAFStock[WeekIndex],75),BW17+'Grid_Incoming'!BX17-'Grid_Requirement'!BX17))</f>
        <v/>
      </c>
      <c r="BY17">
        <f>IF(COUNTIFS(T_StockCount[RM_Code],$A17,T_StockCount[WeekIndex],76)&gt;0,SUMIFS(T_StockCount[CountedQty],T_StockCount[RM_Code],$A17,T_StockCount[WeekIndex],76),IF((COUNTIFS(T_SelfStock[RM_Code],$A17,T_SelfStock[WeekIndex],76)&gt;0)*(COUNTIFS(T_TTAFStock[RM_Code],$A17,T_TTAFStock[WeekIndex],76)&gt;0)&gt;0,SUMIFS(T_SelfStock[Self_Qty],T_SelfStock[RM_Code],$A17,T_SelfStock[WeekIndex],76)+SUMIFS(T_TTAFStock[TTAF_Qty],T_TTAFStock[RM_Code],$A17,T_TTAFStock[WeekIndex],76),BX17+'Grid_Incoming'!BY17-'Grid_Requirement'!BY17))</f>
        <v/>
      </c>
      <c r="BZ17">
        <f>IF(COUNTIFS(T_StockCount[RM_Code],$A17,T_StockCount[WeekIndex],77)&gt;0,SUMIFS(T_StockCount[CountedQty],T_StockCount[RM_Code],$A17,T_StockCount[WeekIndex],77),IF((COUNTIFS(T_SelfStock[RM_Code],$A17,T_SelfStock[WeekIndex],77)&gt;0)*(COUNTIFS(T_TTAFStock[RM_Code],$A17,T_TTAFStock[WeekIndex],77)&gt;0)&gt;0,SUMIFS(T_SelfStock[Self_Qty],T_SelfStock[RM_Code],$A17,T_SelfStock[WeekIndex],77)+SUMIFS(T_TTAFStock[TTAF_Qty],T_TTAFStock[RM_Code],$A17,T_TTAFStock[WeekIndex],77),BY17+'Grid_Incoming'!BZ17-'Grid_Requirement'!BZ17))</f>
        <v/>
      </c>
      <c r="CA17">
        <f>IF(COUNTIFS(T_StockCount[RM_Code],$A17,T_StockCount[WeekIndex],78)&gt;0,SUMIFS(T_StockCount[CountedQty],T_StockCount[RM_Code],$A17,T_StockCount[WeekIndex],78),IF((COUNTIFS(T_SelfStock[RM_Code],$A17,T_SelfStock[WeekIndex],78)&gt;0)*(COUNTIFS(T_TTAFStock[RM_Code],$A17,T_TTAFStock[WeekIndex],78)&gt;0)&gt;0,SUMIFS(T_SelfStock[Self_Qty],T_SelfStock[RM_Code],$A17,T_SelfStock[WeekIndex],78)+SUMIFS(T_TTAFStock[TTAF_Qty],T_TTAFStock[RM_Code],$A17,T_TTAFStock[WeekIndex],78),BZ17+'Grid_Incoming'!CA17-'Grid_Requirement'!CA17))</f>
        <v/>
      </c>
      <c r="CB17">
        <f>IF(COUNTIFS(T_StockCount[RM_Code],$A17,T_StockCount[WeekIndex],79)&gt;0,SUMIFS(T_StockCount[CountedQty],T_StockCount[RM_Code],$A17,T_StockCount[WeekIndex],79),IF((COUNTIFS(T_SelfStock[RM_Code],$A17,T_SelfStock[WeekIndex],79)&gt;0)*(COUNTIFS(T_TTAFStock[RM_Code],$A17,T_TTAFStock[WeekIndex],79)&gt;0)&gt;0,SUMIFS(T_SelfStock[Self_Qty],T_SelfStock[RM_Code],$A17,T_SelfStock[WeekIndex],79)+SUMIFS(T_TTAFStock[TTAF_Qty],T_TTAFStock[RM_Code],$A17,T_TTAFStock[WeekIndex],79),CA17+'Grid_Incoming'!CB17-'Grid_Requirement'!CB17))</f>
        <v/>
      </c>
      <c r="CC17">
        <f>IF(COUNTIFS(T_StockCount[RM_Code],$A17,T_StockCount[WeekIndex],80)&gt;0,SUMIFS(T_StockCount[CountedQty],T_StockCount[RM_Code],$A17,T_StockCount[WeekIndex],80),IF((COUNTIFS(T_SelfStock[RM_Code],$A17,T_SelfStock[WeekIndex],80)&gt;0)*(COUNTIFS(T_TTAFStock[RM_Code],$A17,T_TTAFStock[WeekIndex],80)&gt;0)&gt;0,SUMIFS(T_SelfStock[Self_Qty],T_SelfStock[RM_Code],$A17,T_SelfStock[WeekIndex],80)+SUMIFS(T_TTAFStock[TTAF_Qty],T_TTAFStock[RM_Code],$A17,T_TTAFStock[WeekIndex],80),CB17+'Grid_Incoming'!CC17-'Grid_Requirement'!CC17))</f>
        <v/>
      </c>
      <c r="CD17">
        <f>IF(COUNTIFS(T_StockCount[RM_Code],$A17,T_StockCount[WeekIndex],81)&gt;0,SUMIFS(T_StockCount[CountedQty],T_StockCount[RM_Code],$A17,T_StockCount[WeekIndex],81),IF((COUNTIFS(T_SelfStock[RM_Code],$A17,T_SelfStock[WeekIndex],81)&gt;0)*(COUNTIFS(T_TTAFStock[RM_Code],$A17,T_TTAFStock[WeekIndex],81)&gt;0)&gt;0,SUMIFS(T_SelfStock[Self_Qty],T_SelfStock[RM_Code],$A17,T_SelfStock[WeekIndex],81)+SUMIFS(T_TTAFStock[TTAF_Qty],T_TTAFStock[RM_Code],$A17,T_TTAFStock[WeekIndex],81),CC17+'Grid_Incoming'!CD17-'Grid_Requirement'!CD17))</f>
        <v/>
      </c>
      <c r="CE17">
        <f>IF(COUNTIFS(T_StockCount[RM_Code],$A17,T_StockCount[WeekIndex],82)&gt;0,SUMIFS(T_StockCount[CountedQty],T_StockCount[RM_Code],$A17,T_StockCount[WeekIndex],82),IF((COUNTIFS(T_SelfStock[RM_Code],$A17,T_SelfStock[WeekIndex],82)&gt;0)*(COUNTIFS(T_TTAFStock[RM_Code],$A17,T_TTAFStock[WeekIndex],82)&gt;0)&gt;0,SUMIFS(T_SelfStock[Self_Qty],T_SelfStock[RM_Code],$A17,T_SelfStock[WeekIndex],82)+SUMIFS(T_TTAFStock[TTAF_Qty],T_TTAFStock[RM_Code],$A17,T_TTAFStock[WeekIndex],82),CD17+'Grid_Incoming'!CE17-'Grid_Requirement'!CE17))</f>
        <v/>
      </c>
      <c r="CF17">
        <f>IF(COUNTIFS(T_StockCount[RM_Code],$A17,T_StockCount[WeekIndex],83)&gt;0,SUMIFS(T_StockCount[CountedQty],T_StockCount[RM_Code],$A17,T_StockCount[WeekIndex],83),IF((COUNTIFS(T_SelfStock[RM_Code],$A17,T_SelfStock[WeekIndex],83)&gt;0)*(COUNTIFS(T_TTAFStock[RM_Code],$A17,T_TTAFStock[WeekIndex],83)&gt;0)&gt;0,SUMIFS(T_SelfStock[Self_Qty],T_SelfStock[RM_Code],$A17,T_SelfStock[WeekIndex],83)+SUMIFS(T_TTAFStock[TTAF_Qty],T_TTAFStock[RM_Code],$A17,T_TTAFStock[WeekIndex],83),CE17+'Grid_Incoming'!CF17-'Grid_Requirement'!CF17))</f>
        <v/>
      </c>
      <c r="CG17">
        <f>IF(COUNTIFS(T_StockCount[RM_Code],$A17,T_StockCount[WeekIndex],84)&gt;0,SUMIFS(T_StockCount[CountedQty],T_StockCount[RM_Code],$A17,T_StockCount[WeekIndex],84),IF((COUNTIFS(T_SelfStock[RM_Code],$A17,T_SelfStock[WeekIndex],84)&gt;0)*(COUNTIFS(T_TTAFStock[RM_Code],$A17,T_TTAFStock[WeekIndex],84)&gt;0)&gt;0,SUMIFS(T_SelfStock[Self_Qty],T_SelfStock[RM_Code],$A17,T_SelfStock[WeekIndex],84)+SUMIFS(T_TTAFStock[TTAF_Qty],T_TTAFStock[RM_Code],$A17,T_TTAFStock[WeekIndex],84),CF17+'Grid_Incoming'!CG17-'Grid_Requirement'!CG17))</f>
        <v/>
      </c>
      <c r="CH17">
        <f>IF(COUNTIFS(T_StockCount[RM_Code],$A17,T_StockCount[WeekIndex],85)&gt;0,SUMIFS(T_StockCount[CountedQty],T_StockCount[RM_Code],$A17,T_StockCount[WeekIndex],85),IF((COUNTIFS(T_SelfStock[RM_Code],$A17,T_SelfStock[WeekIndex],85)&gt;0)*(COUNTIFS(T_TTAFStock[RM_Code],$A17,T_TTAFStock[WeekIndex],85)&gt;0)&gt;0,SUMIFS(T_SelfStock[Self_Qty],T_SelfStock[RM_Code],$A17,T_SelfStock[WeekIndex],85)+SUMIFS(T_TTAFStock[TTAF_Qty],T_TTAFStock[RM_Code],$A17,T_TTAFStock[WeekIndex],85),CG17+'Grid_Incoming'!CH17-'Grid_Requirement'!CH17))</f>
        <v/>
      </c>
      <c r="CI17">
        <f>IF(COUNTIFS(T_StockCount[RM_Code],$A17,T_StockCount[WeekIndex],86)&gt;0,SUMIFS(T_StockCount[CountedQty],T_StockCount[RM_Code],$A17,T_StockCount[WeekIndex],86),IF((COUNTIFS(T_SelfStock[RM_Code],$A17,T_SelfStock[WeekIndex],86)&gt;0)*(COUNTIFS(T_TTAFStock[RM_Code],$A17,T_TTAFStock[WeekIndex],86)&gt;0)&gt;0,SUMIFS(T_SelfStock[Self_Qty],T_SelfStock[RM_Code],$A17,T_SelfStock[WeekIndex],86)+SUMIFS(T_TTAFStock[TTAF_Qty],T_TTAFStock[RM_Code],$A17,T_TTAFStock[WeekIndex],86),CH17+'Grid_Incoming'!CI17-'Grid_Requirement'!CI17))</f>
        <v/>
      </c>
      <c r="CJ17">
        <f>IF(COUNTIFS(T_StockCount[RM_Code],$A17,T_StockCount[WeekIndex],87)&gt;0,SUMIFS(T_StockCount[CountedQty],T_StockCount[RM_Code],$A17,T_StockCount[WeekIndex],87),IF((COUNTIFS(T_SelfStock[RM_Code],$A17,T_SelfStock[WeekIndex],87)&gt;0)*(COUNTIFS(T_TTAFStock[RM_Code],$A17,T_TTAFStock[WeekIndex],87)&gt;0)&gt;0,SUMIFS(T_SelfStock[Self_Qty],T_SelfStock[RM_Code],$A17,T_SelfStock[WeekIndex],87)+SUMIFS(T_TTAFStock[TTAF_Qty],T_TTAFStock[RM_Code],$A17,T_TTAFStock[WeekIndex],87),CI17+'Grid_Incoming'!CJ17-'Grid_Requirement'!CJ17))</f>
        <v/>
      </c>
      <c r="CK17">
        <f>IF(COUNTIFS(T_StockCount[RM_Code],$A17,T_StockCount[WeekIndex],88)&gt;0,SUMIFS(T_StockCount[CountedQty],T_StockCount[RM_Code],$A17,T_StockCount[WeekIndex],88),IF((COUNTIFS(T_SelfStock[RM_Code],$A17,T_SelfStock[WeekIndex],88)&gt;0)*(COUNTIFS(T_TTAFStock[RM_Code],$A17,T_TTAFStock[WeekIndex],88)&gt;0)&gt;0,SUMIFS(T_SelfStock[Self_Qty],T_SelfStock[RM_Code],$A17,T_SelfStock[WeekIndex],88)+SUMIFS(T_TTAFStock[TTAF_Qty],T_TTAFStock[RM_Code],$A17,T_TTAFStock[WeekIndex],88),CJ17+'Grid_Incoming'!CK17-'Grid_Requirement'!CK17))</f>
        <v/>
      </c>
      <c r="CL17">
        <f>IF(COUNTIFS(T_StockCount[RM_Code],$A17,T_StockCount[WeekIndex],89)&gt;0,SUMIFS(T_StockCount[CountedQty],T_StockCount[RM_Code],$A17,T_StockCount[WeekIndex],89),IF((COUNTIFS(T_SelfStock[RM_Code],$A17,T_SelfStock[WeekIndex],89)&gt;0)*(COUNTIFS(T_TTAFStock[RM_Code],$A17,T_TTAFStock[WeekIndex],89)&gt;0)&gt;0,SUMIFS(T_SelfStock[Self_Qty],T_SelfStock[RM_Code],$A17,T_SelfStock[WeekIndex],89)+SUMIFS(T_TTAFStock[TTAF_Qty],T_TTAFStock[RM_Code],$A17,T_TTAFStock[WeekIndex],89),CK17+'Grid_Incoming'!CL17-'Grid_Requirement'!CL17))</f>
        <v/>
      </c>
      <c r="CM17">
        <f>IF(COUNTIFS(T_StockCount[RM_Code],$A17,T_StockCount[WeekIndex],90)&gt;0,SUMIFS(T_StockCount[CountedQty],T_StockCount[RM_Code],$A17,T_StockCount[WeekIndex],90),IF((COUNTIFS(T_SelfStock[RM_Code],$A17,T_SelfStock[WeekIndex],90)&gt;0)*(COUNTIFS(T_TTAFStock[RM_Code],$A17,T_TTAFStock[WeekIndex],90)&gt;0)&gt;0,SUMIFS(T_SelfStock[Self_Qty],T_SelfStock[RM_Code],$A17,T_SelfStock[WeekIndex],90)+SUMIFS(T_TTAFStock[TTAF_Qty],T_TTAFStock[RM_Code],$A17,T_TTAFStock[WeekIndex],90),CL17+'Grid_Incoming'!CM17-'Grid_Requirement'!CM17))</f>
        <v/>
      </c>
      <c r="CN17">
        <f>IF(COUNTIFS(T_StockCount[RM_Code],$A17,T_StockCount[WeekIndex],91)&gt;0,SUMIFS(T_StockCount[CountedQty],T_StockCount[RM_Code],$A17,T_StockCount[WeekIndex],91),IF((COUNTIFS(T_SelfStock[RM_Code],$A17,T_SelfStock[WeekIndex],91)&gt;0)*(COUNTIFS(T_TTAFStock[RM_Code],$A17,T_TTAFStock[WeekIndex],91)&gt;0)&gt;0,SUMIFS(T_SelfStock[Self_Qty],T_SelfStock[RM_Code],$A17,T_SelfStock[WeekIndex],91)+SUMIFS(T_TTAFStock[TTAF_Qty],T_TTAFStock[RM_Code],$A17,T_TTAFStock[WeekIndex],91),CM17+'Grid_Incoming'!CN17-'Grid_Requirement'!CN17))</f>
        <v/>
      </c>
      <c r="CO17">
        <f>IF(COUNTIFS(T_StockCount[RM_Code],$A17,T_StockCount[WeekIndex],92)&gt;0,SUMIFS(T_StockCount[CountedQty],T_StockCount[RM_Code],$A17,T_StockCount[WeekIndex],92),IF((COUNTIFS(T_SelfStock[RM_Code],$A17,T_SelfStock[WeekIndex],92)&gt;0)*(COUNTIFS(T_TTAFStock[RM_Code],$A17,T_TTAFStock[WeekIndex],92)&gt;0)&gt;0,SUMIFS(T_SelfStock[Self_Qty],T_SelfStock[RM_Code],$A17,T_SelfStock[WeekIndex],92)+SUMIFS(T_TTAFStock[TTAF_Qty],T_TTAFStock[RM_Code],$A17,T_TTAFStock[WeekIndex],92),CN17+'Grid_Incoming'!CO17-'Grid_Requirement'!CO17))</f>
        <v/>
      </c>
      <c r="CP17">
        <f>IF(COUNTIFS(T_StockCount[RM_Code],$A17,T_StockCount[WeekIndex],93)&gt;0,SUMIFS(T_StockCount[CountedQty],T_StockCount[RM_Code],$A17,T_StockCount[WeekIndex],93),IF((COUNTIFS(T_SelfStock[RM_Code],$A17,T_SelfStock[WeekIndex],93)&gt;0)*(COUNTIFS(T_TTAFStock[RM_Code],$A17,T_TTAFStock[WeekIndex],93)&gt;0)&gt;0,SUMIFS(T_SelfStock[Self_Qty],T_SelfStock[RM_Code],$A17,T_SelfStock[WeekIndex],93)+SUMIFS(T_TTAFStock[TTAF_Qty],T_TTAFStock[RM_Code],$A17,T_TTAFStock[WeekIndex],93),CO17+'Grid_Incoming'!CP17-'Grid_Requirement'!CP17))</f>
        <v/>
      </c>
      <c r="CQ17">
        <f>IF(COUNTIFS(T_StockCount[RM_Code],$A17,T_StockCount[WeekIndex],94)&gt;0,SUMIFS(T_StockCount[CountedQty],T_StockCount[RM_Code],$A17,T_StockCount[WeekIndex],94),IF((COUNTIFS(T_SelfStock[RM_Code],$A17,T_SelfStock[WeekIndex],94)&gt;0)*(COUNTIFS(T_TTAFStock[RM_Code],$A17,T_TTAFStock[WeekIndex],94)&gt;0)&gt;0,SUMIFS(T_SelfStock[Self_Qty],T_SelfStock[RM_Code],$A17,T_SelfStock[WeekIndex],94)+SUMIFS(T_TTAFStock[TTAF_Qty],T_TTAFStock[RM_Code],$A17,T_TTAFStock[WeekIndex],94),CP17+'Grid_Incoming'!CQ17-'Grid_Requirement'!CQ17))</f>
        <v/>
      </c>
      <c r="CR17">
        <f>IF(COUNTIFS(T_StockCount[RM_Code],$A17,T_StockCount[WeekIndex],95)&gt;0,SUMIFS(T_StockCount[CountedQty],T_StockCount[RM_Code],$A17,T_StockCount[WeekIndex],95),IF((COUNTIFS(T_SelfStock[RM_Code],$A17,T_SelfStock[WeekIndex],95)&gt;0)*(COUNTIFS(T_TTAFStock[RM_Code],$A17,T_TTAFStock[WeekIndex],95)&gt;0)&gt;0,SUMIFS(T_SelfStock[Self_Qty],T_SelfStock[RM_Code],$A17,T_SelfStock[WeekIndex],95)+SUMIFS(T_TTAFStock[TTAF_Qty],T_TTAFStock[RM_Code],$A17,T_TTAFStock[WeekIndex],95),CQ17+'Grid_Incoming'!CR17-'Grid_Requirement'!CR17))</f>
        <v/>
      </c>
      <c r="CS17">
        <f>IF(COUNTIFS(T_StockCount[RM_Code],$A17,T_StockCount[WeekIndex],96)&gt;0,SUMIFS(T_StockCount[CountedQty],T_StockCount[RM_Code],$A17,T_StockCount[WeekIndex],96),IF((COUNTIFS(T_SelfStock[RM_Code],$A17,T_SelfStock[WeekIndex],96)&gt;0)*(COUNTIFS(T_TTAFStock[RM_Code],$A17,T_TTAFStock[WeekIndex],96)&gt;0)&gt;0,SUMIFS(T_SelfStock[Self_Qty],T_SelfStock[RM_Code],$A17,T_SelfStock[WeekIndex],96)+SUMIFS(T_TTAFStock[TTAF_Qty],T_TTAFStock[RM_Code],$A17,T_TTAFStock[WeekIndex],96),CR17+'Grid_Incoming'!CS17-'Grid_Requirement'!CS17))</f>
        <v/>
      </c>
      <c r="CT17">
        <f>IF(COUNTIFS(T_StockCount[RM_Code],$A17,T_StockCount[WeekIndex],97)&gt;0,SUMIFS(T_StockCount[CountedQty],T_StockCount[RM_Code],$A17,T_StockCount[WeekIndex],97),IF((COUNTIFS(T_SelfStock[RM_Code],$A17,T_SelfStock[WeekIndex],97)&gt;0)*(COUNTIFS(T_TTAFStock[RM_Code],$A17,T_TTAFStock[WeekIndex],97)&gt;0)&gt;0,SUMIFS(T_SelfStock[Self_Qty],T_SelfStock[RM_Code],$A17,T_SelfStock[WeekIndex],97)+SUMIFS(T_TTAFStock[TTAF_Qty],T_TTAFStock[RM_Code],$A17,T_TTAFStock[WeekIndex],97),CS17+'Grid_Incoming'!CT17-'Grid_Requirement'!CT17))</f>
        <v/>
      </c>
      <c r="CU17">
        <f>IF(COUNTIFS(T_StockCount[RM_Code],$A17,T_StockCount[WeekIndex],98)&gt;0,SUMIFS(T_StockCount[CountedQty],T_StockCount[RM_Code],$A17,T_StockCount[WeekIndex],98),IF((COUNTIFS(T_SelfStock[RM_Code],$A17,T_SelfStock[WeekIndex],98)&gt;0)*(COUNTIFS(T_TTAFStock[RM_Code],$A17,T_TTAFStock[WeekIndex],98)&gt;0)&gt;0,SUMIFS(T_SelfStock[Self_Qty],T_SelfStock[RM_Code],$A17,T_SelfStock[WeekIndex],98)+SUMIFS(T_TTAFStock[TTAF_Qty],T_TTAFStock[RM_Code],$A17,T_TTAFStock[WeekIndex],98),CT17+'Grid_Incoming'!CU17-'Grid_Requirement'!CU17))</f>
        <v/>
      </c>
      <c r="CV17">
        <f>IF(COUNTIFS(T_StockCount[RM_Code],$A17,T_StockCount[WeekIndex],99)&gt;0,SUMIFS(T_StockCount[CountedQty],T_StockCount[RM_Code],$A17,T_StockCount[WeekIndex],99),IF((COUNTIFS(T_SelfStock[RM_Code],$A17,T_SelfStock[WeekIndex],99)&gt;0)*(COUNTIFS(T_TTAFStock[RM_Code],$A17,T_TTAFStock[WeekIndex],99)&gt;0)&gt;0,SUMIFS(T_SelfStock[Self_Qty],T_SelfStock[RM_Code],$A17,T_SelfStock[WeekIndex],99)+SUMIFS(T_TTAFStock[TTAF_Qty],T_TTAFStock[RM_Code],$A17,T_TTAFStock[WeekIndex],99),CU17+'Grid_Incoming'!CV17-'Grid_Requirement'!CV17))</f>
        <v/>
      </c>
      <c r="CW17">
        <f>IF(COUNTIFS(T_StockCount[RM_Code],$A17,T_StockCount[WeekIndex],100)&gt;0,SUMIFS(T_StockCount[CountedQty],T_StockCount[RM_Code],$A17,T_StockCount[WeekIndex],100),IF((COUNTIFS(T_SelfStock[RM_Code],$A17,T_SelfStock[WeekIndex],100)&gt;0)*(COUNTIFS(T_TTAFStock[RM_Code],$A17,T_TTAFStock[WeekIndex],100)&gt;0)&gt;0,SUMIFS(T_SelfStock[Self_Qty],T_SelfStock[RM_Code],$A17,T_SelfStock[WeekIndex],100)+SUMIFS(T_TTAFStock[TTAF_Qty],T_TTAFStock[RM_Code],$A17,T_TTAFStock[WeekIndex],100),CV17+'Grid_Incoming'!CW17-'Grid_Requirement'!CW17))</f>
        <v/>
      </c>
      <c r="CX17">
        <f>IF(COUNTIFS(T_StockCount[RM_Code],$A17,T_StockCount[WeekIndex],101)&gt;0,SUMIFS(T_StockCount[CountedQty],T_StockCount[RM_Code],$A17,T_StockCount[WeekIndex],101),IF((COUNTIFS(T_SelfStock[RM_Code],$A17,T_SelfStock[WeekIndex],101)&gt;0)*(COUNTIFS(T_TTAFStock[RM_Code],$A17,T_TTAFStock[WeekIndex],101)&gt;0)&gt;0,SUMIFS(T_SelfStock[Self_Qty],T_SelfStock[RM_Code],$A17,T_SelfStock[WeekIndex],101)+SUMIFS(T_TTAFStock[TTAF_Qty],T_TTAFStock[RM_Code],$A17,T_TTAFStock[WeekIndex],101),CW17+'Grid_Incoming'!CX17-'Grid_Requirement'!CX17))</f>
        <v/>
      </c>
      <c r="CY17">
        <f>IF(COUNTIFS(T_StockCount[RM_Code],$A17,T_StockCount[WeekIndex],102)&gt;0,SUMIFS(T_StockCount[CountedQty],T_StockCount[RM_Code],$A17,T_StockCount[WeekIndex],102),IF((COUNTIFS(T_SelfStock[RM_Code],$A17,T_SelfStock[WeekIndex],102)&gt;0)*(COUNTIFS(T_TTAFStock[RM_Code],$A17,T_TTAFStock[WeekIndex],102)&gt;0)&gt;0,SUMIFS(T_SelfStock[Self_Qty],T_SelfStock[RM_Code],$A17,T_SelfStock[WeekIndex],102)+SUMIFS(T_TTAFStock[TTAF_Qty],T_TTAFStock[RM_Code],$A17,T_TTAFStock[WeekIndex],102),CX17+'Grid_Incoming'!CY17-'Grid_Requirement'!CY17))</f>
        <v/>
      </c>
      <c r="CZ17">
        <f>IF(COUNTIFS(T_StockCount[RM_Code],$A17,T_StockCount[WeekIndex],103)&gt;0,SUMIFS(T_StockCount[CountedQty],T_StockCount[RM_Code],$A17,T_StockCount[WeekIndex],103),IF((COUNTIFS(T_SelfStock[RM_Code],$A17,T_SelfStock[WeekIndex],103)&gt;0)*(COUNTIFS(T_TTAFStock[RM_Code],$A17,T_TTAFStock[WeekIndex],103)&gt;0)&gt;0,SUMIFS(T_SelfStock[Self_Qty],T_SelfStock[RM_Code],$A17,T_SelfStock[WeekIndex],103)+SUMIFS(T_TTAFStock[TTAF_Qty],T_TTAFStock[RM_Code],$A17,T_TTAFStock[WeekIndex],103),CY17+'Grid_Incoming'!CZ17-'Grid_Requirement'!CZ17))</f>
        <v/>
      </c>
      <c r="DA17">
        <f>IF(COUNTIFS(T_StockCount[RM_Code],$A17,T_StockCount[WeekIndex],104)&gt;0,SUMIFS(T_StockCount[CountedQty],T_StockCount[RM_Code],$A17,T_StockCount[WeekIndex],104),IF((COUNTIFS(T_SelfStock[RM_Code],$A17,T_SelfStock[WeekIndex],104)&gt;0)*(COUNTIFS(T_TTAFStock[RM_Code],$A17,T_TTAFStock[WeekIndex],104)&gt;0)&gt;0,SUMIFS(T_SelfStock[Self_Qty],T_SelfStock[RM_Code],$A17,T_SelfStock[WeekIndex],104)+SUMIFS(T_TTAFStock[TTAF_Qty],T_TTAFStock[RM_Code],$A17,T_TTAFStock[WeekIndex],104),CZ17+'Grid_Incoming'!DA17-'Grid_Requirement'!DA17))</f>
        <v/>
      </c>
    </row>
    <row r="18">
      <c r="A18" t="inlineStr">
        <is>
          <t>CHEM-1400</t>
        </is>
      </c>
      <c r="B18">
        <f>IF(COUNTIFS(T_StockCount[RM_Code],$A18,T_StockCount[WeekIndex],1)&gt;0,SUMIFS(T_StockCount[CountedQty],T_StockCount[RM_Code],$A18,T_StockCount[WeekIndex],1),IF((COUNTIFS(T_SelfStock[RM_Code],$A18,T_SelfStock[WeekIndex],1)&gt;0)*(COUNTIFS(T_TTAFStock[RM_Code],$A18,T_TTAFStock[WeekIndex],1)&gt;0)&gt;0,SUMIFS(T_SelfStock[Self_Qty],T_SelfStock[RM_Code],$A18,T_SelfStock[WeekIndex],1)+SUMIFS(T_TTAFStock[TTAF_Qty],T_TTAFStock[RM_Code],$A18,T_TTAFStock[WeekIndex],1),IFERROR(INDEX(T_OpeningStock[Opening_Qty],MATCH($A18,T_OpeningStock[RM_Code],0)),0)+'Grid_Incoming'!B18-'Grid_Requirement'!B18))</f>
        <v/>
      </c>
      <c r="C18">
        <f>IF(COUNTIFS(T_StockCount[RM_Code],$A18,T_StockCount[WeekIndex],2)&gt;0,SUMIFS(T_StockCount[CountedQty],T_StockCount[RM_Code],$A18,T_StockCount[WeekIndex],2),IF((COUNTIFS(T_SelfStock[RM_Code],$A18,T_SelfStock[WeekIndex],2)&gt;0)*(COUNTIFS(T_TTAFStock[RM_Code],$A18,T_TTAFStock[WeekIndex],2)&gt;0)&gt;0,SUMIFS(T_SelfStock[Self_Qty],T_SelfStock[RM_Code],$A18,T_SelfStock[WeekIndex],2)+SUMIFS(T_TTAFStock[TTAF_Qty],T_TTAFStock[RM_Code],$A18,T_TTAFStock[WeekIndex],2),B18+'Grid_Incoming'!C18-'Grid_Requirement'!C18))</f>
        <v/>
      </c>
      <c r="D18">
        <f>IF(COUNTIFS(T_StockCount[RM_Code],$A18,T_StockCount[WeekIndex],3)&gt;0,SUMIFS(T_StockCount[CountedQty],T_StockCount[RM_Code],$A18,T_StockCount[WeekIndex],3),IF((COUNTIFS(T_SelfStock[RM_Code],$A18,T_SelfStock[WeekIndex],3)&gt;0)*(COUNTIFS(T_TTAFStock[RM_Code],$A18,T_TTAFStock[WeekIndex],3)&gt;0)&gt;0,SUMIFS(T_SelfStock[Self_Qty],T_SelfStock[RM_Code],$A18,T_SelfStock[WeekIndex],3)+SUMIFS(T_TTAFStock[TTAF_Qty],T_TTAFStock[RM_Code],$A18,T_TTAFStock[WeekIndex],3),C18+'Grid_Incoming'!D18-'Grid_Requirement'!D18))</f>
        <v/>
      </c>
      <c r="E18">
        <f>IF(COUNTIFS(T_StockCount[RM_Code],$A18,T_StockCount[WeekIndex],4)&gt;0,SUMIFS(T_StockCount[CountedQty],T_StockCount[RM_Code],$A18,T_StockCount[WeekIndex],4),IF((COUNTIFS(T_SelfStock[RM_Code],$A18,T_SelfStock[WeekIndex],4)&gt;0)*(COUNTIFS(T_TTAFStock[RM_Code],$A18,T_TTAFStock[WeekIndex],4)&gt;0)&gt;0,SUMIFS(T_SelfStock[Self_Qty],T_SelfStock[RM_Code],$A18,T_SelfStock[WeekIndex],4)+SUMIFS(T_TTAFStock[TTAF_Qty],T_TTAFStock[RM_Code],$A18,T_TTAFStock[WeekIndex],4),D18+'Grid_Incoming'!E18-'Grid_Requirement'!E18))</f>
        <v/>
      </c>
      <c r="F18">
        <f>IF(COUNTIFS(T_StockCount[RM_Code],$A18,T_StockCount[WeekIndex],5)&gt;0,SUMIFS(T_StockCount[CountedQty],T_StockCount[RM_Code],$A18,T_StockCount[WeekIndex],5),IF((COUNTIFS(T_SelfStock[RM_Code],$A18,T_SelfStock[WeekIndex],5)&gt;0)*(COUNTIFS(T_TTAFStock[RM_Code],$A18,T_TTAFStock[WeekIndex],5)&gt;0)&gt;0,SUMIFS(T_SelfStock[Self_Qty],T_SelfStock[RM_Code],$A18,T_SelfStock[WeekIndex],5)+SUMIFS(T_TTAFStock[TTAF_Qty],T_TTAFStock[RM_Code],$A18,T_TTAFStock[WeekIndex],5),E18+'Grid_Incoming'!F18-'Grid_Requirement'!F18))</f>
        <v/>
      </c>
      <c r="G18">
        <f>IF(COUNTIFS(T_StockCount[RM_Code],$A18,T_StockCount[WeekIndex],6)&gt;0,SUMIFS(T_StockCount[CountedQty],T_StockCount[RM_Code],$A18,T_StockCount[WeekIndex],6),IF((COUNTIFS(T_SelfStock[RM_Code],$A18,T_SelfStock[WeekIndex],6)&gt;0)*(COUNTIFS(T_TTAFStock[RM_Code],$A18,T_TTAFStock[WeekIndex],6)&gt;0)&gt;0,SUMIFS(T_SelfStock[Self_Qty],T_SelfStock[RM_Code],$A18,T_SelfStock[WeekIndex],6)+SUMIFS(T_TTAFStock[TTAF_Qty],T_TTAFStock[RM_Code],$A18,T_TTAFStock[WeekIndex],6),F18+'Grid_Incoming'!G18-'Grid_Requirement'!G18))</f>
        <v/>
      </c>
      <c r="H18">
        <f>IF(COUNTIFS(T_StockCount[RM_Code],$A18,T_StockCount[WeekIndex],7)&gt;0,SUMIFS(T_StockCount[CountedQty],T_StockCount[RM_Code],$A18,T_StockCount[WeekIndex],7),IF((COUNTIFS(T_SelfStock[RM_Code],$A18,T_SelfStock[WeekIndex],7)&gt;0)*(COUNTIFS(T_TTAFStock[RM_Code],$A18,T_TTAFStock[WeekIndex],7)&gt;0)&gt;0,SUMIFS(T_SelfStock[Self_Qty],T_SelfStock[RM_Code],$A18,T_SelfStock[WeekIndex],7)+SUMIFS(T_TTAFStock[TTAF_Qty],T_TTAFStock[RM_Code],$A18,T_TTAFStock[WeekIndex],7),G18+'Grid_Incoming'!H18-'Grid_Requirement'!H18))</f>
        <v/>
      </c>
      <c r="I18">
        <f>IF(COUNTIFS(T_StockCount[RM_Code],$A18,T_StockCount[WeekIndex],8)&gt;0,SUMIFS(T_StockCount[CountedQty],T_StockCount[RM_Code],$A18,T_StockCount[WeekIndex],8),IF((COUNTIFS(T_SelfStock[RM_Code],$A18,T_SelfStock[WeekIndex],8)&gt;0)*(COUNTIFS(T_TTAFStock[RM_Code],$A18,T_TTAFStock[WeekIndex],8)&gt;0)&gt;0,SUMIFS(T_SelfStock[Self_Qty],T_SelfStock[RM_Code],$A18,T_SelfStock[WeekIndex],8)+SUMIFS(T_TTAFStock[TTAF_Qty],T_TTAFStock[RM_Code],$A18,T_TTAFStock[WeekIndex],8),H18+'Grid_Incoming'!I18-'Grid_Requirement'!I18))</f>
        <v/>
      </c>
      <c r="J18">
        <f>IF(COUNTIFS(T_StockCount[RM_Code],$A18,T_StockCount[WeekIndex],9)&gt;0,SUMIFS(T_StockCount[CountedQty],T_StockCount[RM_Code],$A18,T_StockCount[WeekIndex],9),IF((COUNTIFS(T_SelfStock[RM_Code],$A18,T_SelfStock[WeekIndex],9)&gt;0)*(COUNTIFS(T_TTAFStock[RM_Code],$A18,T_TTAFStock[WeekIndex],9)&gt;0)&gt;0,SUMIFS(T_SelfStock[Self_Qty],T_SelfStock[RM_Code],$A18,T_SelfStock[WeekIndex],9)+SUMIFS(T_TTAFStock[TTAF_Qty],T_TTAFStock[RM_Code],$A18,T_TTAFStock[WeekIndex],9),I18+'Grid_Incoming'!J18-'Grid_Requirement'!J18))</f>
        <v/>
      </c>
      <c r="K18">
        <f>IF(COUNTIFS(T_StockCount[RM_Code],$A18,T_StockCount[WeekIndex],10)&gt;0,SUMIFS(T_StockCount[CountedQty],T_StockCount[RM_Code],$A18,T_StockCount[WeekIndex],10),IF((COUNTIFS(T_SelfStock[RM_Code],$A18,T_SelfStock[WeekIndex],10)&gt;0)*(COUNTIFS(T_TTAFStock[RM_Code],$A18,T_TTAFStock[WeekIndex],10)&gt;0)&gt;0,SUMIFS(T_SelfStock[Self_Qty],T_SelfStock[RM_Code],$A18,T_SelfStock[WeekIndex],10)+SUMIFS(T_TTAFStock[TTAF_Qty],T_TTAFStock[RM_Code],$A18,T_TTAFStock[WeekIndex],10),J18+'Grid_Incoming'!K18-'Grid_Requirement'!K18))</f>
        <v/>
      </c>
      <c r="L18">
        <f>IF(COUNTIFS(T_StockCount[RM_Code],$A18,T_StockCount[WeekIndex],11)&gt;0,SUMIFS(T_StockCount[CountedQty],T_StockCount[RM_Code],$A18,T_StockCount[WeekIndex],11),IF((COUNTIFS(T_SelfStock[RM_Code],$A18,T_SelfStock[WeekIndex],11)&gt;0)*(COUNTIFS(T_TTAFStock[RM_Code],$A18,T_TTAFStock[WeekIndex],11)&gt;0)&gt;0,SUMIFS(T_SelfStock[Self_Qty],T_SelfStock[RM_Code],$A18,T_SelfStock[WeekIndex],11)+SUMIFS(T_TTAFStock[TTAF_Qty],T_TTAFStock[RM_Code],$A18,T_TTAFStock[WeekIndex],11),K18+'Grid_Incoming'!L18-'Grid_Requirement'!L18))</f>
        <v/>
      </c>
      <c r="M18">
        <f>IF(COUNTIFS(T_StockCount[RM_Code],$A18,T_StockCount[WeekIndex],12)&gt;0,SUMIFS(T_StockCount[CountedQty],T_StockCount[RM_Code],$A18,T_StockCount[WeekIndex],12),IF((COUNTIFS(T_SelfStock[RM_Code],$A18,T_SelfStock[WeekIndex],12)&gt;0)*(COUNTIFS(T_TTAFStock[RM_Code],$A18,T_TTAFStock[WeekIndex],12)&gt;0)&gt;0,SUMIFS(T_SelfStock[Self_Qty],T_SelfStock[RM_Code],$A18,T_SelfStock[WeekIndex],12)+SUMIFS(T_TTAFStock[TTAF_Qty],T_TTAFStock[RM_Code],$A18,T_TTAFStock[WeekIndex],12),L18+'Grid_Incoming'!M18-'Grid_Requirement'!M18))</f>
        <v/>
      </c>
      <c r="N18">
        <f>IF(COUNTIFS(T_StockCount[RM_Code],$A18,T_StockCount[WeekIndex],13)&gt;0,SUMIFS(T_StockCount[CountedQty],T_StockCount[RM_Code],$A18,T_StockCount[WeekIndex],13),IF((COUNTIFS(T_SelfStock[RM_Code],$A18,T_SelfStock[WeekIndex],13)&gt;0)*(COUNTIFS(T_TTAFStock[RM_Code],$A18,T_TTAFStock[WeekIndex],13)&gt;0)&gt;0,SUMIFS(T_SelfStock[Self_Qty],T_SelfStock[RM_Code],$A18,T_SelfStock[WeekIndex],13)+SUMIFS(T_TTAFStock[TTAF_Qty],T_TTAFStock[RM_Code],$A18,T_TTAFStock[WeekIndex],13),M18+'Grid_Incoming'!N18-'Grid_Requirement'!N18))</f>
        <v/>
      </c>
      <c r="O18">
        <f>IF(COUNTIFS(T_StockCount[RM_Code],$A18,T_StockCount[WeekIndex],14)&gt;0,SUMIFS(T_StockCount[CountedQty],T_StockCount[RM_Code],$A18,T_StockCount[WeekIndex],14),IF((COUNTIFS(T_SelfStock[RM_Code],$A18,T_SelfStock[WeekIndex],14)&gt;0)*(COUNTIFS(T_TTAFStock[RM_Code],$A18,T_TTAFStock[WeekIndex],14)&gt;0)&gt;0,SUMIFS(T_SelfStock[Self_Qty],T_SelfStock[RM_Code],$A18,T_SelfStock[WeekIndex],14)+SUMIFS(T_TTAFStock[TTAF_Qty],T_TTAFStock[RM_Code],$A18,T_TTAFStock[WeekIndex],14),N18+'Grid_Incoming'!O18-'Grid_Requirement'!O18))</f>
        <v/>
      </c>
      <c r="P18">
        <f>IF(COUNTIFS(T_StockCount[RM_Code],$A18,T_StockCount[WeekIndex],15)&gt;0,SUMIFS(T_StockCount[CountedQty],T_StockCount[RM_Code],$A18,T_StockCount[WeekIndex],15),IF((COUNTIFS(T_SelfStock[RM_Code],$A18,T_SelfStock[WeekIndex],15)&gt;0)*(COUNTIFS(T_TTAFStock[RM_Code],$A18,T_TTAFStock[WeekIndex],15)&gt;0)&gt;0,SUMIFS(T_SelfStock[Self_Qty],T_SelfStock[RM_Code],$A18,T_SelfStock[WeekIndex],15)+SUMIFS(T_TTAFStock[TTAF_Qty],T_TTAFStock[RM_Code],$A18,T_TTAFStock[WeekIndex],15),O18+'Grid_Incoming'!P18-'Grid_Requirement'!P18))</f>
        <v/>
      </c>
      <c r="Q18">
        <f>IF(COUNTIFS(T_StockCount[RM_Code],$A18,T_StockCount[WeekIndex],16)&gt;0,SUMIFS(T_StockCount[CountedQty],T_StockCount[RM_Code],$A18,T_StockCount[WeekIndex],16),IF((COUNTIFS(T_SelfStock[RM_Code],$A18,T_SelfStock[WeekIndex],16)&gt;0)*(COUNTIFS(T_TTAFStock[RM_Code],$A18,T_TTAFStock[WeekIndex],16)&gt;0)&gt;0,SUMIFS(T_SelfStock[Self_Qty],T_SelfStock[RM_Code],$A18,T_SelfStock[WeekIndex],16)+SUMIFS(T_TTAFStock[TTAF_Qty],T_TTAFStock[RM_Code],$A18,T_TTAFStock[WeekIndex],16),P18+'Grid_Incoming'!Q18-'Grid_Requirement'!Q18))</f>
        <v/>
      </c>
      <c r="R18">
        <f>IF(COUNTIFS(T_StockCount[RM_Code],$A18,T_StockCount[WeekIndex],17)&gt;0,SUMIFS(T_StockCount[CountedQty],T_StockCount[RM_Code],$A18,T_StockCount[WeekIndex],17),IF((COUNTIFS(T_SelfStock[RM_Code],$A18,T_SelfStock[WeekIndex],17)&gt;0)*(COUNTIFS(T_TTAFStock[RM_Code],$A18,T_TTAFStock[WeekIndex],17)&gt;0)&gt;0,SUMIFS(T_SelfStock[Self_Qty],T_SelfStock[RM_Code],$A18,T_SelfStock[WeekIndex],17)+SUMIFS(T_TTAFStock[TTAF_Qty],T_TTAFStock[RM_Code],$A18,T_TTAFStock[WeekIndex],17),Q18+'Grid_Incoming'!R18-'Grid_Requirement'!R18))</f>
        <v/>
      </c>
      <c r="S18">
        <f>IF(COUNTIFS(T_StockCount[RM_Code],$A18,T_StockCount[WeekIndex],18)&gt;0,SUMIFS(T_StockCount[CountedQty],T_StockCount[RM_Code],$A18,T_StockCount[WeekIndex],18),IF((COUNTIFS(T_SelfStock[RM_Code],$A18,T_SelfStock[WeekIndex],18)&gt;0)*(COUNTIFS(T_TTAFStock[RM_Code],$A18,T_TTAFStock[WeekIndex],18)&gt;0)&gt;0,SUMIFS(T_SelfStock[Self_Qty],T_SelfStock[RM_Code],$A18,T_SelfStock[WeekIndex],18)+SUMIFS(T_TTAFStock[TTAF_Qty],T_TTAFStock[RM_Code],$A18,T_TTAFStock[WeekIndex],18),R18+'Grid_Incoming'!S18-'Grid_Requirement'!S18))</f>
        <v/>
      </c>
      <c r="T18">
        <f>IF(COUNTIFS(T_StockCount[RM_Code],$A18,T_StockCount[WeekIndex],19)&gt;0,SUMIFS(T_StockCount[CountedQty],T_StockCount[RM_Code],$A18,T_StockCount[WeekIndex],19),IF((COUNTIFS(T_SelfStock[RM_Code],$A18,T_SelfStock[WeekIndex],19)&gt;0)*(COUNTIFS(T_TTAFStock[RM_Code],$A18,T_TTAFStock[WeekIndex],19)&gt;0)&gt;0,SUMIFS(T_SelfStock[Self_Qty],T_SelfStock[RM_Code],$A18,T_SelfStock[WeekIndex],19)+SUMIFS(T_TTAFStock[TTAF_Qty],T_TTAFStock[RM_Code],$A18,T_TTAFStock[WeekIndex],19),S18+'Grid_Incoming'!T18-'Grid_Requirement'!T18))</f>
        <v/>
      </c>
      <c r="U18">
        <f>IF(COUNTIFS(T_StockCount[RM_Code],$A18,T_StockCount[WeekIndex],20)&gt;0,SUMIFS(T_StockCount[CountedQty],T_StockCount[RM_Code],$A18,T_StockCount[WeekIndex],20),IF((COUNTIFS(T_SelfStock[RM_Code],$A18,T_SelfStock[WeekIndex],20)&gt;0)*(COUNTIFS(T_TTAFStock[RM_Code],$A18,T_TTAFStock[WeekIndex],20)&gt;0)&gt;0,SUMIFS(T_SelfStock[Self_Qty],T_SelfStock[RM_Code],$A18,T_SelfStock[WeekIndex],20)+SUMIFS(T_TTAFStock[TTAF_Qty],T_TTAFStock[RM_Code],$A18,T_TTAFStock[WeekIndex],20),T18+'Grid_Incoming'!U18-'Grid_Requirement'!U18))</f>
        <v/>
      </c>
      <c r="V18">
        <f>IF(COUNTIFS(T_StockCount[RM_Code],$A18,T_StockCount[WeekIndex],21)&gt;0,SUMIFS(T_StockCount[CountedQty],T_StockCount[RM_Code],$A18,T_StockCount[WeekIndex],21),IF((COUNTIFS(T_SelfStock[RM_Code],$A18,T_SelfStock[WeekIndex],21)&gt;0)*(COUNTIFS(T_TTAFStock[RM_Code],$A18,T_TTAFStock[WeekIndex],21)&gt;0)&gt;0,SUMIFS(T_SelfStock[Self_Qty],T_SelfStock[RM_Code],$A18,T_SelfStock[WeekIndex],21)+SUMIFS(T_TTAFStock[TTAF_Qty],T_TTAFStock[RM_Code],$A18,T_TTAFStock[WeekIndex],21),U18+'Grid_Incoming'!V18-'Grid_Requirement'!V18))</f>
        <v/>
      </c>
      <c r="W18">
        <f>IF(COUNTIFS(T_StockCount[RM_Code],$A18,T_StockCount[WeekIndex],22)&gt;0,SUMIFS(T_StockCount[CountedQty],T_StockCount[RM_Code],$A18,T_StockCount[WeekIndex],22),IF((COUNTIFS(T_SelfStock[RM_Code],$A18,T_SelfStock[WeekIndex],22)&gt;0)*(COUNTIFS(T_TTAFStock[RM_Code],$A18,T_TTAFStock[WeekIndex],22)&gt;0)&gt;0,SUMIFS(T_SelfStock[Self_Qty],T_SelfStock[RM_Code],$A18,T_SelfStock[WeekIndex],22)+SUMIFS(T_TTAFStock[TTAF_Qty],T_TTAFStock[RM_Code],$A18,T_TTAFStock[WeekIndex],22),V18+'Grid_Incoming'!W18-'Grid_Requirement'!W18))</f>
        <v/>
      </c>
      <c r="X18">
        <f>IF(COUNTIFS(T_StockCount[RM_Code],$A18,T_StockCount[WeekIndex],23)&gt;0,SUMIFS(T_StockCount[CountedQty],T_StockCount[RM_Code],$A18,T_StockCount[WeekIndex],23),IF((COUNTIFS(T_SelfStock[RM_Code],$A18,T_SelfStock[WeekIndex],23)&gt;0)*(COUNTIFS(T_TTAFStock[RM_Code],$A18,T_TTAFStock[WeekIndex],23)&gt;0)&gt;0,SUMIFS(T_SelfStock[Self_Qty],T_SelfStock[RM_Code],$A18,T_SelfStock[WeekIndex],23)+SUMIFS(T_TTAFStock[TTAF_Qty],T_TTAFStock[RM_Code],$A18,T_TTAFStock[WeekIndex],23),W18+'Grid_Incoming'!X18-'Grid_Requirement'!X18))</f>
        <v/>
      </c>
      <c r="Y18">
        <f>IF(COUNTIFS(T_StockCount[RM_Code],$A18,T_StockCount[WeekIndex],24)&gt;0,SUMIFS(T_StockCount[CountedQty],T_StockCount[RM_Code],$A18,T_StockCount[WeekIndex],24),IF((COUNTIFS(T_SelfStock[RM_Code],$A18,T_SelfStock[WeekIndex],24)&gt;0)*(COUNTIFS(T_TTAFStock[RM_Code],$A18,T_TTAFStock[WeekIndex],24)&gt;0)&gt;0,SUMIFS(T_SelfStock[Self_Qty],T_SelfStock[RM_Code],$A18,T_SelfStock[WeekIndex],24)+SUMIFS(T_TTAFStock[TTAF_Qty],T_TTAFStock[RM_Code],$A18,T_TTAFStock[WeekIndex],24),X18+'Grid_Incoming'!Y18-'Grid_Requirement'!Y18))</f>
        <v/>
      </c>
      <c r="Z18">
        <f>IF(COUNTIFS(T_StockCount[RM_Code],$A18,T_StockCount[WeekIndex],25)&gt;0,SUMIFS(T_StockCount[CountedQty],T_StockCount[RM_Code],$A18,T_StockCount[WeekIndex],25),IF((COUNTIFS(T_SelfStock[RM_Code],$A18,T_SelfStock[WeekIndex],25)&gt;0)*(COUNTIFS(T_TTAFStock[RM_Code],$A18,T_TTAFStock[WeekIndex],25)&gt;0)&gt;0,SUMIFS(T_SelfStock[Self_Qty],T_SelfStock[RM_Code],$A18,T_SelfStock[WeekIndex],25)+SUMIFS(T_TTAFStock[TTAF_Qty],T_TTAFStock[RM_Code],$A18,T_TTAFStock[WeekIndex],25),Y18+'Grid_Incoming'!Z18-'Grid_Requirement'!Z18))</f>
        <v/>
      </c>
      <c r="AA18">
        <f>IF(COUNTIFS(T_StockCount[RM_Code],$A18,T_StockCount[WeekIndex],26)&gt;0,SUMIFS(T_StockCount[CountedQty],T_StockCount[RM_Code],$A18,T_StockCount[WeekIndex],26),IF((COUNTIFS(T_SelfStock[RM_Code],$A18,T_SelfStock[WeekIndex],26)&gt;0)*(COUNTIFS(T_TTAFStock[RM_Code],$A18,T_TTAFStock[WeekIndex],26)&gt;0)&gt;0,SUMIFS(T_SelfStock[Self_Qty],T_SelfStock[RM_Code],$A18,T_SelfStock[WeekIndex],26)+SUMIFS(T_TTAFStock[TTAF_Qty],T_TTAFStock[RM_Code],$A18,T_TTAFStock[WeekIndex],26),Z18+'Grid_Incoming'!AA18-'Grid_Requirement'!AA18))</f>
        <v/>
      </c>
      <c r="AB18">
        <f>IF(COUNTIFS(T_StockCount[RM_Code],$A18,T_StockCount[WeekIndex],27)&gt;0,SUMIFS(T_StockCount[CountedQty],T_StockCount[RM_Code],$A18,T_StockCount[WeekIndex],27),IF((COUNTIFS(T_SelfStock[RM_Code],$A18,T_SelfStock[WeekIndex],27)&gt;0)*(COUNTIFS(T_TTAFStock[RM_Code],$A18,T_TTAFStock[WeekIndex],27)&gt;0)&gt;0,SUMIFS(T_SelfStock[Self_Qty],T_SelfStock[RM_Code],$A18,T_SelfStock[WeekIndex],27)+SUMIFS(T_TTAFStock[TTAF_Qty],T_TTAFStock[RM_Code],$A18,T_TTAFStock[WeekIndex],27),AA18+'Grid_Incoming'!AB18-'Grid_Requirement'!AB18))</f>
        <v/>
      </c>
      <c r="AC18">
        <f>IF(COUNTIFS(T_StockCount[RM_Code],$A18,T_StockCount[WeekIndex],28)&gt;0,SUMIFS(T_StockCount[CountedQty],T_StockCount[RM_Code],$A18,T_StockCount[WeekIndex],28),IF((COUNTIFS(T_SelfStock[RM_Code],$A18,T_SelfStock[WeekIndex],28)&gt;0)*(COUNTIFS(T_TTAFStock[RM_Code],$A18,T_TTAFStock[WeekIndex],28)&gt;0)&gt;0,SUMIFS(T_SelfStock[Self_Qty],T_SelfStock[RM_Code],$A18,T_SelfStock[WeekIndex],28)+SUMIFS(T_TTAFStock[TTAF_Qty],T_TTAFStock[RM_Code],$A18,T_TTAFStock[WeekIndex],28),AB18+'Grid_Incoming'!AC18-'Grid_Requirement'!AC18))</f>
        <v/>
      </c>
      <c r="AD18">
        <f>IF(COUNTIFS(T_StockCount[RM_Code],$A18,T_StockCount[WeekIndex],29)&gt;0,SUMIFS(T_StockCount[CountedQty],T_StockCount[RM_Code],$A18,T_StockCount[WeekIndex],29),IF((COUNTIFS(T_SelfStock[RM_Code],$A18,T_SelfStock[WeekIndex],29)&gt;0)*(COUNTIFS(T_TTAFStock[RM_Code],$A18,T_TTAFStock[WeekIndex],29)&gt;0)&gt;0,SUMIFS(T_SelfStock[Self_Qty],T_SelfStock[RM_Code],$A18,T_SelfStock[WeekIndex],29)+SUMIFS(T_TTAFStock[TTAF_Qty],T_TTAFStock[RM_Code],$A18,T_TTAFStock[WeekIndex],29),AC18+'Grid_Incoming'!AD18-'Grid_Requirement'!AD18))</f>
        <v/>
      </c>
      <c r="AE18">
        <f>IF(COUNTIFS(T_StockCount[RM_Code],$A18,T_StockCount[WeekIndex],30)&gt;0,SUMIFS(T_StockCount[CountedQty],T_StockCount[RM_Code],$A18,T_StockCount[WeekIndex],30),IF((COUNTIFS(T_SelfStock[RM_Code],$A18,T_SelfStock[WeekIndex],30)&gt;0)*(COUNTIFS(T_TTAFStock[RM_Code],$A18,T_TTAFStock[WeekIndex],30)&gt;0)&gt;0,SUMIFS(T_SelfStock[Self_Qty],T_SelfStock[RM_Code],$A18,T_SelfStock[WeekIndex],30)+SUMIFS(T_TTAFStock[TTAF_Qty],T_TTAFStock[RM_Code],$A18,T_TTAFStock[WeekIndex],30),AD18+'Grid_Incoming'!AE18-'Grid_Requirement'!AE18))</f>
        <v/>
      </c>
      <c r="AF18">
        <f>IF(COUNTIFS(T_StockCount[RM_Code],$A18,T_StockCount[WeekIndex],31)&gt;0,SUMIFS(T_StockCount[CountedQty],T_StockCount[RM_Code],$A18,T_StockCount[WeekIndex],31),IF((COUNTIFS(T_SelfStock[RM_Code],$A18,T_SelfStock[WeekIndex],31)&gt;0)*(COUNTIFS(T_TTAFStock[RM_Code],$A18,T_TTAFStock[WeekIndex],31)&gt;0)&gt;0,SUMIFS(T_SelfStock[Self_Qty],T_SelfStock[RM_Code],$A18,T_SelfStock[WeekIndex],31)+SUMIFS(T_TTAFStock[TTAF_Qty],T_TTAFStock[RM_Code],$A18,T_TTAFStock[WeekIndex],31),AE18+'Grid_Incoming'!AF18-'Grid_Requirement'!AF18))</f>
        <v/>
      </c>
      <c r="AG18">
        <f>IF(COUNTIFS(T_StockCount[RM_Code],$A18,T_StockCount[WeekIndex],32)&gt;0,SUMIFS(T_StockCount[CountedQty],T_StockCount[RM_Code],$A18,T_StockCount[WeekIndex],32),IF((COUNTIFS(T_SelfStock[RM_Code],$A18,T_SelfStock[WeekIndex],32)&gt;0)*(COUNTIFS(T_TTAFStock[RM_Code],$A18,T_TTAFStock[WeekIndex],32)&gt;0)&gt;0,SUMIFS(T_SelfStock[Self_Qty],T_SelfStock[RM_Code],$A18,T_SelfStock[WeekIndex],32)+SUMIFS(T_TTAFStock[TTAF_Qty],T_TTAFStock[RM_Code],$A18,T_TTAFStock[WeekIndex],32),AF18+'Grid_Incoming'!AG18-'Grid_Requirement'!AG18))</f>
        <v/>
      </c>
      <c r="AH18">
        <f>IF(COUNTIFS(T_StockCount[RM_Code],$A18,T_StockCount[WeekIndex],33)&gt;0,SUMIFS(T_StockCount[CountedQty],T_StockCount[RM_Code],$A18,T_StockCount[WeekIndex],33),IF((COUNTIFS(T_SelfStock[RM_Code],$A18,T_SelfStock[WeekIndex],33)&gt;0)*(COUNTIFS(T_TTAFStock[RM_Code],$A18,T_TTAFStock[WeekIndex],33)&gt;0)&gt;0,SUMIFS(T_SelfStock[Self_Qty],T_SelfStock[RM_Code],$A18,T_SelfStock[WeekIndex],33)+SUMIFS(T_TTAFStock[TTAF_Qty],T_TTAFStock[RM_Code],$A18,T_TTAFStock[WeekIndex],33),AG18+'Grid_Incoming'!AH18-'Grid_Requirement'!AH18))</f>
        <v/>
      </c>
      <c r="AI18">
        <f>IF(COUNTIFS(T_StockCount[RM_Code],$A18,T_StockCount[WeekIndex],34)&gt;0,SUMIFS(T_StockCount[CountedQty],T_StockCount[RM_Code],$A18,T_StockCount[WeekIndex],34),IF((COUNTIFS(T_SelfStock[RM_Code],$A18,T_SelfStock[WeekIndex],34)&gt;0)*(COUNTIFS(T_TTAFStock[RM_Code],$A18,T_TTAFStock[WeekIndex],34)&gt;0)&gt;0,SUMIFS(T_SelfStock[Self_Qty],T_SelfStock[RM_Code],$A18,T_SelfStock[WeekIndex],34)+SUMIFS(T_TTAFStock[TTAF_Qty],T_TTAFStock[RM_Code],$A18,T_TTAFStock[WeekIndex],34),AH18+'Grid_Incoming'!AI18-'Grid_Requirement'!AI18))</f>
        <v/>
      </c>
      <c r="AJ18">
        <f>IF(COUNTIFS(T_StockCount[RM_Code],$A18,T_StockCount[WeekIndex],35)&gt;0,SUMIFS(T_StockCount[CountedQty],T_StockCount[RM_Code],$A18,T_StockCount[WeekIndex],35),IF((COUNTIFS(T_SelfStock[RM_Code],$A18,T_SelfStock[WeekIndex],35)&gt;0)*(COUNTIFS(T_TTAFStock[RM_Code],$A18,T_TTAFStock[WeekIndex],35)&gt;0)&gt;0,SUMIFS(T_SelfStock[Self_Qty],T_SelfStock[RM_Code],$A18,T_SelfStock[WeekIndex],35)+SUMIFS(T_TTAFStock[TTAF_Qty],T_TTAFStock[RM_Code],$A18,T_TTAFStock[WeekIndex],35),AI18+'Grid_Incoming'!AJ18-'Grid_Requirement'!AJ18))</f>
        <v/>
      </c>
      <c r="AK18">
        <f>IF(COUNTIFS(T_StockCount[RM_Code],$A18,T_StockCount[WeekIndex],36)&gt;0,SUMIFS(T_StockCount[CountedQty],T_StockCount[RM_Code],$A18,T_StockCount[WeekIndex],36),IF((COUNTIFS(T_SelfStock[RM_Code],$A18,T_SelfStock[WeekIndex],36)&gt;0)*(COUNTIFS(T_TTAFStock[RM_Code],$A18,T_TTAFStock[WeekIndex],36)&gt;0)&gt;0,SUMIFS(T_SelfStock[Self_Qty],T_SelfStock[RM_Code],$A18,T_SelfStock[WeekIndex],36)+SUMIFS(T_TTAFStock[TTAF_Qty],T_TTAFStock[RM_Code],$A18,T_TTAFStock[WeekIndex],36),AJ18+'Grid_Incoming'!AK18-'Grid_Requirement'!AK18))</f>
        <v/>
      </c>
      <c r="AL18">
        <f>IF(COUNTIFS(T_StockCount[RM_Code],$A18,T_StockCount[WeekIndex],37)&gt;0,SUMIFS(T_StockCount[CountedQty],T_StockCount[RM_Code],$A18,T_StockCount[WeekIndex],37),IF((COUNTIFS(T_SelfStock[RM_Code],$A18,T_SelfStock[WeekIndex],37)&gt;0)*(COUNTIFS(T_TTAFStock[RM_Code],$A18,T_TTAFStock[WeekIndex],37)&gt;0)&gt;0,SUMIFS(T_SelfStock[Self_Qty],T_SelfStock[RM_Code],$A18,T_SelfStock[WeekIndex],37)+SUMIFS(T_TTAFStock[TTAF_Qty],T_TTAFStock[RM_Code],$A18,T_TTAFStock[WeekIndex],37),AK18+'Grid_Incoming'!AL18-'Grid_Requirement'!AL18))</f>
        <v/>
      </c>
      <c r="AM18">
        <f>IF(COUNTIFS(T_StockCount[RM_Code],$A18,T_StockCount[WeekIndex],38)&gt;0,SUMIFS(T_StockCount[CountedQty],T_StockCount[RM_Code],$A18,T_StockCount[WeekIndex],38),IF((COUNTIFS(T_SelfStock[RM_Code],$A18,T_SelfStock[WeekIndex],38)&gt;0)*(COUNTIFS(T_TTAFStock[RM_Code],$A18,T_TTAFStock[WeekIndex],38)&gt;0)&gt;0,SUMIFS(T_SelfStock[Self_Qty],T_SelfStock[RM_Code],$A18,T_SelfStock[WeekIndex],38)+SUMIFS(T_TTAFStock[TTAF_Qty],T_TTAFStock[RM_Code],$A18,T_TTAFStock[WeekIndex],38),AL18+'Grid_Incoming'!AM18-'Grid_Requirement'!AM18))</f>
        <v/>
      </c>
      <c r="AN18">
        <f>IF(COUNTIFS(T_StockCount[RM_Code],$A18,T_StockCount[WeekIndex],39)&gt;0,SUMIFS(T_StockCount[CountedQty],T_StockCount[RM_Code],$A18,T_StockCount[WeekIndex],39),IF((COUNTIFS(T_SelfStock[RM_Code],$A18,T_SelfStock[WeekIndex],39)&gt;0)*(COUNTIFS(T_TTAFStock[RM_Code],$A18,T_TTAFStock[WeekIndex],39)&gt;0)&gt;0,SUMIFS(T_SelfStock[Self_Qty],T_SelfStock[RM_Code],$A18,T_SelfStock[WeekIndex],39)+SUMIFS(T_TTAFStock[TTAF_Qty],T_TTAFStock[RM_Code],$A18,T_TTAFStock[WeekIndex],39),AM18+'Grid_Incoming'!AN18-'Grid_Requirement'!AN18))</f>
        <v/>
      </c>
      <c r="AO18">
        <f>IF(COUNTIFS(T_StockCount[RM_Code],$A18,T_StockCount[WeekIndex],40)&gt;0,SUMIFS(T_StockCount[CountedQty],T_StockCount[RM_Code],$A18,T_StockCount[WeekIndex],40),IF((COUNTIFS(T_SelfStock[RM_Code],$A18,T_SelfStock[WeekIndex],40)&gt;0)*(COUNTIFS(T_TTAFStock[RM_Code],$A18,T_TTAFStock[WeekIndex],40)&gt;0)&gt;0,SUMIFS(T_SelfStock[Self_Qty],T_SelfStock[RM_Code],$A18,T_SelfStock[WeekIndex],40)+SUMIFS(T_TTAFStock[TTAF_Qty],T_TTAFStock[RM_Code],$A18,T_TTAFStock[WeekIndex],40),AN18+'Grid_Incoming'!AO18-'Grid_Requirement'!AO18))</f>
        <v/>
      </c>
      <c r="AP18">
        <f>IF(COUNTIFS(T_StockCount[RM_Code],$A18,T_StockCount[WeekIndex],41)&gt;0,SUMIFS(T_StockCount[CountedQty],T_StockCount[RM_Code],$A18,T_StockCount[WeekIndex],41),IF((COUNTIFS(T_SelfStock[RM_Code],$A18,T_SelfStock[WeekIndex],41)&gt;0)*(COUNTIFS(T_TTAFStock[RM_Code],$A18,T_TTAFStock[WeekIndex],41)&gt;0)&gt;0,SUMIFS(T_SelfStock[Self_Qty],T_SelfStock[RM_Code],$A18,T_SelfStock[WeekIndex],41)+SUMIFS(T_TTAFStock[TTAF_Qty],T_TTAFStock[RM_Code],$A18,T_TTAFStock[WeekIndex],41),AO18+'Grid_Incoming'!AP18-'Grid_Requirement'!AP18))</f>
        <v/>
      </c>
      <c r="AQ18">
        <f>IF(COUNTIFS(T_StockCount[RM_Code],$A18,T_StockCount[WeekIndex],42)&gt;0,SUMIFS(T_StockCount[CountedQty],T_StockCount[RM_Code],$A18,T_StockCount[WeekIndex],42),IF((COUNTIFS(T_SelfStock[RM_Code],$A18,T_SelfStock[WeekIndex],42)&gt;0)*(COUNTIFS(T_TTAFStock[RM_Code],$A18,T_TTAFStock[WeekIndex],42)&gt;0)&gt;0,SUMIFS(T_SelfStock[Self_Qty],T_SelfStock[RM_Code],$A18,T_SelfStock[WeekIndex],42)+SUMIFS(T_TTAFStock[TTAF_Qty],T_TTAFStock[RM_Code],$A18,T_TTAFStock[WeekIndex],42),AP18+'Grid_Incoming'!AQ18-'Grid_Requirement'!AQ18))</f>
        <v/>
      </c>
      <c r="AR18">
        <f>IF(COUNTIFS(T_StockCount[RM_Code],$A18,T_StockCount[WeekIndex],43)&gt;0,SUMIFS(T_StockCount[CountedQty],T_StockCount[RM_Code],$A18,T_StockCount[WeekIndex],43),IF((COUNTIFS(T_SelfStock[RM_Code],$A18,T_SelfStock[WeekIndex],43)&gt;0)*(COUNTIFS(T_TTAFStock[RM_Code],$A18,T_TTAFStock[WeekIndex],43)&gt;0)&gt;0,SUMIFS(T_SelfStock[Self_Qty],T_SelfStock[RM_Code],$A18,T_SelfStock[WeekIndex],43)+SUMIFS(T_TTAFStock[TTAF_Qty],T_TTAFStock[RM_Code],$A18,T_TTAFStock[WeekIndex],43),AQ18+'Grid_Incoming'!AR18-'Grid_Requirement'!AR18))</f>
        <v/>
      </c>
      <c r="AS18">
        <f>IF(COUNTIFS(T_StockCount[RM_Code],$A18,T_StockCount[WeekIndex],44)&gt;0,SUMIFS(T_StockCount[CountedQty],T_StockCount[RM_Code],$A18,T_StockCount[WeekIndex],44),IF((COUNTIFS(T_SelfStock[RM_Code],$A18,T_SelfStock[WeekIndex],44)&gt;0)*(COUNTIFS(T_TTAFStock[RM_Code],$A18,T_TTAFStock[WeekIndex],44)&gt;0)&gt;0,SUMIFS(T_SelfStock[Self_Qty],T_SelfStock[RM_Code],$A18,T_SelfStock[WeekIndex],44)+SUMIFS(T_TTAFStock[TTAF_Qty],T_TTAFStock[RM_Code],$A18,T_TTAFStock[WeekIndex],44),AR18+'Grid_Incoming'!AS18-'Grid_Requirement'!AS18))</f>
        <v/>
      </c>
      <c r="AT18">
        <f>IF(COUNTIFS(T_StockCount[RM_Code],$A18,T_StockCount[WeekIndex],45)&gt;0,SUMIFS(T_StockCount[CountedQty],T_StockCount[RM_Code],$A18,T_StockCount[WeekIndex],45),IF((COUNTIFS(T_SelfStock[RM_Code],$A18,T_SelfStock[WeekIndex],45)&gt;0)*(COUNTIFS(T_TTAFStock[RM_Code],$A18,T_TTAFStock[WeekIndex],45)&gt;0)&gt;0,SUMIFS(T_SelfStock[Self_Qty],T_SelfStock[RM_Code],$A18,T_SelfStock[WeekIndex],45)+SUMIFS(T_TTAFStock[TTAF_Qty],T_TTAFStock[RM_Code],$A18,T_TTAFStock[WeekIndex],45),AS18+'Grid_Incoming'!AT18-'Grid_Requirement'!AT18))</f>
        <v/>
      </c>
      <c r="AU18">
        <f>IF(COUNTIFS(T_StockCount[RM_Code],$A18,T_StockCount[WeekIndex],46)&gt;0,SUMIFS(T_StockCount[CountedQty],T_StockCount[RM_Code],$A18,T_StockCount[WeekIndex],46),IF((COUNTIFS(T_SelfStock[RM_Code],$A18,T_SelfStock[WeekIndex],46)&gt;0)*(COUNTIFS(T_TTAFStock[RM_Code],$A18,T_TTAFStock[WeekIndex],46)&gt;0)&gt;0,SUMIFS(T_SelfStock[Self_Qty],T_SelfStock[RM_Code],$A18,T_SelfStock[WeekIndex],46)+SUMIFS(T_TTAFStock[TTAF_Qty],T_TTAFStock[RM_Code],$A18,T_TTAFStock[WeekIndex],46),AT18+'Grid_Incoming'!AU18-'Grid_Requirement'!AU18))</f>
        <v/>
      </c>
      <c r="AV18">
        <f>IF(COUNTIFS(T_StockCount[RM_Code],$A18,T_StockCount[WeekIndex],47)&gt;0,SUMIFS(T_StockCount[CountedQty],T_StockCount[RM_Code],$A18,T_StockCount[WeekIndex],47),IF((COUNTIFS(T_SelfStock[RM_Code],$A18,T_SelfStock[WeekIndex],47)&gt;0)*(COUNTIFS(T_TTAFStock[RM_Code],$A18,T_TTAFStock[WeekIndex],47)&gt;0)&gt;0,SUMIFS(T_SelfStock[Self_Qty],T_SelfStock[RM_Code],$A18,T_SelfStock[WeekIndex],47)+SUMIFS(T_TTAFStock[TTAF_Qty],T_TTAFStock[RM_Code],$A18,T_TTAFStock[WeekIndex],47),AU18+'Grid_Incoming'!AV18-'Grid_Requirement'!AV18))</f>
        <v/>
      </c>
      <c r="AW18">
        <f>IF(COUNTIFS(T_StockCount[RM_Code],$A18,T_StockCount[WeekIndex],48)&gt;0,SUMIFS(T_StockCount[CountedQty],T_StockCount[RM_Code],$A18,T_StockCount[WeekIndex],48),IF((COUNTIFS(T_SelfStock[RM_Code],$A18,T_SelfStock[WeekIndex],48)&gt;0)*(COUNTIFS(T_TTAFStock[RM_Code],$A18,T_TTAFStock[WeekIndex],48)&gt;0)&gt;0,SUMIFS(T_SelfStock[Self_Qty],T_SelfStock[RM_Code],$A18,T_SelfStock[WeekIndex],48)+SUMIFS(T_TTAFStock[TTAF_Qty],T_TTAFStock[RM_Code],$A18,T_TTAFStock[WeekIndex],48),AV18+'Grid_Incoming'!AW18-'Grid_Requirement'!AW18))</f>
        <v/>
      </c>
      <c r="AX18">
        <f>IF(COUNTIFS(T_StockCount[RM_Code],$A18,T_StockCount[WeekIndex],49)&gt;0,SUMIFS(T_StockCount[CountedQty],T_StockCount[RM_Code],$A18,T_StockCount[WeekIndex],49),IF((COUNTIFS(T_SelfStock[RM_Code],$A18,T_SelfStock[WeekIndex],49)&gt;0)*(COUNTIFS(T_TTAFStock[RM_Code],$A18,T_TTAFStock[WeekIndex],49)&gt;0)&gt;0,SUMIFS(T_SelfStock[Self_Qty],T_SelfStock[RM_Code],$A18,T_SelfStock[WeekIndex],49)+SUMIFS(T_TTAFStock[TTAF_Qty],T_TTAFStock[RM_Code],$A18,T_TTAFStock[WeekIndex],49),AW18+'Grid_Incoming'!AX18-'Grid_Requirement'!AX18))</f>
        <v/>
      </c>
      <c r="AY18">
        <f>IF(COUNTIFS(T_StockCount[RM_Code],$A18,T_StockCount[WeekIndex],50)&gt;0,SUMIFS(T_StockCount[CountedQty],T_StockCount[RM_Code],$A18,T_StockCount[WeekIndex],50),IF((COUNTIFS(T_SelfStock[RM_Code],$A18,T_SelfStock[WeekIndex],50)&gt;0)*(COUNTIFS(T_TTAFStock[RM_Code],$A18,T_TTAFStock[WeekIndex],50)&gt;0)&gt;0,SUMIFS(T_SelfStock[Self_Qty],T_SelfStock[RM_Code],$A18,T_SelfStock[WeekIndex],50)+SUMIFS(T_TTAFStock[TTAF_Qty],T_TTAFStock[RM_Code],$A18,T_TTAFStock[WeekIndex],50),AX18+'Grid_Incoming'!AY18-'Grid_Requirement'!AY18))</f>
        <v/>
      </c>
      <c r="AZ18">
        <f>IF(COUNTIFS(T_StockCount[RM_Code],$A18,T_StockCount[WeekIndex],51)&gt;0,SUMIFS(T_StockCount[CountedQty],T_StockCount[RM_Code],$A18,T_StockCount[WeekIndex],51),IF((COUNTIFS(T_SelfStock[RM_Code],$A18,T_SelfStock[WeekIndex],51)&gt;0)*(COUNTIFS(T_TTAFStock[RM_Code],$A18,T_TTAFStock[WeekIndex],51)&gt;0)&gt;0,SUMIFS(T_SelfStock[Self_Qty],T_SelfStock[RM_Code],$A18,T_SelfStock[WeekIndex],51)+SUMIFS(T_TTAFStock[TTAF_Qty],T_TTAFStock[RM_Code],$A18,T_TTAFStock[WeekIndex],51),AY18+'Grid_Incoming'!AZ18-'Grid_Requirement'!AZ18))</f>
        <v/>
      </c>
      <c r="BA18">
        <f>IF(COUNTIFS(T_StockCount[RM_Code],$A18,T_StockCount[WeekIndex],52)&gt;0,SUMIFS(T_StockCount[CountedQty],T_StockCount[RM_Code],$A18,T_StockCount[WeekIndex],52),IF((COUNTIFS(T_SelfStock[RM_Code],$A18,T_SelfStock[WeekIndex],52)&gt;0)*(COUNTIFS(T_TTAFStock[RM_Code],$A18,T_TTAFStock[WeekIndex],52)&gt;0)&gt;0,SUMIFS(T_SelfStock[Self_Qty],T_SelfStock[RM_Code],$A18,T_SelfStock[WeekIndex],52)+SUMIFS(T_TTAFStock[TTAF_Qty],T_TTAFStock[RM_Code],$A18,T_TTAFStock[WeekIndex],52),AZ18+'Grid_Incoming'!BA18-'Grid_Requirement'!BA18))</f>
        <v/>
      </c>
      <c r="BB18">
        <f>IF(COUNTIFS(T_StockCount[RM_Code],$A18,T_StockCount[WeekIndex],53)&gt;0,SUMIFS(T_StockCount[CountedQty],T_StockCount[RM_Code],$A18,T_StockCount[WeekIndex],53),IF((COUNTIFS(T_SelfStock[RM_Code],$A18,T_SelfStock[WeekIndex],53)&gt;0)*(COUNTIFS(T_TTAFStock[RM_Code],$A18,T_TTAFStock[WeekIndex],53)&gt;0)&gt;0,SUMIFS(T_SelfStock[Self_Qty],T_SelfStock[RM_Code],$A18,T_SelfStock[WeekIndex],53)+SUMIFS(T_TTAFStock[TTAF_Qty],T_TTAFStock[RM_Code],$A18,T_TTAFStock[WeekIndex],53),BA18+'Grid_Incoming'!BB18-'Grid_Requirement'!BB18))</f>
        <v/>
      </c>
      <c r="BC18">
        <f>IF(COUNTIFS(T_StockCount[RM_Code],$A18,T_StockCount[WeekIndex],54)&gt;0,SUMIFS(T_StockCount[CountedQty],T_StockCount[RM_Code],$A18,T_StockCount[WeekIndex],54),IF((COUNTIFS(T_SelfStock[RM_Code],$A18,T_SelfStock[WeekIndex],54)&gt;0)*(COUNTIFS(T_TTAFStock[RM_Code],$A18,T_TTAFStock[WeekIndex],54)&gt;0)&gt;0,SUMIFS(T_SelfStock[Self_Qty],T_SelfStock[RM_Code],$A18,T_SelfStock[WeekIndex],54)+SUMIFS(T_TTAFStock[TTAF_Qty],T_TTAFStock[RM_Code],$A18,T_TTAFStock[WeekIndex],54),BB18+'Grid_Incoming'!BC18-'Grid_Requirement'!BC18))</f>
        <v/>
      </c>
      <c r="BD18">
        <f>IF(COUNTIFS(T_StockCount[RM_Code],$A18,T_StockCount[WeekIndex],55)&gt;0,SUMIFS(T_StockCount[CountedQty],T_StockCount[RM_Code],$A18,T_StockCount[WeekIndex],55),IF((COUNTIFS(T_SelfStock[RM_Code],$A18,T_SelfStock[WeekIndex],55)&gt;0)*(COUNTIFS(T_TTAFStock[RM_Code],$A18,T_TTAFStock[WeekIndex],55)&gt;0)&gt;0,SUMIFS(T_SelfStock[Self_Qty],T_SelfStock[RM_Code],$A18,T_SelfStock[WeekIndex],55)+SUMIFS(T_TTAFStock[TTAF_Qty],T_TTAFStock[RM_Code],$A18,T_TTAFStock[WeekIndex],55),BC18+'Grid_Incoming'!BD18-'Grid_Requirement'!BD18))</f>
        <v/>
      </c>
      <c r="BE18">
        <f>IF(COUNTIFS(T_StockCount[RM_Code],$A18,T_StockCount[WeekIndex],56)&gt;0,SUMIFS(T_StockCount[CountedQty],T_StockCount[RM_Code],$A18,T_StockCount[WeekIndex],56),IF((COUNTIFS(T_SelfStock[RM_Code],$A18,T_SelfStock[WeekIndex],56)&gt;0)*(COUNTIFS(T_TTAFStock[RM_Code],$A18,T_TTAFStock[WeekIndex],56)&gt;0)&gt;0,SUMIFS(T_SelfStock[Self_Qty],T_SelfStock[RM_Code],$A18,T_SelfStock[WeekIndex],56)+SUMIFS(T_TTAFStock[TTAF_Qty],T_TTAFStock[RM_Code],$A18,T_TTAFStock[WeekIndex],56),BD18+'Grid_Incoming'!BE18-'Grid_Requirement'!BE18))</f>
        <v/>
      </c>
      <c r="BF18">
        <f>IF(COUNTIFS(T_StockCount[RM_Code],$A18,T_StockCount[WeekIndex],57)&gt;0,SUMIFS(T_StockCount[CountedQty],T_StockCount[RM_Code],$A18,T_StockCount[WeekIndex],57),IF((COUNTIFS(T_SelfStock[RM_Code],$A18,T_SelfStock[WeekIndex],57)&gt;0)*(COUNTIFS(T_TTAFStock[RM_Code],$A18,T_TTAFStock[WeekIndex],57)&gt;0)&gt;0,SUMIFS(T_SelfStock[Self_Qty],T_SelfStock[RM_Code],$A18,T_SelfStock[WeekIndex],57)+SUMIFS(T_TTAFStock[TTAF_Qty],T_TTAFStock[RM_Code],$A18,T_TTAFStock[WeekIndex],57),BE18+'Grid_Incoming'!BF18-'Grid_Requirement'!BF18))</f>
        <v/>
      </c>
      <c r="BG18">
        <f>IF(COUNTIFS(T_StockCount[RM_Code],$A18,T_StockCount[WeekIndex],58)&gt;0,SUMIFS(T_StockCount[CountedQty],T_StockCount[RM_Code],$A18,T_StockCount[WeekIndex],58),IF((COUNTIFS(T_SelfStock[RM_Code],$A18,T_SelfStock[WeekIndex],58)&gt;0)*(COUNTIFS(T_TTAFStock[RM_Code],$A18,T_TTAFStock[WeekIndex],58)&gt;0)&gt;0,SUMIFS(T_SelfStock[Self_Qty],T_SelfStock[RM_Code],$A18,T_SelfStock[WeekIndex],58)+SUMIFS(T_TTAFStock[TTAF_Qty],T_TTAFStock[RM_Code],$A18,T_TTAFStock[WeekIndex],58),BF18+'Grid_Incoming'!BG18-'Grid_Requirement'!BG18))</f>
        <v/>
      </c>
      <c r="BH18">
        <f>IF(COUNTIFS(T_StockCount[RM_Code],$A18,T_StockCount[WeekIndex],59)&gt;0,SUMIFS(T_StockCount[CountedQty],T_StockCount[RM_Code],$A18,T_StockCount[WeekIndex],59),IF((COUNTIFS(T_SelfStock[RM_Code],$A18,T_SelfStock[WeekIndex],59)&gt;0)*(COUNTIFS(T_TTAFStock[RM_Code],$A18,T_TTAFStock[WeekIndex],59)&gt;0)&gt;0,SUMIFS(T_SelfStock[Self_Qty],T_SelfStock[RM_Code],$A18,T_SelfStock[WeekIndex],59)+SUMIFS(T_TTAFStock[TTAF_Qty],T_TTAFStock[RM_Code],$A18,T_TTAFStock[WeekIndex],59),BG18+'Grid_Incoming'!BH18-'Grid_Requirement'!BH18))</f>
        <v/>
      </c>
      <c r="BI18">
        <f>IF(COUNTIFS(T_StockCount[RM_Code],$A18,T_StockCount[WeekIndex],60)&gt;0,SUMIFS(T_StockCount[CountedQty],T_StockCount[RM_Code],$A18,T_StockCount[WeekIndex],60),IF((COUNTIFS(T_SelfStock[RM_Code],$A18,T_SelfStock[WeekIndex],60)&gt;0)*(COUNTIFS(T_TTAFStock[RM_Code],$A18,T_TTAFStock[WeekIndex],60)&gt;0)&gt;0,SUMIFS(T_SelfStock[Self_Qty],T_SelfStock[RM_Code],$A18,T_SelfStock[WeekIndex],60)+SUMIFS(T_TTAFStock[TTAF_Qty],T_TTAFStock[RM_Code],$A18,T_TTAFStock[WeekIndex],60),BH18+'Grid_Incoming'!BI18-'Grid_Requirement'!BI18))</f>
        <v/>
      </c>
      <c r="BJ18">
        <f>IF(COUNTIFS(T_StockCount[RM_Code],$A18,T_StockCount[WeekIndex],61)&gt;0,SUMIFS(T_StockCount[CountedQty],T_StockCount[RM_Code],$A18,T_StockCount[WeekIndex],61),IF((COUNTIFS(T_SelfStock[RM_Code],$A18,T_SelfStock[WeekIndex],61)&gt;0)*(COUNTIFS(T_TTAFStock[RM_Code],$A18,T_TTAFStock[WeekIndex],61)&gt;0)&gt;0,SUMIFS(T_SelfStock[Self_Qty],T_SelfStock[RM_Code],$A18,T_SelfStock[WeekIndex],61)+SUMIFS(T_TTAFStock[TTAF_Qty],T_TTAFStock[RM_Code],$A18,T_TTAFStock[WeekIndex],61),BI18+'Grid_Incoming'!BJ18-'Grid_Requirement'!BJ18))</f>
        <v/>
      </c>
      <c r="BK18">
        <f>IF(COUNTIFS(T_StockCount[RM_Code],$A18,T_StockCount[WeekIndex],62)&gt;0,SUMIFS(T_StockCount[CountedQty],T_StockCount[RM_Code],$A18,T_StockCount[WeekIndex],62),IF((COUNTIFS(T_SelfStock[RM_Code],$A18,T_SelfStock[WeekIndex],62)&gt;0)*(COUNTIFS(T_TTAFStock[RM_Code],$A18,T_TTAFStock[WeekIndex],62)&gt;0)&gt;0,SUMIFS(T_SelfStock[Self_Qty],T_SelfStock[RM_Code],$A18,T_SelfStock[WeekIndex],62)+SUMIFS(T_TTAFStock[TTAF_Qty],T_TTAFStock[RM_Code],$A18,T_TTAFStock[WeekIndex],62),BJ18+'Grid_Incoming'!BK18-'Grid_Requirement'!BK18))</f>
        <v/>
      </c>
      <c r="BL18">
        <f>IF(COUNTIFS(T_StockCount[RM_Code],$A18,T_StockCount[WeekIndex],63)&gt;0,SUMIFS(T_StockCount[CountedQty],T_StockCount[RM_Code],$A18,T_StockCount[WeekIndex],63),IF((COUNTIFS(T_SelfStock[RM_Code],$A18,T_SelfStock[WeekIndex],63)&gt;0)*(COUNTIFS(T_TTAFStock[RM_Code],$A18,T_TTAFStock[WeekIndex],63)&gt;0)&gt;0,SUMIFS(T_SelfStock[Self_Qty],T_SelfStock[RM_Code],$A18,T_SelfStock[WeekIndex],63)+SUMIFS(T_TTAFStock[TTAF_Qty],T_TTAFStock[RM_Code],$A18,T_TTAFStock[WeekIndex],63),BK18+'Grid_Incoming'!BL18-'Grid_Requirement'!BL18))</f>
        <v/>
      </c>
      <c r="BM18">
        <f>IF(COUNTIFS(T_StockCount[RM_Code],$A18,T_StockCount[WeekIndex],64)&gt;0,SUMIFS(T_StockCount[CountedQty],T_StockCount[RM_Code],$A18,T_StockCount[WeekIndex],64),IF((COUNTIFS(T_SelfStock[RM_Code],$A18,T_SelfStock[WeekIndex],64)&gt;0)*(COUNTIFS(T_TTAFStock[RM_Code],$A18,T_TTAFStock[WeekIndex],64)&gt;0)&gt;0,SUMIFS(T_SelfStock[Self_Qty],T_SelfStock[RM_Code],$A18,T_SelfStock[WeekIndex],64)+SUMIFS(T_TTAFStock[TTAF_Qty],T_TTAFStock[RM_Code],$A18,T_TTAFStock[WeekIndex],64),BL18+'Grid_Incoming'!BM18-'Grid_Requirement'!BM18))</f>
        <v/>
      </c>
      <c r="BN18">
        <f>IF(COUNTIFS(T_StockCount[RM_Code],$A18,T_StockCount[WeekIndex],65)&gt;0,SUMIFS(T_StockCount[CountedQty],T_StockCount[RM_Code],$A18,T_StockCount[WeekIndex],65),IF((COUNTIFS(T_SelfStock[RM_Code],$A18,T_SelfStock[WeekIndex],65)&gt;0)*(COUNTIFS(T_TTAFStock[RM_Code],$A18,T_TTAFStock[WeekIndex],65)&gt;0)&gt;0,SUMIFS(T_SelfStock[Self_Qty],T_SelfStock[RM_Code],$A18,T_SelfStock[WeekIndex],65)+SUMIFS(T_TTAFStock[TTAF_Qty],T_TTAFStock[RM_Code],$A18,T_TTAFStock[WeekIndex],65),BM18+'Grid_Incoming'!BN18-'Grid_Requirement'!BN18))</f>
        <v/>
      </c>
      <c r="BO18">
        <f>IF(COUNTIFS(T_StockCount[RM_Code],$A18,T_StockCount[WeekIndex],66)&gt;0,SUMIFS(T_StockCount[CountedQty],T_StockCount[RM_Code],$A18,T_StockCount[WeekIndex],66),IF((COUNTIFS(T_SelfStock[RM_Code],$A18,T_SelfStock[WeekIndex],66)&gt;0)*(COUNTIFS(T_TTAFStock[RM_Code],$A18,T_TTAFStock[WeekIndex],66)&gt;0)&gt;0,SUMIFS(T_SelfStock[Self_Qty],T_SelfStock[RM_Code],$A18,T_SelfStock[WeekIndex],66)+SUMIFS(T_TTAFStock[TTAF_Qty],T_TTAFStock[RM_Code],$A18,T_TTAFStock[WeekIndex],66),BN18+'Grid_Incoming'!BO18-'Grid_Requirement'!BO18))</f>
        <v/>
      </c>
      <c r="BP18">
        <f>IF(COUNTIFS(T_StockCount[RM_Code],$A18,T_StockCount[WeekIndex],67)&gt;0,SUMIFS(T_StockCount[CountedQty],T_StockCount[RM_Code],$A18,T_StockCount[WeekIndex],67),IF((COUNTIFS(T_SelfStock[RM_Code],$A18,T_SelfStock[WeekIndex],67)&gt;0)*(COUNTIFS(T_TTAFStock[RM_Code],$A18,T_TTAFStock[WeekIndex],67)&gt;0)&gt;0,SUMIFS(T_SelfStock[Self_Qty],T_SelfStock[RM_Code],$A18,T_SelfStock[WeekIndex],67)+SUMIFS(T_TTAFStock[TTAF_Qty],T_TTAFStock[RM_Code],$A18,T_TTAFStock[WeekIndex],67),BO18+'Grid_Incoming'!BP18-'Grid_Requirement'!BP18))</f>
        <v/>
      </c>
      <c r="BQ18">
        <f>IF(COUNTIFS(T_StockCount[RM_Code],$A18,T_StockCount[WeekIndex],68)&gt;0,SUMIFS(T_StockCount[CountedQty],T_StockCount[RM_Code],$A18,T_StockCount[WeekIndex],68),IF((COUNTIFS(T_SelfStock[RM_Code],$A18,T_SelfStock[WeekIndex],68)&gt;0)*(COUNTIFS(T_TTAFStock[RM_Code],$A18,T_TTAFStock[WeekIndex],68)&gt;0)&gt;0,SUMIFS(T_SelfStock[Self_Qty],T_SelfStock[RM_Code],$A18,T_SelfStock[WeekIndex],68)+SUMIFS(T_TTAFStock[TTAF_Qty],T_TTAFStock[RM_Code],$A18,T_TTAFStock[WeekIndex],68),BP18+'Grid_Incoming'!BQ18-'Grid_Requirement'!BQ18))</f>
        <v/>
      </c>
      <c r="BR18">
        <f>IF(COUNTIFS(T_StockCount[RM_Code],$A18,T_StockCount[WeekIndex],69)&gt;0,SUMIFS(T_StockCount[CountedQty],T_StockCount[RM_Code],$A18,T_StockCount[WeekIndex],69),IF((COUNTIFS(T_SelfStock[RM_Code],$A18,T_SelfStock[WeekIndex],69)&gt;0)*(COUNTIFS(T_TTAFStock[RM_Code],$A18,T_TTAFStock[WeekIndex],69)&gt;0)&gt;0,SUMIFS(T_SelfStock[Self_Qty],T_SelfStock[RM_Code],$A18,T_SelfStock[WeekIndex],69)+SUMIFS(T_TTAFStock[TTAF_Qty],T_TTAFStock[RM_Code],$A18,T_TTAFStock[WeekIndex],69),BQ18+'Grid_Incoming'!BR18-'Grid_Requirement'!BR18))</f>
        <v/>
      </c>
      <c r="BS18">
        <f>IF(COUNTIFS(T_StockCount[RM_Code],$A18,T_StockCount[WeekIndex],70)&gt;0,SUMIFS(T_StockCount[CountedQty],T_StockCount[RM_Code],$A18,T_StockCount[WeekIndex],70),IF((COUNTIFS(T_SelfStock[RM_Code],$A18,T_SelfStock[WeekIndex],70)&gt;0)*(COUNTIFS(T_TTAFStock[RM_Code],$A18,T_TTAFStock[WeekIndex],70)&gt;0)&gt;0,SUMIFS(T_SelfStock[Self_Qty],T_SelfStock[RM_Code],$A18,T_SelfStock[WeekIndex],70)+SUMIFS(T_TTAFStock[TTAF_Qty],T_TTAFStock[RM_Code],$A18,T_TTAFStock[WeekIndex],70),BR18+'Grid_Incoming'!BS18-'Grid_Requirement'!BS18))</f>
        <v/>
      </c>
      <c r="BT18">
        <f>IF(COUNTIFS(T_StockCount[RM_Code],$A18,T_StockCount[WeekIndex],71)&gt;0,SUMIFS(T_StockCount[CountedQty],T_StockCount[RM_Code],$A18,T_StockCount[WeekIndex],71),IF((COUNTIFS(T_SelfStock[RM_Code],$A18,T_SelfStock[WeekIndex],71)&gt;0)*(COUNTIFS(T_TTAFStock[RM_Code],$A18,T_TTAFStock[WeekIndex],71)&gt;0)&gt;0,SUMIFS(T_SelfStock[Self_Qty],T_SelfStock[RM_Code],$A18,T_SelfStock[WeekIndex],71)+SUMIFS(T_TTAFStock[TTAF_Qty],T_TTAFStock[RM_Code],$A18,T_TTAFStock[WeekIndex],71),BS18+'Grid_Incoming'!BT18-'Grid_Requirement'!BT18))</f>
        <v/>
      </c>
      <c r="BU18">
        <f>IF(COUNTIFS(T_StockCount[RM_Code],$A18,T_StockCount[WeekIndex],72)&gt;0,SUMIFS(T_StockCount[CountedQty],T_StockCount[RM_Code],$A18,T_StockCount[WeekIndex],72),IF((COUNTIFS(T_SelfStock[RM_Code],$A18,T_SelfStock[WeekIndex],72)&gt;0)*(COUNTIFS(T_TTAFStock[RM_Code],$A18,T_TTAFStock[WeekIndex],72)&gt;0)&gt;0,SUMIFS(T_SelfStock[Self_Qty],T_SelfStock[RM_Code],$A18,T_SelfStock[WeekIndex],72)+SUMIFS(T_TTAFStock[TTAF_Qty],T_TTAFStock[RM_Code],$A18,T_TTAFStock[WeekIndex],72),BT18+'Grid_Incoming'!BU18-'Grid_Requirement'!BU18))</f>
        <v/>
      </c>
      <c r="BV18">
        <f>IF(COUNTIFS(T_StockCount[RM_Code],$A18,T_StockCount[WeekIndex],73)&gt;0,SUMIFS(T_StockCount[CountedQty],T_StockCount[RM_Code],$A18,T_StockCount[WeekIndex],73),IF((COUNTIFS(T_SelfStock[RM_Code],$A18,T_SelfStock[WeekIndex],73)&gt;0)*(COUNTIFS(T_TTAFStock[RM_Code],$A18,T_TTAFStock[WeekIndex],73)&gt;0)&gt;0,SUMIFS(T_SelfStock[Self_Qty],T_SelfStock[RM_Code],$A18,T_SelfStock[WeekIndex],73)+SUMIFS(T_TTAFStock[TTAF_Qty],T_TTAFStock[RM_Code],$A18,T_TTAFStock[WeekIndex],73),BU18+'Grid_Incoming'!BV18-'Grid_Requirement'!BV18))</f>
        <v/>
      </c>
      <c r="BW18">
        <f>IF(COUNTIFS(T_StockCount[RM_Code],$A18,T_StockCount[WeekIndex],74)&gt;0,SUMIFS(T_StockCount[CountedQty],T_StockCount[RM_Code],$A18,T_StockCount[WeekIndex],74),IF((COUNTIFS(T_SelfStock[RM_Code],$A18,T_SelfStock[WeekIndex],74)&gt;0)*(COUNTIFS(T_TTAFStock[RM_Code],$A18,T_TTAFStock[WeekIndex],74)&gt;0)&gt;0,SUMIFS(T_SelfStock[Self_Qty],T_SelfStock[RM_Code],$A18,T_SelfStock[WeekIndex],74)+SUMIFS(T_TTAFStock[TTAF_Qty],T_TTAFStock[RM_Code],$A18,T_TTAFStock[WeekIndex],74),BV18+'Grid_Incoming'!BW18-'Grid_Requirement'!BW18))</f>
        <v/>
      </c>
      <c r="BX18">
        <f>IF(COUNTIFS(T_StockCount[RM_Code],$A18,T_StockCount[WeekIndex],75)&gt;0,SUMIFS(T_StockCount[CountedQty],T_StockCount[RM_Code],$A18,T_StockCount[WeekIndex],75),IF((COUNTIFS(T_SelfStock[RM_Code],$A18,T_SelfStock[WeekIndex],75)&gt;0)*(COUNTIFS(T_TTAFStock[RM_Code],$A18,T_TTAFStock[WeekIndex],75)&gt;0)&gt;0,SUMIFS(T_SelfStock[Self_Qty],T_SelfStock[RM_Code],$A18,T_SelfStock[WeekIndex],75)+SUMIFS(T_TTAFStock[TTAF_Qty],T_TTAFStock[RM_Code],$A18,T_TTAFStock[WeekIndex],75),BW18+'Grid_Incoming'!BX18-'Grid_Requirement'!BX18))</f>
        <v/>
      </c>
      <c r="BY18">
        <f>IF(COUNTIFS(T_StockCount[RM_Code],$A18,T_StockCount[WeekIndex],76)&gt;0,SUMIFS(T_StockCount[CountedQty],T_StockCount[RM_Code],$A18,T_StockCount[WeekIndex],76),IF((COUNTIFS(T_SelfStock[RM_Code],$A18,T_SelfStock[WeekIndex],76)&gt;0)*(COUNTIFS(T_TTAFStock[RM_Code],$A18,T_TTAFStock[WeekIndex],76)&gt;0)&gt;0,SUMIFS(T_SelfStock[Self_Qty],T_SelfStock[RM_Code],$A18,T_SelfStock[WeekIndex],76)+SUMIFS(T_TTAFStock[TTAF_Qty],T_TTAFStock[RM_Code],$A18,T_TTAFStock[WeekIndex],76),BX18+'Grid_Incoming'!BY18-'Grid_Requirement'!BY18))</f>
        <v/>
      </c>
      <c r="BZ18">
        <f>IF(COUNTIFS(T_StockCount[RM_Code],$A18,T_StockCount[WeekIndex],77)&gt;0,SUMIFS(T_StockCount[CountedQty],T_StockCount[RM_Code],$A18,T_StockCount[WeekIndex],77),IF((COUNTIFS(T_SelfStock[RM_Code],$A18,T_SelfStock[WeekIndex],77)&gt;0)*(COUNTIFS(T_TTAFStock[RM_Code],$A18,T_TTAFStock[WeekIndex],77)&gt;0)&gt;0,SUMIFS(T_SelfStock[Self_Qty],T_SelfStock[RM_Code],$A18,T_SelfStock[WeekIndex],77)+SUMIFS(T_TTAFStock[TTAF_Qty],T_TTAFStock[RM_Code],$A18,T_TTAFStock[WeekIndex],77),BY18+'Grid_Incoming'!BZ18-'Grid_Requirement'!BZ18))</f>
        <v/>
      </c>
      <c r="CA18">
        <f>IF(COUNTIFS(T_StockCount[RM_Code],$A18,T_StockCount[WeekIndex],78)&gt;0,SUMIFS(T_StockCount[CountedQty],T_StockCount[RM_Code],$A18,T_StockCount[WeekIndex],78),IF((COUNTIFS(T_SelfStock[RM_Code],$A18,T_SelfStock[WeekIndex],78)&gt;0)*(COUNTIFS(T_TTAFStock[RM_Code],$A18,T_TTAFStock[WeekIndex],78)&gt;0)&gt;0,SUMIFS(T_SelfStock[Self_Qty],T_SelfStock[RM_Code],$A18,T_SelfStock[WeekIndex],78)+SUMIFS(T_TTAFStock[TTAF_Qty],T_TTAFStock[RM_Code],$A18,T_TTAFStock[WeekIndex],78),BZ18+'Grid_Incoming'!CA18-'Grid_Requirement'!CA18))</f>
        <v/>
      </c>
      <c r="CB18">
        <f>IF(COUNTIFS(T_StockCount[RM_Code],$A18,T_StockCount[WeekIndex],79)&gt;0,SUMIFS(T_StockCount[CountedQty],T_StockCount[RM_Code],$A18,T_StockCount[WeekIndex],79),IF((COUNTIFS(T_SelfStock[RM_Code],$A18,T_SelfStock[WeekIndex],79)&gt;0)*(COUNTIFS(T_TTAFStock[RM_Code],$A18,T_TTAFStock[WeekIndex],79)&gt;0)&gt;0,SUMIFS(T_SelfStock[Self_Qty],T_SelfStock[RM_Code],$A18,T_SelfStock[WeekIndex],79)+SUMIFS(T_TTAFStock[TTAF_Qty],T_TTAFStock[RM_Code],$A18,T_TTAFStock[WeekIndex],79),CA18+'Grid_Incoming'!CB18-'Grid_Requirement'!CB18))</f>
        <v/>
      </c>
      <c r="CC18">
        <f>IF(COUNTIFS(T_StockCount[RM_Code],$A18,T_StockCount[WeekIndex],80)&gt;0,SUMIFS(T_StockCount[CountedQty],T_StockCount[RM_Code],$A18,T_StockCount[WeekIndex],80),IF((COUNTIFS(T_SelfStock[RM_Code],$A18,T_SelfStock[WeekIndex],80)&gt;0)*(COUNTIFS(T_TTAFStock[RM_Code],$A18,T_TTAFStock[WeekIndex],80)&gt;0)&gt;0,SUMIFS(T_SelfStock[Self_Qty],T_SelfStock[RM_Code],$A18,T_SelfStock[WeekIndex],80)+SUMIFS(T_TTAFStock[TTAF_Qty],T_TTAFStock[RM_Code],$A18,T_TTAFStock[WeekIndex],80),CB18+'Grid_Incoming'!CC18-'Grid_Requirement'!CC18))</f>
        <v/>
      </c>
      <c r="CD18">
        <f>IF(COUNTIFS(T_StockCount[RM_Code],$A18,T_StockCount[WeekIndex],81)&gt;0,SUMIFS(T_StockCount[CountedQty],T_StockCount[RM_Code],$A18,T_StockCount[WeekIndex],81),IF((COUNTIFS(T_SelfStock[RM_Code],$A18,T_SelfStock[WeekIndex],81)&gt;0)*(COUNTIFS(T_TTAFStock[RM_Code],$A18,T_TTAFStock[WeekIndex],81)&gt;0)&gt;0,SUMIFS(T_SelfStock[Self_Qty],T_SelfStock[RM_Code],$A18,T_SelfStock[WeekIndex],81)+SUMIFS(T_TTAFStock[TTAF_Qty],T_TTAFStock[RM_Code],$A18,T_TTAFStock[WeekIndex],81),CC18+'Grid_Incoming'!CD18-'Grid_Requirement'!CD18))</f>
        <v/>
      </c>
      <c r="CE18">
        <f>IF(COUNTIFS(T_StockCount[RM_Code],$A18,T_StockCount[WeekIndex],82)&gt;0,SUMIFS(T_StockCount[CountedQty],T_StockCount[RM_Code],$A18,T_StockCount[WeekIndex],82),IF((COUNTIFS(T_SelfStock[RM_Code],$A18,T_SelfStock[WeekIndex],82)&gt;0)*(COUNTIFS(T_TTAFStock[RM_Code],$A18,T_TTAFStock[WeekIndex],82)&gt;0)&gt;0,SUMIFS(T_SelfStock[Self_Qty],T_SelfStock[RM_Code],$A18,T_SelfStock[WeekIndex],82)+SUMIFS(T_TTAFStock[TTAF_Qty],T_TTAFStock[RM_Code],$A18,T_TTAFStock[WeekIndex],82),CD18+'Grid_Incoming'!CE18-'Grid_Requirement'!CE18))</f>
        <v/>
      </c>
      <c r="CF18">
        <f>IF(COUNTIFS(T_StockCount[RM_Code],$A18,T_StockCount[WeekIndex],83)&gt;0,SUMIFS(T_StockCount[CountedQty],T_StockCount[RM_Code],$A18,T_StockCount[WeekIndex],83),IF((COUNTIFS(T_SelfStock[RM_Code],$A18,T_SelfStock[WeekIndex],83)&gt;0)*(COUNTIFS(T_TTAFStock[RM_Code],$A18,T_TTAFStock[WeekIndex],83)&gt;0)&gt;0,SUMIFS(T_SelfStock[Self_Qty],T_SelfStock[RM_Code],$A18,T_SelfStock[WeekIndex],83)+SUMIFS(T_TTAFStock[TTAF_Qty],T_TTAFStock[RM_Code],$A18,T_TTAFStock[WeekIndex],83),CE18+'Grid_Incoming'!CF18-'Grid_Requirement'!CF18))</f>
        <v/>
      </c>
      <c r="CG18">
        <f>IF(COUNTIFS(T_StockCount[RM_Code],$A18,T_StockCount[WeekIndex],84)&gt;0,SUMIFS(T_StockCount[CountedQty],T_StockCount[RM_Code],$A18,T_StockCount[WeekIndex],84),IF((COUNTIFS(T_SelfStock[RM_Code],$A18,T_SelfStock[WeekIndex],84)&gt;0)*(COUNTIFS(T_TTAFStock[RM_Code],$A18,T_TTAFStock[WeekIndex],84)&gt;0)&gt;0,SUMIFS(T_SelfStock[Self_Qty],T_SelfStock[RM_Code],$A18,T_SelfStock[WeekIndex],84)+SUMIFS(T_TTAFStock[TTAF_Qty],T_TTAFStock[RM_Code],$A18,T_TTAFStock[WeekIndex],84),CF18+'Grid_Incoming'!CG18-'Grid_Requirement'!CG18))</f>
        <v/>
      </c>
      <c r="CH18">
        <f>IF(COUNTIFS(T_StockCount[RM_Code],$A18,T_StockCount[WeekIndex],85)&gt;0,SUMIFS(T_StockCount[CountedQty],T_StockCount[RM_Code],$A18,T_StockCount[WeekIndex],85),IF((COUNTIFS(T_SelfStock[RM_Code],$A18,T_SelfStock[WeekIndex],85)&gt;0)*(COUNTIFS(T_TTAFStock[RM_Code],$A18,T_TTAFStock[WeekIndex],85)&gt;0)&gt;0,SUMIFS(T_SelfStock[Self_Qty],T_SelfStock[RM_Code],$A18,T_SelfStock[WeekIndex],85)+SUMIFS(T_TTAFStock[TTAF_Qty],T_TTAFStock[RM_Code],$A18,T_TTAFStock[WeekIndex],85),CG18+'Grid_Incoming'!CH18-'Grid_Requirement'!CH18))</f>
        <v/>
      </c>
      <c r="CI18">
        <f>IF(COUNTIFS(T_StockCount[RM_Code],$A18,T_StockCount[WeekIndex],86)&gt;0,SUMIFS(T_StockCount[CountedQty],T_StockCount[RM_Code],$A18,T_StockCount[WeekIndex],86),IF((COUNTIFS(T_SelfStock[RM_Code],$A18,T_SelfStock[WeekIndex],86)&gt;0)*(COUNTIFS(T_TTAFStock[RM_Code],$A18,T_TTAFStock[WeekIndex],86)&gt;0)&gt;0,SUMIFS(T_SelfStock[Self_Qty],T_SelfStock[RM_Code],$A18,T_SelfStock[WeekIndex],86)+SUMIFS(T_TTAFStock[TTAF_Qty],T_TTAFStock[RM_Code],$A18,T_TTAFStock[WeekIndex],86),CH18+'Grid_Incoming'!CI18-'Grid_Requirement'!CI18))</f>
        <v/>
      </c>
      <c r="CJ18">
        <f>IF(COUNTIFS(T_StockCount[RM_Code],$A18,T_StockCount[WeekIndex],87)&gt;0,SUMIFS(T_StockCount[CountedQty],T_StockCount[RM_Code],$A18,T_StockCount[WeekIndex],87),IF((COUNTIFS(T_SelfStock[RM_Code],$A18,T_SelfStock[WeekIndex],87)&gt;0)*(COUNTIFS(T_TTAFStock[RM_Code],$A18,T_TTAFStock[WeekIndex],87)&gt;0)&gt;0,SUMIFS(T_SelfStock[Self_Qty],T_SelfStock[RM_Code],$A18,T_SelfStock[WeekIndex],87)+SUMIFS(T_TTAFStock[TTAF_Qty],T_TTAFStock[RM_Code],$A18,T_TTAFStock[WeekIndex],87),CI18+'Grid_Incoming'!CJ18-'Grid_Requirement'!CJ18))</f>
        <v/>
      </c>
      <c r="CK18">
        <f>IF(COUNTIFS(T_StockCount[RM_Code],$A18,T_StockCount[WeekIndex],88)&gt;0,SUMIFS(T_StockCount[CountedQty],T_StockCount[RM_Code],$A18,T_StockCount[WeekIndex],88),IF((COUNTIFS(T_SelfStock[RM_Code],$A18,T_SelfStock[WeekIndex],88)&gt;0)*(COUNTIFS(T_TTAFStock[RM_Code],$A18,T_TTAFStock[WeekIndex],88)&gt;0)&gt;0,SUMIFS(T_SelfStock[Self_Qty],T_SelfStock[RM_Code],$A18,T_SelfStock[WeekIndex],88)+SUMIFS(T_TTAFStock[TTAF_Qty],T_TTAFStock[RM_Code],$A18,T_TTAFStock[WeekIndex],88),CJ18+'Grid_Incoming'!CK18-'Grid_Requirement'!CK18))</f>
        <v/>
      </c>
      <c r="CL18">
        <f>IF(COUNTIFS(T_StockCount[RM_Code],$A18,T_StockCount[WeekIndex],89)&gt;0,SUMIFS(T_StockCount[CountedQty],T_StockCount[RM_Code],$A18,T_StockCount[WeekIndex],89),IF((COUNTIFS(T_SelfStock[RM_Code],$A18,T_SelfStock[WeekIndex],89)&gt;0)*(COUNTIFS(T_TTAFStock[RM_Code],$A18,T_TTAFStock[WeekIndex],89)&gt;0)&gt;0,SUMIFS(T_SelfStock[Self_Qty],T_SelfStock[RM_Code],$A18,T_SelfStock[WeekIndex],89)+SUMIFS(T_TTAFStock[TTAF_Qty],T_TTAFStock[RM_Code],$A18,T_TTAFStock[WeekIndex],89),CK18+'Grid_Incoming'!CL18-'Grid_Requirement'!CL18))</f>
        <v/>
      </c>
      <c r="CM18">
        <f>IF(COUNTIFS(T_StockCount[RM_Code],$A18,T_StockCount[WeekIndex],90)&gt;0,SUMIFS(T_StockCount[CountedQty],T_StockCount[RM_Code],$A18,T_StockCount[WeekIndex],90),IF((COUNTIFS(T_SelfStock[RM_Code],$A18,T_SelfStock[WeekIndex],90)&gt;0)*(COUNTIFS(T_TTAFStock[RM_Code],$A18,T_TTAFStock[WeekIndex],90)&gt;0)&gt;0,SUMIFS(T_SelfStock[Self_Qty],T_SelfStock[RM_Code],$A18,T_SelfStock[WeekIndex],90)+SUMIFS(T_TTAFStock[TTAF_Qty],T_TTAFStock[RM_Code],$A18,T_TTAFStock[WeekIndex],90),CL18+'Grid_Incoming'!CM18-'Grid_Requirement'!CM18))</f>
        <v/>
      </c>
      <c r="CN18">
        <f>IF(COUNTIFS(T_StockCount[RM_Code],$A18,T_StockCount[WeekIndex],91)&gt;0,SUMIFS(T_StockCount[CountedQty],T_StockCount[RM_Code],$A18,T_StockCount[WeekIndex],91),IF((COUNTIFS(T_SelfStock[RM_Code],$A18,T_SelfStock[WeekIndex],91)&gt;0)*(COUNTIFS(T_TTAFStock[RM_Code],$A18,T_TTAFStock[WeekIndex],91)&gt;0)&gt;0,SUMIFS(T_SelfStock[Self_Qty],T_SelfStock[RM_Code],$A18,T_SelfStock[WeekIndex],91)+SUMIFS(T_TTAFStock[TTAF_Qty],T_TTAFStock[RM_Code],$A18,T_TTAFStock[WeekIndex],91),CM18+'Grid_Incoming'!CN18-'Grid_Requirement'!CN18))</f>
        <v/>
      </c>
      <c r="CO18">
        <f>IF(COUNTIFS(T_StockCount[RM_Code],$A18,T_StockCount[WeekIndex],92)&gt;0,SUMIFS(T_StockCount[CountedQty],T_StockCount[RM_Code],$A18,T_StockCount[WeekIndex],92),IF((COUNTIFS(T_SelfStock[RM_Code],$A18,T_SelfStock[WeekIndex],92)&gt;0)*(COUNTIFS(T_TTAFStock[RM_Code],$A18,T_TTAFStock[WeekIndex],92)&gt;0)&gt;0,SUMIFS(T_SelfStock[Self_Qty],T_SelfStock[RM_Code],$A18,T_SelfStock[WeekIndex],92)+SUMIFS(T_TTAFStock[TTAF_Qty],T_TTAFStock[RM_Code],$A18,T_TTAFStock[WeekIndex],92),CN18+'Grid_Incoming'!CO18-'Grid_Requirement'!CO18))</f>
        <v/>
      </c>
      <c r="CP18">
        <f>IF(COUNTIFS(T_StockCount[RM_Code],$A18,T_StockCount[WeekIndex],93)&gt;0,SUMIFS(T_StockCount[CountedQty],T_StockCount[RM_Code],$A18,T_StockCount[WeekIndex],93),IF((COUNTIFS(T_SelfStock[RM_Code],$A18,T_SelfStock[WeekIndex],93)&gt;0)*(COUNTIFS(T_TTAFStock[RM_Code],$A18,T_TTAFStock[WeekIndex],93)&gt;0)&gt;0,SUMIFS(T_SelfStock[Self_Qty],T_SelfStock[RM_Code],$A18,T_SelfStock[WeekIndex],93)+SUMIFS(T_TTAFStock[TTAF_Qty],T_TTAFStock[RM_Code],$A18,T_TTAFStock[WeekIndex],93),CO18+'Grid_Incoming'!CP18-'Grid_Requirement'!CP18))</f>
        <v/>
      </c>
      <c r="CQ18">
        <f>IF(COUNTIFS(T_StockCount[RM_Code],$A18,T_StockCount[WeekIndex],94)&gt;0,SUMIFS(T_StockCount[CountedQty],T_StockCount[RM_Code],$A18,T_StockCount[WeekIndex],94),IF((COUNTIFS(T_SelfStock[RM_Code],$A18,T_SelfStock[WeekIndex],94)&gt;0)*(COUNTIFS(T_TTAFStock[RM_Code],$A18,T_TTAFStock[WeekIndex],94)&gt;0)&gt;0,SUMIFS(T_SelfStock[Self_Qty],T_SelfStock[RM_Code],$A18,T_SelfStock[WeekIndex],94)+SUMIFS(T_TTAFStock[TTAF_Qty],T_TTAFStock[RM_Code],$A18,T_TTAFStock[WeekIndex],94),CP18+'Grid_Incoming'!CQ18-'Grid_Requirement'!CQ18))</f>
        <v/>
      </c>
      <c r="CR18">
        <f>IF(COUNTIFS(T_StockCount[RM_Code],$A18,T_StockCount[WeekIndex],95)&gt;0,SUMIFS(T_StockCount[CountedQty],T_StockCount[RM_Code],$A18,T_StockCount[WeekIndex],95),IF((COUNTIFS(T_SelfStock[RM_Code],$A18,T_SelfStock[WeekIndex],95)&gt;0)*(COUNTIFS(T_TTAFStock[RM_Code],$A18,T_TTAFStock[WeekIndex],95)&gt;0)&gt;0,SUMIFS(T_SelfStock[Self_Qty],T_SelfStock[RM_Code],$A18,T_SelfStock[WeekIndex],95)+SUMIFS(T_TTAFStock[TTAF_Qty],T_TTAFStock[RM_Code],$A18,T_TTAFStock[WeekIndex],95),CQ18+'Grid_Incoming'!CR18-'Grid_Requirement'!CR18))</f>
        <v/>
      </c>
      <c r="CS18">
        <f>IF(COUNTIFS(T_StockCount[RM_Code],$A18,T_StockCount[WeekIndex],96)&gt;0,SUMIFS(T_StockCount[CountedQty],T_StockCount[RM_Code],$A18,T_StockCount[WeekIndex],96),IF((COUNTIFS(T_SelfStock[RM_Code],$A18,T_SelfStock[WeekIndex],96)&gt;0)*(COUNTIFS(T_TTAFStock[RM_Code],$A18,T_TTAFStock[WeekIndex],96)&gt;0)&gt;0,SUMIFS(T_SelfStock[Self_Qty],T_SelfStock[RM_Code],$A18,T_SelfStock[WeekIndex],96)+SUMIFS(T_TTAFStock[TTAF_Qty],T_TTAFStock[RM_Code],$A18,T_TTAFStock[WeekIndex],96),CR18+'Grid_Incoming'!CS18-'Grid_Requirement'!CS18))</f>
        <v/>
      </c>
      <c r="CT18">
        <f>IF(COUNTIFS(T_StockCount[RM_Code],$A18,T_StockCount[WeekIndex],97)&gt;0,SUMIFS(T_StockCount[CountedQty],T_StockCount[RM_Code],$A18,T_StockCount[WeekIndex],97),IF((COUNTIFS(T_SelfStock[RM_Code],$A18,T_SelfStock[WeekIndex],97)&gt;0)*(COUNTIFS(T_TTAFStock[RM_Code],$A18,T_TTAFStock[WeekIndex],97)&gt;0)&gt;0,SUMIFS(T_SelfStock[Self_Qty],T_SelfStock[RM_Code],$A18,T_SelfStock[WeekIndex],97)+SUMIFS(T_TTAFStock[TTAF_Qty],T_TTAFStock[RM_Code],$A18,T_TTAFStock[WeekIndex],97),CS18+'Grid_Incoming'!CT18-'Grid_Requirement'!CT18))</f>
        <v/>
      </c>
      <c r="CU18">
        <f>IF(COUNTIFS(T_StockCount[RM_Code],$A18,T_StockCount[WeekIndex],98)&gt;0,SUMIFS(T_StockCount[CountedQty],T_StockCount[RM_Code],$A18,T_StockCount[WeekIndex],98),IF((COUNTIFS(T_SelfStock[RM_Code],$A18,T_SelfStock[WeekIndex],98)&gt;0)*(COUNTIFS(T_TTAFStock[RM_Code],$A18,T_TTAFStock[WeekIndex],98)&gt;0)&gt;0,SUMIFS(T_SelfStock[Self_Qty],T_SelfStock[RM_Code],$A18,T_SelfStock[WeekIndex],98)+SUMIFS(T_TTAFStock[TTAF_Qty],T_TTAFStock[RM_Code],$A18,T_TTAFStock[WeekIndex],98),CT18+'Grid_Incoming'!CU18-'Grid_Requirement'!CU18))</f>
        <v/>
      </c>
      <c r="CV18">
        <f>IF(COUNTIFS(T_StockCount[RM_Code],$A18,T_StockCount[WeekIndex],99)&gt;0,SUMIFS(T_StockCount[CountedQty],T_StockCount[RM_Code],$A18,T_StockCount[WeekIndex],99),IF((COUNTIFS(T_SelfStock[RM_Code],$A18,T_SelfStock[WeekIndex],99)&gt;0)*(COUNTIFS(T_TTAFStock[RM_Code],$A18,T_TTAFStock[WeekIndex],99)&gt;0)&gt;0,SUMIFS(T_SelfStock[Self_Qty],T_SelfStock[RM_Code],$A18,T_SelfStock[WeekIndex],99)+SUMIFS(T_TTAFStock[TTAF_Qty],T_TTAFStock[RM_Code],$A18,T_TTAFStock[WeekIndex],99),CU18+'Grid_Incoming'!CV18-'Grid_Requirement'!CV18))</f>
        <v/>
      </c>
      <c r="CW18">
        <f>IF(COUNTIFS(T_StockCount[RM_Code],$A18,T_StockCount[WeekIndex],100)&gt;0,SUMIFS(T_StockCount[CountedQty],T_StockCount[RM_Code],$A18,T_StockCount[WeekIndex],100),IF((COUNTIFS(T_SelfStock[RM_Code],$A18,T_SelfStock[WeekIndex],100)&gt;0)*(COUNTIFS(T_TTAFStock[RM_Code],$A18,T_TTAFStock[WeekIndex],100)&gt;0)&gt;0,SUMIFS(T_SelfStock[Self_Qty],T_SelfStock[RM_Code],$A18,T_SelfStock[WeekIndex],100)+SUMIFS(T_TTAFStock[TTAF_Qty],T_TTAFStock[RM_Code],$A18,T_TTAFStock[WeekIndex],100),CV18+'Grid_Incoming'!CW18-'Grid_Requirement'!CW18))</f>
        <v/>
      </c>
      <c r="CX18">
        <f>IF(COUNTIFS(T_StockCount[RM_Code],$A18,T_StockCount[WeekIndex],101)&gt;0,SUMIFS(T_StockCount[CountedQty],T_StockCount[RM_Code],$A18,T_StockCount[WeekIndex],101),IF((COUNTIFS(T_SelfStock[RM_Code],$A18,T_SelfStock[WeekIndex],101)&gt;0)*(COUNTIFS(T_TTAFStock[RM_Code],$A18,T_TTAFStock[WeekIndex],101)&gt;0)&gt;0,SUMIFS(T_SelfStock[Self_Qty],T_SelfStock[RM_Code],$A18,T_SelfStock[WeekIndex],101)+SUMIFS(T_TTAFStock[TTAF_Qty],T_TTAFStock[RM_Code],$A18,T_TTAFStock[WeekIndex],101),CW18+'Grid_Incoming'!CX18-'Grid_Requirement'!CX18))</f>
        <v/>
      </c>
      <c r="CY18">
        <f>IF(COUNTIFS(T_StockCount[RM_Code],$A18,T_StockCount[WeekIndex],102)&gt;0,SUMIFS(T_StockCount[CountedQty],T_StockCount[RM_Code],$A18,T_StockCount[WeekIndex],102),IF((COUNTIFS(T_SelfStock[RM_Code],$A18,T_SelfStock[WeekIndex],102)&gt;0)*(COUNTIFS(T_TTAFStock[RM_Code],$A18,T_TTAFStock[WeekIndex],102)&gt;0)&gt;0,SUMIFS(T_SelfStock[Self_Qty],T_SelfStock[RM_Code],$A18,T_SelfStock[WeekIndex],102)+SUMIFS(T_TTAFStock[TTAF_Qty],T_TTAFStock[RM_Code],$A18,T_TTAFStock[WeekIndex],102),CX18+'Grid_Incoming'!CY18-'Grid_Requirement'!CY18))</f>
        <v/>
      </c>
      <c r="CZ18">
        <f>IF(COUNTIFS(T_StockCount[RM_Code],$A18,T_StockCount[WeekIndex],103)&gt;0,SUMIFS(T_StockCount[CountedQty],T_StockCount[RM_Code],$A18,T_StockCount[WeekIndex],103),IF((COUNTIFS(T_SelfStock[RM_Code],$A18,T_SelfStock[WeekIndex],103)&gt;0)*(COUNTIFS(T_TTAFStock[RM_Code],$A18,T_TTAFStock[WeekIndex],103)&gt;0)&gt;0,SUMIFS(T_SelfStock[Self_Qty],T_SelfStock[RM_Code],$A18,T_SelfStock[WeekIndex],103)+SUMIFS(T_TTAFStock[TTAF_Qty],T_TTAFStock[RM_Code],$A18,T_TTAFStock[WeekIndex],103),CY18+'Grid_Incoming'!CZ18-'Grid_Requirement'!CZ18))</f>
        <v/>
      </c>
      <c r="DA18">
        <f>IF(COUNTIFS(T_StockCount[RM_Code],$A18,T_StockCount[WeekIndex],104)&gt;0,SUMIFS(T_StockCount[CountedQty],T_StockCount[RM_Code],$A18,T_StockCount[WeekIndex],104),IF((COUNTIFS(T_SelfStock[RM_Code],$A18,T_SelfStock[WeekIndex],104)&gt;0)*(COUNTIFS(T_TTAFStock[RM_Code],$A18,T_TTAFStock[WeekIndex],104)&gt;0)&gt;0,SUMIFS(T_SelfStock[Self_Qty],T_SelfStock[RM_Code],$A18,T_SelfStock[WeekIndex],104)+SUMIFS(T_TTAFStock[TTAF_Qty],T_TTAFStock[RM_Code],$A18,T_TTAFStock[WeekIndex],104),CZ18+'Grid_Incoming'!DA18-'Grid_Requirement'!DA18))</f>
        <v/>
      </c>
    </row>
    <row r="19">
      <c r="A19" t="inlineStr">
        <is>
          <t>CHEM-1570</t>
        </is>
      </c>
      <c r="B19">
        <f>IF(COUNTIFS(T_StockCount[RM_Code],$A19,T_StockCount[WeekIndex],1)&gt;0,SUMIFS(T_StockCount[CountedQty],T_StockCount[RM_Code],$A19,T_StockCount[WeekIndex],1),IF((COUNTIFS(T_SelfStock[RM_Code],$A19,T_SelfStock[WeekIndex],1)&gt;0)*(COUNTIFS(T_TTAFStock[RM_Code],$A19,T_TTAFStock[WeekIndex],1)&gt;0)&gt;0,SUMIFS(T_SelfStock[Self_Qty],T_SelfStock[RM_Code],$A19,T_SelfStock[WeekIndex],1)+SUMIFS(T_TTAFStock[TTAF_Qty],T_TTAFStock[RM_Code],$A19,T_TTAFStock[WeekIndex],1),IFERROR(INDEX(T_OpeningStock[Opening_Qty],MATCH($A19,T_OpeningStock[RM_Code],0)),0)+'Grid_Incoming'!B19-'Grid_Requirement'!B19))</f>
        <v/>
      </c>
      <c r="C19">
        <f>IF(COUNTIFS(T_StockCount[RM_Code],$A19,T_StockCount[WeekIndex],2)&gt;0,SUMIFS(T_StockCount[CountedQty],T_StockCount[RM_Code],$A19,T_StockCount[WeekIndex],2),IF((COUNTIFS(T_SelfStock[RM_Code],$A19,T_SelfStock[WeekIndex],2)&gt;0)*(COUNTIFS(T_TTAFStock[RM_Code],$A19,T_TTAFStock[WeekIndex],2)&gt;0)&gt;0,SUMIFS(T_SelfStock[Self_Qty],T_SelfStock[RM_Code],$A19,T_SelfStock[WeekIndex],2)+SUMIFS(T_TTAFStock[TTAF_Qty],T_TTAFStock[RM_Code],$A19,T_TTAFStock[WeekIndex],2),B19+'Grid_Incoming'!C19-'Grid_Requirement'!C19))</f>
        <v/>
      </c>
      <c r="D19">
        <f>IF(COUNTIFS(T_StockCount[RM_Code],$A19,T_StockCount[WeekIndex],3)&gt;0,SUMIFS(T_StockCount[CountedQty],T_StockCount[RM_Code],$A19,T_StockCount[WeekIndex],3),IF((COUNTIFS(T_SelfStock[RM_Code],$A19,T_SelfStock[WeekIndex],3)&gt;0)*(COUNTIFS(T_TTAFStock[RM_Code],$A19,T_TTAFStock[WeekIndex],3)&gt;0)&gt;0,SUMIFS(T_SelfStock[Self_Qty],T_SelfStock[RM_Code],$A19,T_SelfStock[WeekIndex],3)+SUMIFS(T_TTAFStock[TTAF_Qty],T_TTAFStock[RM_Code],$A19,T_TTAFStock[WeekIndex],3),C19+'Grid_Incoming'!D19-'Grid_Requirement'!D19))</f>
        <v/>
      </c>
      <c r="E19">
        <f>IF(COUNTIFS(T_StockCount[RM_Code],$A19,T_StockCount[WeekIndex],4)&gt;0,SUMIFS(T_StockCount[CountedQty],T_StockCount[RM_Code],$A19,T_StockCount[WeekIndex],4),IF((COUNTIFS(T_SelfStock[RM_Code],$A19,T_SelfStock[WeekIndex],4)&gt;0)*(COUNTIFS(T_TTAFStock[RM_Code],$A19,T_TTAFStock[WeekIndex],4)&gt;0)&gt;0,SUMIFS(T_SelfStock[Self_Qty],T_SelfStock[RM_Code],$A19,T_SelfStock[WeekIndex],4)+SUMIFS(T_TTAFStock[TTAF_Qty],T_TTAFStock[RM_Code],$A19,T_TTAFStock[WeekIndex],4),D19+'Grid_Incoming'!E19-'Grid_Requirement'!E19))</f>
        <v/>
      </c>
      <c r="F19">
        <f>IF(COUNTIFS(T_StockCount[RM_Code],$A19,T_StockCount[WeekIndex],5)&gt;0,SUMIFS(T_StockCount[CountedQty],T_StockCount[RM_Code],$A19,T_StockCount[WeekIndex],5),IF((COUNTIFS(T_SelfStock[RM_Code],$A19,T_SelfStock[WeekIndex],5)&gt;0)*(COUNTIFS(T_TTAFStock[RM_Code],$A19,T_TTAFStock[WeekIndex],5)&gt;0)&gt;0,SUMIFS(T_SelfStock[Self_Qty],T_SelfStock[RM_Code],$A19,T_SelfStock[WeekIndex],5)+SUMIFS(T_TTAFStock[TTAF_Qty],T_TTAFStock[RM_Code],$A19,T_TTAFStock[WeekIndex],5),E19+'Grid_Incoming'!F19-'Grid_Requirement'!F19))</f>
        <v/>
      </c>
      <c r="G19">
        <f>IF(COUNTIFS(T_StockCount[RM_Code],$A19,T_StockCount[WeekIndex],6)&gt;0,SUMIFS(T_StockCount[CountedQty],T_StockCount[RM_Code],$A19,T_StockCount[WeekIndex],6),IF((COUNTIFS(T_SelfStock[RM_Code],$A19,T_SelfStock[WeekIndex],6)&gt;0)*(COUNTIFS(T_TTAFStock[RM_Code],$A19,T_TTAFStock[WeekIndex],6)&gt;0)&gt;0,SUMIFS(T_SelfStock[Self_Qty],T_SelfStock[RM_Code],$A19,T_SelfStock[WeekIndex],6)+SUMIFS(T_TTAFStock[TTAF_Qty],T_TTAFStock[RM_Code],$A19,T_TTAFStock[WeekIndex],6),F19+'Grid_Incoming'!G19-'Grid_Requirement'!G19))</f>
        <v/>
      </c>
      <c r="H19">
        <f>IF(COUNTIFS(T_StockCount[RM_Code],$A19,T_StockCount[WeekIndex],7)&gt;0,SUMIFS(T_StockCount[CountedQty],T_StockCount[RM_Code],$A19,T_StockCount[WeekIndex],7),IF((COUNTIFS(T_SelfStock[RM_Code],$A19,T_SelfStock[WeekIndex],7)&gt;0)*(COUNTIFS(T_TTAFStock[RM_Code],$A19,T_TTAFStock[WeekIndex],7)&gt;0)&gt;0,SUMIFS(T_SelfStock[Self_Qty],T_SelfStock[RM_Code],$A19,T_SelfStock[WeekIndex],7)+SUMIFS(T_TTAFStock[TTAF_Qty],T_TTAFStock[RM_Code],$A19,T_TTAFStock[WeekIndex],7),G19+'Grid_Incoming'!H19-'Grid_Requirement'!H19))</f>
        <v/>
      </c>
      <c r="I19">
        <f>IF(COUNTIFS(T_StockCount[RM_Code],$A19,T_StockCount[WeekIndex],8)&gt;0,SUMIFS(T_StockCount[CountedQty],T_StockCount[RM_Code],$A19,T_StockCount[WeekIndex],8),IF((COUNTIFS(T_SelfStock[RM_Code],$A19,T_SelfStock[WeekIndex],8)&gt;0)*(COUNTIFS(T_TTAFStock[RM_Code],$A19,T_TTAFStock[WeekIndex],8)&gt;0)&gt;0,SUMIFS(T_SelfStock[Self_Qty],T_SelfStock[RM_Code],$A19,T_SelfStock[WeekIndex],8)+SUMIFS(T_TTAFStock[TTAF_Qty],T_TTAFStock[RM_Code],$A19,T_TTAFStock[WeekIndex],8),H19+'Grid_Incoming'!I19-'Grid_Requirement'!I19))</f>
        <v/>
      </c>
      <c r="J19">
        <f>IF(COUNTIFS(T_StockCount[RM_Code],$A19,T_StockCount[WeekIndex],9)&gt;0,SUMIFS(T_StockCount[CountedQty],T_StockCount[RM_Code],$A19,T_StockCount[WeekIndex],9),IF((COUNTIFS(T_SelfStock[RM_Code],$A19,T_SelfStock[WeekIndex],9)&gt;0)*(COUNTIFS(T_TTAFStock[RM_Code],$A19,T_TTAFStock[WeekIndex],9)&gt;0)&gt;0,SUMIFS(T_SelfStock[Self_Qty],T_SelfStock[RM_Code],$A19,T_SelfStock[WeekIndex],9)+SUMIFS(T_TTAFStock[TTAF_Qty],T_TTAFStock[RM_Code],$A19,T_TTAFStock[WeekIndex],9),I19+'Grid_Incoming'!J19-'Grid_Requirement'!J19))</f>
        <v/>
      </c>
      <c r="K19">
        <f>IF(COUNTIFS(T_StockCount[RM_Code],$A19,T_StockCount[WeekIndex],10)&gt;0,SUMIFS(T_StockCount[CountedQty],T_StockCount[RM_Code],$A19,T_StockCount[WeekIndex],10),IF((COUNTIFS(T_SelfStock[RM_Code],$A19,T_SelfStock[WeekIndex],10)&gt;0)*(COUNTIFS(T_TTAFStock[RM_Code],$A19,T_TTAFStock[WeekIndex],10)&gt;0)&gt;0,SUMIFS(T_SelfStock[Self_Qty],T_SelfStock[RM_Code],$A19,T_SelfStock[WeekIndex],10)+SUMIFS(T_TTAFStock[TTAF_Qty],T_TTAFStock[RM_Code],$A19,T_TTAFStock[WeekIndex],10),J19+'Grid_Incoming'!K19-'Grid_Requirement'!K19))</f>
        <v/>
      </c>
      <c r="L19">
        <f>IF(COUNTIFS(T_StockCount[RM_Code],$A19,T_StockCount[WeekIndex],11)&gt;0,SUMIFS(T_StockCount[CountedQty],T_StockCount[RM_Code],$A19,T_StockCount[WeekIndex],11),IF((COUNTIFS(T_SelfStock[RM_Code],$A19,T_SelfStock[WeekIndex],11)&gt;0)*(COUNTIFS(T_TTAFStock[RM_Code],$A19,T_TTAFStock[WeekIndex],11)&gt;0)&gt;0,SUMIFS(T_SelfStock[Self_Qty],T_SelfStock[RM_Code],$A19,T_SelfStock[WeekIndex],11)+SUMIFS(T_TTAFStock[TTAF_Qty],T_TTAFStock[RM_Code],$A19,T_TTAFStock[WeekIndex],11),K19+'Grid_Incoming'!L19-'Grid_Requirement'!L19))</f>
        <v/>
      </c>
      <c r="M19">
        <f>IF(COUNTIFS(T_StockCount[RM_Code],$A19,T_StockCount[WeekIndex],12)&gt;0,SUMIFS(T_StockCount[CountedQty],T_StockCount[RM_Code],$A19,T_StockCount[WeekIndex],12),IF((COUNTIFS(T_SelfStock[RM_Code],$A19,T_SelfStock[WeekIndex],12)&gt;0)*(COUNTIFS(T_TTAFStock[RM_Code],$A19,T_TTAFStock[WeekIndex],12)&gt;0)&gt;0,SUMIFS(T_SelfStock[Self_Qty],T_SelfStock[RM_Code],$A19,T_SelfStock[WeekIndex],12)+SUMIFS(T_TTAFStock[TTAF_Qty],T_TTAFStock[RM_Code],$A19,T_TTAFStock[WeekIndex],12),L19+'Grid_Incoming'!M19-'Grid_Requirement'!M19))</f>
        <v/>
      </c>
      <c r="N19">
        <f>IF(COUNTIFS(T_StockCount[RM_Code],$A19,T_StockCount[WeekIndex],13)&gt;0,SUMIFS(T_StockCount[CountedQty],T_StockCount[RM_Code],$A19,T_StockCount[WeekIndex],13),IF((COUNTIFS(T_SelfStock[RM_Code],$A19,T_SelfStock[WeekIndex],13)&gt;0)*(COUNTIFS(T_TTAFStock[RM_Code],$A19,T_TTAFStock[WeekIndex],13)&gt;0)&gt;0,SUMIFS(T_SelfStock[Self_Qty],T_SelfStock[RM_Code],$A19,T_SelfStock[WeekIndex],13)+SUMIFS(T_TTAFStock[TTAF_Qty],T_TTAFStock[RM_Code],$A19,T_TTAFStock[WeekIndex],13),M19+'Grid_Incoming'!N19-'Grid_Requirement'!N19))</f>
        <v/>
      </c>
      <c r="O19">
        <f>IF(COUNTIFS(T_StockCount[RM_Code],$A19,T_StockCount[WeekIndex],14)&gt;0,SUMIFS(T_StockCount[CountedQty],T_StockCount[RM_Code],$A19,T_StockCount[WeekIndex],14),IF((COUNTIFS(T_SelfStock[RM_Code],$A19,T_SelfStock[WeekIndex],14)&gt;0)*(COUNTIFS(T_TTAFStock[RM_Code],$A19,T_TTAFStock[WeekIndex],14)&gt;0)&gt;0,SUMIFS(T_SelfStock[Self_Qty],T_SelfStock[RM_Code],$A19,T_SelfStock[WeekIndex],14)+SUMIFS(T_TTAFStock[TTAF_Qty],T_TTAFStock[RM_Code],$A19,T_TTAFStock[WeekIndex],14),N19+'Grid_Incoming'!O19-'Grid_Requirement'!O19))</f>
        <v/>
      </c>
      <c r="P19">
        <f>IF(COUNTIFS(T_StockCount[RM_Code],$A19,T_StockCount[WeekIndex],15)&gt;0,SUMIFS(T_StockCount[CountedQty],T_StockCount[RM_Code],$A19,T_StockCount[WeekIndex],15),IF((COUNTIFS(T_SelfStock[RM_Code],$A19,T_SelfStock[WeekIndex],15)&gt;0)*(COUNTIFS(T_TTAFStock[RM_Code],$A19,T_TTAFStock[WeekIndex],15)&gt;0)&gt;0,SUMIFS(T_SelfStock[Self_Qty],T_SelfStock[RM_Code],$A19,T_SelfStock[WeekIndex],15)+SUMIFS(T_TTAFStock[TTAF_Qty],T_TTAFStock[RM_Code],$A19,T_TTAFStock[WeekIndex],15),O19+'Grid_Incoming'!P19-'Grid_Requirement'!P19))</f>
        <v/>
      </c>
      <c r="Q19">
        <f>IF(COUNTIFS(T_StockCount[RM_Code],$A19,T_StockCount[WeekIndex],16)&gt;0,SUMIFS(T_StockCount[CountedQty],T_StockCount[RM_Code],$A19,T_StockCount[WeekIndex],16),IF((COUNTIFS(T_SelfStock[RM_Code],$A19,T_SelfStock[WeekIndex],16)&gt;0)*(COUNTIFS(T_TTAFStock[RM_Code],$A19,T_TTAFStock[WeekIndex],16)&gt;0)&gt;0,SUMIFS(T_SelfStock[Self_Qty],T_SelfStock[RM_Code],$A19,T_SelfStock[WeekIndex],16)+SUMIFS(T_TTAFStock[TTAF_Qty],T_TTAFStock[RM_Code],$A19,T_TTAFStock[WeekIndex],16),P19+'Grid_Incoming'!Q19-'Grid_Requirement'!Q19))</f>
        <v/>
      </c>
      <c r="R19">
        <f>IF(COUNTIFS(T_StockCount[RM_Code],$A19,T_StockCount[WeekIndex],17)&gt;0,SUMIFS(T_StockCount[CountedQty],T_StockCount[RM_Code],$A19,T_StockCount[WeekIndex],17),IF((COUNTIFS(T_SelfStock[RM_Code],$A19,T_SelfStock[WeekIndex],17)&gt;0)*(COUNTIFS(T_TTAFStock[RM_Code],$A19,T_TTAFStock[WeekIndex],17)&gt;0)&gt;0,SUMIFS(T_SelfStock[Self_Qty],T_SelfStock[RM_Code],$A19,T_SelfStock[WeekIndex],17)+SUMIFS(T_TTAFStock[TTAF_Qty],T_TTAFStock[RM_Code],$A19,T_TTAFStock[WeekIndex],17),Q19+'Grid_Incoming'!R19-'Grid_Requirement'!R19))</f>
        <v/>
      </c>
      <c r="S19">
        <f>IF(COUNTIFS(T_StockCount[RM_Code],$A19,T_StockCount[WeekIndex],18)&gt;0,SUMIFS(T_StockCount[CountedQty],T_StockCount[RM_Code],$A19,T_StockCount[WeekIndex],18),IF((COUNTIFS(T_SelfStock[RM_Code],$A19,T_SelfStock[WeekIndex],18)&gt;0)*(COUNTIFS(T_TTAFStock[RM_Code],$A19,T_TTAFStock[WeekIndex],18)&gt;0)&gt;0,SUMIFS(T_SelfStock[Self_Qty],T_SelfStock[RM_Code],$A19,T_SelfStock[WeekIndex],18)+SUMIFS(T_TTAFStock[TTAF_Qty],T_TTAFStock[RM_Code],$A19,T_TTAFStock[WeekIndex],18),R19+'Grid_Incoming'!S19-'Grid_Requirement'!S19))</f>
        <v/>
      </c>
      <c r="T19">
        <f>IF(COUNTIFS(T_StockCount[RM_Code],$A19,T_StockCount[WeekIndex],19)&gt;0,SUMIFS(T_StockCount[CountedQty],T_StockCount[RM_Code],$A19,T_StockCount[WeekIndex],19),IF((COUNTIFS(T_SelfStock[RM_Code],$A19,T_SelfStock[WeekIndex],19)&gt;0)*(COUNTIFS(T_TTAFStock[RM_Code],$A19,T_TTAFStock[WeekIndex],19)&gt;0)&gt;0,SUMIFS(T_SelfStock[Self_Qty],T_SelfStock[RM_Code],$A19,T_SelfStock[WeekIndex],19)+SUMIFS(T_TTAFStock[TTAF_Qty],T_TTAFStock[RM_Code],$A19,T_TTAFStock[WeekIndex],19),S19+'Grid_Incoming'!T19-'Grid_Requirement'!T19))</f>
        <v/>
      </c>
      <c r="U19">
        <f>IF(COUNTIFS(T_StockCount[RM_Code],$A19,T_StockCount[WeekIndex],20)&gt;0,SUMIFS(T_StockCount[CountedQty],T_StockCount[RM_Code],$A19,T_StockCount[WeekIndex],20),IF((COUNTIFS(T_SelfStock[RM_Code],$A19,T_SelfStock[WeekIndex],20)&gt;0)*(COUNTIFS(T_TTAFStock[RM_Code],$A19,T_TTAFStock[WeekIndex],20)&gt;0)&gt;0,SUMIFS(T_SelfStock[Self_Qty],T_SelfStock[RM_Code],$A19,T_SelfStock[WeekIndex],20)+SUMIFS(T_TTAFStock[TTAF_Qty],T_TTAFStock[RM_Code],$A19,T_TTAFStock[WeekIndex],20),T19+'Grid_Incoming'!U19-'Grid_Requirement'!U19))</f>
        <v/>
      </c>
      <c r="V19">
        <f>IF(COUNTIFS(T_StockCount[RM_Code],$A19,T_StockCount[WeekIndex],21)&gt;0,SUMIFS(T_StockCount[CountedQty],T_StockCount[RM_Code],$A19,T_StockCount[WeekIndex],21),IF((COUNTIFS(T_SelfStock[RM_Code],$A19,T_SelfStock[WeekIndex],21)&gt;0)*(COUNTIFS(T_TTAFStock[RM_Code],$A19,T_TTAFStock[WeekIndex],21)&gt;0)&gt;0,SUMIFS(T_SelfStock[Self_Qty],T_SelfStock[RM_Code],$A19,T_SelfStock[WeekIndex],21)+SUMIFS(T_TTAFStock[TTAF_Qty],T_TTAFStock[RM_Code],$A19,T_TTAFStock[WeekIndex],21),U19+'Grid_Incoming'!V19-'Grid_Requirement'!V19))</f>
        <v/>
      </c>
      <c r="W19">
        <f>IF(COUNTIFS(T_StockCount[RM_Code],$A19,T_StockCount[WeekIndex],22)&gt;0,SUMIFS(T_StockCount[CountedQty],T_StockCount[RM_Code],$A19,T_StockCount[WeekIndex],22),IF((COUNTIFS(T_SelfStock[RM_Code],$A19,T_SelfStock[WeekIndex],22)&gt;0)*(COUNTIFS(T_TTAFStock[RM_Code],$A19,T_TTAFStock[WeekIndex],22)&gt;0)&gt;0,SUMIFS(T_SelfStock[Self_Qty],T_SelfStock[RM_Code],$A19,T_SelfStock[WeekIndex],22)+SUMIFS(T_TTAFStock[TTAF_Qty],T_TTAFStock[RM_Code],$A19,T_TTAFStock[WeekIndex],22),V19+'Grid_Incoming'!W19-'Grid_Requirement'!W19))</f>
        <v/>
      </c>
      <c r="X19">
        <f>IF(COUNTIFS(T_StockCount[RM_Code],$A19,T_StockCount[WeekIndex],23)&gt;0,SUMIFS(T_StockCount[CountedQty],T_StockCount[RM_Code],$A19,T_StockCount[WeekIndex],23),IF((COUNTIFS(T_SelfStock[RM_Code],$A19,T_SelfStock[WeekIndex],23)&gt;0)*(COUNTIFS(T_TTAFStock[RM_Code],$A19,T_TTAFStock[WeekIndex],23)&gt;0)&gt;0,SUMIFS(T_SelfStock[Self_Qty],T_SelfStock[RM_Code],$A19,T_SelfStock[WeekIndex],23)+SUMIFS(T_TTAFStock[TTAF_Qty],T_TTAFStock[RM_Code],$A19,T_TTAFStock[WeekIndex],23),W19+'Grid_Incoming'!X19-'Grid_Requirement'!X19))</f>
        <v/>
      </c>
      <c r="Y19">
        <f>IF(COUNTIFS(T_StockCount[RM_Code],$A19,T_StockCount[WeekIndex],24)&gt;0,SUMIFS(T_StockCount[CountedQty],T_StockCount[RM_Code],$A19,T_StockCount[WeekIndex],24),IF((COUNTIFS(T_SelfStock[RM_Code],$A19,T_SelfStock[WeekIndex],24)&gt;0)*(COUNTIFS(T_TTAFStock[RM_Code],$A19,T_TTAFStock[WeekIndex],24)&gt;0)&gt;0,SUMIFS(T_SelfStock[Self_Qty],T_SelfStock[RM_Code],$A19,T_SelfStock[WeekIndex],24)+SUMIFS(T_TTAFStock[TTAF_Qty],T_TTAFStock[RM_Code],$A19,T_TTAFStock[WeekIndex],24),X19+'Grid_Incoming'!Y19-'Grid_Requirement'!Y19))</f>
        <v/>
      </c>
      <c r="Z19">
        <f>IF(COUNTIFS(T_StockCount[RM_Code],$A19,T_StockCount[WeekIndex],25)&gt;0,SUMIFS(T_StockCount[CountedQty],T_StockCount[RM_Code],$A19,T_StockCount[WeekIndex],25),IF((COUNTIFS(T_SelfStock[RM_Code],$A19,T_SelfStock[WeekIndex],25)&gt;0)*(COUNTIFS(T_TTAFStock[RM_Code],$A19,T_TTAFStock[WeekIndex],25)&gt;0)&gt;0,SUMIFS(T_SelfStock[Self_Qty],T_SelfStock[RM_Code],$A19,T_SelfStock[WeekIndex],25)+SUMIFS(T_TTAFStock[TTAF_Qty],T_TTAFStock[RM_Code],$A19,T_TTAFStock[WeekIndex],25),Y19+'Grid_Incoming'!Z19-'Grid_Requirement'!Z19))</f>
        <v/>
      </c>
      <c r="AA19">
        <f>IF(COUNTIFS(T_StockCount[RM_Code],$A19,T_StockCount[WeekIndex],26)&gt;0,SUMIFS(T_StockCount[CountedQty],T_StockCount[RM_Code],$A19,T_StockCount[WeekIndex],26),IF((COUNTIFS(T_SelfStock[RM_Code],$A19,T_SelfStock[WeekIndex],26)&gt;0)*(COUNTIFS(T_TTAFStock[RM_Code],$A19,T_TTAFStock[WeekIndex],26)&gt;0)&gt;0,SUMIFS(T_SelfStock[Self_Qty],T_SelfStock[RM_Code],$A19,T_SelfStock[WeekIndex],26)+SUMIFS(T_TTAFStock[TTAF_Qty],T_TTAFStock[RM_Code],$A19,T_TTAFStock[WeekIndex],26),Z19+'Grid_Incoming'!AA19-'Grid_Requirement'!AA19))</f>
        <v/>
      </c>
      <c r="AB19">
        <f>IF(COUNTIFS(T_StockCount[RM_Code],$A19,T_StockCount[WeekIndex],27)&gt;0,SUMIFS(T_StockCount[CountedQty],T_StockCount[RM_Code],$A19,T_StockCount[WeekIndex],27),IF((COUNTIFS(T_SelfStock[RM_Code],$A19,T_SelfStock[WeekIndex],27)&gt;0)*(COUNTIFS(T_TTAFStock[RM_Code],$A19,T_TTAFStock[WeekIndex],27)&gt;0)&gt;0,SUMIFS(T_SelfStock[Self_Qty],T_SelfStock[RM_Code],$A19,T_SelfStock[WeekIndex],27)+SUMIFS(T_TTAFStock[TTAF_Qty],T_TTAFStock[RM_Code],$A19,T_TTAFStock[WeekIndex],27),AA19+'Grid_Incoming'!AB19-'Grid_Requirement'!AB19))</f>
        <v/>
      </c>
      <c r="AC19">
        <f>IF(COUNTIFS(T_StockCount[RM_Code],$A19,T_StockCount[WeekIndex],28)&gt;0,SUMIFS(T_StockCount[CountedQty],T_StockCount[RM_Code],$A19,T_StockCount[WeekIndex],28),IF((COUNTIFS(T_SelfStock[RM_Code],$A19,T_SelfStock[WeekIndex],28)&gt;0)*(COUNTIFS(T_TTAFStock[RM_Code],$A19,T_TTAFStock[WeekIndex],28)&gt;0)&gt;0,SUMIFS(T_SelfStock[Self_Qty],T_SelfStock[RM_Code],$A19,T_SelfStock[WeekIndex],28)+SUMIFS(T_TTAFStock[TTAF_Qty],T_TTAFStock[RM_Code],$A19,T_TTAFStock[WeekIndex],28),AB19+'Grid_Incoming'!AC19-'Grid_Requirement'!AC19))</f>
        <v/>
      </c>
      <c r="AD19">
        <f>IF(COUNTIFS(T_StockCount[RM_Code],$A19,T_StockCount[WeekIndex],29)&gt;0,SUMIFS(T_StockCount[CountedQty],T_StockCount[RM_Code],$A19,T_StockCount[WeekIndex],29),IF((COUNTIFS(T_SelfStock[RM_Code],$A19,T_SelfStock[WeekIndex],29)&gt;0)*(COUNTIFS(T_TTAFStock[RM_Code],$A19,T_TTAFStock[WeekIndex],29)&gt;0)&gt;0,SUMIFS(T_SelfStock[Self_Qty],T_SelfStock[RM_Code],$A19,T_SelfStock[WeekIndex],29)+SUMIFS(T_TTAFStock[TTAF_Qty],T_TTAFStock[RM_Code],$A19,T_TTAFStock[WeekIndex],29),AC19+'Grid_Incoming'!AD19-'Grid_Requirement'!AD19))</f>
        <v/>
      </c>
      <c r="AE19">
        <f>IF(COUNTIFS(T_StockCount[RM_Code],$A19,T_StockCount[WeekIndex],30)&gt;0,SUMIFS(T_StockCount[CountedQty],T_StockCount[RM_Code],$A19,T_StockCount[WeekIndex],30),IF((COUNTIFS(T_SelfStock[RM_Code],$A19,T_SelfStock[WeekIndex],30)&gt;0)*(COUNTIFS(T_TTAFStock[RM_Code],$A19,T_TTAFStock[WeekIndex],30)&gt;0)&gt;0,SUMIFS(T_SelfStock[Self_Qty],T_SelfStock[RM_Code],$A19,T_SelfStock[WeekIndex],30)+SUMIFS(T_TTAFStock[TTAF_Qty],T_TTAFStock[RM_Code],$A19,T_TTAFStock[WeekIndex],30),AD19+'Grid_Incoming'!AE19-'Grid_Requirement'!AE19))</f>
        <v/>
      </c>
      <c r="AF19">
        <f>IF(COUNTIFS(T_StockCount[RM_Code],$A19,T_StockCount[WeekIndex],31)&gt;0,SUMIFS(T_StockCount[CountedQty],T_StockCount[RM_Code],$A19,T_StockCount[WeekIndex],31),IF((COUNTIFS(T_SelfStock[RM_Code],$A19,T_SelfStock[WeekIndex],31)&gt;0)*(COUNTIFS(T_TTAFStock[RM_Code],$A19,T_TTAFStock[WeekIndex],31)&gt;0)&gt;0,SUMIFS(T_SelfStock[Self_Qty],T_SelfStock[RM_Code],$A19,T_SelfStock[WeekIndex],31)+SUMIFS(T_TTAFStock[TTAF_Qty],T_TTAFStock[RM_Code],$A19,T_TTAFStock[WeekIndex],31),AE19+'Grid_Incoming'!AF19-'Grid_Requirement'!AF19))</f>
        <v/>
      </c>
      <c r="AG19">
        <f>IF(COUNTIFS(T_StockCount[RM_Code],$A19,T_StockCount[WeekIndex],32)&gt;0,SUMIFS(T_StockCount[CountedQty],T_StockCount[RM_Code],$A19,T_StockCount[WeekIndex],32),IF((COUNTIFS(T_SelfStock[RM_Code],$A19,T_SelfStock[WeekIndex],32)&gt;0)*(COUNTIFS(T_TTAFStock[RM_Code],$A19,T_TTAFStock[WeekIndex],32)&gt;0)&gt;0,SUMIFS(T_SelfStock[Self_Qty],T_SelfStock[RM_Code],$A19,T_SelfStock[WeekIndex],32)+SUMIFS(T_TTAFStock[TTAF_Qty],T_TTAFStock[RM_Code],$A19,T_TTAFStock[WeekIndex],32),AF19+'Grid_Incoming'!AG19-'Grid_Requirement'!AG19))</f>
        <v/>
      </c>
      <c r="AH19">
        <f>IF(COUNTIFS(T_StockCount[RM_Code],$A19,T_StockCount[WeekIndex],33)&gt;0,SUMIFS(T_StockCount[CountedQty],T_StockCount[RM_Code],$A19,T_StockCount[WeekIndex],33),IF((COUNTIFS(T_SelfStock[RM_Code],$A19,T_SelfStock[WeekIndex],33)&gt;0)*(COUNTIFS(T_TTAFStock[RM_Code],$A19,T_TTAFStock[WeekIndex],33)&gt;0)&gt;0,SUMIFS(T_SelfStock[Self_Qty],T_SelfStock[RM_Code],$A19,T_SelfStock[WeekIndex],33)+SUMIFS(T_TTAFStock[TTAF_Qty],T_TTAFStock[RM_Code],$A19,T_TTAFStock[WeekIndex],33),AG19+'Grid_Incoming'!AH19-'Grid_Requirement'!AH19))</f>
        <v/>
      </c>
      <c r="AI19">
        <f>IF(COUNTIFS(T_StockCount[RM_Code],$A19,T_StockCount[WeekIndex],34)&gt;0,SUMIFS(T_StockCount[CountedQty],T_StockCount[RM_Code],$A19,T_StockCount[WeekIndex],34),IF((COUNTIFS(T_SelfStock[RM_Code],$A19,T_SelfStock[WeekIndex],34)&gt;0)*(COUNTIFS(T_TTAFStock[RM_Code],$A19,T_TTAFStock[WeekIndex],34)&gt;0)&gt;0,SUMIFS(T_SelfStock[Self_Qty],T_SelfStock[RM_Code],$A19,T_SelfStock[WeekIndex],34)+SUMIFS(T_TTAFStock[TTAF_Qty],T_TTAFStock[RM_Code],$A19,T_TTAFStock[WeekIndex],34),AH19+'Grid_Incoming'!AI19-'Grid_Requirement'!AI19))</f>
        <v/>
      </c>
      <c r="AJ19">
        <f>IF(COUNTIFS(T_StockCount[RM_Code],$A19,T_StockCount[WeekIndex],35)&gt;0,SUMIFS(T_StockCount[CountedQty],T_StockCount[RM_Code],$A19,T_StockCount[WeekIndex],35),IF((COUNTIFS(T_SelfStock[RM_Code],$A19,T_SelfStock[WeekIndex],35)&gt;0)*(COUNTIFS(T_TTAFStock[RM_Code],$A19,T_TTAFStock[WeekIndex],35)&gt;0)&gt;0,SUMIFS(T_SelfStock[Self_Qty],T_SelfStock[RM_Code],$A19,T_SelfStock[WeekIndex],35)+SUMIFS(T_TTAFStock[TTAF_Qty],T_TTAFStock[RM_Code],$A19,T_TTAFStock[WeekIndex],35),AI19+'Grid_Incoming'!AJ19-'Grid_Requirement'!AJ19))</f>
        <v/>
      </c>
      <c r="AK19">
        <f>IF(COUNTIFS(T_StockCount[RM_Code],$A19,T_StockCount[WeekIndex],36)&gt;0,SUMIFS(T_StockCount[CountedQty],T_StockCount[RM_Code],$A19,T_StockCount[WeekIndex],36),IF((COUNTIFS(T_SelfStock[RM_Code],$A19,T_SelfStock[WeekIndex],36)&gt;0)*(COUNTIFS(T_TTAFStock[RM_Code],$A19,T_TTAFStock[WeekIndex],36)&gt;0)&gt;0,SUMIFS(T_SelfStock[Self_Qty],T_SelfStock[RM_Code],$A19,T_SelfStock[WeekIndex],36)+SUMIFS(T_TTAFStock[TTAF_Qty],T_TTAFStock[RM_Code],$A19,T_TTAFStock[WeekIndex],36),AJ19+'Grid_Incoming'!AK19-'Grid_Requirement'!AK19))</f>
        <v/>
      </c>
      <c r="AL19">
        <f>IF(COUNTIFS(T_StockCount[RM_Code],$A19,T_StockCount[WeekIndex],37)&gt;0,SUMIFS(T_StockCount[CountedQty],T_StockCount[RM_Code],$A19,T_StockCount[WeekIndex],37),IF((COUNTIFS(T_SelfStock[RM_Code],$A19,T_SelfStock[WeekIndex],37)&gt;0)*(COUNTIFS(T_TTAFStock[RM_Code],$A19,T_TTAFStock[WeekIndex],37)&gt;0)&gt;0,SUMIFS(T_SelfStock[Self_Qty],T_SelfStock[RM_Code],$A19,T_SelfStock[WeekIndex],37)+SUMIFS(T_TTAFStock[TTAF_Qty],T_TTAFStock[RM_Code],$A19,T_TTAFStock[WeekIndex],37),AK19+'Grid_Incoming'!AL19-'Grid_Requirement'!AL19))</f>
        <v/>
      </c>
      <c r="AM19">
        <f>IF(COUNTIFS(T_StockCount[RM_Code],$A19,T_StockCount[WeekIndex],38)&gt;0,SUMIFS(T_StockCount[CountedQty],T_StockCount[RM_Code],$A19,T_StockCount[WeekIndex],38),IF((COUNTIFS(T_SelfStock[RM_Code],$A19,T_SelfStock[WeekIndex],38)&gt;0)*(COUNTIFS(T_TTAFStock[RM_Code],$A19,T_TTAFStock[WeekIndex],38)&gt;0)&gt;0,SUMIFS(T_SelfStock[Self_Qty],T_SelfStock[RM_Code],$A19,T_SelfStock[WeekIndex],38)+SUMIFS(T_TTAFStock[TTAF_Qty],T_TTAFStock[RM_Code],$A19,T_TTAFStock[WeekIndex],38),AL19+'Grid_Incoming'!AM19-'Grid_Requirement'!AM19))</f>
        <v/>
      </c>
      <c r="AN19">
        <f>IF(COUNTIFS(T_StockCount[RM_Code],$A19,T_StockCount[WeekIndex],39)&gt;0,SUMIFS(T_StockCount[CountedQty],T_StockCount[RM_Code],$A19,T_StockCount[WeekIndex],39),IF((COUNTIFS(T_SelfStock[RM_Code],$A19,T_SelfStock[WeekIndex],39)&gt;0)*(COUNTIFS(T_TTAFStock[RM_Code],$A19,T_TTAFStock[WeekIndex],39)&gt;0)&gt;0,SUMIFS(T_SelfStock[Self_Qty],T_SelfStock[RM_Code],$A19,T_SelfStock[WeekIndex],39)+SUMIFS(T_TTAFStock[TTAF_Qty],T_TTAFStock[RM_Code],$A19,T_TTAFStock[WeekIndex],39),AM19+'Grid_Incoming'!AN19-'Grid_Requirement'!AN19))</f>
        <v/>
      </c>
      <c r="AO19">
        <f>IF(COUNTIFS(T_StockCount[RM_Code],$A19,T_StockCount[WeekIndex],40)&gt;0,SUMIFS(T_StockCount[CountedQty],T_StockCount[RM_Code],$A19,T_StockCount[WeekIndex],40),IF((COUNTIFS(T_SelfStock[RM_Code],$A19,T_SelfStock[WeekIndex],40)&gt;0)*(COUNTIFS(T_TTAFStock[RM_Code],$A19,T_TTAFStock[WeekIndex],40)&gt;0)&gt;0,SUMIFS(T_SelfStock[Self_Qty],T_SelfStock[RM_Code],$A19,T_SelfStock[WeekIndex],40)+SUMIFS(T_TTAFStock[TTAF_Qty],T_TTAFStock[RM_Code],$A19,T_TTAFStock[WeekIndex],40),AN19+'Grid_Incoming'!AO19-'Grid_Requirement'!AO19))</f>
        <v/>
      </c>
      <c r="AP19">
        <f>IF(COUNTIFS(T_StockCount[RM_Code],$A19,T_StockCount[WeekIndex],41)&gt;0,SUMIFS(T_StockCount[CountedQty],T_StockCount[RM_Code],$A19,T_StockCount[WeekIndex],41),IF((COUNTIFS(T_SelfStock[RM_Code],$A19,T_SelfStock[WeekIndex],41)&gt;0)*(COUNTIFS(T_TTAFStock[RM_Code],$A19,T_TTAFStock[WeekIndex],41)&gt;0)&gt;0,SUMIFS(T_SelfStock[Self_Qty],T_SelfStock[RM_Code],$A19,T_SelfStock[WeekIndex],41)+SUMIFS(T_TTAFStock[TTAF_Qty],T_TTAFStock[RM_Code],$A19,T_TTAFStock[WeekIndex],41),AO19+'Grid_Incoming'!AP19-'Grid_Requirement'!AP19))</f>
        <v/>
      </c>
      <c r="AQ19">
        <f>IF(COUNTIFS(T_StockCount[RM_Code],$A19,T_StockCount[WeekIndex],42)&gt;0,SUMIFS(T_StockCount[CountedQty],T_StockCount[RM_Code],$A19,T_StockCount[WeekIndex],42),IF((COUNTIFS(T_SelfStock[RM_Code],$A19,T_SelfStock[WeekIndex],42)&gt;0)*(COUNTIFS(T_TTAFStock[RM_Code],$A19,T_TTAFStock[WeekIndex],42)&gt;0)&gt;0,SUMIFS(T_SelfStock[Self_Qty],T_SelfStock[RM_Code],$A19,T_SelfStock[WeekIndex],42)+SUMIFS(T_TTAFStock[TTAF_Qty],T_TTAFStock[RM_Code],$A19,T_TTAFStock[WeekIndex],42),AP19+'Grid_Incoming'!AQ19-'Grid_Requirement'!AQ19))</f>
        <v/>
      </c>
      <c r="AR19">
        <f>IF(COUNTIFS(T_StockCount[RM_Code],$A19,T_StockCount[WeekIndex],43)&gt;0,SUMIFS(T_StockCount[CountedQty],T_StockCount[RM_Code],$A19,T_StockCount[WeekIndex],43),IF((COUNTIFS(T_SelfStock[RM_Code],$A19,T_SelfStock[WeekIndex],43)&gt;0)*(COUNTIFS(T_TTAFStock[RM_Code],$A19,T_TTAFStock[WeekIndex],43)&gt;0)&gt;0,SUMIFS(T_SelfStock[Self_Qty],T_SelfStock[RM_Code],$A19,T_SelfStock[WeekIndex],43)+SUMIFS(T_TTAFStock[TTAF_Qty],T_TTAFStock[RM_Code],$A19,T_TTAFStock[WeekIndex],43),AQ19+'Grid_Incoming'!AR19-'Grid_Requirement'!AR19))</f>
        <v/>
      </c>
      <c r="AS19">
        <f>IF(COUNTIFS(T_StockCount[RM_Code],$A19,T_StockCount[WeekIndex],44)&gt;0,SUMIFS(T_StockCount[CountedQty],T_StockCount[RM_Code],$A19,T_StockCount[WeekIndex],44),IF((COUNTIFS(T_SelfStock[RM_Code],$A19,T_SelfStock[WeekIndex],44)&gt;0)*(COUNTIFS(T_TTAFStock[RM_Code],$A19,T_TTAFStock[WeekIndex],44)&gt;0)&gt;0,SUMIFS(T_SelfStock[Self_Qty],T_SelfStock[RM_Code],$A19,T_SelfStock[WeekIndex],44)+SUMIFS(T_TTAFStock[TTAF_Qty],T_TTAFStock[RM_Code],$A19,T_TTAFStock[WeekIndex],44),AR19+'Grid_Incoming'!AS19-'Grid_Requirement'!AS19))</f>
        <v/>
      </c>
      <c r="AT19">
        <f>IF(COUNTIFS(T_StockCount[RM_Code],$A19,T_StockCount[WeekIndex],45)&gt;0,SUMIFS(T_StockCount[CountedQty],T_StockCount[RM_Code],$A19,T_StockCount[WeekIndex],45),IF((COUNTIFS(T_SelfStock[RM_Code],$A19,T_SelfStock[WeekIndex],45)&gt;0)*(COUNTIFS(T_TTAFStock[RM_Code],$A19,T_TTAFStock[WeekIndex],45)&gt;0)&gt;0,SUMIFS(T_SelfStock[Self_Qty],T_SelfStock[RM_Code],$A19,T_SelfStock[WeekIndex],45)+SUMIFS(T_TTAFStock[TTAF_Qty],T_TTAFStock[RM_Code],$A19,T_TTAFStock[WeekIndex],45),AS19+'Grid_Incoming'!AT19-'Grid_Requirement'!AT19))</f>
        <v/>
      </c>
      <c r="AU19">
        <f>IF(COUNTIFS(T_StockCount[RM_Code],$A19,T_StockCount[WeekIndex],46)&gt;0,SUMIFS(T_StockCount[CountedQty],T_StockCount[RM_Code],$A19,T_StockCount[WeekIndex],46),IF((COUNTIFS(T_SelfStock[RM_Code],$A19,T_SelfStock[WeekIndex],46)&gt;0)*(COUNTIFS(T_TTAFStock[RM_Code],$A19,T_TTAFStock[WeekIndex],46)&gt;0)&gt;0,SUMIFS(T_SelfStock[Self_Qty],T_SelfStock[RM_Code],$A19,T_SelfStock[WeekIndex],46)+SUMIFS(T_TTAFStock[TTAF_Qty],T_TTAFStock[RM_Code],$A19,T_TTAFStock[WeekIndex],46),AT19+'Grid_Incoming'!AU19-'Grid_Requirement'!AU19))</f>
        <v/>
      </c>
      <c r="AV19">
        <f>IF(COUNTIFS(T_StockCount[RM_Code],$A19,T_StockCount[WeekIndex],47)&gt;0,SUMIFS(T_StockCount[CountedQty],T_StockCount[RM_Code],$A19,T_StockCount[WeekIndex],47),IF((COUNTIFS(T_SelfStock[RM_Code],$A19,T_SelfStock[WeekIndex],47)&gt;0)*(COUNTIFS(T_TTAFStock[RM_Code],$A19,T_TTAFStock[WeekIndex],47)&gt;0)&gt;0,SUMIFS(T_SelfStock[Self_Qty],T_SelfStock[RM_Code],$A19,T_SelfStock[WeekIndex],47)+SUMIFS(T_TTAFStock[TTAF_Qty],T_TTAFStock[RM_Code],$A19,T_TTAFStock[WeekIndex],47),AU19+'Grid_Incoming'!AV19-'Grid_Requirement'!AV19))</f>
        <v/>
      </c>
      <c r="AW19">
        <f>IF(COUNTIFS(T_StockCount[RM_Code],$A19,T_StockCount[WeekIndex],48)&gt;0,SUMIFS(T_StockCount[CountedQty],T_StockCount[RM_Code],$A19,T_StockCount[WeekIndex],48),IF((COUNTIFS(T_SelfStock[RM_Code],$A19,T_SelfStock[WeekIndex],48)&gt;0)*(COUNTIFS(T_TTAFStock[RM_Code],$A19,T_TTAFStock[WeekIndex],48)&gt;0)&gt;0,SUMIFS(T_SelfStock[Self_Qty],T_SelfStock[RM_Code],$A19,T_SelfStock[WeekIndex],48)+SUMIFS(T_TTAFStock[TTAF_Qty],T_TTAFStock[RM_Code],$A19,T_TTAFStock[WeekIndex],48),AV19+'Grid_Incoming'!AW19-'Grid_Requirement'!AW19))</f>
        <v/>
      </c>
      <c r="AX19">
        <f>IF(COUNTIFS(T_StockCount[RM_Code],$A19,T_StockCount[WeekIndex],49)&gt;0,SUMIFS(T_StockCount[CountedQty],T_StockCount[RM_Code],$A19,T_StockCount[WeekIndex],49),IF((COUNTIFS(T_SelfStock[RM_Code],$A19,T_SelfStock[WeekIndex],49)&gt;0)*(COUNTIFS(T_TTAFStock[RM_Code],$A19,T_TTAFStock[WeekIndex],49)&gt;0)&gt;0,SUMIFS(T_SelfStock[Self_Qty],T_SelfStock[RM_Code],$A19,T_SelfStock[WeekIndex],49)+SUMIFS(T_TTAFStock[TTAF_Qty],T_TTAFStock[RM_Code],$A19,T_TTAFStock[WeekIndex],49),AW19+'Grid_Incoming'!AX19-'Grid_Requirement'!AX19))</f>
        <v/>
      </c>
      <c r="AY19">
        <f>IF(COUNTIFS(T_StockCount[RM_Code],$A19,T_StockCount[WeekIndex],50)&gt;0,SUMIFS(T_StockCount[CountedQty],T_StockCount[RM_Code],$A19,T_StockCount[WeekIndex],50),IF((COUNTIFS(T_SelfStock[RM_Code],$A19,T_SelfStock[WeekIndex],50)&gt;0)*(COUNTIFS(T_TTAFStock[RM_Code],$A19,T_TTAFStock[WeekIndex],50)&gt;0)&gt;0,SUMIFS(T_SelfStock[Self_Qty],T_SelfStock[RM_Code],$A19,T_SelfStock[WeekIndex],50)+SUMIFS(T_TTAFStock[TTAF_Qty],T_TTAFStock[RM_Code],$A19,T_TTAFStock[WeekIndex],50),AX19+'Grid_Incoming'!AY19-'Grid_Requirement'!AY19))</f>
        <v/>
      </c>
      <c r="AZ19">
        <f>IF(COUNTIFS(T_StockCount[RM_Code],$A19,T_StockCount[WeekIndex],51)&gt;0,SUMIFS(T_StockCount[CountedQty],T_StockCount[RM_Code],$A19,T_StockCount[WeekIndex],51),IF((COUNTIFS(T_SelfStock[RM_Code],$A19,T_SelfStock[WeekIndex],51)&gt;0)*(COUNTIFS(T_TTAFStock[RM_Code],$A19,T_TTAFStock[WeekIndex],51)&gt;0)&gt;0,SUMIFS(T_SelfStock[Self_Qty],T_SelfStock[RM_Code],$A19,T_SelfStock[WeekIndex],51)+SUMIFS(T_TTAFStock[TTAF_Qty],T_TTAFStock[RM_Code],$A19,T_TTAFStock[WeekIndex],51),AY19+'Grid_Incoming'!AZ19-'Grid_Requirement'!AZ19))</f>
        <v/>
      </c>
      <c r="BA19">
        <f>IF(COUNTIFS(T_StockCount[RM_Code],$A19,T_StockCount[WeekIndex],52)&gt;0,SUMIFS(T_StockCount[CountedQty],T_StockCount[RM_Code],$A19,T_StockCount[WeekIndex],52),IF((COUNTIFS(T_SelfStock[RM_Code],$A19,T_SelfStock[WeekIndex],52)&gt;0)*(COUNTIFS(T_TTAFStock[RM_Code],$A19,T_TTAFStock[WeekIndex],52)&gt;0)&gt;0,SUMIFS(T_SelfStock[Self_Qty],T_SelfStock[RM_Code],$A19,T_SelfStock[WeekIndex],52)+SUMIFS(T_TTAFStock[TTAF_Qty],T_TTAFStock[RM_Code],$A19,T_TTAFStock[WeekIndex],52),AZ19+'Grid_Incoming'!BA19-'Grid_Requirement'!BA19))</f>
        <v/>
      </c>
      <c r="BB19">
        <f>IF(COUNTIFS(T_StockCount[RM_Code],$A19,T_StockCount[WeekIndex],53)&gt;0,SUMIFS(T_StockCount[CountedQty],T_StockCount[RM_Code],$A19,T_StockCount[WeekIndex],53),IF((COUNTIFS(T_SelfStock[RM_Code],$A19,T_SelfStock[WeekIndex],53)&gt;0)*(COUNTIFS(T_TTAFStock[RM_Code],$A19,T_TTAFStock[WeekIndex],53)&gt;0)&gt;0,SUMIFS(T_SelfStock[Self_Qty],T_SelfStock[RM_Code],$A19,T_SelfStock[WeekIndex],53)+SUMIFS(T_TTAFStock[TTAF_Qty],T_TTAFStock[RM_Code],$A19,T_TTAFStock[WeekIndex],53),BA19+'Grid_Incoming'!BB19-'Grid_Requirement'!BB19))</f>
        <v/>
      </c>
      <c r="BC19">
        <f>IF(COUNTIFS(T_StockCount[RM_Code],$A19,T_StockCount[WeekIndex],54)&gt;0,SUMIFS(T_StockCount[CountedQty],T_StockCount[RM_Code],$A19,T_StockCount[WeekIndex],54),IF((COUNTIFS(T_SelfStock[RM_Code],$A19,T_SelfStock[WeekIndex],54)&gt;0)*(COUNTIFS(T_TTAFStock[RM_Code],$A19,T_TTAFStock[WeekIndex],54)&gt;0)&gt;0,SUMIFS(T_SelfStock[Self_Qty],T_SelfStock[RM_Code],$A19,T_SelfStock[WeekIndex],54)+SUMIFS(T_TTAFStock[TTAF_Qty],T_TTAFStock[RM_Code],$A19,T_TTAFStock[WeekIndex],54),BB19+'Grid_Incoming'!BC19-'Grid_Requirement'!BC19))</f>
        <v/>
      </c>
      <c r="BD19">
        <f>IF(COUNTIFS(T_StockCount[RM_Code],$A19,T_StockCount[WeekIndex],55)&gt;0,SUMIFS(T_StockCount[CountedQty],T_StockCount[RM_Code],$A19,T_StockCount[WeekIndex],55),IF((COUNTIFS(T_SelfStock[RM_Code],$A19,T_SelfStock[WeekIndex],55)&gt;0)*(COUNTIFS(T_TTAFStock[RM_Code],$A19,T_TTAFStock[WeekIndex],55)&gt;0)&gt;0,SUMIFS(T_SelfStock[Self_Qty],T_SelfStock[RM_Code],$A19,T_SelfStock[WeekIndex],55)+SUMIFS(T_TTAFStock[TTAF_Qty],T_TTAFStock[RM_Code],$A19,T_TTAFStock[WeekIndex],55),BC19+'Grid_Incoming'!BD19-'Grid_Requirement'!BD19))</f>
        <v/>
      </c>
      <c r="BE19">
        <f>IF(COUNTIFS(T_StockCount[RM_Code],$A19,T_StockCount[WeekIndex],56)&gt;0,SUMIFS(T_StockCount[CountedQty],T_StockCount[RM_Code],$A19,T_StockCount[WeekIndex],56),IF((COUNTIFS(T_SelfStock[RM_Code],$A19,T_SelfStock[WeekIndex],56)&gt;0)*(COUNTIFS(T_TTAFStock[RM_Code],$A19,T_TTAFStock[WeekIndex],56)&gt;0)&gt;0,SUMIFS(T_SelfStock[Self_Qty],T_SelfStock[RM_Code],$A19,T_SelfStock[WeekIndex],56)+SUMIFS(T_TTAFStock[TTAF_Qty],T_TTAFStock[RM_Code],$A19,T_TTAFStock[WeekIndex],56),BD19+'Grid_Incoming'!BE19-'Grid_Requirement'!BE19))</f>
        <v/>
      </c>
      <c r="BF19">
        <f>IF(COUNTIFS(T_StockCount[RM_Code],$A19,T_StockCount[WeekIndex],57)&gt;0,SUMIFS(T_StockCount[CountedQty],T_StockCount[RM_Code],$A19,T_StockCount[WeekIndex],57),IF((COUNTIFS(T_SelfStock[RM_Code],$A19,T_SelfStock[WeekIndex],57)&gt;0)*(COUNTIFS(T_TTAFStock[RM_Code],$A19,T_TTAFStock[WeekIndex],57)&gt;0)&gt;0,SUMIFS(T_SelfStock[Self_Qty],T_SelfStock[RM_Code],$A19,T_SelfStock[WeekIndex],57)+SUMIFS(T_TTAFStock[TTAF_Qty],T_TTAFStock[RM_Code],$A19,T_TTAFStock[WeekIndex],57),BE19+'Grid_Incoming'!BF19-'Grid_Requirement'!BF19))</f>
        <v/>
      </c>
      <c r="BG19">
        <f>IF(COUNTIFS(T_StockCount[RM_Code],$A19,T_StockCount[WeekIndex],58)&gt;0,SUMIFS(T_StockCount[CountedQty],T_StockCount[RM_Code],$A19,T_StockCount[WeekIndex],58),IF((COUNTIFS(T_SelfStock[RM_Code],$A19,T_SelfStock[WeekIndex],58)&gt;0)*(COUNTIFS(T_TTAFStock[RM_Code],$A19,T_TTAFStock[WeekIndex],58)&gt;0)&gt;0,SUMIFS(T_SelfStock[Self_Qty],T_SelfStock[RM_Code],$A19,T_SelfStock[WeekIndex],58)+SUMIFS(T_TTAFStock[TTAF_Qty],T_TTAFStock[RM_Code],$A19,T_TTAFStock[WeekIndex],58),BF19+'Grid_Incoming'!BG19-'Grid_Requirement'!BG19))</f>
        <v/>
      </c>
      <c r="BH19">
        <f>IF(COUNTIFS(T_StockCount[RM_Code],$A19,T_StockCount[WeekIndex],59)&gt;0,SUMIFS(T_StockCount[CountedQty],T_StockCount[RM_Code],$A19,T_StockCount[WeekIndex],59),IF((COUNTIFS(T_SelfStock[RM_Code],$A19,T_SelfStock[WeekIndex],59)&gt;0)*(COUNTIFS(T_TTAFStock[RM_Code],$A19,T_TTAFStock[WeekIndex],59)&gt;0)&gt;0,SUMIFS(T_SelfStock[Self_Qty],T_SelfStock[RM_Code],$A19,T_SelfStock[WeekIndex],59)+SUMIFS(T_TTAFStock[TTAF_Qty],T_TTAFStock[RM_Code],$A19,T_TTAFStock[WeekIndex],59),BG19+'Grid_Incoming'!BH19-'Grid_Requirement'!BH19))</f>
        <v/>
      </c>
      <c r="BI19">
        <f>IF(COUNTIFS(T_StockCount[RM_Code],$A19,T_StockCount[WeekIndex],60)&gt;0,SUMIFS(T_StockCount[CountedQty],T_StockCount[RM_Code],$A19,T_StockCount[WeekIndex],60),IF((COUNTIFS(T_SelfStock[RM_Code],$A19,T_SelfStock[WeekIndex],60)&gt;0)*(COUNTIFS(T_TTAFStock[RM_Code],$A19,T_TTAFStock[WeekIndex],60)&gt;0)&gt;0,SUMIFS(T_SelfStock[Self_Qty],T_SelfStock[RM_Code],$A19,T_SelfStock[WeekIndex],60)+SUMIFS(T_TTAFStock[TTAF_Qty],T_TTAFStock[RM_Code],$A19,T_TTAFStock[WeekIndex],60),BH19+'Grid_Incoming'!BI19-'Grid_Requirement'!BI19))</f>
        <v/>
      </c>
      <c r="BJ19">
        <f>IF(COUNTIFS(T_StockCount[RM_Code],$A19,T_StockCount[WeekIndex],61)&gt;0,SUMIFS(T_StockCount[CountedQty],T_StockCount[RM_Code],$A19,T_StockCount[WeekIndex],61),IF((COUNTIFS(T_SelfStock[RM_Code],$A19,T_SelfStock[WeekIndex],61)&gt;0)*(COUNTIFS(T_TTAFStock[RM_Code],$A19,T_TTAFStock[WeekIndex],61)&gt;0)&gt;0,SUMIFS(T_SelfStock[Self_Qty],T_SelfStock[RM_Code],$A19,T_SelfStock[WeekIndex],61)+SUMIFS(T_TTAFStock[TTAF_Qty],T_TTAFStock[RM_Code],$A19,T_TTAFStock[WeekIndex],61),BI19+'Grid_Incoming'!BJ19-'Grid_Requirement'!BJ19))</f>
        <v/>
      </c>
      <c r="BK19">
        <f>IF(COUNTIFS(T_StockCount[RM_Code],$A19,T_StockCount[WeekIndex],62)&gt;0,SUMIFS(T_StockCount[CountedQty],T_StockCount[RM_Code],$A19,T_StockCount[WeekIndex],62),IF((COUNTIFS(T_SelfStock[RM_Code],$A19,T_SelfStock[WeekIndex],62)&gt;0)*(COUNTIFS(T_TTAFStock[RM_Code],$A19,T_TTAFStock[WeekIndex],62)&gt;0)&gt;0,SUMIFS(T_SelfStock[Self_Qty],T_SelfStock[RM_Code],$A19,T_SelfStock[WeekIndex],62)+SUMIFS(T_TTAFStock[TTAF_Qty],T_TTAFStock[RM_Code],$A19,T_TTAFStock[WeekIndex],62),BJ19+'Grid_Incoming'!BK19-'Grid_Requirement'!BK19))</f>
        <v/>
      </c>
      <c r="BL19">
        <f>IF(COUNTIFS(T_StockCount[RM_Code],$A19,T_StockCount[WeekIndex],63)&gt;0,SUMIFS(T_StockCount[CountedQty],T_StockCount[RM_Code],$A19,T_StockCount[WeekIndex],63),IF((COUNTIFS(T_SelfStock[RM_Code],$A19,T_SelfStock[WeekIndex],63)&gt;0)*(COUNTIFS(T_TTAFStock[RM_Code],$A19,T_TTAFStock[WeekIndex],63)&gt;0)&gt;0,SUMIFS(T_SelfStock[Self_Qty],T_SelfStock[RM_Code],$A19,T_SelfStock[WeekIndex],63)+SUMIFS(T_TTAFStock[TTAF_Qty],T_TTAFStock[RM_Code],$A19,T_TTAFStock[WeekIndex],63),BK19+'Grid_Incoming'!BL19-'Grid_Requirement'!BL19))</f>
        <v/>
      </c>
      <c r="BM19">
        <f>IF(COUNTIFS(T_StockCount[RM_Code],$A19,T_StockCount[WeekIndex],64)&gt;0,SUMIFS(T_StockCount[CountedQty],T_StockCount[RM_Code],$A19,T_StockCount[WeekIndex],64),IF((COUNTIFS(T_SelfStock[RM_Code],$A19,T_SelfStock[WeekIndex],64)&gt;0)*(COUNTIFS(T_TTAFStock[RM_Code],$A19,T_TTAFStock[WeekIndex],64)&gt;0)&gt;0,SUMIFS(T_SelfStock[Self_Qty],T_SelfStock[RM_Code],$A19,T_SelfStock[WeekIndex],64)+SUMIFS(T_TTAFStock[TTAF_Qty],T_TTAFStock[RM_Code],$A19,T_TTAFStock[WeekIndex],64),BL19+'Grid_Incoming'!BM19-'Grid_Requirement'!BM19))</f>
        <v/>
      </c>
      <c r="BN19">
        <f>IF(COUNTIFS(T_StockCount[RM_Code],$A19,T_StockCount[WeekIndex],65)&gt;0,SUMIFS(T_StockCount[CountedQty],T_StockCount[RM_Code],$A19,T_StockCount[WeekIndex],65),IF((COUNTIFS(T_SelfStock[RM_Code],$A19,T_SelfStock[WeekIndex],65)&gt;0)*(COUNTIFS(T_TTAFStock[RM_Code],$A19,T_TTAFStock[WeekIndex],65)&gt;0)&gt;0,SUMIFS(T_SelfStock[Self_Qty],T_SelfStock[RM_Code],$A19,T_SelfStock[WeekIndex],65)+SUMIFS(T_TTAFStock[TTAF_Qty],T_TTAFStock[RM_Code],$A19,T_TTAFStock[WeekIndex],65),BM19+'Grid_Incoming'!BN19-'Grid_Requirement'!BN19))</f>
        <v/>
      </c>
      <c r="BO19">
        <f>IF(COUNTIFS(T_StockCount[RM_Code],$A19,T_StockCount[WeekIndex],66)&gt;0,SUMIFS(T_StockCount[CountedQty],T_StockCount[RM_Code],$A19,T_StockCount[WeekIndex],66),IF((COUNTIFS(T_SelfStock[RM_Code],$A19,T_SelfStock[WeekIndex],66)&gt;0)*(COUNTIFS(T_TTAFStock[RM_Code],$A19,T_TTAFStock[WeekIndex],66)&gt;0)&gt;0,SUMIFS(T_SelfStock[Self_Qty],T_SelfStock[RM_Code],$A19,T_SelfStock[WeekIndex],66)+SUMIFS(T_TTAFStock[TTAF_Qty],T_TTAFStock[RM_Code],$A19,T_TTAFStock[WeekIndex],66),BN19+'Grid_Incoming'!BO19-'Grid_Requirement'!BO19))</f>
        <v/>
      </c>
      <c r="BP19">
        <f>IF(COUNTIFS(T_StockCount[RM_Code],$A19,T_StockCount[WeekIndex],67)&gt;0,SUMIFS(T_StockCount[CountedQty],T_StockCount[RM_Code],$A19,T_StockCount[WeekIndex],67),IF((COUNTIFS(T_SelfStock[RM_Code],$A19,T_SelfStock[WeekIndex],67)&gt;0)*(COUNTIFS(T_TTAFStock[RM_Code],$A19,T_TTAFStock[WeekIndex],67)&gt;0)&gt;0,SUMIFS(T_SelfStock[Self_Qty],T_SelfStock[RM_Code],$A19,T_SelfStock[WeekIndex],67)+SUMIFS(T_TTAFStock[TTAF_Qty],T_TTAFStock[RM_Code],$A19,T_TTAFStock[WeekIndex],67),BO19+'Grid_Incoming'!BP19-'Grid_Requirement'!BP19))</f>
        <v/>
      </c>
      <c r="BQ19">
        <f>IF(COUNTIFS(T_StockCount[RM_Code],$A19,T_StockCount[WeekIndex],68)&gt;0,SUMIFS(T_StockCount[CountedQty],T_StockCount[RM_Code],$A19,T_StockCount[WeekIndex],68),IF((COUNTIFS(T_SelfStock[RM_Code],$A19,T_SelfStock[WeekIndex],68)&gt;0)*(COUNTIFS(T_TTAFStock[RM_Code],$A19,T_TTAFStock[WeekIndex],68)&gt;0)&gt;0,SUMIFS(T_SelfStock[Self_Qty],T_SelfStock[RM_Code],$A19,T_SelfStock[WeekIndex],68)+SUMIFS(T_TTAFStock[TTAF_Qty],T_TTAFStock[RM_Code],$A19,T_TTAFStock[WeekIndex],68),BP19+'Grid_Incoming'!BQ19-'Grid_Requirement'!BQ19))</f>
        <v/>
      </c>
      <c r="BR19">
        <f>IF(COUNTIFS(T_StockCount[RM_Code],$A19,T_StockCount[WeekIndex],69)&gt;0,SUMIFS(T_StockCount[CountedQty],T_StockCount[RM_Code],$A19,T_StockCount[WeekIndex],69),IF((COUNTIFS(T_SelfStock[RM_Code],$A19,T_SelfStock[WeekIndex],69)&gt;0)*(COUNTIFS(T_TTAFStock[RM_Code],$A19,T_TTAFStock[WeekIndex],69)&gt;0)&gt;0,SUMIFS(T_SelfStock[Self_Qty],T_SelfStock[RM_Code],$A19,T_SelfStock[WeekIndex],69)+SUMIFS(T_TTAFStock[TTAF_Qty],T_TTAFStock[RM_Code],$A19,T_TTAFStock[WeekIndex],69),BQ19+'Grid_Incoming'!BR19-'Grid_Requirement'!BR19))</f>
        <v/>
      </c>
      <c r="BS19">
        <f>IF(COUNTIFS(T_StockCount[RM_Code],$A19,T_StockCount[WeekIndex],70)&gt;0,SUMIFS(T_StockCount[CountedQty],T_StockCount[RM_Code],$A19,T_StockCount[WeekIndex],70),IF((COUNTIFS(T_SelfStock[RM_Code],$A19,T_SelfStock[WeekIndex],70)&gt;0)*(COUNTIFS(T_TTAFStock[RM_Code],$A19,T_TTAFStock[WeekIndex],70)&gt;0)&gt;0,SUMIFS(T_SelfStock[Self_Qty],T_SelfStock[RM_Code],$A19,T_SelfStock[WeekIndex],70)+SUMIFS(T_TTAFStock[TTAF_Qty],T_TTAFStock[RM_Code],$A19,T_TTAFStock[WeekIndex],70),BR19+'Grid_Incoming'!BS19-'Grid_Requirement'!BS19))</f>
        <v/>
      </c>
      <c r="BT19">
        <f>IF(COUNTIFS(T_StockCount[RM_Code],$A19,T_StockCount[WeekIndex],71)&gt;0,SUMIFS(T_StockCount[CountedQty],T_StockCount[RM_Code],$A19,T_StockCount[WeekIndex],71),IF((COUNTIFS(T_SelfStock[RM_Code],$A19,T_SelfStock[WeekIndex],71)&gt;0)*(COUNTIFS(T_TTAFStock[RM_Code],$A19,T_TTAFStock[WeekIndex],71)&gt;0)&gt;0,SUMIFS(T_SelfStock[Self_Qty],T_SelfStock[RM_Code],$A19,T_SelfStock[WeekIndex],71)+SUMIFS(T_TTAFStock[TTAF_Qty],T_TTAFStock[RM_Code],$A19,T_TTAFStock[WeekIndex],71),BS19+'Grid_Incoming'!BT19-'Grid_Requirement'!BT19))</f>
        <v/>
      </c>
      <c r="BU19">
        <f>IF(COUNTIFS(T_StockCount[RM_Code],$A19,T_StockCount[WeekIndex],72)&gt;0,SUMIFS(T_StockCount[CountedQty],T_StockCount[RM_Code],$A19,T_StockCount[WeekIndex],72),IF((COUNTIFS(T_SelfStock[RM_Code],$A19,T_SelfStock[WeekIndex],72)&gt;0)*(COUNTIFS(T_TTAFStock[RM_Code],$A19,T_TTAFStock[WeekIndex],72)&gt;0)&gt;0,SUMIFS(T_SelfStock[Self_Qty],T_SelfStock[RM_Code],$A19,T_SelfStock[WeekIndex],72)+SUMIFS(T_TTAFStock[TTAF_Qty],T_TTAFStock[RM_Code],$A19,T_TTAFStock[WeekIndex],72),BT19+'Grid_Incoming'!BU19-'Grid_Requirement'!BU19))</f>
        <v/>
      </c>
      <c r="BV19">
        <f>IF(COUNTIFS(T_StockCount[RM_Code],$A19,T_StockCount[WeekIndex],73)&gt;0,SUMIFS(T_StockCount[CountedQty],T_StockCount[RM_Code],$A19,T_StockCount[WeekIndex],73),IF((COUNTIFS(T_SelfStock[RM_Code],$A19,T_SelfStock[WeekIndex],73)&gt;0)*(COUNTIFS(T_TTAFStock[RM_Code],$A19,T_TTAFStock[WeekIndex],73)&gt;0)&gt;0,SUMIFS(T_SelfStock[Self_Qty],T_SelfStock[RM_Code],$A19,T_SelfStock[WeekIndex],73)+SUMIFS(T_TTAFStock[TTAF_Qty],T_TTAFStock[RM_Code],$A19,T_TTAFStock[WeekIndex],73),BU19+'Grid_Incoming'!BV19-'Grid_Requirement'!BV19))</f>
        <v/>
      </c>
      <c r="BW19">
        <f>IF(COUNTIFS(T_StockCount[RM_Code],$A19,T_StockCount[WeekIndex],74)&gt;0,SUMIFS(T_StockCount[CountedQty],T_StockCount[RM_Code],$A19,T_StockCount[WeekIndex],74),IF((COUNTIFS(T_SelfStock[RM_Code],$A19,T_SelfStock[WeekIndex],74)&gt;0)*(COUNTIFS(T_TTAFStock[RM_Code],$A19,T_TTAFStock[WeekIndex],74)&gt;0)&gt;0,SUMIFS(T_SelfStock[Self_Qty],T_SelfStock[RM_Code],$A19,T_SelfStock[WeekIndex],74)+SUMIFS(T_TTAFStock[TTAF_Qty],T_TTAFStock[RM_Code],$A19,T_TTAFStock[WeekIndex],74),BV19+'Grid_Incoming'!BW19-'Grid_Requirement'!BW19))</f>
        <v/>
      </c>
      <c r="BX19">
        <f>IF(COUNTIFS(T_StockCount[RM_Code],$A19,T_StockCount[WeekIndex],75)&gt;0,SUMIFS(T_StockCount[CountedQty],T_StockCount[RM_Code],$A19,T_StockCount[WeekIndex],75),IF((COUNTIFS(T_SelfStock[RM_Code],$A19,T_SelfStock[WeekIndex],75)&gt;0)*(COUNTIFS(T_TTAFStock[RM_Code],$A19,T_TTAFStock[WeekIndex],75)&gt;0)&gt;0,SUMIFS(T_SelfStock[Self_Qty],T_SelfStock[RM_Code],$A19,T_SelfStock[WeekIndex],75)+SUMIFS(T_TTAFStock[TTAF_Qty],T_TTAFStock[RM_Code],$A19,T_TTAFStock[WeekIndex],75),BW19+'Grid_Incoming'!BX19-'Grid_Requirement'!BX19))</f>
        <v/>
      </c>
      <c r="BY19">
        <f>IF(COUNTIFS(T_StockCount[RM_Code],$A19,T_StockCount[WeekIndex],76)&gt;0,SUMIFS(T_StockCount[CountedQty],T_StockCount[RM_Code],$A19,T_StockCount[WeekIndex],76),IF((COUNTIFS(T_SelfStock[RM_Code],$A19,T_SelfStock[WeekIndex],76)&gt;0)*(COUNTIFS(T_TTAFStock[RM_Code],$A19,T_TTAFStock[WeekIndex],76)&gt;0)&gt;0,SUMIFS(T_SelfStock[Self_Qty],T_SelfStock[RM_Code],$A19,T_SelfStock[WeekIndex],76)+SUMIFS(T_TTAFStock[TTAF_Qty],T_TTAFStock[RM_Code],$A19,T_TTAFStock[WeekIndex],76),BX19+'Grid_Incoming'!BY19-'Grid_Requirement'!BY19))</f>
        <v/>
      </c>
      <c r="BZ19">
        <f>IF(COUNTIFS(T_StockCount[RM_Code],$A19,T_StockCount[WeekIndex],77)&gt;0,SUMIFS(T_StockCount[CountedQty],T_StockCount[RM_Code],$A19,T_StockCount[WeekIndex],77),IF((COUNTIFS(T_SelfStock[RM_Code],$A19,T_SelfStock[WeekIndex],77)&gt;0)*(COUNTIFS(T_TTAFStock[RM_Code],$A19,T_TTAFStock[WeekIndex],77)&gt;0)&gt;0,SUMIFS(T_SelfStock[Self_Qty],T_SelfStock[RM_Code],$A19,T_SelfStock[WeekIndex],77)+SUMIFS(T_TTAFStock[TTAF_Qty],T_TTAFStock[RM_Code],$A19,T_TTAFStock[WeekIndex],77),BY19+'Grid_Incoming'!BZ19-'Grid_Requirement'!BZ19))</f>
        <v/>
      </c>
      <c r="CA19">
        <f>IF(COUNTIFS(T_StockCount[RM_Code],$A19,T_StockCount[WeekIndex],78)&gt;0,SUMIFS(T_StockCount[CountedQty],T_StockCount[RM_Code],$A19,T_StockCount[WeekIndex],78),IF((COUNTIFS(T_SelfStock[RM_Code],$A19,T_SelfStock[WeekIndex],78)&gt;0)*(COUNTIFS(T_TTAFStock[RM_Code],$A19,T_TTAFStock[WeekIndex],78)&gt;0)&gt;0,SUMIFS(T_SelfStock[Self_Qty],T_SelfStock[RM_Code],$A19,T_SelfStock[WeekIndex],78)+SUMIFS(T_TTAFStock[TTAF_Qty],T_TTAFStock[RM_Code],$A19,T_TTAFStock[WeekIndex],78),BZ19+'Grid_Incoming'!CA19-'Grid_Requirement'!CA19))</f>
        <v/>
      </c>
      <c r="CB19">
        <f>IF(COUNTIFS(T_StockCount[RM_Code],$A19,T_StockCount[WeekIndex],79)&gt;0,SUMIFS(T_StockCount[CountedQty],T_StockCount[RM_Code],$A19,T_StockCount[WeekIndex],79),IF((COUNTIFS(T_SelfStock[RM_Code],$A19,T_SelfStock[WeekIndex],79)&gt;0)*(COUNTIFS(T_TTAFStock[RM_Code],$A19,T_TTAFStock[WeekIndex],79)&gt;0)&gt;0,SUMIFS(T_SelfStock[Self_Qty],T_SelfStock[RM_Code],$A19,T_SelfStock[WeekIndex],79)+SUMIFS(T_TTAFStock[TTAF_Qty],T_TTAFStock[RM_Code],$A19,T_TTAFStock[WeekIndex],79),CA19+'Grid_Incoming'!CB19-'Grid_Requirement'!CB19))</f>
        <v/>
      </c>
      <c r="CC19">
        <f>IF(COUNTIFS(T_StockCount[RM_Code],$A19,T_StockCount[WeekIndex],80)&gt;0,SUMIFS(T_StockCount[CountedQty],T_StockCount[RM_Code],$A19,T_StockCount[WeekIndex],80),IF((COUNTIFS(T_SelfStock[RM_Code],$A19,T_SelfStock[WeekIndex],80)&gt;0)*(COUNTIFS(T_TTAFStock[RM_Code],$A19,T_TTAFStock[WeekIndex],80)&gt;0)&gt;0,SUMIFS(T_SelfStock[Self_Qty],T_SelfStock[RM_Code],$A19,T_SelfStock[WeekIndex],80)+SUMIFS(T_TTAFStock[TTAF_Qty],T_TTAFStock[RM_Code],$A19,T_TTAFStock[WeekIndex],80),CB19+'Grid_Incoming'!CC19-'Grid_Requirement'!CC19))</f>
        <v/>
      </c>
      <c r="CD19">
        <f>IF(COUNTIFS(T_StockCount[RM_Code],$A19,T_StockCount[WeekIndex],81)&gt;0,SUMIFS(T_StockCount[CountedQty],T_StockCount[RM_Code],$A19,T_StockCount[WeekIndex],81),IF((COUNTIFS(T_SelfStock[RM_Code],$A19,T_SelfStock[WeekIndex],81)&gt;0)*(COUNTIFS(T_TTAFStock[RM_Code],$A19,T_TTAFStock[WeekIndex],81)&gt;0)&gt;0,SUMIFS(T_SelfStock[Self_Qty],T_SelfStock[RM_Code],$A19,T_SelfStock[WeekIndex],81)+SUMIFS(T_TTAFStock[TTAF_Qty],T_TTAFStock[RM_Code],$A19,T_TTAFStock[WeekIndex],81),CC19+'Grid_Incoming'!CD19-'Grid_Requirement'!CD19))</f>
        <v/>
      </c>
      <c r="CE19">
        <f>IF(COUNTIFS(T_StockCount[RM_Code],$A19,T_StockCount[WeekIndex],82)&gt;0,SUMIFS(T_StockCount[CountedQty],T_StockCount[RM_Code],$A19,T_StockCount[WeekIndex],82),IF((COUNTIFS(T_SelfStock[RM_Code],$A19,T_SelfStock[WeekIndex],82)&gt;0)*(COUNTIFS(T_TTAFStock[RM_Code],$A19,T_TTAFStock[WeekIndex],82)&gt;0)&gt;0,SUMIFS(T_SelfStock[Self_Qty],T_SelfStock[RM_Code],$A19,T_SelfStock[WeekIndex],82)+SUMIFS(T_TTAFStock[TTAF_Qty],T_TTAFStock[RM_Code],$A19,T_TTAFStock[WeekIndex],82),CD19+'Grid_Incoming'!CE19-'Grid_Requirement'!CE19))</f>
        <v/>
      </c>
      <c r="CF19">
        <f>IF(COUNTIFS(T_StockCount[RM_Code],$A19,T_StockCount[WeekIndex],83)&gt;0,SUMIFS(T_StockCount[CountedQty],T_StockCount[RM_Code],$A19,T_StockCount[WeekIndex],83),IF((COUNTIFS(T_SelfStock[RM_Code],$A19,T_SelfStock[WeekIndex],83)&gt;0)*(COUNTIFS(T_TTAFStock[RM_Code],$A19,T_TTAFStock[WeekIndex],83)&gt;0)&gt;0,SUMIFS(T_SelfStock[Self_Qty],T_SelfStock[RM_Code],$A19,T_SelfStock[WeekIndex],83)+SUMIFS(T_TTAFStock[TTAF_Qty],T_TTAFStock[RM_Code],$A19,T_TTAFStock[WeekIndex],83),CE19+'Grid_Incoming'!CF19-'Grid_Requirement'!CF19))</f>
        <v/>
      </c>
      <c r="CG19">
        <f>IF(COUNTIFS(T_StockCount[RM_Code],$A19,T_StockCount[WeekIndex],84)&gt;0,SUMIFS(T_StockCount[CountedQty],T_StockCount[RM_Code],$A19,T_StockCount[WeekIndex],84),IF((COUNTIFS(T_SelfStock[RM_Code],$A19,T_SelfStock[WeekIndex],84)&gt;0)*(COUNTIFS(T_TTAFStock[RM_Code],$A19,T_TTAFStock[WeekIndex],84)&gt;0)&gt;0,SUMIFS(T_SelfStock[Self_Qty],T_SelfStock[RM_Code],$A19,T_SelfStock[WeekIndex],84)+SUMIFS(T_TTAFStock[TTAF_Qty],T_TTAFStock[RM_Code],$A19,T_TTAFStock[WeekIndex],84),CF19+'Grid_Incoming'!CG19-'Grid_Requirement'!CG19))</f>
        <v/>
      </c>
      <c r="CH19">
        <f>IF(COUNTIFS(T_StockCount[RM_Code],$A19,T_StockCount[WeekIndex],85)&gt;0,SUMIFS(T_StockCount[CountedQty],T_StockCount[RM_Code],$A19,T_StockCount[WeekIndex],85),IF((COUNTIFS(T_SelfStock[RM_Code],$A19,T_SelfStock[WeekIndex],85)&gt;0)*(COUNTIFS(T_TTAFStock[RM_Code],$A19,T_TTAFStock[WeekIndex],85)&gt;0)&gt;0,SUMIFS(T_SelfStock[Self_Qty],T_SelfStock[RM_Code],$A19,T_SelfStock[WeekIndex],85)+SUMIFS(T_TTAFStock[TTAF_Qty],T_TTAFStock[RM_Code],$A19,T_TTAFStock[WeekIndex],85),CG19+'Grid_Incoming'!CH19-'Grid_Requirement'!CH19))</f>
        <v/>
      </c>
      <c r="CI19">
        <f>IF(COUNTIFS(T_StockCount[RM_Code],$A19,T_StockCount[WeekIndex],86)&gt;0,SUMIFS(T_StockCount[CountedQty],T_StockCount[RM_Code],$A19,T_StockCount[WeekIndex],86),IF((COUNTIFS(T_SelfStock[RM_Code],$A19,T_SelfStock[WeekIndex],86)&gt;0)*(COUNTIFS(T_TTAFStock[RM_Code],$A19,T_TTAFStock[WeekIndex],86)&gt;0)&gt;0,SUMIFS(T_SelfStock[Self_Qty],T_SelfStock[RM_Code],$A19,T_SelfStock[WeekIndex],86)+SUMIFS(T_TTAFStock[TTAF_Qty],T_TTAFStock[RM_Code],$A19,T_TTAFStock[WeekIndex],86),CH19+'Grid_Incoming'!CI19-'Grid_Requirement'!CI19))</f>
        <v/>
      </c>
      <c r="CJ19">
        <f>IF(COUNTIFS(T_StockCount[RM_Code],$A19,T_StockCount[WeekIndex],87)&gt;0,SUMIFS(T_StockCount[CountedQty],T_StockCount[RM_Code],$A19,T_StockCount[WeekIndex],87),IF((COUNTIFS(T_SelfStock[RM_Code],$A19,T_SelfStock[WeekIndex],87)&gt;0)*(COUNTIFS(T_TTAFStock[RM_Code],$A19,T_TTAFStock[WeekIndex],87)&gt;0)&gt;0,SUMIFS(T_SelfStock[Self_Qty],T_SelfStock[RM_Code],$A19,T_SelfStock[WeekIndex],87)+SUMIFS(T_TTAFStock[TTAF_Qty],T_TTAFStock[RM_Code],$A19,T_TTAFStock[WeekIndex],87),CI19+'Grid_Incoming'!CJ19-'Grid_Requirement'!CJ19))</f>
        <v/>
      </c>
      <c r="CK19">
        <f>IF(COUNTIFS(T_StockCount[RM_Code],$A19,T_StockCount[WeekIndex],88)&gt;0,SUMIFS(T_StockCount[CountedQty],T_StockCount[RM_Code],$A19,T_StockCount[WeekIndex],88),IF((COUNTIFS(T_SelfStock[RM_Code],$A19,T_SelfStock[WeekIndex],88)&gt;0)*(COUNTIFS(T_TTAFStock[RM_Code],$A19,T_TTAFStock[WeekIndex],88)&gt;0)&gt;0,SUMIFS(T_SelfStock[Self_Qty],T_SelfStock[RM_Code],$A19,T_SelfStock[WeekIndex],88)+SUMIFS(T_TTAFStock[TTAF_Qty],T_TTAFStock[RM_Code],$A19,T_TTAFStock[WeekIndex],88),CJ19+'Grid_Incoming'!CK19-'Grid_Requirement'!CK19))</f>
        <v/>
      </c>
      <c r="CL19">
        <f>IF(COUNTIFS(T_StockCount[RM_Code],$A19,T_StockCount[WeekIndex],89)&gt;0,SUMIFS(T_StockCount[CountedQty],T_StockCount[RM_Code],$A19,T_StockCount[WeekIndex],89),IF((COUNTIFS(T_SelfStock[RM_Code],$A19,T_SelfStock[WeekIndex],89)&gt;0)*(COUNTIFS(T_TTAFStock[RM_Code],$A19,T_TTAFStock[WeekIndex],89)&gt;0)&gt;0,SUMIFS(T_SelfStock[Self_Qty],T_SelfStock[RM_Code],$A19,T_SelfStock[WeekIndex],89)+SUMIFS(T_TTAFStock[TTAF_Qty],T_TTAFStock[RM_Code],$A19,T_TTAFStock[WeekIndex],89),CK19+'Grid_Incoming'!CL19-'Grid_Requirement'!CL19))</f>
        <v/>
      </c>
      <c r="CM19">
        <f>IF(COUNTIFS(T_StockCount[RM_Code],$A19,T_StockCount[WeekIndex],90)&gt;0,SUMIFS(T_StockCount[CountedQty],T_StockCount[RM_Code],$A19,T_StockCount[WeekIndex],90),IF((COUNTIFS(T_SelfStock[RM_Code],$A19,T_SelfStock[WeekIndex],90)&gt;0)*(COUNTIFS(T_TTAFStock[RM_Code],$A19,T_TTAFStock[WeekIndex],90)&gt;0)&gt;0,SUMIFS(T_SelfStock[Self_Qty],T_SelfStock[RM_Code],$A19,T_SelfStock[WeekIndex],90)+SUMIFS(T_TTAFStock[TTAF_Qty],T_TTAFStock[RM_Code],$A19,T_TTAFStock[WeekIndex],90),CL19+'Grid_Incoming'!CM19-'Grid_Requirement'!CM19))</f>
        <v/>
      </c>
      <c r="CN19">
        <f>IF(COUNTIFS(T_StockCount[RM_Code],$A19,T_StockCount[WeekIndex],91)&gt;0,SUMIFS(T_StockCount[CountedQty],T_StockCount[RM_Code],$A19,T_StockCount[WeekIndex],91),IF((COUNTIFS(T_SelfStock[RM_Code],$A19,T_SelfStock[WeekIndex],91)&gt;0)*(COUNTIFS(T_TTAFStock[RM_Code],$A19,T_TTAFStock[WeekIndex],91)&gt;0)&gt;0,SUMIFS(T_SelfStock[Self_Qty],T_SelfStock[RM_Code],$A19,T_SelfStock[WeekIndex],91)+SUMIFS(T_TTAFStock[TTAF_Qty],T_TTAFStock[RM_Code],$A19,T_TTAFStock[WeekIndex],91),CM19+'Grid_Incoming'!CN19-'Grid_Requirement'!CN19))</f>
        <v/>
      </c>
      <c r="CO19">
        <f>IF(COUNTIFS(T_StockCount[RM_Code],$A19,T_StockCount[WeekIndex],92)&gt;0,SUMIFS(T_StockCount[CountedQty],T_StockCount[RM_Code],$A19,T_StockCount[WeekIndex],92),IF((COUNTIFS(T_SelfStock[RM_Code],$A19,T_SelfStock[WeekIndex],92)&gt;0)*(COUNTIFS(T_TTAFStock[RM_Code],$A19,T_TTAFStock[WeekIndex],92)&gt;0)&gt;0,SUMIFS(T_SelfStock[Self_Qty],T_SelfStock[RM_Code],$A19,T_SelfStock[WeekIndex],92)+SUMIFS(T_TTAFStock[TTAF_Qty],T_TTAFStock[RM_Code],$A19,T_TTAFStock[WeekIndex],92),CN19+'Grid_Incoming'!CO19-'Grid_Requirement'!CO19))</f>
        <v/>
      </c>
      <c r="CP19">
        <f>IF(COUNTIFS(T_StockCount[RM_Code],$A19,T_StockCount[WeekIndex],93)&gt;0,SUMIFS(T_StockCount[CountedQty],T_StockCount[RM_Code],$A19,T_StockCount[WeekIndex],93),IF((COUNTIFS(T_SelfStock[RM_Code],$A19,T_SelfStock[WeekIndex],93)&gt;0)*(COUNTIFS(T_TTAFStock[RM_Code],$A19,T_TTAFStock[WeekIndex],93)&gt;0)&gt;0,SUMIFS(T_SelfStock[Self_Qty],T_SelfStock[RM_Code],$A19,T_SelfStock[WeekIndex],93)+SUMIFS(T_TTAFStock[TTAF_Qty],T_TTAFStock[RM_Code],$A19,T_TTAFStock[WeekIndex],93),CO19+'Grid_Incoming'!CP19-'Grid_Requirement'!CP19))</f>
        <v/>
      </c>
      <c r="CQ19">
        <f>IF(COUNTIFS(T_StockCount[RM_Code],$A19,T_StockCount[WeekIndex],94)&gt;0,SUMIFS(T_StockCount[CountedQty],T_StockCount[RM_Code],$A19,T_StockCount[WeekIndex],94),IF((COUNTIFS(T_SelfStock[RM_Code],$A19,T_SelfStock[WeekIndex],94)&gt;0)*(COUNTIFS(T_TTAFStock[RM_Code],$A19,T_TTAFStock[WeekIndex],94)&gt;0)&gt;0,SUMIFS(T_SelfStock[Self_Qty],T_SelfStock[RM_Code],$A19,T_SelfStock[WeekIndex],94)+SUMIFS(T_TTAFStock[TTAF_Qty],T_TTAFStock[RM_Code],$A19,T_TTAFStock[WeekIndex],94),CP19+'Grid_Incoming'!CQ19-'Grid_Requirement'!CQ19))</f>
        <v/>
      </c>
      <c r="CR19">
        <f>IF(COUNTIFS(T_StockCount[RM_Code],$A19,T_StockCount[WeekIndex],95)&gt;0,SUMIFS(T_StockCount[CountedQty],T_StockCount[RM_Code],$A19,T_StockCount[WeekIndex],95),IF((COUNTIFS(T_SelfStock[RM_Code],$A19,T_SelfStock[WeekIndex],95)&gt;0)*(COUNTIFS(T_TTAFStock[RM_Code],$A19,T_TTAFStock[WeekIndex],95)&gt;0)&gt;0,SUMIFS(T_SelfStock[Self_Qty],T_SelfStock[RM_Code],$A19,T_SelfStock[WeekIndex],95)+SUMIFS(T_TTAFStock[TTAF_Qty],T_TTAFStock[RM_Code],$A19,T_TTAFStock[WeekIndex],95),CQ19+'Grid_Incoming'!CR19-'Grid_Requirement'!CR19))</f>
        <v/>
      </c>
      <c r="CS19">
        <f>IF(COUNTIFS(T_StockCount[RM_Code],$A19,T_StockCount[WeekIndex],96)&gt;0,SUMIFS(T_StockCount[CountedQty],T_StockCount[RM_Code],$A19,T_StockCount[WeekIndex],96),IF((COUNTIFS(T_SelfStock[RM_Code],$A19,T_SelfStock[WeekIndex],96)&gt;0)*(COUNTIFS(T_TTAFStock[RM_Code],$A19,T_TTAFStock[WeekIndex],96)&gt;0)&gt;0,SUMIFS(T_SelfStock[Self_Qty],T_SelfStock[RM_Code],$A19,T_SelfStock[WeekIndex],96)+SUMIFS(T_TTAFStock[TTAF_Qty],T_TTAFStock[RM_Code],$A19,T_TTAFStock[WeekIndex],96),CR19+'Grid_Incoming'!CS19-'Grid_Requirement'!CS19))</f>
        <v/>
      </c>
      <c r="CT19">
        <f>IF(COUNTIFS(T_StockCount[RM_Code],$A19,T_StockCount[WeekIndex],97)&gt;0,SUMIFS(T_StockCount[CountedQty],T_StockCount[RM_Code],$A19,T_StockCount[WeekIndex],97),IF((COUNTIFS(T_SelfStock[RM_Code],$A19,T_SelfStock[WeekIndex],97)&gt;0)*(COUNTIFS(T_TTAFStock[RM_Code],$A19,T_TTAFStock[WeekIndex],97)&gt;0)&gt;0,SUMIFS(T_SelfStock[Self_Qty],T_SelfStock[RM_Code],$A19,T_SelfStock[WeekIndex],97)+SUMIFS(T_TTAFStock[TTAF_Qty],T_TTAFStock[RM_Code],$A19,T_TTAFStock[WeekIndex],97),CS19+'Grid_Incoming'!CT19-'Grid_Requirement'!CT19))</f>
        <v/>
      </c>
      <c r="CU19">
        <f>IF(COUNTIFS(T_StockCount[RM_Code],$A19,T_StockCount[WeekIndex],98)&gt;0,SUMIFS(T_StockCount[CountedQty],T_StockCount[RM_Code],$A19,T_StockCount[WeekIndex],98),IF((COUNTIFS(T_SelfStock[RM_Code],$A19,T_SelfStock[WeekIndex],98)&gt;0)*(COUNTIFS(T_TTAFStock[RM_Code],$A19,T_TTAFStock[WeekIndex],98)&gt;0)&gt;0,SUMIFS(T_SelfStock[Self_Qty],T_SelfStock[RM_Code],$A19,T_SelfStock[WeekIndex],98)+SUMIFS(T_TTAFStock[TTAF_Qty],T_TTAFStock[RM_Code],$A19,T_TTAFStock[WeekIndex],98),CT19+'Grid_Incoming'!CU19-'Grid_Requirement'!CU19))</f>
        <v/>
      </c>
      <c r="CV19">
        <f>IF(COUNTIFS(T_StockCount[RM_Code],$A19,T_StockCount[WeekIndex],99)&gt;0,SUMIFS(T_StockCount[CountedQty],T_StockCount[RM_Code],$A19,T_StockCount[WeekIndex],99),IF((COUNTIFS(T_SelfStock[RM_Code],$A19,T_SelfStock[WeekIndex],99)&gt;0)*(COUNTIFS(T_TTAFStock[RM_Code],$A19,T_TTAFStock[WeekIndex],99)&gt;0)&gt;0,SUMIFS(T_SelfStock[Self_Qty],T_SelfStock[RM_Code],$A19,T_SelfStock[WeekIndex],99)+SUMIFS(T_TTAFStock[TTAF_Qty],T_TTAFStock[RM_Code],$A19,T_TTAFStock[WeekIndex],99),CU19+'Grid_Incoming'!CV19-'Grid_Requirement'!CV19))</f>
        <v/>
      </c>
      <c r="CW19">
        <f>IF(COUNTIFS(T_StockCount[RM_Code],$A19,T_StockCount[WeekIndex],100)&gt;0,SUMIFS(T_StockCount[CountedQty],T_StockCount[RM_Code],$A19,T_StockCount[WeekIndex],100),IF((COUNTIFS(T_SelfStock[RM_Code],$A19,T_SelfStock[WeekIndex],100)&gt;0)*(COUNTIFS(T_TTAFStock[RM_Code],$A19,T_TTAFStock[WeekIndex],100)&gt;0)&gt;0,SUMIFS(T_SelfStock[Self_Qty],T_SelfStock[RM_Code],$A19,T_SelfStock[WeekIndex],100)+SUMIFS(T_TTAFStock[TTAF_Qty],T_TTAFStock[RM_Code],$A19,T_TTAFStock[WeekIndex],100),CV19+'Grid_Incoming'!CW19-'Grid_Requirement'!CW19))</f>
        <v/>
      </c>
      <c r="CX19">
        <f>IF(COUNTIFS(T_StockCount[RM_Code],$A19,T_StockCount[WeekIndex],101)&gt;0,SUMIFS(T_StockCount[CountedQty],T_StockCount[RM_Code],$A19,T_StockCount[WeekIndex],101),IF((COUNTIFS(T_SelfStock[RM_Code],$A19,T_SelfStock[WeekIndex],101)&gt;0)*(COUNTIFS(T_TTAFStock[RM_Code],$A19,T_TTAFStock[WeekIndex],101)&gt;0)&gt;0,SUMIFS(T_SelfStock[Self_Qty],T_SelfStock[RM_Code],$A19,T_SelfStock[WeekIndex],101)+SUMIFS(T_TTAFStock[TTAF_Qty],T_TTAFStock[RM_Code],$A19,T_TTAFStock[WeekIndex],101),CW19+'Grid_Incoming'!CX19-'Grid_Requirement'!CX19))</f>
        <v/>
      </c>
      <c r="CY19">
        <f>IF(COUNTIFS(T_StockCount[RM_Code],$A19,T_StockCount[WeekIndex],102)&gt;0,SUMIFS(T_StockCount[CountedQty],T_StockCount[RM_Code],$A19,T_StockCount[WeekIndex],102),IF((COUNTIFS(T_SelfStock[RM_Code],$A19,T_SelfStock[WeekIndex],102)&gt;0)*(COUNTIFS(T_TTAFStock[RM_Code],$A19,T_TTAFStock[WeekIndex],102)&gt;0)&gt;0,SUMIFS(T_SelfStock[Self_Qty],T_SelfStock[RM_Code],$A19,T_SelfStock[WeekIndex],102)+SUMIFS(T_TTAFStock[TTAF_Qty],T_TTAFStock[RM_Code],$A19,T_TTAFStock[WeekIndex],102),CX19+'Grid_Incoming'!CY19-'Grid_Requirement'!CY19))</f>
        <v/>
      </c>
      <c r="CZ19">
        <f>IF(COUNTIFS(T_StockCount[RM_Code],$A19,T_StockCount[WeekIndex],103)&gt;0,SUMIFS(T_StockCount[CountedQty],T_StockCount[RM_Code],$A19,T_StockCount[WeekIndex],103),IF((COUNTIFS(T_SelfStock[RM_Code],$A19,T_SelfStock[WeekIndex],103)&gt;0)*(COUNTIFS(T_TTAFStock[RM_Code],$A19,T_TTAFStock[WeekIndex],103)&gt;0)&gt;0,SUMIFS(T_SelfStock[Self_Qty],T_SelfStock[RM_Code],$A19,T_SelfStock[WeekIndex],103)+SUMIFS(T_TTAFStock[TTAF_Qty],T_TTAFStock[RM_Code],$A19,T_TTAFStock[WeekIndex],103),CY19+'Grid_Incoming'!CZ19-'Grid_Requirement'!CZ19))</f>
        <v/>
      </c>
      <c r="DA19">
        <f>IF(COUNTIFS(T_StockCount[RM_Code],$A19,T_StockCount[WeekIndex],104)&gt;0,SUMIFS(T_StockCount[CountedQty],T_StockCount[RM_Code],$A19,T_StockCount[WeekIndex],104),IF((COUNTIFS(T_SelfStock[RM_Code],$A19,T_SelfStock[WeekIndex],104)&gt;0)*(COUNTIFS(T_TTAFStock[RM_Code],$A19,T_TTAFStock[WeekIndex],104)&gt;0)&gt;0,SUMIFS(T_SelfStock[Self_Qty],T_SelfStock[RM_Code],$A19,T_SelfStock[WeekIndex],104)+SUMIFS(T_TTAFStock[TTAF_Qty],T_TTAFStock[RM_Code],$A19,T_TTAFStock[WeekIndex],104),CZ19+'Grid_Incoming'!DA19-'Grid_Requirement'!DA19))</f>
        <v/>
      </c>
    </row>
    <row r="20">
      <c r="A20" t="inlineStr">
        <is>
          <t>CHEM-1650</t>
        </is>
      </c>
      <c r="B20">
        <f>IF(COUNTIFS(T_StockCount[RM_Code],$A20,T_StockCount[WeekIndex],1)&gt;0,SUMIFS(T_StockCount[CountedQty],T_StockCount[RM_Code],$A20,T_StockCount[WeekIndex],1),IF((COUNTIFS(T_SelfStock[RM_Code],$A20,T_SelfStock[WeekIndex],1)&gt;0)*(COUNTIFS(T_TTAFStock[RM_Code],$A20,T_TTAFStock[WeekIndex],1)&gt;0)&gt;0,SUMIFS(T_SelfStock[Self_Qty],T_SelfStock[RM_Code],$A20,T_SelfStock[WeekIndex],1)+SUMIFS(T_TTAFStock[TTAF_Qty],T_TTAFStock[RM_Code],$A20,T_TTAFStock[WeekIndex],1),IFERROR(INDEX(T_OpeningStock[Opening_Qty],MATCH($A20,T_OpeningStock[RM_Code],0)),0)+'Grid_Incoming'!B20-'Grid_Requirement'!B20))</f>
        <v/>
      </c>
      <c r="C20">
        <f>IF(COUNTIFS(T_StockCount[RM_Code],$A20,T_StockCount[WeekIndex],2)&gt;0,SUMIFS(T_StockCount[CountedQty],T_StockCount[RM_Code],$A20,T_StockCount[WeekIndex],2),IF((COUNTIFS(T_SelfStock[RM_Code],$A20,T_SelfStock[WeekIndex],2)&gt;0)*(COUNTIFS(T_TTAFStock[RM_Code],$A20,T_TTAFStock[WeekIndex],2)&gt;0)&gt;0,SUMIFS(T_SelfStock[Self_Qty],T_SelfStock[RM_Code],$A20,T_SelfStock[WeekIndex],2)+SUMIFS(T_TTAFStock[TTAF_Qty],T_TTAFStock[RM_Code],$A20,T_TTAFStock[WeekIndex],2),B20+'Grid_Incoming'!C20-'Grid_Requirement'!C20))</f>
        <v/>
      </c>
      <c r="D20">
        <f>IF(COUNTIFS(T_StockCount[RM_Code],$A20,T_StockCount[WeekIndex],3)&gt;0,SUMIFS(T_StockCount[CountedQty],T_StockCount[RM_Code],$A20,T_StockCount[WeekIndex],3),IF((COUNTIFS(T_SelfStock[RM_Code],$A20,T_SelfStock[WeekIndex],3)&gt;0)*(COUNTIFS(T_TTAFStock[RM_Code],$A20,T_TTAFStock[WeekIndex],3)&gt;0)&gt;0,SUMIFS(T_SelfStock[Self_Qty],T_SelfStock[RM_Code],$A20,T_SelfStock[WeekIndex],3)+SUMIFS(T_TTAFStock[TTAF_Qty],T_TTAFStock[RM_Code],$A20,T_TTAFStock[WeekIndex],3),C20+'Grid_Incoming'!D20-'Grid_Requirement'!D20))</f>
        <v/>
      </c>
      <c r="E20">
        <f>IF(COUNTIFS(T_StockCount[RM_Code],$A20,T_StockCount[WeekIndex],4)&gt;0,SUMIFS(T_StockCount[CountedQty],T_StockCount[RM_Code],$A20,T_StockCount[WeekIndex],4),IF((COUNTIFS(T_SelfStock[RM_Code],$A20,T_SelfStock[WeekIndex],4)&gt;0)*(COUNTIFS(T_TTAFStock[RM_Code],$A20,T_TTAFStock[WeekIndex],4)&gt;0)&gt;0,SUMIFS(T_SelfStock[Self_Qty],T_SelfStock[RM_Code],$A20,T_SelfStock[WeekIndex],4)+SUMIFS(T_TTAFStock[TTAF_Qty],T_TTAFStock[RM_Code],$A20,T_TTAFStock[WeekIndex],4),D20+'Grid_Incoming'!E20-'Grid_Requirement'!E20))</f>
        <v/>
      </c>
      <c r="F20">
        <f>IF(COUNTIFS(T_StockCount[RM_Code],$A20,T_StockCount[WeekIndex],5)&gt;0,SUMIFS(T_StockCount[CountedQty],T_StockCount[RM_Code],$A20,T_StockCount[WeekIndex],5),IF((COUNTIFS(T_SelfStock[RM_Code],$A20,T_SelfStock[WeekIndex],5)&gt;0)*(COUNTIFS(T_TTAFStock[RM_Code],$A20,T_TTAFStock[WeekIndex],5)&gt;0)&gt;0,SUMIFS(T_SelfStock[Self_Qty],T_SelfStock[RM_Code],$A20,T_SelfStock[WeekIndex],5)+SUMIFS(T_TTAFStock[TTAF_Qty],T_TTAFStock[RM_Code],$A20,T_TTAFStock[WeekIndex],5),E20+'Grid_Incoming'!F20-'Grid_Requirement'!F20))</f>
        <v/>
      </c>
      <c r="G20">
        <f>IF(COUNTIFS(T_StockCount[RM_Code],$A20,T_StockCount[WeekIndex],6)&gt;0,SUMIFS(T_StockCount[CountedQty],T_StockCount[RM_Code],$A20,T_StockCount[WeekIndex],6),IF((COUNTIFS(T_SelfStock[RM_Code],$A20,T_SelfStock[WeekIndex],6)&gt;0)*(COUNTIFS(T_TTAFStock[RM_Code],$A20,T_TTAFStock[WeekIndex],6)&gt;0)&gt;0,SUMIFS(T_SelfStock[Self_Qty],T_SelfStock[RM_Code],$A20,T_SelfStock[WeekIndex],6)+SUMIFS(T_TTAFStock[TTAF_Qty],T_TTAFStock[RM_Code],$A20,T_TTAFStock[WeekIndex],6),F20+'Grid_Incoming'!G20-'Grid_Requirement'!G20))</f>
        <v/>
      </c>
      <c r="H20">
        <f>IF(COUNTIFS(T_StockCount[RM_Code],$A20,T_StockCount[WeekIndex],7)&gt;0,SUMIFS(T_StockCount[CountedQty],T_StockCount[RM_Code],$A20,T_StockCount[WeekIndex],7),IF((COUNTIFS(T_SelfStock[RM_Code],$A20,T_SelfStock[WeekIndex],7)&gt;0)*(COUNTIFS(T_TTAFStock[RM_Code],$A20,T_TTAFStock[WeekIndex],7)&gt;0)&gt;0,SUMIFS(T_SelfStock[Self_Qty],T_SelfStock[RM_Code],$A20,T_SelfStock[WeekIndex],7)+SUMIFS(T_TTAFStock[TTAF_Qty],T_TTAFStock[RM_Code],$A20,T_TTAFStock[WeekIndex],7),G20+'Grid_Incoming'!H20-'Grid_Requirement'!H20))</f>
        <v/>
      </c>
      <c r="I20">
        <f>IF(COUNTIFS(T_StockCount[RM_Code],$A20,T_StockCount[WeekIndex],8)&gt;0,SUMIFS(T_StockCount[CountedQty],T_StockCount[RM_Code],$A20,T_StockCount[WeekIndex],8),IF((COUNTIFS(T_SelfStock[RM_Code],$A20,T_SelfStock[WeekIndex],8)&gt;0)*(COUNTIFS(T_TTAFStock[RM_Code],$A20,T_TTAFStock[WeekIndex],8)&gt;0)&gt;0,SUMIFS(T_SelfStock[Self_Qty],T_SelfStock[RM_Code],$A20,T_SelfStock[WeekIndex],8)+SUMIFS(T_TTAFStock[TTAF_Qty],T_TTAFStock[RM_Code],$A20,T_TTAFStock[WeekIndex],8),H20+'Grid_Incoming'!I20-'Grid_Requirement'!I20))</f>
        <v/>
      </c>
      <c r="J20">
        <f>IF(COUNTIFS(T_StockCount[RM_Code],$A20,T_StockCount[WeekIndex],9)&gt;0,SUMIFS(T_StockCount[CountedQty],T_StockCount[RM_Code],$A20,T_StockCount[WeekIndex],9),IF((COUNTIFS(T_SelfStock[RM_Code],$A20,T_SelfStock[WeekIndex],9)&gt;0)*(COUNTIFS(T_TTAFStock[RM_Code],$A20,T_TTAFStock[WeekIndex],9)&gt;0)&gt;0,SUMIFS(T_SelfStock[Self_Qty],T_SelfStock[RM_Code],$A20,T_SelfStock[WeekIndex],9)+SUMIFS(T_TTAFStock[TTAF_Qty],T_TTAFStock[RM_Code],$A20,T_TTAFStock[WeekIndex],9),I20+'Grid_Incoming'!J20-'Grid_Requirement'!J20))</f>
        <v/>
      </c>
      <c r="K20">
        <f>IF(COUNTIFS(T_StockCount[RM_Code],$A20,T_StockCount[WeekIndex],10)&gt;0,SUMIFS(T_StockCount[CountedQty],T_StockCount[RM_Code],$A20,T_StockCount[WeekIndex],10),IF((COUNTIFS(T_SelfStock[RM_Code],$A20,T_SelfStock[WeekIndex],10)&gt;0)*(COUNTIFS(T_TTAFStock[RM_Code],$A20,T_TTAFStock[WeekIndex],10)&gt;0)&gt;0,SUMIFS(T_SelfStock[Self_Qty],T_SelfStock[RM_Code],$A20,T_SelfStock[WeekIndex],10)+SUMIFS(T_TTAFStock[TTAF_Qty],T_TTAFStock[RM_Code],$A20,T_TTAFStock[WeekIndex],10),J20+'Grid_Incoming'!K20-'Grid_Requirement'!K20))</f>
        <v/>
      </c>
      <c r="L20">
        <f>IF(COUNTIFS(T_StockCount[RM_Code],$A20,T_StockCount[WeekIndex],11)&gt;0,SUMIFS(T_StockCount[CountedQty],T_StockCount[RM_Code],$A20,T_StockCount[WeekIndex],11),IF((COUNTIFS(T_SelfStock[RM_Code],$A20,T_SelfStock[WeekIndex],11)&gt;0)*(COUNTIFS(T_TTAFStock[RM_Code],$A20,T_TTAFStock[WeekIndex],11)&gt;0)&gt;0,SUMIFS(T_SelfStock[Self_Qty],T_SelfStock[RM_Code],$A20,T_SelfStock[WeekIndex],11)+SUMIFS(T_TTAFStock[TTAF_Qty],T_TTAFStock[RM_Code],$A20,T_TTAFStock[WeekIndex],11),K20+'Grid_Incoming'!L20-'Grid_Requirement'!L20))</f>
        <v/>
      </c>
      <c r="M20">
        <f>IF(COUNTIFS(T_StockCount[RM_Code],$A20,T_StockCount[WeekIndex],12)&gt;0,SUMIFS(T_StockCount[CountedQty],T_StockCount[RM_Code],$A20,T_StockCount[WeekIndex],12),IF((COUNTIFS(T_SelfStock[RM_Code],$A20,T_SelfStock[WeekIndex],12)&gt;0)*(COUNTIFS(T_TTAFStock[RM_Code],$A20,T_TTAFStock[WeekIndex],12)&gt;0)&gt;0,SUMIFS(T_SelfStock[Self_Qty],T_SelfStock[RM_Code],$A20,T_SelfStock[WeekIndex],12)+SUMIFS(T_TTAFStock[TTAF_Qty],T_TTAFStock[RM_Code],$A20,T_TTAFStock[WeekIndex],12),L20+'Grid_Incoming'!M20-'Grid_Requirement'!M20))</f>
        <v/>
      </c>
      <c r="N20">
        <f>IF(COUNTIFS(T_StockCount[RM_Code],$A20,T_StockCount[WeekIndex],13)&gt;0,SUMIFS(T_StockCount[CountedQty],T_StockCount[RM_Code],$A20,T_StockCount[WeekIndex],13),IF((COUNTIFS(T_SelfStock[RM_Code],$A20,T_SelfStock[WeekIndex],13)&gt;0)*(COUNTIFS(T_TTAFStock[RM_Code],$A20,T_TTAFStock[WeekIndex],13)&gt;0)&gt;0,SUMIFS(T_SelfStock[Self_Qty],T_SelfStock[RM_Code],$A20,T_SelfStock[WeekIndex],13)+SUMIFS(T_TTAFStock[TTAF_Qty],T_TTAFStock[RM_Code],$A20,T_TTAFStock[WeekIndex],13),M20+'Grid_Incoming'!N20-'Grid_Requirement'!N20))</f>
        <v/>
      </c>
      <c r="O20">
        <f>IF(COUNTIFS(T_StockCount[RM_Code],$A20,T_StockCount[WeekIndex],14)&gt;0,SUMIFS(T_StockCount[CountedQty],T_StockCount[RM_Code],$A20,T_StockCount[WeekIndex],14),IF((COUNTIFS(T_SelfStock[RM_Code],$A20,T_SelfStock[WeekIndex],14)&gt;0)*(COUNTIFS(T_TTAFStock[RM_Code],$A20,T_TTAFStock[WeekIndex],14)&gt;0)&gt;0,SUMIFS(T_SelfStock[Self_Qty],T_SelfStock[RM_Code],$A20,T_SelfStock[WeekIndex],14)+SUMIFS(T_TTAFStock[TTAF_Qty],T_TTAFStock[RM_Code],$A20,T_TTAFStock[WeekIndex],14),N20+'Grid_Incoming'!O20-'Grid_Requirement'!O20))</f>
        <v/>
      </c>
      <c r="P20">
        <f>IF(COUNTIFS(T_StockCount[RM_Code],$A20,T_StockCount[WeekIndex],15)&gt;0,SUMIFS(T_StockCount[CountedQty],T_StockCount[RM_Code],$A20,T_StockCount[WeekIndex],15),IF((COUNTIFS(T_SelfStock[RM_Code],$A20,T_SelfStock[WeekIndex],15)&gt;0)*(COUNTIFS(T_TTAFStock[RM_Code],$A20,T_TTAFStock[WeekIndex],15)&gt;0)&gt;0,SUMIFS(T_SelfStock[Self_Qty],T_SelfStock[RM_Code],$A20,T_SelfStock[WeekIndex],15)+SUMIFS(T_TTAFStock[TTAF_Qty],T_TTAFStock[RM_Code],$A20,T_TTAFStock[WeekIndex],15),O20+'Grid_Incoming'!P20-'Grid_Requirement'!P20))</f>
        <v/>
      </c>
      <c r="Q20">
        <f>IF(COUNTIFS(T_StockCount[RM_Code],$A20,T_StockCount[WeekIndex],16)&gt;0,SUMIFS(T_StockCount[CountedQty],T_StockCount[RM_Code],$A20,T_StockCount[WeekIndex],16),IF((COUNTIFS(T_SelfStock[RM_Code],$A20,T_SelfStock[WeekIndex],16)&gt;0)*(COUNTIFS(T_TTAFStock[RM_Code],$A20,T_TTAFStock[WeekIndex],16)&gt;0)&gt;0,SUMIFS(T_SelfStock[Self_Qty],T_SelfStock[RM_Code],$A20,T_SelfStock[WeekIndex],16)+SUMIFS(T_TTAFStock[TTAF_Qty],T_TTAFStock[RM_Code],$A20,T_TTAFStock[WeekIndex],16),P20+'Grid_Incoming'!Q20-'Grid_Requirement'!Q20))</f>
        <v/>
      </c>
      <c r="R20">
        <f>IF(COUNTIFS(T_StockCount[RM_Code],$A20,T_StockCount[WeekIndex],17)&gt;0,SUMIFS(T_StockCount[CountedQty],T_StockCount[RM_Code],$A20,T_StockCount[WeekIndex],17),IF((COUNTIFS(T_SelfStock[RM_Code],$A20,T_SelfStock[WeekIndex],17)&gt;0)*(COUNTIFS(T_TTAFStock[RM_Code],$A20,T_TTAFStock[WeekIndex],17)&gt;0)&gt;0,SUMIFS(T_SelfStock[Self_Qty],T_SelfStock[RM_Code],$A20,T_SelfStock[WeekIndex],17)+SUMIFS(T_TTAFStock[TTAF_Qty],T_TTAFStock[RM_Code],$A20,T_TTAFStock[WeekIndex],17),Q20+'Grid_Incoming'!R20-'Grid_Requirement'!R20))</f>
        <v/>
      </c>
      <c r="S20">
        <f>IF(COUNTIFS(T_StockCount[RM_Code],$A20,T_StockCount[WeekIndex],18)&gt;0,SUMIFS(T_StockCount[CountedQty],T_StockCount[RM_Code],$A20,T_StockCount[WeekIndex],18),IF((COUNTIFS(T_SelfStock[RM_Code],$A20,T_SelfStock[WeekIndex],18)&gt;0)*(COUNTIFS(T_TTAFStock[RM_Code],$A20,T_TTAFStock[WeekIndex],18)&gt;0)&gt;0,SUMIFS(T_SelfStock[Self_Qty],T_SelfStock[RM_Code],$A20,T_SelfStock[WeekIndex],18)+SUMIFS(T_TTAFStock[TTAF_Qty],T_TTAFStock[RM_Code],$A20,T_TTAFStock[WeekIndex],18),R20+'Grid_Incoming'!S20-'Grid_Requirement'!S20))</f>
        <v/>
      </c>
      <c r="T20">
        <f>IF(COUNTIFS(T_StockCount[RM_Code],$A20,T_StockCount[WeekIndex],19)&gt;0,SUMIFS(T_StockCount[CountedQty],T_StockCount[RM_Code],$A20,T_StockCount[WeekIndex],19),IF((COUNTIFS(T_SelfStock[RM_Code],$A20,T_SelfStock[WeekIndex],19)&gt;0)*(COUNTIFS(T_TTAFStock[RM_Code],$A20,T_TTAFStock[WeekIndex],19)&gt;0)&gt;0,SUMIFS(T_SelfStock[Self_Qty],T_SelfStock[RM_Code],$A20,T_SelfStock[WeekIndex],19)+SUMIFS(T_TTAFStock[TTAF_Qty],T_TTAFStock[RM_Code],$A20,T_TTAFStock[WeekIndex],19),S20+'Grid_Incoming'!T20-'Grid_Requirement'!T20))</f>
        <v/>
      </c>
      <c r="U20">
        <f>IF(COUNTIFS(T_StockCount[RM_Code],$A20,T_StockCount[WeekIndex],20)&gt;0,SUMIFS(T_StockCount[CountedQty],T_StockCount[RM_Code],$A20,T_StockCount[WeekIndex],20),IF((COUNTIFS(T_SelfStock[RM_Code],$A20,T_SelfStock[WeekIndex],20)&gt;0)*(COUNTIFS(T_TTAFStock[RM_Code],$A20,T_TTAFStock[WeekIndex],20)&gt;0)&gt;0,SUMIFS(T_SelfStock[Self_Qty],T_SelfStock[RM_Code],$A20,T_SelfStock[WeekIndex],20)+SUMIFS(T_TTAFStock[TTAF_Qty],T_TTAFStock[RM_Code],$A20,T_TTAFStock[WeekIndex],20),T20+'Grid_Incoming'!U20-'Grid_Requirement'!U20))</f>
        <v/>
      </c>
      <c r="V20">
        <f>IF(COUNTIFS(T_StockCount[RM_Code],$A20,T_StockCount[WeekIndex],21)&gt;0,SUMIFS(T_StockCount[CountedQty],T_StockCount[RM_Code],$A20,T_StockCount[WeekIndex],21),IF((COUNTIFS(T_SelfStock[RM_Code],$A20,T_SelfStock[WeekIndex],21)&gt;0)*(COUNTIFS(T_TTAFStock[RM_Code],$A20,T_TTAFStock[WeekIndex],21)&gt;0)&gt;0,SUMIFS(T_SelfStock[Self_Qty],T_SelfStock[RM_Code],$A20,T_SelfStock[WeekIndex],21)+SUMIFS(T_TTAFStock[TTAF_Qty],T_TTAFStock[RM_Code],$A20,T_TTAFStock[WeekIndex],21),U20+'Grid_Incoming'!V20-'Grid_Requirement'!V20))</f>
        <v/>
      </c>
      <c r="W20">
        <f>IF(COUNTIFS(T_StockCount[RM_Code],$A20,T_StockCount[WeekIndex],22)&gt;0,SUMIFS(T_StockCount[CountedQty],T_StockCount[RM_Code],$A20,T_StockCount[WeekIndex],22),IF((COUNTIFS(T_SelfStock[RM_Code],$A20,T_SelfStock[WeekIndex],22)&gt;0)*(COUNTIFS(T_TTAFStock[RM_Code],$A20,T_TTAFStock[WeekIndex],22)&gt;0)&gt;0,SUMIFS(T_SelfStock[Self_Qty],T_SelfStock[RM_Code],$A20,T_SelfStock[WeekIndex],22)+SUMIFS(T_TTAFStock[TTAF_Qty],T_TTAFStock[RM_Code],$A20,T_TTAFStock[WeekIndex],22),V20+'Grid_Incoming'!W20-'Grid_Requirement'!W20))</f>
        <v/>
      </c>
      <c r="X20">
        <f>IF(COUNTIFS(T_StockCount[RM_Code],$A20,T_StockCount[WeekIndex],23)&gt;0,SUMIFS(T_StockCount[CountedQty],T_StockCount[RM_Code],$A20,T_StockCount[WeekIndex],23),IF((COUNTIFS(T_SelfStock[RM_Code],$A20,T_SelfStock[WeekIndex],23)&gt;0)*(COUNTIFS(T_TTAFStock[RM_Code],$A20,T_TTAFStock[WeekIndex],23)&gt;0)&gt;0,SUMIFS(T_SelfStock[Self_Qty],T_SelfStock[RM_Code],$A20,T_SelfStock[WeekIndex],23)+SUMIFS(T_TTAFStock[TTAF_Qty],T_TTAFStock[RM_Code],$A20,T_TTAFStock[WeekIndex],23),W20+'Grid_Incoming'!X20-'Grid_Requirement'!X20))</f>
        <v/>
      </c>
      <c r="Y20">
        <f>IF(COUNTIFS(T_StockCount[RM_Code],$A20,T_StockCount[WeekIndex],24)&gt;0,SUMIFS(T_StockCount[CountedQty],T_StockCount[RM_Code],$A20,T_StockCount[WeekIndex],24),IF((COUNTIFS(T_SelfStock[RM_Code],$A20,T_SelfStock[WeekIndex],24)&gt;0)*(COUNTIFS(T_TTAFStock[RM_Code],$A20,T_TTAFStock[WeekIndex],24)&gt;0)&gt;0,SUMIFS(T_SelfStock[Self_Qty],T_SelfStock[RM_Code],$A20,T_SelfStock[WeekIndex],24)+SUMIFS(T_TTAFStock[TTAF_Qty],T_TTAFStock[RM_Code],$A20,T_TTAFStock[WeekIndex],24),X20+'Grid_Incoming'!Y20-'Grid_Requirement'!Y20))</f>
        <v/>
      </c>
      <c r="Z20">
        <f>IF(COUNTIFS(T_StockCount[RM_Code],$A20,T_StockCount[WeekIndex],25)&gt;0,SUMIFS(T_StockCount[CountedQty],T_StockCount[RM_Code],$A20,T_StockCount[WeekIndex],25),IF((COUNTIFS(T_SelfStock[RM_Code],$A20,T_SelfStock[WeekIndex],25)&gt;0)*(COUNTIFS(T_TTAFStock[RM_Code],$A20,T_TTAFStock[WeekIndex],25)&gt;0)&gt;0,SUMIFS(T_SelfStock[Self_Qty],T_SelfStock[RM_Code],$A20,T_SelfStock[WeekIndex],25)+SUMIFS(T_TTAFStock[TTAF_Qty],T_TTAFStock[RM_Code],$A20,T_TTAFStock[WeekIndex],25),Y20+'Grid_Incoming'!Z20-'Grid_Requirement'!Z20))</f>
        <v/>
      </c>
      <c r="AA20">
        <f>IF(COUNTIFS(T_StockCount[RM_Code],$A20,T_StockCount[WeekIndex],26)&gt;0,SUMIFS(T_StockCount[CountedQty],T_StockCount[RM_Code],$A20,T_StockCount[WeekIndex],26),IF((COUNTIFS(T_SelfStock[RM_Code],$A20,T_SelfStock[WeekIndex],26)&gt;0)*(COUNTIFS(T_TTAFStock[RM_Code],$A20,T_TTAFStock[WeekIndex],26)&gt;0)&gt;0,SUMIFS(T_SelfStock[Self_Qty],T_SelfStock[RM_Code],$A20,T_SelfStock[WeekIndex],26)+SUMIFS(T_TTAFStock[TTAF_Qty],T_TTAFStock[RM_Code],$A20,T_TTAFStock[WeekIndex],26),Z20+'Grid_Incoming'!AA20-'Grid_Requirement'!AA20))</f>
        <v/>
      </c>
      <c r="AB20">
        <f>IF(COUNTIFS(T_StockCount[RM_Code],$A20,T_StockCount[WeekIndex],27)&gt;0,SUMIFS(T_StockCount[CountedQty],T_StockCount[RM_Code],$A20,T_StockCount[WeekIndex],27),IF((COUNTIFS(T_SelfStock[RM_Code],$A20,T_SelfStock[WeekIndex],27)&gt;0)*(COUNTIFS(T_TTAFStock[RM_Code],$A20,T_TTAFStock[WeekIndex],27)&gt;0)&gt;0,SUMIFS(T_SelfStock[Self_Qty],T_SelfStock[RM_Code],$A20,T_SelfStock[WeekIndex],27)+SUMIFS(T_TTAFStock[TTAF_Qty],T_TTAFStock[RM_Code],$A20,T_TTAFStock[WeekIndex],27),AA20+'Grid_Incoming'!AB20-'Grid_Requirement'!AB20))</f>
        <v/>
      </c>
      <c r="AC20">
        <f>IF(COUNTIFS(T_StockCount[RM_Code],$A20,T_StockCount[WeekIndex],28)&gt;0,SUMIFS(T_StockCount[CountedQty],T_StockCount[RM_Code],$A20,T_StockCount[WeekIndex],28),IF((COUNTIFS(T_SelfStock[RM_Code],$A20,T_SelfStock[WeekIndex],28)&gt;0)*(COUNTIFS(T_TTAFStock[RM_Code],$A20,T_TTAFStock[WeekIndex],28)&gt;0)&gt;0,SUMIFS(T_SelfStock[Self_Qty],T_SelfStock[RM_Code],$A20,T_SelfStock[WeekIndex],28)+SUMIFS(T_TTAFStock[TTAF_Qty],T_TTAFStock[RM_Code],$A20,T_TTAFStock[WeekIndex],28),AB20+'Grid_Incoming'!AC20-'Grid_Requirement'!AC20))</f>
        <v/>
      </c>
      <c r="AD20">
        <f>IF(COUNTIFS(T_StockCount[RM_Code],$A20,T_StockCount[WeekIndex],29)&gt;0,SUMIFS(T_StockCount[CountedQty],T_StockCount[RM_Code],$A20,T_StockCount[WeekIndex],29),IF((COUNTIFS(T_SelfStock[RM_Code],$A20,T_SelfStock[WeekIndex],29)&gt;0)*(COUNTIFS(T_TTAFStock[RM_Code],$A20,T_TTAFStock[WeekIndex],29)&gt;0)&gt;0,SUMIFS(T_SelfStock[Self_Qty],T_SelfStock[RM_Code],$A20,T_SelfStock[WeekIndex],29)+SUMIFS(T_TTAFStock[TTAF_Qty],T_TTAFStock[RM_Code],$A20,T_TTAFStock[WeekIndex],29),AC20+'Grid_Incoming'!AD20-'Grid_Requirement'!AD20))</f>
        <v/>
      </c>
      <c r="AE20">
        <f>IF(COUNTIFS(T_StockCount[RM_Code],$A20,T_StockCount[WeekIndex],30)&gt;0,SUMIFS(T_StockCount[CountedQty],T_StockCount[RM_Code],$A20,T_StockCount[WeekIndex],30),IF((COUNTIFS(T_SelfStock[RM_Code],$A20,T_SelfStock[WeekIndex],30)&gt;0)*(COUNTIFS(T_TTAFStock[RM_Code],$A20,T_TTAFStock[WeekIndex],30)&gt;0)&gt;0,SUMIFS(T_SelfStock[Self_Qty],T_SelfStock[RM_Code],$A20,T_SelfStock[WeekIndex],30)+SUMIFS(T_TTAFStock[TTAF_Qty],T_TTAFStock[RM_Code],$A20,T_TTAFStock[WeekIndex],30),AD20+'Grid_Incoming'!AE20-'Grid_Requirement'!AE20))</f>
        <v/>
      </c>
      <c r="AF20">
        <f>IF(COUNTIFS(T_StockCount[RM_Code],$A20,T_StockCount[WeekIndex],31)&gt;0,SUMIFS(T_StockCount[CountedQty],T_StockCount[RM_Code],$A20,T_StockCount[WeekIndex],31),IF((COUNTIFS(T_SelfStock[RM_Code],$A20,T_SelfStock[WeekIndex],31)&gt;0)*(COUNTIFS(T_TTAFStock[RM_Code],$A20,T_TTAFStock[WeekIndex],31)&gt;0)&gt;0,SUMIFS(T_SelfStock[Self_Qty],T_SelfStock[RM_Code],$A20,T_SelfStock[WeekIndex],31)+SUMIFS(T_TTAFStock[TTAF_Qty],T_TTAFStock[RM_Code],$A20,T_TTAFStock[WeekIndex],31),AE20+'Grid_Incoming'!AF20-'Grid_Requirement'!AF20))</f>
        <v/>
      </c>
      <c r="AG20">
        <f>IF(COUNTIFS(T_StockCount[RM_Code],$A20,T_StockCount[WeekIndex],32)&gt;0,SUMIFS(T_StockCount[CountedQty],T_StockCount[RM_Code],$A20,T_StockCount[WeekIndex],32),IF((COUNTIFS(T_SelfStock[RM_Code],$A20,T_SelfStock[WeekIndex],32)&gt;0)*(COUNTIFS(T_TTAFStock[RM_Code],$A20,T_TTAFStock[WeekIndex],32)&gt;0)&gt;0,SUMIFS(T_SelfStock[Self_Qty],T_SelfStock[RM_Code],$A20,T_SelfStock[WeekIndex],32)+SUMIFS(T_TTAFStock[TTAF_Qty],T_TTAFStock[RM_Code],$A20,T_TTAFStock[WeekIndex],32),AF20+'Grid_Incoming'!AG20-'Grid_Requirement'!AG20))</f>
        <v/>
      </c>
      <c r="AH20">
        <f>IF(COUNTIFS(T_StockCount[RM_Code],$A20,T_StockCount[WeekIndex],33)&gt;0,SUMIFS(T_StockCount[CountedQty],T_StockCount[RM_Code],$A20,T_StockCount[WeekIndex],33),IF((COUNTIFS(T_SelfStock[RM_Code],$A20,T_SelfStock[WeekIndex],33)&gt;0)*(COUNTIFS(T_TTAFStock[RM_Code],$A20,T_TTAFStock[WeekIndex],33)&gt;0)&gt;0,SUMIFS(T_SelfStock[Self_Qty],T_SelfStock[RM_Code],$A20,T_SelfStock[WeekIndex],33)+SUMIFS(T_TTAFStock[TTAF_Qty],T_TTAFStock[RM_Code],$A20,T_TTAFStock[WeekIndex],33),AG20+'Grid_Incoming'!AH20-'Grid_Requirement'!AH20))</f>
        <v/>
      </c>
      <c r="AI20">
        <f>IF(COUNTIFS(T_StockCount[RM_Code],$A20,T_StockCount[WeekIndex],34)&gt;0,SUMIFS(T_StockCount[CountedQty],T_StockCount[RM_Code],$A20,T_StockCount[WeekIndex],34),IF((COUNTIFS(T_SelfStock[RM_Code],$A20,T_SelfStock[WeekIndex],34)&gt;0)*(COUNTIFS(T_TTAFStock[RM_Code],$A20,T_TTAFStock[WeekIndex],34)&gt;0)&gt;0,SUMIFS(T_SelfStock[Self_Qty],T_SelfStock[RM_Code],$A20,T_SelfStock[WeekIndex],34)+SUMIFS(T_TTAFStock[TTAF_Qty],T_TTAFStock[RM_Code],$A20,T_TTAFStock[WeekIndex],34),AH20+'Grid_Incoming'!AI20-'Grid_Requirement'!AI20))</f>
        <v/>
      </c>
      <c r="AJ20">
        <f>IF(COUNTIFS(T_StockCount[RM_Code],$A20,T_StockCount[WeekIndex],35)&gt;0,SUMIFS(T_StockCount[CountedQty],T_StockCount[RM_Code],$A20,T_StockCount[WeekIndex],35),IF((COUNTIFS(T_SelfStock[RM_Code],$A20,T_SelfStock[WeekIndex],35)&gt;0)*(COUNTIFS(T_TTAFStock[RM_Code],$A20,T_TTAFStock[WeekIndex],35)&gt;0)&gt;0,SUMIFS(T_SelfStock[Self_Qty],T_SelfStock[RM_Code],$A20,T_SelfStock[WeekIndex],35)+SUMIFS(T_TTAFStock[TTAF_Qty],T_TTAFStock[RM_Code],$A20,T_TTAFStock[WeekIndex],35),AI20+'Grid_Incoming'!AJ20-'Grid_Requirement'!AJ20))</f>
        <v/>
      </c>
      <c r="AK20">
        <f>IF(COUNTIFS(T_StockCount[RM_Code],$A20,T_StockCount[WeekIndex],36)&gt;0,SUMIFS(T_StockCount[CountedQty],T_StockCount[RM_Code],$A20,T_StockCount[WeekIndex],36),IF((COUNTIFS(T_SelfStock[RM_Code],$A20,T_SelfStock[WeekIndex],36)&gt;0)*(COUNTIFS(T_TTAFStock[RM_Code],$A20,T_TTAFStock[WeekIndex],36)&gt;0)&gt;0,SUMIFS(T_SelfStock[Self_Qty],T_SelfStock[RM_Code],$A20,T_SelfStock[WeekIndex],36)+SUMIFS(T_TTAFStock[TTAF_Qty],T_TTAFStock[RM_Code],$A20,T_TTAFStock[WeekIndex],36),AJ20+'Grid_Incoming'!AK20-'Grid_Requirement'!AK20))</f>
        <v/>
      </c>
      <c r="AL20">
        <f>IF(COUNTIFS(T_StockCount[RM_Code],$A20,T_StockCount[WeekIndex],37)&gt;0,SUMIFS(T_StockCount[CountedQty],T_StockCount[RM_Code],$A20,T_StockCount[WeekIndex],37),IF((COUNTIFS(T_SelfStock[RM_Code],$A20,T_SelfStock[WeekIndex],37)&gt;0)*(COUNTIFS(T_TTAFStock[RM_Code],$A20,T_TTAFStock[WeekIndex],37)&gt;0)&gt;0,SUMIFS(T_SelfStock[Self_Qty],T_SelfStock[RM_Code],$A20,T_SelfStock[WeekIndex],37)+SUMIFS(T_TTAFStock[TTAF_Qty],T_TTAFStock[RM_Code],$A20,T_TTAFStock[WeekIndex],37),AK20+'Grid_Incoming'!AL20-'Grid_Requirement'!AL20))</f>
        <v/>
      </c>
      <c r="AM20">
        <f>IF(COUNTIFS(T_StockCount[RM_Code],$A20,T_StockCount[WeekIndex],38)&gt;0,SUMIFS(T_StockCount[CountedQty],T_StockCount[RM_Code],$A20,T_StockCount[WeekIndex],38),IF((COUNTIFS(T_SelfStock[RM_Code],$A20,T_SelfStock[WeekIndex],38)&gt;0)*(COUNTIFS(T_TTAFStock[RM_Code],$A20,T_TTAFStock[WeekIndex],38)&gt;0)&gt;0,SUMIFS(T_SelfStock[Self_Qty],T_SelfStock[RM_Code],$A20,T_SelfStock[WeekIndex],38)+SUMIFS(T_TTAFStock[TTAF_Qty],T_TTAFStock[RM_Code],$A20,T_TTAFStock[WeekIndex],38),AL20+'Grid_Incoming'!AM20-'Grid_Requirement'!AM20))</f>
        <v/>
      </c>
      <c r="AN20">
        <f>IF(COUNTIFS(T_StockCount[RM_Code],$A20,T_StockCount[WeekIndex],39)&gt;0,SUMIFS(T_StockCount[CountedQty],T_StockCount[RM_Code],$A20,T_StockCount[WeekIndex],39),IF((COUNTIFS(T_SelfStock[RM_Code],$A20,T_SelfStock[WeekIndex],39)&gt;0)*(COUNTIFS(T_TTAFStock[RM_Code],$A20,T_TTAFStock[WeekIndex],39)&gt;0)&gt;0,SUMIFS(T_SelfStock[Self_Qty],T_SelfStock[RM_Code],$A20,T_SelfStock[WeekIndex],39)+SUMIFS(T_TTAFStock[TTAF_Qty],T_TTAFStock[RM_Code],$A20,T_TTAFStock[WeekIndex],39),AM20+'Grid_Incoming'!AN20-'Grid_Requirement'!AN20))</f>
        <v/>
      </c>
      <c r="AO20">
        <f>IF(COUNTIFS(T_StockCount[RM_Code],$A20,T_StockCount[WeekIndex],40)&gt;0,SUMIFS(T_StockCount[CountedQty],T_StockCount[RM_Code],$A20,T_StockCount[WeekIndex],40),IF((COUNTIFS(T_SelfStock[RM_Code],$A20,T_SelfStock[WeekIndex],40)&gt;0)*(COUNTIFS(T_TTAFStock[RM_Code],$A20,T_TTAFStock[WeekIndex],40)&gt;0)&gt;0,SUMIFS(T_SelfStock[Self_Qty],T_SelfStock[RM_Code],$A20,T_SelfStock[WeekIndex],40)+SUMIFS(T_TTAFStock[TTAF_Qty],T_TTAFStock[RM_Code],$A20,T_TTAFStock[WeekIndex],40),AN20+'Grid_Incoming'!AO20-'Grid_Requirement'!AO20))</f>
        <v/>
      </c>
      <c r="AP20">
        <f>IF(COUNTIFS(T_StockCount[RM_Code],$A20,T_StockCount[WeekIndex],41)&gt;0,SUMIFS(T_StockCount[CountedQty],T_StockCount[RM_Code],$A20,T_StockCount[WeekIndex],41),IF((COUNTIFS(T_SelfStock[RM_Code],$A20,T_SelfStock[WeekIndex],41)&gt;0)*(COUNTIFS(T_TTAFStock[RM_Code],$A20,T_TTAFStock[WeekIndex],41)&gt;0)&gt;0,SUMIFS(T_SelfStock[Self_Qty],T_SelfStock[RM_Code],$A20,T_SelfStock[WeekIndex],41)+SUMIFS(T_TTAFStock[TTAF_Qty],T_TTAFStock[RM_Code],$A20,T_TTAFStock[WeekIndex],41),AO20+'Grid_Incoming'!AP20-'Grid_Requirement'!AP20))</f>
        <v/>
      </c>
      <c r="AQ20">
        <f>IF(COUNTIFS(T_StockCount[RM_Code],$A20,T_StockCount[WeekIndex],42)&gt;0,SUMIFS(T_StockCount[CountedQty],T_StockCount[RM_Code],$A20,T_StockCount[WeekIndex],42),IF((COUNTIFS(T_SelfStock[RM_Code],$A20,T_SelfStock[WeekIndex],42)&gt;0)*(COUNTIFS(T_TTAFStock[RM_Code],$A20,T_TTAFStock[WeekIndex],42)&gt;0)&gt;0,SUMIFS(T_SelfStock[Self_Qty],T_SelfStock[RM_Code],$A20,T_SelfStock[WeekIndex],42)+SUMIFS(T_TTAFStock[TTAF_Qty],T_TTAFStock[RM_Code],$A20,T_TTAFStock[WeekIndex],42),AP20+'Grid_Incoming'!AQ20-'Grid_Requirement'!AQ20))</f>
        <v/>
      </c>
      <c r="AR20">
        <f>IF(COUNTIFS(T_StockCount[RM_Code],$A20,T_StockCount[WeekIndex],43)&gt;0,SUMIFS(T_StockCount[CountedQty],T_StockCount[RM_Code],$A20,T_StockCount[WeekIndex],43),IF((COUNTIFS(T_SelfStock[RM_Code],$A20,T_SelfStock[WeekIndex],43)&gt;0)*(COUNTIFS(T_TTAFStock[RM_Code],$A20,T_TTAFStock[WeekIndex],43)&gt;0)&gt;0,SUMIFS(T_SelfStock[Self_Qty],T_SelfStock[RM_Code],$A20,T_SelfStock[WeekIndex],43)+SUMIFS(T_TTAFStock[TTAF_Qty],T_TTAFStock[RM_Code],$A20,T_TTAFStock[WeekIndex],43),AQ20+'Grid_Incoming'!AR20-'Grid_Requirement'!AR20))</f>
        <v/>
      </c>
      <c r="AS20">
        <f>IF(COUNTIFS(T_StockCount[RM_Code],$A20,T_StockCount[WeekIndex],44)&gt;0,SUMIFS(T_StockCount[CountedQty],T_StockCount[RM_Code],$A20,T_StockCount[WeekIndex],44),IF((COUNTIFS(T_SelfStock[RM_Code],$A20,T_SelfStock[WeekIndex],44)&gt;0)*(COUNTIFS(T_TTAFStock[RM_Code],$A20,T_TTAFStock[WeekIndex],44)&gt;0)&gt;0,SUMIFS(T_SelfStock[Self_Qty],T_SelfStock[RM_Code],$A20,T_SelfStock[WeekIndex],44)+SUMIFS(T_TTAFStock[TTAF_Qty],T_TTAFStock[RM_Code],$A20,T_TTAFStock[WeekIndex],44),AR20+'Grid_Incoming'!AS20-'Grid_Requirement'!AS20))</f>
        <v/>
      </c>
      <c r="AT20">
        <f>IF(COUNTIFS(T_StockCount[RM_Code],$A20,T_StockCount[WeekIndex],45)&gt;0,SUMIFS(T_StockCount[CountedQty],T_StockCount[RM_Code],$A20,T_StockCount[WeekIndex],45),IF((COUNTIFS(T_SelfStock[RM_Code],$A20,T_SelfStock[WeekIndex],45)&gt;0)*(COUNTIFS(T_TTAFStock[RM_Code],$A20,T_TTAFStock[WeekIndex],45)&gt;0)&gt;0,SUMIFS(T_SelfStock[Self_Qty],T_SelfStock[RM_Code],$A20,T_SelfStock[WeekIndex],45)+SUMIFS(T_TTAFStock[TTAF_Qty],T_TTAFStock[RM_Code],$A20,T_TTAFStock[WeekIndex],45),AS20+'Grid_Incoming'!AT20-'Grid_Requirement'!AT20))</f>
        <v/>
      </c>
      <c r="AU20">
        <f>IF(COUNTIFS(T_StockCount[RM_Code],$A20,T_StockCount[WeekIndex],46)&gt;0,SUMIFS(T_StockCount[CountedQty],T_StockCount[RM_Code],$A20,T_StockCount[WeekIndex],46),IF((COUNTIFS(T_SelfStock[RM_Code],$A20,T_SelfStock[WeekIndex],46)&gt;0)*(COUNTIFS(T_TTAFStock[RM_Code],$A20,T_TTAFStock[WeekIndex],46)&gt;0)&gt;0,SUMIFS(T_SelfStock[Self_Qty],T_SelfStock[RM_Code],$A20,T_SelfStock[WeekIndex],46)+SUMIFS(T_TTAFStock[TTAF_Qty],T_TTAFStock[RM_Code],$A20,T_TTAFStock[WeekIndex],46),AT20+'Grid_Incoming'!AU20-'Grid_Requirement'!AU20))</f>
        <v/>
      </c>
      <c r="AV20">
        <f>IF(COUNTIFS(T_StockCount[RM_Code],$A20,T_StockCount[WeekIndex],47)&gt;0,SUMIFS(T_StockCount[CountedQty],T_StockCount[RM_Code],$A20,T_StockCount[WeekIndex],47),IF((COUNTIFS(T_SelfStock[RM_Code],$A20,T_SelfStock[WeekIndex],47)&gt;0)*(COUNTIFS(T_TTAFStock[RM_Code],$A20,T_TTAFStock[WeekIndex],47)&gt;0)&gt;0,SUMIFS(T_SelfStock[Self_Qty],T_SelfStock[RM_Code],$A20,T_SelfStock[WeekIndex],47)+SUMIFS(T_TTAFStock[TTAF_Qty],T_TTAFStock[RM_Code],$A20,T_TTAFStock[WeekIndex],47),AU20+'Grid_Incoming'!AV20-'Grid_Requirement'!AV20))</f>
        <v/>
      </c>
      <c r="AW20">
        <f>IF(COUNTIFS(T_StockCount[RM_Code],$A20,T_StockCount[WeekIndex],48)&gt;0,SUMIFS(T_StockCount[CountedQty],T_StockCount[RM_Code],$A20,T_StockCount[WeekIndex],48),IF((COUNTIFS(T_SelfStock[RM_Code],$A20,T_SelfStock[WeekIndex],48)&gt;0)*(COUNTIFS(T_TTAFStock[RM_Code],$A20,T_TTAFStock[WeekIndex],48)&gt;0)&gt;0,SUMIFS(T_SelfStock[Self_Qty],T_SelfStock[RM_Code],$A20,T_SelfStock[WeekIndex],48)+SUMIFS(T_TTAFStock[TTAF_Qty],T_TTAFStock[RM_Code],$A20,T_TTAFStock[WeekIndex],48),AV20+'Grid_Incoming'!AW20-'Grid_Requirement'!AW20))</f>
        <v/>
      </c>
      <c r="AX20">
        <f>IF(COUNTIFS(T_StockCount[RM_Code],$A20,T_StockCount[WeekIndex],49)&gt;0,SUMIFS(T_StockCount[CountedQty],T_StockCount[RM_Code],$A20,T_StockCount[WeekIndex],49),IF((COUNTIFS(T_SelfStock[RM_Code],$A20,T_SelfStock[WeekIndex],49)&gt;0)*(COUNTIFS(T_TTAFStock[RM_Code],$A20,T_TTAFStock[WeekIndex],49)&gt;0)&gt;0,SUMIFS(T_SelfStock[Self_Qty],T_SelfStock[RM_Code],$A20,T_SelfStock[WeekIndex],49)+SUMIFS(T_TTAFStock[TTAF_Qty],T_TTAFStock[RM_Code],$A20,T_TTAFStock[WeekIndex],49),AW20+'Grid_Incoming'!AX20-'Grid_Requirement'!AX20))</f>
        <v/>
      </c>
      <c r="AY20">
        <f>IF(COUNTIFS(T_StockCount[RM_Code],$A20,T_StockCount[WeekIndex],50)&gt;0,SUMIFS(T_StockCount[CountedQty],T_StockCount[RM_Code],$A20,T_StockCount[WeekIndex],50),IF((COUNTIFS(T_SelfStock[RM_Code],$A20,T_SelfStock[WeekIndex],50)&gt;0)*(COUNTIFS(T_TTAFStock[RM_Code],$A20,T_TTAFStock[WeekIndex],50)&gt;0)&gt;0,SUMIFS(T_SelfStock[Self_Qty],T_SelfStock[RM_Code],$A20,T_SelfStock[WeekIndex],50)+SUMIFS(T_TTAFStock[TTAF_Qty],T_TTAFStock[RM_Code],$A20,T_TTAFStock[WeekIndex],50),AX20+'Grid_Incoming'!AY20-'Grid_Requirement'!AY20))</f>
        <v/>
      </c>
      <c r="AZ20">
        <f>IF(COUNTIFS(T_StockCount[RM_Code],$A20,T_StockCount[WeekIndex],51)&gt;0,SUMIFS(T_StockCount[CountedQty],T_StockCount[RM_Code],$A20,T_StockCount[WeekIndex],51),IF((COUNTIFS(T_SelfStock[RM_Code],$A20,T_SelfStock[WeekIndex],51)&gt;0)*(COUNTIFS(T_TTAFStock[RM_Code],$A20,T_TTAFStock[WeekIndex],51)&gt;0)&gt;0,SUMIFS(T_SelfStock[Self_Qty],T_SelfStock[RM_Code],$A20,T_SelfStock[WeekIndex],51)+SUMIFS(T_TTAFStock[TTAF_Qty],T_TTAFStock[RM_Code],$A20,T_TTAFStock[WeekIndex],51),AY20+'Grid_Incoming'!AZ20-'Grid_Requirement'!AZ20))</f>
        <v/>
      </c>
      <c r="BA20">
        <f>IF(COUNTIFS(T_StockCount[RM_Code],$A20,T_StockCount[WeekIndex],52)&gt;0,SUMIFS(T_StockCount[CountedQty],T_StockCount[RM_Code],$A20,T_StockCount[WeekIndex],52),IF((COUNTIFS(T_SelfStock[RM_Code],$A20,T_SelfStock[WeekIndex],52)&gt;0)*(COUNTIFS(T_TTAFStock[RM_Code],$A20,T_TTAFStock[WeekIndex],52)&gt;0)&gt;0,SUMIFS(T_SelfStock[Self_Qty],T_SelfStock[RM_Code],$A20,T_SelfStock[WeekIndex],52)+SUMIFS(T_TTAFStock[TTAF_Qty],T_TTAFStock[RM_Code],$A20,T_TTAFStock[WeekIndex],52),AZ20+'Grid_Incoming'!BA20-'Grid_Requirement'!BA20))</f>
        <v/>
      </c>
      <c r="BB20">
        <f>IF(COUNTIFS(T_StockCount[RM_Code],$A20,T_StockCount[WeekIndex],53)&gt;0,SUMIFS(T_StockCount[CountedQty],T_StockCount[RM_Code],$A20,T_StockCount[WeekIndex],53),IF((COUNTIFS(T_SelfStock[RM_Code],$A20,T_SelfStock[WeekIndex],53)&gt;0)*(COUNTIFS(T_TTAFStock[RM_Code],$A20,T_TTAFStock[WeekIndex],53)&gt;0)&gt;0,SUMIFS(T_SelfStock[Self_Qty],T_SelfStock[RM_Code],$A20,T_SelfStock[WeekIndex],53)+SUMIFS(T_TTAFStock[TTAF_Qty],T_TTAFStock[RM_Code],$A20,T_TTAFStock[WeekIndex],53),BA20+'Grid_Incoming'!BB20-'Grid_Requirement'!BB20))</f>
        <v/>
      </c>
      <c r="BC20">
        <f>IF(COUNTIFS(T_StockCount[RM_Code],$A20,T_StockCount[WeekIndex],54)&gt;0,SUMIFS(T_StockCount[CountedQty],T_StockCount[RM_Code],$A20,T_StockCount[WeekIndex],54),IF((COUNTIFS(T_SelfStock[RM_Code],$A20,T_SelfStock[WeekIndex],54)&gt;0)*(COUNTIFS(T_TTAFStock[RM_Code],$A20,T_TTAFStock[WeekIndex],54)&gt;0)&gt;0,SUMIFS(T_SelfStock[Self_Qty],T_SelfStock[RM_Code],$A20,T_SelfStock[WeekIndex],54)+SUMIFS(T_TTAFStock[TTAF_Qty],T_TTAFStock[RM_Code],$A20,T_TTAFStock[WeekIndex],54),BB20+'Grid_Incoming'!BC20-'Grid_Requirement'!BC20))</f>
        <v/>
      </c>
      <c r="BD20">
        <f>IF(COUNTIFS(T_StockCount[RM_Code],$A20,T_StockCount[WeekIndex],55)&gt;0,SUMIFS(T_StockCount[CountedQty],T_StockCount[RM_Code],$A20,T_StockCount[WeekIndex],55),IF((COUNTIFS(T_SelfStock[RM_Code],$A20,T_SelfStock[WeekIndex],55)&gt;0)*(COUNTIFS(T_TTAFStock[RM_Code],$A20,T_TTAFStock[WeekIndex],55)&gt;0)&gt;0,SUMIFS(T_SelfStock[Self_Qty],T_SelfStock[RM_Code],$A20,T_SelfStock[WeekIndex],55)+SUMIFS(T_TTAFStock[TTAF_Qty],T_TTAFStock[RM_Code],$A20,T_TTAFStock[WeekIndex],55),BC20+'Grid_Incoming'!BD20-'Grid_Requirement'!BD20))</f>
        <v/>
      </c>
      <c r="BE20">
        <f>IF(COUNTIFS(T_StockCount[RM_Code],$A20,T_StockCount[WeekIndex],56)&gt;0,SUMIFS(T_StockCount[CountedQty],T_StockCount[RM_Code],$A20,T_StockCount[WeekIndex],56),IF((COUNTIFS(T_SelfStock[RM_Code],$A20,T_SelfStock[WeekIndex],56)&gt;0)*(COUNTIFS(T_TTAFStock[RM_Code],$A20,T_TTAFStock[WeekIndex],56)&gt;0)&gt;0,SUMIFS(T_SelfStock[Self_Qty],T_SelfStock[RM_Code],$A20,T_SelfStock[WeekIndex],56)+SUMIFS(T_TTAFStock[TTAF_Qty],T_TTAFStock[RM_Code],$A20,T_TTAFStock[WeekIndex],56),BD20+'Grid_Incoming'!BE20-'Grid_Requirement'!BE20))</f>
        <v/>
      </c>
      <c r="BF20">
        <f>IF(COUNTIFS(T_StockCount[RM_Code],$A20,T_StockCount[WeekIndex],57)&gt;0,SUMIFS(T_StockCount[CountedQty],T_StockCount[RM_Code],$A20,T_StockCount[WeekIndex],57),IF((COUNTIFS(T_SelfStock[RM_Code],$A20,T_SelfStock[WeekIndex],57)&gt;0)*(COUNTIFS(T_TTAFStock[RM_Code],$A20,T_TTAFStock[WeekIndex],57)&gt;0)&gt;0,SUMIFS(T_SelfStock[Self_Qty],T_SelfStock[RM_Code],$A20,T_SelfStock[WeekIndex],57)+SUMIFS(T_TTAFStock[TTAF_Qty],T_TTAFStock[RM_Code],$A20,T_TTAFStock[WeekIndex],57),BE20+'Grid_Incoming'!BF20-'Grid_Requirement'!BF20))</f>
        <v/>
      </c>
      <c r="BG20">
        <f>IF(COUNTIFS(T_StockCount[RM_Code],$A20,T_StockCount[WeekIndex],58)&gt;0,SUMIFS(T_StockCount[CountedQty],T_StockCount[RM_Code],$A20,T_StockCount[WeekIndex],58),IF((COUNTIFS(T_SelfStock[RM_Code],$A20,T_SelfStock[WeekIndex],58)&gt;0)*(COUNTIFS(T_TTAFStock[RM_Code],$A20,T_TTAFStock[WeekIndex],58)&gt;0)&gt;0,SUMIFS(T_SelfStock[Self_Qty],T_SelfStock[RM_Code],$A20,T_SelfStock[WeekIndex],58)+SUMIFS(T_TTAFStock[TTAF_Qty],T_TTAFStock[RM_Code],$A20,T_TTAFStock[WeekIndex],58),BF20+'Grid_Incoming'!BG20-'Grid_Requirement'!BG20))</f>
        <v/>
      </c>
      <c r="BH20">
        <f>IF(COUNTIFS(T_StockCount[RM_Code],$A20,T_StockCount[WeekIndex],59)&gt;0,SUMIFS(T_StockCount[CountedQty],T_StockCount[RM_Code],$A20,T_StockCount[WeekIndex],59),IF((COUNTIFS(T_SelfStock[RM_Code],$A20,T_SelfStock[WeekIndex],59)&gt;0)*(COUNTIFS(T_TTAFStock[RM_Code],$A20,T_TTAFStock[WeekIndex],59)&gt;0)&gt;0,SUMIFS(T_SelfStock[Self_Qty],T_SelfStock[RM_Code],$A20,T_SelfStock[WeekIndex],59)+SUMIFS(T_TTAFStock[TTAF_Qty],T_TTAFStock[RM_Code],$A20,T_TTAFStock[WeekIndex],59),BG20+'Grid_Incoming'!BH20-'Grid_Requirement'!BH20))</f>
        <v/>
      </c>
      <c r="BI20">
        <f>IF(COUNTIFS(T_StockCount[RM_Code],$A20,T_StockCount[WeekIndex],60)&gt;0,SUMIFS(T_StockCount[CountedQty],T_StockCount[RM_Code],$A20,T_StockCount[WeekIndex],60),IF((COUNTIFS(T_SelfStock[RM_Code],$A20,T_SelfStock[WeekIndex],60)&gt;0)*(COUNTIFS(T_TTAFStock[RM_Code],$A20,T_TTAFStock[WeekIndex],60)&gt;0)&gt;0,SUMIFS(T_SelfStock[Self_Qty],T_SelfStock[RM_Code],$A20,T_SelfStock[WeekIndex],60)+SUMIFS(T_TTAFStock[TTAF_Qty],T_TTAFStock[RM_Code],$A20,T_TTAFStock[WeekIndex],60),BH20+'Grid_Incoming'!BI20-'Grid_Requirement'!BI20))</f>
        <v/>
      </c>
      <c r="BJ20">
        <f>IF(COUNTIFS(T_StockCount[RM_Code],$A20,T_StockCount[WeekIndex],61)&gt;0,SUMIFS(T_StockCount[CountedQty],T_StockCount[RM_Code],$A20,T_StockCount[WeekIndex],61),IF((COUNTIFS(T_SelfStock[RM_Code],$A20,T_SelfStock[WeekIndex],61)&gt;0)*(COUNTIFS(T_TTAFStock[RM_Code],$A20,T_TTAFStock[WeekIndex],61)&gt;0)&gt;0,SUMIFS(T_SelfStock[Self_Qty],T_SelfStock[RM_Code],$A20,T_SelfStock[WeekIndex],61)+SUMIFS(T_TTAFStock[TTAF_Qty],T_TTAFStock[RM_Code],$A20,T_TTAFStock[WeekIndex],61),BI20+'Grid_Incoming'!BJ20-'Grid_Requirement'!BJ20))</f>
        <v/>
      </c>
      <c r="BK20">
        <f>IF(COUNTIFS(T_StockCount[RM_Code],$A20,T_StockCount[WeekIndex],62)&gt;0,SUMIFS(T_StockCount[CountedQty],T_StockCount[RM_Code],$A20,T_StockCount[WeekIndex],62),IF((COUNTIFS(T_SelfStock[RM_Code],$A20,T_SelfStock[WeekIndex],62)&gt;0)*(COUNTIFS(T_TTAFStock[RM_Code],$A20,T_TTAFStock[WeekIndex],62)&gt;0)&gt;0,SUMIFS(T_SelfStock[Self_Qty],T_SelfStock[RM_Code],$A20,T_SelfStock[WeekIndex],62)+SUMIFS(T_TTAFStock[TTAF_Qty],T_TTAFStock[RM_Code],$A20,T_TTAFStock[WeekIndex],62),BJ20+'Grid_Incoming'!BK20-'Grid_Requirement'!BK20))</f>
        <v/>
      </c>
      <c r="BL20">
        <f>IF(COUNTIFS(T_StockCount[RM_Code],$A20,T_StockCount[WeekIndex],63)&gt;0,SUMIFS(T_StockCount[CountedQty],T_StockCount[RM_Code],$A20,T_StockCount[WeekIndex],63),IF((COUNTIFS(T_SelfStock[RM_Code],$A20,T_SelfStock[WeekIndex],63)&gt;0)*(COUNTIFS(T_TTAFStock[RM_Code],$A20,T_TTAFStock[WeekIndex],63)&gt;0)&gt;0,SUMIFS(T_SelfStock[Self_Qty],T_SelfStock[RM_Code],$A20,T_SelfStock[WeekIndex],63)+SUMIFS(T_TTAFStock[TTAF_Qty],T_TTAFStock[RM_Code],$A20,T_TTAFStock[WeekIndex],63),BK20+'Grid_Incoming'!BL20-'Grid_Requirement'!BL20))</f>
        <v/>
      </c>
      <c r="BM20">
        <f>IF(COUNTIFS(T_StockCount[RM_Code],$A20,T_StockCount[WeekIndex],64)&gt;0,SUMIFS(T_StockCount[CountedQty],T_StockCount[RM_Code],$A20,T_StockCount[WeekIndex],64),IF((COUNTIFS(T_SelfStock[RM_Code],$A20,T_SelfStock[WeekIndex],64)&gt;0)*(COUNTIFS(T_TTAFStock[RM_Code],$A20,T_TTAFStock[WeekIndex],64)&gt;0)&gt;0,SUMIFS(T_SelfStock[Self_Qty],T_SelfStock[RM_Code],$A20,T_SelfStock[WeekIndex],64)+SUMIFS(T_TTAFStock[TTAF_Qty],T_TTAFStock[RM_Code],$A20,T_TTAFStock[WeekIndex],64),BL20+'Grid_Incoming'!BM20-'Grid_Requirement'!BM20))</f>
        <v/>
      </c>
      <c r="BN20">
        <f>IF(COUNTIFS(T_StockCount[RM_Code],$A20,T_StockCount[WeekIndex],65)&gt;0,SUMIFS(T_StockCount[CountedQty],T_StockCount[RM_Code],$A20,T_StockCount[WeekIndex],65),IF((COUNTIFS(T_SelfStock[RM_Code],$A20,T_SelfStock[WeekIndex],65)&gt;0)*(COUNTIFS(T_TTAFStock[RM_Code],$A20,T_TTAFStock[WeekIndex],65)&gt;0)&gt;0,SUMIFS(T_SelfStock[Self_Qty],T_SelfStock[RM_Code],$A20,T_SelfStock[WeekIndex],65)+SUMIFS(T_TTAFStock[TTAF_Qty],T_TTAFStock[RM_Code],$A20,T_TTAFStock[WeekIndex],65),BM20+'Grid_Incoming'!BN20-'Grid_Requirement'!BN20))</f>
        <v/>
      </c>
      <c r="BO20">
        <f>IF(COUNTIFS(T_StockCount[RM_Code],$A20,T_StockCount[WeekIndex],66)&gt;0,SUMIFS(T_StockCount[CountedQty],T_StockCount[RM_Code],$A20,T_StockCount[WeekIndex],66),IF((COUNTIFS(T_SelfStock[RM_Code],$A20,T_SelfStock[WeekIndex],66)&gt;0)*(COUNTIFS(T_TTAFStock[RM_Code],$A20,T_TTAFStock[WeekIndex],66)&gt;0)&gt;0,SUMIFS(T_SelfStock[Self_Qty],T_SelfStock[RM_Code],$A20,T_SelfStock[WeekIndex],66)+SUMIFS(T_TTAFStock[TTAF_Qty],T_TTAFStock[RM_Code],$A20,T_TTAFStock[WeekIndex],66),BN20+'Grid_Incoming'!BO20-'Grid_Requirement'!BO20))</f>
        <v/>
      </c>
      <c r="BP20">
        <f>IF(COUNTIFS(T_StockCount[RM_Code],$A20,T_StockCount[WeekIndex],67)&gt;0,SUMIFS(T_StockCount[CountedQty],T_StockCount[RM_Code],$A20,T_StockCount[WeekIndex],67),IF((COUNTIFS(T_SelfStock[RM_Code],$A20,T_SelfStock[WeekIndex],67)&gt;0)*(COUNTIFS(T_TTAFStock[RM_Code],$A20,T_TTAFStock[WeekIndex],67)&gt;0)&gt;0,SUMIFS(T_SelfStock[Self_Qty],T_SelfStock[RM_Code],$A20,T_SelfStock[WeekIndex],67)+SUMIFS(T_TTAFStock[TTAF_Qty],T_TTAFStock[RM_Code],$A20,T_TTAFStock[WeekIndex],67),BO20+'Grid_Incoming'!BP20-'Grid_Requirement'!BP20))</f>
        <v/>
      </c>
      <c r="BQ20">
        <f>IF(COUNTIFS(T_StockCount[RM_Code],$A20,T_StockCount[WeekIndex],68)&gt;0,SUMIFS(T_StockCount[CountedQty],T_StockCount[RM_Code],$A20,T_StockCount[WeekIndex],68),IF((COUNTIFS(T_SelfStock[RM_Code],$A20,T_SelfStock[WeekIndex],68)&gt;0)*(COUNTIFS(T_TTAFStock[RM_Code],$A20,T_TTAFStock[WeekIndex],68)&gt;0)&gt;0,SUMIFS(T_SelfStock[Self_Qty],T_SelfStock[RM_Code],$A20,T_SelfStock[WeekIndex],68)+SUMIFS(T_TTAFStock[TTAF_Qty],T_TTAFStock[RM_Code],$A20,T_TTAFStock[WeekIndex],68),BP20+'Grid_Incoming'!BQ20-'Grid_Requirement'!BQ20))</f>
        <v/>
      </c>
      <c r="BR20">
        <f>IF(COUNTIFS(T_StockCount[RM_Code],$A20,T_StockCount[WeekIndex],69)&gt;0,SUMIFS(T_StockCount[CountedQty],T_StockCount[RM_Code],$A20,T_StockCount[WeekIndex],69),IF((COUNTIFS(T_SelfStock[RM_Code],$A20,T_SelfStock[WeekIndex],69)&gt;0)*(COUNTIFS(T_TTAFStock[RM_Code],$A20,T_TTAFStock[WeekIndex],69)&gt;0)&gt;0,SUMIFS(T_SelfStock[Self_Qty],T_SelfStock[RM_Code],$A20,T_SelfStock[WeekIndex],69)+SUMIFS(T_TTAFStock[TTAF_Qty],T_TTAFStock[RM_Code],$A20,T_TTAFStock[WeekIndex],69),BQ20+'Grid_Incoming'!BR20-'Grid_Requirement'!BR20))</f>
        <v/>
      </c>
      <c r="BS20">
        <f>IF(COUNTIFS(T_StockCount[RM_Code],$A20,T_StockCount[WeekIndex],70)&gt;0,SUMIFS(T_StockCount[CountedQty],T_StockCount[RM_Code],$A20,T_StockCount[WeekIndex],70),IF((COUNTIFS(T_SelfStock[RM_Code],$A20,T_SelfStock[WeekIndex],70)&gt;0)*(COUNTIFS(T_TTAFStock[RM_Code],$A20,T_TTAFStock[WeekIndex],70)&gt;0)&gt;0,SUMIFS(T_SelfStock[Self_Qty],T_SelfStock[RM_Code],$A20,T_SelfStock[WeekIndex],70)+SUMIFS(T_TTAFStock[TTAF_Qty],T_TTAFStock[RM_Code],$A20,T_TTAFStock[WeekIndex],70),BR20+'Grid_Incoming'!BS20-'Grid_Requirement'!BS20))</f>
        <v/>
      </c>
      <c r="BT20">
        <f>IF(COUNTIFS(T_StockCount[RM_Code],$A20,T_StockCount[WeekIndex],71)&gt;0,SUMIFS(T_StockCount[CountedQty],T_StockCount[RM_Code],$A20,T_StockCount[WeekIndex],71),IF((COUNTIFS(T_SelfStock[RM_Code],$A20,T_SelfStock[WeekIndex],71)&gt;0)*(COUNTIFS(T_TTAFStock[RM_Code],$A20,T_TTAFStock[WeekIndex],71)&gt;0)&gt;0,SUMIFS(T_SelfStock[Self_Qty],T_SelfStock[RM_Code],$A20,T_SelfStock[WeekIndex],71)+SUMIFS(T_TTAFStock[TTAF_Qty],T_TTAFStock[RM_Code],$A20,T_TTAFStock[WeekIndex],71),BS20+'Grid_Incoming'!BT20-'Grid_Requirement'!BT20))</f>
        <v/>
      </c>
      <c r="BU20">
        <f>IF(COUNTIFS(T_StockCount[RM_Code],$A20,T_StockCount[WeekIndex],72)&gt;0,SUMIFS(T_StockCount[CountedQty],T_StockCount[RM_Code],$A20,T_StockCount[WeekIndex],72),IF((COUNTIFS(T_SelfStock[RM_Code],$A20,T_SelfStock[WeekIndex],72)&gt;0)*(COUNTIFS(T_TTAFStock[RM_Code],$A20,T_TTAFStock[WeekIndex],72)&gt;0)&gt;0,SUMIFS(T_SelfStock[Self_Qty],T_SelfStock[RM_Code],$A20,T_SelfStock[WeekIndex],72)+SUMIFS(T_TTAFStock[TTAF_Qty],T_TTAFStock[RM_Code],$A20,T_TTAFStock[WeekIndex],72),BT20+'Grid_Incoming'!BU20-'Grid_Requirement'!BU20))</f>
        <v/>
      </c>
      <c r="BV20">
        <f>IF(COUNTIFS(T_StockCount[RM_Code],$A20,T_StockCount[WeekIndex],73)&gt;0,SUMIFS(T_StockCount[CountedQty],T_StockCount[RM_Code],$A20,T_StockCount[WeekIndex],73),IF((COUNTIFS(T_SelfStock[RM_Code],$A20,T_SelfStock[WeekIndex],73)&gt;0)*(COUNTIFS(T_TTAFStock[RM_Code],$A20,T_TTAFStock[WeekIndex],73)&gt;0)&gt;0,SUMIFS(T_SelfStock[Self_Qty],T_SelfStock[RM_Code],$A20,T_SelfStock[WeekIndex],73)+SUMIFS(T_TTAFStock[TTAF_Qty],T_TTAFStock[RM_Code],$A20,T_TTAFStock[WeekIndex],73),BU20+'Grid_Incoming'!BV20-'Grid_Requirement'!BV20))</f>
        <v/>
      </c>
      <c r="BW20">
        <f>IF(COUNTIFS(T_StockCount[RM_Code],$A20,T_StockCount[WeekIndex],74)&gt;0,SUMIFS(T_StockCount[CountedQty],T_StockCount[RM_Code],$A20,T_StockCount[WeekIndex],74),IF((COUNTIFS(T_SelfStock[RM_Code],$A20,T_SelfStock[WeekIndex],74)&gt;0)*(COUNTIFS(T_TTAFStock[RM_Code],$A20,T_TTAFStock[WeekIndex],74)&gt;0)&gt;0,SUMIFS(T_SelfStock[Self_Qty],T_SelfStock[RM_Code],$A20,T_SelfStock[WeekIndex],74)+SUMIFS(T_TTAFStock[TTAF_Qty],T_TTAFStock[RM_Code],$A20,T_TTAFStock[WeekIndex],74),BV20+'Grid_Incoming'!BW20-'Grid_Requirement'!BW20))</f>
        <v/>
      </c>
      <c r="BX20">
        <f>IF(COUNTIFS(T_StockCount[RM_Code],$A20,T_StockCount[WeekIndex],75)&gt;0,SUMIFS(T_StockCount[CountedQty],T_StockCount[RM_Code],$A20,T_StockCount[WeekIndex],75),IF((COUNTIFS(T_SelfStock[RM_Code],$A20,T_SelfStock[WeekIndex],75)&gt;0)*(COUNTIFS(T_TTAFStock[RM_Code],$A20,T_TTAFStock[WeekIndex],75)&gt;0)&gt;0,SUMIFS(T_SelfStock[Self_Qty],T_SelfStock[RM_Code],$A20,T_SelfStock[WeekIndex],75)+SUMIFS(T_TTAFStock[TTAF_Qty],T_TTAFStock[RM_Code],$A20,T_TTAFStock[WeekIndex],75),BW20+'Grid_Incoming'!BX20-'Grid_Requirement'!BX20))</f>
        <v/>
      </c>
      <c r="BY20">
        <f>IF(COUNTIFS(T_StockCount[RM_Code],$A20,T_StockCount[WeekIndex],76)&gt;0,SUMIFS(T_StockCount[CountedQty],T_StockCount[RM_Code],$A20,T_StockCount[WeekIndex],76),IF((COUNTIFS(T_SelfStock[RM_Code],$A20,T_SelfStock[WeekIndex],76)&gt;0)*(COUNTIFS(T_TTAFStock[RM_Code],$A20,T_TTAFStock[WeekIndex],76)&gt;0)&gt;0,SUMIFS(T_SelfStock[Self_Qty],T_SelfStock[RM_Code],$A20,T_SelfStock[WeekIndex],76)+SUMIFS(T_TTAFStock[TTAF_Qty],T_TTAFStock[RM_Code],$A20,T_TTAFStock[WeekIndex],76),BX20+'Grid_Incoming'!BY20-'Grid_Requirement'!BY20))</f>
        <v/>
      </c>
      <c r="BZ20">
        <f>IF(COUNTIFS(T_StockCount[RM_Code],$A20,T_StockCount[WeekIndex],77)&gt;0,SUMIFS(T_StockCount[CountedQty],T_StockCount[RM_Code],$A20,T_StockCount[WeekIndex],77),IF((COUNTIFS(T_SelfStock[RM_Code],$A20,T_SelfStock[WeekIndex],77)&gt;0)*(COUNTIFS(T_TTAFStock[RM_Code],$A20,T_TTAFStock[WeekIndex],77)&gt;0)&gt;0,SUMIFS(T_SelfStock[Self_Qty],T_SelfStock[RM_Code],$A20,T_SelfStock[WeekIndex],77)+SUMIFS(T_TTAFStock[TTAF_Qty],T_TTAFStock[RM_Code],$A20,T_TTAFStock[WeekIndex],77),BY20+'Grid_Incoming'!BZ20-'Grid_Requirement'!BZ20))</f>
        <v/>
      </c>
      <c r="CA20">
        <f>IF(COUNTIFS(T_StockCount[RM_Code],$A20,T_StockCount[WeekIndex],78)&gt;0,SUMIFS(T_StockCount[CountedQty],T_StockCount[RM_Code],$A20,T_StockCount[WeekIndex],78),IF((COUNTIFS(T_SelfStock[RM_Code],$A20,T_SelfStock[WeekIndex],78)&gt;0)*(COUNTIFS(T_TTAFStock[RM_Code],$A20,T_TTAFStock[WeekIndex],78)&gt;0)&gt;0,SUMIFS(T_SelfStock[Self_Qty],T_SelfStock[RM_Code],$A20,T_SelfStock[WeekIndex],78)+SUMIFS(T_TTAFStock[TTAF_Qty],T_TTAFStock[RM_Code],$A20,T_TTAFStock[WeekIndex],78),BZ20+'Grid_Incoming'!CA20-'Grid_Requirement'!CA20))</f>
        <v/>
      </c>
      <c r="CB20">
        <f>IF(COUNTIFS(T_StockCount[RM_Code],$A20,T_StockCount[WeekIndex],79)&gt;0,SUMIFS(T_StockCount[CountedQty],T_StockCount[RM_Code],$A20,T_StockCount[WeekIndex],79),IF((COUNTIFS(T_SelfStock[RM_Code],$A20,T_SelfStock[WeekIndex],79)&gt;0)*(COUNTIFS(T_TTAFStock[RM_Code],$A20,T_TTAFStock[WeekIndex],79)&gt;0)&gt;0,SUMIFS(T_SelfStock[Self_Qty],T_SelfStock[RM_Code],$A20,T_SelfStock[WeekIndex],79)+SUMIFS(T_TTAFStock[TTAF_Qty],T_TTAFStock[RM_Code],$A20,T_TTAFStock[WeekIndex],79),CA20+'Grid_Incoming'!CB20-'Grid_Requirement'!CB20))</f>
        <v/>
      </c>
      <c r="CC20">
        <f>IF(COUNTIFS(T_StockCount[RM_Code],$A20,T_StockCount[WeekIndex],80)&gt;0,SUMIFS(T_StockCount[CountedQty],T_StockCount[RM_Code],$A20,T_StockCount[WeekIndex],80),IF((COUNTIFS(T_SelfStock[RM_Code],$A20,T_SelfStock[WeekIndex],80)&gt;0)*(COUNTIFS(T_TTAFStock[RM_Code],$A20,T_TTAFStock[WeekIndex],80)&gt;0)&gt;0,SUMIFS(T_SelfStock[Self_Qty],T_SelfStock[RM_Code],$A20,T_SelfStock[WeekIndex],80)+SUMIFS(T_TTAFStock[TTAF_Qty],T_TTAFStock[RM_Code],$A20,T_TTAFStock[WeekIndex],80),CB20+'Grid_Incoming'!CC20-'Grid_Requirement'!CC20))</f>
        <v/>
      </c>
      <c r="CD20">
        <f>IF(COUNTIFS(T_StockCount[RM_Code],$A20,T_StockCount[WeekIndex],81)&gt;0,SUMIFS(T_StockCount[CountedQty],T_StockCount[RM_Code],$A20,T_StockCount[WeekIndex],81),IF((COUNTIFS(T_SelfStock[RM_Code],$A20,T_SelfStock[WeekIndex],81)&gt;0)*(COUNTIFS(T_TTAFStock[RM_Code],$A20,T_TTAFStock[WeekIndex],81)&gt;0)&gt;0,SUMIFS(T_SelfStock[Self_Qty],T_SelfStock[RM_Code],$A20,T_SelfStock[WeekIndex],81)+SUMIFS(T_TTAFStock[TTAF_Qty],T_TTAFStock[RM_Code],$A20,T_TTAFStock[WeekIndex],81),CC20+'Grid_Incoming'!CD20-'Grid_Requirement'!CD20))</f>
        <v/>
      </c>
      <c r="CE20">
        <f>IF(COUNTIFS(T_StockCount[RM_Code],$A20,T_StockCount[WeekIndex],82)&gt;0,SUMIFS(T_StockCount[CountedQty],T_StockCount[RM_Code],$A20,T_StockCount[WeekIndex],82),IF((COUNTIFS(T_SelfStock[RM_Code],$A20,T_SelfStock[WeekIndex],82)&gt;0)*(COUNTIFS(T_TTAFStock[RM_Code],$A20,T_TTAFStock[WeekIndex],82)&gt;0)&gt;0,SUMIFS(T_SelfStock[Self_Qty],T_SelfStock[RM_Code],$A20,T_SelfStock[WeekIndex],82)+SUMIFS(T_TTAFStock[TTAF_Qty],T_TTAFStock[RM_Code],$A20,T_TTAFStock[WeekIndex],82),CD20+'Grid_Incoming'!CE20-'Grid_Requirement'!CE20))</f>
        <v/>
      </c>
      <c r="CF20">
        <f>IF(COUNTIFS(T_StockCount[RM_Code],$A20,T_StockCount[WeekIndex],83)&gt;0,SUMIFS(T_StockCount[CountedQty],T_StockCount[RM_Code],$A20,T_StockCount[WeekIndex],83),IF((COUNTIFS(T_SelfStock[RM_Code],$A20,T_SelfStock[WeekIndex],83)&gt;0)*(COUNTIFS(T_TTAFStock[RM_Code],$A20,T_TTAFStock[WeekIndex],83)&gt;0)&gt;0,SUMIFS(T_SelfStock[Self_Qty],T_SelfStock[RM_Code],$A20,T_SelfStock[WeekIndex],83)+SUMIFS(T_TTAFStock[TTAF_Qty],T_TTAFStock[RM_Code],$A20,T_TTAFStock[WeekIndex],83),CE20+'Grid_Incoming'!CF20-'Grid_Requirement'!CF20))</f>
        <v/>
      </c>
      <c r="CG20">
        <f>IF(COUNTIFS(T_StockCount[RM_Code],$A20,T_StockCount[WeekIndex],84)&gt;0,SUMIFS(T_StockCount[CountedQty],T_StockCount[RM_Code],$A20,T_StockCount[WeekIndex],84),IF((COUNTIFS(T_SelfStock[RM_Code],$A20,T_SelfStock[WeekIndex],84)&gt;0)*(COUNTIFS(T_TTAFStock[RM_Code],$A20,T_TTAFStock[WeekIndex],84)&gt;0)&gt;0,SUMIFS(T_SelfStock[Self_Qty],T_SelfStock[RM_Code],$A20,T_SelfStock[WeekIndex],84)+SUMIFS(T_TTAFStock[TTAF_Qty],T_TTAFStock[RM_Code],$A20,T_TTAFStock[WeekIndex],84),CF20+'Grid_Incoming'!CG20-'Grid_Requirement'!CG20))</f>
        <v/>
      </c>
      <c r="CH20">
        <f>IF(COUNTIFS(T_StockCount[RM_Code],$A20,T_StockCount[WeekIndex],85)&gt;0,SUMIFS(T_StockCount[CountedQty],T_StockCount[RM_Code],$A20,T_StockCount[WeekIndex],85),IF((COUNTIFS(T_SelfStock[RM_Code],$A20,T_SelfStock[WeekIndex],85)&gt;0)*(COUNTIFS(T_TTAFStock[RM_Code],$A20,T_TTAFStock[WeekIndex],85)&gt;0)&gt;0,SUMIFS(T_SelfStock[Self_Qty],T_SelfStock[RM_Code],$A20,T_SelfStock[WeekIndex],85)+SUMIFS(T_TTAFStock[TTAF_Qty],T_TTAFStock[RM_Code],$A20,T_TTAFStock[WeekIndex],85),CG20+'Grid_Incoming'!CH20-'Grid_Requirement'!CH20))</f>
        <v/>
      </c>
      <c r="CI20">
        <f>IF(COUNTIFS(T_StockCount[RM_Code],$A20,T_StockCount[WeekIndex],86)&gt;0,SUMIFS(T_StockCount[CountedQty],T_StockCount[RM_Code],$A20,T_StockCount[WeekIndex],86),IF((COUNTIFS(T_SelfStock[RM_Code],$A20,T_SelfStock[WeekIndex],86)&gt;0)*(COUNTIFS(T_TTAFStock[RM_Code],$A20,T_TTAFStock[WeekIndex],86)&gt;0)&gt;0,SUMIFS(T_SelfStock[Self_Qty],T_SelfStock[RM_Code],$A20,T_SelfStock[WeekIndex],86)+SUMIFS(T_TTAFStock[TTAF_Qty],T_TTAFStock[RM_Code],$A20,T_TTAFStock[WeekIndex],86),CH20+'Grid_Incoming'!CI20-'Grid_Requirement'!CI20))</f>
        <v/>
      </c>
      <c r="CJ20">
        <f>IF(COUNTIFS(T_StockCount[RM_Code],$A20,T_StockCount[WeekIndex],87)&gt;0,SUMIFS(T_StockCount[CountedQty],T_StockCount[RM_Code],$A20,T_StockCount[WeekIndex],87),IF((COUNTIFS(T_SelfStock[RM_Code],$A20,T_SelfStock[WeekIndex],87)&gt;0)*(COUNTIFS(T_TTAFStock[RM_Code],$A20,T_TTAFStock[WeekIndex],87)&gt;0)&gt;0,SUMIFS(T_SelfStock[Self_Qty],T_SelfStock[RM_Code],$A20,T_SelfStock[WeekIndex],87)+SUMIFS(T_TTAFStock[TTAF_Qty],T_TTAFStock[RM_Code],$A20,T_TTAFStock[WeekIndex],87),CI20+'Grid_Incoming'!CJ20-'Grid_Requirement'!CJ20))</f>
        <v/>
      </c>
      <c r="CK20">
        <f>IF(COUNTIFS(T_StockCount[RM_Code],$A20,T_StockCount[WeekIndex],88)&gt;0,SUMIFS(T_StockCount[CountedQty],T_StockCount[RM_Code],$A20,T_StockCount[WeekIndex],88),IF((COUNTIFS(T_SelfStock[RM_Code],$A20,T_SelfStock[WeekIndex],88)&gt;0)*(COUNTIFS(T_TTAFStock[RM_Code],$A20,T_TTAFStock[WeekIndex],88)&gt;0)&gt;0,SUMIFS(T_SelfStock[Self_Qty],T_SelfStock[RM_Code],$A20,T_SelfStock[WeekIndex],88)+SUMIFS(T_TTAFStock[TTAF_Qty],T_TTAFStock[RM_Code],$A20,T_TTAFStock[WeekIndex],88),CJ20+'Grid_Incoming'!CK20-'Grid_Requirement'!CK20))</f>
        <v/>
      </c>
      <c r="CL20">
        <f>IF(COUNTIFS(T_StockCount[RM_Code],$A20,T_StockCount[WeekIndex],89)&gt;0,SUMIFS(T_StockCount[CountedQty],T_StockCount[RM_Code],$A20,T_StockCount[WeekIndex],89),IF((COUNTIFS(T_SelfStock[RM_Code],$A20,T_SelfStock[WeekIndex],89)&gt;0)*(COUNTIFS(T_TTAFStock[RM_Code],$A20,T_TTAFStock[WeekIndex],89)&gt;0)&gt;0,SUMIFS(T_SelfStock[Self_Qty],T_SelfStock[RM_Code],$A20,T_SelfStock[WeekIndex],89)+SUMIFS(T_TTAFStock[TTAF_Qty],T_TTAFStock[RM_Code],$A20,T_TTAFStock[WeekIndex],89),CK20+'Grid_Incoming'!CL20-'Grid_Requirement'!CL20))</f>
        <v/>
      </c>
      <c r="CM20">
        <f>IF(COUNTIFS(T_StockCount[RM_Code],$A20,T_StockCount[WeekIndex],90)&gt;0,SUMIFS(T_StockCount[CountedQty],T_StockCount[RM_Code],$A20,T_StockCount[WeekIndex],90),IF((COUNTIFS(T_SelfStock[RM_Code],$A20,T_SelfStock[WeekIndex],90)&gt;0)*(COUNTIFS(T_TTAFStock[RM_Code],$A20,T_TTAFStock[WeekIndex],90)&gt;0)&gt;0,SUMIFS(T_SelfStock[Self_Qty],T_SelfStock[RM_Code],$A20,T_SelfStock[WeekIndex],90)+SUMIFS(T_TTAFStock[TTAF_Qty],T_TTAFStock[RM_Code],$A20,T_TTAFStock[WeekIndex],90),CL20+'Grid_Incoming'!CM20-'Grid_Requirement'!CM20))</f>
        <v/>
      </c>
      <c r="CN20">
        <f>IF(COUNTIFS(T_StockCount[RM_Code],$A20,T_StockCount[WeekIndex],91)&gt;0,SUMIFS(T_StockCount[CountedQty],T_StockCount[RM_Code],$A20,T_StockCount[WeekIndex],91),IF((COUNTIFS(T_SelfStock[RM_Code],$A20,T_SelfStock[WeekIndex],91)&gt;0)*(COUNTIFS(T_TTAFStock[RM_Code],$A20,T_TTAFStock[WeekIndex],91)&gt;0)&gt;0,SUMIFS(T_SelfStock[Self_Qty],T_SelfStock[RM_Code],$A20,T_SelfStock[WeekIndex],91)+SUMIFS(T_TTAFStock[TTAF_Qty],T_TTAFStock[RM_Code],$A20,T_TTAFStock[WeekIndex],91),CM20+'Grid_Incoming'!CN20-'Grid_Requirement'!CN20))</f>
        <v/>
      </c>
      <c r="CO20">
        <f>IF(COUNTIFS(T_StockCount[RM_Code],$A20,T_StockCount[WeekIndex],92)&gt;0,SUMIFS(T_StockCount[CountedQty],T_StockCount[RM_Code],$A20,T_StockCount[WeekIndex],92),IF((COUNTIFS(T_SelfStock[RM_Code],$A20,T_SelfStock[WeekIndex],92)&gt;0)*(COUNTIFS(T_TTAFStock[RM_Code],$A20,T_TTAFStock[WeekIndex],92)&gt;0)&gt;0,SUMIFS(T_SelfStock[Self_Qty],T_SelfStock[RM_Code],$A20,T_SelfStock[WeekIndex],92)+SUMIFS(T_TTAFStock[TTAF_Qty],T_TTAFStock[RM_Code],$A20,T_TTAFStock[WeekIndex],92),CN20+'Grid_Incoming'!CO20-'Grid_Requirement'!CO20))</f>
        <v/>
      </c>
      <c r="CP20">
        <f>IF(COUNTIFS(T_StockCount[RM_Code],$A20,T_StockCount[WeekIndex],93)&gt;0,SUMIFS(T_StockCount[CountedQty],T_StockCount[RM_Code],$A20,T_StockCount[WeekIndex],93),IF((COUNTIFS(T_SelfStock[RM_Code],$A20,T_SelfStock[WeekIndex],93)&gt;0)*(COUNTIFS(T_TTAFStock[RM_Code],$A20,T_TTAFStock[WeekIndex],93)&gt;0)&gt;0,SUMIFS(T_SelfStock[Self_Qty],T_SelfStock[RM_Code],$A20,T_SelfStock[WeekIndex],93)+SUMIFS(T_TTAFStock[TTAF_Qty],T_TTAFStock[RM_Code],$A20,T_TTAFStock[WeekIndex],93),CO20+'Grid_Incoming'!CP20-'Grid_Requirement'!CP20))</f>
        <v/>
      </c>
      <c r="CQ20">
        <f>IF(COUNTIFS(T_StockCount[RM_Code],$A20,T_StockCount[WeekIndex],94)&gt;0,SUMIFS(T_StockCount[CountedQty],T_StockCount[RM_Code],$A20,T_StockCount[WeekIndex],94),IF((COUNTIFS(T_SelfStock[RM_Code],$A20,T_SelfStock[WeekIndex],94)&gt;0)*(COUNTIFS(T_TTAFStock[RM_Code],$A20,T_TTAFStock[WeekIndex],94)&gt;0)&gt;0,SUMIFS(T_SelfStock[Self_Qty],T_SelfStock[RM_Code],$A20,T_SelfStock[WeekIndex],94)+SUMIFS(T_TTAFStock[TTAF_Qty],T_TTAFStock[RM_Code],$A20,T_TTAFStock[WeekIndex],94),CP20+'Grid_Incoming'!CQ20-'Grid_Requirement'!CQ20))</f>
        <v/>
      </c>
      <c r="CR20">
        <f>IF(COUNTIFS(T_StockCount[RM_Code],$A20,T_StockCount[WeekIndex],95)&gt;0,SUMIFS(T_StockCount[CountedQty],T_StockCount[RM_Code],$A20,T_StockCount[WeekIndex],95),IF((COUNTIFS(T_SelfStock[RM_Code],$A20,T_SelfStock[WeekIndex],95)&gt;0)*(COUNTIFS(T_TTAFStock[RM_Code],$A20,T_TTAFStock[WeekIndex],95)&gt;0)&gt;0,SUMIFS(T_SelfStock[Self_Qty],T_SelfStock[RM_Code],$A20,T_SelfStock[WeekIndex],95)+SUMIFS(T_TTAFStock[TTAF_Qty],T_TTAFStock[RM_Code],$A20,T_TTAFStock[WeekIndex],95),CQ20+'Grid_Incoming'!CR20-'Grid_Requirement'!CR20))</f>
        <v/>
      </c>
      <c r="CS20">
        <f>IF(COUNTIFS(T_StockCount[RM_Code],$A20,T_StockCount[WeekIndex],96)&gt;0,SUMIFS(T_StockCount[CountedQty],T_StockCount[RM_Code],$A20,T_StockCount[WeekIndex],96),IF((COUNTIFS(T_SelfStock[RM_Code],$A20,T_SelfStock[WeekIndex],96)&gt;0)*(COUNTIFS(T_TTAFStock[RM_Code],$A20,T_TTAFStock[WeekIndex],96)&gt;0)&gt;0,SUMIFS(T_SelfStock[Self_Qty],T_SelfStock[RM_Code],$A20,T_SelfStock[WeekIndex],96)+SUMIFS(T_TTAFStock[TTAF_Qty],T_TTAFStock[RM_Code],$A20,T_TTAFStock[WeekIndex],96),CR20+'Grid_Incoming'!CS20-'Grid_Requirement'!CS20))</f>
        <v/>
      </c>
      <c r="CT20">
        <f>IF(COUNTIFS(T_StockCount[RM_Code],$A20,T_StockCount[WeekIndex],97)&gt;0,SUMIFS(T_StockCount[CountedQty],T_StockCount[RM_Code],$A20,T_StockCount[WeekIndex],97),IF((COUNTIFS(T_SelfStock[RM_Code],$A20,T_SelfStock[WeekIndex],97)&gt;0)*(COUNTIFS(T_TTAFStock[RM_Code],$A20,T_TTAFStock[WeekIndex],97)&gt;0)&gt;0,SUMIFS(T_SelfStock[Self_Qty],T_SelfStock[RM_Code],$A20,T_SelfStock[WeekIndex],97)+SUMIFS(T_TTAFStock[TTAF_Qty],T_TTAFStock[RM_Code],$A20,T_TTAFStock[WeekIndex],97),CS20+'Grid_Incoming'!CT20-'Grid_Requirement'!CT20))</f>
        <v/>
      </c>
      <c r="CU20">
        <f>IF(COUNTIFS(T_StockCount[RM_Code],$A20,T_StockCount[WeekIndex],98)&gt;0,SUMIFS(T_StockCount[CountedQty],T_StockCount[RM_Code],$A20,T_StockCount[WeekIndex],98),IF((COUNTIFS(T_SelfStock[RM_Code],$A20,T_SelfStock[WeekIndex],98)&gt;0)*(COUNTIFS(T_TTAFStock[RM_Code],$A20,T_TTAFStock[WeekIndex],98)&gt;0)&gt;0,SUMIFS(T_SelfStock[Self_Qty],T_SelfStock[RM_Code],$A20,T_SelfStock[WeekIndex],98)+SUMIFS(T_TTAFStock[TTAF_Qty],T_TTAFStock[RM_Code],$A20,T_TTAFStock[WeekIndex],98),CT20+'Grid_Incoming'!CU20-'Grid_Requirement'!CU20))</f>
        <v/>
      </c>
      <c r="CV20">
        <f>IF(COUNTIFS(T_StockCount[RM_Code],$A20,T_StockCount[WeekIndex],99)&gt;0,SUMIFS(T_StockCount[CountedQty],T_StockCount[RM_Code],$A20,T_StockCount[WeekIndex],99),IF((COUNTIFS(T_SelfStock[RM_Code],$A20,T_SelfStock[WeekIndex],99)&gt;0)*(COUNTIFS(T_TTAFStock[RM_Code],$A20,T_TTAFStock[WeekIndex],99)&gt;0)&gt;0,SUMIFS(T_SelfStock[Self_Qty],T_SelfStock[RM_Code],$A20,T_SelfStock[WeekIndex],99)+SUMIFS(T_TTAFStock[TTAF_Qty],T_TTAFStock[RM_Code],$A20,T_TTAFStock[WeekIndex],99),CU20+'Grid_Incoming'!CV20-'Grid_Requirement'!CV20))</f>
        <v/>
      </c>
      <c r="CW20">
        <f>IF(COUNTIFS(T_StockCount[RM_Code],$A20,T_StockCount[WeekIndex],100)&gt;0,SUMIFS(T_StockCount[CountedQty],T_StockCount[RM_Code],$A20,T_StockCount[WeekIndex],100),IF((COUNTIFS(T_SelfStock[RM_Code],$A20,T_SelfStock[WeekIndex],100)&gt;0)*(COUNTIFS(T_TTAFStock[RM_Code],$A20,T_TTAFStock[WeekIndex],100)&gt;0)&gt;0,SUMIFS(T_SelfStock[Self_Qty],T_SelfStock[RM_Code],$A20,T_SelfStock[WeekIndex],100)+SUMIFS(T_TTAFStock[TTAF_Qty],T_TTAFStock[RM_Code],$A20,T_TTAFStock[WeekIndex],100),CV20+'Grid_Incoming'!CW20-'Grid_Requirement'!CW20))</f>
        <v/>
      </c>
      <c r="CX20">
        <f>IF(COUNTIFS(T_StockCount[RM_Code],$A20,T_StockCount[WeekIndex],101)&gt;0,SUMIFS(T_StockCount[CountedQty],T_StockCount[RM_Code],$A20,T_StockCount[WeekIndex],101),IF((COUNTIFS(T_SelfStock[RM_Code],$A20,T_SelfStock[WeekIndex],101)&gt;0)*(COUNTIFS(T_TTAFStock[RM_Code],$A20,T_TTAFStock[WeekIndex],101)&gt;0)&gt;0,SUMIFS(T_SelfStock[Self_Qty],T_SelfStock[RM_Code],$A20,T_SelfStock[WeekIndex],101)+SUMIFS(T_TTAFStock[TTAF_Qty],T_TTAFStock[RM_Code],$A20,T_TTAFStock[WeekIndex],101),CW20+'Grid_Incoming'!CX20-'Grid_Requirement'!CX20))</f>
        <v/>
      </c>
      <c r="CY20">
        <f>IF(COUNTIFS(T_StockCount[RM_Code],$A20,T_StockCount[WeekIndex],102)&gt;0,SUMIFS(T_StockCount[CountedQty],T_StockCount[RM_Code],$A20,T_StockCount[WeekIndex],102),IF((COUNTIFS(T_SelfStock[RM_Code],$A20,T_SelfStock[WeekIndex],102)&gt;0)*(COUNTIFS(T_TTAFStock[RM_Code],$A20,T_TTAFStock[WeekIndex],102)&gt;0)&gt;0,SUMIFS(T_SelfStock[Self_Qty],T_SelfStock[RM_Code],$A20,T_SelfStock[WeekIndex],102)+SUMIFS(T_TTAFStock[TTAF_Qty],T_TTAFStock[RM_Code],$A20,T_TTAFStock[WeekIndex],102),CX20+'Grid_Incoming'!CY20-'Grid_Requirement'!CY20))</f>
        <v/>
      </c>
      <c r="CZ20">
        <f>IF(COUNTIFS(T_StockCount[RM_Code],$A20,T_StockCount[WeekIndex],103)&gt;0,SUMIFS(T_StockCount[CountedQty],T_StockCount[RM_Code],$A20,T_StockCount[WeekIndex],103),IF((COUNTIFS(T_SelfStock[RM_Code],$A20,T_SelfStock[WeekIndex],103)&gt;0)*(COUNTIFS(T_TTAFStock[RM_Code],$A20,T_TTAFStock[WeekIndex],103)&gt;0)&gt;0,SUMIFS(T_SelfStock[Self_Qty],T_SelfStock[RM_Code],$A20,T_SelfStock[WeekIndex],103)+SUMIFS(T_TTAFStock[TTAF_Qty],T_TTAFStock[RM_Code],$A20,T_TTAFStock[WeekIndex],103),CY20+'Grid_Incoming'!CZ20-'Grid_Requirement'!CZ20))</f>
        <v/>
      </c>
      <c r="DA20">
        <f>IF(COUNTIFS(T_StockCount[RM_Code],$A20,T_StockCount[WeekIndex],104)&gt;0,SUMIFS(T_StockCount[CountedQty],T_StockCount[RM_Code],$A20,T_StockCount[WeekIndex],104),IF((COUNTIFS(T_SelfStock[RM_Code],$A20,T_SelfStock[WeekIndex],104)&gt;0)*(COUNTIFS(T_TTAFStock[RM_Code],$A20,T_TTAFStock[WeekIndex],104)&gt;0)&gt;0,SUMIFS(T_SelfStock[Self_Qty],T_SelfStock[RM_Code],$A20,T_SelfStock[WeekIndex],104)+SUMIFS(T_TTAFStock[TTAF_Qty],T_TTAFStock[RM_Code],$A20,T_TTAFStock[WeekIndex],104),CZ20+'Grid_Incoming'!DA20-'Grid_Requirement'!DA20))</f>
        <v/>
      </c>
    </row>
    <row r="21">
      <c r="A21" t="inlineStr">
        <is>
          <t>CHEM-1660</t>
        </is>
      </c>
      <c r="B21">
        <f>IF(COUNTIFS(T_StockCount[RM_Code],$A21,T_StockCount[WeekIndex],1)&gt;0,SUMIFS(T_StockCount[CountedQty],T_StockCount[RM_Code],$A21,T_StockCount[WeekIndex],1),IF((COUNTIFS(T_SelfStock[RM_Code],$A21,T_SelfStock[WeekIndex],1)&gt;0)*(COUNTIFS(T_TTAFStock[RM_Code],$A21,T_TTAFStock[WeekIndex],1)&gt;0)&gt;0,SUMIFS(T_SelfStock[Self_Qty],T_SelfStock[RM_Code],$A21,T_SelfStock[WeekIndex],1)+SUMIFS(T_TTAFStock[TTAF_Qty],T_TTAFStock[RM_Code],$A21,T_TTAFStock[WeekIndex],1),IFERROR(INDEX(T_OpeningStock[Opening_Qty],MATCH($A21,T_OpeningStock[RM_Code],0)),0)+'Grid_Incoming'!B21-'Grid_Requirement'!B21))</f>
        <v/>
      </c>
      <c r="C21">
        <f>IF(COUNTIFS(T_StockCount[RM_Code],$A21,T_StockCount[WeekIndex],2)&gt;0,SUMIFS(T_StockCount[CountedQty],T_StockCount[RM_Code],$A21,T_StockCount[WeekIndex],2),IF((COUNTIFS(T_SelfStock[RM_Code],$A21,T_SelfStock[WeekIndex],2)&gt;0)*(COUNTIFS(T_TTAFStock[RM_Code],$A21,T_TTAFStock[WeekIndex],2)&gt;0)&gt;0,SUMIFS(T_SelfStock[Self_Qty],T_SelfStock[RM_Code],$A21,T_SelfStock[WeekIndex],2)+SUMIFS(T_TTAFStock[TTAF_Qty],T_TTAFStock[RM_Code],$A21,T_TTAFStock[WeekIndex],2),B21+'Grid_Incoming'!C21-'Grid_Requirement'!C21))</f>
        <v/>
      </c>
      <c r="D21">
        <f>IF(COUNTIFS(T_StockCount[RM_Code],$A21,T_StockCount[WeekIndex],3)&gt;0,SUMIFS(T_StockCount[CountedQty],T_StockCount[RM_Code],$A21,T_StockCount[WeekIndex],3),IF((COUNTIFS(T_SelfStock[RM_Code],$A21,T_SelfStock[WeekIndex],3)&gt;0)*(COUNTIFS(T_TTAFStock[RM_Code],$A21,T_TTAFStock[WeekIndex],3)&gt;0)&gt;0,SUMIFS(T_SelfStock[Self_Qty],T_SelfStock[RM_Code],$A21,T_SelfStock[WeekIndex],3)+SUMIFS(T_TTAFStock[TTAF_Qty],T_TTAFStock[RM_Code],$A21,T_TTAFStock[WeekIndex],3),C21+'Grid_Incoming'!D21-'Grid_Requirement'!D21))</f>
        <v/>
      </c>
      <c r="E21">
        <f>IF(COUNTIFS(T_StockCount[RM_Code],$A21,T_StockCount[WeekIndex],4)&gt;0,SUMIFS(T_StockCount[CountedQty],T_StockCount[RM_Code],$A21,T_StockCount[WeekIndex],4),IF((COUNTIFS(T_SelfStock[RM_Code],$A21,T_SelfStock[WeekIndex],4)&gt;0)*(COUNTIFS(T_TTAFStock[RM_Code],$A21,T_TTAFStock[WeekIndex],4)&gt;0)&gt;0,SUMIFS(T_SelfStock[Self_Qty],T_SelfStock[RM_Code],$A21,T_SelfStock[WeekIndex],4)+SUMIFS(T_TTAFStock[TTAF_Qty],T_TTAFStock[RM_Code],$A21,T_TTAFStock[WeekIndex],4),D21+'Grid_Incoming'!E21-'Grid_Requirement'!E21))</f>
        <v/>
      </c>
      <c r="F21">
        <f>IF(COUNTIFS(T_StockCount[RM_Code],$A21,T_StockCount[WeekIndex],5)&gt;0,SUMIFS(T_StockCount[CountedQty],T_StockCount[RM_Code],$A21,T_StockCount[WeekIndex],5),IF((COUNTIFS(T_SelfStock[RM_Code],$A21,T_SelfStock[WeekIndex],5)&gt;0)*(COUNTIFS(T_TTAFStock[RM_Code],$A21,T_TTAFStock[WeekIndex],5)&gt;0)&gt;0,SUMIFS(T_SelfStock[Self_Qty],T_SelfStock[RM_Code],$A21,T_SelfStock[WeekIndex],5)+SUMIFS(T_TTAFStock[TTAF_Qty],T_TTAFStock[RM_Code],$A21,T_TTAFStock[WeekIndex],5),E21+'Grid_Incoming'!F21-'Grid_Requirement'!F21))</f>
        <v/>
      </c>
      <c r="G21">
        <f>IF(COUNTIFS(T_StockCount[RM_Code],$A21,T_StockCount[WeekIndex],6)&gt;0,SUMIFS(T_StockCount[CountedQty],T_StockCount[RM_Code],$A21,T_StockCount[WeekIndex],6),IF((COUNTIFS(T_SelfStock[RM_Code],$A21,T_SelfStock[WeekIndex],6)&gt;0)*(COUNTIFS(T_TTAFStock[RM_Code],$A21,T_TTAFStock[WeekIndex],6)&gt;0)&gt;0,SUMIFS(T_SelfStock[Self_Qty],T_SelfStock[RM_Code],$A21,T_SelfStock[WeekIndex],6)+SUMIFS(T_TTAFStock[TTAF_Qty],T_TTAFStock[RM_Code],$A21,T_TTAFStock[WeekIndex],6),F21+'Grid_Incoming'!G21-'Grid_Requirement'!G21))</f>
        <v/>
      </c>
      <c r="H21">
        <f>IF(COUNTIFS(T_StockCount[RM_Code],$A21,T_StockCount[WeekIndex],7)&gt;0,SUMIFS(T_StockCount[CountedQty],T_StockCount[RM_Code],$A21,T_StockCount[WeekIndex],7),IF((COUNTIFS(T_SelfStock[RM_Code],$A21,T_SelfStock[WeekIndex],7)&gt;0)*(COUNTIFS(T_TTAFStock[RM_Code],$A21,T_TTAFStock[WeekIndex],7)&gt;0)&gt;0,SUMIFS(T_SelfStock[Self_Qty],T_SelfStock[RM_Code],$A21,T_SelfStock[WeekIndex],7)+SUMIFS(T_TTAFStock[TTAF_Qty],T_TTAFStock[RM_Code],$A21,T_TTAFStock[WeekIndex],7),G21+'Grid_Incoming'!H21-'Grid_Requirement'!H21))</f>
        <v/>
      </c>
      <c r="I21">
        <f>IF(COUNTIFS(T_StockCount[RM_Code],$A21,T_StockCount[WeekIndex],8)&gt;0,SUMIFS(T_StockCount[CountedQty],T_StockCount[RM_Code],$A21,T_StockCount[WeekIndex],8),IF((COUNTIFS(T_SelfStock[RM_Code],$A21,T_SelfStock[WeekIndex],8)&gt;0)*(COUNTIFS(T_TTAFStock[RM_Code],$A21,T_TTAFStock[WeekIndex],8)&gt;0)&gt;0,SUMIFS(T_SelfStock[Self_Qty],T_SelfStock[RM_Code],$A21,T_SelfStock[WeekIndex],8)+SUMIFS(T_TTAFStock[TTAF_Qty],T_TTAFStock[RM_Code],$A21,T_TTAFStock[WeekIndex],8),H21+'Grid_Incoming'!I21-'Grid_Requirement'!I21))</f>
        <v/>
      </c>
      <c r="J21">
        <f>IF(COUNTIFS(T_StockCount[RM_Code],$A21,T_StockCount[WeekIndex],9)&gt;0,SUMIFS(T_StockCount[CountedQty],T_StockCount[RM_Code],$A21,T_StockCount[WeekIndex],9),IF((COUNTIFS(T_SelfStock[RM_Code],$A21,T_SelfStock[WeekIndex],9)&gt;0)*(COUNTIFS(T_TTAFStock[RM_Code],$A21,T_TTAFStock[WeekIndex],9)&gt;0)&gt;0,SUMIFS(T_SelfStock[Self_Qty],T_SelfStock[RM_Code],$A21,T_SelfStock[WeekIndex],9)+SUMIFS(T_TTAFStock[TTAF_Qty],T_TTAFStock[RM_Code],$A21,T_TTAFStock[WeekIndex],9),I21+'Grid_Incoming'!J21-'Grid_Requirement'!J21))</f>
        <v/>
      </c>
      <c r="K21">
        <f>IF(COUNTIFS(T_StockCount[RM_Code],$A21,T_StockCount[WeekIndex],10)&gt;0,SUMIFS(T_StockCount[CountedQty],T_StockCount[RM_Code],$A21,T_StockCount[WeekIndex],10),IF((COUNTIFS(T_SelfStock[RM_Code],$A21,T_SelfStock[WeekIndex],10)&gt;0)*(COUNTIFS(T_TTAFStock[RM_Code],$A21,T_TTAFStock[WeekIndex],10)&gt;0)&gt;0,SUMIFS(T_SelfStock[Self_Qty],T_SelfStock[RM_Code],$A21,T_SelfStock[WeekIndex],10)+SUMIFS(T_TTAFStock[TTAF_Qty],T_TTAFStock[RM_Code],$A21,T_TTAFStock[WeekIndex],10),J21+'Grid_Incoming'!K21-'Grid_Requirement'!K21))</f>
        <v/>
      </c>
      <c r="L21">
        <f>IF(COUNTIFS(T_StockCount[RM_Code],$A21,T_StockCount[WeekIndex],11)&gt;0,SUMIFS(T_StockCount[CountedQty],T_StockCount[RM_Code],$A21,T_StockCount[WeekIndex],11),IF((COUNTIFS(T_SelfStock[RM_Code],$A21,T_SelfStock[WeekIndex],11)&gt;0)*(COUNTIFS(T_TTAFStock[RM_Code],$A21,T_TTAFStock[WeekIndex],11)&gt;0)&gt;0,SUMIFS(T_SelfStock[Self_Qty],T_SelfStock[RM_Code],$A21,T_SelfStock[WeekIndex],11)+SUMIFS(T_TTAFStock[TTAF_Qty],T_TTAFStock[RM_Code],$A21,T_TTAFStock[WeekIndex],11),K21+'Grid_Incoming'!L21-'Grid_Requirement'!L21))</f>
        <v/>
      </c>
      <c r="M21">
        <f>IF(COUNTIFS(T_StockCount[RM_Code],$A21,T_StockCount[WeekIndex],12)&gt;0,SUMIFS(T_StockCount[CountedQty],T_StockCount[RM_Code],$A21,T_StockCount[WeekIndex],12),IF((COUNTIFS(T_SelfStock[RM_Code],$A21,T_SelfStock[WeekIndex],12)&gt;0)*(COUNTIFS(T_TTAFStock[RM_Code],$A21,T_TTAFStock[WeekIndex],12)&gt;0)&gt;0,SUMIFS(T_SelfStock[Self_Qty],T_SelfStock[RM_Code],$A21,T_SelfStock[WeekIndex],12)+SUMIFS(T_TTAFStock[TTAF_Qty],T_TTAFStock[RM_Code],$A21,T_TTAFStock[WeekIndex],12),L21+'Grid_Incoming'!M21-'Grid_Requirement'!M21))</f>
        <v/>
      </c>
      <c r="N21">
        <f>IF(COUNTIFS(T_StockCount[RM_Code],$A21,T_StockCount[WeekIndex],13)&gt;0,SUMIFS(T_StockCount[CountedQty],T_StockCount[RM_Code],$A21,T_StockCount[WeekIndex],13),IF((COUNTIFS(T_SelfStock[RM_Code],$A21,T_SelfStock[WeekIndex],13)&gt;0)*(COUNTIFS(T_TTAFStock[RM_Code],$A21,T_TTAFStock[WeekIndex],13)&gt;0)&gt;0,SUMIFS(T_SelfStock[Self_Qty],T_SelfStock[RM_Code],$A21,T_SelfStock[WeekIndex],13)+SUMIFS(T_TTAFStock[TTAF_Qty],T_TTAFStock[RM_Code],$A21,T_TTAFStock[WeekIndex],13),M21+'Grid_Incoming'!N21-'Grid_Requirement'!N21))</f>
        <v/>
      </c>
      <c r="O21">
        <f>IF(COUNTIFS(T_StockCount[RM_Code],$A21,T_StockCount[WeekIndex],14)&gt;0,SUMIFS(T_StockCount[CountedQty],T_StockCount[RM_Code],$A21,T_StockCount[WeekIndex],14),IF((COUNTIFS(T_SelfStock[RM_Code],$A21,T_SelfStock[WeekIndex],14)&gt;0)*(COUNTIFS(T_TTAFStock[RM_Code],$A21,T_TTAFStock[WeekIndex],14)&gt;0)&gt;0,SUMIFS(T_SelfStock[Self_Qty],T_SelfStock[RM_Code],$A21,T_SelfStock[WeekIndex],14)+SUMIFS(T_TTAFStock[TTAF_Qty],T_TTAFStock[RM_Code],$A21,T_TTAFStock[WeekIndex],14),N21+'Grid_Incoming'!O21-'Grid_Requirement'!O21))</f>
        <v/>
      </c>
      <c r="P21">
        <f>IF(COUNTIFS(T_StockCount[RM_Code],$A21,T_StockCount[WeekIndex],15)&gt;0,SUMIFS(T_StockCount[CountedQty],T_StockCount[RM_Code],$A21,T_StockCount[WeekIndex],15),IF((COUNTIFS(T_SelfStock[RM_Code],$A21,T_SelfStock[WeekIndex],15)&gt;0)*(COUNTIFS(T_TTAFStock[RM_Code],$A21,T_TTAFStock[WeekIndex],15)&gt;0)&gt;0,SUMIFS(T_SelfStock[Self_Qty],T_SelfStock[RM_Code],$A21,T_SelfStock[WeekIndex],15)+SUMIFS(T_TTAFStock[TTAF_Qty],T_TTAFStock[RM_Code],$A21,T_TTAFStock[WeekIndex],15),O21+'Grid_Incoming'!P21-'Grid_Requirement'!P21))</f>
        <v/>
      </c>
      <c r="Q21">
        <f>IF(COUNTIFS(T_StockCount[RM_Code],$A21,T_StockCount[WeekIndex],16)&gt;0,SUMIFS(T_StockCount[CountedQty],T_StockCount[RM_Code],$A21,T_StockCount[WeekIndex],16),IF((COUNTIFS(T_SelfStock[RM_Code],$A21,T_SelfStock[WeekIndex],16)&gt;0)*(COUNTIFS(T_TTAFStock[RM_Code],$A21,T_TTAFStock[WeekIndex],16)&gt;0)&gt;0,SUMIFS(T_SelfStock[Self_Qty],T_SelfStock[RM_Code],$A21,T_SelfStock[WeekIndex],16)+SUMIFS(T_TTAFStock[TTAF_Qty],T_TTAFStock[RM_Code],$A21,T_TTAFStock[WeekIndex],16),P21+'Grid_Incoming'!Q21-'Grid_Requirement'!Q21))</f>
        <v/>
      </c>
      <c r="R21">
        <f>IF(COUNTIFS(T_StockCount[RM_Code],$A21,T_StockCount[WeekIndex],17)&gt;0,SUMIFS(T_StockCount[CountedQty],T_StockCount[RM_Code],$A21,T_StockCount[WeekIndex],17),IF((COUNTIFS(T_SelfStock[RM_Code],$A21,T_SelfStock[WeekIndex],17)&gt;0)*(COUNTIFS(T_TTAFStock[RM_Code],$A21,T_TTAFStock[WeekIndex],17)&gt;0)&gt;0,SUMIFS(T_SelfStock[Self_Qty],T_SelfStock[RM_Code],$A21,T_SelfStock[WeekIndex],17)+SUMIFS(T_TTAFStock[TTAF_Qty],T_TTAFStock[RM_Code],$A21,T_TTAFStock[WeekIndex],17),Q21+'Grid_Incoming'!R21-'Grid_Requirement'!R21))</f>
        <v/>
      </c>
      <c r="S21">
        <f>IF(COUNTIFS(T_StockCount[RM_Code],$A21,T_StockCount[WeekIndex],18)&gt;0,SUMIFS(T_StockCount[CountedQty],T_StockCount[RM_Code],$A21,T_StockCount[WeekIndex],18),IF((COUNTIFS(T_SelfStock[RM_Code],$A21,T_SelfStock[WeekIndex],18)&gt;0)*(COUNTIFS(T_TTAFStock[RM_Code],$A21,T_TTAFStock[WeekIndex],18)&gt;0)&gt;0,SUMIFS(T_SelfStock[Self_Qty],T_SelfStock[RM_Code],$A21,T_SelfStock[WeekIndex],18)+SUMIFS(T_TTAFStock[TTAF_Qty],T_TTAFStock[RM_Code],$A21,T_TTAFStock[WeekIndex],18),R21+'Grid_Incoming'!S21-'Grid_Requirement'!S21))</f>
        <v/>
      </c>
      <c r="T21">
        <f>IF(COUNTIFS(T_StockCount[RM_Code],$A21,T_StockCount[WeekIndex],19)&gt;0,SUMIFS(T_StockCount[CountedQty],T_StockCount[RM_Code],$A21,T_StockCount[WeekIndex],19),IF((COUNTIFS(T_SelfStock[RM_Code],$A21,T_SelfStock[WeekIndex],19)&gt;0)*(COUNTIFS(T_TTAFStock[RM_Code],$A21,T_TTAFStock[WeekIndex],19)&gt;0)&gt;0,SUMIFS(T_SelfStock[Self_Qty],T_SelfStock[RM_Code],$A21,T_SelfStock[WeekIndex],19)+SUMIFS(T_TTAFStock[TTAF_Qty],T_TTAFStock[RM_Code],$A21,T_TTAFStock[WeekIndex],19),S21+'Grid_Incoming'!T21-'Grid_Requirement'!T21))</f>
        <v/>
      </c>
      <c r="U21">
        <f>IF(COUNTIFS(T_StockCount[RM_Code],$A21,T_StockCount[WeekIndex],20)&gt;0,SUMIFS(T_StockCount[CountedQty],T_StockCount[RM_Code],$A21,T_StockCount[WeekIndex],20),IF((COUNTIFS(T_SelfStock[RM_Code],$A21,T_SelfStock[WeekIndex],20)&gt;0)*(COUNTIFS(T_TTAFStock[RM_Code],$A21,T_TTAFStock[WeekIndex],20)&gt;0)&gt;0,SUMIFS(T_SelfStock[Self_Qty],T_SelfStock[RM_Code],$A21,T_SelfStock[WeekIndex],20)+SUMIFS(T_TTAFStock[TTAF_Qty],T_TTAFStock[RM_Code],$A21,T_TTAFStock[WeekIndex],20),T21+'Grid_Incoming'!U21-'Grid_Requirement'!U21))</f>
        <v/>
      </c>
      <c r="V21">
        <f>IF(COUNTIFS(T_StockCount[RM_Code],$A21,T_StockCount[WeekIndex],21)&gt;0,SUMIFS(T_StockCount[CountedQty],T_StockCount[RM_Code],$A21,T_StockCount[WeekIndex],21),IF((COUNTIFS(T_SelfStock[RM_Code],$A21,T_SelfStock[WeekIndex],21)&gt;0)*(COUNTIFS(T_TTAFStock[RM_Code],$A21,T_TTAFStock[WeekIndex],21)&gt;0)&gt;0,SUMIFS(T_SelfStock[Self_Qty],T_SelfStock[RM_Code],$A21,T_SelfStock[WeekIndex],21)+SUMIFS(T_TTAFStock[TTAF_Qty],T_TTAFStock[RM_Code],$A21,T_TTAFStock[WeekIndex],21),U21+'Grid_Incoming'!V21-'Grid_Requirement'!V21))</f>
        <v/>
      </c>
      <c r="W21">
        <f>IF(COUNTIFS(T_StockCount[RM_Code],$A21,T_StockCount[WeekIndex],22)&gt;0,SUMIFS(T_StockCount[CountedQty],T_StockCount[RM_Code],$A21,T_StockCount[WeekIndex],22),IF((COUNTIFS(T_SelfStock[RM_Code],$A21,T_SelfStock[WeekIndex],22)&gt;0)*(COUNTIFS(T_TTAFStock[RM_Code],$A21,T_TTAFStock[WeekIndex],22)&gt;0)&gt;0,SUMIFS(T_SelfStock[Self_Qty],T_SelfStock[RM_Code],$A21,T_SelfStock[WeekIndex],22)+SUMIFS(T_TTAFStock[TTAF_Qty],T_TTAFStock[RM_Code],$A21,T_TTAFStock[WeekIndex],22),V21+'Grid_Incoming'!W21-'Grid_Requirement'!W21))</f>
        <v/>
      </c>
      <c r="X21">
        <f>IF(COUNTIFS(T_StockCount[RM_Code],$A21,T_StockCount[WeekIndex],23)&gt;0,SUMIFS(T_StockCount[CountedQty],T_StockCount[RM_Code],$A21,T_StockCount[WeekIndex],23),IF((COUNTIFS(T_SelfStock[RM_Code],$A21,T_SelfStock[WeekIndex],23)&gt;0)*(COUNTIFS(T_TTAFStock[RM_Code],$A21,T_TTAFStock[WeekIndex],23)&gt;0)&gt;0,SUMIFS(T_SelfStock[Self_Qty],T_SelfStock[RM_Code],$A21,T_SelfStock[WeekIndex],23)+SUMIFS(T_TTAFStock[TTAF_Qty],T_TTAFStock[RM_Code],$A21,T_TTAFStock[WeekIndex],23),W21+'Grid_Incoming'!X21-'Grid_Requirement'!X21))</f>
        <v/>
      </c>
      <c r="Y21">
        <f>IF(COUNTIFS(T_StockCount[RM_Code],$A21,T_StockCount[WeekIndex],24)&gt;0,SUMIFS(T_StockCount[CountedQty],T_StockCount[RM_Code],$A21,T_StockCount[WeekIndex],24),IF((COUNTIFS(T_SelfStock[RM_Code],$A21,T_SelfStock[WeekIndex],24)&gt;0)*(COUNTIFS(T_TTAFStock[RM_Code],$A21,T_TTAFStock[WeekIndex],24)&gt;0)&gt;0,SUMIFS(T_SelfStock[Self_Qty],T_SelfStock[RM_Code],$A21,T_SelfStock[WeekIndex],24)+SUMIFS(T_TTAFStock[TTAF_Qty],T_TTAFStock[RM_Code],$A21,T_TTAFStock[WeekIndex],24),X21+'Grid_Incoming'!Y21-'Grid_Requirement'!Y21))</f>
        <v/>
      </c>
      <c r="Z21">
        <f>IF(COUNTIFS(T_StockCount[RM_Code],$A21,T_StockCount[WeekIndex],25)&gt;0,SUMIFS(T_StockCount[CountedQty],T_StockCount[RM_Code],$A21,T_StockCount[WeekIndex],25),IF((COUNTIFS(T_SelfStock[RM_Code],$A21,T_SelfStock[WeekIndex],25)&gt;0)*(COUNTIFS(T_TTAFStock[RM_Code],$A21,T_TTAFStock[WeekIndex],25)&gt;0)&gt;0,SUMIFS(T_SelfStock[Self_Qty],T_SelfStock[RM_Code],$A21,T_SelfStock[WeekIndex],25)+SUMIFS(T_TTAFStock[TTAF_Qty],T_TTAFStock[RM_Code],$A21,T_TTAFStock[WeekIndex],25),Y21+'Grid_Incoming'!Z21-'Grid_Requirement'!Z21))</f>
        <v/>
      </c>
      <c r="AA21">
        <f>IF(COUNTIFS(T_StockCount[RM_Code],$A21,T_StockCount[WeekIndex],26)&gt;0,SUMIFS(T_StockCount[CountedQty],T_StockCount[RM_Code],$A21,T_StockCount[WeekIndex],26),IF((COUNTIFS(T_SelfStock[RM_Code],$A21,T_SelfStock[WeekIndex],26)&gt;0)*(COUNTIFS(T_TTAFStock[RM_Code],$A21,T_TTAFStock[WeekIndex],26)&gt;0)&gt;0,SUMIFS(T_SelfStock[Self_Qty],T_SelfStock[RM_Code],$A21,T_SelfStock[WeekIndex],26)+SUMIFS(T_TTAFStock[TTAF_Qty],T_TTAFStock[RM_Code],$A21,T_TTAFStock[WeekIndex],26),Z21+'Grid_Incoming'!AA21-'Grid_Requirement'!AA21))</f>
        <v/>
      </c>
      <c r="AB21">
        <f>IF(COUNTIFS(T_StockCount[RM_Code],$A21,T_StockCount[WeekIndex],27)&gt;0,SUMIFS(T_StockCount[CountedQty],T_StockCount[RM_Code],$A21,T_StockCount[WeekIndex],27),IF((COUNTIFS(T_SelfStock[RM_Code],$A21,T_SelfStock[WeekIndex],27)&gt;0)*(COUNTIFS(T_TTAFStock[RM_Code],$A21,T_TTAFStock[WeekIndex],27)&gt;0)&gt;0,SUMIFS(T_SelfStock[Self_Qty],T_SelfStock[RM_Code],$A21,T_SelfStock[WeekIndex],27)+SUMIFS(T_TTAFStock[TTAF_Qty],T_TTAFStock[RM_Code],$A21,T_TTAFStock[WeekIndex],27),AA21+'Grid_Incoming'!AB21-'Grid_Requirement'!AB21))</f>
        <v/>
      </c>
      <c r="AC21">
        <f>IF(COUNTIFS(T_StockCount[RM_Code],$A21,T_StockCount[WeekIndex],28)&gt;0,SUMIFS(T_StockCount[CountedQty],T_StockCount[RM_Code],$A21,T_StockCount[WeekIndex],28),IF((COUNTIFS(T_SelfStock[RM_Code],$A21,T_SelfStock[WeekIndex],28)&gt;0)*(COUNTIFS(T_TTAFStock[RM_Code],$A21,T_TTAFStock[WeekIndex],28)&gt;0)&gt;0,SUMIFS(T_SelfStock[Self_Qty],T_SelfStock[RM_Code],$A21,T_SelfStock[WeekIndex],28)+SUMIFS(T_TTAFStock[TTAF_Qty],T_TTAFStock[RM_Code],$A21,T_TTAFStock[WeekIndex],28),AB21+'Grid_Incoming'!AC21-'Grid_Requirement'!AC21))</f>
        <v/>
      </c>
      <c r="AD21">
        <f>IF(COUNTIFS(T_StockCount[RM_Code],$A21,T_StockCount[WeekIndex],29)&gt;0,SUMIFS(T_StockCount[CountedQty],T_StockCount[RM_Code],$A21,T_StockCount[WeekIndex],29),IF((COUNTIFS(T_SelfStock[RM_Code],$A21,T_SelfStock[WeekIndex],29)&gt;0)*(COUNTIFS(T_TTAFStock[RM_Code],$A21,T_TTAFStock[WeekIndex],29)&gt;0)&gt;0,SUMIFS(T_SelfStock[Self_Qty],T_SelfStock[RM_Code],$A21,T_SelfStock[WeekIndex],29)+SUMIFS(T_TTAFStock[TTAF_Qty],T_TTAFStock[RM_Code],$A21,T_TTAFStock[WeekIndex],29),AC21+'Grid_Incoming'!AD21-'Grid_Requirement'!AD21))</f>
        <v/>
      </c>
      <c r="AE21">
        <f>IF(COUNTIFS(T_StockCount[RM_Code],$A21,T_StockCount[WeekIndex],30)&gt;0,SUMIFS(T_StockCount[CountedQty],T_StockCount[RM_Code],$A21,T_StockCount[WeekIndex],30),IF((COUNTIFS(T_SelfStock[RM_Code],$A21,T_SelfStock[WeekIndex],30)&gt;0)*(COUNTIFS(T_TTAFStock[RM_Code],$A21,T_TTAFStock[WeekIndex],30)&gt;0)&gt;0,SUMIFS(T_SelfStock[Self_Qty],T_SelfStock[RM_Code],$A21,T_SelfStock[WeekIndex],30)+SUMIFS(T_TTAFStock[TTAF_Qty],T_TTAFStock[RM_Code],$A21,T_TTAFStock[WeekIndex],30),AD21+'Grid_Incoming'!AE21-'Grid_Requirement'!AE21))</f>
        <v/>
      </c>
      <c r="AF21">
        <f>IF(COUNTIFS(T_StockCount[RM_Code],$A21,T_StockCount[WeekIndex],31)&gt;0,SUMIFS(T_StockCount[CountedQty],T_StockCount[RM_Code],$A21,T_StockCount[WeekIndex],31),IF((COUNTIFS(T_SelfStock[RM_Code],$A21,T_SelfStock[WeekIndex],31)&gt;0)*(COUNTIFS(T_TTAFStock[RM_Code],$A21,T_TTAFStock[WeekIndex],31)&gt;0)&gt;0,SUMIFS(T_SelfStock[Self_Qty],T_SelfStock[RM_Code],$A21,T_SelfStock[WeekIndex],31)+SUMIFS(T_TTAFStock[TTAF_Qty],T_TTAFStock[RM_Code],$A21,T_TTAFStock[WeekIndex],31),AE21+'Grid_Incoming'!AF21-'Grid_Requirement'!AF21))</f>
        <v/>
      </c>
      <c r="AG21">
        <f>IF(COUNTIFS(T_StockCount[RM_Code],$A21,T_StockCount[WeekIndex],32)&gt;0,SUMIFS(T_StockCount[CountedQty],T_StockCount[RM_Code],$A21,T_StockCount[WeekIndex],32),IF((COUNTIFS(T_SelfStock[RM_Code],$A21,T_SelfStock[WeekIndex],32)&gt;0)*(COUNTIFS(T_TTAFStock[RM_Code],$A21,T_TTAFStock[WeekIndex],32)&gt;0)&gt;0,SUMIFS(T_SelfStock[Self_Qty],T_SelfStock[RM_Code],$A21,T_SelfStock[WeekIndex],32)+SUMIFS(T_TTAFStock[TTAF_Qty],T_TTAFStock[RM_Code],$A21,T_TTAFStock[WeekIndex],32),AF21+'Grid_Incoming'!AG21-'Grid_Requirement'!AG21))</f>
        <v/>
      </c>
      <c r="AH21">
        <f>IF(COUNTIFS(T_StockCount[RM_Code],$A21,T_StockCount[WeekIndex],33)&gt;0,SUMIFS(T_StockCount[CountedQty],T_StockCount[RM_Code],$A21,T_StockCount[WeekIndex],33),IF((COUNTIFS(T_SelfStock[RM_Code],$A21,T_SelfStock[WeekIndex],33)&gt;0)*(COUNTIFS(T_TTAFStock[RM_Code],$A21,T_TTAFStock[WeekIndex],33)&gt;0)&gt;0,SUMIFS(T_SelfStock[Self_Qty],T_SelfStock[RM_Code],$A21,T_SelfStock[WeekIndex],33)+SUMIFS(T_TTAFStock[TTAF_Qty],T_TTAFStock[RM_Code],$A21,T_TTAFStock[WeekIndex],33),AG21+'Grid_Incoming'!AH21-'Grid_Requirement'!AH21))</f>
        <v/>
      </c>
      <c r="AI21">
        <f>IF(COUNTIFS(T_StockCount[RM_Code],$A21,T_StockCount[WeekIndex],34)&gt;0,SUMIFS(T_StockCount[CountedQty],T_StockCount[RM_Code],$A21,T_StockCount[WeekIndex],34),IF((COUNTIFS(T_SelfStock[RM_Code],$A21,T_SelfStock[WeekIndex],34)&gt;0)*(COUNTIFS(T_TTAFStock[RM_Code],$A21,T_TTAFStock[WeekIndex],34)&gt;0)&gt;0,SUMIFS(T_SelfStock[Self_Qty],T_SelfStock[RM_Code],$A21,T_SelfStock[WeekIndex],34)+SUMIFS(T_TTAFStock[TTAF_Qty],T_TTAFStock[RM_Code],$A21,T_TTAFStock[WeekIndex],34),AH21+'Grid_Incoming'!AI21-'Grid_Requirement'!AI21))</f>
        <v/>
      </c>
      <c r="AJ21">
        <f>IF(COUNTIFS(T_StockCount[RM_Code],$A21,T_StockCount[WeekIndex],35)&gt;0,SUMIFS(T_StockCount[CountedQty],T_StockCount[RM_Code],$A21,T_StockCount[WeekIndex],35),IF((COUNTIFS(T_SelfStock[RM_Code],$A21,T_SelfStock[WeekIndex],35)&gt;0)*(COUNTIFS(T_TTAFStock[RM_Code],$A21,T_TTAFStock[WeekIndex],35)&gt;0)&gt;0,SUMIFS(T_SelfStock[Self_Qty],T_SelfStock[RM_Code],$A21,T_SelfStock[WeekIndex],35)+SUMIFS(T_TTAFStock[TTAF_Qty],T_TTAFStock[RM_Code],$A21,T_TTAFStock[WeekIndex],35),AI21+'Grid_Incoming'!AJ21-'Grid_Requirement'!AJ21))</f>
        <v/>
      </c>
      <c r="AK21">
        <f>IF(COUNTIFS(T_StockCount[RM_Code],$A21,T_StockCount[WeekIndex],36)&gt;0,SUMIFS(T_StockCount[CountedQty],T_StockCount[RM_Code],$A21,T_StockCount[WeekIndex],36),IF((COUNTIFS(T_SelfStock[RM_Code],$A21,T_SelfStock[WeekIndex],36)&gt;0)*(COUNTIFS(T_TTAFStock[RM_Code],$A21,T_TTAFStock[WeekIndex],36)&gt;0)&gt;0,SUMIFS(T_SelfStock[Self_Qty],T_SelfStock[RM_Code],$A21,T_SelfStock[WeekIndex],36)+SUMIFS(T_TTAFStock[TTAF_Qty],T_TTAFStock[RM_Code],$A21,T_TTAFStock[WeekIndex],36),AJ21+'Grid_Incoming'!AK21-'Grid_Requirement'!AK21))</f>
        <v/>
      </c>
      <c r="AL21">
        <f>IF(COUNTIFS(T_StockCount[RM_Code],$A21,T_StockCount[WeekIndex],37)&gt;0,SUMIFS(T_StockCount[CountedQty],T_StockCount[RM_Code],$A21,T_StockCount[WeekIndex],37),IF((COUNTIFS(T_SelfStock[RM_Code],$A21,T_SelfStock[WeekIndex],37)&gt;0)*(COUNTIFS(T_TTAFStock[RM_Code],$A21,T_TTAFStock[WeekIndex],37)&gt;0)&gt;0,SUMIFS(T_SelfStock[Self_Qty],T_SelfStock[RM_Code],$A21,T_SelfStock[WeekIndex],37)+SUMIFS(T_TTAFStock[TTAF_Qty],T_TTAFStock[RM_Code],$A21,T_TTAFStock[WeekIndex],37),AK21+'Grid_Incoming'!AL21-'Grid_Requirement'!AL21))</f>
        <v/>
      </c>
      <c r="AM21">
        <f>IF(COUNTIFS(T_StockCount[RM_Code],$A21,T_StockCount[WeekIndex],38)&gt;0,SUMIFS(T_StockCount[CountedQty],T_StockCount[RM_Code],$A21,T_StockCount[WeekIndex],38),IF((COUNTIFS(T_SelfStock[RM_Code],$A21,T_SelfStock[WeekIndex],38)&gt;0)*(COUNTIFS(T_TTAFStock[RM_Code],$A21,T_TTAFStock[WeekIndex],38)&gt;0)&gt;0,SUMIFS(T_SelfStock[Self_Qty],T_SelfStock[RM_Code],$A21,T_SelfStock[WeekIndex],38)+SUMIFS(T_TTAFStock[TTAF_Qty],T_TTAFStock[RM_Code],$A21,T_TTAFStock[WeekIndex],38),AL21+'Grid_Incoming'!AM21-'Grid_Requirement'!AM21))</f>
        <v/>
      </c>
      <c r="AN21">
        <f>IF(COUNTIFS(T_StockCount[RM_Code],$A21,T_StockCount[WeekIndex],39)&gt;0,SUMIFS(T_StockCount[CountedQty],T_StockCount[RM_Code],$A21,T_StockCount[WeekIndex],39),IF((COUNTIFS(T_SelfStock[RM_Code],$A21,T_SelfStock[WeekIndex],39)&gt;0)*(COUNTIFS(T_TTAFStock[RM_Code],$A21,T_TTAFStock[WeekIndex],39)&gt;0)&gt;0,SUMIFS(T_SelfStock[Self_Qty],T_SelfStock[RM_Code],$A21,T_SelfStock[WeekIndex],39)+SUMIFS(T_TTAFStock[TTAF_Qty],T_TTAFStock[RM_Code],$A21,T_TTAFStock[WeekIndex],39),AM21+'Grid_Incoming'!AN21-'Grid_Requirement'!AN21))</f>
        <v/>
      </c>
      <c r="AO21">
        <f>IF(COUNTIFS(T_StockCount[RM_Code],$A21,T_StockCount[WeekIndex],40)&gt;0,SUMIFS(T_StockCount[CountedQty],T_StockCount[RM_Code],$A21,T_StockCount[WeekIndex],40),IF((COUNTIFS(T_SelfStock[RM_Code],$A21,T_SelfStock[WeekIndex],40)&gt;0)*(COUNTIFS(T_TTAFStock[RM_Code],$A21,T_TTAFStock[WeekIndex],40)&gt;0)&gt;0,SUMIFS(T_SelfStock[Self_Qty],T_SelfStock[RM_Code],$A21,T_SelfStock[WeekIndex],40)+SUMIFS(T_TTAFStock[TTAF_Qty],T_TTAFStock[RM_Code],$A21,T_TTAFStock[WeekIndex],40),AN21+'Grid_Incoming'!AO21-'Grid_Requirement'!AO21))</f>
        <v/>
      </c>
      <c r="AP21">
        <f>IF(COUNTIFS(T_StockCount[RM_Code],$A21,T_StockCount[WeekIndex],41)&gt;0,SUMIFS(T_StockCount[CountedQty],T_StockCount[RM_Code],$A21,T_StockCount[WeekIndex],41),IF((COUNTIFS(T_SelfStock[RM_Code],$A21,T_SelfStock[WeekIndex],41)&gt;0)*(COUNTIFS(T_TTAFStock[RM_Code],$A21,T_TTAFStock[WeekIndex],41)&gt;0)&gt;0,SUMIFS(T_SelfStock[Self_Qty],T_SelfStock[RM_Code],$A21,T_SelfStock[WeekIndex],41)+SUMIFS(T_TTAFStock[TTAF_Qty],T_TTAFStock[RM_Code],$A21,T_TTAFStock[WeekIndex],41),AO21+'Grid_Incoming'!AP21-'Grid_Requirement'!AP21))</f>
        <v/>
      </c>
      <c r="AQ21">
        <f>IF(COUNTIFS(T_StockCount[RM_Code],$A21,T_StockCount[WeekIndex],42)&gt;0,SUMIFS(T_StockCount[CountedQty],T_StockCount[RM_Code],$A21,T_StockCount[WeekIndex],42),IF((COUNTIFS(T_SelfStock[RM_Code],$A21,T_SelfStock[WeekIndex],42)&gt;0)*(COUNTIFS(T_TTAFStock[RM_Code],$A21,T_TTAFStock[WeekIndex],42)&gt;0)&gt;0,SUMIFS(T_SelfStock[Self_Qty],T_SelfStock[RM_Code],$A21,T_SelfStock[WeekIndex],42)+SUMIFS(T_TTAFStock[TTAF_Qty],T_TTAFStock[RM_Code],$A21,T_TTAFStock[WeekIndex],42),AP21+'Grid_Incoming'!AQ21-'Grid_Requirement'!AQ21))</f>
        <v/>
      </c>
      <c r="AR21">
        <f>IF(COUNTIFS(T_StockCount[RM_Code],$A21,T_StockCount[WeekIndex],43)&gt;0,SUMIFS(T_StockCount[CountedQty],T_StockCount[RM_Code],$A21,T_StockCount[WeekIndex],43),IF((COUNTIFS(T_SelfStock[RM_Code],$A21,T_SelfStock[WeekIndex],43)&gt;0)*(COUNTIFS(T_TTAFStock[RM_Code],$A21,T_TTAFStock[WeekIndex],43)&gt;0)&gt;0,SUMIFS(T_SelfStock[Self_Qty],T_SelfStock[RM_Code],$A21,T_SelfStock[WeekIndex],43)+SUMIFS(T_TTAFStock[TTAF_Qty],T_TTAFStock[RM_Code],$A21,T_TTAFStock[WeekIndex],43),AQ21+'Grid_Incoming'!AR21-'Grid_Requirement'!AR21))</f>
        <v/>
      </c>
      <c r="AS21">
        <f>IF(COUNTIFS(T_StockCount[RM_Code],$A21,T_StockCount[WeekIndex],44)&gt;0,SUMIFS(T_StockCount[CountedQty],T_StockCount[RM_Code],$A21,T_StockCount[WeekIndex],44),IF((COUNTIFS(T_SelfStock[RM_Code],$A21,T_SelfStock[WeekIndex],44)&gt;0)*(COUNTIFS(T_TTAFStock[RM_Code],$A21,T_TTAFStock[WeekIndex],44)&gt;0)&gt;0,SUMIFS(T_SelfStock[Self_Qty],T_SelfStock[RM_Code],$A21,T_SelfStock[WeekIndex],44)+SUMIFS(T_TTAFStock[TTAF_Qty],T_TTAFStock[RM_Code],$A21,T_TTAFStock[WeekIndex],44),AR21+'Grid_Incoming'!AS21-'Grid_Requirement'!AS21))</f>
        <v/>
      </c>
      <c r="AT21">
        <f>IF(COUNTIFS(T_StockCount[RM_Code],$A21,T_StockCount[WeekIndex],45)&gt;0,SUMIFS(T_StockCount[CountedQty],T_StockCount[RM_Code],$A21,T_StockCount[WeekIndex],45),IF((COUNTIFS(T_SelfStock[RM_Code],$A21,T_SelfStock[WeekIndex],45)&gt;0)*(COUNTIFS(T_TTAFStock[RM_Code],$A21,T_TTAFStock[WeekIndex],45)&gt;0)&gt;0,SUMIFS(T_SelfStock[Self_Qty],T_SelfStock[RM_Code],$A21,T_SelfStock[WeekIndex],45)+SUMIFS(T_TTAFStock[TTAF_Qty],T_TTAFStock[RM_Code],$A21,T_TTAFStock[WeekIndex],45),AS21+'Grid_Incoming'!AT21-'Grid_Requirement'!AT21))</f>
        <v/>
      </c>
      <c r="AU21">
        <f>IF(COUNTIFS(T_StockCount[RM_Code],$A21,T_StockCount[WeekIndex],46)&gt;0,SUMIFS(T_StockCount[CountedQty],T_StockCount[RM_Code],$A21,T_StockCount[WeekIndex],46),IF((COUNTIFS(T_SelfStock[RM_Code],$A21,T_SelfStock[WeekIndex],46)&gt;0)*(COUNTIFS(T_TTAFStock[RM_Code],$A21,T_TTAFStock[WeekIndex],46)&gt;0)&gt;0,SUMIFS(T_SelfStock[Self_Qty],T_SelfStock[RM_Code],$A21,T_SelfStock[WeekIndex],46)+SUMIFS(T_TTAFStock[TTAF_Qty],T_TTAFStock[RM_Code],$A21,T_TTAFStock[WeekIndex],46),AT21+'Grid_Incoming'!AU21-'Grid_Requirement'!AU21))</f>
        <v/>
      </c>
      <c r="AV21">
        <f>IF(COUNTIFS(T_StockCount[RM_Code],$A21,T_StockCount[WeekIndex],47)&gt;0,SUMIFS(T_StockCount[CountedQty],T_StockCount[RM_Code],$A21,T_StockCount[WeekIndex],47),IF((COUNTIFS(T_SelfStock[RM_Code],$A21,T_SelfStock[WeekIndex],47)&gt;0)*(COUNTIFS(T_TTAFStock[RM_Code],$A21,T_TTAFStock[WeekIndex],47)&gt;0)&gt;0,SUMIFS(T_SelfStock[Self_Qty],T_SelfStock[RM_Code],$A21,T_SelfStock[WeekIndex],47)+SUMIFS(T_TTAFStock[TTAF_Qty],T_TTAFStock[RM_Code],$A21,T_TTAFStock[WeekIndex],47),AU21+'Grid_Incoming'!AV21-'Grid_Requirement'!AV21))</f>
        <v/>
      </c>
      <c r="AW21">
        <f>IF(COUNTIFS(T_StockCount[RM_Code],$A21,T_StockCount[WeekIndex],48)&gt;0,SUMIFS(T_StockCount[CountedQty],T_StockCount[RM_Code],$A21,T_StockCount[WeekIndex],48),IF((COUNTIFS(T_SelfStock[RM_Code],$A21,T_SelfStock[WeekIndex],48)&gt;0)*(COUNTIFS(T_TTAFStock[RM_Code],$A21,T_TTAFStock[WeekIndex],48)&gt;0)&gt;0,SUMIFS(T_SelfStock[Self_Qty],T_SelfStock[RM_Code],$A21,T_SelfStock[WeekIndex],48)+SUMIFS(T_TTAFStock[TTAF_Qty],T_TTAFStock[RM_Code],$A21,T_TTAFStock[WeekIndex],48),AV21+'Grid_Incoming'!AW21-'Grid_Requirement'!AW21))</f>
        <v/>
      </c>
      <c r="AX21">
        <f>IF(COUNTIFS(T_StockCount[RM_Code],$A21,T_StockCount[WeekIndex],49)&gt;0,SUMIFS(T_StockCount[CountedQty],T_StockCount[RM_Code],$A21,T_StockCount[WeekIndex],49),IF((COUNTIFS(T_SelfStock[RM_Code],$A21,T_SelfStock[WeekIndex],49)&gt;0)*(COUNTIFS(T_TTAFStock[RM_Code],$A21,T_TTAFStock[WeekIndex],49)&gt;0)&gt;0,SUMIFS(T_SelfStock[Self_Qty],T_SelfStock[RM_Code],$A21,T_SelfStock[WeekIndex],49)+SUMIFS(T_TTAFStock[TTAF_Qty],T_TTAFStock[RM_Code],$A21,T_TTAFStock[WeekIndex],49),AW21+'Grid_Incoming'!AX21-'Grid_Requirement'!AX21))</f>
        <v/>
      </c>
      <c r="AY21">
        <f>IF(COUNTIFS(T_StockCount[RM_Code],$A21,T_StockCount[WeekIndex],50)&gt;0,SUMIFS(T_StockCount[CountedQty],T_StockCount[RM_Code],$A21,T_StockCount[WeekIndex],50),IF((COUNTIFS(T_SelfStock[RM_Code],$A21,T_SelfStock[WeekIndex],50)&gt;0)*(COUNTIFS(T_TTAFStock[RM_Code],$A21,T_TTAFStock[WeekIndex],50)&gt;0)&gt;0,SUMIFS(T_SelfStock[Self_Qty],T_SelfStock[RM_Code],$A21,T_SelfStock[WeekIndex],50)+SUMIFS(T_TTAFStock[TTAF_Qty],T_TTAFStock[RM_Code],$A21,T_TTAFStock[WeekIndex],50),AX21+'Grid_Incoming'!AY21-'Grid_Requirement'!AY21))</f>
        <v/>
      </c>
      <c r="AZ21">
        <f>IF(COUNTIFS(T_StockCount[RM_Code],$A21,T_StockCount[WeekIndex],51)&gt;0,SUMIFS(T_StockCount[CountedQty],T_StockCount[RM_Code],$A21,T_StockCount[WeekIndex],51),IF((COUNTIFS(T_SelfStock[RM_Code],$A21,T_SelfStock[WeekIndex],51)&gt;0)*(COUNTIFS(T_TTAFStock[RM_Code],$A21,T_TTAFStock[WeekIndex],51)&gt;0)&gt;0,SUMIFS(T_SelfStock[Self_Qty],T_SelfStock[RM_Code],$A21,T_SelfStock[WeekIndex],51)+SUMIFS(T_TTAFStock[TTAF_Qty],T_TTAFStock[RM_Code],$A21,T_TTAFStock[WeekIndex],51),AY21+'Grid_Incoming'!AZ21-'Grid_Requirement'!AZ21))</f>
        <v/>
      </c>
      <c r="BA21">
        <f>IF(COUNTIFS(T_StockCount[RM_Code],$A21,T_StockCount[WeekIndex],52)&gt;0,SUMIFS(T_StockCount[CountedQty],T_StockCount[RM_Code],$A21,T_StockCount[WeekIndex],52),IF((COUNTIFS(T_SelfStock[RM_Code],$A21,T_SelfStock[WeekIndex],52)&gt;0)*(COUNTIFS(T_TTAFStock[RM_Code],$A21,T_TTAFStock[WeekIndex],52)&gt;0)&gt;0,SUMIFS(T_SelfStock[Self_Qty],T_SelfStock[RM_Code],$A21,T_SelfStock[WeekIndex],52)+SUMIFS(T_TTAFStock[TTAF_Qty],T_TTAFStock[RM_Code],$A21,T_TTAFStock[WeekIndex],52),AZ21+'Grid_Incoming'!BA21-'Grid_Requirement'!BA21))</f>
        <v/>
      </c>
      <c r="BB21">
        <f>IF(COUNTIFS(T_StockCount[RM_Code],$A21,T_StockCount[WeekIndex],53)&gt;0,SUMIFS(T_StockCount[CountedQty],T_StockCount[RM_Code],$A21,T_StockCount[WeekIndex],53),IF((COUNTIFS(T_SelfStock[RM_Code],$A21,T_SelfStock[WeekIndex],53)&gt;0)*(COUNTIFS(T_TTAFStock[RM_Code],$A21,T_TTAFStock[WeekIndex],53)&gt;0)&gt;0,SUMIFS(T_SelfStock[Self_Qty],T_SelfStock[RM_Code],$A21,T_SelfStock[WeekIndex],53)+SUMIFS(T_TTAFStock[TTAF_Qty],T_TTAFStock[RM_Code],$A21,T_TTAFStock[WeekIndex],53),BA21+'Grid_Incoming'!BB21-'Grid_Requirement'!BB21))</f>
        <v/>
      </c>
      <c r="BC21">
        <f>IF(COUNTIFS(T_StockCount[RM_Code],$A21,T_StockCount[WeekIndex],54)&gt;0,SUMIFS(T_StockCount[CountedQty],T_StockCount[RM_Code],$A21,T_StockCount[WeekIndex],54),IF((COUNTIFS(T_SelfStock[RM_Code],$A21,T_SelfStock[WeekIndex],54)&gt;0)*(COUNTIFS(T_TTAFStock[RM_Code],$A21,T_TTAFStock[WeekIndex],54)&gt;0)&gt;0,SUMIFS(T_SelfStock[Self_Qty],T_SelfStock[RM_Code],$A21,T_SelfStock[WeekIndex],54)+SUMIFS(T_TTAFStock[TTAF_Qty],T_TTAFStock[RM_Code],$A21,T_TTAFStock[WeekIndex],54),BB21+'Grid_Incoming'!BC21-'Grid_Requirement'!BC21))</f>
        <v/>
      </c>
      <c r="BD21">
        <f>IF(COUNTIFS(T_StockCount[RM_Code],$A21,T_StockCount[WeekIndex],55)&gt;0,SUMIFS(T_StockCount[CountedQty],T_StockCount[RM_Code],$A21,T_StockCount[WeekIndex],55),IF((COUNTIFS(T_SelfStock[RM_Code],$A21,T_SelfStock[WeekIndex],55)&gt;0)*(COUNTIFS(T_TTAFStock[RM_Code],$A21,T_TTAFStock[WeekIndex],55)&gt;0)&gt;0,SUMIFS(T_SelfStock[Self_Qty],T_SelfStock[RM_Code],$A21,T_SelfStock[WeekIndex],55)+SUMIFS(T_TTAFStock[TTAF_Qty],T_TTAFStock[RM_Code],$A21,T_TTAFStock[WeekIndex],55),BC21+'Grid_Incoming'!BD21-'Grid_Requirement'!BD21))</f>
        <v/>
      </c>
      <c r="BE21">
        <f>IF(COUNTIFS(T_StockCount[RM_Code],$A21,T_StockCount[WeekIndex],56)&gt;0,SUMIFS(T_StockCount[CountedQty],T_StockCount[RM_Code],$A21,T_StockCount[WeekIndex],56),IF((COUNTIFS(T_SelfStock[RM_Code],$A21,T_SelfStock[WeekIndex],56)&gt;0)*(COUNTIFS(T_TTAFStock[RM_Code],$A21,T_TTAFStock[WeekIndex],56)&gt;0)&gt;0,SUMIFS(T_SelfStock[Self_Qty],T_SelfStock[RM_Code],$A21,T_SelfStock[WeekIndex],56)+SUMIFS(T_TTAFStock[TTAF_Qty],T_TTAFStock[RM_Code],$A21,T_TTAFStock[WeekIndex],56),BD21+'Grid_Incoming'!BE21-'Grid_Requirement'!BE21))</f>
        <v/>
      </c>
      <c r="BF21">
        <f>IF(COUNTIFS(T_StockCount[RM_Code],$A21,T_StockCount[WeekIndex],57)&gt;0,SUMIFS(T_StockCount[CountedQty],T_StockCount[RM_Code],$A21,T_StockCount[WeekIndex],57),IF((COUNTIFS(T_SelfStock[RM_Code],$A21,T_SelfStock[WeekIndex],57)&gt;0)*(COUNTIFS(T_TTAFStock[RM_Code],$A21,T_TTAFStock[WeekIndex],57)&gt;0)&gt;0,SUMIFS(T_SelfStock[Self_Qty],T_SelfStock[RM_Code],$A21,T_SelfStock[WeekIndex],57)+SUMIFS(T_TTAFStock[TTAF_Qty],T_TTAFStock[RM_Code],$A21,T_TTAFStock[WeekIndex],57),BE21+'Grid_Incoming'!BF21-'Grid_Requirement'!BF21))</f>
        <v/>
      </c>
      <c r="BG21">
        <f>IF(COUNTIFS(T_StockCount[RM_Code],$A21,T_StockCount[WeekIndex],58)&gt;0,SUMIFS(T_StockCount[CountedQty],T_StockCount[RM_Code],$A21,T_StockCount[WeekIndex],58),IF((COUNTIFS(T_SelfStock[RM_Code],$A21,T_SelfStock[WeekIndex],58)&gt;0)*(COUNTIFS(T_TTAFStock[RM_Code],$A21,T_TTAFStock[WeekIndex],58)&gt;0)&gt;0,SUMIFS(T_SelfStock[Self_Qty],T_SelfStock[RM_Code],$A21,T_SelfStock[WeekIndex],58)+SUMIFS(T_TTAFStock[TTAF_Qty],T_TTAFStock[RM_Code],$A21,T_TTAFStock[WeekIndex],58),BF21+'Grid_Incoming'!BG21-'Grid_Requirement'!BG21))</f>
        <v/>
      </c>
      <c r="BH21">
        <f>IF(COUNTIFS(T_StockCount[RM_Code],$A21,T_StockCount[WeekIndex],59)&gt;0,SUMIFS(T_StockCount[CountedQty],T_StockCount[RM_Code],$A21,T_StockCount[WeekIndex],59),IF((COUNTIFS(T_SelfStock[RM_Code],$A21,T_SelfStock[WeekIndex],59)&gt;0)*(COUNTIFS(T_TTAFStock[RM_Code],$A21,T_TTAFStock[WeekIndex],59)&gt;0)&gt;0,SUMIFS(T_SelfStock[Self_Qty],T_SelfStock[RM_Code],$A21,T_SelfStock[WeekIndex],59)+SUMIFS(T_TTAFStock[TTAF_Qty],T_TTAFStock[RM_Code],$A21,T_TTAFStock[WeekIndex],59),BG21+'Grid_Incoming'!BH21-'Grid_Requirement'!BH21))</f>
        <v/>
      </c>
      <c r="BI21">
        <f>IF(COUNTIFS(T_StockCount[RM_Code],$A21,T_StockCount[WeekIndex],60)&gt;0,SUMIFS(T_StockCount[CountedQty],T_StockCount[RM_Code],$A21,T_StockCount[WeekIndex],60),IF((COUNTIFS(T_SelfStock[RM_Code],$A21,T_SelfStock[WeekIndex],60)&gt;0)*(COUNTIFS(T_TTAFStock[RM_Code],$A21,T_TTAFStock[WeekIndex],60)&gt;0)&gt;0,SUMIFS(T_SelfStock[Self_Qty],T_SelfStock[RM_Code],$A21,T_SelfStock[WeekIndex],60)+SUMIFS(T_TTAFStock[TTAF_Qty],T_TTAFStock[RM_Code],$A21,T_TTAFStock[WeekIndex],60),BH21+'Grid_Incoming'!BI21-'Grid_Requirement'!BI21))</f>
        <v/>
      </c>
      <c r="BJ21">
        <f>IF(COUNTIFS(T_StockCount[RM_Code],$A21,T_StockCount[WeekIndex],61)&gt;0,SUMIFS(T_StockCount[CountedQty],T_StockCount[RM_Code],$A21,T_StockCount[WeekIndex],61),IF((COUNTIFS(T_SelfStock[RM_Code],$A21,T_SelfStock[WeekIndex],61)&gt;0)*(COUNTIFS(T_TTAFStock[RM_Code],$A21,T_TTAFStock[WeekIndex],61)&gt;0)&gt;0,SUMIFS(T_SelfStock[Self_Qty],T_SelfStock[RM_Code],$A21,T_SelfStock[WeekIndex],61)+SUMIFS(T_TTAFStock[TTAF_Qty],T_TTAFStock[RM_Code],$A21,T_TTAFStock[WeekIndex],61),BI21+'Grid_Incoming'!BJ21-'Grid_Requirement'!BJ21))</f>
        <v/>
      </c>
      <c r="BK21">
        <f>IF(COUNTIFS(T_StockCount[RM_Code],$A21,T_StockCount[WeekIndex],62)&gt;0,SUMIFS(T_StockCount[CountedQty],T_StockCount[RM_Code],$A21,T_StockCount[WeekIndex],62),IF((COUNTIFS(T_SelfStock[RM_Code],$A21,T_SelfStock[WeekIndex],62)&gt;0)*(COUNTIFS(T_TTAFStock[RM_Code],$A21,T_TTAFStock[WeekIndex],62)&gt;0)&gt;0,SUMIFS(T_SelfStock[Self_Qty],T_SelfStock[RM_Code],$A21,T_SelfStock[WeekIndex],62)+SUMIFS(T_TTAFStock[TTAF_Qty],T_TTAFStock[RM_Code],$A21,T_TTAFStock[WeekIndex],62),BJ21+'Grid_Incoming'!BK21-'Grid_Requirement'!BK21))</f>
        <v/>
      </c>
      <c r="BL21">
        <f>IF(COUNTIFS(T_StockCount[RM_Code],$A21,T_StockCount[WeekIndex],63)&gt;0,SUMIFS(T_StockCount[CountedQty],T_StockCount[RM_Code],$A21,T_StockCount[WeekIndex],63),IF((COUNTIFS(T_SelfStock[RM_Code],$A21,T_SelfStock[WeekIndex],63)&gt;0)*(COUNTIFS(T_TTAFStock[RM_Code],$A21,T_TTAFStock[WeekIndex],63)&gt;0)&gt;0,SUMIFS(T_SelfStock[Self_Qty],T_SelfStock[RM_Code],$A21,T_SelfStock[WeekIndex],63)+SUMIFS(T_TTAFStock[TTAF_Qty],T_TTAFStock[RM_Code],$A21,T_TTAFStock[WeekIndex],63),BK21+'Grid_Incoming'!BL21-'Grid_Requirement'!BL21))</f>
        <v/>
      </c>
      <c r="BM21">
        <f>IF(COUNTIFS(T_StockCount[RM_Code],$A21,T_StockCount[WeekIndex],64)&gt;0,SUMIFS(T_StockCount[CountedQty],T_StockCount[RM_Code],$A21,T_StockCount[WeekIndex],64),IF((COUNTIFS(T_SelfStock[RM_Code],$A21,T_SelfStock[WeekIndex],64)&gt;0)*(COUNTIFS(T_TTAFStock[RM_Code],$A21,T_TTAFStock[WeekIndex],64)&gt;0)&gt;0,SUMIFS(T_SelfStock[Self_Qty],T_SelfStock[RM_Code],$A21,T_SelfStock[WeekIndex],64)+SUMIFS(T_TTAFStock[TTAF_Qty],T_TTAFStock[RM_Code],$A21,T_TTAFStock[WeekIndex],64),BL21+'Grid_Incoming'!BM21-'Grid_Requirement'!BM21))</f>
        <v/>
      </c>
      <c r="BN21">
        <f>IF(COUNTIFS(T_StockCount[RM_Code],$A21,T_StockCount[WeekIndex],65)&gt;0,SUMIFS(T_StockCount[CountedQty],T_StockCount[RM_Code],$A21,T_StockCount[WeekIndex],65),IF((COUNTIFS(T_SelfStock[RM_Code],$A21,T_SelfStock[WeekIndex],65)&gt;0)*(COUNTIFS(T_TTAFStock[RM_Code],$A21,T_TTAFStock[WeekIndex],65)&gt;0)&gt;0,SUMIFS(T_SelfStock[Self_Qty],T_SelfStock[RM_Code],$A21,T_SelfStock[WeekIndex],65)+SUMIFS(T_TTAFStock[TTAF_Qty],T_TTAFStock[RM_Code],$A21,T_TTAFStock[WeekIndex],65),BM21+'Grid_Incoming'!BN21-'Grid_Requirement'!BN21))</f>
        <v/>
      </c>
      <c r="BO21">
        <f>IF(COUNTIFS(T_StockCount[RM_Code],$A21,T_StockCount[WeekIndex],66)&gt;0,SUMIFS(T_StockCount[CountedQty],T_StockCount[RM_Code],$A21,T_StockCount[WeekIndex],66),IF((COUNTIFS(T_SelfStock[RM_Code],$A21,T_SelfStock[WeekIndex],66)&gt;0)*(COUNTIFS(T_TTAFStock[RM_Code],$A21,T_TTAFStock[WeekIndex],66)&gt;0)&gt;0,SUMIFS(T_SelfStock[Self_Qty],T_SelfStock[RM_Code],$A21,T_SelfStock[WeekIndex],66)+SUMIFS(T_TTAFStock[TTAF_Qty],T_TTAFStock[RM_Code],$A21,T_TTAFStock[WeekIndex],66),BN21+'Grid_Incoming'!BO21-'Grid_Requirement'!BO21))</f>
        <v/>
      </c>
      <c r="BP21">
        <f>IF(COUNTIFS(T_StockCount[RM_Code],$A21,T_StockCount[WeekIndex],67)&gt;0,SUMIFS(T_StockCount[CountedQty],T_StockCount[RM_Code],$A21,T_StockCount[WeekIndex],67),IF((COUNTIFS(T_SelfStock[RM_Code],$A21,T_SelfStock[WeekIndex],67)&gt;0)*(COUNTIFS(T_TTAFStock[RM_Code],$A21,T_TTAFStock[WeekIndex],67)&gt;0)&gt;0,SUMIFS(T_SelfStock[Self_Qty],T_SelfStock[RM_Code],$A21,T_SelfStock[WeekIndex],67)+SUMIFS(T_TTAFStock[TTAF_Qty],T_TTAFStock[RM_Code],$A21,T_TTAFStock[WeekIndex],67),BO21+'Grid_Incoming'!BP21-'Grid_Requirement'!BP21))</f>
        <v/>
      </c>
      <c r="BQ21">
        <f>IF(COUNTIFS(T_StockCount[RM_Code],$A21,T_StockCount[WeekIndex],68)&gt;0,SUMIFS(T_StockCount[CountedQty],T_StockCount[RM_Code],$A21,T_StockCount[WeekIndex],68),IF((COUNTIFS(T_SelfStock[RM_Code],$A21,T_SelfStock[WeekIndex],68)&gt;0)*(COUNTIFS(T_TTAFStock[RM_Code],$A21,T_TTAFStock[WeekIndex],68)&gt;0)&gt;0,SUMIFS(T_SelfStock[Self_Qty],T_SelfStock[RM_Code],$A21,T_SelfStock[WeekIndex],68)+SUMIFS(T_TTAFStock[TTAF_Qty],T_TTAFStock[RM_Code],$A21,T_TTAFStock[WeekIndex],68),BP21+'Grid_Incoming'!BQ21-'Grid_Requirement'!BQ21))</f>
        <v/>
      </c>
      <c r="BR21">
        <f>IF(COUNTIFS(T_StockCount[RM_Code],$A21,T_StockCount[WeekIndex],69)&gt;0,SUMIFS(T_StockCount[CountedQty],T_StockCount[RM_Code],$A21,T_StockCount[WeekIndex],69),IF((COUNTIFS(T_SelfStock[RM_Code],$A21,T_SelfStock[WeekIndex],69)&gt;0)*(COUNTIFS(T_TTAFStock[RM_Code],$A21,T_TTAFStock[WeekIndex],69)&gt;0)&gt;0,SUMIFS(T_SelfStock[Self_Qty],T_SelfStock[RM_Code],$A21,T_SelfStock[WeekIndex],69)+SUMIFS(T_TTAFStock[TTAF_Qty],T_TTAFStock[RM_Code],$A21,T_TTAFStock[WeekIndex],69),BQ21+'Grid_Incoming'!BR21-'Grid_Requirement'!BR21))</f>
        <v/>
      </c>
      <c r="BS21">
        <f>IF(COUNTIFS(T_StockCount[RM_Code],$A21,T_StockCount[WeekIndex],70)&gt;0,SUMIFS(T_StockCount[CountedQty],T_StockCount[RM_Code],$A21,T_StockCount[WeekIndex],70),IF((COUNTIFS(T_SelfStock[RM_Code],$A21,T_SelfStock[WeekIndex],70)&gt;0)*(COUNTIFS(T_TTAFStock[RM_Code],$A21,T_TTAFStock[WeekIndex],70)&gt;0)&gt;0,SUMIFS(T_SelfStock[Self_Qty],T_SelfStock[RM_Code],$A21,T_SelfStock[WeekIndex],70)+SUMIFS(T_TTAFStock[TTAF_Qty],T_TTAFStock[RM_Code],$A21,T_TTAFStock[WeekIndex],70),BR21+'Grid_Incoming'!BS21-'Grid_Requirement'!BS21))</f>
        <v/>
      </c>
      <c r="BT21">
        <f>IF(COUNTIFS(T_StockCount[RM_Code],$A21,T_StockCount[WeekIndex],71)&gt;0,SUMIFS(T_StockCount[CountedQty],T_StockCount[RM_Code],$A21,T_StockCount[WeekIndex],71),IF((COUNTIFS(T_SelfStock[RM_Code],$A21,T_SelfStock[WeekIndex],71)&gt;0)*(COUNTIFS(T_TTAFStock[RM_Code],$A21,T_TTAFStock[WeekIndex],71)&gt;0)&gt;0,SUMIFS(T_SelfStock[Self_Qty],T_SelfStock[RM_Code],$A21,T_SelfStock[WeekIndex],71)+SUMIFS(T_TTAFStock[TTAF_Qty],T_TTAFStock[RM_Code],$A21,T_TTAFStock[WeekIndex],71),BS21+'Grid_Incoming'!BT21-'Grid_Requirement'!BT21))</f>
        <v/>
      </c>
      <c r="BU21">
        <f>IF(COUNTIFS(T_StockCount[RM_Code],$A21,T_StockCount[WeekIndex],72)&gt;0,SUMIFS(T_StockCount[CountedQty],T_StockCount[RM_Code],$A21,T_StockCount[WeekIndex],72),IF((COUNTIFS(T_SelfStock[RM_Code],$A21,T_SelfStock[WeekIndex],72)&gt;0)*(COUNTIFS(T_TTAFStock[RM_Code],$A21,T_TTAFStock[WeekIndex],72)&gt;0)&gt;0,SUMIFS(T_SelfStock[Self_Qty],T_SelfStock[RM_Code],$A21,T_SelfStock[WeekIndex],72)+SUMIFS(T_TTAFStock[TTAF_Qty],T_TTAFStock[RM_Code],$A21,T_TTAFStock[WeekIndex],72),BT21+'Grid_Incoming'!BU21-'Grid_Requirement'!BU21))</f>
        <v/>
      </c>
      <c r="BV21">
        <f>IF(COUNTIFS(T_StockCount[RM_Code],$A21,T_StockCount[WeekIndex],73)&gt;0,SUMIFS(T_StockCount[CountedQty],T_StockCount[RM_Code],$A21,T_StockCount[WeekIndex],73),IF((COUNTIFS(T_SelfStock[RM_Code],$A21,T_SelfStock[WeekIndex],73)&gt;0)*(COUNTIFS(T_TTAFStock[RM_Code],$A21,T_TTAFStock[WeekIndex],73)&gt;0)&gt;0,SUMIFS(T_SelfStock[Self_Qty],T_SelfStock[RM_Code],$A21,T_SelfStock[WeekIndex],73)+SUMIFS(T_TTAFStock[TTAF_Qty],T_TTAFStock[RM_Code],$A21,T_TTAFStock[WeekIndex],73),BU21+'Grid_Incoming'!BV21-'Grid_Requirement'!BV21))</f>
        <v/>
      </c>
      <c r="BW21">
        <f>IF(COUNTIFS(T_StockCount[RM_Code],$A21,T_StockCount[WeekIndex],74)&gt;0,SUMIFS(T_StockCount[CountedQty],T_StockCount[RM_Code],$A21,T_StockCount[WeekIndex],74),IF((COUNTIFS(T_SelfStock[RM_Code],$A21,T_SelfStock[WeekIndex],74)&gt;0)*(COUNTIFS(T_TTAFStock[RM_Code],$A21,T_TTAFStock[WeekIndex],74)&gt;0)&gt;0,SUMIFS(T_SelfStock[Self_Qty],T_SelfStock[RM_Code],$A21,T_SelfStock[WeekIndex],74)+SUMIFS(T_TTAFStock[TTAF_Qty],T_TTAFStock[RM_Code],$A21,T_TTAFStock[WeekIndex],74),BV21+'Grid_Incoming'!BW21-'Grid_Requirement'!BW21))</f>
        <v/>
      </c>
      <c r="BX21">
        <f>IF(COUNTIFS(T_StockCount[RM_Code],$A21,T_StockCount[WeekIndex],75)&gt;0,SUMIFS(T_StockCount[CountedQty],T_StockCount[RM_Code],$A21,T_StockCount[WeekIndex],75),IF((COUNTIFS(T_SelfStock[RM_Code],$A21,T_SelfStock[WeekIndex],75)&gt;0)*(COUNTIFS(T_TTAFStock[RM_Code],$A21,T_TTAFStock[WeekIndex],75)&gt;0)&gt;0,SUMIFS(T_SelfStock[Self_Qty],T_SelfStock[RM_Code],$A21,T_SelfStock[WeekIndex],75)+SUMIFS(T_TTAFStock[TTAF_Qty],T_TTAFStock[RM_Code],$A21,T_TTAFStock[WeekIndex],75),BW21+'Grid_Incoming'!BX21-'Grid_Requirement'!BX21))</f>
        <v/>
      </c>
      <c r="BY21">
        <f>IF(COUNTIFS(T_StockCount[RM_Code],$A21,T_StockCount[WeekIndex],76)&gt;0,SUMIFS(T_StockCount[CountedQty],T_StockCount[RM_Code],$A21,T_StockCount[WeekIndex],76),IF((COUNTIFS(T_SelfStock[RM_Code],$A21,T_SelfStock[WeekIndex],76)&gt;0)*(COUNTIFS(T_TTAFStock[RM_Code],$A21,T_TTAFStock[WeekIndex],76)&gt;0)&gt;0,SUMIFS(T_SelfStock[Self_Qty],T_SelfStock[RM_Code],$A21,T_SelfStock[WeekIndex],76)+SUMIFS(T_TTAFStock[TTAF_Qty],T_TTAFStock[RM_Code],$A21,T_TTAFStock[WeekIndex],76),BX21+'Grid_Incoming'!BY21-'Grid_Requirement'!BY21))</f>
        <v/>
      </c>
      <c r="BZ21">
        <f>IF(COUNTIFS(T_StockCount[RM_Code],$A21,T_StockCount[WeekIndex],77)&gt;0,SUMIFS(T_StockCount[CountedQty],T_StockCount[RM_Code],$A21,T_StockCount[WeekIndex],77),IF((COUNTIFS(T_SelfStock[RM_Code],$A21,T_SelfStock[WeekIndex],77)&gt;0)*(COUNTIFS(T_TTAFStock[RM_Code],$A21,T_TTAFStock[WeekIndex],77)&gt;0)&gt;0,SUMIFS(T_SelfStock[Self_Qty],T_SelfStock[RM_Code],$A21,T_SelfStock[WeekIndex],77)+SUMIFS(T_TTAFStock[TTAF_Qty],T_TTAFStock[RM_Code],$A21,T_TTAFStock[WeekIndex],77),BY21+'Grid_Incoming'!BZ21-'Grid_Requirement'!BZ21))</f>
        <v/>
      </c>
      <c r="CA21">
        <f>IF(COUNTIFS(T_StockCount[RM_Code],$A21,T_StockCount[WeekIndex],78)&gt;0,SUMIFS(T_StockCount[CountedQty],T_StockCount[RM_Code],$A21,T_StockCount[WeekIndex],78),IF((COUNTIFS(T_SelfStock[RM_Code],$A21,T_SelfStock[WeekIndex],78)&gt;0)*(COUNTIFS(T_TTAFStock[RM_Code],$A21,T_TTAFStock[WeekIndex],78)&gt;0)&gt;0,SUMIFS(T_SelfStock[Self_Qty],T_SelfStock[RM_Code],$A21,T_SelfStock[WeekIndex],78)+SUMIFS(T_TTAFStock[TTAF_Qty],T_TTAFStock[RM_Code],$A21,T_TTAFStock[WeekIndex],78),BZ21+'Grid_Incoming'!CA21-'Grid_Requirement'!CA21))</f>
        <v/>
      </c>
      <c r="CB21">
        <f>IF(COUNTIFS(T_StockCount[RM_Code],$A21,T_StockCount[WeekIndex],79)&gt;0,SUMIFS(T_StockCount[CountedQty],T_StockCount[RM_Code],$A21,T_StockCount[WeekIndex],79),IF((COUNTIFS(T_SelfStock[RM_Code],$A21,T_SelfStock[WeekIndex],79)&gt;0)*(COUNTIFS(T_TTAFStock[RM_Code],$A21,T_TTAFStock[WeekIndex],79)&gt;0)&gt;0,SUMIFS(T_SelfStock[Self_Qty],T_SelfStock[RM_Code],$A21,T_SelfStock[WeekIndex],79)+SUMIFS(T_TTAFStock[TTAF_Qty],T_TTAFStock[RM_Code],$A21,T_TTAFStock[WeekIndex],79),CA21+'Grid_Incoming'!CB21-'Grid_Requirement'!CB21))</f>
        <v/>
      </c>
      <c r="CC21">
        <f>IF(COUNTIFS(T_StockCount[RM_Code],$A21,T_StockCount[WeekIndex],80)&gt;0,SUMIFS(T_StockCount[CountedQty],T_StockCount[RM_Code],$A21,T_StockCount[WeekIndex],80),IF((COUNTIFS(T_SelfStock[RM_Code],$A21,T_SelfStock[WeekIndex],80)&gt;0)*(COUNTIFS(T_TTAFStock[RM_Code],$A21,T_TTAFStock[WeekIndex],80)&gt;0)&gt;0,SUMIFS(T_SelfStock[Self_Qty],T_SelfStock[RM_Code],$A21,T_SelfStock[WeekIndex],80)+SUMIFS(T_TTAFStock[TTAF_Qty],T_TTAFStock[RM_Code],$A21,T_TTAFStock[WeekIndex],80),CB21+'Grid_Incoming'!CC21-'Grid_Requirement'!CC21))</f>
        <v/>
      </c>
      <c r="CD21">
        <f>IF(COUNTIFS(T_StockCount[RM_Code],$A21,T_StockCount[WeekIndex],81)&gt;0,SUMIFS(T_StockCount[CountedQty],T_StockCount[RM_Code],$A21,T_StockCount[WeekIndex],81),IF((COUNTIFS(T_SelfStock[RM_Code],$A21,T_SelfStock[WeekIndex],81)&gt;0)*(COUNTIFS(T_TTAFStock[RM_Code],$A21,T_TTAFStock[WeekIndex],81)&gt;0)&gt;0,SUMIFS(T_SelfStock[Self_Qty],T_SelfStock[RM_Code],$A21,T_SelfStock[WeekIndex],81)+SUMIFS(T_TTAFStock[TTAF_Qty],T_TTAFStock[RM_Code],$A21,T_TTAFStock[WeekIndex],81),CC21+'Grid_Incoming'!CD21-'Grid_Requirement'!CD21))</f>
        <v/>
      </c>
      <c r="CE21">
        <f>IF(COUNTIFS(T_StockCount[RM_Code],$A21,T_StockCount[WeekIndex],82)&gt;0,SUMIFS(T_StockCount[CountedQty],T_StockCount[RM_Code],$A21,T_StockCount[WeekIndex],82),IF((COUNTIFS(T_SelfStock[RM_Code],$A21,T_SelfStock[WeekIndex],82)&gt;0)*(COUNTIFS(T_TTAFStock[RM_Code],$A21,T_TTAFStock[WeekIndex],82)&gt;0)&gt;0,SUMIFS(T_SelfStock[Self_Qty],T_SelfStock[RM_Code],$A21,T_SelfStock[WeekIndex],82)+SUMIFS(T_TTAFStock[TTAF_Qty],T_TTAFStock[RM_Code],$A21,T_TTAFStock[WeekIndex],82),CD21+'Grid_Incoming'!CE21-'Grid_Requirement'!CE21))</f>
        <v/>
      </c>
      <c r="CF21">
        <f>IF(COUNTIFS(T_StockCount[RM_Code],$A21,T_StockCount[WeekIndex],83)&gt;0,SUMIFS(T_StockCount[CountedQty],T_StockCount[RM_Code],$A21,T_StockCount[WeekIndex],83),IF((COUNTIFS(T_SelfStock[RM_Code],$A21,T_SelfStock[WeekIndex],83)&gt;0)*(COUNTIFS(T_TTAFStock[RM_Code],$A21,T_TTAFStock[WeekIndex],83)&gt;0)&gt;0,SUMIFS(T_SelfStock[Self_Qty],T_SelfStock[RM_Code],$A21,T_SelfStock[WeekIndex],83)+SUMIFS(T_TTAFStock[TTAF_Qty],T_TTAFStock[RM_Code],$A21,T_TTAFStock[WeekIndex],83),CE21+'Grid_Incoming'!CF21-'Grid_Requirement'!CF21))</f>
        <v/>
      </c>
      <c r="CG21">
        <f>IF(COUNTIFS(T_StockCount[RM_Code],$A21,T_StockCount[WeekIndex],84)&gt;0,SUMIFS(T_StockCount[CountedQty],T_StockCount[RM_Code],$A21,T_StockCount[WeekIndex],84),IF((COUNTIFS(T_SelfStock[RM_Code],$A21,T_SelfStock[WeekIndex],84)&gt;0)*(COUNTIFS(T_TTAFStock[RM_Code],$A21,T_TTAFStock[WeekIndex],84)&gt;0)&gt;0,SUMIFS(T_SelfStock[Self_Qty],T_SelfStock[RM_Code],$A21,T_SelfStock[WeekIndex],84)+SUMIFS(T_TTAFStock[TTAF_Qty],T_TTAFStock[RM_Code],$A21,T_TTAFStock[WeekIndex],84),CF21+'Grid_Incoming'!CG21-'Grid_Requirement'!CG21))</f>
        <v/>
      </c>
      <c r="CH21">
        <f>IF(COUNTIFS(T_StockCount[RM_Code],$A21,T_StockCount[WeekIndex],85)&gt;0,SUMIFS(T_StockCount[CountedQty],T_StockCount[RM_Code],$A21,T_StockCount[WeekIndex],85),IF((COUNTIFS(T_SelfStock[RM_Code],$A21,T_SelfStock[WeekIndex],85)&gt;0)*(COUNTIFS(T_TTAFStock[RM_Code],$A21,T_TTAFStock[WeekIndex],85)&gt;0)&gt;0,SUMIFS(T_SelfStock[Self_Qty],T_SelfStock[RM_Code],$A21,T_SelfStock[WeekIndex],85)+SUMIFS(T_TTAFStock[TTAF_Qty],T_TTAFStock[RM_Code],$A21,T_TTAFStock[WeekIndex],85),CG21+'Grid_Incoming'!CH21-'Grid_Requirement'!CH21))</f>
        <v/>
      </c>
      <c r="CI21">
        <f>IF(COUNTIFS(T_StockCount[RM_Code],$A21,T_StockCount[WeekIndex],86)&gt;0,SUMIFS(T_StockCount[CountedQty],T_StockCount[RM_Code],$A21,T_StockCount[WeekIndex],86),IF((COUNTIFS(T_SelfStock[RM_Code],$A21,T_SelfStock[WeekIndex],86)&gt;0)*(COUNTIFS(T_TTAFStock[RM_Code],$A21,T_TTAFStock[WeekIndex],86)&gt;0)&gt;0,SUMIFS(T_SelfStock[Self_Qty],T_SelfStock[RM_Code],$A21,T_SelfStock[WeekIndex],86)+SUMIFS(T_TTAFStock[TTAF_Qty],T_TTAFStock[RM_Code],$A21,T_TTAFStock[WeekIndex],86),CH21+'Grid_Incoming'!CI21-'Grid_Requirement'!CI21))</f>
        <v/>
      </c>
      <c r="CJ21">
        <f>IF(COUNTIFS(T_StockCount[RM_Code],$A21,T_StockCount[WeekIndex],87)&gt;0,SUMIFS(T_StockCount[CountedQty],T_StockCount[RM_Code],$A21,T_StockCount[WeekIndex],87),IF((COUNTIFS(T_SelfStock[RM_Code],$A21,T_SelfStock[WeekIndex],87)&gt;0)*(COUNTIFS(T_TTAFStock[RM_Code],$A21,T_TTAFStock[WeekIndex],87)&gt;0)&gt;0,SUMIFS(T_SelfStock[Self_Qty],T_SelfStock[RM_Code],$A21,T_SelfStock[WeekIndex],87)+SUMIFS(T_TTAFStock[TTAF_Qty],T_TTAFStock[RM_Code],$A21,T_TTAFStock[WeekIndex],87),CI21+'Grid_Incoming'!CJ21-'Grid_Requirement'!CJ21))</f>
        <v/>
      </c>
      <c r="CK21">
        <f>IF(COUNTIFS(T_StockCount[RM_Code],$A21,T_StockCount[WeekIndex],88)&gt;0,SUMIFS(T_StockCount[CountedQty],T_StockCount[RM_Code],$A21,T_StockCount[WeekIndex],88),IF((COUNTIFS(T_SelfStock[RM_Code],$A21,T_SelfStock[WeekIndex],88)&gt;0)*(COUNTIFS(T_TTAFStock[RM_Code],$A21,T_TTAFStock[WeekIndex],88)&gt;0)&gt;0,SUMIFS(T_SelfStock[Self_Qty],T_SelfStock[RM_Code],$A21,T_SelfStock[WeekIndex],88)+SUMIFS(T_TTAFStock[TTAF_Qty],T_TTAFStock[RM_Code],$A21,T_TTAFStock[WeekIndex],88),CJ21+'Grid_Incoming'!CK21-'Grid_Requirement'!CK21))</f>
        <v/>
      </c>
      <c r="CL21">
        <f>IF(COUNTIFS(T_StockCount[RM_Code],$A21,T_StockCount[WeekIndex],89)&gt;0,SUMIFS(T_StockCount[CountedQty],T_StockCount[RM_Code],$A21,T_StockCount[WeekIndex],89),IF((COUNTIFS(T_SelfStock[RM_Code],$A21,T_SelfStock[WeekIndex],89)&gt;0)*(COUNTIFS(T_TTAFStock[RM_Code],$A21,T_TTAFStock[WeekIndex],89)&gt;0)&gt;0,SUMIFS(T_SelfStock[Self_Qty],T_SelfStock[RM_Code],$A21,T_SelfStock[WeekIndex],89)+SUMIFS(T_TTAFStock[TTAF_Qty],T_TTAFStock[RM_Code],$A21,T_TTAFStock[WeekIndex],89),CK21+'Grid_Incoming'!CL21-'Grid_Requirement'!CL21))</f>
        <v/>
      </c>
      <c r="CM21">
        <f>IF(COUNTIFS(T_StockCount[RM_Code],$A21,T_StockCount[WeekIndex],90)&gt;0,SUMIFS(T_StockCount[CountedQty],T_StockCount[RM_Code],$A21,T_StockCount[WeekIndex],90),IF((COUNTIFS(T_SelfStock[RM_Code],$A21,T_SelfStock[WeekIndex],90)&gt;0)*(COUNTIFS(T_TTAFStock[RM_Code],$A21,T_TTAFStock[WeekIndex],90)&gt;0)&gt;0,SUMIFS(T_SelfStock[Self_Qty],T_SelfStock[RM_Code],$A21,T_SelfStock[WeekIndex],90)+SUMIFS(T_TTAFStock[TTAF_Qty],T_TTAFStock[RM_Code],$A21,T_TTAFStock[WeekIndex],90),CL21+'Grid_Incoming'!CM21-'Grid_Requirement'!CM21))</f>
        <v/>
      </c>
      <c r="CN21">
        <f>IF(COUNTIFS(T_StockCount[RM_Code],$A21,T_StockCount[WeekIndex],91)&gt;0,SUMIFS(T_StockCount[CountedQty],T_StockCount[RM_Code],$A21,T_StockCount[WeekIndex],91),IF((COUNTIFS(T_SelfStock[RM_Code],$A21,T_SelfStock[WeekIndex],91)&gt;0)*(COUNTIFS(T_TTAFStock[RM_Code],$A21,T_TTAFStock[WeekIndex],91)&gt;0)&gt;0,SUMIFS(T_SelfStock[Self_Qty],T_SelfStock[RM_Code],$A21,T_SelfStock[WeekIndex],91)+SUMIFS(T_TTAFStock[TTAF_Qty],T_TTAFStock[RM_Code],$A21,T_TTAFStock[WeekIndex],91),CM21+'Grid_Incoming'!CN21-'Grid_Requirement'!CN21))</f>
        <v/>
      </c>
      <c r="CO21">
        <f>IF(COUNTIFS(T_StockCount[RM_Code],$A21,T_StockCount[WeekIndex],92)&gt;0,SUMIFS(T_StockCount[CountedQty],T_StockCount[RM_Code],$A21,T_StockCount[WeekIndex],92),IF((COUNTIFS(T_SelfStock[RM_Code],$A21,T_SelfStock[WeekIndex],92)&gt;0)*(COUNTIFS(T_TTAFStock[RM_Code],$A21,T_TTAFStock[WeekIndex],92)&gt;0)&gt;0,SUMIFS(T_SelfStock[Self_Qty],T_SelfStock[RM_Code],$A21,T_SelfStock[WeekIndex],92)+SUMIFS(T_TTAFStock[TTAF_Qty],T_TTAFStock[RM_Code],$A21,T_TTAFStock[WeekIndex],92),CN21+'Grid_Incoming'!CO21-'Grid_Requirement'!CO21))</f>
        <v/>
      </c>
      <c r="CP21">
        <f>IF(COUNTIFS(T_StockCount[RM_Code],$A21,T_StockCount[WeekIndex],93)&gt;0,SUMIFS(T_StockCount[CountedQty],T_StockCount[RM_Code],$A21,T_StockCount[WeekIndex],93),IF((COUNTIFS(T_SelfStock[RM_Code],$A21,T_SelfStock[WeekIndex],93)&gt;0)*(COUNTIFS(T_TTAFStock[RM_Code],$A21,T_TTAFStock[WeekIndex],93)&gt;0)&gt;0,SUMIFS(T_SelfStock[Self_Qty],T_SelfStock[RM_Code],$A21,T_SelfStock[WeekIndex],93)+SUMIFS(T_TTAFStock[TTAF_Qty],T_TTAFStock[RM_Code],$A21,T_TTAFStock[WeekIndex],93),CO21+'Grid_Incoming'!CP21-'Grid_Requirement'!CP21))</f>
        <v/>
      </c>
      <c r="CQ21">
        <f>IF(COUNTIFS(T_StockCount[RM_Code],$A21,T_StockCount[WeekIndex],94)&gt;0,SUMIFS(T_StockCount[CountedQty],T_StockCount[RM_Code],$A21,T_StockCount[WeekIndex],94),IF((COUNTIFS(T_SelfStock[RM_Code],$A21,T_SelfStock[WeekIndex],94)&gt;0)*(COUNTIFS(T_TTAFStock[RM_Code],$A21,T_TTAFStock[WeekIndex],94)&gt;0)&gt;0,SUMIFS(T_SelfStock[Self_Qty],T_SelfStock[RM_Code],$A21,T_SelfStock[WeekIndex],94)+SUMIFS(T_TTAFStock[TTAF_Qty],T_TTAFStock[RM_Code],$A21,T_TTAFStock[WeekIndex],94),CP21+'Grid_Incoming'!CQ21-'Grid_Requirement'!CQ21))</f>
        <v/>
      </c>
      <c r="CR21">
        <f>IF(COUNTIFS(T_StockCount[RM_Code],$A21,T_StockCount[WeekIndex],95)&gt;0,SUMIFS(T_StockCount[CountedQty],T_StockCount[RM_Code],$A21,T_StockCount[WeekIndex],95),IF((COUNTIFS(T_SelfStock[RM_Code],$A21,T_SelfStock[WeekIndex],95)&gt;0)*(COUNTIFS(T_TTAFStock[RM_Code],$A21,T_TTAFStock[WeekIndex],95)&gt;0)&gt;0,SUMIFS(T_SelfStock[Self_Qty],T_SelfStock[RM_Code],$A21,T_SelfStock[WeekIndex],95)+SUMIFS(T_TTAFStock[TTAF_Qty],T_TTAFStock[RM_Code],$A21,T_TTAFStock[WeekIndex],95),CQ21+'Grid_Incoming'!CR21-'Grid_Requirement'!CR21))</f>
        <v/>
      </c>
      <c r="CS21">
        <f>IF(COUNTIFS(T_StockCount[RM_Code],$A21,T_StockCount[WeekIndex],96)&gt;0,SUMIFS(T_StockCount[CountedQty],T_StockCount[RM_Code],$A21,T_StockCount[WeekIndex],96),IF((COUNTIFS(T_SelfStock[RM_Code],$A21,T_SelfStock[WeekIndex],96)&gt;0)*(COUNTIFS(T_TTAFStock[RM_Code],$A21,T_TTAFStock[WeekIndex],96)&gt;0)&gt;0,SUMIFS(T_SelfStock[Self_Qty],T_SelfStock[RM_Code],$A21,T_SelfStock[WeekIndex],96)+SUMIFS(T_TTAFStock[TTAF_Qty],T_TTAFStock[RM_Code],$A21,T_TTAFStock[WeekIndex],96),CR21+'Grid_Incoming'!CS21-'Grid_Requirement'!CS21))</f>
        <v/>
      </c>
      <c r="CT21">
        <f>IF(COUNTIFS(T_StockCount[RM_Code],$A21,T_StockCount[WeekIndex],97)&gt;0,SUMIFS(T_StockCount[CountedQty],T_StockCount[RM_Code],$A21,T_StockCount[WeekIndex],97),IF((COUNTIFS(T_SelfStock[RM_Code],$A21,T_SelfStock[WeekIndex],97)&gt;0)*(COUNTIFS(T_TTAFStock[RM_Code],$A21,T_TTAFStock[WeekIndex],97)&gt;0)&gt;0,SUMIFS(T_SelfStock[Self_Qty],T_SelfStock[RM_Code],$A21,T_SelfStock[WeekIndex],97)+SUMIFS(T_TTAFStock[TTAF_Qty],T_TTAFStock[RM_Code],$A21,T_TTAFStock[WeekIndex],97),CS21+'Grid_Incoming'!CT21-'Grid_Requirement'!CT21))</f>
        <v/>
      </c>
      <c r="CU21">
        <f>IF(COUNTIFS(T_StockCount[RM_Code],$A21,T_StockCount[WeekIndex],98)&gt;0,SUMIFS(T_StockCount[CountedQty],T_StockCount[RM_Code],$A21,T_StockCount[WeekIndex],98),IF((COUNTIFS(T_SelfStock[RM_Code],$A21,T_SelfStock[WeekIndex],98)&gt;0)*(COUNTIFS(T_TTAFStock[RM_Code],$A21,T_TTAFStock[WeekIndex],98)&gt;0)&gt;0,SUMIFS(T_SelfStock[Self_Qty],T_SelfStock[RM_Code],$A21,T_SelfStock[WeekIndex],98)+SUMIFS(T_TTAFStock[TTAF_Qty],T_TTAFStock[RM_Code],$A21,T_TTAFStock[WeekIndex],98),CT21+'Grid_Incoming'!CU21-'Grid_Requirement'!CU21))</f>
        <v/>
      </c>
      <c r="CV21">
        <f>IF(COUNTIFS(T_StockCount[RM_Code],$A21,T_StockCount[WeekIndex],99)&gt;0,SUMIFS(T_StockCount[CountedQty],T_StockCount[RM_Code],$A21,T_StockCount[WeekIndex],99),IF((COUNTIFS(T_SelfStock[RM_Code],$A21,T_SelfStock[WeekIndex],99)&gt;0)*(COUNTIFS(T_TTAFStock[RM_Code],$A21,T_TTAFStock[WeekIndex],99)&gt;0)&gt;0,SUMIFS(T_SelfStock[Self_Qty],T_SelfStock[RM_Code],$A21,T_SelfStock[WeekIndex],99)+SUMIFS(T_TTAFStock[TTAF_Qty],T_TTAFStock[RM_Code],$A21,T_TTAFStock[WeekIndex],99),CU21+'Grid_Incoming'!CV21-'Grid_Requirement'!CV21))</f>
        <v/>
      </c>
      <c r="CW21">
        <f>IF(COUNTIFS(T_StockCount[RM_Code],$A21,T_StockCount[WeekIndex],100)&gt;0,SUMIFS(T_StockCount[CountedQty],T_StockCount[RM_Code],$A21,T_StockCount[WeekIndex],100),IF((COUNTIFS(T_SelfStock[RM_Code],$A21,T_SelfStock[WeekIndex],100)&gt;0)*(COUNTIFS(T_TTAFStock[RM_Code],$A21,T_TTAFStock[WeekIndex],100)&gt;0)&gt;0,SUMIFS(T_SelfStock[Self_Qty],T_SelfStock[RM_Code],$A21,T_SelfStock[WeekIndex],100)+SUMIFS(T_TTAFStock[TTAF_Qty],T_TTAFStock[RM_Code],$A21,T_TTAFStock[WeekIndex],100),CV21+'Grid_Incoming'!CW21-'Grid_Requirement'!CW21))</f>
        <v/>
      </c>
      <c r="CX21">
        <f>IF(COUNTIFS(T_StockCount[RM_Code],$A21,T_StockCount[WeekIndex],101)&gt;0,SUMIFS(T_StockCount[CountedQty],T_StockCount[RM_Code],$A21,T_StockCount[WeekIndex],101),IF((COUNTIFS(T_SelfStock[RM_Code],$A21,T_SelfStock[WeekIndex],101)&gt;0)*(COUNTIFS(T_TTAFStock[RM_Code],$A21,T_TTAFStock[WeekIndex],101)&gt;0)&gt;0,SUMIFS(T_SelfStock[Self_Qty],T_SelfStock[RM_Code],$A21,T_SelfStock[WeekIndex],101)+SUMIFS(T_TTAFStock[TTAF_Qty],T_TTAFStock[RM_Code],$A21,T_TTAFStock[WeekIndex],101),CW21+'Grid_Incoming'!CX21-'Grid_Requirement'!CX21))</f>
        <v/>
      </c>
      <c r="CY21">
        <f>IF(COUNTIFS(T_StockCount[RM_Code],$A21,T_StockCount[WeekIndex],102)&gt;0,SUMIFS(T_StockCount[CountedQty],T_StockCount[RM_Code],$A21,T_StockCount[WeekIndex],102),IF((COUNTIFS(T_SelfStock[RM_Code],$A21,T_SelfStock[WeekIndex],102)&gt;0)*(COUNTIFS(T_TTAFStock[RM_Code],$A21,T_TTAFStock[WeekIndex],102)&gt;0)&gt;0,SUMIFS(T_SelfStock[Self_Qty],T_SelfStock[RM_Code],$A21,T_SelfStock[WeekIndex],102)+SUMIFS(T_TTAFStock[TTAF_Qty],T_TTAFStock[RM_Code],$A21,T_TTAFStock[WeekIndex],102),CX21+'Grid_Incoming'!CY21-'Grid_Requirement'!CY21))</f>
        <v/>
      </c>
      <c r="CZ21">
        <f>IF(COUNTIFS(T_StockCount[RM_Code],$A21,T_StockCount[WeekIndex],103)&gt;0,SUMIFS(T_StockCount[CountedQty],T_StockCount[RM_Code],$A21,T_StockCount[WeekIndex],103),IF((COUNTIFS(T_SelfStock[RM_Code],$A21,T_SelfStock[WeekIndex],103)&gt;0)*(COUNTIFS(T_TTAFStock[RM_Code],$A21,T_TTAFStock[WeekIndex],103)&gt;0)&gt;0,SUMIFS(T_SelfStock[Self_Qty],T_SelfStock[RM_Code],$A21,T_SelfStock[WeekIndex],103)+SUMIFS(T_TTAFStock[TTAF_Qty],T_TTAFStock[RM_Code],$A21,T_TTAFStock[WeekIndex],103),CY21+'Grid_Incoming'!CZ21-'Grid_Requirement'!CZ21))</f>
        <v/>
      </c>
      <c r="DA21">
        <f>IF(COUNTIFS(T_StockCount[RM_Code],$A21,T_StockCount[WeekIndex],104)&gt;0,SUMIFS(T_StockCount[CountedQty],T_StockCount[RM_Code],$A21,T_StockCount[WeekIndex],104),IF((COUNTIFS(T_SelfStock[RM_Code],$A21,T_SelfStock[WeekIndex],104)&gt;0)*(COUNTIFS(T_TTAFStock[RM_Code],$A21,T_TTAFStock[WeekIndex],104)&gt;0)&gt;0,SUMIFS(T_SelfStock[Self_Qty],T_SelfStock[RM_Code],$A21,T_SelfStock[WeekIndex],104)+SUMIFS(T_TTAFStock[TTAF_Qty],T_TTAFStock[RM_Code],$A21,T_TTAFStock[WeekIndex],104),CZ21+'Grid_Incoming'!DA21-'Grid_Requirement'!DA21))</f>
        <v/>
      </c>
    </row>
    <row r="22">
      <c r="A22" t="inlineStr">
        <is>
          <t>CHEM-1600</t>
        </is>
      </c>
      <c r="B22">
        <f>IF(COUNTIFS(T_StockCount[RM_Code],$A22,T_StockCount[WeekIndex],1)&gt;0,SUMIFS(T_StockCount[CountedQty],T_StockCount[RM_Code],$A22,T_StockCount[WeekIndex],1),IF((COUNTIFS(T_SelfStock[RM_Code],$A22,T_SelfStock[WeekIndex],1)&gt;0)*(COUNTIFS(T_TTAFStock[RM_Code],$A22,T_TTAFStock[WeekIndex],1)&gt;0)&gt;0,SUMIFS(T_SelfStock[Self_Qty],T_SelfStock[RM_Code],$A22,T_SelfStock[WeekIndex],1)+SUMIFS(T_TTAFStock[TTAF_Qty],T_TTAFStock[RM_Code],$A22,T_TTAFStock[WeekIndex],1),IFERROR(INDEX(T_OpeningStock[Opening_Qty],MATCH($A22,T_OpeningStock[RM_Code],0)),0)+'Grid_Incoming'!B22-'Grid_Requirement'!B22))</f>
        <v/>
      </c>
      <c r="C22">
        <f>IF(COUNTIFS(T_StockCount[RM_Code],$A22,T_StockCount[WeekIndex],2)&gt;0,SUMIFS(T_StockCount[CountedQty],T_StockCount[RM_Code],$A22,T_StockCount[WeekIndex],2),IF((COUNTIFS(T_SelfStock[RM_Code],$A22,T_SelfStock[WeekIndex],2)&gt;0)*(COUNTIFS(T_TTAFStock[RM_Code],$A22,T_TTAFStock[WeekIndex],2)&gt;0)&gt;0,SUMIFS(T_SelfStock[Self_Qty],T_SelfStock[RM_Code],$A22,T_SelfStock[WeekIndex],2)+SUMIFS(T_TTAFStock[TTAF_Qty],T_TTAFStock[RM_Code],$A22,T_TTAFStock[WeekIndex],2),B22+'Grid_Incoming'!C22-'Grid_Requirement'!C22))</f>
        <v/>
      </c>
      <c r="D22">
        <f>IF(COUNTIFS(T_StockCount[RM_Code],$A22,T_StockCount[WeekIndex],3)&gt;0,SUMIFS(T_StockCount[CountedQty],T_StockCount[RM_Code],$A22,T_StockCount[WeekIndex],3),IF((COUNTIFS(T_SelfStock[RM_Code],$A22,T_SelfStock[WeekIndex],3)&gt;0)*(COUNTIFS(T_TTAFStock[RM_Code],$A22,T_TTAFStock[WeekIndex],3)&gt;0)&gt;0,SUMIFS(T_SelfStock[Self_Qty],T_SelfStock[RM_Code],$A22,T_SelfStock[WeekIndex],3)+SUMIFS(T_TTAFStock[TTAF_Qty],T_TTAFStock[RM_Code],$A22,T_TTAFStock[WeekIndex],3),C22+'Grid_Incoming'!D22-'Grid_Requirement'!D22))</f>
        <v/>
      </c>
      <c r="E22">
        <f>IF(COUNTIFS(T_StockCount[RM_Code],$A22,T_StockCount[WeekIndex],4)&gt;0,SUMIFS(T_StockCount[CountedQty],T_StockCount[RM_Code],$A22,T_StockCount[WeekIndex],4),IF((COUNTIFS(T_SelfStock[RM_Code],$A22,T_SelfStock[WeekIndex],4)&gt;0)*(COUNTIFS(T_TTAFStock[RM_Code],$A22,T_TTAFStock[WeekIndex],4)&gt;0)&gt;0,SUMIFS(T_SelfStock[Self_Qty],T_SelfStock[RM_Code],$A22,T_SelfStock[WeekIndex],4)+SUMIFS(T_TTAFStock[TTAF_Qty],T_TTAFStock[RM_Code],$A22,T_TTAFStock[WeekIndex],4),D22+'Grid_Incoming'!E22-'Grid_Requirement'!E22))</f>
        <v/>
      </c>
      <c r="F22">
        <f>IF(COUNTIFS(T_StockCount[RM_Code],$A22,T_StockCount[WeekIndex],5)&gt;0,SUMIFS(T_StockCount[CountedQty],T_StockCount[RM_Code],$A22,T_StockCount[WeekIndex],5),IF((COUNTIFS(T_SelfStock[RM_Code],$A22,T_SelfStock[WeekIndex],5)&gt;0)*(COUNTIFS(T_TTAFStock[RM_Code],$A22,T_TTAFStock[WeekIndex],5)&gt;0)&gt;0,SUMIFS(T_SelfStock[Self_Qty],T_SelfStock[RM_Code],$A22,T_SelfStock[WeekIndex],5)+SUMIFS(T_TTAFStock[TTAF_Qty],T_TTAFStock[RM_Code],$A22,T_TTAFStock[WeekIndex],5),E22+'Grid_Incoming'!F22-'Grid_Requirement'!F22))</f>
        <v/>
      </c>
      <c r="G22">
        <f>IF(COUNTIFS(T_StockCount[RM_Code],$A22,T_StockCount[WeekIndex],6)&gt;0,SUMIFS(T_StockCount[CountedQty],T_StockCount[RM_Code],$A22,T_StockCount[WeekIndex],6),IF((COUNTIFS(T_SelfStock[RM_Code],$A22,T_SelfStock[WeekIndex],6)&gt;0)*(COUNTIFS(T_TTAFStock[RM_Code],$A22,T_TTAFStock[WeekIndex],6)&gt;0)&gt;0,SUMIFS(T_SelfStock[Self_Qty],T_SelfStock[RM_Code],$A22,T_SelfStock[WeekIndex],6)+SUMIFS(T_TTAFStock[TTAF_Qty],T_TTAFStock[RM_Code],$A22,T_TTAFStock[WeekIndex],6),F22+'Grid_Incoming'!G22-'Grid_Requirement'!G22))</f>
        <v/>
      </c>
      <c r="H22">
        <f>IF(COUNTIFS(T_StockCount[RM_Code],$A22,T_StockCount[WeekIndex],7)&gt;0,SUMIFS(T_StockCount[CountedQty],T_StockCount[RM_Code],$A22,T_StockCount[WeekIndex],7),IF((COUNTIFS(T_SelfStock[RM_Code],$A22,T_SelfStock[WeekIndex],7)&gt;0)*(COUNTIFS(T_TTAFStock[RM_Code],$A22,T_TTAFStock[WeekIndex],7)&gt;0)&gt;0,SUMIFS(T_SelfStock[Self_Qty],T_SelfStock[RM_Code],$A22,T_SelfStock[WeekIndex],7)+SUMIFS(T_TTAFStock[TTAF_Qty],T_TTAFStock[RM_Code],$A22,T_TTAFStock[WeekIndex],7),G22+'Grid_Incoming'!H22-'Grid_Requirement'!H22))</f>
        <v/>
      </c>
      <c r="I22">
        <f>IF(COUNTIFS(T_StockCount[RM_Code],$A22,T_StockCount[WeekIndex],8)&gt;0,SUMIFS(T_StockCount[CountedQty],T_StockCount[RM_Code],$A22,T_StockCount[WeekIndex],8),IF((COUNTIFS(T_SelfStock[RM_Code],$A22,T_SelfStock[WeekIndex],8)&gt;0)*(COUNTIFS(T_TTAFStock[RM_Code],$A22,T_TTAFStock[WeekIndex],8)&gt;0)&gt;0,SUMIFS(T_SelfStock[Self_Qty],T_SelfStock[RM_Code],$A22,T_SelfStock[WeekIndex],8)+SUMIFS(T_TTAFStock[TTAF_Qty],T_TTAFStock[RM_Code],$A22,T_TTAFStock[WeekIndex],8),H22+'Grid_Incoming'!I22-'Grid_Requirement'!I22))</f>
        <v/>
      </c>
      <c r="J22">
        <f>IF(COUNTIFS(T_StockCount[RM_Code],$A22,T_StockCount[WeekIndex],9)&gt;0,SUMIFS(T_StockCount[CountedQty],T_StockCount[RM_Code],$A22,T_StockCount[WeekIndex],9),IF((COUNTIFS(T_SelfStock[RM_Code],$A22,T_SelfStock[WeekIndex],9)&gt;0)*(COUNTIFS(T_TTAFStock[RM_Code],$A22,T_TTAFStock[WeekIndex],9)&gt;0)&gt;0,SUMIFS(T_SelfStock[Self_Qty],T_SelfStock[RM_Code],$A22,T_SelfStock[WeekIndex],9)+SUMIFS(T_TTAFStock[TTAF_Qty],T_TTAFStock[RM_Code],$A22,T_TTAFStock[WeekIndex],9),I22+'Grid_Incoming'!J22-'Grid_Requirement'!J22))</f>
        <v/>
      </c>
      <c r="K22">
        <f>IF(COUNTIFS(T_StockCount[RM_Code],$A22,T_StockCount[WeekIndex],10)&gt;0,SUMIFS(T_StockCount[CountedQty],T_StockCount[RM_Code],$A22,T_StockCount[WeekIndex],10),IF((COUNTIFS(T_SelfStock[RM_Code],$A22,T_SelfStock[WeekIndex],10)&gt;0)*(COUNTIFS(T_TTAFStock[RM_Code],$A22,T_TTAFStock[WeekIndex],10)&gt;0)&gt;0,SUMIFS(T_SelfStock[Self_Qty],T_SelfStock[RM_Code],$A22,T_SelfStock[WeekIndex],10)+SUMIFS(T_TTAFStock[TTAF_Qty],T_TTAFStock[RM_Code],$A22,T_TTAFStock[WeekIndex],10),J22+'Grid_Incoming'!K22-'Grid_Requirement'!K22))</f>
        <v/>
      </c>
      <c r="L22">
        <f>IF(COUNTIFS(T_StockCount[RM_Code],$A22,T_StockCount[WeekIndex],11)&gt;0,SUMIFS(T_StockCount[CountedQty],T_StockCount[RM_Code],$A22,T_StockCount[WeekIndex],11),IF((COUNTIFS(T_SelfStock[RM_Code],$A22,T_SelfStock[WeekIndex],11)&gt;0)*(COUNTIFS(T_TTAFStock[RM_Code],$A22,T_TTAFStock[WeekIndex],11)&gt;0)&gt;0,SUMIFS(T_SelfStock[Self_Qty],T_SelfStock[RM_Code],$A22,T_SelfStock[WeekIndex],11)+SUMIFS(T_TTAFStock[TTAF_Qty],T_TTAFStock[RM_Code],$A22,T_TTAFStock[WeekIndex],11),K22+'Grid_Incoming'!L22-'Grid_Requirement'!L22))</f>
        <v/>
      </c>
      <c r="M22">
        <f>IF(COUNTIFS(T_StockCount[RM_Code],$A22,T_StockCount[WeekIndex],12)&gt;0,SUMIFS(T_StockCount[CountedQty],T_StockCount[RM_Code],$A22,T_StockCount[WeekIndex],12),IF((COUNTIFS(T_SelfStock[RM_Code],$A22,T_SelfStock[WeekIndex],12)&gt;0)*(COUNTIFS(T_TTAFStock[RM_Code],$A22,T_TTAFStock[WeekIndex],12)&gt;0)&gt;0,SUMIFS(T_SelfStock[Self_Qty],T_SelfStock[RM_Code],$A22,T_SelfStock[WeekIndex],12)+SUMIFS(T_TTAFStock[TTAF_Qty],T_TTAFStock[RM_Code],$A22,T_TTAFStock[WeekIndex],12),L22+'Grid_Incoming'!M22-'Grid_Requirement'!M22))</f>
        <v/>
      </c>
      <c r="N22">
        <f>IF(COUNTIFS(T_StockCount[RM_Code],$A22,T_StockCount[WeekIndex],13)&gt;0,SUMIFS(T_StockCount[CountedQty],T_StockCount[RM_Code],$A22,T_StockCount[WeekIndex],13),IF((COUNTIFS(T_SelfStock[RM_Code],$A22,T_SelfStock[WeekIndex],13)&gt;0)*(COUNTIFS(T_TTAFStock[RM_Code],$A22,T_TTAFStock[WeekIndex],13)&gt;0)&gt;0,SUMIFS(T_SelfStock[Self_Qty],T_SelfStock[RM_Code],$A22,T_SelfStock[WeekIndex],13)+SUMIFS(T_TTAFStock[TTAF_Qty],T_TTAFStock[RM_Code],$A22,T_TTAFStock[WeekIndex],13),M22+'Grid_Incoming'!N22-'Grid_Requirement'!N22))</f>
        <v/>
      </c>
      <c r="O22">
        <f>IF(COUNTIFS(T_StockCount[RM_Code],$A22,T_StockCount[WeekIndex],14)&gt;0,SUMIFS(T_StockCount[CountedQty],T_StockCount[RM_Code],$A22,T_StockCount[WeekIndex],14),IF((COUNTIFS(T_SelfStock[RM_Code],$A22,T_SelfStock[WeekIndex],14)&gt;0)*(COUNTIFS(T_TTAFStock[RM_Code],$A22,T_TTAFStock[WeekIndex],14)&gt;0)&gt;0,SUMIFS(T_SelfStock[Self_Qty],T_SelfStock[RM_Code],$A22,T_SelfStock[WeekIndex],14)+SUMIFS(T_TTAFStock[TTAF_Qty],T_TTAFStock[RM_Code],$A22,T_TTAFStock[WeekIndex],14),N22+'Grid_Incoming'!O22-'Grid_Requirement'!O22))</f>
        <v/>
      </c>
      <c r="P22">
        <f>IF(COUNTIFS(T_StockCount[RM_Code],$A22,T_StockCount[WeekIndex],15)&gt;0,SUMIFS(T_StockCount[CountedQty],T_StockCount[RM_Code],$A22,T_StockCount[WeekIndex],15),IF((COUNTIFS(T_SelfStock[RM_Code],$A22,T_SelfStock[WeekIndex],15)&gt;0)*(COUNTIFS(T_TTAFStock[RM_Code],$A22,T_TTAFStock[WeekIndex],15)&gt;0)&gt;0,SUMIFS(T_SelfStock[Self_Qty],T_SelfStock[RM_Code],$A22,T_SelfStock[WeekIndex],15)+SUMIFS(T_TTAFStock[TTAF_Qty],T_TTAFStock[RM_Code],$A22,T_TTAFStock[WeekIndex],15),O22+'Grid_Incoming'!P22-'Grid_Requirement'!P22))</f>
        <v/>
      </c>
      <c r="Q22">
        <f>IF(COUNTIFS(T_StockCount[RM_Code],$A22,T_StockCount[WeekIndex],16)&gt;0,SUMIFS(T_StockCount[CountedQty],T_StockCount[RM_Code],$A22,T_StockCount[WeekIndex],16),IF((COUNTIFS(T_SelfStock[RM_Code],$A22,T_SelfStock[WeekIndex],16)&gt;0)*(COUNTIFS(T_TTAFStock[RM_Code],$A22,T_TTAFStock[WeekIndex],16)&gt;0)&gt;0,SUMIFS(T_SelfStock[Self_Qty],T_SelfStock[RM_Code],$A22,T_SelfStock[WeekIndex],16)+SUMIFS(T_TTAFStock[TTAF_Qty],T_TTAFStock[RM_Code],$A22,T_TTAFStock[WeekIndex],16),P22+'Grid_Incoming'!Q22-'Grid_Requirement'!Q22))</f>
        <v/>
      </c>
      <c r="R22">
        <f>IF(COUNTIFS(T_StockCount[RM_Code],$A22,T_StockCount[WeekIndex],17)&gt;0,SUMIFS(T_StockCount[CountedQty],T_StockCount[RM_Code],$A22,T_StockCount[WeekIndex],17),IF((COUNTIFS(T_SelfStock[RM_Code],$A22,T_SelfStock[WeekIndex],17)&gt;0)*(COUNTIFS(T_TTAFStock[RM_Code],$A22,T_TTAFStock[WeekIndex],17)&gt;0)&gt;0,SUMIFS(T_SelfStock[Self_Qty],T_SelfStock[RM_Code],$A22,T_SelfStock[WeekIndex],17)+SUMIFS(T_TTAFStock[TTAF_Qty],T_TTAFStock[RM_Code],$A22,T_TTAFStock[WeekIndex],17),Q22+'Grid_Incoming'!R22-'Grid_Requirement'!R22))</f>
        <v/>
      </c>
      <c r="S22">
        <f>IF(COUNTIFS(T_StockCount[RM_Code],$A22,T_StockCount[WeekIndex],18)&gt;0,SUMIFS(T_StockCount[CountedQty],T_StockCount[RM_Code],$A22,T_StockCount[WeekIndex],18),IF((COUNTIFS(T_SelfStock[RM_Code],$A22,T_SelfStock[WeekIndex],18)&gt;0)*(COUNTIFS(T_TTAFStock[RM_Code],$A22,T_TTAFStock[WeekIndex],18)&gt;0)&gt;0,SUMIFS(T_SelfStock[Self_Qty],T_SelfStock[RM_Code],$A22,T_SelfStock[WeekIndex],18)+SUMIFS(T_TTAFStock[TTAF_Qty],T_TTAFStock[RM_Code],$A22,T_TTAFStock[WeekIndex],18),R22+'Grid_Incoming'!S22-'Grid_Requirement'!S22))</f>
        <v/>
      </c>
      <c r="T22">
        <f>IF(COUNTIFS(T_StockCount[RM_Code],$A22,T_StockCount[WeekIndex],19)&gt;0,SUMIFS(T_StockCount[CountedQty],T_StockCount[RM_Code],$A22,T_StockCount[WeekIndex],19),IF((COUNTIFS(T_SelfStock[RM_Code],$A22,T_SelfStock[WeekIndex],19)&gt;0)*(COUNTIFS(T_TTAFStock[RM_Code],$A22,T_TTAFStock[WeekIndex],19)&gt;0)&gt;0,SUMIFS(T_SelfStock[Self_Qty],T_SelfStock[RM_Code],$A22,T_SelfStock[WeekIndex],19)+SUMIFS(T_TTAFStock[TTAF_Qty],T_TTAFStock[RM_Code],$A22,T_TTAFStock[WeekIndex],19),S22+'Grid_Incoming'!T22-'Grid_Requirement'!T22))</f>
        <v/>
      </c>
      <c r="U22">
        <f>IF(COUNTIFS(T_StockCount[RM_Code],$A22,T_StockCount[WeekIndex],20)&gt;0,SUMIFS(T_StockCount[CountedQty],T_StockCount[RM_Code],$A22,T_StockCount[WeekIndex],20),IF((COUNTIFS(T_SelfStock[RM_Code],$A22,T_SelfStock[WeekIndex],20)&gt;0)*(COUNTIFS(T_TTAFStock[RM_Code],$A22,T_TTAFStock[WeekIndex],20)&gt;0)&gt;0,SUMIFS(T_SelfStock[Self_Qty],T_SelfStock[RM_Code],$A22,T_SelfStock[WeekIndex],20)+SUMIFS(T_TTAFStock[TTAF_Qty],T_TTAFStock[RM_Code],$A22,T_TTAFStock[WeekIndex],20),T22+'Grid_Incoming'!U22-'Grid_Requirement'!U22))</f>
        <v/>
      </c>
      <c r="V22">
        <f>IF(COUNTIFS(T_StockCount[RM_Code],$A22,T_StockCount[WeekIndex],21)&gt;0,SUMIFS(T_StockCount[CountedQty],T_StockCount[RM_Code],$A22,T_StockCount[WeekIndex],21),IF((COUNTIFS(T_SelfStock[RM_Code],$A22,T_SelfStock[WeekIndex],21)&gt;0)*(COUNTIFS(T_TTAFStock[RM_Code],$A22,T_TTAFStock[WeekIndex],21)&gt;0)&gt;0,SUMIFS(T_SelfStock[Self_Qty],T_SelfStock[RM_Code],$A22,T_SelfStock[WeekIndex],21)+SUMIFS(T_TTAFStock[TTAF_Qty],T_TTAFStock[RM_Code],$A22,T_TTAFStock[WeekIndex],21),U22+'Grid_Incoming'!V22-'Grid_Requirement'!V22))</f>
        <v/>
      </c>
      <c r="W22">
        <f>IF(COUNTIFS(T_StockCount[RM_Code],$A22,T_StockCount[WeekIndex],22)&gt;0,SUMIFS(T_StockCount[CountedQty],T_StockCount[RM_Code],$A22,T_StockCount[WeekIndex],22),IF((COUNTIFS(T_SelfStock[RM_Code],$A22,T_SelfStock[WeekIndex],22)&gt;0)*(COUNTIFS(T_TTAFStock[RM_Code],$A22,T_TTAFStock[WeekIndex],22)&gt;0)&gt;0,SUMIFS(T_SelfStock[Self_Qty],T_SelfStock[RM_Code],$A22,T_SelfStock[WeekIndex],22)+SUMIFS(T_TTAFStock[TTAF_Qty],T_TTAFStock[RM_Code],$A22,T_TTAFStock[WeekIndex],22),V22+'Grid_Incoming'!W22-'Grid_Requirement'!W22))</f>
        <v/>
      </c>
      <c r="X22">
        <f>IF(COUNTIFS(T_StockCount[RM_Code],$A22,T_StockCount[WeekIndex],23)&gt;0,SUMIFS(T_StockCount[CountedQty],T_StockCount[RM_Code],$A22,T_StockCount[WeekIndex],23),IF((COUNTIFS(T_SelfStock[RM_Code],$A22,T_SelfStock[WeekIndex],23)&gt;0)*(COUNTIFS(T_TTAFStock[RM_Code],$A22,T_TTAFStock[WeekIndex],23)&gt;0)&gt;0,SUMIFS(T_SelfStock[Self_Qty],T_SelfStock[RM_Code],$A22,T_SelfStock[WeekIndex],23)+SUMIFS(T_TTAFStock[TTAF_Qty],T_TTAFStock[RM_Code],$A22,T_TTAFStock[WeekIndex],23),W22+'Grid_Incoming'!X22-'Grid_Requirement'!X22))</f>
        <v/>
      </c>
      <c r="Y22">
        <f>IF(COUNTIFS(T_StockCount[RM_Code],$A22,T_StockCount[WeekIndex],24)&gt;0,SUMIFS(T_StockCount[CountedQty],T_StockCount[RM_Code],$A22,T_StockCount[WeekIndex],24),IF((COUNTIFS(T_SelfStock[RM_Code],$A22,T_SelfStock[WeekIndex],24)&gt;0)*(COUNTIFS(T_TTAFStock[RM_Code],$A22,T_TTAFStock[WeekIndex],24)&gt;0)&gt;0,SUMIFS(T_SelfStock[Self_Qty],T_SelfStock[RM_Code],$A22,T_SelfStock[WeekIndex],24)+SUMIFS(T_TTAFStock[TTAF_Qty],T_TTAFStock[RM_Code],$A22,T_TTAFStock[WeekIndex],24),X22+'Grid_Incoming'!Y22-'Grid_Requirement'!Y22))</f>
        <v/>
      </c>
      <c r="Z22">
        <f>IF(COUNTIFS(T_StockCount[RM_Code],$A22,T_StockCount[WeekIndex],25)&gt;0,SUMIFS(T_StockCount[CountedQty],T_StockCount[RM_Code],$A22,T_StockCount[WeekIndex],25),IF((COUNTIFS(T_SelfStock[RM_Code],$A22,T_SelfStock[WeekIndex],25)&gt;0)*(COUNTIFS(T_TTAFStock[RM_Code],$A22,T_TTAFStock[WeekIndex],25)&gt;0)&gt;0,SUMIFS(T_SelfStock[Self_Qty],T_SelfStock[RM_Code],$A22,T_SelfStock[WeekIndex],25)+SUMIFS(T_TTAFStock[TTAF_Qty],T_TTAFStock[RM_Code],$A22,T_TTAFStock[WeekIndex],25),Y22+'Grid_Incoming'!Z22-'Grid_Requirement'!Z22))</f>
        <v/>
      </c>
      <c r="AA22">
        <f>IF(COUNTIFS(T_StockCount[RM_Code],$A22,T_StockCount[WeekIndex],26)&gt;0,SUMIFS(T_StockCount[CountedQty],T_StockCount[RM_Code],$A22,T_StockCount[WeekIndex],26),IF((COUNTIFS(T_SelfStock[RM_Code],$A22,T_SelfStock[WeekIndex],26)&gt;0)*(COUNTIFS(T_TTAFStock[RM_Code],$A22,T_TTAFStock[WeekIndex],26)&gt;0)&gt;0,SUMIFS(T_SelfStock[Self_Qty],T_SelfStock[RM_Code],$A22,T_SelfStock[WeekIndex],26)+SUMIFS(T_TTAFStock[TTAF_Qty],T_TTAFStock[RM_Code],$A22,T_TTAFStock[WeekIndex],26),Z22+'Grid_Incoming'!AA22-'Grid_Requirement'!AA22))</f>
        <v/>
      </c>
      <c r="AB22">
        <f>IF(COUNTIFS(T_StockCount[RM_Code],$A22,T_StockCount[WeekIndex],27)&gt;0,SUMIFS(T_StockCount[CountedQty],T_StockCount[RM_Code],$A22,T_StockCount[WeekIndex],27),IF((COUNTIFS(T_SelfStock[RM_Code],$A22,T_SelfStock[WeekIndex],27)&gt;0)*(COUNTIFS(T_TTAFStock[RM_Code],$A22,T_TTAFStock[WeekIndex],27)&gt;0)&gt;0,SUMIFS(T_SelfStock[Self_Qty],T_SelfStock[RM_Code],$A22,T_SelfStock[WeekIndex],27)+SUMIFS(T_TTAFStock[TTAF_Qty],T_TTAFStock[RM_Code],$A22,T_TTAFStock[WeekIndex],27),AA22+'Grid_Incoming'!AB22-'Grid_Requirement'!AB22))</f>
        <v/>
      </c>
      <c r="AC22">
        <f>IF(COUNTIFS(T_StockCount[RM_Code],$A22,T_StockCount[WeekIndex],28)&gt;0,SUMIFS(T_StockCount[CountedQty],T_StockCount[RM_Code],$A22,T_StockCount[WeekIndex],28),IF((COUNTIFS(T_SelfStock[RM_Code],$A22,T_SelfStock[WeekIndex],28)&gt;0)*(COUNTIFS(T_TTAFStock[RM_Code],$A22,T_TTAFStock[WeekIndex],28)&gt;0)&gt;0,SUMIFS(T_SelfStock[Self_Qty],T_SelfStock[RM_Code],$A22,T_SelfStock[WeekIndex],28)+SUMIFS(T_TTAFStock[TTAF_Qty],T_TTAFStock[RM_Code],$A22,T_TTAFStock[WeekIndex],28),AB22+'Grid_Incoming'!AC22-'Grid_Requirement'!AC22))</f>
        <v/>
      </c>
      <c r="AD22">
        <f>IF(COUNTIFS(T_StockCount[RM_Code],$A22,T_StockCount[WeekIndex],29)&gt;0,SUMIFS(T_StockCount[CountedQty],T_StockCount[RM_Code],$A22,T_StockCount[WeekIndex],29),IF((COUNTIFS(T_SelfStock[RM_Code],$A22,T_SelfStock[WeekIndex],29)&gt;0)*(COUNTIFS(T_TTAFStock[RM_Code],$A22,T_TTAFStock[WeekIndex],29)&gt;0)&gt;0,SUMIFS(T_SelfStock[Self_Qty],T_SelfStock[RM_Code],$A22,T_SelfStock[WeekIndex],29)+SUMIFS(T_TTAFStock[TTAF_Qty],T_TTAFStock[RM_Code],$A22,T_TTAFStock[WeekIndex],29),AC22+'Grid_Incoming'!AD22-'Grid_Requirement'!AD22))</f>
        <v/>
      </c>
      <c r="AE22">
        <f>IF(COUNTIFS(T_StockCount[RM_Code],$A22,T_StockCount[WeekIndex],30)&gt;0,SUMIFS(T_StockCount[CountedQty],T_StockCount[RM_Code],$A22,T_StockCount[WeekIndex],30),IF((COUNTIFS(T_SelfStock[RM_Code],$A22,T_SelfStock[WeekIndex],30)&gt;0)*(COUNTIFS(T_TTAFStock[RM_Code],$A22,T_TTAFStock[WeekIndex],30)&gt;0)&gt;0,SUMIFS(T_SelfStock[Self_Qty],T_SelfStock[RM_Code],$A22,T_SelfStock[WeekIndex],30)+SUMIFS(T_TTAFStock[TTAF_Qty],T_TTAFStock[RM_Code],$A22,T_TTAFStock[WeekIndex],30),AD22+'Grid_Incoming'!AE22-'Grid_Requirement'!AE22))</f>
        <v/>
      </c>
      <c r="AF22">
        <f>IF(COUNTIFS(T_StockCount[RM_Code],$A22,T_StockCount[WeekIndex],31)&gt;0,SUMIFS(T_StockCount[CountedQty],T_StockCount[RM_Code],$A22,T_StockCount[WeekIndex],31),IF((COUNTIFS(T_SelfStock[RM_Code],$A22,T_SelfStock[WeekIndex],31)&gt;0)*(COUNTIFS(T_TTAFStock[RM_Code],$A22,T_TTAFStock[WeekIndex],31)&gt;0)&gt;0,SUMIFS(T_SelfStock[Self_Qty],T_SelfStock[RM_Code],$A22,T_SelfStock[WeekIndex],31)+SUMIFS(T_TTAFStock[TTAF_Qty],T_TTAFStock[RM_Code],$A22,T_TTAFStock[WeekIndex],31),AE22+'Grid_Incoming'!AF22-'Grid_Requirement'!AF22))</f>
        <v/>
      </c>
      <c r="AG22">
        <f>IF(COUNTIFS(T_StockCount[RM_Code],$A22,T_StockCount[WeekIndex],32)&gt;0,SUMIFS(T_StockCount[CountedQty],T_StockCount[RM_Code],$A22,T_StockCount[WeekIndex],32),IF((COUNTIFS(T_SelfStock[RM_Code],$A22,T_SelfStock[WeekIndex],32)&gt;0)*(COUNTIFS(T_TTAFStock[RM_Code],$A22,T_TTAFStock[WeekIndex],32)&gt;0)&gt;0,SUMIFS(T_SelfStock[Self_Qty],T_SelfStock[RM_Code],$A22,T_SelfStock[WeekIndex],32)+SUMIFS(T_TTAFStock[TTAF_Qty],T_TTAFStock[RM_Code],$A22,T_TTAFStock[WeekIndex],32),AF22+'Grid_Incoming'!AG22-'Grid_Requirement'!AG22))</f>
        <v/>
      </c>
      <c r="AH22">
        <f>IF(COUNTIFS(T_StockCount[RM_Code],$A22,T_StockCount[WeekIndex],33)&gt;0,SUMIFS(T_StockCount[CountedQty],T_StockCount[RM_Code],$A22,T_StockCount[WeekIndex],33),IF((COUNTIFS(T_SelfStock[RM_Code],$A22,T_SelfStock[WeekIndex],33)&gt;0)*(COUNTIFS(T_TTAFStock[RM_Code],$A22,T_TTAFStock[WeekIndex],33)&gt;0)&gt;0,SUMIFS(T_SelfStock[Self_Qty],T_SelfStock[RM_Code],$A22,T_SelfStock[WeekIndex],33)+SUMIFS(T_TTAFStock[TTAF_Qty],T_TTAFStock[RM_Code],$A22,T_TTAFStock[WeekIndex],33),AG22+'Grid_Incoming'!AH22-'Grid_Requirement'!AH22))</f>
        <v/>
      </c>
      <c r="AI22">
        <f>IF(COUNTIFS(T_StockCount[RM_Code],$A22,T_StockCount[WeekIndex],34)&gt;0,SUMIFS(T_StockCount[CountedQty],T_StockCount[RM_Code],$A22,T_StockCount[WeekIndex],34),IF((COUNTIFS(T_SelfStock[RM_Code],$A22,T_SelfStock[WeekIndex],34)&gt;0)*(COUNTIFS(T_TTAFStock[RM_Code],$A22,T_TTAFStock[WeekIndex],34)&gt;0)&gt;0,SUMIFS(T_SelfStock[Self_Qty],T_SelfStock[RM_Code],$A22,T_SelfStock[WeekIndex],34)+SUMIFS(T_TTAFStock[TTAF_Qty],T_TTAFStock[RM_Code],$A22,T_TTAFStock[WeekIndex],34),AH22+'Grid_Incoming'!AI22-'Grid_Requirement'!AI22))</f>
        <v/>
      </c>
      <c r="AJ22">
        <f>IF(COUNTIFS(T_StockCount[RM_Code],$A22,T_StockCount[WeekIndex],35)&gt;0,SUMIFS(T_StockCount[CountedQty],T_StockCount[RM_Code],$A22,T_StockCount[WeekIndex],35),IF((COUNTIFS(T_SelfStock[RM_Code],$A22,T_SelfStock[WeekIndex],35)&gt;0)*(COUNTIFS(T_TTAFStock[RM_Code],$A22,T_TTAFStock[WeekIndex],35)&gt;0)&gt;0,SUMIFS(T_SelfStock[Self_Qty],T_SelfStock[RM_Code],$A22,T_SelfStock[WeekIndex],35)+SUMIFS(T_TTAFStock[TTAF_Qty],T_TTAFStock[RM_Code],$A22,T_TTAFStock[WeekIndex],35),AI22+'Grid_Incoming'!AJ22-'Grid_Requirement'!AJ22))</f>
        <v/>
      </c>
      <c r="AK22">
        <f>IF(COUNTIFS(T_StockCount[RM_Code],$A22,T_StockCount[WeekIndex],36)&gt;0,SUMIFS(T_StockCount[CountedQty],T_StockCount[RM_Code],$A22,T_StockCount[WeekIndex],36),IF((COUNTIFS(T_SelfStock[RM_Code],$A22,T_SelfStock[WeekIndex],36)&gt;0)*(COUNTIFS(T_TTAFStock[RM_Code],$A22,T_TTAFStock[WeekIndex],36)&gt;0)&gt;0,SUMIFS(T_SelfStock[Self_Qty],T_SelfStock[RM_Code],$A22,T_SelfStock[WeekIndex],36)+SUMIFS(T_TTAFStock[TTAF_Qty],T_TTAFStock[RM_Code],$A22,T_TTAFStock[WeekIndex],36),AJ22+'Grid_Incoming'!AK22-'Grid_Requirement'!AK22))</f>
        <v/>
      </c>
      <c r="AL22">
        <f>IF(COUNTIFS(T_StockCount[RM_Code],$A22,T_StockCount[WeekIndex],37)&gt;0,SUMIFS(T_StockCount[CountedQty],T_StockCount[RM_Code],$A22,T_StockCount[WeekIndex],37),IF((COUNTIFS(T_SelfStock[RM_Code],$A22,T_SelfStock[WeekIndex],37)&gt;0)*(COUNTIFS(T_TTAFStock[RM_Code],$A22,T_TTAFStock[WeekIndex],37)&gt;0)&gt;0,SUMIFS(T_SelfStock[Self_Qty],T_SelfStock[RM_Code],$A22,T_SelfStock[WeekIndex],37)+SUMIFS(T_TTAFStock[TTAF_Qty],T_TTAFStock[RM_Code],$A22,T_TTAFStock[WeekIndex],37),AK22+'Grid_Incoming'!AL22-'Grid_Requirement'!AL22))</f>
        <v/>
      </c>
      <c r="AM22">
        <f>IF(COUNTIFS(T_StockCount[RM_Code],$A22,T_StockCount[WeekIndex],38)&gt;0,SUMIFS(T_StockCount[CountedQty],T_StockCount[RM_Code],$A22,T_StockCount[WeekIndex],38),IF((COUNTIFS(T_SelfStock[RM_Code],$A22,T_SelfStock[WeekIndex],38)&gt;0)*(COUNTIFS(T_TTAFStock[RM_Code],$A22,T_TTAFStock[WeekIndex],38)&gt;0)&gt;0,SUMIFS(T_SelfStock[Self_Qty],T_SelfStock[RM_Code],$A22,T_SelfStock[WeekIndex],38)+SUMIFS(T_TTAFStock[TTAF_Qty],T_TTAFStock[RM_Code],$A22,T_TTAFStock[WeekIndex],38),AL22+'Grid_Incoming'!AM22-'Grid_Requirement'!AM22))</f>
        <v/>
      </c>
      <c r="AN22">
        <f>IF(COUNTIFS(T_StockCount[RM_Code],$A22,T_StockCount[WeekIndex],39)&gt;0,SUMIFS(T_StockCount[CountedQty],T_StockCount[RM_Code],$A22,T_StockCount[WeekIndex],39),IF((COUNTIFS(T_SelfStock[RM_Code],$A22,T_SelfStock[WeekIndex],39)&gt;0)*(COUNTIFS(T_TTAFStock[RM_Code],$A22,T_TTAFStock[WeekIndex],39)&gt;0)&gt;0,SUMIFS(T_SelfStock[Self_Qty],T_SelfStock[RM_Code],$A22,T_SelfStock[WeekIndex],39)+SUMIFS(T_TTAFStock[TTAF_Qty],T_TTAFStock[RM_Code],$A22,T_TTAFStock[WeekIndex],39),AM22+'Grid_Incoming'!AN22-'Grid_Requirement'!AN22))</f>
        <v/>
      </c>
      <c r="AO22">
        <f>IF(COUNTIFS(T_StockCount[RM_Code],$A22,T_StockCount[WeekIndex],40)&gt;0,SUMIFS(T_StockCount[CountedQty],T_StockCount[RM_Code],$A22,T_StockCount[WeekIndex],40),IF((COUNTIFS(T_SelfStock[RM_Code],$A22,T_SelfStock[WeekIndex],40)&gt;0)*(COUNTIFS(T_TTAFStock[RM_Code],$A22,T_TTAFStock[WeekIndex],40)&gt;0)&gt;0,SUMIFS(T_SelfStock[Self_Qty],T_SelfStock[RM_Code],$A22,T_SelfStock[WeekIndex],40)+SUMIFS(T_TTAFStock[TTAF_Qty],T_TTAFStock[RM_Code],$A22,T_TTAFStock[WeekIndex],40),AN22+'Grid_Incoming'!AO22-'Grid_Requirement'!AO22))</f>
        <v/>
      </c>
      <c r="AP22">
        <f>IF(COUNTIFS(T_StockCount[RM_Code],$A22,T_StockCount[WeekIndex],41)&gt;0,SUMIFS(T_StockCount[CountedQty],T_StockCount[RM_Code],$A22,T_StockCount[WeekIndex],41),IF((COUNTIFS(T_SelfStock[RM_Code],$A22,T_SelfStock[WeekIndex],41)&gt;0)*(COUNTIFS(T_TTAFStock[RM_Code],$A22,T_TTAFStock[WeekIndex],41)&gt;0)&gt;0,SUMIFS(T_SelfStock[Self_Qty],T_SelfStock[RM_Code],$A22,T_SelfStock[WeekIndex],41)+SUMIFS(T_TTAFStock[TTAF_Qty],T_TTAFStock[RM_Code],$A22,T_TTAFStock[WeekIndex],41),AO22+'Grid_Incoming'!AP22-'Grid_Requirement'!AP22))</f>
        <v/>
      </c>
      <c r="AQ22">
        <f>IF(COUNTIFS(T_StockCount[RM_Code],$A22,T_StockCount[WeekIndex],42)&gt;0,SUMIFS(T_StockCount[CountedQty],T_StockCount[RM_Code],$A22,T_StockCount[WeekIndex],42),IF((COUNTIFS(T_SelfStock[RM_Code],$A22,T_SelfStock[WeekIndex],42)&gt;0)*(COUNTIFS(T_TTAFStock[RM_Code],$A22,T_TTAFStock[WeekIndex],42)&gt;0)&gt;0,SUMIFS(T_SelfStock[Self_Qty],T_SelfStock[RM_Code],$A22,T_SelfStock[WeekIndex],42)+SUMIFS(T_TTAFStock[TTAF_Qty],T_TTAFStock[RM_Code],$A22,T_TTAFStock[WeekIndex],42),AP22+'Grid_Incoming'!AQ22-'Grid_Requirement'!AQ22))</f>
        <v/>
      </c>
      <c r="AR22">
        <f>IF(COUNTIFS(T_StockCount[RM_Code],$A22,T_StockCount[WeekIndex],43)&gt;0,SUMIFS(T_StockCount[CountedQty],T_StockCount[RM_Code],$A22,T_StockCount[WeekIndex],43),IF((COUNTIFS(T_SelfStock[RM_Code],$A22,T_SelfStock[WeekIndex],43)&gt;0)*(COUNTIFS(T_TTAFStock[RM_Code],$A22,T_TTAFStock[WeekIndex],43)&gt;0)&gt;0,SUMIFS(T_SelfStock[Self_Qty],T_SelfStock[RM_Code],$A22,T_SelfStock[WeekIndex],43)+SUMIFS(T_TTAFStock[TTAF_Qty],T_TTAFStock[RM_Code],$A22,T_TTAFStock[WeekIndex],43),AQ22+'Grid_Incoming'!AR22-'Grid_Requirement'!AR22))</f>
        <v/>
      </c>
      <c r="AS22">
        <f>IF(COUNTIFS(T_StockCount[RM_Code],$A22,T_StockCount[WeekIndex],44)&gt;0,SUMIFS(T_StockCount[CountedQty],T_StockCount[RM_Code],$A22,T_StockCount[WeekIndex],44),IF((COUNTIFS(T_SelfStock[RM_Code],$A22,T_SelfStock[WeekIndex],44)&gt;0)*(COUNTIFS(T_TTAFStock[RM_Code],$A22,T_TTAFStock[WeekIndex],44)&gt;0)&gt;0,SUMIFS(T_SelfStock[Self_Qty],T_SelfStock[RM_Code],$A22,T_SelfStock[WeekIndex],44)+SUMIFS(T_TTAFStock[TTAF_Qty],T_TTAFStock[RM_Code],$A22,T_TTAFStock[WeekIndex],44),AR22+'Grid_Incoming'!AS22-'Grid_Requirement'!AS22))</f>
        <v/>
      </c>
      <c r="AT22">
        <f>IF(COUNTIFS(T_StockCount[RM_Code],$A22,T_StockCount[WeekIndex],45)&gt;0,SUMIFS(T_StockCount[CountedQty],T_StockCount[RM_Code],$A22,T_StockCount[WeekIndex],45),IF((COUNTIFS(T_SelfStock[RM_Code],$A22,T_SelfStock[WeekIndex],45)&gt;0)*(COUNTIFS(T_TTAFStock[RM_Code],$A22,T_TTAFStock[WeekIndex],45)&gt;0)&gt;0,SUMIFS(T_SelfStock[Self_Qty],T_SelfStock[RM_Code],$A22,T_SelfStock[WeekIndex],45)+SUMIFS(T_TTAFStock[TTAF_Qty],T_TTAFStock[RM_Code],$A22,T_TTAFStock[WeekIndex],45),AS22+'Grid_Incoming'!AT22-'Grid_Requirement'!AT22))</f>
        <v/>
      </c>
      <c r="AU22">
        <f>IF(COUNTIFS(T_StockCount[RM_Code],$A22,T_StockCount[WeekIndex],46)&gt;0,SUMIFS(T_StockCount[CountedQty],T_StockCount[RM_Code],$A22,T_StockCount[WeekIndex],46),IF((COUNTIFS(T_SelfStock[RM_Code],$A22,T_SelfStock[WeekIndex],46)&gt;0)*(COUNTIFS(T_TTAFStock[RM_Code],$A22,T_TTAFStock[WeekIndex],46)&gt;0)&gt;0,SUMIFS(T_SelfStock[Self_Qty],T_SelfStock[RM_Code],$A22,T_SelfStock[WeekIndex],46)+SUMIFS(T_TTAFStock[TTAF_Qty],T_TTAFStock[RM_Code],$A22,T_TTAFStock[WeekIndex],46),AT22+'Grid_Incoming'!AU22-'Grid_Requirement'!AU22))</f>
        <v/>
      </c>
      <c r="AV22">
        <f>IF(COUNTIFS(T_StockCount[RM_Code],$A22,T_StockCount[WeekIndex],47)&gt;0,SUMIFS(T_StockCount[CountedQty],T_StockCount[RM_Code],$A22,T_StockCount[WeekIndex],47),IF((COUNTIFS(T_SelfStock[RM_Code],$A22,T_SelfStock[WeekIndex],47)&gt;0)*(COUNTIFS(T_TTAFStock[RM_Code],$A22,T_TTAFStock[WeekIndex],47)&gt;0)&gt;0,SUMIFS(T_SelfStock[Self_Qty],T_SelfStock[RM_Code],$A22,T_SelfStock[WeekIndex],47)+SUMIFS(T_TTAFStock[TTAF_Qty],T_TTAFStock[RM_Code],$A22,T_TTAFStock[WeekIndex],47),AU22+'Grid_Incoming'!AV22-'Grid_Requirement'!AV22))</f>
        <v/>
      </c>
      <c r="AW22">
        <f>IF(COUNTIFS(T_StockCount[RM_Code],$A22,T_StockCount[WeekIndex],48)&gt;0,SUMIFS(T_StockCount[CountedQty],T_StockCount[RM_Code],$A22,T_StockCount[WeekIndex],48),IF((COUNTIFS(T_SelfStock[RM_Code],$A22,T_SelfStock[WeekIndex],48)&gt;0)*(COUNTIFS(T_TTAFStock[RM_Code],$A22,T_TTAFStock[WeekIndex],48)&gt;0)&gt;0,SUMIFS(T_SelfStock[Self_Qty],T_SelfStock[RM_Code],$A22,T_SelfStock[WeekIndex],48)+SUMIFS(T_TTAFStock[TTAF_Qty],T_TTAFStock[RM_Code],$A22,T_TTAFStock[WeekIndex],48),AV22+'Grid_Incoming'!AW22-'Grid_Requirement'!AW22))</f>
        <v/>
      </c>
      <c r="AX22">
        <f>IF(COUNTIFS(T_StockCount[RM_Code],$A22,T_StockCount[WeekIndex],49)&gt;0,SUMIFS(T_StockCount[CountedQty],T_StockCount[RM_Code],$A22,T_StockCount[WeekIndex],49),IF((COUNTIFS(T_SelfStock[RM_Code],$A22,T_SelfStock[WeekIndex],49)&gt;0)*(COUNTIFS(T_TTAFStock[RM_Code],$A22,T_TTAFStock[WeekIndex],49)&gt;0)&gt;0,SUMIFS(T_SelfStock[Self_Qty],T_SelfStock[RM_Code],$A22,T_SelfStock[WeekIndex],49)+SUMIFS(T_TTAFStock[TTAF_Qty],T_TTAFStock[RM_Code],$A22,T_TTAFStock[WeekIndex],49),AW22+'Grid_Incoming'!AX22-'Grid_Requirement'!AX22))</f>
        <v/>
      </c>
      <c r="AY22">
        <f>IF(COUNTIFS(T_StockCount[RM_Code],$A22,T_StockCount[WeekIndex],50)&gt;0,SUMIFS(T_StockCount[CountedQty],T_StockCount[RM_Code],$A22,T_StockCount[WeekIndex],50),IF((COUNTIFS(T_SelfStock[RM_Code],$A22,T_SelfStock[WeekIndex],50)&gt;0)*(COUNTIFS(T_TTAFStock[RM_Code],$A22,T_TTAFStock[WeekIndex],50)&gt;0)&gt;0,SUMIFS(T_SelfStock[Self_Qty],T_SelfStock[RM_Code],$A22,T_SelfStock[WeekIndex],50)+SUMIFS(T_TTAFStock[TTAF_Qty],T_TTAFStock[RM_Code],$A22,T_TTAFStock[WeekIndex],50),AX22+'Grid_Incoming'!AY22-'Grid_Requirement'!AY22))</f>
        <v/>
      </c>
      <c r="AZ22">
        <f>IF(COUNTIFS(T_StockCount[RM_Code],$A22,T_StockCount[WeekIndex],51)&gt;0,SUMIFS(T_StockCount[CountedQty],T_StockCount[RM_Code],$A22,T_StockCount[WeekIndex],51),IF((COUNTIFS(T_SelfStock[RM_Code],$A22,T_SelfStock[WeekIndex],51)&gt;0)*(COUNTIFS(T_TTAFStock[RM_Code],$A22,T_TTAFStock[WeekIndex],51)&gt;0)&gt;0,SUMIFS(T_SelfStock[Self_Qty],T_SelfStock[RM_Code],$A22,T_SelfStock[WeekIndex],51)+SUMIFS(T_TTAFStock[TTAF_Qty],T_TTAFStock[RM_Code],$A22,T_TTAFStock[WeekIndex],51),AY22+'Grid_Incoming'!AZ22-'Grid_Requirement'!AZ22))</f>
        <v/>
      </c>
      <c r="BA22">
        <f>IF(COUNTIFS(T_StockCount[RM_Code],$A22,T_StockCount[WeekIndex],52)&gt;0,SUMIFS(T_StockCount[CountedQty],T_StockCount[RM_Code],$A22,T_StockCount[WeekIndex],52),IF((COUNTIFS(T_SelfStock[RM_Code],$A22,T_SelfStock[WeekIndex],52)&gt;0)*(COUNTIFS(T_TTAFStock[RM_Code],$A22,T_TTAFStock[WeekIndex],52)&gt;0)&gt;0,SUMIFS(T_SelfStock[Self_Qty],T_SelfStock[RM_Code],$A22,T_SelfStock[WeekIndex],52)+SUMIFS(T_TTAFStock[TTAF_Qty],T_TTAFStock[RM_Code],$A22,T_TTAFStock[WeekIndex],52),AZ22+'Grid_Incoming'!BA22-'Grid_Requirement'!BA22))</f>
        <v/>
      </c>
      <c r="BB22">
        <f>IF(COUNTIFS(T_StockCount[RM_Code],$A22,T_StockCount[WeekIndex],53)&gt;0,SUMIFS(T_StockCount[CountedQty],T_StockCount[RM_Code],$A22,T_StockCount[WeekIndex],53),IF((COUNTIFS(T_SelfStock[RM_Code],$A22,T_SelfStock[WeekIndex],53)&gt;0)*(COUNTIFS(T_TTAFStock[RM_Code],$A22,T_TTAFStock[WeekIndex],53)&gt;0)&gt;0,SUMIFS(T_SelfStock[Self_Qty],T_SelfStock[RM_Code],$A22,T_SelfStock[WeekIndex],53)+SUMIFS(T_TTAFStock[TTAF_Qty],T_TTAFStock[RM_Code],$A22,T_TTAFStock[WeekIndex],53),BA22+'Grid_Incoming'!BB22-'Grid_Requirement'!BB22))</f>
        <v/>
      </c>
      <c r="BC22">
        <f>IF(COUNTIFS(T_StockCount[RM_Code],$A22,T_StockCount[WeekIndex],54)&gt;0,SUMIFS(T_StockCount[CountedQty],T_StockCount[RM_Code],$A22,T_StockCount[WeekIndex],54),IF((COUNTIFS(T_SelfStock[RM_Code],$A22,T_SelfStock[WeekIndex],54)&gt;0)*(COUNTIFS(T_TTAFStock[RM_Code],$A22,T_TTAFStock[WeekIndex],54)&gt;0)&gt;0,SUMIFS(T_SelfStock[Self_Qty],T_SelfStock[RM_Code],$A22,T_SelfStock[WeekIndex],54)+SUMIFS(T_TTAFStock[TTAF_Qty],T_TTAFStock[RM_Code],$A22,T_TTAFStock[WeekIndex],54),BB22+'Grid_Incoming'!BC22-'Grid_Requirement'!BC22))</f>
        <v/>
      </c>
      <c r="BD22">
        <f>IF(COUNTIFS(T_StockCount[RM_Code],$A22,T_StockCount[WeekIndex],55)&gt;0,SUMIFS(T_StockCount[CountedQty],T_StockCount[RM_Code],$A22,T_StockCount[WeekIndex],55),IF((COUNTIFS(T_SelfStock[RM_Code],$A22,T_SelfStock[WeekIndex],55)&gt;0)*(COUNTIFS(T_TTAFStock[RM_Code],$A22,T_TTAFStock[WeekIndex],55)&gt;0)&gt;0,SUMIFS(T_SelfStock[Self_Qty],T_SelfStock[RM_Code],$A22,T_SelfStock[WeekIndex],55)+SUMIFS(T_TTAFStock[TTAF_Qty],T_TTAFStock[RM_Code],$A22,T_TTAFStock[WeekIndex],55),BC22+'Grid_Incoming'!BD22-'Grid_Requirement'!BD22))</f>
        <v/>
      </c>
      <c r="BE22">
        <f>IF(COUNTIFS(T_StockCount[RM_Code],$A22,T_StockCount[WeekIndex],56)&gt;0,SUMIFS(T_StockCount[CountedQty],T_StockCount[RM_Code],$A22,T_StockCount[WeekIndex],56),IF((COUNTIFS(T_SelfStock[RM_Code],$A22,T_SelfStock[WeekIndex],56)&gt;0)*(COUNTIFS(T_TTAFStock[RM_Code],$A22,T_TTAFStock[WeekIndex],56)&gt;0)&gt;0,SUMIFS(T_SelfStock[Self_Qty],T_SelfStock[RM_Code],$A22,T_SelfStock[WeekIndex],56)+SUMIFS(T_TTAFStock[TTAF_Qty],T_TTAFStock[RM_Code],$A22,T_TTAFStock[WeekIndex],56),BD22+'Grid_Incoming'!BE22-'Grid_Requirement'!BE22))</f>
        <v/>
      </c>
      <c r="BF22">
        <f>IF(COUNTIFS(T_StockCount[RM_Code],$A22,T_StockCount[WeekIndex],57)&gt;0,SUMIFS(T_StockCount[CountedQty],T_StockCount[RM_Code],$A22,T_StockCount[WeekIndex],57),IF((COUNTIFS(T_SelfStock[RM_Code],$A22,T_SelfStock[WeekIndex],57)&gt;0)*(COUNTIFS(T_TTAFStock[RM_Code],$A22,T_TTAFStock[WeekIndex],57)&gt;0)&gt;0,SUMIFS(T_SelfStock[Self_Qty],T_SelfStock[RM_Code],$A22,T_SelfStock[WeekIndex],57)+SUMIFS(T_TTAFStock[TTAF_Qty],T_TTAFStock[RM_Code],$A22,T_TTAFStock[WeekIndex],57),BE22+'Grid_Incoming'!BF22-'Grid_Requirement'!BF22))</f>
        <v/>
      </c>
      <c r="BG22">
        <f>IF(COUNTIFS(T_StockCount[RM_Code],$A22,T_StockCount[WeekIndex],58)&gt;0,SUMIFS(T_StockCount[CountedQty],T_StockCount[RM_Code],$A22,T_StockCount[WeekIndex],58),IF((COUNTIFS(T_SelfStock[RM_Code],$A22,T_SelfStock[WeekIndex],58)&gt;0)*(COUNTIFS(T_TTAFStock[RM_Code],$A22,T_TTAFStock[WeekIndex],58)&gt;0)&gt;0,SUMIFS(T_SelfStock[Self_Qty],T_SelfStock[RM_Code],$A22,T_SelfStock[WeekIndex],58)+SUMIFS(T_TTAFStock[TTAF_Qty],T_TTAFStock[RM_Code],$A22,T_TTAFStock[WeekIndex],58),BF22+'Grid_Incoming'!BG22-'Grid_Requirement'!BG22))</f>
        <v/>
      </c>
      <c r="BH22">
        <f>IF(COUNTIFS(T_StockCount[RM_Code],$A22,T_StockCount[WeekIndex],59)&gt;0,SUMIFS(T_StockCount[CountedQty],T_StockCount[RM_Code],$A22,T_StockCount[WeekIndex],59),IF((COUNTIFS(T_SelfStock[RM_Code],$A22,T_SelfStock[WeekIndex],59)&gt;0)*(COUNTIFS(T_TTAFStock[RM_Code],$A22,T_TTAFStock[WeekIndex],59)&gt;0)&gt;0,SUMIFS(T_SelfStock[Self_Qty],T_SelfStock[RM_Code],$A22,T_SelfStock[WeekIndex],59)+SUMIFS(T_TTAFStock[TTAF_Qty],T_TTAFStock[RM_Code],$A22,T_TTAFStock[WeekIndex],59),BG22+'Grid_Incoming'!BH22-'Grid_Requirement'!BH22))</f>
        <v/>
      </c>
      <c r="BI22">
        <f>IF(COUNTIFS(T_StockCount[RM_Code],$A22,T_StockCount[WeekIndex],60)&gt;0,SUMIFS(T_StockCount[CountedQty],T_StockCount[RM_Code],$A22,T_StockCount[WeekIndex],60),IF((COUNTIFS(T_SelfStock[RM_Code],$A22,T_SelfStock[WeekIndex],60)&gt;0)*(COUNTIFS(T_TTAFStock[RM_Code],$A22,T_TTAFStock[WeekIndex],60)&gt;0)&gt;0,SUMIFS(T_SelfStock[Self_Qty],T_SelfStock[RM_Code],$A22,T_SelfStock[WeekIndex],60)+SUMIFS(T_TTAFStock[TTAF_Qty],T_TTAFStock[RM_Code],$A22,T_TTAFStock[WeekIndex],60),BH22+'Grid_Incoming'!BI22-'Grid_Requirement'!BI22))</f>
        <v/>
      </c>
      <c r="BJ22">
        <f>IF(COUNTIFS(T_StockCount[RM_Code],$A22,T_StockCount[WeekIndex],61)&gt;0,SUMIFS(T_StockCount[CountedQty],T_StockCount[RM_Code],$A22,T_StockCount[WeekIndex],61),IF((COUNTIFS(T_SelfStock[RM_Code],$A22,T_SelfStock[WeekIndex],61)&gt;0)*(COUNTIFS(T_TTAFStock[RM_Code],$A22,T_TTAFStock[WeekIndex],61)&gt;0)&gt;0,SUMIFS(T_SelfStock[Self_Qty],T_SelfStock[RM_Code],$A22,T_SelfStock[WeekIndex],61)+SUMIFS(T_TTAFStock[TTAF_Qty],T_TTAFStock[RM_Code],$A22,T_TTAFStock[WeekIndex],61),BI22+'Grid_Incoming'!BJ22-'Grid_Requirement'!BJ22))</f>
        <v/>
      </c>
      <c r="BK22">
        <f>IF(COUNTIFS(T_StockCount[RM_Code],$A22,T_StockCount[WeekIndex],62)&gt;0,SUMIFS(T_StockCount[CountedQty],T_StockCount[RM_Code],$A22,T_StockCount[WeekIndex],62),IF((COUNTIFS(T_SelfStock[RM_Code],$A22,T_SelfStock[WeekIndex],62)&gt;0)*(COUNTIFS(T_TTAFStock[RM_Code],$A22,T_TTAFStock[WeekIndex],62)&gt;0)&gt;0,SUMIFS(T_SelfStock[Self_Qty],T_SelfStock[RM_Code],$A22,T_SelfStock[WeekIndex],62)+SUMIFS(T_TTAFStock[TTAF_Qty],T_TTAFStock[RM_Code],$A22,T_TTAFStock[WeekIndex],62),BJ22+'Grid_Incoming'!BK22-'Grid_Requirement'!BK22))</f>
        <v/>
      </c>
      <c r="BL22">
        <f>IF(COUNTIFS(T_StockCount[RM_Code],$A22,T_StockCount[WeekIndex],63)&gt;0,SUMIFS(T_StockCount[CountedQty],T_StockCount[RM_Code],$A22,T_StockCount[WeekIndex],63),IF((COUNTIFS(T_SelfStock[RM_Code],$A22,T_SelfStock[WeekIndex],63)&gt;0)*(COUNTIFS(T_TTAFStock[RM_Code],$A22,T_TTAFStock[WeekIndex],63)&gt;0)&gt;0,SUMIFS(T_SelfStock[Self_Qty],T_SelfStock[RM_Code],$A22,T_SelfStock[WeekIndex],63)+SUMIFS(T_TTAFStock[TTAF_Qty],T_TTAFStock[RM_Code],$A22,T_TTAFStock[WeekIndex],63),BK22+'Grid_Incoming'!BL22-'Grid_Requirement'!BL22))</f>
        <v/>
      </c>
      <c r="BM22">
        <f>IF(COUNTIFS(T_StockCount[RM_Code],$A22,T_StockCount[WeekIndex],64)&gt;0,SUMIFS(T_StockCount[CountedQty],T_StockCount[RM_Code],$A22,T_StockCount[WeekIndex],64),IF((COUNTIFS(T_SelfStock[RM_Code],$A22,T_SelfStock[WeekIndex],64)&gt;0)*(COUNTIFS(T_TTAFStock[RM_Code],$A22,T_TTAFStock[WeekIndex],64)&gt;0)&gt;0,SUMIFS(T_SelfStock[Self_Qty],T_SelfStock[RM_Code],$A22,T_SelfStock[WeekIndex],64)+SUMIFS(T_TTAFStock[TTAF_Qty],T_TTAFStock[RM_Code],$A22,T_TTAFStock[WeekIndex],64),BL22+'Grid_Incoming'!BM22-'Grid_Requirement'!BM22))</f>
        <v/>
      </c>
      <c r="BN22">
        <f>IF(COUNTIFS(T_StockCount[RM_Code],$A22,T_StockCount[WeekIndex],65)&gt;0,SUMIFS(T_StockCount[CountedQty],T_StockCount[RM_Code],$A22,T_StockCount[WeekIndex],65),IF((COUNTIFS(T_SelfStock[RM_Code],$A22,T_SelfStock[WeekIndex],65)&gt;0)*(COUNTIFS(T_TTAFStock[RM_Code],$A22,T_TTAFStock[WeekIndex],65)&gt;0)&gt;0,SUMIFS(T_SelfStock[Self_Qty],T_SelfStock[RM_Code],$A22,T_SelfStock[WeekIndex],65)+SUMIFS(T_TTAFStock[TTAF_Qty],T_TTAFStock[RM_Code],$A22,T_TTAFStock[WeekIndex],65),BM22+'Grid_Incoming'!BN22-'Grid_Requirement'!BN22))</f>
        <v/>
      </c>
      <c r="BO22">
        <f>IF(COUNTIFS(T_StockCount[RM_Code],$A22,T_StockCount[WeekIndex],66)&gt;0,SUMIFS(T_StockCount[CountedQty],T_StockCount[RM_Code],$A22,T_StockCount[WeekIndex],66),IF((COUNTIFS(T_SelfStock[RM_Code],$A22,T_SelfStock[WeekIndex],66)&gt;0)*(COUNTIFS(T_TTAFStock[RM_Code],$A22,T_TTAFStock[WeekIndex],66)&gt;0)&gt;0,SUMIFS(T_SelfStock[Self_Qty],T_SelfStock[RM_Code],$A22,T_SelfStock[WeekIndex],66)+SUMIFS(T_TTAFStock[TTAF_Qty],T_TTAFStock[RM_Code],$A22,T_TTAFStock[WeekIndex],66),BN22+'Grid_Incoming'!BO22-'Grid_Requirement'!BO22))</f>
        <v/>
      </c>
      <c r="BP22">
        <f>IF(COUNTIFS(T_StockCount[RM_Code],$A22,T_StockCount[WeekIndex],67)&gt;0,SUMIFS(T_StockCount[CountedQty],T_StockCount[RM_Code],$A22,T_StockCount[WeekIndex],67),IF((COUNTIFS(T_SelfStock[RM_Code],$A22,T_SelfStock[WeekIndex],67)&gt;0)*(COUNTIFS(T_TTAFStock[RM_Code],$A22,T_TTAFStock[WeekIndex],67)&gt;0)&gt;0,SUMIFS(T_SelfStock[Self_Qty],T_SelfStock[RM_Code],$A22,T_SelfStock[WeekIndex],67)+SUMIFS(T_TTAFStock[TTAF_Qty],T_TTAFStock[RM_Code],$A22,T_TTAFStock[WeekIndex],67),BO22+'Grid_Incoming'!BP22-'Grid_Requirement'!BP22))</f>
        <v/>
      </c>
      <c r="BQ22">
        <f>IF(COUNTIFS(T_StockCount[RM_Code],$A22,T_StockCount[WeekIndex],68)&gt;0,SUMIFS(T_StockCount[CountedQty],T_StockCount[RM_Code],$A22,T_StockCount[WeekIndex],68),IF((COUNTIFS(T_SelfStock[RM_Code],$A22,T_SelfStock[WeekIndex],68)&gt;0)*(COUNTIFS(T_TTAFStock[RM_Code],$A22,T_TTAFStock[WeekIndex],68)&gt;0)&gt;0,SUMIFS(T_SelfStock[Self_Qty],T_SelfStock[RM_Code],$A22,T_SelfStock[WeekIndex],68)+SUMIFS(T_TTAFStock[TTAF_Qty],T_TTAFStock[RM_Code],$A22,T_TTAFStock[WeekIndex],68),BP22+'Grid_Incoming'!BQ22-'Grid_Requirement'!BQ22))</f>
        <v/>
      </c>
      <c r="BR22">
        <f>IF(COUNTIFS(T_StockCount[RM_Code],$A22,T_StockCount[WeekIndex],69)&gt;0,SUMIFS(T_StockCount[CountedQty],T_StockCount[RM_Code],$A22,T_StockCount[WeekIndex],69),IF((COUNTIFS(T_SelfStock[RM_Code],$A22,T_SelfStock[WeekIndex],69)&gt;0)*(COUNTIFS(T_TTAFStock[RM_Code],$A22,T_TTAFStock[WeekIndex],69)&gt;0)&gt;0,SUMIFS(T_SelfStock[Self_Qty],T_SelfStock[RM_Code],$A22,T_SelfStock[WeekIndex],69)+SUMIFS(T_TTAFStock[TTAF_Qty],T_TTAFStock[RM_Code],$A22,T_TTAFStock[WeekIndex],69),BQ22+'Grid_Incoming'!BR22-'Grid_Requirement'!BR22))</f>
        <v/>
      </c>
      <c r="BS22">
        <f>IF(COUNTIFS(T_StockCount[RM_Code],$A22,T_StockCount[WeekIndex],70)&gt;0,SUMIFS(T_StockCount[CountedQty],T_StockCount[RM_Code],$A22,T_StockCount[WeekIndex],70),IF((COUNTIFS(T_SelfStock[RM_Code],$A22,T_SelfStock[WeekIndex],70)&gt;0)*(COUNTIFS(T_TTAFStock[RM_Code],$A22,T_TTAFStock[WeekIndex],70)&gt;0)&gt;0,SUMIFS(T_SelfStock[Self_Qty],T_SelfStock[RM_Code],$A22,T_SelfStock[WeekIndex],70)+SUMIFS(T_TTAFStock[TTAF_Qty],T_TTAFStock[RM_Code],$A22,T_TTAFStock[WeekIndex],70),BR22+'Grid_Incoming'!BS22-'Grid_Requirement'!BS22))</f>
        <v/>
      </c>
      <c r="BT22">
        <f>IF(COUNTIFS(T_StockCount[RM_Code],$A22,T_StockCount[WeekIndex],71)&gt;0,SUMIFS(T_StockCount[CountedQty],T_StockCount[RM_Code],$A22,T_StockCount[WeekIndex],71),IF((COUNTIFS(T_SelfStock[RM_Code],$A22,T_SelfStock[WeekIndex],71)&gt;0)*(COUNTIFS(T_TTAFStock[RM_Code],$A22,T_TTAFStock[WeekIndex],71)&gt;0)&gt;0,SUMIFS(T_SelfStock[Self_Qty],T_SelfStock[RM_Code],$A22,T_SelfStock[WeekIndex],71)+SUMIFS(T_TTAFStock[TTAF_Qty],T_TTAFStock[RM_Code],$A22,T_TTAFStock[WeekIndex],71),BS22+'Grid_Incoming'!BT22-'Grid_Requirement'!BT22))</f>
        <v/>
      </c>
      <c r="BU22">
        <f>IF(COUNTIFS(T_StockCount[RM_Code],$A22,T_StockCount[WeekIndex],72)&gt;0,SUMIFS(T_StockCount[CountedQty],T_StockCount[RM_Code],$A22,T_StockCount[WeekIndex],72),IF((COUNTIFS(T_SelfStock[RM_Code],$A22,T_SelfStock[WeekIndex],72)&gt;0)*(COUNTIFS(T_TTAFStock[RM_Code],$A22,T_TTAFStock[WeekIndex],72)&gt;0)&gt;0,SUMIFS(T_SelfStock[Self_Qty],T_SelfStock[RM_Code],$A22,T_SelfStock[WeekIndex],72)+SUMIFS(T_TTAFStock[TTAF_Qty],T_TTAFStock[RM_Code],$A22,T_TTAFStock[WeekIndex],72),BT22+'Grid_Incoming'!BU22-'Grid_Requirement'!BU22))</f>
        <v/>
      </c>
      <c r="BV22">
        <f>IF(COUNTIFS(T_StockCount[RM_Code],$A22,T_StockCount[WeekIndex],73)&gt;0,SUMIFS(T_StockCount[CountedQty],T_StockCount[RM_Code],$A22,T_StockCount[WeekIndex],73),IF((COUNTIFS(T_SelfStock[RM_Code],$A22,T_SelfStock[WeekIndex],73)&gt;0)*(COUNTIFS(T_TTAFStock[RM_Code],$A22,T_TTAFStock[WeekIndex],73)&gt;0)&gt;0,SUMIFS(T_SelfStock[Self_Qty],T_SelfStock[RM_Code],$A22,T_SelfStock[WeekIndex],73)+SUMIFS(T_TTAFStock[TTAF_Qty],T_TTAFStock[RM_Code],$A22,T_TTAFStock[WeekIndex],73),BU22+'Grid_Incoming'!BV22-'Grid_Requirement'!BV22))</f>
        <v/>
      </c>
      <c r="BW22">
        <f>IF(COUNTIFS(T_StockCount[RM_Code],$A22,T_StockCount[WeekIndex],74)&gt;0,SUMIFS(T_StockCount[CountedQty],T_StockCount[RM_Code],$A22,T_StockCount[WeekIndex],74),IF((COUNTIFS(T_SelfStock[RM_Code],$A22,T_SelfStock[WeekIndex],74)&gt;0)*(COUNTIFS(T_TTAFStock[RM_Code],$A22,T_TTAFStock[WeekIndex],74)&gt;0)&gt;0,SUMIFS(T_SelfStock[Self_Qty],T_SelfStock[RM_Code],$A22,T_SelfStock[WeekIndex],74)+SUMIFS(T_TTAFStock[TTAF_Qty],T_TTAFStock[RM_Code],$A22,T_TTAFStock[WeekIndex],74),BV22+'Grid_Incoming'!BW22-'Grid_Requirement'!BW22))</f>
        <v/>
      </c>
      <c r="BX22">
        <f>IF(COUNTIFS(T_StockCount[RM_Code],$A22,T_StockCount[WeekIndex],75)&gt;0,SUMIFS(T_StockCount[CountedQty],T_StockCount[RM_Code],$A22,T_StockCount[WeekIndex],75),IF((COUNTIFS(T_SelfStock[RM_Code],$A22,T_SelfStock[WeekIndex],75)&gt;0)*(COUNTIFS(T_TTAFStock[RM_Code],$A22,T_TTAFStock[WeekIndex],75)&gt;0)&gt;0,SUMIFS(T_SelfStock[Self_Qty],T_SelfStock[RM_Code],$A22,T_SelfStock[WeekIndex],75)+SUMIFS(T_TTAFStock[TTAF_Qty],T_TTAFStock[RM_Code],$A22,T_TTAFStock[WeekIndex],75),BW22+'Grid_Incoming'!BX22-'Grid_Requirement'!BX22))</f>
        <v/>
      </c>
      <c r="BY22">
        <f>IF(COUNTIFS(T_StockCount[RM_Code],$A22,T_StockCount[WeekIndex],76)&gt;0,SUMIFS(T_StockCount[CountedQty],T_StockCount[RM_Code],$A22,T_StockCount[WeekIndex],76),IF((COUNTIFS(T_SelfStock[RM_Code],$A22,T_SelfStock[WeekIndex],76)&gt;0)*(COUNTIFS(T_TTAFStock[RM_Code],$A22,T_TTAFStock[WeekIndex],76)&gt;0)&gt;0,SUMIFS(T_SelfStock[Self_Qty],T_SelfStock[RM_Code],$A22,T_SelfStock[WeekIndex],76)+SUMIFS(T_TTAFStock[TTAF_Qty],T_TTAFStock[RM_Code],$A22,T_TTAFStock[WeekIndex],76),BX22+'Grid_Incoming'!BY22-'Grid_Requirement'!BY22))</f>
        <v/>
      </c>
      <c r="BZ22">
        <f>IF(COUNTIFS(T_StockCount[RM_Code],$A22,T_StockCount[WeekIndex],77)&gt;0,SUMIFS(T_StockCount[CountedQty],T_StockCount[RM_Code],$A22,T_StockCount[WeekIndex],77),IF((COUNTIFS(T_SelfStock[RM_Code],$A22,T_SelfStock[WeekIndex],77)&gt;0)*(COUNTIFS(T_TTAFStock[RM_Code],$A22,T_TTAFStock[WeekIndex],77)&gt;0)&gt;0,SUMIFS(T_SelfStock[Self_Qty],T_SelfStock[RM_Code],$A22,T_SelfStock[WeekIndex],77)+SUMIFS(T_TTAFStock[TTAF_Qty],T_TTAFStock[RM_Code],$A22,T_TTAFStock[WeekIndex],77),BY22+'Grid_Incoming'!BZ22-'Grid_Requirement'!BZ22))</f>
        <v/>
      </c>
      <c r="CA22">
        <f>IF(COUNTIFS(T_StockCount[RM_Code],$A22,T_StockCount[WeekIndex],78)&gt;0,SUMIFS(T_StockCount[CountedQty],T_StockCount[RM_Code],$A22,T_StockCount[WeekIndex],78),IF((COUNTIFS(T_SelfStock[RM_Code],$A22,T_SelfStock[WeekIndex],78)&gt;0)*(COUNTIFS(T_TTAFStock[RM_Code],$A22,T_TTAFStock[WeekIndex],78)&gt;0)&gt;0,SUMIFS(T_SelfStock[Self_Qty],T_SelfStock[RM_Code],$A22,T_SelfStock[WeekIndex],78)+SUMIFS(T_TTAFStock[TTAF_Qty],T_TTAFStock[RM_Code],$A22,T_TTAFStock[WeekIndex],78),BZ22+'Grid_Incoming'!CA22-'Grid_Requirement'!CA22))</f>
        <v/>
      </c>
      <c r="CB22">
        <f>IF(COUNTIFS(T_StockCount[RM_Code],$A22,T_StockCount[WeekIndex],79)&gt;0,SUMIFS(T_StockCount[CountedQty],T_StockCount[RM_Code],$A22,T_StockCount[WeekIndex],79),IF((COUNTIFS(T_SelfStock[RM_Code],$A22,T_SelfStock[WeekIndex],79)&gt;0)*(COUNTIFS(T_TTAFStock[RM_Code],$A22,T_TTAFStock[WeekIndex],79)&gt;0)&gt;0,SUMIFS(T_SelfStock[Self_Qty],T_SelfStock[RM_Code],$A22,T_SelfStock[WeekIndex],79)+SUMIFS(T_TTAFStock[TTAF_Qty],T_TTAFStock[RM_Code],$A22,T_TTAFStock[WeekIndex],79),CA22+'Grid_Incoming'!CB22-'Grid_Requirement'!CB22))</f>
        <v/>
      </c>
      <c r="CC22">
        <f>IF(COUNTIFS(T_StockCount[RM_Code],$A22,T_StockCount[WeekIndex],80)&gt;0,SUMIFS(T_StockCount[CountedQty],T_StockCount[RM_Code],$A22,T_StockCount[WeekIndex],80),IF((COUNTIFS(T_SelfStock[RM_Code],$A22,T_SelfStock[WeekIndex],80)&gt;0)*(COUNTIFS(T_TTAFStock[RM_Code],$A22,T_TTAFStock[WeekIndex],80)&gt;0)&gt;0,SUMIFS(T_SelfStock[Self_Qty],T_SelfStock[RM_Code],$A22,T_SelfStock[WeekIndex],80)+SUMIFS(T_TTAFStock[TTAF_Qty],T_TTAFStock[RM_Code],$A22,T_TTAFStock[WeekIndex],80),CB22+'Grid_Incoming'!CC22-'Grid_Requirement'!CC22))</f>
        <v/>
      </c>
      <c r="CD22">
        <f>IF(COUNTIFS(T_StockCount[RM_Code],$A22,T_StockCount[WeekIndex],81)&gt;0,SUMIFS(T_StockCount[CountedQty],T_StockCount[RM_Code],$A22,T_StockCount[WeekIndex],81),IF((COUNTIFS(T_SelfStock[RM_Code],$A22,T_SelfStock[WeekIndex],81)&gt;0)*(COUNTIFS(T_TTAFStock[RM_Code],$A22,T_TTAFStock[WeekIndex],81)&gt;0)&gt;0,SUMIFS(T_SelfStock[Self_Qty],T_SelfStock[RM_Code],$A22,T_SelfStock[WeekIndex],81)+SUMIFS(T_TTAFStock[TTAF_Qty],T_TTAFStock[RM_Code],$A22,T_TTAFStock[WeekIndex],81),CC22+'Grid_Incoming'!CD22-'Grid_Requirement'!CD22))</f>
        <v/>
      </c>
      <c r="CE22">
        <f>IF(COUNTIFS(T_StockCount[RM_Code],$A22,T_StockCount[WeekIndex],82)&gt;0,SUMIFS(T_StockCount[CountedQty],T_StockCount[RM_Code],$A22,T_StockCount[WeekIndex],82),IF((COUNTIFS(T_SelfStock[RM_Code],$A22,T_SelfStock[WeekIndex],82)&gt;0)*(COUNTIFS(T_TTAFStock[RM_Code],$A22,T_TTAFStock[WeekIndex],82)&gt;0)&gt;0,SUMIFS(T_SelfStock[Self_Qty],T_SelfStock[RM_Code],$A22,T_SelfStock[WeekIndex],82)+SUMIFS(T_TTAFStock[TTAF_Qty],T_TTAFStock[RM_Code],$A22,T_TTAFStock[WeekIndex],82),CD22+'Grid_Incoming'!CE22-'Grid_Requirement'!CE22))</f>
        <v/>
      </c>
      <c r="CF22">
        <f>IF(COUNTIFS(T_StockCount[RM_Code],$A22,T_StockCount[WeekIndex],83)&gt;0,SUMIFS(T_StockCount[CountedQty],T_StockCount[RM_Code],$A22,T_StockCount[WeekIndex],83),IF((COUNTIFS(T_SelfStock[RM_Code],$A22,T_SelfStock[WeekIndex],83)&gt;0)*(COUNTIFS(T_TTAFStock[RM_Code],$A22,T_TTAFStock[WeekIndex],83)&gt;0)&gt;0,SUMIFS(T_SelfStock[Self_Qty],T_SelfStock[RM_Code],$A22,T_SelfStock[WeekIndex],83)+SUMIFS(T_TTAFStock[TTAF_Qty],T_TTAFStock[RM_Code],$A22,T_TTAFStock[WeekIndex],83),CE22+'Grid_Incoming'!CF22-'Grid_Requirement'!CF22))</f>
        <v/>
      </c>
      <c r="CG22">
        <f>IF(COUNTIFS(T_StockCount[RM_Code],$A22,T_StockCount[WeekIndex],84)&gt;0,SUMIFS(T_StockCount[CountedQty],T_StockCount[RM_Code],$A22,T_StockCount[WeekIndex],84),IF((COUNTIFS(T_SelfStock[RM_Code],$A22,T_SelfStock[WeekIndex],84)&gt;0)*(COUNTIFS(T_TTAFStock[RM_Code],$A22,T_TTAFStock[WeekIndex],84)&gt;0)&gt;0,SUMIFS(T_SelfStock[Self_Qty],T_SelfStock[RM_Code],$A22,T_SelfStock[WeekIndex],84)+SUMIFS(T_TTAFStock[TTAF_Qty],T_TTAFStock[RM_Code],$A22,T_TTAFStock[WeekIndex],84),CF22+'Grid_Incoming'!CG22-'Grid_Requirement'!CG22))</f>
        <v/>
      </c>
      <c r="CH22">
        <f>IF(COUNTIFS(T_StockCount[RM_Code],$A22,T_StockCount[WeekIndex],85)&gt;0,SUMIFS(T_StockCount[CountedQty],T_StockCount[RM_Code],$A22,T_StockCount[WeekIndex],85),IF((COUNTIFS(T_SelfStock[RM_Code],$A22,T_SelfStock[WeekIndex],85)&gt;0)*(COUNTIFS(T_TTAFStock[RM_Code],$A22,T_TTAFStock[WeekIndex],85)&gt;0)&gt;0,SUMIFS(T_SelfStock[Self_Qty],T_SelfStock[RM_Code],$A22,T_SelfStock[WeekIndex],85)+SUMIFS(T_TTAFStock[TTAF_Qty],T_TTAFStock[RM_Code],$A22,T_TTAFStock[WeekIndex],85),CG22+'Grid_Incoming'!CH22-'Grid_Requirement'!CH22))</f>
        <v/>
      </c>
      <c r="CI22">
        <f>IF(COUNTIFS(T_StockCount[RM_Code],$A22,T_StockCount[WeekIndex],86)&gt;0,SUMIFS(T_StockCount[CountedQty],T_StockCount[RM_Code],$A22,T_StockCount[WeekIndex],86),IF((COUNTIFS(T_SelfStock[RM_Code],$A22,T_SelfStock[WeekIndex],86)&gt;0)*(COUNTIFS(T_TTAFStock[RM_Code],$A22,T_TTAFStock[WeekIndex],86)&gt;0)&gt;0,SUMIFS(T_SelfStock[Self_Qty],T_SelfStock[RM_Code],$A22,T_SelfStock[WeekIndex],86)+SUMIFS(T_TTAFStock[TTAF_Qty],T_TTAFStock[RM_Code],$A22,T_TTAFStock[WeekIndex],86),CH22+'Grid_Incoming'!CI22-'Grid_Requirement'!CI22))</f>
        <v/>
      </c>
      <c r="CJ22">
        <f>IF(COUNTIFS(T_StockCount[RM_Code],$A22,T_StockCount[WeekIndex],87)&gt;0,SUMIFS(T_StockCount[CountedQty],T_StockCount[RM_Code],$A22,T_StockCount[WeekIndex],87),IF((COUNTIFS(T_SelfStock[RM_Code],$A22,T_SelfStock[WeekIndex],87)&gt;0)*(COUNTIFS(T_TTAFStock[RM_Code],$A22,T_TTAFStock[WeekIndex],87)&gt;0)&gt;0,SUMIFS(T_SelfStock[Self_Qty],T_SelfStock[RM_Code],$A22,T_SelfStock[WeekIndex],87)+SUMIFS(T_TTAFStock[TTAF_Qty],T_TTAFStock[RM_Code],$A22,T_TTAFStock[WeekIndex],87),CI22+'Grid_Incoming'!CJ22-'Grid_Requirement'!CJ22))</f>
        <v/>
      </c>
      <c r="CK22">
        <f>IF(COUNTIFS(T_StockCount[RM_Code],$A22,T_StockCount[WeekIndex],88)&gt;0,SUMIFS(T_StockCount[CountedQty],T_StockCount[RM_Code],$A22,T_StockCount[WeekIndex],88),IF((COUNTIFS(T_SelfStock[RM_Code],$A22,T_SelfStock[WeekIndex],88)&gt;0)*(COUNTIFS(T_TTAFStock[RM_Code],$A22,T_TTAFStock[WeekIndex],88)&gt;0)&gt;0,SUMIFS(T_SelfStock[Self_Qty],T_SelfStock[RM_Code],$A22,T_SelfStock[WeekIndex],88)+SUMIFS(T_TTAFStock[TTAF_Qty],T_TTAFStock[RM_Code],$A22,T_TTAFStock[WeekIndex],88),CJ22+'Grid_Incoming'!CK22-'Grid_Requirement'!CK22))</f>
        <v/>
      </c>
      <c r="CL22">
        <f>IF(COUNTIFS(T_StockCount[RM_Code],$A22,T_StockCount[WeekIndex],89)&gt;0,SUMIFS(T_StockCount[CountedQty],T_StockCount[RM_Code],$A22,T_StockCount[WeekIndex],89),IF((COUNTIFS(T_SelfStock[RM_Code],$A22,T_SelfStock[WeekIndex],89)&gt;0)*(COUNTIFS(T_TTAFStock[RM_Code],$A22,T_TTAFStock[WeekIndex],89)&gt;0)&gt;0,SUMIFS(T_SelfStock[Self_Qty],T_SelfStock[RM_Code],$A22,T_SelfStock[WeekIndex],89)+SUMIFS(T_TTAFStock[TTAF_Qty],T_TTAFStock[RM_Code],$A22,T_TTAFStock[WeekIndex],89),CK22+'Grid_Incoming'!CL22-'Grid_Requirement'!CL22))</f>
        <v/>
      </c>
      <c r="CM22">
        <f>IF(COUNTIFS(T_StockCount[RM_Code],$A22,T_StockCount[WeekIndex],90)&gt;0,SUMIFS(T_StockCount[CountedQty],T_StockCount[RM_Code],$A22,T_StockCount[WeekIndex],90),IF((COUNTIFS(T_SelfStock[RM_Code],$A22,T_SelfStock[WeekIndex],90)&gt;0)*(COUNTIFS(T_TTAFStock[RM_Code],$A22,T_TTAFStock[WeekIndex],90)&gt;0)&gt;0,SUMIFS(T_SelfStock[Self_Qty],T_SelfStock[RM_Code],$A22,T_SelfStock[WeekIndex],90)+SUMIFS(T_TTAFStock[TTAF_Qty],T_TTAFStock[RM_Code],$A22,T_TTAFStock[WeekIndex],90),CL22+'Grid_Incoming'!CM22-'Grid_Requirement'!CM22))</f>
        <v/>
      </c>
      <c r="CN22">
        <f>IF(COUNTIFS(T_StockCount[RM_Code],$A22,T_StockCount[WeekIndex],91)&gt;0,SUMIFS(T_StockCount[CountedQty],T_StockCount[RM_Code],$A22,T_StockCount[WeekIndex],91),IF((COUNTIFS(T_SelfStock[RM_Code],$A22,T_SelfStock[WeekIndex],91)&gt;0)*(COUNTIFS(T_TTAFStock[RM_Code],$A22,T_TTAFStock[WeekIndex],91)&gt;0)&gt;0,SUMIFS(T_SelfStock[Self_Qty],T_SelfStock[RM_Code],$A22,T_SelfStock[WeekIndex],91)+SUMIFS(T_TTAFStock[TTAF_Qty],T_TTAFStock[RM_Code],$A22,T_TTAFStock[WeekIndex],91),CM22+'Grid_Incoming'!CN22-'Grid_Requirement'!CN22))</f>
        <v/>
      </c>
      <c r="CO22">
        <f>IF(COUNTIFS(T_StockCount[RM_Code],$A22,T_StockCount[WeekIndex],92)&gt;0,SUMIFS(T_StockCount[CountedQty],T_StockCount[RM_Code],$A22,T_StockCount[WeekIndex],92),IF((COUNTIFS(T_SelfStock[RM_Code],$A22,T_SelfStock[WeekIndex],92)&gt;0)*(COUNTIFS(T_TTAFStock[RM_Code],$A22,T_TTAFStock[WeekIndex],92)&gt;0)&gt;0,SUMIFS(T_SelfStock[Self_Qty],T_SelfStock[RM_Code],$A22,T_SelfStock[WeekIndex],92)+SUMIFS(T_TTAFStock[TTAF_Qty],T_TTAFStock[RM_Code],$A22,T_TTAFStock[WeekIndex],92),CN22+'Grid_Incoming'!CO22-'Grid_Requirement'!CO22))</f>
        <v/>
      </c>
      <c r="CP22">
        <f>IF(COUNTIFS(T_StockCount[RM_Code],$A22,T_StockCount[WeekIndex],93)&gt;0,SUMIFS(T_StockCount[CountedQty],T_StockCount[RM_Code],$A22,T_StockCount[WeekIndex],93),IF((COUNTIFS(T_SelfStock[RM_Code],$A22,T_SelfStock[WeekIndex],93)&gt;0)*(COUNTIFS(T_TTAFStock[RM_Code],$A22,T_TTAFStock[WeekIndex],93)&gt;0)&gt;0,SUMIFS(T_SelfStock[Self_Qty],T_SelfStock[RM_Code],$A22,T_SelfStock[WeekIndex],93)+SUMIFS(T_TTAFStock[TTAF_Qty],T_TTAFStock[RM_Code],$A22,T_TTAFStock[WeekIndex],93),CO22+'Grid_Incoming'!CP22-'Grid_Requirement'!CP22))</f>
        <v/>
      </c>
      <c r="CQ22">
        <f>IF(COUNTIFS(T_StockCount[RM_Code],$A22,T_StockCount[WeekIndex],94)&gt;0,SUMIFS(T_StockCount[CountedQty],T_StockCount[RM_Code],$A22,T_StockCount[WeekIndex],94),IF((COUNTIFS(T_SelfStock[RM_Code],$A22,T_SelfStock[WeekIndex],94)&gt;0)*(COUNTIFS(T_TTAFStock[RM_Code],$A22,T_TTAFStock[WeekIndex],94)&gt;0)&gt;0,SUMIFS(T_SelfStock[Self_Qty],T_SelfStock[RM_Code],$A22,T_SelfStock[WeekIndex],94)+SUMIFS(T_TTAFStock[TTAF_Qty],T_TTAFStock[RM_Code],$A22,T_TTAFStock[WeekIndex],94),CP22+'Grid_Incoming'!CQ22-'Grid_Requirement'!CQ22))</f>
        <v/>
      </c>
      <c r="CR22">
        <f>IF(COUNTIFS(T_StockCount[RM_Code],$A22,T_StockCount[WeekIndex],95)&gt;0,SUMIFS(T_StockCount[CountedQty],T_StockCount[RM_Code],$A22,T_StockCount[WeekIndex],95),IF((COUNTIFS(T_SelfStock[RM_Code],$A22,T_SelfStock[WeekIndex],95)&gt;0)*(COUNTIFS(T_TTAFStock[RM_Code],$A22,T_TTAFStock[WeekIndex],95)&gt;0)&gt;0,SUMIFS(T_SelfStock[Self_Qty],T_SelfStock[RM_Code],$A22,T_SelfStock[WeekIndex],95)+SUMIFS(T_TTAFStock[TTAF_Qty],T_TTAFStock[RM_Code],$A22,T_TTAFStock[WeekIndex],95),CQ22+'Grid_Incoming'!CR22-'Grid_Requirement'!CR22))</f>
        <v/>
      </c>
      <c r="CS22">
        <f>IF(COUNTIFS(T_StockCount[RM_Code],$A22,T_StockCount[WeekIndex],96)&gt;0,SUMIFS(T_StockCount[CountedQty],T_StockCount[RM_Code],$A22,T_StockCount[WeekIndex],96),IF((COUNTIFS(T_SelfStock[RM_Code],$A22,T_SelfStock[WeekIndex],96)&gt;0)*(COUNTIFS(T_TTAFStock[RM_Code],$A22,T_TTAFStock[WeekIndex],96)&gt;0)&gt;0,SUMIFS(T_SelfStock[Self_Qty],T_SelfStock[RM_Code],$A22,T_SelfStock[WeekIndex],96)+SUMIFS(T_TTAFStock[TTAF_Qty],T_TTAFStock[RM_Code],$A22,T_TTAFStock[WeekIndex],96),CR22+'Grid_Incoming'!CS22-'Grid_Requirement'!CS22))</f>
        <v/>
      </c>
      <c r="CT22">
        <f>IF(COUNTIFS(T_StockCount[RM_Code],$A22,T_StockCount[WeekIndex],97)&gt;0,SUMIFS(T_StockCount[CountedQty],T_StockCount[RM_Code],$A22,T_StockCount[WeekIndex],97),IF((COUNTIFS(T_SelfStock[RM_Code],$A22,T_SelfStock[WeekIndex],97)&gt;0)*(COUNTIFS(T_TTAFStock[RM_Code],$A22,T_TTAFStock[WeekIndex],97)&gt;0)&gt;0,SUMIFS(T_SelfStock[Self_Qty],T_SelfStock[RM_Code],$A22,T_SelfStock[WeekIndex],97)+SUMIFS(T_TTAFStock[TTAF_Qty],T_TTAFStock[RM_Code],$A22,T_TTAFStock[WeekIndex],97),CS22+'Grid_Incoming'!CT22-'Grid_Requirement'!CT22))</f>
        <v/>
      </c>
      <c r="CU22">
        <f>IF(COUNTIFS(T_StockCount[RM_Code],$A22,T_StockCount[WeekIndex],98)&gt;0,SUMIFS(T_StockCount[CountedQty],T_StockCount[RM_Code],$A22,T_StockCount[WeekIndex],98),IF((COUNTIFS(T_SelfStock[RM_Code],$A22,T_SelfStock[WeekIndex],98)&gt;0)*(COUNTIFS(T_TTAFStock[RM_Code],$A22,T_TTAFStock[WeekIndex],98)&gt;0)&gt;0,SUMIFS(T_SelfStock[Self_Qty],T_SelfStock[RM_Code],$A22,T_SelfStock[WeekIndex],98)+SUMIFS(T_TTAFStock[TTAF_Qty],T_TTAFStock[RM_Code],$A22,T_TTAFStock[WeekIndex],98),CT22+'Grid_Incoming'!CU22-'Grid_Requirement'!CU22))</f>
        <v/>
      </c>
      <c r="CV22">
        <f>IF(COUNTIFS(T_StockCount[RM_Code],$A22,T_StockCount[WeekIndex],99)&gt;0,SUMIFS(T_StockCount[CountedQty],T_StockCount[RM_Code],$A22,T_StockCount[WeekIndex],99),IF((COUNTIFS(T_SelfStock[RM_Code],$A22,T_SelfStock[WeekIndex],99)&gt;0)*(COUNTIFS(T_TTAFStock[RM_Code],$A22,T_TTAFStock[WeekIndex],99)&gt;0)&gt;0,SUMIFS(T_SelfStock[Self_Qty],T_SelfStock[RM_Code],$A22,T_SelfStock[WeekIndex],99)+SUMIFS(T_TTAFStock[TTAF_Qty],T_TTAFStock[RM_Code],$A22,T_TTAFStock[WeekIndex],99),CU22+'Grid_Incoming'!CV22-'Grid_Requirement'!CV22))</f>
        <v/>
      </c>
      <c r="CW22">
        <f>IF(COUNTIFS(T_StockCount[RM_Code],$A22,T_StockCount[WeekIndex],100)&gt;0,SUMIFS(T_StockCount[CountedQty],T_StockCount[RM_Code],$A22,T_StockCount[WeekIndex],100),IF((COUNTIFS(T_SelfStock[RM_Code],$A22,T_SelfStock[WeekIndex],100)&gt;0)*(COUNTIFS(T_TTAFStock[RM_Code],$A22,T_TTAFStock[WeekIndex],100)&gt;0)&gt;0,SUMIFS(T_SelfStock[Self_Qty],T_SelfStock[RM_Code],$A22,T_SelfStock[WeekIndex],100)+SUMIFS(T_TTAFStock[TTAF_Qty],T_TTAFStock[RM_Code],$A22,T_TTAFStock[WeekIndex],100),CV22+'Grid_Incoming'!CW22-'Grid_Requirement'!CW22))</f>
        <v/>
      </c>
      <c r="CX22">
        <f>IF(COUNTIFS(T_StockCount[RM_Code],$A22,T_StockCount[WeekIndex],101)&gt;0,SUMIFS(T_StockCount[CountedQty],T_StockCount[RM_Code],$A22,T_StockCount[WeekIndex],101),IF((COUNTIFS(T_SelfStock[RM_Code],$A22,T_SelfStock[WeekIndex],101)&gt;0)*(COUNTIFS(T_TTAFStock[RM_Code],$A22,T_TTAFStock[WeekIndex],101)&gt;0)&gt;0,SUMIFS(T_SelfStock[Self_Qty],T_SelfStock[RM_Code],$A22,T_SelfStock[WeekIndex],101)+SUMIFS(T_TTAFStock[TTAF_Qty],T_TTAFStock[RM_Code],$A22,T_TTAFStock[WeekIndex],101),CW22+'Grid_Incoming'!CX22-'Grid_Requirement'!CX22))</f>
        <v/>
      </c>
      <c r="CY22">
        <f>IF(COUNTIFS(T_StockCount[RM_Code],$A22,T_StockCount[WeekIndex],102)&gt;0,SUMIFS(T_StockCount[CountedQty],T_StockCount[RM_Code],$A22,T_StockCount[WeekIndex],102),IF((COUNTIFS(T_SelfStock[RM_Code],$A22,T_SelfStock[WeekIndex],102)&gt;0)*(COUNTIFS(T_TTAFStock[RM_Code],$A22,T_TTAFStock[WeekIndex],102)&gt;0)&gt;0,SUMIFS(T_SelfStock[Self_Qty],T_SelfStock[RM_Code],$A22,T_SelfStock[WeekIndex],102)+SUMIFS(T_TTAFStock[TTAF_Qty],T_TTAFStock[RM_Code],$A22,T_TTAFStock[WeekIndex],102),CX22+'Grid_Incoming'!CY22-'Grid_Requirement'!CY22))</f>
        <v/>
      </c>
      <c r="CZ22">
        <f>IF(COUNTIFS(T_StockCount[RM_Code],$A22,T_StockCount[WeekIndex],103)&gt;0,SUMIFS(T_StockCount[CountedQty],T_StockCount[RM_Code],$A22,T_StockCount[WeekIndex],103),IF((COUNTIFS(T_SelfStock[RM_Code],$A22,T_SelfStock[WeekIndex],103)&gt;0)*(COUNTIFS(T_TTAFStock[RM_Code],$A22,T_TTAFStock[WeekIndex],103)&gt;0)&gt;0,SUMIFS(T_SelfStock[Self_Qty],T_SelfStock[RM_Code],$A22,T_SelfStock[WeekIndex],103)+SUMIFS(T_TTAFStock[TTAF_Qty],T_TTAFStock[RM_Code],$A22,T_TTAFStock[WeekIndex],103),CY22+'Grid_Incoming'!CZ22-'Grid_Requirement'!CZ22))</f>
        <v/>
      </c>
      <c r="DA22">
        <f>IF(COUNTIFS(T_StockCount[RM_Code],$A22,T_StockCount[WeekIndex],104)&gt;0,SUMIFS(T_StockCount[CountedQty],T_StockCount[RM_Code],$A22,T_StockCount[WeekIndex],104),IF((COUNTIFS(T_SelfStock[RM_Code],$A22,T_SelfStock[WeekIndex],104)&gt;0)*(COUNTIFS(T_TTAFStock[RM_Code],$A22,T_TTAFStock[WeekIndex],104)&gt;0)&gt;0,SUMIFS(T_SelfStock[Self_Qty],T_SelfStock[RM_Code],$A22,T_SelfStock[WeekIndex],104)+SUMIFS(T_TTAFStock[TTAF_Qty],T_TTAFStock[RM_Code],$A22,T_TTAFStock[WeekIndex],104),CZ22+'Grid_Incoming'!DA22-'Grid_Requirement'!DA22))</f>
        <v/>
      </c>
    </row>
    <row r="23">
      <c r="A23" t="inlineStr">
        <is>
          <t>CHEM-1280</t>
        </is>
      </c>
      <c r="B23">
        <f>IF(COUNTIFS(T_StockCount[RM_Code],$A23,T_StockCount[WeekIndex],1)&gt;0,SUMIFS(T_StockCount[CountedQty],T_StockCount[RM_Code],$A23,T_StockCount[WeekIndex],1),IF((COUNTIFS(T_SelfStock[RM_Code],$A23,T_SelfStock[WeekIndex],1)&gt;0)*(COUNTIFS(T_TTAFStock[RM_Code],$A23,T_TTAFStock[WeekIndex],1)&gt;0)&gt;0,SUMIFS(T_SelfStock[Self_Qty],T_SelfStock[RM_Code],$A23,T_SelfStock[WeekIndex],1)+SUMIFS(T_TTAFStock[TTAF_Qty],T_TTAFStock[RM_Code],$A23,T_TTAFStock[WeekIndex],1),IFERROR(INDEX(T_OpeningStock[Opening_Qty],MATCH($A23,T_OpeningStock[RM_Code],0)),0)+'Grid_Incoming'!B23-'Grid_Requirement'!B23))</f>
        <v/>
      </c>
      <c r="C23">
        <f>IF(COUNTIFS(T_StockCount[RM_Code],$A23,T_StockCount[WeekIndex],2)&gt;0,SUMIFS(T_StockCount[CountedQty],T_StockCount[RM_Code],$A23,T_StockCount[WeekIndex],2),IF((COUNTIFS(T_SelfStock[RM_Code],$A23,T_SelfStock[WeekIndex],2)&gt;0)*(COUNTIFS(T_TTAFStock[RM_Code],$A23,T_TTAFStock[WeekIndex],2)&gt;0)&gt;0,SUMIFS(T_SelfStock[Self_Qty],T_SelfStock[RM_Code],$A23,T_SelfStock[WeekIndex],2)+SUMIFS(T_TTAFStock[TTAF_Qty],T_TTAFStock[RM_Code],$A23,T_TTAFStock[WeekIndex],2),B23+'Grid_Incoming'!C23-'Grid_Requirement'!C23))</f>
        <v/>
      </c>
      <c r="D23">
        <f>IF(COUNTIFS(T_StockCount[RM_Code],$A23,T_StockCount[WeekIndex],3)&gt;0,SUMIFS(T_StockCount[CountedQty],T_StockCount[RM_Code],$A23,T_StockCount[WeekIndex],3),IF((COUNTIFS(T_SelfStock[RM_Code],$A23,T_SelfStock[WeekIndex],3)&gt;0)*(COUNTIFS(T_TTAFStock[RM_Code],$A23,T_TTAFStock[WeekIndex],3)&gt;0)&gt;0,SUMIFS(T_SelfStock[Self_Qty],T_SelfStock[RM_Code],$A23,T_SelfStock[WeekIndex],3)+SUMIFS(T_TTAFStock[TTAF_Qty],T_TTAFStock[RM_Code],$A23,T_TTAFStock[WeekIndex],3),C23+'Grid_Incoming'!D23-'Grid_Requirement'!D23))</f>
        <v/>
      </c>
      <c r="E23">
        <f>IF(COUNTIFS(T_StockCount[RM_Code],$A23,T_StockCount[WeekIndex],4)&gt;0,SUMIFS(T_StockCount[CountedQty],T_StockCount[RM_Code],$A23,T_StockCount[WeekIndex],4),IF((COUNTIFS(T_SelfStock[RM_Code],$A23,T_SelfStock[WeekIndex],4)&gt;0)*(COUNTIFS(T_TTAFStock[RM_Code],$A23,T_TTAFStock[WeekIndex],4)&gt;0)&gt;0,SUMIFS(T_SelfStock[Self_Qty],T_SelfStock[RM_Code],$A23,T_SelfStock[WeekIndex],4)+SUMIFS(T_TTAFStock[TTAF_Qty],T_TTAFStock[RM_Code],$A23,T_TTAFStock[WeekIndex],4),D23+'Grid_Incoming'!E23-'Grid_Requirement'!E23))</f>
        <v/>
      </c>
      <c r="F23">
        <f>IF(COUNTIFS(T_StockCount[RM_Code],$A23,T_StockCount[WeekIndex],5)&gt;0,SUMIFS(T_StockCount[CountedQty],T_StockCount[RM_Code],$A23,T_StockCount[WeekIndex],5),IF((COUNTIFS(T_SelfStock[RM_Code],$A23,T_SelfStock[WeekIndex],5)&gt;0)*(COUNTIFS(T_TTAFStock[RM_Code],$A23,T_TTAFStock[WeekIndex],5)&gt;0)&gt;0,SUMIFS(T_SelfStock[Self_Qty],T_SelfStock[RM_Code],$A23,T_SelfStock[WeekIndex],5)+SUMIFS(T_TTAFStock[TTAF_Qty],T_TTAFStock[RM_Code],$A23,T_TTAFStock[WeekIndex],5),E23+'Grid_Incoming'!F23-'Grid_Requirement'!F23))</f>
        <v/>
      </c>
      <c r="G23">
        <f>IF(COUNTIFS(T_StockCount[RM_Code],$A23,T_StockCount[WeekIndex],6)&gt;0,SUMIFS(T_StockCount[CountedQty],T_StockCount[RM_Code],$A23,T_StockCount[WeekIndex],6),IF((COUNTIFS(T_SelfStock[RM_Code],$A23,T_SelfStock[WeekIndex],6)&gt;0)*(COUNTIFS(T_TTAFStock[RM_Code],$A23,T_TTAFStock[WeekIndex],6)&gt;0)&gt;0,SUMIFS(T_SelfStock[Self_Qty],T_SelfStock[RM_Code],$A23,T_SelfStock[WeekIndex],6)+SUMIFS(T_TTAFStock[TTAF_Qty],T_TTAFStock[RM_Code],$A23,T_TTAFStock[WeekIndex],6),F23+'Grid_Incoming'!G23-'Grid_Requirement'!G23))</f>
        <v/>
      </c>
      <c r="H23">
        <f>IF(COUNTIFS(T_StockCount[RM_Code],$A23,T_StockCount[WeekIndex],7)&gt;0,SUMIFS(T_StockCount[CountedQty],T_StockCount[RM_Code],$A23,T_StockCount[WeekIndex],7),IF((COUNTIFS(T_SelfStock[RM_Code],$A23,T_SelfStock[WeekIndex],7)&gt;0)*(COUNTIFS(T_TTAFStock[RM_Code],$A23,T_TTAFStock[WeekIndex],7)&gt;0)&gt;0,SUMIFS(T_SelfStock[Self_Qty],T_SelfStock[RM_Code],$A23,T_SelfStock[WeekIndex],7)+SUMIFS(T_TTAFStock[TTAF_Qty],T_TTAFStock[RM_Code],$A23,T_TTAFStock[WeekIndex],7),G23+'Grid_Incoming'!H23-'Grid_Requirement'!H23))</f>
        <v/>
      </c>
      <c r="I23">
        <f>IF(COUNTIFS(T_StockCount[RM_Code],$A23,T_StockCount[WeekIndex],8)&gt;0,SUMIFS(T_StockCount[CountedQty],T_StockCount[RM_Code],$A23,T_StockCount[WeekIndex],8),IF((COUNTIFS(T_SelfStock[RM_Code],$A23,T_SelfStock[WeekIndex],8)&gt;0)*(COUNTIFS(T_TTAFStock[RM_Code],$A23,T_TTAFStock[WeekIndex],8)&gt;0)&gt;0,SUMIFS(T_SelfStock[Self_Qty],T_SelfStock[RM_Code],$A23,T_SelfStock[WeekIndex],8)+SUMIFS(T_TTAFStock[TTAF_Qty],T_TTAFStock[RM_Code],$A23,T_TTAFStock[WeekIndex],8),H23+'Grid_Incoming'!I23-'Grid_Requirement'!I23))</f>
        <v/>
      </c>
      <c r="J23">
        <f>IF(COUNTIFS(T_StockCount[RM_Code],$A23,T_StockCount[WeekIndex],9)&gt;0,SUMIFS(T_StockCount[CountedQty],T_StockCount[RM_Code],$A23,T_StockCount[WeekIndex],9),IF((COUNTIFS(T_SelfStock[RM_Code],$A23,T_SelfStock[WeekIndex],9)&gt;0)*(COUNTIFS(T_TTAFStock[RM_Code],$A23,T_TTAFStock[WeekIndex],9)&gt;0)&gt;0,SUMIFS(T_SelfStock[Self_Qty],T_SelfStock[RM_Code],$A23,T_SelfStock[WeekIndex],9)+SUMIFS(T_TTAFStock[TTAF_Qty],T_TTAFStock[RM_Code],$A23,T_TTAFStock[WeekIndex],9),I23+'Grid_Incoming'!J23-'Grid_Requirement'!J23))</f>
        <v/>
      </c>
      <c r="K23">
        <f>IF(COUNTIFS(T_StockCount[RM_Code],$A23,T_StockCount[WeekIndex],10)&gt;0,SUMIFS(T_StockCount[CountedQty],T_StockCount[RM_Code],$A23,T_StockCount[WeekIndex],10),IF((COUNTIFS(T_SelfStock[RM_Code],$A23,T_SelfStock[WeekIndex],10)&gt;0)*(COUNTIFS(T_TTAFStock[RM_Code],$A23,T_TTAFStock[WeekIndex],10)&gt;0)&gt;0,SUMIFS(T_SelfStock[Self_Qty],T_SelfStock[RM_Code],$A23,T_SelfStock[WeekIndex],10)+SUMIFS(T_TTAFStock[TTAF_Qty],T_TTAFStock[RM_Code],$A23,T_TTAFStock[WeekIndex],10),J23+'Grid_Incoming'!K23-'Grid_Requirement'!K23))</f>
        <v/>
      </c>
      <c r="L23">
        <f>IF(COUNTIFS(T_StockCount[RM_Code],$A23,T_StockCount[WeekIndex],11)&gt;0,SUMIFS(T_StockCount[CountedQty],T_StockCount[RM_Code],$A23,T_StockCount[WeekIndex],11),IF((COUNTIFS(T_SelfStock[RM_Code],$A23,T_SelfStock[WeekIndex],11)&gt;0)*(COUNTIFS(T_TTAFStock[RM_Code],$A23,T_TTAFStock[WeekIndex],11)&gt;0)&gt;0,SUMIFS(T_SelfStock[Self_Qty],T_SelfStock[RM_Code],$A23,T_SelfStock[WeekIndex],11)+SUMIFS(T_TTAFStock[TTAF_Qty],T_TTAFStock[RM_Code],$A23,T_TTAFStock[WeekIndex],11),K23+'Grid_Incoming'!L23-'Grid_Requirement'!L23))</f>
        <v/>
      </c>
      <c r="M23">
        <f>IF(COUNTIFS(T_StockCount[RM_Code],$A23,T_StockCount[WeekIndex],12)&gt;0,SUMIFS(T_StockCount[CountedQty],T_StockCount[RM_Code],$A23,T_StockCount[WeekIndex],12),IF((COUNTIFS(T_SelfStock[RM_Code],$A23,T_SelfStock[WeekIndex],12)&gt;0)*(COUNTIFS(T_TTAFStock[RM_Code],$A23,T_TTAFStock[WeekIndex],12)&gt;0)&gt;0,SUMIFS(T_SelfStock[Self_Qty],T_SelfStock[RM_Code],$A23,T_SelfStock[WeekIndex],12)+SUMIFS(T_TTAFStock[TTAF_Qty],T_TTAFStock[RM_Code],$A23,T_TTAFStock[WeekIndex],12),L23+'Grid_Incoming'!M23-'Grid_Requirement'!M23))</f>
        <v/>
      </c>
      <c r="N23">
        <f>IF(COUNTIFS(T_StockCount[RM_Code],$A23,T_StockCount[WeekIndex],13)&gt;0,SUMIFS(T_StockCount[CountedQty],T_StockCount[RM_Code],$A23,T_StockCount[WeekIndex],13),IF((COUNTIFS(T_SelfStock[RM_Code],$A23,T_SelfStock[WeekIndex],13)&gt;0)*(COUNTIFS(T_TTAFStock[RM_Code],$A23,T_TTAFStock[WeekIndex],13)&gt;0)&gt;0,SUMIFS(T_SelfStock[Self_Qty],T_SelfStock[RM_Code],$A23,T_SelfStock[WeekIndex],13)+SUMIFS(T_TTAFStock[TTAF_Qty],T_TTAFStock[RM_Code],$A23,T_TTAFStock[WeekIndex],13),M23+'Grid_Incoming'!N23-'Grid_Requirement'!N23))</f>
        <v/>
      </c>
      <c r="O23">
        <f>IF(COUNTIFS(T_StockCount[RM_Code],$A23,T_StockCount[WeekIndex],14)&gt;0,SUMIFS(T_StockCount[CountedQty],T_StockCount[RM_Code],$A23,T_StockCount[WeekIndex],14),IF((COUNTIFS(T_SelfStock[RM_Code],$A23,T_SelfStock[WeekIndex],14)&gt;0)*(COUNTIFS(T_TTAFStock[RM_Code],$A23,T_TTAFStock[WeekIndex],14)&gt;0)&gt;0,SUMIFS(T_SelfStock[Self_Qty],T_SelfStock[RM_Code],$A23,T_SelfStock[WeekIndex],14)+SUMIFS(T_TTAFStock[TTAF_Qty],T_TTAFStock[RM_Code],$A23,T_TTAFStock[WeekIndex],14),N23+'Grid_Incoming'!O23-'Grid_Requirement'!O23))</f>
        <v/>
      </c>
      <c r="P23">
        <f>IF(COUNTIFS(T_StockCount[RM_Code],$A23,T_StockCount[WeekIndex],15)&gt;0,SUMIFS(T_StockCount[CountedQty],T_StockCount[RM_Code],$A23,T_StockCount[WeekIndex],15),IF((COUNTIFS(T_SelfStock[RM_Code],$A23,T_SelfStock[WeekIndex],15)&gt;0)*(COUNTIFS(T_TTAFStock[RM_Code],$A23,T_TTAFStock[WeekIndex],15)&gt;0)&gt;0,SUMIFS(T_SelfStock[Self_Qty],T_SelfStock[RM_Code],$A23,T_SelfStock[WeekIndex],15)+SUMIFS(T_TTAFStock[TTAF_Qty],T_TTAFStock[RM_Code],$A23,T_TTAFStock[WeekIndex],15),O23+'Grid_Incoming'!P23-'Grid_Requirement'!P23))</f>
        <v/>
      </c>
      <c r="Q23">
        <f>IF(COUNTIFS(T_StockCount[RM_Code],$A23,T_StockCount[WeekIndex],16)&gt;0,SUMIFS(T_StockCount[CountedQty],T_StockCount[RM_Code],$A23,T_StockCount[WeekIndex],16),IF((COUNTIFS(T_SelfStock[RM_Code],$A23,T_SelfStock[WeekIndex],16)&gt;0)*(COUNTIFS(T_TTAFStock[RM_Code],$A23,T_TTAFStock[WeekIndex],16)&gt;0)&gt;0,SUMIFS(T_SelfStock[Self_Qty],T_SelfStock[RM_Code],$A23,T_SelfStock[WeekIndex],16)+SUMIFS(T_TTAFStock[TTAF_Qty],T_TTAFStock[RM_Code],$A23,T_TTAFStock[WeekIndex],16),P23+'Grid_Incoming'!Q23-'Grid_Requirement'!Q23))</f>
        <v/>
      </c>
      <c r="R23">
        <f>IF(COUNTIFS(T_StockCount[RM_Code],$A23,T_StockCount[WeekIndex],17)&gt;0,SUMIFS(T_StockCount[CountedQty],T_StockCount[RM_Code],$A23,T_StockCount[WeekIndex],17),IF((COUNTIFS(T_SelfStock[RM_Code],$A23,T_SelfStock[WeekIndex],17)&gt;0)*(COUNTIFS(T_TTAFStock[RM_Code],$A23,T_TTAFStock[WeekIndex],17)&gt;0)&gt;0,SUMIFS(T_SelfStock[Self_Qty],T_SelfStock[RM_Code],$A23,T_SelfStock[WeekIndex],17)+SUMIFS(T_TTAFStock[TTAF_Qty],T_TTAFStock[RM_Code],$A23,T_TTAFStock[WeekIndex],17),Q23+'Grid_Incoming'!R23-'Grid_Requirement'!R23))</f>
        <v/>
      </c>
      <c r="S23">
        <f>IF(COUNTIFS(T_StockCount[RM_Code],$A23,T_StockCount[WeekIndex],18)&gt;0,SUMIFS(T_StockCount[CountedQty],T_StockCount[RM_Code],$A23,T_StockCount[WeekIndex],18),IF((COUNTIFS(T_SelfStock[RM_Code],$A23,T_SelfStock[WeekIndex],18)&gt;0)*(COUNTIFS(T_TTAFStock[RM_Code],$A23,T_TTAFStock[WeekIndex],18)&gt;0)&gt;0,SUMIFS(T_SelfStock[Self_Qty],T_SelfStock[RM_Code],$A23,T_SelfStock[WeekIndex],18)+SUMIFS(T_TTAFStock[TTAF_Qty],T_TTAFStock[RM_Code],$A23,T_TTAFStock[WeekIndex],18),R23+'Grid_Incoming'!S23-'Grid_Requirement'!S23))</f>
        <v/>
      </c>
      <c r="T23">
        <f>IF(COUNTIFS(T_StockCount[RM_Code],$A23,T_StockCount[WeekIndex],19)&gt;0,SUMIFS(T_StockCount[CountedQty],T_StockCount[RM_Code],$A23,T_StockCount[WeekIndex],19),IF((COUNTIFS(T_SelfStock[RM_Code],$A23,T_SelfStock[WeekIndex],19)&gt;0)*(COUNTIFS(T_TTAFStock[RM_Code],$A23,T_TTAFStock[WeekIndex],19)&gt;0)&gt;0,SUMIFS(T_SelfStock[Self_Qty],T_SelfStock[RM_Code],$A23,T_SelfStock[WeekIndex],19)+SUMIFS(T_TTAFStock[TTAF_Qty],T_TTAFStock[RM_Code],$A23,T_TTAFStock[WeekIndex],19),S23+'Grid_Incoming'!T23-'Grid_Requirement'!T23))</f>
        <v/>
      </c>
      <c r="U23">
        <f>IF(COUNTIFS(T_StockCount[RM_Code],$A23,T_StockCount[WeekIndex],20)&gt;0,SUMIFS(T_StockCount[CountedQty],T_StockCount[RM_Code],$A23,T_StockCount[WeekIndex],20),IF((COUNTIFS(T_SelfStock[RM_Code],$A23,T_SelfStock[WeekIndex],20)&gt;0)*(COUNTIFS(T_TTAFStock[RM_Code],$A23,T_TTAFStock[WeekIndex],20)&gt;0)&gt;0,SUMIFS(T_SelfStock[Self_Qty],T_SelfStock[RM_Code],$A23,T_SelfStock[WeekIndex],20)+SUMIFS(T_TTAFStock[TTAF_Qty],T_TTAFStock[RM_Code],$A23,T_TTAFStock[WeekIndex],20),T23+'Grid_Incoming'!U23-'Grid_Requirement'!U23))</f>
        <v/>
      </c>
      <c r="V23">
        <f>IF(COUNTIFS(T_StockCount[RM_Code],$A23,T_StockCount[WeekIndex],21)&gt;0,SUMIFS(T_StockCount[CountedQty],T_StockCount[RM_Code],$A23,T_StockCount[WeekIndex],21),IF((COUNTIFS(T_SelfStock[RM_Code],$A23,T_SelfStock[WeekIndex],21)&gt;0)*(COUNTIFS(T_TTAFStock[RM_Code],$A23,T_TTAFStock[WeekIndex],21)&gt;0)&gt;0,SUMIFS(T_SelfStock[Self_Qty],T_SelfStock[RM_Code],$A23,T_SelfStock[WeekIndex],21)+SUMIFS(T_TTAFStock[TTAF_Qty],T_TTAFStock[RM_Code],$A23,T_TTAFStock[WeekIndex],21),U23+'Grid_Incoming'!V23-'Grid_Requirement'!V23))</f>
        <v/>
      </c>
      <c r="W23">
        <f>IF(COUNTIFS(T_StockCount[RM_Code],$A23,T_StockCount[WeekIndex],22)&gt;0,SUMIFS(T_StockCount[CountedQty],T_StockCount[RM_Code],$A23,T_StockCount[WeekIndex],22),IF((COUNTIFS(T_SelfStock[RM_Code],$A23,T_SelfStock[WeekIndex],22)&gt;0)*(COUNTIFS(T_TTAFStock[RM_Code],$A23,T_TTAFStock[WeekIndex],22)&gt;0)&gt;0,SUMIFS(T_SelfStock[Self_Qty],T_SelfStock[RM_Code],$A23,T_SelfStock[WeekIndex],22)+SUMIFS(T_TTAFStock[TTAF_Qty],T_TTAFStock[RM_Code],$A23,T_TTAFStock[WeekIndex],22),V23+'Grid_Incoming'!W23-'Grid_Requirement'!W23))</f>
        <v/>
      </c>
      <c r="X23">
        <f>IF(COUNTIFS(T_StockCount[RM_Code],$A23,T_StockCount[WeekIndex],23)&gt;0,SUMIFS(T_StockCount[CountedQty],T_StockCount[RM_Code],$A23,T_StockCount[WeekIndex],23),IF((COUNTIFS(T_SelfStock[RM_Code],$A23,T_SelfStock[WeekIndex],23)&gt;0)*(COUNTIFS(T_TTAFStock[RM_Code],$A23,T_TTAFStock[WeekIndex],23)&gt;0)&gt;0,SUMIFS(T_SelfStock[Self_Qty],T_SelfStock[RM_Code],$A23,T_SelfStock[WeekIndex],23)+SUMIFS(T_TTAFStock[TTAF_Qty],T_TTAFStock[RM_Code],$A23,T_TTAFStock[WeekIndex],23),W23+'Grid_Incoming'!X23-'Grid_Requirement'!X23))</f>
        <v/>
      </c>
      <c r="Y23">
        <f>IF(COUNTIFS(T_StockCount[RM_Code],$A23,T_StockCount[WeekIndex],24)&gt;0,SUMIFS(T_StockCount[CountedQty],T_StockCount[RM_Code],$A23,T_StockCount[WeekIndex],24),IF((COUNTIFS(T_SelfStock[RM_Code],$A23,T_SelfStock[WeekIndex],24)&gt;0)*(COUNTIFS(T_TTAFStock[RM_Code],$A23,T_TTAFStock[WeekIndex],24)&gt;0)&gt;0,SUMIFS(T_SelfStock[Self_Qty],T_SelfStock[RM_Code],$A23,T_SelfStock[WeekIndex],24)+SUMIFS(T_TTAFStock[TTAF_Qty],T_TTAFStock[RM_Code],$A23,T_TTAFStock[WeekIndex],24),X23+'Grid_Incoming'!Y23-'Grid_Requirement'!Y23))</f>
        <v/>
      </c>
      <c r="Z23">
        <f>IF(COUNTIFS(T_StockCount[RM_Code],$A23,T_StockCount[WeekIndex],25)&gt;0,SUMIFS(T_StockCount[CountedQty],T_StockCount[RM_Code],$A23,T_StockCount[WeekIndex],25),IF((COUNTIFS(T_SelfStock[RM_Code],$A23,T_SelfStock[WeekIndex],25)&gt;0)*(COUNTIFS(T_TTAFStock[RM_Code],$A23,T_TTAFStock[WeekIndex],25)&gt;0)&gt;0,SUMIFS(T_SelfStock[Self_Qty],T_SelfStock[RM_Code],$A23,T_SelfStock[WeekIndex],25)+SUMIFS(T_TTAFStock[TTAF_Qty],T_TTAFStock[RM_Code],$A23,T_TTAFStock[WeekIndex],25),Y23+'Grid_Incoming'!Z23-'Grid_Requirement'!Z23))</f>
        <v/>
      </c>
      <c r="AA23">
        <f>IF(COUNTIFS(T_StockCount[RM_Code],$A23,T_StockCount[WeekIndex],26)&gt;0,SUMIFS(T_StockCount[CountedQty],T_StockCount[RM_Code],$A23,T_StockCount[WeekIndex],26),IF((COUNTIFS(T_SelfStock[RM_Code],$A23,T_SelfStock[WeekIndex],26)&gt;0)*(COUNTIFS(T_TTAFStock[RM_Code],$A23,T_TTAFStock[WeekIndex],26)&gt;0)&gt;0,SUMIFS(T_SelfStock[Self_Qty],T_SelfStock[RM_Code],$A23,T_SelfStock[WeekIndex],26)+SUMIFS(T_TTAFStock[TTAF_Qty],T_TTAFStock[RM_Code],$A23,T_TTAFStock[WeekIndex],26),Z23+'Grid_Incoming'!AA23-'Grid_Requirement'!AA23))</f>
        <v/>
      </c>
      <c r="AB23">
        <f>IF(COUNTIFS(T_StockCount[RM_Code],$A23,T_StockCount[WeekIndex],27)&gt;0,SUMIFS(T_StockCount[CountedQty],T_StockCount[RM_Code],$A23,T_StockCount[WeekIndex],27),IF((COUNTIFS(T_SelfStock[RM_Code],$A23,T_SelfStock[WeekIndex],27)&gt;0)*(COUNTIFS(T_TTAFStock[RM_Code],$A23,T_TTAFStock[WeekIndex],27)&gt;0)&gt;0,SUMIFS(T_SelfStock[Self_Qty],T_SelfStock[RM_Code],$A23,T_SelfStock[WeekIndex],27)+SUMIFS(T_TTAFStock[TTAF_Qty],T_TTAFStock[RM_Code],$A23,T_TTAFStock[WeekIndex],27),AA23+'Grid_Incoming'!AB23-'Grid_Requirement'!AB23))</f>
        <v/>
      </c>
      <c r="AC23">
        <f>IF(COUNTIFS(T_StockCount[RM_Code],$A23,T_StockCount[WeekIndex],28)&gt;0,SUMIFS(T_StockCount[CountedQty],T_StockCount[RM_Code],$A23,T_StockCount[WeekIndex],28),IF((COUNTIFS(T_SelfStock[RM_Code],$A23,T_SelfStock[WeekIndex],28)&gt;0)*(COUNTIFS(T_TTAFStock[RM_Code],$A23,T_TTAFStock[WeekIndex],28)&gt;0)&gt;0,SUMIFS(T_SelfStock[Self_Qty],T_SelfStock[RM_Code],$A23,T_SelfStock[WeekIndex],28)+SUMIFS(T_TTAFStock[TTAF_Qty],T_TTAFStock[RM_Code],$A23,T_TTAFStock[WeekIndex],28),AB23+'Grid_Incoming'!AC23-'Grid_Requirement'!AC23))</f>
        <v/>
      </c>
      <c r="AD23">
        <f>IF(COUNTIFS(T_StockCount[RM_Code],$A23,T_StockCount[WeekIndex],29)&gt;0,SUMIFS(T_StockCount[CountedQty],T_StockCount[RM_Code],$A23,T_StockCount[WeekIndex],29),IF((COUNTIFS(T_SelfStock[RM_Code],$A23,T_SelfStock[WeekIndex],29)&gt;0)*(COUNTIFS(T_TTAFStock[RM_Code],$A23,T_TTAFStock[WeekIndex],29)&gt;0)&gt;0,SUMIFS(T_SelfStock[Self_Qty],T_SelfStock[RM_Code],$A23,T_SelfStock[WeekIndex],29)+SUMIFS(T_TTAFStock[TTAF_Qty],T_TTAFStock[RM_Code],$A23,T_TTAFStock[WeekIndex],29),AC23+'Grid_Incoming'!AD23-'Grid_Requirement'!AD23))</f>
        <v/>
      </c>
      <c r="AE23">
        <f>IF(COUNTIFS(T_StockCount[RM_Code],$A23,T_StockCount[WeekIndex],30)&gt;0,SUMIFS(T_StockCount[CountedQty],T_StockCount[RM_Code],$A23,T_StockCount[WeekIndex],30),IF((COUNTIFS(T_SelfStock[RM_Code],$A23,T_SelfStock[WeekIndex],30)&gt;0)*(COUNTIFS(T_TTAFStock[RM_Code],$A23,T_TTAFStock[WeekIndex],30)&gt;0)&gt;0,SUMIFS(T_SelfStock[Self_Qty],T_SelfStock[RM_Code],$A23,T_SelfStock[WeekIndex],30)+SUMIFS(T_TTAFStock[TTAF_Qty],T_TTAFStock[RM_Code],$A23,T_TTAFStock[WeekIndex],30),AD23+'Grid_Incoming'!AE23-'Grid_Requirement'!AE23))</f>
        <v/>
      </c>
      <c r="AF23">
        <f>IF(COUNTIFS(T_StockCount[RM_Code],$A23,T_StockCount[WeekIndex],31)&gt;0,SUMIFS(T_StockCount[CountedQty],T_StockCount[RM_Code],$A23,T_StockCount[WeekIndex],31),IF((COUNTIFS(T_SelfStock[RM_Code],$A23,T_SelfStock[WeekIndex],31)&gt;0)*(COUNTIFS(T_TTAFStock[RM_Code],$A23,T_TTAFStock[WeekIndex],31)&gt;0)&gt;0,SUMIFS(T_SelfStock[Self_Qty],T_SelfStock[RM_Code],$A23,T_SelfStock[WeekIndex],31)+SUMIFS(T_TTAFStock[TTAF_Qty],T_TTAFStock[RM_Code],$A23,T_TTAFStock[WeekIndex],31),AE23+'Grid_Incoming'!AF23-'Grid_Requirement'!AF23))</f>
        <v/>
      </c>
      <c r="AG23">
        <f>IF(COUNTIFS(T_StockCount[RM_Code],$A23,T_StockCount[WeekIndex],32)&gt;0,SUMIFS(T_StockCount[CountedQty],T_StockCount[RM_Code],$A23,T_StockCount[WeekIndex],32),IF((COUNTIFS(T_SelfStock[RM_Code],$A23,T_SelfStock[WeekIndex],32)&gt;0)*(COUNTIFS(T_TTAFStock[RM_Code],$A23,T_TTAFStock[WeekIndex],32)&gt;0)&gt;0,SUMIFS(T_SelfStock[Self_Qty],T_SelfStock[RM_Code],$A23,T_SelfStock[WeekIndex],32)+SUMIFS(T_TTAFStock[TTAF_Qty],T_TTAFStock[RM_Code],$A23,T_TTAFStock[WeekIndex],32),AF23+'Grid_Incoming'!AG23-'Grid_Requirement'!AG23))</f>
        <v/>
      </c>
      <c r="AH23">
        <f>IF(COUNTIFS(T_StockCount[RM_Code],$A23,T_StockCount[WeekIndex],33)&gt;0,SUMIFS(T_StockCount[CountedQty],T_StockCount[RM_Code],$A23,T_StockCount[WeekIndex],33),IF((COUNTIFS(T_SelfStock[RM_Code],$A23,T_SelfStock[WeekIndex],33)&gt;0)*(COUNTIFS(T_TTAFStock[RM_Code],$A23,T_TTAFStock[WeekIndex],33)&gt;0)&gt;0,SUMIFS(T_SelfStock[Self_Qty],T_SelfStock[RM_Code],$A23,T_SelfStock[WeekIndex],33)+SUMIFS(T_TTAFStock[TTAF_Qty],T_TTAFStock[RM_Code],$A23,T_TTAFStock[WeekIndex],33),AG23+'Grid_Incoming'!AH23-'Grid_Requirement'!AH23))</f>
        <v/>
      </c>
      <c r="AI23">
        <f>IF(COUNTIFS(T_StockCount[RM_Code],$A23,T_StockCount[WeekIndex],34)&gt;0,SUMIFS(T_StockCount[CountedQty],T_StockCount[RM_Code],$A23,T_StockCount[WeekIndex],34),IF((COUNTIFS(T_SelfStock[RM_Code],$A23,T_SelfStock[WeekIndex],34)&gt;0)*(COUNTIFS(T_TTAFStock[RM_Code],$A23,T_TTAFStock[WeekIndex],34)&gt;0)&gt;0,SUMIFS(T_SelfStock[Self_Qty],T_SelfStock[RM_Code],$A23,T_SelfStock[WeekIndex],34)+SUMIFS(T_TTAFStock[TTAF_Qty],T_TTAFStock[RM_Code],$A23,T_TTAFStock[WeekIndex],34),AH23+'Grid_Incoming'!AI23-'Grid_Requirement'!AI23))</f>
        <v/>
      </c>
      <c r="AJ23">
        <f>IF(COUNTIFS(T_StockCount[RM_Code],$A23,T_StockCount[WeekIndex],35)&gt;0,SUMIFS(T_StockCount[CountedQty],T_StockCount[RM_Code],$A23,T_StockCount[WeekIndex],35),IF((COUNTIFS(T_SelfStock[RM_Code],$A23,T_SelfStock[WeekIndex],35)&gt;0)*(COUNTIFS(T_TTAFStock[RM_Code],$A23,T_TTAFStock[WeekIndex],35)&gt;0)&gt;0,SUMIFS(T_SelfStock[Self_Qty],T_SelfStock[RM_Code],$A23,T_SelfStock[WeekIndex],35)+SUMIFS(T_TTAFStock[TTAF_Qty],T_TTAFStock[RM_Code],$A23,T_TTAFStock[WeekIndex],35),AI23+'Grid_Incoming'!AJ23-'Grid_Requirement'!AJ23))</f>
        <v/>
      </c>
      <c r="AK23">
        <f>IF(COUNTIFS(T_StockCount[RM_Code],$A23,T_StockCount[WeekIndex],36)&gt;0,SUMIFS(T_StockCount[CountedQty],T_StockCount[RM_Code],$A23,T_StockCount[WeekIndex],36),IF((COUNTIFS(T_SelfStock[RM_Code],$A23,T_SelfStock[WeekIndex],36)&gt;0)*(COUNTIFS(T_TTAFStock[RM_Code],$A23,T_TTAFStock[WeekIndex],36)&gt;0)&gt;0,SUMIFS(T_SelfStock[Self_Qty],T_SelfStock[RM_Code],$A23,T_SelfStock[WeekIndex],36)+SUMIFS(T_TTAFStock[TTAF_Qty],T_TTAFStock[RM_Code],$A23,T_TTAFStock[WeekIndex],36),AJ23+'Grid_Incoming'!AK23-'Grid_Requirement'!AK23))</f>
        <v/>
      </c>
      <c r="AL23">
        <f>IF(COUNTIFS(T_StockCount[RM_Code],$A23,T_StockCount[WeekIndex],37)&gt;0,SUMIFS(T_StockCount[CountedQty],T_StockCount[RM_Code],$A23,T_StockCount[WeekIndex],37),IF((COUNTIFS(T_SelfStock[RM_Code],$A23,T_SelfStock[WeekIndex],37)&gt;0)*(COUNTIFS(T_TTAFStock[RM_Code],$A23,T_TTAFStock[WeekIndex],37)&gt;0)&gt;0,SUMIFS(T_SelfStock[Self_Qty],T_SelfStock[RM_Code],$A23,T_SelfStock[WeekIndex],37)+SUMIFS(T_TTAFStock[TTAF_Qty],T_TTAFStock[RM_Code],$A23,T_TTAFStock[WeekIndex],37),AK23+'Grid_Incoming'!AL23-'Grid_Requirement'!AL23))</f>
        <v/>
      </c>
      <c r="AM23">
        <f>IF(COUNTIFS(T_StockCount[RM_Code],$A23,T_StockCount[WeekIndex],38)&gt;0,SUMIFS(T_StockCount[CountedQty],T_StockCount[RM_Code],$A23,T_StockCount[WeekIndex],38),IF((COUNTIFS(T_SelfStock[RM_Code],$A23,T_SelfStock[WeekIndex],38)&gt;0)*(COUNTIFS(T_TTAFStock[RM_Code],$A23,T_TTAFStock[WeekIndex],38)&gt;0)&gt;0,SUMIFS(T_SelfStock[Self_Qty],T_SelfStock[RM_Code],$A23,T_SelfStock[WeekIndex],38)+SUMIFS(T_TTAFStock[TTAF_Qty],T_TTAFStock[RM_Code],$A23,T_TTAFStock[WeekIndex],38),AL23+'Grid_Incoming'!AM23-'Grid_Requirement'!AM23))</f>
        <v/>
      </c>
      <c r="AN23">
        <f>IF(COUNTIFS(T_StockCount[RM_Code],$A23,T_StockCount[WeekIndex],39)&gt;0,SUMIFS(T_StockCount[CountedQty],T_StockCount[RM_Code],$A23,T_StockCount[WeekIndex],39),IF((COUNTIFS(T_SelfStock[RM_Code],$A23,T_SelfStock[WeekIndex],39)&gt;0)*(COUNTIFS(T_TTAFStock[RM_Code],$A23,T_TTAFStock[WeekIndex],39)&gt;0)&gt;0,SUMIFS(T_SelfStock[Self_Qty],T_SelfStock[RM_Code],$A23,T_SelfStock[WeekIndex],39)+SUMIFS(T_TTAFStock[TTAF_Qty],T_TTAFStock[RM_Code],$A23,T_TTAFStock[WeekIndex],39),AM23+'Grid_Incoming'!AN23-'Grid_Requirement'!AN23))</f>
        <v/>
      </c>
      <c r="AO23">
        <f>IF(COUNTIFS(T_StockCount[RM_Code],$A23,T_StockCount[WeekIndex],40)&gt;0,SUMIFS(T_StockCount[CountedQty],T_StockCount[RM_Code],$A23,T_StockCount[WeekIndex],40),IF((COUNTIFS(T_SelfStock[RM_Code],$A23,T_SelfStock[WeekIndex],40)&gt;0)*(COUNTIFS(T_TTAFStock[RM_Code],$A23,T_TTAFStock[WeekIndex],40)&gt;0)&gt;0,SUMIFS(T_SelfStock[Self_Qty],T_SelfStock[RM_Code],$A23,T_SelfStock[WeekIndex],40)+SUMIFS(T_TTAFStock[TTAF_Qty],T_TTAFStock[RM_Code],$A23,T_TTAFStock[WeekIndex],40),AN23+'Grid_Incoming'!AO23-'Grid_Requirement'!AO23))</f>
        <v/>
      </c>
      <c r="AP23">
        <f>IF(COUNTIFS(T_StockCount[RM_Code],$A23,T_StockCount[WeekIndex],41)&gt;0,SUMIFS(T_StockCount[CountedQty],T_StockCount[RM_Code],$A23,T_StockCount[WeekIndex],41),IF((COUNTIFS(T_SelfStock[RM_Code],$A23,T_SelfStock[WeekIndex],41)&gt;0)*(COUNTIFS(T_TTAFStock[RM_Code],$A23,T_TTAFStock[WeekIndex],41)&gt;0)&gt;0,SUMIFS(T_SelfStock[Self_Qty],T_SelfStock[RM_Code],$A23,T_SelfStock[WeekIndex],41)+SUMIFS(T_TTAFStock[TTAF_Qty],T_TTAFStock[RM_Code],$A23,T_TTAFStock[WeekIndex],41),AO23+'Grid_Incoming'!AP23-'Grid_Requirement'!AP23))</f>
        <v/>
      </c>
      <c r="AQ23">
        <f>IF(COUNTIFS(T_StockCount[RM_Code],$A23,T_StockCount[WeekIndex],42)&gt;0,SUMIFS(T_StockCount[CountedQty],T_StockCount[RM_Code],$A23,T_StockCount[WeekIndex],42),IF((COUNTIFS(T_SelfStock[RM_Code],$A23,T_SelfStock[WeekIndex],42)&gt;0)*(COUNTIFS(T_TTAFStock[RM_Code],$A23,T_TTAFStock[WeekIndex],42)&gt;0)&gt;0,SUMIFS(T_SelfStock[Self_Qty],T_SelfStock[RM_Code],$A23,T_SelfStock[WeekIndex],42)+SUMIFS(T_TTAFStock[TTAF_Qty],T_TTAFStock[RM_Code],$A23,T_TTAFStock[WeekIndex],42),AP23+'Grid_Incoming'!AQ23-'Grid_Requirement'!AQ23))</f>
        <v/>
      </c>
      <c r="AR23">
        <f>IF(COUNTIFS(T_StockCount[RM_Code],$A23,T_StockCount[WeekIndex],43)&gt;0,SUMIFS(T_StockCount[CountedQty],T_StockCount[RM_Code],$A23,T_StockCount[WeekIndex],43),IF((COUNTIFS(T_SelfStock[RM_Code],$A23,T_SelfStock[WeekIndex],43)&gt;0)*(COUNTIFS(T_TTAFStock[RM_Code],$A23,T_TTAFStock[WeekIndex],43)&gt;0)&gt;0,SUMIFS(T_SelfStock[Self_Qty],T_SelfStock[RM_Code],$A23,T_SelfStock[WeekIndex],43)+SUMIFS(T_TTAFStock[TTAF_Qty],T_TTAFStock[RM_Code],$A23,T_TTAFStock[WeekIndex],43),AQ23+'Grid_Incoming'!AR23-'Grid_Requirement'!AR23))</f>
        <v/>
      </c>
      <c r="AS23">
        <f>IF(COUNTIFS(T_StockCount[RM_Code],$A23,T_StockCount[WeekIndex],44)&gt;0,SUMIFS(T_StockCount[CountedQty],T_StockCount[RM_Code],$A23,T_StockCount[WeekIndex],44),IF((COUNTIFS(T_SelfStock[RM_Code],$A23,T_SelfStock[WeekIndex],44)&gt;0)*(COUNTIFS(T_TTAFStock[RM_Code],$A23,T_TTAFStock[WeekIndex],44)&gt;0)&gt;0,SUMIFS(T_SelfStock[Self_Qty],T_SelfStock[RM_Code],$A23,T_SelfStock[WeekIndex],44)+SUMIFS(T_TTAFStock[TTAF_Qty],T_TTAFStock[RM_Code],$A23,T_TTAFStock[WeekIndex],44),AR23+'Grid_Incoming'!AS23-'Grid_Requirement'!AS23))</f>
        <v/>
      </c>
      <c r="AT23">
        <f>IF(COUNTIFS(T_StockCount[RM_Code],$A23,T_StockCount[WeekIndex],45)&gt;0,SUMIFS(T_StockCount[CountedQty],T_StockCount[RM_Code],$A23,T_StockCount[WeekIndex],45),IF((COUNTIFS(T_SelfStock[RM_Code],$A23,T_SelfStock[WeekIndex],45)&gt;0)*(COUNTIFS(T_TTAFStock[RM_Code],$A23,T_TTAFStock[WeekIndex],45)&gt;0)&gt;0,SUMIFS(T_SelfStock[Self_Qty],T_SelfStock[RM_Code],$A23,T_SelfStock[WeekIndex],45)+SUMIFS(T_TTAFStock[TTAF_Qty],T_TTAFStock[RM_Code],$A23,T_TTAFStock[WeekIndex],45),AS23+'Grid_Incoming'!AT23-'Grid_Requirement'!AT23))</f>
        <v/>
      </c>
      <c r="AU23">
        <f>IF(COUNTIFS(T_StockCount[RM_Code],$A23,T_StockCount[WeekIndex],46)&gt;0,SUMIFS(T_StockCount[CountedQty],T_StockCount[RM_Code],$A23,T_StockCount[WeekIndex],46),IF((COUNTIFS(T_SelfStock[RM_Code],$A23,T_SelfStock[WeekIndex],46)&gt;0)*(COUNTIFS(T_TTAFStock[RM_Code],$A23,T_TTAFStock[WeekIndex],46)&gt;0)&gt;0,SUMIFS(T_SelfStock[Self_Qty],T_SelfStock[RM_Code],$A23,T_SelfStock[WeekIndex],46)+SUMIFS(T_TTAFStock[TTAF_Qty],T_TTAFStock[RM_Code],$A23,T_TTAFStock[WeekIndex],46),AT23+'Grid_Incoming'!AU23-'Grid_Requirement'!AU23))</f>
        <v/>
      </c>
      <c r="AV23">
        <f>IF(COUNTIFS(T_StockCount[RM_Code],$A23,T_StockCount[WeekIndex],47)&gt;0,SUMIFS(T_StockCount[CountedQty],T_StockCount[RM_Code],$A23,T_StockCount[WeekIndex],47),IF((COUNTIFS(T_SelfStock[RM_Code],$A23,T_SelfStock[WeekIndex],47)&gt;0)*(COUNTIFS(T_TTAFStock[RM_Code],$A23,T_TTAFStock[WeekIndex],47)&gt;0)&gt;0,SUMIFS(T_SelfStock[Self_Qty],T_SelfStock[RM_Code],$A23,T_SelfStock[WeekIndex],47)+SUMIFS(T_TTAFStock[TTAF_Qty],T_TTAFStock[RM_Code],$A23,T_TTAFStock[WeekIndex],47),AU23+'Grid_Incoming'!AV23-'Grid_Requirement'!AV23))</f>
        <v/>
      </c>
      <c r="AW23">
        <f>IF(COUNTIFS(T_StockCount[RM_Code],$A23,T_StockCount[WeekIndex],48)&gt;0,SUMIFS(T_StockCount[CountedQty],T_StockCount[RM_Code],$A23,T_StockCount[WeekIndex],48),IF((COUNTIFS(T_SelfStock[RM_Code],$A23,T_SelfStock[WeekIndex],48)&gt;0)*(COUNTIFS(T_TTAFStock[RM_Code],$A23,T_TTAFStock[WeekIndex],48)&gt;0)&gt;0,SUMIFS(T_SelfStock[Self_Qty],T_SelfStock[RM_Code],$A23,T_SelfStock[WeekIndex],48)+SUMIFS(T_TTAFStock[TTAF_Qty],T_TTAFStock[RM_Code],$A23,T_TTAFStock[WeekIndex],48),AV23+'Grid_Incoming'!AW23-'Grid_Requirement'!AW23))</f>
        <v/>
      </c>
      <c r="AX23">
        <f>IF(COUNTIFS(T_StockCount[RM_Code],$A23,T_StockCount[WeekIndex],49)&gt;0,SUMIFS(T_StockCount[CountedQty],T_StockCount[RM_Code],$A23,T_StockCount[WeekIndex],49),IF((COUNTIFS(T_SelfStock[RM_Code],$A23,T_SelfStock[WeekIndex],49)&gt;0)*(COUNTIFS(T_TTAFStock[RM_Code],$A23,T_TTAFStock[WeekIndex],49)&gt;0)&gt;0,SUMIFS(T_SelfStock[Self_Qty],T_SelfStock[RM_Code],$A23,T_SelfStock[WeekIndex],49)+SUMIFS(T_TTAFStock[TTAF_Qty],T_TTAFStock[RM_Code],$A23,T_TTAFStock[WeekIndex],49),AW23+'Grid_Incoming'!AX23-'Grid_Requirement'!AX23))</f>
        <v/>
      </c>
      <c r="AY23">
        <f>IF(COUNTIFS(T_StockCount[RM_Code],$A23,T_StockCount[WeekIndex],50)&gt;0,SUMIFS(T_StockCount[CountedQty],T_StockCount[RM_Code],$A23,T_StockCount[WeekIndex],50),IF((COUNTIFS(T_SelfStock[RM_Code],$A23,T_SelfStock[WeekIndex],50)&gt;0)*(COUNTIFS(T_TTAFStock[RM_Code],$A23,T_TTAFStock[WeekIndex],50)&gt;0)&gt;0,SUMIFS(T_SelfStock[Self_Qty],T_SelfStock[RM_Code],$A23,T_SelfStock[WeekIndex],50)+SUMIFS(T_TTAFStock[TTAF_Qty],T_TTAFStock[RM_Code],$A23,T_TTAFStock[WeekIndex],50),AX23+'Grid_Incoming'!AY23-'Grid_Requirement'!AY23))</f>
        <v/>
      </c>
      <c r="AZ23">
        <f>IF(COUNTIFS(T_StockCount[RM_Code],$A23,T_StockCount[WeekIndex],51)&gt;0,SUMIFS(T_StockCount[CountedQty],T_StockCount[RM_Code],$A23,T_StockCount[WeekIndex],51),IF((COUNTIFS(T_SelfStock[RM_Code],$A23,T_SelfStock[WeekIndex],51)&gt;0)*(COUNTIFS(T_TTAFStock[RM_Code],$A23,T_TTAFStock[WeekIndex],51)&gt;0)&gt;0,SUMIFS(T_SelfStock[Self_Qty],T_SelfStock[RM_Code],$A23,T_SelfStock[WeekIndex],51)+SUMIFS(T_TTAFStock[TTAF_Qty],T_TTAFStock[RM_Code],$A23,T_TTAFStock[WeekIndex],51),AY23+'Grid_Incoming'!AZ23-'Grid_Requirement'!AZ23))</f>
        <v/>
      </c>
      <c r="BA23">
        <f>IF(COUNTIFS(T_StockCount[RM_Code],$A23,T_StockCount[WeekIndex],52)&gt;0,SUMIFS(T_StockCount[CountedQty],T_StockCount[RM_Code],$A23,T_StockCount[WeekIndex],52),IF((COUNTIFS(T_SelfStock[RM_Code],$A23,T_SelfStock[WeekIndex],52)&gt;0)*(COUNTIFS(T_TTAFStock[RM_Code],$A23,T_TTAFStock[WeekIndex],52)&gt;0)&gt;0,SUMIFS(T_SelfStock[Self_Qty],T_SelfStock[RM_Code],$A23,T_SelfStock[WeekIndex],52)+SUMIFS(T_TTAFStock[TTAF_Qty],T_TTAFStock[RM_Code],$A23,T_TTAFStock[WeekIndex],52),AZ23+'Grid_Incoming'!BA23-'Grid_Requirement'!BA23))</f>
        <v/>
      </c>
      <c r="BB23">
        <f>IF(COUNTIFS(T_StockCount[RM_Code],$A23,T_StockCount[WeekIndex],53)&gt;0,SUMIFS(T_StockCount[CountedQty],T_StockCount[RM_Code],$A23,T_StockCount[WeekIndex],53),IF((COUNTIFS(T_SelfStock[RM_Code],$A23,T_SelfStock[WeekIndex],53)&gt;0)*(COUNTIFS(T_TTAFStock[RM_Code],$A23,T_TTAFStock[WeekIndex],53)&gt;0)&gt;0,SUMIFS(T_SelfStock[Self_Qty],T_SelfStock[RM_Code],$A23,T_SelfStock[WeekIndex],53)+SUMIFS(T_TTAFStock[TTAF_Qty],T_TTAFStock[RM_Code],$A23,T_TTAFStock[WeekIndex],53),BA23+'Grid_Incoming'!BB23-'Grid_Requirement'!BB23))</f>
        <v/>
      </c>
      <c r="BC23">
        <f>IF(COUNTIFS(T_StockCount[RM_Code],$A23,T_StockCount[WeekIndex],54)&gt;0,SUMIFS(T_StockCount[CountedQty],T_StockCount[RM_Code],$A23,T_StockCount[WeekIndex],54),IF((COUNTIFS(T_SelfStock[RM_Code],$A23,T_SelfStock[WeekIndex],54)&gt;0)*(COUNTIFS(T_TTAFStock[RM_Code],$A23,T_TTAFStock[WeekIndex],54)&gt;0)&gt;0,SUMIFS(T_SelfStock[Self_Qty],T_SelfStock[RM_Code],$A23,T_SelfStock[WeekIndex],54)+SUMIFS(T_TTAFStock[TTAF_Qty],T_TTAFStock[RM_Code],$A23,T_TTAFStock[WeekIndex],54),BB23+'Grid_Incoming'!BC23-'Grid_Requirement'!BC23))</f>
        <v/>
      </c>
      <c r="BD23">
        <f>IF(COUNTIFS(T_StockCount[RM_Code],$A23,T_StockCount[WeekIndex],55)&gt;0,SUMIFS(T_StockCount[CountedQty],T_StockCount[RM_Code],$A23,T_StockCount[WeekIndex],55),IF((COUNTIFS(T_SelfStock[RM_Code],$A23,T_SelfStock[WeekIndex],55)&gt;0)*(COUNTIFS(T_TTAFStock[RM_Code],$A23,T_TTAFStock[WeekIndex],55)&gt;0)&gt;0,SUMIFS(T_SelfStock[Self_Qty],T_SelfStock[RM_Code],$A23,T_SelfStock[WeekIndex],55)+SUMIFS(T_TTAFStock[TTAF_Qty],T_TTAFStock[RM_Code],$A23,T_TTAFStock[WeekIndex],55),BC23+'Grid_Incoming'!BD23-'Grid_Requirement'!BD23))</f>
        <v/>
      </c>
      <c r="BE23">
        <f>IF(COUNTIFS(T_StockCount[RM_Code],$A23,T_StockCount[WeekIndex],56)&gt;0,SUMIFS(T_StockCount[CountedQty],T_StockCount[RM_Code],$A23,T_StockCount[WeekIndex],56),IF((COUNTIFS(T_SelfStock[RM_Code],$A23,T_SelfStock[WeekIndex],56)&gt;0)*(COUNTIFS(T_TTAFStock[RM_Code],$A23,T_TTAFStock[WeekIndex],56)&gt;0)&gt;0,SUMIFS(T_SelfStock[Self_Qty],T_SelfStock[RM_Code],$A23,T_SelfStock[WeekIndex],56)+SUMIFS(T_TTAFStock[TTAF_Qty],T_TTAFStock[RM_Code],$A23,T_TTAFStock[WeekIndex],56),BD23+'Grid_Incoming'!BE23-'Grid_Requirement'!BE23))</f>
        <v/>
      </c>
      <c r="BF23">
        <f>IF(COUNTIFS(T_StockCount[RM_Code],$A23,T_StockCount[WeekIndex],57)&gt;0,SUMIFS(T_StockCount[CountedQty],T_StockCount[RM_Code],$A23,T_StockCount[WeekIndex],57),IF((COUNTIFS(T_SelfStock[RM_Code],$A23,T_SelfStock[WeekIndex],57)&gt;0)*(COUNTIFS(T_TTAFStock[RM_Code],$A23,T_TTAFStock[WeekIndex],57)&gt;0)&gt;0,SUMIFS(T_SelfStock[Self_Qty],T_SelfStock[RM_Code],$A23,T_SelfStock[WeekIndex],57)+SUMIFS(T_TTAFStock[TTAF_Qty],T_TTAFStock[RM_Code],$A23,T_TTAFStock[WeekIndex],57),BE23+'Grid_Incoming'!BF23-'Grid_Requirement'!BF23))</f>
        <v/>
      </c>
      <c r="BG23">
        <f>IF(COUNTIFS(T_StockCount[RM_Code],$A23,T_StockCount[WeekIndex],58)&gt;0,SUMIFS(T_StockCount[CountedQty],T_StockCount[RM_Code],$A23,T_StockCount[WeekIndex],58),IF((COUNTIFS(T_SelfStock[RM_Code],$A23,T_SelfStock[WeekIndex],58)&gt;0)*(COUNTIFS(T_TTAFStock[RM_Code],$A23,T_TTAFStock[WeekIndex],58)&gt;0)&gt;0,SUMIFS(T_SelfStock[Self_Qty],T_SelfStock[RM_Code],$A23,T_SelfStock[WeekIndex],58)+SUMIFS(T_TTAFStock[TTAF_Qty],T_TTAFStock[RM_Code],$A23,T_TTAFStock[WeekIndex],58),BF23+'Grid_Incoming'!BG23-'Grid_Requirement'!BG23))</f>
        <v/>
      </c>
      <c r="BH23">
        <f>IF(COUNTIFS(T_StockCount[RM_Code],$A23,T_StockCount[WeekIndex],59)&gt;0,SUMIFS(T_StockCount[CountedQty],T_StockCount[RM_Code],$A23,T_StockCount[WeekIndex],59),IF((COUNTIFS(T_SelfStock[RM_Code],$A23,T_SelfStock[WeekIndex],59)&gt;0)*(COUNTIFS(T_TTAFStock[RM_Code],$A23,T_TTAFStock[WeekIndex],59)&gt;0)&gt;0,SUMIFS(T_SelfStock[Self_Qty],T_SelfStock[RM_Code],$A23,T_SelfStock[WeekIndex],59)+SUMIFS(T_TTAFStock[TTAF_Qty],T_TTAFStock[RM_Code],$A23,T_TTAFStock[WeekIndex],59),BG23+'Grid_Incoming'!BH23-'Grid_Requirement'!BH23))</f>
        <v/>
      </c>
      <c r="BI23">
        <f>IF(COUNTIFS(T_StockCount[RM_Code],$A23,T_StockCount[WeekIndex],60)&gt;0,SUMIFS(T_StockCount[CountedQty],T_StockCount[RM_Code],$A23,T_StockCount[WeekIndex],60),IF((COUNTIFS(T_SelfStock[RM_Code],$A23,T_SelfStock[WeekIndex],60)&gt;0)*(COUNTIFS(T_TTAFStock[RM_Code],$A23,T_TTAFStock[WeekIndex],60)&gt;0)&gt;0,SUMIFS(T_SelfStock[Self_Qty],T_SelfStock[RM_Code],$A23,T_SelfStock[WeekIndex],60)+SUMIFS(T_TTAFStock[TTAF_Qty],T_TTAFStock[RM_Code],$A23,T_TTAFStock[WeekIndex],60),BH23+'Grid_Incoming'!BI23-'Grid_Requirement'!BI23))</f>
        <v/>
      </c>
      <c r="BJ23">
        <f>IF(COUNTIFS(T_StockCount[RM_Code],$A23,T_StockCount[WeekIndex],61)&gt;0,SUMIFS(T_StockCount[CountedQty],T_StockCount[RM_Code],$A23,T_StockCount[WeekIndex],61),IF((COUNTIFS(T_SelfStock[RM_Code],$A23,T_SelfStock[WeekIndex],61)&gt;0)*(COUNTIFS(T_TTAFStock[RM_Code],$A23,T_TTAFStock[WeekIndex],61)&gt;0)&gt;0,SUMIFS(T_SelfStock[Self_Qty],T_SelfStock[RM_Code],$A23,T_SelfStock[WeekIndex],61)+SUMIFS(T_TTAFStock[TTAF_Qty],T_TTAFStock[RM_Code],$A23,T_TTAFStock[WeekIndex],61),BI23+'Grid_Incoming'!BJ23-'Grid_Requirement'!BJ23))</f>
        <v/>
      </c>
      <c r="BK23">
        <f>IF(COUNTIFS(T_StockCount[RM_Code],$A23,T_StockCount[WeekIndex],62)&gt;0,SUMIFS(T_StockCount[CountedQty],T_StockCount[RM_Code],$A23,T_StockCount[WeekIndex],62),IF((COUNTIFS(T_SelfStock[RM_Code],$A23,T_SelfStock[WeekIndex],62)&gt;0)*(COUNTIFS(T_TTAFStock[RM_Code],$A23,T_TTAFStock[WeekIndex],62)&gt;0)&gt;0,SUMIFS(T_SelfStock[Self_Qty],T_SelfStock[RM_Code],$A23,T_SelfStock[WeekIndex],62)+SUMIFS(T_TTAFStock[TTAF_Qty],T_TTAFStock[RM_Code],$A23,T_TTAFStock[WeekIndex],62),BJ23+'Grid_Incoming'!BK23-'Grid_Requirement'!BK23))</f>
        <v/>
      </c>
      <c r="BL23">
        <f>IF(COUNTIFS(T_StockCount[RM_Code],$A23,T_StockCount[WeekIndex],63)&gt;0,SUMIFS(T_StockCount[CountedQty],T_StockCount[RM_Code],$A23,T_StockCount[WeekIndex],63),IF((COUNTIFS(T_SelfStock[RM_Code],$A23,T_SelfStock[WeekIndex],63)&gt;0)*(COUNTIFS(T_TTAFStock[RM_Code],$A23,T_TTAFStock[WeekIndex],63)&gt;0)&gt;0,SUMIFS(T_SelfStock[Self_Qty],T_SelfStock[RM_Code],$A23,T_SelfStock[WeekIndex],63)+SUMIFS(T_TTAFStock[TTAF_Qty],T_TTAFStock[RM_Code],$A23,T_TTAFStock[WeekIndex],63),BK23+'Grid_Incoming'!BL23-'Grid_Requirement'!BL23))</f>
        <v/>
      </c>
      <c r="BM23">
        <f>IF(COUNTIFS(T_StockCount[RM_Code],$A23,T_StockCount[WeekIndex],64)&gt;0,SUMIFS(T_StockCount[CountedQty],T_StockCount[RM_Code],$A23,T_StockCount[WeekIndex],64),IF((COUNTIFS(T_SelfStock[RM_Code],$A23,T_SelfStock[WeekIndex],64)&gt;0)*(COUNTIFS(T_TTAFStock[RM_Code],$A23,T_TTAFStock[WeekIndex],64)&gt;0)&gt;0,SUMIFS(T_SelfStock[Self_Qty],T_SelfStock[RM_Code],$A23,T_SelfStock[WeekIndex],64)+SUMIFS(T_TTAFStock[TTAF_Qty],T_TTAFStock[RM_Code],$A23,T_TTAFStock[WeekIndex],64),BL23+'Grid_Incoming'!BM23-'Grid_Requirement'!BM23))</f>
        <v/>
      </c>
      <c r="BN23">
        <f>IF(COUNTIFS(T_StockCount[RM_Code],$A23,T_StockCount[WeekIndex],65)&gt;0,SUMIFS(T_StockCount[CountedQty],T_StockCount[RM_Code],$A23,T_StockCount[WeekIndex],65),IF((COUNTIFS(T_SelfStock[RM_Code],$A23,T_SelfStock[WeekIndex],65)&gt;0)*(COUNTIFS(T_TTAFStock[RM_Code],$A23,T_TTAFStock[WeekIndex],65)&gt;0)&gt;0,SUMIFS(T_SelfStock[Self_Qty],T_SelfStock[RM_Code],$A23,T_SelfStock[WeekIndex],65)+SUMIFS(T_TTAFStock[TTAF_Qty],T_TTAFStock[RM_Code],$A23,T_TTAFStock[WeekIndex],65),BM23+'Grid_Incoming'!BN23-'Grid_Requirement'!BN23))</f>
        <v/>
      </c>
      <c r="BO23">
        <f>IF(COUNTIFS(T_StockCount[RM_Code],$A23,T_StockCount[WeekIndex],66)&gt;0,SUMIFS(T_StockCount[CountedQty],T_StockCount[RM_Code],$A23,T_StockCount[WeekIndex],66),IF((COUNTIFS(T_SelfStock[RM_Code],$A23,T_SelfStock[WeekIndex],66)&gt;0)*(COUNTIFS(T_TTAFStock[RM_Code],$A23,T_TTAFStock[WeekIndex],66)&gt;0)&gt;0,SUMIFS(T_SelfStock[Self_Qty],T_SelfStock[RM_Code],$A23,T_SelfStock[WeekIndex],66)+SUMIFS(T_TTAFStock[TTAF_Qty],T_TTAFStock[RM_Code],$A23,T_TTAFStock[WeekIndex],66),BN23+'Grid_Incoming'!BO23-'Grid_Requirement'!BO23))</f>
        <v/>
      </c>
      <c r="BP23">
        <f>IF(COUNTIFS(T_StockCount[RM_Code],$A23,T_StockCount[WeekIndex],67)&gt;0,SUMIFS(T_StockCount[CountedQty],T_StockCount[RM_Code],$A23,T_StockCount[WeekIndex],67),IF((COUNTIFS(T_SelfStock[RM_Code],$A23,T_SelfStock[WeekIndex],67)&gt;0)*(COUNTIFS(T_TTAFStock[RM_Code],$A23,T_TTAFStock[WeekIndex],67)&gt;0)&gt;0,SUMIFS(T_SelfStock[Self_Qty],T_SelfStock[RM_Code],$A23,T_SelfStock[WeekIndex],67)+SUMIFS(T_TTAFStock[TTAF_Qty],T_TTAFStock[RM_Code],$A23,T_TTAFStock[WeekIndex],67),BO23+'Grid_Incoming'!BP23-'Grid_Requirement'!BP23))</f>
        <v/>
      </c>
      <c r="BQ23">
        <f>IF(COUNTIFS(T_StockCount[RM_Code],$A23,T_StockCount[WeekIndex],68)&gt;0,SUMIFS(T_StockCount[CountedQty],T_StockCount[RM_Code],$A23,T_StockCount[WeekIndex],68),IF((COUNTIFS(T_SelfStock[RM_Code],$A23,T_SelfStock[WeekIndex],68)&gt;0)*(COUNTIFS(T_TTAFStock[RM_Code],$A23,T_TTAFStock[WeekIndex],68)&gt;0)&gt;0,SUMIFS(T_SelfStock[Self_Qty],T_SelfStock[RM_Code],$A23,T_SelfStock[WeekIndex],68)+SUMIFS(T_TTAFStock[TTAF_Qty],T_TTAFStock[RM_Code],$A23,T_TTAFStock[WeekIndex],68),BP23+'Grid_Incoming'!BQ23-'Grid_Requirement'!BQ23))</f>
        <v/>
      </c>
      <c r="BR23">
        <f>IF(COUNTIFS(T_StockCount[RM_Code],$A23,T_StockCount[WeekIndex],69)&gt;0,SUMIFS(T_StockCount[CountedQty],T_StockCount[RM_Code],$A23,T_StockCount[WeekIndex],69),IF((COUNTIFS(T_SelfStock[RM_Code],$A23,T_SelfStock[WeekIndex],69)&gt;0)*(COUNTIFS(T_TTAFStock[RM_Code],$A23,T_TTAFStock[WeekIndex],69)&gt;0)&gt;0,SUMIFS(T_SelfStock[Self_Qty],T_SelfStock[RM_Code],$A23,T_SelfStock[WeekIndex],69)+SUMIFS(T_TTAFStock[TTAF_Qty],T_TTAFStock[RM_Code],$A23,T_TTAFStock[WeekIndex],69),BQ23+'Grid_Incoming'!BR23-'Grid_Requirement'!BR23))</f>
        <v/>
      </c>
      <c r="BS23">
        <f>IF(COUNTIFS(T_StockCount[RM_Code],$A23,T_StockCount[WeekIndex],70)&gt;0,SUMIFS(T_StockCount[CountedQty],T_StockCount[RM_Code],$A23,T_StockCount[WeekIndex],70),IF((COUNTIFS(T_SelfStock[RM_Code],$A23,T_SelfStock[WeekIndex],70)&gt;0)*(COUNTIFS(T_TTAFStock[RM_Code],$A23,T_TTAFStock[WeekIndex],70)&gt;0)&gt;0,SUMIFS(T_SelfStock[Self_Qty],T_SelfStock[RM_Code],$A23,T_SelfStock[WeekIndex],70)+SUMIFS(T_TTAFStock[TTAF_Qty],T_TTAFStock[RM_Code],$A23,T_TTAFStock[WeekIndex],70),BR23+'Grid_Incoming'!BS23-'Grid_Requirement'!BS23))</f>
        <v/>
      </c>
      <c r="BT23">
        <f>IF(COUNTIFS(T_StockCount[RM_Code],$A23,T_StockCount[WeekIndex],71)&gt;0,SUMIFS(T_StockCount[CountedQty],T_StockCount[RM_Code],$A23,T_StockCount[WeekIndex],71),IF((COUNTIFS(T_SelfStock[RM_Code],$A23,T_SelfStock[WeekIndex],71)&gt;0)*(COUNTIFS(T_TTAFStock[RM_Code],$A23,T_TTAFStock[WeekIndex],71)&gt;0)&gt;0,SUMIFS(T_SelfStock[Self_Qty],T_SelfStock[RM_Code],$A23,T_SelfStock[WeekIndex],71)+SUMIFS(T_TTAFStock[TTAF_Qty],T_TTAFStock[RM_Code],$A23,T_TTAFStock[WeekIndex],71),BS23+'Grid_Incoming'!BT23-'Grid_Requirement'!BT23))</f>
        <v/>
      </c>
      <c r="BU23">
        <f>IF(COUNTIFS(T_StockCount[RM_Code],$A23,T_StockCount[WeekIndex],72)&gt;0,SUMIFS(T_StockCount[CountedQty],T_StockCount[RM_Code],$A23,T_StockCount[WeekIndex],72),IF((COUNTIFS(T_SelfStock[RM_Code],$A23,T_SelfStock[WeekIndex],72)&gt;0)*(COUNTIFS(T_TTAFStock[RM_Code],$A23,T_TTAFStock[WeekIndex],72)&gt;0)&gt;0,SUMIFS(T_SelfStock[Self_Qty],T_SelfStock[RM_Code],$A23,T_SelfStock[WeekIndex],72)+SUMIFS(T_TTAFStock[TTAF_Qty],T_TTAFStock[RM_Code],$A23,T_TTAFStock[WeekIndex],72),BT23+'Grid_Incoming'!BU23-'Grid_Requirement'!BU23))</f>
        <v/>
      </c>
      <c r="BV23">
        <f>IF(COUNTIFS(T_StockCount[RM_Code],$A23,T_StockCount[WeekIndex],73)&gt;0,SUMIFS(T_StockCount[CountedQty],T_StockCount[RM_Code],$A23,T_StockCount[WeekIndex],73),IF((COUNTIFS(T_SelfStock[RM_Code],$A23,T_SelfStock[WeekIndex],73)&gt;0)*(COUNTIFS(T_TTAFStock[RM_Code],$A23,T_TTAFStock[WeekIndex],73)&gt;0)&gt;0,SUMIFS(T_SelfStock[Self_Qty],T_SelfStock[RM_Code],$A23,T_SelfStock[WeekIndex],73)+SUMIFS(T_TTAFStock[TTAF_Qty],T_TTAFStock[RM_Code],$A23,T_TTAFStock[WeekIndex],73),BU23+'Grid_Incoming'!BV23-'Grid_Requirement'!BV23))</f>
        <v/>
      </c>
      <c r="BW23">
        <f>IF(COUNTIFS(T_StockCount[RM_Code],$A23,T_StockCount[WeekIndex],74)&gt;0,SUMIFS(T_StockCount[CountedQty],T_StockCount[RM_Code],$A23,T_StockCount[WeekIndex],74),IF((COUNTIFS(T_SelfStock[RM_Code],$A23,T_SelfStock[WeekIndex],74)&gt;0)*(COUNTIFS(T_TTAFStock[RM_Code],$A23,T_TTAFStock[WeekIndex],74)&gt;0)&gt;0,SUMIFS(T_SelfStock[Self_Qty],T_SelfStock[RM_Code],$A23,T_SelfStock[WeekIndex],74)+SUMIFS(T_TTAFStock[TTAF_Qty],T_TTAFStock[RM_Code],$A23,T_TTAFStock[WeekIndex],74),BV23+'Grid_Incoming'!BW23-'Grid_Requirement'!BW23))</f>
        <v/>
      </c>
      <c r="BX23">
        <f>IF(COUNTIFS(T_StockCount[RM_Code],$A23,T_StockCount[WeekIndex],75)&gt;0,SUMIFS(T_StockCount[CountedQty],T_StockCount[RM_Code],$A23,T_StockCount[WeekIndex],75),IF((COUNTIFS(T_SelfStock[RM_Code],$A23,T_SelfStock[WeekIndex],75)&gt;0)*(COUNTIFS(T_TTAFStock[RM_Code],$A23,T_TTAFStock[WeekIndex],75)&gt;0)&gt;0,SUMIFS(T_SelfStock[Self_Qty],T_SelfStock[RM_Code],$A23,T_SelfStock[WeekIndex],75)+SUMIFS(T_TTAFStock[TTAF_Qty],T_TTAFStock[RM_Code],$A23,T_TTAFStock[WeekIndex],75),BW23+'Grid_Incoming'!BX23-'Grid_Requirement'!BX23))</f>
        <v/>
      </c>
      <c r="BY23">
        <f>IF(COUNTIFS(T_StockCount[RM_Code],$A23,T_StockCount[WeekIndex],76)&gt;0,SUMIFS(T_StockCount[CountedQty],T_StockCount[RM_Code],$A23,T_StockCount[WeekIndex],76),IF((COUNTIFS(T_SelfStock[RM_Code],$A23,T_SelfStock[WeekIndex],76)&gt;0)*(COUNTIFS(T_TTAFStock[RM_Code],$A23,T_TTAFStock[WeekIndex],76)&gt;0)&gt;0,SUMIFS(T_SelfStock[Self_Qty],T_SelfStock[RM_Code],$A23,T_SelfStock[WeekIndex],76)+SUMIFS(T_TTAFStock[TTAF_Qty],T_TTAFStock[RM_Code],$A23,T_TTAFStock[WeekIndex],76),BX23+'Grid_Incoming'!BY23-'Grid_Requirement'!BY23))</f>
        <v/>
      </c>
      <c r="BZ23">
        <f>IF(COUNTIFS(T_StockCount[RM_Code],$A23,T_StockCount[WeekIndex],77)&gt;0,SUMIFS(T_StockCount[CountedQty],T_StockCount[RM_Code],$A23,T_StockCount[WeekIndex],77),IF((COUNTIFS(T_SelfStock[RM_Code],$A23,T_SelfStock[WeekIndex],77)&gt;0)*(COUNTIFS(T_TTAFStock[RM_Code],$A23,T_TTAFStock[WeekIndex],77)&gt;0)&gt;0,SUMIFS(T_SelfStock[Self_Qty],T_SelfStock[RM_Code],$A23,T_SelfStock[WeekIndex],77)+SUMIFS(T_TTAFStock[TTAF_Qty],T_TTAFStock[RM_Code],$A23,T_TTAFStock[WeekIndex],77),BY23+'Grid_Incoming'!BZ23-'Grid_Requirement'!BZ23))</f>
        <v/>
      </c>
      <c r="CA23">
        <f>IF(COUNTIFS(T_StockCount[RM_Code],$A23,T_StockCount[WeekIndex],78)&gt;0,SUMIFS(T_StockCount[CountedQty],T_StockCount[RM_Code],$A23,T_StockCount[WeekIndex],78),IF((COUNTIFS(T_SelfStock[RM_Code],$A23,T_SelfStock[WeekIndex],78)&gt;0)*(COUNTIFS(T_TTAFStock[RM_Code],$A23,T_TTAFStock[WeekIndex],78)&gt;0)&gt;0,SUMIFS(T_SelfStock[Self_Qty],T_SelfStock[RM_Code],$A23,T_SelfStock[WeekIndex],78)+SUMIFS(T_TTAFStock[TTAF_Qty],T_TTAFStock[RM_Code],$A23,T_TTAFStock[WeekIndex],78),BZ23+'Grid_Incoming'!CA23-'Grid_Requirement'!CA23))</f>
        <v/>
      </c>
      <c r="CB23">
        <f>IF(COUNTIFS(T_StockCount[RM_Code],$A23,T_StockCount[WeekIndex],79)&gt;0,SUMIFS(T_StockCount[CountedQty],T_StockCount[RM_Code],$A23,T_StockCount[WeekIndex],79),IF((COUNTIFS(T_SelfStock[RM_Code],$A23,T_SelfStock[WeekIndex],79)&gt;0)*(COUNTIFS(T_TTAFStock[RM_Code],$A23,T_TTAFStock[WeekIndex],79)&gt;0)&gt;0,SUMIFS(T_SelfStock[Self_Qty],T_SelfStock[RM_Code],$A23,T_SelfStock[WeekIndex],79)+SUMIFS(T_TTAFStock[TTAF_Qty],T_TTAFStock[RM_Code],$A23,T_TTAFStock[WeekIndex],79),CA23+'Grid_Incoming'!CB23-'Grid_Requirement'!CB23))</f>
        <v/>
      </c>
      <c r="CC23">
        <f>IF(COUNTIFS(T_StockCount[RM_Code],$A23,T_StockCount[WeekIndex],80)&gt;0,SUMIFS(T_StockCount[CountedQty],T_StockCount[RM_Code],$A23,T_StockCount[WeekIndex],80),IF((COUNTIFS(T_SelfStock[RM_Code],$A23,T_SelfStock[WeekIndex],80)&gt;0)*(COUNTIFS(T_TTAFStock[RM_Code],$A23,T_TTAFStock[WeekIndex],80)&gt;0)&gt;0,SUMIFS(T_SelfStock[Self_Qty],T_SelfStock[RM_Code],$A23,T_SelfStock[WeekIndex],80)+SUMIFS(T_TTAFStock[TTAF_Qty],T_TTAFStock[RM_Code],$A23,T_TTAFStock[WeekIndex],80),CB23+'Grid_Incoming'!CC23-'Grid_Requirement'!CC23))</f>
        <v/>
      </c>
      <c r="CD23">
        <f>IF(COUNTIFS(T_StockCount[RM_Code],$A23,T_StockCount[WeekIndex],81)&gt;0,SUMIFS(T_StockCount[CountedQty],T_StockCount[RM_Code],$A23,T_StockCount[WeekIndex],81),IF((COUNTIFS(T_SelfStock[RM_Code],$A23,T_SelfStock[WeekIndex],81)&gt;0)*(COUNTIFS(T_TTAFStock[RM_Code],$A23,T_TTAFStock[WeekIndex],81)&gt;0)&gt;0,SUMIFS(T_SelfStock[Self_Qty],T_SelfStock[RM_Code],$A23,T_SelfStock[WeekIndex],81)+SUMIFS(T_TTAFStock[TTAF_Qty],T_TTAFStock[RM_Code],$A23,T_TTAFStock[WeekIndex],81),CC23+'Grid_Incoming'!CD23-'Grid_Requirement'!CD23))</f>
        <v/>
      </c>
      <c r="CE23">
        <f>IF(COUNTIFS(T_StockCount[RM_Code],$A23,T_StockCount[WeekIndex],82)&gt;0,SUMIFS(T_StockCount[CountedQty],T_StockCount[RM_Code],$A23,T_StockCount[WeekIndex],82),IF((COUNTIFS(T_SelfStock[RM_Code],$A23,T_SelfStock[WeekIndex],82)&gt;0)*(COUNTIFS(T_TTAFStock[RM_Code],$A23,T_TTAFStock[WeekIndex],82)&gt;0)&gt;0,SUMIFS(T_SelfStock[Self_Qty],T_SelfStock[RM_Code],$A23,T_SelfStock[WeekIndex],82)+SUMIFS(T_TTAFStock[TTAF_Qty],T_TTAFStock[RM_Code],$A23,T_TTAFStock[WeekIndex],82),CD23+'Grid_Incoming'!CE23-'Grid_Requirement'!CE23))</f>
        <v/>
      </c>
      <c r="CF23">
        <f>IF(COUNTIFS(T_StockCount[RM_Code],$A23,T_StockCount[WeekIndex],83)&gt;0,SUMIFS(T_StockCount[CountedQty],T_StockCount[RM_Code],$A23,T_StockCount[WeekIndex],83),IF((COUNTIFS(T_SelfStock[RM_Code],$A23,T_SelfStock[WeekIndex],83)&gt;0)*(COUNTIFS(T_TTAFStock[RM_Code],$A23,T_TTAFStock[WeekIndex],83)&gt;0)&gt;0,SUMIFS(T_SelfStock[Self_Qty],T_SelfStock[RM_Code],$A23,T_SelfStock[WeekIndex],83)+SUMIFS(T_TTAFStock[TTAF_Qty],T_TTAFStock[RM_Code],$A23,T_TTAFStock[WeekIndex],83),CE23+'Grid_Incoming'!CF23-'Grid_Requirement'!CF23))</f>
        <v/>
      </c>
      <c r="CG23">
        <f>IF(COUNTIFS(T_StockCount[RM_Code],$A23,T_StockCount[WeekIndex],84)&gt;0,SUMIFS(T_StockCount[CountedQty],T_StockCount[RM_Code],$A23,T_StockCount[WeekIndex],84),IF((COUNTIFS(T_SelfStock[RM_Code],$A23,T_SelfStock[WeekIndex],84)&gt;0)*(COUNTIFS(T_TTAFStock[RM_Code],$A23,T_TTAFStock[WeekIndex],84)&gt;0)&gt;0,SUMIFS(T_SelfStock[Self_Qty],T_SelfStock[RM_Code],$A23,T_SelfStock[WeekIndex],84)+SUMIFS(T_TTAFStock[TTAF_Qty],T_TTAFStock[RM_Code],$A23,T_TTAFStock[WeekIndex],84),CF23+'Grid_Incoming'!CG23-'Grid_Requirement'!CG23))</f>
        <v/>
      </c>
      <c r="CH23">
        <f>IF(COUNTIFS(T_StockCount[RM_Code],$A23,T_StockCount[WeekIndex],85)&gt;0,SUMIFS(T_StockCount[CountedQty],T_StockCount[RM_Code],$A23,T_StockCount[WeekIndex],85),IF((COUNTIFS(T_SelfStock[RM_Code],$A23,T_SelfStock[WeekIndex],85)&gt;0)*(COUNTIFS(T_TTAFStock[RM_Code],$A23,T_TTAFStock[WeekIndex],85)&gt;0)&gt;0,SUMIFS(T_SelfStock[Self_Qty],T_SelfStock[RM_Code],$A23,T_SelfStock[WeekIndex],85)+SUMIFS(T_TTAFStock[TTAF_Qty],T_TTAFStock[RM_Code],$A23,T_TTAFStock[WeekIndex],85),CG23+'Grid_Incoming'!CH23-'Grid_Requirement'!CH23))</f>
        <v/>
      </c>
      <c r="CI23">
        <f>IF(COUNTIFS(T_StockCount[RM_Code],$A23,T_StockCount[WeekIndex],86)&gt;0,SUMIFS(T_StockCount[CountedQty],T_StockCount[RM_Code],$A23,T_StockCount[WeekIndex],86),IF((COUNTIFS(T_SelfStock[RM_Code],$A23,T_SelfStock[WeekIndex],86)&gt;0)*(COUNTIFS(T_TTAFStock[RM_Code],$A23,T_TTAFStock[WeekIndex],86)&gt;0)&gt;0,SUMIFS(T_SelfStock[Self_Qty],T_SelfStock[RM_Code],$A23,T_SelfStock[WeekIndex],86)+SUMIFS(T_TTAFStock[TTAF_Qty],T_TTAFStock[RM_Code],$A23,T_TTAFStock[WeekIndex],86),CH23+'Grid_Incoming'!CI23-'Grid_Requirement'!CI23))</f>
        <v/>
      </c>
      <c r="CJ23">
        <f>IF(COUNTIFS(T_StockCount[RM_Code],$A23,T_StockCount[WeekIndex],87)&gt;0,SUMIFS(T_StockCount[CountedQty],T_StockCount[RM_Code],$A23,T_StockCount[WeekIndex],87),IF((COUNTIFS(T_SelfStock[RM_Code],$A23,T_SelfStock[WeekIndex],87)&gt;0)*(COUNTIFS(T_TTAFStock[RM_Code],$A23,T_TTAFStock[WeekIndex],87)&gt;0)&gt;0,SUMIFS(T_SelfStock[Self_Qty],T_SelfStock[RM_Code],$A23,T_SelfStock[WeekIndex],87)+SUMIFS(T_TTAFStock[TTAF_Qty],T_TTAFStock[RM_Code],$A23,T_TTAFStock[WeekIndex],87),CI23+'Grid_Incoming'!CJ23-'Grid_Requirement'!CJ23))</f>
        <v/>
      </c>
      <c r="CK23">
        <f>IF(COUNTIFS(T_StockCount[RM_Code],$A23,T_StockCount[WeekIndex],88)&gt;0,SUMIFS(T_StockCount[CountedQty],T_StockCount[RM_Code],$A23,T_StockCount[WeekIndex],88),IF((COUNTIFS(T_SelfStock[RM_Code],$A23,T_SelfStock[WeekIndex],88)&gt;0)*(COUNTIFS(T_TTAFStock[RM_Code],$A23,T_TTAFStock[WeekIndex],88)&gt;0)&gt;0,SUMIFS(T_SelfStock[Self_Qty],T_SelfStock[RM_Code],$A23,T_SelfStock[WeekIndex],88)+SUMIFS(T_TTAFStock[TTAF_Qty],T_TTAFStock[RM_Code],$A23,T_TTAFStock[WeekIndex],88),CJ23+'Grid_Incoming'!CK23-'Grid_Requirement'!CK23))</f>
        <v/>
      </c>
      <c r="CL23">
        <f>IF(COUNTIFS(T_StockCount[RM_Code],$A23,T_StockCount[WeekIndex],89)&gt;0,SUMIFS(T_StockCount[CountedQty],T_StockCount[RM_Code],$A23,T_StockCount[WeekIndex],89),IF((COUNTIFS(T_SelfStock[RM_Code],$A23,T_SelfStock[WeekIndex],89)&gt;0)*(COUNTIFS(T_TTAFStock[RM_Code],$A23,T_TTAFStock[WeekIndex],89)&gt;0)&gt;0,SUMIFS(T_SelfStock[Self_Qty],T_SelfStock[RM_Code],$A23,T_SelfStock[WeekIndex],89)+SUMIFS(T_TTAFStock[TTAF_Qty],T_TTAFStock[RM_Code],$A23,T_TTAFStock[WeekIndex],89),CK23+'Grid_Incoming'!CL23-'Grid_Requirement'!CL23))</f>
        <v/>
      </c>
      <c r="CM23">
        <f>IF(COUNTIFS(T_StockCount[RM_Code],$A23,T_StockCount[WeekIndex],90)&gt;0,SUMIFS(T_StockCount[CountedQty],T_StockCount[RM_Code],$A23,T_StockCount[WeekIndex],90),IF((COUNTIFS(T_SelfStock[RM_Code],$A23,T_SelfStock[WeekIndex],90)&gt;0)*(COUNTIFS(T_TTAFStock[RM_Code],$A23,T_TTAFStock[WeekIndex],90)&gt;0)&gt;0,SUMIFS(T_SelfStock[Self_Qty],T_SelfStock[RM_Code],$A23,T_SelfStock[WeekIndex],90)+SUMIFS(T_TTAFStock[TTAF_Qty],T_TTAFStock[RM_Code],$A23,T_TTAFStock[WeekIndex],90),CL23+'Grid_Incoming'!CM23-'Grid_Requirement'!CM23))</f>
        <v/>
      </c>
      <c r="CN23">
        <f>IF(COUNTIFS(T_StockCount[RM_Code],$A23,T_StockCount[WeekIndex],91)&gt;0,SUMIFS(T_StockCount[CountedQty],T_StockCount[RM_Code],$A23,T_StockCount[WeekIndex],91),IF((COUNTIFS(T_SelfStock[RM_Code],$A23,T_SelfStock[WeekIndex],91)&gt;0)*(COUNTIFS(T_TTAFStock[RM_Code],$A23,T_TTAFStock[WeekIndex],91)&gt;0)&gt;0,SUMIFS(T_SelfStock[Self_Qty],T_SelfStock[RM_Code],$A23,T_SelfStock[WeekIndex],91)+SUMIFS(T_TTAFStock[TTAF_Qty],T_TTAFStock[RM_Code],$A23,T_TTAFStock[WeekIndex],91),CM23+'Grid_Incoming'!CN23-'Grid_Requirement'!CN23))</f>
        <v/>
      </c>
      <c r="CO23">
        <f>IF(COUNTIFS(T_StockCount[RM_Code],$A23,T_StockCount[WeekIndex],92)&gt;0,SUMIFS(T_StockCount[CountedQty],T_StockCount[RM_Code],$A23,T_StockCount[WeekIndex],92),IF((COUNTIFS(T_SelfStock[RM_Code],$A23,T_SelfStock[WeekIndex],92)&gt;0)*(COUNTIFS(T_TTAFStock[RM_Code],$A23,T_TTAFStock[WeekIndex],92)&gt;0)&gt;0,SUMIFS(T_SelfStock[Self_Qty],T_SelfStock[RM_Code],$A23,T_SelfStock[WeekIndex],92)+SUMIFS(T_TTAFStock[TTAF_Qty],T_TTAFStock[RM_Code],$A23,T_TTAFStock[WeekIndex],92),CN23+'Grid_Incoming'!CO23-'Grid_Requirement'!CO23))</f>
        <v/>
      </c>
      <c r="CP23">
        <f>IF(COUNTIFS(T_StockCount[RM_Code],$A23,T_StockCount[WeekIndex],93)&gt;0,SUMIFS(T_StockCount[CountedQty],T_StockCount[RM_Code],$A23,T_StockCount[WeekIndex],93),IF((COUNTIFS(T_SelfStock[RM_Code],$A23,T_SelfStock[WeekIndex],93)&gt;0)*(COUNTIFS(T_TTAFStock[RM_Code],$A23,T_TTAFStock[WeekIndex],93)&gt;0)&gt;0,SUMIFS(T_SelfStock[Self_Qty],T_SelfStock[RM_Code],$A23,T_SelfStock[WeekIndex],93)+SUMIFS(T_TTAFStock[TTAF_Qty],T_TTAFStock[RM_Code],$A23,T_TTAFStock[WeekIndex],93),CO23+'Grid_Incoming'!CP23-'Grid_Requirement'!CP23))</f>
        <v/>
      </c>
      <c r="CQ23">
        <f>IF(COUNTIFS(T_StockCount[RM_Code],$A23,T_StockCount[WeekIndex],94)&gt;0,SUMIFS(T_StockCount[CountedQty],T_StockCount[RM_Code],$A23,T_StockCount[WeekIndex],94),IF((COUNTIFS(T_SelfStock[RM_Code],$A23,T_SelfStock[WeekIndex],94)&gt;0)*(COUNTIFS(T_TTAFStock[RM_Code],$A23,T_TTAFStock[WeekIndex],94)&gt;0)&gt;0,SUMIFS(T_SelfStock[Self_Qty],T_SelfStock[RM_Code],$A23,T_SelfStock[WeekIndex],94)+SUMIFS(T_TTAFStock[TTAF_Qty],T_TTAFStock[RM_Code],$A23,T_TTAFStock[WeekIndex],94),CP23+'Grid_Incoming'!CQ23-'Grid_Requirement'!CQ23))</f>
        <v/>
      </c>
      <c r="CR23">
        <f>IF(COUNTIFS(T_StockCount[RM_Code],$A23,T_StockCount[WeekIndex],95)&gt;0,SUMIFS(T_StockCount[CountedQty],T_StockCount[RM_Code],$A23,T_StockCount[WeekIndex],95),IF((COUNTIFS(T_SelfStock[RM_Code],$A23,T_SelfStock[WeekIndex],95)&gt;0)*(COUNTIFS(T_TTAFStock[RM_Code],$A23,T_TTAFStock[WeekIndex],95)&gt;0)&gt;0,SUMIFS(T_SelfStock[Self_Qty],T_SelfStock[RM_Code],$A23,T_SelfStock[WeekIndex],95)+SUMIFS(T_TTAFStock[TTAF_Qty],T_TTAFStock[RM_Code],$A23,T_TTAFStock[WeekIndex],95),CQ23+'Grid_Incoming'!CR23-'Grid_Requirement'!CR23))</f>
        <v/>
      </c>
      <c r="CS23">
        <f>IF(COUNTIFS(T_StockCount[RM_Code],$A23,T_StockCount[WeekIndex],96)&gt;0,SUMIFS(T_StockCount[CountedQty],T_StockCount[RM_Code],$A23,T_StockCount[WeekIndex],96),IF((COUNTIFS(T_SelfStock[RM_Code],$A23,T_SelfStock[WeekIndex],96)&gt;0)*(COUNTIFS(T_TTAFStock[RM_Code],$A23,T_TTAFStock[WeekIndex],96)&gt;0)&gt;0,SUMIFS(T_SelfStock[Self_Qty],T_SelfStock[RM_Code],$A23,T_SelfStock[WeekIndex],96)+SUMIFS(T_TTAFStock[TTAF_Qty],T_TTAFStock[RM_Code],$A23,T_TTAFStock[WeekIndex],96),CR23+'Grid_Incoming'!CS23-'Grid_Requirement'!CS23))</f>
        <v/>
      </c>
      <c r="CT23">
        <f>IF(COUNTIFS(T_StockCount[RM_Code],$A23,T_StockCount[WeekIndex],97)&gt;0,SUMIFS(T_StockCount[CountedQty],T_StockCount[RM_Code],$A23,T_StockCount[WeekIndex],97),IF((COUNTIFS(T_SelfStock[RM_Code],$A23,T_SelfStock[WeekIndex],97)&gt;0)*(COUNTIFS(T_TTAFStock[RM_Code],$A23,T_TTAFStock[WeekIndex],97)&gt;0)&gt;0,SUMIFS(T_SelfStock[Self_Qty],T_SelfStock[RM_Code],$A23,T_SelfStock[WeekIndex],97)+SUMIFS(T_TTAFStock[TTAF_Qty],T_TTAFStock[RM_Code],$A23,T_TTAFStock[WeekIndex],97),CS23+'Grid_Incoming'!CT23-'Grid_Requirement'!CT23))</f>
        <v/>
      </c>
      <c r="CU23">
        <f>IF(COUNTIFS(T_StockCount[RM_Code],$A23,T_StockCount[WeekIndex],98)&gt;0,SUMIFS(T_StockCount[CountedQty],T_StockCount[RM_Code],$A23,T_StockCount[WeekIndex],98),IF((COUNTIFS(T_SelfStock[RM_Code],$A23,T_SelfStock[WeekIndex],98)&gt;0)*(COUNTIFS(T_TTAFStock[RM_Code],$A23,T_TTAFStock[WeekIndex],98)&gt;0)&gt;0,SUMIFS(T_SelfStock[Self_Qty],T_SelfStock[RM_Code],$A23,T_SelfStock[WeekIndex],98)+SUMIFS(T_TTAFStock[TTAF_Qty],T_TTAFStock[RM_Code],$A23,T_TTAFStock[WeekIndex],98),CT23+'Grid_Incoming'!CU23-'Grid_Requirement'!CU23))</f>
        <v/>
      </c>
      <c r="CV23">
        <f>IF(COUNTIFS(T_StockCount[RM_Code],$A23,T_StockCount[WeekIndex],99)&gt;0,SUMIFS(T_StockCount[CountedQty],T_StockCount[RM_Code],$A23,T_StockCount[WeekIndex],99),IF((COUNTIFS(T_SelfStock[RM_Code],$A23,T_SelfStock[WeekIndex],99)&gt;0)*(COUNTIFS(T_TTAFStock[RM_Code],$A23,T_TTAFStock[WeekIndex],99)&gt;0)&gt;0,SUMIFS(T_SelfStock[Self_Qty],T_SelfStock[RM_Code],$A23,T_SelfStock[WeekIndex],99)+SUMIFS(T_TTAFStock[TTAF_Qty],T_TTAFStock[RM_Code],$A23,T_TTAFStock[WeekIndex],99),CU23+'Grid_Incoming'!CV23-'Grid_Requirement'!CV23))</f>
        <v/>
      </c>
      <c r="CW23">
        <f>IF(COUNTIFS(T_StockCount[RM_Code],$A23,T_StockCount[WeekIndex],100)&gt;0,SUMIFS(T_StockCount[CountedQty],T_StockCount[RM_Code],$A23,T_StockCount[WeekIndex],100),IF((COUNTIFS(T_SelfStock[RM_Code],$A23,T_SelfStock[WeekIndex],100)&gt;0)*(COUNTIFS(T_TTAFStock[RM_Code],$A23,T_TTAFStock[WeekIndex],100)&gt;0)&gt;0,SUMIFS(T_SelfStock[Self_Qty],T_SelfStock[RM_Code],$A23,T_SelfStock[WeekIndex],100)+SUMIFS(T_TTAFStock[TTAF_Qty],T_TTAFStock[RM_Code],$A23,T_TTAFStock[WeekIndex],100),CV23+'Grid_Incoming'!CW23-'Grid_Requirement'!CW23))</f>
        <v/>
      </c>
      <c r="CX23">
        <f>IF(COUNTIFS(T_StockCount[RM_Code],$A23,T_StockCount[WeekIndex],101)&gt;0,SUMIFS(T_StockCount[CountedQty],T_StockCount[RM_Code],$A23,T_StockCount[WeekIndex],101),IF((COUNTIFS(T_SelfStock[RM_Code],$A23,T_SelfStock[WeekIndex],101)&gt;0)*(COUNTIFS(T_TTAFStock[RM_Code],$A23,T_TTAFStock[WeekIndex],101)&gt;0)&gt;0,SUMIFS(T_SelfStock[Self_Qty],T_SelfStock[RM_Code],$A23,T_SelfStock[WeekIndex],101)+SUMIFS(T_TTAFStock[TTAF_Qty],T_TTAFStock[RM_Code],$A23,T_TTAFStock[WeekIndex],101),CW23+'Grid_Incoming'!CX23-'Grid_Requirement'!CX23))</f>
        <v/>
      </c>
      <c r="CY23">
        <f>IF(COUNTIFS(T_StockCount[RM_Code],$A23,T_StockCount[WeekIndex],102)&gt;0,SUMIFS(T_StockCount[CountedQty],T_StockCount[RM_Code],$A23,T_StockCount[WeekIndex],102),IF((COUNTIFS(T_SelfStock[RM_Code],$A23,T_SelfStock[WeekIndex],102)&gt;0)*(COUNTIFS(T_TTAFStock[RM_Code],$A23,T_TTAFStock[WeekIndex],102)&gt;0)&gt;0,SUMIFS(T_SelfStock[Self_Qty],T_SelfStock[RM_Code],$A23,T_SelfStock[WeekIndex],102)+SUMIFS(T_TTAFStock[TTAF_Qty],T_TTAFStock[RM_Code],$A23,T_TTAFStock[WeekIndex],102),CX23+'Grid_Incoming'!CY23-'Grid_Requirement'!CY23))</f>
        <v/>
      </c>
      <c r="CZ23">
        <f>IF(COUNTIFS(T_StockCount[RM_Code],$A23,T_StockCount[WeekIndex],103)&gt;0,SUMIFS(T_StockCount[CountedQty],T_StockCount[RM_Code],$A23,T_StockCount[WeekIndex],103),IF((COUNTIFS(T_SelfStock[RM_Code],$A23,T_SelfStock[WeekIndex],103)&gt;0)*(COUNTIFS(T_TTAFStock[RM_Code],$A23,T_TTAFStock[WeekIndex],103)&gt;0)&gt;0,SUMIFS(T_SelfStock[Self_Qty],T_SelfStock[RM_Code],$A23,T_SelfStock[WeekIndex],103)+SUMIFS(T_TTAFStock[TTAF_Qty],T_TTAFStock[RM_Code],$A23,T_TTAFStock[WeekIndex],103),CY23+'Grid_Incoming'!CZ23-'Grid_Requirement'!CZ23))</f>
        <v/>
      </c>
      <c r="DA23">
        <f>IF(COUNTIFS(T_StockCount[RM_Code],$A23,T_StockCount[WeekIndex],104)&gt;0,SUMIFS(T_StockCount[CountedQty],T_StockCount[RM_Code],$A23,T_StockCount[WeekIndex],104),IF((COUNTIFS(T_SelfStock[RM_Code],$A23,T_SelfStock[WeekIndex],104)&gt;0)*(COUNTIFS(T_TTAFStock[RM_Code],$A23,T_TTAFStock[WeekIndex],104)&gt;0)&gt;0,SUMIFS(T_SelfStock[Self_Qty],T_SelfStock[RM_Code],$A23,T_SelfStock[WeekIndex],104)+SUMIFS(T_TTAFStock[TTAF_Qty],T_TTAFStock[RM_Code],$A23,T_TTAFStock[WeekIndex],104),CZ23+'Grid_Incoming'!DA23-'Grid_Requirement'!DA23))</f>
        <v/>
      </c>
    </row>
    <row r="24">
      <c r="A24" t="inlineStr">
        <is>
          <t>CHEM-1240</t>
        </is>
      </c>
      <c r="B24">
        <f>IF(COUNTIFS(T_StockCount[RM_Code],$A24,T_StockCount[WeekIndex],1)&gt;0,SUMIFS(T_StockCount[CountedQty],T_StockCount[RM_Code],$A24,T_StockCount[WeekIndex],1),IF((COUNTIFS(T_SelfStock[RM_Code],$A24,T_SelfStock[WeekIndex],1)&gt;0)*(COUNTIFS(T_TTAFStock[RM_Code],$A24,T_TTAFStock[WeekIndex],1)&gt;0)&gt;0,SUMIFS(T_SelfStock[Self_Qty],T_SelfStock[RM_Code],$A24,T_SelfStock[WeekIndex],1)+SUMIFS(T_TTAFStock[TTAF_Qty],T_TTAFStock[RM_Code],$A24,T_TTAFStock[WeekIndex],1),IFERROR(INDEX(T_OpeningStock[Opening_Qty],MATCH($A24,T_OpeningStock[RM_Code],0)),0)+'Grid_Incoming'!B24-'Grid_Requirement'!B24))</f>
        <v/>
      </c>
      <c r="C24">
        <f>IF(COUNTIFS(T_StockCount[RM_Code],$A24,T_StockCount[WeekIndex],2)&gt;0,SUMIFS(T_StockCount[CountedQty],T_StockCount[RM_Code],$A24,T_StockCount[WeekIndex],2),IF((COUNTIFS(T_SelfStock[RM_Code],$A24,T_SelfStock[WeekIndex],2)&gt;0)*(COUNTIFS(T_TTAFStock[RM_Code],$A24,T_TTAFStock[WeekIndex],2)&gt;0)&gt;0,SUMIFS(T_SelfStock[Self_Qty],T_SelfStock[RM_Code],$A24,T_SelfStock[WeekIndex],2)+SUMIFS(T_TTAFStock[TTAF_Qty],T_TTAFStock[RM_Code],$A24,T_TTAFStock[WeekIndex],2),B24+'Grid_Incoming'!C24-'Grid_Requirement'!C24))</f>
        <v/>
      </c>
      <c r="D24">
        <f>IF(COUNTIFS(T_StockCount[RM_Code],$A24,T_StockCount[WeekIndex],3)&gt;0,SUMIFS(T_StockCount[CountedQty],T_StockCount[RM_Code],$A24,T_StockCount[WeekIndex],3),IF((COUNTIFS(T_SelfStock[RM_Code],$A24,T_SelfStock[WeekIndex],3)&gt;0)*(COUNTIFS(T_TTAFStock[RM_Code],$A24,T_TTAFStock[WeekIndex],3)&gt;0)&gt;0,SUMIFS(T_SelfStock[Self_Qty],T_SelfStock[RM_Code],$A24,T_SelfStock[WeekIndex],3)+SUMIFS(T_TTAFStock[TTAF_Qty],T_TTAFStock[RM_Code],$A24,T_TTAFStock[WeekIndex],3),C24+'Grid_Incoming'!D24-'Grid_Requirement'!D24))</f>
        <v/>
      </c>
      <c r="E24">
        <f>IF(COUNTIFS(T_StockCount[RM_Code],$A24,T_StockCount[WeekIndex],4)&gt;0,SUMIFS(T_StockCount[CountedQty],T_StockCount[RM_Code],$A24,T_StockCount[WeekIndex],4),IF((COUNTIFS(T_SelfStock[RM_Code],$A24,T_SelfStock[WeekIndex],4)&gt;0)*(COUNTIFS(T_TTAFStock[RM_Code],$A24,T_TTAFStock[WeekIndex],4)&gt;0)&gt;0,SUMIFS(T_SelfStock[Self_Qty],T_SelfStock[RM_Code],$A24,T_SelfStock[WeekIndex],4)+SUMIFS(T_TTAFStock[TTAF_Qty],T_TTAFStock[RM_Code],$A24,T_TTAFStock[WeekIndex],4),D24+'Grid_Incoming'!E24-'Grid_Requirement'!E24))</f>
        <v/>
      </c>
      <c r="F24">
        <f>IF(COUNTIFS(T_StockCount[RM_Code],$A24,T_StockCount[WeekIndex],5)&gt;0,SUMIFS(T_StockCount[CountedQty],T_StockCount[RM_Code],$A24,T_StockCount[WeekIndex],5),IF((COUNTIFS(T_SelfStock[RM_Code],$A24,T_SelfStock[WeekIndex],5)&gt;0)*(COUNTIFS(T_TTAFStock[RM_Code],$A24,T_TTAFStock[WeekIndex],5)&gt;0)&gt;0,SUMIFS(T_SelfStock[Self_Qty],T_SelfStock[RM_Code],$A24,T_SelfStock[WeekIndex],5)+SUMIFS(T_TTAFStock[TTAF_Qty],T_TTAFStock[RM_Code],$A24,T_TTAFStock[WeekIndex],5),E24+'Grid_Incoming'!F24-'Grid_Requirement'!F24))</f>
        <v/>
      </c>
      <c r="G24">
        <f>IF(COUNTIFS(T_StockCount[RM_Code],$A24,T_StockCount[WeekIndex],6)&gt;0,SUMIFS(T_StockCount[CountedQty],T_StockCount[RM_Code],$A24,T_StockCount[WeekIndex],6),IF((COUNTIFS(T_SelfStock[RM_Code],$A24,T_SelfStock[WeekIndex],6)&gt;0)*(COUNTIFS(T_TTAFStock[RM_Code],$A24,T_TTAFStock[WeekIndex],6)&gt;0)&gt;0,SUMIFS(T_SelfStock[Self_Qty],T_SelfStock[RM_Code],$A24,T_SelfStock[WeekIndex],6)+SUMIFS(T_TTAFStock[TTAF_Qty],T_TTAFStock[RM_Code],$A24,T_TTAFStock[WeekIndex],6),F24+'Grid_Incoming'!G24-'Grid_Requirement'!G24))</f>
        <v/>
      </c>
      <c r="H24">
        <f>IF(COUNTIFS(T_StockCount[RM_Code],$A24,T_StockCount[WeekIndex],7)&gt;0,SUMIFS(T_StockCount[CountedQty],T_StockCount[RM_Code],$A24,T_StockCount[WeekIndex],7),IF((COUNTIFS(T_SelfStock[RM_Code],$A24,T_SelfStock[WeekIndex],7)&gt;0)*(COUNTIFS(T_TTAFStock[RM_Code],$A24,T_TTAFStock[WeekIndex],7)&gt;0)&gt;0,SUMIFS(T_SelfStock[Self_Qty],T_SelfStock[RM_Code],$A24,T_SelfStock[WeekIndex],7)+SUMIFS(T_TTAFStock[TTAF_Qty],T_TTAFStock[RM_Code],$A24,T_TTAFStock[WeekIndex],7),G24+'Grid_Incoming'!H24-'Grid_Requirement'!H24))</f>
        <v/>
      </c>
      <c r="I24">
        <f>IF(COUNTIFS(T_StockCount[RM_Code],$A24,T_StockCount[WeekIndex],8)&gt;0,SUMIFS(T_StockCount[CountedQty],T_StockCount[RM_Code],$A24,T_StockCount[WeekIndex],8),IF((COUNTIFS(T_SelfStock[RM_Code],$A24,T_SelfStock[WeekIndex],8)&gt;0)*(COUNTIFS(T_TTAFStock[RM_Code],$A24,T_TTAFStock[WeekIndex],8)&gt;0)&gt;0,SUMIFS(T_SelfStock[Self_Qty],T_SelfStock[RM_Code],$A24,T_SelfStock[WeekIndex],8)+SUMIFS(T_TTAFStock[TTAF_Qty],T_TTAFStock[RM_Code],$A24,T_TTAFStock[WeekIndex],8),H24+'Grid_Incoming'!I24-'Grid_Requirement'!I24))</f>
        <v/>
      </c>
      <c r="J24">
        <f>IF(COUNTIFS(T_StockCount[RM_Code],$A24,T_StockCount[WeekIndex],9)&gt;0,SUMIFS(T_StockCount[CountedQty],T_StockCount[RM_Code],$A24,T_StockCount[WeekIndex],9),IF((COUNTIFS(T_SelfStock[RM_Code],$A24,T_SelfStock[WeekIndex],9)&gt;0)*(COUNTIFS(T_TTAFStock[RM_Code],$A24,T_TTAFStock[WeekIndex],9)&gt;0)&gt;0,SUMIFS(T_SelfStock[Self_Qty],T_SelfStock[RM_Code],$A24,T_SelfStock[WeekIndex],9)+SUMIFS(T_TTAFStock[TTAF_Qty],T_TTAFStock[RM_Code],$A24,T_TTAFStock[WeekIndex],9),I24+'Grid_Incoming'!J24-'Grid_Requirement'!J24))</f>
        <v/>
      </c>
      <c r="K24">
        <f>IF(COUNTIFS(T_StockCount[RM_Code],$A24,T_StockCount[WeekIndex],10)&gt;0,SUMIFS(T_StockCount[CountedQty],T_StockCount[RM_Code],$A24,T_StockCount[WeekIndex],10),IF((COUNTIFS(T_SelfStock[RM_Code],$A24,T_SelfStock[WeekIndex],10)&gt;0)*(COUNTIFS(T_TTAFStock[RM_Code],$A24,T_TTAFStock[WeekIndex],10)&gt;0)&gt;0,SUMIFS(T_SelfStock[Self_Qty],T_SelfStock[RM_Code],$A24,T_SelfStock[WeekIndex],10)+SUMIFS(T_TTAFStock[TTAF_Qty],T_TTAFStock[RM_Code],$A24,T_TTAFStock[WeekIndex],10),J24+'Grid_Incoming'!K24-'Grid_Requirement'!K24))</f>
        <v/>
      </c>
      <c r="L24">
        <f>IF(COUNTIFS(T_StockCount[RM_Code],$A24,T_StockCount[WeekIndex],11)&gt;0,SUMIFS(T_StockCount[CountedQty],T_StockCount[RM_Code],$A24,T_StockCount[WeekIndex],11),IF((COUNTIFS(T_SelfStock[RM_Code],$A24,T_SelfStock[WeekIndex],11)&gt;0)*(COUNTIFS(T_TTAFStock[RM_Code],$A24,T_TTAFStock[WeekIndex],11)&gt;0)&gt;0,SUMIFS(T_SelfStock[Self_Qty],T_SelfStock[RM_Code],$A24,T_SelfStock[WeekIndex],11)+SUMIFS(T_TTAFStock[TTAF_Qty],T_TTAFStock[RM_Code],$A24,T_TTAFStock[WeekIndex],11),K24+'Grid_Incoming'!L24-'Grid_Requirement'!L24))</f>
        <v/>
      </c>
      <c r="M24">
        <f>IF(COUNTIFS(T_StockCount[RM_Code],$A24,T_StockCount[WeekIndex],12)&gt;0,SUMIFS(T_StockCount[CountedQty],T_StockCount[RM_Code],$A24,T_StockCount[WeekIndex],12),IF((COUNTIFS(T_SelfStock[RM_Code],$A24,T_SelfStock[WeekIndex],12)&gt;0)*(COUNTIFS(T_TTAFStock[RM_Code],$A24,T_TTAFStock[WeekIndex],12)&gt;0)&gt;0,SUMIFS(T_SelfStock[Self_Qty],T_SelfStock[RM_Code],$A24,T_SelfStock[WeekIndex],12)+SUMIFS(T_TTAFStock[TTAF_Qty],T_TTAFStock[RM_Code],$A24,T_TTAFStock[WeekIndex],12),L24+'Grid_Incoming'!M24-'Grid_Requirement'!M24))</f>
        <v/>
      </c>
      <c r="N24">
        <f>IF(COUNTIFS(T_StockCount[RM_Code],$A24,T_StockCount[WeekIndex],13)&gt;0,SUMIFS(T_StockCount[CountedQty],T_StockCount[RM_Code],$A24,T_StockCount[WeekIndex],13),IF((COUNTIFS(T_SelfStock[RM_Code],$A24,T_SelfStock[WeekIndex],13)&gt;0)*(COUNTIFS(T_TTAFStock[RM_Code],$A24,T_TTAFStock[WeekIndex],13)&gt;0)&gt;0,SUMIFS(T_SelfStock[Self_Qty],T_SelfStock[RM_Code],$A24,T_SelfStock[WeekIndex],13)+SUMIFS(T_TTAFStock[TTAF_Qty],T_TTAFStock[RM_Code],$A24,T_TTAFStock[WeekIndex],13),M24+'Grid_Incoming'!N24-'Grid_Requirement'!N24))</f>
        <v/>
      </c>
      <c r="O24">
        <f>IF(COUNTIFS(T_StockCount[RM_Code],$A24,T_StockCount[WeekIndex],14)&gt;0,SUMIFS(T_StockCount[CountedQty],T_StockCount[RM_Code],$A24,T_StockCount[WeekIndex],14),IF((COUNTIFS(T_SelfStock[RM_Code],$A24,T_SelfStock[WeekIndex],14)&gt;0)*(COUNTIFS(T_TTAFStock[RM_Code],$A24,T_TTAFStock[WeekIndex],14)&gt;0)&gt;0,SUMIFS(T_SelfStock[Self_Qty],T_SelfStock[RM_Code],$A24,T_SelfStock[WeekIndex],14)+SUMIFS(T_TTAFStock[TTAF_Qty],T_TTAFStock[RM_Code],$A24,T_TTAFStock[WeekIndex],14),N24+'Grid_Incoming'!O24-'Grid_Requirement'!O24))</f>
        <v/>
      </c>
      <c r="P24">
        <f>IF(COUNTIFS(T_StockCount[RM_Code],$A24,T_StockCount[WeekIndex],15)&gt;0,SUMIFS(T_StockCount[CountedQty],T_StockCount[RM_Code],$A24,T_StockCount[WeekIndex],15),IF((COUNTIFS(T_SelfStock[RM_Code],$A24,T_SelfStock[WeekIndex],15)&gt;0)*(COUNTIFS(T_TTAFStock[RM_Code],$A24,T_TTAFStock[WeekIndex],15)&gt;0)&gt;0,SUMIFS(T_SelfStock[Self_Qty],T_SelfStock[RM_Code],$A24,T_SelfStock[WeekIndex],15)+SUMIFS(T_TTAFStock[TTAF_Qty],T_TTAFStock[RM_Code],$A24,T_TTAFStock[WeekIndex],15),O24+'Grid_Incoming'!P24-'Grid_Requirement'!P24))</f>
        <v/>
      </c>
      <c r="Q24">
        <f>IF(COUNTIFS(T_StockCount[RM_Code],$A24,T_StockCount[WeekIndex],16)&gt;0,SUMIFS(T_StockCount[CountedQty],T_StockCount[RM_Code],$A24,T_StockCount[WeekIndex],16),IF((COUNTIFS(T_SelfStock[RM_Code],$A24,T_SelfStock[WeekIndex],16)&gt;0)*(COUNTIFS(T_TTAFStock[RM_Code],$A24,T_TTAFStock[WeekIndex],16)&gt;0)&gt;0,SUMIFS(T_SelfStock[Self_Qty],T_SelfStock[RM_Code],$A24,T_SelfStock[WeekIndex],16)+SUMIFS(T_TTAFStock[TTAF_Qty],T_TTAFStock[RM_Code],$A24,T_TTAFStock[WeekIndex],16),P24+'Grid_Incoming'!Q24-'Grid_Requirement'!Q24))</f>
        <v/>
      </c>
      <c r="R24">
        <f>IF(COUNTIFS(T_StockCount[RM_Code],$A24,T_StockCount[WeekIndex],17)&gt;0,SUMIFS(T_StockCount[CountedQty],T_StockCount[RM_Code],$A24,T_StockCount[WeekIndex],17),IF((COUNTIFS(T_SelfStock[RM_Code],$A24,T_SelfStock[WeekIndex],17)&gt;0)*(COUNTIFS(T_TTAFStock[RM_Code],$A24,T_TTAFStock[WeekIndex],17)&gt;0)&gt;0,SUMIFS(T_SelfStock[Self_Qty],T_SelfStock[RM_Code],$A24,T_SelfStock[WeekIndex],17)+SUMIFS(T_TTAFStock[TTAF_Qty],T_TTAFStock[RM_Code],$A24,T_TTAFStock[WeekIndex],17),Q24+'Grid_Incoming'!R24-'Grid_Requirement'!R24))</f>
        <v/>
      </c>
      <c r="S24">
        <f>IF(COUNTIFS(T_StockCount[RM_Code],$A24,T_StockCount[WeekIndex],18)&gt;0,SUMIFS(T_StockCount[CountedQty],T_StockCount[RM_Code],$A24,T_StockCount[WeekIndex],18),IF((COUNTIFS(T_SelfStock[RM_Code],$A24,T_SelfStock[WeekIndex],18)&gt;0)*(COUNTIFS(T_TTAFStock[RM_Code],$A24,T_TTAFStock[WeekIndex],18)&gt;0)&gt;0,SUMIFS(T_SelfStock[Self_Qty],T_SelfStock[RM_Code],$A24,T_SelfStock[WeekIndex],18)+SUMIFS(T_TTAFStock[TTAF_Qty],T_TTAFStock[RM_Code],$A24,T_TTAFStock[WeekIndex],18),R24+'Grid_Incoming'!S24-'Grid_Requirement'!S24))</f>
        <v/>
      </c>
      <c r="T24">
        <f>IF(COUNTIFS(T_StockCount[RM_Code],$A24,T_StockCount[WeekIndex],19)&gt;0,SUMIFS(T_StockCount[CountedQty],T_StockCount[RM_Code],$A24,T_StockCount[WeekIndex],19),IF((COUNTIFS(T_SelfStock[RM_Code],$A24,T_SelfStock[WeekIndex],19)&gt;0)*(COUNTIFS(T_TTAFStock[RM_Code],$A24,T_TTAFStock[WeekIndex],19)&gt;0)&gt;0,SUMIFS(T_SelfStock[Self_Qty],T_SelfStock[RM_Code],$A24,T_SelfStock[WeekIndex],19)+SUMIFS(T_TTAFStock[TTAF_Qty],T_TTAFStock[RM_Code],$A24,T_TTAFStock[WeekIndex],19),S24+'Grid_Incoming'!T24-'Grid_Requirement'!T24))</f>
        <v/>
      </c>
      <c r="U24">
        <f>IF(COUNTIFS(T_StockCount[RM_Code],$A24,T_StockCount[WeekIndex],20)&gt;0,SUMIFS(T_StockCount[CountedQty],T_StockCount[RM_Code],$A24,T_StockCount[WeekIndex],20),IF((COUNTIFS(T_SelfStock[RM_Code],$A24,T_SelfStock[WeekIndex],20)&gt;0)*(COUNTIFS(T_TTAFStock[RM_Code],$A24,T_TTAFStock[WeekIndex],20)&gt;0)&gt;0,SUMIFS(T_SelfStock[Self_Qty],T_SelfStock[RM_Code],$A24,T_SelfStock[WeekIndex],20)+SUMIFS(T_TTAFStock[TTAF_Qty],T_TTAFStock[RM_Code],$A24,T_TTAFStock[WeekIndex],20),T24+'Grid_Incoming'!U24-'Grid_Requirement'!U24))</f>
        <v/>
      </c>
      <c r="V24">
        <f>IF(COUNTIFS(T_StockCount[RM_Code],$A24,T_StockCount[WeekIndex],21)&gt;0,SUMIFS(T_StockCount[CountedQty],T_StockCount[RM_Code],$A24,T_StockCount[WeekIndex],21),IF((COUNTIFS(T_SelfStock[RM_Code],$A24,T_SelfStock[WeekIndex],21)&gt;0)*(COUNTIFS(T_TTAFStock[RM_Code],$A24,T_TTAFStock[WeekIndex],21)&gt;0)&gt;0,SUMIFS(T_SelfStock[Self_Qty],T_SelfStock[RM_Code],$A24,T_SelfStock[WeekIndex],21)+SUMIFS(T_TTAFStock[TTAF_Qty],T_TTAFStock[RM_Code],$A24,T_TTAFStock[WeekIndex],21),U24+'Grid_Incoming'!V24-'Grid_Requirement'!V24))</f>
        <v/>
      </c>
      <c r="W24">
        <f>IF(COUNTIFS(T_StockCount[RM_Code],$A24,T_StockCount[WeekIndex],22)&gt;0,SUMIFS(T_StockCount[CountedQty],T_StockCount[RM_Code],$A24,T_StockCount[WeekIndex],22),IF((COUNTIFS(T_SelfStock[RM_Code],$A24,T_SelfStock[WeekIndex],22)&gt;0)*(COUNTIFS(T_TTAFStock[RM_Code],$A24,T_TTAFStock[WeekIndex],22)&gt;0)&gt;0,SUMIFS(T_SelfStock[Self_Qty],T_SelfStock[RM_Code],$A24,T_SelfStock[WeekIndex],22)+SUMIFS(T_TTAFStock[TTAF_Qty],T_TTAFStock[RM_Code],$A24,T_TTAFStock[WeekIndex],22),V24+'Grid_Incoming'!W24-'Grid_Requirement'!W24))</f>
        <v/>
      </c>
      <c r="X24">
        <f>IF(COUNTIFS(T_StockCount[RM_Code],$A24,T_StockCount[WeekIndex],23)&gt;0,SUMIFS(T_StockCount[CountedQty],T_StockCount[RM_Code],$A24,T_StockCount[WeekIndex],23),IF((COUNTIFS(T_SelfStock[RM_Code],$A24,T_SelfStock[WeekIndex],23)&gt;0)*(COUNTIFS(T_TTAFStock[RM_Code],$A24,T_TTAFStock[WeekIndex],23)&gt;0)&gt;0,SUMIFS(T_SelfStock[Self_Qty],T_SelfStock[RM_Code],$A24,T_SelfStock[WeekIndex],23)+SUMIFS(T_TTAFStock[TTAF_Qty],T_TTAFStock[RM_Code],$A24,T_TTAFStock[WeekIndex],23),W24+'Grid_Incoming'!X24-'Grid_Requirement'!X24))</f>
        <v/>
      </c>
      <c r="Y24">
        <f>IF(COUNTIFS(T_StockCount[RM_Code],$A24,T_StockCount[WeekIndex],24)&gt;0,SUMIFS(T_StockCount[CountedQty],T_StockCount[RM_Code],$A24,T_StockCount[WeekIndex],24),IF((COUNTIFS(T_SelfStock[RM_Code],$A24,T_SelfStock[WeekIndex],24)&gt;0)*(COUNTIFS(T_TTAFStock[RM_Code],$A24,T_TTAFStock[WeekIndex],24)&gt;0)&gt;0,SUMIFS(T_SelfStock[Self_Qty],T_SelfStock[RM_Code],$A24,T_SelfStock[WeekIndex],24)+SUMIFS(T_TTAFStock[TTAF_Qty],T_TTAFStock[RM_Code],$A24,T_TTAFStock[WeekIndex],24),X24+'Grid_Incoming'!Y24-'Grid_Requirement'!Y24))</f>
        <v/>
      </c>
      <c r="Z24">
        <f>IF(COUNTIFS(T_StockCount[RM_Code],$A24,T_StockCount[WeekIndex],25)&gt;0,SUMIFS(T_StockCount[CountedQty],T_StockCount[RM_Code],$A24,T_StockCount[WeekIndex],25),IF((COUNTIFS(T_SelfStock[RM_Code],$A24,T_SelfStock[WeekIndex],25)&gt;0)*(COUNTIFS(T_TTAFStock[RM_Code],$A24,T_TTAFStock[WeekIndex],25)&gt;0)&gt;0,SUMIFS(T_SelfStock[Self_Qty],T_SelfStock[RM_Code],$A24,T_SelfStock[WeekIndex],25)+SUMIFS(T_TTAFStock[TTAF_Qty],T_TTAFStock[RM_Code],$A24,T_TTAFStock[WeekIndex],25),Y24+'Grid_Incoming'!Z24-'Grid_Requirement'!Z24))</f>
        <v/>
      </c>
      <c r="AA24">
        <f>IF(COUNTIFS(T_StockCount[RM_Code],$A24,T_StockCount[WeekIndex],26)&gt;0,SUMIFS(T_StockCount[CountedQty],T_StockCount[RM_Code],$A24,T_StockCount[WeekIndex],26),IF((COUNTIFS(T_SelfStock[RM_Code],$A24,T_SelfStock[WeekIndex],26)&gt;0)*(COUNTIFS(T_TTAFStock[RM_Code],$A24,T_TTAFStock[WeekIndex],26)&gt;0)&gt;0,SUMIFS(T_SelfStock[Self_Qty],T_SelfStock[RM_Code],$A24,T_SelfStock[WeekIndex],26)+SUMIFS(T_TTAFStock[TTAF_Qty],T_TTAFStock[RM_Code],$A24,T_TTAFStock[WeekIndex],26),Z24+'Grid_Incoming'!AA24-'Grid_Requirement'!AA24))</f>
        <v/>
      </c>
      <c r="AB24">
        <f>IF(COUNTIFS(T_StockCount[RM_Code],$A24,T_StockCount[WeekIndex],27)&gt;0,SUMIFS(T_StockCount[CountedQty],T_StockCount[RM_Code],$A24,T_StockCount[WeekIndex],27),IF((COUNTIFS(T_SelfStock[RM_Code],$A24,T_SelfStock[WeekIndex],27)&gt;0)*(COUNTIFS(T_TTAFStock[RM_Code],$A24,T_TTAFStock[WeekIndex],27)&gt;0)&gt;0,SUMIFS(T_SelfStock[Self_Qty],T_SelfStock[RM_Code],$A24,T_SelfStock[WeekIndex],27)+SUMIFS(T_TTAFStock[TTAF_Qty],T_TTAFStock[RM_Code],$A24,T_TTAFStock[WeekIndex],27),AA24+'Grid_Incoming'!AB24-'Grid_Requirement'!AB24))</f>
        <v/>
      </c>
      <c r="AC24">
        <f>IF(COUNTIFS(T_StockCount[RM_Code],$A24,T_StockCount[WeekIndex],28)&gt;0,SUMIFS(T_StockCount[CountedQty],T_StockCount[RM_Code],$A24,T_StockCount[WeekIndex],28),IF((COUNTIFS(T_SelfStock[RM_Code],$A24,T_SelfStock[WeekIndex],28)&gt;0)*(COUNTIFS(T_TTAFStock[RM_Code],$A24,T_TTAFStock[WeekIndex],28)&gt;0)&gt;0,SUMIFS(T_SelfStock[Self_Qty],T_SelfStock[RM_Code],$A24,T_SelfStock[WeekIndex],28)+SUMIFS(T_TTAFStock[TTAF_Qty],T_TTAFStock[RM_Code],$A24,T_TTAFStock[WeekIndex],28),AB24+'Grid_Incoming'!AC24-'Grid_Requirement'!AC24))</f>
        <v/>
      </c>
      <c r="AD24">
        <f>IF(COUNTIFS(T_StockCount[RM_Code],$A24,T_StockCount[WeekIndex],29)&gt;0,SUMIFS(T_StockCount[CountedQty],T_StockCount[RM_Code],$A24,T_StockCount[WeekIndex],29),IF((COUNTIFS(T_SelfStock[RM_Code],$A24,T_SelfStock[WeekIndex],29)&gt;0)*(COUNTIFS(T_TTAFStock[RM_Code],$A24,T_TTAFStock[WeekIndex],29)&gt;0)&gt;0,SUMIFS(T_SelfStock[Self_Qty],T_SelfStock[RM_Code],$A24,T_SelfStock[WeekIndex],29)+SUMIFS(T_TTAFStock[TTAF_Qty],T_TTAFStock[RM_Code],$A24,T_TTAFStock[WeekIndex],29),AC24+'Grid_Incoming'!AD24-'Grid_Requirement'!AD24))</f>
        <v/>
      </c>
      <c r="AE24">
        <f>IF(COUNTIFS(T_StockCount[RM_Code],$A24,T_StockCount[WeekIndex],30)&gt;0,SUMIFS(T_StockCount[CountedQty],T_StockCount[RM_Code],$A24,T_StockCount[WeekIndex],30),IF((COUNTIFS(T_SelfStock[RM_Code],$A24,T_SelfStock[WeekIndex],30)&gt;0)*(COUNTIFS(T_TTAFStock[RM_Code],$A24,T_TTAFStock[WeekIndex],30)&gt;0)&gt;0,SUMIFS(T_SelfStock[Self_Qty],T_SelfStock[RM_Code],$A24,T_SelfStock[WeekIndex],30)+SUMIFS(T_TTAFStock[TTAF_Qty],T_TTAFStock[RM_Code],$A24,T_TTAFStock[WeekIndex],30),AD24+'Grid_Incoming'!AE24-'Grid_Requirement'!AE24))</f>
        <v/>
      </c>
      <c r="AF24">
        <f>IF(COUNTIFS(T_StockCount[RM_Code],$A24,T_StockCount[WeekIndex],31)&gt;0,SUMIFS(T_StockCount[CountedQty],T_StockCount[RM_Code],$A24,T_StockCount[WeekIndex],31),IF((COUNTIFS(T_SelfStock[RM_Code],$A24,T_SelfStock[WeekIndex],31)&gt;0)*(COUNTIFS(T_TTAFStock[RM_Code],$A24,T_TTAFStock[WeekIndex],31)&gt;0)&gt;0,SUMIFS(T_SelfStock[Self_Qty],T_SelfStock[RM_Code],$A24,T_SelfStock[WeekIndex],31)+SUMIFS(T_TTAFStock[TTAF_Qty],T_TTAFStock[RM_Code],$A24,T_TTAFStock[WeekIndex],31),AE24+'Grid_Incoming'!AF24-'Grid_Requirement'!AF24))</f>
        <v/>
      </c>
      <c r="AG24">
        <f>IF(COUNTIFS(T_StockCount[RM_Code],$A24,T_StockCount[WeekIndex],32)&gt;0,SUMIFS(T_StockCount[CountedQty],T_StockCount[RM_Code],$A24,T_StockCount[WeekIndex],32),IF((COUNTIFS(T_SelfStock[RM_Code],$A24,T_SelfStock[WeekIndex],32)&gt;0)*(COUNTIFS(T_TTAFStock[RM_Code],$A24,T_TTAFStock[WeekIndex],32)&gt;0)&gt;0,SUMIFS(T_SelfStock[Self_Qty],T_SelfStock[RM_Code],$A24,T_SelfStock[WeekIndex],32)+SUMIFS(T_TTAFStock[TTAF_Qty],T_TTAFStock[RM_Code],$A24,T_TTAFStock[WeekIndex],32),AF24+'Grid_Incoming'!AG24-'Grid_Requirement'!AG24))</f>
        <v/>
      </c>
      <c r="AH24">
        <f>IF(COUNTIFS(T_StockCount[RM_Code],$A24,T_StockCount[WeekIndex],33)&gt;0,SUMIFS(T_StockCount[CountedQty],T_StockCount[RM_Code],$A24,T_StockCount[WeekIndex],33),IF((COUNTIFS(T_SelfStock[RM_Code],$A24,T_SelfStock[WeekIndex],33)&gt;0)*(COUNTIFS(T_TTAFStock[RM_Code],$A24,T_TTAFStock[WeekIndex],33)&gt;0)&gt;0,SUMIFS(T_SelfStock[Self_Qty],T_SelfStock[RM_Code],$A24,T_SelfStock[WeekIndex],33)+SUMIFS(T_TTAFStock[TTAF_Qty],T_TTAFStock[RM_Code],$A24,T_TTAFStock[WeekIndex],33),AG24+'Grid_Incoming'!AH24-'Grid_Requirement'!AH24))</f>
        <v/>
      </c>
      <c r="AI24">
        <f>IF(COUNTIFS(T_StockCount[RM_Code],$A24,T_StockCount[WeekIndex],34)&gt;0,SUMIFS(T_StockCount[CountedQty],T_StockCount[RM_Code],$A24,T_StockCount[WeekIndex],34),IF((COUNTIFS(T_SelfStock[RM_Code],$A24,T_SelfStock[WeekIndex],34)&gt;0)*(COUNTIFS(T_TTAFStock[RM_Code],$A24,T_TTAFStock[WeekIndex],34)&gt;0)&gt;0,SUMIFS(T_SelfStock[Self_Qty],T_SelfStock[RM_Code],$A24,T_SelfStock[WeekIndex],34)+SUMIFS(T_TTAFStock[TTAF_Qty],T_TTAFStock[RM_Code],$A24,T_TTAFStock[WeekIndex],34),AH24+'Grid_Incoming'!AI24-'Grid_Requirement'!AI24))</f>
        <v/>
      </c>
      <c r="AJ24">
        <f>IF(COUNTIFS(T_StockCount[RM_Code],$A24,T_StockCount[WeekIndex],35)&gt;0,SUMIFS(T_StockCount[CountedQty],T_StockCount[RM_Code],$A24,T_StockCount[WeekIndex],35),IF((COUNTIFS(T_SelfStock[RM_Code],$A24,T_SelfStock[WeekIndex],35)&gt;0)*(COUNTIFS(T_TTAFStock[RM_Code],$A24,T_TTAFStock[WeekIndex],35)&gt;0)&gt;0,SUMIFS(T_SelfStock[Self_Qty],T_SelfStock[RM_Code],$A24,T_SelfStock[WeekIndex],35)+SUMIFS(T_TTAFStock[TTAF_Qty],T_TTAFStock[RM_Code],$A24,T_TTAFStock[WeekIndex],35),AI24+'Grid_Incoming'!AJ24-'Grid_Requirement'!AJ24))</f>
        <v/>
      </c>
      <c r="AK24">
        <f>IF(COUNTIFS(T_StockCount[RM_Code],$A24,T_StockCount[WeekIndex],36)&gt;0,SUMIFS(T_StockCount[CountedQty],T_StockCount[RM_Code],$A24,T_StockCount[WeekIndex],36),IF((COUNTIFS(T_SelfStock[RM_Code],$A24,T_SelfStock[WeekIndex],36)&gt;0)*(COUNTIFS(T_TTAFStock[RM_Code],$A24,T_TTAFStock[WeekIndex],36)&gt;0)&gt;0,SUMIFS(T_SelfStock[Self_Qty],T_SelfStock[RM_Code],$A24,T_SelfStock[WeekIndex],36)+SUMIFS(T_TTAFStock[TTAF_Qty],T_TTAFStock[RM_Code],$A24,T_TTAFStock[WeekIndex],36),AJ24+'Grid_Incoming'!AK24-'Grid_Requirement'!AK24))</f>
        <v/>
      </c>
      <c r="AL24">
        <f>IF(COUNTIFS(T_StockCount[RM_Code],$A24,T_StockCount[WeekIndex],37)&gt;0,SUMIFS(T_StockCount[CountedQty],T_StockCount[RM_Code],$A24,T_StockCount[WeekIndex],37),IF((COUNTIFS(T_SelfStock[RM_Code],$A24,T_SelfStock[WeekIndex],37)&gt;0)*(COUNTIFS(T_TTAFStock[RM_Code],$A24,T_TTAFStock[WeekIndex],37)&gt;0)&gt;0,SUMIFS(T_SelfStock[Self_Qty],T_SelfStock[RM_Code],$A24,T_SelfStock[WeekIndex],37)+SUMIFS(T_TTAFStock[TTAF_Qty],T_TTAFStock[RM_Code],$A24,T_TTAFStock[WeekIndex],37),AK24+'Grid_Incoming'!AL24-'Grid_Requirement'!AL24))</f>
        <v/>
      </c>
      <c r="AM24">
        <f>IF(COUNTIFS(T_StockCount[RM_Code],$A24,T_StockCount[WeekIndex],38)&gt;0,SUMIFS(T_StockCount[CountedQty],T_StockCount[RM_Code],$A24,T_StockCount[WeekIndex],38),IF((COUNTIFS(T_SelfStock[RM_Code],$A24,T_SelfStock[WeekIndex],38)&gt;0)*(COUNTIFS(T_TTAFStock[RM_Code],$A24,T_TTAFStock[WeekIndex],38)&gt;0)&gt;0,SUMIFS(T_SelfStock[Self_Qty],T_SelfStock[RM_Code],$A24,T_SelfStock[WeekIndex],38)+SUMIFS(T_TTAFStock[TTAF_Qty],T_TTAFStock[RM_Code],$A24,T_TTAFStock[WeekIndex],38),AL24+'Grid_Incoming'!AM24-'Grid_Requirement'!AM24))</f>
        <v/>
      </c>
      <c r="AN24">
        <f>IF(COUNTIFS(T_StockCount[RM_Code],$A24,T_StockCount[WeekIndex],39)&gt;0,SUMIFS(T_StockCount[CountedQty],T_StockCount[RM_Code],$A24,T_StockCount[WeekIndex],39),IF((COUNTIFS(T_SelfStock[RM_Code],$A24,T_SelfStock[WeekIndex],39)&gt;0)*(COUNTIFS(T_TTAFStock[RM_Code],$A24,T_TTAFStock[WeekIndex],39)&gt;0)&gt;0,SUMIFS(T_SelfStock[Self_Qty],T_SelfStock[RM_Code],$A24,T_SelfStock[WeekIndex],39)+SUMIFS(T_TTAFStock[TTAF_Qty],T_TTAFStock[RM_Code],$A24,T_TTAFStock[WeekIndex],39),AM24+'Grid_Incoming'!AN24-'Grid_Requirement'!AN24))</f>
        <v/>
      </c>
      <c r="AO24">
        <f>IF(COUNTIFS(T_StockCount[RM_Code],$A24,T_StockCount[WeekIndex],40)&gt;0,SUMIFS(T_StockCount[CountedQty],T_StockCount[RM_Code],$A24,T_StockCount[WeekIndex],40),IF((COUNTIFS(T_SelfStock[RM_Code],$A24,T_SelfStock[WeekIndex],40)&gt;0)*(COUNTIFS(T_TTAFStock[RM_Code],$A24,T_TTAFStock[WeekIndex],40)&gt;0)&gt;0,SUMIFS(T_SelfStock[Self_Qty],T_SelfStock[RM_Code],$A24,T_SelfStock[WeekIndex],40)+SUMIFS(T_TTAFStock[TTAF_Qty],T_TTAFStock[RM_Code],$A24,T_TTAFStock[WeekIndex],40),AN24+'Grid_Incoming'!AO24-'Grid_Requirement'!AO24))</f>
        <v/>
      </c>
      <c r="AP24">
        <f>IF(COUNTIFS(T_StockCount[RM_Code],$A24,T_StockCount[WeekIndex],41)&gt;0,SUMIFS(T_StockCount[CountedQty],T_StockCount[RM_Code],$A24,T_StockCount[WeekIndex],41),IF((COUNTIFS(T_SelfStock[RM_Code],$A24,T_SelfStock[WeekIndex],41)&gt;0)*(COUNTIFS(T_TTAFStock[RM_Code],$A24,T_TTAFStock[WeekIndex],41)&gt;0)&gt;0,SUMIFS(T_SelfStock[Self_Qty],T_SelfStock[RM_Code],$A24,T_SelfStock[WeekIndex],41)+SUMIFS(T_TTAFStock[TTAF_Qty],T_TTAFStock[RM_Code],$A24,T_TTAFStock[WeekIndex],41),AO24+'Grid_Incoming'!AP24-'Grid_Requirement'!AP24))</f>
        <v/>
      </c>
      <c r="AQ24">
        <f>IF(COUNTIFS(T_StockCount[RM_Code],$A24,T_StockCount[WeekIndex],42)&gt;0,SUMIFS(T_StockCount[CountedQty],T_StockCount[RM_Code],$A24,T_StockCount[WeekIndex],42),IF((COUNTIFS(T_SelfStock[RM_Code],$A24,T_SelfStock[WeekIndex],42)&gt;0)*(COUNTIFS(T_TTAFStock[RM_Code],$A24,T_TTAFStock[WeekIndex],42)&gt;0)&gt;0,SUMIFS(T_SelfStock[Self_Qty],T_SelfStock[RM_Code],$A24,T_SelfStock[WeekIndex],42)+SUMIFS(T_TTAFStock[TTAF_Qty],T_TTAFStock[RM_Code],$A24,T_TTAFStock[WeekIndex],42),AP24+'Grid_Incoming'!AQ24-'Grid_Requirement'!AQ24))</f>
        <v/>
      </c>
      <c r="AR24">
        <f>IF(COUNTIFS(T_StockCount[RM_Code],$A24,T_StockCount[WeekIndex],43)&gt;0,SUMIFS(T_StockCount[CountedQty],T_StockCount[RM_Code],$A24,T_StockCount[WeekIndex],43),IF((COUNTIFS(T_SelfStock[RM_Code],$A24,T_SelfStock[WeekIndex],43)&gt;0)*(COUNTIFS(T_TTAFStock[RM_Code],$A24,T_TTAFStock[WeekIndex],43)&gt;0)&gt;0,SUMIFS(T_SelfStock[Self_Qty],T_SelfStock[RM_Code],$A24,T_SelfStock[WeekIndex],43)+SUMIFS(T_TTAFStock[TTAF_Qty],T_TTAFStock[RM_Code],$A24,T_TTAFStock[WeekIndex],43),AQ24+'Grid_Incoming'!AR24-'Grid_Requirement'!AR24))</f>
        <v/>
      </c>
      <c r="AS24">
        <f>IF(COUNTIFS(T_StockCount[RM_Code],$A24,T_StockCount[WeekIndex],44)&gt;0,SUMIFS(T_StockCount[CountedQty],T_StockCount[RM_Code],$A24,T_StockCount[WeekIndex],44),IF((COUNTIFS(T_SelfStock[RM_Code],$A24,T_SelfStock[WeekIndex],44)&gt;0)*(COUNTIFS(T_TTAFStock[RM_Code],$A24,T_TTAFStock[WeekIndex],44)&gt;0)&gt;0,SUMIFS(T_SelfStock[Self_Qty],T_SelfStock[RM_Code],$A24,T_SelfStock[WeekIndex],44)+SUMIFS(T_TTAFStock[TTAF_Qty],T_TTAFStock[RM_Code],$A24,T_TTAFStock[WeekIndex],44),AR24+'Grid_Incoming'!AS24-'Grid_Requirement'!AS24))</f>
        <v/>
      </c>
      <c r="AT24">
        <f>IF(COUNTIFS(T_StockCount[RM_Code],$A24,T_StockCount[WeekIndex],45)&gt;0,SUMIFS(T_StockCount[CountedQty],T_StockCount[RM_Code],$A24,T_StockCount[WeekIndex],45),IF((COUNTIFS(T_SelfStock[RM_Code],$A24,T_SelfStock[WeekIndex],45)&gt;0)*(COUNTIFS(T_TTAFStock[RM_Code],$A24,T_TTAFStock[WeekIndex],45)&gt;0)&gt;0,SUMIFS(T_SelfStock[Self_Qty],T_SelfStock[RM_Code],$A24,T_SelfStock[WeekIndex],45)+SUMIFS(T_TTAFStock[TTAF_Qty],T_TTAFStock[RM_Code],$A24,T_TTAFStock[WeekIndex],45),AS24+'Grid_Incoming'!AT24-'Grid_Requirement'!AT24))</f>
        <v/>
      </c>
      <c r="AU24">
        <f>IF(COUNTIFS(T_StockCount[RM_Code],$A24,T_StockCount[WeekIndex],46)&gt;0,SUMIFS(T_StockCount[CountedQty],T_StockCount[RM_Code],$A24,T_StockCount[WeekIndex],46),IF((COUNTIFS(T_SelfStock[RM_Code],$A24,T_SelfStock[WeekIndex],46)&gt;0)*(COUNTIFS(T_TTAFStock[RM_Code],$A24,T_TTAFStock[WeekIndex],46)&gt;0)&gt;0,SUMIFS(T_SelfStock[Self_Qty],T_SelfStock[RM_Code],$A24,T_SelfStock[WeekIndex],46)+SUMIFS(T_TTAFStock[TTAF_Qty],T_TTAFStock[RM_Code],$A24,T_TTAFStock[WeekIndex],46),AT24+'Grid_Incoming'!AU24-'Grid_Requirement'!AU24))</f>
        <v/>
      </c>
      <c r="AV24">
        <f>IF(COUNTIFS(T_StockCount[RM_Code],$A24,T_StockCount[WeekIndex],47)&gt;0,SUMIFS(T_StockCount[CountedQty],T_StockCount[RM_Code],$A24,T_StockCount[WeekIndex],47),IF((COUNTIFS(T_SelfStock[RM_Code],$A24,T_SelfStock[WeekIndex],47)&gt;0)*(COUNTIFS(T_TTAFStock[RM_Code],$A24,T_TTAFStock[WeekIndex],47)&gt;0)&gt;0,SUMIFS(T_SelfStock[Self_Qty],T_SelfStock[RM_Code],$A24,T_SelfStock[WeekIndex],47)+SUMIFS(T_TTAFStock[TTAF_Qty],T_TTAFStock[RM_Code],$A24,T_TTAFStock[WeekIndex],47),AU24+'Grid_Incoming'!AV24-'Grid_Requirement'!AV24))</f>
        <v/>
      </c>
      <c r="AW24">
        <f>IF(COUNTIFS(T_StockCount[RM_Code],$A24,T_StockCount[WeekIndex],48)&gt;0,SUMIFS(T_StockCount[CountedQty],T_StockCount[RM_Code],$A24,T_StockCount[WeekIndex],48),IF((COUNTIFS(T_SelfStock[RM_Code],$A24,T_SelfStock[WeekIndex],48)&gt;0)*(COUNTIFS(T_TTAFStock[RM_Code],$A24,T_TTAFStock[WeekIndex],48)&gt;0)&gt;0,SUMIFS(T_SelfStock[Self_Qty],T_SelfStock[RM_Code],$A24,T_SelfStock[WeekIndex],48)+SUMIFS(T_TTAFStock[TTAF_Qty],T_TTAFStock[RM_Code],$A24,T_TTAFStock[WeekIndex],48),AV24+'Grid_Incoming'!AW24-'Grid_Requirement'!AW24))</f>
        <v/>
      </c>
      <c r="AX24">
        <f>IF(COUNTIFS(T_StockCount[RM_Code],$A24,T_StockCount[WeekIndex],49)&gt;0,SUMIFS(T_StockCount[CountedQty],T_StockCount[RM_Code],$A24,T_StockCount[WeekIndex],49),IF((COUNTIFS(T_SelfStock[RM_Code],$A24,T_SelfStock[WeekIndex],49)&gt;0)*(COUNTIFS(T_TTAFStock[RM_Code],$A24,T_TTAFStock[WeekIndex],49)&gt;0)&gt;0,SUMIFS(T_SelfStock[Self_Qty],T_SelfStock[RM_Code],$A24,T_SelfStock[WeekIndex],49)+SUMIFS(T_TTAFStock[TTAF_Qty],T_TTAFStock[RM_Code],$A24,T_TTAFStock[WeekIndex],49),AW24+'Grid_Incoming'!AX24-'Grid_Requirement'!AX24))</f>
        <v/>
      </c>
      <c r="AY24">
        <f>IF(COUNTIFS(T_StockCount[RM_Code],$A24,T_StockCount[WeekIndex],50)&gt;0,SUMIFS(T_StockCount[CountedQty],T_StockCount[RM_Code],$A24,T_StockCount[WeekIndex],50),IF((COUNTIFS(T_SelfStock[RM_Code],$A24,T_SelfStock[WeekIndex],50)&gt;0)*(COUNTIFS(T_TTAFStock[RM_Code],$A24,T_TTAFStock[WeekIndex],50)&gt;0)&gt;0,SUMIFS(T_SelfStock[Self_Qty],T_SelfStock[RM_Code],$A24,T_SelfStock[WeekIndex],50)+SUMIFS(T_TTAFStock[TTAF_Qty],T_TTAFStock[RM_Code],$A24,T_TTAFStock[WeekIndex],50),AX24+'Grid_Incoming'!AY24-'Grid_Requirement'!AY24))</f>
        <v/>
      </c>
      <c r="AZ24">
        <f>IF(COUNTIFS(T_StockCount[RM_Code],$A24,T_StockCount[WeekIndex],51)&gt;0,SUMIFS(T_StockCount[CountedQty],T_StockCount[RM_Code],$A24,T_StockCount[WeekIndex],51),IF((COUNTIFS(T_SelfStock[RM_Code],$A24,T_SelfStock[WeekIndex],51)&gt;0)*(COUNTIFS(T_TTAFStock[RM_Code],$A24,T_TTAFStock[WeekIndex],51)&gt;0)&gt;0,SUMIFS(T_SelfStock[Self_Qty],T_SelfStock[RM_Code],$A24,T_SelfStock[WeekIndex],51)+SUMIFS(T_TTAFStock[TTAF_Qty],T_TTAFStock[RM_Code],$A24,T_TTAFStock[WeekIndex],51),AY24+'Grid_Incoming'!AZ24-'Grid_Requirement'!AZ24))</f>
        <v/>
      </c>
      <c r="BA24">
        <f>IF(COUNTIFS(T_StockCount[RM_Code],$A24,T_StockCount[WeekIndex],52)&gt;0,SUMIFS(T_StockCount[CountedQty],T_StockCount[RM_Code],$A24,T_StockCount[WeekIndex],52),IF((COUNTIFS(T_SelfStock[RM_Code],$A24,T_SelfStock[WeekIndex],52)&gt;0)*(COUNTIFS(T_TTAFStock[RM_Code],$A24,T_TTAFStock[WeekIndex],52)&gt;0)&gt;0,SUMIFS(T_SelfStock[Self_Qty],T_SelfStock[RM_Code],$A24,T_SelfStock[WeekIndex],52)+SUMIFS(T_TTAFStock[TTAF_Qty],T_TTAFStock[RM_Code],$A24,T_TTAFStock[WeekIndex],52),AZ24+'Grid_Incoming'!BA24-'Grid_Requirement'!BA24))</f>
        <v/>
      </c>
      <c r="BB24">
        <f>IF(COUNTIFS(T_StockCount[RM_Code],$A24,T_StockCount[WeekIndex],53)&gt;0,SUMIFS(T_StockCount[CountedQty],T_StockCount[RM_Code],$A24,T_StockCount[WeekIndex],53),IF((COUNTIFS(T_SelfStock[RM_Code],$A24,T_SelfStock[WeekIndex],53)&gt;0)*(COUNTIFS(T_TTAFStock[RM_Code],$A24,T_TTAFStock[WeekIndex],53)&gt;0)&gt;0,SUMIFS(T_SelfStock[Self_Qty],T_SelfStock[RM_Code],$A24,T_SelfStock[WeekIndex],53)+SUMIFS(T_TTAFStock[TTAF_Qty],T_TTAFStock[RM_Code],$A24,T_TTAFStock[WeekIndex],53),BA24+'Grid_Incoming'!BB24-'Grid_Requirement'!BB24))</f>
        <v/>
      </c>
      <c r="BC24">
        <f>IF(COUNTIFS(T_StockCount[RM_Code],$A24,T_StockCount[WeekIndex],54)&gt;0,SUMIFS(T_StockCount[CountedQty],T_StockCount[RM_Code],$A24,T_StockCount[WeekIndex],54),IF((COUNTIFS(T_SelfStock[RM_Code],$A24,T_SelfStock[WeekIndex],54)&gt;0)*(COUNTIFS(T_TTAFStock[RM_Code],$A24,T_TTAFStock[WeekIndex],54)&gt;0)&gt;0,SUMIFS(T_SelfStock[Self_Qty],T_SelfStock[RM_Code],$A24,T_SelfStock[WeekIndex],54)+SUMIFS(T_TTAFStock[TTAF_Qty],T_TTAFStock[RM_Code],$A24,T_TTAFStock[WeekIndex],54),BB24+'Grid_Incoming'!BC24-'Grid_Requirement'!BC24))</f>
        <v/>
      </c>
      <c r="BD24">
        <f>IF(COUNTIFS(T_StockCount[RM_Code],$A24,T_StockCount[WeekIndex],55)&gt;0,SUMIFS(T_StockCount[CountedQty],T_StockCount[RM_Code],$A24,T_StockCount[WeekIndex],55),IF((COUNTIFS(T_SelfStock[RM_Code],$A24,T_SelfStock[WeekIndex],55)&gt;0)*(COUNTIFS(T_TTAFStock[RM_Code],$A24,T_TTAFStock[WeekIndex],55)&gt;0)&gt;0,SUMIFS(T_SelfStock[Self_Qty],T_SelfStock[RM_Code],$A24,T_SelfStock[WeekIndex],55)+SUMIFS(T_TTAFStock[TTAF_Qty],T_TTAFStock[RM_Code],$A24,T_TTAFStock[WeekIndex],55),BC24+'Grid_Incoming'!BD24-'Grid_Requirement'!BD24))</f>
        <v/>
      </c>
      <c r="BE24">
        <f>IF(COUNTIFS(T_StockCount[RM_Code],$A24,T_StockCount[WeekIndex],56)&gt;0,SUMIFS(T_StockCount[CountedQty],T_StockCount[RM_Code],$A24,T_StockCount[WeekIndex],56),IF((COUNTIFS(T_SelfStock[RM_Code],$A24,T_SelfStock[WeekIndex],56)&gt;0)*(COUNTIFS(T_TTAFStock[RM_Code],$A24,T_TTAFStock[WeekIndex],56)&gt;0)&gt;0,SUMIFS(T_SelfStock[Self_Qty],T_SelfStock[RM_Code],$A24,T_SelfStock[WeekIndex],56)+SUMIFS(T_TTAFStock[TTAF_Qty],T_TTAFStock[RM_Code],$A24,T_TTAFStock[WeekIndex],56),BD24+'Grid_Incoming'!BE24-'Grid_Requirement'!BE24))</f>
        <v/>
      </c>
      <c r="BF24">
        <f>IF(COUNTIFS(T_StockCount[RM_Code],$A24,T_StockCount[WeekIndex],57)&gt;0,SUMIFS(T_StockCount[CountedQty],T_StockCount[RM_Code],$A24,T_StockCount[WeekIndex],57),IF((COUNTIFS(T_SelfStock[RM_Code],$A24,T_SelfStock[WeekIndex],57)&gt;0)*(COUNTIFS(T_TTAFStock[RM_Code],$A24,T_TTAFStock[WeekIndex],57)&gt;0)&gt;0,SUMIFS(T_SelfStock[Self_Qty],T_SelfStock[RM_Code],$A24,T_SelfStock[WeekIndex],57)+SUMIFS(T_TTAFStock[TTAF_Qty],T_TTAFStock[RM_Code],$A24,T_TTAFStock[WeekIndex],57),BE24+'Grid_Incoming'!BF24-'Grid_Requirement'!BF24))</f>
        <v/>
      </c>
      <c r="BG24">
        <f>IF(COUNTIFS(T_StockCount[RM_Code],$A24,T_StockCount[WeekIndex],58)&gt;0,SUMIFS(T_StockCount[CountedQty],T_StockCount[RM_Code],$A24,T_StockCount[WeekIndex],58),IF((COUNTIFS(T_SelfStock[RM_Code],$A24,T_SelfStock[WeekIndex],58)&gt;0)*(COUNTIFS(T_TTAFStock[RM_Code],$A24,T_TTAFStock[WeekIndex],58)&gt;0)&gt;0,SUMIFS(T_SelfStock[Self_Qty],T_SelfStock[RM_Code],$A24,T_SelfStock[WeekIndex],58)+SUMIFS(T_TTAFStock[TTAF_Qty],T_TTAFStock[RM_Code],$A24,T_TTAFStock[WeekIndex],58),BF24+'Grid_Incoming'!BG24-'Grid_Requirement'!BG24))</f>
        <v/>
      </c>
      <c r="BH24">
        <f>IF(COUNTIFS(T_StockCount[RM_Code],$A24,T_StockCount[WeekIndex],59)&gt;0,SUMIFS(T_StockCount[CountedQty],T_StockCount[RM_Code],$A24,T_StockCount[WeekIndex],59),IF((COUNTIFS(T_SelfStock[RM_Code],$A24,T_SelfStock[WeekIndex],59)&gt;0)*(COUNTIFS(T_TTAFStock[RM_Code],$A24,T_TTAFStock[WeekIndex],59)&gt;0)&gt;0,SUMIFS(T_SelfStock[Self_Qty],T_SelfStock[RM_Code],$A24,T_SelfStock[WeekIndex],59)+SUMIFS(T_TTAFStock[TTAF_Qty],T_TTAFStock[RM_Code],$A24,T_TTAFStock[WeekIndex],59),BG24+'Grid_Incoming'!BH24-'Grid_Requirement'!BH24))</f>
        <v/>
      </c>
      <c r="BI24">
        <f>IF(COUNTIFS(T_StockCount[RM_Code],$A24,T_StockCount[WeekIndex],60)&gt;0,SUMIFS(T_StockCount[CountedQty],T_StockCount[RM_Code],$A24,T_StockCount[WeekIndex],60),IF((COUNTIFS(T_SelfStock[RM_Code],$A24,T_SelfStock[WeekIndex],60)&gt;0)*(COUNTIFS(T_TTAFStock[RM_Code],$A24,T_TTAFStock[WeekIndex],60)&gt;0)&gt;0,SUMIFS(T_SelfStock[Self_Qty],T_SelfStock[RM_Code],$A24,T_SelfStock[WeekIndex],60)+SUMIFS(T_TTAFStock[TTAF_Qty],T_TTAFStock[RM_Code],$A24,T_TTAFStock[WeekIndex],60),BH24+'Grid_Incoming'!BI24-'Grid_Requirement'!BI24))</f>
        <v/>
      </c>
      <c r="BJ24">
        <f>IF(COUNTIFS(T_StockCount[RM_Code],$A24,T_StockCount[WeekIndex],61)&gt;0,SUMIFS(T_StockCount[CountedQty],T_StockCount[RM_Code],$A24,T_StockCount[WeekIndex],61),IF((COUNTIFS(T_SelfStock[RM_Code],$A24,T_SelfStock[WeekIndex],61)&gt;0)*(COUNTIFS(T_TTAFStock[RM_Code],$A24,T_TTAFStock[WeekIndex],61)&gt;0)&gt;0,SUMIFS(T_SelfStock[Self_Qty],T_SelfStock[RM_Code],$A24,T_SelfStock[WeekIndex],61)+SUMIFS(T_TTAFStock[TTAF_Qty],T_TTAFStock[RM_Code],$A24,T_TTAFStock[WeekIndex],61),BI24+'Grid_Incoming'!BJ24-'Grid_Requirement'!BJ24))</f>
        <v/>
      </c>
      <c r="BK24">
        <f>IF(COUNTIFS(T_StockCount[RM_Code],$A24,T_StockCount[WeekIndex],62)&gt;0,SUMIFS(T_StockCount[CountedQty],T_StockCount[RM_Code],$A24,T_StockCount[WeekIndex],62),IF((COUNTIFS(T_SelfStock[RM_Code],$A24,T_SelfStock[WeekIndex],62)&gt;0)*(COUNTIFS(T_TTAFStock[RM_Code],$A24,T_TTAFStock[WeekIndex],62)&gt;0)&gt;0,SUMIFS(T_SelfStock[Self_Qty],T_SelfStock[RM_Code],$A24,T_SelfStock[WeekIndex],62)+SUMIFS(T_TTAFStock[TTAF_Qty],T_TTAFStock[RM_Code],$A24,T_TTAFStock[WeekIndex],62),BJ24+'Grid_Incoming'!BK24-'Grid_Requirement'!BK24))</f>
        <v/>
      </c>
      <c r="BL24">
        <f>IF(COUNTIFS(T_StockCount[RM_Code],$A24,T_StockCount[WeekIndex],63)&gt;0,SUMIFS(T_StockCount[CountedQty],T_StockCount[RM_Code],$A24,T_StockCount[WeekIndex],63),IF((COUNTIFS(T_SelfStock[RM_Code],$A24,T_SelfStock[WeekIndex],63)&gt;0)*(COUNTIFS(T_TTAFStock[RM_Code],$A24,T_TTAFStock[WeekIndex],63)&gt;0)&gt;0,SUMIFS(T_SelfStock[Self_Qty],T_SelfStock[RM_Code],$A24,T_SelfStock[WeekIndex],63)+SUMIFS(T_TTAFStock[TTAF_Qty],T_TTAFStock[RM_Code],$A24,T_TTAFStock[WeekIndex],63),BK24+'Grid_Incoming'!BL24-'Grid_Requirement'!BL24))</f>
        <v/>
      </c>
      <c r="BM24">
        <f>IF(COUNTIFS(T_StockCount[RM_Code],$A24,T_StockCount[WeekIndex],64)&gt;0,SUMIFS(T_StockCount[CountedQty],T_StockCount[RM_Code],$A24,T_StockCount[WeekIndex],64),IF((COUNTIFS(T_SelfStock[RM_Code],$A24,T_SelfStock[WeekIndex],64)&gt;0)*(COUNTIFS(T_TTAFStock[RM_Code],$A24,T_TTAFStock[WeekIndex],64)&gt;0)&gt;0,SUMIFS(T_SelfStock[Self_Qty],T_SelfStock[RM_Code],$A24,T_SelfStock[WeekIndex],64)+SUMIFS(T_TTAFStock[TTAF_Qty],T_TTAFStock[RM_Code],$A24,T_TTAFStock[WeekIndex],64),BL24+'Grid_Incoming'!BM24-'Grid_Requirement'!BM24))</f>
        <v/>
      </c>
      <c r="BN24">
        <f>IF(COUNTIFS(T_StockCount[RM_Code],$A24,T_StockCount[WeekIndex],65)&gt;0,SUMIFS(T_StockCount[CountedQty],T_StockCount[RM_Code],$A24,T_StockCount[WeekIndex],65),IF((COUNTIFS(T_SelfStock[RM_Code],$A24,T_SelfStock[WeekIndex],65)&gt;0)*(COUNTIFS(T_TTAFStock[RM_Code],$A24,T_TTAFStock[WeekIndex],65)&gt;0)&gt;0,SUMIFS(T_SelfStock[Self_Qty],T_SelfStock[RM_Code],$A24,T_SelfStock[WeekIndex],65)+SUMIFS(T_TTAFStock[TTAF_Qty],T_TTAFStock[RM_Code],$A24,T_TTAFStock[WeekIndex],65),BM24+'Grid_Incoming'!BN24-'Grid_Requirement'!BN24))</f>
        <v/>
      </c>
      <c r="BO24">
        <f>IF(COUNTIFS(T_StockCount[RM_Code],$A24,T_StockCount[WeekIndex],66)&gt;0,SUMIFS(T_StockCount[CountedQty],T_StockCount[RM_Code],$A24,T_StockCount[WeekIndex],66),IF((COUNTIFS(T_SelfStock[RM_Code],$A24,T_SelfStock[WeekIndex],66)&gt;0)*(COUNTIFS(T_TTAFStock[RM_Code],$A24,T_TTAFStock[WeekIndex],66)&gt;0)&gt;0,SUMIFS(T_SelfStock[Self_Qty],T_SelfStock[RM_Code],$A24,T_SelfStock[WeekIndex],66)+SUMIFS(T_TTAFStock[TTAF_Qty],T_TTAFStock[RM_Code],$A24,T_TTAFStock[WeekIndex],66),BN24+'Grid_Incoming'!BO24-'Grid_Requirement'!BO24))</f>
        <v/>
      </c>
      <c r="BP24">
        <f>IF(COUNTIFS(T_StockCount[RM_Code],$A24,T_StockCount[WeekIndex],67)&gt;0,SUMIFS(T_StockCount[CountedQty],T_StockCount[RM_Code],$A24,T_StockCount[WeekIndex],67),IF((COUNTIFS(T_SelfStock[RM_Code],$A24,T_SelfStock[WeekIndex],67)&gt;0)*(COUNTIFS(T_TTAFStock[RM_Code],$A24,T_TTAFStock[WeekIndex],67)&gt;0)&gt;0,SUMIFS(T_SelfStock[Self_Qty],T_SelfStock[RM_Code],$A24,T_SelfStock[WeekIndex],67)+SUMIFS(T_TTAFStock[TTAF_Qty],T_TTAFStock[RM_Code],$A24,T_TTAFStock[WeekIndex],67),BO24+'Grid_Incoming'!BP24-'Grid_Requirement'!BP24))</f>
        <v/>
      </c>
      <c r="BQ24">
        <f>IF(COUNTIFS(T_StockCount[RM_Code],$A24,T_StockCount[WeekIndex],68)&gt;0,SUMIFS(T_StockCount[CountedQty],T_StockCount[RM_Code],$A24,T_StockCount[WeekIndex],68),IF((COUNTIFS(T_SelfStock[RM_Code],$A24,T_SelfStock[WeekIndex],68)&gt;0)*(COUNTIFS(T_TTAFStock[RM_Code],$A24,T_TTAFStock[WeekIndex],68)&gt;0)&gt;0,SUMIFS(T_SelfStock[Self_Qty],T_SelfStock[RM_Code],$A24,T_SelfStock[WeekIndex],68)+SUMIFS(T_TTAFStock[TTAF_Qty],T_TTAFStock[RM_Code],$A24,T_TTAFStock[WeekIndex],68),BP24+'Grid_Incoming'!BQ24-'Grid_Requirement'!BQ24))</f>
        <v/>
      </c>
      <c r="BR24">
        <f>IF(COUNTIFS(T_StockCount[RM_Code],$A24,T_StockCount[WeekIndex],69)&gt;0,SUMIFS(T_StockCount[CountedQty],T_StockCount[RM_Code],$A24,T_StockCount[WeekIndex],69),IF((COUNTIFS(T_SelfStock[RM_Code],$A24,T_SelfStock[WeekIndex],69)&gt;0)*(COUNTIFS(T_TTAFStock[RM_Code],$A24,T_TTAFStock[WeekIndex],69)&gt;0)&gt;0,SUMIFS(T_SelfStock[Self_Qty],T_SelfStock[RM_Code],$A24,T_SelfStock[WeekIndex],69)+SUMIFS(T_TTAFStock[TTAF_Qty],T_TTAFStock[RM_Code],$A24,T_TTAFStock[WeekIndex],69),BQ24+'Grid_Incoming'!BR24-'Grid_Requirement'!BR24))</f>
        <v/>
      </c>
      <c r="BS24">
        <f>IF(COUNTIFS(T_StockCount[RM_Code],$A24,T_StockCount[WeekIndex],70)&gt;0,SUMIFS(T_StockCount[CountedQty],T_StockCount[RM_Code],$A24,T_StockCount[WeekIndex],70),IF((COUNTIFS(T_SelfStock[RM_Code],$A24,T_SelfStock[WeekIndex],70)&gt;0)*(COUNTIFS(T_TTAFStock[RM_Code],$A24,T_TTAFStock[WeekIndex],70)&gt;0)&gt;0,SUMIFS(T_SelfStock[Self_Qty],T_SelfStock[RM_Code],$A24,T_SelfStock[WeekIndex],70)+SUMIFS(T_TTAFStock[TTAF_Qty],T_TTAFStock[RM_Code],$A24,T_TTAFStock[WeekIndex],70),BR24+'Grid_Incoming'!BS24-'Grid_Requirement'!BS24))</f>
        <v/>
      </c>
      <c r="BT24">
        <f>IF(COUNTIFS(T_StockCount[RM_Code],$A24,T_StockCount[WeekIndex],71)&gt;0,SUMIFS(T_StockCount[CountedQty],T_StockCount[RM_Code],$A24,T_StockCount[WeekIndex],71),IF((COUNTIFS(T_SelfStock[RM_Code],$A24,T_SelfStock[WeekIndex],71)&gt;0)*(COUNTIFS(T_TTAFStock[RM_Code],$A24,T_TTAFStock[WeekIndex],71)&gt;0)&gt;0,SUMIFS(T_SelfStock[Self_Qty],T_SelfStock[RM_Code],$A24,T_SelfStock[WeekIndex],71)+SUMIFS(T_TTAFStock[TTAF_Qty],T_TTAFStock[RM_Code],$A24,T_TTAFStock[WeekIndex],71),BS24+'Grid_Incoming'!BT24-'Grid_Requirement'!BT24))</f>
        <v/>
      </c>
      <c r="BU24">
        <f>IF(COUNTIFS(T_StockCount[RM_Code],$A24,T_StockCount[WeekIndex],72)&gt;0,SUMIFS(T_StockCount[CountedQty],T_StockCount[RM_Code],$A24,T_StockCount[WeekIndex],72),IF((COUNTIFS(T_SelfStock[RM_Code],$A24,T_SelfStock[WeekIndex],72)&gt;0)*(COUNTIFS(T_TTAFStock[RM_Code],$A24,T_TTAFStock[WeekIndex],72)&gt;0)&gt;0,SUMIFS(T_SelfStock[Self_Qty],T_SelfStock[RM_Code],$A24,T_SelfStock[WeekIndex],72)+SUMIFS(T_TTAFStock[TTAF_Qty],T_TTAFStock[RM_Code],$A24,T_TTAFStock[WeekIndex],72),BT24+'Grid_Incoming'!BU24-'Grid_Requirement'!BU24))</f>
        <v/>
      </c>
      <c r="BV24">
        <f>IF(COUNTIFS(T_StockCount[RM_Code],$A24,T_StockCount[WeekIndex],73)&gt;0,SUMIFS(T_StockCount[CountedQty],T_StockCount[RM_Code],$A24,T_StockCount[WeekIndex],73),IF((COUNTIFS(T_SelfStock[RM_Code],$A24,T_SelfStock[WeekIndex],73)&gt;0)*(COUNTIFS(T_TTAFStock[RM_Code],$A24,T_TTAFStock[WeekIndex],73)&gt;0)&gt;0,SUMIFS(T_SelfStock[Self_Qty],T_SelfStock[RM_Code],$A24,T_SelfStock[WeekIndex],73)+SUMIFS(T_TTAFStock[TTAF_Qty],T_TTAFStock[RM_Code],$A24,T_TTAFStock[WeekIndex],73),BU24+'Grid_Incoming'!BV24-'Grid_Requirement'!BV24))</f>
        <v/>
      </c>
      <c r="BW24">
        <f>IF(COUNTIFS(T_StockCount[RM_Code],$A24,T_StockCount[WeekIndex],74)&gt;0,SUMIFS(T_StockCount[CountedQty],T_StockCount[RM_Code],$A24,T_StockCount[WeekIndex],74),IF((COUNTIFS(T_SelfStock[RM_Code],$A24,T_SelfStock[WeekIndex],74)&gt;0)*(COUNTIFS(T_TTAFStock[RM_Code],$A24,T_TTAFStock[WeekIndex],74)&gt;0)&gt;0,SUMIFS(T_SelfStock[Self_Qty],T_SelfStock[RM_Code],$A24,T_SelfStock[WeekIndex],74)+SUMIFS(T_TTAFStock[TTAF_Qty],T_TTAFStock[RM_Code],$A24,T_TTAFStock[WeekIndex],74),BV24+'Grid_Incoming'!BW24-'Grid_Requirement'!BW24))</f>
        <v/>
      </c>
      <c r="BX24">
        <f>IF(COUNTIFS(T_StockCount[RM_Code],$A24,T_StockCount[WeekIndex],75)&gt;0,SUMIFS(T_StockCount[CountedQty],T_StockCount[RM_Code],$A24,T_StockCount[WeekIndex],75),IF((COUNTIFS(T_SelfStock[RM_Code],$A24,T_SelfStock[WeekIndex],75)&gt;0)*(COUNTIFS(T_TTAFStock[RM_Code],$A24,T_TTAFStock[WeekIndex],75)&gt;0)&gt;0,SUMIFS(T_SelfStock[Self_Qty],T_SelfStock[RM_Code],$A24,T_SelfStock[WeekIndex],75)+SUMIFS(T_TTAFStock[TTAF_Qty],T_TTAFStock[RM_Code],$A24,T_TTAFStock[WeekIndex],75),BW24+'Grid_Incoming'!BX24-'Grid_Requirement'!BX24))</f>
        <v/>
      </c>
      <c r="BY24">
        <f>IF(COUNTIFS(T_StockCount[RM_Code],$A24,T_StockCount[WeekIndex],76)&gt;0,SUMIFS(T_StockCount[CountedQty],T_StockCount[RM_Code],$A24,T_StockCount[WeekIndex],76),IF((COUNTIFS(T_SelfStock[RM_Code],$A24,T_SelfStock[WeekIndex],76)&gt;0)*(COUNTIFS(T_TTAFStock[RM_Code],$A24,T_TTAFStock[WeekIndex],76)&gt;0)&gt;0,SUMIFS(T_SelfStock[Self_Qty],T_SelfStock[RM_Code],$A24,T_SelfStock[WeekIndex],76)+SUMIFS(T_TTAFStock[TTAF_Qty],T_TTAFStock[RM_Code],$A24,T_TTAFStock[WeekIndex],76),BX24+'Grid_Incoming'!BY24-'Grid_Requirement'!BY24))</f>
        <v/>
      </c>
      <c r="BZ24">
        <f>IF(COUNTIFS(T_StockCount[RM_Code],$A24,T_StockCount[WeekIndex],77)&gt;0,SUMIFS(T_StockCount[CountedQty],T_StockCount[RM_Code],$A24,T_StockCount[WeekIndex],77),IF((COUNTIFS(T_SelfStock[RM_Code],$A24,T_SelfStock[WeekIndex],77)&gt;0)*(COUNTIFS(T_TTAFStock[RM_Code],$A24,T_TTAFStock[WeekIndex],77)&gt;0)&gt;0,SUMIFS(T_SelfStock[Self_Qty],T_SelfStock[RM_Code],$A24,T_SelfStock[WeekIndex],77)+SUMIFS(T_TTAFStock[TTAF_Qty],T_TTAFStock[RM_Code],$A24,T_TTAFStock[WeekIndex],77),BY24+'Grid_Incoming'!BZ24-'Grid_Requirement'!BZ24))</f>
        <v/>
      </c>
      <c r="CA24">
        <f>IF(COUNTIFS(T_StockCount[RM_Code],$A24,T_StockCount[WeekIndex],78)&gt;0,SUMIFS(T_StockCount[CountedQty],T_StockCount[RM_Code],$A24,T_StockCount[WeekIndex],78),IF((COUNTIFS(T_SelfStock[RM_Code],$A24,T_SelfStock[WeekIndex],78)&gt;0)*(COUNTIFS(T_TTAFStock[RM_Code],$A24,T_TTAFStock[WeekIndex],78)&gt;0)&gt;0,SUMIFS(T_SelfStock[Self_Qty],T_SelfStock[RM_Code],$A24,T_SelfStock[WeekIndex],78)+SUMIFS(T_TTAFStock[TTAF_Qty],T_TTAFStock[RM_Code],$A24,T_TTAFStock[WeekIndex],78),BZ24+'Grid_Incoming'!CA24-'Grid_Requirement'!CA24))</f>
        <v/>
      </c>
      <c r="CB24">
        <f>IF(COUNTIFS(T_StockCount[RM_Code],$A24,T_StockCount[WeekIndex],79)&gt;0,SUMIFS(T_StockCount[CountedQty],T_StockCount[RM_Code],$A24,T_StockCount[WeekIndex],79),IF((COUNTIFS(T_SelfStock[RM_Code],$A24,T_SelfStock[WeekIndex],79)&gt;0)*(COUNTIFS(T_TTAFStock[RM_Code],$A24,T_TTAFStock[WeekIndex],79)&gt;0)&gt;0,SUMIFS(T_SelfStock[Self_Qty],T_SelfStock[RM_Code],$A24,T_SelfStock[WeekIndex],79)+SUMIFS(T_TTAFStock[TTAF_Qty],T_TTAFStock[RM_Code],$A24,T_TTAFStock[WeekIndex],79),CA24+'Grid_Incoming'!CB24-'Grid_Requirement'!CB24))</f>
        <v/>
      </c>
      <c r="CC24">
        <f>IF(COUNTIFS(T_StockCount[RM_Code],$A24,T_StockCount[WeekIndex],80)&gt;0,SUMIFS(T_StockCount[CountedQty],T_StockCount[RM_Code],$A24,T_StockCount[WeekIndex],80),IF((COUNTIFS(T_SelfStock[RM_Code],$A24,T_SelfStock[WeekIndex],80)&gt;0)*(COUNTIFS(T_TTAFStock[RM_Code],$A24,T_TTAFStock[WeekIndex],80)&gt;0)&gt;0,SUMIFS(T_SelfStock[Self_Qty],T_SelfStock[RM_Code],$A24,T_SelfStock[WeekIndex],80)+SUMIFS(T_TTAFStock[TTAF_Qty],T_TTAFStock[RM_Code],$A24,T_TTAFStock[WeekIndex],80),CB24+'Grid_Incoming'!CC24-'Grid_Requirement'!CC24))</f>
        <v/>
      </c>
      <c r="CD24">
        <f>IF(COUNTIFS(T_StockCount[RM_Code],$A24,T_StockCount[WeekIndex],81)&gt;0,SUMIFS(T_StockCount[CountedQty],T_StockCount[RM_Code],$A24,T_StockCount[WeekIndex],81),IF((COUNTIFS(T_SelfStock[RM_Code],$A24,T_SelfStock[WeekIndex],81)&gt;0)*(COUNTIFS(T_TTAFStock[RM_Code],$A24,T_TTAFStock[WeekIndex],81)&gt;0)&gt;0,SUMIFS(T_SelfStock[Self_Qty],T_SelfStock[RM_Code],$A24,T_SelfStock[WeekIndex],81)+SUMIFS(T_TTAFStock[TTAF_Qty],T_TTAFStock[RM_Code],$A24,T_TTAFStock[WeekIndex],81),CC24+'Grid_Incoming'!CD24-'Grid_Requirement'!CD24))</f>
        <v/>
      </c>
      <c r="CE24">
        <f>IF(COUNTIFS(T_StockCount[RM_Code],$A24,T_StockCount[WeekIndex],82)&gt;0,SUMIFS(T_StockCount[CountedQty],T_StockCount[RM_Code],$A24,T_StockCount[WeekIndex],82),IF((COUNTIFS(T_SelfStock[RM_Code],$A24,T_SelfStock[WeekIndex],82)&gt;0)*(COUNTIFS(T_TTAFStock[RM_Code],$A24,T_TTAFStock[WeekIndex],82)&gt;0)&gt;0,SUMIFS(T_SelfStock[Self_Qty],T_SelfStock[RM_Code],$A24,T_SelfStock[WeekIndex],82)+SUMIFS(T_TTAFStock[TTAF_Qty],T_TTAFStock[RM_Code],$A24,T_TTAFStock[WeekIndex],82),CD24+'Grid_Incoming'!CE24-'Grid_Requirement'!CE24))</f>
        <v/>
      </c>
      <c r="CF24">
        <f>IF(COUNTIFS(T_StockCount[RM_Code],$A24,T_StockCount[WeekIndex],83)&gt;0,SUMIFS(T_StockCount[CountedQty],T_StockCount[RM_Code],$A24,T_StockCount[WeekIndex],83),IF((COUNTIFS(T_SelfStock[RM_Code],$A24,T_SelfStock[WeekIndex],83)&gt;0)*(COUNTIFS(T_TTAFStock[RM_Code],$A24,T_TTAFStock[WeekIndex],83)&gt;0)&gt;0,SUMIFS(T_SelfStock[Self_Qty],T_SelfStock[RM_Code],$A24,T_SelfStock[WeekIndex],83)+SUMIFS(T_TTAFStock[TTAF_Qty],T_TTAFStock[RM_Code],$A24,T_TTAFStock[WeekIndex],83),CE24+'Grid_Incoming'!CF24-'Grid_Requirement'!CF24))</f>
        <v/>
      </c>
      <c r="CG24">
        <f>IF(COUNTIFS(T_StockCount[RM_Code],$A24,T_StockCount[WeekIndex],84)&gt;0,SUMIFS(T_StockCount[CountedQty],T_StockCount[RM_Code],$A24,T_StockCount[WeekIndex],84),IF((COUNTIFS(T_SelfStock[RM_Code],$A24,T_SelfStock[WeekIndex],84)&gt;0)*(COUNTIFS(T_TTAFStock[RM_Code],$A24,T_TTAFStock[WeekIndex],84)&gt;0)&gt;0,SUMIFS(T_SelfStock[Self_Qty],T_SelfStock[RM_Code],$A24,T_SelfStock[WeekIndex],84)+SUMIFS(T_TTAFStock[TTAF_Qty],T_TTAFStock[RM_Code],$A24,T_TTAFStock[WeekIndex],84),CF24+'Grid_Incoming'!CG24-'Grid_Requirement'!CG24))</f>
        <v/>
      </c>
      <c r="CH24">
        <f>IF(COUNTIFS(T_StockCount[RM_Code],$A24,T_StockCount[WeekIndex],85)&gt;0,SUMIFS(T_StockCount[CountedQty],T_StockCount[RM_Code],$A24,T_StockCount[WeekIndex],85),IF((COUNTIFS(T_SelfStock[RM_Code],$A24,T_SelfStock[WeekIndex],85)&gt;0)*(COUNTIFS(T_TTAFStock[RM_Code],$A24,T_TTAFStock[WeekIndex],85)&gt;0)&gt;0,SUMIFS(T_SelfStock[Self_Qty],T_SelfStock[RM_Code],$A24,T_SelfStock[WeekIndex],85)+SUMIFS(T_TTAFStock[TTAF_Qty],T_TTAFStock[RM_Code],$A24,T_TTAFStock[WeekIndex],85),CG24+'Grid_Incoming'!CH24-'Grid_Requirement'!CH24))</f>
        <v/>
      </c>
      <c r="CI24">
        <f>IF(COUNTIFS(T_StockCount[RM_Code],$A24,T_StockCount[WeekIndex],86)&gt;0,SUMIFS(T_StockCount[CountedQty],T_StockCount[RM_Code],$A24,T_StockCount[WeekIndex],86),IF((COUNTIFS(T_SelfStock[RM_Code],$A24,T_SelfStock[WeekIndex],86)&gt;0)*(COUNTIFS(T_TTAFStock[RM_Code],$A24,T_TTAFStock[WeekIndex],86)&gt;0)&gt;0,SUMIFS(T_SelfStock[Self_Qty],T_SelfStock[RM_Code],$A24,T_SelfStock[WeekIndex],86)+SUMIFS(T_TTAFStock[TTAF_Qty],T_TTAFStock[RM_Code],$A24,T_TTAFStock[WeekIndex],86),CH24+'Grid_Incoming'!CI24-'Grid_Requirement'!CI24))</f>
        <v/>
      </c>
      <c r="CJ24">
        <f>IF(COUNTIFS(T_StockCount[RM_Code],$A24,T_StockCount[WeekIndex],87)&gt;0,SUMIFS(T_StockCount[CountedQty],T_StockCount[RM_Code],$A24,T_StockCount[WeekIndex],87),IF((COUNTIFS(T_SelfStock[RM_Code],$A24,T_SelfStock[WeekIndex],87)&gt;0)*(COUNTIFS(T_TTAFStock[RM_Code],$A24,T_TTAFStock[WeekIndex],87)&gt;0)&gt;0,SUMIFS(T_SelfStock[Self_Qty],T_SelfStock[RM_Code],$A24,T_SelfStock[WeekIndex],87)+SUMIFS(T_TTAFStock[TTAF_Qty],T_TTAFStock[RM_Code],$A24,T_TTAFStock[WeekIndex],87),CI24+'Grid_Incoming'!CJ24-'Grid_Requirement'!CJ24))</f>
        <v/>
      </c>
      <c r="CK24">
        <f>IF(COUNTIFS(T_StockCount[RM_Code],$A24,T_StockCount[WeekIndex],88)&gt;0,SUMIFS(T_StockCount[CountedQty],T_StockCount[RM_Code],$A24,T_StockCount[WeekIndex],88),IF((COUNTIFS(T_SelfStock[RM_Code],$A24,T_SelfStock[WeekIndex],88)&gt;0)*(COUNTIFS(T_TTAFStock[RM_Code],$A24,T_TTAFStock[WeekIndex],88)&gt;0)&gt;0,SUMIFS(T_SelfStock[Self_Qty],T_SelfStock[RM_Code],$A24,T_SelfStock[WeekIndex],88)+SUMIFS(T_TTAFStock[TTAF_Qty],T_TTAFStock[RM_Code],$A24,T_TTAFStock[WeekIndex],88),CJ24+'Grid_Incoming'!CK24-'Grid_Requirement'!CK24))</f>
        <v/>
      </c>
      <c r="CL24">
        <f>IF(COUNTIFS(T_StockCount[RM_Code],$A24,T_StockCount[WeekIndex],89)&gt;0,SUMIFS(T_StockCount[CountedQty],T_StockCount[RM_Code],$A24,T_StockCount[WeekIndex],89),IF((COUNTIFS(T_SelfStock[RM_Code],$A24,T_SelfStock[WeekIndex],89)&gt;0)*(COUNTIFS(T_TTAFStock[RM_Code],$A24,T_TTAFStock[WeekIndex],89)&gt;0)&gt;0,SUMIFS(T_SelfStock[Self_Qty],T_SelfStock[RM_Code],$A24,T_SelfStock[WeekIndex],89)+SUMIFS(T_TTAFStock[TTAF_Qty],T_TTAFStock[RM_Code],$A24,T_TTAFStock[WeekIndex],89),CK24+'Grid_Incoming'!CL24-'Grid_Requirement'!CL24))</f>
        <v/>
      </c>
      <c r="CM24">
        <f>IF(COUNTIFS(T_StockCount[RM_Code],$A24,T_StockCount[WeekIndex],90)&gt;0,SUMIFS(T_StockCount[CountedQty],T_StockCount[RM_Code],$A24,T_StockCount[WeekIndex],90),IF((COUNTIFS(T_SelfStock[RM_Code],$A24,T_SelfStock[WeekIndex],90)&gt;0)*(COUNTIFS(T_TTAFStock[RM_Code],$A24,T_TTAFStock[WeekIndex],90)&gt;0)&gt;0,SUMIFS(T_SelfStock[Self_Qty],T_SelfStock[RM_Code],$A24,T_SelfStock[WeekIndex],90)+SUMIFS(T_TTAFStock[TTAF_Qty],T_TTAFStock[RM_Code],$A24,T_TTAFStock[WeekIndex],90),CL24+'Grid_Incoming'!CM24-'Grid_Requirement'!CM24))</f>
        <v/>
      </c>
      <c r="CN24">
        <f>IF(COUNTIFS(T_StockCount[RM_Code],$A24,T_StockCount[WeekIndex],91)&gt;0,SUMIFS(T_StockCount[CountedQty],T_StockCount[RM_Code],$A24,T_StockCount[WeekIndex],91),IF((COUNTIFS(T_SelfStock[RM_Code],$A24,T_SelfStock[WeekIndex],91)&gt;0)*(COUNTIFS(T_TTAFStock[RM_Code],$A24,T_TTAFStock[WeekIndex],91)&gt;0)&gt;0,SUMIFS(T_SelfStock[Self_Qty],T_SelfStock[RM_Code],$A24,T_SelfStock[WeekIndex],91)+SUMIFS(T_TTAFStock[TTAF_Qty],T_TTAFStock[RM_Code],$A24,T_TTAFStock[WeekIndex],91),CM24+'Grid_Incoming'!CN24-'Grid_Requirement'!CN24))</f>
        <v/>
      </c>
      <c r="CO24">
        <f>IF(COUNTIFS(T_StockCount[RM_Code],$A24,T_StockCount[WeekIndex],92)&gt;0,SUMIFS(T_StockCount[CountedQty],T_StockCount[RM_Code],$A24,T_StockCount[WeekIndex],92),IF((COUNTIFS(T_SelfStock[RM_Code],$A24,T_SelfStock[WeekIndex],92)&gt;0)*(COUNTIFS(T_TTAFStock[RM_Code],$A24,T_TTAFStock[WeekIndex],92)&gt;0)&gt;0,SUMIFS(T_SelfStock[Self_Qty],T_SelfStock[RM_Code],$A24,T_SelfStock[WeekIndex],92)+SUMIFS(T_TTAFStock[TTAF_Qty],T_TTAFStock[RM_Code],$A24,T_TTAFStock[WeekIndex],92),CN24+'Grid_Incoming'!CO24-'Grid_Requirement'!CO24))</f>
        <v/>
      </c>
      <c r="CP24">
        <f>IF(COUNTIFS(T_StockCount[RM_Code],$A24,T_StockCount[WeekIndex],93)&gt;0,SUMIFS(T_StockCount[CountedQty],T_StockCount[RM_Code],$A24,T_StockCount[WeekIndex],93),IF((COUNTIFS(T_SelfStock[RM_Code],$A24,T_SelfStock[WeekIndex],93)&gt;0)*(COUNTIFS(T_TTAFStock[RM_Code],$A24,T_TTAFStock[WeekIndex],93)&gt;0)&gt;0,SUMIFS(T_SelfStock[Self_Qty],T_SelfStock[RM_Code],$A24,T_SelfStock[WeekIndex],93)+SUMIFS(T_TTAFStock[TTAF_Qty],T_TTAFStock[RM_Code],$A24,T_TTAFStock[WeekIndex],93),CO24+'Grid_Incoming'!CP24-'Grid_Requirement'!CP24))</f>
        <v/>
      </c>
      <c r="CQ24">
        <f>IF(COUNTIFS(T_StockCount[RM_Code],$A24,T_StockCount[WeekIndex],94)&gt;0,SUMIFS(T_StockCount[CountedQty],T_StockCount[RM_Code],$A24,T_StockCount[WeekIndex],94),IF((COUNTIFS(T_SelfStock[RM_Code],$A24,T_SelfStock[WeekIndex],94)&gt;0)*(COUNTIFS(T_TTAFStock[RM_Code],$A24,T_TTAFStock[WeekIndex],94)&gt;0)&gt;0,SUMIFS(T_SelfStock[Self_Qty],T_SelfStock[RM_Code],$A24,T_SelfStock[WeekIndex],94)+SUMIFS(T_TTAFStock[TTAF_Qty],T_TTAFStock[RM_Code],$A24,T_TTAFStock[WeekIndex],94),CP24+'Grid_Incoming'!CQ24-'Grid_Requirement'!CQ24))</f>
        <v/>
      </c>
      <c r="CR24">
        <f>IF(COUNTIFS(T_StockCount[RM_Code],$A24,T_StockCount[WeekIndex],95)&gt;0,SUMIFS(T_StockCount[CountedQty],T_StockCount[RM_Code],$A24,T_StockCount[WeekIndex],95),IF((COUNTIFS(T_SelfStock[RM_Code],$A24,T_SelfStock[WeekIndex],95)&gt;0)*(COUNTIFS(T_TTAFStock[RM_Code],$A24,T_TTAFStock[WeekIndex],95)&gt;0)&gt;0,SUMIFS(T_SelfStock[Self_Qty],T_SelfStock[RM_Code],$A24,T_SelfStock[WeekIndex],95)+SUMIFS(T_TTAFStock[TTAF_Qty],T_TTAFStock[RM_Code],$A24,T_TTAFStock[WeekIndex],95),CQ24+'Grid_Incoming'!CR24-'Grid_Requirement'!CR24))</f>
        <v/>
      </c>
      <c r="CS24">
        <f>IF(COUNTIFS(T_StockCount[RM_Code],$A24,T_StockCount[WeekIndex],96)&gt;0,SUMIFS(T_StockCount[CountedQty],T_StockCount[RM_Code],$A24,T_StockCount[WeekIndex],96),IF((COUNTIFS(T_SelfStock[RM_Code],$A24,T_SelfStock[WeekIndex],96)&gt;0)*(COUNTIFS(T_TTAFStock[RM_Code],$A24,T_TTAFStock[WeekIndex],96)&gt;0)&gt;0,SUMIFS(T_SelfStock[Self_Qty],T_SelfStock[RM_Code],$A24,T_SelfStock[WeekIndex],96)+SUMIFS(T_TTAFStock[TTAF_Qty],T_TTAFStock[RM_Code],$A24,T_TTAFStock[WeekIndex],96),CR24+'Grid_Incoming'!CS24-'Grid_Requirement'!CS24))</f>
        <v/>
      </c>
      <c r="CT24">
        <f>IF(COUNTIFS(T_StockCount[RM_Code],$A24,T_StockCount[WeekIndex],97)&gt;0,SUMIFS(T_StockCount[CountedQty],T_StockCount[RM_Code],$A24,T_StockCount[WeekIndex],97),IF((COUNTIFS(T_SelfStock[RM_Code],$A24,T_SelfStock[WeekIndex],97)&gt;0)*(COUNTIFS(T_TTAFStock[RM_Code],$A24,T_TTAFStock[WeekIndex],97)&gt;0)&gt;0,SUMIFS(T_SelfStock[Self_Qty],T_SelfStock[RM_Code],$A24,T_SelfStock[WeekIndex],97)+SUMIFS(T_TTAFStock[TTAF_Qty],T_TTAFStock[RM_Code],$A24,T_TTAFStock[WeekIndex],97),CS24+'Grid_Incoming'!CT24-'Grid_Requirement'!CT24))</f>
        <v/>
      </c>
      <c r="CU24">
        <f>IF(COUNTIFS(T_StockCount[RM_Code],$A24,T_StockCount[WeekIndex],98)&gt;0,SUMIFS(T_StockCount[CountedQty],T_StockCount[RM_Code],$A24,T_StockCount[WeekIndex],98),IF((COUNTIFS(T_SelfStock[RM_Code],$A24,T_SelfStock[WeekIndex],98)&gt;0)*(COUNTIFS(T_TTAFStock[RM_Code],$A24,T_TTAFStock[WeekIndex],98)&gt;0)&gt;0,SUMIFS(T_SelfStock[Self_Qty],T_SelfStock[RM_Code],$A24,T_SelfStock[WeekIndex],98)+SUMIFS(T_TTAFStock[TTAF_Qty],T_TTAFStock[RM_Code],$A24,T_TTAFStock[WeekIndex],98),CT24+'Grid_Incoming'!CU24-'Grid_Requirement'!CU24))</f>
        <v/>
      </c>
      <c r="CV24">
        <f>IF(COUNTIFS(T_StockCount[RM_Code],$A24,T_StockCount[WeekIndex],99)&gt;0,SUMIFS(T_StockCount[CountedQty],T_StockCount[RM_Code],$A24,T_StockCount[WeekIndex],99),IF((COUNTIFS(T_SelfStock[RM_Code],$A24,T_SelfStock[WeekIndex],99)&gt;0)*(COUNTIFS(T_TTAFStock[RM_Code],$A24,T_TTAFStock[WeekIndex],99)&gt;0)&gt;0,SUMIFS(T_SelfStock[Self_Qty],T_SelfStock[RM_Code],$A24,T_SelfStock[WeekIndex],99)+SUMIFS(T_TTAFStock[TTAF_Qty],T_TTAFStock[RM_Code],$A24,T_TTAFStock[WeekIndex],99),CU24+'Grid_Incoming'!CV24-'Grid_Requirement'!CV24))</f>
        <v/>
      </c>
      <c r="CW24">
        <f>IF(COUNTIFS(T_StockCount[RM_Code],$A24,T_StockCount[WeekIndex],100)&gt;0,SUMIFS(T_StockCount[CountedQty],T_StockCount[RM_Code],$A24,T_StockCount[WeekIndex],100),IF((COUNTIFS(T_SelfStock[RM_Code],$A24,T_SelfStock[WeekIndex],100)&gt;0)*(COUNTIFS(T_TTAFStock[RM_Code],$A24,T_TTAFStock[WeekIndex],100)&gt;0)&gt;0,SUMIFS(T_SelfStock[Self_Qty],T_SelfStock[RM_Code],$A24,T_SelfStock[WeekIndex],100)+SUMIFS(T_TTAFStock[TTAF_Qty],T_TTAFStock[RM_Code],$A24,T_TTAFStock[WeekIndex],100),CV24+'Grid_Incoming'!CW24-'Grid_Requirement'!CW24))</f>
        <v/>
      </c>
      <c r="CX24">
        <f>IF(COUNTIFS(T_StockCount[RM_Code],$A24,T_StockCount[WeekIndex],101)&gt;0,SUMIFS(T_StockCount[CountedQty],T_StockCount[RM_Code],$A24,T_StockCount[WeekIndex],101),IF((COUNTIFS(T_SelfStock[RM_Code],$A24,T_SelfStock[WeekIndex],101)&gt;0)*(COUNTIFS(T_TTAFStock[RM_Code],$A24,T_TTAFStock[WeekIndex],101)&gt;0)&gt;0,SUMIFS(T_SelfStock[Self_Qty],T_SelfStock[RM_Code],$A24,T_SelfStock[WeekIndex],101)+SUMIFS(T_TTAFStock[TTAF_Qty],T_TTAFStock[RM_Code],$A24,T_TTAFStock[WeekIndex],101),CW24+'Grid_Incoming'!CX24-'Grid_Requirement'!CX24))</f>
        <v/>
      </c>
      <c r="CY24">
        <f>IF(COUNTIFS(T_StockCount[RM_Code],$A24,T_StockCount[WeekIndex],102)&gt;0,SUMIFS(T_StockCount[CountedQty],T_StockCount[RM_Code],$A24,T_StockCount[WeekIndex],102),IF((COUNTIFS(T_SelfStock[RM_Code],$A24,T_SelfStock[WeekIndex],102)&gt;0)*(COUNTIFS(T_TTAFStock[RM_Code],$A24,T_TTAFStock[WeekIndex],102)&gt;0)&gt;0,SUMIFS(T_SelfStock[Self_Qty],T_SelfStock[RM_Code],$A24,T_SelfStock[WeekIndex],102)+SUMIFS(T_TTAFStock[TTAF_Qty],T_TTAFStock[RM_Code],$A24,T_TTAFStock[WeekIndex],102),CX24+'Grid_Incoming'!CY24-'Grid_Requirement'!CY24))</f>
        <v/>
      </c>
      <c r="CZ24">
        <f>IF(COUNTIFS(T_StockCount[RM_Code],$A24,T_StockCount[WeekIndex],103)&gt;0,SUMIFS(T_StockCount[CountedQty],T_StockCount[RM_Code],$A24,T_StockCount[WeekIndex],103),IF((COUNTIFS(T_SelfStock[RM_Code],$A24,T_SelfStock[WeekIndex],103)&gt;0)*(COUNTIFS(T_TTAFStock[RM_Code],$A24,T_TTAFStock[WeekIndex],103)&gt;0)&gt;0,SUMIFS(T_SelfStock[Self_Qty],T_SelfStock[RM_Code],$A24,T_SelfStock[WeekIndex],103)+SUMIFS(T_TTAFStock[TTAF_Qty],T_TTAFStock[RM_Code],$A24,T_TTAFStock[WeekIndex],103),CY24+'Grid_Incoming'!CZ24-'Grid_Requirement'!CZ24))</f>
        <v/>
      </c>
      <c r="DA24">
        <f>IF(COUNTIFS(T_StockCount[RM_Code],$A24,T_StockCount[WeekIndex],104)&gt;0,SUMIFS(T_StockCount[CountedQty],T_StockCount[RM_Code],$A24,T_StockCount[WeekIndex],104),IF((COUNTIFS(T_SelfStock[RM_Code],$A24,T_SelfStock[WeekIndex],104)&gt;0)*(COUNTIFS(T_TTAFStock[RM_Code],$A24,T_TTAFStock[WeekIndex],104)&gt;0)&gt;0,SUMIFS(T_SelfStock[Self_Qty],T_SelfStock[RM_Code],$A24,T_SelfStock[WeekIndex],104)+SUMIFS(T_TTAFStock[TTAF_Qty],T_TTAFStock[RM_Code],$A24,T_TTAFStock[WeekIndex],104),CZ24+'Grid_Incoming'!DA24-'Grid_Requirement'!DA24))</f>
        <v/>
      </c>
    </row>
    <row r="25">
      <c r="A25" t="inlineStr">
        <is>
          <t>0JN</t>
        </is>
      </c>
      <c r="B25">
        <f>IF(COUNTIFS(T_StockCount[RM_Code],$A25,T_StockCount[WeekIndex],1)&gt;0,SUMIFS(T_StockCount[CountedQty],T_StockCount[RM_Code],$A25,T_StockCount[WeekIndex],1),IF((COUNTIFS(T_SelfStock[RM_Code],$A25,T_SelfStock[WeekIndex],1)&gt;0)*(COUNTIFS(T_TTAFStock[RM_Code],$A25,T_TTAFStock[WeekIndex],1)&gt;0)&gt;0,SUMIFS(T_SelfStock[Self_Qty],T_SelfStock[RM_Code],$A25,T_SelfStock[WeekIndex],1)+SUMIFS(T_TTAFStock[TTAF_Qty],T_TTAFStock[RM_Code],$A25,T_TTAFStock[WeekIndex],1),IFERROR(INDEX(T_OpeningStock[Opening_Qty],MATCH($A25,T_OpeningStock[RM_Code],0)),0)+'Grid_Incoming'!B25-'Grid_Requirement'!B25))</f>
        <v/>
      </c>
      <c r="C25">
        <f>IF(COUNTIFS(T_StockCount[RM_Code],$A25,T_StockCount[WeekIndex],2)&gt;0,SUMIFS(T_StockCount[CountedQty],T_StockCount[RM_Code],$A25,T_StockCount[WeekIndex],2),IF((COUNTIFS(T_SelfStock[RM_Code],$A25,T_SelfStock[WeekIndex],2)&gt;0)*(COUNTIFS(T_TTAFStock[RM_Code],$A25,T_TTAFStock[WeekIndex],2)&gt;0)&gt;0,SUMIFS(T_SelfStock[Self_Qty],T_SelfStock[RM_Code],$A25,T_SelfStock[WeekIndex],2)+SUMIFS(T_TTAFStock[TTAF_Qty],T_TTAFStock[RM_Code],$A25,T_TTAFStock[WeekIndex],2),B25+'Grid_Incoming'!C25-'Grid_Requirement'!C25))</f>
        <v/>
      </c>
      <c r="D25">
        <f>IF(COUNTIFS(T_StockCount[RM_Code],$A25,T_StockCount[WeekIndex],3)&gt;0,SUMIFS(T_StockCount[CountedQty],T_StockCount[RM_Code],$A25,T_StockCount[WeekIndex],3),IF((COUNTIFS(T_SelfStock[RM_Code],$A25,T_SelfStock[WeekIndex],3)&gt;0)*(COUNTIFS(T_TTAFStock[RM_Code],$A25,T_TTAFStock[WeekIndex],3)&gt;0)&gt;0,SUMIFS(T_SelfStock[Self_Qty],T_SelfStock[RM_Code],$A25,T_SelfStock[WeekIndex],3)+SUMIFS(T_TTAFStock[TTAF_Qty],T_TTAFStock[RM_Code],$A25,T_TTAFStock[WeekIndex],3),C25+'Grid_Incoming'!D25-'Grid_Requirement'!D25))</f>
        <v/>
      </c>
      <c r="E25">
        <f>IF(COUNTIFS(T_StockCount[RM_Code],$A25,T_StockCount[WeekIndex],4)&gt;0,SUMIFS(T_StockCount[CountedQty],T_StockCount[RM_Code],$A25,T_StockCount[WeekIndex],4),IF((COUNTIFS(T_SelfStock[RM_Code],$A25,T_SelfStock[WeekIndex],4)&gt;0)*(COUNTIFS(T_TTAFStock[RM_Code],$A25,T_TTAFStock[WeekIndex],4)&gt;0)&gt;0,SUMIFS(T_SelfStock[Self_Qty],T_SelfStock[RM_Code],$A25,T_SelfStock[WeekIndex],4)+SUMIFS(T_TTAFStock[TTAF_Qty],T_TTAFStock[RM_Code],$A25,T_TTAFStock[WeekIndex],4),D25+'Grid_Incoming'!E25-'Grid_Requirement'!E25))</f>
        <v/>
      </c>
      <c r="F25">
        <f>IF(COUNTIFS(T_StockCount[RM_Code],$A25,T_StockCount[WeekIndex],5)&gt;0,SUMIFS(T_StockCount[CountedQty],T_StockCount[RM_Code],$A25,T_StockCount[WeekIndex],5),IF((COUNTIFS(T_SelfStock[RM_Code],$A25,T_SelfStock[WeekIndex],5)&gt;0)*(COUNTIFS(T_TTAFStock[RM_Code],$A25,T_TTAFStock[WeekIndex],5)&gt;0)&gt;0,SUMIFS(T_SelfStock[Self_Qty],T_SelfStock[RM_Code],$A25,T_SelfStock[WeekIndex],5)+SUMIFS(T_TTAFStock[TTAF_Qty],T_TTAFStock[RM_Code],$A25,T_TTAFStock[WeekIndex],5),E25+'Grid_Incoming'!F25-'Grid_Requirement'!F25))</f>
        <v/>
      </c>
      <c r="G25">
        <f>IF(COUNTIFS(T_StockCount[RM_Code],$A25,T_StockCount[WeekIndex],6)&gt;0,SUMIFS(T_StockCount[CountedQty],T_StockCount[RM_Code],$A25,T_StockCount[WeekIndex],6),IF((COUNTIFS(T_SelfStock[RM_Code],$A25,T_SelfStock[WeekIndex],6)&gt;0)*(COUNTIFS(T_TTAFStock[RM_Code],$A25,T_TTAFStock[WeekIndex],6)&gt;0)&gt;0,SUMIFS(T_SelfStock[Self_Qty],T_SelfStock[RM_Code],$A25,T_SelfStock[WeekIndex],6)+SUMIFS(T_TTAFStock[TTAF_Qty],T_TTAFStock[RM_Code],$A25,T_TTAFStock[WeekIndex],6),F25+'Grid_Incoming'!G25-'Grid_Requirement'!G25))</f>
        <v/>
      </c>
      <c r="H25">
        <f>IF(COUNTIFS(T_StockCount[RM_Code],$A25,T_StockCount[WeekIndex],7)&gt;0,SUMIFS(T_StockCount[CountedQty],T_StockCount[RM_Code],$A25,T_StockCount[WeekIndex],7),IF((COUNTIFS(T_SelfStock[RM_Code],$A25,T_SelfStock[WeekIndex],7)&gt;0)*(COUNTIFS(T_TTAFStock[RM_Code],$A25,T_TTAFStock[WeekIndex],7)&gt;0)&gt;0,SUMIFS(T_SelfStock[Self_Qty],T_SelfStock[RM_Code],$A25,T_SelfStock[WeekIndex],7)+SUMIFS(T_TTAFStock[TTAF_Qty],T_TTAFStock[RM_Code],$A25,T_TTAFStock[WeekIndex],7),G25+'Grid_Incoming'!H25-'Grid_Requirement'!H25))</f>
        <v/>
      </c>
      <c r="I25">
        <f>IF(COUNTIFS(T_StockCount[RM_Code],$A25,T_StockCount[WeekIndex],8)&gt;0,SUMIFS(T_StockCount[CountedQty],T_StockCount[RM_Code],$A25,T_StockCount[WeekIndex],8),IF((COUNTIFS(T_SelfStock[RM_Code],$A25,T_SelfStock[WeekIndex],8)&gt;0)*(COUNTIFS(T_TTAFStock[RM_Code],$A25,T_TTAFStock[WeekIndex],8)&gt;0)&gt;0,SUMIFS(T_SelfStock[Self_Qty],T_SelfStock[RM_Code],$A25,T_SelfStock[WeekIndex],8)+SUMIFS(T_TTAFStock[TTAF_Qty],T_TTAFStock[RM_Code],$A25,T_TTAFStock[WeekIndex],8),H25+'Grid_Incoming'!I25-'Grid_Requirement'!I25))</f>
        <v/>
      </c>
      <c r="J25">
        <f>IF(COUNTIFS(T_StockCount[RM_Code],$A25,T_StockCount[WeekIndex],9)&gt;0,SUMIFS(T_StockCount[CountedQty],T_StockCount[RM_Code],$A25,T_StockCount[WeekIndex],9),IF((COUNTIFS(T_SelfStock[RM_Code],$A25,T_SelfStock[WeekIndex],9)&gt;0)*(COUNTIFS(T_TTAFStock[RM_Code],$A25,T_TTAFStock[WeekIndex],9)&gt;0)&gt;0,SUMIFS(T_SelfStock[Self_Qty],T_SelfStock[RM_Code],$A25,T_SelfStock[WeekIndex],9)+SUMIFS(T_TTAFStock[TTAF_Qty],T_TTAFStock[RM_Code],$A25,T_TTAFStock[WeekIndex],9),I25+'Grid_Incoming'!J25-'Grid_Requirement'!J25))</f>
        <v/>
      </c>
      <c r="K25">
        <f>IF(COUNTIFS(T_StockCount[RM_Code],$A25,T_StockCount[WeekIndex],10)&gt;0,SUMIFS(T_StockCount[CountedQty],T_StockCount[RM_Code],$A25,T_StockCount[WeekIndex],10),IF((COUNTIFS(T_SelfStock[RM_Code],$A25,T_SelfStock[WeekIndex],10)&gt;0)*(COUNTIFS(T_TTAFStock[RM_Code],$A25,T_TTAFStock[WeekIndex],10)&gt;0)&gt;0,SUMIFS(T_SelfStock[Self_Qty],T_SelfStock[RM_Code],$A25,T_SelfStock[WeekIndex],10)+SUMIFS(T_TTAFStock[TTAF_Qty],T_TTAFStock[RM_Code],$A25,T_TTAFStock[WeekIndex],10),J25+'Grid_Incoming'!K25-'Grid_Requirement'!K25))</f>
        <v/>
      </c>
      <c r="L25">
        <f>IF(COUNTIFS(T_StockCount[RM_Code],$A25,T_StockCount[WeekIndex],11)&gt;0,SUMIFS(T_StockCount[CountedQty],T_StockCount[RM_Code],$A25,T_StockCount[WeekIndex],11),IF((COUNTIFS(T_SelfStock[RM_Code],$A25,T_SelfStock[WeekIndex],11)&gt;0)*(COUNTIFS(T_TTAFStock[RM_Code],$A25,T_TTAFStock[WeekIndex],11)&gt;0)&gt;0,SUMIFS(T_SelfStock[Self_Qty],T_SelfStock[RM_Code],$A25,T_SelfStock[WeekIndex],11)+SUMIFS(T_TTAFStock[TTAF_Qty],T_TTAFStock[RM_Code],$A25,T_TTAFStock[WeekIndex],11),K25+'Grid_Incoming'!L25-'Grid_Requirement'!L25))</f>
        <v/>
      </c>
      <c r="M25">
        <f>IF(COUNTIFS(T_StockCount[RM_Code],$A25,T_StockCount[WeekIndex],12)&gt;0,SUMIFS(T_StockCount[CountedQty],T_StockCount[RM_Code],$A25,T_StockCount[WeekIndex],12),IF((COUNTIFS(T_SelfStock[RM_Code],$A25,T_SelfStock[WeekIndex],12)&gt;0)*(COUNTIFS(T_TTAFStock[RM_Code],$A25,T_TTAFStock[WeekIndex],12)&gt;0)&gt;0,SUMIFS(T_SelfStock[Self_Qty],T_SelfStock[RM_Code],$A25,T_SelfStock[WeekIndex],12)+SUMIFS(T_TTAFStock[TTAF_Qty],T_TTAFStock[RM_Code],$A25,T_TTAFStock[WeekIndex],12),L25+'Grid_Incoming'!M25-'Grid_Requirement'!M25))</f>
        <v/>
      </c>
      <c r="N25">
        <f>IF(COUNTIFS(T_StockCount[RM_Code],$A25,T_StockCount[WeekIndex],13)&gt;0,SUMIFS(T_StockCount[CountedQty],T_StockCount[RM_Code],$A25,T_StockCount[WeekIndex],13),IF((COUNTIFS(T_SelfStock[RM_Code],$A25,T_SelfStock[WeekIndex],13)&gt;0)*(COUNTIFS(T_TTAFStock[RM_Code],$A25,T_TTAFStock[WeekIndex],13)&gt;0)&gt;0,SUMIFS(T_SelfStock[Self_Qty],T_SelfStock[RM_Code],$A25,T_SelfStock[WeekIndex],13)+SUMIFS(T_TTAFStock[TTAF_Qty],T_TTAFStock[RM_Code],$A25,T_TTAFStock[WeekIndex],13),M25+'Grid_Incoming'!N25-'Grid_Requirement'!N25))</f>
        <v/>
      </c>
      <c r="O25">
        <f>IF(COUNTIFS(T_StockCount[RM_Code],$A25,T_StockCount[WeekIndex],14)&gt;0,SUMIFS(T_StockCount[CountedQty],T_StockCount[RM_Code],$A25,T_StockCount[WeekIndex],14),IF((COUNTIFS(T_SelfStock[RM_Code],$A25,T_SelfStock[WeekIndex],14)&gt;0)*(COUNTIFS(T_TTAFStock[RM_Code],$A25,T_TTAFStock[WeekIndex],14)&gt;0)&gt;0,SUMIFS(T_SelfStock[Self_Qty],T_SelfStock[RM_Code],$A25,T_SelfStock[WeekIndex],14)+SUMIFS(T_TTAFStock[TTAF_Qty],T_TTAFStock[RM_Code],$A25,T_TTAFStock[WeekIndex],14),N25+'Grid_Incoming'!O25-'Grid_Requirement'!O25))</f>
        <v/>
      </c>
      <c r="P25">
        <f>IF(COUNTIFS(T_StockCount[RM_Code],$A25,T_StockCount[WeekIndex],15)&gt;0,SUMIFS(T_StockCount[CountedQty],T_StockCount[RM_Code],$A25,T_StockCount[WeekIndex],15),IF((COUNTIFS(T_SelfStock[RM_Code],$A25,T_SelfStock[WeekIndex],15)&gt;0)*(COUNTIFS(T_TTAFStock[RM_Code],$A25,T_TTAFStock[WeekIndex],15)&gt;0)&gt;0,SUMIFS(T_SelfStock[Self_Qty],T_SelfStock[RM_Code],$A25,T_SelfStock[WeekIndex],15)+SUMIFS(T_TTAFStock[TTAF_Qty],T_TTAFStock[RM_Code],$A25,T_TTAFStock[WeekIndex],15),O25+'Grid_Incoming'!P25-'Grid_Requirement'!P25))</f>
        <v/>
      </c>
      <c r="Q25">
        <f>IF(COUNTIFS(T_StockCount[RM_Code],$A25,T_StockCount[WeekIndex],16)&gt;0,SUMIFS(T_StockCount[CountedQty],T_StockCount[RM_Code],$A25,T_StockCount[WeekIndex],16),IF((COUNTIFS(T_SelfStock[RM_Code],$A25,T_SelfStock[WeekIndex],16)&gt;0)*(COUNTIFS(T_TTAFStock[RM_Code],$A25,T_TTAFStock[WeekIndex],16)&gt;0)&gt;0,SUMIFS(T_SelfStock[Self_Qty],T_SelfStock[RM_Code],$A25,T_SelfStock[WeekIndex],16)+SUMIFS(T_TTAFStock[TTAF_Qty],T_TTAFStock[RM_Code],$A25,T_TTAFStock[WeekIndex],16),P25+'Grid_Incoming'!Q25-'Grid_Requirement'!Q25))</f>
        <v/>
      </c>
      <c r="R25">
        <f>IF(COUNTIFS(T_StockCount[RM_Code],$A25,T_StockCount[WeekIndex],17)&gt;0,SUMIFS(T_StockCount[CountedQty],T_StockCount[RM_Code],$A25,T_StockCount[WeekIndex],17),IF((COUNTIFS(T_SelfStock[RM_Code],$A25,T_SelfStock[WeekIndex],17)&gt;0)*(COUNTIFS(T_TTAFStock[RM_Code],$A25,T_TTAFStock[WeekIndex],17)&gt;0)&gt;0,SUMIFS(T_SelfStock[Self_Qty],T_SelfStock[RM_Code],$A25,T_SelfStock[WeekIndex],17)+SUMIFS(T_TTAFStock[TTAF_Qty],T_TTAFStock[RM_Code],$A25,T_TTAFStock[WeekIndex],17),Q25+'Grid_Incoming'!R25-'Grid_Requirement'!R25))</f>
        <v/>
      </c>
      <c r="S25">
        <f>IF(COUNTIFS(T_StockCount[RM_Code],$A25,T_StockCount[WeekIndex],18)&gt;0,SUMIFS(T_StockCount[CountedQty],T_StockCount[RM_Code],$A25,T_StockCount[WeekIndex],18),IF((COUNTIFS(T_SelfStock[RM_Code],$A25,T_SelfStock[WeekIndex],18)&gt;0)*(COUNTIFS(T_TTAFStock[RM_Code],$A25,T_TTAFStock[WeekIndex],18)&gt;0)&gt;0,SUMIFS(T_SelfStock[Self_Qty],T_SelfStock[RM_Code],$A25,T_SelfStock[WeekIndex],18)+SUMIFS(T_TTAFStock[TTAF_Qty],T_TTAFStock[RM_Code],$A25,T_TTAFStock[WeekIndex],18),R25+'Grid_Incoming'!S25-'Grid_Requirement'!S25))</f>
        <v/>
      </c>
      <c r="T25">
        <f>IF(COUNTIFS(T_StockCount[RM_Code],$A25,T_StockCount[WeekIndex],19)&gt;0,SUMIFS(T_StockCount[CountedQty],T_StockCount[RM_Code],$A25,T_StockCount[WeekIndex],19),IF((COUNTIFS(T_SelfStock[RM_Code],$A25,T_SelfStock[WeekIndex],19)&gt;0)*(COUNTIFS(T_TTAFStock[RM_Code],$A25,T_TTAFStock[WeekIndex],19)&gt;0)&gt;0,SUMIFS(T_SelfStock[Self_Qty],T_SelfStock[RM_Code],$A25,T_SelfStock[WeekIndex],19)+SUMIFS(T_TTAFStock[TTAF_Qty],T_TTAFStock[RM_Code],$A25,T_TTAFStock[WeekIndex],19),S25+'Grid_Incoming'!T25-'Grid_Requirement'!T25))</f>
        <v/>
      </c>
      <c r="U25">
        <f>IF(COUNTIFS(T_StockCount[RM_Code],$A25,T_StockCount[WeekIndex],20)&gt;0,SUMIFS(T_StockCount[CountedQty],T_StockCount[RM_Code],$A25,T_StockCount[WeekIndex],20),IF((COUNTIFS(T_SelfStock[RM_Code],$A25,T_SelfStock[WeekIndex],20)&gt;0)*(COUNTIFS(T_TTAFStock[RM_Code],$A25,T_TTAFStock[WeekIndex],20)&gt;0)&gt;0,SUMIFS(T_SelfStock[Self_Qty],T_SelfStock[RM_Code],$A25,T_SelfStock[WeekIndex],20)+SUMIFS(T_TTAFStock[TTAF_Qty],T_TTAFStock[RM_Code],$A25,T_TTAFStock[WeekIndex],20),T25+'Grid_Incoming'!U25-'Grid_Requirement'!U25))</f>
        <v/>
      </c>
      <c r="V25">
        <f>IF(COUNTIFS(T_StockCount[RM_Code],$A25,T_StockCount[WeekIndex],21)&gt;0,SUMIFS(T_StockCount[CountedQty],T_StockCount[RM_Code],$A25,T_StockCount[WeekIndex],21),IF((COUNTIFS(T_SelfStock[RM_Code],$A25,T_SelfStock[WeekIndex],21)&gt;0)*(COUNTIFS(T_TTAFStock[RM_Code],$A25,T_TTAFStock[WeekIndex],21)&gt;0)&gt;0,SUMIFS(T_SelfStock[Self_Qty],T_SelfStock[RM_Code],$A25,T_SelfStock[WeekIndex],21)+SUMIFS(T_TTAFStock[TTAF_Qty],T_TTAFStock[RM_Code],$A25,T_TTAFStock[WeekIndex],21),U25+'Grid_Incoming'!V25-'Grid_Requirement'!V25))</f>
        <v/>
      </c>
      <c r="W25">
        <f>IF(COUNTIFS(T_StockCount[RM_Code],$A25,T_StockCount[WeekIndex],22)&gt;0,SUMIFS(T_StockCount[CountedQty],T_StockCount[RM_Code],$A25,T_StockCount[WeekIndex],22),IF((COUNTIFS(T_SelfStock[RM_Code],$A25,T_SelfStock[WeekIndex],22)&gt;0)*(COUNTIFS(T_TTAFStock[RM_Code],$A25,T_TTAFStock[WeekIndex],22)&gt;0)&gt;0,SUMIFS(T_SelfStock[Self_Qty],T_SelfStock[RM_Code],$A25,T_SelfStock[WeekIndex],22)+SUMIFS(T_TTAFStock[TTAF_Qty],T_TTAFStock[RM_Code],$A25,T_TTAFStock[WeekIndex],22),V25+'Grid_Incoming'!W25-'Grid_Requirement'!W25))</f>
        <v/>
      </c>
      <c r="X25">
        <f>IF(COUNTIFS(T_StockCount[RM_Code],$A25,T_StockCount[WeekIndex],23)&gt;0,SUMIFS(T_StockCount[CountedQty],T_StockCount[RM_Code],$A25,T_StockCount[WeekIndex],23),IF((COUNTIFS(T_SelfStock[RM_Code],$A25,T_SelfStock[WeekIndex],23)&gt;0)*(COUNTIFS(T_TTAFStock[RM_Code],$A25,T_TTAFStock[WeekIndex],23)&gt;0)&gt;0,SUMIFS(T_SelfStock[Self_Qty],T_SelfStock[RM_Code],$A25,T_SelfStock[WeekIndex],23)+SUMIFS(T_TTAFStock[TTAF_Qty],T_TTAFStock[RM_Code],$A25,T_TTAFStock[WeekIndex],23),W25+'Grid_Incoming'!X25-'Grid_Requirement'!X25))</f>
        <v/>
      </c>
      <c r="Y25">
        <f>IF(COUNTIFS(T_StockCount[RM_Code],$A25,T_StockCount[WeekIndex],24)&gt;0,SUMIFS(T_StockCount[CountedQty],T_StockCount[RM_Code],$A25,T_StockCount[WeekIndex],24),IF((COUNTIFS(T_SelfStock[RM_Code],$A25,T_SelfStock[WeekIndex],24)&gt;0)*(COUNTIFS(T_TTAFStock[RM_Code],$A25,T_TTAFStock[WeekIndex],24)&gt;0)&gt;0,SUMIFS(T_SelfStock[Self_Qty],T_SelfStock[RM_Code],$A25,T_SelfStock[WeekIndex],24)+SUMIFS(T_TTAFStock[TTAF_Qty],T_TTAFStock[RM_Code],$A25,T_TTAFStock[WeekIndex],24),X25+'Grid_Incoming'!Y25-'Grid_Requirement'!Y25))</f>
        <v/>
      </c>
      <c r="Z25">
        <f>IF(COUNTIFS(T_StockCount[RM_Code],$A25,T_StockCount[WeekIndex],25)&gt;0,SUMIFS(T_StockCount[CountedQty],T_StockCount[RM_Code],$A25,T_StockCount[WeekIndex],25),IF((COUNTIFS(T_SelfStock[RM_Code],$A25,T_SelfStock[WeekIndex],25)&gt;0)*(COUNTIFS(T_TTAFStock[RM_Code],$A25,T_TTAFStock[WeekIndex],25)&gt;0)&gt;0,SUMIFS(T_SelfStock[Self_Qty],T_SelfStock[RM_Code],$A25,T_SelfStock[WeekIndex],25)+SUMIFS(T_TTAFStock[TTAF_Qty],T_TTAFStock[RM_Code],$A25,T_TTAFStock[WeekIndex],25),Y25+'Grid_Incoming'!Z25-'Grid_Requirement'!Z25))</f>
        <v/>
      </c>
      <c r="AA25">
        <f>IF(COUNTIFS(T_StockCount[RM_Code],$A25,T_StockCount[WeekIndex],26)&gt;0,SUMIFS(T_StockCount[CountedQty],T_StockCount[RM_Code],$A25,T_StockCount[WeekIndex],26),IF((COUNTIFS(T_SelfStock[RM_Code],$A25,T_SelfStock[WeekIndex],26)&gt;0)*(COUNTIFS(T_TTAFStock[RM_Code],$A25,T_TTAFStock[WeekIndex],26)&gt;0)&gt;0,SUMIFS(T_SelfStock[Self_Qty],T_SelfStock[RM_Code],$A25,T_SelfStock[WeekIndex],26)+SUMIFS(T_TTAFStock[TTAF_Qty],T_TTAFStock[RM_Code],$A25,T_TTAFStock[WeekIndex],26),Z25+'Grid_Incoming'!AA25-'Grid_Requirement'!AA25))</f>
        <v/>
      </c>
      <c r="AB25">
        <f>IF(COUNTIFS(T_StockCount[RM_Code],$A25,T_StockCount[WeekIndex],27)&gt;0,SUMIFS(T_StockCount[CountedQty],T_StockCount[RM_Code],$A25,T_StockCount[WeekIndex],27),IF((COUNTIFS(T_SelfStock[RM_Code],$A25,T_SelfStock[WeekIndex],27)&gt;0)*(COUNTIFS(T_TTAFStock[RM_Code],$A25,T_TTAFStock[WeekIndex],27)&gt;0)&gt;0,SUMIFS(T_SelfStock[Self_Qty],T_SelfStock[RM_Code],$A25,T_SelfStock[WeekIndex],27)+SUMIFS(T_TTAFStock[TTAF_Qty],T_TTAFStock[RM_Code],$A25,T_TTAFStock[WeekIndex],27),AA25+'Grid_Incoming'!AB25-'Grid_Requirement'!AB25))</f>
        <v/>
      </c>
      <c r="AC25">
        <f>IF(COUNTIFS(T_StockCount[RM_Code],$A25,T_StockCount[WeekIndex],28)&gt;0,SUMIFS(T_StockCount[CountedQty],T_StockCount[RM_Code],$A25,T_StockCount[WeekIndex],28),IF((COUNTIFS(T_SelfStock[RM_Code],$A25,T_SelfStock[WeekIndex],28)&gt;0)*(COUNTIFS(T_TTAFStock[RM_Code],$A25,T_TTAFStock[WeekIndex],28)&gt;0)&gt;0,SUMIFS(T_SelfStock[Self_Qty],T_SelfStock[RM_Code],$A25,T_SelfStock[WeekIndex],28)+SUMIFS(T_TTAFStock[TTAF_Qty],T_TTAFStock[RM_Code],$A25,T_TTAFStock[WeekIndex],28),AB25+'Grid_Incoming'!AC25-'Grid_Requirement'!AC25))</f>
        <v/>
      </c>
      <c r="AD25">
        <f>IF(COUNTIFS(T_StockCount[RM_Code],$A25,T_StockCount[WeekIndex],29)&gt;0,SUMIFS(T_StockCount[CountedQty],T_StockCount[RM_Code],$A25,T_StockCount[WeekIndex],29),IF((COUNTIFS(T_SelfStock[RM_Code],$A25,T_SelfStock[WeekIndex],29)&gt;0)*(COUNTIFS(T_TTAFStock[RM_Code],$A25,T_TTAFStock[WeekIndex],29)&gt;0)&gt;0,SUMIFS(T_SelfStock[Self_Qty],T_SelfStock[RM_Code],$A25,T_SelfStock[WeekIndex],29)+SUMIFS(T_TTAFStock[TTAF_Qty],T_TTAFStock[RM_Code],$A25,T_TTAFStock[WeekIndex],29),AC25+'Grid_Incoming'!AD25-'Grid_Requirement'!AD25))</f>
        <v/>
      </c>
      <c r="AE25">
        <f>IF(COUNTIFS(T_StockCount[RM_Code],$A25,T_StockCount[WeekIndex],30)&gt;0,SUMIFS(T_StockCount[CountedQty],T_StockCount[RM_Code],$A25,T_StockCount[WeekIndex],30),IF((COUNTIFS(T_SelfStock[RM_Code],$A25,T_SelfStock[WeekIndex],30)&gt;0)*(COUNTIFS(T_TTAFStock[RM_Code],$A25,T_TTAFStock[WeekIndex],30)&gt;0)&gt;0,SUMIFS(T_SelfStock[Self_Qty],T_SelfStock[RM_Code],$A25,T_SelfStock[WeekIndex],30)+SUMIFS(T_TTAFStock[TTAF_Qty],T_TTAFStock[RM_Code],$A25,T_TTAFStock[WeekIndex],30),AD25+'Grid_Incoming'!AE25-'Grid_Requirement'!AE25))</f>
        <v/>
      </c>
      <c r="AF25">
        <f>IF(COUNTIFS(T_StockCount[RM_Code],$A25,T_StockCount[WeekIndex],31)&gt;0,SUMIFS(T_StockCount[CountedQty],T_StockCount[RM_Code],$A25,T_StockCount[WeekIndex],31),IF((COUNTIFS(T_SelfStock[RM_Code],$A25,T_SelfStock[WeekIndex],31)&gt;0)*(COUNTIFS(T_TTAFStock[RM_Code],$A25,T_TTAFStock[WeekIndex],31)&gt;0)&gt;0,SUMIFS(T_SelfStock[Self_Qty],T_SelfStock[RM_Code],$A25,T_SelfStock[WeekIndex],31)+SUMIFS(T_TTAFStock[TTAF_Qty],T_TTAFStock[RM_Code],$A25,T_TTAFStock[WeekIndex],31),AE25+'Grid_Incoming'!AF25-'Grid_Requirement'!AF25))</f>
        <v/>
      </c>
      <c r="AG25">
        <f>IF(COUNTIFS(T_StockCount[RM_Code],$A25,T_StockCount[WeekIndex],32)&gt;0,SUMIFS(T_StockCount[CountedQty],T_StockCount[RM_Code],$A25,T_StockCount[WeekIndex],32),IF((COUNTIFS(T_SelfStock[RM_Code],$A25,T_SelfStock[WeekIndex],32)&gt;0)*(COUNTIFS(T_TTAFStock[RM_Code],$A25,T_TTAFStock[WeekIndex],32)&gt;0)&gt;0,SUMIFS(T_SelfStock[Self_Qty],T_SelfStock[RM_Code],$A25,T_SelfStock[WeekIndex],32)+SUMIFS(T_TTAFStock[TTAF_Qty],T_TTAFStock[RM_Code],$A25,T_TTAFStock[WeekIndex],32),AF25+'Grid_Incoming'!AG25-'Grid_Requirement'!AG25))</f>
        <v/>
      </c>
      <c r="AH25">
        <f>IF(COUNTIFS(T_StockCount[RM_Code],$A25,T_StockCount[WeekIndex],33)&gt;0,SUMIFS(T_StockCount[CountedQty],T_StockCount[RM_Code],$A25,T_StockCount[WeekIndex],33),IF((COUNTIFS(T_SelfStock[RM_Code],$A25,T_SelfStock[WeekIndex],33)&gt;0)*(COUNTIFS(T_TTAFStock[RM_Code],$A25,T_TTAFStock[WeekIndex],33)&gt;0)&gt;0,SUMIFS(T_SelfStock[Self_Qty],T_SelfStock[RM_Code],$A25,T_SelfStock[WeekIndex],33)+SUMIFS(T_TTAFStock[TTAF_Qty],T_TTAFStock[RM_Code],$A25,T_TTAFStock[WeekIndex],33),AG25+'Grid_Incoming'!AH25-'Grid_Requirement'!AH25))</f>
        <v/>
      </c>
      <c r="AI25">
        <f>IF(COUNTIFS(T_StockCount[RM_Code],$A25,T_StockCount[WeekIndex],34)&gt;0,SUMIFS(T_StockCount[CountedQty],T_StockCount[RM_Code],$A25,T_StockCount[WeekIndex],34),IF((COUNTIFS(T_SelfStock[RM_Code],$A25,T_SelfStock[WeekIndex],34)&gt;0)*(COUNTIFS(T_TTAFStock[RM_Code],$A25,T_TTAFStock[WeekIndex],34)&gt;0)&gt;0,SUMIFS(T_SelfStock[Self_Qty],T_SelfStock[RM_Code],$A25,T_SelfStock[WeekIndex],34)+SUMIFS(T_TTAFStock[TTAF_Qty],T_TTAFStock[RM_Code],$A25,T_TTAFStock[WeekIndex],34),AH25+'Grid_Incoming'!AI25-'Grid_Requirement'!AI25))</f>
        <v/>
      </c>
      <c r="AJ25">
        <f>IF(COUNTIFS(T_StockCount[RM_Code],$A25,T_StockCount[WeekIndex],35)&gt;0,SUMIFS(T_StockCount[CountedQty],T_StockCount[RM_Code],$A25,T_StockCount[WeekIndex],35),IF((COUNTIFS(T_SelfStock[RM_Code],$A25,T_SelfStock[WeekIndex],35)&gt;0)*(COUNTIFS(T_TTAFStock[RM_Code],$A25,T_TTAFStock[WeekIndex],35)&gt;0)&gt;0,SUMIFS(T_SelfStock[Self_Qty],T_SelfStock[RM_Code],$A25,T_SelfStock[WeekIndex],35)+SUMIFS(T_TTAFStock[TTAF_Qty],T_TTAFStock[RM_Code],$A25,T_TTAFStock[WeekIndex],35),AI25+'Grid_Incoming'!AJ25-'Grid_Requirement'!AJ25))</f>
        <v/>
      </c>
      <c r="AK25">
        <f>IF(COUNTIFS(T_StockCount[RM_Code],$A25,T_StockCount[WeekIndex],36)&gt;0,SUMIFS(T_StockCount[CountedQty],T_StockCount[RM_Code],$A25,T_StockCount[WeekIndex],36),IF((COUNTIFS(T_SelfStock[RM_Code],$A25,T_SelfStock[WeekIndex],36)&gt;0)*(COUNTIFS(T_TTAFStock[RM_Code],$A25,T_TTAFStock[WeekIndex],36)&gt;0)&gt;0,SUMIFS(T_SelfStock[Self_Qty],T_SelfStock[RM_Code],$A25,T_SelfStock[WeekIndex],36)+SUMIFS(T_TTAFStock[TTAF_Qty],T_TTAFStock[RM_Code],$A25,T_TTAFStock[WeekIndex],36),AJ25+'Grid_Incoming'!AK25-'Grid_Requirement'!AK25))</f>
        <v/>
      </c>
      <c r="AL25">
        <f>IF(COUNTIFS(T_StockCount[RM_Code],$A25,T_StockCount[WeekIndex],37)&gt;0,SUMIFS(T_StockCount[CountedQty],T_StockCount[RM_Code],$A25,T_StockCount[WeekIndex],37),IF((COUNTIFS(T_SelfStock[RM_Code],$A25,T_SelfStock[WeekIndex],37)&gt;0)*(COUNTIFS(T_TTAFStock[RM_Code],$A25,T_TTAFStock[WeekIndex],37)&gt;0)&gt;0,SUMIFS(T_SelfStock[Self_Qty],T_SelfStock[RM_Code],$A25,T_SelfStock[WeekIndex],37)+SUMIFS(T_TTAFStock[TTAF_Qty],T_TTAFStock[RM_Code],$A25,T_TTAFStock[WeekIndex],37),AK25+'Grid_Incoming'!AL25-'Grid_Requirement'!AL25))</f>
        <v/>
      </c>
      <c r="AM25">
        <f>IF(COUNTIFS(T_StockCount[RM_Code],$A25,T_StockCount[WeekIndex],38)&gt;0,SUMIFS(T_StockCount[CountedQty],T_StockCount[RM_Code],$A25,T_StockCount[WeekIndex],38),IF((COUNTIFS(T_SelfStock[RM_Code],$A25,T_SelfStock[WeekIndex],38)&gt;0)*(COUNTIFS(T_TTAFStock[RM_Code],$A25,T_TTAFStock[WeekIndex],38)&gt;0)&gt;0,SUMIFS(T_SelfStock[Self_Qty],T_SelfStock[RM_Code],$A25,T_SelfStock[WeekIndex],38)+SUMIFS(T_TTAFStock[TTAF_Qty],T_TTAFStock[RM_Code],$A25,T_TTAFStock[WeekIndex],38),AL25+'Grid_Incoming'!AM25-'Grid_Requirement'!AM25))</f>
        <v/>
      </c>
      <c r="AN25">
        <f>IF(COUNTIFS(T_StockCount[RM_Code],$A25,T_StockCount[WeekIndex],39)&gt;0,SUMIFS(T_StockCount[CountedQty],T_StockCount[RM_Code],$A25,T_StockCount[WeekIndex],39),IF((COUNTIFS(T_SelfStock[RM_Code],$A25,T_SelfStock[WeekIndex],39)&gt;0)*(COUNTIFS(T_TTAFStock[RM_Code],$A25,T_TTAFStock[WeekIndex],39)&gt;0)&gt;0,SUMIFS(T_SelfStock[Self_Qty],T_SelfStock[RM_Code],$A25,T_SelfStock[WeekIndex],39)+SUMIFS(T_TTAFStock[TTAF_Qty],T_TTAFStock[RM_Code],$A25,T_TTAFStock[WeekIndex],39),AM25+'Grid_Incoming'!AN25-'Grid_Requirement'!AN25))</f>
        <v/>
      </c>
      <c r="AO25">
        <f>IF(COUNTIFS(T_StockCount[RM_Code],$A25,T_StockCount[WeekIndex],40)&gt;0,SUMIFS(T_StockCount[CountedQty],T_StockCount[RM_Code],$A25,T_StockCount[WeekIndex],40),IF((COUNTIFS(T_SelfStock[RM_Code],$A25,T_SelfStock[WeekIndex],40)&gt;0)*(COUNTIFS(T_TTAFStock[RM_Code],$A25,T_TTAFStock[WeekIndex],40)&gt;0)&gt;0,SUMIFS(T_SelfStock[Self_Qty],T_SelfStock[RM_Code],$A25,T_SelfStock[WeekIndex],40)+SUMIFS(T_TTAFStock[TTAF_Qty],T_TTAFStock[RM_Code],$A25,T_TTAFStock[WeekIndex],40),AN25+'Grid_Incoming'!AO25-'Grid_Requirement'!AO25))</f>
        <v/>
      </c>
      <c r="AP25">
        <f>IF(COUNTIFS(T_StockCount[RM_Code],$A25,T_StockCount[WeekIndex],41)&gt;0,SUMIFS(T_StockCount[CountedQty],T_StockCount[RM_Code],$A25,T_StockCount[WeekIndex],41),IF((COUNTIFS(T_SelfStock[RM_Code],$A25,T_SelfStock[WeekIndex],41)&gt;0)*(COUNTIFS(T_TTAFStock[RM_Code],$A25,T_TTAFStock[WeekIndex],41)&gt;0)&gt;0,SUMIFS(T_SelfStock[Self_Qty],T_SelfStock[RM_Code],$A25,T_SelfStock[WeekIndex],41)+SUMIFS(T_TTAFStock[TTAF_Qty],T_TTAFStock[RM_Code],$A25,T_TTAFStock[WeekIndex],41),AO25+'Grid_Incoming'!AP25-'Grid_Requirement'!AP25))</f>
        <v/>
      </c>
      <c r="AQ25">
        <f>IF(COUNTIFS(T_StockCount[RM_Code],$A25,T_StockCount[WeekIndex],42)&gt;0,SUMIFS(T_StockCount[CountedQty],T_StockCount[RM_Code],$A25,T_StockCount[WeekIndex],42),IF((COUNTIFS(T_SelfStock[RM_Code],$A25,T_SelfStock[WeekIndex],42)&gt;0)*(COUNTIFS(T_TTAFStock[RM_Code],$A25,T_TTAFStock[WeekIndex],42)&gt;0)&gt;0,SUMIFS(T_SelfStock[Self_Qty],T_SelfStock[RM_Code],$A25,T_SelfStock[WeekIndex],42)+SUMIFS(T_TTAFStock[TTAF_Qty],T_TTAFStock[RM_Code],$A25,T_TTAFStock[WeekIndex],42),AP25+'Grid_Incoming'!AQ25-'Grid_Requirement'!AQ25))</f>
        <v/>
      </c>
      <c r="AR25">
        <f>IF(COUNTIFS(T_StockCount[RM_Code],$A25,T_StockCount[WeekIndex],43)&gt;0,SUMIFS(T_StockCount[CountedQty],T_StockCount[RM_Code],$A25,T_StockCount[WeekIndex],43),IF((COUNTIFS(T_SelfStock[RM_Code],$A25,T_SelfStock[WeekIndex],43)&gt;0)*(COUNTIFS(T_TTAFStock[RM_Code],$A25,T_TTAFStock[WeekIndex],43)&gt;0)&gt;0,SUMIFS(T_SelfStock[Self_Qty],T_SelfStock[RM_Code],$A25,T_SelfStock[WeekIndex],43)+SUMIFS(T_TTAFStock[TTAF_Qty],T_TTAFStock[RM_Code],$A25,T_TTAFStock[WeekIndex],43),AQ25+'Grid_Incoming'!AR25-'Grid_Requirement'!AR25))</f>
        <v/>
      </c>
      <c r="AS25">
        <f>IF(COUNTIFS(T_StockCount[RM_Code],$A25,T_StockCount[WeekIndex],44)&gt;0,SUMIFS(T_StockCount[CountedQty],T_StockCount[RM_Code],$A25,T_StockCount[WeekIndex],44),IF((COUNTIFS(T_SelfStock[RM_Code],$A25,T_SelfStock[WeekIndex],44)&gt;0)*(COUNTIFS(T_TTAFStock[RM_Code],$A25,T_TTAFStock[WeekIndex],44)&gt;0)&gt;0,SUMIFS(T_SelfStock[Self_Qty],T_SelfStock[RM_Code],$A25,T_SelfStock[WeekIndex],44)+SUMIFS(T_TTAFStock[TTAF_Qty],T_TTAFStock[RM_Code],$A25,T_TTAFStock[WeekIndex],44),AR25+'Grid_Incoming'!AS25-'Grid_Requirement'!AS25))</f>
        <v/>
      </c>
      <c r="AT25">
        <f>IF(COUNTIFS(T_StockCount[RM_Code],$A25,T_StockCount[WeekIndex],45)&gt;0,SUMIFS(T_StockCount[CountedQty],T_StockCount[RM_Code],$A25,T_StockCount[WeekIndex],45),IF((COUNTIFS(T_SelfStock[RM_Code],$A25,T_SelfStock[WeekIndex],45)&gt;0)*(COUNTIFS(T_TTAFStock[RM_Code],$A25,T_TTAFStock[WeekIndex],45)&gt;0)&gt;0,SUMIFS(T_SelfStock[Self_Qty],T_SelfStock[RM_Code],$A25,T_SelfStock[WeekIndex],45)+SUMIFS(T_TTAFStock[TTAF_Qty],T_TTAFStock[RM_Code],$A25,T_TTAFStock[WeekIndex],45),AS25+'Grid_Incoming'!AT25-'Grid_Requirement'!AT25))</f>
        <v/>
      </c>
      <c r="AU25">
        <f>IF(COUNTIFS(T_StockCount[RM_Code],$A25,T_StockCount[WeekIndex],46)&gt;0,SUMIFS(T_StockCount[CountedQty],T_StockCount[RM_Code],$A25,T_StockCount[WeekIndex],46),IF((COUNTIFS(T_SelfStock[RM_Code],$A25,T_SelfStock[WeekIndex],46)&gt;0)*(COUNTIFS(T_TTAFStock[RM_Code],$A25,T_TTAFStock[WeekIndex],46)&gt;0)&gt;0,SUMIFS(T_SelfStock[Self_Qty],T_SelfStock[RM_Code],$A25,T_SelfStock[WeekIndex],46)+SUMIFS(T_TTAFStock[TTAF_Qty],T_TTAFStock[RM_Code],$A25,T_TTAFStock[WeekIndex],46),AT25+'Grid_Incoming'!AU25-'Grid_Requirement'!AU25))</f>
        <v/>
      </c>
      <c r="AV25">
        <f>IF(COUNTIFS(T_StockCount[RM_Code],$A25,T_StockCount[WeekIndex],47)&gt;0,SUMIFS(T_StockCount[CountedQty],T_StockCount[RM_Code],$A25,T_StockCount[WeekIndex],47),IF((COUNTIFS(T_SelfStock[RM_Code],$A25,T_SelfStock[WeekIndex],47)&gt;0)*(COUNTIFS(T_TTAFStock[RM_Code],$A25,T_TTAFStock[WeekIndex],47)&gt;0)&gt;0,SUMIFS(T_SelfStock[Self_Qty],T_SelfStock[RM_Code],$A25,T_SelfStock[WeekIndex],47)+SUMIFS(T_TTAFStock[TTAF_Qty],T_TTAFStock[RM_Code],$A25,T_TTAFStock[WeekIndex],47),AU25+'Grid_Incoming'!AV25-'Grid_Requirement'!AV25))</f>
        <v/>
      </c>
      <c r="AW25">
        <f>IF(COUNTIFS(T_StockCount[RM_Code],$A25,T_StockCount[WeekIndex],48)&gt;0,SUMIFS(T_StockCount[CountedQty],T_StockCount[RM_Code],$A25,T_StockCount[WeekIndex],48),IF((COUNTIFS(T_SelfStock[RM_Code],$A25,T_SelfStock[WeekIndex],48)&gt;0)*(COUNTIFS(T_TTAFStock[RM_Code],$A25,T_TTAFStock[WeekIndex],48)&gt;0)&gt;0,SUMIFS(T_SelfStock[Self_Qty],T_SelfStock[RM_Code],$A25,T_SelfStock[WeekIndex],48)+SUMIFS(T_TTAFStock[TTAF_Qty],T_TTAFStock[RM_Code],$A25,T_TTAFStock[WeekIndex],48),AV25+'Grid_Incoming'!AW25-'Grid_Requirement'!AW25))</f>
        <v/>
      </c>
      <c r="AX25">
        <f>IF(COUNTIFS(T_StockCount[RM_Code],$A25,T_StockCount[WeekIndex],49)&gt;0,SUMIFS(T_StockCount[CountedQty],T_StockCount[RM_Code],$A25,T_StockCount[WeekIndex],49),IF((COUNTIFS(T_SelfStock[RM_Code],$A25,T_SelfStock[WeekIndex],49)&gt;0)*(COUNTIFS(T_TTAFStock[RM_Code],$A25,T_TTAFStock[WeekIndex],49)&gt;0)&gt;0,SUMIFS(T_SelfStock[Self_Qty],T_SelfStock[RM_Code],$A25,T_SelfStock[WeekIndex],49)+SUMIFS(T_TTAFStock[TTAF_Qty],T_TTAFStock[RM_Code],$A25,T_TTAFStock[WeekIndex],49),AW25+'Grid_Incoming'!AX25-'Grid_Requirement'!AX25))</f>
        <v/>
      </c>
      <c r="AY25">
        <f>IF(COUNTIFS(T_StockCount[RM_Code],$A25,T_StockCount[WeekIndex],50)&gt;0,SUMIFS(T_StockCount[CountedQty],T_StockCount[RM_Code],$A25,T_StockCount[WeekIndex],50),IF((COUNTIFS(T_SelfStock[RM_Code],$A25,T_SelfStock[WeekIndex],50)&gt;0)*(COUNTIFS(T_TTAFStock[RM_Code],$A25,T_TTAFStock[WeekIndex],50)&gt;0)&gt;0,SUMIFS(T_SelfStock[Self_Qty],T_SelfStock[RM_Code],$A25,T_SelfStock[WeekIndex],50)+SUMIFS(T_TTAFStock[TTAF_Qty],T_TTAFStock[RM_Code],$A25,T_TTAFStock[WeekIndex],50),AX25+'Grid_Incoming'!AY25-'Grid_Requirement'!AY25))</f>
        <v/>
      </c>
      <c r="AZ25">
        <f>IF(COUNTIFS(T_StockCount[RM_Code],$A25,T_StockCount[WeekIndex],51)&gt;0,SUMIFS(T_StockCount[CountedQty],T_StockCount[RM_Code],$A25,T_StockCount[WeekIndex],51),IF((COUNTIFS(T_SelfStock[RM_Code],$A25,T_SelfStock[WeekIndex],51)&gt;0)*(COUNTIFS(T_TTAFStock[RM_Code],$A25,T_TTAFStock[WeekIndex],51)&gt;0)&gt;0,SUMIFS(T_SelfStock[Self_Qty],T_SelfStock[RM_Code],$A25,T_SelfStock[WeekIndex],51)+SUMIFS(T_TTAFStock[TTAF_Qty],T_TTAFStock[RM_Code],$A25,T_TTAFStock[WeekIndex],51),AY25+'Grid_Incoming'!AZ25-'Grid_Requirement'!AZ25))</f>
        <v/>
      </c>
      <c r="BA25">
        <f>IF(COUNTIFS(T_StockCount[RM_Code],$A25,T_StockCount[WeekIndex],52)&gt;0,SUMIFS(T_StockCount[CountedQty],T_StockCount[RM_Code],$A25,T_StockCount[WeekIndex],52),IF((COUNTIFS(T_SelfStock[RM_Code],$A25,T_SelfStock[WeekIndex],52)&gt;0)*(COUNTIFS(T_TTAFStock[RM_Code],$A25,T_TTAFStock[WeekIndex],52)&gt;0)&gt;0,SUMIFS(T_SelfStock[Self_Qty],T_SelfStock[RM_Code],$A25,T_SelfStock[WeekIndex],52)+SUMIFS(T_TTAFStock[TTAF_Qty],T_TTAFStock[RM_Code],$A25,T_TTAFStock[WeekIndex],52),AZ25+'Grid_Incoming'!BA25-'Grid_Requirement'!BA25))</f>
        <v/>
      </c>
      <c r="BB25">
        <f>IF(COUNTIFS(T_StockCount[RM_Code],$A25,T_StockCount[WeekIndex],53)&gt;0,SUMIFS(T_StockCount[CountedQty],T_StockCount[RM_Code],$A25,T_StockCount[WeekIndex],53),IF((COUNTIFS(T_SelfStock[RM_Code],$A25,T_SelfStock[WeekIndex],53)&gt;0)*(COUNTIFS(T_TTAFStock[RM_Code],$A25,T_TTAFStock[WeekIndex],53)&gt;0)&gt;0,SUMIFS(T_SelfStock[Self_Qty],T_SelfStock[RM_Code],$A25,T_SelfStock[WeekIndex],53)+SUMIFS(T_TTAFStock[TTAF_Qty],T_TTAFStock[RM_Code],$A25,T_TTAFStock[WeekIndex],53),BA25+'Grid_Incoming'!BB25-'Grid_Requirement'!BB25))</f>
        <v/>
      </c>
      <c r="BC25">
        <f>IF(COUNTIFS(T_StockCount[RM_Code],$A25,T_StockCount[WeekIndex],54)&gt;0,SUMIFS(T_StockCount[CountedQty],T_StockCount[RM_Code],$A25,T_StockCount[WeekIndex],54),IF((COUNTIFS(T_SelfStock[RM_Code],$A25,T_SelfStock[WeekIndex],54)&gt;0)*(COUNTIFS(T_TTAFStock[RM_Code],$A25,T_TTAFStock[WeekIndex],54)&gt;0)&gt;0,SUMIFS(T_SelfStock[Self_Qty],T_SelfStock[RM_Code],$A25,T_SelfStock[WeekIndex],54)+SUMIFS(T_TTAFStock[TTAF_Qty],T_TTAFStock[RM_Code],$A25,T_TTAFStock[WeekIndex],54),BB25+'Grid_Incoming'!BC25-'Grid_Requirement'!BC25))</f>
        <v/>
      </c>
      <c r="BD25">
        <f>IF(COUNTIFS(T_StockCount[RM_Code],$A25,T_StockCount[WeekIndex],55)&gt;0,SUMIFS(T_StockCount[CountedQty],T_StockCount[RM_Code],$A25,T_StockCount[WeekIndex],55),IF((COUNTIFS(T_SelfStock[RM_Code],$A25,T_SelfStock[WeekIndex],55)&gt;0)*(COUNTIFS(T_TTAFStock[RM_Code],$A25,T_TTAFStock[WeekIndex],55)&gt;0)&gt;0,SUMIFS(T_SelfStock[Self_Qty],T_SelfStock[RM_Code],$A25,T_SelfStock[WeekIndex],55)+SUMIFS(T_TTAFStock[TTAF_Qty],T_TTAFStock[RM_Code],$A25,T_TTAFStock[WeekIndex],55),BC25+'Grid_Incoming'!BD25-'Grid_Requirement'!BD25))</f>
        <v/>
      </c>
      <c r="BE25">
        <f>IF(COUNTIFS(T_StockCount[RM_Code],$A25,T_StockCount[WeekIndex],56)&gt;0,SUMIFS(T_StockCount[CountedQty],T_StockCount[RM_Code],$A25,T_StockCount[WeekIndex],56),IF((COUNTIFS(T_SelfStock[RM_Code],$A25,T_SelfStock[WeekIndex],56)&gt;0)*(COUNTIFS(T_TTAFStock[RM_Code],$A25,T_TTAFStock[WeekIndex],56)&gt;0)&gt;0,SUMIFS(T_SelfStock[Self_Qty],T_SelfStock[RM_Code],$A25,T_SelfStock[WeekIndex],56)+SUMIFS(T_TTAFStock[TTAF_Qty],T_TTAFStock[RM_Code],$A25,T_TTAFStock[WeekIndex],56),BD25+'Grid_Incoming'!BE25-'Grid_Requirement'!BE25))</f>
        <v/>
      </c>
      <c r="BF25">
        <f>IF(COUNTIFS(T_StockCount[RM_Code],$A25,T_StockCount[WeekIndex],57)&gt;0,SUMIFS(T_StockCount[CountedQty],T_StockCount[RM_Code],$A25,T_StockCount[WeekIndex],57),IF((COUNTIFS(T_SelfStock[RM_Code],$A25,T_SelfStock[WeekIndex],57)&gt;0)*(COUNTIFS(T_TTAFStock[RM_Code],$A25,T_TTAFStock[WeekIndex],57)&gt;0)&gt;0,SUMIFS(T_SelfStock[Self_Qty],T_SelfStock[RM_Code],$A25,T_SelfStock[WeekIndex],57)+SUMIFS(T_TTAFStock[TTAF_Qty],T_TTAFStock[RM_Code],$A25,T_TTAFStock[WeekIndex],57),BE25+'Grid_Incoming'!BF25-'Grid_Requirement'!BF25))</f>
        <v/>
      </c>
      <c r="BG25">
        <f>IF(COUNTIFS(T_StockCount[RM_Code],$A25,T_StockCount[WeekIndex],58)&gt;0,SUMIFS(T_StockCount[CountedQty],T_StockCount[RM_Code],$A25,T_StockCount[WeekIndex],58),IF((COUNTIFS(T_SelfStock[RM_Code],$A25,T_SelfStock[WeekIndex],58)&gt;0)*(COUNTIFS(T_TTAFStock[RM_Code],$A25,T_TTAFStock[WeekIndex],58)&gt;0)&gt;0,SUMIFS(T_SelfStock[Self_Qty],T_SelfStock[RM_Code],$A25,T_SelfStock[WeekIndex],58)+SUMIFS(T_TTAFStock[TTAF_Qty],T_TTAFStock[RM_Code],$A25,T_TTAFStock[WeekIndex],58),BF25+'Grid_Incoming'!BG25-'Grid_Requirement'!BG25))</f>
        <v/>
      </c>
      <c r="BH25">
        <f>IF(COUNTIFS(T_StockCount[RM_Code],$A25,T_StockCount[WeekIndex],59)&gt;0,SUMIFS(T_StockCount[CountedQty],T_StockCount[RM_Code],$A25,T_StockCount[WeekIndex],59),IF((COUNTIFS(T_SelfStock[RM_Code],$A25,T_SelfStock[WeekIndex],59)&gt;0)*(COUNTIFS(T_TTAFStock[RM_Code],$A25,T_TTAFStock[WeekIndex],59)&gt;0)&gt;0,SUMIFS(T_SelfStock[Self_Qty],T_SelfStock[RM_Code],$A25,T_SelfStock[WeekIndex],59)+SUMIFS(T_TTAFStock[TTAF_Qty],T_TTAFStock[RM_Code],$A25,T_TTAFStock[WeekIndex],59),BG25+'Grid_Incoming'!BH25-'Grid_Requirement'!BH25))</f>
        <v/>
      </c>
      <c r="BI25">
        <f>IF(COUNTIFS(T_StockCount[RM_Code],$A25,T_StockCount[WeekIndex],60)&gt;0,SUMIFS(T_StockCount[CountedQty],T_StockCount[RM_Code],$A25,T_StockCount[WeekIndex],60),IF((COUNTIFS(T_SelfStock[RM_Code],$A25,T_SelfStock[WeekIndex],60)&gt;0)*(COUNTIFS(T_TTAFStock[RM_Code],$A25,T_TTAFStock[WeekIndex],60)&gt;0)&gt;0,SUMIFS(T_SelfStock[Self_Qty],T_SelfStock[RM_Code],$A25,T_SelfStock[WeekIndex],60)+SUMIFS(T_TTAFStock[TTAF_Qty],T_TTAFStock[RM_Code],$A25,T_TTAFStock[WeekIndex],60),BH25+'Grid_Incoming'!BI25-'Grid_Requirement'!BI25))</f>
        <v/>
      </c>
      <c r="BJ25">
        <f>IF(COUNTIFS(T_StockCount[RM_Code],$A25,T_StockCount[WeekIndex],61)&gt;0,SUMIFS(T_StockCount[CountedQty],T_StockCount[RM_Code],$A25,T_StockCount[WeekIndex],61),IF((COUNTIFS(T_SelfStock[RM_Code],$A25,T_SelfStock[WeekIndex],61)&gt;0)*(COUNTIFS(T_TTAFStock[RM_Code],$A25,T_TTAFStock[WeekIndex],61)&gt;0)&gt;0,SUMIFS(T_SelfStock[Self_Qty],T_SelfStock[RM_Code],$A25,T_SelfStock[WeekIndex],61)+SUMIFS(T_TTAFStock[TTAF_Qty],T_TTAFStock[RM_Code],$A25,T_TTAFStock[WeekIndex],61),BI25+'Grid_Incoming'!BJ25-'Grid_Requirement'!BJ25))</f>
        <v/>
      </c>
      <c r="BK25">
        <f>IF(COUNTIFS(T_StockCount[RM_Code],$A25,T_StockCount[WeekIndex],62)&gt;0,SUMIFS(T_StockCount[CountedQty],T_StockCount[RM_Code],$A25,T_StockCount[WeekIndex],62),IF((COUNTIFS(T_SelfStock[RM_Code],$A25,T_SelfStock[WeekIndex],62)&gt;0)*(COUNTIFS(T_TTAFStock[RM_Code],$A25,T_TTAFStock[WeekIndex],62)&gt;0)&gt;0,SUMIFS(T_SelfStock[Self_Qty],T_SelfStock[RM_Code],$A25,T_SelfStock[WeekIndex],62)+SUMIFS(T_TTAFStock[TTAF_Qty],T_TTAFStock[RM_Code],$A25,T_TTAFStock[WeekIndex],62),BJ25+'Grid_Incoming'!BK25-'Grid_Requirement'!BK25))</f>
        <v/>
      </c>
      <c r="BL25">
        <f>IF(COUNTIFS(T_StockCount[RM_Code],$A25,T_StockCount[WeekIndex],63)&gt;0,SUMIFS(T_StockCount[CountedQty],T_StockCount[RM_Code],$A25,T_StockCount[WeekIndex],63),IF((COUNTIFS(T_SelfStock[RM_Code],$A25,T_SelfStock[WeekIndex],63)&gt;0)*(COUNTIFS(T_TTAFStock[RM_Code],$A25,T_TTAFStock[WeekIndex],63)&gt;0)&gt;0,SUMIFS(T_SelfStock[Self_Qty],T_SelfStock[RM_Code],$A25,T_SelfStock[WeekIndex],63)+SUMIFS(T_TTAFStock[TTAF_Qty],T_TTAFStock[RM_Code],$A25,T_TTAFStock[WeekIndex],63),BK25+'Grid_Incoming'!BL25-'Grid_Requirement'!BL25))</f>
        <v/>
      </c>
      <c r="BM25">
        <f>IF(COUNTIFS(T_StockCount[RM_Code],$A25,T_StockCount[WeekIndex],64)&gt;0,SUMIFS(T_StockCount[CountedQty],T_StockCount[RM_Code],$A25,T_StockCount[WeekIndex],64),IF((COUNTIFS(T_SelfStock[RM_Code],$A25,T_SelfStock[WeekIndex],64)&gt;0)*(COUNTIFS(T_TTAFStock[RM_Code],$A25,T_TTAFStock[WeekIndex],64)&gt;0)&gt;0,SUMIFS(T_SelfStock[Self_Qty],T_SelfStock[RM_Code],$A25,T_SelfStock[WeekIndex],64)+SUMIFS(T_TTAFStock[TTAF_Qty],T_TTAFStock[RM_Code],$A25,T_TTAFStock[WeekIndex],64),BL25+'Grid_Incoming'!BM25-'Grid_Requirement'!BM25))</f>
        <v/>
      </c>
      <c r="BN25">
        <f>IF(COUNTIFS(T_StockCount[RM_Code],$A25,T_StockCount[WeekIndex],65)&gt;0,SUMIFS(T_StockCount[CountedQty],T_StockCount[RM_Code],$A25,T_StockCount[WeekIndex],65),IF((COUNTIFS(T_SelfStock[RM_Code],$A25,T_SelfStock[WeekIndex],65)&gt;0)*(COUNTIFS(T_TTAFStock[RM_Code],$A25,T_TTAFStock[WeekIndex],65)&gt;0)&gt;0,SUMIFS(T_SelfStock[Self_Qty],T_SelfStock[RM_Code],$A25,T_SelfStock[WeekIndex],65)+SUMIFS(T_TTAFStock[TTAF_Qty],T_TTAFStock[RM_Code],$A25,T_TTAFStock[WeekIndex],65),BM25+'Grid_Incoming'!BN25-'Grid_Requirement'!BN25))</f>
        <v/>
      </c>
      <c r="BO25">
        <f>IF(COUNTIFS(T_StockCount[RM_Code],$A25,T_StockCount[WeekIndex],66)&gt;0,SUMIFS(T_StockCount[CountedQty],T_StockCount[RM_Code],$A25,T_StockCount[WeekIndex],66),IF((COUNTIFS(T_SelfStock[RM_Code],$A25,T_SelfStock[WeekIndex],66)&gt;0)*(COUNTIFS(T_TTAFStock[RM_Code],$A25,T_TTAFStock[WeekIndex],66)&gt;0)&gt;0,SUMIFS(T_SelfStock[Self_Qty],T_SelfStock[RM_Code],$A25,T_SelfStock[WeekIndex],66)+SUMIFS(T_TTAFStock[TTAF_Qty],T_TTAFStock[RM_Code],$A25,T_TTAFStock[WeekIndex],66),BN25+'Grid_Incoming'!BO25-'Grid_Requirement'!BO25))</f>
        <v/>
      </c>
      <c r="BP25">
        <f>IF(COUNTIFS(T_StockCount[RM_Code],$A25,T_StockCount[WeekIndex],67)&gt;0,SUMIFS(T_StockCount[CountedQty],T_StockCount[RM_Code],$A25,T_StockCount[WeekIndex],67),IF((COUNTIFS(T_SelfStock[RM_Code],$A25,T_SelfStock[WeekIndex],67)&gt;0)*(COUNTIFS(T_TTAFStock[RM_Code],$A25,T_TTAFStock[WeekIndex],67)&gt;0)&gt;0,SUMIFS(T_SelfStock[Self_Qty],T_SelfStock[RM_Code],$A25,T_SelfStock[WeekIndex],67)+SUMIFS(T_TTAFStock[TTAF_Qty],T_TTAFStock[RM_Code],$A25,T_TTAFStock[WeekIndex],67),BO25+'Grid_Incoming'!BP25-'Grid_Requirement'!BP25))</f>
        <v/>
      </c>
      <c r="BQ25">
        <f>IF(COUNTIFS(T_StockCount[RM_Code],$A25,T_StockCount[WeekIndex],68)&gt;0,SUMIFS(T_StockCount[CountedQty],T_StockCount[RM_Code],$A25,T_StockCount[WeekIndex],68),IF((COUNTIFS(T_SelfStock[RM_Code],$A25,T_SelfStock[WeekIndex],68)&gt;0)*(COUNTIFS(T_TTAFStock[RM_Code],$A25,T_TTAFStock[WeekIndex],68)&gt;0)&gt;0,SUMIFS(T_SelfStock[Self_Qty],T_SelfStock[RM_Code],$A25,T_SelfStock[WeekIndex],68)+SUMIFS(T_TTAFStock[TTAF_Qty],T_TTAFStock[RM_Code],$A25,T_TTAFStock[WeekIndex],68),BP25+'Grid_Incoming'!BQ25-'Grid_Requirement'!BQ25))</f>
        <v/>
      </c>
      <c r="BR25">
        <f>IF(COUNTIFS(T_StockCount[RM_Code],$A25,T_StockCount[WeekIndex],69)&gt;0,SUMIFS(T_StockCount[CountedQty],T_StockCount[RM_Code],$A25,T_StockCount[WeekIndex],69),IF((COUNTIFS(T_SelfStock[RM_Code],$A25,T_SelfStock[WeekIndex],69)&gt;0)*(COUNTIFS(T_TTAFStock[RM_Code],$A25,T_TTAFStock[WeekIndex],69)&gt;0)&gt;0,SUMIFS(T_SelfStock[Self_Qty],T_SelfStock[RM_Code],$A25,T_SelfStock[WeekIndex],69)+SUMIFS(T_TTAFStock[TTAF_Qty],T_TTAFStock[RM_Code],$A25,T_TTAFStock[WeekIndex],69),BQ25+'Grid_Incoming'!BR25-'Grid_Requirement'!BR25))</f>
        <v/>
      </c>
      <c r="BS25">
        <f>IF(COUNTIFS(T_StockCount[RM_Code],$A25,T_StockCount[WeekIndex],70)&gt;0,SUMIFS(T_StockCount[CountedQty],T_StockCount[RM_Code],$A25,T_StockCount[WeekIndex],70),IF((COUNTIFS(T_SelfStock[RM_Code],$A25,T_SelfStock[WeekIndex],70)&gt;0)*(COUNTIFS(T_TTAFStock[RM_Code],$A25,T_TTAFStock[WeekIndex],70)&gt;0)&gt;0,SUMIFS(T_SelfStock[Self_Qty],T_SelfStock[RM_Code],$A25,T_SelfStock[WeekIndex],70)+SUMIFS(T_TTAFStock[TTAF_Qty],T_TTAFStock[RM_Code],$A25,T_TTAFStock[WeekIndex],70),BR25+'Grid_Incoming'!BS25-'Grid_Requirement'!BS25))</f>
        <v/>
      </c>
      <c r="BT25">
        <f>IF(COUNTIFS(T_StockCount[RM_Code],$A25,T_StockCount[WeekIndex],71)&gt;0,SUMIFS(T_StockCount[CountedQty],T_StockCount[RM_Code],$A25,T_StockCount[WeekIndex],71),IF((COUNTIFS(T_SelfStock[RM_Code],$A25,T_SelfStock[WeekIndex],71)&gt;0)*(COUNTIFS(T_TTAFStock[RM_Code],$A25,T_TTAFStock[WeekIndex],71)&gt;0)&gt;0,SUMIFS(T_SelfStock[Self_Qty],T_SelfStock[RM_Code],$A25,T_SelfStock[WeekIndex],71)+SUMIFS(T_TTAFStock[TTAF_Qty],T_TTAFStock[RM_Code],$A25,T_TTAFStock[WeekIndex],71),BS25+'Grid_Incoming'!BT25-'Grid_Requirement'!BT25))</f>
        <v/>
      </c>
      <c r="BU25">
        <f>IF(COUNTIFS(T_StockCount[RM_Code],$A25,T_StockCount[WeekIndex],72)&gt;0,SUMIFS(T_StockCount[CountedQty],T_StockCount[RM_Code],$A25,T_StockCount[WeekIndex],72),IF((COUNTIFS(T_SelfStock[RM_Code],$A25,T_SelfStock[WeekIndex],72)&gt;0)*(COUNTIFS(T_TTAFStock[RM_Code],$A25,T_TTAFStock[WeekIndex],72)&gt;0)&gt;0,SUMIFS(T_SelfStock[Self_Qty],T_SelfStock[RM_Code],$A25,T_SelfStock[WeekIndex],72)+SUMIFS(T_TTAFStock[TTAF_Qty],T_TTAFStock[RM_Code],$A25,T_TTAFStock[WeekIndex],72),BT25+'Grid_Incoming'!BU25-'Grid_Requirement'!BU25))</f>
        <v/>
      </c>
      <c r="BV25">
        <f>IF(COUNTIFS(T_StockCount[RM_Code],$A25,T_StockCount[WeekIndex],73)&gt;0,SUMIFS(T_StockCount[CountedQty],T_StockCount[RM_Code],$A25,T_StockCount[WeekIndex],73),IF((COUNTIFS(T_SelfStock[RM_Code],$A25,T_SelfStock[WeekIndex],73)&gt;0)*(COUNTIFS(T_TTAFStock[RM_Code],$A25,T_TTAFStock[WeekIndex],73)&gt;0)&gt;0,SUMIFS(T_SelfStock[Self_Qty],T_SelfStock[RM_Code],$A25,T_SelfStock[WeekIndex],73)+SUMIFS(T_TTAFStock[TTAF_Qty],T_TTAFStock[RM_Code],$A25,T_TTAFStock[WeekIndex],73),BU25+'Grid_Incoming'!BV25-'Grid_Requirement'!BV25))</f>
        <v/>
      </c>
      <c r="BW25">
        <f>IF(COUNTIFS(T_StockCount[RM_Code],$A25,T_StockCount[WeekIndex],74)&gt;0,SUMIFS(T_StockCount[CountedQty],T_StockCount[RM_Code],$A25,T_StockCount[WeekIndex],74),IF((COUNTIFS(T_SelfStock[RM_Code],$A25,T_SelfStock[WeekIndex],74)&gt;0)*(COUNTIFS(T_TTAFStock[RM_Code],$A25,T_TTAFStock[WeekIndex],74)&gt;0)&gt;0,SUMIFS(T_SelfStock[Self_Qty],T_SelfStock[RM_Code],$A25,T_SelfStock[WeekIndex],74)+SUMIFS(T_TTAFStock[TTAF_Qty],T_TTAFStock[RM_Code],$A25,T_TTAFStock[WeekIndex],74),BV25+'Grid_Incoming'!BW25-'Grid_Requirement'!BW25))</f>
        <v/>
      </c>
      <c r="BX25">
        <f>IF(COUNTIFS(T_StockCount[RM_Code],$A25,T_StockCount[WeekIndex],75)&gt;0,SUMIFS(T_StockCount[CountedQty],T_StockCount[RM_Code],$A25,T_StockCount[WeekIndex],75),IF((COUNTIFS(T_SelfStock[RM_Code],$A25,T_SelfStock[WeekIndex],75)&gt;0)*(COUNTIFS(T_TTAFStock[RM_Code],$A25,T_TTAFStock[WeekIndex],75)&gt;0)&gt;0,SUMIFS(T_SelfStock[Self_Qty],T_SelfStock[RM_Code],$A25,T_SelfStock[WeekIndex],75)+SUMIFS(T_TTAFStock[TTAF_Qty],T_TTAFStock[RM_Code],$A25,T_TTAFStock[WeekIndex],75),BW25+'Grid_Incoming'!BX25-'Grid_Requirement'!BX25))</f>
        <v/>
      </c>
      <c r="BY25">
        <f>IF(COUNTIFS(T_StockCount[RM_Code],$A25,T_StockCount[WeekIndex],76)&gt;0,SUMIFS(T_StockCount[CountedQty],T_StockCount[RM_Code],$A25,T_StockCount[WeekIndex],76),IF((COUNTIFS(T_SelfStock[RM_Code],$A25,T_SelfStock[WeekIndex],76)&gt;0)*(COUNTIFS(T_TTAFStock[RM_Code],$A25,T_TTAFStock[WeekIndex],76)&gt;0)&gt;0,SUMIFS(T_SelfStock[Self_Qty],T_SelfStock[RM_Code],$A25,T_SelfStock[WeekIndex],76)+SUMIFS(T_TTAFStock[TTAF_Qty],T_TTAFStock[RM_Code],$A25,T_TTAFStock[WeekIndex],76),BX25+'Grid_Incoming'!BY25-'Grid_Requirement'!BY25))</f>
        <v/>
      </c>
      <c r="BZ25">
        <f>IF(COUNTIFS(T_StockCount[RM_Code],$A25,T_StockCount[WeekIndex],77)&gt;0,SUMIFS(T_StockCount[CountedQty],T_StockCount[RM_Code],$A25,T_StockCount[WeekIndex],77),IF((COUNTIFS(T_SelfStock[RM_Code],$A25,T_SelfStock[WeekIndex],77)&gt;0)*(COUNTIFS(T_TTAFStock[RM_Code],$A25,T_TTAFStock[WeekIndex],77)&gt;0)&gt;0,SUMIFS(T_SelfStock[Self_Qty],T_SelfStock[RM_Code],$A25,T_SelfStock[WeekIndex],77)+SUMIFS(T_TTAFStock[TTAF_Qty],T_TTAFStock[RM_Code],$A25,T_TTAFStock[WeekIndex],77),BY25+'Grid_Incoming'!BZ25-'Grid_Requirement'!BZ25))</f>
        <v/>
      </c>
      <c r="CA25">
        <f>IF(COUNTIFS(T_StockCount[RM_Code],$A25,T_StockCount[WeekIndex],78)&gt;0,SUMIFS(T_StockCount[CountedQty],T_StockCount[RM_Code],$A25,T_StockCount[WeekIndex],78),IF((COUNTIFS(T_SelfStock[RM_Code],$A25,T_SelfStock[WeekIndex],78)&gt;0)*(COUNTIFS(T_TTAFStock[RM_Code],$A25,T_TTAFStock[WeekIndex],78)&gt;0)&gt;0,SUMIFS(T_SelfStock[Self_Qty],T_SelfStock[RM_Code],$A25,T_SelfStock[WeekIndex],78)+SUMIFS(T_TTAFStock[TTAF_Qty],T_TTAFStock[RM_Code],$A25,T_TTAFStock[WeekIndex],78),BZ25+'Grid_Incoming'!CA25-'Grid_Requirement'!CA25))</f>
        <v/>
      </c>
      <c r="CB25">
        <f>IF(COUNTIFS(T_StockCount[RM_Code],$A25,T_StockCount[WeekIndex],79)&gt;0,SUMIFS(T_StockCount[CountedQty],T_StockCount[RM_Code],$A25,T_StockCount[WeekIndex],79),IF((COUNTIFS(T_SelfStock[RM_Code],$A25,T_SelfStock[WeekIndex],79)&gt;0)*(COUNTIFS(T_TTAFStock[RM_Code],$A25,T_TTAFStock[WeekIndex],79)&gt;0)&gt;0,SUMIFS(T_SelfStock[Self_Qty],T_SelfStock[RM_Code],$A25,T_SelfStock[WeekIndex],79)+SUMIFS(T_TTAFStock[TTAF_Qty],T_TTAFStock[RM_Code],$A25,T_TTAFStock[WeekIndex],79),CA25+'Grid_Incoming'!CB25-'Grid_Requirement'!CB25))</f>
        <v/>
      </c>
      <c r="CC25">
        <f>IF(COUNTIFS(T_StockCount[RM_Code],$A25,T_StockCount[WeekIndex],80)&gt;0,SUMIFS(T_StockCount[CountedQty],T_StockCount[RM_Code],$A25,T_StockCount[WeekIndex],80),IF((COUNTIFS(T_SelfStock[RM_Code],$A25,T_SelfStock[WeekIndex],80)&gt;0)*(COUNTIFS(T_TTAFStock[RM_Code],$A25,T_TTAFStock[WeekIndex],80)&gt;0)&gt;0,SUMIFS(T_SelfStock[Self_Qty],T_SelfStock[RM_Code],$A25,T_SelfStock[WeekIndex],80)+SUMIFS(T_TTAFStock[TTAF_Qty],T_TTAFStock[RM_Code],$A25,T_TTAFStock[WeekIndex],80),CB25+'Grid_Incoming'!CC25-'Grid_Requirement'!CC25))</f>
        <v/>
      </c>
      <c r="CD25">
        <f>IF(COUNTIFS(T_StockCount[RM_Code],$A25,T_StockCount[WeekIndex],81)&gt;0,SUMIFS(T_StockCount[CountedQty],T_StockCount[RM_Code],$A25,T_StockCount[WeekIndex],81),IF((COUNTIFS(T_SelfStock[RM_Code],$A25,T_SelfStock[WeekIndex],81)&gt;0)*(COUNTIFS(T_TTAFStock[RM_Code],$A25,T_TTAFStock[WeekIndex],81)&gt;0)&gt;0,SUMIFS(T_SelfStock[Self_Qty],T_SelfStock[RM_Code],$A25,T_SelfStock[WeekIndex],81)+SUMIFS(T_TTAFStock[TTAF_Qty],T_TTAFStock[RM_Code],$A25,T_TTAFStock[WeekIndex],81),CC25+'Grid_Incoming'!CD25-'Grid_Requirement'!CD25))</f>
        <v/>
      </c>
      <c r="CE25">
        <f>IF(COUNTIFS(T_StockCount[RM_Code],$A25,T_StockCount[WeekIndex],82)&gt;0,SUMIFS(T_StockCount[CountedQty],T_StockCount[RM_Code],$A25,T_StockCount[WeekIndex],82),IF((COUNTIFS(T_SelfStock[RM_Code],$A25,T_SelfStock[WeekIndex],82)&gt;0)*(COUNTIFS(T_TTAFStock[RM_Code],$A25,T_TTAFStock[WeekIndex],82)&gt;0)&gt;0,SUMIFS(T_SelfStock[Self_Qty],T_SelfStock[RM_Code],$A25,T_SelfStock[WeekIndex],82)+SUMIFS(T_TTAFStock[TTAF_Qty],T_TTAFStock[RM_Code],$A25,T_TTAFStock[WeekIndex],82),CD25+'Grid_Incoming'!CE25-'Grid_Requirement'!CE25))</f>
        <v/>
      </c>
      <c r="CF25">
        <f>IF(COUNTIFS(T_StockCount[RM_Code],$A25,T_StockCount[WeekIndex],83)&gt;0,SUMIFS(T_StockCount[CountedQty],T_StockCount[RM_Code],$A25,T_StockCount[WeekIndex],83),IF((COUNTIFS(T_SelfStock[RM_Code],$A25,T_SelfStock[WeekIndex],83)&gt;0)*(COUNTIFS(T_TTAFStock[RM_Code],$A25,T_TTAFStock[WeekIndex],83)&gt;0)&gt;0,SUMIFS(T_SelfStock[Self_Qty],T_SelfStock[RM_Code],$A25,T_SelfStock[WeekIndex],83)+SUMIFS(T_TTAFStock[TTAF_Qty],T_TTAFStock[RM_Code],$A25,T_TTAFStock[WeekIndex],83),CE25+'Grid_Incoming'!CF25-'Grid_Requirement'!CF25))</f>
        <v/>
      </c>
      <c r="CG25">
        <f>IF(COUNTIFS(T_StockCount[RM_Code],$A25,T_StockCount[WeekIndex],84)&gt;0,SUMIFS(T_StockCount[CountedQty],T_StockCount[RM_Code],$A25,T_StockCount[WeekIndex],84),IF((COUNTIFS(T_SelfStock[RM_Code],$A25,T_SelfStock[WeekIndex],84)&gt;0)*(COUNTIFS(T_TTAFStock[RM_Code],$A25,T_TTAFStock[WeekIndex],84)&gt;0)&gt;0,SUMIFS(T_SelfStock[Self_Qty],T_SelfStock[RM_Code],$A25,T_SelfStock[WeekIndex],84)+SUMIFS(T_TTAFStock[TTAF_Qty],T_TTAFStock[RM_Code],$A25,T_TTAFStock[WeekIndex],84),CF25+'Grid_Incoming'!CG25-'Grid_Requirement'!CG25))</f>
        <v/>
      </c>
      <c r="CH25">
        <f>IF(COUNTIFS(T_StockCount[RM_Code],$A25,T_StockCount[WeekIndex],85)&gt;0,SUMIFS(T_StockCount[CountedQty],T_StockCount[RM_Code],$A25,T_StockCount[WeekIndex],85),IF((COUNTIFS(T_SelfStock[RM_Code],$A25,T_SelfStock[WeekIndex],85)&gt;0)*(COUNTIFS(T_TTAFStock[RM_Code],$A25,T_TTAFStock[WeekIndex],85)&gt;0)&gt;0,SUMIFS(T_SelfStock[Self_Qty],T_SelfStock[RM_Code],$A25,T_SelfStock[WeekIndex],85)+SUMIFS(T_TTAFStock[TTAF_Qty],T_TTAFStock[RM_Code],$A25,T_TTAFStock[WeekIndex],85),CG25+'Grid_Incoming'!CH25-'Grid_Requirement'!CH25))</f>
        <v/>
      </c>
      <c r="CI25">
        <f>IF(COUNTIFS(T_StockCount[RM_Code],$A25,T_StockCount[WeekIndex],86)&gt;0,SUMIFS(T_StockCount[CountedQty],T_StockCount[RM_Code],$A25,T_StockCount[WeekIndex],86),IF((COUNTIFS(T_SelfStock[RM_Code],$A25,T_SelfStock[WeekIndex],86)&gt;0)*(COUNTIFS(T_TTAFStock[RM_Code],$A25,T_TTAFStock[WeekIndex],86)&gt;0)&gt;0,SUMIFS(T_SelfStock[Self_Qty],T_SelfStock[RM_Code],$A25,T_SelfStock[WeekIndex],86)+SUMIFS(T_TTAFStock[TTAF_Qty],T_TTAFStock[RM_Code],$A25,T_TTAFStock[WeekIndex],86),CH25+'Grid_Incoming'!CI25-'Grid_Requirement'!CI25))</f>
        <v/>
      </c>
      <c r="CJ25">
        <f>IF(COUNTIFS(T_StockCount[RM_Code],$A25,T_StockCount[WeekIndex],87)&gt;0,SUMIFS(T_StockCount[CountedQty],T_StockCount[RM_Code],$A25,T_StockCount[WeekIndex],87),IF((COUNTIFS(T_SelfStock[RM_Code],$A25,T_SelfStock[WeekIndex],87)&gt;0)*(COUNTIFS(T_TTAFStock[RM_Code],$A25,T_TTAFStock[WeekIndex],87)&gt;0)&gt;0,SUMIFS(T_SelfStock[Self_Qty],T_SelfStock[RM_Code],$A25,T_SelfStock[WeekIndex],87)+SUMIFS(T_TTAFStock[TTAF_Qty],T_TTAFStock[RM_Code],$A25,T_TTAFStock[WeekIndex],87),CI25+'Grid_Incoming'!CJ25-'Grid_Requirement'!CJ25))</f>
        <v/>
      </c>
      <c r="CK25">
        <f>IF(COUNTIFS(T_StockCount[RM_Code],$A25,T_StockCount[WeekIndex],88)&gt;0,SUMIFS(T_StockCount[CountedQty],T_StockCount[RM_Code],$A25,T_StockCount[WeekIndex],88),IF((COUNTIFS(T_SelfStock[RM_Code],$A25,T_SelfStock[WeekIndex],88)&gt;0)*(COUNTIFS(T_TTAFStock[RM_Code],$A25,T_TTAFStock[WeekIndex],88)&gt;0)&gt;0,SUMIFS(T_SelfStock[Self_Qty],T_SelfStock[RM_Code],$A25,T_SelfStock[WeekIndex],88)+SUMIFS(T_TTAFStock[TTAF_Qty],T_TTAFStock[RM_Code],$A25,T_TTAFStock[WeekIndex],88),CJ25+'Grid_Incoming'!CK25-'Grid_Requirement'!CK25))</f>
        <v/>
      </c>
      <c r="CL25">
        <f>IF(COUNTIFS(T_StockCount[RM_Code],$A25,T_StockCount[WeekIndex],89)&gt;0,SUMIFS(T_StockCount[CountedQty],T_StockCount[RM_Code],$A25,T_StockCount[WeekIndex],89),IF((COUNTIFS(T_SelfStock[RM_Code],$A25,T_SelfStock[WeekIndex],89)&gt;0)*(COUNTIFS(T_TTAFStock[RM_Code],$A25,T_TTAFStock[WeekIndex],89)&gt;0)&gt;0,SUMIFS(T_SelfStock[Self_Qty],T_SelfStock[RM_Code],$A25,T_SelfStock[WeekIndex],89)+SUMIFS(T_TTAFStock[TTAF_Qty],T_TTAFStock[RM_Code],$A25,T_TTAFStock[WeekIndex],89),CK25+'Grid_Incoming'!CL25-'Grid_Requirement'!CL25))</f>
        <v/>
      </c>
      <c r="CM25">
        <f>IF(COUNTIFS(T_StockCount[RM_Code],$A25,T_StockCount[WeekIndex],90)&gt;0,SUMIFS(T_StockCount[CountedQty],T_StockCount[RM_Code],$A25,T_StockCount[WeekIndex],90),IF((COUNTIFS(T_SelfStock[RM_Code],$A25,T_SelfStock[WeekIndex],90)&gt;0)*(COUNTIFS(T_TTAFStock[RM_Code],$A25,T_TTAFStock[WeekIndex],90)&gt;0)&gt;0,SUMIFS(T_SelfStock[Self_Qty],T_SelfStock[RM_Code],$A25,T_SelfStock[WeekIndex],90)+SUMIFS(T_TTAFStock[TTAF_Qty],T_TTAFStock[RM_Code],$A25,T_TTAFStock[WeekIndex],90),CL25+'Grid_Incoming'!CM25-'Grid_Requirement'!CM25))</f>
        <v/>
      </c>
      <c r="CN25">
        <f>IF(COUNTIFS(T_StockCount[RM_Code],$A25,T_StockCount[WeekIndex],91)&gt;0,SUMIFS(T_StockCount[CountedQty],T_StockCount[RM_Code],$A25,T_StockCount[WeekIndex],91),IF((COUNTIFS(T_SelfStock[RM_Code],$A25,T_SelfStock[WeekIndex],91)&gt;0)*(COUNTIFS(T_TTAFStock[RM_Code],$A25,T_TTAFStock[WeekIndex],91)&gt;0)&gt;0,SUMIFS(T_SelfStock[Self_Qty],T_SelfStock[RM_Code],$A25,T_SelfStock[WeekIndex],91)+SUMIFS(T_TTAFStock[TTAF_Qty],T_TTAFStock[RM_Code],$A25,T_TTAFStock[WeekIndex],91),CM25+'Grid_Incoming'!CN25-'Grid_Requirement'!CN25))</f>
        <v/>
      </c>
      <c r="CO25">
        <f>IF(COUNTIFS(T_StockCount[RM_Code],$A25,T_StockCount[WeekIndex],92)&gt;0,SUMIFS(T_StockCount[CountedQty],T_StockCount[RM_Code],$A25,T_StockCount[WeekIndex],92),IF((COUNTIFS(T_SelfStock[RM_Code],$A25,T_SelfStock[WeekIndex],92)&gt;0)*(COUNTIFS(T_TTAFStock[RM_Code],$A25,T_TTAFStock[WeekIndex],92)&gt;0)&gt;0,SUMIFS(T_SelfStock[Self_Qty],T_SelfStock[RM_Code],$A25,T_SelfStock[WeekIndex],92)+SUMIFS(T_TTAFStock[TTAF_Qty],T_TTAFStock[RM_Code],$A25,T_TTAFStock[WeekIndex],92),CN25+'Grid_Incoming'!CO25-'Grid_Requirement'!CO25))</f>
        <v/>
      </c>
      <c r="CP25">
        <f>IF(COUNTIFS(T_StockCount[RM_Code],$A25,T_StockCount[WeekIndex],93)&gt;0,SUMIFS(T_StockCount[CountedQty],T_StockCount[RM_Code],$A25,T_StockCount[WeekIndex],93),IF((COUNTIFS(T_SelfStock[RM_Code],$A25,T_SelfStock[WeekIndex],93)&gt;0)*(COUNTIFS(T_TTAFStock[RM_Code],$A25,T_TTAFStock[WeekIndex],93)&gt;0)&gt;0,SUMIFS(T_SelfStock[Self_Qty],T_SelfStock[RM_Code],$A25,T_SelfStock[WeekIndex],93)+SUMIFS(T_TTAFStock[TTAF_Qty],T_TTAFStock[RM_Code],$A25,T_TTAFStock[WeekIndex],93),CO25+'Grid_Incoming'!CP25-'Grid_Requirement'!CP25))</f>
        <v/>
      </c>
      <c r="CQ25">
        <f>IF(COUNTIFS(T_StockCount[RM_Code],$A25,T_StockCount[WeekIndex],94)&gt;0,SUMIFS(T_StockCount[CountedQty],T_StockCount[RM_Code],$A25,T_StockCount[WeekIndex],94),IF((COUNTIFS(T_SelfStock[RM_Code],$A25,T_SelfStock[WeekIndex],94)&gt;0)*(COUNTIFS(T_TTAFStock[RM_Code],$A25,T_TTAFStock[WeekIndex],94)&gt;0)&gt;0,SUMIFS(T_SelfStock[Self_Qty],T_SelfStock[RM_Code],$A25,T_SelfStock[WeekIndex],94)+SUMIFS(T_TTAFStock[TTAF_Qty],T_TTAFStock[RM_Code],$A25,T_TTAFStock[WeekIndex],94),CP25+'Grid_Incoming'!CQ25-'Grid_Requirement'!CQ25))</f>
        <v/>
      </c>
      <c r="CR25">
        <f>IF(COUNTIFS(T_StockCount[RM_Code],$A25,T_StockCount[WeekIndex],95)&gt;0,SUMIFS(T_StockCount[CountedQty],T_StockCount[RM_Code],$A25,T_StockCount[WeekIndex],95),IF((COUNTIFS(T_SelfStock[RM_Code],$A25,T_SelfStock[WeekIndex],95)&gt;0)*(COUNTIFS(T_TTAFStock[RM_Code],$A25,T_TTAFStock[WeekIndex],95)&gt;0)&gt;0,SUMIFS(T_SelfStock[Self_Qty],T_SelfStock[RM_Code],$A25,T_SelfStock[WeekIndex],95)+SUMIFS(T_TTAFStock[TTAF_Qty],T_TTAFStock[RM_Code],$A25,T_TTAFStock[WeekIndex],95),CQ25+'Grid_Incoming'!CR25-'Grid_Requirement'!CR25))</f>
        <v/>
      </c>
      <c r="CS25">
        <f>IF(COUNTIFS(T_StockCount[RM_Code],$A25,T_StockCount[WeekIndex],96)&gt;0,SUMIFS(T_StockCount[CountedQty],T_StockCount[RM_Code],$A25,T_StockCount[WeekIndex],96),IF((COUNTIFS(T_SelfStock[RM_Code],$A25,T_SelfStock[WeekIndex],96)&gt;0)*(COUNTIFS(T_TTAFStock[RM_Code],$A25,T_TTAFStock[WeekIndex],96)&gt;0)&gt;0,SUMIFS(T_SelfStock[Self_Qty],T_SelfStock[RM_Code],$A25,T_SelfStock[WeekIndex],96)+SUMIFS(T_TTAFStock[TTAF_Qty],T_TTAFStock[RM_Code],$A25,T_TTAFStock[WeekIndex],96),CR25+'Grid_Incoming'!CS25-'Grid_Requirement'!CS25))</f>
        <v/>
      </c>
      <c r="CT25">
        <f>IF(COUNTIFS(T_StockCount[RM_Code],$A25,T_StockCount[WeekIndex],97)&gt;0,SUMIFS(T_StockCount[CountedQty],T_StockCount[RM_Code],$A25,T_StockCount[WeekIndex],97),IF((COUNTIFS(T_SelfStock[RM_Code],$A25,T_SelfStock[WeekIndex],97)&gt;0)*(COUNTIFS(T_TTAFStock[RM_Code],$A25,T_TTAFStock[WeekIndex],97)&gt;0)&gt;0,SUMIFS(T_SelfStock[Self_Qty],T_SelfStock[RM_Code],$A25,T_SelfStock[WeekIndex],97)+SUMIFS(T_TTAFStock[TTAF_Qty],T_TTAFStock[RM_Code],$A25,T_TTAFStock[WeekIndex],97),CS25+'Grid_Incoming'!CT25-'Grid_Requirement'!CT25))</f>
        <v/>
      </c>
      <c r="CU25">
        <f>IF(COUNTIFS(T_StockCount[RM_Code],$A25,T_StockCount[WeekIndex],98)&gt;0,SUMIFS(T_StockCount[CountedQty],T_StockCount[RM_Code],$A25,T_StockCount[WeekIndex],98),IF((COUNTIFS(T_SelfStock[RM_Code],$A25,T_SelfStock[WeekIndex],98)&gt;0)*(COUNTIFS(T_TTAFStock[RM_Code],$A25,T_TTAFStock[WeekIndex],98)&gt;0)&gt;0,SUMIFS(T_SelfStock[Self_Qty],T_SelfStock[RM_Code],$A25,T_SelfStock[WeekIndex],98)+SUMIFS(T_TTAFStock[TTAF_Qty],T_TTAFStock[RM_Code],$A25,T_TTAFStock[WeekIndex],98),CT25+'Grid_Incoming'!CU25-'Grid_Requirement'!CU25))</f>
        <v/>
      </c>
      <c r="CV25">
        <f>IF(COUNTIFS(T_StockCount[RM_Code],$A25,T_StockCount[WeekIndex],99)&gt;0,SUMIFS(T_StockCount[CountedQty],T_StockCount[RM_Code],$A25,T_StockCount[WeekIndex],99),IF((COUNTIFS(T_SelfStock[RM_Code],$A25,T_SelfStock[WeekIndex],99)&gt;0)*(COUNTIFS(T_TTAFStock[RM_Code],$A25,T_TTAFStock[WeekIndex],99)&gt;0)&gt;0,SUMIFS(T_SelfStock[Self_Qty],T_SelfStock[RM_Code],$A25,T_SelfStock[WeekIndex],99)+SUMIFS(T_TTAFStock[TTAF_Qty],T_TTAFStock[RM_Code],$A25,T_TTAFStock[WeekIndex],99),CU25+'Grid_Incoming'!CV25-'Grid_Requirement'!CV25))</f>
        <v/>
      </c>
      <c r="CW25">
        <f>IF(COUNTIFS(T_StockCount[RM_Code],$A25,T_StockCount[WeekIndex],100)&gt;0,SUMIFS(T_StockCount[CountedQty],T_StockCount[RM_Code],$A25,T_StockCount[WeekIndex],100),IF((COUNTIFS(T_SelfStock[RM_Code],$A25,T_SelfStock[WeekIndex],100)&gt;0)*(COUNTIFS(T_TTAFStock[RM_Code],$A25,T_TTAFStock[WeekIndex],100)&gt;0)&gt;0,SUMIFS(T_SelfStock[Self_Qty],T_SelfStock[RM_Code],$A25,T_SelfStock[WeekIndex],100)+SUMIFS(T_TTAFStock[TTAF_Qty],T_TTAFStock[RM_Code],$A25,T_TTAFStock[WeekIndex],100),CV25+'Grid_Incoming'!CW25-'Grid_Requirement'!CW25))</f>
        <v/>
      </c>
      <c r="CX25">
        <f>IF(COUNTIFS(T_StockCount[RM_Code],$A25,T_StockCount[WeekIndex],101)&gt;0,SUMIFS(T_StockCount[CountedQty],T_StockCount[RM_Code],$A25,T_StockCount[WeekIndex],101),IF((COUNTIFS(T_SelfStock[RM_Code],$A25,T_SelfStock[WeekIndex],101)&gt;0)*(COUNTIFS(T_TTAFStock[RM_Code],$A25,T_TTAFStock[WeekIndex],101)&gt;0)&gt;0,SUMIFS(T_SelfStock[Self_Qty],T_SelfStock[RM_Code],$A25,T_SelfStock[WeekIndex],101)+SUMIFS(T_TTAFStock[TTAF_Qty],T_TTAFStock[RM_Code],$A25,T_TTAFStock[WeekIndex],101),CW25+'Grid_Incoming'!CX25-'Grid_Requirement'!CX25))</f>
        <v/>
      </c>
      <c r="CY25">
        <f>IF(COUNTIFS(T_StockCount[RM_Code],$A25,T_StockCount[WeekIndex],102)&gt;0,SUMIFS(T_StockCount[CountedQty],T_StockCount[RM_Code],$A25,T_StockCount[WeekIndex],102),IF((COUNTIFS(T_SelfStock[RM_Code],$A25,T_SelfStock[WeekIndex],102)&gt;0)*(COUNTIFS(T_TTAFStock[RM_Code],$A25,T_TTAFStock[WeekIndex],102)&gt;0)&gt;0,SUMIFS(T_SelfStock[Self_Qty],T_SelfStock[RM_Code],$A25,T_SelfStock[WeekIndex],102)+SUMIFS(T_TTAFStock[TTAF_Qty],T_TTAFStock[RM_Code],$A25,T_TTAFStock[WeekIndex],102),CX25+'Grid_Incoming'!CY25-'Grid_Requirement'!CY25))</f>
        <v/>
      </c>
      <c r="CZ25">
        <f>IF(COUNTIFS(T_StockCount[RM_Code],$A25,T_StockCount[WeekIndex],103)&gt;0,SUMIFS(T_StockCount[CountedQty],T_StockCount[RM_Code],$A25,T_StockCount[WeekIndex],103),IF((COUNTIFS(T_SelfStock[RM_Code],$A25,T_SelfStock[WeekIndex],103)&gt;0)*(COUNTIFS(T_TTAFStock[RM_Code],$A25,T_TTAFStock[WeekIndex],103)&gt;0)&gt;0,SUMIFS(T_SelfStock[Self_Qty],T_SelfStock[RM_Code],$A25,T_SelfStock[WeekIndex],103)+SUMIFS(T_TTAFStock[TTAF_Qty],T_TTAFStock[RM_Code],$A25,T_TTAFStock[WeekIndex],103),CY25+'Grid_Incoming'!CZ25-'Grid_Requirement'!CZ25))</f>
        <v/>
      </c>
      <c r="DA25">
        <f>IF(COUNTIFS(T_StockCount[RM_Code],$A25,T_StockCount[WeekIndex],104)&gt;0,SUMIFS(T_StockCount[CountedQty],T_StockCount[RM_Code],$A25,T_StockCount[WeekIndex],104),IF((COUNTIFS(T_SelfStock[RM_Code],$A25,T_SelfStock[WeekIndex],104)&gt;0)*(COUNTIFS(T_TTAFStock[RM_Code],$A25,T_TTAFStock[WeekIndex],104)&gt;0)&gt;0,SUMIFS(T_SelfStock[Self_Qty],T_SelfStock[RM_Code],$A25,T_SelfStock[WeekIndex],104)+SUMIFS(T_TTAFStock[TTAF_Qty],T_TTAFStock[RM_Code],$A25,T_TTAFStock[WeekIndex],104),CZ25+'Grid_Incoming'!DA25-'Grid_Requirement'!DA25))</f>
        <v/>
      </c>
    </row>
    <row r="26">
      <c r="A26" t="inlineStr">
        <is>
          <t>CHEM-1760</t>
        </is>
      </c>
      <c r="B26">
        <f>IF(COUNTIFS(T_StockCount[RM_Code],$A26,T_StockCount[WeekIndex],1)&gt;0,SUMIFS(T_StockCount[CountedQty],T_StockCount[RM_Code],$A26,T_StockCount[WeekIndex],1),IF((COUNTIFS(T_SelfStock[RM_Code],$A26,T_SelfStock[WeekIndex],1)&gt;0)*(COUNTIFS(T_TTAFStock[RM_Code],$A26,T_TTAFStock[WeekIndex],1)&gt;0)&gt;0,SUMIFS(T_SelfStock[Self_Qty],T_SelfStock[RM_Code],$A26,T_SelfStock[WeekIndex],1)+SUMIFS(T_TTAFStock[TTAF_Qty],T_TTAFStock[RM_Code],$A26,T_TTAFStock[WeekIndex],1),IFERROR(INDEX(T_OpeningStock[Opening_Qty],MATCH($A26,T_OpeningStock[RM_Code],0)),0)+'Grid_Incoming'!B26-'Grid_Requirement'!B26))</f>
        <v/>
      </c>
      <c r="C26">
        <f>IF(COUNTIFS(T_StockCount[RM_Code],$A26,T_StockCount[WeekIndex],2)&gt;0,SUMIFS(T_StockCount[CountedQty],T_StockCount[RM_Code],$A26,T_StockCount[WeekIndex],2),IF((COUNTIFS(T_SelfStock[RM_Code],$A26,T_SelfStock[WeekIndex],2)&gt;0)*(COUNTIFS(T_TTAFStock[RM_Code],$A26,T_TTAFStock[WeekIndex],2)&gt;0)&gt;0,SUMIFS(T_SelfStock[Self_Qty],T_SelfStock[RM_Code],$A26,T_SelfStock[WeekIndex],2)+SUMIFS(T_TTAFStock[TTAF_Qty],T_TTAFStock[RM_Code],$A26,T_TTAFStock[WeekIndex],2),B26+'Grid_Incoming'!C26-'Grid_Requirement'!C26))</f>
        <v/>
      </c>
      <c r="D26">
        <f>IF(COUNTIFS(T_StockCount[RM_Code],$A26,T_StockCount[WeekIndex],3)&gt;0,SUMIFS(T_StockCount[CountedQty],T_StockCount[RM_Code],$A26,T_StockCount[WeekIndex],3),IF((COUNTIFS(T_SelfStock[RM_Code],$A26,T_SelfStock[WeekIndex],3)&gt;0)*(COUNTIFS(T_TTAFStock[RM_Code],$A26,T_TTAFStock[WeekIndex],3)&gt;0)&gt;0,SUMIFS(T_SelfStock[Self_Qty],T_SelfStock[RM_Code],$A26,T_SelfStock[WeekIndex],3)+SUMIFS(T_TTAFStock[TTAF_Qty],T_TTAFStock[RM_Code],$A26,T_TTAFStock[WeekIndex],3),C26+'Grid_Incoming'!D26-'Grid_Requirement'!D26))</f>
        <v/>
      </c>
      <c r="E26">
        <f>IF(COUNTIFS(T_StockCount[RM_Code],$A26,T_StockCount[WeekIndex],4)&gt;0,SUMIFS(T_StockCount[CountedQty],T_StockCount[RM_Code],$A26,T_StockCount[WeekIndex],4),IF((COUNTIFS(T_SelfStock[RM_Code],$A26,T_SelfStock[WeekIndex],4)&gt;0)*(COUNTIFS(T_TTAFStock[RM_Code],$A26,T_TTAFStock[WeekIndex],4)&gt;0)&gt;0,SUMIFS(T_SelfStock[Self_Qty],T_SelfStock[RM_Code],$A26,T_SelfStock[WeekIndex],4)+SUMIFS(T_TTAFStock[TTAF_Qty],T_TTAFStock[RM_Code],$A26,T_TTAFStock[WeekIndex],4),D26+'Grid_Incoming'!E26-'Grid_Requirement'!E26))</f>
        <v/>
      </c>
      <c r="F26">
        <f>IF(COUNTIFS(T_StockCount[RM_Code],$A26,T_StockCount[WeekIndex],5)&gt;0,SUMIFS(T_StockCount[CountedQty],T_StockCount[RM_Code],$A26,T_StockCount[WeekIndex],5),IF((COUNTIFS(T_SelfStock[RM_Code],$A26,T_SelfStock[WeekIndex],5)&gt;0)*(COUNTIFS(T_TTAFStock[RM_Code],$A26,T_TTAFStock[WeekIndex],5)&gt;0)&gt;0,SUMIFS(T_SelfStock[Self_Qty],T_SelfStock[RM_Code],$A26,T_SelfStock[WeekIndex],5)+SUMIFS(T_TTAFStock[TTAF_Qty],T_TTAFStock[RM_Code],$A26,T_TTAFStock[WeekIndex],5),E26+'Grid_Incoming'!F26-'Grid_Requirement'!F26))</f>
        <v/>
      </c>
      <c r="G26">
        <f>IF(COUNTIFS(T_StockCount[RM_Code],$A26,T_StockCount[WeekIndex],6)&gt;0,SUMIFS(T_StockCount[CountedQty],T_StockCount[RM_Code],$A26,T_StockCount[WeekIndex],6),IF((COUNTIFS(T_SelfStock[RM_Code],$A26,T_SelfStock[WeekIndex],6)&gt;0)*(COUNTIFS(T_TTAFStock[RM_Code],$A26,T_TTAFStock[WeekIndex],6)&gt;0)&gt;0,SUMIFS(T_SelfStock[Self_Qty],T_SelfStock[RM_Code],$A26,T_SelfStock[WeekIndex],6)+SUMIFS(T_TTAFStock[TTAF_Qty],T_TTAFStock[RM_Code],$A26,T_TTAFStock[WeekIndex],6),F26+'Grid_Incoming'!G26-'Grid_Requirement'!G26))</f>
        <v/>
      </c>
      <c r="H26">
        <f>IF(COUNTIFS(T_StockCount[RM_Code],$A26,T_StockCount[WeekIndex],7)&gt;0,SUMIFS(T_StockCount[CountedQty],T_StockCount[RM_Code],$A26,T_StockCount[WeekIndex],7),IF((COUNTIFS(T_SelfStock[RM_Code],$A26,T_SelfStock[WeekIndex],7)&gt;0)*(COUNTIFS(T_TTAFStock[RM_Code],$A26,T_TTAFStock[WeekIndex],7)&gt;0)&gt;0,SUMIFS(T_SelfStock[Self_Qty],T_SelfStock[RM_Code],$A26,T_SelfStock[WeekIndex],7)+SUMIFS(T_TTAFStock[TTAF_Qty],T_TTAFStock[RM_Code],$A26,T_TTAFStock[WeekIndex],7),G26+'Grid_Incoming'!H26-'Grid_Requirement'!H26))</f>
        <v/>
      </c>
      <c r="I26">
        <f>IF(COUNTIFS(T_StockCount[RM_Code],$A26,T_StockCount[WeekIndex],8)&gt;0,SUMIFS(T_StockCount[CountedQty],T_StockCount[RM_Code],$A26,T_StockCount[WeekIndex],8),IF((COUNTIFS(T_SelfStock[RM_Code],$A26,T_SelfStock[WeekIndex],8)&gt;0)*(COUNTIFS(T_TTAFStock[RM_Code],$A26,T_TTAFStock[WeekIndex],8)&gt;0)&gt;0,SUMIFS(T_SelfStock[Self_Qty],T_SelfStock[RM_Code],$A26,T_SelfStock[WeekIndex],8)+SUMIFS(T_TTAFStock[TTAF_Qty],T_TTAFStock[RM_Code],$A26,T_TTAFStock[WeekIndex],8),H26+'Grid_Incoming'!I26-'Grid_Requirement'!I26))</f>
        <v/>
      </c>
      <c r="J26">
        <f>IF(COUNTIFS(T_StockCount[RM_Code],$A26,T_StockCount[WeekIndex],9)&gt;0,SUMIFS(T_StockCount[CountedQty],T_StockCount[RM_Code],$A26,T_StockCount[WeekIndex],9),IF((COUNTIFS(T_SelfStock[RM_Code],$A26,T_SelfStock[WeekIndex],9)&gt;0)*(COUNTIFS(T_TTAFStock[RM_Code],$A26,T_TTAFStock[WeekIndex],9)&gt;0)&gt;0,SUMIFS(T_SelfStock[Self_Qty],T_SelfStock[RM_Code],$A26,T_SelfStock[WeekIndex],9)+SUMIFS(T_TTAFStock[TTAF_Qty],T_TTAFStock[RM_Code],$A26,T_TTAFStock[WeekIndex],9),I26+'Grid_Incoming'!J26-'Grid_Requirement'!J26))</f>
        <v/>
      </c>
      <c r="K26">
        <f>IF(COUNTIFS(T_StockCount[RM_Code],$A26,T_StockCount[WeekIndex],10)&gt;0,SUMIFS(T_StockCount[CountedQty],T_StockCount[RM_Code],$A26,T_StockCount[WeekIndex],10),IF((COUNTIFS(T_SelfStock[RM_Code],$A26,T_SelfStock[WeekIndex],10)&gt;0)*(COUNTIFS(T_TTAFStock[RM_Code],$A26,T_TTAFStock[WeekIndex],10)&gt;0)&gt;0,SUMIFS(T_SelfStock[Self_Qty],T_SelfStock[RM_Code],$A26,T_SelfStock[WeekIndex],10)+SUMIFS(T_TTAFStock[TTAF_Qty],T_TTAFStock[RM_Code],$A26,T_TTAFStock[WeekIndex],10),J26+'Grid_Incoming'!K26-'Grid_Requirement'!K26))</f>
        <v/>
      </c>
      <c r="L26">
        <f>IF(COUNTIFS(T_StockCount[RM_Code],$A26,T_StockCount[WeekIndex],11)&gt;0,SUMIFS(T_StockCount[CountedQty],T_StockCount[RM_Code],$A26,T_StockCount[WeekIndex],11),IF((COUNTIFS(T_SelfStock[RM_Code],$A26,T_SelfStock[WeekIndex],11)&gt;0)*(COUNTIFS(T_TTAFStock[RM_Code],$A26,T_TTAFStock[WeekIndex],11)&gt;0)&gt;0,SUMIFS(T_SelfStock[Self_Qty],T_SelfStock[RM_Code],$A26,T_SelfStock[WeekIndex],11)+SUMIFS(T_TTAFStock[TTAF_Qty],T_TTAFStock[RM_Code],$A26,T_TTAFStock[WeekIndex],11),K26+'Grid_Incoming'!L26-'Grid_Requirement'!L26))</f>
        <v/>
      </c>
      <c r="M26">
        <f>IF(COUNTIFS(T_StockCount[RM_Code],$A26,T_StockCount[WeekIndex],12)&gt;0,SUMIFS(T_StockCount[CountedQty],T_StockCount[RM_Code],$A26,T_StockCount[WeekIndex],12),IF((COUNTIFS(T_SelfStock[RM_Code],$A26,T_SelfStock[WeekIndex],12)&gt;0)*(COUNTIFS(T_TTAFStock[RM_Code],$A26,T_TTAFStock[WeekIndex],12)&gt;0)&gt;0,SUMIFS(T_SelfStock[Self_Qty],T_SelfStock[RM_Code],$A26,T_SelfStock[WeekIndex],12)+SUMIFS(T_TTAFStock[TTAF_Qty],T_TTAFStock[RM_Code],$A26,T_TTAFStock[WeekIndex],12),L26+'Grid_Incoming'!M26-'Grid_Requirement'!M26))</f>
        <v/>
      </c>
      <c r="N26">
        <f>IF(COUNTIFS(T_StockCount[RM_Code],$A26,T_StockCount[WeekIndex],13)&gt;0,SUMIFS(T_StockCount[CountedQty],T_StockCount[RM_Code],$A26,T_StockCount[WeekIndex],13),IF((COUNTIFS(T_SelfStock[RM_Code],$A26,T_SelfStock[WeekIndex],13)&gt;0)*(COUNTIFS(T_TTAFStock[RM_Code],$A26,T_TTAFStock[WeekIndex],13)&gt;0)&gt;0,SUMIFS(T_SelfStock[Self_Qty],T_SelfStock[RM_Code],$A26,T_SelfStock[WeekIndex],13)+SUMIFS(T_TTAFStock[TTAF_Qty],T_TTAFStock[RM_Code],$A26,T_TTAFStock[WeekIndex],13),M26+'Grid_Incoming'!N26-'Grid_Requirement'!N26))</f>
        <v/>
      </c>
      <c r="O26">
        <f>IF(COUNTIFS(T_StockCount[RM_Code],$A26,T_StockCount[WeekIndex],14)&gt;0,SUMIFS(T_StockCount[CountedQty],T_StockCount[RM_Code],$A26,T_StockCount[WeekIndex],14),IF((COUNTIFS(T_SelfStock[RM_Code],$A26,T_SelfStock[WeekIndex],14)&gt;0)*(COUNTIFS(T_TTAFStock[RM_Code],$A26,T_TTAFStock[WeekIndex],14)&gt;0)&gt;0,SUMIFS(T_SelfStock[Self_Qty],T_SelfStock[RM_Code],$A26,T_SelfStock[WeekIndex],14)+SUMIFS(T_TTAFStock[TTAF_Qty],T_TTAFStock[RM_Code],$A26,T_TTAFStock[WeekIndex],14),N26+'Grid_Incoming'!O26-'Grid_Requirement'!O26))</f>
        <v/>
      </c>
      <c r="P26">
        <f>IF(COUNTIFS(T_StockCount[RM_Code],$A26,T_StockCount[WeekIndex],15)&gt;0,SUMIFS(T_StockCount[CountedQty],T_StockCount[RM_Code],$A26,T_StockCount[WeekIndex],15),IF((COUNTIFS(T_SelfStock[RM_Code],$A26,T_SelfStock[WeekIndex],15)&gt;0)*(COUNTIFS(T_TTAFStock[RM_Code],$A26,T_TTAFStock[WeekIndex],15)&gt;0)&gt;0,SUMIFS(T_SelfStock[Self_Qty],T_SelfStock[RM_Code],$A26,T_SelfStock[WeekIndex],15)+SUMIFS(T_TTAFStock[TTAF_Qty],T_TTAFStock[RM_Code],$A26,T_TTAFStock[WeekIndex],15),O26+'Grid_Incoming'!P26-'Grid_Requirement'!P26))</f>
        <v/>
      </c>
      <c r="Q26">
        <f>IF(COUNTIFS(T_StockCount[RM_Code],$A26,T_StockCount[WeekIndex],16)&gt;0,SUMIFS(T_StockCount[CountedQty],T_StockCount[RM_Code],$A26,T_StockCount[WeekIndex],16),IF((COUNTIFS(T_SelfStock[RM_Code],$A26,T_SelfStock[WeekIndex],16)&gt;0)*(COUNTIFS(T_TTAFStock[RM_Code],$A26,T_TTAFStock[WeekIndex],16)&gt;0)&gt;0,SUMIFS(T_SelfStock[Self_Qty],T_SelfStock[RM_Code],$A26,T_SelfStock[WeekIndex],16)+SUMIFS(T_TTAFStock[TTAF_Qty],T_TTAFStock[RM_Code],$A26,T_TTAFStock[WeekIndex],16),P26+'Grid_Incoming'!Q26-'Grid_Requirement'!Q26))</f>
        <v/>
      </c>
      <c r="R26">
        <f>IF(COUNTIFS(T_StockCount[RM_Code],$A26,T_StockCount[WeekIndex],17)&gt;0,SUMIFS(T_StockCount[CountedQty],T_StockCount[RM_Code],$A26,T_StockCount[WeekIndex],17),IF((COUNTIFS(T_SelfStock[RM_Code],$A26,T_SelfStock[WeekIndex],17)&gt;0)*(COUNTIFS(T_TTAFStock[RM_Code],$A26,T_TTAFStock[WeekIndex],17)&gt;0)&gt;0,SUMIFS(T_SelfStock[Self_Qty],T_SelfStock[RM_Code],$A26,T_SelfStock[WeekIndex],17)+SUMIFS(T_TTAFStock[TTAF_Qty],T_TTAFStock[RM_Code],$A26,T_TTAFStock[WeekIndex],17),Q26+'Grid_Incoming'!R26-'Grid_Requirement'!R26))</f>
        <v/>
      </c>
      <c r="S26">
        <f>IF(COUNTIFS(T_StockCount[RM_Code],$A26,T_StockCount[WeekIndex],18)&gt;0,SUMIFS(T_StockCount[CountedQty],T_StockCount[RM_Code],$A26,T_StockCount[WeekIndex],18),IF((COUNTIFS(T_SelfStock[RM_Code],$A26,T_SelfStock[WeekIndex],18)&gt;0)*(COUNTIFS(T_TTAFStock[RM_Code],$A26,T_TTAFStock[WeekIndex],18)&gt;0)&gt;0,SUMIFS(T_SelfStock[Self_Qty],T_SelfStock[RM_Code],$A26,T_SelfStock[WeekIndex],18)+SUMIFS(T_TTAFStock[TTAF_Qty],T_TTAFStock[RM_Code],$A26,T_TTAFStock[WeekIndex],18),R26+'Grid_Incoming'!S26-'Grid_Requirement'!S26))</f>
        <v/>
      </c>
      <c r="T26">
        <f>IF(COUNTIFS(T_StockCount[RM_Code],$A26,T_StockCount[WeekIndex],19)&gt;0,SUMIFS(T_StockCount[CountedQty],T_StockCount[RM_Code],$A26,T_StockCount[WeekIndex],19),IF((COUNTIFS(T_SelfStock[RM_Code],$A26,T_SelfStock[WeekIndex],19)&gt;0)*(COUNTIFS(T_TTAFStock[RM_Code],$A26,T_TTAFStock[WeekIndex],19)&gt;0)&gt;0,SUMIFS(T_SelfStock[Self_Qty],T_SelfStock[RM_Code],$A26,T_SelfStock[WeekIndex],19)+SUMIFS(T_TTAFStock[TTAF_Qty],T_TTAFStock[RM_Code],$A26,T_TTAFStock[WeekIndex],19),S26+'Grid_Incoming'!T26-'Grid_Requirement'!T26))</f>
        <v/>
      </c>
      <c r="U26">
        <f>IF(COUNTIFS(T_StockCount[RM_Code],$A26,T_StockCount[WeekIndex],20)&gt;0,SUMIFS(T_StockCount[CountedQty],T_StockCount[RM_Code],$A26,T_StockCount[WeekIndex],20),IF((COUNTIFS(T_SelfStock[RM_Code],$A26,T_SelfStock[WeekIndex],20)&gt;0)*(COUNTIFS(T_TTAFStock[RM_Code],$A26,T_TTAFStock[WeekIndex],20)&gt;0)&gt;0,SUMIFS(T_SelfStock[Self_Qty],T_SelfStock[RM_Code],$A26,T_SelfStock[WeekIndex],20)+SUMIFS(T_TTAFStock[TTAF_Qty],T_TTAFStock[RM_Code],$A26,T_TTAFStock[WeekIndex],20),T26+'Grid_Incoming'!U26-'Grid_Requirement'!U26))</f>
        <v/>
      </c>
      <c r="V26">
        <f>IF(COUNTIFS(T_StockCount[RM_Code],$A26,T_StockCount[WeekIndex],21)&gt;0,SUMIFS(T_StockCount[CountedQty],T_StockCount[RM_Code],$A26,T_StockCount[WeekIndex],21),IF((COUNTIFS(T_SelfStock[RM_Code],$A26,T_SelfStock[WeekIndex],21)&gt;0)*(COUNTIFS(T_TTAFStock[RM_Code],$A26,T_TTAFStock[WeekIndex],21)&gt;0)&gt;0,SUMIFS(T_SelfStock[Self_Qty],T_SelfStock[RM_Code],$A26,T_SelfStock[WeekIndex],21)+SUMIFS(T_TTAFStock[TTAF_Qty],T_TTAFStock[RM_Code],$A26,T_TTAFStock[WeekIndex],21),U26+'Grid_Incoming'!V26-'Grid_Requirement'!V26))</f>
        <v/>
      </c>
      <c r="W26">
        <f>IF(COUNTIFS(T_StockCount[RM_Code],$A26,T_StockCount[WeekIndex],22)&gt;0,SUMIFS(T_StockCount[CountedQty],T_StockCount[RM_Code],$A26,T_StockCount[WeekIndex],22),IF((COUNTIFS(T_SelfStock[RM_Code],$A26,T_SelfStock[WeekIndex],22)&gt;0)*(COUNTIFS(T_TTAFStock[RM_Code],$A26,T_TTAFStock[WeekIndex],22)&gt;0)&gt;0,SUMIFS(T_SelfStock[Self_Qty],T_SelfStock[RM_Code],$A26,T_SelfStock[WeekIndex],22)+SUMIFS(T_TTAFStock[TTAF_Qty],T_TTAFStock[RM_Code],$A26,T_TTAFStock[WeekIndex],22),V26+'Grid_Incoming'!W26-'Grid_Requirement'!W26))</f>
        <v/>
      </c>
      <c r="X26">
        <f>IF(COUNTIFS(T_StockCount[RM_Code],$A26,T_StockCount[WeekIndex],23)&gt;0,SUMIFS(T_StockCount[CountedQty],T_StockCount[RM_Code],$A26,T_StockCount[WeekIndex],23),IF((COUNTIFS(T_SelfStock[RM_Code],$A26,T_SelfStock[WeekIndex],23)&gt;0)*(COUNTIFS(T_TTAFStock[RM_Code],$A26,T_TTAFStock[WeekIndex],23)&gt;0)&gt;0,SUMIFS(T_SelfStock[Self_Qty],T_SelfStock[RM_Code],$A26,T_SelfStock[WeekIndex],23)+SUMIFS(T_TTAFStock[TTAF_Qty],T_TTAFStock[RM_Code],$A26,T_TTAFStock[WeekIndex],23),W26+'Grid_Incoming'!X26-'Grid_Requirement'!X26))</f>
        <v/>
      </c>
      <c r="Y26">
        <f>IF(COUNTIFS(T_StockCount[RM_Code],$A26,T_StockCount[WeekIndex],24)&gt;0,SUMIFS(T_StockCount[CountedQty],T_StockCount[RM_Code],$A26,T_StockCount[WeekIndex],24),IF((COUNTIFS(T_SelfStock[RM_Code],$A26,T_SelfStock[WeekIndex],24)&gt;0)*(COUNTIFS(T_TTAFStock[RM_Code],$A26,T_TTAFStock[WeekIndex],24)&gt;0)&gt;0,SUMIFS(T_SelfStock[Self_Qty],T_SelfStock[RM_Code],$A26,T_SelfStock[WeekIndex],24)+SUMIFS(T_TTAFStock[TTAF_Qty],T_TTAFStock[RM_Code],$A26,T_TTAFStock[WeekIndex],24),X26+'Grid_Incoming'!Y26-'Grid_Requirement'!Y26))</f>
        <v/>
      </c>
      <c r="Z26">
        <f>IF(COUNTIFS(T_StockCount[RM_Code],$A26,T_StockCount[WeekIndex],25)&gt;0,SUMIFS(T_StockCount[CountedQty],T_StockCount[RM_Code],$A26,T_StockCount[WeekIndex],25),IF((COUNTIFS(T_SelfStock[RM_Code],$A26,T_SelfStock[WeekIndex],25)&gt;0)*(COUNTIFS(T_TTAFStock[RM_Code],$A26,T_TTAFStock[WeekIndex],25)&gt;0)&gt;0,SUMIFS(T_SelfStock[Self_Qty],T_SelfStock[RM_Code],$A26,T_SelfStock[WeekIndex],25)+SUMIFS(T_TTAFStock[TTAF_Qty],T_TTAFStock[RM_Code],$A26,T_TTAFStock[WeekIndex],25),Y26+'Grid_Incoming'!Z26-'Grid_Requirement'!Z26))</f>
        <v/>
      </c>
      <c r="AA26">
        <f>IF(COUNTIFS(T_StockCount[RM_Code],$A26,T_StockCount[WeekIndex],26)&gt;0,SUMIFS(T_StockCount[CountedQty],T_StockCount[RM_Code],$A26,T_StockCount[WeekIndex],26),IF((COUNTIFS(T_SelfStock[RM_Code],$A26,T_SelfStock[WeekIndex],26)&gt;0)*(COUNTIFS(T_TTAFStock[RM_Code],$A26,T_TTAFStock[WeekIndex],26)&gt;0)&gt;0,SUMIFS(T_SelfStock[Self_Qty],T_SelfStock[RM_Code],$A26,T_SelfStock[WeekIndex],26)+SUMIFS(T_TTAFStock[TTAF_Qty],T_TTAFStock[RM_Code],$A26,T_TTAFStock[WeekIndex],26),Z26+'Grid_Incoming'!AA26-'Grid_Requirement'!AA26))</f>
        <v/>
      </c>
      <c r="AB26">
        <f>IF(COUNTIFS(T_StockCount[RM_Code],$A26,T_StockCount[WeekIndex],27)&gt;0,SUMIFS(T_StockCount[CountedQty],T_StockCount[RM_Code],$A26,T_StockCount[WeekIndex],27),IF((COUNTIFS(T_SelfStock[RM_Code],$A26,T_SelfStock[WeekIndex],27)&gt;0)*(COUNTIFS(T_TTAFStock[RM_Code],$A26,T_TTAFStock[WeekIndex],27)&gt;0)&gt;0,SUMIFS(T_SelfStock[Self_Qty],T_SelfStock[RM_Code],$A26,T_SelfStock[WeekIndex],27)+SUMIFS(T_TTAFStock[TTAF_Qty],T_TTAFStock[RM_Code],$A26,T_TTAFStock[WeekIndex],27),AA26+'Grid_Incoming'!AB26-'Grid_Requirement'!AB26))</f>
        <v/>
      </c>
      <c r="AC26">
        <f>IF(COUNTIFS(T_StockCount[RM_Code],$A26,T_StockCount[WeekIndex],28)&gt;0,SUMIFS(T_StockCount[CountedQty],T_StockCount[RM_Code],$A26,T_StockCount[WeekIndex],28),IF((COUNTIFS(T_SelfStock[RM_Code],$A26,T_SelfStock[WeekIndex],28)&gt;0)*(COUNTIFS(T_TTAFStock[RM_Code],$A26,T_TTAFStock[WeekIndex],28)&gt;0)&gt;0,SUMIFS(T_SelfStock[Self_Qty],T_SelfStock[RM_Code],$A26,T_SelfStock[WeekIndex],28)+SUMIFS(T_TTAFStock[TTAF_Qty],T_TTAFStock[RM_Code],$A26,T_TTAFStock[WeekIndex],28),AB26+'Grid_Incoming'!AC26-'Grid_Requirement'!AC26))</f>
        <v/>
      </c>
      <c r="AD26">
        <f>IF(COUNTIFS(T_StockCount[RM_Code],$A26,T_StockCount[WeekIndex],29)&gt;0,SUMIFS(T_StockCount[CountedQty],T_StockCount[RM_Code],$A26,T_StockCount[WeekIndex],29),IF((COUNTIFS(T_SelfStock[RM_Code],$A26,T_SelfStock[WeekIndex],29)&gt;0)*(COUNTIFS(T_TTAFStock[RM_Code],$A26,T_TTAFStock[WeekIndex],29)&gt;0)&gt;0,SUMIFS(T_SelfStock[Self_Qty],T_SelfStock[RM_Code],$A26,T_SelfStock[WeekIndex],29)+SUMIFS(T_TTAFStock[TTAF_Qty],T_TTAFStock[RM_Code],$A26,T_TTAFStock[WeekIndex],29),AC26+'Grid_Incoming'!AD26-'Grid_Requirement'!AD26))</f>
        <v/>
      </c>
      <c r="AE26">
        <f>IF(COUNTIFS(T_StockCount[RM_Code],$A26,T_StockCount[WeekIndex],30)&gt;0,SUMIFS(T_StockCount[CountedQty],T_StockCount[RM_Code],$A26,T_StockCount[WeekIndex],30),IF((COUNTIFS(T_SelfStock[RM_Code],$A26,T_SelfStock[WeekIndex],30)&gt;0)*(COUNTIFS(T_TTAFStock[RM_Code],$A26,T_TTAFStock[WeekIndex],30)&gt;0)&gt;0,SUMIFS(T_SelfStock[Self_Qty],T_SelfStock[RM_Code],$A26,T_SelfStock[WeekIndex],30)+SUMIFS(T_TTAFStock[TTAF_Qty],T_TTAFStock[RM_Code],$A26,T_TTAFStock[WeekIndex],30),AD26+'Grid_Incoming'!AE26-'Grid_Requirement'!AE26))</f>
        <v/>
      </c>
      <c r="AF26">
        <f>IF(COUNTIFS(T_StockCount[RM_Code],$A26,T_StockCount[WeekIndex],31)&gt;0,SUMIFS(T_StockCount[CountedQty],T_StockCount[RM_Code],$A26,T_StockCount[WeekIndex],31),IF((COUNTIFS(T_SelfStock[RM_Code],$A26,T_SelfStock[WeekIndex],31)&gt;0)*(COUNTIFS(T_TTAFStock[RM_Code],$A26,T_TTAFStock[WeekIndex],31)&gt;0)&gt;0,SUMIFS(T_SelfStock[Self_Qty],T_SelfStock[RM_Code],$A26,T_SelfStock[WeekIndex],31)+SUMIFS(T_TTAFStock[TTAF_Qty],T_TTAFStock[RM_Code],$A26,T_TTAFStock[WeekIndex],31),AE26+'Grid_Incoming'!AF26-'Grid_Requirement'!AF26))</f>
        <v/>
      </c>
      <c r="AG26">
        <f>IF(COUNTIFS(T_StockCount[RM_Code],$A26,T_StockCount[WeekIndex],32)&gt;0,SUMIFS(T_StockCount[CountedQty],T_StockCount[RM_Code],$A26,T_StockCount[WeekIndex],32),IF((COUNTIFS(T_SelfStock[RM_Code],$A26,T_SelfStock[WeekIndex],32)&gt;0)*(COUNTIFS(T_TTAFStock[RM_Code],$A26,T_TTAFStock[WeekIndex],32)&gt;0)&gt;0,SUMIFS(T_SelfStock[Self_Qty],T_SelfStock[RM_Code],$A26,T_SelfStock[WeekIndex],32)+SUMIFS(T_TTAFStock[TTAF_Qty],T_TTAFStock[RM_Code],$A26,T_TTAFStock[WeekIndex],32),AF26+'Grid_Incoming'!AG26-'Grid_Requirement'!AG26))</f>
        <v/>
      </c>
      <c r="AH26">
        <f>IF(COUNTIFS(T_StockCount[RM_Code],$A26,T_StockCount[WeekIndex],33)&gt;0,SUMIFS(T_StockCount[CountedQty],T_StockCount[RM_Code],$A26,T_StockCount[WeekIndex],33),IF((COUNTIFS(T_SelfStock[RM_Code],$A26,T_SelfStock[WeekIndex],33)&gt;0)*(COUNTIFS(T_TTAFStock[RM_Code],$A26,T_TTAFStock[WeekIndex],33)&gt;0)&gt;0,SUMIFS(T_SelfStock[Self_Qty],T_SelfStock[RM_Code],$A26,T_SelfStock[WeekIndex],33)+SUMIFS(T_TTAFStock[TTAF_Qty],T_TTAFStock[RM_Code],$A26,T_TTAFStock[WeekIndex],33),AG26+'Grid_Incoming'!AH26-'Grid_Requirement'!AH26))</f>
        <v/>
      </c>
      <c r="AI26">
        <f>IF(COUNTIFS(T_StockCount[RM_Code],$A26,T_StockCount[WeekIndex],34)&gt;0,SUMIFS(T_StockCount[CountedQty],T_StockCount[RM_Code],$A26,T_StockCount[WeekIndex],34),IF((COUNTIFS(T_SelfStock[RM_Code],$A26,T_SelfStock[WeekIndex],34)&gt;0)*(COUNTIFS(T_TTAFStock[RM_Code],$A26,T_TTAFStock[WeekIndex],34)&gt;0)&gt;0,SUMIFS(T_SelfStock[Self_Qty],T_SelfStock[RM_Code],$A26,T_SelfStock[WeekIndex],34)+SUMIFS(T_TTAFStock[TTAF_Qty],T_TTAFStock[RM_Code],$A26,T_TTAFStock[WeekIndex],34),AH26+'Grid_Incoming'!AI26-'Grid_Requirement'!AI26))</f>
        <v/>
      </c>
      <c r="AJ26">
        <f>IF(COUNTIFS(T_StockCount[RM_Code],$A26,T_StockCount[WeekIndex],35)&gt;0,SUMIFS(T_StockCount[CountedQty],T_StockCount[RM_Code],$A26,T_StockCount[WeekIndex],35),IF((COUNTIFS(T_SelfStock[RM_Code],$A26,T_SelfStock[WeekIndex],35)&gt;0)*(COUNTIFS(T_TTAFStock[RM_Code],$A26,T_TTAFStock[WeekIndex],35)&gt;0)&gt;0,SUMIFS(T_SelfStock[Self_Qty],T_SelfStock[RM_Code],$A26,T_SelfStock[WeekIndex],35)+SUMIFS(T_TTAFStock[TTAF_Qty],T_TTAFStock[RM_Code],$A26,T_TTAFStock[WeekIndex],35),AI26+'Grid_Incoming'!AJ26-'Grid_Requirement'!AJ26))</f>
        <v/>
      </c>
      <c r="AK26">
        <f>IF(COUNTIFS(T_StockCount[RM_Code],$A26,T_StockCount[WeekIndex],36)&gt;0,SUMIFS(T_StockCount[CountedQty],T_StockCount[RM_Code],$A26,T_StockCount[WeekIndex],36),IF((COUNTIFS(T_SelfStock[RM_Code],$A26,T_SelfStock[WeekIndex],36)&gt;0)*(COUNTIFS(T_TTAFStock[RM_Code],$A26,T_TTAFStock[WeekIndex],36)&gt;0)&gt;0,SUMIFS(T_SelfStock[Self_Qty],T_SelfStock[RM_Code],$A26,T_SelfStock[WeekIndex],36)+SUMIFS(T_TTAFStock[TTAF_Qty],T_TTAFStock[RM_Code],$A26,T_TTAFStock[WeekIndex],36),AJ26+'Grid_Incoming'!AK26-'Grid_Requirement'!AK26))</f>
        <v/>
      </c>
      <c r="AL26">
        <f>IF(COUNTIFS(T_StockCount[RM_Code],$A26,T_StockCount[WeekIndex],37)&gt;0,SUMIFS(T_StockCount[CountedQty],T_StockCount[RM_Code],$A26,T_StockCount[WeekIndex],37),IF((COUNTIFS(T_SelfStock[RM_Code],$A26,T_SelfStock[WeekIndex],37)&gt;0)*(COUNTIFS(T_TTAFStock[RM_Code],$A26,T_TTAFStock[WeekIndex],37)&gt;0)&gt;0,SUMIFS(T_SelfStock[Self_Qty],T_SelfStock[RM_Code],$A26,T_SelfStock[WeekIndex],37)+SUMIFS(T_TTAFStock[TTAF_Qty],T_TTAFStock[RM_Code],$A26,T_TTAFStock[WeekIndex],37),AK26+'Grid_Incoming'!AL26-'Grid_Requirement'!AL26))</f>
        <v/>
      </c>
      <c r="AM26">
        <f>IF(COUNTIFS(T_StockCount[RM_Code],$A26,T_StockCount[WeekIndex],38)&gt;0,SUMIFS(T_StockCount[CountedQty],T_StockCount[RM_Code],$A26,T_StockCount[WeekIndex],38),IF((COUNTIFS(T_SelfStock[RM_Code],$A26,T_SelfStock[WeekIndex],38)&gt;0)*(COUNTIFS(T_TTAFStock[RM_Code],$A26,T_TTAFStock[WeekIndex],38)&gt;0)&gt;0,SUMIFS(T_SelfStock[Self_Qty],T_SelfStock[RM_Code],$A26,T_SelfStock[WeekIndex],38)+SUMIFS(T_TTAFStock[TTAF_Qty],T_TTAFStock[RM_Code],$A26,T_TTAFStock[WeekIndex],38),AL26+'Grid_Incoming'!AM26-'Grid_Requirement'!AM26))</f>
        <v/>
      </c>
      <c r="AN26">
        <f>IF(COUNTIFS(T_StockCount[RM_Code],$A26,T_StockCount[WeekIndex],39)&gt;0,SUMIFS(T_StockCount[CountedQty],T_StockCount[RM_Code],$A26,T_StockCount[WeekIndex],39),IF((COUNTIFS(T_SelfStock[RM_Code],$A26,T_SelfStock[WeekIndex],39)&gt;0)*(COUNTIFS(T_TTAFStock[RM_Code],$A26,T_TTAFStock[WeekIndex],39)&gt;0)&gt;0,SUMIFS(T_SelfStock[Self_Qty],T_SelfStock[RM_Code],$A26,T_SelfStock[WeekIndex],39)+SUMIFS(T_TTAFStock[TTAF_Qty],T_TTAFStock[RM_Code],$A26,T_TTAFStock[WeekIndex],39),AM26+'Grid_Incoming'!AN26-'Grid_Requirement'!AN26))</f>
        <v/>
      </c>
      <c r="AO26">
        <f>IF(COUNTIFS(T_StockCount[RM_Code],$A26,T_StockCount[WeekIndex],40)&gt;0,SUMIFS(T_StockCount[CountedQty],T_StockCount[RM_Code],$A26,T_StockCount[WeekIndex],40),IF((COUNTIFS(T_SelfStock[RM_Code],$A26,T_SelfStock[WeekIndex],40)&gt;0)*(COUNTIFS(T_TTAFStock[RM_Code],$A26,T_TTAFStock[WeekIndex],40)&gt;0)&gt;0,SUMIFS(T_SelfStock[Self_Qty],T_SelfStock[RM_Code],$A26,T_SelfStock[WeekIndex],40)+SUMIFS(T_TTAFStock[TTAF_Qty],T_TTAFStock[RM_Code],$A26,T_TTAFStock[WeekIndex],40),AN26+'Grid_Incoming'!AO26-'Grid_Requirement'!AO26))</f>
        <v/>
      </c>
      <c r="AP26">
        <f>IF(COUNTIFS(T_StockCount[RM_Code],$A26,T_StockCount[WeekIndex],41)&gt;0,SUMIFS(T_StockCount[CountedQty],T_StockCount[RM_Code],$A26,T_StockCount[WeekIndex],41),IF((COUNTIFS(T_SelfStock[RM_Code],$A26,T_SelfStock[WeekIndex],41)&gt;0)*(COUNTIFS(T_TTAFStock[RM_Code],$A26,T_TTAFStock[WeekIndex],41)&gt;0)&gt;0,SUMIFS(T_SelfStock[Self_Qty],T_SelfStock[RM_Code],$A26,T_SelfStock[WeekIndex],41)+SUMIFS(T_TTAFStock[TTAF_Qty],T_TTAFStock[RM_Code],$A26,T_TTAFStock[WeekIndex],41),AO26+'Grid_Incoming'!AP26-'Grid_Requirement'!AP26))</f>
        <v/>
      </c>
      <c r="AQ26">
        <f>IF(COUNTIFS(T_StockCount[RM_Code],$A26,T_StockCount[WeekIndex],42)&gt;0,SUMIFS(T_StockCount[CountedQty],T_StockCount[RM_Code],$A26,T_StockCount[WeekIndex],42),IF((COUNTIFS(T_SelfStock[RM_Code],$A26,T_SelfStock[WeekIndex],42)&gt;0)*(COUNTIFS(T_TTAFStock[RM_Code],$A26,T_TTAFStock[WeekIndex],42)&gt;0)&gt;0,SUMIFS(T_SelfStock[Self_Qty],T_SelfStock[RM_Code],$A26,T_SelfStock[WeekIndex],42)+SUMIFS(T_TTAFStock[TTAF_Qty],T_TTAFStock[RM_Code],$A26,T_TTAFStock[WeekIndex],42),AP26+'Grid_Incoming'!AQ26-'Grid_Requirement'!AQ26))</f>
        <v/>
      </c>
      <c r="AR26">
        <f>IF(COUNTIFS(T_StockCount[RM_Code],$A26,T_StockCount[WeekIndex],43)&gt;0,SUMIFS(T_StockCount[CountedQty],T_StockCount[RM_Code],$A26,T_StockCount[WeekIndex],43),IF((COUNTIFS(T_SelfStock[RM_Code],$A26,T_SelfStock[WeekIndex],43)&gt;0)*(COUNTIFS(T_TTAFStock[RM_Code],$A26,T_TTAFStock[WeekIndex],43)&gt;0)&gt;0,SUMIFS(T_SelfStock[Self_Qty],T_SelfStock[RM_Code],$A26,T_SelfStock[WeekIndex],43)+SUMIFS(T_TTAFStock[TTAF_Qty],T_TTAFStock[RM_Code],$A26,T_TTAFStock[WeekIndex],43),AQ26+'Grid_Incoming'!AR26-'Grid_Requirement'!AR26))</f>
        <v/>
      </c>
      <c r="AS26">
        <f>IF(COUNTIFS(T_StockCount[RM_Code],$A26,T_StockCount[WeekIndex],44)&gt;0,SUMIFS(T_StockCount[CountedQty],T_StockCount[RM_Code],$A26,T_StockCount[WeekIndex],44),IF((COUNTIFS(T_SelfStock[RM_Code],$A26,T_SelfStock[WeekIndex],44)&gt;0)*(COUNTIFS(T_TTAFStock[RM_Code],$A26,T_TTAFStock[WeekIndex],44)&gt;0)&gt;0,SUMIFS(T_SelfStock[Self_Qty],T_SelfStock[RM_Code],$A26,T_SelfStock[WeekIndex],44)+SUMIFS(T_TTAFStock[TTAF_Qty],T_TTAFStock[RM_Code],$A26,T_TTAFStock[WeekIndex],44),AR26+'Grid_Incoming'!AS26-'Grid_Requirement'!AS26))</f>
        <v/>
      </c>
      <c r="AT26">
        <f>IF(COUNTIFS(T_StockCount[RM_Code],$A26,T_StockCount[WeekIndex],45)&gt;0,SUMIFS(T_StockCount[CountedQty],T_StockCount[RM_Code],$A26,T_StockCount[WeekIndex],45),IF((COUNTIFS(T_SelfStock[RM_Code],$A26,T_SelfStock[WeekIndex],45)&gt;0)*(COUNTIFS(T_TTAFStock[RM_Code],$A26,T_TTAFStock[WeekIndex],45)&gt;0)&gt;0,SUMIFS(T_SelfStock[Self_Qty],T_SelfStock[RM_Code],$A26,T_SelfStock[WeekIndex],45)+SUMIFS(T_TTAFStock[TTAF_Qty],T_TTAFStock[RM_Code],$A26,T_TTAFStock[WeekIndex],45),AS26+'Grid_Incoming'!AT26-'Grid_Requirement'!AT26))</f>
        <v/>
      </c>
      <c r="AU26">
        <f>IF(COUNTIFS(T_StockCount[RM_Code],$A26,T_StockCount[WeekIndex],46)&gt;0,SUMIFS(T_StockCount[CountedQty],T_StockCount[RM_Code],$A26,T_StockCount[WeekIndex],46),IF((COUNTIFS(T_SelfStock[RM_Code],$A26,T_SelfStock[WeekIndex],46)&gt;0)*(COUNTIFS(T_TTAFStock[RM_Code],$A26,T_TTAFStock[WeekIndex],46)&gt;0)&gt;0,SUMIFS(T_SelfStock[Self_Qty],T_SelfStock[RM_Code],$A26,T_SelfStock[WeekIndex],46)+SUMIFS(T_TTAFStock[TTAF_Qty],T_TTAFStock[RM_Code],$A26,T_TTAFStock[WeekIndex],46),AT26+'Grid_Incoming'!AU26-'Grid_Requirement'!AU26))</f>
        <v/>
      </c>
      <c r="AV26">
        <f>IF(COUNTIFS(T_StockCount[RM_Code],$A26,T_StockCount[WeekIndex],47)&gt;0,SUMIFS(T_StockCount[CountedQty],T_StockCount[RM_Code],$A26,T_StockCount[WeekIndex],47),IF((COUNTIFS(T_SelfStock[RM_Code],$A26,T_SelfStock[WeekIndex],47)&gt;0)*(COUNTIFS(T_TTAFStock[RM_Code],$A26,T_TTAFStock[WeekIndex],47)&gt;0)&gt;0,SUMIFS(T_SelfStock[Self_Qty],T_SelfStock[RM_Code],$A26,T_SelfStock[WeekIndex],47)+SUMIFS(T_TTAFStock[TTAF_Qty],T_TTAFStock[RM_Code],$A26,T_TTAFStock[WeekIndex],47),AU26+'Grid_Incoming'!AV26-'Grid_Requirement'!AV26))</f>
        <v/>
      </c>
      <c r="AW26">
        <f>IF(COUNTIFS(T_StockCount[RM_Code],$A26,T_StockCount[WeekIndex],48)&gt;0,SUMIFS(T_StockCount[CountedQty],T_StockCount[RM_Code],$A26,T_StockCount[WeekIndex],48),IF((COUNTIFS(T_SelfStock[RM_Code],$A26,T_SelfStock[WeekIndex],48)&gt;0)*(COUNTIFS(T_TTAFStock[RM_Code],$A26,T_TTAFStock[WeekIndex],48)&gt;0)&gt;0,SUMIFS(T_SelfStock[Self_Qty],T_SelfStock[RM_Code],$A26,T_SelfStock[WeekIndex],48)+SUMIFS(T_TTAFStock[TTAF_Qty],T_TTAFStock[RM_Code],$A26,T_TTAFStock[WeekIndex],48),AV26+'Grid_Incoming'!AW26-'Grid_Requirement'!AW26))</f>
        <v/>
      </c>
      <c r="AX26">
        <f>IF(COUNTIFS(T_StockCount[RM_Code],$A26,T_StockCount[WeekIndex],49)&gt;0,SUMIFS(T_StockCount[CountedQty],T_StockCount[RM_Code],$A26,T_StockCount[WeekIndex],49),IF((COUNTIFS(T_SelfStock[RM_Code],$A26,T_SelfStock[WeekIndex],49)&gt;0)*(COUNTIFS(T_TTAFStock[RM_Code],$A26,T_TTAFStock[WeekIndex],49)&gt;0)&gt;0,SUMIFS(T_SelfStock[Self_Qty],T_SelfStock[RM_Code],$A26,T_SelfStock[WeekIndex],49)+SUMIFS(T_TTAFStock[TTAF_Qty],T_TTAFStock[RM_Code],$A26,T_TTAFStock[WeekIndex],49),AW26+'Grid_Incoming'!AX26-'Grid_Requirement'!AX26))</f>
        <v/>
      </c>
      <c r="AY26">
        <f>IF(COUNTIFS(T_StockCount[RM_Code],$A26,T_StockCount[WeekIndex],50)&gt;0,SUMIFS(T_StockCount[CountedQty],T_StockCount[RM_Code],$A26,T_StockCount[WeekIndex],50),IF((COUNTIFS(T_SelfStock[RM_Code],$A26,T_SelfStock[WeekIndex],50)&gt;0)*(COUNTIFS(T_TTAFStock[RM_Code],$A26,T_TTAFStock[WeekIndex],50)&gt;0)&gt;0,SUMIFS(T_SelfStock[Self_Qty],T_SelfStock[RM_Code],$A26,T_SelfStock[WeekIndex],50)+SUMIFS(T_TTAFStock[TTAF_Qty],T_TTAFStock[RM_Code],$A26,T_TTAFStock[WeekIndex],50),AX26+'Grid_Incoming'!AY26-'Grid_Requirement'!AY26))</f>
        <v/>
      </c>
      <c r="AZ26">
        <f>IF(COUNTIFS(T_StockCount[RM_Code],$A26,T_StockCount[WeekIndex],51)&gt;0,SUMIFS(T_StockCount[CountedQty],T_StockCount[RM_Code],$A26,T_StockCount[WeekIndex],51),IF((COUNTIFS(T_SelfStock[RM_Code],$A26,T_SelfStock[WeekIndex],51)&gt;0)*(COUNTIFS(T_TTAFStock[RM_Code],$A26,T_TTAFStock[WeekIndex],51)&gt;0)&gt;0,SUMIFS(T_SelfStock[Self_Qty],T_SelfStock[RM_Code],$A26,T_SelfStock[WeekIndex],51)+SUMIFS(T_TTAFStock[TTAF_Qty],T_TTAFStock[RM_Code],$A26,T_TTAFStock[WeekIndex],51),AY26+'Grid_Incoming'!AZ26-'Grid_Requirement'!AZ26))</f>
        <v/>
      </c>
      <c r="BA26">
        <f>IF(COUNTIFS(T_StockCount[RM_Code],$A26,T_StockCount[WeekIndex],52)&gt;0,SUMIFS(T_StockCount[CountedQty],T_StockCount[RM_Code],$A26,T_StockCount[WeekIndex],52),IF((COUNTIFS(T_SelfStock[RM_Code],$A26,T_SelfStock[WeekIndex],52)&gt;0)*(COUNTIFS(T_TTAFStock[RM_Code],$A26,T_TTAFStock[WeekIndex],52)&gt;0)&gt;0,SUMIFS(T_SelfStock[Self_Qty],T_SelfStock[RM_Code],$A26,T_SelfStock[WeekIndex],52)+SUMIFS(T_TTAFStock[TTAF_Qty],T_TTAFStock[RM_Code],$A26,T_TTAFStock[WeekIndex],52),AZ26+'Grid_Incoming'!BA26-'Grid_Requirement'!BA26))</f>
        <v/>
      </c>
      <c r="BB26">
        <f>IF(COUNTIFS(T_StockCount[RM_Code],$A26,T_StockCount[WeekIndex],53)&gt;0,SUMIFS(T_StockCount[CountedQty],T_StockCount[RM_Code],$A26,T_StockCount[WeekIndex],53),IF((COUNTIFS(T_SelfStock[RM_Code],$A26,T_SelfStock[WeekIndex],53)&gt;0)*(COUNTIFS(T_TTAFStock[RM_Code],$A26,T_TTAFStock[WeekIndex],53)&gt;0)&gt;0,SUMIFS(T_SelfStock[Self_Qty],T_SelfStock[RM_Code],$A26,T_SelfStock[WeekIndex],53)+SUMIFS(T_TTAFStock[TTAF_Qty],T_TTAFStock[RM_Code],$A26,T_TTAFStock[WeekIndex],53),BA26+'Grid_Incoming'!BB26-'Grid_Requirement'!BB26))</f>
        <v/>
      </c>
      <c r="BC26">
        <f>IF(COUNTIFS(T_StockCount[RM_Code],$A26,T_StockCount[WeekIndex],54)&gt;0,SUMIFS(T_StockCount[CountedQty],T_StockCount[RM_Code],$A26,T_StockCount[WeekIndex],54),IF((COUNTIFS(T_SelfStock[RM_Code],$A26,T_SelfStock[WeekIndex],54)&gt;0)*(COUNTIFS(T_TTAFStock[RM_Code],$A26,T_TTAFStock[WeekIndex],54)&gt;0)&gt;0,SUMIFS(T_SelfStock[Self_Qty],T_SelfStock[RM_Code],$A26,T_SelfStock[WeekIndex],54)+SUMIFS(T_TTAFStock[TTAF_Qty],T_TTAFStock[RM_Code],$A26,T_TTAFStock[WeekIndex],54),BB26+'Grid_Incoming'!BC26-'Grid_Requirement'!BC26))</f>
        <v/>
      </c>
      <c r="BD26">
        <f>IF(COUNTIFS(T_StockCount[RM_Code],$A26,T_StockCount[WeekIndex],55)&gt;0,SUMIFS(T_StockCount[CountedQty],T_StockCount[RM_Code],$A26,T_StockCount[WeekIndex],55),IF((COUNTIFS(T_SelfStock[RM_Code],$A26,T_SelfStock[WeekIndex],55)&gt;0)*(COUNTIFS(T_TTAFStock[RM_Code],$A26,T_TTAFStock[WeekIndex],55)&gt;0)&gt;0,SUMIFS(T_SelfStock[Self_Qty],T_SelfStock[RM_Code],$A26,T_SelfStock[WeekIndex],55)+SUMIFS(T_TTAFStock[TTAF_Qty],T_TTAFStock[RM_Code],$A26,T_TTAFStock[WeekIndex],55),BC26+'Grid_Incoming'!BD26-'Grid_Requirement'!BD26))</f>
        <v/>
      </c>
      <c r="BE26">
        <f>IF(COUNTIFS(T_StockCount[RM_Code],$A26,T_StockCount[WeekIndex],56)&gt;0,SUMIFS(T_StockCount[CountedQty],T_StockCount[RM_Code],$A26,T_StockCount[WeekIndex],56),IF((COUNTIFS(T_SelfStock[RM_Code],$A26,T_SelfStock[WeekIndex],56)&gt;0)*(COUNTIFS(T_TTAFStock[RM_Code],$A26,T_TTAFStock[WeekIndex],56)&gt;0)&gt;0,SUMIFS(T_SelfStock[Self_Qty],T_SelfStock[RM_Code],$A26,T_SelfStock[WeekIndex],56)+SUMIFS(T_TTAFStock[TTAF_Qty],T_TTAFStock[RM_Code],$A26,T_TTAFStock[WeekIndex],56),BD26+'Grid_Incoming'!BE26-'Grid_Requirement'!BE26))</f>
        <v/>
      </c>
      <c r="BF26">
        <f>IF(COUNTIFS(T_StockCount[RM_Code],$A26,T_StockCount[WeekIndex],57)&gt;0,SUMIFS(T_StockCount[CountedQty],T_StockCount[RM_Code],$A26,T_StockCount[WeekIndex],57),IF((COUNTIFS(T_SelfStock[RM_Code],$A26,T_SelfStock[WeekIndex],57)&gt;0)*(COUNTIFS(T_TTAFStock[RM_Code],$A26,T_TTAFStock[WeekIndex],57)&gt;0)&gt;0,SUMIFS(T_SelfStock[Self_Qty],T_SelfStock[RM_Code],$A26,T_SelfStock[WeekIndex],57)+SUMIFS(T_TTAFStock[TTAF_Qty],T_TTAFStock[RM_Code],$A26,T_TTAFStock[WeekIndex],57),BE26+'Grid_Incoming'!BF26-'Grid_Requirement'!BF26))</f>
        <v/>
      </c>
      <c r="BG26">
        <f>IF(COUNTIFS(T_StockCount[RM_Code],$A26,T_StockCount[WeekIndex],58)&gt;0,SUMIFS(T_StockCount[CountedQty],T_StockCount[RM_Code],$A26,T_StockCount[WeekIndex],58),IF((COUNTIFS(T_SelfStock[RM_Code],$A26,T_SelfStock[WeekIndex],58)&gt;0)*(COUNTIFS(T_TTAFStock[RM_Code],$A26,T_TTAFStock[WeekIndex],58)&gt;0)&gt;0,SUMIFS(T_SelfStock[Self_Qty],T_SelfStock[RM_Code],$A26,T_SelfStock[WeekIndex],58)+SUMIFS(T_TTAFStock[TTAF_Qty],T_TTAFStock[RM_Code],$A26,T_TTAFStock[WeekIndex],58),BF26+'Grid_Incoming'!BG26-'Grid_Requirement'!BG26))</f>
        <v/>
      </c>
      <c r="BH26">
        <f>IF(COUNTIFS(T_StockCount[RM_Code],$A26,T_StockCount[WeekIndex],59)&gt;0,SUMIFS(T_StockCount[CountedQty],T_StockCount[RM_Code],$A26,T_StockCount[WeekIndex],59),IF((COUNTIFS(T_SelfStock[RM_Code],$A26,T_SelfStock[WeekIndex],59)&gt;0)*(COUNTIFS(T_TTAFStock[RM_Code],$A26,T_TTAFStock[WeekIndex],59)&gt;0)&gt;0,SUMIFS(T_SelfStock[Self_Qty],T_SelfStock[RM_Code],$A26,T_SelfStock[WeekIndex],59)+SUMIFS(T_TTAFStock[TTAF_Qty],T_TTAFStock[RM_Code],$A26,T_TTAFStock[WeekIndex],59),BG26+'Grid_Incoming'!BH26-'Grid_Requirement'!BH26))</f>
        <v/>
      </c>
      <c r="BI26">
        <f>IF(COUNTIFS(T_StockCount[RM_Code],$A26,T_StockCount[WeekIndex],60)&gt;0,SUMIFS(T_StockCount[CountedQty],T_StockCount[RM_Code],$A26,T_StockCount[WeekIndex],60),IF((COUNTIFS(T_SelfStock[RM_Code],$A26,T_SelfStock[WeekIndex],60)&gt;0)*(COUNTIFS(T_TTAFStock[RM_Code],$A26,T_TTAFStock[WeekIndex],60)&gt;0)&gt;0,SUMIFS(T_SelfStock[Self_Qty],T_SelfStock[RM_Code],$A26,T_SelfStock[WeekIndex],60)+SUMIFS(T_TTAFStock[TTAF_Qty],T_TTAFStock[RM_Code],$A26,T_TTAFStock[WeekIndex],60),BH26+'Grid_Incoming'!BI26-'Grid_Requirement'!BI26))</f>
        <v/>
      </c>
      <c r="BJ26">
        <f>IF(COUNTIFS(T_StockCount[RM_Code],$A26,T_StockCount[WeekIndex],61)&gt;0,SUMIFS(T_StockCount[CountedQty],T_StockCount[RM_Code],$A26,T_StockCount[WeekIndex],61),IF((COUNTIFS(T_SelfStock[RM_Code],$A26,T_SelfStock[WeekIndex],61)&gt;0)*(COUNTIFS(T_TTAFStock[RM_Code],$A26,T_TTAFStock[WeekIndex],61)&gt;0)&gt;0,SUMIFS(T_SelfStock[Self_Qty],T_SelfStock[RM_Code],$A26,T_SelfStock[WeekIndex],61)+SUMIFS(T_TTAFStock[TTAF_Qty],T_TTAFStock[RM_Code],$A26,T_TTAFStock[WeekIndex],61),BI26+'Grid_Incoming'!BJ26-'Grid_Requirement'!BJ26))</f>
        <v/>
      </c>
      <c r="BK26">
        <f>IF(COUNTIFS(T_StockCount[RM_Code],$A26,T_StockCount[WeekIndex],62)&gt;0,SUMIFS(T_StockCount[CountedQty],T_StockCount[RM_Code],$A26,T_StockCount[WeekIndex],62),IF((COUNTIFS(T_SelfStock[RM_Code],$A26,T_SelfStock[WeekIndex],62)&gt;0)*(COUNTIFS(T_TTAFStock[RM_Code],$A26,T_TTAFStock[WeekIndex],62)&gt;0)&gt;0,SUMIFS(T_SelfStock[Self_Qty],T_SelfStock[RM_Code],$A26,T_SelfStock[WeekIndex],62)+SUMIFS(T_TTAFStock[TTAF_Qty],T_TTAFStock[RM_Code],$A26,T_TTAFStock[WeekIndex],62),BJ26+'Grid_Incoming'!BK26-'Grid_Requirement'!BK26))</f>
        <v/>
      </c>
      <c r="BL26">
        <f>IF(COUNTIFS(T_StockCount[RM_Code],$A26,T_StockCount[WeekIndex],63)&gt;0,SUMIFS(T_StockCount[CountedQty],T_StockCount[RM_Code],$A26,T_StockCount[WeekIndex],63),IF((COUNTIFS(T_SelfStock[RM_Code],$A26,T_SelfStock[WeekIndex],63)&gt;0)*(COUNTIFS(T_TTAFStock[RM_Code],$A26,T_TTAFStock[WeekIndex],63)&gt;0)&gt;0,SUMIFS(T_SelfStock[Self_Qty],T_SelfStock[RM_Code],$A26,T_SelfStock[WeekIndex],63)+SUMIFS(T_TTAFStock[TTAF_Qty],T_TTAFStock[RM_Code],$A26,T_TTAFStock[WeekIndex],63),BK26+'Grid_Incoming'!BL26-'Grid_Requirement'!BL26))</f>
        <v/>
      </c>
      <c r="BM26">
        <f>IF(COUNTIFS(T_StockCount[RM_Code],$A26,T_StockCount[WeekIndex],64)&gt;0,SUMIFS(T_StockCount[CountedQty],T_StockCount[RM_Code],$A26,T_StockCount[WeekIndex],64),IF((COUNTIFS(T_SelfStock[RM_Code],$A26,T_SelfStock[WeekIndex],64)&gt;0)*(COUNTIFS(T_TTAFStock[RM_Code],$A26,T_TTAFStock[WeekIndex],64)&gt;0)&gt;0,SUMIFS(T_SelfStock[Self_Qty],T_SelfStock[RM_Code],$A26,T_SelfStock[WeekIndex],64)+SUMIFS(T_TTAFStock[TTAF_Qty],T_TTAFStock[RM_Code],$A26,T_TTAFStock[WeekIndex],64),BL26+'Grid_Incoming'!BM26-'Grid_Requirement'!BM26))</f>
        <v/>
      </c>
      <c r="BN26">
        <f>IF(COUNTIFS(T_StockCount[RM_Code],$A26,T_StockCount[WeekIndex],65)&gt;0,SUMIFS(T_StockCount[CountedQty],T_StockCount[RM_Code],$A26,T_StockCount[WeekIndex],65),IF((COUNTIFS(T_SelfStock[RM_Code],$A26,T_SelfStock[WeekIndex],65)&gt;0)*(COUNTIFS(T_TTAFStock[RM_Code],$A26,T_TTAFStock[WeekIndex],65)&gt;0)&gt;0,SUMIFS(T_SelfStock[Self_Qty],T_SelfStock[RM_Code],$A26,T_SelfStock[WeekIndex],65)+SUMIFS(T_TTAFStock[TTAF_Qty],T_TTAFStock[RM_Code],$A26,T_TTAFStock[WeekIndex],65),BM26+'Grid_Incoming'!BN26-'Grid_Requirement'!BN26))</f>
        <v/>
      </c>
      <c r="BO26">
        <f>IF(COUNTIFS(T_StockCount[RM_Code],$A26,T_StockCount[WeekIndex],66)&gt;0,SUMIFS(T_StockCount[CountedQty],T_StockCount[RM_Code],$A26,T_StockCount[WeekIndex],66),IF((COUNTIFS(T_SelfStock[RM_Code],$A26,T_SelfStock[WeekIndex],66)&gt;0)*(COUNTIFS(T_TTAFStock[RM_Code],$A26,T_TTAFStock[WeekIndex],66)&gt;0)&gt;0,SUMIFS(T_SelfStock[Self_Qty],T_SelfStock[RM_Code],$A26,T_SelfStock[WeekIndex],66)+SUMIFS(T_TTAFStock[TTAF_Qty],T_TTAFStock[RM_Code],$A26,T_TTAFStock[WeekIndex],66),BN26+'Grid_Incoming'!BO26-'Grid_Requirement'!BO26))</f>
        <v/>
      </c>
      <c r="BP26">
        <f>IF(COUNTIFS(T_StockCount[RM_Code],$A26,T_StockCount[WeekIndex],67)&gt;0,SUMIFS(T_StockCount[CountedQty],T_StockCount[RM_Code],$A26,T_StockCount[WeekIndex],67),IF((COUNTIFS(T_SelfStock[RM_Code],$A26,T_SelfStock[WeekIndex],67)&gt;0)*(COUNTIFS(T_TTAFStock[RM_Code],$A26,T_TTAFStock[WeekIndex],67)&gt;0)&gt;0,SUMIFS(T_SelfStock[Self_Qty],T_SelfStock[RM_Code],$A26,T_SelfStock[WeekIndex],67)+SUMIFS(T_TTAFStock[TTAF_Qty],T_TTAFStock[RM_Code],$A26,T_TTAFStock[WeekIndex],67),BO26+'Grid_Incoming'!BP26-'Grid_Requirement'!BP26))</f>
        <v/>
      </c>
      <c r="BQ26">
        <f>IF(COUNTIFS(T_StockCount[RM_Code],$A26,T_StockCount[WeekIndex],68)&gt;0,SUMIFS(T_StockCount[CountedQty],T_StockCount[RM_Code],$A26,T_StockCount[WeekIndex],68),IF((COUNTIFS(T_SelfStock[RM_Code],$A26,T_SelfStock[WeekIndex],68)&gt;0)*(COUNTIFS(T_TTAFStock[RM_Code],$A26,T_TTAFStock[WeekIndex],68)&gt;0)&gt;0,SUMIFS(T_SelfStock[Self_Qty],T_SelfStock[RM_Code],$A26,T_SelfStock[WeekIndex],68)+SUMIFS(T_TTAFStock[TTAF_Qty],T_TTAFStock[RM_Code],$A26,T_TTAFStock[WeekIndex],68),BP26+'Grid_Incoming'!BQ26-'Grid_Requirement'!BQ26))</f>
        <v/>
      </c>
      <c r="BR26">
        <f>IF(COUNTIFS(T_StockCount[RM_Code],$A26,T_StockCount[WeekIndex],69)&gt;0,SUMIFS(T_StockCount[CountedQty],T_StockCount[RM_Code],$A26,T_StockCount[WeekIndex],69),IF((COUNTIFS(T_SelfStock[RM_Code],$A26,T_SelfStock[WeekIndex],69)&gt;0)*(COUNTIFS(T_TTAFStock[RM_Code],$A26,T_TTAFStock[WeekIndex],69)&gt;0)&gt;0,SUMIFS(T_SelfStock[Self_Qty],T_SelfStock[RM_Code],$A26,T_SelfStock[WeekIndex],69)+SUMIFS(T_TTAFStock[TTAF_Qty],T_TTAFStock[RM_Code],$A26,T_TTAFStock[WeekIndex],69),BQ26+'Grid_Incoming'!BR26-'Grid_Requirement'!BR26))</f>
        <v/>
      </c>
      <c r="BS26">
        <f>IF(COUNTIFS(T_StockCount[RM_Code],$A26,T_StockCount[WeekIndex],70)&gt;0,SUMIFS(T_StockCount[CountedQty],T_StockCount[RM_Code],$A26,T_StockCount[WeekIndex],70),IF((COUNTIFS(T_SelfStock[RM_Code],$A26,T_SelfStock[WeekIndex],70)&gt;0)*(COUNTIFS(T_TTAFStock[RM_Code],$A26,T_TTAFStock[WeekIndex],70)&gt;0)&gt;0,SUMIFS(T_SelfStock[Self_Qty],T_SelfStock[RM_Code],$A26,T_SelfStock[WeekIndex],70)+SUMIFS(T_TTAFStock[TTAF_Qty],T_TTAFStock[RM_Code],$A26,T_TTAFStock[WeekIndex],70),BR26+'Grid_Incoming'!BS26-'Grid_Requirement'!BS26))</f>
        <v/>
      </c>
      <c r="BT26">
        <f>IF(COUNTIFS(T_StockCount[RM_Code],$A26,T_StockCount[WeekIndex],71)&gt;0,SUMIFS(T_StockCount[CountedQty],T_StockCount[RM_Code],$A26,T_StockCount[WeekIndex],71),IF((COUNTIFS(T_SelfStock[RM_Code],$A26,T_SelfStock[WeekIndex],71)&gt;0)*(COUNTIFS(T_TTAFStock[RM_Code],$A26,T_TTAFStock[WeekIndex],71)&gt;0)&gt;0,SUMIFS(T_SelfStock[Self_Qty],T_SelfStock[RM_Code],$A26,T_SelfStock[WeekIndex],71)+SUMIFS(T_TTAFStock[TTAF_Qty],T_TTAFStock[RM_Code],$A26,T_TTAFStock[WeekIndex],71),BS26+'Grid_Incoming'!BT26-'Grid_Requirement'!BT26))</f>
        <v/>
      </c>
      <c r="BU26">
        <f>IF(COUNTIFS(T_StockCount[RM_Code],$A26,T_StockCount[WeekIndex],72)&gt;0,SUMIFS(T_StockCount[CountedQty],T_StockCount[RM_Code],$A26,T_StockCount[WeekIndex],72),IF((COUNTIFS(T_SelfStock[RM_Code],$A26,T_SelfStock[WeekIndex],72)&gt;0)*(COUNTIFS(T_TTAFStock[RM_Code],$A26,T_TTAFStock[WeekIndex],72)&gt;0)&gt;0,SUMIFS(T_SelfStock[Self_Qty],T_SelfStock[RM_Code],$A26,T_SelfStock[WeekIndex],72)+SUMIFS(T_TTAFStock[TTAF_Qty],T_TTAFStock[RM_Code],$A26,T_TTAFStock[WeekIndex],72),BT26+'Grid_Incoming'!BU26-'Grid_Requirement'!BU26))</f>
        <v/>
      </c>
      <c r="BV26">
        <f>IF(COUNTIFS(T_StockCount[RM_Code],$A26,T_StockCount[WeekIndex],73)&gt;0,SUMIFS(T_StockCount[CountedQty],T_StockCount[RM_Code],$A26,T_StockCount[WeekIndex],73),IF((COUNTIFS(T_SelfStock[RM_Code],$A26,T_SelfStock[WeekIndex],73)&gt;0)*(COUNTIFS(T_TTAFStock[RM_Code],$A26,T_TTAFStock[WeekIndex],73)&gt;0)&gt;0,SUMIFS(T_SelfStock[Self_Qty],T_SelfStock[RM_Code],$A26,T_SelfStock[WeekIndex],73)+SUMIFS(T_TTAFStock[TTAF_Qty],T_TTAFStock[RM_Code],$A26,T_TTAFStock[WeekIndex],73),BU26+'Grid_Incoming'!BV26-'Grid_Requirement'!BV26))</f>
        <v/>
      </c>
      <c r="BW26">
        <f>IF(COUNTIFS(T_StockCount[RM_Code],$A26,T_StockCount[WeekIndex],74)&gt;0,SUMIFS(T_StockCount[CountedQty],T_StockCount[RM_Code],$A26,T_StockCount[WeekIndex],74),IF((COUNTIFS(T_SelfStock[RM_Code],$A26,T_SelfStock[WeekIndex],74)&gt;0)*(COUNTIFS(T_TTAFStock[RM_Code],$A26,T_TTAFStock[WeekIndex],74)&gt;0)&gt;0,SUMIFS(T_SelfStock[Self_Qty],T_SelfStock[RM_Code],$A26,T_SelfStock[WeekIndex],74)+SUMIFS(T_TTAFStock[TTAF_Qty],T_TTAFStock[RM_Code],$A26,T_TTAFStock[WeekIndex],74),BV26+'Grid_Incoming'!BW26-'Grid_Requirement'!BW26))</f>
        <v/>
      </c>
      <c r="BX26">
        <f>IF(COUNTIFS(T_StockCount[RM_Code],$A26,T_StockCount[WeekIndex],75)&gt;0,SUMIFS(T_StockCount[CountedQty],T_StockCount[RM_Code],$A26,T_StockCount[WeekIndex],75),IF((COUNTIFS(T_SelfStock[RM_Code],$A26,T_SelfStock[WeekIndex],75)&gt;0)*(COUNTIFS(T_TTAFStock[RM_Code],$A26,T_TTAFStock[WeekIndex],75)&gt;0)&gt;0,SUMIFS(T_SelfStock[Self_Qty],T_SelfStock[RM_Code],$A26,T_SelfStock[WeekIndex],75)+SUMIFS(T_TTAFStock[TTAF_Qty],T_TTAFStock[RM_Code],$A26,T_TTAFStock[WeekIndex],75),BW26+'Grid_Incoming'!BX26-'Grid_Requirement'!BX26))</f>
        <v/>
      </c>
      <c r="BY26">
        <f>IF(COUNTIFS(T_StockCount[RM_Code],$A26,T_StockCount[WeekIndex],76)&gt;0,SUMIFS(T_StockCount[CountedQty],T_StockCount[RM_Code],$A26,T_StockCount[WeekIndex],76),IF((COUNTIFS(T_SelfStock[RM_Code],$A26,T_SelfStock[WeekIndex],76)&gt;0)*(COUNTIFS(T_TTAFStock[RM_Code],$A26,T_TTAFStock[WeekIndex],76)&gt;0)&gt;0,SUMIFS(T_SelfStock[Self_Qty],T_SelfStock[RM_Code],$A26,T_SelfStock[WeekIndex],76)+SUMIFS(T_TTAFStock[TTAF_Qty],T_TTAFStock[RM_Code],$A26,T_TTAFStock[WeekIndex],76),BX26+'Grid_Incoming'!BY26-'Grid_Requirement'!BY26))</f>
        <v/>
      </c>
      <c r="BZ26">
        <f>IF(COUNTIFS(T_StockCount[RM_Code],$A26,T_StockCount[WeekIndex],77)&gt;0,SUMIFS(T_StockCount[CountedQty],T_StockCount[RM_Code],$A26,T_StockCount[WeekIndex],77),IF((COUNTIFS(T_SelfStock[RM_Code],$A26,T_SelfStock[WeekIndex],77)&gt;0)*(COUNTIFS(T_TTAFStock[RM_Code],$A26,T_TTAFStock[WeekIndex],77)&gt;0)&gt;0,SUMIFS(T_SelfStock[Self_Qty],T_SelfStock[RM_Code],$A26,T_SelfStock[WeekIndex],77)+SUMIFS(T_TTAFStock[TTAF_Qty],T_TTAFStock[RM_Code],$A26,T_TTAFStock[WeekIndex],77),BY26+'Grid_Incoming'!BZ26-'Grid_Requirement'!BZ26))</f>
        <v/>
      </c>
      <c r="CA26">
        <f>IF(COUNTIFS(T_StockCount[RM_Code],$A26,T_StockCount[WeekIndex],78)&gt;0,SUMIFS(T_StockCount[CountedQty],T_StockCount[RM_Code],$A26,T_StockCount[WeekIndex],78),IF((COUNTIFS(T_SelfStock[RM_Code],$A26,T_SelfStock[WeekIndex],78)&gt;0)*(COUNTIFS(T_TTAFStock[RM_Code],$A26,T_TTAFStock[WeekIndex],78)&gt;0)&gt;0,SUMIFS(T_SelfStock[Self_Qty],T_SelfStock[RM_Code],$A26,T_SelfStock[WeekIndex],78)+SUMIFS(T_TTAFStock[TTAF_Qty],T_TTAFStock[RM_Code],$A26,T_TTAFStock[WeekIndex],78),BZ26+'Grid_Incoming'!CA26-'Grid_Requirement'!CA26))</f>
        <v/>
      </c>
      <c r="CB26">
        <f>IF(COUNTIFS(T_StockCount[RM_Code],$A26,T_StockCount[WeekIndex],79)&gt;0,SUMIFS(T_StockCount[CountedQty],T_StockCount[RM_Code],$A26,T_StockCount[WeekIndex],79),IF((COUNTIFS(T_SelfStock[RM_Code],$A26,T_SelfStock[WeekIndex],79)&gt;0)*(COUNTIFS(T_TTAFStock[RM_Code],$A26,T_TTAFStock[WeekIndex],79)&gt;0)&gt;0,SUMIFS(T_SelfStock[Self_Qty],T_SelfStock[RM_Code],$A26,T_SelfStock[WeekIndex],79)+SUMIFS(T_TTAFStock[TTAF_Qty],T_TTAFStock[RM_Code],$A26,T_TTAFStock[WeekIndex],79),CA26+'Grid_Incoming'!CB26-'Grid_Requirement'!CB26))</f>
        <v/>
      </c>
      <c r="CC26">
        <f>IF(COUNTIFS(T_StockCount[RM_Code],$A26,T_StockCount[WeekIndex],80)&gt;0,SUMIFS(T_StockCount[CountedQty],T_StockCount[RM_Code],$A26,T_StockCount[WeekIndex],80),IF((COUNTIFS(T_SelfStock[RM_Code],$A26,T_SelfStock[WeekIndex],80)&gt;0)*(COUNTIFS(T_TTAFStock[RM_Code],$A26,T_TTAFStock[WeekIndex],80)&gt;0)&gt;0,SUMIFS(T_SelfStock[Self_Qty],T_SelfStock[RM_Code],$A26,T_SelfStock[WeekIndex],80)+SUMIFS(T_TTAFStock[TTAF_Qty],T_TTAFStock[RM_Code],$A26,T_TTAFStock[WeekIndex],80),CB26+'Grid_Incoming'!CC26-'Grid_Requirement'!CC26))</f>
        <v/>
      </c>
      <c r="CD26">
        <f>IF(COUNTIFS(T_StockCount[RM_Code],$A26,T_StockCount[WeekIndex],81)&gt;0,SUMIFS(T_StockCount[CountedQty],T_StockCount[RM_Code],$A26,T_StockCount[WeekIndex],81),IF((COUNTIFS(T_SelfStock[RM_Code],$A26,T_SelfStock[WeekIndex],81)&gt;0)*(COUNTIFS(T_TTAFStock[RM_Code],$A26,T_TTAFStock[WeekIndex],81)&gt;0)&gt;0,SUMIFS(T_SelfStock[Self_Qty],T_SelfStock[RM_Code],$A26,T_SelfStock[WeekIndex],81)+SUMIFS(T_TTAFStock[TTAF_Qty],T_TTAFStock[RM_Code],$A26,T_TTAFStock[WeekIndex],81),CC26+'Grid_Incoming'!CD26-'Grid_Requirement'!CD26))</f>
        <v/>
      </c>
      <c r="CE26">
        <f>IF(COUNTIFS(T_StockCount[RM_Code],$A26,T_StockCount[WeekIndex],82)&gt;0,SUMIFS(T_StockCount[CountedQty],T_StockCount[RM_Code],$A26,T_StockCount[WeekIndex],82),IF((COUNTIFS(T_SelfStock[RM_Code],$A26,T_SelfStock[WeekIndex],82)&gt;0)*(COUNTIFS(T_TTAFStock[RM_Code],$A26,T_TTAFStock[WeekIndex],82)&gt;0)&gt;0,SUMIFS(T_SelfStock[Self_Qty],T_SelfStock[RM_Code],$A26,T_SelfStock[WeekIndex],82)+SUMIFS(T_TTAFStock[TTAF_Qty],T_TTAFStock[RM_Code],$A26,T_TTAFStock[WeekIndex],82),CD26+'Grid_Incoming'!CE26-'Grid_Requirement'!CE26))</f>
        <v/>
      </c>
      <c r="CF26">
        <f>IF(COUNTIFS(T_StockCount[RM_Code],$A26,T_StockCount[WeekIndex],83)&gt;0,SUMIFS(T_StockCount[CountedQty],T_StockCount[RM_Code],$A26,T_StockCount[WeekIndex],83),IF((COUNTIFS(T_SelfStock[RM_Code],$A26,T_SelfStock[WeekIndex],83)&gt;0)*(COUNTIFS(T_TTAFStock[RM_Code],$A26,T_TTAFStock[WeekIndex],83)&gt;0)&gt;0,SUMIFS(T_SelfStock[Self_Qty],T_SelfStock[RM_Code],$A26,T_SelfStock[WeekIndex],83)+SUMIFS(T_TTAFStock[TTAF_Qty],T_TTAFStock[RM_Code],$A26,T_TTAFStock[WeekIndex],83),CE26+'Grid_Incoming'!CF26-'Grid_Requirement'!CF26))</f>
        <v/>
      </c>
      <c r="CG26">
        <f>IF(COUNTIFS(T_StockCount[RM_Code],$A26,T_StockCount[WeekIndex],84)&gt;0,SUMIFS(T_StockCount[CountedQty],T_StockCount[RM_Code],$A26,T_StockCount[WeekIndex],84),IF((COUNTIFS(T_SelfStock[RM_Code],$A26,T_SelfStock[WeekIndex],84)&gt;0)*(COUNTIFS(T_TTAFStock[RM_Code],$A26,T_TTAFStock[WeekIndex],84)&gt;0)&gt;0,SUMIFS(T_SelfStock[Self_Qty],T_SelfStock[RM_Code],$A26,T_SelfStock[WeekIndex],84)+SUMIFS(T_TTAFStock[TTAF_Qty],T_TTAFStock[RM_Code],$A26,T_TTAFStock[WeekIndex],84),CF26+'Grid_Incoming'!CG26-'Grid_Requirement'!CG26))</f>
        <v/>
      </c>
      <c r="CH26">
        <f>IF(COUNTIFS(T_StockCount[RM_Code],$A26,T_StockCount[WeekIndex],85)&gt;0,SUMIFS(T_StockCount[CountedQty],T_StockCount[RM_Code],$A26,T_StockCount[WeekIndex],85),IF((COUNTIFS(T_SelfStock[RM_Code],$A26,T_SelfStock[WeekIndex],85)&gt;0)*(COUNTIFS(T_TTAFStock[RM_Code],$A26,T_TTAFStock[WeekIndex],85)&gt;0)&gt;0,SUMIFS(T_SelfStock[Self_Qty],T_SelfStock[RM_Code],$A26,T_SelfStock[WeekIndex],85)+SUMIFS(T_TTAFStock[TTAF_Qty],T_TTAFStock[RM_Code],$A26,T_TTAFStock[WeekIndex],85),CG26+'Grid_Incoming'!CH26-'Grid_Requirement'!CH26))</f>
        <v/>
      </c>
      <c r="CI26">
        <f>IF(COUNTIFS(T_StockCount[RM_Code],$A26,T_StockCount[WeekIndex],86)&gt;0,SUMIFS(T_StockCount[CountedQty],T_StockCount[RM_Code],$A26,T_StockCount[WeekIndex],86),IF((COUNTIFS(T_SelfStock[RM_Code],$A26,T_SelfStock[WeekIndex],86)&gt;0)*(COUNTIFS(T_TTAFStock[RM_Code],$A26,T_TTAFStock[WeekIndex],86)&gt;0)&gt;0,SUMIFS(T_SelfStock[Self_Qty],T_SelfStock[RM_Code],$A26,T_SelfStock[WeekIndex],86)+SUMIFS(T_TTAFStock[TTAF_Qty],T_TTAFStock[RM_Code],$A26,T_TTAFStock[WeekIndex],86),CH26+'Grid_Incoming'!CI26-'Grid_Requirement'!CI26))</f>
        <v/>
      </c>
      <c r="CJ26">
        <f>IF(COUNTIFS(T_StockCount[RM_Code],$A26,T_StockCount[WeekIndex],87)&gt;0,SUMIFS(T_StockCount[CountedQty],T_StockCount[RM_Code],$A26,T_StockCount[WeekIndex],87),IF((COUNTIFS(T_SelfStock[RM_Code],$A26,T_SelfStock[WeekIndex],87)&gt;0)*(COUNTIFS(T_TTAFStock[RM_Code],$A26,T_TTAFStock[WeekIndex],87)&gt;0)&gt;0,SUMIFS(T_SelfStock[Self_Qty],T_SelfStock[RM_Code],$A26,T_SelfStock[WeekIndex],87)+SUMIFS(T_TTAFStock[TTAF_Qty],T_TTAFStock[RM_Code],$A26,T_TTAFStock[WeekIndex],87),CI26+'Grid_Incoming'!CJ26-'Grid_Requirement'!CJ26))</f>
        <v/>
      </c>
      <c r="CK26">
        <f>IF(COUNTIFS(T_StockCount[RM_Code],$A26,T_StockCount[WeekIndex],88)&gt;0,SUMIFS(T_StockCount[CountedQty],T_StockCount[RM_Code],$A26,T_StockCount[WeekIndex],88),IF((COUNTIFS(T_SelfStock[RM_Code],$A26,T_SelfStock[WeekIndex],88)&gt;0)*(COUNTIFS(T_TTAFStock[RM_Code],$A26,T_TTAFStock[WeekIndex],88)&gt;0)&gt;0,SUMIFS(T_SelfStock[Self_Qty],T_SelfStock[RM_Code],$A26,T_SelfStock[WeekIndex],88)+SUMIFS(T_TTAFStock[TTAF_Qty],T_TTAFStock[RM_Code],$A26,T_TTAFStock[WeekIndex],88),CJ26+'Grid_Incoming'!CK26-'Grid_Requirement'!CK26))</f>
        <v/>
      </c>
      <c r="CL26">
        <f>IF(COUNTIFS(T_StockCount[RM_Code],$A26,T_StockCount[WeekIndex],89)&gt;0,SUMIFS(T_StockCount[CountedQty],T_StockCount[RM_Code],$A26,T_StockCount[WeekIndex],89),IF((COUNTIFS(T_SelfStock[RM_Code],$A26,T_SelfStock[WeekIndex],89)&gt;0)*(COUNTIFS(T_TTAFStock[RM_Code],$A26,T_TTAFStock[WeekIndex],89)&gt;0)&gt;0,SUMIFS(T_SelfStock[Self_Qty],T_SelfStock[RM_Code],$A26,T_SelfStock[WeekIndex],89)+SUMIFS(T_TTAFStock[TTAF_Qty],T_TTAFStock[RM_Code],$A26,T_TTAFStock[WeekIndex],89),CK26+'Grid_Incoming'!CL26-'Grid_Requirement'!CL26))</f>
        <v/>
      </c>
      <c r="CM26">
        <f>IF(COUNTIFS(T_StockCount[RM_Code],$A26,T_StockCount[WeekIndex],90)&gt;0,SUMIFS(T_StockCount[CountedQty],T_StockCount[RM_Code],$A26,T_StockCount[WeekIndex],90),IF((COUNTIFS(T_SelfStock[RM_Code],$A26,T_SelfStock[WeekIndex],90)&gt;0)*(COUNTIFS(T_TTAFStock[RM_Code],$A26,T_TTAFStock[WeekIndex],90)&gt;0)&gt;0,SUMIFS(T_SelfStock[Self_Qty],T_SelfStock[RM_Code],$A26,T_SelfStock[WeekIndex],90)+SUMIFS(T_TTAFStock[TTAF_Qty],T_TTAFStock[RM_Code],$A26,T_TTAFStock[WeekIndex],90),CL26+'Grid_Incoming'!CM26-'Grid_Requirement'!CM26))</f>
        <v/>
      </c>
      <c r="CN26">
        <f>IF(COUNTIFS(T_StockCount[RM_Code],$A26,T_StockCount[WeekIndex],91)&gt;0,SUMIFS(T_StockCount[CountedQty],T_StockCount[RM_Code],$A26,T_StockCount[WeekIndex],91),IF((COUNTIFS(T_SelfStock[RM_Code],$A26,T_SelfStock[WeekIndex],91)&gt;0)*(COUNTIFS(T_TTAFStock[RM_Code],$A26,T_TTAFStock[WeekIndex],91)&gt;0)&gt;0,SUMIFS(T_SelfStock[Self_Qty],T_SelfStock[RM_Code],$A26,T_SelfStock[WeekIndex],91)+SUMIFS(T_TTAFStock[TTAF_Qty],T_TTAFStock[RM_Code],$A26,T_TTAFStock[WeekIndex],91),CM26+'Grid_Incoming'!CN26-'Grid_Requirement'!CN26))</f>
        <v/>
      </c>
      <c r="CO26">
        <f>IF(COUNTIFS(T_StockCount[RM_Code],$A26,T_StockCount[WeekIndex],92)&gt;0,SUMIFS(T_StockCount[CountedQty],T_StockCount[RM_Code],$A26,T_StockCount[WeekIndex],92),IF((COUNTIFS(T_SelfStock[RM_Code],$A26,T_SelfStock[WeekIndex],92)&gt;0)*(COUNTIFS(T_TTAFStock[RM_Code],$A26,T_TTAFStock[WeekIndex],92)&gt;0)&gt;0,SUMIFS(T_SelfStock[Self_Qty],T_SelfStock[RM_Code],$A26,T_SelfStock[WeekIndex],92)+SUMIFS(T_TTAFStock[TTAF_Qty],T_TTAFStock[RM_Code],$A26,T_TTAFStock[WeekIndex],92),CN26+'Grid_Incoming'!CO26-'Grid_Requirement'!CO26))</f>
        <v/>
      </c>
      <c r="CP26">
        <f>IF(COUNTIFS(T_StockCount[RM_Code],$A26,T_StockCount[WeekIndex],93)&gt;0,SUMIFS(T_StockCount[CountedQty],T_StockCount[RM_Code],$A26,T_StockCount[WeekIndex],93),IF((COUNTIFS(T_SelfStock[RM_Code],$A26,T_SelfStock[WeekIndex],93)&gt;0)*(COUNTIFS(T_TTAFStock[RM_Code],$A26,T_TTAFStock[WeekIndex],93)&gt;0)&gt;0,SUMIFS(T_SelfStock[Self_Qty],T_SelfStock[RM_Code],$A26,T_SelfStock[WeekIndex],93)+SUMIFS(T_TTAFStock[TTAF_Qty],T_TTAFStock[RM_Code],$A26,T_TTAFStock[WeekIndex],93),CO26+'Grid_Incoming'!CP26-'Grid_Requirement'!CP26))</f>
        <v/>
      </c>
      <c r="CQ26">
        <f>IF(COUNTIFS(T_StockCount[RM_Code],$A26,T_StockCount[WeekIndex],94)&gt;0,SUMIFS(T_StockCount[CountedQty],T_StockCount[RM_Code],$A26,T_StockCount[WeekIndex],94),IF((COUNTIFS(T_SelfStock[RM_Code],$A26,T_SelfStock[WeekIndex],94)&gt;0)*(COUNTIFS(T_TTAFStock[RM_Code],$A26,T_TTAFStock[WeekIndex],94)&gt;0)&gt;0,SUMIFS(T_SelfStock[Self_Qty],T_SelfStock[RM_Code],$A26,T_SelfStock[WeekIndex],94)+SUMIFS(T_TTAFStock[TTAF_Qty],T_TTAFStock[RM_Code],$A26,T_TTAFStock[WeekIndex],94),CP26+'Grid_Incoming'!CQ26-'Grid_Requirement'!CQ26))</f>
        <v/>
      </c>
      <c r="CR26">
        <f>IF(COUNTIFS(T_StockCount[RM_Code],$A26,T_StockCount[WeekIndex],95)&gt;0,SUMIFS(T_StockCount[CountedQty],T_StockCount[RM_Code],$A26,T_StockCount[WeekIndex],95),IF((COUNTIFS(T_SelfStock[RM_Code],$A26,T_SelfStock[WeekIndex],95)&gt;0)*(COUNTIFS(T_TTAFStock[RM_Code],$A26,T_TTAFStock[WeekIndex],95)&gt;0)&gt;0,SUMIFS(T_SelfStock[Self_Qty],T_SelfStock[RM_Code],$A26,T_SelfStock[WeekIndex],95)+SUMIFS(T_TTAFStock[TTAF_Qty],T_TTAFStock[RM_Code],$A26,T_TTAFStock[WeekIndex],95),CQ26+'Grid_Incoming'!CR26-'Grid_Requirement'!CR26))</f>
        <v/>
      </c>
      <c r="CS26">
        <f>IF(COUNTIFS(T_StockCount[RM_Code],$A26,T_StockCount[WeekIndex],96)&gt;0,SUMIFS(T_StockCount[CountedQty],T_StockCount[RM_Code],$A26,T_StockCount[WeekIndex],96),IF((COUNTIFS(T_SelfStock[RM_Code],$A26,T_SelfStock[WeekIndex],96)&gt;0)*(COUNTIFS(T_TTAFStock[RM_Code],$A26,T_TTAFStock[WeekIndex],96)&gt;0)&gt;0,SUMIFS(T_SelfStock[Self_Qty],T_SelfStock[RM_Code],$A26,T_SelfStock[WeekIndex],96)+SUMIFS(T_TTAFStock[TTAF_Qty],T_TTAFStock[RM_Code],$A26,T_TTAFStock[WeekIndex],96),CR26+'Grid_Incoming'!CS26-'Grid_Requirement'!CS26))</f>
        <v/>
      </c>
      <c r="CT26">
        <f>IF(COUNTIFS(T_StockCount[RM_Code],$A26,T_StockCount[WeekIndex],97)&gt;0,SUMIFS(T_StockCount[CountedQty],T_StockCount[RM_Code],$A26,T_StockCount[WeekIndex],97),IF((COUNTIFS(T_SelfStock[RM_Code],$A26,T_SelfStock[WeekIndex],97)&gt;0)*(COUNTIFS(T_TTAFStock[RM_Code],$A26,T_TTAFStock[WeekIndex],97)&gt;0)&gt;0,SUMIFS(T_SelfStock[Self_Qty],T_SelfStock[RM_Code],$A26,T_SelfStock[WeekIndex],97)+SUMIFS(T_TTAFStock[TTAF_Qty],T_TTAFStock[RM_Code],$A26,T_TTAFStock[WeekIndex],97),CS26+'Grid_Incoming'!CT26-'Grid_Requirement'!CT26))</f>
        <v/>
      </c>
      <c r="CU26">
        <f>IF(COUNTIFS(T_StockCount[RM_Code],$A26,T_StockCount[WeekIndex],98)&gt;0,SUMIFS(T_StockCount[CountedQty],T_StockCount[RM_Code],$A26,T_StockCount[WeekIndex],98),IF((COUNTIFS(T_SelfStock[RM_Code],$A26,T_SelfStock[WeekIndex],98)&gt;0)*(COUNTIFS(T_TTAFStock[RM_Code],$A26,T_TTAFStock[WeekIndex],98)&gt;0)&gt;0,SUMIFS(T_SelfStock[Self_Qty],T_SelfStock[RM_Code],$A26,T_SelfStock[WeekIndex],98)+SUMIFS(T_TTAFStock[TTAF_Qty],T_TTAFStock[RM_Code],$A26,T_TTAFStock[WeekIndex],98),CT26+'Grid_Incoming'!CU26-'Grid_Requirement'!CU26))</f>
        <v/>
      </c>
      <c r="CV26">
        <f>IF(COUNTIFS(T_StockCount[RM_Code],$A26,T_StockCount[WeekIndex],99)&gt;0,SUMIFS(T_StockCount[CountedQty],T_StockCount[RM_Code],$A26,T_StockCount[WeekIndex],99),IF((COUNTIFS(T_SelfStock[RM_Code],$A26,T_SelfStock[WeekIndex],99)&gt;0)*(COUNTIFS(T_TTAFStock[RM_Code],$A26,T_TTAFStock[WeekIndex],99)&gt;0)&gt;0,SUMIFS(T_SelfStock[Self_Qty],T_SelfStock[RM_Code],$A26,T_SelfStock[WeekIndex],99)+SUMIFS(T_TTAFStock[TTAF_Qty],T_TTAFStock[RM_Code],$A26,T_TTAFStock[WeekIndex],99),CU26+'Grid_Incoming'!CV26-'Grid_Requirement'!CV26))</f>
        <v/>
      </c>
      <c r="CW26">
        <f>IF(COUNTIFS(T_StockCount[RM_Code],$A26,T_StockCount[WeekIndex],100)&gt;0,SUMIFS(T_StockCount[CountedQty],T_StockCount[RM_Code],$A26,T_StockCount[WeekIndex],100),IF((COUNTIFS(T_SelfStock[RM_Code],$A26,T_SelfStock[WeekIndex],100)&gt;0)*(COUNTIFS(T_TTAFStock[RM_Code],$A26,T_TTAFStock[WeekIndex],100)&gt;0)&gt;0,SUMIFS(T_SelfStock[Self_Qty],T_SelfStock[RM_Code],$A26,T_SelfStock[WeekIndex],100)+SUMIFS(T_TTAFStock[TTAF_Qty],T_TTAFStock[RM_Code],$A26,T_TTAFStock[WeekIndex],100),CV26+'Grid_Incoming'!CW26-'Grid_Requirement'!CW26))</f>
        <v/>
      </c>
      <c r="CX26">
        <f>IF(COUNTIFS(T_StockCount[RM_Code],$A26,T_StockCount[WeekIndex],101)&gt;0,SUMIFS(T_StockCount[CountedQty],T_StockCount[RM_Code],$A26,T_StockCount[WeekIndex],101),IF((COUNTIFS(T_SelfStock[RM_Code],$A26,T_SelfStock[WeekIndex],101)&gt;0)*(COUNTIFS(T_TTAFStock[RM_Code],$A26,T_TTAFStock[WeekIndex],101)&gt;0)&gt;0,SUMIFS(T_SelfStock[Self_Qty],T_SelfStock[RM_Code],$A26,T_SelfStock[WeekIndex],101)+SUMIFS(T_TTAFStock[TTAF_Qty],T_TTAFStock[RM_Code],$A26,T_TTAFStock[WeekIndex],101),CW26+'Grid_Incoming'!CX26-'Grid_Requirement'!CX26))</f>
        <v/>
      </c>
      <c r="CY26">
        <f>IF(COUNTIFS(T_StockCount[RM_Code],$A26,T_StockCount[WeekIndex],102)&gt;0,SUMIFS(T_StockCount[CountedQty],T_StockCount[RM_Code],$A26,T_StockCount[WeekIndex],102),IF((COUNTIFS(T_SelfStock[RM_Code],$A26,T_SelfStock[WeekIndex],102)&gt;0)*(COUNTIFS(T_TTAFStock[RM_Code],$A26,T_TTAFStock[WeekIndex],102)&gt;0)&gt;0,SUMIFS(T_SelfStock[Self_Qty],T_SelfStock[RM_Code],$A26,T_SelfStock[WeekIndex],102)+SUMIFS(T_TTAFStock[TTAF_Qty],T_TTAFStock[RM_Code],$A26,T_TTAFStock[WeekIndex],102),CX26+'Grid_Incoming'!CY26-'Grid_Requirement'!CY26))</f>
        <v/>
      </c>
      <c r="CZ26">
        <f>IF(COUNTIFS(T_StockCount[RM_Code],$A26,T_StockCount[WeekIndex],103)&gt;0,SUMIFS(T_StockCount[CountedQty],T_StockCount[RM_Code],$A26,T_StockCount[WeekIndex],103),IF((COUNTIFS(T_SelfStock[RM_Code],$A26,T_SelfStock[WeekIndex],103)&gt;0)*(COUNTIFS(T_TTAFStock[RM_Code],$A26,T_TTAFStock[WeekIndex],103)&gt;0)&gt;0,SUMIFS(T_SelfStock[Self_Qty],T_SelfStock[RM_Code],$A26,T_SelfStock[WeekIndex],103)+SUMIFS(T_TTAFStock[TTAF_Qty],T_TTAFStock[RM_Code],$A26,T_TTAFStock[WeekIndex],103),CY26+'Grid_Incoming'!CZ26-'Grid_Requirement'!CZ26))</f>
        <v/>
      </c>
      <c r="DA26">
        <f>IF(COUNTIFS(T_StockCount[RM_Code],$A26,T_StockCount[WeekIndex],104)&gt;0,SUMIFS(T_StockCount[CountedQty],T_StockCount[RM_Code],$A26,T_StockCount[WeekIndex],104),IF((COUNTIFS(T_SelfStock[RM_Code],$A26,T_SelfStock[WeekIndex],104)&gt;0)*(COUNTIFS(T_TTAFStock[RM_Code],$A26,T_TTAFStock[WeekIndex],104)&gt;0)&gt;0,SUMIFS(T_SelfStock[Self_Qty],T_SelfStock[RM_Code],$A26,T_SelfStock[WeekIndex],104)+SUMIFS(T_TTAFStock[TTAF_Qty],T_TTAFStock[RM_Code],$A26,T_TTAFStock[WeekIndex],104),CZ26+'Grid_Incoming'!DA26-'Grid_Requirement'!DA26))</f>
        <v/>
      </c>
    </row>
    <row r="27">
      <c r="A27" t="inlineStr">
        <is>
          <t>Original Towel</t>
        </is>
      </c>
      <c r="B27">
        <f>IF(COUNTIFS(T_StockCount[RM_Code],$A27,T_StockCount[WeekIndex],1)&gt;0,SUMIFS(T_StockCount[CountedQty],T_StockCount[RM_Code],$A27,T_StockCount[WeekIndex],1),IF((COUNTIFS(T_SelfStock[RM_Code],$A27,T_SelfStock[WeekIndex],1)&gt;0)*(COUNTIFS(T_TTAFStock[RM_Code],$A27,T_TTAFStock[WeekIndex],1)&gt;0)&gt;0,SUMIFS(T_SelfStock[Self_Qty],T_SelfStock[RM_Code],$A27,T_SelfStock[WeekIndex],1)+SUMIFS(T_TTAFStock[TTAF_Qty],T_TTAFStock[RM_Code],$A27,T_TTAFStock[WeekIndex],1),IFERROR(INDEX(T_OpeningStock[Opening_Qty],MATCH($A27,T_OpeningStock[RM_Code],0)),0)+'Grid_Incoming'!B27-'Grid_Requirement'!B27))</f>
        <v/>
      </c>
      <c r="C27">
        <f>IF(COUNTIFS(T_StockCount[RM_Code],$A27,T_StockCount[WeekIndex],2)&gt;0,SUMIFS(T_StockCount[CountedQty],T_StockCount[RM_Code],$A27,T_StockCount[WeekIndex],2),IF((COUNTIFS(T_SelfStock[RM_Code],$A27,T_SelfStock[WeekIndex],2)&gt;0)*(COUNTIFS(T_TTAFStock[RM_Code],$A27,T_TTAFStock[WeekIndex],2)&gt;0)&gt;0,SUMIFS(T_SelfStock[Self_Qty],T_SelfStock[RM_Code],$A27,T_SelfStock[WeekIndex],2)+SUMIFS(T_TTAFStock[TTAF_Qty],T_TTAFStock[RM_Code],$A27,T_TTAFStock[WeekIndex],2),B27+'Grid_Incoming'!C27-'Grid_Requirement'!C27))</f>
        <v/>
      </c>
      <c r="D27">
        <f>IF(COUNTIFS(T_StockCount[RM_Code],$A27,T_StockCount[WeekIndex],3)&gt;0,SUMIFS(T_StockCount[CountedQty],T_StockCount[RM_Code],$A27,T_StockCount[WeekIndex],3),IF((COUNTIFS(T_SelfStock[RM_Code],$A27,T_SelfStock[WeekIndex],3)&gt;0)*(COUNTIFS(T_TTAFStock[RM_Code],$A27,T_TTAFStock[WeekIndex],3)&gt;0)&gt;0,SUMIFS(T_SelfStock[Self_Qty],T_SelfStock[RM_Code],$A27,T_SelfStock[WeekIndex],3)+SUMIFS(T_TTAFStock[TTAF_Qty],T_TTAFStock[RM_Code],$A27,T_TTAFStock[WeekIndex],3),C27+'Grid_Incoming'!D27-'Grid_Requirement'!D27))</f>
        <v/>
      </c>
      <c r="E27">
        <f>IF(COUNTIFS(T_StockCount[RM_Code],$A27,T_StockCount[WeekIndex],4)&gt;0,SUMIFS(T_StockCount[CountedQty],T_StockCount[RM_Code],$A27,T_StockCount[WeekIndex],4),IF((COUNTIFS(T_SelfStock[RM_Code],$A27,T_SelfStock[WeekIndex],4)&gt;0)*(COUNTIFS(T_TTAFStock[RM_Code],$A27,T_TTAFStock[WeekIndex],4)&gt;0)&gt;0,SUMIFS(T_SelfStock[Self_Qty],T_SelfStock[RM_Code],$A27,T_SelfStock[WeekIndex],4)+SUMIFS(T_TTAFStock[TTAF_Qty],T_TTAFStock[RM_Code],$A27,T_TTAFStock[WeekIndex],4),D27+'Grid_Incoming'!E27-'Grid_Requirement'!E27))</f>
        <v/>
      </c>
      <c r="F27">
        <f>IF(COUNTIFS(T_StockCount[RM_Code],$A27,T_StockCount[WeekIndex],5)&gt;0,SUMIFS(T_StockCount[CountedQty],T_StockCount[RM_Code],$A27,T_StockCount[WeekIndex],5),IF((COUNTIFS(T_SelfStock[RM_Code],$A27,T_SelfStock[WeekIndex],5)&gt;0)*(COUNTIFS(T_TTAFStock[RM_Code],$A27,T_TTAFStock[WeekIndex],5)&gt;0)&gt;0,SUMIFS(T_SelfStock[Self_Qty],T_SelfStock[RM_Code],$A27,T_SelfStock[WeekIndex],5)+SUMIFS(T_TTAFStock[TTAF_Qty],T_TTAFStock[RM_Code],$A27,T_TTAFStock[WeekIndex],5),E27+'Grid_Incoming'!F27-'Grid_Requirement'!F27))</f>
        <v/>
      </c>
      <c r="G27">
        <f>IF(COUNTIFS(T_StockCount[RM_Code],$A27,T_StockCount[WeekIndex],6)&gt;0,SUMIFS(T_StockCount[CountedQty],T_StockCount[RM_Code],$A27,T_StockCount[WeekIndex],6),IF((COUNTIFS(T_SelfStock[RM_Code],$A27,T_SelfStock[WeekIndex],6)&gt;0)*(COUNTIFS(T_TTAFStock[RM_Code],$A27,T_TTAFStock[WeekIndex],6)&gt;0)&gt;0,SUMIFS(T_SelfStock[Self_Qty],T_SelfStock[RM_Code],$A27,T_SelfStock[WeekIndex],6)+SUMIFS(T_TTAFStock[TTAF_Qty],T_TTAFStock[RM_Code],$A27,T_TTAFStock[WeekIndex],6),F27+'Grid_Incoming'!G27-'Grid_Requirement'!G27))</f>
        <v/>
      </c>
      <c r="H27">
        <f>IF(COUNTIFS(T_StockCount[RM_Code],$A27,T_StockCount[WeekIndex],7)&gt;0,SUMIFS(T_StockCount[CountedQty],T_StockCount[RM_Code],$A27,T_StockCount[WeekIndex],7),IF((COUNTIFS(T_SelfStock[RM_Code],$A27,T_SelfStock[WeekIndex],7)&gt;0)*(COUNTIFS(T_TTAFStock[RM_Code],$A27,T_TTAFStock[WeekIndex],7)&gt;0)&gt;0,SUMIFS(T_SelfStock[Self_Qty],T_SelfStock[RM_Code],$A27,T_SelfStock[WeekIndex],7)+SUMIFS(T_TTAFStock[TTAF_Qty],T_TTAFStock[RM_Code],$A27,T_TTAFStock[WeekIndex],7),G27+'Grid_Incoming'!H27-'Grid_Requirement'!H27))</f>
        <v/>
      </c>
      <c r="I27">
        <f>IF(COUNTIFS(T_StockCount[RM_Code],$A27,T_StockCount[WeekIndex],8)&gt;0,SUMIFS(T_StockCount[CountedQty],T_StockCount[RM_Code],$A27,T_StockCount[WeekIndex],8),IF((COUNTIFS(T_SelfStock[RM_Code],$A27,T_SelfStock[WeekIndex],8)&gt;0)*(COUNTIFS(T_TTAFStock[RM_Code],$A27,T_TTAFStock[WeekIndex],8)&gt;0)&gt;0,SUMIFS(T_SelfStock[Self_Qty],T_SelfStock[RM_Code],$A27,T_SelfStock[WeekIndex],8)+SUMIFS(T_TTAFStock[TTAF_Qty],T_TTAFStock[RM_Code],$A27,T_TTAFStock[WeekIndex],8),H27+'Grid_Incoming'!I27-'Grid_Requirement'!I27))</f>
        <v/>
      </c>
      <c r="J27">
        <f>IF(COUNTIFS(T_StockCount[RM_Code],$A27,T_StockCount[WeekIndex],9)&gt;0,SUMIFS(T_StockCount[CountedQty],T_StockCount[RM_Code],$A27,T_StockCount[WeekIndex],9),IF((COUNTIFS(T_SelfStock[RM_Code],$A27,T_SelfStock[WeekIndex],9)&gt;0)*(COUNTIFS(T_TTAFStock[RM_Code],$A27,T_TTAFStock[WeekIndex],9)&gt;0)&gt;0,SUMIFS(T_SelfStock[Self_Qty],T_SelfStock[RM_Code],$A27,T_SelfStock[WeekIndex],9)+SUMIFS(T_TTAFStock[TTAF_Qty],T_TTAFStock[RM_Code],$A27,T_TTAFStock[WeekIndex],9),I27+'Grid_Incoming'!J27-'Grid_Requirement'!J27))</f>
        <v/>
      </c>
      <c r="K27">
        <f>IF(COUNTIFS(T_StockCount[RM_Code],$A27,T_StockCount[WeekIndex],10)&gt;0,SUMIFS(T_StockCount[CountedQty],T_StockCount[RM_Code],$A27,T_StockCount[WeekIndex],10),IF((COUNTIFS(T_SelfStock[RM_Code],$A27,T_SelfStock[WeekIndex],10)&gt;0)*(COUNTIFS(T_TTAFStock[RM_Code],$A27,T_TTAFStock[WeekIndex],10)&gt;0)&gt;0,SUMIFS(T_SelfStock[Self_Qty],T_SelfStock[RM_Code],$A27,T_SelfStock[WeekIndex],10)+SUMIFS(T_TTAFStock[TTAF_Qty],T_TTAFStock[RM_Code],$A27,T_TTAFStock[WeekIndex],10),J27+'Grid_Incoming'!K27-'Grid_Requirement'!K27))</f>
        <v/>
      </c>
      <c r="L27">
        <f>IF(COUNTIFS(T_StockCount[RM_Code],$A27,T_StockCount[WeekIndex],11)&gt;0,SUMIFS(T_StockCount[CountedQty],T_StockCount[RM_Code],$A27,T_StockCount[WeekIndex],11),IF((COUNTIFS(T_SelfStock[RM_Code],$A27,T_SelfStock[WeekIndex],11)&gt;0)*(COUNTIFS(T_TTAFStock[RM_Code],$A27,T_TTAFStock[WeekIndex],11)&gt;0)&gt;0,SUMIFS(T_SelfStock[Self_Qty],T_SelfStock[RM_Code],$A27,T_SelfStock[WeekIndex],11)+SUMIFS(T_TTAFStock[TTAF_Qty],T_TTAFStock[RM_Code],$A27,T_TTAFStock[WeekIndex],11),K27+'Grid_Incoming'!L27-'Grid_Requirement'!L27))</f>
        <v/>
      </c>
      <c r="M27">
        <f>IF(COUNTIFS(T_StockCount[RM_Code],$A27,T_StockCount[WeekIndex],12)&gt;0,SUMIFS(T_StockCount[CountedQty],T_StockCount[RM_Code],$A27,T_StockCount[WeekIndex],12),IF((COUNTIFS(T_SelfStock[RM_Code],$A27,T_SelfStock[WeekIndex],12)&gt;0)*(COUNTIFS(T_TTAFStock[RM_Code],$A27,T_TTAFStock[WeekIndex],12)&gt;0)&gt;0,SUMIFS(T_SelfStock[Self_Qty],T_SelfStock[RM_Code],$A27,T_SelfStock[WeekIndex],12)+SUMIFS(T_TTAFStock[TTAF_Qty],T_TTAFStock[RM_Code],$A27,T_TTAFStock[WeekIndex],12),L27+'Grid_Incoming'!M27-'Grid_Requirement'!M27))</f>
        <v/>
      </c>
      <c r="N27">
        <f>IF(COUNTIFS(T_StockCount[RM_Code],$A27,T_StockCount[WeekIndex],13)&gt;0,SUMIFS(T_StockCount[CountedQty],T_StockCount[RM_Code],$A27,T_StockCount[WeekIndex],13),IF((COUNTIFS(T_SelfStock[RM_Code],$A27,T_SelfStock[WeekIndex],13)&gt;0)*(COUNTIFS(T_TTAFStock[RM_Code],$A27,T_TTAFStock[WeekIndex],13)&gt;0)&gt;0,SUMIFS(T_SelfStock[Self_Qty],T_SelfStock[RM_Code],$A27,T_SelfStock[WeekIndex],13)+SUMIFS(T_TTAFStock[TTAF_Qty],T_TTAFStock[RM_Code],$A27,T_TTAFStock[WeekIndex],13),M27+'Grid_Incoming'!N27-'Grid_Requirement'!N27))</f>
        <v/>
      </c>
      <c r="O27">
        <f>IF(COUNTIFS(T_StockCount[RM_Code],$A27,T_StockCount[WeekIndex],14)&gt;0,SUMIFS(T_StockCount[CountedQty],T_StockCount[RM_Code],$A27,T_StockCount[WeekIndex],14),IF((COUNTIFS(T_SelfStock[RM_Code],$A27,T_SelfStock[WeekIndex],14)&gt;0)*(COUNTIFS(T_TTAFStock[RM_Code],$A27,T_TTAFStock[WeekIndex],14)&gt;0)&gt;0,SUMIFS(T_SelfStock[Self_Qty],T_SelfStock[RM_Code],$A27,T_SelfStock[WeekIndex],14)+SUMIFS(T_TTAFStock[TTAF_Qty],T_TTAFStock[RM_Code],$A27,T_TTAFStock[WeekIndex],14),N27+'Grid_Incoming'!O27-'Grid_Requirement'!O27))</f>
        <v/>
      </c>
      <c r="P27">
        <f>IF(COUNTIFS(T_StockCount[RM_Code],$A27,T_StockCount[WeekIndex],15)&gt;0,SUMIFS(T_StockCount[CountedQty],T_StockCount[RM_Code],$A27,T_StockCount[WeekIndex],15),IF((COUNTIFS(T_SelfStock[RM_Code],$A27,T_SelfStock[WeekIndex],15)&gt;0)*(COUNTIFS(T_TTAFStock[RM_Code],$A27,T_TTAFStock[WeekIndex],15)&gt;0)&gt;0,SUMIFS(T_SelfStock[Self_Qty],T_SelfStock[RM_Code],$A27,T_SelfStock[WeekIndex],15)+SUMIFS(T_TTAFStock[TTAF_Qty],T_TTAFStock[RM_Code],$A27,T_TTAFStock[WeekIndex],15),O27+'Grid_Incoming'!P27-'Grid_Requirement'!P27))</f>
        <v/>
      </c>
      <c r="Q27">
        <f>IF(COUNTIFS(T_StockCount[RM_Code],$A27,T_StockCount[WeekIndex],16)&gt;0,SUMIFS(T_StockCount[CountedQty],T_StockCount[RM_Code],$A27,T_StockCount[WeekIndex],16),IF((COUNTIFS(T_SelfStock[RM_Code],$A27,T_SelfStock[WeekIndex],16)&gt;0)*(COUNTIFS(T_TTAFStock[RM_Code],$A27,T_TTAFStock[WeekIndex],16)&gt;0)&gt;0,SUMIFS(T_SelfStock[Self_Qty],T_SelfStock[RM_Code],$A27,T_SelfStock[WeekIndex],16)+SUMIFS(T_TTAFStock[TTAF_Qty],T_TTAFStock[RM_Code],$A27,T_TTAFStock[WeekIndex],16),P27+'Grid_Incoming'!Q27-'Grid_Requirement'!Q27))</f>
        <v/>
      </c>
      <c r="R27">
        <f>IF(COUNTIFS(T_StockCount[RM_Code],$A27,T_StockCount[WeekIndex],17)&gt;0,SUMIFS(T_StockCount[CountedQty],T_StockCount[RM_Code],$A27,T_StockCount[WeekIndex],17),IF((COUNTIFS(T_SelfStock[RM_Code],$A27,T_SelfStock[WeekIndex],17)&gt;0)*(COUNTIFS(T_TTAFStock[RM_Code],$A27,T_TTAFStock[WeekIndex],17)&gt;0)&gt;0,SUMIFS(T_SelfStock[Self_Qty],T_SelfStock[RM_Code],$A27,T_SelfStock[WeekIndex],17)+SUMIFS(T_TTAFStock[TTAF_Qty],T_TTAFStock[RM_Code],$A27,T_TTAFStock[WeekIndex],17),Q27+'Grid_Incoming'!R27-'Grid_Requirement'!R27))</f>
        <v/>
      </c>
      <c r="S27">
        <f>IF(COUNTIFS(T_StockCount[RM_Code],$A27,T_StockCount[WeekIndex],18)&gt;0,SUMIFS(T_StockCount[CountedQty],T_StockCount[RM_Code],$A27,T_StockCount[WeekIndex],18),IF((COUNTIFS(T_SelfStock[RM_Code],$A27,T_SelfStock[WeekIndex],18)&gt;0)*(COUNTIFS(T_TTAFStock[RM_Code],$A27,T_TTAFStock[WeekIndex],18)&gt;0)&gt;0,SUMIFS(T_SelfStock[Self_Qty],T_SelfStock[RM_Code],$A27,T_SelfStock[WeekIndex],18)+SUMIFS(T_TTAFStock[TTAF_Qty],T_TTAFStock[RM_Code],$A27,T_TTAFStock[WeekIndex],18),R27+'Grid_Incoming'!S27-'Grid_Requirement'!S27))</f>
        <v/>
      </c>
      <c r="T27">
        <f>IF(COUNTIFS(T_StockCount[RM_Code],$A27,T_StockCount[WeekIndex],19)&gt;0,SUMIFS(T_StockCount[CountedQty],T_StockCount[RM_Code],$A27,T_StockCount[WeekIndex],19),IF((COUNTIFS(T_SelfStock[RM_Code],$A27,T_SelfStock[WeekIndex],19)&gt;0)*(COUNTIFS(T_TTAFStock[RM_Code],$A27,T_TTAFStock[WeekIndex],19)&gt;0)&gt;0,SUMIFS(T_SelfStock[Self_Qty],T_SelfStock[RM_Code],$A27,T_SelfStock[WeekIndex],19)+SUMIFS(T_TTAFStock[TTAF_Qty],T_TTAFStock[RM_Code],$A27,T_TTAFStock[WeekIndex],19),S27+'Grid_Incoming'!T27-'Grid_Requirement'!T27))</f>
        <v/>
      </c>
      <c r="U27">
        <f>IF(COUNTIFS(T_StockCount[RM_Code],$A27,T_StockCount[WeekIndex],20)&gt;0,SUMIFS(T_StockCount[CountedQty],T_StockCount[RM_Code],$A27,T_StockCount[WeekIndex],20),IF((COUNTIFS(T_SelfStock[RM_Code],$A27,T_SelfStock[WeekIndex],20)&gt;0)*(COUNTIFS(T_TTAFStock[RM_Code],$A27,T_TTAFStock[WeekIndex],20)&gt;0)&gt;0,SUMIFS(T_SelfStock[Self_Qty],T_SelfStock[RM_Code],$A27,T_SelfStock[WeekIndex],20)+SUMIFS(T_TTAFStock[TTAF_Qty],T_TTAFStock[RM_Code],$A27,T_TTAFStock[WeekIndex],20),T27+'Grid_Incoming'!U27-'Grid_Requirement'!U27))</f>
        <v/>
      </c>
      <c r="V27">
        <f>IF(COUNTIFS(T_StockCount[RM_Code],$A27,T_StockCount[WeekIndex],21)&gt;0,SUMIFS(T_StockCount[CountedQty],T_StockCount[RM_Code],$A27,T_StockCount[WeekIndex],21),IF((COUNTIFS(T_SelfStock[RM_Code],$A27,T_SelfStock[WeekIndex],21)&gt;0)*(COUNTIFS(T_TTAFStock[RM_Code],$A27,T_TTAFStock[WeekIndex],21)&gt;0)&gt;0,SUMIFS(T_SelfStock[Self_Qty],T_SelfStock[RM_Code],$A27,T_SelfStock[WeekIndex],21)+SUMIFS(T_TTAFStock[TTAF_Qty],T_TTAFStock[RM_Code],$A27,T_TTAFStock[WeekIndex],21),U27+'Grid_Incoming'!V27-'Grid_Requirement'!V27))</f>
        <v/>
      </c>
      <c r="W27">
        <f>IF(COUNTIFS(T_StockCount[RM_Code],$A27,T_StockCount[WeekIndex],22)&gt;0,SUMIFS(T_StockCount[CountedQty],T_StockCount[RM_Code],$A27,T_StockCount[WeekIndex],22),IF((COUNTIFS(T_SelfStock[RM_Code],$A27,T_SelfStock[WeekIndex],22)&gt;0)*(COUNTIFS(T_TTAFStock[RM_Code],$A27,T_TTAFStock[WeekIndex],22)&gt;0)&gt;0,SUMIFS(T_SelfStock[Self_Qty],T_SelfStock[RM_Code],$A27,T_SelfStock[WeekIndex],22)+SUMIFS(T_TTAFStock[TTAF_Qty],T_TTAFStock[RM_Code],$A27,T_TTAFStock[WeekIndex],22),V27+'Grid_Incoming'!W27-'Grid_Requirement'!W27))</f>
        <v/>
      </c>
      <c r="X27">
        <f>IF(COUNTIFS(T_StockCount[RM_Code],$A27,T_StockCount[WeekIndex],23)&gt;0,SUMIFS(T_StockCount[CountedQty],T_StockCount[RM_Code],$A27,T_StockCount[WeekIndex],23),IF((COUNTIFS(T_SelfStock[RM_Code],$A27,T_SelfStock[WeekIndex],23)&gt;0)*(COUNTIFS(T_TTAFStock[RM_Code],$A27,T_TTAFStock[WeekIndex],23)&gt;0)&gt;0,SUMIFS(T_SelfStock[Self_Qty],T_SelfStock[RM_Code],$A27,T_SelfStock[WeekIndex],23)+SUMIFS(T_TTAFStock[TTAF_Qty],T_TTAFStock[RM_Code],$A27,T_TTAFStock[WeekIndex],23),W27+'Grid_Incoming'!X27-'Grid_Requirement'!X27))</f>
        <v/>
      </c>
      <c r="Y27">
        <f>IF(COUNTIFS(T_StockCount[RM_Code],$A27,T_StockCount[WeekIndex],24)&gt;0,SUMIFS(T_StockCount[CountedQty],T_StockCount[RM_Code],$A27,T_StockCount[WeekIndex],24),IF((COUNTIFS(T_SelfStock[RM_Code],$A27,T_SelfStock[WeekIndex],24)&gt;0)*(COUNTIFS(T_TTAFStock[RM_Code],$A27,T_TTAFStock[WeekIndex],24)&gt;0)&gt;0,SUMIFS(T_SelfStock[Self_Qty],T_SelfStock[RM_Code],$A27,T_SelfStock[WeekIndex],24)+SUMIFS(T_TTAFStock[TTAF_Qty],T_TTAFStock[RM_Code],$A27,T_TTAFStock[WeekIndex],24),X27+'Grid_Incoming'!Y27-'Grid_Requirement'!Y27))</f>
        <v/>
      </c>
      <c r="Z27">
        <f>IF(COUNTIFS(T_StockCount[RM_Code],$A27,T_StockCount[WeekIndex],25)&gt;0,SUMIFS(T_StockCount[CountedQty],T_StockCount[RM_Code],$A27,T_StockCount[WeekIndex],25),IF((COUNTIFS(T_SelfStock[RM_Code],$A27,T_SelfStock[WeekIndex],25)&gt;0)*(COUNTIFS(T_TTAFStock[RM_Code],$A27,T_TTAFStock[WeekIndex],25)&gt;0)&gt;0,SUMIFS(T_SelfStock[Self_Qty],T_SelfStock[RM_Code],$A27,T_SelfStock[WeekIndex],25)+SUMIFS(T_TTAFStock[TTAF_Qty],T_TTAFStock[RM_Code],$A27,T_TTAFStock[WeekIndex],25),Y27+'Grid_Incoming'!Z27-'Grid_Requirement'!Z27))</f>
        <v/>
      </c>
      <c r="AA27">
        <f>IF(COUNTIFS(T_StockCount[RM_Code],$A27,T_StockCount[WeekIndex],26)&gt;0,SUMIFS(T_StockCount[CountedQty],T_StockCount[RM_Code],$A27,T_StockCount[WeekIndex],26),IF((COUNTIFS(T_SelfStock[RM_Code],$A27,T_SelfStock[WeekIndex],26)&gt;0)*(COUNTIFS(T_TTAFStock[RM_Code],$A27,T_TTAFStock[WeekIndex],26)&gt;0)&gt;0,SUMIFS(T_SelfStock[Self_Qty],T_SelfStock[RM_Code],$A27,T_SelfStock[WeekIndex],26)+SUMIFS(T_TTAFStock[TTAF_Qty],T_TTAFStock[RM_Code],$A27,T_TTAFStock[WeekIndex],26),Z27+'Grid_Incoming'!AA27-'Grid_Requirement'!AA27))</f>
        <v/>
      </c>
      <c r="AB27">
        <f>IF(COUNTIFS(T_StockCount[RM_Code],$A27,T_StockCount[WeekIndex],27)&gt;0,SUMIFS(T_StockCount[CountedQty],T_StockCount[RM_Code],$A27,T_StockCount[WeekIndex],27),IF((COUNTIFS(T_SelfStock[RM_Code],$A27,T_SelfStock[WeekIndex],27)&gt;0)*(COUNTIFS(T_TTAFStock[RM_Code],$A27,T_TTAFStock[WeekIndex],27)&gt;0)&gt;0,SUMIFS(T_SelfStock[Self_Qty],T_SelfStock[RM_Code],$A27,T_SelfStock[WeekIndex],27)+SUMIFS(T_TTAFStock[TTAF_Qty],T_TTAFStock[RM_Code],$A27,T_TTAFStock[WeekIndex],27),AA27+'Grid_Incoming'!AB27-'Grid_Requirement'!AB27))</f>
        <v/>
      </c>
      <c r="AC27">
        <f>IF(COUNTIFS(T_StockCount[RM_Code],$A27,T_StockCount[WeekIndex],28)&gt;0,SUMIFS(T_StockCount[CountedQty],T_StockCount[RM_Code],$A27,T_StockCount[WeekIndex],28),IF((COUNTIFS(T_SelfStock[RM_Code],$A27,T_SelfStock[WeekIndex],28)&gt;0)*(COUNTIFS(T_TTAFStock[RM_Code],$A27,T_TTAFStock[WeekIndex],28)&gt;0)&gt;0,SUMIFS(T_SelfStock[Self_Qty],T_SelfStock[RM_Code],$A27,T_SelfStock[WeekIndex],28)+SUMIFS(T_TTAFStock[TTAF_Qty],T_TTAFStock[RM_Code],$A27,T_TTAFStock[WeekIndex],28),AB27+'Grid_Incoming'!AC27-'Grid_Requirement'!AC27))</f>
        <v/>
      </c>
      <c r="AD27">
        <f>IF(COUNTIFS(T_StockCount[RM_Code],$A27,T_StockCount[WeekIndex],29)&gt;0,SUMIFS(T_StockCount[CountedQty],T_StockCount[RM_Code],$A27,T_StockCount[WeekIndex],29),IF((COUNTIFS(T_SelfStock[RM_Code],$A27,T_SelfStock[WeekIndex],29)&gt;0)*(COUNTIFS(T_TTAFStock[RM_Code],$A27,T_TTAFStock[WeekIndex],29)&gt;0)&gt;0,SUMIFS(T_SelfStock[Self_Qty],T_SelfStock[RM_Code],$A27,T_SelfStock[WeekIndex],29)+SUMIFS(T_TTAFStock[TTAF_Qty],T_TTAFStock[RM_Code],$A27,T_TTAFStock[WeekIndex],29),AC27+'Grid_Incoming'!AD27-'Grid_Requirement'!AD27))</f>
        <v/>
      </c>
      <c r="AE27">
        <f>IF(COUNTIFS(T_StockCount[RM_Code],$A27,T_StockCount[WeekIndex],30)&gt;0,SUMIFS(T_StockCount[CountedQty],T_StockCount[RM_Code],$A27,T_StockCount[WeekIndex],30),IF((COUNTIFS(T_SelfStock[RM_Code],$A27,T_SelfStock[WeekIndex],30)&gt;0)*(COUNTIFS(T_TTAFStock[RM_Code],$A27,T_TTAFStock[WeekIndex],30)&gt;0)&gt;0,SUMIFS(T_SelfStock[Self_Qty],T_SelfStock[RM_Code],$A27,T_SelfStock[WeekIndex],30)+SUMIFS(T_TTAFStock[TTAF_Qty],T_TTAFStock[RM_Code],$A27,T_TTAFStock[WeekIndex],30),AD27+'Grid_Incoming'!AE27-'Grid_Requirement'!AE27))</f>
        <v/>
      </c>
      <c r="AF27">
        <f>IF(COUNTIFS(T_StockCount[RM_Code],$A27,T_StockCount[WeekIndex],31)&gt;0,SUMIFS(T_StockCount[CountedQty],T_StockCount[RM_Code],$A27,T_StockCount[WeekIndex],31),IF((COUNTIFS(T_SelfStock[RM_Code],$A27,T_SelfStock[WeekIndex],31)&gt;0)*(COUNTIFS(T_TTAFStock[RM_Code],$A27,T_TTAFStock[WeekIndex],31)&gt;0)&gt;0,SUMIFS(T_SelfStock[Self_Qty],T_SelfStock[RM_Code],$A27,T_SelfStock[WeekIndex],31)+SUMIFS(T_TTAFStock[TTAF_Qty],T_TTAFStock[RM_Code],$A27,T_TTAFStock[WeekIndex],31),AE27+'Grid_Incoming'!AF27-'Grid_Requirement'!AF27))</f>
        <v/>
      </c>
      <c r="AG27">
        <f>IF(COUNTIFS(T_StockCount[RM_Code],$A27,T_StockCount[WeekIndex],32)&gt;0,SUMIFS(T_StockCount[CountedQty],T_StockCount[RM_Code],$A27,T_StockCount[WeekIndex],32),IF((COUNTIFS(T_SelfStock[RM_Code],$A27,T_SelfStock[WeekIndex],32)&gt;0)*(COUNTIFS(T_TTAFStock[RM_Code],$A27,T_TTAFStock[WeekIndex],32)&gt;0)&gt;0,SUMIFS(T_SelfStock[Self_Qty],T_SelfStock[RM_Code],$A27,T_SelfStock[WeekIndex],32)+SUMIFS(T_TTAFStock[TTAF_Qty],T_TTAFStock[RM_Code],$A27,T_TTAFStock[WeekIndex],32),AF27+'Grid_Incoming'!AG27-'Grid_Requirement'!AG27))</f>
        <v/>
      </c>
      <c r="AH27">
        <f>IF(COUNTIFS(T_StockCount[RM_Code],$A27,T_StockCount[WeekIndex],33)&gt;0,SUMIFS(T_StockCount[CountedQty],T_StockCount[RM_Code],$A27,T_StockCount[WeekIndex],33),IF((COUNTIFS(T_SelfStock[RM_Code],$A27,T_SelfStock[WeekIndex],33)&gt;0)*(COUNTIFS(T_TTAFStock[RM_Code],$A27,T_TTAFStock[WeekIndex],33)&gt;0)&gt;0,SUMIFS(T_SelfStock[Self_Qty],T_SelfStock[RM_Code],$A27,T_SelfStock[WeekIndex],33)+SUMIFS(T_TTAFStock[TTAF_Qty],T_TTAFStock[RM_Code],$A27,T_TTAFStock[WeekIndex],33),AG27+'Grid_Incoming'!AH27-'Grid_Requirement'!AH27))</f>
        <v/>
      </c>
      <c r="AI27">
        <f>IF(COUNTIFS(T_StockCount[RM_Code],$A27,T_StockCount[WeekIndex],34)&gt;0,SUMIFS(T_StockCount[CountedQty],T_StockCount[RM_Code],$A27,T_StockCount[WeekIndex],34),IF((COUNTIFS(T_SelfStock[RM_Code],$A27,T_SelfStock[WeekIndex],34)&gt;0)*(COUNTIFS(T_TTAFStock[RM_Code],$A27,T_TTAFStock[WeekIndex],34)&gt;0)&gt;0,SUMIFS(T_SelfStock[Self_Qty],T_SelfStock[RM_Code],$A27,T_SelfStock[WeekIndex],34)+SUMIFS(T_TTAFStock[TTAF_Qty],T_TTAFStock[RM_Code],$A27,T_TTAFStock[WeekIndex],34),AH27+'Grid_Incoming'!AI27-'Grid_Requirement'!AI27))</f>
        <v/>
      </c>
      <c r="AJ27">
        <f>IF(COUNTIFS(T_StockCount[RM_Code],$A27,T_StockCount[WeekIndex],35)&gt;0,SUMIFS(T_StockCount[CountedQty],T_StockCount[RM_Code],$A27,T_StockCount[WeekIndex],35),IF((COUNTIFS(T_SelfStock[RM_Code],$A27,T_SelfStock[WeekIndex],35)&gt;0)*(COUNTIFS(T_TTAFStock[RM_Code],$A27,T_TTAFStock[WeekIndex],35)&gt;0)&gt;0,SUMIFS(T_SelfStock[Self_Qty],T_SelfStock[RM_Code],$A27,T_SelfStock[WeekIndex],35)+SUMIFS(T_TTAFStock[TTAF_Qty],T_TTAFStock[RM_Code],$A27,T_TTAFStock[WeekIndex],35),AI27+'Grid_Incoming'!AJ27-'Grid_Requirement'!AJ27))</f>
        <v/>
      </c>
      <c r="AK27">
        <f>IF(COUNTIFS(T_StockCount[RM_Code],$A27,T_StockCount[WeekIndex],36)&gt;0,SUMIFS(T_StockCount[CountedQty],T_StockCount[RM_Code],$A27,T_StockCount[WeekIndex],36),IF((COUNTIFS(T_SelfStock[RM_Code],$A27,T_SelfStock[WeekIndex],36)&gt;0)*(COUNTIFS(T_TTAFStock[RM_Code],$A27,T_TTAFStock[WeekIndex],36)&gt;0)&gt;0,SUMIFS(T_SelfStock[Self_Qty],T_SelfStock[RM_Code],$A27,T_SelfStock[WeekIndex],36)+SUMIFS(T_TTAFStock[TTAF_Qty],T_TTAFStock[RM_Code],$A27,T_TTAFStock[WeekIndex],36),AJ27+'Grid_Incoming'!AK27-'Grid_Requirement'!AK27))</f>
        <v/>
      </c>
      <c r="AL27">
        <f>IF(COUNTIFS(T_StockCount[RM_Code],$A27,T_StockCount[WeekIndex],37)&gt;0,SUMIFS(T_StockCount[CountedQty],T_StockCount[RM_Code],$A27,T_StockCount[WeekIndex],37),IF((COUNTIFS(T_SelfStock[RM_Code],$A27,T_SelfStock[WeekIndex],37)&gt;0)*(COUNTIFS(T_TTAFStock[RM_Code],$A27,T_TTAFStock[WeekIndex],37)&gt;0)&gt;0,SUMIFS(T_SelfStock[Self_Qty],T_SelfStock[RM_Code],$A27,T_SelfStock[WeekIndex],37)+SUMIFS(T_TTAFStock[TTAF_Qty],T_TTAFStock[RM_Code],$A27,T_TTAFStock[WeekIndex],37),AK27+'Grid_Incoming'!AL27-'Grid_Requirement'!AL27))</f>
        <v/>
      </c>
      <c r="AM27">
        <f>IF(COUNTIFS(T_StockCount[RM_Code],$A27,T_StockCount[WeekIndex],38)&gt;0,SUMIFS(T_StockCount[CountedQty],T_StockCount[RM_Code],$A27,T_StockCount[WeekIndex],38),IF((COUNTIFS(T_SelfStock[RM_Code],$A27,T_SelfStock[WeekIndex],38)&gt;0)*(COUNTIFS(T_TTAFStock[RM_Code],$A27,T_TTAFStock[WeekIndex],38)&gt;0)&gt;0,SUMIFS(T_SelfStock[Self_Qty],T_SelfStock[RM_Code],$A27,T_SelfStock[WeekIndex],38)+SUMIFS(T_TTAFStock[TTAF_Qty],T_TTAFStock[RM_Code],$A27,T_TTAFStock[WeekIndex],38),AL27+'Grid_Incoming'!AM27-'Grid_Requirement'!AM27))</f>
        <v/>
      </c>
      <c r="AN27">
        <f>IF(COUNTIFS(T_StockCount[RM_Code],$A27,T_StockCount[WeekIndex],39)&gt;0,SUMIFS(T_StockCount[CountedQty],T_StockCount[RM_Code],$A27,T_StockCount[WeekIndex],39),IF((COUNTIFS(T_SelfStock[RM_Code],$A27,T_SelfStock[WeekIndex],39)&gt;0)*(COUNTIFS(T_TTAFStock[RM_Code],$A27,T_TTAFStock[WeekIndex],39)&gt;0)&gt;0,SUMIFS(T_SelfStock[Self_Qty],T_SelfStock[RM_Code],$A27,T_SelfStock[WeekIndex],39)+SUMIFS(T_TTAFStock[TTAF_Qty],T_TTAFStock[RM_Code],$A27,T_TTAFStock[WeekIndex],39),AM27+'Grid_Incoming'!AN27-'Grid_Requirement'!AN27))</f>
        <v/>
      </c>
      <c r="AO27">
        <f>IF(COUNTIFS(T_StockCount[RM_Code],$A27,T_StockCount[WeekIndex],40)&gt;0,SUMIFS(T_StockCount[CountedQty],T_StockCount[RM_Code],$A27,T_StockCount[WeekIndex],40),IF((COUNTIFS(T_SelfStock[RM_Code],$A27,T_SelfStock[WeekIndex],40)&gt;0)*(COUNTIFS(T_TTAFStock[RM_Code],$A27,T_TTAFStock[WeekIndex],40)&gt;0)&gt;0,SUMIFS(T_SelfStock[Self_Qty],T_SelfStock[RM_Code],$A27,T_SelfStock[WeekIndex],40)+SUMIFS(T_TTAFStock[TTAF_Qty],T_TTAFStock[RM_Code],$A27,T_TTAFStock[WeekIndex],40),AN27+'Grid_Incoming'!AO27-'Grid_Requirement'!AO27))</f>
        <v/>
      </c>
      <c r="AP27">
        <f>IF(COUNTIFS(T_StockCount[RM_Code],$A27,T_StockCount[WeekIndex],41)&gt;0,SUMIFS(T_StockCount[CountedQty],T_StockCount[RM_Code],$A27,T_StockCount[WeekIndex],41),IF((COUNTIFS(T_SelfStock[RM_Code],$A27,T_SelfStock[WeekIndex],41)&gt;0)*(COUNTIFS(T_TTAFStock[RM_Code],$A27,T_TTAFStock[WeekIndex],41)&gt;0)&gt;0,SUMIFS(T_SelfStock[Self_Qty],T_SelfStock[RM_Code],$A27,T_SelfStock[WeekIndex],41)+SUMIFS(T_TTAFStock[TTAF_Qty],T_TTAFStock[RM_Code],$A27,T_TTAFStock[WeekIndex],41),AO27+'Grid_Incoming'!AP27-'Grid_Requirement'!AP27))</f>
        <v/>
      </c>
      <c r="AQ27">
        <f>IF(COUNTIFS(T_StockCount[RM_Code],$A27,T_StockCount[WeekIndex],42)&gt;0,SUMIFS(T_StockCount[CountedQty],T_StockCount[RM_Code],$A27,T_StockCount[WeekIndex],42),IF((COUNTIFS(T_SelfStock[RM_Code],$A27,T_SelfStock[WeekIndex],42)&gt;0)*(COUNTIFS(T_TTAFStock[RM_Code],$A27,T_TTAFStock[WeekIndex],42)&gt;0)&gt;0,SUMIFS(T_SelfStock[Self_Qty],T_SelfStock[RM_Code],$A27,T_SelfStock[WeekIndex],42)+SUMIFS(T_TTAFStock[TTAF_Qty],T_TTAFStock[RM_Code],$A27,T_TTAFStock[WeekIndex],42),AP27+'Grid_Incoming'!AQ27-'Grid_Requirement'!AQ27))</f>
        <v/>
      </c>
      <c r="AR27">
        <f>IF(COUNTIFS(T_StockCount[RM_Code],$A27,T_StockCount[WeekIndex],43)&gt;0,SUMIFS(T_StockCount[CountedQty],T_StockCount[RM_Code],$A27,T_StockCount[WeekIndex],43),IF((COUNTIFS(T_SelfStock[RM_Code],$A27,T_SelfStock[WeekIndex],43)&gt;0)*(COUNTIFS(T_TTAFStock[RM_Code],$A27,T_TTAFStock[WeekIndex],43)&gt;0)&gt;0,SUMIFS(T_SelfStock[Self_Qty],T_SelfStock[RM_Code],$A27,T_SelfStock[WeekIndex],43)+SUMIFS(T_TTAFStock[TTAF_Qty],T_TTAFStock[RM_Code],$A27,T_TTAFStock[WeekIndex],43),AQ27+'Grid_Incoming'!AR27-'Grid_Requirement'!AR27))</f>
        <v/>
      </c>
      <c r="AS27">
        <f>IF(COUNTIFS(T_StockCount[RM_Code],$A27,T_StockCount[WeekIndex],44)&gt;0,SUMIFS(T_StockCount[CountedQty],T_StockCount[RM_Code],$A27,T_StockCount[WeekIndex],44),IF((COUNTIFS(T_SelfStock[RM_Code],$A27,T_SelfStock[WeekIndex],44)&gt;0)*(COUNTIFS(T_TTAFStock[RM_Code],$A27,T_TTAFStock[WeekIndex],44)&gt;0)&gt;0,SUMIFS(T_SelfStock[Self_Qty],T_SelfStock[RM_Code],$A27,T_SelfStock[WeekIndex],44)+SUMIFS(T_TTAFStock[TTAF_Qty],T_TTAFStock[RM_Code],$A27,T_TTAFStock[WeekIndex],44),AR27+'Grid_Incoming'!AS27-'Grid_Requirement'!AS27))</f>
        <v/>
      </c>
      <c r="AT27">
        <f>IF(COUNTIFS(T_StockCount[RM_Code],$A27,T_StockCount[WeekIndex],45)&gt;0,SUMIFS(T_StockCount[CountedQty],T_StockCount[RM_Code],$A27,T_StockCount[WeekIndex],45),IF((COUNTIFS(T_SelfStock[RM_Code],$A27,T_SelfStock[WeekIndex],45)&gt;0)*(COUNTIFS(T_TTAFStock[RM_Code],$A27,T_TTAFStock[WeekIndex],45)&gt;0)&gt;0,SUMIFS(T_SelfStock[Self_Qty],T_SelfStock[RM_Code],$A27,T_SelfStock[WeekIndex],45)+SUMIFS(T_TTAFStock[TTAF_Qty],T_TTAFStock[RM_Code],$A27,T_TTAFStock[WeekIndex],45),AS27+'Grid_Incoming'!AT27-'Grid_Requirement'!AT27))</f>
        <v/>
      </c>
      <c r="AU27">
        <f>IF(COUNTIFS(T_StockCount[RM_Code],$A27,T_StockCount[WeekIndex],46)&gt;0,SUMIFS(T_StockCount[CountedQty],T_StockCount[RM_Code],$A27,T_StockCount[WeekIndex],46),IF((COUNTIFS(T_SelfStock[RM_Code],$A27,T_SelfStock[WeekIndex],46)&gt;0)*(COUNTIFS(T_TTAFStock[RM_Code],$A27,T_TTAFStock[WeekIndex],46)&gt;0)&gt;0,SUMIFS(T_SelfStock[Self_Qty],T_SelfStock[RM_Code],$A27,T_SelfStock[WeekIndex],46)+SUMIFS(T_TTAFStock[TTAF_Qty],T_TTAFStock[RM_Code],$A27,T_TTAFStock[WeekIndex],46),AT27+'Grid_Incoming'!AU27-'Grid_Requirement'!AU27))</f>
        <v/>
      </c>
      <c r="AV27">
        <f>IF(COUNTIFS(T_StockCount[RM_Code],$A27,T_StockCount[WeekIndex],47)&gt;0,SUMIFS(T_StockCount[CountedQty],T_StockCount[RM_Code],$A27,T_StockCount[WeekIndex],47),IF((COUNTIFS(T_SelfStock[RM_Code],$A27,T_SelfStock[WeekIndex],47)&gt;0)*(COUNTIFS(T_TTAFStock[RM_Code],$A27,T_TTAFStock[WeekIndex],47)&gt;0)&gt;0,SUMIFS(T_SelfStock[Self_Qty],T_SelfStock[RM_Code],$A27,T_SelfStock[WeekIndex],47)+SUMIFS(T_TTAFStock[TTAF_Qty],T_TTAFStock[RM_Code],$A27,T_TTAFStock[WeekIndex],47),AU27+'Grid_Incoming'!AV27-'Grid_Requirement'!AV27))</f>
        <v/>
      </c>
      <c r="AW27">
        <f>IF(COUNTIFS(T_StockCount[RM_Code],$A27,T_StockCount[WeekIndex],48)&gt;0,SUMIFS(T_StockCount[CountedQty],T_StockCount[RM_Code],$A27,T_StockCount[WeekIndex],48),IF((COUNTIFS(T_SelfStock[RM_Code],$A27,T_SelfStock[WeekIndex],48)&gt;0)*(COUNTIFS(T_TTAFStock[RM_Code],$A27,T_TTAFStock[WeekIndex],48)&gt;0)&gt;0,SUMIFS(T_SelfStock[Self_Qty],T_SelfStock[RM_Code],$A27,T_SelfStock[WeekIndex],48)+SUMIFS(T_TTAFStock[TTAF_Qty],T_TTAFStock[RM_Code],$A27,T_TTAFStock[WeekIndex],48),AV27+'Grid_Incoming'!AW27-'Grid_Requirement'!AW27))</f>
        <v/>
      </c>
      <c r="AX27">
        <f>IF(COUNTIFS(T_StockCount[RM_Code],$A27,T_StockCount[WeekIndex],49)&gt;0,SUMIFS(T_StockCount[CountedQty],T_StockCount[RM_Code],$A27,T_StockCount[WeekIndex],49),IF((COUNTIFS(T_SelfStock[RM_Code],$A27,T_SelfStock[WeekIndex],49)&gt;0)*(COUNTIFS(T_TTAFStock[RM_Code],$A27,T_TTAFStock[WeekIndex],49)&gt;0)&gt;0,SUMIFS(T_SelfStock[Self_Qty],T_SelfStock[RM_Code],$A27,T_SelfStock[WeekIndex],49)+SUMIFS(T_TTAFStock[TTAF_Qty],T_TTAFStock[RM_Code],$A27,T_TTAFStock[WeekIndex],49),AW27+'Grid_Incoming'!AX27-'Grid_Requirement'!AX27))</f>
        <v/>
      </c>
      <c r="AY27">
        <f>IF(COUNTIFS(T_StockCount[RM_Code],$A27,T_StockCount[WeekIndex],50)&gt;0,SUMIFS(T_StockCount[CountedQty],T_StockCount[RM_Code],$A27,T_StockCount[WeekIndex],50),IF((COUNTIFS(T_SelfStock[RM_Code],$A27,T_SelfStock[WeekIndex],50)&gt;0)*(COUNTIFS(T_TTAFStock[RM_Code],$A27,T_TTAFStock[WeekIndex],50)&gt;0)&gt;0,SUMIFS(T_SelfStock[Self_Qty],T_SelfStock[RM_Code],$A27,T_SelfStock[WeekIndex],50)+SUMIFS(T_TTAFStock[TTAF_Qty],T_TTAFStock[RM_Code],$A27,T_TTAFStock[WeekIndex],50),AX27+'Grid_Incoming'!AY27-'Grid_Requirement'!AY27))</f>
        <v/>
      </c>
      <c r="AZ27">
        <f>IF(COUNTIFS(T_StockCount[RM_Code],$A27,T_StockCount[WeekIndex],51)&gt;0,SUMIFS(T_StockCount[CountedQty],T_StockCount[RM_Code],$A27,T_StockCount[WeekIndex],51),IF((COUNTIFS(T_SelfStock[RM_Code],$A27,T_SelfStock[WeekIndex],51)&gt;0)*(COUNTIFS(T_TTAFStock[RM_Code],$A27,T_TTAFStock[WeekIndex],51)&gt;0)&gt;0,SUMIFS(T_SelfStock[Self_Qty],T_SelfStock[RM_Code],$A27,T_SelfStock[WeekIndex],51)+SUMIFS(T_TTAFStock[TTAF_Qty],T_TTAFStock[RM_Code],$A27,T_TTAFStock[WeekIndex],51),AY27+'Grid_Incoming'!AZ27-'Grid_Requirement'!AZ27))</f>
        <v/>
      </c>
      <c r="BA27">
        <f>IF(COUNTIFS(T_StockCount[RM_Code],$A27,T_StockCount[WeekIndex],52)&gt;0,SUMIFS(T_StockCount[CountedQty],T_StockCount[RM_Code],$A27,T_StockCount[WeekIndex],52),IF((COUNTIFS(T_SelfStock[RM_Code],$A27,T_SelfStock[WeekIndex],52)&gt;0)*(COUNTIFS(T_TTAFStock[RM_Code],$A27,T_TTAFStock[WeekIndex],52)&gt;0)&gt;0,SUMIFS(T_SelfStock[Self_Qty],T_SelfStock[RM_Code],$A27,T_SelfStock[WeekIndex],52)+SUMIFS(T_TTAFStock[TTAF_Qty],T_TTAFStock[RM_Code],$A27,T_TTAFStock[WeekIndex],52),AZ27+'Grid_Incoming'!BA27-'Grid_Requirement'!BA27))</f>
        <v/>
      </c>
      <c r="BB27">
        <f>IF(COUNTIFS(T_StockCount[RM_Code],$A27,T_StockCount[WeekIndex],53)&gt;0,SUMIFS(T_StockCount[CountedQty],T_StockCount[RM_Code],$A27,T_StockCount[WeekIndex],53),IF((COUNTIFS(T_SelfStock[RM_Code],$A27,T_SelfStock[WeekIndex],53)&gt;0)*(COUNTIFS(T_TTAFStock[RM_Code],$A27,T_TTAFStock[WeekIndex],53)&gt;0)&gt;0,SUMIFS(T_SelfStock[Self_Qty],T_SelfStock[RM_Code],$A27,T_SelfStock[WeekIndex],53)+SUMIFS(T_TTAFStock[TTAF_Qty],T_TTAFStock[RM_Code],$A27,T_TTAFStock[WeekIndex],53),BA27+'Grid_Incoming'!BB27-'Grid_Requirement'!BB27))</f>
        <v/>
      </c>
      <c r="BC27">
        <f>IF(COUNTIFS(T_StockCount[RM_Code],$A27,T_StockCount[WeekIndex],54)&gt;0,SUMIFS(T_StockCount[CountedQty],T_StockCount[RM_Code],$A27,T_StockCount[WeekIndex],54),IF((COUNTIFS(T_SelfStock[RM_Code],$A27,T_SelfStock[WeekIndex],54)&gt;0)*(COUNTIFS(T_TTAFStock[RM_Code],$A27,T_TTAFStock[WeekIndex],54)&gt;0)&gt;0,SUMIFS(T_SelfStock[Self_Qty],T_SelfStock[RM_Code],$A27,T_SelfStock[WeekIndex],54)+SUMIFS(T_TTAFStock[TTAF_Qty],T_TTAFStock[RM_Code],$A27,T_TTAFStock[WeekIndex],54),BB27+'Grid_Incoming'!BC27-'Grid_Requirement'!BC27))</f>
        <v/>
      </c>
      <c r="BD27">
        <f>IF(COUNTIFS(T_StockCount[RM_Code],$A27,T_StockCount[WeekIndex],55)&gt;0,SUMIFS(T_StockCount[CountedQty],T_StockCount[RM_Code],$A27,T_StockCount[WeekIndex],55),IF((COUNTIFS(T_SelfStock[RM_Code],$A27,T_SelfStock[WeekIndex],55)&gt;0)*(COUNTIFS(T_TTAFStock[RM_Code],$A27,T_TTAFStock[WeekIndex],55)&gt;0)&gt;0,SUMIFS(T_SelfStock[Self_Qty],T_SelfStock[RM_Code],$A27,T_SelfStock[WeekIndex],55)+SUMIFS(T_TTAFStock[TTAF_Qty],T_TTAFStock[RM_Code],$A27,T_TTAFStock[WeekIndex],55),BC27+'Grid_Incoming'!BD27-'Grid_Requirement'!BD27))</f>
        <v/>
      </c>
      <c r="BE27">
        <f>IF(COUNTIFS(T_StockCount[RM_Code],$A27,T_StockCount[WeekIndex],56)&gt;0,SUMIFS(T_StockCount[CountedQty],T_StockCount[RM_Code],$A27,T_StockCount[WeekIndex],56),IF((COUNTIFS(T_SelfStock[RM_Code],$A27,T_SelfStock[WeekIndex],56)&gt;0)*(COUNTIFS(T_TTAFStock[RM_Code],$A27,T_TTAFStock[WeekIndex],56)&gt;0)&gt;0,SUMIFS(T_SelfStock[Self_Qty],T_SelfStock[RM_Code],$A27,T_SelfStock[WeekIndex],56)+SUMIFS(T_TTAFStock[TTAF_Qty],T_TTAFStock[RM_Code],$A27,T_TTAFStock[WeekIndex],56),BD27+'Grid_Incoming'!BE27-'Grid_Requirement'!BE27))</f>
        <v/>
      </c>
      <c r="BF27">
        <f>IF(COUNTIFS(T_StockCount[RM_Code],$A27,T_StockCount[WeekIndex],57)&gt;0,SUMIFS(T_StockCount[CountedQty],T_StockCount[RM_Code],$A27,T_StockCount[WeekIndex],57),IF((COUNTIFS(T_SelfStock[RM_Code],$A27,T_SelfStock[WeekIndex],57)&gt;0)*(COUNTIFS(T_TTAFStock[RM_Code],$A27,T_TTAFStock[WeekIndex],57)&gt;0)&gt;0,SUMIFS(T_SelfStock[Self_Qty],T_SelfStock[RM_Code],$A27,T_SelfStock[WeekIndex],57)+SUMIFS(T_TTAFStock[TTAF_Qty],T_TTAFStock[RM_Code],$A27,T_TTAFStock[WeekIndex],57),BE27+'Grid_Incoming'!BF27-'Grid_Requirement'!BF27))</f>
        <v/>
      </c>
      <c r="BG27">
        <f>IF(COUNTIFS(T_StockCount[RM_Code],$A27,T_StockCount[WeekIndex],58)&gt;0,SUMIFS(T_StockCount[CountedQty],T_StockCount[RM_Code],$A27,T_StockCount[WeekIndex],58),IF((COUNTIFS(T_SelfStock[RM_Code],$A27,T_SelfStock[WeekIndex],58)&gt;0)*(COUNTIFS(T_TTAFStock[RM_Code],$A27,T_TTAFStock[WeekIndex],58)&gt;0)&gt;0,SUMIFS(T_SelfStock[Self_Qty],T_SelfStock[RM_Code],$A27,T_SelfStock[WeekIndex],58)+SUMIFS(T_TTAFStock[TTAF_Qty],T_TTAFStock[RM_Code],$A27,T_TTAFStock[WeekIndex],58),BF27+'Grid_Incoming'!BG27-'Grid_Requirement'!BG27))</f>
        <v/>
      </c>
      <c r="BH27">
        <f>IF(COUNTIFS(T_StockCount[RM_Code],$A27,T_StockCount[WeekIndex],59)&gt;0,SUMIFS(T_StockCount[CountedQty],T_StockCount[RM_Code],$A27,T_StockCount[WeekIndex],59),IF((COUNTIFS(T_SelfStock[RM_Code],$A27,T_SelfStock[WeekIndex],59)&gt;0)*(COUNTIFS(T_TTAFStock[RM_Code],$A27,T_TTAFStock[WeekIndex],59)&gt;0)&gt;0,SUMIFS(T_SelfStock[Self_Qty],T_SelfStock[RM_Code],$A27,T_SelfStock[WeekIndex],59)+SUMIFS(T_TTAFStock[TTAF_Qty],T_TTAFStock[RM_Code],$A27,T_TTAFStock[WeekIndex],59),BG27+'Grid_Incoming'!BH27-'Grid_Requirement'!BH27))</f>
        <v/>
      </c>
      <c r="BI27">
        <f>IF(COUNTIFS(T_StockCount[RM_Code],$A27,T_StockCount[WeekIndex],60)&gt;0,SUMIFS(T_StockCount[CountedQty],T_StockCount[RM_Code],$A27,T_StockCount[WeekIndex],60),IF((COUNTIFS(T_SelfStock[RM_Code],$A27,T_SelfStock[WeekIndex],60)&gt;0)*(COUNTIFS(T_TTAFStock[RM_Code],$A27,T_TTAFStock[WeekIndex],60)&gt;0)&gt;0,SUMIFS(T_SelfStock[Self_Qty],T_SelfStock[RM_Code],$A27,T_SelfStock[WeekIndex],60)+SUMIFS(T_TTAFStock[TTAF_Qty],T_TTAFStock[RM_Code],$A27,T_TTAFStock[WeekIndex],60),BH27+'Grid_Incoming'!BI27-'Grid_Requirement'!BI27))</f>
        <v/>
      </c>
      <c r="BJ27">
        <f>IF(COUNTIFS(T_StockCount[RM_Code],$A27,T_StockCount[WeekIndex],61)&gt;0,SUMIFS(T_StockCount[CountedQty],T_StockCount[RM_Code],$A27,T_StockCount[WeekIndex],61),IF((COUNTIFS(T_SelfStock[RM_Code],$A27,T_SelfStock[WeekIndex],61)&gt;0)*(COUNTIFS(T_TTAFStock[RM_Code],$A27,T_TTAFStock[WeekIndex],61)&gt;0)&gt;0,SUMIFS(T_SelfStock[Self_Qty],T_SelfStock[RM_Code],$A27,T_SelfStock[WeekIndex],61)+SUMIFS(T_TTAFStock[TTAF_Qty],T_TTAFStock[RM_Code],$A27,T_TTAFStock[WeekIndex],61),BI27+'Grid_Incoming'!BJ27-'Grid_Requirement'!BJ27))</f>
        <v/>
      </c>
      <c r="BK27">
        <f>IF(COUNTIFS(T_StockCount[RM_Code],$A27,T_StockCount[WeekIndex],62)&gt;0,SUMIFS(T_StockCount[CountedQty],T_StockCount[RM_Code],$A27,T_StockCount[WeekIndex],62),IF((COUNTIFS(T_SelfStock[RM_Code],$A27,T_SelfStock[WeekIndex],62)&gt;0)*(COUNTIFS(T_TTAFStock[RM_Code],$A27,T_TTAFStock[WeekIndex],62)&gt;0)&gt;0,SUMIFS(T_SelfStock[Self_Qty],T_SelfStock[RM_Code],$A27,T_SelfStock[WeekIndex],62)+SUMIFS(T_TTAFStock[TTAF_Qty],T_TTAFStock[RM_Code],$A27,T_TTAFStock[WeekIndex],62),BJ27+'Grid_Incoming'!BK27-'Grid_Requirement'!BK27))</f>
        <v/>
      </c>
      <c r="BL27">
        <f>IF(COUNTIFS(T_StockCount[RM_Code],$A27,T_StockCount[WeekIndex],63)&gt;0,SUMIFS(T_StockCount[CountedQty],T_StockCount[RM_Code],$A27,T_StockCount[WeekIndex],63),IF((COUNTIFS(T_SelfStock[RM_Code],$A27,T_SelfStock[WeekIndex],63)&gt;0)*(COUNTIFS(T_TTAFStock[RM_Code],$A27,T_TTAFStock[WeekIndex],63)&gt;0)&gt;0,SUMIFS(T_SelfStock[Self_Qty],T_SelfStock[RM_Code],$A27,T_SelfStock[WeekIndex],63)+SUMIFS(T_TTAFStock[TTAF_Qty],T_TTAFStock[RM_Code],$A27,T_TTAFStock[WeekIndex],63),BK27+'Grid_Incoming'!BL27-'Grid_Requirement'!BL27))</f>
        <v/>
      </c>
      <c r="BM27">
        <f>IF(COUNTIFS(T_StockCount[RM_Code],$A27,T_StockCount[WeekIndex],64)&gt;0,SUMIFS(T_StockCount[CountedQty],T_StockCount[RM_Code],$A27,T_StockCount[WeekIndex],64),IF((COUNTIFS(T_SelfStock[RM_Code],$A27,T_SelfStock[WeekIndex],64)&gt;0)*(COUNTIFS(T_TTAFStock[RM_Code],$A27,T_TTAFStock[WeekIndex],64)&gt;0)&gt;0,SUMIFS(T_SelfStock[Self_Qty],T_SelfStock[RM_Code],$A27,T_SelfStock[WeekIndex],64)+SUMIFS(T_TTAFStock[TTAF_Qty],T_TTAFStock[RM_Code],$A27,T_TTAFStock[WeekIndex],64),BL27+'Grid_Incoming'!BM27-'Grid_Requirement'!BM27))</f>
        <v/>
      </c>
      <c r="BN27">
        <f>IF(COUNTIFS(T_StockCount[RM_Code],$A27,T_StockCount[WeekIndex],65)&gt;0,SUMIFS(T_StockCount[CountedQty],T_StockCount[RM_Code],$A27,T_StockCount[WeekIndex],65),IF((COUNTIFS(T_SelfStock[RM_Code],$A27,T_SelfStock[WeekIndex],65)&gt;0)*(COUNTIFS(T_TTAFStock[RM_Code],$A27,T_TTAFStock[WeekIndex],65)&gt;0)&gt;0,SUMIFS(T_SelfStock[Self_Qty],T_SelfStock[RM_Code],$A27,T_SelfStock[WeekIndex],65)+SUMIFS(T_TTAFStock[TTAF_Qty],T_TTAFStock[RM_Code],$A27,T_TTAFStock[WeekIndex],65),BM27+'Grid_Incoming'!BN27-'Grid_Requirement'!BN27))</f>
        <v/>
      </c>
      <c r="BO27">
        <f>IF(COUNTIFS(T_StockCount[RM_Code],$A27,T_StockCount[WeekIndex],66)&gt;0,SUMIFS(T_StockCount[CountedQty],T_StockCount[RM_Code],$A27,T_StockCount[WeekIndex],66),IF((COUNTIFS(T_SelfStock[RM_Code],$A27,T_SelfStock[WeekIndex],66)&gt;0)*(COUNTIFS(T_TTAFStock[RM_Code],$A27,T_TTAFStock[WeekIndex],66)&gt;0)&gt;0,SUMIFS(T_SelfStock[Self_Qty],T_SelfStock[RM_Code],$A27,T_SelfStock[WeekIndex],66)+SUMIFS(T_TTAFStock[TTAF_Qty],T_TTAFStock[RM_Code],$A27,T_TTAFStock[WeekIndex],66),BN27+'Grid_Incoming'!BO27-'Grid_Requirement'!BO27))</f>
        <v/>
      </c>
      <c r="BP27">
        <f>IF(COUNTIFS(T_StockCount[RM_Code],$A27,T_StockCount[WeekIndex],67)&gt;0,SUMIFS(T_StockCount[CountedQty],T_StockCount[RM_Code],$A27,T_StockCount[WeekIndex],67),IF((COUNTIFS(T_SelfStock[RM_Code],$A27,T_SelfStock[WeekIndex],67)&gt;0)*(COUNTIFS(T_TTAFStock[RM_Code],$A27,T_TTAFStock[WeekIndex],67)&gt;0)&gt;0,SUMIFS(T_SelfStock[Self_Qty],T_SelfStock[RM_Code],$A27,T_SelfStock[WeekIndex],67)+SUMIFS(T_TTAFStock[TTAF_Qty],T_TTAFStock[RM_Code],$A27,T_TTAFStock[WeekIndex],67),BO27+'Grid_Incoming'!BP27-'Grid_Requirement'!BP27))</f>
        <v/>
      </c>
      <c r="BQ27">
        <f>IF(COUNTIFS(T_StockCount[RM_Code],$A27,T_StockCount[WeekIndex],68)&gt;0,SUMIFS(T_StockCount[CountedQty],T_StockCount[RM_Code],$A27,T_StockCount[WeekIndex],68),IF((COUNTIFS(T_SelfStock[RM_Code],$A27,T_SelfStock[WeekIndex],68)&gt;0)*(COUNTIFS(T_TTAFStock[RM_Code],$A27,T_TTAFStock[WeekIndex],68)&gt;0)&gt;0,SUMIFS(T_SelfStock[Self_Qty],T_SelfStock[RM_Code],$A27,T_SelfStock[WeekIndex],68)+SUMIFS(T_TTAFStock[TTAF_Qty],T_TTAFStock[RM_Code],$A27,T_TTAFStock[WeekIndex],68),BP27+'Grid_Incoming'!BQ27-'Grid_Requirement'!BQ27))</f>
        <v/>
      </c>
      <c r="BR27">
        <f>IF(COUNTIFS(T_StockCount[RM_Code],$A27,T_StockCount[WeekIndex],69)&gt;0,SUMIFS(T_StockCount[CountedQty],T_StockCount[RM_Code],$A27,T_StockCount[WeekIndex],69),IF((COUNTIFS(T_SelfStock[RM_Code],$A27,T_SelfStock[WeekIndex],69)&gt;0)*(COUNTIFS(T_TTAFStock[RM_Code],$A27,T_TTAFStock[WeekIndex],69)&gt;0)&gt;0,SUMIFS(T_SelfStock[Self_Qty],T_SelfStock[RM_Code],$A27,T_SelfStock[WeekIndex],69)+SUMIFS(T_TTAFStock[TTAF_Qty],T_TTAFStock[RM_Code],$A27,T_TTAFStock[WeekIndex],69),BQ27+'Grid_Incoming'!BR27-'Grid_Requirement'!BR27))</f>
        <v/>
      </c>
      <c r="BS27">
        <f>IF(COUNTIFS(T_StockCount[RM_Code],$A27,T_StockCount[WeekIndex],70)&gt;0,SUMIFS(T_StockCount[CountedQty],T_StockCount[RM_Code],$A27,T_StockCount[WeekIndex],70),IF((COUNTIFS(T_SelfStock[RM_Code],$A27,T_SelfStock[WeekIndex],70)&gt;0)*(COUNTIFS(T_TTAFStock[RM_Code],$A27,T_TTAFStock[WeekIndex],70)&gt;0)&gt;0,SUMIFS(T_SelfStock[Self_Qty],T_SelfStock[RM_Code],$A27,T_SelfStock[WeekIndex],70)+SUMIFS(T_TTAFStock[TTAF_Qty],T_TTAFStock[RM_Code],$A27,T_TTAFStock[WeekIndex],70),BR27+'Grid_Incoming'!BS27-'Grid_Requirement'!BS27))</f>
        <v/>
      </c>
      <c r="BT27">
        <f>IF(COUNTIFS(T_StockCount[RM_Code],$A27,T_StockCount[WeekIndex],71)&gt;0,SUMIFS(T_StockCount[CountedQty],T_StockCount[RM_Code],$A27,T_StockCount[WeekIndex],71),IF((COUNTIFS(T_SelfStock[RM_Code],$A27,T_SelfStock[WeekIndex],71)&gt;0)*(COUNTIFS(T_TTAFStock[RM_Code],$A27,T_TTAFStock[WeekIndex],71)&gt;0)&gt;0,SUMIFS(T_SelfStock[Self_Qty],T_SelfStock[RM_Code],$A27,T_SelfStock[WeekIndex],71)+SUMIFS(T_TTAFStock[TTAF_Qty],T_TTAFStock[RM_Code],$A27,T_TTAFStock[WeekIndex],71),BS27+'Grid_Incoming'!BT27-'Grid_Requirement'!BT27))</f>
        <v/>
      </c>
      <c r="BU27">
        <f>IF(COUNTIFS(T_StockCount[RM_Code],$A27,T_StockCount[WeekIndex],72)&gt;0,SUMIFS(T_StockCount[CountedQty],T_StockCount[RM_Code],$A27,T_StockCount[WeekIndex],72),IF((COUNTIFS(T_SelfStock[RM_Code],$A27,T_SelfStock[WeekIndex],72)&gt;0)*(COUNTIFS(T_TTAFStock[RM_Code],$A27,T_TTAFStock[WeekIndex],72)&gt;0)&gt;0,SUMIFS(T_SelfStock[Self_Qty],T_SelfStock[RM_Code],$A27,T_SelfStock[WeekIndex],72)+SUMIFS(T_TTAFStock[TTAF_Qty],T_TTAFStock[RM_Code],$A27,T_TTAFStock[WeekIndex],72),BT27+'Grid_Incoming'!BU27-'Grid_Requirement'!BU27))</f>
        <v/>
      </c>
      <c r="BV27">
        <f>IF(COUNTIFS(T_StockCount[RM_Code],$A27,T_StockCount[WeekIndex],73)&gt;0,SUMIFS(T_StockCount[CountedQty],T_StockCount[RM_Code],$A27,T_StockCount[WeekIndex],73),IF((COUNTIFS(T_SelfStock[RM_Code],$A27,T_SelfStock[WeekIndex],73)&gt;0)*(COUNTIFS(T_TTAFStock[RM_Code],$A27,T_TTAFStock[WeekIndex],73)&gt;0)&gt;0,SUMIFS(T_SelfStock[Self_Qty],T_SelfStock[RM_Code],$A27,T_SelfStock[WeekIndex],73)+SUMIFS(T_TTAFStock[TTAF_Qty],T_TTAFStock[RM_Code],$A27,T_TTAFStock[WeekIndex],73),BU27+'Grid_Incoming'!BV27-'Grid_Requirement'!BV27))</f>
        <v/>
      </c>
      <c r="BW27">
        <f>IF(COUNTIFS(T_StockCount[RM_Code],$A27,T_StockCount[WeekIndex],74)&gt;0,SUMIFS(T_StockCount[CountedQty],T_StockCount[RM_Code],$A27,T_StockCount[WeekIndex],74),IF((COUNTIFS(T_SelfStock[RM_Code],$A27,T_SelfStock[WeekIndex],74)&gt;0)*(COUNTIFS(T_TTAFStock[RM_Code],$A27,T_TTAFStock[WeekIndex],74)&gt;0)&gt;0,SUMIFS(T_SelfStock[Self_Qty],T_SelfStock[RM_Code],$A27,T_SelfStock[WeekIndex],74)+SUMIFS(T_TTAFStock[TTAF_Qty],T_TTAFStock[RM_Code],$A27,T_TTAFStock[WeekIndex],74),BV27+'Grid_Incoming'!BW27-'Grid_Requirement'!BW27))</f>
        <v/>
      </c>
      <c r="BX27">
        <f>IF(COUNTIFS(T_StockCount[RM_Code],$A27,T_StockCount[WeekIndex],75)&gt;0,SUMIFS(T_StockCount[CountedQty],T_StockCount[RM_Code],$A27,T_StockCount[WeekIndex],75),IF((COUNTIFS(T_SelfStock[RM_Code],$A27,T_SelfStock[WeekIndex],75)&gt;0)*(COUNTIFS(T_TTAFStock[RM_Code],$A27,T_TTAFStock[WeekIndex],75)&gt;0)&gt;0,SUMIFS(T_SelfStock[Self_Qty],T_SelfStock[RM_Code],$A27,T_SelfStock[WeekIndex],75)+SUMIFS(T_TTAFStock[TTAF_Qty],T_TTAFStock[RM_Code],$A27,T_TTAFStock[WeekIndex],75),BW27+'Grid_Incoming'!BX27-'Grid_Requirement'!BX27))</f>
        <v/>
      </c>
      <c r="BY27">
        <f>IF(COUNTIFS(T_StockCount[RM_Code],$A27,T_StockCount[WeekIndex],76)&gt;0,SUMIFS(T_StockCount[CountedQty],T_StockCount[RM_Code],$A27,T_StockCount[WeekIndex],76),IF((COUNTIFS(T_SelfStock[RM_Code],$A27,T_SelfStock[WeekIndex],76)&gt;0)*(COUNTIFS(T_TTAFStock[RM_Code],$A27,T_TTAFStock[WeekIndex],76)&gt;0)&gt;0,SUMIFS(T_SelfStock[Self_Qty],T_SelfStock[RM_Code],$A27,T_SelfStock[WeekIndex],76)+SUMIFS(T_TTAFStock[TTAF_Qty],T_TTAFStock[RM_Code],$A27,T_TTAFStock[WeekIndex],76),BX27+'Grid_Incoming'!BY27-'Grid_Requirement'!BY27))</f>
        <v/>
      </c>
      <c r="BZ27">
        <f>IF(COUNTIFS(T_StockCount[RM_Code],$A27,T_StockCount[WeekIndex],77)&gt;0,SUMIFS(T_StockCount[CountedQty],T_StockCount[RM_Code],$A27,T_StockCount[WeekIndex],77),IF((COUNTIFS(T_SelfStock[RM_Code],$A27,T_SelfStock[WeekIndex],77)&gt;0)*(COUNTIFS(T_TTAFStock[RM_Code],$A27,T_TTAFStock[WeekIndex],77)&gt;0)&gt;0,SUMIFS(T_SelfStock[Self_Qty],T_SelfStock[RM_Code],$A27,T_SelfStock[WeekIndex],77)+SUMIFS(T_TTAFStock[TTAF_Qty],T_TTAFStock[RM_Code],$A27,T_TTAFStock[WeekIndex],77),BY27+'Grid_Incoming'!BZ27-'Grid_Requirement'!BZ27))</f>
        <v/>
      </c>
      <c r="CA27">
        <f>IF(COUNTIFS(T_StockCount[RM_Code],$A27,T_StockCount[WeekIndex],78)&gt;0,SUMIFS(T_StockCount[CountedQty],T_StockCount[RM_Code],$A27,T_StockCount[WeekIndex],78),IF((COUNTIFS(T_SelfStock[RM_Code],$A27,T_SelfStock[WeekIndex],78)&gt;0)*(COUNTIFS(T_TTAFStock[RM_Code],$A27,T_TTAFStock[WeekIndex],78)&gt;0)&gt;0,SUMIFS(T_SelfStock[Self_Qty],T_SelfStock[RM_Code],$A27,T_SelfStock[WeekIndex],78)+SUMIFS(T_TTAFStock[TTAF_Qty],T_TTAFStock[RM_Code],$A27,T_TTAFStock[WeekIndex],78),BZ27+'Grid_Incoming'!CA27-'Grid_Requirement'!CA27))</f>
        <v/>
      </c>
      <c r="CB27">
        <f>IF(COUNTIFS(T_StockCount[RM_Code],$A27,T_StockCount[WeekIndex],79)&gt;0,SUMIFS(T_StockCount[CountedQty],T_StockCount[RM_Code],$A27,T_StockCount[WeekIndex],79),IF((COUNTIFS(T_SelfStock[RM_Code],$A27,T_SelfStock[WeekIndex],79)&gt;0)*(COUNTIFS(T_TTAFStock[RM_Code],$A27,T_TTAFStock[WeekIndex],79)&gt;0)&gt;0,SUMIFS(T_SelfStock[Self_Qty],T_SelfStock[RM_Code],$A27,T_SelfStock[WeekIndex],79)+SUMIFS(T_TTAFStock[TTAF_Qty],T_TTAFStock[RM_Code],$A27,T_TTAFStock[WeekIndex],79),CA27+'Grid_Incoming'!CB27-'Grid_Requirement'!CB27))</f>
        <v/>
      </c>
      <c r="CC27">
        <f>IF(COUNTIFS(T_StockCount[RM_Code],$A27,T_StockCount[WeekIndex],80)&gt;0,SUMIFS(T_StockCount[CountedQty],T_StockCount[RM_Code],$A27,T_StockCount[WeekIndex],80),IF((COUNTIFS(T_SelfStock[RM_Code],$A27,T_SelfStock[WeekIndex],80)&gt;0)*(COUNTIFS(T_TTAFStock[RM_Code],$A27,T_TTAFStock[WeekIndex],80)&gt;0)&gt;0,SUMIFS(T_SelfStock[Self_Qty],T_SelfStock[RM_Code],$A27,T_SelfStock[WeekIndex],80)+SUMIFS(T_TTAFStock[TTAF_Qty],T_TTAFStock[RM_Code],$A27,T_TTAFStock[WeekIndex],80),CB27+'Grid_Incoming'!CC27-'Grid_Requirement'!CC27))</f>
        <v/>
      </c>
      <c r="CD27">
        <f>IF(COUNTIFS(T_StockCount[RM_Code],$A27,T_StockCount[WeekIndex],81)&gt;0,SUMIFS(T_StockCount[CountedQty],T_StockCount[RM_Code],$A27,T_StockCount[WeekIndex],81),IF((COUNTIFS(T_SelfStock[RM_Code],$A27,T_SelfStock[WeekIndex],81)&gt;0)*(COUNTIFS(T_TTAFStock[RM_Code],$A27,T_TTAFStock[WeekIndex],81)&gt;0)&gt;0,SUMIFS(T_SelfStock[Self_Qty],T_SelfStock[RM_Code],$A27,T_SelfStock[WeekIndex],81)+SUMIFS(T_TTAFStock[TTAF_Qty],T_TTAFStock[RM_Code],$A27,T_TTAFStock[WeekIndex],81),CC27+'Grid_Incoming'!CD27-'Grid_Requirement'!CD27))</f>
        <v/>
      </c>
      <c r="CE27">
        <f>IF(COUNTIFS(T_StockCount[RM_Code],$A27,T_StockCount[WeekIndex],82)&gt;0,SUMIFS(T_StockCount[CountedQty],T_StockCount[RM_Code],$A27,T_StockCount[WeekIndex],82),IF((COUNTIFS(T_SelfStock[RM_Code],$A27,T_SelfStock[WeekIndex],82)&gt;0)*(COUNTIFS(T_TTAFStock[RM_Code],$A27,T_TTAFStock[WeekIndex],82)&gt;0)&gt;0,SUMIFS(T_SelfStock[Self_Qty],T_SelfStock[RM_Code],$A27,T_SelfStock[WeekIndex],82)+SUMIFS(T_TTAFStock[TTAF_Qty],T_TTAFStock[RM_Code],$A27,T_TTAFStock[WeekIndex],82),CD27+'Grid_Incoming'!CE27-'Grid_Requirement'!CE27))</f>
        <v/>
      </c>
      <c r="CF27">
        <f>IF(COUNTIFS(T_StockCount[RM_Code],$A27,T_StockCount[WeekIndex],83)&gt;0,SUMIFS(T_StockCount[CountedQty],T_StockCount[RM_Code],$A27,T_StockCount[WeekIndex],83),IF((COUNTIFS(T_SelfStock[RM_Code],$A27,T_SelfStock[WeekIndex],83)&gt;0)*(COUNTIFS(T_TTAFStock[RM_Code],$A27,T_TTAFStock[WeekIndex],83)&gt;0)&gt;0,SUMIFS(T_SelfStock[Self_Qty],T_SelfStock[RM_Code],$A27,T_SelfStock[WeekIndex],83)+SUMIFS(T_TTAFStock[TTAF_Qty],T_TTAFStock[RM_Code],$A27,T_TTAFStock[WeekIndex],83),CE27+'Grid_Incoming'!CF27-'Grid_Requirement'!CF27))</f>
        <v/>
      </c>
      <c r="CG27">
        <f>IF(COUNTIFS(T_StockCount[RM_Code],$A27,T_StockCount[WeekIndex],84)&gt;0,SUMIFS(T_StockCount[CountedQty],T_StockCount[RM_Code],$A27,T_StockCount[WeekIndex],84),IF((COUNTIFS(T_SelfStock[RM_Code],$A27,T_SelfStock[WeekIndex],84)&gt;0)*(COUNTIFS(T_TTAFStock[RM_Code],$A27,T_TTAFStock[WeekIndex],84)&gt;0)&gt;0,SUMIFS(T_SelfStock[Self_Qty],T_SelfStock[RM_Code],$A27,T_SelfStock[WeekIndex],84)+SUMIFS(T_TTAFStock[TTAF_Qty],T_TTAFStock[RM_Code],$A27,T_TTAFStock[WeekIndex],84),CF27+'Grid_Incoming'!CG27-'Grid_Requirement'!CG27))</f>
        <v/>
      </c>
      <c r="CH27">
        <f>IF(COUNTIFS(T_StockCount[RM_Code],$A27,T_StockCount[WeekIndex],85)&gt;0,SUMIFS(T_StockCount[CountedQty],T_StockCount[RM_Code],$A27,T_StockCount[WeekIndex],85),IF((COUNTIFS(T_SelfStock[RM_Code],$A27,T_SelfStock[WeekIndex],85)&gt;0)*(COUNTIFS(T_TTAFStock[RM_Code],$A27,T_TTAFStock[WeekIndex],85)&gt;0)&gt;0,SUMIFS(T_SelfStock[Self_Qty],T_SelfStock[RM_Code],$A27,T_SelfStock[WeekIndex],85)+SUMIFS(T_TTAFStock[TTAF_Qty],T_TTAFStock[RM_Code],$A27,T_TTAFStock[WeekIndex],85),CG27+'Grid_Incoming'!CH27-'Grid_Requirement'!CH27))</f>
        <v/>
      </c>
      <c r="CI27">
        <f>IF(COUNTIFS(T_StockCount[RM_Code],$A27,T_StockCount[WeekIndex],86)&gt;0,SUMIFS(T_StockCount[CountedQty],T_StockCount[RM_Code],$A27,T_StockCount[WeekIndex],86),IF((COUNTIFS(T_SelfStock[RM_Code],$A27,T_SelfStock[WeekIndex],86)&gt;0)*(COUNTIFS(T_TTAFStock[RM_Code],$A27,T_TTAFStock[WeekIndex],86)&gt;0)&gt;0,SUMIFS(T_SelfStock[Self_Qty],T_SelfStock[RM_Code],$A27,T_SelfStock[WeekIndex],86)+SUMIFS(T_TTAFStock[TTAF_Qty],T_TTAFStock[RM_Code],$A27,T_TTAFStock[WeekIndex],86),CH27+'Grid_Incoming'!CI27-'Grid_Requirement'!CI27))</f>
        <v/>
      </c>
      <c r="CJ27">
        <f>IF(COUNTIFS(T_StockCount[RM_Code],$A27,T_StockCount[WeekIndex],87)&gt;0,SUMIFS(T_StockCount[CountedQty],T_StockCount[RM_Code],$A27,T_StockCount[WeekIndex],87),IF((COUNTIFS(T_SelfStock[RM_Code],$A27,T_SelfStock[WeekIndex],87)&gt;0)*(COUNTIFS(T_TTAFStock[RM_Code],$A27,T_TTAFStock[WeekIndex],87)&gt;0)&gt;0,SUMIFS(T_SelfStock[Self_Qty],T_SelfStock[RM_Code],$A27,T_SelfStock[WeekIndex],87)+SUMIFS(T_TTAFStock[TTAF_Qty],T_TTAFStock[RM_Code],$A27,T_TTAFStock[WeekIndex],87),CI27+'Grid_Incoming'!CJ27-'Grid_Requirement'!CJ27))</f>
        <v/>
      </c>
      <c r="CK27">
        <f>IF(COUNTIFS(T_StockCount[RM_Code],$A27,T_StockCount[WeekIndex],88)&gt;0,SUMIFS(T_StockCount[CountedQty],T_StockCount[RM_Code],$A27,T_StockCount[WeekIndex],88),IF((COUNTIFS(T_SelfStock[RM_Code],$A27,T_SelfStock[WeekIndex],88)&gt;0)*(COUNTIFS(T_TTAFStock[RM_Code],$A27,T_TTAFStock[WeekIndex],88)&gt;0)&gt;0,SUMIFS(T_SelfStock[Self_Qty],T_SelfStock[RM_Code],$A27,T_SelfStock[WeekIndex],88)+SUMIFS(T_TTAFStock[TTAF_Qty],T_TTAFStock[RM_Code],$A27,T_TTAFStock[WeekIndex],88),CJ27+'Grid_Incoming'!CK27-'Grid_Requirement'!CK27))</f>
        <v/>
      </c>
      <c r="CL27">
        <f>IF(COUNTIFS(T_StockCount[RM_Code],$A27,T_StockCount[WeekIndex],89)&gt;0,SUMIFS(T_StockCount[CountedQty],T_StockCount[RM_Code],$A27,T_StockCount[WeekIndex],89),IF((COUNTIFS(T_SelfStock[RM_Code],$A27,T_SelfStock[WeekIndex],89)&gt;0)*(COUNTIFS(T_TTAFStock[RM_Code],$A27,T_TTAFStock[WeekIndex],89)&gt;0)&gt;0,SUMIFS(T_SelfStock[Self_Qty],T_SelfStock[RM_Code],$A27,T_SelfStock[WeekIndex],89)+SUMIFS(T_TTAFStock[TTAF_Qty],T_TTAFStock[RM_Code],$A27,T_TTAFStock[WeekIndex],89),CK27+'Grid_Incoming'!CL27-'Grid_Requirement'!CL27))</f>
        <v/>
      </c>
      <c r="CM27">
        <f>IF(COUNTIFS(T_StockCount[RM_Code],$A27,T_StockCount[WeekIndex],90)&gt;0,SUMIFS(T_StockCount[CountedQty],T_StockCount[RM_Code],$A27,T_StockCount[WeekIndex],90),IF((COUNTIFS(T_SelfStock[RM_Code],$A27,T_SelfStock[WeekIndex],90)&gt;0)*(COUNTIFS(T_TTAFStock[RM_Code],$A27,T_TTAFStock[WeekIndex],90)&gt;0)&gt;0,SUMIFS(T_SelfStock[Self_Qty],T_SelfStock[RM_Code],$A27,T_SelfStock[WeekIndex],90)+SUMIFS(T_TTAFStock[TTAF_Qty],T_TTAFStock[RM_Code],$A27,T_TTAFStock[WeekIndex],90),CL27+'Grid_Incoming'!CM27-'Grid_Requirement'!CM27))</f>
        <v/>
      </c>
      <c r="CN27">
        <f>IF(COUNTIFS(T_StockCount[RM_Code],$A27,T_StockCount[WeekIndex],91)&gt;0,SUMIFS(T_StockCount[CountedQty],T_StockCount[RM_Code],$A27,T_StockCount[WeekIndex],91),IF((COUNTIFS(T_SelfStock[RM_Code],$A27,T_SelfStock[WeekIndex],91)&gt;0)*(COUNTIFS(T_TTAFStock[RM_Code],$A27,T_TTAFStock[WeekIndex],91)&gt;0)&gt;0,SUMIFS(T_SelfStock[Self_Qty],T_SelfStock[RM_Code],$A27,T_SelfStock[WeekIndex],91)+SUMIFS(T_TTAFStock[TTAF_Qty],T_TTAFStock[RM_Code],$A27,T_TTAFStock[WeekIndex],91),CM27+'Grid_Incoming'!CN27-'Grid_Requirement'!CN27))</f>
        <v/>
      </c>
      <c r="CO27">
        <f>IF(COUNTIFS(T_StockCount[RM_Code],$A27,T_StockCount[WeekIndex],92)&gt;0,SUMIFS(T_StockCount[CountedQty],T_StockCount[RM_Code],$A27,T_StockCount[WeekIndex],92),IF((COUNTIFS(T_SelfStock[RM_Code],$A27,T_SelfStock[WeekIndex],92)&gt;0)*(COUNTIFS(T_TTAFStock[RM_Code],$A27,T_TTAFStock[WeekIndex],92)&gt;0)&gt;0,SUMIFS(T_SelfStock[Self_Qty],T_SelfStock[RM_Code],$A27,T_SelfStock[WeekIndex],92)+SUMIFS(T_TTAFStock[TTAF_Qty],T_TTAFStock[RM_Code],$A27,T_TTAFStock[WeekIndex],92),CN27+'Grid_Incoming'!CO27-'Grid_Requirement'!CO27))</f>
        <v/>
      </c>
      <c r="CP27">
        <f>IF(COUNTIFS(T_StockCount[RM_Code],$A27,T_StockCount[WeekIndex],93)&gt;0,SUMIFS(T_StockCount[CountedQty],T_StockCount[RM_Code],$A27,T_StockCount[WeekIndex],93),IF((COUNTIFS(T_SelfStock[RM_Code],$A27,T_SelfStock[WeekIndex],93)&gt;0)*(COUNTIFS(T_TTAFStock[RM_Code],$A27,T_TTAFStock[WeekIndex],93)&gt;0)&gt;0,SUMIFS(T_SelfStock[Self_Qty],T_SelfStock[RM_Code],$A27,T_SelfStock[WeekIndex],93)+SUMIFS(T_TTAFStock[TTAF_Qty],T_TTAFStock[RM_Code],$A27,T_TTAFStock[WeekIndex],93),CO27+'Grid_Incoming'!CP27-'Grid_Requirement'!CP27))</f>
        <v/>
      </c>
      <c r="CQ27">
        <f>IF(COUNTIFS(T_StockCount[RM_Code],$A27,T_StockCount[WeekIndex],94)&gt;0,SUMIFS(T_StockCount[CountedQty],T_StockCount[RM_Code],$A27,T_StockCount[WeekIndex],94),IF((COUNTIFS(T_SelfStock[RM_Code],$A27,T_SelfStock[WeekIndex],94)&gt;0)*(COUNTIFS(T_TTAFStock[RM_Code],$A27,T_TTAFStock[WeekIndex],94)&gt;0)&gt;0,SUMIFS(T_SelfStock[Self_Qty],T_SelfStock[RM_Code],$A27,T_SelfStock[WeekIndex],94)+SUMIFS(T_TTAFStock[TTAF_Qty],T_TTAFStock[RM_Code],$A27,T_TTAFStock[WeekIndex],94),CP27+'Grid_Incoming'!CQ27-'Grid_Requirement'!CQ27))</f>
        <v/>
      </c>
      <c r="CR27">
        <f>IF(COUNTIFS(T_StockCount[RM_Code],$A27,T_StockCount[WeekIndex],95)&gt;0,SUMIFS(T_StockCount[CountedQty],T_StockCount[RM_Code],$A27,T_StockCount[WeekIndex],95),IF((COUNTIFS(T_SelfStock[RM_Code],$A27,T_SelfStock[WeekIndex],95)&gt;0)*(COUNTIFS(T_TTAFStock[RM_Code],$A27,T_TTAFStock[WeekIndex],95)&gt;0)&gt;0,SUMIFS(T_SelfStock[Self_Qty],T_SelfStock[RM_Code],$A27,T_SelfStock[WeekIndex],95)+SUMIFS(T_TTAFStock[TTAF_Qty],T_TTAFStock[RM_Code],$A27,T_TTAFStock[WeekIndex],95),CQ27+'Grid_Incoming'!CR27-'Grid_Requirement'!CR27))</f>
        <v/>
      </c>
      <c r="CS27">
        <f>IF(COUNTIFS(T_StockCount[RM_Code],$A27,T_StockCount[WeekIndex],96)&gt;0,SUMIFS(T_StockCount[CountedQty],T_StockCount[RM_Code],$A27,T_StockCount[WeekIndex],96),IF((COUNTIFS(T_SelfStock[RM_Code],$A27,T_SelfStock[WeekIndex],96)&gt;0)*(COUNTIFS(T_TTAFStock[RM_Code],$A27,T_TTAFStock[WeekIndex],96)&gt;0)&gt;0,SUMIFS(T_SelfStock[Self_Qty],T_SelfStock[RM_Code],$A27,T_SelfStock[WeekIndex],96)+SUMIFS(T_TTAFStock[TTAF_Qty],T_TTAFStock[RM_Code],$A27,T_TTAFStock[WeekIndex],96),CR27+'Grid_Incoming'!CS27-'Grid_Requirement'!CS27))</f>
        <v/>
      </c>
      <c r="CT27">
        <f>IF(COUNTIFS(T_StockCount[RM_Code],$A27,T_StockCount[WeekIndex],97)&gt;0,SUMIFS(T_StockCount[CountedQty],T_StockCount[RM_Code],$A27,T_StockCount[WeekIndex],97),IF((COUNTIFS(T_SelfStock[RM_Code],$A27,T_SelfStock[WeekIndex],97)&gt;0)*(COUNTIFS(T_TTAFStock[RM_Code],$A27,T_TTAFStock[WeekIndex],97)&gt;0)&gt;0,SUMIFS(T_SelfStock[Self_Qty],T_SelfStock[RM_Code],$A27,T_SelfStock[WeekIndex],97)+SUMIFS(T_TTAFStock[TTAF_Qty],T_TTAFStock[RM_Code],$A27,T_TTAFStock[WeekIndex],97),CS27+'Grid_Incoming'!CT27-'Grid_Requirement'!CT27))</f>
        <v/>
      </c>
      <c r="CU27">
        <f>IF(COUNTIFS(T_StockCount[RM_Code],$A27,T_StockCount[WeekIndex],98)&gt;0,SUMIFS(T_StockCount[CountedQty],T_StockCount[RM_Code],$A27,T_StockCount[WeekIndex],98),IF((COUNTIFS(T_SelfStock[RM_Code],$A27,T_SelfStock[WeekIndex],98)&gt;0)*(COUNTIFS(T_TTAFStock[RM_Code],$A27,T_TTAFStock[WeekIndex],98)&gt;0)&gt;0,SUMIFS(T_SelfStock[Self_Qty],T_SelfStock[RM_Code],$A27,T_SelfStock[WeekIndex],98)+SUMIFS(T_TTAFStock[TTAF_Qty],T_TTAFStock[RM_Code],$A27,T_TTAFStock[WeekIndex],98),CT27+'Grid_Incoming'!CU27-'Grid_Requirement'!CU27))</f>
        <v/>
      </c>
      <c r="CV27">
        <f>IF(COUNTIFS(T_StockCount[RM_Code],$A27,T_StockCount[WeekIndex],99)&gt;0,SUMIFS(T_StockCount[CountedQty],T_StockCount[RM_Code],$A27,T_StockCount[WeekIndex],99),IF((COUNTIFS(T_SelfStock[RM_Code],$A27,T_SelfStock[WeekIndex],99)&gt;0)*(COUNTIFS(T_TTAFStock[RM_Code],$A27,T_TTAFStock[WeekIndex],99)&gt;0)&gt;0,SUMIFS(T_SelfStock[Self_Qty],T_SelfStock[RM_Code],$A27,T_SelfStock[WeekIndex],99)+SUMIFS(T_TTAFStock[TTAF_Qty],T_TTAFStock[RM_Code],$A27,T_TTAFStock[WeekIndex],99),CU27+'Grid_Incoming'!CV27-'Grid_Requirement'!CV27))</f>
        <v/>
      </c>
      <c r="CW27">
        <f>IF(COUNTIFS(T_StockCount[RM_Code],$A27,T_StockCount[WeekIndex],100)&gt;0,SUMIFS(T_StockCount[CountedQty],T_StockCount[RM_Code],$A27,T_StockCount[WeekIndex],100),IF((COUNTIFS(T_SelfStock[RM_Code],$A27,T_SelfStock[WeekIndex],100)&gt;0)*(COUNTIFS(T_TTAFStock[RM_Code],$A27,T_TTAFStock[WeekIndex],100)&gt;0)&gt;0,SUMIFS(T_SelfStock[Self_Qty],T_SelfStock[RM_Code],$A27,T_SelfStock[WeekIndex],100)+SUMIFS(T_TTAFStock[TTAF_Qty],T_TTAFStock[RM_Code],$A27,T_TTAFStock[WeekIndex],100),CV27+'Grid_Incoming'!CW27-'Grid_Requirement'!CW27))</f>
        <v/>
      </c>
      <c r="CX27">
        <f>IF(COUNTIFS(T_StockCount[RM_Code],$A27,T_StockCount[WeekIndex],101)&gt;0,SUMIFS(T_StockCount[CountedQty],T_StockCount[RM_Code],$A27,T_StockCount[WeekIndex],101),IF((COUNTIFS(T_SelfStock[RM_Code],$A27,T_SelfStock[WeekIndex],101)&gt;0)*(COUNTIFS(T_TTAFStock[RM_Code],$A27,T_TTAFStock[WeekIndex],101)&gt;0)&gt;0,SUMIFS(T_SelfStock[Self_Qty],T_SelfStock[RM_Code],$A27,T_SelfStock[WeekIndex],101)+SUMIFS(T_TTAFStock[TTAF_Qty],T_TTAFStock[RM_Code],$A27,T_TTAFStock[WeekIndex],101),CW27+'Grid_Incoming'!CX27-'Grid_Requirement'!CX27))</f>
        <v/>
      </c>
      <c r="CY27">
        <f>IF(COUNTIFS(T_StockCount[RM_Code],$A27,T_StockCount[WeekIndex],102)&gt;0,SUMIFS(T_StockCount[CountedQty],T_StockCount[RM_Code],$A27,T_StockCount[WeekIndex],102),IF((COUNTIFS(T_SelfStock[RM_Code],$A27,T_SelfStock[WeekIndex],102)&gt;0)*(COUNTIFS(T_TTAFStock[RM_Code],$A27,T_TTAFStock[WeekIndex],102)&gt;0)&gt;0,SUMIFS(T_SelfStock[Self_Qty],T_SelfStock[RM_Code],$A27,T_SelfStock[WeekIndex],102)+SUMIFS(T_TTAFStock[TTAF_Qty],T_TTAFStock[RM_Code],$A27,T_TTAFStock[WeekIndex],102),CX27+'Grid_Incoming'!CY27-'Grid_Requirement'!CY27))</f>
        <v/>
      </c>
      <c r="CZ27">
        <f>IF(COUNTIFS(T_StockCount[RM_Code],$A27,T_StockCount[WeekIndex],103)&gt;0,SUMIFS(T_StockCount[CountedQty],T_StockCount[RM_Code],$A27,T_StockCount[WeekIndex],103),IF((COUNTIFS(T_SelfStock[RM_Code],$A27,T_SelfStock[WeekIndex],103)&gt;0)*(COUNTIFS(T_TTAFStock[RM_Code],$A27,T_TTAFStock[WeekIndex],103)&gt;0)&gt;0,SUMIFS(T_SelfStock[Self_Qty],T_SelfStock[RM_Code],$A27,T_SelfStock[WeekIndex],103)+SUMIFS(T_TTAFStock[TTAF_Qty],T_TTAFStock[RM_Code],$A27,T_TTAFStock[WeekIndex],103),CY27+'Grid_Incoming'!CZ27-'Grid_Requirement'!CZ27))</f>
        <v/>
      </c>
      <c r="DA27">
        <f>IF(COUNTIFS(T_StockCount[RM_Code],$A27,T_StockCount[WeekIndex],104)&gt;0,SUMIFS(T_StockCount[CountedQty],T_StockCount[RM_Code],$A27,T_StockCount[WeekIndex],104),IF((COUNTIFS(T_SelfStock[RM_Code],$A27,T_SelfStock[WeekIndex],104)&gt;0)*(COUNTIFS(T_TTAFStock[RM_Code],$A27,T_TTAFStock[WeekIndex],104)&gt;0)&gt;0,SUMIFS(T_SelfStock[Self_Qty],T_SelfStock[RM_Code],$A27,T_SelfStock[WeekIndex],104)+SUMIFS(T_TTAFStock[TTAF_Qty],T_TTAFStock[RM_Code],$A27,T_TTAFStock[WeekIndex],104),CZ27+'Grid_Incoming'!DA27-'Grid_Requirement'!DA27))</f>
        <v/>
      </c>
    </row>
    <row r="28">
      <c r="A28" t="inlineStr">
        <is>
          <t>0LJ</t>
        </is>
      </c>
      <c r="B28">
        <f>IF(COUNTIFS(T_StockCount[RM_Code],$A28,T_StockCount[WeekIndex],1)&gt;0,SUMIFS(T_StockCount[CountedQty],T_StockCount[RM_Code],$A28,T_StockCount[WeekIndex],1),IF((COUNTIFS(T_SelfStock[RM_Code],$A28,T_SelfStock[WeekIndex],1)&gt;0)*(COUNTIFS(T_TTAFStock[RM_Code],$A28,T_TTAFStock[WeekIndex],1)&gt;0)&gt;0,SUMIFS(T_SelfStock[Self_Qty],T_SelfStock[RM_Code],$A28,T_SelfStock[WeekIndex],1)+SUMIFS(T_TTAFStock[TTAF_Qty],T_TTAFStock[RM_Code],$A28,T_TTAFStock[WeekIndex],1),IFERROR(INDEX(T_OpeningStock[Opening_Qty],MATCH($A28,T_OpeningStock[RM_Code],0)),0)+'Grid_Incoming'!B28-'Grid_Requirement'!B28))</f>
        <v/>
      </c>
      <c r="C28">
        <f>IF(COUNTIFS(T_StockCount[RM_Code],$A28,T_StockCount[WeekIndex],2)&gt;0,SUMIFS(T_StockCount[CountedQty],T_StockCount[RM_Code],$A28,T_StockCount[WeekIndex],2),IF((COUNTIFS(T_SelfStock[RM_Code],$A28,T_SelfStock[WeekIndex],2)&gt;0)*(COUNTIFS(T_TTAFStock[RM_Code],$A28,T_TTAFStock[WeekIndex],2)&gt;0)&gt;0,SUMIFS(T_SelfStock[Self_Qty],T_SelfStock[RM_Code],$A28,T_SelfStock[WeekIndex],2)+SUMIFS(T_TTAFStock[TTAF_Qty],T_TTAFStock[RM_Code],$A28,T_TTAFStock[WeekIndex],2),B28+'Grid_Incoming'!C28-'Grid_Requirement'!C28))</f>
        <v/>
      </c>
      <c r="D28">
        <f>IF(COUNTIFS(T_StockCount[RM_Code],$A28,T_StockCount[WeekIndex],3)&gt;0,SUMIFS(T_StockCount[CountedQty],T_StockCount[RM_Code],$A28,T_StockCount[WeekIndex],3),IF((COUNTIFS(T_SelfStock[RM_Code],$A28,T_SelfStock[WeekIndex],3)&gt;0)*(COUNTIFS(T_TTAFStock[RM_Code],$A28,T_TTAFStock[WeekIndex],3)&gt;0)&gt;0,SUMIFS(T_SelfStock[Self_Qty],T_SelfStock[RM_Code],$A28,T_SelfStock[WeekIndex],3)+SUMIFS(T_TTAFStock[TTAF_Qty],T_TTAFStock[RM_Code],$A28,T_TTAFStock[WeekIndex],3),C28+'Grid_Incoming'!D28-'Grid_Requirement'!D28))</f>
        <v/>
      </c>
      <c r="E28">
        <f>IF(COUNTIFS(T_StockCount[RM_Code],$A28,T_StockCount[WeekIndex],4)&gt;0,SUMIFS(T_StockCount[CountedQty],T_StockCount[RM_Code],$A28,T_StockCount[WeekIndex],4),IF((COUNTIFS(T_SelfStock[RM_Code],$A28,T_SelfStock[WeekIndex],4)&gt;0)*(COUNTIFS(T_TTAFStock[RM_Code],$A28,T_TTAFStock[WeekIndex],4)&gt;0)&gt;0,SUMIFS(T_SelfStock[Self_Qty],T_SelfStock[RM_Code],$A28,T_SelfStock[WeekIndex],4)+SUMIFS(T_TTAFStock[TTAF_Qty],T_TTAFStock[RM_Code],$A28,T_TTAFStock[WeekIndex],4),D28+'Grid_Incoming'!E28-'Grid_Requirement'!E28))</f>
        <v/>
      </c>
      <c r="F28">
        <f>IF(COUNTIFS(T_StockCount[RM_Code],$A28,T_StockCount[WeekIndex],5)&gt;0,SUMIFS(T_StockCount[CountedQty],T_StockCount[RM_Code],$A28,T_StockCount[WeekIndex],5),IF((COUNTIFS(T_SelfStock[RM_Code],$A28,T_SelfStock[WeekIndex],5)&gt;0)*(COUNTIFS(T_TTAFStock[RM_Code],$A28,T_TTAFStock[WeekIndex],5)&gt;0)&gt;0,SUMIFS(T_SelfStock[Self_Qty],T_SelfStock[RM_Code],$A28,T_SelfStock[WeekIndex],5)+SUMIFS(T_TTAFStock[TTAF_Qty],T_TTAFStock[RM_Code],$A28,T_TTAFStock[WeekIndex],5),E28+'Grid_Incoming'!F28-'Grid_Requirement'!F28))</f>
        <v/>
      </c>
      <c r="G28">
        <f>IF(COUNTIFS(T_StockCount[RM_Code],$A28,T_StockCount[WeekIndex],6)&gt;0,SUMIFS(T_StockCount[CountedQty],T_StockCount[RM_Code],$A28,T_StockCount[WeekIndex],6),IF((COUNTIFS(T_SelfStock[RM_Code],$A28,T_SelfStock[WeekIndex],6)&gt;0)*(COUNTIFS(T_TTAFStock[RM_Code],$A28,T_TTAFStock[WeekIndex],6)&gt;0)&gt;0,SUMIFS(T_SelfStock[Self_Qty],T_SelfStock[RM_Code],$A28,T_SelfStock[WeekIndex],6)+SUMIFS(T_TTAFStock[TTAF_Qty],T_TTAFStock[RM_Code],$A28,T_TTAFStock[WeekIndex],6),F28+'Grid_Incoming'!G28-'Grid_Requirement'!G28))</f>
        <v/>
      </c>
      <c r="H28">
        <f>IF(COUNTIFS(T_StockCount[RM_Code],$A28,T_StockCount[WeekIndex],7)&gt;0,SUMIFS(T_StockCount[CountedQty],T_StockCount[RM_Code],$A28,T_StockCount[WeekIndex],7),IF((COUNTIFS(T_SelfStock[RM_Code],$A28,T_SelfStock[WeekIndex],7)&gt;0)*(COUNTIFS(T_TTAFStock[RM_Code],$A28,T_TTAFStock[WeekIndex],7)&gt;0)&gt;0,SUMIFS(T_SelfStock[Self_Qty],T_SelfStock[RM_Code],$A28,T_SelfStock[WeekIndex],7)+SUMIFS(T_TTAFStock[TTAF_Qty],T_TTAFStock[RM_Code],$A28,T_TTAFStock[WeekIndex],7),G28+'Grid_Incoming'!H28-'Grid_Requirement'!H28))</f>
        <v/>
      </c>
      <c r="I28">
        <f>IF(COUNTIFS(T_StockCount[RM_Code],$A28,T_StockCount[WeekIndex],8)&gt;0,SUMIFS(T_StockCount[CountedQty],T_StockCount[RM_Code],$A28,T_StockCount[WeekIndex],8),IF((COUNTIFS(T_SelfStock[RM_Code],$A28,T_SelfStock[WeekIndex],8)&gt;0)*(COUNTIFS(T_TTAFStock[RM_Code],$A28,T_TTAFStock[WeekIndex],8)&gt;0)&gt;0,SUMIFS(T_SelfStock[Self_Qty],T_SelfStock[RM_Code],$A28,T_SelfStock[WeekIndex],8)+SUMIFS(T_TTAFStock[TTAF_Qty],T_TTAFStock[RM_Code],$A28,T_TTAFStock[WeekIndex],8),H28+'Grid_Incoming'!I28-'Grid_Requirement'!I28))</f>
        <v/>
      </c>
      <c r="J28">
        <f>IF(COUNTIFS(T_StockCount[RM_Code],$A28,T_StockCount[WeekIndex],9)&gt;0,SUMIFS(T_StockCount[CountedQty],T_StockCount[RM_Code],$A28,T_StockCount[WeekIndex],9),IF((COUNTIFS(T_SelfStock[RM_Code],$A28,T_SelfStock[WeekIndex],9)&gt;0)*(COUNTIFS(T_TTAFStock[RM_Code],$A28,T_TTAFStock[WeekIndex],9)&gt;0)&gt;0,SUMIFS(T_SelfStock[Self_Qty],T_SelfStock[RM_Code],$A28,T_SelfStock[WeekIndex],9)+SUMIFS(T_TTAFStock[TTAF_Qty],T_TTAFStock[RM_Code],$A28,T_TTAFStock[WeekIndex],9),I28+'Grid_Incoming'!J28-'Grid_Requirement'!J28))</f>
        <v/>
      </c>
      <c r="K28">
        <f>IF(COUNTIFS(T_StockCount[RM_Code],$A28,T_StockCount[WeekIndex],10)&gt;0,SUMIFS(T_StockCount[CountedQty],T_StockCount[RM_Code],$A28,T_StockCount[WeekIndex],10),IF((COUNTIFS(T_SelfStock[RM_Code],$A28,T_SelfStock[WeekIndex],10)&gt;0)*(COUNTIFS(T_TTAFStock[RM_Code],$A28,T_TTAFStock[WeekIndex],10)&gt;0)&gt;0,SUMIFS(T_SelfStock[Self_Qty],T_SelfStock[RM_Code],$A28,T_SelfStock[WeekIndex],10)+SUMIFS(T_TTAFStock[TTAF_Qty],T_TTAFStock[RM_Code],$A28,T_TTAFStock[WeekIndex],10),J28+'Grid_Incoming'!K28-'Grid_Requirement'!K28))</f>
        <v/>
      </c>
      <c r="L28">
        <f>IF(COUNTIFS(T_StockCount[RM_Code],$A28,T_StockCount[WeekIndex],11)&gt;0,SUMIFS(T_StockCount[CountedQty],T_StockCount[RM_Code],$A28,T_StockCount[WeekIndex],11),IF((COUNTIFS(T_SelfStock[RM_Code],$A28,T_SelfStock[WeekIndex],11)&gt;0)*(COUNTIFS(T_TTAFStock[RM_Code],$A28,T_TTAFStock[WeekIndex],11)&gt;0)&gt;0,SUMIFS(T_SelfStock[Self_Qty],T_SelfStock[RM_Code],$A28,T_SelfStock[WeekIndex],11)+SUMIFS(T_TTAFStock[TTAF_Qty],T_TTAFStock[RM_Code],$A28,T_TTAFStock[WeekIndex],11),K28+'Grid_Incoming'!L28-'Grid_Requirement'!L28))</f>
        <v/>
      </c>
      <c r="M28">
        <f>IF(COUNTIFS(T_StockCount[RM_Code],$A28,T_StockCount[WeekIndex],12)&gt;0,SUMIFS(T_StockCount[CountedQty],T_StockCount[RM_Code],$A28,T_StockCount[WeekIndex],12),IF((COUNTIFS(T_SelfStock[RM_Code],$A28,T_SelfStock[WeekIndex],12)&gt;0)*(COUNTIFS(T_TTAFStock[RM_Code],$A28,T_TTAFStock[WeekIndex],12)&gt;0)&gt;0,SUMIFS(T_SelfStock[Self_Qty],T_SelfStock[RM_Code],$A28,T_SelfStock[WeekIndex],12)+SUMIFS(T_TTAFStock[TTAF_Qty],T_TTAFStock[RM_Code],$A28,T_TTAFStock[WeekIndex],12),L28+'Grid_Incoming'!M28-'Grid_Requirement'!M28))</f>
        <v/>
      </c>
      <c r="N28">
        <f>IF(COUNTIFS(T_StockCount[RM_Code],$A28,T_StockCount[WeekIndex],13)&gt;0,SUMIFS(T_StockCount[CountedQty],T_StockCount[RM_Code],$A28,T_StockCount[WeekIndex],13),IF((COUNTIFS(T_SelfStock[RM_Code],$A28,T_SelfStock[WeekIndex],13)&gt;0)*(COUNTIFS(T_TTAFStock[RM_Code],$A28,T_TTAFStock[WeekIndex],13)&gt;0)&gt;0,SUMIFS(T_SelfStock[Self_Qty],T_SelfStock[RM_Code],$A28,T_SelfStock[WeekIndex],13)+SUMIFS(T_TTAFStock[TTAF_Qty],T_TTAFStock[RM_Code],$A28,T_TTAFStock[WeekIndex],13),M28+'Grid_Incoming'!N28-'Grid_Requirement'!N28))</f>
        <v/>
      </c>
      <c r="O28">
        <f>IF(COUNTIFS(T_StockCount[RM_Code],$A28,T_StockCount[WeekIndex],14)&gt;0,SUMIFS(T_StockCount[CountedQty],T_StockCount[RM_Code],$A28,T_StockCount[WeekIndex],14),IF((COUNTIFS(T_SelfStock[RM_Code],$A28,T_SelfStock[WeekIndex],14)&gt;0)*(COUNTIFS(T_TTAFStock[RM_Code],$A28,T_TTAFStock[WeekIndex],14)&gt;0)&gt;0,SUMIFS(T_SelfStock[Self_Qty],T_SelfStock[RM_Code],$A28,T_SelfStock[WeekIndex],14)+SUMIFS(T_TTAFStock[TTAF_Qty],T_TTAFStock[RM_Code],$A28,T_TTAFStock[WeekIndex],14),N28+'Grid_Incoming'!O28-'Grid_Requirement'!O28))</f>
        <v/>
      </c>
      <c r="P28">
        <f>IF(COUNTIFS(T_StockCount[RM_Code],$A28,T_StockCount[WeekIndex],15)&gt;0,SUMIFS(T_StockCount[CountedQty],T_StockCount[RM_Code],$A28,T_StockCount[WeekIndex],15),IF((COUNTIFS(T_SelfStock[RM_Code],$A28,T_SelfStock[WeekIndex],15)&gt;0)*(COUNTIFS(T_TTAFStock[RM_Code],$A28,T_TTAFStock[WeekIndex],15)&gt;0)&gt;0,SUMIFS(T_SelfStock[Self_Qty],T_SelfStock[RM_Code],$A28,T_SelfStock[WeekIndex],15)+SUMIFS(T_TTAFStock[TTAF_Qty],T_TTAFStock[RM_Code],$A28,T_TTAFStock[WeekIndex],15),O28+'Grid_Incoming'!P28-'Grid_Requirement'!P28))</f>
        <v/>
      </c>
      <c r="Q28">
        <f>IF(COUNTIFS(T_StockCount[RM_Code],$A28,T_StockCount[WeekIndex],16)&gt;0,SUMIFS(T_StockCount[CountedQty],T_StockCount[RM_Code],$A28,T_StockCount[WeekIndex],16),IF((COUNTIFS(T_SelfStock[RM_Code],$A28,T_SelfStock[WeekIndex],16)&gt;0)*(COUNTIFS(T_TTAFStock[RM_Code],$A28,T_TTAFStock[WeekIndex],16)&gt;0)&gt;0,SUMIFS(T_SelfStock[Self_Qty],T_SelfStock[RM_Code],$A28,T_SelfStock[WeekIndex],16)+SUMIFS(T_TTAFStock[TTAF_Qty],T_TTAFStock[RM_Code],$A28,T_TTAFStock[WeekIndex],16),P28+'Grid_Incoming'!Q28-'Grid_Requirement'!Q28))</f>
        <v/>
      </c>
      <c r="R28">
        <f>IF(COUNTIFS(T_StockCount[RM_Code],$A28,T_StockCount[WeekIndex],17)&gt;0,SUMIFS(T_StockCount[CountedQty],T_StockCount[RM_Code],$A28,T_StockCount[WeekIndex],17),IF((COUNTIFS(T_SelfStock[RM_Code],$A28,T_SelfStock[WeekIndex],17)&gt;0)*(COUNTIFS(T_TTAFStock[RM_Code],$A28,T_TTAFStock[WeekIndex],17)&gt;0)&gt;0,SUMIFS(T_SelfStock[Self_Qty],T_SelfStock[RM_Code],$A28,T_SelfStock[WeekIndex],17)+SUMIFS(T_TTAFStock[TTAF_Qty],T_TTAFStock[RM_Code],$A28,T_TTAFStock[WeekIndex],17),Q28+'Grid_Incoming'!R28-'Grid_Requirement'!R28))</f>
        <v/>
      </c>
      <c r="S28">
        <f>IF(COUNTIFS(T_StockCount[RM_Code],$A28,T_StockCount[WeekIndex],18)&gt;0,SUMIFS(T_StockCount[CountedQty],T_StockCount[RM_Code],$A28,T_StockCount[WeekIndex],18),IF((COUNTIFS(T_SelfStock[RM_Code],$A28,T_SelfStock[WeekIndex],18)&gt;0)*(COUNTIFS(T_TTAFStock[RM_Code],$A28,T_TTAFStock[WeekIndex],18)&gt;0)&gt;0,SUMIFS(T_SelfStock[Self_Qty],T_SelfStock[RM_Code],$A28,T_SelfStock[WeekIndex],18)+SUMIFS(T_TTAFStock[TTAF_Qty],T_TTAFStock[RM_Code],$A28,T_TTAFStock[WeekIndex],18),R28+'Grid_Incoming'!S28-'Grid_Requirement'!S28))</f>
        <v/>
      </c>
      <c r="T28">
        <f>IF(COUNTIFS(T_StockCount[RM_Code],$A28,T_StockCount[WeekIndex],19)&gt;0,SUMIFS(T_StockCount[CountedQty],T_StockCount[RM_Code],$A28,T_StockCount[WeekIndex],19),IF((COUNTIFS(T_SelfStock[RM_Code],$A28,T_SelfStock[WeekIndex],19)&gt;0)*(COUNTIFS(T_TTAFStock[RM_Code],$A28,T_TTAFStock[WeekIndex],19)&gt;0)&gt;0,SUMIFS(T_SelfStock[Self_Qty],T_SelfStock[RM_Code],$A28,T_SelfStock[WeekIndex],19)+SUMIFS(T_TTAFStock[TTAF_Qty],T_TTAFStock[RM_Code],$A28,T_TTAFStock[WeekIndex],19),S28+'Grid_Incoming'!T28-'Grid_Requirement'!T28))</f>
        <v/>
      </c>
      <c r="U28">
        <f>IF(COUNTIFS(T_StockCount[RM_Code],$A28,T_StockCount[WeekIndex],20)&gt;0,SUMIFS(T_StockCount[CountedQty],T_StockCount[RM_Code],$A28,T_StockCount[WeekIndex],20),IF((COUNTIFS(T_SelfStock[RM_Code],$A28,T_SelfStock[WeekIndex],20)&gt;0)*(COUNTIFS(T_TTAFStock[RM_Code],$A28,T_TTAFStock[WeekIndex],20)&gt;0)&gt;0,SUMIFS(T_SelfStock[Self_Qty],T_SelfStock[RM_Code],$A28,T_SelfStock[WeekIndex],20)+SUMIFS(T_TTAFStock[TTAF_Qty],T_TTAFStock[RM_Code],$A28,T_TTAFStock[WeekIndex],20),T28+'Grid_Incoming'!U28-'Grid_Requirement'!U28))</f>
        <v/>
      </c>
      <c r="V28">
        <f>IF(COUNTIFS(T_StockCount[RM_Code],$A28,T_StockCount[WeekIndex],21)&gt;0,SUMIFS(T_StockCount[CountedQty],T_StockCount[RM_Code],$A28,T_StockCount[WeekIndex],21),IF((COUNTIFS(T_SelfStock[RM_Code],$A28,T_SelfStock[WeekIndex],21)&gt;0)*(COUNTIFS(T_TTAFStock[RM_Code],$A28,T_TTAFStock[WeekIndex],21)&gt;0)&gt;0,SUMIFS(T_SelfStock[Self_Qty],T_SelfStock[RM_Code],$A28,T_SelfStock[WeekIndex],21)+SUMIFS(T_TTAFStock[TTAF_Qty],T_TTAFStock[RM_Code],$A28,T_TTAFStock[WeekIndex],21),U28+'Grid_Incoming'!V28-'Grid_Requirement'!V28))</f>
        <v/>
      </c>
      <c r="W28">
        <f>IF(COUNTIFS(T_StockCount[RM_Code],$A28,T_StockCount[WeekIndex],22)&gt;0,SUMIFS(T_StockCount[CountedQty],T_StockCount[RM_Code],$A28,T_StockCount[WeekIndex],22),IF((COUNTIFS(T_SelfStock[RM_Code],$A28,T_SelfStock[WeekIndex],22)&gt;0)*(COUNTIFS(T_TTAFStock[RM_Code],$A28,T_TTAFStock[WeekIndex],22)&gt;0)&gt;0,SUMIFS(T_SelfStock[Self_Qty],T_SelfStock[RM_Code],$A28,T_SelfStock[WeekIndex],22)+SUMIFS(T_TTAFStock[TTAF_Qty],T_TTAFStock[RM_Code],$A28,T_TTAFStock[WeekIndex],22),V28+'Grid_Incoming'!W28-'Grid_Requirement'!W28))</f>
        <v/>
      </c>
      <c r="X28">
        <f>IF(COUNTIFS(T_StockCount[RM_Code],$A28,T_StockCount[WeekIndex],23)&gt;0,SUMIFS(T_StockCount[CountedQty],T_StockCount[RM_Code],$A28,T_StockCount[WeekIndex],23),IF((COUNTIFS(T_SelfStock[RM_Code],$A28,T_SelfStock[WeekIndex],23)&gt;0)*(COUNTIFS(T_TTAFStock[RM_Code],$A28,T_TTAFStock[WeekIndex],23)&gt;0)&gt;0,SUMIFS(T_SelfStock[Self_Qty],T_SelfStock[RM_Code],$A28,T_SelfStock[WeekIndex],23)+SUMIFS(T_TTAFStock[TTAF_Qty],T_TTAFStock[RM_Code],$A28,T_TTAFStock[WeekIndex],23),W28+'Grid_Incoming'!X28-'Grid_Requirement'!X28))</f>
        <v/>
      </c>
      <c r="Y28">
        <f>IF(COUNTIFS(T_StockCount[RM_Code],$A28,T_StockCount[WeekIndex],24)&gt;0,SUMIFS(T_StockCount[CountedQty],T_StockCount[RM_Code],$A28,T_StockCount[WeekIndex],24),IF((COUNTIFS(T_SelfStock[RM_Code],$A28,T_SelfStock[WeekIndex],24)&gt;0)*(COUNTIFS(T_TTAFStock[RM_Code],$A28,T_TTAFStock[WeekIndex],24)&gt;0)&gt;0,SUMIFS(T_SelfStock[Self_Qty],T_SelfStock[RM_Code],$A28,T_SelfStock[WeekIndex],24)+SUMIFS(T_TTAFStock[TTAF_Qty],T_TTAFStock[RM_Code],$A28,T_TTAFStock[WeekIndex],24),X28+'Grid_Incoming'!Y28-'Grid_Requirement'!Y28))</f>
        <v/>
      </c>
      <c r="Z28">
        <f>IF(COUNTIFS(T_StockCount[RM_Code],$A28,T_StockCount[WeekIndex],25)&gt;0,SUMIFS(T_StockCount[CountedQty],T_StockCount[RM_Code],$A28,T_StockCount[WeekIndex],25),IF((COUNTIFS(T_SelfStock[RM_Code],$A28,T_SelfStock[WeekIndex],25)&gt;0)*(COUNTIFS(T_TTAFStock[RM_Code],$A28,T_TTAFStock[WeekIndex],25)&gt;0)&gt;0,SUMIFS(T_SelfStock[Self_Qty],T_SelfStock[RM_Code],$A28,T_SelfStock[WeekIndex],25)+SUMIFS(T_TTAFStock[TTAF_Qty],T_TTAFStock[RM_Code],$A28,T_TTAFStock[WeekIndex],25),Y28+'Grid_Incoming'!Z28-'Grid_Requirement'!Z28))</f>
        <v/>
      </c>
      <c r="AA28">
        <f>IF(COUNTIFS(T_StockCount[RM_Code],$A28,T_StockCount[WeekIndex],26)&gt;0,SUMIFS(T_StockCount[CountedQty],T_StockCount[RM_Code],$A28,T_StockCount[WeekIndex],26),IF((COUNTIFS(T_SelfStock[RM_Code],$A28,T_SelfStock[WeekIndex],26)&gt;0)*(COUNTIFS(T_TTAFStock[RM_Code],$A28,T_TTAFStock[WeekIndex],26)&gt;0)&gt;0,SUMIFS(T_SelfStock[Self_Qty],T_SelfStock[RM_Code],$A28,T_SelfStock[WeekIndex],26)+SUMIFS(T_TTAFStock[TTAF_Qty],T_TTAFStock[RM_Code],$A28,T_TTAFStock[WeekIndex],26),Z28+'Grid_Incoming'!AA28-'Grid_Requirement'!AA28))</f>
        <v/>
      </c>
      <c r="AB28">
        <f>IF(COUNTIFS(T_StockCount[RM_Code],$A28,T_StockCount[WeekIndex],27)&gt;0,SUMIFS(T_StockCount[CountedQty],T_StockCount[RM_Code],$A28,T_StockCount[WeekIndex],27),IF((COUNTIFS(T_SelfStock[RM_Code],$A28,T_SelfStock[WeekIndex],27)&gt;0)*(COUNTIFS(T_TTAFStock[RM_Code],$A28,T_TTAFStock[WeekIndex],27)&gt;0)&gt;0,SUMIFS(T_SelfStock[Self_Qty],T_SelfStock[RM_Code],$A28,T_SelfStock[WeekIndex],27)+SUMIFS(T_TTAFStock[TTAF_Qty],T_TTAFStock[RM_Code],$A28,T_TTAFStock[WeekIndex],27),AA28+'Grid_Incoming'!AB28-'Grid_Requirement'!AB28))</f>
        <v/>
      </c>
      <c r="AC28">
        <f>IF(COUNTIFS(T_StockCount[RM_Code],$A28,T_StockCount[WeekIndex],28)&gt;0,SUMIFS(T_StockCount[CountedQty],T_StockCount[RM_Code],$A28,T_StockCount[WeekIndex],28),IF((COUNTIFS(T_SelfStock[RM_Code],$A28,T_SelfStock[WeekIndex],28)&gt;0)*(COUNTIFS(T_TTAFStock[RM_Code],$A28,T_TTAFStock[WeekIndex],28)&gt;0)&gt;0,SUMIFS(T_SelfStock[Self_Qty],T_SelfStock[RM_Code],$A28,T_SelfStock[WeekIndex],28)+SUMIFS(T_TTAFStock[TTAF_Qty],T_TTAFStock[RM_Code],$A28,T_TTAFStock[WeekIndex],28),AB28+'Grid_Incoming'!AC28-'Grid_Requirement'!AC28))</f>
        <v/>
      </c>
      <c r="AD28">
        <f>IF(COUNTIFS(T_StockCount[RM_Code],$A28,T_StockCount[WeekIndex],29)&gt;0,SUMIFS(T_StockCount[CountedQty],T_StockCount[RM_Code],$A28,T_StockCount[WeekIndex],29),IF((COUNTIFS(T_SelfStock[RM_Code],$A28,T_SelfStock[WeekIndex],29)&gt;0)*(COUNTIFS(T_TTAFStock[RM_Code],$A28,T_TTAFStock[WeekIndex],29)&gt;0)&gt;0,SUMIFS(T_SelfStock[Self_Qty],T_SelfStock[RM_Code],$A28,T_SelfStock[WeekIndex],29)+SUMIFS(T_TTAFStock[TTAF_Qty],T_TTAFStock[RM_Code],$A28,T_TTAFStock[WeekIndex],29),AC28+'Grid_Incoming'!AD28-'Grid_Requirement'!AD28))</f>
        <v/>
      </c>
      <c r="AE28">
        <f>IF(COUNTIFS(T_StockCount[RM_Code],$A28,T_StockCount[WeekIndex],30)&gt;0,SUMIFS(T_StockCount[CountedQty],T_StockCount[RM_Code],$A28,T_StockCount[WeekIndex],30),IF((COUNTIFS(T_SelfStock[RM_Code],$A28,T_SelfStock[WeekIndex],30)&gt;0)*(COUNTIFS(T_TTAFStock[RM_Code],$A28,T_TTAFStock[WeekIndex],30)&gt;0)&gt;0,SUMIFS(T_SelfStock[Self_Qty],T_SelfStock[RM_Code],$A28,T_SelfStock[WeekIndex],30)+SUMIFS(T_TTAFStock[TTAF_Qty],T_TTAFStock[RM_Code],$A28,T_TTAFStock[WeekIndex],30),AD28+'Grid_Incoming'!AE28-'Grid_Requirement'!AE28))</f>
        <v/>
      </c>
      <c r="AF28">
        <f>IF(COUNTIFS(T_StockCount[RM_Code],$A28,T_StockCount[WeekIndex],31)&gt;0,SUMIFS(T_StockCount[CountedQty],T_StockCount[RM_Code],$A28,T_StockCount[WeekIndex],31),IF((COUNTIFS(T_SelfStock[RM_Code],$A28,T_SelfStock[WeekIndex],31)&gt;0)*(COUNTIFS(T_TTAFStock[RM_Code],$A28,T_TTAFStock[WeekIndex],31)&gt;0)&gt;0,SUMIFS(T_SelfStock[Self_Qty],T_SelfStock[RM_Code],$A28,T_SelfStock[WeekIndex],31)+SUMIFS(T_TTAFStock[TTAF_Qty],T_TTAFStock[RM_Code],$A28,T_TTAFStock[WeekIndex],31),AE28+'Grid_Incoming'!AF28-'Grid_Requirement'!AF28))</f>
        <v/>
      </c>
      <c r="AG28">
        <f>IF(COUNTIFS(T_StockCount[RM_Code],$A28,T_StockCount[WeekIndex],32)&gt;0,SUMIFS(T_StockCount[CountedQty],T_StockCount[RM_Code],$A28,T_StockCount[WeekIndex],32),IF((COUNTIFS(T_SelfStock[RM_Code],$A28,T_SelfStock[WeekIndex],32)&gt;0)*(COUNTIFS(T_TTAFStock[RM_Code],$A28,T_TTAFStock[WeekIndex],32)&gt;0)&gt;0,SUMIFS(T_SelfStock[Self_Qty],T_SelfStock[RM_Code],$A28,T_SelfStock[WeekIndex],32)+SUMIFS(T_TTAFStock[TTAF_Qty],T_TTAFStock[RM_Code],$A28,T_TTAFStock[WeekIndex],32),AF28+'Grid_Incoming'!AG28-'Grid_Requirement'!AG28))</f>
        <v/>
      </c>
      <c r="AH28">
        <f>IF(COUNTIFS(T_StockCount[RM_Code],$A28,T_StockCount[WeekIndex],33)&gt;0,SUMIFS(T_StockCount[CountedQty],T_StockCount[RM_Code],$A28,T_StockCount[WeekIndex],33),IF((COUNTIFS(T_SelfStock[RM_Code],$A28,T_SelfStock[WeekIndex],33)&gt;0)*(COUNTIFS(T_TTAFStock[RM_Code],$A28,T_TTAFStock[WeekIndex],33)&gt;0)&gt;0,SUMIFS(T_SelfStock[Self_Qty],T_SelfStock[RM_Code],$A28,T_SelfStock[WeekIndex],33)+SUMIFS(T_TTAFStock[TTAF_Qty],T_TTAFStock[RM_Code],$A28,T_TTAFStock[WeekIndex],33),AG28+'Grid_Incoming'!AH28-'Grid_Requirement'!AH28))</f>
        <v/>
      </c>
      <c r="AI28">
        <f>IF(COUNTIFS(T_StockCount[RM_Code],$A28,T_StockCount[WeekIndex],34)&gt;0,SUMIFS(T_StockCount[CountedQty],T_StockCount[RM_Code],$A28,T_StockCount[WeekIndex],34),IF((COUNTIFS(T_SelfStock[RM_Code],$A28,T_SelfStock[WeekIndex],34)&gt;0)*(COUNTIFS(T_TTAFStock[RM_Code],$A28,T_TTAFStock[WeekIndex],34)&gt;0)&gt;0,SUMIFS(T_SelfStock[Self_Qty],T_SelfStock[RM_Code],$A28,T_SelfStock[WeekIndex],34)+SUMIFS(T_TTAFStock[TTAF_Qty],T_TTAFStock[RM_Code],$A28,T_TTAFStock[WeekIndex],34),AH28+'Grid_Incoming'!AI28-'Grid_Requirement'!AI28))</f>
        <v/>
      </c>
      <c r="AJ28">
        <f>IF(COUNTIFS(T_StockCount[RM_Code],$A28,T_StockCount[WeekIndex],35)&gt;0,SUMIFS(T_StockCount[CountedQty],T_StockCount[RM_Code],$A28,T_StockCount[WeekIndex],35),IF((COUNTIFS(T_SelfStock[RM_Code],$A28,T_SelfStock[WeekIndex],35)&gt;0)*(COUNTIFS(T_TTAFStock[RM_Code],$A28,T_TTAFStock[WeekIndex],35)&gt;0)&gt;0,SUMIFS(T_SelfStock[Self_Qty],T_SelfStock[RM_Code],$A28,T_SelfStock[WeekIndex],35)+SUMIFS(T_TTAFStock[TTAF_Qty],T_TTAFStock[RM_Code],$A28,T_TTAFStock[WeekIndex],35),AI28+'Grid_Incoming'!AJ28-'Grid_Requirement'!AJ28))</f>
        <v/>
      </c>
      <c r="AK28">
        <f>IF(COUNTIFS(T_StockCount[RM_Code],$A28,T_StockCount[WeekIndex],36)&gt;0,SUMIFS(T_StockCount[CountedQty],T_StockCount[RM_Code],$A28,T_StockCount[WeekIndex],36),IF((COUNTIFS(T_SelfStock[RM_Code],$A28,T_SelfStock[WeekIndex],36)&gt;0)*(COUNTIFS(T_TTAFStock[RM_Code],$A28,T_TTAFStock[WeekIndex],36)&gt;0)&gt;0,SUMIFS(T_SelfStock[Self_Qty],T_SelfStock[RM_Code],$A28,T_SelfStock[WeekIndex],36)+SUMIFS(T_TTAFStock[TTAF_Qty],T_TTAFStock[RM_Code],$A28,T_TTAFStock[WeekIndex],36),AJ28+'Grid_Incoming'!AK28-'Grid_Requirement'!AK28))</f>
        <v/>
      </c>
      <c r="AL28">
        <f>IF(COUNTIFS(T_StockCount[RM_Code],$A28,T_StockCount[WeekIndex],37)&gt;0,SUMIFS(T_StockCount[CountedQty],T_StockCount[RM_Code],$A28,T_StockCount[WeekIndex],37),IF((COUNTIFS(T_SelfStock[RM_Code],$A28,T_SelfStock[WeekIndex],37)&gt;0)*(COUNTIFS(T_TTAFStock[RM_Code],$A28,T_TTAFStock[WeekIndex],37)&gt;0)&gt;0,SUMIFS(T_SelfStock[Self_Qty],T_SelfStock[RM_Code],$A28,T_SelfStock[WeekIndex],37)+SUMIFS(T_TTAFStock[TTAF_Qty],T_TTAFStock[RM_Code],$A28,T_TTAFStock[WeekIndex],37),AK28+'Grid_Incoming'!AL28-'Grid_Requirement'!AL28))</f>
        <v/>
      </c>
      <c r="AM28">
        <f>IF(COUNTIFS(T_StockCount[RM_Code],$A28,T_StockCount[WeekIndex],38)&gt;0,SUMIFS(T_StockCount[CountedQty],T_StockCount[RM_Code],$A28,T_StockCount[WeekIndex],38),IF((COUNTIFS(T_SelfStock[RM_Code],$A28,T_SelfStock[WeekIndex],38)&gt;0)*(COUNTIFS(T_TTAFStock[RM_Code],$A28,T_TTAFStock[WeekIndex],38)&gt;0)&gt;0,SUMIFS(T_SelfStock[Self_Qty],T_SelfStock[RM_Code],$A28,T_SelfStock[WeekIndex],38)+SUMIFS(T_TTAFStock[TTAF_Qty],T_TTAFStock[RM_Code],$A28,T_TTAFStock[WeekIndex],38),AL28+'Grid_Incoming'!AM28-'Grid_Requirement'!AM28))</f>
        <v/>
      </c>
      <c r="AN28">
        <f>IF(COUNTIFS(T_StockCount[RM_Code],$A28,T_StockCount[WeekIndex],39)&gt;0,SUMIFS(T_StockCount[CountedQty],T_StockCount[RM_Code],$A28,T_StockCount[WeekIndex],39),IF((COUNTIFS(T_SelfStock[RM_Code],$A28,T_SelfStock[WeekIndex],39)&gt;0)*(COUNTIFS(T_TTAFStock[RM_Code],$A28,T_TTAFStock[WeekIndex],39)&gt;0)&gt;0,SUMIFS(T_SelfStock[Self_Qty],T_SelfStock[RM_Code],$A28,T_SelfStock[WeekIndex],39)+SUMIFS(T_TTAFStock[TTAF_Qty],T_TTAFStock[RM_Code],$A28,T_TTAFStock[WeekIndex],39),AM28+'Grid_Incoming'!AN28-'Grid_Requirement'!AN28))</f>
        <v/>
      </c>
      <c r="AO28">
        <f>IF(COUNTIFS(T_StockCount[RM_Code],$A28,T_StockCount[WeekIndex],40)&gt;0,SUMIFS(T_StockCount[CountedQty],T_StockCount[RM_Code],$A28,T_StockCount[WeekIndex],40),IF((COUNTIFS(T_SelfStock[RM_Code],$A28,T_SelfStock[WeekIndex],40)&gt;0)*(COUNTIFS(T_TTAFStock[RM_Code],$A28,T_TTAFStock[WeekIndex],40)&gt;0)&gt;0,SUMIFS(T_SelfStock[Self_Qty],T_SelfStock[RM_Code],$A28,T_SelfStock[WeekIndex],40)+SUMIFS(T_TTAFStock[TTAF_Qty],T_TTAFStock[RM_Code],$A28,T_TTAFStock[WeekIndex],40),AN28+'Grid_Incoming'!AO28-'Grid_Requirement'!AO28))</f>
        <v/>
      </c>
      <c r="AP28">
        <f>IF(COUNTIFS(T_StockCount[RM_Code],$A28,T_StockCount[WeekIndex],41)&gt;0,SUMIFS(T_StockCount[CountedQty],T_StockCount[RM_Code],$A28,T_StockCount[WeekIndex],41),IF((COUNTIFS(T_SelfStock[RM_Code],$A28,T_SelfStock[WeekIndex],41)&gt;0)*(COUNTIFS(T_TTAFStock[RM_Code],$A28,T_TTAFStock[WeekIndex],41)&gt;0)&gt;0,SUMIFS(T_SelfStock[Self_Qty],T_SelfStock[RM_Code],$A28,T_SelfStock[WeekIndex],41)+SUMIFS(T_TTAFStock[TTAF_Qty],T_TTAFStock[RM_Code],$A28,T_TTAFStock[WeekIndex],41),AO28+'Grid_Incoming'!AP28-'Grid_Requirement'!AP28))</f>
        <v/>
      </c>
      <c r="AQ28">
        <f>IF(COUNTIFS(T_StockCount[RM_Code],$A28,T_StockCount[WeekIndex],42)&gt;0,SUMIFS(T_StockCount[CountedQty],T_StockCount[RM_Code],$A28,T_StockCount[WeekIndex],42),IF((COUNTIFS(T_SelfStock[RM_Code],$A28,T_SelfStock[WeekIndex],42)&gt;0)*(COUNTIFS(T_TTAFStock[RM_Code],$A28,T_TTAFStock[WeekIndex],42)&gt;0)&gt;0,SUMIFS(T_SelfStock[Self_Qty],T_SelfStock[RM_Code],$A28,T_SelfStock[WeekIndex],42)+SUMIFS(T_TTAFStock[TTAF_Qty],T_TTAFStock[RM_Code],$A28,T_TTAFStock[WeekIndex],42),AP28+'Grid_Incoming'!AQ28-'Grid_Requirement'!AQ28))</f>
        <v/>
      </c>
      <c r="AR28">
        <f>IF(COUNTIFS(T_StockCount[RM_Code],$A28,T_StockCount[WeekIndex],43)&gt;0,SUMIFS(T_StockCount[CountedQty],T_StockCount[RM_Code],$A28,T_StockCount[WeekIndex],43),IF((COUNTIFS(T_SelfStock[RM_Code],$A28,T_SelfStock[WeekIndex],43)&gt;0)*(COUNTIFS(T_TTAFStock[RM_Code],$A28,T_TTAFStock[WeekIndex],43)&gt;0)&gt;0,SUMIFS(T_SelfStock[Self_Qty],T_SelfStock[RM_Code],$A28,T_SelfStock[WeekIndex],43)+SUMIFS(T_TTAFStock[TTAF_Qty],T_TTAFStock[RM_Code],$A28,T_TTAFStock[WeekIndex],43),AQ28+'Grid_Incoming'!AR28-'Grid_Requirement'!AR28))</f>
        <v/>
      </c>
      <c r="AS28">
        <f>IF(COUNTIFS(T_StockCount[RM_Code],$A28,T_StockCount[WeekIndex],44)&gt;0,SUMIFS(T_StockCount[CountedQty],T_StockCount[RM_Code],$A28,T_StockCount[WeekIndex],44),IF((COUNTIFS(T_SelfStock[RM_Code],$A28,T_SelfStock[WeekIndex],44)&gt;0)*(COUNTIFS(T_TTAFStock[RM_Code],$A28,T_TTAFStock[WeekIndex],44)&gt;0)&gt;0,SUMIFS(T_SelfStock[Self_Qty],T_SelfStock[RM_Code],$A28,T_SelfStock[WeekIndex],44)+SUMIFS(T_TTAFStock[TTAF_Qty],T_TTAFStock[RM_Code],$A28,T_TTAFStock[WeekIndex],44),AR28+'Grid_Incoming'!AS28-'Grid_Requirement'!AS28))</f>
        <v/>
      </c>
      <c r="AT28">
        <f>IF(COUNTIFS(T_StockCount[RM_Code],$A28,T_StockCount[WeekIndex],45)&gt;0,SUMIFS(T_StockCount[CountedQty],T_StockCount[RM_Code],$A28,T_StockCount[WeekIndex],45),IF((COUNTIFS(T_SelfStock[RM_Code],$A28,T_SelfStock[WeekIndex],45)&gt;0)*(COUNTIFS(T_TTAFStock[RM_Code],$A28,T_TTAFStock[WeekIndex],45)&gt;0)&gt;0,SUMIFS(T_SelfStock[Self_Qty],T_SelfStock[RM_Code],$A28,T_SelfStock[WeekIndex],45)+SUMIFS(T_TTAFStock[TTAF_Qty],T_TTAFStock[RM_Code],$A28,T_TTAFStock[WeekIndex],45),AS28+'Grid_Incoming'!AT28-'Grid_Requirement'!AT28))</f>
        <v/>
      </c>
      <c r="AU28">
        <f>IF(COUNTIFS(T_StockCount[RM_Code],$A28,T_StockCount[WeekIndex],46)&gt;0,SUMIFS(T_StockCount[CountedQty],T_StockCount[RM_Code],$A28,T_StockCount[WeekIndex],46),IF((COUNTIFS(T_SelfStock[RM_Code],$A28,T_SelfStock[WeekIndex],46)&gt;0)*(COUNTIFS(T_TTAFStock[RM_Code],$A28,T_TTAFStock[WeekIndex],46)&gt;0)&gt;0,SUMIFS(T_SelfStock[Self_Qty],T_SelfStock[RM_Code],$A28,T_SelfStock[WeekIndex],46)+SUMIFS(T_TTAFStock[TTAF_Qty],T_TTAFStock[RM_Code],$A28,T_TTAFStock[WeekIndex],46),AT28+'Grid_Incoming'!AU28-'Grid_Requirement'!AU28))</f>
        <v/>
      </c>
      <c r="AV28">
        <f>IF(COUNTIFS(T_StockCount[RM_Code],$A28,T_StockCount[WeekIndex],47)&gt;0,SUMIFS(T_StockCount[CountedQty],T_StockCount[RM_Code],$A28,T_StockCount[WeekIndex],47),IF((COUNTIFS(T_SelfStock[RM_Code],$A28,T_SelfStock[WeekIndex],47)&gt;0)*(COUNTIFS(T_TTAFStock[RM_Code],$A28,T_TTAFStock[WeekIndex],47)&gt;0)&gt;0,SUMIFS(T_SelfStock[Self_Qty],T_SelfStock[RM_Code],$A28,T_SelfStock[WeekIndex],47)+SUMIFS(T_TTAFStock[TTAF_Qty],T_TTAFStock[RM_Code],$A28,T_TTAFStock[WeekIndex],47),AU28+'Grid_Incoming'!AV28-'Grid_Requirement'!AV28))</f>
        <v/>
      </c>
      <c r="AW28">
        <f>IF(COUNTIFS(T_StockCount[RM_Code],$A28,T_StockCount[WeekIndex],48)&gt;0,SUMIFS(T_StockCount[CountedQty],T_StockCount[RM_Code],$A28,T_StockCount[WeekIndex],48),IF((COUNTIFS(T_SelfStock[RM_Code],$A28,T_SelfStock[WeekIndex],48)&gt;0)*(COUNTIFS(T_TTAFStock[RM_Code],$A28,T_TTAFStock[WeekIndex],48)&gt;0)&gt;0,SUMIFS(T_SelfStock[Self_Qty],T_SelfStock[RM_Code],$A28,T_SelfStock[WeekIndex],48)+SUMIFS(T_TTAFStock[TTAF_Qty],T_TTAFStock[RM_Code],$A28,T_TTAFStock[WeekIndex],48),AV28+'Grid_Incoming'!AW28-'Grid_Requirement'!AW28))</f>
        <v/>
      </c>
      <c r="AX28">
        <f>IF(COUNTIFS(T_StockCount[RM_Code],$A28,T_StockCount[WeekIndex],49)&gt;0,SUMIFS(T_StockCount[CountedQty],T_StockCount[RM_Code],$A28,T_StockCount[WeekIndex],49),IF((COUNTIFS(T_SelfStock[RM_Code],$A28,T_SelfStock[WeekIndex],49)&gt;0)*(COUNTIFS(T_TTAFStock[RM_Code],$A28,T_TTAFStock[WeekIndex],49)&gt;0)&gt;0,SUMIFS(T_SelfStock[Self_Qty],T_SelfStock[RM_Code],$A28,T_SelfStock[WeekIndex],49)+SUMIFS(T_TTAFStock[TTAF_Qty],T_TTAFStock[RM_Code],$A28,T_TTAFStock[WeekIndex],49),AW28+'Grid_Incoming'!AX28-'Grid_Requirement'!AX28))</f>
        <v/>
      </c>
      <c r="AY28">
        <f>IF(COUNTIFS(T_StockCount[RM_Code],$A28,T_StockCount[WeekIndex],50)&gt;0,SUMIFS(T_StockCount[CountedQty],T_StockCount[RM_Code],$A28,T_StockCount[WeekIndex],50),IF((COUNTIFS(T_SelfStock[RM_Code],$A28,T_SelfStock[WeekIndex],50)&gt;0)*(COUNTIFS(T_TTAFStock[RM_Code],$A28,T_TTAFStock[WeekIndex],50)&gt;0)&gt;0,SUMIFS(T_SelfStock[Self_Qty],T_SelfStock[RM_Code],$A28,T_SelfStock[WeekIndex],50)+SUMIFS(T_TTAFStock[TTAF_Qty],T_TTAFStock[RM_Code],$A28,T_TTAFStock[WeekIndex],50),AX28+'Grid_Incoming'!AY28-'Grid_Requirement'!AY28))</f>
        <v/>
      </c>
      <c r="AZ28">
        <f>IF(COUNTIFS(T_StockCount[RM_Code],$A28,T_StockCount[WeekIndex],51)&gt;0,SUMIFS(T_StockCount[CountedQty],T_StockCount[RM_Code],$A28,T_StockCount[WeekIndex],51),IF((COUNTIFS(T_SelfStock[RM_Code],$A28,T_SelfStock[WeekIndex],51)&gt;0)*(COUNTIFS(T_TTAFStock[RM_Code],$A28,T_TTAFStock[WeekIndex],51)&gt;0)&gt;0,SUMIFS(T_SelfStock[Self_Qty],T_SelfStock[RM_Code],$A28,T_SelfStock[WeekIndex],51)+SUMIFS(T_TTAFStock[TTAF_Qty],T_TTAFStock[RM_Code],$A28,T_TTAFStock[WeekIndex],51),AY28+'Grid_Incoming'!AZ28-'Grid_Requirement'!AZ28))</f>
        <v/>
      </c>
      <c r="BA28">
        <f>IF(COUNTIFS(T_StockCount[RM_Code],$A28,T_StockCount[WeekIndex],52)&gt;0,SUMIFS(T_StockCount[CountedQty],T_StockCount[RM_Code],$A28,T_StockCount[WeekIndex],52),IF((COUNTIFS(T_SelfStock[RM_Code],$A28,T_SelfStock[WeekIndex],52)&gt;0)*(COUNTIFS(T_TTAFStock[RM_Code],$A28,T_TTAFStock[WeekIndex],52)&gt;0)&gt;0,SUMIFS(T_SelfStock[Self_Qty],T_SelfStock[RM_Code],$A28,T_SelfStock[WeekIndex],52)+SUMIFS(T_TTAFStock[TTAF_Qty],T_TTAFStock[RM_Code],$A28,T_TTAFStock[WeekIndex],52),AZ28+'Grid_Incoming'!BA28-'Grid_Requirement'!BA28))</f>
        <v/>
      </c>
      <c r="BB28">
        <f>IF(COUNTIFS(T_StockCount[RM_Code],$A28,T_StockCount[WeekIndex],53)&gt;0,SUMIFS(T_StockCount[CountedQty],T_StockCount[RM_Code],$A28,T_StockCount[WeekIndex],53),IF((COUNTIFS(T_SelfStock[RM_Code],$A28,T_SelfStock[WeekIndex],53)&gt;0)*(COUNTIFS(T_TTAFStock[RM_Code],$A28,T_TTAFStock[WeekIndex],53)&gt;0)&gt;0,SUMIFS(T_SelfStock[Self_Qty],T_SelfStock[RM_Code],$A28,T_SelfStock[WeekIndex],53)+SUMIFS(T_TTAFStock[TTAF_Qty],T_TTAFStock[RM_Code],$A28,T_TTAFStock[WeekIndex],53),BA28+'Grid_Incoming'!BB28-'Grid_Requirement'!BB28))</f>
        <v/>
      </c>
      <c r="BC28">
        <f>IF(COUNTIFS(T_StockCount[RM_Code],$A28,T_StockCount[WeekIndex],54)&gt;0,SUMIFS(T_StockCount[CountedQty],T_StockCount[RM_Code],$A28,T_StockCount[WeekIndex],54),IF((COUNTIFS(T_SelfStock[RM_Code],$A28,T_SelfStock[WeekIndex],54)&gt;0)*(COUNTIFS(T_TTAFStock[RM_Code],$A28,T_TTAFStock[WeekIndex],54)&gt;0)&gt;0,SUMIFS(T_SelfStock[Self_Qty],T_SelfStock[RM_Code],$A28,T_SelfStock[WeekIndex],54)+SUMIFS(T_TTAFStock[TTAF_Qty],T_TTAFStock[RM_Code],$A28,T_TTAFStock[WeekIndex],54),BB28+'Grid_Incoming'!BC28-'Grid_Requirement'!BC28))</f>
        <v/>
      </c>
      <c r="BD28">
        <f>IF(COUNTIFS(T_StockCount[RM_Code],$A28,T_StockCount[WeekIndex],55)&gt;0,SUMIFS(T_StockCount[CountedQty],T_StockCount[RM_Code],$A28,T_StockCount[WeekIndex],55),IF((COUNTIFS(T_SelfStock[RM_Code],$A28,T_SelfStock[WeekIndex],55)&gt;0)*(COUNTIFS(T_TTAFStock[RM_Code],$A28,T_TTAFStock[WeekIndex],55)&gt;0)&gt;0,SUMIFS(T_SelfStock[Self_Qty],T_SelfStock[RM_Code],$A28,T_SelfStock[WeekIndex],55)+SUMIFS(T_TTAFStock[TTAF_Qty],T_TTAFStock[RM_Code],$A28,T_TTAFStock[WeekIndex],55),BC28+'Grid_Incoming'!BD28-'Grid_Requirement'!BD28))</f>
        <v/>
      </c>
      <c r="BE28">
        <f>IF(COUNTIFS(T_StockCount[RM_Code],$A28,T_StockCount[WeekIndex],56)&gt;0,SUMIFS(T_StockCount[CountedQty],T_StockCount[RM_Code],$A28,T_StockCount[WeekIndex],56),IF((COUNTIFS(T_SelfStock[RM_Code],$A28,T_SelfStock[WeekIndex],56)&gt;0)*(COUNTIFS(T_TTAFStock[RM_Code],$A28,T_TTAFStock[WeekIndex],56)&gt;0)&gt;0,SUMIFS(T_SelfStock[Self_Qty],T_SelfStock[RM_Code],$A28,T_SelfStock[WeekIndex],56)+SUMIFS(T_TTAFStock[TTAF_Qty],T_TTAFStock[RM_Code],$A28,T_TTAFStock[WeekIndex],56),BD28+'Grid_Incoming'!BE28-'Grid_Requirement'!BE28))</f>
        <v/>
      </c>
      <c r="BF28">
        <f>IF(COUNTIFS(T_StockCount[RM_Code],$A28,T_StockCount[WeekIndex],57)&gt;0,SUMIFS(T_StockCount[CountedQty],T_StockCount[RM_Code],$A28,T_StockCount[WeekIndex],57),IF((COUNTIFS(T_SelfStock[RM_Code],$A28,T_SelfStock[WeekIndex],57)&gt;0)*(COUNTIFS(T_TTAFStock[RM_Code],$A28,T_TTAFStock[WeekIndex],57)&gt;0)&gt;0,SUMIFS(T_SelfStock[Self_Qty],T_SelfStock[RM_Code],$A28,T_SelfStock[WeekIndex],57)+SUMIFS(T_TTAFStock[TTAF_Qty],T_TTAFStock[RM_Code],$A28,T_TTAFStock[WeekIndex],57),BE28+'Grid_Incoming'!BF28-'Grid_Requirement'!BF28))</f>
        <v/>
      </c>
      <c r="BG28">
        <f>IF(COUNTIFS(T_StockCount[RM_Code],$A28,T_StockCount[WeekIndex],58)&gt;0,SUMIFS(T_StockCount[CountedQty],T_StockCount[RM_Code],$A28,T_StockCount[WeekIndex],58),IF((COUNTIFS(T_SelfStock[RM_Code],$A28,T_SelfStock[WeekIndex],58)&gt;0)*(COUNTIFS(T_TTAFStock[RM_Code],$A28,T_TTAFStock[WeekIndex],58)&gt;0)&gt;0,SUMIFS(T_SelfStock[Self_Qty],T_SelfStock[RM_Code],$A28,T_SelfStock[WeekIndex],58)+SUMIFS(T_TTAFStock[TTAF_Qty],T_TTAFStock[RM_Code],$A28,T_TTAFStock[WeekIndex],58),BF28+'Grid_Incoming'!BG28-'Grid_Requirement'!BG28))</f>
        <v/>
      </c>
      <c r="BH28">
        <f>IF(COUNTIFS(T_StockCount[RM_Code],$A28,T_StockCount[WeekIndex],59)&gt;0,SUMIFS(T_StockCount[CountedQty],T_StockCount[RM_Code],$A28,T_StockCount[WeekIndex],59),IF((COUNTIFS(T_SelfStock[RM_Code],$A28,T_SelfStock[WeekIndex],59)&gt;0)*(COUNTIFS(T_TTAFStock[RM_Code],$A28,T_TTAFStock[WeekIndex],59)&gt;0)&gt;0,SUMIFS(T_SelfStock[Self_Qty],T_SelfStock[RM_Code],$A28,T_SelfStock[WeekIndex],59)+SUMIFS(T_TTAFStock[TTAF_Qty],T_TTAFStock[RM_Code],$A28,T_TTAFStock[WeekIndex],59),BG28+'Grid_Incoming'!BH28-'Grid_Requirement'!BH28))</f>
        <v/>
      </c>
      <c r="BI28">
        <f>IF(COUNTIFS(T_StockCount[RM_Code],$A28,T_StockCount[WeekIndex],60)&gt;0,SUMIFS(T_StockCount[CountedQty],T_StockCount[RM_Code],$A28,T_StockCount[WeekIndex],60),IF((COUNTIFS(T_SelfStock[RM_Code],$A28,T_SelfStock[WeekIndex],60)&gt;0)*(COUNTIFS(T_TTAFStock[RM_Code],$A28,T_TTAFStock[WeekIndex],60)&gt;0)&gt;0,SUMIFS(T_SelfStock[Self_Qty],T_SelfStock[RM_Code],$A28,T_SelfStock[WeekIndex],60)+SUMIFS(T_TTAFStock[TTAF_Qty],T_TTAFStock[RM_Code],$A28,T_TTAFStock[WeekIndex],60),BH28+'Grid_Incoming'!BI28-'Grid_Requirement'!BI28))</f>
        <v/>
      </c>
      <c r="BJ28">
        <f>IF(COUNTIFS(T_StockCount[RM_Code],$A28,T_StockCount[WeekIndex],61)&gt;0,SUMIFS(T_StockCount[CountedQty],T_StockCount[RM_Code],$A28,T_StockCount[WeekIndex],61),IF((COUNTIFS(T_SelfStock[RM_Code],$A28,T_SelfStock[WeekIndex],61)&gt;0)*(COUNTIFS(T_TTAFStock[RM_Code],$A28,T_TTAFStock[WeekIndex],61)&gt;0)&gt;0,SUMIFS(T_SelfStock[Self_Qty],T_SelfStock[RM_Code],$A28,T_SelfStock[WeekIndex],61)+SUMIFS(T_TTAFStock[TTAF_Qty],T_TTAFStock[RM_Code],$A28,T_TTAFStock[WeekIndex],61),BI28+'Grid_Incoming'!BJ28-'Grid_Requirement'!BJ28))</f>
        <v/>
      </c>
      <c r="BK28">
        <f>IF(COUNTIFS(T_StockCount[RM_Code],$A28,T_StockCount[WeekIndex],62)&gt;0,SUMIFS(T_StockCount[CountedQty],T_StockCount[RM_Code],$A28,T_StockCount[WeekIndex],62),IF((COUNTIFS(T_SelfStock[RM_Code],$A28,T_SelfStock[WeekIndex],62)&gt;0)*(COUNTIFS(T_TTAFStock[RM_Code],$A28,T_TTAFStock[WeekIndex],62)&gt;0)&gt;0,SUMIFS(T_SelfStock[Self_Qty],T_SelfStock[RM_Code],$A28,T_SelfStock[WeekIndex],62)+SUMIFS(T_TTAFStock[TTAF_Qty],T_TTAFStock[RM_Code],$A28,T_TTAFStock[WeekIndex],62),BJ28+'Grid_Incoming'!BK28-'Grid_Requirement'!BK28))</f>
        <v/>
      </c>
      <c r="BL28">
        <f>IF(COUNTIFS(T_StockCount[RM_Code],$A28,T_StockCount[WeekIndex],63)&gt;0,SUMIFS(T_StockCount[CountedQty],T_StockCount[RM_Code],$A28,T_StockCount[WeekIndex],63),IF((COUNTIFS(T_SelfStock[RM_Code],$A28,T_SelfStock[WeekIndex],63)&gt;0)*(COUNTIFS(T_TTAFStock[RM_Code],$A28,T_TTAFStock[WeekIndex],63)&gt;0)&gt;0,SUMIFS(T_SelfStock[Self_Qty],T_SelfStock[RM_Code],$A28,T_SelfStock[WeekIndex],63)+SUMIFS(T_TTAFStock[TTAF_Qty],T_TTAFStock[RM_Code],$A28,T_TTAFStock[WeekIndex],63),BK28+'Grid_Incoming'!BL28-'Grid_Requirement'!BL28))</f>
        <v/>
      </c>
      <c r="BM28">
        <f>IF(COUNTIFS(T_StockCount[RM_Code],$A28,T_StockCount[WeekIndex],64)&gt;0,SUMIFS(T_StockCount[CountedQty],T_StockCount[RM_Code],$A28,T_StockCount[WeekIndex],64),IF((COUNTIFS(T_SelfStock[RM_Code],$A28,T_SelfStock[WeekIndex],64)&gt;0)*(COUNTIFS(T_TTAFStock[RM_Code],$A28,T_TTAFStock[WeekIndex],64)&gt;0)&gt;0,SUMIFS(T_SelfStock[Self_Qty],T_SelfStock[RM_Code],$A28,T_SelfStock[WeekIndex],64)+SUMIFS(T_TTAFStock[TTAF_Qty],T_TTAFStock[RM_Code],$A28,T_TTAFStock[WeekIndex],64),BL28+'Grid_Incoming'!BM28-'Grid_Requirement'!BM28))</f>
        <v/>
      </c>
      <c r="BN28">
        <f>IF(COUNTIFS(T_StockCount[RM_Code],$A28,T_StockCount[WeekIndex],65)&gt;0,SUMIFS(T_StockCount[CountedQty],T_StockCount[RM_Code],$A28,T_StockCount[WeekIndex],65),IF((COUNTIFS(T_SelfStock[RM_Code],$A28,T_SelfStock[WeekIndex],65)&gt;0)*(COUNTIFS(T_TTAFStock[RM_Code],$A28,T_TTAFStock[WeekIndex],65)&gt;0)&gt;0,SUMIFS(T_SelfStock[Self_Qty],T_SelfStock[RM_Code],$A28,T_SelfStock[WeekIndex],65)+SUMIFS(T_TTAFStock[TTAF_Qty],T_TTAFStock[RM_Code],$A28,T_TTAFStock[WeekIndex],65),BM28+'Grid_Incoming'!BN28-'Grid_Requirement'!BN28))</f>
        <v/>
      </c>
      <c r="BO28">
        <f>IF(COUNTIFS(T_StockCount[RM_Code],$A28,T_StockCount[WeekIndex],66)&gt;0,SUMIFS(T_StockCount[CountedQty],T_StockCount[RM_Code],$A28,T_StockCount[WeekIndex],66),IF((COUNTIFS(T_SelfStock[RM_Code],$A28,T_SelfStock[WeekIndex],66)&gt;0)*(COUNTIFS(T_TTAFStock[RM_Code],$A28,T_TTAFStock[WeekIndex],66)&gt;0)&gt;0,SUMIFS(T_SelfStock[Self_Qty],T_SelfStock[RM_Code],$A28,T_SelfStock[WeekIndex],66)+SUMIFS(T_TTAFStock[TTAF_Qty],T_TTAFStock[RM_Code],$A28,T_TTAFStock[WeekIndex],66),BN28+'Grid_Incoming'!BO28-'Grid_Requirement'!BO28))</f>
        <v/>
      </c>
      <c r="BP28">
        <f>IF(COUNTIFS(T_StockCount[RM_Code],$A28,T_StockCount[WeekIndex],67)&gt;0,SUMIFS(T_StockCount[CountedQty],T_StockCount[RM_Code],$A28,T_StockCount[WeekIndex],67),IF((COUNTIFS(T_SelfStock[RM_Code],$A28,T_SelfStock[WeekIndex],67)&gt;0)*(COUNTIFS(T_TTAFStock[RM_Code],$A28,T_TTAFStock[WeekIndex],67)&gt;0)&gt;0,SUMIFS(T_SelfStock[Self_Qty],T_SelfStock[RM_Code],$A28,T_SelfStock[WeekIndex],67)+SUMIFS(T_TTAFStock[TTAF_Qty],T_TTAFStock[RM_Code],$A28,T_TTAFStock[WeekIndex],67),BO28+'Grid_Incoming'!BP28-'Grid_Requirement'!BP28))</f>
        <v/>
      </c>
      <c r="BQ28">
        <f>IF(COUNTIFS(T_StockCount[RM_Code],$A28,T_StockCount[WeekIndex],68)&gt;0,SUMIFS(T_StockCount[CountedQty],T_StockCount[RM_Code],$A28,T_StockCount[WeekIndex],68),IF((COUNTIFS(T_SelfStock[RM_Code],$A28,T_SelfStock[WeekIndex],68)&gt;0)*(COUNTIFS(T_TTAFStock[RM_Code],$A28,T_TTAFStock[WeekIndex],68)&gt;0)&gt;0,SUMIFS(T_SelfStock[Self_Qty],T_SelfStock[RM_Code],$A28,T_SelfStock[WeekIndex],68)+SUMIFS(T_TTAFStock[TTAF_Qty],T_TTAFStock[RM_Code],$A28,T_TTAFStock[WeekIndex],68),BP28+'Grid_Incoming'!BQ28-'Grid_Requirement'!BQ28))</f>
        <v/>
      </c>
      <c r="BR28">
        <f>IF(COUNTIFS(T_StockCount[RM_Code],$A28,T_StockCount[WeekIndex],69)&gt;0,SUMIFS(T_StockCount[CountedQty],T_StockCount[RM_Code],$A28,T_StockCount[WeekIndex],69),IF((COUNTIFS(T_SelfStock[RM_Code],$A28,T_SelfStock[WeekIndex],69)&gt;0)*(COUNTIFS(T_TTAFStock[RM_Code],$A28,T_TTAFStock[WeekIndex],69)&gt;0)&gt;0,SUMIFS(T_SelfStock[Self_Qty],T_SelfStock[RM_Code],$A28,T_SelfStock[WeekIndex],69)+SUMIFS(T_TTAFStock[TTAF_Qty],T_TTAFStock[RM_Code],$A28,T_TTAFStock[WeekIndex],69),BQ28+'Grid_Incoming'!BR28-'Grid_Requirement'!BR28))</f>
        <v/>
      </c>
      <c r="BS28">
        <f>IF(COUNTIFS(T_StockCount[RM_Code],$A28,T_StockCount[WeekIndex],70)&gt;0,SUMIFS(T_StockCount[CountedQty],T_StockCount[RM_Code],$A28,T_StockCount[WeekIndex],70),IF((COUNTIFS(T_SelfStock[RM_Code],$A28,T_SelfStock[WeekIndex],70)&gt;0)*(COUNTIFS(T_TTAFStock[RM_Code],$A28,T_TTAFStock[WeekIndex],70)&gt;0)&gt;0,SUMIFS(T_SelfStock[Self_Qty],T_SelfStock[RM_Code],$A28,T_SelfStock[WeekIndex],70)+SUMIFS(T_TTAFStock[TTAF_Qty],T_TTAFStock[RM_Code],$A28,T_TTAFStock[WeekIndex],70),BR28+'Grid_Incoming'!BS28-'Grid_Requirement'!BS28))</f>
        <v/>
      </c>
      <c r="BT28">
        <f>IF(COUNTIFS(T_StockCount[RM_Code],$A28,T_StockCount[WeekIndex],71)&gt;0,SUMIFS(T_StockCount[CountedQty],T_StockCount[RM_Code],$A28,T_StockCount[WeekIndex],71),IF((COUNTIFS(T_SelfStock[RM_Code],$A28,T_SelfStock[WeekIndex],71)&gt;0)*(COUNTIFS(T_TTAFStock[RM_Code],$A28,T_TTAFStock[WeekIndex],71)&gt;0)&gt;0,SUMIFS(T_SelfStock[Self_Qty],T_SelfStock[RM_Code],$A28,T_SelfStock[WeekIndex],71)+SUMIFS(T_TTAFStock[TTAF_Qty],T_TTAFStock[RM_Code],$A28,T_TTAFStock[WeekIndex],71),BS28+'Grid_Incoming'!BT28-'Grid_Requirement'!BT28))</f>
        <v/>
      </c>
      <c r="BU28">
        <f>IF(COUNTIFS(T_StockCount[RM_Code],$A28,T_StockCount[WeekIndex],72)&gt;0,SUMIFS(T_StockCount[CountedQty],T_StockCount[RM_Code],$A28,T_StockCount[WeekIndex],72),IF((COUNTIFS(T_SelfStock[RM_Code],$A28,T_SelfStock[WeekIndex],72)&gt;0)*(COUNTIFS(T_TTAFStock[RM_Code],$A28,T_TTAFStock[WeekIndex],72)&gt;0)&gt;0,SUMIFS(T_SelfStock[Self_Qty],T_SelfStock[RM_Code],$A28,T_SelfStock[WeekIndex],72)+SUMIFS(T_TTAFStock[TTAF_Qty],T_TTAFStock[RM_Code],$A28,T_TTAFStock[WeekIndex],72),BT28+'Grid_Incoming'!BU28-'Grid_Requirement'!BU28))</f>
        <v/>
      </c>
      <c r="BV28">
        <f>IF(COUNTIFS(T_StockCount[RM_Code],$A28,T_StockCount[WeekIndex],73)&gt;0,SUMIFS(T_StockCount[CountedQty],T_StockCount[RM_Code],$A28,T_StockCount[WeekIndex],73),IF((COUNTIFS(T_SelfStock[RM_Code],$A28,T_SelfStock[WeekIndex],73)&gt;0)*(COUNTIFS(T_TTAFStock[RM_Code],$A28,T_TTAFStock[WeekIndex],73)&gt;0)&gt;0,SUMIFS(T_SelfStock[Self_Qty],T_SelfStock[RM_Code],$A28,T_SelfStock[WeekIndex],73)+SUMIFS(T_TTAFStock[TTAF_Qty],T_TTAFStock[RM_Code],$A28,T_TTAFStock[WeekIndex],73),BU28+'Grid_Incoming'!BV28-'Grid_Requirement'!BV28))</f>
        <v/>
      </c>
      <c r="BW28">
        <f>IF(COUNTIFS(T_StockCount[RM_Code],$A28,T_StockCount[WeekIndex],74)&gt;0,SUMIFS(T_StockCount[CountedQty],T_StockCount[RM_Code],$A28,T_StockCount[WeekIndex],74),IF((COUNTIFS(T_SelfStock[RM_Code],$A28,T_SelfStock[WeekIndex],74)&gt;0)*(COUNTIFS(T_TTAFStock[RM_Code],$A28,T_TTAFStock[WeekIndex],74)&gt;0)&gt;0,SUMIFS(T_SelfStock[Self_Qty],T_SelfStock[RM_Code],$A28,T_SelfStock[WeekIndex],74)+SUMIFS(T_TTAFStock[TTAF_Qty],T_TTAFStock[RM_Code],$A28,T_TTAFStock[WeekIndex],74),BV28+'Grid_Incoming'!BW28-'Grid_Requirement'!BW28))</f>
        <v/>
      </c>
      <c r="BX28">
        <f>IF(COUNTIFS(T_StockCount[RM_Code],$A28,T_StockCount[WeekIndex],75)&gt;0,SUMIFS(T_StockCount[CountedQty],T_StockCount[RM_Code],$A28,T_StockCount[WeekIndex],75),IF((COUNTIFS(T_SelfStock[RM_Code],$A28,T_SelfStock[WeekIndex],75)&gt;0)*(COUNTIFS(T_TTAFStock[RM_Code],$A28,T_TTAFStock[WeekIndex],75)&gt;0)&gt;0,SUMIFS(T_SelfStock[Self_Qty],T_SelfStock[RM_Code],$A28,T_SelfStock[WeekIndex],75)+SUMIFS(T_TTAFStock[TTAF_Qty],T_TTAFStock[RM_Code],$A28,T_TTAFStock[WeekIndex],75),BW28+'Grid_Incoming'!BX28-'Grid_Requirement'!BX28))</f>
        <v/>
      </c>
      <c r="BY28">
        <f>IF(COUNTIFS(T_StockCount[RM_Code],$A28,T_StockCount[WeekIndex],76)&gt;0,SUMIFS(T_StockCount[CountedQty],T_StockCount[RM_Code],$A28,T_StockCount[WeekIndex],76),IF((COUNTIFS(T_SelfStock[RM_Code],$A28,T_SelfStock[WeekIndex],76)&gt;0)*(COUNTIFS(T_TTAFStock[RM_Code],$A28,T_TTAFStock[WeekIndex],76)&gt;0)&gt;0,SUMIFS(T_SelfStock[Self_Qty],T_SelfStock[RM_Code],$A28,T_SelfStock[WeekIndex],76)+SUMIFS(T_TTAFStock[TTAF_Qty],T_TTAFStock[RM_Code],$A28,T_TTAFStock[WeekIndex],76),BX28+'Grid_Incoming'!BY28-'Grid_Requirement'!BY28))</f>
        <v/>
      </c>
      <c r="BZ28">
        <f>IF(COUNTIFS(T_StockCount[RM_Code],$A28,T_StockCount[WeekIndex],77)&gt;0,SUMIFS(T_StockCount[CountedQty],T_StockCount[RM_Code],$A28,T_StockCount[WeekIndex],77),IF((COUNTIFS(T_SelfStock[RM_Code],$A28,T_SelfStock[WeekIndex],77)&gt;0)*(COUNTIFS(T_TTAFStock[RM_Code],$A28,T_TTAFStock[WeekIndex],77)&gt;0)&gt;0,SUMIFS(T_SelfStock[Self_Qty],T_SelfStock[RM_Code],$A28,T_SelfStock[WeekIndex],77)+SUMIFS(T_TTAFStock[TTAF_Qty],T_TTAFStock[RM_Code],$A28,T_TTAFStock[WeekIndex],77),BY28+'Grid_Incoming'!BZ28-'Grid_Requirement'!BZ28))</f>
        <v/>
      </c>
      <c r="CA28">
        <f>IF(COUNTIFS(T_StockCount[RM_Code],$A28,T_StockCount[WeekIndex],78)&gt;0,SUMIFS(T_StockCount[CountedQty],T_StockCount[RM_Code],$A28,T_StockCount[WeekIndex],78),IF((COUNTIFS(T_SelfStock[RM_Code],$A28,T_SelfStock[WeekIndex],78)&gt;0)*(COUNTIFS(T_TTAFStock[RM_Code],$A28,T_TTAFStock[WeekIndex],78)&gt;0)&gt;0,SUMIFS(T_SelfStock[Self_Qty],T_SelfStock[RM_Code],$A28,T_SelfStock[WeekIndex],78)+SUMIFS(T_TTAFStock[TTAF_Qty],T_TTAFStock[RM_Code],$A28,T_TTAFStock[WeekIndex],78),BZ28+'Grid_Incoming'!CA28-'Grid_Requirement'!CA28))</f>
        <v/>
      </c>
      <c r="CB28">
        <f>IF(COUNTIFS(T_StockCount[RM_Code],$A28,T_StockCount[WeekIndex],79)&gt;0,SUMIFS(T_StockCount[CountedQty],T_StockCount[RM_Code],$A28,T_StockCount[WeekIndex],79),IF((COUNTIFS(T_SelfStock[RM_Code],$A28,T_SelfStock[WeekIndex],79)&gt;0)*(COUNTIFS(T_TTAFStock[RM_Code],$A28,T_TTAFStock[WeekIndex],79)&gt;0)&gt;0,SUMIFS(T_SelfStock[Self_Qty],T_SelfStock[RM_Code],$A28,T_SelfStock[WeekIndex],79)+SUMIFS(T_TTAFStock[TTAF_Qty],T_TTAFStock[RM_Code],$A28,T_TTAFStock[WeekIndex],79),CA28+'Grid_Incoming'!CB28-'Grid_Requirement'!CB28))</f>
        <v/>
      </c>
      <c r="CC28">
        <f>IF(COUNTIFS(T_StockCount[RM_Code],$A28,T_StockCount[WeekIndex],80)&gt;0,SUMIFS(T_StockCount[CountedQty],T_StockCount[RM_Code],$A28,T_StockCount[WeekIndex],80),IF((COUNTIFS(T_SelfStock[RM_Code],$A28,T_SelfStock[WeekIndex],80)&gt;0)*(COUNTIFS(T_TTAFStock[RM_Code],$A28,T_TTAFStock[WeekIndex],80)&gt;0)&gt;0,SUMIFS(T_SelfStock[Self_Qty],T_SelfStock[RM_Code],$A28,T_SelfStock[WeekIndex],80)+SUMIFS(T_TTAFStock[TTAF_Qty],T_TTAFStock[RM_Code],$A28,T_TTAFStock[WeekIndex],80),CB28+'Grid_Incoming'!CC28-'Grid_Requirement'!CC28))</f>
        <v/>
      </c>
      <c r="CD28">
        <f>IF(COUNTIFS(T_StockCount[RM_Code],$A28,T_StockCount[WeekIndex],81)&gt;0,SUMIFS(T_StockCount[CountedQty],T_StockCount[RM_Code],$A28,T_StockCount[WeekIndex],81),IF((COUNTIFS(T_SelfStock[RM_Code],$A28,T_SelfStock[WeekIndex],81)&gt;0)*(COUNTIFS(T_TTAFStock[RM_Code],$A28,T_TTAFStock[WeekIndex],81)&gt;0)&gt;0,SUMIFS(T_SelfStock[Self_Qty],T_SelfStock[RM_Code],$A28,T_SelfStock[WeekIndex],81)+SUMIFS(T_TTAFStock[TTAF_Qty],T_TTAFStock[RM_Code],$A28,T_TTAFStock[WeekIndex],81),CC28+'Grid_Incoming'!CD28-'Grid_Requirement'!CD28))</f>
        <v/>
      </c>
      <c r="CE28">
        <f>IF(COUNTIFS(T_StockCount[RM_Code],$A28,T_StockCount[WeekIndex],82)&gt;0,SUMIFS(T_StockCount[CountedQty],T_StockCount[RM_Code],$A28,T_StockCount[WeekIndex],82),IF((COUNTIFS(T_SelfStock[RM_Code],$A28,T_SelfStock[WeekIndex],82)&gt;0)*(COUNTIFS(T_TTAFStock[RM_Code],$A28,T_TTAFStock[WeekIndex],82)&gt;0)&gt;0,SUMIFS(T_SelfStock[Self_Qty],T_SelfStock[RM_Code],$A28,T_SelfStock[WeekIndex],82)+SUMIFS(T_TTAFStock[TTAF_Qty],T_TTAFStock[RM_Code],$A28,T_TTAFStock[WeekIndex],82),CD28+'Grid_Incoming'!CE28-'Grid_Requirement'!CE28))</f>
        <v/>
      </c>
      <c r="CF28">
        <f>IF(COUNTIFS(T_StockCount[RM_Code],$A28,T_StockCount[WeekIndex],83)&gt;0,SUMIFS(T_StockCount[CountedQty],T_StockCount[RM_Code],$A28,T_StockCount[WeekIndex],83),IF((COUNTIFS(T_SelfStock[RM_Code],$A28,T_SelfStock[WeekIndex],83)&gt;0)*(COUNTIFS(T_TTAFStock[RM_Code],$A28,T_TTAFStock[WeekIndex],83)&gt;0)&gt;0,SUMIFS(T_SelfStock[Self_Qty],T_SelfStock[RM_Code],$A28,T_SelfStock[WeekIndex],83)+SUMIFS(T_TTAFStock[TTAF_Qty],T_TTAFStock[RM_Code],$A28,T_TTAFStock[WeekIndex],83),CE28+'Grid_Incoming'!CF28-'Grid_Requirement'!CF28))</f>
        <v/>
      </c>
      <c r="CG28">
        <f>IF(COUNTIFS(T_StockCount[RM_Code],$A28,T_StockCount[WeekIndex],84)&gt;0,SUMIFS(T_StockCount[CountedQty],T_StockCount[RM_Code],$A28,T_StockCount[WeekIndex],84),IF((COUNTIFS(T_SelfStock[RM_Code],$A28,T_SelfStock[WeekIndex],84)&gt;0)*(COUNTIFS(T_TTAFStock[RM_Code],$A28,T_TTAFStock[WeekIndex],84)&gt;0)&gt;0,SUMIFS(T_SelfStock[Self_Qty],T_SelfStock[RM_Code],$A28,T_SelfStock[WeekIndex],84)+SUMIFS(T_TTAFStock[TTAF_Qty],T_TTAFStock[RM_Code],$A28,T_TTAFStock[WeekIndex],84),CF28+'Grid_Incoming'!CG28-'Grid_Requirement'!CG28))</f>
        <v/>
      </c>
      <c r="CH28">
        <f>IF(COUNTIFS(T_StockCount[RM_Code],$A28,T_StockCount[WeekIndex],85)&gt;0,SUMIFS(T_StockCount[CountedQty],T_StockCount[RM_Code],$A28,T_StockCount[WeekIndex],85),IF((COUNTIFS(T_SelfStock[RM_Code],$A28,T_SelfStock[WeekIndex],85)&gt;0)*(COUNTIFS(T_TTAFStock[RM_Code],$A28,T_TTAFStock[WeekIndex],85)&gt;0)&gt;0,SUMIFS(T_SelfStock[Self_Qty],T_SelfStock[RM_Code],$A28,T_SelfStock[WeekIndex],85)+SUMIFS(T_TTAFStock[TTAF_Qty],T_TTAFStock[RM_Code],$A28,T_TTAFStock[WeekIndex],85),CG28+'Grid_Incoming'!CH28-'Grid_Requirement'!CH28))</f>
        <v/>
      </c>
      <c r="CI28">
        <f>IF(COUNTIFS(T_StockCount[RM_Code],$A28,T_StockCount[WeekIndex],86)&gt;0,SUMIFS(T_StockCount[CountedQty],T_StockCount[RM_Code],$A28,T_StockCount[WeekIndex],86),IF((COUNTIFS(T_SelfStock[RM_Code],$A28,T_SelfStock[WeekIndex],86)&gt;0)*(COUNTIFS(T_TTAFStock[RM_Code],$A28,T_TTAFStock[WeekIndex],86)&gt;0)&gt;0,SUMIFS(T_SelfStock[Self_Qty],T_SelfStock[RM_Code],$A28,T_SelfStock[WeekIndex],86)+SUMIFS(T_TTAFStock[TTAF_Qty],T_TTAFStock[RM_Code],$A28,T_TTAFStock[WeekIndex],86),CH28+'Grid_Incoming'!CI28-'Grid_Requirement'!CI28))</f>
        <v/>
      </c>
      <c r="CJ28">
        <f>IF(COUNTIFS(T_StockCount[RM_Code],$A28,T_StockCount[WeekIndex],87)&gt;0,SUMIFS(T_StockCount[CountedQty],T_StockCount[RM_Code],$A28,T_StockCount[WeekIndex],87),IF((COUNTIFS(T_SelfStock[RM_Code],$A28,T_SelfStock[WeekIndex],87)&gt;0)*(COUNTIFS(T_TTAFStock[RM_Code],$A28,T_TTAFStock[WeekIndex],87)&gt;0)&gt;0,SUMIFS(T_SelfStock[Self_Qty],T_SelfStock[RM_Code],$A28,T_SelfStock[WeekIndex],87)+SUMIFS(T_TTAFStock[TTAF_Qty],T_TTAFStock[RM_Code],$A28,T_TTAFStock[WeekIndex],87),CI28+'Grid_Incoming'!CJ28-'Grid_Requirement'!CJ28))</f>
        <v/>
      </c>
      <c r="CK28">
        <f>IF(COUNTIFS(T_StockCount[RM_Code],$A28,T_StockCount[WeekIndex],88)&gt;0,SUMIFS(T_StockCount[CountedQty],T_StockCount[RM_Code],$A28,T_StockCount[WeekIndex],88),IF((COUNTIFS(T_SelfStock[RM_Code],$A28,T_SelfStock[WeekIndex],88)&gt;0)*(COUNTIFS(T_TTAFStock[RM_Code],$A28,T_TTAFStock[WeekIndex],88)&gt;0)&gt;0,SUMIFS(T_SelfStock[Self_Qty],T_SelfStock[RM_Code],$A28,T_SelfStock[WeekIndex],88)+SUMIFS(T_TTAFStock[TTAF_Qty],T_TTAFStock[RM_Code],$A28,T_TTAFStock[WeekIndex],88),CJ28+'Grid_Incoming'!CK28-'Grid_Requirement'!CK28))</f>
        <v/>
      </c>
      <c r="CL28">
        <f>IF(COUNTIFS(T_StockCount[RM_Code],$A28,T_StockCount[WeekIndex],89)&gt;0,SUMIFS(T_StockCount[CountedQty],T_StockCount[RM_Code],$A28,T_StockCount[WeekIndex],89),IF((COUNTIFS(T_SelfStock[RM_Code],$A28,T_SelfStock[WeekIndex],89)&gt;0)*(COUNTIFS(T_TTAFStock[RM_Code],$A28,T_TTAFStock[WeekIndex],89)&gt;0)&gt;0,SUMIFS(T_SelfStock[Self_Qty],T_SelfStock[RM_Code],$A28,T_SelfStock[WeekIndex],89)+SUMIFS(T_TTAFStock[TTAF_Qty],T_TTAFStock[RM_Code],$A28,T_TTAFStock[WeekIndex],89),CK28+'Grid_Incoming'!CL28-'Grid_Requirement'!CL28))</f>
        <v/>
      </c>
      <c r="CM28">
        <f>IF(COUNTIFS(T_StockCount[RM_Code],$A28,T_StockCount[WeekIndex],90)&gt;0,SUMIFS(T_StockCount[CountedQty],T_StockCount[RM_Code],$A28,T_StockCount[WeekIndex],90),IF((COUNTIFS(T_SelfStock[RM_Code],$A28,T_SelfStock[WeekIndex],90)&gt;0)*(COUNTIFS(T_TTAFStock[RM_Code],$A28,T_TTAFStock[WeekIndex],90)&gt;0)&gt;0,SUMIFS(T_SelfStock[Self_Qty],T_SelfStock[RM_Code],$A28,T_SelfStock[WeekIndex],90)+SUMIFS(T_TTAFStock[TTAF_Qty],T_TTAFStock[RM_Code],$A28,T_TTAFStock[WeekIndex],90),CL28+'Grid_Incoming'!CM28-'Grid_Requirement'!CM28))</f>
        <v/>
      </c>
      <c r="CN28">
        <f>IF(COUNTIFS(T_StockCount[RM_Code],$A28,T_StockCount[WeekIndex],91)&gt;0,SUMIFS(T_StockCount[CountedQty],T_StockCount[RM_Code],$A28,T_StockCount[WeekIndex],91),IF((COUNTIFS(T_SelfStock[RM_Code],$A28,T_SelfStock[WeekIndex],91)&gt;0)*(COUNTIFS(T_TTAFStock[RM_Code],$A28,T_TTAFStock[WeekIndex],91)&gt;0)&gt;0,SUMIFS(T_SelfStock[Self_Qty],T_SelfStock[RM_Code],$A28,T_SelfStock[WeekIndex],91)+SUMIFS(T_TTAFStock[TTAF_Qty],T_TTAFStock[RM_Code],$A28,T_TTAFStock[WeekIndex],91),CM28+'Grid_Incoming'!CN28-'Grid_Requirement'!CN28))</f>
        <v/>
      </c>
      <c r="CO28">
        <f>IF(COUNTIFS(T_StockCount[RM_Code],$A28,T_StockCount[WeekIndex],92)&gt;0,SUMIFS(T_StockCount[CountedQty],T_StockCount[RM_Code],$A28,T_StockCount[WeekIndex],92),IF((COUNTIFS(T_SelfStock[RM_Code],$A28,T_SelfStock[WeekIndex],92)&gt;0)*(COUNTIFS(T_TTAFStock[RM_Code],$A28,T_TTAFStock[WeekIndex],92)&gt;0)&gt;0,SUMIFS(T_SelfStock[Self_Qty],T_SelfStock[RM_Code],$A28,T_SelfStock[WeekIndex],92)+SUMIFS(T_TTAFStock[TTAF_Qty],T_TTAFStock[RM_Code],$A28,T_TTAFStock[WeekIndex],92),CN28+'Grid_Incoming'!CO28-'Grid_Requirement'!CO28))</f>
        <v/>
      </c>
      <c r="CP28">
        <f>IF(COUNTIFS(T_StockCount[RM_Code],$A28,T_StockCount[WeekIndex],93)&gt;0,SUMIFS(T_StockCount[CountedQty],T_StockCount[RM_Code],$A28,T_StockCount[WeekIndex],93),IF((COUNTIFS(T_SelfStock[RM_Code],$A28,T_SelfStock[WeekIndex],93)&gt;0)*(COUNTIFS(T_TTAFStock[RM_Code],$A28,T_TTAFStock[WeekIndex],93)&gt;0)&gt;0,SUMIFS(T_SelfStock[Self_Qty],T_SelfStock[RM_Code],$A28,T_SelfStock[WeekIndex],93)+SUMIFS(T_TTAFStock[TTAF_Qty],T_TTAFStock[RM_Code],$A28,T_TTAFStock[WeekIndex],93),CO28+'Grid_Incoming'!CP28-'Grid_Requirement'!CP28))</f>
        <v/>
      </c>
      <c r="CQ28">
        <f>IF(COUNTIFS(T_StockCount[RM_Code],$A28,T_StockCount[WeekIndex],94)&gt;0,SUMIFS(T_StockCount[CountedQty],T_StockCount[RM_Code],$A28,T_StockCount[WeekIndex],94),IF((COUNTIFS(T_SelfStock[RM_Code],$A28,T_SelfStock[WeekIndex],94)&gt;0)*(COUNTIFS(T_TTAFStock[RM_Code],$A28,T_TTAFStock[WeekIndex],94)&gt;0)&gt;0,SUMIFS(T_SelfStock[Self_Qty],T_SelfStock[RM_Code],$A28,T_SelfStock[WeekIndex],94)+SUMIFS(T_TTAFStock[TTAF_Qty],T_TTAFStock[RM_Code],$A28,T_TTAFStock[WeekIndex],94),CP28+'Grid_Incoming'!CQ28-'Grid_Requirement'!CQ28))</f>
        <v/>
      </c>
      <c r="CR28">
        <f>IF(COUNTIFS(T_StockCount[RM_Code],$A28,T_StockCount[WeekIndex],95)&gt;0,SUMIFS(T_StockCount[CountedQty],T_StockCount[RM_Code],$A28,T_StockCount[WeekIndex],95),IF((COUNTIFS(T_SelfStock[RM_Code],$A28,T_SelfStock[WeekIndex],95)&gt;0)*(COUNTIFS(T_TTAFStock[RM_Code],$A28,T_TTAFStock[WeekIndex],95)&gt;0)&gt;0,SUMIFS(T_SelfStock[Self_Qty],T_SelfStock[RM_Code],$A28,T_SelfStock[WeekIndex],95)+SUMIFS(T_TTAFStock[TTAF_Qty],T_TTAFStock[RM_Code],$A28,T_TTAFStock[WeekIndex],95),CQ28+'Grid_Incoming'!CR28-'Grid_Requirement'!CR28))</f>
        <v/>
      </c>
      <c r="CS28">
        <f>IF(COUNTIFS(T_StockCount[RM_Code],$A28,T_StockCount[WeekIndex],96)&gt;0,SUMIFS(T_StockCount[CountedQty],T_StockCount[RM_Code],$A28,T_StockCount[WeekIndex],96),IF((COUNTIFS(T_SelfStock[RM_Code],$A28,T_SelfStock[WeekIndex],96)&gt;0)*(COUNTIFS(T_TTAFStock[RM_Code],$A28,T_TTAFStock[WeekIndex],96)&gt;0)&gt;0,SUMIFS(T_SelfStock[Self_Qty],T_SelfStock[RM_Code],$A28,T_SelfStock[WeekIndex],96)+SUMIFS(T_TTAFStock[TTAF_Qty],T_TTAFStock[RM_Code],$A28,T_TTAFStock[WeekIndex],96),CR28+'Grid_Incoming'!CS28-'Grid_Requirement'!CS28))</f>
        <v/>
      </c>
      <c r="CT28">
        <f>IF(COUNTIFS(T_StockCount[RM_Code],$A28,T_StockCount[WeekIndex],97)&gt;0,SUMIFS(T_StockCount[CountedQty],T_StockCount[RM_Code],$A28,T_StockCount[WeekIndex],97),IF((COUNTIFS(T_SelfStock[RM_Code],$A28,T_SelfStock[WeekIndex],97)&gt;0)*(COUNTIFS(T_TTAFStock[RM_Code],$A28,T_TTAFStock[WeekIndex],97)&gt;0)&gt;0,SUMIFS(T_SelfStock[Self_Qty],T_SelfStock[RM_Code],$A28,T_SelfStock[WeekIndex],97)+SUMIFS(T_TTAFStock[TTAF_Qty],T_TTAFStock[RM_Code],$A28,T_TTAFStock[WeekIndex],97),CS28+'Grid_Incoming'!CT28-'Grid_Requirement'!CT28))</f>
        <v/>
      </c>
      <c r="CU28">
        <f>IF(COUNTIFS(T_StockCount[RM_Code],$A28,T_StockCount[WeekIndex],98)&gt;0,SUMIFS(T_StockCount[CountedQty],T_StockCount[RM_Code],$A28,T_StockCount[WeekIndex],98),IF((COUNTIFS(T_SelfStock[RM_Code],$A28,T_SelfStock[WeekIndex],98)&gt;0)*(COUNTIFS(T_TTAFStock[RM_Code],$A28,T_TTAFStock[WeekIndex],98)&gt;0)&gt;0,SUMIFS(T_SelfStock[Self_Qty],T_SelfStock[RM_Code],$A28,T_SelfStock[WeekIndex],98)+SUMIFS(T_TTAFStock[TTAF_Qty],T_TTAFStock[RM_Code],$A28,T_TTAFStock[WeekIndex],98),CT28+'Grid_Incoming'!CU28-'Grid_Requirement'!CU28))</f>
        <v/>
      </c>
      <c r="CV28">
        <f>IF(COUNTIFS(T_StockCount[RM_Code],$A28,T_StockCount[WeekIndex],99)&gt;0,SUMIFS(T_StockCount[CountedQty],T_StockCount[RM_Code],$A28,T_StockCount[WeekIndex],99),IF((COUNTIFS(T_SelfStock[RM_Code],$A28,T_SelfStock[WeekIndex],99)&gt;0)*(COUNTIFS(T_TTAFStock[RM_Code],$A28,T_TTAFStock[WeekIndex],99)&gt;0)&gt;0,SUMIFS(T_SelfStock[Self_Qty],T_SelfStock[RM_Code],$A28,T_SelfStock[WeekIndex],99)+SUMIFS(T_TTAFStock[TTAF_Qty],T_TTAFStock[RM_Code],$A28,T_TTAFStock[WeekIndex],99),CU28+'Grid_Incoming'!CV28-'Grid_Requirement'!CV28))</f>
        <v/>
      </c>
      <c r="CW28">
        <f>IF(COUNTIFS(T_StockCount[RM_Code],$A28,T_StockCount[WeekIndex],100)&gt;0,SUMIFS(T_StockCount[CountedQty],T_StockCount[RM_Code],$A28,T_StockCount[WeekIndex],100),IF((COUNTIFS(T_SelfStock[RM_Code],$A28,T_SelfStock[WeekIndex],100)&gt;0)*(COUNTIFS(T_TTAFStock[RM_Code],$A28,T_TTAFStock[WeekIndex],100)&gt;0)&gt;0,SUMIFS(T_SelfStock[Self_Qty],T_SelfStock[RM_Code],$A28,T_SelfStock[WeekIndex],100)+SUMIFS(T_TTAFStock[TTAF_Qty],T_TTAFStock[RM_Code],$A28,T_TTAFStock[WeekIndex],100),CV28+'Grid_Incoming'!CW28-'Grid_Requirement'!CW28))</f>
        <v/>
      </c>
      <c r="CX28">
        <f>IF(COUNTIFS(T_StockCount[RM_Code],$A28,T_StockCount[WeekIndex],101)&gt;0,SUMIFS(T_StockCount[CountedQty],T_StockCount[RM_Code],$A28,T_StockCount[WeekIndex],101),IF((COUNTIFS(T_SelfStock[RM_Code],$A28,T_SelfStock[WeekIndex],101)&gt;0)*(COUNTIFS(T_TTAFStock[RM_Code],$A28,T_TTAFStock[WeekIndex],101)&gt;0)&gt;0,SUMIFS(T_SelfStock[Self_Qty],T_SelfStock[RM_Code],$A28,T_SelfStock[WeekIndex],101)+SUMIFS(T_TTAFStock[TTAF_Qty],T_TTAFStock[RM_Code],$A28,T_TTAFStock[WeekIndex],101),CW28+'Grid_Incoming'!CX28-'Grid_Requirement'!CX28))</f>
        <v/>
      </c>
      <c r="CY28">
        <f>IF(COUNTIFS(T_StockCount[RM_Code],$A28,T_StockCount[WeekIndex],102)&gt;0,SUMIFS(T_StockCount[CountedQty],T_StockCount[RM_Code],$A28,T_StockCount[WeekIndex],102),IF((COUNTIFS(T_SelfStock[RM_Code],$A28,T_SelfStock[WeekIndex],102)&gt;0)*(COUNTIFS(T_TTAFStock[RM_Code],$A28,T_TTAFStock[WeekIndex],102)&gt;0)&gt;0,SUMIFS(T_SelfStock[Self_Qty],T_SelfStock[RM_Code],$A28,T_SelfStock[WeekIndex],102)+SUMIFS(T_TTAFStock[TTAF_Qty],T_TTAFStock[RM_Code],$A28,T_TTAFStock[WeekIndex],102),CX28+'Grid_Incoming'!CY28-'Grid_Requirement'!CY28))</f>
        <v/>
      </c>
      <c r="CZ28">
        <f>IF(COUNTIFS(T_StockCount[RM_Code],$A28,T_StockCount[WeekIndex],103)&gt;0,SUMIFS(T_StockCount[CountedQty],T_StockCount[RM_Code],$A28,T_StockCount[WeekIndex],103),IF((COUNTIFS(T_SelfStock[RM_Code],$A28,T_SelfStock[WeekIndex],103)&gt;0)*(COUNTIFS(T_TTAFStock[RM_Code],$A28,T_TTAFStock[WeekIndex],103)&gt;0)&gt;0,SUMIFS(T_SelfStock[Self_Qty],T_SelfStock[RM_Code],$A28,T_SelfStock[WeekIndex],103)+SUMIFS(T_TTAFStock[TTAF_Qty],T_TTAFStock[RM_Code],$A28,T_TTAFStock[WeekIndex],103),CY28+'Grid_Incoming'!CZ28-'Grid_Requirement'!CZ28))</f>
        <v/>
      </c>
      <c r="DA28">
        <f>IF(COUNTIFS(T_StockCount[RM_Code],$A28,T_StockCount[WeekIndex],104)&gt;0,SUMIFS(T_StockCount[CountedQty],T_StockCount[RM_Code],$A28,T_StockCount[WeekIndex],104),IF((COUNTIFS(T_SelfStock[RM_Code],$A28,T_SelfStock[WeekIndex],104)&gt;0)*(COUNTIFS(T_TTAFStock[RM_Code],$A28,T_TTAFStock[WeekIndex],104)&gt;0)&gt;0,SUMIFS(T_SelfStock[Self_Qty],T_SelfStock[RM_Code],$A28,T_SelfStock[WeekIndex],104)+SUMIFS(T_TTAFStock[TTAF_Qty],T_TTAFStock[RM_Code],$A28,T_TTAFStock[WeekIndex],104),CZ28+'Grid_Incoming'!DA28-'Grid_Requirement'!DA28))</f>
        <v/>
      </c>
    </row>
    <row r="29">
      <c r="A29" t="inlineStr">
        <is>
          <t>PP FILM</t>
        </is>
      </c>
      <c r="B29">
        <f>IF(COUNTIFS(T_StockCount[RM_Code],$A29,T_StockCount[WeekIndex],1)&gt;0,SUMIFS(T_StockCount[CountedQty],T_StockCount[RM_Code],$A29,T_StockCount[WeekIndex],1),IF((COUNTIFS(T_SelfStock[RM_Code],$A29,T_SelfStock[WeekIndex],1)&gt;0)*(COUNTIFS(T_TTAFStock[RM_Code],$A29,T_TTAFStock[WeekIndex],1)&gt;0)&gt;0,SUMIFS(T_SelfStock[Self_Qty],T_SelfStock[RM_Code],$A29,T_SelfStock[WeekIndex],1)+SUMIFS(T_TTAFStock[TTAF_Qty],T_TTAFStock[RM_Code],$A29,T_TTAFStock[WeekIndex],1),IFERROR(INDEX(T_OpeningStock[Opening_Qty],MATCH($A29,T_OpeningStock[RM_Code],0)),0)+'Grid_Incoming'!B29-'Grid_Requirement'!B29))</f>
        <v/>
      </c>
      <c r="C29">
        <f>IF(COUNTIFS(T_StockCount[RM_Code],$A29,T_StockCount[WeekIndex],2)&gt;0,SUMIFS(T_StockCount[CountedQty],T_StockCount[RM_Code],$A29,T_StockCount[WeekIndex],2),IF((COUNTIFS(T_SelfStock[RM_Code],$A29,T_SelfStock[WeekIndex],2)&gt;0)*(COUNTIFS(T_TTAFStock[RM_Code],$A29,T_TTAFStock[WeekIndex],2)&gt;0)&gt;0,SUMIFS(T_SelfStock[Self_Qty],T_SelfStock[RM_Code],$A29,T_SelfStock[WeekIndex],2)+SUMIFS(T_TTAFStock[TTAF_Qty],T_TTAFStock[RM_Code],$A29,T_TTAFStock[WeekIndex],2),B29+'Grid_Incoming'!C29-'Grid_Requirement'!C29))</f>
        <v/>
      </c>
      <c r="D29">
        <f>IF(COUNTIFS(T_StockCount[RM_Code],$A29,T_StockCount[WeekIndex],3)&gt;0,SUMIFS(T_StockCount[CountedQty],T_StockCount[RM_Code],$A29,T_StockCount[WeekIndex],3),IF((COUNTIFS(T_SelfStock[RM_Code],$A29,T_SelfStock[WeekIndex],3)&gt;0)*(COUNTIFS(T_TTAFStock[RM_Code],$A29,T_TTAFStock[WeekIndex],3)&gt;0)&gt;0,SUMIFS(T_SelfStock[Self_Qty],T_SelfStock[RM_Code],$A29,T_SelfStock[WeekIndex],3)+SUMIFS(T_TTAFStock[TTAF_Qty],T_TTAFStock[RM_Code],$A29,T_TTAFStock[WeekIndex],3),C29+'Grid_Incoming'!D29-'Grid_Requirement'!D29))</f>
        <v/>
      </c>
      <c r="E29">
        <f>IF(COUNTIFS(T_StockCount[RM_Code],$A29,T_StockCount[WeekIndex],4)&gt;0,SUMIFS(T_StockCount[CountedQty],T_StockCount[RM_Code],$A29,T_StockCount[WeekIndex],4),IF((COUNTIFS(T_SelfStock[RM_Code],$A29,T_SelfStock[WeekIndex],4)&gt;0)*(COUNTIFS(T_TTAFStock[RM_Code],$A29,T_TTAFStock[WeekIndex],4)&gt;0)&gt;0,SUMIFS(T_SelfStock[Self_Qty],T_SelfStock[RM_Code],$A29,T_SelfStock[WeekIndex],4)+SUMIFS(T_TTAFStock[TTAF_Qty],T_TTAFStock[RM_Code],$A29,T_TTAFStock[WeekIndex],4),D29+'Grid_Incoming'!E29-'Grid_Requirement'!E29))</f>
        <v/>
      </c>
      <c r="F29">
        <f>IF(COUNTIFS(T_StockCount[RM_Code],$A29,T_StockCount[WeekIndex],5)&gt;0,SUMIFS(T_StockCount[CountedQty],T_StockCount[RM_Code],$A29,T_StockCount[WeekIndex],5),IF((COUNTIFS(T_SelfStock[RM_Code],$A29,T_SelfStock[WeekIndex],5)&gt;0)*(COUNTIFS(T_TTAFStock[RM_Code],$A29,T_TTAFStock[WeekIndex],5)&gt;0)&gt;0,SUMIFS(T_SelfStock[Self_Qty],T_SelfStock[RM_Code],$A29,T_SelfStock[WeekIndex],5)+SUMIFS(T_TTAFStock[TTAF_Qty],T_TTAFStock[RM_Code],$A29,T_TTAFStock[WeekIndex],5),E29+'Grid_Incoming'!F29-'Grid_Requirement'!F29))</f>
        <v/>
      </c>
      <c r="G29">
        <f>IF(COUNTIFS(T_StockCount[RM_Code],$A29,T_StockCount[WeekIndex],6)&gt;0,SUMIFS(T_StockCount[CountedQty],T_StockCount[RM_Code],$A29,T_StockCount[WeekIndex],6),IF((COUNTIFS(T_SelfStock[RM_Code],$A29,T_SelfStock[WeekIndex],6)&gt;0)*(COUNTIFS(T_TTAFStock[RM_Code],$A29,T_TTAFStock[WeekIndex],6)&gt;0)&gt;0,SUMIFS(T_SelfStock[Self_Qty],T_SelfStock[RM_Code],$A29,T_SelfStock[WeekIndex],6)+SUMIFS(T_TTAFStock[TTAF_Qty],T_TTAFStock[RM_Code],$A29,T_TTAFStock[WeekIndex],6),F29+'Grid_Incoming'!G29-'Grid_Requirement'!G29))</f>
        <v/>
      </c>
      <c r="H29">
        <f>IF(COUNTIFS(T_StockCount[RM_Code],$A29,T_StockCount[WeekIndex],7)&gt;0,SUMIFS(T_StockCount[CountedQty],T_StockCount[RM_Code],$A29,T_StockCount[WeekIndex],7),IF((COUNTIFS(T_SelfStock[RM_Code],$A29,T_SelfStock[WeekIndex],7)&gt;0)*(COUNTIFS(T_TTAFStock[RM_Code],$A29,T_TTAFStock[WeekIndex],7)&gt;0)&gt;0,SUMIFS(T_SelfStock[Self_Qty],T_SelfStock[RM_Code],$A29,T_SelfStock[WeekIndex],7)+SUMIFS(T_TTAFStock[TTAF_Qty],T_TTAFStock[RM_Code],$A29,T_TTAFStock[WeekIndex],7),G29+'Grid_Incoming'!H29-'Grid_Requirement'!H29))</f>
        <v/>
      </c>
      <c r="I29">
        <f>IF(COUNTIFS(T_StockCount[RM_Code],$A29,T_StockCount[WeekIndex],8)&gt;0,SUMIFS(T_StockCount[CountedQty],T_StockCount[RM_Code],$A29,T_StockCount[WeekIndex],8),IF((COUNTIFS(T_SelfStock[RM_Code],$A29,T_SelfStock[WeekIndex],8)&gt;0)*(COUNTIFS(T_TTAFStock[RM_Code],$A29,T_TTAFStock[WeekIndex],8)&gt;0)&gt;0,SUMIFS(T_SelfStock[Self_Qty],T_SelfStock[RM_Code],$A29,T_SelfStock[WeekIndex],8)+SUMIFS(T_TTAFStock[TTAF_Qty],T_TTAFStock[RM_Code],$A29,T_TTAFStock[WeekIndex],8),H29+'Grid_Incoming'!I29-'Grid_Requirement'!I29))</f>
        <v/>
      </c>
      <c r="J29">
        <f>IF(COUNTIFS(T_StockCount[RM_Code],$A29,T_StockCount[WeekIndex],9)&gt;0,SUMIFS(T_StockCount[CountedQty],T_StockCount[RM_Code],$A29,T_StockCount[WeekIndex],9),IF((COUNTIFS(T_SelfStock[RM_Code],$A29,T_SelfStock[WeekIndex],9)&gt;0)*(COUNTIFS(T_TTAFStock[RM_Code],$A29,T_TTAFStock[WeekIndex],9)&gt;0)&gt;0,SUMIFS(T_SelfStock[Self_Qty],T_SelfStock[RM_Code],$A29,T_SelfStock[WeekIndex],9)+SUMIFS(T_TTAFStock[TTAF_Qty],T_TTAFStock[RM_Code],$A29,T_TTAFStock[WeekIndex],9),I29+'Grid_Incoming'!J29-'Grid_Requirement'!J29))</f>
        <v/>
      </c>
      <c r="K29">
        <f>IF(COUNTIFS(T_StockCount[RM_Code],$A29,T_StockCount[WeekIndex],10)&gt;0,SUMIFS(T_StockCount[CountedQty],T_StockCount[RM_Code],$A29,T_StockCount[WeekIndex],10),IF((COUNTIFS(T_SelfStock[RM_Code],$A29,T_SelfStock[WeekIndex],10)&gt;0)*(COUNTIFS(T_TTAFStock[RM_Code],$A29,T_TTAFStock[WeekIndex],10)&gt;0)&gt;0,SUMIFS(T_SelfStock[Self_Qty],T_SelfStock[RM_Code],$A29,T_SelfStock[WeekIndex],10)+SUMIFS(T_TTAFStock[TTAF_Qty],T_TTAFStock[RM_Code],$A29,T_TTAFStock[WeekIndex],10),J29+'Grid_Incoming'!K29-'Grid_Requirement'!K29))</f>
        <v/>
      </c>
      <c r="L29">
        <f>IF(COUNTIFS(T_StockCount[RM_Code],$A29,T_StockCount[WeekIndex],11)&gt;0,SUMIFS(T_StockCount[CountedQty],T_StockCount[RM_Code],$A29,T_StockCount[WeekIndex],11),IF((COUNTIFS(T_SelfStock[RM_Code],$A29,T_SelfStock[WeekIndex],11)&gt;0)*(COUNTIFS(T_TTAFStock[RM_Code],$A29,T_TTAFStock[WeekIndex],11)&gt;0)&gt;0,SUMIFS(T_SelfStock[Self_Qty],T_SelfStock[RM_Code],$A29,T_SelfStock[WeekIndex],11)+SUMIFS(T_TTAFStock[TTAF_Qty],T_TTAFStock[RM_Code],$A29,T_TTAFStock[WeekIndex],11),K29+'Grid_Incoming'!L29-'Grid_Requirement'!L29))</f>
        <v/>
      </c>
      <c r="M29">
        <f>IF(COUNTIFS(T_StockCount[RM_Code],$A29,T_StockCount[WeekIndex],12)&gt;0,SUMIFS(T_StockCount[CountedQty],T_StockCount[RM_Code],$A29,T_StockCount[WeekIndex],12),IF((COUNTIFS(T_SelfStock[RM_Code],$A29,T_SelfStock[WeekIndex],12)&gt;0)*(COUNTIFS(T_TTAFStock[RM_Code],$A29,T_TTAFStock[WeekIndex],12)&gt;0)&gt;0,SUMIFS(T_SelfStock[Self_Qty],T_SelfStock[RM_Code],$A29,T_SelfStock[WeekIndex],12)+SUMIFS(T_TTAFStock[TTAF_Qty],T_TTAFStock[RM_Code],$A29,T_TTAFStock[WeekIndex],12),L29+'Grid_Incoming'!M29-'Grid_Requirement'!M29))</f>
        <v/>
      </c>
      <c r="N29">
        <f>IF(COUNTIFS(T_StockCount[RM_Code],$A29,T_StockCount[WeekIndex],13)&gt;0,SUMIFS(T_StockCount[CountedQty],T_StockCount[RM_Code],$A29,T_StockCount[WeekIndex],13),IF((COUNTIFS(T_SelfStock[RM_Code],$A29,T_SelfStock[WeekIndex],13)&gt;0)*(COUNTIFS(T_TTAFStock[RM_Code],$A29,T_TTAFStock[WeekIndex],13)&gt;0)&gt;0,SUMIFS(T_SelfStock[Self_Qty],T_SelfStock[RM_Code],$A29,T_SelfStock[WeekIndex],13)+SUMIFS(T_TTAFStock[TTAF_Qty],T_TTAFStock[RM_Code],$A29,T_TTAFStock[WeekIndex],13),M29+'Grid_Incoming'!N29-'Grid_Requirement'!N29))</f>
        <v/>
      </c>
      <c r="O29">
        <f>IF(COUNTIFS(T_StockCount[RM_Code],$A29,T_StockCount[WeekIndex],14)&gt;0,SUMIFS(T_StockCount[CountedQty],T_StockCount[RM_Code],$A29,T_StockCount[WeekIndex],14),IF((COUNTIFS(T_SelfStock[RM_Code],$A29,T_SelfStock[WeekIndex],14)&gt;0)*(COUNTIFS(T_TTAFStock[RM_Code],$A29,T_TTAFStock[WeekIndex],14)&gt;0)&gt;0,SUMIFS(T_SelfStock[Self_Qty],T_SelfStock[RM_Code],$A29,T_SelfStock[WeekIndex],14)+SUMIFS(T_TTAFStock[TTAF_Qty],T_TTAFStock[RM_Code],$A29,T_TTAFStock[WeekIndex],14),N29+'Grid_Incoming'!O29-'Grid_Requirement'!O29))</f>
        <v/>
      </c>
      <c r="P29">
        <f>IF(COUNTIFS(T_StockCount[RM_Code],$A29,T_StockCount[WeekIndex],15)&gt;0,SUMIFS(T_StockCount[CountedQty],T_StockCount[RM_Code],$A29,T_StockCount[WeekIndex],15),IF((COUNTIFS(T_SelfStock[RM_Code],$A29,T_SelfStock[WeekIndex],15)&gt;0)*(COUNTIFS(T_TTAFStock[RM_Code],$A29,T_TTAFStock[WeekIndex],15)&gt;0)&gt;0,SUMIFS(T_SelfStock[Self_Qty],T_SelfStock[RM_Code],$A29,T_SelfStock[WeekIndex],15)+SUMIFS(T_TTAFStock[TTAF_Qty],T_TTAFStock[RM_Code],$A29,T_TTAFStock[WeekIndex],15),O29+'Grid_Incoming'!P29-'Grid_Requirement'!P29))</f>
        <v/>
      </c>
      <c r="Q29">
        <f>IF(COUNTIFS(T_StockCount[RM_Code],$A29,T_StockCount[WeekIndex],16)&gt;0,SUMIFS(T_StockCount[CountedQty],T_StockCount[RM_Code],$A29,T_StockCount[WeekIndex],16),IF((COUNTIFS(T_SelfStock[RM_Code],$A29,T_SelfStock[WeekIndex],16)&gt;0)*(COUNTIFS(T_TTAFStock[RM_Code],$A29,T_TTAFStock[WeekIndex],16)&gt;0)&gt;0,SUMIFS(T_SelfStock[Self_Qty],T_SelfStock[RM_Code],$A29,T_SelfStock[WeekIndex],16)+SUMIFS(T_TTAFStock[TTAF_Qty],T_TTAFStock[RM_Code],$A29,T_TTAFStock[WeekIndex],16),P29+'Grid_Incoming'!Q29-'Grid_Requirement'!Q29))</f>
        <v/>
      </c>
      <c r="R29">
        <f>IF(COUNTIFS(T_StockCount[RM_Code],$A29,T_StockCount[WeekIndex],17)&gt;0,SUMIFS(T_StockCount[CountedQty],T_StockCount[RM_Code],$A29,T_StockCount[WeekIndex],17),IF((COUNTIFS(T_SelfStock[RM_Code],$A29,T_SelfStock[WeekIndex],17)&gt;0)*(COUNTIFS(T_TTAFStock[RM_Code],$A29,T_TTAFStock[WeekIndex],17)&gt;0)&gt;0,SUMIFS(T_SelfStock[Self_Qty],T_SelfStock[RM_Code],$A29,T_SelfStock[WeekIndex],17)+SUMIFS(T_TTAFStock[TTAF_Qty],T_TTAFStock[RM_Code],$A29,T_TTAFStock[WeekIndex],17),Q29+'Grid_Incoming'!R29-'Grid_Requirement'!R29))</f>
        <v/>
      </c>
      <c r="S29">
        <f>IF(COUNTIFS(T_StockCount[RM_Code],$A29,T_StockCount[WeekIndex],18)&gt;0,SUMIFS(T_StockCount[CountedQty],T_StockCount[RM_Code],$A29,T_StockCount[WeekIndex],18),IF((COUNTIFS(T_SelfStock[RM_Code],$A29,T_SelfStock[WeekIndex],18)&gt;0)*(COUNTIFS(T_TTAFStock[RM_Code],$A29,T_TTAFStock[WeekIndex],18)&gt;0)&gt;0,SUMIFS(T_SelfStock[Self_Qty],T_SelfStock[RM_Code],$A29,T_SelfStock[WeekIndex],18)+SUMIFS(T_TTAFStock[TTAF_Qty],T_TTAFStock[RM_Code],$A29,T_TTAFStock[WeekIndex],18),R29+'Grid_Incoming'!S29-'Grid_Requirement'!S29))</f>
        <v/>
      </c>
      <c r="T29">
        <f>IF(COUNTIFS(T_StockCount[RM_Code],$A29,T_StockCount[WeekIndex],19)&gt;0,SUMIFS(T_StockCount[CountedQty],T_StockCount[RM_Code],$A29,T_StockCount[WeekIndex],19),IF((COUNTIFS(T_SelfStock[RM_Code],$A29,T_SelfStock[WeekIndex],19)&gt;0)*(COUNTIFS(T_TTAFStock[RM_Code],$A29,T_TTAFStock[WeekIndex],19)&gt;0)&gt;0,SUMIFS(T_SelfStock[Self_Qty],T_SelfStock[RM_Code],$A29,T_SelfStock[WeekIndex],19)+SUMIFS(T_TTAFStock[TTAF_Qty],T_TTAFStock[RM_Code],$A29,T_TTAFStock[WeekIndex],19),S29+'Grid_Incoming'!T29-'Grid_Requirement'!T29))</f>
        <v/>
      </c>
      <c r="U29">
        <f>IF(COUNTIFS(T_StockCount[RM_Code],$A29,T_StockCount[WeekIndex],20)&gt;0,SUMIFS(T_StockCount[CountedQty],T_StockCount[RM_Code],$A29,T_StockCount[WeekIndex],20),IF((COUNTIFS(T_SelfStock[RM_Code],$A29,T_SelfStock[WeekIndex],20)&gt;0)*(COUNTIFS(T_TTAFStock[RM_Code],$A29,T_TTAFStock[WeekIndex],20)&gt;0)&gt;0,SUMIFS(T_SelfStock[Self_Qty],T_SelfStock[RM_Code],$A29,T_SelfStock[WeekIndex],20)+SUMIFS(T_TTAFStock[TTAF_Qty],T_TTAFStock[RM_Code],$A29,T_TTAFStock[WeekIndex],20),T29+'Grid_Incoming'!U29-'Grid_Requirement'!U29))</f>
        <v/>
      </c>
      <c r="V29">
        <f>IF(COUNTIFS(T_StockCount[RM_Code],$A29,T_StockCount[WeekIndex],21)&gt;0,SUMIFS(T_StockCount[CountedQty],T_StockCount[RM_Code],$A29,T_StockCount[WeekIndex],21),IF((COUNTIFS(T_SelfStock[RM_Code],$A29,T_SelfStock[WeekIndex],21)&gt;0)*(COUNTIFS(T_TTAFStock[RM_Code],$A29,T_TTAFStock[WeekIndex],21)&gt;0)&gt;0,SUMIFS(T_SelfStock[Self_Qty],T_SelfStock[RM_Code],$A29,T_SelfStock[WeekIndex],21)+SUMIFS(T_TTAFStock[TTAF_Qty],T_TTAFStock[RM_Code],$A29,T_TTAFStock[WeekIndex],21),U29+'Grid_Incoming'!V29-'Grid_Requirement'!V29))</f>
        <v/>
      </c>
      <c r="W29">
        <f>IF(COUNTIFS(T_StockCount[RM_Code],$A29,T_StockCount[WeekIndex],22)&gt;0,SUMIFS(T_StockCount[CountedQty],T_StockCount[RM_Code],$A29,T_StockCount[WeekIndex],22),IF((COUNTIFS(T_SelfStock[RM_Code],$A29,T_SelfStock[WeekIndex],22)&gt;0)*(COUNTIFS(T_TTAFStock[RM_Code],$A29,T_TTAFStock[WeekIndex],22)&gt;0)&gt;0,SUMIFS(T_SelfStock[Self_Qty],T_SelfStock[RM_Code],$A29,T_SelfStock[WeekIndex],22)+SUMIFS(T_TTAFStock[TTAF_Qty],T_TTAFStock[RM_Code],$A29,T_TTAFStock[WeekIndex],22),V29+'Grid_Incoming'!W29-'Grid_Requirement'!W29))</f>
        <v/>
      </c>
      <c r="X29">
        <f>IF(COUNTIFS(T_StockCount[RM_Code],$A29,T_StockCount[WeekIndex],23)&gt;0,SUMIFS(T_StockCount[CountedQty],T_StockCount[RM_Code],$A29,T_StockCount[WeekIndex],23),IF((COUNTIFS(T_SelfStock[RM_Code],$A29,T_SelfStock[WeekIndex],23)&gt;0)*(COUNTIFS(T_TTAFStock[RM_Code],$A29,T_TTAFStock[WeekIndex],23)&gt;0)&gt;0,SUMIFS(T_SelfStock[Self_Qty],T_SelfStock[RM_Code],$A29,T_SelfStock[WeekIndex],23)+SUMIFS(T_TTAFStock[TTAF_Qty],T_TTAFStock[RM_Code],$A29,T_TTAFStock[WeekIndex],23),W29+'Grid_Incoming'!X29-'Grid_Requirement'!X29))</f>
        <v/>
      </c>
      <c r="Y29">
        <f>IF(COUNTIFS(T_StockCount[RM_Code],$A29,T_StockCount[WeekIndex],24)&gt;0,SUMIFS(T_StockCount[CountedQty],T_StockCount[RM_Code],$A29,T_StockCount[WeekIndex],24),IF((COUNTIFS(T_SelfStock[RM_Code],$A29,T_SelfStock[WeekIndex],24)&gt;0)*(COUNTIFS(T_TTAFStock[RM_Code],$A29,T_TTAFStock[WeekIndex],24)&gt;0)&gt;0,SUMIFS(T_SelfStock[Self_Qty],T_SelfStock[RM_Code],$A29,T_SelfStock[WeekIndex],24)+SUMIFS(T_TTAFStock[TTAF_Qty],T_TTAFStock[RM_Code],$A29,T_TTAFStock[WeekIndex],24),X29+'Grid_Incoming'!Y29-'Grid_Requirement'!Y29))</f>
        <v/>
      </c>
      <c r="Z29">
        <f>IF(COUNTIFS(T_StockCount[RM_Code],$A29,T_StockCount[WeekIndex],25)&gt;0,SUMIFS(T_StockCount[CountedQty],T_StockCount[RM_Code],$A29,T_StockCount[WeekIndex],25),IF((COUNTIFS(T_SelfStock[RM_Code],$A29,T_SelfStock[WeekIndex],25)&gt;0)*(COUNTIFS(T_TTAFStock[RM_Code],$A29,T_TTAFStock[WeekIndex],25)&gt;0)&gt;0,SUMIFS(T_SelfStock[Self_Qty],T_SelfStock[RM_Code],$A29,T_SelfStock[WeekIndex],25)+SUMIFS(T_TTAFStock[TTAF_Qty],T_TTAFStock[RM_Code],$A29,T_TTAFStock[WeekIndex],25),Y29+'Grid_Incoming'!Z29-'Grid_Requirement'!Z29))</f>
        <v/>
      </c>
      <c r="AA29">
        <f>IF(COUNTIFS(T_StockCount[RM_Code],$A29,T_StockCount[WeekIndex],26)&gt;0,SUMIFS(T_StockCount[CountedQty],T_StockCount[RM_Code],$A29,T_StockCount[WeekIndex],26),IF((COUNTIFS(T_SelfStock[RM_Code],$A29,T_SelfStock[WeekIndex],26)&gt;0)*(COUNTIFS(T_TTAFStock[RM_Code],$A29,T_TTAFStock[WeekIndex],26)&gt;0)&gt;0,SUMIFS(T_SelfStock[Self_Qty],T_SelfStock[RM_Code],$A29,T_SelfStock[WeekIndex],26)+SUMIFS(T_TTAFStock[TTAF_Qty],T_TTAFStock[RM_Code],$A29,T_TTAFStock[WeekIndex],26),Z29+'Grid_Incoming'!AA29-'Grid_Requirement'!AA29))</f>
        <v/>
      </c>
      <c r="AB29">
        <f>IF(COUNTIFS(T_StockCount[RM_Code],$A29,T_StockCount[WeekIndex],27)&gt;0,SUMIFS(T_StockCount[CountedQty],T_StockCount[RM_Code],$A29,T_StockCount[WeekIndex],27),IF((COUNTIFS(T_SelfStock[RM_Code],$A29,T_SelfStock[WeekIndex],27)&gt;0)*(COUNTIFS(T_TTAFStock[RM_Code],$A29,T_TTAFStock[WeekIndex],27)&gt;0)&gt;0,SUMIFS(T_SelfStock[Self_Qty],T_SelfStock[RM_Code],$A29,T_SelfStock[WeekIndex],27)+SUMIFS(T_TTAFStock[TTAF_Qty],T_TTAFStock[RM_Code],$A29,T_TTAFStock[WeekIndex],27),AA29+'Grid_Incoming'!AB29-'Grid_Requirement'!AB29))</f>
        <v/>
      </c>
      <c r="AC29">
        <f>IF(COUNTIFS(T_StockCount[RM_Code],$A29,T_StockCount[WeekIndex],28)&gt;0,SUMIFS(T_StockCount[CountedQty],T_StockCount[RM_Code],$A29,T_StockCount[WeekIndex],28),IF((COUNTIFS(T_SelfStock[RM_Code],$A29,T_SelfStock[WeekIndex],28)&gt;0)*(COUNTIFS(T_TTAFStock[RM_Code],$A29,T_TTAFStock[WeekIndex],28)&gt;0)&gt;0,SUMIFS(T_SelfStock[Self_Qty],T_SelfStock[RM_Code],$A29,T_SelfStock[WeekIndex],28)+SUMIFS(T_TTAFStock[TTAF_Qty],T_TTAFStock[RM_Code],$A29,T_TTAFStock[WeekIndex],28),AB29+'Grid_Incoming'!AC29-'Grid_Requirement'!AC29))</f>
        <v/>
      </c>
      <c r="AD29">
        <f>IF(COUNTIFS(T_StockCount[RM_Code],$A29,T_StockCount[WeekIndex],29)&gt;0,SUMIFS(T_StockCount[CountedQty],T_StockCount[RM_Code],$A29,T_StockCount[WeekIndex],29),IF((COUNTIFS(T_SelfStock[RM_Code],$A29,T_SelfStock[WeekIndex],29)&gt;0)*(COUNTIFS(T_TTAFStock[RM_Code],$A29,T_TTAFStock[WeekIndex],29)&gt;0)&gt;0,SUMIFS(T_SelfStock[Self_Qty],T_SelfStock[RM_Code],$A29,T_SelfStock[WeekIndex],29)+SUMIFS(T_TTAFStock[TTAF_Qty],T_TTAFStock[RM_Code],$A29,T_TTAFStock[WeekIndex],29),AC29+'Grid_Incoming'!AD29-'Grid_Requirement'!AD29))</f>
        <v/>
      </c>
      <c r="AE29">
        <f>IF(COUNTIFS(T_StockCount[RM_Code],$A29,T_StockCount[WeekIndex],30)&gt;0,SUMIFS(T_StockCount[CountedQty],T_StockCount[RM_Code],$A29,T_StockCount[WeekIndex],30),IF((COUNTIFS(T_SelfStock[RM_Code],$A29,T_SelfStock[WeekIndex],30)&gt;0)*(COUNTIFS(T_TTAFStock[RM_Code],$A29,T_TTAFStock[WeekIndex],30)&gt;0)&gt;0,SUMIFS(T_SelfStock[Self_Qty],T_SelfStock[RM_Code],$A29,T_SelfStock[WeekIndex],30)+SUMIFS(T_TTAFStock[TTAF_Qty],T_TTAFStock[RM_Code],$A29,T_TTAFStock[WeekIndex],30),AD29+'Grid_Incoming'!AE29-'Grid_Requirement'!AE29))</f>
        <v/>
      </c>
      <c r="AF29">
        <f>IF(COUNTIFS(T_StockCount[RM_Code],$A29,T_StockCount[WeekIndex],31)&gt;0,SUMIFS(T_StockCount[CountedQty],T_StockCount[RM_Code],$A29,T_StockCount[WeekIndex],31),IF((COUNTIFS(T_SelfStock[RM_Code],$A29,T_SelfStock[WeekIndex],31)&gt;0)*(COUNTIFS(T_TTAFStock[RM_Code],$A29,T_TTAFStock[WeekIndex],31)&gt;0)&gt;0,SUMIFS(T_SelfStock[Self_Qty],T_SelfStock[RM_Code],$A29,T_SelfStock[WeekIndex],31)+SUMIFS(T_TTAFStock[TTAF_Qty],T_TTAFStock[RM_Code],$A29,T_TTAFStock[WeekIndex],31),AE29+'Grid_Incoming'!AF29-'Grid_Requirement'!AF29))</f>
        <v/>
      </c>
      <c r="AG29">
        <f>IF(COUNTIFS(T_StockCount[RM_Code],$A29,T_StockCount[WeekIndex],32)&gt;0,SUMIFS(T_StockCount[CountedQty],T_StockCount[RM_Code],$A29,T_StockCount[WeekIndex],32),IF((COUNTIFS(T_SelfStock[RM_Code],$A29,T_SelfStock[WeekIndex],32)&gt;0)*(COUNTIFS(T_TTAFStock[RM_Code],$A29,T_TTAFStock[WeekIndex],32)&gt;0)&gt;0,SUMIFS(T_SelfStock[Self_Qty],T_SelfStock[RM_Code],$A29,T_SelfStock[WeekIndex],32)+SUMIFS(T_TTAFStock[TTAF_Qty],T_TTAFStock[RM_Code],$A29,T_TTAFStock[WeekIndex],32),AF29+'Grid_Incoming'!AG29-'Grid_Requirement'!AG29))</f>
        <v/>
      </c>
      <c r="AH29">
        <f>IF(COUNTIFS(T_StockCount[RM_Code],$A29,T_StockCount[WeekIndex],33)&gt;0,SUMIFS(T_StockCount[CountedQty],T_StockCount[RM_Code],$A29,T_StockCount[WeekIndex],33),IF((COUNTIFS(T_SelfStock[RM_Code],$A29,T_SelfStock[WeekIndex],33)&gt;0)*(COUNTIFS(T_TTAFStock[RM_Code],$A29,T_TTAFStock[WeekIndex],33)&gt;0)&gt;0,SUMIFS(T_SelfStock[Self_Qty],T_SelfStock[RM_Code],$A29,T_SelfStock[WeekIndex],33)+SUMIFS(T_TTAFStock[TTAF_Qty],T_TTAFStock[RM_Code],$A29,T_TTAFStock[WeekIndex],33),AG29+'Grid_Incoming'!AH29-'Grid_Requirement'!AH29))</f>
        <v/>
      </c>
      <c r="AI29">
        <f>IF(COUNTIFS(T_StockCount[RM_Code],$A29,T_StockCount[WeekIndex],34)&gt;0,SUMIFS(T_StockCount[CountedQty],T_StockCount[RM_Code],$A29,T_StockCount[WeekIndex],34),IF((COUNTIFS(T_SelfStock[RM_Code],$A29,T_SelfStock[WeekIndex],34)&gt;0)*(COUNTIFS(T_TTAFStock[RM_Code],$A29,T_TTAFStock[WeekIndex],34)&gt;0)&gt;0,SUMIFS(T_SelfStock[Self_Qty],T_SelfStock[RM_Code],$A29,T_SelfStock[WeekIndex],34)+SUMIFS(T_TTAFStock[TTAF_Qty],T_TTAFStock[RM_Code],$A29,T_TTAFStock[WeekIndex],34),AH29+'Grid_Incoming'!AI29-'Grid_Requirement'!AI29))</f>
        <v/>
      </c>
      <c r="AJ29">
        <f>IF(COUNTIFS(T_StockCount[RM_Code],$A29,T_StockCount[WeekIndex],35)&gt;0,SUMIFS(T_StockCount[CountedQty],T_StockCount[RM_Code],$A29,T_StockCount[WeekIndex],35),IF((COUNTIFS(T_SelfStock[RM_Code],$A29,T_SelfStock[WeekIndex],35)&gt;0)*(COUNTIFS(T_TTAFStock[RM_Code],$A29,T_TTAFStock[WeekIndex],35)&gt;0)&gt;0,SUMIFS(T_SelfStock[Self_Qty],T_SelfStock[RM_Code],$A29,T_SelfStock[WeekIndex],35)+SUMIFS(T_TTAFStock[TTAF_Qty],T_TTAFStock[RM_Code],$A29,T_TTAFStock[WeekIndex],35),AI29+'Grid_Incoming'!AJ29-'Grid_Requirement'!AJ29))</f>
        <v/>
      </c>
      <c r="AK29">
        <f>IF(COUNTIFS(T_StockCount[RM_Code],$A29,T_StockCount[WeekIndex],36)&gt;0,SUMIFS(T_StockCount[CountedQty],T_StockCount[RM_Code],$A29,T_StockCount[WeekIndex],36),IF((COUNTIFS(T_SelfStock[RM_Code],$A29,T_SelfStock[WeekIndex],36)&gt;0)*(COUNTIFS(T_TTAFStock[RM_Code],$A29,T_TTAFStock[WeekIndex],36)&gt;0)&gt;0,SUMIFS(T_SelfStock[Self_Qty],T_SelfStock[RM_Code],$A29,T_SelfStock[WeekIndex],36)+SUMIFS(T_TTAFStock[TTAF_Qty],T_TTAFStock[RM_Code],$A29,T_TTAFStock[WeekIndex],36),AJ29+'Grid_Incoming'!AK29-'Grid_Requirement'!AK29))</f>
        <v/>
      </c>
      <c r="AL29">
        <f>IF(COUNTIFS(T_StockCount[RM_Code],$A29,T_StockCount[WeekIndex],37)&gt;0,SUMIFS(T_StockCount[CountedQty],T_StockCount[RM_Code],$A29,T_StockCount[WeekIndex],37),IF((COUNTIFS(T_SelfStock[RM_Code],$A29,T_SelfStock[WeekIndex],37)&gt;0)*(COUNTIFS(T_TTAFStock[RM_Code],$A29,T_TTAFStock[WeekIndex],37)&gt;0)&gt;0,SUMIFS(T_SelfStock[Self_Qty],T_SelfStock[RM_Code],$A29,T_SelfStock[WeekIndex],37)+SUMIFS(T_TTAFStock[TTAF_Qty],T_TTAFStock[RM_Code],$A29,T_TTAFStock[WeekIndex],37),AK29+'Grid_Incoming'!AL29-'Grid_Requirement'!AL29))</f>
        <v/>
      </c>
      <c r="AM29">
        <f>IF(COUNTIFS(T_StockCount[RM_Code],$A29,T_StockCount[WeekIndex],38)&gt;0,SUMIFS(T_StockCount[CountedQty],T_StockCount[RM_Code],$A29,T_StockCount[WeekIndex],38),IF((COUNTIFS(T_SelfStock[RM_Code],$A29,T_SelfStock[WeekIndex],38)&gt;0)*(COUNTIFS(T_TTAFStock[RM_Code],$A29,T_TTAFStock[WeekIndex],38)&gt;0)&gt;0,SUMIFS(T_SelfStock[Self_Qty],T_SelfStock[RM_Code],$A29,T_SelfStock[WeekIndex],38)+SUMIFS(T_TTAFStock[TTAF_Qty],T_TTAFStock[RM_Code],$A29,T_TTAFStock[WeekIndex],38),AL29+'Grid_Incoming'!AM29-'Grid_Requirement'!AM29))</f>
        <v/>
      </c>
      <c r="AN29">
        <f>IF(COUNTIFS(T_StockCount[RM_Code],$A29,T_StockCount[WeekIndex],39)&gt;0,SUMIFS(T_StockCount[CountedQty],T_StockCount[RM_Code],$A29,T_StockCount[WeekIndex],39),IF((COUNTIFS(T_SelfStock[RM_Code],$A29,T_SelfStock[WeekIndex],39)&gt;0)*(COUNTIFS(T_TTAFStock[RM_Code],$A29,T_TTAFStock[WeekIndex],39)&gt;0)&gt;0,SUMIFS(T_SelfStock[Self_Qty],T_SelfStock[RM_Code],$A29,T_SelfStock[WeekIndex],39)+SUMIFS(T_TTAFStock[TTAF_Qty],T_TTAFStock[RM_Code],$A29,T_TTAFStock[WeekIndex],39),AM29+'Grid_Incoming'!AN29-'Grid_Requirement'!AN29))</f>
        <v/>
      </c>
      <c r="AO29">
        <f>IF(COUNTIFS(T_StockCount[RM_Code],$A29,T_StockCount[WeekIndex],40)&gt;0,SUMIFS(T_StockCount[CountedQty],T_StockCount[RM_Code],$A29,T_StockCount[WeekIndex],40),IF((COUNTIFS(T_SelfStock[RM_Code],$A29,T_SelfStock[WeekIndex],40)&gt;0)*(COUNTIFS(T_TTAFStock[RM_Code],$A29,T_TTAFStock[WeekIndex],40)&gt;0)&gt;0,SUMIFS(T_SelfStock[Self_Qty],T_SelfStock[RM_Code],$A29,T_SelfStock[WeekIndex],40)+SUMIFS(T_TTAFStock[TTAF_Qty],T_TTAFStock[RM_Code],$A29,T_TTAFStock[WeekIndex],40),AN29+'Grid_Incoming'!AO29-'Grid_Requirement'!AO29))</f>
        <v/>
      </c>
      <c r="AP29">
        <f>IF(COUNTIFS(T_StockCount[RM_Code],$A29,T_StockCount[WeekIndex],41)&gt;0,SUMIFS(T_StockCount[CountedQty],T_StockCount[RM_Code],$A29,T_StockCount[WeekIndex],41),IF((COUNTIFS(T_SelfStock[RM_Code],$A29,T_SelfStock[WeekIndex],41)&gt;0)*(COUNTIFS(T_TTAFStock[RM_Code],$A29,T_TTAFStock[WeekIndex],41)&gt;0)&gt;0,SUMIFS(T_SelfStock[Self_Qty],T_SelfStock[RM_Code],$A29,T_SelfStock[WeekIndex],41)+SUMIFS(T_TTAFStock[TTAF_Qty],T_TTAFStock[RM_Code],$A29,T_TTAFStock[WeekIndex],41),AO29+'Grid_Incoming'!AP29-'Grid_Requirement'!AP29))</f>
        <v/>
      </c>
      <c r="AQ29">
        <f>IF(COUNTIFS(T_StockCount[RM_Code],$A29,T_StockCount[WeekIndex],42)&gt;0,SUMIFS(T_StockCount[CountedQty],T_StockCount[RM_Code],$A29,T_StockCount[WeekIndex],42),IF((COUNTIFS(T_SelfStock[RM_Code],$A29,T_SelfStock[WeekIndex],42)&gt;0)*(COUNTIFS(T_TTAFStock[RM_Code],$A29,T_TTAFStock[WeekIndex],42)&gt;0)&gt;0,SUMIFS(T_SelfStock[Self_Qty],T_SelfStock[RM_Code],$A29,T_SelfStock[WeekIndex],42)+SUMIFS(T_TTAFStock[TTAF_Qty],T_TTAFStock[RM_Code],$A29,T_TTAFStock[WeekIndex],42),AP29+'Grid_Incoming'!AQ29-'Grid_Requirement'!AQ29))</f>
        <v/>
      </c>
      <c r="AR29">
        <f>IF(COUNTIFS(T_StockCount[RM_Code],$A29,T_StockCount[WeekIndex],43)&gt;0,SUMIFS(T_StockCount[CountedQty],T_StockCount[RM_Code],$A29,T_StockCount[WeekIndex],43),IF((COUNTIFS(T_SelfStock[RM_Code],$A29,T_SelfStock[WeekIndex],43)&gt;0)*(COUNTIFS(T_TTAFStock[RM_Code],$A29,T_TTAFStock[WeekIndex],43)&gt;0)&gt;0,SUMIFS(T_SelfStock[Self_Qty],T_SelfStock[RM_Code],$A29,T_SelfStock[WeekIndex],43)+SUMIFS(T_TTAFStock[TTAF_Qty],T_TTAFStock[RM_Code],$A29,T_TTAFStock[WeekIndex],43),AQ29+'Grid_Incoming'!AR29-'Grid_Requirement'!AR29))</f>
        <v/>
      </c>
      <c r="AS29">
        <f>IF(COUNTIFS(T_StockCount[RM_Code],$A29,T_StockCount[WeekIndex],44)&gt;0,SUMIFS(T_StockCount[CountedQty],T_StockCount[RM_Code],$A29,T_StockCount[WeekIndex],44),IF((COUNTIFS(T_SelfStock[RM_Code],$A29,T_SelfStock[WeekIndex],44)&gt;0)*(COUNTIFS(T_TTAFStock[RM_Code],$A29,T_TTAFStock[WeekIndex],44)&gt;0)&gt;0,SUMIFS(T_SelfStock[Self_Qty],T_SelfStock[RM_Code],$A29,T_SelfStock[WeekIndex],44)+SUMIFS(T_TTAFStock[TTAF_Qty],T_TTAFStock[RM_Code],$A29,T_TTAFStock[WeekIndex],44),AR29+'Grid_Incoming'!AS29-'Grid_Requirement'!AS29))</f>
        <v/>
      </c>
      <c r="AT29">
        <f>IF(COUNTIFS(T_StockCount[RM_Code],$A29,T_StockCount[WeekIndex],45)&gt;0,SUMIFS(T_StockCount[CountedQty],T_StockCount[RM_Code],$A29,T_StockCount[WeekIndex],45),IF((COUNTIFS(T_SelfStock[RM_Code],$A29,T_SelfStock[WeekIndex],45)&gt;0)*(COUNTIFS(T_TTAFStock[RM_Code],$A29,T_TTAFStock[WeekIndex],45)&gt;0)&gt;0,SUMIFS(T_SelfStock[Self_Qty],T_SelfStock[RM_Code],$A29,T_SelfStock[WeekIndex],45)+SUMIFS(T_TTAFStock[TTAF_Qty],T_TTAFStock[RM_Code],$A29,T_TTAFStock[WeekIndex],45),AS29+'Grid_Incoming'!AT29-'Grid_Requirement'!AT29))</f>
        <v/>
      </c>
      <c r="AU29">
        <f>IF(COUNTIFS(T_StockCount[RM_Code],$A29,T_StockCount[WeekIndex],46)&gt;0,SUMIFS(T_StockCount[CountedQty],T_StockCount[RM_Code],$A29,T_StockCount[WeekIndex],46),IF((COUNTIFS(T_SelfStock[RM_Code],$A29,T_SelfStock[WeekIndex],46)&gt;0)*(COUNTIFS(T_TTAFStock[RM_Code],$A29,T_TTAFStock[WeekIndex],46)&gt;0)&gt;0,SUMIFS(T_SelfStock[Self_Qty],T_SelfStock[RM_Code],$A29,T_SelfStock[WeekIndex],46)+SUMIFS(T_TTAFStock[TTAF_Qty],T_TTAFStock[RM_Code],$A29,T_TTAFStock[WeekIndex],46),AT29+'Grid_Incoming'!AU29-'Grid_Requirement'!AU29))</f>
        <v/>
      </c>
      <c r="AV29">
        <f>IF(COUNTIFS(T_StockCount[RM_Code],$A29,T_StockCount[WeekIndex],47)&gt;0,SUMIFS(T_StockCount[CountedQty],T_StockCount[RM_Code],$A29,T_StockCount[WeekIndex],47),IF((COUNTIFS(T_SelfStock[RM_Code],$A29,T_SelfStock[WeekIndex],47)&gt;0)*(COUNTIFS(T_TTAFStock[RM_Code],$A29,T_TTAFStock[WeekIndex],47)&gt;0)&gt;0,SUMIFS(T_SelfStock[Self_Qty],T_SelfStock[RM_Code],$A29,T_SelfStock[WeekIndex],47)+SUMIFS(T_TTAFStock[TTAF_Qty],T_TTAFStock[RM_Code],$A29,T_TTAFStock[WeekIndex],47),AU29+'Grid_Incoming'!AV29-'Grid_Requirement'!AV29))</f>
        <v/>
      </c>
      <c r="AW29">
        <f>IF(COUNTIFS(T_StockCount[RM_Code],$A29,T_StockCount[WeekIndex],48)&gt;0,SUMIFS(T_StockCount[CountedQty],T_StockCount[RM_Code],$A29,T_StockCount[WeekIndex],48),IF((COUNTIFS(T_SelfStock[RM_Code],$A29,T_SelfStock[WeekIndex],48)&gt;0)*(COUNTIFS(T_TTAFStock[RM_Code],$A29,T_TTAFStock[WeekIndex],48)&gt;0)&gt;0,SUMIFS(T_SelfStock[Self_Qty],T_SelfStock[RM_Code],$A29,T_SelfStock[WeekIndex],48)+SUMIFS(T_TTAFStock[TTAF_Qty],T_TTAFStock[RM_Code],$A29,T_TTAFStock[WeekIndex],48),AV29+'Grid_Incoming'!AW29-'Grid_Requirement'!AW29))</f>
        <v/>
      </c>
      <c r="AX29">
        <f>IF(COUNTIFS(T_StockCount[RM_Code],$A29,T_StockCount[WeekIndex],49)&gt;0,SUMIFS(T_StockCount[CountedQty],T_StockCount[RM_Code],$A29,T_StockCount[WeekIndex],49),IF((COUNTIFS(T_SelfStock[RM_Code],$A29,T_SelfStock[WeekIndex],49)&gt;0)*(COUNTIFS(T_TTAFStock[RM_Code],$A29,T_TTAFStock[WeekIndex],49)&gt;0)&gt;0,SUMIFS(T_SelfStock[Self_Qty],T_SelfStock[RM_Code],$A29,T_SelfStock[WeekIndex],49)+SUMIFS(T_TTAFStock[TTAF_Qty],T_TTAFStock[RM_Code],$A29,T_TTAFStock[WeekIndex],49),AW29+'Grid_Incoming'!AX29-'Grid_Requirement'!AX29))</f>
        <v/>
      </c>
      <c r="AY29">
        <f>IF(COUNTIFS(T_StockCount[RM_Code],$A29,T_StockCount[WeekIndex],50)&gt;0,SUMIFS(T_StockCount[CountedQty],T_StockCount[RM_Code],$A29,T_StockCount[WeekIndex],50),IF((COUNTIFS(T_SelfStock[RM_Code],$A29,T_SelfStock[WeekIndex],50)&gt;0)*(COUNTIFS(T_TTAFStock[RM_Code],$A29,T_TTAFStock[WeekIndex],50)&gt;0)&gt;0,SUMIFS(T_SelfStock[Self_Qty],T_SelfStock[RM_Code],$A29,T_SelfStock[WeekIndex],50)+SUMIFS(T_TTAFStock[TTAF_Qty],T_TTAFStock[RM_Code],$A29,T_TTAFStock[WeekIndex],50),AX29+'Grid_Incoming'!AY29-'Grid_Requirement'!AY29))</f>
        <v/>
      </c>
      <c r="AZ29">
        <f>IF(COUNTIFS(T_StockCount[RM_Code],$A29,T_StockCount[WeekIndex],51)&gt;0,SUMIFS(T_StockCount[CountedQty],T_StockCount[RM_Code],$A29,T_StockCount[WeekIndex],51),IF((COUNTIFS(T_SelfStock[RM_Code],$A29,T_SelfStock[WeekIndex],51)&gt;0)*(COUNTIFS(T_TTAFStock[RM_Code],$A29,T_TTAFStock[WeekIndex],51)&gt;0)&gt;0,SUMIFS(T_SelfStock[Self_Qty],T_SelfStock[RM_Code],$A29,T_SelfStock[WeekIndex],51)+SUMIFS(T_TTAFStock[TTAF_Qty],T_TTAFStock[RM_Code],$A29,T_TTAFStock[WeekIndex],51),AY29+'Grid_Incoming'!AZ29-'Grid_Requirement'!AZ29))</f>
        <v/>
      </c>
      <c r="BA29">
        <f>IF(COUNTIFS(T_StockCount[RM_Code],$A29,T_StockCount[WeekIndex],52)&gt;0,SUMIFS(T_StockCount[CountedQty],T_StockCount[RM_Code],$A29,T_StockCount[WeekIndex],52),IF((COUNTIFS(T_SelfStock[RM_Code],$A29,T_SelfStock[WeekIndex],52)&gt;0)*(COUNTIFS(T_TTAFStock[RM_Code],$A29,T_TTAFStock[WeekIndex],52)&gt;0)&gt;0,SUMIFS(T_SelfStock[Self_Qty],T_SelfStock[RM_Code],$A29,T_SelfStock[WeekIndex],52)+SUMIFS(T_TTAFStock[TTAF_Qty],T_TTAFStock[RM_Code],$A29,T_TTAFStock[WeekIndex],52),AZ29+'Grid_Incoming'!BA29-'Grid_Requirement'!BA29))</f>
        <v/>
      </c>
      <c r="BB29">
        <f>IF(COUNTIFS(T_StockCount[RM_Code],$A29,T_StockCount[WeekIndex],53)&gt;0,SUMIFS(T_StockCount[CountedQty],T_StockCount[RM_Code],$A29,T_StockCount[WeekIndex],53),IF((COUNTIFS(T_SelfStock[RM_Code],$A29,T_SelfStock[WeekIndex],53)&gt;0)*(COUNTIFS(T_TTAFStock[RM_Code],$A29,T_TTAFStock[WeekIndex],53)&gt;0)&gt;0,SUMIFS(T_SelfStock[Self_Qty],T_SelfStock[RM_Code],$A29,T_SelfStock[WeekIndex],53)+SUMIFS(T_TTAFStock[TTAF_Qty],T_TTAFStock[RM_Code],$A29,T_TTAFStock[WeekIndex],53),BA29+'Grid_Incoming'!BB29-'Grid_Requirement'!BB29))</f>
        <v/>
      </c>
      <c r="BC29">
        <f>IF(COUNTIFS(T_StockCount[RM_Code],$A29,T_StockCount[WeekIndex],54)&gt;0,SUMIFS(T_StockCount[CountedQty],T_StockCount[RM_Code],$A29,T_StockCount[WeekIndex],54),IF((COUNTIFS(T_SelfStock[RM_Code],$A29,T_SelfStock[WeekIndex],54)&gt;0)*(COUNTIFS(T_TTAFStock[RM_Code],$A29,T_TTAFStock[WeekIndex],54)&gt;0)&gt;0,SUMIFS(T_SelfStock[Self_Qty],T_SelfStock[RM_Code],$A29,T_SelfStock[WeekIndex],54)+SUMIFS(T_TTAFStock[TTAF_Qty],T_TTAFStock[RM_Code],$A29,T_TTAFStock[WeekIndex],54),BB29+'Grid_Incoming'!BC29-'Grid_Requirement'!BC29))</f>
        <v/>
      </c>
      <c r="BD29">
        <f>IF(COUNTIFS(T_StockCount[RM_Code],$A29,T_StockCount[WeekIndex],55)&gt;0,SUMIFS(T_StockCount[CountedQty],T_StockCount[RM_Code],$A29,T_StockCount[WeekIndex],55),IF((COUNTIFS(T_SelfStock[RM_Code],$A29,T_SelfStock[WeekIndex],55)&gt;0)*(COUNTIFS(T_TTAFStock[RM_Code],$A29,T_TTAFStock[WeekIndex],55)&gt;0)&gt;0,SUMIFS(T_SelfStock[Self_Qty],T_SelfStock[RM_Code],$A29,T_SelfStock[WeekIndex],55)+SUMIFS(T_TTAFStock[TTAF_Qty],T_TTAFStock[RM_Code],$A29,T_TTAFStock[WeekIndex],55),BC29+'Grid_Incoming'!BD29-'Grid_Requirement'!BD29))</f>
        <v/>
      </c>
      <c r="BE29">
        <f>IF(COUNTIFS(T_StockCount[RM_Code],$A29,T_StockCount[WeekIndex],56)&gt;0,SUMIFS(T_StockCount[CountedQty],T_StockCount[RM_Code],$A29,T_StockCount[WeekIndex],56),IF((COUNTIFS(T_SelfStock[RM_Code],$A29,T_SelfStock[WeekIndex],56)&gt;0)*(COUNTIFS(T_TTAFStock[RM_Code],$A29,T_TTAFStock[WeekIndex],56)&gt;0)&gt;0,SUMIFS(T_SelfStock[Self_Qty],T_SelfStock[RM_Code],$A29,T_SelfStock[WeekIndex],56)+SUMIFS(T_TTAFStock[TTAF_Qty],T_TTAFStock[RM_Code],$A29,T_TTAFStock[WeekIndex],56),BD29+'Grid_Incoming'!BE29-'Grid_Requirement'!BE29))</f>
        <v/>
      </c>
      <c r="BF29">
        <f>IF(COUNTIFS(T_StockCount[RM_Code],$A29,T_StockCount[WeekIndex],57)&gt;0,SUMIFS(T_StockCount[CountedQty],T_StockCount[RM_Code],$A29,T_StockCount[WeekIndex],57),IF((COUNTIFS(T_SelfStock[RM_Code],$A29,T_SelfStock[WeekIndex],57)&gt;0)*(COUNTIFS(T_TTAFStock[RM_Code],$A29,T_TTAFStock[WeekIndex],57)&gt;0)&gt;0,SUMIFS(T_SelfStock[Self_Qty],T_SelfStock[RM_Code],$A29,T_SelfStock[WeekIndex],57)+SUMIFS(T_TTAFStock[TTAF_Qty],T_TTAFStock[RM_Code],$A29,T_TTAFStock[WeekIndex],57),BE29+'Grid_Incoming'!BF29-'Grid_Requirement'!BF29))</f>
        <v/>
      </c>
      <c r="BG29">
        <f>IF(COUNTIFS(T_StockCount[RM_Code],$A29,T_StockCount[WeekIndex],58)&gt;0,SUMIFS(T_StockCount[CountedQty],T_StockCount[RM_Code],$A29,T_StockCount[WeekIndex],58),IF((COUNTIFS(T_SelfStock[RM_Code],$A29,T_SelfStock[WeekIndex],58)&gt;0)*(COUNTIFS(T_TTAFStock[RM_Code],$A29,T_TTAFStock[WeekIndex],58)&gt;0)&gt;0,SUMIFS(T_SelfStock[Self_Qty],T_SelfStock[RM_Code],$A29,T_SelfStock[WeekIndex],58)+SUMIFS(T_TTAFStock[TTAF_Qty],T_TTAFStock[RM_Code],$A29,T_TTAFStock[WeekIndex],58),BF29+'Grid_Incoming'!BG29-'Grid_Requirement'!BG29))</f>
        <v/>
      </c>
      <c r="BH29">
        <f>IF(COUNTIFS(T_StockCount[RM_Code],$A29,T_StockCount[WeekIndex],59)&gt;0,SUMIFS(T_StockCount[CountedQty],T_StockCount[RM_Code],$A29,T_StockCount[WeekIndex],59),IF((COUNTIFS(T_SelfStock[RM_Code],$A29,T_SelfStock[WeekIndex],59)&gt;0)*(COUNTIFS(T_TTAFStock[RM_Code],$A29,T_TTAFStock[WeekIndex],59)&gt;0)&gt;0,SUMIFS(T_SelfStock[Self_Qty],T_SelfStock[RM_Code],$A29,T_SelfStock[WeekIndex],59)+SUMIFS(T_TTAFStock[TTAF_Qty],T_TTAFStock[RM_Code],$A29,T_TTAFStock[WeekIndex],59),BG29+'Grid_Incoming'!BH29-'Grid_Requirement'!BH29))</f>
        <v/>
      </c>
      <c r="BI29">
        <f>IF(COUNTIFS(T_StockCount[RM_Code],$A29,T_StockCount[WeekIndex],60)&gt;0,SUMIFS(T_StockCount[CountedQty],T_StockCount[RM_Code],$A29,T_StockCount[WeekIndex],60),IF((COUNTIFS(T_SelfStock[RM_Code],$A29,T_SelfStock[WeekIndex],60)&gt;0)*(COUNTIFS(T_TTAFStock[RM_Code],$A29,T_TTAFStock[WeekIndex],60)&gt;0)&gt;0,SUMIFS(T_SelfStock[Self_Qty],T_SelfStock[RM_Code],$A29,T_SelfStock[WeekIndex],60)+SUMIFS(T_TTAFStock[TTAF_Qty],T_TTAFStock[RM_Code],$A29,T_TTAFStock[WeekIndex],60),BH29+'Grid_Incoming'!BI29-'Grid_Requirement'!BI29))</f>
        <v/>
      </c>
      <c r="BJ29">
        <f>IF(COUNTIFS(T_StockCount[RM_Code],$A29,T_StockCount[WeekIndex],61)&gt;0,SUMIFS(T_StockCount[CountedQty],T_StockCount[RM_Code],$A29,T_StockCount[WeekIndex],61),IF((COUNTIFS(T_SelfStock[RM_Code],$A29,T_SelfStock[WeekIndex],61)&gt;0)*(COUNTIFS(T_TTAFStock[RM_Code],$A29,T_TTAFStock[WeekIndex],61)&gt;0)&gt;0,SUMIFS(T_SelfStock[Self_Qty],T_SelfStock[RM_Code],$A29,T_SelfStock[WeekIndex],61)+SUMIFS(T_TTAFStock[TTAF_Qty],T_TTAFStock[RM_Code],$A29,T_TTAFStock[WeekIndex],61),BI29+'Grid_Incoming'!BJ29-'Grid_Requirement'!BJ29))</f>
        <v/>
      </c>
      <c r="BK29">
        <f>IF(COUNTIFS(T_StockCount[RM_Code],$A29,T_StockCount[WeekIndex],62)&gt;0,SUMIFS(T_StockCount[CountedQty],T_StockCount[RM_Code],$A29,T_StockCount[WeekIndex],62),IF((COUNTIFS(T_SelfStock[RM_Code],$A29,T_SelfStock[WeekIndex],62)&gt;0)*(COUNTIFS(T_TTAFStock[RM_Code],$A29,T_TTAFStock[WeekIndex],62)&gt;0)&gt;0,SUMIFS(T_SelfStock[Self_Qty],T_SelfStock[RM_Code],$A29,T_SelfStock[WeekIndex],62)+SUMIFS(T_TTAFStock[TTAF_Qty],T_TTAFStock[RM_Code],$A29,T_TTAFStock[WeekIndex],62),BJ29+'Grid_Incoming'!BK29-'Grid_Requirement'!BK29))</f>
        <v/>
      </c>
      <c r="BL29">
        <f>IF(COUNTIFS(T_StockCount[RM_Code],$A29,T_StockCount[WeekIndex],63)&gt;0,SUMIFS(T_StockCount[CountedQty],T_StockCount[RM_Code],$A29,T_StockCount[WeekIndex],63),IF((COUNTIFS(T_SelfStock[RM_Code],$A29,T_SelfStock[WeekIndex],63)&gt;0)*(COUNTIFS(T_TTAFStock[RM_Code],$A29,T_TTAFStock[WeekIndex],63)&gt;0)&gt;0,SUMIFS(T_SelfStock[Self_Qty],T_SelfStock[RM_Code],$A29,T_SelfStock[WeekIndex],63)+SUMIFS(T_TTAFStock[TTAF_Qty],T_TTAFStock[RM_Code],$A29,T_TTAFStock[WeekIndex],63),BK29+'Grid_Incoming'!BL29-'Grid_Requirement'!BL29))</f>
        <v/>
      </c>
      <c r="BM29">
        <f>IF(COUNTIFS(T_StockCount[RM_Code],$A29,T_StockCount[WeekIndex],64)&gt;0,SUMIFS(T_StockCount[CountedQty],T_StockCount[RM_Code],$A29,T_StockCount[WeekIndex],64),IF((COUNTIFS(T_SelfStock[RM_Code],$A29,T_SelfStock[WeekIndex],64)&gt;0)*(COUNTIFS(T_TTAFStock[RM_Code],$A29,T_TTAFStock[WeekIndex],64)&gt;0)&gt;0,SUMIFS(T_SelfStock[Self_Qty],T_SelfStock[RM_Code],$A29,T_SelfStock[WeekIndex],64)+SUMIFS(T_TTAFStock[TTAF_Qty],T_TTAFStock[RM_Code],$A29,T_TTAFStock[WeekIndex],64),BL29+'Grid_Incoming'!BM29-'Grid_Requirement'!BM29))</f>
        <v/>
      </c>
      <c r="BN29">
        <f>IF(COUNTIFS(T_StockCount[RM_Code],$A29,T_StockCount[WeekIndex],65)&gt;0,SUMIFS(T_StockCount[CountedQty],T_StockCount[RM_Code],$A29,T_StockCount[WeekIndex],65),IF((COUNTIFS(T_SelfStock[RM_Code],$A29,T_SelfStock[WeekIndex],65)&gt;0)*(COUNTIFS(T_TTAFStock[RM_Code],$A29,T_TTAFStock[WeekIndex],65)&gt;0)&gt;0,SUMIFS(T_SelfStock[Self_Qty],T_SelfStock[RM_Code],$A29,T_SelfStock[WeekIndex],65)+SUMIFS(T_TTAFStock[TTAF_Qty],T_TTAFStock[RM_Code],$A29,T_TTAFStock[WeekIndex],65),BM29+'Grid_Incoming'!BN29-'Grid_Requirement'!BN29))</f>
        <v/>
      </c>
      <c r="BO29">
        <f>IF(COUNTIFS(T_StockCount[RM_Code],$A29,T_StockCount[WeekIndex],66)&gt;0,SUMIFS(T_StockCount[CountedQty],T_StockCount[RM_Code],$A29,T_StockCount[WeekIndex],66),IF((COUNTIFS(T_SelfStock[RM_Code],$A29,T_SelfStock[WeekIndex],66)&gt;0)*(COUNTIFS(T_TTAFStock[RM_Code],$A29,T_TTAFStock[WeekIndex],66)&gt;0)&gt;0,SUMIFS(T_SelfStock[Self_Qty],T_SelfStock[RM_Code],$A29,T_SelfStock[WeekIndex],66)+SUMIFS(T_TTAFStock[TTAF_Qty],T_TTAFStock[RM_Code],$A29,T_TTAFStock[WeekIndex],66),BN29+'Grid_Incoming'!BO29-'Grid_Requirement'!BO29))</f>
        <v/>
      </c>
      <c r="BP29">
        <f>IF(COUNTIFS(T_StockCount[RM_Code],$A29,T_StockCount[WeekIndex],67)&gt;0,SUMIFS(T_StockCount[CountedQty],T_StockCount[RM_Code],$A29,T_StockCount[WeekIndex],67),IF((COUNTIFS(T_SelfStock[RM_Code],$A29,T_SelfStock[WeekIndex],67)&gt;0)*(COUNTIFS(T_TTAFStock[RM_Code],$A29,T_TTAFStock[WeekIndex],67)&gt;0)&gt;0,SUMIFS(T_SelfStock[Self_Qty],T_SelfStock[RM_Code],$A29,T_SelfStock[WeekIndex],67)+SUMIFS(T_TTAFStock[TTAF_Qty],T_TTAFStock[RM_Code],$A29,T_TTAFStock[WeekIndex],67),BO29+'Grid_Incoming'!BP29-'Grid_Requirement'!BP29))</f>
        <v/>
      </c>
      <c r="BQ29">
        <f>IF(COUNTIFS(T_StockCount[RM_Code],$A29,T_StockCount[WeekIndex],68)&gt;0,SUMIFS(T_StockCount[CountedQty],T_StockCount[RM_Code],$A29,T_StockCount[WeekIndex],68),IF((COUNTIFS(T_SelfStock[RM_Code],$A29,T_SelfStock[WeekIndex],68)&gt;0)*(COUNTIFS(T_TTAFStock[RM_Code],$A29,T_TTAFStock[WeekIndex],68)&gt;0)&gt;0,SUMIFS(T_SelfStock[Self_Qty],T_SelfStock[RM_Code],$A29,T_SelfStock[WeekIndex],68)+SUMIFS(T_TTAFStock[TTAF_Qty],T_TTAFStock[RM_Code],$A29,T_TTAFStock[WeekIndex],68),BP29+'Grid_Incoming'!BQ29-'Grid_Requirement'!BQ29))</f>
        <v/>
      </c>
      <c r="BR29">
        <f>IF(COUNTIFS(T_StockCount[RM_Code],$A29,T_StockCount[WeekIndex],69)&gt;0,SUMIFS(T_StockCount[CountedQty],T_StockCount[RM_Code],$A29,T_StockCount[WeekIndex],69),IF((COUNTIFS(T_SelfStock[RM_Code],$A29,T_SelfStock[WeekIndex],69)&gt;0)*(COUNTIFS(T_TTAFStock[RM_Code],$A29,T_TTAFStock[WeekIndex],69)&gt;0)&gt;0,SUMIFS(T_SelfStock[Self_Qty],T_SelfStock[RM_Code],$A29,T_SelfStock[WeekIndex],69)+SUMIFS(T_TTAFStock[TTAF_Qty],T_TTAFStock[RM_Code],$A29,T_TTAFStock[WeekIndex],69),BQ29+'Grid_Incoming'!BR29-'Grid_Requirement'!BR29))</f>
        <v/>
      </c>
      <c r="BS29">
        <f>IF(COUNTIFS(T_StockCount[RM_Code],$A29,T_StockCount[WeekIndex],70)&gt;0,SUMIFS(T_StockCount[CountedQty],T_StockCount[RM_Code],$A29,T_StockCount[WeekIndex],70),IF((COUNTIFS(T_SelfStock[RM_Code],$A29,T_SelfStock[WeekIndex],70)&gt;0)*(COUNTIFS(T_TTAFStock[RM_Code],$A29,T_TTAFStock[WeekIndex],70)&gt;0)&gt;0,SUMIFS(T_SelfStock[Self_Qty],T_SelfStock[RM_Code],$A29,T_SelfStock[WeekIndex],70)+SUMIFS(T_TTAFStock[TTAF_Qty],T_TTAFStock[RM_Code],$A29,T_TTAFStock[WeekIndex],70),BR29+'Grid_Incoming'!BS29-'Grid_Requirement'!BS29))</f>
        <v/>
      </c>
      <c r="BT29">
        <f>IF(COUNTIFS(T_StockCount[RM_Code],$A29,T_StockCount[WeekIndex],71)&gt;0,SUMIFS(T_StockCount[CountedQty],T_StockCount[RM_Code],$A29,T_StockCount[WeekIndex],71),IF((COUNTIFS(T_SelfStock[RM_Code],$A29,T_SelfStock[WeekIndex],71)&gt;0)*(COUNTIFS(T_TTAFStock[RM_Code],$A29,T_TTAFStock[WeekIndex],71)&gt;0)&gt;0,SUMIFS(T_SelfStock[Self_Qty],T_SelfStock[RM_Code],$A29,T_SelfStock[WeekIndex],71)+SUMIFS(T_TTAFStock[TTAF_Qty],T_TTAFStock[RM_Code],$A29,T_TTAFStock[WeekIndex],71),BS29+'Grid_Incoming'!BT29-'Grid_Requirement'!BT29))</f>
        <v/>
      </c>
      <c r="BU29">
        <f>IF(COUNTIFS(T_StockCount[RM_Code],$A29,T_StockCount[WeekIndex],72)&gt;0,SUMIFS(T_StockCount[CountedQty],T_StockCount[RM_Code],$A29,T_StockCount[WeekIndex],72),IF((COUNTIFS(T_SelfStock[RM_Code],$A29,T_SelfStock[WeekIndex],72)&gt;0)*(COUNTIFS(T_TTAFStock[RM_Code],$A29,T_TTAFStock[WeekIndex],72)&gt;0)&gt;0,SUMIFS(T_SelfStock[Self_Qty],T_SelfStock[RM_Code],$A29,T_SelfStock[WeekIndex],72)+SUMIFS(T_TTAFStock[TTAF_Qty],T_TTAFStock[RM_Code],$A29,T_TTAFStock[WeekIndex],72),BT29+'Grid_Incoming'!BU29-'Grid_Requirement'!BU29))</f>
        <v/>
      </c>
      <c r="BV29">
        <f>IF(COUNTIFS(T_StockCount[RM_Code],$A29,T_StockCount[WeekIndex],73)&gt;0,SUMIFS(T_StockCount[CountedQty],T_StockCount[RM_Code],$A29,T_StockCount[WeekIndex],73),IF((COUNTIFS(T_SelfStock[RM_Code],$A29,T_SelfStock[WeekIndex],73)&gt;0)*(COUNTIFS(T_TTAFStock[RM_Code],$A29,T_TTAFStock[WeekIndex],73)&gt;0)&gt;0,SUMIFS(T_SelfStock[Self_Qty],T_SelfStock[RM_Code],$A29,T_SelfStock[WeekIndex],73)+SUMIFS(T_TTAFStock[TTAF_Qty],T_TTAFStock[RM_Code],$A29,T_TTAFStock[WeekIndex],73),BU29+'Grid_Incoming'!BV29-'Grid_Requirement'!BV29))</f>
        <v/>
      </c>
      <c r="BW29">
        <f>IF(COUNTIFS(T_StockCount[RM_Code],$A29,T_StockCount[WeekIndex],74)&gt;0,SUMIFS(T_StockCount[CountedQty],T_StockCount[RM_Code],$A29,T_StockCount[WeekIndex],74),IF((COUNTIFS(T_SelfStock[RM_Code],$A29,T_SelfStock[WeekIndex],74)&gt;0)*(COUNTIFS(T_TTAFStock[RM_Code],$A29,T_TTAFStock[WeekIndex],74)&gt;0)&gt;0,SUMIFS(T_SelfStock[Self_Qty],T_SelfStock[RM_Code],$A29,T_SelfStock[WeekIndex],74)+SUMIFS(T_TTAFStock[TTAF_Qty],T_TTAFStock[RM_Code],$A29,T_TTAFStock[WeekIndex],74),BV29+'Grid_Incoming'!BW29-'Grid_Requirement'!BW29))</f>
        <v/>
      </c>
      <c r="BX29">
        <f>IF(COUNTIFS(T_StockCount[RM_Code],$A29,T_StockCount[WeekIndex],75)&gt;0,SUMIFS(T_StockCount[CountedQty],T_StockCount[RM_Code],$A29,T_StockCount[WeekIndex],75),IF((COUNTIFS(T_SelfStock[RM_Code],$A29,T_SelfStock[WeekIndex],75)&gt;0)*(COUNTIFS(T_TTAFStock[RM_Code],$A29,T_TTAFStock[WeekIndex],75)&gt;0)&gt;0,SUMIFS(T_SelfStock[Self_Qty],T_SelfStock[RM_Code],$A29,T_SelfStock[WeekIndex],75)+SUMIFS(T_TTAFStock[TTAF_Qty],T_TTAFStock[RM_Code],$A29,T_TTAFStock[WeekIndex],75),BW29+'Grid_Incoming'!BX29-'Grid_Requirement'!BX29))</f>
        <v/>
      </c>
      <c r="BY29">
        <f>IF(COUNTIFS(T_StockCount[RM_Code],$A29,T_StockCount[WeekIndex],76)&gt;0,SUMIFS(T_StockCount[CountedQty],T_StockCount[RM_Code],$A29,T_StockCount[WeekIndex],76),IF((COUNTIFS(T_SelfStock[RM_Code],$A29,T_SelfStock[WeekIndex],76)&gt;0)*(COUNTIFS(T_TTAFStock[RM_Code],$A29,T_TTAFStock[WeekIndex],76)&gt;0)&gt;0,SUMIFS(T_SelfStock[Self_Qty],T_SelfStock[RM_Code],$A29,T_SelfStock[WeekIndex],76)+SUMIFS(T_TTAFStock[TTAF_Qty],T_TTAFStock[RM_Code],$A29,T_TTAFStock[WeekIndex],76),BX29+'Grid_Incoming'!BY29-'Grid_Requirement'!BY29))</f>
        <v/>
      </c>
      <c r="BZ29">
        <f>IF(COUNTIFS(T_StockCount[RM_Code],$A29,T_StockCount[WeekIndex],77)&gt;0,SUMIFS(T_StockCount[CountedQty],T_StockCount[RM_Code],$A29,T_StockCount[WeekIndex],77),IF((COUNTIFS(T_SelfStock[RM_Code],$A29,T_SelfStock[WeekIndex],77)&gt;0)*(COUNTIFS(T_TTAFStock[RM_Code],$A29,T_TTAFStock[WeekIndex],77)&gt;0)&gt;0,SUMIFS(T_SelfStock[Self_Qty],T_SelfStock[RM_Code],$A29,T_SelfStock[WeekIndex],77)+SUMIFS(T_TTAFStock[TTAF_Qty],T_TTAFStock[RM_Code],$A29,T_TTAFStock[WeekIndex],77),BY29+'Grid_Incoming'!BZ29-'Grid_Requirement'!BZ29))</f>
        <v/>
      </c>
      <c r="CA29">
        <f>IF(COUNTIFS(T_StockCount[RM_Code],$A29,T_StockCount[WeekIndex],78)&gt;0,SUMIFS(T_StockCount[CountedQty],T_StockCount[RM_Code],$A29,T_StockCount[WeekIndex],78),IF((COUNTIFS(T_SelfStock[RM_Code],$A29,T_SelfStock[WeekIndex],78)&gt;0)*(COUNTIFS(T_TTAFStock[RM_Code],$A29,T_TTAFStock[WeekIndex],78)&gt;0)&gt;0,SUMIFS(T_SelfStock[Self_Qty],T_SelfStock[RM_Code],$A29,T_SelfStock[WeekIndex],78)+SUMIFS(T_TTAFStock[TTAF_Qty],T_TTAFStock[RM_Code],$A29,T_TTAFStock[WeekIndex],78),BZ29+'Grid_Incoming'!CA29-'Grid_Requirement'!CA29))</f>
        <v/>
      </c>
      <c r="CB29">
        <f>IF(COUNTIFS(T_StockCount[RM_Code],$A29,T_StockCount[WeekIndex],79)&gt;0,SUMIFS(T_StockCount[CountedQty],T_StockCount[RM_Code],$A29,T_StockCount[WeekIndex],79),IF((COUNTIFS(T_SelfStock[RM_Code],$A29,T_SelfStock[WeekIndex],79)&gt;0)*(COUNTIFS(T_TTAFStock[RM_Code],$A29,T_TTAFStock[WeekIndex],79)&gt;0)&gt;0,SUMIFS(T_SelfStock[Self_Qty],T_SelfStock[RM_Code],$A29,T_SelfStock[WeekIndex],79)+SUMIFS(T_TTAFStock[TTAF_Qty],T_TTAFStock[RM_Code],$A29,T_TTAFStock[WeekIndex],79),CA29+'Grid_Incoming'!CB29-'Grid_Requirement'!CB29))</f>
        <v/>
      </c>
      <c r="CC29">
        <f>IF(COUNTIFS(T_StockCount[RM_Code],$A29,T_StockCount[WeekIndex],80)&gt;0,SUMIFS(T_StockCount[CountedQty],T_StockCount[RM_Code],$A29,T_StockCount[WeekIndex],80),IF((COUNTIFS(T_SelfStock[RM_Code],$A29,T_SelfStock[WeekIndex],80)&gt;0)*(COUNTIFS(T_TTAFStock[RM_Code],$A29,T_TTAFStock[WeekIndex],80)&gt;0)&gt;0,SUMIFS(T_SelfStock[Self_Qty],T_SelfStock[RM_Code],$A29,T_SelfStock[WeekIndex],80)+SUMIFS(T_TTAFStock[TTAF_Qty],T_TTAFStock[RM_Code],$A29,T_TTAFStock[WeekIndex],80),CB29+'Grid_Incoming'!CC29-'Grid_Requirement'!CC29))</f>
        <v/>
      </c>
      <c r="CD29">
        <f>IF(COUNTIFS(T_StockCount[RM_Code],$A29,T_StockCount[WeekIndex],81)&gt;0,SUMIFS(T_StockCount[CountedQty],T_StockCount[RM_Code],$A29,T_StockCount[WeekIndex],81),IF((COUNTIFS(T_SelfStock[RM_Code],$A29,T_SelfStock[WeekIndex],81)&gt;0)*(COUNTIFS(T_TTAFStock[RM_Code],$A29,T_TTAFStock[WeekIndex],81)&gt;0)&gt;0,SUMIFS(T_SelfStock[Self_Qty],T_SelfStock[RM_Code],$A29,T_SelfStock[WeekIndex],81)+SUMIFS(T_TTAFStock[TTAF_Qty],T_TTAFStock[RM_Code],$A29,T_TTAFStock[WeekIndex],81),CC29+'Grid_Incoming'!CD29-'Grid_Requirement'!CD29))</f>
        <v/>
      </c>
      <c r="CE29">
        <f>IF(COUNTIFS(T_StockCount[RM_Code],$A29,T_StockCount[WeekIndex],82)&gt;0,SUMIFS(T_StockCount[CountedQty],T_StockCount[RM_Code],$A29,T_StockCount[WeekIndex],82),IF((COUNTIFS(T_SelfStock[RM_Code],$A29,T_SelfStock[WeekIndex],82)&gt;0)*(COUNTIFS(T_TTAFStock[RM_Code],$A29,T_TTAFStock[WeekIndex],82)&gt;0)&gt;0,SUMIFS(T_SelfStock[Self_Qty],T_SelfStock[RM_Code],$A29,T_SelfStock[WeekIndex],82)+SUMIFS(T_TTAFStock[TTAF_Qty],T_TTAFStock[RM_Code],$A29,T_TTAFStock[WeekIndex],82),CD29+'Grid_Incoming'!CE29-'Grid_Requirement'!CE29))</f>
        <v/>
      </c>
      <c r="CF29">
        <f>IF(COUNTIFS(T_StockCount[RM_Code],$A29,T_StockCount[WeekIndex],83)&gt;0,SUMIFS(T_StockCount[CountedQty],T_StockCount[RM_Code],$A29,T_StockCount[WeekIndex],83),IF((COUNTIFS(T_SelfStock[RM_Code],$A29,T_SelfStock[WeekIndex],83)&gt;0)*(COUNTIFS(T_TTAFStock[RM_Code],$A29,T_TTAFStock[WeekIndex],83)&gt;0)&gt;0,SUMIFS(T_SelfStock[Self_Qty],T_SelfStock[RM_Code],$A29,T_SelfStock[WeekIndex],83)+SUMIFS(T_TTAFStock[TTAF_Qty],T_TTAFStock[RM_Code],$A29,T_TTAFStock[WeekIndex],83),CE29+'Grid_Incoming'!CF29-'Grid_Requirement'!CF29))</f>
        <v/>
      </c>
      <c r="CG29">
        <f>IF(COUNTIFS(T_StockCount[RM_Code],$A29,T_StockCount[WeekIndex],84)&gt;0,SUMIFS(T_StockCount[CountedQty],T_StockCount[RM_Code],$A29,T_StockCount[WeekIndex],84),IF((COUNTIFS(T_SelfStock[RM_Code],$A29,T_SelfStock[WeekIndex],84)&gt;0)*(COUNTIFS(T_TTAFStock[RM_Code],$A29,T_TTAFStock[WeekIndex],84)&gt;0)&gt;0,SUMIFS(T_SelfStock[Self_Qty],T_SelfStock[RM_Code],$A29,T_SelfStock[WeekIndex],84)+SUMIFS(T_TTAFStock[TTAF_Qty],T_TTAFStock[RM_Code],$A29,T_TTAFStock[WeekIndex],84),CF29+'Grid_Incoming'!CG29-'Grid_Requirement'!CG29))</f>
        <v/>
      </c>
      <c r="CH29">
        <f>IF(COUNTIFS(T_StockCount[RM_Code],$A29,T_StockCount[WeekIndex],85)&gt;0,SUMIFS(T_StockCount[CountedQty],T_StockCount[RM_Code],$A29,T_StockCount[WeekIndex],85),IF((COUNTIFS(T_SelfStock[RM_Code],$A29,T_SelfStock[WeekIndex],85)&gt;0)*(COUNTIFS(T_TTAFStock[RM_Code],$A29,T_TTAFStock[WeekIndex],85)&gt;0)&gt;0,SUMIFS(T_SelfStock[Self_Qty],T_SelfStock[RM_Code],$A29,T_SelfStock[WeekIndex],85)+SUMIFS(T_TTAFStock[TTAF_Qty],T_TTAFStock[RM_Code],$A29,T_TTAFStock[WeekIndex],85),CG29+'Grid_Incoming'!CH29-'Grid_Requirement'!CH29))</f>
        <v/>
      </c>
      <c r="CI29">
        <f>IF(COUNTIFS(T_StockCount[RM_Code],$A29,T_StockCount[WeekIndex],86)&gt;0,SUMIFS(T_StockCount[CountedQty],T_StockCount[RM_Code],$A29,T_StockCount[WeekIndex],86),IF((COUNTIFS(T_SelfStock[RM_Code],$A29,T_SelfStock[WeekIndex],86)&gt;0)*(COUNTIFS(T_TTAFStock[RM_Code],$A29,T_TTAFStock[WeekIndex],86)&gt;0)&gt;0,SUMIFS(T_SelfStock[Self_Qty],T_SelfStock[RM_Code],$A29,T_SelfStock[WeekIndex],86)+SUMIFS(T_TTAFStock[TTAF_Qty],T_TTAFStock[RM_Code],$A29,T_TTAFStock[WeekIndex],86),CH29+'Grid_Incoming'!CI29-'Grid_Requirement'!CI29))</f>
        <v/>
      </c>
      <c r="CJ29">
        <f>IF(COUNTIFS(T_StockCount[RM_Code],$A29,T_StockCount[WeekIndex],87)&gt;0,SUMIFS(T_StockCount[CountedQty],T_StockCount[RM_Code],$A29,T_StockCount[WeekIndex],87),IF((COUNTIFS(T_SelfStock[RM_Code],$A29,T_SelfStock[WeekIndex],87)&gt;0)*(COUNTIFS(T_TTAFStock[RM_Code],$A29,T_TTAFStock[WeekIndex],87)&gt;0)&gt;0,SUMIFS(T_SelfStock[Self_Qty],T_SelfStock[RM_Code],$A29,T_SelfStock[WeekIndex],87)+SUMIFS(T_TTAFStock[TTAF_Qty],T_TTAFStock[RM_Code],$A29,T_TTAFStock[WeekIndex],87),CI29+'Grid_Incoming'!CJ29-'Grid_Requirement'!CJ29))</f>
        <v/>
      </c>
      <c r="CK29">
        <f>IF(COUNTIFS(T_StockCount[RM_Code],$A29,T_StockCount[WeekIndex],88)&gt;0,SUMIFS(T_StockCount[CountedQty],T_StockCount[RM_Code],$A29,T_StockCount[WeekIndex],88),IF((COUNTIFS(T_SelfStock[RM_Code],$A29,T_SelfStock[WeekIndex],88)&gt;0)*(COUNTIFS(T_TTAFStock[RM_Code],$A29,T_TTAFStock[WeekIndex],88)&gt;0)&gt;0,SUMIFS(T_SelfStock[Self_Qty],T_SelfStock[RM_Code],$A29,T_SelfStock[WeekIndex],88)+SUMIFS(T_TTAFStock[TTAF_Qty],T_TTAFStock[RM_Code],$A29,T_TTAFStock[WeekIndex],88),CJ29+'Grid_Incoming'!CK29-'Grid_Requirement'!CK29))</f>
        <v/>
      </c>
      <c r="CL29">
        <f>IF(COUNTIFS(T_StockCount[RM_Code],$A29,T_StockCount[WeekIndex],89)&gt;0,SUMIFS(T_StockCount[CountedQty],T_StockCount[RM_Code],$A29,T_StockCount[WeekIndex],89),IF((COUNTIFS(T_SelfStock[RM_Code],$A29,T_SelfStock[WeekIndex],89)&gt;0)*(COUNTIFS(T_TTAFStock[RM_Code],$A29,T_TTAFStock[WeekIndex],89)&gt;0)&gt;0,SUMIFS(T_SelfStock[Self_Qty],T_SelfStock[RM_Code],$A29,T_SelfStock[WeekIndex],89)+SUMIFS(T_TTAFStock[TTAF_Qty],T_TTAFStock[RM_Code],$A29,T_TTAFStock[WeekIndex],89),CK29+'Grid_Incoming'!CL29-'Grid_Requirement'!CL29))</f>
        <v/>
      </c>
      <c r="CM29">
        <f>IF(COUNTIFS(T_StockCount[RM_Code],$A29,T_StockCount[WeekIndex],90)&gt;0,SUMIFS(T_StockCount[CountedQty],T_StockCount[RM_Code],$A29,T_StockCount[WeekIndex],90),IF((COUNTIFS(T_SelfStock[RM_Code],$A29,T_SelfStock[WeekIndex],90)&gt;0)*(COUNTIFS(T_TTAFStock[RM_Code],$A29,T_TTAFStock[WeekIndex],90)&gt;0)&gt;0,SUMIFS(T_SelfStock[Self_Qty],T_SelfStock[RM_Code],$A29,T_SelfStock[WeekIndex],90)+SUMIFS(T_TTAFStock[TTAF_Qty],T_TTAFStock[RM_Code],$A29,T_TTAFStock[WeekIndex],90),CL29+'Grid_Incoming'!CM29-'Grid_Requirement'!CM29))</f>
        <v/>
      </c>
      <c r="CN29">
        <f>IF(COUNTIFS(T_StockCount[RM_Code],$A29,T_StockCount[WeekIndex],91)&gt;0,SUMIFS(T_StockCount[CountedQty],T_StockCount[RM_Code],$A29,T_StockCount[WeekIndex],91),IF((COUNTIFS(T_SelfStock[RM_Code],$A29,T_SelfStock[WeekIndex],91)&gt;0)*(COUNTIFS(T_TTAFStock[RM_Code],$A29,T_TTAFStock[WeekIndex],91)&gt;0)&gt;0,SUMIFS(T_SelfStock[Self_Qty],T_SelfStock[RM_Code],$A29,T_SelfStock[WeekIndex],91)+SUMIFS(T_TTAFStock[TTAF_Qty],T_TTAFStock[RM_Code],$A29,T_TTAFStock[WeekIndex],91),CM29+'Grid_Incoming'!CN29-'Grid_Requirement'!CN29))</f>
        <v/>
      </c>
      <c r="CO29">
        <f>IF(COUNTIFS(T_StockCount[RM_Code],$A29,T_StockCount[WeekIndex],92)&gt;0,SUMIFS(T_StockCount[CountedQty],T_StockCount[RM_Code],$A29,T_StockCount[WeekIndex],92),IF((COUNTIFS(T_SelfStock[RM_Code],$A29,T_SelfStock[WeekIndex],92)&gt;0)*(COUNTIFS(T_TTAFStock[RM_Code],$A29,T_TTAFStock[WeekIndex],92)&gt;0)&gt;0,SUMIFS(T_SelfStock[Self_Qty],T_SelfStock[RM_Code],$A29,T_SelfStock[WeekIndex],92)+SUMIFS(T_TTAFStock[TTAF_Qty],T_TTAFStock[RM_Code],$A29,T_TTAFStock[WeekIndex],92),CN29+'Grid_Incoming'!CO29-'Grid_Requirement'!CO29))</f>
        <v/>
      </c>
      <c r="CP29">
        <f>IF(COUNTIFS(T_StockCount[RM_Code],$A29,T_StockCount[WeekIndex],93)&gt;0,SUMIFS(T_StockCount[CountedQty],T_StockCount[RM_Code],$A29,T_StockCount[WeekIndex],93),IF((COUNTIFS(T_SelfStock[RM_Code],$A29,T_SelfStock[WeekIndex],93)&gt;0)*(COUNTIFS(T_TTAFStock[RM_Code],$A29,T_TTAFStock[WeekIndex],93)&gt;0)&gt;0,SUMIFS(T_SelfStock[Self_Qty],T_SelfStock[RM_Code],$A29,T_SelfStock[WeekIndex],93)+SUMIFS(T_TTAFStock[TTAF_Qty],T_TTAFStock[RM_Code],$A29,T_TTAFStock[WeekIndex],93),CO29+'Grid_Incoming'!CP29-'Grid_Requirement'!CP29))</f>
        <v/>
      </c>
      <c r="CQ29">
        <f>IF(COUNTIFS(T_StockCount[RM_Code],$A29,T_StockCount[WeekIndex],94)&gt;0,SUMIFS(T_StockCount[CountedQty],T_StockCount[RM_Code],$A29,T_StockCount[WeekIndex],94),IF((COUNTIFS(T_SelfStock[RM_Code],$A29,T_SelfStock[WeekIndex],94)&gt;0)*(COUNTIFS(T_TTAFStock[RM_Code],$A29,T_TTAFStock[WeekIndex],94)&gt;0)&gt;0,SUMIFS(T_SelfStock[Self_Qty],T_SelfStock[RM_Code],$A29,T_SelfStock[WeekIndex],94)+SUMIFS(T_TTAFStock[TTAF_Qty],T_TTAFStock[RM_Code],$A29,T_TTAFStock[WeekIndex],94),CP29+'Grid_Incoming'!CQ29-'Grid_Requirement'!CQ29))</f>
        <v/>
      </c>
      <c r="CR29">
        <f>IF(COUNTIFS(T_StockCount[RM_Code],$A29,T_StockCount[WeekIndex],95)&gt;0,SUMIFS(T_StockCount[CountedQty],T_StockCount[RM_Code],$A29,T_StockCount[WeekIndex],95),IF((COUNTIFS(T_SelfStock[RM_Code],$A29,T_SelfStock[WeekIndex],95)&gt;0)*(COUNTIFS(T_TTAFStock[RM_Code],$A29,T_TTAFStock[WeekIndex],95)&gt;0)&gt;0,SUMIFS(T_SelfStock[Self_Qty],T_SelfStock[RM_Code],$A29,T_SelfStock[WeekIndex],95)+SUMIFS(T_TTAFStock[TTAF_Qty],T_TTAFStock[RM_Code],$A29,T_TTAFStock[WeekIndex],95),CQ29+'Grid_Incoming'!CR29-'Grid_Requirement'!CR29))</f>
        <v/>
      </c>
      <c r="CS29">
        <f>IF(COUNTIFS(T_StockCount[RM_Code],$A29,T_StockCount[WeekIndex],96)&gt;0,SUMIFS(T_StockCount[CountedQty],T_StockCount[RM_Code],$A29,T_StockCount[WeekIndex],96),IF((COUNTIFS(T_SelfStock[RM_Code],$A29,T_SelfStock[WeekIndex],96)&gt;0)*(COUNTIFS(T_TTAFStock[RM_Code],$A29,T_TTAFStock[WeekIndex],96)&gt;0)&gt;0,SUMIFS(T_SelfStock[Self_Qty],T_SelfStock[RM_Code],$A29,T_SelfStock[WeekIndex],96)+SUMIFS(T_TTAFStock[TTAF_Qty],T_TTAFStock[RM_Code],$A29,T_TTAFStock[WeekIndex],96),CR29+'Grid_Incoming'!CS29-'Grid_Requirement'!CS29))</f>
        <v/>
      </c>
      <c r="CT29">
        <f>IF(COUNTIFS(T_StockCount[RM_Code],$A29,T_StockCount[WeekIndex],97)&gt;0,SUMIFS(T_StockCount[CountedQty],T_StockCount[RM_Code],$A29,T_StockCount[WeekIndex],97),IF((COUNTIFS(T_SelfStock[RM_Code],$A29,T_SelfStock[WeekIndex],97)&gt;0)*(COUNTIFS(T_TTAFStock[RM_Code],$A29,T_TTAFStock[WeekIndex],97)&gt;0)&gt;0,SUMIFS(T_SelfStock[Self_Qty],T_SelfStock[RM_Code],$A29,T_SelfStock[WeekIndex],97)+SUMIFS(T_TTAFStock[TTAF_Qty],T_TTAFStock[RM_Code],$A29,T_TTAFStock[WeekIndex],97),CS29+'Grid_Incoming'!CT29-'Grid_Requirement'!CT29))</f>
        <v/>
      </c>
      <c r="CU29">
        <f>IF(COUNTIFS(T_StockCount[RM_Code],$A29,T_StockCount[WeekIndex],98)&gt;0,SUMIFS(T_StockCount[CountedQty],T_StockCount[RM_Code],$A29,T_StockCount[WeekIndex],98),IF((COUNTIFS(T_SelfStock[RM_Code],$A29,T_SelfStock[WeekIndex],98)&gt;0)*(COUNTIFS(T_TTAFStock[RM_Code],$A29,T_TTAFStock[WeekIndex],98)&gt;0)&gt;0,SUMIFS(T_SelfStock[Self_Qty],T_SelfStock[RM_Code],$A29,T_SelfStock[WeekIndex],98)+SUMIFS(T_TTAFStock[TTAF_Qty],T_TTAFStock[RM_Code],$A29,T_TTAFStock[WeekIndex],98),CT29+'Grid_Incoming'!CU29-'Grid_Requirement'!CU29))</f>
        <v/>
      </c>
      <c r="CV29">
        <f>IF(COUNTIFS(T_StockCount[RM_Code],$A29,T_StockCount[WeekIndex],99)&gt;0,SUMIFS(T_StockCount[CountedQty],T_StockCount[RM_Code],$A29,T_StockCount[WeekIndex],99),IF((COUNTIFS(T_SelfStock[RM_Code],$A29,T_SelfStock[WeekIndex],99)&gt;0)*(COUNTIFS(T_TTAFStock[RM_Code],$A29,T_TTAFStock[WeekIndex],99)&gt;0)&gt;0,SUMIFS(T_SelfStock[Self_Qty],T_SelfStock[RM_Code],$A29,T_SelfStock[WeekIndex],99)+SUMIFS(T_TTAFStock[TTAF_Qty],T_TTAFStock[RM_Code],$A29,T_TTAFStock[WeekIndex],99),CU29+'Grid_Incoming'!CV29-'Grid_Requirement'!CV29))</f>
        <v/>
      </c>
      <c r="CW29">
        <f>IF(COUNTIFS(T_StockCount[RM_Code],$A29,T_StockCount[WeekIndex],100)&gt;0,SUMIFS(T_StockCount[CountedQty],T_StockCount[RM_Code],$A29,T_StockCount[WeekIndex],100),IF((COUNTIFS(T_SelfStock[RM_Code],$A29,T_SelfStock[WeekIndex],100)&gt;0)*(COUNTIFS(T_TTAFStock[RM_Code],$A29,T_TTAFStock[WeekIndex],100)&gt;0)&gt;0,SUMIFS(T_SelfStock[Self_Qty],T_SelfStock[RM_Code],$A29,T_SelfStock[WeekIndex],100)+SUMIFS(T_TTAFStock[TTAF_Qty],T_TTAFStock[RM_Code],$A29,T_TTAFStock[WeekIndex],100),CV29+'Grid_Incoming'!CW29-'Grid_Requirement'!CW29))</f>
        <v/>
      </c>
      <c r="CX29">
        <f>IF(COUNTIFS(T_StockCount[RM_Code],$A29,T_StockCount[WeekIndex],101)&gt;0,SUMIFS(T_StockCount[CountedQty],T_StockCount[RM_Code],$A29,T_StockCount[WeekIndex],101),IF((COUNTIFS(T_SelfStock[RM_Code],$A29,T_SelfStock[WeekIndex],101)&gt;0)*(COUNTIFS(T_TTAFStock[RM_Code],$A29,T_TTAFStock[WeekIndex],101)&gt;0)&gt;0,SUMIFS(T_SelfStock[Self_Qty],T_SelfStock[RM_Code],$A29,T_SelfStock[WeekIndex],101)+SUMIFS(T_TTAFStock[TTAF_Qty],T_TTAFStock[RM_Code],$A29,T_TTAFStock[WeekIndex],101),CW29+'Grid_Incoming'!CX29-'Grid_Requirement'!CX29))</f>
        <v/>
      </c>
      <c r="CY29">
        <f>IF(COUNTIFS(T_StockCount[RM_Code],$A29,T_StockCount[WeekIndex],102)&gt;0,SUMIFS(T_StockCount[CountedQty],T_StockCount[RM_Code],$A29,T_StockCount[WeekIndex],102),IF((COUNTIFS(T_SelfStock[RM_Code],$A29,T_SelfStock[WeekIndex],102)&gt;0)*(COUNTIFS(T_TTAFStock[RM_Code],$A29,T_TTAFStock[WeekIndex],102)&gt;0)&gt;0,SUMIFS(T_SelfStock[Self_Qty],T_SelfStock[RM_Code],$A29,T_SelfStock[WeekIndex],102)+SUMIFS(T_TTAFStock[TTAF_Qty],T_TTAFStock[RM_Code],$A29,T_TTAFStock[WeekIndex],102),CX29+'Grid_Incoming'!CY29-'Grid_Requirement'!CY29))</f>
        <v/>
      </c>
      <c r="CZ29">
        <f>IF(COUNTIFS(T_StockCount[RM_Code],$A29,T_StockCount[WeekIndex],103)&gt;0,SUMIFS(T_StockCount[CountedQty],T_StockCount[RM_Code],$A29,T_StockCount[WeekIndex],103),IF((COUNTIFS(T_SelfStock[RM_Code],$A29,T_SelfStock[WeekIndex],103)&gt;0)*(COUNTIFS(T_TTAFStock[RM_Code],$A29,T_TTAFStock[WeekIndex],103)&gt;0)&gt;0,SUMIFS(T_SelfStock[Self_Qty],T_SelfStock[RM_Code],$A29,T_SelfStock[WeekIndex],103)+SUMIFS(T_TTAFStock[TTAF_Qty],T_TTAFStock[RM_Code],$A29,T_TTAFStock[WeekIndex],103),CY29+'Grid_Incoming'!CZ29-'Grid_Requirement'!CZ29))</f>
        <v/>
      </c>
      <c r="DA29">
        <f>IF(COUNTIFS(T_StockCount[RM_Code],$A29,T_StockCount[WeekIndex],104)&gt;0,SUMIFS(T_StockCount[CountedQty],T_StockCount[RM_Code],$A29,T_StockCount[WeekIndex],104),IF((COUNTIFS(T_SelfStock[RM_Code],$A29,T_SelfStock[WeekIndex],104)&gt;0)*(COUNTIFS(T_TTAFStock[RM_Code],$A29,T_TTAFStock[WeekIndex],104)&gt;0)&gt;0,SUMIFS(T_SelfStock[Self_Qty],T_SelfStock[RM_Code],$A29,T_SelfStock[WeekIndex],104)+SUMIFS(T_TTAFStock[TTAF_Qty],T_TTAFStock[RM_Code],$A29,T_TTAFStock[WeekIndex],104),CZ29+'Grid_Incoming'!DA29-'Grid_Requirement'!DA29))</f>
        <v/>
      </c>
    </row>
    <row r="30">
      <c r="A30" t="inlineStr">
        <is>
          <t>CHEM-1200</t>
        </is>
      </c>
      <c r="B30">
        <f>IF(COUNTIFS(T_StockCount[RM_Code],$A30,T_StockCount[WeekIndex],1)&gt;0,SUMIFS(T_StockCount[CountedQty],T_StockCount[RM_Code],$A30,T_StockCount[WeekIndex],1),IF((COUNTIFS(T_SelfStock[RM_Code],$A30,T_SelfStock[WeekIndex],1)&gt;0)*(COUNTIFS(T_TTAFStock[RM_Code],$A30,T_TTAFStock[WeekIndex],1)&gt;0)&gt;0,SUMIFS(T_SelfStock[Self_Qty],T_SelfStock[RM_Code],$A30,T_SelfStock[WeekIndex],1)+SUMIFS(T_TTAFStock[TTAF_Qty],T_TTAFStock[RM_Code],$A30,T_TTAFStock[WeekIndex],1),IFERROR(INDEX(T_OpeningStock[Opening_Qty],MATCH($A30,T_OpeningStock[RM_Code],0)),0)+'Grid_Incoming'!B30-'Grid_Requirement'!B30))</f>
        <v/>
      </c>
      <c r="C30">
        <f>IF(COUNTIFS(T_StockCount[RM_Code],$A30,T_StockCount[WeekIndex],2)&gt;0,SUMIFS(T_StockCount[CountedQty],T_StockCount[RM_Code],$A30,T_StockCount[WeekIndex],2),IF((COUNTIFS(T_SelfStock[RM_Code],$A30,T_SelfStock[WeekIndex],2)&gt;0)*(COUNTIFS(T_TTAFStock[RM_Code],$A30,T_TTAFStock[WeekIndex],2)&gt;0)&gt;0,SUMIFS(T_SelfStock[Self_Qty],T_SelfStock[RM_Code],$A30,T_SelfStock[WeekIndex],2)+SUMIFS(T_TTAFStock[TTAF_Qty],T_TTAFStock[RM_Code],$A30,T_TTAFStock[WeekIndex],2),B30+'Grid_Incoming'!C30-'Grid_Requirement'!C30))</f>
        <v/>
      </c>
      <c r="D30">
        <f>IF(COUNTIFS(T_StockCount[RM_Code],$A30,T_StockCount[WeekIndex],3)&gt;0,SUMIFS(T_StockCount[CountedQty],T_StockCount[RM_Code],$A30,T_StockCount[WeekIndex],3),IF((COUNTIFS(T_SelfStock[RM_Code],$A30,T_SelfStock[WeekIndex],3)&gt;0)*(COUNTIFS(T_TTAFStock[RM_Code],$A30,T_TTAFStock[WeekIndex],3)&gt;0)&gt;0,SUMIFS(T_SelfStock[Self_Qty],T_SelfStock[RM_Code],$A30,T_SelfStock[WeekIndex],3)+SUMIFS(T_TTAFStock[TTAF_Qty],T_TTAFStock[RM_Code],$A30,T_TTAFStock[WeekIndex],3),C30+'Grid_Incoming'!D30-'Grid_Requirement'!D30))</f>
        <v/>
      </c>
      <c r="E30">
        <f>IF(COUNTIFS(T_StockCount[RM_Code],$A30,T_StockCount[WeekIndex],4)&gt;0,SUMIFS(T_StockCount[CountedQty],T_StockCount[RM_Code],$A30,T_StockCount[WeekIndex],4),IF((COUNTIFS(T_SelfStock[RM_Code],$A30,T_SelfStock[WeekIndex],4)&gt;0)*(COUNTIFS(T_TTAFStock[RM_Code],$A30,T_TTAFStock[WeekIndex],4)&gt;0)&gt;0,SUMIFS(T_SelfStock[Self_Qty],T_SelfStock[RM_Code],$A30,T_SelfStock[WeekIndex],4)+SUMIFS(T_TTAFStock[TTAF_Qty],T_TTAFStock[RM_Code],$A30,T_TTAFStock[WeekIndex],4),D30+'Grid_Incoming'!E30-'Grid_Requirement'!E30))</f>
        <v/>
      </c>
      <c r="F30">
        <f>IF(COUNTIFS(T_StockCount[RM_Code],$A30,T_StockCount[WeekIndex],5)&gt;0,SUMIFS(T_StockCount[CountedQty],T_StockCount[RM_Code],$A30,T_StockCount[WeekIndex],5),IF((COUNTIFS(T_SelfStock[RM_Code],$A30,T_SelfStock[WeekIndex],5)&gt;0)*(COUNTIFS(T_TTAFStock[RM_Code],$A30,T_TTAFStock[WeekIndex],5)&gt;0)&gt;0,SUMIFS(T_SelfStock[Self_Qty],T_SelfStock[RM_Code],$A30,T_SelfStock[WeekIndex],5)+SUMIFS(T_TTAFStock[TTAF_Qty],T_TTAFStock[RM_Code],$A30,T_TTAFStock[WeekIndex],5),E30+'Grid_Incoming'!F30-'Grid_Requirement'!F30))</f>
        <v/>
      </c>
      <c r="G30">
        <f>IF(COUNTIFS(T_StockCount[RM_Code],$A30,T_StockCount[WeekIndex],6)&gt;0,SUMIFS(T_StockCount[CountedQty],T_StockCount[RM_Code],$A30,T_StockCount[WeekIndex],6),IF((COUNTIFS(T_SelfStock[RM_Code],$A30,T_SelfStock[WeekIndex],6)&gt;0)*(COUNTIFS(T_TTAFStock[RM_Code],$A30,T_TTAFStock[WeekIndex],6)&gt;0)&gt;0,SUMIFS(T_SelfStock[Self_Qty],T_SelfStock[RM_Code],$A30,T_SelfStock[WeekIndex],6)+SUMIFS(T_TTAFStock[TTAF_Qty],T_TTAFStock[RM_Code],$A30,T_TTAFStock[WeekIndex],6),F30+'Grid_Incoming'!G30-'Grid_Requirement'!G30))</f>
        <v/>
      </c>
      <c r="H30">
        <f>IF(COUNTIFS(T_StockCount[RM_Code],$A30,T_StockCount[WeekIndex],7)&gt;0,SUMIFS(T_StockCount[CountedQty],T_StockCount[RM_Code],$A30,T_StockCount[WeekIndex],7),IF((COUNTIFS(T_SelfStock[RM_Code],$A30,T_SelfStock[WeekIndex],7)&gt;0)*(COUNTIFS(T_TTAFStock[RM_Code],$A30,T_TTAFStock[WeekIndex],7)&gt;0)&gt;0,SUMIFS(T_SelfStock[Self_Qty],T_SelfStock[RM_Code],$A30,T_SelfStock[WeekIndex],7)+SUMIFS(T_TTAFStock[TTAF_Qty],T_TTAFStock[RM_Code],$A30,T_TTAFStock[WeekIndex],7),G30+'Grid_Incoming'!H30-'Grid_Requirement'!H30))</f>
        <v/>
      </c>
      <c r="I30">
        <f>IF(COUNTIFS(T_StockCount[RM_Code],$A30,T_StockCount[WeekIndex],8)&gt;0,SUMIFS(T_StockCount[CountedQty],T_StockCount[RM_Code],$A30,T_StockCount[WeekIndex],8),IF((COUNTIFS(T_SelfStock[RM_Code],$A30,T_SelfStock[WeekIndex],8)&gt;0)*(COUNTIFS(T_TTAFStock[RM_Code],$A30,T_TTAFStock[WeekIndex],8)&gt;0)&gt;0,SUMIFS(T_SelfStock[Self_Qty],T_SelfStock[RM_Code],$A30,T_SelfStock[WeekIndex],8)+SUMIFS(T_TTAFStock[TTAF_Qty],T_TTAFStock[RM_Code],$A30,T_TTAFStock[WeekIndex],8),H30+'Grid_Incoming'!I30-'Grid_Requirement'!I30))</f>
        <v/>
      </c>
      <c r="J30">
        <f>IF(COUNTIFS(T_StockCount[RM_Code],$A30,T_StockCount[WeekIndex],9)&gt;0,SUMIFS(T_StockCount[CountedQty],T_StockCount[RM_Code],$A30,T_StockCount[WeekIndex],9),IF((COUNTIFS(T_SelfStock[RM_Code],$A30,T_SelfStock[WeekIndex],9)&gt;0)*(COUNTIFS(T_TTAFStock[RM_Code],$A30,T_TTAFStock[WeekIndex],9)&gt;0)&gt;0,SUMIFS(T_SelfStock[Self_Qty],T_SelfStock[RM_Code],$A30,T_SelfStock[WeekIndex],9)+SUMIFS(T_TTAFStock[TTAF_Qty],T_TTAFStock[RM_Code],$A30,T_TTAFStock[WeekIndex],9),I30+'Grid_Incoming'!J30-'Grid_Requirement'!J30))</f>
        <v/>
      </c>
      <c r="K30">
        <f>IF(COUNTIFS(T_StockCount[RM_Code],$A30,T_StockCount[WeekIndex],10)&gt;0,SUMIFS(T_StockCount[CountedQty],T_StockCount[RM_Code],$A30,T_StockCount[WeekIndex],10),IF((COUNTIFS(T_SelfStock[RM_Code],$A30,T_SelfStock[WeekIndex],10)&gt;0)*(COUNTIFS(T_TTAFStock[RM_Code],$A30,T_TTAFStock[WeekIndex],10)&gt;0)&gt;0,SUMIFS(T_SelfStock[Self_Qty],T_SelfStock[RM_Code],$A30,T_SelfStock[WeekIndex],10)+SUMIFS(T_TTAFStock[TTAF_Qty],T_TTAFStock[RM_Code],$A30,T_TTAFStock[WeekIndex],10),J30+'Grid_Incoming'!K30-'Grid_Requirement'!K30))</f>
        <v/>
      </c>
      <c r="L30">
        <f>IF(COUNTIFS(T_StockCount[RM_Code],$A30,T_StockCount[WeekIndex],11)&gt;0,SUMIFS(T_StockCount[CountedQty],T_StockCount[RM_Code],$A30,T_StockCount[WeekIndex],11),IF((COUNTIFS(T_SelfStock[RM_Code],$A30,T_SelfStock[WeekIndex],11)&gt;0)*(COUNTIFS(T_TTAFStock[RM_Code],$A30,T_TTAFStock[WeekIndex],11)&gt;0)&gt;0,SUMIFS(T_SelfStock[Self_Qty],T_SelfStock[RM_Code],$A30,T_SelfStock[WeekIndex],11)+SUMIFS(T_TTAFStock[TTAF_Qty],T_TTAFStock[RM_Code],$A30,T_TTAFStock[WeekIndex],11),K30+'Grid_Incoming'!L30-'Grid_Requirement'!L30))</f>
        <v/>
      </c>
      <c r="M30">
        <f>IF(COUNTIFS(T_StockCount[RM_Code],$A30,T_StockCount[WeekIndex],12)&gt;0,SUMIFS(T_StockCount[CountedQty],T_StockCount[RM_Code],$A30,T_StockCount[WeekIndex],12),IF((COUNTIFS(T_SelfStock[RM_Code],$A30,T_SelfStock[WeekIndex],12)&gt;0)*(COUNTIFS(T_TTAFStock[RM_Code],$A30,T_TTAFStock[WeekIndex],12)&gt;0)&gt;0,SUMIFS(T_SelfStock[Self_Qty],T_SelfStock[RM_Code],$A30,T_SelfStock[WeekIndex],12)+SUMIFS(T_TTAFStock[TTAF_Qty],T_TTAFStock[RM_Code],$A30,T_TTAFStock[WeekIndex],12),L30+'Grid_Incoming'!M30-'Grid_Requirement'!M30))</f>
        <v/>
      </c>
      <c r="N30">
        <f>IF(COUNTIFS(T_StockCount[RM_Code],$A30,T_StockCount[WeekIndex],13)&gt;0,SUMIFS(T_StockCount[CountedQty],T_StockCount[RM_Code],$A30,T_StockCount[WeekIndex],13),IF((COUNTIFS(T_SelfStock[RM_Code],$A30,T_SelfStock[WeekIndex],13)&gt;0)*(COUNTIFS(T_TTAFStock[RM_Code],$A30,T_TTAFStock[WeekIndex],13)&gt;0)&gt;0,SUMIFS(T_SelfStock[Self_Qty],T_SelfStock[RM_Code],$A30,T_SelfStock[WeekIndex],13)+SUMIFS(T_TTAFStock[TTAF_Qty],T_TTAFStock[RM_Code],$A30,T_TTAFStock[WeekIndex],13),M30+'Grid_Incoming'!N30-'Grid_Requirement'!N30))</f>
        <v/>
      </c>
      <c r="O30">
        <f>IF(COUNTIFS(T_StockCount[RM_Code],$A30,T_StockCount[WeekIndex],14)&gt;0,SUMIFS(T_StockCount[CountedQty],T_StockCount[RM_Code],$A30,T_StockCount[WeekIndex],14),IF((COUNTIFS(T_SelfStock[RM_Code],$A30,T_SelfStock[WeekIndex],14)&gt;0)*(COUNTIFS(T_TTAFStock[RM_Code],$A30,T_TTAFStock[WeekIndex],14)&gt;0)&gt;0,SUMIFS(T_SelfStock[Self_Qty],T_SelfStock[RM_Code],$A30,T_SelfStock[WeekIndex],14)+SUMIFS(T_TTAFStock[TTAF_Qty],T_TTAFStock[RM_Code],$A30,T_TTAFStock[WeekIndex],14),N30+'Grid_Incoming'!O30-'Grid_Requirement'!O30))</f>
        <v/>
      </c>
      <c r="P30">
        <f>IF(COUNTIFS(T_StockCount[RM_Code],$A30,T_StockCount[WeekIndex],15)&gt;0,SUMIFS(T_StockCount[CountedQty],T_StockCount[RM_Code],$A30,T_StockCount[WeekIndex],15),IF((COUNTIFS(T_SelfStock[RM_Code],$A30,T_SelfStock[WeekIndex],15)&gt;0)*(COUNTIFS(T_TTAFStock[RM_Code],$A30,T_TTAFStock[WeekIndex],15)&gt;0)&gt;0,SUMIFS(T_SelfStock[Self_Qty],T_SelfStock[RM_Code],$A30,T_SelfStock[WeekIndex],15)+SUMIFS(T_TTAFStock[TTAF_Qty],T_TTAFStock[RM_Code],$A30,T_TTAFStock[WeekIndex],15),O30+'Grid_Incoming'!P30-'Grid_Requirement'!P30))</f>
        <v/>
      </c>
      <c r="Q30">
        <f>IF(COUNTIFS(T_StockCount[RM_Code],$A30,T_StockCount[WeekIndex],16)&gt;0,SUMIFS(T_StockCount[CountedQty],T_StockCount[RM_Code],$A30,T_StockCount[WeekIndex],16),IF((COUNTIFS(T_SelfStock[RM_Code],$A30,T_SelfStock[WeekIndex],16)&gt;0)*(COUNTIFS(T_TTAFStock[RM_Code],$A30,T_TTAFStock[WeekIndex],16)&gt;0)&gt;0,SUMIFS(T_SelfStock[Self_Qty],T_SelfStock[RM_Code],$A30,T_SelfStock[WeekIndex],16)+SUMIFS(T_TTAFStock[TTAF_Qty],T_TTAFStock[RM_Code],$A30,T_TTAFStock[WeekIndex],16),P30+'Grid_Incoming'!Q30-'Grid_Requirement'!Q30))</f>
        <v/>
      </c>
      <c r="R30">
        <f>IF(COUNTIFS(T_StockCount[RM_Code],$A30,T_StockCount[WeekIndex],17)&gt;0,SUMIFS(T_StockCount[CountedQty],T_StockCount[RM_Code],$A30,T_StockCount[WeekIndex],17),IF((COUNTIFS(T_SelfStock[RM_Code],$A30,T_SelfStock[WeekIndex],17)&gt;0)*(COUNTIFS(T_TTAFStock[RM_Code],$A30,T_TTAFStock[WeekIndex],17)&gt;0)&gt;0,SUMIFS(T_SelfStock[Self_Qty],T_SelfStock[RM_Code],$A30,T_SelfStock[WeekIndex],17)+SUMIFS(T_TTAFStock[TTAF_Qty],T_TTAFStock[RM_Code],$A30,T_TTAFStock[WeekIndex],17),Q30+'Grid_Incoming'!R30-'Grid_Requirement'!R30))</f>
        <v/>
      </c>
      <c r="S30">
        <f>IF(COUNTIFS(T_StockCount[RM_Code],$A30,T_StockCount[WeekIndex],18)&gt;0,SUMIFS(T_StockCount[CountedQty],T_StockCount[RM_Code],$A30,T_StockCount[WeekIndex],18),IF((COUNTIFS(T_SelfStock[RM_Code],$A30,T_SelfStock[WeekIndex],18)&gt;0)*(COUNTIFS(T_TTAFStock[RM_Code],$A30,T_TTAFStock[WeekIndex],18)&gt;0)&gt;0,SUMIFS(T_SelfStock[Self_Qty],T_SelfStock[RM_Code],$A30,T_SelfStock[WeekIndex],18)+SUMIFS(T_TTAFStock[TTAF_Qty],T_TTAFStock[RM_Code],$A30,T_TTAFStock[WeekIndex],18),R30+'Grid_Incoming'!S30-'Grid_Requirement'!S30))</f>
        <v/>
      </c>
      <c r="T30">
        <f>IF(COUNTIFS(T_StockCount[RM_Code],$A30,T_StockCount[WeekIndex],19)&gt;0,SUMIFS(T_StockCount[CountedQty],T_StockCount[RM_Code],$A30,T_StockCount[WeekIndex],19),IF((COUNTIFS(T_SelfStock[RM_Code],$A30,T_SelfStock[WeekIndex],19)&gt;0)*(COUNTIFS(T_TTAFStock[RM_Code],$A30,T_TTAFStock[WeekIndex],19)&gt;0)&gt;0,SUMIFS(T_SelfStock[Self_Qty],T_SelfStock[RM_Code],$A30,T_SelfStock[WeekIndex],19)+SUMIFS(T_TTAFStock[TTAF_Qty],T_TTAFStock[RM_Code],$A30,T_TTAFStock[WeekIndex],19),S30+'Grid_Incoming'!T30-'Grid_Requirement'!T30))</f>
        <v/>
      </c>
      <c r="U30">
        <f>IF(COUNTIFS(T_StockCount[RM_Code],$A30,T_StockCount[WeekIndex],20)&gt;0,SUMIFS(T_StockCount[CountedQty],T_StockCount[RM_Code],$A30,T_StockCount[WeekIndex],20),IF((COUNTIFS(T_SelfStock[RM_Code],$A30,T_SelfStock[WeekIndex],20)&gt;0)*(COUNTIFS(T_TTAFStock[RM_Code],$A30,T_TTAFStock[WeekIndex],20)&gt;0)&gt;0,SUMIFS(T_SelfStock[Self_Qty],T_SelfStock[RM_Code],$A30,T_SelfStock[WeekIndex],20)+SUMIFS(T_TTAFStock[TTAF_Qty],T_TTAFStock[RM_Code],$A30,T_TTAFStock[WeekIndex],20),T30+'Grid_Incoming'!U30-'Grid_Requirement'!U30))</f>
        <v/>
      </c>
      <c r="V30">
        <f>IF(COUNTIFS(T_StockCount[RM_Code],$A30,T_StockCount[WeekIndex],21)&gt;0,SUMIFS(T_StockCount[CountedQty],T_StockCount[RM_Code],$A30,T_StockCount[WeekIndex],21),IF((COUNTIFS(T_SelfStock[RM_Code],$A30,T_SelfStock[WeekIndex],21)&gt;0)*(COUNTIFS(T_TTAFStock[RM_Code],$A30,T_TTAFStock[WeekIndex],21)&gt;0)&gt;0,SUMIFS(T_SelfStock[Self_Qty],T_SelfStock[RM_Code],$A30,T_SelfStock[WeekIndex],21)+SUMIFS(T_TTAFStock[TTAF_Qty],T_TTAFStock[RM_Code],$A30,T_TTAFStock[WeekIndex],21),U30+'Grid_Incoming'!V30-'Grid_Requirement'!V30))</f>
        <v/>
      </c>
      <c r="W30">
        <f>IF(COUNTIFS(T_StockCount[RM_Code],$A30,T_StockCount[WeekIndex],22)&gt;0,SUMIFS(T_StockCount[CountedQty],T_StockCount[RM_Code],$A30,T_StockCount[WeekIndex],22),IF((COUNTIFS(T_SelfStock[RM_Code],$A30,T_SelfStock[WeekIndex],22)&gt;0)*(COUNTIFS(T_TTAFStock[RM_Code],$A30,T_TTAFStock[WeekIndex],22)&gt;0)&gt;0,SUMIFS(T_SelfStock[Self_Qty],T_SelfStock[RM_Code],$A30,T_SelfStock[WeekIndex],22)+SUMIFS(T_TTAFStock[TTAF_Qty],T_TTAFStock[RM_Code],$A30,T_TTAFStock[WeekIndex],22),V30+'Grid_Incoming'!W30-'Grid_Requirement'!W30))</f>
        <v/>
      </c>
      <c r="X30">
        <f>IF(COUNTIFS(T_StockCount[RM_Code],$A30,T_StockCount[WeekIndex],23)&gt;0,SUMIFS(T_StockCount[CountedQty],T_StockCount[RM_Code],$A30,T_StockCount[WeekIndex],23),IF((COUNTIFS(T_SelfStock[RM_Code],$A30,T_SelfStock[WeekIndex],23)&gt;0)*(COUNTIFS(T_TTAFStock[RM_Code],$A30,T_TTAFStock[WeekIndex],23)&gt;0)&gt;0,SUMIFS(T_SelfStock[Self_Qty],T_SelfStock[RM_Code],$A30,T_SelfStock[WeekIndex],23)+SUMIFS(T_TTAFStock[TTAF_Qty],T_TTAFStock[RM_Code],$A30,T_TTAFStock[WeekIndex],23),W30+'Grid_Incoming'!X30-'Grid_Requirement'!X30))</f>
        <v/>
      </c>
      <c r="Y30">
        <f>IF(COUNTIFS(T_StockCount[RM_Code],$A30,T_StockCount[WeekIndex],24)&gt;0,SUMIFS(T_StockCount[CountedQty],T_StockCount[RM_Code],$A30,T_StockCount[WeekIndex],24),IF((COUNTIFS(T_SelfStock[RM_Code],$A30,T_SelfStock[WeekIndex],24)&gt;0)*(COUNTIFS(T_TTAFStock[RM_Code],$A30,T_TTAFStock[WeekIndex],24)&gt;0)&gt;0,SUMIFS(T_SelfStock[Self_Qty],T_SelfStock[RM_Code],$A30,T_SelfStock[WeekIndex],24)+SUMIFS(T_TTAFStock[TTAF_Qty],T_TTAFStock[RM_Code],$A30,T_TTAFStock[WeekIndex],24),X30+'Grid_Incoming'!Y30-'Grid_Requirement'!Y30))</f>
        <v/>
      </c>
      <c r="Z30">
        <f>IF(COUNTIFS(T_StockCount[RM_Code],$A30,T_StockCount[WeekIndex],25)&gt;0,SUMIFS(T_StockCount[CountedQty],T_StockCount[RM_Code],$A30,T_StockCount[WeekIndex],25),IF((COUNTIFS(T_SelfStock[RM_Code],$A30,T_SelfStock[WeekIndex],25)&gt;0)*(COUNTIFS(T_TTAFStock[RM_Code],$A30,T_TTAFStock[WeekIndex],25)&gt;0)&gt;0,SUMIFS(T_SelfStock[Self_Qty],T_SelfStock[RM_Code],$A30,T_SelfStock[WeekIndex],25)+SUMIFS(T_TTAFStock[TTAF_Qty],T_TTAFStock[RM_Code],$A30,T_TTAFStock[WeekIndex],25),Y30+'Grid_Incoming'!Z30-'Grid_Requirement'!Z30))</f>
        <v/>
      </c>
      <c r="AA30">
        <f>IF(COUNTIFS(T_StockCount[RM_Code],$A30,T_StockCount[WeekIndex],26)&gt;0,SUMIFS(T_StockCount[CountedQty],T_StockCount[RM_Code],$A30,T_StockCount[WeekIndex],26),IF((COUNTIFS(T_SelfStock[RM_Code],$A30,T_SelfStock[WeekIndex],26)&gt;0)*(COUNTIFS(T_TTAFStock[RM_Code],$A30,T_TTAFStock[WeekIndex],26)&gt;0)&gt;0,SUMIFS(T_SelfStock[Self_Qty],T_SelfStock[RM_Code],$A30,T_SelfStock[WeekIndex],26)+SUMIFS(T_TTAFStock[TTAF_Qty],T_TTAFStock[RM_Code],$A30,T_TTAFStock[WeekIndex],26),Z30+'Grid_Incoming'!AA30-'Grid_Requirement'!AA30))</f>
        <v/>
      </c>
      <c r="AB30">
        <f>IF(COUNTIFS(T_StockCount[RM_Code],$A30,T_StockCount[WeekIndex],27)&gt;0,SUMIFS(T_StockCount[CountedQty],T_StockCount[RM_Code],$A30,T_StockCount[WeekIndex],27),IF((COUNTIFS(T_SelfStock[RM_Code],$A30,T_SelfStock[WeekIndex],27)&gt;0)*(COUNTIFS(T_TTAFStock[RM_Code],$A30,T_TTAFStock[WeekIndex],27)&gt;0)&gt;0,SUMIFS(T_SelfStock[Self_Qty],T_SelfStock[RM_Code],$A30,T_SelfStock[WeekIndex],27)+SUMIFS(T_TTAFStock[TTAF_Qty],T_TTAFStock[RM_Code],$A30,T_TTAFStock[WeekIndex],27),AA30+'Grid_Incoming'!AB30-'Grid_Requirement'!AB30))</f>
        <v/>
      </c>
      <c r="AC30">
        <f>IF(COUNTIFS(T_StockCount[RM_Code],$A30,T_StockCount[WeekIndex],28)&gt;0,SUMIFS(T_StockCount[CountedQty],T_StockCount[RM_Code],$A30,T_StockCount[WeekIndex],28),IF((COUNTIFS(T_SelfStock[RM_Code],$A30,T_SelfStock[WeekIndex],28)&gt;0)*(COUNTIFS(T_TTAFStock[RM_Code],$A30,T_TTAFStock[WeekIndex],28)&gt;0)&gt;0,SUMIFS(T_SelfStock[Self_Qty],T_SelfStock[RM_Code],$A30,T_SelfStock[WeekIndex],28)+SUMIFS(T_TTAFStock[TTAF_Qty],T_TTAFStock[RM_Code],$A30,T_TTAFStock[WeekIndex],28),AB30+'Grid_Incoming'!AC30-'Grid_Requirement'!AC30))</f>
        <v/>
      </c>
      <c r="AD30">
        <f>IF(COUNTIFS(T_StockCount[RM_Code],$A30,T_StockCount[WeekIndex],29)&gt;0,SUMIFS(T_StockCount[CountedQty],T_StockCount[RM_Code],$A30,T_StockCount[WeekIndex],29),IF((COUNTIFS(T_SelfStock[RM_Code],$A30,T_SelfStock[WeekIndex],29)&gt;0)*(COUNTIFS(T_TTAFStock[RM_Code],$A30,T_TTAFStock[WeekIndex],29)&gt;0)&gt;0,SUMIFS(T_SelfStock[Self_Qty],T_SelfStock[RM_Code],$A30,T_SelfStock[WeekIndex],29)+SUMIFS(T_TTAFStock[TTAF_Qty],T_TTAFStock[RM_Code],$A30,T_TTAFStock[WeekIndex],29),AC30+'Grid_Incoming'!AD30-'Grid_Requirement'!AD30))</f>
        <v/>
      </c>
      <c r="AE30">
        <f>IF(COUNTIFS(T_StockCount[RM_Code],$A30,T_StockCount[WeekIndex],30)&gt;0,SUMIFS(T_StockCount[CountedQty],T_StockCount[RM_Code],$A30,T_StockCount[WeekIndex],30),IF((COUNTIFS(T_SelfStock[RM_Code],$A30,T_SelfStock[WeekIndex],30)&gt;0)*(COUNTIFS(T_TTAFStock[RM_Code],$A30,T_TTAFStock[WeekIndex],30)&gt;0)&gt;0,SUMIFS(T_SelfStock[Self_Qty],T_SelfStock[RM_Code],$A30,T_SelfStock[WeekIndex],30)+SUMIFS(T_TTAFStock[TTAF_Qty],T_TTAFStock[RM_Code],$A30,T_TTAFStock[WeekIndex],30),AD30+'Grid_Incoming'!AE30-'Grid_Requirement'!AE30))</f>
        <v/>
      </c>
      <c r="AF30">
        <f>IF(COUNTIFS(T_StockCount[RM_Code],$A30,T_StockCount[WeekIndex],31)&gt;0,SUMIFS(T_StockCount[CountedQty],T_StockCount[RM_Code],$A30,T_StockCount[WeekIndex],31),IF((COUNTIFS(T_SelfStock[RM_Code],$A30,T_SelfStock[WeekIndex],31)&gt;0)*(COUNTIFS(T_TTAFStock[RM_Code],$A30,T_TTAFStock[WeekIndex],31)&gt;0)&gt;0,SUMIFS(T_SelfStock[Self_Qty],T_SelfStock[RM_Code],$A30,T_SelfStock[WeekIndex],31)+SUMIFS(T_TTAFStock[TTAF_Qty],T_TTAFStock[RM_Code],$A30,T_TTAFStock[WeekIndex],31),AE30+'Grid_Incoming'!AF30-'Grid_Requirement'!AF30))</f>
        <v/>
      </c>
      <c r="AG30">
        <f>IF(COUNTIFS(T_StockCount[RM_Code],$A30,T_StockCount[WeekIndex],32)&gt;0,SUMIFS(T_StockCount[CountedQty],T_StockCount[RM_Code],$A30,T_StockCount[WeekIndex],32),IF((COUNTIFS(T_SelfStock[RM_Code],$A30,T_SelfStock[WeekIndex],32)&gt;0)*(COUNTIFS(T_TTAFStock[RM_Code],$A30,T_TTAFStock[WeekIndex],32)&gt;0)&gt;0,SUMIFS(T_SelfStock[Self_Qty],T_SelfStock[RM_Code],$A30,T_SelfStock[WeekIndex],32)+SUMIFS(T_TTAFStock[TTAF_Qty],T_TTAFStock[RM_Code],$A30,T_TTAFStock[WeekIndex],32),AF30+'Grid_Incoming'!AG30-'Grid_Requirement'!AG30))</f>
        <v/>
      </c>
      <c r="AH30">
        <f>IF(COUNTIFS(T_StockCount[RM_Code],$A30,T_StockCount[WeekIndex],33)&gt;0,SUMIFS(T_StockCount[CountedQty],T_StockCount[RM_Code],$A30,T_StockCount[WeekIndex],33),IF((COUNTIFS(T_SelfStock[RM_Code],$A30,T_SelfStock[WeekIndex],33)&gt;0)*(COUNTIFS(T_TTAFStock[RM_Code],$A30,T_TTAFStock[WeekIndex],33)&gt;0)&gt;0,SUMIFS(T_SelfStock[Self_Qty],T_SelfStock[RM_Code],$A30,T_SelfStock[WeekIndex],33)+SUMIFS(T_TTAFStock[TTAF_Qty],T_TTAFStock[RM_Code],$A30,T_TTAFStock[WeekIndex],33),AG30+'Grid_Incoming'!AH30-'Grid_Requirement'!AH30))</f>
        <v/>
      </c>
      <c r="AI30">
        <f>IF(COUNTIFS(T_StockCount[RM_Code],$A30,T_StockCount[WeekIndex],34)&gt;0,SUMIFS(T_StockCount[CountedQty],T_StockCount[RM_Code],$A30,T_StockCount[WeekIndex],34),IF((COUNTIFS(T_SelfStock[RM_Code],$A30,T_SelfStock[WeekIndex],34)&gt;0)*(COUNTIFS(T_TTAFStock[RM_Code],$A30,T_TTAFStock[WeekIndex],34)&gt;0)&gt;0,SUMIFS(T_SelfStock[Self_Qty],T_SelfStock[RM_Code],$A30,T_SelfStock[WeekIndex],34)+SUMIFS(T_TTAFStock[TTAF_Qty],T_TTAFStock[RM_Code],$A30,T_TTAFStock[WeekIndex],34),AH30+'Grid_Incoming'!AI30-'Grid_Requirement'!AI30))</f>
        <v/>
      </c>
      <c r="AJ30">
        <f>IF(COUNTIFS(T_StockCount[RM_Code],$A30,T_StockCount[WeekIndex],35)&gt;0,SUMIFS(T_StockCount[CountedQty],T_StockCount[RM_Code],$A30,T_StockCount[WeekIndex],35),IF((COUNTIFS(T_SelfStock[RM_Code],$A30,T_SelfStock[WeekIndex],35)&gt;0)*(COUNTIFS(T_TTAFStock[RM_Code],$A30,T_TTAFStock[WeekIndex],35)&gt;0)&gt;0,SUMIFS(T_SelfStock[Self_Qty],T_SelfStock[RM_Code],$A30,T_SelfStock[WeekIndex],35)+SUMIFS(T_TTAFStock[TTAF_Qty],T_TTAFStock[RM_Code],$A30,T_TTAFStock[WeekIndex],35),AI30+'Grid_Incoming'!AJ30-'Grid_Requirement'!AJ30))</f>
        <v/>
      </c>
      <c r="AK30">
        <f>IF(COUNTIFS(T_StockCount[RM_Code],$A30,T_StockCount[WeekIndex],36)&gt;0,SUMIFS(T_StockCount[CountedQty],T_StockCount[RM_Code],$A30,T_StockCount[WeekIndex],36),IF((COUNTIFS(T_SelfStock[RM_Code],$A30,T_SelfStock[WeekIndex],36)&gt;0)*(COUNTIFS(T_TTAFStock[RM_Code],$A30,T_TTAFStock[WeekIndex],36)&gt;0)&gt;0,SUMIFS(T_SelfStock[Self_Qty],T_SelfStock[RM_Code],$A30,T_SelfStock[WeekIndex],36)+SUMIFS(T_TTAFStock[TTAF_Qty],T_TTAFStock[RM_Code],$A30,T_TTAFStock[WeekIndex],36),AJ30+'Grid_Incoming'!AK30-'Grid_Requirement'!AK30))</f>
        <v/>
      </c>
      <c r="AL30">
        <f>IF(COUNTIFS(T_StockCount[RM_Code],$A30,T_StockCount[WeekIndex],37)&gt;0,SUMIFS(T_StockCount[CountedQty],T_StockCount[RM_Code],$A30,T_StockCount[WeekIndex],37),IF((COUNTIFS(T_SelfStock[RM_Code],$A30,T_SelfStock[WeekIndex],37)&gt;0)*(COUNTIFS(T_TTAFStock[RM_Code],$A30,T_TTAFStock[WeekIndex],37)&gt;0)&gt;0,SUMIFS(T_SelfStock[Self_Qty],T_SelfStock[RM_Code],$A30,T_SelfStock[WeekIndex],37)+SUMIFS(T_TTAFStock[TTAF_Qty],T_TTAFStock[RM_Code],$A30,T_TTAFStock[WeekIndex],37),AK30+'Grid_Incoming'!AL30-'Grid_Requirement'!AL30))</f>
        <v/>
      </c>
      <c r="AM30">
        <f>IF(COUNTIFS(T_StockCount[RM_Code],$A30,T_StockCount[WeekIndex],38)&gt;0,SUMIFS(T_StockCount[CountedQty],T_StockCount[RM_Code],$A30,T_StockCount[WeekIndex],38),IF((COUNTIFS(T_SelfStock[RM_Code],$A30,T_SelfStock[WeekIndex],38)&gt;0)*(COUNTIFS(T_TTAFStock[RM_Code],$A30,T_TTAFStock[WeekIndex],38)&gt;0)&gt;0,SUMIFS(T_SelfStock[Self_Qty],T_SelfStock[RM_Code],$A30,T_SelfStock[WeekIndex],38)+SUMIFS(T_TTAFStock[TTAF_Qty],T_TTAFStock[RM_Code],$A30,T_TTAFStock[WeekIndex],38),AL30+'Grid_Incoming'!AM30-'Grid_Requirement'!AM30))</f>
        <v/>
      </c>
      <c r="AN30">
        <f>IF(COUNTIFS(T_StockCount[RM_Code],$A30,T_StockCount[WeekIndex],39)&gt;0,SUMIFS(T_StockCount[CountedQty],T_StockCount[RM_Code],$A30,T_StockCount[WeekIndex],39),IF((COUNTIFS(T_SelfStock[RM_Code],$A30,T_SelfStock[WeekIndex],39)&gt;0)*(COUNTIFS(T_TTAFStock[RM_Code],$A30,T_TTAFStock[WeekIndex],39)&gt;0)&gt;0,SUMIFS(T_SelfStock[Self_Qty],T_SelfStock[RM_Code],$A30,T_SelfStock[WeekIndex],39)+SUMIFS(T_TTAFStock[TTAF_Qty],T_TTAFStock[RM_Code],$A30,T_TTAFStock[WeekIndex],39),AM30+'Grid_Incoming'!AN30-'Grid_Requirement'!AN30))</f>
        <v/>
      </c>
      <c r="AO30">
        <f>IF(COUNTIFS(T_StockCount[RM_Code],$A30,T_StockCount[WeekIndex],40)&gt;0,SUMIFS(T_StockCount[CountedQty],T_StockCount[RM_Code],$A30,T_StockCount[WeekIndex],40),IF((COUNTIFS(T_SelfStock[RM_Code],$A30,T_SelfStock[WeekIndex],40)&gt;0)*(COUNTIFS(T_TTAFStock[RM_Code],$A30,T_TTAFStock[WeekIndex],40)&gt;0)&gt;0,SUMIFS(T_SelfStock[Self_Qty],T_SelfStock[RM_Code],$A30,T_SelfStock[WeekIndex],40)+SUMIFS(T_TTAFStock[TTAF_Qty],T_TTAFStock[RM_Code],$A30,T_TTAFStock[WeekIndex],40),AN30+'Grid_Incoming'!AO30-'Grid_Requirement'!AO30))</f>
        <v/>
      </c>
      <c r="AP30">
        <f>IF(COUNTIFS(T_StockCount[RM_Code],$A30,T_StockCount[WeekIndex],41)&gt;0,SUMIFS(T_StockCount[CountedQty],T_StockCount[RM_Code],$A30,T_StockCount[WeekIndex],41),IF((COUNTIFS(T_SelfStock[RM_Code],$A30,T_SelfStock[WeekIndex],41)&gt;0)*(COUNTIFS(T_TTAFStock[RM_Code],$A30,T_TTAFStock[WeekIndex],41)&gt;0)&gt;0,SUMIFS(T_SelfStock[Self_Qty],T_SelfStock[RM_Code],$A30,T_SelfStock[WeekIndex],41)+SUMIFS(T_TTAFStock[TTAF_Qty],T_TTAFStock[RM_Code],$A30,T_TTAFStock[WeekIndex],41),AO30+'Grid_Incoming'!AP30-'Grid_Requirement'!AP30))</f>
        <v/>
      </c>
      <c r="AQ30">
        <f>IF(COUNTIFS(T_StockCount[RM_Code],$A30,T_StockCount[WeekIndex],42)&gt;0,SUMIFS(T_StockCount[CountedQty],T_StockCount[RM_Code],$A30,T_StockCount[WeekIndex],42),IF((COUNTIFS(T_SelfStock[RM_Code],$A30,T_SelfStock[WeekIndex],42)&gt;0)*(COUNTIFS(T_TTAFStock[RM_Code],$A30,T_TTAFStock[WeekIndex],42)&gt;0)&gt;0,SUMIFS(T_SelfStock[Self_Qty],T_SelfStock[RM_Code],$A30,T_SelfStock[WeekIndex],42)+SUMIFS(T_TTAFStock[TTAF_Qty],T_TTAFStock[RM_Code],$A30,T_TTAFStock[WeekIndex],42),AP30+'Grid_Incoming'!AQ30-'Grid_Requirement'!AQ30))</f>
        <v/>
      </c>
      <c r="AR30">
        <f>IF(COUNTIFS(T_StockCount[RM_Code],$A30,T_StockCount[WeekIndex],43)&gt;0,SUMIFS(T_StockCount[CountedQty],T_StockCount[RM_Code],$A30,T_StockCount[WeekIndex],43),IF((COUNTIFS(T_SelfStock[RM_Code],$A30,T_SelfStock[WeekIndex],43)&gt;0)*(COUNTIFS(T_TTAFStock[RM_Code],$A30,T_TTAFStock[WeekIndex],43)&gt;0)&gt;0,SUMIFS(T_SelfStock[Self_Qty],T_SelfStock[RM_Code],$A30,T_SelfStock[WeekIndex],43)+SUMIFS(T_TTAFStock[TTAF_Qty],T_TTAFStock[RM_Code],$A30,T_TTAFStock[WeekIndex],43),AQ30+'Grid_Incoming'!AR30-'Grid_Requirement'!AR30))</f>
        <v/>
      </c>
      <c r="AS30">
        <f>IF(COUNTIFS(T_StockCount[RM_Code],$A30,T_StockCount[WeekIndex],44)&gt;0,SUMIFS(T_StockCount[CountedQty],T_StockCount[RM_Code],$A30,T_StockCount[WeekIndex],44),IF((COUNTIFS(T_SelfStock[RM_Code],$A30,T_SelfStock[WeekIndex],44)&gt;0)*(COUNTIFS(T_TTAFStock[RM_Code],$A30,T_TTAFStock[WeekIndex],44)&gt;0)&gt;0,SUMIFS(T_SelfStock[Self_Qty],T_SelfStock[RM_Code],$A30,T_SelfStock[WeekIndex],44)+SUMIFS(T_TTAFStock[TTAF_Qty],T_TTAFStock[RM_Code],$A30,T_TTAFStock[WeekIndex],44),AR30+'Grid_Incoming'!AS30-'Grid_Requirement'!AS30))</f>
        <v/>
      </c>
      <c r="AT30">
        <f>IF(COUNTIFS(T_StockCount[RM_Code],$A30,T_StockCount[WeekIndex],45)&gt;0,SUMIFS(T_StockCount[CountedQty],T_StockCount[RM_Code],$A30,T_StockCount[WeekIndex],45),IF((COUNTIFS(T_SelfStock[RM_Code],$A30,T_SelfStock[WeekIndex],45)&gt;0)*(COUNTIFS(T_TTAFStock[RM_Code],$A30,T_TTAFStock[WeekIndex],45)&gt;0)&gt;0,SUMIFS(T_SelfStock[Self_Qty],T_SelfStock[RM_Code],$A30,T_SelfStock[WeekIndex],45)+SUMIFS(T_TTAFStock[TTAF_Qty],T_TTAFStock[RM_Code],$A30,T_TTAFStock[WeekIndex],45),AS30+'Grid_Incoming'!AT30-'Grid_Requirement'!AT30))</f>
        <v/>
      </c>
      <c r="AU30">
        <f>IF(COUNTIFS(T_StockCount[RM_Code],$A30,T_StockCount[WeekIndex],46)&gt;0,SUMIFS(T_StockCount[CountedQty],T_StockCount[RM_Code],$A30,T_StockCount[WeekIndex],46),IF((COUNTIFS(T_SelfStock[RM_Code],$A30,T_SelfStock[WeekIndex],46)&gt;0)*(COUNTIFS(T_TTAFStock[RM_Code],$A30,T_TTAFStock[WeekIndex],46)&gt;0)&gt;0,SUMIFS(T_SelfStock[Self_Qty],T_SelfStock[RM_Code],$A30,T_SelfStock[WeekIndex],46)+SUMIFS(T_TTAFStock[TTAF_Qty],T_TTAFStock[RM_Code],$A30,T_TTAFStock[WeekIndex],46),AT30+'Grid_Incoming'!AU30-'Grid_Requirement'!AU30))</f>
        <v/>
      </c>
      <c r="AV30">
        <f>IF(COUNTIFS(T_StockCount[RM_Code],$A30,T_StockCount[WeekIndex],47)&gt;0,SUMIFS(T_StockCount[CountedQty],T_StockCount[RM_Code],$A30,T_StockCount[WeekIndex],47),IF((COUNTIFS(T_SelfStock[RM_Code],$A30,T_SelfStock[WeekIndex],47)&gt;0)*(COUNTIFS(T_TTAFStock[RM_Code],$A30,T_TTAFStock[WeekIndex],47)&gt;0)&gt;0,SUMIFS(T_SelfStock[Self_Qty],T_SelfStock[RM_Code],$A30,T_SelfStock[WeekIndex],47)+SUMIFS(T_TTAFStock[TTAF_Qty],T_TTAFStock[RM_Code],$A30,T_TTAFStock[WeekIndex],47),AU30+'Grid_Incoming'!AV30-'Grid_Requirement'!AV30))</f>
        <v/>
      </c>
      <c r="AW30">
        <f>IF(COUNTIFS(T_StockCount[RM_Code],$A30,T_StockCount[WeekIndex],48)&gt;0,SUMIFS(T_StockCount[CountedQty],T_StockCount[RM_Code],$A30,T_StockCount[WeekIndex],48),IF((COUNTIFS(T_SelfStock[RM_Code],$A30,T_SelfStock[WeekIndex],48)&gt;0)*(COUNTIFS(T_TTAFStock[RM_Code],$A30,T_TTAFStock[WeekIndex],48)&gt;0)&gt;0,SUMIFS(T_SelfStock[Self_Qty],T_SelfStock[RM_Code],$A30,T_SelfStock[WeekIndex],48)+SUMIFS(T_TTAFStock[TTAF_Qty],T_TTAFStock[RM_Code],$A30,T_TTAFStock[WeekIndex],48),AV30+'Grid_Incoming'!AW30-'Grid_Requirement'!AW30))</f>
        <v/>
      </c>
      <c r="AX30">
        <f>IF(COUNTIFS(T_StockCount[RM_Code],$A30,T_StockCount[WeekIndex],49)&gt;0,SUMIFS(T_StockCount[CountedQty],T_StockCount[RM_Code],$A30,T_StockCount[WeekIndex],49),IF((COUNTIFS(T_SelfStock[RM_Code],$A30,T_SelfStock[WeekIndex],49)&gt;0)*(COUNTIFS(T_TTAFStock[RM_Code],$A30,T_TTAFStock[WeekIndex],49)&gt;0)&gt;0,SUMIFS(T_SelfStock[Self_Qty],T_SelfStock[RM_Code],$A30,T_SelfStock[WeekIndex],49)+SUMIFS(T_TTAFStock[TTAF_Qty],T_TTAFStock[RM_Code],$A30,T_TTAFStock[WeekIndex],49),AW30+'Grid_Incoming'!AX30-'Grid_Requirement'!AX30))</f>
        <v/>
      </c>
      <c r="AY30">
        <f>IF(COUNTIFS(T_StockCount[RM_Code],$A30,T_StockCount[WeekIndex],50)&gt;0,SUMIFS(T_StockCount[CountedQty],T_StockCount[RM_Code],$A30,T_StockCount[WeekIndex],50),IF((COUNTIFS(T_SelfStock[RM_Code],$A30,T_SelfStock[WeekIndex],50)&gt;0)*(COUNTIFS(T_TTAFStock[RM_Code],$A30,T_TTAFStock[WeekIndex],50)&gt;0)&gt;0,SUMIFS(T_SelfStock[Self_Qty],T_SelfStock[RM_Code],$A30,T_SelfStock[WeekIndex],50)+SUMIFS(T_TTAFStock[TTAF_Qty],T_TTAFStock[RM_Code],$A30,T_TTAFStock[WeekIndex],50),AX30+'Grid_Incoming'!AY30-'Grid_Requirement'!AY30))</f>
        <v/>
      </c>
      <c r="AZ30">
        <f>IF(COUNTIFS(T_StockCount[RM_Code],$A30,T_StockCount[WeekIndex],51)&gt;0,SUMIFS(T_StockCount[CountedQty],T_StockCount[RM_Code],$A30,T_StockCount[WeekIndex],51),IF((COUNTIFS(T_SelfStock[RM_Code],$A30,T_SelfStock[WeekIndex],51)&gt;0)*(COUNTIFS(T_TTAFStock[RM_Code],$A30,T_TTAFStock[WeekIndex],51)&gt;0)&gt;0,SUMIFS(T_SelfStock[Self_Qty],T_SelfStock[RM_Code],$A30,T_SelfStock[WeekIndex],51)+SUMIFS(T_TTAFStock[TTAF_Qty],T_TTAFStock[RM_Code],$A30,T_TTAFStock[WeekIndex],51),AY30+'Grid_Incoming'!AZ30-'Grid_Requirement'!AZ30))</f>
        <v/>
      </c>
      <c r="BA30">
        <f>IF(COUNTIFS(T_StockCount[RM_Code],$A30,T_StockCount[WeekIndex],52)&gt;0,SUMIFS(T_StockCount[CountedQty],T_StockCount[RM_Code],$A30,T_StockCount[WeekIndex],52),IF((COUNTIFS(T_SelfStock[RM_Code],$A30,T_SelfStock[WeekIndex],52)&gt;0)*(COUNTIFS(T_TTAFStock[RM_Code],$A30,T_TTAFStock[WeekIndex],52)&gt;0)&gt;0,SUMIFS(T_SelfStock[Self_Qty],T_SelfStock[RM_Code],$A30,T_SelfStock[WeekIndex],52)+SUMIFS(T_TTAFStock[TTAF_Qty],T_TTAFStock[RM_Code],$A30,T_TTAFStock[WeekIndex],52),AZ30+'Grid_Incoming'!BA30-'Grid_Requirement'!BA30))</f>
        <v/>
      </c>
      <c r="BB30">
        <f>IF(COUNTIFS(T_StockCount[RM_Code],$A30,T_StockCount[WeekIndex],53)&gt;0,SUMIFS(T_StockCount[CountedQty],T_StockCount[RM_Code],$A30,T_StockCount[WeekIndex],53),IF((COUNTIFS(T_SelfStock[RM_Code],$A30,T_SelfStock[WeekIndex],53)&gt;0)*(COUNTIFS(T_TTAFStock[RM_Code],$A30,T_TTAFStock[WeekIndex],53)&gt;0)&gt;0,SUMIFS(T_SelfStock[Self_Qty],T_SelfStock[RM_Code],$A30,T_SelfStock[WeekIndex],53)+SUMIFS(T_TTAFStock[TTAF_Qty],T_TTAFStock[RM_Code],$A30,T_TTAFStock[WeekIndex],53),BA30+'Grid_Incoming'!BB30-'Grid_Requirement'!BB30))</f>
        <v/>
      </c>
      <c r="BC30">
        <f>IF(COUNTIFS(T_StockCount[RM_Code],$A30,T_StockCount[WeekIndex],54)&gt;0,SUMIFS(T_StockCount[CountedQty],T_StockCount[RM_Code],$A30,T_StockCount[WeekIndex],54),IF((COUNTIFS(T_SelfStock[RM_Code],$A30,T_SelfStock[WeekIndex],54)&gt;0)*(COUNTIFS(T_TTAFStock[RM_Code],$A30,T_TTAFStock[WeekIndex],54)&gt;0)&gt;0,SUMIFS(T_SelfStock[Self_Qty],T_SelfStock[RM_Code],$A30,T_SelfStock[WeekIndex],54)+SUMIFS(T_TTAFStock[TTAF_Qty],T_TTAFStock[RM_Code],$A30,T_TTAFStock[WeekIndex],54),BB30+'Grid_Incoming'!BC30-'Grid_Requirement'!BC30))</f>
        <v/>
      </c>
      <c r="BD30">
        <f>IF(COUNTIFS(T_StockCount[RM_Code],$A30,T_StockCount[WeekIndex],55)&gt;0,SUMIFS(T_StockCount[CountedQty],T_StockCount[RM_Code],$A30,T_StockCount[WeekIndex],55),IF((COUNTIFS(T_SelfStock[RM_Code],$A30,T_SelfStock[WeekIndex],55)&gt;0)*(COUNTIFS(T_TTAFStock[RM_Code],$A30,T_TTAFStock[WeekIndex],55)&gt;0)&gt;0,SUMIFS(T_SelfStock[Self_Qty],T_SelfStock[RM_Code],$A30,T_SelfStock[WeekIndex],55)+SUMIFS(T_TTAFStock[TTAF_Qty],T_TTAFStock[RM_Code],$A30,T_TTAFStock[WeekIndex],55),BC30+'Grid_Incoming'!BD30-'Grid_Requirement'!BD30))</f>
        <v/>
      </c>
      <c r="BE30">
        <f>IF(COUNTIFS(T_StockCount[RM_Code],$A30,T_StockCount[WeekIndex],56)&gt;0,SUMIFS(T_StockCount[CountedQty],T_StockCount[RM_Code],$A30,T_StockCount[WeekIndex],56),IF((COUNTIFS(T_SelfStock[RM_Code],$A30,T_SelfStock[WeekIndex],56)&gt;0)*(COUNTIFS(T_TTAFStock[RM_Code],$A30,T_TTAFStock[WeekIndex],56)&gt;0)&gt;0,SUMIFS(T_SelfStock[Self_Qty],T_SelfStock[RM_Code],$A30,T_SelfStock[WeekIndex],56)+SUMIFS(T_TTAFStock[TTAF_Qty],T_TTAFStock[RM_Code],$A30,T_TTAFStock[WeekIndex],56),BD30+'Grid_Incoming'!BE30-'Grid_Requirement'!BE30))</f>
        <v/>
      </c>
      <c r="BF30">
        <f>IF(COUNTIFS(T_StockCount[RM_Code],$A30,T_StockCount[WeekIndex],57)&gt;0,SUMIFS(T_StockCount[CountedQty],T_StockCount[RM_Code],$A30,T_StockCount[WeekIndex],57),IF((COUNTIFS(T_SelfStock[RM_Code],$A30,T_SelfStock[WeekIndex],57)&gt;0)*(COUNTIFS(T_TTAFStock[RM_Code],$A30,T_TTAFStock[WeekIndex],57)&gt;0)&gt;0,SUMIFS(T_SelfStock[Self_Qty],T_SelfStock[RM_Code],$A30,T_SelfStock[WeekIndex],57)+SUMIFS(T_TTAFStock[TTAF_Qty],T_TTAFStock[RM_Code],$A30,T_TTAFStock[WeekIndex],57),BE30+'Grid_Incoming'!BF30-'Grid_Requirement'!BF30))</f>
        <v/>
      </c>
      <c r="BG30">
        <f>IF(COUNTIFS(T_StockCount[RM_Code],$A30,T_StockCount[WeekIndex],58)&gt;0,SUMIFS(T_StockCount[CountedQty],T_StockCount[RM_Code],$A30,T_StockCount[WeekIndex],58),IF((COUNTIFS(T_SelfStock[RM_Code],$A30,T_SelfStock[WeekIndex],58)&gt;0)*(COUNTIFS(T_TTAFStock[RM_Code],$A30,T_TTAFStock[WeekIndex],58)&gt;0)&gt;0,SUMIFS(T_SelfStock[Self_Qty],T_SelfStock[RM_Code],$A30,T_SelfStock[WeekIndex],58)+SUMIFS(T_TTAFStock[TTAF_Qty],T_TTAFStock[RM_Code],$A30,T_TTAFStock[WeekIndex],58),BF30+'Grid_Incoming'!BG30-'Grid_Requirement'!BG30))</f>
        <v/>
      </c>
      <c r="BH30">
        <f>IF(COUNTIFS(T_StockCount[RM_Code],$A30,T_StockCount[WeekIndex],59)&gt;0,SUMIFS(T_StockCount[CountedQty],T_StockCount[RM_Code],$A30,T_StockCount[WeekIndex],59),IF((COUNTIFS(T_SelfStock[RM_Code],$A30,T_SelfStock[WeekIndex],59)&gt;0)*(COUNTIFS(T_TTAFStock[RM_Code],$A30,T_TTAFStock[WeekIndex],59)&gt;0)&gt;0,SUMIFS(T_SelfStock[Self_Qty],T_SelfStock[RM_Code],$A30,T_SelfStock[WeekIndex],59)+SUMIFS(T_TTAFStock[TTAF_Qty],T_TTAFStock[RM_Code],$A30,T_TTAFStock[WeekIndex],59),BG30+'Grid_Incoming'!BH30-'Grid_Requirement'!BH30))</f>
        <v/>
      </c>
      <c r="BI30">
        <f>IF(COUNTIFS(T_StockCount[RM_Code],$A30,T_StockCount[WeekIndex],60)&gt;0,SUMIFS(T_StockCount[CountedQty],T_StockCount[RM_Code],$A30,T_StockCount[WeekIndex],60),IF((COUNTIFS(T_SelfStock[RM_Code],$A30,T_SelfStock[WeekIndex],60)&gt;0)*(COUNTIFS(T_TTAFStock[RM_Code],$A30,T_TTAFStock[WeekIndex],60)&gt;0)&gt;0,SUMIFS(T_SelfStock[Self_Qty],T_SelfStock[RM_Code],$A30,T_SelfStock[WeekIndex],60)+SUMIFS(T_TTAFStock[TTAF_Qty],T_TTAFStock[RM_Code],$A30,T_TTAFStock[WeekIndex],60),BH30+'Grid_Incoming'!BI30-'Grid_Requirement'!BI30))</f>
        <v/>
      </c>
      <c r="BJ30">
        <f>IF(COUNTIFS(T_StockCount[RM_Code],$A30,T_StockCount[WeekIndex],61)&gt;0,SUMIFS(T_StockCount[CountedQty],T_StockCount[RM_Code],$A30,T_StockCount[WeekIndex],61),IF((COUNTIFS(T_SelfStock[RM_Code],$A30,T_SelfStock[WeekIndex],61)&gt;0)*(COUNTIFS(T_TTAFStock[RM_Code],$A30,T_TTAFStock[WeekIndex],61)&gt;0)&gt;0,SUMIFS(T_SelfStock[Self_Qty],T_SelfStock[RM_Code],$A30,T_SelfStock[WeekIndex],61)+SUMIFS(T_TTAFStock[TTAF_Qty],T_TTAFStock[RM_Code],$A30,T_TTAFStock[WeekIndex],61),BI30+'Grid_Incoming'!BJ30-'Grid_Requirement'!BJ30))</f>
        <v/>
      </c>
      <c r="BK30">
        <f>IF(COUNTIFS(T_StockCount[RM_Code],$A30,T_StockCount[WeekIndex],62)&gt;0,SUMIFS(T_StockCount[CountedQty],T_StockCount[RM_Code],$A30,T_StockCount[WeekIndex],62),IF((COUNTIFS(T_SelfStock[RM_Code],$A30,T_SelfStock[WeekIndex],62)&gt;0)*(COUNTIFS(T_TTAFStock[RM_Code],$A30,T_TTAFStock[WeekIndex],62)&gt;0)&gt;0,SUMIFS(T_SelfStock[Self_Qty],T_SelfStock[RM_Code],$A30,T_SelfStock[WeekIndex],62)+SUMIFS(T_TTAFStock[TTAF_Qty],T_TTAFStock[RM_Code],$A30,T_TTAFStock[WeekIndex],62),BJ30+'Grid_Incoming'!BK30-'Grid_Requirement'!BK30))</f>
        <v/>
      </c>
      <c r="BL30">
        <f>IF(COUNTIFS(T_StockCount[RM_Code],$A30,T_StockCount[WeekIndex],63)&gt;0,SUMIFS(T_StockCount[CountedQty],T_StockCount[RM_Code],$A30,T_StockCount[WeekIndex],63),IF((COUNTIFS(T_SelfStock[RM_Code],$A30,T_SelfStock[WeekIndex],63)&gt;0)*(COUNTIFS(T_TTAFStock[RM_Code],$A30,T_TTAFStock[WeekIndex],63)&gt;0)&gt;0,SUMIFS(T_SelfStock[Self_Qty],T_SelfStock[RM_Code],$A30,T_SelfStock[WeekIndex],63)+SUMIFS(T_TTAFStock[TTAF_Qty],T_TTAFStock[RM_Code],$A30,T_TTAFStock[WeekIndex],63),BK30+'Grid_Incoming'!BL30-'Grid_Requirement'!BL30))</f>
        <v/>
      </c>
      <c r="BM30">
        <f>IF(COUNTIFS(T_StockCount[RM_Code],$A30,T_StockCount[WeekIndex],64)&gt;0,SUMIFS(T_StockCount[CountedQty],T_StockCount[RM_Code],$A30,T_StockCount[WeekIndex],64),IF((COUNTIFS(T_SelfStock[RM_Code],$A30,T_SelfStock[WeekIndex],64)&gt;0)*(COUNTIFS(T_TTAFStock[RM_Code],$A30,T_TTAFStock[WeekIndex],64)&gt;0)&gt;0,SUMIFS(T_SelfStock[Self_Qty],T_SelfStock[RM_Code],$A30,T_SelfStock[WeekIndex],64)+SUMIFS(T_TTAFStock[TTAF_Qty],T_TTAFStock[RM_Code],$A30,T_TTAFStock[WeekIndex],64),BL30+'Grid_Incoming'!BM30-'Grid_Requirement'!BM30))</f>
        <v/>
      </c>
      <c r="BN30">
        <f>IF(COUNTIFS(T_StockCount[RM_Code],$A30,T_StockCount[WeekIndex],65)&gt;0,SUMIFS(T_StockCount[CountedQty],T_StockCount[RM_Code],$A30,T_StockCount[WeekIndex],65),IF((COUNTIFS(T_SelfStock[RM_Code],$A30,T_SelfStock[WeekIndex],65)&gt;0)*(COUNTIFS(T_TTAFStock[RM_Code],$A30,T_TTAFStock[WeekIndex],65)&gt;0)&gt;0,SUMIFS(T_SelfStock[Self_Qty],T_SelfStock[RM_Code],$A30,T_SelfStock[WeekIndex],65)+SUMIFS(T_TTAFStock[TTAF_Qty],T_TTAFStock[RM_Code],$A30,T_TTAFStock[WeekIndex],65),BM30+'Grid_Incoming'!BN30-'Grid_Requirement'!BN30))</f>
        <v/>
      </c>
      <c r="BO30">
        <f>IF(COUNTIFS(T_StockCount[RM_Code],$A30,T_StockCount[WeekIndex],66)&gt;0,SUMIFS(T_StockCount[CountedQty],T_StockCount[RM_Code],$A30,T_StockCount[WeekIndex],66),IF((COUNTIFS(T_SelfStock[RM_Code],$A30,T_SelfStock[WeekIndex],66)&gt;0)*(COUNTIFS(T_TTAFStock[RM_Code],$A30,T_TTAFStock[WeekIndex],66)&gt;0)&gt;0,SUMIFS(T_SelfStock[Self_Qty],T_SelfStock[RM_Code],$A30,T_SelfStock[WeekIndex],66)+SUMIFS(T_TTAFStock[TTAF_Qty],T_TTAFStock[RM_Code],$A30,T_TTAFStock[WeekIndex],66),BN30+'Grid_Incoming'!BO30-'Grid_Requirement'!BO30))</f>
        <v/>
      </c>
      <c r="BP30">
        <f>IF(COUNTIFS(T_StockCount[RM_Code],$A30,T_StockCount[WeekIndex],67)&gt;0,SUMIFS(T_StockCount[CountedQty],T_StockCount[RM_Code],$A30,T_StockCount[WeekIndex],67),IF((COUNTIFS(T_SelfStock[RM_Code],$A30,T_SelfStock[WeekIndex],67)&gt;0)*(COUNTIFS(T_TTAFStock[RM_Code],$A30,T_TTAFStock[WeekIndex],67)&gt;0)&gt;0,SUMIFS(T_SelfStock[Self_Qty],T_SelfStock[RM_Code],$A30,T_SelfStock[WeekIndex],67)+SUMIFS(T_TTAFStock[TTAF_Qty],T_TTAFStock[RM_Code],$A30,T_TTAFStock[WeekIndex],67),BO30+'Grid_Incoming'!BP30-'Grid_Requirement'!BP30))</f>
        <v/>
      </c>
      <c r="BQ30">
        <f>IF(COUNTIFS(T_StockCount[RM_Code],$A30,T_StockCount[WeekIndex],68)&gt;0,SUMIFS(T_StockCount[CountedQty],T_StockCount[RM_Code],$A30,T_StockCount[WeekIndex],68),IF((COUNTIFS(T_SelfStock[RM_Code],$A30,T_SelfStock[WeekIndex],68)&gt;0)*(COUNTIFS(T_TTAFStock[RM_Code],$A30,T_TTAFStock[WeekIndex],68)&gt;0)&gt;0,SUMIFS(T_SelfStock[Self_Qty],T_SelfStock[RM_Code],$A30,T_SelfStock[WeekIndex],68)+SUMIFS(T_TTAFStock[TTAF_Qty],T_TTAFStock[RM_Code],$A30,T_TTAFStock[WeekIndex],68),BP30+'Grid_Incoming'!BQ30-'Grid_Requirement'!BQ30))</f>
        <v/>
      </c>
      <c r="BR30">
        <f>IF(COUNTIFS(T_StockCount[RM_Code],$A30,T_StockCount[WeekIndex],69)&gt;0,SUMIFS(T_StockCount[CountedQty],T_StockCount[RM_Code],$A30,T_StockCount[WeekIndex],69),IF((COUNTIFS(T_SelfStock[RM_Code],$A30,T_SelfStock[WeekIndex],69)&gt;0)*(COUNTIFS(T_TTAFStock[RM_Code],$A30,T_TTAFStock[WeekIndex],69)&gt;0)&gt;0,SUMIFS(T_SelfStock[Self_Qty],T_SelfStock[RM_Code],$A30,T_SelfStock[WeekIndex],69)+SUMIFS(T_TTAFStock[TTAF_Qty],T_TTAFStock[RM_Code],$A30,T_TTAFStock[WeekIndex],69),BQ30+'Grid_Incoming'!BR30-'Grid_Requirement'!BR30))</f>
        <v/>
      </c>
      <c r="BS30">
        <f>IF(COUNTIFS(T_StockCount[RM_Code],$A30,T_StockCount[WeekIndex],70)&gt;0,SUMIFS(T_StockCount[CountedQty],T_StockCount[RM_Code],$A30,T_StockCount[WeekIndex],70),IF((COUNTIFS(T_SelfStock[RM_Code],$A30,T_SelfStock[WeekIndex],70)&gt;0)*(COUNTIFS(T_TTAFStock[RM_Code],$A30,T_TTAFStock[WeekIndex],70)&gt;0)&gt;0,SUMIFS(T_SelfStock[Self_Qty],T_SelfStock[RM_Code],$A30,T_SelfStock[WeekIndex],70)+SUMIFS(T_TTAFStock[TTAF_Qty],T_TTAFStock[RM_Code],$A30,T_TTAFStock[WeekIndex],70),BR30+'Grid_Incoming'!BS30-'Grid_Requirement'!BS30))</f>
        <v/>
      </c>
      <c r="BT30">
        <f>IF(COUNTIFS(T_StockCount[RM_Code],$A30,T_StockCount[WeekIndex],71)&gt;0,SUMIFS(T_StockCount[CountedQty],T_StockCount[RM_Code],$A30,T_StockCount[WeekIndex],71),IF((COUNTIFS(T_SelfStock[RM_Code],$A30,T_SelfStock[WeekIndex],71)&gt;0)*(COUNTIFS(T_TTAFStock[RM_Code],$A30,T_TTAFStock[WeekIndex],71)&gt;0)&gt;0,SUMIFS(T_SelfStock[Self_Qty],T_SelfStock[RM_Code],$A30,T_SelfStock[WeekIndex],71)+SUMIFS(T_TTAFStock[TTAF_Qty],T_TTAFStock[RM_Code],$A30,T_TTAFStock[WeekIndex],71),BS30+'Grid_Incoming'!BT30-'Grid_Requirement'!BT30))</f>
        <v/>
      </c>
      <c r="BU30">
        <f>IF(COUNTIFS(T_StockCount[RM_Code],$A30,T_StockCount[WeekIndex],72)&gt;0,SUMIFS(T_StockCount[CountedQty],T_StockCount[RM_Code],$A30,T_StockCount[WeekIndex],72),IF((COUNTIFS(T_SelfStock[RM_Code],$A30,T_SelfStock[WeekIndex],72)&gt;0)*(COUNTIFS(T_TTAFStock[RM_Code],$A30,T_TTAFStock[WeekIndex],72)&gt;0)&gt;0,SUMIFS(T_SelfStock[Self_Qty],T_SelfStock[RM_Code],$A30,T_SelfStock[WeekIndex],72)+SUMIFS(T_TTAFStock[TTAF_Qty],T_TTAFStock[RM_Code],$A30,T_TTAFStock[WeekIndex],72),BT30+'Grid_Incoming'!BU30-'Grid_Requirement'!BU30))</f>
        <v/>
      </c>
      <c r="BV30">
        <f>IF(COUNTIFS(T_StockCount[RM_Code],$A30,T_StockCount[WeekIndex],73)&gt;0,SUMIFS(T_StockCount[CountedQty],T_StockCount[RM_Code],$A30,T_StockCount[WeekIndex],73),IF((COUNTIFS(T_SelfStock[RM_Code],$A30,T_SelfStock[WeekIndex],73)&gt;0)*(COUNTIFS(T_TTAFStock[RM_Code],$A30,T_TTAFStock[WeekIndex],73)&gt;0)&gt;0,SUMIFS(T_SelfStock[Self_Qty],T_SelfStock[RM_Code],$A30,T_SelfStock[WeekIndex],73)+SUMIFS(T_TTAFStock[TTAF_Qty],T_TTAFStock[RM_Code],$A30,T_TTAFStock[WeekIndex],73),BU30+'Grid_Incoming'!BV30-'Grid_Requirement'!BV30))</f>
        <v/>
      </c>
      <c r="BW30">
        <f>IF(COUNTIFS(T_StockCount[RM_Code],$A30,T_StockCount[WeekIndex],74)&gt;0,SUMIFS(T_StockCount[CountedQty],T_StockCount[RM_Code],$A30,T_StockCount[WeekIndex],74),IF((COUNTIFS(T_SelfStock[RM_Code],$A30,T_SelfStock[WeekIndex],74)&gt;0)*(COUNTIFS(T_TTAFStock[RM_Code],$A30,T_TTAFStock[WeekIndex],74)&gt;0)&gt;0,SUMIFS(T_SelfStock[Self_Qty],T_SelfStock[RM_Code],$A30,T_SelfStock[WeekIndex],74)+SUMIFS(T_TTAFStock[TTAF_Qty],T_TTAFStock[RM_Code],$A30,T_TTAFStock[WeekIndex],74),BV30+'Grid_Incoming'!BW30-'Grid_Requirement'!BW30))</f>
        <v/>
      </c>
      <c r="BX30">
        <f>IF(COUNTIFS(T_StockCount[RM_Code],$A30,T_StockCount[WeekIndex],75)&gt;0,SUMIFS(T_StockCount[CountedQty],T_StockCount[RM_Code],$A30,T_StockCount[WeekIndex],75),IF((COUNTIFS(T_SelfStock[RM_Code],$A30,T_SelfStock[WeekIndex],75)&gt;0)*(COUNTIFS(T_TTAFStock[RM_Code],$A30,T_TTAFStock[WeekIndex],75)&gt;0)&gt;0,SUMIFS(T_SelfStock[Self_Qty],T_SelfStock[RM_Code],$A30,T_SelfStock[WeekIndex],75)+SUMIFS(T_TTAFStock[TTAF_Qty],T_TTAFStock[RM_Code],$A30,T_TTAFStock[WeekIndex],75),BW30+'Grid_Incoming'!BX30-'Grid_Requirement'!BX30))</f>
        <v/>
      </c>
      <c r="BY30">
        <f>IF(COUNTIFS(T_StockCount[RM_Code],$A30,T_StockCount[WeekIndex],76)&gt;0,SUMIFS(T_StockCount[CountedQty],T_StockCount[RM_Code],$A30,T_StockCount[WeekIndex],76),IF((COUNTIFS(T_SelfStock[RM_Code],$A30,T_SelfStock[WeekIndex],76)&gt;0)*(COUNTIFS(T_TTAFStock[RM_Code],$A30,T_TTAFStock[WeekIndex],76)&gt;0)&gt;0,SUMIFS(T_SelfStock[Self_Qty],T_SelfStock[RM_Code],$A30,T_SelfStock[WeekIndex],76)+SUMIFS(T_TTAFStock[TTAF_Qty],T_TTAFStock[RM_Code],$A30,T_TTAFStock[WeekIndex],76),BX30+'Grid_Incoming'!BY30-'Grid_Requirement'!BY30))</f>
        <v/>
      </c>
      <c r="BZ30">
        <f>IF(COUNTIFS(T_StockCount[RM_Code],$A30,T_StockCount[WeekIndex],77)&gt;0,SUMIFS(T_StockCount[CountedQty],T_StockCount[RM_Code],$A30,T_StockCount[WeekIndex],77),IF((COUNTIFS(T_SelfStock[RM_Code],$A30,T_SelfStock[WeekIndex],77)&gt;0)*(COUNTIFS(T_TTAFStock[RM_Code],$A30,T_TTAFStock[WeekIndex],77)&gt;0)&gt;0,SUMIFS(T_SelfStock[Self_Qty],T_SelfStock[RM_Code],$A30,T_SelfStock[WeekIndex],77)+SUMIFS(T_TTAFStock[TTAF_Qty],T_TTAFStock[RM_Code],$A30,T_TTAFStock[WeekIndex],77),BY30+'Grid_Incoming'!BZ30-'Grid_Requirement'!BZ30))</f>
        <v/>
      </c>
      <c r="CA30">
        <f>IF(COUNTIFS(T_StockCount[RM_Code],$A30,T_StockCount[WeekIndex],78)&gt;0,SUMIFS(T_StockCount[CountedQty],T_StockCount[RM_Code],$A30,T_StockCount[WeekIndex],78),IF((COUNTIFS(T_SelfStock[RM_Code],$A30,T_SelfStock[WeekIndex],78)&gt;0)*(COUNTIFS(T_TTAFStock[RM_Code],$A30,T_TTAFStock[WeekIndex],78)&gt;0)&gt;0,SUMIFS(T_SelfStock[Self_Qty],T_SelfStock[RM_Code],$A30,T_SelfStock[WeekIndex],78)+SUMIFS(T_TTAFStock[TTAF_Qty],T_TTAFStock[RM_Code],$A30,T_TTAFStock[WeekIndex],78),BZ30+'Grid_Incoming'!CA30-'Grid_Requirement'!CA30))</f>
        <v/>
      </c>
      <c r="CB30">
        <f>IF(COUNTIFS(T_StockCount[RM_Code],$A30,T_StockCount[WeekIndex],79)&gt;0,SUMIFS(T_StockCount[CountedQty],T_StockCount[RM_Code],$A30,T_StockCount[WeekIndex],79),IF((COUNTIFS(T_SelfStock[RM_Code],$A30,T_SelfStock[WeekIndex],79)&gt;0)*(COUNTIFS(T_TTAFStock[RM_Code],$A30,T_TTAFStock[WeekIndex],79)&gt;0)&gt;0,SUMIFS(T_SelfStock[Self_Qty],T_SelfStock[RM_Code],$A30,T_SelfStock[WeekIndex],79)+SUMIFS(T_TTAFStock[TTAF_Qty],T_TTAFStock[RM_Code],$A30,T_TTAFStock[WeekIndex],79),CA30+'Grid_Incoming'!CB30-'Grid_Requirement'!CB30))</f>
        <v/>
      </c>
      <c r="CC30">
        <f>IF(COUNTIFS(T_StockCount[RM_Code],$A30,T_StockCount[WeekIndex],80)&gt;0,SUMIFS(T_StockCount[CountedQty],T_StockCount[RM_Code],$A30,T_StockCount[WeekIndex],80),IF((COUNTIFS(T_SelfStock[RM_Code],$A30,T_SelfStock[WeekIndex],80)&gt;0)*(COUNTIFS(T_TTAFStock[RM_Code],$A30,T_TTAFStock[WeekIndex],80)&gt;0)&gt;0,SUMIFS(T_SelfStock[Self_Qty],T_SelfStock[RM_Code],$A30,T_SelfStock[WeekIndex],80)+SUMIFS(T_TTAFStock[TTAF_Qty],T_TTAFStock[RM_Code],$A30,T_TTAFStock[WeekIndex],80),CB30+'Grid_Incoming'!CC30-'Grid_Requirement'!CC30))</f>
        <v/>
      </c>
      <c r="CD30">
        <f>IF(COUNTIFS(T_StockCount[RM_Code],$A30,T_StockCount[WeekIndex],81)&gt;0,SUMIFS(T_StockCount[CountedQty],T_StockCount[RM_Code],$A30,T_StockCount[WeekIndex],81),IF((COUNTIFS(T_SelfStock[RM_Code],$A30,T_SelfStock[WeekIndex],81)&gt;0)*(COUNTIFS(T_TTAFStock[RM_Code],$A30,T_TTAFStock[WeekIndex],81)&gt;0)&gt;0,SUMIFS(T_SelfStock[Self_Qty],T_SelfStock[RM_Code],$A30,T_SelfStock[WeekIndex],81)+SUMIFS(T_TTAFStock[TTAF_Qty],T_TTAFStock[RM_Code],$A30,T_TTAFStock[WeekIndex],81),CC30+'Grid_Incoming'!CD30-'Grid_Requirement'!CD30))</f>
        <v/>
      </c>
      <c r="CE30">
        <f>IF(COUNTIFS(T_StockCount[RM_Code],$A30,T_StockCount[WeekIndex],82)&gt;0,SUMIFS(T_StockCount[CountedQty],T_StockCount[RM_Code],$A30,T_StockCount[WeekIndex],82),IF((COUNTIFS(T_SelfStock[RM_Code],$A30,T_SelfStock[WeekIndex],82)&gt;0)*(COUNTIFS(T_TTAFStock[RM_Code],$A30,T_TTAFStock[WeekIndex],82)&gt;0)&gt;0,SUMIFS(T_SelfStock[Self_Qty],T_SelfStock[RM_Code],$A30,T_SelfStock[WeekIndex],82)+SUMIFS(T_TTAFStock[TTAF_Qty],T_TTAFStock[RM_Code],$A30,T_TTAFStock[WeekIndex],82),CD30+'Grid_Incoming'!CE30-'Grid_Requirement'!CE30))</f>
        <v/>
      </c>
      <c r="CF30">
        <f>IF(COUNTIFS(T_StockCount[RM_Code],$A30,T_StockCount[WeekIndex],83)&gt;0,SUMIFS(T_StockCount[CountedQty],T_StockCount[RM_Code],$A30,T_StockCount[WeekIndex],83),IF((COUNTIFS(T_SelfStock[RM_Code],$A30,T_SelfStock[WeekIndex],83)&gt;0)*(COUNTIFS(T_TTAFStock[RM_Code],$A30,T_TTAFStock[WeekIndex],83)&gt;0)&gt;0,SUMIFS(T_SelfStock[Self_Qty],T_SelfStock[RM_Code],$A30,T_SelfStock[WeekIndex],83)+SUMIFS(T_TTAFStock[TTAF_Qty],T_TTAFStock[RM_Code],$A30,T_TTAFStock[WeekIndex],83),CE30+'Grid_Incoming'!CF30-'Grid_Requirement'!CF30))</f>
        <v/>
      </c>
      <c r="CG30">
        <f>IF(COUNTIFS(T_StockCount[RM_Code],$A30,T_StockCount[WeekIndex],84)&gt;0,SUMIFS(T_StockCount[CountedQty],T_StockCount[RM_Code],$A30,T_StockCount[WeekIndex],84),IF((COUNTIFS(T_SelfStock[RM_Code],$A30,T_SelfStock[WeekIndex],84)&gt;0)*(COUNTIFS(T_TTAFStock[RM_Code],$A30,T_TTAFStock[WeekIndex],84)&gt;0)&gt;0,SUMIFS(T_SelfStock[Self_Qty],T_SelfStock[RM_Code],$A30,T_SelfStock[WeekIndex],84)+SUMIFS(T_TTAFStock[TTAF_Qty],T_TTAFStock[RM_Code],$A30,T_TTAFStock[WeekIndex],84),CF30+'Grid_Incoming'!CG30-'Grid_Requirement'!CG30))</f>
        <v/>
      </c>
      <c r="CH30">
        <f>IF(COUNTIFS(T_StockCount[RM_Code],$A30,T_StockCount[WeekIndex],85)&gt;0,SUMIFS(T_StockCount[CountedQty],T_StockCount[RM_Code],$A30,T_StockCount[WeekIndex],85),IF((COUNTIFS(T_SelfStock[RM_Code],$A30,T_SelfStock[WeekIndex],85)&gt;0)*(COUNTIFS(T_TTAFStock[RM_Code],$A30,T_TTAFStock[WeekIndex],85)&gt;0)&gt;0,SUMIFS(T_SelfStock[Self_Qty],T_SelfStock[RM_Code],$A30,T_SelfStock[WeekIndex],85)+SUMIFS(T_TTAFStock[TTAF_Qty],T_TTAFStock[RM_Code],$A30,T_TTAFStock[WeekIndex],85),CG30+'Grid_Incoming'!CH30-'Grid_Requirement'!CH30))</f>
        <v/>
      </c>
      <c r="CI30">
        <f>IF(COUNTIFS(T_StockCount[RM_Code],$A30,T_StockCount[WeekIndex],86)&gt;0,SUMIFS(T_StockCount[CountedQty],T_StockCount[RM_Code],$A30,T_StockCount[WeekIndex],86),IF((COUNTIFS(T_SelfStock[RM_Code],$A30,T_SelfStock[WeekIndex],86)&gt;0)*(COUNTIFS(T_TTAFStock[RM_Code],$A30,T_TTAFStock[WeekIndex],86)&gt;0)&gt;0,SUMIFS(T_SelfStock[Self_Qty],T_SelfStock[RM_Code],$A30,T_SelfStock[WeekIndex],86)+SUMIFS(T_TTAFStock[TTAF_Qty],T_TTAFStock[RM_Code],$A30,T_TTAFStock[WeekIndex],86),CH30+'Grid_Incoming'!CI30-'Grid_Requirement'!CI30))</f>
        <v/>
      </c>
      <c r="CJ30">
        <f>IF(COUNTIFS(T_StockCount[RM_Code],$A30,T_StockCount[WeekIndex],87)&gt;0,SUMIFS(T_StockCount[CountedQty],T_StockCount[RM_Code],$A30,T_StockCount[WeekIndex],87),IF((COUNTIFS(T_SelfStock[RM_Code],$A30,T_SelfStock[WeekIndex],87)&gt;0)*(COUNTIFS(T_TTAFStock[RM_Code],$A30,T_TTAFStock[WeekIndex],87)&gt;0)&gt;0,SUMIFS(T_SelfStock[Self_Qty],T_SelfStock[RM_Code],$A30,T_SelfStock[WeekIndex],87)+SUMIFS(T_TTAFStock[TTAF_Qty],T_TTAFStock[RM_Code],$A30,T_TTAFStock[WeekIndex],87),CI30+'Grid_Incoming'!CJ30-'Grid_Requirement'!CJ30))</f>
        <v/>
      </c>
      <c r="CK30">
        <f>IF(COUNTIFS(T_StockCount[RM_Code],$A30,T_StockCount[WeekIndex],88)&gt;0,SUMIFS(T_StockCount[CountedQty],T_StockCount[RM_Code],$A30,T_StockCount[WeekIndex],88),IF((COUNTIFS(T_SelfStock[RM_Code],$A30,T_SelfStock[WeekIndex],88)&gt;0)*(COUNTIFS(T_TTAFStock[RM_Code],$A30,T_TTAFStock[WeekIndex],88)&gt;0)&gt;0,SUMIFS(T_SelfStock[Self_Qty],T_SelfStock[RM_Code],$A30,T_SelfStock[WeekIndex],88)+SUMIFS(T_TTAFStock[TTAF_Qty],T_TTAFStock[RM_Code],$A30,T_TTAFStock[WeekIndex],88),CJ30+'Grid_Incoming'!CK30-'Grid_Requirement'!CK30))</f>
        <v/>
      </c>
      <c r="CL30">
        <f>IF(COUNTIFS(T_StockCount[RM_Code],$A30,T_StockCount[WeekIndex],89)&gt;0,SUMIFS(T_StockCount[CountedQty],T_StockCount[RM_Code],$A30,T_StockCount[WeekIndex],89),IF((COUNTIFS(T_SelfStock[RM_Code],$A30,T_SelfStock[WeekIndex],89)&gt;0)*(COUNTIFS(T_TTAFStock[RM_Code],$A30,T_TTAFStock[WeekIndex],89)&gt;0)&gt;0,SUMIFS(T_SelfStock[Self_Qty],T_SelfStock[RM_Code],$A30,T_SelfStock[WeekIndex],89)+SUMIFS(T_TTAFStock[TTAF_Qty],T_TTAFStock[RM_Code],$A30,T_TTAFStock[WeekIndex],89),CK30+'Grid_Incoming'!CL30-'Grid_Requirement'!CL30))</f>
        <v/>
      </c>
      <c r="CM30">
        <f>IF(COUNTIFS(T_StockCount[RM_Code],$A30,T_StockCount[WeekIndex],90)&gt;0,SUMIFS(T_StockCount[CountedQty],T_StockCount[RM_Code],$A30,T_StockCount[WeekIndex],90),IF((COUNTIFS(T_SelfStock[RM_Code],$A30,T_SelfStock[WeekIndex],90)&gt;0)*(COUNTIFS(T_TTAFStock[RM_Code],$A30,T_TTAFStock[WeekIndex],90)&gt;0)&gt;0,SUMIFS(T_SelfStock[Self_Qty],T_SelfStock[RM_Code],$A30,T_SelfStock[WeekIndex],90)+SUMIFS(T_TTAFStock[TTAF_Qty],T_TTAFStock[RM_Code],$A30,T_TTAFStock[WeekIndex],90),CL30+'Grid_Incoming'!CM30-'Grid_Requirement'!CM30))</f>
        <v/>
      </c>
      <c r="CN30">
        <f>IF(COUNTIFS(T_StockCount[RM_Code],$A30,T_StockCount[WeekIndex],91)&gt;0,SUMIFS(T_StockCount[CountedQty],T_StockCount[RM_Code],$A30,T_StockCount[WeekIndex],91),IF((COUNTIFS(T_SelfStock[RM_Code],$A30,T_SelfStock[WeekIndex],91)&gt;0)*(COUNTIFS(T_TTAFStock[RM_Code],$A30,T_TTAFStock[WeekIndex],91)&gt;0)&gt;0,SUMIFS(T_SelfStock[Self_Qty],T_SelfStock[RM_Code],$A30,T_SelfStock[WeekIndex],91)+SUMIFS(T_TTAFStock[TTAF_Qty],T_TTAFStock[RM_Code],$A30,T_TTAFStock[WeekIndex],91),CM30+'Grid_Incoming'!CN30-'Grid_Requirement'!CN30))</f>
        <v/>
      </c>
      <c r="CO30">
        <f>IF(COUNTIFS(T_StockCount[RM_Code],$A30,T_StockCount[WeekIndex],92)&gt;0,SUMIFS(T_StockCount[CountedQty],T_StockCount[RM_Code],$A30,T_StockCount[WeekIndex],92),IF((COUNTIFS(T_SelfStock[RM_Code],$A30,T_SelfStock[WeekIndex],92)&gt;0)*(COUNTIFS(T_TTAFStock[RM_Code],$A30,T_TTAFStock[WeekIndex],92)&gt;0)&gt;0,SUMIFS(T_SelfStock[Self_Qty],T_SelfStock[RM_Code],$A30,T_SelfStock[WeekIndex],92)+SUMIFS(T_TTAFStock[TTAF_Qty],T_TTAFStock[RM_Code],$A30,T_TTAFStock[WeekIndex],92),CN30+'Grid_Incoming'!CO30-'Grid_Requirement'!CO30))</f>
        <v/>
      </c>
      <c r="CP30">
        <f>IF(COUNTIFS(T_StockCount[RM_Code],$A30,T_StockCount[WeekIndex],93)&gt;0,SUMIFS(T_StockCount[CountedQty],T_StockCount[RM_Code],$A30,T_StockCount[WeekIndex],93),IF((COUNTIFS(T_SelfStock[RM_Code],$A30,T_SelfStock[WeekIndex],93)&gt;0)*(COUNTIFS(T_TTAFStock[RM_Code],$A30,T_TTAFStock[WeekIndex],93)&gt;0)&gt;0,SUMIFS(T_SelfStock[Self_Qty],T_SelfStock[RM_Code],$A30,T_SelfStock[WeekIndex],93)+SUMIFS(T_TTAFStock[TTAF_Qty],T_TTAFStock[RM_Code],$A30,T_TTAFStock[WeekIndex],93),CO30+'Grid_Incoming'!CP30-'Grid_Requirement'!CP30))</f>
        <v/>
      </c>
      <c r="CQ30">
        <f>IF(COUNTIFS(T_StockCount[RM_Code],$A30,T_StockCount[WeekIndex],94)&gt;0,SUMIFS(T_StockCount[CountedQty],T_StockCount[RM_Code],$A30,T_StockCount[WeekIndex],94),IF((COUNTIFS(T_SelfStock[RM_Code],$A30,T_SelfStock[WeekIndex],94)&gt;0)*(COUNTIFS(T_TTAFStock[RM_Code],$A30,T_TTAFStock[WeekIndex],94)&gt;0)&gt;0,SUMIFS(T_SelfStock[Self_Qty],T_SelfStock[RM_Code],$A30,T_SelfStock[WeekIndex],94)+SUMIFS(T_TTAFStock[TTAF_Qty],T_TTAFStock[RM_Code],$A30,T_TTAFStock[WeekIndex],94),CP30+'Grid_Incoming'!CQ30-'Grid_Requirement'!CQ30))</f>
        <v/>
      </c>
      <c r="CR30">
        <f>IF(COUNTIFS(T_StockCount[RM_Code],$A30,T_StockCount[WeekIndex],95)&gt;0,SUMIFS(T_StockCount[CountedQty],T_StockCount[RM_Code],$A30,T_StockCount[WeekIndex],95),IF((COUNTIFS(T_SelfStock[RM_Code],$A30,T_SelfStock[WeekIndex],95)&gt;0)*(COUNTIFS(T_TTAFStock[RM_Code],$A30,T_TTAFStock[WeekIndex],95)&gt;0)&gt;0,SUMIFS(T_SelfStock[Self_Qty],T_SelfStock[RM_Code],$A30,T_SelfStock[WeekIndex],95)+SUMIFS(T_TTAFStock[TTAF_Qty],T_TTAFStock[RM_Code],$A30,T_TTAFStock[WeekIndex],95),CQ30+'Grid_Incoming'!CR30-'Grid_Requirement'!CR30))</f>
        <v/>
      </c>
      <c r="CS30">
        <f>IF(COUNTIFS(T_StockCount[RM_Code],$A30,T_StockCount[WeekIndex],96)&gt;0,SUMIFS(T_StockCount[CountedQty],T_StockCount[RM_Code],$A30,T_StockCount[WeekIndex],96),IF((COUNTIFS(T_SelfStock[RM_Code],$A30,T_SelfStock[WeekIndex],96)&gt;0)*(COUNTIFS(T_TTAFStock[RM_Code],$A30,T_TTAFStock[WeekIndex],96)&gt;0)&gt;0,SUMIFS(T_SelfStock[Self_Qty],T_SelfStock[RM_Code],$A30,T_SelfStock[WeekIndex],96)+SUMIFS(T_TTAFStock[TTAF_Qty],T_TTAFStock[RM_Code],$A30,T_TTAFStock[WeekIndex],96),CR30+'Grid_Incoming'!CS30-'Grid_Requirement'!CS30))</f>
        <v/>
      </c>
      <c r="CT30">
        <f>IF(COUNTIFS(T_StockCount[RM_Code],$A30,T_StockCount[WeekIndex],97)&gt;0,SUMIFS(T_StockCount[CountedQty],T_StockCount[RM_Code],$A30,T_StockCount[WeekIndex],97),IF((COUNTIFS(T_SelfStock[RM_Code],$A30,T_SelfStock[WeekIndex],97)&gt;0)*(COUNTIFS(T_TTAFStock[RM_Code],$A30,T_TTAFStock[WeekIndex],97)&gt;0)&gt;0,SUMIFS(T_SelfStock[Self_Qty],T_SelfStock[RM_Code],$A30,T_SelfStock[WeekIndex],97)+SUMIFS(T_TTAFStock[TTAF_Qty],T_TTAFStock[RM_Code],$A30,T_TTAFStock[WeekIndex],97),CS30+'Grid_Incoming'!CT30-'Grid_Requirement'!CT30))</f>
        <v/>
      </c>
      <c r="CU30">
        <f>IF(COUNTIFS(T_StockCount[RM_Code],$A30,T_StockCount[WeekIndex],98)&gt;0,SUMIFS(T_StockCount[CountedQty],T_StockCount[RM_Code],$A30,T_StockCount[WeekIndex],98),IF((COUNTIFS(T_SelfStock[RM_Code],$A30,T_SelfStock[WeekIndex],98)&gt;0)*(COUNTIFS(T_TTAFStock[RM_Code],$A30,T_TTAFStock[WeekIndex],98)&gt;0)&gt;0,SUMIFS(T_SelfStock[Self_Qty],T_SelfStock[RM_Code],$A30,T_SelfStock[WeekIndex],98)+SUMIFS(T_TTAFStock[TTAF_Qty],T_TTAFStock[RM_Code],$A30,T_TTAFStock[WeekIndex],98),CT30+'Grid_Incoming'!CU30-'Grid_Requirement'!CU30))</f>
        <v/>
      </c>
      <c r="CV30">
        <f>IF(COUNTIFS(T_StockCount[RM_Code],$A30,T_StockCount[WeekIndex],99)&gt;0,SUMIFS(T_StockCount[CountedQty],T_StockCount[RM_Code],$A30,T_StockCount[WeekIndex],99),IF((COUNTIFS(T_SelfStock[RM_Code],$A30,T_SelfStock[WeekIndex],99)&gt;0)*(COUNTIFS(T_TTAFStock[RM_Code],$A30,T_TTAFStock[WeekIndex],99)&gt;0)&gt;0,SUMIFS(T_SelfStock[Self_Qty],T_SelfStock[RM_Code],$A30,T_SelfStock[WeekIndex],99)+SUMIFS(T_TTAFStock[TTAF_Qty],T_TTAFStock[RM_Code],$A30,T_TTAFStock[WeekIndex],99),CU30+'Grid_Incoming'!CV30-'Grid_Requirement'!CV30))</f>
        <v/>
      </c>
      <c r="CW30">
        <f>IF(COUNTIFS(T_StockCount[RM_Code],$A30,T_StockCount[WeekIndex],100)&gt;0,SUMIFS(T_StockCount[CountedQty],T_StockCount[RM_Code],$A30,T_StockCount[WeekIndex],100),IF((COUNTIFS(T_SelfStock[RM_Code],$A30,T_SelfStock[WeekIndex],100)&gt;0)*(COUNTIFS(T_TTAFStock[RM_Code],$A30,T_TTAFStock[WeekIndex],100)&gt;0)&gt;0,SUMIFS(T_SelfStock[Self_Qty],T_SelfStock[RM_Code],$A30,T_SelfStock[WeekIndex],100)+SUMIFS(T_TTAFStock[TTAF_Qty],T_TTAFStock[RM_Code],$A30,T_TTAFStock[WeekIndex],100),CV30+'Grid_Incoming'!CW30-'Grid_Requirement'!CW30))</f>
        <v/>
      </c>
      <c r="CX30">
        <f>IF(COUNTIFS(T_StockCount[RM_Code],$A30,T_StockCount[WeekIndex],101)&gt;0,SUMIFS(T_StockCount[CountedQty],T_StockCount[RM_Code],$A30,T_StockCount[WeekIndex],101),IF((COUNTIFS(T_SelfStock[RM_Code],$A30,T_SelfStock[WeekIndex],101)&gt;0)*(COUNTIFS(T_TTAFStock[RM_Code],$A30,T_TTAFStock[WeekIndex],101)&gt;0)&gt;0,SUMIFS(T_SelfStock[Self_Qty],T_SelfStock[RM_Code],$A30,T_SelfStock[WeekIndex],101)+SUMIFS(T_TTAFStock[TTAF_Qty],T_TTAFStock[RM_Code],$A30,T_TTAFStock[WeekIndex],101),CW30+'Grid_Incoming'!CX30-'Grid_Requirement'!CX30))</f>
        <v/>
      </c>
      <c r="CY30">
        <f>IF(COUNTIFS(T_StockCount[RM_Code],$A30,T_StockCount[WeekIndex],102)&gt;0,SUMIFS(T_StockCount[CountedQty],T_StockCount[RM_Code],$A30,T_StockCount[WeekIndex],102),IF((COUNTIFS(T_SelfStock[RM_Code],$A30,T_SelfStock[WeekIndex],102)&gt;0)*(COUNTIFS(T_TTAFStock[RM_Code],$A30,T_TTAFStock[WeekIndex],102)&gt;0)&gt;0,SUMIFS(T_SelfStock[Self_Qty],T_SelfStock[RM_Code],$A30,T_SelfStock[WeekIndex],102)+SUMIFS(T_TTAFStock[TTAF_Qty],T_TTAFStock[RM_Code],$A30,T_TTAFStock[WeekIndex],102),CX30+'Grid_Incoming'!CY30-'Grid_Requirement'!CY30))</f>
        <v/>
      </c>
      <c r="CZ30">
        <f>IF(COUNTIFS(T_StockCount[RM_Code],$A30,T_StockCount[WeekIndex],103)&gt;0,SUMIFS(T_StockCount[CountedQty],T_StockCount[RM_Code],$A30,T_StockCount[WeekIndex],103),IF((COUNTIFS(T_SelfStock[RM_Code],$A30,T_SelfStock[WeekIndex],103)&gt;0)*(COUNTIFS(T_TTAFStock[RM_Code],$A30,T_TTAFStock[WeekIndex],103)&gt;0)&gt;0,SUMIFS(T_SelfStock[Self_Qty],T_SelfStock[RM_Code],$A30,T_SelfStock[WeekIndex],103)+SUMIFS(T_TTAFStock[TTAF_Qty],T_TTAFStock[RM_Code],$A30,T_TTAFStock[WeekIndex],103),CY30+'Grid_Incoming'!CZ30-'Grid_Requirement'!CZ30))</f>
        <v/>
      </c>
      <c r="DA30">
        <f>IF(COUNTIFS(T_StockCount[RM_Code],$A30,T_StockCount[WeekIndex],104)&gt;0,SUMIFS(T_StockCount[CountedQty],T_StockCount[RM_Code],$A30,T_StockCount[WeekIndex],104),IF((COUNTIFS(T_SelfStock[RM_Code],$A30,T_SelfStock[WeekIndex],104)&gt;0)*(COUNTIFS(T_TTAFStock[RM_Code],$A30,T_TTAFStock[WeekIndex],104)&gt;0)&gt;0,SUMIFS(T_SelfStock[Self_Qty],T_SelfStock[RM_Code],$A30,T_SelfStock[WeekIndex],104)+SUMIFS(T_TTAFStock[TTAF_Qty],T_TTAFStock[RM_Code],$A30,T_TTAFStock[WeekIndex],104),CZ30+'Grid_Incoming'!DA30-'Grid_Requirement'!DA30))</f>
        <v/>
      </c>
    </row>
    <row r="31">
      <c r="A31" t="inlineStr">
        <is>
          <t>ABN</t>
        </is>
      </c>
      <c r="B31">
        <f>IF(COUNTIFS(T_StockCount[RM_Code],$A31,T_StockCount[WeekIndex],1)&gt;0,SUMIFS(T_StockCount[CountedQty],T_StockCount[RM_Code],$A31,T_StockCount[WeekIndex],1),IF((COUNTIFS(T_SelfStock[RM_Code],$A31,T_SelfStock[WeekIndex],1)&gt;0)*(COUNTIFS(T_TTAFStock[RM_Code],$A31,T_TTAFStock[WeekIndex],1)&gt;0)&gt;0,SUMIFS(T_SelfStock[Self_Qty],T_SelfStock[RM_Code],$A31,T_SelfStock[WeekIndex],1)+SUMIFS(T_TTAFStock[TTAF_Qty],T_TTAFStock[RM_Code],$A31,T_TTAFStock[WeekIndex],1),IFERROR(INDEX(T_OpeningStock[Opening_Qty],MATCH($A31,T_OpeningStock[RM_Code],0)),0)+'Grid_Incoming'!B31-'Grid_Requirement'!B31))</f>
        <v/>
      </c>
      <c r="C31">
        <f>IF(COUNTIFS(T_StockCount[RM_Code],$A31,T_StockCount[WeekIndex],2)&gt;0,SUMIFS(T_StockCount[CountedQty],T_StockCount[RM_Code],$A31,T_StockCount[WeekIndex],2),IF((COUNTIFS(T_SelfStock[RM_Code],$A31,T_SelfStock[WeekIndex],2)&gt;0)*(COUNTIFS(T_TTAFStock[RM_Code],$A31,T_TTAFStock[WeekIndex],2)&gt;0)&gt;0,SUMIFS(T_SelfStock[Self_Qty],T_SelfStock[RM_Code],$A31,T_SelfStock[WeekIndex],2)+SUMIFS(T_TTAFStock[TTAF_Qty],T_TTAFStock[RM_Code],$A31,T_TTAFStock[WeekIndex],2),B31+'Grid_Incoming'!C31-'Grid_Requirement'!C31))</f>
        <v/>
      </c>
      <c r="D31">
        <f>IF(COUNTIFS(T_StockCount[RM_Code],$A31,T_StockCount[WeekIndex],3)&gt;0,SUMIFS(T_StockCount[CountedQty],T_StockCount[RM_Code],$A31,T_StockCount[WeekIndex],3),IF((COUNTIFS(T_SelfStock[RM_Code],$A31,T_SelfStock[WeekIndex],3)&gt;0)*(COUNTIFS(T_TTAFStock[RM_Code],$A31,T_TTAFStock[WeekIndex],3)&gt;0)&gt;0,SUMIFS(T_SelfStock[Self_Qty],T_SelfStock[RM_Code],$A31,T_SelfStock[WeekIndex],3)+SUMIFS(T_TTAFStock[TTAF_Qty],T_TTAFStock[RM_Code],$A31,T_TTAFStock[WeekIndex],3),C31+'Grid_Incoming'!D31-'Grid_Requirement'!D31))</f>
        <v/>
      </c>
      <c r="E31">
        <f>IF(COUNTIFS(T_StockCount[RM_Code],$A31,T_StockCount[WeekIndex],4)&gt;0,SUMIFS(T_StockCount[CountedQty],T_StockCount[RM_Code],$A31,T_StockCount[WeekIndex],4),IF((COUNTIFS(T_SelfStock[RM_Code],$A31,T_SelfStock[WeekIndex],4)&gt;0)*(COUNTIFS(T_TTAFStock[RM_Code],$A31,T_TTAFStock[WeekIndex],4)&gt;0)&gt;0,SUMIFS(T_SelfStock[Self_Qty],T_SelfStock[RM_Code],$A31,T_SelfStock[WeekIndex],4)+SUMIFS(T_TTAFStock[TTAF_Qty],T_TTAFStock[RM_Code],$A31,T_TTAFStock[WeekIndex],4),D31+'Grid_Incoming'!E31-'Grid_Requirement'!E31))</f>
        <v/>
      </c>
      <c r="F31">
        <f>IF(COUNTIFS(T_StockCount[RM_Code],$A31,T_StockCount[WeekIndex],5)&gt;0,SUMIFS(T_StockCount[CountedQty],T_StockCount[RM_Code],$A31,T_StockCount[WeekIndex],5),IF((COUNTIFS(T_SelfStock[RM_Code],$A31,T_SelfStock[WeekIndex],5)&gt;0)*(COUNTIFS(T_TTAFStock[RM_Code],$A31,T_TTAFStock[WeekIndex],5)&gt;0)&gt;0,SUMIFS(T_SelfStock[Self_Qty],T_SelfStock[RM_Code],$A31,T_SelfStock[WeekIndex],5)+SUMIFS(T_TTAFStock[TTAF_Qty],T_TTAFStock[RM_Code],$A31,T_TTAFStock[WeekIndex],5),E31+'Grid_Incoming'!F31-'Grid_Requirement'!F31))</f>
        <v/>
      </c>
      <c r="G31">
        <f>IF(COUNTIFS(T_StockCount[RM_Code],$A31,T_StockCount[WeekIndex],6)&gt;0,SUMIFS(T_StockCount[CountedQty],T_StockCount[RM_Code],$A31,T_StockCount[WeekIndex],6),IF((COUNTIFS(T_SelfStock[RM_Code],$A31,T_SelfStock[WeekIndex],6)&gt;0)*(COUNTIFS(T_TTAFStock[RM_Code],$A31,T_TTAFStock[WeekIndex],6)&gt;0)&gt;0,SUMIFS(T_SelfStock[Self_Qty],T_SelfStock[RM_Code],$A31,T_SelfStock[WeekIndex],6)+SUMIFS(T_TTAFStock[TTAF_Qty],T_TTAFStock[RM_Code],$A31,T_TTAFStock[WeekIndex],6),F31+'Grid_Incoming'!G31-'Grid_Requirement'!G31))</f>
        <v/>
      </c>
      <c r="H31">
        <f>IF(COUNTIFS(T_StockCount[RM_Code],$A31,T_StockCount[WeekIndex],7)&gt;0,SUMIFS(T_StockCount[CountedQty],T_StockCount[RM_Code],$A31,T_StockCount[WeekIndex],7),IF((COUNTIFS(T_SelfStock[RM_Code],$A31,T_SelfStock[WeekIndex],7)&gt;0)*(COUNTIFS(T_TTAFStock[RM_Code],$A31,T_TTAFStock[WeekIndex],7)&gt;0)&gt;0,SUMIFS(T_SelfStock[Self_Qty],T_SelfStock[RM_Code],$A31,T_SelfStock[WeekIndex],7)+SUMIFS(T_TTAFStock[TTAF_Qty],T_TTAFStock[RM_Code],$A31,T_TTAFStock[WeekIndex],7),G31+'Grid_Incoming'!H31-'Grid_Requirement'!H31))</f>
        <v/>
      </c>
      <c r="I31">
        <f>IF(COUNTIFS(T_StockCount[RM_Code],$A31,T_StockCount[WeekIndex],8)&gt;0,SUMIFS(T_StockCount[CountedQty],T_StockCount[RM_Code],$A31,T_StockCount[WeekIndex],8),IF((COUNTIFS(T_SelfStock[RM_Code],$A31,T_SelfStock[WeekIndex],8)&gt;0)*(COUNTIFS(T_TTAFStock[RM_Code],$A31,T_TTAFStock[WeekIndex],8)&gt;0)&gt;0,SUMIFS(T_SelfStock[Self_Qty],T_SelfStock[RM_Code],$A31,T_SelfStock[WeekIndex],8)+SUMIFS(T_TTAFStock[TTAF_Qty],T_TTAFStock[RM_Code],$A31,T_TTAFStock[WeekIndex],8),H31+'Grid_Incoming'!I31-'Grid_Requirement'!I31))</f>
        <v/>
      </c>
      <c r="J31">
        <f>IF(COUNTIFS(T_StockCount[RM_Code],$A31,T_StockCount[WeekIndex],9)&gt;0,SUMIFS(T_StockCount[CountedQty],T_StockCount[RM_Code],$A31,T_StockCount[WeekIndex],9),IF((COUNTIFS(T_SelfStock[RM_Code],$A31,T_SelfStock[WeekIndex],9)&gt;0)*(COUNTIFS(T_TTAFStock[RM_Code],$A31,T_TTAFStock[WeekIndex],9)&gt;0)&gt;0,SUMIFS(T_SelfStock[Self_Qty],T_SelfStock[RM_Code],$A31,T_SelfStock[WeekIndex],9)+SUMIFS(T_TTAFStock[TTAF_Qty],T_TTAFStock[RM_Code],$A31,T_TTAFStock[WeekIndex],9),I31+'Grid_Incoming'!J31-'Grid_Requirement'!J31))</f>
        <v/>
      </c>
      <c r="K31">
        <f>IF(COUNTIFS(T_StockCount[RM_Code],$A31,T_StockCount[WeekIndex],10)&gt;0,SUMIFS(T_StockCount[CountedQty],T_StockCount[RM_Code],$A31,T_StockCount[WeekIndex],10),IF((COUNTIFS(T_SelfStock[RM_Code],$A31,T_SelfStock[WeekIndex],10)&gt;0)*(COUNTIFS(T_TTAFStock[RM_Code],$A31,T_TTAFStock[WeekIndex],10)&gt;0)&gt;0,SUMIFS(T_SelfStock[Self_Qty],T_SelfStock[RM_Code],$A31,T_SelfStock[WeekIndex],10)+SUMIFS(T_TTAFStock[TTAF_Qty],T_TTAFStock[RM_Code],$A31,T_TTAFStock[WeekIndex],10),J31+'Grid_Incoming'!K31-'Grid_Requirement'!K31))</f>
        <v/>
      </c>
      <c r="L31">
        <f>IF(COUNTIFS(T_StockCount[RM_Code],$A31,T_StockCount[WeekIndex],11)&gt;0,SUMIFS(T_StockCount[CountedQty],T_StockCount[RM_Code],$A31,T_StockCount[WeekIndex],11),IF((COUNTIFS(T_SelfStock[RM_Code],$A31,T_SelfStock[WeekIndex],11)&gt;0)*(COUNTIFS(T_TTAFStock[RM_Code],$A31,T_TTAFStock[WeekIndex],11)&gt;0)&gt;0,SUMIFS(T_SelfStock[Self_Qty],T_SelfStock[RM_Code],$A31,T_SelfStock[WeekIndex],11)+SUMIFS(T_TTAFStock[TTAF_Qty],T_TTAFStock[RM_Code],$A31,T_TTAFStock[WeekIndex],11),K31+'Grid_Incoming'!L31-'Grid_Requirement'!L31))</f>
        <v/>
      </c>
      <c r="M31">
        <f>IF(COUNTIFS(T_StockCount[RM_Code],$A31,T_StockCount[WeekIndex],12)&gt;0,SUMIFS(T_StockCount[CountedQty],T_StockCount[RM_Code],$A31,T_StockCount[WeekIndex],12),IF((COUNTIFS(T_SelfStock[RM_Code],$A31,T_SelfStock[WeekIndex],12)&gt;0)*(COUNTIFS(T_TTAFStock[RM_Code],$A31,T_TTAFStock[WeekIndex],12)&gt;0)&gt;0,SUMIFS(T_SelfStock[Self_Qty],T_SelfStock[RM_Code],$A31,T_SelfStock[WeekIndex],12)+SUMIFS(T_TTAFStock[TTAF_Qty],T_TTAFStock[RM_Code],$A31,T_TTAFStock[WeekIndex],12),L31+'Grid_Incoming'!M31-'Grid_Requirement'!M31))</f>
        <v/>
      </c>
      <c r="N31">
        <f>IF(COUNTIFS(T_StockCount[RM_Code],$A31,T_StockCount[WeekIndex],13)&gt;0,SUMIFS(T_StockCount[CountedQty],T_StockCount[RM_Code],$A31,T_StockCount[WeekIndex],13),IF((COUNTIFS(T_SelfStock[RM_Code],$A31,T_SelfStock[WeekIndex],13)&gt;0)*(COUNTIFS(T_TTAFStock[RM_Code],$A31,T_TTAFStock[WeekIndex],13)&gt;0)&gt;0,SUMIFS(T_SelfStock[Self_Qty],T_SelfStock[RM_Code],$A31,T_SelfStock[WeekIndex],13)+SUMIFS(T_TTAFStock[TTAF_Qty],T_TTAFStock[RM_Code],$A31,T_TTAFStock[WeekIndex],13),M31+'Grid_Incoming'!N31-'Grid_Requirement'!N31))</f>
        <v/>
      </c>
      <c r="O31">
        <f>IF(COUNTIFS(T_StockCount[RM_Code],$A31,T_StockCount[WeekIndex],14)&gt;0,SUMIFS(T_StockCount[CountedQty],T_StockCount[RM_Code],$A31,T_StockCount[WeekIndex],14),IF((COUNTIFS(T_SelfStock[RM_Code],$A31,T_SelfStock[WeekIndex],14)&gt;0)*(COUNTIFS(T_TTAFStock[RM_Code],$A31,T_TTAFStock[WeekIndex],14)&gt;0)&gt;0,SUMIFS(T_SelfStock[Self_Qty],T_SelfStock[RM_Code],$A31,T_SelfStock[WeekIndex],14)+SUMIFS(T_TTAFStock[TTAF_Qty],T_TTAFStock[RM_Code],$A31,T_TTAFStock[WeekIndex],14),N31+'Grid_Incoming'!O31-'Grid_Requirement'!O31))</f>
        <v/>
      </c>
      <c r="P31">
        <f>IF(COUNTIFS(T_StockCount[RM_Code],$A31,T_StockCount[WeekIndex],15)&gt;0,SUMIFS(T_StockCount[CountedQty],T_StockCount[RM_Code],$A31,T_StockCount[WeekIndex],15),IF((COUNTIFS(T_SelfStock[RM_Code],$A31,T_SelfStock[WeekIndex],15)&gt;0)*(COUNTIFS(T_TTAFStock[RM_Code],$A31,T_TTAFStock[WeekIndex],15)&gt;0)&gt;0,SUMIFS(T_SelfStock[Self_Qty],T_SelfStock[RM_Code],$A31,T_SelfStock[WeekIndex],15)+SUMIFS(T_TTAFStock[TTAF_Qty],T_TTAFStock[RM_Code],$A31,T_TTAFStock[WeekIndex],15),O31+'Grid_Incoming'!P31-'Grid_Requirement'!P31))</f>
        <v/>
      </c>
      <c r="Q31">
        <f>IF(COUNTIFS(T_StockCount[RM_Code],$A31,T_StockCount[WeekIndex],16)&gt;0,SUMIFS(T_StockCount[CountedQty],T_StockCount[RM_Code],$A31,T_StockCount[WeekIndex],16),IF((COUNTIFS(T_SelfStock[RM_Code],$A31,T_SelfStock[WeekIndex],16)&gt;0)*(COUNTIFS(T_TTAFStock[RM_Code],$A31,T_TTAFStock[WeekIndex],16)&gt;0)&gt;0,SUMIFS(T_SelfStock[Self_Qty],T_SelfStock[RM_Code],$A31,T_SelfStock[WeekIndex],16)+SUMIFS(T_TTAFStock[TTAF_Qty],T_TTAFStock[RM_Code],$A31,T_TTAFStock[WeekIndex],16),P31+'Grid_Incoming'!Q31-'Grid_Requirement'!Q31))</f>
        <v/>
      </c>
      <c r="R31">
        <f>IF(COUNTIFS(T_StockCount[RM_Code],$A31,T_StockCount[WeekIndex],17)&gt;0,SUMIFS(T_StockCount[CountedQty],T_StockCount[RM_Code],$A31,T_StockCount[WeekIndex],17),IF((COUNTIFS(T_SelfStock[RM_Code],$A31,T_SelfStock[WeekIndex],17)&gt;0)*(COUNTIFS(T_TTAFStock[RM_Code],$A31,T_TTAFStock[WeekIndex],17)&gt;0)&gt;0,SUMIFS(T_SelfStock[Self_Qty],T_SelfStock[RM_Code],$A31,T_SelfStock[WeekIndex],17)+SUMIFS(T_TTAFStock[TTAF_Qty],T_TTAFStock[RM_Code],$A31,T_TTAFStock[WeekIndex],17),Q31+'Grid_Incoming'!R31-'Grid_Requirement'!R31))</f>
        <v/>
      </c>
      <c r="S31">
        <f>IF(COUNTIFS(T_StockCount[RM_Code],$A31,T_StockCount[WeekIndex],18)&gt;0,SUMIFS(T_StockCount[CountedQty],T_StockCount[RM_Code],$A31,T_StockCount[WeekIndex],18),IF((COUNTIFS(T_SelfStock[RM_Code],$A31,T_SelfStock[WeekIndex],18)&gt;0)*(COUNTIFS(T_TTAFStock[RM_Code],$A31,T_TTAFStock[WeekIndex],18)&gt;0)&gt;0,SUMIFS(T_SelfStock[Self_Qty],T_SelfStock[RM_Code],$A31,T_SelfStock[WeekIndex],18)+SUMIFS(T_TTAFStock[TTAF_Qty],T_TTAFStock[RM_Code],$A31,T_TTAFStock[WeekIndex],18),R31+'Grid_Incoming'!S31-'Grid_Requirement'!S31))</f>
        <v/>
      </c>
      <c r="T31">
        <f>IF(COUNTIFS(T_StockCount[RM_Code],$A31,T_StockCount[WeekIndex],19)&gt;0,SUMIFS(T_StockCount[CountedQty],T_StockCount[RM_Code],$A31,T_StockCount[WeekIndex],19),IF((COUNTIFS(T_SelfStock[RM_Code],$A31,T_SelfStock[WeekIndex],19)&gt;0)*(COUNTIFS(T_TTAFStock[RM_Code],$A31,T_TTAFStock[WeekIndex],19)&gt;0)&gt;0,SUMIFS(T_SelfStock[Self_Qty],T_SelfStock[RM_Code],$A31,T_SelfStock[WeekIndex],19)+SUMIFS(T_TTAFStock[TTAF_Qty],T_TTAFStock[RM_Code],$A31,T_TTAFStock[WeekIndex],19),S31+'Grid_Incoming'!T31-'Grid_Requirement'!T31))</f>
        <v/>
      </c>
      <c r="U31">
        <f>IF(COUNTIFS(T_StockCount[RM_Code],$A31,T_StockCount[WeekIndex],20)&gt;0,SUMIFS(T_StockCount[CountedQty],T_StockCount[RM_Code],$A31,T_StockCount[WeekIndex],20),IF((COUNTIFS(T_SelfStock[RM_Code],$A31,T_SelfStock[WeekIndex],20)&gt;0)*(COUNTIFS(T_TTAFStock[RM_Code],$A31,T_TTAFStock[WeekIndex],20)&gt;0)&gt;0,SUMIFS(T_SelfStock[Self_Qty],T_SelfStock[RM_Code],$A31,T_SelfStock[WeekIndex],20)+SUMIFS(T_TTAFStock[TTAF_Qty],T_TTAFStock[RM_Code],$A31,T_TTAFStock[WeekIndex],20),T31+'Grid_Incoming'!U31-'Grid_Requirement'!U31))</f>
        <v/>
      </c>
      <c r="V31">
        <f>IF(COUNTIFS(T_StockCount[RM_Code],$A31,T_StockCount[WeekIndex],21)&gt;0,SUMIFS(T_StockCount[CountedQty],T_StockCount[RM_Code],$A31,T_StockCount[WeekIndex],21),IF((COUNTIFS(T_SelfStock[RM_Code],$A31,T_SelfStock[WeekIndex],21)&gt;0)*(COUNTIFS(T_TTAFStock[RM_Code],$A31,T_TTAFStock[WeekIndex],21)&gt;0)&gt;0,SUMIFS(T_SelfStock[Self_Qty],T_SelfStock[RM_Code],$A31,T_SelfStock[WeekIndex],21)+SUMIFS(T_TTAFStock[TTAF_Qty],T_TTAFStock[RM_Code],$A31,T_TTAFStock[WeekIndex],21),U31+'Grid_Incoming'!V31-'Grid_Requirement'!V31))</f>
        <v/>
      </c>
      <c r="W31">
        <f>IF(COUNTIFS(T_StockCount[RM_Code],$A31,T_StockCount[WeekIndex],22)&gt;0,SUMIFS(T_StockCount[CountedQty],T_StockCount[RM_Code],$A31,T_StockCount[WeekIndex],22),IF((COUNTIFS(T_SelfStock[RM_Code],$A31,T_SelfStock[WeekIndex],22)&gt;0)*(COUNTIFS(T_TTAFStock[RM_Code],$A31,T_TTAFStock[WeekIndex],22)&gt;0)&gt;0,SUMIFS(T_SelfStock[Self_Qty],T_SelfStock[RM_Code],$A31,T_SelfStock[WeekIndex],22)+SUMIFS(T_TTAFStock[TTAF_Qty],T_TTAFStock[RM_Code],$A31,T_TTAFStock[WeekIndex],22),V31+'Grid_Incoming'!W31-'Grid_Requirement'!W31))</f>
        <v/>
      </c>
      <c r="X31">
        <f>IF(COUNTIFS(T_StockCount[RM_Code],$A31,T_StockCount[WeekIndex],23)&gt;0,SUMIFS(T_StockCount[CountedQty],T_StockCount[RM_Code],$A31,T_StockCount[WeekIndex],23),IF((COUNTIFS(T_SelfStock[RM_Code],$A31,T_SelfStock[WeekIndex],23)&gt;0)*(COUNTIFS(T_TTAFStock[RM_Code],$A31,T_TTAFStock[WeekIndex],23)&gt;0)&gt;0,SUMIFS(T_SelfStock[Self_Qty],T_SelfStock[RM_Code],$A31,T_SelfStock[WeekIndex],23)+SUMIFS(T_TTAFStock[TTAF_Qty],T_TTAFStock[RM_Code],$A31,T_TTAFStock[WeekIndex],23),W31+'Grid_Incoming'!X31-'Grid_Requirement'!X31))</f>
        <v/>
      </c>
      <c r="Y31">
        <f>IF(COUNTIFS(T_StockCount[RM_Code],$A31,T_StockCount[WeekIndex],24)&gt;0,SUMIFS(T_StockCount[CountedQty],T_StockCount[RM_Code],$A31,T_StockCount[WeekIndex],24),IF((COUNTIFS(T_SelfStock[RM_Code],$A31,T_SelfStock[WeekIndex],24)&gt;0)*(COUNTIFS(T_TTAFStock[RM_Code],$A31,T_TTAFStock[WeekIndex],24)&gt;0)&gt;0,SUMIFS(T_SelfStock[Self_Qty],T_SelfStock[RM_Code],$A31,T_SelfStock[WeekIndex],24)+SUMIFS(T_TTAFStock[TTAF_Qty],T_TTAFStock[RM_Code],$A31,T_TTAFStock[WeekIndex],24),X31+'Grid_Incoming'!Y31-'Grid_Requirement'!Y31))</f>
        <v/>
      </c>
      <c r="Z31">
        <f>IF(COUNTIFS(T_StockCount[RM_Code],$A31,T_StockCount[WeekIndex],25)&gt;0,SUMIFS(T_StockCount[CountedQty],T_StockCount[RM_Code],$A31,T_StockCount[WeekIndex],25),IF((COUNTIFS(T_SelfStock[RM_Code],$A31,T_SelfStock[WeekIndex],25)&gt;0)*(COUNTIFS(T_TTAFStock[RM_Code],$A31,T_TTAFStock[WeekIndex],25)&gt;0)&gt;0,SUMIFS(T_SelfStock[Self_Qty],T_SelfStock[RM_Code],$A31,T_SelfStock[WeekIndex],25)+SUMIFS(T_TTAFStock[TTAF_Qty],T_TTAFStock[RM_Code],$A31,T_TTAFStock[WeekIndex],25),Y31+'Grid_Incoming'!Z31-'Grid_Requirement'!Z31))</f>
        <v/>
      </c>
      <c r="AA31">
        <f>IF(COUNTIFS(T_StockCount[RM_Code],$A31,T_StockCount[WeekIndex],26)&gt;0,SUMIFS(T_StockCount[CountedQty],T_StockCount[RM_Code],$A31,T_StockCount[WeekIndex],26),IF((COUNTIFS(T_SelfStock[RM_Code],$A31,T_SelfStock[WeekIndex],26)&gt;0)*(COUNTIFS(T_TTAFStock[RM_Code],$A31,T_TTAFStock[WeekIndex],26)&gt;0)&gt;0,SUMIFS(T_SelfStock[Self_Qty],T_SelfStock[RM_Code],$A31,T_SelfStock[WeekIndex],26)+SUMIFS(T_TTAFStock[TTAF_Qty],T_TTAFStock[RM_Code],$A31,T_TTAFStock[WeekIndex],26),Z31+'Grid_Incoming'!AA31-'Grid_Requirement'!AA31))</f>
        <v/>
      </c>
      <c r="AB31">
        <f>IF(COUNTIFS(T_StockCount[RM_Code],$A31,T_StockCount[WeekIndex],27)&gt;0,SUMIFS(T_StockCount[CountedQty],T_StockCount[RM_Code],$A31,T_StockCount[WeekIndex],27),IF((COUNTIFS(T_SelfStock[RM_Code],$A31,T_SelfStock[WeekIndex],27)&gt;0)*(COUNTIFS(T_TTAFStock[RM_Code],$A31,T_TTAFStock[WeekIndex],27)&gt;0)&gt;0,SUMIFS(T_SelfStock[Self_Qty],T_SelfStock[RM_Code],$A31,T_SelfStock[WeekIndex],27)+SUMIFS(T_TTAFStock[TTAF_Qty],T_TTAFStock[RM_Code],$A31,T_TTAFStock[WeekIndex],27),AA31+'Grid_Incoming'!AB31-'Grid_Requirement'!AB31))</f>
        <v/>
      </c>
      <c r="AC31">
        <f>IF(COUNTIFS(T_StockCount[RM_Code],$A31,T_StockCount[WeekIndex],28)&gt;0,SUMIFS(T_StockCount[CountedQty],T_StockCount[RM_Code],$A31,T_StockCount[WeekIndex],28),IF((COUNTIFS(T_SelfStock[RM_Code],$A31,T_SelfStock[WeekIndex],28)&gt;0)*(COUNTIFS(T_TTAFStock[RM_Code],$A31,T_TTAFStock[WeekIndex],28)&gt;0)&gt;0,SUMIFS(T_SelfStock[Self_Qty],T_SelfStock[RM_Code],$A31,T_SelfStock[WeekIndex],28)+SUMIFS(T_TTAFStock[TTAF_Qty],T_TTAFStock[RM_Code],$A31,T_TTAFStock[WeekIndex],28),AB31+'Grid_Incoming'!AC31-'Grid_Requirement'!AC31))</f>
        <v/>
      </c>
      <c r="AD31">
        <f>IF(COUNTIFS(T_StockCount[RM_Code],$A31,T_StockCount[WeekIndex],29)&gt;0,SUMIFS(T_StockCount[CountedQty],T_StockCount[RM_Code],$A31,T_StockCount[WeekIndex],29),IF((COUNTIFS(T_SelfStock[RM_Code],$A31,T_SelfStock[WeekIndex],29)&gt;0)*(COUNTIFS(T_TTAFStock[RM_Code],$A31,T_TTAFStock[WeekIndex],29)&gt;0)&gt;0,SUMIFS(T_SelfStock[Self_Qty],T_SelfStock[RM_Code],$A31,T_SelfStock[WeekIndex],29)+SUMIFS(T_TTAFStock[TTAF_Qty],T_TTAFStock[RM_Code],$A31,T_TTAFStock[WeekIndex],29),AC31+'Grid_Incoming'!AD31-'Grid_Requirement'!AD31))</f>
        <v/>
      </c>
      <c r="AE31">
        <f>IF(COUNTIFS(T_StockCount[RM_Code],$A31,T_StockCount[WeekIndex],30)&gt;0,SUMIFS(T_StockCount[CountedQty],T_StockCount[RM_Code],$A31,T_StockCount[WeekIndex],30),IF((COUNTIFS(T_SelfStock[RM_Code],$A31,T_SelfStock[WeekIndex],30)&gt;0)*(COUNTIFS(T_TTAFStock[RM_Code],$A31,T_TTAFStock[WeekIndex],30)&gt;0)&gt;0,SUMIFS(T_SelfStock[Self_Qty],T_SelfStock[RM_Code],$A31,T_SelfStock[WeekIndex],30)+SUMIFS(T_TTAFStock[TTAF_Qty],T_TTAFStock[RM_Code],$A31,T_TTAFStock[WeekIndex],30),AD31+'Grid_Incoming'!AE31-'Grid_Requirement'!AE31))</f>
        <v/>
      </c>
      <c r="AF31">
        <f>IF(COUNTIFS(T_StockCount[RM_Code],$A31,T_StockCount[WeekIndex],31)&gt;0,SUMIFS(T_StockCount[CountedQty],T_StockCount[RM_Code],$A31,T_StockCount[WeekIndex],31),IF((COUNTIFS(T_SelfStock[RM_Code],$A31,T_SelfStock[WeekIndex],31)&gt;0)*(COUNTIFS(T_TTAFStock[RM_Code],$A31,T_TTAFStock[WeekIndex],31)&gt;0)&gt;0,SUMIFS(T_SelfStock[Self_Qty],T_SelfStock[RM_Code],$A31,T_SelfStock[WeekIndex],31)+SUMIFS(T_TTAFStock[TTAF_Qty],T_TTAFStock[RM_Code],$A31,T_TTAFStock[WeekIndex],31),AE31+'Grid_Incoming'!AF31-'Grid_Requirement'!AF31))</f>
        <v/>
      </c>
      <c r="AG31">
        <f>IF(COUNTIFS(T_StockCount[RM_Code],$A31,T_StockCount[WeekIndex],32)&gt;0,SUMIFS(T_StockCount[CountedQty],T_StockCount[RM_Code],$A31,T_StockCount[WeekIndex],32),IF((COUNTIFS(T_SelfStock[RM_Code],$A31,T_SelfStock[WeekIndex],32)&gt;0)*(COUNTIFS(T_TTAFStock[RM_Code],$A31,T_TTAFStock[WeekIndex],32)&gt;0)&gt;0,SUMIFS(T_SelfStock[Self_Qty],T_SelfStock[RM_Code],$A31,T_SelfStock[WeekIndex],32)+SUMIFS(T_TTAFStock[TTAF_Qty],T_TTAFStock[RM_Code],$A31,T_TTAFStock[WeekIndex],32),AF31+'Grid_Incoming'!AG31-'Grid_Requirement'!AG31))</f>
        <v/>
      </c>
      <c r="AH31">
        <f>IF(COUNTIFS(T_StockCount[RM_Code],$A31,T_StockCount[WeekIndex],33)&gt;0,SUMIFS(T_StockCount[CountedQty],T_StockCount[RM_Code],$A31,T_StockCount[WeekIndex],33),IF((COUNTIFS(T_SelfStock[RM_Code],$A31,T_SelfStock[WeekIndex],33)&gt;0)*(COUNTIFS(T_TTAFStock[RM_Code],$A31,T_TTAFStock[WeekIndex],33)&gt;0)&gt;0,SUMIFS(T_SelfStock[Self_Qty],T_SelfStock[RM_Code],$A31,T_SelfStock[WeekIndex],33)+SUMIFS(T_TTAFStock[TTAF_Qty],T_TTAFStock[RM_Code],$A31,T_TTAFStock[WeekIndex],33),AG31+'Grid_Incoming'!AH31-'Grid_Requirement'!AH31))</f>
        <v/>
      </c>
      <c r="AI31">
        <f>IF(COUNTIFS(T_StockCount[RM_Code],$A31,T_StockCount[WeekIndex],34)&gt;0,SUMIFS(T_StockCount[CountedQty],T_StockCount[RM_Code],$A31,T_StockCount[WeekIndex],34),IF((COUNTIFS(T_SelfStock[RM_Code],$A31,T_SelfStock[WeekIndex],34)&gt;0)*(COUNTIFS(T_TTAFStock[RM_Code],$A31,T_TTAFStock[WeekIndex],34)&gt;0)&gt;0,SUMIFS(T_SelfStock[Self_Qty],T_SelfStock[RM_Code],$A31,T_SelfStock[WeekIndex],34)+SUMIFS(T_TTAFStock[TTAF_Qty],T_TTAFStock[RM_Code],$A31,T_TTAFStock[WeekIndex],34),AH31+'Grid_Incoming'!AI31-'Grid_Requirement'!AI31))</f>
        <v/>
      </c>
      <c r="AJ31">
        <f>IF(COUNTIFS(T_StockCount[RM_Code],$A31,T_StockCount[WeekIndex],35)&gt;0,SUMIFS(T_StockCount[CountedQty],T_StockCount[RM_Code],$A31,T_StockCount[WeekIndex],35),IF((COUNTIFS(T_SelfStock[RM_Code],$A31,T_SelfStock[WeekIndex],35)&gt;0)*(COUNTIFS(T_TTAFStock[RM_Code],$A31,T_TTAFStock[WeekIndex],35)&gt;0)&gt;0,SUMIFS(T_SelfStock[Self_Qty],T_SelfStock[RM_Code],$A31,T_SelfStock[WeekIndex],35)+SUMIFS(T_TTAFStock[TTAF_Qty],T_TTAFStock[RM_Code],$A31,T_TTAFStock[WeekIndex],35),AI31+'Grid_Incoming'!AJ31-'Grid_Requirement'!AJ31))</f>
        <v/>
      </c>
      <c r="AK31">
        <f>IF(COUNTIFS(T_StockCount[RM_Code],$A31,T_StockCount[WeekIndex],36)&gt;0,SUMIFS(T_StockCount[CountedQty],T_StockCount[RM_Code],$A31,T_StockCount[WeekIndex],36),IF((COUNTIFS(T_SelfStock[RM_Code],$A31,T_SelfStock[WeekIndex],36)&gt;0)*(COUNTIFS(T_TTAFStock[RM_Code],$A31,T_TTAFStock[WeekIndex],36)&gt;0)&gt;0,SUMIFS(T_SelfStock[Self_Qty],T_SelfStock[RM_Code],$A31,T_SelfStock[WeekIndex],36)+SUMIFS(T_TTAFStock[TTAF_Qty],T_TTAFStock[RM_Code],$A31,T_TTAFStock[WeekIndex],36),AJ31+'Grid_Incoming'!AK31-'Grid_Requirement'!AK31))</f>
        <v/>
      </c>
      <c r="AL31">
        <f>IF(COUNTIFS(T_StockCount[RM_Code],$A31,T_StockCount[WeekIndex],37)&gt;0,SUMIFS(T_StockCount[CountedQty],T_StockCount[RM_Code],$A31,T_StockCount[WeekIndex],37),IF((COUNTIFS(T_SelfStock[RM_Code],$A31,T_SelfStock[WeekIndex],37)&gt;0)*(COUNTIFS(T_TTAFStock[RM_Code],$A31,T_TTAFStock[WeekIndex],37)&gt;0)&gt;0,SUMIFS(T_SelfStock[Self_Qty],T_SelfStock[RM_Code],$A31,T_SelfStock[WeekIndex],37)+SUMIFS(T_TTAFStock[TTAF_Qty],T_TTAFStock[RM_Code],$A31,T_TTAFStock[WeekIndex],37),AK31+'Grid_Incoming'!AL31-'Grid_Requirement'!AL31))</f>
        <v/>
      </c>
      <c r="AM31">
        <f>IF(COUNTIFS(T_StockCount[RM_Code],$A31,T_StockCount[WeekIndex],38)&gt;0,SUMIFS(T_StockCount[CountedQty],T_StockCount[RM_Code],$A31,T_StockCount[WeekIndex],38),IF((COUNTIFS(T_SelfStock[RM_Code],$A31,T_SelfStock[WeekIndex],38)&gt;0)*(COUNTIFS(T_TTAFStock[RM_Code],$A31,T_TTAFStock[WeekIndex],38)&gt;0)&gt;0,SUMIFS(T_SelfStock[Self_Qty],T_SelfStock[RM_Code],$A31,T_SelfStock[WeekIndex],38)+SUMIFS(T_TTAFStock[TTAF_Qty],T_TTAFStock[RM_Code],$A31,T_TTAFStock[WeekIndex],38),AL31+'Grid_Incoming'!AM31-'Grid_Requirement'!AM31))</f>
        <v/>
      </c>
      <c r="AN31">
        <f>IF(COUNTIFS(T_StockCount[RM_Code],$A31,T_StockCount[WeekIndex],39)&gt;0,SUMIFS(T_StockCount[CountedQty],T_StockCount[RM_Code],$A31,T_StockCount[WeekIndex],39),IF((COUNTIFS(T_SelfStock[RM_Code],$A31,T_SelfStock[WeekIndex],39)&gt;0)*(COUNTIFS(T_TTAFStock[RM_Code],$A31,T_TTAFStock[WeekIndex],39)&gt;0)&gt;0,SUMIFS(T_SelfStock[Self_Qty],T_SelfStock[RM_Code],$A31,T_SelfStock[WeekIndex],39)+SUMIFS(T_TTAFStock[TTAF_Qty],T_TTAFStock[RM_Code],$A31,T_TTAFStock[WeekIndex],39),AM31+'Grid_Incoming'!AN31-'Grid_Requirement'!AN31))</f>
        <v/>
      </c>
      <c r="AO31">
        <f>IF(COUNTIFS(T_StockCount[RM_Code],$A31,T_StockCount[WeekIndex],40)&gt;0,SUMIFS(T_StockCount[CountedQty],T_StockCount[RM_Code],$A31,T_StockCount[WeekIndex],40),IF((COUNTIFS(T_SelfStock[RM_Code],$A31,T_SelfStock[WeekIndex],40)&gt;0)*(COUNTIFS(T_TTAFStock[RM_Code],$A31,T_TTAFStock[WeekIndex],40)&gt;0)&gt;0,SUMIFS(T_SelfStock[Self_Qty],T_SelfStock[RM_Code],$A31,T_SelfStock[WeekIndex],40)+SUMIFS(T_TTAFStock[TTAF_Qty],T_TTAFStock[RM_Code],$A31,T_TTAFStock[WeekIndex],40),AN31+'Grid_Incoming'!AO31-'Grid_Requirement'!AO31))</f>
        <v/>
      </c>
      <c r="AP31">
        <f>IF(COUNTIFS(T_StockCount[RM_Code],$A31,T_StockCount[WeekIndex],41)&gt;0,SUMIFS(T_StockCount[CountedQty],T_StockCount[RM_Code],$A31,T_StockCount[WeekIndex],41),IF((COUNTIFS(T_SelfStock[RM_Code],$A31,T_SelfStock[WeekIndex],41)&gt;0)*(COUNTIFS(T_TTAFStock[RM_Code],$A31,T_TTAFStock[WeekIndex],41)&gt;0)&gt;0,SUMIFS(T_SelfStock[Self_Qty],T_SelfStock[RM_Code],$A31,T_SelfStock[WeekIndex],41)+SUMIFS(T_TTAFStock[TTAF_Qty],T_TTAFStock[RM_Code],$A31,T_TTAFStock[WeekIndex],41),AO31+'Grid_Incoming'!AP31-'Grid_Requirement'!AP31))</f>
        <v/>
      </c>
      <c r="AQ31">
        <f>IF(COUNTIFS(T_StockCount[RM_Code],$A31,T_StockCount[WeekIndex],42)&gt;0,SUMIFS(T_StockCount[CountedQty],T_StockCount[RM_Code],$A31,T_StockCount[WeekIndex],42),IF((COUNTIFS(T_SelfStock[RM_Code],$A31,T_SelfStock[WeekIndex],42)&gt;0)*(COUNTIFS(T_TTAFStock[RM_Code],$A31,T_TTAFStock[WeekIndex],42)&gt;0)&gt;0,SUMIFS(T_SelfStock[Self_Qty],T_SelfStock[RM_Code],$A31,T_SelfStock[WeekIndex],42)+SUMIFS(T_TTAFStock[TTAF_Qty],T_TTAFStock[RM_Code],$A31,T_TTAFStock[WeekIndex],42),AP31+'Grid_Incoming'!AQ31-'Grid_Requirement'!AQ31))</f>
        <v/>
      </c>
      <c r="AR31">
        <f>IF(COUNTIFS(T_StockCount[RM_Code],$A31,T_StockCount[WeekIndex],43)&gt;0,SUMIFS(T_StockCount[CountedQty],T_StockCount[RM_Code],$A31,T_StockCount[WeekIndex],43),IF((COUNTIFS(T_SelfStock[RM_Code],$A31,T_SelfStock[WeekIndex],43)&gt;0)*(COUNTIFS(T_TTAFStock[RM_Code],$A31,T_TTAFStock[WeekIndex],43)&gt;0)&gt;0,SUMIFS(T_SelfStock[Self_Qty],T_SelfStock[RM_Code],$A31,T_SelfStock[WeekIndex],43)+SUMIFS(T_TTAFStock[TTAF_Qty],T_TTAFStock[RM_Code],$A31,T_TTAFStock[WeekIndex],43),AQ31+'Grid_Incoming'!AR31-'Grid_Requirement'!AR31))</f>
        <v/>
      </c>
      <c r="AS31">
        <f>IF(COUNTIFS(T_StockCount[RM_Code],$A31,T_StockCount[WeekIndex],44)&gt;0,SUMIFS(T_StockCount[CountedQty],T_StockCount[RM_Code],$A31,T_StockCount[WeekIndex],44),IF((COUNTIFS(T_SelfStock[RM_Code],$A31,T_SelfStock[WeekIndex],44)&gt;0)*(COUNTIFS(T_TTAFStock[RM_Code],$A31,T_TTAFStock[WeekIndex],44)&gt;0)&gt;0,SUMIFS(T_SelfStock[Self_Qty],T_SelfStock[RM_Code],$A31,T_SelfStock[WeekIndex],44)+SUMIFS(T_TTAFStock[TTAF_Qty],T_TTAFStock[RM_Code],$A31,T_TTAFStock[WeekIndex],44),AR31+'Grid_Incoming'!AS31-'Grid_Requirement'!AS31))</f>
        <v/>
      </c>
      <c r="AT31">
        <f>IF(COUNTIFS(T_StockCount[RM_Code],$A31,T_StockCount[WeekIndex],45)&gt;0,SUMIFS(T_StockCount[CountedQty],T_StockCount[RM_Code],$A31,T_StockCount[WeekIndex],45),IF((COUNTIFS(T_SelfStock[RM_Code],$A31,T_SelfStock[WeekIndex],45)&gt;0)*(COUNTIFS(T_TTAFStock[RM_Code],$A31,T_TTAFStock[WeekIndex],45)&gt;0)&gt;0,SUMIFS(T_SelfStock[Self_Qty],T_SelfStock[RM_Code],$A31,T_SelfStock[WeekIndex],45)+SUMIFS(T_TTAFStock[TTAF_Qty],T_TTAFStock[RM_Code],$A31,T_TTAFStock[WeekIndex],45),AS31+'Grid_Incoming'!AT31-'Grid_Requirement'!AT31))</f>
        <v/>
      </c>
      <c r="AU31">
        <f>IF(COUNTIFS(T_StockCount[RM_Code],$A31,T_StockCount[WeekIndex],46)&gt;0,SUMIFS(T_StockCount[CountedQty],T_StockCount[RM_Code],$A31,T_StockCount[WeekIndex],46),IF((COUNTIFS(T_SelfStock[RM_Code],$A31,T_SelfStock[WeekIndex],46)&gt;0)*(COUNTIFS(T_TTAFStock[RM_Code],$A31,T_TTAFStock[WeekIndex],46)&gt;0)&gt;0,SUMIFS(T_SelfStock[Self_Qty],T_SelfStock[RM_Code],$A31,T_SelfStock[WeekIndex],46)+SUMIFS(T_TTAFStock[TTAF_Qty],T_TTAFStock[RM_Code],$A31,T_TTAFStock[WeekIndex],46),AT31+'Grid_Incoming'!AU31-'Grid_Requirement'!AU31))</f>
        <v/>
      </c>
      <c r="AV31">
        <f>IF(COUNTIFS(T_StockCount[RM_Code],$A31,T_StockCount[WeekIndex],47)&gt;0,SUMIFS(T_StockCount[CountedQty],T_StockCount[RM_Code],$A31,T_StockCount[WeekIndex],47),IF((COUNTIFS(T_SelfStock[RM_Code],$A31,T_SelfStock[WeekIndex],47)&gt;0)*(COUNTIFS(T_TTAFStock[RM_Code],$A31,T_TTAFStock[WeekIndex],47)&gt;0)&gt;0,SUMIFS(T_SelfStock[Self_Qty],T_SelfStock[RM_Code],$A31,T_SelfStock[WeekIndex],47)+SUMIFS(T_TTAFStock[TTAF_Qty],T_TTAFStock[RM_Code],$A31,T_TTAFStock[WeekIndex],47),AU31+'Grid_Incoming'!AV31-'Grid_Requirement'!AV31))</f>
        <v/>
      </c>
      <c r="AW31">
        <f>IF(COUNTIFS(T_StockCount[RM_Code],$A31,T_StockCount[WeekIndex],48)&gt;0,SUMIFS(T_StockCount[CountedQty],T_StockCount[RM_Code],$A31,T_StockCount[WeekIndex],48),IF((COUNTIFS(T_SelfStock[RM_Code],$A31,T_SelfStock[WeekIndex],48)&gt;0)*(COUNTIFS(T_TTAFStock[RM_Code],$A31,T_TTAFStock[WeekIndex],48)&gt;0)&gt;0,SUMIFS(T_SelfStock[Self_Qty],T_SelfStock[RM_Code],$A31,T_SelfStock[WeekIndex],48)+SUMIFS(T_TTAFStock[TTAF_Qty],T_TTAFStock[RM_Code],$A31,T_TTAFStock[WeekIndex],48),AV31+'Grid_Incoming'!AW31-'Grid_Requirement'!AW31))</f>
        <v/>
      </c>
      <c r="AX31">
        <f>IF(COUNTIFS(T_StockCount[RM_Code],$A31,T_StockCount[WeekIndex],49)&gt;0,SUMIFS(T_StockCount[CountedQty],T_StockCount[RM_Code],$A31,T_StockCount[WeekIndex],49),IF((COUNTIFS(T_SelfStock[RM_Code],$A31,T_SelfStock[WeekIndex],49)&gt;0)*(COUNTIFS(T_TTAFStock[RM_Code],$A31,T_TTAFStock[WeekIndex],49)&gt;0)&gt;0,SUMIFS(T_SelfStock[Self_Qty],T_SelfStock[RM_Code],$A31,T_SelfStock[WeekIndex],49)+SUMIFS(T_TTAFStock[TTAF_Qty],T_TTAFStock[RM_Code],$A31,T_TTAFStock[WeekIndex],49),AW31+'Grid_Incoming'!AX31-'Grid_Requirement'!AX31))</f>
        <v/>
      </c>
      <c r="AY31">
        <f>IF(COUNTIFS(T_StockCount[RM_Code],$A31,T_StockCount[WeekIndex],50)&gt;0,SUMIFS(T_StockCount[CountedQty],T_StockCount[RM_Code],$A31,T_StockCount[WeekIndex],50),IF((COUNTIFS(T_SelfStock[RM_Code],$A31,T_SelfStock[WeekIndex],50)&gt;0)*(COUNTIFS(T_TTAFStock[RM_Code],$A31,T_TTAFStock[WeekIndex],50)&gt;0)&gt;0,SUMIFS(T_SelfStock[Self_Qty],T_SelfStock[RM_Code],$A31,T_SelfStock[WeekIndex],50)+SUMIFS(T_TTAFStock[TTAF_Qty],T_TTAFStock[RM_Code],$A31,T_TTAFStock[WeekIndex],50),AX31+'Grid_Incoming'!AY31-'Grid_Requirement'!AY31))</f>
        <v/>
      </c>
      <c r="AZ31">
        <f>IF(COUNTIFS(T_StockCount[RM_Code],$A31,T_StockCount[WeekIndex],51)&gt;0,SUMIFS(T_StockCount[CountedQty],T_StockCount[RM_Code],$A31,T_StockCount[WeekIndex],51),IF((COUNTIFS(T_SelfStock[RM_Code],$A31,T_SelfStock[WeekIndex],51)&gt;0)*(COUNTIFS(T_TTAFStock[RM_Code],$A31,T_TTAFStock[WeekIndex],51)&gt;0)&gt;0,SUMIFS(T_SelfStock[Self_Qty],T_SelfStock[RM_Code],$A31,T_SelfStock[WeekIndex],51)+SUMIFS(T_TTAFStock[TTAF_Qty],T_TTAFStock[RM_Code],$A31,T_TTAFStock[WeekIndex],51),AY31+'Grid_Incoming'!AZ31-'Grid_Requirement'!AZ31))</f>
        <v/>
      </c>
      <c r="BA31">
        <f>IF(COUNTIFS(T_StockCount[RM_Code],$A31,T_StockCount[WeekIndex],52)&gt;0,SUMIFS(T_StockCount[CountedQty],T_StockCount[RM_Code],$A31,T_StockCount[WeekIndex],52),IF((COUNTIFS(T_SelfStock[RM_Code],$A31,T_SelfStock[WeekIndex],52)&gt;0)*(COUNTIFS(T_TTAFStock[RM_Code],$A31,T_TTAFStock[WeekIndex],52)&gt;0)&gt;0,SUMIFS(T_SelfStock[Self_Qty],T_SelfStock[RM_Code],$A31,T_SelfStock[WeekIndex],52)+SUMIFS(T_TTAFStock[TTAF_Qty],T_TTAFStock[RM_Code],$A31,T_TTAFStock[WeekIndex],52),AZ31+'Grid_Incoming'!BA31-'Grid_Requirement'!BA31))</f>
        <v/>
      </c>
      <c r="BB31">
        <f>IF(COUNTIFS(T_StockCount[RM_Code],$A31,T_StockCount[WeekIndex],53)&gt;0,SUMIFS(T_StockCount[CountedQty],T_StockCount[RM_Code],$A31,T_StockCount[WeekIndex],53),IF((COUNTIFS(T_SelfStock[RM_Code],$A31,T_SelfStock[WeekIndex],53)&gt;0)*(COUNTIFS(T_TTAFStock[RM_Code],$A31,T_TTAFStock[WeekIndex],53)&gt;0)&gt;0,SUMIFS(T_SelfStock[Self_Qty],T_SelfStock[RM_Code],$A31,T_SelfStock[WeekIndex],53)+SUMIFS(T_TTAFStock[TTAF_Qty],T_TTAFStock[RM_Code],$A31,T_TTAFStock[WeekIndex],53),BA31+'Grid_Incoming'!BB31-'Grid_Requirement'!BB31))</f>
        <v/>
      </c>
      <c r="BC31">
        <f>IF(COUNTIFS(T_StockCount[RM_Code],$A31,T_StockCount[WeekIndex],54)&gt;0,SUMIFS(T_StockCount[CountedQty],T_StockCount[RM_Code],$A31,T_StockCount[WeekIndex],54),IF((COUNTIFS(T_SelfStock[RM_Code],$A31,T_SelfStock[WeekIndex],54)&gt;0)*(COUNTIFS(T_TTAFStock[RM_Code],$A31,T_TTAFStock[WeekIndex],54)&gt;0)&gt;0,SUMIFS(T_SelfStock[Self_Qty],T_SelfStock[RM_Code],$A31,T_SelfStock[WeekIndex],54)+SUMIFS(T_TTAFStock[TTAF_Qty],T_TTAFStock[RM_Code],$A31,T_TTAFStock[WeekIndex],54),BB31+'Grid_Incoming'!BC31-'Grid_Requirement'!BC31))</f>
        <v/>
      </c>
      <c r="BD31">
        <f>IF(COUNTIFS(T_StockCount[RM_Code],$A31,T_StockCount[WeekIndex],55)&gt;0,SUMIFS(T_StockCount[CountedQty],T_StockCount[RM_Code],$A31,T_StockCount[WeekIndex],55),IF((COUNTIFS(T_SelfStock[RM_Code],$A31,T_SelfStock[WeekIndex],55)&gt;0)*(COUNTIFS(T_TTAFStock[RM_Code],$A31,T_TTAFStock[WeekIndex],55)&gt;0)&gt;0,SUMIFS(T_SelfStock[Self_Qty],T_SelfStock[RM_Code],$A31,T_SelfStock[WeekIndex],55)+SUMIFS(T_TTAFStock[TTAF_Qty],T_TTAFStock[RM_Code],$A31,T_TTAFStock[WeekIndex],55),BC31+'Grid_Incoming'!BD31-'Grid_Requirement'!BD31))</f>
        <v/>
      </c>
      <c r="BE31">
        <f>IF(COUNTIFS(T_StockCount[RM_Code],$A31,T_StockCount[WeekIndex],56)&gt;0,SUMIFS(T_StockCount[CountedQty],T_StockCount[RM_Code],$A31,T_StockCount[WeekIndex],56),IF((COUNTIFS(T_SelfStock[RM_Code],$A31,T_SelfStock[WeekIndex],56)&gt;0)*(COUNTIFS(T_TTAFStock[RM_Code],$A31,T_TTAFStock[WeekIndex],56)&gt;0)&gt;0,SUMIFS(T_SelfStock[Self_Qty],T_SelfStock[RM_Code],$A31,T_SelfStock[WeekIndex],56)+SUMIFS(T_TTAFStock[TTAF_Qty],T_TTAFStock[RM_Code],$A31,T_TTAFStock[WeekIndex],56),BD31+'Grid_Incoming'!BE31-'Grid_Requirement'!BE31))</f>
        <v/>
      </c>
      <c r="BF31">
        <f>IF(COUNTIFS(T_StockCount[RM_Code],$A31,T_StockCount[WeekIndex],57)&gt;0,SUMIFS(T_StockCount[CountedQty],T_StockCount[RM_Code],$A31,T_StockCount[WeekIndex],57),IF((COUNTIFS(T_SelfStock[RM_Code],$A31,T_SelfStock[WeekIndex],57)&gt;0)*(COUNTIFS(T_TTAFStock[RM_Code],$A31,T_TTAFStock[WeekIndex],57)&gt;0)&gt;0,SUMIFS(T_SelfStock[Self_Qty],T_SelfStock[RM_Code],$A31,T_SelfStock[WeekIndex],57)+SUMIFS(T_TTAFStock[TTAF_Qty],T_TTAFStock[RM_Code],$A31,T_TTAFStock[WeekIndex],57),BE31+'Grid_Incoming'!BF31-'Grid_Requirement'!BF31))</f>
        <v/>
      </c>
      <c r="BG31">
        <f>IF(COUNTIFS(T_StockCount[RM_Code],$A31,T_StockCount[WeekIndex],58)&gt;0,SUMIFS(T_StockCount[CountedQty],T_StockCount[RM_Code],$A31,T_StockCount[WeekIndex],58),IF((COUNTIFS(T_SelfStock[RM_Code],$A31,T_SelfStock[WeekIndex],58)&gt;0)*(COUNTIFS(T_TTAFStock[RM_Code],$A31,T_TTAFStock[WeekIndex],58)&gt;0)&gt;0,SUMIFS(T_SelfStock[Self_Qty],T_SelfStock[RM_Code],$A31,T_SelfStock[WeekIndex],58)+SUMIFS(T_TTAFStock[TTAF_Qty],T_TTAFStock[RM_Code],$A31,T_TTAFStock[WeekIndex],58),BF31+'Grid_Incoming'!BG31-'Grid_Requirement'!BG31))</f>
        <v/>
      </c>
      <c r="BH31">
        <f>IF(COUNTIFS(T_StockCount[RM_Code],$A31,T_StockCount[WeekIndex],59)&gt;0,SUMIFS(T_StockCount[CountedQty],T_StockCount[RM_Code],$A31,T_StockCount[WeekIndex],59),IF((COUNTIFS(T_SelfStock[RM_Code],$A31,T_SelfStock[WeekIndex],59)&gt;0)*(COUNTIFS(T_TTAFStock[RM_Code],$A31,T_TTAFStock[WeekIndex],59)&gt;0)&gt;0,SUMIFS(T_SelfStock[Self_Qty],T_SelfStock[RM_Code],$A31,T_SelfStock[WeekIndex],59)+SUMIFS(T_TTAFStock[TTAF_Qty],T_TTAFStock[RM_Code],$A31,T_TTAFStock[WeekIndex],59),BG31+'Grid_Incoming'!BH31-'Grid_Requirement'!BH31))</f>
        <v/>
      </c>
      <c r="BI31">
        <f>IF(COUNTIFS(T_StockCount[RM_Code],$A31,T_StockCount[WeekIndex],60)&gt;0,SUMIFS(T_StockCount[CountedQty],T_StockCount[RM_Code],$A31,T_StockCount[WeekIndex],60),IF((COUNTIFS(T_SelfStock[RM_Code],$A31,T_SelfStock[WeekIndex],60)&gt;0)*(COUNTIFS(T_TTAFStock[RM_Code],$A31,T_TTAFStock[WeekIndex],60)&gt;0)&gt;0,SUMIFS(T_SelfStock[Self_Qty],T_SelfStock[RM_Code],$A31,T_SelfStock[WeekIndex],60)+SUMIFS(T_TTAFStock[TTAF_Qty],T_TTAFStock[RM_Code],$A31,T_TTAFStock[WeekIndex],60),BH31+'Grid_Incoming'!BI31-'Grid_Requirement'!BI31))</f>
        <v/>
      </c>
      <c r="BJ31">
        <f>IF(COUNTIFS(T_StockCount[RM_Code],$A31,T_StockCount[WeekIndex],61)&gt;0,SUMIFS(T_StockCount[CountedQty],T_StockCount[RM_Code],$A31,T_StockCount[WeekIndex],61),IF((COUNTIFS(T_SelfStock[RM_Code],$A31,T_SelfStock[WeekIndex],61)&gt;0)*(COUNTIFS(T_TTAFStock[RM_Code],$A31,T_TTAFStock[WeekIndex],61)&gt;0)&gt;0,SUMIFS(T_SelfStock[Self_Qty],T_SelfStock[RM_Code],$A31,T_SelfStock[WeekIndex],61)+SUMIFS(T_TTAFStock[TTAF_Qty],T_TTAFStock[RM_Code],$A31,T_TTAFStock[WeekIndex],61),BI31+'Grid_Incoming'!BJ31-'Grid_Requirement'!BJ31))</f>
        <v/>
      </c>
      <c r="BK31">
        <f>IF(COUNTIFS(T_StockCount[RM_Code],$A31,T_StockCount[WeekIndex],62)&gt;0,SUMIFS(T_StockCount[CountedQty],T_StockCount[RM_Code],$A31,T_StockCount[WeekIndex],62),IF((COUNTIFS(T_SelfStock[RM_Code],$A31,T_SelfStock[WeekIndex],62)&gt;0)*(COUNTIFS(T_TTAFStock[RM_Code],$A31,T_TTAFStock[WeekIndex],62)&gt;0)&gt;0,SUMIFS(T_SelfStock[Self_Qty],T_SelfStock[RM_Code],$A31,T_SelfStock[WeekIndex],62)+SUMIFS(T_TTAFStock[TTAF_Qty],T_TTAFStock[RM_Code],$A31,T_TTAFStock[WeekIndex],62),BJ31+'Grid_Incoming'!BK31-'Grid_Requirement'!BK31))</f>
        <v/>
      </c>
      <c r="BL31">
        <f>IF(COUNTIFS(T_StockCount[RM_Code],$A31,T_StockCount[WeekIndex],63)&gt;0,SUMIFS(T_StockCount[CountedQty],T_StockCount[RM_Code],$A31,T_StockCount[WeekIndex],63),IF((COUNTIFS(T_SelfStock[RM_Code],$A31,T_SelfStock[WeekIndex],63)&gt;0)*(COUNTIFS(T_TTAFStock[RM_Code],$A31,T_TTAFStock[WeekIndex],63)&gt;0)&gt;0,SUMIFS(T_SelfStock[Self_Qty],T_SelfStock[RM_Code],$A31,T_SelfStock[WeekIndex],63)+SUMIFS(T_TTAFStock[TTAF_Qty],T_TTAFStock[RM_Code],$A31,T_TTAFStock[WeekIndex],63),BK31+'Grid_Incoming'!BL31-'Grid_Requirement'!BL31))</f>
        <v/>
      </c>
      <c r="BM31">
        <f>IF(COUNTIFS(T_StockCount[RM_Code],$A31,T_StockCount[WeekIndex],64)&gt;0,SUMIFS(T_StockCount[CountedQty],T_StockCount[RM_Code],$A31,T_StockCount[WeekIndex],64),IF((COUNTIFS(T_SelfStock[RM_Code],$A31,T_SelfStock[WeekIndex],64)&gt;0)*(COUNTIFS(T_TTAFStock[RM_Code],$A31,T_TTAFStock[WeekIndex],64)&gt;0)&gt;0,SUMIFS(T_SelfStock[Self_Qty],T_SelfStock[RM_Code],$A31,T_SelfStock[WeekIndex],64)+SUMIFS(T_TTAFStock[TTAF_Qty],T_TTAFStock[RM_Code],$A31,T_TTAFStock[WeekIndex],64),BL31+'Grid_Incoming'!BM31-'Grid_Requirement'!BM31))</f>
        <v/>
      </c>
      <c r="BN31">
        <f>IF(COUNTIFS(T_StockCount[RM_Code],$A31,T_StockCount[WeekIndex],65)&gt;0,SUMIFS(T_StockCount[CountedQty],T_StockCount[RM_Code],$A31,T_StockCount[WeekIndex],65),IF((COUNTIFS(T_SelfStock[RM_Code],$A31,T_SelfStock[WeekIndex],65)&gt;0)*(COUNTIFS(T_TTAFStock[RM_Code],$A31,T_TTAFStock[WeekIndex],65)&gt;0)&gt;0,SUMIFS(T_SelfStock[Self_Qty],T_SelfStock[RM_Code],$A31,T_SelfStock[WeekIndex],65)+SUMIFS(T_TTAFStock[TTAF_Qty],T_TTAFStock[RM_Code],$A31,T_TTAFStock[WeekIndex],65),BM31+'Grid_Incoming'!BN31-'Grid_Requirement'!BN31))</f>
        <v/>
      </c>
      <c r="BO31">
        <f>IF(COUNTIFS(T_StockCount[RM_Code],$A31,T_StockCount[WeekIndex],66)&gt;0,SUMIFS(T_StockCount[CountedQty],T_StockCount[RM_Code],$A31,T_StockCount[WeekIndex],66),IF((COUNTIFS(T_SelfStock[RM_Code],$A31,T_SelfStock[WeekIndex],66)&gt;0)*(COUNTIFS(T_TTAFStock[RM_Code],$A31,T_TTAFStock[WeekIndex],66)&gt;0)&gt;0,SUMIFS(T_SelfStock[Self_Qty],T_SelfStock[RM_Code],$A31,T_SelfStock[WeekIndex],66)+SUMIFS(T_TTAFStock[TTAF_Qty],T_TTAFStock[RM_Code],$A31,T_TTAFStock[WeekIndex],66),BN31+'Grid_Incoming'!BO31-'Grid_Requirement'!BO31))</f>
        <v/>
      </c>
      <c r="BP31">
        <f>IF(COUNTIFS(T_StockCount[RM_Code],$A31,T_StockCount[WeekIndex],67)&gt;0,SUMIFS(T_StockCount[CountedQty],T_StockCount[RM_Code],$A31,T_StockCount[WeekIndex],67),IF((COUNTIFS(T_SelfStock[RM_Code],$A31,T_SelfStock[WeekIndex],67)&gt;0)*(COUNTIFS(T_TTAFStock[RM_Code],$A31,T_TTAFStock[WeekIndex],67)&gt;0)&gt;0,SUMIFS(T_SelfStock[Self_Qty],T_SelfStock[RM_Code],$A31,T_SelfStock[WeekIndex],67)+SUMIFS(T_TTAFStock[TTAF_Qty],T_TTAFStock[RM_Code],$A31,T_TTAFStock[WeekIndex],67),BO31+'Grid_Incoming'!BP31-'Grid_Requirement'!BP31))</f>
        <v/>
      </c>
      <c r="BQ31">
        <f>IF(COUNTIFS(T_StockCount[RM_Code],$A31,T_StockCount[WeekIndex],68)&gt;0,SUMIFS(T_StockCount[CountedQty],T_StockCount[RM_Code],$A31,T_StockCount[WeekIndex],68),IF((COUNTIFS(T_SelfStock[RM_Code],$A31,T_SelfStock[WeekIndex],68)&gt;0)*(COUNTIFS(T_TTAFStock[RM_Code],$A31,T_TTAFStock[WeekIndex],68)&gt;0)&gt;0,SUMIFS(T_SelfStock[Self_Qty],T_SelfStock[RM_Code],$A31,T_SelfStock[WeekIndex],68)+SUMIFS(T_TTAFStock[TTAF_Qty],T_TTAFStock[RM_Code],$A31,T_TTAFStock[WeekIndex],68),BP31+'Grid_Incoming'!BQ31-'Grid_Requirement'!BQ31))</f>
        <v/>
      </c>
      <c r="BR31">
        <f>IF(COUNTIFS(T_StockCount[RM_Code],$A31,T_StockCount[WeekIndex],69)&gt;0,SUMIFS(T_StockCount[CountedQty],T_StockCount[RM_Code],$A31,T_StockCount[WeekIndex],69),IF((COUNTIFS(T_SelfStock[RM_Code],$A31,T_SelfStock[WeekIndex],69)&gt;0)*(COUNTIFS(T_TTAFStock[RM_Code],$A31,T_TTAFStock[WeekIndex],69)&gt;0)&gt;0,SUMIFS(T_SelfStock[Self_Qty],T_SelfStock[RM_Code],$A31,T_SelfStock[WeekIndex],69)+SUMIFS(T_TTAFStock[TTAF_Qty],T_TTAFStock[RM_Code],$A31,T_TTAFStock[WeekIndex],69),BQ31+'Grid_Incoming'!BR31-'Grid_Requirement'!BR31))</f>
        <v/>
      </c>
      <c r="BS31">
        <f>IF(COUNTIFS(T_StockCount[RM_Code],$A31,T_StockCount[WeekIndex],70)&gt;0,SUMIFS(T_StockCount[CountedQty],T_StockCount[RM_Code],$A31,T_StockCount[WeekIndex],70),IF((COUNTIFS(T_SelfStock[RM_Code],$A31,T_SelfStock[WeekIndex],70)&gt;0)*(COUNTIFS(T_TTAFStock[RM_Code],$A31,T_TTAFStock[WeekIndex],70)&gt;0)&gt;0,SUMIFS(T_SelfStock[Self_Qty],T_SelfStock[RM_Code],$A31,T_SelfStock[WeekIndex],70)+SUMIFS(T_TTAFStock[TTAF_Qty],T_TTAFStock[RM_Code],$A31,T_TTAFStock[WeekIndex],70),BR31+'Grid_Incoming'!BS31-'Grid_Requirement'!BS31))</f>
        <v/>
      </c>
      <c r="BT31">
        <f>IF(COUNTIFS(T_StockCount[RM_Code],$A31,T_StockCount[WeekIndex],71)&gt;0,SUMIFS(T_StockCount[CountedQty],T_StockCount[RM_Code],$A31,T_StockCount[WeekIndex],71),IF((COUNTIFS(T_SelfStock[RM_Code],$A31,T_SelfStock[WeekIndex],71)&gt;0)*(COUNTIFS(T_TTAFStock[RM_Code],$A31,T_TTAFStock[WeekIndex],71)&gt;0)&gt;0,SUMIFS(T_SelfStock[Self_Qty],T_SelfStock[RM_Code],$A31,T_SelfStock[WeekIndex],71)+SUMIFS(T_TTAFStock[TTAF_Qty],T_TTAFStock[RM_Code],$A31,T_TTAFStock[WeekIndex],71),BS31+'Grid_Incoming'!BT31-'Grid_Requirement'!BT31))</f>
        <v/>
      </c>
      <c r="BU31">
        <f>IF(COUNTIFS(T_StockCount[RM_Code],$A31,T_StockCount[WeekIndex],72)&gt;0,SUMIFS(T_StockCount[CountedQty],T_StockCount[RM_Code],$A31,T_StockCount[WeekIndex],72),IF((COUNTIFS(T_SelfStock[RM_Code],$A31,T_SelfStock[WeekIndex],72)&gt;0)*(COUNTIFS(T_TTAFStock[RM_Code],$A31,T_TTAFStock[WeekIndex],72)&gt;0)&gt;0,SUMIFS(T_SelfStock[Self_Qty],T_SelfStock[RM_Code],$A31,T_SelfStock[WeekIndex],72)+SUMIFS(T_TTAFStock[TTAF_Qty],T_TTAFStock[RM_Code],$A31,T_TTAFStock[WeekIndex],72),BT31+'Grid_Incoming'!BU31-'Grid_Requirement'!BU31))</f>
        <v/>
      </c>
      <c r="BV31">
        <f>IF(COUNTIFS(T_StockCount[RM_Code],$A31,T_StockCount[WeekIndex],73)&gt;0,SUMIFS(T_StockCount[CountedQty],T_StockCount[RM_Code],$A31,T_StockCount[WeekIndex],73),IF((COUNTIFS(T_SelfStock[RM_Code],$A31,T_SelfStock[WeekIndex],73)&gt;0)*(COUNTIFS(T_TTAFStock[RM_Code],$A31,T_TTAFStock[WeekIndex],73)&gt;0)&gt;0,SUMIFS(T_SelfStock[Self_Qty],T_SelfStock[RM_Code],$A31,T_SelfStock[WeekIndex],73)+SUMIFS(T_TTAFStock[TTAF_Qty],T_TTAFStock[RM_Code],$A31,T_TTAFStock[WeekIndex],73),BU31+'Grid_Incoming'!BV31-'Grid_Requirement'!BV31))</f>
        <v/>
      </c>
      <c r="BW31">
        <f>IF(COUNTIFS(T_StockCount[RM_Code],$A31,T_StockCount[WeekIndex],74)&gt;0,SUMIFS(T_StockCount[CountedQty],T_StockCount[RM_Code],$A31,T_StockCount[WeekIndex],74),IF((COUNTIFS(T_SelfStock[RM_Code],$A31,T_SelfStock[WeekIndex],74)&gt;0)*(COUNTIFS(T_TTAFStock[RM_Code],$A31,T_TTAFStock[WeekIndex],74)&gt;0)&gt;0,SUMIFS(T_SelfStock[Self_Qty],T_SelfStock[RM_Code],$A31,T_SelfStock[WeekIndex],74)+SUMIFS(T_TTAFStock[TTAF_Qty],T_TTAFStock[RM_Code],$A31,T_TTAFStock[WeekIndex],74),BV31+'Grid_Incoming'!BW31-'Grid_Requirement'!BW31))</f>
        <v/>
      </c>
      <c r="BX31">
        <f>IF(COUNTIFS(T_StockCount[RM_Code],$A31,T_StockCount[WeekIndex],75)&gt;0,SUMIFS(T_StockCount[CountedQty],T_StockCount[RM_Code],$A31,T_StockCount[WeekIndex],75),IF((COUNTIFS(T_SelfStock[RM_Code],$A31,T_SelfStock[WeekIndex],75)&gt;0)*(COUNTIFS(T_TTAFStock[RM_Code],$A31,T_TTAFStock[WeekIndex],75)&gt;0)&gt;0,SUMIFS(T_SelfStock[Self_Qty],T_SelfStock[RM_Code],$A31,T_SelfStock[WeekIndex],75)+SUMIFS(T_TTAFStock[TTAF_Qty],T_TTAFStock[RM_Code],$A31,T_TTAFStock[WeekIndex],75),BW31+'Grid_Incoming'!BX31-'Grid_Requirement'!BX31))</f>
        <v/>
      </c>
      <c r="BY31">
        <f>IF(COUNTIFS(T_StockCount[RM_Code],$A31,T_StockCount[WeekIndex],76)&gt;0,SUMIFS(T_StockCount[CountedQty],T_StockCount[RM_Code],$A31,T_StockCount[WeekIndex],76),IF((COUNTIFS(T_SelfStock[RM_Code],$A31,T_SelfStock[WeekIndex],76)&gt;0)*(COUNTIFS(T_TTAFStock[RM_Code],$A31,T_TTAFStock[WeekIndex],76)&gt;0)&gt;0,SUMIFS(T_SelfStock[Self_Qty],T_SelfStock[RM_Code],$A31,T_SelfStock[WeekIndex],76)+SUMIFS(T_TTAFStock[TTAF_Qty],T_TTAFStock[RM_Code],$A31,T_TTAFStock[WeekIndex],76),BX31+'Grid_Incoming'!BY31-'Grid_Requirement'!BY31))</f>
        <v/>
      </c>
      <c r="BZ31">
        <f>IF(COUNTIFS(T_StockCount[RM_Code],$A31,T_StockCount[WeekIndex],77)&gt;0,SUMIFS(T_StockCount[CountedQty],T_StockCount[RM_Code],$A31,T_StockCount[WeekIndex],77),IF((COUNTIFS(T_SelfStock[RM_Code],$A31,T_SelfStock[WeekIndex],77)&gt;0)*(COUNTIFS(T_TTAFStock[RM_Code],$A31,T_TTAFStock[WeekIndex],77)&gt;0)&gt;0,SUMIFS(T_SelfStock[Self_Qty],T_SelfStock[RM_Code],$A31,T_SelfStock[WeekIndex],77)+SUMIFS(T_TTAFStock[TTAF_Qty],T_TTAFStock[RM_Code],$A31,T_TTAFStock[WeekIndex],77),BY31+'Grid_Incoming'!BZ31-'Grid_Requirement'!BZ31))</f>
        <v/>
      </c>
      <c r="CA31">
        <f>IF(COUNTIFS(T_StockCount[RM_Code],$A31,T_StockCount[WeekIndex],78)&gt;0,SUMIFS(T_StockCount[CountedQty],T_StockCount[RM_Code],$A31,T_StockCount[WeekIndex],78),IF((COUNTIFS(T_SelfStock[RM_Code],$A31,T_SelfStock[WeekIndex],78)&gt;0)*(COUNTIFS(T_TTAFStock[RM_Code],$A31,T_TTAFStock[WeekIndex],78)&gt;0)&gt;0,SUMIFS(T_SelfStock[Self_Qty],T_SelfStock[RM_Code],$A31,T_SelfStock[WeekIndex],78)+SUMIFS(T_TTAFStock[TTAF_Qty],T_TTAFStock[RM_Code],$A31,T_TTAFStock[WeekIndex],78),BZ31+'Grid_Incoming'!CA31-'Grid_Requirement'!CA31))</f>
        <v/>
      </c>
      <c r="CB31">
        <f>IF(COUNTIFS(T_StockCount[RM_Code],$A31,T_StockCount[WeekIndex],79)&gt;0,SUMIFS(T_StockCount[CountedQty],T_StockCount[RM_Code],$A31,T_StockCount[WeekIndex],79),IF((COUNTIFS(T_SelfStock[RM_Code],$A31,T_SelfStock[WeekIndex],79)&gt;0)*(COUNTIFS(T_TTAFStock[RM_Code],$A31,T_TTAFStock[WeekIndex],79)&gt;0)&gt;0,SUMIFS(T_SelfStock[Self_Qty],T_SelfStock[RM_Code],$A31,T_SelfStock[WeekIndex],79)+SUMIFS(T_TTAFStock[TTAF_Qty],T_TTAFStock[RM_Code],$A31,T_TTAFStock[WeekIndex],79),CA31+'Grid_Incoming'!CB31-'Grid_Requirement'!CB31))</f>
        <v/>
      </c>
      <c r="CC31">
        <f>IF(COUNTIFS(T_StockCount[RM_Code],$A31,T_StockCount[WeekIndex],80)&gt;0,SUMIFS(T_StockCount[CountedQty],T_StockCount[RM_Code],$A31,T_StockCount[WeekIndex],80),IF((COUNTIFS(T_SelfStock[RM_Code],$A31,T_SelfStock[WeekIndex],80)&gt;0)*(COUNTIFS(T_TTAFStock[RM_Code],$A31,T_TTAFStock[WeekIndex],80)&gt;0)&gt;0,SUMIFS(T_SelfStock[Self_Qty],T_SelfStock[RM_Code],$A31,T_SelfStock[WeekIndex],80)+SUMIFS(T_TTAFStock[TTAF_Qty],T_TTAFStock[RM_Code],$A31,T_TTAFStock[WeekIndex],80),CB31+'Grid_Incoming'!CC31-'Grid_Requirement'!CC31))</f>
        <v/>
      </c>
      <c r="CD31">
        <f>IF(COUNTIFS(T_StockCount[RM_Code],$A31,T_StockCount[WeekIndex],81)&gt;0,SUMIFS(T_StockCount[CountedQty],T_StockCount[RM_Code],$A31,T_StockCount[WeekIndex],81),IF((COUNTIFS(T_SelfStock[RM_Code],$A31,T_SelfStock[WeekIndex],81)&gt;0)*(COUNTIFS(T_TTAFStock[RM_Code],$A31,T_TTAFStock[WeekIndex],81)&gt;0)&gt;0,SUMIFS(T_SelfStock[Self_Qty],T_SelfStock[RM_Code],$A31,T_SelfStock[WeekIndex],81)+SUMIFS(T_TTAFStock[TTAF_Qty],T_TTAFStock[RM_Code],$A31,T_TTAFStock[WeekIndex],81),CC31+'Grid_Incoming'!CD31-'Grid_Requirement'!CD31))</f>
        <v/>
      </c>
      <c r="CE31">
        <f>IF(COUNTIFS(T_StockCount[RM_Code],$A31,T_StockCount[WeekIndex],82)&gt;0,SUMIFS(T_StockCount[CountedQty],T_StockCount[RM_Code],$A31,T_StockCount[WeekIndex],82),IF((COUNTIFS(T_SelfStock[RM_Code],$A31,T_SelfStock[WeekIndex],82)&gt;0)*(COUNTIFS(T_TTAFStock[RM_Code],$A31,T_TTAFStock[WeekIndex],82)&gt;0)&gt;0,SUMIFS(T_SelfStock[Self_Qty],T_SelfStock[RM_Code],$A31,T_SelfStock[WeekIndex],82)+SUMIFS(T_TTAFStock[TTAF_Qty],T_TTAFStock[RM_Code],$A31,T_TTAFStock[WeekIndex],82),CD31+'Grid_Incoming'!CE31-'Grid_Requirement'!CE31))</f>
        <v/>
      </c>
      <c r="CF31">
        <f>IF(COUNTIFS(T_StockCount[RM_Code],$A31,T_StockCount[WeekIndex],83)&gt;0,SUMIFS(T_StockCount[CountedQty],T_StockCount[RM_Code],$A31,T_StockCount[WeekIndex],83),IF((COUNTIFS(T_SelfStock[RM_Code],$A31,T_SelfStock[WeekIndex],83)&gt;0)*(COUNTIFS(T_TTAFStock[RM_Code],$A31,T_TTAFStock[WeekIndex],83)&gt;0)&gt;0,SUMIFS(T_SelfStock[Self_Qty],T_SelfStock[RM_Code],$A31,T_SelfStock[WeekIndex],83)+SUMIFS(T_TTAFStock[TTAF_Qty],T_TTAFStock[RM_Code],$A31,T_TTAFStock[WeekIndex],83),CE31+'Grid_Incoming'!CF31-'Grid_Requirement'!CF31))</f>
        <v/>
      </c>
      <c r="CG31">
        <f>IF(COUNTIFS(T_StockCount[RM_Code],$A31,T_StockCount[WeekIndex],84)&gt;0,SUMIFS(T_StockCount[CountedQty],T_StockCount[RM_Code],$A31,T_StockCount[WeekIndex],84),IF((COUNTIFS(T_SelfStock[RM_Code],$A31,T_SelfStock[WeekIndex],84)&gt;0)*(COUNTIFS(T_TTAFStock[RM_Code],$A31,T_TTAFStock[WeekIndex],84)&gt;0)&gt;0,SUMIFS(T_SelfStock[Self_Qty],T_SelfStock[RM_Code],$A31,T_SelfStock[WeekIndex],84)+SUMIFS(T_TTAFStock[TTAF_Qty],T_TTAFStock[RM_Code],$A31,T_TTAFStock[WeekIndex],84),CF31+'Grid_Incoming'!CG31-'Grid_Requirement'!CG31))</f>
        <v/>
      </c>
      <c r="CH31">
        <f>IF(COUNTIFS(T_StockCount[RM_Code],$A31,T_StockCount[WeekIndex],85)&gt;0,SUMIFS(T_StockCount[CountedQty],T_StockCount[RM_Code],$A31,T_StockCount[WeekIndex],85),IF((COUNTIFS(T_SelfStock[RM_Code],$A31,T_SelfStock[WeekIndex],85)&gt;0)*(COUNTIFS(T_TTAFStock[RM_Code],$A31,T_TTAFStock[WeekIndex],85)&gt;0)&gt;0,SUMIFS(T_SelfStock[Self_Qty],T_SelfStock[RM_Code],$A31,T_SelfStock[WeekIndex],85)+SUMIFS(T_TTAFStock[TTAF_Qty],T_TTAFStock[RM_Code],$A31,T_TTAFStock[WeekIndex],85),CG31+'Grid_Incoming'!CH31-'Grid_Requirement'!CH31))</f>
        <v/>
      </c>
      <c r="CI31">
        <f>IF(COUNTIFS(T_StockCount[RM_Code],$A31,T_StockCount[WeekIndex],86)&gt;0,SUMIFS(T_StockCount[CountedQty],T_StockCount[RM_Code],$A31,T_StockCount[WeekIndex],86),IF((COUNTIFS(T_SelfStock[RM_Code],$A31,T_SelfStock[WeekIndex],86)&gt;0)*(COUNTIFS(T_TTAFStock[RM_Code],$A31,T_TTAFStock[WeekIndex],86)&gt;0)&gt;0,SUMIFS(T_SelfStock[Self_Qty],T_SelfStock[RM_Code],$A31,T_SelfStock[WeekIndex],86)+SUMIFS(T_TTAFStock[TTAF_Qty],T_TTAFStock[RM_Code],$A31,T_TTAFStock[WeekIndex],86),CH31+'Grid_Incoming'!CI31-'Grid_Requirement'!CI31))</f>
        <v/>
      </c>
      <c r="CJ31">
        <f>IF(COUNTIFS(T_StockCount[RM_Code],$A31,T_StockCount[WeekIndex],87)&gt;0,SUMIFS(T_StockCount[CountedQty],T_StockCount[RM_Code],$A31,T_StockCount[WeekIndex],87),IF((COUNTIFS(T_SelfStock[RM_Code],$A31,T_SelfStock[WeekIndex],87)&gt;0)*(COUNTIFS(T_TTAFStock[RM_Code],$A31,T_TTAFStock[WeekIndex],87)&gt;0)&gt;0,SUMIFS(T_SelfStock[Self_Qty],T_SelfStock[RM_Code],$A31,T_SelfStock[WeekIndex],87)+SUMIFS(T_TTAFStock[TTAF_Qty],T_TTAFStock[RM_Code],$A31,T_TTAFStock[WeekIndex],87),CI31+'Grid_Incoming'!CJ31-'Grid_Requirement'!CJ31))</f>
        <v/>
      </c>
      <c r="CK31">
        <f>IF(COUNTIFS(T_StockCount[RM_Code],$A31,T_StockCount[WeekIndex],88)&gt;0,SUMIFS(T_StockCount[CountedQty],T_StockCount[RM_Code],$A31,T_StockCount[WeekIndex],88),IF((COUNTIFS(T_SelfStock[RM_Code],$A31,T_SelfStock[WeekIndex],88)&gt;0)*(COUNTIFS(T_TTAFStock[RM_Code],$A31,T_TTAFStock[WeekIndex],88)&gt;0)&gt;0,SUMIFS(T_SelfStock[Self_Qty],T_SelfStock[RM_Code],$A31,T_SelfStock[WeekIndex],88)+SUMIFS(T_TTAFStock[TTAF_Qty],T_TTAFStock[RM_Code],$A31,T_TTAFStock[WeekIndex],88),CJ31+'Grid_Incoming'!CK31-'Grid_Requirement'!CK31))</f>
        <v/>
      </c>
      <c r="CL31">
        <f>IF(COUNTIFS(T_StockCount[RM_Code],$A31,T_StockCount[WeekIndex],89)&gt;0,SUMIFS(T_StockCount[CountedQty],T_StockCount[RM_Code],$A31,T_StockCount[WeekIndex],89),IF((COUNTIFS(T_SelfStock[RM_Code],$A31,T_SelfStock[WeekIndex],89)&gt;0)*(COUNTIFS(T_TTAFStock[RM_Code],$A31,T_TTAFStock[WeekIndex],89)&gt;0)&gt;0,SUMIFS(T_SelfStock[Self_Qty],T_SelfStock[RM_Code],$A31,T_SelfStock[WeekIndex],89)+SUMIFS(T_TTAFStock[TTAF_Qty],T_TTAFStock[RM_Code],$A31,T_TTAFStock[WeekIndex],89),CK31+'Grid_Incoming'!CL31-'Grid_Requirement'!CL31))</f>
        <v/>
      </c>
      <c r="CM31">
        <f>IF(COUNTIFS(T_StockCount[RM_Code],$A31,T_StockCount[WeekIndex],90)&gt;0,SUMIFS(T_StockCount[CountedQty],T_StockCount[RM_Code],$A31,T_StockCount[WeekIndex],90),IF((COUNTIFS(T_SelfStock[RM_Code],$A31,T_SelfStock[WeekIndex],90)&gt;0)*(COUNTIFS(T_TTAFStock[RM_Code],$A31,T_TTAFStock[WeekIndex],90)&gt;0)&gt;0,SUMIFS(T_SelfStock[Self_Qty],T_SelfStock[RM_Code],$A31,T_SelfStock[WeekIndex],90)+SUMIFS(T_TTAFStock[TTAF_Qty],T_TTAFStock[RM_Code],$A31,T_TTAFStock[WeekIndex],90),CL31+'Grid_Incoming'!CM31-'Grid_Requirement'!CM31))</f>
        <v/>
      </c>
      <c r="CN31">
        <f>IF(COUNTIFS(T_StockCount[RM_Code],$A31,T_StockCount[WeekIndex],91)&gt;0,SUMIFS(T_StockCount[CountedQty],T_StockCount[RM_Code],$A31,T_StockCount[WeekIndex],91),IF((COUNTIFS(T_SelfStock[RM_Code],$A31,T_SelfStock[WeekIndex],91)&gt;0)*(COUNTIFS(T_TTAFStock[RM_Code],$A31,T_TTAFStock[WeekIndex],91)&gt;0)&gt;0,SUMIFS(T_SelfStock[Self_Qty],T_SelfStock[RM_Code],$A31,T_SelfStock[WeekIndex],91)+SUMIFS(T_TTAFStock[TTAF_Qty],T_TTAFStock[RM_Code],$A31,T_TTAFStock[WeekIndex],91),CM31+'Grid_Incoming'!CN31-'Grid_Requirement'!CN31))</f>
        <v/>
      </c>
      <c r="CO31">
        <f>IF(COUNTIFS(T_StockCount[RM_Code],$A31,T_StockCount[WeekIndex],92)&gt;0,SUMIFS(T_StockCount[CountedQty],T_StockCount[RM_Code],$A31,T_StockCount[WeekIndex],92),IF((COUNTIFS(T_SelfStock[RM_Code],$A31,T_SelfStock[WeekIndex],92)&gt;0)*(COUNTIFS(T_TTAFStock[RM_Code],$A31,T_TTAFStock[WeekIndex],92)&gt;0)&gt;0,SUMIFS(T_SelfStock[Self_Qty],T_SelfStock[RM_Code],$A31,T_SelfStock[WeekIndex],92)+SUMIFS(T_TTAFStock[TTAF_Qty],T_TTAFStock[RM_Code],$A31,T_TTAFStock[WeekIndex],92),CN31+'Grid_Incoming'!CO31-'Grid_Requirement'!CO31))</f>
        <v/>
      </c>
      <c r="CP31">
        <f>IF(COUNTIFS(T_StockCount[RM_Code],$A31,T_StockCount[WeekIndex],93)&gt;0,SUMIFS(T_StockCount[CountedQty],T_StockCount[RM_Code],$A31,T_StockCount[WeekIndex],93),IF((COUNTIFS(T_SelfStock[RM_Code],$A31,T_SelfStock[WeekIndex],93)&gt;0)*(COUNTIFS(T_TTAFStock[RM_Code],$A31,T_TTAFStock[WeekIndex],93)&gt;0)&gt;0,SUMIFS(T_SelfStock[Self_Qty],T_SelfStock[RM_Code],$A31,T_SelfStock[WeekIndex],93)+SUMIFS(T_TTAFStock[TTAF_Qty],T_TTAFStock[RM_Code],$A31,T_TTAFStock[WeekIndex],93),CO31+'Grid_Incoming'!CP31-'Grid_Requirement'!CP31))</f>
        <v/>
      </c>
      <c r="CQ31">
        <f>IF(COUNTIFS(T_StockCount[RM_Code],$A31,T_StockCount[WeekIndex],94)&gt;0,SUMIFS(T_StockCount[CountedQty],T_StockCount[RM_Code],$A31,T_StockCount[WeekIndex],94),IF((COUNTIFS(T_SelfStock[RM_Code],$A31,T_SelfStock[WeekIndex],94)&gt;0)*(COUNTIFS(T_TTAFStock[RM_Code],$A31,T_TTAFStock[WeekIndex],94)&gt;0)&gt;0,SUMIFS(T_SelfStock[Self_Qty],T_SelfStock[RM_Code],$A31,T_SelfStock[WeekIndex],94)+SUMIFS(T_TTAFStock[TTAF_Qty],T_TTAFStock[RM_Code],$A31,T_TTAFStock[WeekIndex],94),CP31+'Grid_Incoming'!CQ31-'Grid_Requirement'!CQ31))</f>
        <v/>
      </c>
      <c r="CR31">
        <f>IF(COUNTIFS(T_StockCount[RM_Code],$A31,T_StockCount[WeekIndex],95)&gt;0,SUMIFS(T_StockCount[CountedQty],T_StockCount[RM_Code],$A31,T_StockCount[WeekIndex],95),IF((COUNTIFS(T_SelfStock[RM_Code],$A31,T_SelfStock[WeekIndex],95)&gt;0)*(COUNTIFS(T_TTAFStock[RM_Code],$A31,T_TTAFStock[WeekIndex],95)&gt;0)&gt;0,SUMIFS(T_SelfStock[Self_Qty],T_SelfStock[RM_Code],$A31,T_SelfStock[WeekIndex],95)+SUMIFS(T_TTAFStock[TTAF_Qty],T_TTAFStock[RM_Code],$A31,T_TTAFStock[WeekIndex],95),CQ31+'Grid_Incoming'!CR31-'Grid_Requirement'!CR31))</f>
        <v/>
      </c>
      <c r="CS31">
        <f>IF(COUNTIFS(T_StockCount[RM_Code],$A31,T_StockCount[WeekIndex],96)&gt;0,SUMIFS(T_StockCount[CountedQty],T_StockCount[RM_Code],$A31,T_StockCount[WeekIndex],96),IF((COUNTIFS(T_SelfStock[RM_Code],$A31,T_SelfStock[WeekIndex],96)&gt;0)*(COUNTIFS(T_TTAFStock[RM_Code],$A31,T_TTAFStock[WeekIndex],96)&gt;0)&gt;0,SUMIFS(T_SelfStock[Self_Qty],T_SelfStock[RM_Code],$A31,T_SelfStock[WeekIndex],96)+SUMIFS(T_TTAFStock[TTAF_Qty],T_TTAFStock[RM_Code],$A31,T_TTAFStock[WeekIndex],96),CR31+'Grid_Incoming'!CS31-'Grid_Requirement'!CS31))</f>
        <v/>
      </c>
      <c r="CT31">
        <f>IF(COUNTIFS(T_StockCount[RM_Code],$A31,T_StockCount[WeekIndex],97)&gt;0,SUMIFS(T_StockCount[CountedQty],T_StockCount[RM_Code],$A31,T_StockCount[WeekIndex],97),IF((COUNTIFS(T_SelfStock[RM_Code],$A31,T_SelfStock[WeekIndex],97)&gt;0)*(COUNTIFS(T_TTAFStock[RM_Code],$A31,T_TTAFStock[WeekIndex],97)&gt;0)&gt;0,SUMIFS(T_SelfStock[Self_Qty],T_SelfStock[RM_Code],$A31,T_SelfStock[WeekIndex],97)+SUMIFS(T_TTAFStock[TTAF_Qty],T_TTAFStock[RM_Code],$A31,T_TTAFStock[WeekIndex],97),CS31+'Grid_Incoming'!CT31-'Grid_Requirement'!CT31))</f>
        <v/>
      </c>
      <c r="CU31">
        <f>IF(COUNTIFS(T_StockCount[RM_Code],$A31,T_StockCount[WeekIndex],98)&gt;0,SUMIFS(T_StockCount[CountedQty],T_StockCount[RM_Code],$A31,T_StockCount[WeekIndex],98),IF((COUNTIFS(T_SelfStock[RM_Code],$A31,T_SelfStock[WeekIndex],98)&gt;0)*(COUNTIFS(T_TTAFStock[RM_Code],$A31,T_TTAFStock[WeekIndex],98)&gt;0)&gt;0,SUMIFS(T_SelfStock[Self_Qty],T_SelfStock[RM_Code],$A31,T_SelfStock[WeekIndex],98)+SUMIFS(T_TTAFStock[TTAF_Qty],T_TTAFStock[RM_Code],$A31,T_TTAFStock[WeekIndex],98),CT31+'Grid_Incoming'!CU31-'Grid_Requirement'!CU31))</f>
        <v/>
      </c>
      <c r="CV31">
        <f>IF(COUNTIFS(T_StockCount[RM_Code],$A31,T_StockCount[WeekIndex],99)&gt;0,SUMIFS(T_StockCount[CountedQty],T_StockCount[RM_Code],$A31,T_StockCount[WeekIndex],99),IF((COUNTIFS(T_SelfStock[RM_Code],$A31,T_SelfStock[WeekIndex],99)&gt;0)*(COUNTIFS(T_TTAFStock[RM_Code],$A31,T_TTAFStock[WeekIndex],99)&gt;0)&gt;0,SUMIFS(T_SelfStock[Self_Qty],T_SelfStock[RM_Code],$A31,T_SelfStock[WeekIndex],99)+SUMIFS(T_TTAFStock[TTAF_Qty],T_TTAFStock[RM_Code],$A31,T_TTAFStock[WeekIndex],99),CU31+'Grid_Incoming'!CV31-'Grid_Requirement'!CV31))</f>
        <v/>
      </c>
      <c r="CW31">
        <f>IF(COUNTIFS(T_StockCount[RM_Code],$A31,T_StockCount[WeekIndex],100)&gt;0,SUMIFS(T_StockCount[CountedQty],T_StockCount[RM_Code],$A31,T_StockCount[WeekIndex],100),IF((COUNTIFS(T_SelfStock[RM_Code],$A31,T_SelfStock[WeekIndex],100)&gt;0)*(COUNTIFS(T_TTAFStock[RM_Code],$A31,T_TTAFStock[WeekIndex],100)&gt;0)&gt;0,SUMIFS(T_SelfStock[Self_Qty],T_SelfStock[RM_Code],$A31,T_SelfStock[WeekIndex],100)+SUMIFS(T_TTAFStock[TTAF_Qty],T_TTAFStock[RM_Code],$A31,T_TTAFStock[WeekIndex],100),CV31+'Grid_Incoming'!CW31-'Grid_Requirement'!CW31))</f>
        <v/>
      </c>
      <c r="CX31">
        <f>IF(COUNTIFS(T_StockCount[RM_Code],$A31,T_StockCount[WeekIndex],101)&gt;0,SUMIFS(T_StockCount[CountedQty],T_StockCount[RM_Code],$A31,T_StockCount[WeekIndex],101),IF((COUNTIFS(T_SelfStock[RM_Code],$A31,T_SelfStock[WeekIndex],101)&gt;0)*(COUNTIFS(T_TTAFStock[RM_Code],$A31,T_TTAFStock[WeekIndex],101)&gt;0)&gt;0,SUMIFS(T_SelfStock[Self_Qty],T_SelfStock[RM_Code],$A31,T_SelfStock[WeekIndex],101)+SUMIFS(T_TTAFStock[TTAF_Qty],T_TTAFStock[RM_Code],$A31,T_TTAFStock[WeekIndex],101),CW31+'Grid_Incoming'!CX31-'Grid_Requirement'!CX31))</f>
        <v/>
      </c>
      <c r="CY31">
        <f>IF(COUNTIFS(T_StockCount[RM_Code],$A31,T_StockCount[WeekIndex],102)&gt;0,SUMIFS(T_StockCount[CountedQty],T_StockCount[RM_Code],$A31,T_StockCount[WeekIndex],102),IF((COUNTIFS(T_SelfStock[RM_Code],$A31,T_SelfStock[WeekIndex],102)&gt;0)*(COUNTIFS(T_TTAFStock[RM_Code],$A31,T_TTAFStock[WeekIndex],102)&gt;0)&gt;0,SUMIFS(T_SelfStock[Self_Qty],T_SelfStock[RM_Code],$A31,T_SelfStock[WeekIndex],102)+SUMIFS(T_TTAFStock[TTAF_Qty],T_TTAFStock[RM_Code],$A31,T_TTAFStock[WeekIndex],102),CX31+'Grid_Incoming'!CY31-'Grid_Requirement'!CY31))</f>
        <v/>
      </c>
      <c r="CZ31">
        <f>IF(COUNTIFS(T_StockCount[RM_Code],$A31,T_StockCount[WeekIndex],103)&gt;0,SUMIFS(T_StockCount[CountedQty],T_StockCount[RM_Code],$A31,T_StockCount[WeekIndex],103),IF((COUNTIFS(T_SelfStock[RM_Code],$A31,T_SelfStock[WeekIndex],103)&gt;0)*(COUNTIFS(T_TTAFStock[RM_Code],$A31,T_TTAFStock[WeekIndex],103)&gt;0)&gt;0,SUMIFS(T_SelfStock[Self_Qty],T_SelfStock[RM_Code],$A31,T_SelfStock[WeekIndex],103)+SUMIFS(T_TTAFStock[TTAF_Qty],T_TTAFStock[RM_Code],$A31,T_TTAFStock[WeekIndex],103),CY31+'Grid_Incoming'!CZ31-'Grid_Requirement'!CZ31))</f>
        <v/>
      </c>
      <c r="DA31">
        <f>IF(COUNTIFS(T_StockCount[RM_Code],$A31,T_StockCount[WeekIndex],104)&gt;0,SUMIFS(T_StockCount[CountedQty],T_StockCount[RM_Code],$A31,T_StockCount[WeekIndex],104),IF((COUNTIFS(T_SelfStock[RM_Code],$A31,T_SelfStock[WeekIndex],104)&gt;0)*(COUNTIFS(T_TTAFStock[RM_Code],$A31,T_TTAFStock[WeekIndex],104)&gt;0)&gt;0,SUMIFS(T_SelfStock[Self_Qty],T_SelfStock[RM_Code],$A31,T_SelfStock[WeekIndex],104)+SUMIFS(T_TTAFStock[TTAF_Qty],T_TTAFStock[RM_Code],$A31,T_TTAFStock[WeekIndex],104),CZ31+'Grid_Incoming'!DA31-'Grid_Requirement'!DA31))</f>
        <v/>
      </c>
    </row>
    <row r="32">
      <c r="A32" t="inlineStr">
        <is>
          <t>YAN</t>
        </is>
      </c>
      <c r="B32">
        <f>IF(COUNTIFS(T_StockCount[RM_Code],$A32,T_StockCount[WeekIndex],1)&gt;0,SUMIFS(T_StockCount[CountedQty],T_StockCount[RM_Code],$A32,T_StockCount[WeekIndex],1),IF((COUNTIFS(T_SelfStock[RM_Code],$A32,T_SelfStock[WeekIndex],1)&gt;0)*(COUNTIFS(T_TTAFStock[RM_Code],$A32,T_TTAFStock[WeekIndex],1)&gt;0)&gt;0,SUMIFS(T_SelfStock[Self_Qty],T_SelfStock[RM_Code],$A32,T_SelfStock[WeekIndex],1)+SUMIFS(T_TTAFStock[TTAF_Qty],T_TTAFStock[RM_Code],$A32,T_TTAFStock[WeekIndex],1),IFERROR(INDEX(T_OpeningStock[Opening_Qty],MATCH($A32,T_OpeningStock[RM_Code],0)),0)+'Grid_Incoming'!B32-'Grid_Requirement'!B32))</f>
        <v/>
      </c>
      <c r="C32">
        <f>IF(COUNTIFS(T_StockCount[RM_Code],$A32,T_StockCount[WeekIndex],2)&gt;0,SUMIFS(T_StockCount[CountedQty],T_StockCount[RM_Code],$A32,T_StockCount[WeekIndex],2),IF((COUNTIFS(T_SelfStock[RM_Code],$A32,T_SelfStock[WeekIndex],2)&gt;0)*(COUNTIFS(T_TTAFStock[RM_Code],$A32,T_TTAFStock[WeekIndex],2)&gt;0)&gt;0,SUMIFS(T_SelfStock[Self_Qty],T_SelfStock[RM_Code],$A32,T_SelfStock[WeekIndex],2)+SUMIFS(T_TTAFStock[TTAF_Qty],T_TTAFStock[RM_Code],$A32,T_TTAFStock[WeekIndex],2),B32+'Grid_Incoming'!C32-'Grid_Requirement'!C32))</f>
        <v/>
      </c>
      <c r="D32">
        <f>IF(COUNTIFS(T_StockCount[RM_Code],$A32,T_StockCount[WeekIndex],3)&gt;0,SUMIFS(T_StockCount[CountedQty],T_StockCount[RM_Code],$A32,T_StockCount[WeekIndex],3),IF((COUNTIFS(T_SelfStock[RM_Code],$A32,T_SelfStock[WeekIndex],3)&gt;0)*(COUNTIFS(T_TTAFStock[RM_Code],$A32,T_TTAFStock[WeekIndex],3)&gt;0)&gt;0,SUMIFS(T_SelfStock[Self_Qty],T_SelfStock[RM_Code],$A32,T_SelfStock[WeekIndex],3)+SUMIFS(T_TTAFStock[TTAF_Qty],T_TTAFStock[RM_Code],$A32,T_TTAFStock[WeekIndex],3),C32+'Grid_Incoming'!D32-'Grid_Requirement'!D32))</f>
        <v/>
      </c>
      <c r="E32">
        <f>IF(COUNTIFS(T_StockCount[RM_Code],$A32,T_StockCount[WeekIndex],4)&gt;0,SUMIFS(T_StockCount[CountedQty],T_StockCount[RM_Code],$A32,T_StockCount[WeekIndex],4),IF((COUNTIFS(T_SelfStock[RM_Code],$A32,T_SelfStock[WeekIndex],4)&gt;0)*(COUNTIFS(T_TTAFStock[RM_Code],$A32,T_TTAFStock[WeekIndex],4)&gt;0)&gt;0,SUMIFS(T_SelfStock[Self_Qty],T_SelfStock[RM_Code],$A32,T_SelfStock[WeekIndex],4)+SUMIFS(T_TTAFStock[TTAF_Qty],T_TTAFStock[RM_Code],$A32,T_TTAFStock[WeekIndex],4),D32+'Grid_Incoming'!E32-'Grid_Requirement'!E32))</f>
        <v/>
      </c>
      <c r="F32">
        <f>IF(COUNTIFS(T_StockCount[RM_Code],$A32,T_StockCount[WeekIndex],5)&gt;0,SUMIFS(T_StockCount[CountedQty],T_StockCount[RM_Code],$A32,T_StockCount[WeekIndex],5),IF((COUNTIFS(T_SelfStock[RM_Code],$A32,T_SelfStock[WeekIndex],5)&gt;0)*(COUNTIFS(T_TTAFStock[RM_Code],$A32,T_TTAFStock[WeekIndex],5)&gt;0)&gt;0,SUMIFS(T_SelfStock[Self_Qty],T_SelfStock[RM_Code],$A32,T_SelfStock[WeekIndex],5)+SUMIFS(T_TTAFStock[TTAF_Qty],T_TTAFStock[RM_Code],$A32,T_TTAFStock[WeekIndex],5),E32+'Grid_Incoming'!F32-'Grid_Requirement'!F32))</f>
        <v/>
      </c>
      <c r="G32">
        <f>IF(COUNTIFS(T_StockCount[RM_Code],$A32,T_StockCount[WeekIndex],6)&gt;0,SUMIFS(T_StockCount[CountedQty],T_StockCount[RM_Code],$A32,T_StockCount[WeekIndex],6),IF((COUNTIFS(T_SelfStock[RM_Code],$A32,T_SelfStock[WeekIndex],6)&gt;0)*(COUNTIFS(T_TTAFStock[RM_Code],$A32,T_TTAFStock[WeekIndex],6)&gt;0)&gt;0,SUMIFS(T_SelfStock[Self_Qty],T_SelfStock[RM_Code],$A32,T_SelfStock[WeekIndex],6)+SUMIFS(T_TTAFStock[TTAF_Qty],T_TTAFStock[RM_Code],$A32,T_TTAFStock[WeekIndex],6),F32+'Grid_Incoming'!G32-'Grid_Requirement'!G32))</f>
        <v/>
      </c>
      <c r="H32">
        <f>IF(COUNTIFS(T_StockCount[RM_Code],$A32,T_StockCount[WeekIndex],7)&gt;0,SUMIFS(T_StockCount[CountedQty],T_StockCount[RM_Code],$A32,T_StockCount[WeekIndex],7),IF((COUNTIFS(T_SelfStock[RM_Code],$A32,T_SelfStock[WeekIndex],7)&gt;0)*(COUNTIFS(T_TTAFStock[RM_Code],$A32,T_TTAFStock[WeekIndex],7)&gt;0)&gt;0,SUMIFS(T_SelfStock[Self_Qty],T_SelfStock[RM_Code],$A32,T_SelfStock[WeekIndex],7)+SUMIFS(T_TTAFStock[TTAF_Qty],T_TTAFStock[RM_Code],$A32,T_TTAFStock[WeekIndex],7),G32+'Grid_Incoming'!H32-'Grid_Requirement'!H32))</f>
        <v/>
      </c>
      <c r="I32">
        <f>IF(COUNTIFS(T_StockCount[RM_Code],$A32,T_StockCount[WeekIndex],8)&gt;0,SUMIFS(T_StockCount[CountedQty],T_StockCount[RM_Code],$A32,T_StockCount[WeekIndex],8),IF((COUNTIFS(T_SelfStock[RM_Code],$A32,T_SelfStock[WeekIndex],8)&gt;0)*(COUNTIFS(T_TTAFStock[RM_Code],$A32,T_TTAFStock[WeekIndex],8)&gt;0)&gt;0,SUMIFS(T_SelfStock[Self_Qty],T_SelfStock[RM_Code],$A32,T_SelfStock[WeekIndex],8)+SUMIFS(T_TTAFStock[TTAF_Qty],T_TTAFStock[RM_Code],$A32,T_TTAFStock[WeekIndex],8),H32+'Grid_Incoming'!I32-'Grid_Requirement'!I32))</f>
        <v/>
      </c>
      <c r="J32">
        <f>IF(COUNTIFS(T_StockCount[RM_Code],$A32,T_StockCount[WeekIndex],9)&gt;0,SUMIFS(T_StockCount[CountedQty],T_StockCount[RM_Code],$A32,T_StockCount[WeekIndex],9),IF((COUNTIFS(T_SelfStock[RM_Code],$A32,T_SelfStock[WeekIndex],9)&gt;0)*(COUNTIFS(T_TTAFStock[RM_Code],$A32,T_TTAFStock[WeekIndex],9)&gt;0)&gt;0,SUMIFS(T_SelfStock[Self_Qty],T_SelfStock[RM_Code],$A32,T_SelfStock[WeekIndex],9)+SUMIFS(T_TTAFStock[TTAF_Qty],T_TTAFStock[RM_Code],$A32,T_TTAFStock[WeekIndex],9),I32+'Grid_Incoming'!J32-'Grid_Requirement'!J32))</f>
        <v/>
      </c>
      <c r="K32">
        <f>IF(COUNTIFS(T_StockCount[RM_Code],$A32,T_StockCount[WeekIndex],10)&gt;0,SUMIFS(T_StockCount[CountedQty],T_StockCount[RM_Code],$A32,T_StockCount[WeekIndex],10),IF((COUNTIFS(T_SelfStock[RM_Code],$A32,T_SelfStock[WeekIndex],10)&gt;0)*(COUNTIFS(T_TTAFStock[RM_Code],$A32,T_TTAFStock[WeekIndex],10)&gt;0)&gt;0,SUMIFS(T_SelfStock[Self_Qty],T_SelfStock[RM_Code],$A32,T_SelfStock[WeekIndex],10)+SUMIFS(T_TTAFStock[TTAF_Qty],T_TTAFStock[RM_Code],$A32,T_TTAFStock[WeekIndex],10),J32+'Grid_Incoming'!K32-'Grid_Requirement'!K32))</f>
        <v/>
      </c>
      <c r="L32">
        <f>IF(COUNTIFS(T_StockCount[RM_Code],$A32,T_StockCount[WeekIndex],11)&gt;0,SUMIFS(T_StockCount[CountedQty],T_StockCount[RM_Code],$A32,T_StockCount[WeekIndex],11),IF((COUNTIFS(T_SelfStock[RM_Code],$A32,T_SelfStock[WeekIndex],11)&gt;0)*(COUNTIFS(T_TTAFStock[RM_Code],$A32,T_TTAFStock[WeekIndex],11)&gt;0)&gt;0,SUMIFS(T_SelfStock[Self_Qty],T_SelfStock[RM_Code],$A32,T_SelfStock[WeekIndex],11)+SUMIFS(T_TTAFStock[TTAF_Qty],T_TTAFStock[RM_Code],$A32,T_TTAFStock[WeekIndex],11),K32+'Grid_Incoming'!L32-'Grid_Requirement'!L32))</f>
        <v/>
      </c>
      <c r="M32">
        <f>IF(COUNTIFS(T_StockCount[RM_Code],$A32,T_StockCount[WeekIndex],12)&gt;0,SUMIFS(T_StockCount[CountedQty],T_StockCount[RM_Code],$A32,T_StockCount[WeekIndex],12),IF((COUNTIFS(T_SelfStock[RM_Code],$A32,T_SelfStock[WeekIndex],12)&gt;0)*(COUNTIFS(T_TTAFStock[RM_Code],$A32,T_TTAFStock[WeekIndex],12)&gt;0)&gt;0,SUMIFS(T_SelfStock[Self_Qty],T_SelfStock[RM_Code],$A32,T_SelfStock[WeekIndex],12)+SUMIFS(T_TTAFStock[TTAF_Qty],T_TTAFStock[RM_Code],$A32,T_TTAFStock[WeekIndex],12),L32+'Grid_Incoming'!M32-'Grid_Requirement'!M32))</f>
        <v/>
      </c>
      <c r="N32">
        <f>IF(COUNTIFS(T_StockCount[RM_Code],$A32,T_StockCount[WeekIndex],13)&gt;0,SUMIFS(T_StockCount[CountedQty],T_StockCount[RM_Code],$A32,T_StockCount[WeekIndex],13),IF((COUNTIFS(T_SelfStock[RM_Code],$A32,T_SelfStock[WeekIndex],13)&gt;0)*(COUNTIFS(T_TTAFStock[RM_Code],$A32,T_TTAFStock[WeekIndex],13)&gt;0)&gt;0,SUMIFS(T_SelfStock[Self_Qty],T_SelfStock[RM_Code],$A32,T_SelfStock[WeekIndex],13)+SUMIFS(T_TTAFStock[TTAF_Qty],T_TTAFStock[RM_Code],$A32,T_TTAFStock[WeekIndex],13),M32+'Grid_Incoming'!N32-'Grid_Requirement'!N32))</f>
        <v/>
      </c>
      <c r="O32">
        <f>IF(COUNTIFS(T_StockCount[RM_Code],$A32,T_StockCount[WeekIndex],14)&gt;0,SUMIFS(T_StockCount[CountedQty],T_StockCount[RM_Code],$A32,T_StockCount[WeekIndex],14),IF((COUNTIFS(T_SelfStock[RM_Code],$A32,T_SelfStock[WeekIndex],14)&gt;0)*(COUNTIFS(T_TTAFStock[RM_Code],$A32,T_TTAFStock[WeekIndex],14)&gt;0)&gt;0,SUMIFS(T_SelfStock[Self_Qty],T_SelfStock[RM_Code],$A32,T_SelfStock[WeekIndex],14)+SUMIFS(T_TTAFStock[TTAF_Qty],T_TTAFStock[RM_Code],$A32,T_TTAFStock[WeekIndex],14),N32+'Grid_Incoming'!O32-'Grid_Requirement'!O32))</f>
        <v/>
      </c>
      <c r="P32">
        <f>IF(COUNTIFS(T_StockCount[RM_Code],$A32,T_StockCount[WeekIndex],15)&gt;0,SUMIFS(T_StockCount[CountedQty],T_StockCount[RM_Code],$A32,T_StockCount[WeekIndex],15),IF((COUNTIFS(T_SelfStock[RM_Code],$A32,T_SelfStock[WeekIndex],15)&gt;0)*(COUNTIFS(T_TTAFStock[RM_Code],$A32,T_TTAFStock[WeekIndex],15)&gt;0)&gt;0,SUMIFS(T_SelfStock[Self_Qty],T_SelfStock[RM_Code],$A32,T_SelfStock[WeekIndex],15)+SUMIFS(T_TTAFStock[TTAF_Qty],T_TTAFStock[RM_Code],$A32,T_TTAFStock[WeekIndex],15),O32+'Grid_Incoming'!P32-'Grid_Requirement'!P32))</f>
        <v/>
      </c>
      <c r="Q32">
        <f>IF(COUNTIFS(T_StockCount[RM_Code],$A32,T_StockCount[WeekIndex],16)&gt;0,SUMIFS(T_StockCount[CountedQty],T_StockCount[RM_Code],$A32,T_StockCount[WeekIndex],16),IF((COUNTIFS(T_SelfStock[RM_Code],$A32,T_SelfStock[WeekIndex],16)&gt;0)*(COUNTIFS(T_TTAFStock[RM_Code],$A32,T_TTAFStock[WeekIndex],16)&gt;0)&gt;0,SUMIFS(T_SelfStock[Self_Qty],T_SelfStock[RM_Code],$A32,T_SelfStock[WeekIndex],16)+SUMIFS(T_TTAFStock[TTAF_Qty],T_TTAFStock[RM_Code],$A32,T_TTAFStock[WeekIndex],16),P32+'Grid_Incoming'!Q32-'Grid_Requirement'!Q32))</f>
        <v/>
      </c>
      <c r="R32">
        <f>IF(COUNTIFS(T_StockCount[RM_Code],$A32,T_StockCount[WeekIndex],17)&gt;0,SUMIFS(T_StockCount[CountedQty],T_StockCount[RM_Code],$A32,T_StockCount[WeekIndex],17),IF((COUNTIFS(T_SelfStock[RM_Code],$A32,T_SelfStock[WeekIndex],17)&gt;0)*(COUNTIFS(T_TTAFStock[RM_Code],$A32,T_TTAFStock[WeekIndex],17)&gt;0)&gt;0,SUMIFS(T_SelfStock[Self_Qty],T_SelfStock[RM_Code],$A32,T_SelfStock[WeekIndex],17)+SUMIFS(T_TTAFStock[TTAF_Qty],T_TTAFStock[RM_Code],$A32,T_TTAFStock[WeekIndex],17),Q32+'Grid_Incoming'!R32-'Grid_Requirement'!R32))</f>
        <v/>
      </c>
      <c r="S32">
        <f>IF(COUNTIFS(T_StockCount[RM_Code],$A32,T_StockCount[WeekIndex],18)&gt;0,SUMIFS(T_StockCount[CountedQty],T_StockCount[RM_Code],$A32,T_StockCount[WeekIndex],18),IF((COUNTIFS(T_SelfStock[RM_Code],$A32,T_SelfStock[WeekIndex],18)&gt;0)*(COUNTIFS(T_TTAFStock[RM_Code],$A32,T_TTAFStock[WeekIndex],18)&gt;0)&gt;0,SUMIFS(T_SelfStock[Self_Qty],T_SelfStock[RM_Code],$A32,T_SelfStock[WeekIndex],18)+SUMIFS(T_TTAFStock[TTAF_Qty],T_TTAFStock[RM_Code],$A32,T_TTAFStock[WeekIndex],18),R32+'Grid_Incoming'!S32-'Grid_Requirement'!S32))</f>
        <v/>
      </c>
      <c r="T32">
        <f>IF(COUNTIFS(T_StockCount[RM_Code],$A32,T_StockCount[WeekIndex],19)&gt;0,SUMIFS(T_StockCount[CountedQty],T_StockCount[RM_Code],$A32,T_StockCount[WeekIndex],19),IF((COUNTIFS(T_SelfStock[RM_Code],$A32,T_SelfStock[WeekIndex],19)&gt;0)*(COUNTIFS(T_TTAFStock[RM_Code],$A32,T_TTAFStock[WeekIndex],19)&gt;0)&gt;0,SUMIFS(T_SelfStock[Self_Qty],T_SelfStock[RM_Code],$A32,T_SelfStock[WeekIndex],19)+SUMIFS(T_TTAFStock[TTAF_Qty],T_TTAFStock[RM_Code],$A32,T_TTAFStock[WeekIndex],19),S32+'Grid_Incoming'!T32-'Grid_Requirement'!T32))</f>
        <v/>
      </c>
      <c r="U32">
        <f>IF(COUNTIFS(T_StockCount[RM_Code],$A32,T_StockCount[WeekIndex],20)&gt;0,SUMIFS(T_StockCount[CountedQty],T_StockCount[RM_Code],$A32,T_StockCount[WeekIndex],20),IF((COUNTIFS(T_SelfStock[RM_Code],$A32,T_SelfStock[WeekIndex],20)&gt;0)*(COUNTIFS(T_TTAFStock[RM_Code],$A32,T_TTAFStock[WeekIndex],20)&gt;0)&gt;0,SUMIFS(T_SelfStock[Self_Qty],T_SelfStock[RM_Code],$A32,T_SelfStock[WeekIndex],20)+SUMIFS(T_TTAFStock[TTAF_Qty],T_TTAFStock[RM_Code],$A32,T_TTAFStock[WeekIndex],20),T32+'Grid_Incoming'!U32-'Grid_Requirement'!U32))</f>
        <v/>
      </c>
      <c r="V32">
        <f>IF(COUNTIFS(T_StockCount[RM_Code],$A32,T_StockCount[WeekIndex],21)&gt;0,SUMIFS(T_StockCount[CountedQty],T_StockCount[RM_Code],$A32,T_StockCount[WeekIndex],21),IF((COUNTIFS(T_SelfStock[RM_Code],$A32,T_SelfStock[WeekIndex],21)&gt;0)*(COUNTIFS(T_TTAFStock[RM_Code],$A32,T_TTAFStock[WeekIndex],21)&gt;0)&gt;0,SUMIFS(T_SelfStock[Self_Qty],T_SelfStock[RM_Code],$A32,T_SelfStock[WeekIndex],21)+SUMIFS(T_TTAFStock[TTAF_Qty],T_TTAFStock[RM_Code],$A32,T_TTAFStock[WeekIndex],21),U32+'Grid_Incoming'!V32-'Grid_Requirement'!V32))</f>
        <v/>
      </c>
      <c r="W32">
        <f>IF(COUNTIFS(T_StockCount[RM_Code],$A32,T_StockCount[WeekIndex],22)&gt;0,SUMIFS(T_StockCount[CountedQty],T_StockCount[RM_Code],$A32,T_StockCount[WeekIndex],22),IF((COUNTIFS(T_SelfStock[RM_Code],$A32,T_SelfStock[WeekIndex],22)&gt;0)*(COUNTIFS(T_TTAFStock[RM_Code],$A32,T_TTAFStock[WeekIndex],22)&gt;0)&gt;0,SUMIFS(T_SelfStock[Self_Qty],T_SelfStock[RM_Code],$A32,T_SelfStock[WeekIndex],22)+SUMIFS(T_TTAFStock[TTAF_Qty],T_TTAFStock[RM_Code],$A32,T_TTAFStock[WeekIndex],22),V32+'Grid_Incoming'!W32-'Grid_Requirement'!W32))</f>
        <v/>
      </c>
      <c r="X32">
        <f>IF(COUNTIFS(T_StockCount[RM_Code],$A32,T_StockCount[WeekIndex],23)&gt;0,SUMIFS(T_StockCount[CountedQty],T_StockCount[RM_Code],$A32,T_StockCount[WeekIndex],23),IF((COUNTIFS(T_SelfStock[RM_Code],$A32,T_SelfStock[WeekIndex],23)&gt;0)*(COUNTIFS(T_TTAFStock[RM_Code],$A32,T_TTAFStock[WeekIndex],23)&gt;0)&gt;0,SUMIFS(T_SelfStock[Self_Qty],T_SelfStock[RM_Code],$A32,T_SelfStock[WeekIndex],23)+SUMIFS(T_TTAFStock[TTAF_Qty],T_TTAFStock[RM_Code],$A32,T_TTAFStock[WeekIndex],23),W32+'Grid_Incoming'!X32-'Grid_Requirement'!X32))</f>
        <v/>
      </c>
      <c r="Y32">
        <f>IF(COUNTIFS(T_StockCount[RM_Code],$A32,T_StockCount[WeekIndex],24)&gt;0,SUMIFS(T_StockCount[CountedQty],T_StockCount[RM_Code],$A32,T_StockCount[WeekIndex],24),IF((COUNTIFS(T_SelfStock[RM_Code],$A32,T_SelfStock[WeekIndex],24)&gt;0)*(COUNTIFS(T_TTAFStock[RM_Code],$A32,T_TTAFStock[WeekIndex],24)&gt;0)&gt;0,SUMIFS(T_SelfStock[Self_Qty],T_SelfStock[RM_Code],$A32,T_SelfStock[WeekIndex],24)+SUMIFS(T_TTAFStock[TTAF_Qty],T_TTAFStock[RM_Code],$A32,T_TTAFStock[WeekIndex],24),X32+'Grid_Incoming'!Y32-'Grid_Requirement'!Y32))</f>
        <v/>
      </c>
      <c r="Z32">
        <f>IF(COUNTIFS(T_StockCount[RM_Code],$A32,T_StockCount[WeekIndex],25)&gt;0,SUMIFS(T_StockCount[CountedQty],T_StockCount[RM_Code],$A32,T_StockCount[WeekIndex],25),IF((COUNTIFS(T_SelfStock[RM_Code],$A32,T_SelfStock[WeekIndex],25)&gt;0)*(COUNTIFS(T_TTAFStock[RM_Code],$A32,T_TTAFStock[WeekIndex],25)&gt;0)&gt;0,SUMIFS(T_SelfStock[Self_Qty],T_SelfStock[RM_Code],$A32,T_SelfStock[WeekIndex],25)+SUMIFS(T_TTAFStock[TTAF_Qty],T_TTAFStock[RM_Code],$A32,T_TTAFStock[WeekIndex],25),Y32+'Grid_Incoming'!Z32-'Grid_Requirement'!Z32))</f>
        <v/>
      </c>
      <c r="AA32">
        <f>IF(COUNTIFS(T_StockCount[RM_Code],$A32,T_StockCount[WeekIndex],26)&gt;0,SUMIFS(T_StockCount[CountedQty],T_StockCount[RM_Code],$A32,T_StockCount[WeekIndex],26),IF((COUNTIFS(T_SelfStock[RM_Code],$A32,T_SelfStock[WeekIndex],26)&gt;0)*(COUNTIFS(T_TTAFStock[RM_Code],$A32,T_TTAFStock[WeekIndex],26)&gt;0)&gt;0,SUMIFS(T_SelfStock[Self_Qty],T_SelfStock[RM_Code],$A32,T_SelfStock[WeekIndex],26)+SUMIFS(T_TTAFStock[TTAF_Qty],T_TTAFStock[RM_Code],$A32,T_TTAFStock[WeekIndex],26),Z32+'Grid_Incoming'!AA32-'Grid_Requirement'!AA32))</f>
        <v/>
      </c>
      <c r="AB32">
        <f>IF(COUNTIFS(T_StockCount[RM_Code],$A32,T_StockCount[WeekIndex],27)&gt;0,SUMIFS(T_StockCount[CountedQty],T_StockCount[RM_Code],$A32,T_StockCount[WeekIndex],27),IF((COUNTIFS(T_SelfStock[RM_Code],$A32,T_SelfStock[WeekIndex],27)&gt;0)*(COUNTIFS(T_TTAFStock[RM_Code],$A32,T_TTAFStock[WeekIndex],27)&gt;0)&gt;0,SUMIFS(T_SelfStock[Self_Qty],T_SelfStock[RM_Code],$A32,T_SelfStock[WeekIndex],27)+SUMIFS(T_TTAFStock[TTAF_Qty],T_TTAFStock[RM_Code],$A32,T_TTAFStock[WeekIndex],27),AA32+'Grid_Incoming'!AB32-'Grid_Requirement'!AB32))</f>
        <v/>
      </c>
      <c r="AC32">
        <f>IF(COUNTIFS(T_StockCount[RM_Code],$A32,T_StockCount[WeekIndex],28)&gt;0,SUMIFS(T_StockCount[CountedQty],T_StockCount[RM_Code],$A32,T_StockCount[WeekIndex],28),IF((COUNTIFS(T_SelfStock[RM_Code],$A32,T_SelfStock[WeekIndex],28)&gt;0)*(COUNTIFS(T_TTAFStock[RM_Code],$A32,T_TTAFStock[WeekIndex],28)&gt;0)&gt;0,SUMIFS(T_SelfStock[Self_Qty],T_SelfStock[RM_Code],$A32,T_SelfStock[WeekIndex],28)+SUMIFS(T_TTAFStock[TTAF_Qty],T_TTAFStock[RM_Code],$A32,T_TTAFStock[WeekIndex],28),AB32+'Grid_Incoming'!AC32-'Grid_Requirement'!AC32))</f>
        <v/>
      </c>
      <c r="AD32">
        <f>IF(COUNTIFS(T_StockCount[RM_Code],$A32,T_StockCount[WeekIndex],29)&gt;0,SUMIFS(T_StockCount[CountedQty],T_StockCount[RM_Code],$A32,T_StockCount[WeekIndex],29),IF((COUNTIFS(T_SelfStock[RM_Code],$A32,T_SelfStock[WeekIndex],29)&gt;0)*(COUNTIFS(T_TTAFStock[RM_Code],$A32,T_TTAFStock[WeekIndex],29)&gt;0)&gt;0,SUMIFS(T_SelfStock[Self_Qty],T_SelfStock[RM_Code],$A32,T_SelfStock[WeekIndex],29)+SUMIFS(T_TTAFStock[TTAF_Qty],T_TTAFStock[RM_Code],$A32,T_TTAFStock[WeekIndex],29),AC32+'Grid_Incoming'!AD32-'Grid_Requirement'!AD32))</f>
        <v/>
      </c>
      <c r="AE32">
        <f>IF(COUNTIFS(T_StockCount[RM_Code],$A32,T_StockCount[WeekIndex],30)&gt;0,SUMIFS(T_StockCount[CountedQty],T_StockCount[RM_Code],$A32,T_StockCount[WeekIndex],30),IF((COUNTIFS(T_SelfStock[RM_Code],$A32,T_SelfStock[WeekIndex],30)&gt;0)*(COUNTIFS(T_TTAFStock[RM_Code],$A32,T_TTAFStock[WeekIndex],30)&gt;0)&gt;0,SUMIFS(T_SelfStock[Self_Qty],T_SelfStock[RM_Code],$A32,T_SelfStock[WeekIndex],30)+SUMIFS(T_TTAFStock[TTAF_Qty],T_TTAFStock[RM_Code],$A32,T_TTAFStock[WeekIndex],30),AD32+'Grid_Incoming'!AE32-'Grid_Requirement'!AE32))</f>
        <v/>
      </c>
      <c r="AF32">
        <f>IF(COUNTIFS(T_StockCount[RM_Code],$A32,T_StockCount[WeekIndex],31)&gt;0,SUMIFS(T_StockCount[CountedQty],T_StockCount[RM_Code],$A32,T_StockCount[WeekIndex],31),IF((COUNTIFS(T_SelfStock[RM_Code],$A32,T_SelfStock[WeekIndex],31)&gt;0)*(COUNTIFS(T_TTAFStock[RM_Code],$A32,T_TTAFStock[WeekIndex],31)&gt;0)&gt;0,SUMIFS(T_SelfStock[Self_Qty],T_SelfStock[RM_Code],$A32,T_SelfStock[WeekIndex],31)+SUMIFS(T_TTAFStock[TTAF_Qty],T_TTAFStock[RM_Code],$A32,T_TTAFStock[WeekIndex],31),AE32+'Grid_Incoming'!AF32-'Grid_Requirement'!AF32))</f>
        <v/>
      </c>
      <c r="AG32">
        <f>IF(COUNTIFS(T_StockCount[RM_Code],$A32,T_StockCount[WeekIndex],32)&gt;0,SUMIFS(T_StockCount[CountedQty],T_StockCount[RM_Code],$A32,T_StockCount[WeekIndex],32),IF((COUNTIFS(T_SelfStock[RM_Code],$A32,T_SelfStock[WeekIndex],32)&gt;0)*(COUNTIFS(T_TTAFStock[RM_Code],$A32,T_TTAFStock[WeekIndex],32)&gt;0)&gt;0,SUMIFS(T_SelfStock[Self_Qty],T_SelfStock[RM_Code],$A32,T_SelfStock[WeekIndex],32)+SUMIFS(T_TTAFStock[TTAF_Qty],T_TTAFStock[RM_Code],$A32,T_TTAFStock[WeekIndex],32),AF32+'Grid_Incoming'!AG32-'Grid_Requirement'!AG32))</f>
        <v/>
      </c>
      <c r="AH32">
        <f>IF(COUNTIFS(T_StockCount[RM_Code],$A32,T_StockCount[WeekIndex],33)&gt;0,SUMIFS(T_StockCount[CountedQty],T_StockCount[RM_Code],$A32,T_StockCount[WeekIndex],33),IF((COUNTIFS(T_SelfStock[RM_Code],$A32,T_SelfStock[WeekIndex],33)&gt;0)*(COUNTIFS(T_TTAFStock[RM_Code],$A32,T_TTAFStock[WeekIndex],33)&gt;0)&gt;0,SUMIFS(T_SelfStock[Self_Qty],T_SelfStock[RM_Code],$A32,T_SelfStock[WeekIndex],33)+SUMIFS(T_TTAFStock[TTAF_Qty],T_TTAFStock[RM_Code],$A32,T_TTAFStock[WeekIndex],33),AG32+'Grid_Incoming'!AH32-'Grid_Requirement'!AH32))</f>
        <v/>
      </c>
      <c r="AI32">
        <f>IF(COUNTIFS(T_StockCount[RM_Code],$A32,T_StockCount[WeekIndex],34)&gt;0,SUMIFS(T_StockCount[CountedQty],T_StockCount[RM_Code],$A32,T_StockCount[WeekIndex],34),IF((COUNTIFS(T_SelfStock[RM_Code],$A32,T_SelfStock[WeekIndex],34)&gt;0)*(COUNTIFS(T_TTAFStock[RM_Code],$A32,T_TTAFStock[WeekIndex],34)&gt;0)&gt;0,SUMIFS(T_SelfStock[Self_Qty],T_SelfStock[RM_Code],$A32,T_SelfStock[WeekIndex],34)+SUMIFS(T_TTAFStock[TTAF_Qty],T_TTAFStock[RM_Code],$A32,T_TTAFStock[WeekIndex],34),AH32+'Grid_Incoming'!AI32-'Grid_Requirement'!AI32))</f>
        <v/>
      </c>
      <c r="AJ32">
        <f>IF(COUNTIFS(T_StockCount[RM_Code],$A32,T_StockCount[WeekIndex],35)&gt;0,SUMIFS(T_StockCount[CountedQty],T_StockCount[RM_Code],$A32,T_StockCount[WeekIndex],35),IF((COUNTIFS(T_SelfStock[RM_Code],$A32,T_SelfStock[WeekIndex],35)&gt;0)*(COUNTIFS(T_TTAFStock[RM_Code],$A32,T_TTAFStock[WeekIndex],35)&gt;0)&gt;0,SUMIFS(T_SelfStock[Self_Qty],T_SelfStock[RM_Code],$A32,T_SelfStock[WeekIndex],35)+SUMIFS(T_TTAFStock[TTAF_Qty],T_TTAFStock[RM_Code],$A32,T_TTAFStock[WeekIndex],35),AI32+'Grid_Incoming'!AJ32-'Grid_Requirement'!AJ32))</f>
        <v/>
      </c>
      <c r="AK32">
        <f>IF(COUNTIFS(T_StockCount[RM_Code],$A32,T_StockCount[WeekIndex],36)&gt;0,SUMIFS(T_StockCount[CountedQty],T_StockCount[RM_Code],$A32,T_StockCount[WeekIndex],36),IF((COUNTIFS(T_SelfStock[RM_Code],$A32,T_SelfStock[WeekIndex],36)&gt;0)*(COUNTIFS(T_TTAFStock[RM_Code],$A32,T_TTAFStock[WeekIndex],36)&gt;0)&gt;0,SUMIFS(T_SelfStock[Self_Qty],T_SelfStock[RM_Code],$A32,T_SelfStock[WeekIndex],36)+SUMIFS(T_TTAFStock[TTAF_Qty],T_TTAFStock[RM_Code],$A32,T_TTAFStock[WeekIndex],36),AJ32+'Grid_Incoming'!AK32-'Grid_Requirement'!AK32))</f>
        <v/>
      </c>
      <c r="AL32">
        <f>IF(COUNTIFS(T_StockCount[RM_Code],$A32,T_StockCount[WeekIndex],37)&gt;0,SUMIFS(T_StockCount[CountedQty],T_StockCount[RM_Code],$A32,T_StockCount[WeekIndex],37),IF((COUNTIFS(T_SelfStock[RM_Code],$A32,T_SelfStock[WeekIndex],37)&gt;0)*(COUNTIFS(T_TTAFStock[RM_Code],$A32,T_TTAFStock[WeekIndex],37)&gt;0)&gt;0,SUMIFS(T_SelfStock[Self_Qty],T_SelfStock[RM_Code],$A32,T_SelfStock[WeekIndex],37)+SUMIFS(T_TTAFStock[TTAF_Qty],T_TTAFStock[RM_Code],$A32,T_TTAFStock[WeekIndex],37),AK32+'Grid_Incoming'!AL32-'Grid_Requirement'!AL32))</f>
        <v/>
      </c>
      <c r="AM32">
        <f>IF(COUNTIFS(T_StockCount[RM_Code],$A32,T_StockCount[WeekIndex],38)&gt;0,SUMIFS(T_StockCount[CountedQty],T_StockCount[RM_Code],$A32,T_StockCount[WeekIndex],38),IF((COUNTIFS(T_SelfStock[RM_Code],$A32,T_SelfStock[WeekIndex],38)&gt;0)*(COUNTIFS(T_TTAFStock[RM_Code],$A32,T_TTAFStock[WeekIndex],38)&gt;0)&gt;0,SUMIFS(T_SelfStock[Self_Qty],T_SelfStock[RM_Code],$A32,T_SelfStock[WeekIndex],38)+SUMIFS(T_TTAFStock[TTAF_Qty],T_TTAFStock[RM_Code],$A32,T_TTAFStock[WeekIndex],38),AL32+'Grid_Incoming'!AM32-'Grid_Requirement'!AM32))</f>
        <v/>
      </c>
      <c r="AN32">
        <f>IF(COUNTIFS(T_StockCount[RM_Code],$A32,T_StockCount[WeekIndex],39)&gt;0,SUMIFS(T_StockCount[CountedQty],T_StockCount[RM_Code],$A32,T_StockCount[WeekIndex],39),IF((COUNTIFS(T_SelfStock[RM_Code],$A32,T_SelfStock[WeekIndex],39)&gt;0)*(COUNTIFS(T_TTAFStock[RM_Code],$A32,T_TTAFStock[WeekIndex],39)&gt;0)&gt;0,SUMIFS(T_SelfStock[Self_Qty],T_SelfStock[RM_Code],$A32,T_SelfStock[WeekIndex],39)+SUMIFS(T_TTAFStock[TTAF_Qty],T_TTAFStock[RM_Code],$A32,T_TTAFStock[WeekIndex],39),AM32+'Grid_Incoming'!AN32-'Grid_Requirement'!AN32))</f>
        <v/>
      </c>
      <c r="AO32">
        <f>IF(COUNTIFS(T_StockCount[RM_Code],$A32,T_StockCount[WeekIndex],40)&gt;0,SUMIFS(T_StockCount[CountedQty],T_StockCount[RM_Code],$A32,T_StockCount[WeekIndex],40),IF((COUNTIFS(T_SelfStock[RM_Code],$A32,T_SelfStock[WeekIndex],40)&gt;0)*(COUNTIFS(T_TTAFStock[RM_Code],$A32,T_TTAFStock[WeekIndex],40)&gt;0)&gt;0,SUMIFS(T_SelfStock[Self_Qty],T_SelfStock[RM_Code],$A32,T_SelfStock[WeekIndex],40)+SUMIFS(T_TTAFStock[TTAF_Qty],T_TTAFStock[RM_Code],$A32,T_TTAFStock[WeekIndex],40),AN32+'Grid_Incoming'!AO32-'Grid_Requirement'!AO32))</f>
        <v/>
      </c>
      <c r="AP32">
        <f>IF(COUNTIFS(T_StockCount[RM_Code],$A32,T_StockCount[WeekIndex],41)&gt;0,SUMIFS(T_StockCount[CountedQty],T_StockCount[RM_Code],$A32,T_StockCount[WeekIndex],41),IF((COUNTIFS(T_SelfStock[RM_Code],$A32,T_SelfStock[WeekIndex],41)&gt;0)*(COUNTIFS(T_TTAFStock[RM_Code],$A32,T_TTAFStock[WeekIndex],41)&gt;0)&gt;0,SUMIFS(T_SelfStock[Self_Qty],T_SelfStock[RM_Code],$A32,T_SelfStock[WeekIndex],41)+SUMIFS(T_TTAFStock[TTAF_Qty],T_TTAFStock[RM_Code],$A32,T_TTAFStock[WeekIndex],41),AO32+'Grid_Incoming'!AP32-'Grid_Requirement'!AP32))</f>
        <v/>
      </c>
      <c r="AQ32">
        <f>IF(COUNTIFS(T_StockCount[RM_Code],$A32,T_StockCount[WeekIndex],42)&gt;0,SUMIFS(T_StockCount[CountedQty],T_StockCount[RM_Code],$A32,T_StockCount[WeekIndex],42),IF((COUNTIFS(T_SelfStock[RM_Code],$A32,T_SelfStock[WeekIndex],42)&gt;0)*(COUNTIFS(T_TTAFStock[RM_Code],$A32,T_TTAFStock[WeekIndex],42)&gt;0)&gt;0,SUMIFS(T_SelfStock[Self_Qty],T_SelfStock[RM_Code],$A32,T_SelfStock[WeekIndex],42)+SUMIFS(T_TTAFStock[TTAF_Qty],T_TTAFStock[RM_Code],$A32,T_TTAFStock[WeekIndex],42),AP32+'Grid_Incoming'!AQ32-'Grid_Requirement'!AQ32))</f>
        <v/>
      </c>
      <c r="AR32">
        <f>IF(COUNTIFS(T_StockCount[RM_Code],$A32,T_StockCount[WeekIndex],43)&gt;0,SUMIFS(T_StockCount[CountedQty],T_StockCount[RM_Code],$A32,T_StockCount[WeekIndex],43),IF((COUNTIFS(T_SelfStock[RM_Code],$A32,T_SelfStock[WeekIndex],43)&gt;0)*(COUNTIFS(T_TTAFStock[RM_Code],$A32,T_TTAFStock[WeekIndex],43)&gt;0)&gt;0,SUMIFS(T_SelfStock[Self_Qty],T_SelfStock[RM_Code],$A32,T_SelfStock[WeekIndex],43)+SUMIFS(T_TTAFStock[TTAF_Qty],T_TTAFStock[RM_Code],$A32,T_TTAFStock[WeekIndex],43),AQ32+'Grid_Incoming'!AR32-'Grid_Requirement'!AR32))</f>
        <v/>
      </c>
      <c r="AS32">
        <f>IF(COUNTIFS(T_StockCount[RM_Code],$A32,T_StockCount[WeekIndex],44)&gt;0,SUMIFS(T_StockCount[CountedQty],T_StockCount[RM_Code],$A32,T_StockCount[WeekIndex],44),IF((COUNTIFS(T_SelfStock[RM_Code],$A32,T_SelfStock[WeekIndex],44)&gt;0)*(COUNTIFS(T_TTAFStock[RM_Code],$A32,T_TTAFStock[WeekIndex],44)&gt;0)&gt;0,SUMIFS(T_SelfStock[Self_Qty],T_SelfStock[RM_Code],$A32,T_SelfStock[WeekIndex],44)+SUMIFS(T_TTAFStock[TTAF_Qty],T_TTAFStock[RM_Code],$A32,T_TTAFStock[WeekIndex],44),AR32+'Grid_Incoming'!AS32-'Grid_Requirement'!AS32))</f>
        <v/>
      </c>
      <c r="AT32">
        <f>IF(COUNTIFS(T_StockCount[RM_Code],$A32,T_StockCount[WeekIndex],45)&gt;0,SUMIFS(T_StockCount[CountedQty],T_StockCount[RM_Code],$A32,T_StockCount[WeekIndex],45),IF((COUNTIFS(T_SelfStock[RM_Code],$A32,T_SelfStock[WeekIndex],45)&gt;0)*(COUNTIFS(T_TTAFStock[RM_Code],$A32,T_TTAFStock[WeekIndex],45)&gt;0)&gt;0,SUMIFS(T_SelfStock[Self_Qty],T_SelfStock[RM_Code],$A32,T_SelfStock[WeekIndex],45)+SUMIFS(T_TTAFStock[TTAF_Qty],T_TTAFStock[RM_Code],$A32,T_TTAFStock[WeekIndex],45),AS32+'Grid_Incoming'!AT32-'Grid_Requirement'!AT32))</f>
        <v/>
      </c>
      <c r="AU32">
        <f>IF(COUNTIFS(T_StockCount[RM_Code],$A32,T_StockCount[WeekIndex],46)&gt;0,SUMIFS(T_StockCount[CountedQty],T_StockCount[RM_Code],$A32,T_StockCount[WeekIndex],46),IF((COUNTIFS(T_SelfStock[RM_Code],$A32,T_SelfStock[WeekIndex],46)&gt;0)*(COUNTIFS(T_TTAFStock[RM_Code],$A32,T_TTAFStock[WeekIndex],46)&gt;0)&gt;0,SUMIFS(T_SelfStock[Self_Qty],T_SelfStock[RM_Code],$A32,T_SelfStock[WeekIndex],46)+SUMIFS(T_TTAFStock[TTAF_Qty],T_TTAFStock[RM_Code],$A32,T_TTAFStock[WeekIndex],46),AT32+'Grid_Incoming'!AU32-'Grid_Requirement'!AU32))</f>
        <v/>
      </c>
      <c r="AV32">
        <f>IF(COUNTIFS(T_StockCount[RM_Code],$A32,T_StockCount[WeekIndex],47)&gt;0,SUMIFS(T_StockCount[CountedQty],T_StockCount[RM_Code],$A32,T_StockCount[WeekIndex],47),IF((COUNTIFS(T_SelfStock[RM_Code],$A32,T_SelfStock[WeekIndex],47)&gt;0)*(COUNTIFS(T_TTAFStock[RM_Code],$A32,T_TTAFStock[WeekIndex],47)&gt;0)&gt;0,SUMIFS(T_SelfStock[Self_Qty],T_SelfStock[RM_Code],$A32,T_SelfStock[WeekIndex],47)+SUMIFS(T_TTAFStock[TTAF_Qty],T_TTAFStock[RM_Code],$A32,T_TTAFStock[WeekIndex],47),AU32+'Grid_Incoming'!AV32-'Grid_Requirement'!AV32))</f>
        <v/>
      </c>
      <c r="AW32">
        <f>IF(COUNTIFS(T_StockCount[RM_Code],$A32,T_StockCount[WeekIndex],48)&gt;0,SUMIFS(T_StockCount[CountedQty],T_StockCount[RM_Code],$A32,T_StockCount[WeekIndex],48),IF((COUNTIFS(T_SelfStock[RM_Code],$A32,T_SelfStock[WeekIndex],48)&gt;0)*(COUNTIFS(T_TTAFStock[RM_Code],$A32,T_TTAFStock[WeekIndex],48)&gt;0)&gt;0,SUMIFS(T_SelfStock[Self_Qty],T_SelfStock[RM_Code],$A32,T_SelfStock[WeekIndex],48)+SUMIFS(T_TTAFStock[TTAF_Qty],T_TTAFStock[RM_Code],$A32,T_TTAFStock[WeekIndex],48),AV32+'Grid_Incoming'!AW32-'Grid_Requirement'!AW32))</f>
        <v/>
      </c>
      <c r="AX32">
        <f>IF(COUNTIFS(T_StockCount[RM_Code],$A32,T_StockCount[WeekIndex],49)&gt;0,SUMIFS(T_StockCount[CountedQty],T_StockCount[RM_Code],$A32,T_StockCount[WeekIndex],49),IF((COUNTIFS(T_SelfStock[RM_Code],$A32,T_SelfStock[WeekIndex],49)&gt;0)*(COUNTIFS(T_TTAFStock[RM_Code],$A32,T_TTAFStock[WeekIndex],49)&gt;0)&gt;0,SUMIFS(T_SelfStock[Self_Qty],T_SelfStock[RM_Code],$A32,T_SelfStock[WeekIndex],49)+SUMIFS(T_TTAFStock[TTAF_Qty],T_TTAFStock[RM_Code],$A32,T_TTAFStock[WeekIndex],49),AW32+'Grid_Incoming'!AX32-'Grid_Requirement'!AX32))</f>
        <v/>
      </c>
      <c r="AY32">
        <f>IF(COUNTIFS(T_StockCount[RM_Code],$A32,T_StockCount[WeekIndex],50)&gt;0,SUMIFS(T_StockCount[CountedQty],T_StockCount[RM_Code],$A32,T_StockCount[WeekIndex],50),IF((COUNTIFS(T_SelfStock[RM_Code],$A32,T_SelfStock[WeekIndex],50)&gt;0)*(COUNTIFS(T_TTAFStock[RM_Code],$A32,T_TTAFStock[WeekIndex],50)&gt;0)&gt;0,SUMIFS(T_SelfStock[Self_Qty],T_SelfStock[RM_Code],$A32,T_SelfStock[WeekIndex],50)+SUMIFS(T_TTAFStock[TTAF_Qty],T_TTAFStock[RM_Code],$A32,T_TTAFStock[WeekIndex],50),AX32+'Grid_Incoming'!AY32-'Grid_Requirement'!AY32))</f>
        <v/>
      </c>
      <c r="AZ32">
        <f>IF(COUNTIFS(T_StockCount[RM_Code],$A32,T_StockCount[WeekIndex],51)&gt;0,SUMIFS(T_StockCount[CountedQty],T_StockCount[RM_Code],$A32,T_StockCount[WeekIndex],51),IF((COUNTIFS(T_SelfStock[RM_Code],$A32,T_SelfStock[WeekIndex],51)&gt;0)*(COUNTIFS(T_TTAFStock[RM_Code],$A32,T_TTAFStock[WeekIndex],51)&gt;0)&gt;0,SUMIFS(T_SelfStock[Self_Qty],T_SelfStock[RM_Code],$A32,T_SelfStock[WeekIndex],51)+SUMIFS(T_TTAFStock[TTAF_Qty],T_TTAFStock[RM_Code],$A32,T_TTAFStock[WeekIndex],51),AY32+'Grid_Incoming'!AZ32-'Grid_Requirement'!AZ32))</f>
        <v/>
      </c>
      <c r="BA32">
        <f>IF(COUNTIFS(T_StockCount[RM_Code],$A32,T_StockCount[WeekIndex],52)&gt;0,SUMIFS(T_StockCount[CountedQty],T_StockCount[RM_Code],$A32,T_StockCount[WeekIndex],52),IF((COUNTIFS(T_SelfStock[RM_Code],$A32,T_SelfStock[WeekIndex],52)&gt;0)*(COUNTIFS(T_TTAFStock[RM_Code],$A32,T_TTAFStock[WeekIndex],52)&gt;0)&gt;0,SUMIFS(T_SelfStock[Self_Qty],T_SelfStock[RM_Code],$A32,T_SelfStock[WeekIndex],52)+SUMIFS(T_TTAFStock[TTAF_Qty],T_TTAFStock[RM_Code],$A32,T_TTAFStock[WeekIndex],52),AZ32+'Grid_Incoming'!BA32-'Grid_Requirement'!BA32))</f>
        <v/>
      </c>
      <c r="BB32">
        <f>IF(COUNTIFS(T_StockCount[RM_Code],$A32,T_StockCount[WeekIndex],53)&gt;0,SUMIFS(T_StockCount[CountedQty],T_StockCount[RM_Code],$A32,T_StockCount[WeekIndex],53),IF((COUNTIFS(T_SelfStock[RM_Code],$A32,T_SelfStock[WeekIndex],53)&gt;0)*(COUNTIFS(T_TTAFStock[RM_Code],$A32,T_TTAFStock[WeekIndex],53)&gt;0)&gt;0,SUMIFS(T_SelfStock[Self_Qty],T_SelfStock[RM_Code],$A32,T_SelfStock[WeekIndex],53)+SUMIFS(T_TTAFStock[TTAF_Qty],T_TTAFStock[RM_Code],$A32,T_TTAFStock[WeekIndex],53),BA32+'Grid_Incoming'!BB32-'Grid_Requirement'!BB32))</f>
        <v/>
      </c>
      <c r="BC32">
        <f>IF(COUNTIFS(T_StockCount[RM_Code],$A32,T_StockCount[WeekIndex],54)&gt;0,SUMIFS(T_StockCount[CountedQty],T_StockCount[RM_Code],$A32,T_StockCount[WeekIndex],54),IF((COUNTIFS(T_SelfStock[RM_Code],$A32,T_SelfStock[WeekIndex],54)&gt;0)*(COUNTIFS(T_TTAFStock[RM_Code],$A32,T_TTAFStock[WeekIndex],54)&gt;0)&gt;0,SUMIFS(T_SelfStock[Self_Qty],T_SelfStock[RM_Code],$A32,T_SelfStock[WeekIndex],54)+SUMIFS(T_TTAFStock[TTAF_Qty],T_TTAFStock[RM_Code],$A32,T_TTAFStock[WeekIndex],54),BB32+'Grid_Incoming'!BC32-'Grid_Requirement'!BC32))</f>
        <v/>
      </c>
      <c r="BD32">
        <f>IF(COUNTIFS(T_StockCount[RM_Code],$A32,T_StockCount[WeekIndex],55)&gt;0,SUMIFS(T_StockCount[CountedQty],T_StockCount[RM_Code],$A32,T_StockCount[WeekIndex],55),IF((COUNTIFS(T_SelfStock[RM_Code],$A32,T_SelfStock[WeekIndex],55)&gt;0)*(COUNTIFS(T_TTAFStock[RM_Code],$A32,T_TTAFStock[WeekIndex],55)&gt;0)&gt;0,SUMIFS(T_SelfStock[Self_Qty],T_SelfStock[RM_Code],$A32,T_SelfStock[WeekIndex],55)+SUMIFS(T_TTAFStock[TTAF_Qty],T_TTAFStock[RM_Code],$A32,T_TTAFStock[WeekIndex],55),BC32+'Grid_Incoming'!BD32-'Grid_Requirement'!BD32))</f>
        <v/>
      </c>
      <c r="BE32">
        <f>IF(COUNTIFS(T_StockCount[RM_Code],$A32,T_StockCount[WeekIndex],56)&gt;0,SUMIFS(T_StockCount[CountedQty],T_StockCount[RM_Code],$A32,T_StockCount[WeekIndex],56),IF((COUNTIFS(T_SelfStock[RM_Code],$A32,T_SelfStock[WeekIndex],56)&gt;0)*(COUNTIFS(T_TTAFStock[RM_Code],$A32,T_TTAFStock[WeekIndex],56)&gt;0)&gt;0,SUMIFS(T_SelfStock[Self_Qty],T_SelfStock[RM_Code],$A32,T_SelfStock[WeekIndex],56)+SUMIFS(T_TTAFStock[TTAF_Qty],T_TTAFStock[RM_Code],$A32,T_TTAFStock[WeekIndex],56),BD32+'Grid_Incoming'!BE32-'Grid_Requirement'!BE32))</f>
        <v/>
      </c>
      <c r="BF32">
        <f>IF(COUNTIFS(T_StockCount[RM_Code],$A32,T_StockCount[WeekIndex],57)&gt;0,SUMIFS(T_StockCount[CountedQty],T_StockCount[RM_Code],$A32,T_StockCount[WeekIndex],57),IF((COUNTIFS(T_SelfStock[RM_Code],$A32,T_SelfStock[WeekIndex],57)&gt;0)*(COUNTIFS(T_TTAFStock[RM_Code],$A32,T_TTAFStock[WeekIndex],57)&gt;0)&gt;0,SUMIFS(T_SelfStock[Self_Qty],T_SelfStock[RM_Code],$A32,T_SelfStock[WeekIndex],57)+SUMIFS(T_TTAFStock[TTAF_Qty],T_TTAFStock[RM_Code],$A32,T_TTAFStock[WeekIndex],57),BE32+'Grid_Incoming'!BF32-'Grid_Requirement'!BF32))</f>
        <v/>
      </c>
      <c r="BG32">
        <f>IF(COUNTIFS(T_StockCount[RM_Code],$A32,T_StockCount[WeekIndex],58)&gt;0,SUMIFS(T_StockCount[CountedQty],T_StockCount[RM_Code],$A32,T_StockCount[WeekIndex],58),IF((COUNTIFS(T_SelfStock[RM_Code],$A32,T_SelfStock[WeekIndex],58)&gt;0)*(COUNTIFS(T_TTAFStock[RM_Code],$A32,T_TTAFStock[WeekIndex],58)&gt;0)&gt;0,SUMIFS(T_SelfStock[Self_Qty],T_SelfStock[RM_Code],$A32,T_SelfStock[WeekIndex],58)+SUMIFS(T_TTAFStock[TTAF_Qty],T_TTAFStock[RM_Code],$A32,T_TTAFStock[WeekIndex],58),BF32+'Grid_Incoming'!BG32-'Grid_Requirement'!BG32))</f>
        <v/>
      </c>
      <c r="BH32">
        <f>IF(COUNTIFS(T_StockCount[RM_Code],$A32,T_StockCount[WeekIndex],59)&gt;0,SUMIFS(T_StockCount[CountedQty],T_StockCount[RM_Code],$A32,T_StockCount[WeekIndex],59),IF((COUNTIFS(T_SelfStock[RM_Code],$A32,T_SelfStock[WeekIndex],59)&gt;0)*(COUNTIFS(T_TTAFStock[RM_Code],$A32,T_TTAFStock[WeekIndex],59)&gt;0)&gt;0,SUMIFS(T_SelfStock[Self_Qty],T_SelfStock[RM_Code],$A32,T_SelfStock[WeekIndex],59)+SUMIFS(T_TTAFStock[TTAF_Qty],T_TTAFStock[RM_Code],$A32,T_TTAFStock[WeekIndex],59),BG32+'Grid_Incoming'!BH32-'Grid_Requirement'!BH32))</f>
        <v/>
      </c>
      <c r="BI32">
        <f>IF(COUNTIFS(T_StockCount[RM_Code],$A32,T_StockCount[WeekIndex],60)&gt;0,SUMIFS(T_StockCount[CountedQty],T_StockCount[RM_Code],$A32,T_StockCount[WeekIndex],60),IF((COUNTIFS(T_SelfStock[RM_Code],$A32,T_SelfStock[WeekIndex],60)&gt;0)*(COUNTIFS(T_TTAFStock[RM_Code],$A32,T_TTAFStock[WeekIndex],60)&gt;0)&gt;0,SUMIFS(T_SelfStock[Self_Qty],T_SelfStock[RM_Code],$A32,T_SelfStock[WeekIndex],60)+SUMIFS(T_TTAFStock[TTAF_Qty],T_TTAFStock[RM_Code],$A32,T_TTAFStock[WeekIndex],60),BH32+'Grid_Incoming'!BI32-'Grid_Requirement'!BI32))</f>
        <v/>
      </c>
      <c r="BJ32">
        <f>IF(COUNTIFS(T_StockCount[RM_Code],$A32,T_StockCount[WeekIndex],61)&gt;0,SUMIFS(T_StockCount[CountedQty],T_StockCount[RM_Code],$A32,T_StockCount[WeekIndex],61),IF((COUNTIFS(T_SelfStock[RM_Code],$A32,T_SelfStock[WeekIndex],61)&gt;0)*(COUNTIFS(T_TTAFStock[RM_Code],$A32,T_TTAFStock[WeekIndex],61)&gt;0)&gt;0,SUMIFS(T_SelfStock[Self_Qty],T_SelfStock[RM_Code],$A32,T_SelfStock[WeekIndex],61)+SUMIFS(T_TTAFStock[TTAF_Qty],T_TTAFStock[RM_Code],$A32,T_TTAFStock[WeekIndex],61),BI32+'Grid_Incoming'!BJ32-'Grid_Requirement'!BJ32))</f>
        <v/>
      </c>
      <c r="BK32">
        <f>IF(COUNTIFS(T_StockCount[RM_Code],$A32,T_StockCount[WeekIndex],62)&gt;0,SUMIFS(T_StockCount[CountedQty],T_StockCount[RM_Code],$A32,T_StockCount[WeekIndex],62),IF((COUNTIFS(T_SelfStock[RM_Code],$A32,T_SelfStock[WeekIndex],62)&gt;0)*(COUNTIFS(T_TTAFStock[RM_Code],$A32,T_TTAFStock[WeekIndex],62)&gt;0)&gt;0,SUMIFS(T_SelfStock[Self_Qty],T_SelfStock[RM_Code],$A32,T_SelfStock[WeekIndex],62)+SUMIFS(T_TTAFStock[TTAF_Qty],T_TTAFStock[RM_Code],$A32,T_TTAFStock[WeekIndex],62),BJ32+'Grid_Incoming'!BK32-'Grid_Requirement'!BK32))</f>
        <v/>
      </c>
      <c r="BL32">
        <f>IF(COUNTIFS(T_StockCount[RM_Code],$A32,T_StockCount[WeekIndex],63)&gt;0,SUMIFS(T_StockCount[CountedQty],T_StockCount[RM_Code],$A32,T_StockCount[WeekIndex],63),IF((COUNTIFS(T_SelfStock[RM_Code],$A32,T_SelfStock[WeekIndex],63)&gt;0)*(COUNTIFS(T_TTAFStock[RM_Code],$A32,T_TTAFStock[WeekIndex],63)&gt;0)&gt;0,SUMIFS(T_SelfStock[Self_Qty],T_SelfStock[RM_Code],$A32,T_SelfStock[WeekIndex],63)+SUMIFS(T_TTAFStock[TTAF_Qty],T_TTAFStock[RM_Code],$A32,T_TTAFStock[WeekIndex],63),BK32+'Grid_Incoming'!BL32-'Grid_Requirement'!BL32))</f>
        <v/>
      </c>
      <c r="BM32">
        <f>IF(COUNTIFS(T_StockCount[RM_Code],$A32,T_StockCount[WeekIndex],64)&gt;0,SUMIFS(T_StockCount[CountedQty],T_StockCount[RM_Code],$A32,T_StockCount[WeekIndex],64),IF((COUNTIFS(T_SelfStock[RM_Code],$A32,T_SelfStock[WeekIndex],64)&gt;0)*(COUNTIFS(T_TTAFStock[RM_Code],$A32,T_TTAFStock[WeekIndex],64)&gt;0)&gt;0,SUMIFS(T_SelfStock[Self_Qty],T_SelfStock[RM_Code],$A32,T_SelfStock[WeekIndex],64)+SUMIFS(T_TTAFStock[TTAF_Qty],T_TTAFStock[RM_Code],$A32,T_TTAFStock[WeekIndex],64),BL32+'Grid_Incoming'!BM32-'Grid_Requirement'!BM32))</f>
        <v/>
      </c>
      <c r="BN32">
        <f>IF(COUNTIFS(T_StockCount[RM_Code],$A32,T_StockCount[WeekIndex],65)&gt;0,SUMIFS(T_StockCount[CountedQty],T_StockCount[RM_Code],$A32,T_StockCount[WeekIndex],65),IF((COUNTIFS(T_SelfStock[RM_Code],$A32,T_SelfStock[WeekIndex],65)&gt;0)*(COUNTIFS(T_TTAFStock[RM_Code],$A32,T_TTAFStock[WeekIndex],65)&gt;0)&gt;0,SUMIFS(T_SelfStock[Self_Qty],T_SelfStock[RM_Code],$A32,T_SelfStock[WeekIndex],65)+SUMIFS(T_TTAFStock[TTAF_Qty],T_TTAFStock[RM_Code],$A32,T_TTAFStock[WeekIndex],65),BM32+'Grid_Incoming'!BN32-'Grid_Requirement'!BN32))</f>
        <v/>
      </c>
      <c r="BO32">
        <f>IF(COUNTIFS(T_StockCount[RM_Code],$A32,T_StockCount[WeekIndex],66)&gt;0,SUMIFS(T_StockCount[CountedQty],T_StockCount[RM_Code],$A32,T_StockCount[WeekIndex],66),IF((COUNTIFS(T_SelfStock[RM_Code],$A32,T_SelfStock[WeekIndex],66)&gt;0)*(COUNTIFS(T_TTAFStock[RM_Code],$A32,T_TTAFStock[WeekIndex],66)&gt;0)&gt;0,SUMIFS(T_SelfStock[Self_Qty],T_SelfStock[RM_Code],$A32,T_SelfStock[WeekIndex],66)+SUMIFS(T_TTAFStock[TTAF_Qty],T_TTAFStock[RM_Code],$A32,T_TTAFStock[WeekIndex],66),BN32+'Grid_Incoming'!BO32-'Grid_Requirement'!BO32))</f>
        <v/>
      </c>
      <c r="BP32">
        <f>IF(COUNTIFS(T_StockCount[RM_Code],$A32,T_StockCount[WeekIndex],67)&gt;0,SUMIFS(T_StockCount[CountedQty],T_StockCount[RM_Code],$A32,T_StockCount[WeekIndex],67),IF((COUNTIFS(T_SelfStock[RM_Code],$A32,T_SelfStock[WeekIndex],67)&gt;0)*(COUNTIFS(T_TTAFStock[RM_Code],$A32,T_TTAFStock[WeekIndex],67)&gt;0)&gt;0,SUMIFS(T_SelfStock[Self_Qty],T_SelfStock[RM_Code],$A32,T_SelfStock[WeekIndex],67)+SUMIFS(T_TTAFStock[TTAF_Qty],T_TTAFStock[RM_Code],$A32,T_TTAFStock[WeekIndex],67),BO32+'Grid_Incoming'!BP32-'Grid_Requirement'!BP32))</f>
        <v/>
      </c>
      <c r="BQ32">
        <f>IF(COUNTIFS(T_StockCount[RM_Code],$A32,T_StockCount[WeekIndex],68)&gt;0,SUMIFS(T_StockCount[CountedQty],T_StockCount[RM_Code],$A32,T_StockCount[WeekIndex],68),IF((COUNTIFS(T_SelfStock[RM_Code],$A32,T_SelfStock[WeekIndex],68)&gt;0)*(COUNTIFS(T_TTAFStock[RM_Code],$A32,T_TTAFStock[WeekIndex],68)&gt;0)&gt;0,SUMIFS(T_SelfStock[Self_Qty],T_SelfStock[RM_Code],$A32,T_SelfStock[WeekIndex],68)+SUMIFS(T_TTAFStock[TTAF_Qty],T_TTAFStock[RM_Code],$A32,T_TTAFStock[WeekIndex],68),BP32+'Grid_Incoming'!BQ32-'Grid_Requirement'!BQ32))</f>
        <v/>
      </c>
      <c r="BR32">
        <f>IF(COUNTIFS(T_StockCount[RM_Code],$A32,T_StockCount[WeekIndex],69)&gt;0,SUMIFS(T_StockCount[CountedQty],T_StockCount[RM_Code],$A32,T_StockCount[WeekIndex],69),IF((COUNTIFS(T_SelfStock[RM_Code],$A32,T_SelfStock[WeekIndex],69)&gt;0)*(COUNTIFS(T_TTAFStock[RM_Code],$A32,T_TTAFStock[WeekIndex],69)&gt;0)&gt;0,SUMIFS(T_SelfStock[Self_Qty],T_SelfStock[RM_Code],$A32,T_SelfStock[WeekIndex],69)+SUMIFS(T_TTAFStock[TTAF_Qty],T_TTAFStock[RM_Code],$A32,T_TTAFStock[WeekIndex],69),BQ32+'Grid_Incoming'!BR32-'Grid_Requirement'!BR32))</f>
        <v/>
      </c>
      <c r="BS32">
        <f>IF(COUNTIFS(T_StockCount[RM_Code],$A32,T_StockCount[WeekIndex],70)&gt;0,SUMIFS(T_StockCount[CountedQty],T_StockCount[RM_Code],$A32,T_StockCount[WeekIndex],70),IF((COUNTIFS(T_SelfStock[RM_Code],$A32,T_SelfStock[WeekIndex],70)&gt;0)*(COUNTIFS(T_TTAFStock[RM_Code],$A32,T_TTAFStock[WeekIndex],70)&gt;0)&gt;0,SUMIFS(T_SelfStock[Self_Qty],T_SelfStock[RM_Code],$A32,T_SelfStock[WeekIndex],70)+SUMIFS(T_TTAFStock[TTAF_Qty],T_TTAFStock[RM_Code],$A32,T_TTAFStock[WeekIndex],70),BR32+'Grid_Incoming'!BS32-'Grid_Requirement'!BS32))</f>
        <v/>
      </c>
      <c r="BT32">
        <f>IF(COUNTIFS(T_StockCount[RM_Code],$A32,T_StockCount[WeekIndex],71)&gt;0,SUMIFS(T_StockCount[CountedQty],T_StockCount[RM_Code],$A32,T_StockCount[WeekIndex],71),IF((COUNTIFS(T_SelfStock[RM_Code],$A32,T_SelfStock[WeekIndex],71)&gt;0)*(COUNTIFS(T_TTAFStock[RM_Code],$A32,T_TTAFStock[WeekIndex],71)&gt;0)&gt;0,SUMIFS(T_SelfStock[Self_Qty],T_SelfStock[RM_Code],$A32,T_SelfStock[WeekIndex],71)+SUMIFS(T_TTAFStock[TTAF_Qty],T_TTAFStock[RM_Code],$A32,T_TTAFStock[WeekIndex],71),BS32+'Grid_Incoming'!BT32-'Grid_Requirement'!BT32))</f>
        <v/>
      </c>
      <c r="BU32">
        <f>IF(COUNTIFS(T_StockCount[RM_Code],$A32,T_StockCount[WeekIndex],72)&gt;0,SUMIFS(T_StockCount[CountedQty],T_StockCount[RM_Code],$A32,T_StockCount[WeekIndex],72),IF((COUNTIFS(T_SelfStock[RM_Code],$A32,T_SelfStock[WeekIndex],72)&gt;0)*(COUNTIFS(T_TTAFStock[RM_Code],$A32,T_TTAFStock[WeekIndex],72)&gt;0)&gt;0,SUMIFS(T_SelfStock[Self_Qty],T_SelfStock[RM_Code],$A32,T_SelfStock[WeekIndex],72)+SUMIFS(T_TTAFStock[TTAF_Qty],T_TTAFStock[RM_Code],$A32,T_TTAFStock[WeekIndex],72),BT32+'Grid_Incoming'!BU32-'Grid_Requirement'!BU32))</f>
        <v/>
      </c>
      <c r="BV32">
        <f>IF(COUNTIFS(T_StockCount[RM_Code],$A32,T_StockCount[WeekIndex],73)&gt;0,SUMIFS(T_StockCount[CountedQty],T_StockCount[RM_Code],$A32,T_StockCount[WeekIndex],73),IF((COUNTIFS(T_SelfStock[RM_Code],$A32,T_SelfStock[WeekIndex],73)&gt;0)*(COUNTIFS(T_TTAFStock[RM_Code],$A32,T_TTAFStock[WeekIndex],73)&gt;0)&gt;0,SUMIFS(T_SelfStock[Self_Qty],T_SelfStock[RM_Code],$A32,T_SelfStock[WeekIndex],73)+SUMIFS(T_TTAFStock[TTAF_Qty],T_TTAFStock[RM_Code],$A32,T_TTAFStock[WeekIndex],73),BU32+'Grid_Incoming'!BV32-'Grid_Requirement'!BV32))</f>
        <v/>
      </c>
      <c r="BW32">
        <f>IF(COUNTIFS(T_StockCount[RM_Code],$A32,T_StockCount[WeekIndex],74)&gt;0,SUMIFS(T_StockCount[CountedQty],T_StockCount[RM_Code],$A32,T_StockCount[WeekIndex],74),IF((COUNTIFS(T_SelfStock[RM_Code],$A32,T_SelfStock[WeekIndex],74)&gt;0)*(COUNTIFS(T_TTAFStock[RM_Code],$A32,T_TTAFStock[WeekIndex],74)&gt;0)&gt;0,SUMIFS(T_SelfStock[Self_Qty],T_SelfStock[RM_Code],$A32,T_SelfStock[WeekIndex],74)+SUMIFS(T_TTAFStock[TTAF_Qty],T_TTAFStock[RM_Code],$A32,T_TTAFStock[WeekIndex],74),BV32+'Grid_Incoming'!BW32-'Grid_Requirement'!BW32))</f>
        <v/>
      </c>
      <c r="BX32">
        <f>IF(COUNTIFS(T_StockCount[RM_Code],$A32,T_StockCount[WeekIndex],75)&gt;0,SUMIFS(T_StockCount[CountedQty],T_StockCount[RM_Code],$A32,T_StockCount[WeekIndex],75),IF((COUNTIFS(T_SelfStock[RM_Code],$A32,T_SelfStock[WeekIndex],75)&gt;0)*(COUNTIFS(T_TTAFStock[RM_Code],$A32,T_TTAFStock[WeekIndex],75)&gt;0)&gt;0,SUMIFS(T_SelfStock[Self_Qty],T_SelfStock[RM_Code],$A32,T_SelfStock[WeekIndex],75)+SUMIFS(T_TTAFStock[TTAF_Qty],T_TTAFStock[RM_Code],$A32,T_TTAFStock[WeekIndex],75),BW32+'Grid_Incoming'!BX32-'Grid_Requirement'!BX32))</f>
        <v/>
      </c>
      <c r="BY32">
        <f>IF(COUNTIFS(T_StockCount[RM_Code],$A32,T_StockCount[WeekIndex],76)&gt;0,SUMIFS(T_StockCount[CountedQty],T_StockCount[RM_Code],$A32,T_StockCount[WeekIndex],76),IF((COUNTIFS(T_SelfStock[RM_Code],$A32,T_SelfStock[WeekIndex],76)&gt;0)*(COUNTIFS(T_TTAFStock[RM_Code],$A32,T_TTAFStock[WeekIndex],76)&gt;0)&gt;0,SUMIFS(T_SelfStock[Self_Qty],T_SelfStock[RM_Code],$A32,T_SelfStock[WeekIndex],76)+SUMIFS(T_TTAFStock[TTAF_Qty],T_TTAFStock[RM_Code],$A32,T_TTAFStock[WeekIndex],76),BX32+'Grid_Incoming'!BY32-'Grid_Requirement'!BY32))</f>
        <v/>
      </c>
      <c r="BZ32">
        <f>IF(COUNTIFS(T_StockCount[RM_Code],$A32,T_StockCount[WeekIndex],77)&gt;0,SUMIFS(T_StockCount[CountedQty],T_StockCount[RM_Code],$A32,T_StockCount[WeekIndex],77),IF((COUNTIFS(T_SelfStock[RM_Code],$A32,T_SelfStock[WeekIndex],77)&gt;0)*(COUNTIFS(T_TTAFStock[RM_Code],$A32,T_TTAFStock[WeekIndex],77)&gt;0)&gt;0,SUMIFS(T_SelfStock[Self_Qty],T_SelfStock[RM_Code],$A32,T_SelfStock[WeekIndex],77)+SUMIFS(T_TTAFStock[TTAF_Qty],T_TTAFStock[RM_Code],$A32,T_TTAFStock[WeekIndex],77),BY32+'Grid_Incoming'!BZ32-'Grid_Requirement'!BZ32))</f>
        <v/>
      </c>
      <c r="CA32">
        <f>IF(COUNTIFS(T_StockCount[RM_Code],$A32,T_StockCount[WeekIndex],78)&gt;0,SUMIFS(T_StockCount[CountedQty],T_StockCount[RM_Code],$A32,T_StockCount[WeekIndex],78),IF((COUNTIFS(T_SelfStock[RM_Code],$A32,T_SelfStock[WeekIndex],78)&gt;0)*(COUNTIFS(T_TTAFStock[RM_Code],$A32,T_TTAFStock[WeekIndex],78)&gt;0)&gt;0,SUMIFS(T_SelfStock[Self_Qty],T_SelfStock[RM_Code],$A32,T_SelfStock[WeekIndex],78)+SUMIFS(T_TTAFStock[TTAF_Qty],T_TTAFStock[RM_Code],$A32,T_TTAFStock[WeekIndex],78),BZ32+'Grid_Incoming'!CA32-'Grid_Requirement'!CA32))</f>
        <v/>
      </c>
      <c r="CB32">
        <f>IF(COUNTIFS(T_StockCount[RM_Code],$A32,T_StockCount[WeekIndex],79)&gt;0,SUMIFS(T_StockCount[CountedQty],T_StockCount[RM_Code],$A32,T_StockCount[WeekIndex],79),IF((COUNTIFS(T_SelfStock[RM_Code],$A32,T_SelfStock[WeekIndex],79)&gt;0)*(COUNTIFS(T_TTAFStock[RM_Code],$A32,T_TTAFStock[WeekIndex],79)&gt;0)&gt;0,SUMIFS(T_SelfStock[Self_Qty],T_SelfStock[RM_Code],$A32,T_SelfStock[WeekIndex],79)+SUMIFS(T_TTAFStock[TTAF_Qty],T_TTAFStock[RM_Code],$A32,T_TTAFStock[WeekIndex],79),CA32+'Grid_Incoming'!CB32-'Grid_Requirement'!CB32))</f>
        <v/>
      </c>
      <c r="CC32">
        <f>IF(COUNTIFS(T_StockCount[RM_Code],$A32,T_StockCount[WeekIndex],80)&gt;0,SUMIFS(T_StockCount[CountedQty],T_StockCount[RM_Code],$A32,T_StockCount[WeekIndex],80),IF((COUNTIFS(T_SelfStock[RM_Code],$A32,T_SelfStock[WeekIndex],80)&gt;0)*(COUNTIFS(T_TTAFStock[RM_Code],$A32,T_TTAFStock[WeekIndex],80)&gt;0)&gt;0,SUMIFS(T_SelfStock[Self_Qty],T_SelfStock[RM_Code],$A32,T_SelfStock[WeekIndex],80)+SUMIFS(T_TTAFStock[TTAF_Qty],T_TTAFStock[RM_Code],$A32,T_TTAFStock[WeekIndex],80),CB32+'Grid_Incoming'!CC32-'Grid_Requirement'!CC32))</f>
        <v/>
      </c>
      <c r="CD32">
        <f>IF(COUNTIFS(T_StockCount[RM_Code],$A32,T_StockCount[WeekIndex],81)&gt;0,SUMIFS(T_StockCount[CountedQty],T_StockCount[RM_Code],$A32,T_StockCount[WeekIndex],81),IF((COUNTIFS(T_SelfStock[RM_Code],$A32,T_SelfStock[WeekIndex],81)&gt;0)*(COUNTIFS(T_TTAFStock[RM_Code],$A32,T_TTAFStock[WeekIndex],81)&gt;0)&gt;0,SUMIFS(T_SelfStock[Self_Qty],T_SelfStock[RM_Code],$A32,T_SelfStock[WeekIndex],81)+SUMIFS(T_TTAFStock[TTAF_Qty],T_TTAFStock[RM_Code],$A32,T_TTAFStock[WeekIndex],81),CC32+'Grid_Incoming'!CD32-'Grid_Requirement'!CD32))</f>
        <v/>
      </c>
      <c r="CE32">
        <f>IF(COUNTIFS(T_StockCount[RM_Code],$A32,T_StockCount[WeekIndex],82)&gt;0,SUMIFS(T_StockCount[CountedQty],T_StockCount[RM_Code],$A32,T_StockCount[WeekIndex],82),IF((COUNTIFS(T_SelfStock[RM_Code],$A32,T_SelfStock[WeekIndex],82)&gt;0)*(COUNTIFS(T_TTAFStock[RM_Code],$A32,T_TTAFStock[WeekIndex],82)&gt;0)&gt;0,SUMIFS(T_SelfStock[Self_Qty],T_SelfStock[RM_Code],$A32,T_SelfStock[WeekIndex],82)+SUMIFS(T_TTAFStock[TTAF_Qty],T_TTAFStock[RM_Code],$A32,T_TTAFStock[WeekIndex],82),CD32+'Grid_Incoming'!CE32-'Grid_Requirement'!CE32))</f>
        <v/>
      </c>
      <c r="CF32">
        <f>IF(COUNTIFS(T_StockCount[RM_Code],$A32,T_StockCount[WeekIndex],83)&gt;0,SUMIFS(T_StockCount[CountedQty],T_StockCount[RM_Code],$A32,T_StockCount[WeekIndex],83),IF((COUNTIFS(T_SelfStock[RM_Code],$A32,T_SelfStock[WeekIndex],83)&gt;0)*(COUNTIFS(T_TTAFStock[RM_Code],$A32,T_TTAFStock[WeekIndex],83)&gt;0)&gt;0,SUMIFS(T_SelfStock[Self_Qty],T_SelfStock[RM_Code],$A32,T_SelfStock[WeekIndex],83)+SUMIFS(T_TTAFStock[TTAF_Qty],T_TTAFStock[RM_Code],$A32,T_TTAFStock[WeekIndex],83),CE32+'Grid_Incoming'!CF32-'Grid_Requirement'!CF32))</f>
        <v/>
      </c>
      <c r="CG32">
        <f>IF(COUNTIFS(T_StockCount[RM_Code],$A32,T_StockCount[WeekIndex],84)&gt;0,SUMIFS(T_StockCount[CountedQty],T_StockCount[RM_Code],$A32,T_StockCount[WeekIndex],84),IF((COUNTIFS(T_SelfStock[RM_Code],$A32,T_SelfStock[WeekIndex],84)&gt;0)*(COUNTIFS(T_TTAFStock[RM_Code],$A32,T_TTAFStock[WeekIndex],84)&gt;0)&gt;0,SUMIFS(T_SelfStock[Self_Qty],T_SelfStock[RM_Code],$A32,T_SelfStock[WeekIndex],84)+SUMIFS(T_TTAFStock[TTAF_Qty],T_TTAFStock[RM_Code],$A32,T_TTAFStock[WeekIndex],84),CF32+'Grid_Incoming'!CG32-'Grid_Requirement'!CG32))</f>
        <v/>
      </c>
      <c r="CH32">
        <f>IF(COUNTIFS(T_StockCount[RM_Code],$A32,T_StockCount[WeekIndex],85)&gt;0,SUMIFS(T_StockCount[CountedQty],T_StockCount[RM_Code],$A32,T_StockCount[WeekIndex],85),IF((COUNTIFS(T_SelfStock[RM_Code],$A32,T_SelfStock[WeekIndex],85)&gt;0)*(COUNTIFS(T_TTAFStock[RM_Code],$A32,T_TTAFStock[WeekIndex],85)&gt;0)&gt;0,SUMIFS(T_SelfStock[Self_Qty],T_SelfStock[RM_Code],$A32,T_SelfStock[WeekIndex],85)+SUMIFS(T_TTAFStock[TTAF_Qty],T_TTAFStock[RM_Code],$A32,T_TTAFStock[WeekIndex],85),CG32+'Grid_Incoming'!CH32-'Grid_Requirement'!CH32))</f>
        <v/>
      </c>
      <c r="CI32">
        <f>IF(COUNTIFS(T_StockCount[RM_Code],$A32,T_StockCount[WeekIndex],86)&gt;0,SUMIFS(T_StockCount[CountedQty],T_StockCount[RM_Code],$A32,T_StockCount[WeekIndex],86),IF((COUNTIFS(T_SelfStock[RM_Code],$A32,T_SelfStock[WeekIndex],86)&gt;0)*(COUNTIFS(T_TTAFStock[RM_Code],$A32,T_TTAFStock[WeekIndex],86)&gt;0)&gt;0,SUMIFS(T_SelfStock[Self_Qty],T_SelfStock[RM_Code],$A32,T_SelfStock[WeekIndex],86)+SUMIFS(T_TTAFStock[TTAF_Qty],T_TTAFStock[RM_Code],$A32,T_TTAFStock[WeekIndex],86),CH32+'Grid_Incoming'!CI32-'Grid_Requirement'!CI32))</f>
        <v/>
      </c>
      <c r="CJ32">
        <f>IF(COUNTIFS(T_StockCount[RM_Code],$A32,T_StockCount[WeekIndex],87)&gt;0,SUMIFS(T_StockCount[CountedQty],T_StockCount[RM_Code],$A32,T_StockCount[WeekIndex],87),IF((COUNTIFS(T_SelfStock[RM_Code],$A32,T_SelfStock[WeekIndex],87)&gt;0)*(COUNTIFS(T_TTAFStock[RM_Code],$A32,T_TTAFStock[WeekIndex],87)&gt;0)&gt;0,SUMIFS(T_SelfStock[Self_Qty],T_SelfStock[RM_Code],$A32,T_SelfStock[WeekIndex],87)+SUMIFS(T_TTAFStock[TTAF_Qty],T_TTAFStock[RM_Code],$A32,T_TTAFStock[WeekIndex],87),CI32+'Grid_Incoming'!CJ32-'Grid_Requirement'!CJ32))</f>
        <v/>
      </c>
      <c r="CK32">
        <f>IF(COUNTIFS(T_StockCount[RM_Code],$A32,T_StockCount[WeekIndex],88)&gt;0,SUMIFS(T_StockCount[CountedQty],T_StockCount[RM_Code],$A32,T_StockCount[WeekIndex],88),IF((COUNTIFS(T_SelfStock[RM_Code],$A32,T_SelfStock[WeekIndex],88)&gt;0)*(COUNTIFS(T_TTAFStock[RM_Code],$A32,T_TTAFStock[WeekIndex],88)&gt;0)&gt;0,SUMIFS(T_SelfStock[Self_Qty],T_SelfStock[RM_Code],$A32,T_SelfStock[WeekIndex],88)+SUMIFS(T_TTAFStock[TTAF_Qty],T_TTAFStock[RM_Code],$A32,T_TTAFStock[WeekIndex],88),CJ32+'Grid_Incoming'!CK32-'Grid_Requirement'!CK32))</f>
        <v/>
      </c>
      <c r="CL32">
        <f>IF(COUNTIFS(T_StockCount[RM_Code],$A32,T_StockCount[WeekIndex],89)&gt;0,SUMIFS(T_StockCount[CountedQty],T_StockCount[RM_Code],$A32,T_StockCount[WeekIndex],89),IF((COUNTIFS(T_SelfStock[RM_Code],$A32,T_SelfStock[WeekIndex],89)&gt;0)*(COUNTIFS(T_TTAFStock[RM_Code],$A32,T_TTAFStock[WeekIndex],89)&gt;0)&gt;0,SUMIFS(T_SelfStock[Self_Qty],T_SelfStock[RM_Code],$A32,T_SelfStock[WeekIndex],89)+SUMIFS(T_TTAFStock[TTAF_Qty],T_TTAFStock[RM_Code],$A32,T_TTAFStock[WeekIndex],89),CK32+'Grid_Incoming'!CL32-'Grid_Requirement'!CL32))</f>
        <v/>
      </c>
      <c r="CM32">
        <f>IF(COUNTIFS(T_StockCount[RM_Code],$A32,T_StockCount[WeekIndex],90)&gt;0,SUMIFS(T_StockCount[CountedQty],T_StockCount[RM_Code],$A32,T_StockCount[WeekIndex],90),IF((COUNTIFS(T_SelfStock[RM_Code],$A32,T_SelfStock[WeekIndex],90)&gt;0)*(COUNTIFS(T_TTAFStock[RM_Code],$A32,T_TTAFStock[WeekIndex],90)&gt;0)&gt;0,SUMIFS(T_SelfStock[Self_Qty],T_SelfStock[RM_Code],$A32,T_SelfStock[WeekIndex],90)+SUMIFS(T_TTAFStock[TTAF_Qty],T_TTAFStock[RM_Code],$A32,T_TTAFStock[WeekIndex],90),CL32+'Grid_Incoming'!CM32-'Grid_Requirement'!CM32))</f>
        <v/>
      </c>
      <c r="CN32">
        <f>IF(COUNTIFS(T_StockCount[RM_Code],$A32,T_StockCount[WeekIndex],91)&gt;0,SUMIFS(T_StockCount[CountedQty],T_StockCount[RM_Code],$A32,T_StockCount[WeekIndex],91),IF((COUNTIFS(T_SelfStock[RM_Code],$A32,T_SelfStock[WeekIndex],91)&gt;0)*(COUNTIFS(T_TTAFStock[RM_Code],$A32,T_TTAFStock[WeekIndex],91)&gt;0)&gt;0,SUMIFS(T_SelfStock[Self_Qty],T_SelfStock[RM_Code],$A32,T_SelfStock[WeekIndex],91)+SUMIFS(T_TTAFStock[TTAF_Qty],T_TTAFStock[RM_Code],$A32,T_TTAFStock[WeekIndex],91),CM32+'Grid_Incoming'!CN32-'Grid_Requirement'!CN32))</f>
        <v/>
      </c>
      <c r="CO32">
        <f>IF(COUNTIFS(T_StockCount[RM_Code],$A32,T_StockCount[WeekIndex],92)&gt;0,SUMIFS(T_StockCount[CountedQty],T_StockCount[RM_Code],$A32,T_StockCount[WeekIndex],92),IF((COUNTIFS(T_SelfStock[RM_Code],$A32,T_SelfStock[WeekIndex],92)&gt;0)*(COUNTIFS(T_TTAFStock[RM_Code],$A32,T_TTAFStock[WeekIndex],92)&gt;0)&gt;0,SUMIFS(T_SelfStock[Self_Qty],T_SelfStock[RM_Code],$A32,T_SelfStock[WeekIndex],92)+SUMIFS(T_TTAFStock[TTAF_Qty],T_TTAFStock[RM_Code],$A32,T_TTAFStock[WeekIndex],92),CN32+'Grid_Incoming'!CO32-'Grid_Requirement'!CO32))</f>
        <v/>
      </c>
      <c r="CP32">
        <f>IF(COUNTIFS(T_StockCount[RM_Code],$A32,T_StockCount[WeekIndex],93)&gt;0,SUMIFS(T_StockCount[CountedQty],T_StockCount[RM_Code],$A32,T_StockCount[WeekIndex],93),IF((COUNTIFS(T_SelfStock[RM_Code],$A32,T_SelfStock[WeekIndex],93)&gt;0)*(COUNTIFS(T_TTAFStock[RM_Code],$A32,T_TTAFStock[WeekIndex],93)&gt;0)&gt;0,SUMIFS(T_SelfStock[Self_Qty],T_SelfStock[RM_Code],$A32,T_SelfStock[WeekIndex],93)+SUMIFS(T_TTAFStock[TTAF_Qty],T_TTAFStock[RM_Code],$A32,T_TTAFStock[WeekIndex],93),CO32+'Grid_Incoming'!CP32-'Grid_Requirement'!CP32))</f>
        <v/>
      </c>
      <c r="CQ32">
        <f>IF(COUNTIFS(T_StockCount[RM_Code],$A32,T_StockCount[WeekIndex],94)&gt;0,SUMIFS(T_StockCount[CountedQty],T_StockCount[RM_Code],$A32,T_StockCount[WeekIndex],94),IF((COUNTIFS(T_SelfStock[RM_Code],$A32,T_SelfStock[WeekIndex],94)&gt;0)*(COUNTIFS(T_TTAFStock[RM_Code],$A32,T_TTAFStock[WeekIndex],94)&gt;0)&gt;0,SUMIFS(T_SelfStock[Self_Qty],T_SelfStock[RM_Code],$A32,T_SelfStock[WeekIndex],94)+SUMIFS(T_TTAFStock[TTAF_Qty],T_TTAFStock[RM_Code],$A32,T_TTAFStock[WeekIndex],94),CP32+'Grid_Incoming'!CQ32-'Grid_Requirement'!CQ32))</f>
        <v/>
      </c>
      <c r="CR32">
        <f>IF(COUNTIFS(T_StockCount[RM_Code],$A32,T_StockCount[WeekIndex],95)&gt;0,SUMIFS(T_StockCount[CountedQty],T_StockCount[RM_Code],$A32,T_StockCount[WeekIndex],95),IF((COUNTIFS(T_SelfStock[RM_Code],$A32,T_SelfStock[WeekIndex],95)&gt;0)*(COUNTIFS(T_TTAFStock[RM_Code],$A32,T_TTAFStock[WeekIndex],95)&gt;0)&gt;0,SUMIFS(T_SelfStock[Self_Qty],T_SelfStock[RM_Code],$A32,T_SelfStock[WeekIndex],95)+SUMIFS(T_TTAFStock[TTAF_Qty],T_TTAFStock[RM_Code],$A32,T_TTAFStock[WeekIndex],95),CQ32+'Grid_Incoming'!CR32-'Grid_Requirement'!CR32))</f>
        <v/>
      </c>
      <c r="CS32">
        <f>IF(COUNTIFS(T_StockCount[RM_Code],$A32,T_StockCount[WeekIndex],96)&gt;0,SUMIFS(T_StockCount[CountedQty],T_StockCount[RM_Code],$A32,T_StockCount[WeekIndex],96),IF((COUNTIFS(T_SelfStock[RM_Code],$A32,T_SelfStock[WeekIndex],96)&gt;0)*(COUNTIFS(T_TTAFStock[RM_Code],$A32,T_TTAFStock[WeekIndex],96)&gt;0)&gt;0,SUMIFS(T_SelfStock[Self_Qty],T_SelfStock[RM_Code],$A32,T_SelfStock[WeekIndex],96)+SUMIFS(T_TTAFStock[TTAF_Qty],T_TTAFStock[RM_Code],$A32,T_TTAFStock[WeekIndex],96),CR32+'Grid_Incoming'!CS32-'Grid_Requirement'!CS32))</f>
        <v/>
      </c>
      <c r="CT32">
        <f>IF(COUNTIFS(T_StockCount[RM_Code],$A32,T_StockCount[WeekIndex],97)&gt;0,SUMIFS(T_StockCount[CountedQty],T_StockCount[RM_Code],$A32,T_StockCount[WeekIndex],97),IF((COUNTIFS(T_SelfStock[RM_Code],$A32,T_SelfStock[WeekIndex],97)&gt;0)*(COUNTIFS(T_TTAFStock[RM_Code],$A32,T_TTAFStock[WeekIndex],97)&gt;0)&gt;0,SUMIFS(T_SelfStock[Self_Qty],T_SelfStock[RM_Code],$A32,T_SelfStock[WeekIndex],97)+SUMIFS(T_TTAFStock[TTAF_Qty],T_TTAFStock[RM_Code],$A32,T_TTAFStock[WeekIndex],97),CS32+'Grid_Incoming'!CT32-'Grid_Requirement'!CT32))</f>
        <v/>
      </c>
      <c r="CU32">
        <f>IF(COUNTIFS(T_StockCount[RM_Code],$A32,T_StockCount[WeekIndex],98)&gt;0,SUMIFS(T_StockCount[CountedQty],T_StockCount[RM_Code],$A32,T_StockCount[WeekIndex],98),IF((COUNTIFS(T_SelfStock[RM_Code],$A32,T_SelfStock[WeekIndex],98)&gt;0)*(COUNTIFS(T_TTAFStock[RM_Code],$A32,T_TTAFStock[WeekIndex],98)&gt;0)&gt;0,SUMIFS(T_SelfStock[Self_Qty],T_SelfStock[RM_Code],$A32,T_SelfStock[WeekIndex],98)+SUMIFS(T_TTAFStock[TTAF_Qty],T_TTAFStock[RM_Code],$A32,T_TTAFStock[WeekIndex],98),CT32+'Grid_Incoming'!CU32-'Grid_Requirement'!CU32))</f>
        <v/>
      </c>
      <c r="CV32">
        <f>IF(COUNTIFS(T_StockCount[RM_Code],$A32,T_StockCount[WeekIndex],99)&gt;0,SUMIFS(T_StockCount[CountedQty],T_StockCount[RM_Code],$A32,T_StockCount[WeekIndex],99),IF((COUNTIFS(T_SelfStock[RM_Code],$A32,T_SelfStock[WeekIndex],99)&gt;0)*(COUNTIFS(T_TTAFStock[RM_Code],$A32,T_TTAFStock[WeekIndex],99)&gt;0)&gt;0,SUMIFS(T_SelfStock[Self_Qty],T_SelfStock[RM_Code],$A32,T_SelfStock[WeekIndex],99)+SUMIFS(T_TTAFStock[TTAF_Qty],T_TTAFStock[RM_Code],$A32,T_TTAFStock[WeekIndex],99),CU32+'Grid_Incoming'!CV32-'Grid_Requirement'!CV32))</f>
        <v/>
      </c>
      <c r="CW32">
        <f>IF(COUNTIFS(T_StockCount[RM_Code],$A32,T_StockCount[WeekIndex],100)&gt;0,SUMIFS(T_StockCount[CountedQty],T_StockCount[RM_Code],$A32,T_StockCount[WeekIndex],100),IF((COUNTIFS(T_SelfStock[RM_Code],$A32,T_SelfStock[WeekIndex],100)&gt;0)*(COUNTIFS(T_TTAFStock[RM_Code],$A32,T_TTAFStock[WeekIndex],100)&gt;0)&gt;0,SUMIFS(T_SelfStock[Self_Qty],T_SelfStock[RM_Code],$A32,T_SelfStock[WeekIndex],100)+SUMIFS(T_TTAFStock[TTAF_Qty],T_TTAFStock[RM_Code],$A32,T_TTAFStock[WeekIndex],100),CV32+'Grid_Incoming'!CW32-'Grid_Requirement'!CW32))</f>
        <v/>
      </c>
      <c r="CX32">
        <f>IF(COUNTIFS(T_StockCount[RM_Code],$A32,T_StockCount[WeekIndex],101)&gt;0,SUMIFS(T_StockCount[CountedQty],T_StockCount[RM_Code],$A32,T_StockCount[WeekIndex],101),IF((COUNTIFS(T_SelfStock[RM_Code],$A32,T_SelfStock[WeekIndex],101)&gt;0)*(COUNTIFS(T_TTAFStock[RM_Code],$A32,T_TTAFStock[WeekIndex],101)&gt;0)&gt;0,SUMIFS(T_SelfStock[Self_Qty],T_SelfStock[RM_Code],$A32,T_SelfStock[WeekIndex],101)+SUMIFS(T_TTAFStock[TTAF_Qty],T_TTAFStock[RM_Code],$A32,T_TTAFStock[WeekIndex],101),CW32+'Grid_Incoming'!CX32-'Grid_Requirement'!CX32))</f>
        <v/>
      </c>
      <c r="CY32">
        <f>IF(COUNTIFS(T_StockCount[RM_Code],$A32,T_StockCount[WeekIndex],102)&gt;0,SUMIFS(T_StockCount[CountedQty],T_StockCount[RM_Code],$A32,T_StockCount[WeekIndex],102),IF((COUNTIFS(T_SelfStock[RM_Code],$A32,T_SelfStock[WeekIndex],102)&gt;0)*(COUNTIFS(T_TTAFStock[RM_Code],$A32,T_TTAFStock[WeekIndex],102)&gt;0)&gt;0,SUMIFS(T_SelfStock[Self_Qty],T_SelfStock[RM_Code],$A32,T_SelfStock[WeekIndex],102)+SUMIFS(T_TTAFStock[TTAF_Qty],T_TTAFStock[RM_Code],$A32,T_TTAFStock[WeekIndex],102),CX32+'Grid_Incoming'!CY32-'Grid_Requirement'!CY32))</f>
        <v/>
      </c>
      <c r="CZ32">
        <f>IF(COUNTIFS(T_StockCount[RM_Code],$A32,T_StockCount[WeekIndex],103)&gt;0,SUMIFS(T_StockCount[CountedQty],T_StockCount[RM_Code],$A32,T_StockCount[WeekIndex],103),IF((COUNTIFS(T_SelfStock[RM_Code],$A32,T_SelfStock[WeekIndex],103)&gt;0)*(COUNTIFS(T_TTAFStock[RM_Code],$A32,T_TTAFStock[WeekIndex],103)&gt;0)&gt;0,SUMIFS(T_SelfStock[Self_Qty],T_SelfStock[RM_Code],$A32,T_SelfStock[WeekIndex],103)+SUMIFS(T_TTAFStock[TTAF_Qty],T_TTAFStock[RM_Code],$A32,T_TTAFStock[WeekIndex],103),CY32+'Grid_Incoming'!CZ32-'Grid_Requirement'!CZ32))</f>
        <v/>
      </c>
      <c r="DA32">
        <f>IF(COUNTIFS(T_StockCount[RM_Code],$A32,T_StockCount[WeekIndex],104)&gt;0,SUMIFS(T_StockCount[CountedQty],T_StockCount[RM_Code],$A32,T_StockCount[WeekIndex],104),IF((COUNTIFS(T_SelfStock[RM_Code],$A32,T_SelfStock[WeekIndex],104)&gt;0)*(COUNTIFS(T_TTAFStock[RM_Code],$A32,T_TTAFStock[WeekIndex],104)&gt;0)&gt;0,SUMIFS(T_SelfStock[Self_Qty],T_SelfStock[RM_Code],$A32,T_SelfStock[WeekIndex],104)+SUMIFS(T_TTAFStock[TTAF_Qty],T_TTAFStock[RM_Code],$A32,T_TTAFStock[WeekIndex],104),CZ32+'Grid_Incoming'!DA32-'Grid_Requirement'!DA32))</f>
        <v/>
      </c>
    </row>
    <row r="33">
      <c r="A33" t="inlineStr">
        <is>
          <t>KEJ</t>
        </is>
      </c>
      <c r="B33">
        <f>IF(COUNTIFS(T_StockCount[RM_Code],$A33,T_StockCount[WeekIndex],1)&gt;0,SUMIFS(T_StockCount[CountedQty],T_StockCount[RM_Code],$A33,T_StockCount[WeekIndex],1),IF((COUNTIFS(T_SelfStock[RM_Code],$A33,T_SelfStock[WeekIndex],1)&gt;0)*(COUNTIFS(T_TTAFStock[RM_Code],$A33,T_TTAFStock[WeekIndex],1)&gt;0)&gt;0,SUMIFS(T_SelfStock[Self_Qty],T_SelfStock[RM_Code],$A33,T_SelfStock[WeekIndex],1)+SUMIFS(T_TTAFStock[TTAF_Qty],T_TTAFStock[RM_Code],$A33,T_TTAFStock[WeekIndex],1),IFERROR(INDEX(T_OpeningStock[Opening_Qty],MATCH($A33,T_OpeningStock[RM_Code],0)),0)+'Grid_Incoming'!B33-'Grid_Requirement'!B33))</f>
        <v/>
      </c>
      <c r="C33">
        <f>IF(COUNTIFS(T_StockCount[RM_Code],$A33,T_StockCount[WeekIndex],2)&gt;0,SUMIFS(T_StockCount[CountedQty],T_StockCount[RM_Code],$A33,T_StockCount[WeekIndex],2),IF((COUNTIFS(T_SelfStock[RM_Code],$A33,T_SelfStock[WeekIndex],2)&gt;0)*(COUNTIFS(T_TTAFStock[RM_Code],$A33,T_TTAFStock[WeekIndex],2)&gt;0)&gt;0,SUMIFS(T_SelfStock[Self_Qty],T_SelfStock[RM_Code],$A33,T_SelfStock[WeekIndex],2)+SUMIFS(T_TTAFStock[TTAF_Qty],T_TTAFStock[RM_Code],$A33,T_TTAFStock[WeekIndex],2),B33+'Grid_Incoming'!C33-'Grid_Requirement'!C33))</f>
        <v/>
      </c>
      <c r="D33">
        <f>IF(COUNTIFS(T_StockCount[RM_Code],$A33,T_StockCount[WeekIndex],3)&gt;0,SUMIFS(T_StockCount[CountedQty],T_StockCount[RM_Code],$A33,T_StockCount[WeekIndex],3),IF((COUNTIFS(T_SelfStock[RM_Code],$A33,T_SelfStock[WeekIndex],3)&gt;0)*(COUNTIFS(T_TTAFStock[RM_Code],$A33,T_TTAFStock[WeekIndex],3)&gt;0)&gt;0,SUMIFS(T_SelfStock[Self_Qty],T_SelfStock[RM_Code],$A33,T_SelfStock[WeekIndex],3)+SUMIFS(T_TTAFStock[TTAF_Qty],T_TTAFStock[RM_Code],$A33,T_TTAFStock[WeekIndex],3),C33+'Grid_Incoming'!D33-'Grid_Requirement'!D33))</f>
        <v/>
      </c>
      <c r="E33">
        <f>IF(COUNTIFS(T_StockCount[RM_Code],$A33,T_StockCount[WeekIndex],4)&gt;0,SUMIFS(T_StockCount[CountedQty],T_StockCount[RM_Code],$A33,T_StockCount[WeekIndex],4),IF((COUNTIFS(T_SelfStock[RM_Code],$A33,T_SelfStock[WeekIndex],4)&gt;0)*(COUNTIFS(T_TTAFStock[RM_Code],$A33,T_TTAFStock[WeekIndex],4)&gt;0)&gt;0,SUMIFS(T_SelfStock[Self_Qty],T_SelfStock[RM_Code],$A33,T_SelfStock[WeekIndex],4)+SUMIFS(T_TTAFStock[TTAF_Qty],T_TTAFStock[RM_Code],$A33,T_TTAFStock[WeekIndex],4),D33+'Grid_Incoming'!E33-'Grid_Requirement'!E33))</f>
        <v/>
      </c>
      <c r="F33">
        <f>IF(COUNTIFS(T_StockCount[RM_Code],$A33,T_StockCount[WeekIndex],5)&gt;0,SUMIFS(T_StockCount[CountedQty],T_StockCount[RM_Code],$A33,T_StockCount[WeekIndex],5),IF((COUNTIFS(T_SelfStock[RM_Code],$A33,T_SelfStock[WeekIndex],5)&gt;0)*(COUNTIFS(T_TTAFStock[RM_Code],$A33,T_TTAFStock[WeekIndex],5)&gt;0)&gt;0,SUMIFS(T_SelfStock[Self_Qty],T_SelfStock[RM_Code],$A33,T_SelfStock[WeekIndex],5)+SUMIFS(T_TTAFStock[TTAF_Qty],T_TTAFStock[RM_Code],$A33,T_TTAFStock[WeekIndex],5),E33+'Grid_Incoming'!F33-'Grid_Requirement'!F33))</f>
        <v/>
      </c>
      <c r="G33">
        <f>IF(COUNTIFS(T_StockCount[RM_Code],$A33,T_StockCount[WeekIndex],6)&gt;0,SUMIFS(T_StockCount[CountedQty],T_StockCount[RM_Code],$A33,T_StockCount[WeekIndex],6),IF((COUNTIFS(T_SelfStock[RM_Code],$A33,T_SelfStock[WeekIndex],6)&gt;0)*(COUNTIFS(T_TTAFStock[RM_Code],$A33,T_TTAFStock[WeekIndex],6)&gt;0)&gt;0,SUMIFS(T_SelfStock[Self_Qty],T_SelfStock[RM_Code],$A33,T_SelfStock[WeekIndex],6)+SUMIFS(T_TTAFStock[TTAF_Qty],T_TTAFStock[RM_Code],$A33,T_TTAFStock[WeekIndex],6),F33+'Grid_Incoming'!G33-'Grid_Requirement'!G33))</f>
        <v/>
      </c>
      <c r="H33">
        <f>IF(COUNTIFS(T_StockCount[RM_Code],$A33,T_StockCount[WeekIndex],7)&gt;0,SUMIFS(T_StockCount[CountedQty],T_StockCount[RM_Code],$A33,T_StockCount[WeekIndex],7),IF((COUNTIFS(T_SelfStock[RM_Code],$A33,T_SelfStock[WeekIndex],7)&gt;0)*(COUNTIFS(T_TTAFStock[RM_Code],$A33,T_TTAFStock[WeekIndex],7)&gt;0)&gt;0,SUMIFS(T_SelfStock[Self_Qty],T_SelfStock[RM_Code],$A33,T_SelfStock[WeekIndex],7)+SUMIFS(T_TTAFStock[TTAF_Qty],T_TTAFStock[RM_Code],$A33,T_TTAFStock[WeekIndex],7),G33+'Grid_Incoming'!H33-'Grid_Requirement'!H33))</f>
        <v/>
      </c>
      <c r="I33">
        <f>IF(COUNTIFS(T_StockCount[RM_Code],$A33,T_StockCount[WeekIndex],8)&gt;0,SUMIFS(T_StockCount[CountedQty],T_StockCount[RM_Code],$A33,T_StockCount[WeekIndex],8),IF((COUNTIFS(T_SelfStock[RM_Code],$A33,T_SelfStock[WeekIndex],8)&gt;0)*(COUNTIFS(T_TTAFStock[RM_Code],$A33,T_TTAFStock[WeekIndex],8)&gt;0)&gt;0,SUMIFS(T_SelfStock[Self_Qty],T_SelfStock[RM_Code],$A33,T_SelfStock[WeekIndex],8)+SUMIFS(T_TTAFStock[TTAF_Qty],T_TTAFStock[RM_Code],$A33,T_TTAFStock[WeekIndex],8),H33+'Grid_Incoming'!I33-'Grid_Requirement'!I33))</f>
        <v/>
      </c>
      <c r="J33">
        <f>IF(COUNTIFS(T_StockCount[RM_Code],$A33,T_StockCount[WeekIndex],9)&gt;0,SUMIFS(T_StockCount[CountedQty],T_StockCount[RM_Code],$A33,T_StockCount[WeekIndex],9),IF((COUNTIFS(T_SelfStock[RM_Code],$A33,T_SelfStock[WeekIndex],9)&gt;0)*(COUNTIFS(T_TTAFStock[RM_Code],$A33,T_TTAFStock[WeekIndex],9)&gt;0)&gt;0,SUMIFS(T_SelfStock[Self_Qty],T_SelfStock[RM_Code],$A33,T_SelfStock[WeekIndex],9)+SUMIFS(T_TTAFStock[TTAF_Qty],T_TTAFStock[RM_Code],$A33,T_TTAFStock[WeekIndex],9),I33+'Grid_Incoming'!J33-'Grid_Requirement'!J33))</f>
        <v/>
      </c>
      <c r="K33">
        <f>IF(COUNTIFS(T_StockCount[RM_Code],$A33,T_StockCount[WeekIndex],10)&gt;0,SUMIFS(T_StockCount[CountedQty],T_StockCount[RM_Code],$A33,T_StockCount[WeekIndex],10),IF((COUNTIFS(T_SelfStock[RM_Code],$A33,T_SelfStock[WeekIndex],10)&gt;0)*(COUNTIFS(T_TTAFStock[RM_Code],$A33,T_TTAFStock[WeekIndex],10)&gt;0)&gt;0,SUMIFS(T_SelfStock[Self_Qty],T_SelfStock[RM_Code],$A33,T_SelfStock[WeekIndex],10)+SUMIFS(T_TTAFStock[TTAF_Qty],T_TTAFStock[RM_Code],$A33,T_TTAFStock[WeekIndex],10),J33+'Grid_Incoming'!K33-'Grid_Requirement'!K33))</f>
        <v/>
      </c>
      <c r="L33">
        <f>IF(COUNTIFS(T_StockCount[RM_Code],$A33,T_StockCount[WeekIndex],11)&gt;0,SUMIFS(T_StockCount[CountedQty],T_StockCount[RM_Code],$A33,T_StockCount[WeekIndex],11),IF((COUNTIFS(T_SelfStock[RM_Code],$A33,T_SelfStock[WeekIndex],11)&gt;0)*(COUNTIFS(T_TTAFStock[RM_Code],$A33,T_TTAFStock[WeekIndex],11)&gt;0)&gt;0,SUMIFS(T_SelfStock[Self_Qty],T_SelfStock[RM_Code],$A33,T_SelfStock[WeekIndex],11)+SUMIFS(T_TTAFStock[TTAF_Qty],T_TTAFStock[RM_Code],$A33,T_TTAFStock[WeekIndex],11),K33+'Grid_Incoming'!L33-'Grid_Requirement'!L33))</f>
        <v/>
      </c>
      <c r="M33">
        <f>IF(COUNTIFS(T_StockCount[RM_Code],$A33,T_StockCount[WeekIndex],12)&gt;0,SUMIFS(T_StockCount[CountedQty],T_StockCount[RM_Code],$A33,T_StockCount[WeekIndex],12),IF((COUNTIFS(T_SelfStock[RM_Code],$A33,T_SelfStock[WeekIndex],12)&gt;0)*(COUNTIFS(T_TTAFStock[RM_Code],$A33,T_TTAFStock[WeekIndex],12)&gt;0)&gt;0,SUMIFS(T_SelfStock[Self_Qty],T_SelfStock[RM_Code],$A33,T_SelfStock[WeekIndex],12)+SUMIFS(T_TTAFStock[TTAF_Qty],T_TTAFStock[RM_Code],$A33,T_TTAFStock[WeekIndex],12),L33+'Grid_Incoming'!M33-'Grid_Requirement'!M33))</f>
        <v/>
      </c>
      <c r="N33">
        <f>IF(COUNTIFS(T_StockCount[RM_Code],$A33,T_StockCount[WeekIndex],13)&gt;0,SUMIFS(T_StockCount[CountedQty],T_StockCount[RM_Code],$A33,T_StockCount[WeekIndex],13),IF((COUNTIFS(T_SelfStock[RM_Code],$A33,T_SelfStock[WeekIndex],13)&gt;0)*(COUNTIFS(T_TTAFStock[RM_Code],$A33,T_TTAFStock[WeekIndex],13)&gt;0)&gt;0,SUMIFS(T_SelfStock[Self_Qty],T_SelfStock[RM_Code],$A33,T_SelfStock[WeekIndex],13)+SUMIFS(T_TTAFStock[TTAF_Qty],T_TTAFStock[RM_Code],$A33,T_TTAFStock[WeekIndex],13),M33+'Grid_Incoming'!N33-'Grid_Requirement'!N33))</f>
        <v/>
      </c>
      <c r="O33">
        <f>IF(COUNTIFS(T_StockCount[RM_Code],$A33,T_StockCount[WeekIndex],14)&gt;0,SUMIFS(T_StockCount[CountedQty],T_StockCount[RM_Code],$A33,T_StockCount[WeekIndex],14),IF((COUNTIFS(T_SelfStock[RM_Code],$A33,T_SelfStock[WeekIndex],14)&gt;0)*(COUNTIFS(T_TTAFStock[RM_Code],$A33,T_TTAFStock[WeekIndex],14)&gt;0)&gt;0,SUMIFS(T_SelfStock[Self_Qty],T_SelfStock[RM_Code],$A33,T_SelfStock[WeekIndex],14)+SUMIFS(T_TTAFStock[TTAF_Qty],T_TTAFStock[RM_Code],$A33,T_TTAFStock[WeekIndex],14),N33+'Grid_Incoming'!O33-'Grid_Requirement'!O33))</f>
        <v/>
      </c>
      <c r="P33">
        <f>IF(COUNTIFS(T_StockCount[RM_Code],$A33,T_StockCount[WeekIndex],15)&gt;0,SUMIFS(T_StockCount[CountedQty],T_StockCount[RM_Code],$A33,T_StockCount[WeekIndex],15),IF((COUNTIFS(T_SelfStock[RM_Code],$A33,T_SelfStock[WeekIndex],15)&gt;0)*(COUNTIFS(T_TTAFStock[RM_Code],$A33,T_TTAFStock[WeekIndex],15)&gt;0)&gt;0,SUMIFS(T_SelfStock[Self_Qty],T_SelfStock[RM_Code],$A33,T_SelfStock[WeekIndex],15)+SUMIFS(T_TTAFStock[TTAF_Qty],T_TTAFStock[RM_Code],$A33,T_TTAFStock[WeekIndex],15),O33+'Grid_Incoming'!P33-'Grid_Requirement'!P33))</f>
        <v/>
      </c>
      <c r="Q33">
        <f>IF(COUNTIFS(T_StockCount[RM_Code],$A33,T_StockCount[WeekIndex],16)&gt;0,SUMIFS(T_StockCount[CountedQty],T_StockCount[RM_Code],$A33,T_StockCount[WeekIndex],16),IF((COUNTIFS(T_SelfStock[RM_Code],$A33,T_SelfStock[WeekIndex],16)&gt;0)*(COUNTIFS(T_TTAFStock[RM_Code],$A33,T_TTAFStock[WeekIndex],16)&gt;0)&gt;0,SUMIFS(T_SelfStock[Self_Qty],T_SelfStock[RM_Code],$A33,T_SelfStock[WeekIndex],16)+SUMIFS(T_TTAFStock[TTAF_Qty],T_TTAFStock[RM_Code],$A33,T_TTAFStock[WeekIndex],16),P33+'Grid_Incoming'!Q33-'Grid_Requirement'!Q33))</f>
        <v/>
      </c>
      <c r="R33">
        <f>IF(COUNTIFS(T_StockCount[RM_Code],$A33,T_StockCount[WeekIndex],17)&gt;0,SUMIFS(T_StockCount[CountedQty],T_StockCount[RM_Code],$A33,T_StockCount[WeekIndex],17),IF((COUNTIFS(T_SelfStock[RM_Code],$A33,T_SelfStock[WeekIndex],17)&gt;0)*(COUNTIFS(T_TTAFStock[RM_Code],$A33,T_TTAFStock[WeekIndex],17)&gt;0)&gt;0,SUMIFS(T_SelfStock[Self_Qty],T_SelfStock[RM_Code],$A33,T_SelfStock[WeekIndex],17)+SUMIFS(T_TTAFStock[TTAF_Qty],T_TTAFStock[RM_Code],$A33,T_TTAFStock[WeekIndex],17),Q33+'Grid_Incoming'!R33-'Grid_Requirement'!R33))</f>
        <v/>
      </c>
      <c r="S33">
        <f>IF(COUNTIFS(T_StockCount[RM_Code],$A33,T_StockCount[WeekIndex],18)&gt;0,SUMIFS(T_StockCount[CountedQty],T_StockCount[RM_Code],$A33,T_StockCount[WeekIndex],18),IF((COUNTIFS(T_SelfStock[RM_Code],$A33,T_SelfStock[WeekIndex],18)&gt;0)*(COUNTIFS(T_TTAFStock[RM_Code],$A33,T_TTAFStock[WeekIndex],18)&gt;0)&gt;0,SUMIFS(T_SelfStock[Self_Qty],T_SelfStock[RM_Code],$A33,T_SelfStock[WeekIndex],18)+SUMIFS(T_TTAFStock[TTAF_Qty],T_TTAFStock[RM_Code],$A33,T_TTAFStock[WeekIndex],18),R33+'Grid_Incoming'!S33-'Grid_Requirement'!S33))</f>
        <v/>
      </c>
      <c r="T33">
        <f>IF(COUNTIFS(T_StockCount[RM_Code],$A33,T_StockCount[WeekIndex],19)&gt;0,SUMIFS(T_StockCount[CountedQty],T_StockCount[RM_Code],$A33,T_StockCount[WeekIndex],19),IF((COUNTIFS(T_SelfStock[RM_Code],$A33,T_SelfStock[WeekIndex],19)&gt;0)*(COUNTIFS(T_TTAFStock[RM_Code],$A33,T_TTAFStock[WeekIndex],19)&gt;0)&gt;0,SUMIFS(T_SelfStock[Self_Qty],T_SelfStock[RM_Code],$A33,T_SelfStock[WeekIndex],19)+SUMIFS(T_TTAFStock[TTAF_Qty],T_TTAFStock[RM_Code],$A33,T_TTAFStock[WeekIndex],19),S33+'Grid_Incoming'!T33-'Grid_Requirement'!T33))</f>
        <v/>
      </c>
      <c r="U33">
        <f>IF(COUNTIFS(T_StockCount[RM_Code],$A33,T_StockCount[WeekIndex],20)&gt;0,SUMIFS(T_StockCount[CountedQty],T_StockCount[RM_Code],$A33,T_StockCount[WeekIndex],20),IF((COUNTIFS(T_SelfStock[RM_Code],$A33,T_SelfStock[WeekIndex],20)&gt;0)*(COUNTIFS(T_TTAFStock[RM_Code],$A33,T_TTAFStock[WeekIndex],20)&gt;0)&gt;0,SUMIFS(T_SelfStock[Self_Qty],T_SelfStock[RM_Code],$A33,T_SelfStock[WeekIndex],20)+SUMIFS(T_TTAFStock[TTAF_Qty],T_TTAFStock[RM_Code],$A33,T_TTAFStock[WeekIndex],20),T33+'Grid_Incoming'!U33-'Grid_Requirement'!U33))</f>
        <v/>
      </c>
      <c r="V33">
        <f>IF(COUNTIFS(T_StockCount[RM_Code],$A33,T_StockCount[WeekIndex],21)&gt;0,SUMIFS(T_StockCount[CountedQty],T_StockCount[RM_Code],$A33,T_StockCount[WeekIndex],21),IF((COUNTIFS(T_SelfStock[RM_Code],$A33,T_SelfStock[WeekIndex],21)&gt;0)*(COUNTIFS(T_TTAFStock[RM_Code],$A33,T_TTAFStock[WeekIndex],21)&gt;0)&gt;0,SUMIFS(T_SelfStock[Self_Qty],T_SelfStock[RM_Code],$A33,T_SelfStock[WeekIndex],21)+SUMIFS(T_TTAFStock[TTAF_Qty],T_TTAFStock[RM_Code],$A33,T_TTAFStock[WeekIndex],21),U33+'Grid_Incoming'!V33-'Grid_Requirement'!V33))</f>
        <v/>
      </c>
      <c r="W33">
        <f>IF(COUNTIFS(T_StockCount[RM_Code],$A33,T_StockCount[WeekIndex],22)&gt;0,SUMIFS(T_StockCount[CountedQty],T_StockCount[RM_Code],$A33,T_StockCount[WeekIndex],22),IF((COUNTIFS(T_SelfStock[RM_Code],$A33,T_SelfStock[WeekIndex],22)&gt;0)*(COUNTIFS(T_TTAFStock[RM_Code],$A33,T_TTAFStock[WeekIndex],22)&gt;0)&gt;0,SUMIFS(T_SelfStock[Self_Qty],T_SelfStock[RM_Code],$A33,T_SelfStock[WeekIndex],22)+SUMIFS(T_TTAFStock[TTAF_Qty],T_TTAFStock[RM_Code],$A33,T_TTAFStock[WeekIndex],22),V33+'Grid_Incoming'!W33-'Grid_Requirement'!W33))</f>
        <v/>
      </c>
      <c r="X33">
        <f>IF(COUNTIFS(T_StockCount[RM_Code],$A33,T_StockCount[WeekIndex],23)&gt;0,SUMIFS(T_StockCount[CountedQty],T_StockCount[RM_Code],$A33,T_StockCount[WeekIndex],23),IF((COUNTIFS(T_SelfStock[RM_Code],$A33,T_SelfStock[WeekIndex],23)&gt;0)*(COUNTIFS(T_TTAFStock[RM_Code],$A33,T_TTAFStock[WeekIndex],23)&gt;0)&gt;0,SUMIFS(T_SelfStock[Self_Qty],T_SelfStock[RM_Code],$A33,T_SelfStock[WeekIndex],23)+SUMIFS(T_TTAFStock[TTAF_Qty],T_TTAFStock[RM_Code],$A33,T_TTAFStock[WeekIndex],23),W33+'Grid_Incoming'!X33-'Grid_Requirement'!X33))</f>
        <v/>
      </c>
      <c r="Y33">
        <f>IF(COUNTIFS(T_StockCount[RM_Code],$A33,T_StockCount[WeekIndex],24)&gt;0,SUMIFS(T_StockCount[CountedQty],T_StockCount[RM_Code],$A33,T_StockCount[WeekIndex],24),IF((COUNTIFS(T_SelfStock[RM_Code],$A33,T_SelfStock[WeekIndex],24)&gt;0)*(COUNTIFS(T_TTAFStock[RM_Code],$A33,T_TTAFStock[WeekIndex],24)&gt;0)&gt;0,SUMIFS(T_SelfStock[Self_Qty],T_SelfStock[RM_Code],$A33,T_SelfStock[WeekIndex],24)+SUMIFS(T_TTAFStock[TTAF_Qty],T_TTAFStock[RM_Code],$A33,T_TTAFStock[WeekIndex],24),X33+'Grid_Incoming'!Y33-'Grid_Requirement'!Y33))</f>
        <v/>
      </c>
      <c r="Z33">
        <f>IF(COUNTIFS(T_StockCount[RM_Code],$A33,T_StockCount[WeekIndex],25)&gt;0,SUMIFS(T_StockCount[CountedQty],T_StockCount[RM_Code],$A33,T_StockCount[WeekIndex],25),IF((COUNTIFS(T_SelfStock[RM_Code],$A33,T_SelfStock[WeekIndex],25)&gt;0)*(COUNTIFS(T_TTAFStock[RM_Code],$A33,T_TTAFStock[WeekIndex],25)&gt;0)&gt;0,SUMIFS(T_SelfStock[Self_Qty],T_SelfStock[RM_Code],$A33,T_SelfStock[WeekIndex],25)+SUMIFS(T_TTAFStock[TTAF_Qty],T_TTAFStock[RM_Code],$A33,T_TTAFStock[WeekIndex],25),Y33+'Grid_Incoming'!Z33-'Grid_Requirement'!Z33))</f>
        <v/>
      </c>
      <c r="AA33">
        <f>IF(COUNTIFS(T_StockCount[RM_Code],$A33,T_StockCount[WeekIndex],26)&gt;0,SUMIFS(T_StockCount[CountedQty],T_StockCount[RM_Code],$A33,T_StockCount[WeekIndex],26),IF((COUNTIFS(T_SelfStock[RM_Code],$A33,T_SelfStock[WeekIndex],26)&gt;0)*(COUNTIFS(T_TTAFStock[RM_Code],$A33,T_TTAFStock[WeekIndex],26)&gt;0)&gt;0,SUMIFS(T_SelfStock[Self_Qty],T_SelfStock[RM_Code],$A33,T_SelfStock[WeekIndex],26)+SUMIFS(T_TTAFStock[TTAF_Qty],T_TTAFStock[RM_Code],$A33,T_TTAFStock[WeekIndex],26),Z33+'Grid_Incoming'!AA33-'Grid_Requirement'!AA33))</f>
        <v/>
      </c>
      <c r="AB33">
        <f>IF(COUNTIFS(T_StockCount[RM_Code],$A33,T_StockCount[WeekIndex],27)&gt;0,SUMIFS(T_StockCount[CountedQty],T_StockCount[RM_Code],$A33,T_StockCount[WeekIndex],27),IF((COUNTIFS(T_SelfStock[RM_Code],$A33,T_SelfStock[WeekIndex],27)&gt;0)*(COUNTIFS(T_TTAFStock[RM_Code],$A33,T_TTAFStock[WeekIndex],27)&gt;0)&gt;0,SUMIFS(T_SelfStock[Self_Qty],T_SelfStock[RM_Code],$A33,T_SelfStock[WeekIndex],27)+SUMIFS(T_TTAFStock[TTAF_Qty],T_TTAFStock[RM_Code],$A33,T_TTAFStock[WeekIndex],27),AA33+'Grid_Incoming'!AB33-'Grid_Requirement'!AB33))</f>
        <v/>
      </c>
      <c r="AC33">
        <f>IF(COUNTIFS(T_StockCount[RM_Code],$A33,T_StockCount[WeekIndex],28)&gt;0,SUMIFS(T_StockCount[CountedQty],T_StockCount[RM_Code],$A33,T_StockCount[WeekIndex],28),IF((COUNTIFS(T_SelfStock[RM_Code],$A33,T_SelfStock[WeekIndex],28)&gt;0)*(COUNTIFS(T_TTAFStock[RM_Code],$A33,T_TTAFStock[WeekIndex],28)&gt;0)&gt;0,SUMIFS(T_SelfStock[Self_Qty],T_SelfStock[RM_Code],$A33,T_SelfStock[WeekIndex],28)+SUMIFS(T_TTAFStock[TTAF_Qty],T_TTAFStock[RM_Code],$A33,T_TTAFStock[WeekIndex],28),AB33+'Grid_Incoming'!AC33-'Grid_Requirement'!AC33))</f>
        <v/>
      </c>
      <c r="AD33">
        <f>IF(COUNTIFS(T_StockCount[RM_Code],$A33,T_StockCount[WeekIndex],29)&gt;0,SUMIFS(T_StockCount[CountedQty],T_StockCount[RM_Code],$A33,T_StockCount[WeekIndex],29),IF((COUNTIFS(T_SelfStock[RM_Code],$A33,T_SelfStock[WeekIndex],29)&gt;0)*(COUNTIFS(T_TTAFStock[RM_Code],$A33,T_TTAFStock[WeekIndex],29)&gt;0)&gt;0,SUMIFS(T_SelfStock[Self_Qty],T_SelfStock[RM_Code],$A33,T_SelfStock[WeekIndex],29)+SUMIFS(T_TTAFStock[TTAF_Qty],T_TTAFStock[RM_Code],$A33,T_TTAFStock[WeekIndex],29),AC33+'Grid_Incoming'!AD33-'Grid_Requirement'!AD33))</f>
        <v/>
      </c>
      <c r="AE33">
        <f>IF(COUNTIFS(T_StockCount[RM_Code],$A33,T_StockCount[WeekIndex],30)&gt;0,SUMIFS(T_StockCount[CountedQty],T_StockCount[RM_Code],$A33,T_StockCount[WeekIndex],30),IF((COUNTIFS(T_SelfStock[RM_Code],$A33,T_SelfStock[WeekIndex],30)&gt;0)*(COUNTIFS(T_TTAFStock[RM_Code],$A33,T_TTAFStock[WeekIndex],30)&gt;0)&gt;0,SUMIFS(T_SelfStock[Self_Qty],T_SelfStock[RM_Code],$A33,T_SelfStock[WeekIndex],30)+SUMIFS(T_TTAFStock[TTAF_Qty],T_TTAFStock[RM_Code],$A33,T_TTAFStock[WeekIndex],30),AD33+'Grid_Incoming'!AE33-'Grid_Requirement'!AE33))</f>
        <v/>
      </c>
      <c r="AF33">
        <f>IF(COUNTIFS(T_StockCount[RM_Code],$A33,T_StockCount[WeekIndex],31)&gt;0,SUMIFS(T_StockCount[CountedQty],T_StockCount[RM_Code],$A33,T_StockCount[WeekIndex],31),IF((COUNTIFS(T_SelfStock[RM_Code],$A33,T_SelfStock[WeekIndex],31)&gt;0)*(COUNTIFS(T_TTAFStock[RM_Code],$A33,T_TTAFStock[WeekIndex],31)&gt;0)&gt;0,SUMIFS(T_SelfStock[Self_Qty],T_SelfStock[RM_Code],$A33,T_SelfStock[WeekIndex],31)+SUMIFS(T_TTAFStock[TTAF_Qty],T_TTAFStock[RM_Code],$A33,T_TTAFStock[WeekIndex],31),AE33+'Grid_Incoming'!AF33-'Grid_Requirement'!AF33))</f>
        <v/>
      </c>
      <c r="AG33">
        <f>IF(COUNTIFS(T_StockCount[RM_Code],$A33,T_StockCount[WeekIndex],32)&gt;0,SUMIFS(T_StockCount[CountedQty],T_StockCount[RM_Code],$A33,T_StockCount[WeekIndex],32),IF((COUNTIFS(T_SelfStock[RM_Code],$A33,T_SelfStock[WeekIndex],32)&gt;0)*(COUNTIFS(T_TTAFStock[RM_Code],$A33,T_TTAFStock[WeekIndex],32)&gt;0)&gt;0,SUMIFS(T_SelfStock[Self_Qty],T_SelfStock[RM_Code],$A33,T_SelfStock[WeekIndex],32)+SUMIFS(T_TTAFStock[TTAF_Qty],T_TTAFStock[RM_Code],$A33,T_TTAFStock[WeekIndex],32),AF33+'Grid_Incoming'!AG33-'Grid_Requirement'!AG33))</f>
        <v/>
      </c>
      <c r="AH33">
        <f>IF(COUNTIFS(T_StockCount[RM_Code],$A33,T_StockCount[WeekIndex],33)&gt;0,SUMIFS(T_StockCount[CountedQty],T_StockCount[RM_Code],$A33,T_StockCount[WeekIndex],33),IF((COUNTIFS(T_SelfStock[RM_Code],$A33,T_SelfStock[WeekIndex],33)&gt;0)*(COUNTIFS(T_TTAFStock[RM_Code],$A33,T_TTAFStock[WeekIndex],33)&gt;0)&gt;0,SUMIFS(T_SelfStock[Self_Qty],T_SelfStock[RM_Code],$A33,T_SelfStock[WeekIndex],33)+SUMIFS(T_TTAFStock[TTAF_Qty],T_TTAFStock[RM_Code],$A33,T_TTAFStock[WeekIndex],33),AG33+'Grid_Incoming'!AH33-'Grid_Requirement'!AH33))</f>
        <v/>
      </c>
      <c r="AI33">
        <f>IF(COUNTIFS(T_StockCount[RM_Code],$A33,T_StockCount[WeekIndex],34)&gt;0,SUMIFS(T_StockCount[CountedQty],T_StockCount[RM_Code],$A33,T_StockCount[WeekIndex],34),IF((COUNTIFS(T_SelfStock[RM_Code],$A33,T_SelfStock[WeekIndex],34)&gt;0)*(COUNTIFS(T_TTAFStock[RM_Code],$A33,T_TTAFStock[WeekIndex],34)&gt;0)&gt;0,SUMIFS(T_SelfStock[Self_Qty],T_SelfStock[RM_Code],$A33,T_SelfStock[WeekIndex],34)+SUMIFS(T_TTAFStock[TTAF_Qty],T_TTAFStock[RM_Code],$A33,T_TTAFStock[WeekIndex],34),AH33+'Grid_Incoming'!AI33-'Grid_Requirement'!AI33))</f>
        <v/>
      </c>
      <c r="AJ33">
        <f>IF(COUNTIFS(T_StockCount[RM_Code],$A33,T_StockCount[WeekIndex],35)&gt;0,SUMIFS(T_StockCount[CountedQty],T_StockCount[RM_Code],$A33,T_StockCount[WeekIndex],35),IF((COUNTIFS(T_SelfStock[RM_Code],$A33,T_SelfStock[WeekIndex],35)&gt;0)*(COUNTIFS(T_TTAFStock[RM_Code],$A33,T_TTAFStock[WeekIndex],35)&gt;0)&gt;0,SUMIFS(T_SelfStock[Self_Qty],T_SelfStock[RM_Code],$A33,T_SelfStock[WeekIndex],35)+SUMIFS(T_TTAFStock[TTAF_Qty],T_TTAFStock[RM_Code],$A33,T_TTAFStock[WeekIndex],35),AI33+'Grid_Incoming'!AJ33-'Grid_Requirement'!AJ33))</f>
        <v/>
      </c>
      <c r="AK33">
        <f>IF(COUNTIFS(T_StockCount[RM_Code],$A33,T_StockCount[WeekIndex],36)&gt;0,SUMIFS(T_StockCount[CountedQty],T_StockCount[RM_Code],$A33,T_StockCount[WeekIndex],36),IF((COUNTIFS(T_SelfStock[RM_Code],$A33,T_SelfStock[WeekIndex],36)&gt;0)*(COUNTIFS(T_TTAFStock[RM_Code],$A33,T_TTAFStock[WeekIndex],36)&gt;0)&gt;0,SUMIFS(T_SelfStock[Self_Qty],T_SelfStock[RM_Code],$A33,T_SelfStock[WeekIndex],36)+SUMIFS(T_TTAFStock[TTAF_Qty],T_TTAFStock[RM_Code],$A33,T_TTAFStock[WeekIndex],36),AJ33+'Grid_Incoming'!AK33-'Grid_Requirement'!AK33))</f>
        <v/>
      </c>
      <c r="AL33">
        <f>IF(COUNTIFS(T_StockCount[RM_Code],$A33,T_StockCount[WeekIndex],37)&gt;0,SUMIFS(T_StockCount[CountedQty],T_StockCount[RM_Code],$A33,T_StockCount[WeekIndex],37),IF((COUNTIFS(T_SelfStock[RM_Code],$A33,T_SelfStock[WeekIndex],37)&gt;0)*(COUNTIFS(T_TTAFStock[RM_Code],$A33,T_TTAFStock[WeekIndex],37)&gt;0)&gt;0,SUMIFS(T_SelfStock[Self_Qty],T_SelfStock[RM_Code],$A33,T_SelfStock[WeekIndex],37)+SUMIFS(T_TTAFStock[TTAF_Qty],T_TTAFStock[RM_Code],$A33,T_TTAFStock[WeekIndex],37),AK33+'Grid_Incoming'!AL33-'Grid_Requirement'!AL33))</f>
        <v/>
      </c>
      <c r="AM33">
        <f>IF(COUNTIFS(T_StockCount[RM_Code],$A33,T_StockCount[WeekIndex],38)&gt;0,SUMIFS(T_StockCount[CountedQty],T_StockCount[RM_Code],$A33,T_StockCount[WeekIndex],38),IF((COUNTIFS(T_SelfStock[RM_Code],$A33,T_SelfStock[WeekIndex],38)&gt;0)*(COUNTIFS(T_TTAFStock[RM_Code],$A33,T_TTAFStock[WeekIndex],38)&gt;0)&gt;0,SUMIFS(T_SelfStock[Self_Qty],T_SelfStock[RM_Code],$A33,T_SelfStock[WeekIndex],38)+SUMIFS(T_TTAFStock[TTAF_Qty],T_TTAFStock[RM_Code],$A33,T_TTAFStock[WeekIndex],38),AL33+'Grid_Incoming'!AM33-'Grid_Requirement'!AM33))</f>
        <v/>
      </c>
      <c r="AN33">
        <f>IF(COUNTIFS(T_StockCount[RM_Code],$A33,T_StockCount[WeekIndex],39)&gt;0,SUMIFS(T_StockCount[CountedQty],T_StockCount[RM_Code],$A33,T_StockCount[WeekIndex],39),IF((COUNTIFS(T_SelfStock[RM_Code],$A33,T_SelfStock[WeekIndex],39)&gt;0)*(COUNTIFS(T_TTAFStock[RM_Code],$A33,T_TTAFStock[WeekIndex],39)&gt;0)&gt;0,SUMIFS(T_SelfStock[Self_Qty],T_SelfStock[RM_Code],$A33,T_SelfStock[WeekIndex],39)+SUMIFS(T_TTAFStock[TTAF_Qty],T_TTAFStock[RM_Code],$A33,T_TTAFStock[WeekIndex],39),AM33+'Grid_Incoming'!AN33-'Grid_Requirement'!AN33))</f>
        <v/>
      </c>
      <c r="AO33">
        <f>IF(COUNTIFS(T_StockCount[RM_Code],$A33,T_StockCount[WeekIndex],40)&gt;0,SUMIFS(T_StockCount[CountedQty],T_StockCount[RM_Code],$A33,T_StockCount[WeekIndex],40),IF((COUNTIFS(T_SelfStock[RM_Code],$A33,T_SelfStock[WeekIndex],40)&gt;0)*(COUNTIFS(T_TTAFStock[RM_Code],$A33,T_TTAFStock[WeekIndex],40)&gt;0)&gt;0,SUMIFS(T_SelfStock[Self_Qty],T_SelfStock[RM_Code],$A33,T_SelfStock[WeekIndex],40)+SUMIFS(T_TTAFStock[TTAF_Qty],T_TTAFStock[RM_Code],$A33,T_TTAFStock[WeekIndex],40),AN33+'Grid_Incoming'!AO33-'Grid_Requirement'!AO33))</f>
        <v/>
      </c>
      <c r="AP33">
        <f>IF(COUNTIFS(T_StockCount[RM_Code],$A33,T_StockCount[WeekIndex],41)&gt;0,SUMIFS(T_StockCount[CountedQty],T_StockCount[RM_Code],$A33,T_StockCount[WeekIndex],41),IF((COUNTIFS(T_SelfStock[RM_Code],$A33,T_SelfStock[WeekIndex],41)&gt;0)*(COUNTIFS(T_TTAFStock[RM_Code],$A33,T_TTAFStock[WeekIndex],41)&gt;0)&gt;0,SUMIFS(T_SelfStock[Self_Qty],T_SelfStock[RM_Code],$A33,T_SelfStock[WeekIndex],41)+SUMIFS(T_TTAFStock[TTAF_Qty],T_TTAFStock[RM_Code],$A33,T_TTAFStock[WeekIndex],41),AO33+'Grid_Incoming'!AP33-'Grid_Requirement'!AP33))</f>
        <v/>
      </c>
      <c r="AQ33">
        <f>IF(COUNTIFS(T_StockCount[RM_Code],$A33,T_StockCount[WeekIndex],42)&gt;0,SUMIFS(T_StockCount[CountedQty],T_StockCount[RM_Code],$A33,T_StockCount[WeekIndex],42),IF((COUNTIFS(T_SelfStock[RM_Code],$A33,T_SelfStock[WeekIndex],42)&gt;0)*(COUNTIFS(T_TTAFStock[RM_Code],$A33,T_TTAFStock[WeekIndex],42)&gt;0)&gt;0,SUMIFS(T_SelfStock[Self_Qty],T_SelfStock[RM_Code],$A33,T_SelfStock[WeekIndex],42)+SUMIFS(T_TTAFStock[TTAF_Qty],T_TTAFStock[RM_Code],$A33,T_TTAFStock[WeekIndex],42),AP33+'Grid_Incoming'!AQ33-'Grid_Requirement'!AQ33))</f>
        <v/>
      </c>
      <c r="AR33">
        <f>IF(COUNTIFS(T_StockCount[RM_Code],$A33,T_StockCount[WeekIndex],43)&gt;0,SUMIFS(T_StockCount[CountedQty],T_StockCount[RM_Code],$A33,T_StockCount[WeekIndex],43),IF((COUNTIFS(T_SelfStock[RM_Code],$A33,T_SelfStock[WeekIndex],43)&gt;0)*(COUNTIFS(T_TTAFStock[RM_Code],$A33,T_TTAFStock[WeekIndex],43)&gt;0)&gt;0,SUMIFS(T_SelfStock[Self_Qty],T_SelfStock[RM_Code],$A33,T_SelfStock[WeekIndex],43)+SUMIFS(T_TTAFStock[TTAF_Qty],T_TTAFStock[RM_Code],$A33,T_TTAFStock[WeekIndex],43),AQ33+'Grid_Incoming'!AR33-'Grid_Requirement'!AR33))</f>
        <v/>
      </c>
      <c r="AS33">
        <f>IF(COUNTIFS(T_StockCount[RM_Code],$A33,T_StockCount[WeekIndex],44)&gt;0,SUMIFS(T_StockCount[CountedQty],T_StockCount[RM_Code],$A33,T_StockCount[WeekIndex],44),IF((COUNTIFS(T_SelfStock[RM_Code],$A33,T_SelfStock[WeekIndex],44)&gt;0)*(COUNTIFS(T_TTAFStock[RM_Code],$A33,T_TTAFStock[WeekIndex],44)&gt;0)&gt;0,SUMIFS(T_SelfStock[Self_Qty],T_SelfStock[RM_Code],$A33,T_SelfStock[WeekIndex],44)+SUMIFS(T_TTAFStock[TTAF_Qty],T_TTAFStock[RM_Code],$A33,T_TTAFStock[WeekIndex],44),AR33+'Grid_Incoming'!AS33-'Grid_Requirement'!AS33))</f>
        <v/>
      </c>
      <c r="AT33">
        <f>IF(COUNTIFS(T_StockCount[RM_Code],$A33,T_StockCount[WeekIndex],45)&gt;0,SUMIFS(T_StockCount[CountedQty],T_StockCount[RM_Code],$A33,T_StockCount[WeekIndex],45),IF((COUNTIFS(T_SelfStock[RM_Code],$A33,T_SelfStock[WeekIndex],45)&gt;0)*(COUNTIFS(T_TTAFStock[RM_Code],$A33,T_TTAFStock[WeekIndex],45)&gt;0)&gt;0,SUMIFS(T_SelfStock[Self_Qty],T_SelfStock[RM_Code],$A33,T_SelfStock[WeekIndex],45)+SUMIFS(T_TTAFStock[TTAF_Qty],T_TTAFStock[RM_Code],$A33,T_TTAFStock[WeekIndex],45),AS33+'Grid_Incoming'!AT33-'Grid_Requirement'!AT33))</f>
        <v/>
      </c>
      <c r="AU33">
        <f>IF(COUNTIFS(T_StockCount[RM_Code],$A33,T_StockCount[WeekIndex],46)&gt;0,SUMIFS(T_StockCount[CountedQty],T_StockCount[RM_Code],$A33,T_StockCount[WeekIndex],46),IF((COUNTIFS(T_SelfStock[RM_Code],$A33,T_SelfStock[WeekIndex],46)&gt;0)*(COUNTIFS(T_TTAFStock[RM_Code],$A33,T_TTAFStock[WeekIndex],46)&gt;0)&gt;0,SUMIFS(T_SelfStock[Self_Qty],T_SelfStock[RM_Code],$A33,T_SelfStock[WeekIndex],46)+SUMIFS(T_TTAFStock[TTAF_Qty],T_TTAFStock[RM_Code],$A33,T_TTAFStock[WeekIndex],46),AT33+'Grid_Incoming'!AU33-'Grid_Requirement'!AU33))</f>
        <v/>
      </c>
      <c r="AV33">
        <f>IF(COUNTIFS(T_StockCount[RM_Code],$A33,T_StockCount[WeekIndex],47)&gt;0,SUMIFS(T_StockCount[CountedQty],T_StockCount[RM_Code],$A33,T_StockCount[WeekIndex],47),IF((COUNTIFS(T_SelfStock[RM_Code],$A33,T_SelfStock[WeekIndex],47)&gt;0)*(COUNTIFS(T_TTAFStock[RM_Code],$A33,T_TTAFStock[WeekIndex],47)&gt;0)&gt;0,SUMIFS(T_SelfStock[Self_Qty],T_SelfStock[RM_Code],$A33,T_SelfStock[WeekIndex],47)+SUMIFS(T_TTAFStock[TTAF_Qty],T_TTAFStock[RM_Code],$A33,T_TTAFStock[WeekIndex],47),AU33+'Grid_Incoming'!AV33-'Grid_Requirement'!AV33))</f>
        <v/>
      </c>
      <c r="AW33">
        <f>IF(COUNTIFS(T_StockCount[RM_Code],$A33,T_StockCount[WeekIndex],48)&gt;0,SUMIFS(T_StockCount[CountedQty],T_StockCount[RM_Code],$A33,T_StockCount[WeekIndex],48),IF((COUNTIFS(T_SelfStock[RM_Code],$A33,T_SelfStock[WeekIndex],48)&gt;0)*(COUNTIFS(T_TTAFStock[RM_Code],$A33,T_TTAFStock[WeekIndex],48)&gt;0)&gt;0,SUMIFS(T_SelfStock[Self_Qty],T_SelfStock[RM_Code],$A33,T_SelfStock[WeekIndex],48)+SUMIFS(T_TTAFStock[TTAF_Qty],T_TTAFStock[RM_Code],$A33,T_TTAFStock[WeekIndex],48),AV33+'Grid_Incoming'!AW33-'Grid_Requirement'!AW33))</f>
        <v/>
      </c>
      <c r="AX33">
        <f>IF(COUNTIFS(T_StockCount[RM_Code],$A33,T_StockCount[WeekIndex],49)&gt;0,SUMIFS(T_StockCount[CountedQty],T_StockCount[RM_Code],$A33,T_StockCount[WeekIndex],49),IF((COUNTIFS(T_SelfStock[RM_Code],$A33,T_SelfStock[WeekIndex],49)&gt;0)*(COUNTIFS(T_TTAFStock[RM_Code],$A33,T_TTAFStock[WeekIndex],49)&gt;0)&gt;0,SUMIFS(T_SelfStock[Self_Qty],T_SelfStock[RM_Code],$A33,T_SelfStock[WeekIndex],49)+SUMIFS(T_TTAFStock[TTAF_Qty],T_TTAFStock[RM_Code],$A33,T_TTAFStock[WeekIndex],49),AW33+'Grid_Incoming'!AX33-'Grid_Requirement'!AX33))</f>
        <v/>
      </c>
      <c r="AY33">
        <f>IF(COUNTIFS(T_StockCount[RM_Code],$A33,T_StockCount[WeekIndex],50)&gt;0,SUMIFS(T_StockCount[CountedQty],T_StockCount[RM_Code],$A33,T_StockCount[WeekIndex],50),IF((COUNTIFS(T_SelfStock[RM_Code],$A33,T_SelfStock[WeekIndex],50)&gt;0)*(COUNTIFS(T_TTAFStock[RM_Code],$A33,T_TTAFStock[WeekIndex],50)&gt;0)&gt;0,SUMIFS(T_SelfStock[Self_Qty],T_SelfStock[RM_Code],$A33,T_SelfStock[WeekIndex],50)+SUMIFS(T_TTAFStock[TTAF_Qty],T_TTAFStock[RM_Code],$A33,T_TTAFStock[WeekIndex],50),AX33+'Grid_Incoming'!AY33-'Grid_Requirement'!AY33))</f>
        <v/>
      </c>
      <c r="AZ33">
        <f>IF(COUNTIFS(T_StockCount[RM_Code],$A33,T_StockCount[WeekIndex],51)&gt;0,SUMIFS(T_StockCount[CountedQty],T_StockCount[RM_Code],$A33,T_StockCount[WeekIndex],51),IF((COUNTIFS(T_SelfStock[RM_Code],$A33,T_SelfStock[WeekIndex],51)&gt;0)*(COUNTIFS(T_TTAFStock[RM_Code],$A33,T_TTAFStock[WeekIndex],51)&gt;0)&gt;0,SUMIFS(T_SelfStock[Self_Qty],T_SelfStock[RM_Code],$A33,T_SelfStock[WeekIndex],51)+SUMIFS(T_TTAFStock[TTAF_Qty],T_TTAFStock[RM_Code],$A33,T_TTAFStock[WeekIndex],51),AY33+'Grid_Incoming'!AZ33-'Grid_Requirement'!AZ33))</f>
        <v/>
      </c>
      <c r="BA33">
        <f>IF(COUNTIFS(T_StockCount[RM_Code],$A33,T_StockCount[WeekIndex],52)&gt;0,SUMIFS(T_StockCount[CountedQty],T_StockCount[RM_Code],$A33,T_StockCount[WeekIndex],52),IF((COUNTIFS(T_SelfStock[RM_Code],$A33,T_SelfStock[WeekIndex],52)&gt;0)*(COUNTIFS(T_TTAFStock[RM_Code],$A33,T_TTAFStock[WeekIndex],52)&gt;0)&gt;0,SUMIFS(T_SelfStock[Self_Qty],T_SelfStock[RM_Code],$A33,T_SelfStock[WeekIndex],52)+SUMIFS(T_TTAFStock[TTAF_Qty],T_TTAFStock[RM_Code],$A33,T_TTAFStock[WeekIndex],52),AZ33+'Grid_Incoming'!BA33-'Grid_Requirement'!BA33))</f>
        <v/>
      </c>
      <c r="BB33">
        <f>IF(COUNTIFS(T_StockCount[RM_Code],$A33,T_StockCount[WeekIndex],53)&gt;0,SUMIFS(T_StockCount[CountedQty],T_StockCount[RM_Code],$A33,T_StockCount[WeekIndex],53),IF((COUNTIFS(T_SelfStock[RM_Code],$A33,T_SelfStock[WeekIndex],53)&gt;0)*(COUNTIFS(T_TTAFStock[RM_Code],$A33,T_TTAFStock[WeekIndex],53)&gt;0)&gt;0,SUMIFS(T_SelfStock[Self_Qty],T_SelfStock[RM_Code],$A33,T_SelfStock[WeekIndex],53)+SUMIFS(T_TTAFStock[TTAF_Qty],T_TTAFStock[RM_Code],$A33,T_TTAFStock[WeekIndex],53),BA33+'Grid_Incoming'!BB33-'Grid_Requirement'!BB33))</f>
        <v/>
      </c>
      <c r="BC33">
        <f>IF(COUNTIFS(T_StockCount[RM_Code],$A33,T_StockCount[WeekIndex],54)&gt;0,SUMIFS(T_StockCount[CountedQty],T_StockCount[RM_Code],$A33,T_StockCount[WeekIndex],54),IF((COUNTIFS(T_SelfStock[RM_Code],$A33,T_SelfStock[WeekIndex],54)&gt;0)*(COUNTIFS(T_TTAFStock[RM_Code],$A33,T_TTAFStock[WeekIndex],54)&gt;0)&gt;0,SUMIFS(T_SelfStock[Self_Qty],T_SelfStock[RM_Code],$A33,T_SelfStock[WeekIndex],54)+SUMIFS(T_TTAFStock[TTAF_Qty],T_TTAFStock[RM_Code],$A33,T_TTAFStock[WeekIndex],54),BB33+'Grid_Incoming'!BC33-'Grid_Requirement'!BC33))</f>
        <v/>
      </c>
      <c r="BD33">
        <f>IF(COUNTIFS(T_StockCount[RM_Code],$A33,T_StockCount[WeekIndex],55)&gt;0,SUMIFS(T_StockCount[CountedQty],T_StockCount[RM_Code],$A33,T_StockCount[WeekIndex],55),IF((COUNTIFS(T_SelfStock[RM_Code],$A33,T_SelfStock[WeekIndex],55)&gt;0)*(COUNTIFS(T_TTAFStock[RM_Code],$A33,T_TTAFStock[WeekIndex],55)&gt;0)&gt;0,SUMIFS(T_SelfStock[Self_Qty],T_SelfStock[RM_Code],$A33,T_SelfStock[WeekIndex],55)+SUMIFS(T_TTAFStock[TTAF_Qty],T_TTAFStock[RM_Code],$A33,T_TTAFStock[WeekIndex],55),BC33+'Grid_Incoming'!BD33-'Grid_Requirement'!BD33))</f>
        <v/>
      </c>
      <c r="BE33">
        <f>IF(COUNTIFS(T_StockCount[RM_Code],$A33,T_StockCount[WeekIndex],56)&gt;0,SUMIFS(T_StockCount[CountedQty],T_StockCount[RM_Code],$A33,T_StockCount[WeekIndex],56),IF((COUNTIFS(T_SelfStock[RM_Code],$A33,T_SelfStock[WeekIndex],56)&gt;0)*(COUNTIFS(T_TTAFStock[RM_Code],$A33,T_TTAFStock[WeekIndex],56)&gt;0)&gt;0,SUMIFS(T_SelfStock[Self_Qty],T_SelfStock[RM_Code],$A33,T_SelfStock[WeekIndex],56)+SUMIFS(T_TTAFStock[TTAF_Qty],T_TTAFStock[RM_Code],$A33,T_TTAFStock[WeekIndex],56),BD33+'Grid_Incoming'!BE33-'Grid_Requirement'!BE33))</f>
        <v/>
      </c>
      <c r="BF33">
        <f>IF(COUNTIFS(T_StockCount[RM_Code],$A33,T_StockCount[WeekIndex],57)&gt;0,SUMIFS(T_StockCount[CountedQty],T_StockCount[RM_Code],$A33,T_StockCount[WeekIndex],57),IF((COUNTIFS(T_SelfStock[RM_Code],$A33,T_SelfStock[WeekIndex],57)&gt;0)*(COUNTIFS(T_TTAFStock[RM_Code],$A33,T_TTAFStock[WeekIndex],57)&gt;0)&gt;0,SUMIFS(T_SelfStock[Self_Qty],T_SelfStock[RM_Code],$A33,T_SelfStock[WeekIndex],57)+SUMIFS(T_TTAFStock[TTAF_Qty],T_TTAFStock[RM_Code],$A33,T_TTAFStock[WeekIndex],57),BE33+'Grid_Incoming'!BF33-'Grid_Requirement'!BF33))</f>
        <v/>
      </c>
      <c r="BG33">
        <f>IF(COUNTIFS(T_StockCount[RM_Code],$A33,T_StockCount[WeekIndex],58)&gt;0,SUMIFS(T_StockCount[CountedQty],T_StockCount[RM_Code],$A33,T_StockCount[WeekIndex],58),IF((COUNTIFS(T_SelfStock[RM_Code],$A33,T_SelfStock[WeekIndex],58)&gt;0)*(COUNTIFS(T_TTAFStock[RM_Code],$A33,T_TTAFStock[WeekIndex],58)&gt;0)&gt;0,SUMIFS(T_SelfStock[Self_Qty],T_SelfStock[RM_Code],$A33,T_SelfStock[WeekIndex],58)+SUMIFS(T_TTAFStock[TTAF_Qty],T_TTAFStock[RM_Code],$A33,T_TTAFStock[WeekIndex],58),BF33+'Grid_Incoming'!BG33-'Grid_Requirement'!BG33))</f>
        <v/>
      </c>
      <c r="BH33">
        <f>IF(COUNTIFS(T_StockCount[RM_Code],$A33,T_StockCount[WeekIndex],59)&gt;0,SUMIFS(T_StockCount[CountedQty],T_StockCount[RM_Code],$A33,T_StockCount[WeekIndex],59),IF((COUNTIFS(T_SelfStock[RM_Code],$A33,T_SelfStock[WeekIndex],59)&gt;0)*(COUNTIFS(T_TTAFStock[RM_Code],$A33,T_TTAFStock[WeekIndex],59)&gt;0)&gt;0,SUMIFS(T_SelfStock[Self_Qty],T_SelfStock[RM_Code],$A33,T_SelfStock[WeekIndex],59)+SUMIFS(T_TTAFStock[TTAF_Qty],T_TTAFStock[RM_Code],$A33,T_TTAFStock[WeekIndex],59),BG33+'Grid_Incoming'!BH33-'Grid_Requirement'!BH33))</f>
        <v/>
      </c>
      <c r="BI33">
        <f>IF(COUNTIFS(T_StockCount[RM_Code],$A33,T_StockCount[WeekIndex],60)&gt;0,SUMIFS(T_StockCount[CountedQty],T_StockCount[RM_Code],$A33,T_StockCount[WeekIndex],60),IF((COUNTIFS(T_SelfStock[RM_Code],$A33,T_SelfStock[WeekIndex],60)&gt;0)*(COUNTIFS(T_TTAFStock[RM_Code],$A33,T_TTAFStock[WeekIndex],60)&gt;0)&gt;0,SUMIFS(T_SelfStock[Self_Qty],T_SelfStock[RM_Code],$A33,T_SelfStock[WeekIndex],60)+SUMIFS(T_TTAFStock[TTAF_Qty],T_TTAFStock[RM_Code],$A33,T_TTAFStock[WeekIndex],60),BH33+'Grid_Incoming'!BI33-'Grid_Requirement'!BI33))</f>
        <v/>
      </c>
      <c r="BJ33">
        <f>IF(COUNTIFS(T_StockCount[RM_Code],$A33,T_StockCount[WeekIndex],61)&gt;0,SUMIFS(T_StockCount[CountedQty],T_StockCount[RM_Code],$A33,T_StockCount[WeekIndex],61),IF((COUNTIFS(T_SelfStock[RM_Code],$A33,T_SelfStock[WeekIndex],61)&gt;0)*(COUNTIFS(T_TTAFStock[RM_Code],$A33,T_TTAFStock[WeekIndex],61)&gt;0)&gt;0,SUMIFS(T_SelfStock[Self_Qty],T_SelfStock[RM_Code],$A33,T_SelfStock[WeekIndex],61)+SUMIFS(T_TTAFStock[TTAF_Qty],T_TTAFStock[RM_Code],$A33,T_TTAFStock[WeekIndex],61),BI33+'Grid_Incoming'!BJ33-'Grid_Requirement'!BJ33))</f>
        <v/>
      </c>
      <c r="BK33">
        <f>IF(COUNTIFS(T_StockCount[RM_Code],$A33,T_StockCount[WeekIndex],62)&gt;0,SUMIFS(T_StockCount[CountedQty],T_StockCount[RM_Code],$A33,T_StockCount[WeekIndex],62),IF((COUNTIFS(T_SelfStock[RM_Code],$A33,T_SelfStock[WeekIndex],62)&gt;0)*(COUNTIFS(T_TTAFStock[RM_Code],$A33,T_TTAFStock[WeekIndex],62)&gt;0)&gt;0,SUMIFS(T_SelfStock[Self_Qty],T_SelfStock[RM_Code],$A33,T_SelfStock[WeekIndex],62)+SUMIFS(T_TTAFStock[TTAF_Qty],T_TTAFStock[RM_Code],$A33,T_TTAFStock[WeekIndex],62),BJ33+'Grid_Incoming'!BK33-'Grid_Requirement'!BK33))</f>
        <v/>
      </c>
      <c r="BL33">
        <f>IF(COUNTIFS(T_StockCount[RM_Code],$A33,T_StockCount[WeekIndex],63)&gt;0,SUMIFS(T_StockCount[CountedQty],T_StockCount[RM_Code],$A33,T_StockCount[WeekIndex],63),IF((COUNTIFS(T_SelfStock[RM_Code],$A33,T_SelfStock[WeekIndex],63)&gt;0)*(COUNTIFS(T_TTAFStock[RM_Code],$A33,T_TTAFStock[WeekIndex],63)&gt;0)&gt;0,SUMIFS(T_SelfStock[Self_Qty],T_SelfStock[RM_Code],$A33,T_SelfStock[WeekIndex],63)+SUMIFS(T_TTAFStock[TTAF_Qty],T_TTAFStock[RM_Code],$A33,T_TTAFStock[WeekIndex],63),BK33+'Grid_Incoming'!BL33-'Grid_Requirement'!BL33))</f>
        <v/>
      </c>
      <c r="BM33">
        <f>IF(COUNTIFS(T_StockCount[RM_Code],$A33,T_StockCount[WeekIndex],64)&gt;0,SUMIFS(T_StockCount[CountedQty],T_StockCount[RM_Code],$A33,T_StockCount[WeekIndex],64),IF((COUNTIFS(T_SelfStock[RM_Code],$A33,T_SelfStock[WeekIndex],64)&gt;0)*(COUNTIFS(T_TTAFStock[RM_Code],$A33,T_TTAFStock[WeekIndex],64)&gt;0)&gt;0,SUMIFS(T_SelfStock[Self_Qty],T_SelfStock[RM_Code],$A33,T_SelfStock[WeekIndex],64)+SUMIFS(T_TTAFStock[TTAF_Qty],T_TTAFStock[RM_Code],$A33,T_TTAFStock[WeekIndex],64),BL33+'Grid_Incoming'!BM33-'Grid_Requirement'!BM33))</f>
        <v/>
      </c>
      <c r="BN33">
        <f>IF(COUNTIFS(T_StockCount[RM_Code],$A33,T_StockCount[WeekIndex],65)&gt;0,SUMIFS(T_StockCount[CountedQty],T_StockCount[RM_Code],$A33,T_StockCount[WeekIndex],65),IF((COUNTIFS(T_SelfStock[RM_Code],$A33,T_SelfStock[WeekIndex],65)&gt;0)*(COUNTIFS(T_TTAFStock[RM_Code],$A33,T_TTAFStock[WeekIndex],65)&gt;0)&gt;0,SUMIFS(T_SelfStock[Self_Qty],T_SelfStock[RM_Code],$A33,T_SelfStock[WeekIndex],65)+SUMIFS(T_TTAFStock[TTAF_Qty],T_TTAFStock[RM_Code],$A33,T_TTAFStock[WeekIndex],65),BM33+'Grid_Incoming'!BN33-'Grid_Requirement'!BN33))</f>
        <v/>
      </c>
      <c r="BO33">
        <f>IF(COUNTIFS(T_StockCount[RM_Code],$A33,T_StockCount[WeekIndex],66)&gt;0,SUMIFS(T_StockCount[CountedQty],T_StockCount[RM_Code],$A33,T_StockCount[WeekIndex],66),IF((COUNTIFS(T_SelfStock[RM_Code],$A33,T_SelfStock[WeekIndex],66)&gt;0)*(COUNTIFS(T_TTAFStock[RM_Code],$A33,T_TTAFStock[WeekIndex],66)&gt;0)&gt;0,SUMIFS(T_SelfStock[Self_Qty],T_SelfStock[RM_Code],$A33,T_SelfStock[WeekIndex],66)+SUMIFS(T_TTAFStock[TTAF_Qty],T_TTAFStock[RM_Code],$A33,T_TTAFStock[WeekIndex],66),BN33+'Grid_Incoming'!BO33-'Grid_Requirement'!BO33))</f>
        <v/>
      </c>
      <c r="BP33">
        <f>IF(COUNTIFS(T_StockCount[RM_Code],$A33,T_StockCount[WeekIndex],67)&gt;0,SUMIFS(T_StockCount[CountedQty],T_StockCount[RM_Code],$A33,T_StockCount[WeekIndex],67),IF((COUNTIFS(T_SelfStock[RM_Code],$A33,T_SelfStock[WeekIndex],67)&gt;0)*(COUNTIFS(T_TTAFStock[RM_Code],$A33,T_TTAFStock[WeekIndex],67)&gt;0)&gt;0,SUMIFS(T_SelfStock[Self_Qty],T_SelfStock[RM_Code],$A33,T_SelfStock[WeekIndex],67)+SUMIFS(T_TTAFStock[TTAF_Qty],T_TTAFStock[RM_Code],$A33,T_TTAFStock[WeekIndex],67),BO33+'Grid_Incoming'!BP33-'Grid_Requirement'!BP33))</f>
        <v/>
      </c>
      <c r="BQ33">
        <f>IF(COUNTIFS(T_StockCount[RM_Code],$A33,T_StockCount[WeekIndex],68)&gt;0,SUMIFS(T_StockCount[CountedQty],T_StockCount[RM_Code],$A33,T_StockCount[WeekIndex],68),IF((COUNTIFS(T_SelfStock[RM_Code],$A33,T_SelfStock[WeekIndex],68)&gt;0)*(COUNTIFS(T_TTAFStock[RM_Code],$A33,T_TTAFStock[WeekIndex],68)&gt;0)&gt;0,SUMIFS(T_SelfStock[Self_Qty],T_SelfStock[RM_Code],$A33,T_SelfStock[WeekIndex],68)+SUMIFS(T_TTAFStock[TTAF_Qty],T_TTAFStock[RM_Code],$A33,T_TTAFStock[WeekIndex],68),BP33+'Grid_Incoming'!BQ33-'Grid_Requirement'!BQ33))</f>
        <v/>
      </c>
      <c r="BR33">
        <f>IF(COUNTIFS(T_StockCount[RM_Code],$A33,T_StockCount[WeekIndex],69)&gt;0,SUMIFS(T_StockCount[CountedQty],T_StockCount[RM_Code],$A33,T_StockCount[WeekIndex],69),IF((COUNTIFS(T_SelfStock[RM_Code],$A33,T_SelfStock[WeekIndex],69)&gt;0)*(COUNTIFS(T_TTAFStock[RM_Code],$A33,T_TTAFStock[WeekIndex],69)&gt;0)&gt;0,SUMIFS(T_SelfStock[Self_Qty],T_SelfStock[RM_Code],$A33,T_SelfStock[WeekIndex],69)+SUMIFS(T_TTAFStock[TTAF_Qty],T_TTAFStock[RM_Code],$A33,T_TTAFStock[WeekIndex],69),BQ33+'Grid_Incoming'!BR33-'Grid_Requirement'!BR33))</f>
        <v/>
      </c>
      <c r="BS33">
        <f>IF(COUNTIFS(T_StockCount[RM_Code],$A33,T_StockCount[WeekIndex],70)&gt;0,SUMIFS(T_StockCount[CountedQty],T_StockCount[RM_Code],$A33,T_StockCount[WeekIndex],70),IF((COUNTIFS(T_SelfStock[RM_Code],$A33,T_SelfStock[WeekIndex],70)&gt;0)*(COUNTIFS(T_TTAFStock[RM_Code],$A33,T_TTAFStock[WeekIndex],70)&gt;0)&gt;0,SUMIFS(T_SelfStock[Self_Qty],T_SelfStock[RM_Code],$A33,T_SelfStock[WeekIndex],70)+SUMIFS(T_TTAFStock[TTAF_Qty],T_TTAFStock[RM_Code],$A33,T_TTAFStock[WeekIndex],70),BR33+'Grid_Incoming'!BS33-'Grid_Requirement'!BS33))</f>
        <v/>
      </c>
      <c r="BT33">
        <f>IF(COUNTIFS(T_StockCount[RM_Code],$A33,T_StockCount[WeekIndex],71)&gt;0,SUMIFS(T_StockCount[CountedQty],T_StockCount[RM_Code],$A33,T_StockCount[WeekIndex],71),IF((COUNTIFS(T_SelfStock[RM_Code],$A33,T_SelfStock[WeekIndex],71)&gt;0)*(COUNTIFS(T_TTAFStock[RM_Code],$A33,T_TTAFStock[WeekIndex],71)&gt;0)&gt;0,SUMIFS(T_SelfStock[Self_Qty],T_SelfStock[RM_Code],$A33,T_SelfStock[WeekIndex],71)+SUMIFS(T_TTAFStock[TTAF_Qty],T_TTAFStock[RM_Code],$A33,T_TTAFStock[WeekIndex],71),BS33+'Grid_Incoming'!BT33-'Grid_Requirement'!BT33))</f>
        <v/>
      </c>
      <c r="BU33">
        <f>IF(COUNTIFS(T_StockCount[RM_Code],$A33,T_StockCount[WeekIndex],72)&gt;0,SUMIFS(T_StockCount[CountedQty],T_StockCount[RM_Code],$A33,T_StockCount[WeekIndex],72),IF((COUNTIFS(T_SelfStock[RM_Code],$A33,T_SelfStock[WeekIndex],72)&gt;0)*(COUNTIFS(T_TTAFStock[RM_Code],$A33,T_TTAFStock[WeekIndex],72)&gt;0)&gt;0,SUMIFS(T_SelfStock[Self_Qty],T_SelfStock[RM_Code],$A33,T_SelfStock[WeekIndex],72)+SUMIFS(T_TTAFStock[TTAF_Qty],T_TTAFStock[RM_Code],$A33,T_TTAFStock[WeekIndex],72),BT33+'Grid_Incoming'!BU33-'Grid_Requirement'!BU33))</f>
        <v/>
      </c>
      <c r="BV33">
        <f>IF(COUNTIFS(T_StockCount[RM_Code],$A33,T_StockCount[WeekIndex],73)&gt;0,SUMIFS(T_StockCount[CountedQty],T_StockCount[RM_Code],$A33,T_StockCount[WeekIndex],73),IF((COUNTIFS(T_SelfStock[RM_Code],$A33,T_SelfStock[WeekIndex],73)&gt;0)*(COUNTIFS(T_TTAFStock[RM_Code],$A33,T_TTAFStock[WeekIndex],73)&gt;0)&gt;0,SUMIFS(T_SelfStock[Self_Qty],T_SelfStock[RM_Code],$A33,T_SelfStock[WeekIndex],73)+SUMIFS(T_TTAFStock[TTAF_Qty],T_TTAFStock[RM_Code],$A33,T_TTAFStock[WeekIndex],73),BU33+'Grid_Incoming'!BV33-'Grid_Requirement'!BV33))</f>
        <v/>
      </c>
      <c r="BW33">
        <f>IF(COUNTIFS(T_StockCount[RM_Code],$A33,T_StockCount[WeekIndex],74)&gt;0,SUMIFS(T_StockCount[CountedQty],T_StockCount[RM_Code],$A33,T_StockCount[WeekIndex],74),IF((COUNTIFS(T_SelfStock[RM_Code],$A33,T_SelfStock[WeekIndex],74)&gt;0)*(COUNTIFS(T_TTAFStock[RM_Code],$A33,T_TTAFStock[WeekIndex],74)&gt;0)&gt;0,SUMIFS(T_SelfStock[Self_Qty],T_SelfStock[RM_Code],$A33,T_SelfStock[WeekIndex],74)+SUMIFS(T_TTAFStock[TTAF_Qty],T_TTAFStock[RM_Code],$A33,T_TTAFStock[WeekIndex],74),BV33+'Grid_Incoming'!BW33-'Grid_Requirement'!BW33))</f>
        <v/>
      </c>
      <c r="BX33">
        <f>IF(COUNTIFS(T_StockCount[RM_Code],$A33,T_StockCount[WeekIndex],75)&gt;0,SUMIFS(T_StockCount[CountedQty],T_StockCount[RM_Code],$A33,T_StockCount[WeekIndex],75),IF((COUNTIFS(T_SelfStock[RM_Code],$A33,T_SelfStock[WeekIndex],75)&gt;0)*(COUNTIFS(T_TTAFStock[RM_Code],$A33,T_TTAFStock[WeekIndex],75)&gt;0)&gt;0,SUMIFS(T_SelfStock[Self_Qty],T_SelfStock[RM_Code],$A33,T_SelfStock[WeekIndex],75)+SUMIFS(T_TTAFStock[TTAF_Qty],T_TTAFStock[RM_Code],$A33,T_TTAFStock[WeekIndex],75),BW33+'Grid_Incoming'!BX33-'Grid_Requirement'!BX33))</f>
        <v/>
      </c>
      <c r="BY33">
        <f>IF(COUNTIFS(T_StockCount[RM_Code],$A33,T_StockCount[WeekIndex],76)&gt;0,SUMIFS(T_StockCount[CountedQty],T_StockCount[RM_Code],$A33,T_StockCount[WeekIndex],76),IF((COUNTIFS(T_SelfStock[RM_Code],$A33,T_SelfStock[WeekIndex],76)&gt;0)*(COUNTIFS(T_TTAFStock[RM_Code],$A33,T_TTAFStock[WeekIndex],76)&gt;0)&gt;0,SUMIFS(T_SelfStock[Self_Qty],T_SelfStock[RM_Code],$A33,T_SelfStock[WeekIndex],76)+SUMIFS(T_TTAFStock[TTAF_Qty],T_TTAFStock[RM_Code],$A33,T_TTAFStock[WeekIndex],76),BX33+'Grid_Incoming'!BY33-'Grid_Requirement'!BY33))</f>
        <v/>
      </c>
      <c r="BZ33">
        <f>IF(COUNTIFS(T_StockCount[RM_Code],$A33,T_StockCount[WeekIndex],77)&gt;0,SUMIFS(T_StockCount[CountedQty],T_StockCount[RM_Code],$A33,T_StockCount[WeekIndex],77),IF((COUNTIFS(T_SelfStock[RM_Code],$A33,T_SelfStock[WeekIndex],77)&gt;0)*(COUNTIFS(T_TTAFStock[RM_Code],$A33,T_TTAFStock[WeekIndex],77)&gt;0)&gt;0,SUMIFS(T_SelfStock[Self_Qty],T_SelfStock[RM_Code],$A33,T_SelfStock[WeekIndex],77)+SUMIFS(T_TTAFStock[TTAF_Qty],T_TTAFStock[RM_Code],$A33,T_TTAFStock[WeekIndex],77),BY33+'Grid_Incoming'!BZ33-'Grid_Requirement'!BZ33))</f>
        <v/>
      </c>
      <c r="CA33">
        <f>IF(COUNTIFS(T_StockCount[RM_Code],$A33,T_StockCount[WeekIndex],78)&gt;0,SUMIFS(T_StockCount[CountedQty],T_StockCount[RM_Code],$A33,T_StockCount[WeekIndex],78),IF((COUNTIFS(T_SelfStock[RM_Code],$A33,T_SelfStock[WeekIndex],78)&gt;0)*(COUNTIFS(T_TTAFStock[RM_Code],$A33,T_TTAFStock[WeekIndex],78)&gt;0)&gt;0,SUMIFS(T_SelfStock[Self_Qty],T_SelfStock[RM_Code],$A33,T_SelfStock[WeekIndex],78)+SUMIFS(T_TTAFStock[TTAF_Qty],T_TTAFStock[RM_Code],$A33,T_TTAFStock[WeekIndex],78),BZ33+'Grid_Incoming'!CA33-'Grid_Requirement'!CA33))</f>
        <v/>
      </c>
      <c r="CB33">
        <f>IF(COUNTIFS(T_StockCount[RM_Code],$A33,T_StockCount[WeekIndex],79)&gt;0,SUMIFS(T_StockCount[CountedQty],T_StockCount[RM_Code],$A33,T_StockCount[WeekIndex],79),IF((COUNTIFS(T_SelfStock[RM_Code],$A33,T_SelfStock[WeekIndex],79)&gt;0)*(COUNTIFS(T_TTAFStock[RM_Code],$A33,T_TTAFStock[WeekIndex],79)&gt;0)&gt;0,SUMIFS(T_SelfStock[Self_Qty],T_SelfStock[RM_Code],$A33,T_SelfStock[WeekIndex],79)+SUMIFS(T_TTAFStock[TTAF_Qty],T_TTAFStock[RM_Code],$A33,T_TTAFStock[WeekIndex],79),CA33+'Grid_Incoming'!CB33-'Grid_Requirement'!CB33))</f>
        <v/>
      </c>
      <c r="CC33">
        <f>IF(COUNTIFS(T_StockCount[RM_Code],$A33,T_StockCount[WeekIndex],80)&gt;0,SUMIFS(T_StockCount[CountedQty],T_StockCount[RM_Code],$A33,T_StockCount[WeekIndex],80),IF((COUNTIFS(T_SelfStock[RM_Code],$A33,T_SelfStock[WeekIndex],80)&gt;0)*(COUNTIFS(T_TTAFStock[RM_Code],$A33,T_TTAFStock[WeekIndex],80)&gt;0)&gt;0,SUMIFS(T_SelfStock[Self_Qty],T_SelfStock[RM_Code],$A33,T_SelfStock[WeekIndex],80)+SUMIFS(T_TTAFStock[TTAF_Qty],T_TTAFStock[RM_Code],$A33,T_TTAFStock[WeekIndex],80),CB33+'Grid_Incoming'!CC33-'Grid_Requirement'!CC33))</f>
        <v/>
      </c>
      <c r="CD33">
        <f>IF(COUNTIFS(T_StockCount[RM_Code],$A33,T_StockCount[WeekIndex],81)&gt;0,SUMIFS(T_StockCount[CountedQty],T_StockCount[RM_Code],$A33,T_StockCount[WeekIndex],81),IF((COUNTIFS(T_SelfStock[RM_Code],$A33,T_SelfStock[WeekIndex],81)&gt;0)*(COUNTIFS(T_TTAFStock[RM_Code],$A33,T_TTAFStock[WeekIndex],81)&gt;0)&gt;0,SUMIFS(T_SelfStock[Self_Qty],T_SelfStock[RM_Code],$A33,T_SelfStock[WeekIndex],81)+SUMIFS(T_TTAFStock[TTAF_Qty],T_TTAFStock[RM_Code],$A33,T_TTAFStock[WeekIndex],81),CC33+'Grid_Incoming'!CD33-'Grid_Requirement'!CD33))</f>
        <v/>
      </c>
      <c r="CE33">
        <f>IF(COUNTIFS(T_StockCount[RM_Code],$A33,T_StockCount[WeekIndex],82)&gt;0,SUMIFS(T_StockCount[CountedQty],T_StockCount[RM_Code],$A33,T_StockCount[WeekIndex],82),IF((COUNTIFS(T_SelfStock[RM_Code],$A33,T_SelfStock[WeekIndex],82)&gt;0)*(COUNTIFS(T_TTAFStock[RM_Code],$A33,T_TTAFStock[WeekIndex],82)&gt;0)&gt;0,SUMIFS(T_SelfStock[Self_Qty],T_SelfStock[RM_Code],$A33,T_SelfStock[WeekIndex],82)+SUMIFS(T_TTAFStock[TTAF_Qty],T_TTAFStock[RM_Code],$A33,T_TTAFStock[WeekIndex],82),CD33+'Grid_Incoming'!CE33-'Grid_Requirement'!CE33))</f>
        <v/>
      </c>
      <c r="CF33">
        <f>IF(COUNTIFS(T_StockCount[RM_Code],$A33,T_StockCount[WeekIndex],83)&gt;0,SUMIFS(T_StockCount[CountedQty],T_StockCount[RM_Code],$A33,T_StockCount[WeekIndex],83),IF((COUNTIFS(T_SelfStock[RM_Code],$A33,T_SelfStock[WeekIndex],83)&gt;0)*(COUNTIFS(T_TTAFStock[RM_Code],$A33,T_TTAFStock[WeekIndex],83)&gt;0)&gt;0,SUMIFS(T_SelfStock[Self_Qty],T_SelfStock[RM_Code],$A33,T_SelfStock[WeekIndex],83)+SUMIFS(T_TTAFStock[TTAF_Qty],T_TTAFStock[RM_Code],$A33,T_TTAFStock[WeekIndex],83),CE33+'Grid_Incoming'!CF33-'Grid_Requirement'!CF33))</f>
        <v/>
      </c>
      <c r="CG33">
        <f>IF(COUNTIFS(T_StockCount[RM_Code],$A33,T_StockCount[WeekIndex],84)&gt;0,SUMIFS(T_StockCount[CountedQty],T_StockCount[RM_Code],$A33,T_StockCount[WeekIndex],84),IF((COUNTIFS(T_SelfStock[RM_Code],$A33,T_SelfStock[WeekIndex],84)&gt;0)*(COUNTIFS(T_TTAFStock[RM_Code],$A33,T_TTAFStock[WeekIndex],84)&gt;0)&gt;0,SUMIFS(T_SelfStock[Self_Qty],T_SelfStock[RM_Code],$A33,T_SelfStock[WeekIndex],84)+SUMIFS(T_TTAFStock[TTAF_Qty],T_TTAFStock[RM_Code],$A33,T_TTAFStock[WeekIndex],84),CF33+'Grid_Incoming'!CG33-'Grid_Requirement'!CG33))</f>
        <v/>
      </c>
      <c r="CH33">
        <f>IF(COUNTIFS(T_StockCount[RM_Code],$A33,T_StockCount[WeekIndex],85)&gt;0,SUMIFS(T_StockCount[CountedQty],T_StockCount[RM_Code],$A33,T_StockCount[WeekIndex],85),IF((COUNTIFS(T_SelfStock[RM_Code],$A33,T_SelfStock[WeekIndex],85)&gt;0)*(COUNTIFS(T_TTAFStock[RM_Code],$A33,T_TTAFStock[WeekIndex],85)&gt;0)&gt;0,SUMIFS(T_SelfStock[Self_Qty],T_SelfStock[RM_Code],$A33,T_SelfStock[WeekIndex],85)+SUMIFS(T_TTAFStock[TTAF_Qty],T_TTAFStock[RM_Code],$A33,T_TTAFStock[WeekIndex],85),CG33+'Grid_Incoming'!CH33-'Grid_Requirement'!CH33))</f>
        <v/>
      </c>
      <c r="CI33">
        <f>IF(COUNTIFS(T_StockCount[RM_Code],$A33,T_StockCount[WeekIndex],86)&gt;0,SUMIFS(T_StockCount[CountedQty],T_StockCount[RM_Code],$A33,T_StockCount[WeekIndex],86),IF((COUNTIFS(T_SelfStock[RM_Code],$A33,T_SelfStock[WeekIndex],86)&gt;0)*(COUNTIFS(T_TTAFStock[RM_Code],$A33,T_TTAFStock[WeekIndex],86)&gt;0)&gt;0,SUMIFS(T_SelfStock[Self_Qty],T_SelfStock[RM_Code],$A33,T_SelfStock[WeekIndex],86)+SUMIFS(T_TTAFStock[TTAF_Qty],T_TTAFStock[RM_Code],$A33,T_TTAFStock[WeekIndex],86),CH33+'Grid_Incoming'!CI33-'Grid_Requirement'!CI33))</f>
        <v/>
      </c>
      <c r="CJ33">
        <f>IF(COUNTIFS(T_StockCount[RM_Code],$A33,T_StockCount[WeekIndex],87)&gt;0,SUMIFS(T_StockCount[CountedQty],T_StockCount[RM_Code],$A33,T_StockCount[WeekIndex],87),IF((COUNTIFS(T_SelfStock[RM_Code],$A33,T_SelfStock[WeekIndex],87)&gt;0)*(COUNTIFS(T_TTAFStock[RM_Code],$A33,T_TTAFStock[WeekIndex],87)&gt;0)&gt;0,SUMIFS(T_SelfStock[Self_Qty],T_SelfStock[RM_Code],$A33,T_SelfStock[WeekIndex],87)+SUMIFS(T_TTAFStock[TTAF_Qty],T_TTAFStock[RM_Code],$A33,T_TTAFStock[WeekIndex],87),CI33+'Grid_Incoming'!CJ33-'Grid_Requirement'!CJ33))</f>
        <v/>
      </c>
      <c r="CK33">
        <f>IF(COUNTIFS(T_StockCount[RM_Code],$A33,T_StockCount[WeekIndex],88)&gt;0,SUMIFS(T_StockCount[CountedQty],T_StockCount[RM_Code],$A33,T_StockCount[WeekIndex],88),IF((COUNTIFS(T_SelfStock[RM_Code],$A33,T_SelfStock[WeekIndex],88)&gt;0)*(COUNTIFS(T_TTAFStock[RM_Code],$A33,T_TTAFStock[WeekIndex],88)&gt;0)&gt;0,SUMIFS(T_SelfStock[Self_Qty],T_SelfStock[RM_Code],$A33,T_SelfStock[WeekIndex],88)+SUMIFS(T_TTAFStock[TTAF_Qty],T_TTAFStock[RM_Code],$A33,T_TTAFStock[WeekIndex],88),CJ33+'Grid_Incoming'!CK33-'Grid_Requirement'!CK33))</f>
        <v/>
      </c>
      <c r="CL33">
        <f>IF(COUNTIFS(T_StockCount[RM_Code],$A33,T_StockCount[WeekIndex],89)&gt;0,SUMIFS(T_StockCount[CountedQty],T_StockCount[RM_Code],$A33,T_StockCount[WeekIndex],89),IF((COUNTIFS(T_SelfStock[RM_Code],$A33,T_SelfStock[WeekIndex],89)&gt;0)*(COUNTIFS(T_TTAFStock[RM_Code],$A33,T_TTAFStock[WeekIndex],89)&gt;0)&gt;0,SUMIFS(T_SelfStock[Self_Qty],T_SelfStock[RM_Code],$A33,T_SelfStock[WeekIndex],89)+SUMIFS(T_TTAFStock[TTAF_Qty],T_TTAFStock[RM_Code],$A33,T_TTAFStock[WeekIndex],89),CK33+'Grid_Incoming'!CL33-'Grid_Requirement'!CL33))</f>
        <v/>
      </c>
      <c r="CM33">
        <f>IF(COUNTIFS(T_StockCount[RM_Code],$A33,T_StockCount[WeekIndex],90)&gt;0,SUMIFS(T_StockCount[CountedQty],T_StockCount[RM_Code],$A33,T_StockCount[WeekIndex],90),IF((COUNTIFS(T_SelfStock[RM_Code],$A33,T_SelfStock[WeekIndex],90)&gt;0)*(COUNTIFS(T_TTAFStock[RM_Code],$A33,T_TTAFStock[WeekIndex],90)&gt;0)&gt;0,SUMIFS(T_SelfStock[Self_Qty],T_SelfStock[RM_Code],$A33,T_SelfStock[WeekIndex],90)+SUMIFS(T_TTAFStock[TTAF_Qty],T_TTAFStock[RM_Code],$A33,T_TTAFStock[WeekIndex],90),CL33+'Grid_Incoming'!CM33-'Grid_Requirement'!CM33))</f>
        <v/>
      </c>
      <c r="CN33">
        <f>IF(COUNTIFS(T_StockCount[RM_Code],$A33,T_StockCount[WeekIndex],91)&gt;0,SUMIFS(T_StockCount[CountedQty],T_StockCount[RM_Code],$A33,T_StockCount[WeekIndex],91),IF((COUNTIFS(T_SelfStock[RM_Code],$A33,T_SelfStock[WeekIndex],91)&gt;0)*(COUNTIFS(T_TTAFStock[RM_Code],$A33,T_TTAFStock[WeekIndex],91)&gt;0)&gt;0,SUMIFS(T_SelfStock[Self_Qty],T_SelfStock[RM_Code],$A33,T_SelfStock[WeekIndex],91)+SUMIFS(T_TTAFStock[TTAF_Qty],T_TTAFStock[RM_Code],$A33,T_TTAFStock[WeekIndex],91),CM33+'Grid_Incoming'!CN33-'Grid_Requirement'!CN33))</f>
        <v/>
      </c>
      <c r="CO33">
        <f>IF(COUNTIFS(T_StockCount[RM_Code],$A33,T_StockCount[WeekIndex],92)&gt;0,SUMIFS(T_StockCount[CountedQty],T_StockCount[RM_Code],$A33,T_StockCount[WeekIndex],92),IF((COUNTIFS(T_SelfStock[RM_Code],$A33,T_SelfStock[WeekIndex],92)&gt;0)*(COUNTIFS(T_TTAFStock[RM_Code],$A33,T_TTAFStock[WeekIndex],92)&gt;0)&gt;0,SUMIFS(T_SelfStock[Self_Qty],T_SelfStock[RM_Code],$A33,T_SelfStock[WeekIndex],92)+SUMIFS(T_TTAFStock[TTAF_Qty],T_TTAFStock[RM_Code],$A33,T_TTAFStock[WeekIndex],92),CN33+'Grid_Incoming'!CO33-'Grid_Requirement'!CO33))</f>
        <v/>
      </c>
      <c r="CP33">
        <f>IF(COUNTIFS(T_StockCount[RM_Code],$A33,T_StockCount[WeekIndex],93)&gt;0,SUMIFS(T_StockCount[CountedQty],T_StockCount[RM_Code],$A33,T_StockCount[WeekIndex],93),IF((COUNTIFS(T_SelfStock[RM_Code],$A33,T_SelfStock[WeekIndex],93)&gt;0)*(COUNTIFS(T_TTAFStock[RM_Code],$A33,T_TTAFStock[WeekIndex],93)&gt;0)&gt;0,SUMIFS(T_SelfStock[Self_Qty],T_SelfStock[RM_Code],$A33,T_SelfStock[WeekIndex],93)+SUMIFS(T_TTAFStock[TTAF_Qty],T_TTAFStock[RM_Code],$A33,T_TTAFStock[WeekIndex],93),CO33+'Grid_Incoming'!CP33-'Grid_Requirement'!CP33))</f>
        <v/>
      </c>
      <c r="CQ33">
        <f>IF(COUNTIFS(T_StockCount[RM_Code],$A33,T_StockCount[WeekIndex],94)&gt;0,SUMIFS(T_StockCount[CountedQty],T_StockCount[RM_Code],$A33,T_StockCount[WeekIndex],94),IF((COUNTIFS(T_SelfStock[RM_Code],$A33,T_SelfStock[WeekIndex],94)&gt;0)*(COUNTIFS(T_TTAFStock[RM_Code],$A33,T_TTAFStock[WeekIndex],94)&gt;0)&gt;0,SUMIFS(T_SelfStock[Self_Qty],T_SelfStock[RM_Code],$A33,T_SelfStock[WeekIndex],94)+SUMIFS(T_TTAFStock[TTAF_Qty],T_TTAFStock[RM_Code],$A33,T_TTAFStock[WeekIndex],94),CP33+'Grid_Incoming'!CQ33-'Grid_Requirement'!CQ33))</f>
        <v/>
      </c>
      <c r="CR33">
        <f>IF(COUNTIFS(T_StockCount[RM_Code],$A33,T_StockCount[WeekIndex],95)&gt;0,SUMIFS(T_StockCount[CountedQty],T_StockCount[RM_Code],$A33,T_StockCount[WeekIndex],95),IF((COUNTIFS(T_SelfStock[RM_Code],$A33,T_SelfStock[WeekIndex],95)&gt;0)*(COUNTIFS(T_TTAFStock[RM_Code],$A33,T_TTAFStock[WeekIndex],95)&gt;0)&gt;0,SUMIFS(T_SelfStock[Self_Qty],T_SelfStock[RM_Code],$A33,T_SelfStock[WeekIndex],95)+SUMIFS(T_TTAFStock[TTAF_Qty],T_TTAFStock[RM_Code],$A33,T_TTAFStock[WeekIndex],95),CQ33+'Grid_Incoming'!CR33-'Grid_Requirement'!CR33))</f>
        <v/>
      </c>
      <c r="CS33">
        <f>IF(COUNTIFS(T_StockCount[RM_Code],$A33,T_StockCount[WeekIndex],96)&gt;0,SUMIFS(T_StockCount[CountedQty],T_StockCount[RM_Code],$A33,T_StockCount[WeekIndex],96),IF((COUNTIFS(T_SelfStock[RM_Code],$A33,T_SelfStock[WeekIndex],96)&gt;0)*(COUNTIFS(T_TTAFStock[RM_Code],$A33,T_TTAFStock[WeekIndex],96)&gt;0)&gt;0,SUMIFS(T_SelfStock[Self_Qty],T_SelfStock[RM_Code],$A33,T_SelfStock[WeekIndex],96)+SUMIFS(T_TTAFStock[TTAF_Qty],T_TTAFStock[RM_Code],$A33,T_TTAFStock[WeekIndex],96),CR33+'Grid_Incoming'!CS33-'Grid_Requirement'!CS33))</f>
        <v/>
      </c>
      <c r="CT33">
        <f>IF(COUNTIFS(T_StockCount[RM_Code],$A33,T_StockCount[WeekIndex],97)&gt;0,SUMIFS(T_StockCount[CountedQty],T_StockCount[RM_Code],$A33,T_StockCount[WeekIndex],97),IF((COUNTIFS(T_SelfStock[RM_Code],$A33,T_SelfStock[WeekIndex],97)&gt;0)*(COUNTIFS(T_TTAFStock[RM_Code],$A33,T_TTAFStock[WeekIndex],97)&gt;0)&gt;0,SUMIFS(T_SelfStock[Self_Qty],T_SelfStock[RM_Code],$A33,T_SelfStock[WeekIndex],97)+SUMIFS(T_TTAFStock[TTAF_Qty],T_TTAFStock[RM_Code],$A33,T_TTAFStock[WeekIndex],97),CS33+'Grid_Incoming'!CT33-'Grid_Requirement'!CT33))</f>
        <v/>
      </c>
      <c r="CU33">
        <f>IF(COUNTIFS(T_StockCount[RM_Code],$A33,T_StockCount[WeekIndex],98)&gt;0,SUMIFS(T_StockCount[CountedQty],T_StockCount[RM_Code],$A33,T_StockCount[WeekIndex],98),IF((COUNTIFS(T_SelfStock[RM_Code],$A33,T_SelfStock[WeekIndex],98)&gt;0)*(COUNTIFS(T_TTAFStock[RM_Code],$A33,T_TTAFStock[WeekIndex],98)&gt;0)&gt;0,SUMIFS(T_SelfStock[Self_Qty],T_SelfStock[RM_Code],$A33,T_SelfStock[WeekIndex],98)+SUMIFS(T_TTAFStock[TTAF_Qty],T_TTAFStock[RM_Code],$A33,T_TTAFStock[WeekIndex],98),CT33+'Grid_Incoming'!CU33-'Grid_Requirement'!CU33))</f>
        <v/>
      </c>
      <c r="CV33">
        <f>IF(COUNTIFS(T_StockCount[RM_Code],$A33,T_StockCount[WeekIndex],99)&gt;0,SUMIFS(T_StockCount[CountedQty],T_StockCount[RM_Code],$A33,T_StockCount[WeekIndex],99),IF((COUNTIFS(T_SelfStock[RM_Code],$A33,T_SelfStock[WeekIndex],99)&gt;0)*(COUNTIFS(T_TTAFStock[RM_Code],$A33,T_TTAFStock[WeekIndex],99)&gt;0)&gt;0,SUMIFS(T_SelfStock[Self_Qty],T_SelfStock[RM_Code],$A33,T_SelfStock[WeekIndex],99)+SUMIFS(T_TTAFStock[TTAF_Qty],T_TTAFStock[RM_Code],$A33,T_TTAFStock[WeekIndex],99),CU33+'Grid_Incoming'!CV33-'Grid_Requirement'!CV33))</f>
        <v/>
      </c>
      <c r="CW33">
        <f>IF(COUNTIFS(T_StockCount[RM_Code],$A33,T_StockCount[WeekIndex],100)&gt;0,SUMIFS(T_StockCount[CountedQty],T_StockCount[RM_Code],$A33,T_StockCount[WeekIndex],100),IF((COUNTIFS(T_SelfStock[RM_Code],$A33,T_SelfStock[WeekIndex],100)&gt;0)*(COUNTIFS(T_TTAFStock[RM_Code],$A33,T_TTAFStock[WeekIndex],100)&gt;0)&gt;0,SUMIFS(T_SelfStock[Self_Qty],T_SelfStock[RM_Code],$A33,T_SelfStock[WeekIndex],100)+SUMIFS(T_TTAFStock[TTAF_Qty],T_TTAFStock[RM_Code],$A33,T_TTAFStock[WeekIndex],100),CV33+'Grid_Incoming'!CW33-'Grid_Requirement'!CW33))</f>
        <v/>
      </c>
      <c r="CX33">
        <f>IF(COUNTIFS(T_StockCount[RM_Code],$A33,T_StockCount[WeekIndex],101)&gt;0,SUMIFS(T_StockCount[CountedQty],T_StockCount[RM_Code],$A33,T_StockCount[WeekIndex],101),IF((COUNTIFS(T_SelfStock[RM_Code],$A33,T_SelfStock[WeekIndex],101)&gt;0)*(COUNTIFS(T_TTAFStock[RM_Code],$A33,T_TTAFStock[WeekIndex],101)&gt;0)&gt;0,SUMIFS(T_SelfStock[Self_Qty],T_SelfStock[RM_Code],$A33,T_SelfStock[WeekIndex],101)+SUMIFS(T_TTAFStock[TTAF_Qty],T_TTAFStock[RM_Code],$A33,T_TTAFStock[WeekIndex],101),CW33+'Grid_Incoming'!CX33-'Grid_Requirement'!CX33))</f>
        <v/>
      </c>
      <c r="CY33">
        <f>IF(COUNTIFS(T_StockCount[RM_Code],$A33,T_StockCount[WeekIndex],102)&gt;0,SUMIFS(T_StockCount[CountedQty],T_StockCount[RM_Code],$A33,T_StockCount[WeekIndex],102),IF((COUNTIFS(T_SelfStock[RM_Code],$A33,T_SelfStock[WeekIndex],102)&gt;0)*(COUNTIFS(T_TTAFStock[RM_Code],$A33,T_TTAFStock[WeekIndex],102)&gt;0)&gt;0,SUMIFS(T_SelfStock[Self_Qty],T_SelfStock[RM_Code],$A33,T_SelfStock[WeekIndex],102)+SUMIFS(T_TTAFStock[TTAF_Qty],T_TTAFStock[RM_Code],$A33,T_TTAFStock[WeekIndex],102),CX33+'Grid_Incoming'!CY33-'Grid_Requirement'!CY33))</f>
        <v/>
      </c>
      <c r="CZ33">
        <f>IF(COUNTIFS(T_StockCount[RM_Code],$A33,T_StockCount[WeekIndex],103)&gt;0,SUMIFS(T_StockCount[CountedQty],T_StockCount[RM_Code],$A33,T_StockCount[WeekIndex],103),IF((COUNTIFS(T_SelfStock[RM_Code],$A33,T_SelfStock[WeekIndex],103)&gt;0)*(COUNTIFS(T_TTAFStock[RM_Code],$A33,T_TTAFStock[WeekIndex],103)&gt;0)&gt;0,SUMIFS(T_SelfStock[Self_Qty],T_SelfStock[RM_Code],$A33,T_SelfStock[WeekIndex],103)+SUMIFS(T_TTAFStock[TTAF_Qty],T_TTAFStock[RM_Code],$A33,T_TTAFStock[WeekIndex],103),CY33+'Grid_Incoming'!CZ33-'Grid_Requirement'!CZ33))</f>
        <v/>
      </c>
      <c r="DA33">
        <f>IF(COUNTIFS(T_StockCount[RM_Code],$A33,T_StockCount[WeekIndex],104)&gt;0,SUMIFS(T_StockCount[CountedQty],T_StockCount[RM_Code],$A33,T_StockCount[WeekIndex],104),IF((COUNTIFS(T_SelfStock[RM_Code],$A33,T_SelfStock[WeekIndex],104)&gt;0)*(COUNTIFS(T_TTAFStock[RM_Code],$A33,T_TTAFStock[WeekIndex],104)&gt;0)&gt;0,SUMIFS(T_SelfStock[Self_Qty],T_SelfStock[RM_Code],$A33,T_SelfStock[WeekIndex],104)+SUMIFS(T_TTAFStock[TTAF_Qty],T_TTAFStock[RM_Code],$A33,T_TTAFStock[WeekIndex],104),CZ33+'Grid_Incoming'!DA33-'Grid_Requirement'!DA33))</f>
        <v/>
      </c>
    </row>
    <row r="34">
      <c r="A34" t="inlineStr">
        <is>
          <t>JEJ</t>
        </is>
      </c>
      <c r="B34">
        <f>IF(COUNTIFS(T_StockCount[RM_Code],$A34,T_StockCount[WeekIndex],1)&gt;0,SUMIFS(T_StockCount[CountedQty],T_StockCount[RM_Code],$A34,T_StockCount[WeekIndex],1),IF((COUNTIFS(T_SelfStock[RM_Code],$A34,T_SelfStock[WeekIndex],1)&gt;0)*(COUNTIFS(T_TTAFStock[RM_Code],$A34,T_TTAFStock[WeekIndex],1)&gt;0)&gt;0,SUMIFS(T_SelfStock[Self_Qty],T_SelfStock[RM_Code],$A34,T_SelfStock[WeekIndex],1)+SUMIFS(T_TTAFStock[TTAF_Qty],T_TTAFStock[RM_Code],$A34,T_TTAFStock[WeekIndex],1),IFERROR(INDEX(T_OpeningStock[Opening_Qty],MATCH($A34,T_OpeningStock[RM_Code],0)),0)+'Grid_Incoming'!B34-'Grid_Requirement'!B34))</f>
        <v/>
      </c>
      <c r="C34">
        <f>IF(COUNTIFS(T_StockCount[RM_Code],$A34,T_StockCount[WeekIndex],2)&gt;0,SUMIFS(T_StockCount[CountedQty],T_StockCount[RM_Code],$A34,T_StockCount[WeekIndex],2),IF((COUNTIFS(T_SelfStock[RM_Code],$A34,T_SelfStock[WeekIndex],2)&gt;0)*(COUNTIFS(T_TTAFStock[RM_Code],$A34,T_TTAFStock[WeekIndex],2)&gt;0)&gt;0,SUMIFS(T_SelfStock[Self_Qty],T_SelfStock[RM_Code],$A34,T_SelfStock[WeekIndex],2)+SUMIFS(T_TTAFStock[TTAF_Qty],T_TTAFStock[RM_Code],$A34,T_TTAFStock[WeekIndex],2),B34+'Grid_Incoming'!C34-'Grid_Requirement'!C34))</f>
        <v/>
      </c>
      <c r="D34">
        <f>IF(COUNTIFS(T_StockCount[RM_Code],$A34,T_StockCount[WeekIndex],3)&gt;0,SUMIFS(T_StockCount[CountedQty],T_StockCount[RM_Code],$A34,T_StockCount[WeekIndex],3),IF((COUNTIFS(T_SelfStock[RM_Code],$A34,T_SelfStock[WeekIndex],3)&gt;0)*(COUNTIFS(T_TTAFStock[RM_Code],$A34,T_TTAFStock[WeekIndex],3)&gt;0)&gt;0,SUMIFS(T_SelfStock[Self_Qty],T_SelfStock[RM_Code],$A34,T_SelfStock[WeekIndex],3)+SUMIFS(T_TTAFStock[TTAF_Qty],T_TTAFStock[RM_Code],$A34,T_TTAFStock[WeekIndex],3),C34+'Grid_Incoming'!D34-'Grid_Requirement'!D34))</f>
        <v/>
      </c>
      <c r="E34">
        <f>IF(COUNTIFS(T_StockCount[RM_Code],$A34,T_StockCount[WeekIndex],4)&gt;0,SUMIFS(T_StockCount[CountedQty],T_StockCount[RM_Code],$A34,T_StockCount[WeekIndex],4),IF((COUNTIFS(T_SelfStock[RM_Code],$A34,T_SelfStock[WeekIndex],4)&gt;0)*(COUNTIFS(T_TTAFStock[RM_Code],$A34,T_TTAFStock[WeekIndex],4)&gt;0)&gt;0,SUMIFS(T_SelfStock[Self_Qty],T_SelfStock[RM_Code],$A34,T_SelfStock[WeekIndex],4)+SUMIFS(T_TTAFStock[TTAF_Qty],T_TTAFStock[RM_Code],$A34,T_TTAFStock[WeekIndex],4),D34+'Grid_Incoming'!E34-'Grid_Requirement'!E34))</f>
        <v/>
      </c>
      <c r="F34">
        <f>IF(COUNTIFS(T_StockCount[RM_Code],$A34,T_StockCount[WeekIndex],5)&gt;0,SUMIFS(T_StockCount[CountedQty],T_StockCount[RM_Code],$A34,T_StockCount[WeekIndex],5),IF((COUNTIFS(T_SelfStock[RM_Code],$A34,T_SelfStock[WeekIndex],5)&gt;0)*(COUNTIFS(T_TTAFStock[RM_Code],$A34,T_TTAFStock[WeekIndex],5)&gt;0)&gt;0,SUMIFS(T_SelfStock[Self_Qty],T_SelfStock[RM_Code],$A34,T_SelfStock[WeekIndex],5)+SUMIFS(T_TTAFStock[TTAF_Qty],T_TTAFStock[RM_Code],$A34,T_TTAFStock[WeekIndex],5),E34+'Grid_Incoming'!F34-'Grid_Requirement'!F34))</f>
        <v/>
      </c>
      <c r="G34">
        <f>IF(COUNTIFS(T_StockCount[RM_Code],$A34,T_StockCount[WeekIndex],6)&gt;0,SUMIFS(T_StockCount[CountedQty],T_StockCount[RM_Code],$A34,T_StockCount[WeekIndex],6),IF((COUNTIFS(T_SelfStock[RM_Code],$A34,T_SelfStock[WeekIndex],6)&gt;0)*(COUNTIFS(T_TTAFStock[RM_Code],$A34,T_TTAFStock[WeekIndex],6)&gt;0)&gt;0,SUMIFS(T_SelfStock[Self_Qty],T_SelfStock[RM_Code],$A34,T_SelfStock[WeekIndex],6)+SUMIFS(T_TTAFStock[TTAF_Qty],T_TTAFStock[RM_Code],$A34,T_TTAFStock[WeekIndex],6),F34+'Grid_Incoming'!G34-'Grid_Requirement'!G34))</f>
        <v/>
      </c>
      <c r="H34">
        <f>IF(COUNTIFS(T_StockCount[RM_Code],$A34,T_StockCount[WeekIndex],7)&gt;0,SUMIFS(T_StockCount[CountedQty],T_StockCount[RM_Code],$A34,T_StockCount[WeekIndex],7),IF((COUNTIFS(T_SelfStock[RM_Code],$A34,T_SelfStock[WeekIndex],7)&gt;0)*(COUNTIFS(T_TTAFStock[RM_Code],$A34,T_TTAFStock[WeekIndex],7)&gt;0)&gt;0,SUMIFS(T_SelfStock[Self_Qty],T_SelfStock[RM_Code],$A34,T_SelfStock[WeekIndex],7)+SUMIFS(T_TTAFStock[TTAF_Qty],T_TTAFStock[RM_Code],$A34,T_TTAFStock[WeekIndex],7),G34+'Grid_Incoming'!H34-'Grid_Requirement'!H34))</f>
        <v/>
      </c>
      <c r="I34">
        <f>IF(COUNTIFS(T_StockCount[RM_Code],$A34,T_StockCount[WeekIndex],8)&gt;0,SUMIFS(T_StockCount[CountedQty],T_StockCount[RM_Code],$A34,T_StockCount[WeekIndex],8),IF((COUNTIFS(T_SelfStock[RM_Code],$A34,T_SelfStock[WeekIndex],8)&gt;0)*(COUNTIFS(T_TTAFStock[RM_Code],$A34,T_TTAFStock[WeekIndex],8)&gt;0)&gt;0,SUMIFS(T_SelfStock[Self_Qty],T_SelfStock[RM_Code],$A34,T_SelfStock[WeekIndex],8)+SUMIFS(T_TTAFStock[TTAF_Qty],T_TTAFStock[RM_Code],$A34,T_TTAFStock[WeekIndex],8),H34+'Grid_Incoming'!I34-'Grid_Requirement'!I34))</f>
        <v/>
      </c>
      <c r="J34">
        <f>IF(COUNTIFS(T_StockCount[RM_Code],$A34,T_StockCount[WeekIndex],9)&gt;0,SUMIFS(T_StockCount[CountedQty],T_StockCount[RM_Code],$A34,T_StockCount[WeekIndex],9),IF((COUNTIFS(T_SelfStock[RM_Code],$A34,T_SelfStock[WeekIndex],9)&gt;0)*(COUNTIFS(T_TTAFStock[RM_Code],$A34,T_TTAFStock[WeekIndex],9)&gt;0)&gt;0,SUMIFS(T_SelfStock[Self_Qty],T_SelfStock[RM_Code],$A34,T_SelfStock[WeekIndex],9)+SUMIFS(T_TTAFStock[TTAF_Qty],T_TTAFStock[RM_Code],$A34,T_TTAFStock[WeekIndex],9),I34+'Grid_Incoming'!J34-'Grid_Requirement'!J34))</f>
        <v/>
      </c>
      <c r="K34">
        <f>IF(COUNTIFS(T_StockCount[RM_Code],$A34,T_StockCount[WeekIndex],10)&gt;0,SUMIFS(T_StockCount[CountedQty],T_StockCount[RM_Code],$A34,T_StockCount[WeekIndex],10),IF((COUNTIFS(T_SelfStock[RM_Code],$A34,T_SelfStock[WeekIndex],10)&gt;0)*(COUNTIFS(T_TTAFStock[RM_Code],$A34,T_TTAFStock[WeekIndex],10)&gt;0)&gt;0,SUMIFS(T_SelfStock[Self_Qty],T_SelfStock[RM_Code],$A34,T_SelfStock[WeekIndex],10)+SUMIFS(T_TTAFStock[TTAF_Qty],T_TTAFStock[RM_Code],$A34,T_TTAFStock[WeekIndex],10),J34+'Grid_Incoming'!K34-'Grid_Requirement'!K34))</f>
        <v/>
      </c>
      <c r="L34">
        <f>IF(COUNTIFS(T_StockCount[RM_Code],$A34,T_StockCount[WeekIndex],11)&gt;0,SUMIFS(T_StockCount[CountedQty],T_StockCount[RM_Code],$A34,T_StockCount[WeekIndex],11),IF((COUNTIFS(T_SelfStock[RM_Code],$A34,T_SelfStock[WeekIndex],11)&gt;0)*(COUNTIFS(T_TTAFStock[RM_Code],$A34,T_TTAFStock[WeekIndex],11)&gt;0)&gt;0,SUMIFS(T_SelfStock[Self_Qty],T_SelfStock[RM_Code],$A34,T_SelfStock[WeekIndex],11)+SUMIFS(T_TTAFStock[TTAF_Qty],T_TTAFStock[RM_Code],$A34,T_TTAFStock[WeekIndex],11),K34+'Grid_Incoming'!L34-'Grid_Requirement'!L34))</f>
        <v/>
      </c>
      <c r="M34">
        <f>IF(COUNTIFS(T_StockCount[RM_Code],$A34,T_StockCount[WeekIndex],12)&gt;0,SUMIFS(T_StockCount[CountedQty],T_StockCount[RM_Code],$A34,T_StockCount[WeekIndex],12),IF((COUNTIFS(T_SelfStock[RM_Code],$A34,T_SelfStock[WeekIndex],12)&gt;0)*(COUNTIFS(T_TTAFStock[RM_Code],$A34,T_TTAFStock[WeekIndex],12)&gt;0)&gt;0,SUMIFS(T_SelfStock[Self_Qty],T_SelfStock[RM_Code],$A34,T_SelfStock[WeekIndex],12)+SUMIFS(T_TTAFStock[TTAF_Qty],T_TTAFStock[RM_Code],$A34,T_TTAFStock[WeekIndex],12),L34+'Grid_Incoming'!M34-'Grid_Requirement'!M34))</f>
        <v/>
      </c>
      <c r="N34">
        <f>IF(COUNTIFS(T_StockCount[RM_Code],$A34,T_StockCount[WeekIndex],13)&gt;0,SUMIFS(T_StockCount[CountedQty],T_StockCount[RM_Code],$A34,T_StockCount[WeekIndex],13),IF((COUNTIFS(T_SelfStock[RM_Code],$A34,T_SelfStock[WeekIndex],13)&gt;0)*(COUNTIFS(T_TTAFStock[RM_Code],$A34,T_TTAFStock[WeekIndex],13)&gt;0)&gt;0,SUMIFS(T_SelfStock[Self_Qty],T_SelfStock[RM_Code],$A34,T_SelfStock[WeekIndex],13)+SUMIFS(T_TTAFStock[TTAF_Qty],T_TTAFStock[RM_Code],$A34,T_TTAFStock[WeekIndex],13),M34+'Grid_Incoming'!N34-'Grid_Requirement'!N34))</f>
        <v/>
      </c>
      <c r="O34">
        <f>IF(COUNTIFS(T_StockCount[RM_Code],$A34,T_StockCount[WeekIndex],14)&gt;0,SUMIFS(T_StockCount[CountedQty],T_StockCount[RM_Code],$A34,T_StockCount[WeekIndex],14),IF((COUNTIFS(T_SelfStock[RM_Code],$A34,T_SelfStock[WeekIndex],14)&gt;0)*(COUNTIFS(T_TTAFStock[RM_Code],$A34,T_TTAFStock[WeekIndex],14)&gt;0)&gt;0,SUMIFS(T_SelfStock[Self_Qty],T_SelfStock[RM_Code],$A34,T_SelfStock[WeekIndex],14)+SUMIFS(T_TTAFStock[TTAF_Qty],T_TTAFStock[RM_Code],$A34,T_TTAFStock[WeekIndex],14),N34+'Grid_Incoming'!O34-'Grid_Requirement'!O34))</f>
        <v/>
      </c>
      <c r="P34">
        <f>IF(COUNTIFS(T_StockCount[RM_Code],$A34,T_StockCount[WeekIndex],15)&gt;0,SUMIFS(T_StockCount[CountedQty],T_StockCount[RM_Code],$A34,T_StockCount[WeekIndex],15),IF((COUNTIFS(T_SelfStock[RM_Code],$A34,T_SelfStock[WeekIndex],15)&gt;0)*(COUNTIFS(T_TTAFStock[RM_Code],$A34,T_TTAFStock[WeekIndex],15)&gt;0)&gt;0,SUMIFS(T_SelfStock[Self_Qty],T_SelfStock[RM_Code],$A34,T_SelfStock[WeekIndex],15)+SUMIFS(T_TTAFStock[TTAF_Qty],T_TTAFStock[RM_Code],$A34,T_TTAFStock[WeekIndex],15),O34+'Grid_Incoming'!P34-'Grid_Requirement'!P34))</f>
        <v/>
      </c>
      <c r="Q34">
        <f>IF(COUNTIFS(T_StockCount[RM_Code],$A34,T_StockCount[WeekIndex],16)&gt;0,SUMIFS(T_StockCount[CountedQty],T_StockCount[RM_Code],$A34,T_StockCount[WeekIndex],16),IF((COUNTIFS(T_SelfStock[RM_Code],$A34,T_SelfStock[WeekIndex],16)&gt;0)*(COUNTIFS(T_TTAFStock[RM_Code],$A34,T_TTAFStock[WeekIndex],16)&gt;0)&gt;0,SUMIFS(T_SelfStock[Self_Qty],T_SelfStock[RM_Code],$A34,T_SelfStock[WeekIndex],16)+SUMIFS(T_TTAFStock[TTAF_Qty],T_TTAFStock[RM_Code],$A34,T_TTAFStock[WeekIndex],16),P34+'Grid_Incoming'!Q34-'Grid_Requirement'!Q34))</f>
        <v/>
      </c>
      <c r="R34">
        <f>IF(COUNTIFS(T_StockCount[RM_Code],$A34,T_StockCount[WeekIndex],17)&gt;0,SUMIFS(T_StockCount[CountedQty],T_StockCount[RM_Code],$A34,T_StockCount[WeekIndex],17),IF((COUNTIFS(T_SelfStock[RM_Code],$A34,T_SelfStock[WeekIndex],17)&gt;0)*(COUNTIFS(T_TTAFStock[RM_Code],$A34,T_TTAFStock[WeekIndex],17)&gt;0)&gt;0,SUMIFS(T_SelfStock[Self_Qty],T_SelfStock[RM_Code],$A34,T_SelfStock[WeekIndex],17)+SUMIFS(T_TTAFStock[TTAF_Qty],T_TTAFStock[RM_Code],$A34,T_TTAFStock[WeekIndex],17),Q34+'Grid_Incoming'!R34-'Grid_Requirement'!R34))</f>
        <v/>
      </c>
      <c r="S34">
        <f>IF(COUNTIFS(T_StockCount[RM_Code],$A34,T_StockCount[WeekIndex],18)&gt;0,SUMIFS(T_StockCount[CountedQty],T_StockCount[RM_Code],$A34,T_StockCount[WeekIndex],18),IF((COUNTIFS(T_SelfStock[RM_Code],$A34,T_SelfStock[WeekIndex],18)&gt;0)*(COUNTIFS(T_TTAFStock[RM_Code],$A34,T_TTAFStock[WeekIndex],18)&gt;0)&gt;0,SUMIFS(T_SelfStock[Self_Qty],T_SelfStock[RM_Code],$A34,T_SelfStock[WeekIndex],18)+SUMIFS(T_TTAFStock[TTAF_Qty],T_TTAFStock[RM_Code],$A34,T_TTAFStock[WeekIndex],18),R34+'Grid_Incoming'!S34-'Grid_Requirement'!S34))</f>
        <v/>
      </c>
      <c r="T34">
        <f>IF(COUNTIFS(T_StockCount[RM_Code],$A34,T_StockCount[WeekIndex],19)&gt;0,SUMIFS(T_StockCount[CountedQty],T_StockCount[RM_Code],$A34,T_StockCount[WeekIndex],19),IF((COUNTIFS(T_SelfStock[RM_Code],$A34,T_SelfStock[WeekIndex],19)&gt;0)*(COUNTIFS(T_TTAFStock[RM_Code],$A34,T_TTAFStock[WeekIndex],19)&gt;0)&gt;0,SUMIFS(T_SelfStock[Self_Qty],T_SelfStock[RM_Code],$A34,T_SelfStock[WeekIndex],19)+SUMIFS(T_TTAFStock[TTAF_Qty],T_TTAFStock[RM_Code],$A34,T_TTAFStock[WeekIndex],19),S34+'Grid_Incoming'!T34-'Grid_Requirement'!T34))</f>
        <v/>
      </c>
      <c r="U34">
        <f>IF(COUNTIFS(T_StockCount[RM_Code],$A34,T_StockCount[WeekIndex],20)&gt;0,SUMIFS(T_StockCount[CountedQty],T_StockCount[RM_Code],$A34,T_StockCount[WeekIndex],20),IF((COUNTIFS(T_SelfStock[RM_Code],$A34,T_SelfStock[WeekIndex],20)&gt;0)*(COUNTIFS(T_TTAFStock[RM_Code],$A34,T_TTAFStock[WeekIndex],20)&gt;0)&gt;0,SUMIFS(T_SelfStock[Self_Qty],T_SelfStock[RM_Code],$A34,T_SelfStock[WeekIndex],20)+SUMIFS(T_TTAFStock[TTAF_Qty],T_TTAFStock[RM_Code],$A34,T_TTAFStock[WeekIndex],20),T34+'Grid_Incoming'!U34-'Grid_Requirement'!U34))</f>
        <v/>
      </c>
      <c r="V34">
        <f>IF(COUNTIFS(T_StockCount[RM_Code],$A34,T_StockCount[WeekIndex],21)&gt;0,SUMIFS(T_StockCount[CountedQty],T_StockCount[RM_Code],$A34,T_StockCount[WeekIndex],21),IF((COUNTIFS(T_SelfStock[RM_Code],$A34,T_SelfStock[WeekIndex],21)&gt;0)*(COUNTIFS(T_TTAFStock[RM_Code],$A34,T_TTAFStock[WeekIndex],21)&gt;0)&gt;0,SUMIFS(T_SelfStock[Self_Qty],T_SelfStock[RM_Code],$A34,T_SelfStock[WeekIndex],21)+SUMIFS(T_TTAFStock[TTAF_Qty],T_TTAFStock[RM_Code],$A34,T_TTAFStock[WeekIndex],21),U34+'Grid_Incoming'!V34-'Grid_Requirement'!V34))</f>
        <v/>
      </c>
      <c r="W34">
        <f>IF(COUNTIFS(T_StockCount[RM_Code],$A34,T_StockCount[WeekIndex],22)&gt;0,SUMIFS(T_StockCount[CountedQty],T_StockCount[RM_Code],$A34,T_StockCount[WeekIndex],22),IF((COUNTIFS(T_SelfStock[RM_Code],$A34,T_SelfStock[WeekIndex],22)&gt;0)*(COUNTIFS(T_TTAFStock[RM_Code],$A34,T_TTAFStock[WeekIndex],22)&gt;0)&gt;0,SUMIFS(T_SelfStock[Self_Qty],T_SelfStock[RM_Code],$A34,T_SelfStock[WeekIndex],22)+SUMIFS(T_TTAFStock[TTAF_Qty],T_TTAFStock[RM_Code],$A34,T_TTAFStock[WeekIndex],22),V34+'Grid_Incoming'!W34-'Grid_Requirement'!W34))</f>
        <v/>
      </c>
      <c r="X34">
        <f>IF(COUNTIFS(T_StockCount[RM_Code],$A34,T_StockCount[WeekIndex],23)&gt;0,SUMIFS(T_StockCount[CountedQty],T_StockCount[RM_Code],$A34,T_StockCount[WeekIndex],23),IF((COUNTIFS(T_SelfStock[RM_Code],$A34,T_SelfStock[WeekIndex],23)&gt;0)*(COUNTIFS(T_TTAFStock[RM_Code],$A34,T_TTAFStock[WeekIndex],23)&gt;0)&gt;0,SUMIFS(T_SelfStock[Self_Qty],T_SelfStock[RM_Code],$A34,T_SelfStock[WeekIndex],23)+SUMIFS(T_TTAFStock[TTAF_Qty],T_TTAFStock[RM_Code],$A34,T_TTAFStock[WeekIndex],23),W34+'Grid_Incoming'!X34-'Grid_Requirement'!X34))</f>
        <v/>
      </c>
      <c r="Y34">
        <f>IF(COUNTIFS(T_StockCount[RM_Code],$A34,T_StockCount[WeekIndex],24)&gt;0,SUMIFS(T_StockCount[CountedQty],T_StockCount[RM_Code],$A34,T_StockCount[WeekIndex],24),IF((COUNTIFS(T_SelfStock[RM_Code],$A34,T_SelfStock[WeekIndex],24)&gt;0)*(COUNTIFS(T_TTAFStock[RM_Code],$A34,T_TTAFStock[WeekIndex],24)&gt;0)&gt;0,SUMIFS(T_SelfStock[Self_Qty],T_SelfStock[RM_Code],$A34,T_SelfStock[WeekIndex],24)+SUMIFS(T_TTAFStock[TTAF_Qty],T_TTAFStock[RM_Code],$A34,T_TTAFStock[WeekIndex],24),X34+'Grid_Incoming'!Y34-'Grid_Requirement'!Y34))</f>
        <v/>
      </c>
      <c r="Z34">
        <f>IF(COUNTIFS(T_StockCount[RM_Code],$A34,T_StockCount[WeekIndex],25)&gt;0,SUMIFS(T_StockCount[CountedQty],T_StockCount[RM_Code],$A34,T_StockCount[WeekIndex],25),IF((COUNTIFS(T_SelfStock[RM_Code],$A34,T_SelfStock[WeekIndex],25)&gt;0)*(COUNTIFS(T_TTAFStock[RM_Code],$A34,T_TTAFStock[WeekIndex],25)&gt;0)&gt;0,SUMIFS(T_SelfStock[Self_Qty],T_SelfStock[RM_Code],$A34,T_SelfStock[WeekIndex],25)+SUMIFS(T_TTAFStock[TTAF_Qty],T_TTAFStock[RM_Code],$A34,T_TTAFStock[WeekIndex],25),Y34+'Grid_Incoming'!Z34-'Grid_Requirement'!Z34))</f>
        <v/>
      </c>
      <c r="AA34">
        <f>IF(COUNTIFS(T_StockCount[RM_Code],$A34,T_StockCount[WeekIndex],26)&gt;0,SUMIFS(T_StockCount[CountedQty],T_StockCount[RM_Code],$A34,T_StockCount[WeekIndex],26),IF((COUNTIFS(T_SelfStock[RM_Code],$A34,T_SelfStock[WeekIndex],26)&gt;0)*(COUNTIFS(T_TTAFStock[RM_Code],$A34,T_TTAFStock[WeekIndex],26)&gt;0)&gt;0,SUMIFS(T_SelfStock[Self_Qty],T_SelfStock[RM_Code],$A34,T_SelfStock[WeekIndex],26)+SUMIFS(T_TTAFStock[TTAF_Qty],T_TTAFStock[RM_Code],$A34,T_TTAFStock[WeekIndex],26),Z34+'Grid_Incoming'!AA34-'Grid_Requirement'!AA34))</f>
        <v/>
      </c>
      <c r="AB34">
        <f>IF(COUNTIFS(T_StockCount[RM_Code],$A34,T_StockCount[WeekIndex],27)&gt;0,SUMIFS(T_StockCount[CountedQty],T_StockCount[RM_Code],$A34,T_StockCount[WeekIndex],27),IF((COUNTIFS(T_SelfStock[RM_Code],$A34,T_SelfStock[WeekIndex],27)&gt;0)*(COUNTIFS(T_TTAFStock[RM_Code],$A34,T_TTAFStock[WeekIndex],27)&gt;0)&gt;0,SUMIFS(T_SelfStock[Self_Qty],T_SelfStock[RM_Code],$A34,T_SelfStock[WeekIndex],27)+SUMIFS(T_TTAFStock[TTAF_Qty],T_TTAFStock[RM_Code],$A34,T_TTAFStock[WeekIndex],27),AA34+'Grid_Incoming'!AB34-'Grid_Requirement'!AB34))</f>
        <v/>
      </c>
      <c r="AC34">
        <f>IF(COUNTIFS(T_StockCount[RM_Code],$A34,T_StockCount[WeekIndex],28)&gt;0,SUMIFS(T_StockCount[CountedQty],T_StockCount[RM_Code],$A34,T_StockCount[WeekIndex],28),IF((COUNTIFS(T_SelfStock[RM_Code],$A34,T_SelfStock[WeekIndex],28)&gt;0)*(COUNTIFS(T_TTAFStock[RM_Code],$A34,T_TTAFStock[WeekIndex],28)&gt;0)&gt;0,SUMIFS(T_SelfStock[Self_Qty],T_SelfStock[RM_Code],$A34,T_SelfStock[WeekIndex],28)+SUMIFS(T_TTAFStock[TTAF_Qty],T_TTAFStock[RM_Code],$A34,T_TTAFStock[WeekIndex],28),AB34+'Grid_Incoming'!AC34-'Grid_Requirement'!AC34))</f>
        <v/>
      </c>
      <c r="AD34">
        <f>IF(COUNTIFS(T_StockCount[RM_Code],$A34,T_StockCount[WeekIndex],29)&gt;0,SUMIFS(T_StockCount[CountedQty],T_StockCount[RM_Code],$A34,T_StockCount[WeekIndex],29),IF((COUNTIFS(T_SelfStock[RM_Code],$A34,T_SelfStock[WeekIndex],29)&gt;0)*(COUNTIFS(T_TTAFStock[RM_Code],$A34,T_TTAFStock[WeekIndex],29)&gt;0)&gt;0,SUMIFS(T_SelfStock[Self_Qty],T_SelfStock[RM_Code],$A34,T_SelfStock[WeekIndex],29)+SUMIFS(T_TTAFStock[TTAF_Qty],T_TTAFStock[RM_Code],$A34,T_TTAFStock[WeekIndex],29),AC34+'Grid_Incoming'!AD34-'Grid_Requirement'!AD34))</f>
        <v/>
      </c>
      <c r="AE34">
        <f>IF(COUNTIFS(T_StockCount[RM_Code],$A34,T_StockCount[WeekIndex],30)&gt;0,SUMIFS(T_StockCount[CountedQty],T_StockCount[RM_Code],$A34,T_StockCount[WeekIndex],30),IF((COUNTIFS(T_SelfStock[RM_Code],$A34,T_SelfStock[WeekIndex],30)&gt;0)*(COUNTIFS(T_TTAFStock[RM_Code],$A34,T_TTAFStock[WeekIndex],30)&gt;0)&gt;0,SUMIFS(T_SelfStock[Self_Qty],T_SelfStock[RM_Code],$A34,T_SelfStock[WeekIndex],30)+SUMIFS(T_TTAFStock[TTAF_Qty],T_TTAFStock[RM_Code],$A34,T_TTAFStock[WeekIndex],30),AD34+'Grid_Incoming'!AE34-'Grid_Requirement'!AE34))</f>
        <v/>
      </c>
      <c r="AF34">
        <f>IF(COUNTIFS(T_StockCount[RM_Code],$A34,T_StockCount[WeekIndex],31)&gt;0,SUMIFS(T_StockCount[CountedQty],T_StockCount[RM_Code],$A34,T_StockCount[WeekIndex],31),IF((COUNTIFS(T_SelfStock[RM_Code],$A34,T_SelfStock[WeekIndex],31)&gt;0)*(COUNTIFS(T_TTAFStock[RM_Code],$A34,T_TTAFStock[WeekIndex],31)&gt;0)&gt;0,SUMIFS(T_SelfStock[Self_Qty],T_SelfStock[RM_Code],$A34,T_SelfStock[WeekIndex],31)+SUMIFS(T_TTAFStock[TTAF_Qty],T_TTAFStock[RM_Code],$A34,T_TTAFStock[WeekIndex],31),AE34+'Grid_Incoming'!AF34-'Grid_Requirement'!AF34))</f>
        <v/>
      </c>
      <c r="AG34">
        <f>IF(COUNTIFS(T_StockCount[RM_Code],$A34,T_StockCount[WeekIndex],32)&gt;0,SUMIFS(T_StockCount[CountedQty],T_StockCount[RM_Code],$A34,T_StockCount[WeekIndex],32),IF((COUNTIFS(T_SelfStock[RM_Code],$A34,T_SelfStock[WeekIndex],32)&gt;0)*(COUNTIFS(T_TTAFStock[RM_Code],$A34,T_TTAFStock[WeekIndex],32)&gt;0)&gt;0,SUMIFS(T_SelfStock[Self_Qty],T_SelfStock[RM_Code],$A34,T_SelfStock[WeekIndex],32)+SUMIFS(T_TTAFStock[TTAF_Qty],T_TTAFStock[RM_Code],$A34,T_TTAFStock[WeekIndex],32),AF34+'Grid_Incoming'!AG34-'Grid_Requirement'!AG34))</f>
        <v/>
      </c>
      <c r="AH34">
        <f>IF(COUNTIFS(T_StockCount[RM_Code],$A34,T_StockCount[WeekIndex],33)&gt;0,SUMIFS(T_StockCount[CountedQty],T_StockCount[RM_Code],$A34,T_StockCount[WeekIndex],33),IF((COUNTIFS(T_SelfStock[RM_Code],$A34,T_SelfStock[WeekIndex],33)&gt;0)*(COUNTIFS(T_TTAFStock[RM_Code],$A34,T_TTAFStock[WeekIndex],33)&gt;0)&gt;0,SUMIFS(T_SelfStock[Self_Qty],T_SelfStock[RM_Code],$A34,T_SelfStock[WeekIndex],33)+SUMIFS(T_TTAFStock[TTAF_Qty],T_TTAFStock[RM_Code],$A34,T_TTAFStock[WeekIndex],33),AG34+'Grid_Incoming'!AH34-'Grid_Requirement'!AH34))</f>
        <v/>
      </c>
      <c r="AI34">
        <f>IF(COUNTIFS(T_StockCount[RM_Code],$A34,T_StockCount[WeekIndex],34)&gt;0,SUMIFS(T_StockCount[CountedQty],T_StockCount[RM_Code],$A34,T_StockCount[WeekIndex],34),IF((COUNTIFS(T_SelfStock[RM_Code],$A34,T_SelfStock[WeekIndex],34)&gt;0)*(COUNTIFS(T_TTAFStock[RM_Code],$A34,T_TTAFStock[WeekIndex],34)&gt;0)&gt;0,SUMIFS(T_SelfStock[Self_Qty],T_SelfStock[RM_Code],$A34,T_SelfStock[WeekIndex],34)+SUMIFS(T_TTAFStock[TTAF_Qty],T_TTAFStock[RM_Code],$A34,T_TTAFStock[WeekIndex],34),AH34+'Grid_Incoming'!AI34-'Grid_Requirement'!AI34))</f>
        <v/>
      </c>
      <c r="AJ34">
        <f>IF(COUNTIFS(T_StockCount[RM_Code],$A34,T_StockCount[WeekIndex],35)&gt;0,SUMIFS(T_StockCount[CountedQty],T_StockCount[RM_Code],$A34,T_StockCount[WeekIndex],35),IF((COUNTIFS(T_SelfStock[RM_Code],$A34,T_SelfStock[WeekIndex],35)&gt;0)*(COUNTIFS(T_TTAFStock[RM_Code],$A34,T_TTAFStock[WeekIndex],35)&gt;0)&gt;0,SUMIFS(T_SelfStock[Self_Qty],T_SelfStock[RM_Code],$A34,T_SelfStock[WeekIndex],35)+SUMIFS(T_TTAFStock[TTAF_Qty],T_TTAFStock[RM_Code],$A34,T_TTAFStock[WeekIndex],35),AI34+'Grid_Incoming'!AJ34-'Grid_Requirement'!AJ34))</f>
        <v/>
      </c>
      <c r="AK34">
        <f>IF(COUNTIFS(T_StockCount[RM_Code],$A34,T_StockCount[WeekIndex],36)&gt;0,SUMIFS(T_StockCount[CountedQty],T_StockCount[RM_Code],$A34,T_StockCount[WeekIndex],36),IF((COUNTIFS(T_SelfStock[RM_Code],$A34,T_SelfStock[WeekIndex],36)&gt;0)*(COUNTIFS(T_TTAFStock[RM_Code],$A34,T_TTAFStock[WeekIndex],36)&gt;0)&gt;0,SUMIFS(T_SelfStock[Self_Qty],T_SelfStock[RM_Code],$A34,T_SelfStock[WeekIndex],36)+SUMIFS(T_TTAFStock[TTAF_Qty],T_TTAFStock[RM_Code],$A34,T_TTAFStock[WeekIndex],36),AJ34+'Grid_Incoming'!AK34-'Grid_Requirement'!AK34))</f>
        <v/>
      </c>
      <c r="AL34">
        <f>IF(COUNTIFS(T_StockCount[RM_Code],$A34,T_StockCount[WeekIndex],37)&gt;0,SUMIFS(T_StockCount[CountedQty],T_StockCount[RM_Code],$A34,T_StockCount[WeekIndex],37),IF((COUNTIFS(T_SelfStock[RM_Code],$A34,T_SelfStock[WeekIndex],37)&gt;0)*(COUNTIFS(T_TTAFStock[RM_Code],$A34,T_TTAFStock[WeekIndex],37)&gt;0)&gt;0,SUMIFS(T_SelfStock[Self_Qty],T_SelfStock[RM_Code],$A34,T_SelfStock[WeekIndex],37)+SUMIFS(T_TTAFStock[TTAF_Qty],T_TTAFStock[RM_Code],$A34,T_TTAFStock[WeekIndex],37),AK34+'Grid_Incoming'!AL34-'Grid_Requirement'!AL34))</f>
        <v/>
      </c>
      <c r="AM34">
        <f>IF(COUNTIFS(T_StockCount[RM_Code],$A34,T_StockCount[WeekIndex],38)&gt;0,SUMIFS(T_StockCount[CountedQty],T_StockCount[RM_Code],$A34,T_StockCount[WeekIndex],38),IF((COUNTIFS(T_SelfStock[RM_Code],$A34,T_SelfStock[WeekIndex],38)&gt;0)*(COUNTIFS(T_TTAFStock[RM_Code],$A34,T_TTAFStock[WeekIndex],38)&gt;0)&gt;0,SUMIFS(T_SelfStock[Self_Qty],T_SelfStock[RM_Code],$A34,T_SelfStock[WeekIndex],38)+SUMIFS(T_TTAFStock[TTAF_Qty],T_TTAFStock[RM_Code],$A34,T_TTAFStock[WeekIndex],38),AL34+'Grid_Incoming'!AM34-'Grid_Requirement'!AM34))</f>
        <v/>
      </c>
      <c r="AN34">
        <f>IF(COUNTIFS(T_StockCount[RM_Code],$A34,T_StockCount[WeekIndex],39)&gt;0,SUMIFS(T_StockCount[CountedQty],T_StockCount[RM_Code],$A34,T_StockCount[WeekIndex],39),IF((COUNTIFS(T_SelfStock[RM_Code],$A34,T_SelfStock[WeekIndex],39)&gt;0)*(COUNTIFS(T_TTAFStock[RM_Code],$A34,T_TTAFStock[WeekIndex],39)&gt;0)&gt;0,SUMIFS(T_SelfStock[Self_Qty],T_SelfStock[RM_Code],$A34,T_SelfStock[WeekIndex],39)+SUMIFS(T_TTAFStock[TTAF_Qty],T_TTAFStock[RM_Code],$A34,T_TTAFStock[WeekIndex],39),AM34+'Grid_Incoming'!AN34-'Grid_Requirement'!AN34))</f>
        <v/>
      </c>
      <c r="AO34">
        <f>IF(COUNTIFS(T_StockCount[RM_Code],$A34,T_StockCount[WeekIndex],40)&gt;0,SUMIFS(T_StockCount[CountedQty],T_StockCount[RM_Code],$A34,T_StockCount[WeekIndex],40),IF((COUNTIFS(T_SelfStock[RM_Code],$A34,T_SelfStock[WeekIndex],40)&gt;0)*(COUNTIFS(T_TTAFStock[RM_Code],$A34,T_TTAFStock[WeekIndex],40)&gt;0)&gt;0,SUMIFS(T_SelfStock[Self_Qty],T_SelfStock[RM_Code],$A34,T_SelfStock[WeekIndex],40)+SUMIFS(T_TTAFStock[TTAF_Qty],T_TTAFStock[RM_Code],$A34,T_TTAFStock[WeekIndex],40),AN34+'Grid_Incoming'!AO34-'Grid_Requirement'!AO34))</f>
        <v/>
      </c>
      <c r="AP34">
        <f>IF(COUNTIFS(T_StockCount[RM_Code],$A34,T_StockCount[WeekIndex],41)&gt;0,SUMIFS(T_StockCount[CountedQty],T_StockCount[RM_Code],$A34,T_StockCount[WeekIndex],41),IF((COUNTIFS(T_SelfStock[RM_Code],$A34,T_SelfStock[WeekIndex],41)&gt;0)*(COUNTIFS(T_TTAFStock[RM_Code],$A34,T_TTAFStock[WeekIndex],41)&gt;0)&gt;0,SUMIFS(T_SelfStock[Self_Qty],T_SelfStock[RM_Code],$A34,T_SelfStock[WeekIndex],41)+SUMIFS(T_TTAFStock[TTAF_Qty],T_TTAFStock[RM_Code],$A34,T_TTAFStock[WeekIndex],41),AO34+'Grid_Incoming'!AP34-'Grid_Requirement'!AP34))</f>
        <v/>
      </c>
      <c r="AQ34">
        <f>IF(COUNTIFS(T_StockCount[RM_Code],$A34,T_StockCount[WeekIndex],42)&gt;0,SUMIFS(T_StockCount[CountedQty],T_StockCount[RM_Code],$A34,T_StockCount[WeekIndex],42),IF((COUNTIFS(T_SelfStock[RM_Code],$A34,T_SelfStock[WeekIndex],42)&gt;0)*(COUNTIFS(T_TTAFStock[RM_Code],$A34,T_TTAFStock[WeekIndex],42)&gt;0)&gt;0,SUMIFS(T_SelfStock[Self_Qty],T_SelfStock[RM_Code],$A34,T_SelfStock[WeekIndex],42)+SUMIFS(T_TTAFStock[TTAF_Qty],T_TTAFStock[RM_Code],$A34,T_TTAFStock[WeekIndex],42),AP34+'Grid_Incoming'!AQ34-'Grid_Requirement'!AQ34))</f>
        <v/>
      </c>
      <c r="AR34">
        <f>IF(COUNTIFS(T_StockCount[RM_Code],$A34,T_StockCount[WeekIndex],43)&gt;0,SUMIFS(T_StockCount[CountedQty],T_StockCount[RM_Code],$A34,T_StockCount[WeekIndex],43),IF((COUNTIFS(T_SelfStock[RM_Code],$A34,T_SelfStock[WeekIndex],43)&gt;0)*(COUNTIFS(T_TTAFStock[RM_Code],$A34,T_TTAFStock[WeekIndex],43)&gt;0)&gt;0,SUMIFS(T_SelfStock[Self_Qty],T_SelfStock[RM_Code],$A34,T_SelfStock[WeekIndex],43)+SUMIFS(T_TTAFStock[TTAF_Qty],T_TTAFStock[RM_Code],$A34,T_TTAFStock[WeekIndex],43),AQ34+'Grid_Incoming'!AR34-'Grid_Requirement'!AR34))</f>
        <v/>
      </c>
      <c r="AS34">
        <f>IF(COUNTIFS(T_StockCount[RM_Code],$A34,T_StockCount[WeekIndex],44)&gt;0,SUMIFS(T_StockCount[CountedQty],T_StockCount[RM_Code],$A34,T_StockCount[WeekIndex],44),IF((COUNTIFS(T_SelfStock[RM_Code],$A34,T_SelfStock[WeekIndex],44)&gt;0)*(COUNTIFS(T_TTAFStock[RM_Code],$A34,T_TTAFStock[WeekIndex],44)&gt;0)&gt;0,SUMIFS(T_SelfStock[Self_Qty],T_SelfStock[RM_Code],$A34,T_SelfStock[WeekIndex],44)+SUMIFS(T_TTAFStock[TTAF_Qty],T_TTAFStock[RM_Code],$A34,T_TTAFStock[WeekIndex],44),AR34+'Grid_Incoming'!AS34-'Grid_Requirement'!AS34))</f>
        <v/>
      </c>
      <c r="AT34">
        <f>IF(COUNTIFS(T_StockCount[RM_Code],$A34,T_StockCount[WeekIndex],45)&gt;0,SUMIFS(T_StockCount[CountedQty],T_StockCount[RM_Code],$A34,T_StockCount[WeekIndex],45),IF((COUNTIFS(T_SelfStock[RM_Code],$A34,T_SelfStock[WeekIndex],45)&gt;0)*(COUNTIFS(T_TTAFStock[RM_Code],$A34,T_TTAFStock[WeekIndex],45)&gt;0)&gt;0,SUMIFS(T_SelfStock[Self_Qty],T_SelfStock[RM_Code],$A34,T_SelfStock[WeekIndex],45)+SUMIFS(T_TTAFStock[TTAF_Qty],T_TTAFStock[RM_Code],$A34,T_TTAFStock[WeekIndex],45),AS34+'Grid_Incoming'!AT34-'Grid_Requirement'!AT34))</f>
        <v/>
      </c>
      <c r="AU34">
        <f>IF(COUNTIFS(T_StockCount[RM_Code],$A34,T_StockCount[WeekIndex],46)&gt;0,SUMIFS(T_StockCount[CountedQty],T_StockCount[RM_Code],$A34,T_StockCount[WeekIndex],46),IF((COUNTIFS(T_SelfStock[RM_Code],$A34,T_SelfStock[WeekIndex],46)&gt;0)*(COUNTIFS(T_TTAFStock[RM_Code],$A34,T_TTAFStock[WeekIndex],46)&gt;0)&gt;0,SUMIFS(T_SelfStock[Self_Qty],T_SelfStock[RM_Code],$A34,T_SelfStock[WeekIndex],46)+SUMIFS(T_TTAFStock[TTAF_Qty],T_TTAFStock[RM_Code],$A34,T_TTAFStock[WeekIndex],46),AT34+'Grid_Incoming'!AU34-'Grid_Requirement'!AU34))</f>
        <v/>
      </c>
      <c r="AV34">
        <f>IF(COUNTIFS(T_StockCount[RM_Code],$A34,T_StockCount[WeekIndex],47)&gt;0,SUMIFS(T_StockCount[CountedQty],T_StockCount[RM_Code],$A34,T_StockCount[WeekIndex],47),IF((COUNTIFS(T_SelfStock[RM_Code],$A34,T_SelfStock[WeekIndex],47)&gt;0)*(COUNTIFS(T_TTAFStock[RM_Code],$A34,T_TTAFStock[WeekIndex],47)&gt;0)&gt;0,SUMIFS(T_SelfStock[Self_Qty],T_SelfStock[RM_Code],$A34,T_SelfStock[WeekIndex],47)+SUMIFS(T_TTAFStock[TTAF_Qty],T_TTAFStock[RM_Code],$A34,T_TTAFStock[WeekIndex],47),AU34+'Grid_Incoming'!AV34-'Grid_Requirement'!AV34))</f>
        <v/>
      </c>
      <c r="AW34">
        <f>IF(COUNTIFS(T_StockCount[RM_Code],$A34,T_StockCount[WeekIndex],48)&gt;0,SUMIFS(T_StockCount[CountedQty],T_StockCount[RM_Code],$A34,T_StockCount[WeekIndex],48),IF((COUNTIFS(T_SelfStock[RM_Code],$A34,T_SelfStock[WeekIndex],48)&gt;0)*(COUNTIFS(T_TTAFStock[RM_Code],$A34,T_TTAFStock[WeekIndex],48)&gt;0)&gt;0,SUMIFS(T_SelfStock[Self_Qty],T_SelfStock[RM_Code],$A34,T_SelfStock[WeekIndex],48)+SUMIFS(T_TTAFStock[TTAF_Qty],T_TTAFStock[RM_Code],$A34,T_TTAFStock[WeekIndex],48),AV34+'Grid_Incoming'!AW34-'Grid_Requirement'!AW34))</f>
        <v/>
      </c>
      <c r="AX34">
        <f>IF(COUNTIFS(T_StockCount[RM_Code],$A34,T_StockCount[WeekIndex],49)&gt;0,SUMIFS(T_StockCount[CountedQty],T_StockCount[RM_Code],$A34,T_StockCount[WeekIndex],49),IF((COUNTIFS(T_SelfStock[RM_Code],$A34,T_SelfStock[WeekIndex],49)&gt;0)*(COUNTIFS(T_TTAFStock[RM_Code],$A34,T_TTAFStock[WeekIndex],49)&gt;0)&gt;0,SUMIFS(T_SelfStock[Self_Qty],T_SelfStock[RM_Code],$A34,T_SelfStock[WeekIndex],49)+SUMIFS(T_TTAFStock[TTAF_Qty],T_TTAFStock[RM_Code],$A34,T_TTAFStock[WeekIndex],49),AW34+'Grid_Incoming'!AX34-'Grid_Requirement'!AX34))</f>
        <v/>
      </c>
      <c r="AY34">
        <f>IF(COUNTIFS(T_StockCount[RM_Code],$A34,T_StockCount[WeekIndex],50)&gt;0,SUMIFS(T_StockCount[CountedQty],T_StockCount[RM_Code],$A34,T_StockCount[WeekIndex],50),IF((COUNTIFS(T_SelfStock[RM_Code],$A34,T_SelfStock[WeekIndex],50)&gt;0)*(COUNTIFS(T_TTAFStock[RM_Code],$A34,T_TTAFStock[WeekIndex],50)&gt;0)&gt;0,SUMIFS(T_SelfStock[Self_Qty],T_SelfStock[RM_Code],$A34,T_SelfStock[WeekIndex],50)+SUMIFS(T_TTAFStock[TTAF_Qty],T_TTAFStock[RM_Code],$A34,T_TTAFStock[WeekIndex],50),AX34+'Grid_Incoming'!AY34-'Grid_Requirement'!AY34))</f>
        <v/>
      </c>
      <c r="AZ34">
        <f>IF(COUNTIFS(T_StockCount[RM_Code],$A34,T_StockCount[WeekIndex],51)&gt;0,SUMIFS(T_StockCount[CountedQty],T_StockCount[RM_Code],$A34,T_StockCount[WeekIndex],51),IF((COUNTIFS(T_SelfStock[RM_Code],$A34,T_SelfStock[WeekIndex],51)&gt;0)*(COUNTIFS(T_TTAFStock[RM_Code],$A34,T_TTAFStock[WeekIndex],51)&gt;0)&gt;0,SUMIFS(T_SelfStock[Self_Qty],T_SelfStock[RM_Code],$A34,T_SelfStock[WeekIndex],51)+SUMIFS(T_TTAFStock[TTAF_Qty],T_TTAFStock[RM_Code],$A34,T_TTAFStock[WeekIndex],51),AY34+'Grid_Incoming'!AZ34-'Grid_Requirement'!AZ34))</f>
        <v/>
      </c>
      <c r="BA34">
        <f>IF(COUNTIFS(T_StockCount[RM_Code],$A34,T_StockCount[WeekIndex],52)&gt;0,SUMIFS(T_StockCount[CountedQty],T_StockCount[RM_Code],$A34,T_StockCount[WeekIndex],52),IF((COUNTIFS(T_SelfStock[RM_Code],$A34,T_SelfStock[WeekIndex],52)&gt;0)*(COUNTIFS(T_TTAFStock[RM_Code],$A34,T_TTAFStock[WeekIndex],52)&gt;0)&gt;0,SUMIFS(T_SelfStock[Self_Qty],T_SelfStock[RM_Code],$A34,T_SelfStock[WeekIndex],52)+SUMIFS(T_TTAFStock[TTAF_Qty],T_TTAFStock[RM_Code],$A34,T_TTAFStock[WeekIndex],52),AZ34+'Grid_Incoming'!BA34-'Grid_Requirement'!BA34))</f>
        <v/>
      </c>
      <c r="BB34">
        <f>IF(COUNTIFS(T_StockCount[RM_Code],$A34,T_StockCount[WeekIndex],53)&gt;0,SUMIFS(T_StockCount[CountedQty],T_StockCount[RM_Code],$A34,T_StockCount[WeekIndex],53),IF((COUNTIFS(T_SelfStock[RM_Code],$A34,T_SelfStock[WeekIndex],53)&gt;0)*(COUNTIFS(T_TTAFStock[RM_Code],$A34,T_TTAFStock[WeekIndex],53)&gt;0)&gt;0,SUMIFS(T_SelfStock[Self_Qty],T_SelfStock[RM_Code],$A34,T_SelfStock[WeekIndex],53)+SUMIFS(T_TTAFStock[TTAF_Qty],T_TTAFStock[RM_Code],$A34,T_TTAFStock[WeekIndex],53),BA34+'Grid_Incoming'!BB34-'Grid_Requirement'!BB34))</f>
        <v/>
      </c>
      <c r="BC34">
        <f>IF(COUNTIFS(T_StockCount[RM_Code],$A34,T_StockCount[WeekIndex],54)&gt;0,SUMIFS(T_StockCount[CountedQty],T_StockCount[RM_Code],$A34,T_StockCount[WeekIndex],54),IF((COUNTIFS(T_SelfStock[RM_Code],$A34,T_SelfStock[WeekIndex],54)&gt;0)*(COUNTIFS(T_TTAFStock[RM_Code],$A34,T_TTAFStock[WeekIndex],54)&gt;0)&gt;0,SUMIFS(T_SelfStock[Self_Qty],T_SelfStock[RM_Code],$A34,T_SelfStock[WeekIndex],54)+SUMIFS(T_TTAFStock[TTAF_Qty],T_TTAFStock[RM_Code],$A34,T_TTAFStock[WeekIndex],54),BB34+'Grid_Incoming'!BC34-'Grid_Requirement'!BC34))</f>
        <v/>
      </c>
      <c r="BD34">
        <f>IF(COUNTIFS(T_StockCount[RM_Code],$A34,T_StockCount[WeekIndex],55)&gt;0,SUMIFS(T_StockCount[CountedQty],T_StockCount[RM_Code],$A34,T_StockCount[WeekIndex],55),IF((COUNTIFS(T_SelfStock[RM_Code],$A34,T_SelfStock[WeekIndex],55)&gt;0)*(COUNTIFS(T_TTAFStock[RM_Code],$A34,T_TTAFStock[WeekIndex],55)&gt;0)&gt;0,SUMIFS(T_SelfStock[Self_Qty],T_SelfStock[RM_Code],$A34,T_SelfStock[WeekIndex],55)+SUMIFS(T_TTAFStock[TTAF_Qty],T_TTAFStock[RM_Code],$A34,T_TTAFStock[WeekIndex],55),BC34+'Grid_Incoming'!BD34-'Grid_Requirement'!BD34))</f>
        <v/>
      </c>
      <c r="BE34">
        <f>IF(COUNTIFS(T_StockCount[RM_Code],$A34,T_StockCount[WeekIndex],56)&gt;0,SUMIFS(T_StockCount[CountedQty],T_StockCount[RM_Code],$A34,T_StockCount[WeekIndex],56),IF((COUNTIFS(T_SelfStock[RM_Code],$A34,T_SelfStock[WeekIndex],56)&gt;0)*(COUNTIFS(T_TTAFStock[RM_Code],$A34,T_TTAFStock[WeekIndex],56)&gt;0)&gt;0,SUMIFS(T_SelfStock[Self_Qty],T_SelfStock[RM_Code],$A34,T_SelfStock[WeekIndex],56)+SUMIFS(T_TTAFStock[TTAF_Qty],T_TTAFStock[RM_Code],$A34,T_TTAFStock[WeekIndex],56),BD34+'Grid_Incoming'!BE34-'Grid_Requirement'!BE34))</f>
        <v/>
      </c>
      <c r="BF34">
        <f>IF(COUNTIFS(T_StockCount[RM_Code],$A34,T_StockCount[WeekIndex],57)&gt;0,SUMIFS(T_StockCount[CountedQty],T_StockCount[RM_Code],$A34,T_StockCount[WeekIndex],57),IF((COUNTIFS(T_SelfStock[RM_Code],$A34,T_SelfStock[WeekIndex],57)&gt;0)*(COUNTIFS(T_TTAFStock[RM_Code],$A34,T_TTAFStock[WeekIndex],57)&gt;0)&gt;0,SUMIFS(T_SelfStock[Self_Qty],T_SelfStock[RM_Code],$A34,T_SelfStock[WeekIndex],57)+SUMIFS(T_TTAFStock[TTAF_Qty],T_TTAFStock[RM_Code],$A34,T_TTAFStock[WeekIndex],57),BE34+'Grid_Incoming'!BF34-'Grid_Requirement'!BF34))</f>
        <v/>
      </c>
      <c r="BG34">
        <f>IF(COUNTIFS(T_StockCount[RM_Code],$A34,T_StockCount[WeekIndex],58)&gt;0,SUMIFS(T_StockCount[CountedQty],T_StockCount[RM_Code],$A34,T_StockCount[WeekIndex],58),IF((COUNTIFS(T_SelfStock[RM_Code],$A34,T_SelfStock[WeekIndex],58)&gt;0)*(COUNTIFS(T_TTAFStock[RM_Code],$A34,T_TTAFStock[WeekIndex],58)&gt;0)&gt;0,SUMIFS(T_SelfStock[Self_Qty],T_SelfStock[RM_Code],$A34,T_SelfStock[WeekIndex],58)+SUMIFS(T_TTAFStock[TTAF_Qty],T_TTAFStock[RM_Code],$A34,T_TTAFStock[WeekIndex],58),BF34+'Grid_Incoming'!BG34-'Grid_Requirement'!BG34))</f>
        <v/>
      </c>
      <c r="BH34">
        <f>IF(COUNTIFS(T_StockCount[RM_Code],$A34,T_StockCount[WeekIndex],59)&gt;0,SUMIFS(T_StockCount[CountedQty],T_StockCount[RM_Code],$A34,T_StockCount[WeekIndex],59),IF((COUNTIFS(T_SelfStock[RM_Code],$A34,T_SelfStock[WeekIndex],59)&gt;0)*(COUNTIFS(T_TTAFStock[RM_Code],$A34,T_TTAFStock[WeekIndex],59)&gt;0)&gt;0,SUMIFS(T_SelfStock[Self_Qty],T_SelfStock[RM_Code],$A34,T_SelfStock[WeekIndex],59)+SUMIFS(T_TTAFStock[TTAF_Qty],T_TTAFStock[RM_Code],$A34,T_TTAFStock[WeekIndex],59),BG34+'Grid_Incoming'!BH34-'Grid_Requirement'!BH34))</f>
        <v/>
      </c>
      <c r="BI34">
        <f>IF(COUNTIFS(T_StockCount[RM_Code],$A34,T_StockCount[WeekIndex],60)&gt;0,SUMIFS(T_StockCount[CountedQty],T_StockCount[RM_Code],$A34,T_StockCount[WeekIndex],60),IF((COUNTIFS(T_SelfStock[RM_Code],$A34,T_SelfStock[WeekIndex],60)&gt;0)*(COUNTIFS(T_TTAFStock[RM_Code],$A34,T_TTAFStock[WeekIndex],60)&gt;0)&gt;0,SUMIFS(T_SelfStock[Self_Qty],T_SelfStock[RM_Code],$A34,T_SelfStock[WeekIndex],60)+SUMIFS(T_TTAFStock[TTAF_Qty],T_TTAFStock[RM_Code],$A34,T_TTAFStock[WeekIndex],60),BH34+'Grid_Incoming'!BI34-'Grid_Requirement'!BI34))</f>
        <v/>
      </c>
      <c r="BJ34">
        <f>IF(COUNTIFS(T_StockCount[RM_Code],$A34,T_StockCount[WeekIndex],61)&gt;0,SUMIFS(T_StockCount[CountedQty],T_StockCount[RM_Code],$A34,T_StockCount[WeekIndex],61),IF((COUNTIFS(T_SelfStock[RM_Code],$A34,T_SelfStock[WeekIndex],61)&gt;0)*(COUNTIFS(T_TTAFStock[RM_Code],$A34,T_TTAFStock[WeekIndex],61)&gt;0)&gt;0,SUMIFS(T_SelfStock[Self_Qty],T_SelfStock[RM_Code],$A34,T_SelfStock[WeekIndex],61)+SUMIFS(T_TTAFStock[TTAF_Qty],T_TTAFStock[RM_Code],$A34,T_TTAFStock[WeekIndex],61),BI34+'Grid_Incoming'!BJ34-'Grid_Requirement'!BJ34))</f>
        <v/>
      </c>
      <c r="BK34">
        <f>IF(COUNTIFS(T_StockCount[RM_Code],$A34,T_StockCount[WeekIndex],62)&gt;0,SUMIFS(T_StockCount[CountedQty],T_StockCount[RM_Code],$A34,T_StockCount[WeekIndex],62),IF((COUNTIFS(T_SelfStock[RM_Code],$A34,T_SelfStock[WeekIndex],62)&gt;0)*(COUNTIFS(T_TTAFStock[RM_Code],$A34,T_TTAFStock[WeekIndex],62)&gt;0)&gt;0,SUMIFS(T_SelfStock[Self_Qty],T_SelfStock[RM_Code],$A34,T_SelfStock[WeekIndex],62)+SUMIFS(T_TTAFStock[TTAF_Qty],T_TTAFStock[RM_Code],$A34,T_TTAFStock[WeekIndex],62),BJ34+'Grid_Incoming'!BK34-'Grid_Requirement'!BK34))</f>
        <v/>
      </c>
      <c r="BL34">
        <f>IF(COUNTIFS(T_StockCount[RM_Code],$A34,T_StockCount[WeekIndex],63)&gt;0,SUMIFS(T_StockCount[CountedQty],T_StockCount[RM_Code],$A34,T_StockCount[WeekIndex],63),IF((COUNTIFS(T_SelfStock[RM_Code],$A34,T_SelfStock[WeekIndex],63)&gt;0)*(COUNTIFS(T_TTAFStock[RM_Code],$A34,T_TTAFStock[WeekIndex],63)&gt;0)&gt;0,SUMIFS(T_SelfStock[Self_Qty],T_SelfStock[RM_Code],$A34,T_SelfStock[WeekIndex],63)+SUMIFS(T_TTAFStock[TTAF_Qty],T_TTAFStock[RM_Code],$A34,T_TTAFStock[WeekIndex],63),BK34+'Grid_Incoming'!BL34-'Grid_Requirement'!BL34))</f>
        <v/>
      </c>
      <c r="BM34">
        <f>IF(COUNTIFS(T_StockCount[RM_Code],$A34,T_StockCount[WeekIndex],64)&gt;0,SUMIFS(T_StockCount[CountedQty],T_StockCount[RM_Code],$A34,T_StockCount[WeekIndex],64),IF((COUNTIFS(T_SelfStock[RM_Code],$A34,T_SelfStock[WeekIndex],64)&gt;0)*(COUNTIFS(T_TTAFStock[RM_Code],$A34,T_TTAFStock[WeekIndex],64)&gt;0)&gt;0,SUMIFS(T_SelfStock[Self_Qty],T_SelfStock[RM_Code],$A34,T_SelfStock[WeekIndex],64)+SUMIFS(T_TTAFStock[TTAF_Qty],T_TTAFStock[RM_Code],$A34,T_TTAFStock[WeekIndex],64),BL34+'Grid_Incoming'!BM34-'Grid_Requirement'!BM34))</f>
        <v/>
      </c>
      <c r="BN34">
        <f>IF(COUNTIFS(T_StockCount[RM_Code],$A34,T_StockCount[WeekIndex],65)&gt;0,SUMIFS(T_StockCount[CountedQty],T_StockCount[RM_Code],$A34,T_StockCount[WeekIndex],65),IF((COUNTIFS(T_SelfStock[RM_Code],$A34,T_SelfStock[WeekIndex],65)&gt;0)*(COUNTIFS(T_TTAFStock[RM_Code],$A34,T_TTAFStock[WeekIndex],65)&gt;0)&gt;0,SUMIFS(T_SelfStock[Self_Qty],T_SelfStock[RM_Code],$A34,T_SelfStock[WeekIndex],65)+SUMIFS(T_TTAFStock[TTAF_Qty],T_TTAFStock[RM_Code],$A34,T_TTAFStock[WeekIndex],65),BM34+'Grid_Incoming'!BN34-'Grid_Requirement'!BN34))</f>
        <v/>
      </c>
      <c r="BO34">
        <f>IF(COUNTIFS(T_StockCount[RM_Code],$A34,T_StockCount[WeekIndex],66)&gt;0,SUMIFS(T_StockCount[CountedQty],T_StockCount[RM_Code],$A34,T_StockCount[WeekIndex],66),IF((COUNTIFS(T_SelfStock[RM_Code],$A34,T_SelfStock[WeekIndex],66)&gt;0)*(COUNTIFS(T_TTAFStock[RM_Code],$A34,T_TTAFStock[WeekIndex],66)&gt;0)&gt;0,SUMIFS(T_SelfStock[Self_Qty],T_SelfStock[RM_Code],$A34,T_SelfStock[WeekIndex],66)+SUMIFS(T_TTAFStock[TTAF_Qty],T_TTAFStock[RM_Code],$A34,T_TTAFStock[WeekIndex],66),BN34+'Grid_Incoming'!BO34-'Grid_Requirement'!BO34))</f>
        <v/>
      </c>
      <c r="BP34">
        <f>IF(COUNTIFS(T_StockCount[RM_Code],$A34,T_StockCount[WeekIndex],67)&gt;0,SUMIFS(T_StockCount[CountedQty],T_StockCount[RM_Code],$A34,T_StockCount[WeekIndex],67),IF((COUNTIFS(T_SelfStock[RM_Code],$A34,T_SelfStock[WeekIndex],67)&gt;0)*(COUNTIFS(T_TTAFStock[RM_Code],$A34,T_TTAFStock[WeekIndex],67)&gt;0)&gt;0,SUMIFS(T_SelfStock[Self_Qty],T_SelfStock[RM_Code],$A34,T_SelfStock[WeekIndex],67)+SUMIFS(T_TTAFStock[TTAF_Qty],T_TTAFStock[RM_Code],$A34,T_TTAFStock[WeekIndex],67),BO34+'Grid_Incoming'!BP34-'Grid_Requirement'!BP34))</f>
        <v/>
      </c>
      <c r="BQ34">
        <f>IF(COUNTIFS(T_StockCount[RM_Code],$A34,T_StockCount[WeekIndex],68)&gt;0,SUMIFS(T_StockCount[CountedQty],T_StockCount[RM_Code],$A34,T_StockCount[WeekIndex],68),IF((COUNTIFS(T_SelfStock[RM_Code],$A34,T_SelfStock[WeekIndex],68)&gt;0)*(COUNTIFS(T_TTAFStock[RM_Code],$A34,T_TTAFStock[WeekIndex],68)&gt;0)&gt;0,SUMIFS(T_SelfStock[Self_Qty],T_SelfStock[RM_Code],$A34,T_SelfStock[WeekIndex],68)+SUMIFS(T_TTAFStock[TTAF_Qty],T_TTAFStock[RM_Code],$A34,T_TTAFStock[WeekIndex],68),BP34+'Grid_Incoming'!BQ34-'Grid_Requirement'!BQ34))</f>
        <v/>
      </c>
      <c r="BR34">
        <f>IF(COUNTIFS(T_StockCount[RM_Code],$A34,T_StockCount[WeekIndex],69)&gt;0,SUMIFS(T_StockCount[CountedQty],T_StockCount[RM_Code],$A34,T_StockCount[WeekIndex],69),IF((COUNTIFS(T_SelfStock[RM_Code],$A34,T_SelfStock[WeekIndex],69)&gt;0)*(COUNTIFS(T_TTAFStock[RM_Code],$A34,T_TTAFStock[WeekIndex],69)&gt;0)&gt;0,SUMIFS(T_SelfStock[Self_Qty],T_SelfStock[RM_Code],$A34,T_SelfStock[WeekIndex],69)+SUMIFS(T_TTAFStock[TTAF_Qty],T_TTAFStock[RM_Code],$A34,T_TTAFStock[WeekIndex],69),BQ34+'Grid_Incoming'!BR34-'Grid_Requirement'!BR34))</f>
        <v/>
      </c>
      <c r="BS34">
        <f>IF(COUNTIFS(T_StockCount[RM_Code],$A34,T_StockCount[WeekIndex],70)&gt;0,SUMIFS(T_StockCount[CountedQty],T_StockCount[RM_Code],$A34,T_StockCount[WeekIndex],70),IF((COUNTIFS(T_SelfStock[RM_Code],$A34,T_SelfStock[WeekIndex],70)&gt;0)*(COUNTIFS(T_TTAFStock[RM_Code],$A34,T_TTAFStock[WeekIndex],70)&gt;0)&gt;0,SUMIFS(T_SelfStock[Self_Qty],T_SelfStock[RM_Code],$A34,T_SelfStock[WeekIndex],70)+SUMIFS(T_TTAFStock[TTAF_Qty],T_TTAFStock[RM_Code],$A34,T_TTAFStock[WeekIndex],70),BR34+'Grid_Incoming'!BS34-'Grid_Requirement'!BS34))</f>
        <v/>
      </c>
      <c r="BT34">
        <f>IF(COUNTIFS(T_StockCount[RM_Code],$A34,T_StockCount[WeekIndex],71)&gt;0,SUMIFS(T_StockCount[CountedQty],T_StockCount[RM_Code],$A34,T_StockCount[WeekIndex],71),IF((COUNTIFS(T_SelfStock[RM_Code],$A34,T_SelfStock[WeekIndex],71)&gt;0)*(COUNTIFS(T_TTAFStock[RM_Code],$A34,T_TTAFStock[WeekIndex],71)&gt;0)&gt;0,SUMIFS(T_SelfStock[Self_Qty],T_SelfStock[RM_Code],$A34,T_SelfStock[WeekIndex],71)+SUMIFS(T_TTAFStock[TTAF_Qty],T_TTAFStock[RM_Code],$A34,T_TTAFStock[WeekIndex],71),BS34+'Grid_Incoming'!BT34-'Grid_Requirement'!BT34))</f>
        <v/>
      </c>
      <c r="BU34">
        <f>IF(COUNTIFS(T_StockCount[RM_Code],$A34,T_StockCount[WeekIndex],72)&gt;0,SUMIFS(T_StockCount[CountedQty],T_StockCount[RM_Code],$A34,T_StockCount[WeekIndex],72),IF((COUNTIFS(T_SelfStock[RM_Code],$A34,T_SelfStock[WeekIndex],72)&gt;0)*(COUNTIFS(T_TTAFStock[RM_Code],$A34,T_TTAFStock[WeekIndex],72)&gt;0)&gt;0,SUMIFS(T_SelfStock[Self_Qty],T_SelfStock[RM_Code],$A34,T_SelfStock[WeekIndex],72)+SUMIFS(T_TTAFStock[TTAF_Qty],T_TTAFStock[RM_Code],$A34,T_TTAFStock[WeekIndex],72),BT34+'Grid_Incoming'!BU34-'Grid_Requirement'!BU34))</f>
        <v/>
      </c>
      <c r="BV34">
        <f>IF(COUNTIFS(T_StockCount[RM_Code],$A34,T_StockCount[WeekIndex],73)&gt;0,SUMIFS(T_StockCount[CountedQty],T_StockCount[RM_Code],$A34,T_StockCount[WeekIndex],73),IF((COUNTIFS(T_SelfStock[RM_Code],$A34,T_SelfStock[WeekIndex],73)&gt;0)*(COUNTIFS(T_TTAFStock[RM_Code],$A34,T_TTAFStock[WeekIndex],73)&gt;0)&gt;0,SUMIFS(T_SelfStock[Self_Qty],T_SelfStock[RM_Code],$A34,T_SelfStock[WeekIndex],73)+SUMIFS(T_TTAFStock[TTAF_Qty],T_TTAFStock[RM_Code],$A34,T_TTAFStock[WeekIndex],73),BU34+'Grid_Incoming'!BV34-'Grid_Requirement'!BV34))</f>
        <v/>
      </c>
      <c r="BW34">
        <f>IF(COUNTIFS(T_StockCount[RM_Code],$A34,T_StockCount[WeekIndex],74)&gt;0,SUMIFS(T_StockCount[CountedQty],T_StockCount[RM_Code],$A34,T_StockCount[WeekIndex],74),IF((COUNTIFS(T_SelfStock[RM_Code],$A34,T_SelfStock[WeekIndex],74)&gt;0)*(COUNTIFS(T_TTAFStock[RM_Code],$A34,T_TTAFStock[WeekIndex],74)&gt;0)&gt;0,SUMIFS(T_SelfStock[Self_Qty],T_SelfStock[RM_Code],$A34,T_SelfStock[WeekIndex],74)+SUMIFS(T_TTAFStock[TTAF_Qty],T_TTAFStock[RM_Code],$A34,T_TTAFStock[WeekIndex],74),BV34+'Grid_Incoming'!BW34-'Grid_Requirement'!BW34))</f>
        <v/>
      </c>
      <c r="BX34">
        <f>IF(COUNTIFS(T_StockCount[RM_Code],$A34,T_StockCount[WeekIndex],75)&gt;0,SUMIFS(T_StockCount[CountedQty],T_StockCount[RM_Code],$A34,T_StockCount[WeekIndex],75),IF((COUNTIFS(T_SelfStock[RM_Code],$A34,T_SelfStock[WeekIndex],75)&gt;0)*(COUNTIFS(T_TTAFStock[RM_Code],$A34,T_TTAFStock[WeekIndex],75)&gt;0)&gt;0,SUMIFS(T_SelfStock[Self_Qty],T_SelfStock[RM_Code],$A34,T_SelfStock[WeekIndex],75)+SUMIFS(T_TTAFStock[TTAF_Qty],T_TTAFStock[RM_Code],$A34,T_TTAFStock[WeekIndex],75),BW34+'Grid_Incoming'!BX34-'Grid_Requirement'!BX34))</f>
        <v/>
      </c>
      <c r="BY34">
        <f>IF(COUNTIFS(T_StockCount[RM_Code],$A34,T_StockCount[WeekIndex],76)&gt;0,SUMIFS(T_StockCount[CountedQty],T_StockCount[RM_Code],$A34,T_StockCount[WeekIndex],76),IF((COUNTIFS(T_SelfStock[RM_Code],$A34,T_SelfStock[WeekIndex],76)&gt;0)*(COUNTIFS(T_TTAFStock[RM_Code],$A34,T_TTAFStock[WeekIndex],76)&gt;0)&gt;0,SUMIFS(T_SelfStock[Self_Qty],T_SelfStock[RM_Code],$A34,T_SelfStock[WeekIndex],76)+SUMIFS(T_TTAFStock[TTAF_Qty],T_TTAFStock[RM_Code],$A34,T_TTAFStock[WeekIndex],76),BX34+'Grid_Incoming'!BY34-'Grid_Requirement'!BY34))</f>
        <v/>
      </c>
      <c r="BZ34">
        <f>IF(COUNTIFS(T_StockCount[RM_Code],$A34,T_StockCount[WeekIndex],77)&gt;0,SUMIFS(T_StockCount[CountedQty],T_StockCount[RM_Code],$A34,T_StockCount[WeekIndex],77),IF((COUNTIFS(T_SelfStock[RM_Code],$A34,T_SelfStock[WeekIndex],77)&gt;0)*(COUNTIFS(T_TTAFStock[RM_Code],$A34,T_TTAFStock[WeekIndex],77)&gt;0)&gt;0,SUMIFS(T_SelfStock[Self_Qty],T_SelfStock[RM_Code],$A34,T_SelfStock[WeekIndex],77)+SUMIFS(T_TTAFStock[TTAF_Qty],T_TTAFStock[RM_Code],$A34,T_TTAFStock[WeekIndex],77),BY34+'Grid_Incoming'!BZ34-'Grid_Requirement'!BZ34))</f>
        <v/>
      </c>
      <c r="CA34">
        <f>IF(COUNTIFS(T_StockCount[RM_Code],$A34,T_StockCount[WeekIndex],78)&gt;0,SUMIFS(T_StockCount[CountedQty],T_StockCount[RM_Code],$A34,T_StockCount[WeekIndex],78),IF((COUNTIFS(T_SelfStock[RM_Code],$A34,T_SelfStock[WeekIndex],78)&gt;0)*(COUNTIFS(T_TTAFStock[RM_Code],$A34,T_TTAFStock[WeekIndex],78)&gt;0)&gt;0,SUMIFS(T_SelfStock[Self_Qty],T_SelfStock[RM_Code],$A34,T_SelfStock[WeekIndex],78)+SUMIFS(T_TTAFStock[TTAF_Qty],T_TTAFStock[RM_Code],$A34,T_TTAFStock[WeekIndex],78),BZ34+'Grid_Incoming'!CA34-'Grid_Requirement'!CA34))</f>
        <v/>
      </c>
      <c r="CB34">
        <f>IF(COUNTIFS(T_StockCount[RM_Code],$A34,T_StockCount[WeekIndex],79)&gt;0,SUMIFS(T_StockCount[CountedQty],T_StockCount[RM_Code],$A34,T_StockCount[WeekIndex],79),IF((COUNTIFS(T_SelfStock[RM_Code],$A34,T_SelfStock[WeekIndex],79)&gt;0)*(COUNTIFS(T_TTAFStock[RM_Code],$A34,T_TTAFStock[WeekIndex],79)&gt;0)&gt;0,SUMIFS(T_SelfStock[Self_Qty],T_SelfStock[RM_Code],$A34,T_SelfStock[WeekIndex],79)+SUMIFS(T_TTAFStock[TTAF_Qty],T_TTAFStock[RM_Code],$A34,T_TTAFStock[WeekIndex],79),CA34+'Grid_Incoming'!CB34-'Grid_Requirement'!CB34))</f>
        <v/>
      </c>
      <c r="CC34">
        <f>IF(COUNTIFS(T_StockCount[RM_Code],$A34,T_StockCount[WeekIndex],80)&gt;0,SUMIFS(T_StockCount[CountedQty],T_StockCount[RM_Code],$A34,T_StockCount[WeekIndex],80),IF((COUNTIFS(T_SelfStock[RM_Code],$A34,T_SelfStock[WeekIndex],80)&gt;0)*(COUNTIFS(T_TTAFStock[RM_Code],$A34,T_TTAFStock[WeekIndex],80)&gt;0)&gt;0,SUMIFS(T_SelfStock[Self_Qty],T_SelfStock[RM_Code],$A34,T_SelfStock[WeekIndex],80)+SUMIFS(T_TTAFStock[TTAF_Qty],T_TTAFStock[RM_Code],$A34,T_TTAFStock[WeekIndex],80),CB34+'Grid_Incoming'!CC34-'Grid_Requirement'!CC34))</f>
        <v/>
      </c>
      <c r="CD34">
        <f>IF(COUNTIFS(T_StockCount[RM_Code],$A34,T_StockCount[WeekIndex],81)&gt;0,SUMIFS(T_StockCount[CountedQty],T_StockCount[RM_Code],$A34,T_StockCount[WeekIndex],81),IF((COUNTIFS(T_SelfStock[RM_Code],$A34,T_SelfStock[WeekIndex],81)&gt;0)*(COUNTIFS(T_TTAFStock[RM_Code],$A34,T_TTAFStock[WeekIndex],81)&gt;0)&gt;0,SUMIFS(T_SelfStock[Self_Qty],T_SelfStock[RM_Code],$A34,T_SelfStock[WeekIndex],81)+SUMIFS(T_TTAFStock[TTAF_Qty],T_TTAFStock[RM_Code],$A34,T_TTAFStock[WeekIndex],81),CC34+'Grid_Incoming'!CD34-'Grid_Requirement'!CD34))</f>
        <v/>
      </c>
      <c r="CE34">
        <f>IF(COUNTIFS(T_StockCount[RM_Code],$A34,T_StockCount[WeekIndex],82)&gt;0,SUMIFS(T_StockCount[CountedQty],T_StockCount[RM_Code],$A34,T_StockCount[WeekIndex],82),IF((COUNTIFS(T_SelfStock[RM_Code],$A34,T_SelfStock[WeekIndex],82)&gt;0)*(COUNTIFS(T_TTAFStock[RM_Code],$A34,T_TTAFStock[WeekIndex],82)&gt;0)&gt;0,SUMIFS(T_SelfStock[Self_Qty],T_SelfStock[RM_Code],$A34,T_SelfStock[WeekIndex],82)+SUMIFS(T_TTAFStock[TTAF_Qty],T_TTAFStock[RM_Code],$A34,T_TTAFStock[WeekIndex],82),CD34+'Grid_Incoming'!CE34-'Grid_Requirement'!CE34))</f>
        <v/>
      </c>
      <c r="CF34">
        <f>IF(COUNTIFS(T_StockCount[RM_Code],$A34,T_StockCount[WeekIndex],83)&gt;0,SUMIFS(T_StockCount[CountedQty],T_StockCount[RM_Code],$A34,T_StockCount[WeekIndex],83),IF((COUNTIFS(T_SelfStock[RM_Code],$A34,T_SelfStock[WeekIndex],83)&gt;0)*(COUNTIFS(T_TTAFStock[RM_Code],$A34,T_TTAFStock[WeekIndex],83)&gt;0)&gt;0,SUMIFS(T_SelfStock[Self_Qty],T_SelfStock[RM_Code],$A34,T_SelfStock[WeekIndex],83)+SUMIFS(T_TTAFStock[TTAF_Qty],T_TTAFStock[RM_Code],$A34,T_TTAFStock[WeekIndex],83),CE34+'Grid_Incoming'!CF34-'Grid_Requirement'!CF34))</f>
        <v/>
      </c>
      <c r="CG34">
        <f>IF(COUNTIFS(T_StockCount[RM_Code],$A34,T_StockCount[WeekIndex],84)&gt;0,SUMIFS(T_StockCount[CountedQty],T_StockCount[RM_Code],$A34,T_StockCount[WeekIndex],84),IF((COUNTIFS(T_SelfStock[RM_Code],$A34,T_SelfStock[WeekIndex],84)&gt;0)*(COUNTIFS(T_TTAFStock[RM_Code],$A34,T_TTAFStock[WeekIndex],84)&gt;0)&gt;0,SUMIFS(T_SelfStock[Self_Qty],T_SelfStock[RM_Code],$A34,T_SelfStock[WeekIndex],84)+SUMIFS(T_TTAFStock[TTAF_Qty],T_TTAFStock[RM_Code],$A34,T_TTAFStock[WeekIndex],84),CF34+'Grid_Incoming'!CG34-'Grid_Requirement'!CG34))</f>
        <v/>
      </c>
      <c r="CH34">
        <f>IF(COUNTIFS(T_StockCount[RM_Code],$A34,T_StockCount[WeekIndex],85)&gt;0,SUMIFS(T_StockCount[CountedQty],T_StockCount[RM_Code],$A34,T_StockCount[WeekIndex],85),IF((COUNTIFS(T_SelfStock[RM_Code],$A34,T_SelfStock[WeekIndex],85)&gt;0)*(COUNTIFS(T_TTAFStock[RM_Code],$A34,T_TTAFStock[WeekIndex],85)&gt;0)&gt;0,SUMIFS(T_SelfStock[Self_Qty],T_SelfStock[RM_Code],$A34,T_SelfStock[WeekIndex],85)+SUMIFS(T_TTAFStock[TTAF_Qty],T_TTAFStock[RM_Code],$A34,T_TTAFStock[WeekIndex],85),CG34+'Grid_Incoming'!CH34-'Grid_Requirement'!CH34))</f>
        <v/>
      </c>
      <c r="CI34">
        <f>IF(COUNTIFS(T_StockCount[RM_Code],$A34,T_StockCount[WeekIndex],86)&gt;0,SUMIFS(T_StockCount[CountedQty],T_StockCount[RM_Code],$A34,T_StockCount[WeekIndex],86),IF((COUNTIFS(T_SelfStock[RM_Code],$A34,T_SelfStock[WeekIndex],86)&gt;0)*(COUNTIFS(T_TTAFStock[RM_Code],$A34,T_TTAFStock[WeekIndex],86)&gt;0)&gt;0,SUMIFS(T_SelfStock[Self_Qty],T_SelfStock[RM_Code],$A34,T_SelfStock[WeekIndex],86)+SUMIFS(T_TTAFStock[TTAF_Qty],T_TTAFStock[RM_Code],$A34,T_TTAFStock[WeekIndex],86),CH34+'Grid_Incoming'!CI34-'Grid_Requirement'!CI34))</f>
        <v/>
      </c>
      <c r="CJ34">
        <f>IF(COUNTIFS(T_StockCount[RM_Code],$A34,T_StockCount[WeekIndex],87)&gt;0,SUMIFS(T_StockCount[CountedQty],T_StockCount[RM_Code],$A34,T_StockCount[WeekIndex],87),IF((COUNTIFS(T_SelfStock[RM_Code],$A34,T_SelfStock[WeekIndex],87)&gt;0)*(COUNTIFS(T_TTAFStock[RM_Code],$A34,T_TTAFStock[WeekIndex],87)&gt;0)&gt;0,SUMIFS(T_SelfStock[Self_Qty],T_SelfStock[RM_Code],$A34,T_SelfStock[WeekIndex],87)+SUMIFS(T_TTAFStock[TTAF_Qty],T_TTAFStock[RM_Code],$A34,T_TTAFStock[WeekIndex],87),CI34+'Grid_Incoming'!CJ34-'Grid_Requirement'!CJ34))</f>
        <v/>
      </c>
      <c r="CK34">
        <f>IF(COUNTIFS(T_StockCount[RM_Code],$A34,T_StockCount[WeekIndex],88)&gt;0,SUMIFS(T_StockCount[CountedQty],T_StockCount[RM_Code],$A34,T_StockCount[WeekIndex],88),IF((COUNTIFS(T_SelfStock[RM_Code],$A34,T_SelfStock[WeekIndex],88)&gt;0)*(COUNTIFS(T_TTAFStock[RM_Code],$A34,T_TTAFStock[WeekIndex],88)&gt;0)&gt;0,SUMIFS(T_SelfStock[Self_Qty],T_SelfStock[RM_Code],$A34,T_SelfStock[WeekIndex],88)+SUMIFS(T_TTAFStock[TTAF_Qty],T_TTAFStock[RM_Code],$A34,T_TTAFStock[WeekIndex],88),CJ34+'Grid_Incoming'!CK34-'Grid_Requirement'!CK34))</f>
        <v/>
      </c>
      <c r="CL34">
        <f>IF(COUNTIFS(T_StockCount[RM_Code],$A34,T_StockCount[WeekIndex],89)&gt;0,SUMIFS(T_StockCount[CountedQty],T_StockCount[RM_Code],$A34,T_StockCount[WeekIndex],89),IF((COUNTIFS(T_SelfStock[RM_Code],$A34,T_SelfStock[WeekIndex],89)&gt;0)*(COUNTIFS(T_TTAFStock[RM_Code],$A34,T_TTAFStock[WeekIndex],89)&gt;0)&gt;0,SUMIFS(T_SelfStock[Self_Qty],T_SelfStock[RM_Code],$A34,T_SelfStock[WeekIndex],89)+SUMIFS(T_TTAFStock[TTAF_Qty],T_TTAFStock[RM_Code],$A34,T_TTAFStock[WeekIndex],89),CK34+'Grid_Incoming'!CL34-'Grid_Requirement'!CL34))</f>
        <v/>
      </c>
      <c r="CM34">
        <f>IF(COUNTIFS(T_StockCount[RM_Code],$A34,T_StockCount[WeekIndex],90)&gt;0,SUMIFS(T_StockCount[CountedQty],T_StockCount[RM_Code],$A34,T_StockCount[WeekIndex],90),IF((COUNTIFS(T_SelfStock[RM_Code],$A34,T_SelfStock[WeekIndex],90)&gt;0)*(COUNTIFS(T_TTAFStock[RM_Code],$A34,T_TTAFStock[WeekIndex],90)&gt;0)&gt;0,SUMIFS(T_SelfStock[Self_Qty],T_SelfStock[RM_Code],$A34,T_SelfStock[WeekIndex],90)+SUMIFS(T_TTAFStock[TTAF_Qty],T_TTAFStock[RM_Code],$A34,T_TTAFStock[WeekIndex],90),CL34+'Grid_Incoming'!CM34-'Grid_Requirement'!CM34))</f>
        <v/>
      </c>
      <c r="CN34">
        <f>IF(COUNTIFS(T_StockCount[RM_Code],$A34,T_StockCount[WeekIndex],91)&gt;0,SUMIFS(T_StockCount[CountedQty],T_StockCount[RM_Code],$A34,T_StockCount[WeekIndex],91),IF((COUNTIFS(T_SelfStock[RM_Code],$A34,T_SelfStock[WeekIndex],91)&gt;0)*(COUNTIFS(T_TTAFStock[RM_Code],$A34,T_TTAFStock[WeekIndex],91)&gt;0)&gt;0,SUMIFS(T_SelfStock[Self_Qty],T_SelfStock[RM_Code],$A34,T_SelfStock[WeekIndex],91)+SUMIFS(T_TTAFStock[TTAF_Qty],T_TTAFStock[RM_Code],$A34,T_TTAFStock[WeekIndex],91),CM34+'Grid_Incoming'!CN34-'Grid_Requirement'!CN34))</f>
        <v/>
      </c>
      <c r="CO34">
        <f>IF(COUNTIFS(T_StockCount[RM_Code],$A34,T_StockCount[WeekIndex],92)&gt;0,SUMIFS(T_StockCount[CountedQty],T_StockCount[RM_Code],$A34,T_StockCount[WeekIndex],92),IF((COUNTIFS(T_SelfStock[RM_Code],$A34,T_SelfStock[WeekIndex],92)&gt;0)*(COUNTIFS(T_TTAFStock[RM_Code],$A34,T_TTAFStock[WeekIndex],92)&gt;0)&gt;0,SUMIFS(T_SelfStock[Self_Qty],T_SelfStock[RM_Code],$A34,T_SelfStock[WeekIndex],92)+SUMIFS(T_TTAFStock[TTAF_Qty],T_TTAFStock[RM_Code],$A34,T_TTAFStock[WeekIndex],92),CN34+'Grid_Incoming'!CO34-'Grid_Requirement'!CO34))</f>
        <v/>
      </c>
      <c r="CP34">
        <f>IF(COUNTIFS(T_StockCount[RM_Code],$A34,T_StockCount[WeekIndex],93)&gt;0,SUMIFS(T_StockCount[CountedQty],T_StockCount[RM_Code],$A34,T_StockCount[WeekIndex],93),IF((COUNTIFS(T_SelfStock[RM_Code],$A34,T_SelfStock[WeekIndex],93)&gt;0)*(COUNTIFS(T_TTAFStock[RM_Code],$A34,T_TTAFStock[WeekIndex],93)&gt;0)&gt;0,SUMIFS(T_SelfStock[Self_Qty],T_SelfStock[RM_Code],$A34,T_SelfStock[WeekIndex],93)+SUMIFS(T_TTAFStock[TTAF_Qty],T_TTAFStock[RM_Code],$A34,T_TTAFStock[WeekIndex],93),CO34+'Grid_Incoming'!CP34-'Grid_Requirement'!CP34))</f>
        <v/>
      </c>
      <c r="CQ34">
        <f>IF(COUNTIFS(T_StockCount[RM_Code],$A34,T_StockCount[WeekIndex],94)&gt;0,SUMIFS(T_StockCount[CountedQty],T_StockCount[RM_Code],$A34,T_StockCount[WeekIndex],94),IF((COUNTIFS(T_SelfStock[RM_Code],$A34,T_SelfStock[WeekIndex],94)&gt;0)*(COUNTIFS(T_TTAFStock[RM_Code],$A34,T_TTAFStock[WeekIndex],94)&gt;0)&gt;0,SUMIFS(T_SelfStock[Self_Qty],T_SelfStock[RM_Code],$A34,T_SelfStock[WeekIndex],94)+SUMIFS(T_TTAFStock[TTAF_Qty],T_TTAFStock[RM_Code],$A34,T_TTAFStock[WeekIndex],94),CP34+'Grid_Incoming'!CQ34-'Grid_Requirement'!CQ34))</f>
        <v/>
      </c>
      <c r="CR34">
        <f>IF(COUNTIFS(T_StockCount[RM_Code],$A34,T_StockCount[WeekIndex],95)&gt;0,SUMIFS(T_StockCount[CountedQty],T_StockCount[RM_Code],$A34,T_StockCount[WeekIndex],95),IF((COUNTIFS(T_SelfStock[RM_Code],$A34,T_SelfStock[WeekIndex],95)&gt;0)*(COUNTIFS(T_TTAFStock[RM_Code],$A34,T_TTAFStock[WeekIndex],95)&gt;0)&gt;0,SUMIFS(T_SelfStock[Self_Qty],T_SelfStock[RM_Code],$A34,T_SelfStock[WeekIndex],95)+SUMIFS(T_TTAFStock[TTAF_Qty],T_TTAFStock[RM_Code],$A34,T_TTAFStock[WeekIndex],95),CQ34+'Grid_Incoming'!CR34-'Grid_Requirement'!CR34))</f>
        <v/>
      </c>
      <c r="CS34">
        <f>IF(COUNTIFS(T_StockCount[RM_Code],$A34,T_StockCount[WeekIndex],96)&gt;0,SUMIFS(T_StockCount[CountedQty],T_StockCount[RM_Code],$A34,T_StockCount[WeekIndex],96),IF((COUNTIFS(T_SelfStock[RM_Code],$A34,T_SelfStock[WeekIndex],96)&gt;0)*(COUNTIFS(T_TTAFStock[RM_Code],$A34,T_TTAFStock[WeekIndex],96)&gt;0)&gt;0,SUMIFS(T_SelfStock[Self_Qty],T_SelfStock[RM_Code],$A34,T_SelfStock[WeekIndex],96)+SUMIFS(T_TTAFStock[TTAF_Qty],T_TTAFStock[RM_Code],$A34,T_TTAFStock[WeekIndex],96),CR34+'Grid_Incoming'!CS34-'Grid_Requirement'!CS34))</f>
        <v/>
      </c>
      <c r="CT34">
        <f>IF(COUNTIFS(T_StockCount[RM_Code],$A34,T_StockCount[WeekIndex],97)&gt;0,SUMIFS(T_StockCount[CountedQty],T_StockCount[RM_Code],$A34,T_StockCount[WeekIndex],97),IF((COUNTIFS(T_SelfStock[RM_Code],$A34,T_SelfStock[WeekIndex],97)&gt;0)*(COUNTIFS(T_TTAFStock[RM_Code],$A34,T_TTAFStock[WeekIndex],97)&gt;0)&gt;0,SUMIFS(T_SelfStock[Self_Qty],T_SelfStock[RM_Code],$A34,T_SelfStock[WeekIndex],97)+SUMIFS(T_TTAFStock[TTAF_Qty],T_TTAFStock[RM_Code],$A34,T_TTAFStock[WeekIndex],97),CS34+'Grid_Incoming'!CT34-'Grid_Requirement'!CT34))</f>
        <v/>
      </c>
      <c r="CU34">
        <f>IF(COUNTIFS(T_StockCount[RM_Code],$A34,T_StockCount[WeekIndex],98)&gt;0,SUMIFS(T_StockCount[CountedQty],T_StockCount[RM_Code],$A34,T_StockCount[WeekIndex],98),IF((COUNTIFS(T_SelfStock[RM_Code],$A34,T_SelfStock[WeekIndex],98)&gt;0)*(COUNTIFS(T_TTAFStock[RM_Code],$A34,T_TTAFStock[WeekIndex],98)&gt;0)&gt;0,SUMIFS(T_SelfStock[Self_Qty],T_SelfStock[RM_Code],$A34,T_SelfStock[WeekIndex],98)+SUMIFS(T_TTAFStock[TTAF_Qty],T_TTAFStock[RM_Code],$A34,T_TTAFStock[WeekIndex],98),CT34+'Grid_Incoming'!CU34-'Grid_Requirement'!CU34))</f>
        <v/>
      </c>
      <c r="CV34">
        <f>IF(COUNTIFS(T_StockCount[RM_Code],$A34,T_StockCount[WeekIndex],99)&gt;0,SUMIFS(T_StockCount[CountedQty],T_StockCount[RM_Code],$A34,T_StockCount[WeekIndex],99),IF((COUNTIFS(T_SelfStock[RM_Code],$A34,T_SelfStock[WeekIndex],99)&gt;0)*(COUNTIFS(T_TTAFStock[RM_Code],$A34,T_TTAFStock[WeekIndex],99)&gt;0)&gt;0,SUMIFS(T_SelfStock[Self_Qty],T_SelfStock[RM_Code],$A34,T_SelfStock[WeekIndex],99)+SUMIFS(T_TTAFStock[TTAF_Qty],T_TTAFStock[RM_Code],$A34,T_TTAFStock[WeekIndex],99),CU34+'Grid_Incoming'!CV34-'Grid_Requirement'!CV34))</f>
        <v/>
      </c>
      <c r="CW34">
        <f>IF(COUNTIFS(T_StockCount[RM_Code],$A34,T_StockCount[WeekIndex],100)&gt;0,SUMIFS(T_StockCount[CountedQty],T_StockCount[RM_Code],$A34,T_StockCount[WeekIndex],100),IF((COUNTIFS(T_SelfStock[RM_Code],$A34,T_SelfStock[WeekIndex],100)&gt;0)*(COUNTIFS(T_TTAFStock[RM_Code],$A34,T_TTAFStock[WeekIndex],100)&gt;0)&gt;0,SUMIFS(T_SelfStock[Self_Qty],T_SelfStock[RM_Code],$A34,T_SelfStock[WeekIndex],100)+SUMIFS(T_TTAFStock[TTAF_Qty],T_TTAFStock[RM_Code],$A34,T_TTAFStock[WeekIndex],100),CV34+'Grid_Incoming'!CW34-'Grid_Requirement'!CW34))</f>
        <v/>
      </c>
      <c r="CX34">
        <f>IF(COUNTIFS(T_StockCount[RM_Code],$A34,T_StockCount[WeekIndex],101)&gt;0,SUMIFS(T_StockCount[CountedQty],T_StockCount[RM_Code],$A34,T_StockCount[WeekIndex],101),IF((COUNTIFS(T_SelfStock[RM_Code],$A34,T_SelfStock[WeekIndex],101)&gt;0)*(COUNTIFS(T_TTAFStock[RM_Code],$A34,T_TTAFStock[WeekIndex],101)&gt;0)&gt;0,SUMIFS(T_SelfStock[Self_Qty],T_SelfStock[RM_Code],$A34,T_SelfStock[WeekIndex],101)+SUMIFS(T_TTAFStock[TTAF_Qty],T_TTAFStock[RM_Code],$A34,T_TTAFStock[WeekIndex],101),CW34+'Grid_Incoming'!CX34-'Grid_Requirement'!CX34))</f>
        <v/>
      </c>
      <c r="CY34">
        <f>IF(COUNTIFS(T_StockCount[RM_Code],$A34,T_StockCount[WeekIndex],102)&gt;0,SUMIFS(T_StockCount[CountedQty],T_StockCount[RM_Code],$A34,T_StockCount[WeekIndex],102),IF((COUNTIFS(T_SelfStock[RM_Code],$A34,T_SelfStock[WeekIndex],102)&gt;0)*(COUNTIFS(T_TTAFStock[RM_Code],$A34,T_TTAFStock[WeekIndex],102)&gt;0)&gt;0,SUMIFS(T_SelfStock[Self_Qty],T_SelfStock[RM_Code],$A34,T_SelfStock[WeekIndex],102)+SUMIFS(T_TTAFStock[TTAF_Qty],T_TTAFStock[RM_Code],$A34,T_TTAFStock[WeekIndex],102),CX34+'Grid_Incoming'!CY34-'Grid_Requirement'!CY34))</f>
        <v/>
      </c>
      <c r="CZ34">
        <f>IF(COUNTIFS(T_StockCount[RM_Code],$A34,T_StockCount[WeekIndex],103)&gt;0,SUMIFS(T_StockCount[CountedQty],T_StockCount[RM_Code],$A34,T_StockCount[WeekIndex],103),IF((COUNTIFS(T_SelfStock[RM_Code],$A34,T_SelfStock[WeekIndex],103)&gt;0)*(COUNTIFS(T_TTAFStock[RM_Code],$A34,T_TTAFStock[WeekIndex],103)&gt;0)&gt;0,SUMIFS(T_SelfStock[Self_Qty],T_SelfStock[RM_Code],$A34,T_SelfStock[WeekIndex],103)+SUMIFS(T_TTAFStock[TTAF_Qty],T_TTAFStock[RM_Code],$A34,T_TTAFStock[WeekIndex],103),CY34+'Grid_Incoming'!CZ34-'Grid_Requirement'!CZ34))</f>
        <v/>
      </c>
      <c r="DA34">
        <f>IF(COUNTIFS(T_StockCount[RM_Code],$A34,T_StockCount[WeekIndex],104)&gt;0,SUMIFS(T_StockCount[CountedQty],T_StockCount[RM_Code],$A34,T_StockCount[WeekIndex],104),IF((COUNTIFS(T_SelfStock[RM_Code],$A34,T_SelfStock[WeekIndex],104)&gt;0)*(COUNTIFS(T_TTAFStock[RM_Code],$A34,T_TTAFStock[WeekIndex],104)&gt;0)&gt;0,SUMIFS(T_SelfStock[Self_Qty],T_SelfStock[RM_Code],$A34,T_SelfStock[WeekIndex],104)+SUMIFS(T_TTAFStock[TTAF_Qty],T_TTAFStock[RM_Code],$A34,T_TTAFStock[WeekIndex],104),CZ34+'Grid_Incoming'!DA34-'Grid_Requirement'!DA34))</f>
        <v/>
      </c>
    </row>
    <row r="35">
      <c r="A35" t="inlineStr">
        <is>
          <t>CHEM-1830</t>
        </is>
      </c>
      <c r="B35">
        <f>IF(COUNTIFS(T_StockCount[RM_Code],$A35,T_StockCount[WeekIndex],1)&gt;0,SUMIFS(T_StockCount[CountedQty],T_StockCount[RM_Code],$A35,T_StockCount[WeekIndex],1),IF((COUNTIFS(T_SelfStock[RM_Code],$A35,T_SelfStock[WeekIndex],1)&gt;0)*(COUNTIFS(T_TTAFStock[RM_Code],$A35,T_TTAFStock[WeekIndex],1)&gt;0)&gt;0,SUMIFS(T_SelfStock[Self_Qty],T_SelfStock[RM_Code],$A35,T_SelfStock[WeekIndex],1)+SUMIFS(T_TTAFStock[TTAF_Qty],T_TTAFStock[RM_Code],$A35,T_TTAFStock[WeekIndex],1),IFERROR(INDEX(T_OpeningStock[Opening_Qty],MATCH($A35,T_OpeningStock[RM_Code],0)),0)+'Grid_Incoming'!B35-'Grid_Requirement'!B35))</f>
        <v/>
      </c>
      <c r="C35">
        <f>IF(COUNTIFS(T_StockCount[RM_Code],$A35,T_StockCount[WeekIndex],2)&gt;0,SUMIFS(T_StockCount[CountedQty],T_StockCount[RM_Code],$A35,T_StockCount[WeekIndex],2),IF((COUNTIFS(T_SelfStock[RM_Code],$A35,T_SelfStock[WeekIndex],2)&gt;0)*(COUNTIFS(T_TTAFStock[RM_Code],$A35,T_TTAFStock[WeekIndex],2)&gt;0)&gt;0,SUMIFS(T_SelfStock[Self_Qty],T_SelfStock[RM_Code],$A35,T_SelfStock[WeekIndex],2)+SUMIFS(T_TTAFStock[TTAF_Qty],T_TTAFStock[RM_Code],$A35,T_TTAFStock[WeekIndex],2),B35+'Grid_Incoming'!C35-'Grid_Requirement'!C35))</f>
        <v/>
      </c>
      <c r="D35">
        <f>IF(COUNTIFS(T_StockCount[RM_Code],$A35,T_StockCount[WeekIndex],3)&gt;0,SUMIFS(T_StockCount[CountedQty],T_StockCount[RM_Code],$A35,T_StockCount[WeekIndex],3),IF((COUNTIFS(T_SelfStock[RM_Code],$A35,T_SelfStock[WeekIndex],3)&gt;0)*(COUNTIFS(T_TTAFStock[RM_Code],$A35,T_TTAFStock[WeekIndex],3)&gt;0)&gt;0,SUMIFS(T_SelfStock[Self_Qty],T_SelfStock[RM_Code],$A35,T_SelfStock[WeekIndex],3)+SUMIFS(T_TTAFStock[TTAF_Qty],T_TTAFStock[RM_Code],$A35,T_TTAFStock[WeekIndex],3),C35+'Grid_Incoming'!D35-'Grid_Requirement'!D35))</f>
        <v/>
      </c>
      <c r="E35">
        <f>IF(COUNTIFS(T_StockCount[RM_Code],$A35,T_StockCount[WeekIndex],4)&gt;0,SUMIFS(T_StockCount[CountedQty],T_StockCount[RM_Code],$A35,T_StockCount[WeekIndex],4),IF((COUNTIFS(T_SelfStock[RM_Code],$A35,T_SelfStock[WeekIndex],4)&gt;0)*(COUNTIFS(T_TTAFStock[RM_Code],$A35,T_TTAFStock[WeekIndex],4)&gt;0)&gt;0,SUMIFS(T_SelfStock[Self_Qty],T_SelfStock[RM_Code],$A35,T_SelfStock[WeekIndex],4)+SUMIFS(T_TTAFStock[TTAF_Qty],T_TTAFStock[RM_Code],$A35,T_TTAFStock[WeekIndex],4),D35+'Grid_Incoming'!E35-'Grid_Requirement'!E35))</f>
        <v/>
      </c>
      <c r="F35">
        <f>IF(COUNTIFS(T_StockCount[RM_Code],$A35,T_StockCount[WeekIndex],5)&gt;0,SUMIFS(T_StockCount[CountedQty],T_StockCount[RM_Code],$A35,T_StockCount[WeekIndex],5),IF((COUNTIFS(T_SelfStock[RM_Code],$A35,T_SelfStock[WeekIndex],5)&gt;0)*(COUNTIFS(T_TTAFStock[RM_Code],$A35,T_TTAFStock[WeekIndex],5)&gt;0)&gt;0,SUMIFS(T_SelfStock[Self_Qty],T_SelfStock[RM_Code],$A35,T_SelfStock[WeekIndex],5)+SUMIFS(T_TTAFStock[TTAF_Qty],T_TTAFStock[RM_Code],$A35,T_TTAFStock[WeekIndex],5),E35+'Grid_Incoming'!F35-'Grid_Requirement'!F35))</f>
        <v/>
      </c>
      <c r="G35">
        <f>IF(COUNTIFS(T_StockCount[RM_Code],$A35,T_StockCount[WeekIndex],6)&gt;0,SUMIFS(T_StockCount[CountedQty],T_StockCount[RM_Code],$A35,T_StockCount[WeekIndex],6),IF((COUNTIFS(T_SelfStock[RM_Code],$A35,T_SelfStock[WeekIndex],6)&gt;0)*(COUNTIFS(T_TTAFStock[RM_Code],$A35,T_TTAFStock[WeekIndex],6)&gt;0)&gt;0,SUMIFS(T_SelfStock[Self_Qty],T_SelfStock[RM_Code],$A35,T_SelfStock[WeekIndex],6)+SUMIFS(T_TTAFStock[TTAF_Qty],T_TTAFStock[RM_Code],$A35,T_TTAFStock[WeekIndex],6),F35+'Grid_Incoming'!G35-'Grid_Requirement'!G35))</f>
        <v/>
      </c>
      <c r="H35">
        <f>IF(COUNTIFS(T_StockCount[RM_Code],$A35,T_StockCount[WeekIndex],7)&gt;0,SUMIFS(T_StockCount[CountedQty],T_StockCount[RM_Code],$A35,T_StockCount[WeekIndex],7),IF((COUNTIFS(T_SelfStock[RM_Code],$A35,T_SelfStock[WeekIndex],7)&gt;0)*(COUNTIFS(T_TTAFStock[RM_Code],$A35,T_TTAFStock[WeekIndex],7)&gt;0)&gt;0,SUMIFS(T_SelfStock[Self_Qty],T_SelfStock[RM_Code],$A35,T_SelfStock[WeekIndex],7)+SUMIFS(T_TTAFStock[TTAF_Qty],T_TTAFStock[RM_Code],$A35,T_TTAFStock[WeekIndex],7),G35+'Grid_Incoming'!H35-'Grid_Requirement'!H35))</f>
        <v/>
      </c>
      <c r="I35">
        <f>IF(COUNTIFS(T_StockCount[RM_Code],$A35,T_StockCount[WeekIndex],8)&gt;0,SUMIFS(T_StockCount[CountedQty],T_StockCount[RM_Code],$A35,T_StockCount[WeekIndex],8),IF((COUNTIFS(T_SelfStock[RM_Code],$A35,T_SelfStock[WeekIndex],8)&gt;0)*(COUNTIFS(T_TTAFStock[RM_Code],$A35,T_TTAFStock[WeekIndex],8)&gt;0)&gt;0,SUMIFS(T_SelfStock[Self_Qty],T_SelfStock[RM_Code],$A35,T_SelfStock[WeekIndex],8)+SUMIFS(T_TTAFStock[TTAF_Qty],T_TTAFStock[RM_Code],$A35,T_TTAFStock[WeekIndex],8),H35+'Grid_Incoming'!I35-'Grid_Requirement'!I35))</f>
        <v/>
      </c>
      <c r="J35">
        <f>IF(COUNTIFS(T_StockCount[RM_Code],$A35,T_StockCount[WeekIndex],9)&gt;0,SUMIFS(T_StockCount[CountedQty],T_StockCount[RM_Code],$A35,T_StockCount[WeekIndex],9),IF((COUNTIFS(T_SelfStock[RM_Code],$A35,T_SelfStock[WeekIndex],9)&gt;0)*(COUNTIFS(T_TTAFStock[RM_Code],$A35,T_TTAFStock[WeekIndex],9)&gt;0)&gt;0,SUMIFS(T_SelfStock[Self_Qty],T_SelfStock[RM_Code],$A35,T_SelfStock[WeekIndex],9)+SUMIFS(T_TTAFStock[TTAF_Qty],T_TTAFStock[RM_Code],$A35,T_TTAFStock[WeekIndex],9),I35+'Grid_Incoming'!J35-'Grid_Requirement'!J35))</f>
        <v/>
      </c>
      <c r="K35">
        <f>IF(COUNTIFS(T_StockCount[RM_Code],$A35,T_StockCount[WeekIndex],10)&gt;0,SUMIFS(T_StockCount[CountedQty],T_StockCount[RM_Code],$A35,T_StockCount[WeekIndex],10),IF((COUNTIFS(T_SelfStock[RM_Code],$A35,T_SelfStock[WeekIndex],10)&gt;0)*(COUNTIFS(T_TTAFStock[RM_Code],$A35,T_TTAFStock[WeekIndex],10)&gt;0)&gt;0,SUMIFS(T_SelfStock[Self_Qty],T_SelfStock[RM_Code],$A35,T_SelfStock[WeekIndex],10)+SUMIFS(T_TTAFStock[TTAF_Qty],T_TTAFStock[RM_Code],$A35,T_TTAFStock[WeekIndex],10),J35+'Grid_Incoming'!K35-'Grid_Requirement'!K35))</f>
        <v/>
      </c>
      <c r="L35">
        <f>IF(COUNTIFS(T_StockCount[RM_Code],$A35,T_StockCount[WeekIndex],11)&gt;0,SUMIFS(T_StockCount[CountedQty],T_StockCount[RM_Code],$A35,T_StockCount[WeekIndex],11),IF((COUNTIFS(T_SelfStock[RM_Code],$A35,T_SelfStock[WeekIndex],11)&gt;0)*(COUNTIFS(T_TTAFStock[RM_Code],$A35,T_TTAFStock[WeekIndex],11)&gt;0)&gt;0,SUMIFS(T_SelfStock[Self_Qty],T_SelfStock[RM_Code],$A35,T_SelfStock[WeekIndex],11)+SUMIFS(T_TTAFStock[TTAF_Qty],T_TTAFStock[RM_Code],$A35,T_TTAFStock[WeekIndex],11),K35+'Grid_Incoming'!L35-'Grid_Requirement'!L35))</f>
        <v/>
      </c>
      <c r="M35">
        <f>IF(COUNTIFS(T_StockCount[RM_Code],$A35,T_StockCount[WeekIndex],12)&gt;0,SUMIFS(T_StockCount[CountedQty],T_StockCount[RM_Code],$A35,T_StockCount[WeekIndex],12),IF((COUNTIFS(T_SelfStock[RM_Code],$A35,T_SelfStock[WeekIndex],12)&gt;0)*(COUNTIFS(T_TTAFStock[RM_Code],$A35,T_TTAFStock[WeekIndex],12)&gt;0)&gt;0,SUMIFS(T_SelfStock[Self_Qty],T_SelfStock[RM_Code],$A35,T_SelfStock[WeekIndex],12)+SUMIFS(T_TTAFStock[TTAF_Qty],T_TTAFStock[RM_Code],$A35,T_TTAFStock[WeekIndex],12),L35+'Grid_Incoming'!M35-'Grid_Requirement'!M35))</f>
        <v/>
      </c>
      <c r="N35">
        <f>IF(COUNTIFS(T_StockCount[RM_Code],$A35,T_StockCount[WeekIndex],13)&gt;0,SUMIFS(T_StockCount[CountedQty],T_StockCount[RM_Code],$A35,T_StockCount[WeekIndex],13),IF((COUNTIFS(T_SelfStock[RM_Code],$A35,T_SelfStock[WeekIndex],13)&gt;0)*(COUNTIFS(T_TTAFStock[RM_Code],$A35,T_TTAFStock[WeekIndex],13)&gt;0)&gt;0,SUMIFS(T_SelfStock[Self_Qty],T_SelfStock[RM_Code],$A35,T_SelfStock[WeekIndex],13)+SUMIFS(T_TTAFStock[TTAF_Qty],T_TTAFStock[RM_Code],$A35,T_TTAFStock[WeekIndex],13),M35+'Grid_Incoming'!N35-'Grid_Requirement'!N35))</f>
        <v/>
      </c>
      <c r="O35">
        <f>IF(COUNTIFS(T_StockCount[RM_Code],$A35,T_StockCount[WeekIndex],14)&gt;0,SUMIFS(T_StockCount[CountedQty],T_StockCount[RM_Code],$A35,T_StockCount[WeekIndex],14),IF((COUNTIFS(T_SelfStock[RM_Code],$A35,T_SelfStock[WeekIndex],14)&gt;0)*(COUNTIFS(T_TTAFStock[RM_Code],$A35,T_TTAFStock[WeekIndex],14)&gt;0)&gt;0,SUMIFS(T_SelfStock[Self_Qty],T_SelfStock[RM_Code],$A35,T_SelfStock[WeekIndex],14)+SUMIFS(T_TTAFStock[TTAF_Qty],T_TTAFStock[RM_Code],$A35,T_TTAFStock[WeekIndex],14),N35+'Grid_Incoming'!O35-'Grid_Requirement'!O35))</f>
        <v/>
      </c>
      <c r="P35">
        <f>IF(COUNTIFS(T_StockCount[RM_Code],$A35,T_StockCount[WeekIndex],15)&gt;0,SUMIFS(T_StockCount[CountedQty],T_StockCount[RM_Code],$A35,T_StockCount[WeekIndex],15),IF((COUNTIFS(T_SelfStock[RM_Code],$A35,T_SelfStock[WeekIndex],15)&gt;0)*(COUNTIFS(T_TTAFStock[RM_Code],$A35,T_TTAFStock[WeekIndex],15)&gt;0)&gt;0,SUMIFS(T_SelfStock[Self_Qty],T_SelfStock[RM_Code],$A35,T_SelfStock[WeekIndex],15)+SUMIFS(T_TTAFStock[TTAF_Qty],T_TTAFStock[RM_Code],$A35,T_TTAFStock[WeekIndex],15),O35+'Grid_Incoming'!P35-'Grid_Requirement'!P35))</f>
        <v/>
      </c>
      <c r="Q35">
        <f>IF(COUNTIFS(T_StockCount[RM_Code],$A35,T_StockCount[WeekIndex],16)&gt;0,SUMIFS(T_StockCount[CountedQty],T_StockCount[RM_Code],$A35,T_StockCount[WeekIndex],16),IF((COUNTIFS(T_SelfStock[RM_Code],$A35,T_SelfStock[WeekIndex],16)&gt;0)*(COUNTIFS(T_TTAFStock[RM_Code],$A35,T_TTAFStock[WeekIndex],16)&gt;0)&gt;0,SUMIFS(T_SelfStock[Self_Qty],T_SelfStock[RM_Code],$A35,T_SelfStock[WeekIndex],16)+SUMIFS(T_TTAFStock[TTAF_Qty],T_TTAFStock[RM_Code],$A35,T_TTAFStock[WeekIndex],16),P35+'Grid_Incoming'!Q35-'Grid_Requirement'!Q35))</f>
        <v/>
      </c>
      <c r="R35">
        <f>IF(COUNTIFS(T_StockCount[RM_Code],$A35,T_StockCount[WeekIndex],17)&gt;0,SUMIFS(T_StockCount[CountedQty],T_StockCount[RM_Code],$A35,T_StockCount[WeekIndex],17),IF((COUNTIFS(T_SelfStock[RM_Code],$A35,T_SelfStock[WeekIndex],17)&gt;0)*(COUNTIFS(T_TTAFStock[RM_Code],$A35,T_TTAFStock[WeekIndex],17)&gt;0)&gt;0,SUMIFS(T_SelfStock[Self_Qty],T_SelfStock[RM_Code],$A35,T_SelfStock[WeekIndex],17)+SUMIFS(T_TTAFStock[TTAF_Qty],T_TTAFStock[RM_Code],$A35,T_TTAFStock[WeekIndex],17),Q35+'Grid_Incoming'!R35-'Grid_Requirement'!R35))</f>
        <v/>
      </c>
      <c r="S35">
        <f>IF(COUNTIFS(T_StockCount[RM_Code],$A35,T_StockCount[WeekIndex],18)&gt;0,SUMIFS(T_StockCount[CountedQty],T_StockCount[RM_Code],$A35,T_StockCount[WeekIndex],18),IF((COUNTIFS(T_SelfStock[RM_Code],$A35,T_SelfStock[WeekIndex],18)&gt;0)*(COUNTIFS(T_TTAFStock[RM_Code],$A35,T_TTAFStock[WeekIndex],18)&gt;0)&gt;0,SUMIFS(T_SelfStock[Self_Qty],T_SelfStock[RM_Code],$A35,T_SelfStock[WeekIndex],18)+SUMIFS(T_TTAFStock[TTAF_Qty],T_TTAFStock[RM_Code],$A35,T_TTAFStock[WeekIndex],18),R35+'Grid_Incoming'!S35-'Grid_Requirement'!S35))</f>
        <v/>
      </c>
      <c r="T35">
        <f>IF(COUNTIFS(T_StockCount[RM_Code],$A35,T_StockCount[WeekIndex],19)&gt;0,SUMIFS(T_StockCount[CountedQty],T_StockCount[RM_Code],$A35,T_StockCount[WeekIndex],19),IF((COUNTIFS(T_SelfStock[RM_Code],$A35,T_SelfStock[WeekIndex],19)&gt;0)*(COUNTIFS(T_TTAFStock[RM_Code],$A35,T_TTAFStock[WeekIndex],19)&gt;0)&gt;0,SUMIFS(T_SelfStock[Self_Qty],T_SelfStock[RM_Code],$A35,T_SelfStock[WeekIndex],19)+SUMIFS(T_TTAFStock[TTAF_Qty],T_TTAFStock[RM_Code],$A35,T_TTAFStock[WeekIndex],19),S35+'Grid_Incoming'!T35-'Grid_Requirement'!T35))</f>
        <v/>
      </c>
      <c r="U35">
        <f>IF(COUNTIFS(T_StockCount[RM_Code],$A35,T_StockCount[WeekIndex],20)&gt;0,SUMIFS(T_StockCount[CountedQty],T_StockCount[RM_Code],$A35,T_StockCount[WeekIndex],20),IF((COUNTIFS(T_SelfStock[RM_Code],$A35,T_SelfStock[WeekIndex],20)&gt;0)*(COUNTIFS(T_TTAFStock[RM_Code],$A35,T_TTAFStock[WeekIndex],20)&gt;0)&gt;0,SUMIFS(T_SelfStock[Self_Qty],T_SelfStock[RM_Code],$A35,T_SelfStock[WeekIndex],20)+SUMIFS(T_TTAFStock[TTAF_Qty],T_TTAFStock[RM_Code],$A35,T_TTAFStock[WeekIndex],20),T35+'Grid_Incoming'!U35-'Grid_Requirement'!U35))</f>
        <v/>
      </c>
      <c r="V35">
        <f>IF(COUNTIFS(T_StockCount[RM_Code],$A35,T_StockCount[WeekIndex],21)&gt;0,SUMIFS(T_StockCount[CountedQty],T_StockCount[RM_Code],$A35,T_StockCount[WeekIndex],21),IF((COUNTIFS(T_SelfStock[RM_Code],$A35,T_SelfStock[WeekIndex],21)&gt;0)*(COUNTIFS(T_TTAFStock[RM_Code],$A35,T_TTAFStock[WeekIndex],21)&gt;0)&gt;0,SUMIFS(T_SelfStock[Self_Qty],T_SelfStock[RM_Code],$A35,T_SelfStock[WeekIndex],21)+SUMIFS(T_TTAFStock[TTAF_Qty],T_TTAFStock[RM_Code],$A35,T_TTAFStock[WeekIndex],21),U35+'Grid_Incoming'!V35-'Grid_Requirement'!V35))</f>
        <v/>
      </c>
      <c r="W35">
        <f>IF(COUNTIFS(T_StockCount[RM_Code],$A35,T_StockCount[WeekIndex],22)&gt;0,SUMIFS(T_StockCount[CountedQty],T_StockCount[RM_Code],$A35,T_StockCount[WeekIndex],22),IF((COUNTIFS(T_SelfStock[RM_Code],$A35,T_SelfStock[WeekIndex],22)&gt;0)*(COUNTIFS(T_TTAFStock[RM_Code],$A35,T_TTAFStock[WeekIndex],22)&gt;0)&gt;0,SUMIFS(T_SelfStock[Self_Qty],T_SelfStock[RM_Code],$A35,T_SelfStock[WeekIndex],22)+SUMIFS(T_TTAFStock[TTAF_Qty],T_TTAFStock[RM_Code],$A35,T_TTAFStock[WeekIndex],22),V35+'Grid_Incoming'!W35-'Grid_Requirement'!W35))</f>
        <v/>
      </c>
      <c r="X35">
        <f>IF(COUNTIFS(T_StockCount[RM_Code],$A35,T_StockCount[WeekIndex],23)&gt;0,SUMIFS(T_StockCount[CountedQty],T_StockCount[RM_Code],$A35,T_StockCount[WeekIndex],23),IF((COUNTIFS(T_SelfStock[RM_Code],$A35,T_SelfStock[WeekIndex],23)&gt;0)*(COUNTIFS(T_TTAFStock[RM_Code],$A35,T_TTAFStock[WeekIndex],23)&gt;0)&gt;0,SUMIFS(T_SelfStock[Self_Qty],T_SelfStock[RM_Code],$A35,T_SelfStock[WeekIndex],23)+SUMIFS(T_TTAFStock[TTAF_Qty],T_TTAFStock[RM_Code],$A35,T_TTAFStock[WeekIndex],23),W35+'Grid_Incoming'!X35-'Grid_Requirement'!X35))</f>
        <v/>
      </c>
      <c r="Y35">
        <f>IF(COUNTIFS(T_StockCount[RM_Code],$A35,T_StockCount[WeekIndex],24)&gt;0,SUMIFS(T_StockCount[CountedQty],T_StockCount[RM_Code],$A35,T_StockCount[WeekIndex],24),IF((COUNTIFS(T_SelfStock[RM_Code],$A35,T_SelfStock[WeekIndex],24)&gt;0)*(COUNTIFS(T_TTAFStock[RM_Code],$A35,T_TTAFStock[WeekIndex],24)&gt;0)&gt;0,SUMIFS(T_SelfStock[Self_Qty],T_SelfStock[RM_Code],$A35,T_SelfStock[WeekIndex],24)+SUMIFS(T_TTAFStock[TTAF_Qty],T_TTAFStock[RM_Code],$A35,T_TTAFStock[WeekIndex],24),X35+'Grid_Incoming'!Y35-'Grid_Requirement'!Y35))</f>
        <v/>
      </c>
      <c r="Z35">
        <f>IF(COUNTIFS(T_StockCount[RM_Code],$A35,T_StockCount[WeekIndex],25)&gt;0,SUMIFS(T_StockCount[CountedQty],T_StockCount[RM_Code],$A35,T_StockCount[WeekIndex],25),IF((COUNTIFS(T_SelfStock[RM_Code],$A35,T_SelfStock[WeekIndex],25)&gt;0)*(COUNTIFS(T_TTAFStock[RM_Code],$A35,T_TTAFStock[WeekIndex],25)&gt;0)&gt;0,SUMIFS(T_SelfStock[Self_Qty],T_SelfStock[RM_Code],$A35,T_SelfStock[WeekIndex],25)+SUMIFS(T_TTAFStock[TTAF_Qty],T_TTAFStock[RM_Code],$A35,T_TTAFStock[WeekIndex],25),Y35+'Grid_Incoming'!Z35-'Grid_Requirement'!Z35))</f>
        <v/>
      </c>
      <c r="AA35">
        <f>IF(COUNTIFS(T_StockCount[RM_Code],$A35,T_StockCount[WeekIndex],26)&gt;0,SUMIFS(T_StockCount[CountedQty],T_StockCount[RM_Code],$A35,T_StockCount[WeekIndex],26),IF((COUNTIFS(T_SelfStock[RM_Code],$A35,T_SelfStock[WeekIndex],26)&gt;0)*(COUNTIFS(T_TTAFStock[RM_Code],$A35,T_TTAFStock[WeekIndex],26)&gt;0)&gt;0,SUMIFS(T_SelfStock[Self_Qty],T_SelfStock[RM_Code],$A35,T_SelfStock[WeekIndex],26)+SUMIFS(T_TTAFStock[TTAF_Qty],T_TTAFStock[RM_Code],$A35,T_TTAFStock[WeekIndex],26),Z35+'Grid_Incoming'!AA35-'Grid_Requirement'!AA35))</f>
        <v/>
      </c>
      <c r="AB35">
        <f>IF(COUNTIFS(T_StockCount[RM_Code],$A35,T_StockCount[WeekIndex],27)&gt;0,SUMIFS(T_StockCount[CountedQty],T_StockCount[RM_Code],$A35,T_StockCount[WeekIndex],27),IF((COUNTIFS(T_SelfStock[RM_Code],$A35,T_SelfStock[WeekIndex],27)&gt;0)*(COUNTIFS(T_TTAFStock[RM_Code],$A35,T_TTAFStock[WeekIndex],27)&gt;0)&gt;0,SUMIFS(T_SelfStock[Self_Qty],T_SelfStock[RM_Code],$A35,T_SelfStock[WeekIndex],27)+SUMIFS(T_TTAFStock[TTAF_Qty],T_TTAFStock[RM_Code],$A35,T_TTAFStock[WeekIndex],27),AA35+'Grid_Incoming'!AB35-'Grid_Requirement'!AB35))</f>
        <v/>
      </c>
      <c r="AC35">
        <f>IF(COUNTIFS(T_StockCount[RM_Code],$A35,T_StockCount[WeekIndex],28)&gt;0,SUMIFS(T_StockCount[CountedQty],T_StockCount[RM_Code],$A35,T_StockCount[WeekIndex],28),IF((COUNTIFS(T_SelfStock[RM_Code],$A35,T_SelfStock[WeekIndex],28)&gt;0)*(COUNTIFS(T_TTAFStock[RM_Code],$A35,T_TTAFStock[WeekIndex],28)&gt;0)&gt;0,SUMIFS(T_SelfStock[Self_Qty],T_SelfStock[RM_Code],$A35,T_SelfStock[WeekIndex],28)+SUMIFS(T_TTAFStock[TTAF_Qty],T_TTAFStock[RM_Code],$A35,T_TTAFStock[WeekIndex],28),AB35+'Grid_Incoming'!AC35-'Grid_Requirement'!AC35))</f>
        <v/>
      </c>
      <c r="AD35">
        <f>IF(COUNTIFS(T_StockCount[RM_Code],$A35,T_StockCount[WeekIndex],29)&gt;0,SUMIFS(T_StockCount[CountedQty],T_StockCount[RM_Code],$A35,T_StockCount[WeekIndex],29),IF((COUNTIFS(T_SelfStock[RM_Code],$A35,T_SelfStock[WeekIndex],29)&gt;0)*(COUNTIFS(T_TTAFStock[RM_Code],$A35,T_TTAFStock[WeekIndex],29)&gt;0)&gt;0,SUMIFS(T_SelfStock[Self_Qty],T_SelfStock[RM_Code],$A35,T_SelfStock[WeekIndex],29)+SUMIFS(T_TTAFStock[TTAF_Qty],T_TTAFStock[RM_Code],$A35,T_TTAFStock[WeekIndex],29),AC35+'Grid_Incoming'!AD35-'Grid_Requirement'!AD35))</f>
        <v/>
      </c>
      <c r="AE35">
        <f>IF(COUNTIFS(T_StockCount[RM_Code],$A35,T_StockCount[WeekIndex],30)&gt;0,SUMIFS(T_StockCount[CountedQty],T_StockCount[RM_Code],$A35,T_StockCount[WeekIndex],30),IF((COUNTIFS(T_SelfStock[RM_Code],$A35,T_SelfStock[WeekIndex],30)&gt;0)*(COUNTIFS(T_TTAFStock[RM_Code],$A35,T_TTAFStock[WeekIndex],30)&gt;0)&gt;0,SUMIFS(T_SelfStock[Self_Qty],T_SelfStock[RM_Code],$A35,T_SelfStock[WeekIndex],30)+SUMIFS(T_TTAFStock[TTAF_Qty],T_TTAFStock[RM_Code],$A35,T_TTAFStock[WeekIndex],30),AD35+'Grid_Incoming'!AE35-'Grid_Requirement'!AE35))</f>
        <v/>
      </c>
      <c r="AF35">
        <f>IF(COUNTIFS(T_StockCount[RM_Code],$A35,T_StockCount[WeekIndex],31)&gt;0,SUMIFS(T_StockCount[CountedQty],T_StockCount[RM_Code],$A35,T_StockCount[WeekIndex],31),IF((COUNTIFS(T_SelfStock[RM_Code],$A35,T_SelfStock[WeekIndex],31)&gt;0)*(COUNTIFS(T_TTAFStock[RM_Code],$A35,T_TTAFStock[WeekIndex],31)&gt;0)&gt;0,SUMIFS(T_SelfStock[Self_Qty],T_SelfStock[RM_Code],$A35,T_SelfStock[WeekIndex],31)+SUMIFS(T_TTAFStock[TTAF_Qty],T_TTAFStock[RM_Code],$A35,T_TTAFStock[WeekIndex],31),AE35+'Grid_Incoming'!AF35-'Grid_Requirement'!AF35))</f>
        <v/>
      </c>
      <c r="AG35">
        <f>IF(COUNTIFS(T_StockCount[RM_Code],$A35,T_StockCount[WeekIndex],32)&gt;0,SUMIFS(T_StockCount[CountedQty],T_StockCount[RM_Code],$A35,T_StockCount[WeekIndex],32),IF((COUNTIFS(T_SelfStock[RM_Code],$A35,T_SelfStock[WeekIndex],32)&gt;0)*(COUNTIFS(T_TTAFStock[RM_Code],$A35,T_TTAFStock[WeekIndex],32)&gt;0)&gt;0,SUMIFS(T_SelfStock[Self_Qty],T_SelfStock[RM_Code],$A35,T_SelfStock[WeekIndex],32)+SUMIFS(T_TTAFStock[TTAF_Qty],T_TTAFStock[RM_Code],$A35,T_TTAFStock[WeekIndex],32),AF35+'Grid_Incoming'!AG35-'Grid_Requirement'!AG35))</f>
        <v/>
      </c>
      <c r="AH35">
        <f>IF(COUNTIFS(T_StockCount[RM_Code],$A35,T_StockCount[WeekIndex],33)&gt;0,SUMIFS(T_StockCount[CountedQty],T_StockCount[RM_Code],$A35,T_StockCount[WeekIndex],33),IF((COUNTIFS(T_SelfStock[RM_Code],$A35,T_SelfStock[WeekIndex],33)&gt;0)*(COUNTIFS(T_TTAFStock[RM_Code],$A35,T_TTAFStock[WeekIndex],33)&gt;0)&gt;0,SUMIFS(T_SelfStock[Self_Qty],T_SelfStock[RM_Code],$A35,T_SelfStock[WeekIndex],33)+SUMIFS(T_TTAFStock[TTAF_Qty],T_TTAFStock[RM_Code],$A35,T_TTAFStock[WeekIndex],33),AG35+'Grid_Incoming'!AH35-'Grid_Requirement'!AH35))</f>
        <v/>
      </c>
      <c r="AI35">
        <f>IF(COUNTIFS(T_StockCount[RM_Code],$A35,T_StockCount[WeekIndex],34)&gt;0,SUMIFS(T_StockCount[CountedQty],T_StockCount[RM_Code],$A35,T_StockCount[WeekIndex],34),IF((COUNTIFS(T_SelfStock[RM_Code],$A35,T_SelfStock[WeekIndex],34)&gt;0)*(COUNTIFS(T_TTAFStock[RM_Code],$A35,T_TTAFStock[WeekIndex],34)&gt;0)&gt;0,SUMIFS(T_SelfStock[Self_Qty],T_SelfStock[RM_Code],$A35,T_SelfStock[WeekIndex],34)+SUMIFS(T_TTAFStock[TTAF_Qty],T_TTAFStock[RM_Code],$A35,T_TTAFStock[WeekIndex],34),AH35+'Grid_Incoming'!AI35-'Grid_Requirement'!AI35))</f>
        <v/>
      </c>
      <c r="AJ35">
        <f>IF(COUNTIFS(T_StockCount[RM_Code],$A35,T_StockCount[WeekIndex],35)&gt;0,SUMIFS(T_StockCount[CountedQty],T_StockCount[RM_Code],$A35,T_StockCount[WeekIndex],35),IF((COUNTIFS(T_SelfStock[RM_Code],$A35,T_SelfStock[WeekIndex],35)&gt;0)*(COUNTIFS(T_TTAFStock[RM_Code],$A35,T_TTAFStock[WeekIndex],35)&gt;0)&gt;0,SUMIFS(T_SelfStock[Self_Qty],T_SelfStock[RM_Code],$A35,T_SelfStock[WeekIndex],35)+SUMIFS(T_TTAFStock[TTAF_Qty],T_TTAFStock[RM_Code],$A35,T_TTAFStock[WeekIndex],35),AI35+'Grid_Incoming'!AJ35-'Grid_Requirement'!AJ35))</f>
        <v/>
      </c>
      <c r="AK35">
        <f>IF(COUNTIFS(T_StockCount[RM_Code],$A35,T_StockCount[WeekIndex],36)&gt;0,SUMIFS(T_StockCount[CountedQty],T_StockCount[RM_Code],$A35,T_StockCount[WeekIndex],36),IF((COUNTIFS(T_SelfStock[RM_Code],$A35,T_SelfStock[WeekIndex],36)&gt;0)*(COUNTIFS(T_TTAFStock[RM_Code],$A35,T_TTAFStock[WeekIndex],36)&gt;0)&gt;0,SUMIFS(T_SelfStock[Self_Qty],T_SelfStock[RM_Code],$A35,T_SelfStock[WeekIndex],36)+SUMIFS(T_TTAFStock[TTAF_Qty],T_TTAFStock[RM_Code],$A35,T_TTAFStock[WeekIndex],36),AJ35+'Grid_Incoming'!AK35-'Grid_Requirement'!AK35))</f>
        <v/>
      </c>
      <c r="AL35">
        <f>IF(COUNTIFS(T_StockCount[RM_Code],$A35,T_StockCount[WeekIndex],37)&gt;0,SUMIFS(T_StockCount[CountedQty],T_StockCount[RM_Code],$A35,T_StockCount[WeekIndex],37),IF((COUNTIFS(T_SelfStock[RM_Code],$A35,T_SelfStock[WeekIndex],37)&gt;0)*(COUNTIFS(T_TTAFStock[RM_Code],$A35,T_TTAFStock[WeekIndex],37)&gt;0)&gt;0,SUMIFS(T_SelfStock[Self_Qty],T_SelfStock[RM_Code],$A35,T_SelfStock[WeekIndex],37)+SUMIFS(T_TTAFStock[TTAF_Qty],T_TTAFStock[RM_Code],$A35,T_TTAFStock[WeekIndex],37),AK35+'Grid_Incoming'!AL35-'Grid_Requirement'!AL35))</f>
        <v/>
      </c>
      <c r="AM35">
        <f>IF(COUNTIFS(T_StockCount[RM_Code],$A35,T_StockCount[WeekIndex],38)&gt;0,SUMIFS(T_StockCount[CountedQty],T_StockCount[RM_Code],$A35,T_StockCount[WeekIndex],38),IF((COUNTIFS(T_SelfStock[RM_Code],$A35,T_SelfStock[WeekIndex],38)&gt;0)*(COUNTIFS(T_TTAFStock[RM_Code],$A35,T_TTAFStock[WeekIndex],38)&gt;0)&gt;0,SUMIFS(T_SelfStock[Self_Qty],T_SelfStock[RM_Code],$A35,T_SelfStock[WeekIndex],38)+SUMIFS(T_TTAFStock[TTAF_Qty],T_TTAFStock[RM_Code],$A35,T_TTAFStock[WeekIndex],38),AL35+'Grid_Incoming'!AM35-'Grid_Requirement'!AM35))</f>
        <v/>
      </c>
      <c r="AN35">
        <f>IF(COUNTIFS(T_StockCount[RM_Code],$A35,T_StockCount[WeekIndex],39)&gt;0,SUMIFS(T_StockCount[CountedQty],T_StockCount[RM_Code],$A35,T_StockCount[WeekIndex],39),IF((COUNTIFS(T_SelfStock[RM_Code],$A35,T_SelfStock[WeekIndex],39)&gt;0)*(COUNTIFS(T_TTAFStock[RM_Code],$A35,T_TTAFStock[WeekIndex],39)&gt;0)&gt;0,SUMIFS(T_SelfStock[Self_Qty],T_SelfStock[RM_Code],$A35,T_SelfStock[WeekIndex],39)+SUMIFS(T_TTAFStock[TTAF_Qty],T_TTAFStock[RM_Code],$A35,T_TTAFStock[WeekIndex],39),AM35+'Grid_Incoming'!AN35-'Grid_Requirement'!AN35))</f>
        <v/>
      </c>
      <c r="AO35">
        <f>IF(COUNTIFS(T_StockCount[RM_Code],$A35,T_StockCount[WeekIndex],40)&gt;0,SUMIFS(T_StockCount[CountedQty],T_StockCount[RM_Code],$A35,T_StockCount[WeekIndex],40),IF((COUNTIFS(T_SelfStock[RM_Code],$A35,T_SelfStock[WeekIndex],40)&gt;0)*(COUNTIFS(T_TTAFStock[RM_Code],$A35,T_TTAFStock[WeekIndex],40)&gt;0)&gt;0,SUMIFS(T_SelfStock[Self_Qty],T_SelfStock[RM_Code],$A35,T_SelfStock[WeekIndex],40)+SUMIFS(T_TTAFStock[TTAF_Qty],T_TTAFStock[RM_Code],$A35,T_TTAFStock[WeekIndex],40),AN35+'Grid_Incoming'!AO35-'Grid_Requirement'!AO35))</f>
        <v/>
      </c>
      <c r="AP35">
        <f>IF(COUNTIFS(T_StockCount[RM_Code],$A35,T_StockCount[WeekIndex],41)&gt;0,SUMIFS(T_StockCount[CountedQty],T_StockCount[RM_Code],$A35,T_StockCount[WeekIndex],41),IF((COUNTIFS(T_SelfStock[RM_Code],$A35,T_SelfStock[WeekIndex],41)&gt;0)*(COUNTIFS(T_TTAFStock[RM_Code],$A35,T_TTAFStock[WeekIndex],41)&gt;0)&gt;0,SUMIFS(T_SelfStock[Self_Qty],T_SelfStock[RM_Code],$A35,T_SelfStock[WeekIndex],41)+SUMIFS(T_TTAFStock[TTAF_Qty],T_TTAFStock[RM_Code],$A35,T_TTAFStock[WeekIndex],41),AO35+'Grid_Incoming'!AP35-'Grid_Requirement'!AP35))</f>
        <v/>
      </c>
      <c r="AQ35">
        <f>IF(COUNTIFS(T_StockCount[RM_Code],$A35,T_StockCount[WeekIndex],42)&gt;0,SUMIFS(T_StockCount[CountedQty],T_StockCount[RM_Code],$A35,T_StockCount[WeekIndex],42),IF((COUNTIFS(T_SelfStock[RM_Code],$A35,T_SelfStock[WeekIndex],42)&gt;0)*(COUNTIFS(T_TTAFStock[RM_Code],$A35,T_TTAFStock[WeekIndex],42)&gt;0)&gt;0,SUMIFS(T_SelfStock[Self_Qty],T_SelfStock[RM_Code],$A35,T_SelfStock[WeekIndex],42)+SUMIFS(T_TTAFStock[TTAF_Qty],T_TTAFStock[RM_Code],$A35,T_TTAFStock[WeekIndex],42),AP35+'Grid_Incoming'!AQ35-'Grid_Requirement'!AQ35))</f>
        <v/>
      </c>
      <c r="AR35">
        <f>IF(COUNTIFS(T_StockCount[RM_Code],$A35,T_StockCount[WeekIndex],43)&gt;0,SUMIFS(T_StockCount[CountedQty],T_StockCount[RM_Code],$A35,T_StockCount[WeekIndex],43),IF((COUNTIFS(T_SelfStock[RM_Code],$A35,T_SelfStock[WeekIndex],43)&gt;0)*(COUNTIFS(T_TTAFStock[RM_Code],$A35,T_TTAFStock[WeekIndex],43)&gt;0)&gt;0,SUMIFS(T_SelfStock[Self_Qty],T_SelfStock[RM_Code],$A35,T_SelfStock[WeekIndex],43)+SUMIFS(T_TTAFStock[TTAF_Qty],T_TTAFStock[RM_Code],$A35,T_TTAFStock[WeekIndex],43),AQ35+'Grid_Incoming'!AR35-'Grid_Requirement'!AR35))</f>
        <v/>
      </c>
      <c r="AS35">
        <f>IF(COUNTIFS(T_StockCount[RM_Code],$A35,T_StockCount[WeekIndex],44)&gt;0,SUMIFS(T_StockCount[CountedQty],T_StockCount[RM_Code],$A35,T_StockCount[WeekIndex],44),IF((COUNTIFS(T_SelfStock[RM_Code],$A35,T_SelfStock[WeekIndex],44)&gt;0)*(COUNTIFS(T_TTAFStock[RM_Code],$A35,T_TTAFStock[WeekIndex],44)&gt;0)&gt;0,SUMIFS(T_SelfStock[Self_Qty],T_SelfStock[RM_Code],$A35,T_SelfStock[WeekIndex],44)+SUMIFS(T_TTAFStock[TTAF_Qty],T_TTAFStock[RM_Code],$A35,T_TTAFStock[WeekIndex],44),AR35+'Grid_Incoming'!AS35-'Grid_Requirement'!AS35))</f>
        <v/>
      </c>
      <c r="AT35">
        <f>IF(COUNTIFS(T_StockCount[RM_Code],$A35,T_StockCount[WeekIndex],45)&gt;0,SUMIFS(T_StockCount[CountedQty],T_StockCount[RM_Code],$A35,T_StockCount[WeekIndex],45),IF((COUNTIFS(T_SelfStock[RM_Code],$A35,T_SelfStock[WeekIndex],45)&gt;0)*(COUNTIFS(T_TTAFStock[RM_Code],$A35,T_TTAFStock[WeekIndex],45)&gt;0)&gt;0,SUMIFS(T_SelfStock[Self_Qty],T_SelfStock[RM_Code],$A35,T_SelfStock[WeekIndex],45)+SUMIFS(T_TTAFStock[TTAF_Qty],T_TTAFStock[RM_Code],$A35,T_TTAFStock[WeekIndex],45),AS35+'Grid_Incoming'!AT35-'Grid_Requirement'!AT35))</f>
        <v/>
      </c>
      <c r="AU35">
        <f>IF(COUNTIFS(T_StockCount[RM_Code],$A35,T_StockCount[WeekIndex],46)&gt;0,SUMIFS(T_StockCount[CountedQty],T_StockCount[RM_Code],$A35,T_StockCount[WeekIndex],46),IF((COUNTIFS(T_SelfStock[RM_Code],$A35,T_SelfStock[WeekIndex],46)&gt;0)*(COUNTIFS(T_TTAFStock[RM_Code],$A35,T_TTAFStock[WeekIndex],46)&gt;0)&gt;0,SUMIFS(T_SelfStock[Self_Qty],T_SelfStock[RM_Code],$A35,T_SelfStock[WeekIndex],46)+SUMIFS(T_TTAFStock[TTAF_Qty],T_TTAFStock[RM_Code],$A35,T_TTAFStock[WeekIndex],46),AT35+'Grid_Incoming'!AU35-'Grid_Requirement'!AU35))</f>
        <v/>
      </c>
      <c r="AV35">
        <f>IF(COUNTIFS(T_StockCount[RM_Code],$A35,T_StockCount[WeekIndex],47)&gt;0,SUMIFS(T_StockCount[CountedQty],T_StockCount[RM_Code],$A35,T_StockCount[WeekIndex],47),IF((COUNTIFS(T_SelfStock[RM_Code],$A35,T_SelfStock[WeekIndex],47)&gt;0)*(COUNTIFS(T_TTAFStock[RM_Code],$A35,T_TTAFStock[WeekIndex],47)&gt;0)&gt;0,SUMIFS(T_SelfStock[Self_Qty],T_SelfStock[RM_Code],$A35,T_SelfStock[WeekIndex],47)+SUMIFS(T_TTAFStock[TTAF_Qty],T_TTAFStock[RM_Code],$A35,T_TTAFStock[WeekIndex],47),AU35+'Grid_Incoming'!AV35-'Grid_Requirement'!AV35))</f>
        <v/>
      </c>
      <c r="AW35">
        <f>IF(COUNTIFS(T_StockCount[RM_Code],$A35,T_StockCount[WeekIndex],48)&gt;0,SUMIFS(T_StockCount[CountedQty],T_StockCount[RM_Code],$A35,T_StockCount[WeekIndex],48),IF((COUNTIFS(T_SelfStock[RM_Code],$A35,T_SelfStock[WeekIndex],48)&gt;0)*(COUNTIFS(T_TTAFStock[RM_Code],$A35,T_TTAFStock[WeekIndex],48)&gt;0)&gt;0,SUMIFS(T_SelfStock[Self_Qty],T_SelfStock[RM_Code],$A35,T_SelfStock[WeekIndex],48)+SUMIFS(T_TTAFStock[TTAF_Qty],T_TTAFStock[RM_Code],$A35,T_TTAFStock[WeekIndex],48),AV35+'Grid_Incoming'!AW35-'Grid_Requirement'!AW35))</f>
        <v/>
      </c>
      <c r="AX35">
        <f>IF(COUNTIFS(T_StockCount[RM_Code],$A35,T_StockCount[WeekIndex],49)&gt;0,SUMIFS(T_StockCount[CountedQty],T_StockCount[RM_Code],$A35,T_StockCount[WeekIndex],49),IF((COUNTIFS(T_SelfStock[RM_Code],$A35,T_SelfStock[WeekIndex],49)&gt;0)*(COUNTIFS(T_TTAFStock[RM_Code],$A35,T_TTAFStock[WeekIndex],49)&gt;0)&gt;0,SUMIFS(T_SelfStock[Self_Qty],T_SelfStock[RM_Code],$A35,T_SelfStock[WeekIndex],49)+SUMIFS(T_TTAFStock[TTAF_Qty],T_TTAFStock[RM_Code],$A35,T_TTAFStock[WeekIndex],49),AW35+'Grid_Incoming'!AX35-'Grid_Requirement'!AX35))</f>
        <v/>
      </c>
      <c r="AY35">
        <f>IF(COUNTIFS(T_StockCount[RM_Code],$A35,T_StockCount[WeekIndex],50)&gt;0,SUMIFS(T_StockCount[CountedQty],T_StockCount[RM_Code],$A35,T_StockCount[WeekIndex],50),IF((COUNTIFS(T_SelfStock[RM_Code],$A35,T_SelfStock[WeekIndex],50)&gt;0)*(COUNTIFS(T_TTAFStock[RM_Code],$A35,T_TTAFStock[WeekIndex],50)&gt;0)&gt;0,SUMIFS(T_SelfStock[Self_Qty],T_SelfStock[RM_Code],$A35,T_SelfStock[WeekIndex],50)+SUMIFS(T_TTAFStock[TTAF_Qty],T_TTAFStock[RM_Code],$A35,T_TTAFStock[WeekIndex],50),AX35+'Grid_Incoming'!AY35-'Grid_Requirement'!AY35))</f>
        <v/>
      </c>
      <c r="AZ35">
        <f>IF(COUNTIFS(T_StockCount[RM_Code],$A35,T_StockCount[WeekIndex],51)&gt;0,SUMIFS(T_StockCount[CountedQty],T_StockCount[RM_Code],$A35,T_StockCount[WeekIndex],51),IF((COUNTIFS(T_SelfStock[RM_Code],$A35,T_SelfStock[WeekIndex],51)&gt;0)*(COUNTIFS(T_TTAFStock[RM_Code],$A35,T_TTAFStock[WeekIndex],51)&gt;0)&gt;0,SUMIFS(T_SelfStock[Self_Qty],T_SelfStock[RM_Code],$A35,T_SelfStock[WeekIndex],51)+SUMIFS(T_TTAFStock[TTAF_Qty],T_TTAFStock[RM_Code],$A35,T_TTAFStock[WeekIndex],51),AY35+'Grid_Incoming'!AZ35-'Grid_Requirement'!AZ35))</f>
        <v/>
      </c>
      <c r="BA35">
        <f>IF(COUNTIFS(T_StockCount[RM_Code],$A35,T_StockCount[WeekIndex],52)&gt;0,SUMIFS(T_StockCount[CountedQty],T_StockCount[RM_Code],$A35,T_StockCount[WeekIndex],52),IF((COUNTIFS(T_SelfStock[RM_Code],$A35,T_SelfStock[WeekIndex],52)&gt;0)*(COUNTIFS(T_TTAFStock[RM_Code],$A35,T_TTAFStock[WeekIndex],52)&gt;0)&gt;0,SUMIFS(T_SelfStock[Self_Qty],T_SelfStock[RM_Code],$A35,T_SelfStock[WeekIndex],52)+SUMIFS(T_TTAFStock[TTAF_Qty],T_TTAFStock[RM_Code],$A35,T_TTAFStock[WeekIndex],52),AZ35+'Grid_Incoming'!BA35-'Grid_Requirement'!BA35))</f>
        <v/>
      </c>
      <c r="BB35">
        <f>IF(COUNTIFS(T_StockCount[RM_Code],$A35,T_StockCount[WeekIndex],53)&gt;0,SUMIFS(T_StockCount[CountedQty],T_StockCount[RM_Code],$A35,T_StockCount[WeekIndex],53),IF((COUNTIFS(T_SelfStock[RM_Code],$A35,T_SelfStock[WeekIndex],53)&gt;0)*(COUNTIFS(T_TTAFStock[RM_Code],$A35,T_TTAFStock[WeekIndex],53)&gt;0)&gt;0,SUMIFS(T_SelfStock[Self_Qty],T_SelfStock[RM_Code],$A35,T_SelfStock[WeekIndex],53)+SUMIFS(T_TTAFStock[TTAF_Qty],T_TTAFStock[RM_Code],$A35,T_TTAFStock[WeekIndex],53),BA35+'Grid_Incoming'!BB35-'Grid_Requirement'!BB35))</f>
        <v/>
      </c>
      <c r="BC35">
        <f>IF(COUNTIFS(T_StockCount[RM_Code],$A35,T_StockCount[WeekIndex],54)&gt;0,SUMIFS(T_StockCount[CountedQty],T_StockCount[RM_Code],$A35,T_StockCount[WeekIndex],54),IF((COUNTIFS(T_SelfStock[RM_Code],$A35,T_SelfStock[WeekIndex],54)&gt;0)*(COUNTIFS(T_TTAFStock[RM_Code],$A35,T_TTAFStock[WeekIndex],54)&gt;0)&gt;0,SUMIFS(T_SelfStock[Self_Qty],T_SelfStock[RM_Code],$A35,T_SelfStock[WeekIndex],54)+SUMIFS(T_TTAFStock[TTAF_Qty],T_TTAFStock[RM_Code],$A35,T_TTAFStock[WeekIndex],54),BB35+'Grid_Incoming'!BC35-'Grid_Requirement'!BC35))</f>
        <v/>
      </c>
      <c r="BD35">
        <f>IF(COUNTIFS(T_StockCount[RM_Code],$A35,T_StockCount[WeekIndex],55)&gt;0,SUMIFS(T_StockCount[CountedQty],T_StockCount[RM_Code],$A35,T_StockCount[WeekIndex],55),IF((COUNTIFS(T_SelfStock[RM_Code],$A35,T_SelfStock[WeekIndex],55)&gt;0)*(COUNTIFS(T_TTAFStock[RM_Code],$A35,T_TTAFStock[WeekIndex],55)&gt;0)&gt;0,SUMIFS(T_SelfStock[Self_Qty],T_SelfStock[RM_Code],$A35,T_SelfStock[WeekIndex],55)+SUMIFS(T_TTAFStock[TTAF_Qty],T_TTAFStock[RM_Code],$A35,T_TTAFStock[WeekIndex],55),BC35+'Grid_Incoming'!BD35-'Grid_Requirement'!BD35))</f>
        <v/>
      </c>
      <c r="BE35">
        <f>IF(COUNTIFS(T_StockCount[RM_Code],$A35,T_StockCount[WeekIndex],56)&gt;0,SUMIFS(T_StockCount[CountedQty],T_StockCount[RM_Code],$A35,T_StockCount[WeekIndex],56),IF((COUNTIFS(T_SelfStock[RM_Code],$A35,T_SelfStock[WeekIndex],56)&gt;0)*(COUNTIFS(T_TTAFStock[RM_Code],$A35,T_TTAFStock[WeekIndex],56)&gt;0)&gt;0,SUMIFS(T_SelfStock[Self_Qty],T_SelfStock[RM_Code],$A35,T_SelfStock[WeekIndex],56)+SUMIFS(T_TTAFStock[TTAF_Qty],T_TTAFStock[RM_Code],$A35,T_TTAFStock[WeekIndex],56),BD35+'Grid_Incoming'!BE35-'Grid_Requirement'!BE35))</f>
        <v/>
      </c>
      <c r="BF35">
        <f>IF(COUNTIFS(T_StockCount[RM_Code],$A35,T_StockCount[WeekIndex],57)&gt;0,SUMIFS(T_StockCount[CountedQty],T_StockCount[RM_Code],$A35,T_StockCount[WeekIndex],57),IF((COUNTIFS(T_SelfStock[RM_Code],$A35,T_SelfStock[WeekIndex],57)&gt;0)*(COUNTIFS(T_TTAFStock[RM_Code],$A35,T_TTAFStock[WeekIndex],57)&gt;0)&gt;0,SUMIFS(T_SelfStock[Self_Qty],T_SelfStock[RM_Code],$A35,T_SelfStock[WeekIndex],57)+SUMIFS(T_TTAFStock[TTAF_Qty],T_TTAFStock[RM_Code],$A35,T_TTAFStock[WeekIndex],57),BE35+'Grid_Incoming'!BF35-'Grid_Requirement'!BF35))</f>
        <v/>
      </c>
      <c r="BG35">
        <f>IF(COUNTIFS(T_StockCount[RM_Code],$A35,T_StockCount[WeekIndex],58)&gt;0,SUMIFS(T_StockCount[CountedQty],T_StockCount[RM_Code],$A35,T_StockCount[WeekIndex],58),IF((COUNTIFS(T_SelfStock[RM_Code],$A35,T_SelfStock[WeekIndex],58)&gt;0)*(COUNTIFS(T_TTAFStock[RM_Code],$A35,T_TTAFStock[WeekIndex],58)&gt;0)&gt;0,SUMIFS(T_SelfStock[Self_Qty],T_SelfStock[RM_Code],$A35,T_SelfStock[WeekIndex],58)+SUMIFS(T_TTAFStock[TTAF_Qty],T_TTAFStock[RM_Code],$A35,T_TTAFStock[WeekIndex],58),BF35+'Grid_Incoming'!BG35-'Grid_Requirement'!BG35))</f>
        <v/>
      </c>
      <c r="BH35">
        <f>IF(COUNTIFS(T_StockCount[RM_Code],$A35,T_StockCount[WeekIndex],59)&gt;0,SUMIFS(T_StockCount[CountedQty],T_StockCount[RM_Code],$A35,T_StockCount[WeekIndex],59),IF((COUNTIFS(T_SelfStock[RM_Code],$A35,T_SelfStock[WeekIndex],59)&gt;0)*(COUNTIFS(T_TTAFStock[RM_Code],$A35,T_TTAFStock[WeekIndex],59)&gt;0)&gt;0,SUMIFS(T_SelfStock[Self_Qty],T_SelfStock[RM_Code],$A35,T_SelfStock[WeekIndex],59)+SUMIFS(T_TTAFStock[TTAF_Qty],T_TTAFStock[RM_Code],$A35,T_TTAFStock[WeekIndex],59),BG35+'Grid_Incoming'!BH35-'Grid_Requirement'!BH35))</f>
        <v/>
      </c>
      <c r="BI35">
        <f>IF(COUNTIFS(T_StockCount[RM_Code],$A35,T_StockCount[WeekIndex],60)&gt;0,SUMIFS(T_StockCount[CountedQty],T_StockCount[RM_Code],$A35,T_StockCount[WeekIndex],60),IF((COUNTIFS(T_SelfStock[RM_Code],$A35,T_SelfStock[WeekIndex],60)&gt;0)*(COUNTIFS(T_TTAFStock[RM_Code],$A35,T_TTAFStock[WeekIndex],60)&gt;0)&gt;0,SUMIFS(T_SelfStock[Self_Qty],T_SelfStock[RM_Code],$A35,T_SelfStock[WeekIndex],60)+SUMIFS(T_TTAFStock[TTAF_Qty],T_TTAFStock[RM_Code],$A35,T_TTAFStock[WeekIndex],60),BH35+'Grid_Incoming'!BI35-'Grid_Requirement'!BI35))</f>
        <v/>
      </c>
      <c r="BJ35">
        <f>IF(COUNTIFS(T_StockCount[RM_Code],$A35,T_StockCount[WeekIndex],61)&gt;0,SUMIFS(T_StockCount[CountedQty],T_StockCount[RM_Code],$A35,T_StockCount[WeekIndex],61),IF((COUNTIFS(T_SelfStock[RM_Code],$A35,T_SelfStock[WeekIndex],61)&gt;0)*(COUNTIFS(T_TTAFStock[RM_Code],$A35,T_TTAFStock[WeekIndex],61)&gt;0)&gt;0,SUMIFS(T_SelfStock[Self_Qty],T_SelfStock[RM_Code],$A35,T_SelfStock[WeekIndex],61)+SUMIFS(T_TTAFStock[TTAF_Qty],T_TTAFStock[RM_Code],$A35,T_TTAFStock[WeekIndex],61),BI35+'Grid_Incoming'!BJ35-'Grid_Requirement'!BJ35))</f>
        <v/>
      </c>
      <c r="BK35">
        <f>IF(COUNTIFS(T_StockCount[RM_Code],$A35,T_StockCount[WeekIndex],62)&gt;0,SUMIFS(T_StockCount[CountedQty],T_StockCount[RM_Code],$A35,T_StockCount[WeekIndex],62),IF((COUNTIFS(T_SelfStock[RM_Code],$A35,T_SelfStock[WeekIndex],62)&gt;0)*(COUNTIFS(T_TTAFStock[RM_Code],$A35,T_TTAFStock[WeekIndex],62)&gt;0)&gt;0,SUMIFS(T_SelfStock[Self_Qty],T_SelfStock[RM_Code],$A35,T_SelfStock[WeekIndex],62)+SUMIFS(T_TTAFStock[TTAF_Qty],T_TTAFStock[RM_Code],$A35,T_TTAFStock[WeekIndex],62),BJ35+'Grid_Incoming'!BK35-'Grid_Requirement'!BK35))</f>
        <v/>
      </c>
      <c r="BL35">
        <f>IF(COUNTIFS(T_StockCount[RM_Code],$A35,T_StockCount[WeekIndex],63)&gt;0,SUMIFS(T_StockCount[CountedQty],T_StockCount[RM_Code],$A35,T_StockCount[WeekIndex],63),IF((COUNTIFS(T_SelfStock[RM_Code],$A35,T_SelfStock[WeekIndex],63)&gt;0)*(COUNTIFS(T_TTAFStock[RM_Code],$A35,T_TTAFStock[WeekIndex],63)&gt;0)&gt;0,SUMIFS(T_SelfStock[Self_Qty],T_SelfStock[RM_Code],$A35,T_SelfStock[WeekIndex],63)+SUMIFS(T_TTAFStock[TTAF_Qty],T_TTAFStock[RM_Code],$A35,T_TTAFStock[WeekIndex],63),BK35+'Grid_Incoming'!BL35-'Grid_Requirement'!BL35))</f>
        <v/>
      </c>
      <c r="BM35">
        <f>IF(COUNTIFS(T_StockCount[RM_Code],$A35,T_StockCount[WeekIndex],64)&gt;0,SUMIFS(T_StockCount[CountedQty],T_StockCount[RM_Code],$A35,T_StockCount[WeekIndex],64),IF((COUNTIFS(T_SelfStock[RM_Code],$A35,T_SelfStock[WeekIndex],64)&gt;0)*(COUNTIFS(T_TTAFStock[RM_Code],$A35,T_TTAFStock[WeekIndex],64)&gt;0)&gt;0,SUMIFS(T_SelfStock[Self_Qty],T_SelfStock[RM_Code],$A35,T_SelfStock[WeekIndex],64)+SUMIFS(T_TTAFStock[TTAF_Qty],T_TTAFStock[RM_Code],$A35,T_TTAFStock[WeekIndex],64),BL35+'Grid_Incoming'!BM35-'Grid_Requirement'!BM35))</f>
        <v/>
      </c>
      <c r="BN35">
        <f>IF(COUNTIFS(T_StockCount[RM_Code],$A35,T_StockCount[WeekIndex],65)&gt;0,SUMIFS(T_StockCount[CountedQty],T_StockCount[RM_Code],$A35,T_StockCount[WeekIndex],65),IF((COUNTIFS(T_SelfStock[RM_Code],$A35,T_SelfStock[WeekIndex],65)&gt;0)*(COUNTIFS(T_TTAFStock[RM_Code],$A35,T_TTAFStock[WeekIndex],65)&gt;0)&gt;0,SUMIFS(T_SelfStock[Self_Qty],T_SelfStock[RM_Code],$A35,T_SelfStock[WeekIndex],65)+SUMIFS(T_TTAFStock[TTAF_Qty],T_TTAFStock[RM_Code],$A35,T_TTAFStock[WeekIndex],65),BM35+'Grid_Incoming'!BN35-'Grid_Requirement'!BN35))</f>
        <v/>
      </c>
      <c r="BO35">
        <f>IF(COUNTIFS(T_StockCount[RM_Code],$A35,T_StockCount[WeekIndex],66)&gt;0,SUMIFS(T_StockCount[CountedQty],T_StockCount[RM_Code],$A35,T_StockCount[WeekIndex],66),IF((COUNTIFS(T_SelfStock[RM_Code],$A35,T_SelfStock[WeekIndex],66)&gt;0)*(COUNTIFS(T_TTAFStock[RM_Code],$A35,T_TTAFStock[WeekIndex],66)&gt;0)&gt;0,SUMIFS(T_SelfStock[Self_Qty],T_SelfStock[RM_Code],$A35,T_SelfStock[WeekIndex],66)+SUMIFS(T_TTAFStock[TTAF_Qty],T_TTAFStock[RM_Code],$A35,T_TTAFStock[WeekIndex],66),BN35+'Grid_Incoming'!BO35-'Grid_Requirement'!BO35))</f>
        <v/>
      </c>
      <c r="BP35">
        <f>IF(COUNTIFS(T_StockCount[RM_Code],$A35,T_StockCount[WeekIndex],67)&gt;0,SUMIFS(T_StockCount[CountedQty],T_StockCount[RM_Code],$A35,T_StockCount[WeekIndex],67),IF((COUNTIFS(T_SelfStock[RM_Code],$A35,T_SelfStock[WeekIndex],67)&gt;0)*(COUNTIFS(T_TTAFStock[RM_Code],$A35,T_TTAFStock[WeekIndex],67)&gt;0)&gt;0,SUMIFS(T_SelfStock[Self_Qty],T_SelfStock[RM_Code],$A35,T_SelfStock[WeekIndex],67)+SUMIFS(T_TTAFStock[TTAF_Qty],T_TTAFStock[RM_Code],$A35,T_TTAFStock[WeekIndex],67),BO35+'Grid_Incoming'!BP35-'Grid_Requirement'!BP35))</f>
        <v/>
      </c>
      <c r="BQ35">
        <f>IF(COUNTIFS(T_StockCount[RM_Code],$A35,T_StockCount[WeekIndex],68)&gt;0,SUMIFS(T_StockCount[CountedQty],T_StockCount[RM_Code],$A35,T_StockCount[WeekIndex],68),IF((COUNTIFS(T_SelfStock[RM_Code],$A35,T_SelfStock[WeekIndex],68)&gt;0)*(COUNTIFS(T_TTAFStock[RM_Code],$A35,T_TTAFStock[WeekIndex],68)&gt;0)&gt;0,SUMIFS(T_SelfStock[Self_Qty],T_SelfStock[RM_Code],$A35,T_SelfStock[WeekIndex],68)+SUMIFS(T_TTAFStock[TTAF_Qty],T_TTAFStock[RM_Code],$A35,T_TTAFStock[WeekIndex],68),BP35+'Grid_Incoming'!BQ35-'Grid_Requirement'!BQ35))</f>
        <v/>
      </c>
      <c r="BR35">
        <f>IF(COUNTIFS(T_StockCount[RM_Code],$A35,T_StockCount[WeekIndex],69)&gt;0,SUMIFS(T_StockCount[CountedQty],T_StockCount[RM_Code],$A35,T_StockCount[WeekIndex],69),IF((COUNTIFS(T_SelfStock[RM_Code],$A35,T_SelfStock[WeekIndex],69)&gt;0)*(COUNTIFS(T_TTAFStock[RM_Code],$A35,T_TTAFStock[WeekIndex],69)&gt;0)&gt;0,SUMIFS(T_SelfStock[Self_Qty],T_SelfStock[RM_Code],$A35,T_SelfStock[WeekIndex],69)+SUMIFS(T_TTAFStock[TTAF_Qty],T_TTAFStock[RM_Code],$A35,T_TTAFStock[WeekIndex],69),BQ35+'Grid_Incoming'!BR35-'Grid_Requirement'!BR35))</f>
        <v/>
      </c>
      <c r="BS35">
        <f>IF(COUNTIFS(T_StockCount[RM_Code],$A35,T_StockCount[WeekIndex],70)&gt;0,SUMIFS(T_StockCount[CountedQty],T_StockCount[RM_Code],$A35,T_StockCount[WeekIndex],70),IF((COUNTIFS(T_SelfStock[RM_Code],$A35,T_SelfStock[WeekIndex],70)&gt;0)*(COUNTIFS(T_TTAFStock[RM_Code],$A35,T_TTAFStock[WeekIndex],70)&gt;0)&gt;0,SUMIFS(T_SelfStock[Self_Qty],T_SelfStock[RM_Code],$A35,T_SelfStock[WeekIndex],70)+SUMIFS(T_TTAFStock[TTAF_Qty],T_TTAFStock[RM_Code],$A35,T_TTAFStock[WeekIndex],70),BR35+'Grid_Incoming'!BS35-'Grid_Requirement'!BS35))</f>
        <v/>
      </c>
      <c r="BT35">
        <f>IF(COUNTIFS(T_StockCount[RM_Code],$A35,T_StockCount[WeekIndex],71)&gt;0,SUMIFS(T_StockCount[CountedQty],T_StockCount[RM_Code],$A35,T_StockCount[WeekIndex],71),IF((COUNTIFS(T_SelfStock[RM_Code],$A35,T_SelfStock[WeekIndex],71)&gt;0)*(COUNTIFS(T_TTAFStock[RM_Code],$A35,T_TTAFStock[WeekIndex],71)&gt;0)&gt;0,SUMIFS(T_SelfStock[Self_Qty],T_SelfStock[RM_Code],$A35,T_SelfStock[WeekIndex],71)+SUMIFS(T_TTAFStock[TTAF_Qty],T_TTAFStock[RM_Code],$A35,T_TTAFStock[WeekIndex],71),BS35+'Grid_Incoming'!BT35-'Grid_Requirement'!BT35))</f>
        <v/>
      </c>
      <c r="BU35">
        <f>IF(COUNTIFS(T_StockCount[RM_Code],$A35,T_StockCount[WeekIndex],72)&gt;0,SUMIFS(T_StockCount[CountedQty],T_StockCount[RM_Code],$A35,T_StockCount[WeekIndex],72),IF((COUNTIFS(T_SelfStock[RM_Code],$A35,T_SelfStock[WeekIndex],72)&gt;0)*(COUNTIFS(T_TTAFStock[RM_Code],$A35,T_TTAFStock[WeekIndex],72)&gt;0)&gt;0,SUMIFS(T_SelfStock[Self_Qty],T_SelfStock[RM_Code],$A35,T_SelfStock[WeekIndex],72)+SUMIFS(T_TTAFStock[TTAF_Qty],T_TTAFStock[RM_Code],$A35,T_TTAFStock[WeekIndex],72),BT35+'Grid_Incoming'!BU35-'Grid_Requirement'!BU35))</f>
        <v/>
      </c>
      <c r="BV35">
        <f>IF(COUNTIFS(T_StockCount[RM_Code],$A35,T_StockCount[WeekIndex],73)&gt;0,SUMIFS(T_StockCount[CountedQty],T_StockCount[RM_Code],$A35,T_StockCount[WeekIndex],73),IF((COUNTIFS(T_SelfStock[RM_Code],$A35,T_SelfStock[WeekIndex],73)&gt;0)*(COUNTIFS(T_TTAFStock[RM_Code],$A35,T_TTAFStock[WeekIndex],73)&gt;0)&gt;0,SUMIFS(T_SelfStock[Self_Qty],T_SelfStock[RM_Code],$A35,T_SelfStock[WeekIndex],73)+SUMIFS(T_TTAFStock[TTAF_Qty],T_TTAFStock[RM_Code],$A35,T_TTAFStock[WeekIndex],73),BU35+'Grid_Incoming'!BV35-'Grid_Requirement'!BV35))</f>
        <v/>
      </c>
      <c r="BW35">
        <f>IF(COUNTIFS(T_StockCount[RM_Code],$A35,T_StockCount[WeekIndex],74)&gt;0,SUMIFS(T_StockCount[CountedQty],T_StockCount[RM_Code],$A35,T_StockCount[WeekIndex],74),IF((COUNTIFS(T_SelfStock[RM_Code],$A35,T_SelfStock[WeekIndex],74)&gt;0)*(COUNTIFS(T_TTAFStock[RM_Code],$A35,T_TTAFStock[WeekIndex],74)&gt;0)&gt;0,SUMIFS(T_SelfStock[Self_Qty],T_SelfStock[RM_Code],$A35,T_SelfStock[WeekIndex],74)+SUMIFS(T_TTAFStock[TTAF_Qty],T_TTAFStock[RM_Code],$A35,T_TTAFStock[WeekIndex],74),BV35+'Grid_Incoming'!BW35-'Grid_Requirement'!BW35))</f>
        <v/>
      </c>
      <c r="BX35">
        <f>IF(COUNTIFS(T_StockCount[RM_Code],$A35,T_StockCount[WeekIndex],75)&gt;0,SUMIFS(T_StockCount[CountedQty],T_StockCount[RM_Code],$A35,T_StockCount[WeekIndex],75),IF((COUNTIFS(T_SelfStock[RM_Code],$A35,T_SelfStock[WeekIndex],75)&gt;0)*(COUNTIFS(T_TTAFStock[RM_Code],$A35,T_TTAFStock[WeekIndex],75)&gt;0)&gt;0,SUMIFS(T_SelfStock[Self_Qty],T_SelfStock[RM_Code],$A35,T_SelfStock[WeekIndex],75)+SUMIFS(T_TTAFStock[TTAF_Qty],T_TTAFStock[RM_Code],$A35,T_TTAFStock[WeekIndex],75),BW35+'Grid_Incoming'!BX35-'Grid_Requirement'!BX35))</f>
        <v/>
      </c>
      <c r="BY35">
        <f>IF(COUNTIFS(T_StockCount[RM_Code],$A35,T_StockCount[WeekIndex],76)&gt;0,SUMIFS(T_StockCount[CountedQty],T_StockCount[RM_Code],$A35,T_StockCount[WeekIndex],76),IF((COUNTIFS(T_SelfStock[RM_Code],$A35,T_SelfStock[WeekIndex],76)&gt;0)*(COUNTIFS(T_TTAFStock[RM_Code],$A35,T_TTAFStock[WeekIndex],76)&gt;0)&gt;0,SUMIFS(T_SelfStock[Self_Qty],T_SelfStock[RM_Code],$A35,T_SelfStock[WeekIndex],76)+SUMIFS(T_TTAFStock[TTAF_Qty],T_TTAFStock[RM_Code],$A35,T_TTAFStock[WeekIndex],76),BX35+'Grid_Incoming'!BY35-'Grid_Requirement'!BY35))</f>
        <v/>
      </c>
      <c r="BZ35">
        <f>IF(COUNTIFS(T_StockCount[RM_Code],$A35,T_StockCount[WeekIndex],77)&gt;0,SUMIFS(T_StockCount[CountedQty],T_StockCount[RM_Code],$A35,T_StockCount[WeekIndex],77),IF((COUNTIFS(T_SelfStock[RM_Code],$A35,T_SelfStock[WeekIndex],77)&gt;0)*(COUNTIFS(T_TTAFStock[RM_Code],$A35,T_TTAFStock[WeekIndex],77)&gt;0)&gt;0,SUMIFS(T_SelfStock[Self_Qty],T_SelfStock[RM_Code],$A35,T_SelfStock[WeekIndex],77)+SUMIFS(T_TTAFStock[TTAF_Qty],T_TTAFStock[RM_Code],$A35,T_TTAFStock[WeekIndex],77),BY35+'Grid_Incoming'!BZ35-'Grid_Requirement'!BZ35))</f>
        <v/>
      </c>
      <c r="CA35">
        <f>IF(COUNTIFS(T_StockCount[RM_Code],$A35,T_StockCount[WeekIndex],78)&gt;0,SUMIFS(T_StockCount[CountedQty],T_StockCount[RM_Code],$A35,T_StockCount[WeekIndex],78),IF((COUNTIFS(T_SelfStock[RM_Code],$A35,T_SelfStock[WeekIndex],78)&gt;0)*(COUNTIFS(T_TTAFStock[RM_Code],$A35,T_TTAFStock[WeekIndex],78)&gt;0)&gt;0,SUMIFS(T_SelfStock[Self_Qty],T_SelfStock[RM_Code],$A35,T_SelfStock[WeekIndex],78)+SUMIFS(T_TTAFStock[TTAF_Qty],T_TTAFStock[RM_Code],$A35,T_TTAFStock[WeekIndex],78),BZ35+'Grid_Incoming'!CA35-'Grid_Requirement'!CA35))</f>
        <v/>
      </c>
      <c r="CB35">
        <f>IF(COUNTIFS(T_StockCount[RM_Code],$A35,T_StockCount[WeekIndex],79)&gt;0,SUMIFS(T_StockCount[CountedQty],T_StockCount[RM_Code],$A35,T_StockCount[WeekIndex],79),IF((COUNTIFS(T_SelfStock[RM_Code],$A35,T_SelfStock[WeekIndex],79)&gt;0)*(COUNTIFS(T_TTAFStock[RM_Code],$A35,T_TTAFStock[WeekIndex],79)&gt;0)&gt;0,SUMIFS(T_SelfStock[Self_Qty],T_SelfStock[RM_Code],$A35,T_SelfStock[WeekIndex],79)+SUMIFS(T_TTAFStock[TTAF_Qty],T_TTAFStock[RM_Code],$A35,T_TTAFStock[WeekIndex],79),CA35+'Grid_Incoming'!CB35-'Grid_Requirement'!CB35))</f>
        <v/>
      </c>
      <c r="CC35">
        <f>IF(COUNTIFS(T_StockCount[RM_Code],$A35,T_StockCount[WeekIndex],80)&gt;0,SUMIFS(T_StockCount[CountedQty],T_StockCount[RM_Code],$A35,T_StockCount[WeekIndex],80),IF((COUNTIFS(T_SelfStock[RM_Code],$A35,T_SelfStock[WeekIndex],80)&gt;0)*(COUNTIFS(T_TTAFStock[RM_Code],$A35,T_TTAFStock[WeekIndex],80)&gt;0)&gt;0,SUMIFS(T_SelfStock[Self_Qty],T_SelfStock[RM_Code],$A35,T_SelfStock[WeekIndex],80)+SUMIFS(T_TTAFStock[TTAF_Qty],T_TTAFStock[RM_Code],$A35,T_TTAFStock[WeekIndex],80),CB35+'Grid_Incoming'!CC35-'Grid_Requirement'!CC35))</f>
        <v/>
      </c>
      <c r="CD35">
        <f>IF(COUNTIFS(T_StockCount[RM_Code],$A35,T_StockCount[WeekIndex],81)&gt;0,SUMIFS(T_StockCount[CountedQty],T_StockCount[RM_Code],$A35,T_StockCount[WeekIndex],81),IF((COUNTIFS(T_SelfStock[RM_Code],$A35,T_SelfStock[WeekIndex],81)&gt;0)*(COUNTIFS(T_TTAFStock[RM_Code],$A35,T_TTAFStock[WeekIndex],81)&gt;0)&gt;0,SUMIFS(T_SelfStock[Self_Qty],T_SelfStock[RM_Code],$A35,T_SelfStock[WeekIndex],81)+SUMIFS(T_TTAFStock[TTAF_Qty],T_TTAFStock[RM_Code],$A35,T_TTAFStock[WeekIndex],81),CC35+'Grid_Incoming'!CD35-'Grid_Requirement'!CD35))</f>
        <v/>
      </c>
      <c r="CE35">
        <f>IF(COUNTIFS(T_StockCount[RM_Code],$A35,T_StockCount[WeekIndex],82)&gt;0,SUMIFS(T_StockCount[CountedQty],T_StockCount[RM_Code],$A35,T_StockCount[WeekIndex],82),IF((COUNTIFS(T_SelfStock[RM_Code],$A35,T_SelfStock[WeekIndex],82)&gt;0)*(COUNTIFS(T_TTAFStock[RM_Code],$A35,T_TTAFStock[WeekIndex],82)&gt;0)&gt;0,SUMIFS(T_SelfStock[Self_Qty],T_SelfStock[RM_Code],$A35,T_SelfStock[WeekIndex],82)+SUMIFS(T_TTAFStock[TTAF_Qty],T_TTAFStock[RM_Code],$A35,T_TTAFStock[WeekIndex],82),CD35+'Grid_Incoming'!CE35-'Grid_Requirement'!CE35))</f>
        <v/>
      </c>
      <c r="CF35">
        <f>IF(COUNTIFS(T_StockCount[RM_Code],$A35,T_StockCount[WeekIndex],83)&gt;0,SUMIFS(T_StockCount[CountedQty],T_StockCount[RM_Code],$A35,T_StockCount[WeekIndex],83),IF((COUNTIFS(T_SelfStock[RM_Code],$A35,T_SelfStock[WeekIndex],83)&gt;0)*(COUNTIFS(T_TTAFStock[RM_Code],$A35,T_TTAFStock[WeekIndex],83)&gt;0)&gt;0,SUMIFS(T_SelfStock[Self_Qty],T_SelfStock[RM_Code],$A35,T_SelfStock[WeekIndex],83)+SUMIFS(T_TTAFStock[TTAF_Qty],T_TTAFStock[RM_Code],$A35,T_TTAFStock[WeekIndex],83),CE35+'Grid_Incoming'!CF35-'Grid_Requirement'!CF35))</f>
        <v/>
      </c>
      <c r="CG35">
        <f>IF(COUNTIFS(T_StockCount[RM_Code],$A35,T_StockCount[WeekIndex],84)&gt;0,SUMIFS(T_StockCount[CountedQty],T_StockCount[RM_Code],$A35,T_StockCount[WeekIndex],84),IF((COUNTIFS(T_SelfStock[RM_Code],$A35,T_SelfStock[WeekIndex],84)&gt;0)*(COUNTIFS(T_TTAFStock[RM_Code],$A35,T_TTAFStock[WeekIndex],84)&gt;0)&gt;0,SUMIFS(T_SelfStock[Self_Qty],T_SelfStock[RM_Code],$A35,T_SelfStock[WeekIndex],84)+SUMIFS(T_TTAFStock[TTAF_Qty],T_TTAFStock[RM_Code],$A35,T_TTAFStock[WeekIndex],84),CF35+'Grid_Incoming'!CG35-'Grid_Requirement'!CG35))</f>
        <v/>
      </c>
      <c r="CH35">
        <f>IF(COUNTIFS(T_StockCount[RM_Code],$A35,T_StockCount[WeekIndex],85)&gt;0,SUMIFS(T_StockCount[CountedQty],T_StockCount[RM_Code],$A35,T_StockCount[WeekIndex],85),IF((COUNTIFS(T_SelfStock[RM_Code],$A35,T_SelfStock[WeekIndex],85)&gt;0)*(COUNTIFS(T_TTAFStock[RM_Code],$A35,T_TTAFStock[WeekIndex],85)&gt;0)&gt;0,SUMIFS(T_SelfStock[Self_Qty],T_SelfStock[RM_Code],$A35,T_SelfStock[WeekIndex],85)+SUMIFS(T_TTAFStock[TTAF_Qty],T_TTAFStock[RM_Code],$A35,T_TTAFStock[WeekIndex],85),CG35+'Grid_Incoming'!CH35-'Grid_Requirement'!CH35))</f>
        <v/>
      </c>
      <c r="CI35">
        <f>IF(COUNTIFS(T_StockCount[RM_Code],$A35,T_StockCount[WeekIndex],86)&gt;0,SUMIFS(T_StockCount[CountedQty],T_StockCount[RM_Code],$A35,T_StockCount[WeekIndex],86),IF((COUNTIFS(T_SelfStock[RM_Code],$A35,T_SelfStock[WeekIndex],86)&gt;0)*(COUNTIFS(T_TTAFStock[RM_Code],$A35,T_TTAFStock[WeekIndex],86)&gt;0)&gt;0,SUMIFS(T_SelfStock[Self_Qty],T_SelfStock[RM_Code],$A35,T_SelfStock[WeekIndex],86)+SUMIFS(T_TTAFStock[TTAF_Qty],T_TTAFStock[RM_Code],$A35,T_TTAFStock[WeekIndex],86),CH35+'Grid_Incoming'!CI35-'Grid_Requirement'!CI35))</f>
        <v/>
      </c>
      <c r="CJ35">
        <f>IF(COUNTIFS(T_StockCount[RM_Code],$A35,T_StockCount[WeekIndex],87)&gt;0,SUMIFS(T_StockCount[CountedQty],T_StockCount[RM_Code],$A35,T_StockCount[WeekIndex],87),IF((COUNTIFS(T_SelfStock[RM_Code],$A35,T_SelfStock[WeekIndex],87)&gt;0)*(COUNTIFS(T_TTAFStock[RM_Code],$A35,T_TTAFStock[WeekIndex],87)&gt;0)&gt;0,SUMIFS(T_SelfStock[Self_Qty],T_SelfStock[RM_Code],$A35,T_SelfStock[WeekIndex],87)+SUMIFS(T_TTAFStock[TTAF_Qty],T_TTAFStock[RM_Code],$A35,T_TTAFStock[WeekIndex],87),CI35+'Grid_Incoming'!CJ35-'Grid_Requirement'!CJ35))</f>
        <v/>
      </c>
      <c r="CK35">
        <f>IF(COUNTIFS(T_StockCount[RM_Code],$A35,T_StockCount[WeekIndex],88)&gt;0,SUMIFS(T_StockCount[CountedQty],T_StockCount[RM_Code],$A35,T_StockCount[WeekIndex],88),IF((COUNTIFS(T_SelfStock[RM_Code],$A35,T_SelfStock[WeekIndex],88)&gt;0)*(COUNTIFS(T_TTAFStock[RM_Code],$A35,T_TTAFStock[WeekIndex],88)&gt;0)&gt;0,SUMIFS(T_SelfStock[Self_Qty],T_SelfStock[RM_Code],$A35,T_SelfStock[WeekIndex],88)+SUMIFS(T_TTAFStock[TTAF_Qty],T_TTAFStock[RM_Code],$A35,T_TTAFStock[WeekIndex],88),CJ35+'Grid_Incoming'!CK35-'Grid_Requirement'!CK35))</f>
        <v/>
      </c>
      <c r="CL35">
        <f>IF(COUNTIFS(T_StockCount[RM_Code],$A35,T_StockCount[WeekIndex],89)&gt;0,SUMIFS(T_StockCount[CountedQty],T_StockCount[RM_Code],$A35,T_StockCount[WeekIndex],89),IF((COUNTIFS(T_SelfStock[RM_Code],$A35,T_SelfStock[WeekIndex],89)&gt;0)*(COUNTIFS(T_TTAFStock[RM_Code],$A35,T_TTAFStock[WeekIndex],89)&gt;0)&gt;0,SUMIFS(T_SelfStock[Self_Qty],T_SelfStock[RM_Code],$A35,T_SelfStock[WeekIndex],89)+SUMIFS(T_TTAFStock[TTAF_Qty],T_TTAFStock[RM_Code],$A35,T_TTAFStock[WeekIndex],89),CK35+'Grid_Incoming'!CL35-'Grid_Requirement'!CL35))</f>
        <v/>
      </c>
      <c r="CM35">
        <f>IF(COUNTIFS(T_StockCount[RM_Code],$A35,T_StockCount[WeekIndex],90)&gt;0,SUMIFS(T_StockCount[CountedQty],T_StockCount[RM_Code],$A35,T_StockCount[WeekIndex],90),IF((COUNTIFS(T_SelfStock[RM_Code],$A35,T_SelfStock[WeekIndex],90)&gt;0)*(COUNTIFS(T_TTAFStock[RM_Code],$A35,T_TTAFStock[WeekIndex],90)&gt;0)&gt;0,SUMIFS(T_SelfStock[Self_Qty],T_SelfStock[RM_Code],$A35,T_SelfStock[WeekIndex],90)+SUMIFS(T_TTAFStock[TTAF_Qty],T_TTAFStock[RM_Code],$A35,T_TTAFStock[WeekIndex],90),CL35+'Grid_Incoming'!CM35-'Grid_Requirement'!CM35))</f>
        <v/>
      </c>
      <c r="CN35">
        <f>IF(COUNTIFS(T_StockCount[RM_Code],$A35,T_StockCount[WeekIndex],91)&gt;0,SUMIFS(T_StockCount[CountedQty],T_StockCount[RM_Code],$A35,T_StockCount[WeekIndex],91),IF((COUNTIFS(T_SelfStock[RM_Code],$A35,T_SelfStock[WeekIndex],91)&gt;0)*(COUNTIFS(T_TTAFStock[RM_Code],$A35,T_TTAFStock[WeekIndex],91)&gt;0)&gt;0,SUMIFS(T_SelfStock[Self_Qty],T_SelfStock[RM_Code],$A35,T_SelfStock[WeekIndex],91)+SUMIFS(T_TTAFStock[TTAF_Qty],T_TTAFStock[RM_Code],$A35,T_TTAFStock[WeekIndex],91),CM35+'Grid_Incoming'!CN35-'Grid_Requirement'!CN35))</f>
        <v/>
      </c>
      <c r="CO35">
        <f>IF(COUNTIFS(T_StockCount[RM_Code],$A35,T_StockCount[WeekIndex],92)&gt;0,SUMIFS(T_StockCount[CountedQty],T_StockCount[RM_Code],$A35,T_StockCount[WeekIndex],92),IF((COUNTIFS(T_SelfStock[RM_Code],$A35,T_SelfStock[WeekIndex],92)&gt;0)*(COUNTIFS(T_TTAFStock[RM_Code],$A35,T_TTAFStock[WeekIndex],92)&gt;0)&gt;0,SUMIFS(T_SelfStock[Self_Qty],T_SelfStock[RM_Code],$A35,T_SelfStock[WeekIndex],92)+SUMIFS(T_TTAFStock[TTAF_Qty],T_TTAFStock[RM_Code],$A35,T_TTAFStock[WeekIndex],92),CN35+'Grid_Incoming'!CO35-'Grid_Requirement'!CO35))</f>
        <v/>
      </c>
      <c r="CP35">
        <f>IF(COUNTIFS(T_StockCount[RM_Code],$A35,T_StockCount[WeekIndex],93)&gt;0,SUMIFS(T_StockCount[CountedQty],T_StockCount[RM_Code],$A35,T_StockCount[WeekIndex],93),IF((COUNTIFS(T_SelfStock[RM_Code],$A35,T_SelfStock[WeekIndex],93)&gt;0)*(COUNTIFS(T_TTAFStock[RM_Code],$A35,T_TTAFStock[WeekIndex],93)&gt;0)&gt;0,SUMIFS(T_SelfStock[Self_Qty],T_SelfStock[RM_Code],$A35,T_SelfStock[WeekIndex],93)+SUMIFS(T_TTAFStock[TTAF_Qty],T_TTAFStock[RM_Code],$A35,T_TTAFStock[WeekIndex],93),CO35+'Grid_Incoming'!CP35-'Grid_Requirement'!CP35))</f>
        <v/>
      </c>
      <c r="CQ35">
        <f>IF(COUNTIFS(T_StockCount[RM_Code],$A35,T_StockCount[WeekIndex],94)&gt;0,SUMIFS(T_StockCount[CountedQty],T_StockCount[RM_Code],$A35,T_StockCount[WeekIndex],94),IF((COUNTIFS(T_SelfStock[RM_Code],$A35,T_SelfStock[WeekIndex],94)&gt;0)*(COUNTIFS(T_TTAFStock[RM_Code],$A35,T_TTAFStock[WeekIndex],94)&gt;0)&gt;0,SUMIFS(T_SelfStock[Self_Qty],T_SelfStock[RM_Code],$A35,T_SelfStock[WeekIndex],94)+SUMIFS(T_TTAFStock[TTAF_Qty],T_TTAFStock[RM_Code],$A35,T_TTAFStock[WeekIndex],94),CP35+'Grid_Incoming'!CQ35-'Grid_Requirement'!CQ35))</f>
        <v/>
      </c>
      <c r="CR35">
        <f>IF(COUNTIFS(T_StockCount[RM_Code],$A35,T_StockCount[WeekIndex],95)&gt;0,SUMIFS(T_StockCount[CountedQty],T_StockCount[RM_Code],$A35,T_StockCount[WeekIndex],95),IF((COUNTIFS(T_SelfStock[RM_Code],$A35,T_SelfStock[WeekIndex],95)&gt;0)*(COUNTIFS(T_TTAFStock[RM_Code],$A35,T_TTAFStock[WeekIndex],95)&gt;0)&gt;0,SUMIFS(T_SelfStock[Self_Qty],T_SelfStock[RM_Code],$A35,T_SelfStock[WeekIndex],95)+SUMIFS(T_TTAFStock[TTAF_Qty],T_TTAFStock[RM_Code],$A35,T_TTAFStock[WeekIndex],95),CQ35+'Grid_Incoming'!CR35-'Grid_Requirement'!CR35))</f>
        <v/>
      </c>
      <c r="CS35">
        <f>IF(COUNTIFS(T_StockCount[RM_Code],$A35,T_StockCount[WeekIndex],96)&gt;0,SUMIFS(T_StockCount[CountedQty],T_StockCount[RM_Code],$A35,T_StockCount[WeekIndex],96),IF((COUNTIFS(T_SelfStock[RM_Code],$A35,T_SelfStock[WeekIndex],96)&gt;0)*(COUNTIFS(T_TTAFStock[RM_Code],$A35,T_TTAFStock[WeekIndex],96)&gt;0)&gt;0,SUMIFS(T_SelfStock[Self_Qty],T_SelfStock[RM_Code],$A35,T_SelfStock[WeekIndex],96)+SUMIFS(T_TTAFStock[TTAF_Qty],T_TTAFStock[RM_Code],$A35,T_TTAFStock[WeekIndex],96),CR35+'Grid_Incoming'!CS35-'Grid_Requirement'!CS35))</f>
        <v/>
      </c>
      <c r="CT35">
        <f>IF(COUNTIFS(T_StockCount[RM_Code],$A35,T_StockCount[WeekIndex],97)&gt;0,SUMIFS(T_StockCount[CountedQty],T_StockCount[RM_Code],$A35,T_StockCount[WeekIndex],97),IF((COUNTIFS(T_SelfStock[RM_Code],$A35,T_SelfStock[WeekIndex],97)&gt;0)*(COUNTIFS(T_TTAFStock[RM_Code],$A35,T_TTAFStock[WeekIndex],97)&gt;0)&gt;0,SUMIFS(T_SelfStock[Self_Qty],T_SelfStock[RM_Code],$A35,T_SelfStock[WeekIndex],97)+SUMIFS(T_TTAFStock[TTAF_Qty],T_TTAFStock[RM_Code],$A35,T_TTAFStock[WeekIndex],97),CS35+'Grid_Incoming'!CT35-'Grid_Requirement'!CT35))</f>
        <v/>
      </c>
      <c r="CU35">
        <f>IF(COUNTIFS(T_StockCount[RM_Code],$A35,T_StockCount[WeekIndex],98)&gt;0,SUMIFS(T_StockCount[CountedQty],T_StockCount[RM_Code],$A35,T_StockCount[WeekIndex],98),IF((COUNTIFS(T_SelfStock[RM_Code],$A35,T_SelfStock[WeekIndex],98)&gt;0)*(COUNTIFS(T_TTAFStock[RM_Code],$A35,T_TTAFStock[WeekIndex],98)&gt;0)&gt;0,SUMIFS(T_SelfStock[Self_Qty],T_SelfStock[RM_Code],$A35,T_SelfStock[WeekIndex],98)+SUMIFS(T_TTAFStock[TTAF_Qty],T_TTAFStock[RM_Code],$A35,T_TTAFStock[WeekIndex],98),CT35+'Grid_Incoming'!CU35-'Grid_Requirement'!CU35))</f>
        <v/>
      </c>
      <c r="CV35">
        <f>IF(COUNTIFS(T_StockCount[RM_Code],$A35,T_StockCount[WeekIndex],99)&gt;0,SUMIFS(T_StockCount[CountedQty],T_StockCount[RM_Code],$A35,T_StockCount[WeekIndex],99),IF((COUNTIFS(T_SelfStock[RM_Code],$A35,T_SelfStock[WeekIndex],99)&gt;0)*(COUNTIFS(T_TTAFStock[RM_Code],$A35,T_TTAFStock[WeekIndex],99)&gt;0)&gt;0,SUMIFS(T_SelfStock[Self_Qty],T_SelfStock[RM_Code],$A35,T_SelfStock[WeekIndex],99)+SUMIFS(T_TTAFStock[TTAF_Qty],T_TTAFStock[RM_Code],$A35,T_TTAFStock[WeekIndex],99),CU35+'Grid_Incoming'!CV35-'Grid_Requirement'!CV35))</f>
        <v/>
      </c>
      <c r="CW35">
        <f>IF(COUNTIFS(T_StockCount[RM_Code],$A35,T_StockCount[WeekIndex],100)&gt;0,SUMIFS(T_StockCount[CountedQty],T_StockCount[RM_Code],$A35,T_StockCount[WeekIndex],100),IF((COUNTIFS(T_SelfStock[RM_Code],$A35,T_SelfStock[WeekIndex],100)&gt;0)*(COUNTIFS(T_TTAFStock[RM_Code],$A35,T_TTAFStock[WeekIndex],100)&gt;0)&gt;0,SUMIFS(T_SelfStock[Self_Qty],T_SelfStock[RM_Code],$A35,T_SelfStock[WeekIndex],100)+SUMIFS(T_TTAFStock[TTAF_Qty],T_TTAFStock[RM_Code],$A35,T_TTAFStock[WeekIndex],100),CV35+'Grid_Incoming'!CW35-'Grid_Requirement'!CW35))</f>
        <v/>
      </c>
      <c r="CX35">
        <f>IF(COUNTIFS(T_StockCount[RM_Code],$A35,T_StockCount[WeekIndex],101)&gt;0,SUMIFS(T_StockCount[CountedQty],T_StockCount[RM_Code],$A35,T_StockCount[WeekIndex],101),IF((COUNTIFS(T_SelfStock[RM_Code],$A35,T_SelfStock[WeekIndex],101)&gt;0)*(COUNTIFS(T_TTAFStock[RM_Code],$A35,T_TTAFStock[WeekIndex],101)&gt;0)&gt;0,SUMIFS(T_SelfStock[Self_Qty],T_SelfStock[RM_Code],$A35,T_SelfStock[WeekIndex],101)+SUMIFS(T_TTAFStock[TTAF_Qty],T_TTAFStock[RM_Code],$A35,T_TTAFStock[WeekIndex],101),CW35+'Grid_Incoming'!CX35-'Grid_Requirement'!CX35))</f>
        <v/>
      </c>
      <c r="CY35">
        <f>IF(COUNTIFS(T_StockCount[RM_Code],$A35,T_StockCount[WeekIndex],102)&gt;0,SUMIFS(T_StockCount[CountedQty],T_StockCount[RM_Code],$A35,T_StockCount[WeekIndex],102),IF((COUNTIFS(T_SelfStock[RM_Code],$A35,T_SelfStock[WeekIndex],102)&gt;0)*(COUNTIFS(T_TTAFStock[RM_Code],$A35,T_TTAFStock[WeekIndex],102)&gt;0)&gt;0,SUMIFS(T_SelfStock[Self_Qty],T_SelfStock[RM_Code],$A35,T_SelfStock[WeekIndex],102)+SUMIFS(T_TTAFStock[TTAF_Qty],T_TTAFStock[RM_Code],$A35,T_TTAFStock[WeekIndex],102),CX35+'Grid_Incoming'!CY35-'Grid_Requirement'!CY35))</f>
        <v/>
      </c>
      <c r="CZ35">
        <f>IF(COUNTIFS(T_StockCount[RM_Code],$A35,T_StockCount[WeekIndex],103)&gt;0,SUMIFS(T_StockCount[CountedQty],T_StockCount[RM_Code],$A35,T_StockCount[WeekIndex],103),IF((COUNTIFS(T_SelfStock[RM_Code],$A35,T_SelfStock[WeekIndex],103)&gt;0)*(COUNTIFS(T_TTAFStock[RM_Code],$A35,T_TTAFStock[WeekIndex],103)&gt;0)&gt;0,SUMIFS(T_SelfStock[Self_Qty],T_SelfStock[RM_Code],$A35,T_SelfStock[WeekIndex],103)+SUMIFS(T_TTAFStock[TTAF_Qty],T_TTAFStock[RM_Code],$A35,T_TTAFStock[WeekIndex],103),CY35+'Grid_Incoming'!CZ35-'Grid_Requirement'!CZ35))</f>
        <v/>
      </c>
      <c r="DA35">
        <f>IF(COUNTIFS(T_StockCount[RM_Code],$A35,T_StockCount[WeekIndex],104)&gt;0,SUMIFS(T_StockCount[CountedQty],T_StockCount[RM_Code],$A35,T_StockCount[WeekIndex],104),IF((COUNTIFS(T_SelfStock[RM_Code],$A35,T_SelfStock[WeekIndex],104)&gt;0)*(COUNTIFS(T_TTAFStock[RM_Code],$A35,T_TTAFStock[WeekIndex],104)&gt;0)&gt;0,SUMIFS(T_SelfStock[Self_Qty],T_SelfStock[RM_Code],$A35,T_SelfStock[WeekIndex],104)+SUMIFS(T_TTAFStock[TTAF_Qty],T_TTAFStock[RM_Code],$A35,T_TTAFStock[WeekIndex],104),CZ35+'Grid_Incoming'!DA35-'Grid_Requirement'!DA35))</f>
        <v/>
      </c>
    </row>
    <row r="36">
      <c r="A36" t="inlineStr">
        <is>
          <t>CHEM-1100</t>
        </is>
      </c>
      <c r="B36">
        <f>IF(COUNTIFS(T_StockCount[RM_Code],$A36,T_StockCount[WeekIndex],1)&gt;0,SUMIFS(T_StockCount[CountedQty],T_StockCount[RM_Code],$A36,T_StockCount[WeekIndex],1),IF((COUNTIFS(T_SelfStock[RM_Code],$A36,T_SelfStock[WeekIndex],1)&gt;0)*(COUNTIFS(T_TTAFStock[RM_Code],$A36,T_TTAFStock[WeekIndex],1)&gt;0)&gt;0,SUMIFS(T_SelfStock[Self_Qty],T_SelfStock[RM_Code],$A36,T_SelfStock[WeekIndex],1)+SUMIFS(T_TTAFStock[TTAF_Qty],T_TTAFStock[RM_Code],$A36,T_TTAFStock[WeekIndex],1),IFERROR(INDEX(T_OpeningStock[Opening_Qty],MATCH($A36,T_OpeningStock[RM_Code],0)),0)+'Grid_Incoming'!B36-'Grid_Requirement'!B36))</f>
        <v/>
      </c>
      <c r="C36">
        <f>IF(COUNTIFS(T_StockCount[RM_Code],$A36,T_StockCount[WeekIndex],2)&gt;0,SUMIFS(T_StockCount[CountedQty],T_StockCount[RM_Code],$A36,T_StockCount[WeekIndex],2),IF((COUNTIFS(T_SelfStock[RM_Code],$A36,T_SelfStock[WeekIndex],2)&gt;0)*(COUNTIFS(T_TTAFStock[RM_Code],$A36,T_TTAFStock[WeekIndex],2)&gt;0)&gt;0,SUMIFS(T_SelfStock[Self_Qty],T_SelfStock[RM_Code],$A36,T_SelfStock[WeekIndex],2)+SUMIFS(T_TTAFStock[TTAF_Qty],T_TTAFStock[RM_Code],$A36,T_TTAFStock[WeekIndex],2),B36+'Grid_Incoming'!C36-'Grid_Requirement'!C36))</f>
        <v/>
      </c>
      <c r="D36">
        <f>IF(COUNTIFS(T_StockCount[RM_Code],$A36,T_StockCount[WeekIndex],3)&gt;0,SUMIFS(T_StockCount[CountedQty],T_StockCount[RM_Code],$A36,T_StockCount[WeekIndex],3),IF((COUNTIFS(T_SelfStock[RM_Code],$A36,T_SelfStock[WeekIndex],3)&gt;0)*(COUNTIFS(T_TTAFStock[RM_Code],$A36,T_TTAFStock[WeekIndex],3)&gt;0)&gt;0,SUMIFS(T_SelfStock[Self_Qty],T_SelfStock[RM_Code],$A36,T_SelfStock[WeekIndex],3)+SUMIFS(T_TTAFStock[TTAF_Qty],T_TTAFStock[RM_Code],$A36,T_TTAFStock[WeekIndex],3),C36+'Grid_Incoming'!D36-'Grid_Requirement'!D36))</f>
        <v/>
      </c>
      <c r="E36">
        <f>IF(COUNTIFS(T_StockCount[RM_Code],$A36,T_StockCount[WeekIndex],4)&gt;0,SUMIFS(T_StockCount[CountedQty],T_StockCount[RM_Code],$A36,T_StockCount[WeekIndex],4),IF((COUNTIFS(T_SelfStock[RM_Code],$A36,T_SelfStock[WeekIndex],4)&gt;0)*(COUNTIFS(T_TTAFStock[RM_Code],$A36,T_TTAFStock[WeekIndex],4)&gt;0)&gt;0,SUMIFS(T_SelfStock[Self_Qty],T_SelfStock[RM_Code],$A36,T_SelfStock[WeekIndex],4)+SUMIFS(T_TTAFStock[TTAF_Qty],T_TTAFStock[RM_Code],$A36,T_TTAFStock[WeekIndex],4),D36+'Grid_Incoming'!E36-'Grid_Requirement'!E36))</f>
        <v/>
      </c>
      <c r="F36">
        <f>IF(COUNTIFS(T_StockCount[RM_Code],$A36,T_StockCount[WeekIndex],5)&gt;0,SUMIFS(T_StockCount[CountedQty],T_StockCount[RM_Code],$A36,T_StockCount[WeekIndex],5),IF((COUNTIFS(T_SelfStock[RM_Code],$A36,T_SelfStock[WeekIndex],5)&gt;0)*(COUNTIFS(T_TTAFStock[RM_Code],$A36,T_TTAFStock[WeekIndex],5)&gt;0)&gt;0,SUMIFS(T_SelfStock[Self_Qty],T_SelfStock[RM_Code],$A36,T_SelfStock[WeekIndex],5)+SUMIFS(T_TTAFStock[TTAF_Qty],T_TTAFStock[RM_Code],$A36,T_TTAFStock[WeekIndex],5),E36+'Grid_Incoming'!F36-'Grid_Requirement'!F36))</f>
        <v/>
      </c>
      <c r="G36">
        <f>IF(COUNTIFS(T_StockCount[RM_Code],$A36,T_StockCount[WeekIndex],6)&gt;0,SUMIFS(T_StockCount[CountedQty],T_StockCount[RM_Code],$A36,T_StockCount[WeekIndex],6),IF((COUNTIFS(T_SelfStock[RM_Code],$A36,T_SelfStock[WeekIndex],6)&gt;0)*(COUNTIFS(T_TTAFStock[RM_Code],$A36,T_TTAFStock[WeekIndex],6)&gt;0)&gt;0,SUMIFS(T_SelfStock[Self_Qty],T_SelfStock[RM_Code],$A36,T_SelfStock[WeekIndex],6)+SUMIFS(T_TTAFStock[TTAF_Qty],T_TTAFStock[RM_Code],$A36,T_TTAFStock[WeekIndex],6),F36+'Grid_Incoming'!G36-'Grid_Requirement'!G36))</f>
        <v/>
      </c>
      <c r="H36">
        <f>IF(COUNTIFS(T_StockCount[RM_Code],$A36,T_StockCount[WeekIndex],7)&gt;0,SUMIFS(T_StockCount[CountedQty],T_StockCount[RM_Code],$A36,T_StockCount[WeekIndex],7),IF((COUNTIFS(T_SelfStock[RM_Code],$A36,T_SelfStock[WeekIndex],7)&gt;0)*(COUNTIFS(T_TTAFStock[RM_Code],$A36,T_TTAFStock[WeekIndex],7)&gt;0)&gt;0,SUMIFS(T_SelfStock[Self_Qty],T_SelfStock[RM_Code],$A36,T_SelfStock[WeekIndex],7)+SUMIFS(T_TTAFStock[TTAF_Qty],T_TTAFStock[RM_Code],$A36,T_TTAFStock[WeekIndex],7),G36+'Grid_Incoming'!H36-'Grid_Requirement'!H36))</f>
        <v/>
      </c>
      <c r="I36">
        <f>IF(COUNTIFS(T_StockCount[RM_Code],$A36,T_StockCount[WeekIndex],8)&gt;0,SUMIFS(T_StockCount[CountedQty],T_StockCount[RM_Code],$A36,T_StockCount[WeekIndex],8),IF((COUNTIFS(T_SelfStock[RM_Code],$A36,T_SelfStock[WeekIndex],8)&gt;0)*(COUNTIFS(T_TTAFStock[RM_Code],$A36,T_TTAFStock[WeekIndex],8)&gt;0)&gt;0,SUMIFS(T_SelfStock[Self_Qty],T_SelfStock[RM_Code],$A36,T_SelfStock[WeekIndex],8)+SUMIFS(T_TTAFStock[TTAF_Qty],T_TTAFStock[RM_Code],$A36,T_TTAFStock[WeekIndex],8),H36+'Grid_Incoming'!I36-'Grid_Requirement'!I36))</f>
        <v/>
      </c>
      <c r="J36">
        <f>IF(COUNTIFS(T_StockCount[RM_Code],$A36,T_StockCount[WeekIndex],9)&gt;0,SUMIFS(T_StockCount[CountedQty],T_StockCount[RM_Code],$A36,T_StockCount[WeekIndex],9),IF((COUNTIFS(T_SelfStock[RM_Code],$A36,T_SelfStock[WeekIndex],9)&gt;0)*(COUNTIFS(T_TTAFStock[RM_Code],$A36,T_TTAFStock[WeekIndex],9)&gt;0)&gt;0,SUMIFS(T_SelfStock[Self_Qty],T_SelfStock[RM_Code],$A36,T_SelfStock[WeekIndex],9)+SUMIFS(T_TTAFStock[TTAF_Qty],T_TTAFStock[RM_Code],$A36,T_TTAFStock[WeekIndex],9),I36+'Grid_Incoming'!J36-'Grid_Requirement'!J36))</f>
        <v/>
      </c>
      <c r="K36">
        <f>IF(COUNTIFS(T_StockCount[RM_Code],$A36,T_StockCount[WeekIndex],10)&gt;0,SUMIFS(T_StockCount[CountedQty],T_StockCount[RM_Code],$A36,T_StockCount[WeekIndex],10),IF((COUNTIFS(T_SelfStock[RM_Code],$A36,T_SelfStock[WeekIndex],10)&gt;0)*(COUNTIFS(T_TTAFStock[RM_Code],$A36,T_TTAFStock[WeekIndex],10)&gt;0)&gt;0,SUMIFS(T_SelfStock[Self_Qty],T_SelfStock[RM_Code],$A36,T_SelfStock[WeekIndex],10)+SUMIFS(T_TTAFStock[TTAF_Qty],T_TTAFStock[RM_Code],$A36,T_TTAFStock[WeekIndex],10),J36+'Grid_Incoming'!K36-'Grid_Requirement'!K36))</f>
        <v/>
      </c>
      <c r="L36">
        <f>IF(COUNTIFS(T_StockCount[RM_Code],$A36,T_StockCount[WeekIndex],11)&gt;0,SUMIFS(T_StockCount[CountedQty],T_StockCount[RM_Code],$A36,T_StockCount[WeekIndex],11),IF((COUNTIFS(T_SelfStock[RM_Code],$A36,T_SelfStock[WeekIndex],11)&gt;0)*(COUNTIFS(T_TTAFStock[RM_Code],$A36,T_TTAFStock[WeekIndex],11)&gt;0)&gt;0,SUMIFS(T_SelfStock[Self_Qty],T_SelfStock[RM_Code],$A36,T_SelfStock[WeekIndex],11)+SUMIFS(T_TTAFStock[TTAF_Qty],T_TTAFStock[RM_Code],$A36,T_TTAFStock[WeekIndex],11),K36+'Grid_Incoming'!L36-'Grid_Requirement'!L36))</f>
        <v/>
      </c>
      <c r="M36">
        <f>IF(COUNTIFS(T_StockCount[RM_Code],$A36,T_StockCount[WeekIndex],12)&gt;0,SUMIFS(T_StockCount[CountedQty],T_StockCount[RM_Code],$A36,T_StockCount[WeekIndex],12),IF((COUNTIFS(T_SelfStock[RM_Code],$A36,T_SelfStock[WeekIndex],12)&gt;0)*(COUNTIFS(T_TTAFStock[RM_Code],$A36,T_TTAFStock[WeekIndex],12)&gt;0)&gt;0,SUMIFS(T_SelfStock[Self_Qty],T_SelfStock[RM_Code],$A36,T_SelfStock[WeekIndex],12)+SUMIFS(T_TTAFStock[TTAF_Qty],T_TTAFStock[RM_Code],$A36,T_TTAFStock[WeekIndex],12),L36+'Grid_Incoming'!M36-'Grid_Requirement'!M36))</f>
        <v/>
      </c>
      <c r="N36">
        <f>IF(COUNTIFS(T_StockCount[RM_Code],$A36,T_StockCount[WeekIndex],13)&gt;0,SUMIFS(T_StockCount[CountedQty],T_StockCount[RM_Code],$A36,T_StockCount[WeekIndex],13),IF((COUNTIFS(T_SelfStock[RM_Code],$A36,T_SelfStock[WeekIndex],13)&gt;0)*(COUNTIFS(T_TTAFStock[RM_Code],$A36,T_TTAFStock[WeekIndex],13)&gt;0)&gt;0,SUMIFS(T_SelfStock[Self_Qty],T_SelfStock[RM_Code],$A36,T_SelfStock[WeekIndex],13)+SUMIFS(T_TTAFStock[TTAF_Qty],T_TTAFStock[RM_Code],$A36,T_TTAFStock[WeekIndex],13),M36+'Grid_Incoming'!N36-'Grid_Requirement'!N36))</f>
        <v/>
      </c>
      <c r="O36">
        <f>IF(COUNTIFS(T_StockCount[RM_Code],$A36,T_StockCount[WeekIndex],14)&gt;0,SUMIFS(T_StockCount[CountedQty],T_StockCount[RM_Code],$A36,T_StockCount[WeekIndex],14),IF((COUNTIFS(T_SelfStock[RM_Code],$A36,T_SelfStock[WeekIndex],14)&gt;0)*(COUNTIFS(T_TTAFStock[RM_Code],$A36,T_TTAFStock[WeekIndex],14)&gt;0)&gt;0,SUMIFS(T_SelfStock[Self_Qty],T_SelfStock[RM_Code],$A36,T_SelfStock[WeekIndex],14)+SUMIFS(T_TTAFStock[TTAF_Qty],T_TTAFStock[RM_Code],$A36,T_TTAFStock[WeekIndex],14),N36+'Grid_Incoming'!O36-'Grid_Requirement'!O36))</f>
        <v/>
      </c>
      <c r="P36">
        <f>IF(COUNTIFS(T_StockCount[RM_Code],$A36,T_StockCount[WeekIndex],15)&gt;0,SUMIFS(T_StockCount[CountedQty],T_StockCount[RM_Code],$A36,T_StockCount[WeekIndex],15),IF((COUNTIFS(T_SelfStock[RM_Code],$A36,T_SelfStock[WeekIndex],15)&gt;0)*(COUNTIFS(T_TTAFStock[RM_Code],$A36,T_TTAFStock[WeekIndex],15)&gt;0)&gt;0,SUMIFS(T_SelfStock[Self_Qty],T_SelfStock[RM_Code],$A36,T_SelfStock[WeekIndex],15)+SUMIFS(T_TTAFStock[TTAF_Qty],T_TTAFStock[RM_Code],$A36,T_TTAFStock[WeekIndex],15),O36+'Grid_Incoming'!P36-'Grid_Requirement'!P36))</f>
        <v/>
      </c>
      <c r="Q36">
        <f>IF(COUNTIFS(T_StockCount[RM_Code],$A36,T_StockCount[WeekIndex],16)&gt;0,SUMIFS(T_StockCount[CountedQty],T_StockCount[RM_Code],$A36,T_StockCount[WeekIndex],16),IF((COUNTIFS(T_SelfStock[RM_Code],$A36,T_SelfStock[WeekIndex],16)&gt;0)*(COUNTIFS(T_TTAFStock[RM_Code],$A36,T_TTAFStock[WeekIndex],16)&gt;0)&gt;0,SUMIFS(T_SelfStock[Self_Qty],T_SelfStock[RM_Code],$A36,T_SelfStock[WeekIndex],16)+SUMIFS(T_TTAFStock[TTAF_Qty],T_TTAFStock[RM_Code],$A36,T_TTAFStock[WeekIndex],16),P36+'Grid_Incoming'!Q36-'Grid_Requirement'!Q36))</f>
        <v/>
      </c>
      <c r="R36">
        <f>IF(COUNTIFS(T_StockCount[RM_Code],$A36,T_StockCount[WeekIndex],17)&gt;0,SUMIFS(T_StockCount[CountedQty],T_StockCount[RM_Code],$A36,T_StockCount[WeekIndex],17),IF((COUNTIFS(T_SelfStock[RM_Code],$A36,T_SelfStock[WeekIndex],17)&gt;0)*(COUNTIFS(T_TTAFStock[RM_Code],$A36,T_TTAFStock[WeekIndex],17)&gt;0)&gt;0,SUMIFS(T_SelfStock[Self_Qty],T_SelfStock[RM_Code],$A36,T_SelfStock[WeekIndex],17)+SUMIFS(T_TTAFStock[TTAF_Qty],T_TTAFStock[RM_Code],$A36,T_TTAFStock[WeekIndex],17),Q36+'Grid_Incoming'!R36-'Grid_Requirement'!R36))</f>
        <v/>
      </c>
      <c r="S36">
        <f>IF(COUNTIFS(T_StockCount[RM_Code],$A36,T_StockCount[WeekIndex],18)&gt;0,SUMIFS(T_StockCount[CountedQty],T_StockCount[RM_Code],$A36,T_StockCount[WeekIndex],18),IF((COUNTIFS(T_SelfStock[RM_Code],$A36,T_SelfStock[WeekIndex],18)&gt;0)*(COUNTIFS(T_TTAFStock[RM_Code],$A36,T_TTAFStock[WeekIndex],18)&gt;0)&gt;0,SUMIFS(T_SelfStock[Self_Qty],T_SelfStock[RM_Code],$A36,T_SelfStock[WeekIndex],18)+SUMIFS(T_TTAFStock[TTAF_Qty],T_TTAFStock[RM_Code],$A36,T_TTAFStock[WeekIndex],18),R36+'Grid_Incoming'!S36-'Grid_Requirement'!S36))</f>
        <v/>
      </c>
      <c r="T36">
        <f>IF(COUNTIFS(T_StockCount[RM_Code],$A36,T_StockCount[WeekIndex],19)&gt;0,SUMIFS(T_StockCount[CountedQty],T_StockCount[RM_Code],$A36,T_StockCount[WeekIndex],19),IF((COUNTIFS(T_SelfStock[RM_Code],$A36,T_SelfStock[WeekIndex],19)&gt;0)*(COUNTIFS(T_TTAFStock[RM_Code],$A36,T_TTAFStock[WeekIndex],19)&gt;0)&gt;0,SUMIFS(T_SelfStock[Self_Qty],T_SelfStock[RM_Code],$A36,T_SelfStock[WeekIndex],19)+SUMIFS(T_TTAFStock[TTAF_Qty],T_TTAFStock[RM_Code],$A36,T_TTAFStock[WeekIndex],19),S36+'Grid_Incoming'!T36-'Grid_Requirement'!T36))</f>
        <v/>
      </c>
      <c r="U36">
        <f>IF(COUNTIFS(T_StockCount[RM_Code],$A36,T_StockCount[WeekIndex],20)&gt;0,SUMIFS(T_StockCount[CountedQty],T_StockCount[RM_Code],$A36,T_StockCount[WeekIndex],20),IF((COUNTIFS(T_SelfStock[RM_Code],$A36,T_SelfStock[WeekIndex],20)&gt;0)*(COUNTIFS(T_TTAFStock[RM_Code],$A36,T_TTAFStock[WeekIndex],20)&gt;0)&gt;0,SUMIFS(T_SelfStock[Self_Qty],T_SelfStock[RM_Code],$A36,T_SelfStock[WeekIndex],20)+SUMIFS(T_TTAFStock[TTAF_Qty],T_TTAFStock[RM_Code],$A36,T_TTAFStock[WeekIndex],20),T36+'Grid_Incoming'!U36-'Grid_Requirement'!U36))</f>
        <v/>
      </c>
      <c r="V36">
        <f>IF(COUNTIFS(T_StockCount[RM_Code],$A36,T_StockCount[WeekIndex],21)&gt;0,SUMIFS(T_StockCount[CountedQty],T_StockCount[RM_Code],$A36,T_StockCount[WeekIndex],21),IF((COUNTIFS(T_SelfStock[RM_Code],$A36,T_SelfStock[WeekIndex],21)&gt;0)*(COUNTIFS(T_TTAFStock[RM_Code],$A36,T_TTAFStock[WeekIndex],21)&gt;0)&gt;0,SUMIFS(T_SelfStock[Self_Qty],T_SelfStock[RM_Code],$A36,T_SelfStock[WeekIndex],21)+SUMIFS(T_TTAFStock[TTAF_Qty],T_TTAFStock[RM_Code],$A36,T_TTAFStock[WeekIndex],21),U36+'Grid_Incoming'!V36-'Grid_Requirement'!V36))</f>
        <v/>
      </c>
      <c r="W36">
        <f>IF(COUNTIFS(T_StockCount[RM_Code],$A36,T_StockCount[WeekIndex],22)&gt;0,SUMIFS(T_StockCount[CountedQty],T_StockCount[RM_Code],$A36,T_StockCount[WeekIndex],22),IF((COUNTIFS(T_SelfStock[RM_Code],$A36,T_SelfStock[WeekIndex],22)&gt;0)*(COUNTIFS(T_TTAFStock[RM_Code],$A36,T_TTAFStock[WeekIndex],22)&gt;0)&gt;0,SUMIFS(T_SelfStock[Self_Qty],T_SelfStock[RM_Code],$A36,T_SelfStock[WeekIndex],22)+SUMIFS(T_TTAFStock[TTAF_Qty],T_TTAFStock[RM_Code],$A36,T_TTAFStock[WeekIndex],22),V36+'Grid_Incoming'!W36-'Grid_Requirement'!W36))</f>
        <v/>
      </c>
      <c r="X36">
        <f>IF(COUNTIFS(T_StockCount[RM_Code],$A36,T_StockCount[WeekIndex],23)&gt;0,SUMIFS(T_StockCount[CountedQty],T_StockCount[RM_Code],$A36,T_StockCount[WeekIndex],23),IF((COUNTIFS(T_SelfStock[RM_Code],$A36,T_SelfStock[WeekIndex],23)&gt;0)*(COUNTIFS(T_TTAFStock[RM_Code],$A36,T_TTAFStock[WeekIndex],23)&gt;0)&gt;0,SUMIFS(T_SelfStock[Self_Qty],T_SelfStock[RM_Code],$A36,T_SelfStock[WeekIndex],23)+SUMIFS(T_TTAFStock[TTAF_Qty],T_TTAFStock[RM_Code],$A36,T_TTAFStock[WeekIndex],23),W36+'Grid_Incoming'!X36-'Grid_Requirement'!X36))</f>
        <v/>
      </c>
      <c r="Y36">
        <f>IF(COUNTIFS(T_StockCount[RM_Code],$A36,T_StockCount[WeekIndex],24)&gt;0,SUMIFS(T_StockCount[CountedQty],T_StockCount[RM_Code],$A36,T_StockCount[WeekIndex],24),IF((COUNTIFS(T_SelfStock[RM_Code],$A36,T_SelfStock[WeekIndex],24)&gt;0)*(COUNTIFS(T_TTAFStock[RM_Code],$A36,T_TTAFStock[WeekIndex],24)&gt;0)&gt;0,SUMIFS(T_SelfStock[Self_Qty],T_SelfStock[RM_Code],$A36,T_SelfStock[WeekIndex],24)+SUMIFS(T_TTAFStock[TTAF_Qty],T_TTAFStock[RM_Code],$A36,T_TTAFStock[WeekIndex],24),X36+'Grid_Incoming'!Y36-'Grid_Requirement'!Y36))</f>
        <v/>
      </c>
      <c r="Z36">
        <f>IF(COUNTIFS(T_StockCount[RM_Code],$A36,T_StockCount[WeekIndex],25)&gt;0,SUMIFS(T_StockCount[CountedQty],T_StockCount[RM_Code],$A36,T_StockCount[WeekIndex],25),IF((COUNTIFS(T_SelfStock[RM_Code],$A36,T_SelfStock[WeekIndex],25)&gt;0)*(COUNTIFS(T_TTAFStock[RM_Code],$A36,T_TTAFStock[WeekIndex],25)&gt;0)&gt;0,SUMIFS(T_SelfStock[Self_Qty],T_SelfStock[RM_Code],$A36,T_SelfStock[WeekIndex],25)+SUMIFS(T_TTAFStock[TTAF_Qty],T_TTAFStock[RM_Code],$A36,T_TTAFStock[WeekIndex],25),Y36+'Grid_Incoming'!Z36-'Grid_Requirement'!Z36))</f>
        <v/>
      </c>
      <c r="AA36">
        <f>IF(COUNTIFS(T_StockCount[RM_Code],$A36,T_StockCount[WeekIndex],26)&gt;0,SUMIFS(T_StockCount[CountedQty],T_StockCount[RM_Code],$A36,T_StockCount[WeekIndex],26),IF((COUNTIFS(T_SelfStock[RM_Code],$A36,T_SelfStock[WeekIndex],26)&gt;0)*(COUNTIFS(T_TTAFStock[RM_Code],$A36,T_TTAFStock[WeekIndex],26)&gt;0)&gt;0,SUMIFS(T_SelfStock[Self_Qty],T_SelfStock[RM_Code],$A36,T_SelfStock[WeekIndex],26)+SUMIFS(T_TTAFStock[TTAF_Qty],T_TTAFStock[RM_Code],$A36,T_TTAFStock[WeekIndex],26),Z36+'Grid_Incoming'!AA36-'Grid_Requirement'!AA36))</f>
        <v/>
      </c>
      <c r="AB36">
        <f>IF(COUNTIFS(T_StockCount[RM_Code],$A36,T_StockCount[WeekIndex],27)&gt;0,SUMIFS(T_StockCount[CountedQty],T_StockCount[RM_Code],$A36,T_StockCount[WeekIndex],27),IF((COUNTIFS(T_SelfStock[RM_Code],$A36,T_SelfStock[WeekIndex],27)&gt;0)*(COUNTIFS(T_TTAFStock[RM_Code],$A36,T_TTAFStock[WeekIndex],27)&gt;0)&gt;0,SUMIFS(T_SelfStock[Self_Qty],T_SelfStock[RM_Code],$A36,T_SelfStock[WeekIndex],27)+SUMIFS(T_TTAFStock[TTAF_Qty],T_TTAFStock[RM_Code],$A36,T_TTAFStock[WeekIndex],27),AA36+'Grid_Incoming'!AB36-'Grid_Requirement'!AB36))</f>
        <v/>
      </c>
      <c r="AC36">
        <f>IF(COUNTIFS(T_StockCount[RM_Code],$A36,T_StockCount[WeekIndex],28)&gt;0,SUMIFS(T_StockCount[CountedQty],T_StockCount[RM_Code],$A36,T_StockCount[WeekIndex],28),IF((COUNTIFS(T_SelfStock[RM_Code],$A36,T_SelfStock[WeekIndex],28)&gt;0)*(COUNTIFS(T_TTAFStock[RM_Code],$A36,T_TTAFStock[WeekIndex],28)&gt;0)&gt;0,SUMIFS(T_SelfStock[Self_Qty],T_SelfStock[RM_Code],$A36,T_SelfStock[WeekIndex],28)+SUMIFS(T_TTAFStock[TTAF_Qty],T_TTAFStock[RM_Code],$A36,T_TTAFStock[WeekIndex],28),AB36+'Grid_Incoming'!AC36-'Grid_Requirement'!AC36))</f>
        <v/>
      </c>
      <c r="AD36">
        <f>IF(COUNTIFS(T_StockCount[RM_Code],$A36,T_StockCount[WeekIndex],29)&gt;0,SUMIFS(T_StockCount[CountedQty],T_StockCount[RM_Code],$A36,T_StockCount[WeekIndex],29),IF((COUNTIFS(T_SelfStock[RM_Code],$A36,T_SelfStock[WeekIndex],29)&gt;0)*(COUNTIFS(T_TTAFStock[RM_Code],$A36,T_TTAFStock[WeekIndex],29)&gt;0)&gt;0,SUMIFS(T_SelfStock[Self_Qty],T_SelfStock[RM_Code],$A36,T_SelfStock[WeekIndex],29)+SUMIFS(T_TTAFStock[TTAF_Qty],T_TTAFStock[RM_Code],$A36,T_TTAFStock[WeekIndex],29),AC36+'Grid_Incoming'!AD36-'Grid_Requirement'!AD36))</f>
        <v/>
      </c>
      <c r="AE36">
        <f>IF(COUNTIFS(T_StockCount[RM_Code],$A36,T_StockCount[WeekIndex],30)&gt;0,SUMIFS(T_StockCount[CountedQty],T_StockCount[RM_Code],$A36,T_StockCount[WeekIndex],30),IF((COUNTIFS(T_SelfStock[RM_Code],$A36,T_SelfStock[WeekIndex],30)&gt;0)*(COUNTIFS(T_TTAFStock[RM_Code],$A36,T_TTAFStock[WeekIndex],30)&gt;0)&gt;0,SUMIFS(T_SelfStock[Self_Qty],T_SelfStock[RM_Code],$A36,T_SelfStock[WeekIndex],30)+SUMIFS(T_TTAFStock[TTAF_Qty],T_TTAFStock[RM_Code],$A36,T_TTAFStock[WeekIndex],30),AD36+'Grid_Incoming'!AE36-'Grid_Requirement'!AE36))</f>
        <v/>
      </c>
      <c r="AF36">
        <f>IF(COUNTIFS(T_StockCount[RM_Code],$A36,T_StockCount[WeekIndex],31)&gt;0,SUMIFS(T_StockCount[CountedQty],T_StockCount[RM_Code],$A36,T_StockCount[WeekIndex],31),IF((COUNTIFS(T_SelfStock[RM_Code],$A36,T_SelfStock[WeekIndex],31)&gt;0)*(COUNTIFS(T_TTAFStock[RM_Code],$A36,T_TTAFStock[WeekIndex],31)&gt;0)&gt;0,SUMIFS(T_SelfStock[Self_Qty],T_SelfStock[RM_Code],$A36,T_SelfStock[WeekIndex],31)+SUMIFS(T_TTAFStock[TTAF_Qty],T_TTAFStock[RM_Code],$A36,T_TTAFStock[WeekIndex],31),AE36+'Grid_Incoming'!AF36-'Grid_Requirement'!AF36))</f>
        <v/>
      </c>
      <c r="AG36">
        <f>IF(COUNTIFS(T_StockCount[RM_Code],$A36,T_StockCount[WeekIndex],32)&gt;0,SUMIFS(T_StockCount[CountedQty],T_StockCount[RM_Code],$A36,T_StockCount[WeekIndex],32),IF((COUNTIFS(T_SelfStock[RM_Code],$A36,T_SelfStock[WeekIndex],32)&gt;0)*(COUNTIFS(T_TTAFStock[RM_Code],$A36,T_TTAFStock[WeekIndex],32)&gt;0)&gt;0,SUMIFS(T_SelfStock[Self_Qty],T_SelfStock[RM_Code],$A36,T_SelfStock[WeekIndex],32)+SUMIFS(T_TTAFStock[TTAF_Qty],T_TTAFStock[RM_Code],$A36,T_TTAFStock[WeekIndex],32),AF36+'Grid_Incoming'!AG36-'Grid_Requirement'!AG36))</f>
        <v/>
      </c>
      <c r="AH36">
        <f>IF(COUNTIFS(T_StockCount[RM_Code],$A36,T_StockCount[WeekIndex],33)&gt;0,SUMIFS(T_StockCount[CountedQty],T_StockCount[RM_Code],$A36,T_StockCount[WeekIndex],33),IF((COUNTIFS(T_SelfStock[RM_Code],$A36,T_SelfStock[WeekIndex],33)&gt;0)*(COUNTIFS(T_TTAFStock[RM_Code],$A36,T_TTAFStock[WeekIndex],33)&gt;0)&gt;0,SUMIFS(T_SelfStock[Self_Qty],T_SelfStock[RM_Code],$A36,T_SelfStock[WeekIndex],33)+SUMIFS(T_TTAFStock[TTAF_Qty],T_TTAFStock[RM_Code],$A36,T_TTAFStock[WeekIndex],33),AG36+'Grid_Incoming'!AH36-'Grid_Requirement'!AH36))</f>
        <v/>
      </c>
      <c r="AI36">
        <f>IF(COUNTIFS(T_StockCount[RM_Code],$A36,T_StockCount[WeekIndex],34)&gt;0,SUMIFS(T_StockCount[CountedQty],T_StockCount[RM_Code],$A36,T_StockCount[WeekIndex],34),IF((COUNTIFS(T_SelfStock[RM_Code],$A36,T_SelfStock[WeekIndex],34)&gt;0)*(COUNTIFS(T_TTAFStock[RM_Code],$A36,T_TTAFStock[WeekIndex],34)&gt;0)&gt;0,SUMIFS(T_SelfStock[Self_Qty],T_SelfStock[RM_Code],$A36,T_SelfStock[WeekIndex],34)+SUMIFS(T_TTAFStock[TTAF_Qty],T_TTAFStock[RM_Code],$A36,T_TTAFStock[WeekIndex],34),AH36+'Grid_Incoming'!AI36-'Grid_Requirement'!AI36))</f>
        <v/>
      </c>
      <c r="AJ36">
        <f>IF(COUNTIFS(T_StockCount[RM_Code],$A36,T_StockCount[WeekIndex],35)&gt;0,SUMIFS(T_StockCount[CountedQty],T_StockCount[RM_Code],$A36,T_StockCount[WeekIndex],35),IF((COUNTIFS(T_SelfStock[RM_Code],$A36,T_SelfStock[WeekIndex],35)&gt;0)*(COUNTIFS(T_TTAFStock[RM_Code],$A36,T_TTAFStock[WeekIndex],35)&gt;0)&gt;0,SUMIFS(T_SelfStock[Self_Qty],T_SelfStock[RM_Code],$A36,T_SelfStock[WeekIndex],35)+SUMIFS(T_TTAFStock[TTAF_Qty],T_TTAFStock[RM_Code],$A36,T_TTAFStock[WeekIndex],35),AI36+'Grid_Incoming'!AJ36-'Grid_Requirement'!AJ36))</f>
        <v/>
      </c>
      <c r="AK36">
        <f>IF(COUNTIFS(T_StockCount[RM_Code],$A36,T_StockCount[WeekIndex],36)&gt;0,SUMIFS(T_StockCount[CountedQty],T_StockCount[RM_Code],$A36,T_StockCount[WeekIndex],36),IF((COUNTIFS(T_SelfStock[RM_Code],$A36,T_SelfStock[WeekIndex],36)&gt;0)*(COUNTIFS(T_TTAFStock[RM_Code],$A36,T_TTAFStock[WeekIndex],36)&gt;0)&gt;0,SUMIFS(T_SelfStock[Self_Qty],T_SelfStock[RM_Code],$A36,T_SelfStock[WeekIndex],36)+SUMIFS(T_TTAFStock[TTAF_Qty],T_TTAFStock[RM_Code],$A36,T_TTAFStock[WeekIndex],36),AJ36+'Grid_Incoming'!AK36-'Grid_Requirement'!AK36))</f>
        <v/>
      </c>
      <c r="AL36">
        <f>IF(COUNTIFS(T_StockCount[RM_Code],$A36,T_StockCount[WeekIndex],37)&gt;0,SUMIFS(T_StockCount[CountedQty],T_StockCount[RM_Code],$A36,T_StockCount[WeekIndex],37),IF((COUNTIFS(T_SelfStock[RM_Code],$A36,T_SelfStock[WeekIndex],37)&gt;0)*(COUNTIFS(T_TTAFStock[RM_Code],$A36,T_TTAFStock[WeekIndex],37)&gt;0)&gt;0,SUMIFS(T_SelfStock[Self_Qty],T_SelfStock[RM_Code],$A36,T_SelfStock[WeekIndex],37)+SUMIFS(T_TTAFStock[TTAF_Qty],T_TTAFStock[RM_Code],$A36,T_TTAFStock[WeekIndex],37),AK36+'Grid_Incoming'!AL36-'Grid_Requirement'!AL36))</f>
        <v/>
      </c>
      <c r="AM36">
        <f>IF(COUNTIFS(T_StockCount[RM_Code],$A36,T_StockCount[WeekIndex],38)&gt;0,SUMIFS(T_StockCount[CountedQty],T_StockCount[RM_Code],$A36,T_StockCount[WeekIndex],38),IF((COUNTIFS(T_SelfStock[RM_Code],$A36,T_SelfStock[WeekIndex],38)&gt;0)*(COUNTIFS(T_TTAFStock[RM_Code],$A36,T_TTAFStock[WeekIndex],38)&gt;0)&gt;0,SUMIFS(T_SelfStock[Self_Qty],T_SelfStock[RM_Code],$A36,T_SelfStock[WeekIndex],38)+SUMIFS(T_TTAFStock[TTAF_Qty],T_TTAFStock[RM_Code],$A36,T_TTAFStock[WeekIndex],38),AL36+'Grid_Incoming'!AM36-'Grid_Requirement'!AM36))</f>
        <v/>
      </c>
      <c r="AN36">
        <f>IF(COUNTIFS(T_StockCount[RM_Code],$A36,T_StockCount[WeekIndex],39)&gt;0,SUMIFS(T_StockCount[CountedQty],T_StockCount[RM_Code],$A36,T_StockCount[WeekIndex],39),IF((COUNTIFS(T_SelfStock[RM_Code],$A36,T_SelfStock[WeekIndex],39)&gt;0)*(COUNTIFS(T_TTAFStock[RM_Code],$A36,T_TTAFStock[WeekIndex],39)&gt;0)&gt;0,SUMIFS(T_SelfStock[Self_Qty],T_SelfStock[RM_Code],$A36,T_SelfStock[WeekIndex],39)+SUMIFS(T_TTAFStock[TTAF_Qty],T_TTAFStock[RM_Code],$A36,T_TTAFStock[WeekIndex],39),AM36+'Grid_Incoming'!AN36-'Grid_Requirement'!AN36))</f>
        <v/>
      </c>
      <c r="AO36">
        <f>IF(COUNTIFS(T_StockCount[RM_Code],$A36,T_StockCount[WeekIndex],40)&gt;0,SUMIFS(T_StockCount[CountedQty],T_StockCount[RM_Code],$A36,T_StockCount[WeekIndex],40),IF((COUNTIFS(T_SelfStock[RM_Code],$A36,T_SelfStock[WeekIndex],40)&gt;0)*(COUNTIFS(T_TTAFStock[RM_Code],$A36,T_TTAFStock[WeekIndex],40)&gt;0)&gt;0,SUMIFS(T_SelfStock[Self_Qty],T_SelfStock[RM_Code],$A36,T_SelfStock[WeekIndex],40)+SUMIFS(T_TTAFStock[TTAF_Qty],T_TTAFStock[RM_Code],$A36,T_TTAFStock[WeekIndex],40),AN36+'Grid_Incoming'!AO36-'Grid_Requirement'!AO36))</f>
        <v/>
      </c>
      <c r="AP36">
        <f>IF(COUNTIFS(T_StockCount[RM_Code],$A36,T_StockCount[WeekIndex],41)&gt;0,SUMIFS(T_StockCount[CountedQty],T_StockCount[RM_Code],$A36,T_StockCount[WeekIndex],41),IF((COUNTIFS(T_SelfStock[RM_Code],$A36,T_SelfStock[WeekIndex],41)&gt;0)*(COUNTIFS(T_TTAFStock[RM_Code],$A36,T_TTAFStock[WeekIndex],41)&gt;0)&gt;0,SUMIFS(T_SelfStock[Self_Qty],T_SelfStock[RM_Code],$A36,T_SelfStock[WeekIndex],41)+SUMIFS(T_TTAFStock[TTAF_Qty],T_TTAFStock[RM_Code],$A36,T_TTAFStock[WeekIndex],41),AO36+'Grid_Incoming'!AP36-'Grid_Requirement'!AP36))</f>
        <v/>
      </c>
      <c r="AQ36">
        <f>IF(COUNTIFS(T_StockCount[RM_Code],$A36,T_StockCount[WeekIndex],42)&gt;0,SUMIFS(T_StockCount[CountedQty],T_StockCount[RM_Code],$A36,T_StockCount[WeekIndex],42),IF((COUNTIFS(T_SelfStock[RM_Code],$A36,T_SelfStock[WeekIndex],42)&gt;0)*(COUNTIFS(T_TTAFStock[RM_Code],$A36,T_TTAFStock[WeekIndex],42)&gt;0)&gt;0,SUMIFS(T_SelfStock[Self_Qty],T_SelfStock[RM_Code],$A36,T_SelfStock[WeekIndex],42)+SUMIFS(T_TTAFStock[TTAF_Qty],T_TTAFStock[RM_Code],$A36,T_TTAFStock[WeekIndex],42),AP36+'Grid_Incoming'!AQ36-'Grid_Requirement'!AQ36))</f>
        <v/>
      </c>
      <c r="AR36">
        <f>IF(COUNTIFS(T_StockCount[RM_Code],$A36,T_StockCount[WeekIndex],43)&gt;0,SUMIFS(T_StockCount[CountedQty],T_StockCount[RM_Code],$A36,T_StockCount[WeekIndex],43),IF((COUNTIFS(T_SelfStock[RM_Code],$A36,T_SelfStock[WeekIndex],43)&gt;0)*(COUNTIFS(T_TTAFStock[RM_Code],$A36,T_TTAFStock[WeekIndex],43)&gt;0)&gt;0,SUMIFS(T_SelfStock[Self_Qty],T_SelfStock[RM_Code],$A36,T_SelfStock[WeekIndex],43)+SUMIFS(T_TTAFStock[TTAF_Qty],T_TTAFStock[RM_Code],$A36,T_TTAFStock[WeekIndex],43),AQ36+'Grid_Incoming'!AR36-'Grid_Requirement'!AR36))</f>
        <v/>
      </c>
      <c r="AS36">
        <f>IF(COUNTIFS(T_StockCount[RM_Code],$A36,T_StockCount[WeekIndex],44)&gt;0,SUMIFS(T_StockCount[CountedQty],T_StockCount[RM_Code],$A36,T_StockCount[WeekIndex],44),IF((COUNTIFS(T_SelfStock[RM_Code],$A36,T_SelfStock[WeekIndex],44)&gt;0)*(COUNTIFS(T_TTAFStock[RM_Code],$A36,T_TTAFStock[WeekIndex],44)&gt;0)&gt;0,SUMIFS(T_SelfStock[Self_Qty],T_SelfStock[RM_Code],$A36,T_SelfStock[WeekIndex],44)+SUMIFS(T_TTAFStock[TTAF_Qty],T_TTAFStock[RM_Code],$A36,T_TTAFStock[WeekIndex],44),AR36+'Grid_Incoming'!AS36-'Grid_Requirement'!AS36))</f>
        <v/>
      </c>
      <c r="AT36">
        <f>IF(COUNTIFS(T_StockCount[RM_Code],$A36,T_StockCount[WeekIndex],45)&gt;0,SUMIFS(T_StockCount[CountedQty],T_StockCount[RM_Code],$A36,T_StockCount[WeekIndex],45),IF((COUNTIFS(T_SelfStock[RM_Code],$A36,T_SelfStock[WeekIndex],45)&gt;0)*(COUNTIFS(T_TTAFStock[RM_Code],$A36,T_TTAFStock[WeekIndex],45)&gt;0)&gt;0,SUMIFS(T_SelfStock[Self_Qty],T_SelfStock[RM_Code],$A36,T_SelfStock[WeekIndex],45)+SUMIFS(T_TTAFStock[TTAF_Qty],T_TTAFStock[RM_Code],$A36,T_TTAFStock[WeekIndex],45),AS36+'Grid_Incoming'!AT36-'Grid_Requirement'!AT36))</f>
        <v/>
      </c>
      <c r="AU36">
        <f>IF(COUNTIFS(T_StockCount[RM_Code],$A36,T_StockCount[WeekIndex],46)&gt;0,SUMIFS(T_StockCount[CountedQty],T_StockCount[RM_Code],$A36,T_StockCount[WeekIndex],46),IF((COUNTIFS(T_SelfStock[RM_Code],$A36,T_SelfStock[WeekIndex],46)&gt;0)*(COUNTIFS(T_TTAFStock[RM_Code],$A36,T_TTAFStock[WeekIndex],46)&gt;0)&gt;0,SUMIFS(T_SelfStock[Self_Qty],T_SelfStock[RM_Code],$A36,T_SelfStock[WeekIndex],46)+SUMIFS(T_TTAFStock[TTAF_Qty],T_TTAFStock[RM_Code],$A36,T_TTAFStock[WeekIndex],46),AT36+'Grid_Incoming'!AU36-'Grid_Requirement'!AU36))</f>
        <v/>
      </c>
      <c r="AV36">
        <f>IF(COUNTIFS(T_StockCount[RM_Code],$A36,T_StockCount[WeekIndex],47)&gt;0,SUMIFS(T_StockCount[CountedQty],T_StockCount[RM_Code],$A36,T_StockCount[WeekIndex],47),IF((COUNTIFS(T_SelfStock[RM_Code],$A36,T_SelfStock[WeekIndex],47)&gt;0)*(COUNTIFS(T_TTAFStock[RM_Code],$A36,T_TTAFStock[WeekIndex],47)&gt;0)&gt;0,SUMIFS(T_SelfStock[Self_Qty],T_SelfStock[RM_Code],$A36,T_SelfStock[WeekIndex],47)+SUMIFS(T_TTAFStock[TTAF_Qty],T_TTAFStock[RM_Code],$A36,T_TTAFStock[WeekIndex],47),AU36+'Grid_Incoming'!AV36-'Grid_Requirement'!AV36))</f>
        <v/>
      </c>
      <c r="AW36">
        <f>IF(COUNTIFS(T_StockCount[RM_Code],$A36,T_StockCount[WeekIndex],48)&gt;0,SUMIFS(T_StockCount[CountedQty],T_StockCount[RM_Code],$A36,T_StockCount[WeekIndex],48),IF((COUNTIFS(T_SelfStock[RM_Code],$A36,T_SelfStock[WeekIndex],48)&gt;0)*(COUNTIFS(T_TTAFStock[RM_Code],$A36,T_TTAFStock[WeekIndex],48)&gt;0)&gt;0,SUMIFS(T_SelfStock[Self_Qty],T_SelfStock[RM_Code],$A36,T_SelfStock[WeekIndex],48)+SUMIFS(T_TTAFStock[TTAF_Qty],T_TTAFStock[RM_Code],$A36,T_TTAFStock[WeekIndex],48),AV36+'Grid_Incoming'!AW36-'Grid_Requirement'!AW36))</f>
        <v/>
      </c>
      <c r="AX36">
        <f>IF(COUNTIFS(T_StockCount[RM_Code],$A36,T_StockCount[WeekIndex],49)&gt;0,SUMIFS(T_StockCount[CountedQty],T_StockCount[RM_Code],$A36,T_StockCount[WeekIndex],49),IF((COUNTIFS(T_SelfStock[RM_Code],$A36,T_SelfStock[WeekIndex],49)&gt;0)*(COUNTIFS(T_TTAFStock[RM_Code],$A36,T_TTAFStock[WeekIndex],49)&gt;0)&gt;0,SUMIFS(T_SelfStock[Self_Qty],T_SelfStock[RM_Code],$A36,T_SelfStock[WeekIndex],49)+SUMIFS(T_TTAFStock[TTAF_Qty],T_TTAFStock[RM_Code],$A36,T_TTAFStock[WeekIndex],49),AW36+'Grid_Incoming'!AX36-'Grid_Requirement'!AX36))</f>
        <v/>
      </c>
      <c r="AY36">
        <f>IF(COUNTIFS(T_StockCount[RM_Code],$A36,T_StockCount[WeekIndex],50)&gt;0,SUMIFS(T_StockCount[CountedQty],T_StockCount[RM_Code],$A36,T_StockCount[WeekIndex],50),IF((COUNTIFS(T_SelfStock[RM_Code],$A36,T_SelfStock[WeekIndex],50)&gt;0)*(COUNTIFS(T_TTAFStock[RM_Code],$A36,T_TTAFStock[WeekIndex],50)&gt;0)&gt;0,SUMIFS(T_SelfStock[Self_Qty],T_SelfStock[RM_Code],$A36,T_SelfStock[WeekIndex],50)+SUMIFS(T_TTAFStock[TTAF_Qty],T_TTAFStock[RM_Code],$A36,T_TTAFStock[WeekIndex],50),AX36+'Grid_Incoming'!AY36-'Grid_Requirement'!AY36))</f>
        <v/>
      </c>
      <c r="AZ36">
        <f>IF(COUNTIFS(T_StockCount[RM_Code],$A36,T_StockCount[WeekIndex],51)&gt;0,SUMIFS(T_StockCount[CountedQty],T_StockCount[RM_Code],$A36,T_StockCount[WeekIndex],51),IF((COUNTIFS(T_SelfStock[RM_Code],$A36,T_SelfStock[WeekIndex],51)&gt;0)*(COUNTIFS(T_TTAFStock[RM_Code],$A36,T_TTAFStock[WeekIndex],51)&gt;0)&gt;0,SUMIFS(T_SelfStock[Self_Qty],T_SelfStock[RM_Code],$A36,T_SelfStock[WeekIndex],51)+SUMIFS(T_TTAFStock[TTAF_Qty],T_TTAFStock[RM_Code],$A36,T_TTAFStock[WeekIndex],51),AY36+'Grid_Incoming'!AZ36-'Grid_Requirement'!AZ36))</f>
        <v/>
      </c>
      <c r="BA36">
        <f>IF(COUNTIFS(T_StockCount[RM_Code],$A36,T_StockCount[WeekIndex],52)&gt;0,SUMIFS(T_StockCount[CountedQty],T_StockCount[RM_Code],$A36,T_StockCount[WeekIndex],52),IF((COUNTIFS(T_SelfStock[RM_Code],$A36,T_SelfStock[WeekIndex],52)&gt;0)*(COUNTIFS(T_TTAFStock[RM_Code],$A36,T_TTAFStock[WeekIndex],52)&gt;0)&gt;0,SUMIFS(T_SelfStock[Self_Qty],T_SelfStock[RM_Code],$A36,T_SelfStock[WeekIndex],52)+SUMIFS(T_TTAFStock[TTAF_Qty],T_TTAFStock[RM_Code],$A36,T_TTAFStock[WeekIndex],52),AZ36+'Grid_Incoming'!BA36-'Grid_Requirement'!BA36))</f>
        <v/>
      </c>
      <c r="BB36">
        <f>IF(COUNTIFS(T_StockCount[RM_Code],$A36,T_StockCount[WeekIndex],53)&gt;0,SUMIFS(T_StockCount[CountedQty],T_StockCount[RM_Code],$A36,T_StockCount[WeekIndex],53),IF((COUNTIFS(T_SelfStock[RM_Code],$A36,T_SelfStock[WeekIndex],53)&gt;0)*(COUNTIFS(T_TTAFStock[RM_Code],$A36,T_TTAFStock[WeekIndex],53)&gt;0)&gt;0,SUMIFS(T_SelfStock[Self_Qty],T_SelfStock[RM_Code],$A36,T_SelfStock[WeekIndex],53)+SUMIFS(T_TTAFStock[TTAF_Qty],T_TTAFStock[RM_Code],$A36,T_TTAFStock[WeekIndex],53),BA36+'Grid_Incoming'!BB36-'Grid_Requirement'!BB36))</f>
        <v/>
      </c>
      <c r="BC36">
        <f>IF(COUNTIFS(T_StockCount[RM_Code],$A36,T_StockCount[WeekIndex],54)&gt;0,SUMIFS(T_StockCount[CountedQty],T_StockCount[RM_Code],$A36,T_StockCount[WeekIndex],54),IF((COUNTIFS(T_SelfStock[RM_Code],$A36,T_SelfStock[WeekIndex],54)&gt;0)*(COUNTIFS(T_TTAFStock[RM_Code],$A36,T_TTAFStock[WeekIndex],54)&gt;0)&gt;0,SUMIFS(T_SelfStock[Self_Qty],T_SelfStock[RM_Code],$A36,T_SelfStock[WeekIndex],54)+SUMIFS(T_TTAFStock[TTAF_Qty],T_TTAFStock[RM_Code],$A36,T_TTAFStock[WeekIndex],54),BB36+'Grid_Incoming'!BC36-'Grid_Requirement'!BC36))</f>
        <v/>
      </c>
      <c r="BD36">
        <f>IF(COUNTIFS(T_StockCount[RM_Code],$A36,T_StockCount[WeekIndex],55)&gt;0,SUMIFS(T_StockCount[CountedQty],T_StockCount[RM_Code],$A36,T_StockCount[WeekIndex],55),IF((COUNTIFS(T_SelfStock[RM_Code],$A36,T_SelfStock[WeekIndex],55)&gt;0)*(COUNTIFS(T_TTAFStock[RM_Code],$A36,T_TTAFStock[WeekIndex],55)&gt;0)&gt;0,SUMIFS(T_SelfStock[Self_Qty],T_SelfStock[RM_Code],$A36,T_SelfStock[WeekIndex],55)+SUMIFS(T_TTAFStock[TTAF_Qty],T_TTAFStock[RM_Code],$A36,T_TTAFStock[WeekIndex],55),BC36+'Grid_Incoming'!BD36-'Grid_Requirement'!BD36))</f>
        <v/>
      </c>
      <c r="BE36">
        <f>IF(COUNTIFS(T_StockCount[RM_Code],$A36,T_StockCount[WeekIndex],56)&gt;0,SUMIFS(T_StockCount[CountedQty],T_StockCount[RM_Code],$A36,T_StockCount[WeekIndex],56),IF((COUNTIFS(T_SelfStock[RM_Code],$A36,T_SelfStock[WeekIndex],56)&gt;0)*(COUNTIFS(T_TTAFStock[RM_Code],$A36,T_TTAFStock[WeekIndex],56)&gt;0)&gt;0,SUMIFS(T_SelfStock[Self_Qty],T_SelfStock[RM_Code],$A36,T_SelfStock[WeekIndex],56)+SUMIFS(T_TTAFStock[TTAF_Qty],T_TTAFStock[RM_Code],$A36,T_TTAFStock[WeekIndex],56),BD36+'Grid_Incoming'!BE36-'Grid_Requirement'!BE36))</f>
        <v/>
      </c>
      <c r="BF36">
        <f>IF(COUNTIFS(T_StockCount[RM_Code],$A36,T_StockCount[WeekIndex],57)&gt;0,SUMIFS(T_StockCount[CountedQty],T_StockCount[RM_Code],$A36,T_StockCount[WeekIndex],57),IF((COUNTIFS(T_SelfStock[RM_Code],$A36,T_SelfStock[WeekIndex],57)&gt;0)*(COUNTIFS(T_TTAFStock[RM_Code],$A36,T_TTAFStock[WeekIndex],57)&gt;0)&gt;0,SUMIFS(T_SelfStock[Self_Qty],T_SelfStock[RM_Code],$A36,T_SelfStock[WeekIndex],57)+SUMIFS(T_TTAFStock[TTAF_Qty],T_TTAFStock[RM_Code],$A36,T_TTAFStock[WeekIndex],57),BE36+'Grid_Incoming'!BF36-'Grid_Requirement'!BF36))</f>
        <v/>
      </c>
      <c r="BG36">
        <f>IF(COUNTIFS(T_StockCount[RM_Code],$A36,T_StockCount[WeekIndex],58)&gt;0,SUMIFS(T_StockCount[CountedQty],T_StockCount[RM_Code],$A36,T_StockCount[WeekIndex],58),IF((COUNTIFS(T_SelfStock[RM_Code],$A36,T_SelfStock[WeekIndex],58)&gt;0)*(COUNTIFS(T_TTAFStock[RM_Code],$A36,T_TTAFStock[WeekIndex],58)&gt;0)&gt;0,SUMIFS(T_SelfStock[Self_Qty],T_SelfStock[RM_Code],$A36,T_SelfStock[WeekIndex],58)+SUMIFS(T_TTAFStock[TTAF_Qty],T_TTAFStock[RM_Code],$A36,T_TTAFStock[WeekIndex],58),BF36+'Grid_Incoming'!BG36-'Grid_Requirement'!BG36))</f>
        <v/>
      </c>
      <c r="BH36">
        <f>IF(COUNTIFS(T_StockCount[RM_Code],$A36,T_StockCount[WeekIndex],59)&gt;0,SUMIFS(T_StockCount[CountedQty],T_StockCount[RM_Code],$A36,T_StockCount[WeekIndex],59),IF((COUNTIFS(T_SelfStock[RM_Code],$A36,T_SelfStock[WeekIndex],59)&gt;0)*(COUNTIFS(T_TTAFStock[RM_Code],$A36,T_TTAFStock[WeekIndex],59)&gt;0)&gt;0,SUMIFS(T_SelfStock[Self_Qty],T_SelfStock[RM_Code],$A36,T_SelfStock[WeekIndex],59)+SUMIFS(T_TTAFStock[TTAF_Qty],T_TTAFStock[RM_Code],$A36,T_TTAFStock[WeekIndex],59),BG36+'Grid_Incoming'!BH36-'Grid_Requirement'!BH36))</f>
        <v/>
      </c>
      <c r="BI36">
        <f>IF(COUNTIFS(T_StockCount[RM_Code],$A36,T_StockCount[WeekIndex],60)&gt;0,SUMIFS(T_StockCount[CountedQty],T_StockCount[RM_Code],$A36,T_StockCount[WeekIndex],60),IF((COUNTIFS(T_SelfStock[RM_Code],$A36,T_SelfStock[WeekIndex],60)&gt;0)*(COUNTIFS(T_TTAFStock[RM_Code],$A36,T_TTAFStock[WeekIndex],60)&gt;0)&gt;0,SUMIFS(T_SelfStock[Self_Qty],T_SelfStock[RM_Code],$A36,T_SelfStock[WeekIndex],60)+SUMIFS(T_TTAFStock[TTAF_Qty],T_TTAFStock[RM_Code],$A36,T_TTAFStock[WeekIndex],60),BH36+'Grid_Incoming'!BI36-'Grid_Requirement'!BI36))</f>
        <v/>
      </c>
      <c r="BJ36">
        <f>IF(COUNTIFS(T_StockCount[RM_Code],$A36,T_StockCount[WeekIndex],61)&gt;0,SUMIFS(T_StockCount[CountedQty],T_StockCount[RM_Code],$A36,T_StockCount[WeekIndex],61),IF((COUNTIFS(T_SelfStock[RM_Code],$A36,T_SelfStock[WeekIndex],61)&gt;0)*(COUNTIFS(T_TTAFStock[RM_Code],$A36,T_TTAFStock[WeekIndex],61)&gt;0)&gt;0,SUMIFS(T_SelfStock[Self_Qty],T_SelfStock[RM_Code],$A36,T_SelfStock[WeekIndex],61)+SUMIFS(T_TTAFStock[TTAF_Qty],T_TTAFStock[RM_Code],$A36,T_TTAFStock[WeekIndex],61),BI36+'Grid_Incoming'!BJ36-'Grid_Requirement'!BJ36))</f>
        <v/>
      </c>
      <c r="BK36">
        <f>IF(COUNTIFS(T_StockCount[RM_Code],$A36,T_StockCount[WeekIndex],62)&gt;0,SUMIFS(T_StockCount[CountedQty],T_StockCount[RM_Code],$A36,T_StockCount[WeekIndex],62),IF((COUNTIFS(T_SelfStock[RM_Code],$A36,T_SelfStock[WeekIndex],62)&gt;0)*(COUNTIFS(T_TTAFStock[RM_Code],$A36,T_TTAFStock[WeekIndex],62)&gt;0)&gt;0,SUMIFS(T_SelfStock[Self_Qty],T_SelfStock[RM_Code],$A36,T_SelfStock[WeekIndex],62)+SUMIFS(T_TTAFStock[TTAF_Qty],T_TTAFStock[RM_Code],$A36,T_TTAFStock[WeekIndex],62),BJ36+'Grid_Incoming'!BK36-'Grid_Requirement'!BK36))</f>
        <v/>
      </c>
      <c r="BL36">
        <f>IF(COUNTIFS(T_StockCount[RM_Code],$A36,T_StockCount[WeekIndex],63)&gt;0,SUMIFS(T_StockCount[CountedQty],T_StockCount[RM_Code],$A36,T_StockCount[WeekIndex],63),IF((COUNTIFS(T_SelfStock[RM_Code],$A36,T_SelfStock[WeekIndex],63)&gt;0)*(COUNTIFS(T_TTAFStock[RM_Code],$A36,T_TTAFStock[WeekIndex],63)&gt;0)&gt;0,SUMIFS(T_SelfStock[Self_Qty],T_SelfStock[RM_Code],$A36,T_SelfStock[WeekIndex],63)+SUMIFS(T_TTAFStock[TTAF_Qty],T_TTAFStock[RM_Code],$A36,T_TTAFStock[WeekIndex],63),BK36+'Grid_Incoming'!BL36-'Grid_Requirement'!BL36))</f>
        <v/>
      </c>
      <c r="BM36">
        <f>IF(COUNTIFS(T_StockCount[RM_Code],$A36,T_StockCount[WeekIndex],64)&gt;0,SUMIFS(T_StockCount[CountedQty],T_StockCount[RM_Code],$A36,T_StockCount[WeekIndex],64),IF((COUNTIFS(T_SelfStock[RM_Code],$A36,T_SelfStock[WeekIndex],64)&gt;0)*(COUNTIFS(T_TTAFStock[RM_Code],$A36,T_TTAFStock[WeekIndex],64)&gt;0)&gt;0,SUMIFS(T_SelfStock[Self_Qty],T_SelfStock[RM_Code],$A36,T_SelfStock[WeekIndex],64)+SUMIFS(T_TTAFStock[TTAF_Qty],T_TTAFStock[RM_Code],$A36,T_TTAFStock[WeekIndex],64),BL36+'Grid_Incoming'!BM36-'Grid_Requirement'!BM36))</f>
        <v/>
      </c>
      <c r="BN36">
        <f>IF(COUNTIFS(T_StockCount[RM_Code],$A36,T_StockCount[WeekIndex],65)&gt;0,SUMIFS(T_StockCount[CountedQty],T_StockCount[RM_Code],$A36,T_StockCount[WeekIndex],65),IF((COUNTIFS(T_SelfStock[RM_Code],$A36,T_SelfStock[WeekIndex],65)&gt;0)*(COUNTIFS(T_TTAFStock[RM_Code],$A36,T_TTAFStock[WeekIndex],65)&gt;0)&gt;0,SUMIFS(T_SelfStock[Self_Qty],T_SelfStock[RM_Code],$A36,T_SelfStock[WeekIndex],65)+SUMIFS(T_TTAFStock[TTAF_Qty],T_TTAFStock[RM_Code],$A36,T_TTAFStock[WeekIndex],65),BM36+'Grid_Incoming'!BN36-'Grid_Requirement'!BN36))</f>
        <v/>
      </c>
      <c r="BO36">
        <f>IF(COUNTIFS(T_StockCount[RM_Code],$A36,T_StockCount[WeekIndex],66)&gt;0,SUMIFS(T_StockCount[CountedQty],T_StockCount[RM_Code],$A36,T_StockCount[WeekIndex],66),IF((COUNTIFS(T_SelfStock[RM_Code],$A36,T_SelfStock[WeekIndex],66)&gt;0)*(COUNTIFS(T_TTAFStock[RM_Code],$A36,T_TTAFStock[WeekIndex],66)&gt;0)&gt;0,SUMIFS(T_SelfStock[Self_Qty],T_SelfStock[RM_Code],$A36,T_SelfStock[WeekIndex],66)+SUMIFS(T_TTAFStock[TTAF_Qty],T_TTAFStock[RM_Code],$A36,T_TTAFStock[WeekIndex],66),BN36+'Grid_Incoming'!BO36-'Grid_Requirement'!BO36))</f>
        <v/>
      </c>
      <c r="BP36">
        <f>IF(COUNTIFS(T_StockCount[RM_Code],$A36,T_StockCount[WeekIndex],67)&gt;0,SUMIFS(T_StockCount[CountedQty],T_StockCount[RM_Code],$A36,T_StockCount[WeekIndex],67),IF((COUNTIFS(T_SelfStock[RM_Code],$A36,T_SelfStock[WeekIndex],67)&gt;0)*(COUNTIFS(T_TTAFStock[RM_Code],$A36,T_TTAFStock[WeekIndex],67)&gt;0)&gt;0,SUMIFS(T_SelfStock[Self_Qty],T_SelfStock[RM_Code],$A36,T_SelfStock[WeekIndex],67)+SUMIFS(T_TTAFStock[TTAF_Qty],T_TTAFStock[RM_Code],$A36,T_TTAFStock[WeekIndex],67),BO36+'Grid_Incoming'!BP36-'Grid_Requirement'!BP36))</f>
        <v/>
      </c>
      <c r="BQ36">
        <f>IF(COUNTIFS(T_StockCount[RM_Code],$A36,T_StockCount[WeekIndex],68)&gt;0,SUMIFS(T_StockCount[CountedQty],T_StockCount[RM_Code],$A36,T_StockCount[WeekIndex],68),IF((COUNTIFS(T_SelfStock[RM_Code],$A36,T_SelfStock[WeekIndex],68)&gt;0)*(COUNTIFS(T_TTAFStock[RM_Code],$A36,T_TTAFStock[WeekIndex],68)&gt;0)&gt;0,SUMIFS(T_SelfStock[Self_Qty],T_SelfStock[RM_Code],$A36,T_SelfStock[WeekIndex],68)+SUMIFS(T_TTAFStock[TTAF_Qty],T_TTAFStock[RM_Code],$A36,T_TTAFStock[WeekIndex],68),BP36+'Grid_Incoming'!BQ36-'Grid_Requirement'!BQ36))</f>
        <v/>
      </c>
      <c r="BR36">
        <f>IF(COUNTIFS(T_StockCount[RM_Code],$A36,T_StockCount[WeekIndex],69)&gt;0,SUMIFS(T_StockCount[CountedQty],T_StockCount[RM_Code],$A36,T_StockCount[WeekIndex],69),IF((COUNTIFS(T_SelfStock[RM_Code],$A36,T_SelfStock[WeekIndex],69)&gt;0)*(COUNTIFS(T_TTAFStock[RM_Code],$A36,T_TTAFStock[WeekIndex],69)&gt;0)&gt;0,SUMIFS(T_SelfStock[Self_Qty],T_SelfStock[RM_Code],$A36,T_SelfStock[WeekIndex],69)+SUMIFS(T_TTAFStock[TTAF_Qty],T_TTAFStock[RM_Code],$A36,T_TTAFStock[WeekIndex],69),BQ36+'Grid_Incoming'!BR36-'Grid_Requirement'!BR36))</f>
        <v/>
      </c>
      <c r="BS36">
        <f>IF(COUNTIFS(T_StockCount[RM_Code],$A36,T_StockCount[WeekIndex],70)&gt;0,SUMIFS(T_StockCount[CountedQty],T_StockCount[RM_Code],$A36,T_StockCount[WeekIndex],70),IF((COUNTIFS(T_SelfStock[RM_Code],$A36,T_SelfStock[WeekIndex],70)&gt;0)*(COUNTIFS(T_TTAFStock[RM_Code],$A36,T_TTAFStock[WeekIndex],70)&gt;0)&gt;0,SUMIFS(T_SelfStock[Self_Qty],T_SelfStock[RM_Code],$A36,T_SelfStock[WeekIndex],70)+SUMIFS(T_TTAFStock[TTAF_Qty],T_TTAFStock[RM_Code],$A36,T_TTAFStock[WeekIndex],70),BR36+'Grid_Incoming'!BS36-'Grid_Requirement'!BS36))</f>
        <v/>
      </c>
      <c r="BT36">
        <f>IF(COUNTIFS(T_StockCount[RM_Code],$A36,T_StockCount[WeekIndex],71)&gt;0,SUMIFS(T_StockCount[CountedQty],T_StockCount[RM_Code],$A36,T_StockCount[WeekIndex],71),IF((COUNTIFS(T_SelfStock[RM_Code],$A36,T_SelfStock[WeekIndex],71)&gt;0)*(COUNTIFS(T_TTAFStock[RM_Code],$A36,T_TTAFStock[WeekIndex],71)&gt;0)&gt;0,SUMIFS(T_SelfStock[Self_Qty],T_SelfStock[RM_Code],$A36,T_SelfStock[WeekIndex],71)+SUMIFS(T_TTAFStock[TTAF_Qty],T_TTAFStock[RM_Code],$A36,T_TTAFStock[WeekIndex],71),BS36+'Grid_Incoming'!BT36-'Grid_Requirement'!BT36))</f>
        <v/>
      </c>
      <c r="BU36">
        <f>IF(COUNTIFS(T_StockCount[RM_Code],$A36,T_StockCount[WeekIndex],72)&gt;0,SUMIFS(T_StockCount[CountedQty],T_StockCount[RM_Code],$A36,T_StockCount[WeekIndex],72),IF((COUNTIFS(T_SelfStock[RM_Code],$A36,T_SelfStock[WeekIndex],72)&gt;0)*(COUNTIFS(T_TTAFStock[RM_Code],$A36,T_TTAFStock[WeekIndex],72)&gt;0)&gt;0,SUMIFS(T_SelfStock[Self_Qty],T_SelfStock[RM_Code],$A36,T_SelfStock[WeekIndex],72)+SUMIFS(T_TTAFStock[TTAF_Qty],T_TTAFStock[RM_Code],$A36,T_TTAFStock[WeekIndex],72),BT36+'Grid_Incoming'!BU36-'Grid_Requirement'!BU36))</f>
        <v/>
      </c>
      <c r="BV36">
        <f>IF(COUNTIFS(T_StockCount[RM_Code],$A36,T_StockCount[WeekIndex],73)&gt;0,SUMIFS(T_StockCount[CountedQty],T_StockCount[RM_Code],$A36,T_StockCount[WeekIndex],73),IF((COUNTIFS(T_SelfStock[RM_Code],$A36,T_SelfStock[WeekIndex],73)&gt;0)*(COUNTIFS(T_TTAFStock[RM_Code],$A36,T_TTAFStock[WeekIndex],73)&gt;0)&gt;0,SUMIFS(T_SelfStock[Self_Qty],T_SelfStock[RM_Code],$A36,T_SelfStock[WeekIndex],73)+SUMIFS(T_TTAFStock[TTAF_Qty],T_TTAFStock[RM_Code],$A36,T_TTAFStock[WeekIndex],73),BU36+'Grid_Incoming'!BV36-'Grid_Requirement'!BV36))</f>
        <v/>
      </c>
      <c r="BW36">
        <f>IF(COUNTIFS(T_StockCount[RM_Code],$A36,T_StockCount[WeekIndex],74)&gt;0,SUMIFS(T_StockCount[CountedQty],T_StockCount[RM_Code],$A36,T_StockCount[WeekIndex],74),IF((COUNTIFS(T_SelfStock[RM_Code],$A36,T_SelfStock[WeekIndex],74)&gt;0)*(COUNTIFS(T_TTAFStock[RM_Code],$A36,T_TTAFStock[WeekIndex],74)&gt;0)&gt;0,SUMIFS(T_SelfStock[Self_Qty],T_SelfStock[RM_Code],$A36,T_SelfStock[WeekIndex],74)+SUMIFS(T_TTAFStock[TTAF_Qty],T_TTAFStock[RM_Code],$A36,T_TTAFStock[WeekIndex],74),BV36+'Grid_Incoming'!BW36-'Grid_Requirement'!BW36))</f>
        <v/>
      </c>
      <c r="BX36">
        <f>IF(COUNTIFS(T_StockCount[RM_Code],$A36,T_StockCount[WeekIndex],75)&gt;0,SUMIFS(T_StockCount[CountedQty],T_StockCount[RM_Code],$A36,T_StockCount[WeekIndex],75),IF((COUNTIFS(T_SelfStock[RM_Code],$A36,T_SelfStock[WeekIndex],75)&gt;0)*(COUNTIFS(T_TTAFStock[RM_Code],$A36,T_TTAFStock[WeekIndex],75)&gt;0)&gt;0,SUMIFS(T_SelfStock[Self_Qty],T_SelfStock[RM_Code],$A36,T_SelfStock[WeekIndex],75)+SUMIFS(T_TTAFStock[TTAF_Qty],T_TTAFStock[RM_Code],$A36,T_TTAFStock[WeekIndex],75),BW36+'Grid_Incoming'!BX36-'Grid_Requirement'!BX36))</f>
        <v/>
      </c>
      <c r="BY36">
        <f>IF(COUNTIFS(T_StockCount[RM_Code],$A36,T_StockCount[WeekIndex],76)&gt;0,SUMIFS(T_StockCount[CountedQty],T_StockCount[RM_Code],$A36,T_StockCount[WeekIndex],76),IF((COUNTIFS(T_SelfStock[RM_Code],$A36,T_SelfStock[WeekIndex],76)&gt;0)*(COUNTIFS(T_TTAFStock[RM_Code],$A36,T_TTAFStock[WeekIndex],76)&gt;0)&gt;0,SUMIFS(T_SelfStock[Self_Qty],T_SelfStock[RM_Code],$A36,T_SelfStock[WeekIndex],76)+SUMIFS(T_TTAFStock[TTAF_Qty],T_TTAFStock[RM_Code],$A36,T_TTAFStock[WeekIndex],76),BX36+'Grid_Incoming'!BY36-'Grid_Requirement'!BY36))</f>
        <v/>
      </c>
      <c r="BZ36">
        <f>IF(COUNTIFS(T_StockCount[RM_Code],$A36,T_StockCount[WeekIndex],77)&gt;0,SUMIFS(T_StockCount[CountedQty],T_StockCount[RM_Code],$A36,T_StockCount[WeekIndex],77),IF((COUNTIFS(T_SelfStock[RM_Code],$A36,T_SelfStock[WeekIndex],77)&gt;0)*(COUNTIFS(T_TTAFStock[RM_Code],$A36,T_TTAFStock[WeekIndex],77)&gt;0)&gt;0,SUMIFS(T_SelfStock[Self_Qty],T_SelfStock[RM_Code],$A36,T_SelfStock[WeekIndex],77)+SUMIFS(T_TTAFStock[TTAF_Qty],T_TTAFStock[RM_Code],$A36,T_TTAFStock[WeekIndex],77),BY36+'Grid_Incoming'!BZ36-'Grid_Requirement'!BZ36))</f>
        <v/>
      </c>
      <c r="CA36">
        <f>IF(COUNTIFS(T_StockCount[RM_Code],$A36,T_StockCount[WeekIndex],78)&gt;0,SUMIFS(T_StockCount[CountedQty],T_StockCount[RM_Code],$A36,T_StockCount[WeekIndex],78),IF((COUNTIFS(T_SelfStock[RM_Code],$A36,T_SelfStock[WeekIndex],78)&gt;0)*(COUNTIFS(T_TTAFStock[RM_Code],$A36,T_TTAFStock[WeekIndex],78)&gt;0)&gt;0,SUMIFS(T_SelfStock[Self_Qty],T_SelfStock[RM_Code],$A36,T_SelfStock[WeekIndex],78)+SUMIFS(T_TTAFStock[TTAF_Qty],T_TTAFStock[RM_Code],$A36,T_TTAFStock[WeekIndex],78),BZ36+'Grid_Incoming'!CA36-'Grid_Requirement'!CA36))</f>
        <v/>
      </c>
      <c r="CB36">
        <f>IF(COUNTIFS(T_StockCount[RM_Code],$A36,T_StockCount[WeekIndex],79)&gt;0,SUMIFS(T_StockCount[CountedQty],T_StockCount[RM_Code],$A36,T_StockCount[WeekIndex],79),IF((COUNTIFS(T_SelfStock[RM_Code],$A36,T_SelfStock[WeekIndex],79)&gt;0)*(COUNTIFS(T_TTAFStock[RM_Code],$A36,T_TTAFStock[WeekIndex],79)&gt;0)&gt;0,SUMIFS(T_SelfStock[Self_Qty],T_SelfStock[RM_Code],$A36,T_SelfStock[WeekIndex],79)+SUMIFS(T_TTAFStock[TTAF_Qty],T_TTAFStock[RM_Code],$A36,T_TTAFStock[WeekIndex],79),CA36+'Grid_Incoming'!CB36-'Grid_Requirement'!CB36))</f>
        <v/>
      </c>
      <c r="CC36">
        <f>IF(COUNTIFS(T_StockCount[RM_Code],$A36,T_StockCount[WeekIndex],80)&gt;0,SUMIFS(T_StockCount[CountedQty],T_StockCount[RM_Code],$A36,T_StockCount[WeekIndex],80),IF((COUNTIFS(T_SelfStock[RM_Code],$A36,T_SelfStock[WeekIndex],80)&gt;0)*(COUNTIFS(T_TTAFStock[RM_Code],$A36,T_TTAFStock[WeekIndex],80)&gt;0)&gt;0,SUMIFS(T_SelfStock[Self_Qty],T_SelfStock[RM_Code],$A36,T_SelfStock[WeekIndex],80)+SUMIFS(T_TTAFStock[TTAF_Qty],T_TTAFStock[RM_Code],$A36,T_TTAFStock[WeekIndex],80),CB36+'Grid_Incoming'!CC36-'Grid_Requirement'!CC36))</f>
        <v/>
      </c>
      <c r="CD36">
        <f>IF(COUNTIFS(T_StockCount[RM_Code],$A36,T_StockCount[WeekIndex],81)&gt;0,SUMIFS(T_StockCount[CountedQty],T_StockCount[RM_Code],$A36,T_StockCount[WeekIndex],81),IF((COUNTIFS(T_SelfStock[RM_Code],$A36,T_SelfStock[WeekIndex],81)&gt;0)*(COUNTIFS(T_TTAFStock[RM_Code],$A36,T_TTAFStock[WeekIndex],81)&gt;0)&gt;0,SUMIFS(T_SelfStock[Self_Qty],T_SelfStock[RM_Code],$A36,T_SelfStock[WeekIndex],81)+SUMIFS(T_TTAFStock[TTAF_Qty],T_TTAFStock[RM_Code],$A36,T_TTAFStock[WeekIndex],81),CC36+'Grid_Incoming'!CD36-'Grid_Requirement'!CD36))</f>
        <v/>
      </c>
      <c r="CE36">
        <f>IF(COUNTIFS(T_StockCount[RM_Code],$A36,T_StockCount[WeekIndex],82)&gt;0,SUMIFS(T_StockCount[CountedQty],T_StockCount[RM_Code],$A36,T_StockCount[WeekIndex],82),IF((COUNTIFS(T_SelfStock[RM_Code],$A36,T_SelfStock[WeekIndex],82)&gt;0)*(COUNTIFS(T_TTAFStock[RM_Code],$A36,T_TTAFStock[WeekIndex],82)&gt;0)&gt;0,SUMIFS(T_SelfStock[Self_Qty],T_SelfStock[RM_Code],$A36,T_SelfStock[WeekIndex],82)+SUMIFS(T_TTAFStock[TTAF_Qty],T_TTAFStock[RM_Code],$A36,T_TTAFStock[WeekIndex],82),CD36+'Grid_Incoming'!CE36-'Grid_Requirement'!CE36))</f>
        <v/>
      </c>
      <c r="CF36">
        <f>IF(COUNTIFS(T_StockCount[RM_Code],$A36,T_StockCount[WeekIndex],83)&gt;0,SUMIFS(T_StockCount[CountedQty],T_StockCount[RM_Code],$A36,T_StockCount[WeekIndex],83),IF((COUNTIFS(T_SelfStock[RM_Code],$A36,T_SelfStock[WeekIndex],83)&gt;0)*(COUNTIFS(T_TTAFStock[RM_Code],$A36,T_TTAFStock[WeekIndex],83)&gt;0)&gt;0,SUMIFS(T_SelfStock[Self_Qty],T_SelfStock[RM_Code],$A36,T_SelfStock[WeekIndex],83)+SUMIFS(T_TTAFStock[TTAF_Qty],T_TTAFStock[RM_Code],$A36,T_TTAFStock[WeekIndex],83),CE36+'Grid_Incoming'!CF36-'Grid_Requirement'!CF36))</f>
        <v/>
      </c>
      <c r="CG36">
        <f>IF(COUNTIFS(T_StockCount[RM_Code],$A36,T_StockCount[WeekIndex],84)&gt;0,SUMIFS(T_StockCount[CountedQty],T_StockCount[RM_Code],$A36,T_StockCount[WeekIndex],84),IF((COUNTIFS(T_SelfStock[RM_Code],$A36,T_SelfStock[WeekIndex],84)&gt;0)*(COUNTIFS(T_TTAFStock[RM_Code],$A36,T_TTAFStock[WeekIndex],84)&gt;0)&gt;0,SUMIFS(T_SelfStock[Self_Qty],T_SelfStock[RM_Code],$A36,T_SelfStock[WeekIndex],84)+SUMIFS(T_TTAFStock[TTAF_Qty],T_TTAFStock[RM_Code],$A36,T_TTAFStock[WeekIndex],84),CF36+'Grid_Incoming'!CG36-'Grid_Requirement'!CG36))</f>
        <v/>
      </c>
      <c r="CH36">
        <f>IF(COUNTIFS(T_StockCount[RM_Code],$A36,T_StockCount[WeekIndex],85)&gt;0,SUMIFS(T_StockCount[CountedQty],T_StockCount[RM_Code],$A36,T_StockCount[WeekIndex],85),IF((COUNTIFS(T_SelfStock[RM_Code],$A36,T_SelfStock[WeekIndex],85)&gt;0)*(COUNTIFS(T_TTAFStock[RM_Code],$A36,T_TTAFStock[WeekIndex],85)&gt;0)&gt;0,SUMIFS(T_SelfStock[Self_Qty],T_SelfStock[RM_Code],$A36,T_SelfStock[WeekIndex],85)+SUMIFS(T_TTAFStock[TTAF_Qty],T_TTAFStock[RM_Code],$A36,T_TTAFStock[WeekIndex],85),CG36+'Grid_Incoming'!CH36-'Grid_Requirement'!CH36))</f>
        <v/>
      </c>
      <c r="CI36">
        <f>IF(COUNTIFS(T_StockCount[RM_Code],$A36,T_StockCount[WeekIndex],86)&gt;0,SUMIFS(T_StockCount[CountedQty],T_StockCount[RM_Code],$A36,T_StockCount[WeekIndex],86),IF((COUNTIFS(T_SelfStock[RM_Code],$A36,T_SelfStock[WeekIndex],86)&gt;0)*(COUNTIFS(T_TTAFStock[RM_Code],$A36,T_TTAFStock[WeekIndex],86)&gt;0)&gt;0,SUMIFS(T_SelfStock[Self_Qty],T_SelfStock[RM_Code],$A36,T_SelfStock[WeekIndex],86)+SUMIFS(T_TTAFStock[TTAF_Qty],T_TTAFStock[RM_Code],$A36,T_TTAFStock[WeekIndex],86),CH36+'Grid_Incoming'!CI36-'Grid_Requirement'!CI36))</f>
        <v/>
      </c>
      <c r="CJ36">
        <f>IF(COUNTIFS(T_StockCount[RM_Code],$A36,T_StockCount[WeekIndex],87)&gt;0,SUMIFS(T_StockCount[CountedQty],T_StockCount[RM_Code],$A36,T_StockCount[WeekIndex],87),IF((COUNTIFS(T_SelfStock[RM_Code],$A36,T_SelfStock[WeekIndex],87)&gt;0)*(COUNTIFS(T_TTAFStock[RM_Code],$A36,T_TTAFStock[WeekIndex],87)&gt;0)&gt;0,SUMIFS(T_SelfStock[Self_Qty],T_SelfStock[RM_Code],$A36,T_SelfStock[WeekIndex],87)+SUMIFS(T_TTAFStock[TTAF_Qty],T_TTAFStock[RM_Code],$A36,T_TTAFStock[WeekIndex],87),CI36+'Grid_Incoming'!CJ36-'Grid_Requirement'!CJ36))</f>
        <v/>
      </c>
      <c r="CK36">
        <f>IF(COUNTIFS(T_StockCount[RM_Code],$A36,T_StockCount[WeekIndex],88)&gt;0,SUMIFS(T_StockCount[CountedQty],T_StockCount[RM_Code],$A36,T_StockCount[WeekIndex],88),IF((COUNTIFS(T_SelfStock[RM_Code],$A36,T_SelfStock[WeekIndex],88)&gt;0)*(COUNTIFS(T_TTAFStock[RM_Code],$A36,T_TTAFStock[WeekIndex],88)&gt;0)&gt;0,SUMIFS(T_SelfStock[Self_Qty],T_SelfStock[RM_Code],$A36,T_SelfStock[WeekIndex],88)+SUMIFS(T_TTAFStock[TTAF_Qty],T_TTAFStock[RM_Code],$A36,T_TTAFStock[WeekIndex],88),CJ36+'Grid_Incoming'!CK36-'Grid_Requirement'!CK36))</f>
        <v/>
      </c>
      <c r="CL36">
        <f>IF(COUNTIFS(T_StockCount[RM_Code],$A36,T_StockCount[WeekIndex],89)&gt;0,SUMIFS(T_StockCount[CountedQty],T_StockCount[RM_Code],$A36,T_StockCount[WeekIndex],89),IF((COUNTIFS(T_SelfStock[RM_Code],$A36,T_SelfStock[WeekIndex],89)&gt;0)*(COUNTIFS(T_TTAFStock[RM_Code],$A36,T_TTAFStock[WeekIndex],89)&gt;0)&gt;0,SUMIFS(T_SelfStock[Self_Qty],T_SelfStock[RM_Code],$A36,T_SelfStock[WeekIndex],89)+SUMIFS(T_TTAFStock[TTAF_Qty],T_TTAFStock[RM_Code],$A36,T_TTAFStock[WeekIndex],89),CK36+'Grid_Incoming'!CL36-'Grid_Requirement'!CL36))</f>
        <v/>
      </c>
      <c r="CM36">
        <f>IF(COUNTIFS(T_StockCount[RM_Code],$A36,T_StockCount[WeekIndex],90)&gt;0,SUMIFS(T_StockCount[CountedQty],T_StockCount[RM_Code],$A36,T_StockCount[WeekIndex],90),IF((COUNTIFS(T_SelfStock[RM_Code],$A36,T_SelfStock[WeekIndex],90)&gt;0)*(COUNTIFS(T_TTAFStock[RM_Code],$A36,T_TTAFStock[WeekIndex],90)&gt;0)&gt;0,SUMIFS(T_SelfStock[Self_Qty],T_SelfStock[RM_Code],$A36,T_SelfStock[WeekIndex],90)+SUMIFS(T_TTAFStock[TTAF_Qty],T_TTAFStock[RM_Code],$A36,T_TTAFStock[WeekIndex],90),CL36+'Grid_Incoming'!CM36-'Grid_Requirement'!CM36))</f>
        <v/>
      </c>
      <c r="CN36">
        <f>IF(COUNTIFS(T_StockCount[RM_Code],$A36,T_StockCount[WeekIndex],91)&gt;0,SUMIFS(T_StockCount[CountedQty],T_StockCount[RM_Code],$A36,T_StockCount[WeekIndex],91),IF((COUNTIFS(T_SelfStock[RM_Code],$A36,T_SelfStock[WeekIndex],91)&gt;0)*(COUNTIFS(T_TTAFStock[RM_Code],$A36,T_TTAFStock[WeekIndex],91)&gt;0)&gt;0,SUMIFS(T_SelfStock[Self_Qty],T_SelfStock[RM_Code],$A36,T_SelfStock[WeekIndex],91)+SUMIFS(T_TTAFStock[TTAF_Qty],T_TTAFStock[RM_Code],$A36,T_TTAFStock[WeekIndex],91),CM36+'Grid_Incoming'!CN36-'Grid_Requirement'!CN36))</f>
        <v/>
      </c>
      <c r="CO36">
        <f>IF(COUNTIFS(T_StockCount[RM_Code],$A36,T_StockCount[WeekIndex],92)&gt;0,SUMIFS(T_StockCount[CountedQty],T_StockCount[RM_Code],$A36,T_StockCount[WeekIndex],92),IF((COUNTIFS(T_SelfStock[RM_Code],$A36,T_SelfStock[WeekIndex],92)&gt;0)*(COUNTIFS(T_TTAFStock[RM_Code],$A36,T_TTAFStock[WeekIndex],92)&gt;0)&gt;0,SUMIFS(T_SelfStock[Self_Qty],T_SelfStock[RM_Code],$A36,T_SelfStock[WeekIndex],92)+SUMIFS(T_TTAFStock[TTAF_Qty],T_TTAFStock[RM_Code],$A36,T_TTAFStock[WeekIndex],92),CN36+'Grid_Incoming'!CO36-'Grid_Requirement'!CO36))</f>
        <v/>
      </c>
      <c r="CP36">
        <f>IF(COUNTIFS(T_StockCount[RM_Code],$A36,T_StockCount[WeekIndex],93)&gt;0,SUMIFS(T_StockCount[CountedQty],T_StockCount[RM_Code],$A36,T_StockCount[WeekIndex],93),IF((COUNTIFS(T_SelfStock[RM_Code],$A36,T_SelfStock[WeekIndex],93)&gt;0)*(COUNTIFS(T_TTAFStock[RM_Code],$A36,T_TTAFStock[WeekIndex],93)&gt;0)&gt;0,SUMIFS(T_SelfStock[Self_Qty],T_SelfStock[RM_Code],$A36,T_SelfStock[WeekIndex],93)+SUMIFS(T_TTAFStock[TTAF_Qty],T_TTAFStock[RM_Code],$A36,T_TTAFStock[WeekIndex],93),CO36+'Grid_Incoming'!CP36-'Grid_Requirement'!CP36))</f>
        <v/>
      </c>
      <c r="CQ36">
        <f>IF(COUNTIFS(T_StockCount[RM_Code],$A36,T_StockCount[WeekIndex],94)&gt;0,SUMIFS(T_StockCount[CountedQty],T_StockCount[RM_Code],$A36,T_StockCount[WeekIndex],94),IF((COUNTIFS(T_SelfStock[RM_Code],$A36,T_SelfStock[WeekIndex],94)&gt;0)*(COUNTIFS(T_TTAFStock[RM_Code],$A36,T_TTAFStock[WeekIndex],94)&gt;0)&gt;0,SUMIFS(T_SelfStock[Self_Qty],T_SelfStock[RM_Code],$A36,T_SelfStock[WeekIndex],94)+SUMIFS(T_TTAFStock[TTAF_Qty],T_TTAFStock[RM_Code],$A36,T_TTAFStock[WeekIndex],94),CP36+'Grid_Incoming'!CQ36-'Grid_Requirement'!CQ36))</f>
        <v/>
      </c>
      <c r="CR36">
        <f>IF(COUNTIFS(T_StockCount[RM_Code],$A36,T_StockCount[WeekIndex],95)&gt;0,SUMIFS(T_StockCount[CountedQty],T_StockCount[RM_Code],$A36,T_StockCount[WeekIndex],95),IF((COUNTIFS(T_SelfStock[RM_Code],$A36,T_SelfStock[WeekIndex],95)&gt;0)*(COUNTIFS(T_TTAFStock[RM_Code],$A36,T_TTAFStock[WeekIndex],95)&gt;0)&gt;0,SUMIFS(T_SelfStock[Self_Qty],T_SelfStock[RM_Code],$A36,T_SelfStock[WeekIndex],95)+SUMIFS(T_TTAFStock[TTAF_Qty],T_TTAFStock[RM_Code],$A36,T_TTAFStock[WeekIndex],95),CQ36+'Grid_Incoming'!CR36-'Grid_Requirement'!CR36))</f>
        <v/>
      </c>
      <c r="CS36">
        <f>IF(COUNTIFS(T_StockCount[RM_Code],$A36,T_StockCount[WeekIndex],96)&gt;0,SUMIFS(T_StockCount[CountedQty],T_StockCount[RM_Code],$A36,T_StockCount[WeekIndex],96),IF((COUNTIFS(T_SelfStock[RM_Code],$A36,T_SelfStock[WeekIndex],96)&gt;0)*(COUNTIFS(T_TTAFStock[RM_Code],$A36,T_TTAFStock[WeekIndex],96)&gt;0)&gt;0,SUMIFS(T_SelfStock[Self_Qty],T_SelfStock[RM_Code],$A36,T_SelfStock[WeekIndex],96)+SUMIFS(T_TTAFStock[TTAF_Qty],T_TTAFStock[RM_Code],$A36,T_TTAFStock[WeekIndex],96),CR36+'Grid_Incoming'!CS36-'Grid_Requirement'!CS36))</f>
        <v/>
      </c>
      <c r="CT36">
        <f>IF(COUNTIFS(T_StockCount[RM_Code],$A36,T_StockCount[WeekIndex],97)&gt;0,SUMIFS(T_StockCount[CountedQty],T_StockCount[RM_Code],$A36,T_StockCount[WeekIndex],97),IF((COUNTIFS(T_SelfStock[RM_Code],$A36,T_SelfStock[WeekIndex],97)&gt;0)*(COUNTIFS(T_TTAFStock[RM_Code],$A36,T_TTAFStock[WeekIndex],97)&gt;0)&gt;0,SUMIFS(T_SelfStock[Self_Qty],T_SelfStock[RM_Code],$A36,T_SelfStock[WeekIndex],97)+SUMIFS(T_TTAFStock[TTAF_Qty],T_TTAFStock[RM_Code],$A36,T_TTAFStock[WeekIndex],97),CS36+'Grid_Incoming'!CT36-'Grid_Requirement'!CT36))</f>
        <v/>
      </c>
      <c r="CU36">
        <f>IF(COUNTIFS(T_StockCount[RM_Code],$A36,T_StockCount[WeekIndex],98)&gt;0,SUMIFS(T_StockCount[CountedQty],T_StockCount[RM_Code],$A36,T_StockCount[WeekIndex],98),IF((COUNTIFS(T_SelfStock[RM_Code],$A36,T_SelfStock[WeekIndex],98)&gt;0)*(COUNTIFS(T_TTAFStock[RM_Code],$A36,T_TTAFStock[WeekIndex],98)&gt;0)&gt;0,SUMIFS(T_SelfStock[Self_Qty],T_SelfStock[RM_Code],$A36,T_SelfStock[WeekIndex],98)+SUMIFS(T_TTAFStock[TTAF_Qty],T_TTAFStock[RM_Code],$A36,T_TTAFStock[WeekIndex],98),CT36+'Grid_Incoming'!CU36-'Grid_Requirement'!CU36))</f>
        <v/>
      </c>
      <c r="CV36">
        <f>IF(COUNTIFS(T_StockCount[RM_Code],$A36,T_StockCount[WeekIndex],99)&gt;0,SUMIFS(T_StockCount[CountedQty],T_StockCount[RM_Code],$A36,T_StockCount[WeekIndex],99),IF((COUNTIFS(T_SelfStock[RM_Code],$A36,T_SelfStock[WeekIndex],99)&gt;0)*(COUNTIFS(T_TTAFStock[RM_Code],$A36,T_TTAFStock[WeekIndex],99)&gt;0)&gt;0,SUMIFS(T_SelfStock[Self_Qty],T_SelfStock[RM_Code],$A36,T_SelfStock[WeekIndex],99)+SUMIFS(T_TTAFStock[TTAF_Qty],T_TTAFStock[RM_Code],$A36,T_TTAFStock[WeekIndex],99),CU36+'Grid_Incoming'!CV36-'Grid_Requirement'!CV36))</f>
        <v/>
      </c>
      <c r="CW36">
        <f>IF(COUNTIFS(T_StockCount[RM_Code],$A36,T_StockCount[WeekIndex],100)&gt;0,SUMIFS(T_StockCount[CountedQty],T_StockCount[RM_Code],$A36,T_StockCount[WeekIndex],100),IF((COUNTIFS(T_SelfStock[RM_Code],$A36,T_SelfStock[WeekIndex],100)&gt;0)*(COUNTIFS(T_TTAFStock[RM_Code],$A36,T_TTAFStock[WeekIndex],100)&gt;0)&gt;0,SUMIFS(T_SelfStock[Self_Qty],T_SelfStock[RM_Code],$A36,T_SelfStock[WeekIndex],100)+SUMIFS(T_TTAFStock[TTAF_Qty],T_TTAFStock[RM_Code],$A36,T_TTAFStock[WeekIndex],100),CV36+'Grid_Incoming'!CW36-'Grid_Requirement'!CW36))</f>
        <v/>
      </c>
      <c r="CX36">
        <f>IF(COUNTIFS(T_StockCount[RM_Code],$A36,T_StockCount[WeekIndex],101)&gt;0,SUMIFS(T_StockCount[CountedQty],T_StockCount[RM_Code],$A36,T_StockCount[WeekIndex],101),IF((COUNTIFS(T_SelfStock[RM_Code],$A36,T_SelfStock[WeekIndex],101)&gt;0)*(COUNTIFS(T_TTAFStock[RM_Code],$A36,T_TTAFStock[WeekIndex],101)&gt;0)&gt;0,SUMIFS(T_SelfStock[Self_Qty],T_SelfStock[RM_Code],$A36,T_SelfStock[WeekIndex],101)+SUMIFS(T_TTAFStock[TTAF_Qty],T_TTAFStock[RM_Code],$A36,T_TTAFStock[WeekIndex],101),CW36+'Grid_Incoming'!CX36-'Grid_Requirement'!CX36))</f>
        <v/>
      </c>
      <c r="CY36">
        <f>IF(COUNTIFS(T_StockCount[RM_Code],$A36,T_StockCount[WeekIndex],102)&gt;0,SUMIFS(T_StockCount[CountedQty],T_StockCount[RM_Code],$A36,T_StockCount[WeekIndex],102),IF((COUNTIFS(T_SelfStock[RM_Code],$A36,T_SelfStock[WeekIndex],102)&gt;0)*(COUNTIFS(T_TTAFStock[RM_Code],$A36,T_TTAFStock[WeekIndex],102)&gt;0)&gt;0,SUMIFS(T_SelfStock[Self_Qty],T_SelfStock[RM_Code],$A36,T_SelfStock[WeekIndex],102)+SUMIFS(T_TTAFStock[TTAF_Qty],T_TTAFStock[RM_Code],$A36,T_TTAFStock[WeekIndex],102),CX36+'Grid_Incoming'!CY36-'Grid_Requirement'!CY36))</f>
        <v/>
      </c>
      <c r="CZ36">
        <f>IF(COUNTIFS(T_StockCount[RM_Code],$A36,T_StockCount[WeekIndex],103)&gt;0,SUMIFS(T_StockCount[CountedQty],T_StockCount[RM_Code],$A36,T_StockCount[WeekIndex],103),IF((COUNTIFS(T_SelfStock[RM_Code],$A36,T_SelfStock[WeekIndex],103)&gt;0)*(COUNTIFS(T_TTAFStock[RM_Code],$A36,T_TTAFStock[WeekIndex],103)&gt;0)&gt;0,SUMIFS(T_SelfStock[Self_Qty],T_SelfStock[RM_Code],$A36,T_SelfStock[WeekIndex],103)+SUMIFS(T_TTAFStock[TTAF_Qty],T_TTAFStock[RM_Code],$A36,T_TTAFStock[WeekIndex],103),CY36+'Grid_Incoming'!CZ36-'Grid_Requirement'!CZ36))</f>
        <v/>
      </c>
      <c r="DA36">
        <f>IF(COUNTIFS(T_StockCount[RM_Code],$A36,T_StockCount[WeekIndex],104)&gt;0,SUMIFS(T_StockCount[CountedQty],T_StockCount[RM_Code],$A36,T_StockCount[WeekIndex],104),IF((COUNTIFS(T_SelfStock[RM_Code],$A36,T_SelfStock[WeekIndex],104)&gt;0)*(COUNTIFS(T_TTAFStock[RM_Code],$A36,T_TTAFStock[WeekIndex],104)&gt;0)&gt;0,SUMIFS(T_SelfStock[Self_Qty],T_SelfStock[RM_Code],$A36,T_SelfStock[WeekIndex],104)+SUMIFS(T_TTAFStock[TTAF_Qty],T_TTAFStock[RM_Code],$A36,T_TTAFStock[WeekIndex],104),CZ36+'Grid_Incoming'!DA36-'Grid_Requirement'!DA36))</f>
        <v/>
      </c>
    </row>
    <row r="37">
      <c r="A37" t="inlineStr">
        <is>
          <t>CHEM-1680</t>
        </is>
      </c>
      <c r="B37">
        <f>IF(COUNTIFS(T_StockCount[RM_Code],$A37,T_StockCount[WeekIndex],1)&gt;0,SUMIFS(T_StockCount[CountedQty],T_StockCount[RM_Code],$A37,T_StockCount[WeekIndex],1),IF((COUNTIFS(T_SelfStock[RM_Code],$A37,T_SelfStock[WeekIndex],1)&gt;0)*(COUNTIFS(T_TTAFStock[RM_Code],$A37,T_TTAFStock[WeekIndex],1)&gt;0)&gt;0,SUMIFS(T_SelfStock[Self_Qty],T_SelfStock[RM_Code],$A37,T_SelfStock[WeekIndex],1)+SUMIFS(T_TTAFStock[TTAF_Qty],T_TTAFStock[RM_Code],$A37,T_TTAFStock[WeekIndex],1),IFERROR(INDEX(T_OpeningStock[Opening_Qty],MATCH($A37,T_OpeningStock[RM_Code],0)),0)+'Grid_Incoming'!B37-'Grid_Requirement'!B37))</f>
        <v/>
      </c>
      <c r="C37">
        <f>IF(COUNTIFS(T_StockCount[RM_Code],$A37,T_StockCount[WeekIndex],2)&gt;0,SUMIFS(T_StockCount[CountedQty],T_StockCount[RM_Code],$A37,T_StockCount[WeekIndex],2),IF((COUNTIFS(T_SelfStock[RM_Code],$A37,T_SelfStock[WeekIndex],2)&gt;0)*(COUNTIFS(T_TTAFStock[RM_Code],$A37,T_TTAFStock[WeekIndex],2)&gt;0)&gt;0,SUMIFS(T_SelfStock[Self_Qty],T_SelfStock[RM_Code],$A37,T_SelfStock[WeekIndex],2)+SUMIFS(T_TTAFStock[TTAF_Qty],T_TTAFStock[RM_Code],$A37,T_TTAFStock[WeekIndex],2),B37+'Grid_Incoming'!C37-'Grid_Requirement'!C37))</f>
        <v/>
      </c>
      <c r="D37">
        <f>IF(COUNTIFS(T_StockCount[RM_Code],$A37,T_StockCount[WeekIndex],3)&gt;0,SUMIFS(T_StockCount[CountedQty],T_StockCount[RM_Code],$A37,T_StockCount[WeekIndex],3),IF((COUNTIFS(T_SelfStock[RM_Code],$A37,T_SelfStock[WeekIndex],3)&gt;0)*(COUNTIFS(T_TTAFStock[RM_Code],$A37,T_TTAFStock[WeekIndex],3)&gt;0)&gt;0,SUMIFS(T_SelfStock[Self_Qty],T_SelfStock[RM_Code],$A37,T_SelfStock[WeekIndex],3)+SUMIFS(T_TTAFStock[TTAF_Qty],T_TTAFStock[RM_Code],$A37,T_TTAFStock[WeekIndex],3),C37+'Grid_Incoming'!D37-'Grid_Requirement'!D37))</f>
        <v/>
      </c>
      <c r="E37">
        <f>IF(COUNTIFS(T_StockCount[RM_Code],$A37,T_StockCount[WeekIndex],4)&gt;0,SUMIFS(T_StockCount[CountedQty],T_StockCount[RM_Code],$A37,T_StockCount[WeekIndex],4),IF((COUNTIFS(T_SelfStock[RM_Code],$A37,T_SelfStock[WeekIndex],4)&gt;0)*(COUNTIFS(T_TTAFStock[RM_Code],$A37,T_TTAFStock[WeekIndex],4)&gt;0)&gt;0,SUMIFS(T_SelfStock[Self_Qty],T_SelfStock[RM_Code],$A37,T_SelfStock[WeekIndex],4)+SUMIFS(T_TTAFStock[TTAF_Qty],T_TTAFStock[RM_Code],$A37,T_TTAFStock[WeekIndex],4),D37+'Grid_Incoming'!E37-'Grid_Requirement'!E37))</f>
        <v/>
      </c>
      <c r="F37">
        <f>IF(COUNTIFS(T_StockCount[RM_Code],$A37,T_StockCount[WeekIndex],5)&gt;0,SUMIFS(T_StockCount[CountedQty],T_StockCount[RM_Code],$A37,T_StockCount[WeekIndex],5),IF((COUNTIFS(T_SelfStock[RM_Code],$A37,T_SelfStock[WeekIndex],5)&gt;0)*(COUNTIFS(T_TTAFStock[RM_Code],$A37,T_TTAFStock[WeekIndex],5)&gt;0)&gt;0,SUMIFS(T_SelfStock[Self_Qty],T_SelfStock[RM_Code],$A37,T_SelfStock[WeekIndex],5)+SUMIFS(T_TTAFStock[TTAF_Qty],T_TTAFStock[RM_Code],$A37,T_TTAFStock[WeekIndex],5),E37+'Grid_Incoming'!F37-'Grid_Requirement'!F37))</f>
        <v/>
      </c>
      <c r="G37">
        <f>IF(COUNTIFS(T_StockCount[RM_Code],$A37,T_StockCount[WeekIndex],6)&gt;0,SUMIFS(T_StockCount[CountedQty],T_StockCount[RM_Code],$A37,T_StockCount[WeekIndex],6),IF((COUNTIFS(T_SelfStock[RM_Code],$A37,T_SelfStock[WeekIndex],6)&gt;0)*(COUNTIFS(T_TTAFStock[RM_Code],$A37,T_TTAFStock[WeekIndex],6)&gt;0)&gt;0,SUMIFS(T_SelfStock[Self_Qty],T_SelfStock[RM_Code],$A37,T_SelfStock[WeekIndex],6)+SUMIFS(T_TTAFStock[TTAF_Qty],T_TTAFStock[RM_Code],$A37,T_TTAFStock[WeekIndex],6),F37+'Grid_Incoming'!G37-'Grid_Requirement'!G37))</f>
        <v/>
      </c>
      <c r="H37">
        <f>IF(COUNTIFS(T_StockCount[RM_Code],$A37,T_StockCount[WeekIndex],7)&gt;0,SUMIFS(T_StockCount[CountedQty],T_StockCount[RM_Code],$A37,T_StockCount[WeekIndex],7),IF((COUNTIFS(T_SelfStock[RM_Code],$A37,T_SelfStock[WeekIndex],7)&gt;0)*(COUNTIFS(T_TTAFStock[RM_Code],$A37,T_TTAFStock[WeekIndex],7)&gt;0)&gt;0,SUMIFS(T_SelfStock[Self_Qty],T_SelfStock[RM_Code],$A37,T_SelfStock[WeekIndex],7)+SUMIFS(T_TTAFStock[TTAF_Qty],T_TTAFStock[RM_Code],$A37,T_TTAFStock[WeekIndex],7),G37+'Grid_Incoming'!H37-'Grid_Requirement'!H37))</f>
        <v/>
      </c>
      <c r="I37">
        <f>IF(COUNTIFS(T_StockCount[RM_Code],$A37,T_StockCount[WeekIndex],8)&gt;0,SUMIFS(T_StockCount[CountedQty],T_StockCount[RM_Code],$A37,T_StockCount[WeekIndex],8),IF((COUNTIFS(T_SelfStock[RM_Code],$A37,T_SelfStock[WeekIndex],8)&gt;0)*(COUNTIFS(T_TTAFStock[RM_Code],$A37,T_TTAFStock[WeekIndex],8)&gt;0)&gt;0,SUMIFS(T_SelfStock[Self_Qty],T_SelfStock[RM_Code],$A37,T_SelfStock[WeekIndex],8)+SUMIFS(T_TTAFStock[TTAF_Qty],T_TTAFStock[RM_Code],$A37,T_TTAFStock[WeekIndex],8),H37+'Grid_Incoming'!I37-'Grid_Requirement'!I37))</f>
        <v/>
      </c>
      <c r="J37">
        <f>IF(COUNTIFS(T_StockCount[RM_Code],$A37,T_StockCount[WeekIndex],9)&gt;0,SUMIFS(T_StockCount[CountedQty],T_StockCount[RM_Code],$A37,T_StockCount[WeekIndex],9),IF((COUNTIFS(T_SelfStock[RM_Code],$A37,T_SelfStock[WeekIndex],9)&gt;0)*(COUNTIFS(T_TTAFStock[RM_Code],$A37,T_TTAFStock[WeekIndex],9)&gt;0)&gt;0,SUMIFS(T_SelfStock[Self_Qty],T_SelfStock[RM_Code],$A37,T_SelfStock[WeekIndex],9)+SUMIFS(T_TTAFStock[TTAF_Qty],T_TTAFStock[RM_Code],$A37,T_TTAFStock[WeekIndex],9),I37+'Grid_Incoming'!J37-'Grid_Requirement'!J37))</f>
        <v/>
      </c>
      <c r="K37">
        <f>IF(COUNTIFS(T_StockCount[RM_Code],$A37,T_StockCount[WeekIndex],10)&gt;0,SUMIFS(T_StockCount[CountedQty],T_StockCount[RM_Code],$A37,T_StockCount[WeekIndex],10),IF((COUNTIFS(T_SelfStock[RM_Code],$A37,T_SelfStock[WeekIndex],10)&gt;0)*(COUNTIFS(T_TTAFStock[RM_Code],$A37,T_TTAFStock[WeekIndex],10)&gt;0)&gt;0,SUMIFS(T_SelfStock[Self_Qty],T_SelfStock[RM_Code],$A37,T_SelfStock[WeekIndex],10)+SUMIFS(T_TTAFStock[TTAF_Qty],T_TTAFStock[RM_Code],$A37,T_TTAFStock[WeekIndex],10),J37+'Grid_Incoming'!K37-'Grid_Requirement'!K37))</f>
        <v/>
      </c>
      <c r="L37">
        <f>IF(COUNTIFS(T_StockCount[RM_Code],$A37,T_StockCount[WeekIndex],11)&gt;0,SUMIFS(T_StockCount[CountedQty],T_StockCount[RM_Code],$A37,T_StockCount[WeekIndex],11),IF((COUNTIFS(T_SelfStock[RM_Code],$A37,T_SelfStock[WeekIndex],11)&gt;0)*(COUNTIFS(T_TTAFStock[RM_Code],$A37,T_TTAFStock[WeekIndex],11)&gt;0)&gt;0,SUMIFS(T_SelfStock[Self_Qty],T_SelfStock[RM_Code],$A37,T_SelfStock[WeekIndex],11)+SUMIFS(T_TTAFStock[TTAF_Qty],T_TTAFStock[RM_Code],$A37,T_TTAFStock[WeekIndex],11),K37+'Grid_Incoming'!L37-'Grid_Requirement'!L37))</f>
        <v/>
      </c>
      <c r="M37">
        <f>IF(COUNTIFS(T_StockCount[RM_Code],$A37,T_StockCount[WeekIndex],12)&gt;0,SUMIFS(T_StockCount[CountedQty],T_StockCount[RM_Code],$A37,T_StockCount[WeekIndex],12),IF((COUNTIFS(T_SelfStock[RM_Code],$A37,T_SelfStock[WeekIndex],12)&gt;0)*(COUNTIFS(T_TTAFStock[RM_Code],$A37,T_TTAFStock[WeekIndex],12)&gt;0)&gt;0,SUMIFS(T_SelfStock[Self_Qty],T_SelfStock[RM_Code],$A37,T_SelfStock[WeekIndex],12)+SUMIFS(T_TTAFStock[TTAF_Qty],T_TTAFStock[RM_Code],$A37,T_TTAFStock[WeekIndex],12),L37+'Grid_Incoming'!M37-'Grid_Requirement'!M37))</f>
        <v/>
      </c>
      <c r="N37">
        <f>IF(COUNTIFS(T_StockCount[RM_Code],$A37,T_StockCount[WeekIndex],13)&gt;0,SUMIFS(T_StockCount[CountedQty],T_StockCount[RM_Code],$A37,T_StockCount[WeekIndex],13),IF((COUNTIFS(T_SelfStock[RM_Code],$A37,T_SelfStock[WeekIndex],13)&gt;0)*(COUNTIFS(T_TTAFStock[RM_Code],$A37,T_TTAFStock[WeekIndex],13)&gt;0)&gt;0,SUMIFS(T_SelfStock[Self_Qty],T_SelfStock[RM_Code],$A37,T_SelfStock[WeekIndex],13)+SUMIFS(T_TTAFStock[TTAF_Qty],T_TTAFStock[RM_Code],$A37,T_TTAFStock[WeekIndex],13),M37+'Grid_Incoming'!N37-'Grid_Requirement'!N37))</f>
        <v/>
      </c>
      <c r="O37">
        <f>IF(COUNTIFS(T_StockCount[RM_Code],$A37,T_StockCount[WeekIndex],14)&gt;0,SUMIFS(T_StockCount[CountedQty],T_StockCount[RM_Code],$A37,T_StockCount[WeekIndex],14),IF((COUNTIFS(T_SelfStock[RM_Code],$A37,T_SelfStock[WeekIndex],14)&gt;0)*(COUNTIFS(T_TTAFStock[RM_Code],$A37,T_TTAFStock[WeekIndex],14)&gt;0)&gt;0,SUMIFS(T_SelfStock[Self_Qty],T_SelfStock[RM_Code],$A37,T_SelfStock[WeekIndex],14)+SUMIFS(T_TTAFStock[TTAF_Qty],T_TTAFStock[RM_Code],$A37,T_TTAFStock[WeekIndex],14),N37+'Grid_Incoming'!O37-'Grid_Requirement'!O37))</f>
        <v/>
      </c>
      <c r="P37">
        <f>IF(COUNTIFS(T_StockCount[RM_Code],$A37,T_StockCount[WeekIndex],15)&gt;0,SUMIFS(T_StockCount[CountedQty],T_StockCount[RM_Code],$A37,T_StockCount[WeekIndex],15),IF((COUNTIFS(T_SelfStock[RM_Code],$A37,T_SelfStock[WeekIndex],15)&gt;0)*(COUNTIFS(T_TTAFStock[RM_Code],$A37,T_TTAFStock[WeekIndex],15)&gt;0)&gt;0,SUMIFS(T_SelfStock[Self_Qty],T_SelfStock[RM_Code],$A37,T_SelfStock[WeekIndex],15)+SUMIFS(T_TTAFStock[TTAF_Qty],T_TTAFStock[RM_Code],$A37,T_TTAFStock[WeekIndex],15),O37+'Grid_Incoming'!P37-'Grid_Requirement'!P37))</f>
        <v/>
      </c>
      <c r="Q37">
        <f>IF(COUNTIFS(T_StockCount[RM_Code],$A37,T_StockCount[WeekIndex],16)&gt;0,SUMIFS(T_StockCount[CountedQty],T_StockCount[RM_Code],$A37,T_StockCount[WeekIndex],16),IF((COUNTIFS(T_SelfStock[RM_Code],$A37,T_SelfStock[WeekIndex],16)&gt;0)*(COUNTIFS(T_TTAFStock[RM_Code],$A37,T_TTAFStock[WeekIndex],16)&gt;0)&gt;0,SUMIFS(T_SelfStock[Self_Qty],T_SelfStock[RM_Code],$A37,T_SelfStock[WeekIndex],16)+SUMIFS(T_TTAFStock[TTAF_Qty],T_TTAFStock[RM_Code],$A37,T_TTAFStock[WeekIndex],16),P37+'Grid_Incoming'!Q37-'Grid_Requirement'!Q37))</f>
        <v/>
      </c>
      <c r="R37">
        <f>IF(COUNTIFS(T_StockCount[RM_Code],$A37,T_StockCount[WeekIndex],17)&gt;0,SUMIFS(T_StockCount[CountedQty],T_StockCount[RM_Code],$A37,T_StockCount[WeekIndex],17),IF((COUNTIFS(T_SelfStock[RM_Code],$A37,T_SelfStock[WeekIndex],17)&gt;0)*(COUNTIFS(T_TTAFStock[RM_Code],$A37,T_TTAFStock[WeekIndex],17)&gt;0)&gt;0,SUMIFS(T_SelfStock[Self_Qty],T_SelfStock[RM_Code],$A37,T_SelfStock[WeekIndex],17)+SUMIFS(T_TTAFStock[TTAF_Qty],T_TTAFStock[RM_Code],$A37,T_TTAFStock[WeekIndex],17),Q37+'Grid_Incoming'!R37-'Grid_Requirement'!R37))</f>
        <v/>
      </c>
      <c r="S37">
        <f>IF(COUNTIFS(T_StockCount[RM_Code],$A37,T_StockCount[WeekIndex],18)&gt;0,SUMIFS(T_StockCount[CountedQty],T_StockCount[RM_Code],$A37,T_StockCount[WeekIndex],18),IF((COUNTIFS(T_SelfStock[RM_Code],$A37,T_SelfStock[WeekIndex],18)&gt;0)*(COUNTIFS(T_TTAFStock[RM_Code],$A37,T_TTAFStock[WeekIndex],18)&gt;0)&gt;0,SUMIFS(T_SelfStock[Self_Qty],T_SelfStock[RM_Code],$A37,T_SelfStock[WeekIndex],18)+SUMIFS(T_TTAFStock[TTAF_Qty],T_TTAFStock[RM_Code],$A37,T_TTAFStock[WeekIndex],18),R37+'Grid_Incoming'!S37-'Grid_Requirement'!S37))</f>
        <v/>
      </c>
      <c r="T37">
        <f>IF(COUNTIFS(T_StockCount[RM_Code],$A37,T_StockCount[WeekIndex],19)&gt;0,SUMIFS(T_StockCount[CountedQty],T_StockCount[RM_Code],$A37,T_StockCount[WeekIndex],19),IF((COUNTIFS(T_SelfStock[RM_Code],$A37,T_SelfStock[WeekIndex],19)&gt;0)*(COUNTIFS(T_TTAFStock[RM_Code],$A37,T_TTAFStock[WeekIndex],19)&gt;0)&gt;0,SUMIFS(T_SelfStock[Self_Qty],T_SelfStock[RM_Code],$A37,T_SelfStock[WeekIndex],19)+SUMIFS(T_TTAFStock[TTAF_Qty],T_TTAFStock[RM_Code],$A37,T_TTAFStock[WeekIndex],19),S37+'Grid_Incoming'!T37-'Grid_Requirement'!T37))</f>
        <v/>
      </c>
      <c r="U37">
        <f>IF(COUNTIFS(T_StockCount[RM_Code],$A37,T_StockCount[WeekIndex],20)&gt;0,SUMIFS(T_StockCount[CountedQty],T_StockCount[RM_Code],$A37,T_StockCount[WeekIndex],20),IF((COUNTIFS(T_SelfStock[RM_Code],$A37,T_SelfStock[WeekIndex],20)&gt;0)*(COUNTIFS(T_TTAFStock[RM_Code],$A37,T_TTAFStock[WeekIndex],20)&gt;0)&gt;0,SUMIFS(T_SelfStock[Self_Qty],T_SelfStock[RM_Code],$A37,T_SelfStock[WeekIndex],20)+SUMIFS(T_TTAFStock[TTAF_Qty],T_TTAFStock[RM_Code],$A37,T_TTAFStock[WeekIndex],20),T37+'Grid_Incoming'!U37-'Grid_Requirement'!U37))</f>
        <v/>
      </c>
      <c r="V37">
        <f>IF(COUNTIFS(T_StockCount[RM_Code],$A37,T_StockCount[WeekIndex],21)&gt;0,SUMIFS(T_StockCount[CountedQty],T_StockCount[RM_Code],$A37,T_StockCount[WeekIndex],21),IF((COUNTIFS(T_SelfStock[RM_Code],$A37,T_SelfStock[WeekIndex],21)&gt;0)*(COUNTIFS(T_TTAFStock[RM_Code],$A37,T_TTAFStock[WeekIndex],21)&gt;0)&gt;0,SUMIFS(T_SelfStock[Self_Qty],T_SelfStock[RM_Code],$A37,T_SelfStock[WeekIndex],21)+SUMIFS(T_TTAFStock[TTAF_Qty],T_TTAFStock[RM_Code],$A37,T_TTAFStock[WeekIndex],21),U37+'Grid_Incoming'!V37-'Grid_Requirement'!V37))</f>
        <v/>
      </c>
      <c r="W37">
        <f>IF(COUNTIFS(T_StockCount[RM_Code],$A37,T_StockCount[WeekIndex],22)&gt;0,SUMIFS(T_StockCount[CountedQty],T_StockCount[RM_Code],$A37,T_StockCount[WeekIndex],22),IF((COUNTIFS(T_SelfStock[RM_Code],$A37,T_SelfStock[WeekIndex],22)&gt;0)*(COUNTIFS(T_TTAFStock[RM_Code],$A37,T_TTAFStock[WeekIndex],22)&gt;0)&gt;0,SUMIFS(T_SelfStock[Self_Qty],T_SelfStock[RM_Code],$A37,T_SelfStock[WeekIndex],22)+SUMIFS(T_TTAFStock[TTAF_Qty],T_TTAFStock[RM_Code],$A37,T_TTAFStock[WeekIndex],22),V37+'Grid_Incoming'!W37-'Grid_Requirement'!W37))</f>
        <v/>
      </c>
      <c r="X37">
        <f>IF(COUNTIFS(T_StockCount[RM_Code],$A37,T_StockCount[WeekIndex],23)&gt;0,SUMIFS(T_StockCount[CountedQty],T_StockCount[RM_Code],$A37,T_StockCount[WeekIndex],23),IF((COUNTIFS(T_SelfStock[RM_Code],$A37,T_SelfStock[WeekIndex],23)&gt;0)*(COUNTIFS(T_TTAFStock[RM_Code],$A37,T_TTAFStock[WeekIndex],23)&gt;0)&gt;0,SUMIFS(T_SelfStock[Self_Qty],T_SelfStock[RM_Code],$A37,T_SelfStock[WeekIndex],23)+SUMIFS(T_TTAFStock[TTAF_Qty],T_TTAFStock[RM_Code],$A37,T_TTAFStock[WeekIndex],23),W37+'Grid_Incoming'!X37-'Grid_Requirement'!X37))</f>
        <v/>
      </c>
      <c r="Y37">
        <f>IF(COUNTIFS(T_StockCount[RM_Code],$A37,T_StockCount[WeekIndex],24)&gt;0,SUMIFS(T_StockCount[CountedQty],T_StockCount[RM_Code],$A37,T_StockCount[WeekIndex],24),IF((COUNTIFS(T_SelfStock[RM_Code],$A37,T_SelfStock[WeekIndex],24)&gt;0)*(COUNTIFS(T_TTAFStock[RM_Code],$A37,T_TTAFStock[WeekIndex],24)&gt;0)&gt;0,SUMIFS(T_SelfStock[Self_Qty],T_SelfStock[RM_Code],$A37,T_SelfStock[WeekIndex],24)+SUMIFS(T_TTAFStock[TTAF_Qty],T_TTAFStock[RM_Code],$A37,T_TTAFStock[WeekIndex],24),X37+'Grid_Incoming'!Y37-'Grid_Requirement'!Y37))</f>
        <v/>
      </c>
      <c r="Z37">
        <f>IF(COUNTIFS(T_StockCount[RM_Code],$A37,T_StockCount[WeekIndex],25)&gt;0,SUMIFS(T_StockCount[CountedQty],T_StockCount[RM_Code],$A37,T_StockCount[WeekIndex],25),IF((COUNTIFS(T_SelfStock[RM_Code],$A37,T_SelfStock[WeekIndex],25)&gt;0)*(COUNTIFS(T_TTAFStock[RM_Code],$A37,T_TTAFStock[WeekIndex],25)&gt;0)&gt;0,SUMIFS(T_SelfStock[Self_Qty],T_SelfStock[RM_Code],$A37,T_SelfStock[WeekIndex],25)+SUMIFS(T_TTAFStock[TTAF_Qty],T_TTAFStock[RM_Code],$A37,T_TTAFStock[WeekIndex],25),Y37+'Grid_Incoming'!Z37-'Grid_Requirement'!Z37))</f>
        <v/>
      </c>
      <c r="AA37">
        <f>IF(COUNTIFS(T_StockCount[RM_Code],$A37,T_StockCount[WeekIndex],26)&gt;0,SUMIFS(T_StockCount[CountedQty],T_StockCount[RM_Code],$A37,T_StockCount[WeekIndex],26),IF((COUNTIFS(T_SelfStock[RM_Code],$A37,T_SelfStock[WeekIndex],26)&gt;0)*(COUNTIFS(T_TTAFStock[RM_Code],$A37,T_TTAFStock[WeekIndex],26)&gt;0)&gt;0,SUMIFS(T_SelfStock[Self_Qty],T_SelfStock[RM_Code],$A37,T_SelfStock[WeekIndex],26)+SUMIFS(T_TTAFStock[TTAF_Qty],T_TTAFStock[RM_Code],$A37,T_TTAFStock[WeekIndex],26),Z37+'Grid_Incoming'!AA37-'Grid_Requirement'!AA37))</f>
        <v/>
      </c>
      <c r="AB37">
        <f>IF(COUNTIFS(T_StockCount[RM_Code],$A37,T_StockCount[WeekIndex],27)&gt;0,SUMIFS(T_StockCount[CountedQty],T_StockCount[RM_Code],$A37,T_StockCount[WeekIndex],27),IF((COUNTIFS(T_SelfStock[RM_Code],$A37,T_SelfStock[WeekIndex],27)&gt;0)*(COUNTIFS(T_TTAFStock[RM_Code],$A37,T_TTAFStock[WeekIndex],27)&gt;0)&gt;0,SUMIFS(T_SelfStock[Self_Qty],T_SelfStock[RM_Code],$A37,T_SelfStock[WeekIndex],27)+SUMIFS(T_TTAFStock[TTAF_Qty],T_TTAFStock[RM_Code],$A37,T_TTAFStock[WeekIndex],27),AA37+'Grid_Incoming'!AB37-'Grid_Requirement'!AB37))</f>
        <v/>
      </c>
      <c r="AC37">
        <f>IF(COUNTIFS(T_StockCount[RM_Code],$A37,T_StockCount[WeekIndex],28)&gt;0,SUMIFS(T_StockCount[CountedQty],T_StockCount[RM_Code],$A37,T_StockCount[WeekIndex],28),IF((COUNTIFS(T_SelfStock[RM_Code],$A37,T_SelfStock[WeekIndex],28)&gt;0)*(COUNTIFS(T_TTAFStock[RM_Code],$A37,T_TTAFStock[WeekIndex],28)&gt;0)&gt;0,SUMIFS(T_SelfStock[Self_Qty],T_SelfStock[RM_Code],$A37,T_SelfStock[WeekIndex],28)+SUMIFS(T_TTAFStock[TTAF_Qty],T_TTAFStock[RM_Code],$A37,T_TTAFStock[WeekIndex],28),AB37+'Grid_Incoming'!AC37-'Grid_Requirement'!AC37))</f>
        <v/>
      </c>
      <c r="AD37">
        <f>IF(COUNTIFS(T_StockCount[RM_Code],$A37,T_StockCount[WeekIndex],29)&gt;0,SUMIFS(T_StockCount[CountedQty],T_StockCount[RM_Code],$A37,T_StockCount[WeekIndex],29),IF((COUNTIFS(T_SelfStock[RM_Code],$A37,T_SelfStock[WeekIndex],29)&gt;0)*(COUNTIFS(T_TTAFStock[RM_Code],$A37,T_TTAFStock[WeekIndex],29)&gt;0)&gt;0,SUMIFS(T_SelfStock[Self_Qty],T_SelfStock[RM_Code],$A37,T_SelfStock[WeekIndex],29)+SUMIFS(T_TTAFStock[TTAF_Qty],T_TTAFStock[RM_Code],$A37,T_TTAFStock[WeekIndex],29),AC37+'Grid_Incoming'!AD37-'Grid_Requirement'!AD37))</f>
        <v/>
      </c>
      <c r="AE37">
        <f>IF(COUNTIFS(T_StockCount[RM_Code],$A37,T_StockCount[WeekIndex],30)&gt;0,SUMIFS(T_StockCount[CountedQty],T_StockCount[RM_Code],$A37,T_StockCount[WeekIndex],30),IF((COUNTIFS(T_SelfStock[RM_Code],$A37,T_SelfStock[WeekIndex],30)&gt;0)*(COUNTIFS(T_TTAFStock[RM_Code],$A37,T_TTAFStock[WeekIndex],30)&gt;0)&gt;0,SUMIFS(T_SelfStock[Self_Qty],T_SelfStock[RM_Code],$A37,T_SelfStock[WeekIndex],30)+SUMIFS(T_TTAFStock[TTAF_Qty],T_TTAFStock[RM_Code],$A37,T_TTAFStock[WeekIndex],30),AD37+'Grid_Incoming'!AE37-'Grid_Requirement'!AE37))</f>
        <v/>
      </c>
      <c r="AF37">
        <f>IF(COUNTIFS(T_StockCount[RM_Code],$A37,T_StockCount[WeekIndex],31)&gt;0,SUMIFS(T_StockCount[CountedQty],T_StockCount[RM_Code],$A37,T_StockCount[WeekIndex],31),IF((COUNTIFS(T_SelfStock[RM_Code],$A37,T_SelfStock[WeekIndex],31)&gt;0)*(COUNTIFS(T_TTAFStock[RM_Code],$A37,T_TTAFStock[WeekIndex],31)&gt;0)&gt;0,SUMIFS(T_SelfStock[Self_Qty],T_SelfStock[RM_Code],$A37,T_SelfStock[WeekIndex],31)+SUMIFS(T_TTAFStock[TTAF_Qty],T_TTAFStock[RM_Code],$A37,T_TTAFStock[WeekIndex],31),AE37+'Grid_Incoming'!AF37-'Grid_Requirement'!AF37))</f>
        <v/>
      </c>
      <c r="AG37">
        <f>IF(COUNTIFS(T_StockCount[RM_Code],$A37,T_StockCount[WeekIndex],32)&gt;0,SUMIFS(T_StockCount[CountedQty],T_StockCount[RM_Code],$A37,T_StockCount[WeekIndex],32),IF((COUNTIFS(T_SelfStock[RM_Code],$A37,T_SelfStock[WeekIndex],32)&gt;0)*(COUNTIFS(T_TTAFStock[RM_Code],$A37,T_TTAFStock[WeekIndex],32)&gt;0)&gt;0,SUMIFS(T_SelfStock[Self_Qty],T_SelfStock[RM_Code],$A37,T_SelfStock[WeekIndex],32)+SUMIFS(T_TTAFStock[TTAF_Qty],T_TTAFStock[RM_Code],$A37,T_TTAFStock[WeekIndex],32),AF37+'Grid_Incoming'!AG37-'Grid_Requirement'!AG37))</f>
        <v/>
      </c>
      <c r="AH37">
        <f>IF(COUNTIFS(T_StockCount[RM_Code],$A37,T_StockCount[WeekIndex],33)&gt;0,SUMIFS(T_StockCount[CountedQty],T_StockCount[RM_Code],$A37,T_StockCount[WeekIndex],33),IF((COUNTIFS(T_SelfStock[RM_Code],$A37,T_SelfStock[WeekIndex],33)&gt;0)*(COUNTIFS(T_TTAFStock[RM_Code],$A37,T_TTAFStock[WeekIndex],33)&gt;0)&gt;0,SUMIFS(T_SelfStock[Self_Qty],T_SelfStock[RM_Code],$A37,T_SelfStock[WeekIndex],33)+SUMIFS(T_TTAFStock[TTAF_Qty],T_TTAFStock[RM_Code],$A37,T_TTAFStock[WeekIndex],33),AG37+'Grid_Incoming'!AH37-'Grid_Requirement'!AH37))</f>
        <v/>
      </c>
      <c r="AI37">
        <f>IF(COUNTIFS(T_StockCount[RM_Code],$A37,T_StockCount[WeekIndex],34)&gt;0,SUMIFS(T_StockCount[CountedQty],T_StockCount[RM_Code],$A37,T_StockCount[WeekIndex],34),IF((COUNTIFS(T_SelfStock[RM_Code],$A37,T_SelfStock[WeekIndex],34)&gt;0)*(COUNTIFS(T_TTAFStock[RM_Code],$A37,T_TTAFStock[WeekIndex],34)&gt;0)&gt;0,SUMIFS(T_SelfStock[Self_Qty],T_SelfStock[RM_Code],$A37,T_SelfStock[WeekIndex],34)+SUMIFS(T_TTAFStock[TTAF_Qty],T_TTAFStock[RM_Code],$A37,T_TTAFStock[WeekIndex],34),AH37+'Grid_Incoming'!AI37-'Grid_Requirement'!AI37))</f>
        <v/>
      </c>
      <c r="AJ37">
        <f>IF(COUNTIFS(T_StockCount[RM_Code],$A37,T_StockCount[WeekIndex],35)&gt;0,SUMIFS(T_StockCount[CountedQty],T_StockCount[RM_Code],$A37,T_StockCount[WeekIndex],35),IF((COUNTIFS(T_SelfStock[RM_Code],$A37,T_SelfStock[WeekIndex],35)&gt;0)*(COUNTIFS(T_TTAFStock[RM_Code],$A37,T_TTAFStock[WeekIndex],35)&gt;0)&gt;0,SUMIFS(T_SelfStock[Self_Qty],T_SelfStock[RM_Code],$A37,T_SelfStock[WeekIndex],35)+SUMIFS(T_TTAFStock[TTAF_Qty],T_TTAFStock[RM_Code],$A37,T_TTAFStock[WeekIndex],35),AI37+'Grid_Incoming'!AJ37-'Grid_Requirement'!AJ37))</f>
        <v/>
      </c>
      <c r="AK37">
        <f>IF(COUNTIFS(T_StockCount[RM_Code],$A37,T_StockCount[WeekIndex],36)&gt;0,SUMIFS(T_StockCount[CountedQty],T_StockCount[RM_Code],$A37,T_StockCount[WeekIndex],36),IF((COUNTIFS(T_SelfStock[RM_Code],$A37,T_SelfStock[WeekIndex],36)&gt;0)*(COUNTIFS(T_TTAFStock[RM_Code],$A37,T_TTAFStock[WeekIndex],36)&gt;0)&gt;0,SUMIFS(T_SelfStock[Self_Qty],T_SelfStock[RM_Code],$A37,T_SelfStock[WeekIndex],36)+SUMIFS(T_TTAFStock[TTAF_Qty],T_TTAFStock[RM_Code],$A37,T_TTAFStock[WeekIndex],36),AJ37+'Grid_Incoming'!AK37-'Grid_Requirement'!AK37))</f>
        <v/>
      </c>
      <c r="AL37">
        <f>IF(COUNTIFS(T_StockCount[RM_Code],$A37,T_StockCount[WeekIndex],37)&gt;0,SUMIFS(T_StockCount[CountedQty],T_StockCount[RM_Code],$A37,T_StockCount[WeekIndex],37),IF((COUNTIFS(T_SelfStock[RM_Code],$A37,T_SelfStock[WeekIndex],37)&gt;0)*(COUNTIFS(T_TTAFStock[RM_Code],$A37,T_TTAFStock[WeekIndex],37)&gt;0)&gt;0,SUMIFS(T_SelfStock[Self_Qty],T_SelfStock[RM_Code],$A37,T_SelfStock[WeekIndex],37)+SUMIFS(T_TTAFStock[TTAF_Qty],T_TTAFStock[RM_Code],$A37,T_TTAFStock[WeekIndex],37),AK37+'Grid_Incoming'!AL37-'Grid_Requirement'!AL37))</f>
        <v/>
      </c>
      <c r="AM37">
        <f>IF(COUNTIFS(T_StockCount[RM_Code],$A37,T_StockCount[WeekIndex],38)&gt;0,SUMIFS(T_StockCount[CountedQty],T_StockCount[RM_Code],$A37,T_StockCount[WeekIndex],38),IF((COUNTIFS(T_SelfStock[RM_Code],$A37,T_SelfStock[WeekIndex],38)&gt;0)*(COUNTIFS(T_TTAFStock[RM_Code],$A37,T_TTAFStock[WeekIndex],38)&gt;0)&gt;0,SUMIFS(T_SelfStock[Self_Qty],T_SelfStock[RM_Code],$A37,T_SelfStock[WeekIndex],38)+SUMIFS(T_TTAFStock[TTAF_Qty],T_TTAFStock[RM_Code],$A37,T_TTAFStock[WeekIndex],38),AL37+'Grid_Incoming'!AM37-'Grid_Requirement'!AM37))</f>
        <v/>
      </c>
      <c r="AN37">
        <f>IF(COUNTIFS(T_StockCount[RM_Code],$A37,T_StockCount[WeekIndex],39)&gt;0,SUMIFS(T_StockCount[CountedQty],T_StockCount[RM_Code],$A37,T_StockCount[WeekIndex],39),IF((COUNTIFS(T_SelfStock[RM_Code],$A37,T_SelfStock[WeekIndex],39)&gt;0)*(COUNTIFS(T_TTAFStock[RM_Code],$A37,T_TTAFStock[WeekIndex],39)&gt;0)&gt;0,SUMIFS(T_SelfStock[Self_Qty],T_SelfStock[RM_Code],$A37,T_SelfStock[WeekIndex],39)+SUMIFS(T_TTAFStock[TTAF_Qty],T_TTAFStock[RM_Code],$A37,T_TTAFStock[WeekIndex],39),AM37+'Grid_Incoming'!AN37-'Grid_Requirement'!AN37))</f>
        <v/>
      </c>
      <c r="AO37">
        <f>IF(COUNTIFS(T_StockCount[RM_Code],$A37,T_StockCount[WeekIndex],40)&gt;0,SUMIFS(T_StockCount[CountedQty],T_StockCount[RM_Code],$A37,T_StockCount[WeekIndex],40),IF((COUNTIFS(T_SelfStock[RM_Code],$A37,T_SelfStock[WeekIndex],40)&gt;0)*(COUNTIFS(T_TTAFStock[RM_Code],$A37,T_TTAFStock[WeekIndex],40)&gt;0)&gt;0,SUMIFS(T_SelfStock[Self_Qty],T_SelfStock[RM_Code],$A37,T_SelfStock[WeekIndex],40)+SUMIFS(T_TTAFStock[TTAF_Qty],T_TTAFStock[RM_Code],$A37,T_TTAFStock[WeekIndex],40),AN37+'Grid_Incoming'!AO37-'Grid_Requirement'!AO37))</f>
        <v/>
      </c>
      <c r="AP37">
        <f>IF(COUNTIFS(T_StockCount[RM_Code],$A37,T_StockCount[WeekIndex],41)&gt;0,SUMIFS(T_StockCount[CountedQty],T_StockCount[RM_Code],$A37,T_StockCount[WeekIndex],41),IF((COUNTIFS(T_SelfStock[RM_Code],$A37,T_SelfStock[WeekIndex],41)&gt;0)*(COUNTIFS(T_TTAFStock[RM_Code],$A37,T_TTAFStock[WeekIndex],41)&gt;0)&gt;0,SUMIFS(T_SelfStock[Self_Qty],T_SelfStock[RM_Code],$A37,T_SelfStock[WeekIndex],41)+SUMIFS(T_TTAFStock[TTAF_Qty],T_TTAFStock[RM_Code],$A37,T_TTAFStock[WeekIndex],41),AO37+'Grid_Incoming'!AP37-'Grid_Requirement'!AP37))</f>
        <v/>
      </c>
      <c r="AQ37">
        <f>IF(COUNTIFS(T_StockCount[RM_Code],$A37,T_StockCount[WeekIndex],42)&gt;0,SUMIFS(T_StockCount[CountedQty],T_StockCount[RM_Code],$A37,T_StockCount[WeekIndex],42),IF((COUNTIFS(T_SelfStock[RM_Code],$A37,T_SelfStock[WeekIndex],42)&gt;0)*(COUNTIFS(T_TTAFStock[RM_Code],$A37,T_TTAFStock[WeekIndex],42)&gt;0)&gt;0,SUMIFS(T_SelfStock[Self_Qty],T_SelfStock[RM_Code],$A37,T_SelfStock[WeekIndex],42)+SUMIFS(T_TTAFStock[TTAF_Qty],T_TTAFStock[RM_Code],$A37,T_TTAFStock[WeekIndex],42),AP37+'Grid_Incoming'!AQ37-'Grid_Requirement'!AQ37))</f>
        <v/>
      </c>
      <c r="AR37">
        <f>IF(COUNTIFS(T_StockCount[RM_Code],$A37,T_StockCount[WeekIndex],43)&gt;0,SUMIFS(T_StockCount[CountedQty],T_StockCount[RM_Code],$A37,T_StockCount[WeekIndex],43),IF((COUNTIFS(T_SelfStock[RM_Code],$A37,T_SelfStock[WeekIndex],43)&gt;0)*(COUNTIFS(T_TTAFStock[RM_Code],$A37,T_TTAFStock[WeekIndex],43)&gt;0)&gt;0,SUMIFS(T_SelfStock[Self_Qty],T_SelfStock[RM_Code],$A37,T_SelfStock[WeekIndex],43)+SUMIFS(T_TTAFStock[TTAF_Qty],T_TTAFStock[RM_Code],$A37,T_TTAFStock[WeekIndex],43),AQ37+'Grid_Incoming'!AR37-'Grid_Requirement'!AR37))</f>
        <v/>
      </c>
      <c r="AS37">
        <f>IF(COUNTIFS(T_StockCount[RM_Code],$A37,T_StockCount[WeekIndex],44)&gt;0,SUMIFS(T_StockCount[CountedQty],T_StockCount[RM_Code],$A37,T_StockCount[WeekIndex],44),IF((COUNTIFS(T_SelfStock[RM_Code],$A37,T_SelfStock[WeekIndex],44)&gt;0)*(COUNTIFS(T_TTAFStock[RM_Code],$A37,T_TTAFStock[WeekIndex],44)&gt;0)&gt;0,SUMIFS(T_SelfStock[Self_Qty],T_SelfStock[RM_Code],$A37,T_SelfStock[WeekIndex],44)+SUMIFS(T_TTAFStock[TTAF_Qty],T_TTAFStock[RM_Code],$A37,T_TTAFStock[WeekIndex],44),AR37+'Grid_Incoming'!AS37-'Grid_Requirement'!AS37))</f>
        <v/>
      </c>
      <c r="AT37">
        <f>IF(COUNTIFS(T_StockCount[RM_Code],$A37,T_StockCount[WeekIndex],45)&gt;0,SUMIFS(T_StockCount[CountedQty],T_StockCount[RM_Code],$A37,T_StockCount[WeekIndex],45),IF((COUNTIFS(T_SelfStock[RM_Code],$A37,T_SelfStock[WeekIndex],45)&gt;0)*(COUNTIFS(T_TTAFStock[RM_Code],$A37,T_TTAFStock[WeekIndex],45)&gt;0)&gt;0,SUMIFS(T_SelfStock[Self_Qty],T_SelfStock[RM_Code],$A37,T_SelfStock[WeekIndex],45)+SUMIFS(T_TTAFStock[TTAF_Qty],T_TTAFStock[RM_Code],$A37,T_TTAFStock[WeekIndex],45),AS37+'Grid_Incoming'!AT37-'Grid_Requirement'!AT37))</f>
        <v/>
      </c>
      <c r="AU37">
        <f>IF(COUNTIFS(T_StockCount[RM_Code],$A37,T_StockCount[WeekIndex],46)&gt;0,SUMIFS(T_StockCount[CountedQty],T_StockCount[RM_Code],$A37,T_StockCount[WeekIndex],46),IF((COUNTIFS(T_SelfStock[RM_Code],$A37,T_SelfStock[WeekIndex],46)&gt;0)*(COUNTIFS(T_TTAFStock[RM_Code],$A37,T_TTAFStock[WeekIndex],46)&gt;0)&gt;0,SUMIFS(T_SelfStock[Self_Qty],T_SelfStock[RM_Code],$A37,T_SelfStock[WeekIndex],46)+SUMIFS(T_TTAFStock[TTAF_Qty],T_TTAFStock[RM_Code],$A37,T_TTAFStock[WeekIndex],46),AT37+'Grid_Incoming'!AU37-'Grid_Requirement'!AU37))</f>
        <v/>
      </c>
      <c r="AV37">
        <f>IF(COUNTIFS(T_StockCount[RM_Code],$A37,T_StockCount[WeekIndex],47)&gt;0,SUMIFS(T_StockCount[CountedQty],T_StockCount[RM_Code],$A37,T_StockCount[WeekIndex],47),IF((COUNTIFS(T_SelfStock[RM_Code],$A37,T_SelfStock[WeekIndex],47)&gt;0)*(COUNTIFS(T_TTAFStock[RM_Code],$A37,T_TTAFStock[WeekIndex],47)&gt;0)&gt;0,SUMIFS(T_SelfStock[Self_Qty],T_SelfStock[RM_Code],$A37,T_SelfStock[WeekIndex],47)+SUMIFS(T_TTAFStock[TTAF_Qty],T_TTAFStock[RM_Code],$A37,T_TTAFStock[WeekIndex],47),AU37+'Grid_Incoming'!AV37-'Grid_Requirement'!AV37))</f>
        <v/>
      </c>
      <c r="AW37">
        <f>IF(COUNTIFS(T_StockCount[RM_Code],$A37,T_StockCount[WeekIndex],48)&gt;0,SUMIFS(T_StockCount[CountedQty],T_StockCount[RM_Code],$A37,T_StockCount[WeekIndex],48),IF((COUNTIFS(T_SelfStock[RM_Code],$A37,T_SelfStock[WeekIndex],48)&gt;0)*(COUNTIFS(T_TTAFStock[RM_Code],$A37,T_TTAFStock[WeekIndex],48)&gt;0)&gt;0,SUMIFS(T_SelfStock[Self_Qty],T_SelfStock[RM_Code],$A37,T_SelfStock[WeekIndex],48)+SUMIFS(T_TTAFStock[TTAF_Qty],T_TTAFStock[RM_Code],$A37,T_TTAFStock[WeekIndex],48),AV37+'Grid_Incoming'!AW37-'Grid_Requirement'!AW37))</f>
        <v/>
      </c>
      <c r="AX37">
        <f>IF(COUNTIFS(T_StockCount[RM_Code],$A37,T_StockCount[WeekIndex],49)&gt;0,SUMIFS(T_StockCount[CountedQty],T_StockCount[RM_Code],$A37,T_StockCount[WeekIndex],49),IF((COUNTIFS(T_SelfStock[RM_Code],$A37,T_SelfStock[WeekIndex],49)&gt;0)*(COUNTIFS(T_TTAFStock[RM_Code],$A37,T_TTAFStock[WeekIndex],49)&gt;0)&gt;0,SUMIFS(T_SelfStock[Self_Qty],T_SelfStock[RM_Code],$A37,T_SelfStock[WeekIndex],49)+SUMIFS(T_TTAFStock[TTAF_Qty],T_TTAFStock[RM_Code],$A37,T_TTAFStock[WeekIndex],49),AW37+'Grid_Incoming'!AX37-'Grid_Requirement'!AX37))</f>
        <v/>
      </c>
      <c r="AY37">
        <f>IF(COUNTIFS(T_StockCount[RM_Code],$A37,T_StockCount[WeekIndex],50)&gt;0,SUMIFS(T_StockCount[CountedQty],T_StockCount[RM_Code],$A37,T_StockCount[WeekIndex],50),IF((COUNTIFS(T_SelfStock[RM_Code],$A37,T_SelfStock[WeekIndex],50)&gt;0)*(COUNTIFS(T_TTAFStock[RM_Code],$A37,T_TTAFStock[WeekIndex],50)&gt;0)&gt;0,SUMIFS(T_SelfStock[Self_Qty],T_SelfStock[RM_Code],$A37,T_SelfStock[WeekIndex],50)+SUMIFS(T_TTAFStock[TTAF_Qty],T_TTAFStock[RM_Code],$A37,T_TTAFStock[WeekIndex],50),AX37+'Grid_Incoming'!AY37-'Grid_Requirement'!AY37))</f>
        <v/>
      </c>
      <c r="AZ37">
        <f>IF(COUNTIFS(T_StockCount[RM_Code],$A37,T_StockCount[WeekIndex],51)&gt;0,SUMIFS(T_StockCount[CountedQty],T_StockCount[RM_Code],$A37,T_StockCount[WeekIndex],51),IF((COUNTIFS(T_SelfStock[RM_Code],$A37,T_SelfStock[WeekIndex],51)&gt;0)*(COUNTIFS(T_TTAFStock[RM_Code],$A37,T_TTAFStock[WeekIndex],51)&gt;0)&gt;0,SUMIFS(T_SelfStock[Self_Qty],T_SelfStock[RM_Code],$A37,T_SelfStock[WeekIndex],51)+SUMIFS(T_TTAFStock[TTAF_Qty],T_TTAFStock[RM_Code],$A37,T_TTAFStock[WeekIndex],51),AY37+'Grid_Incoming'!AZ37-'Grid_Requirement'!AZ37))</f>
        <v/>
      </c>
      <c r="BA37">
        <f>IF(COUNTIFS(T_StockCount[RM_Code],$A37,T_StockCount[WeekIndex],52)&gt;0,SUMIFS(T_StockCount[CountedQty],T_StockCount[RM_Code],$A37,T_StockCount[WeekIndex],52),IF((COUNTIFS(T_SelfStock[RM_Code],$A37,T_SelfStock[WeekIndex],52)&gt;0)*(COUNTIFS(T_TTAFStock[RM_Code],$A37,T_TTAFStock[WeekIndex],52)&gt;0)&gt;0,SUMIFS(T_SelfStock[Self_Qty],T_SelfStock[RM_Code],$A37,T_SelfStock[WeekIndex],52)+SUMIFS(T_TTAFStock[TTAF_Qty],T_TTAFStock[RM_Code],$A37,T_TTAFStock[WeekIndex],52),AZ37+'Grid_Incoming'!BA37-'Grid_Requirement'!BA37))</f>
        <v/>
      </c>
      <c r="BB37">
        <f>IF(COUNTIFS(T_StockCount[RM_Code],$A37,T_StockCount[WeekIndex],53)&gt;0,SUMIFS(T_StockCount[CountedQty],T_StockCount[RM_Code],$A37,T_StockCount[WeekIndex],53),IF((COUNTIFS(T_SelfStock[RM_Code],$A37,T_SelfStock[WeekIndex],53)&gt;0)*(COUNTIFS(T_TTAFStock[RM_Code],$A37,T_TTAFStock[WeekIndex],53)&gt;0)&gt;0,SUMIFS(T_SelfStock[Self_Qty],T_SelfStock[RM_Code],$A37,T_SelfStock[WeekIndex],53)+SUMIFS(T_TTAFStock[TTAF_Qty],T_TTAFStock[RM_Code],$A37,T_TTAFStock[WeekIndex],53),BA37+'Grid_Incoming'!BB37-'Grid_Requirement'!BB37))</f>
        <v/>
      </c>
      <c r="BC37">
        <f>IF(COUNTIFS(T_StockCount[RM_Code],$A37,T_StockCount[WeekIndex],54)&gt;0,SUMIFS(T_StockCount[CountedQty],T_StockCount[RM_Code],$A37,T_StockCount[WeekIndex],54),IF((COUNTIFS(T_SelfStock[RM_Code],$A37,T_SelfStock[WeekIndex],54)&gt;0)*(COUNTIFS(T_TTAFStock[RM_Code],$A37,T_TTAFStock[WeekIndex],54)&gt;0)&gt;0,SUMIFS(T_SelfStock[Self_Qty],T_SelfStock[RM_Code],$A37,T_SelfStock[WeekIndex],54)+SUMIFS(T_TTAFStock[TTAF_Qty],T_TTAFStock[RM_Code],$A37,T_TTAFStock[WeekIndex],54),BB37+'Grid_Incoming'!BC37-'Grid_Requirement'!BC37))</f>
        <v/>
      </c>
      <c r="BD37">
        <f>IF(COUNTIFS(T_StockCount[RM_Code],$A37,T_StockCount[WeekIndex],55)&gt;0,SUMIFS(T_StockCount[CountedQty],T_StockCount[RM_Code],$A37,T_StockCount[WeekIndex],55),IF((COUNTIFS(T_SelfStock[RM_Code],$A37,T_SelfStock[WeekIndex],55)&gt;0)*(COUNTIFS(T_TTAFStock[RM_Code],$A37,T_TTAFStock[WeekIndex],55)&gt;0)&gt;0,SUMIFS(T_SelfStock[Self_Qty],T_SelfStock[RM_Code],$A37,T_SelfStock[WeekIndex],55)+SUMIFS(T_TTAFStock[TTAF_Qty],T_TTAFStock[RM_Code],$A37,T_TTAFStock[WeekIndex],55),BC37+'Grid_Incoming'!BD37-'Grid_Requirement'!BD37))</f>
        <v/>
      </c>
      <c r="BE37">
        <f>IF(COUNTIFS(T_StockCount[RM_Code],$A37,T_StockCount[WeekIndex],56)&gt;0,SUMIFS(T_StockCount[CountedQty],T_StockCount[RM_Code],$A37,T_StockCount[WeekIndex],56),IF((COUNTIFS(T_SelfStock[RM_Code],$A37,T_SelfStock[WeekIndex],56)&gt;0)*(COUNTIFS(T_TTAFStock[RM_Code],$A37,T_TTAFStock[WeekIndex],56)&gt;0)&gt;0,SUMIFS(T_SelfStock[Self_Qty],T_SelfStock[RM_Code],$A37,T_SelfStock[WeekIndex],56)+SUMIFS(T_TTAFStock[TTAF_Qty],T_TTAFStock[RM_Code],$A37,T_TTAFStock[WeekIndex],56),BD37+'Grid_Incoming'!BE37-'Grid_Requirement'!BE37))</f>
        <v/>
      </c>
      <c r="BF37">
        <f>IF(COUNTIFS(T_StockCount[RM_Code],$A37,T_StockCount[WeekIndex],57)&gt;0,SUMIFS(T_StockCount[CountedQty],T_StockCount[RM_Code],$A37,T_StockCount[WeekIndex],57),IF((COUNTIFS(T_SelfStock[RM_Code],$A37,T_SelfStock[WeekIndex],57)&gt;0)*(COUNTIFS(T_TTAFStock[RM_Code],$A37,T_TTAFStock[WeekIndex],57)&gt;0)&gt;0,SUMIFS(T_SelfStock[Self_Qty],T_SelfStock[RM_Code],$A37,T_SelfStock[WeekIndex],57)+SUMIFS(T_TTAFStock[TTAF_Qty],T_TTAFStock[RM_Code],$A37,T_TTAFStock[WeekIndex],57),BE37+'Grid_Incoming'!BF37-'Grid_Requirement'!BF37))</f>
        <v/>
      </c>
      <c r="BG37">
        <f>IF(COUNTIFS(T_StockCount[RM_Code],$A37,T_StockCount[WeekIndex],58)&gt;0,SUMIFS(T_StockCount[CountedQty],T_StockCount[RM_Code],$A37,T_StockCount[WeekIndex],58),IF((COUNTIFS(T_SelfStock[RM_Code],$A37,T_SelfStock[WeekIndex],58)&gt;0)*(COUNTIFS(T_TTAFStock[RM_Code],$A37,T_TTAFStock[WeekIndex],58)&gt;0)&gt;0,SUMIFS(T_SelfStock[Self_Qty],T_SelfStock[RM_Code],$A37,T_SelfStock[WeekIndex],58)+SUMIFS(T_TTAFStock[TTAF_Qty],T_TTAFStock[RM_Code],$A37,T_TTAFStock[WeekIndex],58),BF37+'Grid_Incoming'!BG37-'Grid_Requirement'!BG37))</f>
        <v/>
      </c>
      <c r="BH37">
        <f>IF(COUNTIFS(T_StockCount[RM_Code],$A37,T_StockCount[WeekIndex],59)&gt;0,SUMIFS(T_StockCount[CountedQty],T_StockCount[RM_Code],$A37,T_StockCount[WeekIndex],59),IF((COUNTIFS(T_SelfStock[RM_Code],$A37,T_SelfStock[WeekIndex],59)&gt;0)*(COUNTIFS(T_TTAFStock[RM_Code],$A37,T_TTAFStock[WeekIndex],59)&gt;0)&gt;0,SUMIFS(T_SelfStock[Self_Qty],T_SelfStock[RM_Code],$A37,T_SelfStock[WeekIndex],59)+SUMIFS(T_TTAFStock[TTAF_Qty],T_TTAFStock[RM_Code],$A37,T_TTAFStock[WeekIndex],59),BG37+'Grid_Incoming'!BH37-'Grid_Requirement'!BH37))</f>
        <v/>
      </c>
      <c r="BI37">
        <f>IF(COUNTIFS(T_StockCount[RM_Code],$A37,T_StockCount[WeekIndex],60)&gt;0,SUMIFS(T_StockCount[CountedQty],T_StockCount[RM_Code],$A37,T_StockCount[WeekIndex],60),IF((COUNTIFS(T_SelfStock[RM_Code],$A37,T_SelfStock[WeekIndex],60)&gt;0)*(COUNTIFS(T_TTAFStock[RM_Code],$A37,T_TTAFStock[WeekIndex],60)&gt;0)&gt;0,SUMIFS(T_SelfStock[Self_Qty],T_SelfStock[RM_Code],$A37,T_SelfStock[WeekIndex],60)+SUMIFS(T_TTAFStock[TTAF_Qty],T_TTAFStock[RM_Code],$A37,T_TTAFStock[WeekIndex],60),BH37+'Grid_Incoming'!BI37-'Grid_Requirement'!BI37))</f>
        <v/>
      </c>
      <c r="BJ37">
        <f>IF(COUNTIFS(T_StockCount[RM_Code],$A37,T_StockCount[WeekIndex],61)&gt;0,SUMIFS(T_StockCount[CountedQty],T_StockCount[RM_Code],$A37,T_StockCount[WeekIndex],61),IF((COUNTIFS(T_SelfStock[RM_Code],$A37,T_SelfStock[WeekIndex],61)&gt;0)*(COUNTIFS(T_TTAFStock[RM_Code],$A37,T_TTAFStock[WeekIndex],61)&gt;0)&gt;0,SUMIFS(T_SelfStock[Self_Qty],T_SelfStock[RM_Code],$A37,T_SelfStock[WeekIndex],61)+SUMIFS(T_TTAFStock[TTAF_Qty],T_TTAFStock[RM_Code],$A37,T_TTAFStock[WeekIndex],61),BI37+'Grid_Incoming'!BJ37-'Grid_Requirement'!BJ37))</f>
        <v/>
      </c>
      <c r="BK37">
        <f>IF(COUNTIFS(T_StockCount[RM_Code],$A37,T_StockCount[WeekIndex],62)&gt;0,SUMIFS(T_StockCount[CountedQty],T_StockCount[RM_Code],$A37,T_StockCount[WeekIndex],62),IF((COUNTIFS(T_SelfStock[RM_Code],$A37,T_SelfStock[WeekIndex],62)&gt;0)*(COUNTIFS(T_TTAFStock[RM_Code],$A37,T_TTAFStock[WeekIndex],62)&gt;0)&gt;0,SUMIFS(T_SelfStock[Self_Qty],T_SelfStock[RM_Code],$A37,T_SelfStock[WeekIndex],62)+SUMIFS(T_TTAFStock[TTAF_Qty],T_TTAFStock[RM_Code],$A37,T_TTAFStock[WeekIndex],62),BJ37+'Grid_Incoming'!BK37-'Grid_Requirement'!BK37))</f>
        <v/>
      </c>
      <c r="BL37">
        <f>IF(COUNTIFS(T_StockCount[RM_Code],$A37,T_StockCount[WeekIndex],63)&gt;0,SUMIFS(T_StockCount[CountedQty],T_StockCount[RM_Code],$A37,T_StockCount[WeekIndex],63),IF((COUNTIFS(T_SelfStock[RM_Code],$A37,T_SelfStock[WeekIndex],63)&gt;0)*(COUNTIFS(T_TTAFStock[RM_Code],$A37,T_TTAFStock[WeekIndex],63)&gt;0)&gt;0,SUMIFS(T_SelfStock[Self_Qty],T_SelfStock[RM_Code],$A37,T_SelfStock[WeekIndex],63)+SUMIFS(T_TTAFStock[TTAF_Qty],T_TTAFStock[RM_Code],$A37,T_TTAFStock[WeekIndex],63),BK37+'Grid_Incoming'!BL37-'Grid_Requirement'!BL37))</f>
        <v/>
      </c>
      <c r="BM37">
        <f>IF(COUNTIFS(T_StockCount[RM_Code],$A37,T_StockCount[WeekIndex],64)&gt;0,SUMIFS(T_StockCount[CountedQty],T_StockCount[RM_Code],$A37,T_StockCount[WeekIndex],64),IF((COUNTIFS(T_SelfStock[RM_Code],$A37,T_SelfStock[WeekIndex],64)&gt;0)*(COUNTIFS(T_TTAFStock[RM_Code],$A37,T_TTAFStock[WeekIndex],64)&gt;0)&gt;0,SUMIFS(T_SelfStock[Self_Qty],T_SelfStock[RM_Code],$A37,T_SelfStock[WeekIndex],64)+SUMIFS(T_TTAFStock[TTAF_Qty],T_TTAFStock[RM_Code],$A37,T_TTAFStock[WeekIndex],64),BL37+'Grid_Incoming'!BM37-'Grid_Requirement'!BM37))</f>
        <v/>
      </c>
      <c r="BN37">
        <f>IF(COUNTIFS(T_StockCount[RM_Code],$A37,T_StockCount[WeekIndex],65)&gt;0,SUMIFS(T_StockCount[CountedQty],T_StockCount[RM_Code],$A37,T_StockCount[WeekIndex],65),IF((COUNTIFS(T_SelfStock[RM_Code],$A37,T_SelfStock[WeekIndex],65)&gt;0)*(COUNTIFS(T_TTAFStock[RM_Code],$A37,T_TTAFStock[WeekIndex],65)&gt;0)&gt;0,SUMIFS(T_SelfStock[Self_Qty],T_SelfStock[RM_Code],$A37,T_SelfStock[WeekIndex],65)+SUMIFS(T_TTAFStock[TTAF_Qty],T_TTAFStock[RM_Code],$A37,T_TTAFStock[WeekIndex],65),BM37+'Grid_Incoming'!BN37-'Grid_Requirement'!BN37))</f>
        <v/>
      </c>
      <c r="BO37">
        <f>IF(COUNTIFS(T_StockCount[RM_Code],$A37,T_StockCount[WeekIndex],66)&gt;0,SUMIFS(T_StockCount[CountedQty],T_StockCount[RM_Code],$A37,T_StockCount[WeekIndex],66),IF((COUNTIFS(T_SelfStock[RM_Code],$A37,T_SelfStock[WeekIndex],66)&gt;0)*(COUNTIFS(T_TTAFStock[RM_Code],$A37,T_TTAFStock[WeekIndex],66)&gt;0)&gt;0,SUMIFS(T_SelfStock[Self_Qty],T_SelfStock[RM_Code],$A37,T_SelfStock[WeekIndex],66)+SUMIFS(T_TTAFStock[TTAF_Qty],T_TTAFStock[RM_Code],$A37,T_TTAFStock[WeekIndex],66),BN37+'Grid_Incoming'!BO37-'Grid_Requirement'!BO37))</f>
        <v/>
      </c>
      <c r="BP37">
        <f>IF(COUNTIFS(T_StockCount[RM_Code],$A37,T_StockCount[WeekIndex],67)&gt;0,SUMIFS(T_StockCount[CountedQty],T_StockCount[RM_Code],$A37,T_StockCount[WeekIndex],67),IF((COUNTIFS(T_SelfStock[RM_Code],$A37,T_SelfStock[WeekIndex],67)&gt;0)*(COUNTIFS(T_TTAFStock[RM_Code],$A37,T_TTAFStock[WeekIndex],67)&gt;0)&gt;0,SUMIFS(T_SelfStock[Self_Qty],T_SelfStock[RM_Code],$A37,T_SelfStock[WeekIndex],67)+SUMIFS(T_TTAFStock[TTAF_Qty],T_TTAFStock[RM_Code],$A37,T_TTAFStock[WeekIndex],67),BO37+'Grid_Incoming'!BP37-'Grid_Requirement'!BP37))</f>
        <v/>
      </c>
      <c r="BQ37">
        <f>IF(COUNTIFS(T_StockCount[RM_Code],$A37,T_StockCount[WeekIndex],68)&gt;0,SUMIFS(T_StockCount[CountedQty],T_StockCount[RM_Code],$A37,T_StockCount[WeekIndex],68),IF((COUNTIFS(T_SelfStock[RM_Code],$A37,T_SelfStock[WeekIndex],68)&gt;0)*(COUNTIFS(T_TTAFStock[RM_Code],$A37,T_TTAFStock[WeekIndex],68)&gt;0)&gt;0,SUMIFS(T_SelfStock[Self_Qty],T_SelfStock[RM_Code],$A37,T_SelfStock[WeekIndex],68)+SUMIFS(T_TTAFStock[TTAF_Qty],T_TTAFStock[RM_Code],$A37,T_TTAFStock[WeekIndex],68),BP37+'Grid_Incoming'!BQ37-'Grid_Requirement'!BQ37))</f>
        <v/>
      </c>
      <c r="BR37">
        <f>IF(COUNTIFS(T_StockCount[RM_Code],$A37,T_StockCount[WeekIndex],69)&gt;0,SUMIFS(T_StockCount[CountedQty],T_StockCount[RM_Code],$A37,T_StockCount[WeekIndex],69),IF((COUNTIFS(T_SelfStock[RM_Code],$A37,T_SelfStock[WeekIndex],69)&gt;0)*(COUNTIFS(T_TTAFStock[RM_Code],$A37,T_TTAFStock[WeekIndex],69)&gt;0)&gt;0,SUMIFS(T_SelfStock[Self_Qty],T_SelfStock[RM_Code],$A37,T_SelfStock[WeekIndex],69)+SUMIFS(T_TTAFStock[TTAF_Qty],T_TTAFStock[RM_Code],$A37,T_TTAFStock[WeekIndex],69),BQ37+'Grid_Incoming'!BR37-'Grid_Requirement'!BR37))</f>
        <v/>
      </c>
      <c r="BS37">
        <f>IF(COUNTIFS(T_StockCount[RM_Code],$A37,T_StockCount[WeekIndex],70)&gt;0,SUMIFS(T_StockCount[CountedQty],T_StockCount[RM_Code],$A37,T_StockCount[WeekIndex],70),IF((COUNTIFS(T_SelfStock[RM_Code],$A37,T_SelfStock[WeekIndex],70)&gt;0)*(COUNTIFS(T_TTAFStock[RM_Code],$A37,T_TTAFStock[WeekIndex],70)&gt;0)&gt;0,SUMIFS(T_SelfStock[Self_Qty],T_SelfStock[RM_Code],$A37,T_SelfStock[WeekIndex],70)+SUMIFS(T_TTAFStock[TTAF_Qty],T_TTAFStock[RM_Code],$A37,T_TTAFStock[WeekIndex],70),BR37+'Grid_Incoming'!BS37-'Grid_Requirement'!BS37))</f>
        <v/>
      </c>
      <c r="BT37">
        <f>IF(COUNTIFS(T_StockCount[RM_Code],$A37,T_StockCount[WeekIndex],71)&gt;0,SUMIFS(T_StockCount[CountedQty],T_StockCount[RM_Code],$A37,T_StockCount[WeekIndex],71),IF((COUNTIFS(T_SelfStock[RM_Code],$A37,T_SelfStock[WeekIndex],71)&gt;0)*(COUNTIFS(T_TTAFStock[RM_Code],$A37,T_TTAFStock[WeekIndex],71)&gt;0)&gt;0,SUMIFS(T_SelfStock[Self_Qty],T_SelfStock[RM_Code],$A37,T_SelfStock[WeekIndex],71)+SUMIFS(T_TTAFStock[TTAF_Qty],T_TTAFStock[RM_Code],$A37,T_TTAFStock[WeekIndex],71),BS37+'Grid_Incoming'!BT37-'Grid_Requirement'!BT37))</f>
        <v/>
      </c>
      <c r="BU37">
        <f>IF(COUNTIFS(T_StockCount[RM_Code],$A37,T_StockCount[WeekIndex],72)&gt;0,SUMIFS(T_StockCount[CountedQty],T_StockCount[RM_Code],$A37,T_StockCount[WeekIndex],72),IF((COUNTIFS(T_SelfStock[RM_Code],$A37,T_SelfStock[WeekIndex],72)&gt;0)*(COUNTIFS(T_TTAFStock[RM_Code],$A37,T_TTAFStock[WeekIndex],72)&gt;0)&gt;0,SUMIFS(T_SelfStock[Self_Qty],T_SelfStock[RM_Code],$A37,T_SelfStock[WeekIndex],72)+SUMIFS(T_TTAFStock[TTAF_Qty],T_TTAFStock[RM_Code],$A37,T_TTAFStock[WeekIndex],72),BT37+'Grid_Incoming'!BU37-'Grid_Requirement'!BU37))</f>
        <v/>
      </c>
      <c r="BV37">
        <f>IF(COUNTIFS(T_StockCount[RM_Code],$A37,T_StockCount[WeekIndex],73)&gt;0,SUMIFS(T_StockCount[CountedQty],T_StockCount[RM_Code],$A37,T_StockCount[WeekIndex],73),IF((COUNTIFS(T_SelfStock[RM_Code],$A37,T_SelfStock[WeekIndex],73)&gt;0)*(COUNTIFS(T_TTAFStock[RM_Code],$A37,T_TTAFStock[WeekIndex],73)&gt;0)&gt;0,SUMIFS(T_SelfStock[Self_Qty],T_SelfStock[RM_Code],$A37,T_SelfStock[WeekIndex],73)+SUMIFS(T_TTAFStock[TTAF_Qty],T_TTAFStock[RM_Code],$A37,T_TTAFStock[WeekIndex],73),BU37+'Grid_Incoming'!BV37-'Grid_Requirement'!BV37))</f>
        <v/>
      </c>
      <c r="BW37">
        <f>IF(COUNTIFS(T_StockCount[RM_Code],$A37,T_StockCount[WeekIndex],74)&gt;0,SUMIFS(T_StockCount[CountedQty],T_StockCount[RM_Code],$A37,T_StockCount[WeekIndex],74),IF((COUNTIFS(T_SelfStock[RM_Code],$A37,T_SelfStock[WeekIndex],74)&gt;0)*(COUNTIFS(T_TTAFStock[RM_Code],$A37,T_TTAFStock[WeekIndex],74)&gt;0)&gt;0,SUMIFS(T_SelfStock[Self_Qty],T_SelfStock[RM_Code],$A37,T_SelfStock[WeekIndex],74)+SUMIFS(T_TTAFStock[TTAF_Qty],T_TTAFStock[RM_Code],$A37,T_TTAFStock[WeekIndex],74),BV37+'Grid_Incoming'!BW37-'Grid_Requirement'!BW37))</f>
        <v/>
      </c>
      <c r="BX37">
        <f>IF(COUNTIFS(T_StockCount[RM_Code],$A37,T_StockCount[WeekIndex],75)&gt;0,SUMIFS(T_StockCount[CountedQty],T_StockCount[RM_Code],$A37,T_StockCount[WeekIndex],75),IF((COUNTIFS(T_SelfStock[RM_Code],$A37,T_SelfStock[WeekIndex],75)&gt;0)*(COUNTIFS(T_TTAFStock[RM_Code],$A37,T_TTAFStock[WeekIndex],75)&gt;0)&gt;0,SUMIFS(T_SelfStock[Self_Qty],T_SelfStock[RM_Code],$A37,T_SelfStock[WeekIndex],75)+SUMIFS(T_TTAFStock[TTAF_Qty],T_TTAFStock[RM_Code],$A37,T_TTAFStock[WeekIndex],75),BW37+'Grid_Incoming'!BX37-'Grid_Requirement'!BX37))</f>
        <v/>
      </c>
      <c r="BY37">
        <f>IF(COUNTIFS(T_StockCount[RM_Code],$A37,T_StockCount[WeekIndex],76)&gt;0,SUMIFS(T_StockCount[CountedQty],T_StockCount[RM_Code],$A37,T_StockCount[WeekIndex],76),IF((COUNTIFS(T_SelfStock[RM_Code],$A37,T_SelfStock[WeekIndex],76)&gt;0)*(COUNTIFS(T_TTAFStock[RM_Code],$A37,T_TTAFStock[WeekIndex],76)&gt;0)&gt;0,SUMIFS(T_SelfStock[Self_Qty],T_SelfStock[RM_Code],$A37,T_SelfStock[WeekIndex],76)+SUMIFS(T_TTAFStock[TTAF_Qty],T_TTAFStock[RM_Code],$A37,T_TTAFStock[WeekIndex],76),BX37+'Grid_Incoming'!BY37-'Grid_Requirement'!BY37))</f>
        <v/>
      </c>
      <c r="BZ37">
        <f>IF(COUNTIFS(T_StockCount[RM_Code],$A37,T_StockCount[WeekIndex],77)&gt;0,SUMIFS(T_StockCount[CountedQty],T_StockCount[RM_Code],$A37,T_StockCount[WeekIndex],77),IF((COUNTIFS(T_SelfStock[RM_Code],$A37,T_SelfStock[WeekIndex],77)&gt;0)*(COUNTIFS(T_TTAFStock[RM_Code],$A37,T_TTAFStock[WeekIndex],77)&gt;0)&gt;0,SUMIFS(T_SelfStock[Self_Qty],T_SelfStock[RM_Code],$A37,T_SelfStock[WeekIndex],77)+SUMIFS(T_TTAFStock[TTAF_Qty],T_TTAFStock[RM_Code],$A37,T_TTAFStock[WeekIndex],77),BY37+'Grid_Incoming'!BZ37-'Grid_Requirement'!BZ37))</f>
        <v/>
      </c>
      <c r="CA37">
        <f>IF(COUNTIFS(T_StockCount[RM_Code],$A37,T_StockCount[WeekIndex],78)&gt;0,SUMIFS(T_StockCount[CountedQty],T_StockCount[RM_Code],$A37,T_StockCount[WeekIndex],78),IF((COUNTIFS(T_SelfStock[RM_Code],$A37,T_SelfStock[WeekIndex],78)&gt;0)*(COUNTIFS(T_TTAFStock[RM_Code],$A37,T_TTAFStock[WeekIndex],78)&gt;0)&gt;0,SUMIFS(T_SelfStock[Self_Qty],T_SelfStock[RM_Code],$A37,T_SelfStock[WeekIndex],78)+SUMIFS(T_TTAFStock[TTAF_Qty],T_TTAFStock[RM_Code],$A37,T_TTAFStock[WeekIndex],78),BZ37+'Grid_Incoming'!CA37-'Grid_Requirement'!CA37))</f>
        <v/>
      </c>
      <c r="CB37">
        <f>IF(COUNTIFS(T_StockCount[RM_Code],$A37,T_StockCount[WeekIndex],79)&gt;0,SUMIFS(T_StockCount[CountedQty],T_StockCount[RM_Code],$A37,T_StockCount[WeekIndex],79),IF((COUNTIFS(T_SelfStock[RM_Code],$A37,T_SelfStock[WeekIndex],79)&gt;0)*(COUNTIFS(T_TTAFStock[RM_Code],$A37,T_TTAFStock[WeekIndex],79)&gt;0)&gt;0,SUMIFS(T_SelfStock[Self_Qty],T_SelfStock[RM_Code],$A37,T_SelfStock[WeekIndex],79)+SUMIFS(T_TTAFStock[TTAF_Qty],T_TTAFStock[RM_Code],$A37,T_TTAFStock[WeekIndex],79),CA37+'Grid_Incoming'!CB37-'Grid_Requirement'!CB37))</f>
        <v/>
      </c>
      <c r="CC37">
        <f>IF(COUNTIFS(T_StockCount[RM_Code],$A37,T_StockCount[WeekIndex],80)&gt;0,SUMIFS(T_StockCount[CountedQty],T_StockCount[RM_Code],$A37,T_StockCount[WeekIndex],80),IF((COUNTIFS(T_SelfStock[RM_Code],$A37,T_SelfStock[WeekIndex],80)&gt;0)*(COUNTIFS(T_TTAFStock[RM_Code],$A37,T_TTAFStock[WeekIndex],80)&gt;0)&gt;0,SUMIFS(T_SelfStock[Self_Qty],T_SelfStock[RM_Code],$A37,T_SelfStock[WeekIndex],80)+SUMIFS(T_TTAFStock[TTAF_Qty],T_TTAFStock[RM_Code],$A37,T_TTAFStock[WeekIndex],80),CB37+'Grid_Incoming'!CC37-'Grid_Requirement'!CC37))</f>
        <v/>
      </c>
      <c r="CD37">
        <f>IF(COUNTIFS(T_StockCount[RM_Code],$A37,T_StockCount[WeekIndex],81)&gt;0,SUMIFS(T_StockCount[CountedQty],T_StockCount[RM_Code],$A37,T_StockCount[WeekIndex],81),IF((COUNTIFS(T_SelfStock[RM_Code],$A37,T_SelfStock[WeekIndex],81)&gt;0)*(COUNTIFS(T_TTAFStock[RM_Code],$A37,T_TTAFStock[WeekIndex],81)&gt;0)&gt;0,SUMIFS(T_SelfStock[Self_Qty],T_SelfStock[RM_Code],$A37,T_SelfStock[WeekIndex],81)+SUMIFS(T_TTAFStock[TTAF_Qty],T_TTAFStock[RM_Code],$A37,T_TTAFStock[WeekIndex],81),CC37+'Grid_Incoming'!CD37-'Grid_Requirement'!CD37))</f>
        <v/>
      </c>
      <c r="CE37">
        <f>IF(COUNTIFS(T_StockCount[RM_Code],$A37,T_StockCount[WeekIndex],82)&gt;0,SUMIFS(T_StockCount[CountedQty],T_StockCount[RM_Code],$A37,T_StockCount[WeekIndex],82),IF((COUNTIFS(T_SelfStock[RM_Code],$A37,T_SelfStock[WeekIndex],82)&gt;0)*(COUNTIFS(T_TTAFStock[RM_Code],$A37,T_TTAFStock[WeekIndex],82)&gt;0)&gt;0,SUMIFS(T_SelfStock[Self_Qty],T_SelfStock[RM_Code],$A37,T_SelfStock[WeekIndex],82)+SUMIFS(T_TTAFStock[TTAF_Qty],T_TTAFStock[RM_Code],$A37,T_TTAFStock[WeekIndex],82),CD37+'Grid_Incoming'!CE37-'Grid_Requirement'!CE37))</f>
        <v/>
      </c>
      <c r="CF37">
        <f>IF(COUNTIFS(T_StockCount[RM_Code],$A37,T_StockCount[WeekIndex],83)&gt;0,SUMIFS(T_StockCount[CountedQty],T_StockCount[RM_Code],$A37,T_StockCount[WeekIndex],83),IF((COUNTIFS(T_SelfStock[RM_Code],$A37,T_SelfStock[WeekIndex],83)&gt;0)*(COUNTIFS(T_TTAFStock[RM_Code],$A37,T_TTAFStock[WeekIndex],83)&gt;0)&gt;0,SUMIFS(T_SelfStock[Self_Qty],T_SelfStock[RM_Code],$A37,T_SelfStock[WeekIndex],83)+SUMIFS(T_TTAFStock[TTAF_Qty],T_TTAFStock[RM_Code],$A37,T_TTAFStock[WeekIndex],83),CE37+'Grid_Incoming'!CF37-'Grid_Requirement'!CF37))</f>
        <v/>
      </c>
      <c r="CG37">
        <f>IF(COUNTIFS(T_StockCount[RM_Code],$A37,T_StockCount[WeekIndex],84)&gt;0,SUMIFS(T_StockCount[CountedQty],T_StockCount[RM_Code],$A37,T_StockCount[WeekIndex],84),IF((COUNTIFS(T_SelfStock[RM_Code],$A37,T_SelfStock[WeekIndex],84)&gt;0)*(COUNTIFS(T_TTAFStock[RM_Code],$A37,T_TTAFStock[WeekIndex],84)&gt;0)&gt;0,SUMIFS(T_SelfStock[Self_Qty],T_SelfStock[RM_Code],$A37,T_SelfStock[WeekIndex],84)+SUMIFS(T_TTAFStock[TTAF_Qty],T_TTAFStock[RM_Code],$A37,T_TTAFStock[WeekIndex],84),CF37+'Grid_Incoming'!CG37-'Grid_Requirement'!CG37))</f>
        <v/>
      </c>
      <c r="CH37">
        <f>IF(COUNTIFS(T_StockCount[RM_Code],$A37,T_StockCount[WeekIndex],85)&gt;0,SUMIFS(T_StockCount[CountedQty],T_StockCount[RM_Code],$A37,T_StockCount[WeekIndex],85),IF((COUNTIFS(T_SelfStock[RM_Code],$A37,T_SelfStock[WeekIndex],85)&gt;0)*(COUNTIFS(T_TTAFStock[RM_Code],$A37,T_TTAFStock[WeekIndex],85)&gt;0)&gt;0,SUMIFS(T_SelfStock[Self_Qty],T_SelfStock[RM_Code],$A37,T_SelfStock[WeekIndex],85)+SUMIFS(T_TTAFStock[TTAF_Qty],T_TTAFStock[RM_Code],$A37,T_TTAFStock[WeekIndex],85),CG37+'Grid_Incoming'!CH37-'Grid_Requirement'!CH37))</f>
        <v/>
      </c>
      <c r="CI37">
        <f>IF(COUNTIFS(T_StockCount[RM_Code],$A37,T_StockCount[WeekIndex],86)&gt;0,SUMIFS(T_StockCount[CountedQty],T_StockCount[RM_Code],$A37,T_StockCount[WeekIndex],86),IF((COUNTIFS(T_SelfStock[RM_Code],$A37,T_SelfStock[WeekIndex],86)&gt;0)*(COUNTIFS(T_TTAFStock[RM_Code],$A37,T_TTAFStock[WeekIndex],86)&gt;0)&gt;0,SUMIFS(T_SelfStock[Self_Qty],T_SelfStock[RM_Code],$A37,T_SelfStock[WeekIndex],86)+SUMIFS(T_TTAFStock[TTAF_Qty],T_TTAFStock[RM_Code],$A37,T_TTAFStock[WeekIndex],86),CH37+'Grid_Incoming'!CI37-'Grid_Requirement'!CI37))</f>
        <v/>
      </c>
      <c r="CJ37">
        <f>IF(COUNTIFS(T_StockCount[RM_Code],$A37,T_StockCount[WeekIndex],87)&gt;0,SUMIFS(T_StockCount[CountedQty],T_StockCount[RM_Code],$A37,T_StockCount[WeekIndex],87),IF((COUNTIFS(T_SelfStock[RM_Code],$A37,T_SelfStock[WeekIndex],87)&gt;0)*(COUNTIFS(T_TTAFStock[RM_Code],$A37,T_TTAFStock[WeekIndex],87)&gt;0)&gt;0,SUMIFS(T_SelfStock[Self_Qty],T_SelfStock[RM_Code],$A37,T_SelfStock[WeekIndex],87)+SUMIFS(T_TTAFStock[TTAF_Qty],T_TTAFStock[RM_Code],$A37,T_TTAFStock[WeekIndex],87),CI37+'Grid_Incoming'!CJ37-'Grid_Requirement'!CJ37))</f>
        <v/>
      </c>
      <c r="CK37">
        <f>IF(COUNTIFS(T_StockCount[RM_Code],$A37,T_StockCount[WeekIndex],88)&gt;0,SUMIFS(T_StockCount[CountedQty],T_StockCount[RM_Code],$A37,T_StockCount[WeekIndex],88),IF((COUNTIFS(T_SelfStock[RM_Code],$A37,T_SelfStock[WeekIndex],88)&gt;0)*(COUNTIFS(T_TTAFStock[RM_Code],$A37,T_TTAFStock[WeekIndex],88)&gt;0)&gt;0,SUMIFS(T_SelfStock[Self_Qty],T_SelfStock[RM_Code],$A37,T_SelfStock[WeekIndex],88)+SUMIFS(T_TTAFStock[TTAF_Qty],T_TTAFStock[RM_Code],$A37,T_TTAFStock[WeekIndex],88),CJ37+'Grid_Incoming'!CK37-'Grid_Requirement'!CK37))</f>
        <v/>
      </c>
      <c r="CL37">
        <f>IF(COUNTIFS(T_StockCount[RM_Code],$A37,T_StockCount[WeekIndex],89)&gt;0,SUMIFS(T_StockCount[CountedQty],T_StockCount[RM_Code],$A37,T_StockCount[WeekIndex],89),IF((COUNTIFS(T_SelfStock[RM_Code],$A37,T_SelfStock[WeekIndex],89)&gt;0)*(COUNTIFS(T_TTAFStock[RM_Code],$A37,T_TTAFStock[WeekIndex],89)&gt;0)&gt;0,SUMIFS(T_SelfStock[Self_Qty],T_SelfStock[RM_Code],$A37,T_SelfStock[WeekIndex],89)+SUMIFS(T_TTAFStock[TTAF_Qty],T_TTAFStock[RM_Code],$A37,T_TTAFStock[WeekIndex],89),CK37+'Grid_Incoming'!CL37-'Grid_Requirement'!CL37))</f>
        <v/>
      </c>
      <c r="CM37">
        <f>IF(COUNTIFS(T_StockCount[RM_Code],$A37,T_StockCount[WeekIndex],90)&gt;0,SUMIFS(T_StockCount[CountedQty],T_StockCount[RM_Code],$A37,T_StockCount[WeekIndex],90),IF((COUNTIFS(T_SelfStock[RM_Code],$A37,T_SelfStock[WeekIndex],90)&gt;0)*(COUNTIFS(T_TTAFStock[RM_Code],$A37,T_TTAFStock[WeekIndex],90)&gt;0)&gt;0,SUMIFS(T_SelfStock[Self_Qty],T_SelfStock[RM_Code],$A37,T_SelfStock[WeekIndex],90)+SUMIFS(T_TTAFStock[TTAF_Qty],T_TTAFStock[RM_Code],$A37,T_TTAFStock[WeekIndex],90),CL37+'Grid_Incoming'!CM37-'Grid_Requirement'!CM37))</f>
        <v/>
      </c>
      <c r="CN37">
        <f>IF(COUNTIFS(T_StockCount[RM_Code],$A37,T_StockCount[WeekIndex],91)&gt;0,SUMIFS(T_StockCount[CountedQty],T_StockCount[RM_Code],$A37,T_StockCount[WeekIndex],91),IF((COUNTIFS(T_SelfStock[RM_Code],$A37,T_SelfStock[WeekIndex],91)&gt;0)*(COUNTIFS(T_TTAFStock[RM_Code],$A37,T_TTAFStock[WeekIndex],91)&gt;0)&gt;0,SUMIFS(T_SelfStock[Self_Qty],T_SelfStock[RM_Code],$A37,T_SelfStock[WeekIndex],91)+SUMIFS(T_TTAFStock[TTAF_Qty],T_TTAFStock[RM_Code],$A37,T_TTAFStock[WeekIndex],91),CM37+'Grid_Incoming'!CN37-'Grid_Requirement'!CN37))</f>
        <v/>
      </c>
      <c r="CO37">
        <f>IF(COUNTIFS(T_StockCount[RM_Code],$A37,T_StockCount[WeekIndex],92)&gt;0,SUMIFS(T_StockCount[CountedQty],T_StockCount[RM_Code],$A37,T_StockCount[WeekIndex],92),IF((COUNTIFS(T_SelfStock[RM_Code],$A37,T_SelfStock[WeekIndex],92)&gt;0)*(COUNTIFS(T_TTAFStock[RM_Code],$A37,T_TTAFStock[WeekIndex],92)&gt;0)&gt;0,SUMIFS(T_SelfStock[Self_Qty],T_SelfStock[RM_Code],$A37,T_SelfStock[WeekIndex],92)+SUMIFS(T_TTAFStock[TTAF_Qty],T_TTAFStock[RM_Code],$A37,T_TTAFStock[WeekIndex],92),CN37+'Grid_Incoming'!CO37-'Grid_Requirement'!CO37))</f>
        <v/>
      </c>
      <c r="CP37">
        <f>IF(COUNTIFS(T_StockCount[RM_Code],$A37,T_StockCount[WeekIndex],93)&gt;0,SUMIFS(T_StockCount[CountedQty],T_StockCount[RM_Code],$A37,T_StockCount[WeekIndex],93),IF((COUNTIFS(T_SelfStock[RM_Code],$A37,T_SelfStock[WeekIndex],93)&gt;0)*(COUNTIFS(T_TTAFStock[RM_Code],$A37,T_TTAFStock[WeekIndex],93)&gt;0)&gt;0,SUMIFS(T_SelfStock[Self_Qty],T_SelfStock[RM_Code],$A37,T_SelfStock[WeekIndex],93)+SUMIFS(T_TTAFStock[TTAF_Qty],T_TTAFStock[RM_Code],$A37,T_TTAFStock[WeekIndex],93),CO37+'Grid_Incoming'!CP37-'Grid_Requirement'!CP37))</f>
        <v/>
      </c>
      <c r="CQ37">
        <f>IF(COUNTIFS(T_StockCount[RM_Code],$A37,T_StockCount[WeekIndex],94)&gt;0,SUMIFS(T_StockCount[CountedQty],T_StockCount[RM_Code],$A37,T_StockCount[WeekIndex],94),IF((COUNTIFS(T_SelfStock[RM_Code],$A37,T_SelfStock[WeekIndex],94)&gt;0)*(COUNTIFS(T_TTAFStock[RM_Code],$A37,T_TTAFStock[WeekIndex],94)&gt;0)&gt;0,SUMIFS(T_SelfStock[Self_Qty],T_SelfStock[RM_Code],$A37,T_SelfStock[WeekIndex],94)+SUMIFS(T_TTAFStock[TTAF_Qty],T_TTAFStock[RM_Code],$A37,T_TTAFStock[WeekIndex],94),CP37+'Grid_Incoming'!CQ37-'Grid_Requirement'!CQ37))</f>
        <v/>
      </c>
      <c r="CR37">
        <f>IF(COUNTIFS(T_StockCount[RM_Code],$A37,T_StockCount[WeekIndex],95)&gt;0,SUMIFS(T_StockCount[CountedQty],T_StockCount[RM_Code],$A37,T_StockCount[WeekIndex],95),IF((COUNTIFS(T_SelfStock[RM_Code],$A37,T_SelfStock[WeekIndex],95)&gt;0)*(COUNTIFS(T_TTAFStock[RM_Code],$A37,T_TTAFStock[WeekIndex],95)&gt;0)&gt;0,SUMIFS(T_SelfStock[Self_Qty],T_SelfStock[RM_Code],$A37,T_SelfStock[WeekIndex],95)+SUMIFS(T_TTAFStock[TTAF_Qty],T_TTAFStock[RM_Code],$A37,T_TTAFStock[WeekIndex],95),CQ37+'Grid_Incoming'!CR37-'Grid_Requirement'!CR37))</f>
        <v/>
      </c>
      <c r="CS37">
        <f>IF(COUNTIFS(T_StockCount[RM_Code],$A37,T_StockCount[WeekIndex],96)&gt;0,SUMIFS(T_StockCount[CountedQty],T_StockCount[RM_Code],$A37,T_StockCount[WeekIndex],96),IF((COUNTIFS(T_SelfStock[RM_Code],$A37,T_SelfStock[WeekIndex],96)&gt;0)*(COUNTIFS(T_TTAFStock[RM_Code],$A37,T_TTAFStock[WeekIndex],96)&gt;0)&gt;0,SUMIFS(T_SelfStock[Self_Qty],T_SelfStock[RM_Code],$A37,T_SelfStock[WeekIndex],96)+SUMIFS(T_TTAFStock[TTAF_Qty],T_TTAFStock[RM_Code],$A37,T_TTAFStock[WeekIndex],96),CR37+'Grid_Incoming'!CS37-'Grid_Requirement'!CS37))</f>
        <v/>
      </c>
      <c r="CT37">
        <f>IF(COUNTIFS(T_StockCount[RM_Code],$A37,T_StockCount[WeekIndex],97)&gt;0,SUMIFS(T_StockCount[CountedQty],T_StockCount[RM_Code],$A37,T_StockCount[WeekIndex],97),IF((COUNTIFS(T_SelfStock[RM_Code],$A37,T_SelfStock[WeekIndex],97)&gt;0)*(COUNTIFS(T_TTAFStock[RM_Code],$A37,T_TTAFStock[WeekIndex],97)&gt;0)&gt;0,SUMIFS(T_SelfStock[Self_Qty],T_SelfStock[RM_Code],$A37,T_SelfStock[WeekIndex],97)+SUMIFS(T_TTAFStock[TTAF_Qty],T_TTAFStock[RM_Code],$A37,T_TTAFStock[WeekIndex],97),CS37+'Grid_Incoming'!CT37-'Grid_Requirement'!CT37))</f>
        <v/>
      </c>
      <c r="CU37">
        <f>IF(COUNTIFS(T_StockCount[RM_Code],$A37,T_StockCount[WeekIndex],98)&gt;0,SUMIFS(T_StockCount[CountedQty],T_StockCount[RM_Code],$A37,T_StockCount[WeekIndex],98),IF((COUNTIFS(T_SelfStock[RM_Code],$A37,T_SelfStock[WeekIndex],98)&gt;0)*(COUNTIFS(T_TTAFStock[RM_Code],$A37,T_TTAFStock[WeekIndex],98)&gt;0)&gt;0,SUMIFS(T_SelfStock[Self_Qty],T_SelfStock[RM_Code],$A37,T_SelfStock[WeekIndex],98)+SUMIFS(T_TTAFStock[TTAF_Qty],T_TTAFStock[RM_Code],$A37,T_TTAFStock[WeekIndex],98),CT37+'Grid_Incoming'!CU37-'Grid_Requirement'!CU37))</f>
        <v/>
      </c>
      <c r="CV37">
        <f>IF(COUNTIFS(T_StockCount[RM_Code],$A37,T_StockCount[WeekIndex],99)&gt;0,SUMIFS(T_StockCount[CountedQty],T_StockCount[RM_Code],$A37,T_StockCount[WeekIndex],99),IF((COUNTIFS(T_SelfStock[RM_Code],$A37,T_SelfStock[WeekIndex],99)&gt;0)*(COUNTIFS(T_TTAFStock[RM_Code],$A37,T_TTAFStock[WeekIndex],99)&gt;0)&gt;0,SUMIFS(T_SelfStock[Self_Qty],T_SelfStock[RM_Code],$A37,T_SelfStock[WeekIndex],99)+SUMIFS(T_TTAFStock[TTAF_Qty],T_TTAFStock[RM_Code],$A37,T_TTAFStock[WeekIndex],99),CU37+'Grid_Incoming'!CV37-'Grid_Requirement'!CV37))</f>
        <v/>
      </c>
      <c r="CW37">
        <f>IF(COUNTIFS(T_StockCount[RM_Code],$A37,T_StockCount[WeekIndex],100)&gt;0,SUMIFS(T_StockCount[CountedQty],T_StockCount[RM_Code],$A37,T_StockCount[WeekIndex],100),IF((COUNTIFS(T_SelfStock[RM_Code],$A37,T_SelfStock[WeekIndex],100)&gt;0)*(COUNTIFS(T_TTAFStock[RM_Code],$A37,T_TTAFStock[WeekIndex],100)&gt;0)&gt;0,SUMIFS(T_SelfStock[Self_Qty],T_SelfStock[RM_Code],$A37,T_SelfStock[WeekIndex],100)+SUMIFS(T_TTAFStock[TTAF_Qty],T_TTAFStock[RM_Code],$A37,T_TTAFStock[WeekIndex],100),CV37+'Grid_Incoming'!CW37-'Grid_Requirement'!CW37))</f>
        <v/>
      </c>
      <c r="CX37">
        <f>IF(COUNTIFS(T_StockCount[RM_Code],$A37,T_StockCount[WeekIndex],101)&gt;0,SUMIFS(T_StockCount[CountedQty],T_StockCount[RM_Code],$A37,T_StockCount[WeekIndex],101),IF((COUNTIFS(T_SelfStock[RM_Code],$A37,T_SelfStock[WeekIndex],101)&gt;0)*(COUNTIFS(T_TTAFStock[RM_Code],$A37,T_TTAFStock[WeekIndex],101)&gt;0)&gt;0,SUMIFS(T_SelfStock[Self_Qty],T_SelfStock[RM_Code],$A37,T_SelfStock[WeekIndex],101)+SUMIFS(T_TTAFStock[TTAF_Qty],T_TTAFStock[RM_Code],$A37,T_TTAFStock[WeekIndex],101),CW37+'Grid_Incoming'!CX37-'Grid_Requirement'!CX37))</f>
        <v/>
      </c>
      <c r="CY37">
        <f>IF(COUNTIFS(T_StockCount[RM_Code],$A37,T_StockCount[WeekIndex],102)&gt;0,SUMIFS(T_StockCount[CountedQty],T_StockCount[RM_Code],$A37,T_StockCount[WeekIndex],102),IF((COUNTIFS(T_SelfStock[RM_Code],$A37,T_SelfStock[WeekIndex],102)&gt;0)*(COUNTIFS(T_TTAFStock[RM_Code],$A37,T_TTAFStock[WeekIndex],102)&gt;0)&gt;0,SUMIFS(T_SelfStock[Self_Qty],T_SelfStock[RM_Code],$A37,T_SelfStock[WeekIndex],102)+SUMIFS(T_TTAFStock[TTAF_Qty],T_TTAFStock[RM_Code],$A37,T_TTAFStock[WeekIndex],102),CX37+'Grid_Incoming'!CY37-'Grid_Requirement'!CY37))</f>
        <v/>
      </c>
      <c r="CZ37">
        <f>IF(COUNTIFS(T_StockCount[RM_Code],$A37,T_StockCount[WeekIndex],103)&gt;0,SUMIFS(T_StockCount[CountedQty],T_StockCount[RM_Code],$A37,T_StockCount[WeekIndex],103),IF((COUNTIFS(T_SelfStock[RM_Code],$A37,T_SelfStock[WeekIndex],103)&gt;0)*(COUNTIFS(T_TTAFStock[RM_Code],$A37,T_TTAFStock[WeekIndex],103)&gt;0)&gt;0,SUMIFS(T_SelfStock[Self_Qty],T_SelfStock[RM_Code],$A37,T_SelfStock[WeekIndex],103)+SUMIFS(T_TTAFStock[TTAF_Qty],T_TTAFStock[RM_Code],$A37,T_TTAFStock[WeekIndex],103),CY37+'Grid_Incoming'!CZ37-'Grid_Requirement'!CZ37))</f>
        <v/>
      </c>
      <c r="DA37">
        <f>IF(COUNTIFS(T_StockCount[RM_Code],$A37,T_StockCount[WeekIndex],104)&gt;0,SUMIFS(T_StockCount[CountedQty],T_StockCount[RM_Code],$A37,T_StockCount[WeekIndex],104),IF((COUNTIFS(T_SelfStock[RM_Code],$A37,T_SelfStock[WeekIndex],104)&gt;0)*(COUNTIFS(T_TTAFStock[RM_Code],$A37,T_TTAFStock[WeekIndex],104)&gt;0)&gt;0,SUMIFS(T_SelfStock[Self_Qty],T_SelfStock[RM_Code],$A37,T_SelfStock[WeekIndex],104)+SUMIFS(T_TTAFStock[TTAF_Qty],T_TTAFStock[RM_Code],$A37,T_TTAFStock[WeekIndex],104),CZ37+'Grid_Incoming'!DA37-'Grid_Requirement'!DA37))</f>
        <v/>
      </c>
    </row>
    <row r="38">
      <c r="A38" t="inlineStr">
        <is>
          <t>CHEM-1820</t>
        </is>
      </c>
      <c r="B38">
        <f>IF(COUNTIFS(T_StockCount[RM_Code],$A38,T_StockCount[WeekIndex],1)&gt;0,SUMIFS(T_StockCount[CountedQty],T_StockCount[RM_Code],$A38,T_StockCount[WeekIndex],1),IF((COUNTIFS(T_SelfStock[RM_Code],$A38,T_SelfStock[WeekIndex],1)&gt;0)*(COUNTIFS(T_TTAFStock[RM_Code],$A38,T_TTAFStock[WeekIndex],1)&gt;0)&gt;0,SUMIFS(T_SelfStock[Self_Qty],T_SelfStock[RM_Code],$A38,T_SelfStock[WeekIndex],1)+SUMIFS(T_TTAFStock[TTAF_Qty],T_TTAFStock[RM_Code],$A38,T_TTAFStock[WeekIndex],1),IFERROR(INDEX(T_OpeningStock[Opening_Qty],MATCH($A38,T_OpeningStock[RM_Code],0)),0)+'Grid_Incoming'!B38-'Grid_Requirement'!B38))</f>
        <v/>
      </c>
      <c r="C38">
        <f>IF(COUNTIFS(T_StockCount[RM_Code],$A38,T_StockCount[WeekIndex],2)&gt;0,SUMIFS(T_StockCount[CountedQty],T_StockCount[RM_Code],$A38,T_StockCount[WeekIndex],2),IF((COUNTIFS(T_SelfStock[RM_Code],$A38,T_SelfStock[WeekIndex],2)&gt;0)*(COUNTIFS(T_TTAFStock[RM_Code],$A38,T_TTAFStock[WeekIndex],2)&gt;0)&gt;0,SUMIFS(T_SelfStock[Self_Qty],T_SelfStock[RM_Code],$A38,T_SelfStock[WeekIndex],2)+SUMIFS(T_TTAFStock[TTAF_Qty],T_TTAFStock[RM_Code],$A38,T_TTAFStock[WeekIndex],2),B38+'Grid_Incoming'!C38-'Grid_Requirement'!C38))</f>
        <v/>
      </c>
      <c r="D38">
        <f>IF(COUNTIFS(T_StockCount[RM_Code],$A38,T_StockCount[WeekIndex],3)&gt;0,SUMIFS(T_StockCount[CountedQty],T_StockCount[RM_Code],$A38,T_StockCount[WeekIndex],3),IF((COUNTIFS(T_SelfStock[RM_Code],$A38,T_SelfStock[WeekIndex],3)&gt;0)*(COUNTIFS(T_TTAFStock[RM_Code],$A38,T_TTAFStock[WeekIndex],3)&gt;0)&gt;0,SUMIFS(T_SelfStock[Self_Qty],T_SelfStock[RM_Code],$A38,T_SelfStock[WeekIndex],3)+SUMIFS(T_TTAFStock[TTAF_Qty],T_TTAFStock[RM_Code],$A38,T_TTAFStock[WeekIndex],3),C38+'Grid_Incoming'!D38-'Grid_Requirement'!D38))</f>
        <v/>
      </c>
      <c r="E38">
        <f>IF(COUNTIFS(T_StockCount[RM_Code],$A38,T_StockCount[WeekIndex],4)&gt;0,SUMIFS(T_StockCount[CountedQty],T_StockCount[RM_Code],$A38,T_StockCount[WeekIndex],4),IF((COUNTIFS(T_SelfStock[RM_Code],$A38,T_SelfStock[WeekIndex],4)&gt;0)*(COUNTIFS(T_TTAFStock[RM_Code],$A38,T_TTAFStock[WeekIndex],4)&gt;0)&gt;0,SUMIFS(T_SelfStock[Self_Qty],T_SelfStock[RM_Code],$A38,T_SelfStock[WeekIndex],4)+SUMIFS(T_TTAFStock[TTAF_Qty],T_TTAFStock[RM_Code],$A38,T_TTAFStock[WeekIndex],4),D38+'Grid_Incoming'!E38-'Grid_Requirement'!E38))</f>
        <v/>
      </c>
      <c r="F38">
        <f>IF(COUNTIFS(T_StockCount[RM_Code],$A38,T_StockCount[WeekIndex],5)&gt;0,SUMIFS(T_StockCount[CountedQty],T_StockCount[RM_Code],$A38,T_StockCount[WeekIndex],5),IF((COUNTIFS(T_SelfStock[RM_Code],$A38,T_SelfStock[WeekIndex],5)&gt;0)*(COUNTIFS(T_TTAFStock[RM_Code],$A38,T_TTAFStock[WeekIndex],5)&gt;0)&gt;0,SUMIFS(T_SelfStock[Self_Qty],T_SelfStock[RM_Code],$A38,T_SelfStock[WeekIndex],5)+SUMIFS(T_TTAFStock[TTAF_Qty],T_TTAFStock[RM_Code],$A38,T_TTAFStock[WeekIndex],5),E38+'Grid_Incoming'!F38-'Grid_Requirement'!F38))</f>
        <v/>
      </c>
      <c r="G38">
        <f>IF(COUNTIFS(T_StockCount[RM_Code],$A38,T_StockCount[WeekIndex],6)&gt;0,SUMIFS(T_StockCount[CountedQty],T_StockCount[RM_Code],$A38,T_StockCount[WeekIndex],6),IF((COUNTIFS(T_SelfStock[RM_Code],$A38,T_SelfStock[WeekIndex],6)&gt;0)*(COUNTIFS(T_TTAFStock[RM_Code],$A38,T_TTAFStock[WeekIndex],6)&gt;0)&gt;0,SUMIFS(T_SelfStock[Self_Qty],T_SelfStock[RM_Code],$A38,T_SelfStock[WeekIndex],6)+SUMIFS(T_TTAFStock[TTAF_Qty],T_TTAFStock[RM_Code],$A38,T_TTAFStock[WeekIndex],6),F38+'Grid_Incoming'!G38-'Grid_Requirement'!G38))</f>
        <v/>
      </c>
      <c r="H38">
        <f>IF(COUNTIFS(T_StockCount[RM_Code],$A38,T_StockCount[WeekIndex],7)&gt;0,SUMIFS(T_StockCount[CountedQty],T_StockCount[RM_Code],$A38,T_StockCount[WeekIndex],7),IF((COUNTIFS(T_SelfStock[RM_Code],$A38,T_SelfStock[WeekIndex],7)&gt;0)*(COUNTIFS(T_TTAFStock[RM_Code],$A38,T_TTAFStock[WeekIndex],7)&gt;0)&gt;0,SUMIFS(T_SelfStock[Self_Qty],T_SelfStock[RM_Code],$A38,T_SelfStock[WeekIndex],7)+SUMIFS(T_TTAFStock[TTAF_Qty],T_TTAFStock[RM_Code],$A38,T_TTAFStock[WeekIndex],7),G38+'Grid_Incoming'!H38-'Grid_Requirement'!H38))</f>
        <v/>
      </c>
      <c r="I38">
        <f>IF(COUNTIFS(T_StockCount[RM_Code],$A38,T_StockCount[WeekIndex],8)&gt;0,SUMIFS(T_StockCount[CountedQty],T_StockCount[RM_Code],$A38,T_StockCount[WeekIndex],8),IF((COUNTIFS(T_SelfStock[RM_Code],$A38,T_SelfStock[WeekIndex],8)&gt;0)*(COUNTIFS(T_TTAFStock[RM_Code],$A38,T_TTAFStock[WeekIndex],8)&gt;0)&gt;0,SUMIFS(T_SelfStock[Self_Qty],T_SelfStock[RM_Code],$A38,T_SelfStock[WeekIndex],8)+SUMIFS(T_TTAFStock[TTAF_Qty],T_TTAFStock[RM_Code],$A38,T_TTAFStock[WeekIndex],8),H38+'Grid_Incoming'!I38-'Grid_Requirement'!I38))</f>
        <v/>
      </c>
      <c r="J38">
        <f>IF(COUNTIFS(T_StockCount[RM_Code],$A38,T_StockCount[WeekIndex],9)&gt;0,SUMIFS(T_StockCount[CountedQty],T_StockCount[RM_Code],$A38,T_StockCount[WeekIndex],9),IF((COUNTIFS(T_SelfStock[RM_Code],$A38,T_SelfStock[WeekIndex],9)&gt;0)*(COUNTIFS(T_TTAFStock[RM_Code],$A38,T_TTAFStock[WeekIndex],9)&gt;0)&gt;0,SUMIFS(T_SelfStock[Self_Qty],T_SelfStock[RM_Code],$A38,T_SelfStock[WeekIndex],9)+SUMIFS(T_TTAFStock[TTAF_Qty],T_TTAFStock[RM_Code],$A38,T_TTAFStock[WeekIndex],9),I38+'Grid_Incoming'!J38-'Grid_Requirement'!J38))</f>
        <v/>
      </c>
      <c r="K38">
        <f>IF(COUNTIFS(T_StockCount[RM_Code],$A38,T_StockCount[WeekIndex],10)&gt;0,SUMIFS(T_StockCount[CountedQty],T_StockCount[RM_Code],$A38,T_StockCount[WeekIndex],10),IF((COUNTIFS(T_SelfStock[RM_Code],$A38,T_SelfStock[WeekIndex],10)&gt;0)*(COUNTIFS(T_TTAFStock[RM_Code],$A38,T_TTAFStock[WeekIndex],10)&gt;0)&gt;0,SUMIFS(T_SelfStock[Self_Qty],T_SelfStock[RM_Code],$A38,T_SelfStock[WeekIndex],10)+SUMIFS(T_TTAFStock[TTAF_Qty],T_TTAFStock[RM_Code],$A38,T_TTAFStock[WeekIndex],10),J38+'Grid_Incoming'!K38-'Grid_Requirement'!K38))</f>
        <v/>
      </c>
      <c r="L38">
        <f>IF(COUNTIFS(T_StockCount[RM_Code],$A38,T_StockCount[WeekIndex],11)&gt;0,SUMIFS(T_StockCount[CountedQty],T_StockCount[RM_Code],$A38,T_StockCount[WeekIndex],11),IF((COUNTIFS(T_SelfStock[RM_Code],$A38,T_SelfStock[WeekIndex],11)&gt;0)*(COUNTIFS(T_TTAFStock[RM_Code],$A38,T_TTAFStock[WeekIndex],11)&gt;0)&gt;0,SUMIFS(T_SelfStock[Self_Qty],T_SelfStock[RM_Code],$A38,T_SelfStock[WeekIndex],11)+SUMIFS(T_TTAFStock[TTAF_Qty],T_TTAFStock[RM_Code],$A38,T_TTAFStock[WeekIndex],11),K38+'Grid_Incoming'!L38-'Grid_Requirement'!L38))</f>
        <v/>
      </c>
      <c r="M38">
        <f>IF(COUNTIFS(T_StockCount[RM_Code],$A38,T_StockCount[WeekIndex],12)&gt;0,SUMIFS(T_StockCount[CountedQty],T_StockCount[RM_Code],$A38,T_StockCount[WeekIndex],12),IF((COUNTIFS(T_SelfStock[RM_Code],$A38,T_SelfStock[WeekIndex],12)&gt;0)*(COUNTIFS(T_TTAFStock[RM_Code],$A38,T_TTAFStock[WeekIndex],12)&gt;0)&gt;0,SUMIFS(T_SelfStock[Self_Qty],T_SelfStock[RM_Code],$A38,T_SelfStock[WeekIndex],12)+SUMIFS(T_TTAFStock[TTAF_Qty],T_TTAFStock[RM_Code],$A38,T_TTAFStock[WeekIndex],12),L38+'Grid_Incoming'!M38-'Grid_Requirement'!M38))</f>
        <v/>
      </c>
      <c r="N38">
        <f>IF(COUNTIFS(T_StockCount[RM_Code],$A38,T_StockCount[WeekIndex],13)&gt;0,SUMIFS(T_StockCount[CountedQty],T_StockCount[RM_Code],$A38,T_StockCount[WeekIndex],13),IF((COUNTIFS(T_SelfStock[RM_Code],$A38,T_SelfStock[WeekIndex],13)&gt;0)*(COUNTIFS(T_TTAFStock[RM_Code],$A38,T_TTAFStock[WeekIndex],13)&gt;0)&gt;0,SUMIFS(T_SelfStock[Self_Qty],T_SelfStock[RM_Code],$A38,T_SelfStock[WeekIndex],13)+SUMIFS(T_TTAFStock[TTAF_Qty],T_TTAFStock[RM_Code],$A38,T_TTAFStock[WeekIndex],13),M38+'Grid_Incoming'!N38-'Grid_Requirement'!N38))</f>
        <v/>
      </c>
      <c r="O38">
        <f>IF(COUNTIFS(T_StockCount[RM_Code],$A38,T_StockCount[WeekIndex],14)&gt;0,SUMIFS(T_StockCount[CountedQty],T_StockCount[RM_Code],$A38,T_StockCount[WeekIndex],14),IF((COUNTIFS(T_SelfStock[RM_Code],$A38,T_SelfStock[WeekIndex],14)&gt;0)*(COUNTIFS(T_TTAFStock[RM_Code],$A38,T_TTAFStock[WeekIndex],14)&gt;0)&gt;0,SUMIFS(T_SelfStock[Self_Qty],T_SelfStock[RM_Code],$A38,T_SelfStock[WeekIndex],14)+SUMIFS(T_TTAFStock[TTAF_Qty],T_TTAFStock[RM_Code],$A38,T_TTAFStock[WeekIndex],14),N38+'Grid_Incoming'!O38-'Grid_Requirement'!O38))</f>
        <v/>
      </c>
      <c r="P38">
        <f>IF(COUNTIFS(T_StockCount[RM_Code],$A38,T_StockCount[WeekIndex],15)&gt;0,SUMIFS(T_StockCount[CountedQty],T_StockCount[RM_Code],$A38,T_StockCount[WeekIndex],15),IF((COUNTIFS(T_SelfStock[RM_Code],$A38,T_SelfStock[WeekIndex],15)&gt;0)*(COUNTIFS(T_TTAFStock[RM_Code],$A38,T_TTAFStock[WeekIndex],15)&gt;0)&gt;0,SUMIFS(T_SelfStock[Self_Qty],T_SelfStock[RM_Code],$A38,T_SelfStock[WeekIndex],15)+SUMIFS(T_TTAFStock[TTAF_Qty],T_TTAFStock[RM_Code],$A38,T_TTAFStock[WeekIndex],15),O38+'Grid_Incoming'!P38-'Grid_Requirement'!P38))</f>
        <v/>
      </c>
      <c r="Q38">
        <f>IF(COUNTIFS(T_StockCount[RM_Code],$A38,T_StockCount[WeekIndex],16)&gt;0,SUMIFS(T_StockCount[CountedQty],T_StockCount[RM_Code],$A38,T_StockCount[WeekIndex],16),IF((COUNTIFS(T_SelfStock[RM_Code],$A38,T_SelfStock[WeekIndex],16)&gt;0)*(COUNTIFS(T_TTAFStock[RM_Code],$A38,T_TTAFStock[WeekIndex],16)&gt;0)&gt;0,SUMIFS(T_SelfStock[Self_Qty],T_SelfStock[RM_Code],$A38,T_SelfStock[WeekIndex],16)+SUMIFS(T_TTAFStock[TTAF_Qty],T_TTAFStock[RM_Code],$A38,T_TTAFStock[WeekIndex],16),P38+'Grid_Incoming'!Q38-'Grid_Requirement'!Q38))</f>
        <v/>
      </c>
      <c r="R38">
        <f>IF(COUNTIFS(T_StockCount[RM_Code],$A38,T_StockCount[WeekIndex],17)&gt;0,SUMIFS(T_StockCount[CountedQty],T_StockCount[RM_Code],$A38,T_StockCount[WeekIndex],17),IF((COUNTIFS(T_SelfStock[RM_Code],$A38,T_SelfStock[WeekIndex],17)&gt;0)*(COUNTIFS(T_TTAFStock[RM_Code],$A38,T_TTAFStock[WeekIndex],17)&gt;0)&gt;0,SUMIFS(T_SelfStock[Self_Qty],T_SelfStock[RM_Code],$A38,T_SelfStock[WeekIndex],17)+SUMIFS(T_TTAFStock[TTAF_Qty],T_TTAFStock[RM_Code],$A38,T_TTAFStock[WeekIndex],17),Q38+'Grid_Incoming'!R38-'Grid_Requirement'!R38))</f>
        <v/>
      </c>
      <c r="S38">
        <f>IF(COUNTIFS(T_StockCount[RM_Code],$A38,T_StockCount[WeekIndex],18)&gt;0,SUMIFS(T_StockCount[CountedQty],T_StockCount[RM_Code],$A38,T_StockCount[WeekIndex],18),IF((COUNTIFS(T_SelfStock[RM_Code],$A38,T_SelfStock[WeekIndex],18)&gt;0)*(COUNTIFS(T_TTAFStock[RM_Code],$A38,T_TTAFStock[WeekIndex],18)&gt;0)&gt;0,SUMIFS(T_SelfStock[Self_Qty],T_SelfStock[RM_Code],$A38,T_SelfStock[WeekIndex],18)+SUMIFS(T_TTAFStock[TTAF_Qty],T_TTAFStock[RM_Code],$A38,T_TTAFStock[WeekIndex],18),R38+'Grid_Incoming'!S38-'Grid_Requirement'!S38))</f>
        <v/>
      </c>
      <c r="T38">
        <f>IF(COUNTIFS(T_StockCount[RM_Code],$A38,T_StockCount[WeekIndex],19)&gt;0,SUMIFS(T_StockCount[CountedQty],T_StockCount[RM_Code],$A38,T_StockCount[WeekIndex],19),IF((COUNTIFS(T_SelfStock[RM_Code],$A38,T_SelfStock[WeekIndex],19)&gt;0)*(COUNTIFS(T_TTAFStock[RM_Code],$A38,T_TTAFStock[WeekIndex],19)&gt;0)&gt;0,SUMIFS(T_SelfStock[Self_Qty],T_SelfStock[RM_Code],$A38,T_SelfStock[WeekIndex],19)+SUMIFS(T_TTAFStock[TTAF_Qty],T_TTAFStock[RM_Code],$A38,T_TTAFStock[WeekIndex],19),S38+'Grid_Incoming'!T38-'Grid_Requirement'!T38))</f>
        <v/>
      </c>
      <c r="U38">
        <f>IF(COUNTIFS(T_StockCount[RM_Code],$A38,T_StockCount[WeekIndex],20)&gt;0,SUMIFS(T_StockCount[CountedQty],T_StockCount[RM_Code],$A38,T_StockCount[WeekIndex],20),IF((COUNTIFS(T_SelfStock[RM_Code],$A38,T_SelfStock[WeekIndex],20)&gt;0)*(COUNTIFS(T_TTAFStock[RM_Code],$A38,T_TTAFStock[WeekIndex],20)&gt;0)&gt;0,SUMIFS(T_SelfStock[Self_Qty],T_SelfStock[RM_Code],$A38,T_SelfStock[WeekIndex],20)+SUMIFS(T_TTAFStock[TTAF_Qty],T_TTAFStock[RM_Code],$A38,T_TTAFStock[WeekIndex],20),T38+'Grid_Incoming'!U38-'Grid_Requirement'!U38))</f>
        <v/>
      </c>
      <c r="V38">
        <f>IF(COUNTIFS(T_StockCount[RM_Code],$A38,T_StockCount[WeekIndex],21)&gt;0,SUMIFS(T_StockCount[CountedQty],T_StockCount[RM_Code],$A38,T_StockCount[WeekIndex],21),IF((COUNTIFS(T_SelfStock[RM_Code],$A38,T_SelfStock[WeekIndex],21)&gt;0)*(COUNTIFS(T_TTAFStock[RM_Code],$A38,T_TTAFStock[WeekIndex],21)&gt;0)&gt;0,SUMIFS(T_SelfStock[Self_Qty],T_SelfStock[RM_Code],$A38,T_SelfStock[WeekIndex],21)+SUMIFS(T_TTAFStock[TTAF_Qty],T_TTAFStock[RM_Code],$A38,T_TTAFStock[WeekIndex],21),U38+'Grid_Incoming'!V38-'Grid_Requirement'!V38))</f>
        <v/>
      </c>
      <c r="W38">
        <f>IF(COUNTIFS(T_StockCount[RM_Code],$A38,T_StockCount[WeekIndex],22)&gt;0,SUMIFS(T_StockCount[CountedQty],T_StockCount[RM_Code],$A38,T_StockCount[WeekIndex],22),IF((COUNTIFS(T_SelfStock[RM_Code],$A38,T_SelfStock[WeekIndex],22)&gt;0)*(COUNTIFS(T_TTAFStock[RM_Code],$A38,T_TTAFStock[WeekIndex],22)&gt;0)&gt;0,SUMIFS(T_SelfStock[Self_Qty],T_SelfStock[RM_Code],$A38,T_SelfStock[WeekIndex],22)+SUMIFS(T_TTAFStock[TTAF_Qty],T_TTAFStock[RM_Code],$A38,T_TTAFStock[WeekIndex],22),V38+'Grid_Incoming'!W38-'Grid_Requirement'!W38))</f>
        <v/>
      </c>
      <c r="X38">
        <f>IF(COUNTIFS(T_StockCount[RM_Code],$A38,T_StockCount[WeekIndex],23)&gt;0,SUMIFS(T_StockCount[CountedQty],T_StockCount[RM_Code],$A38,T_StockCount[WeekIndex],23),IF((COUNTIFS(T_SelfStock[RM_Code],$A38,T_SelfStock[WeekIndex],23)&gt;0)*(COUNTIFS(T_TTAFStock[RM_Code],$A38,T_TTAFStock[WeekIndex],23)&gt;0)&gt;0,SUMIFS(T_SelfStock[Self_Qty],T_SelfStock[RM_Code],$A38,T_SelfStock[WeekIndex],23)+SUMIFS(T_TTAFStock[TTAF_Qty],T_TTAFStock[RM_Code],$A38,T_TTAFStock[WeekIndex],23),W38+'Grid_Incoming'!X38-'Grid_Requirement'!X38))</f>
        <v/>
      </c>
      <c r="Y38">
        <f>IF(COUNTIFS(T_StockCount[RM_Code],$A38,T_StockCount[WeekIndex],24)&gt;0,SUMIFS(T_StockCount[CountedQty],T_StockCount[RM_Code],$A38,T_StockCount[WeekIndex],24),IF((COUNTIFS(T_SelfStock[RM_Code],$A38,T_SelfStock[WeekIndex],24)&gt;0)*(COUNTIFS(T_TTAFStock[RM_Code],$A38,T_TTAFStock[WeekIndex],24)&gt;0)&gt;0,SUMIFS(T_SelfStock[Self_Qty],T_SelfStock[RM_Code],$A38,T_SelfStock[WeekIndex],24)+SUMIFS(T_TTAFStock[TTAF_Qty],T_TTAFStock[RM_Code],$A38,T_TTAFStock[WeekIndex],24),X38+'Grid_Incoming'!Y38-'Grid_Requirement'!Y38))</f>
        <v/>
      </c>
      <c r="Z38">
        <f>IF(COUNTIFS(T_StockCount[RM_Code],$A38,T_StockCount[WeekIndex],25)&gt;0,SUMIFS(T_StockCount[CountedQty],T_StockCount[RM_Code],$A38,T_StockCount[WeekIndex],25),IF((COUNTIFS(T_SelfStock[RM_Code],$A38,T_SelfStock[WeekIndex],25)&gt;0)*(COUNTIFS(T_TTAFStock[RM_Code],$A38,T_TTAFStock[WeekIndex],25)&gt;0)&gt;0,SUMIFS(T_SelfStock[Self_Qty],T_SelfStock[RM_Code],$A38,T_SelfStock[WeekIndex],25)+SUMIFS(T_TTAFStock[TTAF_Qty],T_TTAFStock[RM_Code],$A38,T_TTAFStock[WeekIndex],25),Y38+'Grid_Incoming'!Z38-'Grid_Requirement'!Z38))</f>
        <v/>
      </c>
      <c r="AA38">
        <f>IF(COUNTIFS(T_StockCount[RM_Code],$A38,T_StockCount[WeekIndex],26)&gt;0,SUMIFS(T_StockCount[CountedQty],T_StockCount[RM_Code],$A38,T_StockCount[WeekIndex],26),IF((COUNTIFS(T_SelfStock[RM_Code],$A38,T_SelfStock[WeekIndex],26)&gt;0)*(COUNTIFS(T_TTAFStock[RM_Code],$A38,T_TTAFStock[WeekIndex],26)&gt;0)&gt;0,SUMIFS(T_SelfStock[Self_Qty],T_SelfStock[RM_Code],$A38,T_SelfStock[WeekIndex],26)+SUMIFS(T_TTAFStock[TTAF_Qty],T_TTAFStock[RM_Code],$A38,T_TTAFStock[WeekIndex],26),Z38+'Grid_Incoming'!AA38-'Grid_Requirement'!AA38))</f>
        <v/>
      </c>
      <c r="AB38">
        <f>IF(COUNTIFS(T_StockCount[RM_Code],$A38,T_StockCount[WeekIndex],27)&gt;0,SUMIFS(T_StockCount[CountedQty],T_StockCount[RM_Code],$A38,T_StockCount[WeekIndex],27),IF((COUNTIFS(T_SelfStock[RM_Code],$A38,T_SelfStock[WeekIndex],27)&gt;0)*(COUNTIFS(T_TTAFStock[RM_Code],$A38,T_TTAFStock[WeekIndex],27)&gt;0)&gt;0,SUMIFS(T_SelfStock[Self_Qty],T_SelfStock[RM_Code],$A38,T_SelfStock[WeekIndex],27)+SUMIFS(T_TTAFStock[TTAF_Qty],T_TTAFStock[RM_Code],$A38,T_TTAFStock[WeekIndex],27),AA38+'Grid_Incoming'!AB38-'Grid_Requirement'!AB38))</f>
        <v/>
      </c>
      <c r="AC38">
        <f>IF(COUNTIFS(T_StockCount[RM_Code],$A38,T_StockCount[WeekIndex],28)&gt;0,SUMIFS(T_StockCount[CountedQty],T_StockCount[RM_Code],$A38,T_StockCount[WeekIndex],28),IF((COUNTIFS(T_SelfStock[RM_Code],$A38,T_SelfStock[WeekIndex],28)&gt;0)*(COUNTIFS(T_TTAFStock[RM_Code],$A38,T_TTAFStock[WeekIndex],28)&gt;0)&gt;0,SUMIFS(T_SelfStock[Self_Qty],T_SelfStock[RM_Code],$A38,T_SelfStock[WeekIndex],28)+SUMIFS(T_TTAFStock[TTAF_Qty],T_TTAFStock[RM_Code],$A38,T_TTAFStock[WeekIndex],28),AB38+'Grid_Incoming'!AC38-'Grid_Requirement'!AC38))</f>
        <v/>
      </c>
      <c r="AD38">
        <f>IF(COUNTIFS(T_StockCount[RM_Code],$A38,T_StockCount[WeekIndex],29)&gt;0,SUMIFS(T_StockCount[CountedQty],T_StockCount[RM_Code],$A38,T_StockCount[WeekIndex],29),IF((COUNTIFS(T_SelfStock[RM_Code],$A38,T_SelfStock[WeekIndex],29)&gt;0)*(COUNTIFS(T_TTAFStock[RM_Code],$A38,T_TTAFStock[WeekIndex],29)&gt;0)&gt;0,SUMIFS(T_SelfStock[Self_Qty],T_SelfStock[RM_Code],$A38,T_SelfStock[WeekIndex],29)+SUMIFS(T_TTAFStock[TTAF_Qty],T_TTAFStock[RM_Code],$A38,T_TTAFStock[WeekIndex],29),AC38+'Grid_Incoming'!AD38-'Grid_Requirement'!AD38))</f>
        <v/>
      </c>
      <c r="AE38">
        <f>IF(COUNTIFS(T_StockCount[RM_Code],$A38,T_StockCount[WeekIndex],30)&gt;0,SUMIFS(T_StockCount[CountedQty],T_StockCount[RM_Code],$A38,T_StockCount[WeekIndex],30),IF((COUNTIFS(T_SelfStock[RM_Code],$A38,T_SelfStock[WeekIndex],30)&gt;0)*(COUNTIFS(T_TTAFStock[RM_Code],$A38,T_TTAFStock[WeekIndex],30)&gt;0)&gt;0,SUMIFS(T_SelfStock[Self_Qty],T_SelfStock[RM_Code],$A38,T_SelfStock[WeekIndex],30)+SUMIFS(T_TTAFStock[TTAF_Qty],T_TTAFStock[RM_Code],$A38,T_TTAFStock[WeekIndex],30),AD38+'Grid_Incoming'!AE38-'Grid_Requirement'!AE38))</f>
        <v/>
      </c>
      <c r="AF38">
        <f>IF(COUNTIFS(T_StockCount[RM_Code],$A38,T_StockCount[WeekIndex],31)&gt;0,SUMIFS(T_StockCount[CountedQty],T_StockCount[RM_Code],$A38,T_StockCount[WeekIndex],31),IF((COUNTIFS(T_SelfStock[RM_Code],$A38,T_SelfStock[WeekIndex],31)&gt;0)*(COUNTIFS(T_TTAFStock[RM_Code],$A38,T_TTAFStock[WeekIndex],31)&gt;0)&gt;0,SUMIFS(T_SelfStock[Self_Qty],T_SelfStock[RM_Code],$A38,T_SelfStock[WeekIndex],31)+SUMIFS(T_TTAFStock[TTAF_Qty],T_TTAFStock[RM_Code],$A38,T_TTAFStock[WeekIndex],31),AE38+'Grid_Incoming'!AF38-'Grid_Requirement'!AF38))</f>
        <v/>
      </c>
      <c r="AG38">
        <f>IF(COUNTIFS(T_StockCount[RM_Code],$A38,T_StockCount[WeekIndex],32)&gt;0,SUMIFS(T_StockCount[CountedQty],T_StockCount[RM_Code],$A38,T_StockCount[WeekIndex],32),IF((COUNTIFS(T_SelfStock[RM_Code],$A38,T_SelfStock[WeekIndex],32)&gt;0)*(COUNTIFS(T_TTAFStock[RM_Code],$A38,T_TTAFStock[WeekIndex],32)&gt;0)&gt;0,SUMIFS(T_SelfStock[Self_Qty],T_SelfStock[RM_Code],$A38,T_SelfStock[WeekIndex],32)+SUMIFS(T_TTAFStock[TTAF_Qty],T_TTAFStock[RM_Code],$A38,T_TTAFStock[WeekIndex],32),AF38+'Grid_Incoming'!AG38-'Grid_Requirement'!AG38))</f>
        <v/>
      </c>
      <c r="AH38">
        <f>IF(COUNTIFS(T_StockCount[RM_Code],$A38,T_StockCount[WeekIndex],33)&gt;0,SUMIFS(T_StockCount[CountedQty],T_StockCount[RM_Code],$A38,T_StockCount[WeekIndex],33),IF((COUNTIFS(T_SelfStock[RM_Code],$A38,T_SelfStock[WeekIndex],33)&gt;0)*(COUNTIFS(T_TTAFStock[RM_Code],$A38,T_TTAFStock[WeekIndex],33)&gt;0)&gt;0,SUMIFS(T_SelfStock[Self_Qty],T_SelfStock[RM_Code],$A38,T_SelfStock[WeekIndex],33)+SUMIFS(T_TTAFStock[TTAF_Qty],T_TTAFStock[RM_Code],$A38,T_TTAFStock[WeekIndex],33),AG38+'Grid_Incoming'!AH38-'Grid_Requirement'!AH38))</f>
        <v/>
      </c>
      <c r="AI38">
        <f>IF(COUNTIFS(T_StockCount[RM_Code],$A38,T_StockCount[WeekIndex],34)&gt;0,SUMIFS(T_StockCount[CountedQty],T_StockCount[RM_Code],$A38,T_StockCount[WeekIndex],34),IF((COUNTIFS(T_SelfStock[RM_Code],$A38,T_SelfStock[WeekIndex],34)&gt;0)*(COUNTIFS(T_TTAFStock[RM_Code],$A38,T_TTAFStock[WeekIndex],34)&gt;0)&gt;0,SUMIFS(T_SelfStock[Self_Qty],T_SelfStock[RM_Code],$A38,T_SelfStock[WeekIndex],34)+SUMIFS(T_TTAFStock[TTAF_Qty],T_TTAFStock[RM_Code],$A38,T_TTAFStock[WeekIndex],34),AH38+'Grid_Incoming'!AI38-'Grid_Requirement'!AI38))</f>
        <v/>
      </c>
      <c r="AJ38">
        <f>IF(COUNTIFS(T_StockCount[RM_Code],$A38,T_StockCount[WeekIndex],35)&gt;0,SUMIFS(T_StockCount[CountedQty],T_StockCount[RM_Code],$A38,T_StockCount[WeekIndex],35),IF((COUNTIFS(T_SelfStock[RM_Code],$A38,T_SelfStock[WeekIndex],35)&gt;0)*(COUNTIFS(T_TTAFStock[RM_Code],$A38,T_TTAFStock[WeekIndex],35)&gt;0)&gt;0,SUMIFS(T_SelfStock[Self_Qty],T_SelfStock[RM_Code],$A38,T_SelfStock[WeekIndex],35)+SUMIFS(T_TTAFStock[TTAF_Qty],T_TTAFStock[RM_Code],$A38,T_TTAFStock[WeekIndex],35),AI38+'Grid_Incoming'!AJ38-'Grid_Requirement'!AJ38))</f>
        <v/>
      </c>
      <c r="AK38">
        <f>IF(COUNTIFS(T_StockCount[RM_Code],$A38,T_StockCount[WeekIndex],36)&gt;0,SUMIFS(T_StockCount[CountedQty],T_StockCount[RM_Code],$A38,T_StockCount[WeekIndex],36),IF((COUNTIFS(T_SelfStock[RM_Code],$A38,T_SelfStock[WeekIndex],36)&gt;0)*(COUNTIFS(T_TTAFStock[RM_Code],$A38,T_TTAFStock[WeekIndex],36)&gt;0)&gt;0,SUMIFS(T_SelfStock[Self_Qty],T_SelfStock[RM_Code],$A38,T_SelfStock[WeekIndex],36)+SUMIFS(T_TTAFStock[TTAF_Qty],T_TTAFStock[RM_Code],$A38,T_TTAFStock[WeekIndex],36),AJ38+'Grid_Incoming'!AK38-'Grid_Requirement'!AK38))</f>
        <v/>
      </c>
      <c r="AL38">
        <f>IF(COUNTIFS(T_StockCount[RM_Code],$A38,T_StockCount[WeekIndex],37)&gt;0,SUMIFS(T_StockCount[CountedQty],T_StockCount[RM_Code],$A38,T_StockCount[WeekIndex],37),IF((COUNTIFS(T_SelfStock[RM_Code],$A38,T_SelfStock[WeekIndex],37)&gt;0)*(COUNTIFS(T_TTAFStock[RM_Code],$A38,T_TTAFStock[WeekIndex],37)&gt;0)&gt;0,SUMIFS(T_SelfStock[Self_Qty],T_SelfStock[RM_Code],$A38,T_SelfStock[WeekIndex],37)+SUMIFS(T_TTAFStock[TTAF_Qty],T_TTAFStock[RM_Code],$A38,T_TTAFStock[WeekIndex],37),AK38+'Grid_Incoming'!AL38-'Grid_Requirement'!AL38))</f>
        <v/>
      </c>
      <c r="AM38">
        <f>IF(COUNTIFS(T_StockCount[RM_Code],$A38,T_StockCount[WeekIndex],38)&gt;0,SUMIFS(T_StockCount[CountedQty],T_StockCount[RM_Code],$A38,T_StockCount[WeekIndex],38),IF((COUNTIFS(T_SelfStock[RM_Code],$A38,T_SelfStock[WeekIndex],38)&gt;0)*(COUNTIFS(T_TTAFStock[RM_Code],$A38,T_TTAFStock[WeekIndex],38)&gt;0)&gt;0,SUMIFS(T_SelfStock[Self_Qty],T_SelfStock[RM_Code],$A38,T_SelfStock[WeekIndex],38)+SUMIFS(T_TTAFStock[TTAF_Qty],T_TTAFStock[RM_Code],$A38,T_TTAFStock[WeekIndex],38),AL38+'Grid_Incoming'!AM38-'Grid_Requirement'!AM38))</f>
        <v/>
      </c>
      <c r="AN38">
        <f>IF(COUNTIFS(T_StockCount[RM_Code],$A38,T_StockCount[WeekIndex],39)&gt;0,SUMIFS(T_StockCount[CountedQty],T_StockCount[RM_Code],$A38,T_StockCount[WeekIndex],39),IF((COUNTIFS(T_SelfStock[RM_Code],$A38,T_SelfStock[WeekIndex],39)&gt;0)*(COUNTIFS(T_TTAFStock[RM_Code],$A38,T_TTAFStock[WeekIndex],39)&gt;0)&gt;0,SUMIFS(T_SelfStock[Self_Qty],T_SelfStock[RM_Code],$A38,T_SelfStock[WeekIndex],39)+SUMIFS(T_TTAFStock[TTAF_Qty],T_TTAFStock[RM_Code],$A38,T_TTAFStock[WeekIndex],39),AM38+'Grid_Incoming'!AN38-'Grid_Requirement'!AN38))</f>
        <v/>
      </c>
      <c r="AO38">
        <f>IF(COUNTIFS(T_StockCount[RM_Code],$A38,T_StockCount[WeekIndex],40)&gt;0,SUMIFS(T_StockCount[CountedQty],T_StockCount[RM_Code],$A38,T_StockCount[WeekIndex],40),IF((COUNTIFS(T_SelfStock[RM_Code],$A38,T_SelfStock[WeekIndex],40)&gt;0)*(COUNTIFS(T_TTAFStock[RM_Code],$A38,T_TTAFStock[WeekIndex],40)&gt;0)&gt;0,SUMIFS(T_SelfStock[Self_Qty],T_SelfStock[RM_Code],$A38,T_SelfStock[WeekIndex],40)+SUMIFS(T_TTAFStock[TTAF_Qty],T_TTAFStock[RM_Code],$A38,T_TTAFStock[WeekIndex],40),AN38+'Grid_Incoming'!AO38-'Grid_Requirement'!AO38))</f>
        <v/>
      </c>
      <c r="AP38">
        <f>IF(COUNTIFS(T_StockCount[RM_Code],$A38,T_StockCount[WeekIndex],41)&gt;0,SUMIFS(T_StockCount[CountedQty],T_StockCount[RM_Code],$A38,T_StockCount[WeekIndex],41),IF((COUNTIFS(T_SelfStock[RM_Code],$A38,T_SelfStock[WeekIndex],41)&gt;0)*(COUNTIFS(T_TTAFStock[RM_Code],$A38,T_TTAFStock[WeekIndex],41)&gt;0)&gt;0,SUMIFS(T_SelfStock[Self_Qty],T_SelfStock[RM_Code],$A38,T_SelfStock[WeekIndex],41)+SUMIFS(T_TTAFStock[TTAF_Qty],T_TTAFStock[RM_Code],$A38,T_TTAFStock[WeekIndex],41),AO38+'Grid_Incoming'!AP38-'Grid_Requirement'!AP38))</f>
        <v/>
      </c>
      <c r="AQ38">
        <f>IF(COUNTIFS(T_StockCount[RM_Code],$A38,T_StockCount[WeekIndex],42)&gt;0,SUMIFS(T_StockCount[CountedQty],T_StockCount[RM_Code],$A38,T_StockCount[WeekIndex],42),IF((COUNTIFS(T_SelfStock[RM_Code],$A38,T_SelfStock[WeekIndex],42)&gt;0)*(COUNTIFS(T_TTAFStock[RM_Code],$A38,T_TTAFStock[WeekIndex],42)&gt;0)&gt;0,SUMIFS(T_SelfStock[Self_Qty],T_SelfStock[RM_Code],$A38,T_SelfStock[WeekIndex],42)+SUMIFS(T_TTAFStock[TTAF_Qty],T_TTAFStock[RM_Code],$A38,T_TTAFStock[WeekIndex],42),AP38+'Grid_Incoming'!AQ38-'Grid_Requirement'!AQ38))</f>
        <v/>
      </c>
      <c r="AR38">
        <f>IF(COUNTIFS(T_StockCount[RM_Code],$A38,T_StockCount[WeekIndex],43)&gt;0,SUMIFS(T_StockCount[CountedQty],T_StockCount[RM_Code],$A38,T_StockCount[WeekIndex],43),IF((COUNTIFS(T_SelfStock[RM_Code],$A38,T_SelfStock[WeekIndex],43)&gt;0)*(COUNTIFS(T_TTAFStock[RM_Code],$A38,T_TTAFStock[WeekIndex],43)&gt;0)&gt;0,SUMIFS(T_SelfStock[Self_Qty],T_SelfStock[RM_Code],$A38,T_SelfStock[WeekIndex],43)+SUMIFS(T_TTAFStock[TTAF_Qty],T_TTAFStock[RM_Code],$A38,T_TTAFStock[WeekIndex],43),AQ38+'Grid_Incoming'!AR38-'Grid_Requirement'!AR38))</f>
        <v/>
      </c>
      <c r="AS38">
        <f>IF(COUNTIFS(T_StockCount[RM_Code],$A38,T_StockCount[WeekIndex],44)&gt;0,SUMIFS(T_StockCount[CountedQty],T_StockCount[RM_Code],$A38,T_StockCount[WeekIndex],44),IF((COUNTIFS(T_SelfStock[RM_Code],$A38,T_SelfStock[WeekIndex],44)&gt;0)*(COUNTIFS(T_TTAFStock[RM_Code],$A38,T_TTAFStock[WeekIndex],44)&gt;0)&gt;0,SUMIFS(T_SelfStock[Self_Qty],T_SelfStock[RM_Code],$A38,T_SelfStock[WeekIndex],44)+SUMIFS(T_TTAFStock[TTAF_Qty],T_TTAFStock[RM_Code],$A38,T_TTAFStock[WeekIndex],44),AR38+'Grid_Incoming'!AS38-'Grid_Requirement'!AS38))</f>
        <v/>
      </c>
      <c r="AT38">
        <f>IF(COUNTIFS(T_StockCount[RM_Code],$A38,T_StockCount[WeekIndex],45)&gt;0,SUMIFS(T_StockCount[CountedQty],T_StockCount[RM_Code],$A38,T_StockCount[WeekIndex],45),IF((COUNTIFS(T_SelfStock[RM_Code],$A38,T_SelfStock[WeekIndex],45)&gt;0)*(COUNTIFS(T_TTAFStock[RM_Code],$A38,T_TTAFStock[WeekIndex],45)&gt;0)&gt;0,SUMIFS(T_SelfStock[Self_Qty],T_SelfStock[RM_Code],$A38,T_SelfStock[WeekIndex],45)+SUMIFS(T_TTAFStock[TTAF_Qty],T_TTAFStock[RM_Code],$A38,T_TTAFStock[WeekIndex],45),AS38+'Grid_Incoming'!AT38-'Grid_Requirement'!AT38))</f>
        <v/>
      </c>
      <c r="AU38">
        <f>IF(COUNTIFS(T_StockCount[RM_Code],$A38,T_StockCount[WeekIndex],46)&gt;0,SUMIFS(T_StockCount[CountedQty],T_StockCount[RM_Code],$A38,T_StockCount[WeekIndex],46),IF((COUNTIFS(T_SelfStock[RM_Code],$A38,T_SelfStock[WeekIndex],46)&gt;0)*(COUNTIFS(T_TTAFStock[RM_Code],$A38,T_TTAFStock[WeekIndex],46)&gt;0)&gt;0,SUMIFS(T_SelfStock[Self_Qty],T_SelfStock[RM_Code],$A38,T_SelfStock[WeekIndex],46)+SUMIFS(T_TTAFStock[TTAF_Qty],T_TTAFStock[RM_Code],$A38,T_TTAFStock[WeekIndex],46),AT38+'Grid_Incoming'!AU38-'Grid_Requirement'!AU38))</f>
        <v/>
      </c>
      <c r="AV38">
        <f>IF(COUNTIFS(T_StockCount[RM_Code],$A38,T_StockCount[WeekIndex],47)&gt;0,SUMIFS(T_StockCount[CountedQty],T_StockCount[RM_Code],$A38,T_StockCount[WeekIndex],47),IF((COUNTIFS(T_SelfStock[RM_Code],$A38,T_SelfStock[WeekIndex],47)&gt;0)*(COUNTIFS(T_TTAFStock[RM_Code],$A38,T_TTAFStock[WeekIndex],47)&gt;0)&gt;0,SUMIFS(T_SelfStock[Self_Qty],T_SelfStock[RM_Code],$A38,T_SelfStock[WeekIndex],47)+SUMIFS(T_TTAFStock[TTAF_Qty],T_TTAFStock[RM_Code],$A38,T_TTAFStock[WeekIndex],47),AU38+'Grid_Incoming'!AV38-'Grid_Requirement'!AV38))</f>
        <v/>
      </c>
      <c r="AW38">
        <f>IF(COUNTIFS(T_StockCount[RM_Code],$A38,T_StockCount[WeekIndex],48)&gt;0,SUMIFS(T_StockCount[CountedQty],T_StockCount[RM_Code],$A38,T_StockCount[WeekIndex],48),IF((COUNTIFS(T_SelfStock[RM_Code],$A38,T_SelfStock[WeekIndex],48)&gt;0)*(COUNTIFS(T_TTAFStock[RM_Code],$A38,T_TTAFStock[WeekIndex],48)&gt;0)&gt;0,SUMIFS(T_SelfStock[Self_Qty],T_SelfStock[RM_Code],$A38,T_SelfStock[WeekIndex],48)+SUMIFS(T_TTAFStock[TTAF_Qty],T_TTAFStock[RM_Code],$A38,T_TTAFStock[WeekIndex],48),AV38+'Grid_Incoming'!AW38-'Grid_Requirement'!AW38))</f>
        <v/>
      </c>
      <c r="AX38">
        <f>IF(COUNTIFS(T_StockCount[RM_Code],$A38,T_StockCount[WeekIndex],49)&gt;0,SUMIFS(T_StockCount[CountedQty],T_StockCount[RM_Code],$A38,T_StockCount[WeekIndex],49),IF((COUNTIFS(T_SelfStock[RM_Code],$A38,T_SelfStock[WeekIndex],49)&gt;0)*(COUNTIFS(T_TTAFStock[RM_Code],$A38,T_TTAFStock[WeekIndex],49)&gt;0)&gt;0,SUMIFS(T_SelfStock[Self_Qty],T_SelfStock[RM_Code],$A38,T_SelfStock[WeekIndex],49)+SUMIFS(T_TTAFStock[TTAF_Qty],T_TTAFStock[RM_Code],$A38,T_TTAFStock[WeekIndex],49),AW38+'Grid_Incoming'!AX38-'Grid_Requirement'!AX38))</f>
        <v/>
      </c>
      <c r="AY38">
        <f>IF(COUNTIFS(T_StockCount[RM_Code],$A38,T_StockCount[WeekIndex],50)&gt;0,SUMIFS(T_StockCount[CountedQty],T_StockCount[RM_Code],$A38,T_StockCount[WeekIndex],50),IF((COUNTIFS(T_SelfStock[RM_Code],$A38,T_SelfStock[WeekIndex],50)&gt;0)*(COUNTIFS(T_TTAFStock[RM_Code],$A38,T_TTAFStock[WeekIndex],50)&gt;0)&gt;0,SUMIFS(T_SelfStock[Self_Qty],T_SelfStock[RM_Code],$A38,T_SelfStock[WeekIndex],50)+SUMIFS(T_TTAFStock[TTAF_Qty],T_TTAFStock[RM_Code],$A38,T_TTAFStock[WeekIndex],50),AX38+'Grid_Incoming'!AY38-'Grid_Requirement'!AY38))</f>
        <v/>
      </c>
      <c r="AZ38">
        <f>IF(COUNTIFS(T_StockCount[RM_Code],$A38,T_StockCount[WeekIndex],51)&gt;0,SUMIFS(T_StockCount[CountedQty],T_StockCount[RM_Code],$A38,T_StockCount[WeekIndex],51),IF((COUNTIFS(T_SelfStock[RM_Code],$A38,T_SelfStock[WeekIndex],51)&gt;0)*(COUNTIFS(T_TTAFStock[RM_Code],$A38,T_TTAFStock[WeekIndex],51)&gt;0)&gt;0,SUMIFS(T_SelfStock[Self_Qty],T_SelfStock[RM_Code],$A38,T_SelfStock[WeekIndex],51)+SUMIFS(T_TTAFStock[TTAF_Qty],T_TTAFStock[RM_Code],$A38,T_TTAFStock[WeekIndex],51),AY38+'Grid_Incoming'!AZ38-'Grid_Requirement'!AZ38))</f>
        <v/>
      </c>
      <c r="BA38">
        <f>IF(COUNTIFS(T_StockCount[RM_Code],$A38,T_StockCount[WeekIndex],52)&gt;0,SUMIFS(T_StockCount[CountedQty],T_StockCount[RM_Code],$A38,T_StockCount[WeekIndex],52),IF((COUNTIFS(T_SelfStock[RM_Code],$A38,T_SelfStock[WeekIndex],52)&gt;0)*(COUNTIFS(T_TTAFStock[RM_Code],$A38,T_TTAFStock[WeekIndex],52)&gt;0)&gt;0,SUMIFS(T_SelfStock[Self_Qty],T_SelfStock[RM_Code],$A38,T_SelfStock[WeekIndex],52)+SUMIFS(T_TTAFStock[TTAF_Qty],T_TTAFStock[RM_Code],$A38,T_TTAFStock[WeekIndex],52),AZ38+'Grid_Incoming'!BA38-'Grid_Requirement'!BA38))</f>
        <v/>
      </c>
      <c r="BB38">
        <f>IF(COUNTIFS(T_StockCount[RM_Code],$A38,T_StockCount[WeekIndex],53)&gt;0,SUMIFS(T_StockCount[CountedQty],T_StockCount[RM_Code],$A38,T_StockCount[WeekIndex],53),IF((COUNTIFS(T_SelfStock[RM_Code],$A38,T_SelfStock[WeekIndex],53)&gt;0)*(COUNTIFS(T_TTAFStock[RM_Code],$A38,T_TTAFStock[WeekIndex],53)&gt;0)&gt;0,SUMIFS(T_SelfStock[Self_Qty],T_SelfStock[RM_Code],$A38,T_SelfStock[WeekIndex],53)+SUMIFS(T_TTAFStock[TTAF_Qty],T_TTAFStock[RM_Code],$A38,T_TTAFStock[WeekIndex],53),BA38+'Grid_Incoming'!BB38-'Grid_Requirement'!BB38))</f>
        <v/>
      </c>
      <c r="BC38">
        <f>IF(COUNTIFS(T_StockCount[RM_Code],$A38,T_StockCount[WeekIndex],54)&gt;0,SUMIFS(T_StockCount[CountedQty],T_StockCount[RM_Code],$A38,T_StockCount[WeekIndex],54),IF((COUNTIFS(T_SelfStock[RM_Code],$A38,T_SelfStock[WeekIndex],54)&gt;0)*(COUNTIFS(T_TTAFStock[RM_Code],$A38,T_TTAFStock[WeekIndex],54)&gt;0)&gt;0,SUMIFS(T_SelfStock[Self_Qty],T_SelfStock[RM_Code],$A38,T_SelfStock[WeekIndex],54)+SUMIFS(T_TTAFStock[TTAF_Qty],T_TTAFStock[RM_Code],$A38,T_TTAFStock[WeekIndex],54),BB38+'Grid_Incoming'!BC38-'Grid_Requirement'!BC38))</f>
        <v/>
      </c>
      <c r="BD38">
        <f>IF(COUNTIFS(T_StockCount[RM_Code],$A38,T_StockCount[WeekIndex],55)&gt;0,SUMIFS(T_StockCount[CountedQty],T_StockCount[RM_Code],$A38,T_StockCount[WeekIndex],55),IF((COUNTIFS(T_SelfStock[RM_Code],$A38,T_SelfStock[WeekIndex],55)&gt;0)*(COUNTIFS(T_TTAFStock[RM_Code],$A38,T_TTAFStock[WeekIndex],55)&gt;0)&gt;0,SUMIFS(T_SelfStock[Self_Qty],T_SelfStock[RM_Code],$A38,T_SelfStock[WeekIndex],55)+SUMIFS(T_TTAFStock[TTAF_Qty],T_TTAFStock[RM_Code],$A38,T_TTAFStock[WeekIndex],55),BC38+'Grid_Incoming'!BD38-'Grid_Requirement'!BD38))</f>
        <v/>
      </c>
      <c r="BE38">
        <f>IF(COUNTIFS(T_StockCount[RM_Code],$A38,T_StockCount[WeekIndex],56)&gt;0,SUMIFS(T_StockCount[CountedQty],T_StockCount[RM_Code],$A38,T_StockCount[WeekIndex],56),IF((COUNTIFS(T_SelfStock[RM_Code],$A38,T_SelfStock[WeekIndex],56)&gt;0)*(COUNTIFS(T_TTAFStock[RM_Code],$A38,T_TTAFStock[WeekIndex],56)&gt;0)&gt;0,SUMIFS(T_SelfStock[Self_Qty],T_SelfStock[RM_Code],$A38,T_SelfStock[WeekIndex],56)+SUMIFS(T_TTAFStock[TTAF_Qty],T_TTAFStock[RM_Code],$A38,T_TTAFStock[WeekIndex],56),BD38+'Grid_Incoming'!BE38-'Grid_Requirement'!BE38))</f>
        <v/>
      </c>
      <c r="BF38">
        <f>IF(COUNTIFS(T_StockCount[RM_Code],$A38,T_StockCount[WeekIndex],57)&gt;0,SUMIFS(T_StockCount[CountedQty],T_StockCount[RM_Code],$A38,T_StockCount[WeekIndex],57),IF((COUNTIFS(T_SelfStock[RM_Code],$A38,T_SelfStock[WeekIndex],57)&gt;0)*(COUNTIFS(T_TTAFStock[RM_Code],$A38,T_TTAFStock[WeekIndex],57)&gt;0)&gt;0,SUMIFS(T_SelfStock[Self_Qty],T_SelfStock[RM_Code],$A38,T_SelfStock[WeekIndex],57)+SUMIFS(T_TTAFStock[TTAF_Qty],T_TTAFStock[RM_Code],$A38,T_TTAFStock[WeekIndex],57),BE38+'Grid_Incoming'!BF38-'Grid_Requirement'!BF38))</f>
        <v/>
      </c>
      <c r="BG38">
        <f>IF(COUNTIFS(T_StockCount[RM_Code],$A38,T_StockCount[WeekIndex],58)&gt;0,SUMIFS(T_StockCount[CountedQty],T_StockCount[RM_Code],$A38,T_StockCount[WeekIndex],58),IF((COUNTIFS(T_SelfStock[RM_Code],$A38,T_SelfStock[WeekIndex],58)&gt;0)*(COUNTIFS(T_TTAFStock[RM_Code],$A38,T_TTAFStock[WeekIndex],58)&gt;0)&gt;0,SUMIFS(T_SelfStock[Self_Qty],T_SelfStock[RM_Code],$A38,T_SelfStock[WeekIndex],58)+SUMIFS(T_TTAFStock[TTAF_Qty],T_TTAFStock[RM_Code],$A38,T_TTAFStock[WeekIndex],58),BF38+'Grid_Incoming'!BG38-'Grid_Requirement'!BG38))</f>
        <v/>
      </c>
      <c r="BH38">
        <f>IF(COUNTIFS(T_StockCount[RM_Code],$A38,T_StockCount[WeekIndex],59)&gt;0,SUMIFS(T_StockCount[CountedQty],T_StockCount[RM_Code],$A38,T_StockCount[WeekIndex],59),IF((COUNTIFS(T_SelfStock[RM_Code],$A38,T_SelfStock[WeekIndex],59)&gt;0)*(COUNTIFS(T_TTAFStock[RM_Code],$A38,T_TTAFStock[WeekIndex],59)&gt;0)&gt;0,SUMIFS(T_SelfStock[Self_Qty],T_SelfStock[RM_Code],$A38,T_SelfStock[WeekIndex],59)+SUMIFS(T_TTAFStock[TTAF_Qty],T_TTAFStock[RM_Code],$A38,T_TTAFStock[WeekIndex],59),BG38+'Grid_Incoming'!BH38-'Grid_Requirement'!BH38))</f>
        <v/>
      </c>
      <c r="BI38">
        <f>IF(COUNTIFS(T_StockCount[RM_Code],$A38,T_StockCount[WeekIndex],60)&gt;0,SUMIFS(T_StockCount[CountedQty],T_StockCount[RM_Code],$A38,T_StockCount[WeekIndex],60),IF((COUNTIFS(T_SelfStock[RM_Code],$A38,T_SelfStock[WeekIndex],60)&gt;0)*(COUNTIFS(T_TTAFStock[RM_Code],$A38,T_TTAFStock[WeekIndex],60)&gt;0)&gt;0,SUMIFS(T_SelfStock[Self_Qty],T_SelfStock[RM_Code],$A38,T_SelfStock[WeekIndex],60)+SUMIFS(T_TTAFStock[TTAF_Qty],T_TTAFStock[RM_Code],$A38,T_TTAFStock[WeekIndex],60),BH38+'Grid_Incoming'!BI38-'Grid_Requirement'!BI38))</f>
        <v/>
      </c>
      <c r="BJ38">
        <f>IF(COUNTIFS(T_StockCount[RM_Code],$A38,T_StockCount[WeekIndex],61)&gt;0,SUMIFS(T_StockCount[CountedQty],T_StockCount[RM_Code],$A38,T_StockCount[WeekIndex],61),IF((COUNTIFS(T_SelfStock[RM_Code],$A38,T_SelfStock[WeekIndex],61)&gt;0)*(COUNTIFS(T_TTAFStock[RM_Code],$A38,T_TTAFStock[WeekIndex],61)&gt;0)&gt;0,SUMIFS(T_SelfStock[Self_Qty],T_SelfStock[RM_Code],$A38,T_SelfStock[WeekIndex],61)+SUMIFS(T_TTAFStock[TTAF_Qty],T_TTAFStock[RM_Code],$A38,T_TTAFStock[WeekIndex],61),BI38+'Grid_Incoming'!BJ38-'Grid_Requirement'!BJ38))</f>
        <v/>
      </c>
      <c r="BK38">
        <f>IF(COUNTIFS(T_StockCount[RM_Code],$A38,T_StockCount[WeekIndex],62)&gt;0,SUMIFS(T_StockCount[CountedQty],T_StockCount[RM_Code],$A38,T_StockCount[WeekIndex],62),IF((COUNTIFS(T_SelfStock[RM_Code],$A38,T_SelfStock[WeekIndex],62)&gt;0)*(COUNTIFS(T_TTAFStock[RM_Code],$A38,T_TTAFStock[WeekIndex],62)&gt;0)&gt;0,SUMIFS(T_SelfStock[Self_Qty],T_SelfStock[RM_Code],$A38,T_SelfStock[WeekIndex],62)+SUMIFS(T_TTAFStock[TTAF_Qty],T_TTAFStock[RM_Code],$A38,T_TTAFStock[WeekIndex],62),BJ38+'Grid_Incoming'!BK38-'Grid_Requirement'!BK38))</f>
        <v/>
      </c>
      <c r="BL38">
        <f>IF(COUNTIFS(T_StockCount[RM_Code],$A38,T_StockCount[WeekIndex],63)&gt;0,SUMIFS(T_StockCount[CountedQty],T_StockCount[RM_Code],$A38,T_StockCount[WeekIndex],63),IF((COUNTIFS(T_SelfStock[RM_Code],$A38,T_SelfStock[WeekIndex],63)&gt;0)*(COUNTIFS(T_TTAFStock[RM_Code],$A38,T_TTAFStock[WeekIndex],63)&gt;0)&gt;0,SUMIFS(T_SelfStock[Self_Qty],T_SelfStock[RM_Code],$A38,T_SelfStock[WeekIndex],63)+SUMIFS(T_TTAFStock[TTAF_Qty],T_TTAFStock[RM_Code],$A38,T_TTAFStock[WeekIndex],63),BK38+'Grid_Incoming'!BL38-'Grid_Requirement'!BL38))</f>
        <v/>
      </c>
      <c r="BM38">
        <f>IF(COUNTIFS(T_StockCount[RM_Code],$A38,T_StockCount[WeekIndex],64)&gt;0,SUMIFS(T_StockCount[CountedQty],T_StockCount[RM_Code],$A38,T_StockCount[WeekIndex],64),IF((COUNTIFS(T_SelfStock[RM_Code],$A38,T_SelfStock[WeekIndex],64)&gt;0)*(COUNTIFS(T_TTAFStock[RM_Code],$A38,T_TTAFStock[WeekIndex],64)&gt;0)&gt;0,SUMIFS(T_SelfStock[Self_Qty],T_SelfStock[RM_Code],$A38,T_SelfStock[WeekIndex],64)+SUMIFS(T_TTAFStock[TTAF_Qty],T_TTAFStock[RM_Code],$A38,T_TTAFStock[WeekIndex],64),BL38+'Grid_Incoming'!BM38-'Grid_Requirement'!BM38))</f>
        <v/>
      </c>
      <c r="BN38">
        <f>IF(COUNTIFS(T_StockCount[RM_Code],$A38,T_StockCount[WeekIndex],65)&gt;0,SUMIFS(T_StockCount[CountedQty],T_StockCount[RM_Code],$A38,T_StockCount[WeekIndex],65),IF((COUNTIFS(T_SelfStock[RM_Code],$A38,T_SelfStock[WeekIndex],65)&gt;0)*(COUNTIFS(T_TTAFStock[RM_Code],$A38,T_TTAFStock[WeekIndex],65)&gt;0)&gt;0,SUMIFS(T_SelfStock[Self_Qty],T_SelfStock[RM_Code],$A38,T_SelfStock[WeekIndex],65)+SUMIFS(T_TTAFStock[TTAF_Qty],T_TTAFStock[RM_Code],$A38,T_TTAFStock[WeekIndex],65),BM38+'Grid_Incoming'!BN38-'Grid_Requirement'!BN38))</f>
        <v/>
      </c>
      <c r="BO38">
        <f>IF(COUNTIFS(T_StockCount[RM_Code],$A38,T_StockCount[WeekIndex],66)&gt;0,SUMIFS(T_StockCount[CountedQty],T_StockCount[RM_Code],$A38,T_StockCount[WeekIndex],66),IF((COUNTIFS(T_SelfStock[RM_Code],$A38,T_SelfStock[WeekIndex],66)&gt;0)*(COUNTIFS(T_TTAFStock[RM_Code],$A38,T_TTAFStock[WeekIndex],66)&gt;0)&gt;0,SUMIFS(T_SelfStock[Self_Qty],T_SelfStock[RM_Code],$A38,T_SelfStock[WeekIndex],66)+SUMIFS(T_TTAFStock[TTAF_Qty],T_TTAFStock[RM_Code],$A38,T_TTAFStock[WeekIndex],66),BN38+'Grid_Incoming'!BO38-'Grid_Requirement'!BO38))</f>
        <v/>
      </c>
      <c r="BP38">
        <f>IF(COUNTIFS(T_StockCount[RM_Code],$A38,T_StockCount[WeekIndex],67)&gt;0,SUMIFS(T_StockCount[CountedQty],T_StockCount[RM_Code],$A38,T_StockCount[WeekIndex],67),IF((COUNTIFS(T_SelfStock[RM_Code],$A38,T_SelfStock[WeekIndex],67)&gt;0)*(COUNTIFS(T_TTAFStock[RM_Code],$A38,T_TTAFStock[WeekIndex],67)&gt;0)&gt;0,SUMIFS(T_SelfStock[Self_Qty],T_SelfStock[RM_Code],$A38,T_SelfStock[WeekIndex],67)+SUMIFS(T_TTAFStock[TTAF_Qty],T_TTAFStock[RM_Code],$A38,T_TTAFStock[WeekIndex],67),BO38+'Grid_Incoming'!BP38-'Grid_Requirement'!BP38))</f>
        <v/>
      </c>
      <c r="BQ38">
        <f>IF(COUNTIFS(T_StockCount[RM_Code],$A38,T_StockCount[WeekIndex],68)&gt;0,SUMIFS(T_StockCount[CountedQty],T_StockCount[RM_Code],$A38,T_StockCount[WeekIndex],68),IF((COUNTIFS(T_SelfStock[RM_Code],$A38,T_SelfStock[WeekIndex],68)&gt;0)*(COUNTIFS(T_TTAFStock[RM_Code],$A38,T_TTAFStock[WeekIndex],68)&gt;0)&gt;0,SUMIFS(T_SelfStock[Self_Qty],T_SelfStock[RM_Code],$A38,T_SelfStock[WeekIndex],68)+SUMIFS(T_TTAFStock[TTAF_Qty],T_TTAFStock[RM_Code],$A38,T_TTAFStock[WeekIndex],68),BP38+'Grid_Incoming'!BQ38-'Grid_Requirement'!BQ38))</f>
        <v/>
      </c>
      <c r="BR38">
        <f>IF(COUNTIFS(T_StockCount[RM_Code],$A38,T_StockCount[WeekIndex],69)&gt;0,SUMIFS(T_StockCount[CountedQty],T_StockCount[RM_Code],$A38,T_StockCount[WeekIndex],69),IF((COUNTIFS(T_SelfStock[RM_Code],$A38,T_SelfStock[WeekIndex],69)&gt;0)*(COUNTIFS(T_TTAFStock[RM_Code],$A38,T_TTAFStock[WeekIndex],69)&gt;0)&gt;0,SUMIFS(T_SelfStock[Self_Qty],T_SelfStock[RM_Code],$A38,T_SelfStock[WeekIndex],69)+SUMIFS(T_TTAFStock[TTAF_Qty],T_TTAFStock[RM_Code],$A38,T_TTAFStock[WeekIndex],69),BQ38+'Grid_Incoming'!BR38-'Grid_Requirement'!BR38))</f>
        <v/>
      </c>
      <c r="BS38">
        <f>IF(COUNTIFS(T_StockCount[RM_Code],$A38,T_StockCount[WeekIndex],70)&gt;0,SUMIFS(T_StockCount[CountedQty],T_StockCount[RM_Code],$A38,T_StockCount[WeekIndex],70),IF((COUNTIFS(T_SelfStock[RM_Code],$A38,T_SelfStock[WeekIndex],70)&gt;0)*(COUNTIFS(T_TTAFStock[RM_Code],$A38,T_TTAFStock[WeekIndex],70)&gt;0)&gt;0,SUMIFS(T_SelfStock[Self_Qty],T_SelfStock[RM_Code],$A38,T_SelfStock[WeekIndex],70)+SUMIFS(T_TTAFStock[TTAF_Qty],T_TTAFStock[RM_Code],$A38,T_TTAFStock[WeekIndex],70),BR38+'Grid_Incoming'!BS38-'Grid_Requirement'!BS38))</f>
        <v/>
      </c>
      <c r="BT38">
        <f>IF(COUNTIFS(T_StockCount[RM_Code],$A38,T_StockCount[WeekIndex],71)&gt;0,SUMIFS(T_StockCount[CountedQty],T_StockCount[RM_Code],$A38,T_StockCount[WeekIndex],71),IF((COUNTIFS(T_SelfStock[RM_Code],$A38,T_SelfStock[WeekIndex],71)&gt;0)*(COUNTIFS(T_TTAFStock[RM_Code],$A38,T_TTAFStock[WeekIndex],71)&gt;0)&gt;0,SUMIFS(T_SelfStock[Self_Qty],T_SelfStock[RM_Code],$A38,T_SelfStock[WeekIndex],71)+SUMIFS(T_TTAFStock[TTAF_Qty],T_TTAFStock[RM_Code],$A38,T_TTAFStock[WeekIndex],71),BS38+'Grid_Incoming'!BT38-'Grid_Requirement'!BT38))</f>
        <v/>
      </c>
      <c r="BU38">
        <f>IF(COUNTIFS(T_StockCount[RM_Code],$A38,T_StockCount[WeekIndex],72)&gt;0,SUMIFS(T_StockCount[CountedQty],T_StockCount[RM_Code],$A38,T_StockCount[WeekIndex],72),IF((COUNTIFS(T_SelfStock[RM_Code],$A38,T_SelfStock[WeekIndex],72)&gt;0)*(COUNTIFS(T_TTAFStock[RM_Code],$A38,T_TTAFStock[WeekIndex],72)&gt;0)&gt;0,SUMIFS(T_SelfStock[Self_Qty],T_SelfStock[RM_Code],$A38,T_SelfStock[WeekIndex],72)+SUMIFS(T_TTAFStock[TTAF_Qty],T_TTAFStock[RM_Code],$A38,T_TTAFStock[WeekIndex],72),BT38+'Grid_Incoming'!BU38-'Grid_Requirement'!BU38))</f>
        <v/>
      </c>
      <c r="BV38">
        <f>IF(COUNTIFS(T_StockCount[RM_Code],$A38,T_StockCount[WeekIndex],73)&gt;0,SUMIFS(T_StockCount[CountedQty],T_StockCount[RM_Code],$A38,T_StockCount[WeekIndex],73),IF((COUNTIFS(T_SelfStock[RM_Code],$A38,T_SelfStock[WeekIndex],73)&gt;0)*(COUNTIFS(T_TTAFStock[RM_Code],$A38,T_TTAFStock[WeekIndex],73)&gt;0)&gt;0,SUMIFS(T_SelfStock[Self_Qty],T_SelfStock[RM_Code],$A38,T_SelfStock[WeekIndex],73)+SUMIFS(T_TTAFStock[TTAF_Qty],T_TTAFStock[RM_Code],$A38,T_TTAFStock[WeekIndex],73),BU38+'Grid_Incoming'!BV38-'Grid_Requirement'!BV38))</f>
        <v/>
      </c>
      <c r="BW38">
        <f>IF(COUNTIFS(T_StockCount[RM_Code],$A38,T_StockCount[WeekIndex],74)&gt;0,SUMIFS(T_StockCount[CountedQty],T_StockCount[RM_Code],$A38,T_StockCount[WeekIndex],74),IF((COUNTIFS(T_SelfStock[RM_Code],$A38,T_SelfStock[WeekIndex],74)&gt;0)*(COUNTIFS(T_TTAFStock[RM_Code],$A38,T_TTAFStock[WeekIndex],74)&gt;0)&gt;0,SUMIFS(T_SelfStock[Self_Qty],T_SelfStock[RM_Code],$A38,T_SelfStock[WeekIndex],74)+SUMIFS(T_TTAFStock[TTAF_Qty],T_TTAFStock[RM_Code],$A38,T_TTAFStock[WeekIndex],74),BV38+'Grid_Incoming'!BW38-'Grid_Requirement'!BW38))</f>
        <v/>
      </c>
      <c r="BX38">
        <f>IF(COUNTIFS(T_StockCount[RM_Code],$A38,T_StockCount[WeekIndex],75)&gt;0,SUMIFS(T_StockCount[CountedQty],T_StockCount[RM_Code],$A38,T_StockCount[WeekIndex],75),IF((COUNTIFS(T_SelfStock[RM_Code],$A38,T_SelfStock[WeekIndex],75)&gt;0)*(COUNTIFS(T_TTAFStock[RM_Code],$A38,T_TTAFStock[WeekIndex],75)&gt;0)&gt;0,SUMIFS(T_SelfStock[Self_Qty],T_SelfStock[RM_Code],$A38,T_SelfStock[WeekIndex],75)+SUMIFS(T_TTAFStock[TTAF_Qty],T_TTAFStock[RM_Code],$A38,T_TTAFStock[WeekIndex],75),BW38+'Grid_Incoming'!BX38-'Grid_Requirement'!BX38))</f>
        <v/>
      </c>
      <c r="BY38">
        <f>IF(COUNTIFS(T_StockCount[RM_Code],$A38,T_StockCount[WeekIndex],76)&gt;0,SUMIFS(T_StockCount[CountedQty],T_StockCount[RM_Code],$A38,T_StockCount[WeekIndex],76),IF((COUNTIFS(T_SelfStock[RM_Code],$A38,T_SelfStock[WeekIndex],76)&gt;0)*(COUNTIFS(T_TTAFStock[RM_Code],$A38,T_TTAFStock[WeekIndex],76)&gt;0)&gt;0,SUMIFS(T_SelfStock[Self_Qty],T_SelfStock[RM_Code],$A38,T_SelfStock[WeekIndex],76)+SUMIFS(T_TTAFStock[TTAF_Qty],T_TTAFStock[RM_Code],$A38,T_TTAFStock[WeekIndex],76),BX38+'Grid_Incoming'!BY38-'Grid_Requirement'!BY38))</f>
        <v/>
      </c>
      <c r="BZ38">
        <f>IF(COUNTIFS(T_StockCount[RM_Code],$A38,T_StockCount[WeekIndex],77)&gt;0,SUMIFS(T_StockCount[CountedQty],T_StockCount[RM_Code],$A38,T_StockCount[WeekIndex],77),IF((COUNTIFS(T_SelfStock[RM_Code],$A38,T_SelfStock[WeekIndex],77)&gt;0)*(COUNTIFS(T_TTAFStock[RM_Code],$A38,T_TTAFStock[WeekIndex],77)&gt;0)&gt;0,SUMIFS(T_SelfStock[Self_Qty],T_SelfStock[RM_Code],$A38,T_SelfStock[WeekIndex],77)+SUMIFS(T_TTAFStock[TTAF_Qty],T_TTAFStock[RM_Code],$A38,T_TTAFStock[WeekIndex],77),BY38+'Grid_Incoming'!BZ38-'Grid_Requirement'!BZ38))</f>
        <v/>
      </c>
      <c r="CA38">
        <f>IF(COUNTIFS(T_StockCount[RM_Code],$A38,T_StockCount[WeekIndex],78)&gt;0,SUMIFS(T_StockCount[CountedQty],T_StockCount[RM_Code],$A38,T_StockCount[WeekIndex],78),IF((COUNTIFS(T_SelfStock[RM_Code],$A38,T_SelfStock[WeekIndex],78)&gt;0)*(COUNTIFS(T_TTAFStock[RM_Code],$A38,T_TTAFStock[WeekIndex],78)&gt;0)&gt;0,SUMIFS(T_SelfStock[Self_Qty],T_SelfStock[RM_Code],$A38,T_SelfStock[WeekIndex],78)+SUMIFS(T_TTAFStock[TTAF_Qty],T_TTAFStock[RM_Code],$A38,T_TTAFStock[WeekIndex],78),BZ38+'Grid_Incoming'!CA38-'Grid_Requirement'!CA38))</f>
        <v/>
      </c>
      <c r="CB38">
        <f>IF(COUNTIFS(T_StockCount[RM_Code],$A38,T_StockCount[WeekIndex],79)&gt;0,SUMIFS(T_StockCount[CountedQty],T_StockCount[RM_Code],$A38,T_StockCount[WeekIndex],79),IF((COUNTIFS(T_SelfStock[RM_Code],$A38,T_SelfStock[WeekIndex],79)&gt;0)*(COUNTIFS(T_TTAFStock[RM_Code],$A38,T_TTAFStock[WeekIndex],79)&gt;0)&gt;0,SUMIFS(T_SelfStock[Self_Qty],T_SelfStock[RM_Code],$A38,T_SelfStock[WeekIndex],79)+SUMIFS(T_TTAFStock[TTAF_Qty],T_TTAFStock[RM_Code],$A38,T_TTAFStock[WeekIndex],79),CA38+'Grid_Incoming'!CB38-'Grid_Requirement'!CB38))</f>
        <v/>
      </c>
      <c r="CC38">
        <f>IF(COUNTIFS(T_StockCount[RM_Code],$A38,T_StockCount[WeekIndex],80)&gt;0,SUMIFS(T_StockCount[CountedQty],T_StockCount[RM_Code],$A38,T_StockCount[WeekIndex],80),IF((COUNTIFS(T_SelfStock[RM_Code],$A38,T_SelfStock[WeekIndex],80)&gt;0)*(COUNTIFS(T_TTAFStock[RM_Code],$A38,T_TTAFStock[WeekIndex],80)&gt;0)&gt;0,SUMIFS(T_SelfStock[Self_Qty],T_SelfStock[RM_Code],$A38,T_SelfStock[WeekIndex],80)+SUMIFS(T_TTAFStock[TTAF_Qty],T_TTAFStock[RM_Code],$A38,T_TTAFStock[WeekIndex],80),CB38+'Grid_Incoming'!CC38-'Grid_Requirement'!CC38))</f>
        <v/>
      </c>
      <c r="CD38">
        <f>IF(COUNTIFS(T_StockCount[RM_Code],$A38,T_StockCount[WeekIndex],81)&gt;0,SUMIFS(T_StockCount[CountedQty],T_StockCount[RM_Code],$A38,T_StockCount[WeekIndex],81),IF((COUNTIFS(T_SelfStock[RM_Code],$A38,T_SelfStock[WeekIndex],81)&gt;0)*(COUNTIFS(T_TTAFStock[RM_Code],$A38,T_TTAFStock[WeekIndex],81)&gt;0)&gt;0,SUMIFS(T_SelfStock[Self_Qty],T_SelfStock[RM_Code],$A38,T_SelfStock[WeekIndex],81)+SUMIFS(T_TTAFStock[TTAF_Qty],T_TTAFStock[RM_Code],$A38,T_TTAFStock[WeekIndex],81),CC38+'Grid_Incoming'!CD38-'Grid_Requirement'!CD38))</f>
        <v/>
      </c>
      <c r="CE38">
        <f>IF(COUNTIFS(T_StockCount[RM_Code],$A38,T_StockCount[WeekIndex],82)&gt;0,SUMIFS(T_StockCount[CountedQty],T_StockCount[RM_Code],$A38,T_StockCount[WeekIndex],82),IF((COUNTIFS(T_SelfStock[RM_Code],$A38,T_SelfStock[WeekIndex],82)&gt;0)*(COUNTIFS(T_TTAFStock[RM_Code],$A38,T_TTAFStock[WeekIndex],82)&gt;0)&gt;0,SUMIFS(T_SelfStock[Self_Qty],T_SelfStock[RM_Code],$A38,T_SelfStock[WeekIndex],82)+SUMIFS(T_TTAFStock[TTAF_Qty],T_TTAFStock[RM_Code],$A38,T_TTAFStock[WeekIndex],82),CD38+'Grid_Incoming'!CE38-'Grid_Requirement'!CE38))</f>
        <v/>
      </c>
      <c r="CF38">
        <f>IF(COUNTIFS(T_StockCount[RM_Code],$A38,T_StockCount[WeekIndex],83)&gt;0,SUMIFS(T_StockCount[CountedQty],T_StockCount[RM_Code],$A38,T_StockCount[WeekIndex],83),IF((COUNTIFS(T_SelfStock[RM_Code],$A38,T_SelfStock[WeekIndex],83)&gt;0)*(COUNTIFS(T_TTAFStock[RM_Code],$A38,T_TTAFStock[WeekIndex],83)&gt;0)&gt;0,SUMIFS(T_SelfStock[Self_Qty],T_SelfStock[RM_Code],$A38,T_SelfStock[WeekIndex],83)+SUMIFS(T_TTAFStock[TTAF_Qty],T_TTAFStock[RM_Code],$A38,T_TTAFStock[WeekIndex],83),CE38+'Grid_Incoming'!CF38-'Grid_Requirement'!CF38))</f>
        <v/>
      </c>
      <c r="CG38">
        <f>IF(COUNTIFS(T_StockCount[RM_Code],$A38,T_StockCount[WeekIndex],84)&gt;0,SUMIFS(T_StockCount[CountedQty],T_StockCount[RM_Code],$A38,T_StockCount[WeekIndex],84),IF((COUNTIFS(T_SelfStock[RM_Code],$A38,T_SelfStock[WeekIndex],84)&gt;0)*(COUNTIFS(T_TTAFStock[RM_Code],$A38,T_TTAFStock[WeekIndex],84)&gt;0)&gt;0,SUMIFS(T_SelfStock[Self_Qty],T_SelfStock[RM_Code],$A38,T_SelfStock[WeekIndex],84)+SUMIFS(T_TTAFStock[TTAF_Qty],T_TTAFStock[RM_Code],$A38,T_TTAFStock[WeekIndex],84),CF38+'Grid_Incoming'!CG38-'Grid_Requirement'!CG38))</f>
        <v/>
      </c>
      <c r="CH38">
        <f>IF(COUNTIFS(T_StockCount[RM_Code],$A38,T_StockCount[WeekIndex],85)&gt;0,SUMIFS(T_StockCount[CountedQty],T_StockCount[RM_Code],$A38,T_StockCount[WeekIndex],85),IF((COUNTIFS(T_SelfStock[RM_Code],$A38,T_SelfStock[WeekIndex],85)&gt;0)*(COUNTIFS(T_TTAFStock[RM_Code],$A38,T_TTAFStock[WeekIndex],85)&gt;0)&gt;0,SUMIFS(T_SelfStock[Self_Qty],T_SelfStock[RM_Code],$A38,T_SelfStock[WeekIndex],85)+SUMIFS(T_TTAFStock[TTAF_Qty],T_TTAFStock[RM_Code],$A38,T_TTAFStock[WeekIndex],85),CG38+'Grid_Incoming'!CH38-'Grid_Requirement'!CH38))</f>
        <v/>
      </c>
      <c r="CI38">
        <f>IF(COUNTIFS(T_StockCount[RM_Code],$A38,T_StockCount[WeekIndex],86)&gt;0,SUMIFS(T_StockCount[CountedQty],T_StockCount[RM_Code],$A38,T_StockCount[WeekIndex],86),IF((COUNTIFS(T_SelfStock[RM_Code],$A38,T_SelfStock[WeekIndex],86)&gt;0)*(COUNTIFS(T_TTAFStock[RM_Code],$A38,T_TTAFStock[WeekIndex],86)&gt;0)&gt;0,SUMIFS(T_SelfStock[Self_Qty],T_SelfStock[RM_Code],$A38,T_SelfStock[WeekIndex],86)+SUMIFS(T_TTAFStock[TTAF_Qty],T_TTAFStock[RM_Code],$A38,T_TTAFStock[WeekIndex],86),CH38+'Grid_Incoming'!CI38-'Grid_Requirement'!CI38))</f>
        <v/>
      </c>
      <c r="CJ38">
        <f>IF(COUNTIFS(T_StockCount[RM_Code],$A38,T_StockCount[WeekIndex],87)&gt;0,SUMIFS(T_StockCount[CountedQty],T_StockCount[RM_Code],$A38,T_StockCount[WeekIndex],87),IF((COUNTIFS(T_SelfStock[RM_Code],$A38,T_SelfStock[WeekIndex],87)&gt;0)*(COUNTIFS(T_TTAFStock[RM_Code],$A38,T_TTAFStock[WeekIndex],87)&gt;0)&gt;0,SUMIFS(T_SelfStock[Self_Qty],T_SelfStock[RM_Code],$A38,T_SelfStock[WeekIndex],87)+SUMIFS(T_TTAFStock[TTAF_Qty],T_TTAFStock[RM_Code],$A38,T_TTAFStock[WeekIndex],87),CI38+'Grid_Incoming'!CJ38-'Grid_Requirement'!CJ38))</f>
        <v/>
      </c>
      <c r="CK38">
        <f>IF(COUNTIFS(T_StockCount[RM_Code],$A38,T_StockCount[WeekIndex],88)&gt;0,SUMIFS(T_StockCount[CountedQty],T_StockCount[RM_Code],$A38,T_StockCount[WeekIndex],88),IF((COUNTIFS(T_SelfStock[RM_Code],$A38,T_SelfStock[WeekIndex],88)&gt;0)*(COUNTIFS(T_TTAFStock[RM_Code],$A38,T_TTAFStock[WeekIndex],88)&gt;0)&gt;0,SUMIFS(T_SelfStock[Self_Qty],T_SelfStock[RM_Code],$A38,T_SelfStock[WeekIndex],88)+SUMIFS(T_TTAFStock[TTAF_Qty],T_TTAFStock[RM_Code],$A38,T_TTAFStock[WeekIndex],88),CJ38+'Grid_Incoming'!CK38-'Grid_Requirement'!CK38))</f>
        <v/>
      </c>
      <c r="CL38">
        <f>IF(COUNTIFS(T_StockCount[RM_Code],$A38,T_StockCount[WeekIndex],89)&gt;0,SUMIFS(T_StockCount[CountedQty],T_StockCount[RM_Code],$A38,T_StockCount[WeekIndex],89),IF((COUNTIFS(T_SelfStock[RM_Code],$A38,T_SelfStock[WeekIndex],89)&gt;0)*(COUNTIFS(T_TTAFStock[RM_Code],$A38,T_TTAFStock[WeekIndex],89)&gt;0)&gt;0,SUMIFS(T_SelfStock[Self_Qty],T_SelfStock[RM_Code],$A38,T_SelfStock[WeekIndex],89)+SUMIFS(T_TTAFStock[TTAF_Qty],T_TTAFStock[RM_Code],$A38,T_TTAFStock[WeekIndex],89),CK38+'Grid_Incoming'!CL38-'Grid_Requirement'!CL38))</f>
        <v/>
      </c>
      <c r="CM38">
        <f>IF(COUNTIFS(T_StockCount[RM_Code],$A38,T_StockCount[WeekIndex],90)&gt;0,SUMIFS(T_StockCount[CountedQty],T_StockCount[RM_Code],$A38,T_StockCount[WeekIndex],90),IF((COUNTIFS(T_SelfStock[RM_Code],$A38,T_SelfStock[WeekIndex],90)&gt;0)*(COUNTIFS(T_TTAFStock[RM_Code],$A38,T_TTAFStock[WeekIndex],90)&gt;0)&gt;0,SUMIFS(T_SelfStock[Self_Qty],T_SelfStock[RM_Code],$A38,T_SelfStock[WeekIndex],90)+SUMIFS(T_TTAFStock[TTAF_Qty],T_TTAFStock[RM_Code],$A38,T_TTAFStock[WeekIndex],90),CL38+'Grid_Incoming'!CM38-'Grid_Requirement'!CM38))</f>
        <v/>
      </c>
      <c r="CN38">
        <f>IF(COUNTIFS(T_StockCount[RM_Code],$A38,T_StockCount[WeekIndex],91)&gt;0,SUMIFS(T_StockCount[CountedQty],T_StockCount[RM_Code],$A38,T_StockCount[WeekIndex],91),IF((COUNTIFS(T_SelfStock[RM_Code],$A38,T_SelfStock[WeekIndex],91)&gt;0)*(COUNTIFS(T_TTAFStock[RM_Code],$A38,T_TTAFStock[WeekIndex],91)&gt;0)&gt;0,SUMIFS(T_SelfStock[Self_Qty],T_SelfStock[RM_Code],$A38,T_SelfStock[WeekIndex],91)+SUMIFS(T_TTAFStock[TTAF_Qty],T_TTAFStock[RM_Code],$A38,T_TTAFStock[WeekIndex],91),CM38+'Grid_Incoming'!CN38-'Grid_Requirement'!CN38))</f>
        <v/>
      </c>
      <c r="CO38">
        <f>IF(COUNTIFS(T_StockCount[RM_Code],$A38,T_StockCount[WeekIndex],92)&gt;0,SUMIFS(T_StockCount[CountedQty],T_StockCount[RM_Code],$A38,T_StockCount[WeekIndex],92),IF((COUNTIFS(T_SelfStock[RM_Code],$A38,T_SelfStock[WeekIndex],92)&gt;0)*(COUNTIFS(T_TTAFStock[RM_Code],$A38,T_TTAFStock[WeekIndex],92)&gt;0)&gt;0,SUMIFS(T_SelfStock[Self_Qty],T_SelfStock[RM_Code],$A38,T_SelfStock[WeekIndex],92)+SUMIFS(T_TTAFStock[TTAF_Qty],T_TTAFStock[RM_Code],$A38,T_TTAFStock[WeekIndex],92),CN38+'Grid_Incoming'!CO38-'Grid_Requirement'!CO38))</f>
        <v/>
      </c>
      <c r="CP38">
        <f>IF(COUNTIFS(T_StockCount[RM_Code],$A38,T_StockCount[WeekIndex],93)&gt;0,SUMIFS(T_StockCount[CountedQty],T_StockCount[RM_Code],$A38,T_StockCount[WeekIndex],93),IF((COUNTIFS(T_SelfStock[RM_Code],$A38,T_SelfStock[WeekIndex],93)&gt;0)*(COUNTIFS(T_TTAFStock[RM_Code],$A38,T_TTAFStock[WeekIndex],93)&gt;0)&gt;0,SUMIFS(T_SelfStock[Self_Qty],T_SelfStock[RM_Code],$A38,T_SelfStock[WeekIndex],93)+SUMIFS(T_TTAFStock[TTAF_Qty],T_TTAFStock[RM_Code],$A38,T_TTAFStock[WeekIndex],93),CO38+'Grid_Incoming'!CP38-'Grid_Requirement'!CP38))</f>
        <v/>
      </c>
      <c r="CQ38">
        <f>IF(COUNTIFS(T_StockCount[RM_Code],$A38,T_StockCount[WeekIndex],94)&gt;0,SUMIFS(T_StockCount[CountedQty],T_StockCount[RM_Code],$A38,T_StockCount[WeekIndex],94),IF((COUNTIFS(T_SelfStock[RM_Code],$A38,T_SelfStock[WeekIndex],94)&gt;0)*(COUNTIFS(T_TTAFStock[RM_Code],$A38,T_TTAFStock[WeekIndex],94)&gt;0)&gt;0,SUMIFS(T_SelfStock[Self_Qty],T_SelfStock[RM_Code],$A38,T_SelfStock[WeekIndex],94)+SUMIFS(T_TTAFStock[TTAF_Qty],T_TTAFStock[RM_Code],$A38,T_TTAFStock[WeekIndex],94),CP38+'Grid_Incoming'!CQ38-'Grid_Requirement'!CQ38))</f>
        <v/>
      </c>
      <c r="CR38">
        <f>IF(COUNTIFS(T_StockCount[RM_Code],$A38,T_StockCount[WeekIndex],95)&gt;0,SUMIFS(T_StockCount[CountedQty],T_StockCount[RM_Code],$A38,T_StockCount[WeekIndex],95),IF((COUNTIFS(T_SelfStock[RM_Code],$A38,T_SelfStock[WeekIndex],95)&gt;0)*(COUNTIFS(T_TTAFStock[RM_Code],$A38,T_TTAFStock[WeekIndex],95)&gt;0)&gt;0,SUMIFS(T_SelfStock[Self_Qty],T_SelfStock[RM_Code],$A38,T_SelfStock[WeekIndex],95)+SUMIFS(T_TTAFStock[TTAF_Qty],T_TTAFStock[RM_Code],$A38,T_TTAFStock[WeekIndex],95),CQ38+'Grid_Incoming'!CR38-'Grid_Requirement'!CR38))</f>
        <v/>
      </c>
      <c r="CS38">
        <f>IF(COUNTIFS(T_StockCount[RM_Code],$A38,T_StockCount[WeekIndex],96)&gt;0,SUMIFS(T_StockCount[CountedQty],T_StockCount[RM_Code],$A38,T_StockCount[WeekIndex],96),IF((COUNTIFS(T_SelfStock[RM_Code],$A38,T_SelfStock[WeekIndex],96)&gt;0)*(COUNTIFS(T_TTAFStock[RM_Code],$A38,T_TTAFStock[WeekIndex],96)&gt;0)&gt;0,SUMIFS(T_SelfStock[Self_Qty],T_SelfStock[RM_Code],$A38,T_SelfStock[WeekIndex],96)+SUMIFS(T_TTAFStock[TTAF_Qty],T_TTAFStock[RM_Code],$A38,T_TTAFStock[WeekIndex],96),CR38+'Grid_Incoming'!CS38-'Grid_Requirement'!CS38))</f>
        <v/>
      </c>
      <c r="CT38">
        <f>IF(COUNTIFS(T_StockCount[RM_Code],$A38,T_StockCount[WeekIndex],97)&gt;0,SUMIFS(T_StockCount[CountedQty],T_StockCount[RM_Code],$A38,T_StockCount[WeekIndex],97),IF((COUNTIFS(T_SelfStock[RM_Code],$A38,T_SelfStock[WeekIndex],97)&gt;0)*(COUNTIFS(T_TTAFStock[RM_Code],$A38,T_TTAFStock[WeekIndex],97)&gt;0)&gt;0,SUMIFS(T_SelfStock[Self_Qty],T_SelfStock[RM_Code],$A38,T_SelfStock[WeekIndex],97)+SUMIFS(T_TTAFStock[TTAF_Qty],T_TTAFStock[RM_Code],$A38,T_TTAFStock[WeekIndex],97),CS38+'Grid_Incoming'!CT38-'Grid_Requirement'!CT38))</f>
        <v/>
      </c>
      <c r="CU38">
        <f>IF(COUNTIFS(T_StockCount[RM_Code],$A38,T_StockCount[WeekIndex],98)&gt;0,SUMIFS(T_StockCount[CountedQty],T_StockCount[RM_Code],$A38,T_StockCount[WeekIndex],98),IF((COUNTIFS(T_SelfStock[RM_Code],$A38,T_SelfStock[WeekIndex],98)&gt;0)*(COUNTIFS(T_TTAFStock[RM_Code],$A38,T_TTAFStock[WeekIndex],98)&gt;0)&gt;0,SUMIFS(T_SelfStock[Self_Qty],T_SelfStock[RM_Code],$A38,T_SelfStock[WeekIndex],98)+SUMIFS(T_TTAFStock[TTAF_Qty],T_TTAFStock[RM_Code],$A38,T_TTAFStock[WeekIndex],98),CT38+'Grid_Incoming'!CU38-'Grid_Requirement'!CU38))</f>
        <v/>
      </c>
      <c r="CV38">
        <f>IF(COUNTIFS(T_StockCount[RM_Code],$A38,T_StockCount[WeekIndex],99)&gt;0,SUMIFS(T_StockCount[CountedQty],T_StockCount[RM_Code],$A38,T_StockCount[WeekIndex],99),IF((COUNTIFS(T_SelfStock[RM_Code],$A38,T_SelfStock[WeekIndex],99)&gt;0)*(COUNTIFS(T_TTAFStock[RM_Code],$A38,T_TTAFStock[WeekIndex],99)&gt;0)&gt;0,SUMIFS(T_SelfStock[Self_Qty],T_SelfStock[RM_Code],$A38,T_SelfStock[WeekIndex],99)+SUMIFS(T_TTAFStock[TTAF_Qty],T_TTAFStock[RM_Code],$A38,T_TTAFStock[WeekIndex],99),CU38+'Grid_Incoming'!CV38-'Grid_Requirement'!CV38))</f>
        <v/>
      </c>
      <c r="CW38">
        <f>IF(COUNTIFS(T_StockCount[RM_Code],$A38,T_StockCount[WeekIndex],100)&gt;0,SUMIFS(T_StockCount[CountedQty],T_StockCount[RM_Code],$A38,T_StockCount[WeekIndex],100),IF((COUNTIFS(T_SelfStock[RM_Code],$A38,T_SelfStock[WeekIndex],100)&gt;0)*(COUNTIFS(T_TTAFStock[RM_Code],$A38,T_TTAFStock[WeekIndex],100)&gt;0)&gt;0,SUMIFS(T_SelfStock[Self_Qty],T_SelfStock[RM_Code],$A38,T_SelfStock[WeekIndex],100)+SUMIFS(T_TTAFStock[TTAF_Qty],T_TTAFStock[RM_Code],$A38,T_TTAFStock[WeekIndex],100),CV38+'Grid_Incoming'!CW38-'Grid_Requirement'!CW38))</f>
        <v/>
      </c>
      <c r="CX38">
        <f>IF(COUNTIFS(T_StockCount[RM_Code],$A38,T_StockCount[WeekIndex],101)&gt;0,SUMIFS(T_StockCount[CountedQty],T_StockCount[RM_Code],$A38,T_StockCount[WeekIndex],101),IF((COUNTIFS(T_SelfStock[RM_Code],$A38,T_SelfStock[WeekIndex],101)&gt;0)*(COUNTIFS(T_TTAFStock[RM_Code],$A38,T_TTAFStock[WeekIndex],101)&gt;0)&gt;0,SUMIFS(T_SelfStock[Self_Qty],T_SelfStock[RM_Code],$A38,T_SelfStock[WeekIndex],101)+SUMIFS(T_TTAFStock[TTAF_Qty],T_TTAFStock[RM_Code],$A38,T_TTAFStock[WeekIndex],101),CW38+'Grid_Incoming'!CX38-'Grid_Requirement'!CX38))</f>
        <v/>
      </c>
      <c r="CY38">
        <f>IF(COUNTIFS(T_StockCount[RM_Code],$A38,T_StockCount[WeekIndex],102)&gt;0,SUMIFS(T_StockCount[CountedQty],T_StockCount[RM_Code],$A38,T_StockCount[WeekIndex],102),IF((COUNTIFS(T_SelfStock[RM_Code],$A38,T_SelfStock[WeekIndex],102)&gt;0)*(COUNTIFS(T_TTAFStock[RM_Code],$A38,T_TTAFStock[WeekIndex],102)&gt;0)&gt;0,SUMIFS(T_SelfStock[Self_Qty],T_SelfStock[RM_Code],$A38,T_SelfStock[WeekIndex],102)+SUMIFS(T_TTAFStock[TTAF_Qty],T_TTAFStock[RM_Code],$A38,T_TTAFStock[WeekIndex],102),CX38+'Grid_Incoming'!CY38-'Grid_Requirement'!CY38))</f>
        <v/>
      </c>
      <c r="CZ38">
        <f>IF(COUNTIFS(T_StockCount[RM_Code],$A38,T_StockCount[WeekIndex],103)&gt;0,SUMIFS(T_StockCount[CountedQty],T_StockCount[RM_Code],$A38,T_StockCount[WeekIndex],103),IF((COUNTIFS(T_SelfStock[RM_Code],$A38,T_SelfStock[WeekIndex],103)&gt;0)*(COUNTIFS(T_TTAFStock[RM_Code],$A38,T_TTAFStock[WeekIndex],103)&gt;0)&gt;0,SUMIFS(T_SelfStock[Self_Qty],T_SelfStock[RM_Code],$A38,T_SelfStock[WeekIndex],103)+SUMIFS(T_TTAFStock[TTAF_Qty],T_TTAFStock[RM_Code],$A38,T_TTAFStock[WeekIndex],103),CY38+'Grid_Incoming'!CZ38-'Grid_Requirement'!CZ38))</f>
        <v/>
      </c>
      <c r="DA38">
        <f>IF(COUNTIFS(T_StockCount[RM_Code],$A38,T_StockCount[WeekIndex],104)&gt;0,SUMIFS(T_StockCount[CountedQty],T_StockCount[RM_Code],$A38,T_StockCount[WeekIndex],104),IF((COUNTIFS(T_SelfStock[RM_Code],$A38,T_SelfStock[WeekIndex],104)&gt;0)*(COUNTIFS(T_TTAFStock[RM_Code],$A38,T_TTAFStock[WeekIndex],104)&gt;0)&gt;0,SUMIFS(T_SelfStock[Self_Qty],T_SelfStock[RM_Code],$A38,T_SelfStock[WeekIndex],104)+SUMIFS(T_TTAFStock[TTAF_Qty],T_TTAFStock[RM_Code],$A38,T_TTAFStock[WeekIndex],104),CZ38+'Grid_Incoming'!DA38-'Grid_Requirement'!DA38))</f>
        <v/>
      </c>
    </row>
    <row r="39">
      <c r="A39" t="inlineStr">
        <is>
          <t>CHEM-1840</t>
        </is>
      </c>
      <c r="B39">
        <f>IF(COUNTIFS(T_StockCount[RM_Code],$A39,T_StockCount[WeekIndex],1)&gt;0,SUMIFS(T_StockCount[CountedQty],T_StockCount[RM_Code],$A39,T_StockCount[WeekIndex],1),IF((COUNTIFS(T_SelfStock[RM_Code],$A39,T_SelfStock[WeekIndex],1)&gt;0)*(COUNTIFS(T_TTAFStock[RM_Code],$A39,T_TTAFStock[WeekIndex],1)&gt;0)&gt;0,SUMIFS(T_SelfStock[Self_Qty],T_SelfStock[RM_Code],$A39,T_SelfStock[WeekIndex],1)+SUMIFS(T_TTAFStock[TTAF_Qty],T_TTAFStock[RM_Code],$A39,T_TTAFStock[WeekIndex],1),IFERROR(INDEX(T_OpeningStock[Opening_Qty],MATCH($A39,T_OpeningStock[RM_Code],0)),0)+'Grid_Incoming'!B39-'Grid_Requirement'!B39))</f>
        <v/>
      </c>
      <c r="C39">
        <f>IF(COUNTIFS(T_StockCount[RM_Code],$A39,T_StockCount[WeekIndex],2)&gt;0,SUMIFS(T_StockCount[CountedQty],T_StockCount[RM_Code],$A39,T_StockCount[WeekIndex],2),IF((COUNTIFS(T_SelfStock[RM_Code],$A39,T_SelfStock[WeekIndex],2)&gt;0)*(COUNTIFS(T_TTAFStock[RM_Code],$A39,T_TTAFStock[WeekIndex],2)&gt;0)&gt;0,SUMIFS(T_SelfStock[Self_Qty],T_SelfStock[RM_Code],$A39,T_SelfStock[WeekIndex],2)+SUMIFS(T_TTAFStock[TTAF_Qty],T_TTAFStock[RM_Code],$A39,T_TTAFStock[WeekIndex],2),B39+'Grid_Incoming'!C39-'Grid_Requirement'!C39))</f>
        <v/>
      </c>
      <c r="D39">
        <f>IF(COUNTIFS(T_StockCount[RM_Code],$A39,T_StockCount[WeekIndex],3)&gt;0,SUMIFS(T_StockCount[CountedQty],T_StockCount[RM_Code],$A39,T_StockCount[WeekIndex],3),IF((COUNTIFS(T_SelfStock[RM_Code],$A39,T_SelfStock[WeekIndex],3)&gt;0)*(COUNTIFS(T_TTAFStock[RM_Code],$A39,T_TTAFStock[WeekIndex],3)&gt;0)&gt;0,SUMIFS(T_SelfStock[Self_Qty],T_SelfStock[RM_Code],$A39,T_SelfStock[WeekIndex],3)+SUMIFS(T_TTAFStock[TTAF_Qty],T_TTAFStock[RM_Code],$A39,T_TTAFStock[WeekIndex],3),C39+'Grid_Incoming'!D39-'Grid_Requirement'!D39))</f>
        <v/>
      </c>
      <c r="E39">
        <f>IF(COUNTIFS(T_StockCount[RM_Code],$A39,T_StockCount[WeekIndex],4)&gt;0,SUMIFS(T_StockCount[CountedQty],T_StockCount[RM_Code],$A39,T_StockCount[WeekIndex],4),IF((COUNTIFS(T_SelfStock[RM_Code],$A39,T_SelfStock[WeekIndex],4)&gt;0)*(COUNTIFS(T_TTAFStock[RM_Code],$A39,T_TTAFStock[WeekIndex],4)&gt;0)&gt;0,SUMIFS(T_SelfStock[Self_Qty],T_SelfStock[RM_Code],$A39,T_SelfStock[WeekIndex],4)+SUMIFS(T_TTAFStock[TTAF_Qty],T_TTAFStock[RM_Code],$A39,T_TTAFStock[WeekIndex],4),D39+'Grid_Incoming'!E39-'Grid_Requirement'!E39))</f>
        <v/>
      </c>
      <c r="F39">
        <f>IF(COUNTIFS(T_StockCount[RM_Code],$A39,T_StockCount[WeekIndex],5)&gt;0,SUMIFS(T_StockCount[CountedQty],T_StockCount[RM_Code],$A39,T_StockCount[WeekIndex],5),IF((COUNTIFS(T_SelfStock[RM_Code],$A39,T_SelfStock[WeekIndex],5)&gt;0)*(COUNTIFS(T_TTAFStock[RM_Code],$A39,T_TTAFStock[WeekIndex],5)&gt;0)&gt;0,SUMIFS(T_SelfStock[Self_Qty],T_SelfStock[RM_Code],$A39,T_SelfStock[WeekIndex],5)+SUMIFS(T_TTAFStock[TTAF_Qty],T_TTAFStock[RM_Code],$A39,T_TTAFStock[WeekIndex],5),E39+'Grid_Incoming'!F39-'Grid_Requirement'!F39))</f>
        <v/>
      </c>
      <c r="G39">
        <f>IF(COUNTIFS(T_StockCount[RM_Code],$A39,T_StockCount[WeekIndex],6)&gt;0,SUMIFS(T_StockCount[CountedQty],T_StockCount[RM_Code],$A39,T_StockCount[WeekIndex],6),IF((COUNTIFS(T_SelfStock[RM_Code],$A39,T_SelfStock[WeekIndex],6)&gt;0)*(COUNTIFS(T_TTAFStock[RM_Code],$A39,T_TTAFStock[WeekIndex],6)&gt;0)&gt;0,SUMIFS(T_SelfStock[Self_Qty],T_SelfStock[RM_Code],$A39,T_SelfStock[WeekIndex],6)+SUMIFS(T_TTAFStock[TTAF_Qty],T_TTAFStock[RM_Code],$A39,T_TTAFStock[WeekIndex],6),F39+'Grid_Incoming'!G39-'Grid_Requirement'!G39))</f>
        <v/>
      </c>
      <c r="H39">
        <f>IF(COUNTIFS(T_StockCount[RM_Code],$A39,T_StockCount[WeekIndex],7)&gt;0,SUMIFS(T_StockCount[CountedQty],T_StockCount[RM_Code],$A39,T_StockCount[WeekIndex],7),IF((COUNTIFS(T_SelfStock[RM_Code],$A39,T_SelfStock[WeekIndex],7)&gt;0)*(COUNTIFS(T_TTAFStock[RM_Code],$A39,T_TTAFStock[WeekIndex],7)&gt;0)&gt;0,SUMIFS(T_SelfStock[Self_Qty],T_SelfStock[RM_Code],$A39,T_SelfStock[WeekIndex],7)+SUMIFS(T_TTAFStock[TTAF_Qty],T_TTAFStock[RM_Code],$A39,T_TTAFStock[WeekIndex],7),G39+'Grid_Incoming'!H39-'Grid_Requirement'!H39))</f>
        <v/>
      </c>
      <c r="I39">
        <f>IF(COUNTIFS(T_StockCount[RM_Code],$A39,T_StockCount[WeekIndex],8)&gt;0,SUMIFS(T_StockCount[CountedQty],T_StockCount[RM_Code],$A39,T_StockCount[WeekIndex],8),IF((COUNTIFS(T_SelfStock[RM_Code],$A39,T_SelfStock[WeekIndex],8)&gt;0)*(COUNTIFS(T_TTAFStock[RM_Code],$A39,T_TTAFStock[WeekIndex],8)&gt;0)&gt;0,SUMIFS(T_SelfStock[Self_Qty],T_SelfStock[RM_Code],$A39,T_SelfStock[WeekIndex],8)+SUMIFS(T_TTAFStock[TTAF_Qty],T_TTAFStock[RM_Code],$A39,T_TTAFStock[WeekIndex],8),H39+'Grid_Incoming'!I39-'Grid_Requirement'!I39))</f>
        <v/>
      </c>
      <c r="J39">
        <f>IF(COUNTIFS(T_StockCount[RM_Code],$A39,T_StockCount[WeekIndex],9)&gt;0,SUMIFS(T_StockCount[CountedQty],T_StockCount[RM_Code],$A39,T_StockCount[WeekIndex],9),IF((COUNTIFS(T_SelfStock[RM_Code],$A39,T_SelfStock[WeekIndex],9)&gt;0)*(COUNTIFS(T_TTAFStock[RM_Code],$A39,T_TTAFStock[WeekIndex],9)&gt;0)&gt;0,SUMIFS(T_SelfStock[Self_Qty],T_SelfStock[RM_Code],$A39,T_SelfStock[WeekIndex],9)+SUMIFS(T_TTAFStock[TTAF_Qty],T_TTAFStock[RM_Code],$A39,T_TTAFStock[WeekIndex],9),I39+'Grid_Incoming'!J39-'Grid_Requirement'!J39))</f>
        <v/>
      </c>
      <c r="K39">
        <f>IF(COUNTIFS(T_StockCount[RM_Code],$A39,T_StockCount[WeekIndex],10)&gt;0,SUMIFS(T_StockCount[CountedQty],T_StockCount[RM_Code],$A39,T_StockCount[WeekIndex],10),IF((COUNTIFS(T_SelfStock[RM_Code],$A39,T_SelfStock[WeekIndex],10)&gt;0)*(COUNTIFS(T_TTAFStock[RM_Code],$A39,T_TTAFStock[WeekIndex],10)&gt;0)&gt;0,SUMIFS(T_SelfStock[Self_Qty],T_SelfStock[RM_Code],$A39,T_SelfStock[WeekIndex],10)+SUMIFS(T_TTAFStock[TTAF_Qty],T_TTAFStock[RM_Code],$A39,T_TTAFStock[WeekIndex],10),J39+'Grid_Incoming'!K39-'Grid_Requirement'!K39))</f>
        <v/>
      </c>
      <c r="L39">
        <f>IF(COUNTIFS(T_StockCount[RM_Code],$A39,T_StockCount[WeekIndex],11)&gt;0,SUMIFS(T_StockCount[CountedQty],T_StockCount[RM_Code],$A39,T_StockCount[WeekIndex],11),IF((COUNTIFS(T_SelfStock[RM_Code],$A39,T_SelfStock[WeekIndex],11)&gt;0)*(COUNTIFS(T_TTAFStock[RM_Code],$A39,T_TTAFStock[WeekIndex],11)&gt;0)&gt;0,SUMIFS(T_SelfStock[Self_Qty],T_SelfStock[RM_Code],$A39,T_SelfStock[WeekIndex],11)+SUMIFS(T_TTAFStock[TTAF_Qty],T_TTAFStock[RM_Code],$A39,T_TTAFStock[WeekIndex],11),K39+'Grid_Incoming'!L39-'Grid_Requirement'!L39))</f>
        <v/>
      </c>
      <c r="M39">
        <f>IF(COUNTIFS(T_StockCount[RM_Code],$A39,T_StockCount[WeekIndex],12)&gt;0,SUMIFS(T_StockCount[CountedQty],T_StockCount[RM_Code],$A39,T_StockCount[WeekIndex],12),IF((COUNTIFS(T_SelfStock[RM_Code],$A39,T_SelfStock[WeekIndex],12)&gt;0)*(COUNTIFS(T_TTAFStock[RM_Code],$A39,T_TTAFStock[WeekIndex],12)&gt;0)&gt;0,SUMIFS(T_SelfStock[Self_Qty],T_SelfStock[RM_Code],$A39,T_SelfStock[WeekIndex],12)+SUMIFS(T_TTAFStock[TTAF_Qty],T_TTAFStock[RM_Code],$A39,T_TTAFStock[WeekIndex],12),L39+'Grid_Incoming'!M39-'Grid_Requirement'!M39))</f>
        <v/>
      </c>
      <c r="N39">
        <f>IF(COUNTIFS(T_StockCount[RM_Code],$A39,T_StockCount[WeekIndex],13)&gt;0,SUMIFS(T_StockCount[CountedQty],T_StockCount[RM_Code],$A39,T_StockCount[WeekIndex],13),IF((COUNTIFS(T_SelfStock[RM_Code],$A39,T_SelfStock[WeekIndex],13)&gt;0)*(COUNTIFS(T_TTAFStock[RM_Code],$A39,T_TTAFStock[WeekIndex],13)&gt;0)&gt;0,SUMIFS(T_SelfStock[Self_Qty],T_SelfStock[RM_Code],$A39,T_SelfStock[WeekIndex],13)+SUMIFS(T_TTAFStock[TTAF_Qty],T_TTAFStock[RM_Code],$A39,T_TTAFStock[WeekIndex],13),M39+'Grid_Incoming'!N39-'Grid_Requirement'!N39))</f>
        <v/>
      </c>
      <c r="O39">
        <f>IF(COUNTIFS(T_StockCount[RM_Code],$A39,T_StockCount[WeekIndex],14)&gt;0,SUMIFS(T_StockCount[CountedQty],T_StockCount[RM_Code],$A39,T_StockCount[WeekIndex],14),IF((COUNTIFS(T_SelfStock[RM_Code],$A39,T_SelfStock[WeekIndex],14)&gt;0)*(COUNTIFS(T_TTAFStock[RM_Code],$A39,T_TTAFStock[WeekIndex],14)&gt;0)&gt;0,SUMIFS(T_SelfStock[Self_Qty],T_SelfStock[RM_Code],$A39,T_SelfStock[WeekIndex],14)+SUMIFS(T_TTAFStock[TTAF_Qty],T_TTAFStock[RM_Code],$A39,T_TTAFStock[WeekIndex],14),N39+'Grid_Incoming'!O39-'Grid_Requirement'!O39))</f>
        <v/>
      </c>
      <c r="P39">
        <f>IF(COUNTIFS(T_StockCount[RM_Code],$A39,T_StockCount[WeekIndex],15)&gt;0,SUMIFS(T_StockCount[CountedQty],T_StockCount[RM_Code],$A39,T_StockCount[WeekIndex],15),IF((COUNTIFS(T_SelfStock[RM_Code],$A39,T_SelfStock[WeekIndex],15)&gt;0)*(COUNTIFS(T_TTAFStock[RM_Code],$A39,T_TTAFStock[WeekIndex],15)&gt;0)&gt;0,SUMIFS(T_SelfStock[Self_Qty],T_SelfStock[RM_Code],$A39,T_SelfStock[WeekIndex],15)+SUMIFS(T_TTAFStock[TTAF_Qty],T_TTAFStock[RM_Code],$A39,T_TTAFStock[WeekIndex],15),O39+'Grid_Incoming'!P39-'Grid_Requirement'!P39))</f>
        <v/>
      </c>
      <c r="Q39">
        <f>IF(COUNTIFS(T_StockCount[RM_Code],$A39,T_StockCount[WeekIndex],16)&gt;0,SUMIFS(T_StockCount[CountedQty],T_StockCount[RM_Code],$A39,T_StockCount[WeekIndex],16),IF((COUNTIFS(T_SelfStock[RM_Code],$A39,T_SelfStock[WeekIndex],16)&gt;0)*(COUNTIFS(T_TTAFStock[RM_Code],$A39,T_TTAFStock[WeekIndex],16)&gt;0)&gt;0,SUMIFS(T_SelfStock[Self_Qty],T_SelfStock[RM_Code],$A39,T_SelfStock[WeekIndex],16)+SUMIFS(T_TTAFStock[TTAF_Qty],T_TTAFStock[RM_Code],$A39,T_TTAFStock[WeekIndex],16),P39+'Grid_Incoming'!Q39-'Grid_Requirement'!Q39))</f>
        <v/>
      </c>
      <c r="R39">
        <f>IF(COUNTIFS(T_StockCount[RM_Code],$A39,T_StockCount[WeekIndex],17)&gt;0,SUMIFS(T_StockCount[CountedQty],T_StockCount[RM_Code],$A39,T_StockCount[WeekIndex],17),IF((COUNTIFS(T_SelfStock[RM_Code],$A39,T_SelfStock[WeekIndex],17)&gt;0)*(COUNTIFS(T_TTAFStock[RM_Code],$A39,T_TTAFStock[WeekIndex],17)&gt;0)&gt;0,SUMIFS(T_SelfStock[Self_Qty],T_SelfStock[RM_Code],$A39,T_SelfStock[WeekIndex],17)+SUMIFS(T_TTAFStock[TTAF_Qty],T_TTAFStock[RM_Code],$A39,T_TTAFStock[WeekIndex],17),Q39+'Grid_Incoming'!R39-'Grid_Requirement'!R39))</f>
        <v/>
      </c>
      <c r="S39">
        <f>IF(COUNTIFS(T_StockCount[RM_Code],$A39,T_StockCount[WeekIndex],18)&gt;0,SUMIFS(T_StockCount[CountedQty],T_StockCount[RM_Code],$A39,T_StockCount[WeekIndex],18),IF((COUNTIFS(T_SelfStock[RM_Code],$A39,T_SelfStock[WeekIndex],18)&gt;0)*(COUNTIFS(T_TTAFStock[RM_Code],$A39,T_TTAFStock[WeekIndex],18)&gt;0)&gt;0,SUMIFS(T_SelfStock[Self_Qty],T_SelfStock[RM_Code],$A39,T_SelfStock[WeekIndex],18)+SUMIFS(T_TTAFStock[TTAF_Qty],T_TTAFStock[RM_Code],$A39,T_TTAFStock[WeekIndex],18),R39+'Grid_Incoming'!S39-'Grid_Requirement'!S39))</f>
        <v/>
      </c>
      <c r="T39">
        <f>IF(COUNTIFS(T_StockCount[RM_Code],$A39,T_StockCount[WeekIndex],19)&gt;0,SUMIFS(T_StockCount[CountedQty],T_StockCount[RM_Code],$A39,T_StockCount[WeekIndex],19),IF((COUNTIFS(T_SelfStock[RM_Code],$A39,T_SelfStock[WeekIndex],19)&gt;0)*(COUNTIFS(T_TTAFStock[RM_Code],$A39,T_TTAFStock[WeekIndex],19)&gt;0)&gt;0,SUMIFS(T_SelfStock[Self_Qty],T_SelfStock[RM_Code],$A39,T_SelfStock[WeekIndex],19)+SUMIFS(T_TTAFStock[TTAF_Qty],T_TTAFStock[RM_Code],$A39,T_TTAFStock[WeekIndex],19),S39+'Grid_Incoming'!T39-'Grid_Requirement'!T39))</f>
        <v/>
      </c>
      <c r="U39">
        <f>IF(COUNTIFS(T_StockCount[RM_Code],$A39,T_StockCount[WeekIndex],20)&gt;0,SUMIFS(T_StockCount[CountedQty],T_StockCount[RM_Code],$A39,T_StockCount[WeekIndex],20),IF((COUNTIFS(T_SelfStock[RM_Code],$A39,T_SelfStock[WeekIndex],20)&gt;0)*(COUNTIFS(T_TTAFStock[RM_Code],$A39,T_TTAFStock[WeekIndex],20)&gt;0)&gt;0,SUMIFS(T_SelfStock[Self_Qty],T_SelfStock[RM_Code],$A39,T_SelfStock[WeekIndex],20)+SUMIFS(T_TTAFStock[TTAF_Qty],T_TTAFStock[RM_Code],$A39,T_TTAFStock[WeekIndex],20),T39+'Grid_Incoming'!U39-'Grid_Requirement'!U39))</f>
        <v/>
      </c>
      <c r="V39">
        <f>IF(COUNTIFS(T_StockCount[RM_Code],$A39,T_StockCount[WeekIndex],21)&gt;0,SUMIFS(T_StockCount[CountedQty],T_StockCount[RM_Code],$A39,T_StockCount[WeekIndex],21),IF((COUNTIFS(T_SelfStock[RM_Code],$A39,T_SelfStock[WeekIndex],21)&gt;0)*(COUNTIFS(T_TTAFStock[RM_Code],$A39,T_TTAFStock[WeekIndex],21)&gt;0)&gt;0,SUMIFS(T_SelfStock[Self_Qty],T_SelfStock[RM_Code],$A39,T_SelfStock[WeekIndex],21)+SUMIFS(T_TTAFStock[TTAF_Qty],T_TTAFStock[RM_Code],$A39,T_TTAFStock[WeekIndex],21),U39+'Grid_Incoming'!V39-'Grid_Requirement'!V39))</f>
        <v/>
      </c>
      <c r="W39">
        <f>IF(COUNTIFS(T_StockCount[RM_Code],$A39,T_StockCount[WeekIndex],22)&gt;0,SUMIFS(T_StockCount[CountedQty],T_StockCount[RM_Code],$A39,T_StockCount[WeekIndex],22),IF((COUNTIFS(T_SelfStock[RM_Code],$A39,T_SelfStock[WeekIndex],22)&gt;0)*(COUNTIFS(T_TTAFStock[RM_Code],$A39,T_TTAFStock[WeekIndex],22)&gt;0)&gt;0,SUMIFS(T_SelfStock[Self_Qty],T_SelfStock[RM_Code],$A39,T_SelfStock[WeekIndex],22)+SUMIFS(T_TTAFStock[TTAF_Qty],T_TTAFStock[RM_Code],$A39,T_TTAFStock[WeekIndex],22),V39+'Grid_Incoming'!W39-'Grid_Requirement'!W39))</f>
        <v/>
      </c>
      <c r="X39">
        <f>IF(COUNTIFS(T_StockCount[RM_Code],$A39,T_StockCount[WeekIndex],23)&gt;0,SUMIFS(T_StockCount[CountedQty],T_StockCount[RM_Code],$A39,T_StockCount[WeekIndex],23),IF((COUNTIFS(T_SelfStock[RM_Code],$A39,T_SelfStock[WeekIndex],23)&gt;0)*(COUNTIFS(T_TTAFStock[RM_Code],$A39,T_TTAFStock[WeekIndex],23)&gt;0)&gt;0,SUMIFS(T_SelfStock[Self_Qty],T_SelfStock[RM_Code],$A39,T_SelfStock[WeekIndex],23)+SUMIFS(T_TTAFStock[TTAF_Qty],T_TTAFStock[RM_Code],$A39,T_TTAFStock[WeekIndex],23),W39+'Grid_Incoming'!X39-'Grid_Requirement'!X39))</f>
        <v/>
      </c>
      <c r="Y39">
        <f>IF(COUNTIFS(T_StockCount[RM_Code],$A39,T_StockCount[WeekIndex],24)&gt;0,SUMIFS(T_StockCount[CountedQty],T_StockCount[RM_Code],$A39,T_StockCount[WeekIndex],24),IF((COUNTIFS(T_SelfStock[RM_Code],$A39,T_SelfStock[WeekIndex],24)&gt;0)*(COUNTIFS(T_TTAFStock[RM_Code],$A39,T_TTAFStock[WeekIndex],24)&gt;0)&gt;0,SUMIFS(T_SelfStock[Self_Qty],T_SelfStock[RM_Code],$A39,T_SelfStock[WeekIndex],24)+SUMIFS(T_TTAFStock[TTAF_Qty],T_TTAFStock[RM_Code],$A39,T_TTAFStock[WeekIndex],24),X39+'Grid_Incoming'!Y39-'Grid_Requirement'!Y39))</f>
        <v/>
      </c>
      <c r="Z39">
        <f>IF(COUNTIFS(T_StockCount[RM_Code],$A39,T_StockCount[WeekIndex],25)&gt;0,SUMIFS(T_StockCount[CountedQty],T_StockCount[RM_Code],$A39,T_StockCount[WeekIndex],25),IF((COUNTIFS(T_SelfStock[RM_Code],$A39,T_SelfStock[WeekIndex],25)&gt;0)*(COUNTIFS(T_TTAFStock[RM_Code],$A39,T_TTAFStock[WeekIndex],25)&gt;0)&gt;0,SUMIFS(T_SelfStock[Self_Qty],T_SelfStock[RM_Code],$A39,T_SelfStock[WeekIndex],25)+SUMIFS(T_TTAFStock[TTAF_Qty],T_TTAFStock[RM_Code],$A39,T_TTAFStock[WeekIndex],25),Y39+'Grid_Incoming'!Z39-'Grid_Requirement'!Z39))</f>
        <v/>
      </c>
      <c r="AA39">
        <f>IF(COUNTIFS(T_StockCount[RM_Code],$A39,T_StockCount[WeekIndex],26)&gt;0,SUMIFS(T_StockCount[CountedQty],T_StockCount[RM_Code],$A39,T_StockCount[WeekIndex],26),IF((COUNTIFS(T_SelfStock[RM_Code],$A39,T_SelfStock[WeekIndex],26)&gt;0)*(COUNTIFS(T_TTAFStock[RM_Code],$A39,T_TTAFStock[WeekIndex],26)&gt;0)&gt;0,SUMIFS(T_SelfStock[Self_Qty],T_SelfStock[RM_Code],$A39,T_SelfStock[WeekIndex],26)+SUMIFS(T_TTAFStock[TTAF_Qty],T_TTAFStock[RM_Code],$A39,T_TTAFStock[WeekIndex],26),Z39+'Grid_Incoming'!AA39-'Grid_Requirement'!AA39))</f>
        <v/>
      </c>
      <c r="AB39">
        <f>IF(COUNTIFS(T_StockCount[RM_Code],$A39,T_StockCount[WeekIndex],27)&gt;0,SUMIFS(T_StockCount[CountedQty],T_StockCount[RM_Code],$A39,T_StockCount[WeekIndex],27),IF((COUNTIFS(T_SelfStock[RM_Code],$A39,T_SelfStock[WeekIndex],27)&gt;0)*(COUNTIFS(T_TTAFStock[RM_Code],$A39,T_TTAFStock[WeekIndex],27)&gt;0)&gt;0,SUMIFS(T_SelfStock[Self_Qty],T_SelfStock[RM_Code],$A39,T_SelfStock[WeekIndex],27)+SUMIFS(T_TTAFStock[TTAF_Qty],T_TTAFStock[RM_Code],$A39,T_TTAFStock[WeekIndex],27),AA39+'Grid_Incoming'!AB39-'Grid_Requirement'!AB39))</f>
        <v/>
      </c>
      <c r="AC39">
        <f>IF(COUNTIFS(T_StockCount[RM_Code],$A39,T_StockCount[WeekIndex],28)&gt;0,SUMIFS(T_StockCount[CountedQty],T_StockCount[RM_Code],$A39,T_StockCount[WeekIndex],28),IF((COUNTIFS(T_SelfStock[RM_Code],$A39,T_SelfStock[WeekIndex],28)&gt;0)*(COUNTIFS(T_TTAFStock[RM_Code],$A39,T_TTAFStock[WeekIndex],28)&gt;0)&gt;0,SUMIFS(T_SelfStock[Self_Qty],T_SelfStock[RM_Code],$A39,T_SelfStock[WeekIndex],28)+SUMIFS(T_TTAFStock[TTAF_Qty],T_TTAFStock[RM_Code],$A39,T_TTAFStock[WeekIndex],28),AB39+'Grid_Incoming'!AC39-'Grid_Requirement'!AC39))</f>
        <v/>
      </c>
      <c r="AD39">
        <f>IF(COUNTIFS(T_StockCount[RM_Code],$A39,T_StockCount[WeekIndex],29)&gt;0,SUMIFS(T_StockCount[CountedQty],T_StockCount[RM_Code],$A39,T_StockCount[WeekIndex],29),IF((COUNTIFS(T_SelfStock[RM_Code],$A39,T_SelfStock[WeekIndex],29)&gt;0)*(COUNTIFS(T_TTAFStock[RM_Code],$A39,T_TTAFStock[WeekIndex],29)&gt;0)&gt;0,SUMIFS(T_SelfStock[Self_Qty],T_SelfStock[RM_Code],$A39,T_SelfStock[WeekIndex],29)+SUMIFS(T_TTAFStock[TTAF_Qty],T_TTAFStock[RM_Code],$A39,T_TTAFStock[WeekIndex],29),AC39+'Grid_Incoming'!AD39-'Grid_Requirement'!AD39))</f>
        <v/>
      </c>
      <c r="AE39">
        <f>IF(COUNTIFS(T_StockCount[RM_Code],$A39,T_StockCount[WeekIndex],30)&gt;0,SUMIFS(T_StockCount[CountedQty],T_StockCount[RM_Code],$A39,T_StockCount[WeekIndex],30),IF((COUNTIFS(T_SelfStock[RM_Code],$A39,T_SelfStock[WeekIndex],30)&gt;0)*(COUNTIFS(T_TTAFStock[RM_Code],$A39,T_TTAFStock[WeekIndex],30)&gt;0)&gt;0,SUMIFS(T_SelfStock[Self_Qty],T_SelfStock[RM_Code],$A39,T_SelfStock[WeekIndex],30)+SUMIFS(T_TTAFStock[TTAF_Qty],T_TTAFStock[RM_Code],$A39,T_TTAFStock[WeekIndex],30),AD39+'Grid_Incoming'!AE39-'Grid_Requirement'!AE39))</f>
        <v/>
      </c>
      <c r="AF39">
        <f>IF(COUNTIFS(T_StockCount[RM_Code],$A39,T_StockCount[WeekIndex],31)&gt;0,SUMIFS(T_StockCount[CountedQty],T_StockCount[RM_Code],$A39,T_StockCount[WeekIndex],31),IF((COUNTIFS(T_SelfStock[RM_Code],$A39,T_SelfStock[WeekIndex],31)&gt;0)*(COUNTIFS(T_TTAFStock[RM_Code],$A39,T_TTAFStock[WeekIndex],31)&gt;0)&gt;0,SUMIFS(T_SelfStock[Self_Qty],T_SelfStock[RM_Code],$A39,T_SelfStock[WeekIndex],31)+SUMIFS(T_TTAFStock[TTAF_Qty],T_TTAFStock[RM_Code],$A39,T_TTAFStock[WeekIndex],31),AE39+'Grid_Incoming'!AF39-'Grid_Requirement'!AF39))</f>
        <v/>
      </c>
      <c r="AG39">
        <f>IF(COUNTIFS(T_StockCount[RM_Code],$A39,T_StockCount[WeekIndex],32)&gt;0,SUMIFS(T_StockCount[CountedQty],T_StockCount[RM_Code],$A39,T_StockCount[WeekIndex],32),IF((COUNTIFS(T_SelfStock[RM_Code],$A39,T_SelfStock[WeekIndex],32)&gt;0)*(COUNTIFS(T_TTAFStock[RM_Code],$A39,T_TTAFStock[WeekIndex],32)&gt;0)&gt;0,SUMIFS(T_SelfStock[Self_Qty],T_SelfStock[RM_Code],$A39,T_SelfStock[WeekIndex],32)+SUMIFS(T_TTAFStock[TTAF_Qty],T_TTAFStock[RM_Code],$A39,T_TTAFStock[WeekIndex],32),AF39+'Grid_Incoming'!AG39-'Grid_Requirement'!AG39))</f>
        <v/>
      </c>
      <c r="AH39">
        <f>IF(COUNTIFS(T_StockCount[RM_Code],$A39,T_StockCount[WeekIndex],33)&gt;0,SUMIFS(T_StockCount[CountedQty],T_StockCount[RM_Code],$A39,T_StockCount[WeekIndex],33),IF((COUNTIFS(T_SelfStock[RM_Code],$A39,T_SelfStock[WeekIndex],33)&gt;0)*(COUNTIFS(T_TTAFStock[RM_Code],$A39,T_TTAFStock[WeekIndex],33)&gt;0)&gt;0,SUMIFS(T_SelfStock[Self_Qty],T_SelfStock[RM_Code],$A39,T_SelfStock[WeekIndex],33)+SUMIFS(T_TTAFStock[TTAF_Qty],T_TTAFStock[RM_Code],$A39,T_TTAFStock[WeekIndex],33),AG39+'Grid_Incoming'!AH39-'Grid_Requirement'!AH39))</f>
        <v/>
      </c>
      <c r="AI39">
        <f>IF(COUNTIFS(T_StockCount[RM_Code],$A39,T_StockCount[WeekIndex],34)&gt;0,SUMIFS(T_StockCount[CountedQty],T_StockCount[RM_Code],$A39,T_StockCount[WeekIndex],34),IF((COUNTIFS(T_SelfStock[RM_Code],$A39,T_SelfStock[WeekIndex],34)&gt;0)*(COUNTIFS(T_TTAFStock[RM_Code],$A39,T_TTAFStock[WeekIndex],34)&gt;0)&gt;0,SUMIFS(T_SelfStock[Self_Qty],T_SelfStock[RM_Code],$A39,T_SelfStock[WeekIndex],34)+SUMIFS(T_TTAFStock[TTAF_Qty],T_TTAFStock[RM_Code],$A39,T_TTAFStock[WeekIndex],34),AH39+'Grid_Incoming'!AI39-'Grid_Requirement'!AI39))</f>
        <v/>
      </c>
      <c r="AJ39">
        <f>IF(COUNTIFS(T_StockCount[RM_Code],$A39,T_StockCount[WeekIndex],35)&gt;0,SUMIFS(T_StockCount[CountedQty],T_StockCount[RM_Code],$A39,T_StockCount[WeekIndex],35),IF((COUNTIFS(T_SelfStock[RM_Code],$A39,T_SelfStock[WeekIndex],35)&gt;0)*(COUNTIFS(T_TTAFStock[RM_Code],$A39,T_TTAFStock[WeekIndex],35)&gt;0)&gt;0,SUMIFS(T_SelfStock[Self_Qty],T_SelfStock[RM_Code],$A39,T_SelfStock[WeekIndex],35)+SUMIFS(T_TTAFStock[TTAF_Qty],T_TTAFStock[RM_Code],$A39,T_TTAFStock[WeekIndex],35),AI39+'Grid_Incoming'!AJ39-'Grid_Requirement'!AJ39))</f>
        <v/>
      </c>
      <c r="AK39">
        <f>IF(COUNTIFS(T_StockCount[RM_Code],$A39,T_StockCount[WeekIndex],36)&gt;0,SUMIFS(T_StockCount[CountedQty],T_StockCount[RM_Code],$A39,T_StockCount[WeekIndex],36),IF((COUNTIFS(T_SelfStock[RM_Code],$A39,T_SelfStock[WeekIndex],36)&gt;0)*(COUNTIFS(T_TTAFStock[RM_Code],$A39,T_TTAFStock[WeekIndex],36)&gt;0)&gt;0,SUMIFS(T_SelfStock[Self_Qty],T_SelfStock[RM_Code],$A39,T_SelfStock[WeekIndex],36)+SUMIFS(T_TTAFStock[TTAF_Qty],T_TTAFStock[RM_Code],$A39,T_TTAFStock[WeekIndex],36),AJ39+'Grid_Incoming'!AK39-'Grid_Requirement'!AK39))</f>
        <v/>
      </c>
      <c r="AL39">
        <f>IF(COUNTIFS(T_StockCount[RM_Code],$A39,T_StockCount[WeekIndex],37)&gt;0,SUMIFS(T_StockCount[CountedQty],T_StockCount[RM_Code],$A39,T_StockCount[WeekIndex],37),IF((COUNTIFS(T_SelfStock[RM_Code],$A39,T_SelfStock[WeekIndex],37)&gt;0)*(COUNTIFS(T_TTAFStock[RM_Code],$A39,T_TTAFStock[WeekIndex],37)&gt;0)&gt;0,SUMIFS(T_SelfStock[Self_Qty],T_SelfStock[RM_Code],$A39,T_SelfStock[WeekIndex],37)+SUMIFS(T_TTAFStock[TTAF_Qty],T_TTAFStock[RM_Code],$A39,T_TTAFStock[WeekIndex],37),AK39+'Grid_Incoming'!AL39-'Grid_Requirement'!AL39))</f>
        <v/>
      </c>
      <c r="AM39">
        <f>IF(COUNTIFS(T_StockCount[RM_Code],$A39,T_StockCount[WeekIndex],38)&gt;0,SUMIFS(T_StockCount[CountedQty],T_StockCount[RM_Code],$A39,T_StockCount[WeekIndex],38),IF((COUNTIFS(T_SelfStock[RM_Code],$A39,T_SelfStock[WeekIndex],38)&gt;0)*(COUNTIFS(T_TTAFStock[RM_Code],$A39,T_TTAFStock[WeekIndex],38)&gt;0)&gt;0,SUMIFS(T_SelfStock[Self_Qty],T_SelfStock[RM_Code],$A39,T_SelfStock[WeekIndex],38)+SUMIFS(T_TTAFStock[TTAF_Qty],T_TTAFStock[RM_Code],$A39,T_TTAFStock[WeekIndex],38),AL39+'Grid_Incoming'!AM39-'Grid_Requirement'!AM39))</f>
        <v/>
      </c>
      <c r="AN39">
        <f>IF(COUNTIFS(T_StockCount[RM_Code],$A39,T_StockCount[WeekIndex],39)&gt;0,SUMIFS(T_StockCount[CountedQty],T_StockCount[RM_Code],$A39,T_StockCount[WeekIndex],39),IF((COUNTIFS(T_SelfStock[RM_Code],$A39,T_SelfStock[WeekIndex],39)&gt;0)*(COUNTIFS(T_TTAFStock[RM_Code],$A39,T_TTAFStock[WeekIndex],39)&gt;0)&gt;0,SUMIFS(T_SelfStock[Self_Qty],T_SelfStock[RM_Code],$A39,T_SelfStock[WeekIndex],39)+SUMIFS(T_TTAFStock[TTAF_Qty],T_TTAFStock[RM_Code],$A39,T_TTAFStock[WeekIndex],39),AM39+'Grid_Incoming'!AN39-'Grid_Requirement'!AN39))</f>
        <v/>
      </c>
      <c r="AO39">
        <f>IF(COUNTIFS(T_StockCount[RM_Code],$A39,T_StockCount[WeekIndex],40)&gt;0,SUMIFS(T_StockCount[CountedQty],T_StockCount[RM_Code],$A39,T_StockCount[WeekIndex],40),IF((COUNTIFS(T_SelfStock[RM_Code],$A39,T_SelfStock[WeekIndex],40)&gt;0)*(COUNTIFS(T_TTAFStock[RM_Code],$A39,T_TTAFStock[WeekIndex],40)&gt;0)&gt;0,SUMIFS(T_SelfStock[Self_Qty],T_SelfStock[RM_Code],$A39,T_SelfStock[WeekIndex],40)+SUMIFS(T_TTAFStock[TTAF_Qty],T_TTAFStock[RM_Code],$A39,T_TTAFStock[WeekIndex],40),AN39+'Grid_Incoming'!AO39-'Grid_Requirement'!AO39))</f>
        <v/>
      </c>
      <c r="AP39">
        <f>IF(COUNTIFS(T_StockCount[RM_Code],$A39,T_StockCount[WeekIndex],41)&gt;0,SUMIFS(T_StockCount[CountedQty],T_StockCount[RM_Code],$A39,T_StockCount[WeekIndex],41),IF((COUNTIFS(T_SelfStock[RM_Code],$A39,T_SelfStock[WeekIndex],41)&gt;0)*(COUNTIFS(T_TTAFStock[RM_Code],$A39,T_TTAFStock[WeekIndex],41)&gt;0)&gt;0,SUMIFS(T_SelfStock[Self_Qty],T_SelfStock[RM_Code],$A39,T_SelfStock[WeekIndex],41)+SUMIFS(T_TTAFStock[TTAF_Qty],T_TTAFStock[RM_Code],$A39,T_TTAFStock[WeekIndex],41),AO39+'Grid_Incoming'!AP39-'Grid_Requirement'!AP39))</f>
        <v/>
      </c>
      <c r="AQ39">
        <f>IF(COUNTIFS(T_StockCount[RM_Code],$A39,T_StockCount[WeekIndex],42)&gt;0,SUMIFS(T_StockCount[CountedQty],T_StockCount[RM_Code],$A39,T_StockCount[WeekIndex],42),IF((COUNTIFS(T_SelfStock[RM_Code],$A39,T_SelfStock[WeekIndex],42)&gt;0)*(COUNTIFS(T_TTAFStock[RM_Code],$A39,T_TTAFStock[WeekIndex],42)&gt;0)&gt;0,SUMIFS(T_SelfStock[Self_Qty],T_SelfStock[RM_Code],$A39,T_SelfStock[WeekIndex],42)+SUMIFS(T_TTAFStock[TTAF_Qty],T_TTAFStock[RM_Code],$A39,T_TTAFStock[WeekIndex],42),AP39+'Grid_Incoming'!AQ39-'Grid_Requirement'!AQ39))</f>
        <v/>
      </c>
      <c r="AR39">
        <f>IF(COUNTIFS(T_StockCount[RM_Code],$A39,T_StockCount[WeekIndex],43)&gt;0,SUMIFS(T_StockCount[CountedQty],T_StockCount[RM_Code],$A39,T_StockCount[WeekIndex],43),IF((COUNTIFS(T_SelfStock[RM_Code],$A39,T_SelfStock[WeekIndex],43)&gt;0)*(COUNTIFS(T_TTAFStock[RM_Code],$A39,T_TTAFStock[WeekIndex],43)&gt;0)&gt;0,SUMIFS(T_SelfStock[Self_Qty],T_SelfStock[RM_Code],$A39,T_SelfStock[WeekIndex],43)+SUMIFS(T_TTAFStock[TTAF_Qty],T_TTAFStock[RM_Code],$A39,T_TTAFStock[WeekIndex],43),AQ39+'Grid_Incoming'!AR39-'Grid_Requirement'!AR39))</f>
        <v/>
      </c>
      <c r="AS39">
        <f>IF(COUNTIFS(T_StockCount[RM_Code],$A39,T_StockCount[WeekIndex],44)&gt;0,SUMIFS(T_StockCount[CountedQty],T_StockCount[RM_Code],$A39,T_StockCount[WeekIndex],44),IF((COUNTIFS(T_SelfStock[RM_Code],$A39,T_SelfStock[WeekIndex],44)&gt;0)*(COUNTIFS(T_TTAFStock[RM_Code],$A39,T_TTAFStock[WeekIndex],44)&gt;0)&gt;0,SUMIFS(T_SelfStock[Self_Qty],T_SelfStock[RM_Code],$A39,T_SelfStock[WeekIndex],44)+SUMIFS(T_TTAFStock[TTAF_Qty],T_TTAFStock[RM_Code],$A39,T_TTAFStock[WeekIndex],44),AR39+'Grid_Incoming'!AS39-'Grid_Requirement'!AS39))</f>
        <v/>
      </c>
      <c r="AT39">
        <f>IF(COUNTIFS(T_StockCount[RM_Code],$A39,T_StockCount[WeekIndex],45)&gt;0,SUMIFS(T_StockCount[CountedQty],T_StockCount[RM_Code],$A39,T_StockCount[WeekIndex],45),IF((COUNTIFS(T_SelfStock[RM_Code],$A39,T_SelfStock[WeekIndex],45)&gt;0)*(COUNTIFS(T_TTAFStock[RM_Code],$A39,T_TTAFStock[WeekIndex],45)&gt;0)&gt;0,SUMIFS(T_SelfStock[Self_Qty],T_SelfStock[RM_Code],$A39,T_SelfStock[WeekIndex],45)+SUMIFS(T_TTAFStock[TTAF_Qty],T_TTAFStock[RM_Code],$A39,T_TTAFStock[WeekIndex],45),AS39+'Grid_Incoming'!AT39-'Grid_Requirement'!AT39))</f>
        <v/>
      </c>
      <c r="AU39">
        <f>IF(COUNTIFS(T_StockCount[RM_Code],$A39,T_StockCount[WeekIndex],46)&gt;0,SUMIFS(T_StockCount[CountedQty],T_StockCount[RM_Code],$A39,T_StockCount[WeekIndex],46),IF((COUNTIFS(T_SelfStock[RM_Code],$A39,T_SelfStock[WeekIndex],46)&gt;0)*(COUNTIFS(T_TTAFStock[RM_Code],$A39,T_TTAFStock[WeekIndex],46)&gt;0)&gt;0,SUMIFS(T_SelfStock[Self_Qty],T_SelfStock[RM_Code],$A39,T_SelfStock[WeekIndex],46)+SUMIFS(T_TTAFStock[TTAF_Qty],T_TTAFStock[RM_Code],$A39,T_TTAFStock[WeekIndex],46),AT39+'Grid_Incoming'!AU39-'Grid_Requirement'!AU39))</f>
        <v/>
      </c>
      <c r="AV39">
        <f>IF(COUNTIFS(T_StockCount[RM_Code],$A39,T_StockCount[WeekIndex],47)&gt;0,SUMIFS(T_StockCount[CountedQty],T_StockCount[RM_Code],$A39,T_StockCount[WeekIndex],47),IF((COUNTIFS(T_SelfStock[RM_Code],$A39,T_SelfStock[WeekIndex],47)&gt;0)*(COUNTIFS(T_TTAFStock[RM_Code],$A39,T_TTAFStock[WeekIndex],47)&gt;0)&gt;0,SUMIFS(T_SelfStock[Self_Qty],T_SelfStock[RM_Code],$A39,T_SelfStock[WeekIndex],47)+SUMIFS(T_TTAFStock[TTAF_Qty],T_TTAFStock[RM_Code],$A39,T_TTAFStock[WeekIndex],47),AU39+'Grid_Incoming'!AV39-'Grid_Requirement'!AV39))</f>
        <v/>
      </c>
      <c r="AW39">
        <f>IF(COUNTIFS(T_StockCount[RM_Code],$A39,T_StockCount[WeekIndex],48)&gt;0,SUMIFS(T_StockCount[CountedQty],T_StockCount[RM_Code],$A39,T_StockCount[WeekIndex],48),IF((COUNTIFS(T_SelfStock[RM_Code],$A39,T_SelfStock[WeekIndex],48)&gt;0)*(COUNTIFS(T_TTAFStock[RM_Code],$A39,T_TTAFStock[WeekIndex],48)&gt;0)&gt;0,SUMIFS(T_SelfStock[Self_Qty],T_SelfStock[RM_Code],$A39,T_SelfStock[WeekIndex],48)+SUMIFS(T_TTAFStock[TTAF_Qty],T_TTAFStock[RM_Code],$A39,T_TTAFStock[WeekIndex],48),AV39+'Grid_Incoming'!AW39-'Grid_Requirement'!AW39))</f>
        <v/>
      </c>
      <c r="AX39">
        <f>IF(COUNTIFS(T_StockCount[RM_Code],$A39,T_StockCount[WeekIndex],49)&gt;0,SUMIFS(T_StockCount[CountedQty],T_StockCount[RM_Code],$A39,T_StockCount[WeekIndex],49),IF((COUNTIFS(T_SelfStock[RM_Code],$A39,T_SelfStock[WeekIndex],49)&gt;0)*(COUNTIFS(T_TTAFStock[RM_Code],$A39,T_TTAFStock[WeekIndex],49)&gt;0)&gt;0,SUMIFS(T_SelfStock[Self_Qty],T_SelfStock[RM_Code],$A39,T_SelfStock[WeekIndex],49)+SUMIFS(T_TTAFStock[TTAF_Qty],T_TTAFStock[RM_Code],$A39,T_TTAFStock[WeekIndex],49),AW39+'Grid_Incoming'!AX39-'Grid_Requirement'!AX39))</f>
        <v/>
      </c>
      <c r="AY39">
        <f>IF(COUNTIFS(T_StockCount[RM_Code],$A39,T_StockCount[WeekIndex],50)&gt;0,SUMIFS(T_StockCount[CountedQty],T_StockCount[RM_Code],$A39,T_StockCount[WeekIndex],50),IF((COUNTIFS(T_SelfStock[RM_Code],$A39,T_SelfStock[WeekIndex],50)&gt;0)*(COUNTIFS(T_TTAFStock[RM_Code],$A39,T_TTAFStock[WeekIndex],50)&gt;0)&gt;0,SUMIFS(T_SelfStock[Self_Qty],T_SelfStock[RM_Code],$A39,T_SelfStock[WeekIndex],50)+SUMIFS(T_TTAFStock[TTAF_Qty],T_TTAFStock[RM_Code],$A39,T_TTAFStock[WeekIndex],50),AX39+'Grid_Incoming'!AY39-'Grid_Requirement'!AY39))</f>
        <v/>
      </c>
      <c r="AZ39">
        <f>IF(COUNTIFS(T_StockCount[RM_Code],$A39,T_StockCount[WeekIndex],51)&gt;0,SUMIFS(T_StockCount[CountedQty],T_StockCount[RM_Code],$A39,T_StockCount[WeekIndex],51),IF((COUNTIFS(T_SelfStock[RM_Code],$A39,T_SelfStock[WeekIndex],51)&gt;0)*(COUNTIFS(T_TTAFStock[RM_Code],$A39,T_TTAFStock[WeekIndex],51)&gt;0)&gt;0,SUMIFS(T_SelfStock[Self_Qty],T_SelfStock[RM_Code],$A39,T_SelfStock[WeekIndex],51)+SUMIFS(T_TTAFStock[TTAF_Qty],T_TTAFStock[RM_Code],$A39,T_TTAFStock[WeekIndex],51),AY39+'Grid_Incoming'!AZ39-'Grid_Requirement'!AZ39))</f>
        <v/>
      </c>
      <c r="BA39">
        <f>IF(COUNTIFS(T_StockCount[RM_Code],$A39,T_StockCount[WeekIndex],52)&gt;0,SUMIFS(T_StockCount[CountedQty],T_StockCount[RM_Code],$A39,T_StockCount[WeekIndex],52),IF((COUNTIFS(T_SelfStock[RM_Code],$A39,T_SelfStock[WeekIndex],52)&gt;0)*(COUNTIFS(T_TTAFStock[RM_Code],$A39,T_TTAFStock[WeekIndex],52)&gt;0)&gt;0,SUMIFS(T_SelfStock[Self_Qty],T_SelfStock[RM_Code],$A39,T_SelfStock[WeekIndex],52)+SUMIFS(T_TTAFStock[TTAF_Qty],T_TTAFStock[RM_Code],$A39,T_TTAFStock[WeekIndex],52),AZ39+'Grid_Incoming'!BA39-'Grid_Requirement'!BA39))</f>
        <v/>
      </c>
      <c r="BB39">
        <f>IF(COUNTIFS(T_StockCount[RM_Code],$A39,T_StockCount[WeekIndex],53)&gt;0,SUMIFS(T_StockCount[CountedQty],T_StockCount[RM_Code],$A39,T_StockCount[WeekIndex],53),IF((COUNTIFS(T_SelfStock[RM_Code],$A39,T_SelfStock[WeekIndex],53)&gt;0)*(COUNTIFS(T_TTAFStock[RM_Code],$A39,T_TTAFStock[WeekIndex],53)&gt;0)&gt;0,SUMIFS(T_SelfStock[Self_Qty],T_SelfStock[RM_Code],$A39,T_SelfStock[WeekIndex],53)+SUMIFS(T_TTAFStock[TTAF_Qty],T_TTAFStock[RM_Code],$A39,T_TTAFStock[WeekIndex],53),BA39+'Grid_Incoming'!BB39-'Grid_Requirement'!BB39))</f>
        <v/>
      </c>
      <c r="BC39">
        <f>IF(COUNTIFS(T_StockCount[RM_Code],$A39,T_StockCount[WeekIndex],54)&gt;0,SUMIFS(T_StockCount[CountedQty],T_StockCount[RM_Code],$A39,T_StockCount[WeekIndex],54),IF((COUNTIFS(T_SelfStock[RM_Code],$A39,T_SelfStock[WeekIndex],54)&gt;0)*(COUNTIFS(T_TTAFStock[RM_Code],$A39,T_TTAFStock[WeekIndex],54)&gt;0)&gt;0,SUMIFS(T_SelfStock[Self_Qty],T_SelfStock[RM_Code],$A39,T_SelfStock[WeekIndex],54)+SUMIFS(T_TTAFStock[TTAF_Qty],T_TTAFStock[RM_Code],$A39,T_TTAFStock[WeekIndex],54),BB39+'Grid_Incoming'!BC39-'Grid_Requirement'!BC39))</f>
        <v/>
      </c>
      <c r="BD39">
        <f>IF(COUNTIFS(T_StockCount[RM_Code],$A39,T_StockCount[WeekIndex],55)&gt;0,SUMIFS(T_StockCount[CountedQty],T_StockCount[RM_Code],$A39,T_StockCount[WeekIndex],55),IF((COUNTIFS(T_SelfStock[RM_Code],$A39,T_SelfStock[WeekIndex],55)&gt;0)*(COUNTIFS(T_TTAFStock[RM_Code],$A39,T_TTAFStock[WeekIndex],55)&gt;0)&gt;0,SUMIFS(T_SelfStock[Self_Qty],T_SelfStock[RM_Code],$A39,T_SelfStock[WeekIndex],55)+SUMIFS(T_TTAFStock[TTAF_Qty],T_TTAFStock[RM_Code],$A39,T_TTAFStock[WeekIndex],55),BC39+'Grid_Incoming'!BD39-'Grid_Requirement'!BD39))</f>
        <v/>
      </c>
      <c r="BE39">
        <f>IF(COUNTIFS(T_StockCount[RM_Code],$A39,T_StockCount[WeekIndex],56)&gt;0,SUMIFS(T_StockCount[CountedQty],T_StockCount[RM_Code],$A39,T_StockCount[WeekIndex],56),IF((COUNTIFS(T_SelfStock[RM_Code],$A39,T_SelfStock[WeekIndex],56)&gt;0)*(COUNTIFS(T_TTAFStock[RM_Code],$A39,T_TTAFStock[WeekIndex],56)&gt;0)&gt;0,SUMIFS(T_SelfStock[Self_Qty],T_SelfStock[RM_Code],$A39,T_SelfStock[WeekIndex],56)+SUMIFS(T_TTAFStock[TTAF_Qty],T_TTAFStock[RM_Code],$A39,T_TTAFStock[WeekIndex],56),BD39+'Grid_Incoming'!BE39-'Grid_Requirement'!BE39))</f>
        <v/>
      </c>
      <c r="BF39">
        <f>IF(COUNTIFS(T_StockCount[RM_Code],$A39,T_StockCount[WeekIndex],57)&gt;0,SUMIFS(T_StockCount[CountedQty],T_StockCount[RM_Code],$A39,T_StockCount[WeekIndex],57),IF((COUNTIFS(T_SelfStock[RM_Code],$A39,T_SelfStock[WeekIndex],57)&gt;0)*(COUNTIFS(T_TTAFStock[RM_Code],$A39,T_TTAFStock[WeekIndex],57)&gt;0)&gt;0,SUMIFS(T_SelfStock[Self_Qty],T_SelfStock[RM_Code],$A39,T_SelfStock[WeekIndex],57)+SUMIFS(T_TTAFStock[TTAF_Qty],T_TTAFStock[RM_Code],$A39,T_TTAFStock[WeekIndex],57),BE39+'Grid_Incoming'!BF39-'Grid_Requirement'!BF39))</f>
        <v/>
      </c>
      <c r="BG39">
        <f>IF(COUNTIFS(T_StockCount[RM_Code],$A39,T_StockCount[WeekIndex],58)&gt;0,SUMIFS(T_StockCount[CountedQty],T_StockCount[RM_Code],$A39,T_StockCount[WeekIndex],58),IF((COUNTIFS(T_SelfStock[RM_Code],$A39,T_SelfStock[WeekIndex],58)&gt;0)*(COUNTIFS(T_TTAFStock[RM_Code],$A39,T_TTAFStock[WeekIndex],58)&gt;0)&gt;0,SUMIFS(T_SelfStock[Self_Qty],T_SelfStock[RM_Code],$A39,T_SelfStock[WeekIndex],58)+SUMIFS(T_TTAFStock[TTAF_Qty],T_TTAFStock[RM_Code],$A39,T_TTAFStock[WeekIndex],58),BF39+'Grid_Incoming'!BG39-'Grid_Requirement'!BG39))</f>
        <v/>
      </c>
      <c r="BH39">
        <f>IF(COUNTIFS(T_StockCount[RM_Code],$A39,T_StockCount[WeekIndex],59)&gt;0,SUMIFS(T_StockCount[CountedQty],T_StockCount[RM_Code],$A39,T_StockCount[WeekIndex],59),IF((COUNTIFS(T_SelfStock[RM_Code],$A39,T_SelfStock[WeekIndex],59)&gt;0)*(COUNTIFS(T_TTAFStock[RM_Code],$A39,T_TTAFStock[WeekIndex],59)&gt;0)&gt;0,SUMIFS(T_SelfStock[Self_Qty],T_SelfStock[RM_Code],$A39,T_SelfStock[WeekIndex],59)+SUMIFS(T_TTAFStock[TTAF_Qty],T_TTAFStock[RM_Code],$A39,T_TTAFStock[WeekIndex],59),BG39+'Grid_Incoming'!BH39-'Grid_Requirement'!BH39))</f>
        <v/>
      </c>
      <c r="BI39">
        <f>IF(COUNTIFS(T_StockCount[RM_Code],$A39,T_StockCount[WeekIndex],60)&gt;0,SUMIFS(T_StockCount[CountedQty],T_StockCount[RM_Code],$A39,T_StockCount[WeekIndex],60),IF((COUNTIFS(T_SelfStock[RM_Code],$A39,T_SelfStock[WeekIndex],60)&gt;0)*(COUNTIFS(T_TTAFStock[RM_Code],$A39,T_TTAFStock[WeekIndex],60)&gt;0)&gt;0,SUMIFS(T_SelfStock[Self_Qty],T_SelfStock[RM_Code],$A39,T_SelfStock[WeekIndex],60)+SUMIFS(T_TTAFStock[TTAF_Qty],T_TTAFStock[RM_Code],$A39,T_TTAFStock[WeekIndex],60),BH39+'Grid_Incoming'!BI39-'Grid_Requirement'!BI39))</f>
        <v/>
      </c>
      <c r="BJ39">
        <f>IF(COUNTIFS(T_StockCount[RM_Code],$A39,T_StockCount[WeekIndex],61)&gt;0,SUMIFS(T_StockCount[CountedQty],T_StockCount[RM_Code],$A39,T_StockCount[WeekIndex],61),IF((COUNTIFS(T_SelfStock[RM_Code],$A39,T_SelfStock[WeekIndex],61)&gt;0)*(COUNTIFS(T_TTAFStock[RM_Code],$A39,T_TTAFStock[WeekIndex],61)&gt;0)&gt;0,SUMIFS(T_SelfStock[Self_Qty],T_SelfStock[RM_Code],$A39,T_SelfStock[WeekIndex],61)+SUMIFS(T_TTAFStock[TTAF_Qty],T_TTAFStock[RM_Code],$A39,T_TTAFStock[WeekIndex],61),BI39+'Grid_Incoming'!BJ39-'Grid_Requirement'!BJ39))</f>
        <v/>
      </c>
      <c r="BK39">
        <f>IF(COUNTIFS(T_StockCount[RM_Code],$A39,T_StockCount[WeekIndex],62)&gt;0,SUMIFS(T_StockCount[CountedQty],T_StockCount[RM_Code],$A39,T_StockCount[WeekIndex],62),IF((COUNTIFS(T_SelfStock[RM_Code],$A39,T_SelfStock[WeekIndex],62)&gt;0)*(COUNTIFS(T_TTAFStock[RM_Code],$A39,T_TTAFStock[WeekIndex],62)&gt;0)&gt;0,SUMIFS(T_SelfStock[Self_Qty],T_SelfStock[RM_Code],$A39,T_SelfStock[WeekIndex],62)+SUMIFS(T_TTAFStock[TTAF_Qty],T_TTAFStock[RM_Code],$A39,T_TTAFStock[WeekIndex],62),BJ39+'Grid_Incoming'!BK39-'Grid_Requirement'!BK39))</f>
        <v/>
      </c>
      <c r="BL39">
        <f>IF(COUNTIFS(T_StockCount[RM_Code],$A39,T_StockCount[WeekIndex],63)&gt;0,SUMIFS(T_StockCount[CountedQty],T_StockCount[RM_Code],$A39,T_StockCount[WeekIndex],63),IF((COUNTIFS(T_SelfStock[RM_Code],$A39,T_SelfStock[WeekIndex],63)&gt;0)*(COUNTIFS(T_TTAFStock[RM_Code],$A39,T_TTAFStock[WeekIndex],63)&gt;0)&gt;0,SUMIFS(T_SelfStock[Self_Qty],T_SelfStock[RM_Code],$A39,T_SelfStock[WeekIndex],63)+SUMIFS(T_TTAFStock[TTAF_Qty],T_TTAFStock[RM_Code],$A39,T_TTAFStock[WeekIndex],63),BK39+'Grid_Incoming'!BL39-'Grid_Requirement'!BL39))</f>
        <v/>
      </c>
      <c r="BM39">
        <f>IF(COUNTIFS(T_StockCount[RM_Code],$A39,T_StockCount[WeekIndex],64)&gt;0,SUMIFS(T_StockCount[CountedQty],T_StockCount[RM_Code],$A39,T_StockCount[WeekIndex],64),IF((COUNTIFS(T_SelfStock[RM_Code],$A39,T_SelfStock[WeekIndex],64)&gt;0)*(COUNTIFS(T_TTAFStock[RM_Code],$A39,T_TTAFStock[WeekIndex],64)&gt;0)&gt;0,SUMIFS(T_SelfStock[Self_Qty],T_SelfStock[RM_Code],$A39,T_SelfStock[WeekIndex],64)+SUMIFS(T_TTAFStock[TTAF_Qty],T_TTAFStock[RM_Code],$A39,T_TTAFStock[WeekIndex],64),BL39+'Grid_Incoming'!BM39-'Grid_Requirement'!BM39))</f>
        <v/>
      </c>
      <c r="BN39">
        <f>IF(COUNTIFS(T_StockCount[RM_Code],$A39,T_StockCount[WeekIndex],65)&gt;0,SUMIFS(T_StockCount[CountedQty],T_StockCount[RM_Code],$A39,T_StockCount[WeekIndex],65),IF((COUNTIFS(T_SelfStock[RM_Code],$A39,T_SelfStock[WeekIndex],65)&gt;0)*(COUNTIFS(T_TTAFStock[RM_Code],$A39,T_TTAFStock[WeekIndex],65)&gt;0)&gt;0,SUMIFS(T_SelfStock[Self_Qty],T_SelfStock[RM_Code],$A39,T_SelfStock[WeekIndex],65)+SUMIFS(T_TTAFStock[TTAF_Qty],T_TTAFStock[RM_Code],$A39,T_TTAFStock[WeekIndex],65),BM39+'Grid_Incoming'!BN39-'Grid_Requirement'!BN39))</f>
        <v/>
      </c>
      <c r="BO39">
        <f>IF(COUNTIFS(T_StockCount[RM_Code],$A39,T_StockCount[WeekIndex],66)&gt;0,SUMIFS(T_StockCount[CountedQty],T_StockCount[RM_Code],$A39,T_StockCount[WeekIndex],66),IF((COUNTIFS(T_SelfStock[RM_Code],$A39,T_SelfStock[WeekIndex],66)&gt;0)*(COUNTIFS(T_TTAFStock[RM_Code],$A39,T_TTAFStock[WeekIndex],66)&gt;0)&gt;0,SUMIFS(T_SelfStock[Self_Qty],T_SelfStock[RM_Code],$A39,T_SelfStock[WeekIndex],66)+SUMIFS(T_TTAFStock[TTAF_Qty],T_TTAFStock[RM_Code],$A39,T_TTAFStock[WeekIndex],66),BN39+'Grid_Incoming'!BO39-'Grid_Requirement'!BO39))</f>
        <v/>
      </c>
      <c r="BP39">
        <f>IF(COUNTIFS(T_StockCount[RM_Code],$A39,T_StockCount[WeekIndex],67)&gt;0,SUMIFS(T_StockCount[CountedQty],T_StockCount[RM_Code],$A39,T_StockCount[WeekIndex],67),IF((COUNTIFS(T_SelfStock[RM_Code],$A39,T_SelfStock[WeekIndex],67)&gt;0)*(COUNTIFS(T_TTAFStock[RM_Code],$A39,T_TTAFStock[WeekIndex],67)&gt;0)&gt;0,SUMIFS(T_SelfStock[Self_Qty],T_SelfStock[RM_Code],$A39,T_SelfStock[WeekIndex],67)+SUMIFS(T_TTAFStock[TTAF_Qty],T_TTAFStock[RM_Code],$A39,T_TTAFStock[WeekIndex],67),BO39+'Grid_Incoming'!BP39-'Grid_Requirement'!BP39))</f>
        <v/>
      </c>
      <c r="BQ39">
        <f>IF(COUNTIFS(T_StockCount[RM_Code],$A39,T_StockCount[WeekIndex],68)&gt;0,SUMIFS(T_StockCount[CountedQty],T_StockCount[RM_Code],$A39,T_StockCount[WeekIndex],68),IF((COUNTIFS(T_SelfStock[RM_Code],$A39,T_SelfStock[WeekIndex],68)&gt;0)*(COUNTIFS(T_TTAFStock[RM_Code],$A39,T_TTAFStock[WeekIndex],68)&gt;0)&gt;0,SUMIFS(T_SelfStock[Self_Qty],T_SelfStock[RM_Code],$A39,T_SelfStock[WeekIndex],68)+SUMIFS(T_TTAFStock[TTAF_Qty],T_TTAFStock[RM_Code],$A39,T_TTAFStock[WeekIndex],68),BP39+'Grid_Incoming'!BQ39-'Grid_Requirement'!BQ39))</f>
        <v/>
      </c>
      <c r="BR39">
        <f>IF(COUNTIFS(T_StockCount[RM_Code],$A39,T_StockCount[WeekIndex],69)&gt;0,SUMIFS(T_StockCount[CountedQty],T_StockCount[RM_Code],$A39,T_StockCount[WeekIndex],69),IF((COUNTIFS(T_SelfStock[RM_Code],$A39,T_SelfStock[WeekIndex],69)&gt;0)*(COUNTIFS(T_TTAFStock[RM_Code],$A39,T_TTAFStock[WeekIndex],69)&gt;0)&gt;0,SUMIFS(T_SelfStock[Self_Qty],T_SelfStock[RM_Code],$A39,T_SelfStock[WeekIndex],69)+SUMIFS(T_TTAFStock[TTAF_Qty],T_TTAFStock[RM_Code],$A39,T_TTAFStock[WeekIndex],69),BQ39+'Grid_Incoming'!BR39-'Grid_Requirement'!BR39))</f>
        <v/>
      </c>
      <c r="BS39">
        <f>IF(COUNTIFS(T_StockCount[RM_Code],$A39,T_StockCount[WeekIndex],70)&gt;0,SUMIFS(T_StockCount[CountedQty],T_StockCount[RM_Code],$A39,T_StockCount[WeekIndex],70),IF((COUNTIFS(T_SelfStock[RM_Code],$A39,T_SelfStock[WeekIndex],70)&gt;0)*(COUNTIFS(T_TTAFStock[RM_Code],$A39,T_TTAFStock[WeekIndex],70)&gt;0)&gt;0,SUMIFS(T_SelfStock[Self_Qty],T_SelfStock[RM_Code],$A39,T_SelfStock[WeekIndex],70)+SUMIFS(T_TTAFStock[TTAF_Qty],T_TTAFStock[RM_Code],$A39,T_TTAFStock[WeekIndex],70),BR39+'Grid_Incoming'!BS39-'Grid_Requirement'!BS39))</f>
        <v/>
      </c>
      <c r="BT39">
        <f>IF(COUNTIFS(T_StockCount[RM_Code],$A39,T_StockCount[WeekIndex],71)&gt;0,SUMIFS(T_StockCount[CountedQty],T_StockCount[RM_Code],$A39,T_StockCount[WeekIndex],71),IF((COUNTIFS(T_SelfStock[RM_Code],$A39,T_SelfStock[WeekIndex],71)&gt;0)*(COUNTIFS(T_TTAFStock[RM_Code],$A39,T_TTAFStock[WeekIndex],71)&gt;0)&gt;0,SUMIFS(T_SelfStock[Self_Qty],T_SelfStock[RM_Code],$A39,T_SelfStock[WeekIndex],71)+SUMIFS(T_TTAFStock[TTAF_Qty],T_TTAFStock[RM_Code],$A39,T_TTAFStock[WeekIndex],71),BS39+'Grid_Incoming'!BT39-'Grid_Requirement'!BT39))</f>
        <v/>
      </c>
      <c r="BU39">
        <f>IF(COUNTIFS(T_StockCount[RM_Code],$A39,T_StockCount[WeekIndex],72)&gt;0,SUMIFS(T_StockCount[CountedQty],T_StockCount[RM_Code],$A39,T_StockCount[WeekIndex],72),IF((COUNTIFS(T_SelfStock[RM_Code],$A39,T_SelfStock[WeekIndex],72)&gt;0)*(COUNTIFS(T_TTAFStock[RM_Code],$A39,T_TTAFStock[WeekIndex],72)&gt;0)&gt;0,SUMIFS(T_SelfStock[Self_Qty],T_SelfStock[RM_Code],$A39,T_SelfStock[WeekIndex],72)+SUMIFS(T_TTAFStock[TTAF_Qty],T_TTAFStock[RM_Code],$A39,T_TTAFStock[WeekIndex],72),BT39+'Grid_Incoming'!BU39-'Grid_Requirement'!BU39))</f>
        <v/>
      </c>
      <c r="BV39">
        <f>IF(COUNTIFS(T_StockCount[RM_Code],$A39,T_StockCount[WeekIndex],73)&gt;0,SUMIFS(T_StockCount[CountedQty],T_StockCount[RM_Code],$A39,T_StockCount[WeekIndex],73),IF((COUNTIFS(T_SelfStock[RM_Code],$A39,T_SelfStock[WeekIndex],73)&gt;0)*(COUNTIFS(T_TTAFStock[RM_Code],$A39,T_TTAFStock[WeekIndex],73)&gt;0)&gt;0,SUMIFS(T_SelfStock[Self_Qty],T_SelfStock[RM_Code],$A39,T_SelfStock[WeekIndex],73)+SUMIFS(T_TTAFStock[TTAF_Qty],T_TTAFStock[RM_Code],$A39,T_TTAFStock[WeekIndex],73),BU39+'Grid_Incoming'!BV39-'Grid_Requirement'!BV39))</f>
        <v/>
      </c>
      <c r="BW39">
        <f>IF(COUNTIFS(T_StockCount[RM_Code],$A39,T_StockCount[WeekIndex],74)&gt;0,SUMIFS(T_StockCount[CountedQty],T_StockCount[RM_Code],$A39,T_StockCount[WeekIndex],74),IF((COUNTIFS(T_SelfStock[RM_Code],$A39,T_SelfStock[WeekIndex],74)&gt;0)*(COUNTIFS(T_TTAFStock[RM_Code],$A39,T_TTAFStock[WeekIndex],74)&gt;0)&gt;0,SUMIFS(T_SelfStock[Self_Qty],T_SelfStock[RM_Code],$A39,T_SelfStock[WeekIndex],74)+SUMIFS(T_TTAFStock[TTAF_Qty],T_TTAFStock[RM_Code],$A39,T_TTAFStock[WeekIndex],74),BV39+'Grid_Incoming'!BW39-'Grid_Requirement'!BW39))</f>
        <v/>
      </c>
      <c r="BX39">
        <f>IF(COUNTIFS(T_StockCount[RM_Code],$A39,T_StockCount[WeekIndex],75)&gt;0,SUMIFS(T_StockCount[CountedQty],T_StockCount[RM_Code],$A39,T_StockCount[WeekIndex],75),IF((COUNTIFS(T_SelfStock[RM_Code],$A39,T_SelfStock[WeekIndex],75)&gt;0)*(COUNTIFS(T_TTAFStock[RM_Code],$A39,T_TTAFStock[WeekIndex],75)&gt;0)&gt;0,SUMIFS(T_SelfStock[Self_Qty],T_SelfStock[RM_Code],$A39,T_SelfStock[WeekIndex],75)+SUMIFS(T_TTAFStock[TTAF_Qty],T_TTAFStock[RM_Code],$A39,T_TTAFStock[WeekIndex],75),BW39+'Grid_Incoming'!BX39-'Grid_Requirement'!BX39))</f>
        <v/>
      </c>
      <c r="BY39">
        <f>IF(COUNTIFS(T_StockCount[RM_Code],$A39,T_StockCount[WeekIndex],76)&gt;0,SUMIFS(T_StockCount[CountedQty],T_StockCount[RM_Code],$A39,T_StockCount[WeekIndex],76),IF((COUNTIFS(T_SelfStock[RM_Code],$A39,T_SelfStock[WeekIndex],76)&gt;0)*(COUNTIFS(T_TTAFStock[RM_Code],$A39,T_TTAFStock[WeekIndex],76)&gt;0)&gt;0,SUMIFS(T_SelfStock[Self_Qty],T_SelfStock[RM_Code],$A39,T_SelfStock[WeekIndex],76)+SUMIFS(T_TTAFStock[TTAF_Qty],T_TTAFStock[RM_Code],$A39,T_TTAFStock[WeekIndex],76),BX39+'Grid_Incoming'!BY39-'Grid_Requirement'!BY39))</f>
        <v/>
      </c>
      <c r="BZ39">
        <f>IF(COUNTIFS(T_StockCount[RM_Code],$A39,T_StockCount[WeekIndex],77)&gt;0,SUMIFS(T_StockCount[CountedQty],T_StockCount[RM_Code],$A39,T_StockCount[WeekIndex],77),IF((COUNTIFS(T_SelfStock[RM_Code],$A39,T_SelfStock[WeekIndex],77)&gt;0)*(COUNTIFS(T_TTAFStock[RM_Code],$A39,T_TTAFStock[WeekIndex],77)&gt;0)&gt;0,SUMIFS(T_SelfStock[Self_Qty],T_SelfStock[RM_Code],$A39,T_SelfStock[WeekIndex],77)+SUMIFS(T_TTAFStock[TTAF_Qty],T_TTAFStock[RM_Code],$A39,T_TTAFStock[WeekIndex],77),BY39+'Grid_Incoming'!BZ39-'Grid_Requirement'!BZ39))</f>
        <v/>
      </c>
      <c r="CA39">
        <f>IF(COUNTIFS(T_StockCount[RM_Code],$A39,T_StockCount[WeekIndex],78)&gt;0,SUMIFS(T_StockCount[CountedQty],T_StockCount[RM_Code],$A39,T_StockCount[WeekIndex],78),IF((COUNTIFS(T_SelfStock[RM_Code],$A39,T_SelfStock[WeekIndex],78)&gt;0)*(COUNTIFS(T_TTAFStock[RM_Code],$A39,T_TTAFStock[WeekIndex],78)&gt;0)&gt;0,SUMIFS(T_SelfStock[Self_Qty],T_SelfStock[RM_Code],$A39,T_SelfStock[WeekIndex],78)+SUMIFS(T_TTAFStock[TTAF_Qty],T_TTAFStock[RM_Code],$A39,T_TTAFStock[WeekIndex],78),BZ39+'Grid_Incoming'!CA39-'Grid_Requirement'!CA39))</f>
        <v/>
      </c>
      <c r="CB39">
        <f>IF(COUNTIFS(T_StockCount[RM_Code],$A39,T_StockCount[WeekIndex],79)&gt;0,SUMIFS(T_StockCount[CountedQty],T_StockCount[RM_Code],$A39,T_StockCount[WeekIndex],79),IF((COUNTIFS(T_SelfStock[RM_Code],$A39,T_SelfStock[WeekIndex],79)&gt;0)*(COUNTIFS(T_TTAFStock[RM_Code],$A39,T_TTAFStock[WeekIndex],79)&gt;0)&gt;0,SUMIFS(T_SelfStock[Self_Qty],T_SelfStock[RM_Code],$A39,T_SelfStock[WeekIndex],79)+SUMIFS(T_TTAFStock[TTAF_Qty],T_TTAFStock[RM_Code],$A39,T_TTAFStock[WeekIndex],79),CA39+'Grid_Incoming'!CB39-'Grid_Requirement'!CB39))</f>
        <v/>
      </c>
      <c r="CC39">
        <f>IF(COUNTIFS(T_StockCount[RM_Code],$A39,T_StockCount[WeekIndex],80)&gt;0,SUMIFS(T_StockCount[CountedQty],T_StockCount[RM_Code],$A39,T_StockCount[WeekIndex],80),IF((COUNTIFS(T_SelfStock[RM_Code],$A39,T_SelfStock[WeekIndex],80)&gt;0)*(COUNTIFS(T_TTAFStock[RM_Code],$A39,T_TTAFStock[WeekIndex],80)&gt;0)&gt;0,SUMIFS(T_SelfStock[Self_Qty],T_SelfStock[RM_Code],$A39,T_SelfStock[WeekIndex],80)+SUMIFS(T_TTAFStock[TTAF_Qty],T_TTAFStock[RM_Code],$A39,T_TTAFStock[WeekIndex],80),CB39+'Grid_Incoming'!CC39-'Grid_Requirement'!CC39))</f>
        <v/>
      </c>
      <c r="CD39">
        <f>IF(COUNTIFS(T_StockCount[RM_Code],$A39,T_StockCount[WeekIndex],81)&gt;0,SUMIFS(T_StockCount[CountedQty],T_StockCount[RM_Code],$A39,T_StockCount[WeekIndex],81),IF((COUNTIFS(T_SelfStock[RM_Code],$A39,T_SelfStock[WeekIndex],81)&gt;0)*(COUNTIFS(T_TTAFStock[RM_Code],$A39,T_TTAFStock[WeekIndex],81)&gt;0)&gt;0,SUMIFS(T_SelfStock[Self_Qty],T_SelfStock[RM_Code],$A39,T_SelfStock[WeekIndex],81)+SUMIFS(T_TTAFStock[TTAF_Qty],T_TTAFStock[RM_Code],$A39,T_TTAFStock[WeekIndex],81),CC39+'Grid_Incoming'!CD39-'Grid_Requirement'!CD39))</f>
        <v/>
      </c>
      <c r="CE39">
        <f>IF(COUNTIFS(T_StockCount[RM_Code],$A39,T_StockCount[WeekIndex],82)&gt;0,SUMIFS(T_StockCount[CountedQty],T_StockCount[RM_Code],$A39,T_StockCount[WeekIndex],82),IF((COUNTIFS(T_SelfStock[RM_Code],$A39,T_SelfStock[WeekIndex],82)&gt;0)*(COUNTIFS(T_TTAFStock[RM_Code],$A39,T_TTAFStock[WeekIndex],82)&gt;0)&gt;0,SUMIFS(T_SelfStock[Self_Qty],T_SelfStock[RM_Code],$A39,T_SelfStock[WeekIndex],82)+SUMIFS(T_TTAFStock[TTAF_Qty],T_TTAFStock[RM_Code],$A39,T_TTAFStock[WeekIndex],82),CD39+'Grid_Incoming'!CE39-'Grid_Requirement'!CE39))</f>
        <v/>
      </c>
      <c r="CF39">
        <f>IF(COUNTIFS(T_StockCount[RM_Code],$A39,T_StockCount[WeekIndex],83)&gt;0,SUMIFS(T_StockCount[CountedQty],T_StockCount[RM_Code],$A39,T_StockCount[WeekIndex],83),IF((COUNTIFS(T_SelfStock[RM_Code],$A39,T_SelfStock[WeekIndex],83)&gt;0)*(COUNTIFS(T_TTAFStock[RM_Code],$A39,T_TTAFStock[WeekIndex],83)&gt;0)&gt;0,SUMIFS(T_SelfStock[Self_Qty],T_SelfStock[RM_Code],$A39,T_SelfStock[WeekIndex],83)+SUMIFS(T_TTAFStock[TTAF_Qty],T_TTAFStock[RM_Code],$A39,T_TTAFStock[WeekIndex],83),CE39+'Grid_Incoming'!CF39-'Grid_Requirement'!CF39))</f>
        <v/>
      </c>
      <c r="CG39">
        <f>IF(COUNTIFS(T_StockCount[RM_Code],$A39,T_StockCount[WeekIndex],84)&gt;0,SUMIFS(T_StockCount[CountedQty],T_StockCount[RM_Code],$A39,T_StockCount[WeekIndex],84),IF((COUNTIFS(T_SelfStock[RM_Code],$A39,T_SelfStock[WeekIndex],84)&gt;0)*(COUNTIFS(T_TTAFStock[RM_Code],$A39,T_TTAFStock[WeekIndex],84)&gt;0)&gt;0,SUMIFS(T_SelfStock[Self_Qty],T_SelfStock[RM_Code],$A39,T_SelfStock[WeekIndex],84)+SUMIFS(T_TTAFStock[TTAF_Qty],T_TTAFStock[RM_Code],$A39,T_TTAFStock[WeekIndex],84),CF39+'Grid_Incoming'!CG39-'Grid_Requirement'!CG39))</f>
        <v/>
      </c>
      <c r="CH39">
        <f>IF(COUNTIFS(T_StockCount[RM_Code],$A39,T_StockCount[WeekIndex],85)&gt;0,SUMIFS(T_StockCount[CountedQty],T_StockCount[RM_Code],$A39,T_StockCount[WeekIndex],85),IF((COUNTIFS(T_SelfStock[RM_Code],$A39,T_SelfStock[WeekIndex],85)&gt;0)*(COUNTIFS(T_TTAFStock[RM_Code],$A39,T_TTAFStock[WeekIndex],85)&gt;0)&gt;0,SUMIFS(T_SelfStock[Self_Qty],T_SelfStock[RM_Code],$A39,T_SelfStock[WeekIndex],85)+SUMIFS(T_TTAFStock[TTAF_Qty],T_TTAFStock[RM_Code],$A39,T_TTAFStock[WeekIndex],85),CG39+'Grid_Incoming'!CH39-'Grid_Requirement'!CH39))</f>
        <v/>
      </c>
      <c r="CI39">
        <f>IF(COUNTIFS(T_StockCount[RM_Code],$A39,T_StockCount[WeekIndex],86)&gt;0,SUMIFS(T_StockCount[CountedQty],T_StockCount[RM_Code],$A39,T_StockCount[WeekIndex],86),IF((COUNTIFS(T_SelfStock[RM_Code],$A39,T_SelfStock[WeekIndex],86)&gt;0)*(COUNTIFS(T_TTAFStock[RM_Code],$A39,T_TTAFStock[WeekIndex],86)&gt;0)&gt;0,SUMIFS(T_SelfStock[Self_Qty],T_SelfStock[RM_Code],$A39,T_SelfStock[WeekIndex],86)+SUMIFS(T_TTAFStock[TTAF_Qty],T_TTAFStock[RM_Code],$A39,T_TTAFStock[WeekIndex],86),CH39+'Grid_Incoming'!CI39-'Grid_Requirement'!CI39))</f>
        <v/>
      </c>
      <c r="CJ39">
        <f>IF(COUNTIFS(T_StockCount[RM_Code],$A39,T_StockCount[WeekIndex],87)&gt;0,SUMIFS(T_StockCount[CountedQty],T_StockCount[RM_Code],$A39,T_StockCount[WeekIndex],87),IF((COUNTIFS(T_SelfStock[RM_Code],$A39,T_SelfStock[WeekIndex],87)&gt;0)*(COUNTIFS(T_TTAFStock[RM_Code],$A39,T_TTAFStock[WeekIndex],87)&gt;0)&gt;0,SUMIFS(T_SelfStock[Self_Qty],T_SelfStock[RM_Code],$A39,T_SelfStock[WeekIndex],87)+SUMIFS(T_TTAFStock[TTAF_Qty],T_TTAFStock[RM_Code],$A39,T_TTAFStock[WeekIndex],87),CI39+'Grid_Incoming'!CJ39-'Grid_Requirement'!CJ39))</f>
        <v/>
      </c>
      <c r="CK39">
        <f>IF(COUNTIFS(T_StockCount[RM_Code],$A39,T_StockCount[WeekIndex],88)&gt;0,SUMIFS(T_StockCount[CountedQty],T_StockCount[RM_Code],$A39,T_StockCount[WeekIndex],88),IF((COUNTIFS(T_SelfStock[RM_Code],$A39,T_SelfStock[WeekIndex],88)&gt;0)*(COUNTIFS(T_TTAFStock[RM_Code],$A39,T_TTAFStock[WeekIndex],88)&gt;0)&gt;0,SUMIFS(T_SelfStock[Self_Qty],T_SelfStock[RM_Code],$A39,T_SelfStock[WeekIndex],88)+SUMIFS(T_TTAFStock[TTAF_Qty],T_TTAFStock[RM_Code],$A39,T_TTAFStock[WeekIndex],88),CJ39+'Grid_Incoming'!CK39-'Grid_Requirement'!CK39))</f>
        <v/>
      </c>
      <c r="CL39">
        <f>IF(COUNTIFS(T_StockCount[RM_Code],$A39,T_StockCount[WeekIndex],89)&gt;0,SUMIFS(T_StockCount[CountedQty],T_StockCount[RM_Code],$A39,T_StockCount[WeekIndex],89),IF((COUNTIFS(T_SelfStock[RM_Code],$A39,T_SelfStock[WeekIndex],89)&gt;0)*(COUNTIFS(T_TTAFStock[RM_Code],$A39,T_TTAFStock[WeekIndex],89)&gt;0)&gt;0,SUMIFS(T_SelfStock[Self_Qty],T_SelfStock[RM_Code],$A39,T_SelfStock[WeekIndex],89)+SUMIFS(T_TTAFStock[TTAF_Qty],T_TTAFStock[RM_Code],$A39,T_TTAFStock[WeekIndex],89),CK39+'Grid_Incoming'!CL39-'Grid_Requirement'!CL39))</f>
        <v/>
      </c>
      <c r="CM39">
        <f>IF(COUNTIFS(T_StockCount[RM_Code],$A39,T_StockCount[WeekIndex],90)&gt;0,SUMIFS(T_StockCount[CountedQty],T_StockCount[RM_Code],$A39,T_StockCount[WeekIndex],90),IF((COUNTIFS(T_SelfStock[RM_Code],$A39,T_SelfStock[WeekIndex],90)&gt;0)*(COUNTIFS(T_TTAFStock[RM_Code],$A39,T_TTAFStock[WeekIndex],90)&gt;0)&gt;0,SUMIFS(T_SelfStock[Self_Qty],T_SelfStock[RM_Code],$A39,T_SelfStock[WeekIndex],90)+SUMIFS(T_TTAFStock[TTAF_Qty],T_TTAFStock[RM_Code],$A39,T_TTAFStock[WeekIndex],90),CL39+'Grid_Incoming'!CM39-'Grid_Requirement'!CM39))</f>
        <v/>
      </c>
      <c r="CN39">
        <f>IF(COUNTIFS(T_StockCount[RM_Code],$A39,T_StockCount[WeekIndex],91)&gt;0,SUMIFS(T_StockCount[CountedQty],T_StockCount[RM_Code],$A39,T_StockCount[WeekIndex],91),IF((COUNTIFS(T_SelfStock[RM_Code],$A39,T_SelfStock[WeekIndex],91)&gt;0)*(COUNTIFS(T_TTAFStock[RM_Code],$A39,T_TTAFStock[WeekIndex],91)&gt;0)&gt;0,SUMIFS(T_SelfStock[Self_Qty],T_SelfStock[RM_Code],$A39,T_SelfStock[WeekIndex],91)+SUMIFS(T_TTAFStock[TTAF_Qty],T_TTAFStock[RM_Code],$A39,T_TTAFStock[WeekIndex],91),CM39+'Grid_Incoming'!CN39-'Grid_Requirement'!CN39))</f>
        <v/>
      </c>
      <c r="CO39">
        <f>IF(COUNTIFS(T_StockCount[RM_Code],$A39,T_StockCount[WeekIndex],92)&gt;0,SUMIFS(T_StockCount[CountedQty],T_StockCount[RM_Code],$A39,T_StockCount[WeekIndex],92),IF((COUNTIFS(T_SelfStock[RM_Code],$A39,T_SelfStock[WeekIndex],92)&gt;0)*(COUNTIFS(T_TTAFStock[RM_Code],$A39,T_TTAFStock[WeekIndex],92)&gt;0)&gt;0,SUMIFS(T_SelfStock[Self_Qty],T_SelfStock[RM_Code],$A39,T_SelfStock[WeekIndex],92)+SUMIFS(T_TTAFStock[TTAF_Qty],T_TTAFStock[RM_Code],$A39,T_TTAFStock[WeekIndex],92),CN39+'Grid_Incoming'!CO39-'Grid_Requirement'!CO39))</f>
        <v/>
      </c>
      <c r="CP39">
        <f>IF(COUNTIFS(T_StockCount[RM_Code],$A39,T_StockCount[WeekIndex],93)&gt;0,SUMIFS(T_StockCount[CountedQty],T_StockCount[RM_Code],$A39,T_StockCount[WeekIndex],93),IF((COUNTIFS(T_SelfStock[RM_Code],$A39,T_SelfStock[WeekIndex],93)&gt;0)*(COUNTIFS(T_TTAFStock[RM_Code],$A39,T_TTAFStock[WeekIndex],93)&gt;0)&gt;0,SUMIFS(T_SelfStock[Self_Qty],T_SelfStock[RM_Code],$A39,T_SelfStock[WeekIndex],93)+SUMIFS(T_TTAFStock[TTAF_Qty],T_TTAFStock[RM_Code],$A39,T_TTAFStock[WeekIndex],93),CO39+'Grid_Incoming'!CP39-'Grid_Requirement'!CP39))</f>
        <v/>
      </c>
      <c r="CQ39">
        <f>IF(COUNTIFS(T_StockCount[RM_Code],$A39,T_StockCount[WeekIndex],94)&gt;0,SUMIFS(T_StockCount[CountedQty],T_StockCount[RM_Code],$A39,T_StockCount[WeekIndex],94),IF((COUNTIFS(T_SelfStock[RM_Code],$A39,T_SelfStock[WeekIndex],94)&gt;0)*(COUNTIFS(T_TTAFStock[RM_Code],$A39,T_TTAFStock[WeekIndex],94)&gt;0)&gt;0,SUMIFS(T_SelfStock[Self_Qty],T_SelfStock[RM_Code],$A39,T_SelfStock[WeekIndex],94)+SUMIFS(T_TTAFStock[TTAF_Qty],T_TTAFStock[RM_Code],$A39,T_TTAFStock[WeekIndex],94),CP39+'Grid_Incoming'!CQ39-'Grid_Requirement'!CQ39))</f>
        <v/>
      </c>
      <c r="CR39">
        <f>IF(COUNTIFS(T_StockCount[RM_Code],$A39,T_StockCount[WeekIndex],95)&gt;0,SUMIFS(T_StockCount[CountedQty],T_StockCount[RM_Code],$A39,T_StockCount[WeekIndex],95),IF((COUNTIFS(T_SelfStock[RM_Code],$A39,T_SelfStock[WeekIndex],95)&gt;0)*(COUNTIFS(T_TTAFStock[RM_Code],$A39,T_TTAFStock[WeekIndex],95)&gt;0)&gt;0,SUMIFS(T_SelfStock[Self_Qty],T_SelfStock[RM_Code],$A39,T_SelfStock[WeekIndex],95)+SUMIFS(T_TTAFStock[TTAF_Qty],T_TTAFStock[RM_Code],$A39,T_TTAFStock[WeekIndex],95),CQ39+'Grid_Incoming'!CR39-'Grid_Requirement'!CR39))</f>
        <v/>
      </c>
      <c r="CS39">
        <f>IF(COUNTIFS(T_StockCount[RM_Code],$A39,T_StockCount[WeekIndex],96)&gt;0,SUMIFS(T_StockCount[CountedQty],T_StockCount[RM_Code],$A39,T_StockCount[WeekIndex],96),IF((COUNTIFS(T_SelfStock[RM_Code],$A39,T_SelfStock[WeekIndex],96)&gt;0)*(COUNTIFS(T_TTAFStock[RM_Code],$A39,T_TTAFStock[WeekIndex],96)&gt;0)&gt;0,SUMIFS(T_SelfStock[Self_Qty],T_SelfStock[RM_Code],$A39,T_SelfStock[WeekIndex],96)+SUMIFS(T_TTAFStock[TTAF_Qty],T_TTAFStock[RM_Code],$A39,T_TTAFStock[WeekIndex],96),CR39+'Grid_Incoming'!CS39-'Grid_Requirement'!CS39))</f>
        <v/>
      </c>
      <c r="CT39">
        <f>IF(COUNTIFS(T_StockCount[RM_Code],$A39,T_StockCount[WeekIndex],97)&gt;0,SUMIFS(T_StockCount[CountedQty],T_StockCount[RM_Code],$A39,T_StockCount[WeekIndex],97),IF((COUNTIFS(T_SelfStock[RM_Code],$A39,T_SelfStock[WeekIndex],97)&gt;0)*(COUNTIFS(T_TTAFStock[RM_Code],$A39,T_TTAFStock[WeekIndex],97)&gt;0)&gt;0,SUMIFS(T_SelfStock[Self_Qty],T_SelfStock[RM_Code],$A39,T_SelfStock[WeekIndex],97)+SUMIFS(T_TTAFStock[TTAF_Qty],T_TTAFStock[RM_Code],$A39,T_TTAFStock[WeekIndex],97),CS39+'Grid_Incoming'!CT39-'Grid_Requirement'!CT39))</f>
        <v/>
      </c>
      <c r="CU39">
        <f>IF(COUNTIFS(T_StockCount[RM_Code],$A39,T_StockCount[WeekIndex],98)&gt;0,SUMIFS(T_StockCount[CountedQty],T_StockCount[RM_Code],$A39,T_StockCount[WeekIndex],98),IF((COUNTIFS(T_SelfStock[RM_Code],$A39,T_SelfStock[WeekIndex],98)&gt;0)*(COUNTIFS(T_TTAFStock[RM_Code],$A39,T_TTAFStock[WeekIndex],98)&gt;0)&gt;0,SUMIFS(T_SelfStock[Self_Qty],T_SelfStock[RM_Code],$A39,T_SelfStock[WeekIndex],98)+SUMIFS(T_TTAFStock[TTAF_Qty],T_TTAFStock[RM_Code],$A39,T_TTAFStock[WeekIndex],98),CT39+'Grid_Incoming'!CU39-'Grid_Requirement'!CU39))</f>
        <v/>
      </c>
      <c r="CV39">
        <f>IF(COUNTIFS(T_StockCount[RM_Code],$A39,T_StockCount[WeekIndex],99)&gt;0,SUMIFS(T_StockCount[CountedQty],T_StockCount[RM_Code],$A39,T_StockCount[WeekIndex],99),IF((COUNTIFS(T_SelfStock[RM_Code],$A39,T_SelfStock[WeekIndex],99)&gt;0)*(COUNTIFS(T_TTAFStock[RM_Code],$A39,T_TTAFStock[WeekIndex],99)&gt;0)&gt;0,SUMIFS(T_SelfStock[Self_Qty],T_SelfStock[RM_Code],$A39,T_SelfStock[WeekIndex],99)+SUMIFS(T_TTAFStock[TTAF_Qty],T_TTAFStock[RM_Code],$A39,T_TTAFStock[WeekIndex],99),CU39+'Grid_Incoming'!CV39-'Grid_Requirement'!CV39))</f>
        <v/>
      </c>
      <c r="CW39">
        <f>IF(COUNTIFS(T_StockCount[RM_Code],$A39,T_StockCount[WeekIndex],100)&gt;0,SUMIFS(T_StockCount[CountedQty],T_StockCount[RM_Code],$A39,T_StockCount[WeekIndex],100),IF((COUNTIFS(T_SelfStock[RM_Code],$A39,T_SelfStock[WeekIndex],100)&gt;0)*(COUNTIFS(T_TTAFStock[RM_Code],$A39,T_TTAFStock[WeekIndex],100)&gt;0)&gt;0,SUMIFS(T_SelfStock[Self_Qty],T_SelfStock[RM_Code],$A39,T_SelfStock[WeekIndex],100)+SUMIFS(T_TTAFStock[TTAF_Qty],T_TTAFStock[RM_Code],$A39,T_TTAFStock[WeekIndex],100),CV39+'Grid_Incoming'!CW39-'Grid_Requirement'!CW39))</f>
        <v/>
      </c>
      <c r="CX39">
        <f>IF(COUNTIFS(T_StockCount[RM_Code],$A39,T_StockCount[WeekIndex],101)&gt;0,SUMIFS(T_StockCount[CountedQty],T_StockCount[RM_Code],$A39,T_StockCount[WeekIndex],101),IF((COUNTIFS(T_SelfStock[RM_Code],$A39,T_SelfStock[WeekIndex],101)&gt;0)*(COUNTIFS(T_TTAFStock[RM_Code],$A39,T_TTAFStock[WeekIndex],101)&gt;0)&gt;0,SUMIFS(T_SelfStock[Self_Qty],T_SelfStock[RM_Code],$A39,T_SelfStock[WeekIndex],101)+SUMIFS(T_TTAFStock[TTAF_Qty],T_TTAFStock[RM_Code],$A39,T_TTAFStock[WeekIndex],101),CW39+'Grid_Incoming'!CX39-'Grid_Requirement'!CX39))</f>
        <v/>
      </c>
      <c r="CY39">
        <f>IF(COUNTIFS(T_StockCount[RM_Code],$A39,T_StockCount[WeekIndex],102)&gt;0,SUMIFS(T_StockCount[CountedQty],T_StockCount[RM_Code],$A39,T_StockCount[WeekIndex],102),IF((COUNTIFS(T_SelfStock[RM_Code],$A39,T_SelfStock[WeekIndex],102)&gt;0)*(COUNTIFS(T_TTAFStock[RM_Code],$A39,T_TTAFStock[WeekIndex],102)&gt;0)&gt;0,SUMIFS(T_SelfStock[Self_Qty],T_SelfStock[RM_Code],$A39,T_SelfStock[WeekIndex],102)+SUMIFS(T_TTAFStock[TTAF_Qty],T_TTAFStock[RM_Code],$A39,T_TTAFStock[WeekIndex],102),CX39+'Grid_Incoming'!CY39-'Grid_Requirement'!CY39))</f>
        <v/>
      </c>
      <c r="CZ39">
        <f>IF(COUNTIFS(T_StockCount[RM_Code],$A39,T_StockCount[WeekIndex],103)&gt;0,SUMIFS(T_StockCount[CountedQty],T_StockCount[RM_Code],$A39,T_StockCount[WeekIndex],103),IF((COUNTIFS(T_SelfStock[RM_Code],$A39,T_SelfStock[WeekIndex],103)&gt;0)*(COUNTIFS(T_TTAFStock[RM_Code],$A39,T_TTAFStock[WeekIndex],103)&gt;0)&gt;0,SUMIFS(T_SelfStock[Self_Qty],T_SelfStock[RM_Code],$A39,T_SelfStock[WeekIndex],103)+SUMIFS(T_TTAFStock[TTAF_Qty],T_TTAFStock[RM_Code],$A39,T_TTAFStock[WeekIndex],103),CY39+'Grid_Incoming'!CZ39-'Grid_Requirement'!CZ39))</f>
        <v/>
      </c>
      <c r="DA39">
        <f>IF(COUNTIFS(T_StockCount[RM_Code],$A39,T_StockCount[WeekIndex],104)&gt;0,SUMIFS(T_StockCount[CountedQty],T_StockCount[RM_Code],$A39,T_StockCount[WeekIndex],104),IF((COUNTIFS(T_SelfStock[RM_Code],$A39,T_SelfStock[WeekIndex],104)&gt;0)*(COUNTIFS(T_TTAFStock[RM_Code],$A39,T_TTAFStock[WeekIndex],104)&gt;0)&gt;0,SUMIFS(T_SelfStock[Self_Qty],T_SelfStock[RM_Code],$A39,T_SelfStock[WeekIndex],104)+SUMIFS(T_TTAFStock[TTAF_Qty],T_TTAFStock[RM_Code],$A39,T_TTAFStock[WeekIndex],104),CZ39+'Grid_Incoming'!DA39-'Grid_Requirement'!DA39))</f>
        <v/>
      </c>
    </row>
    <row r="40">
      <c r="A40" t="inlineStr">
        <is>
          <t>TPP-1469</t>
        </is>
      </c>
      <c r="B40">
        <f>IF(COUNTIFS(T_StockCount[RM_Code],$A40,T_StockCount[WeekIndex],1)&gt;0,SUMIFS(T_StockCount[CountedQty],T_StockCount[RM_Code],$A40,T_StockCount[WeekIndex],1),IF((COUNTIFS(T_SelfStock[RM_Code],$A40,T_SelfStock[WeekIndex],1)&gt;0)*(COUNTIFS(T_TTAFStock[RM_Code],$A40,T_TTAFStock[WeekIndex],1)&gt;0)&gt;0,SUMIFS(T_SelfStock[Self_Qty],T_SelfStock[RM_Code],$A40,T_SelfStock[WeekIndex],1)+SUMIFS(T_TTAFStock[TTAF_Qty],T_TTAFStock[RM_Code],$A40,T_TTAFStock[WeekIndex],1),IFERROR(INDEX(T_OpeningStock[Opening_Qty],MATCH($A40,T_OpeningStock[RM_Code],0)),0)+'Grid_Incoming'!B40-'Grid_Requirement'!B40))</f>
        <v/>
      </c>
      <c r="C40">
        <f>IF(COUNTIFS(T_StockCount[RM_Code],$A40,T_StockCount[WeekIndex],2)&gt;0,SUMIFS(T_StockCount[CountedQty],T_StockCount[RM_Code],$A40,T_StockCount[WeekIndex],2),IF((COUNTIFS(T_SelfStock[RM_Code],$A40,T_SelfStock[WeekIndex],2)&gt;0)*(COUNTIFS(T_TTAFStock[RM_Code],$A40,T_TTAFStock[WeekIndex],2)&gt;0)&gt;0,SUMIFS(T_SelfStock[Self_Qty],T_SelfStock[RM_Code],$A40,T_SelfStock[WeekIndex],2)+SUMIFS(T_TTAFStock[TTAF_Qty],T_TTAFStock[RM_Code],$A40,T_TTAFStock[WeekIndex],2),B40+'Grid_Incoming'!C40-'Grid_Requirement'!C40))</f>
        <v/>
      </c>
      <c r="D40">
        <f>IF(COUNTIFS(T_StockCount[RM_Code],$A40,T_StockCount[WeekIndex],3)&gt;0,SUMIFS(T_StockCount[CountedQty],T_StockCount[RM_Code],$A40,T_StockCount[WeekIndex],3),IF((COUNTIFS(T_SelfStock[RM_Code],$A40,T_SelfStock[WeekIndex],3)&gt;0)*(COUNTIFS(T_TTAFStock[RM_Code],$A40,T_TTAFStock[WeekIndex],3)&gt;0)&gt;0,SUMIFS(T_SelfStock[Self_Qty],T_SelfStock[RM_Code],$A40,T_SelfStock[WeekIndex],3)+SUMIFS(T_TTAFStock[TTAF_Qty],T_TTAFStock[RM_Code],$A40,T_TTAFStock[WeekIndex],3),C40+'Grid_Incoming'!D40-'Grid_Requirement'!D40))</f>
        <v/>
      </c>
      <c r="E40">
        <f>IF(COUNTIFS(T_StockCount[RM_Code],$A40,T_StockCount[WeekIndex],4)&gt;0,SUMIFS(T_StockCount[CountedQty],T_StockCount[RM_Code],$A40,T_StockCount[WeekIndex],4),IF((COUNTIFS(T_SelfStock[RM_Code],$A40,T_SelfStock[WeekIndex],4)&gt;0)*(COUNTIFS(T_TTAFStock[RM_Code],$A40,T_TTAFStock[WeekIndex],4)&gt;0)&gt;0,SUMIFS(T_SelfStock[Self_Qty],T_SelfStock[RM_Code],$A40,T_SelfStock[WeekIndex],4)+SUMIFS(T_TTAFStock[TTAF_Qty],T_TTAFStock[RM_Code],$A40,T_TTAFStock[WeekIndex],4),D40+'Grid_Incoming'!E40-'Grid_Requirement'!E40))</f>
        <v/>
      </c>
      <c r="F40">
        <f>IF(COUNTIFS(T_StockCount[RM_Code],$A40,T_StockCount[WeekIndex],5)&gt;0,SUMIFS(T_StockCount[CountedQty],T_StockCount[RM_Code],$A40,T_StockCount[WeekIndex],5),IF((COUNTIFS(T_SelfStock[RM_Code],$A40,T_SelfStock[WeekIndex],5)&gt;0)*(COUNTIFS(T_TTAFStock[RM_Code],$A40,T_TTAFStock[WeekIndex],5)&gt;0)&gt;0,SUMIFS(T_SelfStock[Self_Qty],T_SelfStock[RM_Code],$A40,T_SelfStock[WeekIndex],5)+SUMIFS(T_TTAFStock[TTAF_Qty],T_TTAFStock[RM_Code],$A40,T_TTAFStock[WeekIndex],5),E40+'Grid_Incoming'!F40-'Grid_Requirement'!F40))</f>
        <v/>
      </c>
      <c r="G40">
        <f>IF(COUNTIFS(T_StockCount[RM_Code],$A40,T_StockCount[WeekIndex],6)&gt;0,SUMIFS(T_StockCount[CountedQty],T_StockCount[RM_Code],$A40,T_StockCount[WeekIndex],6),IF((COUNTIFS(T_SelfStock[RM_Code],$A40,T_SelfStock[WeekIndex],6)&gt;0)*(COUNTIFS(T_TTAFStock[RM_Code],$A40,T_TTAFStock[WeekIndex],6)&gt;0)&gt;0,SUMIFS(T_SelfStock[Self_Qty],T_SelfStock[RM_Code],$A40,T_SelfStock[WeekIndex],6)+SUMIFS(T_TTAFStock[TTAF_Qty],T_TTAFStock[RM_Code],$A40,T_TTAFStock[WeekIndex],6),F40+'Grid_Incoming'!G40-'Grid_Requirement'!G40))</f>
        <v/>
      </c>
      <c r="H40">
        <f>IF(COUNTIFS(T_StockCount[RM_Code],$A40,T_StockCount[WeekIndex],7)&gt;0,SUMIFS(T_StockCount[CountedQty],T_StockCount[RM_Code],$A40,T_StockCount[WeekIndex],7),IF((COUNTIFS(T_SelfStock[RM_Code],$A40,T_SelfStock[WeekIndex],7)&gt;0)*(COUNTIFS(T_TTAFStock[RM_Code],$A40,T_TTAFStock[WeekIndex],7)&gt;0)&gt;0,SUMIFS(T_SelfStock[Self_Qty],T_SelfStock[RM_Code],$A40,T_SelfStock[WeekIndex],7)+SUMIFS(T_TTAFStock[TTAF_Qty],T_TTAFStock[RM_Code],$A40,T_TTAFStock[WeekIndex],7),G40+'Grid_Incoming'!H40-'Grid_Requirement'!H40))</f>
        <v/>
      </c>
      <c r="I40">
        <f>IF(COUNTIFS(T_StockCount[RM_Code],$A40,T_StockCount[WeekIndex],8)&gt;0,SUMIFS(T_StockCount[CountedQty],T_StockCount[RM_Code],$A40,T_StockCount[WeekIndex],8),IF((COUNTIFS(T_SelfStock[RM_Code],$A40,T_SelfStock[WeekIndex],8)&gt;0)*(COUNTIFS(T_TTAFStock[RM_Code],$A40,T_TTAFStock[WeekIndex],8)&gt;0)&gt;0,SUMIFS(T_SelfStock[Self_Qty],T_SelfStock[RM_Code],$A40,T_SelfStock[WeekIndex],8)+SUMIFS(T_TTAFStock[TTAF_Qty],T_TTAFStock[RM_Code],$A40,T_TTAFStock[WeekIndex],8),H40+'Grid_Incoming'!I40-'Grid_Requirement'!I40))</f>
        <v/>
      </c>
      <c r="J40">
        <f>IF(COUNTIFS(T_StockCount[RM_Code],$A40,T_StockCount[WeekIndex],9)&gt;0,SUMIFS(T_StockCount[CountedQty],T_StockCount[RM_Code],$A40,T_StockCount[WeekIndex],9),IF((COUNTIFS(T_SelfStock[RM_Code],$A40,T_SelfStock[WeekIndex],9)&gt;0)*(COUNTIFS(T_TTAFStock[RM_Code],$A40,T_TTAFStock[WeekIndex],9)&gt;0)&gt;0,SUMIFS(T_SelfStock[Self_Qty],T_SelfStock[RM_Code],$A40,T_SelfStock[WeekIndex],9)+SUMIFS(T_TTAFStock[TTAF_Qty],T_TTAFStock[RM_Code],$A40,T_TTAFStock[WeekIndex],9),I40+'Grid_Incoming'!J40-'Grid_Requirement'!J40))</f>
        <v/>
      </c>
      <c r="K40">
        <f>IF(COUNTIFS(T_StockCount[RM_Code],$A40,T_StockCount[WeekIndex],10)&gt;0,SUMIFS(T_StockCount[CountedQty],T_StockCount[RM_Code],$A40,T_StockCount[WeekIndex],10),IF((COUNTIFS(T_SelfStock[RM_Code],$A40,T_SelfStock[WeekIndex],10)&gt;0)*(COUNTIFS(T_TTAFStock[RM_Code],$A40,T_TTAFStock[WeekIndex],10)&gt;0)&gt;0,SUMIFS(T_SelfStock[Self_Qty],T_SelfStock[RM_Code],$A40,T_SelfStock[WeekIndex],10)+SUMIFS(T_TTAFStock[TTAF_Qty],T_TTAFStock[RM_Code],$A40,T_TTAFStock[WeekIndex],10),J40+'Grid_Incoming'!K40-'Grid_Requirement'!K40))</f>
        <v/>
      </c>
      <c r="L40">
        <f>IF(COUNTIFS(T_StockCount[RM_Code],$A40,T_StockCount[WeekIndex],11)&gt;0,SUMIFS(T_StockCount[CountedQty],T_StockCount[RM_Code],$A40,T_StockCount[WeekIndex],11),IF((COUNTIFS(T_SelfStock[RM_Code],$A40,T_SelfStock[WeekIndex],11)&gt;0)*(COUNTIFS(T_TTAFStock[RM_Code],$A40,T_TTAFStock[WeekIndex],11)&gt;0)&gt;0,SUMIFS(T_SelfStock[Self_Qty],T_SelfStock[RM_Code],$A40,T_SelfStock[WeekIndex],11)+SUMIFS(T_TTAFStock[TTAF_Qty],T_TTAFStock[RM_Code],$A40,T_TTAFStock[WeekIndex],11),K40+'Grid_Incoming'!L40-'Grid_Requirement'!L40))</f>
        <v/>
      </c>
      <c r="M40">
        <f>IF(COUNTIFS(T_StockCount[RM_Code],$A40,T_StockCount[WeekIndex],12)&gt;0,SUMIFS(T_StockCount[CountedQty],T_StockCount[RM_Code],$A40,T_StockCount[WeekIndex],12),IF((COUNTIFS(T_SelfStock[RM_Code],$A40,T_SelfStock[WeekIndex],12)&gt;0)*(COUNTIFS(T_TTAFStock[RM_Code],$A40,T_TTAFStock[WeekIndex],12)&gt;0)&gt;0,SUMIFS(T_SelfStock[Self_Qty],T_SelfStock[RM_Code],$A40,T_SelfStock[WeekIndex],12)+SUMIFS(T_TTAFStock[TTAF_Qty],T_TTAFStock[RM_Code],$A40,T_TTAFStock[WeekIndex],12),L40+'Grid_Incoming'!M40-'Grid_Requirement'!M40))</f>
        <v/>
      </c>
      <c r="N40">
        <f>IF(COUNTIFS(T_StockCount[RM_Code],$A40,T_StockCount[WeekIndex],13)&gt;0,SUMIFS(T_StockCount[CountedQty],T_StockCount[RM_Code],$A40,T_StockCount[WeekIndex],13),IF((COUNTIFS(T_SelfStock[RM_Code],$A40,T_SelfStock[WeekIndex],13)&gt;0)*(COUNTIFS(T_TTAFStock[RM_Code],$A40,T_TTAFStock[WeekIndex],13)&gt;0)&gt;0,SUMIFS(T_SelfStock[Self_Qty],T_SelfStock[RM_Code],$A40,T_SelfStock[WeekIndex],13)+SUMIFS(T_TTAFStock[TTAF_Qty],T_TTAFStock[RM_Code],$A40,T_TTAFStock[WeekIndex],13),M40+'Grid_Incoming'!N40-'Grid_Requirement'!N40))</f>
        <v/>
      </c>
      <c r="O40">
        <f>IF(COUNTIFS(T_StockCount[RM_Code],$A40,T_StockCount[WeekIndex],14)&gt;0,SUMIFS(T_StockCount[CountedQty],T_StockCount[RM_Code],$A40,T_StockCount[WeekIndex],14),IF((COUNTIFS(T_SelfStock[RM_Code],$A40,T_SelfStock[WeekIndex],14)&gt;0)*(COUNTIFS(T_TTAFStock[RM_Code],$A40,T_TTAFStock[WeekIndex],14)&gt;0)&gt;0,SUMIFS(T_SelfStock[Self_Qty],T_SelfStock[RM_Code],$A40,T_SelfStock[WeekIndex],14)+SUMIFS(T_TTAFStock[TTAF_Qty],T_TTAFStock[RM_Code],$A40,T_TTAFStock[WeekIndex],14),N40+'Grid_Incoming'!O40-'Grid_Requirement'!O40))</f>
        <v/>
      </c>
      <c r="P40">
        <f>IF(COUNTIFS(T_StockCount[RM_Code],$A40,T_StockCount[WeekIndex],15)&gt;0,SUMIFS(T_StockCount[CountedQty],T_StockCount[RM_Code],$A40,T_StockCount[WeekIndex],15),IF((COUNTIFS(T_SelfStock[RM_Code],$A40,T_SelfStock[WeekIndex],15)&gt;0)*(COUNTIFS(T_TTAFStock[RM_Code],$A40,T_TTAFStock[WeekIndex],15)&gt;0)&gt;0,SUMIFS(T_SelfStock[Self_Qty],T_SelfStock[RM_Code],$A40,T_SelfStock[WeekIndex],15)+SUMIFS(T_TTAFStock[TTAF_Qty],T_TTAFStock[RM_Code],$A40,T_TTAFStock[WeekIndex],15),O40+'Grid_Incoming'!P40-'Grid_Requirement'!P40))</f>
        <v/>
      </c>
      <c r="Q40">
        <f>IF(COUNTIFS(T_StockCount[RM_Code],$A40,T_StockCount[WeekIndex],16)&gt;0,SUMIFS(T_StockCount[CountedQty],T_StockCount[RM_Code],$A40,T_StockCount[WeekIndex],16),IF((COUNTIFS(T_SelfStock[RM_Code],$A40,T_SelfStock[WeekIndex],16)&gt;0)*(COUNTIFS(T_TTAFStock[RM_Code],$A40,T_TTAFStock[WeekIndex],16)&gt;0)&gt;0,SUMIFS(T_SelfStock[Self_Qty],T_SelfStock[RM_Code],$A40,T_SelfStock[WeekIndex],16)+SUMIFS(T_TTAFStock[TTAF_Qty],T_TTAFStock[RM_Code],$A40,T_TTAFStock[WeekIndex],16),P40+'Grid_Incoming'!Q40-'Grid_Requirement'!Q40))</f>
        <v/>
      </c>
      <c r="R40">
        <f>IF(COUNTIFS(T_StockCount[RM_Code],$A40,T_StockCount[WeekIndex],17)&gt;0,SUMIFS(T_StockCount[CountedQty],T_StockCount[RM_Code],$A40,T_StockCount[WeekIndex],17),IF((COUNTIFS(T_SelfStock[RM_Code],$A40,T_SelfStock[WeekIndex],17)&gt;0)*(COUNTIFS(T_TTAFStock[RM_Code],$A40,T_TTAFStock[WeekIndex],17)&gt;0)&gt;0,SUMIFS(T_SelfStock[Self_Qty],T_SelfStock[RM_Code],$A40,T_SelfStock[WeekIndex],17)+SUMIFS(T_TTAFStock[TTAF_Qty],T_TTAFStock[RM_Code],$A40,T_TTAFStock[WeekIndex],17),Q40+'Grid_Incoming'!R40-'Grid_Requirement'!R40))</f>
        <v/>
      </c>
      <c r="S40">
        <f>IF(COUNTIFS(T_StockCount[RM_Code],$A40,T_StockCount[WeekIndex],18)&gt;0,SUMIFS(T_StockCount[CountedQty],T_StockCount[RM_Code],$A40,T_StockCount[WeekIndex],18),IF((COUNTIFS(T_SelfStock[RM_Code],$A40,T_SelfStock[WeekIndex],18)&gt;0)*(COUNTIFS(T_TTAFStock[RM_Code],$A40,T_TTAFStock[WeekIndex],18)&gt;0)&gt;0,SUMIFS(T_SelfStock[Self_Qty],T_SelfStock[RM_Code],$A40,T_SelfStock[WeekIndex],18)+SUMIFS(T_TTAFStock[TTAF_Qty],T_TTAFStock[RM_Code],$A40,T_TTAFStock[WeekIndex],18),R40+'Grid_Incoming'!S40-'Grid_Requirement'!S40))</f>
        <v/>
      </c>
      <c r="T40">
        <f>IF(COUNTIFS(T_StockCount[RM_Code],$A40,T_StockCount[WeekIndex],19)&gt;0,SUMIFS(T_StockCount[CountedQty],T_StockCount[RM_Code],$A40,T_StockCount[WeekIndex],19),IF((COUNTIFS(T_SelfStock[RM_Code],$A40,T_SelfStock[WeekIndex],19)&gt;0)*(COUNTIFS(T_TTAFStock[RM_Code],$A40,T_TTAFStock[WeekIndex],19)&gt;0)&gt;0,SUMIFS(T_SelfStock[Self_Qty],T_SelfStock[RM_Code],$A40,T_SelfStock[WeekIndex],19)+SUMIFS(T_TTAFStock[TTAF_Qty],T_TTAFStock[RM_Code],$A40,T_TTAFStock[WeekIndex],19),S40+'Grid_Incoming'!T40-'Grid_Requirement'!T40))</f>
        <v/>
      </c>
      <c r="U40">
        <f>IF(COUNTIFS(T_StockCount[RM_Code],$A40,T_StockCount[WeekIndex],20)&gt;0,SUMIFS(T_StockCount[CountedQty],T_StockCount[RM_Code],$A40,T_StockCount[WeekIndex],20),IF((COUNTIFS(T_SelfStock[RM_Code],$A40,T_SelfStock[WeekIndex],20)&gt;0)*(COUNTIFS(T_TTAFStock[RM_Code],$A40,T_TTAFStock[WeekIndex],20)&gt;0)&gt;0,SUMIFS(T_SelfStock[Self_Qty],T_SelfStock[RM_Code],$A40,T_SelfStock[WeekIndex],20)+SUMIFS(T_TTAFStock[TTAF_Qty],T_TTAFStock[RM_Code],$A40,T_TTAFStock[WeekIndex],20),T40+'Grid_Incoming'!U40-'Grid_Requirement'!U40))</f>
        <v/>
      </c>
      <c r="V40">
        <f>IF(COUNTIFS(T_StockCount[RM_Code],$A40,T_StockCount[WeekIndex],21)&gt;0,SUMIFS(T_StockCount[CountedQty],T_StockCount[RM_Code],$A40,T_StockCount[WeekIndex],21),IF((COUNTIFS(T_SelfStock[RM_Code],$A40,T_SelfStock[WeekIndex],21)&gt;0)*(COUNTIFS(T_TTAFStock[RM_Code],$A40,T_TTAFStock[WeekIndex],21)&gt;0)&gt;0,SUMIFS(T_SelfStock[Self_Qty],T_SelfStock[RM_Code],$A40,T_SelfStock[WeekIndex],21)+SUMIFS(T_TTAFStock[TTAF_Qty],T_TTAFStock[RM_Code],$A40,T_TTAFStock[WeekIndex],21),U40+'Grid_Incoming'!V40-'Grid_Requirement'!V40))</f>
        <v/>
      </c>
      <c r="W40">
        <f>IF(COUNTIFS(T_StockCount[RM_Code],$A40,T_StockCount[WeekIndex],22)&gt;0,SUMIFS(T_StockCount[CountedQty],T_StockCount[RM_Code],$A40,T_StockCount[WeekIndex],22),IF((COUNTIFS(T_SelfStock[RM_Code],$A40,T_SelfStock[WeekIndex],22)&gt;0)*(COUNTIFS(T_TTAFStock[RM_Code],$A40,T_TTAFStock[WeekIndex],22)&gt;0)&gt;0,SUMIFS(T_SelfStock[Self_Qty],T_SelfStock[RM_Code],$A40,T_SelfStock[WeekIndex],22)+SUMIFS(T_TTAFStock[TTAF_Qty],T_TTAFStock[RM_Code],$A40,T_TTAFStock[WeekIndex],22),V40+'Grid_Incoming'!W40-'Grid_Requirement'!W40))</f>
        <v/>
      </c>
      <c r="X40">
        <f>IF(COUNTIFS(T_StockCount[RM_Code],$A40,T_StockCount[WeekIndex],23)&gt;0,SUMIFS(T_StockCount[CountedQty],T_StockCount[RM_Code],$A40,T_StockCount[WeekIndex],23),IF((COUNTIFS(T_SelfStock[RM_Code],$A40,T_SelfStock[WeekIndex],23)&gt;0)*(COUNTIFS(T_TTAFStock[RM_Code],$A40,T_TTAFStock[WeekIndex],23)&gt;0)&gt;0,SUMIFS(T_SelfStock[Self_Qty],T_SelfStock[RM_Code],$A40,T_SelfStock[WeekIndex],23)+SUMIFS(T_TTAFStock[TTAF_Qty],T_TTAFStock[RM_Code],$A40,T_TTAFStock[WeekIndex],23),W40+'Grid_Incoming'!X40-'Grid_Requirement'!X40))</f>
        <v/>
      </c>
      <c r="Y40">
        <f>IF(COUNTIFS(T_StockCount[RM_Code],$A40,T_StockCount[WeekIndex],24)&gt;0,SUMIFS(T_StockCount[CountedQty],T_StockCount[RM_Code],$A40,T_StockCount[WeekIndex],24),IF((COUNTIFS(T_SelfStock[RM_Code],$A40,T_SelfStock[WeekIndex],24)&gt;0)*(COUNTIFS(T_TTAFStock[RM_Code],$A40,T_TTAFStock[WeekIndex],24)&gt;0)&gt;0,SUMIFS(T_SelfStock[Self_Qty],T_SelfStock[RM_Code],$A40,T_SelfStock[WeekIndex],24)+SUMIFS(T_TTAFStock[TTAF_Qty],T_TTAFStock[RM_Code],$A40,T_TTAFStock[WeekIndex],24),X40+'Grid_Incoming'!Y40-'Grid_Requirement'!Y40))</f>
        <v/>
      </c>
      <c r="Z40">
        <f>IF(COUNTIFS(T_StockCount[RM_Code],$A40,T_StockCount[WeekIndex],25)&gt;0,SUMIFS(T_StockCount[CountedQty],T_StockCount[RM_Code],$A40,T_StockCount[WeekIndex],25),IF((COUNTIFS(T_SelfStock[RM_Code],$A40,T_SelfStock[WeekIndex],25)&gt;0)*(COUNTIFS(T_TTAFStock[RM_Code],$A40,T_TTAFStock[WeekIndex],25)&gt;0)&gt;0,SUMIFS(T_SelfStock[Self_Qty],T_SelfStock[RM_Code],$A40,T_SelfStock[WeekIndex],25)+SUMIFS(T_TTAFStock[TTAF_Qty],T_TTAFStock[RM_Code],$A40,T_TTAFStock[WeekIndex],25),Y40+'Grid_Incoming'!Z40-'Grid_Requirement'!Z40))</f>
        <v/>
      </c>
      <c r="AA40">
        <f>IF(COUNTIFS(T_StockCount[RM_Code],$A40,T_StockCount[WeekIndex],26)&gt;0,SUMIFS(T_StockCount[CountedQty],T_StockCount[RM_Code],$A40,T_StockCount[WeekIndex],26),IF((COUNTIFS(T_SelfStock[RM_Code],$A40,T_SelfStock[WeekIndex],26)&gt;0)*(COUNTIFS(T_TTAFStock[RM_Code],$A40,T_TTAFStock[WeekIndex],26)&gt;0)&gt;0,SUMIFS(T_SelfStock[Self_Qty],T_SelfStock[RM_Code],$A40,T_SelfStock[WeekIndex],26)+SUMIFS(T_TTAFStock[TTAF_Qty],T_TTAFStock[RM_Code],$A40,T_TTAFStock[WeekIndex],26),Z40+'Grid_Incoming'!AA40-'Grid_Requirement'!AA40))</f>
        <v/>
      </c>
      <c r="AB40">
        <f>IF(COUNTIFS(T_StockCount[RM_Code],$A40,T_StockCount[WeekIndex],27)&gt;0,SUMIFS(T_StockCount[CountedQty],T_StockCount[RM_Code],$A40,T_StockCount[WeekIndex],27),IF((COUNTIFS(T_SelfStock[RM_Code],$A40,T_SelfStock[WeekIndex],27)&gt;0)*(COUNTIFS(T_TTAFStock[RM_Code],$A40,T_TTAFStock[WeekIndex],27)&gt;0)&gt;0,SUMIFS(T_SelfStock[Self_Qty],T_SelfStock[RM_Code],$A40,T_SelfStock[WeekIndex],27)+SUMIFS(T_TTAFStock[TTAF_Qty],T_TTAFStock[RM_Code],$A40,T_TTAFStock[WeekIndex],27),AA40+'Grid_Incoming'!AB40-'Grid_Requirement'!AB40))</f>
        <v/>
      </c>
      <c r="AC40">
        <f>IF(COUNTIFS(T_StockCount[RM_Code],$A40,T_StockCount[WeekIndex],28)&gt;0,SUMIFS(T_StockCount[CountedQty],T_StockCount[RM_Code],$A40,T_StockCount[WeekIndex],28),IF((COUNTIFS(T_SelfStock[RM_Code],$A40,T_SelfStock[WeekIndex],28)&gt;0)*(COUNTIFS(T_TTAFStock[RM_Code],$A40,T_TTAFStock[WeekIndex],28)&gt;0)&gt;0,SUMIFS(T_SelfStock[Self_Qty],T_SelfStock[RM_Code],$A40,T_SelfStock[WeekIndex],28)+SUMIFS(T_TTAFStock[TTAF_Qty],T_TTAFStock[RM_Code],$A40,T_TTAFStock[WeekIndex],28),AB40+'Grid_Incoming'!AC40-'Grid_Requirement'!AC40))</f>
        <v/>
      </c>
      <c r="AD40">
        <f>IF(COUNTIFS(T_StockCount[RM_Code],$A40,T_StockCount[WeekIndex],29)&gt;0,SUMIFS(T_StockCount[CountedQty],T_StockCount[RM_Code],$A40,T_StockCount[WeekIndex],29),IF((COUNTIFS(T_SelfStock[RM_Code],$A40,T_SelfStock[WeekIndex],29)&gt;0)*(COUNTIFS(T_TTAFStock[RM_Code],$A40,T_TTAFStock[WeekIndex],29)&gt;0)&gt;0,SUMIFS(T_SelfStock[Self_Qty],T_SelfStock[RM_Code],$A40,T_SelfStock[WeekIndex],29)+SUMIFS(T_TTAFStock[TTAF_Qty],T_TTAFStock[RM_Code],$A40,T_TTAFStock[WeekIndex],29),AC40+'Grid_Incoming'!AD40-'Grid_Requirement'!AD40))</f>
        <v/>
      </c>
      <c r="AE40">
        <f>IF(COUNTIFS(T_StockCount[RM_Code],$A40,T_StockCount[WeekIndex],30)&gt;0,SUMIFS(T_StockCount[CountedQty],T_StockCount[RM_Code],$A40,T_StockCount[WeekIndex],30),IF((COUNTIFS(T_SelfStock[RM_Code],$A40,T_SelfStock[WeekIndex],30)&gt;0)*(COUNTIFS(T_TTAFStock[RM_Code],$A40,T_TTAFStock[WeekIndex],30)&gt;0)&gt;0,SUMIFS(T_SelfStock[Self_Qty],T_SelfStock[RM_Code],$A40,T_SelfStock[WeekIndex],30)+SUMIFS(T_TTAFStock[TTAF_Qty],T_TTAFStock[RM_Code],$A40,T_TTAFStock[WeekIndex],30),AD40+'Grid_Incoming'!AE40-'Grid_Requirement'!AE40))</f>
        <v/>
      </c>
      <c r="AF40">
        <f>IF(COUNTIFS(T_StockCount[RM_Code],$A40,T_StockCount[WeekIndex],31)&gt;0,SUMIFS(T_StockCount[CountedQty],T_StockCount[RM_Code],$A40,T_StockCount[WeekIndex],31),IF((COUNTIFS(T_SelfStock[RM_Code],$A40,T_SelfStock[WeekIndex],31)&gt;0)*(COUNTIFS(T_TTAFStock[RM_Code],$A40,T_TTAFStock[WeekIndex],31)&gt;0)&gt;0,SUMIFS(T_SelfStock[Self_Qty],T_SelfStock[RM_Code],$A40,T_SelfStock[WeekIndex],31)+SUMIFS(T_TTAFStock[TTAF_Qty],T_TTAFStock[RM_Code],$A40,T_TTAFStock[WeekIndex],31),AE40+'Grid_Incoming'!AF40-'Grid_Requirement'!AF40))</f>
        <v/>
      </c>
      <c r="AG40">
        <f>IF(COUNTIFS(T_StockCount[RM_Code],$A40,T_StockCount[WeekIndex],32)&gt;0,SUMIFS(T_StockCount[CountedQty],T_StockCount[RM_Code],$A40,T_StockCount[WeekIndex],32),IF((COUNTIFS(T_SelfStock[RM_Code],$A40,T_SelfStock[WeekIndex],32)&gt;0)*(COUNTIFS(T_TTAFStock[RM_Code],$A40,T_TTAFStock[WeekIndex],32)&gt;0)&gt;0,SUMIFS(T_SelfStock[Self_Qty],T_SelfStock[RM_Code],$A40,T_SelfStock[WeekIndex],32)+SUMIFS(T_TTAFStock[TTAF_Qty],T_TTAFStock[RM_Code],$A40,T_TTAFStock[WeekIndex],32),AF40+'Grid_Incoming'!AG40-'Grid_Requirement'!AG40))</f>
        <v/>
      </c>
      <c r="AH40">
        <f>IF(COUNTIFS(T_StockCount[RM_Code],$A40,T_StockCount[WeekIndex],33)&gt;0,SUMIFS(T_StockCount[CountedQty],T_StockCount[RM_Code],$A40,T_StockCount[WeekIndex],33),IF((COUNTIFS(T_SelfStock[RM_Code],$A40,T_SelfStock[WeekIndex],33)&gt;0)*(COUNTIFS(T_TTAFStock[RM_Code],$A40,T_TTAFStock[WeekIndex],33)&gt;0)&gt;0,SUMIFS(T_SelfStock[Self_Qty],T_SelfStock[RM_Code],$A40,T_SelfStock[WeekIndex],33)+SUMIFS(T_TTAFStock[TTAF_Qty],T_TTAFStock[RM_Code],$A40,T_TTAFStock[WeekIndex],33),AG40+'Grid_Incoming'!AH40-'Grid_Requirement'!AH40))</f>
        <v/>
      </c>
      <c r="AI40">
        <f>IF(COUNTIFS(T_StockCount[RM_Code],$A40,T_StockCount[WeekIndex],34)&gt;0,SUMIFS(T_StockCount[CountedQty],T_StockCount[RM_Code],$A40,T_StockCount[WeekIndex],34),IF((COUNTIFS(T_SelfStock[RM_Code],$A40,T_SelfStock[WeekIndex],34)&gt;0)*(COUNTIFS(T_TTAFStock[RM_Code],$A40,T_TTAFStock[WeekIndex],34)&gt;0)&gt;0,SUMIFS(T_SelfStock[Self_Qty],T_SelfStock[RM_Code],$A40,T_SelfStock[WeekIndex],34)+SUMIFS(T_TTAFStock[TTAF_Qty],T_TTAFStock[RM_Code],$A40,T_TTAFStock[WeekIndex],34),AH40+'Grid_Incoming'!AI40-'Grid_Requirement'!AI40))</f>
        <v/>
      </c>
      <c r="AJ40">
        <f>IF(COUNTIFS(T_StockCount[RM_Code],$A40,T_StockCount[WeekIndex],35)&gt;0,SUMIFS(T_StockCount[CountedQty],T_StockCount[RM_Code],$A40,T_StockCount[WeekIndex],35),IF((COUNTIFS(T_SelfStock[RM_Code],$A40,T_SelfStock[WeekIndex],35)&gt;0)*(COUNTIFS(T_TTAFStock[RM_Code],$A40,T_TTAFStock[WeekIndex],35)&gt;0)&gt;0,SUMIFS(T_SelfStock[Self_Qty],T_SelfStock[RM_Code],$A40,T_SelfStock[WeekIndex],35)+SUMIFS(T_TTAFStock[TTAF_Qty],T_TTAFStock[RM_Code],$A40,T_TTAFStock[WeekIndex],35),AI40+'Grid_Incoming'!AJ40-'Grid_Requirement'!AJ40))</f>
        <v/>
      </c>
      <c r="AK40">
        <f>IF(COUNTIFS(T_StockCount[RM_Code],$A40,T_StockCount[WeekIndex],36)&gt;0,SUMIFS(T_StockCount[CountedQty],T_StockCount[RM_Code],$A40,T_StockCount[WeekIndex],36),IF((COUNTIFS(T_SelfStock[RM_Code],$A40,T_SelfStock[WeekIndex],36)&gt;0)*(COUNTIFS(T_TTAFStock[RM_Code],$A40,T_TTAFStock[WeekIndex],36)&gt;0)&gt;0,SUMIFS(T_SelfStock[Self_Qty],T_SelfStock[RM_Code],$A40,T_SelfStock[WeekIndex],36)+SUMIFS(T_TTAFStock[TTAF_Qty],T_TTAFStock[RM_Code],$A40,T_TTAFStock[WeekIndex],36),AJ40+'Grid_Incoming'!AK40-'Grid_Requirement'!AK40))</f>
        <v/>
      </c>
      <c r="AL40">
        <f>IF(COUNTIFS(T_StockCount[RM_Code],$A40,T_StockCount[WeekIndex],37)&gt;0,SUMIFS(T_StockCount[CountedQty],T_StockCount[RM_Code],$A40,T_StockCount[WeekIndex],37),IF((COUNTIFS(T_SelfStock[RM_Code],$A40,T_SelfStock[WeekIndex],37)&gt;0)*(COUNTIFS(T_TTAFStock[RM_Code],$A40,T_TTAFStock[WeekIndex],37)&gt;0)&gt;0,SUMIFS(T_SelfStock[Self_Qty],T_SelfStock[RM_Code],$A40,T_SelfStock[WeekIndex],37)+SUMIFS(T_TTAFStock[TTAF_Qty],T_TTAFStock[RM_Code],$A40,T_TTAFStock[WeekIndex],37),AK40+'Grid_Incoming'!AL40-'Grid_Requirement'!AL40))</f>
        <v/>
      </c>
      <c r="AM40">
        <f>IF(COUNTIFS(T_StockCount[RM_Code],$A40,T_StockCount[WeekIndex],38)&gt;0,SUMIFS(T_StockCount[CountedQty],T_StockCount[RM_Code],$A40,T_StockCount[WeekIndex],38),IF((COUNTIFS(T_SelfStock[RM_Code],$A40,T_SelfStock[WeekIndex],38)&gt;0)*(COUNTIFS(T_TTAFStock[RM_Code],$A40,T_TTAFStock[WeekIndex],38)&gt;0)&gt;0,SUMIFS(T_SelfStock[Self_Qty],T_SelfStock[RM_Code],$A40,T_SelfStock[WeekIndex],38)+SUMIFS(T_TTAFStock[TTAF_Qty],T_TTAFStock[RM_Code],$A40,T_TTAFStock[WeekIndex],38),AL40+'Grid_Incoming'!AM40-'Grid_Requirement'!AM40))</f>
        <v/>
      </c>
      <c r="AN40">
        <f>IF(COUNTIFS(T_StockCount[RM_Code],$A40,T_StockCount[WeekIndex],39)&gt;0,SUMIFS(T_StockCount[CountedQty],T_StockCount[RM_Code],$A40,T_StockCount[WeekIndex],39),IF((COUNTIFS(T_SelfStock[RM_Code],$A40,T_SelfStock[WeekIndex],39)&gt;0)*(COUNTIFS(T_TTAFStock[RM_Code],$A40,T_TTAFStock[WeekIndex],39)&gt;0)&gt;0,SUMIFS(T_SelfStock[Self_Qty],T_SelfStock[RM_Code],$A40,T_SelfStock[WeekIndex],39)+SUMIFS(T_TTAFStock[TTAF_Qty],T_TTAFStock[RM_Code],$A40,T_TTAFStock[WeekIndex],39),AM40+'Grid_Incoming'!AN40-'Grid_Requirement'!AN40))</f>
        <v/>
      </c>
      <c r="AO40">
        <f>IF(COUNTIFS(T_StockCount[RM_Code],$A40,T_StockCount[WeekIndex],40)&gt;0,SUMIFS(T_StockCount[CountedQty],T_StockCount[RM_Code],$A40,T_StockCount[WeekIndex],40),IF((COUNTIFS(T_SelfStock[RM_Code],$A40,T_SelfStock[WeekIndex],40)&gt;0)*(COUNTIFS(T_TTAFStock[RM_Code],$A40,T_TTAFStock[WeekIndex],40)&gt;0)&gt;0,SUMIFS(T_SelfStock[Self_Qty],T_SelfStock[RM_Code],$A40,T_SelfStock[WeekIndex],40)+SUMIFS(T_TTAFStock[TTAF_Qty],T_TTAFStock[RM_Code],$A40,T_TTAFStock[WeekIndex],40),AN40+'Grid_Incoming'!AO40-'Grid_Requirement'!AO40))</f>
        <v/>
      </c>
      <c r="AP40">
        <f>IF(COUNTIFS(T_StockCount[RM_Code],$A40,T_StockCount[WeekIndex],41)&gt;0,SUMIFS(T_StockCount[CountedQty],T_StockCount[RM_Code],$A40,T_StockCount[WeekIndex],41),IF((COUNTIFS(T_SelfStock[RM_Code],$A40,T_SelfStock[WeekIndex],41)&gt;0)*(COUNTIFS(T_TTAFStock[RM_Code],$A40,T_TTAFStock[WeekIndex],41)&gt;0)&gt;0,SUMIFS(T_SelfStock[Self_Qty],T_SelfStock[RM_Code],$A40,T_SelfStock[WeekIndex],41)+SUMIFS(T_TTAFStock[TTAF_Qty],T_TTAFStock[RM_Code],$A40,T_TTAFStock[WeekIndex],41),AO40+'Grid_Incoming'!AP40-'Grid_Requirement'!AP40))</f>
        <v/>
      </c>
      <c r="AQ40">
        <f>IF(COUNTIFS(T_StockCount[RM_Code],$A40,T_StockCount[WeekIndex],42)&gt;0,SUMIFS(T_StockCount[CountedQty],T_StockCount[RM_Code],$A40,T_StockCount[WeekIndex],42),IF((COUNTIFS(T_SelfStock[RM_Code],$A40,T_SelfStock[WeekIndex],42)&gt;0)*(COUNTIFS(T_TTAFStock[RM_Code],$A40,T_TTAFStock[WeekIndex],42)&gt;0)&gt;0,SUMIFS(T_SelfStock[Self_Qty],T_SelfStock[RM_Code],$A40,T_SelfStock[WeekIndex],42)+SUMIFS(T_TTAFStock[TTAF_Qty],T_TTAFStock[RM_Code],$A40,T_TTAFStock[WeekIndex],42),AP40+'Grid_Incoming'!AQ40-'Grid_Requirement'!AQ40))</f>
        <v/>
      </c>
      <c r="AR40">
        <f>IF(COUNTIFS(T_StockCount[RM_Code],$A40,T_StockCount[WeekIndex],43)&gt;0,SUMIFS(T_StockCount[CountedQty],T_StockCount[RM_Code],$A40,T_StockCount[WeekIndex],43),IF((COUNTIFS(T_SelfStock[RM_Code],$A40,T_SelfStock[WeekIndex],43)&gt;0)*(COUNTIFS(T_TTAFStock[RM_Code],$A40,T_TTAFStock[WeekIndex],43)&gt;0)&gt;0,SUMIFS(T_SelfStock[Self_Qty],T_SelfStock[RM_Code],$A40,T_SelfStock[WeekIndex],43)+SUMIFS(T_TTAFStock[TTAF_Qty],T_TTAFStock[RM_Code],$A40,T_TTAFStock[WeekIndex],43),AQ40+'Grid_Incoming'!AR40-'Grid_Requirement'!AR40))</f>
        <v/>
      </c>
      <c r="AS40">
        <f>IF(COUNTIFS(T_StockCount[RM_Code],$A40,T_StockCount[WeekIndex],44)&gt;0,SUMIFS(T_StockCount[CountedQty],T_StockCount[RM_Code],$A40,T_StockCount[WeekIndex],44),IF((COUNTIFS(T_SelfStock[RM_Code],$A40,T_SelfStock[WeekIndex],44)&gt;0)*(COUNTIFS(T_TTAFStock[RM_Code],$A40,T_TTAFStock[WeekIndex],44)&gt;0)&gt;0,SUMIFS(T_SelfStock[Self_Qty],T_SelfStock[RM_Code],$A40,T_SelfStock[WeekIndex],44)+SUMIFS(T_TTAFStock[TTAF_Qty],T_TTAFStock[RM_Code],$A40,T_TTAFStock[WeekIndex],44),AR40+'Grid_Incoming'!AS40-'Grid_Requirement'!AS40))</f>
        <v/>
      </c>
      <c r="AT40">
        <f>IF(COUNTIFS(T_StockCount[RM_Code],$A40,T_StockCount[WeekIndex],45)&gt;0,SUMIFS(T_StockCount[CountedQty],T_StockCount[RM_Code],$A40,T_StockCount[WeekIndex],45),IF((COUNTIFS(T_SelfStock[RM_Code],$A40,T_SelfStock[WeekIndex],45)&gt;0)*(COUNTIFS(T_TTAFStock[RM_Code],$A40,T_TTAFStock[WeekIndex],45)&gt;0)&gt;0,SUMIFS(T_SelfStock[Self_Qty],T_SelfStock[RM_Code],$A40,T_SelfStock[WeekIndex],45)+SUMIFS(T_TTAFStock[TTAF_Qty],T_TTAFStock[RM_Code],$A40,T_TTAFStock[WeekIndex],45),AS40+'Grid_Incoming'!AT40-'Grid_Requirement'!AT40))</f>
        <v/>
      </c>
      <c r="AU40">
        <f>IF(COUNTIFS(T_StockCount[RM_Code],$A40,T_StockCount[WeekIndex],46)&gt;0,SUMIFS(T_StockCount[CountedQty],T_StockCount[RM_Code],$A40,T_StockCount[WeekIndex],46),IF((COUNTIFS(T_SelfStock[RM_Code],$A40,T_SelfStock[WeekIndex],46)&gt;0)*(COUNTIFS(T_TTAFStock[RM_Code],$A40,T_TTAFStock[WeekIndex],46)&gt;0)&gt;0,SUMIFS(T_SelfStock[Self_Qty],T_SelfStock[RM_Code],$A40,T_SelfStock[WeekIndex],46)+SUMIFS(T_TTAFStock[TTAF_Qty],T_TTAFStock[RM_Code],$A40,T_TTAFStock[WeekIndex],46),AT40+'Grid_Incoming'!AU40-'Grid_Requirement'!AU40))</f>
        <v/>
      </c>
      <c r="AV40">
        <f>IF(COUNTIFS(T_StockCount[RM_Code],$A40,T_StockCount[WeekIndex],47)&gt;0,SUMIFS(T_StockCount[CountedQty],T_StockCount[RM_Code],$A40,T_StockCount[WeekIndex],47),IF((COUNTIFS(T_SelfStock[RM_Code],$A40,T_SelfStock[WeekIndex],47)&gt;0)*(COUNTIFS(T_TTAFStock[RM_Code],$A40,T_TTAFStock[WeekIndex],47)&gt;0)&gt;0,SUMIFS(T_SelfStock[Self_Qty],T_SelfStock[RM_Code],$A40,T_SelfStock[WeekIndex],47)+SUMIFS(T_TTAFStock[TTAF_Qty],T_TTAFStock[RM_Code],$A40,T_TTAFStock[WeekIndex],47),AU40+'Grid_Incoming'!AV40-'Grid_Requirement'!AV40))</f>
        <v/>
      </c>
      <c r="AW40">
        <f>IF(COUNTIFS(T_StockCount[RM_Code],$A40,T_StockCount[WeekIndex],48)&gt;0,SUMIFS(T_StockCount[CountedQty],T_StockCount[RM_Code],$A40,T_StockCount[WeekIndex],48),IF((COUNTIFS(T_SelfStock[RM_Code],$A40,T_SelfStock[WeekIndex],48)&gt;0)*(COUNTIFS(T_TTAFStock[RM_Code],$A40,T_TTAFStock[WeekIndex],48)&gt;0)&gt;0,SUMIFS(T_SelfStock[Self_Qty],T_SelfStock[RM_Code],$A40,T_SelfStock[WeekIndex],48)+SUMIFS(T_TTAFStock[TTAF_Qty],T_TTAFStock[RM_Code],$A40,T_TTAFStock[WeekIndex],48),AV40+'Grid_Incoming'!AW40-'Grid_Requirement'!AW40))</f>
        <v/>
      </c>
      <c r="AX40">
        <f>IF(COUNTIFS(T_StockCount[RM_Code],$A40,T_StockCount[WeekIndex],49)&gt;0,SUMIFS(T_StockCount[CountedQty],T_StockCount[RM_Code],$A40,T_StockCount[WeekIndex],49),IF((COUNTIFS(T_SelfStock[RM_Code],$A40,T_SelfStock[WeekIndex],49)&gt;0)*(COUNTIFS(T_TTAFStock[RM_Code],$A40,T_TTAFStock[WeekIndex],49)&gt;0)&gt;0,SUMIFS(T_SelfStock[Self_Qty],T_SelfStock[RM_Code],$A40,T_SelfStock[WeekIndex],49)+SUMIFS(T_TTAFStock[TTAF_Qty],T_TTAFStock[RM_Code],$A40,T_TTAFStock[WeekIndex],49),AW40+'Grid_Incoming'!AX40-'Grid_Requirement'!AX40))</f>
        <v/>
      </c>
      <c r="AY40">
        <f>IF(COUNTIFS(T_StockCount[RM_Code],$A40,T_StockCount[WeekIndex],50)&gt;0,SUMIFS(T_StockCount[CountedQty],T_StockCount[RM_Code],$A40,T_StockCount[WeekIndex],50),IF((COUNTIFS(T_SelfStock[RM_Code],$A40,T_SelfStock[WeekIndex],50)&gt;0)*(COUNTIFS(T_TTAFStock[RM_Code],$A40,T_TTAFStock[WeekIndex],50)&gt;0)&gt;0,SUMIFS(T_SelfStock[Self_Qty],T_SelfStock[RM_Code],$A40,T_SelfStock[WeekIndex],50)+SUMIFS(T_TTAFStock[TTAF_Qty],T_TTAFStock[RM_Code],$A40,T_TTAFStock[WeekIndex],50),AX40+'Grid_Incoming'!AY40-'Grid_Requirement'!AY40))</f>
        <v/>
      </c>
      <c r="AZ40">
        <f>IF(COUNTIFS(T_StockCount[RM_Code],$A40,T_StockCount[WeekIndex],51)&gt;0,SUMIFS(T_StockCount[CountedQty],T_StockCount[RM_Code],$A40,T_StockCount[WeekIndex],51),IF((COUNTIFS(T_SelfStock[RM_Code],$A40,T_SelfStock[WeekIndex],51)&gt;0)*(COUNTIFS(T_TTAFStock[RM_Code],$A40,T_TTAFStock[WeekIndex],51)&gt;0)&gt;0,SUMIFS(T_SelfStock[Self_Qty],T_SelfStock[RM_Code],$A40,T_SelfStock[WeekIndex],51)+SUMIFS(T_TTAFStock[TTAF_Qty],T_TTAFStock[RM_Code],$A40,T_TTAFStock[WeekIndex],51),AY40+'Grid_Incoming'!AZ40-'Grid_Requirement'!AZ40))</f>
        <v/>
      </c>
      <c r="BA40">
        <f>IF(COUNTIFS(T_StockCount[RM_Code],$A40,T_StockCount[WeekIndex],52)&gt;0,SUMIFS(T_StockCount[CountedQty],T_StockCount[RM_Code],$A40,T_StockCount[WeekIndex],52),IF((COUNTIFS(T_SelfStock[RM_Code],$A40,T_SelfStock[WeekIndex],52)&gt;0)*(COUNTIFS(T_TTAFStock[RM_Code],$A40,T_TTAFStock[WeekIndex],52)&gt;0)&gt;0,SUMIFS(T_SelfStock[Self_Qty],T_SelfStock[RM_Code],$A40,T_SelfStock[WeekIndex],52)+SUMIFS(T_TTAFStock[TTAF_Qty],T_TTAFStock[RM_Code],$A40,T_TTAFStock[WeekIndex],52),AZ40+'Grid_Incoming'!BA40-'Grid_Requirement'!BA40))</f>
        <v/>
      </c>
      <c r="BB40">
        <f>IF(COUNTIFS(T_StockCount[RM_Code],$A40,T_StockCount[WeekIndex],53)&gt;0,SUMIFS(T_StockCount[CountedQty],T_StockCount[RM_Code],$A40,T_StockCount[WeekIndex],53),IF((COUNTIFS(T_SelfStock[RM_Code],$A40,T_SelfStock[WeekIndex],53)&gt;0)*(COUNTIFS(T_TTAFStock[RM_Code],$A40,T_TTAFStock[WeekIndex],53)&gt;0)&gt;0,SUMIFS(T_SelfStock[Self_Qty],T_SelfStock[RM_Code],$A40,T_SelfStock[WeekIndex],53)+SUMIFS(T_TTAFStock[TTAF_Qty],T_TTAFStock[RM_Code],$A40,T_TTAFStock[WeekIndex],53),BA40+'Grid_Incoming'!BB40-'Grid_Requirement'!BB40))</f>
        <v/>
      </c>
      <c r="BC40">
        <f>IF(COUNTIFS(T_StockCount[RM_Code],$A40,T_StockCount[WeekIndex],54)&gt;0,SUMIFS(T_StockCount[CountedQty],T_StockCount[RM_Code],$A40,T_StockCount[WeekIndex],54),IF((COUNTIFS(T_SelfStock[RM_Code],$A40,T_SelfStock[WeekIndex],54)&gt;0)*(COUNTIFS(T_TTAFStock[RM_Code],$A40,T_TTAFStock[WeekIndex],54)&gt;0)&gt;0,SUMIFS(T_SelfStock[Self_Qty],T_SelfStock[RM_Code],$A40,T_SelfStock[WeekIndex],54)+SUMIFS(T_TTAFStock[TTAF_Qty],T_TTAFStock[RM_Code],$A40,T_TTAFStock[WeekIndex],54),BB40+'Grid_Incoming'!BC40-'Grid_Requirement'!BC40))</f>
        <v/>
      </c>
      <c r="BD40">
        <f>IF(COUNTIFS(T_StockCount[RM_Code],$A40,T_StockCount[WeekIndex],55)&gt;0,SUMIFS(T_StockCount[CountedQty],T_StockCount[RM_Code],$A40,T_StockCount[WeekIndex],55),IF((COUNTIFS(T_SelfStock[RM_Code],$A40,T_SelfStock[WeekIndex],55)&gt;0)*(COUNTIFS(T_TTAFStock[RM_Code],$A40,T_TTAFStock[WeekIndex],55)&gt;0)&gt;0,SUMIFS(T_SelfStock[Self_Qty],T_SelfStock[RM_Code],$A40,T_SelfStock[WeekIndex],55)+SUMIFS(T_TTAFStock[TTAF_Qty],T_TTAFStock[RM_Code],$A40,T_TTAFStock[WeekIndex],55),BC40+'Grid_Incoming'!BD40-'Grid_Requirement'!BD40))</f>
        <v/>
      </c>
      <c r="BE40">
        <f>IF(COUNTIFS(T_StockCount[RM_Code],$A40,T_StockCount[WeekIndex],56)&gt;0,SUMIFS(T_StockCount[CountedQty],T_StockCount[RM_Code],$A40,T_StockCount[WeekIndex],56),IF((COUNTIFS(T_SelfStock[RM_Code],$A40,T_SelfStock[WeekIndex],56)&gt;0)*(COUNTIFS(T_TTAFStock[RM_Code],$A40,T_TTAFStock[WeekIndex],56)&gt;0)&gt;0,SUMIFS(T_SelfStock[Self_Qty],T_SelfStock[RM_Code],$A40,T_SelfStock[WeekIndex],56)+SUMIFS(T_TTAFStock[TTAF_Qty],T_TTAFStock[RM_Code],$A40,T_TTAFStock[WeekIndex],56),BD40+'Grid_Incoming'!BE40-'Grid_Requirement'!BE40))</f>
        <v/>
      </c>
      <c r="BF40">
        <f>IF(COUNTIFS(T_StockCount[RM_Code],$A40,T_StockCount[WeekIndex],57)&gt;0,SUMIFS(T_StockCount[CountedQty],T_StockCount[RM_Code],$A40,T_StockCount[WeekIndex],57),IF((COUNTIFS(T_SelfStock[RM_Code],$A40,T_SelfStock[WeekIndex],57)&gt;0)*(COUNTIFS(T_TTAFStock[RM_Code],$A40,T_TTAFStock[WeekIndex],57)&gt;0)&gt;0,SUMIFS(T_SelfStock[Self_Qty],T_SelfStock[RM_Code],$A40,T_SelfStock[WeekIndex],57)+SUMIFS(T_TTAFStock[TTAF_Qty],T_TTAFStock[RM_Code],$A40,T_TTAFStock[WeekIndex],57),BE40+'Grid_Incoming'!BF40-'Grid_Requirement'!BF40))</f>
        <v/>
      </c>
      <c r="BG40">
        <f>IF(COUNTIFS(T_StockCount[RM_Code],$A40,T_StockCount[WeekIndex],58)&gt;0,SUMIFS(T_StockCount[CountedQty],T_StockCount[RM_Code],$A40,T_StockCount[WeekIndex],58),IF((COUNTIFS(T_SelfStock[RM_Code],$A40,T_SelfStock[WeekIndex],58)&gt;0)*(COUNTIFS(T_TTAFStock[RM_Code],$A40,T_TTAFStock[WeekIndex],58)&gt;0)&gt;0,SUMIFS(T_SelfStock[Self_Qty],T_SelfStock[RM_Code],$A40,T_SelfStock[WeekIndex],58)+SUMIFS(T_TTAFStock[TTAF_Qty],T_TTAFStock[RM_Code],$A40,T_TTAFStock[WeekIndex],58),BF40+'Grid_Incoming'!BG40-'Grid_Requirement'!BG40))</f>
        <v/>
      </c>
      <c r="BH40">
        <f>IF(COUNTIFS(T_StockCount[RM_Code],$A40,T_StockCount[WeekIndex],59)&gt;0,SUMIFS(T_StockCount[CountedQty],T_StockCount[RM_Code],$A40,T_StockCount[WeekIndex],59),IF((COUNTIFS(T_SelfStock[RM_Code],$A40,T_SelfStock[WeekIndex],59)&gt;0)*(COUNTIFS(T_TTAFStock[RM_Code],$A40,T_TTAFStock[WeekIndex],59)&gt;0)&gt;0,SUMIFS(T_SelfStock[Self_Qty],T_SelfStock[RM_Code],$A40,T_SelfStock[WeekIndex],59)+SUMIFS(T_TTAFStock[TTAF_Qty],T_TTAFStock[RM_Code],$A40,T_TTAFStock[WeekIndex],59),BG40+'Grid_Incoming'!BH40-'Grid_Requirement'!BH40))</f>
        <v/>
      </c>
      <c r="BI40">
        <f>IF(COUNTIFS(T_StockCount[RM_Code],$A40,T_StockCount[WeekIndex],60)&gt;0,SUMIFS(T_StockCount[CountedQty],T_StockCount[RM_Code],$A40,T_StockCount[WeekIndex],60),IF((COUNTIFS(T_SelfStock[RM_Code],$A40,T_SelfStock[WeekIndex],60)&gt;0)*(COUNTIFS(T_TTAFStock[RM_Code],$A40,T_TTAFStock[WeekIndex],60)&gt;0)&gt;0,SUMIFS(T_SelfStock[Self_Qty],T_SelfStock[RM_Code],$A40,T_SelfStock[WeekIndex],60)+SUMIFS(T_TTAFStock[TTAF_Qty],T_TTAFStock[RM_Code],$A40,T_TTAFStock[WeekIndex],60),BH40+'Grid_Incoming'!BI40-'Grid_Requirement'!BI40))</f>
        <v/>
      </c>
      <c r="BJ40">
        <f>IF(COUNTIFS(T_StockCount[RM_Code],$A40,T_StockCount[WeekIndex],61)&gt;0,SUMIFS(T_StockCount[CountedQty],T_StockCount[RM_Code],$A40,T_StockCount[WeekIndex],61),IF((COUNTIFS(T_SelfStock[RM_Code],$A40,T_SelfStock[WeekIndex],61)&gt;0)*(COUNTIFS(T_TTAFStock[RM_Code],$A40,T_TTAFStock[WeekIndex],61)&gt;0)&gt;0,SUMIFS(T_SelfStock[Self_Qty],T_SelfStock[RM_Code],$A40,T_SelfStock[WeekIndex],61)+SUMIFS(T_TTAFStock[TTAF_Qty],T_TTAFStock[RM_Code],$A40,T_TTAFStock[WeekIndex],61),BI40+'Grid_Incoming'!BJ40-'Grid_Requirement'!BJ40))</f>
        <v/>
      </c>
      <c r="BK40">
        <f>IF(COUNTIFS(T_StockCount[RM_Code],$A40,T_StockCount[WeekIndex],62)&gt;0,SUMIFS(T_StockCount[CountedQty],T_StockCount[RM_Code],$A40,T_StockCount[WeekIndex],62),IF((COUNTIFS(T_SelfStock[RM_Code],$A40,T_SelfStock[WeekIndex],62)&gt;0)*(COUNTIFS(T_TTAFStock[RM_Code],$A40,T_TTAFStock[WeekIndex],62)&gt;0)&gt;0,SUMIFS(T_SelfStock[Self_Qty],T_SelfStock[RM_Code],$A40,T_SelfStock[WeekIndex],62)+SUMIFS(T_TTAFStock[TTAF_Qty],T_TTAFStock[RM_Code],$A40,T_TTAFStock[WeekIndex],62),BJ40+'Grid_Incoming'!BK40-'Grid_Requirement'!BK40))</f>
        <v/>
      </c>
      <c r="BL40">
        <f>IF(COUNTIFS(T_StockCount[RM_Code],$A40,T_StockCount[WeekIndex],63)&gt;0,SUMIFS(T_StockCount[CountedQty],T_StockCount[RM_Code],$A40,T_StockCount[WeekIndex],63),IF((COUNTIFS(T_SelfStock[RM_Code],$A40,T_SelfStock[WeekIndex],63)&gt;0)*(COUNTIFS(T_TTAFStock[RM_Code],$A40,T_TTAFStock[WeekIndex],63)&gt;0)&gt;0,SUMIFS(T_SelfStock[Self_Qty],T_SelfStock[RM_Code],$A40,T_SelfStock[WeekIndex],63)+SUMIFS(T_TTAFStock[TTAF_Qty],T_TTAFStock[RM_Code],$A40,T_TTAFStock[WeekIndex],63),BK40+'Grid_Incoming'!BL40-'Grid_Requirement'!BL40))</f>
        <v/>
      </c>
      <c r="BM40">
        <f>IF(COUNTIFS(T_StockCount[RM_Code],$A40,T_StockCount[WeekIndex],64)&gt;0,SUMIFS(T_StockCount[CountedQty],T_StockCount[RM_Code],$A40,T_StockCount[WeekIndex],64),IF((COUNTIFS(T_SelfStock[RM_Code],$A40,T_SelfStock[WeekIndex],64)&gt;0)*(COUNTIFS(T_TTAFStock[RM_Code],$A40,T_TTAFStock[WeekIndex],64)&gt;0)&gt;0,SUMIFS(T_SelfStock[Self_Qty],T_SelfStock[RM_Code],$A40,T_SelfStock[WeekIndex],64)+SUMIFS(T_TTAFStock[TTAF_Qty],T_TTAFStock[RM_Code],$A40,T_TTAFStock[WeekIndex],64),BL40+'Grid_Incoming'!BM40-'Grid_Requirement'!BM40))</f>
        <v/>
      </c>
      <c r="BN40">
        <f>IF(COUNTIFS(T_StockCount[RM_Code],$A40,T_StockCount[WeekIndex],65)&gt;0,SUMIFS(T_StockCount[CountedQty],T_StockCount[RM_Code],$A40,T_StockCount[WeekIndex],65),IF((COUNTIFS(T_SelfStock[RM_Code],$A40,T_SelfStock[WeekIndex],65)&gt;0)*(COUNTIFS(T_TTAFStock[RM_Code],$A40,T_TTAFStock[WeekIndex],65)&gt;0)&gt;0,SUMIFS(T_SelfStock[Self_Qty],T_SelfStock[RM_Code],$A40,T_SelfStock[WeekIndex],65)+SUMIFS(T_TTAFStock[TTAF_Qty],T_TTAFStock[RM_Code],$A40,T_TTAFStock[WeekIndex],65),BM40+'Grid_Incoming'!BN40-'Grid_Requirement'!BN40))</f>
        <v/>
      </c>
      <c r="BO40">
        <f>IF(COUNTIFS(T_StockCount[RM_Code],$A40,T_StockCount[WeekIndex],66)&gt;0,SUMIFS(T_StockCount[CountedQty],T_StockCount[RM_Code],$A40,T_StockCount[WeekIndex],66),IF((COUNTIFS(T_SelfStock[RM_Code],$A40,T_SelfStock[WeekIndex],66)&gt;0)*(COUNTIFS(T_TTAFStock[RM_Code],$A40,T_TTAFStock[WeekIndex],66)&gt;0)&gt;0,SUMIFS(T_SelfStock[Self_Qty],T_SelfStock[RM_Code],$A40,T_SelfStock[WeekIndex],66)+SUMIFS(T_TTAFStock[TTAF_Qty],T_TTAFStock[RM_Code],$A40,T_TTAFStock[WeekIndex],66),BN40+'Grid_Incoming'!BO40-'Grid_Requirement'!BO40))</f>
        <v/>
      </c>
      <c r="BP40">
        <f>IF(COUNTIFS(T_StockCount[RM_Code],$A40,T_StockCount[WeekIndex],67)&gt;0,SUMIFS(T_StockCount[CountedQty],T_StockCount[RM_Code],$A40,T_StockCount[WeekIndex],67),IF((COUNTIFS(T_SelfStock[RM_Code],$A40,T_SelfStock[WeekIndex],67)&gt;0)*(COUNTIFS(T_TTAFStock[RM_Code],$A40,T_TTAFStock[WeekIndex],67)&gt;0)&gt;0,SUMIFS(T_SelfStock[Self_Qty],T_SelfStock[RM_Code],$A40,T_SelfStock[WeekIndex],67)+SUMIFS(T_TTAFStock[TTAF_Qty],T_TTAFStock[RM_Code],$A40,T_TTAFStock[WeekIndex],67),BO40+'Grid_Incoming'!BP40-'Grid_Requirement'!BP40))</f>
        <v/>
      </c>
      <c r="BQ40">
        <f>IF(COUNTIFS(T_StockCount[RM_Code],$A40,T_StockCount[WeekIndex],68)&gt;0,SUMIFS(T_StockCount[CountedQty],T_StockCount[RM_Code],$A40,T_StockCount[WeekIndex],68),IF((COUNTIFS(T_SelfStock[RM_Code],$A40,T_SelfStock[WeekIndex],68)&gt;0)*(COUNTIFS(T_TTAFStock[RM_Code],$A40,T_TTAFStock[WeekIndex],68)&gt;0)&gt;0,SUMIFS(T_SelfStock[Self_Qty],T_SelfStock[RM_Code],$A40,T_SelfStock[WeekIndex],68)+SUMIFS(T_TTAFStock[TTAF_Qty],T_TTAFStock[RM_Code],$A40,T_TTAFStock[WeekIndex],68),BP40+'Grid_Incoming'!BQ40-'Grid_Requirement'!BQ40))</f>
        <v/>
      </c>
      <c r="BR40">
        <f>IF(COUNTIFS(T_StockCount[RM_Code],$A40,T_StockCount[WeekIndex],69)&gt;0,SUMIFS(T_StockCount[CountedQty],T_StockCount[RM_Code],$A40,T_StockCount[WeekIndex],69),IF((COUNTIFS(T_SelfStock[RM_Code],$A40,T_SelfStock[WeekIndex],69)&gt;0)*(COUNTIFS(T_TTAFStock[RM_Code],$A40,T_TTAFStock[WeekIndex],69)&gt;0)&gt;0,SUMIFS(T_SelfStock[Self_Qty],T_SelfStock[RM_Code],$A40,T_SelfStock[WeekIndex],69)+SUMIFS(T_TTAFStock[TTAF_Qty],T_TTAFStock[RM_Code],$A40,T_TTAFStock[WeekIndex],69),BQ40+'Grid_Incoming'!BR40-'Grid_Requirement'!BR40))</f>
        <v/>
      </c>
      <c r="BS40">
        <f>IF(COUNTIFS(T_StockCount[RM_Code],$A40,T_StockCount[WeekIndex],70)&gt;0,SUMIFS(T_StockCount[CountedQty],T_StockCount[RM_Code],$A40,T_StockCount[WeekIndex],70),IF((COUNTIFS(T_SelfStock[RM_Code],$A40,T_SelfStock[WeekIndex],70)&gt;0)*(COUNTIFS(T_TTAFStock[RM_Code],$A40,T_TTAFStock[WeekIndex],70)&gt;0)&gt;0,SUMIFS(T_SelfStock[Self_Qty],T_SelfStock[RM_Code],$A40,T_SelfStock[WeekIndex],70)+SUMIFS(T_TTAFStock[TTAF_Qty],T_TTAFStock[RM_Code],$A40,T_TTAFStock[WeekIndex],70),BR40+'Grid_Incoming'!BS40-'Grid_Requirement'!BS40))</f>
        <v/>
      </c>
      <c r="BT40">
        <f>IF(COUNTIFS(T_StockCount[RM_Code],$A40,T_StockCount[WeekIndex],71)&gt;0,SUMIFS(T_StockCount[CountedQty],T_StockCount[RM_Code],$A40,T_StockCount[WeekIndex],71),IF((COUNTIFS(T_SelfStock[RM_Code],$A40,T_SelfStock[WeekIndex],71)&gt;0)*(COUNTIFS(T_TTAFStock[RM_Code],$A40,T_TTAFStock[WeekIndex],71)&gt;0)&gt;0,SUMIFS(T_SelfStock[Self_Qty],T_SelfStock[RM_Code],$A40,T_SelfStock[WeekIndex],71)+SUMIFS(T_TTAFStock[TTAF_Qty],T_TTAFStock[RM_Code],$A40,T_TTAFStock[WeekIndex],71),BS40+'Grid_Incoming'!BT40-'Grid_Requirement'!BT40))</f>
        <v/>
      </c>
      <c r="BU40">
        <f>IF(COUNTIFS(T_StockCount[RM_Code],$A40,T_StockCount[WeekIndex],72)&gt;0,SUMIFS(T_StockCount[CountedQty],T_StockCount[RM_Code],$A40,T_StockCount[WeekIndex],72),IF((COUNTIFS(T_SelfStock[RM_Code],$A40,T_SelfStock[WeekIndex],72)&gt;0)*(COUNTIFS(T_TTAFStock[RM_Code],$A40,T_TTAFStock[WeekIndex],72)&gt;0)&gt;0,SUMIFS(T_SelfStock[Self_Qty],T_SelfStock[RM_Code],$A40,T_SelfStock[WeekIndex],72)+SUMIFS(T_TTAFStock[TTAF_Qty],T_TTAFStock[RM_Code],$A40,T_TTAFStock[WeekIndex],72),BT40+'Grid_Incoming'!BU40-'Grid_Requirement'!BU40))</f>
        <v/>
      </c>
      <c r="BV40">
        <f>IF(COUNTIFS(T_StockCount[RM_Code],$A40,T_StockCount[WeekIndex],73)&gt;0,SUMIFS(T_StockCount[CountedQty],T_StockCount[RM_Code],$A40,T_StockCount[WeekIndex],73),IF((COUNTIFS(T_SelfStock[RM_Code],$A40,T_SelfStock[WeekIndex],73)&gt;0)*(COUNTIFS(T_TTAFStock[RM_Code],$A40,T_TTAFStock[WeekIndex],73)&gt;0)&gt;0,SUMIFS(T_SelfStock[Self_Qty],T_SelfStock[RM_Code],$A40,T_SelfStock[WeekIndex],73)+SUMIFS(T_TTAFStock[TTAF_Qty],T_TTAFStock[RM_Code],$A40,T_TTAFStock[WeekIndex],73),BU40+'Grid_Incoming'!BV40-'Grid_Requirement'!BV40))</f>
        <v/>
      </c>
      <c r="BW40">
        <f>IF(COUNTIFS(T_StockCount[RM_Code],$A40,T_StockCount[WeekIndex],74)&gt;0,SUMIFS(T_StockCount[CountedQty],T_StockCount[RM_Code],$A40,T_StockCount[WeekIndex],74),IF((COUNTIFS(T_SelfStock[RM_Code],$A40,T_SelfStock[WeekIndex],74)&gt;0)*(COUNTIFS(T_TTAFStock[RM_Code],$A40,T_TTAFStock[WeekIndex],74)&gt;0)&gt;0,SUMIFS(T_SelfStock[Self_Qty],T_SelfStock[RM_Code],$A40,T_SelfStock[WeekIndex],74)+SUMIFS(T_TTAFStock[TTAF_Qty],T_TTAFStock[RM_Code],$A40,T_TTAFStock[WeekIndex],74),BV40+'Grid_Incoming'!BW40-'Grid_Requirement'!BW40))</f>
        <v/>
      </c>
      <c r="BX40">
        <f>IF(COUNTIFS(T_StockCount[RM_Code],$A40,T_StockCount[WeekIndex],75)&gt;0,SUMIFS(T_StockCount[CountedQty],T_StockCount[RM_Code],$A40,T_StockCount[WeekIndex],75),IF((COUNTIFS(T_SelfStock[RM_Code],$A40,T_SelfStock[WeekIndex],75)&gt;0)*(COUNTIFS(T_TTAFStock[RM_Code],$A40,T_TTAFStock[WeekIndex],75)&gt;0)&gt;0,SUMIFS(T_SelfStock[Self_Qty],T_SelfStock[RM_Code],$A40,T_SelfStock[WeekIndex],75)+SUMIFS(T_TTAFStock[TTAF_Qty],T_TTAFStock[RM_Code],$A40,T_TTAFStock[WeekIndex],75),BW40+'Grid_Incoming'!BX40-'Grid_Requirement'!BX40))</f>
        <v/>
      </c>
      <c r="BY40">
        <f>IF(COUNTIFS(T_StockCount[RM_Code],$A40,T_StockCount[WeekIndex],76)&gt;0,SUMIFS(T_StockCount[CountedQty],T_StockCount[RM_Code],$A40,T_StockCount[WeekIndex],76),IF((COUNTIFS(T_SelfStock[RM_Code],$A40,T_SelfStock[WeekIndex],76)&gt;0)*(COUNTIFS(T_TTAFStock[RM_Code],$A40,T_TTAFStock[WeekIndex],76)&gt;0)&gt;0,SUMIFS(T_SelfStock[Self_Qty],T_SelfStock[RM_Code],$A40,T_SelfStock[WeekIndex],76)+SUMIFS(T_TTAFStock[TTAF_Qty],T_TTAFStock[RM_Code],$A40,T_TTAFStock[WeekIndex],76),BX40+'Grid_Incoming'!BY40-'Grid_Requirement'!BY40))</f>
        <v/>
      </c>
      <c r="BZ40">
        <f>IF(COUNTIFS(T_StockCount[RM_Code],$A40,T_StockCount[WeekIndex],77)&gt;0,SUMIFS(T_StockCount[CountedQty],T_StockCount[RM_Code],$A40,T_StockCount[WeekIndex],77),IF((COUNTIFS(T_SelfStock[RM_Code],$A40,T_SelfStock[WeekIndex],77)&gt;0)*(COUNTIFS(T_TTAFStock[RM_Code],$A40,T_TTAFStock[WeekIndex],77)&gt;0)&gt;0,SUMIFS(T_SelfStock[Self_Qty],T_SelfStock[RM_Code],$A40,T_SelfStock[WeekIndex],77)+SUMIFS(T_TTAFStock[TTAF_Qty],T_TTAFStock[RM_Code],$A40,T_TTAFStock[WeekIndex],77),BY40+'Grid_Incoming'!BZ40-'Grid_Requirement'!BZ40))</f>
        <v/>
      </c>
      <c r="CA40">
        <f>IF(COUNTIFS(T_StockCount[RM_Code],$A40,T_StockCount[WeekIndex],78)&gt;0,SUMIFS(T_StockCount[CountedQty],T_StockCount[RM_Code],$A40,T_StockCount[WeekIndex],78),IF((COUNTIFS(T_SelfStock[RM_Code],$A40,T_SelfStock[WeekIndex],78)&gt;0)*(COUNTIFS(T_TTAFStock[RM_Code],$A40,T_TTAFStock[WeekIndex],78)&gt;0)&gt;0,SUMIFS(T_SelfStock[Self_Qty],T_SelfStock[RM_Code],$A40,T_SelfStock[WeekIndex],78)+SUMIFS(T_TTAFStock[TTAF_Qty],T_TTAFStock[RM_Code],$A40,T_TTAFStock[WeekIndex],78),BZ40+'Grid_Incoming'!CA40-'Grid_Requirement'!CA40))</f>
        <v/>
      </c>
      <c r="CB40">
        <f>IF(COUNTIFS(T_StockCount[RM_Code],$A40,T_StockCount[WeekIndex],79)&gt;0,SUMIFS(T_StockCount[CountedQty],T_StockCount[RM_Code],$A40,T_StockCount[WeekIndex],79),IF((COUNTIFS(T_SelfStock[RM_Code],$A40,T_SelfStock[WeekIndex],79)&gt;0)*(COUNTIFS(T_TTAFStock[RM_Code],$A40,T_TTAFStock[WeekIndex],79)&gt;0)&gt;0,SUMIFS(T_SelfStock[Self_Qty],T_SelfStock[RM_Code],$A40,T_SelfStock[WeekIndex],79)+SUMIFS(T_TTAFStock[TTAF_Qty],T_TTAFStock[RM_Code],$A40,T_TTAFStock[WeekIndex],79),CA40+'Grid_Incoming'!CB40-'Grid_Requirement'!CB40))</f>
        <v/>
      </c>
      <c r="CC40">
        <f>IF(COUNTIFS(T_StockCount[RM_Code],$A40,T_StockCount[WeekIndex],80)&gt;0,SUMIFS(T_StockCount[CountedQty],T_StockCount[RM_Code],$A40,T_StockCount[WeekIndex],80),IF((COUNTIFS(T_SelfStock[RM_Code],$A40,T_SelfStock[WeekIndex],80)&gt;0)*(COUNTIFS(T_TTAFStock[RM_Code],$A40,T_TTAFStock[WeekIndex],80)&gt;0)&gt;0,SUMIFS(T_SelfStock[Self_Qty],T_SelfStock[RM_Code],$A40,T_SelfStock[WeekIndex],80)+SUMIFS(T_TTAFStock[TTAF_Qty],T_TTAFStock[RM_Code],$A40,T_TTAFStock[WeekIndex],80),CB40+'Grid_Incoming'!CC40-'Grid_Requirement'!CC40))</f>
        <v/>
      </c>
      <c r="CD40">
        <f>IF(COUNTIFS(T_StockCount[RM_Code],$A40,T_StockCount[WeekIndex],81)&gt;0,SUMIFS(T_StockCount[CountedQty],T_StockCount[RM_Code],$A40,T_StockCount[WeekIndex],81),IF((COUNTIFS(T_SelfStock[RM_Code],$A40,T_SelfStock[WeekIndex],81)&gt;0)*(COUNTIFS(T_TTAFStock[RM_Code],$A40,T_TTAFStock[WeekIndex],81)&gt;0)&gt;0,SUMIFS(T_SelfStock[Self_Qty],T_SelfStock[RM_Code],$A40,T_SelfStock[WeekIndex],81)+SUMIFS(T_TTAFStock[TTAF_Qty],T_TTAFStock[RM_Code],$A40,T_TTAFStock[WeekIndex],81),CC40+'Grid_Incoming'!CD40-'Grid_Requirement'!CD40))</f>
        <v/>
      </c>
      <c r="CE40">
        <f>IF(COUNTIFS(T_StockCount[RM_Code],$A40,T_StockCount[WeekIndex],82)&gt;0,SUMIFS(T_StockCount[CountedQty],T_StockCount[RM_Code],$A40,T_StockCount[WeekIndex],82),IF((COUNTIFS(T_SelfStock[RM_Code],$A40,T_SelfStock[WeekIndex],82)&gt;0)*(COUNTIFS(T_TTAFStock[RM_Code],$A40,T_TTAFStock[WeekIndex],82)&gt;0)&gt;0,SUMIFS(T_SelfStock[Self_Qty],T_SelfStock[RM_Code],$A40,T_SelfStock[WeekIndex],82)+SUMIFS(T_TTAFStock[TTAF_Qty],T_TTAFStock[RM_Code],$A40,T_TTAFStock[WeekIndex],82),CD40+'Grid_Incoming'!CE40-'Grid_Requirement'!CE40))</f>
        <v/>
      </c>
      <c r="CF40">
        <f>IF(COUNTIFS(T_StockCount[RM_Code],$A40,T_StockCount[WeekIndex],83)&gt;0,SUMIFS(T_StockCount[CountedQty],T_StockCount[RM_Code],$A40,T_StockCount[WeekIndex],83),IF((COUNTIFS(T_SelfStock[RM_Code],$A40,T_SelfStock[WeekIndex],83)&gt;0)*(COUNTIFS(T_TTAFStock[RM_Code],$A40,T_TTAFStock[WeekIndex],83)&gt;0)&gt;0,SUMIFS(T_SelfStock[Self_Qty],T_SelfStock[RM_Code],$A40,T_SelfStock[WeekIndex],83)+SUMIFS(T_TTAFStock[TTAF_Qty],T_TTAFStock[RM_Code],$A40,T_TTAFStock[WeekIndex],83),CE40+'Grid_Incoming'!CF40-'Grid_Requirement'!CF40))</f>
        <v/>
      </c>
      <c r="CG40">
        <f>IF(COUNTIFS(T_StockCount[RM_Code],$A40,T_StockCount[WeekIndex],84)&gt;0,SUMIFS(T_StockCount[CountedQty],T_StockCount[RM_Code],$A40,T_StockCount[WeekIndex],84),IF((COUNTIFS(T_SelfStock[RM_Code],$A40,T_SelfStock[WeekIndex],84)&gt;0)*(COUNTIFS(T_TTAFStock[RM_Code],$A40,T_TTAFStock[WeekIndex],84)&gt;0)&gt;0,SUMIFS(T_SelfStock[Self_Qty],T_SelfStock[RM_Code],$A40,T_SelfStock[WeekIndex],84)+SUMIFS(T_TTAFStock[TTAF_Qty],T_TTAFStock[RM_Code],$A40,T_TTAFStock[WeekIndex],84),CF40+'Grid_Incoming'!CG40-'Grid_Requirement'!CG40))</f>
        <v/>
      </c>
      <c r="CH40">
        <f>IF(COUNTIFS(T_StockCount[RM_Code],$A40,T_StockCount[WeekIndex],85)&gt;0,SUMIFS(T_StockCount[CountedQty],T_StockCount[RM_Code],$A40,T_StockCount[WeekIndex],85),IF((COUNTIFS(T_SelfStock[RM_Code],$A40,T_SelfStock[WeekIndex],85)&gt;0)*(COUNTIFS(T_TTAFStock[RM_Code],$A40,T_TTAFStock[WeekIndex],85)&gt;0)&gt;0,SUMIFS(T_SelfStock[Self_Qty],T_SelfStock[RM_Code],$A40,T_SelfStock[WeekIndex],85)+SUMIFS(T_TTAFStock[TTAF_Qty],T_TTAFStock[RM_Code],$A40,T_TTAFStock[WeekIndex],85),CG40+'Grid_Incoming'!CH40-'Grid_Requirement'!CH40))</f>
        <v/>
      </c>
      <c r="CI40">
        <f>IF(COUNTIFS(T_StockCount[RM_Code],$A40,T_StockCount[WeekIndex],86)&gt;0,SUMIFS(T_StockCount[CountedQty],T_StockCount[RM_Code],$A40,T_StockCount[WeekIndex],86),IF((COUNTIFS(T_SelfStock[RM_Code],$A40,T_SelfStock[WeekIndex],86)&gt;0)*(COUNTIFS(T_TTAFStock[RM_Code],$A40,T_TTAFStock[WeekIndex],86)&gt;0)&gt;0,SUMIFS(T_SelfStock[Self_Qty],T_SelfStock[RM_Code],$A40,T_SelfStock[WeekIndex],86)+SUMIFS(T_TTAFStock[TTAF_Qty],T_TTAFStock[RM_Code],$A40,T_TTAFStock[WeekIndex],86),CH40+'Grid_Incoming'!CI40-'Grid_Requirement'!CI40))</f>
        <v/>
      </c>
      <c r="CJ40">
        <f>IF(COUNTIFS(T_StockCount[RM_Code],$A40,T_StockCount[WeekIndex],87)&gt;0,SUMIFS(T_StockCount[CountedQty],T_StockCount[RM_Code],$A40,T_StockCount[WeekIndex],87),IF((COUNTIFS(T_SelfStock[RM_Code],$A40,T_SelfStock[WeekIndex],87)&gt;0)*(COUNTIFS(T_TTAFStock[RM_Code],$A40,T_TTAFStock[WeekIndex],87)&gt;0)&gt;0,SUMIFS(T_SelfStock[Self_Qty],T_SelfStock[RM_Code],$A40,T_SelfStock[WeekIndex],87)+SUMIFS(T_TTAFStock[TTAF_Qty],T_TTAFStock[RM_Code],$A40,T_TTAFStock[WeekIndex],87),CI40+'Grid_Incoming'!CJ40-'Grid_Requirement'!CJ40))</f>
        <v/>
      </c>
      <c r="CK40">
        <f>IF(COUNTIFS(T_StockCount[RM_Code],$A40,T_StockCount[WeekIndex],88)&gt;0,SUMIFS(T_StockCount[CountedQty],T_StockCount[RM_Code],$A40,T_StockCount[WeekIndex],88),IF((COUNTIFS(T_SelfStock[RM_Code],$A40,T_SelfStock[WeekIndex],88)&gt;0)*(COUNTIFS(T_TTAFStock[RM_Code],$A40,T_TTAFStock[WeekIndex],88)&gt;0)&gt;0,SUMIFS(T_SelfStock[Self_Qty],T_SelfStock[RM_Code],$A40,T_SelfStock[WeekIndex],88)+SUMIFS(T_TTAFStock[TTAF_Qty],T_TTAFStock[RM_Code],$A40,T_TTAFStock[WeekIndex],88),CJ40+'Grid_Incoming'!CK40-'Grid_Requirement'!CK40))</f>
        <v/>
      </c>
      <c r="CL40">
        <f>IF(COUNTIFS(T_StockCount[RM_Code],$A40,T_StockCount[WeekIndex],89)&gt;0,SUMIFS(T_StockCount[CountedQty],T_StockCount[RM_Code],$A40,T_StockCount[WeekIndex],89),IF((COUNTIFS(T_SelfStock[RM_Code],$A40,T_SelfStock[WeekIndex],89)&gt;0)*(COUNTIFS(T_TTAFStock[RM_Code],$A40,T_TTAFStock[WeekIndex],89)&gt;0)&gt;0,SUMIFS(T_SelfStock[Self_Qty],T_SelfStock[RM_Code],$A40,T_SelfStock[WeekIndex],89)+SUMIFS(T_TTAFStock[TTAF_Qty],T_TTAFStock[RM_Code],$A40,T_TTAFStock[WeekIndex],89),CK40+'Grid_Incoming'!CL40-'Grid_Requirement'!CL40))</f>
        <v/>
      </c>
      <c r="CM40">
        <f>IF(COUNTIFS(T_StockCount[RM_Code],$A40,T_StockCount[WeekIndex],90)&gt;0,SUMIFS(T_StockCount[CountedQty],T_StockCount[RM_Code],$A40,T_StockCount[WeekIndex],90),IF((COUNTIFS(T_SelfStock[RM_Code],$A40,T_SelfStock[WeekIndex],90)&gt;0)*(COUNTIFS(T_TTAFStock[RM_Code],$A40,T_TTAFStock[WeekIndex],90)&gt;0)&gt;0,SUMIFS(T_SelfStock[Self_Qty],T_SelfStock[RM_Code],$A40,T_SelfStock[WeekIndex],90)+SUMIFS(T_TTAFStock[TTAF_Qty],T_TTAFStock[RM_Code],$A40,T_TTAFStock[WeekIndex],90),CL40+'Grid_Incoming'!CM40-'Grid_Requirement'!CM40))</f>
        <v/>
      </c>
      <c r="CN40">
        <f>IF(COUNTIFS(T_StockCount[RM_Code],$A40,T_StockCount[WeekIndex],91)&gt;0,SUMIFS(T_StockCount[CountedQty],T_StockCount[RM_Code],$A40,T_StockCount[WeekIndex],91),IF((COUNTIFS(T_SelfStock[RM_Code],$A40,T_SelfStock[WeekIndex],91)&gt;0)*(COUNTIFS(T_TTAFStock[RM_Code],$A40,T_TTAFStock[WeekIndex],91)&gt;0)&gt;0,SUMIFS(T_SelfStock[Self_Qty],T_SelfStock[RM_Code],$A40,T_SelfStock[WeekIndex],91)+SUMIFS(T_TTAFStock[TTAF_Qty],T_TTAFStock[RM_Code],$A40,T_TTAFStock[WeekIndex],91),CM40+'Grid_Incoming'!CN40-'Grid_Requirement'!CN40))</f>
        <v/>
      </c>
      <c r="CO40">
        <f>IF(COUNTIFS(T_StockCount[RM_Code],$A40,T_StockCount[WeekIndex],92)&gt;0,SUMIFS(T_StockCount[CountedQty],T_StockCount[RM_Code],$A40,T_StockCount[WeekIndex],92),IF((COUNTIFS(T_SelfStock[RM_Code],$A40,T_SelfStock[WeekIndex],92)&gt;0)*(COUNTIFS(T_TTAFStock[RM_Code],$A40,T_TTAFStock[WeekIndex],92)&gt;0)&gt;0,SUMIFS(T_SelfStock[Self_Qty],T_SelfStock[RM_Code],$A40,T_SelfStock[WeekIndex],92)+SUMIFS(T_TTAFStock[TTAF_Qty],T_TTAFStock[RM_Code],$A40,T_TTAFStock[WeekIndex],92),CN40+'Grid_Incoming'!CO40-'Grid_Requirement'!CO40))</f>
        <v/>
      </c>
      <c r="CP40">
        <f>IF(COUNTIFS(T_StockCount[RM_Code],$A40,T_StockCount[WeekIndex],93)&gt;0,SUMIFS(T_StockCount[CountedQty],T_StockCount[RM_Code],$A40,T_StockCount[WeekIndex],93),IF((COUNTIFS(T_SelfStock[RM_Code],$A40,T_SelfStock[WeekIndex],93)&gt;0)*(COUNTIFS(T_TTAFStock[RM_Code],$A40,T_TTAFStock[WeekIndex],93)&gt;0)&gt;0,SUMIFS(T_SelfStock[Self_Qty],T_SelfStock[RM_Code],$A40,T_SelfStock[WeekIndex],93)+SUMIFS(T_TTAFStock[TTAF_Qty],T_TTAFStock[RM_Code],$A40,T_TTAFStock[WeekIndex],93),CO40+'Grid_Incoming'!CP40-'Grid_Requirement'!CP40))</f>
        <v/>
      </c>
      <c r="CQ40">
        <f>IF(COUNTIFS(T_StockCount[RM_Code],$A40,T_StockCount[WeekIndex],94)&gt;0,SUMIFS(T_StockCount[CountedQty],T_StockCount[RM_Code],$A40,T_StockCount[WeekIndex],94),IF((COUNTIFS(T_SelfStock[RM_Code],$A40,T_SelfStock[WeekIndex],94)&gt;0)*(COUNTIFS(T_TTAFStock[RM_Code],$A40,T_TTAFStock[WeekIndex],94)&gt;0)&gt;0,SUMIFS(T_SelfStock[Self_Qty],T_SelfStock[RM_Code],$A40,T_SelfStock[WeekIndex],94)+SUMIFS(T_TTAFStock[TTAF_Qty],T_TTAFStock[RM_Code],$A40,T_TTAFStock[WeekIndex],94),CP40+'Grid_Incoming'!CQ40-'Grid_Requirement'!CQ40))</f>
        <v/>
      </c>
      <c r="CR40">
        <f>IF(COUNTIFS(T_StockCount[RM_Code],$A40,T_StockCount[WeekIndex],95)&gt;0,SUMIFS(T_StockCount[CountedQty],T_StockCount[RM_Code],$A40,T_StockCount[WeekIndex],95),IF((COUNTIFS(T_SelfStock[RM_Code],$A40,T_SelfStock[WeekIndex],95)&gt;0)*(COUNTIFS(T_TTAFStock[RM_Code],$A40,T_TTAFStock[WeekIndex],95)&gt;0)&gt;0,SUMIFS(T_SelfStock[Self_Qty],T_SelfStock[RM_Code],$A40,T_SelfStock[WeekIndex],95)+SUMIFS(T_TTAFStock[TTAF_Qty],T_TTAFStock[RM_Code],$A40,T_TTAFStock[WeekIndex],95),CQ40+'Grid_Incoming'!CR40-'Grid_Requirement'!CR40))</f>
        <v/>
      </c>
      <c r="CS40">
        <f>IF(COUNTIFS(T_StockCount[RM_Code],$A40,T_StockCount[WeekIndex],96)&gt;0,SUMIFS(T_StockCount[CountedQty],T_StockCount[RM_Code],$A40,T_StockCount[WeekIndex],96),IF((COUNTIFS(T_SelfStock[RM_Code],$A40,T_SelfStock[WeekIndex],96)&gt;0)*(COUNTIFS(T_TTAFStock[RM_Code],$A40,T_TTAFStock[WeekIndex],96)&gt;0)&gt;0,SUMIFS(T_SelfStock[Self_Qty],T_SelfStock[RM_Code],$A40,T_SelfStock[WeekIndex],96)+SUMIFS(T_TTAFStock[TTAF_Qty],T_TTAFStock[RM_Code],$A40,T_TTAFStock[WeekIndex],96),CR40+'Grid_Incoming'!CS40-'Grid_Requirement'!CS40))</f>
        <v/>
      </c>
      <c r="CT40">
        <f>IF(COUNTIFS(T_StockCount[RM_Code],$A40,T_StockCount[WeekIndex],97)&gt;0,SUMIFS(T_StockCount[CountedQty],T_StockCount[RM_Code],$A40,T_StockCount[WeekIndex],97),IF((COUNTIFS(T_SelfStock[RM_Code],$A40,T_SelfStock[WeekIndex],97)&gt;0)*(COUNTIFS(T_TTAFStock[RM_Code],$A40,T_TTAFStock[WeekIndex],97)&gt;0)&gt;0,SUMIFS(T_SelfStock[Self_Qty],T_SelfStock[RM_Code],$A40,T_SelfStock[WeekIndex],97)+SUMIFS(T_TTAFStock[TTAF_Qty],T_TTAFStock[RM_Code],$A40,T_TTAFStock[WeekIndex],97),CS40+'Grid_Incoming'!CT40-'Grid_Requirement'!CT40))</f>
        <v/>
      </c>
      <c r="CU40">
        <f>IF(COUNTIFS(T_StockCount[RM_Code],$A40,T_StockCount[WeekIndex],98)&gt;0,SUMIFS(T_StockCount[CountedQty],T_StockCount[RM_Code],$A40,T_StockCount[WeekIndex],98),IF((COUNTIFS(T_SelfStock[RM_Code],$A40,T_SelfStock[WeekIndex],98)&gt;0)*(COUNTIFS(T_TTAFStock[RM_Code],$A40,T_TTAFStock[WeekIndex],98)&gt;0)&gt;0,SUMIFS(T_SelfStock[Self_Qty],T_SelfStock[RM_Code],$A40,T_SelfStock[WeekIndex],98)+SUMIFS(T_TTAFStock[TTAF_Qty],T_TTAFStock[RM_Code],$A40,T_TTAFStock[WeekIndex],98),CT40+'Grid_Incoming'!CU40-'Grid_Requirement'!CU40))</f>
        <v/>
      </c>
      <c r="CV40">
        <f>IF(COUNTIFS(T_StockCount[RM_Code],$A40,T_StockCount[WeekIndex],99)&gt;0,SUMIFS(T_StockCount[CountedQty],T_StockCount[RM_Code],$A40,T_StockCount[WeekIndex],99),IF((COUNTIFS(T_SelfStock[RM_Code],$A40,T_SelfStock[WeekIndex],99)&gt;0)*(COUNTIFS(T_TTAFStock[RM_Code],$A40,T_TTAFStock[WeekIndex],99)&gt;0)&gt;0,SUMIFS(T_SelfStock[Self_Qty],T_SelfStock[RM_Code],$A40,T_SelfStock[WeekIndex],99)+SUMIFS(T_TTAFStock[TTAF_Qty],T_TTAFStock[RM_Code],$A40,T_TTAFStock[WeekIndex],99),CU40+'Grid_Incoming'!CV40-'Grid_Requirement'!CV40))</f>
        <v/>
      </c>
      <c r="CW40">
        <f>IF(COUNTIFS(T_StockCount[RM_Code],$A40,T_StockCount[WeekIndex],100)&gt;0,SUMIFS(T_StockCount[CountedQty],T_StockCount[RM_Code],$A40,T_StockCount[WeekIndex],100),IF((COUNTIFS(T_SelfStock[RM_Code],$A40,T_SelfStock[WeekIndex],100)&gt;0)*(COUNTIFS(T_TTAFStock[RM_Code],$A40,T_TTAFStock[WeekIndex],100)&gt;0)&gt;0,SUMIFS(T_SelfStock[Self_Qty],T_SelfStock[RM_Code],$A40,T_SelfStock[WeekIndex],100)+SUMIFS(T_TTAFStock[TTAF_Qty],T_TTAFStock[RM_Code],$A40,T_TTAFStock[WeekIndex],100),CV40+'Grid_Incoming'!CW40-'Grid_Requirement'!CW40))</f>
        <v/>
      </c>
      <c r="CX40">
        <f>IF(COUNTIFS(T_StockCount[RM_Code],$A40,T_StockCount[WeekIndex],101)&gt;0,SUMIFS(T_StockCount[CountedQty],T_StockCount[RM_Code],$A40,T_StockCount[WeekIndex],101),IF((COUNTIFS(T_SelfStock[RM_Code],$A40,T_SelfStock[WeekIndex],101)&gt;0)*(COUNTIFS(T_TTAFStock[RM_Code],$A40,T_TTAFStock[WeekIndex],101)&gt;0)&gt;0,SUMIFS(T_SelfStock[Self_Qty],T_SelfStock[RM_Code],$A40,T_SelfStock[WeekIndex],101)+SUMIFS(T_TTAFStock[TTAF_Qty],T_TTAFStock[RM_Code],$A40,T_TTAFStock[WeekIndex],101),CW40+'Grid_Incoming'!CX40-'Grid_Requirement'!CX40))</f>
        <v/>
      </c>
      <c r="CY40">
        <f>IF(COUNTIFS(T_StockCount[RM_Code],$A40,T_StockCount[WeekIndex],102)&gt;0,SUMIFS(T_StockCount[CountedQty],T_StockCount[RM_Code],$A40,T_StockCount[WeekIndex],102),IF((COUNTIFS(T_SelfStock[RM_Code],$A40,T_SelfStock[WeekIndex],102)&gt;0)*(COUNTIFS(T_TTAFStock[RM_Code],$A40,T_TTAFStock[WeekIndex],102)&gt;0)&gt;0,SUMIFS(T_SelfStock[Self_Qty],T_SelfStock[RM_Code],$A40,T_SelfStock[WeekIndex],102)+SUMIFS(T_TTAFStock[TTAF_Qty],T_TTAFStock[RM_Code],$A40,T_TTAFStock[WeekIndex],102),CX40+'Grid_Incoming'!CY40-'Grid_Requirement'!CY40))</f>
        <v/>
      </c>
      <c r="CZ40">
        <f>IF(COUNTIFS(T_StockCount[RM_Code],$A40,T_StockCount[WeekIndex],103)&gt;0,SUMIFS(T_StockCount[CountedQty],T_StockCount[RM_Code],$A40,T_StockCount[WeekIndex],103),IF((COUNTIFS(T_SelfStock[RM_Code],$A40,T_SelfStock[WeekIndex],103)&gt;0)*(COUNTIFS(T_TTAFStock[RM_Code],$A40,T_TTAFStock[WeekIndex],103)&gt;0)&gt;0,SUMIFS(T_SelfStock[Self_Qty],T_SelfStock[RM_Code],$A40,T_SelfStock[WeekIndex],103)+SUMIFS(T_TTAFStock[TTAF_Qty],T_TTAFStock[RM_Code],$A40,T_TTAFStock[WeekIndex],103),CY40+'Grid_Incoming'!CZ40-'Grid_Requirement'!CZ40))</f>
        <v/>
      </c>
      <c r="DA40">
        <f>IF(COUNTIFS(T_StockCount[RM_Code],$A40,T_StockCount[WeekIndex],104)&gt;0,SUMIFS(T_StockCount[CountedQty],T_StockCount[RM_Code],$A40,T_StockCount[WeekIndex],104),IF((COUNTIFS(T_SelfStock[RM_Code],$A40,T_SelfStock[WeekIndex],104)&gt;0)*(COUNTIFS(T_TTAFStock[RM_Code],$A40,T_TTAFStock[WeekIndex],104)&gt;0)&gt;0,SUMIFS(T_SelfStock[Self_Qty],T_SelfStock[RM_Code],$A40,T_SelfStock[WeekIndex],104)+SUMIFS(T_TTAFStock[TTAF_Qty],T_TTAFStock[RM_Code],$A40,T_TTAFStock[WeekIndex],104),CZ40+'Grid_Incoming'!DA40-'Grid_Requirement'!DA40))</f>
        <v/>
      </c>
    </row>
    <row r="41">
      <c r="A41" t="inlineStr">
        <is>
          <t>TDJ</t>
        </is>
      </c>
      <c r="B41">
        <f>IF(COUNTIFS(T_StockCount[RM_Code],$A41,T_StockCount[WeekIndex],1)&gt;0,SUMIFS(T_StockCount[CountedQty],T_StockCount[RM_Code],$A41,T_StockCount[WeekIndex],1),IF((COUNTIFS(T_SelfStock[RM_Code],$A41,T_SelfStock[WeekIndex],1)&gt;0)*(COUNTIFS(T_TTAFStock[RM_Code],$A41,T_TTAFStock[WeekIndex],1)&gt;0)&gt;0,SUMIFS(T_SelfStock[Self_Qty],T_SelfStock[RM_Code],$A41,T_SelfStock[WeekIndex],1)+SUMIFS(T_TTAFStock[TTAF_Qty],T_TTAFStock[RM_Code],$A41,T_TTAFStock[WeekIndex],1),IFERROR(INDEX(T_OpeningStock[Opening_Qty],MATCH($A41,T_OpeningStock[RM_Code],0)),0)+'Grid_Incoming'!B41-'Grid_Requirement'!B41))</f>
        <v/>
      </c>
      <c r="C41">
        <f>IF(COUNTIFS(T_StockCount[RM_Code],$A41,T_StockCount[WeekIndex],2)&gt;0,SUMIFS(T_StockCount[CountedQty],T_StockCount[RM_Code],$A41,T_StockCount[WeekIndex],2),IF((COUNTIFS(T_SelfStock[RM_Code],$A41,T_SelfStock[WeekIndex],2)&gt;0)*(COUNTIFS(T_TTAFStock[RM_Code],$A41,T_TTAFStock[WeekIndex],2)&gt;0)&gt;0,SUMIFS(T_SelfStock[Self_Qty],T_SelfStock[RM_Code],$A41,T_SelfStock[WeekIndex],2)+SUMIFS(T_TTAFStock[TTAF_Qty],T_TTAFStock[RM_Code],$A41,T_TTAFStock[WeekIndex],2),B41+'Grid_Incoming'!C41-'Grid_Requirement'!C41))</f>
        <v/>
      </c>
      <c r="D41">
        <f>IF(COUNTIFS(T_StockCount[RM_Code],$A41,T_StockCount[WeekIndex],3)&gt;0,SUMIFS(T_StockCount[CountedQty],T_StockCount[RM_Code],$A41,T_StockCount[WeekIndex],3),IF((COUNTIFS(T_SelfStock[RM_Code],$A41,T_SelfStock[WeekIndex],3)&gt;0)*(COUNTIFS(T_TTAFStock[RM_Code],$A41,T_TTAFStock[WeekIndex],3)&gt;0)&gt;0,SUMIFS(T_SelfStock[Self_Qty],T_SelfStock[RM_Code],$A41,T_SelfStock[WeekIndex],3)+SUMIFS(T_TTAFStock[TTAF_Qty],T_TTAFStock[RM_Code],$A41,T_TTAFStock[WeekIndex],3),C41+'Grid_Incoming'!D41-'Grid_Requirement'!D41))</f>
        <v/>
      </c>
      <c r="E41">
        <f>IF(COUNTIFS(T_StockCount[RM_Code],$A41,T_StockCount[WeekIndex],4)&gt;0,SUMIFS(T_StockCount[CountedQty],T_StockCount[RM_Code],$A41,T_StockCount[WeekIndex],4),IF((COUNTIFS(T_SelfStock[RM_Code],$A41,T_SelfStock[WeekIndex],4)&gt;0)*(COUNTIFS(T_TTAFStock[RM_Code],$A41,T_TTAFStock[WeekIndex],4)&gt;0)&gt;0,SUMIFS(T_SelfStock[Self_Qty],T_SelfStock[RM_Code],$A41,T_SelfStock[WeekIndex],4)+SUMIFS(T_TTAFStock[TTAF_Qty],T_TTAFStock[RM_Code],$A41,T_TTAFStock[WeekIndex],4),D41+'Grid_Incoming'!E41-'Grid_Requirement'!E41))</f>
        <v/>
      </c>
      <c r="F41">
        <f>IF(COUNTIFS(T_StockCount[RM_Code],$A41,T_StockCount[WeekIndex],5)&gt;0,SUMIFS(T_StockCount[CountedQty],T_StockCount[RM_Code],$A41,T_StockCount[WeekIndex],5),IF((COUNTIFS(T_SelfStock[RM_Code],$A41,T_SelfStock[WeekIndex],5)&gt;0)*(COUNTIFS(T_TTAFStock[RM_Code],$A41,T_TTAFStock[WeekIndex],5)&gt;0)&gt;0,SUMIFS(T_SelfStock[Self_Qty],T_SelfStock[RM_Code],$A41,T_SelfStock[WeekIndex],5)+SUMIFS(T_TTAFStock[TTAF_Qty],T_TTAFStock[RM_Code],$A41,T_TTAFStock[WeekIndex],5),E41+'Grid_Incoming'!F41-'Grid_Requirement'!F41))</f>
        <v/>
      </c>
      <c r="G41">
        <f>IF(COUNTIFS(T_StockCount[RM_Code],$A41,T_StockCount[WeekIndex],6)&gt;0,SUMIFS(T_StockCount[CountedQty],T_StockCount[RM_Code],$A41,T_StockCount[WeekIndex],6),IF((COUNTIFS(T_SelfStock[RM_Code],$A41,T_SelfStock[WeekIndex],6)&gt;0)*(COUNTIFS(T_TTAFStock[RM_Code],$A41,T_TTAFStock[WeekIndex],6)&gt;0)&gt;0,SUMIFS(T_SelfStock[Self_Qty],T_SelfStock[RM_Code],$A41,T_SelfStock[WeekIndex],6)+SUMIFS(T_TTAFStock[TTAF_Qty],T_TTAFStock[RM_Code],$A41,T_TTAFStock[WeekIndex],6),F41+'Grid_Incoming'!G41-'Grid_Requirement'!G41))</f>
        <v/>
      </c>
      <c r="H41">
        <f>IF(COUNTIFS(T_StockCount[RM_Code],$A41,T_StockCount[WeekIndex],7)&gt;0,SUMIFS(T_StockCount[CountedQty],T_StockCount[RM_Code],$A41,T_StockCount[WeekIndex],7),IF((COUNTIFS(T_SelfStock[RM_Code],$A41,T_SelfStock[WeekIndex],7)&gt;0)*(COUNTIFS(T_TTAFStock[RM_Code],$A41,T_TTAFStock[WeekIndex],7)&gt;0)&gt;0,SUMIFS(T_SelfStock[Self_Qty],T_SelfStock[RM_Code],$A41,T_SelfStock[WeekIndex],7)+SUMIFS(T_TTAFStock[TTAF_Qty],T_TTAFStock[RM_Code],$A41,T_TTAFStock[WeekIndex],7),G41+'Grid_Incoming'!H41-'Grid_Requirement'!H41))</f>
        <v/>
      </c>
      <c r="I41">
        <f>IF(COUNTIFS(T_StockCount[RM_Code],$A41,T_StockCount[WeekIndex],8)&gt;0,SUMIFS(T_StockCount[CountedQty],T_StockCount[RM_Code],$A41,T_StockCount[WeekIndex],8),IF((COUNTIFS(T_SelfStock[RM_Code],$A41,T_SelfStock[WeekIndex],8)&gt;0)*(COUNTIFS(T_TTAFStock[RM_Code],$A41,T_TTAFStock[WeekIndex],8)&gt;0)&gt;0,SUMIFS(T_SelfStock[Self_Qty],T_SelfStock[RM_Code],$A41,T_SelfStock[WeekIndex],8)+SUMIFS(T_TTAFStock[TTAF_Qty],T_TTAFStock[RM_Code],$A41,T_TTAFStock[WeekIndex],8),H41+'Grid_Incoming'!I41-'Grid_Requirement'!I41))</f>
        <v/>
      </c>
      <c r="J41">
        <f>IF(COUNTIFS(T_StockCount[RM_Code],$A41,T_StockCount[WeekIndex],9)&gt;0,SUMIFS(T_StockCount[CountedQty],T_StockCount[RM_Code],$A41,T_StockCount[WeekIndex],9),IF((COUNTIFS(T_SelfStock[RM_Code],$A41,T_SelfStock[WeekIndex],9)&gt;0)*(COUNTIFS(T_TTAFStock[RM_Code],$A41,T_TTAFStock[WeekIndex],9)&gt;0)&gt;0,SUMIFS(T_SelfStock[Self_Qty],T_SelfStock[RM_Code],$A41,T_SelfStock[WeekIndex],9)+SUMIFS(T_TTAFStock[TTAF_Qty],T_TTAFStock[RM_Code],$A41,T_TTAFStock[WeekIndex],9),I41+'Grid_Incoming'!J41-'Grid_Requirement'!J41))</f>
        <v/>
      </c>
      <c r="K41">
        <f>IF(COUNTIFS(T_StockCount[RM_Code],$A41,T_StockCount[WeekIndex],10)&gt;0,SUMIFS(T_StockCount[CountedQty],T_StockCount[RM_Code],$A41,T_StockCount[WeekIndex],10),IF((COUNTIFS(T_SelfStock[RM_Code],$A41,T_SelfStock[WeekIndex],10)&gt;0)*(COUNTIFS(T_TTAFStock[RM_Code],$A41,T_TTAFStock[WeekIndex],10)&gt;0)&gt;0,SUMIFS(T_SelfStock[Self_Qty],T_SelfStock[RM_Code],$A41,T_SelfStock[WeekIndex],10)+SUMIFS(T_TTAFStock[TTAF_Qty],T_TTAFStock[RM_Code],$A41,T_TTAFStock[WeekIndex],10),J41+'Grid_Incoming'!K41-'Grid_Requirement'!K41))</f>
        <v/>
      </c>
      <c r="L41">
        <f>IF(COUNTIFS(T_StockCount[RM_Code],$A41,T_StockCount[WeekIndex],11)&gt;0,SUMIFS(T_StockCount[CountedQty],T_StockCount[RM_Code],$A41,T_StockCount[WeekIndex],11),IF((COUNTIFS(T_SelfStock[RM_Code],$A41,T_SelfStock[WeekIndex],11)&gt;0)*(COUNTIFS(T_TTAFStock[RM_Code],$A41,T_TTAFStock[WeekIndex],11)&gt;0)&gt;0,SUMIFS(T_SelfStock[Self_Qty],T_SelfStock[RM_Code],$A41,T_SelfStock[WeekIndex],11)+SUMIFS(T_TTAFStock[TTAF_Qty],T_TTAFStock[RM_Code],$A41,T_TTAFStock[WeekIndex],11),K41+'Grid_Incoming'!L41-'Grid_Requirement'!L41))</f>
        <v/>
      </c>
      <c r="M41">
        <f>IF(COUNTIFS(T_StockCount[RM_Code],$A41,T_StockCount[WeekIndex],12)&gt;0,SUMIFS(T_StockCount[CountedQty],T_StockCount[RM_Code],$A41,T_StockCount[WeekIndex],12),IF((COUNTIFS(T_SelfStock[RM_Code],$A41,T_SelfStock[WeekIndex],12)&gt;0)*(COUNTIFS(T_TTAFStock[RM_Code],$A41,T_TTAFStock[WeekIndex],12)&gt;0)&gt;0,SUMIFS(T_SelfStock[Self_Qty],T_SelfStock[RM_Code],$A41,T_SelfStock[WeekIndex],12)+SUMIFS(T_TTAFStock[TTAF_Qty],T_TTAFStock[RM_Code],$A41,T_TTAFStock[WeekIndex],12),L41+'Grid_Incoming'!M41-'Grid_Requirement'!M41))</f>
        <v/>
      </c>
      <c r="N41">
        <f>IF(COUNTIFS(T_StockCount[RM_Code],$A41,T_StockCount[WeekIndex],13)&gt;0,SUMIFS(T_StockCount[CountedQty],T_StockCount[RM_Code],$A41,T_StockCount[WeekIndex],13),IF((COUNTIFS(T_SelfStock[RM_Code],$A41,T_SelfStock[WeekIndex],13)&gt;0)*(COUNTIFS(T_TTAFStock[RM_Code],$A41,T_TTAFStock[WeekIndex],13)&gt;0)&gt;0,SUMIFS(T_SelfStock[Self_Qty],T_SelfStock[RM_Code],$A41,T_SelfStock[WeekIndex],13)+SUMIFS(T_TTAFStock[TTAF_Qty],T_TTAFStock[RM_Code],$A41,T_TTAFStock[WeekIndex],13),M41+'Grid_Incoming'!N41-'Grid_Requirement'!N41))</f>
        <v/>
      </c>
      <c r="O41">
        <f>IF(COUNTIFS(T_StockCount[RM_Code],$A41,T_StockCount[WeekIndex],14)&gt;0,SUMIFS(T_StockCount[CountedQty],T_StockCount[RM_Code],$A41,T_StockCount[WeekIndex],14),IF((COUNTIFS(T_SelfStock[RM_Code],$A41,T_SelfStock[WeekIndex],14)&gt;0)*(COUNTIFS(T_TTAFStock[RM_Code],$A41,T_TTAFStock[WeekIndex],14)&gt;0)&gt;0,SUMIFS(T_SelfStock[Self_Qty],T_SelfStock[RM_Code],$A41,T_SelfStock[WeekIndex],14)+SUMIFS(T_TTAFStock[TTAF_Qty],T_TTAFStock[RM_Code],$A41,T_TTAFStock[WeekIndex],14),N41+'Grid_Incoming'!O41-'Grid_Requirement'!O41))</f>
        <v/>
      </c>
      <c r="P41">
        <f>IF(COUNTIFS(T_StockCount[RM_Code],$A41,T_StockCount[WeekIndex],15)&gt;0,SUMIFS(T_StockCount[CountedQty],T_StockCount[RM_Code],$A41,T_StockCount[WeekIndex],15),IF((COUNTIFS(T_SelfStock[RM_Code],$A41,T_SelfStock[WeekIndex],15)&gt;0)*(COUNTIFS(T_TTAFStock[RM_Code],$A41,T_TTAFStock[WeekIndex],15)&gt;0)&gt;0,SUMIFS(T_SelfStock[Self_Qty],T_SelfStock[RM_Code],$A41,T_SelfStock[WeekIndex],15)+SUMIFS(T_TTAFStock[TTAF_Qty],T_TTAFStock[RM_Code],$A41,T_TTAFStock[WeekIndex],15),O41+'Grid_Incoming'!P41-'Grid_Requirement'!P41))</f>
        <v/>
      </c>
      <c r="Q41">
        <f>IF(COUNTIFS(T_StockCount[RM_Code],$A41,T_StockCount[WeekIndex],16)&gt;0,SUMIFS(T_StockCount[CountedQty],T_StockCount[RM_Code],$A41,T_StockCount[WeekIndex],16),IF((COUNTIFS(T_SelfStock[RM_Code],$A41,T_SelfStock[WeekIndex],16)&gt;0)*(COUNTIFS(T_TTAFStock[RM_Code],$A41,T_TTAFStock[WeekIndex],16)&gt;0)&gt;0,SUMIFS(T_SelfStock[Self_Qty],T_SelfStock[RM_Code],$A41,T_SelfStock[WeekIndex],16)+SUMIFS(T_TTAFStock[TTAF_Qty],T_TTAFStock[RM_Code],$A41,T_TTAFStock[WeekIndex],16),P41+'Grid_Incoming'!Q41-'Grid_Requirement'!Q41))</f>
        <v/>
      </c>
      <c r="R41">
        <f>IF(COUNTIFS(T_StockCount[RM_Code],$A41,T_StockCount[WeekIndex],17)&gt;0,SUMIFS(T_StockCount[CountedQty],T_StockCount[RM_Code],$A41,T_StockCount[WeekIndex],17),IF((COUNTIFS(T_SelfStock[RM_Code],$A41,T_SelfStock[WeekIndex],17)&gt;0)*(COUNTIFS(T_TTAFStock[RM_Code],$A41,T_TTAFStock[WeekIndex],17)&gt;0)&gt;0,SUMIFS(T_SelfStock[Self_Qty],T_SelfStock[RM_Code],$A41,T_SelfStock[WeekIndex],17)+SUMIFS(T_TTAFStock[TTAF_Qty],T_TTAFStock[RM_Code],$A41,T_TTAFStock[WeekIndex],17),Q41+'Grid_Incoming'!R41-'Grid_Requirement'!R41))</f>
        <v/>
      </c>
      <c r="S41">
        <f>IF(COUNTIFS(T_StockCount[RM_Code],$A41,T_StockCount[WeekIndex],18)&gt;0,SUMIFS(T_StockCount[CountedQty],T_StockCount[RM_Code],$A41,T_StockCount[WeekIndex],18),IF((COUNTIFS(T_SelfStock[RM_Code],$A41,T_SelfStock[WeekIndex],18)&gt;0)*(COUNTIFS(T_TTAFStock[RM_Code],$A41,T_TTAFStock[WeekIndex],18)&gt;0)&gt;0,SUMIFS(T_SelfStock[Self_Qty],T_SelfStock[RM_Code],$A41,T_SelfStock[WeekIndex],18)+SUMIFS(T_TTAFStock[TTAF_Qty],T_TTAFStock[RM_Code],$A41,T_TTAFStock[WeekIndex],18),R41+'Grid_Incoming'!S41-'Grid_Requirement'!S41))</f>
        <v/>
      </c>
      <c r="T41">
        <f>IF(COUNTIFS(T_StockCount[RM_Code],$A41,T_StockCount[WeekIndex],19)&gt;0,SUMIFS(T_StockCount[CountedQty],T_StockCount[RM_Code],$A41,T_StockCount[WeekIndex],19),IF((COUNTIFS(T_SelfStock[RM_Code],$A41,T_SelfStock[WeekIndex],19)&gt;0)*(COUNTIFS(T_TTAFStock[RM_Code],$A41,T_TTAFStock[WeekIndex],19)&gt;0)&gt;0,SUMIFS(T_SelfStock[Self_Qty],T_SelfStock[RM_Code],$A41,T_SelfStock[WeekIndex],19)+SUMIFS(T_TTAFStock[TTAF_Qty],T_TTAFStock[RM_Code],$A41,T_TTAFStock[WeekIndex],19),S41+'Grid_Incoming'!T41-'Grid_Requirement'!T41))</f>
        <v/>
      </c>
      <c r="U41">
        <f>IF(COUNTIFS(T_StockCount[RM_Code],$A41,T_StockCount[WeekIndex],20)&gt;0,SUMIFS(T_StockCount[CountedQty],T_StockCount[RM_Code],$A41,T_StockCount[WeekIndex],20),IF((COUNTIFS(T_SelfStock[RM_Code],$A41,T_SelfStock[WeekIndex],20)&gt;0)*(COUNTIFS(T_TTAFStock[RM_Code],$A41,T_TTAFStock[WeekIndex],20)&gt;0)&gt;0,SUMIFS(T_SelfStock[Self_Qty],T_SelfStock[RM_Code],$A41,T_SelfStock[WeekIndex],20)+SUMIFS(T_TTAFStock[TTAF_Qty],T_TTAFStock[RM_Code],$A41,T_TTAFStock[WeekIndex],20),T41+'Grid_Incoming'!U41-'Grid_Requirement'!U41))</f>
        <v/>
      </c>
      <c r="V41">
        <f>IF(COUNTIFS(T_StockCount[RM_Code],$A41,T_StockCount[WeekIndex],21)&gt;0,SUMIFS(T_StockCount[CountedQty],T_StockCount[RM_Code],$A41,T_StockCount[WeekIndex],21),IF((COUNTIFS(T_SelfStock[RM_Code],$A41,T_SelfStock[WeekIndex],21)&gt;0)*(COUNTIFS(T_TTAFStock[RM_Code],$A41,T_TTAFStock[WeekIndex],21)&gt;0)&gt;0,SUMIFS(T_SelfStock[Self_Qty],T_SelfStock[RM_Code],$A41,T_SelfStock[WeekIndex],21)+SUMIFS(T_TTAFStock[TTAF_Qty],T_TTAFStock[RM_Code],$A41,T_TTAFStock[WeekIndex],21),U41+'Grid_Incoming'!V41-'Grid_Requirement'!V41))</f>
        <v/>
      </c>
      <c r="W41">
        <f>IF(COUNTIFS(T_StockCount[RM_Code],$A41,T_StockCount[WeekIndex],22)&gt;0,SUMIFS(T_StockCount[CountedQty],T_StockCount[RM_Code],$A41,T_StockCount[WeekIndex],22),IF((COUNTIFS(T_SelfStock[RM_Code],$A41,T_SelfStock[WeekIndex],22)&gt;0)*(COUNTIFS(T_TTAFStock[RM_Code],$A41,T_TTAFStock[WeekIndex],22)&gt;0)&gt;0,SUMIFS(T_SelfStock[Self_Qty],T_SelfStock[RM_Code],$A41,T_SelfStock[WeekIndex],22)+SUMIFS(T_TTAFStock[TTAF_Qty],T_TTAFStock[RM_Code],$A41,T_TTAFStock[WeekIndex],22),V41+'Grid_Incoming'!W41-'Grid_Requirement'!W41))</f>
        <v/>
      </c>
      <c r="X41">
        <f>IF(COUNTIFS(T_StockCount[RM_Code],$A41,T_StockCount[WeekIndex],23)&gt;0,SUMIFS(T_StockCount[CountedQty],T_StockCount[RM_Code],$A41,T_StockCount[WeekIndex],23),IF((COUNTIFS(T_SelfStock[RM_Code],$A41,T_SelfStock[WeekIndex],23)&gt;0)*(COUNTIFS(T_TTAFStock[RM_Code],$A41,T_TTAFStock[WeekIndex],23)&gt;0)&gt;0,SUMIFS(T_SelfStock[Self_Qty],T_SelfStock[RM_Code],$A41,T_SelfStock[WeekIndex],23)+SUMIFS(T_TTAFStock[TTAF_Qty],T_TTAFStock[RM_Code],$A41,T_TTAFStock[WeekIndex],23),W41+'Grid_Incoming'!X41-'Grid_Requirement'!X41))</f>
        <v/>
      </c>
      <c r="Y41">
        <f>IF(COUNTIFS(T_StockCount[RM_Code],$A41,T_StockCount[WeekIndex],24)&gt;0,SUMIFS(T_StockCount[CountedQty],T_StockCount[RM_Code],$A41,T_StockCount[WeekIndex],24),IF((COUNTIFS(T_SelfStock[RM_Code],$A41,T_SelfStock[WeekIndex],24)&gt;0)*(COUNTIFS(T_TTAFStock[RM_Code],$A41,T_TTAFStock[WeekIndex],24)&gt;0)&gt;0,SUMIFS(T_SelfStock[Self_Qty],T_SelfStock[RM_Code],$A41,T_SelfStock[WeekIndex],24)+SUMIFS(T_TTAFStock[TTAF_Qty],T_TTAFStock[RM_Code],$A41,T_TTAFStock[WeekIndex],24),X41+'Grid_Incoming'!Y41-'Grid_Requirement'!Y41))</f>
        <v/>
      </c>
      <c r="Z41">
        <f>IF(COUNTIFS(T_StockCount[RM_Code],$A41,T_StockCount[WeekIndex],25)&gt;0,SUMIFS(T_StockCount[CountedQty],T_StockCount[RM_Code],$A41,T_StockCount[WeekIndex],25),IF((COUNTIFS(T_SelfStock[RM_Code],$A41,T_SelfStock[WeekIndex],25)&gt;0)*(COUNTIFS(T_TTAFStock[RM_Code],$A41,T_TTAFStock[WeekIndex],25)&gt;0)&gt;0,SUMIFS(T_SelfStock[Self_Qty],T_SelfStock[RM_Code],$A41,T_SelfStock[WeekIndex],25)+SUMIFS(T_TTAFStock[TTAF_Qty],T_TTAFStock[RM_Code],$A41,T_TTAFStock[WeekIndex],25),Y41+'Grid_Incoming'!Z41-'Grid_Requirement'!Z41))</f>
        <v/>
      </c>
      <c r="AA41">
        <f>IF(COUNTIFS(T_StockCount[RM_Code],$A41,T_StockCount[WeekIndex],26)&gt;0,SUMIFS(T_StockCount[CountedQty],T_StockCount[RM_Code],$A41,T_StockCount[WeekIndex],26),IF((COUNTIFS(T_SelfStock[RM_Code],$A41,T_SelfStock[WeekIndex],26)&gt;0)*(COUNTIFS(T_TTAFStock[RM_Code],$A41,T_TTAFStock[WeekIndex],26)&gt;0)&gt;0,SUMIFS(T_SelfStock[Self_Qty],T_SelfStock[RM_Code],$A41,T_SelfStock[WeekIndex],26)+SUMIFS(T_TTAFStock[TTAF_Qty],T_TTAFStock[RM_Code],$A41,T_TTAFStock[WeekIndex],26),Z41+'Grid_Incoming'!AA41-'Grid_Requirement'!AA41))</f>
        <v/>
      </c>
      <c r="AB41">
        <f>IF(COUNTIFS(T_StockCount[RM_Code],$A41,T_StockCount[WeekIndex],27)&gt;0,SUMIFS(T_StockCount[CountedQty],T_StockCount[RM_Code],$A41,T_StockCount[WeekIndex],27),IF((COUNTIFS(T_SelfStock[RM_Code],$A41,T_SelfStock[WeekIndex],27)&gt;0)*(COUNTIFS(T_TTAFStock[RM_Code],$A41,T_TTAFStock[WeekIndex],27)&gt;0)&gt;0,SUMIFS(T_SelfStock[Self_Qty],T_SelfStock[RM_Code],$A41,T_SelfStock[WeekIndex],27)+SUMIFS(T_TTAFStock[TTAF_Qty],T_TTAFStock[RM_Code],$A41,T_TTAFStock[WeekIndex],27),AA41+'Grid_Incoming'!AB41-'Grid_Requirement'!AB41))</f>
        <v/>
      </c>
      <c r="AC41">
        <f>IF(COUNTIFS(T_StockCount[RM_Code],$A41,T_StockCount[WeekIndex],28)&gt;0,SUMIFS(T_StockCount[CountedQty],T_StockCount[RM_Code],$A41,T_StockCount[WeekIndex],28),IF((COUNTIFS(T_SelfStock[RM_Code],$A41,T_SelfStock[WeekIndex],28)&gt;0)*(COUNTIFS(T_TTAFStock[RM_Code],$A41,T_TTAFStock[WeekIndex],28)&gt;0)&gt;0,SUMIFS(T_SelfStock[Self_Qty],T_SelfStock[RM_Code],$A41,T_SelfStock[WeekIndex],28)+SUMIFS(T_TTAFStock[TTAF_Qty],T_TTAFStock[RM_Code],$A41,T_TTAFStock[WeekIndex],28),AB41+'Grid_Incoming'!AC41-'Grid_Requirement'!AC41))</f>
        <v/>
      </c>
      <c r="AD41">
        <f>IF(COUNTIFS(T_StockCount[RM_Code],$A41,T_StockCount[WeekIndex],29)&gt;0,SUMIFS(T_StockCount[CountedQty],T_StockCount[RM_Code],$A41,T_StockCount[WeekIndex],29),IF((COUNTIFS(T_SelfStock[RM_Code],$A41,T_SelfStock[WeekIndex],29)&gt;0)*(COUNTIFS(T_TTAFStock[RM_Code],$A41,T_TTAFStock[WeekIndex],29)&gt;0)&gt;0,SUMIFS(T_SelfStock[Self_Qty],T_SelfStock[RM_Code],$A41,T_SelfStock[WeekIndex],29)+SUMIFS(T_TTAFStock[TTAF_Qty],T_TTAFStock[RM_Code],$A41,T_TTAFStock[WeekIndex],29),AC41+'Grid_Incoming'!AD41-'Grid_Requirement'!AD41))</f>
        <v/>
      </c>
      <c r="AE41">
        <f>IF(COUNTIFS(T_StockCount[RM_Code],$A41,T_StockCount[WeekIndex],30)&gt;0,SUMIFS(T_StockCount[CountedQty],T_StockCount[RM_Code],$A41,T_StockCount[WeekIndex],30),IF((COUNTIFS(T_SelfStock[RM_Code],$A41,T_SelfStock[WeekIndex],30)&gt;0)*(COUNTIFS(T_TTAFStock[RM_Code],$A41,T_TTAFStock[WeekIndex],30)&gt;0)&gt;0,SUMIFS(T_SelfStock[Self_Qty],T_SelfStock[RM_Code],$A41,T_SelfStock[WeekIndex],30)+SUMIFS(T_TTAFStock[TTAF_Qty],T_TTAFStock[RM_Code],$A41,T_TTAFStock[WeekIndex],30),AD41+'Grid_Incoming'!AE41-'Grid_Requirement'!AE41))</f>
        <v/>
      </c>
      <c r="AF41">
        <f>IF(COUNTIFS(T_StockCount[RM_Code],$A41,T_StockCount[WeekIndex],31)&gt;0,SUMIFS(T_StockCount[CountedQty],T_StockCount[RM_Code],$A41,T_StockCount[WeekIndex],31),IF((COUNTIFS(T_SelfStock[RM_Code],$A41,T_SelfStock[WeekIndex],31)&gt;0)*(COUNTIFS(T_TTAFStock[RM_Code],$A41,T_TTAFStock[WeekIndex],31)&gt;0)&gt;0,SUMIFS(T_SelfStock[Self_Qty],T_SelfStock[RM_Code],$A41,T_SelfStock[WeekIndex],31)+SUMIFS(T_TTAFStock[TTAF_Qty],T_TTAFStock[RM_Code],$A41,T_TTAFStock[WeekIndex],31),AE41+'Grid_Incoming'!AF41-'Grid_Requirement'!AF41))</f>
        <v/>
      </c>
      <c r="AG41">
        <f>IF(COUNTIFS(T_StockCount[RM_Code],$A41,T_StockCount[WeekIndex],32)&gt;0,SUMIFS(T_StockCount[CountedQty],T_StockCount[RM_Code],$A41,T_StockCount[WeekIndex],32),IF((COUNTIFS(T_SelfStock[RM_Code],$A41,T_SelfStock[WeekIndex],32)&gt;0)*(COUNTIFS(T_TTAFStock[RM_Code],$A41,T_TTAFStock[WeekIndex],32)&gt;0)&gt;0,SUMIFS(T_SelfStock[Self_Qty],T_SelfStock[RM_Code],$A41,T_SelfStock[WeekIndex],32)+SUMIFS(T_TTAFStock[TTAF_Qty],T_TTAFStock[RM_Code],$A41,T_TTAFStock[WeekIndex],32),AF41+'Grid_Incoming'!AG41-'Grid_Requirement'!AG41))</f>
        <v/>
      </c>
      <c r="AH41">
        <f>IF(COUNTIFS(T_StockCount[RM_Code],$A41,T_StockCount[WeekIndex],33)&gt;0,SUMIFS(T_StockCount[CountedQty],T_StockCount[RM_Code],$A41,T_StockCount[WeekIndex],33),IF((COUNTIFS(T_SelfStock[RM_Code],$A41,T_SelfStock[WeekIndex],33)&gt;0)*(COUNTIFS(T_TTAFStock[RM_Code],$A41,T_TTAFStock[WeekIndex],33)&gt;0)&gt;0,SUMIFS(T_SelfStock[Self_Qty],T_SelfStock[RM_Code],$A41,T_SelfStock[WeekIndex],33)+SUMIFS(T_TTAFStock[TTAF_Qty],T_TTAFStock[RM_Code],$A41,T_TTAFStock[WeekIndex],33),AG41+'Grid_Incoming'!AH41-'Grid_Requirement'!AH41))</f>
        <v/>
      </c>
      <c r="AI41">
        <f>IF(COUNTIFS(T_StockCount[RM_Code],$A41,T_StockCount[WeekIndex],34)&gt;0,SUMIFS(T_StockCount[CountedQty],T_StockCount[RM_Code],$A41,T_StockCount[WeekIndex],34),IF((COUNTIFS(T_SelfStock[RM_Code],$A41,T_SelfStock[WeekIndex],34)&gt;0)*(COUNTIFS(T_TTAFStock[RM_Code],$A41,T_TTAFStock[WeekIndex],34)&gt;0)&gt;0,SUMIFS(T_SelfStock[Self_Qty],T_SelfStock[RM_Code],$A41,T_SelfStock[WeekIndex],34)+SUMIFS(T_TTAFStock[TTAF_Qty],T_TTAFStock[RM_Code],$A41,T_TTAFStock[WeekIndex],34),AH41+'Grid_Incoming'!AI41-'Grid_Requirement'!AI41))</f>
        <v/>
      </c>
      <c r="AJ41">
        <f>IF(COUNTIFS(T_StockCount[RM_Code],$A41,T_StockCount[WeekIndex],35)&gt;0,SUMIFS(T_StockCount[CountedQty],T_StockCount[RM_Code],$A41,T_StockCount[WeekIndex],35),IF((COUNTIFS(T_SelfStock[RM_Code],$A41,T_SelfStock[WeekIndex],35)&gt;0)*(COUNTIFS(T_TTAFStock[RM_Code],$A41,T_TTAFStock[WeekIndex],35)&gt;0)&gt;0,SUMIFS(T_SelfStock[Self_Qty],T_SelfStock[RM_Code],$A41,T_SelfStock[WeekIndex],35)+SUMIFS(T_TTAFStock[TTAF_Qty],T_TTAFStock[RM_Code],$A41,T_TTAFStock[WeekIndex],35),AI41+'Grid_Incoming'!AJ41-'Grid_Requirement'!AJ41))</f>
        <v/>
      </c>
      <c r="AK41">
        <f>IF(COUNTIFS(T_StockCount[RM_Code],$A41,T_StockCount[WeekIndex],36)&gt;0,SUMIFS(T_StockCount[CountedQty],T_StockCount[RM_Code],$A41,T_StockCount[WeekIndex],36),IF((COUNTIFS(T_SelfStock[RM_Code],$A41,T_SelfStock[WeekIndex],36)&gt;0)*(COUNTIFS(T_TTAFStock[RM_Code],$A41,T_TTAFStock[WeekIndex],36)&gt;0)&gt;0,SUMIFS(T_SelfStock[Self_Qty],T_SelfStock[RM_Code],$A41,T_SelfStock[WeekIndex],36)+SUMIFS(T_TTAFStock[TTAF_Qty],T_TTAFStock[RM_Code],$A41,T_TTAFStock[WeekIndex],36),AJ41+'Grid_Incoming'!AK41-'Grid_Requirement'!AK41))</f>
        <v/>
      </c>
      <c r="AL41">
        <f>IF(COUNTIFS(T_StockCount[RM_Code],$A41,T_StockCount[WeekIndex],37)&gt;0,SUMIFS(T_StockCount[CountedQty],T_StockCount[RM_Code],$A41,T_StockCount[WeekIndex],37),IF((COUNTIFS(T_SelfStock[RM_Code],$A41,T_SelfStock[WeekIndex],37)&gt;0)*(COUNTIFS(T_TTAFStock[RM_Code],$A41,T_TTAFStock[WeekIndex],37)&gt;0)&gt;0,SUMIFS(T_SelfStock[Self_Qty],T_SelfStock[RM_Code],$A41,T_SelfStock[WeekIndex],37)+SUMIFS(T_TTAFStock[TTAF_Qty],T_TTAFStock[RM_Code],$A41,T_TTAFStock[WeekIndex],37),AK41+'Grid_Incoming'!AL41-'Grid_Requirement'!AL41))</f>
        <v/>
      </c>
      <c r="AM41">
        <f>IF(COUNTIFS(T_StockCount[RM_Code],$A41,T_StockCount[WeekIndex],38)&gt;0,SUMIFS(T_StockCount[CountedQty],T_StockCount[RM_Code],$A41,T_StockCount[WeekIndex],38),IF((COUNTIFS(T_SelfStock[RM_Code],$A41,T_SelfStock[WeekIndex],38)&gt;0)*(COUNTIFS(T_TTAFStock[RM_Code],$A41,T_TTAFStock[WeekIndex],38)&gt;0)&gt;0,SUMIFS(T_SelfStock[Self_Qty],T_SelfStock[RM_Code],$A41,T_SelfStock[WeekIndex],38)+SUMIFS(T_TTAFStock[TTAF_Qty],T_TTAFStock[RM_Code],$A41,T_TTAFStock[WeekIndex],38),AL41+'Grid_Incoming'!AM41-'Grid_Requirement'!AM41))</f>
        <v/>
      </c>
      <c r="AN41">
        <f>IF(COUNTIFS(T_StockCount[RM_Code],$A41,T_StockCount[WeekIndex],39)&gt;0,SUMIFS(T_StockCount[CountedQty],T_StockCount[RM_Code],$A41,T_StockCount[WeekIndex],39),IF((COUNTIFS(T_SelfStock[RM_Code],$A41,T_SelfStock[WeekIndex],39)&gt;0)*(COUNTIFS(T_TTAFStock[RM_Code],$A41,T_TTAFStock[WeekIndex],39)&gt;0)&gt;0,SUMIFS(T_SelfStock[Self_Qty],T_SelfStock[RM_Code],$A41,T_SelfStock[WeekIndex],39)+SUMIFS(T_TTAFStock[TTAF_Qty],T_TTAFStock[RM_Code],$A41,T_TTAFStock[WeekIndex],39),AM41+'Grid_Incoming'!AN41-'Grid_Requirement'!AN41))</f>
        <v/>
      </c>
      <c r="AO41">
        <f>IF(COUNTIFS(T_StockCount[RM_Code],$A41,T_StockCount[WeekIndex],40)&gt;0,SUMIFS(T_StockCount[CountedQty],T_StockCount[RM_Code],$A41,T_StockCount[WeekIndex],40),IF((COUNTIFS(T_SelfStock[RM_Code],$A41,T_SelfStock[WeekIndex],40)&gt;0)*(COUNTIFS(T_TTAFStock[RM_Code],$A41,T_TTAFStock[WeekIndex],40)&gt;0)&gt;0,SUMIFS(T_SelfStock[Self_Qty],T_SelfStock[RM_Code],$A41,T_SelfStock[WeekIndex],40)+SUMIFS(T_TTAFStock[TTAF_Qty],T_TTAFStock[RM_Code],$A41,T_TTAFStock[WeekIndex],40),AN41+'Grid_Incoming'!AO41-'Grid_Requirement'!AO41))</f>
        <v/>
      </c>
      <c r="AP41">
        <f>IF(COUNTIFS(T_StockCount[RM_Code],$A41,T_StockCount[WeekIndex],41)&gt;0,SUMIFS(T_StockCount[CountedQty],T_StockCount[RM_Code],$A41,T_StockCount[WeekIndex],41),IF((COUNTIFS(T_SelfStock[RM_Code],$A41,T_SelfStock[WeekIndex],41)&gt;0)*(COUNTIFS(T_TTAFStock[RM_Code],$A41,T_TTAFStock[WeekIndex],41)&gt;0)&gt;0,SUMIFS(T_SelfStock[Self_Qty],T_SelfStock[RM_Code],$A41,T_SelfStock[WeekIndex],41)+SUMIFS(T_TTAFStock[TTAF_Qty],T_TTAFStock[RM_Code],$A41,T_TTAFStock[WeekIndex],41),AO41+'Grid_Incoming'!AP41-'Grid_Requirement'!AP41))</f>
        <v/>
      </c>
      <c r="AQ41">
        <f>IF(COUNTIFS(T_StockCount[RM_Code],$A41,T_StockCount[WeekIndex],42)&gt;0,SUMIFS(T_StockCount[CountedQty],T_StockCount[RM_Code],$A41,T_StockCount[WeekIndex],42),IF((COUNTIFS(T_SelfStock[RM_Code],$A41,T_SelfStock[WeekIndex],42)&gt;0)*(COUNTIFS(T_TTAFStock[RM_Code],$A41,T_TTAFStock[WeekIndex],42)&gt;0)&gt;0,SUMIFS(T_SelfStock[Self_Qty],T_SelfStock[RM_Code],$A41,T_SelfStock[WeekIndex],42)+SUMIFS(T_TTAFStock[TTAF_Qty],T_TTAFStock[RM_Code],$A41,T_TTAFStock[WeekIndex],42),AP41+'Grid_Incoming'!AQ41-'Grid_Requirement'!AQ41))</f>
        <v/>
      </c>
      <c r="AR41">
        <f>IF(COUNTIFS(T_StockCount[RM_Code],$A41,T_StockCount[WeekIndex],43)&gt;0,SUMIFS(T_StockCount[CountedQty],T_StockCount[RM_Code],$A41,T_StockCount[WeekIndex],43),IF((COUNTIFS(T_SelfStock[RM_Code],$A41,T_SelfStock[WeekIndex],43)&gt;0)*(COUNTIFS(T_TTAFStock[RM_Code],$A41,T_TTAFStock[WeekIndex],43)&gt;0)&gt;0,SUMIFS(T_SelfStock[Self_Qty],T_SelfStock[RM_Code],$A41,T_SelfStock[WeekIndex],43)+SUMIFS(T_TTAFStock[TTAF_Qty],T_TTAFStock[RM_Code],$A41,T_TTAFStock[WeekIndex],43),AQ41+'Grid_Incoming'!AR41-'Grid_Requirement'!AR41))</f>
        <v/>
      </c>
      <c r="AS41">
        <f>IF(COUNTIFS(T_StockCount[RM_Code],$A41,T_StockCount[WeekIndex],44)&gt;0,SUMIFS(T_StockCount[CountedQty],T_StockCount[RM_Code],$A41,T_StockCount[WeekIndex],44),IF((COUNTIFS(T_SelfStock[RM_Code],$A41,T_SelfStock[WeekIndex],44)&gt;0)*(COUNTIFS(T_TTAFStock[RM_Code],$A41,T_TTAFStock[WeekIndex],44)&gt;0)&gt;0,SUMIFS(T_SelfStock[Self_Qty],T_SelfStock[RM_Code],$A41,T_SelfStock[WeekIndex],44)+SUMIFS(T_TTAFStock[TTAF_Qty],T_TTAFStock[RM_Code],$A41,T_TTAFStock[WeekIndex],44),AR41+'Grid_Incoming'!AS41-'Grid_Requirement'!AS41))</f>
        <v/>
      </c>
      <c r="AT41">
        <f>IF(COUNTIFS(T_StockCount[RM_Code],$A41,T_StockCount[WeekIndex],45)&gt;0,SUMIFS(T_StockCount[CountedQty],T_StockCount[RM_Code],$A41,T_StockCount[WeekIndex],45),IF((COUNTIFS(T_SelfStock[RM_Code],$A41,T_SelfStock[WeekIndex],45)&gt;0)*(COUNTIFS(T_TTAFStock[RM_Code],$A41,T_TTAFStock[WeekIndex],45)&gt;0)&gt;0,SUMIFS(T_SelfStock[Self_Qty],T_SelfStock[RM_Code],$A41,T_SelfStock[WeekIndex],45)+SUMIFS(T_TTAFStock[TTAF_Qty],T_TTAFStock[RM_Code],$A41,T_TTAFStock[WeekIndex],45),AS41+'Grid_Incoming'!AT41-'Grid_Requirement'!AT41))</f>
        <v/>
      </c>
      <c r="AU41">
        <f>IF(COUNTIFS(T_StockCount[RM_Code],$A41,T_StockCount[WeekIndex],46)&gt;0,SUMIFS(T_StockCount[CountedQty],T_StockCount[RM_Code],$A41,T_StockCount[WeekIndex],46),IF((COUNTIFS(T_SelfStock[RM_Code],$A41,T_SelfStock[WeekIndex],46)&gt;0)*(COUNTIFS(T_TTAFStock[RM_Code],$A41,T_TTAFStock[WeekIndex],46)&gt;0)&gt;0,SUMIFS(T_SelfStock[Self_Qty],T_SelfStock[RM_Code],$A41,T_SelfStock[WeekIndex],46)+SUMIFS(T_TTAFStock[TTAF_Qty],T_TTAFStock[RM_Code],$A41,T_TTAFStock[WeekIndex],46),AT41+'Grid_Incoming'!AU41-'Grid_Requirement'!AU41))</f>
        <v/>
      </c>
      <c r="AV41">
        <f>IF(COUNTIFS(T_StockCount[RM_Code],$A41,T_StockCount[WeekIndex],47)&gt;0,SUMIFS(T_StockCount[CountedQty],T_StockCount[RM_Code],$A41,T_StockCount[WeekIndex],47),IF((COUNTIFS(T_SelfStock[RM_Code],$A41,T_SelfStock[WeekIndex],47)&gt;0)*(COUNTIFS(T_TTAFStock[RM_Code],$A41,T_TTAFStock[WeekIndex],47)&gt;0)&gt;0,SUMIFS(T_SelfStock[Self_Qty],T_SelfStock[RM_Code],$A41,T_SelfStock[WeekIndex],47)+SUMIFS(T_TTAFStock[TTAF_Qty],T_TTAFStock[RM_Code],$A41,T_TTAFStock[WeekIndex],47),AU41+'Grid_Incoming'!AV41-'Grid_Requirement'!AV41))</f>
        <v/>
      </c>
      <c r="AW41">
        <f>IF(COUNTIFS(T_StockCount[RM_Code],$A41,T_StockCount[WeekIndex],48)&gt;0,SUMIFS(T_StockCount[CountedQty],T_StockCount[RM_Code],$A41,T_StockCount[WeekIndex],48),IF((COUNTIFS(T_SelfStock[RM_Code],$A41,T_SelfStock[WeekIndex],48)&gt;0)*(COUNTIFS(T_TTAFStock[RM_Code],$A41,T_TTAFStock[WeekIndex],48)&gt;0)&gt;0,SUMIFS(T_SelfStock[Self_Qty],T_SelfStock[RM_Code],$A41,T_SelfStock[WeekIndex],48)+SUMIFS(T_TTAFStock[TTAF_Qty],T_TTAFStock[RM_Code],$A41,T_TTAFStock[WeekIndex],48),AV41+'Grid_Incoming'!AW41-'Grid_Requirement'!AW41))</f>
        <v/>
      </c>
      <c r="AX41">
        <f>IF(COUNTIFS(T_StockCount[RM_Code],$A41,T_StockCount[WeekIndex],49)&gt;0,SUMIFS(T_StockCount[CountedQty],T_StockCount[RM_Code],$A41,T_StockCount[WeekIndex],49),IF((COUNTIFS(T_SelfStock[RM_Code],$A41,T_SelfStock[WeekIndex],49)&gt;0)*(COUNTIFS(T_TTAFStock[RM_Code],$A41,T_TTAFStock[WeekIndex],49)&gt;0)&gt;0,SUMIFS(T_SelfStock[Self_Qty],T_SelfStock[RM_Code],$A41,T_SelfStock[WeekIndex],49)+SUMIFS(T_TTAFStock[TTAF_Qty],T_TTAFStock[RM_Code],$A41,T_TTAFStock[WeekIndex],49),AW41+'Grid_Incoming'!AX41-'Grid_Requirement'!AX41))</f>
        <v/>
      </c>
      <c r="AY41">
        <f>IF(COUNTIFS(T_StockCount[RM_Code],$A41,T_StockCount[WeekIndex],50)&gt;0,SUMIFS(T_StockCount[CountedQty],T_StockCount[RM_Code],$A41,T_StockCount[WeekIndex],50),IF((COUNTIFS(T_SelfStock[RM_Code],$A41,T_SelfStock[WeekIndex],50)&gt;0)*(COUNTIFS(T_TTAFStock[RM_Code],$A41,T_TTAFStock[WeekIndex],50)&gt;0)&gt;0,SUMIFS(T_SelfStock[Self_Qty],T_SelfStock[RM_Code],$A41,T_SelfStock[WeekIndex],50)+SUMIFS(T_TTAFStock[TTAF_Qty],T_TTAFStock[RM_Code],$A41,T_TTAFStock[WeekIndex],50),AX41+'Grid_Incoming'!AY41-'Grid_Requirement'!AY41))</f>
        <v/>
      </c>
      <c r="AZ41">
        <f>IF(COUNTIFS(T_StockCount[RM_Code],$A41,T_StockCount[WeekIndex],51)&gt;0,SUMIFS(T_StockCount[CountedQty],T_StockCount[RM_Code],$A41,T_StockCount[WeekIndex],51),IF((COUNTIFS(T_SelfStock[RM_Code],$A41,T_SelfStock[WeekIndex],51)&gt;0)*(COUNTIFS(T_TTAFStock[RM_Code],$A41,T_TTAFStock[WeekIndex],51)&gt;0)&gt;0,SUMIFS(T_SelfStock[Self_Qty],T_SelfStock[RM_Code],$A41,T_SelfStock[WeekIndex],51)+SUMIFS(T_TTAFStock[TTAF_Qty],T_TTAFStock[RM_Code],$A41,T_TTAFStock[WeekIndex],51),AY41+'Grid_Incoming'!AZ41-'Grid_Requirement'!AZ41))</f>
        <v/>
      </c>
      <c r="BA41">
        <f>IF(COUNTIFS(T_StockCount[RM_Code],$A41,T_StockCount[WeekIndex],52)&gt;0,SUMIFS(T_StockCount[CountedQty],T_StockCount[RM_Code],$A41,T_StockCount[WeekIndex],52),IF((COUNTIFS(T_SelfStock[RM_Code],$A41,T_SelfStock[WeekIndex],52)&gt;0)*(COUNTIFS(T_TTAFStock[RM_Code],$A41,T_TTAFStock[WeekIndex],52)&gt;0)&gt;0,SUMIFS(T_SelfStock[Self_Qty],T_SelfStock[RM_Code],$A41,T_SelfStock[WeekIndex],52)+SUMIFS(T_TTAFStock[TTAF_Qty],T_TTAFStock[RM_Code],$A41,T_TTAFStock[WeekIndex],52),AZ41+'Grid_Incoming'!BA41-'Grid_Requirement'!BA41))</f>
        <v/>
      </c>
      <c r="BB41">
        <f>IF(COUNTIFS(T_StockCount[RM_Code],$A41,T_StockCount[WeekIndex],53)&gt;0,SUMIFS(T_StockCount[CountedQty],T_StockCount[RM_Code],$A41,T_StockCount[WeekIndex],53),IF((COUNTIFS(T_SelfStock[RM_Code],$A41,T_SelfStock[WeekIndex],53)&gt;0)*(COUNTIFS(T_TTAFStock[RM_Code],$A41,T_TTAFStock[WeekIndex],53)&gt;0)&gt;0,SUMIFS(T_SelfStock[Self_Qty],T_SelfStock[RM_Code],$A41,T_SelfStock[WeekIndex],53)+SUMIFS(T_TTAFStock[TTAF_Qty],T_TTAFStock[RM_Code],$A41,T_TTAFStock[WeekIndex],53),BA41+'Grid_Incoming'!BB41-'Grid_Requirement'!BB41))</f>
        <v/>
      </c>
      <c r="BC41">
        <f>IF(COUNTIFS(T_StockCount[RM_Code],$A41,T_StockCount[WeekIndex],54)&gt;0,SUMIFS(T_StockCount[CountedQty],T_StockCount[RM_Code],$A41,T_StockCount[WeekIndex],54),IF((COUNTIFS(T_SelfStock[RM_Code],$A41,T_SelfStock[WeekIndex],54)&gt;0)*(COUNTIFS(T_TTAFStock[RM_Code],$A41,T_TTAFStock[WeekIndex],54)&gt;0)&gt;0,SUMIFS(T_SelfStock[Self_Qty],T_SelfStock[RM_Code],$A41,T_SelfStock[WeekIndex],54)+SUMIFS(T_TTAFStock[TTAF_Qty],T_TTAFStock[RM_Code],$A41,T_TTAFStock[WeekIndex],54),BB41+'Grid_Incoming'!BC41-'Grid_Requirement'!BC41))</f>
        <v/>
      </c>
      <c r="BD41">
        <f>IF(COUNTIFS(T_StockCount[RM_Code],$A41,T_StockCount[WeekIndex],55)&gt;0,SUMIFS(T_StockCount[CountedQty],T_StockCount[RM_Code],$A41,T_StockCount[WeekIndex],55),IF((COUNTIFS(T_SelfStock[RM_Code],$A41,T_SelfStock[WeekIndex],55)&gt;0)*(COUNTIFS(T_TTAFStock[RM_Code],$A41,T_TTAFStock[WeekIndex],55)&gt;0)&gt;0,SUMIFS(T_SelfStock[Self_Qty],T_SelfStock[RM_Code],$A41,T_SelfStock[WeekIndex],55)+SUMIFS(T_TTAFStock[TTAF_Qty],T_TTAFStock[RM_Code],$A41,T_TTAFStock[WeekIndex],55),BC41+'Grid_Incoming'!BD41-'Grid_Requirement'!BD41))</f>
        <v/>
      </c>
      <c r="BE41">
        <f>IF(COUNTIFS(T_StockCount[RM_Code],$A41,T_StockCount[WeekIndex],56)&gt;0,SUMIFS(T_StockCount[CountedQty],T_StockCount[RM_Code],$A41,T_StockCount[WeekIndex],56),IF((COUNTIFS(T_SelfStock[RM_Code],$A41,T_SelfStock[WeekIndex],56)&gt;0)*(COUNTIFS(T_TTAFStock[RM_Code],$A41,T_TTAFStock[WeekIndex],56)&gt;0)&gt;0,SUMIFS(T_SelfStock[Self_Qty],T_SelfStock[RM_Code],$A41,T_SelfStock[WeekIndex],56)+SUMIFS(T_TTAFStock[TTAF_Qty],T_TTAFStock[RM_Code],$A41,T_TTAFStock[WeekIndex],56),BD41+'Grid_Incoming'!BE41-'Grid_Requirement'!BE41))</f>
        <v/>
      </c>
      <c r="BF41">
        <f>IF(COUNTIFS(T_StockCount[RM_Code],$A41,T_StockCount[WeekIndex],57)&gt;0,SUMIFS(T_StockCount[CountedQty],T_StockCount[RM_Code],$A41,T_StockCount[WeekIndex],57),IF((COUNTIFS(T_SelfStock[RM_Code],$A41,T_SelfStock[WeekIndex],57)&gt;0)*(COUNTIFS(T_TTAFStock[RM_Code],$A41,T_TTAFStock[WeekIndex],57)&gt;0)&gt;0,SUMIFS(T_SelfStock[Self_Qty],T_SelfStock[RM_Code],$A41,T_SelfStock[WeekIndex],57)+SUMIFS(T_TTAFStock[TTAF_Qty],T_TTAFStock[RM_Code],$A41,T_TTAFStock[WeekIndex],57),BE41+'Grid_Incoming'!BF41-'Grid_Requirement'!BF41))</f>
        <v/>
      </c>
      <c r="BG41">
        <f>IF(COUNTIFS(T_StockCount[RM_Code],$A41,T_StockCount[WeekIndex],58)&gt;0,SUMIFS(T_StockCount[CountedQty],T_StockCount[RM_Code],$A41,T_StockCount[WeekIndex],58),IF((COUNTIFS(T_SelfStock[RM_Code],$A41,T_SelfStock[WeekIndex],58)&gt;0)*(COUNTIFS(T_TTAFStock[RM_Code],$A41,T_TTAFStock[WeekIndex],58)&gt;0)&gt;0,SUMIFS(T_SelfStock[Self_Qty],T_SelfStock[RM_Code],$A41,T_SelfStock[WeekIndex],58)+SUMIFS(T_TTAFStock[TTAF_Qty],T_TTAFStock[RM_Code],$A41,T_TTAFStock[WeekIndex],58),BF41+'Grid_Incoming'!BG41-'Grid_Requirement'!BG41))</f>
        <v/>
      </c>
      <c r="BH41">
        <f>IF(COUNTIFS(T_StockCount[RM_Code],$A41,T_StockCount[WeekIndex],59)&gt;0,SUMIFS(T_StockCount[CountedQty],T_StockCount[RM_Code],$A41,T_StockCount[WeekIndex],59),IF((COUNTIFS(T_SelfStock[RM_Code],$A41,T_SelfStock[WeekIndex],59)&gt;0)*(COUNTIFS(T_TTAFStock[RM_Code],$A41,T_TTAFStock[WeekIndex],59)&gt;0)&gt;0,SUMIFS(T_SelfStock[Self_Qty],T_SelfStock[RM_Code],$A41,T_SelfStock[WeekIndex],59)+SUMIFS(T_TTAFStock[TTAF_Qty],T_TTAFStock[RM_Code],$A41,T_TTAFStock[WeekIndex],59),BG41+'Grid_Incoming'!BH41-'Grid_Requirement'!BH41))</f>
        <v/>
      </c>
      <c r="BI41">
        <f>IF(COUNTIFS(T_StockCount[RM_Code],$A41,T_StockCount[WeekIndex],60)&gt;0,SUMIFS(T_StockCount[CountedQty],T_StockCount[RM_Code],$A41,T_StockCount[WeekIndex],60),IF((COUNTIFS(T_SelfStock[RM_Code],$A41,T_SelfStock[WeekIndex],60)&gt;0)*(COUNTIFS(T_TTAFStock[RM_Code],$A41,T_TTAFStock[WeekIndex],60)&gt;0)&gt;0,SUMIFS(T_SelfStock[Self_Qty],T_SelfStock[RM_Code],$A41,T_SelfStock[WeekIndex],60)+SUMIFS(T_TTAFStock[TTAF_Qty],T_TTAFStock[RM_Code],$A41,T_TTAFStock[WeekIndex],60),BH41+'Grid_Incoming'!BI41-'Grid_Requirement'!BI41))</f>
        <v/>
      </c>
      <c r="BJ41">
        <f>IF(COUNTIFS(T_StockCount[RM_Code],$A41,T_StockCount[WeekIndex],61)&gt;0,SUMIFS(T_StockCount[CountedQty],T_StockCount[RM_Code],$A41,T_StockCount[WeekIndex],61),IF((COUNTIFS(T_SelfStock[RM_Code],$A41,T_SelfStock[WeekIndex],61)&gt;0)*(COUNTIFS(T_TTAFStock[RM_Code],$A41,T_TTAFStock[WeekIndex],61)&gt;0)&gt;0,SUMIFS(T_SelfStock[Self_Qty],T_SelfStock[RM_Code],$A41,T_SelfStock[WeekIndex],61)+SUMIFS(T_TTAFStock[TTAF_Qty],T_TTAFStock[RM_Code],$A41,T_TTAFStock[WeekIndex],61),BI41+'Grid_Incoming'!BJ41-'Grid_Requirement'!BJ41))</f>
        <v/>
      </c>
      <c r="BK41">
        <f>IF(COUNTIFS(T_StockCount[RM_Code],$A41,T_StockCount[WeekIndex],62)&gt;0,SUMIFS(T_StockCount[CountedQty],T_StockCount[RM_Code],$A41,T_StockCount[WeekIndex],62),IF((COUNTIFS(T_SelfStock[RM_Code],$A41,T_SelfStock[WeekIndex],62)&gt;0)*(COUNTIFS(T_TTAFStock[RM_Code],$A41,T_TTAFStock[WeekIndex],62)&gt;0)&gt;0,SUMIFS(T_SelfStock[Self_Qty],T_SelfStock[RM_Code],$A41,T_SelfStock[WeekIndex],62)+SUMIFS(T_TTAFStock[TTAF_Qty],T_TTAFStock[RM_Code],$A41,T_TTAFStock[WeekIndex],62),BJ41+'Grid_Incoming'!BK41-'Grid_Requirement'!BK41))</f>
        <v/>
      </c>
      <c r="BL41">
        <f>IF(COUNTIFS(T_StockCount[RM_Code],$A41,T_StockCount[WeekIndex],63)&gt;0,SUMIFS(T_StockCount[CountedQty],T_StockCount[RM_Code],$A41,T_StockCount[WeekIndex],63),IF((COUNTIFS(T_SelfStock[RM_Code],$A41,T_SelfStock[WeekIndex],63)&gt;0)*(COUNTIFS(T_TTAFStock[RM_Code],$A41,T_TTAFStock[WeekIndex],63)&gt;0)&gt;0,SUMIFS(T_SelfStock[Self_Qty],T_SelfStock[RM_Code],$A41,T_SelfStock[WeekIndex],63)+SUMIFS(T_TTAFStock[TTAF_Qty],T_TTAFStock[RM_Code],$A41,T_TTAFStock[WeekIndex],63),BK41+'Grid_Incoming'!BL41-'Grid_Requirement'!BL41))</f>
        <v/>
      </c>
      <c r="BM41">
        <f>IF(COUNTIFS(T_StockCount[RM_Code],$A41,T_StockCount[WeekIndex],64)&gt;0,SUMIFS(T_StockCount[CountedQty],T_StockCount[RM_Code],$A41,T_StockCount[WeekIndex],64),IF((COUNTIFS(T_SelfStock[RM_Code],$A41,T_SelfStock[WeekIndex],64)&gt;0)*(COUNTIFS(T_TTAFStock[RM_Code],$A41,T_TTAFStock[WeekIndex],64)&gt;0)&gt;0,SUMIFS(T_SelfStock[Self_Qty],T_SelfStock[RM_Code],$A41,T_SelfStock[WeekIndex],64)+SUMIFS(T_TTAFStock[TTAF_Qty],T_TTAFStock[RM_Code],$A41,T_TTAFStock[WeekIndex],64),BL41+'Grid_Incoming'!BM41-'Grid_Requirement'!BM41))</f>
        <v/>
      </c>
      <c r="BN41">
        <f>IF(COUNTIFS(T_StockCount[RM_Code],$A41,T_StockCount[WeekIndex],65)&gt;0,SUMIFS(T_StockCount[CountedQty],T_StockCount[RM_Code],$A41,T_StockCount[WeekIndex],65),IF((COUNTIFS(T_SelfStock[RM_Code],$A41,T_SelfStock[WeekIndex],65)&gt;0)*(COUNTIFS(T_TTAFStock[RM_Code],$A41,T_TTAFStock[WeekIndex],65)&gt;0)&gt;0,SUMIFS(T_SelfStock[Self_Qty],T_SelfStock[RM_Code],$A41,T_SelfStock[WeekIndex],65)+SUMIFS(T_TTAFStock[TTAF_Qty],T_TTAFStock[RM_Code],$A41,T_TTAFStock[WeekIndex],65),BM41+'Grid_Incoming'!BN41-'Grid_Requirement'!BN41))</f>
        <v/>
      </c>
      <c r="BO41">
        <f>IF(COUNTIFS(T_StockCount[RM_Code],$A41,T_StockCount[WeekIndex],66)&gt;0,SUMIFS(T_StockCount[CountedQty],T_StockCount[RM_Code],$A41,T_StockCount[WeekIndex],66),IF((COUNTIFS(T_SelfStock[RM_Code],$A41,T_SelfStock[WeekIndex],66)&gt;0)*(COUNTIFS(T_TTAFStock[RM_Code],$A41,T_TTAFStock[WeekIndex],66)&gt;0)&gt;0,SUMIFS(T_SelfStock[Self_Qty],T_SelfStock[RM_Code],$A41,T_SelfStock[WeekIndex],66)+SUMIFS(T_TTAFStock[TTAF_Qty],T_TTAFStock[RM_Code],$A41,T_TTAFStock[WeekIndex],66),BN41+'Grid_Incoming'!BO41-'Grid_Requirement'!BO41))</f>
        <v/>
      </c>
      <c r="BP41">
        <f>IF(COUNTIFS(T_StockCount[RM_Code],$A41,T_StockCount[WeekIndex],67)&gt;0,SUMIFS(T_StockCount[CountedQty],T_StockCount[RM_Code],$A41,T_StockCount[WeekIndex],67),IF((COUNTIFS(T_SelfStock[RM_Code],$A41,T_SelfStock[WeekIndex],67)&gt;0)*(COUNTIFS(T_TTAFStock[RM_Code],$A41,T_TTAFStock[WeekIndex],67)&gt;0)&gt;0,SUMIFS(T_SelfStock[Self_Qty],T_SelfStock[RM_Code],$A41,T_SelfStock[WeekIndex],67)+SUMIFS(T_TTAFStock[TTAF_Qty],T_TTAFStock[RM_Code],$A41,T_TTAFStock[WeekIndex],67),BO41+'Grid_Incoming'!BP41-'Grid_Requirement'!BP41))</f>
        <v/>
      </c>
      <c r="BQ41">
        <f>IF(COUNTIFS(T_StockCount[RM_Code],$A41,T_StockCount[WeekIndex],68)&gt;0,SUMIFS(T_StockCount[CountedQty],T_StockCount[RM_Code],$A41,T_StockCount[WeekIndex],68),IF((COUNTIFS(T_SelfStock[RM_Code],$A41,T_SelfStock[WeekIndex],68)&gt;0)*(COUNTIFS(T_TTAFStock[RM_Code],$A41,T_TTAFStock[WeekIndex],68)&gt;0)&gt;0,SUMIFS(T_SelfStock[Self_Qty],T_SelfStock[RM_Code],$A41,T_SelfStock[WeekIndex],68)+SUMIFS(T_TTAFStock[TTAF_Qty],T_TTAFStock[RM_Code],$A41,T_TTAFStock[WeekIndex],68),BP41+'Grid_Incoming'!BQ41-'Grid_Requirement'!BQ41))</f>
        <v/>
      </c>
      <c r="BR41">
        <f>IF(COUNTIFS(T_StockCount[RM_Code],$A41,T_StockCount[WeekIndex],69)&gt;0,SUMIFS(T_StockCount[CountedQty],T_StockCount[RM_Code],$A41,T_StockCount[WeekIndex],69),IF((COUNTIFS(T_SelfStock[RM_Code],$A41,T_SelfStock[WeekIndex],69)&gt;0)*(COUNTIFS(T_TTAFStock[RM_Code],$A41,T_TTAFStock[WeekIndex],69)&gt;0)&gt;0,SUMIFS(T_SelfStock[Self_Qty],T_SelfStock[RM_Code],$A41,T_SelfStock[WeekIndex],69)+SUMIFS(T_TTAFStock[TTAF_Qty],T_TTAFStock[RM_Code],$A41,T_TTAFStock[WeekIndex],69),BQ41+'Grid_Incoming'!BR41-'Grid_Requirement'!BR41))</f>
        <v/>
      </c>
      <c r="BS41">
        <f>IF(COUNTIFS(T_StockCount[RM_Code],$A41,T_StockCount[WeekIndex],70)&gt;0,SUMIFS(T_StockCount[CountedQty],T_StockCount[RM_Code],$A41,T_StockCount[WeekIndex],70),IF((COUNTIFS(T_SelfStock[RM_Code],$A41,T_SelfStock[WeekIndex],70)&gt;0)*(COUNTIFS(T_TTAFStock[RM_Code],$A41,T_TTAFStock[WeekIndex],70)&gt;0)&gt;0,SUMIFS(T_SelfStock[Self_Qty],T_SelfStock[RM_Code],$A41,T_SelfStock[WeekIndex],70)+SUMIFS(T_TTAFStock[TTAF_Qty],T_TTAFStock[RM_Code],$A41,T_TTAFStock[WeekIndex],70),BR41+'Grid_Incoming'!BS41-'Grid_Requirement'!BS41))</f>
        <v/>
      </c>
      <c r="BT41">
        <f>IF(COUNTIFS(T_StockCount[RM_Code],$A41,T_StockCount[WeekIndex],71)&gt;0,SUMIFS(T_StockCount[CountedQty],T_StockCount[RM_Code],$A41,T_StockCount[WeekIndex],71),IF((COUNTIFS(T_SelfStock[RM_Code],$A41,T_SelfStock[WeekIndex],71)&gt;0)*(COUNTIFS(T_TTAFStock[RM_Code],$A41,T_TTAFStock[WeekIndex],71)&gt;0)&gt;0,SUMIFS(T_SelfStock[Self_Qty],T_SelfStock[RM_Code],$A41,T_SelfStock[WeekIndex],71)+SUMIFS(T_TTAFStock[TTAF_Qty],T_TTAFStock[RM_Code],$A41,T_TTAFStock[WeekIndex],71),BS41+'Grid_Incoming'!BT41-'Grid_Requirement'!BT41))</f>
        <v/>
      </c>
      <c r="BU41">
        <f>IF(COUNTIFS(T_StockCount[RM_Code],$A41,T_StockCount[WeekIndex],72)&gt;0,SUMIFS(T_StockCount[CountedQty],T_StockCount[RM_Code],$A41,T_StockCount[WeekIndex],72),IF((COUNTIFS(T_SelfStock[RM_Code],$A41,T_SelfStock[WeekIndex],72)&gt;0)*(COUNTIFS(T_TTAFStock[RM_Code],$A41,T_TTAFStock[WeekIndex],72)&gt;0)&gt;0,SUMIFS(T_SelfStock[Self_Qty],T_SelfStock[RM_Code],$A41,T_SelfStock[WeekIndex],72)+SUMIFS(T_TTAFStock[TTAF_Qty],T_TTAFStock[RM_Code],$A41,T_TTAFStock[WeekIndex],72),BT41+'Grid_Incoming'!BU41-'Grid_Requirement'!BU41))</f>
        <v/>
      </c>
      <c r="BV41">
        <f>IF(COUNTIFS(T_StockCount[RM_Code],$A41,T_StockCount[WeekIndex],73)&gt;0,SUMIFS(T_StockCount[CountedQty],T_StockCount[RM_Code],$A41,T_StockCount[WeekIndex],73),IF((COUNTIFS(T_SelfStock[RM_Code],$A41,T_SelfStock[WeekIndex],73)&gt;0)*(COUNTIFS(T_TTAFStock[RM_Code],$A41,T_TTAFStock[WeekIndex],73)&gt;0)&gt;0,SUMIFS(T_SelfStock[Self_Qty],T_SelfStock[RM_Code],$A41,T_SelfStock[WeekIndex],73)+SUMIFS(T_TTAFStock[TTAF_Qty],T_TTAFStock[RM_Code],$A41,T_TTAFStock[WeekIndex],73),BU41+'Grid_Incoming'!BV41-'Grid_Requirement'!BV41))</f>
        <v/>
      </c>
      <c r="BW41">
        <f>IF(COUNTIFS(T_StockCount[RM_Code],$A41,T_StockCount[WeekIndex],74)&gt;0,SUMIFS(T_StockCount[CountedQty],T_StockCount[RM_Code],$A41,T_StockCount[WeekIndex],74),IF((COUNTIFS(T_SelfStock[RM_Code],$A41,T_SelfStock[WeekIndex],74)&gt;0)*(COUNTIFS(T_TTAFStock[RM_Code],$A41,T_TTAFStock[WeekIndex],74)&gt;0)&gt;0,SUMIFS(T_SelfStock[Self_Qty],T_SelfStock[RM_Code],$A41,T_SelfStock[WeekIndex],74)+SUMIFS(T_TTAFStock[TTAF_Qty],T_TTAFStock[RM_Code],$A41,T_TTAFStock[WeekIndex],74),BV41+'Grid_Incoming'!BW41-'Grid_Requirement'!BW41))</f>
        <v/>
      </c>
      <c r="BX41">
        <f>IF(COUNTIFS(T_StockCount[RM_Code],$A41,T_StockCount[WeekIndex],75)&gt;0,SUMIFS(T_StockCount[CountedQty],T_StockCount[RM_Code],$A41,T_StockCount[WeekIndex],75),IF((COUNTIFS(T_SelfStock[RM_Code],$A41,T_SelfStock[WeekIndex],75)&gt;0)*(COUNTIFS(T_TTAFStock[RM_Code],$A41,T_TTAFStock[WeekIndex],75)&gt;0)&gt;0,SUMIFS(T_SelfStock[Self_Qty],T_SelfStock[RM_Code],$A41,T_SelfStock[WeekIndex],75)+SUMIFS(T_TTAFStock[TTAF_Qty],T_TTAFStock[RM_Code],$A41,T_TTAFStock[WeekIndex],75),BW41+'Grid_Incoming'!BX41-'Grid_Requirement'!BX41))</f>
        <v/>
      </c>
      <c r="BY41">
        <f>IF(COUNTIFS(T_StockCount[RM_Code],$A41,T_StockCount[WeekIndex],76)&gt;0,SUMIFS(T_StockCount[CountedQty],T_StockCount[RM_Code],$A41,T_StockCount[WeekIndex],76),IF((COUNTIFS(T_SelfStock[RM_Code],$A41,T_SelfStock[WeekIndex],76)&gt;0)*(COUNTIFS(T_TTAFStock[RM_Code],$A41,T_TTAFStock[WeekIndex],76)&gt;0)&gt;0,SUMIFS(T_SelfStock[Self_Qty],T_SelfStock[RM_Code],$A41,T_SelfStock[WeekIndex],76)+SUMIFS(T_TTAFStock[TTAF_Qty],T_TTAFStock[RM_Code],$A41,T_TTAFStock[WeekIndex],76),BX41+'Grid_Incoming'!BY41-'Grid_Requirement'!BY41))</f>
        <v/>
      </c>
      <c r="BZ41">
        <f>IF(COUNTIFS(T_StockCount[RM_Code],$A41,T_StockCount[WeekIndex],77)&gt;0,SUMIFS(T_StockCount[CountedQty],T_StockCount[RM_Code],$A41,T_StockCount[WeekIndex],77),IF((COUNTIFS(T_SelfStock[RM_Code],$A41,T_SelfStock[WeekIndex],77)&gt;0)*(COUNTIFS(T_TTAFStock[RM_Code],$A41,T_TTAFStock[WeekIndex],77)&gt;0)&gt;0,SUMIFS(T_SelfStock[Self_Qty],T_SelfStock[RM_Code],$A41,T_SelfStock[WeekIndex],77)+SUMIFS(T_TTAFStock[TTAF_Qty],T_TTAFStock[RM_Code],$A41,T_TTAFStock[WeekIndex],77),BY41+'Grid_Incoming'!BZ41-'Grid_Requirement'!BZ41))</f>
        <v/>
      </c>
      <c r="CA41">
        <f>IF(COUNTIFS(T_StockCount[RM_Code],$A41,T_StockCount[WeekIndex],78)&gt;0,SUMIFS(T_StockCount[CountedQty],T_StockCount[RM_Code],$A41,T_StockCount[WeekIndex],78),IF((COUNTIFS(T_SelfStock[RM_Code],$A41,T_SelfStock[WeekIndex],78)&gt;0)*(COUNTIFS(T_TTAFStock[RM_Code],$A41,T_TTAFStock[WeekIndex],78)&gt;0)&gt;0,SUMIFS(T_SelfStock[Self_Qty],T_SelfStock[RM_Code],$A41,T_SelfStock[WeekIndex],78)+SUMIFS(T_TTAFStock[TTAF_Qty],T_TTAFStock[RM_Code],$A41,T_TTAFStock[WeekIndex],78),BZ41+'Grid_Incoming'!CA41-'Grid_Requirement'!CA41))</f>
        <v/>
      </c>
      <c r="CB41">
        <f>IF(COUNTIFS(T_StockCount[RM_Code],$A41,T_StockCount[WeekIndex],79)&gt;0,SUMIFS(T_StockCount[CountedQty],T_StockCount[RM_Code],$A41,T_StockCount[WeekIndex],79),IF((COUNTIFS(T_SelfStock[RM_Code],$A41,T_SelfStock[WeekIndex],79)&gt;0)*(COUNTIFS(T_TTAFStock[RM_Code],$A41,T_TTAFStock[WeekIndex],79)&gt;0)&gt;0,SUMIFS(T_SelfStock[Self_Qty],T_SelfStock[RM_Code],$A41,T_SelfStock[WeekIndex],79)+SUMIFS(T_TTAFStock[TTAF_Qty],T_TTAFStock[RM_Code],$A41,T_TTAFStock[WeekIndex],79),CA41+'Grid_Incoming'!CB41-'Grid_Requirement'!CB41))</f>
        <v/>
      </c>
      <c r="CC41">
        <f>IF(COUNTIFS(T_StockCount[RM_Code],$A41,T_StockCount[WeekIndex],80)&gt;0,SUMIFS(T_StockCount[CountedQty],T_StockCount[RM_Code],$A41,T_StockCount[WeekIndex],80),IF((COUNTIFS(T_SelfStock[RM_Code],$A41,T_SelfStock[WeekIndex],80)&gt;0)*(COUNTIFS(T_TTAFStock[RM_Code],$A41,T_TTAFStock[WeekIndex],80)&gt;0)&gt;0,SUMIFS(T_SelfStock[Self_Qty],T_SelfStock[RM_Code],$A41,T_SelfStock[WeekIndex],80)+SUMIFS(T_TTAFStock[TTAF_Qty],T_TTAFStock[RM_Code],$A41,T_TTAFStock[WeekIndex],80),CB41+'Grid_Incoming'!CC41-'Grid_Requirement'!CC41))</f>
        <v/>
      </c>
      <c r="CD41">
        <f>IF(COUNTIFS(T_StockCount[RM_Code],$A41,T_StockCount[WeekIndex],81)&gt;0,SUMIFS(T_StockCount[CountedQty],T_StockCount[RM_Code],$A41,T_StockCount[WeekIndex],81),IF((COUNTIFS(T_SelfStock[RM_Code],$A41,T_SelfStock[WeekIndex],81)&gt;0)*(COUNTIFS(T_TTAFStock[RM_Code],$A41,T_TTAFStock[WeekIndex],81)&gt;0)&gt;0,SUMIFS(T_SelfStock[Self_Qty],T_SelfStock[RM_Code],$A41,T_SelfStock[WeekIndex],81)+SUMIFS(T_TTAFStock[TTAF_Qty],T_TTAFStock[RM_Code],$A41,T_TTAFStock[WeekIndex],81),CC41+'Grid_Incoming'!CD41-'Grid_Requirement'!CD41))</f>
        <v/>
      </c>
      <c r="CE41">
        <f>IF(COUNTIFS(T_StockCount[RM_Code],$A41,T_StockCount[WeekIndex],82)&gt;0,SUMIFS(T_StockCount[CountedQty],T_StockCount[RM_Code],$A41,T_StockCount[WeekIndex],82),IF((COUNTIFS(T_SelfStock[RM_Code],$A41,T_SelfStock[WeekIndex],82)&gt;0)*(COUNTIFS(T_TTAFStock[RM_Code],$A41,T_TTAFStock[WeekIndex],82)&gt;0)&gt;0,SUMIFS(T_SelfStock[Self_Qty],T_SelfStock[RM_Code],$A41,T_SelfStock[WeekIndex],82)+SUMIFS(T_TTAFStock[TTAF_Qty],T_TTAFStock[RM_Code],$A41,T_TTAFStock[WeekIndex],82),CD41+'Grid_Incoming'!CE41-'Grid_Requirement'!CE41))</f>
        <v/>
      </c>
      <c r="CF41">
        <f>IF(COUNTIFS(T_StockCount[RM_Code],$A41,T_StockCount[WeekIndex],83)&gt;0,SUMIFS(T_StockCount[CountedQty],T_StockCount[RM_Code],$A41,T_StockCount[WeekIndex],83),IF((COUNTIFS(T_SelfStock[RM_Code],$A41,T_SelfStock[WeekIndex],83)&gt;0)*(COUNTIFS(T_TTAFStock[RM_Code],$A41,T_TTAFStock[WeekIndex],83)&gt;0)&gt;0,SUMIFS(T_SelfStock[Self_Qty],T_SelfStock[RM_Code],$A41,T_SelfStock[WeekIndex],83)+SUMIFS(T_TTAFStock[TTAF_Qty],T_TTAFStock[RM_Code],$A41,T_TTAFStock[WeekIndex],83),CE41+'Grid_Incoming'!CF41-'Grid_Requirement'!CF41))</f>
        <v/>
      </c>
      <c r="CG41">
        <f>IF(COUNTIFS(T_StockCount[RM_Code],$A41,T_StockCount[WeekIndex],84)&gt;0,SUMIFS(T_StockCount[CountedQty],T_StockCount[RM_Code],$A41,T_StockCount[WeekIndex],84),IF((COUNTIFS(T_SelfStock[RM_Code],$A41,T_SelfStock[WeekIndex],84)&gt;0)*(COUNTIFS(T_TTAFStock[RM_Code],$A41,T_TTAFStock[WeekIndex],84)&gt;0)&gt;0,SUMIFS(T_SelfStock[Self_Qty],T_SelfStock[RM_Code],$A41,T_SelfStock[WeekIndex],84)+SUMIFS(T_TTAFStock[TTAF_Qty],T_TTAFStock[RM_Code],$A41,T_TTAFStock[WeekIndex],84),CF41+'Grid_Incoming'!CG41-'Grid_Requirement'!CG41))</f>
        <v/>
      </c>
      <c r="CH41">
        <f>IF(COUNTIFS(T_StockCount[RM_Code],$A41,T_StockCount[WeekIndex],85)&gt;0,SUMIFS(T_StockCount[CountedQty],T_StockCount[RM_Code],$A41,T_StockCount[WeekIndex],85),IF((COUNTIFS(T_SelfStock[RM_Code],$A41,T_SelfStock[WeekIndex],85)&gt;0)*(COUNTIFS(T_TTAFStock[RM_Code],$A41,T_TTAFStock[WeekIndex],85)&gt;0)&gt;0,SUMIFS(T_SelfStock[Self_Qty],T_SelfStock[RM_Code],$A41,T_SelfStock[WeekIndex],85)+SUMIFS(T_TTAFStock[TTAF_Qty],T_TTAFStock[RM_Code],$A41,T_TTAFStock[WeekIndex],85),CG41+'Grid_Incoming'!CH41-'Grid_Requirement'!CH41))</f>
        <v/>
      </c>
      <c r="CI41">
        <f>IF(COUNTIFS(T_StockCount[RM_Code],$A41,T_StockCount[WeekIndex],86)&gt;0,SUMIFS(T_StockCount[CountedQty],T_StockCount[RM_Code],$A41,T_StockCount[WeekIndex],86),IF((COUNTIFS(T_SelfStock[RM_Code],$A41,T_SelfStock[WeekIndex],86)&gt;0)*(COUNTIFS(T_TTAFStock[RM_Code],$A41,T_TTAFStock[WeekIndex],86)&gt;0)&gt;0,SUMIFS(T_SelfStock[Self_Qty],T_SelfStock[RM_Code],$A41,T_SelfStock[WeekIndex],86)+SUMIFS(T_TTAFStock[TTAF_Qty],T_TTAFStock[RM_Code],$A41,T_TTAFStock[WeekIndex],86),CH41+'Grid_Incoming'!CI41-'Grid_Requirement'!CI41))</f>
        <v/>
      </c>
      <c r="CJ41">
        <f>IF(COUNTIFS(T_StockCount[RM_Code],$A41,T_StockCount[WeekIndex],87)&gt;0,SUMIFS(T_StockCount[CountedQty],T_StockCount[RM_Code],$A41,T_StockCount[WeekIndex],87),IF((COUNTIFS(T_SelfStock[RM_Code],$A41,T_SelfStock[WeekIndex],87)&gt;0)*(COUNTIFS(T_TTAFStock[RM_Code],$A41,T_TTAFStock[WeekIndex],87)&gt;0)&gt;0,SUMIFS(T_SelfStock[Self_Qty],T_SelfStock[RM_Code],$A41,T_SelfStock[WeekIndex],87)+SUMIFS(T_TTAFStock[TTAF_Qty],T_TTAFStock[RM_Code],$A41,T_TTAFStock[WeekIndex],87),CI41+'Grid_Incoming'!CJ41-'Grid_Requirement'!CJ41))</f>
        <v/>
      </c>
      <c r="CK41">
        <f>IF(COUNTIFS(T_StockCount[RM_Code],$A41,T_StockCount[WeekIndex],88)&gt;0,SUMIFS(T_StockCount[CountedQty],T_StockCount[RM_Code],$A41,T_StockCount[WeekIndex],88),IF((COUNTIFS(T_SelfStock[RM_Code],$A41,T_SelfStock[WeekIndex],88)&gt;0)*(COUNTIFS(T_TTAFStock[RM_Code],$A41,T_TTAFStock[WeekIndex],88)&gt;0)&gt;0,SUMIFS(T_SelfStock[Self_Qty],T_SelfStock[RM_Code],$A41,T_SelfStock[WeekIndex],88)+SUMIFS(T_TTAFStock[TTAF_Qty],T_TTAFStock[RM_Code],$A41,T_TTAFStock[WeekIndex],88),CJ41+'Grid_Incoming'!CK41-'Grid_Requirement'!CK41))</f>
        <v/>
      </c>
      <c r="CL41">
        <f>IF(COUNTIFS(T_StockCount[RM_Code],$A41,T_StockCount[WeekIndex],89)&gt;0,SUMIFS(T_StockCount[CountedQty],T_StockCount[RM_Code],$A41,T_StockCount[WeekIndex],89),IF((COUNTIFS(T_SelfStock[RM_Code],$A41,T_SelfStock[WeekIndex],89)&gt;0)*(COUNTIFS(T_TTAFStock[RM_Code],$A41,T_TTAFStock[WeekIndex],89)&gt;0)&gt;0,SUMIFS(T_SelfStock[Self_Qty],T_SelfStock[RM_Code],$A41,T_SelfStock[WeekIndex],89)+SUMIFS(T_TTAFStock[TTAF_Qty],T_TTAFStock[RM_Code],$A41,T_TTAFStock[WeekIndex],89),CK41+'Grid_Incoming'!CL41-'Grid_Requirement'!CL41))</f>
        <v/>
      </c>
      <c r="CM41">
        <f>IF(COUNTIFS(T_StockCount[RM_Code],$A41,T_StockCount[WeekIndex],90)&gt;0,SUMIFS(T_StockCount[CountedQty],T_StockCount[RM_Code],$A41,T_StockCount[WeekIndex],90),IF((COUNTIFS(T_SelfStock[RM_Code],$A41,T_SelfStock[WeekIndex],90)&gt;0)*(COUNTIFS(T_TTAFStock[RM_Code],$A41,T_TTAFStock[WeekIndex],90)&gt;0)&gt;0,SUMIFS(T_SelfStock[Self_Qty],T_SelfStock[RM_Code],$A41,T_SelfStock[WeekIndex],90)+SUMIFS(T_TTAFStock[TTAF_Qty],T_TTAFStock[RM_Code],$A41,T_TTAFStock[WeekIndex],90),CL41+'Grid_Incoming'!CM41-'Grid_Requirement'!CM41))</f>
        <v/>
      </c>
      <c r="CN41">
        <f>IF(COUNTIFS(T_StockCount[RM_Code],$A41,T_StockCount[WeekIndex],91)&gt;0,SUMIFS(T_StockCount[CountedQty],T_StockCount[RM_Code],$A41,T_StockCount[WeekIndex],91),IF((COUNTIFS(T_SelfStock[RM_Code],$A41,T_SelfStock[WeekIndex],91)&gt;0)*(COUNTIFS(T_TTAFStock[RM_Code],$A41,T_TTAFStock[WeekIndex],91)&gt;0)&gt;0,SUMIFS(T_SelfStock[Self_Qty],T_SelfStock[RM_Code],$A41,T_SelfStock[WeekIndex],91)+SUMIFS(T_TTAFStock[TTAF_Qty],T_TTAFStock[RM_Code],$A41,T_TTAFStock[WeekIndex],91),CM41+'Grid_Incoming'!CN41-'Grid_Requirement'!CN41))</f>
        <v/>
      </c>
      <c r="CO41">
        <f>IF(COUNTIFS(T_StockCount[RM_Code],$A41,T_StockCount[WeekIndex],92)&gt;0,SUMIFS(T_StockCount[CountedQty],T_StockCount[RM_Code],$A41,T_StockCount[WeekIndex],92),IF((COUNTIFS(T_SelfStock[RM_Code],$A41,T_SelfStock[WeekIndex],92)&gt;0)*(COUNTIFS(T_TTAFStock[RM_Code],$A41,T_TTAFStock[WeekIndex],92)&gt;0)&gt;0,SUMIFS(T_SelfStock[Self_Qty],T_SelfStock[RM_Code],$A41,T_SelfStock[WeekIndex],92)+SUMIFS(T_TTAFStock[TTAF_Qty],T_TTAFStock[RM_Code],$A41,T_TTAFStock[WeekIndex],92),CN41+'Grid_Incoming'!CO41-'Grid_Requirement'!CO41))</f>
        <v/>
      </c>
      <c r="CP41">
        <f>IF(COUNTIFS(T_StockCount[RM_Code],$A41,T_StockCount[WeekIndex],93)&gt;0,SUMIFS(T_StockCount[CountedQty],T_StockCount[RM_Code],$A41,T_StockCount[WeekIndex],93),IF((COUNTIFS(T_SelfStock[RM_Code],$A41,T_SelfStock[WeekIndex],93)&gt;0)*(COUNTIFS(T_TTAFStock[RM_Code],$A41,T_TTAFStock[WeekIndex],93)&gt;0)&gt;0,SUMIFS(T_SelfStock[Self_Qty],T_SelfStock[RM_Code],$A41,T_SelfStock[WeekIndex],93)+SUMIFS(T_TTAFStock[TTAF_Qty],T_TTAFStock[RM_Code],$A41,T_TTAFStock[WeekIndex],93),CO41+'Grid_Incoming'!CP41-'Grid_Requirement'!CP41))</f>
        <v/>
      </c>
      <c r="CQ41">
        <f>IF(COUNTIFS(T_StockCount[RM_Code],$A41,T_StockCount[WeekIndex],94)&gt;0,SUMIFS(T_StockCount[CountedQty],T_StockCount[RM_Code],$A41,T_StockCount[WeekIndex],94),IF((COUNTIFS(T_SelfStock[RM_Code],$A41,T_SelfStock[WeekIndex],94)&gt;0)*(COUNTIFS(T_TTAFStock[RM_Code],$A41,T_TTAFStock[WeekIndex],94)&gt;0)&gt;0,SUMIFS(T_SelfStock[Self_Qty],T_SelfStock[RM_Code],$A41,T_SelfStock[WeekIndex],94)+SUMIFS(T_TTAFStock[TTAF_Qty],T_TTAFStock[RM_Code],$A41,T_TTAFStock[WeekIndex],94),CP41+'Grid_Incoming'!CQ41-'Grid_Requirement'!CQ41))</f>
        <v/>
      </c>
      <c r="CR41">
        <f>IF(COUNTIFS(T_StockCount[RM_Code],$A41,T_StockCount[WeekIndex],95)&gt;0,SUMIFS(T_StockCount[CountedQty],T_StockCount[RM_Code],$A41,T_StockCount[WeekIndex],95),IF((COUNTIFS(T_SelfStock[RM_Code],$A41,T_SelfStock[WeekIndex],95)&gt;0)*(COUNTIFS(T_TTAFStock[RM_Code],$A41,T_TTAFStock[WeekIndex],95)&gt;0)&gt;0,SUMIFS(T_SelfStock[Self_Qty],T_SelfStock[RM_Code],$A41,T_SelfStock[WeekIndex],95)+SUMIFS(T_TTAFStock[TTAF_Qty],T_TTAFStock[RM_Code],$A41,T_TTAFStock[WeekIndex],95),CQ41+'Grid_Incoming'!CR41-'Grid_Requirement'!CR41))</f>
        <v/>
      </c>
      <c r="CS41">
        <f>IF(COUNTIFS(T_StockCount[RM_Code],$A41,T_StockCount[WeekIndex],96)&gt;0,SUMIFS(T_StockCount[CountedQty],T_StockCount[RM_Code],$A41,T_StockCount[WeekIndex],96),IF((COUNTIFS(T_SelfStock[RM_Code],$A41,T_SelfStock[WeekIndex],96)&gt;0)*(COUNTIFS(T_TTAFStock[RM_Code],$A41,T_TTAFStock[WeekIndex],96)&gt;0)&gt;0,SUMIFS(T_SelfStock[Self_Qty],T_SelfStock[RM_Code],$A41,T_SelfStock[WeekIndex],96)+SUMIFS(T_TTAFStock[TTAF_Qty],T_TTAFStock[RM_Code],$A41,T_TTAFStock[WeekIndex],96),CR41+'Grid_Incoming'!CS41-'Grid_Requirement'!CS41))</f>
        <v/>
      </c>
      <c r="CT41">
        <f>IF(COUNTIFS(T_StockCount[RM_Code],$A41,T_StockCount[WeekIndex],97)&gt;0,SUMIFS(T_StockCount[CountedQty],T_StockCount[RM_Code],$A41,T_StockCount[WeekIndex],97),IF((COUNTIFS(T_SelfStock[RM_Code],$A41,T_SelfStock[WeekIndex],97)&gt;0)*(COUNTIFS(T_TTAFStock[RM_Code],$A41,T_TTAFStock[WeekIndex],97)&gt;0)&gt;0,SUMIFS(T_SelfStock[Self_Qty],T_SelfStock[RM_Code],$A41,T_SelfStock[WeekIndex],97)+SUMIFS(T_TTAFStock[TTAF_Qty],T_TTAFStock[RM_Code],$A41,T_TTAFStock[WeekIndex],97),CS41+'Grid_Incoming'!CT41-'Grid_Requirement'!CT41))</f>
        <v/>
      </c>
      <c r="CU41">
        <f>IF(COUNTIFS(T_StockCount[RM_Code],$A41,T_StockCount[WeekIndex],98)&gt;0,SUMIFS(T_StockCount[CountedQty],T_StockCount[RM_Code],$A41,T_StockCount[WeekIndex],98),IF((COUNTIFS(T_SelfStock[RM_Code],$A41,T_SelfStock[WeekIndex],98)&gt;0)*(COUNTIFS(T_TTAFStock[RM_Code],$A41,T_TTAFStock[WeekIndex],98)&gt;0)&gt;0,SUMIFS(T_SelfStock[Self_Qty],T_SelfStock[RM_Code],$A41,T_SelfStock[WeekIndex],98)+SUMIFS(T_TTAFStock[TTAF_Qty],T_TTAFStock[RM_Code],$A41,T_TTAFStock[WeekIndex],98),CT41+'Grid_Incoming'!CU41-'Grid_Requirement'!CU41))</f>
        <v/>
      </c>
      <c r="CV41">
        <f>IF(COUNTIFS(T_StockCount[RM_Code],$A41,T_StockCount[WeekIndex],99)&gt;0,SUMIFS(T_StockCount[CountedQty],T_StockCount[RM_Code],$A41,T_StockCount[WeekIndex],99),IF((COUNTIFS(T_SelfStock[RM_Code],$A41,T_SelfStock[WeekIndex],99)&gt;0)*(COUNTIFS(T_TTAFStock[RM_Code],$A41,T_TTAFStock[WeekIndex],99)&gt;0)&gt;0,SUMIFS(T_SelfStock[Self_Qty],T_SelfStock[RM_Code],$A41,T_SelfStock[WeekIndex],99)+SUMIFS(T_TTAFStock[TTAF_Qty],T_TTAFStock[RM_Code],$A41,T_TTAFStock[WeekIndex],99),CU41+'Grid_Incoming'!CV41-'Grid_Requirement'!CV41))</f>
        <v/>
      </c>
      <c r="CW41">
        <f>IF(COUNTIFS(T_StockCount[RM_Code],$A41,T_StockCount[WeekIndex],100)&gt;0,SUMIFS(T_StockCount[CountedQty],T_StockCount[RM_Code],$A41,T_StockCount[WeekIndex],100),IF((COUNTIFS(T_SelfStock[RM_Code],$A41,T_SelfStock[WeekIndex],100)&gt;0)*(COUNTIFS(T_TTAFStock[RM_Code],$A41,T_TTAFStock[WeekIndex],100)&gt;0)&gt;0,SUMIFS(T_SelfStock[Self_Qty],T_SelfStock[RM_Code],$A41,T_SelfStock[WeekIndex],100)+SUMIFS(T_TTAFStock[TTAF_Qty],T_TTAFStock[RM_Code],$A41,T_TTAFStock[WeekIndex],100),CV41+'Grid_Incoming'!CW41-'Grid_Requirement'!CW41))</f>
        <v/>
      </c>
      <c r="CX41">
        <f>IF(COUNTIFS(T_StockCount[RM_Code],$A41,T_StockCount[WeekIndex],101)&gt;0,SUMIFS(T_StockCount[CountedQty],T_StockCount[RM_Code],$A41,T_StockCount[WeekIndex],101),IF((COUNTIFS(T_SelfStock[RM_Code],$A41,T_SelfStock[WeekIndex],101)&gt;0)*(COUNTIFS(T_TTAFStock[RM_Code],$A41,T_TTAFStock[WeekIndex],101)&gt;0)&gt;0,SUMIFS(T_SelfStock[Self_Qty],T_SelfStock[RM_Code],$A41,T_SelfStock[WeekIndex],101)+SUMIFS(T_TTAFStock[TTAF_Qty],T_TTAFStock[RM_Code],$A41,T_TTAFStock[WeekIndex],101),CW41+'Grid_Incoming'!CX41-'Grid_Requirement'!CX41))</f>
        <v/>
      </c>
      <c r="CY41">
        <f>IF(COUNTIFS(T_StockCount[RM_Code],$A41,T_StockCount[WeekIndex],102)&gt;0,SUMIFS(T_StockCount[CountedQty],T_StockCount[RM_Code],$A41,T_StockCount[WeekIndex],102),IF((COUNTIFS(T_SelfStock[RM_Code],$A41,T_SelfStock[WeekIndex],102)&gt;0)*(COUNTIFS(T_TTAFStock[RM_Code],$A41,T_TTAFStock[WeekIndex],102)&gt;0)&gt;0,SUMIFS(T_SelfStock[Self_Qty],T_SelfStock[RM_Code],$A41,T_SelfStock[WeekIndex],102)+SUMIFS(T_TTAFStock[TTAF_Qty],T_TTAFStock[RM_Code],$A41,T_TTAFStock[WeekIndex],102),CX41+'Grid_Incoming'!CY41-'Grid_Requirement'!CY41))</f>
        <v/>
      </c>
      <c r="CZ41">
        <f>IF(COUNTIFS(T_StockCount[RM_Code],$A41,T_StockCount[WeekIndex],103)&gt;0,SUMIFS(T_StockCount[CountedQty],T_StockCount[RM_Code],$A41,T_StockCount[WeekIndex],103),IF((COUNTIFS(T_SelfStock[RM_Code],$A41,T_SelfStock[WeekIndex],103)&gt;0)*(COUNTIFS(T_TTAFStock[RM_Code],$A41,T_TTAFStock[WeekIndex],103)&gt;0)&gt;0,SUMIFS(T_SelfStock[Self_Qty],T_SelfStock[RM_Code],$A41,T_SelfStock[WeekIndex],103)+SUMIFS(T_TTAFStock[TTAF_Qty],T_TTAFStock[RM_Code],$A41,T_TTAFStock[WeekIndex],103),CY41+'Grid_Incoming'!CZ41-'Grid_Requirement'!CZ41))</f>
        <v/>
      </c>
      <c r="DA41">
        <f>IF(COUNTIFS(T_StockCount[RM_Code],$A41,T_StockCount[WeekIndex],104)&gt;0,SUMIFS(T_StockCount[CountedQty],T_StockCount[RM_Code],$A41,T_StockCount[WeekIndex],104),IF((COUNTIFS(T_SelfStock[RM_Code],$A41,T_SelfStock[WeekIndex],104)&gt;0)*(COUNTIFS(T_TTAFStock[RM_Code],$A41,T_TTAFStock[WeekIndex],104)&gt;0)&gt;0,SUMIFS(T_SelfStock[Self_Qty],T_SelfStock[RM_Code],$A41,T_SelfStock[WeekIndex],104)+SUMIFS(T_TTAFStock[TTAF_Qty],T_TTAFStock[RM_Code],$A41,T_TTAFStock[WeekIndex],104),CZ41+'Grid_Incoming'!DA41-'Grid_Requirement'!DA41))</f>
        <v/>
      </c>
    </row>
    <row r="42">
      <c r="A42" t="inlineStr">
        <is>
          <t>CHEM-1730</t>
        </is>
      </c>
      <c r="B42">
        <f>IF(COUNTIFS(T_StockCount[RM_Code],$A42,T_StockCount[WeekIndex],1)&gt;0,SUMIFS(T_StockCount[CountedQty],T_StockCount[RM_Code],$A42,T_StockCount[WeekIndex],1),IF((COUNTIFS(T_SelfStock[RM_Code],$A42,T_SelfStock[WeekIndex],1)&gt;0)*(COUNTIFS(T_TTAFStock[RM_Code],$A42,T_TTAFStock[WeekIndex],1)&gt;0)&gt;0,SUMIFS(T_SelfStock[Self_Qty],T_SelfStock[RM_Code],$A42,T_SelfStock[WeekIndex],1)+SUMIFS(T_TTAFStock[TTAF_Qty],T_TTAFStock[RM_Code],$A42,T_TTAFStock[WeekIndex],1),IFERROR(INDEX(T_OpeningStock[Opening_Qty],MATCH($A42,T_OpeningStock[RM_Code],0)),0)+'Grid_Incoming'!B42-'Grid_Requirement'!B42))</f>
        <v/>
      </c>
      <c r="C42">
        <f>IF(COUNTIFS(T_StockCount[RM_Code],$A42,T_StockCount[WeekIndex],2)&gt;0,SUMIFS(T_StockCount[CountedQty],T_StockCount[RM_Code],$A42,T_StockCount[WeekIndex],2),IF((COUNTIFS(T_SelfStock[RM_Code],$A42,T_SelfStock[WeekIndex],2)&gt;0)*(COUNTIFS(T_TTAFStock[RM_Code],$A42,T_TTAFStock[WeekIndex],2)&gt;0)&gt;0,SUMIFS(T_SelfStock[Self_Qty],T_SelfStock[RM_Code],$A42,T_SelfStock[WeekIndex],2)+SUMIFS(T_TTAFStock[TTAF_Qty],T_TTAFStock[RM_Code],$A42,T_TTAFStock[WeekIndex],2),B42+'Grid_Incoming'!C42-'Grid_Requirement'!C42))</f>
        <v/>
      </c>
      <c r="D42">
        <f>IF(COUNTIFS(T_StockCount[RM_Code],$A42,T_StockCount[WeekIndex],3)&gt;0,SUMIFS(T_StockCount[CountedQty],T_StockCount[RM_Code],$A42,T_StockCount[WeekIndex],3),IF((COUNTIFS(T_SelfStock[RM_Code],$A42,T_SelfStock[WeekIndex],3)&gt;0)*(COUNTIFS(T_TTAFStock[RM_Code],$A42,T_TTAFStock[WeekIndex],3)&gt;0)&gt;0,SUMIFS(T_SelfStock[Self_Qty],T_SelfStock[RM_Code],$A42,T_SelfStock[WeekIndex],3)+SUMIFS(T_TTAFStock[TTAF_Qty],T_TTAFStock[RM_Code],$A42,T_TTAFStock[WeekIndex],3),C42+'Grid_Incoming'!D42-'Grid_Requirement'!D42))</f>
        <v/>
      </c>
      <c r="E42">
        <f>IF(COUNTIFS(T_StockCount[RM_Code],$A42,T_StockCount[WeekIndex],4)&gt;0,SUMIFS(T_StockCount[CountedQty],T_StockCount[RM_Code],$A42,T_StockCount[WeekIndex],4),IF((COUNTIFS(T_SelfStock[RM_Code],$A42,T_SelfStock[WeekIndex],4)&gt;0)*(COUNTIFS(T_TTAFStock[RM_Code],$A42,T_TTAFStock[WeekIndex],4)&gt;0)&gt;0,SUMIFS(T_SelfStock[Self_Qty],T_SelfStock[RM_Code],$A42,T_SelfStock[WeekIndex],4)+SUMIFS(T_TTAFStock[TTAF_Qty],T_TTAFStock[RM_Code],$A42,T_TTAFStock[WeekIndex],4),D42+'Grid_Incoming'!E42-'Grid_Requirement'!E42))</f>
        <v/>
      </c>
      <c r="F42">
        <f>IF(COUNTIFS(T_StockCount[RM_Code],$A42,T_StockCount[WeekIndex],5)&gt;0,SUMIFS(T_StockCount[CountedQty],T_StockCount[RM_Code],$A42,T_StockCount[WeekIndex],5),IF((COUNTIFS(T_SelfStock[RM_Code],$A42,T_SelfStock[WeekIndex],5)&gt;0)*(COUNTIFS(T_TTAFStock[RM_Code],$A42,T_TTAFStock[WeekIndex],5)&gt;0)&gt;0,SUMIFS(T_SelfStock[Self_Qty],T_SelfStock[RM_Code],$A42,T_SelfStock[WeekIndex],5)+SUMIFS(T_TTAFStock[TTAF_Qty],T_TTAFStock[RM_Code],$A42,T_TTAFStock[WeekIndex],5),E42+'Grid_Incoming'!F42-'Grid_Requirement'!F42))</f>
        <v/>
      </c>
      <c r="G42">
        <f>IF(COUNTIFS(T_StockCount[RM_Code],$A42,T_StockCount[WeekIndex],6)&gt;0,SUMIFS(T_StockCount[CountedQty],T_StockCount[RM_Code],$A42,T_StockCount[WeekIndex],6),IF((COUNTIFS(T_SelfStock[RM_Code],$A42,T_SelfStock[WeekIndex],6)&gt;0)*(COUNTIFS(T_TTAFStock[RM_Code],$A42,T_TTAFStock[WeekIndex],6)&gt;0)&gt;0,SUMIFS(T_SelfStock[Self_Qty],T_SelfStock[RM_Code],$A42,T_SelfStock[WeekIndex],6)+SUMIFS(T_TTAFStock[TTAF_Qty],T_TTAFStock[RM_Code],$A42,T_TTAFStock[WeekIndex],6),F42+'Grid_Incoming'!G42-'Grid_Requirement'!G42))</f>
        <v/>
      </c>
      <c r="H42">
        <f>IF(COUNTIFS(T_StockCount[RM_Code],$A42,T_StockCount[WeekIndex],7)&gt;0,SUMIFS(T_StockCount[CountedQty],T_StockCount[RM_Code],$A42,T_StockCount[WeekIndex],7),IF((COUNTIFS(T_SelfStock[RM_Code],$A42,T_SelfStock[WeekIndex],7)&gt;0)*(COUNTIFS(T_TTAFStock[RM_Code],$A42,T_TTAFStock[WeekIndex],7)&gt;0)&gt;0,SUMIFS(T_SelfStock[Self_Qty],T_SelfStock[RM_Code],$A42,T_SelfStock[WeekIndex],7)+SUMIFS(T_TTAFStock[TTAF_Qty],T_TTAFStock[RM_Code],$A42,T_TTAFStock[WeekIndex],7),G42+'Grid_Incoming'!H42-'Grid_Requirement'!H42))</f>
        <v/>
      </c>
      <c r="I42">
        <f>IF(COUNTIFS(T_StockCount[RM_Code],$A42,T_StockCount[WeekIndex],8)&gt;0,SUMIFS(T_StockCount[CountedQty],T_StockCount[RM_Code],$A42,T_StockCount[WeekIndex],8),IF((COUNTIFS(T_SelfStock[RM_Code],$A42,T_SelfStock[WeekIndex],8)&gt;0)*(COUNTIFS(T_TTAFStock[RM_Code],$A42,T_TTAFStock[WeekIndex],8)&gt;0)&gt;0,SUMIFS(T_SelfStock[Self_Qty],T_SelfStock[RM_Code],$A42,T_SelfStock[WeekIndex],8)+SUMIFS(T_TTAFStock[TTAF_Qty],T_TTAFStock[RM_Code],$A42,T_TTAFStock[WeekIndex],8),H42+'Grid_Incoming'!I42-'Grid_Requirement'!I42))</f>
        <v/>
      </c>
      <c r="J42">
        <f>IF(COUNTIFS(T_StockCount[RM_Code],$A42,T_StockCount[WeekIndex],9)&gt;0,SUMIFS(T_StockCount[CountedQty],T_StockCount[RM_Code],$A42,T_StockCount[WeekIndex],9),IF((COUNTIFS(T_SelfStock[RM_Code],$A42,T_SelfStock[WeekIndex],9)&gt;0)*(COUNTIFS(T_TTAFStock[RM_Code],$A42,T_TTAFStock[WeekIndex],9)&gt;0)&gt;0,SUMIFS(T_SelfStock[Self_Qty],T_SelfStock[RM_Code],$A42,T_SelfStock[WeekIndex],9)+SUMIFS(T_TTAFStock[TTAF_Qty],T_TTAFStock[RM_Code],$A42,T_TTAFStock[WeekIndex],9),I42+'Grid_Incoming'!J42-'Grid_Requirement'!J42))</f>
        <v/>
      </c>
      <c r="K42">
        <f>IF(COUNTIFS(T_StockCount[RM_Code],$A42,T_StockCount[WeekIndex],10)&gt;0,SUMIFS(T_StockCount[CountedQty],T_StockCount[RM_Code],$A42,T_StockCount[WeekIndex],10),IF((COUNTIFS(T_SelfStock[RM_Code],$A42,T_SelfStock[WeekIndex],10)&gt;0)*(COUNTIFS(T_TTAFStock[RM_Code],$A42,T_TTAFStock[WeekIndex],10)&gt;0)&gt;0,SUMIFS(T_SelfStock[Self_Qty],T_SelfStock[RM_Code],$A42,T_SelfStock[WeekIndex],10)+SUMIFS(T_TTAFStock[TTAF_Qty],T_TTAFStock[RM_Code],$A42,T_TTAFStock[WeekIndex],10),J42+'Grid_Incoming'!K42-'Grid_Requirement'!K42))</f>
        <v/>
      </c>
      <c r="L42">
        <f>IF(COUNTIFS(T_StockCount[RM_Code],$A42,T_StockCount[WeekIndex],11)&gt;0,SUMIFS(T_StockCount[CountedQty],T_StockCount[RM_Code],$A42,T_StockCount[WeekIndex],11),IF((COUNTIFS(T_SelfStock[RM_Code],$A42,T_SelfStock[WeekIndex],11)&gt;0)*(COUNTIFS(T_TTAFStock[RM_Code],$A42,T_TTAFStock[WeekIndex],11)&gt;0)&gt;0,SUMIFS(T_SelfStock[Self_Qty],T_SelfStock[RM_Code],$A42,T_SelfStock[WeekIndex],11)+SUMIFS(T_TTAFStock[TTAF_Qty],T_TTAFStock[RM_Code],$A42,T_TTAFStock[WeekIndex],11),K42+'Grid_Incoming'!L42-'Grid_Requirement'!L42))</f>
        <v/>
      </c>
      <c r="M42">
        <f>IF(COUNTIFS(T_StockCount[RM_Code],$A42,T_StockCount[WeekIndex],12)&gt;0,SUMIFS(T_StockCount[CountedQty],T_StockCount[RM_Code],$A42,T_StockCount[WeekIndex],12),IF((COUNTIFS(T_SelfStock[RM_Code],$A42,T_SelfStock[WeekIndex],12)&gt;0)*(COUNTIFS(T_TTAFStock[RM_Code],$A42,T_TTAFStock[WeekIndex],12)&gt;0)&gt;0,SUMIFS(T_SelfStock[Self_Qty],T_SelfStock[RM_Code],$A42,T_SelfStock[WeekIndex],12)+SUMIFS(T_TTAFStock[TTAF_Qty],T_TTAFStock[RM_Code],$A42,T_TTAFStock[WeekIndex],12),L42+'Grid_Incoming'!M42-'Grid_Requirement'!M42))</f>
        <v/>
      </c>
      <c r="N42">
        <f>IF(COUNTIFS(T_StockCount[RM_Code],$A42,T_StockCount[WeekIndex],13)&gt;0,SUMIFS(T_StockCount[CountedQty],T_StockCount[RM_Code],$A42,T_StockCount[WeekIndex],13),IF((COUNTIFS(T_SelfStock[RM_Code],$A42,T_SelfStock[WeekIndex],13)&gt;0)*(COUNTIFS(T_TTAFStock[RM_Code],$A42,T_TTAFStock[WeekIndex],13)&gt;0)&gt;0,SUMIFS(T_SelfStock[Self_Qty],T_SelfStock[RM_Code],$A42,T_SelfStock[WeekIndex],13)+SUMIFS(T_TTAFStock[TTAF_Qty],T_TTAFStock[RM_Code],$A42,T_TTAFStock[WeekIndex],13),M42+'Grid_Incoming'!N42-'Grid_Requirement'!N42))</f>
        <v/>
      </c>
      <c r="O42">
        <f>IF(COUNTIFS(T_StockCount[RM_Code],$A42,T_StockCount[WeekIndex],14)&gt;0,SUMIFS(T_StockCount[CountedQty],T_StockCount[RM_Code],$A42,T_StockCount[WeekIndex],14),IF((COUNTIFS(T_SelfStock[RM_Code],$A42,T_SelfStock[WeekIndex],14)&gt;0)*(COUNTIFS(T_TTAFStock[RM_Code],$A42,T_TTAFStock[WeekIndex],14)&gt;0)&gt;0,SUMIFS(T_SelfStock[Self_Qty],T_SelfStock[RM_Code],$A42,T_SelfStock[WeekIndex],14)+SUMIFS(T_TTAFStock[TTAF_Qty],T_TTAFStock[RM_Code],$A42,T_TTAFStock[WeekIndex],14),N42+'Grid_Incoming'!O42-'Grid_Requirement'!O42))</f>
        <v/>
      </c>
      <c r="P42">
        <f>IF(COUNTIFS(T_StockCount[RM_Code],$A42,T_StockCount[WeekIndex],15)&gt;0,SUMIFS(T_StockCount[CountedQty],T_StockCount[RM_Code],$A42,T_StockCount[WeekIndex],15),IF((COUNTIFS(T_SelfStock[RM_Code],$A42,T_SelfStock[WeekIndex],15)&gt;0)*(COUNTIFS(T_TTAFStock[RM_Code],$A42,T_TTAFStock[WeekIndex],15)&gt;0)&gt;0,SUMIFS(T_SelfStock[Self_Qty],T_SelfStock[RM_Code],$A42,T_SelfStock[WeekIndex],15)+SUMIFS(T_TTAFStock[TTAF_Qty],T_TTAFStock[RM_Code],$A42,T_TTAFStock[WeekIndex],15),O42+'Grid_Incoming'!P42-'Grid_Requirement'!P42))</f>
        <v/>
      </c>
      <c r="Q42">
        <f>IF(COUNTIFS(T_StockCount[RM_Code],$A42,T_StockCount[WeekIndex],16)&gt;0,SUMIFS(T_StockCount[CountedQty],T_StockCount[RM_Code],$A42,T_StockCount[WeekIndex],16),IF((COUNTIFS(T_SelfStock[RM_Code],$A42,T_SelfStock[WeekIndex],16)&gt;0)*(COUNTIFS(T_TTAFStock[RM_Code],$A42,T_TTAFStock[WeekIndex],16)&gt;0)&gt;0,SUMIFS(T_SelfStock[Self_Qty],T_SelfStock[RM_Code],$A42,T_SelfStock[WeekIndex],16)+SUMIFS(T_TTAFStock[TTAF_Qty],T_TTAFStock[RM_Code],$A42,T_TTAFStock[WeekIndex],16),P42+'Grid_Incoming'!Q42-'Grid_Requirement'!Q42))</f>
        <v/>
      </c>
      <c r="R42">
        <f>IF(COUNTIFS(T_StockCount[RM_Code],$A42,T_StockCount[WeekIndex],17)&gt;0,SUMIFS(T_StockCount[CountedQty],T_StockCount[RM_Code],$A42,T_StockCount[WeekIndex],17),IF((COUNTIFS(T_SelfStock[RM_Code],$A42,T_SelfStock[WeekIndex],17)&gt;0)*(COUNTIFS(T_TTAFStock[RM_Code],$A42,T_TTAFStock[WeekIndex],17)&gt;0)&gt;0,SUMIFS(T_SelfStock[Self_Qty],T_SelfStock[RM_Code],$A42,T_SelfStock[WeekIndex],17)+SUMIFS(T_TTAFStock[TTAF_Qty],T_TTAFStock[RM_Code],$A42,T_TTAFStock[WeekIndex],17),Q42+'Grid_Incoming'!R42-'Grid_Requirement'!R42))</f>
        <v/>
      </c>
      <c r="S42">
        <f>IF(COUNTIFS(T_StockCount[RM_Code],$A42,T_StockCount[WeekIndex],18)&gt;0,SUMIFS(T_StockCount[CountedQty],T_StockCount[RM_Code],$A42,T_StockCount[WeekIndex],18),IF((COUNTIFS(T_SelfStock[RM_Code],$A42,T_SelfStock[WeekIndex],18)&gt;0)*(COUNTIFS(T_TTAFStock[RM_Code],$A42,T_TTAFStock[WeekIndex],18)&gt;0)&gt;0,SUMIFS(T_SelfStock[Self_Qty],T_SelfStock[RM_Code],$A42,T_SelfStock[WeekIndex],18)+SUMIFS(T_TTAFStock[TTAF_Qty],T_TTAFStock[RM_Code],$A42,T_TTAFStock[WeekIndex],18),R42+'Grid_Incoming'!S42-'Grid_Requirement'!S42))</f>
        <v/>
      </c>
      <c r="T42">
        <f>IF(COUNTIFS(T_StockCount[RM_Code],$A42,T_StockCount[WeekIndex],19)&gt;0,SUMIFS(T_StockCount[CountedQty],T_StockCount[RM_Code],$A42,T_StockCount[WeekIndex],19),IF((COUNTIFS(T_SelfStock[RM_Code],$A42,T_SelfStock[WeekIndex],19)&gt;0)*(COUNTIFS(T_TTAFStock[RM_Code],$A42,T_TTAFStock[WeekIndex],19)&gt;0)&gt;0,SUMIFS(T_SelfStock[Self_Qty],T_SelfStock[RM_Code],$A42,T_SelfStock[WeekIndex],19)+SUMIFS(T_TTAFStock[TTAF_Qty],T_TTAFStock[RM_Code],$A42,T_TTAFStock[WeekIndex],19),S42+'Grid_Incoming'!T42-'Grid_Requirement'!T42))</f>
        <v/>
      </c>
      <c r="U42">
        <f>IF(COUNTIFS(T_StockCount[RM_Code],$A42,T_StockCount[WeekIndex],20)&gt;0,SUMIFS(T_StockCount[CountedQty],T_StockCount[RM_Code],$A42,T_StockCount[WeekIndex],20),IF((COUNTIFS(T_SelfStock[RM_Code],$A42,T_SelfStock[WeekIndex],20)&gt;0)*(COUNTIFS(T_TTAFStock[RM_Code],$A42,T_TTAFStock[WeekIndex],20)&gt;0)&gt;0,SUMIFS(T_SelfStock[Self_Qty],T_SelfStock[RM_Code],$A42,T_SelfStock[WeekIndex],20)+SUMIFS(T_TTAFStock[TTAF_Qty],T_TTAFStock[RM_Code],$A42,T_TTAFStock[WeekIndex],20),T42+'Grid_Incoming'!U42-'Grid_Requirement'!U42))</f>
        <v/>
      </c>
      <c r="V42">
        <f>IF(COUNTIFS(T_StockCount[RM_Code],$A42,T_StockCount[WeekIndex],21)&gt;0,SUMIFS(T_StockCount[CountedQty],T_StockCount[RM_Code],$A42,T_StockCount[WeekIndex],21),IF((COUNTIFS(T_SelfStock[RM_Code],$A42,T_SelfStock[WeekIndex],21)&gt;0)*(COUNTIFS(T_TTAFStock[RM_Code],$A42,T_TTAFStock[WeekIndex],21)&gt;0)&gt;0,SUMIFS(T_SelfStock[Self_Qty],T_SelfStock[RM_Code],$A42,T_SelfStock[WeekIndex],21)+SUMIFS(T_TTAFStock[TTAF_Qty],T_TTAFStock[RM_Code],$A42,T_TTAFStock[WeekIndex],21),U42+'Grid_Incoming'!V42-'Grid_Requirement'!V42))</f>
        <v/>
      </c>
      <c r="W42">
        <f>IF(COUNTIFS(T_StockCount[RM_Code],$A42,T_StockCount[WeekIndex],22)&gt;0,SUMIFS(T_StockCount[CountedQty],T_StockCount[RM_Code],$A42,T_StockCount[WeekIndex],22),IF((COUNTIFS(T_SelfStock[RM_Code],$A42,T_SelfStock[WeekIndex],22)&gt;0)*(COUNTIFS(T_TTAFStock[RM_Code],$A42,T_TTAFStock[WeekIndex],22)&gt;0)&gt;0,SUMIFS(T_SelfStock[Self_Qty],T_SelfStock[RM_Code],$A42,T_SelfStock[WeekIndex],22)+SUMIFS(T_TTAFStock[TTAF_Qty],T_TTAFStock[RM_Code],$A42,T_TTAFStock[WeekIndex],22),V42+'Grid_Incoming'!W42-'Grid_Requirement'!W42))</f>
        <v/>
      </c>
      <c r="X42">
        <f>IF(COUNTIFS(T_StockCount[RM_Code],$A42,T_StockCount[WeekIndex],23)&gt;0,SUMIFS(T_StockCount[CountedQty],T_StockCount[RM_Code],$A42,T_StockCount[WeekIndex],23),IF((COUNTIFS(T_SelfStock[RM_Code],$A42,T_SelfStock[WeekIndex],23)&gt;0)*(COUNTIFS(T_TTAFStock[RM_Code],$A42,T_TTAFStock[WeekIndex],23)&gt;0)&gt;0,SUMIFS(T_SelfStock[Self_Qty],T_SelfStock[RM_Code],$A42,T_SelfStock[WeekIndex],23)+SUMIFS(T_TTAFStock[TTAF_Qty],T_TTAFStock[RM_Code],$A42,T_TTAFStock[WeekIndex],23),W42+'Grid_Incoming'!X42-'Grid_Requirement'!X42))</f>
        <v/>
      </c>
      <c r="Y42">
        <f>IF(COUNTIFS(T_StockCount[RM_Code],$A42,T_StockCount[WeekIndex],24)&gt;0,SUMIFS(T_StockCount[CountedQty],T_StockCount[RM_Code],$A42,T_StockCount[WeekIndex],24),IF((COUNTIFS(T_SelfStock[RM_Code],$A42,T_SelfStock[WeekIndex],24)&gt;0)*(COUNTIFS(T_TTAFStock[RM_Code],$A42,T_TTAFStock[WeekIndex],24)&gt;0)&gt;0,SUMIFS(T_SelfStock[Self_Qty],T_SelfStock[RM_Code],$A42,T_SelfStock[WeekIndex],24)+SUMIFS(T_TTAFStock[TTAF_Qty],T_TTAFStock[RM_Code],$A42,T_TTAFStock[WeekIndex],24),X42+'Grid_Incoming'!Y42-'Grid_Requirement'!Y42))</f>
        <v/>
      </c>
      <c r="Z42">
        <f>IF(COUNTIFS(T_StockCount[RM_Code],$A42,T_StockCount[WeekIndex],25)&gt;0,SUMIFS(T_StockCount[CountedQty],T_StockCount[RM_Code],$A42,T_StockCount[WeekIndex],25),IF((COUNTIFS(T_SelfStock[RM_Code],$A42,T_SelfStock[WeekIndex],25)&gt;0)*(COUNTIFS(T_TTAFStock[RM_Code],$A42,T_TTAFStock[WeekIndex],25)&gt;0)&gt;0,SUMIFS(T_SelfStock[Self_Qty],T_SelfStock[RM_Code],$A42,T_SelfStock[WeekIndex],25)+SUMIFS(T_TTAFStock[TTAF_Qty],T_TTAFStock[RM_Code],$A42,T_TTAFStock[WeekIndex],25),Y42+'Grid_Incoming'!Z42-'Grid_Requirement'!Z42))</f>
        <v/>
      </c>
      <c r="AA42">
        <f>IF(COUNTIFS(T_StockCount[RM_Code],$A42,T_StockCount[WeekIndex],26)&gt;0,SUMIFS(T_StockCount[CountedQty],T_StockCount[RM_Code],$A42,T_StockCount[WeekIndex],26),IF((COUNTIFS(T_SelfStock[RM_Code],$A42,T_SelfStock[WeekIndex],26)&gt;0)*(COUNTIFS(T_TTAFStock[RM_Code],$A42,T_TTAFStock[WeekIndex],26)&gt;0)&gt;0,SUMIFS(T_SelfStock[Self_Qty],T_SelfStock[RM_Code],$A42,T_SelfStock[WeekIndex],26)+SUMIFS(T_TTAFStock[TTAF_Qty],T_TTAFStock[RM_Code],$A42,T_TTAFStock[WeekIndex],26),Z42+'Grid_Incoming'!AA42-'Grid_Requirement'!AA42))</f>
        <v/>
      </c>
      <c r="AB42">
        <f>IF(COUNTIFS(T_StockCount[RM_Code],$A42,T_StockCount[WeekIndex],27)&gt;0,SUMIFS(T_StockCount[CountedQty],T_StockCount[RM_Code],$A42,T_StockCount[WeekIndex],27),IF((COUNTIFS(T_SelfStock[RM_Code],$A42,T_SelfStock[WeekIndex],27)&gt;0)*(COUNTIFS(T_TTAFStock[RM_Code],$A42,T_TTAFStock[WeekIndex],27)&gt;0)&gt;0,SUMIFS(T_SelfStock[Self_Qty],T_SelfStock[RM_Code],$A42,T_SelfStock[WeekIndex],27)+SUMIFS(T_TTAFStock[TTAF_Qty],T_TTAFStock[RM_Code],$A42,T_TTAFStock[WeekIndex],27),AA42+'Grid_Incoming'!AB42-'Grid_Requirement'!AB42))</f>
        <v/>
      </c>
      <c r="AC42">
        <f>IF(COUNTIFS(T_StockCount[RM_Code],$A42,T_StockCount[WeekIndex],28)&gt;0,SUMIFS(T_StockCount[CountedQty],T_StockCount[RM_Code],$A42,T_StockCount[WeekIndex],28),IF((COUNTIFS(T_SelfStock[RM_Code],$A42,T_SelfStock[WeekIndex],28)&gt;0)*(COUNTIFS(T_TTAFStock[RM_Code],$A42,T_TTAFStock[WeekIndex],28)&gt;0)&gt;0,SUMIFS(T_SelfStock[Self_Qty],T_SelfStock[RM_Code],$A42,T_SelfStock[WeekIndex],28)+SUMIFS(T_TTAFStock[TTAF_Qty],T_TTAFStock[RM_Code],$A42,T_TTAFStock[WeekIndex],28),AB42+'Grid_Incoming'!AC42-'Grid_Requirement'!AC42))</f>
        <v/>
      </c>
      <c r="AD42">
        <f>IF(COUNTIFS(T_StockCount[RM_Code],$A42,T_StockCount[WeekIndex],29)&gt;0,SUMIFS(T_StockCount[CountedQty],T_StockCount[RM_Code],$A42,T_StockCount[WeekIndex],29),IF((COUNTIFS(T_SelfStock[RM_Code],$A42,T_SelfStock[WeekIndex],29)&gt;0)*(COUNTIFS(T_TTAFStock[RM_Code],$A42,T_TTAFStock[WeekIndex],29)&gt;0)&gt;0,SUMIFS(T_SelfStock[Self_Qty],T_SelfStock[RM_Code],$A42,T_SelfStock[WeekIndex],29)+SUMIFS(T_TTAFStock[TTAF_Qty],T_TTAFStock[RM_Code],$A42,T_TTAFStock[WeekIndex],29),AC42+'Grid_Incoming'!AD42-'Grid_Requirement'!AD42))</f>
        <v/>
      </c>
      <c r="AE42">
        <f>IF(COUNTIFS(T_StockCount[RM_Code],$A42,T_StockCount[WeekIndex],30)&gt;0,SUMIFS(T_StockCount[CountedQty],T_StockCount[RM_Code],$A42,T_StockCount[WeekIndex],30),IF((COUNTIFS(T_SelfStock[RM_Code],$A42,T_SelfStock[WeekIndex],30)&gt;0)*(COUNTIFS(T_TTAFStock[RM_Code],$A42,T_TTAFStock[WeekIndex],30)&gt;0)&gt;0,SUMIFS(T_SelfStock[Self_Qty],T_SelfStock[RM_Code],$A42,T_SelfStock[WeekIndex],30)+SUMIFS(T_TTAFStock[TTAF_Qty],T_TTAFStock[RM_Code],$A42,T_TTAFStock[WeekIndex],30),AD42+'Grid_Incoming'!AE42-'Grid_Requirement'!AE42))</f>
        <v/>
      </c>
      <c r="AF42">
        <f>IF(COUNTIFS(T_StockCount[RM_Code],$A42,T_StockCount[WeekIndex],31)&gt;0,SUMIFS(T_StockCount[CountedQty],T_StockCount[RM_Code],$A42,T_StockCount[WeekIndex],31),IF((COUNTIFS(T_SelfStock[RM_Code],$A42,T_SelfStock[WeekIndex],31)&gt;0)*(COUNTIFS(T_TTAFStock[RM_Code],$A42,T_TTAFStock[WeekIndex],31)&gt;0)&gt;0,SUMIFS(T_SelfStock[Self_Qty],T_SelfStock[RM_Code],$A42,T_SelfStock[WeekIndex],31)+SUMIFS(T_TTAFStock[TTAF_Qty],T_TTAFStock[RM_Code],$A42,T_TTAFStock[WeekIndex],31),AE42+'Grid_Incoming'!AF42-'Grid_Requirement'!AF42))</f>
        <v/>
      </c>
      <c r="AG42">
        <f>IF(COUNTIFS(T_StockCount[RM_Code],$A42,T_StockCount[WeekIndex],32)&gt;0,SUMIFS(T_StockCount[CountedQty],T_StockCount[RM_Code],$A42,T_StockCount[WeekIndex],32),IF((COUNTIFS(T_SelfStock[RM_Code],$A42,T_SelfStock[WeekIndex],32)&gt;0)*(COUNTIFS(T_TTAFStock[RM_Code],$A42,T_TTAFStock[WeekIndex],32)&gt;0)&gt;0,SUMIFS(T_SelfStock[Self_Qty],T_SelfStock[RM_Code],$A42,T_SelfStock[WeekIndex],32)+SUMIFS(T_TTAFStock[TTAF_Qty],T_TTAFStock[RM_Code],$A42,T_TTAFStock[WeekIndex],32),AF42+'Grid_Incoming'!AG42-'Grid_Requirement'!AG42))</f>
        <v/>
      </c>
      <c r="AH42">
        <f>IF(COUNTIFS(T_StockCount[RM_Code],$A42,T_StockCount[WeekIndex],33)&gt;0,SUMIFS(T_StockCount[CountedQty],T_StockCount[RM_Code],$A42,T_StockCount[WeekIndex],33),IF((COUNTIFS(T_SelfStock[RM_Code],$A42,T_SelfStock[WeekIndex],33)&gt;0)*(COUNTIFS(T_TTAFStock[RM_Code],$A42,T_TTAFStock[WeekIndex],33)&gt;0)&gt;0,SUMIFS(T_SelfStock[Self_Qty],T_SelfStock[RM_Code],$A42,T_SelfStock[WeekIndex],33)+SUMIFS(T_TTAFStock[TTAF_Qty],T_TTAFStock[RM_Code],$A42,T_TTAFStock[WeekIndex],33),AG42+'Grid_Incoming'!AH42-'Grid_Requirement'!AH42))</f>
        <v/>
      </c>
      <c r="AI42">
        <f>IF(COUNTIFS(T_StockCount[RM_Code],$A42,T_StockCount[WeekIndex],34)&gt;0,SUMIFS(T_StockCount[CountedQty],T_StockCount[RM_Code],$A42,T_StockCount[WeekIndex],34),IF((COUNTIFS(T_SelfStock[RM_Code],$A42,T_SelfStock[WeekIndex],34)&gt;0)*(COUNTIFS(T_TTAFStock[RM_Code],$A42,T_TTAFStock[WeekIndex],34)&gt;0)&gt;0,SUMIFS(T_SelfStock[Self_Qty],T_SelfStock[RM_Code],$A42,T_SelfStock[WeekIndex],34)+SUMIFS(T_TTAFStock[TTAF_Qty],T_TTAFStock[RM_Code],$A42,T_TTAFStock[WeekIndex],34),AH42+'Grid_Incoming'!AI42-'Grid_Requirement'!AI42))</f>
        <v/>
      </c>
      <c r="AJ42">
        <f>IF(COUNTIFS(T_StockCount[RM_Code],$A42,T_StockCount[WeekIndex],35)&gt;0,SUMIFS(T_StockCount[CountedQty],T_StockCount[RM_Code],$A42,T_StockCount[WeekIndex],35),IF((COUNTIFS(T_SelfStock[RM_Code],$A42,T_SelfStock[WeekIndex],35)&gt;0)*(COUNTIFS(T_TTAFStock[RM_Code],$A42,T_TTAFStock[WeekIndex],35)&gt;0)&gt;0,SUMIFS(T_SelfStock[Self_Qty],T_SelfStock[RM_Code],$A42,T_SelfStock[WeekIndex],35)+SUMIFS(T_TTAFStock[TTAF_Qty],T_TTAFStock[RM_Code],$A42,T_TTAFStock[WeekIndex],35),AI42+'Grid_Incoming'!AJ42-'Grid_Requirement'!AJ42))</f>
        <v/>
      </c>
      <c r="AK42">
        <f>IF(COUNTIFS(T_StockCount[RM_Code],$A42,T_StockCount[WeekIndex],36)&gt;0,SUMIFS(T_StockCount[CountedQty],T_StockCount[RM_Code],$A42,T_StockCount[WeekIndex],36),IF((COUNTIFS(T_SelfStock[RM_Code],$A42,T_SelfStock[WeekIndex],36)&gt;0)*(COUNTIFS(T_TTAFStock[RM_Code],$A42,T_TTAFStock[WeekIndex],36)&gt;0)&gt;0,SUMIFS(T_SelfStock[Self_Qty],T_SelfStock[RM_Code],$A42,T_SelfStock[WeekIndex],36)+SUMIFS(T_TTAFStock[TTAF_Qty],T_TTAFStock[RM_Code],$A42,T_TTAFStock[WeekIndex],36),AJ42+'Grid_Incoming'!AK42-'Grid_Requirement'!AK42))</f>
        <v/>
      </c>
      <c r="AL42">
        <f>IF(COUNTIFS(T_StockCount[RM_Code],$A42,T_StockCount[WeekIndex],37)&gt;0,SUMIFS(T_StockCount[CountedQty],T_StockCount[RM_Code],$A42,T_StockCount[WeekIndex],37),IF((COUNTIFS(T_SelfStock[RM_Code],$A42,T_SelfStock[WeekIndex],37)&gt;0)*(COUNTIFS(T_TTAFStock[RM_Code],$A42,T_TTAFStock[WeekIndex],37)&gt;0)&gt;0,SUMIFS(T_SelfStock[Self_Qty],T_SelfStock[RM_Code],$A42,T_SelfStock[WeekIndex],37)+SUMIFS(T_TTAFStock[TTAF_Qty],T_TTAFStock[RM_Code],$A42,T_TTAFStock[WeekIndex],37),AK42+'Grid_Incoming'!AL42-'Grid_Requirement'!AL42))</f>
        <v/>
      </c>
      <c r="AM42">
        <f>IF(COUNTIFS(T_StockCount[RM_Code],$A42,T_StockCount[WeekIndex],38)&gt;0,SUMIFS(T_StockCount[CountedQty],T_StockCount[RM_Code],$A42,T_StockCount[WeekIndex],38),IF((COUNTIFS(T_SelfStock[RM_Code],$A42,T_SelfStock[WeekIndex],38)&gt;0)*(COUNTIFS(T_TTAFStock[RM_Code],$A42,T_TTAFStock[WeekIndex],38)&gt;0)&gt;0,SUMIFS(T_SelfStock[Self_Qty],T_SelfStock[RM_Code],$A42,T_SelfStock[WeekIndex],38)+SUMIFS(T_TTAFStock[TTAF_Qty],T_TTAFStock[RM_Code],$A42,T_TTAFStock[WeekIndex],38),AL42+'Grid_Incoming'!AM42-'Grid_Requirement'!AM42))</f>
        <v/>
      </c>
      <c r="AN42">
        <f>IF(COUNTIFS(T_StockCount[RM_Code],$A42,T_StockCount[WeekIndex],39)&gt;0,SUMIFS(T_StockCount[CountedQty],T_StockCount[RM_Code],$A42,T_StockCount[WeekIndex],39),IF((COUNTIFS(T_SelfStock[RM_Code],$A42,T_SelfStock[WeekIndex],39)&gt;0)*(COUNTIFS(T_TTAFStock[RM_Code],$A42,T_TTAFStock[WeekIndex],39)&gt;0)&gt;0,SUMIFS(T_SelfStock[Self_Qty],T_SelfStock[RM_Code],$A42,T_SelfStock[WeekIndex],39)+SUMIFS(T_TTAFStock[TTAF_Qty],T_TTAFStock[RM_Code],$A42,T_TTAFStock[WeekIndex],39),AM42+'Grid_Incoming'!AN42-'Grid_Requirement'!AN42))</f>
        <v/>
      </c>
      <c r="AO42">
        <f>IF(COUNTIFS(T_StockCount[RM_Code],$A42,T_StockCount[WeekIndex],40)&gt;0,SUMIFS(T_StockCount[CountedQty],T_StockCount[RM_Code],$A42,T_StockCount[WeekIndex],40),IF((COUNTIFS(T_SelfStock[RM_Code],$A42,T_SelfStock[WeekIndex],40)&gt;0)*(COUNTIFS(T_TTAFStock[RM_Code],$A42,T_TTAFStock[WeekIndex],40)&gt;0)&gt;0,SUMIFS(T_SelfStock[Self_Qty],T_SelfStock[RM_Code],$A42,T_SelfStock[WeekIndex],40)+SUMIFS(T_TTAFStock[TTAF_Qty],T_TTAFStock[RM_Code],$A42,T_TTAFStock[WeekIndex],40),AN42+'Grid_Incoming'!AO42-'Grid_Requirement'!AO42))</f>
        <v/>
      </c>
      <c r="AP42">
        <f>IF(COUNTIFS(T_StockCount[RM_Code],$A42,T_StockCount[WeekIndex],41)&gt;0,SUMIFS(T_StockCount[CountedQty],T_StockCount[RM_Code],$A42,T_StockCount[WeekIndex],41),IF((COUNTIFS(T_SelfStock[RM_Code],$A42,T_SelfStock[WeekIndex],41)&gt;0)*(COUNTIFS(T_TTAFStock[RM_Code],$A42,T_TTAFStock[WeekIndex],41)&gt;0)&gt;0,SUMIFS(T_SelfStock[Self_Qty],T_SelfStock[RM_Code],$A42,T_SelfStock[WeekIndex],41)+SUMIFS(T_TTAFStock[TTAF_Qty],T_TTAFStock[RM_Code],$A42,T_TTAFStock[WeekIndex],41),AO42+'Grid_Incoming'!AP42-'Grid_Requirement'!AP42))</f>
        <v/>
      </c>
      <c r="AQ42">
        <f>IF(COUNTIFS(T_StockCount[RM_Code],$A42,T_StockCount[WeekIndex],42)&gt;0,SUMIFS(T_StockCount[CountedQty],T_StockCount[RM_Code],$A42,T_StockCount[WeekIndex],42),IF((COUNTIFS(T_SelfStock[RM_Code],$A42,T_SelfStock[WeekIndex],42)&gt;0)*(COUNTIFS(T_TTAFStock[RM_Code],$A42,T_TTAFStock[WeekIndex],42)&gt;0)&gt;0,SUMIFS(T_SelfStock[Self_Qty],T_SelfStock[RM_Code],$A42,T_SelfStock[WeekIndex],42)+SUMIFS(T_TTAFStock[TTAF_Qty],T_TTAFStock[RM_Code],$A42,T_TTAFStock[WeekIndex],42),AP42+'Grid_Incoming'!AQ42-'Grid_Requirement'!AQ42))</f>
        <v/>
      </c>
      <c r="AR42">
        <f>IF(COUNTIFS(T_StockCount[RM_Code],$A42,T_StockCount[WeekIndex],43)&gt;0,SUMIFS(T_StockCount[CountedQty],T_StockCount[RM_Code],$A42,T_StockCount[WeekIndex],43),IF((COUNTIFS(T_SelfStock[RM_Code],$A42,T_SelfStock[WeekIndex],43)&gt;0)*(COUNTIFS(T_TTAFStock[RM_Code],$A42,T_TTAFStock[WeekIndex],43)&gt;0)&gt;0,SUMIFS(T_SelfStock[Self_Qty],T_SelfStock[RM_Code],$A42,T_SelfStock[WeekIndex],43)+SUMIFS(T_TTAFStock[TTAF_Qty],T_TTAFStock[RM_Code],$A42,T_TTAFStock[WeekIndex],43),AQ42+'Grid_Incoming'!AR42-'Grid_Requirement'!AR42))</f>
        <v/>
      </c>
      <c r="AS42">
        <f>IF(COUNTIFS(T_StockCount[RM_Code],$A42,T_StockCount[WeekIndex],44)&gt;0,SUMIFS(T_StockCount[CountedQty],T_StockCount[RM_Code],$A42,T_StockCount[WeekIndex],44),IF((COUNTIFS(T_SelfStock[RM_Code],$A42,T_SelfStock[WeekIndex],44)&gt;0)*(COUNTIFS(T_TTAFStock[RM_Code],$A42,T_TTAFStock[WeekIndex],44)&gt;0)&gt;0,SUMIFS(T_SelfStock[Self_Qty],T_SelfStock[RM_Code],$A42,T_SelfStock[WeekIndex],44)+SUMIFS(T_TTAFStock[TTAF_Qty],T_TTAFStock[RM_Code],$A42,T_TTAFStock[WeekIndex],44),AR42+'Grid_Incoming'!AS42-'Grid_Requirement'!AS42))</f>
        <v/>
      </c>
      <c r="AT42">
        <f>IF(COUNTIFS(T_StockCount[RM_Code],$A42,T_StockCount[WeekIndex],45)&gt;0,SUMIFS(T_StockCount[CountedQty],T_StockCount[RM_Code],$A42,T_StockCount[WeekIndex],45),IF((COUNTIFS(T_SelfStock[RM_Code],$A42,T_SelfStock[WeekIndex],45)&gt;0)*(COUNTIFS(T_TTAFStock[RM_Code],$A42,T_TTAFStock[WeekIndex],45)&gt;0)&gt;0,SUMIFS(T_SelfStock[Self_Qty],T_SelfStock[RM_Code],$A42,T_SelfStock[WeekIndex],45)+SUMIFS(T_TTAFStock[TTAF_Qty],T_TTAFStock[RM_Code],$A42,T_TTAFStock[WeekIndex],45),AS42+'Grid_Incoming'!AT42-'Grid_Requirement'!AT42))</f>
        <v/>
      </c>
      <c r="AU42">
        <f>IF(COUNTIFS(T_StockCount[RM_Code],$A42,T_StockCount[WeekIndex],46)&gt;0,SUMIFS(T_StockCount[CountedQty],T_StockCount[RM_Code],$A42,T_StockCount[WeekIndex],46),IF((COUNTIFS(T_SelfStock[RM_Code],$A42,T_SelfStock[WeekIndex],46)&gt;0)*(COUNTIFS(T_TTAFStock[RM_Code],$A42,T_TTAFStock[WeekIndex],46)&gt;0)&gt;0,SUMIFS(T_SelfStock[Self_Qty],T_SelfStock[RM_Code],$A42,T_SelfStock[WeekIndex],46)+SUMIFS(T_TTAFStock[TTAF_Qty],T_TTAFStock[RM_Code],$A42,T_TTAFStock[WeekIndex],46),AT42+'Grid_Incoming'!AU42-'Grid_Requirement'!AU42))</f>
        <v/>
      </c>
      <c r="AV42">
        <f>IF(COUNTIFS(T_StockCount[RM_Code],$A42,T_StockCount[WeekIndex],47)&gt;0,SUMIFS(T_StockCount[CountedQty],T_StockCount[RM_Code],$A42,T_StockCount[WeekIndex],47),IF((COUNTIFS(T_SelfStock[RM_Code],$A42,T_SelfStock[WeekIndex],47)&gt;0)*(COUNTIFS(T_TTAFStock[RM_Code],$A42,T_TTAFStock[WeekIndex],47)&gt;0)&gt;0,SUMIFS(T_SelfStock[Self_Qty],T_SelfStock[RM_Code],$A42,T_SelfStock[WeekIndex],47)+SUMIFS(T_TTAFStock[TTAF_Qty],T_TTAFStock[RM_Code],$A42,T_TTAFStock[WeekIndex],47),AU42+'Grid_Incoming'!AV42-'Grid_Requirement'!AV42))</f>
        <v/>
      </c>
      <c r="AW42">
        <f>IF(COUNTIFS(T_StockCount[RM_Code],$A42,T_StockCount[WeekIndex],48)&gt;0,SUMIFS(T_StockCount[CountedQty],T_StockCount[RM_Code],$A42,T_StockCount[WeekIndex],48),IF((COUNTIFS(T_SelfStock[RM_Code],$A42,T_SelfStock[WeekIndex],48)&gt;0)*(COUNTIFS(T_TTAFStock[RM_Code],$A42,T_TTAFStock[WeekIndex],48)&gt;0)&gt;0,SUMIFS(T_SelfStock[Self_Qty],T_SelfStock[RM_Code],$A42,T_SelfStock[WeekIndex],48)+SUMIFS(T_TTAFStock[TTAF_Qty],T_TTAFStock[RM_Code],$A42,T_TTAFStock[WeekIndex],48),AV42+'Grid_Incoming'!AW42-'Grid_Requirement'!AW42))</f>
        <v/>
      </c>
      <c r="AX42">
        <f>IF(COUNTIFS(T_StockCount[RM_Code],$A42,T_StockCount[WeekIndex],49)&gt;0,SUMIFS(T_StockCount[CountedQty],T_StockCount[RM_Code],$A42,T_StockCount[WeekIndex],49),IF((COUNTIFS(T_SelfStock[RM_Code],$A42,T_SelfStock[WeekIndex],49)&gt;0)*(COUNTIFS(T_TTAFStock[RM_Code],$A42,T_TTAFStock[WeekIndex],49)&gt;0)&gt;0,SUMIFS(T_SelfStock[Self_Qty],T_SelfStock[RM_Code],$A42,T_SelfStock[WeekIndex],49)+SUMIFS(T_TTAFStock[TTAF_Qty],T_TTAFStock[RM_Code],$A42,T_TTAFStock[WeekIndex],49),AW42+'Grid_Incoming'!AX42-'Grid_Requirement'!AX42))</f>
        <v/>
      </c>
      <c r="AY42">
        <f>IF(COUNTIFS(T_StockCount[RM_Code],$A42,T_StockCount[WeekIndex],50)&gt;0,SUMIFS(T_StockCount[CountedQty],T_StockCount[RM_Code],$A42,T_StockCount[WeekIndex],50),IF((COUNTIFS(T_SelfStock[RM_Code],$A42,T_SelfStock[WeekIndex],50)&gt;0)*(COUNTIFS(T_TTAFStock[RM_Code],$A42,T_TTAFStock[WeekIndex],50)&gt;0)&gt;0,SUMIFS(T_SelfStock[Self_Qty],T_SelfStock[RM_Code],$A42,T_SelfStock[WeekIndex],50)+SUMIFS(T_TTAFStock[TTAF_Qty],T_TTAFStock[RM_Code],$A42,T_TTAFStock[WeekIndex],50),AX42+'Grid_Incoming'!AY42-'Grid_Requirement'!AY42))</f>
        <v/>
      </c>
      <c r="AZ42">
        <f>IF(COUNTIFS(T_StockCount[RM_Code],$A42,T_StockCount[WeekIndex],51)&gt;0,SUMIFS(T_StockCount[CountedQty],T_StockCount[RM_Code],$A42,T_StockCount[WeekIndex],51),IF((COUNTIFS(T_SelfStock[RM_Code],$A42,T_SelfStock[WeekIndex],51)&gt;0)*(COUNTIFS(T_TTAFStock[RM_Code],$A42,T_TTAFStock[WeekIndex],51)&gt;0)&gt;0,SUMIFS(T_SelfStock[Self_Qty],T_SelfStock[RM_Code],$A42,T_SelfStock[WeekIndex],51)+SUMIFS(T_TTAFStock[TTAF_Qty],T_TTAFStock[RM_Code],$A42,T_TTAFStock[WeekIndex],51),AY42+'Grid_Incoming'!AZ42-'Grid_Requirement'!AZ42))</f>
        <v/>
      </c>
      <c r="BA42">
        <f>IF(COUNTIFS(T_StockCount[RM_Code],$A42,T_StockCount[WeekIndex],52)&gt;0,SUMIFS(T_StockCount[CountedQty],T_StockCount[RM_Code],$A42,T_StockCount[WeekIndex],52),IF((COUNTIFS(T_SelfStock[RM_Code],$A42,T_SelfStock[WeekIndex],52)&gt;0)*(COUNTIFS(T_TTAFStock[RM_Code],$A42,T_TTAFStock[WeekIndex],52)&gt;0)&gt;0,SUMIFS(T_SelfStock[Self_Qty],T_SelfStock[RM_Code],$A42,T_SelfStock[WeekIndex],52)+SUMIFS(T_TTAFStock[TTAF_Qty],T_TTAFStock[RM_Code],$A42,T_TTAFStock[WeekIndex],52),AZ42+'Grid_Incoming'!BA42-'Grid_Requirement'!BA42))</f>
        <v/>
      </c>
      <c r="BB42">
        <f>IF(COUNTIFS(T_StockCount[RM_Code],$A42,T_StockCount[WeekIndex],53)&gt;0,SUMIFS(T_StockCount[CountedQty],T_StockCount[RM_Code],$A42,T_StockCount[WeekIndex],53),IF((COUNTIFS(T_SelfStock[RM_Code],$A42,T_SelfStock[WeekIndex],53)&gt;0)*(COUNTIFS(T_TTAFStock[RM_Code],$A42,T_TTAFStock[WeekIndex],53)&gt;0)&gt;0,SUMIFS(T_SelfStock[Self_Qty],T_SelfStock[RM_Code],$A42,T_SelfStock[WeekIndex],53)+SUMIFS(T_TTAFStock[TTAF_Qty],T_TTAFStock[RM_Code],$A42,T_TTAFStock[WeekIndex],53),BA42+'Grid_Incoming'!BB42-'Grid_Requirement'!BB42))</f>
        <v/>
      </c>
      <c r="BC42">
        <f>IF(COUNTIFS(T_StockCount[RM_Code],$A42,T_StockCount[WeekIndex],54)&gt;0,SUMIFS(T_StockCount[CountedQty],T_StockCount[RM_Code],$A42,T_StockCount[WeekIndex],54),IF((COUNTIFS(T_SelfStock[RM_Code],$A42,T_SelfStock[WeekIndex],54)&gt;0)*(COUNTIFS(T_TTAFStock[RM_Code],$A42,T_TTAFStock[WeekIndex],54)&gt;0)&gt;0,SUMIFS(T_SelfStock[Self_Qty],T_SelfStock[RM_Code],$A42,T_SelfStock[WeekIndex],54)+SUMIFS(T_TTAFStock[TTAF_Qty],T_TTAFStock[RM_Code],$A42,T_TTAFStock[WeekIndex],54),BB42+'Grid_Incoming'!BC42-'Grid_Requirement'!BC42))</f>
        <v/>
      </c>
      <c r="BD42">
        <f>IF(COUNTIFS(T_StockCount[RM_Code],$A42,T_StockCount[WeekIndex],55)&gt;0,SUMIFS(T_StockCount[CountedQty],T_StockCount[RM_Code],$A42,T_StockCount[WeekIndex],55),IF((COUNTIFS(T_SelfStock[RM_Code],$A42,T_SelfStock[WeekIndex],55)&gt;0)*(COUNTIFS(T_TTAFStock[RM_Code],$A42,T_TTAFStock[WeekIndex],55)&gt;0)&gt;0,SUMIFS(T_SelfStock[Self_Qty],T_SelfStock[RM_Code],$A42,T_SelfStock[WeekIndex],55)+SUMIFS(T_TTAFStock[TTAF_Qty],T_TTAFStock[RM_Code],$A42,T_TTAFStock[WeekIndex],55),BC42+'Grid_Incoming'!BD42-'Grid_Requirement'!BD42))</f>
        <v/>
      </c>
      <c r="BE42">
        <f>IF(COUNTIFS(T_StockCount[RM_Code],$A42,T_StockCount[WeekIndex],56)&gt;0,SUMIFS(T_StockCount[CountedQty],T_StockCount[RM_Code],$A42,T_StockCount[WeekIndex],56),IF((COUNTIFS(T_SelfStock[RM_Code],$A42,T_SelfStock[WeekIndex],56)&gt;0)*(COUNTIFS(T_TTAFStock[RM_Code],$A42,T_TTAFStock[WeekIndex],56)&gt;0)&gt;0,SUMIFS(T_SelfStock[Self_Qty],T_SelfStock[RM_Code],$A42,T_SelfStock[WeekIndex],56)+SUMIFS(T_TTAFStock[TTAF_Qty],T_TTAFStock[RM_Code],$A42,T_TTAFStock[WeekIndex],56),BD42+'Grid_Incoming'!BE42-'Grid_Requirement'!BE42))</f>
        <v/>
      </c>
      <c r="BF42">
        <f>IF(COUNTIFS(T_StockCount[RM_Code],$A42,T_StockCount[WeekIndex],57)&gt;0,SUMIFS(T_StockCount[CountedQty],T_StockCount[RM_Code],$A42,T_StockCount[WeekIndex],57),IF((COUNTIFS(T_SelfStock[RM_Code],$A42,T_SelfStock[WeekIndex],57)&gt;0)*(COUNTIFS(T_TTAFStock[RM_Code],$A42,T_TTAFStock[WeekIndex],57)&gt;0)&gt;0,SUMIFS(T_SelfStock[Self_Qty],T_SelfStock[RM_Code],$A42,T_SelfStock[WeekIndex],57)+SUMIFS(T_TTAFStock[TTAF_Qty],T_TTAFStock[RM_Code],$A42,T_TTAFStock[WeekIndex],57),BE42+'Grid_Incoming'!BF42-'Grid_Requirement'!BF42))</f>
        <v/>
      </c>
      <c r="BG42">
        <f>IF(COUNTIFS(T_StockCount[RM_Code],$A42,T_StockCount[WeekIndex],58)&gt;0,SUMIFS(T_StockCount[CountedQty],T_StockCount[RM_Code],$A42,T_StockCount[WeekIndex],58),IF((COUNTIFS(T_SelfStock[RM_Code],$A42,T_SelfStock[WeekIndex],58)&gt;0)*(COUNTIFS(T_TTAFStock[RM_Code],$A42,T_TTAFStock[WeekIndex],58)&gt;0)&gt;0,SUMIFS(T_SelfStock[Self_Qty],T_SelfStock[RM_Code],$A42,T_SelfStock[WeekIndex],58)+SUMIFS(T_TTAFStock[TTAF_Qty],T_TTAFStock[RM_Code],$A42,T_TTAFStock[WeekIndex],58),BF42+'Grid_Incoming'!BG42-'Grid_Requirement'!BG42))</f>
        <v/>
      </c>
      <c r="BH42">
        <f>IF(COUNTIFS(T_StockCount[RM_Code],$A42,T_StockCount[WeekIndex],59)&gt;0,SUMIFS(T_StockCount[CountedQty],T_StockCount[RM_Code],$A42,T_StockCount[WeekIndex],59),IF((COUNTIFS(T_SelfStock[RM_Code],$A42,T_SelfStock[WeekIndex],59)&gt;0)*(COUNTIFS(T_TTAFStock[RM_Code],$A42,T_TTAFStock[WeekIndex],59)&gt;0)&gt;0,SUMIFS(T_SelfStock[Self_Qty],T_SelfStock[RM_Code],$A42,T_SelfStock[WeekIndex],59)+SUMIFS(T_TTAFStock[TTAF_Qty],T_TTAFStock[RM_Code],$A42,T_TTAFStock[WeekIndex],59),BG42+'Grid_Incoming'!BH42-'Grid_Requirement'!BH42))</f>
        <v/>
      </c>
      <c r="BI42">
        <f>IF(COUNTIFS(T_StockCount[RM_Code],$A42,T_StockCount[WeekIndex],60)&gt;0,SUMIFS(T_StockCount[CountedQty],T_StockCount[RM_Code],$A42,T_StockCount[WeekIndex],60),IF((COUNTIFS(T_SelfStock[RM_Code],$A42,T_SelfStock[WeekIndex],60)&gt;0)*(COUNTIFS(T_TTAFStock[RM_Code],$A42,T_TTAFStock[WeekIndex],60)&gt;0)&gt;0,SUMIFS(T_SelfStock[Self_Qty],T_SelfStock[RM_Code],$A42,T_SelfStock[WeekIndex],60)+SUMIFS(T_TTAFStock[TTAF_Qty],T_TTAFStock[RM_Code],$A42,T_TTAFStock[WeekIndex],60),BH42+'Grid_Incoming'!BI42-'Grid_Requirement'!BI42))</f>
        <v/>
      </c>
      <c r="BJ42">
        <f>IF(COUNTIFS(T_StockCount[RM_Code],$A42,T_StockCount[WeekIndex],61)&gt;0,SUMIFS(T_StockCount[CountedQty],T_StockCount[RM_Code],$A42,T_StockCount[WeekIndex],61),IF((COUNTIFS(T_SelfStock[RM_Code],$A42,T_SelfStock[WeekIndex],61)&gt;0)*(COUNTIFS(T_TTAFStock[RM_Code],$A42,T_TTAFStock[WeekIndex],61)&gt;0)&gt;0,SUMIFS(T_SelfStock[Self_Qty],T_SelfStock[RM_Code],$A42,T_SelfStock[WeekIndex],61)+SUMIFS(T_TTAFStock[TTAF_Qty],T_TTAFStock[RM_Code],$A42,T_TTAFStock[WeekIndex],61),BI42+'Grid_Incoming'!BJ42-'Grid_Requirement'!BJ42))</f>
        <v/>
      </c>
      <c r="BK42">
        <f>IF(COUNTIFS(T_StockCount[RM_Code],$A42,T_StockCount[WeekIndex],62)&gt;0,SUMIFS(T_StockCount[CountedQty],T_StockCount[RM_Code],$A42,T_StockCount[WeekIndex],62),IF((COUNTIFS(T_SelfStock[RM_Code],$A42,T_SelfStock[WeekIndex],62)&gt;0)*(COUNTIFS(T_TTAFStock[RM_Code],$A42,T_TTAFStock[WeekIndex],62)&gt;0)&gt;0,SUMIFS(T_SelfStock[Self_Qty],T_SelfStock[RM_Code],$A42,T_SelfStock[WeekIndex],62)+SUMIFS(T_TTAFStock[TTAF_Qty],T_TTAFStock[RM_Code],$A42,T_TTAFStock[WeekIndex],62),BJ42+'Grid_Incoming'!BK42-'Grid_Requirement'!BK42))</f>
        <v/>
      </c>
      <c r="BL42">
        <f>IF(COUNTIFS(T_StockCount[RM_Code],$A42,T_StockCount[WeekIndex],63)&gt;0,SUMIFS(T_StockCount[CountedQty],T_StockCount[RM_Code],$A42,T_StockCount[WeekIndex],63),IF((COUNTIFS(T_SelfStock[RM_Code],$A42,T_SelfStock[WeekIndex],63)&gt;0)*(COUNTIFS(T_TTAFStock[RM_Code],$A42,T_TTAFStock[WeekIndex],63)&gt;0)&gt;0,SUMIFS(T_SelfStock[Self_Qty],T_SelfStock[RM_Code],$A42,T_SelfStock[WeekIndex],63)+SUMIFS(T_TTAFStock[TTAF_Qty],T_TTAFStock[RM_Code],$A42,T_TTAFStock[WeekIndex],63),BK42+'Grid_Incoming'!BL42-'Grid_Requirement'!BL42))</f>
        <v/>
      </c>
      <c r="BM42">
        <f>IF(COUNTIFS(T_StockCount[RM_Code],$A42,T_StockCount[WeekIndex],64)&gt;0,SUMIFS(T_StockCount[CountedQty],T_StockCount[RM_Code],$A42,T_StockCount[WeekIndex],64),IF((COUNTIFS(T_SelfStock[RM_Code],$A42,T_SelfStock[WeekIndex],64)&gt;0)*(COUNTIFS(T_TTAFStock[RM_Code],$A42,T_TTAFStock[WeekIndex],64)&gt;0)&gt;0,SUMIFS(T_SelfStock[Self_Qty],T_SelfStock[RM_Code],$A42,T_SelfStock[WeekIndex],64)+SUMIFS(T_TTAFStock[TTAF_Qty],T_TTAFStock[RM_Code],$A42,T_TTAFStock[WeekIndex],64),BL42+'Grid_Incoming'!BM42-'Grid_Requirement'!BM42))</f>
        <v/>
      </c>
      <c r="BN42">
        <f>IF(COUNTIFS(T_StockCount[RM_Code],$A42,T_StockCount[WeekIndex],65)&gt;0,SUMIFS(T_StockCount[CountedQty],T_StockCount[RM_Code],$A42,T_StockCount[WeekIndex],65),IF((COUNTIFS(T_SelfStock[RM_Code],$A42,T_SelfStock[WeekIndex],65)&gt;0)*(COUNTIFS(T_TTAFStock[RM_Code],$A42,T_TTAFStock[WeekIndex],65)&gt;0)&gt;0,SUMIFS(T_SelfStock[Self_Qty],T_SelfStock[RM_Code],$A42,T_SelfStock[WeekIndex],65)+SUMIFS(T_TTAFStock[TTAF_Qty],T_TTAFStock[RM_Code],$A42,T_TTAFStock[WeekIndex],65),BM42+'Grid_Incoming'!BN42-'Grid_Requirement'!BN42))</f>
        <v/>
      </c>
      <c r="BO42">
        <f>IF(COUNTIFS(T_StockCount[RM_Code],$A42,T_StockCount[WeekIndex],66)&gt;0,SUMIFS(T_StockCount[CountedQty],T_StockCount[RM_Code],$A42,T_StockCount[WeekIndex],66),IF((COUNTIFS(T_SelfStock[RM_Code],$A42,T_SelfStock[WeekIndex],66)&gt;0)*(COUNTIFS(T_TTAFStock[RM_Code],$A42,T_TTAFStock[WeekIndex],66)&gt;0)&gt;0,SUMIFS(T_SelfStock[Self_Qty],T_SelfStock[RM_Code],$A42,T_SelfStock[WeekIndex],66)+SUMIFS(T_TTAFStock[TTAF_Qty],T_TTAFStock[RM_Code],$A42,T_TTAFStock[WeekIndex],66),BN42+'Grid_Incoming'!BO42-'Grid_Requirement'!BO42))</f>
        <v/>
      </c>
      <c r="BP42">
        <f>IF(COUNTIFS(T_StockCount[RM_Code],$A42,T_StockCount[WeekIndex],67)&gt;0,SUMIFS(T_StockCount[CountedQty],T_StockCount[RM_Code],$A42,T_StockCount[WeekIndex],67),IF((COUNTIFS(T_SelfStock[RM_Code],$A42,T_SelfStock[WeekIndex],67)&gt;0)*(COUNTIFS(T_TTAFStock[RM_Code],$A42,T_TTAFStock[WeekIndex],67)&gt;0)&gt;0,SUMIFS(T_SelfStock[Self_Qty],T_SelfStock[RM_Code],$A42,T_SelfStock[WeekIndex],67)+SUMIFS(T_TTAFStock[TTAF_Qty],T_TTAFStock[RM_Code],$A42,T_TTAFStock[WeekIndex],67),BO42+'Grid_Incoming'!BP42-'Grid_Requirement'!BP42))</f>
        <v/>
      </c>
      <c r="BQ42">
        <f>IF(COUNTIFS(T_StockCount[RM_Code],$A42,T_StockCount[WeekIndex],68)&gt;0,SUMIFS(T_StockCount[CountedQty],T_StockCount[RM_Code],$A42,T_StockCount[WeekIndex],68),IF((COUNTIFS(T_SelfStock[RM_Code],$A42,T_SelfStock[WeekIndex],68)&gt;0)*(COUNTIFS(T_TTAFStock[RM_Code],$A42,T_TTAFStock[WeekIndex],68)&gt;0)&gt;0,SUMIFS(T_SelfStock[Self_Qty],T_SelfStock[RM_Code],$A42,T_SelfStock[WeekIndex],68)+SUMIFS(T_TTAFStock[TTAF_Qty],T_TTAFStock[RM_Code],$A42,T_TTAFStock[WeekIndex],68),BP42+'Grid_Incoming'!BQ42-'Grid_Requirement'!BQ42))</f>
        <v/>
      </c>
      <c r="BR42">
        <f>IF(COUNTIFS(T_StockCount[RM_Code],$A42,T_StockCount[WeekIndex],69)&gt;0,SUMIFS(T_StockCount[CountedQty],T_StockCount[RM_Code],$A42,T_StockCount[WeekIndex],69),IF((COUNTIFS(T_SelfStock[RM_Code],$A42,T_SelfStock[WeekIndex],69)&gt;0)*(COUNTIFS(T_TTAFStock[RM_Code],$A42,T_TTAFStock[WeekIndex],69)&gt;0)&gt;0,SUMIFS(T_SelfStock[Self_Qty],T_SelfStock[RM_Code],$A42,T_SelfStock[WeekIndex],69)+SUMIFS(T_TTAFStock[TTAF_Qty],T_TTAFStock[RM_Code],$A42,T_TTAFStock[WeekIndex],69),BQ42+'Grid_Incoming'!BR42-'Grid_Requirement'!BR42))</f>
        <v/>
      </c>
      <c r="BS42">
        <f>IF(COUNTIFS(T_StockCount[RM_Code],$A42,T_StockCount[WeekIndex],70)&gt;0,SUMIFS(T_StockCount[CountedQty],T_StockCount[RM_Code],$A42,T_StockCount[WeekIndex],70),IF((COUNTIFS(T_SelfStock[RM_Code],$A42,T_SelfStock[WeekIndex],70)&gt;0)*(COUNTIFS(T_TTAFStock[RM_Code],$A42,T_TTAFStock[WeekIndex],70)&gt;0)&gt;0,SUMIFS(T_SelfStock[Self_Qty],T_SelfStock[RM_Code],$A42,T_SelfStock[WeekIndex],70)+SUMIFS(T_TTAFStock[TTAF_Qty],T_TTAFStock[RM_Code],$A42,T_TTAFStock[WeekIndex],70),BR42+'Grid_Incoming'!BS42-'Grid_Requirement'!BS42))</f>
        <v/>
      </c>
      <c r="BT42">
        <f>IF(COUNTIFS(T_StockCount[RM_Code],$A42,T_StockCount[WeekIndex],71)&gt;0,SUMIFS(T_StockCount[CountedQty],T_StockCount[RM_Code],$A42,T_StockCount[WeekIndex],71),IF((COUNTIFS(T_SelfStock[RM_Code],$A42,T_SelfStock[WeekIndex],71)&gt;0)*(COUNTIFS(T_TTAFStock[RM_Code],$A42,T_TTAFStock[WeekIndex],71)&gt;0)&gt;0,SUMIFS(T_SelfStock[Self_Qty],T_SelfStock[RM_Code],$A42,T_SelfStock[WeekIndex],71)+SUMIFS(T_TTAFStock[TTAF_Qty],T_TTAFStock[RM_Code],$A42,T_TTAFStock[WeekIndex],71),BS42+'Grid_Incoming'!BT42-'Grid_Requirement'!BT42))</f>
        <v/>
      </c>
      <c r="BU42">
        <f>IF(COUNTIFS(T_StockCount[RM_Code],$A42,T_StockCount[WeekIndex],72)&gt;0,SUMIFS(T_StockCount[CountedQty],T_StockCount[RM_Code],$A42,T_StockCount[WeekIndex],72),IF((COUNTIFS(T_SelfStock[RM_Code],$A42,T_SelfStock[WeekIndex],72)&gt;0)*(COUNTIFS(T_TTAFStock[RM_Code],$A42,T_TTAFStock[WeekIndex],72)&gt;0)&gt;0,SUMIFS(T_SelfStock[Self_Qty],T_SelfStock[RM_Code],$A42,T_SelfStock[WeekIndex],72)+SUMIFS(T_TTAFStock[TTAF_Qty],T_TTAFStock[RM_Code],$A42,T_TTAFStock[WeekIndex],72),BT42+'Grid_Incoming'!BU42-'Grid_Requirement'!BU42))</f>
        <v/>
      </c>
      <c r="BV42">
        <f>IF(COUNTIFS(T_StockCount[RM_Code],$A42,T_StockCount[WeekIndex],73)&gt;0,SUMIFS(T_StockCount[CountedQty],T_StockCount[RM_Code],$A42,T_StockCount[WeekIndex],73),IF((COUNTIFS(T_SelfStock[RM_Code],$A42,T_SelfStock[WeekIndex],73)&gt;0)*(COUNTIFS(T_TTAFStock[RM_Code],$A42,T_TTAFStock[WeekIndex],73)&gt;0)&gt;0,SUMIFS(T_SelfStock[Self_Qty],T_SelfStock[RM_Code],$A42,T_SelfStock[WeekIndex],73)+SUMIFS(T_TTAFStock[TTAF_Qty],T_TTAFStock[RM_Code],$A42,T_TTAFStock[WeekIndex],73),BU42+'Grid_Incoming'!BV42-'Grid_Requirement'!BV42))</f>
        <v/>
      </c>
      <c r="BW42">
        <f>IF(COUNTIFS(T_StockCount[RM_Code],$A42,T_StockCount[WeekIndex],74)&gt;0,SUMIFS(T_StockCount[CountedQty],T_StockCount[RM_Code],$A42,T_StockCount[WeekIndex],74),IF((COUNTIFS(T_SelfStock[RM_Code],$A42,T_SelfStock[WeekIndex],74)&gt;0)*(COUNTIFS(T_TTAFStock[RM_Code],$A42,T_TTAFStock[WeekIndex],74)&gt;0)&gt;0,SUMIFS(T_SelfStock[Self_Qty],T_SelfStock[RM_Code],$A42,T_SelfStock[WeekIndex],74)+SUMIFS(T_TTAFStock[TTAF_Qty],T_TTAFStock[RM_Code],$A42,T_TTAFStock[WeekIndex],74),BV42+'Grid_Incoming'!BW42-'Grid_Requirement'!BW42))</f>
        <v/>
      </c>
      <c r="BX42">
        <f>IF(COUNTIFS(T_StockCount[RM_Code],$A42,T_StockCount[WeekIndex],75)&gt;0,SUMIFS(T_StockCount[CountedQty],T_StockCount[RM_Code],$A42,T_StockCount[WeekIndex],75),IF((COUNTIFS(T_SelfStock[RM_Code],$A42,T_SelfStock[WeekIndex],75)&gt;0)*(COUNTIFS(T_TTAFStock[RM_Code],$A42,T_TTAFStock[WeekIndex],75)&gt;0)&gt;0,SUMIFS(T_SelfStock[Self_Qty],T_SelfStock[RM_Code],$A42,T_SelfStock[WeekIndex],75)+SUMIFS(T_TTAFStock[TTAF_Qty],T_TTAFStock[RM_Code],$A42,T_TTAFStock[WeekIndex],75),BW42+'Grid_Incoming'!BX42-'Grid_Requirement'!BX42))</f>
        <v/>
      </c>
      <c r="BY42">
        <f>IF(COUNTIFS(T_StockCount[RM_Code],$A42,T_StockCount[WeekIndex],76)&gt;0,SUMIFS(T_StockCount[CountedQty],T_StockCount[RM_Code],$A42,T_StockCount[WeekIndex],76),IF((COUNTIFS(T_SelfStock[RM_Code],$A42,T_SelfStock[WeekIndex],76)&gt;0)*(COUNTIFS(T_TTAFStock[RM_Code],$A42,T_TTAFStock[WeekIndex],76)&gt;0)&gt;0,SUMIFS(T_SelfStock[Self_Qty],T_SelfStock[RM_Code],$A42,T_SelfStock[WeekIndex],76)+SUMIFS(T_TTAFStock[TTAF_Qty],T_TTAFStock[RM_Code],$A42,T_TTAFStock[WeekIndex],76),BX42+'Grid_Incoming'!BY42-'Grid_Requirement'!BY42))</f>
        <v/>
      </c>
      <c r="BZ42">
        <f>IF(COUNTIFS(T_StockCount[RM_Code],$A42,T_StockCount[WeekIndex],77)&gt;0,SUMIFS(T_StockCount[CountedQty],T_StockCount[RM_Code],$A42,T_StockCount[WeekIndex],77),IF((COUNTIFS(T_SelfStock[RM_Code],$A42,T_SelfStock[WeekIndex],77)&gt;0)*(COUNTIFS(T_TTAFStock[RM_Code],$A42,T_TTAFStock[WeekIndex],77)&gt;0)&gt;0,SUMIFS(T_SelfStock[Self_Qty],T_SelfStock[RM_Code],$A42,T_SelfStock[WeekIndex],77)+SUMIFS(T_TTAFStock[TTAF_Qty],T_TTAFStock[RM_Code],$A42,T_TTAFStock[WeekIndex],77),BY42+'Grid_Incoming'!BZ42-'Grid_Requirement'!BZ42))</f>
        <v/>
      </c>
      <c r="CA42">
        <f>IF(COUNTIFS(T_StockCount[RM_Code],$A42,T_StockCount[WeekIndex],78)&gt;0,SUMIFS(T_StockCount[CountedQty],T_StockCount[RM_Code],$A42,T_StockCount[WeekIndex],78),IF((COUNTIFS(T_SelfStock[RM_Code],$A42,T_SelfStock[WeekIndex],78)&gt;0)*(COUNTIFS(T_TTAFStock[RM_Code],$A42,T_TTAFStock[WeekIndex],78)&gt;0)&gt;0,SUMIFS(T_SelfStock[Self_Qty],T_SelfStock[RM_Code],$A42,T_SelfStock[WeekIndex],78)+SUMIFS(T_TTAFStock[TTAF_Qty],T_TTAFStock[RM_Code],$A42,T_TTAFStock[WeekIndex],78),BZ42+'Grid_Incoming'!CA42-'Grid_Requirement'!CA42))</f>
        <v/>
      </c>
      <c r="CB42">
        <f>IF(COUNTIFS(T_StockCount[RM_Code],$A42,T_StockCount[WeekIndex],79)&gt;0,SUMIFS(T_StockCount[CountedQty],T_StockCount[RM_Code],$A42,T_StockCount[WeekIndex],79),IF((COUNTIFS(T_SelfStock[RM_Code],$A42,T_SelfStock[WeekIndex],79)&gt;0)*(COUNTIFS(T_TTAFStock[RM_Code],$A42,T_TTAFStock[WeekIndex],79)&gt;0)&gt;0,SUMIFS(T_SelfStock[Self_Qty],T_SelfStock[RM_Code],$A42,T_SelfStock[WeekIndex],79)+SUMIFS(T_TTAFStock[TTAF_Qty],T_TTAFStock[RM_Code],$A42,T_TTAFStock[WeekIndex],79),CA42+'Grid_Incoming'!CB42-'Grid_Requirement'!CB42))</f>
        <v/>
      </c>
      <c r="CC42">
        <f>IF(COUNTIFS(T_StockCount[RM_Code],$A42,T_StockCount[WeekIndex],80)&gt;0,SUMIFS(T_StockCount[CountedQty],T_StockCount[RM_Code],$A42,T_StockCount[WeekIndex],80),IF((COUNTIFS(T_SelfStock[RM_Code],$A42,T_SelfStock[WeekIndex],80)&gt;0)*(COUNTIFS(T_TTAFStock[RM_Code],$A42,T_TTAFStock[WeekIndex],80)&gt;0)&gt;0,SUMIFS(T_SelfStock[Self_Qty],T_SelfStock[RM_Code],$A42,T_SelfStock[WeekIndex],80)+SUMIFS(T_TTAFStock[TTAF_Qty],T_TTAFStock[RM_Code],$A42,T_TTAFStock[WeekIndex],80),CB42+'Grid_Incoming'!CC42-'Grid_Requirement'!CC42))</f>
        <v/>
      </c>
      <c r="CD42">
        <f>IF(COUNTIFS(T_StockCount[RM_Code],$A42,T_StockCount[WeekIndex],81)&gt;0,SUMIFS(T_StockCount[CountedQty],T_StockCount[RM_Code],$A42,T_StockCount[WeekIndex],81),IF((COUNTIFS(T_SelfStock[RM_Code],$A42,T_SelfStock[WeekIndex],81)&gt;0)*(COUNTIFS(T_TTAFStock[RM_Code],$A42,T_TTAFStock[WeekIndex],81)&gt;0)&gt;0,SUMIFS(T_SelfStock[Self_Qty],T_SelfStock[RM_Code],$A42,T_SelfStock[WeekIndex],81)+SUMIFS(T_TTAFStock[TTAF_Qty],T_TTAFStock[RM_Code],$A42,T_TTAFStock[WeekIndex],81),CC42+'Grid_Incoming'!CD42-'Grid_Requirement'!CD42))</f>
        <v/>
      </c>
      <c r="CE42">
        <f>IF(COUNTIFS(T_StockCount[RM_Code],$A42,T_StockCount[WeekIndex],82)&gt;0,SUMIFS(T_StockCount[CountedQty],T_StockCount[RM_Code],$A42,T_StockCount[WeekIndex],82),IF((COUNTIFS(T_SelfStock[RM_Code],$A42,T_SelfStock[WeekIndex],82)&gt;0)*(COUNTIFS(T_TTAFStock[RM_Code],$A42,T_TTAFStock[WeekIndex],82)&gt;0)&gt;0,SUMIFS(T_SelfStock[Self_Qty],T_SelfStock[RM_Code],$A42,T_SelfStock[WeekIndex],82)+SUMIFS(T_TTAFStock[TTAF_Qty],T_TTAFStock[RM_Code],$A42,T_TTAFStock[WeekIndex],82),CD42+'Grid_Incoming'!CE42-'Grid_Requirement'!CE42))</f>
        <v/>
      </c>
      <c r="CF42">
        <f>IF(COUNTIFS(T_StockCount[RM_Code],$A42,T_StockCount[WeekIndex],83)&gt;0,SUMIFS(T_StockCount[CountedQty],T_StockCount[RM_Code],$A42,T_StockCount[WeekIndex],83),IF((COUNTIFS(T_SelfStock[RM_Code],$A42,T_SelfStock[WeekIndex],83)&gt;0)*(COUNTIFS(T_TTAFStock[RM_Code],$A42,T_TTAFStock[WeekIndex],83)&gt;0)&gt;0,SUMIFS(T_SelfStock[Self_Qty],T_SelfStock[RM_Code],$A42,T_SelfStock[WeekIndex],83)+SUMIFS(T_TTAFStock[TTAF_Qty],T_TTAFStock[RM_Code],$A42,T_TTAFStock[WeekIndex],83),CE42+'Grid_Incoming'!CF42-'Grid_Requirement'!CF42))</f>
        <v/>
      </c>
      <c r="CG42">
        <f>IF(COUNTIFS(T_StockCount[RM_Code],$A42,T_StockCount[WeekIndex],84)&gt;0,SUMIFS(T_StockCount[CountedQty],T_StockCount[RM_Code],$A42,T_StockCount[WeekIndex],84),IF((COUNTIFS(T_SelfStock[RM_Code],$A42,T_SelfStock[WeekIndex],84)&gt;0)*(COUNTIFS(T_TTAFStock[RM_Code],$A42,T_TTAFStock[WeekIndex],84)&gt;0)&gt;0,SUMIFS(T_SelfStock[Self_Qty],T_SelfStock[RM_Code],$A42,T_SelfStock[WeekIndex],84)+SUMIFS(T_TTAFStock[TTAF_Qty],T_TTAFStock[RM_Code],$A42,T_TTAFStock[WeekIndex],84),CF42+'Grid_Incoming'!CG42-'Grid_Requirement'!CG42))</f>
        <v/>
      </c>
      <c r="CH42">
        <f>IF(COUNTIFS(T_StockCount[RM_Code],$A42,T_StockCount[WeekIndex],85)&gt;0,SUMIFS(T_StockCount[CountedQty],T_StockCount[RM_Code],$A42,T_StockCount[WeekIndex],85),IF((COUNTIFS(T_SelfStock[RM_Code],$A42,T_SelfStock[WeekIndex],85)&gt;0)*(COUNTIFS(T_TTAFStock[RM_Code],$A42,T_TTAFStock[WeekIndex],85)&gt;0)&gt;0,SUMIFS(T_SelfStock[Self_Qty],T_SelfStock[RM_Code],$A42,T_SelfStock[WeekIndex],85)+SUMIFS(T_TTAFStock[TTAF_Qty],T_TTAFStock[RM_Code],$A42,T_TTAFStock[WeekIndex],85),CG42+'Grid_Incoming'!CH42-'Grid_Requirement'!CH42))</f>
        <v/>
      </c>
      <c r="CI42">
        <f>IF(COUNTIFS(T_StockCount[RM_Code],$A42,T_StockCount[WeekIndex],86)&gt;0,SUMIFS(T_StockCount[CountedQty],T_StockCount[RM_Code],$A42,T_StockCount[WeekIndex],86),IF((COUNTIFS(T_SelfStock[RM_Code],$A42,T_SelfStock[WeekIndex],86)&gt;0)*(COUNTIFS(T_TTAFStock[RM_Code],$A42,T_TTAFStock[WeekIndex],86)&gt;0)&gt;0,SUMIFS(T_SelfStock[Self_Qty],T_SelfStock[RM_Code],$A42,T_SelfStock[WeekIndex],86)+SUMIFS(T_TTAFStock[TTAF_Qty],T_TTAFStock[RM_Code],$A42,T_TTAFStock[WeekIndex],86),CH42+'Grid_Incoming'!CI42-'Grid_Requirement'!CI42))</f>
        <v/>
      </c>
      <c r="CJ42">
        <f>IF(COUNTIFS(T_StockCount[RM_Code],$A42,T_StockCount[WeekIndex],87)&gt;0,SUMIFS(T_StockCount[CountedQty],T_StockCount[RM_Code],$A42,T_StockCount[WeekIndex],87),IF((COUNTIFS(T_SelfStock[RM_Code],$A42,T_SelfStock[WeekIndex],87)&gt;0)*(COUNTIFS(T_TTAFStock[RM_Code],$A42,T_TTAFStock[WeekIndex],87)&gt;0)&gt;0,SUMIFS(T_SelfStock[Self_Qty],T_SelfStock[RM_Code],$A42,T_SelfStock[WeekIndex],87)+SUMIFS(T_TTAFStock[TTAF_Qty],T_TTAFStock[RM_Code],$A42,T_TTAFStock[WeekIndex],87),CI42+'Grid_Incoming'!CJ42-'Grid_Requirement'!CJ42))</f>
        <v/>
      </c>
      <c r="CK42">
        <f>IF(COUNTIFS(T_StockCount[RM_Code],$A42,T_StockCount[WeekIndex],88)&gt;0,SUMIFS(T_StockCount[CountedQty],T_StockCount[RM_Code],$A42,T_StockCount[WeekIndex],88),IF((COUNTIFS(T_SelfStock[RM_Code],$A42,T_SelfStock[WeekIndex],88)&gt;0)*(COUNTIFS(T_TTAFStock[RM_Code],$A42,T_TTAFStock[WeekIndex],88)&gt;0)&gt;0,SUMIFS(T_SelfStock[Self_Qty],T_SelfStock[RM_Code],$A42,T_SelfStock[WeekIndex],88)+SUMIFS(T_TTAFStock[TTAF_Qty],T_TTAFStock[RM_Code],$A42,T_TTAFStock[WeekIndex],88),CJ42+'Grid_Incoming'!CK42-'Grid_Requirement'!CK42))</f>
        <v/>
      </c>
      <c r="CL42">
        <f>IF(COUNTIFS(T_StockCount[RM_Code],$A42,T_StockCount[WeekIndex],89)&gt;0,SUMIFS(T_StockCount[CountedQty],T_StockCount[RM_Code],$A42,T_StockCount[WeekIndex],89),IF((COUNTIFS(T_SelfStock[RM_Code],$A42,T_SelfStock[WeekIndex],89)&gt;0)*(COUNTIFS(T_TTAFStock[RM_Code],$A42,T_TTAFStock[WeekIndex],89)&gt;0)&gt;0,SUMIFS(T_SelfStock[Self_Qty],T_SelfStock[RM_Code],$A42,T_SelfStock[WeekIndex],89)+SUMIFS(T_TTAFStock[TTAF_Qty],T_TTAFStock[RM_Code],$A42,T_TTAFStock[WeekIndex],89),CK42+'Grid_Incoming'!CL42-'Grid_Requirement'!CL42))</f>
        <v/>
      </c>
      <c r="CM42">
        <f>IF(COUNTIFS(T_StockCount[RM_Code],$A42,T_StockCount[WeekIndex],90)&gt;0,SUMIFS(T_StockCount[CountedQty],T_StockCount[RM_Code],$A42,T_StockCount[WeekIndex],90),IF((COUNTIFS(T_SelfStock[RM_Code],$A42,T_SelfStock[WeekIndex],90)&gt;0)*(COUNTIFS(T_TTAFStock[RM_Code],$A42,T_TTAFStock[WeekIndex],90)&gt;0)&gt;0,SUMIFS(T_SelfStock[Self_Qty],T_SelfStock[RM_Code],$A42,T_SelfStock[WeekIndex],90)+SUMIFS(T_TTAFStock[TTAF_Qty],T_TTAFStock[RM_Code],$A42,T_TTAFStock[WeekIndex],90),CL42+'Grid_Incoming'!CM42-'Grid_Requirement'!CM42))</f>
        <v/>
      </c>
      <c r="CN42">
        <f>IF(COUNTIFS(T_StockCount[RM_Code],$A42,T_StockCount[WeekIndex],91)&gt;0,SUMIFS(T_StockCount[CountedQty],T_StockCount[RM_Code],$A42,T_StockCount[WeekIndex],91),IF((COUNTIFS(T_SelfStock[RM_Code],$A42,T_SelfStock[WeekIndex],91)&gt;0)*(COUNTIFS(T_TTAFStock[RM_Code],$A42,T_TTAFStock[WeekIndex],91)&gt;0)&gt;0,SUMIFS(T_SelfStock[Self_Qty],T_SelfStock[RM_Code],$A42,T_SelfStock[WeekIndex],91)+SUMIFS(T_TTAFStock[TTAF_Qty],T_TTAFStock[RM_Code],$A42,T_TTAFStock[WeekIndex],91),CM42+'Grid_Incoming'!CN42-'Grid_Requirement'!CN42))</f>
        <v/>
      </c>
      <c r="CO42">
        <f>IF(COUNTIFS(T_StockCount[RM_Code],$A42,T_StockCount[WeekIndex],92)&gt;0,SUMIFS(T_StockCount[CountedQty],T_StockCount[RM_Code],$A42,T_StockCount[WeekIndex],92),IF((COUNTIFS(T_SelfStock[RM_Code],$A42,T_SelfStock[WeekIndex],92)&gt;0)*(COUNTIFS(T_TTAFStock[RM_Code],$A42,T_TTAFStock[WeekIndex],92)&gt;0)&gt;0,SUMIFS(T_SelfStock[Self_Qty],T_SelfStock[RM_Code],$A42,T_SelfStock[WeekIndex],92)+SUMIFS(T_TTAFStock[TTAF_Qty],T_TTAFStock[RM_Code],$A42,T_TTAFStock[WeekIndex],92),CN42+'Grid_Incoming'!CO42-'Grid_Requirement'!CO42))</f>
        <v/>
      </c>
      <c r="CP42">
        <f>IF(COUNTIFS(T_StockCount[RM_Code],$A42,T_StockCount[WeekIndex],93)&gt;0,SUMIFS(T_StockCount[CountedQty],T_StockCount[RM_Code],$A42,T_StockCount[WeekIndex],93),IF((COUNTIFS(T_SelfStock[RM_Code],$A42,T_SelfStock[WeekIndex],93)&gt;0)*(COUNTIFS(T_TTAFStock[RM_Code],$A42,T_TTAFStock[WeekIndex],93)&gt;0)&gt;0,SUMIFS(T_SelfStock[Self_Qty],T_SelfStock[RM_Code],$A42,T_SelfStock[WeekIndex],93)+SUMIFS(T_TTAFStock[TTAF_Qty],T_TTAFStock[RM_Code],$A42,T_TTAFStock[WeekIndex],93),CO42+'Grid_Incoming'!CP42-'Grid_Requirement'!CP42))</f>
        <v/>
      </c>
      <c r="CQ42">
        <f>IF(COUNTIFS(T_StockCount[RM_Code],$A42,T_StockCount[WeekIndex],94)&gt;0,SUMIFS(T_StockCount[CountedQty],T_StockCount[RM_Code],$A42,T_StockCount[WeekIndex],94),IF((COUNTIFS(T_SelfStock[RM_Code],$A42,T_SelfStock[WeekIndex],94)&gt;0)*(COUNTIFS(T_TTAFStock[RM_Code],$A42,T_TTAFStock[WeekIndex],94)&gt;0)&gt;0,SUMIFS(T_SelfStock[Self_Qty],T_SelfStock[RM_Code],$A42,T_SelfStock[WeekIndex],94)+SUMIFS(T_TTAFStock[TTAF_Qty],T_TTAFStock[RM_Code],$A42,T_TTAFStock[WeekIndex],94),CP42+'Grid_Incoming'!CQ42-'Grid_Requirement'!CQ42))</f>
        <v/>
      </c>
      <c r="CR42">
        <f>IF(COUNTIFS(T_StockCount[RM_Code],$A42,T_StockCount[WeekIndex],95)&gt;0,SUMIFS(T_StockCount[CountedQty],T_StockCount[RM_Code],$A42,T_StockCount[WeekIndex],95),IF((COUNTIFS(T_SelfStock[RM_Code],$A42,T_SelfStock[WeekIndex],95)&gt;0)*(COUNTIFS(T_TTAFStock[RM_Code],$A42,T_TTAFStock[WeekIndex],95)&gt;0)&gt;0,SUMIFS(T_SelfStock[Self_Qty],T_SelfStock[RM_Code],$A42,T_SelfStock[WeekIndex],95)+SUMIFS(T_TTAFStock[TTAF_Qty],T_TTAFStock[RM_Code],$A42,T_TTAFStock[WeekIndex],95),CQ42+'Grid_Incoming'!CR42-'Grid_Requirement'!CR42))</f>
        <v/>
      </c>
      <c r="CS42">
        <f>IF(COUNTIFS(T_StockCount[RM_Code],$A42,T_StockCount[WeekIndex],96)&gt;0,SUMIFS(T_StockCount[CountedQty],T_StockCount[RM_Code],$A42,T_StockCount[WeekIndex],96),IF((COUNTIFS(T_SelfStock[RM_Code],$A42,T_SelfStock[WeekIndex],96)&gt;0)*(COUNTIFS(T_TTAFStock[RM_Code],$A42,T_TTAFStock[WeekIndex],96)&gt;0)&gt;0,SUMIFS(T_SelfStock[Self_Qty],T_SelfStock[RM_Code],$A42,T_SelfStock[WeekIndex],96)+SUMIFS(T_TTAFStock[TTAF_Qty],T_TTAFStock[RM_Code],$A42,T_TTAFStock[WeekIndex],96),CR42+'Grid_Incoming'!CS42-'Grid_Requirement'!CS42))</f>
        <v/>
      </c>
      <c r="CT42">
        <f>IF(COUNTIFS(T_StockCount[RM_Code],$A42,T_StockCount[WeekIndex],97)&gt;0,SUMIFS(T_StockCount[CountedQty],T_StockCount[RM_Code],$A42,T_StockCount[WeekIndex],97),IF((COUNTIFS(T_SelfStock[RM_Code],$A42,T_SelfStock[WeekIndex],97)&gt;0)*(COUNTIFS(T_TTAFStock[RM_Code],$A42,T_TTAFStock[WeekIndex],97)&gt;0)&gt;0,SUMIFS(T_SelfStock[Self_Qty],T_SelfStock[RM_Code],$A42,T_SelfStock[WeekIndex],97)+SUMIFS(T_TTAFStock[TTAF_Qty],T_TTAFStock[RM_Code],$A42,T_TTAFStock[WeekIndex],97),CS42+'Grid_Incoming'!CT42-'Grid_Requirement'!CT42))</f>
        <v/>
      </c>
      <c r="CU42">
        <f>IF(COUNTIFS(T_StockCount[RM_Code],$A42,T_StockCount[WeekIndex],98)&gt;0,SUMIFS(T_StockCount[CountedQty],T_StockCount[RM_Code],$A42,T_StockCount[WeekIndex],98),IF((COUNTIFS(T_SelfStock[RM_Code],$A42,T_SelfStock[WeekIndex],98)&gt;0)*(COUNTIFS(T_TTAFStock[RM_Code],$A42,T_TTAFStock[WeekIndex],98)&gt;0)&gt;0,SUMIFS(T_SelfStock[Self_Qty],T_SelfStock[RM_Code],$A42,T_SelfStock[WeekIndex],98)+SUMIFS(T_TTAFStock[TTAF_Qty],T_TTAFStock[RM_Code],$A42,T_TTAFStock[WeekIndex],98),CT42+'Grid_Incoming'!CU42-'Grid_Requirement'!CU42))</f>
        <v/>
      </c>
      <c r="CV42">
        <f>IF(COUNTIFS(T_StockCount[RM_Code],$A42,T_StockCount[WeekIndex],99)&gt;0,SUMIFS(T_StockCount[CountedQty],T_StockCount[RM_Code],$A42,T_StockCount[WeekIndex],99),IF((COUNTIFS(T_SelfStock[RM_Code],$A42,T_SelfStock[WeekIndex],99)&gt;0)*(COUNTIFS(T_TTAFStock[RM_Code],$A42,T_TTAFStock[WeekIndex],99)&gt;0)&gt;0,SUMIFS(T_SelfStock[Self_Qty],T_SelfStock[RM_Code],$A42,T_SelfStock[WeekIndex],99)+SUMIFS(T_TTAFStock[TTAF_Qty],T_TTAFStock[RM_Code],$A42,T_TTAFStock[WeekIndex],99),CU42+'Grid_Incoming'!CV42-'Grid_Requirement'!CV42))</f>
        <v/>
      </c>
      <c r="CW42">
        <f>IF(COUNTIFS(T_StockCount[RM_Code],$A42,T_StockCount[WeekIndex],100)&gt;0,SUMIFS(T_StockCount[CountedQty],T_StockCount[RM_Code],$A42,T_StockCount[WeekIndex],100),IF((COUNTIFS(T_SelfStock[RM_Code],$A42,T_SelfStock[WeekIndex],100)&gt;0)*(COUNTIFS(T_TTAFStock[RM_Code],$A42,T_TTAFStock[WeekIndex],100)&gt;0)&gt;0,SUMIFS(T_SelfStock[Self_Qty],T_SelfStock[RM_Code],$A42,T_SelfStock[WeekIndex],100)+SUMIFS(T_TTAFStock[TTAF_Qty],T_TTAFStock[RM_Code],$A42,T_TTAFStock[WeekIndex],100),CV42+'Grid_Incoming'!CW42-'Grid_Requirement'!CW42))</f>
        <v/>
      </c>
      <c r="CX42">
        <f>IF(COUNTIFS(T_StockCount[RM_Code],$A42,T_StockCount[WeekIndex],101)&gt;0,SUMIFS(T_StockCount[CountedQty],T_StockCount[RM_Code],$A42,T_StockCount[WeekIndex],101),IF((COUNTIFS(T_SelfStock[RM_Code],$A42,T_SelfStock[WeekIndex],101)&gt;0)*(COUNTIFS(T_TTAFStock[RM_Code],$A42,T_TTAFStock[WeekIndex],101)&gt;0)&gt;0,SUMIFS(T_SelfStock[Self_Qty],T_SelfStock[RM_Code],$A42,T_SelfStock[WeekIndex],101)+SUMIFS(T_TTAFStock[TTAF_Qty],T_TTAFStock[RM_Code],$A42,T_TTAFStock[WeekIndex],101),CW42+'Grid_Incoming'!CX42-'Grid_Requirement'!CX42))</f>
        <v/>
      </c>
      <c r="CY42">
        <f>IF(COUNTIFS(T_StockCount[RM_Code],$A42,T_StockCount[WeekIndex],102)&gt;0,SUMIFS(T_StockCount[CountedQty],T_StockCount[RM_Code],$A42,T_StockCount[WeekIndex],102),IF((COUNTIFS(T_SelfStock[RM_Code],$A42,T_SelfStock[WeekIndex],102)&gt;0)*(COUNTIFS(T_TTAFStock[RM_Code],$A42,T_TTAFStock[WeekIndex],102)&gt;0)&gt;0,SUMIFS(T_SelfStock[Self_Qty],T_SelfStock[RM_Code],$A42,T_SelfStock[WeekIndex],102)+SUMIFS(T_TTAFStock[TTAF_Qty],T_TTAFStock[RM_Code],$A42,T_TTAFStock[WeekIndex],102),CX42+'Grid_Incoming'!CY42-'Grid_Requirement'!CY42))</f>
        <v/>
      </c>
      <c r="CZ42">
        <f>IF(COUNTIFS(T_StockCount[RM_Code],$A42,T_StockCount[WeekIndex],103)&gt;0,SUMIFS(T_StockCount[CountedQty],T_StockCount[RM_Code],$A42,T_StockCount[WeekIndex],103),IF((COUNTIFS(T_SelfStock[RM_Code],$A42,T_SelfStock[WeekIndex],103)&gt;0)*(COUNTIFS(T_TTAFStock[RM_Code],$A42,T_TTAFStock[WeekIndex],103)&gt;0)&gt;0,SUMIFS(T_SelfStock[Self_Qty],T_SelfStock[RM_Code],$A42,T_SelfStock[WeekIndex],103)+SUMIFS(T_TTAFStock[TTAF_Qty],T_TTAFStock[RM_Code],$A42,T_TTAFStock[WeekIndex],103),CY42+'Grid_Incoming'!CZ42-'Grid_Requirement'!CZ42))</f>
        <v/>
      </c>
      <c r="DA42">
        <f>IF(COUNTIFS(T_StockCount[RM_Code],$A42,T_StockCount[WeekIndex],104)&gt;0,SUMIFS(T_StockCount[CountedQty],T_StockCount[RM_Code],$A42,T_StockCount[WeekIndex],104),IF((COUNTIFS(T_SelfStock[RM_Code],$A42,T_SelfStock[WeekIndex],104)&gt;0)*(COUNTIFS(T_TTAFStock[RM_Code],$A42,T_TTAFStock[WeekIndex],104)&gt;0)&gt;0,SUMIFS(T_SelfStock[Self_Qty],T_SelfStock[RM_Code],$A42,T_SelfStock[WeekIndex],104)+SUMIFS(T_TTAFStock[TTAF_Qty],T_TTAFStock[RM_Code],$A42,T_TTAFStock[WeekIndex],104),CZ42+'Grid_Incoming'!DA42-'Grid_Requirement'!DA42))</f>
        <v/>
      </c>
    </row>
    <row r="43">
      <c r="A43" t="inlineStr">
        <is>
          <t>CHEM-1110</t>
        </is>
      </c>
      <c r="B43">
        <f>IF(COUNTIFS(T_StockCount[RM_Code],$A43,T_StockCount[WeekIndex],1)&gt;0,SUMIFS(T_StockCount[CountedQty],T_StockCount[RM_Code],$A43,T_StockCount[WeekIndex],1),IF((COUNTIFS(T_SelfStock[RM_Code],$A43,T_SelfStock[WeekIndex],1)&gt;0)*(COUNTIFS(T_TTAFStock[RM_Code],$A43,T_TTAFStock[WeekIndex],1)&gt;0)&gt;0,SUMIFS(T_SelfStock[Self_Qty],T_SelfStock[RM_Code],$A43,T_SelfStock[WeekIndex],1)+SUMIFS(T_TTAFStock[TTAF_Qty],T_TTAFStock[RM_Code],$A43,T_TTAFStock[WeekIndex],1),IFERROR(INDEX(T_OpeningStock[Opening_Qty],MATCH($A43,T_OpeningStock[RM_Code],0)),0)+'Grid_Incoming'!B43-'Grid_Requirement'!B43))</f>
        <v/>
      </c>
      <c r="C43">
        <f>IF(COUNTIFS(T_StockCount[RM_Code],$A43,T_StockCount[WeekIndex],2)&gt;0,SUMIFS(T_StockCount[CountedQty],T_StockCount[RM_Code],$A43,T_StockCount[WeekIndex],2),IF((COUNTIFS(T_SelfStock[RM_Code],$A43,T_SelfStock[WeekIndex],2)&gt;0)*(COUNTIFS(T_TTAFStock[RM_Code],$A43,T_TTAFStock[WeekIndex],2)&gt;0)&gt;0,SUMIFS(T_SelfStock[Self_Qty],T_SelfStock[RM_Code],$A43,T_SelfStock[WeekIndex],2)+SUMIFS(T_TTAFStock[TTAF_Qty],T_TTAFStock[RM_Code],$A43,T_TTAFStock[WeekIndex],2),B43+'Grid_Incoming'!C43-'Grid_Requirement'!C43))</f>
        <v/>
      </c>
      <c r="D43">
        <f>IF(COUNTIFS(T_StockCount[RM_Code],$A43,T_StockCount[WeekIndex],3)&gt;0,SUMIFS(T_StockCount[CountedQty],T_StockCount[RM_Code],$A43,T_StockCount[WeekIndex],3),IF((COUNTIFS(T_SelfStock[RM_Code],$A43,T_SelfStock[WeekIndex],3)&gt;0)*(COUNTIFS(T_TTAFStock[RM_Code],$A43,T_TTAFStock[WeekIndex],3)&gt;0)&gt;0,SUMIFS(T_SelfStock[Self_Qty],T_SelfStock[RM_Code],$A43,T_SelfStock[WeekIndex],3)+SUMIFS(T_TTAFStock[TTAF_Qty],T_TTAFStock[RM_Code],$A43,T_TTAFStock[WeekIndex],3),C43+'Grid_Incoming'!D43-'Grid_Requirement'!D43))</f>
        <v/>
      </c>
      <c r="E43">
        <f>IF(COUNTIFS(T_StockCount[RM_Code],$A43,T_StockCount[WeekIndex],4)&gt;0,SUMIFS(T_StockCount[CountedQty],T_StockCount[RM_Code],$A43,T_StockCount[WeekIndex],4),IF((COUNTIFS(T_SelfStock[RM_Code],$A43,T_SelfStock[WeekIndex],4)&gt;0)*(COUNTIFS(T_TTAFStock[RM_Code],$A43,T_TTAFStock[WeekIndex],4)&gt;0)&gt;0,SUMIFS(T_SelfStock[Self_Qty],T_SelfStock[RM_Code],$A43,T_SelfStock[WeekIndex],4)+SUMIFS(T_TTAFStock[TTAF_Qty],T_TTAFStock[RM_Code],$A43,T_TTAFStock[WeekIndex],4),D43+'Grid_Incoming'!E43-'Grid_Requirement'!E43))</f>
        <v/>
      </c>
      <c r="F43">
        <f>IF(COUNTIFS(T_StockCount[RM_Code],$A43,T_StockCount[WeekIndex],5)&gt;0,SUMIFS(T_StockCount[CountedQty],T_StockCount[RM_Code],$A43,T_StockCount[WeekIndex],5),IF((COUNTIFS(T_SelfStock[RM_Code],$A43,T_SelfStock[WeekIndex],5)&gt;0)*(COUNTIFS(T_TTAFStock[RM_Code],$A43,T_TTAFStock[WeekIndex],5)&gt;0)&gt;0,SUMIFS(T_SelfStock[Self_Qty],T_SelfStock[RM_Code],$A43,T_SelfStock[WeekIndex],5)+SUMIFS(T_TTAFStock[TTAF_Qty],T_TTAFStock[RM_Code],$A43,T_TTAFStock[WeekIndex],5),E43+'Grid_Incoming'!F43-'Grid_Requirement'!F43))</f>
        <v/>
      </c>
      <c r="G43">
        <f>IF(COUNTIFS(T_StockCount[RM_Code],$A43,T_StockCount[WeekIndex],6)&gt;0,SUMIFS(T_StockCount[CountedQty],T_StockCount[RM_Code],$A43,T_StockCount[WeekIndex],6),IF((COUNTIFS(T_SelfStock[RM_Code],$A43,T_SelfStock[WeekIndex],6)&gt;0)*(COUNTIFS(T_TTAFStock[RM_Code],$A43,T_TTAFStock[WeekIndex],6)&gt;0)&gt;0,SUMIFS(T_SelfStock[Self_Qty],T_SelfStock[RM_Code],$A43,T_SelfStock[WeekIndex],6)+SUMIFS(T_TTAFStock[TTAF_Qty],T_TTAFStock[RM_Code],$A43,T_TTAFStock[WeekIndex],6),F43+'Grid_Incoming'!G43-'Grid_Requirement'!G43))</f>
        <v/>
      </c>
      <c r="H43">
        <f>IF(COUNTIFS(T_StockCount[RM_Code],$A43,T_StockCount[WeekIndex],7)&gt;0,SUMIFS(T_StockCount[CountedQty],T_StockCount[RM_Code],$A43,T_StockCount[WeekIndex],7),IF((COUNTIFS(T_SelfStock[RM_Code],$A43,T_SelfStock[WeekIndex],7)&gt;0)*(COUNTIFS(T_TTAFStock[RM_Code],$A43,T_TTAFStock[WeekIndex],7)&gt;0)&gt;0,SUMIFS(T_SelfStock[Self_Qty],T_SelfStock[RM_Code],$A43,T_SelfStock[WeekIndex],7)+SUMIFS(T_TTAFStock[TTAF_Qty],T_TTAFStock[RM_Code],$A43,T_TTAFStock[WeekIndex],7),G43+'Grid_Incoming'!H43-'Grid_Requirement'!H43))</f>
        <v/>
      </c>
      <c r="I43">
        <f>IF(COUNTIFS(T_StockCount[RM_Code],$A43,T_StockCount[WeekIndex],8)&gt;0,SUMIFS(T_StockCount[CountedQty],T_StockCount[RM_Code],$A43,T_StockCount[WeekIndex],8),IF((COUNTIFS(T_SelfStock[RM_Code],$A43,T_SelfStock[WeekIndex],8)&gt;0)*(COUNTIFS(T_TTAFStock[RM_Code],$A43,T_TTAFStock[WeekIndex],8)&gt;0)&gt;0,SUMIFS(T_SelfStock[Self_Qty],T_SelfStock[RM_Code],$A43,T_SelfStock[WeekIndex],8)+SUMIFS(T_TTAFStock[TTAF_Qty],T_TTAFStock[RM_Code],$A43,T_TTAFStock[WeekIndex],8),H43+'Grid_Incoming'!I43-'Grid_Requirement'!I43))</f>
        <v/>
      </c>
      <c r="J43">
        <f>IF(COUNTIFS(T_StockCount[RM_Code],$A43,T_StockCount[WeekIndex],9)&gt;0,SUMIFS(T_StockCount[CountedQty],T_StockCount[RM_Code],$A43,T_StockCount[WeekIndex],9),IF((COUNTIFS(T_SelfStock[RM_Code],$A43,T_SelfStock[WeekIndex],9)&gt;0)*(COUNTIFS(T_TTAFStock[RM_Code],$A43,T_TTAFStock[WeekIndex],9)&gt;0)&gt;0,SUMIFS(T_SelfStock[Self_Qty],T_SelfStock[RM_Code],$A43,T_SelfStock[WeekIndex],9)+SUMIFS(T_TTAFStock[TTAF_Qty],T_TTAFStock[RM_Code],$A43,T_TTAFStock[WeekIndex],9),I43+'Grid_Incoming'!J43-'Grid_Requirement'!J43))</f>
        <v/>
      </c>
      <c r="K43">
        <f>IF(COUNTIFS(T_StockCount[RM_Code],$A43,T_StockCount[WeekIndex],10)&gt;0,SUMIFS(T_StockCount[CountedQty],T_StockCount[RM_Code],$A43,T_StockCount[WeekIndex],10),IF((COUNTIFS(T_SelfStock[RM_Code],$A43,T_SelfStock[WeekIndex],10)&gt;0)*(COUNTIFS(T_TTAFStock[RM_Code],$A43,T_TTAFStock[WeekIndex],10)&gt;0)&gt;0,SUMIFS(T_SelfStock[Self_Qty],T_SelfStock[RM_Code],$A43,T_SelfStock[WeekIndex],10)+SUMIFS(T_TTAFStock[TTAF_Qty],T_TTAFStock[RM_Code],$A43,T_TTAFStock[WeekIndex],10),J43+'Grid_Incoming'!K43-'Grid_Requirement'!K43))</f>
        <v/>
      </c>
      <c r="L43">
        <f>IF(COUNTIFS(T_StockCount[RM_Code],$A43,T_StockCount[WeekIndex],11)&gt;0,SUMIFS(T_StockCount[CountedQty],T_StockCount[RM_Code],$A43,T_StockCount[WeekIndex],11),IF((COUNTIFS(T_SelfStock[RM_Code],$A43,T_SelfStock[WeekIndex],11)&gt;0)*(COUNTIFS(T_TTAFStock[RM_Code],$A43,T_TTAFStock[WeekIndex],11)&gt;0)&gt;0,SUMIFS(T_SelfStock[Self_Qty],T_SelfStock[RM_Code],$A43,T_SelfStock[WeekIndex],11)+SUMIFS(T_TTAFStock[TTAF_Qty],T_TTAFStock[RM_Code],$A43,T_TTAFStock[WeekIndex],11),K43+'Grid_Incoming'!L43-'Grid_Requirement'!L43))</f>
        <v/>
      </c>
      <c r="M43">
        <f>IF(COUNTIFS(T_StockCount[RM_Code],$A43,T_StockCount[WeekIndex],12)&gt;0,SUMIFS(T_StockCount[CountedQty],T_StockCount[RM_Code],$A43,T_StockCount[WeekIndex],12),IF((COUNTIFS(T_SelfStock[RM_Code],$A43,T_SelfStock[WeekIndex],12)&gt;0)*(COUNTIFS(T_TTAFStock[RM_Code],$A43,T_TTAFStock[WeekIndex],12)&gt;0)&gt;0,SUMIFS(T_SelfStock[Self_Qty],T_SelfStock[RM_Code],$A43,T_SelfStock[WeekIndex],12)+SUMIFS(T_TTAFStock[TTAF_Qty],T_TTAFStock[RM_Code],$A43,T_TTAFStock[WeekIndex],12),L43+'Grid_Incoming'!M43-'Grid_Requirement'!M43))</f>
        <v/>
      </c>
      <c r="N43">
        <f>IF(COUNTIFS(T_StockCount[RM_Code],$A43,T_StockCount[WeekIndex],13)&gt;0,SUMIFS(T_StockCount[CountedQty],T_StockCount[RM_Code],$A43,T_StockCount[WeekIndex],13),IF((COUNTIFS(T_SelfStock[RM_Code],$A43,T_SelfStock[WeekIndex],13)&gt;0)*(COUNTIFS(T_TTAFStock[RM_Code],$A43,T_TTAFStock[WeekIndex],13)&gt;0)&gt;0,SUMIFS(T_SelfStock[Self_Qty],T_SelfStock[RM_Code],$A43,T_SelfStock[WeekIndex],13)+SUMIFS(T_TTAFStock[TTAF_Qty],T_TTAFStock[RM_Code],$A43,T_TTAFStock[WeekIndex],13),M43+'Grid_Incoming'!N43-'Grid_Requirement'!N43))</f>
        <v/>
      </c>
      <c r="O43">
        <f>IF(COUNTIFS(T_StockCount[RM_Code],$A43,T_StockCount[WeekIndex],14)&gt;0,SUMIFS(T_StockCount[CountedQty],T_StockCount[RM_Code],$A43,T_StockCount[WeekIndex],14),IF((COUNTIFS(T_SelfStock[RM_Code],$A43,T_SelfStock[WeekIndex],14)&gt;0)*(COUNTIFS(T_TTAFStock[RM_Code],$A43,T_TTAFStock[WeekIndex],14)&gt;0)&gt;0,SUMIFS(T_SelfStock[Self_Qty],T_SelfStock[RM_Code],$A43,T_SelfStock[WeekIndex],14)+SUMIFS(T_TTAFStock[TTAF_Qty],T_TTAFStock[RM_Code],$A43,T_TTAFStock[WeekIndex],14),N43+'Grid_Incoming'!O43-'Grid_Requirement'!O43))</f>
        <v/>
      </c>
      <c r="P43">
        <f>IF(COUNTIFS(T_StockCount[RM_Code],$A43,T_StockCount[WeekIndex],15)&gt;0,SUMIFS(T_StockCount[CountedQty],T_StockCount[RM_Code],$A43,T_StockCount[WeekIndex],15),IF((COUNTIFS(T_SelfStock[RM_Code],$A43,T_SelfStock[WeekIndex],15)&gt;0)*(COUNTIFS(T_TTAFStock[RM_Code],$A43,T_TTAFStock[WeekIndex],15)&gt;0)&gt;0,SUMIFS(T_SelfStock[Self_Qty],T_SelfStock[RM_Code],$A43,T_SelfStock[WeekIndex],15)+SUMIFS(T_TTAFStock[TTAF_Qty],T_TTAFStock[RM_Code],$A43,T_TTAFStock[WeekIndex],15),O43+'Grid_Incoming'!P43-'Grid_Requirement'!P43))</f>
        <v/>
      </c>
      <c r="Q43">
        <f>IF(COUNTIFS(T_StockCount[RM_Code],$A43,T_StockCount[WeekIndex],16)&gt;0,SUMIFS(T_StockCount[CountedQty],T_StockCount[RM_Code],$A43,T_StockCount[WeekIndex],16),IF((COUNTIFS(T_SelfStock[RM_Code],$A43,T_SelfStock[WeekIndex],16)&gt;0)*(COUNTIFS(T_TTAFStock[RM_Code],$A43,T_TTAFStock[WeekIndex],16)&gt;0)&gt;0,SUMIFS(T_SelfStock[Self_Qty],T_SelfStock[RM_Code],$A43,T_SelfStock[WeekIndex],16)+SUMIFS(T_TTAFStock[TTAF_Qty],T_TTAFStock[RM_Code],$A43,T_TTAFStock[WeekIndex],16),P43+'Grid_Incoming'!Q43-'Grid_Requirement'!Q43))</f>
        <v/>
      </c>
      <c r="R43">
        <f>IF(COUNTIFS(T_StockCount[RM_Code],$A43,T_StockCount[WeekIndex],17)&gt;0,SUMIFS(T_StockCount[CountedQty],T_StockCount[RM_Code],$A43,T_StockCount[WeekIndex],17),IF((COUNTIFS(T_SelfStock[RM_Code],$A43,T_SelfStock[WeekIndex],17)&gt;0)*(COUNTIFS(T_TTAFStock[RM_Code],$A43,T_TTAFStock[WeekIndex],17)&gt;0)&gt;0,SUMIFS(T_SelfStock[Self_Qty],T_SelfStock[RM_Code],$A43,T_SelfStock[WeekIndex],17)+SUMIFS(T_TTAFStock[TTAF_Qty],T_TTAFStock[RM_Code],$A43,T_TTAFStock[WeekIndex],17),Q43+'Grid_Incoming'!R43-'Grid_Requirement'!R43))</f>
        <v/>
      </c>
      <c r="S43">
        <f>IF(COUNTIFS(T_StockCount[RM_Code],$A43,T_StockCount[WeekIndex],18)&gt;0,SUMIFS(T_StockCount[CountedQty],T_StockCount[RM_Code],$A43,T_StockCount[WeekIndex],18),IF((COUNTIFS(T_SelfStock[RM_Code],$A43,T_SelfStock[WeekIndex],18)&gt;0)*(COUNTIFS(T_TTAFStock[RM_Code],$A43,T_TTAFStock[WeekIndex],18)&gt;0)&gt;0,SUMIFS(T_SelfStock[Self_Qty],T_SelfStock[RM_Code],$A43,T_SelfStock[WeekIndex],18)+SUMIFS(T_TTAFStock[TTAF_Qty],T_TTAFStock[RM_Code],$A43,T_TTAFStock[WeekIndex],18),R43+'Grid_Incoming'!S43-'Grid_Requirement'!S43))</f>
        <v/>
      </c>
      <c r="T43">
        <f>IF(COUNTIFS(T_StockCount[RM_Code],$A43,T_StockCount[WeekIndex],19)&gt;0,SUMIFS(T_StockCount[CountedQty],T_StockCount[RM_Code],$A43,T_StockCount[WeekIndex],19),IF((COUNTIFS(T_SelfStock[RM_Code],$A43,T_SelfStock[WeekIndex],19)&gt;0)*(COUNTIFS(T_TTAFStock[RM_Code],$A43,T_TTAFStock[WeekIndex],19)&gt;0)&gt;0,SUMIFS(T_SelfStock[Self_Qty],T_SelfStock[RM_Code],$A43,T_SelfStock[WeekIndex],19)+SUMIFS(T_TTAFStock[TTAF_Qty],T_TTAFStock[RM_Code],$A43,T_TTAFStock[WeekIndex],19),S43+'Grid_Incoming'!T43-'Grid_Requirement'!T43))</f>
        <v/>
      </c>
      <c r="U43">
        <f>IF(COUNTIFS(T_StockCount[RM_Code],$A43,T_StockCount[WeekIndex],20)&gt;0,SUMIFS(T_StockCount[CountedQty],T_StockCount[RM_Code],$A43,T_StockCount[WeekIndex],20),IF((COUNTIFS(T_SelfStock[RM_Code],$A43,T_SelfStock[WeekIndex],20)&gt;0)*(COUNTIFS(T_TTAFStock[RM_Code],$A43,T_TTAFStock[WeekIndex],20)&gt;0)&gt;0,SUMIFS(T_SelfStock[Self_Qty],T_SelfStock[RM_Code],$A43,T_SelfStock[WeekIndex],20)+SUMIFS(T_TTAFStock[TTAF_Qty],T_TTAFStock[RM_Code],$A43,T_TTAFStock[WeekIndex],20),T43+'Grid_Incoming'!U43-'Grid_Requirement'!U43))</f>
        <v/>
      </c>
      <c r="V43">
        <f>IF(COUNTIFS(T_StockCount[RM_Code],$A43,T_StockCount[WeekIndex],21)&gt;0,SUMIFS(T_StockCount[CountedQty],T_StockCount[RM_Code],$A43,T_StockCount[WeekIndex],21),IF((COUNTIFS(T_SelfStock[RM_Code],$A43,T_SelfStock[WeekIndex],21)&gt;0)*(COUNTIFS(T_TTAFStock[RM_Code],$A43,T_TTAFStock[WeekIndex],21)&gt;0)&gt;0,SUMIFS(T_SelfStock[Self_Qty],T_SelfStock[RM_Code],$A43,T_SelfStock[WeekIndex],21)+SUMIFS(T_TTAFStock[TTAF_Qty],T_TTAFStock[RM_Code],$A43,T_TTAFStock[WeekIndex],21),U43+'Grid_Incoming'!V43-'Grid_Requirement'!V43))</f>
        <v/>
      </c>
      <c r="W43">
        <f>IF(COUNTIFS(T_StockCount[RM_Code],$A43,T_StockCount[WeekIndex],22)&gt;0,SUMIFS(T_StockCount[CountedQty],T_StockCount[RM_Code],$A43,T_StockCount[WeekIndex],22),IF((COUNTIFS(T_SelfStock[RM_Code],$A43,T_SelfStock[WeekIndex],22)&gt;0)*(COUNTIFS(T_TTAFStock[RM_Code],$A43,T_TTAFStock[WeekIndex],22)&gt;0)&gt;0,SUMIFS(T_SelfStock[Self_Qty],T_SelfStock[RM_Code],$A43,T_SelfStock[WeekIndex],22)+SUMIFS(T_TTAFStock[TTAF_Qty],T_TTAFStock[RM_Code],$A43,T_TTAFStock[WeekIndex],22),V43+'Grid_Incoming'!W43-'Grid_Requirement'!W43))</f>
        <v/>
      </c>
      <c r="X43">
        <f>IF(COUNTIFS(T_StockCount[RM_Code],$A43,T_StockCount[WeekIndex],23)&gt;0,SUMIFS(T_StockCount[CountedQty],T_StockCount[RM_Code],$A43,T_StockCount[WeekIndex],23),IF((COUNTIFS(T_SelfStock[RM_Code],$A43,T_SelfStock[WeekIndex],23)&gt;0)*(COUNTIFS(T_TTAFStock[RM_Code],$A43,T_TTAFStock[WeekIndex],23)&gt;0)&gt;0,SUMIFS(T_SelfStock[Self_Qty],T_SelfStock[RM_Code],$A43,T_SelfStock[WeekIndex],23)+SUMIFS(T_TTAFStock[TTAF_Qty],T_TTAFStock[RM_Code],$A43,T_TTAFStock[WeekIndex],23),W43+'Grid_Incoming'!X43-'Grid_Requirement'!X43))</f>
        <v/>
      </c>
      <c r="Y43">
        <f>IF(COUNTIFS(T_StockCount[RM_Code],$A43,T_StockCount[WeekIndex],24)&gt;0,SUMIFS(T_StockCount[CountedQty],T_StockCount[RM_Code],$A43,T_StockCount[WeekIndex],24),IF((COUNTIFS(T_SelfStock[RM_Code],$A43,T_SelfStock[WeekIndex],24)&gt;0)*(COUNTIFS(T_TTAFStock[RM_Code],$A43,T_TTAFStock[WeekIndex],24)&gt;0)&gt;0,SUMIFS(T_SelfStock[Self_Qty],T_SelfStock[RM_Code],$A43,T_SelfStock[WeekIndex],24)+SUMIFS(T_TTAFStock[TTAF_Qty],T_TTAFStock[RM_Code],$A43,T_TTAFStock[WeekIndex],24),X43+'Grid_Incoming'!Y43-'Grid_Requirement'!Y43))</f>
        <v/>
      </c>
      <c r="Z43">
        <f>IF(COUNTIFS(T_StockCount[RM_Code],$A43,T_StockCount[WeekIndex],25)&gt;0,SUMIFS(T_StockCount[CountedQty],T_StockCount[RM_Code],$A43,T_StockCount[WeekIndex],25),IF((COUNTIFS(T_SelfStock[RM_Code],$A43,T_SelfStock[WeekIndex],25)&gt;0)*(COUNTIFS(T_TTAFStock[RM_Code],$A43,T_TTAFStock[WeekIndex],25)&gt;0)&gt;0,SUMIFS(T_SelfStock[Self_Qty],T_SelfStock[RM_Code],$A43,T_SelfStock[WeekIndex],25)+SUMIFS(T_TTAFStock[TTAF_Qty],T_TTAFStock[RM_Code],$A43,T_TTAFStock[WeekIndex],25),Y43+'Grid_Incoming'!Z43-'Grid_Requirement'!Z43))</f>
        <v/>
      </c>
      <c r="AA43">
        <f>IF(COUNTIFS(T_StockCount[RM_Code],$A43,T_StockCount[WeekIndex],26)&gt;0,SUMIFS(T_StockCount[CountedQty],T_StockCount[RM_Code],$A43,T_StockCount[WeekIndex],26),IF((COUNTIFS(T_SelfStock[RM_Code],$A43,T_SelfStock[WeekIndex],26)&gt;0)*(COUNTIFS(T_TTAFStock[RM_Code],$A43,T_TTAFStock[WeekIndex],26)&gt;0)&gt;0,SUMIFS(T_SelfStock[Self_Qty],T_SelfStock[RM_Code],$A43,T_SelfStock[WeekIndex],26)+SUMIFS(T_TTAFStock[TTAF_Qty],T_TTAFStock[RM_Code],$A43,T_TTAFStock[WeekIndex],26),Z43+'Grid_Incoming'!AA43-'Grid_Requirement'!AA43))</f>
        <v/>
      </c>
      <c r="AB43">
        <f>IF(COUNTIFS(T_StockCount[RM_Code],$A43,T_StockCount[WeekIndex],27)&gt;0,SUMIFS(T_StockCount[CountedQty],T_StockCount[RM_Code],$A43,T_StockCount[WeekIndex],27),IF((COUNTIFS(T_SelfStock[RM_Code],$A43,T_SelfStock[WeekIndex],27)&gt;0)*(COUNTIFS(T_TTAFStock[RM_Code],$A43,T_TTAFStock[WeekIndex],27)&gt;0)&gt;0,SUMIFS(T_SelfStock[Self_Qty],T_SelfStock[RM_Code],$A43,T_SelfStock[WeekIndex],27)+SUMIFS(T_TTAFStock[TTAF_Qty],T_TTAFStock[RM_Code],$A43,T_TTAFStock[WeekIndex],27),AA43+'Grid_Incoming'!AB43-'Grid_Requirement'!AB43))</f>
        <v/>
      </c>
      <c r="AC43">
        <f>IF(COUNTIFS(T_StockCount[RM_Code],$A43,T_StockCount[WeekIndex],28)&gt;0,SUMIFS(T_StockCount[CountedQty],T_StockCount[RM_Code],$A43,T_StockCount[WeekIndex],28),IF((COUNTIFS(T_SelfStock[RM_Code],$A43,T_SelfStock[WeekIndex],28)&gt;0)*(COUNTIFS(T_TTAFStock[RM_Code],$A43,T_TTAFStock[WeekIndex],28)&gt;0)&gt;0,SUMIFS(T_SelfStock[Self_Qty],T_SelfStock[RM_Code],$A43,T_SelfStock[WeekIndex],28)+SUMIFS(T_TTAFStock[TTAF_Qty],T_TTAFStock[RM_Code],$A43,T_TTAFStock[WeekIndex],28),AB43+'Grid_Incoming'!AC43-'Grid_Requirement'!AC43))</f>
        <v/>
      </c>
      <c r="AD43">
        <f>IF(COUNTIFS(T_StockCount[RM_Code],$A43,T_StockCount[WeekIndex],29)&gt;0,SUMIFS(T_StockCount[CountedQty],T_StockCount[RM_Code],$A43,T_StockCount[WeekIndex],29),IF((COUNTIFS(T_SelfStock[RM_Code],$A43,T_SelfStock[WeekIndex],29)&gt;0)*(COUNTIFS(T_TTAFStock[RM_Code],$A43,T_TTAFStock[WeekIndex],29)&gt;0)&gt;0,SUMIFS(T_SelfStock[Self_Qty],T_SelfStock[RM_Code],$A43,T_SelfStock[WeekIndex],29)+SUMIFS(T_TTAFStock[TTAF_Qty],T_TTAFStock[RM_Code],$A43,T_TTAFStock[WeekIndex],29),AC43+'Grid_Incoming'!AD43-'Grid_Requirement'!AD43))</f>
        <v/>
      </c>
      <c r="AE43">
        <f>IF(COUNTIFS(T_StockCount[RM_Code],$A43,T_StockCount[WeekIndex],30)&gt;0,SUMIFS(T_StockCount[CountedQty],T_StockCount[RM_Code],$A43,T_StockCount[WeekIndex],30),IF((COUNTIFS(T_SelfStock[RM_Code],$A43,T_SelfStock[WeekIndex],30)&gt;0)*(COUNTIFS(T_TTAFStock[RM_Code],$A43,T_TTAFStock[WeekIndex],30)&gt;0)&gt;0,SUMIFS(T_SelfStock[Self_Qty],T_SelfStock[RM_Code],$A43,T_SelfStock[WeekIndex],30)+SUMIFS(T_TTAFStock[TTAF_Qty],T_TTAFStock[RM_Code],$A43,T_TTAFStock[WeekIndex],30),AD43+'Grid_Incoming'!AE43-'Grid_Requirement'!AE43))</f>
        <v/>
      </c>
      <c r="AF43">
        <f>IF(COUNTIFS(T_StockCount[RM_Code],$A43,T_StockCount[WeekIndex],31)&gt;0,SUMIFS(T_StockCount[CountedQty],T_StockCount[RM_Code],$A43,T_StockCount[WeekIndex],31),IF((COUNTIFS(T_SelfStock[RM_Code],$A43,T_SelfStock[WeekIndex],31)&gt;0)*(COUNTIFS(T_TTAFStock[RM_Code],$A43,T_TTAFStock[WeekIndex],31)&gt;0)&gt;0,SUMIFS(T_SelfStock[Self_Qty],T_SelfStock[RM_Code],$A43,T_SelfStock[WeekIndex],31)+SUMIFS(T_TTAFStock[TTAF_Qty],T_TTAFStock[RM_Code],$A43,T_TTAFStock[WeekIndex],31),AE43+'Grid_Incoming'!AF43-'Grid_Requirement'!AF43))</f>
        <v/>
      </c>
      <c r="AG43">
        <f>IF(COUNTIFS(T_StockCount[RM_Code],$A43,T_StockCount[WeekIndex],32)&gt;0,SUMIFS(T_StockCount[CountedQty],T_StockCount[RM_Code],$A43,T_StockCount[WeekIndex],32),IF((COUNTIFS(T_SelfStock[RM_Code],$A43,T_SelfStock[WeekIndex],32)&gt;0)*(COUNTIFS(T_TTAFStock[RM_Code],$A43,T_TTAFStock[WeekIndex],32)&gt;0)&gt;0,SUMIFS(T_SelfStock[Self_Qty],T_SelfStock[RM_Code],$A43,T_SelfStock[WeekIndex],32)+SUMIFS(T_TTAFStock[TTAF_Qty],T_TTAFStock[RM_Code],$A43,T_TTAFStock[WeekIndex],32),AF43+'Grid_Incoming'!AG43-'Grid_Requirement'!AG43))</f>
        <v/>
      </c>
      <c r="AH43">
        <f>IF(COUNTIFS(T_StockCount[RM_Code],$A43,T_StockCount[WeekIndex],33)&gt;0,SUMIFS(T_StockCount[CountedQty],T_StockCount[RM_Code],$A43,T_StockCount[WeekIndex],33),IF((COUNTIFS(T_SelfStock[RM_Code],$A43,T_SelfStock[WeekIndex],33)&gt;0)*(COUNTIFS(T_TTAFStock[RM_Code],$A43,T_TTAFStock[WeekIndex],33)&gt;0)&gt;0,SUMIFS(T_SelfStock[Self_Qty],T_SelfStock[RM_Code],$A43,T_SelfStock[WeekIndex],33)+SUMIFS(T_TTAFStock[TTAF_Qty],T_TTAFStock[RM_Code],$A43,T_TTAFStock[WeekIndex],33),AG43+'Grid_Incoming'!AH43-'Grid_Requirement'!AH43))</f>
        <v/>
      </c>
      <c r="AI43">
        <f>IF(COUNTIFS(T_StockCount[RM_Code],$A43,T_StockCount[WeekIndex],34)&gt;0,SUMIFS(T_StockCount[CountedQty],T_StockCount[RM_Code],$A43,T_StockCount[WeekIndex],34),IF((COUNTIFS(T_SelfStock[RM_Code],$A43,T_SelfStock[WeekIndex],34)&gt;0)*(COUNTIFS(T_TTAFStock[RM_Code],$A43,T_TTAFStock[WeekIndex],34)&gt;0)&gt;0,SUMIFS(T_SelfStock[Self_Qty],T_SelfStock[RM_Code],$A43,T_SelfStock[WeekIndex],34)+SUMIFS(T_TTAFStock[TTAF_Qty],T_TTAFStock[RM_Code],$A43,T_TTAFStock[WeekIndex],34),AH43+'Grid_Incoming'!AI43-'Grid_Requirement'!AI43))</f>
        <v/>
      </c>
      <c r="AJ43">
        <f>IF(COUNTIFS(T_StockCount[RM_Code],$A43,T_StockCount[WeekIndex],35)&gt;0,SUMIFS(T_StockCount[CountedQty],T_StockCount[RM_Code],$A43,T_StockCount[WeekIndex],35),IF((COUNTIFS(T_SelfStock[RM_Code],$A43,T_SelfStock[WeekIndex],35)&gt;0)*(COUNTIFS(T_TTAFStock[RM_Code],$A43,T_TTAFStock[WeekIndex],35)&gt;0)&gt;0,SUMIFS(T_SelfStock[Self_Qty],T_SelfStock[RM_Code],$A43,T_SelfStock[WeekIndex],35)+SUMIFS(T_TTAFStock[TTAF_Qty],T_TTAFStock[RM_Code],$A43,T_TTAFStock[WeekIndex],35),AI43+'Grid_Incoming'!AJ43-'Grid_Requirement'!AJ43))</f>
        <v/>
      </c>
      <c r="AK43">
        <f>IF(COUNTIFS(T_StockCount[RM_Code],$A43,T_StockCount[WeekIndex],36)&gt;0,SUMIFS(T_StockCount[CountedQty],T_StockCount[RM_Code],$A43,T_StockCount[WeekIndex],36),IF((COUNTIFS(T_SelfStock[RM_Code],$A43,T_SelfStock[WeekIndex],36)&gt;0)*(COUNTIFS(T_TTAFStock[RM_Code],$A43,T_TTAFStock[WeekIndex],36)&gt;0)&gt;0,SUMIFS(T_SelfStock[Self_Qty],T_SelfStock[RM_Code],$A43,T_SelfStock[WeekIndex],36)+SUMIFS(T_TTAFStock[TTAF_Qty],T_TTAFStock[RM_Code],$A43,T_TTAFStock[WeekIndex],36),AJ43+'Grid_Incoming'!AK43-'Grid_Requirement'!AK43))</f>
        <v/>
      </c>
      <c r="AL43">
        <f>IF(COUNTIFS(T_StockCount[RM_Code],$A43,T_StockCount[WeekIndex],37)&gt;0,SUMIFS(T_StockCount[CountedQty],T_StockCount[RM_Code],$A43,T_StockCount[WeekIndex],37),IF((COUNTIFS(T_SelfStock[RM_Code],$A43,T_SelfStock[WeekIndex],37)&gt;0)*(COUNTIFS(T_TTAFStock[RM_Code],$A43,T_TTAFStock[WeekIndex],37)&gt;0)&gt;0,SUMIFS(T_SelfStock[Self_Qty],T_SelfStock[RM_Code],$A43,T_SelfStock[WeekIndex],37)+SUMIFS(T_TTAFStock[TTAF_Qty],T_TTAFStock[RM_Code],$A43,T_TTAFStock[WeekIndex],37),AK43+'Grid_Incoming'!AL43-'Grid_Requirement'!AL43))</f>
        <v/>
      </c>
      <c r="AM43">
        <f>IF(COUNTIFS(T_StockCount[RM_Code],$A43,T_StockCount[WeekIndex],38)&gt;0,SUMIFS(T_StockCount[CountedQty],T_StockCount[RM_Code],$A43,T_StockCount[WeekIndex],38),IF((COUNTIFS(T_SelfStock[RM_Code],$A43,T_SelfStock[WeekIndex],38)&gt;0)*(COUNTIFS(T_TTAFStock[RM_Code],$A43,T_TTAFStock[WeekIndex],38)&gt;0)&gt;0,SUMIFS(T_SelfStock[Self_Qty],T_SelfStock[RM_Code],$A43,T_SelfStock[WeekIndex],38)+SUMIFS(T_TTAFStock[TTAF_Qty],T_TTAFStock[RM_Code],$A43,T_TTAFStock[WeekIndex],38),AL43+'Grid_Incoming'!AM43-'Grid_Requirement'!AM43))</f>
        <v/>
      </c>
      <c r="AN43">
        <f>IF(COUNTIFS(T_StockCount[RM_Code],$A43,T_StockCount[WeekIndex],39)&gt;0,SUMIFS(T_StockCount[CountedQty],T_StockCount[RM_Code],$A43,T_StockCount[WeekIndex],39),IF((COUNTIFS(T_SelfStock[RM_Code],$A43,T_SelfStock[WeekIndex],39)&gt;0)*(COUNTIFS(T_TTAFStock[RM_Code],$A43,T_TTAFStock[WeekIndex],39)&gt;0)&gt;0,SUMIFS(T_SelfStock[Self_Qty],T_SelfStock[RM_Code],$A43,T_SelfStock[WeekIndex],39)+SUMIFS(T_TTAFStock[TTAF_Qty],T_TTAFStock[RM_Code],$A43,T_TTAFStock[WeekIndex],39),AM43+'Grid_Incoming'!AN43-'Grid_Requirement'!AN43))</f>
        <v/>
      </c>
      <c r="AO43">
        <f>IF(COUNTIFS(T_StockCount[RM_Code],$A43,T_StockCount[WeekIndex],40)&gt;0,SUMIFS(T_StockCount[CountedQty],T_StockCount[RM_Code],$A43,T_StockCount[WeekIndex],40),IF((COUNTIFS(T_SelfStock[RM_Code],$A43,T_SelfStock[WeekIndex],40)&gt;0)*(COUNTIFS(T_TTAFStock[RM_Code],$A43,T_TTAFStock[WeekIndex],40)&gt;0)&gt;0,SUMIFS(T_SelfStock[Self_Qty],T_SelfStock[RM_Code],$A43,T_SelfStock[WeekIndex],40)+SUMIFS(T_TTAFStock[TTAF_Qty],T_TTAFStock[RM_Code],$A43,T_TTAFStock[WeekIndex],40),AN43+'Grid_Incoming'!AO43-'Grid_Requirement'!AO43))</f>
        <v/>
      </c>
      <c r="AP43">
        <f>IF(COUNTIFS(T_StockCount[RM_Code],$A43,T_StockCount[WeekIndex],41)&gt;0,SUMIFS(T_StockCount[CountedQty],T_StockCount[RM_Code],$A43,T_StockCount[WeekIndex],41),IF((COUNTIFS(T_SelfStock[RM_Code],$A43,T_SelfStock[WeekIndex],41)&gt;0)*(COUNTIFS(T_TTAFStock[RM_Code],$A43,T_TTAFStock[WeekIndex],41)&gt;0)&gt;0,SUMIFS(T_SelfStock[Self_Qty],T_SelfStock[RM_Code],$A43,T_SelfStock[WeekIndex],41)+SUMIFS(T_TTAFStock[TTAF_Qty],T_TTAFStock[RM_Code],$A43,T_TTAFStock[WeekIndex],41),AO43+'Grid_Incoming'!AP43-'Grid_Requirement'!AP43))</f>
        <v/>
      </c>
      <c r="AQ43">
        <f>IF(COUNTIFS(T_StockCount[RM_Code],$A43,T_StockCount[WeekIndex],42)&gt;0,SUMIFS(T_StockCount[CountedQty],T_StockCount[RM_Code],$A43,T_StockCount[WeekIndex],42),IF((COUNTIFS(T_SelfStock[RM_Code],$A43,T_SelfStock[WeekIndex],42)&gt;0)*(COUNTIFS(T_TTAFStock[RM_Code],$A43,T_TTAFStock[WeekIndex],42)&gt;0)&gt;0,SUMIFS(T_SelfStock[Self_Qty],T_SelfStock[RM_Code],$A43,T_SelfStock[WeekIndex],42)+SUMIFS(T_TTAFStock[TTAF_Qty],T_TTAFStock[RM_Code],$A43,T_TTAFStock[WeekIndex],42),AP43+'Grid_Incoming'!AQ43-'Grid_Requirement'!AQ43))</f>
        <v/>
      </c>
      <c r="AR43">
        <f>IF(COUNTIFS(T_StockCount[RM_Code],$A43,T_StockCount[WeekIndex],43)&gt;0,SUMIFS(T_StockCount[CountedQty],T_StockCount[RM_Code],$A43,T_StockCount[WeekIndex],43),IF((COUNTIFS(T_SelfStock[RM_Code],$A43,T_SelfStock[WeekIndex],43)&gt;0)*(COUNTIFS(T_TTAFStock[RM_Code],$A43,T_TTAFStock[WeekIndex],43)&gt;0)&gt;0,SUMIFS(T_SelfStock[Self_Qty],T_SelfStock[RM_Code],$A43,T_SelfStock[WeekIndex],43)+SUMIFS(T_TTAFStock[TTAF_Qty],T_TTAFStock[RM_Code],$A43,T_TTAFStock[WeekIndex],43),AQ43+'Grid_Incoming'!AR43-'Grid_Requirement'!AR43))</f>
        <v/>
      </c>
      <c r="AS43">
        <f>IF(COUNTIFS(T_StockCount[RM_Code],$A43,T_StockCount[WeekIndex],44)&gt;0,SUMIFS(T_StockCount[CountedQty],T_StockCount[RM_Code],$A43,T_StockCount[WeekIndex],44),IF((COUNTIFS(T_SelfStock[RM_Code],$A43,T_SelfStock[WeekIndex],44)&gt;0)*(COUNTIFS(T_TTAFStock[RM_Code],$A43,T_TTAFStock[WeekIndex],44)&gt;0)&gt;0,SUMIFS(T_SelfStock[Self_Qty],T_SelfStock[RM_Code],$A43,T_SelfStock[WeekIndex],44)+SUMIFS(T_TTAFStock[TTAF_Qty],T_TTAFStock[RM_Code],$A43,T_TTAFStock[WeekIndex],44),AR43+'Grid_Incoming'!AS43-'Grid_Requirement'!AS43))</f>
        <v/>
      </c>
      <c r="AT43">
        <f>IF(COUNTIFS(T_StockCount[RM_Code],$A43,T_StockCount[WeekIndex],45)&gt;0,SUMIFS(T_StockCount[CountedQty],T_StockCount[RM_Code],$A43,T_StockCount[WeekIndex],45),IF((COUNTIFS(T_SelfStock[RM_Code],$A43,T_SelfStock[WeekIndex],45)&gt;0)*(COUNTIFS(T_TTAFStock[RM_Code],$A43,T_TTAFStock[WeekIndex],45)&gt;0)&gt;0,SUMIFS(T_SelfStock[Self_Qty],T_SelfStock[RM_Code],$A43,T_SelfStock[WeekIndex],45)+SUMIFS(T_TTAFStock[TTAF_Qty],T_TTAFStock[RM_Code],$A43,T_TTAFStock[WeekIndex],45),AS43+'Grid_Incoming'!AT43-'Grid_Requirement'!AT43))</f>
        <v/>
      </c>
      <c r="AU43">
        <f>IF(COUNTIFS(T_StockCount[RM_Code],$A43,T_StockCount[WeekIndex],46)&gt;0,SUMIFS(T_StockCount[CountedQty],T_StockCount[RM_Code],$A43,T_StockCount[WeekIndex],46),IF((COUNTIFS(T_SelfStock[RM_Code],$A43,T_SelfStock[WeekIndex],46)&gt;0)*(COUNTIFS(T_TTAFStock[RM_Code],$A43,T_TTAFStock[WeekIndex],46)&gt;0)&gt;0,SUMIFS(T_SelfStock[Self_Qty],T_SelfStock[RM_Code],$A43,T_SelfStock[WeekIndex],46)+SUMIFS(T_TTAFStock[TTAF_Qty],T_TTAFStock[RM_Code],$A43,T_TTAFStock[WeekIndex],46),AT43+'Grid_Incoming'!AU43-'Grid_Requirement'!AU43))</f>
        <v/>
      </c>
      <c r="AV43">
        <f>IF(COUNTIFS(T_StockCount[RM_Code],$A43,T_StockCount[WeekIndex],47)&gt;0,SUMIFS(T_StockCount[CountedQty],T_StockCount[RM_Code],$A43,T_StockCount[WeekIndex],47),IF((COUNTIFS(T_SelfStock[RM_Code],$A43,T_SelfStock[WeekIndex],47)&gt;0)*(COUNTIFS(T_TTAFStock[RM_Code],$A43,T_TTAFStock[WeekIndex],47)&gt;0)&gt;0,SUMIFS(T_SelfStock[Self_Qty],T_SelfStock[RM_Code],$A43,T_SelfStock[WeekIndex],47)+SUMIFS(T_TTAFStock[TTAF_Qty],T_TTAFStock[RM_Code],$A43,T_TTAFStock[WeekIndex],47),AU43+'Grid_Incoming'!AV43-'Grid_Requirement'!AV43))</f>
        <v/>
      </c>
      <c r="AW43">
        <f>IF(COUNTIFS(T_StockCount[RM_Code],$A43,T_StockCount[WeekIndex],48)&gt;0,SUMIFS(T_StockCount[CountedQty],T_StockCount[RM_Code],$A43,T_StockCount[WeekIndex],48),IF((COUNTIFS(T_SelfStock[RM_Code],$A43,T_SelfStock[WeekIndex],48)&gt;0)*(COUNTIFS(T_TTAFStock[RM_Code],$A43,T_TTAFStock[WeekIndex],48)&gt;0)&gt;0,SUMIFS(T_SelfStock[Self_Qty],T_SelfStock[RM_Code],$A43,T_SelfStock[WeekIndex],48)+SUMIFS(T_TTAFStock[TTAF_Qty],T_TTAFStock[RM_Code],$A43,T_TTAFStock[WeekIndex],48),AV43+'Grid_Incoming'!AW43-'Grid_Requirement'!AW43))</f>
        <v/>
      </c>
      <c r="AX43">
        <f>IF(COUNTIFS(T_StockCount[RM_Code],$A43,T_StockCount[WeekIndex],49)&gt;0,SUMIFS(T_StockCount[CountedQty],T_StockCount[RM_Code],$A43,T_StockCount[WeekIndex],49),IF((COUNTIFS(T_SelfStock[RM_Code],$A43,T_SelfStock[WeekIndex],49)&gt;0)*(COUNTIFS(T_TTAFStock[RM_Code],$A43,T_TTAFStock[WeekIndex],49)&gt;0)&gt;0,SUMIFS(T_SelfStock[Self_Qty],T_SelfStock[RM_Code],$A43,T_SelfStock[WeekIndex],49)+SUMIFS(T_TTAFStock[TTAF_Qty],T_TTAFStock[RM_Code],$A43,T_TTAFStock[WeekIndex],49),AW43+'Grid_Incoming'!AX43-'Grid_Requirement'!AX43))</f>
        <v/>
      </c>
      <c r="AY43">
        <f>IF(COUNTIFS(T_StockCount[RM_Code],$A43,T_StockCount[WeekIndex],50)&gt;0,SUMIFS(T_StockCount[CountedQty],T_StockCount[RM_Code],$A43,T_StockCount[WeekIndex],50),IF((COUNTIFS(T_SelfStock[RM_Code],$A43,T_SelfStock[WeekIndex],50)&gt;0)*(COUNTIFS(T_TTAFStock[RM_Code],$A43,T_TTAFStock[WeekIndex],50)&gt;0)&gt;0,SUMIFS(T_SelfStock[Self_Qty],T_SelfStock[RM_Code],$A43,T_SelfStock[WeekIndex],50)+SUMIFS(T_TTAFStock[TTAF_Qty],T_TTAFStock[RM_Code],$A43,T_TTAFStock[WeekIndex],50),AX43+'Grid_Incoming'!AY43-'Grid_Requirement'!AY43))</f>
        <v/>
      </c>
      <c r="AZ43">
        <f>IF(COUNTIFS(T_StockCount[RM_Code],$A43,T_StockCount[WeekIndex],51)&gt;0,SUMIFS(T_StockCount[CountedQty],T_StockCount[RM_Code],$A43,T_StockCount[WeekIndex],51),IF((COUNTIFS(T_SelfStock[RM_Code],$A43,T_SelfStock[WeekIndex],51)&gt;0)*(COUNTIFS(T_TTAFStock[RM_Code],$A43,T_TTAFStock[WeekIndex],51)&gt;0)&gt;0,SUMIFS(T_SelfStock[Self_Qty],T_SelfStock[RM_Code],$A43,T_SelfStock[WeekIndex],51)+SUMIFS(T_TTAFStock[TTAF_Qty],T_TTAFStock[RM_Code],$A43,T_TTAFStock[WeekIndex],51),AY43+'Grid_Incoming'!AZ43-'Grid_Requirement'!AZ43))</f>
        <v/>
      </c>
      <c r="BA43">
        <f>IF(COUNTIFS(T_StockCount[RM_Code],$A43,T_StockCount[WeekIndex],52)&gt;0,SUMIFS(T_StockCount[CountedQty],T_StockCount[RM_Code],$A43,T_StockCount[WeekIndex],52),IF((COUNTIFS(T_SelfStock[RM_Code],$A43,T_SelfStock[WeekIndex],52)&gt;0)*(COUNTIFS(T_TTAFStock[RM_Code],$A43,T_TTAFStock[WeekIndex],52)&gt;0)&gt;0,SUMIFS(T_SelfStock[Self_Qty],T_SelfStock[RM_Code],$A43,T_SelfStock[WeekIndex],52)+SUMIFS(T_TTAFStock[TTAF_Qty],T_TTAFStock[RM_Code],$A43,T_TTAFStock[WeekIndex],52),AZ43+'Grid_Incoming'!BA43-'Grid_Requirement'!BA43))</f>
        <v/>
      </c>
      <c r="BB43">
        <f>IF(COUNTIFS(T_StockCount[RM_Code],$A43,T_StockCount[WeekIndex],53)&gt;0,SUMIFS(T_StockCount[CountedQty],T_StockCount[RM_Code],$A43,T_StockCount[WeekIndex],53),IF((COUNTIFS(T_SelfStock[RM_Code],$A43,T_SelfStock[WeekIndex],53)&gt;0)*(COUNTIFS(T_TTAFStock[RM_Code],$A43,T_TTAFStock[WeekIndex],53)&gt;0)&gt;0,SUMIFS(T_SelfStock[Self_Qty],T_SelfStock[RM_Code],$A43,T_SelfStock[WeekIndex],53)+SUMIFS(T_TTAFStock[TTAF_Qty],T_TTAFStock[RM_Code],$A43,T_TTAFStock[WeekIndex],53),BA43+'Grid_Incoming'!BB43-'Grid_Requirement'!BB43))</f>
        <v/>
      </c>
      <c r="BC43">
        <f>IF(COUNTIFS(T_StockCount[RM_Code],$A43,T_StockCount[WeekIndex],54)&gt;0,SUMIFS(T_StockCount[CountedQty],T_StockCount[RM_Code],$A43,T_StockCount[WeekIndex],54),IF((COUNTIFS(T_SelfStock[RM_Code],$A43,T_SelfStock[WeekIndex],54)&gt;0)*(COUNTIFS(T_TTAFStock[RM_Code],$A43,T_TTAFStock[WeekIndex],54)&gt;0)&gt;0,SUMIFS(T_SelfStock[Self_Qty],T_SelfStock[RM_Code],$A43,T_SelfStock[WeekIndex],54)+SUMIFS(T_TTAFStock[TTAF_Qty],T_TTAFStock[RM_Code],$A43,T_TTAFStock[WeekIndex],54),BB43+'Grid_Incoming'!BC43-'Grid_Requirement'!BC43))</f>
        <v/>
      </c>
      <c r="BD43">
        <f>IF(COUNTIFS(T_StockCount[RM_Code],$A43,T_StockCount[WeekIndex],55)&gt;0,SUMIFS(T_StockCount[CountedQty],T_StockCount[RM_Code],$A43,T_StockCount[WeekIndex],55),IF((COUNTIFS(T_SelfStock[RM_Code],$A43,T_SelfStock[WeekIndex],55)&gt;0)*(COUNTIFS(T_TTAFStock[RM_Code],$A43,T_TTAFStock[WeekIndex],55)&gt;0)&gt;0,SUMIFS(T_SelfStock[Self_Qty],T_SelfStock[RM_Code],$A43,T_SelfStock[WeekIndex],55)+SUMIFS(T_TTAFStock[TTAF_Qty],T_TTAFStock[RM_Code],$A43,T_TTAFStock[WeekIndex],55),BC43+'Grid_Incoming'!BD43-'Grid_Requirement'!BD43))</f>
        <v/>
      </c>
      <c r="BE43">
        <f>IF(COUNTIFS(T_StockCount[RM_Code],$A43,T_StockCount[WeekIndex],56)&gt;0,SUMIFS(T_StockCount[CountedQty],T_StockCount[RM_Code],$A43,T_StockCount[WeekIndex],56),IF((COUNTIFS(T_SelfStock[RM_Code],$A43,T_SelfStock[WeekIndex],56)&gt;0)*(COUNTIFS(T_TTAFStock[RM_Code],$A43,T_TTAFStock[WeekIndex],56)&gt;0)&gt;0,SUMIFS(T_SelfStock[Self_Qty],T_SelfStock[RM_Code],$A43,T_SelfStock[WeekIndex],56)+SUMIFS(T_TTAFStock[TTAF_Qty],T_TTAFStock[RM_Code],$A43,T_TTAFStock[WeekIndex],56),BD43+'Grid_Incoming'!BE43-'Grid_Requirement'!BE43))</f>
        <v/>
      </c>
      <c r="BF43">
        <f>IF(COUNTIFS(T_StockCount[RM_Code],$A43,T_StockCount[WeekIndex],57)&gt;0,SUMIFS(T_StockCount[CountedQty],T_StockCount[RM_Code],$A43,T_StockCount[WeekIndex],57),IF((COUNTIFS(T_SelfStock[RM_Code],$A43,T_SelfStock[WeekIndex],57)&gt;0)*(COUNTIFS(T_TTAFStock[RM_Code],$A43,T_TTAFStock[WeekIndex],57)&gt;0)&gt;0,SUMIFS(T_SelfStock[Self_Qty],T_SelfStock[RM_Code],$A43,T_SelfStock[WeekIndex],57)+SUMIFS(T_TTAFStock[TTAF_Qty],T_TTAFStock[RM_Code],$A43,T_TTAFStock[WeekIndex],57),BE43+'Grid_Incoming'!BF43-'Grid_Requirement'!BF43))</f>
        <v/>
      </c>
      <c r="BG43">
        <f>IF(COUNTIFS(T_StockCount[RM_Code],$A43,T_StockCount[WeekIndex],58)&gt;0,SUMIFS(T_StockCount[CountedQty],T_StockCount[RM_Code],$A43,T_StockCount[WeekIndex],58),IF((COUNTIFS(T_SelfStock[RM_Code],$A43,T_SelfStock[WeekIndex],58)&gt;0)*(COUNTIFS(T_TTAFStock[RM_Code],$A43,T_TTAFStock[WeekIndex],58)&gt;0)&gt;0,SUMIFS(T_SelfStock[Self_Qty],T_SelfStock[RM_Code],$A43,T_SelfStock[WeekIndex],58)+SUMIFS(T_TTAFStock[TTAF_Qty],T_TTAFStock[RM_Code],$A43,T_TTAFStock[WeekIndex],58),BF43+'Grid_Incoming'!BG43-'Grid_Requirement'!BG43))</f>
        <v/>
      </c>
      <c r="BH43">
        <f>IF(COUNTIFS(T_StockCount[RM_Code],$A43,T_StockCount[WeekIndex],59)&gt;0,SUMIFS(T_StockCount[CountedQty],T_StockCount[RM_Code],$A43,T_StockCount[WeekIndex],59),IF((COUNTIFS(T_SelfStock[RM_Code],$A43,T_SelfStock[WeekIndex],59)&gt;0)*(COUNTIFS(T_TTAFStock[RM_Code],$A43,T_TTAFStock[WeekIndex],59)&gt;0)&gt;0,SUMIFS(T_SelfStock[Self_Qty],T_SelfStock[RM_Code],$A43,T_SelfStock[WeekIndex],59)+SUMIFS(T_TTAFStock[TTAF_Qty],T_TTAFStock[RM_Code],$A43,T_TTAFStock[WeekIndex],59),BG43+'Grid_Incoming'!BH43-'Grid_Requirement'!BH43))</f>
        <v/>
      </c>
      <c r="BI43">
        <f>IF(COUNTIFS(T_StockCount[RM_Code],$A43,T_StockCount[WeekIndex],60)&gt;0,SUMIFS(T_StockCount[CountedQty],T_StockCount[RM_Code],$A43,T_StockCount[WeekIndex],60),IF((COUNTIFS(T_SelfStock[RM_Code],$A43,T_SelfStock[WeekIndex],60)&gt;0)*(COUNTIFS(T_TTAFStock[RM_Code],$A43,T_TTAFStock[WeekIndex],60)&gt;0)&gt;0,SUMIFS(T_SelfStock[Self_Qty],T_SelfStock[RM_Code],$A43,T_SelfStock[WeekIndex],60)+SUMIFS(T_TTAFStock[TTAF_Qty],T_TTAFStock[RM_Code],$A43,T_TTAFStock[WeekIndex],60),BH43+'Grid_Incoming'!BI43-'Grid_Requirement'!BI43))</f>
        <v/>
      </c>
      <c r="BJ43">
        <f>IF(COUNTIFS(T_StockCount[RM_Code],$A43,T_StockCount[WeekIndex],61)&gt;0,SUMIFS(T_StockCount[CountedQty],T_StockCount[RM_Code],$A43,T_StockCount[WeekIndex],61),IF((COUNTIFS(T_SelfStock[RM_Code],$A43,T_SelfStock[WeekIndex],61)&gt;0)*(COUNTIFS(T_TTAFStock[RM_Code],$A43,T_TTAFStock[WeekIndex],61)&gt;0)&gt;0,SUMIFS(T_SelfStock[Self_Qty],T_SelfStock[RM_Code],$A43,T_SelfStock[WeekIndex],61)+SUMIFS(T_TTAFStock[TTAF_Qty],T_TTAFStock[RM_Code],$A43,T_TTAFStock[WeekIndex],61),BI43+'Grid_Incoming'!BJ43-'Grid_Requirement'!BJ43))</f>
        <v/>
      </c>
      <c r="BK43">
        <f>IF(COUNTIFS(T_StockCount[RM_Code],$A43,T_StockCount[WeekIndex],62)&gt;0,SUMIFS(T_StockCount[CountedQty],T_StockCount[RM_Code],$A43,T_StockCount[WeekIndex],62),IF((COUNTIFS(T_SelfStock[RM_Code],$A43,T_SelfStock[WeekIndex],62)&gt;0)*(COUNTIFS(T_TTAFStock[RM_Code],$A43,T_TTAFStock[WeekIndex],62)&gt;0)&gt;0,SUMIFS(T_SelfStock[Self_Qty],T_SelfStock[RM_Code],$A43,T_SelfStock[WeekIndex],62)+SUMIFS(T_TTAFStock[TTAF_Qty],T_TTAFStock[RM_Code],$A43,T_TTAFStock[WeekIndex],62),BJ43+'Grid_Incoming'!BK43-'Grid_Requirement'!BK43))</f>
        <v/>
      </c>
      <c r="BL43">
        <f>IF(COUNTIFS(T_StockCount[RM_Code],$A43,T_StockCount[WeekIndex],63)&gt;0,SUMIFS(T_StockCount[CountedQty],T_StockCount[RM_Code],$A43,T_StockCount[WeekIndex],63),IF((COUNTIFS(T_SelfStock[RM_Code],$A43,T_SelfStock[WeekIndex],63)&gt;0)*(COUNTIFS(T_TTAFStock[RM_Code],$A43,T_TTAFStock[WeekIndex],63)&gt;0)&gt;0,SUMIFS(T_SelfStock[Self_Qty],T_SelfStock[RM_Code],$A43,T_SelfStock[WeekIndex],63)+SUMIFS(T_TTAFStock[TTAF_Qty],T_TTAFStock[RM_Code],$A43,T_TTAFStock[WeekIndex],63),BK43+'Grid_Incoming'!BL43-'Grid_Requirement'!BL43))</f>
        <v/>
      </c>
      <c r="BM43">
        <f>IF(COUNTIFS(T_StockCount[RM_Code],$A43,T_StockCount[WeekIndex],64)&gt;0,SUMIFS(T_StockCount[CountedQty],T_StockCount[RM_Code],$A43,T_StockCount[WeekIndex],64),IF((COUNTIFS(T_SelfStock[RM_Code],$A43,T_SelfStock[WeekIndex],64)&gt;0)*(COUNTIFS(T_TTAFStock[RM_Code],$A43,T_TTAFStock[WeekIndex],64)&gt;0)&gt;0,SUMIFS(T_SelfStock[Self_Qty],T_SelfStock[RM_Code],$A43,T_SelfStock[WeekIndex],64)+SUMIFS(T_TTAFStock[TTAF_Qty],T_TTAFStock[RM_Code],$A43,T_TTAFStock[WeekIndex],64),BL43+'Grid_Incoming'!BM43-'Grid_Requirement'!BM43))</f>
        <v/>
      </c>
      <c r="BN43">
        <f>IF(COUNTIFS(T_StockCount[RM_Code],$A43,T_StockCount[WeekIndex],65)&gt;0,SUMIFS(T_StockCount[CountedQty],T_StockCount[RM_Code],$A43,T_StockCount[WeekIndex],65),IF((COUNTIFS(T_SelfStock[RM_Code],$A43,T_SelfStock[WeekIndex],65)&gt;0)*(COUNTIFS(T_TTAFStock[RM_Code],$A43,T_TTAFStock[WeekIndex],65)&gt;0)&gt;0,SUMIFS(T_SelfStock[Self_Qty],T_SelfStock[RM_Code],$A43,T_SelfStock[WeekIndex],65)+SUMIFS(T_TTAFStock[TTAF_Qty],T_TTAFStock[RM_Code],$A43,T_TTAFStock[WeekIndex],65),BM43+'Grid_Incoming'!BN43-'Grid_Requirement'!BN43))</f>
        <v/>
      </c>
      <c r="BO43">
        <f>IF(COUNTIFS(T_StockCount[RM_Code],$A43,T_StockCount[WeekIndex],66)&gt;0,SUMIFS(T_StockCount[CountedQty],T_StockCount[RM_Code],$A43,T_StockCount[WeekIndex],66),IF((COUNTIFS(T_SelfStock[RM_Code],$A43,T_SelfStock[WeekIndex],66)&gt;0)*(COUNTIFS(T_TTAFStock[RM_Code],$A43,T_TTAFStock[WeekIndex],66)&gt;0)&gt;0,SUMIFS(T_SelfStock[Self_Qty],T_SelfStock[RM_Code],$A43,T_SelfStock[WeekIndex],66)+SUMIFS(T_TTAFStock[TTAF_Qty],T_TTAFStock[RM_Code],$A43,T_TTAFStock[WeekIndex],66),BN43+'Grid_Incoming'!BO43-'Grid_Requirement'!BO43))</f>
        <v/>
      </c>
      <c r="BP43">
        <f>IF(COUNTIFS(T_StockCount[RM_Code],$A43,T_StockCount[WeekIndex],67)&gt;0,SUMIFS(T_StockCount[CountedQty],T_StockCount[RM_Code],$A43,T_StockCount[WeekIndex],67),IF((COUNTIFS(T_SelfStock[RM_Code],$A43,T_SelfStock[WeekIndex],67)&gt;0)*(COUNTIFS(T_TTAFStock[RM_Code],$A43,T_TTAFStock[WeekIndex],67)&gt;0)&gt;0,SUMIFS(T_SelfStock[Self_Qty],T_SelfStock[RM_Code],$A43,T_SelfStock[WeekIndex],67)+SUMIFS(T_TTAFStock[TTAF_Qty],T_TTAFStock[RM_Code],$A43,T_TTAFStock[WeekIndex],67),BO43+'Grid_Incoming'!BP43-'Grid_Requirement'!BP43))</f>
        <v/>
      </c>
      <c r="BQ43">
        <f>IF(COUNTIFS(T_StockCount[RM_Code],$A43,T_StockCount[WeekIndex],68)&gt;0,SUMIFS(T_StockCount[CountedQty],T_StockCount[RM_Code],$A43,T_StockCount[WeekIndex],68),IF((COUNTIFS(T_SelfStock[RM_Code],$A43,T_SelfStock[WeekIndex],68)&gt;0)*(COUNTIFS(T_TTAFStock[RM_Code],$A43,T_TTAFStock[WeekIndex],68)&gt;0)&gt;0,SUMIFS(T_SelfStock[Self_Qty],T_SelfStock[RM_Code],$A43,T_SelfStock[WeekIndex],68)+SUMIFS(T_TTAFStock[TTAF_Qty],T_TTAFStock[RM_Code],$A43,T_TTAFStock[WeekIndex],68),BP43+'Grid_Incoming'!BQ43-'Grid_Requirement'!BQ43))</f>
        <v/>
      </c>
      <c r="BR43">
        <f>IF(COUNTIFS(T_StockCount[RM_Code],$A43,T_StockCount[WeekIndex],69)&gt;0,SUMIFS(T_StockCount[CountedQty],T_StockCount[RM_Code],$A43,T_StockCount[WeekIndex],69),IF((COUNTIFS(T_SelfStock[RM_Code],$A43,T_SelfStock[WeekIndex],69)&gt;0)*(COUNTIFS(T_TTAFStock[RM_Code],$A43,T_TTAFStock[WeekIndex],69)&gt;0)&gt;0,SUMIFS(T_SelfStock[Self_Qty],T_SelfStock[RM_Code],$A43,T_SelfStock[WeekIndex],69)+SUMIFS(T_TTAFStock[TTAF_Qty],T_TTAFStock[RM_Code],$A43,T_TTAFStock[WeekIndex],69),BQ43+'Grid_Incoming'!BR43-'Grid_Requirement'!BR43))</f>
        <v/>
      </c>
      <c r="BS43">
        <f>IF(COUNTIFS(T_StockCount[RM_Code],$A43,T_StockCount[WeekIndex],70)&gt;0,SUMIFS(T_StockCount[CountedQty],T_StockCount[RM_Code],$A43,T_StockCount[WeekIndex],70),IF((COUNTIFS(T_SelfStock[RM_Code],$A43,T_SelfStock[WeekIndex],70)&gt;0)*(COUNTIFS(T_TTAFStock[RM_Code],$A43,T_TTAFStock[WeekIndex],70)&gt;0)&gt;0,SUMIFS(T_SelfStock[Self_Qty],T_SelfStock[RM_Code],$A43,T_SelfStock[WeekIndex],70)+SUMIFS(T_TTAFStock[TTAF_Qty],T_TTAFStock[RM_Code],$A43,T_TTAFStock[WeekIndex],70),BR43+'Grid_Incoming'!BS43-'Grid_Requirement'!BS43))</f>
        <v/>
      </c>
      <c r="BT43">
        <f>IF(COUNTIFS(T_StockCount[RM_Code],$A43,T_StockCount[WeekIndex],71)&gt;0,SUMIFS(T_StockCount[CountedQty],T_StockCount[RM_Code],$A43,T_StockCount[WeekIndex],71),IF((COUNTIFS(T_SelfStock[RM_Code],$A43,T_SelfStock[WeekIndex],71)&gt;0)*(COUNTIFS(T_TTAFStock[RM_Code],$A43,T_TTAFStock[WeekIndex],71)&gt;0)&gt;0,SUMIFS(T_SelfStock[Self_Qty],T_SelfStock[RM_Code],$A43,T_SelfStock[WeekIndex],71)+SUMIFS(T_TTAFStock[TTAF_Qty],T_TTAFStock[RM_Code],$A43,T_TTAFStock[WeekIndex],71),BS43+'Grid_Incoming'!BT43-'Grid_Requirement'!BT43))</f>
        <v/>
      </c>
      <c r="BU43">
        <f>IF(COUNTIFS(T_StockCount[RM_Code],$A43,T_StockCount[WeekIndex],72)&gt;0,SUMIFS(T_StockCount[CountedQty],T_StockCount[RM_Code],$A43,T_StockCount[WeekIndex],72),IF((COUNTIFS(T_SelfStock[RM_Code],$A43,T_SelfStock[WeekIndex],72)&gt;0)*(COUNTIFS(T_TTAFStock[RM_Code],$A43,T_TTAFStock[WeekIndex],72)&gt;0)&gt;0,SUMIFS(T_SelfStock[Self_Qty],T_SelfStock[RM_Code],$A43,T_SelfStock[WeekIndex],72)+SUMIFS(T_TTAFStock[TTAF_Qty],T_TTAFStock[RM_Code],$A43,T_TTAFStock[WeekIndex],72),BT43+'Grid_Incoming'!BU43-'Grid_Requirement'!BU43))</f>
        <v/>
      </c>
      <c r="BV43">
        <f>IF(COUNTIFS(T_StockCount[RM_Code],$A43,T_StockCount[WeekIndex],73)&gt;0,SUMIFS(T_StockCount[CountedQty],T_StockCount[RM_Code],$A43,T_StockCount[WeekIndex],73),IF((COUNTIFS(T_SelfStock[RM_Code],$A43,T_SelfStock[WeekIndex],73)&gt;0)*(COUNTIFS(T_TTAFStock[RM_Code],$A43,T_TTAFStock[WeekIndex],73)&gt;0)&gt;0,SUMIFS(T_SelfStock[Self_Qty],T_SelfStock[RM_Code],$A43,T_SelfStock[WeekIndex],73)+SUMIFS(T_TTAFStock[TTAF_Qty],T_TTAFStock[RM_Code],$A43,T_TTAFStock[WeekIndex],73),BU43+'Grid_Incoming'!BV43-'Grid_Requirement'!BV43))</f>
        <v/>
      </c>
      <c r="BW43">
        <f>IF(COUNTIFS(T_StockCount[RM_Code],$A43,T_StockCount[WeekIndex],74)&gt;0,SUMIFS(T_StockCount[CountedQty],T_StockCount[RM_Code],$A43,T_StockCount[WeekIndex],74),IF((COUNTIFS(T_SelfStock[RM_Code],$A43,T_SelfStock[WeekIndex],74)&gt;0)*(COUNTIFS(T_TTAFStock[RM_Code],$A43,T_TTAFStock[WeekIndex],74)&gt;0)&gt;0,SUMIFS(T_SelfStock[Self_Qty],T_SelfStock[RM_Code],$A43,T_SelfStock[WeekIndex],74)+SUMIFS(T_TTAFStock[TTAF_Qty],T_TTAFStock[RM_Code],$A43,T_TTAFStock[WeekIndex],74),BV43+'Grid_Incoming'!BW43-'Grid_Requirement'!BW43))</f>
        <v/>
      </c>
      <c r="BX43">
        <f>IF(COUNTIFS(T_StockCount[RM_Code],$A43,T_StockCount[WeekIndex],75)&gt;0,SUMIFS(T_StockCount[CountedQty],T_StockCount[RM_Code],$A43,T_StockCount[WeekIndex],75),IF((COUNTIFS(T_SelfStock[RM_Code],$A43,T_SelfStock[WeekIndex],75)&gt;0)*(COUNTIFS(T_TTAFStock[RM_Code],$A43,T_TTAFStock[WeekIndex],75)&gt;0)&gt;0,SUMIFS(T_SelfStock[Self_Qty],T_SelfStock[RM_Code],$A43,T_SelfStock[WeekIndex],75)+SUMIFS(T_TTAFStock[TTAF_Qty],T_TTAFStock[RM_Code],$A43,T_TTAFStock[WeekIndex],75),BW43+'Grid_Incoming'!BX43-'Grid_Requirement'!BX43))</f>
        <v/>
      </c>
      <c r="BY43">
        <f>IF(COUNTIFS(T_StockCount[RM_Code],$A43,T_StockCount[WeekIndex],76)&gt;0,SUMIFS(T_StockCount[CountedQty],T_StockCount[RM_Code],$A43,T_StockCount[WeekIndex],76),IF((COUNTIFS(T_SelfStock[RM_Code],$A43,T_SelfStock[WeekIndex],76)&gt;0)*(COUNTIFS(T_TTAFStock[RM_Code],$A43,T_TTAFStock[WeekIndex],76)&gt;0)&gt;0,SUMIFS(T_SelfStock[Self_Qty],T_SelfStock[RM_Code],$A43,T_SelfStock[WeekIndex],76)+SUMIFS(T_TTAFStock[TTAF_Qty],T_TTAFStock[RM_Code],$A43,T_TTAFStock[WeekIndex],76),BX43+'Grid_Incoming'!BY43-'Grid_Requirement'!BY43))</f>
        <v/>
      </c>
      <c r="BZ43">
        <f>IF(COUNTIFS(T_StockCount[RM_Code],$A43,T_StockCount[WeekIndex],77)&gt;0,SUMIFS(T_StockCount[CountedQty],T_StockCount[RM_Code],$A43,T_StockCount[WeekIndex],77),IF((COUNTIFS(T_SelfStock[RM_Code],$A43,T_SelfStock[WeekIndex],77)&gt;0)*(COUNTIFS(T_TTAFStock[RM_Code],$A43,T_TTAFStock[WeekIndex],77)&gt;0)&gt;0,SUMIFS(T_SelfStock[Self_Qty],T_SelfStock[RM_Code],$A43,T_SelfStock[WeekIndex],77)+SUMIFS(T_TTAFStock[TTAF_Qty],T_TTAFStock[RM_Code],$A43,T_TTAFStock[WeekIndex],77),BY43+'Grid_Incoming'!BZ43-'Grid_Requirement'!BZ43))</f>
        <v/>
      </c>
      <c r="CA43">
        <f>IF(COUNTIFS(T_StockCount[RM_Code],$A43,T_StockCount[WeekIndex],78)&gt;0,SUMIFS(T_StockCount[CountedQty],T_StockCount[RM_Code],$A43,T_StockCount[WeekIndex],78),IF((COUNTIFS(T_SelfStock[RM_Code],$A43,T_SelfStock[WeekIndex],78)&gt;0)*(COUNTIFS(T_TTAFStock[RM_Code],$A43,T_TTAFStock[WeekIndex],78)&gt;0)&gt;0,SUMIFS(T_SelfStock[Self_Qty],T_SelfStock[RM_Code],$A43,T_SelfStock[WeekIndex],78)+SUMIFS(T_TTAFStock[TTAF_Qty],T_TTAFStock[RM_Code],$A43,T_TTAFStock[WeekIndex],78),BZ43+'Grid_Incoming'!CA43-'Grid_Requirement'!CA43))</f>
        <v/>
      </c>
      <c r="CB43">
        <f>IF(COUNTIFS(T_StockCount[RM_Code],$A43,T_StockCount[WeekIndex],79)&gt;0,SUMIFS(T_StockCount[CountedQty],T_StockCount[RM_Code],$A43,T_StockCount[WeekIndex],79),IF((COUNTIFS(T_SelfStock[RM_Code],$A43,T_SelfStock[WeekIndex],79)&gt;0)*(COUNTIFS(T_TTAFStock[RM_Code],$A43,T_TTAFStock[WeekIndex],79)&gt;0)&gt;0,SUMIFS(T_SelfStock[Self_Qty],T_SelfStock[RM_Code],$A43,T_SelfStock[WeekIndex],79)+SUMIFS(T_TTAFStock[TTAF_Qty],T_TTAFStock[RM_Code],$A43,T_TTAFStock[WeekIndex],79),CA43+'Grid_Incoming'!CB43-'Grid_Requirement'!CB43))</f>
        <v/>
      </c>
      <c r="CC43">
        <f>IF(COUNTIFS(T_StockCount[RM_Code],$A43,T_StockCount[WeekIndex],80)&gt;0,SUMIFS(T_StockCount[CountedQty],T_StockCount[RM_Code],$A43,T_StockCount[WeekIndex],80),IF((COUNTIFS(T_SelfStock[RM_Code],$A43,T_SelfStock[WeekIndex],80)&gt;0)*(COUNTIFS(T_TTAFStock[RM_Code],$A43,T_TTAFStock[WeekIndex],80)&gt;0)&gt;0,SUMIFS(T_SelfStock[Self_Qty],T_SelfStock[RM_Code],$A43,T_SelfStock[WeekIndex],80)+SUMIFS(T_TTAFStock[TTAF_Qty],T_TTAFStock[RM_Code],$A43,T_TTAFStock[WeekIndex],80),CB43+'Grid_Incoming'!CC43-'Grid_Requirement'!CC43))</f>
        <v/>
      </c>
      <c r="CD43">
        <f>IF(COUNTIFS(T_StockCount[RM_Code],$A43,T_StockCount[WeekIndex],81)&gt;0,SUMIFS(T_StockCount[CountedQty],T_StockCount[RM_Code],$A43,T_StockCount[WeekIndex],81),IF((COUNTIFS(T_SelfStock[RM_Code],$A43,T_SelfStock[WeekIndex],81)&gt;0)*(COUNTIFS(T_TTAFStock[RM_Code],$A43,T_TTAFStock[WeekIndex],81)&gt;0)&gt;0,SUMIFS(T_SelfStock[Self_Qty],T_SelfStock[RM_Code],$A43,T_SelfStock[WeekIndex],81)+SUMIFS(T_TTAFStock[TTAF_Qty],T_TTAFStock[RM_Code],$A43,T_TTAFStock[WeekIndex],81),CC43+'Grid_Incoming'!CD43-'Grid_Requirement'!CD43))</f>
        <v/>
      </c>
      <c r="CE43">
        <f>IF(COUNTIFS(T_StockCount[RM_Code],$A43,T_StockCount[WeekIndex],82)&gt;0,SUMIFS(T_StockCount[CountedQty],T_StockCount[RM_Code],$A43,T_StockCount[WeekIndex],82),IF((COUNTIFS(T_SelfStock[RM_Code],$A43,T_SelfStock[WeekIndex],82)&gt;0)*(COUNTIFS(T_TTAFStock[RM_Code],$A43,T_TTAFStock[WeekIndex],82)&gt;0)&gt;0,SUMIFS(T_SelfStock[Self_Qty],T_SelfStock[RM_Code],$A43,T_SelfStock[WeekIndex],82)+SUMIFS(T_TTAFStock[TTAF_Qty],T_TTAFStock[RM_Code],$A43,T_TTAFStock[WeekIndex],82),CD43+'Grid_Incoming'!CE43-'Grid_Requirement'!CE43))</f>
        <v/>
      </c>
      <c r="CF43">
        <f>IF(COUNTIFS(T_StockCount[RM_Code],$A43,T_StockCount[WeekIndex],83)&gt;0,SUMIFS(T_StockCount[CountedQty],T_StockCount[RM_Code],$A43,T_StockCount[WeekIndex],83),IF((COUNTIFS(T_SelfStock[RM_Code],$A43,T_SelfStock[WeekIndex],83)&gt;0)*(COUNTIFS(T_TTAFStock[RM_Code],$A43,T_TTAFStock[WeekIndex],83)&gt;0)&gt;0,SUMIFS(T_SelfStock[Self_Qty],T_SelfStock[RM_Code],$A43,T_SelfStock[WeekIndex],83)+SUMIFS(T_TTAFStock[TTAF_Qty],T_TTAFStock[RM_Code],$A43,T_TTAFStock[WeekIndex],83),CE43+'Grid_Incoming'!CF43-'Grid_Requirement'!CF43))</f>
        <v/>
      </c>
      <c r="CG43">
        <f>IF(COUNTIFS(T_StockCount[RM_Code],$A43,T_StockCount[WeekIndex],84)&gt;0,SUMIFS(T_StockCount[CountedQty],T_StockCount[RM_Code],$A43,T_StockCount[WeekIndex],84),IF((COUNTIFS(T_SelfStock[RM_Code],$A43,T_SelfStock[WeekIndex],84)&gt;0)*(COUNTIFS(T_TTAFStock[RM_Code],$A43,T_TTAFStock[WeekIndex],84)&gt;0)&gt;0,SUMIFS(T_SelfStock[Self_Qty],T_SelfStock[RM_Code],$A43,T_SelfStock[WeekIndex],84)+SUMIFS(T_TTAFStock[TTAF_Qty],T_TTAFStock[RM_Code],$A43,T_TTAFStock[WeekIndex],84),CF43+'Grid_Incoming'!CG43-'Grid_Requirement'!CG43))</f>
        <v/>
      </c>
      <c r="CH43">
        <f>IF(COUNTIFS(T_StockCount[RM_Code],$A43,T_StockCount[WeekIndex],85)&gt;0,SUMIFS(T_StockCount[CountedQty],T_StockCount[RM_Code],$A43,T_StockCount[WeekIndex],85),IF((COUNTIFS(T_SelfStock[RM_Code],$A43,T_SelfStock[WeekIndex],85)&gt;0)*(COUNTIFS(T_TTAFStock[RM_Code],$A43,T_TTAFStock[WeekIndex],85)&gt;0)&gt;0,SUMIFS(T_SelfStock[Self_Qty],T_SelfStock[RM_Code],$A43,T_SelfStock[WeekIndex],85)+SUMIFS(T_TTAFStock[TTAF_Qty],T_TTAFStock[RM_Code],$A43,T_TTAFStock[WeekIndex],85),CG43+'Grid_Incoming'!CH43-'Grid_Requirement'!CH43))</f>
        <v/>
      </c>
      <c r="CI43">
        <f>IF(COUNTIFS(T_StockCount[RM_Code],$A43,T_StockCount[WeekIndex],86)&gt;0,SUMIFS(T_StockCount[CountedQty],T_StockCount[RM_Code],$A43,T_StockCount[WeekIndex],86),IF((COUNTIFS(T_SelfStock[RM_Code],$A43,T_SelfStock[WeekIndex],86)&gt;0)*(COUNTIFS(T_TTAFStock[RM_Code],$A43,T_TTAFStock[WeekIndex],86)&gt;0)&gt;0,SUMIFS(T_SelfStock[Self_Qty],T_SelfStock[RM_Code],$A43,T_SelfStock[WeekIndex],86)+SUMIFS(T_TTAFStock[TTAF_Qty],T_TTAFStock[RM_Code],$A43,T_TTAFStock[WeekIndex],86),CH43+'Grid_Incoming'!CI43-'Grid_Requirement'!CI43))</f>
        <v/>
      </c>
      <c r="CJ43">
        <f>IF(COUNTIFS(T_StockCount[RM_Code],$A43,T_StockCount[WeekIndex],87)&gt;0,SUMIFS(T_StockCount[CountedQty],T_StockCount[RM_Code],$A43,T_StockCount[WeekIndex],87),IF((COUNTIFS(T_SelfStock[RM_Code],$A43,T_SelfStock[WeekIndex],87)&gt;0)*(COUNTIFS(T_TTAFStock[RM_Code],$A43,T_TTAFStock[WeekIndex],87)&gt;0)&gt;0,SUMIFS(T_SelfStock[Self_Qty],T_SelfStock[RM_Code],$A43,T_SelfStock[WeekIndex],87)+SUMIFS(T_TTAFStock[TTAF_Qty],T_TTAFStock[RM_Code],$A43,T_TTAFStock[WeekIndex],87),CI43+'Grid_Incoming'!CJ43-'Grid_Requirement'!CJ43))</f>
        <v/>
      </c>
      <c r="CK43">
        <f>IF(COUNTIFS(T_StockCount[RM_Code],$A43,T_StockCount[WeekIndex],88)&gt;0,SUMIFS(T_StockCount[CountedQty],T_StockCount[RM_Code],$A43,T_StockCount[WeekIndex],88),IF((COUNTIFS(T_SelfStock[RM_Code],$A43,T_SelfStock[WeekIndex],88)&gt;0)*(COUNTIFS(T_TTAFStock[RM_Code],$A43,T_TTAFStock[WeekIndex],88)&gt;0)&gt;0,SUMIFS(T_SelfStock[Self_Qty],T_SelfStock[RM_Code],$A43,T_SelfStock[WeekIndex],88)+SUMIFS(T_TTAFStock[TTAF_Qty],T_TTAFStock[RM_Code],$A43,T_TTAFStock[WeekIndex],88),CJ43+'Grid_Incoming'!CK43-'Grid_Requirement'!CK43))</f>
        <v/>
      </c>
      <c r="CL43">
        <f>IF(COUNTIFS(T_StockCount[RM_Code],$A43,T_StockCount[WeekIndex],89)&gt;0,SUMIFS(T_StockCount[CountedQty],T_StockCount[RM_Code],$A43,T_StockCount[WeekIndex],89),IF((COUNTIFS(T_SelfStock[RM_Code],$A43,T_SelfStock[WeekIndex],89)&gt;0)*(COUNTIFS(T_TTAFStock[RM_Code],$A43,T_TTAFStock[WeekIndex],89)&gt;0)&gt;0,SUMIFS(T_SelfStock[Self_Qty],T_SelfStock[RM_Code],$A43,T_SelfStock[WeekIndex],89)+SUMIFS(T_TTAFStock[TTAF_Qty],T_TTAFStock[RM_Code],$A43,T_TTAFStock[WeekIndex],89),CK43+'Grid_Incoming'!CL43-'Grid_Requirement'!CL43))</f>
        <v/>
      </c>
      <c r="CM43">
        <f>IF(COUNTIFS(T_StockCount[RM_Code],$A43,T_StockCount[WeekIndex],90)&gt;0,SUMIFS(T_StockCount[CountedQty],T_StockCount[RM_Code],$A43,T_StockCount[WeekIndex],90),IF((COUNTIFS(T_SelfStock[RM_Code],$A43,T_SelfStock[WeekIndex],90)&gt;0)*(COUNTIFS(T_TTAFStock[RM_Code],$A43,T_TTAFStock[WeekIndex],90)&gt;0)&gt;0,SUMIFS(T_SelfStock[Self_Qty],T_SelfStock[RM_Code],$A43,T_SelfStock[WeekIndex],90)+SUMIFS(T_TTAFStock[TTAF_Qty],T_TTAFStock[RM_Code],$A43,T_TTAFStock[WeekIndex],90),CL43+'Grid_Incoming'!CM43-'Grid_Requirement'!CM43))</f>
        <v/>
      </c>
      <c r="CN43">
        <f>IF(COUNTIFS(T_StockCount[RM_Code],$A43,T_StockCount[WeekIndex],91)&gt;0,SUMIFS(T_StockCount[CountedQty],T_StockCount[RM_Code],$A43,T_StockCount[WeekIndex],91),IF((COUNTIFS(T_SelfStock[RM_Code],$A43,T_SelfStock[WeekIndex],91)&gt;0)*(COUNTIFS(T_TTAFStock[RM_Code],$A43,T_TTAFStock[WeekIndex],91)&gt;0)&gt;0,SUMIFS(T_SelfStock[Self_Qty],T_SelfStock[RM_Code],$A43,T_SelfStock[WeekIndex],91)+SUMIFS(T_TTAFStock[TTAF_Qty],T_TTAFStock[RM_Code],$A43,T_TTAFStock[WeekIndex],91),CM43+'Grid_Incoming'!CN43-'Grid_Requirement'!CN43))</f>
        <v/>
      </c>
      <c r="CO43">
        <f>IF(COUNTIFS(T_StockCount[RM_Code],$A43,T_StockCount[WeekIndex],92)&gt;0,SUMIFS(T_StockCount[CountedQty],T_StockCount[RM_Code],$A43,T_StockCount[WeekIndex],92),IF((COUNTIFS(T_SelfStock[RM_Code],$A43,T_SelfStock[WeekIndex],92)&gt;0)*(COUNTIFS(T_TTAFStock[RM_Code],$A43,T_TTAFStock[WeekIndex],92)&gt;0)&gt;0,SUMIFS(T_SelfStock[Self_Qty],T_SelfStock[RM_Code],$A43,T_SelfStock[WeekIndex],92)+SUMIFS(T_TTAFStock[TTAF_Qty],T_TTAFStock[RM_Code],$A43,T_TTAFStock[WeekIndex],92),CN43+'Grid_Incoming'!CO43-'Grid_Requirement'!CO43))</f>
        <v/>
      </c>
      <c r="CP43">
        <f>IF(COUNTIFS(T_StockCount[RM_Code],$A43,T_StockCount[WeekIndex],93)&gt;0,SUMIFS(T_StockCount[CountedQty],T_StockCount[RM_Code],$A43,T_StockCount[WeekIndex],93),IF((COUNTIFS(T_SelfStock[RM_Code],$A43,T_SelfStock[WeekIndex],93)&gt;0)*(COUNTIFS(T_TTAFStock[RM_Code],$A43,T_TTAFStock[WeekIndex],93)&gt;0)&gt;0,SUMIFS(T_SelfStock[Self_Qty],T_SelfStock[RM_Code],$A43,T_SelfStock[WeekIndex],93)+SUMIFS(T_TTAFStock[TTAF_Qty],T_TTAFStock[RM_Code],$A43,T_TTAFStock[WeekIndex],93),CO43+'Grid_Incoming'!CP43-'Grid_Requirement'!CP43))</f>
        <v/>
      </c>
      <c r="CQ43">
        <f>IF(COUNTIFS(T_StockCount[RM_Code],$A43,T_StockCount[WeekIndex],94)&gt;0,SUMIFS(T_StockCount[CountedQty],T_StockCount[RM_Code],$A43,T_StockCount[WeekIndex],94),IF((COUNTIFS(T_SelfStock[RM_Code],$A43,T_SelfStock[WeekIndex],94)&gt;0)*(COUNTIFS(T_TTAFStock[RM_Code],$A43,T_TTAFStock[WeekIndex],94)&gt;0)&gt;0,SUMIFS(T_SelfStock[Self_Qty],T_SelfStock[RM_Code],$A43,T_SelfStock[WeekIndex],94)+SUMIFS(T_TTAFStock[TTAF_Qty],T_TTAFStock[RM_Code],$A43,T_TTAFStock[WeekIndex],94),CP43+'Grid_Incoming'!CQ43-'Grid_Requirement'!CQ43))</f>
        <v/>
      </c>
      <c r="CR43">
        <f>IF(COUNTIFS(T_StockCount[RM_Code],$A43,T_StockCount[WeekIndex],95)&gt;0,SUMIFS(T_StockCount[CountedQty],T_StockCount[RM_Code],$A43,T_StockCount[WeekIndex],95),IF((COUNTIFS(T_SelfStock[RM_Code],$A43,T_SelfStock[WeekIndex],95)&gt;0)*(COUNTIFS(T_TTAFStock[RM_Code],$A43,T_TTAFStock[WeekIndex],95)&gt;0)&gt;0,SUMIFS(T_SelfStock[Self_Qty],T_SelfStock[RM_Code],$A43,T_SelfStock[WeekIndex],95)+SUMIFS(T_TTAFStock[TTAF_Qty],T_TTAFStock[RM_Code],$A43,T_TTAFStock[WeekIndex],95),CQ43+'Grid_Incoming'!CR43-'Grid_Requirement'!CR43))</f>
        <v/>
      </c>
      <c r="CS43">
        <f>IF(COUNTIFS(T_StockCount[RM_Code],$A43,T_StockCount[WeekIndex],96)&gt;0,SUMIFS(T_StockCount[CountedQty],T_StockCount[RM_Code],$A43,T_StockCount[WeekIndex],96),IF((COUNTIFS(T_SelfStock[RM_Code],$A43,T_SelfStock[WeekIndex],96)&gt;0)*(COUNTIFS(T_TTAFStock[RM_Code],$A43,T_TTAFStock[WeekIndex],96)&gt;0)&gt;0,SUMIFS(T_SelfStock[Self_Qty],T_SelfStock[RM_Code],$A43,T_SelfStock[WeekIndex],96)+SUMIFS(T_TTAFStock[TTAF_Qty],T_TTAFStock[RM_Code],$A43,T_TTAFStock[WeekIndex],96),CR43+'Grid_Incoming'!CS43-'Grid_Requirement'!CS43))</f>
        <v/>
      </c>
      <c r="CT43">
        <f>IF(COUNTIFS(T_StockCount[RM_Code],$A43,T_StockCount[WeekIndex],97)&gt;0,SUMIFS(T_StockCount[CountedQty],T_StockCount[RM_Code],$A43,T_StockCount[WeekIndex],97),IF((COUNTIFS(T_SelfStock[RM_Code],$A43,T_SelfStock[WeekIndex],97)&gt;0)*(COUNTIFS(T_TTAFStock[RM_Code],$A43,T_TTAFStock[WeekIndex],97)&gt;0)&gt;0,SUMIFS(T_SelfStock[Self_Qty],T_SelfStock[RM_Code],$A43,T_SelfStock[WeekIndex],97)+SUMIFS(T_TTAFStock[TTAF_Qty],T_TTAFStock[RM_Code],$A43,T_TTAFStock[WeekIndex],97),CS43+'Grid_Incoming'!CT43-'Grid_Requirement'!CT43))</f>
        <v/>
      </c>
      <c r="CU43">
        <f>IF(COUNTIFS(T_StockCount[RM_Code],$A43,T_StockCount[WeekIndex],98)&gt;0,SUMIFS(T_StockCount[CountedQty],T_StockCount[RM_Code],$A43,T_StockCount[WeekIndex],98),IF((COUNTIFS(T_SelfStock[RM_Code],$A43,T_SelfStock[WeekIndex],98)&gt;0)*(COUNTIFS(T_TTAFStock[RM_Code],$A43,T_TTAFStock[WeekIndex],98)&gt;0)&gt;0,SUMIFS(T_SelfStock[Self_Qty],T_SelfStock[RM_Code],$A43,T_SelfStock[WeekIndex],98)+SUMIFS(T_TTAFStock[TTAF_Qty],T_TTAFStock[RM_Code],$A43,T_TTAFStock[WeekIndex],98),CT43+'Grid_Incoming'!CU43-'Grid_Requirement'!CU43))</f>
        <v/>
      </c>
      <c r="CV43">
        <f>IF(COUNTIFS(T_StockCount[RM_Code],$A43,T_StockCount[WeekIndex],99)&gt;0,SUMIFS(T_StockCount[CountedQty],T_StockCount[RM_Code],$A43,T_StockCount[WeekIndex],99),IF((COUNTIFS(T_SelfStock[RM_Code],$A43,T_SelfStock[WeekIndex],99)&gt;0)*(COUNTIFS(T_TTAFStock[RM_Code],$A43,T_TTAFStock[WeekIndex],99)&gt;0)&gt;0,SUMIFS(T_SelfStock[Self_Qty],T_SelfStock[RM_Code],$A43,T_SelfStock[WeekIndex],99)+SUMIFS(T_TTAFStock[TTAF_Qty],T_TTAFStock[RM_Code],$A43,T_TTAFStock[WeekIndex],99),CU43+'Grid_Incoming'!CV43-'Grid_Requirement'!CV43))</f>
        <v/>
      </c>
      <c r="CW43">
        <f>IF(COUNTIFS(T_StockCount[RM_Code],$A43,T_StockCount[WeekIndex],100)&gt;0,SUMIFS(T_StockCount[CountedQty],T_StockCount[RM_Code],$A43,T_StockCount[WeekIndex],100),IF((COUNTIFS(T_SelfStock[RM_Code],$A43,T_SelfStock[WeekIndex],100)&gt;0)*(COUNTIFS(T_TTAFStock[RM_Code],$A43,T_TTAFStock[WeekIndex],100)&gt;0)&gt;0,SUMIFS(T_SelfStock[Self_Qty],T_SelfStock[RM_Code],$A43,T_SelfStock[WeekIndex],100)+SUMIFS(T_TTAFStock[TTAF_Qty],T_TTAFStock[RM_Code],$A43,T_TTAFStock[WeekIndex],100),CV43+'Grid_Incoming'!CW43-'Grid_Requirement'!CW43))</f>
        <v/>
      </c>
      <c r="CX43">
        <f>IF(COUNTIFS(T_StockCount[RM_Code],$A43,T_StockCount[WeekIndex],101)&gt;0,SUMIFS(T_StockCount[CountedQty],T_StockCount[RM_Code],$A43,T_StockCount[WeekIndex],101),IF((COUNTIFS(T_SelfStock[RM_Code],$A43,T_SelfStock[WeekIndex],101)&gt;0)*(COUNTIFS(T_TTAFStock[RM_Code],$A43,T_TTAFStock[WeekIndex],101)&gt;0)&gt;0,SUMIFS(T_SelfStock[Self_Qty],T_SelfStock[RM_Code],$A43,T_SelfStock[WeekIndex],101)+SUMIFS(T_TTAFStock[TTAF_Qty],T_TTAFStock[RM_Code],$A43,T_TTAFStock[WeekIndex],101),CW43+'Grid_Incoming'!CX43-'Grid_Requirement'!CX43))</f>
        <v/>
      </c>
      <c r="CY43">
        <f>IF(COUNTIFS(T_StockCount[RM_Code],$A43,T_StockCount[WeekIndex],102)&gt;0,SUMIFS(T_StockCount[CountedQty],T_StockCount[RM_Code],$A43,T_StockCount[WeekIndex],102),IF((COUNTIFS(T_SelfStock[RM_Code],$A43,T_SelfStock[WeekIndex],102)&gt;0)*(COUNTIFS(T_TTAFStock[RM_Code],$A43,T_TTAFStock[WeekIndex],102)&gt;0)&gt;0,SUMIFS(T_SelfStock[Self_Qty],T_SelfStock[RM_Code],$A43,T_SelfStock[WeekIndex],102)+SUMIFS(T_TTAFStock[TTAF_Qty],T_TTAFStock[RM_Code],$A43,T_TTAFStock[WeekIndex],102),CX43+'Grid_Incoming'!CY43-'Grid_Requirement'!CY43))</f>
        <v/>
      </c>
      <c r="CZ43">
        <f>IF(COUNTIFS(T_StockCount[RM_Code],$A43,T_StockCount[WeekIndex],103)&gt;0,SUMIFS(T_StockCount[CountedQty],T_StockCount[RM_Code],$A43,T_StockCount[WeekIndex],103),IF((COUNTIFS(T_SelfStock[RM_Code],$A43,T_SelfStock[WeekIndex],103)&gt;0)*(COUNTIFS(T_TTAFStock[RM_Code],$A43,T_TTAFStock[WeekIndex],103)&gt;0)&gt;0,SUMIFS(T_SelfStock[Self_Qty],T_SelfStock[RM_Code],$A43,T_SelfStock[WeekIndex],103)+SUMIFS(T_TTAFStock[TTAF_Qty],T_TTAFStock[RM_Code],$A43,T_TTAFStock[WeekIndex],103),CY43+'Grid_Incoming'!CZ43-'Grid_Requirement'!CZ43))</f>
        <v/>
      </c>
      <c r="DA43">
        <f>IF(COUNTIFS(T_StockCount[RM_Code],$A43,T_StockCount[WeekIndex],104)&gt;0,SUMIFS(T_StockCount[CountedQty],T_StockCount[RM_Code],$A43,T_StockCount[WeekIndex],104),IF((COUNTIFS(T_SelfStock[RM_Code],$A43,T_SelfStock[WeekIndex],104)&gt;0)*(COUNTIFS(T_TTAFStock[RM_Code],$A43,T_TTAFStock[WeekIndex],104)&gt;0)&gt;0,SUMIFS(T_SelfStock[Self_Qty],T_SelfStock[RM_Code],$A43,T_SelfStock[WeekIndex],104)+SUMIFS(T_TTAFStock[TTAF_Qty],T_TTAFStock[RM_Code],$A43,T_TTAFStock[WeekIndex],104),CZ43+'Grid_Incoming'!DA43-'Grid_Requirement'!DA43))</f>
        <v/>
      </c>
    </row>
    <row r="44">
      <c r="A44" t="inlineStr">
        <is>
          <t>CHEM-1120</t>
        </is>
      </c>
      <c r="B44">
        <f>IF(COUNTIFS(T_StockCount[RM_Code],$A44,T_StockCount[WeekIndex],1)&gt;0,SUMIFS(T_StockCount[CountedQty],T_StockCount[RM_Code],$A44,T_StockCount[WeekIndex],1),IF((COUNTIFS(T_SelfStock[RM_Code],$A44,T_SelfStock[WeekIndex],1)&gt;0)*(COUNTIFS(T_TTAFStock[RM_Code],$A44,T_TTAFStock[WeekIndex],1)&gt;0)&gt;0,SUMIFS(T_SelfStock[Self_Qty],T_SelfStock[RM_Code],$A44,T_SelfStock[WeekIndex],1)+SUMIFS(T_TTAFStock[TTAF_Qty],T_TTAFStock[RM_Code],$A44,T_TTAFStock[WeekIndex],1),IFERROR(INDEX(T_OpeningStock[Opening_Qty],MATCH($A44,T_OpeningStock[RM_Code],0)),0)+'Grid_Incoming'!B44-'Grid_Requirement'!B44))</f>
        <v/>
      </c>
      <c r="C44">
        <f>IF(COUNTIFS(T_StockCount[RM_Code],$A44,T_StockCount[WeekIndex],2)&gt;0,SUMIFS(T_StockCount[CountedQty],T_StockCount[RM_Code],$A44,T_StockCount[WeekIndex],2),IF((COUNTIFS(T_SelfStock[RM_Code],$A44,T_SelfStock[WeekIndex],2)&gt;0)*(COUNTIFS(T_TTAFStock[RM_Code],$A44,T_TTAFStock[WeekIndex],2)&gt;0)&gt;0,SUMIFS(T_SelfStock[Self_Qty],T_SelfStock[RM_Code],$A44,T_SelfStock[WeekIndex],2)+SUMIFS(T_TTAFStock[TTAF_Qty],T_TTAFStock[RM_Code],$A44,T_TTAFStock[WeekIndex],2),B44+'Grid_Incoming'!C44-'Grid_Requirement'!C44))</f>
        <v/>
      </c>
      <c r="D44">
        <f>IF(COUNTIFS(T_StockCount[RM_Code],$A44,T_StockCount[WeekIndex],3)&gt;0,SUMIFS(T_StockCount[CountedQty],T_StockCount[RM_Code],$A44,T_StockCount[WeekIndex],3),IF((COUNTIFS(T_SelfStock[RM_Code],$A44,T_SelfStock[WeekIndex],3)&gt;0)*(COUNTIFS(T_TTAFStock[RM_Code],$A44,T_TTAFStock[WeekIndex],3)&gt;0)&gt;0,SUMIFS(T_SelfStock[Self_Qty],T_SelfStock[RM_Code],$A44,T_SelfStock[WeekIndex],3)+SUMIFS(T_TTAFStock[TTAF_Qty],T_TTAFStock[RM_Code],$A44,T_TTAFStock[WeekIndex],3),C44+'Grid_Incoming'!D44-'Grid_Requirement'!D44))</f>
        <v/>
      </c>
      <c r="E44">
        <f>IF(COUNTIFS(T_StockCount[RM_Code],$A44,T_StockCount[WeekIndex],4)&gt;0,SUMIFS(T_StockCount[CountedQty],T_StockCount[RM_Code],$A44,T_StockCount[WeekIndex],4),IF((COUNTIFS(T_SelfStock[RM_Code],$A44,T_SelfStock[WeekIndex],4)&gt;0)*(COUNTIFS(T_TTAFStock[RM_Code],$A44,T_TTAFStock[WeekIndex],4)&gt;0)&gt;0,SUMIFS(T_SelfStock[Self_Qty],T_SelfStock[RM_Code],$A44,T_SelfStock[WeekIndex],4)+SUMIFS(T_TTAFStock[TTAF_Qty],T_TTAFStock[RM_Code],$A44,T_TTAFStock[WeekIndex],4),D44+'Grid_Incoming'!E44-'Grid_Requirement'!E44))</f>
        <v/>
      </c>
      <c r="F44">
        <f>IF(COUNTIFS(T_StockCount[RM_Code],$A44,T_StockCount[WeekIndex],5)&gt;0,SUMIFS(T_StockCount[CountedQty],T_StockCount[RM_Code],$A44,T_StockCount[WeekIndex],5),IF((COUNTIFS(T_SelfStock[RM_Code],$A44,T_SelfStock[WeekIndex],5)&gt;0)*(COUNTIFS(T_TTAFStock[RM_Code],$A44,T_TTAFStock[WeekIndex],5)&gt;0)&gt;0,SUMIFS(T_SelfStock[Self_Qty],T_SelfStock[RM_Code],$A44,T_SelfStock[WeekIndex],5)+SUMIFS(T_TTAFStock[TTAF_Qty],T_TTAFStock[RM_Code],$A44,T_TTAFStock[WeekIndex],5),E44+'Grid_Incoming'!F44-'Grid_Requirement'!F44))</f>
        <v/>
      </c>
      <c r="G44">
        <f>IF(COUNTIFS(T_StockCount[RM_Code],$A44,T_StockCount[WeekIndex],6)&gt;0,SUMIFS(T_StockCount[CountedQty],T_StockCount[RM_Code],$A44,T_StockCount[WeekIndex],6),IF((COUNTIFS(T_SelfStock[RM_Code],$A44,T_SelfStock[WeekIndex],6)&gt;0)*(COUNTIFS(T_TTAFStock[RM_Code],$A44,T_TTAFStock[WeekIndex],6)&gt;0)&gt;0,SUMIFS(T_SelfStock[Self_Qty],T_SelfStock[RM_Code],$A44,T_SelfStock[WeekIndex],6)+SUMIFS(T_TTAFStock[TTAF_Qty],T_TTAFStock[RM_Code],$A44,T_TTAFStock[WeekIndex],6),F44+'Grid_Incoming'!G44-'Grid_Requirement'!G44))</f>
        <v/>
      </c>
      <c r="H44">
        <f>IF(COUNTIFS(T_StockCount[RM_Code],$A44,T_StockCount[WeekIndex],7)&gt;0,SUMIFS(T_StockCount[CountedQty],T_StockCount[RM_Code],$A44,T_StockCount[WeekIndex],7),IF((COUNTIFS(T_SelfStock[RM_Code],$A44,T_SelfStock[WeekIndex],7)&gt;0)*(COUNTIFS(T_TTAFStock[RM_Code],$A44,T_TTAFStock[WeekIndex],7)&gt;0)&gt;0,SUMIFS(T_SelfStock[Self_Qty],T_SelfStock[RM_Code],$A44,T_SelfStock[WeekIndex],7)+SUMIFS(T_TTAFStock[TTAF_Qty],T_TTAFStock[RM_Code],$A44,T_TTAFStock[WeekIndex],7),G44+'Grid_Incoming'!H44-'Grid_Requirement'!H44))</f>
        <v/>
      </c>
      <c r="I44">
        <f>IF(COUNTIFS(T_StockCount[RM_Code],$A44,T_StockCount[WeekIndex],8)&gt;0,SUMIFS(T_StockCount[CountedQty],T_StockCount[RM_Code],$A44,T_StockCount[WeekIndex],8),IF((COUNTIFS(T_SelfStock[RM_Code],$A44,T_SelfStock[WeekIndex],8)&gt;0)*(COUNTIFS(T_TTAFStock[RM_Code],$A44,T_TTAFStock[WeekIndex],8)&gt;0)&gt;0,SUMIFS(T_SelfStock[Self_Qty],T_SelfStock[RM_Code],$A44,T_SelfStock[WeekIndex],8)+SUMIFS(T_TTAFStock[TTAF_Qty],T_TTAFStock[RM_Code],$A44,T_TTAFStock[WeekIndex],8),H44+'Grid_Incoming'!I44-'Grid_Requirement'!I44))</f>
        <v/>
      </c>
      <c r="J44">
        <f>IF(COUNTIFS(T_StockCount[RM_Code],$A44,T_StockCount[WeekIndex],9)&gt;0,SUMIFS(T_StockCount[CountedQty],T_StockCount[RM_Code],$A44,T_StockCount[WeekIndex],9),IF((COUNTIFS(T_SelfStock[RM_Code],$A44,T_SelfStock[WeekIndex],9)&gt;0)*(COUNTIFS(T_TTAFStock[RM_Code],$A44,T_TTAFStock[WeekIndex],9)&gt;0)&gt;0,SUMIFS(T_SelfStock[Self_Qty],T_SelfStock[RM_Code],$A44,T_SelfStock[WeekIndex],9)+SUMIFS(T_TTAFStock[TTAF_Qty],T_TTAFStock[RM_Code],$A44,T_TTAFStock[WeekIndex],9),I44+'Grid_Incoming'!J44-'Grid_Requirement'!J44))</f>
        <v/>
      </c>
      <c r="K44">
        <f>IF(COUNTIFS(T_StockCount[RM_Code],$A44,T_StockCount[WeekIndex],10)&gt;0,SUMIFS(T_StockCount[CountedQty],T_StockCount[RM_Code],$A44,T_StockCount[WeekIndex],10),IF((COUNTIFS(T_SelfStock[RM_Code],$A44,T_SelfStock[WeekIndex],10)&gt;0)*(COUNTIFS(T_TTAFStock[RM_Code],$A44,T_TTAFStock[WeekIndex],10)&gt;0)&gt;0,SUMIFS(T_SelfStock[Self_Qty],T_SelfStock[RM_Code],$A44,T_SelfStock[WeekIndex],10)+SUMIFS(T_TTAFStock[TTAF_Qty],T_TTAFStock[RM_Code],$A44,T_TTAFStock[WeekIndex],10),J44+'Grid_Incoming'!K44-'Grid_Requirement'!K44))</f>
        <v/>
      </c>
      <c r="L44">
        <f>IF(COUNTIFS(T_StockCount[RM_Code],$A44,T_StockCount[WeekIndex],11)&gt;0,SUMIFS(T_StockCount[CountedQty],T_StockCount[RM_Code],$A44,T_StockCount[WeekIndex],11),IF((COUNTIFS(T_SelfStock[RM_Code],$A44,T_SelfStock[WeekIndex],11)&gt;0)*(COUNTIFS(T_TTAFStock[RM_Code],$A44,T_TTAFStock[WeekIndex],11)&gt;0)&gt;0,SUMIFS(T_SelfStock[Self_Qty],T_SelfStock[RM_Code],$A44,T_SelfStock[WeekIndex],11)+SUMIFS(T_TTAFStock[TTAF_Qty],T_TTAFStock[RM_Code],$A44,T_TTAFStock[WeekIndex],11),K44+'Grid_Incoming'!L44-'Grid_Requirement'!L44))</f>
        <v/>
      </c>
      <c r="M44">
        <f>IF(COUNTIFS(T_StockCount[RM_Code],$A44,T_StockCount[WeekIndex],12)&gt;0,SUMIFS(T_StockCount[CountedQty],T_StockCount[RM_Code],$A44,T_StockCount[WeekIndex],12),IF((COUNTIFS(T_SelfStock[RM_Code],$A44,T_SelfStock[WeekIndex],12)&gt;0)*(COUNTIFS(T_TTAFStock[RM_Code],$A44,T_TTAFStock[WeekIndex],12)&gt;0)&gt;0,SUMIFS(T_SelfStock[Self_Qty],T_SelfStock[RM_Code],$A44,T_SelfStock[WeekIndex],12)+SUMIFS(T_TTAFStock[TTAF_Qty],T_TTAFStock[RM_Code],$A44,T_TTAFStock[WeekIndex],12),L44+'Grid_Incoming'!M44-'Grid_Requirement'!M44))</f>
        <v/>
      </c>
      <c r="N44">
        <f>IF(COUNTIFS(T_StockCount[RM_Code],$A44,T_StockCount[WeekIndex],13)&gt;0,SUMIFS(T_StockCount[CountedQty],T_StockCount[RM_Code],$A44,T_StockCount[WeekIndex],13),IF((COUNTIFS(T_SelfStock[RM_Code],$A44,T_SelfStock[WeekIndex],13)&gt;0)*(COUNTIFS(T_TTAFStock[RM_Code],$A44,T_TTAFStock[WeekIndex],13)&gt;0)&gt;0,SUMIFS(T_SelfStock[Self_Qty],T_SelfStock[RM_Code],$A44,T_SelfStock[WeekIndex],13)+SUMIFS(T_TTAFStock[TTAF_Qty],T_TTAFStock[RM_Code],$A44,T_TTAFStock[WeekIndex],13),M44+'Grid_Incoming'!N44-'Grid_Requirement'!N44))</f>
        <v/>
      </c>
      <c r="O44">
        <f>IF(COUNTIFS(T_StockCount[RM_Code],$A44,T_StockCount[WeekIndex],14)&gt;0,SUMIFS(T_StockCount[CountedQty],T_StockCount[RM_Code],$A44,T_StockCount[WeekIndex],14),IF((COUNTIFS(T_SelfStock[RM_Code],$A44,T_SelfStock[WeekIndex],14)&gt;0)*(COUNTIFS(T_TTAFStock[RM_Code],$A44,T_TTAFStock[WeekIndex],14)&gt;0)&gt;0,SUMIFS(T_SelfStock[Self_Qty],T_SelfStock[RM_Code],$A44,T_SelfStock[WeekIndex],14)+SUMIFS(T_TTAFStock[TTAF_Qty],T_TTAFStock[RM_Code],$A44,T_TTAFStock[WeekIndex],14),N44+'Grid_Incoming'!O44-'Grid_Requirement'!O44))</f>
        <v/>
      </c>
      <c r="P44">
        <f>IF(COUNTIFS(T_StockCount[RM_Code],$A44,T_StockCount[WeekIndex],15)&gt;0,SUMIFS(T_StockCount[CountedQty],T_StockCount[RM_Code],$A44,T_StockCount[WeekIndex],15),IF((COUNTIFS(T_SelfStock[RM_Code],$A44,T_SelfStock[WeekIndex],15)&gt;0)*(COUNTIFS(T_TTAFStock[RM_Code],$A44,T_TTAFStock[WeekIndex],15)&gt;0)&gt;0,SUMIFS(T_SelfStock[Self_Qty],T_SelfStock[RM_Code],$A44,T_SelfStock[WeekIndex],15)+SUMIFS(T_TTAFStock[TTAF_Qty],T_TTAFStock[RM_Code],$A44,T_TTAFStock[WeekIndex],15),O44+'Grid_Incoming'!P44-'Grid_Requirement'!P44))</f>
        <v/>
      </c>
      <c r="Q44">
        <f>IF(COUNTIFS(T_StockCount[RM_Code],$A44,T_StockCount[WeekIndex],16)&gt;0,SUMIFS(T_StockCount[CountedQty],T_StockCount[RM_Code],$A44,T_StockCount[WeekIndex],16),IF((COUNTIFS(T_SelfStock[RM_Code],$A44,T_SelfStock[WeekIndex],16)&gt;0)*(COUNTIFS(T_TTAFStock[RM_Code],$A44,T_TTAFStock[WeekIndex],16)&gt;0)&gt;0,SUMIFS(T_SelfStock[Self_Qty],T_SelfStock[RM_Code],$A44,T_SelfStock[WeekIndex],16)+SUMIFS(T_TTAFStock[TTAF_Qty],T_TTAFStock[RM_Code],$A44,T_TTAFStock[WeekIndex],16),P44+'Grid_Incoming'!Q44-'Grid_Requirement'!Q44))</f>
        <v/>
      </c>
      <c r="R44">
        <f>IF(COUNTIFS(T_StockCount[RM_Code],$A44,T_StockCount[WeekIndex],17)&gt;0,SUMIFS(T_StockCount[CountedQty],T_StockCount[RM_Code],$A44,T_StockCount[WeekIndex],17),IF((COUNTIFS(T_SelfStock[RM_Code],$A44,T_SelfStock[WeekIndex],17)&gt;0)*(COUNTIFS(T_TTAFStock[RM_Code],$A44,T_TTAFStock[WeekIndex],17)&gt;0)&gt;0,SUMIFS(T_SelfStock[Self_Qty],T_SelfStock[RM_Code],$A44,T_SelfStock[WeekIndex],17)+SUMIFS(T_TTAFStock[TTAF_Qty],T_TTAFStock[RM_Code],$A44,T_TTAFStock[WeekIndex],17),Q44+'Grid_Incoming'!R44-'Grid_Requirement'!R44))</f>
        <v/>
      </c>
      <c r="S44">
        <f>IF(COUNTIFS(T_StockCount[RM_Code],$A44,T_StockCount[WeekIndex],18)&gt;0,SUMIFS(T_StockCount[CountedQty],T_StockCount[RM_Code],$A44,T_StockCount[WeekIndex],18),IF((COUNTIFS(T_SelfStock[RM_Code],$A44,T_SelfStock[WeekIndex],18)&gt;0)*(COUNTIFS(T_TTAFStock[RM_Code],$A44,T_TTAFStock[WeekIndex],18)&gt;0)&gt;0,SUMIFS(T_SelfStock[Self_Qty],T_SelfStock[RM_Code],$A44,T_SelfStock[WeekIndex],18)+SUMIFS(T_TTAFStock[TTAF_Qty],T_TTAFStock[RM_Code],$A44,T_TTAFStock[WeekIndex],18),R44+'Grid_Incoming'!S44-'Grid_Requirement'!S44))</f>
        <v/>
      </c>
      <c r="T44">
        <f>IF(COUNTIFS(T_StockCount[RM_Code],$A44,T_StockCount[WeekIndex],19)&gt;0,SUMIFS(T_StockCount[CountedQty],T_StockCount[RM_Code],$A44,T_StockCount[WeekIndex],19),IF((COUNTIFS(T_SelfStock[RM_Code],$A44,T_SelfStock[WeekIndex],19)&gt;0)*(COUNTIFS(T_TTAFStock[RM_Code],$A44,T_TTAFStock[WeekIndex],19)&gt;0)&gt;0,SUMIFS(T_SelfStock[Self_Qty],T_SelfStock[RM_Code],$A44,T_SelfStock[WeekIndex],19)+SUMIFS(T_TTAFStock[TTAF_Qty],T_TTAFStock[RM_Code],$A44,T_TTAFStock[WeekIndex],19),S44+'Grid_Incoming'!T44-'Grid_Requirement'!T44))</f>
        <v/>
      </c>
      <c r="U44">
        <f>IF(COUNTIFS(T_StockCount[RM_Code],$A44,T_StockCount[WeekIndex],20)&gt;0,SUMIFS(T_StockCount[CountedQty],T_StockCount[RM_Code],$A44,T_StockCount[WeekIndex],20),IF((COUNTIFS(T_SelfStock[RM_Code],$A44,T_SelfStock[WeekIndex],20)&gt;0)*(COUNTIFS(T_TTAFStock[RM_Code],$A44,T_TTAFStock[WeekIndex],20)&gt;0)&gt;0,SUMIFS(T_SelfStock[Self_Qty],T_SelfStock[RM_Code],$A44,T_SelfStock[WeekIndex],20)+SUMIFS(T_TTAFStock[TTAF_Qty],T_TTAFStock[RM_Code],$A44,T_TTAFStock[WeekIndex],20),T44+'Grid_Incoming'!U44-'Grid_Requirement'!U44))</f>
        <v/>
      </c>
      <c r="V44">
        <f>IF(COUNTIFS(T_StockCount[RM_Code],$A44,T_StockCount[WeekIndex],21)&gt;0,SUMIFS(T_StockCount[CountedQty],T_StockCount[RM_Code],$A44,T_StockCount[WeekIndex],21),IF((COUNTIFS(T_SelfStock[RM_Code],$A44,T_SelfStock[WeekIndex],21)&gt;0)*(COUNTIFS(T_TTAFStock[RM_Code],$A44,T_TTAFStock[WeekIndex],21)&gt;0)&gt;0,SUMIFS(T_SelfStock[Self_Qty],T_SelfStock[RM_Code],$A44,T_SelfStock[WeekIndex],21)+SUMIFS(T_TTAFStock[TTAF_Qty],T_TTAFStock[RM_Code],$A44,T_TTAFStock[WeekIndex],21),U44+'Grid_Incoming'!V44-'Grid_Requirement'!V44))</f>
        <v/>
      </c>
      <c r="W44">
        <f>IF(COUNTIFS(T_StockCount[RM_Code],$A44,T_StockCount[WeekIndex],22)&gt;0,SUMIFS(T_StockCount[CountedQty],T_StockCount[RM_Code],$A44,T_StockCount[WeekIndex],22),IF((COUNTIFS(T_SelfStock[RM_Code],$A44,T_SelfStock[WeekIndex],22)&gt;0)*(COUNTIFS(T_TTAFStock[RM_Code],$A44,T_TTAFStock[WeekIndex],22)&gt;0)&gt;0,SUMIFS(T_SelfStock[Self_Qty],T_SelfStock[RM_Code],$A44,T_SelfStock[WeekIndex],22)+SUMIFS(T_TTAFStock[TTAF_Qty],T_TTAFStock[RM_Code],$A44,T_TTAFStock[WeekIndex],22),V44+'Grid_Incoming'!W44-'Grid_Requirement'!W44))</f>
        <v/>
      </c>
      <c r="X44">
        <f>IF(COUNTIFS(T_StockCount[RM_Code],$A44,T_StockCount[WeekIndex],23)&gt;0,SUMIFS(T_StockCount[CountedQty],T_StockCount[RM_Code],$A44,T_StockCount[WeekIndex],23),IF((COUNTIFS(T_SelfStock[RM_Code],$A44,T_SelfStock[WeekIndex],23)&gt;0)*(COUNTIFS(T_TTAFStock[RM_Code],$A44,T_TTAFStock[WeekIndex],23)&gt;0)&gt;0,SUMIFS(T_SelfStock[Self_Qty],T_SelfStock[RM_Code],$A44,T_SelfStock[WeekIndex],23)+SUMIFS(T_TTAFStock[TTAF_Qty],T_TTAFStock[RM_Code],$A44,T_TTAFStock[WeekIndex],23),W44+'Grid_Incoming'!X44-'Grid_Requirement'!X44))</f>
        <v/>
      </c>
      <c r="Y44">
        <f>IF(COUNTIFS(T_StockCount[RM_Code],$A44,T_StockCount[WeekIndex],24)&gt;0,SUMIFS(T_StockCount[CountedQty],T_StockCount[RM_Code],$A44,T_StockCount[WeekIndex],24),IF((COUNTIFS(T_SelfStock[RM_Code],$A44,T_SelfStock[WeekIndex],24)&gt;0)*(COUNTIFS(T_TTAFStock[RM_Code],$A44,T_TTAFStock[WeekIndex],24)&gt;0)&gt;0,SUMIFS(T_SelfStock[Self_Qty],T_SelfStock[RM_Code],$A44,T_SelfStock[WeekIndex],24)+SUMIFS(T_TTAFStock[TTAF_Qty],T_TTAFStock[RM_Code],$A44,T_TTAFStock[WeekIndex],24),X44+'Grid_Incoming'!Y44-'Grid_Requirement'!Y44))</f>
        <v/>
      </c>
      <c r="Z44">
        <f>IF(COUNTIFS(T_StockCount[RM_Code],$A44,T_StockCount[WeekIndex],25)&gt;0,SUMIFS(T_StockCount[CountedQty],T_StockCount[RM_Code],$A44,T_StockCount[WeekIndex],25),IF((COUNTIFS(T_SelfStock[RM_Code],$A44,T_SelfStock[WeekIndex],25)&gt;0)*(COUNTIFS(T_TTAFStock[RM_Code],$A44,T_TTAFStock[WeekIndex],25)&gt;0)&gt;0,SUMIFS(T_SelfStock[Self_Qty],T_SelfStock[RM_Code],$A44,T_SelfStock[WeekIndex],25)+SUMIFS(T_TTAFStock[TTAF_Qty],T_TTAFStock[RM_Code],$A44,T_TTAFStock[WeekIndex],25),Y44+'Grid_Incoming'!Z44-'Grid_Requirement'!Z44))</f>
        <v/>
      </c>
      <c r="AA44">
        <f>IF(COUNTIFS(T_StockCount[RM_Code],$A44,T_StockCount[WeekIndex],26)&gt;0,SUMIFS(T_StockCount[CountedQty],T_StockCount[RM_Code],$A44,T_StockCount[WeekIndex],26),IF((COUNTIFS(T_SelfStock[RM_Code],$A44,T_SelfStock[WeekIndex],26)&gt;0)*(COUNTIFS(T_TTAFStock[RM_Code],$A44,T_TTAFStock[WeekIndex],26)&gt;0)&gt;0,SUMIFS(T_SelfStock[Self_Qty],T_SelfStock[RM_Code],$A44,T_SelfStock[WeekIndex],26)+SUMIFS(T_TTAFStock[TTAF_Qty],T_TTAFStock[RM_Code],$A44,T_TTAFStock[WeekIndex],26),Z44+'Grid_Incoming'!AA44-'Grid_Requirement'!AA44))</f>
        <v/>
      </c>
      <c r="AB44">
        <f>IF(COUNTIFS(T_StockCount[RM_Code],$A44,T_StockCount[WeekIndex],27)&gt;0,SUMIFS(T_StockCount[CountedQty],T_StockCount[RM_Code],$A44,T_StockCount[WeekIndex],27),IF((COUNTIFS(T_SelfStock[RM_Code],$A44,T_SelfStock[WeekIndex],27)&gt;0)*(COUNTIFS(T_TTAFStock[RM_Code],$A44,T_TTAFStock[WeekIndex],27)&gt;0)&gt;0,SUMIFS(T_SelfStock[Self_Qty],T_SelfStock[RM_Code],$A44,T_SelfStock[WeekIndex],27)+SUMIFS(T_TTAFStock[TTAF_Qty],T_TTAFStock[RM_Code],$A44,T_TTAFStock[WeekIndex],27),AA44+'Grid_Incoming'!AB44-'Grid_Requirement'!AB44))</f>
        <v/>
      </c>
      <c r="AC44">
        <f>IF(COUNTIFS(T_StockCount[RM_Code],$A44,T_StockCount[WeekIndex],28)&gt;0,SUMIFS(T_StockCount[CountedQty],T_StockCount[RM_Code],$A44,T_StockCount[WeekIndex],28),IF((COUNTIFS(T_SelfStock[RM_Code],$A44,T_SelfStock[WeekIndex],28)&gt;0)*(COUNTIFS(T_TTAFStock[RM_Code],$A44,T_TTAFStock[WeekIndex],28)&gt;0)&gt;0,SUMIFS(T_SelfStock[Self_Qty],T_SelfStock[RM_Code],$A44,T_SelfStock[WeekIndex],28)+SUMIFS(T_TTAFStock[TTAF_Qty],T_TTAFStock[RM_Code],$A44,T_TTAFStock[WeekIndex],28),AB44+'Grid_Incoming'!AC44-'Grid_Requirement'!AC44))</f>
        <v/>
      </c>
      <c r="AD44">
        <f>IF(COUNTIFS(T_StockCount[RM_Code],$A44,T_StockCount[WeekIndex],29)&gt;0,SUMIFS(T_StockCount[CountedQty],T_StockCount[RM_Code],$A44,T_StockCount[WeekIndex],29),IF((COUNTIFS(T_SelfStock[RM_Code],$A44,T_SelfStock[WeekIndex],29)&gt;0)*(COUNTIFS(T_TTAFStock[RM_Code],$A44,T_TTAFStock[WeekIndex],29)&gt;0)&gt;0,SUMIFS(T_SelfStock[Self_Qty],T_SelfStock[RM_Code],$A44,T_SelfStock[WeekIndex],29)+SUMIFS(T_TTAFStock[TTAF_Qty],T_TTAFStock[RM_Code],$A44,T_TTAFStock[WeekIndex],29),AC44+'Grid_Incoming'!AD44-'Grid_Requirement'!AD44))</f>
        <v/>
      </c>
      <c r="AE44">
        <f>IF(COUNTIFS(T_StockCount[RM_Code],$A44,T_StockCount[WeekIndex],30)&gt;0,SUMIFS(T_StockCount[CountedQty],T_StockCount[RM_Code],$A44,T_StockCount[WeekIndex],30),IF((COUNTIFS(T_SelfStock[RM_Code],$A44,T_SelfStock[WeekIndex],30)&gt;0)*(COUNTIFS(T_TTAFStock[RM_Code],$A44,T_TTAFStock[WeekIndex],30)&gt;0)&gt;0,SUMIFS(T_SelfStock[Self_Qty],T_SelfStock[RM_Code],$A44,T_SelfStock[WeekIndex],30)+SUMIFS(T_TTAFStock[TTAF_Qty],T_TTAFStock[RM_Code],$A44,T_TTAFStock[WeekIndex],30),AD44+'Grid_Incoming'!AE44-'Grid_Requirement'!AE44))</f>
        <v/>
      </c>
      <c r="AF44">
        <f>IF(COUNTIFS(T_StockCount[RM_Code],$A44,T_StockCount[WeekIndex],31)&gt;0,SUMIFS(T_StockCount[CountedQty],T_StockCount[RM_Code],$A44,T_StockCount[WeekIndex],31),IF((COUNTIFS(T_SelfStock[RM_Code],$A44,T_SelfStock[WeekIndex],31)&gt;0)*(COUNTIFS(T_TTAFStock[RM_Code],$A44,T_TTAFStock[WeekIndex],31)&gt;0)&gt;0,SUMIFS(T_SelfStock[Self_Qty],T_SelfStock[RM_Code],$A44,T_SelfStock[WeekIndex],31)+SUMIFS(T_TTAFStock[TTAF_Qty],T_TTAFStock[RM_Code],$A44,T_TTAFStock[WeekIndex],31),AE44+'Grid_Incoming'!AF44-'Grid_Requirement'!AF44))</f>
        <v/>
      </c>
      <c r="AG44">
        <f>IF(COUNTIFS(T_StockCount[RM_Code],$A44,T_StockCount[WeekIndex],32)&gt;0,SUMIFS(T_StockCount[CountedQty],T_StockCount[RM_Code],$A44,T_StockCount[WeekIndex],32),IF((COUNTIFS(T_SelfStock[RM_Code],$A44,T_SelfStock[WeekIndex],32)&gt;0)*(COUNTIFS(T_TTAFStock[RM_Code],$A44,T_TTAFStock[WeekIndex],32)&gt;0)&gt;0,SUMIFS(T_SelfStock[Self_Qty],T_SelfStock[RM_Code],$A44,T_SelfStock[WeekIndex],32)+SUMIFS(T_TTAFStock[TTAF_Qty],T_TTAFStock[RM_Code],$A44,T_TTAFStock[WeekIndex],32),AF44+'Grid_Incoming'!AG44-'Grid_Requirement'!AG44))</f>
        <v/>
      </c>
      <c r="AH44">
        <f>IF(COUNTIFS(T_StockCount[RM_Code],$A44,T_StockCount[WeekIndex],33)&gt;0,SUMIFS(T_StockCount[CountedQty],T_StockCount[RM_Code],$A44,T_StockCount[WeekIndex],33),IF((COUNTIFS(T_SelfStock[RM_Code],$A44,T_SelfStock[WeekIndex],33)&gt;0)*(COUNTIFS(T_TTAFStock[RM_Code],$A44,T_TTAFStock[WeekIndex],33)&gt;0)&gt;0,SUMIFS(T_SelfStock[Self_Qty],T_SelfStock[RM_Code],$A44,T_SelfStock[WeekIndex],33)+SUMIFS(T_TTAFStock[TTAF_Qty],T_TTAFStock[RM_Code],$A44,T_TTAFStock[WeekIndex],33),AG44+'Grid_Incoming'!AH44-'Grid_Requirement'!AH44))</f>
        <v/>
      </c>
      <c r="AI44">
        <f>IF(COUNTIFS(T_StockCount[RM_Code],$A44,T_StockCount[WeekIndex],34)&gt;0,SUMIFS(T_StockCount[CountedQty],T_StockCount[RM_Code],$A44,T_StockCount[WeekIndex],34),IF((COUNTIFS(T_SelfStock[RM_Code],$A44,T_SelfStock[WeekIndex],34)&gt;0)*(COUNTIFS(T_TTAFStock[RM_Code],$A44,T_TTAFStock[WeekIndex],34)&gt;0)&gt;0,SUMIFS(T_SelfStock[Self_Qty],T_SelfStock[RM_Code],$A44,T_SelfStock[WeekIndex],34)+SUMIFS(T_TTAFStock[TTAF_Qty],T_TTAFStock[RM_Code],$A44,T_TTAFStock[WeekIndex],34),AH44+'Grid_Incoming'!AI44-'Grid_Requirement'!AI44))</f>
        <v/>
      </c>
      <c r="AJ44">
        <f>IF(COUNTIFS(T_StockCount[RM_Code],$A44,T_StockCount[WeekIndex],35)&gt;0,SUMIFS(T_StockCount[CountedQty],T_StockCount[RM_Code],$A44,T_StockCount[WeekIndex],35),IF((COUNTIFS(T_SelfStock[RM_Code],$A44,T_SelfStock[WeekIndex],35)&gt;0)*(COUNTIFS(T_TTAFStock[RM_Code],$A44,T_TTAFStock[WeekIndex],35)&gt;0)&gt;0,SUMIFS(T_SelfStock[Self_Qty],T_SelfStock[RM_Code],$A44,T_SelfStock[WeekIndex],35)+SUMIFS(T_TTAFStock[TTAF_Qty],T_TTAFStock[RM_Code],$A44,T_TTAFStock[WeekIndex],35),AI44+'Grid_Incoming'!AJ44-'Grid_Requirement'!AJ44))</f>
        <v/>
      </c>
      <c r="AK44">
        <f>IF(COUNTIFS(T_StockCount[RM_Code],$A44,T_StockCount[WeekIndex],36)&gt;0,SUMIFS(T_StockCount[CountedQty],T_StockCount[RM_Code],$A44,T_StockCount[WeekIndex],36),IF((COUNTIFS(T_SelfStock[RM_Code],$A44,T_SelfStock[WeekIndex],36)&gt;0)*(COUNTIFS(T_TTAFStock[RM_Code],$A44,T_TTAFStock[WeekIndex],36)&gt;0)&gt;0,SUMIFS(T_SelfStock[Self_Qty],T_SelfStock[RM_Code],$A44,T_SelfStock[WeekIndex],36)+SUMIFS(T_TTAFStock[TTAF_Qty],T_TTAFStock[RM_Code],$A44,T_TTAFStock[WeekIndex],36),AJ44+'Grid_Incoming'!AK44-'Grid_Requirement'!AK44))</f>
        <v/>
      </c>
      <c r="AL44">
        <f>IF(COUNTIFS(T_StockCount[RM_Code],$A44,T_StockCount[WeekIndex],37)&gt;0,SUMIFS(T_StockCount[CountedQty],T_StockCount[RM_Code],$A44,T_StockCount[WeekIndex],37),IF((COUNTIFS(T_SelfStock[RM_Code],$A44,T_SelfStock[WeekIndex],37)&gt;0)*(COUNTIFS(T_TTAFStock[RM_Code],$A44,T_TTAFStock[WeekIndex],37)&gt;0)&gt;0,SUMIFS(T_SelfStock[Self_Qty],T_SelfStock[RM_Code],$A44,T_SelfStock[WeekIndex],37)+SUMIFS(T_TTAFStock[TTAF_Qty],T_TTAFStock[RM_Code],$A44,T_TTAFStock[WeekIndex],37),AK44+'Grid_Incoming'!AL44-'Grid_Requirement'!AL44))</f>
        <v/>
      </c>
      <c r="AM44">
        <f>IF(COUNTIFS(T_StockCount[RM_Code],$A44,T_StockCount[WeekIndex],38)&gt;0,SUMIFS(T_StockCount[CountedQty],T_StockCount[RM_Code],$A44,T_StockCount[WeekIndex],38),IF((COUNTIFS(T_SelfStock[RM_Code],$A44,T_SelfStock[WeekIndex],38)&gt;0)*(COUNTIFS(T_TTAFStock[RM_Code],$A44,T_TTAFStock[WeekIndex],38)&gt;0)&gt;0,SUMIFS(T_SelfStock[Self_Qty],T_SelfStock[RM_Code],$A44,T_SelfStock[WeekIndex],38)+SUMIFS(T_TTAFStock[TTAF_Qty],T_TTAFStock[RM_Code],$A44,T_TTAFStock[WeekIndex],38),AL44+'Grid_Incoming'!AM44-'Grid_Requirement'!AM44))</f>
        <v/>
      </c>
      <c r="AN44">
        <f>IF(COUNTIFS(T_StockCount[RM_Code],$A44,T_StockCount[WeekIndex],39)&gt;0,SUMIFS(T_StockCount[CountedQty],T_StockCount[RM_Code],$A44,T_StockCount[WeekIndex],39),IF((COUNTIFS(T_SelfStock[RM_Code],$A44,T_SelfStock[WeekIndex],39)&gt;0)*(COUNTIFS(T_TTAFStock[RM_Code],$A44,T_TTAFStock[WeekIndex],39)&gt;0)&gt;0,SUMIFS(T_SelfStock[Self_Qty],T_SelfStock[RM_Code],$A44,T_SelfStock[WeekIndex],39)+SUMIFS(T_TTAFStock[TTAF_Qty],T_TTAFStock[RM_Code],$A44,T_TTAFStock[WeekIndex],39),AM44+'Grid_Incoming'!AN44-'Grid_Requirement'!AN44))</f>
        <v/>
      </c>
      <c r="AO44">
        <f>IF(COUNTIFS(T_StockCount[RM_Code],$A44,T_StockCount[WeekIndex],40)&gt;0,SUMIFS(T_StockCount[CountedQty],T_StockCount[RM_Code],$A44,T_StockCount[WeekIndex],40),IF((COUNTIFS(T_SelfStock[RM_Code],$A44,T_SelfStock[WeekIndex],40)&gt;0)*(COUNTIFS(T_TTAFStock[RM_Code],$A44,T_TTAFStock[WeekIndex],40)&gt;0)&gt;0,SUMIFS(T_SelfStock[Self_Qty],T_SelfStock[RM_Code],$A44,T_SelfStock[WeekIndex],40)+SUMIFS(T_TTAFStock[TTAF_Qty],T_TTAFStock[RM_Code],$A44,T_TTAFStock[WeekIndex],40),AN44+'Grid_Incoming'!AO44-'Grid_Requirement'!AO44))</f>
        <v/>
      </c>
      <c r="AP44">
        <f>IF(COUNTIFS(T_StockCount[RM_Code],$A44,T_StockCount[WeekIndex],41)&gt;0,SUMIFS(T_StockCount[CountedQty],T_StockCount[RM_Code],$A44,T_StockCount[WeekIndex],41),IF((COUNTIFS(T_SelfStock[RM_Code],$A44,T_SelfStock[WeekIndex],41)&gt;0)*(COUNTIFS(T_TTAFStock[RM_Code],$A44,T_TTAFStock[WeekIndex],41)&gt;0)&gt;0,SUMIFS(T_SelfStock[Self_Qty],T_SelfStock[RM_Code],$A44,T_SelfStock[WeekIndex],41)+SUMIFS(T_TTAFStock[TTAF_Qty],T_TTAFStock[RM_Code],$A44,T_TTAFStock[WeekIndex],41),AO44+'Grid_Incoming'!AP44-'Grid_Requirement'!AP44))</f>
        <v/>
      </c>
      <c r="AQ44">
        <f>IF(COUNTIFS(T_StockCount[RM_Code],$A44,T_StockCount[WeekIndex],42)&gt;0,SUMIFS(T_StockCount[CountedQty],T_StockCount[RM_Code],$A44,T_StockCount[WeekIndex],42),IF((COUNTIFS(T_SelfStock[RM_Code],$A44,T_SelfStock[WeekIndex],42)&gt;0)*(COUNTIFS(T_TTAFStock[RM_Code],$A44,T_TTAFStock[WeekIndex],42)&gt;0)&gt;0,SUMIFS(T_SelfStock[Self_Qty],T_SelfStock[RM_Code],$A44,T_SelfStock[WeekIndex],42)+SUMIFS(T_TTAFStock[TTAF_Qty],T_TTAFStock[RM_Code],$A44,T_TTAFStock[WeekIndex],42),AP44+'Grid_Incoming'!AQ44-'Grid_Requirement'!AQ44))</f>
        <v/>
      </c>
      <c r="AR44">
        <f>IF(COUNTIFS(T_StockCount[RM_Code],$A44,T_StockCount[WeekIndex],43)&gt;0,SUMIFS(T_StockCount[CountedQty],T_StockCount[RM_Code],$A44,T_StockCount[WeekIndex],43),IF((COUNTIFS(T_SelfStock[RM_Code],$A44,T_SelfStock[WeekIndex],43)&gt;0)*(COUNTIFS(T_TTAFStock[RM_Code],$A44,T_TTAFStock[WeekIndex],43)&gt;0)&gt;0,SUMIFS(T_SelfStock[Self_Qty],T_SelfStock[RM_Code],$A44,T_SelfStock[WeekIndex],43)+SUMIFS(T_TTAFStock[TTAF_Qty],T_TTAFStock[RM_Code],$A44,T_TTAFStock[WeekIndex],43),AQ44+'Grid_Incoming'!AR44-'Grid_Requirement'!AR44))</f>
        <v/>
      </c>
      <c r="AS44">
        <f>IF(COUNTIFS(T_StockCount[RM_Code],$A44,T_StockCount[WeekIndex],44)&gt;0,SUMIFS(T_StockCount[CountedQty],T_StockCount[RM_Code],$A44,T_StockCount[WeekIndex],44),IF((COUNTIFS(T_SelfStock[RM_Code],$A44,T_SelfStock[WeekIndex],44)&gt;0)*(COUNTIFS(T_TTAFStock[RM_Code],$A44,T_TTAFStock[WeekIndex],44)&gt;0)&gt;0,SUMIFS(T_SelfStock[Self_Qty],T_SelfStock[RM_Code],$A44,T_SelfStock[WeekIndex],44)+SUMIFS(T_TTAFStock[TTAF_Qty],T_TTAFStock[RM_Code],$A44,T_TTAFStock[WeekIndex],44),AR44+'Grid_Incoming'!AS44-'Grid_Requirement'!AS44))</f>
        <v/>
      </c>
      <c r="AT44">
        <f>IF(COUNTIFS(T_StockCount[RM_Code],$A44,T_StockCount[WeekIndex],45)&gt;0,SUMIFS(T_StockCount[CountedQty],T_StockCount[RM_Code],$A44,T_StockCount[WeekIndex],45),IF((COUNTIFS(T_SelfStock[RM_Code],$A44,T_SelfStock[WeekIndex],45)&gt;0)*(COUNTIFS(T_TTAFStock[RM_Code],$A44,T_TTAFStock[WeekIndex],45)&gt;0)&gt;0,SUMIFS(T_SelfStock[Self_Qty],T_SelfStock[RM_Code],$A44,T_SelfStock[WeekIndex],45)+SUMIFS(T_TTAFStock[TTAF_Qty],T_TTAFStock[RM_Code],$A44,T_TTAFStock[WeekIndex],45),AS44+'Grid_Incoming'!AT44-'Grid_Requirement'!AT44))</f>
        <v/>
      </c>
      <c r="AU44">
        <f>IF(COUNTIFS(T_StockCount[RM_Code],$A44,T_StockCount[WeekIndex],46)&gt;0,SUMIFS(T_StockCount[CountedQty],T_StockCount[RM_Code],$A44,T_StockCount[WeekIndex],46),IF((COUNTIFS(T_SelfStock[RM_Code],$A44,T_SelfStock[WeekIndex],46)&gt;0)*(COUNTIFS(T_TTAFStock[RM_Code],$A44,T_TTAFStock[WeekIndex],46)&gt;0)&gt;0,SUMIFS(T_SelfStock[Self_Qty],T_SelfStock[RM_Code],$A44,T_SelfStock[WeekIndex],46)+SUMIFS(T_TTAFStock[TTAF_Qty],T_TTAFStock[RM_Code],$A44,T_TTAFStock[WeekIndex],46),AT44+'Grid_Incoming'!AU44-'Grid_Requirement'!AU44))</f>
        <v/>
      </c>
      <c r="AV44">
        <f>IF(COUNTIFS(T_StockCount[RM_Code],$A44,T_StockCount[WeekIndex],47)&gt;0,SUMIFS(T_StockCount[CountedQty],T_StockCount[RM_Code],$A44,T_StockCount[WeekIndex],47),IF((COUNTIFS(T_SelfStock[RM_Code],$A44,T_SelfStock[WeekIndex],47)&gt;0)*(COUNTIFS(T_TTAFStock[RM_Code],$A44,T_TTAFStock[WeekIndex],47)&gt;0)&gt;0,SUMIFS(T_SelfStock[Self_Qty],T_SelfStock[RM_Code],$A44,T_SelfStock[WeekIndex],47)+SUMIFS(T_TTAFStock[TTAF_Qty],T_TTAFStock[RM_Code],$A44,T_TTAFStock[WeekIndex],47),AU44+'Grid_Incoming'!AV44-'Grid_Requirement'!AV44))</f>
        <v/>
      </c>
      <c r="AW44">
        <f>IF(COUNTIFS(T_StockCount[RM_Code],$A44,T_StockCount[WeekIndex],48)&gt;0,SUMIFS(T_StockCount[CountedQty],T_StockCount[RM_Code],$A44,T_StockCount[WeekIndex],48),IF((COUNTIFS(T_SelfStock[RM_Code],$A44,T_SelfStock[WeekIndex],48)&gt;0)*(COUNTIFS(T_TTAFStock[RM_Code],$A44,T_TTAFStock[WeekIndex],48)&gt;0)&gt;0,SUMIFS(T_SelfStock[Self_Qty],T_SelfStock[RM_Code],$A44,T_SelfStock[WeekIndex],48)+SUMIFS(T_TTAFStock[TTAF_Qty],T_TTAFStock[RM_Code],$A44,T_TTAFStock[WeekIndex],48),AV44+'Grid_Incoming'!AW44-'Grid_Requirement'!AW44))</f>
        <v/>
      </c>
      <c r="AX44">
        <f>IF(COUNTIFS(T_StockCount[RM_Code],$A44,T_StockCount[WeekIndex],49)&gt;0,SUMIFS(T_StockCount[CountedQty],T_StockCount[RM_Code],$A44,T_StockCount[WeekIndex],49),IF((COUNTIFS(T_SelfStock[RM_Code],$A44,T_SelfStock[WeekIndex],49)&gt;0)*(COUNTIFS(T_TTAFStock[RM_Code],$A44,T_TTAFStock[WeekIndex],49)&gt;0)&gt;0,SUMIFS(T_SelfStock[Self_Qty],T_SelfStock[RM_Code],$A44,T_SelfStock[WeekIndex],49)+SUMIFS(T_TTAFStock[TTAF_Qty],T_TTAFStock[RM_Code],$A44,T_TTAFStock[WeekIndex],49),AW44+'Grid_Incoming'!AX44-'Grid_Requirement'!AX44))</f>
        <v/>
      </c>
      <c r="AY44">
        <f>IF(COUNTIFS(T_StockCount[RM_Code],$A44,T_StockCount[WeekIndex],50)&gt;0,SUMIFS(T_StockCount[CountedQty],T_StockCount[RM_Code],$A44,T_StockCount[WeekIndex],50),IF((COUNTIFS(T_SelfStock[RM_Code],$A44,T_SelfStock[WeekIndex],50)&gt;0)*(COUNTIFS(T_TTAFStock[RM_Code],$A44,T_TTAFStock[WeekIndex],50)&gt;0)&gt;0,SUMIFS(T_SelfStock[Self_Qty],T_SelfStock[RM_Code],$A44,T_SelfStock[WeekIndex],50)+SUMIFS(T_TTAFStock[TTAF_Qty],T_TTAFStock[RM_Code],$A44,T_TTAFStock[WeekIndex],50),AX44+'Grid_Incoming'!AY44-'Grid_Requirement'!AY44))</f>
        <v/>
      </c>
      <c r="AZ44">
        <f>IF(COUNTIFS(T_StockCount[RM_Code],$A44,T_StockCount[WeekIndex],51)&gt;0,SUMIFS(T_StockCount[CountedQty],T_StockCount[RM_Code],$A44,T_StockCount[WeekIndex],51),IF((COUNTIFS(T_SelfStock[RM_Code],$A44,T_SelfStock[WeekIndex],51)&gt;0)*(COUNTIFS(T_TTAFStock[RM_Code],$A44,T_TTAFStock[WeekIndex],51)&gt;0)&gt;0,SUMIFS(T_SelfStock[Self_Qty],T_SelfStock[RM_Code],$A44,T_SelfStock[WeekIndex],51)+SUMIFS(T_TTAFStock[TTAF_Qty],T_TTAFStock[RM_Code],$A44,T_TTAFStock[WeekIndex],51),AY44+'Grid_Incoming'!AZ44-'Grid_Requirement'!AZ44))</f>
        <v/>
      </c>
      <c r="BA44">
        <f>IF(COUNTIFS(T_StockCount[RM_Code],$A44,T_StockCount[WeekIndex],52)&gt;0,SUMIFS(T_StockCount[CountedQty],T_StockCount[RM_Code],$A44,T_StockCount[WeekIndex],52),IF((COUNTIFS(T_SelfStock[RM_Code],$A44,T_SelfStock[WeekIndex],52)&gt;0)*(COUNTIFS(T_TTAFStock[RM_Code],$A44,T_TTAFStock[WeekIndex],52)&gt;0)&gt;0,SUMIFS(T_SelfStock[Self_Qty],T_SelfStock[RM_Code],$A44,T_SelfStock[WeekIndex],52)+SUMIFS(T_TTAFStock[TTAF_Qty],T_TTAFStock[RM_Code],$A44,T_TTAFStock[WeekIndex],52),AZ44+'Grid_Incoming'!BA44-'Grid_Requirement'!BA44))</f>
        <v/>
      </c>
      <c r="BB44">
        <f>IF(COUNTIFS(T_StockCount[RM_Code],$A44,T_StockCount[WeekIndex],53)&gt;0,SUMIFS(T_StockCount[CountedQty],T_StockCount[RM_Code],$A44,T_StockCount[WeekIndex],53),IF((COUNTIFS(T_SelfStock[RM_Code],$A44,T_SelfStock[WeekIndex],53)&gt;0)*(COUNTIFS(T_TTAFStock[RM_Code],$A44,T_TTAFStock[WeekIndex],53)&gt;0)&gt;0,SUMIFS(T_SelfStock[Self_Qty],T_SelfStock[RM_Code],$A44,T_SelfStock[WeekIndex],53)+SUMIFS(T_TTAFStock[TTAF_Qty],T_TTAFStock[RM_Code],$A44,T_TTAFStock[WeekIndex],53),BA44+'Grid_Incoming'!BB44-'Grid_Requirement'!BB44))</f>
        <v/>
      </c>
      <c r="BC44">
        <f>IF(COUNTIFS(T_StockCount[RM_Code],$A44,T_StockCount[WeekIndex],54)&gt;0,SUMIFS(T_StockCount[CountedQty],T_StockCount[RM_Code],$A44,T_StockCount[WeekIndex],54),IF((COUNTIFS(T_SelfStock[RM_Code],$A44,T_SelfStock[WeekIndex],54)&gt;0)*(COUNTIFS(T_TTAFStock[RM_Code],$A44,T_TTAFStock[WeekIndex],54)&gt;0)&gt;0,SUMIFS(T_SelfStock[Self_Qty],T_SelfStock[RM_Code],$A44,T_SelfStock[WeekIndex],54)+SUMIFS(T_TTAFStock[TTAF_Qty],T_TTAFStock[RM_Code],$A44,T_TTAFStock[WeekIndex],54),BB44+'Grid_Incoming'!BC44-'Grid_Requirement'!BC44))</f>
        <v/>
      </c>
      <c r="BD44">
        <f>IF(COUNTIFS(T_StockCount[RM_Code],$A44,T_StockCount[WeekIndex],55)&gt;0,SUMIFS(T_StockCount[CountedQty],T_StockCount[RM_Code],$A44,T_StockCount[WeekIndex],55),IF((COUNTIFS(T_SelfStock[RM_Code],$A44,T_SelfStock[WeekIndex],55)&gt;0)*(COUNTIFS(T_TTAFStock[RM_Code],$A44,T_TTAFStock[WeekIndex],55)&gt;0)&gt;0,SUMIFS(T_SelfStock[Self_Qty],T_SelfStock[RM_Code],$A44,T_SelfStock[WeekIndex],55)+SUMIFS(T_TTAFStock[TTAF_Qty],T_TTAFStock[RM_Code],$A44,T_TTAFStock[WeekIndex],55),BC44+'Grid_Incoming'!BD44-'Grid_Requirement'!BD44))</f>
        <v/>
      </c>
      <c r="BE44">
        <f>IF(COUNTIFS(T_StockCount[RM_Code],$A44,T_StockCount[WeekIndex],56)&gt;0,SUMIFS(T_StockCount[CountedQty],T_StockCount[RM_Code],$A44,T_StockCount[WeekIndex],56),IF((COUNTIFS(T_SelfStock[RM_Code],$A44,T_SelfStock[WeekIndex],56)&gt;0)*(COUNTIFS(T_TTAFStock[RM_Code],$A44,T_TTAFStock[WeekIndex],56)&gt;0)&gt;0,SUMIFS(T_SelfStock[Self_Qty],T_SelfStock[RM_Code],$A44,T_SelfStock[WeekIndex],56)+SUMIFS(T_TTAFStock[TTAF_Qty],T_TTAFStock[RM_Code],$A44,T_TTAFStock[WeekIndex],56),BD44+'Grid_Incoming'!BE44-'Grid_Requirement'!BE44))</f>
        <v/>
      </c>
      <c r="BF44">
        <f>IF(COUNTIFS(T_StockCount[RM_Code],$A44,T_StockCount[WeekIndex],57)&gt;0,SUMIFS(T_StockCount[CountedQty],T_StockCount[RM_Code],$A44,T_StockCount[WeekIndex],57),IF((COUNTIFS(T_SelfStock[RM_Code],$A44,T_SelfStock[WeekIndex],57)&gt;0)*(COUNTIFS(T_TTAFStock[RM_Code],$A44,T_TTAFStock[WeekIndex],57)&gt;0)&gt;0,SUMIFS(T_SelfStock[Self_Qty],T_SelfStock[RM_Code],$A44,T_SelfStock[WeekIndex],57)+SUMIFS(T_TTAFStock[TTAF_Qty],T_TTAFStock[RM_Code],$A44,T_TTAFStock[WeekIndex],57),BE44+'Grid_Incoming'!BF44-'Grid_Requirement'!BF44))</f>
        <v/>
      </c>
      <c r="BG44">
        <f>IF(COUNTIFS(T_StockCount[RM_Code],$A44,T_StockCount[WeekIndex],58)&gt;0,SUMIFS(T_StockCount[CountedQty],T_StockCount[RM_Code],$A44,T_StockCount[WeekIndex],58),IF((COUNTIFS(T_SelfStock[RM_Code],$A44,T_SelfStock[WeekIndex],58)&gt;0)*(COUNTIFS(T_TTAFStock[RM_Code],$A44,T_TTAFStock[WeekIndex],58)&gt;0)&gt;0,SUMIFS(T_SelfStock[Self_Qty],T_SelfStock[RM_Code],$A44,T_SelfStock[WeekIndex],58)+SUMIFS(T_TTAFStock[TTAF_Qty],T_TTAFStock[RM_Code],$A44,T_TTAFStock[WeekIndex],58),BF44+'Grid_Incoming'!BG44-'Grid_Requirement'!BG44))</f>
        <v/>
      </c>
      <c r="BH44">
        <f>IF(COUNTIFS(T_StockCount[RM_Code],$A44,T_StockCount[WeekIndex],59)&gt;0,SUMIFS(T_StockCount[CountedQty],T_StockCount[RM_Code],$A44,T_StockCount[WeekIndex],59),IF((COUNTIFS(T_SelfStock[RM_Code],$A44,T_SelfStock[WeekIndex],59)&gt;0)*(COUNTIFS(T_TTAFStock[RM_Code],$A44,T_TTAFStock[WeekIndex],59)&gt;0)&gt;0,SUMIFS(T_SelfStock[Self_Qty],T_SelfStock[RM_Code],$A44,T_SelfStock[WeekIndex],59)+SUMIFS(T_TTAFStock[TTAF_Qty],T_TTAFStock[RM_Code],$A44,T_TTAFStock[WeekIndex],59),BG44+'Grid_Incoming'!BH44-'Grid_Requirement'!BH44))</f>
        <v/>
      </c>
      <c r="BI44">
        <f>IF(COUNTIFS(T_StockCount[RM_Code],$A44,T_StockCount[WeekIndex],60)&gt;0,SUMIFS(T_StockCount[CountedQty],T_StockCount[RM_Code],$A44,T_StockCount[WeekIndex],60),IF((COUNTIFS(T_SelfStock[RM_Code],$A44,T_SelfStock[WeekIndex],60)&gt;0)*(COUNTIFS(T_TTAFStock[RM_Code],$A44,T_TTAFStock[WeekIndex],60)&gt;0)&gt;0,SUMIFS(T_SelfStock[Self_Qty],T_SelfStock[RM_Code],$A44,T_SelfStock[WeekIndex],60)+SUMIFS(T_TTAFStock[TTAF_Qty],T_TTAFStock[RM_Code],$A44,T_TTAFStock[WeekIndex],60),BH44+'Grid_Incoming'!BI44-'Grid_Requirement'!BI44))</f>
        <v/>
      </c>
      <c r="BJ44">
        <f>IF(COUNTIFS(T_StockCount[RM_Code],$A44,T_StockCount[WeekIndex],61)&gt;0,SUMIFS(T_StockCount[CountedQty],T_StockCount[RM_Code],$A44,T_StockCount[WeekIndex],61),IF((COUNTIFS(T_SelfStock[RM_Code],$A44,T_SelfStock[WeekIndex],61)&gt;0)*(COUNTIFS(T_TTAFStock[RM_Code],$A44,T_TTAFStock[WeekIndex],61)&gt;0)&gt;0,SUMIFS(T_SelfStock[Self_Qty],T_SelfStock[RM_Code],$A44,T_SelfStock[WeekIndex],61)+SUMIFS(T_TTAFStock[TTAF_Qty],T_TTAFStock[RM_Code],$A44,T_TTAFStock[WeekIndex],61),BI44+'Grid_Incoming'!BJ44-'Grid_Requirement'!BJ44))</f>
        <v/>
      </c>
      <c r="BK44">
        <f>IF(COUNTIFS(T_StockCount[RM_Code],$A44,T_StockCount[WeekIndex],62)&gt;0,SUMIFS(T_StockCount[CountedQty],T_StockCount[RM_Code],$A44,T_StockCount[WeekIndex],62),IF((COUNTIFS(T_SelfStock[RM_Code],$A44,T_SelfStock[WeekIndex],62)&gt;0)*(COUNTIFS(T_TTAFStock[RM_Code],$A44,T_TTAFStock[WeekIndex],62)&gt;0)&gt;0,SUMIFS(T_SelfStock[Self_Qty],T_SelfStock[RM_Code],$A44,T_SelfStock[WeekIndex],62)+SUMIFS(T_TTAFStock[TTAF_Qty],T_TTAFStock[RM_Code],$A44,T_TTAFStock[WeekIndex],62),BJ44+'Grid_Incoming'!BK44-'Grid_Requirement'!BK44))</f>
        <v/>
      </c>
      <c r="BL44">
        <f>IF(COUNTIFS(T_StockCount[RM_Code],$A44,T_StockCount[WeekIndex],63)&gt;0,SUMIFS(T_StockCount[CountedQty],T_StockCount[RM_Code],$A44,T_StockCount[WeekIndex],63),IF((COUNTIFS(T_SelfStock[RM_Code],$A44,T_SelfStock[WeekIndex],63)&gt;0)*(COUNTIFS(T_TTAFStock[RM_Code],$A44,T_TTAFStock[WeekIndex],63)&gt;0)&gt;0,SUMIFS(T_SelfStock[Self_Qty],T_SelfStock[RM_Code],$A44,T_SelfStock[WeekIndex],63)+SUMIFS(T_TTAFStock[TTAF_Qty],T_TTAFStock[RM_Code],$A44,T_TTAFStock[WeekIndex],63),BK44+'Grid_Incoming'!BL44-'Grid_Requirement'!BL44))</f>
        <v/>
      </c>
      <c r="BM44">
        <f>IF(COUNTIFS(T_StockCount[RM_Code],$A44,T_StockCount[WeekIndex],64)&gt;0,SUMIFS(T_StockCount[CountedQty],T_StockCount[RM_Code],$A44,T_StockCount[WeekIndex],64),IF((COUNTIFS(T_SelfStock[RM_Code],$A44,T_SelfStock[WeekIndex],64)&gt;0)*(COUNTIFS(T_TTAFStock[RM_Code],$A44,T_TTAFStock[WeekIndex],64)&gt;0)&gt;0,SUMIFS(T_SelfStock[Self_Qty],T_SelfStock[RM_Code],$A44,T_SelfStock[WeekIndex],64)+SUMIFS(T_TTAFStock[TTAF_Qty],T_TTAFStock[RM_Code],$A44,T_TTAFStock[WeekIndex],64),BL44+'Grid_Incoming'!BM44-'Grid_Requirement'!BM44))</f>
        <v/>
      </c>
      <c r="BN44">
        <f>IF(COUNTIFS(T_StockCount[RM_Code],$A44,T_StockCount[WeekIndex],65)&gt;0,SUMIFS(T_StockCount[CountedQty],T_StockCount[RM_Code],$A44,T_StockCount[WeekIndex],65),IF((COUNTIFS(T_SelfStock[RM_Code],$A44,T_SelfStock[WeekIndex],65)&gt;0)*(COUNTIFS(T_TTAFStock[RM_Code],$A44,T_TTAFStock[WeekIndex],65)&gt;0)&gt;0,SUMIFS(T_SelfStock[Self_Qty],T_SelfStock[RM_Code],$A44,T_SelfStock[WeekIndex],65)+SUMIFS(T_TTAFStock[TTAF_Qty],T_TTAFStock[RM_Code],$A44,T_TTAFStock[WeekIndex],65),BM44+'Grid_Incoming'!BN44-'Grid_Requirement'!BN44))</f>
        <v/>
      </c>
      <c r="BO44">
        <f>IF(COUNTIFS(T_StockCount[RM_Code],$A44,T_StockCount[WeekIndex],66)&gt;0,SUMIFS(T_StockCount[CountedQty],T_StockCount[RM_Code],$A44,T_StockCount[WeekIndex],66),IF((COUNTIFS(T_SelfStock[RM_Code],$A44,T_SelfStock[WeekIndex],66)&gt;0)*(COUNTIFS(T_TTAFStock[RM_Code],$A44,T_TTAFStock[WeekIndex],66)&gt;0)&gt;0,SUMIFS(T_SelfStock[Self_Qty],T_SelfStock[RM_Code],$A44,T_SelfStock[WeekIndex],66)+SUMIFS(T_TTAFStock[TTAF_Qty],T_TTAFStock[RM_Code],$A44,T_TTAFStock[WeekIndex],66),BN44+'Grid_Incoming'!BO44-'Grid_Requirement'!BO44))</f>
        <v/>
      </c>
      <c r="BP44">
        <f>IF(COUNTIFS(T_StockCount[RM_Code],$A44,T_StockCount[WeekIndex],67)&gt;0,SUMIFS(T_StockCount[CountedQty],T_StockCount[RM_Code],$A44,T_StockCount[WeekIndex],67),IF((COUNTIFS(T_SelfStock[RM_Code],$A44,T_SelfStock[WeekIndex],67)&gt;0)*(COUNTIFS(T_TTAFStock[RM_Code],$A44,T_TTAFStock[WeekIndex],67)&gt;0)&gt;0,SUMIFS(T_SelfStock[Self_Qty],T_SelfStock[RM_Code],$A44,T_SelfStock[WeekIndex],67)+SUMIFS(T_TTAFStock[TTAF_Qty],T_TTAFStock[RM_Code],$A44,T_TTAFStock[WeekIndex],67),BO44+'Grid_Incoming'!BP44-'Grid_Requirement'!BP44))</f>
        <v/>
      </c>
      <c r="BQ44">
        <f>IF(COUNTIFS(T_StockCount[RM_Code],$A44,T_StockCount[WeekIndex],68)&gt;0,SUMIFS(T_StockCount[CountedQty],T_StockCount[RM_Code],$A44,T_StockCount[WeekIndex],68),IF((COUNTIFS(T_SelfStock[RM_Code],$A44,T_SelfStock[WeekIndex],68)&gt;0)*(COUNTIFS(T_TTAFStock[RM_Code],$A44,T_TTAFStock[WeekIndex],68)&gt;0)&gt;0,SUMIFS(T_SelfStock[Self_Qty],T_SelfStock[RM_Code],$A44,T_SelfStock[WeekIndex],68)+SUMIFS(T_TTAFStock[TTAF_Qty],T_TTAFStock[RM_Code],$A44,T_TTAFStock[WeekIndex],68),BP44+'Grid_Incoming'!BQ44-'Grid_Requirement'!BQ44))</f>
        <v/>
      </c>
      <c r="BR44">
        <f>IF(COUNTIFS(T_StockCount[RM_Code],$A44,T_StockCount[WeekIndex],69)&gt;0,SUMIFS(T_StockCount[CountedQty],T_StockCount[RM_Code],$A44,T_StockCount[WeekIndex],69),IF((COUNTIFS(T_SelfStock[RM_Code],$A44,T_SelfStock[WeekIndex],69)&gt;0)*(COUNTIFS(T_TTAFStock[RM_Code],$A44,T_TTAFStock[WeekIndex],69)&gt;0)&gt;0,SUMIFS(T_SelfStock[Self_Qty],T_SelfStock[RM_Code],$A44,T_SelfStock[WeekIndex],69)+SUMIFS(T_TTAFStock[TTAF_Qty],T_TTAFStock[RM_Code],$A44,T_TTAFStock[WeekIndex],69),BQ44+'Grid_Incoming'!BR44-'Grid_Requirement'!BR44))</f>
        <v/>
      </c>
      <c r="BS44">
        <f>IF(COUNTIFS(T_StockCount[RM_Code],$A44,T_StockCount[WeekIndex],70)&gt;0,SUMIFS(T_StockCount[CountedQty],T_StockCount[RM_Code],$A44,T_StockCount[WeekIndex],70),IF((COUNTIFS(T_SelfStock[RM_Code],$A44,T_SelfStock[WeekIndex],70)&gt;0)*(COUNTIFS(T_TTAFStock[RM_Code],$A44,T_TTAFStock[WeekIndex],70)&gt;0)&gt;0,SUMIFS(T_SelfStock[Self_Qty],T_SelfStock[RM_Code],$A44,T_SelfStock[WeekIndex],70)+SUMIFS(T_TTAFStock[TTAF_Qty],T_TTAFStock[RM_Code],$A44,T_TTAFStock[WeekIndex],70),BR44+'Grid_Incoming'!BS44-'Grid_Requirement'!BS44))</f>
        <v/>
      </c>
      <c r="BT44">
        <f>IF(COUNTIFS(T_StockCount[RM_Code],$A44,T_StockCount[WeekIndex],71)&gt;0,SUMIFS(T_StockCount[CountedQty],T_StockCount[RM_Code],$A44,T_StockCount[WeekIndex],71),IF((COUNTIFS(T_SelfStock[RM_Code],$A44,T_SelfStock[WeekIndex],71)&gt;0)*(COUNTIFS(T_TTAFStock[RM_Code],$A44,T_TTAFStock[WeekIndex],71)&gt;0)&gt;0,SUMIFS(T_SelfStock[Self_Qty],T_SelfStock[RM_Code],$A44,T_SelfStock[WeekIndex],71)+SUMIFS(T_TTAFStock[TTAF_Qty],T_TTAFStock[RM_Code],$A44,T_TTAFStock[WeekIndex],71),BS44+'Grid_Incoming'!BT44-'Grid_Requirement'!BT44))</f>
        <v/>
      </c>
      <c r="BU44">
        <f>IF(COUNTIFS(T_StockCount[RM_Code],$A44,T_StockCount[WeekIndex],72)&gt;0,SUMIFS(T_StockCount[CountedQty],T_StockCount[RM_Code],$A44,T_StockCount[WeekIndex],72),IF((COUNTIFS(T_SelfStock[RM_Code],$A44,T_SelfStock[WeekIndex],72)&gt;0)*(COUNTIFS(T_TTAFStock[RM_Code],$A44,T_TTAFStock[WeekIndex],72)&gt;0)&gt;0,SUMIFS(T_SelfStock[Self_Qty],T_SelfStock[RM_Code],$A44,T_SelfStock[WeekIndex],72)+SUMIFS(T_TTAFStock[TTAF_Qty],T_TTAFStock[RM_Code],$A44,T_TTAFStock[WeekIndex],72),BT44+'Grid_Incoming'!BU44-'Grid_Requirement'!BU44))</f>
        <v/>
      </c>
      <c r="BV44">
        <f>IF(COUNTIFS(T_StockCount[RM_Code],$A44,T_StockCount[WeekIndex],73)&gt;0,SUMIFS(T_StockCount[CountedQty],T_StockCount[RM_Code],$A44,T_StockCount[WeekIndex],73),IF((COUNTIFS(T_SelfStock[RM_Code],$A44,T_SelfStock[WeekIndex],73)&gt;0)*(COUNTIFS(T_TTAFStock[RM_Code],$A44,T_TTAFStock[WeekIndex],73)&gt;0)&gt;0,SUMIFS(T_SelfStock[Self_Qty],T_SelfStock[RM_Code],$A44,T_SelfStock[WeekIndex],73)+SUMIFS(T_TTAFStock[TTAF_Qty],T_TTAFStock[RM_Code],$A44,T_TTAFStock[WeekIndex],73),BU44+'Grid_Incoming'!BV44-'Grid_Requirement'!BV44))</f>
        <v/>
      </c>
      <c r="BW44">
        <f>IF(COUNTIFS(T_StockCount[RM_Code],$A44,T_StockCount[WeekIndex],74)&gt;0,SUMIFS(T_StockCount[CountedQty],T_StockCount[RM_Code],$A44,T_StockCount[WeekIndex],74),IF((COUNTIFS(T_SelfStock[RM_Code],$A44,T_SelfStock[WeekIndex],74)&gt;0)*(COUNTIFS(T_TTAFStock[RM_Code],$A44,T_TTAFStock[WeekIndex],74)&gt;0)&gt;0,SUMIFS(T_SelfStock[Self_Qty],T_SelfStock[RM_Code],$A44,T_SelfStock[WeekIndex],74)+SUMIFS(T_TTAFStock[TTAF_Qty],T_TTAFStock[RM_Code],$A44,T_TTAFStock[WeekIndex],74),BV44+'Grid_Incoming'!BW44-'Grid_Requirement'!BW44))</f>
        <v/>
      </c>
      <c r="BX44">
        <f>IF(COUNTIFS(T_StockCount[RM_Code],$A44,T_StockCount[WeekIndex],75)&gt;0,SUMIFS(T_StockCount[CountedQty],T_StockCount[RM_Code],$A44,T_StockCount[WeekIndex],75),IF((COUNTIFS(T_SelfStock[RM_Code],$A44,T_SelfStock[WeekIndex],75)&gt;0)*(COUNTIFS(T_TTAFStock[RM_Code],$A44,T_TTAFStock[WeekIndex],75)&gt;0)&gt;0,SUMIFS(T_SelfStock[Self_Qty],T_SelfStock[RM_Code],$A44,T_SelfStock[WeekIndex],75)+SUMIFS(T_TTAFStock[TTAF_Qty],T_TTAFStock[RM_Code],$A44,T_TTAFStock[WeekIndex],75),BW44+'Grid_Incoming'!BX44-'Grid_Requirement'!BX44))</f>
        <v/>
      </c>
      <c r="BY44">
        <f>IF(COUNTIFS(T_StockCount[RM_Code],$A44,T_StockCount[WeekIndex],76)&gt;0,SUMIFS(T_StockCount[CountedQty],T_StockCount[RM_Code],$A44,T_StockCount[WeekIndex],76),IF((COUNTIFS(T_SelfStock[RM_Code],$A44,T_SelfStock[WeekIndex],76)&gt;0)*(COUNTIFS(T_TTAFStock[RM_Code],$A44,T_TTAFStock[WeekIndex],76)&gt;0)&gt;0,SUMIFS(T_SelfStock[Self_Qty],T_SelfStock[RM_Code],$A44,T_SelfStock[WeekIndex],76)+SUMIFS(T_TTAFStock[TTAF_Qty],T_TTAFStock[RM_Code],$A44,T_TTAFStock[WeekIndex],76),BX44+'Grid_Incoming'!BY44-'Grid_Requirement'!BY44))</f>
        <v/>
      </c>
      <c r="BZ44">
        <f>IF(COUNTIFS(T_StockCount[RM_Code],$A44,T_StockCount[WeekIndex],77)&gt;0,SUMIFS(T_StockCount[CountedQty],T_StockCount[RM_Code],$A44,T_StockCount[WeekIndex],77),IF((COUNTIFS(T_SelfStock[RM_Code],$A44,T_SelfStock[WeekIndex],77)&gt;0)*(COUNTIFS(T_TTAFStock[RM_Code],$A44,T_TTAFStock[WeekIndex],77)&gt;0)&gt;0,SUMIFS(T_SelfStock[Self_Qty],T_SelfStock[RM_Code],$A44,T_SelfStock[WeekIndex],77)+SUMIFS(T_TTAFStock[TTAF_Qty],T_TTAFStock[RM_Code],$A44,T_TTAFStock[WeekIndex],77),BY44+'Grid_Incoming'!BZ44-'Grid_Requirement'!BZ44))</f>
        <v/>
      </c>
      <c r="CA44">
        <f>IF(COUNTIFS(T_StockCount[RM_Code],$A44,T_StockCount[WeekIndex],78)&gt;0,SUMIFS(T_StockCount[CountedQty],T_StockCount[RM_Code],$A44,T_StockCount[WeekIndex],78),IF((COUNTIFS(T_SelfStock[RM_Code],$A44,T_SelfStock[WeekIndex],78)&gt;0)*(COUNTIFS(T_TTAFStock[RM_Code],$A44,T_TTAFStock[WeekIndex],78)&gt;0)&gt;0,SUMIFS(T_SelfStock[Self_Qty],T_SelfStock[RM_Code],$A44,T_SelfStock[WeekIndex],78)+SUMIFS(T_TTAFStock[TTAF_Qty],T_TTAFStock[RM_Code],$A44,T_TTAFStock[WeekIndex],78),BZ44+'Grid_Incoming'!CA44-'Grid_Requirement'!CA44))</f>
        <v/>
      </c>
      <c r="CB44">
        <f>IF(COUNTIFS(T_StockCount[RM_Code],$A44,T_StockCount[WeekIndex],79)&gt;0,SUMIFS(T_StockCount[CountedQty],T_StockCount[RM_Code],$A44,T_StockCount[WeekIndex],79),IF((COUNTIFS(T_SelfStock[RM_Code],$A44,T_SelfStock[WeekIndex],79)&gt;0)*(COUNTIFS(T_TTAFStock[RM_Code],$A44,T_TTAFStock[WeekIndex],79)&gt;0)&gt;0,SUMIFS(T_SelfStock[Self_Qty],T_SelfStock[RM_Code],$A44,T_SelfStock[WeekIndex],79)+SUMIFS(T_TTAFStock[TTAF_Qty],T_TTAFStock[RM_Code],$A44,T_TTAFStock[WeekIndex],79),CA44+'Grid_Incoming'!CB44-'Grid_Requirement'!CB44))</f>
        <v/>
      </c>
      <c r="CC44">
        <f>IF(COUNTIFS(T_StockCount[RM_Code],$A44,T_StockCount[WeekIndex],80)&gt;0,SUMIFS(T_StockCount[CountedQty],T_StockCount[RM_Code],$A44,T_StockCount[WeekIndex],80),IF((COUNTIFS(T_SelfStock[RM_Code],$A44,T_SelfStock[WeekIndex],80)&gt;0)*(COUNTIFS(T_TTAFStock[RM_Code],$A44,T_TTAFStock[WeekIndex],80)&gt;0)&gt;0,SUMIFS(T_SelfStock[Self_Qty],T_SelfStock[RM_Code],$A44,T_SelfStock[WeekIndex],80)+SUMIFS(T_TTAFStock[TTAF_Qty],T_TTAFStock[RM_Code],$A44,T_TTAFStock[WeekIndex],80),CB44+'Grid_Incoming'!CC44-'Grid_Requirement'!CC44))</f>
        <v/>
      </c>
      <c r="CD44">
        <f>IF(COUNTIFS(T_StockCount[RM_Code],$A44,T_StockCount[WeekIndex],81)&gt;0,SUMIFS(T_StockCount[CountedQty],T_StockCount[RM_Code],$A44,T_StockCount[WeekIndex],81),IF((COUNTIFS(T_SelfStock[RM_Code],$A44,T_SelfStock[WeekIndex],81)&gt;0)*(COUNTIFS(T_TTAFStock[RM_Code],$A44,T_TTAFStock[WeekIndex],81)&gt;0)&gt;0,SUMIFS(T_SelfStock[Self_Qty],T_SelfStock[RM_Code],$A44,T_SelfStock[WeekIndex],81)+SUMIFS(T_TTAFStock[TTAF_Qty],T_TTAFStock[RM_Code],$A44,T_TTAFStock[WeekIndex],81),CC44+'Grid_Incoming'!CD44-'Grid_Requirement'!CD44))</f>
        <v/>
      </c>
      <c r="CE44">
        <f>IF(COUNTIFS(T_StockCount[RM_Code],$A44,T_StockCount[WeekIndex],82)&gt;0,SUMIFS(T_StockCount[CountedQty],T_StockCount[RM_Code],$A44,T_StockCount[WeekIndex],82),IF((COUNTIFS(T_SelfStock[RM_Code],$A44,T_SelfStock[WeekIndex],82)&gt;0)*(COUNTIFS(T_TTAFStock[RM_Code],$A44,T_TTAFStock[WeekIndex],82)&gt;0)&gt;0,SUMIFS(T_SelfStock[Self_Qty],T_SelfStock[RM_Code],$A44,T_SelfStock[WeekIndex],82)+SUMIFS(T_TTAFStock[TTAF_Qty],T_TTAFStock[RM_Code],$A44,T_TTAFStock[WeekIndex],82),CD44+'Grid_Incoming'!CE44-'Grid_Requirement'!CE44))</f>
        <v/>
      </c>
      <c r="CF44">
        <f>IF(COUNTIFS(T_StockCount[RM_Code],$A44,T_StockCount[WeekIndex],83)&gt;0,SUMIFS(T_StockCount[CountedQty],T_StockCount[RM_Code],$A44,T_StockCount[WeekIndex],83),IF((COUNTIFS(T_SelfStock[RM_Code],$A44,T_SelfStock[WeekIndex],83)&gt;0)*(COUNTIFS(T_TTAFStock[RM_Code],$A44,T_TTAFStock[WeekIndex],83)&gt;0)&gt;0,SUMIFS(T_SelfStock[Self_Qty],T_SelfStock[RM_Code],$A44,T_SelfStock[WeekIndex],83)+SUMIFS(T_TTAFStock[TTAF_Qty],T_TTAFStock[RM_Code],$A44,T_TTAFStock[WeekIndex],83),CE44+'Grid_Incoming'!CF44-'Grid_Requirement'!CF44))</f>
        <v/>
      </c>
      <c r="CG44">
        <f>IF(COUNTIFS(T_StockCount[RM_Code],$A44,T_StockCount[WeekIndex],84)&gt;0,SUMIFS(T_StockCount[CountedQty],T_StockCount[RM_Code],$A44,T_StockCount[WeekIndex],84),IF((COUNTIFS(T_SelfStock[RM_Code],$A44,T_SelfStock[WeekIndex],84)&gt;0)*(COUNTIFS(T_TTAFStock[RM_Code],$A44,T_TTAFStock[WeekIndex],84)&gt;0)&gt;0,SUMIFS(T_SelfStock[Self_Qty],T_SelfStock[RM_Code],$A44,T_SelfStock[WeekIndex],84)+SUMIFS(T_TTAFStock[TTAF_Qty],T_TTAFStock[RM_Code],$A44,T_TTAFStock[WeekIndex],84),CF44+'Grid_Incoming'!CG44-'Grid_Requirement'!CG44))</f>
        <v/>
      </c>
      <c r="CH44">
        <f>IF(COUNTIFS(T_StockCount[RM_Code],$A44,T_StockCount[WeekIndex],85)&gt;0,SUMIFS(T_StockCount[CountedQty],T_StockCount[RM_Code],$A44,T_StockCount[WeekIndex],85),IF((COUNTIFS(T_SelfStock[RM_Code],$A44,T_SelfStock[WeekIndex],85)&gt;0)*(COUNTIFS(T_TTAFStock[RM_Code],$A44,T_TTAFStock[WeekIndex],85)&gt;0)&gt;0,SUMIFS(T_SelfStock[Self_Qty],T_SelfStock[RM_Code],$A44,T_SelfStock[WeekIndex],85)+SUMIFS(T_TTAFStock[TTAF_Qty],T_TTAFStock[RM_Code],$A44,T_TTAFStock[WeekIndex],85),CG44+'Grid_Incoming'!CH44-'Grid_Requirement'!CH44))</f>
        <v/>
      </c>
      <c r="CI44">
        <f>IF(COUNTIFS(T_StockCount[RM_Code],$A44,T_StockCount[WeekIndex],86)&gt;0,SUMIFS(T_StockCount[CountedQty],T_StockCount[RM_Code],$A44,T_StockCount[WeekIndex],86),IF((COUNTIFS(T_SelfStock[RM_Code],$A44,T_SelfStock[WeekIndex],86)&gt;0)*(COUNTIFS(T_TTAFStock[RM_Code],$A44,T_TTAFStock[WeekIndex],86)&gt;0)&gt;0,SUMIFS(T_SelfStock[Self_Qty],T_SelfStock[RM_Code],$A44,T_SelfStock[WeekIndex],86)+SUMIFS(T_TTAFStock[TTAF_Qty],T_TTAFStock[RM_Code],$A44,T_TTAFStock[WeekIndex],86),CH44+'Grid_Incoming'!CI44-'Grid_Requirement'!CI44))</f>
        <v/>
      </c>
      <c r="CJ44">
        <f>IF(COUNTIFS(T_StockCount[RM_Code],$A44,T_StockCount[WeekIndex],87)&gt;0,SUMIFS(T_StockCount[CountedQty],T_StockCount[RM_Code],$A44,T_StockCount[WeekIndex],87),IF((COUNTIFS(T_SelfStock[RM_Code],$A44,T_SelfStock[WeekIndex],87)&gt;0)*(COUNTIFS(T_TTAFStock[RM_Code],$A44,T_TTAFStock[WeekIndex],87)&gt;0)&gt;0,SUMIFS(T_SelfStock[Self_Qty],T_SelfStock[RM_Code],$A44,T_SelfStock[WeekIndex],87)+SUMIFS(T_TTAFStock[TTAF_Qty],T_TTAFStock[RM_Code],$A44,T_TTAFStock[WeekIndex],87),CI44+'Grid_Incoming'!CJ44-'Grid_Requirement'!CJ44))</f>
        <v/>
      </c>
      <c r="CK44">
        <f>IF(COUNTIFS(T_StockCount[RM_Code],$A44,T_StockCount[WeekIndex],88)&gt;0,SUMIFS(T_StockCount[CountedQty],T_StockCount[RM_Code],$A44,T_StockCount[WeekIndex],88),IF((COUNTIFS(T_SelfStock[RM_Code],$A44,T_SelfStock[WeekIndex],88)&gt;0)*(COUNTIFS(T_TTAFStock[RM_Code],$A44,T_TTAFStock[WeekIndex],88)&gt;0)&gt;0,SUMIFS(T_SelfStock[Self_Qty],T_SelfStock[RM_Code],$A44,T_SelfStock[WeekIndex],88)+SUMIFS(T_TTAFStock[TTAF_Qty],T_TTAFStock[RM_Code],$A44,T_TTAFStock[WeekIndex],88),CJ44+'Grid_Incoming'!CK44-'Grid_Requirement'!CK44))</f>
        <v/>
      </c>
      <c r="CL44">
        <f>IF(COUNTIFS(T_StockCount[RM_Code],$A44,T_StockCount[WeekIndex],89)&gt;0,SUMIFS(T_StockCount[CountedQty],T_StockCount[RM_Code],$A44,T_StockCount[WeekIndex],89),IF((COUNTIFS(T_SelfStock[RM_Code],$A44,T_SelfStock[WeekIndex],89)&gt;0)*(COUNTIFS(T_TTAFStock[RM_Code],$A44,T_TTAFStock[WeekIndex],89)&gt;0)&gt;0,SUMIFS(T_SelfStock[Self_Qty],T_SelfStock[RM_Code],$A44,T_SelfStock[WeekIndex],89)+SUMIFS(T_TTAFStock[TTAF_Qty],T_TTAFStock[RM_Code],$A44,T_TTAFStock[WeekIndex],89),CK44+'Grid_Incoming'!CL44-'Grid_Requirement'!CL44))</f>
        <v/>
      </c>
      <c r="CM44">
        <f>IF(COUNTIFS(T_StockCount[RM_Code],$A44,T_StockCount[WeekIndex],90)&gt;0,SUMIFS(T_StockCount[CountedQty],T_StockCount[RM_Code],$A44,T_StockCount[WeekIndex],90),IF((COUNTIFS(T_SelfStock[RM_Code],$A44,T_SelfStock[WeekIndex],90)&gt;0)*(COUNTIFS(T_TTAFStock[RM_Code],$A44,T_TTAFStock[WeekIndex],90)&gt;0)&gt;0,SUMIFS(T_SelfStock[Self_Qty],T_SelfStock[RM_Code],$A44,T_SelfStock[WeekIndex],90)+SUMIFS(T_TTAFStock[TTAF_Qty],T_TTAFStock[RM_Code],$A44,T_TTAFStock[WeekIndex],90),CL44+'Grid_Incoming'!CM44-'Grid_Requirement'!CM44))</f>
        <v/>
      </c>
      <c r="CN44">
        <f>IF(COUNTIFS(T_StockCount[RM_Code],$A44,T_StockCount[WeekIndex],91)&gt;0,SUMIFS(T_StockCount[CountedQty],T_StockCount[RM_Code],$A44,T_StockCount[WeekIndex],91),IF((COUNTIFS(T_SelfStock[RM_Code],$A44,T_SelfStock[WeekIndex],91)&gt;0)*(COUNTIFS(T_TTAFStock[RM_Code],$A44,T_TTAFStock[WeekIndex],91)&gt;0)&gt;0,SUMIFS(T_SelfStock[Self_Qty],T_SelfStock[RM_Code],$A44,T_SelfStock[WeekIndex],91)+SUMIFS(T_TTAFStock[TTAF_Qty],T_TTAFStock[RM_Code],$A44,T_TTAFStock[WeekIndex],91),CM44+'Grid_Incoming'!CN44-'Grid_Requirement'!CN44))</f>
        <v/>
      </c>
      <c r="CO44">
        <f>IF(COUNTIFS(T_StockCount[RM_Code],$A44,T_StockCount[WeekIndex],92)&gt;0,SUMIFS(T_StockCount[CountedQty],T_StockCount[RM_Code],$A44,T_StockCount[WeekIndex],92),IF((COUNTIFS(T_SelfStock[RM_Code],$A44,T_SelfStock[WeekIndex],92)&gt;0)*(COUNTIFS(T_TTAFStock[RM_Code],$A44,T_TTAFStock[WeekIndex],92)&gt;0)&gt;0,SUMIFS(T_SelfStock[Self_Qty],T_SelfStock[RM_Code],$A44,T_SelfStock[WeekIndex],92)+SUMIFS(T_TTAFStock[TTAF_Qty],T_TTAFStock[RM_Code],$A44,T_TTAFStock[WeekIndex],92),CN44+'Grid_Incoming'!CO44-'Grid_Requirement'!CO44))</f>
        <v/>
      </c>
      <c r="CP44">
        <f>IF(COUNTIFS(T_StockCount[RM_Code],$A44,T_StockCount[WeekIndex],93)&gt;0,SUMIFS(T_StockCount[CountedQty],T_StockCount[RM_Code],$A44,T_StockCount[WeekIndex],93),IF((COUNTIFS(T_SelfStock[RM_Code],$A44,T_SelfStock[WeekIndex],93)&gt;0)*(COUNTIFS(T_TTAFStock[RM_Code],$A44,T_TTAFStock[WeekIndex],93)&gt;0)&gt;0,SUMIFS(T_SelfStock[Self_Qty],T_SelfStock[RM_Code],$A44,T_SelfStock[WeekIndex],93)+SUMIFS(T_TTAFStock[TTAF_Qty],T_TTAFStock[RM_Code],$A44,T_TTAFStock[WeekIndex],93),CO44+'Grid_Incoming'!CP44-'Grid_Requirement'!CP44))</f>
        <v/>
      </c>
      <c r="CQ44">
        <f>IF(COUNTIFS(T_StockCount[RM_Code],$A44,T_StockCount[WeekIndex],94)&gt;0,SUMIFS(T_StockCount[CountedQty],T_StockCount[RM_Code],$A44,T_StockCount[WeekIndex],94),IF((COUNTIFS(T_SelfStock[RM_Code],$A44,T_SelfStock[WeekIndex],94)&gt;0)*(COUNTIFS(T_TTAFStock[RM_Code],$A44,T_TTAFStock[WeekIndex],94)&gt;0)&gt;0,SUMIFS(T_SelfStock[Self_Qty],T_SelfStock[RM_Code],$A44,T_SelfStock[WeekIndex],94)+SUMIFS(T_TTAFStock[TTAF_Qty],T_TTAFStock[RM_Code],$A44,T_TTAFStock[WeekIndex],94),CP44+'Grid_Incoming'!CQ44-'Grid_Requirement'!CQ44))</f>
        <v/>
      </c>
      <c r="CR44">
        <f>IF(COUNTIFS(T_StockCount[RM_Code],$A44,T_StockCount[WeekIndex],95)&gt;0,SUMIFS(T_StockCount[CountedQty],T_StockCount[RM_Code],$A44,T_StockCount[WeekIndex],95),IF((COUNTIFS(T_SelfStock[RM_Code],$A44,T_SelfStock[WeekIndex],95)&gt;0)*(COUNTIFS(T_TTAFStock[RM_Code],$A44,T_TTAFStock[WeekIndex],95)&gt;0)&gt;0,SUMIFS(T_SelfStock[Self_Qty],T_SelfStock[RM_Code],$A44,T_SelfStock[WeekIndex],95)+SUMIFS(T_TTAFStock[TTAF_Qty],T_TTAFStock[RM_Code],$A44,T_TTAFStock[WeekIndex],95),CQ44+'Grid_Incoming'!CR44-'Grid_Requirement'!CR44))</f>
        <v/>
      </c>
      <c r="CS44">
        <f>IF(COUNTIFS(T_StockCount[RM_Code],$A44,T_StockCount[WeekIndex],96)&gt;0,SUMIFS(T_StockCount[CountedQty],T_StockCount[RM_Code],$A44,T_StockCount[WeekIndex],96),IF((COUNTIFS(T_SelfStock[RM_Code],$A44,T_SelfStock[WeekIndex],96)&gt;0)*(COUNTIFS(T_TTAFStock[RM_Code],$A44,T_TTAFStock[WeekIndex],96)&gt;0)&gt;0,SUMIFS(T_SelfStock[Self_Qty],T_SelfStock[RM_Code],$A44,T_SelfStock[WeekIndex],96)+SUMIFS(T_TTAFStock[TTAF_Qty],T_TTAFStock[RM_Code],$A44,T_TTAFStock[WeekIndex],96),CR44+'Grid_Incoming'!CS44-'Grid_Requirement'!CS44))</f>
        <v/>
      </c>
      <c r="CT44">
        <f>IF(COUNTIFS(T_StockCount[RM_Code],$A44,T_StockCount[WeekIndex],97)&gt;0,SUMIFS(T_StockCount[CountedQty],T_StockCount[RM_Code],$A44,T_StockCount[WeekIndex],97),IF((COUNTIFS(T_SelfStock[RM_Code],$A44,T_SelfStock[WeekIndex],97)&gt;0)*(COUNTIFS(T_TTAFStock[RM_Code],$A44,T_TTAFStock[WeekIndex],97)&gt;0)&gt;0,SUMIFS(T_SelfStock[Self_Qty],T_SelfStock[RM_Code],$A44,T_SelfStock[WeekIndex],97)+SUMIFS(T_TTAFStock[TTAF_Qty],T_TTAFStock[RM_Code],$A44,T_TTAFStock[WeekIndex],97),CS44+'Grid_Incoming'!CT44-'Grid_Requirement'!CT44))</f>
        <v/>
      </c>
      <c r="CU44">
        <f>IF(COUNTIFS(T_StockCount[RM_Code],$A44,T_StockCount[WeekIndex],98)&gt;0,SUMIFS(T_StockCount[CountedQty],T_StockCount[RM_Code],$A44,T_StockCount[WeekIndex],98),IF((COUNTIFS(T_SelfStock[RM_Code],$A44,T_SelfStock[WeekIndex],98)&gt;0)*(COUNTIFS(T_TTAFStock[RM_Code],$A44,T_TTAFStock[WeekIndex],98)&gt;0)&gt;0,SUMIFS(T_SelfStock[Self_Qty],T_SelfStock[RM_Code],$A44,T_SelfStock[WeekIndex],98)+SUMIFS(T_TTAFStock[TTAF_Qty],T_TTAFStock[RM_Code],$A44,T_TTAFStock[WeekIndex],98),CT44+'Grid_Incoming'!CU44-'Grid_Requirement'!CU44))</f>
        <v/>
      </c>
      <c r="CV44">
        <f>IF(COUNTIFS(T_StockCount[RM_Code],$A44,T_StockCount[WeekIndex],99)&gt;0,SUMIFS(T_StockCount[CountedQty],T_StockCount[RM_Code],$A44,T_StockCount[WeekIndex],99),IF((COUNTIFS(T_SelfStock[RM_Code],$A44,T_SelfStock[WeekIndex],99)&gt;0)*(COUNTIFS(T_TTAFStock[RM_Code],$A44,T_TTAFStock[WeekIndex],99)&gt;0)&gt;0,SUMIFS(T_SelfStock[Self_Qty],T_SelfStock[RM_Code],$A44,T_SelfStock[WeekIndex],99)+SUMIFS(T_TTAFStock[TTAF_Qty],T_TTAFStock[RM_Code],$A44,T_TTAFStock[WeekIndex],99),CU44+'Grid_Incoming'!CV44-'Grid_Requirement'!CV44))</f>
        <v/>
      </c>
      <c r="CW44">
        <f>IF(COUNTIFS(T_StockCount[RM_Code],$A44,T_StockCount[WeekIndex],100)&gt;0,SUMIFS(T_StockCount[CountedQty],T_StockCount[RM_Code],$A44,T_StockCount[WeekIndex],100),IF((COUNTIFS(T_SelfStock[RM_Code],$A44,T_SelfStock[WeekIndex],100)&gt;0)*(COUNTIFS(T_TTAFStock[RM_Code],$A44,T_TTAFStock[WeekIndex],100)&gt;0)&gt;0,SUMIFS(T_SelfStock[Self_Qty],T_SelfStock[RM_Code],$A44,T_SelfStock[WeekIndex],100)+SUMIFS(T_TTAFStock[TTAF_Qty],T_TTAFStock[RM_Code],$A44,T_TTAFStock[WeekIndex],100),CV44+'Grid_Incoming'!CW44-'Grid_Requirement'!CW44))</f>
        <v/>
      </c>
      <c r="CX44">
        <f>IF(COUNTIFS(T_StockCount[RM_Code],$A44,T_StockCount[WeekIndex],101)&gt;0,SUMIFS(T_StockCount[CountedQty],T_StockCount[RM_Code],$A44,T_StockCount[WeekIndex],101),IF((COUNTIFS(T_SelfStock[RM_Code],$A44,T_SelfStock[WeekIndex],101)&gt;0)*(COUNTIFS(T_TTAFStock[RM_Code],$A44,T_TTAFStock[WeekIndex],101)&gt;0)&gt;0,SUMIFS(T_SelfStock[Self_Qty],T_SelfStock[RM_Code],$A44,T_SelfStock[WeekIndex],101)+SUMIFS(T_TTAFStock[TTAF_Qty],T_TTAFStock[RM_Code],$A44,T_TTAFStock[WeekIndex],101),CW44+'Grid_Incoming'!CX44-'Grid_Requirement'!CX44))</f>
        <v/>
      </c>
      <c r="CY44">
        <f>IF(COUNTIFS(T_StockCount[RM_Code],$A44,T_StockCount[WeekIndex],102)&gt;0,SUMIFS(T_StockCount[CountedQty],T_StockCount[RM_Code],$A44,T_StockCount[WeekIndex],102),IF((COUNTIFS(T_SelfStock[RM_Code],$A44,T_SelfStock[WeekIndex],102)&gt;0)*(COUNTIFS(T_TTAFStock[RM_Code],$A44,T_TTAFStock[WeekIndex],102)&gt;0)&gt;0,SUMIFS(T_SelfStock[Self_Qty],T_SelfStock[RM_Code],$A44,T_SelfStock[WeekIndex],102)+SUMIFS(T_TTAFStock[TTAF_Qty],T_TTAFStock[RM_Code],$A44,T_TTAFStock[WeekIndex],102),CX44+'Grid_Incoming'!CY44-'Grid_Requirement'!CY44))</f>
        <v/>
      </c>
      <c r="CZ44">
        <f>IF(COUNTIFS(T_StockCount[RM_Code],$A44,T_StockCount[WeekIndex],103)&gt;0,SUMIFS(T_StockCount[CountedQty],T_StockCount[RM_Code],$A44,T_StockCount[WeekIndex],103),IF((COUNTIFS(T_SelfStock[RM_Code],$A44,T_SelfStock[WeekIndex],103)&gt;0)*(COUNTIFS(T_TTAFStock[RM_Code],$A44,T_TTAFStock[WeekIndex],103)&gt;0)&gt;0,SUMIFS(T_SelfStock[Self_Qty],T_SelfStock[RM_Code],$A44,T_SelfStock[WeekIndex],103)+SUMIFS(T_TTAFStock[TTAF_Qty],T_TTAFStock[RM_Code],$A44,T_TTAFStock[WeekIndex],103),CY44+'Grid_Incoming'!CZ44-'Grid_Requirement'!CZ44))</f>
        <v/>
      </c>
      <c r="DA44">
        <f>IF(COUNTIFS(T_StockCount[RM_Code],$A44,T_StockCount[WeekIndex],104)&gt;0,SUMIFS(T_StockCount[CountedQty],T_StockCount[RM_Code],$A44,T_StockCount[WeekIndex],104),IF((COUNTIFS(T_SelfStock[RM_Code],$A44,T_SelfStock[WeekIndex],104)&gt;0)*(COUNTIFS(T_TTAFStock[RM_Code],$A44,T_TTAFStock[WeekIndex],104)&gt;0)&gt;0,SUMIFS(T_SelfStock[Self_Qty],T_SelfStock[RM_Code],$A44,T_SelfStock[WeekIndex],104)+SUMIFS(T_TTAFStock[TTAF_Qty],T_TTAFStock[RM_Code],$A44,T_TTAFStock[WeekIndex],104),CZ44+'Grid_Incoming'!DA44-'Grid_Requirement'!DA44))</f>
        <v/>
      </c>
    </row>
    <row r="45">
      <c r="A45" t="inlineStr">
        <is>
          <t>CHEM-1010</t>
        </is>
      </c>
      <c r="B45">
        <f>IF(COUNTIFS(T_StockCount[RM_Code],$A45,T_StockCount[WeekIndex],1)&gt;0,SUMIFS(T_StockCount[CountedQty],T_StockCount[RM_Code],$A45,T_StockCount[WeekIndex],1),IF((COUNTIFS(T_SelfStock[RM_Code],$A45,T_SelfStock[WeekIndex],1)&gt;0)*(COUNTIFS(T_TTAFStock[RM_Code],$A45,T_TTAFStock[WeekIndex],1)&gt;0)&gt;0,SUMIFS(T_SelfStock[Self_Qty],T_SelfStock[RM_Code],$A45,T_SelfStock[WeekIndex],1)+SUMIFS(T_TTAFStock[TTAF_Qty],T_TTAFStock[RM_Code],$A45,T_TTAFStock[WeekIndex],1),IFERROR(INDEX(T_OpeningStock[Opening_Qty],MATCH($A45,T_OpeningStock[RM_Code],0)),0)+'Grid_Incoming'!B45-'Grid_Requirement'!B45))</f>
        <v/>
      </c>
      <c r="C45">
        <f>IF(COUNTIFS(T_StockCount[RM_Code],$A45,T_StockCount[WeekIndex],2)&gt;0,SUMIFS(T_StockCount[CountedQty],T_StockCount[RM_Code],$A45,T_StockCount[WeekIndex],2),IF((COUNTIFS(T_SelfStock[RM_Code],$A45,T_SelfStock[WeekIndex],2)&gt;0)*(COUNTIFS(T_TTAFStock[RM_Code],$A45,T_TTAFStock[WeekIndex],2)&gt;0)&gt;0,SUMIFS(T_SelfStock[Self_Qty],T_SelfStock[RM_Code],$A45,T_SelfStock[WeekIndex],2)+SUMIFS(T_TTAFStock[TTAF_Qty],T_TTAFStock[RM_Code],$A45,T_TTAFStock[WeekIndex],2),B45+'Grid_Incoming'!C45-'Grid_Requirement'!C45))</f>
        <v/>
      </c>
      <c r="D45">
        <f>IF(COUNTIFS(T_StockCount[RM_Code],$A45,T_StockCount[WeekIndex],3)&gt;0,SUMIFS(T_StockCount[CountedQty],T_StockCount[RM_Code],$A45,T_StockCount[WeekIndex],3),IF((COUNTIFS(T_SelfStock[RM_Code],$A45,T_SelfStock[WeekIndex],3)&gt;0)*(COUNTIFS(T_TTAFStock[RM_Code],$A45,T_TTAFStock[WeekIndex],3)&gt;0)&gt;0,SUMIFS(T_SelfStock[Self_Qty],T_SelfStock[RM_Code],$A45,T_SelfStock[WeekIndex],3)+SUMIFS(T_TTAFStock[TTAF_Qty],T_TTAFStock[RM_Code],$A45,T_TTAFStock[WeekIndex],3),C45+'Grid_Incoming'!D45-'Grid_Requirement'!D45))</f>
        <v/>
      </c>
      <c r="E45">
        <f>IF(COUNTIFS(T_StockCount[RM_Code],$A45,T_StockCount[WeekIndex],4)&gt;0,SUMIFS(T_StockCount[CountedQty],T_StockCount[RM_Code],$A45,T_StockCount[WeekIndex],4),IF((COUNTIFS(T_SelfStock[RM_Code],$A45,T_SelfStock[WeekIndex],4)&gt;0)*(COUNTIFS(T_TTAFStock[RM_Code],$A45,T_TTAFStock[WeekIndex],4)&gt;0)&gt;0,SUMIFS(T_SelfStock[Self_Qty],T_SelfStock[RM_Code],$A45,T_SelfStock[WeekIndex],4)+SUMIFS(T_TTAFStock[TTAF_Qty],T_TTAFStock[RM_Code],$A45,T_TTAFStock[WeekIndex],4),D45+'Grid_Incoming'!E45-'Grid_Requirement'!E45))</f>
        <v/>
      </c>
      <c r="F45">
        <f>IF(COUNTIFS(T_StockCount[RM_Code],$A45,T_StockCount[WeekIndex],5)&gt;0,SUMIFS(T_StockCount[CountedQty],T_StockCount[RM_Code],$A45,T_StockCount[WeekIndex],5),IF((COUNTIFS(T_SelfStock[RM_Code],$A45,T_SelfStock[WeekIndex],5)&gt;0)*(COUNTIFS(T_TTAFStock[RM_Code],$A45,T_TTAFStock[WeekIndex],5)&gt;0)&gt;0,SUMIFS(T_SelfStock[Self_Qty],T_SelfStock[RM_Code],$A45,T_SelfStock[WeekIndex],5)+SUMIFS(T_TTAFStock[TTAF_Qty],T_TTAFStock[RM_Code],$A45,T_TTAFStock[WeekIndex],5),E45+'Grid_Incoming'!F45-'Grid_Requirement'!F45))</f>
        <v/>
      </c>
      <c r="G45">
        <f>IF(COUNTIFS(T_StockCount[RM_Code],$A45,T_StockCount[WeekIndex],6)&gt;0,SUMIFS(T_StockCount[CountedQty],T_StockCount[RM_Code],$A45,T_StockCount[WeekIndex],6),IF((COUNTIFS(T_SelfStock[RM_Code],$A45,T_SelfStock[WeekIndex],6)&gt;0)*(COUNTIFS(T_TTAFStock[RM_Code],$A45,T_TTAFStock[WeekIndex],6)&gt;0)&gt;0,SUMIFS(T_SelfStock[Self_Qty],T_SelfStock[RM_Code],$A45,T_SelfStock[WeekIndex],6)+SUMIFS(T_TTAFStock[TTAF_Qty],T_TTAFStock[RM_Code],$A45,T_TTAFStock[WeekIndex],6),F45+'Grid_Incoming'!G45-'Grid_Requirement'!G45))</f>
        <v/>
      </c>
      <c r="H45">
        <f>IF(COUNTIFS(T_StockCount[RM_Code],$A45,T_StockCount[WeekIndex],7)&gt;0,SUMIFS(T_StockCount[CountedQty],T_StockCount[RM_Code],$A45,T_StockCount[WeekIndex],7),IF((COUNTIFS(T_SelfStock[RM_Code],$A45,T_SelfStock[WeekIndex],7)&gt;0)*(COUNTIFS(T_TTAFStock[RM_Code],$A45,T_TTAFStock[WeekIndex],7)&gt;0)&gt;0,SUMIFS(T_SelfStock[Self_Qty],T_SelfStock[RM_Code],$A45,T_SelfStock[WeekIndex],7)+SUMIFS(T_TTAFStock[TTAF_Qty],T_TTAFStock[RM_Code],$A45,T_TTAFStock[WeekIndex],7),G45+'Grid_Incoming'!H45-'Grid_Requirement'!H45))</f>
        <v/>
      </c>
      <c r="I45">
        <f>IF(COUNTIFS(T_StockCount[RM_Code],$A45,T_StockCount[WeekIndex],8)&gt;0,SUMIFS(T_StockCount[CountedQty],T_StockCount[RM_Code],$A45,T_StockCount[WeekIndex],8),IF((COUNTIFS(T_SelfStock[RM_Code],$A45,T_SelfStock[WeekIndex],8)&gt;0)*(COUNTIFS(T_TTAFStock[RM_Code],$A45,T_TTAFStock[WeekIndex],8)&gt;0)&gt;0,SUMIFS(T_SelfStock[Self_Qty],T_SelfStock[RM_Code],$A45,T_SelfStock[WeekIndex],8)+SUMIFS(T_TTAFStock[TTAF_Qty],T_TTAFStock[RM_Code],$A45,T_TTAFStock[WeekIndex],8),H45+'Grid_Incoming'!I45-'Grid_Requirement'!I45))</f>
        <v/>
      </c>
      <c r="J45">
        <f>IF(COUNTIFS(T_StockCount[RM_Code],$A45,T_StockCount[WeekIndex],9)&gt;0,SUMIFS(T_StockCount[CountedQty],T_StockCount[RM_Code],$A45,T_StockCount[WeekIndex],9),IF((COUNTIFS(T_SelfStock[RM_Code],$A45,T_SelfStock[WeekIndex],9)&gt;0)*(COUNTIFS(T_TTAFStock[RM_Code],$A45,T_TTAFStock[WeekIndex],9)&gt;0)&gt;0,SUMIFS(T_SelfStock[Self_Qty],T_SelfStock[RM_Code],$A45,T_SelfStock[WeekIndex],9)+SUMIFS(T_TTAFStock[TTAF_Qty],T_TTAFStock[RM_Code],$A45,T_TTAFStock[WeekIndex],9),I45+'Grid_Incoming'!J45-'Grid_Requirement'!J45))</f>
        <v/>
      </c>
      <c r="K45">
        <f>IF(COUNTIFS(T_StockCount[RM_Code],$A45,T_StockCount[WeekIndex],10)&gt;0,SUMIFS(T_StockCount[CountedQty],T_StockCount[RM_Code],$A45,T_StockCount[WeekIndex],10),IF((COUNTIFS(T_SelfStock[RM_Code],$A45,T_SelfStock[WeekIndex],10)&gt;0)*(COUNTIFS(T_TTAFStock[RM_Code],$A45,T_TTAFStock[WeekIndex],10)&gt;0)&gt;0,SUMIFS(T_SelfStock[Self_Qty],T_SelfStock[RM_Code],$A45,T_SelfStock[WeekIndex],10)+SUMIFS(T_TTAFStock[TTAF_Qty],T_TTAFStock[RM_Code],$A45,T_TTAFStock[WeekIndex],10),J45+'Grid_Incoming'!K45-'Grid_Requirement'!K45))</f>
        <v/>
      </c>
      <c r="L45">
        <f>IF(COUNTIFS(T_StockCount[RM_Code],$A45,T_StockCount[WeekIndex],11)&gt;0,SUMIFS(T_StockCount[CountedQty],T_StockCount[RM_Code],$A45,T_StockCount[WeekIndex],11),IF((COUNTIFS(T_SelfStock[RM_Code],$A45,T_SelfStock[WeekIndex],11)&gt;0)*(COUNTIFS(T_TTAFStock[RM_Code],$A45,T_TTAFStock[WeekIndex],11)&gt;0)&gt;0,SUMIFS(T_SelfStock[Self_Qty],T_SelfStock[RM_Code],$A45,T_SelfStock[WeekIndex],11)+SUMIFS(T_TTAFStock[TTAF_Qty],T_TTAFStock[RM_Code],$A45,T_TTAFStock[WeekIndex],11),K45+'Grid_Incoming'!L45-'Grid_Requirement'!L45))</f>
        <v/>
      </c>
      <c r="M45">
        <f>IF(COUNTIFS(T_StockCount[RM_Code],$A45,T_StockCount[WeekIndex],12)&gt;0,SUMIFS(T_StockCount[CountedQty],T_StockCount[RM_Code],$A45,T_StockCount[WeekIndex],12),IF((COUNTIFS(T_SelfStock[RM_Code],$A45,T_SelfStock[WeekIndex],12)&gt;0)*(COUNTIFS(T_TTAFStock[RM_Code],$A45,T_TTAFStock[WeekIndex],12)&gt;0)&gt;0,SUMIFS(T_SelfStock[Self_Qty],T_SelfStock[RM_Code],$A45,T_SelfStock[WeekIndex],12)+SUMIFS(T_TTAFStock[TTAF_Qty],T_TTAFStock[RM_Code],$A45,T_TTAFStock[WeekIndex],12),L45+'Grid_Incoming'!M45-'Grid_Requirement'!M45))</f>
        <v/>
      </c>
      <c r="N45">
        <f>IF(COUNTIFS(T_StockCount[RM_Code],$A45,T_StockCount[WeekIndex],13)&gt;0,SUMIFS(T_StockCount[CountedQty],T_StockCount[RM_Code],$A45,T_StockCount[WeekIndex],13),IF((COUNTIFS(T_SelfStock[RM_Code],$A45,T_SelfStock[WeekIndex],13)&gt;0)*(COUNTIFS(T_TTAFStock[RM_Code],$A45,T_TTAFStock[WeekIndex],13)&gt;0)&gt;0,SUMIFS(T_SelfStock[Self_Qty],T_SelfStock[RM_Code],$A45,T_SelfStock[WeekIndex],13)+SUMIFS(T_TTAFStock[TTAF_Qty],T_TTAFStock[RM_Code],$A45,T_TTAFStock[WeekIndex],13),M45+'Grid_Incoming'!N45-'Grid_Requirement'!N45))</f>
        <v/>
      </c>
      <c r="O45">
        <f>IF(COUNTIFS(T_StockCount[RM_Code],$A45,T_StockCount[WeekIndex],14)&gt;0,SUMIFS(T_StockCount[CountedQty],T_StockCount[RM_Code],$A45,T_StockCount[WeekIndex],14),IF((COUNTIFS(T_SelfStock[RM_Code],$A45,T_SelfStock[WeekIndex],14)&gt;0)*(COUNTIFS(T_TTAFStock[RM_Code],$A45,T_TTAFStock[WeekIndex],14)&gt;0)&gt;0,SUMIFS(T_SelfStock[Self_Qty],T_SelfStock[RM_Code],$A45,T_SelfStock[WeekIndex],14)+SUMIFS(T_TTAFStock[TTAF_Qty],T_TTAFStock[RM_Code],$A45,T_TTAFStock[WeekIndex],14),N45+'Grid_Incoming'!O45-'Grid_Requirement'!O45))</f>
        <v/>
      </c>
      <c r="P45">
        <f>IF(COUNTIFS(T_StockCount[RM_Code],$A45,T_StockCount[WeekIndex],15)&gt;0,SUMIFS(T_StockCount[CountedQty],T_StockCount[RM_Code],$A45,T_StockCount[WeekIndex],15),IF((COUNTIFS(T_SelfStock[RM_Code],$A45,T_SelfStock[WeekIndex],15)&gt;0)*(COUNTIFS(T_TTAFStock[RM_Code],$A45,T_TTAFStock[WeekIndex],15)&gt;0)&gt;0,SUMIFS(T_SelfStock[Self_Qty],T_SelfStock[RM_Code],$A45,T_SelfStock[WeekIndex],15)+SUMIFS(T_TTAFStock[TTAF_Qty],T_TTAFStock[RM_Code],$A45,T_TTAFStock[WeekIndex],15),O45+'Grid_Incoming'!P45-'Grid_Requirement'!P45))</f>
        <v/>
      </c>
      <c r="Q45">
        <f>IF(COUNTIFS(T_StockCount[RM_Code],$A45,T_StockCount[WeekIndex],16)&gt;0,SUMIFS(T_StockCount[CountedQty],T_StockCount[RM_Code],$A45,T_StockCount[WeekIndex],16),IF((COUNTIFS(T_SelfStock[RM_Code],$A45,T_SelfStock[WeekIndex],16)&gt;0)*(COUNTIFS(T_TTAFStock[RM_Code],$A45,T_TTAFStock[WeekIndex],16)&gt;0)&gt;0,SUMIFS(T_SelfStock[Self_Qty],T_SelfStock[RM_Code],$A45,T_SelfStock[WeekIndex],16)+SUMIFS(T_TTAFStock[TTAF_Qty],T_TTAFStock[RM_Code],$A45,T_TTAFStock[WeekIndex],16),P45+'Grid_Incoming'!Q45-'Grid_Requirement'!Q45))</f>
        <v/>
      </c>
      <c r="R45">
        <f>IF(COUNTIFS(T_StockCount[RM_Code],$A45,T_StockCount[WeekIndex],17)&gt;0,SUMIFS(T_StockCount[CountedQty],T_StockCount[RM_Code],$A45,T_StockCount[WeekIndex],17),IF((COUNTIFS(T_SelfStock[RM_Code],$A45,T_SelfStock[WeekIndex],17)&gt;0)*(COUNTIFS(T_TTAFStock[RM_Code],$A45,T_TTAFStock[WeekIndex],17)&gt;0)&gt;0,SUMIFS(T_SelfStock[Self_Qty],T_SelfStock[RM_Code],$A45,T_SelfStock[WeekIndex],17)+SUMIFS(T_TTAFStock[TTAF_Qty],T_TTAFStock[RM_Code],$A45,T_TTAFStock[WeekIndex],17),Q45+'Grid_Incoming'!R45-'Grid_Requirement'!R45))</f>
        <v/>
      </c>
      <c r="S45">
        <f>IF(COUNTIFS(T_StockCount[RM_Code],$A45,T_StockCount[WeekIndex],18)&gt;0,SUMIFS(T_StockCount[CountedQty],T_StockCount[RM_Code],$A45,T_StockCount[WeekIndex],18),IF((COUNTIFS(T_SelfStock[RM_Code],$A45,T_SelfStock[WeekIndex],18)&gt;0)*(COUNTIFS(T_TTAFStock[RM_Code],$A45,T_TTAFStock[WeekIndex],18)&gt;0)&gt;0,SUMIFS(T_SelfStock[Self_Qty],T_SelfStock[RM_Code],$A45,T_SelfStock[WeekIndex],18)+SUMIFS(T_TTAFStock[TTAF_Qty],T_TTAFStock[RM_Code],$A45,T_TTAFStock[WeekIndex],18),R45+'Grid_Incoming'!S45-'Grid_Requirement'!S45))</f>
        <v/>
      </c>
      <c r="T45">
        <f>IF(COUNTIFS(T_StockCount[RM_Code],$A45,T_StockCount[WeekIndex],19)&gt;0,SUMIFS(T_StockCount[CountedQty],T_StockCount[RM_Code],$A45,T_StockCount[WeekIndex],19),IF((COUNTIFS(T_SelfStock[RM_Code],$A45,T_SelfStock[WeekIndex],19)&gt;0)*(COUNTIFS(T_TTAFStock[RM_Code],$A45,T_TTAFStock[WeekIndex],19)&gt;0)&gt;0,SUMIFS(T_SelfStock[Self_Qty],T_SelfStock[RM_Code],$A45,T_SelfStock[WeekIndex],19)+SUMIFS(T_TTAFStock[TTAF_Qty],T_TTAFStock[RM_Code],$A45,T_TTAFStock[WeekIndex],19),S45+'Grid_Incoming'!T45-'Grid_Requirement'!T45))</f>
        <v/>
      </c>
      <c r="U45">
        <f>IF(COUNTIFS(T_StockCount[RM_Code],$A45,T_StockCount[WeekIndex],20)&gt;0,SUMIFS(T_StockCount[CountedQty],T_StockCount[RM_Code],$A45,T_StockCount[WeekIndex],20),IF((COUNTIFS(T_SelfStock[RM_Code],$A45,T_SelfStock[WeekIndex],20)&gt;0)*(COUNTIFS(T_TTAFStock[RM_Code],$A45,T_TTAFStock[WeekIndex],20)&gt;0)&gt;0,SUMIFS(T_SelfStock[Self_Qty],T_SelfStock[RM_Code],$A45,T_SelfStock[WeekIndex],20)+SUMIFS(T_TTAFStock[TTAF_Qty],T_TTAFStock[RM_Code],$A45,T_TTAFStock[WeekIndex],20),T45+'Grid_Incoming'!U45-'Grid_Requirement'!U45))</f>
        <v/>
      </c>
      <c r="V45">
        <f>IF(COUNTIFS(T_StockCount[RM_Code],$A45,T_StockCount[WeekIndex],21)&gt;0,SUMIFS(T_StockCount[CountedQty],T_StockCount[RM_Code],$A45,T_StockCount[WeekIndex],21),IF((COUNTIFS(T_SelfStock[RM_Code],$A45,T_SelfStock[WeekIndex],21)&gt;0)*(COUNTIFS(T_TTAFStock[RM_Code],$A45,T_TTAFStock[WeekIndex],21)&gt;0)&gt;0,SUMIFS(T_SelfStock[Self_Qty],T_SelfStock[RM_Code],$A45,T_SelfStock[WeekIndex],21)+SUMIFS(T_TTAFStock[TTAF_Qty],T_TTAFStock[RM_Code],$A45,T_TTAFStock[WeekIndex],21),U45+'Grid_Incoming'!V45-'Grid_Requirement'!V45))</f>
        <v/>
      </c>
      <c r="W45">
        <f>IF(COUNTIFS(T_StockCount[RM_Code],$A45,T_StockCount[WeekIndex],22)&gt;0,SUMIFS(T_StockCount[CountedQty],T_StockCount[RM_Code],$A45,T_StockCount[WeekIndex],22),IF((COUNTIFS(T_SelfStock[RM_Code],$A45,T_SelfStock[WeekIndex],22)&gt;0)*(COUNTIFS(T_TTAFStock[RM_Code],$A45,T_TTAFStock[WeekIndex],22)&gt;0)&gt;0,SUMIFS(T_SelfStock[Self_Qty],T_SelfStock[RM_Code],$A45,T_SelfStock[WeekIndex],22)+SUMIFS(T_TTAFStock[TTAF_Qty],T_TTAFStock[RM_Code],$A45,T_TTAFStock[WeekIndex],22),V45+'Grid_Incoming'!W45-'Grid_Requirement'!W45))</f>
        <v/>
      </c>
      <c r="X45">
        <f>IF(COUNTIFS(T_StockCount[RM_Code],$A45,T_StockCount[WeekIndex],23)&gt;0,SUMIFS(T_StockCount[CountedQty],T_StockCount[RM_Code],$A45,T_StockCount[WeekIndex],23),IF((COUNTIFS(T_SelfStock[RM_Code],$A45,T_SelfStock[WeekIndex],23)&gt;0)*(COUNTIFS(T_TTAFStock[RM_Code],$A45,T_TTAFStock[WeekIndex],23)&gt;0)&gt;0,SUMIFS(T_SelfStock[Self_Qty],T_SelfStock[RM_Code],$A45,T_SelfStock[WeekIndex],23)+SUMIFS(T_TTAFStock[TTAF_Qty],T_TTAFStock[RM_Code],$A45,T_TTAFStock[WeekIndex],23),W45+'Grid_Incoming'!X45-'Grid_Requirement'!X45))</f>
        <v/>
      </c>
      <c r="Y45">
        <f>IF(COUNTIFS(T_StockCount[RM_Code],$A45,T_StockCount[WeekIndex],24)&gt;0,SUMIFS(T_StockCount[CountedQty],T_StockCount[RM_Code],$A45,T_StockCount[WeekIndex],24),IF((COUNTIFS(T_SelfStock[RM_Code],$A45,T_SelfStock[WeekIndex],24)&gt;0)*(COUNTIFS(T_TTAFStock[RM_Code],$A45,T_TTAFStock[WeekIndex],24)&gt;0)&gt;0,SUMIFS(T_SelfStock[Self_Qty],T_SelfStock[RM_Code],$A45,T_SelfStock[WeekIndex],24)+SUMIFS(T_TTAFStock[TTAF_Qty],T_TTAFStock[RM_Code],$A45,T_TTAFStock[WeekIndex],24),X45+'Grid_Incoming'!Y45-'Grid_Requirement'!Y45))</f>
        <v/>
      </c>
      <c r="Z45">
        <f>IF(COUNTIFS(T_StockCount[RM_Code],$A45,T_StockCount[WeekIndex],25)&gt;0,SUMIFS(T_StockCount[CountedQty],T_StockCount[RM_Code],$A45,T_StockCount[WeekIndex],25),IF((COUNTIFS(T_SelfStock[RM_Code],$A45,T_SelfStock[WeekIndex],25)&gt;0)*(COUNTIFS(T_TTAFStock[RM_Code],$A45,T_TTAFStock[WeekIndex],25)&gt;0)&gt;0,SUMIFS(T_SelfStock[Self_Qty],T_SelfStock[RM_Code],$A45,T_SelfStock[WeekIndex],25)+SUMIFS(T_TTAFStock[TTAF_Qty],T_TTAFStock[RM_Code],$A45,T_TTAFStock[WeekIndex],25),Y45+'Grid_Incoming'!Z45-'Grid_Requirement'!Z45))</f>
        <v/>
      </c>
      <c r="AA45">
        <f>IF(COUNTIFS(T_StockCount[RM_Code],$A45,T_StockCount[WeekIndex],26)&gt;0,SUMIFS(T_StockCount[CountedQty],T_StockCount[RM_Code],$A45,T_StockCount[WeekIndex],26),IF((COUNTIFS(T_SelfStock[RM_Code],$A45,T_SelfStock[WeekIndex],26)&gt;0)*(COUNTIFS(T_TTAFStock[RM_Code],$A45,T_TTAFStock[WeekIndex],26)&gt;0)&gt;0,SUMIFS(T_SelfStock[Self_Qty],T_SelfStock[RM_Code],$A45,T_SelfStock[WeekIndex],26)+SUMIFS(T_TTAFStock[TTAF_Qty],T_TTAFStock[RM_Code],$A45,T_TTAFStock[WeekIndex],26),Z45+'Grid_Incoming'!AA45-'Grid_Requirement'!AA45))</f>
        <v/>
      </c>
      <c r="AB45">
        <f>IF(COUNTIFS(T_StockCount[RM_Code],$A45,T_StockCount[WeekIndex],27)&gt;0,SUMIFS(T_StockCount[CountedQty],T_StockCount[RM_Code],$A45,T_StockCount[WeekIndex],27),IF((COUNTIFS(T_SelfStock[RM_Code],$A45,T_SelfStock[WeekIndex],27)&gt;0)*(COUNTIFS(T_TTAFStock[RM_Code],$A45,T_TTAFStock[WeekIndex],27)&gt;0)&gt;0,SUMIFS(T_SelfStock[Self_Qty],T_SelfStock[RM_Code],$A45,T_SelfStock[WeekIndex],27)+SUMIFS(T_TTAFStock[TTAF_Qty],T_TTAFStock[RM_Code],$A45,T_TTAFStock[WeekIndex],27),AA45+'Grid_Incoming'!AB45-'Grid_Requirement'!AB45))</f>
        <v/>
      </c>
      <c r="AC45">
        <f>IF(COUNTIFS(T_StockCount[RM_Code],$A45,T_StockCount[WeekIndex],28)&gt;0,SUMIFS(T_StockCount[CountedQty],T_StockCount[RM_Code],$A45,T_StockCount[WeekIndex],28),IF((COUNTIFS(T_SelfStock[RM_Code],$A45,T_SelfStock[WeekIndex],28)&gt;0)*(COUNTIFS(T_TTAFStock[RM_Code],$A45,T_TTAFStock[WeekIndex],28)&gt;0)&gt;0,SUMIFS(T_SelfStock[Self_Qty],T_SelfStock[RM_Code],$A45,T_SelfStock[WeekIndex],28)+SUMIFS(T_TTAFStock[TTAF_Qty],T_TTAFStock[RM_Code],$A45,T_TTAFStock[WeekIndex],28),AB45+'Grid_Incoming'!AC45-'Grid_Requirement'!AC45))</f>
        <v/>
      </c>
      <c r="AD45">
        <f>IF(COUNTIFS(T_StockCount[RM_Code],$A45,T_StockCount[WeekIndex],29)&gt;0,SUMIFS(T_StockCount[CountedQty],T_StockCount[RM_Code],$A45,T_StockCount[WeekIndex],29),IF((COUNTIFS(T_SelfStock[RM_Code],$A45,T_SelfStock[WeekIndex],29)&gt;0)*(COUNTIFS(T_TTAFStock[RM_Code],$A45,T_TTAFStock[WeekIndex],29)&gt;0)&gt;0,SUMIFS(T_SelfStock[Self_Qty],T_SelfStock[RM_Code],$A45,T_SelfStock[WeekIndex],29)+SUMIFS(T_TTAFStock[TTAF_Qty],T_TTAFStock[RM_Code],$A45,T_TTAFStock[WeekIndex],29),AC45+'Grid_Incoming'!AD45-'Grid_Requirement'!AD45))</f>
        <v/>
      </c>
      <c r="AE45">
        <f>IF(COUNTIFS(T_StockCount[RM_Code],$A45,T_StockCount[WeekIndex],30)&gt;0,SUMIFS(T_StockCount[CountedQty],T_StockCount[RM_Code],$A45,T_StockCount[WeekIndex],30),IF((COUNTIFS(T_SelfStock[RM_Code],$A45,T_SelfStock[WeekIndex],30)&gt;0)*(COUNTIFS(T_TTAFStock[RM_Code],$A45,T_TTAFStock[WeekIndex],30)&gt;0)&gt;0,SUMIFS(T_SelfStock[Self_Qty],T_SelfStock[RM_Code],$A45,T_SelfStock[WeekIndex],30)+SUMIFS(T_TTAFStock[TTAF_Qty],T_TTAFStock[RM_Code],$A45,T_TTAFStock[WeekIndex],30),AD45+'Grid_Incoming'!AE45-'Grid_Requirement'!AE45))</f>
        <v/>
      </c>
      <c r="AF45">
        <f>IF(COUNTIFS(T_StockCount[RM_Code],$A45,T_StockCount[WeekIndex],31)&gt;0,SUMIFS(T_StockCount[CountedQty],T_StockCount[RM_Code],$A45,T_StockCount[WeekIndex],31),IF((COUNTIFS(T_SelfStock[RM_Code],$A45,T_SelfStock[WeekIndex],31)&gt;0)*(COUNTIFS(T_TTAFStock[RM_Code],$A45,T_TTAFStock[WeekIndex],31)&gt;0)&gt;0,SUMIFS(T_SelfStock[Self_Qty],T_SelfStock[RM_Code],$A45,T_SelfStock[WeekIndex],31)+SUMIFS(T_TTAFStock[TTAF_Qty],T_TTAFStock[RM_Code],$A45,T_TTAFStock[WeekIndex],31),AE45+'Grid_Incoming'!AF45-'Grid_Requirement'!AF45))</f>
        <v/>
      </c>
      <c r="AG45">
        <f>IF(COUNTIFS(T_StockCount[RM_Code],$A45,T_StockCount[WeekIndex],32)&gt;0,SUMIFS(T_StockCount[CountedQty],T_StockCount[RM_Code],$A45,T_StockCount[WeekIndex],32),IF((COUNTIFS(T_SelfStock[RM_Code],$A45,T_SelfStock[WeekIndex],32)&gt;0)*(COUNTIFS(T_TTAFStock[RM_Code],$A45,T_TTAFStock[WeekIndex],32)&gt;0)&gt;0,SUMIFS(T_SelfStock[Self_Qty],T_SelfStock[RM_Code],$A45,T_SelfStock[WeekIndex],32)+SUMIFS(T_TTAFStock[TTAF_Qty],T_TTAFStock[RM_Code],$A45,T_TTAFStock[WeekIndex],32),AF45+'Grid_Incoming'!AG45-'Grid_Requirement'!AG45))</f>
        <v/>
      </c>
      <c r="AH45">
        <f>IF(COUNTIFS(T_StockCount[RM_Code],$A45,T_StockCount[WeekIndex],33)&gt;0,SUMIFS(T_StockCount[CountedQty],T_StockCount[RM_Code],$A45,T_StockCount[WeekIndex],33),IF((COUNTIFS(T_SelfStock[RM_Code],$A45,T_SelfStock[WeekIndex],33)&gt;0)*(COUNTIFS(T_TTAFStock[RM_Code],$A45,T_TTAFStock[WeekIndex],33)&gt;0)&gt;0,SUMIFS(T_SelfStock[Self_Qty],T_SelfStock[RM_Code],$A45,T_SelfStock[WeekIndex],33)+SUMIFS(T_TTAFStock[TTAF_Qty],T_TTAFStock[RM_Code],$A45,T_TTAFStock[WeekIndex],33),AG45+'Grid_Incoming'!AH45-'Grid_Requirement'!AH45))</f>
        <v/>
      </c>
      <c r="AI45">
        <f>IF(COUNTIFS(T_StockCount[RM_Code],$A45,T_StockCount[WeekIndex],34)&gt;0,SUMIFS(T_StockCount[CountedQty],T_StockCount[RM_Code],$A45,T_StockCount[WeekIndex],34),IF((COUNTIFS(T_SelfStock[RM_Code],$A45,T_SelfStock[WeekIndex],34)&gt;0)*(COUNTIFS(T_TTAFStock[RM_Code],$A45,T_TTAFStock[WeekIndex],34)&gt;0)&gt;0,SUMIFS(T_SelfStock[Self_Qty],T_SelfStock[RM_Code],$A45,T_SelfStock[WeekIndex],34)+SUMIFS(T_TTAFStock[TTAF_Qty],T_TTAFStock[RM_Code],$A45,T_TTAFStock[WeekIndex],34),AH45+'Grid_Incoming'!AI45-'Grid_Requirement'!AI45))</f>
        <v/>
      </c>
      <c r="AJ45">
        <f>IF(COUNTIFS(T_StockCount[RM_Code],$A45,T_StockCount[WeekIndex],35)&gt;0,SUMIFS(T_StockCount[CountedQty],T_StockCount[RM_Code],$A45,T_StockCount[WeekIndex],35),IF((COUNTIFS(T_SelfStock[RM_Code],$A45,T_SelfStock[WeekIndex],35)&gt;0)*(COUNTIFS(T_TTAFStock[RM_Code],$A45,T_TTAFStock[WeekIndex],35)&gt;0)&gt;0,SUMIFS(T_SelfStock[Self_Qty],T_SelfStock[RM_Code],$A45,T_SelfStock[WeekIndex],35)+SUMIFS(T_TTAFStock[TTAF_Qty],T_TTAFStock[RM_Code],$A45,T_TTAFStock[WeekIndex],35),AI45+'Grid_Incoming'!AJ45-'Grid_Requirement'!AJ45))</f>
        <v/>
      </c>
      <c r="AK45">
        <f>IF(COUNTIFS(T_StockCount[RM_Code],$A45,T_StockCount[WeekIndex],36)&gt;0,SUMIFS(T_StockCount[CountedQty],T_StockCount[RM_Code],$A45,T_StockCount[WeekIndex],36),IF((COUNTIFS(T_SelfStock[RM_Code],$A45,T_SelfStock[WeekIndex],36)&gt;0)*(COUNTIFS(T_TTAFStock[RM_Code],$A45,T_TTAFStock[WeekIndex],36)&gt;0)&gt;0,SUMIFS(T_SelfStock[Self_Qty],T_SelfStock[RM_Code],$A45,T_SelfStock[WeekIndex],36)+SUMIFS(T_TTAFStock[TTAF_Qty],T_TTAFStock[RM_Code],$A45,T_TTAFStock[WeekIndex],36),AJ45+'Grid_Incoming'!AK45-'Grid_Requirement'!AK45))</f>
        <v/>
      </c>
      <c r="AL45">
        <f>IF(COUNTIFS(T_StockCount[RM_Code],$A45,T_StockCount[WeekIndex],37)&gt;0,SUMIFS(T_StockCount[CountedQty],T_StockCount[RM_Code],$A45,T_StockCount[WeekIndex],37),IF((COUNTIFS(T_SelfStock[RM_Code],$A45,T_SelfStock[WeekIndex],37)&gt;0)*(COUNTIFS(T_TTAFStock[RM_Code],$A45,T_TTAFStock[WeekIndex],37)&gt;0)&gt;0,SUMIFS(T_SelfStock[Self_Qty],T_SelfStock[RM_Code],$A45,T_SelfStock[WeekIndex],37)+SUMIFS(T_TTAFStock[TTAF_Qty],T_TTAFStock[RM_Code],$A45,T_TTAFStock[WeekIndex],37),AK45+'Grid_Incoming'!AL45-'Grid_Requirement'!AL45))</f>
        <v/>
      </c>
      <c r="AM45">
        <f>IF(COUNTIFS(T_StockCount[RM_Code],$A45,T_StockCount[WeekIndex],38)&gt;0,SUMIFS(T_StockCount[CountedQty],T_StockCount[RM_Code],$A45,T_StockCount[WeekIndex],38),IF((COUNTIFS(T_SelfStock[RM_Code],$A45,T_SelfStock[WeekIndex],38)&gt;0)*(COUNTIFS(T_TTAFStock[RM_Code],$A45,T_TTAFStock[WeekIndex],38)&gt;0)&gt;0,SUMIFS(T_SelfStock[Self_Qty],T_SelfStock[RM_Code],$A45,T_SelfStock[WeekIndex],38)+SUMIFS(T_TTAFStock[TTAF_Qty],T_TTAFStock[RM_Code],$A45,T_TTAFStock[WeekIndex],38),AL45+'Grid_Incoming'!AM45-'Grid_Requirement'!AM45))</f>
        <v/>
      </c>
      <c r="AN45">
        <f>IF(COUNTIFS(T_StockCount[RM_Code],$A45,T_StockCount[WeekIndex],39)&gt;0,SUMIFS(T_StockCount[CountedQty],T_StockCount[RM_Code],$A45,T_StockCount[WeekIndex],39),IF((COUNTIFS(T_SelfStock[RM_Code],$A45,T_SelfStock[WeekIndex],39)&gt;0)*(COUNTIFS(T_TTAFStock[RM_Code],$A45,T_TTAFStock[WeekIndex],39)&gt;0)&gt;0,SUMIFS(T_SelfStock[Self_Qty],T_SelfStock[RM_Code],$A45,T_SelfStock[WeekIndex],39)+SUMIFS(T_TTAFStock[TTAF_Qty],T_TTAFStock[RM_Code],$A45,T_TTAFStock[WeekIndex],39),AM45+'Grid_Incoming'!AN45-'Grid_Requirement'!AN45))</f>
        <v/>
      </c>
      <c r="AO45">
        <f>IF(COUNTIFS(T_StockCount[RM_Code],$A45,T_StockCount[WeekIndex],40)&gt;0,SUMIFS(T_StockCount[CountedQty],T_StockCount[RM_Code],$A45,T_StockCount[WeekIndex],40),IF((COUNTIFS(T_SelfStock[RM_Code],$A45,T_SelfStock[WeekIndex],40)&gt;0)*(COUNTIFS(T_TTAFStock[RM_Code],$A45,T_TTAFStock[WeekIndex],40)&gt;0)&gt;0,SUMIFS(T_SelfStock[Self_Qty],T_SelfStock[RM_Code],$A45,T_SelfStock[WeekIndex],40)+SUMIFS(T_TTAFStock[TTAF_Qty],T_TTAFStock[RM_Code],$A45,T_TTAFStock[WeekIndex],40),AN45+'Grid_Incoming'!AO45-'Grid_Requirement'!AO45))</f>
        <v/>
      </c>
      <c r="AP45">
        <f>IF(COUNTIFS(T_StockCount[RM_Code],$A45,T_StockCount[WeekIndex],41)&gt;0,SUMIFS(T_StockCount[CountedQty],T_StockCount[RM_Code],$A45,T_StockCount[WeekIndex],41),IF((COUNTIFS(T_SelfStock[RM_Code],$A45,T_SelfStock[WeekIndex],41)&gt;0)*(COUNTIFS(T_TTAFStock[RM_Code],$A45,T_TTAFStock[WeekIndex],41)&gt;0)&gt;0,SUMIFS(T_SelfStock[Self_Qty],T_SelfStock[RM_Code],$A45,T_SelfStock[WeekIndex],41)+SUMIFS(T_TTAFStock[TTAF_Qty],T_TTAFStock[RM_Code],$A45,T_TTAFStock[WeekIndex],41),AO45+'Grid_Incoming'!AP45-'Grid_Requirement'!AP45))</f>
        <v/>
      </c>
      <c r="AQ45">
        <f>IF(COUNTIFS(T_StockCount[RM_Code],$A45,T_StockCount[WeekIndex],42)&gt;0,SUMIFS(T_StockCount[CountedQty],T_StockCount[RM_Code],$A45,T_StockCount[WeekIndex],42),IF((COUNTIFS(T_SelfStock[RM_Code],$A45,T_SelfStock[WeekIndex],42)&gt;0)*(COUNTIFS(T_TTAFStock[RM_Code],$A45,T_TTAFStock[WeekIndex],42)&gt;0)&gt;0,SUMIFS(T_SelfStock[Self_Qty],T_SelfStock[RM_Code],$A45,T_SelfStock[WeekIndex],42)+SUMIFS(T_TTAFStock[TTAF_Qty],T_TTAFStock[RM_Code],$A45,T_TTAFStock[WeekIndex],42),AP45+'Grid_Incoming'!AQ45-'Grid_Requirement'!AQ45))</f>
        <v/>
      </c>
      <c r="AR45">
        <f>IF(COUNTIFS(T_StockCount[RM_Code],$A45,T_StockCount[WeekIndex],43)&gt;0,SUMIFS(T_StockCount[CountedQty],T_StockCount[RM_Code],$A45,T_StockCount[WeekIndex],43),IF((COUNTIFS(T_SelfStock[RM_Code],$A45,T_SelfStock[WeekIndex],43)&gt;0)*(COUNTIFS(T_TTAFStock[RM_Code],$A45,T_TTAFStock[WeekIndex],43)&gt;0)&gt;0,SUMIFS(T_SelfStock[Self_Qty],T_SelfStock[RM_Code],$A45,T_SelfStock[WeekIndex],43)+SUMIFS(T_TTAFStock[TTAF_Qty],T_TTAFStock[RM_Code],$A45,T_TTAFStock[WeekIndex],43),AQ45+'Grid_Incoming'!AR45-'Grid_Requirement'!AR45))</f>
        <v/>
      </c>
      <c r="AS45">
        <f>IF(COUNTIFS(T_StockCount[RM_Code],$A45,T_StockCount[WeekIndex],44)&gt;0,SUMIFS(T_StockCount[CountedQty],T_StockCount[RM_Code],$A45,T_StockCount[WeekIndex],44),IF((COUNTIFS(T_SelfStock[RM_Code],$A45,T_SelfStock[WeekIndex],44)&gt;0)*(COUNTIFS(T_TTAFStock[RM_Code],$A45,T_TTAFStock[WeekIndex],44)&gt;0)&gt;0,SUMIFS(T_SelfStock[Self_Qty],T_SelfStock[RM_Code],$A45,T_SelfStock[WeekIndex],44)+SUMIFS(T_TTAFStock[TTAF_Qty],T_TTAFStock[RM_Code],$A45,T_TTAFStock[WeekIndex],44),AR45+'Grid_Incoming'!AS45-'Grid_Requirement'!AS45))</f>
        <v/>
      </c>
      <c r="AT45">
        <f>IF(COUNTIFS(T_StockCount[RM_Code],$A45,T_StockCount[WeekIndex],45)&gt;0,SUMIFS(T_StockCount[CountedQty],T_StockCount[RM_Code],$A45,T_StockCount[WeekIndex],45),IF((COUNTIFS(T_SelfStock[RM_Code],$A45,T_SelfStock[WeekIndex],45)&gt;0)*(COUNTIFS(T_TTAFStock[RM_Code],$A45,T_TTAFStock[WeekIndex],45)&gt;0)&gt;0,SUMIFS(T_SelfStock[Self_Qty],T_SelfStock[RM_Code],$A45,T_SelfStock[WeekIndex],45)+SUMIFS(T_TTAFStock[TTAF_Qty],T_TTAFStock[RM_Code],$A45,T_TTAFStock[WeekIndex],45),AS45+'Grid_Incoming'!AT45-'Grid_Requirement'!AT45))</f>
        <v/>
      </c>
      <c r="AU45">
        <f>IF(COUNTIFS(T_StockCount[RM_Code],$A45,T_StockCount[WeekIndex],46)&gt;0,SUMIFS(T_StockCount[CountedQty],T_StockCount[RM_Code],$A45,T_StockCount[WeekIndex],46),IF((COUNTIFS(T_SelfStock[RM_Code],$A45,T_SelfStock[WeekIndex],46)&gt;0)*(COUNTIFS(T_TTAFStock[RM_Code],$A45,T_TTAFStock[WeekIndex],46)&gt;0)&gt;0,SUMIFS(T_SelfStock[Self_Qty],T_SelfStock[RM_Code],$A45,T_SelfStock[WeekIndex],46)+SUMIFS(T_TTAFStock[TTAF_Qty],T_TTAFStock[RM_Code],$A45,T_TTAFStock[WeekIndex],46),AT45+'Grid_Incoming'!AU45-'Grid_Requirement'!AU45))</f>
        <v/>
      </c>
      <c r="AV45">
        <f>IF(COUNTIFS(T_StockCount[RM_Code],$A45,T_StockCount[WeekIndex],47)&gt;0,SUMIFS(T_StockCount[CountedQty],T_StockCount[RM_Code],$A45,T_StockCount[WeekIndex],47),IF((COUNTIFS(T_SelfStock[RM_Code],$A45,T_SelfStock[WeekIndex],47)&gt;0)*(COUNTIFS(T_TTAFStock[RM_Code],$A45,T_TTAFStock[WeekIndex],47)&gt;0)&gt;0,SUMIFS(T_SelfStock[Self_Qty],T_SelfStock[RM_Code],$A45,T_SelfStock[WeekIndex],47)+SUMIFS(T_TTAFStock[TTAF_Qty],T_TTAFStock[RM_Code],$A45,T_TTAFStock[WeekIndex],47),AU45+'Grid_Incoming'!AV45-'Grid_Requirement'!AV45))</f>
        <v/>
      </c>
      <c r="AW45">
        <f>IF(COUNTIFS(T_StockCount[RM_Code],$A45,T_StockCount[WeekIndex],48)&gt;0,SUMIFS(T_StockCount[CountedQty],T_StockCount[RM_Code],$A45,T_StockCount[WeekIndex],48),IF((COUNTIFS(T_SelfStock[RM_Code],$A45,T_SelfStock[WeekIndex],48)&gt;0)*(COUNTIFS(T_TTAFStock[RM_Code],$A45,T_TTAFStock[WeekIndex],48)&gt;0)&gt;0,SUMIFS(T_SelfStock[Self_Qty],T_SelfStock[RM_Code],$A45,T_SelfStock[WeekIndex],48)+SUMIFS(T_TTAFStock[TTAF_Qty],T_TTAFStock[RM_Code],$A45,T_TTAFStock[WeekIndex],48),AV45+'Grid_Incoming'!AW45-'Grid_Requirement'!AW45))</f>
        <v/>
      </c>
      <c r="AX45">
        <f>IF(COUNTIFS(T_StockCount[RM_Code],$A45,T_StockCount[WeekIndex],49)&gt;0,SUMIFS(T_StockCount[CountedQty],T_StockCount[RM_Code],$A45,T_StockCount[WeekIndex],49),IF((COUNTIFS(T_SelfStock[RM_Code],$A45,T_SelfStock[WeekIndex],49)&gt;0)*(COUNTIFS(T_TTAFStock[RM_Code],$A45,T_TTAFStock[WeekIndex],49)&gt;0)&gt;0,SUMIFS(T_SelfStock[Self_Qty],T_SelfStock[RM_Code],$A45,T_SelfStock[WeekIndex],49)+SUMIFS(T_TTAFStock[TTAF_Qty],T_TTAFStock[RM_Code],$A45,T_TTAFStock[WeekIndex],49),AW45+'Grid_Incoming'!AX45-'Grid_Requirement'!AX45))</f>
        <v/>
      </c>
      <c r="AY45">
        <f>IF(COUNTIFS(T_StockCount[RM_Code],$A45,T_StockCount[WeekIndex],50)&gt;0,SUMIFS(T_StockCount[CountedQty],T_StockCount[RM_Code],$A45,T_StockCount[WeekIndex],50),IF((COUNTIFS(T_SelfStock[RM_Code],$A45,T_SelfStock[WeekIndex],50)&gt;0)*(COUNTIFS(T_TTAFStock[RM_Code],$A45,T_TTAFStock[WeekIndex],50)&gt;0)&gt;0,SUMIFS(T_SelfStock[Self_Qty],T_SelfStock[RM_Code],$A45,T_SelfStock[WeekIndex],50)+SUMIFS(T_TTAFStock[TTAF_Qty],T_TTAFStock[RM_Code],$A45,T_TTAFStock[WeekIndex],50),AX45+'Grid_Incoming'!AY45-'Grid_Requirement'!AY45))</f>
        <v/>
      </c>
      <c r="AZ45">
        <f>IF(COUNTIFS(T_StockCount[RM_Code],$A45,T_StockCount[WeekIndex],51)&gt;0,SUMIFS(T_StockCount[CountedQty],T_StockCount[RM_Code],$A45,T_StockCount[WeekIndex],51),IF((COUNTIFS(T_SelfStock[RM_Code],$A45,T_SelfStock[WeekIndex],51)&gt;0)*(COUNTIFS(T_TTAFStock[RM_Code],$A45,T_TTAFStock[WeekIndex],51)&gt;0)&gt;0,SUMIFS(T_SelfStock[Self_Qty],T_SelfStock[RM_Code],$A45,T_SelfStock[WeekIndex],51)+SUMIFS(T_TTAFStock[TTAF_Qty],T_TTAFStock[RM_Code],$A45,T_TTAFStock[WeekIndex],51),AY45+'Grid_Incoming'!AZ45-'Grid_Requirement'!AZ45))</f>
        <v/>
      </c>
      <c r="BA45">
        <f>IF(COUNTIFS(T_StockCount[RM_Code],$A45,T_StockCount[WeekIndex],52)&gt;0,SUMIFS(T_StockCount[CountedQty],T_StockCount[RM_Code],$A45,T_StockCount[WeekIndex],52),IF((COUNTIFS(T_SelfStock[RM_Code],$A45,T_SelfStock[WeekIndex],52)&gt;0)*(COUNTIFS(T_TTAFStock[RM_Code],$A45,T_TTAFStock[WeekIndex],52)&gt;0)&gt;0,SUMIFS(T_SelfStock[Self_Qty],T_SelfStock[RM_Code],$A45,T_SelfStock[WeekIndex],52)+SUMIFS(T_TTAFStock[TTAF_Qty],T_TTAFStock[RM_Code],$A45,T_TTAFStock[WeekIndex],52),AZ45+'Grid_Incoming'!BA45-'Grid_Requirement'!BA45))</f>
        <v/>
      </c>
      <c r="BB45">
        <f>IF(COUNTIFS(T_StockCount[RM_Code],$A45,T_StockCount[WeekIndex],53)&gt;0,SUMIFS(T_StockCount[CountedQty],T_StockCount[RM_Code],$A45,T_StockCount[WeekIndex],53),IF((COUNTIFS(T_SelfStock[RM_Code],$A45,T_SelfStock[WeekIndex],53)&gt;0)*(COUNTIFS(T_TTAFStock[RM_Code],$A45,T_TTAFStock[WeekIndex],53)&gt;0)&gt;0,SUMIFS(T_SelfStock[Self_Qty],T_SelfStock[RM_Code],$A45,T_SelfStock[WeekIndex],53)+SUMIFS(T_TTAFStock[TTAF_Qty],T_TTAFStock[RM_Code],$A45,T_TTAFStock[WeekIndex],53),BA45+'Grid_Incoming'!BB45-'Grid_Requirement'!BB45))</f>
        <v/>
      </c>
      <c r="BC45">
        <f>IF(COUNTIFS(T_StockCount[RM_Code],$A45,T_StockCount[WeekIndex],54)&gt;0,SUMIFS(T_StockCount[CountedQty],T_StockCount[RM_Code],$A45,T_StockCount[WeekIndex],54),IF((COUNTIFS(T_SelfStock[RM_Code],$A45,T_SelfStock[WeekIndex],54)&gt;0)*(COUNTIFS(T_TTAFStock[RM_Code],$A45,T_TTAFStock[WeekIndex],54)&gt;0)&gt;0,SUMIFS(T_SelfStock[Self_Qty],T_SelfStock[RM_Code],$A45,T_SelfStock[WeekIndex],54)+SUMIFS(T_TTAFStock[TTAF_Qty],T_TTAFStock[RM_Code],$A45,T_TTAFStock[WeekIndex],54),BB45+'Grid_Incoming'!BC45-'Grid_Requirement'!BC45))</f>
        <v/>
      </c>
      <c r="BD45">
        <f>IF(COUNTIFS(T_StockCount[RM_Code],$A45,T_StockCount[WeekIndex],55)&gt;0,SUMIFS(T_StockCount[CountedQty],T_StockCount[RM_Code],$A45,T_StockCount[WeekIndex],55),IF((COUNTIFS(T_SelfStock[RM_Code],$A45,T_SelfStock[WeekIndex],55)&gt;0)*(COUNTIFS(T_TTAFStock[RM_Code],$A45,T_TTAFStock[WeekIndex],55)&gt;0)&gt;0,SUMIFS(T_SelfStock[Self_Qty],T_SelfStock[RM_Code],$A45,T_SelfStock[WeekIndex],55)+SUMIFS(T_TTAFStock[TTAF_Qty],T_TTAFStock[RM_Code],$A45,T_TTAFStock[WeekIndex],55),BC45+'Grid_Incoming'!BD45-'Grid_Requirement'!BD45))</f>
        <v/>
      </c>
      <c r="BE45">
        <f>IF(COUNTIFS(T_StockCount[RM_Code],$A45,T_StockCount[WeekIndex],56)&gt;0,SUMIFS(T_StockCount[CountedQty],T_StockCount[RM_Code],$A45,T_StockCount[WeekIndex],56),IF((COUNTIFS(T_SelfStock[RM_Code],$A45,T_SelfStock[WeekIndex],56)&gt;0)*(COUNTIFS(T_TTAFStock[RM_Code],$A45,T_TTAFStock[WeekIndex],56)&gt;0)&gt;0,SUMIFS(T_SelfStock[Self_Qty],T_SelfStock[RM_Code],$A45,T_SelfStock[WeekIndex],56)+SUMIFS(T_TTAFStock[TTAF_Qty],T_TTAFStock[RM_Code],$A45,T_TTAFStock[WeekIndex],56),BD45+'Grid_Incoming'!BE45-'Grid_Requirement'!BE45))</f>
        <v/>
      </c>
      <c r="BF45">
        <f>IF(COUNTIFS(T_StockCount[RM_Code],$A45,T_StockCount[WeekIndex],57)&gt;0,SUMIFS(T_StockCount[CountedQty],T_StockCount[RM_Code],$A45,T_StockCount[WeekIndex],57),IF((COUNTIFS(T_SelfStock[RM_Code],$A45,T_SelfStock[WeekIndex],57)&gt;0)*(COUNTIFS(T_TTAFStock[RM_Code],$A45,T_TTAFStock[WeekIndex],57)&gt;0)&gt;0,SUMIFS(T_SelfStock[Self_Qty],T_SelfStock[RM_Code],$A45,T_SelfStock[WeekIndex],57)+SUMIFS(T_TTAFStock[TTAF_Qty],T_TTAFStock[RM_Code],$A45,T_TTAFStock[WeekIndex],57),BE45+'Grid_Incoming'!BF45-'Grid_Requirement'!BF45))</f>
        <v/>
      </c>
      <c r="BG45">
        <f>IF(COUNTIFS(T_StockCount[RM_Code],$A45,T_StockCount[WeekIndex],58)&gt;0,SUMIFS(T_StockCount[CountedQty],T_StockCount[RM_Code],$A45,T_StockCount[WeekIndex],58),IF((COUNTIFS(T_SelfStock[RM_Code],$A45,T_SelfStock[WeekIndex],58)&gt;0)*(COUNTIFS(T_TTAFStock[RM_Code],$A45,T_TTAFStock[WeekIndex],58)&gt;0)&gt;0,SUMIFS(T_SelfStock[Self_Qty],T_SelfStock[RM_Code],$A45,T_SelfStock[WeekIndex],58)+SUMIFS(T_TTAFStock[TTAF_Qty],T_TTAFStock[RM_Code],$A45,T_TTAFStock[WeekIndex],58),BF45+'Grid_Incoming'!BG45-'Grid_Requirement'!BG45))</f>
        <v/>
      </c>
      <c r="BH45">
        <f>IF(COUNTIFS(T_StockCount[RM_Code],$A45,T_StockCount[WeekIndex],59)&gt;0,SUMIFS(T_StockCount[CountedQty],T_StockCount[RM_Code],$A45,T_StockCount[WeekIndex],59),IF((COUNTIFS(T_SelfStock[RM_Code],$A45,T_SelfStock[WeekIndex],59)&gt;0)*(COUNTIFS(T_TTAFStock[RM_Code],$A45,T_TTAFStock[WeekIndex],59)&gt;0)&gt;0,SUMIFS(T_SelfStock[Self_Qty],T_SelfStock[RM_Code],$A45,T_SelfStock[WeekIndex],59)+SUMIFS(T_TTAFStock[TTAF_Qty],T_TTAFStock[RM_Code],$A45,T_TTAFStock[WeekIndex],59),BG45+'Grid_Incoming'!BH45-'Grid_Requirement'!BH45))</f>
        <v/>
      </c>
      <c r="BI45">
        <f>IF(COUNTIFS(T_StockCount[RM_Code],$A45,T_StockCount[WeekIndex],60)&gt;0,SUMIFS(T_StockCount[CountedQty],T_StockCount[RM_Code],$A45,T_StockCount[WeekIndex],60),IF((COUNTIFS(T_SelfStock[RM_Code],$A45,T_SelfStock[WeekIndex],60)&gt;0)*(COUNTIFS(T_TTAFStock[RM_Code],$A45,T_TTAFStock[WeekIndex],60)&gt;0)&gt;0,SUMIFS(T_SelfStock[Self_Qty],T_SelfStock[RM_Code],$A45,T_SelfStock[WeekIndex],60)+SUMIFS(T_TTAFStock[TTAF_Qty],T_TTAFStock[RM_Code],$A45,T_TTAFStock[WeekIndex],60),BH45+'Grid_Incoming'!BI45-'Grid_Requirement'!BI45))</f>
        <v/>
      </c>
      <c r="BJ45">
        <f>IF(COUNTIFS(T_StockCount[RM_Code],$A45,T_StockCount[WeekIndex],61)&gt;0,SUMIFS(T_StockCount[CountedQty],T_StockCount[RM_Code],$A45,T_StockCount[WeekIndex],61),IF((COUNTIFS(T_SelfStock[RM_Code],$A45,T_SelfStock[WeekIndex],61)&gt;0)*(COUNTIFS(T_TTAFStock[RM_Code],$A45,T_TTAFStock[WeekIndex],61)&gt;0)&gt;0,SUMIFS(T_SelfStock[Self_Qty],T_SelfStock[RM_Code],$A45,T_SelfStock[WeekIndex],61)+SUMIFS(T_TTAFStock[TTAF_Qty],T_TTAFStock[RM_Code],$A45,T_TTAFStock[WeekIndex],61),BI45+'Grid_Incoming'!BJ45-'Grid_Requirement'!BJ45))</f>
        <v/>
      </c>
      <c r="BK45">
        <f>IF(COUNTIFS(T_StockCount[RM_Code],$A45,T_StockCount[WeekIndex],62)&gt;0,SUMIFS(T_StockCount[CountedQty],T_StockCount[RM_Code],$A45,T_StockCount[WeekIndex],62),IF((COUNTIFS(T_SelfStock[RM_Code],$A45,T_SelfStock[WeekIndex],62)&gt;0)*(COUNTIFS(T_TTAFStock[RM_Code],$A45,T_TTAFStock[WeekIndex],62)&gt;0)&gt;0,SUMIFS(T_SelfStock[Self_Qty],T_SelfStock[RM_Code],$A45,T_SelfStock[WeekIndex],62)+SUMIFS(T_TTAFStock[TTAF_Qty],T_TTAFStock[RM_Code],$A45,T_TTAFStock[WeekIndex],62),BJ45+'Grid_Incoming'!BK45-'Grid_Requirement'!BK45))</f>
        <v/>
      </c>
      <c r="BL45">
        <f>IF(COUNTIFS(T_StockCount[RM_Code],$A45,T_StockCount[WeekIndex],63)&gt;0,SUMIFS(T_StockCount[CountedQty],T_StockCount[RM_Code],$A45,T_StockCount[WeekIndex],63),IF((COUNTIFS(T_SelfStock[RM_Code],$A45,T_SelfStock[WeekIndex],63)&gt;0)*(COUNTIFS(T_TTAFStock[RM_Code],$A45,T_TTAFStock[WeekIndex],63)&gt;0)&gt;0,SUMIFS(T_SelfStock[Self_Qty],T_SelfStock[RM_Code],$A45,T_SelfStock[WeekIndex],63)+SUMIFS(T_TTAFStock[TTAF_Qty],T_TTAFStock[RM_Code],$A45,T_TTAFStock[WeekIndex],63),BK45+'Grid_Incoming'!BL45-'Grid_Requirement'!BL45))</f>
        <v/>
      </c>
      <c r="BM45">
        <f>IF(COUNTIFS(T_StockCount[RM_Code],$A45,T_StockCount[WeekIndex],64)&gt;0,SUMIFS(T_StockCount[CountedQty],T_StockCount[RM_Code],$A45,T_StockCount[WeekIndex],64),IF((COUNTIFS(T_SelfStock[RM_Code],$A45,T_SelfStock[WeekIndex],64)&gt;0)*(COUNTIFS(T_TTAFStock[RM_Code],$A45,T_TTAFStock[WeekIndex],64)&gt;0)&gt;0,SUMIFS(T_SelfStock[Self_Qty],T_SelfStock[RM_Code],$A45,T_SelfStock[WeekIndex],64)+SUMIFS(T_TTAFStock[TTAF_Qty],T_TTAFStock[RM_Code],$A45,T_TTAFStock[WeekIndex],64),BL45+'Grid_Incoming'!BM45-'Grid_Requirement'!BM45))</f>
        <v/>
      </c>
      <c r="BN45">
        <f>IF(COUNTIFS(T_StockCount[RM_Code],$A45,T_StockCount[WeekIndex],65)&gt;0,SUMIFS(T_StockCount[CountedQty],T_StockCount[RM_Code],$A45,T_StockCount[WeekIndex],65),IF((COUNTIFS(T_SelfStock[RM_Code],$A45,T_SelfStock[WeekIndex],65)&gt;0)*(COUNTIFS(T_TTAFStock[RM_Code],$A45,T_TTAFStock[WeekIndex],65)&gt;0)&gt;0,SUMIFS(T_SelfStock[Self_Qty],T_SelfStock[RM_Code],$A45,T_SelfStock[WeekIndex],65)+SUMIFS(T_TTAFStock[TTAF_Qty],T_TTAFStock[RM_Code],$A45,T_TTAFStock[WeekIndex],65),BM45+'Grid_Incoming'!BN45-'Grid_Requirement'!BN45))</f>
        <v/>
      </c>
      <c r="BO45">
        <f>IF(COUNTIFS(T_StockCount[RM_Code],$A45,T_StockCount[WeekIndex],66)&gt;0,SUMIFS(T_StockCount[CountedQty],T_StockCount[RM_Code],$A45,T_StockCount[WeekIndex],66),IF((COUNTIFS(T_SelfStock[RM_Code],$A45,T_SelfStock[WeekIndex],66)&gt;0)*(COUNTIFS(T_TTAFStock[RM_Code],$A45,T_TTAFStock[WeekIndex],66)&gt;0)&gt;0,SUMIFS(T_SelfStock[Self_Qty],T_SelfStock[RM_Code],$A45,T_SelfStock[WeekIndex],66)+SUMIFS(T_TTAFStock[TTAF_Qty],T_TTAFStock[RM_Code],$A45,T_TTAFStock[WeekIndex],66),BN45+'Grid_Incoming'!BO45-'Grid_Requirement'!BO45))</f>
        <v/>
      </c>
      <c r="BP45">
        <f>IF(COUNTIFS(T_StockCount[RM_Code],$A45,T_StockCount[WeekIndex],67)&gt;0,SUMIFS(T_StockCount[CountedQty],T_StockCount[RM_Code],$A45,T_StockCount[WeekIndex],67),IF((COUNTIFS(T_SelfStock[RM_Code],$A45,T_SelfStock[WeekIndex],67)&gt;0)*(COUNTIFS(T_TTAFStock[RM_Code],$A45,T_TTAFStock[WeekIndex],67)&gt;0)&gt;0,SUMIFS(T_SelfStock[Self_Qty],T_SelfStock[RM_Code],$A45,T_SelfStock[WeekIndex],67)+SUMIFS(T_TTAFStock[TTAF_Qty],T_TTAFStock[RM_Code],$A45,T_TTAFStock[WeekIndex],67),BO45+'Grid_Incoming'!BP45-'Grid_Requirement'!BP45))</f>
        <v/>
      </c>
      <c r="BQ45">
        <f>IF(COUNTIFS(T_StockCount[RM_Code],$A45,T_StockCount[WeekIndex],68)&gt;0,SUMIFS(T_StockCount[CountedQty],T_StockCount[RM_Code],$A45,T_StockCount[WeekIndex],68),IF((COUNTIFS(T_SelfStock[RM_Code],$A45,T_SelfStock[WeekIndex],68)&gt;0)*(COUNTIFS(T_TTAFStock[RM_Code],$A45,T_TTAFStock[WeekIndex],68)&gt;0)&gt;0,SUMIFS(T_SelfStock[Self_Qty],T_SelfStock[RM_Code],$A45,T_SelfStock[WeekIndex],68)+SUMIFS(T_TTAFStock[TTAF_Qty],T_TTAFStock[RM_Code],$A45,T_TTAFStock[WeekIndex],68),BP45+'Grid_Incoming'!BQ45-'Grid_Requirement'!BQ45))</f>
        <v/>
      </c>
      <c r="BR45">
        <f>IF(COUNTIFS(T_StockCount[RM_Code],$A45,T_StockCount[WeekIndex],69)&gt;0,SUMIFS(T_StockCount[CountedQty],T_StockCount[RM_Code],$A45,T_StockCount[WeekIndex],69),IF((COUNTIFS(T_SelfStock[RM_Code],$A45,T_SelfStock[WeekIndex],69)&gt;0)*(COUNTIFS(T_TTAFStock[RM_Code],$A45,T_TTAFStock[WeekIndex],69)&gt;0)&gt;0,SUMIFS(T_SelfStock[Self_Qty],T_SelfStock[RM_Code],$A45,T_SelfStock[WeekIndex],69)+SUMIFS(T_TTAFStock[TTAF_Qty],T_TTAFStock[RM_Code],$A45,T_TTAFStock[WeekIndex],69),BQ45+'Grid_Incoming'!BR45-'Grid_Requirement'!BR45))</f>
        <v/>
      </c>
      <c r="BS45">
        <f>IF(COUNTIFS(T_StockCount[RM_Code],$A45,T_StockCount[WeekIndex],70)&gt;0,SUMIFS(T_StockCount[CountedQty],T_StockCount[RM_Code],$A45,T_StockCount[WeekIndex],70),IF((COUNTIFS(T_SelfStock[RM_Code],$A45,T_SelfStock[WeekIndex],70)&gt;0)*(COUNTIFS(T_TTAFStock[RM_Code],$A45,T_TTAFStock[WeekIndex],70)&gt;0)&gt;0,SUMIFS(T_SelfStock[Self_Qty],T_SelfStock[RM_Code],$A45,T_SelfStock[WeekIndex],70)+SUMIFS(T_TTAFStock[TTAF_Qty],T_TTAFStock[RM_Code],$A45,T_TTAFStock[WeekIndex],70),BR45+'Grid_Incoming'!BS45-'Grid_Requirement'!BS45))</f>
        <v/>
      </c>
      <c r="BT45">
        <f>IF(COUNTIFS(T_StockCount[RM_Code],$A45,T_StockCount[WeekIndex],71)&gt;0,SUMIFS(T_StockCount[CountedQty],T_StockCount[RM_Code],$A45,T_StockCount[WeekIndex],71),IF((COUNTIFS(T_SelfStock[RM_Code],$A45,T_SelfStock[WeekIndex],71)&gt;0)*(COUNTIFS(T_TTAFStock[RM_Code],$A45,T_TTAFStock[WeekIndex],71)&gt;0)&gt;0,SUMIFS(T_SelfStock[Self_Qty],T_SelfStock[RM_Code],$A45,T_SelfStock[WeekIndex],71)+SUMIFS(T_TTAFStock[TTAF_Qty],T_TTAFStock[RM_Code],$A45,T_TTAFStock[WeekIndex],71),BS45+'Grid_Incoming'!BT45-'Grid_Requirement'!BT45))</f>
        <v/>
      </c>
      <c r="BU45">
        <f>IF(COUNTIFS(T_StockCount[RM_Code],$A45,T_StockCount[WeekIndex],72)&gt;0,SUMIFS(T_StockCount[CountedQty],T_StockCount[RM_Code],$A45,T_StockCount[WeekIndex],72),IF((COUNTIFS(T_SelfStock[RM_Code],$A45,T_SelfStock[WeekIndex],72)&gt;0)*(COUNTIFS(T_TTAFStock[RM_Code],$A45,T_TTAFStock[WeekIndex],72)&gt;0)&gt;0,SUMIFS(T_SelfStock[Self_Qty],T_SelfStock[RM_Code],$A45,T_SelfStock[WeekIndex],72)+SUMIFS(T_TTAFStock[TTAF_Qty],T_TTAFStock[RM_Code],$A45,T_TTAFStock[WeekIndex],72),BT45+'Grid_Incoming'!BU45-'Grid_Requirement'!BU45))</f>
        <v/>
      </c>
      <c r="BV45">
        <f>IF(COUNTIFS(T_StockCount[RM_Code],$A45,T_StockCount[WeekIndex],73)&gt;0,SUMIFS(T_StockCount[CountedQty],T_StockCount[RM_Code],$A45,T_StockCount[WeekIndex],73),IF((COUNTIFS(T_SelfStock[RM_Code],$A45,T_SelfStock[WeekIndex],73)&gt;0)*(COUNTIFS(T_TTAFStock[RM_Code],$A45,T_TTAFStock[WeekIndex],73)&gt;0)&gt;0,SUMIFS(T_SelfStock[Self_Qty],T_SelfStock[RM_Code],$A45,T_SelfStock[WeekIndex],73)+SUMIFS(T_TTAFStock[TTAF_Qty],T_TTAFStock[RM_Code],$A45,T_TTAFStock[WeekIndex],73),BU45+'Grid_Incoming'!BV45-'Grid_Requirement'!BV45))</f>
        <v/>
      </c>
      <c r="BW45">
        <f>IF(COUNTIFS(T_StockCount[RM_Code],$A45,T_StockCount[WeekIndex],74)&gt;0,SUMIFS(T_StockCount[CountedQty],T_StockCount[RM_Code],$A45,T_StockCount[WeekIndex],74),IF((COUNTIFS(T_SelfStock[RM_Code],$A45,T_SelfStock[WeekIndex],74)&gt;0)*(COUNTIFS(T_TTAFStock[RM_Code],$A45,T_TTAFStock[WeekIndex],74)&gt;0)&gt;0,SUMIFS(T_SelfStock[Self_Qty],T_SelfStock[RM_Code],$A45,T_SelfStock[WeekIndex],74)+SUMIFS(T_TTAFStock[TTAF_Qty],T_TTAFStock[RM_Code],$A45,T_TTAFStock[WeekIndex],74),BV45+'Grid_Incoming'!BW45-'Grid_Requirement'!BW45))</f>
        <v/>
      </c>
      <c r="BX45">
        <f>IF(COUNTIFS(T_StockCount[RM_Code],$A45,T_StockCount[WeekIndex],75)&gt;0,SUMIFS(T_StockCount[CountedQty],T_StockCount[RM_Code],$A45,T_StockCount[WeekIndex],75),IF((COUNTIFS(T_SelfStock[RM_Code],$A45,T_SelfStock[WeekIndex],75)&gt;0)*(COUNTIFS(T_TTAFStock[RM_Code],$A45,T_TTAFStock[WeekIndex],75)&gt;0)&gt;0,SUMIFS(T_SelfStock[Self_Qty],T_SelfStock[RM_Code],$A45,T_SelfStock[WeekIndex],75)+SUMIFS(T_TTAFStock[TTAF_Qty],T_TTAFStock[RM_Code],$A45,T_TTAFStock[WeekIndex],75),BW45+'Grid_Incoming'!BX45-'Grid_Requirement'!BX45))</f>
        <v/>
      </c>
      <c r="BY45">
        <f>IF(COUNTIFS(T_StockCount[RM_Code],$A45,T_StockCount[WeekIndex],76)&gt;0,SUMIFS(T_StockCount[CountedQty],T_StockCount[RM_Code],$A45,T_StockCount[WeekIndex],76),IF((COUNTIFS(T_SelfStock[RM_Code],$A45,T_SelfStock[WeekIndex],76)&gt;0)*(COUNTIFS(T_TTAFStock[RM_Code],$A45,T_TTAFStock[WeekIndex],76)&gt;0)&gt;0,SUMIFS(T_SelfStock[Self_Qty],T_SelfStock[RM_Code],$A45,T_SelfStock[WeekIndex],76)+SUMIFS(T_TTAFStock[TTAF_Qty],T_TTAFStock[RM_Code],$A45,T_TTAFStock[WeekIndex],76),BX45+'Grid_Incoming'!BY45-'Grid_Requirement'!BY45))</f>
        <v/>
      </c>
      <c r="BZ45">
        <f>IF(COUNTIFS(T_StockCount[RM_Code],$A45,T_StockCount[WeekIndex],77)&gt;0,SUMIFS(T_StockCount[CountedQty],T_StockCount[RM_Code],$A45,T_StockCount[WeekIndex],77),IF((COUNTIFS(T_SelfStock[RM_Code],$A45,T_SelfStock[WeekIndex],77)&gt;0)*(COUNTIFS(T_TTAFStock[RM_Code],$A45,T_TTAFStock[WeekIndex],77)&gt;0)&gt;0,SUMIFS(T_SelfStock[Self_Qty],T_SelfStock[RM_Code],$A45,T_SelfStock[WeekIndex],77)+SUMIFS(T_TTAFStock[TTAF_Qty],T_TTAFStock[RM_Code],$A45,T_TTAFStock[WeekIndex],77),BY45+'Grid_Incoming'!BZ45-'Grid_Requirement'!BZ45))</f>
        <v/>
      </c>
      <c r="CA45">
        <f>IF(COUNTIFS(T_StockCount[RM_Code],$A45,T_StockCount[WeekIndex],78)&gt;0,SUMIFS(T_StockCount[CountedQty],T_StockCount[RM_Code],$A45,T_StockCount[WeekIndex],78),IF((COUNTIFS(T_SelfStock[RM_Code],$A45,T_SelfStock[WeekIndex],78)&gt;0)*(COUNTIFS(T_TTAFStock[RM_Code],$A45,T_TTAFStock[WeekIndex],78)&gt;0)&gt;0,SUMIFS(T_SelfStock[Self_Qty],T_SelfStock[RM_Code],$A45,T_SelfStock[WeekIndex],78)+SUMIFS(T_TTAFStock[TTAF_Qty],T_TTAFStock[RM_Code],$A45,T_TTAFStock[WeekIndex],78),BZ45+'Grid_Incoming'!CA45-'Grid_Requirement'!CA45))</f>
        <v/>
      </c>
      <c r="CB45">
        <f>IF(COUNTIFS(T_StockCount[RM_Code],$A45,T_StockCount[WeekIndex],79)&gt;0,SUMIFS(T_StockCount[CountedQty],T_StockCount[RM_Code],$A45,T_StockCount[WeekIndex],79),IF((COUNTIFS(T_SelfStock[RM_Code],$A45,T_SelfStock[WeekIndex],79)&gt;0)*(COUNTIFS(T_TTAFStock[RM_Code],$A45,T_TTAFStock[WeekIndex],79)&gt;0)&gt;0,SUMIFS(T_SelfStock[Self_Qty],T_SelfStock[RM_Code],$A45,T_SelfStock[WeekIndex],79)+SUMIFS(T_TTAFStock[TTAF_Qty],T_TTAFStock[RM_Code],$A45,T_TTAFStock[WeekIndex],79),CA45+'Grid_Incoming'!CB45-'Grid_Requirement'!CB45))</f>
        <v/>
      </c>
      <c r="CC45">
        <f>IF(COUNTIFS(T_StockCount[RM_Code],$A45,T_StockCount[WeekIndex],80)&gt;0,SUMIFS(T_StockCount[CountedQty],T_StockCount[RM_Code],$A45,T_StockCount[WeekIndex],80),IF((COUNTIFS(T_SelfStock[RM_Code],$A45,T_SelfStock[WeekIndex],80)&gt;0)*(COUNTIFS(T_TTAFStock[RM_Code],$A45,T_TTAFStock[WeekIndex],80)&gt;0)&gt;0,SUMIFS(T_SelfStock[Self_Qty],T_SelfStock[RM_Code],$A45,T_SelfStock[WeekIndex],80)+SUMIFS(T_TTAFStock[TTAF_Qty],T_TTAFStock[RM_Code],$A45,T_TTAFStock[WeekIndex],80),CB45+'Grid_Incoming'!CC45-'Grid_Requirement'!CC45))</f>
        <v/>
      </c>
      <c r="CD45">
        <f>IF(COUNTIFS(T_StockCount[RM_Code],$A45,T_StockCount[WeekIndex],81)&gt;0,SUMIFS(T_StockCount[CountedQty],T_StockCount[RM_Code],$A45,T_StockCount[WeekIndex],81),IF((COUNTIFS(T_SelfStock[RM_Code],$A45,T_SelfStock[WeekIndex],81)&gt;0)*(COUNTIFS(T_TTAFStock[RM_Code],$A45,T_TTAFStock[WeekIndex],81)&gt;0)&gt;0,SUMIFS(T_SelfStock[Self_Qty],T_SelfStock[RM_Code],$A45,T_SelfStock[WeekIndex],81)+SUMIFS(T_TTAFStock[TTAF_Qty],T_TTAFStock[RM_Code],$A45,T_TTAFStock[WeekIndex],81),CC45+'Grid_Incoming'!CD45-'Grid_Requirement'!CD45))</f>
        <v/>
      </c>
      <c r="CE45">
        <f>IF(COUNTIFS(T_StockCount[RM_Code],$A45,T_StockCount[WeekIndex],82)&gt;0,SUMIFS(T_StockCount[CountedQty],T_StockCount[RM_Code],$A45,T_StockCount[WeekIndex],82),IF((COUNTIFS(T_SelfStock[RM_Code],$A45,T_SelfStock[WeekIndex],82)&gt;0)*(COUNTIFS(T_TTAFStock[RM_Code],$A45,T_TTAFStock[WeekIndex],82)&gt;0)&gt;0,SUMIFS(T_SelfStock[Self_Qty],T_SelfStock[RM_Code],$A45,T_SelfStock[WeekIndex],82)+SUMIFS(T_TTAFStock[TTAF_Qty],T_TTAFStock[RM_Code],$A45,T_TTAFStock[WeekIndex],82),CD45+'Grid_Incoming'!CE45-'Grid_Requirement'!CE45))</f>
        <v/>
      </c>
      <c r="CF45">
        <f>IF(COUNTIFS(T_StockCount[RM_Code],$A45,T_StockCount[WeekIndex],83)&gt;0,SUMIFS(T_StockCount[CountedQty],T_StockCount[RM_Code],$A45,T_StockCount[WeekIndex],83),IF((COUNTIFS(T_SelfStock[RM_Code],$A45,T_SelfStock[WeekIndex],83)&gt;0)*(COUNTIFS(T_TTAFStock[RM_Code],$A45,T_TTAFStock[WeekIndex],83)&gt;0)&gt;0,SUMIFS(T_SelfStock[Self_Qty],T_SelfStock[RM_Code],$A45,T_SelfStock[WeekIndex],83)+SUMIFS(T_TTAFStock[TTAF_Qty],T_TTAFStock[RM_Code],$A45,T_TTAFStock[WeekIndex],83),CE45+'Grid_Incoming'!CF45-'Grid_Requirement'!CF45))</f>
        <v/>
      </c>
      <c r="CG45">
        <f>IF(COUNTIFS(T_StockCount[RM_Code],$A45,T_StockCount[WeekIndex],84)&gt;0,SUMIFS(T_StockCount[CountedQty],T_StockCount[RM_Code],$A45,T_StockCount[WeekIndex],84),IF((COUNTIFS(T_SelfStock[RM_Code],$A45,T_SelfStock[WeekIndex],84)&gt;0)*(COUNTIFS(T_TTAFStock[RM_Code],$A45,T_TTAFStock[WeekIndex],84)&gt;0)&gt;0,SUMIFS(T_SelfStock[Self_Qty],T_SelfStock[RM_Code],$A45,T_SelfStock[WeekIndex],84)+SUMIFS(T_TTAFStock[TTAF_Qty],T_TTAFStock[RM_Code],$A45,T_TTAFStock[WeekIndex],84),CF45+'Grid_Incoming'!CG45-'Grid_Requirement'!CG45))</f>
        <v/>
      </c>
      <c r="CH45">
        <f>IF(COUNTIFS(T_StockCount[RM_Code],$A45,T_StockCount[WeekIndex],85)&gt;0,SUMIFS(T_StockCount[CountedQty],T_StockCount[RM_Code],$A45,T_StockCount[WeekIndex],85),IF((COUNTIFS(T_SelfStock[RM_Code],$A45,T_SelfStock[WeekIndex],85)&gt;0)*(COUNTIFS(T_TTAFStock[RM_Code],$A45,T_TTAFStock[WeekIndex],85)&gt;0)&gt;0,SUMIFS(T_SelfStock[Self_Qty],T_SelfStock[RM_Code],$A45,T_SelfStock[WeekIndex],85)+SUMIFS(T_TTAFStock[TTAF_Qty],T_TTAFStock[RM_Code],$A45,T_TTAFStock[WeekIndex],85),CG45+'Grid_Incoming'!CH45-'Grid_Requirement'!CH45))</f>
        <v/>
      </c>
      <c r="CI45">
        <f>IF(COUNTIFS(T_StockCount[RM_Code],$A45,T_StockCount[WeekIndex],86)&gt;0,SUMIFS(T_StockCount[CountedQty],T_StockCount[RM_Code],$A45,T_StockCount[WeekIndex],86),IF((COUNTIFS(T_SelfStock[RM_Code],$A45,T_SelfStock[WeekIndex],86)&gt;0)*(COUNTIFS(T_TTAFStock[RM_Code],$A45,T_TTAFStock[WeekIndex],86)&gt;0)&gt;0,SUMIFS(T_SelfStock[Self_Qty],T_SelfStock[RM_Code],$A45,T_SelfStock[WeekIndex],86)+SUMIFS(T_TTAFStock[TTAF_Qty],T_TTAFStock[RM_Code],$A45,T_TTAFStock[WeekIndex],86),CH45+'Grid_Incoming'!CI45-'Grid_Requirement'!CI45))</f>
        <v/>
      </c>
      <c r="CJ45">
        <f>IF(COUNTIFS(T_StockCount[RM_Code],$A45,T_StockCount[WeekIndex],87)&gt;0,SUMIFS(T_StockCount[CountedQty],T_StockCount[RM_Code],$A45,T_StockCount[WeekIndex],87),IF((COUNTIFS(T_SelfStock[RM_Code],$A45,T_SelfStock[WeekIndex],87)&gt;0)*(COUNTIFS(T_TTAFStock[RM_Code],$A45,T_TTAFStock[WeekIndex],87)&gt;0)&gt;0,SUMIFS(T_SelfStock[Self_Qty],T_SelfStock[RM_Code],$A45,T_SelfStock[WeekIndex],87)+SUMIFS(T_TTAFStock[TTAF_Qty],T_TTAFStock[RM_Code],$A45,T_TTAFStock[WeekIndex],87),CI45+'Grid_Incoming'!CJ45-'Grid_Requirement'!CJ45))</f>
        <v/>
      </c>
      <c r="CK45">
        <f>IF(COUNTIFS(T_StockCount[RM_Code],$A45,T_StockCount[WeekIndex],88)&gt;0,SUMIFS(T_StockCount[CountedQty],T_StockCount[RM_Code],$A45,T_StockCount[WeekIndex],88),IF((COUNTIFS(T_SelfStock[RM_Code],$A45,T_SelfStock[WeekIndex],88)&gt;0)*(COUNTIFS(T_TTAFStock[RM_Code],$A45,T_TTAFStock[WeekIndex],88)&gt;0)&gt;0,SUMIFS(T_SelfStock[Self_Qty],T_SelfStock[RM_Code],$A45,T_SelfStock[WeekIndex],88)+SUMIFS(T_TTAFStock[TTAF_Qty],T_TTAFStock[RM_Code],$A45,T_TTAFStock[WeekIndex],88),CJ45+'Grid_Incoming'!CK45-'Grid_Requirement'!CK45))</f>
        <v/>
      </c>
      <c r="CL45">
        <f>IF(COUNTIFS(T_StockCount[RM_Code],$A45,T_StockCount[WeekIndex],89)&gt;0,SUMIFS(T_StockCount[CountedQty],T_StockCount[RM_Code],$A45,T_StockCount[WeekIndex],89),IF((COUNTIFS(T_SelfStock[RM_Code],$A45,T_SelfStock[WeekIndex],89)&gt;0)*(COUNTIFS(T_TTAFStock[RM_Code],$A45,T_TTAFStock[WeekIndex],89)&gt;0)&gt;0,SUMIFS(T_SelfStock[Self_Qty],T_SelfStock[RM_Code],$A45,T_SelfStock[WeekIndex],89)+SUMIFS(T_TTAFStock[TTAF_Qty],T_TTAFStock[RM_Code],$A45,T_TTAFStock[WeekIndex],89),CK45+'Grid_Incoming'!CL45-'Grid_Requirement'!CL45))</f>
        <v/>
      </c>
      <c r="CM45">
        <f>IF(COUNTIFS(T_StockCount[RM_Code],$A45,T_StockCount[WeekIndex],90)&gt;0,SUMIFS(T_StockCount[CountedQty],T_StockCount[RM_Code],$A45,T_StockCount[WeekIndex],90),IF((COUNTIFS(T_SelfStock[RM_Code],$A45,T_SelfStock[WeekIndex],90)&gt;0)*(COUNTIFS(T_TTAFStock[RM_Code],$A45,T_TTAFStock[WeekIndex],90)&gt;0)&gt;0,SUMIFS(T_SelfStock[Self_Qty],T_SelfStock[RM_Code],$A45,T_SelfStock[WeekIndex],90)+SUMIFS(T_TTAFStock[TTAF_Qty],T_TTAFStock[RM_Code],$A45,T_TTAFStock[WeekIndex],90),CL45+'Grid_Incoming'!CM45-'Grid_Requirement'!CM45))</f>
        <v/>
      </c>
      <c r="CN45">
        <f>IF(COUNTIFS(T_StockCount[RM_Code],$A45,T_StockCount[WeekIndex],91)&gt;0,SUMIFS(T_StockCount[CountedQty],T_StockCount[RM_Code],$A45,T_StockCount[WeekIndex],91),IF((COUNTIFS(T_SelfStock[RM_Code],$A45,T_SelfStock[WeekIndex],91)&gt;0)*(COUNTIFS(T_TTAFStock[RM_Code],$A45,T_TTAFStock[WeekIndex],91)&gt;0)&gt;0,SUMIFS(T_SelfStock[Self_Qty],T_SelfStock[RM_Code],$A45,T_SelfStock[WeekIndex],91)+SUMIFS(T_TTAFStock[TTAF_Qty],T_TTAFStock[RM_Code],$A45,T_TTAFStock[WeekIndex],91),CM45+'Grid_Incoming'!CN45-'Grid_Requirement'!CN45))</f>
        <v/>
      </c>
      <c r="CO45">
        <f>IF(COUNTIFS(T_StockCount[RM_Code],$A45,T_StockCount[WeekIndex],92)&gt;0,SUMIFS(T_StockCount[CountedQty],T_StockCount[RM_Code],$A45,T_StockCount[WeekIndex],92),IF((COUNTIFS(T_SelfStock[RM_Code],$A45,T_SelfStock[WeekIndex],92)&gt;0)*(COUNTIFS(T_TTAFStock[RM_Code],$A45,T_TTAFStock[WeekIndex],92)&gt;0)&gt;0,SUMIFS(T_SelfStock[Self_Qty],T_SelfStock[RM_Code],$A45,T_SelfStock[WeekIndex],92)+SUMIFS(T_TTAFStock[TTAF_Qty],T_TTAFStock[RM_Code],$A45,T_TTAFStock[WeekIndex],92),CN45+'Grid_Incoming'!CO45-'Grid_Requirement'!CO45))</f>
        <v/>
      </c>
      <c r="CP45">
        <f>IF(COUNTIFS(T_StockCount[RM_Code],$A45,T_StockCount[WeekIndex],93)&gt;0,SUMIFS(T_StockCount[CountedQty],T_StockCount[RM_Code],$A45,T_StockCount[WeekIndex],93),IF((COUNTIFS(T_SelfStock[RM_Code],$A45,T_SelfStock[WeekIndex],93)&gt;0)*(COUNTIFS(T_TTAFStock[RM_Code],$A45,T_TTAFStock[WeekIndex],93)&gt;0)&gt;0,SUMIFS(T_SelfStock[Self_Qty],T_SelfStock[RM_Code],$A45,T_SelfStock[WeekIndex],93)+SUMIFS(T_TTAFStock[TTAF_Qty],T_TTAFStock[RM_Code],$A45,T_TTAFStock[WeekIndex],93),CO45+'Grid_Incoming'!CP45-'Grid_Requirement'!CP45))</f>
        <v/>
      </c>
      <c r="CQ45">
        <f>IF(COUNTIFS(T_StockCount[RM_Code],$A45,T_StockCount[WeekIndex],94)&gt;0,SUMIFS(T_StockCount[CountedQty],T_StockCount[RM_Code],$A45,T_StockCount[WeekIndex],94),IF((COUNTIFS(T_SelfStock[RM_Code],$A45,T_SelfStock[WeekIndex],94)&gt;0)*(COUNTIFS(T_TTAFStock[RM_Code],$A45,T_TTAFStock[WeekIndex],94)&gt;0)&gt;0,SUMIFS(T_SelfStock[Self_Qty],T_SelfStock[RM_Code],$A45,T_SelfStock[WeekIndex],94)+SUMIFS(T_TTAFStock[TTAF_Qty],T_TTAFStock[RM_Code],$A45,T_TTAFStock[WeekIndex],94),CP45+'Grid_Incoming'!CQ45-'Grid_Requirement'!CQ45))</f>
        <v/>
      </c>
      <c r="CR45">
        <f>IF(COUNTIFS(T_StockCount[RM_Code],$A45,T_StockCount[WeekIndex],95)&gt;0,SUMIFS(T_StockCount[CountedQty],T_StockCount[RM_Code],$A45,T_StockCount[WeekIndex],95),IF((COUNTIFS(T_SelfStock[RM_Code],$A45,T_SelfStock[WeekIndex],95)&gt;0)*(COUNTIFS(T_TTAFStock[RM_Code],$A45,T_TTAFStock[WeekIndex],95)&gt;0)&gt;0,SUMIFS(T_SelfStock[Self_Qty],T_SelfStock[RM_Code],$A45,T_SelfStock[WeekIndex],95)+SUMIFS(T_TTAFStock[TTAF_Qty],T_TTAFStock[RM_Code],$A45,T_TTAFStock[WeekIndex],95),CQ45+'Grid_Incoming'!CR45-'Grid_Requirement'!CR45))</f>
        <v/>
      </c>
      <c r="CS45">
        <f>IF(COUNTIFS(T_StockCount[RM_Code],$A45,T_StockCount[WeekIndex],96)&gt;0,SUMIFS(T_StockCount[CountedQty],T_StockCount[RM_Code],$A45,T_StockCount[WeekIndex],96),IF((COUNTIFS(T_SelfStock[RM_Code],$A45,T_SelfStock[WeekIndex],96)&gt;0)*(COUNTIFS(T_TTAFStock[RM_Code],$A45,T_TTAFStock[WeekIndex],96)&gt;0)&gt;0,SUMIFS(T_SelfStock[Self_Qty],T_SelfStock[RM_Code],$A45,T_SelfStock[WeekIndex],96)+SUMIFS(T_TTAFStock[TTAF_Qty],T_TTAFStock[RM_Code],$A45,T_TTAFStock[WeekIndex],96),CR45+'Grid_Incoming'!CS45-'Grid_Requirement'!CS45))</f>
        <v/>
      </c>
      <c r="CT45">
        <f>IF(COUNTIFS(T_StockCount[RM_Code],$A45,T_StockCount[WeekIndex],97)&gt;0,SUMIFS(T_StockCount[CountedQty],T_StockCount[RM_Code],$A45,T_StockCount[WeekIndex],97),IF((COUNTIFS(T_SelfStock[RM_Code],$A45,T_SelfStock[WeekIndex],97)&gt;0)*(COUNTIFS(T_TTAFStock[RM_Code],$A45,T_TTAFStock[WeekIndex],97)&gt;0)&gt;0,SUMIFS(T_SelfStock[Self_Qty],T_SelfStock[RM_Code],$A45,T_SelfStock[WeekIndex],97)+SUMIFS(T_TTAFStock[TTAF_Qty],T_TTAFStock[RM_Code],$A45,T_TTAFStock[WeekIndex],97),CS45+'Grid_Incoming'!CT45-'Grid_Requirement'!CT45))</f>
        <v/>
      </c>
      <c r="CU45">
        <f>IF(COUNTIFS(T_StockCount[RM_Code],$A45,T_StockCount[WeekIndex],98)&gt;0,SUMIFS(T_StockCount[CountedQty],T_StockCount[RM_Code],$A45,T_StockCount[WeekIndex],98),IF((COUNTIFS(T_SelfStock[RM_Code],$A45,T_SelfStock[WeekIndex],98)&gt;0)*(COUNTIFS(T_TTAFStock[RM_Code],$A45,T_TTAFStock[WeekIndex],98)&gt;0)&gt;0,SUMIFS(T_SelfStock[Self_Qty],T_SelfStock[RM_Code],$A45,T_SelfStock[WeekIndex],98)+SUMIFS(T_TTAFStock[TTAF_Qty],T_TTAFStock[RM_Code],$A45,T_TTAFStock[WeekIndex],98),CT45+'Grid_Incoming'!CU45-'Grid_Requirement'!CU45))</f>
        <v/>
      </c>
      <c r="CV45">
        <f>IF(COUNTIFS(T_StockCount[RM_Code],$A45,T_StockCount[WeekIndex],99)&gt;0,SUMIFS(T_StockCount[CountedQty],T_StockCount[RM_Code],$A45,T_StockCount[WeekIndex],99),IF((COUNTIFS(T_SelfStock[RM_Code],$A45,T_SelfStock[WeekIndex],99)&gt;0)*(COUNTIFS(T_TTAFStock[RM_Code],$A45,T_TTAFStock[WeekIndex],99)&gt;0)&gt;0,SUMIFS(T_SelfStock[Self_Qty],T_SelfStock[RM_Code],$A45,T_SelfStock[WeekIndex],99)+SUMIFS(T_TTAFStock[TTAF_Qty],T_TTAFStock[RM_Code],$A45,T_TTAFStock[WeekIndex],99),CU45+'Grid_Incoming'!CV45-'Grid_Requirement'!CV45))</f>
        <v/>
      </c>
      <c r="CW45">
        <f>IF(COUNTIFS(T_StockCount[RM_Code],$A45,T_StockCount[WeekIndex],100)&gt;0,SUMIFS(T_StockCount[CountedQty],T_StockCount[RM_Code],$A45,T_StockCount[WeekIndex],100),IF((COUNTIFS(T_SelfStock[RM_Code],$A45,T_SelfStock[WeekIndex],100)&gt;0)*(COUNTIFS(T_TTAFStock[RM_Code],$A45,T_TTAFStock[WeekIndex],100)&gt;0)&gt;0,SUMIFS(T_SelfStock[Self_Qty],T_SelfStock[RM_Code],$A45,T_SelfStock[WeekIndex],100)+SUMIFS(T_TTAFStock[TTAF_Qty],T_TTAFStock[RM_Code],$A45,T_TTAFStock[WeekIndex],100),CV45+'Grid_Incoming'!CW45-'Grid_Requirement'!CW45))</f>
        <v/>
      </c>
      <c r="CX45">
        <f>IF(COUNTIFS(T_StockCount[RM_Code],$A45,T_StockCount[WeekIndex],101)&gt;0,SUMIFS(T_StockCount[CountedQty],T_StockCount[RM_Code],$A45,T_StockCount[WeekIndex],101),IF((COUNTIFS(T_SelfStock[RM_Code],$A45,T_SelfStock[WeekIndex],101)&gt;0)*(COUNTIFS(T_TTAFStock[RM_Code],$A45,T_TTAFStock[WeekIndex],101)&gt;0)&gt;0,SUMIFS(T_SelfStock[Self_Qty],T_SelfStock[RM_Code],$A45,T_SelfStock[WeekIndex],101)+SUMIFS(T_TTAFStock[TTAF_Qty],T_TTAFStock[RM_Code],$A45,T_TTAFStock[WeekIndex],101),CW45+'Grid_Incoming'!CX45-'Grid_Requirement'!CX45))</f>
        <v/>
      </c>
      <c r="CY45">
        <f>IF(COUNTIFS(T_StockCount[RM_Code],$A45,T_StockCount[WeekIndex],102)&gt;0,SUMIFS(T_StockCount[CountedQty],T_StockCount[RM_Code],$A45,T_StockCount[WeekIndex],102),IF((COUNTIFS(T_SelfStock[RM_Code],$A45,T_SelfStock[WeekIndex],102)&gt;0)*(COUNTIFS(T_TTAFStock[RM_Code],$A45,T_TTAFStock[WeekIndex],102)&gt;0)&gt;0,SUMIFS(T_SelfStock[Self_Qty],T_SelfStock[RM_Code],$A45,T_SelfStock[WeekIndex],102)+SUMIFS(T_TTAFStock[TTAF_Qty],T_TTAFStock[RM_Code],$A45,T_TTAFStock[WeekIndex],102),CX45+'Grid_Incoming'!CY45-'Grid_Requirement'!CY45))</f>
        <v/>
      </c>
      <c r="CZ45">
        <f>IF(COUNTIFS(T_StockCount[RM_Code],$A45,T_StockCount[WeekIndex],103)&gt;0,SUMIFS(T_StockCount[CountedQty],T_StockCount[RM_Code],$A45,T_StockCount[WeekIndex],103),IF((COUNTIFS(T_SelfStock[RM_Code],$A45,T_SelfStock[WeekIndex],103)&gt;0)*(COUNTIFS(T_TTAFStock[RM_Code],$A45,T_TTAFStock[WeekIndex],103)&gt;0)&gt;0,SUMIFS(T_SelfStock[Self_Qty],T_SelfStock[RM_Code],$A45,T_SelfStock[WeekIndex],103)+SUMIFS(T_TTAFStock[TTAF_Qty],T_TTAFStock[RM_Code],$A45,T_TTAFStock[WeekIndex],103),CY45+'Grid_Incoming'!CZ45-'Grid_Requirement'!CZ45))</f>
        <v/>
      </c>
      <c r="DA45">
        <f>IF(COUNTIFS(T_StockCount[RM_Code],$A45,T_StockCount[WeekIndex],104)&gt;0,SUMIFS(T_StockCount[CountedQty],T_StockCount[RM_Code],$A45,T_StockCount[WeekIndex],104),IF((COUNTIFS(T_SelfStock[RM_Code],$A45,T_SelfStock[WeekIndex],104)&gt;0)*(COUNTIFS(T_TTAFStock[RM_Code],$A45,T_TTAFStock[WeekIndex],104)&gt;0)&gt;0,SUMIFS(T_SelfStock[Self_Qty],T_SelfStock[RM_Code],$A45,T_SelfStock[WeekIndex],104)+SUMIFS(T_TTAFStock[TTAF_Qty],T_TTAFStock[RM_Code],$A45,T_TTAFStock[WeekIndex],104),CZ45+'Grid_Incoming'!DA45-'Grid_Requirement'!DA45))</f>
        <v/>
      </c>
    </row>
    <row r="46">
      <c r="A46" t="inlineStr">
        <is>
          <t>CHEM-1410</t>
        </is>
      </c>
      <c r="B46">
        <f>IF(COUNTIFS(T_StockCount[RM_Code],$A46,T_StockCount[WeekIndex],1)&gt;0,SUMIFS(T_StockCount[CountedQty],T_StockCount[RM_Code],$A46,T_StockCount[WeekIndex],1),IF((COUNTIFS(T_SelfStock[RM_Code],$A46,T_SelfStock[WeekIndex],1)&gt;0)*(COUNTIFS(T_TTAFStock[RM_Code],$A46,T_TTAFStock[WeekIndex],1)&gt;0)&gt;0,SUMIFS(T_SelfStock[Self_Qty],T_SelfStock[RM_Code],$A46,T_SelfStock[WeekIndex],1)+SUMIFS(T_TTAFStock[TTAF_Qty],T_TTAFStock[RM_Code],$A46,T_TTAFStock[WeekIndex],1),IFERROR(INDEX(T_OpeningStock[Opening_Qty],MATCH($A46,T_OpeningStock[RM_Code],0)),0)+'Grid_Incoming'!B46-'Grid_Requirement'!B46))</f>
        <v/>
      </c>
      <c r="C46">
        <f>IF(COUNTIFS(T_StockCount[RM_Code],$A46,T_StockCount[WeekIndex],2)&gt;0,SUMIFS(T_StockCount[CountedQty],T_StockCount[RM_Code],$A46,T_StockCount[WeekIndex],2),IF((COUNTIFS(T_SelfStock[RM_Code],$A46,T_SelfStock[WeekIndex],2)&gt;0)*(COUNTIFS(T_TTAFStock[RM_Code],$A46,T_TTAFStock[WeekIndex],2)&gt;0)&gt;0,SUMIFS(T_SelfStock[Self_Qty],T_SelfStock[RM_Code],$A46,T_SelfStock[WeekIndex],2)+SUMIFS(T_TTAFStock[TTAF_Qty],T_TTAFStock[RM_Code],$A46,T_TTAFStock[WeekIndex],2),B46+'Grid_Incoming'!C46-'Grid_Requirement'!C46))</f>
        <v/>
      </c>
      <c r="D46">
        <f>IF(COUNTIFS(T_StockCount[RM_Code],$A46,T_StockCount[WeekIndex],3)&gt;0,SUMIFS(T_StockCount[CountedQty],T_StockCount[RM_Code],$A46,T_StockCount[WeekIndex],3),IF((COUNTIFS(T_SelfStock[RM_Code],$A46,T_SelfStock[WeekIndex],3)&gt;0)*(COUNTIFS(T_TTAFStock[RM_Code],$A46,T_TTAFStock[WeekIndex],3)&gt;0)&gt;0,SUMIFS(T_SelfStock[Self_Qty],T_SelfStock[RM_Code],$A46,T_SelfStock[WeekIndex],3)+SUMIFS(T_TTAFStock[TTAF_Qty],T_TTAFStock[RM_Code],$A46,T_TTAFStock[WeekIndex],3),C46+'Grid_Incoming'!D46-'Grid_Requirement'!D46))</f>
        <v/>
      </c>
      <c r="E46">
        <f>IF(COUNTIFS(T_StockCount[RM_Code],$A46,T_StockCount[WeekIndex],4)&gt;0,SUMIFS(T_StockCount[CountedQty],T_StockCount[RM_Code],$A46,T_StockCount[WeekIndex],4),IF((COUNTIFS(T_SelfStock[RM_Code],$A46,T_SelfStock[WeekIndex],4)&gt;0)*(COUNTIFS(T_TTAFStock[RM_Code],$A46,T_TTAFStock[WeekIndex],4)&gt;0)&gt;0,SUMIFS(T_SelfStock[Self_Qty],T_SelfStock[RM_Code],$A46,T_SelfStock[WeekIndex],4)+SUMIFS(T_TTAFStock[TTAF_Qty],T_TTAFStock[RM_Code],$A46,T_TTAFStock[WeekIndex],4),D46+'Grid_Incoming'!E46-'Grid_Requirement'!E46))</f>
        <v/>
      </c>
      <c r="F46">
        <f>IF(COUNTIFS(T_StockCount[RM_Code],$A46,T_StockCount[WeekIndex],5)&gt;0,SUMIFS(T_StockCount[CountedQty],T_StockCount[RM_Code],$A46,T_StockCount[WeekIndex],5),IF((COUNTIFS(T_SelfStock[RM_Code],$A46,T_SelfStock[WeekIndex],5)&gt;0)*(COUNTIFS(T_TTAFStock[RM_Code],$A46,T_TTAFStock[WeekIndex],5)&gt;0)&gt;0,SUMIFS(T_SelfStock[Self_Qty],T_SelfStock[RM_Code],$A46,T_SelfStock[WeekIndex],5)+SUMIFS(T_TTAFStock[TTAF_Qty],T_TTAFStock[RM_Code],$A46,T_TTAFStock[WeekIndex],5),E46+'Grid_Incoming'!F46-'Grid_Requirement'!F46))</f>
        <v/>
      </c>
      <c r="G46">
        <f>IF(COUNTIFS(T_StockCount[RM_Code],$A46,T_StockCount[WeekIndex],6)&gt;0,SUMIFS(T_StockCount[CountedQty],T_StockCount[RM_Code],$A46,T_StockCount[WeekIndex],6),IF((COUNTIFS(T_SelfStock[RM_Code],$A46,T_SelfStock[WeekIndex],6)&gt;0)*(COUNTIFS(T_TTAFStock[RM_Code],$A46,T_TTAFStock[WeekIndex],6)&gt;0)&gt;0,SUMIFS(T_SelfStock[Self_Qty],T_SelfStock[RM_Code],$A46,T_SelfStock[WeekIndex],6)+SUMIFS(T_TTAFStock[TTAF_Qty],T_TTAFStock[RM_Code],$A46,T_TTAFStock[WeekIndex],6),F46+'Grid_Incoming'!G46-'Grid_Requirement'!G46))</f>
        <v/>
      </c>
      <c r="H46">
        <f>IF(COUNTIFS(T_StockCount[RM_Code],$A46,T_StockCount[WeekIndex],7)&gt;0,SUMIFS(T_StockCount[CountedQty],T_StockCount[RM_Code],$A46,T_StockCount[WeekIndex],7),IF((COUNTIFS(T_SelfStock[RM_Code],$A46,T_SelfStock[WeekIndex],7)&gt;0)*(COUNTIFS(T_TTAFStock[RM_Code],$A46,T_TTAFStock[WeekIndex],7)&gt;0)&gt;0,SUMIFS(T_SelfStock[Self_Qty],T_SelfStock[RM_Code],$A46,T_SelfStock[WeekIndex],7)+SUMIFS(T_TTAFStock[TTAF_Qty],T_TTAFStock[RM_Code],$A46,T_TTAFStock[WeekIndex],7),G46+'Grid_Incoming'!H46-'Grid_Requirement'!H46))</f>
        <v/>
      </c>
      <c r="I46">
        <f>IF(COUNTIFS(T_StockCount[RM_Code],$A46,T_StockCount[WeekIndex],8)&gt;0,SUMIFS(T_StockCount[CountedQty],T_StockCount[RM_Code],$A46,T_StockCount[WeekIndex],8),IF((COUNTIFS(T_SelfStock[RM_Code],$A46,T_SelfStock[WeekIndex],8)&gt;0)*(COUNTIFS(T_TTAFStock[RM_Code],$A46,T_TTAFStock[WeekIndex],8)&gt;0)&gt;0,SUMIFS(T_SelfStock[Self_Qty],T_SelfStock[RM_Code],$A46,T_SelfStock[WeekIndex],8)+SUMIFS(T_TTAFStock[TTAF_Qty],T_TTAFStock[RM_Code],$A46,T_TTAFStock[WeekIndex],8),H46+'Grid_Incoming'!I46-'Grid_Requirement'!I46))</f>
        <v/>
      </c>
      <c r="J46">
        <f>IF(COUNTIFS(T_StockCount[RM_Code],$A46,T_StockCount[WeekIndex],9)&gt;0,SUMIFS(T_StockCount[CountedQty],T_StockCount[RM_Code],$A46,T_StockCount[WeekIndex],9),IF((COUNTIFS(T_SelfStock[RM_Code],$A46,T_SelfStock[WeekIndex],9)&gt;0)*(COUNTIFS(T_TTAFStock[RM_Code],$A46,T_TTAFStock[WeekIndex],9)&gt;0)&gt;0,SUMIFS(T_SelfStock[Self_Qty],T_SelfStock[RM_Code],$A46,T_SelfStock[WeekIndex],9)+SUMIFS(T_TTAFStock[TTAF_Qty],T_TTAFStock[RM_Code],$A46,T_TTAFStock[WeekIndex],9),I46+'Grid_Incoming'!J46-'Grid_Requirement'!J46))</f>
        <v/>
      </c>
      <c r="K46">
        <f>IF(COUNTIFS(T_StockCount[RM_Code],$A46,T_StockCount[WeekIndex],10)&gt;0,SUMIFS(T_StockCount[CountedQty],T_StockCount[RM_Code],$A46,T_StockCount[WeekIndex],10),IF((COUNTIFS(T_SelfStock[RM_Code],$A46,T_SelfStock[WeekIndex],10)&gt;0)*(COUNTIFS(T_TTAFStock[RM_Code],$A46,T_TTAFStock[WeekIndex],10)&gt;0)&gt;0,SUMIFS(T_SelfStock[Self_Qty],T_SelfStock[RM_Code],$A46,T_SelfStock[WeekIndex],10)+SUMIFS(T_TTAFStock[TTAF_Qty],T_TTAFStock[RM_Code],$A46,T_TTAFStock[WeekIndex],10),J46+'Grid_Incoming'!K46-'Grid_Requirement'!K46))</f>
        <v/>
      </c>
      <c r="L46">
        <f>IF(COUNTIFS(T_StockCount[RM_Code],$A46,T_StockCount[WeekIndex],11)&gt;0,SUMIFS(T_StockCount[CountedQty],T_StockCount[RM_Code],$A46,T_StockCount[WeekIndex],11),IF((COUNTIFS(T_SelfStock[RM_Code],$A46,T_SelfStock[WeekIndex],11)&gt;0)*(COUNTIFS(T_TTAFStock[RM_Code],$A46,T_TTAFStock[WeekIndex],11)&gt;0)&gt;0,SUMIFS(T_SelfStock[Self_Qty],T_SelfStock[RM_Code],$A46,T_SelfStock[WeekIndex],11)+SUMIFS(T_TTAFStock[TTAF_Qty],T_TTAFStock[RM_Code],$A46,T_TTAFStock[WeekIndex],11),K46+'Grid_Incoming'!L46-'Grid_Requirement'!L46))</f>
        <v/>
      </c>
      <c r="M46">
        <f>IF(COUNTIFS(T_StockCount[RM_Code],$A46,T_StockCount[WeekIndex],12)&gt;0,SUMIFS(T_StockCount[CountedQty],T_StockCount[RM_Code],$A46,T_StockCount[WeekIndex],12),IF((COUNTIFS(T_SelfStock[RM_Code],$A46,T_SelfStock[WeekIndex],12)&gt;0)*(COUNTIFS(T_TTAFStock[RM_Code],$A46,T_TTAFStock[WeekIndex],12)&gt;0)&gt;0,SUMIFS(T_SelfStock[Self_Qty],T_SelfStock[RM_Code],$A46,T_SelfStock[WeekIndex],12)+SUMIFS(T_TTAFStock[TTAF_Qty],T_TTAFStock[RM_Code],$A46,T_TTAFStock[WeekIndex],12),L46+'Grid_Incoming'!M46-'Grid_Requirement'!M46))</f>
        <v/>
      </c>
      <c r="N46">
        <f>IF(COUNTIFS(T_StockCount[RM_Code],$A46,T_StockCount[WeekIndex],13)&gt;0,SUMIFS(T_StockCount[CountedQty],T_StockCount[RM_Code],$A46,T_StockCount[WeekIndex],13),IF((COUNTIFS(T_SelfStock[RM_Code],$A46,T_SelfStock[WeekIndex],13)&gt;0)*(COUNTIFS(T_TTAFStock[RM_Code],$A46,T_TTAFStock[WeekIndex],13)&gt;0)&gt;0,SUMIFS(T_SelfStock[Self_Qty],T_SelfStock[RM_Code],$A46,T_SelfStock[WeekIndex],13)+SUMIFS(T_TTAFStock[TTAF_Qty],T_TTAFStock[RM_Code],$A46,T_TTAFStock[WeekIndex],13),M46+'Grid_Incoming'!N46-'Grid_Requirement'!N46))</f>
        <v/>
      </c>
      <c r="O46">
        <f>IF(COUNTIFS(T_StockCount[RM_Code],$A46,T_StockCount[WeekIndex],14)&gt;0,SUMIFS(T_StockCount[CountedQty],T_StockCount[RM_Code],$A46,T_StockCount[WeekIndex],14),IF((COUNTIFS(T_SelfStock[RM_Code],$A46,T_SelfStock[WeekIndex],14)&gt;0)*(COUNTIFS(T_TTAFStock[RM_Code],$A46,T_TTAFStock[WeekIndex],14)&gt;0)&gt;0,SUMIFS(T_SelfStock[Self_Qty],T_SelfStock[RM_Code],$A46,T_SelfStock[WeekIndex],14)+SUMIFS(T_TTAFStock[TTAF_Qty],T_TTAFStock[RM_Code],$A46,T_TTAFStock[WeekIndex],14),N46+'Grid_Incoming'!O46-'Grid_Requirement'!O46))</f>
        <v/>
      </c>
      <c r="P46">
        <f>IF(COUNTIFS(T_StockCount[RM_Code],$A46,T_StockCount[WeekIndex],15)&gt;0,SUMIFS(T_StockCount[CountedQty],T_StockCount[RM_Code],$A46,T_StockCount[WeekIndex],15),IF((COUNTIFS(T_SelfStock[RM_Code],$A46,T_SelfStock[WeekIndex],15)&gt;0)*(COUNTIFS(T_TTAFStock[RM_Code],$A46,T_TTAFStock[WeekIndex],15)&gt;0)&gt;0,SUMIFS(T_SelfStock[Self_Qty],T_SelfStock[RM_Code],$A46,T_SelfStock[WeekIndex],15)+SUMIFS(T_TTAFStock[TTAF_Qty],T_TTAFStock[RM_Code],$A46,T_TTAFStock[WeekIndex],15),O46+'Grid_Incoming'!P46-'Grid_Requirement'!P46))</f>
        <v/>
      </c>
      <c r="Q46">
        <f>IF(COUNTIFS(T_StockCount[RM_Code],$A46,T_StockCount[WeekIndex],16)&gt;0,SUMIFS(T_StockCount[CountedQty],T_StockCount[RM_Code],$A46,T_StockCount[WeekIndex],16),IF((COUNTIFS(T_SelfStock[RM_Code],$A46,T_SelfStock[WeekIndex],16)&gt;0)*(COUNTIFS(T_TTAFStock[RM_Code],$A46,T_TTAFStock[WeekIndex],16)&gt;0)&gt;0,SUMIFS(T_SelfStock[Self_Qty],T_SelfStock[RM_Code],$A46,T_SelfStock[WeekIndex],16)+SUMIFS(T_TTAFStock[TTAF_Qty],T_TTAFStock[RM_Code],$A46,T_TTAFStock[WeekIndex],16),P46+'Grid_Incoming'!Q46-'Grid_Requirement'!Q46))</f>
        <v/>
      </c>
      <c r="R46">
        <f>IF(COUNTIFS(T_StockCount[RM_Code],$A46,T_StockCount[WeekIndex],17)&gt;0,SUMIFS(T_StockCount[CountedQty],T_StockCount[RM_Code],$A46,T_StockCount[WeekIndex],17),IF((COUNTIFS(T_SelfStock[RM_Code],$A46,T_SelfStock[WeekIndex],17)&gt;0)*(COUNTIFS(T_TTAFStock[RM_Code],$A46,T_TTAFStock[WeekIndex],17)&gt;0)&gt;0,SUMIFS(T_SelfStock[Self_Qty],T_SelfStock[RM_Code],$A46,T_SelfStock[WeekIndex],17)+SUMIFS(T_TTAFStock[TTAF_Qty],T_TTAFStock[RM_Code],$A46,T_TTAFStock[WeekIndex],17),Q46+'Grid_Incoming'!R46-'Grid_Requirement'!R46))</f>
        <v/>
      </c>
      <c r="S46">
        <f>IF(COUNTIFS(T_StockCount[RM_Code],$A46,T_StockCount[WeekIndex],18)&gt;0,SUMIFS(T_StockCount[CountedQty],T_StockCount[RM_Code],$A46,T_StockCount[WeekIndex],18),IF((COUNTIFS(T_SelfStock[RM_Code],$A46,T_SelfStock[WeekIndex],18)&gt;0)*(COUNTIFS(T_TTAFStock[RM_Code],$A46,T_TTAFStock[WeekIndex],18)&gt;0)&gt;0,SUMIFS(T_SelfStock[Self_Qty],T_SelfStock[RM_Code],$A46,T_SelfStock[WeekIndex],18)+SUMIFS(T_TTAFStock[TTAF_Qty],T_TTAFStock[RM_Code],$A46,T_TTAFStock[WeekIndex],18),R46+'Grid_Incoming'!S46-'Grid_Requirement'!S46))</f>
        <v/>
      </c>
      <c r="T46">
        <f>IF(COUNTIFS(T_StockCount[RM_Code],$A46,T_StockCount[WeekIndex],19)&gt;0,SUMIFS(T_StockCount[CountedQty],T_StockCount[RM_Code],$A46,T_StockCount[WeekIndex],19),IF((COUNTIFS(T_SelfStock[RM_Code],$A46,T_SelfStock[WeekIndex],19)&gt;0)*(COUNTIFS(T_TTAFStock[RM_Code],$A46,T_TTAFStock[WeekIndex],19)&gt;0)&gt;0,SUMIFS(T_SelfStock[Self_Qty],T_SelfStock[RM_Code],$A46,T_SelfStock[WeekIndex],19)+SUMIFS(T_TTAFStock[TTAF_Qty],T_TTAFStock[RM_Code],$A46,T_TTAFStock[WeekIndex],19),S46+'Grid_Incoming'!T46-'Grid_Requirement'!T46))</f>
        <v/>
      </c>
      <c r="U46">
        <f>IF(COUNTIFS(T_StockCount[RM_Code],$A46,T_StockCount[WeekIndex],20)&gt;0,SUMIFS(T_StockCount[CountedQty],T_StockCount[RM_Code],$A46,T_StockCount[WeekIndex],20),IF((COUNTIFS(T_SelfStock[RM_Code],$A46,T_SelfStock[WeekIndex],20)&gt;0)*(COUNTIFS(T_TTAFStock[RM_Code],$A46,T_TTAFStock[WeekIndex],20)&gt;0)&gt;0,SUMIFS(T_SelfStock[Self_Qty],T_SelfStock[RM_Code],$A46,T_SelfStock[WeekIndex],20)+SUMIFS(T_TTAFStock[TTAF_Qty],T_TTAFStock[RM_Code],$A46,T_TTAFStock[WeekIndex],20),T46+'Grid_Incoming'!U46-'Grid_Requirement'!U46))</f>
        <v/>
      </c>
      <c r="V46">
        <f>IF(COUNTIFS(T_StockCount[RM_Code],$A46,T_StockCount[WeekIndex],21)&gt;0,SUMIFS(T_StockCount[CountedQty],T_StockCount[RM_Code],$A46,T_StockCount[WeekIndex],21),IF((COUNTIFS(T_SelfStock[RM_Code],$A46,T_SelfStock[WeekIndex],21)&gt;0)*(COUNTIFS(T_TTAFStock[RM_Code],$A46,T_TTAFStock[WeekIndex],21)&gt;0)&gt;0,SUMIFS(T_SelfStock[Self_Qty],T_SelfStock[RM_Code],$A46,T_SelfStock[WeekIndex],21)+SUMIFS(T_TTAFStock[TTAF_Qty],T_TTAFStock[RM_Code],$A46,T_TTAFStock[WeekIndex],21),U46+'Grid_Incoming'!V46-'Grid_Requirement'!V46))</f>
        <v/>
      </c>
      <c r="W46">
        <f>IF(COUNTIFS(T_StockCount[RM_Code],$A46,T_StockCount[WeekIndex],22)&gt;0,SUMIFS(T_StockCount[CountedQty],T_StockCount[RM_Code],$A46,T_StockCount[WeekIndex],22),IF((COUNTIFS(T_SelfStock[RM_Code],$A46,T_SelfStock[WeekIndex],22)&gt;0)*(COUNTIFS(T_TTAFStock[RM_Code],$A46,T_TTAFStock[WeekIndex],22)&gt;0)&gt;0,SUMIFS(T_SelfStock[Self_Qty],T_SelfStock[RM_Code],$A46,T_SelfStock[WeekIndex],22)+SUMIFS(T_TTAFStock[TTAF_Qty],T_TTAFStock[RM_Code],$A46,T_TTAFStock[WeekIndex],22),V46+'Grid_Incoming'!W46-'Grid_Requirement'!W46))</f>
        <v/>
      </c>
      <c r="X46">
        <f>IF(COUNTIFS(T_StockCount[RM_Code],$A46,T_StockCount[WeekIndex],23)&gt;0,SUMIFS(T_StockCount[CountedQty],T_StockCount[RM_Code],$A46,T_StockCount[WeekIndex],23),IF((COUNTIFS(T_SelfStock[RM_Code],$A46,T_SelfStock[WeekIndex],23)&gt;0)*(COUNTIFS(T_TTAFStock[RM_Code],$A46,T_TTAFStock[WeekIndex],23)&gt;0)&gt;0,SUMIFS(T_SelfStock[Self_Qty],T_SelfStock[RM_Code],$A46,T_SelfStock[WeekIndex],23)+SUMIFS(T_TTAFStock[TTAF_Qty],T_TTAFStock[RM_Code],$A46,T_TTAFStock[WeekIndex],23),W46+'Grid_Incoming'!X46-'Grid_Requirement'!X46))</f>
        <v/>
      </c>
      <c r="Y46">
        <f>IF(COUNTIFS(T_StockCount[RM_Code],$A46,T_StockCount[WeekIndex],24)&gt;0,SUMIFS(T_StockCount[CountedQty],T_StockCount[RM_Code],$A46,T_StockCount[WeekIndex],24),IF((COUNTIFS(T_SelfStock[RM_Code],$A46,T_SelfStock[WeekIndex],24)&gt;0)*(COUNTIFS(T_TTAFStock[RM_Code],$A46,T_TTAFStock[WeekIndex],24)&gt;0)&gt;0,SUMIFS(T_SelfStock[Self_Qty],T_SelfStock[RM_Code],$A46,T_SelfStock[WeekIndex],24)+SUMIFS(T_TTAFStock[TTAF_Qty],T_TTAFStock[RM_Code],$A46,T_TTAFStock[WeekIndex],24),X46+'Grid_Incoming'!Y46-'Grid_Requirement'!Y46))</f>
        <v/>
      </c>
      <c r="Z46">
        <f>IF(COUNTIFS(T_StockCount[RM_Code],$A46,T_StockCount[WeekIndex],25)&gt;0,SUMIFS(T_StockCount[CountedQty],T_StockCount[RM_Code],$A46,T_StockCount[WeekIndex],25),IF((COUNTIFS(T_SelfStock[RM_Code],$A46,T_SelfStock[WeekIndex],25)&gt;0)*(COUNTIFS(T_TTAFStock[RM_Code],$A46,T_TTAFStock[WeekIndex],25)&gt;0)&gt;0,SUMIFS(T_SelfStock[Self_Qty],T_SelfStock[RM_Code],$A46,T_SelfStock[WeekIndex],25)+SUMIFS(T_TTAFStock[TTAF_Qty],T_TTAFStock[RM_Code],$A46,T_TTAFStock[WeekIndex],25),Y46+'Grid_Incoming'!Z46-'Grid_Requirement'!Z46))</f>
        <v/>
      </c>
      <c r="AA46">
        <f>IF(COUNTIFS(T_StockCount[RM_Code],$A46,T_StockCount[WeekIndex],26)&gt;0,SUMIFS(T_StockCount[CountedQty],T_StockCount[RM_Code],$A46,T_StockCount[WeekIndex],26),IF((COUNTIFS(T_SelfStock[RM_Code],$A46,T_SelfStock[WeekIndex],26)&gt;0)*(COUNTIFS(T_TTAFStock[RM_Code],$A46,T_TTAFStock[WeekIndex],26)&gt;0)&gt;0,SUMIFS(T_SelfStock[Self_Qty],T_SelfStock[RM_Code],$A46,T_SelfStock[WeekIndex],26)+SUMIFS(T_TTAFStock[TTAF_Qty],T_TTAFStock[RM_Code],$A46,T_TTAFStock[WeekIndex],26),Z46+'Grid_Incoming'!AA46-'Grid_Requirement'!AA46))</f>
        <v/>
      </c>
      <c r="AB46">
        <f>IF(COUNTIFS(T_StockCount[RM_Code],$A46,T_StockCount[WeekIndex],27)&gt;0,SUMIFS(T_StockCount[CountedQty],T_StockCount[RM_Code],$A46,T_StockCount[WeekIndex],27),IF((COUNTIFS(T_SelfStock[RM_Code],$A46,T_SelfStock[WeekIndex],27)&gt;0)*(COUNTIFS(T_TTAFStock[RM_Code],$A46,T_TTAFStock[WeekIndex],27)&gt;0)&gt;0,SUMIFS(T_SelfStock[Self_Qty],T_SelfStock[RM_Code],$A46,T_SelfStock[WeekIndex],27)+SUMIFS(T_TTAFStock[TTAF_Qty],T_TTAFStock[RM_Code],$A46,T_TTAFStock[WeekIndex],27),AA46+'Grid_Incoming'!AB46-'Grid_Requirement'!AB46))</f>
        <v/>
      </c>
      <c r="AC46">
        <f>IF(COUNTIFS(T_StockCount[RM_Code],$A46,T_StockCount[WeekIndex],28)&gt;0,SUMIFS(T_StockCount[CountedQty],T_StockCount[RM_Code],$A46,T_StockCount[WeekIndex],28),IF((COUNTIFS(T_SelfStock[RM_Code],$A46,T_SelfStock[WeekIndex],28)&gt;0)*(COUNTIFS(T_TTAFStock[RM_Code],$A46,T_TTAFStock[WeekIndex],28)&gt;0)&gt;0,SUMIFS(T_SelfStock[Self_Qty],T_SelfStock[RM_Code],$A46,T_SelfStock[WeekIndex],28)+SUMIFS(T_TTAFStock[TTAF_Qty],T_TTAFStock[RM_Code],$A46,T_TTAFStock[WeekIndex],28),AB46+'Grid_Incoming'!AC46-'Grid_Requirement'!AC46))</f>
        <v/>
      </c>
      <c r="AD46">
        <f>IF(COUNTIFS(T_StockCount[RM_Code],$A46,T_StockCount[WeekIndex],29)&gt;0,SUMIFS(T_StockCount[CountedQty],T_StockCount[RM_Code],$A46,T_StockCount[WeekIndex],29),IF((COUNTIFS(T_SelfStock[RM_Code],$A46,T_SelfStock[WeekIndex],29)&gt;0)*(COUNTIFS(T_TTAFStock[RM_Code],$A46,T_TTAFStock[WeekIndex],29)&gt;0)&gt;0,SUMIFS(T_SelfStock[Self_Qty],T_SelfStock[RM_Code],$A46,T_SelfStock[WeekIndex],29)+SUMIFS(T_TTAFStock[TTAF_Qty],T_TTAFStock[RM_Code],$A46,T_TTAFStock[WeekIndex],29),AC46+'Grid_Incoming'!AD46-'Grid_Requirement'!AD46))</f>
        <v/>
      </c>
      <c r="AE46">
        <f>IF(COUNTIFS(T_StockCount[RM_Code],$A46,T_StockCount[WeekIndex],30)&gt;0,SUMIFS(T_StockCount[CountedQty],T_StockCount[RM_Code],$A46,T_StockCount[WeekIndex],30),IF((COUNTIFS(T_SelfStock[RM_Code],$A46,T_SelfStock[WeekIndex],30)&gt;0)*(COUNTIFS(T_TTAFStock[RM_Code],$A46,T_TTAFStock[WeekIndex],30)&gt;0)&gt;0,SUMIFS(T_SelfStock[Self_Qty],T_SelfStock[RM_Code],$A46,T_SelfStock[WeekIndex],30)+SUMIFS(T_TTAFStock[TTAF_Qty],T_TTAFStock[RM_Code],$A46,T_TTAFStock[WeekIndex],30),AD46+'Grid_Incoming'!AE46-'Grid_Requirement'!AE46))</f>
        <v/>
      </c>
      <c r="AF46">
        <f>IF(COUNTIFS(T_StockCount[RM_Code],$A46,T_StockCount[WeekIndex],31)&gt;0,SUMIFS(T_StockCount[CountedQty],T_StockCount[RM_Code],$A46,T_StockCount[WeekIndex],31),IF((COUNTIFS(T_SelfStock[RM_Code],$A46,T_SelfStock[WeekIndex],31)&gt;0)*(COUNTIFS(T_TTAFStock[RM_Code],$A46,T_TTAFStock[WeekIndex],31)&gt;0)&gt;0,SUMIFS(T_SelfStock[Self_Qty],T_SelfStock[RM_Code],$A46,T_SelfStock[WeekIndex],31)+SUMIFS(T_TTAFStock[TTAF_Qty],T_TTAFStock[RM_Code],$A46,T_TTAFStock[WeekIndex],31),AE46+'Grid_Incoming'!AF46-'Grid_Requirement'!AF46))</f>
        <v/>
      </c>
      <c r="AG46">
        <f>IF(COUNTIFS(T_StockCount[RM_Code],$A46,T_StockCount[WeekIndex],32)&gt;0,SUMIFS(T_StockCount[CountedQty],T_StockCount[RM_Code],$A46,T_StockCount[WeekIndex],32),IF((COUNTIFS(T_SelfStock[RM_Code],$A46,T_SelfStock[WeekIndex],32)&gt;0)*(COUNTIFS(T_TTAFStock[RM_Code],$A46,T_TTAFStock[WeekIndex],32)&gt;0)&gt;0,SUMIFS(T_SelfStock[Self_Qty],T_SelfStock[RM_Code],$A46,T_SelfStock[WeekIndex],32)+SUMIFS(T_TTAFStock[TTAF_Qty],T_TTAFStock[RM_Code],$A46,T_TTAFStock[WeekIndex],32),AF46+'Grid_Incoming'!AG46-'Grid_Requirement'!AG46))</f>
        <v/>
      </c>
      <c r="AH46">
        <f>IF(COUNTIFS(T_StockCount[RM_Code],$A46,T_StockCount[WeekIndex],33)&gt;0,SUMIFS(T_StockCount[CountedQty],T_StockCount[RM_Code],$A46,T_StockCount[WeekIndex],33),IF((COUNTIFS(T_SelfStock[RM_Code],$A46,T_SelfStock[WeekIndex],33)&gt;0)*(COUNTIFS(T_TTAFStock[RM_Code],$A46,T_TTAFStock[WeekIndex],33)&gt;0)&gt;0,SUMIFS(T_SelfStock[Self_Qty],T_SelfStock[RM_Code],$A46,T_SelfStock[WeekIndex],33)+SUMIFS(T_TTAFStock[TTAF_Qty],T_TTAFStock[RM_Code],$A46,T_TTAFStock[WeekIndex],33),AG46+'Grid_Incoming'!AH46-'Grid_Requirement'!AH46))</f>
        <v/>
      </c>
      <c r="AI46">
        <f>IF(COUNTIFS(T_StockCount[RM_Code],$A46,T_StockCount[WeekIndex],34)&gt;0,SUMIFS(T_StockCount[CountedQty],T_StockCount[RM_Code],$A46,T_StockCount[WeekIndex],34),IF((COUNTIFS(T_SelfStock[RM_Code],$A46,T_SelfStock[WeekIndex],34)&gt;0)*(COUNTIFS(T_TTAFStock[RM_Code],$A46,T_TTAFStock[WeekIndex],34)&gt;0)&gt;0,SUMIFS(T_SelfStock[Self_Qty],T_SelfStock[RM_Code],$A46,T_SelfStock[WeekIndex],34)+SUMIFS(T_TTAFStock[TTAF_Qty],T_TTAFStock[RM_Code],$A46,T_TTAFStock[WeekIndex],34),AH46+'Grid_Incoming'!AI46-'Grid_Requirement'!AI46))</f>
        <v/>
      </c>
      <c r="AJ46">
        <f>IF(COUNTIFS(T_StockCount[RM_Code],$A46,T_StockCount[WeekIndex],35)&gt;0,SUMIFS(T_StockCount[CountedQty],T_StockCount[RM_Code],$A46,T_StockCount[WeekIndex],35),IF((COUNTIFS(T_SelfStock[RM_Code],$A46,T_SelfStock[WeekIndex],35)&gt;0)*(COUNTIFS(T_TTAFStock[RM_Code],$A46,T_TTAFStock[WeekIndex],35)&gt;0)&gt;0,SUMIFS(T_SelfStock[Self_Qty],T_SelfStock[RM_Code],$A46,T_SelfStock[WeekIndex],35)+SUMIFS(T_TTAFStock[TTAF_Qty],T_TTAFStock[RM_Code],$A46,T_TTAFStock[WeekIndex],35),AI46+'Grid_Incoming'!AJ46-'Grid_Requirement'!AJ46))</f>
        <v/>
      </c>
      <c r="AK46">
        <f>IF(COUNTIFS(T_StockCount[RM_Code],$A46,T_StockCount[WeekIndex],36)&gt;0,SUMIFS(T_StockCount[CountedQty],T_StockCount[RM_Code],$A46,T_StockCount[WeekIndex],36),IF((COUNTIFS(T_SelfStock[RM_Code],$A46,T_SelfStock[WeekIndex],36)&gt;0)*(COUNTIFS(T_TTAFStock[RM_Code],$A46,T_TTAFStock[WeekIndex],36)&gt;0)&gt;0,SUMIFS(T_SelfStock[Self_Qty],T_SelfStock[RM_Code],$A46,T_SelfStock[WeekIndex],36)+SUMIFS(T_TTAFStock[TTAF_Qty],T_TTAFStock[RM_Code],$A46,T_TTAFStock[WeekIndex],36),AJ46+'Grid_Incoming'!AK46-'Grid_Requirement'!AK46))</f>
        <v/>
      </c>
      <c r="AL46">
        <f>IF(COUNTIFS(T_StockCount[RM_Code],$A46,T_StockCount[WeekIndex],37)&gt;0,SUMIFS(T_StockCount[CountedQty],T_StockCount[RM_Code],$A46,T_StockCount[WeekIndex],37),IF((COUNTIFS(T_SelfStock[RM_Code],$A46,T_SelfStock[WeekIndex],37)&gt;0)*(COUNTIFS(T_TTAFStock[RM_Code],$A46,T_TTAFStock[WeekIndex],37)&gt;0)&gt;0,SUMIFS(T_SelfStock[Self_Qty],T_SelfStock[RM_Code],$A46,T_SelfStock[WeekIndex],37)+SUMIFS(T_TTAFStock[TTAF_Qty],T_TTAFStock[RM_Code],$A46,T_TTAFStock[WeekIndex],37),AK46+'Grid_Incoming'!AL46-'Grid_Requirement'!AL46))</f>
        <v/>
      </c>
      <c r="AM46">
        <f>IF(COUNTIFS(T_StockCount[RM_Code],$A46,T_StockCount[WeekIndex],38)&gt;0,SUMIFS(T_StockCount[CountedQty],T_StockCount[RM_Code],$A46,T_StockCount[WeekIndex],38),IF((COUNTIFS(T_SelfStock[RM_Code],$A46,T_SelfStock[WeekIndex],38)&gt;0)*(COUNTIFS(T_TTAFStock[RM_Code],$A46,T_TTAFStock[WeekIndex],38)&gt;0)&gt;0,SUMIFS(T_SelfStock[Self_Qty],T_SelfStock[RM_Code],$A46,T_SelfStock[WeekIndex],38)+SUMIFS(T_TTAFStock[TTAF_Qty],T_TTAFStock[RM_Code],$A46,T_TTAFStock[WeekIndex],38),AL46+'Grid_Incoming'!AM46-'Grid_Requirement'!AM46))</f>
        <v/>
      </c>
      <c r="AN46">
        <f>IF(COUNTIFS(T_StockCount[RM_Code],$A46,T_StockCount[WeekIndex],39)&gt;0,SUMIFS(T_StockCount[CountedQty],T_StockCount[RM_Code],$A46,T_StockCount[WeekIndex],39),IF((COUNTIFS(T_SelfStock[RM_Code],$A46,T_SelfStock[WeekIndex],39)&gt;0)*(COUNTIFS(T_TTAFStock[RM_Code],$A46,T_TTAFStock[WeekIndex],39)&gt;0)&gt;0,SUMIFS(T_SelfStock[Self_Qty],T_SelfStock[RM_Code],$A46,T_SelfStock[WeekIndex],39)+SUMIFS(T_TTAFStock[TTAF_Qty],T_TTAFStock[RM_Code],$A46,T_TTAFStock[WeekIndex],39),AM46+'Grid_Incoming'!AN46-'Grid_Requirement'!AN46))</f>
        <v/>
      </c>
      <c r="AO46">
        <f>IF(COUNTIFS(T_StockCount[RM_Code],$A46,T_StockCount[WeekIndex],40)&gt;0,SUMIFS(T_StockCount[CountedQty],T_StockCount[RM_Code],$A46,T_StockCount[WeekIndex],40),IF((COUNTIFS(T_SelfStock[RM_Code],$A46,T_SelfStock[WeekIndex],40)&gt;0)*(COUNTIFS(T_TTAFStock[RM_Code],$A46,T_TTAFStock[WeekIndex],40)&gt;0)&gt;0,SUMIFS(T_SelfStock[Self_Qty],T_SelfStock[RM_Code],$A46,T_SelfStock[WeekIndex],40)+SUMIFS(T_TTAFStock[TTAF_Qty],T_TTAFStock[RM_Code],$A46,T_TTAFStock[WeekIndex],40),AN46+'Grid_Incoming'!AO46-'Grid_Requirement'!AO46))</f>
        <v/>
      </c>
      <c r="AP46">
        <f>IF(COUNTIFS(T_StockCount[RM_Code],$A46,T_StockCount[WeekIndex],41)&gt;0,SUMIFS(T_StockCount[CountedQty],T_StockCount[RM_Code],$A46,T_StockCount[WeekIndex],41),IF((COUNTIFS(T_SelfStock[RM_Code],$A46,T_SelfStock[WeekIndex],41)&gt;0)*(COUNTIFS(T_TTAFStock[RM_Code],$A46,T_TTAFStock[WeekIndex],41)&gt;0)&gt;0,SUMIFS(T_SelfStock[Self_Qty],T_SelfStock[RM_Code],$A46,T_SelfStock[WeekIndex],41)+SUMIFS(T_TTAFStock[TTAF_Qty],T_TTAFStock[RM_Code],$A46,T_TTAFStock[WeekIndex],41),AO46+'Grid_Incoming'!AP46-'Grid_Requirement'!AP46))</f>
        <v/>
      </c>
      <c r="AQ46">
        <f>IF(COUNTIFS(T_StockCount[RM_Code],$A46,T_StockCount[WeekIndex],42)&gt;0,SUMIFS(T_StockCount[CountedQty],T_StockCount[RM_Code],$A46,T_StockCount[WeekIndex],42),IF((COUNTIFS(T_SelfStock[RM_Code],$A46,T_SelfStock[WeekIndex],42)&gt;0)*(COUNTIFS(T_TTAFStock[RM_Code],$A46,T_TTAFStock[WeekIndex],42)&gt;0)&gt;0,SUMIFS(T_SelfStock[Self_Qty],T_SelfStock[RM_Code],$A46,T_SelfStock[WeekIndex],42)+SUMIFS(T_TTAFStock[TTAF_Qty],T_TTAFStock[RM_Code],$A46,T_TTAFStock[WeekIndex],42),AP46+'Grid_Incoming'!AQ46-'Grid_Requirement'!AQ46))</f>
        <v/>
      </c>
      <c r="AR46">
        <f>IF(COUNTIFS(T_StockCount[RM_Code],$A46,T_StockCount[WeekIndex],43)&gt;0,SUMIFS(T_StockCount[CountedQty],T_StockCount[RM_Code],$A46,T_StockCount[WeekIndex],43),IF((COUNTIFS(T_SelfStock[RM_Code],$A46,T_SelfStock[WeekIndex],43)&gt;0)*(COUNTIFS(T_TTAFStock[RM_Code],$A46,T_TTAFStock[WeekIndex],43)&gt;0)&gt;0,SUMIFS(T_SelfStock[Self_Qty],T_SelfStock[RM_Code],$A46,T_SelfStock[WeekIndex],43)+SUMIFS(T_TTAFStock[TTAF_Qty],T_TTAFStock[RM_Code],$A46,T_TTAFStock[WeekIndex],43),AQ46+'Grid_Incoming'!AR46-'Grid_Requirement'!AR46))</f>
        <v/>
      </c>
      <c r="AS46">
        <f>IF(COUNTIFS(T_StockCount[RM_Code],$A46,T_StockCount[WeekIndex],44)&gt;0,SUMIFS(T_StockCount[CountedQty],T_StockCount[RM_Code],$A46,T_StockCount[WeekIndex],44),IF((COUNTIFS(T_SelfStock[RM_Code],$A46,T_SelfStock[WeekIndex],44)&gt;0)*(COUNTIFS(T_TTAFStock[RM_Code],$A46,T_TTAFStock[WeekIndex],44)&gt;0)&gt;0,SUMIFS(T_SelfStock[Self_Qty],T_SelfStock[RM_Code],$A46,T_SelfStock[WeekIndex],44)+SUMIFS(T_TTAFStock[TTAF_Qty],T_TTAFStock[RM_Code],$A46,T_TTAFStock[WeekIndex],44),AR46+'Grid_Incoming'!AS46-'Grid_Requirement'!AS46))</f>
        <v/>
      </c>
      <c r="AT46">
        <f>IF(COUNTIFS(T_StockCount[RM_Code],$A46,T_StockCount[WeekIndex],45)&gt;0,SUMIFS(T_StockCount[CountedQty],T_StockCount[RM_Code],$A46,T_StockCount[WeekIndex],45),IF((COUNTIFS(T_SelfStock[RM_Code],$A46,T_SelfStock[WeekIndex],45)&gt;0)*(COUNTIFS(T_TTAFStock[RM_Code],$A46,T_TTAFStock[WeekIndex],45)&gt;0)&gt;0,SUMIFS(T_SelfStock[Self_Qty],T_SelfStock[RM_Code],$A46,T_SelfStock[WeekIndex],45)+SUMIFS(T_TTAFStock[TTAF_Qty],T_TTAFStock[RM_Code],$A46,T_TTAFStock[WeekIndex],45),AS46+'Grid_Incoming'!AT46-'Grid_Requirement'!AT46))</f>
        <v/>
      </c>
      <c r="AU46">
        <f>IF(COUNTIFS(T_StockCount[RM_Code],$A46,T_StockCount[WeekIndex],46)&gt;0,SUMIFS(T_StockCount[CountedQty],T_StockCount[RM_Code],$A46,T_StockCount[WeekIndex],46),IF((COUNTIFS(T_SelfStock[RM_Code],$A46,T_SelfStock[WeekIndex],46)&gt;0)*(COUNTIFS(T_TTAFStock[RM_Code],$A46,T_TTAFStock[WeekIndex],46)&gt;0)&gt;0,SUMIFS(T_SelfStock[Self_Qty],T_SelfStock[RM_Code],$A46,T_SelfStock[WeekIndex],46)+SUMIFS(T_TTAFStock[TTAF_Qty],T_TTAFStock[RM_Code],$A46,T_TTAFStock[WeekIndex],46),AT46+'Grid_Incoming'!AU46-'Grid_Requirement'!AU46))</f>
        <v/>
      </c>
      <c r="AV46">
        <f>IF(COUNTIFS(T_StockCount[RM_Code],$A46,T_StockCount[WeekIndex],47)&gt;0,SUMIFS(T_StockCount[CountedQty],T_StockCount[RM_Code],$A46,T_StockCount[WeekIndex],47),IF((COUNTIFS(T_SelfStock[RM_Code],$A46,T_SelfStock[WeekIndex],47)&gt;0)*(COUNTIFS(T_TTAFStock[RM_Code],$A46,T_TTAFStock[WeekIndex],47)&gt;0)&gt;0,SUMIFS(T_SelfStock[Self_Qty],T_SelfStock[RM_Code],$A46,T_SelfStock[WeekIndex],47)+SUMIFS(T_TTAFStock[TTAF_Qty],T_TTAFStock[RM_Code],$A46,T_TTAFStock[WeekIndex],47),AU46+'Grid_Incoming'!AV46-'Grid_Requirement'!AV46))</f>
        <v/>
      </c>
      <c r="AW46">
        <f>IF(COUNTIFS(T_StockCount[RM_Code],$A46,T_StockCount[WeekIndex],48)&gt;0,SUMIFS(T_StockCount[CountedQty],T_StockCount[RM_Code],$A46,T_StockCount[WeekIndex],48),IF((COUNTIFS(T_SelfStock[RM_Code],$A46,T_SelfStock[WeekIndex],48)&gt;0)*(COUNTIFS(T_TTAFStock[RM_Code],$A46,T_TTAFStock[WeekIndex],48)&gt;0)&gt;0,SUMIFS(T_SelfStock[Self_Qty],T_SelfStock[RM_Code],$A46,T_SelfStock[WeekIndex],48)+SUMIFS(T_TTAFStock[TTAF_Qty],T_TTAFStock[RM_Code],$A46,T_TTAFStock[WeekIndex],48),AV46+'Grid_Incoming'!AW46-'Grid_Requirement'!AW46))</f>
        <v/>
      </c>
      <c r="AX46">
        <f>IF(COUNTIFS(T_StockCount[RM_Code],$A46,T_StockCount[WeekIndex],49)&gt;0,SUMIFS(T_StockCount[CountedQty],T_StockCount[RM_Code],$A46,T_StockCount[WeekIndex],49),IF((COUNTIFS(T_SelfStock[RM_Code],$A46,T_SelfStock[WeekIndex],49)&gt;0)*(COUNTIFS(T_TTAFStock[RM_Code],$A46,T_TTAFStock[WeekIndex],49)&gt;0)&gt;0,SUMIFS(T_SelfStock[Self_Qty],T_SelfStock[RM_Code],$A46,T_SelfStock[WeekIndex],49)+SUMIFS(T_TTAFStock[TTAF_Qty],T_TTAFStock[RM_Code],$A46,T_TTAFStock[WeekIndex],49),AW46+'Grid_Incoming'!AX46-'Grid_Requirement'!AX46))</f>
        <v/>
      </c>
      <c r="AY46">
        <f>IF(COUNTIFS(T_StockCount[RM_Code],$A46,T_StockCount[WeekIndex],50)&gt;0,SUMIFS(T_StockCount[CountedQty],T_StockCount[RM_Code],$A46,T_StockCount[WeekIndex],50),IF((COUNTIFS(T_SelfStock[RM_Code],$A46,T_SelfStock[WeekIndex],50)&gt;0)*(COUNTIFS(T_TTAFStock[RM_Code],$A46,T_TTAFStock[WeekIndex],50)&gt;0)&gt;0,SUMIFS(T_SelfStock[Self_Qty],T_SelfStock[RM_Code],$A46,T_SelfStock[WeekIndex],50)+SUMIFS(T_TTAFStock[TTAF_Qty],T_TTAFStock[RM_Code],$A46,T_TTAFStock[WeekIndex],50),AX46+'Grid_Incoming'!AY46-'Grid_Requirement'!AY46))</f>
        <v/>
      </c>
      <c r="AZ46">
        <f>IF(COUNTIFS(T_StockCount[RM_Code],$A46,T_StockCount[WeekIndex],51)&gt;0,SUMIFS(T_StockCount[CountedQty],T_StockCount[RM_Code],$A46,T_StockCount[WeekIndex],51),IF((COUNTIFS(T_SelfStock[RM_Code],$A46,T_SelfStock[WeekIndex],51)&gt;0)*(COUNTIFS(T_TTAFStock[RM_Code],$A46,T_TTAFStock[WeekIndex],51)&gt;0)&gt;0,SUMIFS(T_SelfStock[Self_Qty],T_SelfStock[RM_Code],$A46,T_SelfStock[WeekIndex],51)+SUMIFS(T_TTAFStock[TTAF_Qty],T_TTAFStock[RM_Code],$A46,T_TTAFStock[WeekIndex],51),AY46+'Grid_Incoming'!AZ46-'Grid_Requirement'!AZ46))</f>
        <v/>
      </c>
      <c r="BA46">
        <f>IF(COUNTIFS(T_StockCount[RM_Code],$A46,T_StockCount[WeekIndex],52)&gt;0,SUMIFS(T_StockCount[CountedQty],T_StockCount[RM_Code],$A46,T_StockCount[WeekIndex],52),IF((COUNTIFS(T_SelfStock[RM_Code],$A46,T_SelfStock[WeekIndex],52)&gt;0)*(COUNTIFS(T_TTAFStock[RM_Code],$A46,T_TTAFStock[WeekIndex],52)&gt;0)&gt;0,SUMIFS(T_SelfStock[Self_Qty],T_SelfStock[RM_Code],$A46,T_SelfStock[WeekIndex],52)+SUMIFS(T_TTAFStock[TTAF_Qty],T_TTAFStock[RM_Code],$A46,T_TTAFStock[WeekIndex],52),AZ46+'Grid_Incoming'!BA46-'Grid_Requirement'!BA46))</f>
        <v/>
      </c>
      <c r="BB46">
        <f>IF(COUNTIFS(T_StockCount[RM_Code],$A46,T_StockCount[WeekIndex],53)&gt;0,SUMIFS(T_StockCount[CountedQty],T_StockCount[RM_Code],$A46,T_StockCount[WeekIndex],53),IF((COUNTIFS(T_SelfStock[RM_Code],$A46,T_SelfStock[WeekIndex],53)&gt;0)*(COUNTIFS(T_TTAFStock[RM_Code],$A46,T_TTAFStock[WeekIndex],53)&gt;0)&gt;0,SUMIFS(T_SelfStock[Self_Qty],T_SelfStock[RM_Code],$A46,T_SelfStock[WeekIndex],53)+SUMIFS(T_TTAFStock[TTAF_Qty],T_TTAFStock[RM_Code],$A46,T_TTAFStock[WeekIndex],53),BA46+'Grid_Incoming'!BB46-'Grid_Requirement'!BB46))</f>
        <v/>
      </c>
      <c r="BC46">
        <f>IF(COUNTIFS(T_StockCount[RM_Code],$A46,T_StockCount[WeekIndex],54)&gt;0,SUMIFS(T_StockCount[CountedQty],T_StockCount[RM_Code],$A46,T_StockCount[WeekIndex],54),IF((COUNTIFS(T_SelfStock[RM_Code],$A46,T_SelfStock[WeekIndex],54)&gt;0)*(COUNTIFS(T_TTAFStock[RM_Code],$A46,T_TTAFStock[WeekIndex],54)&gt;0)&gt;0,SUMIFS(T_SelfStock[Self_Qty],T_SelfStock[RM_Code],$A46,T_SelfStock[WeekIndex],54)+SUMIFS(T_TTAFStock[TTAF_Qty],T_TTAFStock[RM_Code],$A46,T_TTAFStock[WeekIndex],54),BB46+'Grid_Incoming'!BC46-'Grid_Requirement'!BC46))</f>
        <v/>
      </c>
      <c r="BD46">
        <f>IF(COUNTIFS(T_StockCount[RM_Code],$A46,T_StockCount[WeekIndex],55)&gt;0,SUMIFS(T_StockCount[CountedQty],T_StockCount[RM_Code],$A46,T_StockCount[WeekIndex],55),IF((COUNTIFS(T_SelfStock[RM_Code],$A46,T_SelfStock[WeekIndex],55)&gt;0)*(COUNTIFS(T_TTAFStock[RM_Code],$A46,T_TTAFStock[WeekIndex],55)&gt;0)&gt;0,SUMIFS(T_SelfStock[Self_Qty],T_SelfStock[RM_Code],$A46,T_SelfStock[WeekIndex],55)+SUMIFS(T_TTAFStock[TTAF_Qty],T_TTAFStock[RM_Code],$A46,T_TTAFStock[WeekIndex],55),BC46+'Grid_Incoming'!BD46-'Grid_Requirement'!BD46))</f>
        <v/>
      </c>
      <c r="BE46">
        <f>IF(COUNTIFS(T_StockCount[RM_Code],$A46,T_StockCount[WeekIndex],56)&gt;0,SUMIFS(T_StockCount[CountedQty],T_StockCount[RM_Code],$A46,T_StockCount[WeekIndex],56),IF((COUNTIFS(T_SelfStock[RM_Code],$A46,T_SelfStock[WeekIndex],56)&gt;0)*(COUNTIFS(T_TTAFStock[RM_Code],$A46,T_TTAFStock[WeekIndex],56)&gt;0)&gt;0,SUMIFS(T_SelfStock[Self_Qty],T_SelfStock[RM_Code],$A46,T_SelfStock[WeekIndex],56)+SUMIFS(T_TTAFStock[TTAF_Qty],T_TTAFStock[RM_Code],$A46,T_TTAFStock[WeekIndex],56),BD46+'Grid_Incoming'!BE46-'Grid_Requirement'!BE46))</f>
        <v/>
      </c>
      <c r="BF46">
        <f>IF(COUNTIFS(T_StockCount[RM_Code],$A46,T_StockCount[WeekIndex],57)&gt;0,SUMIFS(T_StockCount[CountedQty],T_StockCount[RM_Code],$A46,T_StockCount[WeekIndex],57),IF((COUNTIFS(T_SelfStock[RM_Code],$A46,T_SelfStock[WeekIndex],57)&gt;0)*(COUNTIFS(T_TTAFStock[RM_Code],$A46,T_TTAFStock[WeekIndex],57)&gt;0)&gt;0,SUMIFS(T_SelfStock[Self_Qty],T_SelfStock[RM_Code],$A46,T_SelfStock[WeekIndex],57)+SUMIFS(T_TTAFStock[TTAF_Qty],T_TTAFStock[RM_Code],$A46,T_TTAFStock[WeekIndex],57),BE46+'Grid_Incoming'!BF46-'Grid_Requirement'!BF46))</f>
        <v/>
      </c>
      <c r="BG46">
        <f>IF(COUNTIFS(T_StockCount[RM_Code],$A46,T_StockCount[WeekIndex],58)&gt;0,SUMIFS(T_StockCount[CountedQty],T_StockCount[RM_Code],$A46,T_StockCount[WeekIndex],58),IF((COUNTIFS(T_SelfStock[RM_Code],$A46,T_SelfStock[WeekIndex],58)&gt;0)*(COUNTIFS(T_TTAFStock[RM_Code],$A46,T_TTAFStock[WeekIndex],58)&gt;0)&gt;0,SUMIFS(T_SelfStock[Self_Qty],T_SelfStock[RM_Code],$A46,T_SelfStock[WeekIndex],58)+SUMIFS(T_TTAFStock[TTAF_Qty],T_TTAFStock[RM_Code],$A46,T_TTAFStock[WeekIndex],58),BF46+'Grid_Incoming'!BG46-'Grid_Requirement'!BG46))</f>
        <v/>
      </c>
      <c r="BH46">
        <f>IF(COUNTIFS(T_StockCount[RM_Code],$A46,T_StockCount[WeekIndex],59)&gt;0,SUMIFS(T_StockCount[CountedQty],T_StockCount[RM_Code],$A46,T_StockCount[WeekIndex],59),IF((COUNTIFS(T_SelfStock[RM_Code],$A46,T_SelfStock[WeekIndex],59)&gt;0)*(COUNTIFS(T_TTAFStock[RM_Code],$A46,T_TTAFStock[WeekIndex],59)&gt;0)&gt;0,SUMIFS(T_SelfStock[Self_Qty],T_SelfStock[RM_Code],$A46,T_SelfStock[WeekIndex],59)+SUMIFS(T_TTAFStock[TTAF_Qty],T_TTAFStock[RM_Code],$A46,T_TTAFStock[WeekIndex],59),BG46+'Grid_Incoming'!BH46-'Grid_Requirement'!BH46))</f>
        <v/>
      </c>
      <c r="BI46">
        <f>IF(COUNTIFS(T_StockCount[RM_Code],$A46,T_StockCount[WeekIndex],60)&gt;0,SUMIFS(T_StockCount[CountedQty],T_StockCount[RM_Code],$A46,T_StockCount[WeekIndex],60),IF((COUNTIFS(T_SelfStock[RM_Code],$A46,T_SelfStock[WeekIndex],60)&gt;0)*(COUNTIFS(T_TTAFStock[RM_Code],$A46,T_TTAFStock[WeekIndex],60)&gt;0)&gt;0,SUMIFS(T_SelfStock[Self_Qty],T_SelfStock[RM_Code],$A46,T_SelfStock[WeekIndex],60)+SUMIFS(T_TTAFStock[TTAF_Qty],T_TTAFStock[RM_Code],$A46,T_TTAFStock[WeekIndex],60),BH46+'Grid_Incoming'!BI46-'Grid_Requirement'!BI46))</f>
        <v/>
      </c>
      <c r="BJ46">
        <f>IF(COUNTIFS(T_StockCount[RM_Code],$A46,T_StockCount[WeekIndex],61)&gt;0,SUMIFS(T_StockCount[CountedQty],T_StockCount[RM_Code],$A46,T_StockCount[WeekIndex],61),IF((COUNTIFS(T_SelfStock[RM_Code],$A46,T_SelfStock[WeekIndex],61)&gt;0)*(COUNTIFS(T_TTAFStock[RM_Code],$A46,T_TTAFStock[WeekIndex],61)&gt;0)&gt;0,SUMIFS(T_SelfStock[Self_Qty],T_SelfStock[RM_Code],$A46,T_SelfStock[WeekIndex],61)+SUMIFS(T_TTAFStock[TTAF_Qty],T_TTAFStock[RM_Code],$A46,T_TTAFStock[WeekIndex],61),BI46+'Grid_Incoming'!BJ46-'Grid_Requirement'!BJ46))</f>
        <v/>
      </c>
      <c r="BK46">
        <f>IF(COUNTIFS(T_StockCount[RM_Code],$A46,T_StockCount[WeekIndex],62)&gt;0,SUMIFS(T_StockCount[CountedQty],T_StockCount[RM_Code],$A46,T_StockCount[WeekIndex],62),IF((COUNTIFS(T_SelfStock[RM_Code],$A46,T_SelfStock[WeekIndex],62)&gt;0)*(COUNTIFS(T_TTAFStock[RM_Code],$A46,T_TTAFStock[WeekIndex],62)&gt;0)&gt;0,SUMIFS(T_SelfStock[Self_Qty],T_SelfStock[RM_Code],$A46,T_SelfStock[WeekIndex],62)+SUMIFS(T_TTAFStock[TTAF_Qty],T_TTAFStock[RM_Code],$A46,T_TTAFStock[WeekIndex],62),BJ46+'Grid_Incoming'!BK46-'Grid_Requirement'!BK46))</f>
        <v/>
      </c>
      <c r="BL46">
        <f>IF(COUNTIFS(T_StockCount[RM_Code],$A46,T_StockCount[WeekIndex],63)&gt;0,SUMIFS(T_StockCount[CountedQty],T_StockCount[RM_Code],$A46,T_StockCount[WeekIndex],63),IF((COUNTIFS(T_SelfStock[RM_Code],$A46,T_SelfStock[WeekIndex],63)&gt;0)*(COUNTIFS(T_TTAFStock[RM_Code],$A46,T_TTAFStock[WeekIndex],63)&gt;0)&gt;0,SUMIFS(T_SelfStock[Self_Qty],T_SelfStock[RM_Code],$A46,T_SelfStock[WeekIndex],63)+SUMIFS(T_TTAFStock[TTAF_Qty],T_TTAFStock[RM_Code],$A46,T_TTAFStock[WeekIndex],63),BK46+'Grid_Incoming'!BL46-'Grid_Requirement'!BL46))</f>
        <v/>
      </c>
      <c r="BM46">
        <f>IF(COUNTIFS(T_StockCount[RM_Code],$A46,T_StockCount[WeekIndex],64)&gt;0,SUMIFS(T_StockCount[CountedQty],T_StockCount[RM_Code],$A46,T_StockCount[WeekIndex],64),IF((COUNTIFS(T_SelfStock[RM_Code],$A46,T_SelfStock[WeekIndex],64)&gt;0)*(COUNTIFS(T_TTAFStock[RM_Code],$A46,T_TTAFStock[WeekIndex],64)&gt;0)&gt;0,SUMIFS(T_SelfStock[Self_Qty],T_SelfStock[RM_Code],$A46,T_SelfStock[WeekIndex],64)+SUMIFS(T_TTAFStock[TTAF_Qty],T_TTAFStock[RM_Code],$A46,T_TTAFStock[WeekIndex],64),BL46+'Grid_Incoming'!BM46-'Grid_Requirement'!BM46))</f>
        <v/>
      </c>
      <c r="BN46">
        <f>IF(COUNTIFS(T_StockCount[RM_Code],$A46,T_StockCount[WeekIndex],65)&gt;0,SUMIFS(T_StockCount[CountedQty],T_StockCount[RM_Code],$A46,T_StockCount[WeekIndex],65),IF((COUNTIFS(T_SelfStock[RM_Code],$A46,T_SelfStock[WeekIndex],65)&gt;0)*(COUNTIFS(T_TTAFStock[RM_Code],$A46,T_TTAFStock[WeekIndex],65)&gt;0)&gt;0,SUMIFS(T_SelfStock[Self_Qty],T_SelfStock[RM_Code],$A46,T_SelfStock[WeekIndex],65)+SUMIFS(T_TTAFStock[TTAF_Qty],T_TTAFStock[RM_Code],$A46,T_TTAFStock[WeekIndex],65),BM46+'Grid_Incoming'!BN46-'Grid_Requirement'!BN46))</f>
        <v/>
      </c>
      <c r="BO46">
        <f>IF(COUNTIFS(T_StockCount[RM_Code],$A46,T_StockCount[WeekIndex],66)&gt;0,SUMIFS(T_StockCount[CountedQty],T_StockCount[RM_Code],$A46,T_StockCount[WeekIndex],66),IF((COUNTIFS(T_SelfStock[RM_Code],$A46,T_SelfStock[WeekIndex],66)&gt;0)*(COUNTIFS(T_TTAFStock[RM_Code],$A46,T_TTAFStock[WeekIndex],66)&gt;0)&gt;0,SUMIFS(T_SelfStock[Self_Qty],T_SelfStock[RM_Code],$A46,T_SelfStock[WeekIndex],66)+SUMIFS(T_TTAFStock[TTAF_Qty],T_TTAFStock[RM_Code],$A46,T_TTAFStock[WeekIndex],66),BN46+'Grid_Incoming'!BO46-'Grid_Requirement'!BO46))</f>
        <v/>
      </c>
      <c r="BP46">
        <f>IF(COUNTIFS(T_StockCount[RM_Code],$A46,T_StockCount[WeekIndex],67)&gt;0,SUMIFS(T_StockCount[CountedQty],T_StockCount[RM_Code],$A46,T_StockCount[WeekIndex],67),IF((COUNTIFS(T_SelfStock[RM_Code],$A46,T_SelfStock[WeekIndex],67)&gt;0)*(COUNTIFS(T_TTAFStock[RM_Code],$A46,T_TTAFStock[WeekIndex],67)&gt;0)&gt;0,SUMIFS(T_SelfStock[Self_Qty],T_SelfStock[RM_Code],$A46,T_SelfStock[WeekIndex],67)+SUMIFS(T_TTAFStock[TTAF_Qty],T_TTAFStock[RM_Code],$A46,T_TTAFStock[WeekIndex],67),BO46+'Grid_Incoming'!BP46-'Grid_Requirement'!BP46))</f>
        <v/>
      </c>
      <c r="BQ46">
        <f>IF(COUNTIFS(T_StockCount[RM_Code],$A46,T_StockCount[WeekIndex],68)&gt;0,SUMIFS(T_StockCount[CountedQty],T_StockCount[RM_Code],$A46,T_StockCount[WeekIndex],68),IF((COUNTIFS(T_SelfStock[RM_Code],$A46,T_SelfStock[WeekIndex],68)&gt;0)*(COUNTIFS(T_TTAFStock[RM_Code],$A46,T_TTAFStock[WeekIndex],68)&gt;0)&gt;0,SUMIFS(T_SelfStock[Self_Qty],T_SelfStock[RM_Code],$A46,T_SelfStock[WeekIndex],68)+SUMIFS(T_TTAFStock[TTAF_Qty],T_TTAFStock[RM_Code],$A46,T_TTAFStock[WeekIndex],68),BP46+'Grid_Incoming'!BQ46-'Grid_Requirement'!BQ46))</f>
        <v/>
      </c>
      <c r="BR46">
        <f>IF(COUNTIFS(T_StockCount[RM_Code],$A46,T_StockCount[WeekIndex],69)&gt;0,SUMIFS(T_StockCount[CountedQty],T_StockCount[RM_Code],$A46,T_StockCount[WeekIndex],69),IF((COUNTIFS(T_SelfStock[RM_Code],$A46,T_SelfStock[WeekIndex],69)&gt;0)*(COUNTIFS(T_TTAFStock[RM_Code],$A46,T_TTAFStock[WeekIndex],69)&gt;0)&gt;0,SUMIFS(T_SelfStock[Self_Qty],T_SelfStock[RM_Code],$A46,T_SelfStock[WeekIndex],69)+SUMIFS(T_TTAFStock[TTAF_Qty],T_TTAFStock[RM_Code],$A46,T_TTAFStock[WeekIndex],69),BQ46+'Grid_Incoming'!BR46-'Grid_Requirement'!BR46))</f>
        <v/>
      </c>
      <c r="BS46">
        <f>IF(COUNTIFS(T_StockCount[RM_Code],$A46,T_StockCount[WeekIndex],70)&gt;0,SUMIFS(T_StockCount[CountedQty],T_StockCount[RM_Code],$A46,T_StockCount[WeekIndex],70),IF((COUNTIFS(T_SelfStock[RM_Code],$A46,T_SelfStock[WeekIndex],70)&gt;0)*(COUNTIFS(T_TTAFStock[RM_Code],$A46,T_TTAFStock[WeekIndex],70)&gt;0)&gt;0,SUMIFS(T_SelfStock[Self_Qty],T_SelfStock[RM_Code],$A46,T_SelfStock[WeekIndex],70)+SUMIFS(T_TTAFStock[TTAF_Qty],T_TTAFStock[RM_Code],$A46,T_TTAFStock[WeekIndex],70),BR46+'Grid_Incoming'!BS46-'Grid_Requirement'!BS46))</f>
        <v/>
      </c>
      <c r="BT46">
        <f>IF(COUNTIFS(T_StockCount[RM_Code],$A46,T_StockCount[WeekIndex],71)&gt;0,SUMIFS(T_StockCount[CountedQty],T_StockCount[RM_Code],$A46,T_StockCount[WeekIndex],71),IF((COUNTIFS(T_SelfStock[RM_Code],$A46,T_SelfStock[WeekIndex],71)&gt;0)*(COUNTIFS(T_TTAFStock[RM_Code],$A46,T_TTAFStock[WeekIndex],71)&gt;0)&gt;0,SUMIFS(T_SelfStock[Self_Qty],T_SelfStock[RM_Code],$A46,T_SelfStock[WeekIndex],71)+SUMIFS(T_TTAFStock[TTAF_Qty],T_TTAFStock[RM_Code],$A46,T_TTAFStock[WeekIndex],71),BS46+'Grid_Incoming'!BT46-'Grid_Requirement'!BT46))</f>
        <v/>
      </c>
      <c r="BU46">
        <f>IF(COUNTIFS(T_StockCount[RM_Code],$A46,T_StockCount[WeekIndex],72)&gt;0,SUMIFS(T_StockCount[CountedQty],T_StockCount[RM_Code],$A46,T_StockCount[WeekIndex],72),IF((COUNTIFS(T_SelfStock[RM_Code],$A46,T_SelfStock[WeekIndex],72)&gt;0)*(COUNTIFS(T_TTAFStock[RM_Code],$A46,T_TTAFStock[WeekIndex],72)&gt;0)&gt;0,SUMIFS(T_SelfStock[Self_Qty],T_SelfStock[RM_Code],$A46,T_SelfStock[WeekIndex],72)+SUMIFS(T_TTAFStock[TTAF_Qty],T_TTAFStock[RM_Code],$A46,T_TTAFStock[WeekIndex],72),BT46+'Grid_Incoming'!BU46-'Grid_Requirement'!BU46))</f>
        <v/>
      </c>
      <c r="BV46">
        <f>IF(COUNTIFS(T_StockCount[RM_Code],$A46,T_StockCount[WeekIndex],73)&gt;0,SUMIFS(T_StockCount[CountedQty],T_StockCount[RM_Code],$A46,T_StockCount[WeekIndex],73),IF((COUNTIFS(T_SelfStock[RM_Code],$A46,T_SelfStock[WeekIndex],73)&gt;0)*(COUNTIFS(T_TTAFStock[RM_Code],$A46,T_TTAFStock[WeekIndex],73)&gt;0)&gt;0,SUMIFS(T_SelfStock[Self_Qty],T_SelfStock[RM_Code],$A46,T_SelfStock[WeekIndex],73)+SUMIFS(T_TTAFStock[TTAF_Qty],T_TTAFStock[RM_Code],$A46,T_TTAFStock[WeekIndex],73),BU46+'Grid_Incoming'!BV46-'Grid_Requirement'!BV46))</f>
        <v/>
      </c>
      <c r="BW46">
        <f>IF(COUNTIFS(T_StockCount[RM_Code],$A46,T_StockCount[WeekIndex],74)&gt;0,SUMIFS(T_StockCount[CountedQty],T_StockCount[RM_Code],$A46,T_StockCount[WeekIndex],74),IF((COUNTIFS(T_SelfStock[RM_Code],$A46,T_SelfStock[WeekIndex],74)&gt;0)*(COUNTIFS(T_TTAFStock[RM_Code],$A46,T_TTAFStock[WeekIndex],74)&gt;0)&gt;0,SUMIFS(T_SelfStock[Self_Qty],T_SelfStock[RM_Code],$A46,T_SelfStock[WeekIndex],74)+SUMIFS(T_TTAFStock[TTAF_Qty],T_TTAFStock[RM_Code],$A46,T_TTAFStock[WeekIndex],74),BV46+'Grid_Incoming'!BW46-'Grid_Requirement'!BW46))</f>
        <v/>
      </c>
      <c r="BX46">
        <f>IF(COUNTIFS(T_StockCount[RM_Code],$A46,T_StockCount[WeekIndex],75)&gt;0,SUMIFS(T_StockCount[CountedQty],T_StockCount[RM_Code],$A46,T_StockCount[WeekIndex],75),IF((COUNTIFS(T_SelfStock[RM_Code],$A46,T_SelfStock[WeekIndex],75)&gt;0)*(COUNTIFS(T_TTAFStock[RM_Code],$A46,T_TTAFStock[WeekIndex],75)&gt;0)&gt;0,SUMIFS(T_SelfStock[Self_Qty],T_SelfStock[RM_Code],$A46,T_SelfStock[WeekIndex],75)+SUMIFS(T_TTAFStock[TTAF_Qty],T_TTAFStock[RM_Code],$A46,T_TTAFStock[WeekIndex],75),BW46+'Grid_Incoming'!BX46-'Grid_Requirement'!BX46))</f>
        <v/>
      </c>
      <c r="BY46">
        <f>IF(COUNTIFS(T_StockCount[RM_Code],$A46,T_StockCount[WeekIndex],76)&gt;0,SUMIFS(T_StockCount[CountedQty],T_StockCount[RM_Code],$A46,T_StockCount[WeekIndex],76),IF((COUNTIFS(T_SelfStock[RM_Code],$A46,T_SelfStock[WeekIndex],76)&gt;0)*(COUNTIFS(T_TTAFStock[RM_Code],$A46,T_TTAFStock[WeekIndex],76)&gt;0)&gt;0,SUMIFS(T_SelfStock[Self_Qty],T_SelfStock[RM_Code],$A46,T_SelfStock[WeekIndex],76)+SUMIFS(T_TTAFStock[TTAF_Qty],T_TTAFStock[RM_Code],$A46,T_TTAFStock[WeekIndex],76),BX46+'Grid_Incoming'!BY46-'Grid_Requirement'!BY46))</f>
        <v/>
      </c>
      <c r="BZ46">
        <f>IF(COUNTIFS(T_StockCount[RM_Code],$A46,T_StockCount[WeekIndex],77)&gt;0,SUMIFS(T_StockCount[CountedQty],T_StockCount[RM_Code],$A46,T_StockCount[WeekIndex],77),IF((COUNTIFS(T_SelfStock[RM_Code],$A46,T_SelfStock[WeekIndex],77)&gt;0)*(COUNTIFS(T_TTAFStock[RM_Code],$A46,T_TTAFStock[WeekIndex],77)&gt;0)&gt;0,SUMIFS(T_SelfStock[Self_Qty],T_SelfStock[RM_Code],$A46,T_SelfStock[WeekIndex],77)+SUMIFS(T_TTAFStock[TTAF_Qty],T_TTAFStock[RM_Code],$A46,T_TTAFStock[WeekIndex],77),BY46+'Grid_Incoming'!BZ46-'Grid_Requirement'!BZ46))</f>
        <v/>
      </c>
      <c r="CA46">
        <f>IF(COUNTIFS(T_StockCount[RM_Code],$A46,T_StockCount[WeekIndex],78)&gt;0,SUMIFS(T_StockCount[CountedQty],T_StockCount[RM_Code],$A46,T_StockCount[WeekIndex],78),IF((COUNTIFS(T_SelfStock[RM_Code],$A46,T_SelfStock[WeekIndex],78)&gt;0)*(COUNTIFS(T_TTAFStock[RM_Code],$A46,T_TTAFStock[WeekIndex],78)&gt;0)&gt;0,SUMIFS(T_SelfStock[Self_Qty],T_SelfStock[RM_Code],$A46,T_SelfStock[WeekIndex],78)+SUMIFS(T_TTAFStock[TTAF_Qty],T_TTAFStock[RM_Code],$A46,T_TTAFStock[WeekIndex],78),BZ46+'Grid_Incoming'!CA46-'Grid_Requirement'!CA46))</f>
        <v/>
      </c>
      <c r="CB46">
        <f>IF(COUNTIFS(T_StockCount[RM_Code],$A46,T_StockCount[WeekIndex],79)&gt;0,SUMIFS(T_StockCount[CountedQty],T_StockCount[RM_Code],$A46,T_StockCount[WeekIndex],79),IF((COUNTIFS(T_SelfStock[RM_Code],$A46,T_SelfStock[WeekIndex],79)&gt;0)*(COUNTIFS(T_TTAFStock[RM_Code],$A46,T_TTAFStock[WeekIndex],79)&gt;0)&gt;0,SUMIFS(T_SelfStock[Self_Qty],T_SelfStock[RM_Code],$A46,T_SelfStock[WeekIndex],79)+SUMIFS(T_TTAFStock[TTAF_Qty],T_TTAFStock[RM_Code],$A46,T_TTAFStock[WeekIndex],79),CA46+'Grid_Incoming'!CB46-'Grid_Requirement'!CB46))</f>
        <v/>
      </c>
      <c r="CC46">
        <f>IF(COUNTIFS(T_StockCount[RM_Code],$A46,T_StockCount[WeekIndex],80)&gt;0,SUMIFS(T_StockCount[CountedQty],T_StockCount[RM_Code],$A46,T_StockCount[WeekIndex],80),IF((COUNTIFS(T_SelfStock[RM_Code],$A46,T_SelfStock[WeekIndex],80)&gt;0)*(COUNTIFS(T_TTAFStock[RM_Code],$A46,T_TTAFStock[WeekIndex],80)&gt;0)&gt;0,SUMIFS(T_SelfStock[Self_Qty],T_SelfStock[RM_Code],$A46,T_SelfStock[WeekIndex],80)+SUMIFS(T_TTAFStock[TTAF_Qty],T_TTAFStock[RM_Code],$A46,T_TTAFStock[WeekIndex],80),CB46+'Grid_Incoming'!CC46-'Grid_Requirement'!CC46))</f>
        <v/>
      </c>
      <c r="CD46">
        <f>IF(COUNTIFS(T_StockCount[RM_Code],$A46,T_StockCount[WeekIndex],81)&gt;0,SUMIFS(T_StockCount[CountedQty],T_StockCount[RM_Code],$A46,T_StockCount[WeekIndex],81),IF((COUNTIFS(T_SelfStock[RM_Code],$A46,T_SelfStock[WeekIndex],81)&gt;0)*(COUNTIFS(T_TTAFStock[RM_Code],$A46,T_TTAFStock[WeekIndex],81)&gt;0)&gt;0,SUMIFS(T_SelfStock[Self_Qty],T_SelfStock[RM_Code],$A46,T_SelfStock[WeekIndex],81)+SUMIFS(T_TTAFStock[TTAF_Qty],T_TTAFStock[RM_Code],$A46,T_TTAFStock[WeekIndex],81),CC46+'Grid_Incoming'!CD46-'Grid_Requirement'!CD46))</f>
        <v/>
      </c>
      <c r="CE46">
        <f>IF(COUNTIFS(T_StockCount[RM_Code],$A46,T_StockCount[WeekIndex],82)&gt;0,SUMIFS(T_StockCount[CountedQty],T_StockCount[RM_Code],$A46,T_StockCount[WeekIndex],82),IF((COUNTIFS(T_SelfStock[RM_Code],$A46,T_SelfStock[WeekIndex],82)&gt;0)*(COUNTIFS(T_TTAFStock[RM_Code],$A46,T_TTAFStock[WeekIndex],82)&gt;0)&gt;0,SUMIFS(T_SelfStock[Self_Qty],T_SelfStock[RM_Code],$A46,T_SelfStock[WeekIndex],82)+SUMIFS(T_TTAFStock[TTAF_Qty],T_TTAFStock[RM_Code],$A46,T_TTAFStock[WeekIndex],82),CD46+'Grid_Incoming'!CE46-'Grid_Requirement'!CE46))</f>
        <v/>
      </c>
      <c r="CF46">
        <f>IF(COUNTIFS(T_StockCount[RM_Code],$A46,T_StockCount[WeekIndex],83)&gt;0,SUMIFS(T_StockCount[CountedQty],T_StockCount[RM_Code],$A46,T_StockCount[WeekIndex],83),IF((COUNTIFS(T_SelfStock[RM_Code],$A46,T_SelfStock[WeekIndex],83)&gt;0)*(COUNTIFS(T_TTAFStock[RM_Code],$A46,T_TTAFStock[WeekIndex],83)&gt;0)&gt;0,SUMIFS(T_SelfStock[Self_Qty],T_SelfStock[RM_Code],$A46,T_SelfStock[WeekIndex],83)+SUMIFS(T_TTAFStock[TTAF_Qty],T_TTAFStock[RM_Code],$A46,T_TTAFStock[WeekIndex],83),CE46+'Grid_Incoming'!CF46-'Grid_Requirement'!CF46))</f>
        <v/>
      </c>
      <c r="CG46">
        <f>IF(COUNTIFS(T_StockCount[RM_Code],$A46,T_StockCount[WeekIndex],84)&gt;0,SUMIFS(T_StockCount[CountedQty],T_StockCount[RM_Code],$A46,T_StockCount[WeekIndex],84),IF((COUNTIFS(T_SelfStock[RM_Code],$A46,T_SelfStock[WeekIndex],84)&gt;0)*(COUNTIFS(T_TTAFStock[RM_Code],$A46,T_TTAFStock[WeekIndex],84)&gt;0)&gt;0,SUMIFS(T_SelfStock[Self_Qty],T_SelfStock[RM_Code],$A46,T_SelfStock[WeekIndex],84)+SUMIFS(T_TTAFStock[TTAF_Qty],T_TTAFStock[RM_Code],$A46,T_TTAFStock[WeekIndex],84),CF46+'Grid_Incoming'!CG46-'Grid_Requirement'!CG46))</f>
        <v/>
      </c>
      <c r="CH46">
        <f>IF(COUNTIFS(T_StockCount[RM_Code],$A46,T_StockCount[WeekIndex],85)&gt;0,SUMIFS(T_StockCount[CountedQty],T_StockCount[RM_Code],$A46,T_StockCount[WeekIndex],85),IF((COUNTIFS(T_SelfStock[RM_Code],$A46,T_SelfStock[WeekIndex],85)&gt;0)*(COUNTIFS(T_TTAFStock[RM_Code],$A46,T_TTAFStock[WeekIndex],85)&gt;0)&gt;0,SUMIFS(T_SelfStock[Self_Qty],T_SelfStock[RM_Code],$A46,T_SelfStock[WeekIndex],85)+SUMIFS(T_TTAFStock[TTAF_Qty],T_TTAFStock[RM_Code],$A46,T_TTAFStock[WeekIndex],85),CG46+'Grid_Incoming'!CH46-'Grid_Requirement'!CH46))</f>
        <v/>
      </c>
      <c r="CI46">
        <f>IF(COUNTIFS(T_StockCount[RM_Code],$A46,T_StockCount[WeekIndex],86)&gt;0,SUMIFS(T_StockCount[CountedQty],T_StockCount[RM_Code],$A46,T_StockCount[WeekIndex],86),IF((COUNTIFS(T_SelfStock[RM_Code],$A46,T_SelfStock[WeekIndex],86)&gt;0)*(COUNTIFS(T_TTAFStock[RM_Code],$A46,T_TTAFStock[WeekIndex],86)&gt;0)&gt;0,SUMIFS(T_SelfStock[Self_Qty],T_SelfStock[RM_Code],$A46,T_SelfStock[WeekIndex],86)+SUMIFS(T_TTAFStock[TTAF_Qty],T_TTAFStock[RM_Code],$A46,T_TTAFStock[WeekIndex],86),CH46+'Grid_Incoming'!CI46-'Grid_Requirement'!CI46))</f>
        <v/>
      </c>
      <c r="CJ46">
        <f>IF(COUNTIFS(T_StockCount[RM_Code],$A46,T_StockCount[WeekIndex],87)&gt;0,SUMIFS(T_StockCount[CountedQty],T_StockCount[RM_Code],$A46,T_StockCount[WeekIndex],87),IF((COUNTIFS(T_SelfStock[RM_Code],$A46,T_SelfStock[WeekIndex],87)&gt;0)*(COUNTIFS(T_TTAFStock[RM_Code],$A46,T_TTAFStock[WeekIndex],87)&gt;0)&gt;0,SUMIFS(T_SelfStock[Self_Qty],T_SelfStock[RM_Code],$A46,T_SelfStock[WeekIndex],87)+SUMIFS(T_TTAFStock[TTAF_Qty],T_TTAFStock[RM_Code],$A46,T_TTAFStock[WeekIndex],87),CI46+'Grid_Incoming'!CJ46-'Grid_Requirement'!CJ46))</f>
        <v/>
      </c>
      <c r="CK46">
        <f>IF(COUNTIFS(T_StockCount[RM_Code],$A46,T_StockCount[WeekIndex],88)&gt;0,SUMIFS(T_StockCount[CountedQty],T_StockCount[RM_Code],$A46,T_StockCount[WeekIndex],88),IF((COUNTIFS(T_SelfStock[RM_Code],$A46,T_SelfStock[WeekIndex],88)&gt;0)*(COUNTIFS(T_TTAFStock[RM_Code],$A46,T_TTAFStock[WeekIndex],88)&gt;0)&gt;0,SUMIFS(T_SelfStock[Self_Qty],T_SelfStock[RM_Code],$A46,T_SelfStock[WeekIndex],88)+SUMIFS(T_TTAFStock[TTAF_Qty],T_TTAFStock[RM_Code],$A46,T_TTAFStock[WeekIndex],88),CJ46+'Grid_Incoming'!CK46-'Grid_Requirement'!CK46))</f>
        <v/>
      </c>
      <c r="CL46">
        <f>IF(COUNTIFS(T_StockCount[RM_Code],$A46,T_StockCount[WeekIndex],89)&gt;0,SUMIFS(T_StockCount[CountedQty],T_StockCount[RM_Code],$A46,T_StockCount[WeekIndex],89),IF((COUNTIFS(T_SelfStock[RM_Code],$A46,T_SelfStock[WeekIndex],89)&gt;0)*(COUNTIFS(T_TTAFStock[RM_Code],$A46,T_TTAFStock[WeekIndex],89)&gt;0)&gt;0,SUMIFS(T_SelfStock[Self_Qty],T_SelfStock[RM_Code],$A46,T_SelfStock[WeekIndex],89)+SUMIFS(T_TTAFStock[TTAF_Qty],T_TTAFStock[RM_Code],$A46,T_TTAFStock[WeekIndex],89),CK46+'Grid_Incoming'!CL46-'Grid_Requirement'!CL46))</f>
        <v/>
      </c>
      <c r="CM46">
        <f>IF(COUNTIFS(T_StockCount[RM_Code],$A46,T_StockCount[WeekIndex],90)&gt;0,SUMIFS(T_StockCount[CountedQty],T_StockCount[RM_Code],$A46,T_StockCount[WeekIndex],90),IF((COUNTIFS(T_SelfStock[RM_Code],$A46,T_SelfStock[WeekIndex],90)&gt;0)*(COUNTIFS(T_TTAFStock[RM_Code],$A46,T_TTAFStock[WeekIndex],90)&gt;0)&gt;0,SUMIFS(T_SelfStock[Self_Qty],T_SelfStock[RM_Code],$A46,T_SelfStock[WeekIndex],90)+SUMIFS(T_TTAFStock[TTAF_Qty],T_TTAFStock[RM_Code],$A46,T_TTAFStock[WeekIndex],90),CL46+'Grid_Incoming'!CM46-'Grid_Requirement'!CM46))</f>
        <v/>
      </c>
      <c r="CN46">
        <f>IF(COUNTIFS(T_StockCount[RM_Code],$A46,T_StockCount[WeekIndex],91)&gt;0,SUMIFS(T_StockCount[CountedQty],T_StockCount[RM_Code],$A46,T_StockCount[WeekIndex],91),IF((COUNTIFS(T_SelfStock[RM_Code],$A46,T_SelfStock[WeekIndex],91)&gt;0)*(COUNTIFS(T_TTAFStock[RM_Code],$A46,T_TTAFStock[WeekIndex],91)&gt;0)&gt;0,SUMIFS(T_SelfStock[Self_Qty],T_SelfStock[RM_Code],$A46,T_SelfStock[WeekIndex],91)+SUMIFS(T_TTAFStock[TTAF_Qty],T_TTAFStock[RM_Code],$A46,T_TTAFStock[WeekIndex],91),CM46+'Grid_Incoming'!CN46-'Grid_Requirement'!CN46))</f>
        <v/>
      </c>
      <c r="CO46">
        <f>IF(COUNTIFS(T_StockCount[RM_Code],$A46,T_StockCount[WeekIndex],92)&gt;0,SUMIFS(T_StockCount[CountedQty],T_StockCount[RM_Code],$A46,T_StockCount[WeekIndex],92),IF((COUNTIFS(T_SelfStock[RM_Code],$A46,T_SelfStock[WeekIndex],92)&gt;0)*(COUNTIFS(T_TTAFStock[RM_Code],$A46,T_TTAFStock[WeekIndex],92)&gt;0)&gt;0,SUMIFS(T_SelfStock[Self_Qty],T_SelfStock[RM_Code],$A46,T_SelfStock[WeekIndex],92)+SUMIFS(T_TTAFStock[TTAF_Qty],T_TTAFStock[RM_Code],$A46,T_TTAFStock[WeekIndex],92),CN46+'Grid_Incoming'!CO46-'Grid_Requirement'!CO46))</f>
        <v/>
      </c>
      <c r="CP46">
        <f>IF(COUNTIFS(T_StockCount[RM_Code],$A46,T_StockCount[WeekIndex],93)&gt;0,SUMIFS(T_StockCount[CountedQty],T_StockCount[RM_Code],$A46,T_StockCount[WeekIndex],93),IF((COUNTIFS(T_SelfStock[RM_Code],$A46,T_SelfStock[WeekIndex],93)&gt;0)*(COUNTIFS(T_TTAFStock[RM_Code],$A46,T_TTAFStock[WeekIndex],93)&gt;0)&gt;0,SUMIFS(T_SelfStock[Self_Qty],T_SelfStock[RM_Code],$A46,T_SelfStock[WeekIndex],93)+SUMIFS(T_TTAFStock[TTAF_Qty],T_TTAFStock[RM_Code],$A46,T_TTAFStock[WeekIndex],93),CO46+'Grid_Incoming'!CP46-'Grid_Requirement'!CP46))</f>
        <v/>
      </c>
      <c r="CQ46">
        <f>IF(COUNTIFS(T_StockCount[RM_Code],$A46,T_StockCount[WeekIndex],94)&gt;0,SUMIFS(T_StockCount[CountedQty],T_StockCount[RM_Code],$A46,T_StockCount[WeekIndex],94),IF((COUNTIFS(T_SelfStock[RM_Code],$A46,T_SelfStock[WeekIndex],94)&gt;0)*(COUNTIFS(T_TTAFStock[RM_Code],$A46,T_TTAFStock[WeekIndex],94)&gt;0)&gt;0,SUMIFS(T_SelfStock[Self_Qty],T_SelfStock[RM_Code],$A46,T_SelfStock[WeekIndex],94)+SUMIFS(T_TTAFStock[TTAF_Qty],T_TTAFStock[RM_Code],$A46,T_TTAFStock[WeekIndex],94),CP46+'Grid_Incoming'!CQ46-'Grid_Requirement'!CQ46))</f>
        <v/>
      </c>
      <c r="CR46">
        <f>IF(COUNTIFS(T_StockCount[RM_Code],$A46,T_StockCount[WeekIndex],95)&gt;0,SUMIFS(T_StockCount[CountedQty],T_StockCount[RM_Code],$A46,T_StockCount[WeekIndex],95),IF((COUNTIFS(T_SelfStock[RM_Code],$A46,T_SelfStock[WeekIndex],95)&gt;0)*(COUNTIFS(T_TTAFStock[RM_Code],$A46,T_TTAFStock[WeekIndex],95)&gt;0)&gt;0,SUMIFS(T_SelfStock[Self_Qty],T_SelfStock[RM_Code],$A46,T_SelfStock[WeekIndex],95)+SUMIFS(T_TTAFStock[TTAF_Qty],T_TTAFStock[RM_Code],$A46,T_TTAFStock[WeekIndex],95),CQ46+'Grid_Incoming'!CR46-'Grid_Requirement'!CR46))</f>
        <v/>
      </c>
      <c r="CS46">
        <f>IF(COUNTIFS(T_StockCount[RM_Code],$A46,T_StockCount[WeekIndex],96)&gt;0,SUMIFS(T_StockCount[CountedQty],T_StockCount[RM_Code],$A46,T_StockCount[WeekIndex],96),IF((COUNTIFS(T_SelfStock[RM_Code],$A46,T_SelfStock[WeekIndex],96)&gt;0)*(COUNTIFS(T_TTAFStock[RM_Code],$A46,T_TTAFStock[WeekIndex],96)&gt;0)&gt;0,SUMIFS(T_SelfStock[Self_Qty],T_SelfStock[RM_Code],$A46,T_SelfStock[WeekIndex],96)+SUMIFS(T_TTAFStock[TTAF_Qty],T_TTAFStock[RM_Code],$A46,T_TTAFStock[WeekIndex],96),CR46+'Grid_Incoming'!CS46-'Grid_Requirement'!CS46))</f>
        <v/>
      </c>
      <c r="CT46">
        <f>IF(COUNTIFS(T_StockCount[RM_Code],$A46,T_StockCount[WeekIndex],97)&gt;0,SUMIFS(T_StockCount[CountedQty],T_StockCount[RM_Code],$A46,T_StockCount[WeekIndex],97),IF((COUNTIFS(T_SelfStock[RM_Code],$A46,T_SelfStock[WeekIndex],97)&gt;0)*(COUNTIFS(T_TTAFStock[RM_Code],$A46,T_TTAFStock[WeekIndex],97)&gt;0)&gt;0,SUMIFS(T_SelfStock[Self_Qty],T_SelfStock[RM_Code],$A46,T_SelfStock[WeekIndex],97)+SUMIFS(T_TTAFStock[TTAF_Qty],T_TTAFStock[RM_Code],$A46,T_TTAFStock[WeekIndex],97),CS46+'Grid_Incoming'!CT46-'Grid_Requirement'!CT46))</f>
        <v/>
      </c>
      <c r="CU46">
        <f>IF(COUNTIFS(T_StockCount[RM_Code],$A46,T_StockCount[WeekIndex],98)&gt;0,SUMIFS(T_StockCount[CountedQty],T_StockCount[RM_Code],$A46,T_StockCount[WeekIndex],98),IF((COUNTIFS(T_SelfStock[RM_Code],$A46,T_SelfStock[WeekIndex],98)&gt;0)*(COUNTIFS(T_TTAFStock[RM_Code],$A46,T_TTAFStock[WeekIndex],98)&gt;0)&gt;0,SUMIFS(T_SelfStock[Self_Qty],T_SelfStock[RM_Code],$A46,T_SelfStock[WeekIndex],98)+SUMIFS(T_TTAFStock[TTAF_Qty],T_TTAFStock[RM_Code],$A46,T_TTAFStock[WeekIndex],98),CT46+'Grid_Incoming'!CU46-'Grid_Requirement'!CU46))</f>
        <v/>
      </c>
      <c r="CV46">
        <f>IF(COUNTIFS(T_StockCount[RM_Code],$A46,T_StockCount[WeekIndex],99)&gt;0,SUMIFS(T_StockCount[CountedQty],T_StockCount[RM_Code],$A46,T_StockCount[WeekIndex],99),IF((COUNTIFS(T_SelfStock[RM_Code],$A46,T_SelfStock[WeekIndex],99)&gt;0)*(COUNTIFS(T_TTAFStock[RM_Code],$A46,T_TTAFStock[WeekIndex],99)&gt;0)&gt;0,SUMIFS(T_SelfStock[Self_Qty],T_SelfStock[RM_Code],$A46,T_SelfStock[WeekIndex],99)+SUMIFS(T_TTAFStock[TTAF_Qty],T_TTAFStock[RM_Code],$A46,T_TTAFStock[WeekIndex],99),CU46+'Grid_Incoming'!CV46-'Grid_Requirement'!CV46))</f>
        <v/>
      </c>
      <c r="CW46">
        <f>IF(COUNTIFS(T_StockCount[RM_Code],$A46,T_StockCount[WeekIndex],100)&gt;0,SUMIFS(T_StockCount[CountedQty],T_StockCount[RM_Code],$A46,T_StockCount[WeekIndex],100),IF((COUNTIFS(T_SelfStock[RM_Code],$A46,T_SelfStock[WeekIndex],100)&gt;0)*(COUNTIFS(T_TTAFStock[RM_Code],$A46,T_TTAFStock[WeekIndex],100)&gt;0)&gt;0,SUMIFS(T_SelfStock[Self_Qty],T_SelfStock[RM_Code],$A46,T_SelfStock[WeekIndex],100)+SUMIFS(T_TTAFStock[TTAF_Qty],T_TTAFStock[RM_Code],$A46,T_TTAFStock[WeekIndex],100),CV46+'Grid_Incoming'!CW46-'Grid_Requirement'!CW46))</f>
        <v/>
      </c>
      <c r="CX46">
        <f>IF(COUNTIFS(T_StockCount[RM_Code],$A46,T_StockCount[WeekIndex],101)&gt;0,SUMIFS(T_StockCount[CountedQty],T_StockCount[RM_Code],$A46,T_StockCount[WeekIndex],101),IF((COUNTIFS(T_SelfStock[RM_Code],$A46,T_SelfStock[WeekIndex],101)&gt;0)*(COUNTIFS(T_TTAFStock[RM_Code],$A46,T_TTAFStock[WeekIndex],101)&gt;0)&gt;0,SUMIFS(T_SelfStock[Self_Qty],T_SelfStock[RM_Code],$A46,T_SelfStock[WeekIndex],101)+SUMIFS(T_TTAFStock[TTAF_Qty],T_TTAFStock[RM_Code],$A46,T_TTAFStock[WeekIndex],101),CW46+'Grid_Incoming'!CX46-'Grid_Requirement'!CX46))</f>
        <v/>
      </c>
      <c r="CY46">
        <f>IF(COUNTIFS(T_StockCount[RM_Code],$A46,T_StockCount[WeekIndex],102)&gt;0,SUMIFS(T_StockCount[CountedQty],T_StockCount[RM_Code],$A46,T_StockCount[WeekIndex],102),IF((COUNTIFS(T_SelfStock[RM_Code],$A46,T_SelfStock[WeekIndex],102)&gt;0)*(COUNTIFS(T_TTAFStock[RM_Code],$A46,T_TTAFStock[WeekIndex],102)&gt;0)&gt;0,SUMIFS(T_SelfStock[Self_Qty],T_SelfStock[RM_Code],$A46,T_SelfStock[WeekIndex],102)+SUMIFS(T_TTAFStock[TTAF_Qty],T_TTAFStock[RM_Code],$A46,T_TTAFStock[WeekIndex],102),CX46+'Grid_Incoming'!CY46-'Grid_Requirement'!CY46))</f>
        <v/>
      </c>
      <c r="CZ46">
        <f>IF(COUNTIFS(T_StockCount[RM_Code],$A46,T_StockCount[WeekIndex],103)&gt;0,SUMIFS(T_StockCount[CountedQty],T_StockCount[RM_Code],$A46,T_StockCount[WeekIndex],103),IF((COUNTIFS(T_SelfStock[RM_Code],$A46,T_SelfStock[WeekIndex],103)&gt;0)*(COUNTIFS(T_TTAFStock[RM_Code],$A46,T_TTAFStock[WeekIndex],103)&gt;0)&gt;0,SUMIFS(T_SelfStock[Self_Qty],T_SelfStock[RM_Code],$A46,T_SelfStock[WeekIndex],103)+SUMIFS(T_TTAFStock[TTAF_Qty],T_TTAFStock[RM_Code],$A46,T_TTAFStock[WeekIndex],103),CY46+'Grid_Incoming'!CZ46-'Grid_Requirement'!CZ46))</f>
        <v/>
      </c>
      <c r="DA46">
        <f>IF(COUNTIFS(T_StockCount[RM_Code],$A46,T_StockCount[WeekIndex],104)&gt;0,SUMIFS(T_StockCount[CountedQty],T_StockCount[RM_Code],$A46,T_StockCount[WeekIndex],104),IF((COUNTIFS(T_SelfStock[RM_Code],$A46,T_SelfStock[WeekIndex],104)&gt;0)*(COUNTIFS(T_TTAFStock[RM_Code],$A46,T_TTAFStock[WeekIndex],104)&gt;0)&gt;0,SUMIFS(T_SelfStock[Self_Qty],T_SelfStock[RM_Code],$A46,T_SelfStock[WeekIndex],104)+SUMIFS(T_TTAFStock[TTAF_Qty],T_TTAFStock[RM_Code],$A46,T_TTAFStock[WeekIndex],104),CZ46+'Grid_Incoming'!DA46-'Grid_Requirement'!DA46))</f>
        <v/>
      </c>
    </row>
    <row r="47">
      <c r="A47" t="inlineStr">
        <is>
          <t>CHEM-1430</t>
        </is>
      </c>
      <c r="B47">
        <f>IF(COUNTIFS(T_StockCount[RM_Code],$A47,T_StockCount[WeekIndex],1)&gt;0,SUMIFS(T_StockCount[CountedQty],T_StockCount[RM_Code],$A47,T_StockCount[WeekIndex],1),IF((COUNTIFS(T_SelfStock[RM_Code],$A47,T_SelfStock[WeekIndex],1)&gt;0)*(COUNTIFS(T_TTAFStock[RM_Code],$A47,T_TTAFStock[WeekIndex],1)&gt;0)&gt;0,SUMIFS(T_SelfStock[Self_Qty],T_SelfStock[RM_Code],$A47,T_SelfStock[WeekIndex],1)+SUMIFS(T_TTAFStock[TTAF_Qty],T_TTAFStock[RM_Code],$A47,T_TTAFStock[WeekIndex],1),IFERROR(INDEX(T_OpeningStock[Opening_Qty],MATCH($A47,T_OpeningStock[RM_Code],0)),0)+'Grid_Incoming'!B47-'Grid_Requirement'!B47))</f>
        <v/>
      </c>
      <c r="C47">
        <f>IF(COUNTIFS(T_StockCount[RM_Code],$A47,T_StockCount[WeekIndex],2)&gt;0,SUMIFS(T_StockCount[CountedQty],T_StockCount[RM_Code],$A47,T_StockCount[WeekIndex],2),IF((COUNTIFS(T_SelfStock[RM_Code],$A47,T_SelfStock[WeekIndex],2)&gt;0)*(COUNTIFS(T_TTAFStock[RM_Code],$A47,T_TTAFStock[WeekIndex],2)&gt;0)&gt;0,SUMIFS(T_SelfStock[Self_Qty],T_SelfStock[RM_Code],$A47,T_SelfStock[WeekIndex],2)+SUMIFS(T_TTAFStock[TTAF_Qty],T_TTAFStock[RM_Code],$A47,T_TTAFStock[WeekIndex],2),B47+'Grid_Incoming'!C47-'Grid_Requirement'!C47))</f>
        <v/>
      </c>
      <c r="D47">
        <f>IF(COUNTIFS(T_StockCount[RM_Code],$A47,T_StockCount[WeekIndex],3)&gt;0,SUMIFS(T_StockCount[CountedQty],T_StockCount[RM_Code],$A47,T_StockCount[WeekIndex],3),IF((COUNTIFS(T_SelfStock[RM_Code],$A47,T_SelfStock[WeekIndex],3)&gt;0)*(COUNTIFS(T_TTAFStock[RM_Code],$A47,T_TTAFStock[WeekIndex],3)&gt;0)&gt;0,SUMIFS(T_SelfStock[Self_Qty],T_SelfStock[RM_Code],$A47,T_SelfStock[WeekIndex],3)+SUMIFS(T_TTAFStock[TTAF_Qty],T_TTAFStock[RM_Code],$A47,T_TTAFStock[WeekIndex],3),C47+'Grid_Incoming'!D47-'Grid_Requirement'!D47))</f>
        <v/>
      </c>
      <c r="E47">
        <f>IF(COUNTIFS(T_StockCount[RM_Code],$A47,T_StockCount[WeekIndex],4)&gt;0,SUMIFS(T_StockCount[CountedQty],T_StockCount[RM_Code],$A47,T_StockCount[WeekIndex],4),IF((COUNTIFS(T_SelfStock[RM_Code],$A47,T_SelfStock[WeekIndex],4)&gt;0)*(COUNTIFS(T_TTAFStock[RM_Code],$A47,T_TTAFStock[WeekIndex],4)&gt;0)&gt;0,SUMIFS(T_SelfStock[Self_Qty],T_SelfStock[RM_Code],$A47,T_SelfStock[WeekIndex],4)+SUMIFS(T_TTAFStock[TTAF_Qty],T_TTAFStock[RM_Code],$A47,T_TTAFStock[WeekIndex],4),D47+'Grid_Incoming'!E47-'Grid_Requirement'!E47))</f>
        <v/>
      </c>
      <c r="F47">
        <f>IF(COUNTIFS(T_StockCount[RM_Code],$A47,T_StockCount[WeekIndex],5)&gt;0,SUMIFS(T_StockCount[CountedQty],T_StockCount[RM_Code],$A47,T_StockCount[WeekIndex],5),IF((COUNTIFS(T_SelfStock[RM_Code],$A47,T_SelfStock[WeekIndex],5)&gt;0)*(COUNTIFS(T_TTAFStock[RM_Code],$A47,T_TTAFStock[WeekIndex],5)&gt;0)&gt;0,SUMIFS(T_SelfStock[Self_Qty],T_SelfStock[RM_Code],$A47,T_SelfStock[WeekIndex],5)+SUMIFS(T_TTAFStock[TTAF_Qty],T_TTAFStock[RM_Code],$A47,T_TTAFStock[WeekIndex],5),E47+'Grid_Incoming'!F47-'Grid_Requirement'!F47))</f>
        <v/>
      </c>
      <c r="G47">
        <f>IF(COUNTIFS(T_StockCount[RM_Code],$A47,T_StockCount[WeekIndex],6)&gt;0,SUMIFS(T_StockCount[CountedQty],T_StockCount[RM_Code],$A47,T_StockCount[WeekIndex],6),IF((COUNTIFS(T_SelfStock[RM_Code],$A47,T_SelfStock[WeekIndex],6)&gt;0)*(COUNTIFS(T_TTAFStock[RM_Code],$A47,T_TTAFStock[WeekIndex],6)&gt;0)&gt;0,SUMIFS(T_SelfStock[Self_Qty],T_SelfStock[RM_Code],$A47,T_SelfStock[WeekIndex],6)+SUMIFS(T_TTAFStock[TTAF_Qty],T_TTAFStock[RM_Code],$A47,T_TTAFStock[WeekIndex],6),F47+'Grid_Incoming'!G47-'Grid_Requirement'!G47))</f>
        <v/>
      </c>
      <c r="H47">
        <f>IF(COUNTIFS(T_StockCount[RM_Code],$A47,T_StockCount[WeekIndex],7)&gt;0,SUMIFS(T_StockCount[CountedQty],T_StockCount[RM_Code],$A47,T_StockCount[WeekIndex],7),IF((COUNTIFS(T_SelfStock[RM_Code],$A47,T_SelfStock[WeekIndex],7)&gt;0)*(COUNTIFS(T_TTAFStock[RM_Code],$A47,T_TTAFStock[WeekIndex],7)&gt;0)&gt;0,SUMIFS(T_SelfStock[Self_Qty],T_SelfStock[RM_Code],$A47,T_SelfStock[WeekIndex],7)+SUMIFS(T_TTAFStock[TTAF_Qty],T_TTAFStock[RM_Code],$A47,T_TTAFStock[WeekIndex],7),G47+'Grid_Incoming'!H47-'Grid_Requirement'!H47))</f>
        <v/>
      </c>
      <c r="I47">
        <f>IF(COUNTIFS(T_StockCount[RM_Code],$A47,T_StockCount[WeekIndex],8)&gt;0,SUMIFS(T_StockCount[CountedQty],T_StockCount[RM_Code],$A47,T_StockCount[WeekIndex],8),IF((COUNTIFS(T_SelfStock[RM_Code],$A47,T_SelfStock[WeekIndex],8)&gt;0)*(COUNTIFS(T_TTAFStock[RM_Code],$A47,T_TTAFStock[WeekIndex],8)&gt;0)&gt;0,SUMIFS(T_SelfStock[Self_Qty],T_SelfStock[RM_Code],$A47,T_SelfStock[WeekIndex],8)+SUMIFS(T_TTAFStock[TTAF_Qty],T_TTAFStock[RM_Code],$A47,T_TTAFStock[WeekIndex],8),H47+'Grid_Incoming'!I47-'Grid_Requirement'!I47))</f>
        <v/>
      </c>
      <c r="J47">
        <f>IF(COUNTIFS(T_StockCount[RM_Code],$A47,T_StockCount[WeekIndex],9)&gt;0,SUMIFS(T_StockCount[CountedQty],T_StockCount[RM_Code],$A47,T_StockCount[WeekIndex],9),IF((COUNTIFS(T_SelfStock[RM_Code],$A47,T_SelfStock[WeekIndex],9)&gt;0)*(COUNTIFS(T_TTAFStock[RM_Code],$A47,T_TTAFStock[WeekIndex],9)&gt;0)&gt;0,SUMIFS(T_SelfStock[Self_Qty],T_SelfStock[RM_Code],$A47,T_SelfStock[WeekIndex],9)+SUMIFS(T_TTAFStock[TTAF_Qty],T_TTAFStock[RM_Code],$A47,T_TTAFStock[WeekIndex],9),I47+'Grid_Incoming'!J47-'Grid_Requirement'!J47))</f>
        <v/>
      </c>
      <c r="K47">
        <f>IF(COUNTIFS(T_StockCount[RM_Code],$A47,T_StockCount[WeekIndex],10)&gt;0,SUMIFS(T_StockCount[CountedQty],T_StockCount[RM_Code],$A47,T_StockCount[WeekIndex],10),IF((COUNTIFS(T_SelfStock[RM_Code],$A47,T_SelfStock[WeekIndex],10)&gt;0)*(COUNTIFS(T_TTAFStock[RM_Code],$A47,T_TTAFStock[WeekIndex],10)&gt;0)&gt;0,SUMIFS(T_SelfStock[Self_Qty],T_SelfStock[RM_Code],$A47,T_SelfStock[WeekIndex],10)+SUMIFS(T_TTAFStock[TTAF_Qty],T_TTAFStock[RM_Code],$A47,T_TTAFStock[WeekIndex],10),J47+'Grid_Incoming'!K47-'Grid_Requirement'!K47))</f>
        <v/>
      </c>
      <c r="L47">
        <f>IF(COUNTIFS(T_StockCount[RM_Code],$A47,T_StockCount[WeekIndex],11)&gt;0,SUMIFS(T_StockCount[CountedQty],T_StockCount[RM_Code],$A47,T_StockCount[WeekIndex],11),IF((COUNTIFS(T_SelfStock[RM_Code],$A47,T_SelfStock[WeekIndex],11)&gt;0)*(COUNTIFS(T_TTAFStock[RM_Code],$A47,T_TTAFStock[WeekIndex],11)&gt;0)&gt;0,SUMIFS(T_SelfStock[Self_Qty],T_SelfStock[RM_Code],$A47,T_SelfStock[WeekIndex],11)+SUMIFS(T_TTAFStock[TTAF_Qty],T_TTAFStock[RM_Code],$A47,T_TTAFStock[WeekIndex],11),K47+'Grid_Incoming'!L47-'Grid_Requirement'!L47))</f>
        <v/>
      </c>
      <c r="M47">
        <f>IF(COUNTIFS(T_StockCount[RM_Code],$A47,T_StockCount[WeekIndex],12)&gt;0,SUMIFS(T_StockCount[CountedQty],T_StockCount[RM_Code],$A47,T_StockCount[WeekIndex],12),IF((COUNTIFS(T_SelfStock[RM_Code],$A47,T_SelfStock[WeekIndex],12)&gt;0)*(COUNTIFS(T_TTAFStock[RM_Code],$A47,T_TTAFStock[WeekIndex],12)&gt;0)&gt;0,SUMIFS(T_SelfStock[Self_Qty],T_SelfStock[RM_Code],$A47,T_SelfStock[WeekIndex],12)+SUMIFS(T_TTAFStock[TTAF_Qty],T_TTAFStock[RM_Code],$A47,T_TTAFStock[WeekIndex],12),L47+'Grid_Incoming'!M47-'Grid_Requirement'!M47))</f>
        <v/>
      </c>
      <c r="N47">
        <f>IF(COUNTIFS(T_StockCount[RM_Code],$A47,T_StockCount[WeekIndex],13)&gt;0,SUMIFS(T_StockCount[CountedQty],T_StockCount[RM_Code],$A47,T_StockCount[WeekIndex],13),IF((COUNTIFS(T_SelfStock[RM_Code],$A47,T_SelfStock[WeekIndex],13)&gt;0)*(COUNTIFS(T_TTAFStock[RM_Code],$A47,T_TTAFStock[WeekIndex],13)&gt;0)&gt;0,SUMIFS(T_SelfStock[Self_Qty],T_SelfStock[RM_Code],$A47,T_SelfStock[WeekIndex],13)+SUMIFS(T_TTAFStock[TTAF_Qty],T_TTAFStock[RM_Code],$A47,T_TTAFStock[WeekIndex],13),M47+'Grid_Incoming'!N47-'Grid_Requirement'!N47))</f>
        <v/>
      </c>
      <c r="O47">
        <f>IF(COUNTIFS(T_StockCount[RM_Code],$A47,T_StockCount[WeekIndex],14)&gt;0,SUMIFS(T_StockCount[CountedQty],T_StockCount[RM_Code],$A47,T_StockCount[WeekIndex],14),IF((COUNTIFS(T_SelfStock[RM_Code],$A47,T_SelfStock[WeekIndex],14)&gt;0)*(COUNTIFS(T_TTAFStock[RM_Code],$A47,T_TTAFStock[WeekIndex],14)&gt;0)&gt;0,SUMIFS(T_SelfStock[Self_Qty],T_SelfStock[RM_Code],$A47,T_SelfStock[WeekIndex],14)+SUMIFS(T_TTAFStock[TTAF_Qty],T_TTAFStock[RM_Code],$A47,T_TTAFStock[WeekIndex],14),N47+'Grid_Incoming'!O47-'Grid_Requirement'!O47))</f>
        <v/>
      </c>
      <c r="P47">
        <f>IF(COUNTIFS(T_StockCount[RM_Code],$A47,T_StockCount[WeekIndex],15)&gt;0,SUMIFS(T_StockCount[CountedQty],T_StockCount[RM_Code],$A47,T_StockCount[WeekIndex],15),IF((COUNTIFS(T_SelfStock[RM_Code],$A47,T_SelfStock[WeekIndex],15)&gt;0)*(COUNTIFS(T_TTAFStock[RM_Code],$A47,T_TTAFStock[WeekIndex],15)&gt;0)&gt;0,SUMIFS(T_SelfStock[Self_Qty],T_SelfStock[RM_Code],$A47,T_SelfStock[WeekIndex],15)+SUMIFS(T_TTAFStock[TTAF_Qty],T_TTAFStock[RM_Code],$A47,T_TTAFStock[WeekIndex],15),O47+'Grid_Incoming'!P47-'Grid_Requirement'!P47))</f>
        <v/>
      </c>
      <c r="Q47">
        <f>IF(COUNTIFS(T_StockCount[RM_Code],$A47,T_StockCount[WeekIndex],16)&gt;0,SUMIFS(T_StockCount[CountedQty],T_StockCount[RM_Code],$A47,T_StockCount[WeekIndex],16),IF((COUNTIFS(T_SelfStock[RM_Code],$A47,T_SelfStock[WeekIndex],16)&gt;0)*(COUNTIFS(T_TTAFStock[RM_Code],$A47,T_TTAFStock[WeekIndex],16)&gt;0)&gt;0,SUMIFS(T_SelfStock[Self_Qty],T_SelfStock[RM_Code],$A47,T_SelfStock[WeekIndex],16)+SUMIFS(T_TTAFStock[TTAF_Qty],T_TTAFStock[RM_Code],$A47,T_TTAFStock[WeekIndex],16),P47+'Grid_Incoming'!Q47-'Grid_Requirement'!Q47))</f>
        <v/>
      </c>
      <c r="R47">
        <f>IF(COUNTIFS(T_StockCount[RM_Code],$A47,T_StockCount[WeekIndex],17)&gt;0,SUMIFS(T_StockCount[CountedQty],T_StockCount[RM_Code],$A47,T_StockCount[WeekIndex],17),IF((COUNTIFS(T_SelfStock[RM_Code],$A47,T_SelfStock[WeekIndex],17)&gt;0)*(COUNTIFS(T_TTAFStock[RM_Code],$A47,T_TTAFStock[WeekIndex],17)&gt;0)&gt;0,SUMIFS(T_SelfStock[Self_Qty],T_SelfStock[RM_Code],$A47,T_SelfStock[WeekIndex],17)+SUMIFS(T_TTAFStock[TTAF_Qty],T_TTAFStock[RM_Code],$A47,T_TTAFStock[WeekIndex],17),Q47+'Grid_Incoming'!R47-'Grid_Requirement'!R47))</f>
        <v/>
      </c>
      <c r="S47">
        <f>IF(COUNTIFS(T_StockCount[RM_Code],$A47,T_StockCount[WeekIndex],18)&gt;0,SUMIFS(T_StockCount[CountedQty],T_StockCount[RM_Code],$A47,T_StockCount[WeekIndex],18),IF((COUNTIFS(T_SelfStock[RM_Code],$A47,T_SelfStock[WeekIndex],18)&gt;0)*(COUNTIFS(T_TTAFStock[RM_Code],$A47,T_TTAFStock[WeekIndex],18)&gt;0)&gt;0,SUMIFS(T_SelfStock[Self_Qty],T_SelfStock[RM_Code],$A47,T_SelfStock[WeekIndex],18)+SUMIFS(T_TTAFStock[TTAF_Qty],T_TTAFStock[RM_Code],$A47,T_TTAFStock[WeekIndex],18),R47+'Grid_Incoming'!S47-'Grid_Requirement'!S47))</f>
        <v/>
      </c>
      <c r="T47">
        <f>IF(COUNTIFS(T_StockCount[RM_Code],$A47,T_StockCount[WeekIndex],19)&gt;0,SUMIFS(T_StockCount[CountedQty],T_StockCount[RM_Code],$A47,T_StockCount[WeekIndex],19),IF((COUNTIFS(T_SelfStock[RM_Code],$A47,T_SelfStock[WeekIndex],19)&gt;0)*(COUNTIFS(T_TTAFStock[RM_Code],$A47,T_TTAFStock[WeekIndex],19)&gt;0)&gt;0,SUMIFS(T_SelfStock[Self_Qty],T_SelfStock[RM_Code],$A47,T_SelfStock[WeekIndex],19)+SUMIFS(T_TTAFStock[TTAF_Qty],T_TTAFStock[RM_Code],$A47,T_TTAFStock[WeekIndex],19),S47+'Grid_Incoming'!T47-'Grid_Requirement'!T47))</f>
        <v/>
      </c>
      <c r="U47">
        <f>IF(COUNTIFS(T_StockCount[RM_Code],$A47,T_StockCount[WeekIndex],20)&gt;0,SUMIFS(T_StockCount[CountedQty],T_StockCount[RM_Code],$A47,T_StockCount[WeekIndex],20),IF((COUNTIFS(T_SelfStock[RM_Code],$A47,T_SelfStock[WeekIndex],20)&gt;0)*(COUNTIFS(T_TTAFStock[RM_Code],$A47,T_TTAFStock[WeekIndex],20)&gt;0)&gt;0,SUMIFS(T_SelfStock[Self_Qty],T_SelfStock[RM_Code],$A47,T_SelfStock[WeekIndex],20)+SUMIFS(T_TTAFStock[TTAF_Qty],T_TTAFStock[RM_Code],$A47,T_TTAFStock[WeekIndex],20),T47+'Grid_Incoming'!U47-'Grid_Requirement'!U47))</f>
        <v/>
      </c>
      <c r="V47">
        <f>IF(COUNTIFS(T_StockCount[RM_Code],$A47,T_StockCount[WeekIndex],21)&gt;0,SUMIFS(T_StockCount[CountedQty],T_StockCount[RM_Code],$A47,T_StockCount[WeekIndex],21),IF((COUNTIFS(T_SelfStock[RM_Code],$A47,T_SelfStock[WeekIndex],21)&gt;0)*(COUNTIFS(T_TTAFStock[RM_Code],$A47,T_TTAFStock[WeekIndex],21)&gt;0)&gt;0,SUMIFS(T_SelfStock[Self_Qty],T_SelfStock[RM_Code],$A47,T_SelfStock[WeekIndex],21)+SUMIFS(T_TTAFStock[TTAF_Qty],T_TTAFStock[RM_Code],$A47,T_TTAFStock[WeekIndex],21),U47+'Grid_Incoming'!V47-'Grid_Requirement'!V47))</f>
        <v/>
      </c>
      <c r="W47">
        <f>IF(COUNTIFS(T_StockCount[RM_Code],$A47,T_StockCount[WeekIndex],22)&gt;0,SUMIFS(T_StockCount[CountedQty],T_StockCount[RM_Code],$A47,T_StockCount[WeekIndex],22),IF((COUNTIFS(T_SelfStock[RM_Code],$A47,T_SelfStock[WeekIndex],22)&gt;0)*(COUNTIFS(T_TTAFStock[RM_Code],$A47,T_TTAFStock[WeekIndex],22)&gt;0)&gt;0,SUMIFS(T_SelfStock[Self_Qty],T_SelfStock[RM_Code],$A47,T_SelfStock[WeekIndex],22)+SUMIFS(T_TTAFStock[TTAF_Qty],T_TTAFStock[RM_Code],$A47,T_TTAFStock[WeekIndex],22),V47+'Grid_Incoming'!W47-'Grid_Requirement'!W47))</f>
        <v/>
      </c>
      <c r="X47">
        <f>IF(COUNTIFS(T_StockCount[RM_Code],$A47,T_StockCount[WeekIndex],23)&gt;0,SUMIFS(T_StockCount[CountedQty],T_StockCount[RM_Code],$A47,T_StockCount[WeekIndex],23),IF((COUNTIFS(T_SelfStock[RM_Code],$A47,T_SelfStock[WeekIndex],23)&gt;0)*(COUNTIFS(T_TTAFStock[RM_Code],$A47,T_TTAFStock[WeekIndex],23)&gt;0)&gt;0,SUMIFS(T_SelfStock[Self_Qty],T_SelfStock[RM_Code],$A47,T_SelfStock[WeekIndex],23)+SUMIFS(T_TTAFStock[TTAF_Qty],T_TTAFStock[RM_Code],$A47,T_TTAFStock[WeekIndex],23),W47+'Grid_Incoming'!X47-'Grid_Requirement'!X47))</f>
        <v/>
      </c>
      <c r="Y47">
        <f>IF(COUNTIFS(T_StockCount[RM_Code],$A47,T_StockCount[WeekIndex],24)&gt;0,SUMIFS(T_StockCount[CountedQty],T_StockCount[RM_Code],$A47,T_StockCount[WeekIndex],24),IF((COUNTIFS(T_SelfStock[RM_Code],$A47,T_SelfStock[WeekIndex],24)&gt;0)*(COUNTIFS(T_TTAFStock[RM_Code],$A47,T_TTAFStock[WeekIndex],24)&gt;0)&gt;0,SUMIFS(T_SelfStock[Self_Qty],T_SelfStock[RM_Code],$A47,T_SelfStock[WeekIndex],24)+SUMIFS(T_TTAFStock[TTAF_Qty],T_TTAFStock[RM_Code],$A47,T_TTAFStock[WeekIndex],24),X47+'Grid_Incoming'!Y47-'Grid_Requirement'!Y47))</f>
        <v/>
      </c>
      <c r="Z47">
        <f>IF(COUNTIFS(T_StockCount[RM_Code],$A47,T_StockCount[WeekIndex],25)&gt;0,SUMIFS(T_StockCount[CountedQty],T_StockCount[RM_Code],$A47,T_StockCount[WeekIndex],25),IF((COUNTIFS(T_SelfStock[RM_Code],$A47,T_SelfStock[WeekIndex],25)&gt;0)*(COUNTIFS(T_TTAFStock[RM_Code],$A47,T_TTAFStock[WeekIndex],25)&gt;0)&gt;0,SUMIFS(T_SelfStock[Self_Qty],T_SelfStock[RM_Code],$A47,T_SelfStock[WeekIndex],25)+SUMIFS(T_TTAFStock[TTAF_Qty],T_TTAFStock[RM_Code],$A47,T_TTAFStock[WeekIndex],25),Y47+'Grid_Incoming'!Z47-'Grid_Requirement'!Z47))</f>
        <v/>
      </c>
      <c r="AA47">
        <f>IF(COUNTIFS(T_StockCount[RM_Code],$A47,T_StockCount[WeekIndex],26)&gt;0,SUMIFS(T_StockCount[CountedQty],T_StockCount[RM_Code],$A47,T_StockCount[WeekIndex],26),IF((COUNTIFS(T_SelfStock[RM_Code],$A47,T_SelfStock[WeekIndex],26)&gt;0)*(COUNTIFS(T_TTAFStock[RM_Code],$A47,T_TTAFStock[WeekIndex],26)&gt;0)&gt;0,SUMIFS(T_SelfStock[Self_Qty],T_SelfStock[RM_Code],$A47,T_SelfStock[WeekIndex],26)+SUMIFS(T_TTAFStock[TTAF_Qty],T_TTAFStock[RM_Code],$A47,T_TTAFStock[WeekIndex],26),Z47+'Grid_Incoming'!AA47-'Grid_Requirement'!AA47))</f>
        <v/>
      </c>
      <c r="AB47">
        <f>IF(COUNTIFS(T_StockCount[RM_Code],$A47,T_StockCount[WeekIndex],27)&gt;0,SUMIFS(T_StockCount[CountedQty],T_StockCount[RM_Code],$A47,T_StockCount[WeekIndex],27),IF((COUNTIFS(T_SelfStock[RM_Code],$A47,T_SelfStock[WeekIndex],27)&gt;0)*(COUNTIFS(T_TTAFStock[RM_Code],$A47,T_TTAFStock[WeekIndex],27)&gt;0)&gt;0,SUMIFS(T_SelfStock[Self_Qty],T_SelfStock[RM_Code],$A47,T_SelfStock[WeekIndex],27)+SUMIFS(T_TTAFStock[TTAF_Qty],T_TTAFStock[RM_Code],$A47,T_TTAFStock[WeekIndex],27),AA47+'Grid_Incoming'!AB47-'Grid_Requirement'!AB47))</f>
        <v/>
      </c>
      <c r="AC47">
        <f>IF(COUNTIFS(T_StockCount[RM_Code],$A47,T_StockCount[WeekIndex],28)&gt;0,SUMIFS(T_StockCount[CountedQty],T_StockCount[RM_Code],$A47,T_StockCount[WeekIndex],28),IF((COUNTIFS(T_SelfStock[RM_Code],$A47,T_SelfStock[WeekIndex],28)&gt;0)*(COUNTIFS(T_TTAFStock[RM_Code],$A47,T_TTAFStock[WeekIndex],28)&gt;0)&gt;0,SUMIFS(T_SelfStock[Self_Qty],T_SelfStock[RM_Code],$A47,T_SelfStock[WeekIndex],28)+SUMIFS(T_TTAFStock[TTAF_Qty],T_TTAFStock[RM_Code],$A47,T_TTAFStock[WeekIndex],28),AB47+'Grid_Incoming'!AC47-'Grid_Requirement'!AC47))</f>
        <v/>
      </c>
      <c r="AD47">
        <f>IF(COUNTIFS(T_StockCount[RM_Code],$A47,T_StockCount[WeekIndex],29)&gt;0,SUMIFS(T_StockCount[CountedQty],T_StockCount[RM_Code],$A47,T_StockCount[WeekIndex],29),IF((COUNTIFS(T_SelfStock[RM_Code],$A47,T_SelfStock[WeekIndex],29)&gt;0)*(COUNTIFS(T_TTAFStock[RM_Code],$A47,T_TTAFStock[WeekIndex],29)&gt;0)&gt;0,SUMIFS(T_SelfStock[Self_Qty],T_SelfStock[RM_Code],$A47,T_SelfStock[WeekIndex],29)+SUMIFS(T_TTAFStock[TTAF_Qty],T_TTAFStock[RM_Code],$A47,T_TTAFStock[WeekIndex],29),AC47+'Grid_Incoming'!AD47-'Grid_Requirement'!AD47))</f>
        <v/>
      </c>
      <c r="AE47">
        <f>IF(COUNTIFS(T_StockCount[RM_Code],$A47,T_StockCount[WeekIndex],30)&gt;0,SUMIFS(T_StockCount[CountedQty],T_StockCount[RM_Code],$A47,T_StockCount[WeekIndex],30),IF((COUNTIFS(T_SelfStock[RM_Code],$A47,T_SelfStock[WeekIndex],30)&gt;0)*(COUNTIFS(T_TTAFStock[RM_Code],$A47,T_TTAFStock[WeekIndex],30)&gt;0)&gt;0,SUMIFS(T_SelfStock[Self_Qty],T_SelfStock[RM_Code],$A47,T_SelfStock[WeekIndex],30)+SUMIFS(T_TTAFStock[TTAF_Qty],T_TTAFStock[RM_Code],$A47,T_TTAFStock[WeekIndex],30),AD47+'Grid_Incoming'!AE47-'Grid_Requirement'!AE47))</f>
        <v/>
      </c>
      <c r="AF47">
        <f>IF(COUNTIFS(T_StockCount[RM_Code],$A47,T_StockCount[WeekIndex],31)&gt;0,SUMIFS(T_StockCount[CountedQty],T_StockCount[RM_Code],$A47,T_StockCount[WeekIndex],31),IF((COUNTIFS(T_SelfStock[RM_Code],$A47,T_SelfStock[WeekIndex],31)&gt;0)*(COUNTIFS(T_TTAFStock[RM_Code],$A47,T_TTAFStock[WeekIndex],31)&gt;0)&gt;0,SUMIFS(T_SelfStock[Self_Qty],T_SelfStock[RM_Code],$A47,T_SelfStock[WeekIndex],31)+SUMIFS(T_TTAFStock[TTAF_Qty],T_TTAFStock[RM_Code],$A47,T_TTAFStock[WeekIndex],31),AE47+'Grid_Incoming'!AF47-'Grid_Requirement'!AF47))</f>
        <v/>
      </c>
      <c r="AG47">
        <f>IF(COUNTIFS(T_StockCount[RM_Code],$A47,T_StockCount[WeekIndex],32)&gt;0,SUMIFS(T_StockCount[CountedQty],T_StockCount[RM_Code],$A47,T_StockCount[WeekIndex],32),IF((COUNTIFS(T_SelfStock[RM_Code],$A47,T_SelfStock[WeekIndex],32)&gt;0)*(COUNTIFS(T_TTAFStock[RM_Code],$A47,T_TTAFStock[WeekIndex],32)&gt;0)&gt;0,SUMIFS(T_SelfStock[Self_Qty],T_SelfStock[RM_Code],$A47,T_SelfStock[WeekIndex],32)+SUMIFS(T_TTAFStock[TTAF_Qty],T_TTAFStock[RM_Code],$A47,T_TTAFStock[WeekIndex],32),AF47+'Grid_Incoming'!AG47-'Grid_Requirement'!AG47))</f>
        <v/>
      </c>
      <c r="AH47">
        <f>IF(COUNTIFS(T_StockCount[RM_Code],$A47,T_StockCount[WeekIndex],33)&gt;0,SUMIFS(T_StockCount[CountedQty],T_StockCount[RM_Code],$A47,T_StockCount[WeekIndex],33),IF((COUNTIFS(T_SelfStock[RM_Code],$A47,T_SelfStock[WeekIndex],33)&gt;0)*(COUNTIFS(T_TTAFStock[RM_Code],$A47,T_TTAFStock[WeekIndex],33)&gt;0)&gt;0,SUMIFS(T_SelfStock[Self_Qty],T_SelfStock[RM_Code],$A47,T_SelfStock[WeekIndex],33)+SUMIFS(T_TTAFStock[TTAF_Qty],T_TTAFStock[RM_Code],$A47,T_TTAFStock[WeekIndex],33),AG47+'Grid_Incoming'!AH47-'Grid_Requirement'!AH47))</f>
        <v/>
      </c>
      <c r="AI47">
        <f>IF(COUNTIFS(T_StockCount[RM_Code],$A47,T_StockCount[WeekIndex],34)&gt;0,SUMIFS(T_StockCount[CountedQty],T_StockCount[RM_Code],$A47,T_StockCount[WeekIndex],34),IF((COUNTIFS(T_SelfStock[RM_Code],$A47,T_SelfStock[WeekIndex],34)&gt;0)*(COUNTIFS(T_TTAFStock[RM_Code],$A47,T_TTAFStock[WeekIndex],34)&gt;0)&gt;0,SUMIFS(T_SelfStock[Self_Qty],T_SelfStock[RM_Code],$A47,T_SelfStock[WeekIndex],34)+SUMIFS(T_TTAFStock[TTAF_Qty],T_TTAFStock[RM_Code],$A47,T_TTAFStock[WeekIndex],34),AH47+'Grid_Incoming'!AI47-'Grid_Requirement'!AI47))</f>
        <v/>
      </c>
      <c r="AJ47">
        <f>IF(COUNTIFS(T_StockCount[RM_Code],$A47,T_StockCount[WeekIndex],35)&gt;0,SUMIFS(T_StockCount[CountedQty],T_StockCount[RM_Code],$A47,T_StockCount[WeekIndex],35),IF((COUNTIFS(T_SelfStock[RM_Code],$A47,T_SelfStock[WeekIndex],35)&gt;0)*(COUNTIFS(T_TTAFStock[RM_Code],$A47,T_TTAFStock[WeekIndex],35)&gt;0)&gt;0,SUMIFS(T_SelfStock[Self_Qty],T_SelfStock[RM_Code],$A47,T_SelfStock[WeekIndex],35)+SUMIFS(T_TTAFStock[TTAF_Qty],T_TTAFStock[RM_Code],$A47,T_TTAFStock[WeekIndex],35),AI47+'Grid_Incoming'!AJ47-'Grid_Requirement'!AJ47))</f>
        <v/>
      </c>
      <c r="AK47">
        <f>IF(COUNTIFS(T_StockCount[RM_Code],$A47,T_StockCount[WeekIndex],36)&gt;0,SUMIFS(T_StockCount[CountedQty],T_StockCount[RM_Code],$A47,T_StockCount[WeekIndex],36),IF((COUNTIFS(T_SelfStock[RM_Code],$A47,T_SelfStock[WeekIndex],36)&gt;0)*(COUNTIFS(T_TTAFStock[RM_Code],$A47,T_TTAFStock[WeekIndex],36)&gt;0)&gt;0,SUMIFS(T_SelfStock[Self_Qty],T_SelfStock[RM_Code],$A47,T_SelfStock[WeekIndex],36)+SUMIFS(T_TTAFStock[TTAF_Qty],T_TTAFStock[RM_Code],$A47,T_TTAFStock[WeekIndex],36),AJ47+'Grid_Incoming'!AK47-'Grid_Requirement'!AK47))</f>
        <v/>
      </c>
      <c r="AL47">
        <f>IF(COUNTIFS(T_StockCount[RM_Code],$A47,T_StockCount[WeekIndex],37)&gt;0,SUMIFS(T_StockCount[CountedQty],T_StockCount[RM_Code],$A47,T_StockCount[WeekIndex],37),IF((COUNTIFS(T_SelfStock[RM_Code],$A47,T_SelfStock[WeekIndex],37)&gt;0)*(COUNTIFS(T_TTAFStock[RM_Code],$A47,T_TTAFStock[WeekIndex],37)&gt;0)&gt;0,SUMIFS(T_SelfStock[Self_Qty],T_SelfStock[RM_Code],$A47,T_SelfStock[WeekIndex],37)+SUMIFS(T_TTAFStock[TTAF_Qty],T_TTAFStock[RM_Code],$A47,T_TTAFStock[WeekIndex],37),AK47+'Grid_Incoming'!AL47-'Grid_Requirement'!AL47))</f>
        <v/>
      </c>
      <c r="AM47">
        <f>IF(COUNTIFS(T_StockCount[RM_Code],$A47,T_StockCount[WeekIndex],38)&gt;0,SUMIFS(T_StockCount[CountedQty],T_StockCount[RM_Code],$A47,T_StockCount[WeekIndex],38),IF((COUNTIFS(T_SelfStock[RM_Code],$A47,T_SelfStock[WeekIndex],38)&gt;0)*(COUNTIFS(T_TTAFStock[RM_Code],$A47,T_TTAFStock[WeekIndex],38)&gt;0)&gt;0,SUMIFS(T_SelfStock[Self_Qty],T_SelfStock[RM_Code],$A47,T_SelfStock[WeekIndex],38)+SUMIFS(T_TTAFStock[TTAF_Qty],T_TTAFStock[RM_Code],$A47,T_TTAFStock[WeekIndex],38),AL47+'Grid_Incoming'!AM47-'Grid_Requirement'!AM47))</f>
        <v/>
      </c>
      <c r="AN47">
        <f>IF(COUNTIFS(T_StockCount[RM_Code],$A47,T_StockCount[WeekIndex],39)&gt;0,SUMIFS(T_StockCount[CountedQty],T_StockCount[RM_Code],$A47,T_StockCount[WeekIndex],39),IF((COUNTIFS(T_SelfStock[RM_Code],$A47,T_SelfStock[WeekIndex],39)&gt;0)*(COUNTIFS(T_TTAFStock[RM_Code],$A47,T_TTAFStock[WeekIndex],39)&gt;0)&gt;0,SUMIFS(T_SelfStock[Self_Qty],T_SelfStock[RM_Code],$A47,T_SelfStock[WeekIndex],39)+SUMIFS(T_TTAFStock[TTAF_Qty],T_TTAFStock[RM_Code],$A47,T_TTAFStock[WeekIndex],39),AM47+'Grid_Incoming'!AN47-'Grid_Requirement'!AN47))</f>
        <v/>
      </c>
      <c r="AO47">
        <f>IF(COUNTIFS(T_StockCount[RM_Code],$A47,T_StockCount[WeekIndex],40)&gt;0,SUMIFS(T_StockCount[CountedQty],T_StockCount[RM_Code],$A47,T_StockCount[WeekIndex],40),IF((COUNTIFS(T_SelfStock[RM_Code],$A47,T_SelfStock[WeekIndex],40)&gt;0)*(COUNTIFS(T_TTAFStock[RM_Code],$A47,T_TTAFStock[WeekIndex],40)&gt;0)&gt;0,SUMIFS(T_SelfStock[Self_Qty],T_SelfStock[RM_Code],$A47,T_SelfStock[WeekIndex],40)+SUMIFS(T_TTAFStock[TTAF_Qty],T_TTAFStock[RM_Code],$A47,T_TTAFStock[WeekIndex],40),AN47+'Grid_Incoming'!AO47-'Grid_Requirement'!AO47))</f>
        <v/>
      </c>
      <c r="AP47">
        <f>IF(COUNTIFS(T_StockCount[RM_Code],$A47,T_StockCount[WeekIndex],41)&gt;0,SUMIFS(T_StockCount[CountedQty],T_StockCount[RM_Code],$A47,T_StockCount[WeekIndex],41),IF((COUNTIFS(T_SelfStock[RM_Code],$A47,T_SelfStock[WeekIndex],41)&gt;0)*(COUNTIFS(T_TTAFStock[RM_Code],$A47,T_TTAFStock[WeekIndex],41)&gt;0)&gt;0,SUMIFS(T_SelfStock[Self_Qty],T_SelfStock[RM_Code],$A47,T_SelfStock[WeekIndex],41)+SUMIFS(T_TTAFStock[TTAF_Qty],T_TTAFStock[RM_Code],$A47,T_TTAFStock[WeekIndex],41),AO47+'Grid_Incoming'!AP47-'Grid_Requirement'!AP47))</f>
        <v/>
      </c>
      <c r="AQ47">
        <f>IF(COUNTIFS(T_StockCount[RM_Code],$A47,T_StockCount[WeekIndex],42)&gt;0,SUMIFS(T_StockCount[CountedQty],T_StockCount[RM_Code],$A47,T_StockCount[WeekIndex],42),IF((COUNTIFS(T_SelfStock[RM_Code],$A47,T_SelfStock[WeekIndex],42)&gt;0)*(COUNTIFS(T_TTAFStock[RM_Code],$A47,T_TTAFStock[WeekIndex],42)&gt;0)&gt;0,SUMIFS(T_SelfStock[Self_Qty],T_SelfStock[RM_Code],$A47,T_SelfStock[WeekIndex],42)+SUMIFS(T_TTAFStock[TTAF_Qty],T_TTAFStock[RM_Code],$A47,T_TTAFStock[WeekIndex],42),AP47+'Grid_Incoming'!AQ47-'Grid_Requirement'!AQ47))</f>
        <v/>
      </c>
      <c r="AR47">
        <f>IF(COUNTIFS(T_StockCount[RM_Code],$A47,T_StockCount[WeekIndex],43)&gt;0,SUMIFS(T_StockCount[CountedQty],T_StockCount[RM_Code],$A47,T_StockCount[WeekIndex],43),IF((COUNTIFS(T_SelfStock[RM_Code],$A47,T_SelfStock[WeekIndex],43)&gt;0)*(COUNTIFS(T_TTAFStock[RM_Code],$A47,T_TTAFStock[WeekIndex],43)&gt;0)&gt;0,SUMIFS(T_SelfStock[Self_Qty],T_SelfStock[RM_Code],$A47,T_SelfStock[WeekIndex],43)+SUMIFS(T_TTAFStock[TTAF_Qty],T_TTAFStock[RM_Code],$A47,T_TTAFStock[WeekIndex],43),AQ47+'Grid_Incoming'!AR47-'Grid_Requirement'!AR47))</f>
        <v/>
      </c>
      <c r="AS47">
        <f>IF(COUNTIFS(T_StockCount[RM_Code],$A47,T_StockCount[WeekIndex],44)&gt;0,SUMIFS(T_StockCount[CountedQty],T_StockCount[RM_Code],$A47,T_StockCount[WeekIndex],44),IF((COUNTIFS(T_SelfStock[RM_Code],$A47,T_SelfStock[WeekIndex],44)&gt;0)*(COUNTIFS(T_TTAFStock[RM_Code],$A47,T_TTAFStock[WeekIndex],44)&gt;0)&gt;0,SUMIFS(T_SelfStock[Self_Qty],T_SelfStock[RM_Code],$A47,T_SelfStock[WeekIndex],44)+SUMIFS(T_TTAFStock[TTAF_Qty],T_TTAFStock[RM_Code],$A47,T_TTAFStock[WeekIndex],44),AR47+'Grid_Incoming'!AS47-'Grid_Requirement'!AS47))</f>
        <v/>
      </c>
      <c r="AT47">
        <f>IF(COUNTIFS(T_StockCount[RM_Code],$A47,T_StockCount[WeekIndex],45)&gt;0,SUMIFS(T_StockCount[CountedQty],T_StockCount[RM_Code],$A47,T_StockCount[WeekIndex],45),IF((COUNTIFS(T_SelfStock[RM_Code],$A47,T_SelfStock[WeekIndex],45)&gt;0)*(COUNTIFS(T_TTAFStock[RM_Code],$A47,T_TTAFStock[WeekIndex],45)&gt;0)&gt;0,SUMIFS(T_SelfStock[Self_Qty],T_SelfStock[RM_Code],$A47,T_SelfStock[WeekIndex],45)+SUMIFS(T_TTAFStock[TTAF_Qty],T_TTAFStock[RM_Code],$A47,T_TTAFStock[WeekIndex],45),AS47+'Grid_Incoming'!AT47-'Grid_Requirement'!AT47))</f>
        <v/>
      </c>
      <c r="AU47">
        <f>IF(COUNTIFS(T_StockCount[RM_Code],$A47,T_StockCount[WeekIndex],46)&gt;0,SUMIFS(T_StockCount[CountedQty],T_StockCount[RM_Code],$A47,T_StockCount[WeekIndex],46),IF((COUNTIFS(T_SelfStock[RM_Code],$A47,T_SelfStock[WeekIndex],46)&gt;0)*(COUNTIFS(T_TTAFStock[RM_Code],$A47,T_TTAFStock[WeekIndex],46)&gt;0)&gt;0,SUMIFS(T_SelfStock[Self_Qty],T_SelfStock[RM_Code],$A47,T_SelfStock[WeekIndex],46)+SUMIFS(T_TTAFStock[TTAF_Qty],T_TTAFStock[RM_Code],$A47,T_TTAFStock[WeekIndex],46),AT47+'Grid_Incoming'!AU47-'Grid_Requirement'!AU47))</f>
        <v/>
      </c>
      <c r="AV47">
        <f>IF(COUNTIFS(T_StockCount[RM_Code],$A47,T_StockCount[WeekIndex],47)&gt;0,SUMIFS(T_StockCount[CountedQty],T_StockCount[RM_Code],$A47,T_StockCount[WeekIndex],47),IF((COUNTIFS(T_SelfStock[RM_Code],$A47,T_SelfStock[WeekIndex],47)&gt;0)*(COUNTIFS(T_TTAFStock[RM_Code],$A47,T_TTAFStock[WeekIndex],47)&gt;0)&gt;0,SUMIFS(T_SelfStock[Self_Qty],T_SelfStock[RM_Code],$A47,T_SelfStock[WeekIndex],47)+SUMIFS(T_TTAFStock[TTAF_Qty],T_TTAFStock[RM_Code],$A47,T_TTAFStock[WeekIndex],47),AU47+'Grid_Incoming'!AV47-'Grid_Requirement'!AV47))</f>
        <v/>
      </c>
      <c r="AW47">
        <f>IF(COUNTIFS(T_StockCount[RM_Code],$A47,T_StockCount[WeekIndex],48)&gt;0,SUMIFS(T_StockCount[CountedQty],T_StockCount[RM_Code],$A47,T_StockCount[WeekIndex],48),IF((COUNTIFS(T_SelfStock[RM_Code],$A47,T_SelfStock[WeekIndex],48)&gt;0)*(COUNTIFS(T_TTAFStock[RM_Code],$A47,T_TTAFStock[WeekIndex],48)&gt;0)&gt;0,SUMIFS(T_SelfStock[Self_Qty],T_SelfStock[RM_Code],$A47,T_SelfStock[WeekIndex],48)+SUMIFS(T_TTAFStock[TTAF_Qty],T_TTAFStock[RM_Code],$A47,T_TTAFStock[WeekIndex],48),AV47+'Grid_Incoming'!AW47-'Grid_Requirement'!AW47))</f>
        <v/>
      </c>
      <c r="AX47">
        <f>IF(COUNTIFS(T_StockCount[RM_Code],$A47,T_StockCount[WeekIndex],49)&gt;0,SUMIFS(T_StockCount[CountedQty],T_StockCount[RM_Code],$A47,T_StockCount[WeekIndex],49),IF((COUNTIFS(T_SelfStock[RM_Code],$A47,T_SelfStock[WeekIndex],49)&gt;0)*(COUNTIFS(T_TTAFStock[RM_Code],$A47,T_TTAFStock[WeekIndex],49)&gt;0)&gt;0,SUMIFS(T_SelfStock[Self_Qty],T_SelfStock[RM_Code],$A47,T_SelfStock[WeekIndex],49)+SUMIFS(T_TTAFStock[TTAF_Qty],T_TTAFStock[RM_Code],$A47,T_TTAFStock[WeekIndex],49),AW47+'Grid_Incoming'!AX47-'Grid_Requirement'!AX47))</f>
        <v/>
      </c>
      <c r="AY47">
        <f>IF(COUNTIFS(T_StockCount[RM_Code],$A47,T_StockCount[WeekIndex],50)&gt;0,SUMIFS(T_StockCount[CountedQty],T_StockCount[RM_Code],$A47,T_StockCount[WeekIndex],50),IF((COUNTIFS(T_SelfStock[RM_Code],$A47,T_SelfStock[WeekIndex],50)&gt;0)*(COUNTIFS(T_TTAFStock[RM_Code],$A47,T_TTAFStock[WeekIndex],50)&gt;0)&gt;0,SUMIFS(T_SelfStock[Self_Qty],T_SelfStock[RM_Code],$A47,T_SelfStock[WeekIndex],50)+SUMIFS(T_TTAFStock[TTAF_Qty],T_TTAFStock[RM_Code],$A47,T_TTAFStock[WeekIndex],50),AX47+'Grid_Incoming'!AY47-'Grid_Requirement'!AY47))</f>
        <v/>
      </c>
      <c r="AZ47">
        <f>IF(COUNTIFS(T_StockCount[RM_Code],$A47,T_StockCount[WeekIndex],51)&gt;0,SUMIFS(T_StockCount[CountedQty],T_StockCount[RM_Code],$A47,T_StockCount[WeekIndex],51),IF((COUNTIFS(T_SelfStock[RM_Code],$A47,T_SelfStock[WeekIndex],51)&gt;0)*(COUNTIFS(T_TTAFStock[RM_Code],$A47,T_TTAFStock[WeekIndex],51)&gt;0)&gt;0,SUMIFS(T_SelfStock[Self_Qty],T_SelfStock[RM_Code],$A47,T_SelfStock[WeekIndex],51)+SUMIFS(T_TTAFStock[TTAF_Qty],T_TTAFStock[RM_Code],$A47,T_TTAFStock[WeekIndex],51),AY47+'Grid_Incoming'!AZ47-'Grid_Requirement'!AZ47))</f>
        <v/>
      </c>
      <c r="BA47">
        <f>IF(COUNTIFS(T_StockCount[RM_Code],$A47,T_StockCount[WeekIndex],52)&gt;0,SUMIFS(T_StockCount[CountedQty],T_StockCount[RM_Code],$A47,T_StockCount[WeekIndex],52),IF((COUNTIFS(T_SelfStock[RM_Code],$A47,T_SelfStock[WeekIndex],52)&gt;0)*(COUNTIFS(T_TTAFStock[RM_Code],$A47,T_TTAFStock[WeekIndex],52)&gt;0)&gt;0,SUMIFS(T_SelfStock[Self_Qty],T_SelfStock[RM_Code],$A47,T_SelfStock[WeekIndex],52)+SUMIFS(T_TTAFStock[TTAF_Qty],T_TTAFStock[RM_Code],$A47,T_TTAFStock[WeekIndex],52),AZ47+'Grid_Incoming'!BA47-'Grid_Requirement'!BA47))</f>
        <v/>
      </c>
      <c r="BB47">
        <f>IF(COUNTIFS(T_StockCount[RM_Code],$A47,T_StockCount[WeekIndex],53)&gt;0,SUMIFS(T_StockCount[CountedQty],T_StockCount[RM_Code],$A47,T_StockCount[WeekIndex],53),IF((COUNTIFS(T_SelfStock[RM_Code],$A47,T_SelfStock[WeekIndex],53)&gt;0)*(COUNTIFS(T_TTAFStock[RM_Code],$A47,T_TTAFStock[WeekIndex],53)&gt;0)&gt;0,SUMIFS(T_SelfStock[Self_Qty],T_SelfStock[RM_Code],$A47,T_SelfStock[WeekIndex],53)+SUMIFS(T_TTAFStock[TTAF_Qty],T_TTAFStock[RM_Code],$A47,T_TTAFStock[WeekIndex],53),BA47+'Grid_Incoming'!BB47-'Grid_Requirement'!BB47))</f>
        <v/>
      </c>
      <c r="BC47">
        <f>IF(COUNTIFS(T_StockCount[RM_Code],$A47,T_StockCount[WeekIndex],54)&gt;0,SUMIFS(T_StockCount[CountedQty],T_StockCount[RM_Code],$A47,T_StockCount[WeekIndex],54),IF((COUNTIFS(T_SelfStock[RM_Code],$A47,T_SelfStock[WeekIndex],54)&gt;0)*(COUNTIFS(T_TTAFStock[RM_Code],$A47,T_TTAFStock[WeekIndex],54)&gt;0)&gt;0,SUMIFS(T_SelfStock[Self_Qty],T_SelfStock[RM_Code],$A47,T_SelfStock[WeekIndex],54)+SUMIFS(T_TTAFStock[TTAF_Qty],T_TTAFStock[RM_Code],$A47,T_TTAFStock[WeekIndex],54),BB47+'Grid_Incoming'!BC47-'Grid_Requirement'!BC47))</f>
        <v/>
      </c>
      <c r="BD47">
        <f>IF(COUNTIFS(T_StockCount[RM_Code],$A47,T_StockCount[WeekIndex],55)&gt;0,SUMIFS(T_StockCount[CountedQty],T_StockCount[RM_Code],$A47,T_StockCount[WeekIndex],55),IF((COUNTIFS(T_SelfStock[RM_Code],$A47,T_SelfStock[WeekIndex],55)&gt;0)*(COUNTIFS(T_TTAFStock[RM_Code],$A47,T_TTAFStock[WeekIndex],55)&gt;0)&gt;0,SUMIFS(T_SelfStock[Self_Qty],T_SelfStock[RM_Code],$A47,T_SelfStock[WeekIndex],55)+SUMIFS(T_TTAFStock[TTAF_Qty],T_TTAFStock[RM_Code],$A47,T_TTAFStock[WeekIndex],55),BC47+'Grid_Incoming'!BD47-'Grid_Requirement'!BD47))</f>
        <v/>
      </c>
      <c r="BE47">
        <f>IF(COUNTIFS(T_StockCount[RM_Code],$A47,T_StockCount[WeekIndex],56)&gt;0,SUMIFS(T_StockCount[CountedQty],T_StockCount[RM_Code],$A47,T_StockCount[WeekIndex],56),IF((COUNTIFS(T_SelfStock[RM_Code],$A47,T_SelfStock[WeekIndex],56)&gt;0)*(COUNTIFS(T_TTAFStock[RM_Code],$A47,T_TTAFStock[WeekIndex],56)&gt;0)&gt;0,SUMIFS(T_SelfStock[Self_Qty],T_SelfStock[RM_Code],$A47,T_SelfStock[WeekIndex],56)+SUMIFS(T_TTAFStock[TTAF_Qty],T_TTAFStock[RM_Code],$A47,T_TTAFStock[WeekIndex],56),BD47+'Grid_Incoming'!BE47-'Grid_Requirement'!BE47))</f>
        <v/>
      </c>
      <c r="BF47">
        <f>IF(COUNTIFS(T_StockCount[RM_Code],$A47,T_StockCount[WeekIndex],57)&gt;0,SUMIFS(T_StockCount[CountedQty],T_StockCount[RM_Code],$A47,T_StockCount[WeekIndex],57),IF((COUNTIFS(T_SelfStock[RM_Code],$A47,T_SelfStock[WeekIndex],57)&gt;0)*(COUNTIFS(T_TTAFStock[RM_Code],$A47,T_TTAFStock[WeekIndex],57)&gt;0)&gt;0,SUMIFS(T_SelfStock[Self_Qty],T_SelfStock[RM_Code],$A47,T_SelfStock[WeekIndex],57)+SUMIFS(T_TTAFStock[TTAF_Qty],T_TTAFStock[RM_Code],$A47,T_TTAFStock[WeekIndex],57),BE47+'Grid_Incoming'!BF47-'Grid_Requirement'!BF47))</f>
        <v/>
      </c>
      <c r="BG47">
        <f>IF(COUNTIFS(T_StockCount[RM_Code],$A47,T_StockCount[WeekIndex],58)&gt;0,SUMIFS(T_StockCount[CountedQty],T_StockCount[RM_Code],$A47,T_StockCount[WeekIndex],58),IF((COUNTIFS(T_SelfStock[RM_Code],$A47,T_SelfStock[WeekIndex],58)&gt;0)*(COUNTIFS(T_TTAFStock[RM_Code],$A47,T_TTAFStock[WeekIndex],58)&gt;0)&gt;0,SUMIFS(T_SelfStock[Self_Qty],T_SelfStock[RM_Code],$A47,T_SelfStock[WeekIndex],58)+SUMIFS(T_TTAFStock[TTAF_Qty],T_TTAFStock[RM_Code],$A47,T_TTAFStock[WeekIndex],58),BF47+'Grid_Incoming'!BG47-'Grid_Requirement'!BG47))</f>
        <v/>
      </c>
      <c r="BH47">
        <f>IF(COUNTIFS(T_StockCount[RM_Code],$A47,T_StockCount[WeekIndex],59)&gt;0,SUMIFS(T_StockCount[CountedQty],T_StockCount[RM_Code],$A47,T_StockCount[WeekIndex],59),IF((COUNTIFS(T_SelfStock[RM_Code],$A47,T_SelfStock[WeekIndex],59)&gt;0)*(COUNTIFS(T_TTAFStock[RM_Code],$A47,T_TTAFStock[WeekIndex],59)&gt;0)&gt;0,SUMIFS(T_SelfStock[Self_Qty],T_SelfStock[RM_Code],$A47,T_SelfStock[WeekIndex],59)+SUMIFS(T_TTAFStock[TTAF_Qty],T_TTAFStock[RM_Code],$A47,T_TTAFStock[WeekIndex],59),BG47+'Grid_Incoming'!BH47-'Grid_Requirement'!BH47))</f>
        <v/>
      </c>
      <c r="BI47">
        <f>IF(COUNTIFS(T_StockCount[RM_Code],$A47,T_StockCount[WeekIndex],60)&gt;0,SUMIFS(T_StockCount[CountedQty],T_StockCount[RM_Code],$A47,T_StockCount[WeekIndex],60),IF((COUNTIFS(T_SelfStock[RM_Code],$A47,T_SelfStock[WeekIndex],60)&gt;0)*(COUNTIFS(T_TTAFStock[RM_Code],$A47,T_TTAFStock[WeekIndex],60)&gt;0)&gt;0,SUMIFS(T_SelfStock[Self_Qty],T_SelfStock[RM_Code],$A47,T_SelfStock[WeekIndex],60)+SUMIFS(T_TTAFStock[TTAF_Qty],T_TTAFStock[RM_Code],$A47,T_TTAFStock[WeekIndex],60),BH47+'Grid_Incoming'!BI47-'Grid_Requirement'!BI47))</f>
        <v/>
      </c>
      <c r="BJ47">
        <f>IF(COUNTIFS(T_StockCount[RM_Code],$A47,T_StockCount[WeekIndex],61)&gt;0,SUMIFS(T_StockCount[CountedQty],T_StockCount[RM_Code],$A47,T_StockCount[WeekIndex],61),IF((COUNTIFS(T_SelfStock[RM_Code],$A47,T_SelfStock[WeekIndex],61)&gt;0)*(COUNTIFS(T_TTAFStock[RM_Code],$A47,T_TTAFStock[WeekIndex],61)&gt;0)&gt;0,SUMIFS(T_SelfStock[Self_Qty],T_SelfStock[RM_Code],$A47,T_SelfStock[WeekIndex],61)+SUMIFS(T_TTAFStock[TTAF_Qty],T_TTAFStock[RM_Code],$A47,T_TTAFStock[WeekIndex],61),BI47+'Grid_Incoming'!BJ47-'Grid_Requirement'!BJ47))</f>
        <v/>
      </c>
      <c r="BK47">
        <f>IF(COUNTIFS(T_StockCount[RM_Code],$A47,T_StockCount[WeekIndex],62)&gt;0,SUMIFS(T_StockCount[CountedQty],T_StockCount[RM_Code],$A47,T_StockCount[WeekIndex],62),IF((COUNTIFS(T_SelfStock[RM_Code],$A47,T_SelfStock[WeekIndex],62)&gt;0)*(COUNTIFS(T_TTAFStock[RM_Code],$A47,T_TTAFStock[WeekIndex],62)&gt;0)&gt;0,SUMIFS(T_SelfStock[Self_Qty],T_SelfStock[RM_Code],$A47,T_SelfStock[WeekIndex],62)+SUMIFS(T_TTAFStock[TTAF_Qty],T_TTAFStock[RM_Code],$A47,T_TTAFStock[WeekIndex],62),BJ47+'Grid_Incoming'!BK47-'Grid_Requirement'!BK47))</f>
        <v/>
      </c>
      <c r="BL47">
        <f>IF(COUNTIFS(T_StockCount[RM_Code],$A47,T_StockCount[WeekIndex],63)&gt;0,SUMIFS(T_StockCount[CountedQty],T_StockCount[RM_Code],$A47,T_StockCount[WeekIndex],63),IF((COUNTIFS(T_SelfStock[RM_Code],$A47,T_SelfStock[WeekIndex],63)&gt;0)*(COUNTIFS(T_TTAFStock[RM_Code],$A47,T_TTAFStock[WeekIndex],63)&gt;0)&gt;0,SUMIFS(T_SelfStock[Self_Qty],T_SelfStock[RM_Code],$A47,T_SelfStock[WeekIndex],63)+SUMIFS(T_TTAFStock[TTAF_Qty],T_TTAFStock[RM_Code],$A47,T_TTAFStock[WeekIndex],63),BK47+'Grid_Incoming'!BL47-'Grid_Requirement'!BL47))</f>
        <v/>
      </c>
      <c r="BM47">
        <f>IF(COUNTIFS(T_StockCount[RM_Code],$A47,T_StockCount[WeekIndex],64)&gt;0,SUMIFS(T_StockCount[CountedQty],T_StockCount[RM_Code],$A47,T_StockCount[WeekIndex],64),IF((COUNTIFS(T_SelfStock[RM_Code],$A47,T_SelfStock[WeekIndex],64)&gt;0)*(COUNTIFS(T_TTAFStock[RM_Code],$A47,T_TTAFStock[WeekIndex],64)&gt;0)&gt;0,SUMIFS(T_SelfStock[Self_Qty],T_SelfStock[RM_Code],$A47,T_SelfStock[WeekIndex],64)+SUMIFS(T_TTAFStock[TTAF_Qty],T_TTAFStock[RM_Code],$A47,T_TTAFStock[WeekIndex],64),BL47+'Grid_Incoming'!BM47-'Grid_Requirement'!BM47))</f>
        <v/>
      </c>
      <c r="BN47">
        <f>IF(COUNTIFS(T_StockCount[RM_Code],$A47,T_StockCount[WeekIndex],65)&gt;0,SUMIFS(T_StockCount[CountedQty],T_StockCount[RM_Code],$A47,T_StockCount[WeekIndex],65),IF((COUNTIFS(T_SelfStock[RM_Code],$A47,T_SelfStock[WeekIndex],65)&gt;0)*(COUNTIFS(T_TTAFStock[RM_Code],$A47,T_TTAFStock[WeekIndex],65)&gt;0)&gt;0,SUMIFS(T_SelfStock[Self_Qty],T_SelfStock[RM_Code],$A47,T_SelfStock[WeekIndex],65)+SUMIFS(T_TTAFStock[TTAF_Qty],T_TTAFStock[RM_Code],$A47,T_TTAFStock[WeekIndex],65),BM47+'Grid_Incoming'!BN47-'Grid_Requirement'!BN47))</f>
        <v/>
      </c>
      <c r="BO47">
        <f>IF(COUNTIFS(T_StockCount[RM_Code],$A47,T_StockCount[WeekIndex],66)&gt;0,SUMIFS(T_StockCount[CountedQty],T_StockCount[RM_Code],$A47,T_StockCount[WeekIndex],66),IF((COUNTIFS(T_SelfStock[RM_Code],$A47,T_SelfStock[WeekIndex],66)&gt;0)*(COUNTIFS(T_TTAFStock[RM_Code],$A47,T_TTAFStock[WeekIndex],66)&gt;0)&gt;0,SUMIFS(T_SelfStock[Self_Qty],T_SelfStock[RM_Code],$A47,T_SelfStock[WeekIndex],66)+SUMIFS(T_TTAFStock[TTAF_Qty],T_TTAFStock[RM_Code],$A47,T_TTAFStock[WeekIndex],66),BN47+'Grid_Incoming'!BO47-'Grid_Requirement'!BO47))</f>
        <v/>
      </c>
      <c r="BP47">
        <f>IF(COUNTIFS(T_StockCount[RM_Code],$A47,T_StockCount[WeekIndex],67)&gt;0,SUMIFS(T_StockCount[CountedQty],T_StockCount[RM_Code],$A47,T_StockCount[WeekIndex],67),IF((COUNTIFS(T_SelfStock[RM_Code],$A47,T_SelfStock[WeekIndex],67)&gt;0)*(COUNTIFS(T_TTAFStock[RM_Code],$A47,T_TTAFStock[WeekIndex],67)&gt;0)&gt;0,SUMIFS(T_SelfStock[Self_Qty],T_SelfStock[RM_Code],$A47,T_SelfStock[WeekIndex],67)+SUMIFS(T_TTAFStock[TTAF_Qty],T_TTAFStock[RM_Code],$A47,T_TTAFStock[WeekIndex],67),BO47+'Grid_Incoming'!BP47-'Grid_Requirement'!BP47))</f>
        <v/>
      </c>
      <c r="BQ47">
        <f>IF(COUNTIFS(T_StockCount[RM_Code],$A47,T_StockCount[WeekIndex],68)&gt;0,SUMIFS(T_StockCount[CountedQty],T_StockCount[RM_Code],$A47,T_StockCount[WeekIndex],68),IF((COUNTIFS(T_SelfStock[RM_Code],$A47,T_SelfStock[WeekIndex],68)&gt;0)*(COUNTIFS(T_TTAFStock[RM_Code],$A47,T_TTAFStock[WeekIndex],68)&gt;0)&gt;0,SUMIFS(T_SelfStock[Self_Qty],T_SelfStock[RM_Code],$A47,T_SelfStock[WeekIndex],68)+SUMIFS(T_TTAFStock[TTAF_Qty],T_TTAFStock[RM_Code],$A47,T_TTAFStock[WeekIndex],68),BP47+'Grid_Incoming'!BQ47-'Grid_Requirement'!BQ47))</f>
        <v/>
      </c>
      <c r="BR47">
        <f>IF(COUNTIFS(T_StockCount[RM_Code],$A47,T_StockCount[WeekIndex],69)&gt;0,SUMIFS(T_StockCount[CountedQty],T_StockCount[RM_Code],$A47,T_StockCount[WeekIndex],69),IF((COUNTIFS(T_SelfStock[RM_Code],$A47,T_SelfStock[WeekIndex],69)&gt;0)*(COUNTIFS(T_TTAFStock[RM_Code],$A47,T_TTAFStock[WeekIndex],69)&gt;0)&gt;0,SUMIFS(T_SelfStock[Self_Qty],T_SelfStock[RM_Code],$A47,T_SelfStock[WeekIndex],69)+SUMIFS(T_TTAFStock[TTAF_Qty],T_TTAFStock[RM_Code],$A47,T_TTAFStock[WeekIndex],69),BQ47+'Grid_Incoming'!BR47-'Grid_Requirement'!BR47))</f>
        <v/>
      </c>
      <c r="BS47">
        <f>IF(COUNTIFS(T_StockCount[RM_Code],$A47,T_StockCount[WeekIndex],70)&gt;0,SUMIFS(T_StockCount[CountedQty],T_StockCount[RM_Code],$A47,T_StockCount[WeekIndex],70),IF((COUNTIFS(T_SelfStock[RM_Code],$A47,T_SelfStock[WeekIndex],70)&gt;0)*(COUNTIFS(T_TTAFStock[RM_Code],$A47,T_TTAFStock[WeekIndex],70)&gt;0)&gt;0,SUMIFS(T_SelfStock[Self_Qty],T_SelfStock[RM_Code],$A47,T_SelfStock[WeekIndex],70)+SUMIFS(T_TTAFStock[TTAF_Qty],T_TTAFStock[RM_Code],$A47,T_TTAFStock[WeekIndex],70),BR47+'Grid_Incoming'!BS47-'Grid_Requirement'!BS47))</f>
        <v/>
      </c>
      <c r="BT47">
        <f>IF(COUNTIFS(T_StockCount[RM_Code],$A47,T_StockCount[WeekIndex],71)&gt;0,SUMIFS(T_StockCount[CountedQty],T_StockCount[RM_Code],$A47,T_StockCount[WeekIndex],71),IF((COUNTIFS(T_SelfStock[RM_Code],$A47,T_SelfStock[WeekIndex],71)&gt;0)*(COUNTIFS(T_TTAFStock[RM_Code],$A47,T_TTAFStock[WeekIndex],71)&gt;0)&gt;0,SUMIFS(T_SelfStock[Self_Qty],T_SelfStock[RM_Code],$A47,T_SelfStock[WeekIndex],71)+SUMIFS(T_TTAFStock[TTAF_Qty],T_TTAFStock[RM_Code],$A47,T_TTAFStock[WeekIndex],71),BS47+'Grid_Incoming'!BT47-'Grid_Requirement'!BT47))</f>
        <v/>
      </c>
      <c r="BU47">
        <f>IF(COUNTIFS(T_StockCount[RM_Code],$A47,T_StockCount[WeekIndex],72)&gt;0,SUMIFS(T_StockCount[CountedQty],T_StockCount[RM_Code],$A47,T_StockCount[WeekIndex],72),IF((COUNTIFS(T_SelfStock[RM_Code],$A47,T_SelfStock[WeekIndex],72)&gt;0)*(COUNTIFS(T_TTAFStock[RM_Code],$A47,T_TTAFStock[WeekIndex],72)&gt;0)&gt;0,SUMIFS(T_SelfStock[Self_Qty],T_SelfStock[RM_Code],$A47,T_SelfStock[WeekIndex],72)+SUMIFS(T_TTAFStock[TTAF_Qty],T_TTAFStock[RM_Code],$A47,T_TTAFStock[WeekIndex],72),BT47+'Grid_Incoming'!BU47-'Grid_Requirement'!BU47))</f>
        <v/>
      </c>
      <c r="BV47">
        <f>IF(COUNTIFS(T_StockCount[RM_Code],$A47,T_StockCount[WeekIndex],73)&gt;0,SUMIFS(T_StockCount[CountedQty],T_StockCount[RM_Code],$A47,T_StockCount[WeekIndex],73),IF((COUNTIFS(T_SelfStock[RM_Code],$A47,T_SelfStock[WeekIndex],73)&gt;0)*(COUNTIFS(T_TTAFStock[RM_Code],$A47,T_TTAFStock[WeekIndex],73)&gt;0)&gt;0,SUMIFS(T_SelfStock[Self_Qty],T_SelfStock[RM_Code],$A47,T_SelfStock[WeekIndex],73)+SUMIFS(T_TTAFStock[TTAF_Qty],T_TTAFStock[RM_Code],$A47,T_TTAFStock[WeekIndex],73),BU47+'Grid_Incoming'!BV47-'Grid_Requirement'!BV47))</f>
        <v/>
      </c>
      <c r="BW47">
        <f>IF(COUNTIFS(T_StockCount[RM_Code],$A47,T_StockCount[WeekIndex],74)&gt;0,SUMIFS(T_StockCount[CountedQty],T_StockCount[RM_Code],$A47,T_StockCount[WeekIndex],74),IF((COUNTIFS(T_SelfStock[RM_Code],$A47,T_SelfStock[WeekIndex],74)&gt;0)*(COUNTIFS(T_TTAFStock[RM_Code],$A47,T_TTAFStock[WeekIndex],74)&gt;0)&gt;0,SUMIFS(T_SelfStock[Self_Qty],T_SelfStock[RM_Code],$A47,T_SelfStock[WeekIndex],74)+SUMIFS(T_TTAFStock[TTAF_Qty],T_TTAFStock[RM_Code],$A47,T_TTAFStock[WeekIndex],74),BV47+'Grid_Incoming'!BW47-'Grid_Requirement'!BW47))</f>
        <v/>
      </c>
      <c r="BX47">
        <f>IF(COUNTIFS(T_StockCount[RM_Code],$A47,T_StockCount[WeekIndex],75)&gt;0,SUMIFS(T_StockCount[CountedQty],T_StockCount[RM_Code],$A47,T_StockCount[WeekIndex],75),IF((COUNTIFS(T_SelfStock[RM_Code],$A47,T_SelfStock[WeekIndex],75)&gt;0)*(COUNTIFS(T_TTAFStock[RM_Code],$A47,T_TTAFStock[WeekIndex],75)&gt;0)&gt;0,SUMIFS(T_SelfStock[Self_Qty],T_SelfStock[RM_Code],$A47,T_SelfStock[WeekIndex],75)+SUMIFS(T_TTAFStock[TTAF_Qty],T_TTAFStock[RM_Code],$A47,T_TTAFStock[WeekIndex],75),BW47+'Grid_Incoming'!BX47-'Grid_Requirement'!BX47))</f>
        <v/>
      </c>
      <c r="BY47">
        <f>IF(COUNTIFS(T_StockCount[RM_Code],$A47,T_StockCount[WeekIndex],76)&gt;0,SUMIFS(T_StockCount[CountedQty],T_StockCount[RM_Code],$A47,T_StockCount[WeekIndex],76),IF((COUNTIFS(T_SelfStock[RM_Code],$A47,T_SelfStock[WeekIndex],76)&gt;0)*(COUNTIFS(T_TTAFStock[RM_Code],$A47,T_TTAFStock[WeekIndex],76)&gt;0)&gt;0,SUMIFS(T_SelfStock[Self_Qty],T_SelfStock[RM_Code],$A47,T_SelfStock[WeekIndex],76)+SUMIFS(T_TTAFStock[TTAF_Qty],T_TTAFStock[RM_Code],$A47,T_TTAFStock[WeekIndex],76),BX47+'Grid_Incoming'!BY47-'Grid_Requirement'!BY47))</f>
        <v/>
      </c>
      <c r="BZ47">
        <f>IF(COUNTIFS(T_StockCount[RM_Code],$A47,T_StockCount[WeekIndex],77)&gt;0,SUMIFS(T_StockCount[CountedQty],T_StockCount[RM_Code],$A47,T_StockCount[WeekIndex],77),IF((COUNTIFS(T_SelfStock[RM_Code],$A47,T_SelfStock[WeekIndex],77)&gt;0)*(COUNTIFS(T_TTAFStock[RM_Code],$A47,T_TTAFStock[WeekIndex],77)&gt;0)&gt;0,SUMIFS(T_SelfStock[Self_Qty],T_SelfStock[RM_Code],$A47,T_SelfStock[WeekIndex],77)+SUMIFS(T_TTAFStock[TTAF_Qty],T_TTAFStock[RM_Code],$A47,T_TTAFStock[WeekIndex],77),BY47+'Grid_Incoming'!BZ47-'Grid_Requirement'!BZ47))</f>
        <v/>
      </c>
      <c r="CA47">
        <f>IF(COUNTIFS(T_StockCount[RM_Code],$A47,T_StockCount[WeekIndex],78)&gt;0,SUMIFS(T_StockCount[CountedQty],T_StockCount[RM_Code],$A47,T_StockCount[WeekIndex],78),IF((COUNTIFS(T_SelfStock[RM_Code],$A47,T_SelfStock[WeekIndex],78)&gt;0)*(COUNTIFS(T_TTAFStock[RM_Code],$A47,T_TTAFStock[WeekIndex],78)&gt;0)&gt;0,SUMIFS(T_SelfStock[Self_Qty],T_SelfStock[RM_Code],$A47,T_SelfStock[WeekIndex],78)+SUMIFS(T_TTAFStock[TTAF_Qty],T_TTAFStock[RM_Code],$A47,T_TTAFStock[WeekIndex],78),BZ47+'Grid_Incoming'!CA47-'Grid_Requirement'!CA47))</f>
        <v/>
      </c>
      <c r="CB47">
        <f>IF(COUNTIFS(T_StockCount[RM_Code],$A47,T_StockCount[WeekIndex],79)&gt;0,SUMIFS(T_StockCount[CountedQty],T_StockCount[RM_Code],$A47,T_StockCount[WeekIndex],79),IF((COUNTIFS(T_SelfStock[RM_Code],$A47,T_SelfStock[WeekIndex],79)&gt;0)*(COUNTIFS(T_TTAFStock[RM_Code],$A47,T_TTAFStock[WeekIndex],79)&gt;0)&gt;0,SUMIFS(T_SelfStock[Self_Qty],T_SelfStock[RM_Code],$A47,T_SelfStock[WeekIndex],79)+SUMIFS(T_TTAFStock[TTAF_Qty],T_TTAFStock[RM_Code],$A47,T_TTAFStock[WeekIndex],79),CA47+'Grid_Incoming'!CB47-'Grid_Requirement'!CB47))</f>
        <v/>
      </c>
      <c r="CC47">
        <f>IF(COUNTIFS(T_StockCount[RM_Code],$A47,T_StockCount[WeekIndex],80)&gt;0,SUMIFS(T_StockCount[CountedQty],T_StockCount[RM_Code],$A47,T_StockCount[WeekIndex],80),IF((COUNTIFS(T_SelfStock[RM_Code],$A47,T_SelfStock[WeekIndex],80)&gt;0)*(COUNTIFS(T_TTAFStock[RM_Code],$A47,T_TTAFStock[WeekIndex],80)&gt;0)&gt;0,SUMIFS(T_SelfStock[Self_Qty],T_SelfStock[RM_Code],$A47,T_SelfStock[WeekIndex],80)+SUMIFS(T_TTAFStock[TTAF_Qty],T_TTAFStock[RM_Code],$A47,T_TTAFStock[WeekIndex],80),CB47+'Grid_Incoming'!CC47-'Grid_Requirement'!CC47))</f>
        <v/>
      </c>
      <c r="CD47">
        <f>IF(COUNTIFS(T_StockCount[RM_Code],$A47,T_StockCount[WeekIndex],81)&gt;0,SUMIFS(T_StockCount[CountedQty],T_StockCount[RM_Code],$A47,T_StockCount[WeekIndex],81),IF((COUNTIFS(T_SelfStock[RM_Code],$A47,T_SelfStock[WeekIndex],81)&gt;0)*(COUNTIFS(T_TTAFStock[RM_Code],$A47,T_TTAFStock[WeekIndex],81)&gt;0)&gt;0,SUMIFS(T_SelfStock[Self_Qty],T_SelfStock[RM_Code],$A47,T_SelfStock[WeekIndex],81)+SUMIFS(T_TTAFStock[TTAF_Qty],T_TTAFStock[RM_Code],$A47,T_TTAFStock[WeekIndex],81),CC47+'Grid_Incoming'!CD47-'Grid_Requirement'!CD47))</f>
        <v/>
      </c>
      <c r="CE47">
        <f>IF(COUNTIFS(T_StockCount[RM_Code],$A47,T_StockCount[WeekIndex],82)&gt;0,SUMIFS(T_StockCount[CountedQty],T_StockCount[RM_Code],$A47,T_StockCount[WeekIndex],82),IF((COUNTIFS(T_SelfStock[RM_Code],$A47,T_SelfStock[WeekIndex],82)&gt;0)*(COUNTIFS(T_TTAFStock[RM_Code],$A47,T_TTAFStock[WeekIndex],82)&gt;0)&gt;0,SUMIFS(T_SelfStock[Self_Qty],T_SelfStock[RM_Code],$A47,T_SelfStock[WeekIndex],82)+SUMIFS(T_TTAFStock[TTAF_Qty],T_TTAFStock[RM_Code],$A47,T_TTAFStock[WeekIndex],82),CD47+'Grid_Incoming'!CE47-'Grid_Requirement'!CE47))</f>
        <v/>
      </c>
      <c r="CF47">
        <f>IF(COUNTIFS(T_StockCount[RM_Code],$A47,T_StockCount[WeekIndex],83)&gt;0,SUMIFS(T_StockCount[CountedQty],T_StockCount[RM_Code],$A47,T_StockCount[WeekIndex],83),IF((COUNTIFS(T_SelfStock[RM_Code],$A47,T_SelfStock[WeekIndex],83)&gt;0)*(COUNTIFS(T_TTAFStock[RM_Code],$A47,T_TTAFStock[WeekIndex],83)&gt;0)&gt;0,SUMIFS(T_SelfStock[Self_Qty],T_SelfStock[RM_Code],$A47,T_SelfStock[WeekIndex],83)+SUMIFS(T_TTAFStock[TTAF_Qty],T_TTAFStock[RM_Code],$A47,T_TTAFStock[WeekIndex],83),CE47+'Grid_Incoming'!CF47-'Grid_Requirement'!CF47))</f>
        <v/>
      </c>
      <c r="CG47">
        <f>IF(COUNTIFS(T_StockCount[RM_Code],$A47,T_StockCount[WeekIndex],84)&gt;0,SUMIFS(T_StockCount[CountedQty],T_StockCount[RM_Code],$A47,T_StockCount[WeekIndex],84),IF((COUNTIFS(T_SelfStock[RM_Code],$A47,T_SelfStock[WeekIndex],84)&gt;0)*(COUNTIFS(T_TTAFStock[RM_Code],$A47,T_TTAFStock[WeekIndex],84)&gt;0)&gt;0,SUMIFS(T_SelfStock[Self_Qty],T_SelfStock[RM_Code],$A47,T_SelfStock[WeekIndex],84)+SUMIFS(T_TTAFStock[TTAF_Qty],T_TTAFStock[RM_Code],$A47,T_TTAFStock[WeekIndex],84),CF47+'Grid_Incoming'!CG47-'Grid_Requirement'!CG47))</f>
        <v/>
      </c>
      <c r="CH47">
        <f>IF(COUNTIFS(T_StockCount[RM_Code],$A47,T_StockCount[WeekIndex],85)&gt;0,SUMIFS(T_StockCount[CountedQty],T_StockCount[RM_Code],$A47,T_StockCount[WeekIndex],85),IF((COUNTIFS(T_SelfStock[RM_Code],$A47,T_SelfStock[WeekIndex],85)&gt;0)*(COUNTIFS(T_TTAFStock[RM_Code],$A47,T_TTAFStock[WeekIndex],85)&gt;0)&gt;0,SUMIFS(T_SelfStock[Self_Qty],T_SelfStock[RM_Code],$A47,T_SelfStock[WeekIndex],85)+SUMIFS(T_TTAFStock[TTAF_Qty],T_TTAFStock[RM_Code],$A47,T_TTAFStock[WeekIndex],85),CG47+'Grid_Incoming'!CH47-'Grid_Requirement'!CH47))</f>
        <v/>
      </c>
      <c r="CI47">
        <f>IF(COUNTIFS(T_StockCount[RM_Code],$A47,T_StockCount[WeekIndex],86)&gt;0,SUMIFS(T_StockCount[CountedQty],T_StockCount[RM_Code],$A47,T_StockCount[WeekIndex],86),IF((COUNTIFS(T_SelfStock[RM_Code],$A47,T_SelfStock[WeekIndex],86)&gt;0)*(COUNTIFS(T_TTAFStock[RM_Code],$A47,T_TTAFStock[WeekIndex],86)&gt;0)&gt;0,SUMIFS(T_SelfStock[Self_Qty],T_SelfStock[RM_Code],$A47,T_SelfStock[WeekIndex],86)+SUMIFS(T_TTAFStock[TTAF_Qty],T_TTAFStock[RM_Code],$A47,T_TTAFStock[WeekIndex],86),CH47+'Grid_Incoming'!CI47-'Grid_Requirement'!CI47))</f>
        <v/>
      </c>
      <c r="CJ47">
        <f>IF(COUNTIFS(T_StockCount[RM_Code],$A47,T_StockCount[WeekIndex],87)&gt;0,SUMIFS(T_StockCount[CountedQty],T_StockCount[RM_Code],$A47,T_StockCount[WeekIndex],87),IF((COUNTIFS(T_SelfStock[RM_Code],$A47,T_SelfStock[WeekIndex],87)&gt;0)*(COUNTIFS(T_TTAFStock[RM_Code],$A47,T_TTAFStock[WeekIndex],87)&gt;0)&gt;0,SUMIFS(T_SelfStock[Self_Qty],T_SelfStock[RM_Code],$A47,T_SelfStock[WeekIndex],87)+SUMIFS(T_TTAFStock[TTAF_Qty],T_TTAFStock[RM_Code],$A47,T_TTAFStock[WeekIndex],87),CI47+'Grid_Incoming'!CJ47-'Grid_Requirement'!CJ47))</f>
        <v/>
      </c>
      <c r="CK47">
        <f>IF(COUNTIFS(T_StockCount[RM_Code],$A47,T_StockCount[WeekIndex],88)&gt;0,SUMIFS(T_StockCount[CountedQty],T_StockCount[RM_Code],$A47,T_StockCount[WeekIndex],88),IF((COUNTIFS(T_SelfStock[RM_Code],$A47,T_SelfStock[WeekIndex],88)&gt;0)*(COUNTIFS(T_TTAFStock[RM_Code],$A47,T_TTAFStock[WeekIndex],88)&gt;0)&gt;0,SUMIFS(T_SelfStock[Self_Qty],T_SelfStock[RM_Code],$A47,T_SelfStock[WeekIndex],88)+SUMIFS(T_TTAFStock[TTAF_Qty],T_TTAFStock[RM_Code],$A47,T_TTAFStock[WeekIndex],88),CJ47+'Grid_Incoming'!CK47-'Grid_Requirement'!CK47))</f>
        <v/>
      </c>
      <c r="CL47">
        <f>IF(COUNTIFS(T_StockCount[RM_Code],$A47,T_StockCount[WeekIndex],89)&gt;0,SUMIFS(T_StockCount[CountedQty],T_StockCount[RM_Code],$A47,T_StockCount[WeekIndex],89),IF((COUNTIFS(T_SelfStock[RM_Code],$A47,T_SelfStock[WeekIndex],89)&gt;0)*(COUNTIFS(T_TTAFStock[RM_Code],$A47,T_TTAFStock[WeekIndex],89)&gt;0)&gt;0,SUMIFS(T_SelfStock[Self_Qty],T_SelfStock[RM_Code],$A47,T_SelfStock[WeekIndex],89)+SUMIFS(T_TTAFStock[TTAF_Qty],T_TTAFStock[RM_Code],$A47,T_TTAFStock[WeekIndex],89),CK47+'Grid_Incoming'!CL47-'Grid_Requirement'!CL47))</f>
        <v/>
      </c>
      <c r="CM47">
        <f>IF(COUNTIFS(T_StockCount[RM_Code],$A47,T_StockCount[WeekIndex],90)&gt;0,SUMIFS(T_StockCount[CountedQty],T_StockCount[RM_Code],$A47,T_StockCount[WeekIndex],90),IF((COUNTIFS(T_SelfStock[RM_Code],$A47,T_SelfStock[WeekIndex],90)&gt;0)*(COUNTIFS(T_TTAFStock[RM_Code],$A47,T_TTAFStock[WeekIndex],90)&gt;0)&gt;0,SUMIFS(T_SelfStock[Self_Qty],T_SelfStock[RM_Code],$A47,T_SelfStock[WeekIndex],90)+SUMIFS(T_TTAFStock[TTAF_Qty],T_TTAFStock[RM_Code],$A47,T_TTAFStock[WeekIndex],90),CL47+'Grid_Incoming'!CM47-'Grid_Requirement'!CM47))</f>
        <v/>
      </c>
      <c r="CN47">
        <f>IF(COUNTIFS(T_StockCount[RM_Code],$A47,T_StockCount[WeekIndex],91)&gt;0,SUMIFS(T_StockCount[CountedQty],T_StockCount[RM_Code],$A47,T_StockCount[WeekIndex],91),IF((COUNTIFS(T_SelfStock[RM_Code],$A47,T_SelfStock[WeekIndex],91)&gt;0)*(COUNTIFS(T_TTAFStock[RM_Code],$A47,T_TTAFStock[WeekIndex],91)&gt;0)&gt;0,SUMIFS(T_SelfStock[Self_Qty],T_SelfStock[RM_Code],$A47,T_SelfStock[WeekIndex],91)+SUMIFS(T_TTAFStock[TTAF_Qty],T_TTAFStock[RM_Code],$A47,T_TTAFStock[WeekIndex],91),CM47+'Grid_Incoming'!CN47-'Grid_Requirement'!CN47))</f>
        <v/>
      </c>
      <c r="CO47">
        <f>IF(COUNTIFS(T_StockCount[RM_Code],$A47,T_StockCount[WeekIndex],92)&gt;0,SUMIFS(T_StockCount[CountedQty],T_StockCount[RM_Code],$A47,T_StockCount[WeekIndex],92),IF((COUNTIFS(T_SelfStock[RM_Code],$A47,T_SelfStock[WeekIndex],92)&gt;0)*(COUNTIFS(T_TTAFStock[RM_Code],$A47,T_TTAFStock[WeekIndex],92)&gt;0)&gt;0,SUMIFS(T_SelfStock[Self_Qty],T_SelfStock[RM_Code],$A47,T_SelfStock[WeekIndex],92)+SUMIFS(T_TTAFStock[TTAF_Qty],T_TTAFStock[RM_Code],$A47,T_TTAFStock[WeekIndex],92),CN47+'Grid_Incoming'!CO47-'Grid_Requirement'!CO47))</f>
        <v/>
      </c>
      <c r="CP47">
        <f>IF(COUNTIFS(T_StockCount[RM_Code],$A47,T_StockCount[WeekIndex],93)&gt;0,SUMIFS(T_StockCount[CountedQty],T_StockCount[RM_Code],$A47,T_StockCount[WeekIndex],93),IF((COUNTIFS(T_SelfStock[RM_Code],$A47,T_SelfStock[WeekIndex],93)&gt;0)*(COUNTIFS(T_TTAFStock[RM_Code],$A47,T_TTAFStock[WeekIndex],93)&gt;0)&gt;0,SUMIFS(T_SelfStock[Self_Qty],T_SelfStock[RM_Code],$A47,T_SelfStock[WeekIndex],93)+SUMIFS(T_TTAFStock[TTAF_Qty],T_TTAFStock[RM_Code],$A47,T_TTAFStock[WeekIndex],93),CO47+'Grid_Incoming'!CP47-'Grid_Requirement'!CP47))</f>
        <v/>
      </c>
      <c r="CQ47">
        <f>IF(COUNTIFS(T_StockCount[RM_Code],$A47,T_StockCount[WeekIndex],94)&gt;0,SUMIFS(T_StockCount[CountedQty],T_StockCount[RM_Code],$A47,T_StockCount[WeekIndex],94),IF((COUNTIFS(T_SelfStock[RM_Code],$A47,T_SelfStock[WeekIndex],94)&gt;0)*(COUNTIFS(T_TTAFStock[RM_Code],$A47,T_TTAFStock[WeekIndex],94)&gt;0)&gt;0,SUMIFS(T_SelfStock[Self_Qty],T_SelfStock[RM_Code],$A47,T_SelfStock[WeekIndex],94)+SUMIFS(T_TTAFStock[TTAF_Qty],T_TTAFStock[RM_Code],$A47,T_TTAFStock[WeekIndex],94),CP47+'Grid_Incoming'!CQ47-'Grid_Requirement'!CQ47))</f>
        <v/>
      </c>
      <c r="CR47">
        <f>IF(COUNTIFS(T_StockCount[RM_Code],$A47,T_StockCount[WeekIndex],95)&gt;0,SUMIFS(T_StockCount[CountedQty],T_StockCount[RM_Code],$A47,T_StockCount[WeekIndex],95),IF((COUNTIFS(T_SelfStock[RM_Code],$A47,T_SelfStock[WeekIndex],95)&gt;0)*(COUNTIFS(T_TTAFStock[RM_Code],$A47,T_TTAFStock[WeekIndex],95)&gt;0)&gt;0,SUMIFS(T_SelfStock[Self_Qty],T_SelfStock[RM_Code],$A47,T_SelfStock[WeekIndex],95)+SUMIFS(T_TTAFStock[TTAF_Qty],T_TTAFStock[RM_Code],$A47,T_TTAFStock[WeekIndex],95),CQ47+'Grid_Incoming'!CR47-'Grid_Requirement'!CR47))</f>
        <v/>
      </c>
      <c r="CS47">
        <f>IF(COUNTIFS(T_StockCount[RM_Code],$A47,T_StockCount[WeekIndex],96)&gt;0,SUMIFS(T_StockCount[CountedQty],T_StockCount[RM_Code],$A47,T_StockCount[WeekIndex],96),IF((COUNTIFS(T_SelfStock[RM_Code],$A47,T_SelfStock[WeekIndex],96)&gt;0)*(COUNTIFS(T_TTAFStock[RM_Code],$A47,T_TTAFStock[WeekIndex],96)&gt;0)&gt;0,SUMIFS(T_SelfStock[Self_Qty],T_SelfStock[RM_Code],$A47,T_SelfStock[WeekIndex],96)+SUMIFS(T_TTAFStock[TTAF_Qty],T_TTAFStock[RM_Code],$A47,T_TTAFStock[WeekIndex],96),CR47+'Grid_Incoming'!CS47-'Grid_Requirement'!CS47))</f>
        <v/>
      </c>
      <c r="CT47">
        <f>IF(COUNTIFS(T_StockCount[RM_Code],$A47,T_StockCount[WeekIndex],97)&gt;0,SUMIFS(T_StockCount[CountedQty],T_StockCount[RM_Code],$A47,T_StockCount[WeekIndex],97),IF((COUNTIFS(T_SelfStock[RM_Code],$A47,T_SelfStock[WeekIndex],97)&gt;0)*(COUNTIFS(T_TTAFStock[RM_Code],$A47,T_TTAFStock[WeekIndex],97)&gt;0)&gt;0,SUMIFS(T_SelfStock[Self_Qty],T_SelfStock[RM_Code],$A47,T_SelfStock[WeekIndex],97)+SUMIFS(T_TTAFStock[TTAF_Qty],T_TTAFStock[RM_Code],$A47,T_TTAFStock[WeekIndex],97),CS47+'Grid_Incoming'!CT47-'Grid_Requirement'!CT47))</f>
        <v/>
      </c>
      <c r="CU47">
        <f>IF(COUNTIFS(T_StockCount[RM_Code],$A47,T_StockCount[WeekIndex],98)&gt;0,SUMIFS(T_StockCount[CountedQty],T_StockCount[RM_Code],$A47,T_StockCount[WeekIndex],98),IF((COUNTIFS(T_SelfStock[RM_Code],$A47,T_SelfStock[WeekIndex],98)&gt;0)*(COUNTIFS(T_TTAFStock[RM_Code],$A47,T_TTAFStock[WeekIndex],98)&gt;0)&gt;0,SUMIFS(T_SelfStock[Self_Qty],T_SelfStock[RM_Code],$A47,T_SelfStock[WeekIndex],98)+SUMIFS(T_TTAFStock[TTAF_Qty],T_TTAFStock[RM_Code],$A47,T_TTAFStock[WeekIndex],98),CT47+'Grid_Incoming'!CU47-'Grid_Requirement'!CU47))</f>
        <v/>
      </c>
      <c r="CV47">
        <f>IF(COUNTIFS(T_StockCount[RM_Code],$A47,T_StockCount[WeekIndex],99)&gt;0,SUMIFS(T_StockCount[CountedQty],T_StockCount[RM_Code],$A47,T_StockCount[WeekIndex],99),IF((COUNTIFS(T_SelfStock[RM_Code],$A47,T_SelfStock[WeekIndex],99)&gt;0)*(COUNTIFS(T_TTAFStock[RM_Code],$A47,T_TTAFStock[WeekIndex],99)&gt;0)&gt;0,SUMIFS(T_SelfStock[Self_Qty],T_SelfStock[RM_Code],$A47,T_SelfStock[WeekIndex],99)+SUMIFS(T_TTAFStock[TTAF_Qty],T_TTAFStock[RM_Code],$A47,T_TTAFStock[WeekIndex],99),CU47+'Grid_Incoming'!CV47-'Grid_Requirement'!CV47))</f>
        <v/>
      </c>
      <c r="CW47">
        <f>IF(COUNTIFS(T_StockCount[RM_Code],$A47,T_StockCount[WeekIndex],100)&gt;0,SUMIFS(T_StockCount[CountedQty],T_StockCount[RM_Code],$A47,T_StockCount[WeekIndex],100),IF((COUNTIFS(T_SelfStock[RM_Code],$A47,T_SelfStock[WeekIndex],100)&gt;0)*(COUNTIFS(T_TTAFStock[RM_Code],$A47,T_TTAFStock[WeekIndex],100)&gt;0)&gt;0,SUMIFS(T_SelfStock[Self_Qty],T_SelfStock[RM_Code],$A47,T_SelfStock[WeekIndex],100)+SUMIFS(T_TTAFStock[TTAF_Qty],T_TTAFStock[RM_Code],$A47,T_TTAFStock[WeekIndex],100),CV47+'Grid_Incoming'!CW47-'Grid_Requirement'!CW47))</f>
        <v/>
      </c>
      <c r="CX47">
        <f>IF(COUNTIFS(T_StockCount[RM_Code],$A47,T_StockCount[WeekIndex],101)&gt;0,SUMIFS(T_StockCount[CountedQty],T_StockCount[RM_Code],$A47,T_StockCount[WeekIndex],101),IF((COUNTIFS(T_SelfStock[RM_Code],$A47,T_SelfStock[WeekIndex],101)&gt;0)*(COUNTIFS(T_TTAFStock[RM_Code],$A47,T_TTAFStock[WeekIndex],101)&gt;0)&gt;0,SUMIFS(T_SelfStock[Self_Qty],T_SelfStock[RM_Code],$A47,T_SelfStock[WeekIndex],101)+SUMIFS(T_TTAFStock[TTAF_Qty],T_TTAFStock[RM_Code],$A47,T_TTAFStock[WeekIndex],101),CW47+'Grid_Incoming'!CX47-'Grid_Requirement'!CX47))</f>
        <v/>
      </c>
      <c r="CY47">
        <f>IF(COUNTIFS(T_StockCount[RM_Code],$A47,T_StockCount[WeekIndex],102)&gt;0,SUMIFS(T_StockCount[CountedQty],T_StockCount[RM_Code],$A47,T_StockCount[WeekIndex],102),IF((COUNTIFS(T_SelfStock[RM_Code],$A47,T_SelfStock[WeekIndex],102)&gt;0)*(COUNTIFS(T_TTAFStock[RM_Code],$A47,T_TTAFStock[WeekIndex],102)&gt;0)&gt;0,SUMIFS(T_SelfStock[Self_Qty],T_SelfStock[RM_Code],$A47,T_SelfStock[WeekIndex],102)+SUMIFS(T_TTAFStock[TTAF_Qty],T_TTAFStock[RM_Code],$A47,T_TTAFStock[WeekIndex],102),CX47+'Grid_Incoming'!CY47-'Grid_Requirement'!CY47))</f>
        <v/>
      </c>
      <c r="CZ47">
        <f>IF(COUNTIFS(T_StockCount[RM_Code],$A47,T_StockCount[WeekIndex],103)&gt;0,SUMIFS(T_StockCount[CountedQty],T_StockCount[RM_Code],$A47,T_StockCount[WeekIndex],103),IF((COUNTIFS(T_SelfStock[RM_Code],$A47,T_SelfStock[WeekIndex],103)&gt;0)*(COUNTIFS(T_TTAFStock[RM_Code],$A47,T_TTAFStock[WeekIndex],103)&gt;0)&gt;0,SUMIFS(T_SelfStock[Self_Qty],T_SelfStock[RM_Code],$A47,T_SelfStock[WeekIndex],103)+SUMIFS(T_TTAFStock[TTAF_Qty],T_TTAFStock[RM_Code],$A47,T_TTAFStock[WeekIndex],103),CY47+'Grid_Incoming'!CZ47-'Grid_Requirement'!CZ47))</f>
        <v/>
      </c>
      <c r="DA47">
        <f>IF(COUNTIFS(T_StockCount[RM_Code],$A47,T_StockCount[WeekIndex],104)&gt;0,SUMIFS(T_StockCount[CountedQty],T_StockCount[RM_Code],$A47,T_StockCount[WeekIndex],104),IF((COUNTIFS(T_SelfStock[RM_Code],$A47,T_SelfStock[WeekIndex],104)&gt;0)*(COUNTIFS(T_TTAFStock[RM_Code],$A47,T_TTAFStock[WeekIndex],104)&gt;0)&gt;0,SUMIFS(T_SelfStock[Self_Qty],T_SelfStock[RM_Code],$A47,T_SelfStock[WeekIndex],104)+SUMIFS(T_TTAFStock[TTAF_Qty],T_TTAFStock[RM_Code],$A47,T_TTAFStock[WeekIndex],104),CZ47+'Grid_Incoming'!DA47-'Grid_Requirement'!DA47))</f>
        <v/>
      </c>
    </row>
    <row r="48">
      <c r="A48" t="inlineStr">
        <is>
          <t>CHEM-1450</t>
        </is>
      </c>
      <c r="B48">
        <f>IF(COUNTIFS(T_StockCount[RM_Code],$A48,T_StockCount[WeekIndex],1)&gt;0,SUMIFS(T_StockCount[CountedQty],T_StockCount[RM_Code],$A48,T_StockCount[WeekIndex],1),IF((COUNTIFS(T_SelfStock[RM_Code],$A48,T_SelfStock[WeekIndex],1)&gt;0)*(COUNTIFS(T_TTAFStock[RM_Code],$A48,T_TTAFStock[WeekIndex],1)&gt;0)&gt;0,SUMIFS(T_SelfStock[Self_Qty],T_SelfStock[RM_Code],$A48,T_SelfStock[WeekIndex],1)+SUMIFS(T_TTAFStock[TTAF_Qty],T_TTAFStock[RM_Code],$A48,T_TTAFStock[WeekIndex],1),IFERROR(INDEX(T_OpeningStock[Opening_Qty],MATCH($A48,T_OpeningStock[RM_Code],0)),0)+'Grid_Incoming'!B48-'Grid_Requirement'!B48))</f>
        <v/>
      </c>
      <c r="C48">
        <f>IF(COUNTIFS(T_StockCount[RM_Code],$A48,T_StockCount[WeekIndex],2)&gt;0,SUMIFS(T_StockCount[CountedQty],T_StockCount[RM_Code],$A48,T_StockCount[WeekIndex],2),IF((COUNTIFS(T_SelfStock[RM_Code],$A48,T_SelfStock[WeekIndex],2)&gt;0)*(COUNTIFS(T_TTAFStock[RM_Code],$A48,T_TTAFStock[WeekIndex],2)&gt;0)&gt;0,SUMIFS(T_SelfStock[Self_Qty],T_SelfStock[RM_Code],$A48,T_SelfStock[WeekIndex],2)+SUMIFS(T_TTAFStock[TTAF_Qty],T_TTAFStock[RM_Code],$A48,T_TTAFStock[WeekIndex],2),B48+'Grid_Incoming'!C48-'Grid_Requirement'!C48))</f>
        <v/>
      </c>
      <c r="D48">
        <f>IF(COUNTIFS(T_StockCount[RM_Code],$A48,T_StockCount[WeekIndex],3)&gt;0,SUMIFS(T_StockCount[CountedQty],T_StockCount[RM_Code],$A48,T_StockCount[WeekIndex],3),IF((COUNTIFS(T_SelfStock[RM_Code],$A48,T_SelfStock[WeekIndex],3)&gt;0)*(COUNTIFS(T_TTAFStock[RM_Code],$A48,T_TTAFStock[WeekIndex],3)&gt;0)&gt;0,SUMIFS(T_SelfStock[Self_Qty],T_SelfStock[RM_Code],$A48,T_SelfStock[WeekIndex],3)+SUMIFS(T_TTAFStock[TTAF_Qty],T_TTAFStock[RM_Code],$A48,T_TTAFStock[WeekIndex],3),C48+'Grid_Incoming'!D48-'Grid_Requirement'!D48))</f>
        <v/>
      </c>
      <c r="E48">
        <f>IF(COUNTIFS(T_StockCount[RM_Code],$A48,T_StockCount[WeekIndex],4)&gt;0,SUMIFS(T_StockCount[CountedQty],T_StockCount[RM_Code],$A48,T_StockCount[WeekIndex],4),IF((COUNTIFS(T_SelfStock[RM_Code],$A48,T_SelfStock[WeekIndex],4)&gt;0)*(COUNTIFS(T_TTAFStock[RM_Code],$A48,T_TTAFStock[WeekIndex],4)&gt;0)&gt;0,SUMIFS(T_SelfStock[Self_Qty],T_SelfStock[RM_Code],$A48,T_SelfStock[WeekIndex],4)+SUMIFS(T_TTAFStock[TTAF_Qty],T_TTAFStock[RM_Code],$A48,T_TTAFStock[WeekIndex],4),D48+'Grid_Incoming'!E48-'Grid_Requirement'!E48))</f>
        <v/>
      </c>
      <c r="F48">
        <f>IF(COUNTIFS(T_StockCount[RM_Code],$A48,T_StockCount[WeekIndex],5)&gt;0,SUMIFS(T_StockCount[CountedQty],T_StockCount[RM_Code],$A48,T_StockCount[WeekIndex],5),IF((COUNTIFS(T_SelfStock[RM_Code],$A48,T_SelfStock[WeekIndex],5)&gt;0)*(COUNTIFS(T_TTAFStock[RM_Code],$A48,T_TTAFStock[WeekIndex],5)&gt;0)&gt;0,SUMIFS(T_SelfStock[Self_Qty],T_SelfStock[RM_Code],$A48,T_SelfStock[WeekIndex],5)+SUMIFS(T_TTAFStock[TTAF_Qty],T_TTAFStock[RM_Code],$A48,T_TTAFStock[WeekIndex],5),E48+'Grid_Incoming'!F48-'Grid_Requirement'!F48))</f>
        <v/>
      </c>
      <c r="G48">
        <f>IF(COUNTIFS(T_StockCount[RM_Code],$A48,T_StockCount[WeekIndex],6)&gt;0,SUMIFS(T_StockCount[CountedQty],T_StockCount[RM_Code],$A48,T_StockCount[WeekIndex],6),IF((COUNTIFS(T_SelfStock[RM_Code],$A48,T_SelfStock[WeekIndex],6)&gt;0)*(COUNTIFS(T_TTAFStock[RM_Code],$A48,T_TTAFStock[WeekIndex],6)&gt;0)&gt;0,SUMIFS(T_SelfStock[Self_Qty],T_SelfStock[RM_Code],$A48,T_SelfStock[WeekIndex],6)+SUMIFS(T_TTAFStock[TTAF_Qty],T_TTAFStock[RM_Code],$A48,T_TTAFStock[WeekIndex],6),F48+'Grid_Incoming'!G48-'Grid_Requirement'!G48))</f>
        <v/>
      </c>
      <c r="H48">
        <f>IF(COUNTIFS(T_StockCount[RM_Code],$A48,T_StockCount[WeekIndex],7)&gt;0,SUMIFS(T_StockCount[CountedQty],T_StockCount[RM_Code],$A48,T_StockCount[WeekIndex],7),IF((COUNTIFS(T_SelfStock[RM_Code],$A48,T_SelfStock[WeekIndex],7)&gt;0)*(COUNTIFS(T_TTAFStock[RM_Code],$A48,T_TTAFStock[WeekIndex],7)&gt;0)&gt;0,SUMIFS(T_SelfStock[Self_Qty],T_SelfStock[RM_Code],$A48,T_SelfStock[WeekIndex],7)+SUMIFS(T_TTAFStock[TTAF_Qty],T_TTAFStock[RM_Code],$A48,T_TTAFStock[WeekIndex],7),G48+'Grid_Incoming'!H48-'Grid_Requirement'!H48))</f>
        <v/>
      </c>
      <c r="I48">
        <f>IF(COUNTIFS(T_StockCount[RM_Code],$A48,T_StockCount[WeekIndex],8)&gt;0,SUMIFS(T_StockCount[CountedQty],T_StockCount[RM_Code],$A48,T_StockCount[WeekIndex],8),IF((COUNTIFS(T_SelfStock[RM_Code],$A48,T_SelfStock[WeekIndex],8)&gt;0)*(COUNTIFS(T_TTAFStock[RM_Code],$A48,T_TTAFStock[WeekIndex],8)&gt;0)&gt;0,SUMIFS(T_SelfStock[Self_Qty],T_SelfStock[RM_Code],$A48,T_SelfStock[WeekIndex],8)+SUMIFS(T_TTAFStock[TTAF_Qty],T_TTAFStock[RM_Code],$A48,T_TTAFStock[WeekIndex],8),H48+'Grid_Incoming'!I48-'Grid_Requirement'!I48))</f>
        <v/>
      </c>
      <c r="J48">
        <f>IF(COUNTIFS(T_StockCount[RM_Code],$A48,T_StockCount[WeekIndex],9)&gt;0,SUMIFS(T_StockCount[CountedQty],T_StockCount[RM_Code],$A48,T_StockCount[WeekIndex],9),IF((COUNTIFS(T_SelfStock[RM_Code],$A48,T_SelfStock[WeekIndex],9)&gt;0)*(COUNTIFS(T_TTAFStock[RM_Code],$A48,T_TTAFStock[WeekIndex],9)&gt;0)&gt;0,SUMIFS(T_SelfStock[Self_Qty],T_SelfStock[RM_Code],$A48,T_SelfStock[WeekIndex],9)+SUMIFS(T_TTAFStock[TTAF_Qty],T_TTAFStock[RM_Code],$A48,T_TTAFStock[WeekIndex],9),I48+'Grid_Incoming'!J48-'Grid_Requirement'!J48))</f>
        <v/>
      </c>
      <c r="K48">
        <f>IF(COUNTIFS(T_StockCount[RM_Code],$A48,T_StockCount[WeekIndex],10)&gt;0,SUMIFS(T_StockCount[CountedQty],T_StockCount[RM_Code],$A48,T_StockCount[WeekIndex],10),IF((COUNTIFS(T_SelfStock[RM_Code],$A48,T_SelfStock[WeekIndex],10)&gt;0)*(COUNTIFS(T_TTAFStock[RM_Code],$A48,T_TTAFStock[WeekIndex],10)&gt;0)&gt;0,SUMIFS(T_SelfStock[Self_Qty],T_SelfStock[RM_Code],$A48,T_SelfStock[WeekIndex],10)+SUMIFS(T_TTAFStock[TTAF_Qty],T_TTAFStock[RM_Code],$A48,T_TTAFStock[WeekIndex],10),J48+'Grid_Incoming'!K48-'Grid_Requirement'!K48))</f>
        <v/>
      </c>
      <c r="L48">
        <f>IF(COUNTIFS(T_StockCount[RM_Code],$A48,T_StockCount[WeekIndex],11)&gt;0,SUMIFS(T_StockCount[CountedQty],T_StockCount[RM_Code],$A48,T_StockCount[WeekIndex],11),IF((COUNTIFS(T_SelfStock[RM_Code],$A48,T_SelfStock[WeekIndex],11)&gt;0)*(COUNTIFS(T_TTAFStock[RM_Code],$A48,T_TTAFStock[WeekIndex],11)&gt;0)&gt;0,SUMIFS(T_SelfStock[Self_Qty],T_SelfStock[RM_Code],$A48,T_SelfStock[WeekIndex],11)+SUMIFS(T_TTAFStock[TTAF_Qty],T_TTAFStock[RM_Code],$A48,T_TTAFStock[WeekIndex],11),K48+'Grid_Incoming'!L48-'Grid_Requirement'!L48))</f>
        <v/>
      </c>
      <c r="M48">
        <f>IF(COUNTIFS(T_StockCount[RM_Code],$A48,T_StockCount[WeekIndex],12)&gt;0,SUMIFS(T_StockCount[CountedQty],T_StockCount[RM_Code],$A48,T_StockCount[WeekIndex],12),IF((COUNTIFS(T_SelfStock[RM_Code],$A48,T_SelfStock[WeekIndex],12)&gt;0)*(COUNTIFS(T_TTAFStock[RM_Code],$A48,T_TTAFStock[WeekIndex],12)&gt;0)&gt;0,SUMIFS(T_SelfStock[Self_Qty],T_SelfStock[RM_Code],$A48,T_SelfStock[WeekIndex],12)+SUMIFS(T_TTAFStock[TTAF_Qty],T_TTAFStock[RM_Code],$A48,T_TTAFStock[WeekIndex],12),L48+'Grid_Incoming'!M48-'Grid_Requirement'!M48))</f>
        <v/>
      </c>
      <c r="N48">
        <f>IF(COUNTIFS(T_StockCount[RM_Code],$A48,T_StockCount[WeekIndex],13)&gt;0,SUMIFS(T_StockCount[CountedQty],T_StockCount[RM_Code],$A48,T_StockCount[WeekIndex],13),IF((COUNTIFS(T_SelfStock[RM_Code],$A48,T_SelfStock[WeekIndex],13)&gt;0)*(COUNTIFS(T_TTAFStock[RM_Code],$A48,T_TTAFStock[WeekIndex],13)&gt;0)&gt;0,SUMIFS(T_SelfStock[Self_Qty],T_SelfStock[RM_Code],$A48,T_SelfStock[WeekIndex],13)+SUMIFS(T_TTAFStock[TTAF_Qty],T_TTAFStock[RM_Code],$A48,T_TTAFStock[WeekIndex],13),M48+'Grid_Incoming'!N48-'Grid_Requirement'!N48))</f>
        <v/>
      </c>
      <c r="O48">
        <f>IF(COUNTIFS(T_StockCount[RM_Code],$A48,T_StockCount[WeekIndex],14)&gt;0,SUMIFS(T_StockCount[CountedQty],T_StockCount[RM_Code],$A48,T_StockCount[WeekIndex],14),IF((COUNTIFS(T_SelfStock[RM_Code],$A48,T_SelfStock[WeekIndex],14)&gt;0)*(COUNTIFS(T_TTAFStock[RM_Code],$A48,T_TTAFStock[WeekIndex],14)&gt;0)&gt;0,SUMIFS(T_SelfStock[Self_Qty],T_SelfStock[RM_Code],$A48,T_SelfStock[WeekIndex],14)+SUMIFS(T_TTAFStock[TTAF_Qty],T_TTAFStock[RM_Code],$A48,T_TTAFStock[WeekIndex],14),N48+'Grid_Incoming'!O48-'Grid_Requirement'!O48))</f>
        <v/>
      </c>
      <c r="P48">
        <f>IF(COUNTIFS(T_StockCount[RM_Code],$A48,T_StockCount[WeekIndex],15)&gt;0,SUMIFS(T_StockCount[CountedQty],T_StockCount[RM_Code],$A48,T_StockCount[WeekIndex],15),IF((COUNTIFS(T_SelfStock[RM_Code],$A48,T_SelfStock[WeekIndex],15)&gt;0)*(COUNTIFS(T_TTAFStock[RM_Code],$A48,T_TTAFStock[WeekIndex],15)&gt;0)&gt;0,SUMIFS(T_SelfStock[Self_Qty],T_SelfStock[RM_Code],$A48,T_SelfStock[WeekIndex],15)+SUMIFS(T_TTAFStock[TTAF_Qty],T_TTAFStock[RM_Code],$A48,T_TTAFStock[WeekIndex],15),O48+'Grid_Incoming'!P48-'Grid_Requirement'!P48))</f>
        <v/>
      </c>
      <c r="Q48">
        <f>IF(COUNTIFS(T_StockCount[RM_Code],$A48,T_StockCount[WeekIndex],16)&gt;0,SUMIFS(T_StockCount[CountedQty],T_StockCount[RM_Code],$A48,T_StockCount[WeekIndex],16),IF((COUNTIFS(T_SelfStock[RM_Code],$A48,T_SelfStock[WeekIndex],16)&gt;0)*(COUNTIFS(T_TTAFStock[RM_Code],$A48,T_TTAFStock[WeekIndex],16)&gt;0)&gt;0,SUMIFS(T_SelfStock[Self_Qty],T_SelfStock[RM_Code],$A48,T_SelfStock[WeekIndex],16)+SUMIFS(T_TTAFStock[TTAF_Qty],T_TTAFStock[RM_Code],$A48,T_TTAFStock[WeekIndex],16),P48+'Grid_Incoming'!Q48-'Grid_Requirement'!Q48))</f>
        <v/>
      </c>
      <c r="R48">
        <f>IF(COUNTIFS(T_StockCount[RM_Code],$A48,T_StockCount[WeekIndex],17)&gt;0,SUMIFS(T_StockCount[CountedQty],T_StockCount[RM_Code],$A48,T_StockCount[WeekIndex],17),IF((COUNTIFS(T_SelfStock[RM_Code],$A48,T_SelfStock[WeekIndex],17)&gt;0)*(COUNTIFS(T_TTAFStock[RM_Code],$A48,T_TTAFStock[WeekIndex],17)&gt;0)&gt;0,SUMIFS(T_SelfStock[Self_Qty],T_SelfStock[RM_Code],$A48,T_SelfStock[WeekIndex],17)+SUMIFS(T_TTAFStock[TTAF_Qty],T_TTAFStock[RM_Code],$A48,T_TTAFStock[WeekIndex],17),Q48+'Grid_Incoming'!R48-'Grid_Requirement'!R48))</f>
        <v/>
      </c>
      <c r="S48">
        <f>IF(COUNTIFS(T_StockCount[RM_Code],$A48,T_StockCount[WeekIndex],18)&gt;0,SUMIFS(T_StockCount[CountedQty],T_StockCount[RM_Code],$A48,T_StockCount[WeekIndex],18),IF((COUNTIFS(T_SelfStock[RM_Code],$A48,T_SelfStock[WeekIndex],18)&gt;0)*(COUNTIFS(T_TTAFStock[RM_Code],$A48,T_TTAFStock[WeekIndex],18)&gt;0)&gt;0,SUMIFS(T_SelfStock[Self_Qty],T_SelfStock[RM_Code],$A48,T_SelfStock[WeekIndex],18)+SUMIFS(T_TTAFStock[TTAF_Qty],T_TTAFStock[RM_Code],$A48,T_TTAFStock[WeekIndex],18),R48+'Grid_Incoming'!S48-'Grid_Requirement'!S48))</f>
        <v/>
      </c>
      <c r="T48">
        <f>IF(COUNTIFS(T_StockCount[RM_Code],$A48,T_StockCount[WeekIndex],19)&gt;0,SUMIFS(T_StockCount[CountedQty],T_StockCount[RM_Code],$A48,T_StockCount[WeekIndex],19),IF((COUNTIFS(T_SelfStock[RM_Code],$A48,T_SelfStock[WeekIndex],19)&gt;0)*(COUNTIFS(T_TTAFStock[RM_Code],$A48,T_TTAFStock[WeekIndex],19)&gt;0)&gt;0,SUMIFS(T_SelfStock[Self_Qty],T_SelfStock[RM_Code],$A48,T_SelfStock[WeekIndex],19)+SUMIFS(T_TTAFStock[TTAF_Qty],T_TTAFStock[RM_Code],$A48,T_TTAFStock[WeekIndex],19),S48+'Grid_Incoming'!T48-'Grid_Requirement'!T48))</f>
        <v/>
      </c>
      <c r="U48">
        <f>IF(COUNTIFS(T_StockCount[RM_Code],$A48,T_StockCount[WeekIndex],20)&gt;0,SUMIFS(T_StockCount[CountedQty],T_StockCount[RM_Code],$A48,T_StockCount[WeekIndex],20),IF((COUNTIFS(T_SelfStock[RM_Code],$A48,T_SelfStock[WeekIndex],20)&gt;0)*(COUNTIFS(T_TTAFStock[RM_Code],$A48,T_TTAFStock[WeekIndex],20)&gt;0)&gt;0,SUMIFS(T_SelfStock[Self_Qty],T_SelfStock[RM_Code],$A48,T_SelfStock[WeekIndex],20)+SUMIFS(T_TTAFStock[TTAF_Qty],T_TTAFStock[RM_Code],$A48,T_TTAFStock[WeekIndex],20),T48+'Grid_Incoming'!U48-'Grid_Requirement'!U48))</f>
        <v/>
      </c>
      <c r="V48">
        <f>IF(COUNTIFS(T_StockCount[RM_Code],$A48,T_StockCount[WeekIndex],21)&gt;0,SUMIFS(T_StockCount[CountedQty],T_StockCount[RM_Code],$A48,T_StockCount[WeekIndex],21),IF((COUNTIFS(T_SelfStock[RM_Code],$A48,T_SelfStock[WeekIndex],21)&gt;0)*(COUNTIFS(T_TTAFStock[RM_Code],$A48,T_TTAFStock[WeekIndex],21)&gt;0)&gt;0,SUMIFS(T_SelfStock[Self_Qty],T_SelfStock[RM_Code],$A48,T_SelfStock[WeekIndex],21)+SUMIFS(T_TTAFStock[TTAF_Qty],T_TTAFStock[RM_Code],$A48,T_TTAFStock[WeekIndex],21),U48+'Grid_Incoming'!V48-'Grid_Requirement'!V48))</f>
        <v/>
      </c>
      <c r="W48">
        <f>IF(COUNTIFS(T_StockCount[RM_Code],$A48,T_StockCount[WeekIndex],22)&gt;0,SUMIFS(T_StockCount[CountedQty],T_StockCount[RM_Code],$A48,T_StockCount[WeekIndex],22),IF((COUNTIFS(T_SelfStock[RM_Code],$A48,T_SelfStock[WeekIndex],22)&gt;0)*(COUNTIFS(T_TTAFStock[RM_Code],$A48,T_TTAFStock[WeekIndex],22)&gt;0)&gt;0,SUMIFS(T_SelfStock[Self_Qty],T_SelfStock[RM_Code],$A48,T_SelfStock[WeekIndex],22)+SUMIFS(T_TTAFStock[TTAF_Qty],T_TTAFStock[RM_Code],$A48,T_TTAFStock[WeekIndex],22),V48+'Grid_Incoming'!W48-'Grid_Requirement'!W48))</f>
        <v/>
      </c>
      <c r="X48">
        <f>IF(COUNTIFS(T_StockCount[RM_Code],$A48,T_StockCount[WeekIndex],23)&gt;0,SUMIFS(T_StockCount[CountedQty],T_StockCount[RM_Code],$A48,T_StockCount[WeekIndex],23),IF((COUNTIFS(T_SelfStock[RM_Code],$A48,T_SelfStock[WeekIndex],23)&gt;0)*(COUNTIFS(T_TTAFStock[RM_Code],$A48,T_TTAFStock[WeekIndex],23)&gt;0)&gt;0,SUMIFS(T_SelfStock[Self_Qty],T_SelfStock[RM_Code],$A48,T_SelfStock[WeekIndex],23)+SUMIFS(T_TTAFStock[TTAF_Qty],T_TTAFStock[RM_Code],$A48,T_TTAFStock[WeekIndex],23),W48+'Grid_Incoming'!X48-'Grid_Requirement'!X48))</f>
        <v/>
      </c>
      <c r="Y48">
        <f>IF(COUNTIFS(T_StockCount[RM_Code],$A48,T_StockCount[WeekIndex],24)&gt;0,SUMIFS(T_StockCount[CountedQty],T_StockCount[RM_Code],$A48,T_StockCount[WeekIndex],24),IF((COUNTIFS(T_SelfStock[RM_Code],$A48,T_SelfStock[WeekIndex],24)&gt;0)*(COUNTIFS(T_TTAFStock[RM_Code],$A48,T_TTAFStock[WeekIndex],24)&gt;0)&gt;0,SUMIFS(T_SelfStock[Self_Qty],T_SelfStock[RM_Code],$A48,T_SelfStock[WeekIndex],24)+SUMIFS(T_TTAFStock[TTAF_Qty],T_TTAFStock[RM_Code],$A48,T_TTAFStock[WeekIndex],24),X48+'Grid_Incoming'!Y48-'Grid_Requirement'!Y48))</f>
        <v/>
      </c>
      <c r="Z48">
        <f>IF(COUNTIFS(T_StockCount[RM_Code],$A48,T_StockCount[WeekIndex],25)&gt;0,SUMIFS(T_StockCount[CountedQty],T_StockCount[RM_Code],$A48,T_StockCount[WeekIndex],25),IF((COUNTIFS(T_SelfStock[RM_Code],$A48,T_SelfStock[WeekIndex],25)&gt;0)*(COUNTIFS(T_TTAFStock[RM_Code],$A48,T_TTAFStock[WeekIndex],25)&gt;0)&gt;0,SUMIFS(T_SelfStock[Self_Qty],T_SelfStock[RM_Code],$A48,T_SelfStock[WeekIndex],25)+SUMIFS(T_TTAFStock[TTAF_Qty],T_TTAFStock[RM_Code],$A48,T_TTAFStock[WeekIndex],25),Y48+'Grid_Incoming'!Z48-'Grid_Requirement'!Z48))</f>
        <v/>
      </c>
      <c r="AA48">
        <f>IF(COUNTIFS(T_StockCount[RM_Code],$A48,T_StockCount[WeekIndex],26)&gt;0,SUMIFS(T_StockCount[CountedQty],T_StockCount[RM_Code],$A48,T_StockCount[WeekIndex],26),IF((COUNTIFS(T_SelfStock[RM_Code],$A48,T_SelfStock[WeekIndex],26)&gt;0)*(COUNTIFS(T_TTAFStock[RM_Code],$A48,T_TTAFStock[WeekIndex],26)&gt;0)&gt;0,SUMIFS(T_SelfStock[Self_Qty],T_SelfStock[RM_Code],$A48,T_SelfStock[WeekIndex],26)+SUMIFS(T_TTAFStock[TTAF_Qty],T_TTAFStock[RM_Code],$A48,T_TTAFStock[WeekIndex],26),Z48+'Grid_Incoming'!AA48-'Grid_Requirement'!AA48))</f>
        <v/>
      </c>
      <c r="AB48">
        <f>IF(COUNTIFS(T_StockCount[RM_Code],$A48,T_StockCount[WeekIndex],27)&gt;0,SUMIFS(T_StockCount[CountedQty],T_StockCount[RM_Code],$A48,T_StockCount[WeekIndex],27),IF((COUNTIFS(T_SelfStock[RM_Code],$A48,T_SelfStock[WeekIndex],27)&gt;0)*(COUNTIFS(T_TTAFStock[RM_Code],$A48,T_TTAFStock[WeekIndex],27)&gt;0)&gt;0,SUMIFS(T_SelfStock[Self_Qty],T_SelfStock[RM_Code],$A48,T_SelfStock[WeekIndex],27)+SUMIFS(T_TTAFStock[TTAF_Qty],T_TTAFStock[RM_Code],$A48,T_TTAFStock[WeekIndex],27),AA48+'Grid_Incoming'!AB48-'Grid_Requirement'!AB48))</f>
        <v/>
      </c>
      <c r="AC48">
        <f>IF(COUNTIFS(T_StockCount[RM_Code],$A48,T_StockCount[WeekIndex],28)&gt;0,SUMIFS(T_StockCount[CountedQty],T_StockCount[RM_Code],$A48,T_StockCount[WeekIndex],28),IF((COUNTIFS(T_SelfStock[RM_Code],$A48,T_SelfStock[WeekIndex],28)&gt;0)*(COUNTIFS(T_TTAFStock[RM_Code],$A48,T_TTAFStock[WeekIndex],28)&gt;0)&gt;0,SUMIFS(T_SelfStock[Self_Qty],T_SelfStock[RM_Code],$A48,T_SelfStock[WeekIndex],28)+SUMIFS(T_TTAFStock[TTAF_Qty],T_TTAFStock[RM_Code],$A48,T_TTAFStock[WeekIndex],28),AB48+'Grid_Incoming'!AC48-'Grid_Requirement'!AC48))</f>
        <v/>
      </c>
      <c r="AD48">
        <f>IF(COUNTIFS(T_StockCount[RM_Code],$A48,T_StockCount[WeekIndex],29)&gt;0,SUMIFS(T_StockCount[CountedQty],T_StockCount[RM_Code],$A48,T_StockCount[WeekIndex],29),IF((COUNTIFS(T_SelfStock[RM_Code],$A48,T_SelfStock[WeekIndex],29)&gt;0)*(COUNTIFS(T_TTAFStock[RM_Code],$A48,T_TTAFStock[WeekIndex],29)&gt;0)&gt;0,SUMIFS(T_SelfStock[Self_Qty],T_SelfStock[RM_Code],$A48,T_SelfStock[WeekIndex],29)+SUMIFS(T_TTAFStock[TTAF_Qty],T_TTAFStock[RM_Code],$A48,T_TTAFStock[WeekIndex],29),AC48+'Grid_Incoming'!AD48-'Grid_Requirement'!AD48))</f>
        <v/>
      </c>
      <c r="AE48">
        <f>IF(COUNTIFS(T_StockCount[RM_Code],$A48,T_StockCount[WeekIndex],30)&gt;0,SUMIFS(T_StockCount[CountedQty],T_StockCount[RM_Code],$A48,T_StockCount[WeekIndex],30),IF((COUNTIFS(T_SelfStock[RM_Code],$A48,T_SelfStock[WeekIndex],30)&gt;0)*(COUNTIFS(T_TTAFStock[RM_Code],$A48,T_TTAFStock[WeekIndex],30)&gt;0)&gt;0,SUMIFS(T_SelfStock[Self_Qty],T_SelfStock[RM_Code],$A48,T_SelfStock[WeekIndex],30)+SUMIFS(T_TTAFStock[TTAF_Qty],T_TTAFStock[RM_Code],$A48,T_TTAFStock[WeekIndex],30),AD48+'Grid_Incoming'!AE48-'Grid_Requirement'!AE48))</f>
        <v/>
      </c>
      <c r="AF48">
        <f>IF(COUNTIFS(T_StockCount[RM_Code],$A48,T_StockCount[WeekIndex],31)&gt;0,SUMIFS(T_StockCount[CountedQty],T_StockCount[RM_Code],$A48,T_StockCount[WeekIndex],31),IF((COUNTIFS(T_SelfStock[RM_Code],$A48,T_SelfStock[WeekIndex],31)&gt;0)*(COUNTIFS(T_TTAFStock[RM_Code],$A48,T_TTAFStock[WeekIndex],31)&gt;0)&gt;0,SUMIFS(T_SelfStock[Self_Qty],T_SelfStock[RM_Code],$A48,T_SelfStock[WeekIndex],31)+SUMIFS(T_TTAFStock[TTAF_Qty],T_TTAFStock[RM_Code],$A48,T_TTAFStock[WeekIndex],31),AE48+'Grid_Incoming'!AF48-'Grid_Requirement'!AF48))</f>
        <v/>
      </c>
      <c r="AG48">
        <f>IF(COUNTIFS(T_StockCount[RM_Code],$A48,T_StockCount[WeekIndex],32)&gt;0,SUMIFS(T_StockCount[CountedQty],T_StockCount[RM_Code],$A48,T_StockCount[WeekIndex],32),IF((COUNTIFS(T_SelfStock[RM_Code],$A48,T_SelfStock[WeekIndex],32)&gt;0)*(COUNTIFS(T_TTAFStock[RM_Code],$A48,T_TTAFStock[WeekIndex],32)&gt;0)&gt;0,SUMIFS(T_SelfStock[Self_Qty],T_SelfStock[RM_Code],$A48,T_SelfStock[WeekIndex],32)+SUMIFS(T_TTAFStock[TTAF_Qty],T_TTAFStock[RM_Code],$A48,T_TTAFStock[WeekIndex],32),AF48+'Grid_Incoming'!AG48-'Grid_Requirement'!AG48))</f>
        <v/>
      </c>
      <c r="AH48">
        <f>IF(COUNTIFS(T_StockCount[RM_Code],$A48,T_StockCount[WeekIndex],33)&gt;0,SUMIFS(T_StockCount[CountedQty],T_StockCount[RM_Code],$A48,T_StockCount[WeekIndex],33),IF((COUNTIFS(T_SelfStock[RM_Code],$A48,T_SelfStock[WeekIndex],33)&gt;0)*(COUNTIFS(T_TTAFStock[RM_Code],$A48,T_TTAFStock[WeekIndex],33)&gt;0)&gt;0,SUMIFS(T_SelfStock[Self_Qty],T_SelfStock[RM_Code],$A48,T_SelfStock[WeekIndex],33)+SUMIFS(T_TTAFStock[TTAF_Qty],T_TTAFStock[RM_Code],$A48,T_TTAFStock[WeekIndex],33),AG48+'Grid_Incoming'!AH48-'Grid_Requirement'!AH48))</f>
        <v/>
      </c>
      <c r="AI48">
        <f>IF(COUNTIFS(T_StockCount[RM_Code],$A48,T_StockCount[WeekIndex],34)&gt;0,SUMIFS(T_StockCount[CountedQty],T_StockCount[RM_Code],$A48,T_StockCount[WeekIndex],34),IF((COUNTIFS(T_SelfStock[RM_Code],$A48,T_SelfStock[WeekIndex],34)&gt;0)*(COUNTIFS(T_TTAFStock[RM_Code],$A48,T_TTAFStock[WeekIndex],34)&gt;0)&gt;0,SUMIFS(T_SelfStock[Self_Qty],T_SelfStock[RM_Code],$A48,T_SelfStock[WeekIndex],34)+SUMIFS(T_TTAFStock[TTAF_Qty],T_TTAFStock[RM_Code],$A48,T_TTAFStock[WeekIndex],34),AH48+'Grid_Incoming'!AI48-'Grid_Requirement'!AI48))</f>
        <v/>
      </c>
      <c r="AJ48">
        <f>IF(COUNTIFS(T_StockCount[RM_Code],$A48,T_StockCount[WeekIndex],35)&gt;0,SUMIFS(T_StockCount[CountedQty],T_StockCount[RM_Code],$A48,T_StockCount[WeekIndex],35),IF((COUNTIFS(T_SelfStock[RM_Code],$A48,T_SelfStock[WeekIndex],35)&gt;0)*(COUNTIFS(T_TTAFStock[RM_Code],$A48,T_TTAFStock[WeekIndex],35)&gt;0)&gt;0,SUMIFS(T_SelfStock[Self_Qty],T_SelfStock[RM_Code],$A48,T_SelfStock[WeekIndex],35)+SUMIFS(T_TTAFStock[TTAF_Qty],T_TTAFStock[RM_Code],$A48,T_TTAFStock[WeekIndex],35),AI48+'Grid_Incoming'!AJ48-'Grid_Requirement'!AJ48))</f>
        <v/>
      </c>
      <c r="AK48">
        <f>IF(COUNTIFS(T_StockCount[RM_Code],$A48,T_StockCount[WeekIndex],36)&gt;0,SUMIFS(T_StockCount[CountedQty],T_StockCount[RM_Code],$A48,T_StockCount[WeekIndex],36),IF((COUNTIFS(T_SelfStock[RM_Code],$A48,T_SelfStock[WeekIndex],36)&gt;0)*(COUNTIFS(T_TTAFStock[RM_Code],$A48,T_TTAFStock[WeekIndex],36)&gt;0)&gt;0,SUMIFS(T_SelfStock[Self_Qty],T_SelfStock[RM_Code],$A48,T_SelfStock[WeekIndex],36)+SUMIFS(T_TTAFStock[TTAF_Qty],T_TTAFStock[RM_Code],$A48,T_TTAFStock[WeekIndex],36),AJ48+'Grid_Incoming'!AK48-'Grid_Requirement'!AK48))</f>
        <v/>
      </c>
      <c r="AL48">
        <f>IF(COUNTIFS(T_StockCount[RM_Code],$A48,T_StockCount[WeekIndex],37)&gt;0,SUMIFS(T_StockCount[CountedQty],T_StockCount[RM_Code],$A48,T_StockCount[WeekIndex],37),IF((COUNTIFS(T_SelfStock[RM_Code],$A48,T_SelfStock[WeekIndex],37)&gt;0)*(COUNTIFS(T_TTAFStock[RM_Code],$A48,T_TTAFStock[WeekIndex],37)&gt;0)&gt;0,SUMIFS(T_SelfStock[Self_Qty],T_SelfStock[RM_Code],$A48,T_SelfStock[WeekIndex],37)+SUMIFS(T_TTAFStock[TTAF_Qty],T_TTAFStock[RM_Code],$A48,T_TTAFStock[WeekIndex],37),AK48+'Grid_Incoming'!AL48-'Grid_Requirement'!AL48))</f>
        <v/>
      </c>
      <c r="AM48">
        <f>IF(COUNTIFS(T_StockCount[RM_Code],$A48,T_StockCount[WeekIndex],38)&gt;0,SUMIFS(T_StockCount[CountedQty],T_StockCount[RM_Code],$A48,T_StockCount[WeekIndex],38),IF((COUNTIFS(T_SelfStock[RM_Code],$A48,T_SelfStock[WeekIndex],38)&gt;0)*(COUNTIFS(T_TTAFStock[RM_Code],$A48,T_TTAFStock[WeekIndex],38)&gt;0)&gt;0,SUMIFS(T_SelfStock[Self_Qty],T_SelfStock[RM_Code],$A48,T_SelfStock[WeekIndex],38)+SUMIFS(T_TTAFStock[TTAF_Qty],T_TTAFStock[RM_Code],$A48,T_TTAFStock[WeekIndex],38),AL48+'Grid_Incoming'!AM48-'Grid_Requirement'!AM48))</f>
        <v/>
      </c>
      <c r="AN48">
        <f>IF(COUNTIFS(T_StockCount[RM_Code],$A48,T_StockCount[WeekIndex],39)&gt;0,SUMIFS(T_StockCount[CountedQty],T_StockCount[RM_Code],$A48,T_StockCount[WeekIndex],39),IF((COUNTIFS(T_SelfStock[RM_Code],$A48,T_SelfStock[WeekIndex],39)&gt;0)*(COUNTIFS(T_TTAFStock[RM_Code],$A48,T_TTAFStock[WeekIndex],39)&gt;0)&gt;0,SUMIFS(T_SelfStock[Self_Qty],T_SelfStock[RM_Code],$A48,T_SelfStock[WeekIndex],39)+SUMIFS(T_TTAFStock[TTAF_Qty],T_TTAFStock[RM_Code],$A48,T_TTAFStock[WeekIndex],39),AM48+'Grid_Incoming'!AN48-'Grid_Requirement'!AN48))</f>
        <v/>
      </c>
      <c r="AO48">
        <f>IF(COUNTIFS(T_StockCount[RM_Code],$A48,T_StockCount[WeekIndex],40)&gt;0,SUMIFS(T_StockCount[CountedQty],T_StockCount[RM_Code],$A48,T_StockCount[WeekIndex],40),IF((COUNTIFS(T_SelfStock[RM_Code],$A48,T_SelfStock[WeekIndex],40)&gt;0)*(COUNTIFS(T_TTAFStock[RM_Code],$A48,T_TTAFStock[WeekIndex],40)&gt;0)&gt;0,SUMIFS(T_SelfStock[Self_Qty],T_SelfStock[RM_Code],$A48,T_SelfStock[WeekIndex],40)+SUMIFS(T_TTAFStock[TTAF_Qty],T_TTAFStock[RM_Code],$A48,T_TTAFStock[WeekIndex],40),AN48+'Grid_Incoming'!AO48-'Grid_Requirement'!AO48))</f>
        <v/>
      </c>
      <c r="AP48">
        <f>IF(COUNTIFS(T_StockCount[RM_Code],$A48,T_StockCount[WeekIndex],41)&gt;0,SUMIFS(T_StockCount[CountedQty],T_StockCount[RM_Code],$A48,T_StockCount[WeekIndex],41),IF((COUNTIFS(T_SelfStock[RM_Code],$A48,T_SelfStock[WeekIndex],41)&gt;0)*(COUNTIFS(T_TTAFStock[RM_Code],$A48,T_TTAFStock[WeekIndex],41)&gt;0)&gt;0,SUMIFS(T_SelfStock[Self_Qty],T_SelfStock[RM_Code],$A48,T_SelfStock[WeekIndex],41)+SUMIFS(T_TTAFStock[TTAF_Qty],T_TTAFStock[RM_Code],$A48,T_TTAFStock[WeekIndex],41),AO48+'Grid_Incoming'!AP48-'Grid_Requirement'!AP48))</f>
        <v/>
      </c>
      <c r="AQ48">
        <f>IF(COUNTIFS(T_StockCount[RM_Code],$A48,T_StockCount[WeekIndex],42)&gt;0,SUMIFS(T_StockCount[CountedQty],T_StockCount[RM_Code],$A48,T_StockCount[WeekIndex],42),IF((COUNTIFS(T_SelfStock[RM_Code],$A48,T_SelfStock[WeekIndex],42)&gt;0)*(COUNTIFS(T_TTAFStock[RM_Code],$A48,T_TTAFStock[WeekIndex],42)&gt;0)&gt;0,SUMIFS(T_SelfStock[Self_Qty],T_SelfStock[RM_Code],$A48,T_SelfStock[WeekIndex],42)+SUMIFS(T_TTAFStock[TTAF_Qty],T_TTAFStock[RM_Code],$A48,T_TTAFStock[WeekIndex],42),AP48+'Grid_Incoming'!AQ48-'Grid_Requirement'!AQ48))</f>
        <v/>
      </c>
      <c r="AR48">
        <f>IF(COUNTIFS(T_StockCount[RM_Code],$A48,T_StockCount[WeekIndex],43)&gt;0,SUMIFS(T_StockCount[CountedQty],T_StockCount[RM_Code],$A48,T_StockCount[WeekIndex],43),IF((COUNTIFS(T_SelfStock[RM_Code],$A48,T_SelfStock[WeekIndex],43)&gt;0)*(COUNTIFS(T_TTAFStock[RM_Code],$A48,T_TTAFStock[WeekIndex],43)&gt;0)&gt;0,SUMIFS(T_SelfStock[Self_Qty],T_SelfStock[RM_Code],$A48,T_SelfStock[WeekIndex],43)+SUMIFS(T_TTAFStock[TTAF_Qty],T_TTAFStock[RM_Code],$A48,T_TTAFStock[WeekIndex],43),AQ48+'Grid_Incoming'!AR48-'Grid_Requirement'!AR48))</f>
        <v/>
      </c>
      <c r="AS48">
        <f>IF(COUNTIFS(T_StockCount[RM_Code],$A48,T_StockCount[WeekIndex],44)&gt;0,SUMIFS(T_StockCount[CountedQty],T_StockCount[RM_Code],$A48,T_StockCount[WeekIndex],44),IF((COUNTIFS(T_SelfStock[RM_Code],$A48,T_SelfStock[WeekIndex],44)&gt;0)*(COUNTIFS(T_TTAFStock[RM_Code],$A48,T_TTAFStock[WeekIndex],44)&gt;0)&gt;0,SUMIFS(T_SelfStock[Self_Qty],T_SelfStock[RM_Code],$A48,T_SelfStock[WeekIndex],44)+SUMIFS(T_TTAFStock[TTAF_Qty],T_TTAFStock[RM_Code],$A48,T_TTAFStock[WeekIndex],44),AR48+'Grid_Incoming'!AS48-'Grid_Requirement'!AS48))</f>
        <v/>
      </c>
      <c r="AT48">
        <f>IF(COUNTIFS(T_StockCount[RM_Code],$A48,T_StockCount[WeekIndex],45)&gt;0,SUMIFS(T_StockCount[CountedQty],T_StockCount[RM_Code],$A48,T_StockCount[WeekIndex],45),IF((COUNTIFS(T_SelfStock[RM_Code],$A48,T_SelfStock[WeekIndex],45)&gt;0)*(COUNTIFS(T_TTAFStock[RM_Code],$A48,T_TTAFStock[WeekIndex],45)&gt;0)&gt;0,SUMIFS(T_SelfStock[Self_Qty],T_SelfStock[RM_Code],$A48,T_SelfStock[WeekIndex],45)+SUMIFS(T_TTAFStock[TTAF_Qty],T_TTAFStock[RM_Code],$A48,T_TTAFStock[WeekIndex],45),AS48+'Grid_Incoming'!AT48-'Grid_Requirement'!AT48))</f>
        <v/>
      </c>
      <c r="AU48">
        <f>IF(COUNTIFS(T_StockCount[RM_Code],$A48,T_StockCount[WeekIndex],46)&gt;0,SUMIFS(T_StockCount[CountedQty],T_StockCount[RM_Code],$A48,T_StockCount[WeekIndex],46),IF((COUNTIFS(T_SelfStock[RM_Code],$A48,T_SelfStock[WeekIndex],46)&gt;0)*(COUNTIFS(T_TTAFStock[RM_Code],$A48,T_TTAFStock[WeekIndex],46)&gt;0)&gt;0,SUMIFS(T_SelfStock[Self_Qty],T_SelfStock[RM_Code],$A48,T_SelfStock[WeekIndex],46)+SUMIFS(T_TTAFStock[TTAF_Qty],T_TTAFStock[RM_Code],$A48,T_TTAFStock[WeekIndex],46),AT48+'Grid_Incoming'!AU48-'Grid_Requirement'!AU48))</f>
        <v/>
      </c>
      <c r="AV48">
        <f>IF(COUNTIFS(T_StockCount[RM_Code],$A48,T_StockCount[WeekIndex],47)&gt;0,SUMIFS(T_StockCount[CountedQty],T_StockCount[RM_Code],$A48,T_StockCount[WeekIndex],47),IF((COUNTIFS(T_SelfStock[RM_Code],$A48,T_SelfStock[WeekIndex],47)&gt;0)*(COUNTIFS(T_TTAFStock[RM_Code],$A48,T_TTAFStock[WeekIndex],47)&gt;0)&gt;0,SUMIFS(T_SelfStock[Self_Qty],T_SelfStock[RM_Code],$A48,T_SelfStock[WeekIndex],47)+SUMIFS(T_TTAFStock[TTAF_Qty],T_TTAFStock[RM_Code],$A48,T_TTAFStock[WeekIndex],47),AU48+'Grid_Incoming'!AV48-'Grid_Requirement'!AV48))</f>
        <v/>
      </c>
      <c r="AW48">
        <f>IF(COUNTIFS(T_StockCount[RM_Code],$A48,T_StockCount[WeekIndex],48)&gt;0,SUMIFS(T_StockCount[CountedQty],T_StockCount[RM_Code],$A48,T_StockCount[WeekIndex],48),IF((COUNTIFS(T_SelfStock[RM_Code],$A48,T_SelfStock[WeekIndex],48)&gt;0)*(COUNTIFS(T_TTAFStock[RM_Code],$A48,T_TTAFStock[WeekIndex],48)&gt;0)&gt;0,SUMIFS(T_SelfStock[Self_Qty],T_SelfStock[RM_Code],$A48,T_SelfStock[WeekIndex],48)+SUMIFS(T_TTAFStock[TTAF_Qty],T_TTAFStock[RM_Code],$A48,T_TTAFStock[WeekIndex],48),AV48+'Grid_Incoming'!AW48-'Grid_Requirement'!AW48))</f>
        <v/>
      </c>
      <c r="AX48">
        <f>IF(COUNTIFS(T_StockCount[RM_Code],$A48,T_StockCount[WeekIndex],49)&gt;0,SUMIFS(T_StockCount[CountedQty],T_StockCount[RM_Code],$A48,T_StockCount[WeekIndex],49),IF((COUNTIFS(T_SelfStock[RM_Code],$A48,T_SelfStock[WeekIndex],49)&gt;0)*(COUNTIFS(T_TTAFStock[RM_Code],$A48,T_TTAFStock[WeekIndex],49)&gt;0)&gt;0,SUMIFS(T_SelfStock[Self_Qty],T_SelfStock[RM_Code],$A48,T_SelfStock[WeekIndex],49)+SUMIFS(T_TTAFStock[TTAF_Qty],T_TTAFStock[RM_Code],$A48,T_TTAFStock[WeekIndex],49),AW48+'Grid_Incoming'!AX48-'Grid_Requirement'!AX48))</f>
        <v/>
      </c>
      <c r="AY48">
        <f>IF(COUNTIFS(T_StockCount[RM_Code],$A48,T_StockCount[WeekIndex],50)&gt;0,SUMIFS(T_StockCount[CountedQty],T_StockCount[RM_Code],$A48,T_StockCount[WeekIndex],50),IF((COUNTIFS(T_SelfStock[RM_Code],$A48,T_SelfStock[WeekIndex],50)&gt;0)*(COUNTIFS(T_TTAFStock[RM_Code],$A48,T_TTAFStock[WeekIndex],50)&gt;0)&gt;0,SUMIFS(T_SelfStock[Self_Qty],T_SelfStock[RM_Code],$A48,T_SelfStock[WeekIndex],50)+SUMIFS(T_TTAFStock[TTAF_Qty],T_TTAFStock[RM_Code],$A48,T_TTAFStock[WeekIndex],50),AX48+'Grid_Incoming'!AY48-'Grid_Requirement'!AY48))</f>
        <v/>
      </c>
      <c r="AZ48">
        <f>IF(COUNTIFS(T_StockCount[RM_Code],$A48,T_StockCount[WeekIndex],51)&gt;0,SUMIFS(T_StockCount[CountedQty],T_StockCount[RM_Code],$A48,T_StockCount[WeekIndex],51),IF((COUNTIFS(T_SelfStock[RM_Code],$A48,T_SelfStock[WeekIndex],51)&gt;0)*(COUNTIFS(T_TTAFStock[RM_Code],$A48,T_TTAFStock[WeekIndex],51)&gt;0)&gt;0,SUMIFS(T_SelfStock[Self_Qty],T_SelfStock[RM_Code],$A48,T_SelfStock[WeekIndex],51)+SUMIFS(T_TTAFStock[TTAF_Qty],T_TTAFStock[RM_Code],$A48,T_TTAFStock[WeekIndex],51),AY48+'Grid_Incoming'!AZ48-'Grid_Requirement'!AZ48))</f>
        <v/>
      </c>
      <c r="BA48">
        <f>IF(COUNTIFS(T_StockCount[RM_Code],$A48,T_StockCount[WeekIndex],52)&gt;0,SUMIFS(T_StockCount[CountedQty],T_StockCount[RM_Code],$A48,T_StockCount[WeekIndex],52),IF((COUNTIFS(T_SelfStock[RM_Code],$A48,T_SelfStock[WeekIndex],52)&gt;0)*(COUNTIFS(T_TTAFStock[RM_Code],$A48,T_TTAFStock[WeekIndex],52)&gt;0)&gt;0,SUMIFS(T_SelfStock[Self_Qty],T_SelfStock[RM_Code],$A48,T_SelfStock[WeekIndex],52)+SUMIFS(T_TTAFStock[TTAF_Qty],T_TTAFStock[RM_Code],$A48,T_TTAFStock[WeekIndex],52),AZ48+'Grid_Incoming'!BA48-'Grid_Requirement'!BA48))</f>
        <v/>
      </c>
      <c r="BB48">
        <f>IF(COUNTIFS(T_StockCount[RM_Code],$A48,T_StockCount[WeekIndex],53)&gt;0,SUMIFS(T_StockCount[CountedQty],T_StockCount[RM_Code],$A48,T_StockCount[WeekIndex],53),IF((COUNTIFS(T_SelfStock[RM_Code],$A48,T_SelfStock[WeekIndex],53)&gt;0)*(COUNTIFS(T_TTAFStock[RM_Code],$A48,T_TTAFStock[WeekIndex],53)&gt;0)&gt;0,SUMIFS(T_SelfStock[Self_Qty],T_SelfStock[RM_Code],$A48,T_SelfStock[WeekIndex],53)+SUMIFS(T_TTAFStock[TTAF_Qty],T_TTAFStock[RM_Code],$A48,T_TTAFStock[WeekIndex],53),BA48+'Grid_Incoming'!BB48-'Grid_Requirement'!BB48))</f>
        <v/>
      </c>
      <c r="BC48">
        <f>IF(COUNTIFS(T_StockCount[RM_Code],$A48,T_StockCount[WeekIndex],54)&gt;0,SUMIFS(T_StockCount[CountedQty],T_StockCount[RM_Code],$A48,T_StockCount[WeekIndex],54),IF((COUNTIFS(T_SelfStock[RM_Code],$A48,T_SelfStock[WeekIndex],54)&gt;0)*(COUNTIFS(T_TTAFStock[RM_Code],$A48,T_TTAFStock[WeekIndex],54)&gt;0)&gt;0,SUMIFS(T_SelfStock[Self_Qty],T_SelfStock[RM_Code],$A48,T_SelfStock[WeekIndex],54)+SUMIFS(T_TTAFStock[TTAF_Qty],T_TTAFStock[RM_Code],$A48,T_TTAFStock[WeekIndex],54),BB48+'Grid_Incoming'!BC48-'Grid_Requirement'!BC48))</f>
        <v/>
      </c>
      <c r="BD48">
        <f>IF(COUNTIFS(T_StockCount[RM_Code],$A48,T_StockCount[WeekIndex],55)&gt;0,SUMIFS(T_StockCount[CountedQty],T_StockCount[RM_Code],$A48,T_StockCount[WeekIndex],55),IF((COUNTIFS(T_SelfStock[RM_Code],$A48,T_SelfStock[WeekIndex],55)&gt;0)*(COUNTIFS(T_TTAFStock[RM_Code],$A48,T_TTAFStock[WeekIndex],55)&gt;0)&gt;0,SUMIFS(T_SelfStock[Self_Qty],T_SelfStock[RM_Code],$A48,T_SelfStock[WeekIndex],55)+SUMIFS(T_TTAFStock[TTAF_Qty],T_TTAFStock[RM_Code],$A48,T_TTAFStock[WeekIndex],55),BC48+'Grid_Incoming'!BD48-'Grid_Requirement'!BD48))</f>
        <v/>
      </c>
      <c r="BE48">
        <f>IF(COUNTIFS(T_StockCount[RM_Code],$A48,T_StockCount[WeekIndex],56)&gt;0,SUMIFS(T_StockCount[CountedQty],T_StockCount[RM_Code],$A48,T_StockCount[WeekIndex],56),IF((COUNTIFS(T_SelfStock[RM_Code],$A48,T_SelfStock[WeekIndex],56)&gt;0)*(COUNTIFS(T_TTAFStock[RM_Code],$A48,T_TTAFStock[WeekIndex],56)&gt;0)&gt;0,SUMIFS(T_SelfStock[Self_Qty],T_SelfStock[RM_Code],$A48,T_SelfStock[WeekIndex],56)+SUMIFS(T_TTAFStock[TTAF_Qty],T_TTAFStock[RM_Code],$A48,T_TTAFStock[WeekIndex],56),BD48+'Grid_Incoming'!BE48-'Grid_Requirement'!BE48))</f>
        <v/>
      </c>
      <c r="BF48">
        <f>IF(COUNTIFS(T_StockCount[RM_Code],$A48,T_StockCount[WeekIndex],57)&gt;0,SUMIFS(T_StockCount[CountedQty],T_StockCount[RM_Code],$A48,T_StockCount[WeekIndex],57),IF((COUNTIFS(T_SelfStock[RM_Code],$A48,T_SelfStock[WeekIndex],57)&gt;0)*(COUNTIFS(T_TTAFStock[RM_Code],$A48,T_TTAFStock[WeekIndex],57)&gt;0)&gt;0,SUMIFS(T_SelfStock[Self_Qty],T_SelfStock[RM_Code],$A48,T_SelfStock[WeekIndex],57)+SUMIFS(T_TTAFStock[TTAF_Qty],T_TTAFStock[RM_Code],$A48,T_TTAFStock[WeekIndex],57),BE48+'Grid_Incoming'!BF48-'Grid_Requirement'!BF48))</f>
        <v/>
      </c>
      <c r="BG48">
        <f>IF(COUNTIFS(T_StockCount[RM_Code],$A48,T_StockCount[WeekIndex],58)&gt;0,SUMIFS(T_StockCount[CountedQty],T_StockCount[RM_Code],$A48,T_StockCount[WeekIndex],58),IF((COUNTIFS(T_SelfStock[RM_Code],$A48,T_SelfStock[WeekIndex],58)&gt;0)*(COUNTIFS(T_TTAFStock[RM_Code],$A48,T_TTAFStock[WeekIndex],58)&gt;0)&gt;0,SUMIFS(T_SelfStock[Self_Qty],T_SelfStock[RM_Code],$A48,T_SelfStock[WeekIndex],58)+SUMIFS(T_TTAFStock[TTAF_Qty],T_TTAFStock[RM_Code],$A48,T_TTAFStock[WeekIndex],58),BF48+'Grid_Incoming'!BG48-'Grid_Requirement'!BG48))</f>
        <v/>
      </c>
      <c r="BH48">
        <f>IF(COUNTIFS(T_StockCount[RM_Code],$A48,T_StockCount[WeekIndex],59)&gt;0,SUMIFS(T_StockCount[CountedQty],T_StockCount[RM_Code],$A48,T_StockCount[WeekIndex],59),IF((COUNTIFS(T_SelfStock[RM_Code],$A48,T_SelfStock[WeekIndex],59)&gt;0)*(COUNTIFS(T_TTAFStock[RM_Code],$A48,T_TTAFStock[WeekIndex],59)&gt;0)&gt;0,SUMIFS(T_SelfStock[Self_Qty],T_SelfStock[RM_Code],$A48,T_SelfStock[WeekIndex],59)+SUMIFS(T_TTAFStock[TTAF_Qty],T_TTAFStock[RM_Code],$A48,T_TTAFStock[WeekIndex],59),BG48+'Grid_Incoming'!BH48-'Grid_Requirement'!BH48))</f>
        <v/>
      </c>
      <c r="BI48">
        <f>IF(COUNTIFS(T_StockCount[RM_Code],$A48,T_StockCount[WeekIndex],60)&gt;0,SUMIFS(T_StockCount[CountedQty],T_StockCount[RM_Code],$A48,T_StockCount[WeekIndex],60),IF((COUNTIFS(T_SelfStock[RM_Code],$A48,T_SelfStock[WeekIndex],60)&gt;0)*(COUNTIFS(T_TTAFStock[RM_Code],$A48,T_TTAFStock[WeekIndex],60)&gt;0)&gt;0,SUMIFS(T_SelfStock[Self_Qty],T_SelfStock[RM_Code],$A48,T_SelfStock[WeekIndex],60)+SUMIFS(T_TTAFStock[TTAF_Qty],T_TTAFStock[RM_Code],$A48,T_TTAFStock[WeekIndex],60),BH48+'Grid_Incoming'!BI48-'Grid_Requirement'!BI48))</f>
        <v/>
      </c>
      <c r="BJ48">
        <f>IF(COUNTIFS(T_StockCount[RM_Code],$A48,T_StockCount[WeekIndex],61)&gt;0,SUMIFS(T_StockCount[CountedQty],T_StockCount[RM_Code],$A48,T_StockCount[WeekIndex],61),IF((COUNTIFS(T_SelfStock[RM_Code],$A48,T_SelfStock[WeekIndex],61)&gt;0)*(COUNTIFS(T_TTAFStock[RM_Code],$A48,T_TTAFStock[WeekIndex],61)&gt;0)&gt;0,SUMIFS(T_SelfStock[Self_Qty],T_SelfStock[RM_Code],$A48,T_SelfStock[WeekIndex],61)+SUMIFS(T_TTAFStock[TTAF_Qty],T_TTAFStock[RM_Code],$A48,T_TTAFStock[WeekIndex],61),BI48+'Grid_Incoming'!BJ48-'Grid_Requirement'!BJ48))</f>
        <v/>
      </c>
      <c r="BK48">
        <f>IF(COUNTIFS(T_StockCount[RM_Code],$A48,T_StockCount[WeekIndex],62)&gt;0,SUMIFS(T_StockCount[CountedQty],T_StockCount[RM_Code],$A48,T_StockCount[WeekIndex],62),IF((COUNTIFS(T_SelfStock[RM_Code],$A48,T_SelfStock[WeekIndex],62)&gt;0)*(COUNTIFS(T_TTAFStock[RM_Code],$A48,T_TTAFStock[WeekIndex],62)&gt;0)&gt;0,SUMIFS(T_SelfStock[Self_Qty],T_SelfStock[RM_Code],$A48,T_SelfStock[WeekIndex],62)+SUMIFS(T_TTAFStock[TTAF_Qty],T_TTAFStock[RM_Code],$A48,T_TTAFStock[WeekIndex],62),BJ48+'Grid_Incoming'!BK48-'Grid_Requirement'!BK48))</f>
        <v/>
      </c>
      <c r="BL48">
        <f>IF(COUNTIFS(T_StockCount[RM_Code],$A48,T_StockCount[WeekIndex],63)&gt;0,SUMIFS(T_StockCount[CountedQty],T_StockCount[RM_Code],$A48,T_StockCount[WeekIndex],63),IF((COUNTIFS(T_SelfStock[RM_Code],$A48,T_SelfStock[WeekIndex],63)&gt;0)*(COUNTIFS(T_TTAFStock[RM_Code],$A48,T_TTAFStock[WeekIndex],63)&gt;0)&gt;0,SUMIFS(T_SelfStock[Self_Qty],T_SelfStock[RM_Code],$A48,T_SelfStock[WeekIndex],63)+SUMIFS(T_TTAFStock[TTAF_Qty],T_TTAFStock[RM_Code],$A48,T_TTAFStock[WeekIndex],63),BK48+'Grid_Incoming'!BL48-'Grid_Requirement'!BL48))</f>
        <v/>
      </c>
      <c r="BM48">
        <f>IF(COUNTIFS(T_StockCount[RM_Code],$A48,T_StockCount[WeekIndex],64)&gt;0,SUMIFS(T_StockCount[CountedQty],T_StockCount[RM_Code],$A48,T_StockCount[WeekIndex],64),IF((COUNTIFS(T_SelfStock[RM_Code],$A48,T_SelfStock[WeekIndex],64)&gt;0)*(COUNTIFS(T_TTAFStock[RM_Code],$A48,T_TTAFStock[WeekIndex],64)&gt;0)&gt;0,SUMIFS(T_SelfStock[Self_Qty],T_SelfStock[RM_Code],$A48,T_SelfStock[WeekIndex],64)+SUMIFS(T_TTAFStock[TTAF_Qty],T_TTAFStock[RM_Code],$A48,T_TTAFStock[WeekIndex],64),BL48+'Grid_Incoming'!BM48-'Grid_Requirement'!BM48))</f>
        <v/>
      </c>
      <c r="BN48">
        <f>IF(COUNTIFS(T_StockCount[RM_Code],$A48,T_StockCount[WeekIndex],65)&gt;0,SUMIFS(T_StockCount[CountedQty],T_StockCount[RM_Code],$A48,T_StockCount[WeekIndex],65),IF((COUNTIFS(T_SelfStock[RM_Code],$A48,T_SelfStock[WeekIndex],65)&gt;0)*(COUNTIFS(T_TTAFStock[RM_Code],$A48,T_TTAFStock[WeekIndex],65)&gt;0)&gt;0,SUMIFS(T_SelfStock[Self_Qty],T_SelfStock[RM_Code],$A48,T_SelfStock[WeekIndex],65)+SUMIFS(T_TTAFStock[TTAF_Qty],T_TTAFStock[RM_Code],$A48,T_TTAFStock[WeekIndex],65),BM48+'Grid_Incoming'!BN48-'Grid_Requirement'!BN48))</f>
        <v/>
      </c>
      <c r="BO48">
        <f>IF(COUNTIFS(T_StockCount[RM_Code],$A48,T_StockCount[WeekIndex],66)&gt;0,SUMIFS(T_StockCount[CountedQty],T_StockCount[RM_Code],$A48,T_StockCount[WeekIndex],66),IF((COUNTIFS(T_SelfStock[RM_Code],$A48,T_SelfStock[WeekIndex],66)&gt;0)*(COUNTIFS(T_TTAFStock[RM_Code],$A48,T_TTAFStock[WeekIndex],66)&gt;0)&gt;0,SUMIFS(T_SelfStock[Self_Qty],T_SelfStock[RM_Code],$A48,T_SelfStock[WeekIndex],66)+SUMIFS(T_TTAFStock[TTAF_Qty],T_TTAFStock[RM_Code],$A48,T_TTAFStock[WeekIndex],66),BN48+'Grid_Incoming'!BO48-'Grid_Requirement'!BO48))</f>
        <v/>
      </c>
      <c r="BP48">
        <f>IF(COUNTIFS(T_StockCount[RM_Code],$A48,T_StockCount[WeekIndex],67)&gt;0,SUMIFS(T_StockCount[CountedQty],T_StockCount[RM_Code],$A48,T_StockCount[WeekIndex],67),IF((COUNTIFS(T_SelfStock[RM_Code],$A48,T_SelfStock[WeekIndex],67)&gt;0)*(COUNTIFS(T_TTAFStock[RM_Code],$A48,T_TTAFStock[WeekIndex],67)&gt;0)&gt;0,SUMIFS(T_SelfStock[Self_Qty],T_SelfStock[RM_Code],$A48,T_SelfStock[WeekIndex],67)+SUMIFS(T_TTAFStock[TTAF_Qty],T_TTAFStock[RM_Code],$A48,T_TTAFStock[WeekIndex],67),BO48+'Grid_Incoming'!BP48-'Grid_Requirement'!BP48))</f>
        <v/>
      </c>
      <c r="BQ48">
        <f>IF(COUNTIFS(T_StockCount[RM_Code],$A48,T_StockCount[WeekIndex],68)&gt;0,SUMIFS(T_StockCount[CountedQty],T_StockCount[RM_Code],$A48,T_StockCount[WeekIndex],68),IF((COUNTIFS(T_SelfStock[RM_Code],$A48,T_SelfStock[WeekIndex],68)&gt;0)*(COUNTIFS(T_TTAFStock[RM_Code],$A48,T_TTAFStock[WeekIndex],68)&gt;0)&gt;0,SUMIFS(T_SelfStock[Self_Qty],T_SelfStock[RM_Code],$A48,T_SelfStock[WeekIndex],68)+SUMIFS(T_TTAFStock[TTAF_Qty],T_TTAFStock[RM_Code],$A48,T_TTAFStock[WeekIndex],68),BP48+'Grid_Incoming'!BQ48-'Grid_Requirement'!BQ48))</f>
        <v/>
      </c>
      <c r="BR48">
        <f>IF(COUNTIFS(T_StockCount[RM_Code],$A48,T_StockCount[WeekIndex],69)&gt;0,SUMIFS(T_StockCount[CountedQty],T_StockCount[RM_Code],$A48,T_StockCount[WeekIndex],69),IF((COUNTIFS(T_SelfStock[RM_Code],$A48,T_SelfStock[WeekIndex],69)&gt;0)*(COUNTIFS(T_TTAFStock[RM_Code],$A48,T_TTAFStock[WeekIndex],69)&gt;0)&gt;0,SUMIFS(T_SelfStock[Self_Qty],T_SelfStock[RM_Code],$A48,T_SelfStock[WeekIndex],69)+SUMIFS(T_TTAFStock[TTAF_Qty],T_TTAFStock[RM_Code],$A48,T_TTAFStock[WeekIndex],69),BQ48+'Grid_Incoming'!BR48-'Grid_Requirement'!BR48))</f>
        <v/>
      </c>
      <c r="BS48">
        <f>IF(COUNTIFS(T_StockCount[RM_Code],$A48,T_StockCount[WeekIndex],70)&gt;0,SUMIFS(T_StockCount[CountedQty],T_StockCount[RM_Code],$A48,T_StockCount[WeekIndex],70),IF((COUNTIFS(T_SelfStock[RM_Code],$A48,T_SelfStock[WeekIndex],70)&gt;0)*(COUNTIFS(T_TTAFStock[RM_Code],$A48,T_TTAFStock[WeekIndex],70)&gt;0)&gt;0,SUMIFS(T_SelfStock[Self_Qty],T_SelfStock[RM_Code],$A48,T_SelfStock[WeekIndex],70)+SUMIFS(T_TTAFStock[TTAF_Qty],T_TTAFStock[RM_Code],$A48,T_TTAFStock[WeekIndex],70),BR48+'Grid_Incoming'!BS48-'Grid_Requirement'!BS48))</f>
        <v/>
      </c>
      <c r="BT48">
        <f>IF(COUNTIFS(T_StockCount[RM_Code],$A48,T_StockCount[WeekIndex],71)&gt;0,SUMIFS(T_StockCount[CountedQty],T_StockCount[RM_Code],$A48,T_StockCount[WeekIndex],71),IF((COUNTIFS(T_SelfStock[RM_Code],$A48,T_SelfStock[WeekIndex],71)&gt;0)*(COUNTIFS(T_TTAFStock[RM_Code],$A48,T_TTAFStock[WeekIndex],71)&gt;0)&gt;0,SUMIFS(T_SelfStock[Self_Qty],T_SelfStock[RM_Code],$A48,T_SelfStock[WeekIndex],71)+SUMIFS(T_TTAFStock[TTAF_Qty],T_TTAFStock[RM_Code],$A48,T_TTAFStock[WeekIndex],71),BS48+'Grid_Incoming'!BT48-'Grid_Requirement'!BT48))</f>
        <v/>
      </c>
      <c r="BU48">
        <f>IF(COUNTIFS(T_StockCount[RM_Code],$A48,T_StockCount[WeekIndex],72)&gt;0,SUMIFS(T_StockCount[CountedQty],T_StockCount[RM_Code],$A48,T_StockCount[WeekIndex],72),IF((COUNTIFS(T_SelfStock[RM_Code],$A48,T_SelfStock[WeekIndex],72)&gt;0)*(COUNTIFS(T_TTAFStock[RM_Code],$A48,T_TTAFStock[WeekIndex],72)&gt;0)&gt;0,SUMIFS(T_SelfStock[Self_Qty],T_SelfStock[RM_Code],$A48,T_SelfStock[WeekIndex],72)+SUMIFS(T_TTAFStock[TTAF_Qty],T_TTAFStock[RM_Code],$A48,T_TTAFStock[WeekIndex],72),BT48+'Grid_Incoming'!BU48-'Grid_Requirement'!BU48))</f>
        <v/>
      </c>
      <c r="BV48">
        <f>IF(COUNTIFS(T_StockCount[RM_Code],$A48,T_StockCount[WeekIndex],73)&gt;0,SUMIFS(T_StockCount[CountedQty],T_StockCount[RM_Code],$A48,T_StockCount[WeekIndex],73),IF((COUNTIFS(T_SelfStock[RM_Code],$A48,T_SelfStock[WeekIndex],73)&gt;0)*(COUNTIFS(T_TTAFStock[RM_Code],$A48,T_TTAFStock[WeekIndex],73)&gt;0)&gt;0,SUMIFS(T_SelfStock[Self_Qty],T_SelfStock[RM_Code],$A48,T_SelfStock[WeekIndex],73)+SUMIFS(T_TTAFStock[TTAF_Qty],T_TTAFStock[RM_Code],$A48,T_TTAFStock[WeekIndex],73),BU48+'Grid_Incoming'!BV48-'Grid_Requirement'!BV48))</f>
        <v/>
      </c>
      <c r="BW48">
        <f>IF(COUNTIFS(T_StockCount[RM_Code],$A48,T_StockCount[WeekIndex],74)&gt;0,SUMIFS(T_StockCount[CountedQty],T_StockCount[RM_Code],$A48,T_StockCount[WeekIndex],74),IF((COUNTIFS(T_SelfStock[RM_Code],$A48,T_SelfStock[WeekIndex],74)&gt;0)*(COUNTIFS(T_TTAFStock[RM_Code],$A48,T_TTAFStock[WeekIndex],74)&gt;0)&gt;0,SUMIFS(T_SelfStock[Self_Qty],T_SelfStock[RM_Code],$A48,T_SelfStock[WeekIndex],74)+SUMIFS(T_TTAFStock[TTAF_Qty],T_TTAFStock[RM_Code],$A48,T_TTAFStock[WeekIndex],74),BV48+'Grid_Incoming'!BW48-'Grid_Requirement'!BW48))</f>
        <v/>
      </c>
      <c r="BX48">
        <f>IF(COUNTIFS(T_StockCount[RM_Code],$A48,T_StockCount[WeekIndex],75)&gt;0,SUMIFS(T_StockCount[CountedQty],T_StockCount[RM_Code],$A48,T_StockCount[WeekIndex],75),IF((COUNTIFS(T_SelfStock[RM_Code],$A48,T_SelfStock[WeekIndex],75)&gt;0)*(COUNTIFS(T_TTAFStock[RM_Code],$A48,T_TTAFStock[WeekIndex],75)&gt;0)&gt;0,SUMIFS(T_SelfStock[Self_Qty],T_SelfStock[RM_Code],$A48,T_SelfStock[WeekIndex],75)+SUMIFS(T_TTAFStock[TTAF_Qty],T_TTAFStock[RM_Code],$A48,T_TTAFStock[WeekIndex],75),BW48+'Grid_Incoming'!BX48-'Grid_Requirement'!BX48))</f>
        <v/>
      </c>
      <c r="BY48">
        <f>IF(COUNTIFS(T_StockCount[RM_Code],$A48,T_StockCount[WeekIndex],76)&gt;0,SUMIFS(T_StockCount[CountedQty],T_StockCount[RM_Code],$A48,T_StockCount[WeekIndex],76),IF((COUNTIFS(T_SelfStock[RM_Code],$A48,T_SelfStock[WeekIndex],76)&gt;0)*(COUNTIFS(T_TTAFStock[RM_Code],$A48,T_TTAFStock[WeekIndex],76)&gt;0)&gt;0,SUMIFS(T_SelfStock[Self_Qty],T_SelfStock[RM_Code],$A48,T_SelfStock[WeekIndex],76)+SUMIFS(T_TTAFStock[TTAF_Qty],T_TTAFStock[RM_Code],$A48,T_TTAFStock[WeekIndex],76),BX48+'Grid_Incoming'!BY48-'Grid_Requirement'!BY48))</f>
        <v/>
      </c>
      <c r="BZ48">
        <f>IF(COUNTIFS(T_StockCount[RM_Code],$A48,T_StockCount[WeekIndex],77)&gt;0,SUMIFS(T_StockCount[CountedQty],T_StockCount[RM_Code],$A48,T_StockCount[WeekIndex],77),IF((COUNTIFS(T_SelfStock[RM_Code],$A48,T_SelfStock[WeekIndex],77)&gt;0)*(COUNTIFS(T_TTAFStock[RM_Code],$A48,T_TTAFStock[WeekIndex],77)&gt;0)&gt;0,SUMIFS(T_SelfStock[Self_Qty],T_SelfStock[RM_Code],$A48,T_SelfStock[WeekIndex],77)+SUMIFS(T_TTAFStock[TTAF_Qty],T_TTAFStock[RM_Code],$A48,T_TTAFStock[WeekIndex],77),BY48+'Grid_Incoming'!BZ48-'Grid_Requirement'!BZ48))</f>
        <v/>
      </c>
      <c r="CA48">
        <f>IF(COUNTIFS(T_StockCount[RM_Code],$A48,T_StockCount[WeekIndex],78)&gt;0,SUMIFS(T_StockCount[CountedQty],T_StockCount[RM_Code],$A48,T_StockCount[WeekIndex],78),IF((COUNTIFS(T_SelfStock[RM_Code],$A48,T_SelfStock[WeekIndex],78)&gt;0)*(COUNTIFS(T_TTAFStock[RM_Code],$A48,T_TTAFStock[WeekIndex],78)&gt;0)&gt;0,SUMIFS(T_SelfStock[Self_Qty],T_SelfStock[RM_Code],$A48,T_SelfStock[WeekIndex],78)+SUMIFS(T_TTAFStock[TTAF_Qty],T_TTAFStock[RM_Code],$A48,T_TTAFStock[WeekIndex],78),BZ48+'Grid_Incoming'!CA48-'Grid_Requirement'!CA48))</f>
        <v/>
      </c>
      <c r="CB48">
        <f>IF(COUNTIFS(T_StockCount[RM_Code],$A48,T_StockCount[WeekIndex],79)&gt;0,SUMIFS(T_StockCount[CountedQty],T_StockCount[RM_Code],$A48,T_StockCount[WeekIndex],79),IF((COUNTIFS(T_SelfStock[RM_Code],$A48,T_SelfStock[WeekIndex],79)&gt;0)*(COUNTIFS(T_TTAFStock[RM_Code],$A48,T_TTAFStock[WeekIndex],79)&gt;0)&gt;0,SUMIFS(T_SelfStock[Self_Qty],T_SelfStock[RM_Code],$A48,T_SelfStock[WeekIndex],79)+SUMIFS(T_TTAFStock[TTAF_Qty],T_TTAFStock[RM_Code],$A48,T_TTAFStock[WeekIndex],79),CA48+'Grid_Incoming'!CB48-'Grid_Requirement'!CB48))</f>
        <v/>
      </c>
      <c r="CC48">
        <f>IF(COUNTIFS(T_StockCount[RM_Code],$A48,T_StockCount[WeekIndex],80)&gt;0,SUMIFS(T_StockCount[CountedQty],T_StockCount[RM_Code],$A48,T_StockCount[WeekIndex],80),IF((COUNTIFS(T_SelfStock[RM_Code],$A48,T_SelfStock[WeekIndex],80)&gt;0)*(COUNTIFS(T_TTAFStock[RM_Code],$A48,T_TTAFStock[WeekIndex],80)&gt;0)&gt;0,SUMIFS(T_SelfStock[Self_Qty],T_SelfStock[RM_Code],$A48,T_SelfStock[WeekIndex],80)+SUMIFS(T_TTAFStock[TTAF_Qty],T_TTAFStock[RM_Code],$A48,T_TTAFStock[WeekIndex],80),CB48+'Grid_Incoming'!CC48-'Grid_Requirement'!CC48))</f>
        <v/>
      </c>
      <c r="CD48">
        <f>IF(COUNTIFS(T_StockCount[RM_Code],$A48,T_StockCount[WeekIndex],81)&gt;0,SUMIFS(T_StockCount[CountedQty],T_StockCount[RM_Code],$A48,T_StockCount[WeekIndex],81),IF((COUNTIFS(T_SelfStock[RM_Code],$A48,T_SelfStock[WeekIndex],81)&gt;0)*(COUNTIFS(T_TTAFStock[RM_Code],$A48,T_TTAFStock[WeekIndex],81)&gt;0)&gt;0,SUMIFS(T_SelfStock[Self_Qty],T_SelfStock[RM_Code],$A48,T_SelfStock[WeekIndex],81)+SUMIFS(T_TTAFStock[TTAF_Qty],T_TTAFStock[RM_Code],$A48,T_TTAFStock[WeekIndex],81),CC48+'Grid_Incoming'!CD48-'Grid_Requirement'!CD48))</f>
        <v/>
      </c>
      <c r="CE48">
        <f>IF(COUNTIFS(T_StockCount[RM_Code],$A48,T_StockCount[WeekIndex],82)&gt;0,SUMIFS(T_StockCount[CountedQty],T_StockCount[RM_Code],$A48,T_StockCount[WeekIndex],82),IF((COUNTIFS(T_SelfStock[RM_Code],$A48,T_SelfStock[WeekIndex],82)&gt;0)*(COUNTIFS(T_TTAFStock[RM_Code],$A48,T_TTAFStock[WeekIndex],82)&gt;0)&gt;0,SUMIFS(T_SelfStock[Self_Qty],T_SelfStock[RM_Code],$A48,T_SelfStock[WeekIndex],82)+SUMIFS(T_TTAFStock[TTAF_Qty],T_TTAFStock[RM_Code],$A48,T_TTAFStock[WeekIndex],82),CD48+'Grid_Incoming'!CE48-'Grid_Requirement'!CE48))</f>
        <v/>
      </c>
      <c r="CF48">
        <f>IF(COUNTIFS(T_StockCount[RM_Code],$A48,T_StockCount[WeekIndex],83)&gt;0,SUMIFS(T_StockCount[CountedQty],T_StockCount[RM_Code],$A48,T_StockCount[WeekIndex],83),IF((COUNTIFS(T_SelfStock[RM_Code],$A48,T_SelfStock[WeekIndex],83)&gt;0)*(COUNTIFS(T_TTAFStock[RM_Code],$A48,T_TTAFStock[WeekIndex],83)&gt;0)&gt;0,SUMIFS(T_SelfStock[Self_Qty],T_SelfStock[RM_Code],$A48,T_SelfStock[WeekIndex],83)+SUMIFS(T_TTAFStock[TTAF_Qty],T_TTAFStock[RM_Code],$A48,T_TTAFStock[WeekIndex],83),CE48+'Grid_Incoming'!CF48-'Grid_Requirement'!CF48))</f>
        <v/>
      </c>
      <c r="CG48">
        <f>IF(COUNTIFS(T_StockCount[RM_Code],$A48,T_StockCount[WeekIndex],84)&gt;0,SUMIFS(T_StockCount[CountedQty],T_StockCount[RM_Code],$A48,T_StockCount[WeekIndex],84),IF((COUNTIFS(T_SelfStock[RM_Code],$A48,T_SelfStock[WeekIndex],84)&gt;0)*(COUNTIFS(T_TTAFStock[RM_Code],$A48,T_TTAFStock[WeekIndex],84)&gt;0)&gt;0,SUMIFS(T_SelfStock[Self_Qty],T_SelfStock[RM_Code],$A48,T_SelfStock[WeekIndex],84)+SUMIFS(T_TTAFStock[TTAF_Qty],T_TTAFStock[RM_Code],$A48,T_TTAFStock[WeekIndex],84),CF48+'Grid_Incoming'!CG48-'Grid_Requirement'!CG48))</f>
        <v/>
      </c>
      <c r="CH48">
        <f>IF(COUNTIFS(T_StockCount[RM_Code],$A48,T_StockCount[WeekIndex],85)&gt;0,SUMIFS(T_StockCount[CountedQty],T_StockCount[RM_Code],$A48,T_StockCount[WeekIndex],85),IF((COUNTIFS(T_SelfStock[RM_Code],$A48,T_SelfStock[WeekIndex],85)&gt;0)*(COUNTIFS(T_TTAFStock[RM_Code],$A48,T_TTAFStock[WeekIndex],85)&gt;0)&gt;0,SUMIFS(T_SelfStock[Self_Qty],T_SelfStock[RM_Code],$A48,T_SelfStock[WeekIndex],85)+SUMIFS(T_TTAFStock[TTAF_Qty],T_TTAFStock[RM_Code],$A48,T_TTAFStock[WeekIndex],85),CG48+'Grid_Incoming'!CH48-'Grid_Requirement'!CH48))</f>
        <v/>
      </c>
      <c r="CI48">
        <f>IF(COUNTIFS(T_StockCount[RM_Code],$A48,T_StockCount[WeekIndex],86)&gt;0,SUMIFS(T_StockCount[CountedQty],T_StockCount[RM_Code],$A48,T_StockCount[WeekIndex],86),IF((COUNTIFS(T_SelfStock[RM_Code],$A48,T_SelfStock[WeekIndex],86)&gt;0)*(COUNTIFS(T_TTAFStock[RM_Code],$A48,T_TTAFStock[WeekIndex],86)&gt;0)&gt;0,SUMIFS(T_SelfStock[Self_Qty],T_SelfStock[RM_Code],$A48,T_SelfStock[WeekIndex],86)+SUMIFS(T_TTAFStock[TTAF_Qty],T_TTAFStock[RM_Code],$A48,T_TTAFStock[WeekIndex],86),CH48+'Grid_Incoming'!CI48-'Grid_Requirement'!CI48))</f>
        <v/>
      </c>
      <c r="CJ48">
        <f>IF(COUNTIFS(T_StockCount[RM_Code],$A48,T_StockCount[WeekIndex],87)&gt;0,SUMIFS(T_StockCount[CountedQty],T_StockCount[RM_Code],$A48,T_StockCount[WeekIndex],87),IF((COUNTIFS(T_SelfStock[RM_Code],$A48,T_SelfStock[WeekIndex],87)&gt;0)*(COUNTIFS(T_TTAFStock[RM_Code],$A48,T_TTAFStock[WeekIndex],87)&gt;0)&gt;0,SUMIFS(T_SelfStock[Self_Qty],T_SelfStock[RM_Code],$A48,T_SelfStock[WeekIndex],87)+SUMIFS(T_TTAFStock[TTAF_Qty],T_TTAFStock[RM_Code],$A48,T_TTAFStock[WeekIndex],87),CI48+'Grid_Incoming'!CJ48-'Grid_Requirement'!CJ48))</f>
        <v/>
      </c>
      <c r="CK48">
        <f>IF(COUNTIFS(T_StockCount[RM_Code],$A48,T_StockCount[WeekIndex],88)&gt;0,SUMIFS(T_StockCount[CountedQty],T_StockCount[RM_Code],$A48,T_StockCount[WeekIndex],88),IF((COUNTIFS(T_SelfStock[RM_Code],$A48,T_SelfStock[WeekIndex],88)&gt;0)*(COUNTIFS(T_TTAFStock[RM_Code],$A48,T_TTAFStock[WeekIndex],88)&gt;0)&gt;0,SUMIFS(T_SelfStock[Self_Qty],T_SelfStock[RM_Code],$A48,T_SelfStock[WeekIndex],88)+SUMIFS(T_TTAFStock[TTAF_Qty],T_TTAFStock[RM_Code],$A48,T_TTAFStock[WeekIndex],88),CJ48+'Grid_Incoming'!CK48-'Grid_Requirement'!CK48))</f>
        <v/>
      </c>
      <c r="CL48">
        <f>IF(COUNTIFS(T_StockCount[RM_Code],$A48,T_StockCount[WeekIndex],89)&gt;0,SUMIFS(T_StockCount[CountedQty],T_StockCount[RM_Code],$A48,T_StockCount[WeekIndex],89),IF((COUNTIFS(T_SelfStock[RM_Code],$A48,T_SelfStock[WeekIndex],89)&gt;0)*(COUNTIFS(T_TTAFStock[RM_Code],$A48,T_TTAFStock[WeekIndex],89)&gt;0)&gt;0,SUMIFS(T_SelfStock[Self_Qty],T_SelfStock[RM_Code],$A48,T_SelfStock[WeekIndex],89)+SUMIFS(T_TTAFStock[TTAF_Qty],T_TTAFStock[RM_Code],$A48,T_TTAFStock[WeekIndex],89),CK48+'Grid_Incoming'!CL48-'Grid_Requirement'!CL48))</f>
        <v/>
      </c>
      <c r="CM48">
        <f>IF(COUNTIFS(T_StockCount[RM_Code],$A48,T_StockCount[WeekIndex],90)&gt;0,SUMIFS(T_StockCount[CountedQty],T_StockCount[RM_Code],$A48,T_StockCount[WeekIndex],90),IF((COUNTIFS(T_SelfStock[RM_Code],$A48,T_SelfStock[WeekIndex],90)&gt;0)*(COUNTIFS(T_TTAFStock[RM_Code],$A48,T_TTAFStock[WeekIndex],90)&gt;0)&gt;0,SUMIFS(T_SelfStock[Self_Qty],T_SelfStock[RM_Code],$A48,T_SelfStock[WeekIndex],90)+SUMIFS(T_TTAFStock[TTAF_Qty],T_TTAFStock[RM_Code],$A48,T_TTAFStock[WeekIndex],90),CL48+'Grid_Incoming'!CM48-'Grid_Requirement'!CM48))</f>
        <v/>
      </c>
      <c r="CN48">
        <f>IF(COUNTIFS(T_StockCount[RM_Code],$A48,T_StockCount[WeekIndex],91)&gt;0,SUMIFS(T_StockCount[CountedQty],T_StockCount[RM_Code],$A48,T_StockCount[WeekIndex],91),IF((COUNTIFS(T_SelfStock[RM_Code],$A48,T_SelfStock[WeekIndex],91)&gt;0)*(COUNTIFS(T_TTAFStock[RM_Code],$A48,T_TTAFStock[WeekIndex],91)&gt;0)&gt;0,SUMIFS(T_SelfStock[Self_Qty],T_SelfStock[RM_Code],$A48,T_SelfStock[WeekIndex],91)+SUMIFS(T_TTAFStock[TTAF_Qty],T_TTAFStock[RM_Code],$A48,T_TTAFStock[WeekIndex],91),CM48+'Grid_Incoming'!CN48-'Grid_Requirement'!CN48))</f>
        <v/>
      </c>
      <c r="CO48">
        <f>IF(COUNTIFS(T_StockCount[RM_Code],$A48,T_StockCount[WeekIndex],92)&gt;0,SUMIFS(T_StockCount[CountedQty],T_StockCount[RM_Code],$A48,T_StockCount[WeekIndex],92),IF((COUNTIFS(T_SelfStock[RM_Code],$A48,T_SelfStock[WeekIndex],92)&gt;0)*(COUNTIFS(T_TTAFStock[RM_Code],$A48,T_TTAFStock[WeekIndex],92)&gt;0)&gt;0,SUMIFS(T_SelfStock[Self_Qty],T_SelfStock[RM_Code],$A48,T_SelfStock[WeekIndex],92)+SUMIFS(T_TTAFStock[TTAF_Qty],T_TTAFStock[RM_Code],$A48,T_TTAFStock[WeekIndex],92),CN48+'Grid_Incoming'!CO48-'Grid_Requirement'!CO48))</f>
        <v/>
      </c>
      <c r="CP48">
        <f>IF(COUNTIFS(T_StockCount[RM_Code],$A48,T_StockCount[WeekIndex],93)&gt;0,SUMIFS(T_StockCount[CountedQty],T_StockCount[RM_Code],$A48,T_StockCount[WeekIndex],93),IF((COUNTIFS(T_SelfStock[RM_Code],$A48,T_SelfStock[WeekIndex],93)&gt;0)*(COUNTIFS(T_TTAFStock[RM_Code],$A48,T_TTAFStock[WeekIndex],93)&gt;0)&gt;0,SUMIFS(T_SelfStock[Self_Qty],T_SelfStock[RM_Code],$A48,T_SelfStock[WeekIndex],93)+SUMIFS(T_TTAFStock[TTAF_Qty],T_TTAFStock[RM_Code],$A48,T_TTAFStock[WeekIndex],93),CO48+'Grid_Incoming'!CP48-'Grid_Requirement'!CP48))</f>
        <v/>
      </c>
      <c r="CQ48">
        <f>IF(COUNTIFS(T_StockCount[RM_Code],$A48,T_StockCount[WeekIndex],94)&gt;0,SUMIFS(T_StockCount[CountedQty],T_StockCount[RM_Code],$A48,T_StockCount[WeekIndex],94),IF((COUNTIFS(T_SelfStock[RM_Code],$A48,T_SelfStock[WeekIndex],94)&gt;0)*(COUNTIFS(T_TTAFStock[RM_Code],$A48,T_TTAFStock[WeekIndex],94)&gt;0)&gt;0,SUMIFS(T_SelfStock[Self_Qty],T_SelfStock[RM_Code],$A48,T_SelfStock[WeekIndex],94)+SUMIFS(T_TTAFStock[TTAF_Qty],T_TTAFStock[RM_Code],$A48,T_TTAFStock[WeekIndex],94),CP48+'Grid_Incoming'!CQ48-'Grid_Requirement'!CQ48))</f>
        <v/>
      </c>
      <c r="CR48">
        <f>IF(COUNTIFS(T_StockCount[RM_Code],$A48,T_StockCount[WeekIndex],95)&gt;0,SUMIFS(T_StockCount[CountedQty],T_StockCount[RM_Code],$A48,T_StockCount[WeekIndex],95),IF((COUNTIFS(T_SelfStock[RM_Code],$A48,T_SelfStock[WeekIndex],95)&gt;0)*(COUNTIFS(T_TTAFStock[RM_Code],$A48,T_TTAFStock[WeekIndex],95)&gt;0)&gt;0,SUMIFS(T_SelfStock[Self_Qty],T_SelfStock[RM_Code],$A48,T_SelfStock[WeekIndex],95)+SUMIFS(T_TTAFStock[TTAF_Qty],T_TTAFStock[RM_Code],$A48,T_TTAFStock[WeekIndex],95),CQ48+'Grid_Incoming'!CR48-'Grid_Requirement'!CR48))</f>
        <v/>
      </c>
      <c r="CS48">
        <f>IF(COUNTIFS(T_StockCount[RM_Code],$A48,T_StockCount[WeekIndex],96)&gt;0,SUMIFS(T_StockCount[CountedQty],T_StockCount[RM_Code],$A48,T_StockCount[WeekIndex],96),IF((COUNTIFS(T_SelfStock[RM_Code],$A48,T_SelfStock[WeekIndex],96)&gt;0)*(COUNTIFS(T_TTAFStock[RM_Code],$A48,T_TTAFStock[WeekIndex],96)&gt;0)&gt;0,SUMIFS(T_SelfStock[Self_Qty],T_SelfStock[RM_Code],$A48,T_SelfStock[WeekIndex],96)+SUMIFS(T_TTAFStock[TTAF_Qty],T_TTAFStock[RM_Code],$A48,T_TTAFStock[WeekIndex],96),CR48+'Grid_Incoming'!CS48-'Grid_Requirement'!CS48))</f>
        <v/>
      </c>
      <c r="CT48">
        <f>IF(COUNTIFS(T_StockCount[RM_Code],$A48,T_StockCount[WeekIndex],97)&gt;0,SUMIFS(T_StockCount[CountedQty],T_StockCount[RM_Code],$A48,T_StockCount[WeekIndex],97),IF((COUNTIFS(T_SelfStock[RM_Code],$A48,T_SelfStock[WeekIndex],97)&gt;0)*(COUNTIFS(T_TTAFStock[RM_Code],$A48,T_TTAFStock[WeekIndex],97)&gt;0)&gt;0,SUMIFS(T_SelfStock[Self_Qty],T_SelfStock[RM_Code],$A48,T_SelfStock[WeekIndex],97)+SUMIFS(T_TTAFStock[TTAF_Qty],T_TTAFStock[RM_Code],$A48,T_TTAFStock[WeekIndex],97),CS48+'Grid_Incoming'!CT48-'Grid_Requirement'!CT48))</f>
        <v/>
      </c>
      <c r="CU48">
        <f>IF(COUNTIFS(T_StockCount[RM_Code],$A48,T_StockCount[WeekIndex],98)&gt;0,SUMIFS(T_StockCount[CountedQty],T_StockCount[RM_Code],$A48,T_StockCount[WeekIndex],98),IF((COUNTIFS(T_SelfStock[RM_Code],$A48,T_SelfStock[WeekIndex],98)&gt;0)*(COUNTIFS(T_TTAFStock[RM_Code],$A48,T_TTAFStock[WeekIndex],98)&gt;0)&gt;0,SUMIFS(T_SelfStock[Self_Qty],T_SelfStock[RM_Code],$A48,T_SelfStock[WeekIndex],98)+SUMIFS(T_TTAFStock[TTAF_Qty],T_TTAFStock[RM_Code],$A48,T_TTAFStock[WeekIndex],98),CT48+'Grid_Incoming'!CU48-'Grid_Requirement'!CU48))</f>
        <v/>
      </c>
      <c r="CV48">
        <f>IF(COUNTIFS(T_StockCount[RM_Code],$A48,T_StockCount[WeekIndex],99)&gt;0,SUMIFS(T_StockCount[CountedQty],T_StockCount[RM_Code],$A48,T_StockCount[WeekIndex],99),IF((COUNTIFS(T_SelfStock[RM_Code],$A48,T_SelfStock[WeekIndex],99)&gt;0)*(COUNTIFS(T_TTAFStock[RM_Code],$A48,T_TTAFStock[WeekIndex],99)&gt;0)&gt;0,SUMIFS(T_SelfStock[Self_Qty],T_SelfStock[RM_Code],$A48,T_SelfStock[WeekIndex],99)+SUMIFS(T_TTAFStock[TTAF_Qty],T_TTAFStock[RM_Code],$A48,T_TTAFStock[WeekIndex],99),CU48+'Grid_Incoming'!CV48-'Grid_Requirement'!CV48))</f>
        <v/>
      </c>
      <c r="CW48">
        <f>IF(COUNTIFS(T_StockCount[RM_Code],$A48,T_StockCount[WeekIndex],100)&gt;0,SUMIFS(T_StockCount[CountedQty],T_StockCount[RM_Code],$A48,T_StockCount[WeekIndex],100),IF((COUNTIFS(T_SelfStock[RM_Code],$A48,T_SelfStock[WeekIndex],100)&gt;0)*(COUNTIFS(T_TTAFStock[RM_Code],$A48,T_TTAFStock[WeekIndex],100)&gt;0)&gt;0,SUMIFS(T_SelfStock[Self_Qty],T_SelfStock[RM_Code],$A48,T_SelfStock[WeekIndex],100)+SUMIFS(T_TTAFStock[TTAF_Qty],T_TTAFStock[RM_Code],$A48,T_TTAFStock[WeekIndex],100),CV48+'Grid_Incoming'!CW48-'Grid_Requirement'!CW48))</f>
        <v/>
      </c>
      <c r="CX48">
        <f>IF(COUNTIFS(T_StockCount[RM_Code],$A48,T_StockCount[WeekIndex],101)&gt;0,SUMIFS(T_StockCount[CountedQty],T_StockCount[RM_Code],$A48,T_StockCount[WeekIndex],101),IF((COUNTIFS(T_SelfStock[RM_Code],$A48,T_SelfStock[WeekIndex],101)&gt;0)*(COUNTIFS(T_TTAFStock[RM_Code],$A48,T_TTAFStock[WeekIndex],101)&gt;0)&gt;0,SUMIFS(T_SelfStock[Self_Qty],T_SelfStock[RM_Code],$A48,T_SelfStock[WeekIndex],101)+SUMIFS(T_TTAFStock[TTAF_Qty],T_TTAFStock[RM_Code],$A48,T_TTAFStock[WeekIndex],101),CW48+'Grid_Incoming'!CX48-'Grid_Requirement'!CX48))</f>
        <v/>
      </c>
      <c r="CY48">
        <f>IF(COUNTIFS(T_StockCount[RM_Code],$A48,T_StockCount[WeekIndex],102)&gt;0,SUMIFS(T_StockCount[CountedQty],T_StockCount[RM_Code],$A48,T_StockCount[WeekIndex],102),IF((COUNTIFS(T_SelfStock[RM_Code],$A48,T_SelfStock[WeekIndex],102)&gt;0)*(COUNTIFS(T_TTAFStock[RM_Code],$A48,T_TTAFStock[WeekIndex],102)&gt;0)&gt;0,SUMIFS(T_SelfStock[Self_Qty],T_SelfStock[RM_Code],$A48,T_SelfStock[WeekIndex],102)+SUMIFS(T_TTAFStock[TTAF_Qty],T_TTAFStock[RM_Code],$A48,T_TTAFStock[WeekIndex],102),CX48+'Grid_Incoming'!CY48-'Grid_Requirement'!CY48))</f>
        <v/>
      </c>
      <c r="CZ48">
        <f>IF(COUNTIFS(T_StockCount[RM_Code],$A48,T_StockCount[WeekIndex],103)&gt;0,SUMIFS(T_StockCount[CountedQty],T_StockCount[RM_Code],$A48,T_StockCount[WeekIndex],103),IF((COUNTIFS(T_SelfStock[RM_Code],$A48,T_SelfStock[WeekIndex],103)&gt;0)*(COUNTIFS(T_TTAFStock[RM_Code],$A48,T_TTAFStock[WeekIndex],103)&gt;0)&gt;0,SUMIFS(T_SelfStock[Self_Qty],T_SelfStock[RM_Code],$A48,T_SelfStock[WeekIndex],103)+SUMIFS(T_TTAFStock[TTAF_Qty],T_TTAFStock[RM_Code],$A48,T_TTAFStock[WeekIndex],103),CY48+'Grid_Incoming'!CZ48-'Grid_Requirement'!CZ48))</f>
        <v/>
      </c>
      <c r="DA48">
        <f>IF(COUNTIFS(T_StockCount[RM_Code],$A48,T_StockCount[WeekIndex],104)&gt;0,SUMIFS(T_StockCount[CountedQty],T_StockCount[RM_Code],$A48,T_StockCount[WeekIndex],104),IF((COUNTIFS(T_SelfStock[RM_Code],$A48,T_SelfStock[WeekIndex],104)&gt;0)*(COUNTIFS(T_TTAFStock[RM_Code],$A48,T_TTAFStock[WeekIndex],104)&gt;0)&gt;0,SUMIFS(T_SelfStock[Self_Qty],T_SelfStock[RM_Code],$A48,T_SelfStock[WeekIndex],104)+SUMIFS(T_TTAFStock[TTAF_Qty],T_TTAFStock[RM_Code],$A48,T_TTAFStock[WeekIndex],104),CZ48+'Grid_Incoming'!DA48-'Grid_Requirement'!DA48))</f>
        <v/>
      </c>
    </row>
    <row r="49">
      <c r="A49" t="inlineStr">
        <is>
          <t>CHEM-1470</t>
        </is>
      </c>
      <c r="B49">
        <f>IF(COUNTIFS(T_StockCount[RM_Code],$A49,T_StockCount[WeekIndex],1)&gt;0,SUMIFS(T_StockCount[CountedQty],T_StockCount[RM_Code],$A49,T_StockCount[WeekIndex],1),IF((COUNTIFS(T_SelfStock[RM_Code],$A49,T_SelfStock[WeekIndex],1)&gt;0)*(COUNTIFS(T_TTAFStock[RM_Code],$A49,T_TTAFStock[WeekIndex],1)&gt;0)&gt;0,SUMIFS(T_SelfStock[Self_Qty],T_SelfStock[RM_Code],$A49,T_SelfStock[WeekIndex],1)+SUMIFS(T_TTAFStock[TTAF_Qty],T_TTAFStock[RM_Code],$A49,T_TTAFStock[WeekIndex],1),IFERROR(INDEX(T_OpeningStock[Opening_Qty],MATCH($A49,T_OpeningStock[RM_Code],0)),0)+'Grid_Incoming'!B49-'Grid_Requirement'!B49))</f>
        <v/>
      </c>
      <c r="C49">
        <f>IF(COUNTIFS(T_StockCount[RM_Code],$A49,T_StockCount[WeekIndex],2)&gt;0,SUMIFS(T_StockCount[CountedQty],T_StockCount[RM_Code],$A49,T_StockCount[WeekIndex],2),IF((COUNTIFS(T_SelfStock[RM_Code],$A49,T_SelfStock[WeekIndex],2)&gt;0)*(COUNTIFS(T_TTAFStock[RM_Code],$A49,T_TTAFStock[WeekIndex],2)&gt;0)&gt;0,SUMIFS(T_SelfStock[Self_Qty],T_SelfStock[RM_Code],$A49,T_SelfStock[WeekIndex],2)+SUMIFS(T_TTAFStock[TTAF_Qty],T_TTAFStock[RM_Code],$A49,T_TTAFStock[WeekIndex],2),B49+'Grid_Incoming'!C49-'Grid_Requirement'!C49))</f>
        <v/>
      </c>
      <c r="D49">
        <f>IF(COUNTIFS(T_StockCount[RM_Code],$A49,T_StockCount[WeekIndex],3)&gt;0,SUMIFS(T_StockCount[CountedQty],T_StockCount[RM_Code],$A49,T_StockCount[WeekIndex],3),IF((COUNTIFS(T_SelfStock[RM_Code],$A49,T_SelfStock[WeekIndex],3)&gt;0)*(COUNTIFS(T_TTAFStock[RM_Code],$A49,T_TTAFStock[WeekIndex],3)&gt;0)&gt;0,SUMIFS(T_SelfStock[Self_Qty],T_SelfStock[RM_Code],$A49,T_SelfStock[WeekIndex],3)+SUMIFS(T_TTAFStock[TTAF_Qty],T_TTAFStock[RM_Code],$A49,T_TTAFStock[WeekIndex],3),C49+'Grid_Incoming'!D49-'Grid_Requirement'!D49))</f>
        <v/>
      </c>
      <c r="E49">
        <f>IF(COUNTIFS(T_StockCount[RM_Code],$A49,T_StockCount[WeekIndex],4)&gt;0,SUMIFS(T_StockCount[CountedQty],T_StockCount[RM_Code],$A49,T_StockCount[WeekIndex],4),IF((COUNTIFS(T_SelfStock[RM_Code],$A49,T_SelfStock[WeekIndex],4)&gt;0)*(COUNTIFS(T_TTAFStock[RM_Code],$A49,T_TTAFStock[WeekIndex],4)&gt;0)&gt;0,SUMIFS(T_SelfStock[Self_Qty],T_SelfStock[RM_Code],$A49,T_SelfStock[WeekIndex],4)+SUMIFS(T_TTAFStock[TTAF_Qty],T_TTAFStock[RM_Code],$A49,T_TTAFStock[WeekIndex],4),D49+'Grid_Incoming'!E49-'Grid_Requirement'!E49))</f>
        <v/>
      </c>
      <c r="F49">
        <f>IF(COUNTIFS(T_StockCount[RM_Code],$A49,T_StockCount[WeekIndex],5)&gt;0,SUMIFS(T_StockCount[CountedQty],T_StockCount[RM_Code],$A49,T_StockCount[WeekIndex],5),IF((COUNTIFS(T_SelfStock[RM_Code],$A49,T_SelfStock[WeekIndex],5)&gt;0)*(COUNTIFS(T_TTAFStock[RM_Code],$A49,T_TTAFStock[WeekIndex],5)&gt;0)&gt;0,SUMIFS(T_SelfStock[Self_Qty],T_SelfStock[RM_Code],$A49,T_SelfStock[WeekIndex],5)+SUMIFS(T_TTAFStock[TTAF_Qty],T_TTAFStock[RM_Code],$A49,T_TTAFStock[WeekIndex],5),E49+'Grid_Incoming'!F49-'Grid_Requirement'!F49))</f>
        <v/>
      </c>
      <c r="G49">
        <f>IF(COUNTIFS(T_StockCount[RM_Code],$A49,T_StockCount[WeekIndex],6)&gt;0,SUMIFS(T_StockCount[CountedQty],T_StockCount[RM_Code],$A49,T_StockCount[WeekIndex],6),IF((COUNTIFS(T_SelfStock[RM_Code],$A49,T_SelfStock[WeekIndex],6)&gt;0)*(COUNTIFS(T_TTAFStock[RM_Code],$A49,T_TTAFStock[WeekIndex],6)&gt;0)&gt;0,SUMIFS(T_SelfStock[Self_Qty],T_SelfStock[RM_Code],$A49,T_SelfStock[WeekIndex],6)+SUMIFS(T_TTAFStock[TTAF_Qty],T_TTAFStock[RM_Code],$A49,T_TTAFStock[WeekIndex],6),F49+'Grid_Incoming'!G49-'Grid_Requirement'!G49))</f>
        <v/>
      </c>
      <c r="H49">
        <f>IF(COUNTIFS(T_StockCount[RM_Code],$A49,T_StockCount[WeekIndex],7)&gt;0,SUMIFS(T_StockCount[CountedQty],T_StockCount[RM_Code],$A49,T_StockCount[WeekIndex],7),IF((COUNTIFS(T_SelfStock[RM_Code],$A49,T_SelfStock[WeekIndex],7)&gt;0)*(COUNTIFS(T_TTAFStock[RM_Code],$A49,T_TTAFStock[WeekIndex],7)&gt;0)&gt;0,SUMIFS(T_SelfStock[Self_Qty],T_SelfStock[RM_Code],$A49,T_SelfStock[WeekIndex],7)+SUMIFS(T_TTAFStock[TTAF_Qty],T_TTAFStock[RM_Code],$A49,T_TTAFStock[WeekIndex],7),G49+'Grid_Incoming'!H49-'Grid_Requirement'!H49))</f>
        <v/>
      </c>
      <c r="I49">
        <f>IF(COUNTIFS(T_StockCount[RM_Code],$A49,T_StockCount[WeekIndex],8)&gt;0,SUMIFS(T_StockCount[CountedQty],T_StockCount[RM_Code],$A49,T_StockCount[WeekIndex],8),IF((COUNTIFS(T_SelfStock[RM_Code],$A49,T_SelfStock[WeekIndex],8)&gt;0)*(COUNTIFS(T_TTAFStock[RM_Code],$A49,T_TTAFStock[WeekIndex],8)&gt;0)&gt;0,SUMIFS(T_SelfStock[Self_Qty],T_SelfStock[RM_Code],$A49,T_SelfStock[WeekIndex],8)+SUMIFS(T_TTAFStock[TTAF_Qty],T_TTAFStock[RM_Code],$A49,T_TTAFStock[WeekIndex],8),H49+'Grid_Incoming'!I49-'Grid_Requirement'!I49))</f>
        <v/>
      </c>
      <c r="J49">
        <f>IF(COUNTIFS(T_StockCount[RM_Code],$A49,T_StockCount[WeekIndex],9)&gt;0,SUMIFS(T_StockCount[CountedQty],T_StockCount[RM_Code],$A49,T_StockCount[WeekIndex],9),IF((COUNTIFS(T_SelfStock[RM_Code],$A49,T_SelfStock[WeekIndex],9)&gt;0)*(COUNTIFS(T_TTAFStock[RM_Code],$A49,T_TTAFStock[WeekIndex],9)&gt;0)&gt;0,SUMIFS(T_SelfStock[Self_Qty],T_SelfStock[RM_Code],$A49,T_SelfStock[WeekIndex],9)+SUMIFS(T_TTAFStock[TTAF_Qty],T_TTAFStock[RM_Code],$A49,T_TTAFStock[WeekIndex],9),I49+'Grid_Incoming'!J49-'Grid_Requirement'!J49))</f>
        <v/>
      </c>
      <c r="K49">
        <f>IF(COUNTIFS(T_StockCount[RM_Code],$A49,T_StockCount[WeekIndex],10)&gt;0,SUMIFS(T_StockCount[CountedQty],T_StockCount[RM_Code],$A49,T_StockCount[WeekIndex],10),IF((COUNTIFS(T_SelfStock[RM_Code],$A49,T_SelfStock[WeekIndex],10)&gt;0)*(COUNTIFS(T_TTAFStock[RM_Code],$A49,T_TTAFStock[WeekIndex],10)&gt;0)&gt;0,SUMIFS(T_SelfStock[Self_Qty],T_SelfStock[RM_Code],$A49,T_SelfStock[WeekIndex],10)+SUMIFS(T_TTAFStock[TTAF_Qty],T_TTAFStock[RM_Code],$A49,T_TTAFStock[WeekIndex],10),J49+'Grid_Incoming'!K49-'Grid_Requirement'!K49))</f>
        <v/>
      </c>
      <c r="L49">
        <f>IF(COUNTIFS(T_StockCount[RM_Code],$A49,T_StockCount[WeekIndex],11)&gt;0,SUMIFS(T_StockCount[CountedQty],T_StockCount[RM_Code],$A49,T_StockCount[WeekIndex],11),IF((COUNTIFS(T_SelfStock[RM_Code],$A49,T_SelfStock[WeekIndex],11)&gt;0)*(COUNTIFS(T_TTAFStock[RM_Code],$A49,T_TTAFStock[WeekIndex],11)&gt;0)&gt;0,SUMIFS(T_SelfStock[Self_Qty],T_SelfStock[RM_Code],$A49,T_SelfStock[WeekIndex],11)+SUMIFS(T_TTAFStock[TTAF_Qty],T_TTAFStock[RM_Code],$A49,T_TTAFStock[WeekIndex],11),K49+'Grid_Incoming'!L49-'Grid_Requirement'!L49))</f>
        <v/>
      </c>
      <c r="M49">
        <f>IF(COUNTIFS(T_StockCount[RM_Code],$A49,T_StockCount[WeekIndex],12)&gt;0,SUMIFS(T_StockCount[CountedQty],T_StockCount[RM_Code],$A49,T_StockCount[WeekIndex],12),IF((COUNTIFS(T_SelfStock[RM_Code],$A49,T_SelfStock[WeekIndex],12)&gt;0)*(COUNTIFS(T_TTAFStock[RM_Code],$A49,T_TTAFStock[WeekIndex],12)&gt;0)&gt;0,SUMIFS(T_SelfStock[Self_Qty],T_SelfStock[RM_Code],$A49,T_SelfStock[WeekIndex],12)+SUMIFS(T_TTAFStock[TTAF_Qty],T_TTAFStock[RM_Code],$A49,T_TTAFStock[WeekIndex],12),L49+'Grid_Incoming'!M49-'Grid_Requirement'!M49))</f>
        <v/>
      </c>
      <c r="N49">
        <f>IF(COUNTIFS(T_StockCount[RM_Code],$A49,T_StockCount[WeekIndex],13)&gt;0,SUMIFS(T_StockCount[CountedQty],T_StockCount[RM_Code],$A49,T_StockCount[WeekIndex],13),IF((COUNTIFS(T_SelfStock[RM_Code],$A49,T_SelfStock[WeekIndex],13)&gt;0)*(COUNTIFS(T_TTAFStock[RM_Code],$A49,T_TTAFStock[WeekIndex],13)&gt;0)&gt;0,SUMIFS(T_SelfStock[Self_Qty],T_SelfStock[RM_Code],$A49,T_SelfStock[WeekIndex],13)+SUMIFS(T_TTAFStock[TTAF_Qty],T_TTAFStock[RM_Code],$A49,T_TTAFStock[WeekIndex],13),M49+'Grid_Incoming'!N49-'Grid_Requirement'!N49))</f>
        <v/>
      </c>
      <c r="O49">
        <f>IF(COUNTIFS(T_StockCount[RM_Code],$A49,T_StockCount[WeekIndex],14)&gt;0,SUMIFS(T_StockCount[CountedQty],T_StockCount[RM_Code],$A49,T_StockCount[WeekIndex],14),IF((COUNTIFS(T_SelfStock[RM_Code],$A49,T_SelfStock[WeekIndex],14)&gt;0)*(COUNTIFS(T_TTAFStock[RM_Code],$A49,T_TTAFStock[WeekIndex],14)&gt;0)&gt;0,SUMIFS(T_SelfStock[Self_Qty],T_SelfStock[RM_Code],$A49,T_SelfStock[WeekIndex],14)+SUMIFS(T_TTAFStock[TTAF_Qty],T_TTAFStock[RM_Code],$A49,T_TTAFStock[WeekIndex],14),N49+'Grid_Incoming'!O49-'Grid_Requirement'!O49))</f>
        <v/>
      </c>
      <c r="P49">
        <f>IF(COUNTIFS(T_StockCount[RM_Code],$A49,T_StockCount[WeekIndex],15)&gt;0,SUMIFS(T_StockCount[CountedQty],T_StockCount[RM_Code],$A49,T_StockCount[WeekIndex],15),IF((COUNTIFS(T_SelfStock[RM_Code],$A49,T_SelfStock[WeekIndex],15)&gt;0)*(COUNTIFS(T_TTAFStock[RM_Code],$A49,T_TTAFStock[WeekIndex],15)&gt;0)&gt;0,SUMIFS(T_SelfStock[Self_Qty],T_SelfStock[RM_Code],$A49,T_SelfStock[WeekIndex],15)+SUMIFS(T_TTAFStock[TTAF_Qty],T_TTAFStock[RM_Code],$A49,T_TTAFStock[WeekIndex],15),O49+'Grid_Incoming'!P49-'Grid_Requirement'!P49))</f>
        <v/>
      </c>
      <c r="Q49">
        <f>IF(COUNTIFS(T_StockCount[RM_Code],$A49,T_StockCount[WeekIndex],16)&gt;0,SUMIFS(T_StockCount[CountedQty],T_StockCount[RM_Code],$A49,T_StockCount[WeekIndex],16),IF((COUNTIFS(T_SelfStock[RM_Code],$A49,T_SelfStock[WeekIndex],16)&gt;0)*(COUNTIFS(T_TTAFStock[RM_Code],$A49,T_TTAFStock[WeekIndex],16)&gt;0)&gt;0,SUMIFS(T_SelfStock[Self_Qty],T_SelfStock[RM_Code],$A49,T_SelfStock[WeekIndex],16)+SUMIFS(T_TTAFStock[TTAF_Qty],T_TTAFStock[RM_Code],$A49,T_TTAFStock[WeekIndex],16),P49+'Grid_Incoming'!Q49-'Grid_Requirement'!Q49))</f>
        <v/>
      </c>
      <c r="R49">
        <f>IF(COUNTIFS(T_StockCount[RM_Code],$A49,T_StockCount[WeekIndex],17)&gt;0,SUMIFS(T_StockCount[CountedQty],T_StockCount[RM_Code],$A49,T_StockCount[WeekIndex],17),IF((COUNTIFS(T_SelfStock[RM_Code],$A49,T_SelfStock[WeekIndex],17)&gt;0)*(COUNTIFS(T_TTAFStock[RM_Code],$A49,T_TTAFStock[WeekIndex],17)&gt;0)&gt;0,SUMIFS(T_SelfStock[Self_Qty],T_SelfStock[RM_Code],$A49,T_SelfStock[WeekIndex],17)+SUMIFS(T_TTAFStock[TTAF_Qty],T_TTAFStock[RM_Code],$A49,T_TTAFStock[WeekIndex],17),Q49+'Grid_Incoming'!R49-'Grid_Requirement'!R49))</f>
        <v/>
      </c>
      <c r="S49">
        <f>IF(COUNTIFS(T_StockCount[RM_Code],$A49,T_StockCount[WeekIndex],18)&gt;0,SUMIFS(T_StockCount[CountedQty],T_StockCount[RM_Code],$A49,T_StockCount[WeekIndex],18),IF((COUNTIFS(T_SelfStock[RM_Code],$A49,T_SelfStock[WeekIndex],18)&gt;0)*(COUNTIFS(T_TTAFStock[RM_Code],$A49,T_TTAFStock[WeekIndex],18)&gt;0)&gt;0,SUMIFS(T_SelfStock[Self_Qty],T_SelfStock[RM_Code],$A49,T_SelfStock[WeekIndex],18)+SUMIFS(T_TTAFStock[TTAF_Qty],T_TTAFStock[RM_Code],$A49,T_TTAFStock[WeekIndex],18),R49+'Grid_Incoming'!S49-'Grid_Requirement'!S49))</f>
        <v/>
      </c>
      <c r="T49">
        <f>IF(COUNTIFS(T_StockCount[RM_Code],$A49,T_StockCount[WeekIndex],19)&gt;0,SUMIFS(T_StockCount[CountedQty],T_StockCount[RM_Code],$A49,T_StockCount[WeekIndex],19),IF((COUNTIFS(T_SelfStock[RM_Code],$A49,T_SelfStock[WeekIndex],19)&gt;0)*(COUNTIFS(T_TTAFStock[RM_Code],$A49,T_TTAFStock[WeekIndex],19)&gt;0)&gt;0,SUMIFS(T_SelfStock[Self_Qty],T_SelfStock[RM_Code],$A49,T_SelfStock[WeekIndex],19)+SUMIFS(T_TTAFStock[TTAF_Qty],T_TTAFStock[RM_Code],$A49,T_TTAFStock[WeekIndex],19),S49+'Grid_Incoming'!T49-'Grid_Requirement'!T49))</f>
        <v/>
      </c>
      <c r="U49">
        <f>IF(COUNTIFS(T_StockCount[RM_Code],$A49,T_StockCount[WeekIndex],20)&gt;0,SUMIFS(T_StockCount[CountedQty],T_StockCount[RM_Code],$A49,T_StockCount[WeekIndex],20),IF((COUNTIFS(T_SelfStock[RM_Code],$A49,T_SelfStock[WeekIndex],20)&gt;0)*(COUNTIFS(T_TTAFStock[RM_Code],$A49,T_TTAFStock[WeekIndex],20)&gt;0)&gt;0,SUMIFS(T_SelfStock[Self_Qty],T_SelfStock[RM_Code],$A49,T_SelfStock[WeekIndex],20)+SUMIFS(T_TTAFStock[TTAF_Qty],T_TTAFStock[RM_Code],$A49,T_TTAFStock[WeekIndex],20),T49+'Grid_Incoming'!U49-'Grid_Requirement'!U49))</f>
        <v/>
      </c>
      <c r="V49">
        <f>IF(COUNTIFS(T_StockCount[RM_Code],$A49,T_StockCount[WeekIndex],21)&gt;0,SUMIFS(T_StockCount[CountedQty],T_StockCount[RM_Code],$A49,T_StockCount[WeekIndex],21),IF((COUNTIFS(T_SelfStock[RM_Code],$A49,T_SelfStock[WeekIndex],21)&gt;0)*(COUNTIFS(T_TTAFStock[RM_Code],$A49,T_TTAFStock[WeekIndex],21)&gt;0)&gt;0,SUMIFS(T_SelfStock[Self_Qty],T_SelfStock[RM_Code],$A49,T_SelfStock[WeekIndex],21)+SUMIFS(T_TTAFStock[TTAF_Qty],T_TTAFStock[RM_Code],$A49,T_TTAFStock[WeekIndex],21),U49+'Grid_Incoming'!V49-'Grid_Requirement'!V49))</f>
        <v/>
      </c>
      <c r="W49">
        <f>IF(COUNTIFS(T_StockCount[RM_Code],$A49,T_StockCount[WeekIndex],22)&gt;0,SUMIFS(T_StockCount[CountedQty],T_StockCount[RM_Code],$A49,T_StockCount[WeekIndex],22),IF((COUNTIFS(T_SelfStock[RM_Code],$A49,T_SelfStock[WeekIndex],22)&gt;0)*(COUNTIFS(T_TTAFStock[RM_Code],$A49,T_TTAFStock[WeekIndex],22)&gt;0)&gt;0,SUMIFS(T_SelfStock[Self_Qty],T_SelfStock[RM_Code],$A49,T_SelfStock[WeekIndex],22)+SUMIFS(T_TTAFStock[TTAF_Qty],T_TTAFStock[RM_Code],$A49,T_TTAFStock[WeekIndex],22),V49+'Grid_Incoming'!W49-'Grid_Requirement'!W49))</f>
        <v/>
      </c>
      <c r="X49">
        <f>IF(COUNTIFS(T_StockCount[RM_Code],$A49,T_StockCount[WeekIndex],23)&gt;0,SUMIFS(T_StockCount[CountedQty],T_StockCount[RM_Code],$A49,T_StockCount[WeekIndex],23),IF((COUNTIFS(T_SelfStock[RM_Code],$A49,T_SelfStock[WeekIndex],23)&gt;0)*(COUNTIFS(T_TTAFStock[RM_Code],$A49,T_TTAFStock[WeekIndex],23)&gt;0)&gt;0,SUMIFS(T_SelfStock[Self_Qty],T_SelfStock[RM_Code],$A49,T_SelfStock[WeekIndex],23)+SUMIFS(T_TTAFStock[TTAF_Qty],T_TTAFStock[RM_Code],$A49,T_TTAFStock[WeekIndex],23),W49+'Grid_Incoming'!X49-'Grid_Requirement'!X49))</f>
        <v/>
      </c>
      <c r="Y49">
        <f>IF(COUNTIFS(T_StockCount[RM_Code],$A49,T_StockCount[WeekIndex],24)&gt;0,SUMIFS(T_StockCount[CountedQty],T_StockCount[RM_Code],$A49,T_StockCount[WeekIndex],24),IF((COUNTIFS(T_SelfStock[RM_Code],$A49,T_SelfStock[WeekIndex],24)&gt;0)*(COUNTIFS(T_TTAFStock[RM_Code],$A49,T_TTAFStock[WeekIndex],24)&gt;0)&gt;0,SUMIFS(T_SelfStock[Self_Qty],T_SelfStock[RM_Code],$A49,T_SelfStock[WeekIndex],24)+SUMIFS(T_TTAFStock[TTAF_Qty],T_TTAFStock[RM_Code],$A49,T_TTAFStock[WeekIndex],24),X49+'Grid_Incoming'!Y49-'Grid_Requirement'!Y49))</f>
        <v/>
      </c>
      <c r="Z49">
        <f>IF(COUNTIFS(T_StockCount[RM_Code],$A49,T_StockCount[WeekIndex],25)&gt;0,SUMIFS(T_StockCount[CountedQty],T_StockCount[RM_Code],$A49,T_StockCount[WeekIndex],25),IF((COUNTIFS(T_SelfStock[RM_Code],$A49,T_SelfStock[WeekIndex],25)&gt;0)*(COUNTIFS(T_TTAFStock[RM_Code],$A49,T_TTAFStock[WeekIndex],25)&gt;0)&gt;0,SUMIFS(T_SelfStock[Self_Qty],T_SelfStock[RM_Code],$A49,T_SelfStock[WeekIndex],25)+SUMIFS(T_TTAFStock[TTAF_Qty],T_TTAFStock[RM_Code],$A49,T_TTAFStock[WeekIndex],25),Y49+'Grid_Incoming'!Z49-'Grid_Requirement'!Z49))</f>
        <v/>
      </c>
      <c r="AA49">
        <f>IF(COUNTIFS(T_StockCount[RM_Code],$A49,T_StockCount[WeekIndex],26)&gt;0,SUMIFS(T_StockCount[CountedQty],T_StockCount[RM_Code],$A49,T_StockCount[WeekIndex],26),IF((COUNTIFS(T_SelfStock[RM_Code],$A49,T_SelfStock[WeekIndex],26)&gt;0)*(COUNTIFS(T_TTAFStock[RM_Code],$A49,T_TTAFStock[WeekIndex],26)&gt;0)&gt;0,SUMIFS(T_SelfStock[Self_Qty],T_SelfStock[RM_Code],$A49,T_SelfStock[WeekIndex],26)+SUMIFS(T_TTAFStock[TTAF_Qty],T_TTAFStock[RM_Code],$A49,T_TTAFStock[WeekIndex],26),Z49+'Grid_Incoming'!AA49-'Grid_Requirement'!AA49))</f>
        <v/>
      </c>
      <c r="AB49">
        <f>IF(COUNTIFS(T_StockCount[RM_Code],$A49,T_StockCount[WeekIndex],27)&gt;0,SUMIFS(T_StockCount[CountedQty],T_StockCount[RM_Code],$A49,T_StockCount[WeekIndex],27),IF((COUNTIFS(T_SelfStock[RM_Code],$A49,T_SelfStock[WeekIndex],27)&gt;0)*(COUNTIFS(T_TTAFStock[RM_Code],$A49,T_TTAFStock[WeekIndex],27)&gt;0)&gt;0,SUMIFS(T_SelfStock[Self_Qty],T_SelfStock[RM_Code],$A49,T_SelfStock[WeekIndex],27)+SUMIFS(T_TTAFStock[TTAF_Qty],T_TTAFStock[RM_Code],$A49,T_TTAFStock[WeekIndex],27),AA49+'Grid_Incoming'!AB49-'Grid_Requirement'!AB49))</f>
        <v/>
      </c>
      <c r="AC49">
        <f>IF(COUNTIFS(T_StockCount[RM_Code],$A49,T_StockCount[WeekIndex],28)&gt;0,SUMIFS(T_StockCount[CountedQty],T_StockCount[RM_Code],$A49,T_StockCount[WeekIndex],28),IF((COUNTIFS(T_SelfStock[RM_Code],$A49,T_SelfStock[WeekIndex],28)&gt;0)*(COUNTIFS(T_TTAFStock[RM_Code],$A49,T_TTAFStock[WeekIndex],28)&gt;0)&gt;0,SUMIFS(T_SelfStock[Self_Qty],T_SelfStock[RM_Code],$A49,T_SelfStock[WeekIndex],28)+SUMIFS(T_TTAFStock[TTAF_Qty],T_TTAFStock[RM_Code],$A49,T_TTAFStock[WeekIndex],28),AB49+'Grid_Incoming'!AC49-'Grid_Requirement'!AC49))</f>
        <v/>
      </c>
      <c r="AD49">
        <f>IF(COUNTIFS(T_StockCount[RM_Code],$A49,T_StockCount[WeekIndex],29)&gt;0,SUMIFS(T_StockCount[CountedQty],T_StockCount[RM_Code],$A49,T_StockCount[WeekIndex],29),IF((COUNTIFS(T_SelfStock[RM_Code],$A49,T_SelfStock[WeekIndex],29)&gt;0)*(COUNTIFS(T_TTAFStock[RM_Code],$A49,T_TTAFStock[WeekIndex],29)&gt;0)&gt;0,SUMIFS(T_SelfStock[Self_Qty],T_SelfStock[RM_Code],$A49,T_SelfStock[WeekIndex],29)+SUMIFS(T_TTAFStock[TTAF_Qty],T_TTAFStock[RM_Code],$A49,T_TTAFStock[WeekIndex],29),AC49+'Grid_Incoming'!AD49-'Grid_Requirement'!AD49))</f>
        <v/>
      </c>
      <c r="AE49">
        <f>IF(COUNTIFS(T_StockCount[RM_Code],$A49,T_StockCount[WeekIndex],30)&gt;0,SUMIFS(T_StockCount[CountedQty],T_StockCount[RM_Code],$A49,T_StockCount[WeekIndex],30),IF((COUNTIFS(T_SelfStock[RM_Code],$A49,T_SelfStock[WeekIndex],30)&gt;0)*(COUNTIFS(T_TTAFStock[RM_Code],$A49,T_TTAFStock[WeekIndex],30)&gt;0)&gt;0,SUMIFS(T_SelfStock[Self_Qty],T_SelfStock[RM_Code],$A49,T_SelfStock[WeekIndex],30)+SUMIFS(T_TTAFStock[TTAF_Qty],T_TTAFStock[RM_Code],$A49,T_TTAFStock[WeekIndex],30),AD49+'Grid_Incoming'!AE49-'Grid_Requirement'!AE49))</f>
        <v/>
      </c>
      <c r="AF49">
        <f>IF(COUNTIFS(T_StockCount[RM_Code],$A49,T_StockCount[WeekIndex],31)&gt;0,SUMIFS(T_StockCount[CountedQty],T_StockCount[RM_Code],$A49,T_StockCount[WeekIndex],31),IF((COUNTIFS(T_SelfStock[RM_Code],$A49,T_SelfStock[WeekIndex],31)&gt;0)*(COUNTIFS(T_TTAFStock[RM_Code],$A49,T_TTAFStock[WeekIndex],31)&gt;0)&gt;0,SUMIFS(T_SelfStock[Self_Qty],T_SelfStock[RM_Code],$A49,T_SelfStock[WeekIndex],31)+SUMIFS(T_TTAFStock[TTAF_Qty],T_TTAFStock[RM_Code],$A49,T_TTAFStock[WeekIndex],31),AE49+'Grid_Incoming'!AF49-'Grid_Requirement'!AF49))</f>
        <v/>
      </c>
      <c r="AG49">
        <f>IF(COUNTIFS(T_StockCount[RM_Code],$A49,T_StockCount[WeekIndex],32)&gt;0,SUMIFS(T_StockCount[CountedQty],T_StockCount[RM_Code],$A49,T_StockCount[WeekIndex],32),IF((COUNTIFS(T_SelfStock[RM_Code],$A49,T_SelfStock[WeekIndex],32)&gt;0)*(COUNTIFS(T_TTAFStock[RM_Code],$A49,T_TTAFStock[WeekIndex],32)&gt;0)&gt;0,SUMIFS(T_SelfStock[Self_Qty],T_SelfStock[RM_Code],$A49,T_SelfStock[WeekIndex],32)+SUMIFS(T_TTAFStock[TTAF_Qty],T_TTAFStock[RM_Code],$A49,T_TTAFStock[WeekIndex],32),AF49+'Grid_Incoming'!AG49-'Grid_Requirement'!AG49))</f>
        <v/>
      </c>
      <c r="AH49">
        <f>IF(COUNTIFS(T_StockCount[RM_Code],$A49,T_StockCount[WeekIndex],33)&gt;0,SUMIFS(T_StockCount[CountedQty],T_StockCount[RM_Code],$A49,T_StockCount[WeekIndex],33),IF((COUNTIFS(T_SelfStock[RM_Code],$A49,T_SelfStock[WeekIndex],33)&gt;0)*(COUNTIFS(T_TTAFStock[RM_Code],$A49,T_TTAFStock[WeekIndex],33)&gt;0)&gt;0,SUMIFS(T_SelfStock[Self_Qty],T_SelfStock[RM_Code],$A49,T_SelfStock[WeekIndex],33)+SUMIFS(T_TTAFStock[TTAF_Qty],T_TTAFStock[RM_Code],$A49,T_TTAFStock[WeekIndex],33),AG49+'Grid_Incoming'!AH49-'Grid_Requirement'!AH49))</f>
        <v/>
      </c>
      <c r="AI49">
        <f>IF(COUNTIFS(T_StockCount[RM_Code],$A49,T_StockCount[WeekIndex],34)&gt;0,SUMIFS(T_StockCount[CountedQty],T_StockCount[RM_Code],$A49,T_StockCount[WeekIndex],34),IF((COUNTIFS(T_SelfStock[RM_Code],$A49,T_SelfStock[WeekIndex],34)&gt;0)*(COUNTIFS(T_TTAFStock[RM_Code],$A49,T_TTAFStock[WeekIndex],34)&gt;0)&gt;0,SUMIFS(T_SelfStock[Self_Qty],T_SelfStock[RM_Code],$A49,T_SelfStock[WeekIndex],34)+SUMIFS(T_TTAFStock[TTAF_Qty],T_TTAFStock[RM_Code],$A49,T_TTAFStock[WeekIndex],34),AH49+'Grid_Incoming'!AI49-'Grid_Requirement'!AI49))</f>
        <v/>
      </c>
      <c r="AJ49">
        <f>IF(COUNTIFS(T_StockCount[RM_Code],$A49,T_StockCount[WeekIndex],35)&gt;0,SUMIFS(T_StockCount[CountedQty],T_StockCount[RM_Code],$A49,T_StockCount[WeekIndex],35),IF((COUNTIFS(T_SelfStock[RM_Code],$A49,T_SelfStock[WeekIndex],35)&gt;0)*(COUNTIFS(T_TTAFStock[RM_Code],$A49,T_TTAFStock[WeekIndex],35)&gt;0)&gt;0,SUMIFS(T_SelfStock[Self_Qty],T_SelfStock[RM_Code],$A49,T_SelfStock[WeekIndex],35)+SUMIFS(T_TTAFStock[TTAF_Qty],T_TTAFStock[RM_Code],$A49,T_TTAFStock[WeekIndex],35),AI49+'Grid_Incoming'!AJ49-'Grid_Requirement'!AJ49))</f>
        <v/>
      </c>
      <c r="AK49">
        <f>IF(COUNTIFS(T_StockCount[RM_Code],$A49,T_StockCount[WeekIndex],36)&gt;0,SUMIFS(T_StockCount[CountedQty],T_StockCount[RM_Code],$A49,T_StockCount[WeekIndex],36),IF((COUNTIFS(T_SelfStock[RM_Code],$A49,T_SelfStock[WeekIndex],36)&gt;0)*(COUNTIFS(T_TTAFStock[RM_Code],$A49,T_TTAFStock[WeekIndex],36)&gt;0)&gt;0,SUMIFS(T_SelfStock[Self_Qty],T_SelfStock[RM_Code],$A49,T_SelfStock[WeekIndex],36)+SUMIFS(T_TTAFStock[TTAF_Qty],T_TTAFStock[RM_Code],$A49,T_TTAFStock[WeekIndex],36),AJ49+'Grid_Incoming'!AK49-'Grid_Requirement'!AK49))</f>
        <v/>
      </c>
      <c r="AL49">
        <f>IF(COUNTIFS(T_StockCount[RM_Code],$A49,T_StockCount[WeekIndex],37)&gt;0,SUMIFS(T_StockCount[CountedQty],T_StockCount[RM_Code],$A49,T_StockCount[WeekIndex],37),IF((COUNTIFS(T_SelfStock[RM_Code],$A49,T_SelfStock[WeekIndex],37)&gt;0)*(COUNTIFS(T_TTAFStock[RM_Code],$A49,T_TTAFStock[WeekIndex],37)&gt;0)&gt;0,SUMIFS(T_SelfStock[Self_Qty],T_SelfStock[RM_Code],$A49,T_SelfStock[WeekIndex],37)+SUMIFS(T_TTAFStock[TTAF_Qty],T_TTAFStock[RM_Code],$A49,T_TTAFStock[WeekIndex],37),AK49+'Grid_Incoming'!AL49-'Grid_Requirement'!AL49))</f>
        <v/>
      </c>
      <c r="AM49">
        <f>IF(COUNTIFS(T_StockCount[RM_Code],$A49,T_StockCount[WeekIndex],38)&gt;0,SUMIFS(T_StockCount[CountedQty],T_StockCount[RM_Code],$A49,T_StockCount[WeekIndex],38),IF((COUNTIFS(T_SelfStock[RM_Code],$A49,T_SelfStock[WeekIndex],38)&gt;0)*(COUNTIFS(T_TTAFStock[RM_Code],$A49,T_TTAFStock[WeekIndex],38)&gt;0)&gt;0,SUMIFS(T_SelfStock[Self_Qty],T_SelfStock[RM_Code],$A49,T_SelfStock[WeekIndex],38)+SUMIFS(T_TTAFStock[TTAF_Qty],T_TTAFStock[RM_Code],$A49,T_TTAFStock[WeekIndex],38),AL49+'Grid_Incoming'!AM49-'Grid_Requirement'!AM49))</f>
        <v/>
      </c>
      <c r="AN49">
        <f>IF(COUNTIFS(T_StockCount[RM_Code],$A49,T_StockCount[WeekIndex],39)&gt;0,SUMIFS(T_StockCount[CountedQty],T_StockCount[RM_Code],$A49,T_StockCount[WeekIndex],39),IF((COUNTIFS(T_SelfStock[RM_Code],$A49,T_SelfStock[WeekIndex],39)&gt;0)*(COUNTIFS(T_TTAFStock[RM_Code],$A49,T_TTAFStock[WeekIndex],39)&gt;0)&gt;0,SUMIFS(T_SelfStock[Self_Qty],T_SelfStock[RM_Code],$A49,T_SelfStock[WeekIndex],39)+SUMIFS(T_TTAFStock[TTAF_Qty],T_TTAFStock[RM_Code],$A49,T_TTAFStock[WeekIndex],39),AM49+'Grid_Incoming'!AN49-'Grid_Requirement'!AN49))</f>
        <v/>
      </c>
      <c r="AO49">
        <f>IF(COUNTIFS(T_StockCount[RM_Code],$A49,T_StockCount[WeekIndex],40)&gt;0,SUMIFS(T_StockCount[CountedQty],T_StockCount[RM_Code],$A49,T_StockCount[WeekIndex],40),IF((COUNTIFS(T_SelfStock[RM_Code],$A49,T_SelfStock[WeekIndex],40)&gt;0)*(COUNTIFS(T_TTAFStock[RM_Code],$A49,T_TTAFStock[WeekIndex],40)&gt;0)&gt;0,SUMIFS(T_SelfStock[Self_Qty],T_SelfStock[RM_Code],$A49,T_SelfStock[WeekIndex],40)+SUMIFS(T_TTAFStock[TTAF_Qty],T_TTAFStock[RM_Code],$A49,T_TTAFStock[WeekIndex],40),AN49+'Grid_Incoming'!AO49-'Grid_Requirement'!AO49))</f>
        <v/>
      </c>
      <c r="AP49">
        <f>IF(COUNTIFS(T_StockCount[RM_Code],$A49,T_StockCount[WeekIndex],41)&gt;0,SUMIFS(T_StockCount[CountedQty],T_StockCount[RM_Code],$A49,T_StockCount[WeekIndex],41),IF((COUNTIFS(T_SelfStock[RM_Code],$A49,T_SelfStock[WeekIndex],41)&gt;0)*(COUNTIFS(T_TTAFStock[RM_Code],$A49,T_TTAFStock[WeekIndex],41)&gt;0)&gt;0,SUMIFS(T_SelfStock[Self_Qty],T_SelfStock[RM_Code],$A49,T_SelfStock[WeekIndex],41)+SUMIFS(T_TTAFStock[TTAF_Qty],T_TTAFStock[RM_Code],$A49,T_TTAFStock[WeekIndex],41),AO49+'Grid_Incoming'!AP49-'Grid_Requirement'!AP49))</f>
        <v/>
      </c>
      <c r="AQ49">
        <f>IF(COUNTIFS(T_StockCount[RM_Code],$A49,T_StockCount[WeekIndex],42)&gt;0,SUMIFS(T_StockCount[CountedQty],T_StockCount[RM_Code],$A49,T_StockCount[WeekIndex],42),IF((COUNTIFS(T_SelfStock[RM_Code],$A49,T_SelfStock[WeekIndex],42)&gt;0)*(COUNTIFS(T_TTAFStock[RM_Code],$A49,T_TTAFStock[WeekIndex],42)&gt;0)&gt;0,SUMIFS(T_SelfStock[Self_Qty],T_SelfStock[RM_Code],$A49,T_SelfStock[WeekIndex],42)+SUMIFS(T_TTAFStock[TTAF_Qty],T_TTAFStock[RM_Code],$A49,T_TTAFStock[WeekIndex],42),AP49+'Grid_Incoming'!AQ49-'Grid_Requirement'!AQ49))</f>
        <v/>
      </c>
      <c r="AR49">
        <f>IF(COUNTIFS(T_StockCount[RM_Code],$A49,T_StockCount[WeekIndex],43)&gt;0,SUMIFS(T_StockCount[CountedQty],T_StockCount[RM_Code],$A49,T_StockCount[WeekIndex],43),IF((COUNTIFS(T_SelfStock[RM_Code],$A49,T_SelfStock[WeekIndex],43)&gt;0)*(COUNTIFS(T_TTAFStock[RM_Code],$A49,T_TTAFStock[WeekIndex],43)&gt;0)&gt;0,SUMIFS(T_SelfStock[Self_Qty],T_SelfStock[RM_Code],$A49,T_SelfStock[WeekIndex],43)+SUMIFS(T_TTAFStock[TTAF_Qty],T_TTAFStock[RM_Code],$A49,T_TTAFStock[WeekIndex],43),AQ49+'Grid_Incoming'!AR49-'Grid_Requirement'!AR49))</f>
        <v/>
      </c>
      <c r="AS49">
        <f>IF(COUNTIFS(T_StockCount[RM_Code],$A49,T_StockCount[WeekIndex],44)&gt;0,SUMIFS(T_StockCount[CountedQty],T_StockCount[RM_Code],$A49,T_StockCount[WeekIndex],44),IF((COUNTIFS(T_SelfStock[RM_Code],$A49,T_SelfStock[WeekIndex],44)&gt;0)*(COUNTIFS(T_TTAFStock[RM_Code],$A49,T_TTAFStock[WeekIndex],44)&gt;0)&gt;0,SUMIFS(T_SelfStock[Self_Qty],T_SelfStock[RM_Code],$A49,T_SelfStock[WeekIndex],44)+SUMIFS(T_TTAFStock[TTAF_Qty],T_TTAFStock[RM_Code],$A49,T_TTAFStock[WeekIndex],44),AR49+'Grid_Incoming'!AS49-'Grid_Requirement'!AS49))</f>
        <v/>
      </c>
      <c r="AT49">
        <f>IF(COUNTIFS(T_StockCount[RM_Code],$A49,T_StockCount[WeekIndex],45)&gt;0,SUMIFS(T_StockCount[CountedQty],T_StockCount[RM_Code],$A49,T_StockCount[WeekIndex],45),IF((COUNTIFS(T_SelfStock[RM_Code],$A49,T_SelfStock[WeekIndex],45)&gt;0)*(COUNTIFS(T_TTAFStock[RM_Code],$A49,T_TTAFStock[WeekIndex],45)&gt;0)&gt;0,SUMIFS(T_SelfStock[Self_Qty],T_SelfStock[RM_Code],$A49,T_SelfStock[WeekIndex],45)+SUMIFS(T_TTAFStock[TTAF_Qty],T_TTAFStock[RM_Code],$A49,T_TTAFStock[WeekIndex],45),AS49+'Grid_Incoming'!AT49-'Grid_Requirement'!AT49))</f>
        <v/>
      </c>
      <c r="AU49">
        <f>IF(COUNTIFS(T_StockCount[RM_Code],$A49,T_StockCount[WeekIndex],46)&gt;0,SUMIFS(T_StockCount[CountedQty],T_StockCount[RM_Code],$A49,T_StockCount[WeekIndex],46),IF((COUNTIFS(T_SelfStock[RM_Code],$A49,T_SelfStock[WeekIndex],46)&gt;0)*(COUNTIFS(T_TTAFStock[RM_Code],$A49,T_TTAFStock[WeekIndex],46)&gt;0)&gt;0,SUMIFS(T_SelfStock[Self_Qty],T_SelfStock[RM_Code],$A49,T_SelfStock[WeekIndex],46)+SUMIFS(T_TTAFStock[TTAF_Qty],T_TTAFStock[RM_Code],$A49,T_TTAFStock[WeekIndex],46),AT49+'Grid_Incoming'!AU49-'Grid_Requirement'!AU49))</f>
        <v/>
      </c>
      <c r="AV49">
        <f>IF(COUNTIFS(T_StockCount[RM_Code],$A49,T_StockCount[WeekIndex],47)&gt;0,SUMIFS(T_StockCount[CountedQty],T_StockCount[RM_Code],$A49,T_StockCount[WeekIndex],47),IF((COUNTIFS(T_SelfStock[RM_Code],$A49,T_SelfStock[WeekIndex],47)&gt;0)*(COUNTIFS(T_TTAFStock[RM_Code],$A49,T_TTAFStock[WeekIndex],47)&gt;0)&gt;0,SUMIFS(T_SelfStock[Self_Qty],T_SelfStock[RM_Code],$A49,T_SelfStock[WeekIndex],47)+SUMIFS(T_TTAFStock[TTAF_Qty],T_TTAFStock[RM_Code],$A49,T_TTAFStock[WeekIndex],47),AU49+'Grid_Incoming'!AV49-'Grid_Requirement'!AV49))</f>
        <v/>
      </c>
      <c r="AW49">
        <f>IF(COUNTIFS(T_StockCount[RM_Code],$A49,T_StockCount[WeekIndex],48)&gt;0,SUMIFS(T_StockCount[CountedQty],T_StockCount[RM_Code],$A49,T_StockCount[WeekIndex],48),IF((COUNTIFS(T_SelfStock[RM_Code],$A49,T_SelfStock[WeekIndex],48)&gt;0)*(COUNTIFS(T_TTAFStock[RM_Code],$A49,T_TTAFStock[WeekIndex],48)&gt;0)&gt;0,SUMIFS(T_SelfStock[Self_Qty],T_SelfStock[RM_Code],$A49,T_SelfStock[WeekIndex],48)+SUMIFS(T_TTAFStock[TTAF_Qty],T_TTAFStock[RM_Code],$A49,T_TTAFStock[WeekIndex],48),AV49+'Grid_Incoming'!AW49-'Grid_Requirement'!AW49))</f>
        <v/>
      </c>
      <c r="AX49">
        <f>IF(COUNTIFS(T_StockCount[RM_Code],$A49,T_StockCount[WeekIndex],49)&gt;0,SUMIFS(T_StockCount[CountedQty],T_StockCount[RM_Code],$A49,T_StockCount[WeekIndex],49),IF((COUNTIFS(T_SelfStock[RM_Code],$A49,T_SelfStock[WeekIndex],49)&gt;0)*(COUNTIFS(T_TTAFStock[RM_Code],$A49,T_TTAFStock[WeekIndex],49)&gt;0)&gt;0,SUMIFS(T_SelfStock[Self_Qty],T_SelfStock[RM_Code],$A49,T_SelfStock[WeekIndex],49)+SUMIFS(T_TTAFStock[TTAF_Qty],T_TTAFStock[RM_Code],$A49,T_TTAFStock[WeekIndex],49),AW49+'Grid_Incoming'!AX49-'Grid_Requirement'!AX49))</f>
        <v/>
      </c>
      <c r="AY49">
        <f>IF(COUNTIFS(T_StockCount[RM_Code],$A49,T_StockCount[WeekIndex],50)&gt;0,SUMIFS(T_StockCount[CountedQty],T_StockCount[RM_Code],$A49,T_StockCount[WeekIndex],50),IF((COUNTIFS(T_SelfStock[RM_Code],$A49,T_SelfStock[WeekIndex],50)&gt;0)*(COUNTIFS(T_TTAFStock[RM_Code],$A49,T_TTAFStock[WeekIndex],50)&gt;0)&gt;0,SUMIFS(T_SelfStock[Self_Qty],T_SelfStock[RM_Code],$A49,T_SelfStock[WeekIndex],50)+SUMIFS(T_TTAFStock[TTAF_Qty],T_TTAFStock[RM_Code],$A49,T_TTAFStock[WeekIndex],50),AX49+'Grid_Incoming'!AY49-'Grid_Requirement'!AY49))</f>
        <v/>
      </c>
      <c r="AZ49">
        <f>IF(COUNTIFS(T_StockCount[RM_Code],$A49,T_StockCount[WeekIndex],51)&gt;0,SUMIFS(T_StockCount[CountedQty],T_StockCount[RM_Code],$A49,T_StockCount[WeekIndex],51),IF((COUNTIFS(T_SelfStock[RM_Code],$A49,T_SelfStock[WeekIndex],51)&gt;0)*(COUNTIFS(T_TTAFStock[RM_Code],$A49,T_TTAFStock[WeekIndex],51)&gt;0)&gt;0,SUMIFS(T_SelfStock[Self_Qty],T_SelfStock[RM_Code],$A49,T_SelfStock[WeekIndex],51)+SUMIFS(T_TTAFStock[TTAF_Qty],T_TTAFStock[RM_Code],$A49,T_TTAFStock[WeekIndex],51),AY49+'Grid_Incoming'!AZ49-'Grid_Requirement'!AZ49))</f>
        <v/>
      </c>
      <c r="BA49">
        <f>IF(COUNTIFS(T_StockCount[RM_Code],$A49,T_StockCount[WeekIndex],52)&gt;0,SUMIFS(T_StockCount[CountedQty],T_StockCount[RM_Code],$A49,T_StockCount[WeekIndex],52),IF((COUNTIFS(T_SelfStock[RM_Code],$A49,T_SelfStock[WeekIndex],52)&gt;0)*(COUNTIFS(T_TTAFStock[RM_Code],$A49,T_TTAFStock[WeekIndex],52)&gt;0)&gt;0,SUMIFS(T_SelfStock[Self_Qty],T_SelfStock[RM_Code],$A49,T_SelfStock[WeekIndex],52)+SUMIFS(T_TTAFStock[TTAF_Qty],T_TTAFStock[RM_Code],$A49,T_TTAFStock[WeekIndex],52),AZ49+'Grid_Incoming'!BA49-'Grid_Requirement'!BA49))</f>
        <v/>
      </c>
      <c r="BB49">
        <f>IF(COUNTIFS(T_StockCount[RM_Code],$A49,T_StockCount[WeekIndex],53)&gt;0,SUMIFS(T_StockCount[CountedQty],T_StockCount[RM_Code],$A49,T_StockCount[WeekIndex],53),IF((COUNTIFS(T_SelfStock[RM_Code],$A49,T_SelfStock[WeekIndex],53)&gt;0)*(COUNTIFS(T_TTAFStock[RM_Code],$A49,T_TTAFStock[WeekIndex],53)&gt;0)&gt;0,SUMIFS(T_SelfStock[Self_Qty],T_SelfStock[RM_Code],$A49,T_SelfStock[WeekIndex],53)+SUMIFS(T_TTAFStock[TTAF_Qty],T_TTAFStock[RM_Code],$A49,T_TTAFStock[WeekIndex],53),BA49+'Grid_Incoming'!BB49-'Grid_Requirement'!BB49))</f>
        <v/>
      </c>
      <c r="BC49">
        <f>IF(COUNTIFS(T_StockCount[RM_Code],$A49,T_StockCount[WeekIndex],54)&gt;0,SUMIFS(T_StockCount[CountedQty],T_StockCount[RM_Code],$A49,T_StockCount[WeekIndex],54),IF((COUNTIFS(T_SelfStock[RM_Code],$A49,T_SelfStock[WeekIndex],54)&gt;0)*(COUNTIFS(T_TTAFStock[RM_Code],$A49,T_TTAFStock[WeekIndex],54)&gt;0)&gt;0,SUMIFS(T_SelfStock[Self_Qty],T_SelfStock[RM_Code],$A49,T_SelfStock[WeekIndex],54)+SUMIFS(T_TTAFStock[TTAF_Qty],T_TTAFStock[RM_Code],$A49,T_TTAFStock[WeekIndex],54),BB49+'Grid_Incoming'!BC49-'Grid_Requirement'!BC49))</f>
        <v/>
      </c>
      <c r="BD49">
        <f>IF(COUNTIFS(T_StockCount[RM_Code],$A49,T_StockCount[WeekIndex],55)&gt;0,SUMIFS(T_StockCount[CountedQty],T_StockCount[RM_Code],$A49,T_StockCount[WeekIndex],55),IF((COUNTIFS(T_SelfStock[RM_Code],$A49,T_SelfStock[WeekIndex],55)&gt;0)*(COUNTIFS(T_TTAFStock[RM_Code],$A49,T_TTAFStock[WeekIndex],55)&gt;0)&gt;0,SUMIFS(T_SelfStock[Self_Qty],T_SelfStock[RM_Code],$A49,T_SelfStock[WeekIndex],55)+SUMIFS(T_TTAFStock[TTAF_Qty],T_TTAFStock[RM_Code],$A49,T_TTAFStock[WeekIndex],55),BC49+'Grid_Incoming'!BD49-'Grid_Requirement'!BD49))</f>
        <v/>
      </c>
      <c r="BE49">
        <f>IF(COUNTIFS(T_StockCount[RM_Code],$A49,T_StockCount[WeekIndex],56)&gt;0,SUMIFS(T_StockCount[CountedQty],T_StockCount[RM_Code],$A49,T_StockCount[WeekIndex],56),IF((COUNTIFS(T_SelfStock[RM_Code],$A49,T_SelfStock[WeekIndex],56)&gt;0)*(COUNTIFS(T_TTAFStock[RM_Code],$A49,T_TTAFStock[WeekIndex],56)&gt;0)&gt;0,SUMIFS(T_SelfStock[Self_Qty],T_SelfStock[RM_Code],$A49,T_SelfStock[WeekIndex],56)+SUMIFS(T_TTAFStock[TTAF_Qty],T_TTAFStock[RM_Code],$A49,T_TTAFStock[WeekIndex],56),BD49+'Grid_Incoming'!BE49-'Grid_Requirement'!BE49))</f>
        <v/>
      </c>
      <c r="BF49">
        <f>IF(COUNTIFS(T_StockCount[RM_Code],$A49,T_StockCount[WeekIndex],57)&gt;0,SUMIFS(T_StockCount[CountedQty],T_StockCount[RM_Code],$A49,T_StockCount[WeekIndex],57),IF((COUNTIFS(T_SelfStock[RM_Code],$A49,T_SelfStock[WeekIndex],57)&gt;0)*(COUNTIFS(T_TTAFStock[RM_Code],$A49,T_TTAFStock[WeekIndex],57)&gt;0)&gt;0,SUMIFS(T_SelfStock[Self_Qty],T_SelfStock[RM_Code],$A49,T_SelfStock[WeekIndex],57)+SUMIFS(T_TTAFStock[TTAF_Qty],T_TTAFStock[RM_Code],$A49,T_TTAFStock[WeekIndex],57),BE49+'Grid_Incoming'!BF49-'Grid_Requirement'!BF49))</f>
        <v/>
      </c>
      <c r="BG49">
        <f>IF(COUNTIFS(T_StockCount[RM_Code],$A49,T_StockCount[WeekIndex],58)&gt;0,SUMIFS(T_StockCount[CountedQty],T_StockCount[RM_Code],$A49,T_StockCount[WeekIndex],58),IF((COUNTIFS(T_SelfStock[RM_Code],$A49,T_SelfStock[WeekIndex],58)&gt;0)*(COUNTIFS(T_TTAFStock[RM_Code],$A49,T_TTAFStock[WeekIndex],58)&gt;0)&gt;0,SUMIFS(T_SelfStock[Self_Qty],T_SelfStock[RM_Code],$A49,T_SelfStock[WeekIndex],58)+SUMIFS(T_TTAFStock[TTAF_Qty],T_TTAFStock[RM_Code],$A49,T_TTAFStock[WeekIndex],58),BF49+'Grid_Incoming'!BG49-'Grid_Requirement'!BG49))</f>
        <v/>
      </c>
      <c r="BH49">
        <f>IF(COUNTIFS(T_StockCount[RM_Code],$A49,T_StockCount[WeekIndex],59)&gt;0,SUMIFS(T_StockCount[CountedQty],T_StockCount[RM_Code],$A49,T_StockCount[WeekIndex],59),IF((COUNTIFS(T_SelfStock[RM_Code],$A49,T_SelfStock[WeekIndex],59)&gt;0)*(COUNTIFS(T_TTAFStock[RM_Code],$A49,T_TTAFStock[WeekIndex],59)&gt;0)&gt;0,SUMIFS(T_SelfStock[Self_Qty],T_SelfStock[RM_Code],$A49,T_SelfStock[WeekIndex],59)+SUMIFS(T_TTAFStock[TTAF_Qty],T_TTAFStock[RM_Code],$A49,T_TTAFStock[WeekIndex],59),BG49+'Grid_Incoming'!BH49-'Grid_Requirement'!BH49))</f>
        <v/>
      </c>
      <c r="BI49">
        <f>IF(COUNTIFS(T_StockCount[RM_Code],$A49,T_StockCount[WeekIndex],60)&gt;0,SUMIFS(T_StockCount[CountedQty],T_StockCount[RM_Code],$A49,T_StockCount[WeekIndex],60),IF((COUNTIFS(T_SelfStock[RM_Code],$A49,T_SelfStock[WeekIndex],60)&gt;0)*(COUNTIFS(T_TTAFStock[RM_Code],$A49,T_TTAFStock[WeekIndex],60)&gt;0)&gt;0,SUMIFS(T_SelfStock[Self_Qty],T_SelfStock[RM_Code],$A49,T_SelfStock[WeekIndex],60)+SUMIFS(T_TTAFStock[TTAF_Qty],T_TTAFStock[RM_Code],$A49,T_TTAFStock[WeekIndex],60),BH49+'Grid_Incoming'!BI49-'Grid_Requirement'!BI49))</f>
        <v/>
      </c>
      <c r="BJ49">
        <f>IF(COUNTIFS(T_StockCount[RM_Code],$A49,T_StockCount[WeekIndex],61)&gt;0,SUMIFS(T_StockCount[CountedQty],T_StockCount[RM_Code],$A49,T_StockCount[WeekIndex],61),IF((COUNTIFS(T_SelfStock[RM_Code],$A49,T_SelfStock[WeekIndex],61)&gt;0)*(COUNTIFS(T_TTAFStock[RM_Code],$A49,T_TTAFStock[WeekIndex],61)&gt;0)&gt;0,SUMIFS(T_SelfStock[Self_Qty],T_SelfStock[RM_Code],$A49,T_SelfStock[WeekIndex],61)+SUMIFS(T_TTAFStock[TTAF_Qty],T_TTAFStock[RM_Code],$A49,T_TTAFStock[WeekIndex],61),BI49+'Grid_Incoming'!BJ49-'Grid_Requirement'!BJ49))</f>
        <v/>
      </c>
      <c r="BK49">
        <f>IF(COUNTIFS(T_StockCount[RM_Code],$A49,T_StockCount[WeekIndex],62)&gt;0,SUMIFS(T_StockCount[CountedQty],T_StockCount[RM_Code],$A49,T_StockCount[WeekIndex],62),IF((COUNTIFS(T_SelfStock[RM_Code],$A49,T_SelfStock[WeekIndex],62)&gt;0)*(COUNTIFS(T_TTAFStock[RM_Code],$A49,T_TTAFStock[WeekIndex],62)&gt;0)&gt;0,SUMIFS(T_SelfStock[Self_Qty],T_SelfStock[RM_Code],$A49,T_SelfStock[WeekIndex],62)+SUMIFS(T_TTAFStock[TTAF_Qty],T_TTAFStock[RM_Code],$A49,T_TTAFStock[WeekIndex],62),BJ49+'Grid_Incoming'!BK49-'Grid_Requirement'!BK49))</f>
        <v/>
      </c>
      <c r="BL49">
        <f>IF(COUNTIFS(T_StockCount[RM_Code],$A49,T_StockCount[WeekIndex],63)&gt;0,SUMIFS(T_StockCount[CountedQty],T_StockCount[RM_Code],$A49,T_StockCount[WeekIndex],63),IF((COUNTIFS(T_SelfStock[RM_Code],$A49,T_SelfStock[WeekIndex],63)&gt;0)*(COUNTIFS(T_TTAFStock[RM_Code],$A49,T_TTAFStock[WeekIndex],63)&gt;0)&gt;0,SUMIFS(T_SelfStock[Self_Qty],T_SelfStock[RM_Code],$A49,T_SelfStock[WeekIndex],63)+SUMIFS(T_TTAFStock[TTAF_Qty],T_TTAFStock[RM_Code],$A49,T_TTAFStock[WeekIndex],63),BK49+'Grid_Incoming'!BL49-'Grid_Requirement'!BL49))</f>
        <v/>
      </c>
      <c r="BM49">
        <f>IF(COUNTIFS(T_StockCount[RM_Code],$A49,T_StockCount[WeekIndex],64)&gt;0,SUMIFS(T_StockCount[CountedQty],T_StockCount[RM_Code],$A49,T_StockCount[WeekIndex],64),IF((COUNTIFS(T_SelfStock[RM_Code],$A49,T_SelfStock[WeekIndex],64)&gt;0)*(COUNTIFS(T_TTAFStock[RM_Code],$A49,T_TTAFStock[WeekIndex],64)&gt;0)&gt;0,SUMIFS(T_SelfStock[Self_Qty],T_SelfStock[RM_Code],$A49,T_SelfStock[WeekIndex],64)+SUMIFS(T_TTAFStock[TTAF_Qty],T_TTAFStock[RM_Code],$A49,T_TTAFStock[WeekIndex],64),BL49+'Grid_Incoming'!BM49-'Grid_Requirement'!BM49))</f>
        <v/>
      </c>
      <c r="BN49">
        <f>IF(COUNTIFS(T_StockCount[RM_Code],$A49,T_StockCount[WeekIndex],65)&gt;0,SUMIFS(T_StockCount[CountedQty],T_StockCount[RM_Code],$A49,T_StockCount[WeekIndex],65),IF((COUNTIFS(T_SelfStock[RM_Code],$A49,T_SelfStock[WeekIndex],65)&gt;0)*(COUNTIFS(T_TTAFStock[RM_Code],$A49,T_TTAFStock[WeekIndex],65)&gt;0)&gt;0,SUMIFS(T_SelfStock[Self_Qty],T_SelfStock[RM_Code],$A49,T_SelfStock[WeekIndex],65)+SUMIFS(T_TTAFStock[TTAF_Qty],T_TTAFStock[RM_Code],$A49,T_TTAFStock[WeekIndex],65),BM49+'Grid_Incoming'!BN49-'Grid_Requirement'!BN49))</f>
        <v/>
      </c>
      <c r="BO49">
        <f>IF(COUNTIFS(T_StockCount[RM_Code],$A49,T_StockCount[WeekIndex],66)&gt;0,SUMIFS(T_StockCount[CountedQty],T_StockCount[RM_Code],$A49,T_StockCount[WeekIndex],66),IF((COUNTIFS(T_SelfStock[RM_Code],$A49,T_SelfStock[WeekIndex],66)&gt;0)*(COUNTIFS(T_TTAFStock[RM_Code],$A49,T_TTAFStock[WeekIndex],66)&gt;0)&gt;0,SUMIFS(T_SelfStock[Self_Qty],T_SelfStock[RM_Code],$A49,T_SelfStock[WeekIndex],66)+SUMIFS(T_TTAFStock[TTAF_Qty],T_TTAFStock[RM_Code],$A49,T_TTAFStock[WeekIndex],66),BN49+'Grid_Incoming'!BO49-'Grid_Requirement'!BO49))</f>
        <v/>
      </c>
      <c r="BP49">
        <f>IF(COUNTIFS(T_StockCount[RM_Code],$A49,T_StockCount[WeekIndex],67)&gt;0,SUMIFS(T_StockCount[CountedQty],T_StockCount[RM_Code],$A49,T_StockCount[WeekIndex],67),IF((COUNTIFS(T_SelfStock[RM_Code],$A49,T_SelfStock[WeekIndex],67)&gt;0)*(COUNTIFS(T_TTAFStock[RM_Code],$A49,T_TTAFStock[WeekIndex],67)&gt;0)&gt;0,SUMIFS(T_SelfStock[Self_Qty],T_SelfStock[RM_Code],$A49,T_SelfStock[WeekIndex],67)+SUMIFS(T_TTAFStock[TTAF_Qty],T_TTAFStock[RM_Code],$A49,T_TTAFStock[WeekIndex],67),BO49+'Grid_Incoming'!BP49-'Grid_Requirement'!BP49))</f>
        <v/>
      </c>
      <c r="BQ49">
        <f>IF(COUNTIFS(T_StockCount[RM_Code],$A49,T_StockCount[WeekIndex],68)&gt;0,SUMIFS(T_StockCount[CountedQty],T_StockCount[RM_Code],$A49,T_StockCount[WeekIndex],68),IF((COUNTIFS(T_SelfStock[RM_Code],$A49,T_SelfStock[WeekIndex],68)&gt;0)*(COUNTIFS(T_TTAFStock[RM_Code],$A49,T_TTAFStock[WeekIndex],68)&gt;0)&gt;0,SUMIFS(T_SelfStock[Self_Qty],T_SelfStock[RM_Code],$A49,T_SelfStock[WeekIndex],68)+SUMIFS(T_TTAFStock[TTAF_Qty],T_TTAFStock[RM_Code],$A49,T_TTAFStock[WeekIndex],68),BP49+'Grid_Incoming'!BQ49-'Grid_Requirement'!BQ49))</f>
        <v/>
      </c>
      <c r="BR49">
        <f>IF(COUNTIFS(T_StockCount[RM_Code],$A49,T_StockCount[WeekIndex],69)&gt;0,SUMIFS(T_StockCount[CountedQty],T_StockCount[RM_Code],$A49,T_StockCount[WeekIndex],69),IF((COUNTIFS(T_SelfStock[RM_Code],$A49,T_SelfStock[WeekIndex],69)&gt;0)*(COUNTIFS(T_TTAFStock[RM_Code],$A49,T_TTAFStock[WeekIndex],69)&gt;0)&gt;0,SUMIFS(T_SelfStock[Self_Qty],T_SelfStock[RM_Code],$A49,T_SelfStock[WeekIndex],69)+SUMIFS(T_TTAFStock[TTAF_Qty],T_TTAFStock[RM_Code],$A49,T_TTAFStock[WeekIndex],69),BQ49+'Grid_Incoming'!BR49-'Grid_Requirement'!BR49))</f>
        <v/>
      </c>
      <c r="BS49">
        <f>IF(COUNTIFS(T_StockCount[RM_Code],$A49,T_StockCount[WeekIndex],70)&gt;0,SUMIFS(T_StockCount[CountedQty],T_StockCount[RM_Code],$A49,T_StockCount[WeekIndex],70),IF((COUNTIFS(T_SelfStock[RM_Code],$A49,T_SelfStock[WeekIndex],70)&gt;0)*(COUNTIFS(T_TTAFStock[RM_Code],$A49,T_TTAFStock[WeekIndex],70)&gt;0)&gt;0,SUMIFS(T_SelfStock[Self_Qty],T_SelfStock[RM_Code],$A49,T_SelfStock[WeekIndex],70)+SUMIFS(T_TTAFStock[TTAF_Qty],T_TTAFStock[RM_Code],$A49,T_TTAFStock[WeekIndex],70),BR49+'Grid_Incoming'!BS49-'Grid_Requirement'!BS49))</f>
        <v/>
      </c>
      <c r="BT49">
        <f>IF(COUNTIFS(T_StockCount[RM_Code],$A49,T_StockCount[WeekIndex],71)&gt;0,SUMIFS(T_StockCount[CountedQty],T_StockCount[RM_Code],$A49,T_StockCount[WeekIndex],71),IF((COUNTIFS(T_SelfStock[RM_Code],$A49,T_SelfStock[WeekIndex],71)&gt;0)*(COUNTIFS(T_TTAFStock[RM_Code],$A49,T_TTAFStock[WeekIndex],71)&gt;0)&gt;0,SUMIFS(T_SelfStock[Self_Qty],T_SelfStock[RM_Code],$A49,T_SelfStock[WeekIndex],71)+SUMIFS(T_TTAFStock[TTAF_Qty],T_TTAFStock[RM_Code],$A49,T_TTAFStock[WeekIndex],71),BS49+'Grid_Incoming'!BT49-'Grid_Requirement'!BT49))</f>
        <v/>
      </c>
      <c r="BU49">
        <f>IF(COUNTIFS(T_StockCount[RM_Code],$A49,T_StockCount[WeekIndex],72)&gt;0,SUMIFS(T_StockCount[CountedQty],T_StockCount[RM_Code],$A49,T_StockCount[WeekIndex],72),IF((COUNTIFS(T_SelfStock[RM_Code],$A49,T_SelfStock[WeekIndex],72)&gt;0)*(COUNTIFS(T_TTAFStock[RM_Code],$A49,T_TTAFStock[WeekIndex],72)&gt;0)&gt;0,SUMIFS(T_SelfStock[Self_Qty],T_SelfStock[RM_Code],$A49,T_SelfStock[WeekIndex],72)+SUMIFS(T_TTAFStock[TTAF_Qty],T_TTAFStock[RM_Code],$A49,T_TTAFStock[WeekIndex],72),BT49+'Grid_Incoming'!BU49-'Grid_Requirement'!BU49))</f>
        <v/>
      </c>
      <c r="BV49">
        <f>IF(COUNTIFS(T_StockCount[RM_Code],$A49,T_StockCount[WeekIndex],73)&gt;0,SUMIFS(T_StockCount[CountedQty],T_StockCount[RM_Code],$A49,T_StockCount[WeekIndex],73),IF((COUNTIFS(T_SelfStock[RM_Code],$A49,T_SelfStock[WeekIndex],73)&gt;0)*(COUNTIFS(T_TTAFStock[RM_Code],$A49,T_TTAFStock[WeekIndex],73)&gt;0)&gt;0,SUMIFS(T_SelfStock[Self_Qty],T_SelfStock[RM_Code],$A49,T_SelfStock[WeekIndex],73)+SUMIFS(T_TTAFStock[TTAF_Qty],T_TTAFStock[RM_Code],$A49,T_TTAFStock[WeekIndex],73),BU49+'Grid_Incoming'!BV49-'Grid_Requirement'!BV49))</f>
        <v/>
      </c>
      <c r="BW49">
        <f>IF(COUNTIFS(T_StockCount[RM_Code],$A49,T_StockCount[WeekIndex],74)&gt;0,SUMIFS(T_StockCount[CountedQty],T_StockCount[RM_Code],$A49,T_StockCount[WeekIndex],74),IF((COUNTIFS(T_SelfStock[RM_Code],$A49,T_SelfStock[WeekIndex],74)&gt;0)*(COUNTIFS(T_TTAFStock[RM_Code],$A49,T_TTAFStock[WeekIndex],74)&gt;0)&gt;0,SUMIFS(T_SelfStock[Self_Qty],T_SelfStock[RM_Code],$A49,T_SelfStock[WeekIndex],74)+SUMIFS(T_TTAFStock[TTAF_Qty],T_TTAFStock[RM_Code],$A49,T_TTAFStock[WeekIndex],74),BV49+'Grid_Incoming'!BW49-'Grid_Requirement'!BW49))</f>
        <v/>
      </c>
      <c r="BX49">
        <f>IF(COUNTIFS(T_StockCount[RM_Code],$A49,T_StockCount[WeekIndex],75)&gt;0,SUMIFS(T_StockCount[CountedQty],T_StockCount[RM_Code],$A49,T_StockCount[WeekIndex],75),IF((COUNTIFS(T_SelfStock[RM_Code],$A49,T_SelfStock[WeekIndex],75)&gt;0)*(COUNTIFS(T_TTAFStock[RM_Code],$A49,T_TTAFStock[WeekIndex],75)&gt;0)&gt;0,SUMIFS(T_SelfStock[Self_Qty],T_SelfStock[RM_Code],$A49,T_SelfStock[WeekIndex],75)+SUMIFS(T_TTAFStock[TTAF_Qty],T_TTAFStock[RM_Code],$A49,T_TTAFStock[WeekIndex],75),BW49+'Grid_Incoming'!BX49-'Grid_Requirement'!BX49))</f>
        <v/>
      </c>
      <c r="BY49">
        <f>IF(COUNTIFS(T_StockCount[RM_Code],$A49,T_StockCount[WeekIndex],76)&gt;0,SUMIFS(T_StockCount[CountedQty],T_StockCount[RM_Code],$A49,T_StockCount[WeekIndex],76),IF((COUNTIFS(T_SelfStock[RM_Code],$A49,T_SelfStock[WeekIndex],76)&gt;0)*(COUNTIFS(T_TTAFStock[RM_Code],$A49,T_TTAFStock[WeekIndex],76)&gt;0)&gt;0,SUMIFS(T_SelfStock[Self_Qty],T_SelfStock[RM_Code],$A49,T_SelfStock[WeekIndex],76)+SUMIFS(T_TTAFStock[TTAF_Qty],T_TTAFStock[RM_Code],$A49,T_TTAFStock[WeekIndex],76),BX49+'Grid_Incoming'!BY49-'Grid_Requirement'!BY49))</f>
        <v/>
      </c>
      <c r="BZ49">
        <f>IF(COUNTIFS(T_StockCount[RM_Code],$A49,T_StockCount[WeekIndex],77)&gt;0,SUMIFS(T_StockCount[CountedQty],T_StockCount[RM_Code],$A49,T_StockCount[WeekIndex],77),IF((COUNTIFS(T_SelfStock[RM_Code],$A49,T_SelfStock[WeekIndex],77)&gt;0)*(COUNTIFS(T_TTAFStock[RM_Code],$A49,T_TTAFStock[WeekIndex],77)&gt;0)&gt;0,SUMIFS(T_SelfStock[Self_Qty],T_SelfStock[RM_Code],$A49,T_SelfStock[WeekIndex],77)+SUMIFS(T_TTAFStock[TTAF_Qty],T_TTAFStock[RM_Code],$A49,T_TTAFStock[WeekIndex],77),BY49+'Grid_Incoming'!BZ49-'Grid_Requirement'!BZ49))</f>
        <v/>
      </c>
      <c r="CA49">
        <f>IF(COUNTIFS(T_StockCount[RM_Code],$A49,T_StockCount[WeekIndex],78)&gt;0,SUMIFS(T_StockCount[CountedQty],T_StockCount[RM_Code],$A49,T_StockCount[WeekIndex],78),IF((COUNTIFS(T_SelfStock[RM_Code],$A49,T_SelfStock[WeekIndex],78)&gt;0)*(COUNTIFS(T_TTAFStock[RM_Code],$A49,T_TTAFStock[WeekIndex],78)&gt;0)&gt;0,SUMIFS(T_SelfStock[Self_Qty],T_SelfStock[RM_Code],$A49,T_SelfStock[WeekIndex],78)+SUMIFS(T_TTAFStock[TTAF_Qty],T_TTAFStock[RM_Code],$A49,T_TTAFStock[WeekIndex],78),BZ49+'Grid_Incoming'!CA49-'Grid_Requirement'!CA49))</f>
        <v/>
      </c>
      <c r="CB49">
        <f>IF(COUNTIFS(T_StockCount[RM_Code],$A49,T_StockCount[WeekIndex],79)&gt;0,SUMIFS(T_StockCount[CountedQty],T_StockCount[RM_Code],$A49,T_StockCount[WeekIndex],79),IF((COUNTIFS(T_SelfStock[RM_Code],$A49,T_SelfStock[WeekIndex],79)&gt;0)*(COUNTIFS(T_TTAFStock[RM_Code],$A49,T_TTAFStock[WeekIndex],79)&gt;0)&gt;0,SUMIFS(T_SelfStock[Self_Qty],T_SelfStock[RM_Code],$A49,T_SelfStock[WeekIndex],79)+SUMIFS(T_TTAFStock[TTAF_Qty],T_TTAFStock[RM_Code],$A49,T_TTAFStock[WeekIndex],79),CA49+'Grid_Incoming'!CB49-'Grid_Requirement'!CB49))</f>
        <v/>
      </c>
      <c r="CC49">
        <f>IF(COUNTIFS(T_StockCount[RM_Code],$A49,T_StockCount[WeekIndex],80)&gt;0,SUMIFS(T_StockCount[CountedQty],T_StockCount[RM_Code],$A49,T_StockCount[WeekIndex],80),IF((COUNTIFS(T_SelfStock[RM_Code],$A49,T_SelfStock[WeekIndex],80)&gt;0)*(COUNTIFS(T_TTAFStock[RM_Code],$A49,T_TTAFStock[WeekIndex],80)&gt;0)&gt;0,SUMIFS(T_SelfStock[Self_Qty],T_SelfStock[RM_Code],$A49,T_SelfStock[WeekIndex],80)+SUMIFS(T_TTAFStock[TTAF_Qty],T_TTAFStock[RM_Code],$A49,T_TTAFStock[WeekIndex],80),CB49+'Grid_Incoming'!CC49-'Grid_Requirement'!CC49))</f>
        <v/>
      </c>
      <c r="CD49">
        <f>IF(COUNTIFS(T_StockCount[RM_Code],$A49,T_StockCount[WeekIndex],81)&gt;0,SUMIFS(T_StockCount[CountedQty],T_StockCount[RM_Code],$A49,T_StockCount[WeekIndex],81),IF((COUNTIFS(T_SelfStock[RM_Code],$A49,T_SelfStock[WeekIndex],81)&gt;0)*(COUNTIFS(T_TTAFStock[RM_Code],$A49,T_TTAFStock[WeekIndex],81)&gt;0)&gt;0,SUMIFS(T_SelfStock[Self_Qty],T_SelfStock[RM_Code],$A49,T_SelfStock[WeekIndex],81)+SUMIFS(T_TTAFStock[TTAF_Qty],T_TTAFStock[RM_Code],$A49,T_TTAFStock[WeekIndex],81),CC49+'Grid_Incoming'!CD49-'Grid_Requirement'!CD49))</f>
        <v/>
      </c>
      <c r="CE49">
        <f>IF(COUNTIFS(T_StockCount[RM_Code],$A49,T_StockCount[WeekIndex],82)&gt;0,SUMIFS(T_StockCount[CountedQty],T_StockCount[RM_Code],$A49,T_StockCount[WeekIndex],82),IF((COUNTIFS(T_SelfStock[RM_Code],$A49,T_SelfStock[WeekIndex],82)&gt;0)*(COUNTIFS(T_TTAFStock[RM_Code],$A49,T_TTAFStock[WeekIndex],82)&gt;0)&gt;0,SUMIFS(T_SelfStock[Self_Qty],T_SelfStock[RM_Code],$A49,T_SelfStock[WeekIndex],82)+SUMIFS(T_TTAFStock[TTAF_Qty],T_TTAFStock[RM_Code],$A49,T_TTAFStock[WeekIndex],82),CD49+'Grid_Incoming'!CE49-'Grid_Requirement'!CE49))</f>
        <v/>
      </c>
      <c r="CF49">
        <f>IF(COUNTIFS(T_StockCount[RM_Code],$A49,T_StockCount[WeekIndex],83)&gt;0,SUMIFS(T_StockCount[CountedQty],T_StockCount[RM_Code],$A49,T_StockCount[WeekIndex],83),IF((COUNTIFS(T_SelfStock[RM_Code],$A49,T_SelfStock[WeekIndex],83)&gt;0)*(COUNTIFS(T_TTAFStock[RM_Code],$A49,T_TTAFStock[WeekIndex],83)&gt;0)&gt;0,SUMIFS(T_SelfStock[Self_Qty],T_SelfStock[RM_Code],$A49,T_SelfStock[WeekIndex],83)+SUMIFS(T_TTAFStock[TTAF_Qty],T_TTAFStock[RM_Code],$A49,T_TTAFStock[WeekIndex],83),CE49+'Grid_Incoming'!CF49-'Grid_Requirement'!CF49))</f>
        <v/>
      </c>
      <c r="CG49">
        <f>IF(COUNTIFS(T_StockCount[RM_Code],$A49,T_StockCount[WeekIndex],84)&gt;0,SUMIFS(T_StockCount[CountedQty],T_StockCount[RM_Code],$A49,T_StockCount[WeekIndex],84),IF((COUNTIFS(T_SelfStock[RM_Code],$A49,T_SelfStock[WeekIndex],84)&gt;0)*(COUNTIFS(T_TTAFStock[RM_Code],$A49,T_TTAFStock[WeekIndex],84)&gt;0)&gt;0,SUMIFS(T_SelfStock[Self_Qty],T_SelfStock[RM_Code],$A49,T_SelfStock[WeekIndex],84)+SUMIFS(T_TTAFStock[TTAF_Qty],T_TTAFStock[RM_Code],$A49,T_TTAFStock[WeekIndex],84),CF49+'Grid_Incoming'!CG49-'Grid_Requirement'!CG49))</f>
        <v/>
      </c>
      <c r="CH49">
        <f>IF(COUNTIFS(T_StockCount[RM_Code],$A49,T_StockCount[WeekIndex],85)&gt;0,SUMIFS(T_StockCount[CountedQty],T_StockCount[RM_Code],$A49,T_StockCount[WeekIndex],85),IF((COUNTIFS(T_SelfStock[RM_Code],$A49,T_SelfStock[WeekIndex],85)&gt;0)*(COUNTIFS(T_TTAFStock[RM_Code],$A49,T_TTAFStock[WeekIndex],85)&gt;0)&gt;0,SUMIFS(T_SelfStock[Self_Qty],T_SelfStock[RM_Code],$A49,T_SelfStock[WeekIndex],85)+SUMIFS(T_TTAFStock[TTAF_Qty],T_TTAFStock[RM_Code],$A49,T_TTAFStock[WeekIndex],85),CG49+'Grid_Incoming'!CH49-'Grid_Requirement'!CH49))</f>
        <v/>
      </c>
      <c r="CI49">
        <f>IF(COUNTIFS(T_StockCount[RM_Code],$A49,T_StockCount[WeekIndex],86)&gt;0,SUMIFS(T_StockCount[CountedQty],T_StockCount[RM_Code],$A49,T_StockCount[WeekIndex],86),IF((COUNTIFS(T_SelfStock[RM_Code],$A49,T_SelfStock[WeekIndex],86)&gt;0)*(COUNTIFS(T_TTAFStock[RM_Code],$A49,T_TTAFStock[WeekIndex],86)&gt;0)&gt;0,SUMIFS(T_SelfStock[Self_Qty],T_SelfStock[RM_Code],$A49,T_SelfStock[WeekIndex],86)+SUMIFS(T_TTAFStock[TTAF_Qty],T_TTAFStock[RM_Code],$A49,T_TTAFStock[WeekIndex],86),CH49+'Grid_Incoming'!CI49-'Grid_Requirement'!CI49))</f>
        <v/>
      </c>
      <c r="CJ49">
        <f>IF(COUNTIFS(T_StockCount[RM_Code],$A49,T_StockCount[WeekIndex],87)&gt;0,SUMIFS(T_StockCount[CountedQty],T_StockCount[RM_Code],$A49,T_StockCount[WeekIndex],87),IF((COUNTIFS(T_SelfStock[RM_Code],$A49,T_SelfStock[WeekIndex],87)&gt;0)*(COUNTIFS(T_TTAFStock[RM_Code],$A49,T_TTAFStock[WeekIndex],87)&gt;0)&gt;0,SUMIFS(T_SelfStock[Self_Qty],T_SelfStock[RM_Code],$A49,T_SelfStock[WeekIndex],87)+SUMIFS(T_TTAFStock[TTAF_Qty],T_TTAFStock[RM_Code],$A49,T_TTAFStock[WeekIndex],87),CI49+'Grid_Incoming'!CJ49-'Grid_Requirement'!CJ49))</f>
        <v/>
      </c>
      <c r="CK49">
        <f>IF(COUNTIFS(T_StockCount[RM_Code],$A49,T_StockCount[WeekIndex],88)&gt;0,SUMIFS(T_StockCount[CountedQty],T_StockCount[RM_Code],$A49,T_StockCount[WeekIndex],88),IF((COUNTIFS(T_SelfStock[RM_Code],$A49,T_SelfStock[WeekIndex],88)&gt;0)*(COUNTIFS(T_TTAFStock[RM_Code],$A49,T_TTAFStock[WeekIndex],88)&gt;0)&gt;0,SUMIFS(T_SelfStock[Self_Qty],T_SelfStock[RM_Code],$A49,T_SelfStock[WeekIndex],88)+SUMIFS(T_TTAFStock[TTAF_Qty],T_TTAFStock[RM_Code],$A49,T_TTAFStock[WeekIndex],88),CJ49+'Grid_Incoming'!CK49-'Grid_Requirement'!CK49))</f>
        <v/>
      </c>
      <c r="CL49">
        <f>IF(COUNTIFS(T_StockCount[RM_Code],$A49,T_StockCount[WeekIndex],89)&gt;0,SUMIFS(T_StockCount[CountedQty],T_StockCount[RM_Code],$A49,T_StockCount[WeekIndex],89),IF((COUNTIFS(T_SelfStock[RM_Code],$A49,T_SelfStock[WeekIndex],89)&gt;0)*(COUNTIFS(T_TTAFStock[RM_Code],$A49,T_TTAFStock[WeekIndex],89)&gt;0)&gt;0,SUMIFS(T_SelfStock[Self_Qty],T_SelfStock[RM_Code],$A49,T_SelfStock[WeekIndex],89)+SUMIFS(T_TTAFStock[TTAF_Qty],T_TTAFStock[RM_Code],$A49,T_TTAFStock[WeekIndex],89),CK49+'Grid_Incoming'!CL49-'Grid_Requirement'!CL49))</f>
        <v/>
      </c>
      <c r="CM49">
        <f>IF(COUNTIFS(T_StockCount[RM_Code],$A49,T_StockCount[WeekIndex],90)&gt;0,SUMIFS(T_StockCount[CountedQty],T_StockCount[RM_Code],$A49,T_StockCount[WeekIndex],90),IF((COUNTIFS(T_SelfStock[RM_Code],$A49,T_SelfStock[WeekIndex],90)&gt;0)*(COUNTIFS(T_TTAFStock[RM_Code],$A49,T_TTAFStock[WeekIndex],90)&gt;0)&gt;0,SUMIFS(T_SelfStock[Self_Qty],T_SelfStock[RM_Code],$A49,T_SelfStock[WeekIndex],90)+SUMIFS(T_TTAFStock[TTAF_Qty],T_TTAFStock[RM_Code],$A49,T_TTAFStock[WeekIndex],90),CL49+'Grid_Incoming'!CM49-'Grid_Requirement'!CM49))</f>
        <v/>
      </c>
      <c r="CN49">
        <f>IF(COUNTIFS(T_StockCount[RM_Code],$A49,T_StockCount[WeekIndex],91)&gt;0,SUMIFS(T_StockCount[CountedQty],T_StockCount[RM_Code],$A49,T_StockCount[WeekIndex],91),IF((COUNTIFS(T_SelfStock[RM_Code],$A49,T_SelfStock[WeekIndex],91)&gt;0)*(COUNTIFS(T_TTAFStock[RM_Code],$A49,T_TTAFStock[WeekIndex],91)&gt;0)&gt;0,SUMIFS(T_SelfStock[Self_Qty],T_SelfStock[RM_Code],$A49,T_SelfStock[WeekIndex],91)+SUMIFS(T_TTAFStock[TTAF_Qty],T_TTAFStock[RM_Code],$A49,T_TTAFStock[WeekIndex],91),CM49+'Grid_Incoming'!CN49-'Grid_Requirement'!CN49))</f>
        <v/>
      </c>
      <c r="CO49">
        <f>IF(COUNTIFS(T_StockCount[RM_Code],$A49,T_StockCount[WeekIndex],92)&gt;0,SUMIFS(T_StockCount[CountedQty],T_StockCount[RM_Code],$A49,T_StockCount[WeekIndex],92),IF((COUNTIFS(T_SelfStock[RM_Code],$A49,T_SelfStock[WeekIndex],92)&gt;0)*(COUNTIFS(T_TTAFStock[RM_Code],$A49,T_TTAFStock[WeekIndex],92)&gt;0)&gt;0,SUMIFS(T_SelfStock[Self_Qty],T_SelfStock[RM_Code],$A49,T_SelfStock[WeekIndex],92)+SUMIFS(T_TTAFStock[TTAF_Qty],T_TTAFStock[RM_Code],$A49,T_TTAFStock[WeekIndex],92),CN49+'Grid_Incoming'!CO49-'Grid_Requirement'!CO49))</f>
        <v/>
      </c>
      <c r="CP49">
        <f>IF(COUNTIFS(T_StockCount[RM_Code],$A49,T_StockCount[WeekIndex],93)&gt;0,SUMIFS(T_StockCount[CountedQty],T_StockCount[RM_Code],$A49,T_StockCount[WeekIndex],93),IF((COUNTIFS(T_SelfStock[RM_Code],$A49,T_SelfStock[WeekIndex],93)&gt;0)*(COUNTIFS(T_TTAFStock[RM_Code],$A49,T_TTAFStock[WeekIndex],93)&gt;0)&gt;0,SUMIFS(T_SelfStock[Self_Qty],T_SelfStock[RM_Code],$A49,T_SelfStock[WeekIndex],93)+SUMIFS(T_TTAFStock[TTAF_Qty],T_TTAFStock[RM_Code],$A49,T_TTAFStock[WeekIndex],93),CO49+'Grid_Incoming'!CP49-'Grid_Requirement'!CP49))</f>
        <v/>
      </c>
      <c r="CQ49">
        <f>IF(COUNTIFS(T_StockCount[RM_Code],$A49,T_StockCount[WeekIndex],94)&gt;0,SUMIFS(T_StockCount[CountedQty],T_StockCount[RM_Code],$A49,T_StockCount[WeekIndex],94),IF((COUNTIFS(T_SelfStock[RM_Code],$A49,T_SelfStock[WeekIndex],94)&gt;0)*(COUNTIFS(T_TTAFStock[RM_Code],$A49,T_TTAFStock[WeekIndex],94)&gt;0)&gt;0,SUMIFS(T_SelfStock[Self_Qty],T_SelfStock[RM_Code],$A49,T_SelfStock[WeekIndex],94)+SUMIFS(T_TTAFStock[TTAF_Qty],T_TTAFStock[RM_Code],$A49,T_TTAFStock[WeekIndex],94),CP49+'Grid_Incoming'!CQ49-'Grid_Requirement'!CQ49))</f>
        <v/>
      </c>
      <c r="CR49">
        <f>IF(COUNTIFS(T_StockCount[RM_Code],$A49,T_StockCount[WeekIndex],95)&gt;0,SUMIFS(T_StockCount[CountedQty],T_StockCount[RM_Code],$A49,T_StockCount[WeekIndex],95),IF((COUNTIFS(T_SelfStock[RM_Code],$A49,T_SelfStock[WeekIndex],95)&gt;0)*(COUNTIFS(T_TTAFStock[RM_Code],$A49,T_TTAFStock[WeekIndex],95)&gt;0)&gt;0,SUMIFS(T_SelfStock[Self_Qty],T_SelfStock[RM_Code],$A49,T_SelfStock[WeekIndex],95)+SUMIFS(T_TTAFStock[TTAF_Qty],T_TTAFStock[RM_Code],$A49,T_TTAFStock[WeekIndex],95),CQ49+'Grid_Incoming'!CR49-'Grid_Requirement'!CR49))</f>
        <v/>
      </c>
      <c r="CS49">
        <f>IF(COUNTIFS(T_StockCount[RM_Code],$A49,T_StockCount[WeekIndex],96)&gt;0,SUMIFS(T_StockCount[CountedQty],T_StockCount[RM_Code],$A49,T_StockCount[WeekIndex],96),IF((COUNTIFS(T_SelfStock[RM_Code],$A49,T_SelfStock[WeekIndex],96)&gt;0)*(COUNTIFS(T_TTAFStock[RM_Code],$A49,T_TTAFStock[WeekIndex],96)&gt;0)&gt;0,SUMIFS(T_SelfStock[Self_Qty],T_SelfStock[RM_Code],$A49,T_SelfStock[WeekIndex],96)+SUMIFS(T_TTAFStock[TTAF_Qty],T_TTAFStock[RM_Code],$A49,T_TTAFStock[WeekIndex],96),CR49+'Grid_Incoming'!CS49-'Grid_Requirement'!CS49))</f>
        <v/>
      </c>
      <c r="CT49">
        <f>IF(COUNTIFS(T_StockCount[RM_Code],$A49,T_StockCount[WeekIndex],97)&gt;0,SUMIFS(T_StockCount[CountedQty],T_StockCount[RM_Code],$A49,T_StockCount[WeekIndex],97),IF((COUNTIFS(T_SelfStock[RM_Code],$A49,T_SelfStock[WeekIndex],97)&gt;0)*(COUNTIFS(T_TTAFStock[RM_Code],$A49,T_TTAFStock[WeekIndex],97)&gt;0)&gt;0,SUMIFS(T_SelfStock[Self_Qty],T_SelfStock[RM_Code],$A49,T_SelfStock[WeekIndex],97)+SUMIFS(T_TTAFStock[TTAF_Qty],T_TTAFStock[RM_Code],$A49,T_TTAFStock[WeekIndex],97),CS49+'Grid_Incoming'!CT49-'Grid_Requirement'!CT49))</f>
        <v/>
      </c>
      <c r="CU49">
        <f>IF(COUNTIFS(T_StockCount[RM_Code],$A49,T_StockCount[WeekIndex],98)&gt;0,SUMIFS(T_StockCount[CountedQty],T_StockCount[RM_Code],$A49,T_StockCount[WeekIndex],98),IF((COUNTIFS(T_SelfStock[RM_Code],$A49,T_SelfStock[WeekIndex],98)&gt;0)*(COUNTIFS(T_TTAFStock[RM_Code],$A49,T_TTAFStock[WeekIndex],98)&gt;0)&gt;0,SUMIFS(T_SelfStock[Self_Qty],T_SelfStock[RM_Code],$A49,T_SelfStock[WeekIndex],98)+SUMIFS(T_TTAFStock[TTAF_Qty],T_TTAFStock[RM_Code],$A49,T_TTAFStock[WeekIndex],98),CT49+'Grid_Incoming'!CU49-'Grid_Requirement'!CU49))</f>
        <v/>
      </c>
      <c r="CV49">
        <f>IF(COUNTIFS(T_StockCount[RM_Code],$A49,T_StockCount[WeekIndex],99)&gt;0,SUMIFS(T_StockCount[CountedQty],T_StockCount[RM_Code],$A49,T_StockCount[WeekIndex],99),IF((COUNTIFS(T_SelfStock[RM_Code],$A49,T_SelfStock[WeekIndex],99)&gt;0)*(COUNTIFS(T_TTAFStock[RM_Code],$A49,T_TTAFStock[WeekIndex],99)&gt;0)&gt;0,SUMIFS(T_SelfStock[Self_Qty],T_SelfStock[RM_Code],$A49,T_SelfStock[WeekIndex],99)+SUMIFS(T_TTAFStock[TTAF_Qty],T_TTAFStock[RM_Code],$A49,T_TTAFStock[WeekIndex],99),CU49+'Grid_Incoming'!CV49-'Grid_Requirement'!CV49))</f>
        <v/>
      </c>
      <c r="CW49">
        <f>IF(COUNTIFS(T_StockCount[RM_Code],$A49,T_StockCount[WeekIndex],100)&gt;0,SUMIFS(T_StockCount[CountedQty],T_StockCount[RM_Code],$A49,T_StockCount[WeekIndex],100),IF((COUNTIFS(T_SelfStock[RM_Code],$A49,T_SelfStock[WeekIndex],100)&gt;0)*(COUNTIFS(T_TTAFStock[RM_Code],$A49,T_TTAFStock[WeekIndex],100)&gt;0)&gt;0,SUMIFS(T_SelfStock[Self_Qty],T_SelfStock[RM_Code],$A49,T_SelfStock[WeekIndex],100)+SUMIFS(T_TTAFStock[TTAF_Qty],T_TTAFStock[RM_Code],$A49,T_TTAFStock[WeekIndex],100),CV49+'Grid_Incoming'!CW49-'Grid_Requirement'!CW49))</f>
        <v/>
      </c>
      <c r="CX49">
        <f>IF(COUNTIFS(T_StockCount[RM_Code],$A49,T_StockCount[WeekIndex],101)&gt;0,SUMIFS(T_StockCount[CountedQty],T_StockCount[RM_Code],$A49,T_StockCount[WeekIndex],101),IF((COUNTIFS(T_SelfStock[RM_Code],$A49,T_SelfStock[WeekIndex],101)&gt;0)*(COUNTIFS(T_TTAFStock[RM_Code],$A49,T_TTAFStock[WeekIndex],101)&gt;0)&gt;0,SUMIFS(T_SelfStock[Self_Qty],T_SelfStock[RM_Code],$A49,T_SelfStock[WeekIndex],101)+SUMIFS(T_TTAFStock[TTAF_Qty],T_TTAFStock[RM_Code],$A49,T_TTAFStock[WeekIndex],101),CW49+'Grid_Incoming'!CX49-'Grid_Requirement'!CX49))</f>
        <v/>
      </c>
      <c r="CY49">
        <f>IF(COUNTIFS(T_StockCount[RM_Code],$A49,T_StockCount[WeekIndex],102)&gt;0,SUMIFS(T_StockCount[CountedQty],T_StockCount[RM_Code],$A49,T_StockCount[WeekIndex],102),IF((COUNTIFS(T_SelfStock[RM_Code],$A49,T_SelfStock[WeekIndex],102)&gt;0)*(COUNTIFS(T_TTAFStock[RM_Code],$A49,T_TTAFStock[WeekIndex],102)&gt;0)&gt;0,SUMIFS(T_SelfStock[Self_Qty],T_SelfStock[RM_Code],$A49,T_SelfStock[WeekIndex],102)+SUMIFS(T_TTAFStock[TTAF_Qty],T_TTAFStock[RM_Code],$A49,T_TTAFStock[WeekIndex],102),CX49+'Grid_Incoming'!CY49-'Grid_Requirement'!CY49))</f>
        <v/>
      </c>
      <c r="CZ49">
        <f>IF(COUNTIFS(T_StockCount[RM_Code],$A49,T_StockCount[WeekIndex],103)&gt;0,SUMIFS(T_StockCount[CountedQty],T_StockCount[RM_Code],$A49,T_StockCount[WeekIndex],103),IF((COUNTIFS(T_SelfStock[RM_Code],$A49,T_SelfStock[WeekIndex],103)&gt;0)*(COUNTIFS(T_TTAFStock[RM_Code],$A49,T_TTAFStock[WeekIndex],103)&gt;0)&gt;0,SUMIFS(T_SelfStock[Self_Qty],T_SelfStock[RM_Code],$A49,T_SelfStock[WeekIndex],103)+SUMIFS(T_TTAFStock[TTAF_Qty],T_TTAFStock[RM_Code],$A49,T_TTAFStock[WeekIndex],103),CY49+'Grid_Incoming'!CZ49-'Grid_Requirement'!CZ49))</f>
        <v/>
      </c>
      <c r="DA49">
        <f>IF(COUNTIFS(T_StockCount[RM_Code],$A49,T_StockCount[WeekIndex],104)&gt;0,SUMIFS(T_StockCount[CountedQty],T_StockCount[RM_Code],$A49,T_StockCount[WeekIndex],104),IF((COUNTIFS(T_SelfStock[RM_Code],$A49,T_SelfStock[WeekIndex],104)&gt;0)*(COUNTIFS(T_TTAFStock[RM_Code],$A49,T_TTAFStock[WeekIndex],104)&gt;0)&gt;0,SUMIFS(T_SelfStock[Self_Qty],T_SelfStock[RM_Code],$A49,T_SelfStock[WeekIndex],104)+SUMIFS(T_TTAFStock[TTAF_Qty],T_TTAFStock[RM_Code],$A49,T_TTAFStock[WeekIndex],104),CZ49+'Grid_Incoming'!DA49-'Grid_Requirement'!DA49))</f>
        <v/>
      </c>
    </row>
    <row r="50">
      <c r="A50" t="inlineStr">
        <is>
          <t>CHEM-1480</t>
        </is>
      </c>
      <c r="B50">
        <f>IF(COUNTIFS(T_StockCount[RM_Code],$A50,T_StockCount[WeekIndex],1)&gt;0,SUMIFS(T_StockCount[CountedQty],T_StockCount[RM_Code],$A50,T_StockCount[WeekIndex],1),IF((COUNTIFS(T_SelfStock[RM_Code],$A50,T_SelfStock[WeekIndex],1)&gt;0)*(COUNTIFS(T_TTAFStock[RM_Code],$A50,T_TTAFStock[WeekIndex],1)&gt;0)&gt;0,SUMIFS(T_SelfStock[Self_Qty],T_SelfStock[RM_Code],$A50,T_SelfStock[WeekIndex],1)+SUMIFS(T_TTAFStock[TTAF_Qty],T_TTAFStock[RM_Code],$A50,T_TTAFStock[WeekIndex],1),IFERROR(INDEX(T_OpeningStock[Opening_Qty],MATCH($A50,T_OpeningStock[RM_Code],0)),0)+'Grid_Incoming'!B50-'Grid_Requirement'!B50))</f>
        <v/>
      </c>
      <c r="C50">
        <f>IF(COUNTIFS(T_StockCount[RM_Code],$A50,T_StockCount[WeekIndex],2)&gt;0,SUMIFS(T_StockCount[CountedQty],T_StockCount[RM_Code],$A50,T_StockCount[WeekIndex],2),IF((COUNTIFS(T_SelfStock[RM_Code],$A50,T_SelfStock[WeekIndex],2)&gt;0)*(COUNTIFS(T_TTAFStock[RM_Code],$A50,T_TTAFStock[WeekIndex],2)&gt;0)&gt;0,SUMIFS(T_SelfStock[Self_Qty],T_SelfStock[RM_Code],$A50,T_SelfStock[WeekIndex],2)+SUMIFS(T_TTAFStock[TTAF_Qty],T_TTAFStock[RM_Code],$A50,T_TTAFStock[WeekIndex],2),B50+'Grid_Incoming'!C50-'Grid_Requirement'!C50))</f>
        <v/>
      </c>
      <c r="D50">
        <f>IF(COUNTIFS(T_StockCount[RM_Code],$A50,T_StockCount[WeekIndex],3)&gt;0,SUMIFS(T_StockCount[CountedQty],T_StockCount[RM_Code],$A50,T_StockCount[WeekIndex],3),IF((COUNTIFS(T_SelfStock[RM_Code],$A50,T_SelfStock[WeekIndex],3)&gt;0)*(COUNTIFS(T_TTAFStock[RM_Code],$A50,T_TTAFStock[WeekIndex],3)&gt;0)&gt;0,SUMIFS(T_SelfStock[Self_Qty],T_SelfStock[RM_Code],$A50,T_SelfStock[WeekIndex],3)+SUMIFS(T_TTAFStock[TTAF_Qty],T_TTAFStock[RM_Code],$A50,T_TTAFStock[WeekIndex],3),C50+'Grid_Incoming'!D50-'Grid_Requirement'!D50))</f>
        <v/>
      </c>
      <c r="E50">
        <f>IF(COUNTIFS(T_StockCount[RM_Code],$A50,T_StockCount[WeekIndex],4)&gt;0,SUMIFS(T_StockCount[CountedQty],T_StockCount[RM_Code],$A50,T_StockCount[WeekIndex],4),IF((COUNTIFS(T_SelfStock[RM_Code],$A50,T_SelfStock[WeekIndex],4)&gt;0)*(COUNTIFS(T_TTAFStock[RM_Code],$A50,T_TTAFStock[WeekIndex],4)&gt;0)&gt;0,SUMIFS(T_SelfStock[Self_Qty],T_SelfStock[RM_Code],$A50,T_SelfStock[WeekIndex],4)+SUMIFS(T_TTAFStock[TTAF_Qty],T_TTAFStock[RM_Code],$A50,T_TTAFStock[WeekIndex],4),D50+'Grid_Incoming'!E50-'Grid_Requirement'!E50))</f>
        <v/>
      </c>
      <c r="F50">
        <f>IF(COUNTIFS(T_StockCount[RM_Code],$A50,T_StockCount[WeekIndex],5)&gt;0,SUMIFS(T_StockCount[CountedQty],T_StockCount[RM_Code],$A50,T_StockCount[WeekIndex],5),IF((COUNTIFS(T_SelfStock[RM_Code],$A50,T_SelfStock[WeekIndex],5)&gt;0)*(COUNTIFS(T_TTAFStock[RM_Code],$A50,T_TTAFStock[WeekIndex],5)&gt;0)&gt;0,SUMIFS(T_SelfStock[Self_Qty],T_SelfStock[RM_Code],$A50,T_SelfStock[WeekIndex],5)+SUMIFS(T_TTAFStock[TTAF_Qty],T_TTAFStock[RM_Code],$A50,T_TTAFStock[WeekIndex],5),E50+'Grid_Incoming'!F50-'Grid_Requirement'!F50))</f>
        <v/>
      </c>
      <c r="G50">
        <f>IF(COUNTIFS(T_StockCount[RM_Code],$A50,T_StockCount[WeekIndex],6)&gt;0,SUMIFS(T_StockCount[CountedQty],T_StockCount[RM_Code],$A50,T_StockCount[WeekIndex],6),IF((COUNTIFS(T_SelfStock[RM_Code],$A50,T_SelfStock[WeekIndex],6)&gt;0)*(COUNTIFS(T_TTAFStock[RM_Code],$A50,T_TTAFStock[WeekIndex],6)&gt;0)&gt;0,SUMIFS(T_SelfStock[Self_Qty],T_SelfStock[RM_Code],$A50,T_SelfStock[WeekIndex],6)+SUMIFS(T_TTAFStock[TTAF_Qty],T_TTAFStock[RM_Code],$A50,T_TTAFStock[WeekIndex],6),F50+'Grid_Incoming'!G50-'Grid_Requirement'!G50))</f>
        <v/>
      </c>
      <c r="H50">
        <f>IF(COUNTIFS(T_StockCount[RM_Code],$A50,T_StockCount[WeekIndex],7)&gt;0,SUMIFS(T_StockCount[CountedQty],T_StockCount[RM_Code],$A50,T_StockCount[WeekIndex],7),IF((COUNTIFS(T_SelfStock[RM_Code],$A50,T_SelfStock[WeekIndex],7)&gt;0)*(COUNTIFS(T_TTAFStock[RM_Code],$A50,T_TTAFStock[WeekIndex],7)&gt;0)&gt;0,SUMIFS(T_SelfStock[Self_Qty],T_SelfStock[RM_Code],$A50,T_SelfStock[WeekIndex],7)+SUMIFS(T_TTAFStock[TTAF_Qty],T_TTAFStock[RM_Code],$A50,T_TTAFStock[WeekIndex],7),G50+'Grid_Incoming'!H50-'Grid_Requirement'!H50))</f>
        <v/>
      </c>
      <c r="I50">
        <f>IF(COUNTIFS(T_StockCount[RM_Code],$A50,T_StockCount[WeekIndex],8)&gt;0,SUMIFS(T_StockCount[CountedQty],T_StockCount[RM_Code],$A50,T_StockCount[WeekIndex],8),IF((COUNTIFS(T_SelfStock[RM_Code],$A50,T_SelfStock[WeekIndex],8)&gt;0)*(COUNTIFS(T_TTAFStock[RM_Code],$A50,T_TTAFStock[WeekIndex],8)&gt;0)&gt;0,SUMIFS(T_SelfStock[Self_Qty],T_SelfStock[RM_Code],$A50,T_SelfStock[WeekIndex],8)+SUMIFS(T_TTAFStock[TTAF_Qty],T_TTAFStock[RM_Code],$A50,T_TTAFStock[WeekIndex],8),H50+'Grid_Incoming'!I50-'Grid_Requirement'!I50))</f>
        <v/>
      </c>
      <c r="J50">
        <f>IF(COUNTIFS(T_StockCount[RM_Code],$A50,T_StockCount[WeekIndex],9)&gt;0,SUMIFS(T_StockCount[CountedQty],T_StockCount[RM_Code],$A50,T_StockCount[WeekIndex],9),IF((COUNTIFS(T_SelfStock[RM_Code],$A50,T_SelfStock[WeekIndex],9)&gt;0)*(COUNTIFS(T_TTAFStock[RM_Code],$A50,T_TTAFStock[WeekIndex],9)&gt;0)&gt;0,SUMIFS(T_SelfStock[Self_Qty],T_SelfStock[RM_Code],$A50,T_SelfStock[WeekIndex],9)+SUMIFS(T_TTAFStock[TTAF_Qty],T_TTAFStock[RM_Code],$A50,T_TTAFStock[WeekIndex],9),I50+'Grid_Incoming'!J50-'Grid_Requirement'!J50))</f>
        <v/>
      </c>
      <c r="K50">
        <f>IF(COUNTIFS(T_StockCount[RM_Code],$A50,T_StockCount[WeekIndex],10)&gt;0,SUMIFS(T_StockCount[CountedQty],T_StockCount[RM_Code],$A50,T_StockCount[WeekIndex],10),IF((COUNTIFS(T_SelfStock[RM_Code],$A50,T_SelfStock[WeekIndex],10)&gt;0)*(COUNTIFS(T_TTAFStock[RM_Code],$A50,T_TTAFStock[WeekIndex],10)&gt;0)&gt;0,SUMIFS(T_SelfStock[Self_Qty],T_SelfStock[RM_Code],$A50,T_SelfStock[WeekIndex],10)+SUMIFS(T_TTAFStock[TTAF_Qty],T_TTAFStock[RM_Code],$A50,T_TTAFStock[WeekIndex],10),J50+'Grid_Incoming'!K50-'Grid_Requirement'!K50))</f>
        <v/>
      </c>
      <c r="L50">
        <f>IF(COUNTIFS(T_StockCount[RM_Code],$A50,T_StockCount[WeekIndex],11)&gt;0,SUMIFS(T_StockCount[CountedQty],T_StockCount[RM_Code],$A50,T_StockCount[WeekIndex],11),IF((COUNTIFS(T_SelfStock[RM_Code],$A50,T_SelfStock[WeekIndex],11)&gt;0)*(COUNTIFS(T_TTAFStock[RM_Code],$A50,T_TTAFStock[WeekIndex],11)&gt;0)&gt;0,SUMIFS(T_SelfStock[Self_Qty],T_SelfStock[RM_Code],$A50,T_SelfStock[WeekIndex],11)+SUMIFS(T_TTAFStock[TTAF_Qty],T_TTAFStock[RM_Code],$A50,T_TTAFStock[WeekIndex],11),K50+'Grid_Incoming'!L50-'Grid_Requirement'!L50))</f>
        <v/>
      </c>
      <c r="M50">
        <f>IF(COUNTIFS(T_StockCount[RM_Code],$A50,T_StockCount[WeekIndex],12)&gt;0,SUMIFS(T_StockCount[CountedQty],T_StockCount[RM_Code],$A50,T_StockCount[WeekIndex],12),IF((COUNTIFS(T_SelfStock[RM_Code],$A50,T_SelfStock[WeekIndex],12)&gt;0)*(COUNTIFS(T_TTAFStock[RM_Code],$A50,T_TTAFStock[WeekIndex],12)&gt;0)&gt;0,SUMIFS(T_SelfStock[Self_Qty],T_SelfStock[RM_Code],$A50,T_SelfStock[WeekIndex],12)+SUMIFS(T_TTAFStock[TTAF_Qty],T_TTAFStock[RM_Code],$A50,T_TTAFStock[WeekIndex],12),L50+'Grid_Incoming'!M50-'Grid_Requirement'!M50))</f>
        <v/>
      </c>
      <c r="N50">
        <f>IF(COUNTIFS(T_StockCount[RM_Code],$A50,T_StockCount[WeekIndex],13)&gt;0,SUMIFS(T_StockCount[CountedQty],T_StockCount[RM_Code],$A50,T_StockCount[WeekIndex],13),IF((COUNTIFS(T_SelfStock[RM_Code],$A50,T_SelfStock[WeekIndex],13)&gt;0)*(COUNTIFS(T_TTAFStock[RM_Code],$A50,T_TTAFStock[WeekIndex],13)&gt;0)&gt;0,SUMIFS(T_SelfStock[Self_Qty],T_SelfStock[RM_Code],$A50,T_SelfStock[WeekIndex],13)+SUMIFS(T_TTAFStock[TTAF_Qty],T_TTAFStock[RM_Code],$A50,T_TTAFStock[WeekIndex],13),M50+'Grid_Incoming'!N50-'Grid_Requirement'!N50))</f>
        <v/>
      </c>
      <c r="O50">
        <f>IF(COUNTIFS(T_StockCount[RM_Code],$A50,T_StockCount[WeekIndex],14)&gt;0,SUMIFS(T_StockCount[CountedQty],T_StockCount[RM_Code],$A50,T_StockCount[WeekIndex],14),IF((COUNTIFS(T_SelfStock[RM_Code],$A50,T_SelfStock[WeekIndex],14)&gt;0)*(COUNTIFS(T_TTAFStock[RM_Code],$A50,T_TTAFStock[WeekIndex],14)&gt;0)&gt;0,SUMIFS(T_SelfStock[Self_Qty],T_SelfStock[RM_Code],$A50,T_SelfStock[WeekIndex],14)+SUMIFS(T_TTAFStock[TTAF_Qty],T_TTAFStock[RM_Code],$A50,T_TTAFStock[WeekIndex],14),N50+'Grid_Incoming'!O50-'Grid_Requirement'!O50))</f>
        <v/>
      </c>
      <c r="P50">
        <f>IF(COUNTIFS(T_StockCount[RM_Code],$A50,T_StockCount[WeekIndex],15)&gt;0,SUMIFS(T_StockCount[CountedQty],T_StockCount[RM_Code],$A50,T_StockCount[WeekIndex],15),IF((COUNTIFS(T_SelfStock[RM_Code],$A50,T_SelfStock[WeekIndex],15)&gt;0)*(COUNTIFS(T_TTAFStock[RM_Code],$A50,T_TTAFStock[WeekIndex],15)&gt;0)&gt;0,SUMIFS(T_SelfStock[Self_Qty],T_SelfStock[RM_Code],$A50,T_SelfStock[WeekIndex],15)+SUMIFS(T_TTAFStock[TTAF_Qty],T_TTAFStock[RM_Code],$A50,T_TTAFStock[WeekIndex],15),O50+'Grid_Incoming'!P50-'Grid_Requirement'!P50))</f>
        <v/>
      </c>
      <c r="Q50">
        <f>IF(COUNTIFS(T_StockCount[RM_Code],$A50,T_StockCount[WeekIndex],16)&gt;0,SUMIFS(T_StockCount[CountedQty],T_StockCount[RM_Code],$A50,T_StockCount[WeekIndex],16),IF((COUNTIFS(T_SelfStock[RM_Code],$A50,T_SelfStock[WeekIndex],16)&gt;0)*(COUNTIFS(T_TTAFStock[RM_Code],$A50,T_TTAFStock[WeekIndex],16)&gt;0)&gt;0,SUMIFS(T_SelfStock[Self_Qty],T_SelfStock[RM_Code],$A50,T_SelfStock[WeekIndex],16)+SUMIFS(T_TTAFStock[TTAF_Qty],T_TTAFStock[RM_Code],$A50,T_TTAFStock[WeekIndex],16),P50+'Grid_Incoming'!Q50-'Grid_Requirement'!Q50))</f>
        <v/>
      </c>
      <c r="R50">
        <f>IF(COUNTIFS(T_StockCount[RM_Code],$A50,T_StockCount[WeekIndex],17)&gt;0,SUMIFS(T_StockCount[CountedQty],T_StockCount[RM_Code],$A50,T_StockCount[WeekIndex],17),IF((COUNTIFS(T_SelfStock[RM_Code],$A50,T_SelfStock[WeekIndex],17)&gt;0)*(COUNTIFS(T_TTAFStock[RM_Code],$A50,T_TTAFStock[WeekIndex],17)&gt;0)&gt;0,SUMIFS(T_SelfStock[Self_Qty],T_SelfStock[RM_Code],$A50,T_SelfStock[WeekIndex],17)+SUMIFS(T_TTAFStock[TTAF_Qty],T_TTAFStock[RM_Code],$A50,T_TTAFStock[WeekIndex],17),Q50+'Grid_Incoming'!R50-'Grid_Requirement'!R50))</f>
        <v/>
      </c>
      <c r="S50">
        <f>IF(COUNTIFS(T_StockCount[RM_Code],$A50,T_StockCount[WeekIndex],18)&gt;0,SUMIFS(T_StockCount[CountedQty],T_StockCount[RM_Code],$A50,T_StockCount[WeekIndex],18),IF((COUNTIFS(T_SelfStock[RM_Code],$A50,T_SelfStock[WeekIndex],18)&gt;0)*(COUNTIFS(T_TTAFStock[RM_Code],$A50,T_TTAFStock[WeekIndex],18)&gt;0)&gt;0,SUMIFS(T_SelfStock[Self_Qty],T_SelfStock[RM_Code],$A50,T_SelfStock[WeekIndex],18)+SUMIFS(T_TTAFStock[TTAF_Qty],T_TTAFStock[RM_Code],$A50,T_TTAFStock[WeekIndex],18),R50+'Grid_Incoming'!S50-'Grid_Requirement'!S50))</f>
        <v/>
      </c>
      <c r="T50">
        <f>IF(COUNTIFS(T_StockCount[RM_Code],$A50,T_StockCount[WeekIndex],19)&gt;0,SUMIFS(T_StockCount[CountedQty],T_StockCount[RM_Code],$A50,T_StockCount[WeekIndex],19),IF((COUNTIFS(T_SelfStock[RM_Code],$A50,T_SelfStock[WeekIndex],19)&gt;0)*(COUNTIFS(T_TTAFStock[RM_Code],$A50,T_TTAFStock[WeekIndex],19)&gt;0)&gt;0,SUMIFS(T_SelfStock[Self_Qty],T_SelfStock[RM_Code],$A50,T_SelfStock[WeekIndex],19)+SUMIFS(T_TTAFStock[TTAF_Qty],T_TTAFStock[RM_Code],$A50,T_TTAFStock[WeekIndex],19),S50+'Grid_Incoming'!T50-'Grid_Requirement'!T50))</f>
        <v/>
      </c>
      <c r="U50">
        <f>IF(COUNTIFS(T_StockCount[RM_Code],$A50,T_StockCount[WeekIndex],20)&gt;0,SUMIFS(T_StockCount[CountedQty],T_StockCount[RM_Code],$A50,T_StockCount[WeekIndex],20),IF((COUNTIFS(T_SelfStock[RM_Code],$A50,T_SelfStock[WeekIndex],20)&gt;0)*(COUNTIFS(T_TTAFStock[RM_Code],$A50,T_TTAFStock[WeekIndex],20)&gt;0)&gt;0,SUMIFS(T_SelfStock[Self_Qty],T_SelfStock[RM_Code],$A50,T_SelfStock[WeekIndex],20)+SUMIFS(T_TTAFStock[TTAF_Qty],T_TTAFStock[RM_Code],$A50,T_TTAFStock[WeekIndex],20),T50+'Grid_Incoming'!U50-'Grid_Requirement'!U50))</f>
        <v/>
      </c>
      <c r="V50">
        <f>IF(COUNTIFS(T_StockCount[RM_Code],$A50,T_StockCount[WeekIndex],21)&gt;0,SUMIFS(T_StockCount[CountedQty],T_StockCount[RM_Code],$A50,T_StockCount[WeekIndex],21),IF((COUNTIFS(T_SelfStock[RM_Code],$A50,T_SelfStock[WeekIndex],21)&gt;0)*(COUNTIFS(T_TTAFStock[RM_Code],$A50,T_TTAFStock[WeekIndex],21)&gt;0)&gt;0,SUMIFS(T_SelfStock[Self_Qty],T_SelfStock[RM_Code],$A50,T_SelfStock[WeekIndex],21)+SUMIFS(T_TTAFStock[TTAF_Qty],T_TTAFStock[RM_Code],$A50,T_TTAFStock[WeekIndex],21),U50+'Grid_Incoming'!V50-'Grid_Requirement'!V50))</f>
        <v/>
      </c>
      <c r="W50">
        <f>IF(COUNTIFS(T_StockCount[RM_Code],$A50,T_StockCount[WeekIndex],22)&gt;0,SUMIFS(T_StockCount[CountedQty],T_StockCount[RM_Code],$A50,T_StockCount[WeekIndex],22),IF((COUNTIFS(T_SelfStock[RM_Code],$A50,T_SelfStock[WeekIndex],22)&gt;0)*(COUNTIFS(T_TTAFStock[RM_Code],$A50,T_TTAFStock[WeekIndex],22)&gt;0)&gt;0,SUMIFS(T_SelfStock[Self_Qty],T_SelfStock[RM_Code],$A50,T_SelfStock[WeekIndex],22)+SUMIFS(T_TTAFStock[TTAF_Qty],T_TTAFStock[RM_Code],$A50,T_TTAFStock[WeekIndex],22),V50+'Grid_Incoming'!W50-'Grid_Requirement'!W50))</f>
        <v/>
      </c>
      <c r="X50">
        <f>IF(COUNTIFS(T_StockCount[RM_Code],$A50,T_StockCount[WeekIndex],23)&gt;0,SUMIFS(T_StockCount[CountedQty],T_StockCount[RM_Code],$A50,T_StockCount[WeekIndex],23),IF((COUNTIFS(T_SelfStock[RM_Code],$A50,T_SelfStock[WeekIndex],23)&gt;0)*(COUNTIFS(T_TTAFStock[RM_Code],$A50,T_TTAFStock[WeekIndex],23)&gt;0)&gt;0,SUMIFS(T_SelfStock[Self_Qty],T_SelfStock[RM_Code],$A50,T_SelfStock[WeekIndex],23)+SUMIFS(T_TTAFStock[TTAF_Qty],T_TTAFStock[RM_Code],$A50,T_TTAFStock[WeekIndex],23),W50+'Grid_Incoming'!X50-'Grid_Requirement'!X50))</f>
        <v/>
      </c>
      <c r="Y50">
        <f>IF(COUNTIFS(T_StockCount[RM_Code],$A50,T_StockCount[WeekIndex],24)&gt;0,SUMIFS(T_StockCount[CountedQty],T_StockCount[RM_Code],$A50,T_StockCount[WeekIndex],24),IF((COUNTIFS(T_SelfStock[RM_Code],$A50,T_SelfStock[WeekIndex],24)&gt;0)*(COUNTIFS(T_TTAFStock[RM_Code],$A50,T_TTAFStock[WeekIndex],24)&gt;0)&gt;0,SUMIFS(T_SelfStock[Self_Qty],T_SelfStock[RM_Code],$A50,T_SelfStock[WeekIndex],24)+SUMIFS(T_TTAFStock[TTAF_Qty],T_TTAFStock[RM_Code],$A50,T_TTAFStock[WeekIndex],24),X50+'Grid_Incoming'!Y50-'Grid_Requirement'!Y50))</f>
        <v/>
      </c>
      <c r="Z50">
        <f>IF(COUNTIFS(T_StockCount[RM_Code],$A50,T_StockCount[WeekIndex],25)&gt;0,SUMIFS(T_StockCount[CountedQty],T_StockCount[RM_Code],$A50,T_StockCount[WeekIndex],25),IF((COUNTIFS(T_SelfStock[RM_Code],$A50,T_SelfStock[WeekIndex],25)&gt;0)*(COUNTIFS(T_TTAFStock[RM_Code],$A50,T_TTAFStock[WeekIndex],25)&gt;0)&gt;0,SUMIFS(T_SelfStock[Self_Qty],T_SelfStock[RM_Code],$A50,T_SelfStock[WeekIndex],25)+SUMIFS(T_TTAFStock[TTAF_Qty],T_TTAFStock[RM_Code],$A50,T_TTAFStock[WeekIndex],25),Y50+'Grid_Incoming'!Z50-'Grid_Requirement'!Z50))</f>
        <v/>
      </c>
      <c r="AA50">
        <f>IF(COUNTIFS(T_StockCount[RM_Code],$A50,T_StockCount[WeekIndex],26)&gt;0,SUMIFS(T_StockCount[CountedQty],T_StockCount[RM_Code],$A50,T_StockCount[WeekIndex],26),IF((COUNTIFS(T_SelfStock[RM_Code],$A50,T_SelfStock[WeekIndex],26)&gt;0)*(COUNTIFS(T_TTAFStock[RM_Code],$A50,T_TTAFStock[WeekIndex],26)&gt;0)&gt;0,SUMIFS(T_SelfStock[Self_Qty],T_SelfStock[RM_Code],$A50,T_SelfStock[WeekIndex],26)+SUMIFS(T_TTAFStock[TTAF_Qty],T_TTAFStock[RM_Code],$A50,T_TTAFStock[WeekIndex],26),Z50+'Grid_Incoming'!AA50-'Grid_Requirement'!AA50))</f>
        <v/>
      </c>
      <c r="AB50">
        <f>IF(COUNTIFS(T_StockCount[RM_Code],$A50,T_StockCount[WeekIndex],27)&gt;0,SUMIFS(T_StockCount[CountedQty],T_StockCount[RM_Code],$A50,T_StockCount[WeekIndex],27),IF((COUNTIFS(T_SelfStock[RM_Code],$A50,T_SelfStock[WeekIndex],27)&gt;0)*(COUNTIFS(T_TTAFStock[RM_Code],$A50,T_TTAFStock[WeekIndex],27)&gt;0)&gt;0,SUMIFS(T_SelfStock[Self_Qty],T_SelfStock[RM_Code],$A50,T_SelfStock[WeekIndex],27)+SUMIFS(T_TTAFStock[TTAF_Qty],T_TTAFStock[RM_Code],$A50,T_TTAFStock[WeekIndex],27),AA50+'Grid_Incoming'!AB50-'Grid_Requirement'!AB50))</f>
        <v/>
      </c>
      <c r="AC50">
        <f>IF(COUNTIFS(T_StockCount[RM_Code],$A50,T_StockCount[WeekIndex],28)&gt;0,SUMIFS(T_StockCount[CountedQty],T_StockCount[RM_Code],$A50,T_StockCount[WeekIndex],28),IF((COUNTIFS(T_SelfStock[RM_Code],$A50,T_SelfStock[WeekIndex],28)&gt;0)*(COUNTIFS(T_TTAFStock[RM_Code],$A50,T_TTAFStock[WeekIndex],28)&gt;0)&gt;0,SUMIFS(T_SelfStock[Self_Qty],T_SelfStock[RM_Code],$A50,T_SelfStock[WeekIndex],28)+SUMIFS(T_TTAFStock[TTAF_Qty],T_TTAFStock[RM_Code],$A50,T_TTAFStock[WeekIndex],28),AB50+'Grid_Incoming'!AC50-'Grid_Requirement'!AC50))</f>
        <v/>
      </c>
      <c r="AD50">
        <f>IF(COUNTIFS(T_StockCount[RM_Code],$A50,T_StockCount[WeekIndex],29)&gt;0,SUMIFS(T_StockCount[CountedQty],T_StockCount[RM_Code],$A50,T_StockCount[WeekIndex],29),IF((COUNTIFS(T_SelfStock[RM_Code],$A50,T_SelfStock[WeekIndex],29)&gt;0)*(COUNTIFS(T_TTAFStock[RM_Code],$A50,T_TTAFStock[WeekIndex],29)&gt;0)&gt;0,SUMIFS(T_SelfStock[Self_Qty],T_SelfStock[RM_Code],$A50,T_SelfStock[WeekIndex],29)+SUMIFS(T_TTAFStock[TTAF_Qty],T_TTAFStock[RM_Code],$A50,T_TTAFStock[WeekIndex],29),AC50+'Grid_Incoming'!AD50-'Grid_Requirement'!AD50))</f>
        <v/>
      </c>
      <c r="AE50">
        <f>IF(COUNTIFS(T_StockCount[RM_Code],$A50,T_StockCount[WeekIndex],30)&gt;0,SUMIFS(T_StockCount[CountedQty],T_StockCount[RM_Code],$A50,T_StockCount[WeekIndex],30),IF((COUNTIFS(T_SelfStock[RM_Code],$A50,T_SelfStock[WeekIndex],30)&gt;0)*(COUNTIFS(T_TTAFStock[RM_Code],$A50,T_TTAFStock[WeekIndex],30)&gt;0)&gt;0,SUMIFS(T_SelfStock[Self_Qty],T_SelfStock[RM_Code],$A50,T_SelfStock[WeekIndex],30)+SUMIFS(T_TTAFStock[TTAF_Qty],T_TTAFStock[RM_Code],$A50,T_TTAFStock[WeekIndex],30),AD50+'Grid_Incoming'!AE50-'Grid_Requirement'!AE50))</f>
        <v/>
      </c>
      <c r="AF50">
        <f>IF(COUNTIFS(T_StockCount[RM_Code],$A50,T_StockCount[WeekIndex],31)&gt;0,SUMIFS(T_StockCount[CountedQty],T_StockCount[RM_Code],$A50,T_StockCount[WeekIndex],31),IF((COUNTIFS(T_SelfStock[RM_Code],$A50,T_SelfStock[WeekIndex],31)&gt;0)*(COUNTIFS(T_TTAFStock[RM_Code],$A50,T_TTAFStock[WeekIndex],31)&gt;0)&gt;0,SUMIFS(T_SelfStock[Self_Qty],T_SelfStock[RM_Code],$A50,T_SelfStock[WeekIndex],31)+SUMIFS(T_TTAFStock[TTAF_Qty],T_TTAFStock[RM_Code],$A50,T_TTAFStock[WeekIndex],31),AE50+'Grid_Incoming'!AF50-'Grid_Requirement'!AF50))</f>
        <v/>
      </c>
      <c r="AG50">
        <f>IF(COUNTIFS(T_StockCount[RM_Code],$A50,T_StockCount[WeekIndex],32)&gt;0,SUMIFS(T_StockCount[CountedQty],T_StockCount[RM_Code],$A50,T_StockCount[WeekIndex],32),IF((COUNTIFS(T_SelfStock[RM_Code],$A50,T_SelfStock[WeekIndex],32)&gt;0)*(COUNTIFS(T_TTAFStock[RM_Code],$A50,T_TTAFStock[WeekIndex],32)&gt;0)&gt;0,SUMIFS(T_SelfStock[Self_Qty],T_SelfStock[RM_Code],$A50,T_SelfStock[WeekIndex],32)+SUMIFS(T_TTAFStock[TTAF_Qty],T_TTAFStock[RM_Code],$A50,T_TTAFStock[WeekIndex],32),AF50+'Grid_Incoming'!AG50-'Grid_Requirement'!AG50))</f>
        <v/>
      </c>
      <c r="AH50">
        <f>IF(COUNTIFS(T_StockCount[RM_Code],$A50,T_StockCount[WeekIndex],33)&gt;0,SUMIFS(T_StockCount[CountedQty],T_StockCount[RM_Code],$A50,T_StockCount[WeekIndex],33),IF((COUNTIFS(T_SelfStock[RM_Code],$A50,T_SelfStock[WeekIndex],33)&gt;0)*(COUNTIFS(T_TTAFStock[RM_Code],$A50,T_TTAFStock[WeekIndex],33)&gt;0)&gt;0,SUMIFS(T_SelfStock[Self_Qty],T_SelfStock[RM_Code],$A50,T_SelfStock[WeekIndex],33)+SUMIFS(T_TTAFStock[TTAF_Qty],T_TTAFStock[RM_Code],$A50,T_TTAFStock[WeekIndex],33),AG50+'Grid_Incoming'!AH50-'Grid_Requirement'!AH50))</f>
        <v/>
      </c>
      <c r="AI50">
        <f>IF(COUNTIFS(T_StockCount[RM_Code],$A50,T_StockCount[WeekIndex],34)&gt;0,SUMIFS(T_StockCount[CountedQty],T_StockCount[RM_Code],$A50,T_StockCount[WeekIndex],34),IF((COUNTIFS(T_SelfStock[RM_Code],$A50,T_SelfStock[WeekIndex],34)&gt;0)*(COUNTIFS(T_TTAFStock[RM_Code],$A50,T_TTAFStock[WeekIndex],34)&gt;0)&gt;0,SUMIFS(T_SelfStock[Self_Qty],T_SelfStock[RM_Code],$A50,T_SelfStock[WeekIndex],34)+SUMIFS(T_TTAFStock[TTAF_Qty],T_TTAFStock[RM_Code],$A50,T_TTAFStock[WeekIndex],34),AH50+'Grid_Incoming'!AI50-'Grid_Requirement'!AI50))</f>
        <v/>
      </c>
      <c r="AJ50">
        <f>IF(COUNTIFS(T_StockCount[RM_Code],$A50,T_StockCount[WeekIndex],35)&gt;0,SUMIFS(T_StockCount[CountedQty],T_StockCount[RM_Code],$A50,T_StockCount[WeekIndex],35),IF((COUNTIFS(T_SelfStock[RM_Code],$A50,T_SelfStock[WeekIndex],35)&gt;0)*(COUNTIFS(T_TTAFStock[RM_Code],$A50,T_TTAFStock[WeekIndex],35)&gt;0)&gt;0,SUMIFS(T_SelfStock[Self_Qty],T_SelfStock[RM_Code],$A50,T_SelfStock[WeekIndex],35)+SUMIFS(T_TTAFStock[TTAF_Qty],T_TTAFStock[RM_Code],$A50,T_TTAFStock[WeekIndex],35),AI50+'Grid_Incoming'!AJ50-'Grid_Requirement'!AJ50))</f>
        <v/>
      </c>
      <c r="AK50">
        <f>IF(COUNTIFS(T_StockCount[RM_Code],$A50,T_StockCount[WeekIndex],36)&gt;0,SUMIFS(T_StockCount[CountedQty],T_StockCount[RM_Code],$A50,T_StockCount[WeekIndex],36),IF((COUNTIFS(T_SelfStock[RM_Code],$A50,T_SelfStock[WeekIndex],36)&gt;0)*(COUNTIFS(T_TTAFStock[RM_Code],$A50,T_TTAFStock[WeekIndex],36)&gt;0)&gt;0,SUMIFS(T_SelfStock[Self_Qty],T_SelfStock[RM_Code],$A50,T_SelfStock[WeekIndex],36)+SUMIFS(T_TTAFStock[TTAF_Qty],T_TTAFStock[RM_Code],$A50,T_TTAFStock[WeekIndex],36),AJ50+'Grid_Incoming'!AK50-'Grid_Requirement'!AK50))</f>
        <v/>
      </c>
      <c r="AL50">
        <f>IF(COUNTIFS(T_StockCount[RM_Code],$A50,T_StockCount[WeekIndex],37)&gt;0,SUMIFS(T_StockCount[CountedQty],T_StockCount[RM_Code],$A50,T_StockCount[WeekIndex],37),IF((COUNTIFS(T_SelfStock[RM_Code],$A50,T_SelfStock[WeekIndex],37)&gt;0)*(COUNTIFS(T_TTAFStock[RM_Code],$A50,T_TTAFStock[WeekIndex],37)&gt;0)&gt;0,SUMIFS(T_SelfStock[Self_Qty],T_SelfStock[RM_Code],$A50,T_SelfStock[WeekIndex],37)+SUMIFS(T_TTAFStock[TTAF_Qty],T_TTAFStock[RM_Code],$A50,T_TTAFStock[WeekIndex],37),AK50+'Grid_Incoming'!AL50-'Grid_Requirement'!AL50))</f>
        <v/>
      </c>
      <c r="AM50">
        <f>IF(COUNTIFS(T_StockCount[RM_Code],$A50,T_StockCount[WeekIndex],38)&gt;0,SUMIFS(T_StockCount[CountedQty],T_StockCount[RM_Code],$A50,T_StockCount[WeekIndex],38),IF((COUNTIFS(T_SelfStock[RM_Code],$A50,T_SelfStock[WeekIndex],38)&gt;0)*(COUNTIFS(T_TTAFStock[RM_Code],$A50,T_TTAFStock[WeekIndex],38)&gt;0)&gt;0,SUMIFS(T_SelfStock[Self_Qty],T_SelfStock[RM_Code],$A50,T_SelfStock[WeekIndex],38)+SUMIFS(T_TTAFStock[TTAF_Qty],T_TTAFStock[RM_Code],$A50,T_TTAFStock[WeekIndex],38),AL50+'Grid_Incoming'!AM50-'Grid_Requirement'!AM50))</f>
        <v/>
      </c>
      <c r="AN50">
        <f>IF(COUNTIFS(T_StockCount[RM_Code],$A50,T_StockCount[WeekIndex],39)&gt;0,SUMIFS(T_StockCount[CountedQty],T_StockCount[RM_Code],$A50,T_StockCount[WeekIndex],39),IF((COUNTIFS(T_SelfStock[RM_Code],$A50,T_SelfStock[WeekIndex],39)&gt;0)*(COUNTIFS(T_TTAFStock[RM_Code],$A50,T_TTAFStock[WeekIndex],39)&gt;0)&gt;0,SUMIFS(T_SelfStock[Self_Qty],T_SelfStock[RM_Code],$A50,T_SelfStock[WeekIndex],39)+SUMIFS(T_TTAFStock[TTAF_Qty],T_TTAFStock[RM_Code],$A50,T_TTAFStock[WeekIndex],39),AM50+'Grid_Incoming'!AN50-'Grid_Requirement'!AN50))</f>
        <v/>
      </c>
      <c r="AO50">
        <f>IF(COUNTIFS(T_StockCount[RM_Code],$A50,T_StockCount[WeekIndex],40)&gt;0,SUMIFS(T_StockCount[CountedQty],T_StockCount[RM_Code],$A50,T_StockCount[WeekIndex],40),IF((COUNTIFS(T_SelfStock[RM_Code],$A50,T_SelfStock[WeekIndex],40)&gt;0)*(COUNTIFS(T_TTAFStock[RM_Code],$A50,T_TTAFStock[WeekIndex],40)&gt;0)&gt;0,SUMIFS(T_SelfStock[Self_Qty],T_SelfStock[RM_Code],$A50,T_SelfStock[WeekIndex],40)+SUMIFS(T_TTAFStock[TTAF_Qty],T_TTAFStock[RM_Code],$A50,T_TTAFStock[WeekIndex],40),AN50+'Grid_Incoming'!AO50-'Grid_Requirement'!AO50))</f>
        <v/>
      </c>
      <c r="AP50">
        <f>IF(COUNTIFS(T_StockCount[RM_Code],$A50,T_StockCount[WeekIndex],41)&gt;0,SUMIFS(T_StockCount[CountedQty],T_StockCount[RM_Code],$A50,T_StockCount[WeekIndex],41),IF((COUNTIFS(T_SelfStock[RM_Code],$A50,T_SelfStock[WeekIndex],41)&gt;0)*(COUNTIFS(T_TTAFStock[RM_Code],$A50,T_TTAFStock[WeekIndex],41)&gt;0)&gt;0,SUMIFS(T_SelfStock[Self_Qty],T_SelfStock[RM_Code],$A50,T_SelfStock[WeekIndex],41)+SUMIFS(T_TTAFStock[TTAF_Qty],T_TTAFStock[RM_Code],$A50,T_TTAFStock[WeekIndex],41),AO50+'Grid_Incoming'!AP50-'Grid_Requirement'!AP50))</f>
        <v/>
      </c>
      <c r="AQ50">
        <f>IF(COUNTIFS(T_StockCount[RM_Code],$A50,T_StockCount[WeekIndex],42)&gt;0,SUMIFS(T_StockCount[CountedQty],T_StockCount[RM_Code],$A50,T_StockCount[WeekIndex],42),IF((COUNTIFS(T_SelfStock[RM_Code],$A50,T_SelfStock[WeekIndex],42)&gt;0)*(COUNTIFS(T_TTAFStock[RM_Code],$A50,T_TTAFStock[WeekIndex],42)&gt;0)&gt;0,SUMIFS(T_SelfStock[Self_Qty],T_SelfStock[RM_Code],$A50,T_SelfStock[WeekIndex],42)+SUMIFS(T_TTAFStock[TTAF_Qty],T_TTAFStock[RM_Code],$A50,T_TTAFStock[WeekIndex],42),AP50+'Grid_Incoming'!AQ50-'Grid_Requirement'!AQ50))</f>
        <v/>
      </c>
      <c r="AR50">
        <f>IF(COUNTIFS(T_StockCount[RM_Code],$A50,T_StockCount[WeekIndex],43)&gt;0,SUMIFS(T_StockCount[CountedQty],T_StockCount[RM_Code],$A50,T_StockCount[WeekIndex],43),IF((COUNTIFS(T_SelfStock[RM_Code],$A50,T_SelfStock[WeekIndex],43)&gt;0)*(COUNTIFS(T_TTAFStock[RM_Code],$A50,T_TTAFStock[WeekIndex],43)&gt;0)&gt;0,SUMIFS(T_SelfStock[Self_Qty],T_SelfStock[RM_Code],$A50,T_SelfStock[WeekIndex],43)+SUMIFS(T_TTAFStock[TTAF_Qty],T_TTAFStock[RM_Code],$A50,T_TTAFStock[WeekIndex],43),AQ50+'Grid_Incoming'!AR50-'Grid_Requirement'!AR50))</f>
        <v/>
      </c>
      <c r="AS50">
        <f>IF(COUNTIFS(T_StockCount[RM_Code],$A50,T_StockCount[WeekIndex],44)&gt;0,SUMIFS(T_StockCount[CountedQty],T_StockCount[RM_Code],$A50,T_StockCount[WeekIndex],44),IF((COUNTIFS(T_SelfStock[RM_Code],$A50,T_SelfStock[WeekIndex],44)&gt;0)*(COUNTIFS(T_TTAFStock[RM_Code],$A50,T_TTAFStock[WeekIndex],44)&gt;0)&gt;0,SUMIFS(T_SelfStock[Self_Qty],T_SelfStock[RM_Code],$A50,T_SelfStock[WeekIndex],44)+SUMIFS(T_TTAFStock[TTAF_Qty],T_TTAFStock[RM_Code],$A50,T_TTAFStock[WeekIndex],44),AR50+'Grid_Incoming'!AS50-'Grid_Requirement'!AS50))</f>
        <v/>
      </c>
      <c r="AT50">
        <f>IF(COUNTIFS(T_StockCount[RM_Code],$A50,T_StockCount[WeekIndex],45)&gt;0,SUMIFS(T_StockCount[CountedQty],T_StockCount[RM_Code],$A50,T_StockCount[WeekIndex],45),IF((COUNTIFS(T_SelfStock[RM_Code],$A50,T_SelfStock[WeekIndex],45)&gt;0)*(COUNTIFS(T_TTAFStock[RM_Code],$A50,T_TTAFStock[WeekIndex],45)&gt;0)&gt;0,SUMIFS(T_SelfStock[Self_Qty],T_SelfStock[RM_Code],$A50,T_SelfStock[WeekIndex],45)+SUMIFS(T_TTAFStock[TTAF_Qty],T_TTAFStock[RM_Code],$A50,T_TTAFStock[WeekIndex],45),AS50+'Grid_Incoming'!AT50-'Grid_Requirement'!AT50))</f>
        <v/>
      </c>
      <c r="AU50">
        <f>IF(COUNTIFS(T_StockCount[RM_Code],$A50,T_StockCount[WeekIndex],46)&gt;0,SUMIFS(T_StockCount[CountedQty],T_StockCount[RM_Code],$A50,T_StockCount[WeekIndex],46),IF((COUNTIFS(T_SelfStock[RM_Code],$A50,T_SelfStock[WeekIndex],46)&gt;0)*(COUNTIFS(T_TTAFStock[RM_Code],$A50,T_TTAFStock[WeekIndex],46)&gt;0)&gt;0,SUMIFS(T_SelfStock[Self_Qty],T_SelfStock[RM_Code],$A50,T_SelfStock[WeekIndex],46)+SUMIFS(T_TTAFStock[TTAF_Qty],T_TTAFStock[RM_Code],$A50,T_TTAFStock[WeekIndex],46),AT50+'Grid_Incoming'!AU50-'Grid_Requirement'!AU50))</f>
        <v/>
      </c>
      <c r="AV50">
        <f>IF(COUNTIFS(T_StockCount[RM_Code],$A50,T_StockCount[WeekIndex],47)&gt;0,SUMIFS(T_StockCount[CountedQty],T_StockCount[RM_Code],$A50,T_StockCount[WeekIndex],47),IF((COUNTIFS(T_SelfStock[RM_Code],$A50,T_SelfStock[WeekIndex],47)&gt;0)*(COUNTIFS(T_TTAFStock[RM_Code],$A50,T_TTAFStock[WeekIndex],47)&gt;0)&gt;0,SUMIFS(T_SelfStock[Self_Qty],T_SelfStock[RM_Code],$A50,T_SelfStock[WeekIndex],47)+SUMIFS(T_TTAFStock[TTAF_Qty],T_TTAFStock[RM_Code],$A50,T_TTAFStock[WeekIndex],47),AU50+'Grid_Incoming'!AV50-'Grid_Requirement'!AV50))</f>
        <v/>
      </c>
      <c r="AW50">
        <f>IF(COUNTIFS(T_StockCount[RM_Code],$A50,T_StockCount[WeekIndex],48)&gt;0,SUMIFS(T_StockCount[CountedQty],T_StockCount[RM_Code],$A50,T_StockCount[WeekIndex],48),IF((COUNTIFS(T_SelfStock[RM_Code],$A50,T_SelfStock[WeekIndex],48)&gt;0)*(COUNTIFS(T_TTAFStock[RM_Code],$A50,T_TTAFStock[WeekIndex],48)&gt;0)&gt;0,SUMIFS(T_SelfStock[Self_Qty],T_SelfStock[RM_Code],$A50,T_SelfStock[WeekIndex],48)+SUMIFS(T_TTAFStock[TTAF_Qty],T_TTAFStock[RM_Code],$A50,T_TTAFStock[WeekIndex],48),AV50+'Grid_Incoming'!AW50-'Grid_Requirement'!AW50))</f>
        <v/>
      </c>
      <c r="AX50">
        <f>IF(COUNTIFS(T_StockCount[RM_Code],$A50,T_StockCount[WeekIndex],49)&gt;0,SUMIFS(T_StockCount[CountedQty],T_StockCount[RM_Code],$A50,T_StockCount[WeekIndex],49),IF((COUNTIFS(T_SelfStock[RM_Code],$A50,T_SelfStock[WeekIndex],49)&gt;0)*(COUNTIFS(T_TTAFStock[RM_Code],$A50,T_TTAFStock[WeekIndex],49)&gt;0)&gt;0,SUMIFS(T_SelfStock[Self_Qty],T_SelfStock[RM_Code],$A50,T_SelfStock[WeekIndex],49)+SUMIFS(T_TTAFStock[TTAF_Qty],T_TTAFStock[RM_Code],$A50,T_TTAFStock[WeekIndex],49),AW50+'Grid_Incoming'!AX50-'Grid_Requirement'!AX50))</f>
        <v/>
      </c>
      <c r="AY50">
        <f>IF(COUNTIFS(T_StockCount[RM_Code],$A50,T_StockCount[WeekIndex],50)&gt;0,SUMIFS(T_StockCount[CountedQty],T_StockCount[RM_Code],$A50,T_StockCount[WeekIndex],50),IF((COUNTIFS(T_SelfStock[RM_Code],$A50,T_SelfStock[WeekIndex],50)&gt;0)*(COUNTIFS(T_TTAFStock[RM_Code],$A50,T_TTAFStock[WeekIndex],50)&gt;0)&gt;0,SUMIFS(T_SelfStock[Self_Qty],T_SelfStock[RM_Code],$A50,T_SelfStock[WeekIndex],50)+SUMIFS(T_TTAFStock[TTAF_Qty],T_TTAFStock[RM_Code],$A50,T_TTAFStock[WeekIndex],50),AX50+'Grid_Incoming'!AY50-'Grid_Requirement'!AY50))</f>
        <v/>
      </c>
      <c r="AZ50">
        <f>IF(COUNTIFS(T_StockCount[RM_Code],$A50,T_StockCount[WeekIndex],51)&gt;0,SUMIFS(T_StockCount[CountedQty],T_StockCount[RM_Code],$A50,T_StockCount[WeekIndex],51),IF((COUNTIFS(T_SelfStock[RM_Code],$A50,T_SelfStock[WeekIndex],51)&gt;0)*(COUNTIFS(T_TTAFStock[RM_Code],$A50,T_TTAFStock[WeekIndex],51)&gt;0)&gt;0,SUMIFS(T_SelfStock[Self_Qty],T_SelfStock[RM_Code],$A50,T_SelfStock[WeekIndex],51)+SUMIFS(T_TTAFStock[TTAF_Qty],T_TTAFStock[RM_Code],$A50,T_TTAFStock[WeekIndex],51),AY50+'Grid_Incoming'!AZ50-'Grid_Requirement'!AZ50))</f>
        <v/>
      </c>
      <c r="BA50">
        <f>IF(COUNTIFS(T_StockCount[RM_Code],$A50,T_StockCount[WeekIndex],52)&gt;0,SUMIFS(T_StockCount[CountedQty],T_StockCount[RM_Code],$A50,T_StockCount[WeekIndex],52),IF((COUNTIFS(T_SelfStock[RM_Code],$A50,T_SelfStock[WeekIndex],52)&gt;0)*(COUNTIFS(T_TTAFStock[RM_Code],$A50,T_TTAFStock[WeekIndex],52)&gt;0)&gt;0,SUMIFS(T_SelfStock[Self_Qty],T_SelfStock[RM_Code],$A50,T_SelfStock[WeekIndex],52)+SUMIFS(T_TTAFStock[TTAF_Qty],T_TTAFStock[RM_Code],$A50,T_TTAFStock[WeekIndex],52),AZ50+'Grid_Incoming'!BA50-'Grid_Requirement'!BA50))</f>
        <v/>
      </c>
      <c r="BB50">
        <f>IF(COUNTIFS(T_StockCount[RM_Code],$A50,T_StockCount[WeekIndex],53)&gt;0,SUMIFS(T_StockCount[CountedQty],T_StockCount[RM_Code],$A50,T_StockCount[WeekIndex],53),IF((COUNTIFS(T_SelfStock[RM_Code],$A50,T_SelfStock[WeekIndex],53)&gt;0)*(COUNTIFS(T_TTAFStock[RM_Code],$A50,T_TTAFStock[WeekIndex],53)&gt;0)&gt;0,SUMIFS(T_SelfStock[Self_Qty],T_SelfStock[RM_Code],$A50,T_SelfStock[WeekIndex],53)+SUMIFS(T_TTAFStock[TTAF_Qty],T_TTAFStock[RM_Code],$A50,T_TTAFStock[WeekIndex],53),BA50+'Grid_Incoming'!BB50-'Grid_Requirement'!BB50))</f>
        <v/>
      </c>
      <c r="BC50">
        <f>IF(COUNTIFS(T_StockCount[RM_Code],$A50,T_StockCount[WeekIndex],54)&gt;0,SUMIFS(T_StockCount[CountedQty],T_StockCount[RM_Code],$A50,T_StockCount[WeekIndex],54),IF((COUNTIFS(T_SelfStock[RM_Code],$A50,T_SelfStock[WeekIndex],54)&gt;0)*(COUNTIFS(T_TTAFStock[RM_Code],$A50,T_TTAFStock[WeekIndex],54)&gt;0)&gt;0,SUMIFS(T_SelfStock[Self_Qty],T_SelfStock[RM_Code],$A50,T_SelfStock[WeekIndex],54)+SUMIFS(T_TTAFStock[TTAF_Qty],T_TTAFStock[RM_Code],$A50,T_TTAFStock[WeekIndex],54),BB50+'Grid_Incoming'!BC50-'Grid_Requirement'!BC50))</f>
        <v/>
      </c>
      <c r="BD50">
        <f>IF(COUNTIFS(T_StockCount[RM_Code],$A50,T_StockCount[WeekIndex],55)&gt;0,SUMIFS(T_StockCount[CountedQty],T_StockCount[RM_Code],$A50,T_StockCount[WeekIndex],55),IF((COUNTIFS(T_SelfStock[RM_Code],$A50,T_SelfStock[WeekIndex],55)&gt;0)*(COUNTIFS(T_TTAFStock[RM_Code],$A50,T_TTAFStock[WeekIndex],55)&gt;0)&gt;0,SUMIFS(T_SelfStock[Self_Qty],T_SelfStock[RM_Code],$A50,T_SelfStock[WeekIndex],55)+SUMIFS(T_TTAFStock[TTAF_Qty],T_TTAFStock[RM_Code],$A50,T_TTAFStock[WeekIndex],55),BC50+'Grid_Incoming'!BD50-'Grid_Requirement'!BD50))</f>
        <v/>
      </c>
      <c r="BE50">
        <f>IF(COUNTIFS(T_StockCount[RM_Code],$A50,T_StockCount[WeekIndex],56)&gt;0,SUMIFS(T_StockCount[CountedQty],T_StockCount[RM_Code],$A50,T_StockCount[WeekIndex],56),IF((COUNTIFS(T_SelfStock[RM_Code],$A50,T_SelfStock[WeekIndex],56)&gt;0)*(COUNTIFS(T_TTAFStock[RM_Code],$A50,T_TTAFStock[WeekIndex],56)&gt;0)&gt;0,SUMIFS(T_SelfStock[Self_Qty],T_SelfStock[RM_Code],$A50,T_SelfStock[WeekIndex],56)+SUMIFS(T_TTAFStock[TTAF_Qty],T_TTAFStock[RM_Code],$A50,T_TTAFStock[WeekIndex],56),BD50+'Grid_Incoming'!BE50-'Grid_Requirement'!BE50))</f>
        <v/>
      </c>
      <c r="BF50">
        <f>IF(COUNTIFS(T_StockCount[RM_Code],$A50,T_StockCount[WeekIndex],57)&gt;0,SUMIFS(T_StockCount[CountedQty],T_StockCount[RM_Code],$A50,T_StockCount[WeekIndex],57),IF((COUNTIFS(T_SelfStock[RM_Code],$A50,T_SelfStock[WeekIndex],57)&gt;0)*(COUNTIFS(T_TTAFStock[RM_Code],$A50,T_TTAFStock[WeekIndex],57)&gt;0)&gt;0,SUMIFS(T_SelfStock[Self_Qty],T_SelfStock[RM_Code],$A50,T_SelfStock[WeekIndex],57)+SUMIFS(T_TTAFStock[TTAF_Qty],T_TTAFStock[RM_Code],$A50,T_TTAFStock[WeekIndex],57),BE50+'Grid_Incoming'!BF50-'Grid_Requirement'!BF50))</f>
        <v/>
      </c>
      <c r="BG50">
        <f>IF(COUNTIFS(T_StockCount[RM_Code],$A50,T_StockCount[WeekIndex],58)&gt;0,SUMIFS(T_StockCount[CountedQty],T_StockCount[RM_Code],$A50,T_StockCount[WeekIndex],58),IF((COUNTIFS(T_SelfStock[RM_Code],$A50,T_SelfStock[WeekIndex],58)&gt;0)*(COUNTIFS(T_TTAFStock[RM_Code],$A50,T_TTAFStock[WeekIndex],58)&gt;0)&gt;0,SUMIFS(T_SelfStock[Self_Qty],T_SelfStock[RM_Code],$A50,T_SelfStock[WeekIndex],58)+SUMIFS(T_TTAFStock[TTAF_Qty],T_TTAFStock[RM_Code],$A50,T_TTAFStock[WeekIndex],58),BF50+'Grid_Incoming'!BG50-'Grid_Requirement'!BG50))</f>
        <v/>
      </c>
      <c r="BH50">
        <f>IF(COUNTIFS(T_StockCount[RM_Code],$A50,T_StockCount[WeekIndex],59)&gt;0,SUMIFS(T_StockCount[CountedQty],T_StockCount[RM_Code],$A50,T_StockCount[WeekIndex],59),IF((COUNTIFS(T_SelfStock[RM_Code],$A50,T_SelfStock[WeekIndex],59)&gt;0)*(COUNTIFS(T_TTAFStock[RM_Code],$A50,T_TTAFStock[WeekIndex],59)&gt;0)&gt;0,SUMIFS(T_SelfStock[Self_Qty],T_SelfStock[RM_Code],$A50,T_SelfStock[WeekIndex],59)+SUMIFS(T_TTAFStock[TTAF_Qty],T_TTAFStock[RM_Code],$A50,T_TTAFStock[WeekIndex],59),BG50+'Grid_Incoming'!BH50-'Grid_Requirement'!BH50))</f>
        <v/>
      </c>
      <c r="BI50">
        <f>IF(COUNTIFS(T_StockCount[RM_Code],$A50,T_StockCount[WeekIndex],60)&gt;0,SUMIFS(T_StockCount[CountedQty],T_StockCount[RM_Code],$A50,T_StockCount[WeekIndex],60),IF((COUNTIFS(T_SelfStock[RM_Code],$A50,T_SelfStock[WeekIndex],60)&gt;0)*(COUNTIFS(T_TTAFStock[RM_Code],$A50,T_TTAFStock[WeekIndex],60)&gt;0)&gt;0,SUMIFS(T_SelfStock[Self_Qty],T_SelfStock[RM_Code],$A50,T_SelfStock[WeekIndex],60)+SUMIFS(T_TTAFStock[TTAF_Qty],T_TTAFStock[RM_Code],$A50,T_TTAFStock[WeekIndex],60),BH50+'Grid_Incoming'!BI50-'Grid_Requirement'!BI50))</f>
        <v/>
      </c>
      <c r="BJ50">
        <f>IF(COUNTIFS(T_StockCount[RM_Code],$A50,T_StockCount[WeekIndex],61)&gt;0,SUMIFS(T_StockCount[CountedQty],T_StockCount[RM_Code],$A50,T_StockCount[WeekIndex],61),IF((COUNTIFS(T_SelfStock[RM_Code],$A50,T_SelfStock[WeekIndex],61)&gt;0)*(COUNTIFS(T_TTAFStock[RM_Code],$A50,T_TTAFStock[WeekIndex],61)&gt;0)&gt;0,SUMIFS(T_SelfStock[Self_Qty],T_SelfStock[RM_Code],$A50,T_SelfStock[WeekIndex],61)+SUMIFS(T_TTAFStock[TTAF_Qty],T_TTAFStock[RM_Code],$A50,T_TTAFStock[WeekIndex],61),BI50+'Grid_Incoming'!BJ50-'Grid_Requirement'!BJ50))</f>
        <v/>
      </c>
      <c r="BK50">
        <f>IF(COUNTIFS(T_StockCount[RM_Code],$A50,T_StockCount[WeekIndex],62)&gt;0,SUMIFS(T_StockCount[CountedQty],T_StockCount[RM_Code],$A50,T_StockCount[WeekIndex],62),IF((COUNTIFS(T_SelfStock[RM_Code],$A50,T_SelfStock[WeekIndex],62)&gt;0)*(COUNTIFS(T_TTAFStock[RM_Code],$A50,T_TTAFStock[WeekIndex],62)&gt;0)&gt;0,SUMIFS(T_SelfStock[Self_Qty],T_SelfStock[RM_Code],$A50,T_SelfStock[WeekIndex],62)+SUMIFS(T_TTAFStock[TTAF_Qty],T_TTAFStock[RM_Code],$A50,T_TTAFStock[WeekIndex],62),BJ50+'Grid_Incoming'!BK50-'Grid_Requirement'!BK50))</f>
        <v/>
      </c>
      <c r="BL50">
        <f>IF(COUNTIFS(T_StockCount[RM_Code],$A50,T_StockCount[WeekIndex],63)&gt;0,SUMIFS(T_StockCount[CountedQty],T_StockCount[RM_Code],$A50,T_StockCount[WeekIndex],63),IF((COUNTIFS(T_SelfStock[RM_Code],$A50,T_SelfStock[WeekIndex],63)&gt;0)*(COUNTIFS(T_TTAFStock[RM_Code],$A50,T_TTAFStock[WeekIndex],63)&gt;0)&gt;0,SUMIFS(T_SelfStock[Self_Qty],T_SelfStock[RM_Code],$A50,T_SelfStock[WeekIndex],63)+SUMIFS(T_TTAFStock[TTAF_Qty],T_TTAFStock[RM_Code],$A50,T_TTAFStock[WeekIndex],63),BK50+'Grid_Incoming'!BL50-'Grid_Requirement'!BL50))</f>
        <v/>
      </c>
      <c r="BM50">
        <f>IF(COUNTIFS(T_StockCount[RM_Code],$A50,T_StockCount[WeekIndex],64)&gt;0,SUMIFS(T_StockCount[CountedQty],T_StockCount[RM_Code],$A50,T_StockCount[WeekIndex],64),IF((COUNTIFS(T_SelfStock[RM_Code],$A50,T_SelfStock[WeekIndex],64)&gt;0)*(COUNTIFS(T_TTAFStock[RM_Code],$A50,T_TTAFStock[WeekIndex],64)&gt;0)&gt;0,SUMIFS(T_SelfStock[Self_Qty],T_SelfStock[RM_Code],$A50,T_SelfStock[WeekIndex],64)+SUMIFS(T_TTAFStock[TTAF_Qty],T_TTAFStock[RM_Code],$A50,T_TTAFStock[WeekIndex],64),BL50+'Grid_Incoming'!BM50-'Grid_Requirement'!BM50))</f>
        <v/>
      </c>
      <c r="BN50">
        <f>IF(COUNTIFS(T_StockCount[RM_Code],$A50,T_StockCount[WeekIndex],65)&gt;0,SUMIFS(T_StockCount[CountedQty],T_StockCount[RM_Code],$A50,T_StockCount[WeekIndex],65),IF((COUNTIFS(T_SelfStock[RM_Code],$A50,T_SelfStock[WeekIndex],65)&gt;0)*(COUNTIFS(T_TTAFStock[RM_Code],$A50,T_TTAFStock[WeekIndex],65)&gt;0)&gt;0,SUMIFS(T_SelfStock[Self_Qty],T_SelfStock[RM_Code],$A50,T_SelfStock[WeekIndex],65)+SUMIFS(T_TTAFStock[TTAF_Qty],T_TTAFStock[RM_Code],$A50,T_TTAFStock[WeekIndex],65),BM50+'Grid_Incoming'!BN50-'Grid_Requirement'!BN50))</f>
        <v/>
      </c>
      <c r="BO50">
        <f>IF(COUNTIFS(T_StockCount[RM_Code],$A50,T_StockCount[WeekIndex],66)&gt;0,SUMIFS(T_StockCount[CountedQty],T_StockCount[RM_Code],$A50,T_StockCount[WeekIndex],66),IF((COUNTIFS(T_SelfStock[RM_Code],$A50,T_SelfStock[WeekIndex],66)&gt;0)*(COUNTIFS(T_TTAFStock[RM_Code],$A50,T_TTAFStock[WeekIndex],66)&gt;0)&gt;0,SUMIFS(T_SelfStock[Self_Qty],T_SelfStock[RM_Code],$A50,T_SelfStock[WeekIndex],66)+SUMIFS(T_TTAFStock[TTAF_Qty],T_TTAFStock[RM_Code],$A50,T_TTAFStock[WeekIndex],66),BN50+'Grid_Incoming'!BO50-'Grid_Requirement'!BO50))</f>
        <v/>
      </c>
      <c r="BP50">
        <f>IF(COUNTIFS(T_StockCount[RM_Code],$A50,T_StockCount[WeekIndex],67)&gt;0,SUMIFS(T_StockCount[CountedQty],T_StockCount[RM_Code],$A50,T_StockCount[WeekIndex],67),IF((COUNTIFS(T_SelfStock[RM_Code],$A50,T_SelfStock[WeekIndex],67)&gt;0)*(COUNTIFS(T_TTAFStock[RM_Code],$A50,T_TTAFStock[WeekIndex],67)&gt;0)&gt;0,SUMIFS(T_SelfStock[Self_Qty],T_SelfStock[RM_Code],$A50,T_SelfStock[WeekIndex],67)+SUMIFS(T_TTAFStock[TTAF_Qty],T_TTAFStock[RM_Code],$A50,T_TTAFStock[WeekIndex],67),BO50+'Grid_Incoming'!BP50-'Grid_Requirement'!BP50))</f>
        <v/>
      </c>
      <c r="BQ50">
        <f>IF(COUNTIFS(T_StockCount[RM_Code],$A50,T_StockCount[WeekIndex],68)&gt;0,SUMIFS(T_StockCount[CountedQty],T_StockCount[RM_Code],$A50,T_StockCount[WeekIndex],68),IF((COUNTIFS(T_SelfStock[RM_Code],$A50,T_SelfStock[WeekIndex],68)&gt;0)*(COUNTIFS(T_TTAFStock[RM_Code],$A50,T_TTAFStock[WeekIndex],68)&gt;0)&gt;0,SUMIFS(T_SelfStock[Self_Qty],T_SelfStock[RM_Code],$A50,T_SelfStock[WeekIndex],68)+SUMIFS(T_TTAFStock[TTAF_Qty],T_TTAFStock[RM_Code],$A50,T_TTAFStock[WeekIndex],68),BP50+'Grid_Incoming'!BQ50-'Grid_Requirement'!BQ50))</f>
        <v/>
      </c>
      <c r="BR50">
        <f>IF(COUNTIFS(T_StockCount[RM_Code],$A50,T_StockCount[WeekIndex],69)&gt;0,SUMIFS(T_StockCount[CountedQty],T_StockCount[RM_Code],$A50,T_StockCount[WeekIndex],69),IF((COUNTIFS(T_SelfStock[RM_Code],$A50,T_SelfStock[WeekIndex],69)&gt;0)*(COUNTIFS(T_TTAFStock[RM_Code],$A50,T_TTAFStock[WeekIndex],69)&gt;0)&gt;0,SUMIFS(T_SelfStock[Self_Qty],T_SelfStock[RM_Code],$A50,T_SelfStock[WeekIndex],69)+SUMIFS(T_TTAFStock[TTAF_Qty],T_TTAFStock[RM_Code],$A50,T_TTAFStock[WeekIndex],69),BQ50+'Grid_Incoming'!BR50-'Grid_Requirement'!BR50))</f>
        <v/>
      </c>
      <c r="BS50">
        <f>IF(COUNTIFS(T_StockCount[RM_Code],$A50,T_StockCount[WeekIndex],70)&gt;0,SUMIFS(T_StockCount[CountedQty],T_StockCount[RM_Code],$A50,T_StockCount[WeekIndex],70),IF((COUNTIFS(T_SelfStock[RM_Code],$A50,T_SelfStock[WeekIndex],70)&gt;0)*(COUNTIFS(T_TTAFStock[RM_Code],$A50,T_TTAFStock[WeekIndex],70)&gt;0)&gt;0,SUMIFS(T_SelfStock[Self_Qty],T_SelfStock[RM_Code],$A50,T_SelfStock[WeekIndex],70)+SUMIFS(T_TTAFStock[TTAF_Qty],T_TTAFStock[RM_Code],$A50,T_TTAFStock[WeekIndex],70),BR50+'Grid_Incoming'!BS50-'Grid_Requirement'!BS50))</f>
        <v/>
      </c>
      <c r="BT50">
        <f>IF(COUNTIFS(T_StockCount[RM_Code],$A50,T_StockCount[WeekIndex],71)&gt;0,SUMIFS(T_StockCount[CountedQty],T_StockCount[RM_Code],$A50,T_StockCount[WeekIndex],71),IF((COUNTIFS(T_SelfStock[RM_Code],$A50,T_SelfStock[WeekIndex],71)&gt;0)*(COUNTIFS(T_TTAFStock[RM_Code],$A50,T_TTAFStock[WeekIndex],71)&gt;0)&gt;0,SUMIFS(T_SelfStock[Self_Qty],T_SelfStock[RM_Code],$A50,T_SelfStock[WeekIndex],71)+SUMIFS(T_TTAFStock[TTAF_Qty],T_TTAFStock[RM_Code],$A50,T_TTAFStock[WeekIndex],71),BS50+'Grid_Incoming'!BT50-'Grid_Requirement'!BT50))</f>
        <v/>
      </c>
      <c r="BU50">
        <f>IF(COUNTIFS(T_StockCount[RM_Code],$A50,T_StockCount[WeekIndex],72)&gt;0,SUMIFS(T_StockCount[CountedQty],T_StockCount[RM_Code],$A50,T_StockCount[WeekIndex],72),IF((COUNTIFS(T_SelfStock[RM_Code],$A50,T_SelfStock[WeekIndex],72)&gt;0)*(COUNTIFS(T_TTAFStock[RM_Code],$A50,T_TTAFStock[WeekIndex],72)&gt;0)&gt;0,SUMIFS(T_SelfStock[Self_Qty],T_SelfStock[RM_Code],$A50,T_SelfStock[WeekIndex],72)+SUMIFS(T_TTAFStock[TTAF_Qty],T_TTAFStock[RM_Code],$A50,T_TTAFStock[WeekIndex],72),BT50+'Grid_Incoming'!BU50-'Grid_Requirement'!BU50))</f>
        <v/>
      </c>
      <c r="BV50">
        <f>IF(COUNTIFS(T_StockCount[RM_Code],$A50,T_StockCount[WeekIndex],73)&gt;0,SUMIFS(T_StockCount[CountedQty],T_StockCount[RM_Code],$A50,T_StockCount[WeekIndex],73),IF((COUNTIFS(T_SelfStock[RM_Code],$A50,T_SelfStock[WeekIndex],73)&gt;0)*(COUNTIFS(T_TTAFStock[RM_Code],$A50,T_TTAFStock[WeekIndex],73)&gt;0)&gt;0,SUMIFS(T_SelfStock[Self_Qty],T_SelfStock[RM_Code],$A50,T_SelfStock[WeekIndex],73)+SUMIFS(T_TTAFStock[TTAF_Qty],T_TTAFStock[RM_Code],$A50,T_TTAFStock[WeekIndex],73),BU50+'Grid_Incoming'!BV50-'Grid_Requirement'!BV50))</f>
        <v/>
      </c>
      <c r="BW50">
        <f>IF(COUNTIFS(T_StockCount[RM_Code],$A50,T_StockCount[WeekIndex],74)&gt;0,SUMIFS(T_StockCount[CountedQty],T_StockCount[RM_Code],$A50,T_StockCount[WeekIndex],74),IF((COUNTIFS(T_SelfStock[RM_Code],$A50,T_SelfStock[WeekIndex],74)&gt;0)*(COUNTIFS(T_TTAFStock[RM_Code],$A50,T_TTAFStock[WeekIndex],74)&gt;0)&gt;0,SUMIFS(T_SelfStock[Self_Qty],T_SelfStock[RM_Code],$A50,T_SelfStock[WeekIndex],74)+SUMIFS(T_TTAFStock[TTAF_Qty],T_TTAFStock[RM_Code],$A50,T_TTAFStock[WeekIndex],74),BV50+'Grid_Incoming'!BW50-'Grid_Requirement'!BW50))</f>
        <v/>
      </c>
      <c r="BX50">
        <f>IF(COUNTIFS(T_StockCount[RM_Code],$A50,T_StockCount[WeekIndex],75)&gt;0,SUMIFS(T_StockCount[CountedQty],T_StockCount[RM_Code],$A50,T_StockCount[WeekIndex],75),IF((COUNTIFS(T_SelfStock[RM_Code],$A50,T_SelfStock[WeekIndex],75)&gt;0)*(COUNTIFS(T_TTAFStock[RM_Code],$A50,T_TTAFStock[WeekIndex],75)&gt;0)&gt;0,SUMIFS(T_SelfStock[Self_Qty],T_SelfStock[RM_Code],$A50,T_SelfStock[WeekIndex],75)+SUMIFS(T_TTAFStock[TTAF_Qty],T_TTAFStock[RM_Code],$A50,T_TTAFStock[WeekIndex],75),BW50+'Grid_Incoming'!BX50-'Grid_Requirement'!BX50))</f>
        <v/>
      </c>
      <c r="BY50">
        <f>IF(COUNTIFS(T_StockCount[RM_Code],$A50,T_StockCount[WeekIndex],76)&gt;0,SUMIFS(T_StockCount[CountedQty],T_StockCount[RM_Code],$A50,T_StockCount[WeekIndex],76),IF((COUNTIFS(T_SelfStock[RM_Code],$A50,T_SelfStock[WeekIndex],76)&gt;0)*(COUNTIFS(T_TTAFStock[RM_Code],$A50,T_TTAFStock[WeekIndex],76)&gt;0)&gt;0,SUMIFS(T_SelfStock[Self_Qty],T_SelfStock[RM_Code],$A50,T_SelfStock[WeekIndex],76)+SUMIFS(T_TTAFStock[TTAF_Qty],T_TTAFStock[RM_Code],$A50,T_TTAFStock[WeekIndex],76),BX50+'Grid_Incoming'!BY50-'Grid_Requirement'!BY50))</f>
        <v/>
      </c>
      <c r="BZ50">
        <f>IF(COUNTIFS(T_StockCount[RM_Code],$A50,T_StockCount[WeekIndex],77)&gt;0,SUMIFS(T_StockCount[CountedQty],T_StockCount[RM_Code],$A50,T_StockCount[WeekIndex],77),IF((COUNTIFS(T_SelfStock[RM_Code],$A50,T_SelfStock[WeekIndex],77)&gt;0)*(COUNTIFS(T_TTAFStock[RM_Code],$A50,T_TTAFStock[WeekIndex],77)&gt;0)&gt;0,SUMIFS(T_SelfStock[Self_Qty],T_SelfStock[RM_Code],$A50,T_SelfStock[WeekIndex],77)+SUMIFS(T_TTAFStock[TTAF_Qty],T_TTAFStock[RM_Code],$A50,T_TTAFStock[WeekIndex],77),BY50+'Grid_Incoming'!BZ50-'Grid_Requirement'!BZ50))</f>
        <v/>
      </c>
      <c r="CA50">
        <f>IF(COUNTIFS(T_StockCount[RM_Code],$A50,T_StockCount[WeekIndex],78)&gt;0,SUMIFS(T_StockCount[CountedQty],T_StockCount[RM_Code],$A50,T_StockCount[WeekIndex],78),IF((COUNTIFS(T_SelfStock[RM_Code],$A50,T_SelfStock[WeekIndex],78)&gt;0)*(COUNTIFS(T_TTAFStock[RM_Code],$A50,T_TTAFStock[WeekIndex],78)&gt;0)&gt;0,SUMIFS(T_SelfStock[Self_Qty],T_SelfStock[RM_Code],$A50,T_SelfStock[WeekIndex],78)+SUMIFS(T_TTAFStock[TTAF_Qty],T_TTAFStock[RM_Code],$A50,T_TTAFStock[WeekIndex],78),BZ50+'Grid_Incoming'!CA50-'Grid_Requirement'!CA50))</f>
        <v/>
      </c>
      <c r="CB50">
        <f>IF(COUNTIFS(T_StockCount[RM_Code],$A50,T_StockCount[WeekIndex],79)&gt;0,SUMIFS(T_StockCount[CountedQty],T_StockCount[RM_Code],$A50,T_StockCount[WeekIndex],79),IF((COUNTIFS(T_SelfStock[RM_Code],$A50,T_SelfStock[WeekIndex],79)&gt;0)*(COUNTIFS(T_TTAFStock[RM_Code],$A50,T_TTAFStock[WeekIndex],79)&gt;0)&gt;0,SUMIFS(T_SelfStock[Self_Qty],T_SelfStock[RM_Code],$A50,T_SelfStock[WeekIndex],79)+SUMIFS(T_TTAFStock[TTAF_Qty],T_TTAFStock[RM_Code],$A50,T_TTAFStock[WeekIndex],79),CA50+'Grid_Incoming'!CB50-'Grid_Requirement'!CB50))</f>
        <v/>
      </c>
      <c r="CC50">
        <f>IF(COUNTIFS(T_StockCount[RM_Code],$A50,T_StockCount[WeekIndex],80)&gt;0,SUMIFS(T_StockCount[CountedQty],T_StockCount[RM_Code],$A50,T_StockCount[WeekIndex],80),IF((COUNTIFS(T_SelfStock[RM_Code],$A50,T_SelfStock[WeekIndex],80)&gt;0)*(COUNTIFS(T_TTAFStock[RM_Code],$A50,T_TTAFStock[WeekIndex],80)&gt;0)&gt;0,SUMIFS(T_SelfStock[Self_Qty],T_SelfStock[RM_Code],$A50,T_SelfStock[WeekIndex],80)+SUMIFS(T_TTAFStock[TTAF_Qty],T_TTAFStock[RM_Code],$A50,T_TTAFStock[WeekIndex],80),CB50+'Grid_Incoming'!CC50-'Grid_Requirement'!CC50))</f>
        <v/>
      </c>
      <c r="CD50">
        <f>IF(COUNTIFS(T_StockCount[RM_Code],$A50,T_StockCount[WeekIndex],81)&gt;0,SUMIFS(T_StockCount[CountedQty],T_StockCount[RM_Code],$A50,T_StockCount[WeekIndex],81),IF((COUNTIFS(T_SelfStock[RM_Code],$A50,T_SelfStock[WeekIndex],81)&gt;0)*(COUNTIFS(T_TTAFStock[RM_Code],$A50,T_TTAFStock[WeekIndex],81)&gt;0)&gt;0,SUMIFS(T_SelfStock[Self_Qty],T_SelfStock[RM_Code],$A50,T_SelfStock[WeekIndex],81)+SUMIFS(T_TTAFStock[TTAF_Qty],T_TTAFStock[RM_Code],$A50,T_TTAFStock[WeekIndex],81),CC50+'Grid_Incoming'!CD50-'Grid_Requirement'!CD50))</f>
        <v/>
      </c>
      <c r="CE50">
        <f>IF(COUNTIFS(T_StockCount[RM_Code],$A50,T_StockCount[WeekIndex],82)&gt;0,SUMIFS(T_StockCount[CountedQty],T_StockCount[RM_Code],$A50,T_StockCount[WeekIndex],82),IF((COUNTIFS(T_SelfStock[RM_Code],$A50,T_SelfStock[WeekIndex],82)&gt;0)*(COUNTIFS(T_TTAFStock[RM_Code],$A50,T_TTAFStock[WeekIndex],82)&gt;0)&gt;0,SUMIFS(T_SelfStock[Self_Qty],T_SelfStock[RM_Code],$A50,T_SelfStock[WeekIndex],82)+SUMIFS(T_TTAFStock[TTAF_Qty],T_TTAFStock[RM_Code],$A50,T_TTAFStock[WeekIndex],82),CD50+'Grid_Incoming'!CE50-'Grid_Requirement'!CE50))</f>
        <v/>
      </c>
      <c r="CF50">
        <f>IF(COUNTIFS(T_StockCount[RM_Code],$A50,T_StockCount[WeekIndex],83)&gt;0,SUMIFS(T_StockCount[CountedQty],T_StockCount[RM_Code],$A50,T_StockCount[WeekIndex],83),IF((COUNTIFS(T_SelfStock[RM_Code],$A50,T_SelfStock[WeekIndex],83)&gt;0)*(COUNTIFS(T_TTAFStock[RM_Code],$A50,T_TTAFStock[WeekIndex],83)&gt;0)&gt;0,SUMIFS(T_SelfStock[Self_Qty],T_SelfStock[RM_Code],$A50,T_SelfStock[WeekIndex],83)+SUMIFS(T_TTAFStock[TTAF_Qty],T_TTAFStock[RM_Code],$A50,T_TTAFStock[WeekIndex],83),CE50+'Grid_Incoming'!CF50-'Grid_Requirement'!CF50))</f>
        <v/>
      </c>
      <c r="CG50">
        <f>IF(COUNTIFS(T_StockCount[RM_Code],$A50,T_StockCount[WeekIndex],84)&gt;0,SUMIFS(T_StockCount[CountedQty],T_StockCount[RM_Code],$A50,T_StockCount[WeekIndex],84),IF((COUNTIFS(T_SelfStock[RM_Code],$A50,T_SelfStock[WeekIndex],84)&gt;0)*(COUNTIFS(T_TTAFStock[RM_Code],$A50,T_TTAFStock[WeekIndex],84)&gt;0)&gt;0,SUMIFS(T_SelfStock[Self_Qty],T_SelfStock[RM_Code],$A50,T_SelfStock[WeekIndex],84)+SUMIFS(T_TTAFStock[TTAF_Qty],T_TTAFStock[RM_Code],$A50,T_TTAFStock[WeekIndex],84),CF50+'Grid_Incoming'!CG50-'Grid_Requirement'!CG50))</f>
        <v/>
      </c>
      <c r="CH50">
        <f>IF(COUNTIFS(T_StockCount[RM_Code],$A50,T_StockCount[WeekIndex],85)&gt;0,SUMIFS(T_StockCount[CountedQty],T_StockCount[RM_Code],$A50,T_StockCount[WeekIndex],85),IF((COUNTIFS(T_SelfStock[RM_Code],$A50,T_SelfStock[WeekIndex],85)&gt;0)*(COUNTIFS(T_TTAFStock[RM_Code],$A50,T_TTAFStock[WeekIndex],85)&gt;0)&gt;0,SUMIFS(T_SelfStock[Self_Qty],T_SelfStock[RM_Code],$A50,T_SelfStock[WeekIndex],85)+SUMIFS(T_TTAFStock[TTAF_Qty],T_TTAFStock[RM_Code],$A50,T_TTAFStock[WeekIndex],85),CG50+'Grid_Incoming'!CH50-'Grid_Requirement'!CH50))</f>
        <v/>
      </c>
      <c r="CI50">
        <f>IF(COUNTIFS(T_StockCount[RM_Code],$A50,T_StockCount[WeekIndex],86)&gt;0,SUMIFS(T_StockCount[CountedQty],T_StockCount[RM_Code],$A50,T_StockCount[WeekIndex],86),IF((COUNTIFS(T_SelfStock[RM_Code],$A50,T_SelfStock[WeekIndex],86)&gt;0)*(COUNTIFS(T_TTAFStock[RM_Code],$A50,T_TTAFStock[WeekIndex],86)&gt;0)&gt;0,SUMIFS(T_SelfStock[Self_Qty],T_SelfStock[RM_Code],$A50,T_SelfStock[WeekIndex],86)+SUMIFS(T_TTAFStock[TTAF_Qty],T_TTAFStock[RM_Code],$A50,T_TTAFStock[WeekIndex],86),CH50+'Grid_Incoming'!CI50-'Grid_Requirement'!CI50))</f>
        <v/>
      </c>
      <c r="CJ50">
        <f>IF(COUNTIFS(T_StockCount[RM_Code],$A50,T_StockCount[WeekIndex],87)&gt;0,SUMIFS(T_StockCount[CountedQty],T_StockCount[RM_Code],$A50,T_StockCount[WeekIndex],87),IF((COUNTIFS(T_SelfStock[RM_Code],$A50,T_SelfStock[WeekIndex],87)&gt;0)*(COUNTIFS(T_TTAFStock[RM_Code],$A50,T_TTAFStock[WeekIndex],87)&gt;0)&gt;0,SUMIFS(T_SelfStock[Self_Qty],T_SelfStock[RM_Code],$A50,T_SelfStock[WeekIndex],87)+SUMIFS(T_TTAFStock[TTAF_Qty],T_TTAFStock[RM_Code],$A50,T_TTAFStock[WeekIndex],87),CI50+'Grid_Incoming'!CJ50-'Grid_Requirement'!CJ50))</f>
        <v/>
      </c>
      <c r="CK50">
        <f>IF(COUNTIFS(T_StockCount[RM_Code],$A50,T_StockCount[WeekIndex],88)&gt;0,SUMIFS(T_StockCount[CountedQty],T_StockCount[RM_Code],$A50,T_StockCount[WeekIndex],88),IF((COUNTIFS(T_SelfStock[RM_Code],$A50,T_SelfStock[WeekIndex],88)&gt;0)*(COUNTIFS(T_TTAFStock[RM_Code],$A50,T_TTAFStock[WeekIndex],88)&gt;0)&gt;0,SUMIFS(T_SelfStock[Self_Qty],T_SelfStock[RM_Code],$A50,T_SelfStock[WeekIndex],88)+SUMIFS(T_TTAFStock[TTAF_Qty],T_TTAFStock[RM_Code],$A50,T_TTAFStock[WeekIndex],88),CJ50+'Grid_Incoming'!CK50-'Grid_Requirement'!CK50))</f>
        <v/>
      </c>
      <c r="CL50">
        <f>IF(COUNTIFS(T_StockCount[RM_Code],$A50,T_StockCount[WeekIndex],89)&gt;0,SUMIFS(T_StockCount[CountedQty],T_StockCount[RM_Code],$A50,T_StockCount[WeekIndex],89),IF((COUNTIFS(T_SelfStock[RM_Code],$A50,T_SelfStock[WeekIndex],89)&gt;0)*(COUNTIFS(T_TTAFStock[RM_Code],$A50,T_TTAFStock[WeekIndex],89)&gt;0)&gt;0,SUMIFS(T_SelfStock[Self_Qty],T_SelfStock[RM_Code],$A50,T_SelfStock[WeekIndex],89)+SUMIFS(T_TTAFStock[TTAF_Qty],T_TTAFStock[RM_Code],$A50,T_TTAFStock[WeekIndex],89),CK50+'Grid_Incoming'!CL50-'Grid_Requirement'!CL50))</f>
        <v/>
      </c>
      <c r="CM50">
        <f>IF(COUNTIFS(T_StockCount[RM_Code],$A50,T_StockCount[WeekIndex],90)&gt;0,SUMIFS(T_StockCount[CountedQty],T_StockCount[RM_Code],$A50,T_StockCount[WeekIndex],90),IF((COUNTIFS(T_SelfStock[RM_Code],$A50,T_SelfStock[WeekIndex],90)&gt;0)*(COUNTIFS(T_TTAFStock[RM_Code],$A50,T_TTAFStock[WeekIndex],90)&gt;0)&gt;0,SUMIFS(T_SelfStock[Self_Qty],T_SelfStock[RM_Code],$A50,T_SelfStock[WeekIndex],90)+SUMIFS(T_TTAFStock[TTAF_Qty],T_TTAFStock[RM_Code],$A50,T_TTAFStock[WeekIndex],90),CL50+'Grid_Incoming'!CM50-'Grid_Requirement'!CM50))</f>
        <v/>
      </c>
      <c r="CN50">
        <f>IF(COUNTIFS(T_StockCount[RM_Code],$A50,T_StockCount[WeekIndex],91)&gt;0,SUMIFS(T_StockCount[CountedQty],T_StockCount[RM_Code],$A50,T_StockCount[WeekIndex],91),IF((COUNTIFS(T_SelfStock[RM_Code],$A50,T_SelfStock[WeekIndex],91)&gt;0)*(COUNTIFS(T_TTAFStock[RM_Code],$A50,T_TTAFStock[WeekIndex],91)&gt;0)&gt;0,SUMIFS(T_SelfStock[Self_Qty],T_SelfStock[RM_Code],$A50,T_SelfStock[WeekIndex],91)+SUMIFS(T_TTAFStock[TTAF_Qty],T_TTAFStock[RM_Code],$A50,T_TTAFStock[WeekIndex],91),CM50+'Grid_Incoming'!CN50-'Grid_Requirement'!CN50))</f>
        <v/>
      </c>
      <c r="CO50">
        <f>IF(COUNTIFS(T_StockCount[RM_Code],$A50,T_StockCount[WeekIndex],92)&gt;0,SUMIFS(T_StockCount[CountedQty],T_StockCount[RM_Code],$A50,T_StockCount[WeekIndex],92),IF((COUNTIFS(T_SelfStock[RM_Code],$A50,T_SelfStock[WeekIndex],92)&gt;0)*(COUNTIFS(T_TTAFStock[RM_Code],$A50,T_TTAFStock[WeekIndex],92)&gt;0)&gt;0,SUMIFS(T_SelfStock[Self_Qty],T_SelfStock[RM_Code],$A50,T_SelfStock[WeekIndex],92)+SUMIFS(T_TTAFStock[TTAF_Qty],T_TTAFStock[RM_Code],$A50,T_TTAFStock[WeekIndex],92),CN50+'Grid_Incoming'!CO50-'Grid_Requirement'!CO50))</f>
        <v/>
      </c>
      <c r="CP50">
        <f>IF(COUNTIFS(T_StockCount[RM_Code],$A50,T_StockCount[WeekIndex],93)&gt;0,SUMIFS(T_StockCount[CountedQty],T_StockCount[RM_Code],$A50,T_StockCount[WeekIndex],93),IF((COUNTIFS(T_SelfStock[RM_Code],$A50,T_SelfStock[WeekIndex],93)&gt;0)*(COUNTIFS(T_TTAFStock[RM_Code],$A50,T_TTAFStock[WeekIndex],93)&gt;0)&gt;0,SUMIFS(T_SelfStock[Self_Qty],T_SelfStock[RM_Code],$A50,T_SelfStock[WeekIndex],93)+SUMIFS(T_TTAFStock[TTAF_Qty],T_TTAFStock[RM_Code],$A50,T_TTAFStock[WeekIndex],93),CO50+'Grid_Incoming'!CP50-'Grid_Requirement'!CP50))</f>
        <v/>
      </c>
      <c r="CQ50">
        <f>IF(COUNTIFS(T_StockCount[RM_Code],$A50,T_StockCount[WeekIndex],94)&gt;0,SUMIFS(T_StockCount[CountedQty],T_StockCount[RM_Code],$A50,T_StockCount[WeekIndex],94),IF((COUNTIFS(T_SelfStock[RM_Code],$A50,T_SelfStock[WeekIndex],94)&gt;0)*(COUNTIFS(T_TTAFStock[RM_Code],$A50,T_TTAFStock[WeekIndex],94)&gt;0)&gt;0,SUMIFS(T_SelfStock[Self_Qty],T_SelfStock[RM_Code],$A50,T_SelfStock[WeekIndex],94)+SUMIFS(T_TTAFStock[TTAF_Qty],T_TTAFStock[RM_Code],$A50,T_TTAFStock[WeekIndex],94),CP50+'Grid_Incoming'!CQ50-'Grid_Requirement'!CQ50))</f>
        <v/>
      </c>
      <c r="CR50">
        <f>IF(COUNTIFS(T_StockCount[RM_Code],$A50,T_StockCount[WeekIndex],95)&gt;0,SUMIFS(T_StockCount[CountedQty],T_StockCount[RM_Code],$A50,T_StockCount[WeekIndex],95),IF((COUNTIFS(T_SelfStock[RM_Code],$A50,T_SelfStock[WeekIndex],95)&gt;0)*(COUNTIFS(T_TTAFStock[RM_Code],$A50,T_TTAFStock[WeekIndex],95)&gt;0)&gt;0,SUMIFS(T_SelfStock[Self_Qty],T_SelfStock[RM_Code],$A50,T_SelfStock[WeekIndex],95)+SUMIFS(T_TTAFStock[TTAF_Qty],T_TTAFStock[RM_Code],$A50,T_TTAFStock[WeekIndex],95),CQ50+'Grid_Incoming'!CR50-'Grid_Requirement'!CR50))</f>
        <v/>
      </c>
      <c r="CS50">
        <f>IF(COUNTIFS(T_StockCount[RM_Code],$A50,T_StockCount[WeekIndex],96)&gt;0,SUMIFS(T_StockCount[CountedQty],T_StockCount[RM_Code],$A50,T_StockCount[WeekIndex],96),IF((COUNTIFS(T_SelfStock[RM_Code],$A50,T_SelfStock[WeekIndex],96)&gt;0)*(COUNTIFS(T_TTAFStock[RM_Code],$A50,T_TTAFStock[WeekIndex],96)&gt;0)&gt;0,SUMIFS(T_SelfStock[Self_Qty],T_SelfStock[RM_Code],$A50,T_SelfStock[WeekIndex],96)+SUMIFS(T_TTAFStock[TTAF_Qty],T_TTAFStock[RM_Code],$A50,T_TTAFStock[WeekIndex],96),CR50+'Grid_Incoming'!CS50-'Grid_Requirement'!CS50))</f>
        <v/>
      </c>
      <c r="CT50">
        <f>IF(COUNTIFS(T_StockCount[RM_Code],$A50,T_StockCount[WeekIndex],97)&gt;0,SUMIFS(T_StockCount[CountedQty],T_StockCount[RM_Code],$A50,T_StockCount[WeekIndex],97),IF((COUNTIFS(T_SelfStock[RM_Code],$A50,T_SelfStock[WeekIndex],97)&gt;0)*(COUNTIFS(T_TTAFStock[RM_Code],$A50,T_TTAFStock[WeekIndex],97)&gt;0)&gt;0,SUMIFS(T_SelfStock[Self_Qty],T_SelfStock[RM_Code],$A50,T_SelfStock[WeekIndex],97)+SUMIFS(T_TTAFStock[TTAF_Qty],T_TTAFStock[RM_Code],$A50,T_TTAFStock[WeekIndex],97),CS50+'Grid_Incoming'!CT50-'Grid_Requirement'!CT50))</f>
        <v/>
      </c>
      <c r="CU50">
        <f>IF(COUNTIFS(T_StockCount[RM_Code],$A50,T_StockCount[WeekIndex],98)&gt;0,SUMIFS(T_StockCount[CountedQty],T_StockCount[RM_Code],$A50,T_StockCount[WeekIndex],98),IF((COUNTIFS(T_SelfStock[RM_Code],$A50,T_SelfStock[WeekIndex],98)&gt;0)*(COUNTIFS(T_TTAFStock[RM_Code],$A50,T_TTAFStock[WeekIndex],98)&gt;0)&gt;0,SUMIFS(T_SelfStock[Self_Qty],T_SelfStock[RM_Code],$A50,T_SelfStock[WeekIndex],98)+SUMIFS(T_TTAFStock[TTAF_Qty],T_TTAFStock[RM_Code],$A50,T_TTAFStock[WeekIndex],98),CT50+'Grid_Incoming'!CU50-'Grid_Requirement'!CU50))</f>
        <v/>
      </c>
      <c r="CV50">
        <f>IF(COUNTIFS(T_StockCount[RM_Code],$A50,T_StockCount[WeekIndex],99)&gt;0,SUMIFS(T_StockCount[CountedQty],T_StockCount[RM_Code],$A50,T_StockCount[WeekIndex],99),IF((COUNTIFS(T_SelfStock[RM_Code],$A50,T_SelfStock[WeekIndex],99)&gt;0)*(COUNTIFS(T_TTAFStock[RM_Code],$A50,T_TTAFStock[WeekIndex],99)&gt;0)&gt;0,SUMIFS(T_SelfStock[Self_Qty],T_SelfStock[RM_Code],$A50,T_SelfStock[WeekIndex],99)+SUMIFS(T_TTAFStock[TTAF_Qty],T_TTAFStock[RM_Code],$A50,T_TTAFStock[WeekIndex],99),CU50+'Grid_Incoming'!CV50-'Grid_Requirement'!CV50))</f>
        <v/>
      </c>
      <c r="CW50">
        <f>IF(COUNTIFS(T_StockCount[RM_Code],$A50,T_StockCount[WeekIndex],100)&gt;0,SUMIFS(T_StockCount[CountedQty],T_StockCount[RM_Code],$A50,T_StockCount[WeekIndex],100),IF((COUNTIFS(T_SelfStock[RM_Code],$A50,T_SelfStock[WeekIndex],100)&gt;0)*(COUNTIFS(T_TTAFStock[RM_Code],$A50,T_TTAFStock[WeekIndex],100)&gt;0)&gt;0,SUMIFS(T_SelfStock[Self_Qty],T_SelfStock[RM_Code],$A50,T_SelfStock[WeekIndex],100)+SUMIFS(T_TTAFStock[TTAF_Qty],T_TTAFStock[RM_Code],$A50,T_TTAFStock[WeekIndex],100),CV50+'Grid_Incoming'!CW50-'Grid_Requirement'!CW50))</f>
        <v/>
      </c>
      <c r="CX50">
        <f>IF(COUNTIFS(T_StockCount[RM_Code],$A50,T_StockCount[WeekIndex],101)&gt;0,SUMIFS(T_StockCount[CountedQty],T_StockCount[RM_Code],$A50,T_StockCount[WeekIndex],101),IF((COUNTIFS(T_SelfStock[RM_Code],$A50,T_SelfStock[WeekIndex],101)&gt;0)*(COUNTIFS(T_TTAFStock[RM_Code],$A50,T_TTAFStock[WeekIndex],101)&gt;0)&gt;0,SUMIFS(T_SelfStock[Self_Qty],T_SelfStock[RM_Code],$A50,T_SelfStock[WeekIndex],101)+SUMIFS(T_TTAFStock[TTAF_Qty],T_TTAFStock[RM_Code],$A50,T_TTAFStock[WeekIndex],101),CW50+'Grid_Incoming'!CX50-'Grid_Requirement'!CX50))</f>
        <v/>
      </c>
      <c r="CY50">
        <f>IF(COUNTIFS(T_StockCount[RM_Code],$A50,T_StockCount[WeekIndex],102)&gt;0,SUMIFS(T_StockCount[CountedQty],T_StockCount[RM_Code],$A50,T_StockCount[WeekIndex],102),IF((COUNTIFS(T_SelfStock[RM_Code],$A50,T_SelfStock[WeekIndex],102)&gt;0)*(COUNTIFS(T_TTAFStock[RM_Code],$A50,T_TTAFStock[WeekIndex],102)&gt;0)&gt;0,SUMIFS(T_SelfStock[Self_Qty],T_SelfStock[RM_Code],$A50,T_SelfStock[WeekIndex],102)+SUMIFS(T_TTAFStock[TTAF_Qty],T_TTAFStock[RM_Code],$A50,T_TTAFStock[WeekIndex],102),CX50+'Grid_Incoming'!CY50-'Grid_Requirement'!CY50))</f>
        <v/>
      </c>
      <c r="CZ50">
        <f>IF(COUNTIFS(T_StockCount[RM_Code],$A50,T_StockCount[WeekIndex],103)&gt;0,SUMIFS(T_StockCount[CountedQty],T_StockCount[RM_Code],$A50,T_StockCount[WeekIndex],103),IF((COUNTIFS(T_SelfStock[RM_Code],$A50,T_SelfStock[WeekIndex],103)&gt;0)*(COUNTIFS(T_TTAFStock[RM_Code],$A50,T_TTAFStock[WeekIndex],103)&gt;0)&gt;0,SUMIFS(T_SelfStock[Self_Qty],T_SelfStock[RM_Code],$A50,T_SelfStock[WeekIndex],103)+SUMIFS(T_TTAFStock[TTAF_Qty],T_TTAFStock[RM_Code],$A50,T_TTAFStock[WeekIndex],103),CY50+'Grid_Incoming'!CZ50-'Grid_Requirement'!CZ50))</f>
        <v/>
      </c>
      <c r="DA50">
        <f>IF(COUNTIFS(T_StockCount[RM_Code],$A50,T_StockCount[WeekIndex],104)&gt;0,SUMIFS(T_StockCount[CountedQty],T_StockCount[RM_Code],$A50,T_StockCount[WeekIndex],104),IF((COUNTIFS(T_SelfStock[RM_Code],$A50,T_SelfStock[WeekIndex],104)&gt;0)*(COUNTIFS(T_TTAFStock[RM_Code],$A50,T_TTAFStock[WeekIndex],104)&gt;0)&gt;0,SUMIFS(T_SelfStock[Self_Qty],T_SelfStock[RM_Code],$A50,T_SelfStock[WeekIndex],104)+SUMIFS(T_TTAFStock[TTAF_Qty],T_TTAFStock[RM_Code],$A50,T_TTAFStock[WeekIndex],104),CZ50+'Grid_Incoming'!DA50-'Grid_Requirement'!DA50))</f>
        <v/>
      </c>
    </row>
    <row r="51">
      <c r="A51" t="inlineStr">
        <is>
          <t>CHEM-1560</t>
        </is>
      </c>
      <c r="B51">
        <f>IF(COUNTIFS(T_StockCount[RM_Code],$A51,T_StockCount[WeekIndex],1)&gt;0,SUMIFS(T_StockCount[CountedQty],T_StockCount[RM_Code],$A51,T_StockCount[WeekIndex],1),IF((COUNTIFS(T_SelfStock[RM_Code],$A51,T_SelfStock[WeekIndex],1)&gt;0)*(COUNTIFS(T_TTAFStock[RM_Code],$A51,T_TTAFStock[WeekIndex],1)&gt;0)&gt;0,SUMIFS(T_SelfStock[Self_Qty],T_SelfStock[RM_Code],$A51,T_SelfStock[WeekIndex],1)+SUMIFS(T_TTAFStock[TTAF_Qty],T_TTAFStock[RM_Code],$A51,T_TTAFStock[WeekIndex],1),IFERROR(INDEX(T_OpeningStock[Opening_Qty],MATCH($A51,T_OpeningStock[RM_Code],0)),0)+'Grid_Incoming'!B51-'Grid_Requirement'!B51))</f>
        <v/>
      </c>
      <c r="C51">
        <f>IF(COUNTIFS(T_StockCount[RM_Code],$A51,T_StockCount[WeekIndex],2)&gt;0,SUMIFS(T_StockCount[CountedQty],T_StockCount[RM_Code],$A51,T_StockCount[WeekIndex],2),IF((COUNTIFS(T_SelfStock[RM_Code],$A51,T_SelfStock[WeekIndex],2)&gt;0)*(COUNTIFS(T_TTAFStock[RM_Code],$A51,T_TTAFStock[WeekIndex],2)&gt;0)&gt;0,SUMIFS(T_SelfStock[Self_Qty],T_SelfStock[RM_Code],$A51,T_SelfStock[WeekIndex],2)+SUMIFS(T_TTAFStock[TTAF_Qty],T_TTAFStock[RM_Code],$A51,T_TTAFStock[WeekIndex],2),B51+'Grid_Incoming'!C51-'Grid_Requirement'!C51))</f>
        <v/>
      </c>
      <c r="D51">
        <f>IF(COUNTIFS(T_StockCount[RM_Code],$A51,T_StockCount[WeekIndex],3)&gt;0,SUMIFS(T_StockCount[CountedQty],T_StockCount[RM_Code],$A51,T_StockCount[WeekIndex],3),IF((COUNTIFS(T_SelfStock[RM_Code],$A51,T_SelfStock[WeekIndex],3)&gt;0)*(COUNTIFS(T_TTAFStock[RM_Code],$A51,T_TTAFStock[WeekIndex],3)&gt;0)&gt;0,SUMIFS(T_SelfStock[Self_Qty],T_SelfStock[RM_Code],$A51,T_SelfStock[WeekIndex],3)+SUMIFS(T_TTAFStock[TTAF_Qty],T_TTAFStock[RM_Code],$A51,T_TTAFStock[WeekIndex],3),C51+'Grid_Incoming'!D51-'Grid_Requirement'!D51))</f>
        <v/>
      </c>
      <c r="E51">
        <f>IF(COUNTIFS(T_StockCount[RM_Code],$A51,T_StockCount[WeekIndex],4)&gt;0,SUMIFS(T_StockCount[CountedQty],T_StockCount[RM_Code],$A51,T_StockCount[WeekIndex],4),IF((COUNTIFS(T_SelfStock[RM_Code],$A51,T_SelfStock[WeekIndex],4)&gt;0)*(COUNTIFS(T_TTAFStock[RM_Code],$A51,T_TTAFStock[WeekIndex],4)&gt;0)&gt;0,SUMIFS(T_SelfStock[Self_Qty],T_SelfStock[RM_Code],$A51,T_SelfStock[WeekIndex],4)+SUMIFS(T_TTAFStock[TTAF_Qty],T_TTAFStock[RM_Code],$A51,T_TTAFStock[WeekIndex],4),D51+'Grid_Incoming'!E51-'Grid_Requirement'!E51))</f>
        <v/>
      </c>
      <c r="F51">
        <f>IF(COUNTIFS(T_StockCount[RM_Code],$A51,T_StockCount[WeekIndex],5)&gt;0,SUMIFS(T_StockCount[CountedQty],T_StockCount[RM_Code],$A51,T_StockCount[WeekIndex],5),IF((COUNTIFS(T_SelfStock[RM_Code],$A51,T_SelfStock[WeekIndex],5)&gt;0)*(COUNTIFS(T_TTAFStock[RM_Code],$A51,T_TTAFStock[WeekIndex],5)&gt;0)&gt;0,SUMIFS(T_SelfStock[Self_Qty],T_SelfStock[RM_Code],$A51,T_SelfStock[WeekIndex],5)+SUMIFS(T_TTAFStock[TTAF_Qty],T_TTAFStock[RM_Code],$A51,T_TTAFStock[WeekIndex],5),E51+'Grid_Incoming'!F51-'Grid_Requirement'!F51))</f>
        <v/>
      </c>
      <c r="G51">
        <f>IF(COUNTIFS(T_StockCount[RM_Code],$A51,T_StockCount[WeekIndex],6)&gt;0,SUMIFS(T_StockCount[CountedQty],T_StockCount[RM_Code],$A51,T_StockCount[WeekIndex],6),IF((COUNTIFS(T_SelfStock[RM_Code],$A51,T_SelfStock[WeekIndex],6)&gt;0)*(COUNTIFS(T_TTAFStock[RM_Code],$A51,T_TTAFStock[WeekIndex],6)&gt;0)&gt;0,SUMIFS(T_SelfStock[Self_Qty],T_SelfStock[RM_Code],$A51,T_SelfStock[WeekIndex],6)+SUMIFS(T_TTAFStock[TTAF_Qty],T_TTAFStock[RM_Code],$A51,T_TTAFStock[WeekIndex],6),F51+'Grid_Incoming'!G51-'Grid_Requirement'!G51))</f>
        <v/>
      </c>
      <c r="H51">
        <f>IF(COUNTIFS(T_StockCount[RM_Code],$A51,T_StockCount[WeekIndex],7)&gt;0,SUMIFS(T_StockCount[CountedQty],T_StockCount[RM_Code],$A51,T_StockCount[WeekIndex],7),IF((COUNTIFS(T_SelfStock[RM_Code],$A51,T_SelfStock[WeekIndex],7)&gt;0)*(COUNTIFS(T_TTAFStock[RM_Code],$A51,T_TTAFStock[WeekIndex],7)&gt;0)&gt;0,SUMIFS(T_SelfStock[Self_Qty],T_SelfStock[RM_Code],$A51,T_SelfStock[WeekIndex],7)+SUMIFS(T_TTAFStock[TTAF_Qty],T_TTAFStock[RM_Code],$A51,T_TTAFStock[WeekIndex],7),G51+'Grid_Incoming'!H51-'Grid_Requirement'!H51))</f>
        <v/>
      </c>
      <c r="I51">
        <f>IF(COUNTIFS(T_StockCount[RM_Code],$A51,T_StockCount[WeekIndex],8)&gt;0,SUMIFS(T_StockCount[CountedQty],T_StockCount[RM_Code],$A51,T_StockCount[WeekIndex],8),IF((COUNTIFS(T_SelfStock[RM_Code],$A51,T_SelfStock[WeekIndex],8)&gt;0)*(COUNTIFS(T_TTAFStock[RM_Code],$A51,T_TTAFStock[WeekIndex],8)&gt;0)&gt;0,SUMIFS(T_SelfStock[Self_Qty],T_SelfStock[RM_Code],$A51,T_SelfStock[WeekIndex],8)+SUMIFS(T_TTAFStock[TTAF_Qty],T_TTAFStock[RM_Code],$A51,T_TTAFStock[WeekIndex],8),H51+'Grid_Incoming'!I51-'Grid_Requirement'!I51))</f>
        <v/>
      </c>
      <c r="J51">
        <f>IF(COUNTIFS(T_StockCount[RM_Code],$A51,T_StockCount[WeekIndex],9)&gt;0,SUMIFS(T_StockCount[CountedQty],T_StockCount[RM_Code],$A51,T_StockCount[WeekIndex],9),IF((COUNTIFS(T_SelfStock[RM_Code],$A51,T_SelfStock[WeekIndex],9)&gt;0)*(COUNTIFS(T_TTAFStock[RM_Code],$A51,T_TTAFStock[WeekIndex],9)&gt;0)&gt;0,SUMIFS(T_SelfStock[Self_Qty],T_SelfStock[RM_Code],$A51,T_SelfStock[WeekIndex],9)+SUMIFS(T_TTAFStock[TTAF_Qty],T_TTAFStock[RM_Code],$A51,T_TTAFStock[WeekIndex],9),I51+'Grid_Incoming'!J51-'Grid_Requirement'!J51))</f>
        <v/>
      </c>
      <c r="K51">
        <f>IF(COUNTIFS(T_StockCount[RM_Code],$A51,T_StockCount[WeekIndex],10)&gt;0,SUMIFS(T_StockCount[CountedQty],T_StockCount[RM_Code],$A51,T_StockCount[WeekIndex],10),IF((COUNTIFS(T_SelfStock[RM_Code],$A51,T_SelfStock[WeekIndex],10)&gt;0)*(COUNTIFS(T_TTAFStock[RM_Code],$A51,T_TTAFStock[WeekIndex],10)&gt;0)&gt;0,SUMIFS(T_SelfStock[Self_Qty],T_SelfStock[RM_Code],$A51,T_SelfStock[WeekIndex],10)+SUMIFS(T_TTAFStock[TTAF_Qty],T_TTAFStock[RM_Code],$A51,T_TTAFStock[WeekIndex],10),J51+'Grid_Incoming'!K51-'Grid_Requirement'!K51))</f>
        <v/>
      </c>
      <c r="L51">
        <f>IF(COUNTIFS(T_StockCount[RM_Code],$A51,T_StockCount[WeekIndex],11)&gt;0,SUMIFS(T_StockCount[CountedQty],T_StockCount[RM_Code],$A51,T_StockCount[WeekIndex],11),IF((COUNTIFS(T_SelfStock[RM_Code],$A51,T_SelfStock[WeekIndex],11)&gt;0)*(COUNTIFS(T_TTAFStock[RM_Code],$A51,T_TTAFStock[WeekIndex],11)&gt;0)&gt;0,SUMIFS(T_SelfStock[Self_Qty],T_SelfStock[RM_Code],$A51,T_SelfStock[WeekIndex],11)+SUMIFS(T_TTAFStock[TTAF_Qty],T_TTAFStock[RM_Code],$A51,T_TTAFStock[WeekIndex],11),K51+'Grid_Incoming'!L51-'Grid_Requirement'!L51))</f>
        <v/>
      </c>
      <c r="M51">
        <f>IF(COUNTIFS(T_StockCount[RM_Code],$A51,T_StockCount[WeekIndex],12)&gt;0,SUMIFS(T_StockCount[CountedQty],T_StockCount[RM_Code],$A51,T_StockCount[WeekIndex],12),IF((COUNTIFS(T_SelfStock[RM_Code],$A51,T_SelfStock[WeekIndex],12)&gt;0)*(COUNTIFS(T_TTAFStock[RM_Code],$A51,T_TTAFStock[WeekIndex],12)&gt;0)&gt;0,SUMIFS(T_SelfStock[Self_Qty],T_SelfStock[RM_Code],$A51,T_SelfStock[WeekIndex],12)+SUMIFS(T_TTAFStock[TTAF_Qty],T_TTAFStock[RM_Code],$A51,T_TTAFStock[WeekIndex],12),L51+'Grid_Incoming'!M51-'Grid_Requirement'!M51))</f>
        <v/>
      </c>
      <c r="N51">
        <f>IF(COUNTIFS(T_StockCount[RM_Code],$A51,T_StockCount[WeekIndex],13)&gt;0,SUMIFS(T_StockCount[CountedQty],T_StockCount[RM_Code],$A51,T_StockCount[WeekIndex],13),IF((COUNTIFS(T_SelfStock[RM_Code],$A51,T_SelfStock[WeekIndex],13)&gt;0)*(COUNTIFS(T_TTAFStock[RM_Code],$A51,T_TTAFStock[WeekIndex],13)&gt;0)&gt;0,SUMIFS(T_SelfStock[Self_Qty],T_SelfStock[RM_Code],$A51,T_SelfStock[WeekIndex],13)+SUMIFS(T_TTAFStock[TTAF_Qty],T_TTAFStock[RM_Code],$A51,T_TTAFStock[WeekIndex],13),M51+'Grid_Incoming'!N51-'Grid_Requirement'!N51))</f>
        <v/>
      </c>
      <c r="O51">
        <f>IF(COUNTIFS(T_StockCount[RM_Code],$A51,T_StockCount[WeekIndex],14)&gt;0,SUMIFS(T_StockCount[CountedQty],T_StockCount[RM_Code],$A51,T_StockCount[WeekIndex],14),IF((COUNTIFS(T_SelfStock[RM_Code],$A51,T_SelfStock[WeekIndex],14)&gt;0)*(COUNTIFS(T_TTAFStock[RM_Code],$A51,T_TTAFStock[WeekIndex],14)&gt;0)&gt;0,SUMIFS(T_SelfStock[Self_Qty],T_SelfStock[RM_Code],$A51,T_SelfStock[WeekIndex],14)+SUMIFS(T_TTAFStock[TTAF_Qty],T_TTAFStock[RM_Code],$A51,T_TTAFStock[WeekIndex],14),N51+'Grid_Incoming'!O51-'Grid_Requirement'!O51))</f>
        <v/>
      </c>
      <c r="P51">
        <f>IF(COUNTIFS(T_StockCount[RM_Code],$A51,T_StockCount[WeekIndex],15)&gt;0,SUMIFS(T_StockCount[CountedQty],T_StockCount[RM_Code],$A51,T_StockCount[WeekIndex],15),IF((COUNTIFS(T_SelfStock[RM_Code],$A51,T_SelfStock[WeekIndex],15)&gt;0)*(COUNTIFS(T_TTAFStock[RM_Code],$A51,T_TTAFStock[WeekIndex],15)&gt;0)&gt;0,SUMIFS(T_SelfStock[Self_Qty],T_SelfStock[RM_Code],$A51,T_SelfStock[WeekIndex],15)+SUMIFS(T_TTAFStock[TTAF_Qty],T_TTAFStock[RM_Code],$A51,T_TTAFStock[WeekIndex],15),O51+'Grid_Incoming'!P51-'Grid_Requirement'!P51))</f>
        <v/>
      </c>
      <c r="Q51">
        <f>IF(COUNTIFS(T_StockCount[RM_Code],$A51,T_StockCount[WeekIndex],16)&gt;0,SUMIFS(T_StockCount[CountedQty],T_StockCount[RM_Code],$A51,T_StockCount[WeekIndex],16),IF((COUNTIFS(T_SelfStock[RM_Code],$A51,T_SelfStock[WeekIndex],16)&gt;0)*(COUNTIFS(T_TTAFStock[RM_Code],$A51,T_TTAFStock[WeekIndex],16)&gt;0)&gt;0,SUMIFS(T_SelfStock[Self_Qty],T_SelfStock[RM_Code],$A51,T_SelfStock[WeekIndex],16)+SUMIFS(T_TTAFStock[TTAF_Qty],T_TTAFStock[RM_Code],$A51,T_TTAFStock[WeekIndex],16),P51+'Grid_Incoming'!Q51-'Grid_Requirement'!Q51))</f>
        <v/>
      </c>
      <c r="R51">
        <f>IF(COUNTIFS(T_StockCount[RM_Code],$A51,T_StockCount[WeekIndex],17)&gt;0,SUMIFS(T_StockCount[CountedQty],T_StockCount[RM_Code],$A51,T_StockCount[WeekIndex],17),IF((COUNTIFS(T_SelfStock[RM_Code],$A51,T_SelfStock[WeekIndex],17)&gt;0)*(COUNTIFS(T_TTAFStock[RM_Code],$A51,T_TTAFStock[WeekIndex],17)&gt;0)&gt;0,SUMIFS(T_SelfStock[Self_Qty],T_SelfStock[RM_Code],$A51,T_SelfStock[WeekIndex],17)+SUMIFS(T_TTAFStock[TTAF_Qty],T_TTAFStock[RM_Code],$A51,T_TTAFStock[WeekIndex],17),Q51+'Grid_Incoming'!R51-'Grid_Requirement'!R51))</f>
        <v/>
      </c>
      <c r="S51">
        <f>IF(COUNTIFS(T_StockCount[RM_Code],$A51,T_StockCount[WeekIndex],18)&gt;0,SUMIFS(T_StockCount[CountedQty],T_StockCount[RM_Code],$A51,T_StockCount[WeekIndex],18),IF((COUNTIFS(T_SelfStock[RM_Code],$A51,T_SelfStock[WeekIndex],18)&gt;0)*(COUNTIFS(T_TTAFStock[RM_Code],$A51,T_TTAFStock[WeekIndex],18)&gt;0)&gt;0,SUMIFS(T_SelfStock[Self_Qty],T_SelfStock[RM_Code],$A51,T_SelfStock[WeekIndex],18)+SUMIFS(T_TTAFStock[TTAF_Qty],T_TTAFStock[RM_Code],$A51,T_TTAFStock[WeekIndex],18),R51+'Grid_Incoming'!S51-'Grid_Requirement'!S51))</f>
        <v/>
      </c>
      <c r="T51">
        <f>IF(COUNTIFS(T_StockCount[RM_Code],$A51,T_StockCount[WeekIndex],19)&gt;0,SUMIFS(T_StockCount[CountedQty],T_StockCount[RM_Code],$A51,T_StockCount[WeekIndex],19),IF((COUNTIFS(T_SelfStock[RM_Code],$A51,T_SelfStock[WeekIndex],19)&gt;0)*(COUNTIFS(T_TTAFStock[RM_Code],$A51,T_TTAFStock[WeekIndex],19)&gt;0)&gt;0,SUMIFS(T_SelfStock[Self_Qty],T_SelfStock[RM_Code],$A51,T_SelfStock[WeekIndex],19)+SUMIFS(T_TTAFStock[TTAF_Qty],T_TTAFStock[RM_Code],$A51,T_TTAFStock[WeekIndex],19),S51+'Grid_Incoming'!T51-'Grid_Requirement'!T51))</f>
        <v/>
      </c>
      <c r="U51">
        <f>IF(COUNTIFS(T_StockCount[RM_Code],$A51,T_StockCount[WeekIndex],20)&gt;0,SUMIFS(T_StockCount[CountedQty],T_StockCount[RM_Code],$A51,T_StockCount[WeekIndex],20),IF((COUNTIFS(T_SelfStock[RM_Code],$A51,T_SelfStock[WeekIndex],20)&gt;0)*(COUNTIFS(T_TTAFStock[RM_Code],$A51,T_TTAFStock[WeekIndex],20)&gt;0)&gt;0,SUMIFS(T_SelfStock[Self_Qty],T_SelfStock[RM_Code],$A51,T_SelfStock[WeekIndex],20)+SUMIFS(T_TTAFStock[TTAF_Qty],T_TTAFStock[RM_Code],$A51,T_TTAFStock[WeekIndex],20),T51+'Grid_Incoming'!U51-'Grid_Requirement'!U51))</f>
        <v/>
      </c>
      <c r="V51">
        <f>IF(COUNTIFS(T_StockCount[RM_Code],$A51,T_StockCount[WeekIndex],21)&gt;0,SUMIFS(T_StockCount[CountedQty],T_StockCount[RM_Code],$A51,T_StockCount[WeekIndex],21),IF((COUNTIFS(T_SelfStock[RM_Code],$A51,T_SelfStock[WeekIndex],21)&gt;0)*(COUNTIFS(T_TTAFStock[RM_Code],$A51,T_TTAFStock[WeekIndex],21)&gt;0)&gt;0,SUMIFS(T_SelfStock[Self_Qty],T_SelfStock[RM_Code],$A51,T_SelfStock[WeekIndex],21)+SUMIFS(T_TTAFStock[TTAF_Qty],T_TTAFStock[RM_Code],$A51,T_TTAFStock[WeekIndex],21),U51+'Grid_Incoming'!V51-'Grid_Requirement'!V51))</f>
        <v/>
      </c>
      <c r="W51">
        <f>IF(COUNTIFS(T_StockCount[RM_Code],$A51,T_StockCount[WeekIndex],22)&gt;0,SUMIFS(T_StockCount[CountedQty],T_StockCount[RM_Code],$A51,T_StockCount[WeekIndex],22),IF((COUNTIFS(T_SelfStock[RM_Code],$A51,T_SelfStock[WeekIndex],22)&gt;0)*(COUNTIFS(T_TTAFStock[RM_Code],$A51,T_TTAFStock[WeekIndex],22)&gt;0)&gt;0,SUMIFS(T_SelfStock[Self_Qty],T_SelfStock[RM_Code],$A51,T_SelfStock[WeekIndex],22)+SUMIFS(T_TTAFStock[TTAF_Qty],T_TTAFStock[RM_Code],$A51,T_TTAFStock[WeekIndex],22),V51+'Grid_Incoming'!W51-'Grid_Requirement'!W51))</f>
        <v/>
      </c>
      <c r="X51">
        <f>IF(COUNTIFS(T_StockCount[RM_Code],$A51,T_StockCount[WeekIndex],23)&gt;0,SUMIFS(T_StockCount[CountedQty],T_StockCount[RM_Code],$A51,T_StockCount[WeekIndex],23),IF((COUNTIFS(T_SelfStock[RM_Code],$A51,T_SelfStock[WeekIndex],23)&gt;0)*(COUNTIFS(T_TTAFStock[RM_Code],$A51,T_TTAFStock[WeekIndex],23)&gt;0)&gt;0,SUMIFS(T_SelfStock[Self_Qty],T_SelfStock[RM_Code],$A51,T_SelfStock[WeekIndex],23)+SUMIFS(T_TTAFStock[TTAF_Qty],T_TTAFStock[RM_Code],$A51,T_TTAFStock[WeekIndex],23),W51+'Grid_Incoming'!X51-'Grid_Requirement'!X51))</f>
        <v/>
      </c>
      <c r="Y51">
        <f>IF(COUNTIFS(T_StockCount[RM_Code],$A51,T_StockCount[WeekIndex],24)&gt;0,SUMIFS(T_StockCount[CountedQty],T_StockCount[RM_Code],$A51,T_StockCount[WeekIndex],24),IF((COUNTIFS(T_SelfStock[RM_Code],$A51,T_SelfStock[WeekIndex],24)&gt;0)*(COUNTIFS(T_TTAFStock[RM_Code],$A51,T_TTAFStock[WeekIndex],24)&gt;0)&gt;0,SUMIFS(T_SelfStock[Self_Qty],T_SelfStock[RM_Code],$A51,T_SelfStock[WeekIndex],24)+SUMIFS(T_TTAFStock[TTAF_Qty],T_TTAFStock[RM_Code],$A51,T_TTAFStock[WeekIndex],24),X51+'Grid_Incoming'!Y51-'Grid_Requirement'!Y51))</f>
        <v/>
      </c>
      <c r="Z51">
        <f>IF(COUNTIFS(T_StockCount[RM_Code],$A51,T_StockCount[WeekIndex],25)&gt;0,SUMIFS(T_StockCount[CountedQty],T_StockCount[RM_Code],$A51,T_StockCount[WeekIndex],25),IF((COUNTIFS(T_SelfStock[RM_Code],$A51,T_SelfStock[WeekIndex],25)&gt;0)*(COUNTIFS(T_TTAFStock[RM_Code],$A51,T_TTAFStock[WeekIndex],25)&gt;0)&gt;0,SUMIFS(T_SelfStock[Self_Qty],T_SelfStock[RM_Code],$A51,T_SelfStock[WeekIndex],25)+SUMIFS(T_TTAFStock[TTAF_Qty],T_TTAFStock[RM_Code],$A51,T_TTAFStock[WeekIndex],25),Y51+'Grid_Incoming'!Z51-'Grid_Requirement'!Z51))</f>
        <v/>
      </c>
      <c r="AA51">
        <f>IF(COUNTIFS(T_StockCount[RM_Code],$A51,T_StockCount[WeekIndex],26)&gt;0,SUMIFS(T_StockCount[CountedQty],T_StockCount[RM_Code],$A51,T_StockCount[WeekIndex],26),IF((COUNTIFS(T_SelfStock[RM_Code],$A51,T_SelfStock[WeekIndex],26)&gt;0)*(COUNTIFS(T_TTAFStock[RM_Code],$A51,T_TTAFStock[WeekIndex],26)&gt;0)&gt;0,SUMIFS(T_SelfStock[Self_Qty],T_SelfStock[RM_Code],$A51,T_SelfStock[WeekIndex],26)+SUMIFS(T_TTAFStock[TTAF_Qty],T_TTAFStock[RM_Code],$A51,T_TTAFStock[WeekIndex],26),Z51+'Grid_Incoming'!AA51-'Grid_Requirement'!AA51))</f>
        <v/>
      </c>
      <c r="AB51">
        <f>IF(COUNTIFS(T_StockCount[RM_Code],$A51,T_StockCount[WeekIndex],27)&gt;0,SUMIFS(T_StockCount[CountedQty],T_StockCount[RM_Code],$A51,T_StockCount[WeekIndex],27),IF((COUNTIFS(T_SelfStock[RM_Code],$A51,T_SelfStock[WeekIndex],27)&gt;0)*(COUNTIFS(T_TTAFStock[RM_Code],$A51,T_TTAFStock[WeekIndex],27)&gt;0)&gt;0,SUMIFS(T_SelfStock[Self_Qty],T_SelfStock[RM_Code],$A51,T_SelfStock[WeekIndex],27)+SUMIFS(T_TTAFStock[TTAF_Qty],T_TTAFStock[RM_Code],$A51,T_TTAFStock[WeekIndex],27),AA51+'Grid_Incoming'!AB51-'Grid_Requirement'!AB51))</f>
        <v/>
      </c>
      <c r="AC51">
        <f>IF(COUNTIFS(T_StockCount[RM_Code],$A51,T_StockCount[WeekIndex],28)&gt;0,SUMIFS(T_StockCount[CountedQty],T_StockCount[RM_Code],$A51,T_StockCount[WeekIndex],28),IF((COUNTIFS(T_SelfStock[RM_Code],$A51,T_SelfStock[WeekIndex],28)&gt;0)*(COUNTIFS(T_TTAFStock[RM_Code],$A51,T_TTAFStock[WeekIndex],28)&gt;0)&gt;0,SUMIFS(T_SelfStock[Self_Qty],T_SelfStock[RM_Code],$A51,T_SelfStock[WeekIndex],28)+SUMIFS(T_TTAFStock[TTAF_Qty],T_TTAFStock[RM_Code],$A51,T_TTAFStock[WeekIndex],28),AB51+'Grid_Incoming'!AC51-'Grid_Requirement'!AC51))</f>
        <v/>
      </c>
      <c r="AD51">
        <f>IF(COUNTIFS(T_StockCount[RM_Code],$A51,T_StockCount[WeekIndex],29)&gt;0,SUMIFS(T_StockCount[CountedQty],T_StockCount[RM_Code],$A51,T_StockCount[WeekIndex],29),IF((COUNTIFS(T_SelfStock[RM_Code],$A51,T_SelfStock[WeekIndex],29)&gt;0)*(COUNTIFS(T_TTAFStock[RM_Code],$A51,T_TTAFStock[WeekIndex],29)&gt;0)&gt;0,SUMIFS(T_SelfStock[Self_Qty],T_SelfStock[RM_Code],$A51,T_SelfStock[WeekIndex],29)+SUMIFS(T_TTAFStock[TTAF_Qty],T_TTAFStock[RM_Code],$A51,T_TTAFStock[WeekIndex],29),AC51+'Grid_Incoming'!AD51-'Grid_Requirement'!AD51))</f>
        <v/>
      </c>
      <c r="AE51">
        <f>IF(COUNTIFS(T_StockCount[RM_Code],$A51,T_StockCount[WeekIndex],30)&gt;0,SUMIFS(T_StockCount[CountedQty],T_StockCount[RM_Code],$A51,T_StockCount[WeekIndex],30),IF((COUNTIFS(T_SelfStock[RM_Code],$A51,T_SelfStock[WeekIndex],30)&gt;0)*(COUNTIFS(T_TTAFStock[RM_Code],$A51,T_TTAFStock[WeekIndex],30)&gt;0)&gt;0,SUMIFS(T_SelfStock[Self_Qty],T_SelfStock[RM_Code],$A51,T_SelfStock[WeekIndex],30)+SUMIFS(T_TTAFStock[TTAF_Qty],T_TTAFStock[RM_Code],$A51,T_TTAFStock[WeekIndex],30),AD51+'Grid_Incoming'!AE51-'Grid_Requirement'!AE51))</f>
        <v/>
      </c>
      <c r="AF51">
        <f>IF(COUNTIFS(T_StockCount[RM_Code],$A51,T_StockCount[WeekIndex],31)&gt;0,SUMIFS(T_StockCount[CountedQty],T_StockCount[RM_Code],$A51,T_StockCount[WeekIndex],31),IF((COUNTIFS(T_SelfStock[RM_Code],$A51,T_SelfStock[WeekIndex],31)&gt;0)*(COUNTIFS(T_TTAFStock[RM_Code],$A51,T_TTAFStock[WeekIndex],31)&gt;0)&gt;0,SUMIFS(T_SelfStock[Self_Qty],T_SelfStock[RM_Code],$A51,T_SelfStock[WeekIndex],31)+SUMIFS(T_TTAFStock[TTAF_Qty],T_TTAFStock[RM_Code],$A51,T_TTAFStock[WeekIndex],31),AE51+'Grid_Incoming'!AF51-'Grid_Requirement'!AF51))</f>
        <v/>
      </c>
      <c r="AG51">
        <f>IF(COUNTIFS(T_StockCount[RM_Code],$A51,T_StockCount[WeekIndex],32)&gt;0,SUMIFS(T_StockCount[CountedQty],T_StockCount[RM_Code],$A51,T_StockCount[WeekIndex],32),IF((COUNTIFS(T_SelfStock[RM_Code],$A51,T_SelfStock[WeekIndex],32)&gt;0)*(COUNTIFS(T_TTAFStock[RM_Code],$A51,T_TTAFStock[WeekIndex],32)&gt;0)&gt;0,SUMIFS(T_SelfStock[Self_Qty],T_SelfStock[RM_Code],$A51,T_SelfStock[WeekIndex],32)+SUMIFS(T_TTAFStock[TTAF_Qty],T_TTAFStock[RM_Code],$A51,T_TTAFStock[WeekIndex],32),AF51+'Grid_Incoming'!AG51-'Grid_Requirement'!AG51))</f>
        <v/>
      </c>
      <c r="AH51">
        <f>IF(COUNTIFS(T_StockCount[RM_Code],$A51,T_StockCount[WeekIndex],33)&gt;0,SUMIFS(T_StockCount[CountedQty],T_StockCount[RM_Code],$A51,T_StockCount[WeekIndex],33),IF((COUNTIFS(T_SelfStock[RM_Code],$A51,T_SelfStock[WeekIndex],33)&gt;0)*(COUNTIFS(T_TTAFStock[RM_Code],$A51,T_TTAFStock[WeekIndex],33)&gt;0)&gt;0,SUMIFS(T_SelfStock[Self_Qty],T_SelfStock[RM_Code],$A51,T_SelfStock[WeekIndex],33)+SUMIFS(T_TTAFStock[TTAF_Qty],T_TTAFStock[RM_Code],$A51,T_TTAFStock[WeekIndex],33),AG51+'Grid_Incoming'!AH51-'Grid_Requirement'!AH51))</f>
        <v/>
      </c>
      <c r="AI51">
        <f>IF(COUNTIFS(T_StockCount[RM_Code],$A51,T_StockCount[WeekIndex],34)&gt;0,SUMIFS(T_StockCount[CountedQty],T_StockCount[RM_Code],$A51,T_StockCount[WeekIndex],34),IF((COUNTIFS(T_SelfStock[RM_Code],$A51,T_SelfStock[WeekIndex],34)&gt;0)*(COUNTIFS(T_TTAFStock[RM_Code],$A51,T_TTAFStock[WeekIndex],34)&gt;0)&gt;0,SUMIFS(T_SelfStock[Self_Qty],T_SelfStock[RM_Code],$A51,T_SelfStock[WeekIndex],34)+SUMIFS(T_TTAFStock[TTAF_Qty],T_TTAFStock[RM_Code],$A51,T_TTAFStock[WeekIndex],34),AH51+'Grid_Incoming'!AI51-'Grid_Requirement'!AI51))</f>
        <v/>
      </c>
      <c r="AJ51">
        <f>IF(COUNTIFS(T_StockCount[RM_Code],$A51,T_StockCount[WeekIndex],35)&gt;0,SUMIFS(T_StockCount[CountedQty],T_StockCount[RM_Code],$A51,T_StockCount[WeekIndex],35),IF((COUNTIFS(T_SelfStock[RM_Code],$A51,T_SelfStock[WeekIndex],35)&gt;0)*(COUNTIFS(T_TTAFStock[RM_Code],$A51,T_TTAFStock[WeekIndex],35)&gt;0)&gt;0,SUMIFS(T_SelfStock[Self_Qty],T_SelfStock[RM_Code],$A51,T_SelfStock[WeekIndex],35)+SUMIFS(T_TTAFStock[TTAF_Qty],T_TTAFStock[RM_Code],$A51,T_TTAFStock[WeekIndex],35),AI51+'Grid_Incoming'!AJ51-'Grid_Requirement'!AJ51))</f>
        <v/>
      </c>
      <c r="AK51">
        <f>IF(COUNTIFS(T_StockCount[RM_Code],$A51,T_StockCount[WeekIndex],36)&gt;0,SUMIFS(T_StockCount[CountedQty],T_StockCount[RM_Code],$A51,T_StockCount[WeekIndex],36),IF((COUNTIFS(T_SelfStock[RM_Code],$A51,T_SelfStock[WeekIndex],36)&gt;0)*(COUNTIFS(T_TTAFStock[RM_Code],$A51,T_TTAFStock[WeekIndex],36)&gt;0)&gt;0,SUMIFS(T_SelfStock[Self_Qty],T_SelfStock[RM_Code],$A51,T_SelfStock[WeekIndex],36)+SUMIFS(T_TTAFStock[TTAF_Qty],T_TTAFStock[RM_Code],$A51,T_TTAFStock[WeekIndex],36),AJ51+'Grid_Incoming'!AK51-'Grid_Requirement'!AK51))</f>
        <v/>
      </c>
      <c r="AL51">
        <f>IF(COUNTIFS(T_StockCount[RM_Code],$A51,T_StockCount[WeekIndex],37)&gt;0,SUMIFS(T_StockCount[CountedQty],T_StockCount[RM_Code],$A51,T_StockCount[WeekIndex],37),IF((COUNTIFS(T_SelfStock[RM_Code],$A51,T_SelfStock[WeekIndex],37)&gt;0)*(COUNTIFS(T_TTAFStock[RM_Code],$A51,T_TTAFStock[WeekIndex],37)&gt;0)&gt;0,SUMIFS(T_SelfStock[Self_Qty],T_SelfStock[RM_Code],$A51,T_SelfStock[WeekIndex],37)+SUMIFS(T_TTAFStock[TTAF_Qty],T_TTAFStock[RM_Code],$A51,T_TTAFStock[WeekIndex],37),AK51+'Grid_Incoming'!AL51-'Grid_Requirement'!AL51))</f>
        <v/>
      </c>
      <c r="AM51">
        <f>IF(COUNTIFS(T_StockCount[RM_Code],$A51,T_StockCount[WeekIndex],38)&gt;0,SUMIFS(T_StockCount[CountedQty],T_StockCount[RM_Code],$A51,T_StockCount[WeekIndex],38),IF((COUNTIFS(T_SelfStock[RM_Code],$A51,T_SelfStock[WeekIndex],38)&gt;0)*(COUNTIFS(T_TTAFStock[RM_Code],$A51,T_TTAFStock[WeekIndex],38)&gt;0)&gt;0,SUMIFS(T_SelfStock[Self_Qty],T_SelfStock[RM_Code],$A51,T_SelfStock[WeekIndex],38)+SUMIFS(T_TTAFStock[TTAF_Qty],T_TTAFStock[RM_Code],$A51,T_TTAFStock[WeekIndex],38),AL51+'Grid_Incoming'!AM51-'Grid_Requirement'!AM51))</f>
        <v/>
      </c>
      <c r="AN51">
        <f>IF(COUNTIFS(T_StockCount[RM_Code],$A51,T_StockCount[WeekIndex],39)&gt;0,SUMIFS(T_StockCount[CountedQty],T_StockCount[RM_Code],$A51,T_StockCount[WeekIndex],39),IF((COUNTIFS(T_SelfStock[RM_Code],$A51,T_SelfStock[WeekIndex],39)&gt;0)*(COUNTIFS(T_TTAFStock[RM_Code],$A51,T_TTAFStock[WeekIndex],39)&gt;0)&gt;0,SUMIFS(T_SelfStock[Self_Qty],T_SelfStock[RM_Code],$A51,T_SelfStock[WeekIndex],39)+SUMIFS(T_TTAFStock[TTAF_Qty],T_TTAFStock[RM_Code],$A51,T_TTAFStock[WeekIndex],39),AM51+'Grid_Incoming'!AN51-'Grid_Requirement'!AN51))</f>
        <v/>
      </c>
      <c r="AO51">
        <f>IF(COUNTIFS(T_StockCount[RM_Code],$A51,T_StockCount[WeekIndex],40)&gt;0,SUMIFS(T_StockCount[CountedQty],T_StockCount[RM_Code],$A51,T_StockCount[WeekIndex],40),IF((COUNTIFS(T_SelfStock[RM_Code],$A51,T_SelfStock[WeekIndex],40)&gt;0)*(COUNTIFS(T_TTAFStock[RM_Code],$A51,T_TTAFStock[WeekIndex],40)&gt;0)&gt;0,SUMIFS(T_SelfStock[Self_Qty],T_SelfStock[RM_Code],$A51,T_SelfStock[WeekIndex],40)+SUMIFS(T_TTAFStock[TTAF_Qty],T_TTAFStock[RM_Code],$A51,T_TTAFStock[WeekIndex],40),AN51+'Grid_Incoming'!AO51-'Grid_Requirement'!AO51))</f>
        <v/>
      </c>
      <c r="AP51">
        <f>IF(COUNTIFS(T_StockCount[RM_Code],$A51,T_StockCount[WeekIndex],41)&gt;0,SUMIFS(T_StockCount[CountedQty],T_StockCount[RM_Code],$A51,T_StockCount[WeekIndex],41),IF((COUNTIFS(T_SelfStock[RM_Code],$A51,T_SelfStock[WeekIndex],41)&gt;0)*(COUNTIFS(T_TTAFStock[RM_Code],$A51,T_TTAFStock[WeekIndex],41)&gt;0)&gt;0,SUMIFS(T_SelfStock[Self_Qty],T_SelfStock[RM_Code],$A51,T_SelfStock[WeekIndex],41)+SUMIFS(T_TTAFStock[TTAF_Qty],T_TTAFStock[RM_Code],$A51,T_TTAFStock[WeekIndex],41),AO51+'Grid_Incoming'!AP51-'Grid_Requirement'!AP51))</f>
        <v/>
      </c>
      <c r="AQ51">
        <f>IF(COUNTIFS(T_StockCount[RM_Code],$A51,T_StockCount[WeekIndex],42)&gt;0,SUMIFS(T_StockCount[CountedQty],T_StockCount[RM_Code],$A51,T_StockCount[WeekIndex],42),IF((COUNTIFS(T_SelfStock[RM_Code],$A51,T_SelfStock[WeekIndex],42)&gt;0)*(COUNTIFS(T_TTAFStock[RM_Code],$A51,T_TTAFStock[WeekIndex],42)&gt;0)&gt;0,SUMIFS(T_SelfStock[Self_Qty],T_SelfStock[RM_Code],$A51,T_SelfStock[WeekIndex],42)+SUMIFS(T_TTAFStock[TTAF_Qty],T_TTAFStock[RM_Code],$A51,T_TTAFStock[WeekIndex],42),AP51+'Grid_Incoming'!AQ51-'Grid_Requirement'!AQ51))</f>
        <v/>
      </c>
      <c r="AR51">
        <f>IF(COUNTIFS(T_StockCount[RM_Code],$A51,T_StockCount[WeekIndex],43)&gt;0,SUMIFS(T_StockCount[CountedQty],T_StockCount[RM_Code],$A51,T_StockCount[WeekIndex],43),IF((COUNTIFS(T_SelfStock[RM_Code],$A51,T_SelfStock[WeekIndex],43)&gt;0)*(COUNTIFS(T_TTAFStock[RM_Code],$A51,T_TTAFStock[WeekIndex],43)&gt;0)&gt;0,SUMIFS(T_SelfStock[Self_Qty],T_SelfStock[RM_Code],$A51,T_SelfStock[WeekIndex],43)+SUMIFS(T_TTAFStock[TTAF_Qty],T_TTAFStock[RM_Code],$A51,T_TTAFStock[WeekIndex],43),AQ51+'Grid_Incoming'!AR51-'Grid_Requirement'!AR51))</f>
        <v/>
      </c>
      <c r="AS51">
        <f>IF(COUNTIFS(T_StockCount[RM_Code],$A51,T_StockCount[WeekIndex],44)&gt;0,SUMIFS(T_StockCount[CountedQty],T_StockCount[RM_Code],$A51,T_StockCount[WeekIndex],44),IF((COUNTIFS(T_SelfStock[RM_Code],$A51,T_SelfStock[WeekIndex],44)&gt;0)*(COUNTIFS(T_TTAFStock[RM_Code],$A51,T_TTAFStock[WeekIndex],44)&gt;0)&gt;0,SUMIFS(T_SelfStock[Self_Qty],T_SelfStock[RM_Code],$A51,T_SelfStock[WeekIndex],44)+SUMIFS(T_TTAFStock[TTAF_Qty],T_TTAFStock[RM_Code],$A51,T_TTAFStock[WeekIndex],44),AR51+'Grid_Incoming'!AS51-'Grid_Requirement'!AS51))</f>
        <v/>
      </c>
      <c r="AT51">
        <f>IF(COUNTIFS(T_StockCount[RM_Code],$A51,T_StockCount[WeekIndex],45)&gt;0,SUMIFS(T_StockCount[CountedQty],T_StockCount[RM_Code],$A51,T_StockCount[WeekIndex],45),IF((COUNTIFS(T_SelfStock[RM_Code],$A51,T_SelfStock[WeekIndex],45)&gt;0)*(COUNTIFS(T_TTAFStock[RM_Code],$A51,T_TTAFStock[WeekIndex],45)&gt;0)&gt;0,SUMIFS(T_SelfStock[Self_Qty],T_SelfStock[RM_Code],$A51,T_SelfStock[WeekIndex],45)+SUMIFS(T_TTAFStock[TTAF_Qty],T_TTAFStock[RM_Code],$A51,T_TTAFStock[WeekIndex],45),AS51+'Grid_Incoming'!AT51-'Grid_Requirement'!AT51))</f>
        <v/>
      </c>
      <c r="AU51">
        <f>IF(COUNTIFS(T_StockCount[RM_Code],$A51,T_StockCount[WeekIndex],46)&gt;0,SUMIFS(T_StockCount[CountedQty],T_StockCount[RM_Code],$A51,T_StockCount[WeekIndex],46),IF((COUNTIFS(T_SelfStock[RM_Code],$A51,T_SelfStock[WeekIndex],46)&gt;0)*(COUNTIFS(T_TTAFStock[RM_Code],$A51,T_TTAFStock[WeekIndex],46)&gt;0)&gt;0,SUMIFS(T_SelfStock[Self_Qty],T_SelfStock[RM_Code],$A51,T_SelfStock[WeekIndex],46)+SUMIFS(T_TTAFStock[TTAF_Qty],T_TTAFStock[RM_Code],$A51,T_TTAFStock[WeekIndex],46),AT51+'Grid_Incoming'!AU51-'Grid_Requirement'!AU51))</f>
        <v/>
      </c>
      <c r="AV51">
        <f>IF(COUNTIFS(T_StockCount[RM_Code],$A51,T_StockCount[WeekIndex],47)&gt;0,SUMIFS(T_StockCount[CountedQty],T_StockCount[RM_Code],$A51,T_StockCount[WeekIndex],47),IF((COUNTIFS(T_SelfStock[RM_Code],$A51,T_SelfStock[WeekIndex],47)&gt;0)*(COUNTIFS(T_TTAFStock[RM_Code],$A51,T_TTAFStock[WeekIndex],47)&gt;0)&gt;0,SUMIFS(T_SelfStock[Self_Qty],T_SelfStock[RM_Code],$A51,T_SelfStock[WeekIndex],47)+SUMIFS(T_TTAFStock[TTAF_Qty],T_TTAFStock[RM_Code],$A51,T_TTAFStock[WeekIndex],47),AU51+'Grid_Incoming'!AV51-'Grid_Requirement'!AV51))</f>
        <v/>
      </c>
      <c r="AW51">
        <f>IF(COUNTIFS(T_StockCount[RM_Code],$A51,T_StockCount[WeekIndex],48)&gt;0,SUMIFS(T_StockCount[CountedQty],T_StockCount[RM_Code],$A51,T_StockCount[WeekIndex],48),IF((COUNTIFS(T_SelfStock[RM_Code],$A51,T_SelfStock[WeekIndex],48)&gt;0)*(COUNTIFS(T_TTAFStock[RM_Code],$A51,T_TTAFStock[WeekIndex],48)&gt;0)&gt;0,SUMIFS(T_SelfStock[Self_Qty],T_SelfStock[RM_Code],$A51,T_SelfStock[WeekIndex],48)+SUMIFS(T_TTAFStock[TTAF_Qty],T_TTAFStock[RM_Code],$A51,T_TTAFStock[WeekIndex],48),AV51+'Grid_Incoming'!AW51-'Grid_Requirement'!AW51))</f>
        <v/>
      </c>
      <c r="AX51">
        <f>IF(COUNTIFS(T_StockCount[RM_Code],$A51,T_StockCount[WeekIndex],49)&gt;0,SUMIFS(T_StockCount[CountedQty],T_StockCount[RM_Code],$A51,T_StockCount[WeekIndex],49),IF((COUNTIFS(T_SelfStock[RM_Code],$A51,T_SelfStock[WeekIndex],49)&gt;0)*(COUNTIFS(T_TTAFStock[RM_Code],$A51,T_TTAFStock[WeekIndex],49)&gt;0)&gt;0,SUMIFS(T_SelfStock[Self_Qty],T_SelfStock[RM_Code],$A51,T_SelfStock[WeekIndex],49)+SUMIFS(T_TTAFStock[TTAF_Qty],T_TTAFStock[RM_Code],$A51,T_TTAFStock[WeekIndex],49),AW51+'Grid_Incoming'!AX51-'Grid_Requirement'!AX51))</f>
        <v/>
      </c>
      <c r="AY51">
        <f>IF(COUNTIFS(T_StockCount[RM_Code],$A51,T_StockCount[WeekIndex],50)&gt;0,SUMIFS(T_StockCount[CountedQty],T_StockCount[RM_Code],$A51,T_StockCount[WeekIndex],50),IF((COUNTIFS(T_SelfStock[RM_Code],$A51,T_SelfStock[WeekIndex],50)&gt;0)*(COUNTIFS(T_TTAFStock[RM_Code],$A51,T_TTAFStock[WeekIndex],50)&gt;0)&gt;0,SUMIFS(T_SelfStock[Self_Qty],T_SelfStock[RM_Code],$A51,T_SelfStock[WeekIndex],50)+SUMIFS(T_TTAFStock[TTAF_Qty],T_TTAFStock[RM_Code],$A51,T_TTAFStock[WeekIndex],50),AX51+'Grid_Incoming'!AY51-'Grid_Requirement'!AY51))</f>
        <v/>
      </c>
      <c r="AZ51">
        <f>IF(COUNTIFS(T_StockCount[RM_Code],$A51,T_StockCount[WeekIndex],51)&gt;0,SUMIFS(T_StockCount[CountedQty],T_StockCount[RM_Code],$A51,T_StockCount[WeekIndex],51),IF((COUNTIFS(T_SelfStock[RM_Code],$A51,T_SelfStock[WeekIndex],51)&gt;0)*(COUNTIFS(T_TTAFStock[RM_Code],$A51,T_TTAFStock[WeekIndex],51)&gt;0)&gt;0,SUMIFS(T_SelfStock[Self_Qty],T_SelfStock[RM_Code],$A51,T_SelfStock[WeekIndex],51)+SUMIFS(T_TTAFStock[TTAF_Qty],T_TTAFStock[RM_Code],$A51,T_TTAFStock[WeekIndex],51),AY51+'Grid_Incoming'!AZ51-'Grid_Requirement'!AZ51))</f>
        <v/>
      </c>
      <c r="BA51">
        <f>IF(COUNTIFS(T_StockCount[RM_Code],$A51,T_StockCount[WeekIndex],52)&gt;0,SUMIFS(T_StockCount[CountedQty],T_StockCount[RM_Code],$A51,T_StockCount[WeekIndex],52),IF((COUNTIFS(T_SelfStock[RM_Code],$A51,T_SelfStock[WeekIndex],52)&gt;0)*(COUNTIFS(T_TTAFStock[RM_Code],$A51,T_TTAFStock[WeekIndex],52)&gt;0)&gt;0,SUMIFS(T_SelfStock[Self_Qty],T_SelfStock[RM_Code],$A51,T_SelfStock[WeekIndex],52)+SUMIFS(T_TTAFStock[TTAF_Qty],T_TTAFStock[RM_Code],$A51,T_TTAFStock[WeekIndex],52),AZ51+'Grid_Incoming'!BA51-'Grid_Requirement'!BA51))</f>
        <v/>
      </c>
      <c r="BB51">
        <f>IF(COUNTIFS(T_StockCount[RM_Code],$A51,T_StockCount[WeekIndex],53)&gt;0,SUMIFS(T_StockCount[CountedQty],T_StockCount[RM_Code],$A51,T_StockCount[WeekIndex],53),IF((COUNTIFS(T_SelfStock[RM_Code],$A51,T_SelfStock[WeekIndex],53)&gt;0)*(COUNTIFS(T_TTAFStock[RM_Code],$A51,T_TTAFStock[WeekIndex],53)&gt;0)&gt;0,SUMIFS(T_SelfStock[Self_Qty],T_SelfStock[RM_Code],$A51,T_SelfStock[WeekIndex],53)+SUMIFS(T_TTAFStock[TTAF_Qty],T_TTAFStock[RM_Code],$A51,T_TTAFStock[WeekIndex],53),BA51+'Grid_Incoming'!BB51-'Grid_Requirement'!BB51))</f>
        <v/>
      </c>
      <c r="BC51">
        <f>IF(COUNTIFS(T_StockCount[RM_Code],$A51,T_StockCount[WeekIndex],54)&gt;0,SUMIFS(T_StockCount[CountedQty],T_StockCount[RM_Code],$A51,T_StockCount[WeekIndex],54),IF((COUNTIFS(T_SelfStock[RM_Code],$A51,T_SelfStock[WeekIndex],54)&gt;0)*(COUNTIFS(T_TTAFStock[RM_Code],$A51,T_TTAFStock[WeekIndex],54)&gt;0)&gt;0,SUMIFS(T_SelfStock[Self_Qty],T_SelfStock[RM_Code],$A51,T_SelfStock[WeekIndex],54)+SUMIFS(T_TTAFStock[TTAF_Qty],T_TTAFStock[RM_Code],$A51,T_TTAFStock[WeekIndex],54),BB51+'Grid_Incoming'!BC51-'Grid_Requirement'!BC51))</f>
        <v/>
      </c>
      <c r="BD51">
        <f>IF(COUNTIFS(T_StockCount[RM_Code],$A51,T_StockCount[WeekIndex],55)&gt;0,SUMIFS(T_StockCount[CountedQty],T_StockCount[RM_Code],$A51,T_StockCount[WeekIndex],55),IF((COUNTIFS(T_SelfStock[RM_Code],$A51,T_SelfStock[WeekIndex],55)&gt;0)*(COUNTIFS(T_TTAFStock[RM_Code],$A51,T_TTAFStock[WeekIndex],55)&gt;0)&gt;0,SUMIFS(T_SelfStock[Self_Qty],T_SelfStock[RM_Code],$A51,T_SelfStock[WeekIndex],55)+SUMIFS(T_TTAFStock[TTAF_Qty],T_TTAFStock[RM_Code],$A51,T_TTAFStock[WeekIndex],55),BC51+'Grid_Incoming'!BD51-'Grid_Requirement'!BD51))</f>
        <v/>
      </c>
      <c r="BE51">
        <f>IF(COUNTIFS(T_StockCount[RM_Code],$A51,T_StockCount[WeekIndex],56)&gt;0,SUMIFS(T_StockCount[CountedQty],T_StockCount[RM_Code],$A51,T_StockCount[WeekIndex],56),IF((COUNTIFS(T_SelfStock[RM_Code],$A51,T_SelfStock[WeekIndex],56)&gt;0)*(COUNTIFS(T_TTAFStock[RM_Code],$A51,T_TTAFStock[WeekIndex],56)&gt;0)&gt;0,SUMIFS(T_SelfStock[Self_Qty],T_SelfStock[RM_Code],$A51,T_SelfStock[WeekIndex],56)+SUMIFS(T_TTAFStock[TTAF_Qty],T_TTAFStock[RM_Code],$A51,T_TTAFStock[WeekIndex],56),BD51+'Grid_Incoming'!BE51-'Grid_Requirement'!BE51))</f>
        <v/>
      </c>
      <c r="BF51">
        <f>IF(COUNTIFS(T_StockCount[RM_Code],$A51,T_StockCount[WeekIndex],57)&gt;0,SUMIFS(T_StockCount[CountedQty],T_StockCount[RM_Code],$A51,T_StockCount[WeekIndex],57),IF((COUNTIFS(T_SelfStock[RM_Code],$A51,T_SelfStock[WeekIndex],57)&gt;0)*(COUNTIFS(T_TTAFStock[RM_Code],$A51,T_TTAFStock[WeekIndex],57)&gt;0)&gt;0,SUMIFS(T_SelfStock[Self_Qty],T_SelfStock[RM_Code],$A51,T_SelfStock[WeekIndex],57)+SUMIFS(T_TTAFStock[TTAF_Qty],T_TTAFStock[RM_Code],$A51,T_TTAFStock[WeekIndex],57),BE51+'Grid_Incoming'!BF51-'Grid_Requirement'!BF51))</f>
        <v/>
      </c>
      <c r="BG51">
        <f>IF(COUNTIFS(T_StockCount[RM_Code],$A51,T_StockCount[WeekIndex],58)&gt;0,SUMIFS(T_StockCount[CountedQty],T_StockCount[RM_Code],$A51,T_StockCount[WeekIndex],58),IF((COUNTIFS(T_SelfStock[RM_Code],$A51,T_SelfStock[WeekIndex],58)&gt;0)*(COUNTIFS(T_TTAFStock[RM_Code],$A51,T_TTAFStock[WeekIndex],58)&gt;0)&gt;0,SUMIFS(T_SelfStock[Self_Qty],T_SelfStock[RM_Code],$A51,T_SelfStock[WeekIndex],58)+SUMIFS(T_TTAFStock[TTAF_Qty],T_TTAFStock[RM_Code],$A51,T_TTAFStock[WeekIndex],58),BF51+'Grid_Incoming'!BG51-'Grid_Requirement'!BG51))</f>
        <v/>
      </c>
      <c r="BH51">
        <f>IF(COUNTIFS(T_StockCount[RM_Code],$A51,T_StockCount[WeekIndex],59)&gt;0,SUMIFS(T_StockCount[CountedQty],T_StockCount[RM_Code],$A51,T_StockCount[WeekIndex],59),IF((COUNTIFS(T_SelfStock[RM_Code],$A51,T_SelfStock[WeekIndex],59)&gt;0)*(COUNTIFS(T_TTAFStock[RM_Code],$A51,T_TTAFStock[WeekIndex],59)&gt;0)&gt;0,SUMIFS(T_SelfStock[Self_Qty],T_SelfStock[RM_Code],$A51,T_SelfStock[WeekIndex],59)+SUMIFS(T_TTAFStock[TTAF_Qty],T_TTAFStock[RM_Code],$A51,T_TTAFStock[WeekIndex],59),BG51+'Grid_Incoming'!BH51-'Grid_Requirement'!BH51))</f>
        <v/>
      </c>
      <c r="BI51">
        <f>IF(COUNTIFS(T_StockCount[RM_Code],$A51,T_StockCount[WeekIndex],60)&gt;0,SUMIFS(T_StockCount[CountedQty],T_StockCount[RM_Code],$A51,T_StockCount[WeekIndex],60),IF((COUNTIFS(T_SelfStock[RM_Code],$A51,T_SelfStock[WeekIndex],60)&gt;0)*(COUNTIFS(T_TTAFStock[RM_Code],$A51,T_TTAFStock[WeekIndex],60)&gt;0)&gt;0,SUMIFS(T_SelfStock[Self_Qty],T_SelfStock[RM_Code],$A51,T_SelfStock[WeekIndex],60)+SUMIFS(T_TTAFStock[TTAF_Qty],T_TTAFStock[RM_Code],$A51,T_TTAFStock[WeekIndex],60),BH51+'Grid_Incoming'!BI51-'Grid_Requirement'!BI51))</f>
        <v/>
      </c>
      <c r="BJ51">
        <f>IF(COUNTIFS(T_StockCount[RM_Code],$A51,T_StockCount[WeekIndex],61)&gt;0,SUMIFS(T_StockCount[CountedQty],T_StockCount[RM_Code],$A51,T_StockCount[WeekIndex],61),IF((COUNTIFS(T_SelfStock[RM_Code],$A51,T_SelfStock[WeekIndex],61)&gt;0)*(COUNTIFS(T_TTAFStock[RM_Code],$A51,T_TTAFStock[WeekIndex],61)&gt;0)&gt;0,SUMIFS(T_SelfStock[Self_Qty],T_SelfStock[RM_Code],$A51,T_SelfStock[WeekIndex],61)+SUMIFS(T_TTAFStock[TTAF_Qty],T_TTAFStock[RM_Code],$A51,T_TTAFStock[WeekIndex],61),BI51+'Grid_Incoming'!BJ51-'Grid_Requirement'!BJ51))</f>
        <v/>
      </c>
      <c r="BK51">
        <f>IF(COUNTIFS(T_StockCount[RM_Code],$A51,T_StockCount[WeekIndex],62)&gt;0,SUMIFS(T_StockCount[CountedQty],T_StockCount[RM_Code],$A51,T_StockCount[WeekIndex],62),IF((COUNTIFS(T_SelfStock[RM_Code],$A51,T_SelfStock[WeekIndex],62)&gt;0)*(COUNTIFS(T_TTAFStock[RM_Code],$A51,T_TTAFStock[WeekIndex],62)&gt;0)&gt;0,SUMIFS(T_SelfStock[Self_Qty],T_SelfStock[RM_Code],$A51,T_SelfStock[WeekIndex],62)+SUMIFS(T_TTAFStock[TTAF_Qty],T_TTAFStock[RM_Code],$A51,T_TTAFStock[WeekIndex],62),BJ51+'Grid_Incoming'!BK51-'Grid_Requirement'!BK51))</f>
        <v/>
      </c>
      <c r="BL51">
        <f>IF(COUNTIFS(T_StockCount[RM_Code],$A51,T_StockCount[WeekIndex],63)&gt;0,SUMIFS(T_StockCount[CountedQty],T_StockCount[RM_Code],$A51,T_StockCount[WeekIndex],63),IF((COUNTIFS(T_SelfStock[RM_Code],$A51,T_SelfStock[WeekIndex],63)&gt;0)*(COUNTIFS(T_TTAFStock[RM_Code],$A51,T_TTAFStock[WeekIndex],63)&gt;0)&gt;0,SUMIFS(T_SelfStock[Self_Qty],T_SelfStock[RM_Code],$A51,T_SelfStock[WeekIndex],63)+SUMIFS(T_TTAFStock[TTAF_Qty],T_TTAFStock[RM_Code],$A51,T_TTAFStock[WeekIndex],63),BK51+'Grid_Incoming'!BL51-'Grid_Requirement'!BL51))</f>
        <v/>
      </c>
      <c r="BM51">
        <f>IF(COUNTIFS(T_StockCount[RM_Code],$A51,T_StockCount[WeekIndex],64)&gt;0,SUMIFS(T_StockCount[CountedQty],T_StockCount[RM_Code],$A51,T_StockCount[WeekIndex],64),IF((COUNTIFS(T_SelfStock[RM_Code],$A51,T_SelfStock[WeekIndex],64)&gt;0)*(COUNTIFS(T_TTAFStock[RM_Code],$A51,T_TTAFStock[WeekIndex],64)&gt;0)&gt;0,SUMIFS(T_SelfStock[Self_Qty],T_SelfStock[RM_Code],$A51,T_SelfStock[WeekIndex],64)+SUMIFS(T_TTAFStock[TTAF_Qty],T_TTAFStock[RM_Code],$A51,T_TTAFStock[WeekIndex],64),BL51+'Grid_Incoming'!BM51-'Grid_Requirement'!BM51))</f>
        <v/>
      </c>
      <c r="BN51">
        <f>IF(COUNTIFS(T_StockCount[RM_Code],$A51,T_StockCount[WeekIndex],65)&gt;0,SUMIFS(T_StockCount[CountedQty],T_StockCount[RM_Code],$A51,T_StockCount[WeekIndex],65),IF((COUNTIFS(T_SelfStock[RM_Code],$A51,T_SelfStock[WeekIndex],65)&gt;0)*(COUNTIFS(T_TTAFStock[RM_Code],$A51,T_TTAFStock[WeekIndex],65)&gt;0)&gt;0,SUMIFS(T_SelfStock[Self_Qty],T_SelfStock[RM_Code],$A51,T_SelfStock[WeekIndex],65)+SUMIFS(T_TTAFStock[TTAF_Qty],T_TTAFStock[RM_Code],$A51,T_TTAFStock[WeekIndex],65),BM51+'Grid_Incoming'!BN51-'Grid_Requirement'!BN51))</f>
        <v/>
      </c>
      <c r="BO51">
        <f>IF(COUNTIFS(T_StockCount[RM_Code],$A51,T_StockCount[WeekIndex],66)&gt;0,SUMIFS(T_StockCount[CountedQty],T_StockCount[RM_Code],$A51,T_StockCount[WeekIndex],66),IF((COUNTIFS(T_SelfStock[RM_Code],$A51,T_SelfStock[WeekIndex],66)&gt;0)*(COUNTIFS(T_TTAFStock[RM_Code],$A51,T_TTAFStock[WeekIndex],66)&gt;0)&gt;0,SUMIFS(T_SelfStock[Self_Qty],T_SelfStock[RM_Code],$A51,T_SelfStock[WeekIndex],66)+SUMIFS(T_TTAFStock[TTAF_Qty],T_TTAFStock[RM_Code],$A51,T_TTAFStock[WeekIndex],66),BN51+'Grid_Incoming'!BO51-'Grid_Requirement'!BO51))</f>
        <v/>
      </c>
      <c r="BP51">
        <f>IF(COUNTIFS(T_StockCount[RM_Code],$A51,T_StockCount[WeekIndex],67)&gt;0,SUMIFS(T_StockCount[CountedQty],T_StockCount[RM_Code],$A51,T_StockCount[WeekIndex],67),IF((COUNTIFS(T_SelfStock[RM_Code],$A51,T_SelfStock[WeekIndex],67)&gt;0)*(COUNTIFS(T_TTAFStock[RM_Code],$A51,T_TTAFStock[WeekIndex],67)&gt;0)&gt;0,SUMIFS(T_SelfStock[Self_Qty],T_SelfStock[RM_Code],$A51,T_SelfStock[WeekIndex],67)+SUMIFS(T_TTAFStock[TTAF_Qty],T_TTAFStock[RM_Code],$A51,T_TTAFStock[WeekIndex],67),BO51+'Grid_Incoming'!BP51-'Grid_Requirement'!BP51))</f>
        <v/>
      </c>
      <c r="BQ51">
        <f>IF(COUNTIFS(T_StockCount[RM_Code],$A51,T_StockCount[WeekIndex],68)&gt;0,SUMIFS(T_StockCount[CountedQty],T_StockCount[RM_Code],$A51,T_StockCount[WeekIndex],68),IF((COUNTIFS(T_SelfStock[RM_Code],$A51,T_SelfStock[WeekIndex],68)&gt;0)*(COUNTIFS(T_TTAFStock[RM_Code],$A51,T_TTAFStock[WeekIndex],68)&gt;0)&gt;0,SUMIFS(T_SelfStock[Self_Qty],T_SelfStock[RM_Code],$A51,T_SelfStock[WeekIndex],68)+SUMIFS(T_TTAFStock[TTAF_Qty],T_TTAFStock[RM_Code],$A51,T_TTAFStock[WeekIndex],68),BP51+'Grid_Incoming'!BQ51-'Grid_Requirement'!BQ51))</f>
        <v/>
      </c>
      <c r="BR51">
        <f>IF(COUNTIFS(T_StockCount[RM_Code],$A51,T_StockCount[WeekIndex],69)&gt;0,SUMIFS(T_StockCount[CountedQty],T_StockCount[RM_Code],$A51,T_StockCount[WeekIndex],69),IF((COUNTIFS(T_SelfStock[RM_Code],$A51,T_SelfStock[WeekIndex],69)&gt;0)*(COUNTIFS(T_TTAFStock[RM_Code],$A51,T_TTAFStock[WeekIndex],69)&gt;0)&gt;0,SUMIFS(T_SelfStock[Self_Qty],T_SelfStock[RM_Code],$A51,T_SelfStock[WeekIndex],69)+SUMIFS(T_TTAFStock[TTAF_Qty],T_TTAFStock[RM_Code],$A51,T_TTAFStock[WeekIndex],69),BQ51+'Grid_Incoming'!BR51-'Grid_Requirement'!BR51))</f>
        <v/>
      </c>
      <c r="BS51">
        <f>IF(COUNTIFS(T_StockCount[RM_Code],$A51,T_StockCount[WeekIndex],70)&gt;0,SUMIFS(T_StockCount[CountedQty],T_StockCount[RM_Code],$A51,T_StockCount[WeekIndex],70),IF((COUNTIFS(T_SelfStock[RM_Code],$A51,T_SelfStock[WeekIndex],70)&gt;0)*(COUNTIFS(T_TTAFStock[RM_Code],$A51,T_TTAFStock[WeekIndex],70)&gt;0)&gt;0,SUMIFS(T_SelfStock[Self_Qty],T_SelfStock[RM_Code],$A51,T_SelfStock[WeekIndex],70)+SUMIFS(T_TTAFStock[TTAF_Qty],T_TTAFStock[RM_Code],$A51,T_TTAFStock[WeekIndex],70),BR51+'Grid_Incoming'!BS51-'Grid_Requirement'!BS51))</f>
        <v/>
      </c>
      <c r="BT51">
        <f>IF(COUNTIFS(T_StockCount[RM_Code],$A51,T_StockCount[WeekIndex],71)&gt;0,SUMIFS(T_StockCount[CountedQty],T_StockCount[RM_Code],$A51,T_StockCount[WeekIndex],71),IF((COUNTIFS(T_SelfStock[RM_Code],$A51,T_SelfStock[WeekIndex],71)&gt;0)*(COUNTIFS(T_TTAFStock[RM_Code],$A51,T_TTAFStock[WeekIndex],71)&gt;0)&gt;0,SUMIFS(T_SelfStock[Self_Qty],T_SelfStock[RM_Code],$A51,T_SelfStock[WeekIndex],71)+SUMIFS(T_TTAFStock[TTAF_Qty],T_TTAFStock[RM_Code],$A51,T_TTAFStock[WeekIndex],71),BS51+'Grid_Incoming'!BT51-'Grid_Requirement'!BT51))</f>
        <v/>
      </c>
      <c r="BU51">
        <f>IF(COUNTIFS(T_StockCount[RM_Code],$A51,T_StockCount[WeekIndex],72)&gt;0,SUMIFS(T_StockCount[CountedQty],T_StockCount[RM_Code],$A51,T_StockCount[WeekIndex],72),IF((COUNTIFS(T_SelfStock[RM_Code],$A51,T_SelfStock[WeekIndex],72)&gt;0)*(COUNTIFS(T_TTAFStock[RM_Code],$A51,T_TTAFStock[WeekIndex],72)&gt;0)&gt;0,SUMIFS(T_SelfStock[Self_Qty],T_SelfStock[RM_Code],$A51,T_SelfStock[WeekIndex],72)+SUMIFS(T_TTAFStock[TTAF_Qty],T_TTAFStock[RM_Code],$A51,T_TTAFStock[WeekIndex],72),BT51+'Grid_Incoming'!BU51-'Grid_Requirement'!BU51))</f>
        <v/>
      </c>
      <c r="BV51">
        <f>IF(COUNTIFS(T_StockCount[RM_Code],$A51,T_StockCount[WeekIndex],73)&gt;0,SUMIFS(T_StockCount[CountedQty],T_StockCount[RM_Code],$A51,T_StockCount[WeekIndex],73),IF((COUNTIFS(T_SelfStock[RM_Code],$A51,T_SelfStock[WeekIndex],73)&gt;0)*(COUNTIFS(T_TTAFStock[RM_Code],$A51,T_TTAFStock[WeekIndex],73)&gt;0)&gt;0,SUMIFS(T_SelfStock[Self_Qty],T_SelfStock[RM_Code],$A51,T_SelfStock[WeekIndex],73)+SUMIFS(T_TTAFStock[TTAF_Qty],T_TTAFStock[RM_Code],$A51,T_TTAFStock[WeekIndex],73),BU51+'Grid_Incoming'!BV51-'Grid_Requirement'!BV51))</f>
        <v/>
      </c>
      <c r="BW51">
        <f>IF(COUNTIFS(T_StockCount[RM_Code],$A51,T_StockCount[WeekIndex],74)&gt;0,SUMIFS(T_StockCount[CountedQty],T_StockCount[RM_Code],$A51,T_StockCount[WeekIndex],74),IF((COUNTIFS(T_SelfStock[RM_Code],$A51,T_SelfStock[WeekIndex],74)&gt;0)*(COUNTIFS(T_TTAFStock[RM_Code],$A51,T_TTAFStock[WeekIndex],74)&gt;0)&gt;0,SUMIFS(T_SelfStock[Self_Qty],T_SelfStock[RM_Code],$A51,T_SelfStock[WeekIndex],74)+SUMIFS(T_TTAFStock[TTAF_Qty],T_TTAFStock[RM_Code],$A51,T_TTAFStock[WeekIndex],74),BV51+'Grid_Incoming'!BW51-'Grid_Requirement'!BW51))</f>
        <v/>
      </c>
      <c r="BX51">
        <f>IF(COUNTIFS(T_StockCount[RM_Code],$A51,T_StockCount[WeekIndex],75)&gt;0,SUMIFS(T_StockCount[CountedQty],T_StockCount[RM_Code],$A51,T_StockCount[WeekIndex],75),IF((COUNTIFS(T_SelfStock[RM_Code],$A51,T_SelfStock[WeekIndex],75)&gt;0)*(COUNTIFS(T_TTAFStock[RM_Code],$A51,T_TTAFStock[WeekIndex],75)&gt;0)&gt;0,SUMIFS(T_SelfStock[Self_Qty],T_SelfStock[RM_Code],$A51,T_SelfStock[WeekIndex],75)+SUMIFS(T_TTAFStock[TTAF_Qty],T_TTAFStock[RM_Code],$A51,T_TTAFStock[WeekIndex],75),BW51+'Grid_Incoming'!BX51-'Grid_Requirement'!BX51))</f>
        <v/>
      </c>
      <c r="BY51">
        <f>IF(COUNTIFS(T_StockCount[RM_Code],$A51,T_StockCount[WeekIndex],76)&gt;0,SUMIFS(T_StockCount[CountedQty],T_StockCount[RM_Code],$A51,T_StockCount[WeekIndex],76),IF((COUNTIFS(T_SelfStock[RM_Code],$A51,T_SelfStock[WeekIndex],76)&gt;0)*(COUNTIFS(T_TTAFStock[RM_Code],$A51,T_TTAFStock[WeekIndex],76)&gt;0)&gt;0,SUMIFS(T_SelfStock[Self_Qty],T_SelfStock[RM_Code],$A51,T_SelfStock[WeekIndex],76)+SUMIFS(T_TTAFStock[TTAF_Qty],T_TTAFStock[RM_Code],$A51,T_TTAFStock[WeekIndex],76),BX51+'Grid_Incoming'!BY51-'Grid_Requirement'!BY51))</f>
        <v/>
      </c>
      <c r="BZ51">
        <f>IF(COUNTIFS(T_StockCount[RM_Code],$A51,T_StockCount[WeekIndex],77)&gt;0,SUMIFS(T_StockCount[CountedQty],T_StockCount[RM_Code],$A51,T_StockCount[WeekIndex],77),IF((COUNTIFS(T_SelfStock[RM_Code],$A51,T_SelfStock[WeekIndex],77)&gt;0)*(COUNTIFS(T_TTAFStock[RM_Code],$A51,T_TTAFStock[WeekIndex],77)&gt;0)&gt;0,SUMIFS(T_SelfStock[Self_Qty],T_SelfStock[RM_Code],$A51,T_SelfStock[WeekIndex],77)+SUMIFS(T_TTAFStock[TTAF_Qty],T_TTAFStock[RM_Code],$A51,T_TTAFStock[WeekIndex],77),BY51+'Grid_Incoming'!BZ51-'Grid_Requirement'!BZ51))</f>
        <v/>
      </c>
      <c r="CA51">
        <f>IF(COUNTIFS(T_StockCount[RM_Code],$A51,T_StockCount[WeekIndex],78)&gt;0,SUMIFS(T_StockCount[CountedQty],T_StockCount[RM_Code],$A51,T_StockCount[WeekIndex],78),IF((COUNTIFS(T_SelfStock[RM_Code],$A51,T_SelfStock[WeekIndex],78)&gt;0)*(COUNTIFS(T_TTAFStock[RM_Code],$A51,T_TTAFStock[WeekIndex],78)&gt;0)&gt;0,SUMIFS(T_SelfStock[Self_Qty],T_SelfStock[RM_Code],$A51,T_SelfStock[WeekIndex],78)+SUMIFS(T_TTAFStock[TTAF_Qty],T_TTAFStock[RM_Code],$A51,T_TTAFStock[WeekIndex],78),BZ51+'Grid_Incoming'!CA51-'Grid_Requirement'!CA51))</f>
        <v/>
      </c>
      <c r="CB51">
        <f>IF(COUNTIFS(T_StockCount[RM_Code],$A51,T_StockCount[WeekIndex],79)&gt;0,SUMIFS(T_StockCount[CountedQty],T_StockCount[RM_Code],$A51,T_StockCount[WeekIndex],79),IF((COUNTIFS(T_SelfStock[RM_Code],$A51,T_SelfStock[WeekIndex],79)&gt;0)*(COUNTIFS(T_TTAFStock[RM_Code],$A51,T_TTAFStock[WeekIndex],79)&gt;0)&gt;0,SUMIFS(T_SelfStock[Self_Qty],T_SelfStock[RM_Code],$A51,T_SelfStock[WeekIndex],79)+SUMIFS(T_TTAFStock[TTAF_Qty],T_TTAFStock[RM_Code],$A51,T_TTAFStock[WeekIndex],79),CA51+'Grid_Incoming'!CB51-'Grid_Requirement'!CB51))</f>
        <v/>
      </c>
      <c r="CC51">
        <f>IF(COUNTIFS(T_StockCount[RM_Code],$A51,T_StockCount[WeekIndex],80)&gt;0,SUMIFS(T_StockCount[CountedQty],T_StockCount[RM_Code],$A51,T_StockCount[WeekIndex],80),IF((COUNTIFS(T_SelfStock[RM_Code],$A51,T_SelfStock[WeekIndex],80)&gt;0)*(COUNTIFS(T_TTAFStock[RM_Code],$A51,T_TTAFStock[WeekIndex],80)&gt;0)&gt;0,SUMIFS(T_SelfStock[Self_Qty],T_SelfStock[RM_Code],$A51,T_SelfStock[WeekIndex],80)+SUMIFS(T_TTAFStock[TTAF_Qty],T_TTAFStock[RM_Code],$A51,T_TTAFStock[WeekIndex],80),CB51+'Grid_Incoming'!CC51-'Grid_Requirement'!CC51))</f>
        <v/>
      </c>
      <c r="CD51">
        <f>IF(COUNTIFS(T_StockCount[RM_Code],$A51,T_StockCount[WeekIndex],81)&gt;0,SUMIFS(T_StockCount[CountedQty],T_StockCount[RM_Code],$A51,T_StockCount[WeekIndex],81),IF((COUNTIFS(T_SelfStock[RM_Code],$A51,T_SelfStock[WeekIndex],81)&gt;0)*(COUNTIFS(T_TTAFStock[RM_Code],$A51,T_TTAFStock[WeekIndex],81)&gt;0)&gt;0,SUMIFS(T_SelfStock[Self_Qty],T_SelfStock[RM_Code],$A51,T_SelfStock[WeekIndex],81)+SUMIFS(T_TTAFStock[TTAF_Qty],T_TTAFStock[RM_Code],$A51,T_TTAFStock[WeekIndex],81),CC51+'Grid_Incoming'!CD51-'Grid_Requirement'!CD51))</f>
        <v/>
      </c>
      <c r="CE51">
        <f>IF(COUNTIFS(T_StockCount[RM_Code],$A51,T_StockCount[WeekIndex],82)&gt;0,SUMIFS(T_StockCount[CountedQty],T_StockCount[RM_Code],$A51,T_StockCount[WeekIndex],82),IF((COUNTIFS(T_SelfStock[RM_Code],$A51,T_SelfStock[WeekIndex],82)&gt;0)*(COUNTIFS(T_TTAFStock[RM_Code],$A51,T_TTAFStock[WeekIndex],82)&gt;0)&gt;0,SUMIFS(T_SelfStock[Self_Qty],T_SelfStock[RM_Code],$A51,T_SelfStock[WeekIndex],82)+SUMIFS(T_TTAFStock[TTAF_Qty],T_TTAFStock[RM_Code],$A51,T_TTAFStock[WeekIndex],82),CD51+'Grid_Incoming'!CE51-'Grid_Requirement'!CE51))</f>
        <v/>
      </c>
      <c r="CF51">
        <f>IF(COUNTIFS(T_StockCount[RM_Code],$A51,T_StockCount[WeekIndex],83)&gt;0,SUMIFS(T_StockCount[CountedQty],T_StockCount[RM_Code],$A51,T_StockCount[WeekIndex],83),IF((COUNTIFS(T_SelfStock[RM_Code],$A51,T_SelfStock[WeekIndex],83)&gt;0)*(COUNTIFS(T_TTAFStock[RM_Code],$A51,T_TTAFStock[WeekIndex],83)&gt;0)&gt;0,SUMIFS(T_SelfStock[Self_Qty],T_SelfStock[RM_Code],$A51,T_SelfStock[WeekIndex],83)+SUMIFS(T_TTAFStock[TTAF_Qty],T_TTAFStock[RM_Code],$A51,T_TTAFStock[WeekIndex],83),CE51+'Grid_Incoming'!CF51-'Grid_Requirement'!CF51))</f>
        <v/>
      </c>
      <c r="CG51">
        <f>IF(COUNTIFS(T_StockCount[RM_Code],$A51,T_StockCount[WeekIndex],84)&gt;0,SUMIFS(T_StockCount[CountedQty],T_StockCount[RM_Code],$A51,T_StockCount[WeekIndex],84),IF((COUNTIFS(T_SelfStock[RM_Code],$A51,T_SelfStock[WeekIndex],84)&gt;0)*(COUNTIFS(T_TTAFStock[RM_Code],$A51,T_TTAFStock[WeekIndex],84)&gt;0)&gt;0,SUMIFS(T_SelfStock[Self_Qty],T_SelfStock[RM_Code],$A51,T_SelfStock[WeekIndex],84)+SUMIFS(T_TTAFStock[TTAF_Qty],T_TTAFStock[RM_Code],$A51,T_TTAFStock[WeekIndex],84),CF51+'Grid_Incoming'!CG51-'Grid_Requirement'!CG51))</f>
        <v/>
      </c>
      <c r="CH51">
        <f>IF(COUNTIFS(T_StockCount[RM_Code],$A51,T_StockCount[WeekIndex],85)&gt;0,SUMIFS(T_StockCount[CountedQty],T_StockCount[RM_Code],$A51,T_StockCount[WeekIndex],85),IF((COUNTIFS(T_SelfStock[RM_Code],$A51,T_SelfStock[WeekIndex],85)&gt;0)*(COUNTIFS(T_TTAFStock[RM_Code],$A51,T_TTAFStock[WeekIndex],85)&gt;0)&gt;0,SUMIFS(T_SelfStock[Self_Qty],T_SelfStock[RM_Code],$A51,T_SelfStock[WeekIndex],85)+SUMIFS(T_TTAFStock[TTAF_Qty],T_TTAFStock[RM_Code],$A51,T_TTAFStock[WeekIndex],85),CG51+'Grid_Incoming'!CH51-'Grid_Requirement'!CH51))</f>
        <v/>
      </c>
      <c r="CI51">
        <f>IF(COUNTIFS(T_StockCount[RM_Code],$A51,T_StockCount[WeekIndex],86)&gt;0,SUMIFS(T_StockCount[CountedQty],T_StockCount[RM_Code],$A51,T_StockCount[WeekIndex],86),IF((COUNTIFS(T_SelfStock[RM_Code],$A51,T_SelfStock[WeekIndex],86)&gt;0)*(COUNTIFS(T_TTAFStock[RM_Code],$A51,T_TTAFStock[WeekIndex],86)&gt;0)&gt;0,SUMIFS(T_SelfStock[Self_Qty],T_SelfStock[RM_Code],$A51,T_SelfStock[WeekIndex],86)+SUMIFS(T_TTAFStock[TTAF_Qty],T_TTAFStock[RM_Code],$A51,T_TTAFStock[WeekIndex],86),CH51+'Grid_Incoming'!CI51-'Grid_Requirement'!CI51))</f>
        <v/>
      </c>
      <c r="CJ51">
        <f>IF(COUNTIFS(T_StockCount[RM_Code],$A51,T_StockCount[WeekIndex],87)&gt;0,SUMIFS(T_StockCount[CountedQty],T_StockCount[RM_Code],$A51,T_StockCount[WeekIndex],87),IF((COUNTIFS(T_SelfStock[RM_Code],$A51,T_SelfStock[WeekIndex],87)&gt;0)*(COUNTIFS(T_TTAFStock[RM_Code],$A51,T_TTAFStock[WeekIndex],87)&gt;0)&gt;0,SUMIFS(T_SelfStock[Self_Qty],T_SelfStock[RM_Code],$A51,T_SelfStock[WeekIndex],87)+SUMIFS(T_TTAFStock[TTAF_Qty],T_TTAFStock[RM_Code],$A51,T_TTAFStock[WeekIndex],87),CI51+'Grid_Incoming'!CJ51-'Grid_Requirement'!CJ51))</f>
        <v/>
      </c>
      <c r="CK51">
        <f>IF(COUNTIFS(T_StockCount[RM_Code],$A51,T_StockCount[WeekIndex],88)&gt;0,SUMIFS(T_StockCount[CountedQty],T_StockCount[RM_Code],$A51,T_StockCount[WeekIndex],88),IF((COUNTIFS(T_SelfStock[RM_Code],$A51,T_SelfStock[WeekIndex],88)&gt;0)*(COUNTIFS(T_TTAFStock[RM_Code],$A51,T_TTAFStock[WeekIndex],88)&gt;0)&gt;0,SUMIFS(T_SelfStock[Self_Qty],T_SelfStock[RM_Code],$A51,T_SelfStock[WeekIndex],88)+SUMIFS(T_TTAFStock[TTAF_Qty],T_TTAFStock[RM_Code],$A51,T_TTAFStock[WeekIndex],88),CJ51+'Grid_Incoming'!CK51-'Grid_Requirement'!CK51))</f>
        <v/>
      </c>
      <c r="CL51">
        <f>IF(COUNTIFS(T_StockCount[RM_Code],$A51,T_StockCount[WeekIndex],89)&gt;0,SUMIFS(T_StockCount[CountedQty],T_StockCount[RM_Code],$A51,T_StockCount[WeekIndex],89),IF((COUNTIFS(T_SelfStock[RM_Code],$A51,T_SelfStock[WeekIndex],89)&gt;0)*(COUNTIFS(T_TTAFStock[RM_Code],$A51,T_TTAFStock[WeekIndex],89)&gt;0)&gt;0,SUMIFS(T_SelfStock[Self_Qty],T_SelfStock[RM_Code],$A51,T_SelfStock[WeekIndex],89)+SUMIFS(T_TTAFStock[TTAF_Qty],T_TTAFStock[RM_Code],$A51,T_TTAFStock[WeekIndex],89),CK51+'Grid_Incoming'!CL51-'Grid_Requirement'!CL51))</f>
        <v/>
      </c>
      <c r="CM51">
        <f>IF(COUNTIFS(T_StockCount[RM_Code],$A51,T_StockCount[WeekIndex],90)&gt;0,SUMIFS(T_StockCount[CountedQty],T_StockCount[RM_Code],$A51,T_StockCount[WeekIndex],90),IF((COUNTIFS(T_SelfStock[RM_Code],$A51,T_SelfStock[WeekIndex],90)&gt;0)*(COUNTIFS(T_TTAFStock[RM_Code],$A51,T_TTAFStock[WeekIndex],90)&gt;0)&gt;0,SUMIFS(T_SelfStock[Self_Qty],T_SelfStock[RM_Code],$A51,T_SelfStock[WeekIndex],90)+SUMIFS(T_TTAFStock[TTAF_Qty],T_TTAFStock[RM_Code],$A51,T_TTAFStock[WeekIndex],90),CL51+'Grid_Incoming'!CM51-'Grid_Requirement'!CM51))</f>
        <v/>
      </c>
      <c r="CN51">
        <f>IF(COUNTIFS(T_StockCount[RM_Code],$A51,T_StockCount[WeekIndex],91)&gt;0,SUMIFS(T_StockCount[CountedQty],T_StockCount[RM_Code],$A51,T_StockCount[WeekIndex],91),IF((COUNTIFS(T_SelfStock[RM_Code],$A51,T_SelfStock[WeekIndex],91)&gt;0)*(COUNTIFS(T_TTAFStock[RM_Code],$A51,T_TTAFStock[WeekIndex],91)&gt;0)&gt;0,SUMIFS(T_SelfStock[Self_Qty],T_SelfStock[RM_Code],$A51,T_SelfStock[WeekIndex],91)+SUMIFS(T_TTAFStock[TTAF_Qty],T_TTAFStock[RM_Code],$A51,T_TTAFStock[WeekIndex],91),CM51+'Grid_Incoming'!CN51-'Grid_Requirement'!CN51))</f>
        <v/>
      </c>
      <c r="CO51">
        <f>IF(COUNTIFS(T_StockCount[RM_Code],$A51,T_StockCount[WeekIndex],92)&gt;0,SUMIFS(T_StockCount[CountedQty],T_StockCount[RM_Code],$A51,T_StockCount[WeekIndex],92),IF((COUNTIFS(T_SelfStock[RM_Code],$A51,T_SelfStock[WeekIndex],92)&gt;0)*(COUNTIFS(T_TTAFStock[RM_Code],$A51,T_TTAFStock[WeekIndex],92)&gt;0)&gt;0,SUMIFS(T_SelfStock[Self_Qty],T_SelfStock[RM_Code],$A51,T_SelfStock[WeekIndex],92)+SUMIFS(T_TTAFStock[TTAF_Qty],T_TTAFStock[RM_Code],$A51,T_TTAFStock[WeekIndex],92),CN51+'Grid_Incoming'!CO51-'Grid_Requirement'!CO51))</f>
        <v/>
      </c>
      <c r="CP51">
        <f>IF(COUNTIFS(T_StockCount[RM_Code],$A51,T_StockCount[WeekIndex],93)&gt;0,SUMIFS(T_StockCount[CountedQty],T_StockCount[RM_Code],$A51,T_StockCount[WeekIndex],93),IF((COUNTIFS(T_SelfStock[RM_Code],$A51,T_SelfStock[WeekIndex],93)&gt;0)*(COUNTIFS(T_TTAFStock[RM_Code],$A51,T_TTAFStock[WeekIndex],93)&gt;0)&gt;0,SUMIFS(T_SelfStock[Self_Qty],T_SelfStock[RM_Code],$A51,T_SelfStock[WeekIndex],93)+SUMIFS(T_TTAFStock[TTAF_Qty],T_TTAFStock[RM_Code],$A51,T_TTAFStock[WeekIndex],93),CO51+'Grid_Incoming'!CP51-'Grid_Requirement'!CP51))</f>
        <v/>
      </c>
      <c r="CQ51">
        <f>IF(COUNTIFS(T_StockCount[RM_Code],$A51,T_StockCount[WeekIndex],94)&gt;0,SUMIFS(T_StockCount[CountedQty],T_StockCount[RM_Code],$A51,T_StockCount[WeekIndex],94),IF((COUNTIFS(T_SelfStock[RM_Code],$A51,T_SelfStock[WeekIndex],94)&gt;0)*(COUNTIFS(T_TTAFStock[RM_Code],$A51,T_TTAFStock[WeekIndex],94)&gt;0)&gt;0,SUMIFS(T_SelfStock[Self_Qty],T_SelfStock[RM_Code],$A51,T_SelfStock[WeekIndex],94)+SUMIFS(T_TTAFStock[TTAF_Qty],T_TTAFStock[RM_Code],$A51,T_TTAFStock[WeekIndex],94),CP51+'Grid_Incoming'!CQ51-'Grid_Requirement'!CQ51))</f>
        <v/>
      </c>
      <c r="CR51">
        <f>IF(COUNTIFS(T_StockCount[RM_Code],$A51,T_StockCount[WeekIndex],95)&gt;0,SUMIFS(T_StockCount[CountedQty],T_StockCount[RM_Code],$A51,T_StockCount[WeekIndex],95),IF((COUNTIFS(T_SelfStock[RM_Code],$A51,T_SelfStock[WeekIndex],95)&gt;0)*(COUNTIFS(T_TTAFStock[RM_Code],$A51,T_TTAFStock[WeekIndex],95)&gt;0)&gt;0,SUMIFS(T_SelfStock[Self_Qty],T_SelfStock[RM_Code],$A51,T_SelfStock[WeekIndex],95)+SUMIFS(T_TTAFStock[TTAF_Qty],T_TTAFStock[RM_Code],$A51,T_TTAFStock[WeekIndex],95),CQ51+'Grid_Incoming'!CR51-'Grid_Requirement'!CR51))</f>
        <v/>
      </c>
      <c r="CS51">
        <f>IF(COUNTIFS(T_StockCount[RM_Code],$A51,T_StockCount[WeekIndex],96)&gt;0,SUMIFS(T_StockCount[CountedQty],T_StockCount[RM_Code],$A51,T_StockCount[WeekIndex],96),IF((COUNTIFS(T_SelfStock[RM_Code],$A51,T_SelfStock[WeekIndex],96)&gt;0)*(COUNTIFS(T_TTAFStock[RM_Code],$A51,T_TTAFStock[WeekIndex],96)&gt;0)&gt;0,SUMIFS(T_SelfStock[Self_Qty],T_SelfStock[RM_Code],$A51,T_SelfStock[WeekIndex],96)+SUMIFS(T_TTAFStock[TTAF_Qty],T_TTAFStock[RM_Code],$A51,T_TTAFStock[WeekIndex],96),CR51+'Grid_Incoming'!CS51-'Grid_Requirement'!CS51))</f>
        <v/>
      </c>
      <c r="CT51">
        <f>IF(COUNTIFS(T_StockCount[RM_Code],$A51,T_StockCount[WeekIndex],97)&gt;0,SUMIFS(T_StockCount[CountedQty],T_StockCount[RM_Code],$A51,T_StockCount[WeekIndex],97),IF((COUNTIFS(T_SelfStock[RM_Code],$A51,T_SelfStock[WeekIndex],97)&gt;0)*(COUNTIFS(T_TTAFStock[RM_Code],$A51,T_TTAFStock[WeekIndex],97)&gt;0)&gt;0,SUMIFS(T_SelfStock[Self_Qty],T_SelfStock[RM_Code],$A51,T_SelfStock[WeekIndex],97)+SUMIFS(T_TTAFStock[TTAF_Qty],T_TTAFStock[RM_Code],$A51,T_TTAFStock[WeekIndex],97),CS51+'Grid_Incoming'!CT51-'Grid_Requirement'!CT51))</f>
        <v/>
      </c>
      <c r="CU51">
        <f>IF(COUNTIFS(T_StockCount[RM_Code],$A51,T_StockCount[WeekIndex],98)&gt;0,SUMIFS(T_StockCount[CountedQty],T_StockCount[RM_Code],$A51,T_StockCount[WeekIndex],98),IF((COUNTIFS(T_SelfStock[RM_Code],$A51,T_SelfStock[WeekIndex],98)&gt;0)*(COUNTIFS(T_TTAFStock[RM_Code],$A51,T_TTAFStock[WeekIndex],98)&gt;0)&gt;0,SUMIFS(T_SelfStock[Self_Qty],T_SelfStock[RM_Code],$A51,T_SelfStock[WeekIndex],98)+SUMIFS(T_TTAFStock[TTAF_Qty],T_TTAFStock[RM_Code],$A51,T_TTAFStock[WeekIndex],98),CT51+'Grid_Incoming'!CU51-'Grid_Requirement'!CU51))</f>
        <v/>
      </c>
      <c r="CV51">
        <f>IF(COUNTIFS(T_StockCount[RM_Code],$A51,T_StockCount[WeekIndex],99)&gt;0,SUMIFS(T_StockCount[CountedQty],T_StockCount[RM_Code],$A51,T_StockCount[WeekIndex],99),IF((COUNTIFS(T_SelfStock[RM_Code],$A51,T_SelfStock[WeekIndex],99)&gt;0)*(COUNTIFS(T_TTAFStock[RM_Code],$A51,T_TTAFStock[WeekIndex],99)&gt;0)&gt;0,SUMIFS(T_SelfStock[Self_Qty],T_SelfStock[RM_Code],$A51,T_SelfStock[WeekIndex],99)+SUMIFS(T_TTAFStock[TTAF_Qty],T_TTAFStock[RM_Code],$A51,T_TTAFStock[WeekIndex],99),CU51+'Grid_Incoming'!CV51-'Grid_Requirement'!CV51))</f>
        <v/>
      </c>
      <c r="CW51">
        <f>IF(COUNTIFS(T_StockCount[RM_Code],$A51,T_StockCount[WeekIndex],100)&gt;0,SUMIFS(T_StockCount[CountedQty],T_StockCount[RM_Code],$A51,T_StockCount[WeekIndex],100),IF((COUNTIFS(T_SelfStock[RM_Code],$A51,T_SelfStock[WeekIndex],100)&gt;0)*(COUNTIFS(T_TTAFStock[RM_Code],$A51,T_TTAFStock[WeekIndex],100)&gt;0)&gt;0,SUMIFS(T_SelfStock[Self_Qty],T_SelfStock[RM_Code],$A51,T_SelfStock[WeekIndex],100)+SUMIFS(T_TTAFStock[TTAF_Qty],T_TTAFStock[RM_Code],$A51,T_TTAFStock[WeekIndex],100),CV51+'Grid_Incoming'!CW51-'Grid_Requirement'!CW51))</f>
        <v/>
      </c>
      <c r="CX51">
        <f>IF(COUNTIFS(T_StockCount[RM_Code],$A51,T_StockCount[WeekIndex],101)&gt;0,SUMIFS(T_StockCount[CountedQty],T_StockCount[RM_Code],$A51,T_StockCount[WeekIndex],101),IF((COUNTIFS(T_SelfStock[RM_Code],$A51,T_SelfStock[WeekIndex],101)&gt;0)*(COUNTIFS(T_TTAFStock[RM_Code],$A51,T_TTAFStock[WeekIndex],101)&gt;0)&gt;0,SUMIFS(T_SelfStock[Self_Qty],T_SelfStock[RM_Code],$A51,T_SelfStock[WeekIndex],101)+SUMIFS(T_TTAFStock[TTAF_Qty],T_TTAFStock[RM_Code],$A51,T_TTAFStock[WeekIndex],101),CW51+'Grid_Incoming'!CX51-'Grid_Requirement'!CX51))</f>
        <v/>
      </c>
      <c r="CY51">
        <f>IF(COUNTIFS(T_StockCount[RM_Code],$A51,T_StockCount[WeekIndex],102)&gt;0,SUMIFS(T_StockCount[CountedQty],T_StockCount[RM_Code],$A51,T_StockCount[WeekIndex],102),IF((COUNTIFS(T_SelfStock[RM_Code],$A51,T_SelfStock[WeekIndex],102)&gt;0)*(COUNTIFS(T_TTAFStock[RM_Code],$A51,T_TTAFStock[WeekIndex],102)&gt;0)&gt;0,SUMIFS(T_SelfStock[Self_Qty],T_SelfStock[RM_Code],$A51,T_SelfStock[WeekIndex],102)+SUMIFS(T_TTAFStock[TTAF_Qty],T_TTAFStock[RM_Code],$A51,T_TTAFStock[WeekIndex],102),CX51+'Grid_Incoming'!CY51-'Grid_Requirement'!CY51))</f>
        <v/>
      </c>
      <c r="CZ51">
        <f>IF(COUNTIFS(T_StockCount[RM_Code],$A51,T_StockCount[WeekIndex],103)&gt;0,SUMIFS(T_StockCount[CountedQty],T_StockCount[RM_Code],$A51,T_StockCount[WeekIndex],103),IF((COUNTIFS(T_SelfStock[RM_Code],$A51,T_SelfStock[WeekIndex],103)&gt;0)*(COUNTIFS(T_TTAFStock[RM_Code],$A51,T_TTAFStock[WeekIndex],103)&gt;0)&gt;0,SUMIFS(T_SelfStock[Self_Qty],T_SelfStock[RM_Code],$A51,T_SelfStock[WeekIndex],103)+SUMIFS(T_TTAFStock[TTAF_Qty],T_TTAFStock[RM_Code],$A51,T_TTAFStock[WeekIndex],103),CY51+'Grid_Incoming'!CZ51-'Grid_Requirement'!CZ51))</f>
        <v/>
      </c>
      <c r="DA51">
        <f>IF(COUNTIFS(T_StockCount[RM_Code],$A51,T_StockCount[WeekIndex],104)&gt;0,SUMIFS(T_StockCount[CountedQty],T_StockCount[RM_Code],$A51,T_StockCount[WeekIndex],104),IF((COUNTIFS(T_SelfStock[RM_Code],$A51,T_SelfStock[WeekIndex],104)&gt;0)*(COUNTIFS(T_TTAFStock[RM_Code],$A51,T_TTAFStock[WeekIndex],104)&gt;0)&gt;0,SUMIFS(T_SelfStock[Self_Qty],T_SelfStock[RM_Code],$A51,T_SelfStock[WeekIndex],104)+SUMIFS(T_TTAFStock[TTAF_Qty],T_TTAFStock[RM_Code],$A51,T_TTAFStock[WeekIndex],104),CZ51+'Grid_Incoming'!DA51-'Grid_Requirement'!DA51))</f>
        <v/>
      </c>
    </row>
    <row r="52">
      <c r="A52" t="inlineStr">
        <is>
          <t>CHEM-1520</t>
        </is>
      </c>
      <c r="B52">
        <f>IF(COUNTIFS(T_StockCount[RM_Code],$A52,T_StockCount[WeekIndex],1)&gt;0,SUMIFS(T_StockCount[CountedQty],T_StockCount[RM_Code],$A52,T_StockCount[WeekIndex],1),IF((COUNTIFS(T_SelfStock[RM_Code],$A52,T_SelfStock[WeekIndex],1)&gt;0)*(COUNTIFS(T_TTAFStock[RM_Code],$A52,T_TTAFStock[WeekIndex],1)&gt;0)&gt;0,SUMIFS(T_SelfStock[Self_Qty],T_SelfStock[RM_Code],$A52,T_SelfStock[WeekIndex],1)+SUMIFS(T_TTAFStock[TTAF_Qty],T_TTAFStock[RM_Code],$A52,T_TTAFStock[WeekIndex],1),IFERROR(INDEX(T_OpeningStock[Opening_Qty],MATCH($A52,T_OpeningStock[RM_Code],0)),0)+'Grid_Incoming'!B52-'Grid_Requirement'!B52))</f>
        <v/>
      </c>
      <c r="C52">
        <f>IF(COUNTIFS(T_StockCount[RM_Code],$A52,T_StockCount[WeekIndex],2)&gt;0,SUMIFS(T_StockCount[CountedQty],T_StockCount[RM_Code],$A52,T_StockCount[WeekIndex],2),IF((COUNTIFS(T_SelfStock[RM_Code],$A52,T_SelfStock[WeekIndex],2)&gt;0)*(COUNTIFS(T_TTAFStock[RM_Code],$A52,T_TTAFStock[WeekIndex],2)&gt;0)&gt;0,SUMIFS(T_SelfStock[Self_Qty],T_SelfStock[RM_Code],$A52,T_SelfStock[WeekIndex],2)+SUMIFS(T_TTAFStock[TTAF_Qty],T_TTAFStock[RM_Code],$A52,T_TTAFStock[WeekIndex],2),B52+'Grid_Incoming'!C52-'Grid_Requirement'!C52))</f>
        <v/>
      </c>
      <c r="D52">
        <f>IF(COUNTIFS(T_StockCount[RM_Code],$A52,T_StockCount[WeekIndex],3)&gt;0,SUMIFS(T_StockCount[CountedQty],T_StockCount[RM_Code],$A52,T_StockCount[WeekIndex],3),IF((COUNTIFS(T_SelfStock[RM_Code],$A52,T_SelfStock[WeekIndex],3)&gt;0)*(COUNTIFS(T_TTAFStock[RM_Code],$A52,T_TTAFStock[WeekIndex],3)&gt;0)&gt;0,SUMIFS(T_SelfStock[Self_Qty],T_SelfStock[RM_Code],$A52,T_SelfStock[WeekIndex],3)+SUMIFS(T_TTAFStock[TTAF_Qty],T_TTAFStock[RM_Code],$A52,T_TTAFStock[WeekIndex],3),C52+'Grid_Incoming'!D52-'Grid_Requirement'!D52))</f>
        <v/>
      </c>
      <c r="E52">
        <f>IF(COUNTIFS(T_StockCount[RM_Code],$A52,T_StockCount[WeekIndex],4)&gt;0,SUMIFS(T_StockCount[CountedQty],T_StockCount[RM_Code],$A52,T_StockCount[WeekIndex],4),IF((COUNTIFS(T_SelfStock[RM_Code],$A52,T_SelfStock[WeekIndex],4)&gt;0)*(COUNTIFS(T_TTAFStock[RM_Code],$A52,T_TTAFStock[WeekIndex],4)&gt;0)&gt;0,SUMIFS(T_SelfStock[Self_Qty],T_SelfStock[RM_Code],$A52,T_SelfStock[WeekIndex],4)+SUMIFS(T_TTAFStock[TTAF_Qty],T_TTAFStock[RM_Code],$A52,T_TTAFStock[WeekIndex],4),D52+'Grid_Incoming'!E52-'Grid_Requirement'!E52))</f>
        <v/>
      </c>
      <c r="F52">
        <f>IF(COUNTIFS(T_StockCount[RM_Code],$A52,T_StockCount[WeekIndex],5)&gt;0,SUMIFS(T_StockCount[CountedQty],T_StockCount[RM_Code],$A52,T_StockCount[WeekIndex],5),IF((COUNTIFS(T_SelfStock[RM_Code],$A52,T_SelfStock[WeekIndex],5)&gt;0)*(COUNTIFS(T_TTAFStock[RM_Code],$A52,T_TTAFStock[WeekIndex],5)&gt;0)&gt;0,SUMIFS(T_SelfStock[Self_Qty],T_SelfStock[RM_Code],$A52,T_SelfStock[WeekIndex],5)+SUMIFS(T_TTAFStock[TTAF_Qty],T_TTAFStock[RM_Code],$A52,T_TTAFStock[WeekIndex],5),E52+'Grid_Incoming'!F52-'Grid_Requirement'!F52))</f>
        <v/>
      </c>
      <c r="G52">
        <f>IF(COUNTIFS(T_StockCount[RM_Code],$A52,T_StockCount[WeekIndex],6)&gt;0,SUMIFS(T_StockCount[CountedQty],T_StockCount[RM_Code],$A52,T_StockCount[WeekIndex],6),IF((COUNTIFS(T_SelfStock[RM_Code],$A52,T_SelfStock[WeekIndex],6)&gt;0)*(COUNTIFS(T_TTAFStock[RM_Code],$A52,T_TTAFStock[WeekIndex],6)&gt;0)&gt;0,SUMIFS(T_SelfStock[Self_Qty],T_SelfStock[RM_Code],$A52,T_SelfStock[WeekIndex],6)+SUMIFS(T_TTAFStock[TTAF_Qty],T_TTAFStock[RM_Code],$A52,T_TTAFStock[WeekIndex],6),F52+'Grid_Incoming'!G52-'Grid_Requirement'!G52))</f>
        <v/>
      </c>
      <c r="H52">
        <f>IF(COUNTIFS(T_StockCount[RM_Code],$A52,T_StockCount[WeekIndex],7)&gt;0,SUMIFS(T_StockCount[CountedQty],T_StockCount[RM_Code],$A52,T_StockCount[WeekIndex],7),IF((COUNTIFS(T_SelfStock[RM_Code],$A52,T_SelfStock[WeekIndex],7)&gt;0)*(COUNTIFS(T_TTAFStock[RM_Code],$A52,T_TTAFStock[WeekIndex],7)&gt;0)&gt;0,SUMIFS(T_SelfStock[Self_Qty],T_SelfStock[RM_Code],$A52,T_SelfStock[WeekIndex],7)+SUMIFS(T_TTAFStock[TTAF_Qty],T_TTAFStock[RM_Code],$A52,T_TTAFStock[WeekIndex],7),G52+'Grid_Incoming'!H52-'Grid_Requirement'!H52))</f>
        <v/>
      </c>
      <c r="I52">
        <f>IF(COUNTIFS(T_StockCount[RM_Code],$A52,T_StockCount[WeekIndex],8)&gt;0,SUMIFS(T_StockCount[CountedQty],T_StockCount[RM_Code],$A52,T_StockCount[WeekIndex],8),IF((COUNTIFS(T_SelfStock[RM_Code],$A52,T_SelfStock[WeekIndex],8)&gt;0)*(COUNTIFS(T_TTAFStock[RM_Code],$A52,T_TTAFStock[WeekIndex],8)&gt;0)&gt;0,SUMIFS(T_SelfStock[Self_Qty],T_SelfStock[RM_Code],$A52,T_SelfStock[WeekIndex],8)+SUMIFS(T_TTAFStock[TTAF_Qty],T_TTAFStock[RM_Code],$A52,T_TTAFStock[WeekIndex],8),H52+'Grid_Incoming'!I52-'Grid_Requirement'!I52))</f>
        <v/>
      </c>
      <c r="J52">
        <f>IF(COUNTIFS(T_StockCount[RM_Code],$A52,T_StockCount[WeekIndex],9)&gt;0,SUMIFS(T_StockCount[CountedQty],T_StockCount[RM_Code],$A52,T_StockCount[WeekIndex],9),IF((COUNTIFS(T_SelfStock[RM_Code],$A52,T_SelfStock[WeekIndex],9)&gt;0)*(COUNTIFS(T_TTAFStock[RM_Code],$A52,T_TTAFStock[WeekIndex],9)&gt;0)&gt;0,SUMIFS(T_SelfStock[Self_Qty],T_SelfStock[RM_Code],$A52,T_SelfStock[WeekIndex],9)+SUMIFS(T_TTAFStock[TTAF_Qty],T_TTAFStock[RM_Code],$A52,T_TTAFStock[WeekIndex],9),I52+'Grid_Incoming'!J52-'Grid_Requirement'!J52))</f>
        <v/>
      </c>
      <c r="K52">
        <f>IF(COUNTIFS(T_StockCount[RM_Code],$A52,T_StockCount[WeekIndex],10)&gt;0,SUMIFS(T_StockCount[CountedQty],T_StockCount[RM_Code],$A52,T_StockCount[WeekIndex],10),IF((COUNTIFS(T_SelfStock[RM_Code],$A52,T_SelfStock[WeekIndex],10)&gt;0)*(COUNTIFS(T_TTAFStock[RM_Code],$A52,T_TTAFStock[WeekIndex],10)&gt;0)&gt;0,SUMIFS(T_SelfStock[Self_Qty],T_SelfStock[RM_Code],$A52,T_SelfStock[WeekIndex],10)+SUMIFS(T_TTAFStock[TTAF_Qty],T_TTAFStock[RM_Code],$A52,T_TTAFStock[WeekIndex],10),J52+'Grid_Incoming'!K52-'Grid_Requirement'!K52))</f>
        <v/>
      </c>
      <c r="L52">
        <f>IF(COUNTIFS(T_StockCount[RM_Code],$A52,T_StockCount[WeekIndex],11)&gt;0,SUMIFS(T_StockCount[CountedQty],T_StockCount[RM_Code],$A52,T_StockCount[WeekIndex],11),IF((COUNTIFS(T_SelfStock[RM_Code],$A52,T_SelfStock[WeekIndex],11)&gt;0)*(COUNTIFS(T_TTAFStock[RM_Code],$A52,T_TTAFStock[WeekIndex],11)&gt;0)&gt;0,SUMIFS(T_SelfStock[Self_Qty],T_SelfStock[RM_Code],$A52,T_SelfStock[WeekIndex],11)+SUMIFS(T_TTAFStock[TTAF_Qty],T_TTAFStock[RM_Code],$A52,T_TTAFStock[WeekIndex],11),K52+'Grid_Incoming'!L52-'Grid_Requirement'!L52))</f>
        <v/>
      </c>
      <c r="M52">
        <f>IF(COUNTIFS(T_StockCount[RM_Code],$A52,T_StockCount[WeekIndex],12)&gt;0,SUMIFS(T_StockCount[CountedQty],T_StockCount[RM_Code],$A52,T_StockCount[WeekIndex],12),IF((COUNTIFS(T_SelfStock[RM_Code],$A52,T_SelfStock[WeekIndex],12)&gt;0)*(COUNTIFS(T_TTAFStock[RM_Code],$A52,T_TTAFStock[WeekIndex],12)&gt;0)&gt;0,SUMIFS(T_SelfStock[Self_Qty],T_SelfStock[RM_Code],$A52,T_SelfStock[WeekIndex],12)+SUMIFS(T_TTAFStock[TTAF_Qty],T_TTAFStock[RM_Code],$A52,T_TTAFStock[WeekIndex],12),L52+'Grid_Incoming'!M52-'Grid_Requirement'!M52))</f>
        <v/>
      </c>
      <c r="N52">
        <f>IF(COUNTIFS(T_StockCount[RM_Code],$A52,T_StockCount[WeekIndex],13)&gt;0,SUMIFS(T_StockCount[CountedQty],T_StockCount[RM_Code],$A52,T_StockCount[WeekIndex],13),IF((COUNTIFS(T_SelfStock[RM_Code],$A52,T_SelfStock[WeekIndex],13)&gt;0)*(COUNTIFS(T_TTAFStock[RM_Code],$A52,T_TTAFStock[WeekIndex],13)&gt;0)&gt;0,SUMIFS(T_SelfStock[Self_Qty],T_SelfStock[RM_Code],$A52,T_SelfStock[WeekIndex],13)+SUMIFS(T_TTAFStock[TTAF_Qty],T_TTAFStock[RM_Code],$A52,T_TTAFStock[WeekIndex],13),M52+'Grid_Incoming'!N52-'Grid_Requirement'!N52))</f>
        <v/>
      </c>
      <c r="O52">
        <f>IF(COUNTIFS(T_StockCount[RM_Code],$A52,T_StockCount[WeekIndex],14)&gt;0,SUMIFS(T_StockCount[CountedQty],T_StockCount[RM_Code],$A52,T_StockCount[WeekIndex],14),IF((COUNTIFS(T_SelfStock[RM_Code],$A52,T_SelfStock[WeekIndex],14)&gt;0)*(COUNTIFS(T_TTAFStock[RM_Code],$A52,T_TTAFStock[WeekIndex],14)&gt;0)&gt;0,SUMIFS(T_SelfStock[Self_Qty],T_SelfStock[RM_Code],$A52,T_SelfStock[WeekIndex],14)+SUMIFS(T_TTAFStock[TTAF_Qty],T_TTAFStock[RM_Code],$A52,T_TTAFStock[WeekIndex],14),N52+'Grid_Incoming'!O52-'Grid_Requirement'!O52))</f>
        <v/>
      </c>
      <c r="P52">
        <f>IF(COUNTIFS(T_StockCount[RM_Code],$A52,T_StockCount[WeekIndex],15)&gt;0,SUMIFS(T_StockCount[CountedQty],T_StockCount[RM_Code],$A52,T_StockCount[WeekIndex],15),IF((COUNTIFS(T_SelfStock[RM_Code],$A52,T_SelfStock[WeekIndex],15)&gt;0)*(COUNTIFS(T_TTAFStock[RM_Code],$A52,T_TTAFStock[WeekIndex],15)&gt;0)&gt;0,SUMIFS(T_SelfStock[Self_Qty],T_SelfStock[RM_Code],$A52,T_SelfStock[WeekIndex],15)+SUMIFS(T_TTAFStock[TTAF_Qty],T_TTAFStock[RM_Code],$A52,T_TTAFStock[WeekIndex],15),O52+'Grid_Incoming'!P52-'Grid_Requirement'!P52))</f>
        <v/>
      </c>
      <c r="Q52">
        <f>IF(COUNTIFS(T_StockCount[RM_Code],$A52,T_StockCount[WeekIndex],16)&gt;0,SUMIFS(T_StockCount[CountedQty],T_StockCount[RM_Code],$A52,T_StockCount[WeekIndex],16),IF((COUNTIFS(T_SelfStock[RM_Code],$A52,T_SelfStock[WeekIndex],16)&gt;0)*(COUNTIFS(T_TTAFStock[RM_Code],$A52,T_TTAFStock[WeekIndex],16)&gt;0)&gt;0,SUMIFS(T_SelfStock[Self_Qty],T_SelfStock[RM_Code],$A52,T_SelfStock[WeekIndex],16)+SUMIFS(T_TTAFStock[TTAF_Qty],T_TTAFStock[RM_Code],$A52,T_TTAFStock[WeekIndex],16),P52+'Grid_Incoming'!Q52-'Grid_Requirement'!Q52))</f>
        <v/>
      </c>
      <c r="R52">
        <f>IF(COUNTIFS(T_StockCount[RM_Code],$A52,T_StockCount[WeekIndex],17)&gt;0,SUMIFS(T_StockCount[CountedQty],T_StockCount[RM_Code],$A52,T_StockCount[WeekIndex],17),IF((COUNTIFS(T_SelfStock[RM_Code],$A52,T_SelfStock[WeekIndex],17)&gt;0)*(COUNTIFS(T_TTAFStock[RM_Code],$A52,T_TTAFStock[WeekIndex],17)&gt;0)&gt;0,SUMIFS(T_SelfStock[Self_Qty],T_SelfStock[RM_Code],$A52,T_SelfStock[WeekIndex],17)+SUMIFS(T_TTAFStock[TTAF_Qty],T_TTAFStock[RM_Code],$A52,T_TTAFStock[WeekIndex],17),Q52+'Grid_Incoming'!R52-'Grid_Requirement'!R52))</f>
        <v/>
      </c>
      <c r="S52">
        <f>IF(COUNTIFS(T_StockCount[RM_Code],$A52,T_StockCount[WeekIndex],18)&gt;0,SUMIFS(T_StockCount[CountedQty],T_StockCount[RM_Code],$A52,T_StockCount[WeekIndex],18),IF((COUNTIFS(T_SelfStock[RM_Code],$A52,T_SelfStock[WeekIndex],18)&gt;0)*(COUNTIFS(T_TTAFStock[RM_Code],$A52,T_TTAFStock[WeekIndex],18)&gt;0)&gt;0,SUMIFS(T_SelfStock[Self_Qty],T_SelfStock[RM_Code],$A52,T_SelfStock[WeekIndex],18)+SUMIFS(T_TTAFStock[TTAF_Qty],T_TTAFStock[RM_Code],$A52,T_TTAFStock[WeekIndex],18),R52+'Grid_Incoming'!S52-'Grid_Requirement'!S52))</f>
        <v/>
      </c>
      <c r="T52">
        <f>IF(COUNTIFS(T_StockCount[RM_Code],$A52,T_StockCount[WeekIndex],19)&gt;0,SUMIFS(T_StockCount[CountedQty],T_StockCount[RM_Code],$A52,T_StockCount[WeekIndex],19),IF((COUNTIFS(T_SelfStock[RM_Code],$A52,T_SelfStock[WeekIndex],19)&gt;0)*(COUNTIFS(T_TTAFStock[RM_Code],$A52,T_TTAFStock[WeekIndex],19)&gt;0)&gt;0,SUMIFS(T_SelfStock[Self_Qty],T_SelfStock[RM_Code],$A52,T_SelfStock[WeekIndex],19)+SUMIFS(T_TTAFStock[TTAF_Qty],T_TTAFStock[RM_Code],$A52,T_TTAFStock[WeekIndex],19),S52+'Grid_Incoming'!T52-'Grid_Requirement'!T52))</f>
        <v/>
      </c>
      <c r="U52">
        <f>IF(COUNTIFS(T_StockCount[RM_Code],$A52,T_StockCount[WeekIndex],20)&gt;0,SUMIFS(T_StockCount[CountedQty],T_StockCount[RM_Code],$A52,T_StockCount[WeekIndex],20),IF((COUNTIFS(T_SelfStock[RM_Code],$A52,T_SelfStock[WeekIndex],20)&gt;0)*(COUNTIFS(T_TTAFStock[RM_Code],$A52,T_TTAFStock[WeekIndex],20)&gt;0)&gt;0,SUMIFS(T_SelfStock[Self_Qty],T_SelfStock[RM_Code],$A52,T_SelfStock[WeekIndex],20)+SUMIFS(T_TTAFStock[TTAF_Qty],T_TTAFStock[RM_Code],$A52,T_TTAFStock[WeekIndex],20),T52+'Grid_Incoming'!U52-'Grid_Requirement'!U52))</f>
        <v/>
      </c>
      <c r="V52">
        <f>IF(COUNTIFS(T_StockCount[RM_Code],$A52,T_StockCount[WeekIndex],21)&gt;0,SUMIFS(T_StockCount[CountedQty],T_StockCount[RM_Code],$A52,T_StockCount[WeekIndex],21),IF((COUNTIFS(T_SelfStock[RM_Code],$A52,T_SelfStock[WeekIndex],21)&gt;0)*(COUNTIFS(T_TTAFStock[RM_Code],$A52,T_TTAFStock[WeekIndex],21)&gt;0)&gt;0,SUMIFS(T_SelfStock[Self_Qty],T_SelfStock[RM_Code],$A52,T_SelfStock[WeekIndex],21)+SUMIFS(T_TTAFStock[TTAF_Qty],T_TTAFStock[RM_Code],$A52,T_TTAFStock[WeekIndex],21),U52+'Grid_Incoming'!V52-'Grid_Requirement'!V52))</f>
        <v/>
      </c>
      <c r="W52">
        <f>IF(COUNTIFS(T_StockCount[RM_Code],$A52,T_StockCount[WeekIndex],22)&gt;0,SUMIFS(T_StockCount[CountedQty],T_StockCount[RM_Code],$A52,T_StockCount[WeekIndex],22),IF((COUNTIFS(T_SelfStock[RM_Code],$A52,T_SelfStock[WeekIndex],22)&gt;0)*(COUNTIFS(T_TTAFStock[RM_Code],$A52,T_TTAFStock[WeekIndex],22)&gt;0)&gt;0,SUMIFS(T_SelfStock[Self_Qty],T_SelfStock[RM_Code],$A52,T_SelfStock[WeekIndex],22)+SUMIFS(T_TTAFStock[TTAF_Qty],T_TTAFStock[RM_Code],$A52,T_TTAFStock[WeekIndex],22),V52+'Grid_Incoming'!W52-'Grid_Requirement'!W52))</f>
        <v/>
      </c>
      <c r="X52">
        <f>IF(COUNTIFS(T_StockCount[RM_Code],$A52,T_StockCount[WeekIndex],23)&gt;0,SUMIFS(T_StockCount[CountedQty],T_StockCount[RM_Code],$A52,T_StockCount[WeekIndex],23),IF((COUNTIFS(T_SelfStock[RM_Code],$A52,T_SelfStock[WeekIndex],23)&gt;0)*(COUNTIFS(T_TTAFStock[RM_Code],$A52,T_TTAFStock[WeekIndex],23)&gt;0)&gt;0,SUMIFS(T_SelfStock[Self_Qty],T_SelfStock[RM_Code],$A52,T_SelfStock[WeekIndex],23)+SUMIFS(T_TTAFStock[TTAF_Qty],T_TTAFStock[RM_Code],$A52,T_TTAFStock[WeekIndex],23),W52+'Grid_Incoming'!X52-'Grid_Requirement'!X52))</f>
        <v/>
      </c>
      <c r="Y52">
        <f>IF(COUNTIFS(T_StockCount[RM_Code],$A52,T_StockCount[WeekIndex],24)&gt;0,SUMIFS(T_StockCount[CountedQty],T_StockCount[RM_Code],$A52,T_StockCount[WeekIndex],24),IF((COUNTIFS(T_SelfStock[RM_Code],$A52,T_SelfStock[WeekIndex],24)&gt;0)*(COUNTIFS(T_TTAFStock[RM_Code],$A52,T_TTAFStock[WeekIndex],24)&gt;0)&gt;0,SUMIFS(T_SelfStock[Self_Qty],T_SelfStock[RM_Code],$A52,T_SelfStock[WeekIndex],24)+SUMIFS(T_TTAFStock[TTAF_Qty],T_TTAFStock[RM_Code],$A52,T_TTAFStock[WeekIndex],24),X52+'Grid_Incoming'!Y52-'Grid_Requirement'!Y52))</f>
        <v/>
      </c>
      <c r="Z52">
        <f>IF(COUNTIFS(T_StockCount[RM_Code],$A52,T_StockCount[WeekIndex],25)&gt;0,SUMIFS(T_StockCount[CountedQty],T_StockCount[RM_Code],$A52,T_StockCount[WeekIndex],25),IF((COUNTIFS(T_SelfStock[RM_Code],$A52,T_SelfStock[WeekIndex],25)&gt;0)*(COUNTIFS(T_TTAFStock[RM_Code],$A52,T_TTAFStock[WeekIndex],25)&gt;0)&gt;0,SUMIFS(T_SelfStock[Self_Qty],T_SelfStock[RM_Code],$A52,T_SelfStock[WeekIndex],25)+SUMIFS(T_TTAFStock[TTAF_Qty],T_TTAFStock[RM_Code],$A52,T_TTAFStock[WeekIndex],25),Y52+'Grid_Incoming'!Z52-'Grid_Requirement'!Z52))</f>
        <v/>
      </c>
      <c r="AA52">
        <f>IF(COUNTIFS(T_StockCount[RM_Code],$A52,T_StockCount[WeekIndex],26)&gt;0,SUMIFS(T_StockCount[CountedQty],T_StockCount[RM_Code],$A52,T_StockCount[WeekIndex],26),IF((COUNTIFS(T_SelfStock[RM_Code],$A52,T_SelfStock[WeekIndex],26)&gt;0)*(COUNTIFS(T_TTAFStock[RM_Code],$A52,T_TTAFStock[WeekIndex],26)&gt;0)&gt;0,SUMIFS(T_SelfStock[Self_Qty],T_SelfStock[RM_Code],$A52,T_SelfStock[WeekIndex],26)+SUMIFS(T_TTAFStock[TTAF_Qty],T_TTAFStock[RM_Code],$A52,T_TTAFStock[WeekIndex],26),Z52+'Grid_Incoming'!AA52-'Grid_Requirement'!AA52))</f>
        <v/>
      </c>
      <c r="AB52">
        <f>IF(COUNTIFS(T_StockCount[RM_Code],$A52,T_StockCount[WeekIndex],27)&gt;0,SUMIFS(T_StockCount[CountedQty],T_StockCount[RM_Code],$A52,T_StockCount[WeekIndex],27),IF((COUNTIFS(T_SelfStock[RM_Code],$A52,T_SelfStock[WeekIndex],27)&gt;0)*(COUNTIFS(T_TTAFStock[RM_Code],$A52,T_TTAFStock[WeekIndex],27)&gt;0)&gt;0,SUMIFS(T_SelfStock[Self_Qty],T_SelfStock[RM_Code],$A52,T_SelfStock[WeekIndex],27)+SUMIFS(T_TTAFStock[TTAF_Qty],T_TTAFStock[RM_Code],$A52,T_TTAFStock[WeekIndex],27),AA52+'Grid_Incoming'!AB52-'Grid_Requirement'!AB52))</f>
        <v/>
      </c>
      <c r="AC52">
        <f>IF(COUNTIFS(T_StockCount[RM_Code],$A52,T_StockCount[WeekIndex],28)&gt;0,SUMIFS(T_StockCount[CountedQty],T_StockCount[RM_Code],$A52,T_StockCount[WeekIndex],28),IF((COUNTIFS(T_SelfStock[RM_Code],$A52,T_SelfStock[WeekIndex],28)&gt;0)*(COUNTIFS(T_TTAFStock[RM_Code],$A52,T_TTAFStock[WeekIndex],28)&gt;0)&gt;0,SUMIFS(T_SelfStock[Self_Qty],T_SelfStock[RM_Code],$A52,T_SelfStock[WeekIndex],28)+SUMIFS(T_TTAFStock[TTAF_Qty],T_TTAFStock[RM_Code],$A52,T_TTAFStock[WeekIndex],28),AB52+'Grid_Incoming'!AC52-'Grid_Requirement'!AC52))</f>
        <v/>
      </c>
      <c r="AD52">
        <f>IF(COUNTIFS(T_StockCount[RM_Code],$A52,T_StockCount[WeekIndex],29)&gt;0,SUMIFS(T_StockCount[CountedQty],T_StockCount[RM_Code],$A52,T_StockCount[WeekIndex],29),IF((COUNTIFS(T_SelfStock[RM_Code],$A52,T_SelfStock[WeekIndex],29)&gt;0)*(COUNTIFS(T_TTAFStock[RM_Code],$A52,T_TTAFStock[WeekIndex],29)&gt;0)&gt;0,SUMIFS(T_SelfStock[Self_Qty],T_SelfStock[RM_Code],$A52,T_SelfStock[WeekIndex],29)+SUMIFS(T_TTAFStock[TTAF_Qty],T_TTAFStock[RM_Code],$A52,T_TTAFStock[WeekIndex],29),AC52+'Grid_Incoming'!AD52-'Grid_Requirement'!AD52))</f>
        <v/>
      </c>
      <c r="AE52">
        <f>IF(COUNTIFS(T_StockCount[RM_Code],$A52,T_StockCount[WeekIndex],30)&gt;0,SUMIFS(T_StockCount[CountedQty],T_StockCount[RM_Code],$A52,T_StockCount[WeekIndex],30),IF((COUNTIFS(T_SelfStock[RM_Code],$A52,T_SelfStock[WeekIndex],30)&gt;0)*(COUNTIFS(T_TTAFStock[RM_Code],$A52,T_TTAFStock[WeekIndex],30)&gt;0)&gt;0,SUMIFS(T_SelfStock[Self_Qty],T_SelfStock[RM_Code],$A52,T_SelfStock[WeekIndex],30)+SUMIFS(T_TTAFStock[TTAF_Qty],T_TTAFStock[RM_Code],$A52,T_TTAFStock[WeekIndex],30),AD52+'Grid_Incoming'!AE52-'Grid_Requirement'!AE52))</f>
        <v/>
      </c>
      <c r="AF52">
        <f>IF(COUNTIFS(T_StockCount[RM_Code],$A52,T_StockCount[WeekIndex],31)&gt;0,SUMIFS(T_StockCount[CountedQty],T_StockCount[RM_Code],$A52,T_StockCount[WeekIndex],31),IF((COUNTIFS(T_SelfStock[RM_Code],$A52,T_SelfStock[WeekIndex],31)&gt;0)*(COUNTIFS(T_TTAFStock[RM_Code],$A52,T_TTAFStock[WeekIndex],31)&gt;0)&gt;0,SUMIFS(T_SelfStock[Self_Qty],T_SelfStock[RM_Code],$A52,T_SelfStock[WeekIndex],31)+SUMIFS(T_TTAFStock[TTAF_Qty],T_TTAFStock[RM_Code],$A52,T_TTAFStock[WeekIndex],31),AE52+'Grid_Incoming'!AF52-'Grid_Requirement'!AF52))</f>
        <v/>
      </c>
      <c r="AG52">
        <f>IF(COUNTIFS(T_StockCount[RM_Code],$A52,T_StockCount[WeekIndex],32)&gt;0,SUMIFS(T_StockCount[CountedQty],T_StockCount[RM_Code],$A52,T_StockCount[WeekIndex],32),IF((COUNTIFS(T_SelfStock[RM_Code],$A52,T_SelfStock[WeekIndex],32)&gt;0)*(COUNTIFS(T_TTAFStock[RM_Code],$A52,T_TTAFStock[WeekIndex],32)&gt;0)&gt;0,SUMIFS(T_SelfStock[Self_Qty],T_SelfStock[RM_Code],$A52,T_SelfStock[WeekIndex],32)+SUMIFS(T_TTAFStock[TTAF_Qty],T_TTAFStock[RM_Code],$A52,T_TTAFStock[WeekIndex],32),AF52+'Grid_Incoming'!AG52-'Grid_Requirement'!AG52))</f>
        <v/>
      </c>
      <c r="AH52">
        <f>IF(COUNTIFS(T_StockCount[RM_Code],$A52,T_StockCount[WeekIndex],33)&gt;0,SUMIFS(T_StockCount[CountedQty],T_StockCount[RM_Code],$A52,T_StockCount[WeekIndex],33),IF((COUNTIFS(T_SelfStock[RM_Code],$A52,T_SelfStock[WeekIndex],33)&gt;0)*(COUNTIFS(T_TTAFStock[RM_Code],$A52,T_TTAFStock[WeekIndex],33)&gt;0)&gt;0,SUMIFS(T_SelfStock[Self_Qty],T_SelfStock[RM_Code],$A52,T_SelfStock[WeekIndex],33)+SUMIFS(T_TTAFStock[TTAF_Qty],T_TTAFStock[RM_Code],$A52,T_TTAFStock[WeekIndex],33),AG52+'Grid_Incoming'!AH52-'Grid_Requirement'!AH52))</f>
        <v/>
      </c>
      <c r="AI52">
        <f>IF(COUNTIFS(T_StockCount[RM_Code],$A52,T_StockCount[WeekIndex],34)&gt;0,SUMIFS(T_StockCount[CountedQty],T_StockCount[RM_Code],$A52,T_StockCount[WeekIndex],34),IF((COUNTIFS(T_SelfStock[RM_Code],$A52,T_SelfStock[WeekIndex],34)&gt;0)*(COUNTIFS(T_TTAFStock[RM_Code],$A52,T_TTAFStock[WeekIndex],34)&gt;0)&gt;0,SUMIFS(T_SelfStock[Self_Qty],T_SelfStock[RM_Code],$A52,T_SelfStock[WeekIndex],34)+SUMIFS(T_TTAFStock[TTAF_Qty],T_TTAFStock[RM_Code],$A52,T_TTAFStock[WeekIndex],34),AH52+'Grid_Incoming'!AI52-'Grid_Requirement'!AI52))</f>
        <v/>
      </c>
      <c r="AJ52">
        <f>IF(COUNTIFS(T_StockCount[RM_Code],$A52,T_StockCount[WeekIndex],35)&gt;0,SUMIFS(T_StockCount[CountedQty],T_StockCount[RM_Code],$A52,T_StockCount[WeekIndex],35),IF((COUNTIFS(T_SelfStock[RM_Code],$A52,T_SelfStock[WeekIndex],35)&gt;0)*(COUNTIFS(T_TTAFStock[RM_Code],$A52,T_TTAFStock[WeekIndex],35)&gt;0)&gt;0,SUMIFS(T_SelfStock[Self_Qty],T_SelfStock[RM_Code],$A52,T_SelfStock[WeekIndex],35)+SUMIFS(T_TTAFStock[TTAF_Qty],T_TTAFStock[RM_Code],$A52,T_TTAFStock[WeekIndex],35),AI52+'Grid_Incoming'!AJ52-'Grid_Requirement'!AJ52))</f>
        <v/>
      </c>
      <c r="AK52">
        <f>IF(COUNTIFS(T_StockCount[RM_Code],$A52,T_StockCount[WeekIndex],36)&gt;0,SUMIFS(T_StockCount[CountedQty],T_StockCount[RM_Code],$A52,T_StockCount[WeekIndex],36),IF((COUNTIFS(T_SelfStock[RM_Code],$A52,T_SelfStock[WeekIndex],36)&gt;0)*(COUNTIFS(T_TTAFStock[RM_Code],$A52,T_TTAFStock[WeekIndex],36)&gt;0)&gt;0,SUMIFS(T_SelfStock[Self_Qty],T_SelfStock[RM_Code],$A52,T_SelfStock[WeekIndex],36)+SUMIFS(T_TTAFStock[TTAF_Qty],T_TTAFStock[RM_Code],$A52,T_TTAFStock[WeekIndex],36),AJ52+'Grid_Incoming'!AK52-'Grid_Requirement'!AK52))</f>
        <v/>
      </c>
      <c r="AL52">
        <f>IF(COUNTIFS(T_StockCount[RM_Code],$A52,T_StockCount[WeekIndex],37)&gt;0,SUMIFS(T_StockCount[CountedQty],T_StockCount[RM_Code],$A52,T_StockCount[WeekIndex],37),IF((COUNTIFS(T_SelfStock[RM_Code],$A52,T_SelfStock[WeekIndex],37)&gt;0)*(COUNTIFS(T_TTAFStock[RM_Code],$A52,T_TTAFStock[WeekIndex],37)&gt;0)&gt;0,SUMIFS(T_SelfStock[Self_Qty],T_SelfStock[RM_Code],$A52,T_SelfStock[WeekIndex],37)+SUMIFS(T_TTAFStock[TTAF_Qty],T_TTAFStock[RM_Code],$A52,T_TTAFStock[WeekIndex],37),AK52+'Grid_Incoming'!AL52-'Grid_Requirement'!AL52))</f>
        <v/>
      </c>
      <c r="AM52">
        <f>IF(COUNTIFS(T_StockCount[RM_Code],$A52,T_StockCount[WeekIndex],38)&gt;0,SUMIFS(T_StockCount[CountedQty],T_StockCount[RM_Code],$A52,T_StockCount[WeekIndex],38),IF((COUNTIFS(T_SelfStock[RM_Code],$A52,T_SelfStock[WeekIndex],38)&gt;0)*(COUNTIFS(T_TTAFStock[RM_Code],$A52,T_TTAFStock[WeekIndex],38)&gt;0)&gt;0,SUMIFS(T_SelfStock[Self_Qty],T_SelfStock[RM_Code],$A52,T_SelfStock[WeekIndex],38)+SUMIFS(T_TTAFStock[TTAF_Qty],T_TTAFStock[RM_Code],$A52,T_TTAFStock[WeekIndex],38),AL52+'Grid_Incoming'!AM52-'Grid_Requirement'!AM52))</f>
        <v/>
      </c>
      <c r="AN52">
        <f>IF(COUNTIFS(T_StockCount[RM_Code],$A52,T_StockCount[WeekIndex],39)&gt;0,SUMIFS(T_StockCount[CountedQty],T_StockCount[RM_Code],$A52,T_StockCount[WeekIndex],39),IF((COUNTIFS(T_SelfStock[RM_Code],$A52,T_SelfStock[WeekIndex],39)&gt;0)*(COUNTIFS(T_TTAFStock[RM_Code],$A52,T_TTAFStock[WeekIndex],39)&gt;0)&gt;0,SUMIFS(T_SelfStock[Self_Qty],T_SelfStock[RM_Code],$A52,T_SelfStock[WeekIndex],39)+SUMIFS(T_TTAFStock[TTAF_Qty],T_TTAFStock[RM_Code],$A52,T_TTAFStock[WeekIndex],39),AM52+'Grid_Incoming'!AN52-'Grid_Requirement'!AN52))</f>
        <v/>
      </c>
      <c r="AO52">
        <f>IF(COUNTIFS(T_StockCount[RM_Code],$A52,T_StockCount[WeekIndex],40)&gt;0,SUMIFS(T_StockCount[CountedQty],T_StockCount[RM_Code],$A52,T_StockCount[WeekIndex],40),IF((COUNTIFS(T_SelfStock[RM_Code],$A52,T_SelfStock[WeekIndex],40)&gt;0)*(COUNTIFS(T_TTAFStock[RM_Code],$A52,T_TTAFStock[WeekIndex],40)&gt;0)&gt;0,SUMIFS(T_SelfStock[Self_Qty],T_SelfStock[RM_Code],$A52,T_SelfStock[WeekIndex],40)+SUMIFS(T_TTAFStock[TTAF_Qty],T_TTAFStock[RM_Code],$A52,T_TTAFStock[WeekIndex],40),AN52+'Grid_Incoming'!AO52-'Grid_Requirement'!AO52))</f>
        <v/>
      </c>
      <c r="AP52">
        <f>IF(COUNTIFS(T_StockCount[RM_Code],$A52,T_StockCount[WeekIndex],41)&gt;0,SUMIFS(T_StockCount[CountedQty],T_StockCount[RM_Code],$A52,T_StockCount[WeekIndex],41),IF((COUNTIFS(T_SelfStock[RM_Code],$A52,T_SelfStock[WeekIndex],41)&gt;0)*(COUNTIFS(T_TTAFStock[RM_Code],$A52,T_TTAFStock[WeekIndex],41)&gt;0)&gt;0,SUMIFS(T_SelfStock[Self_Qty],T_SelfStock[RM_Code],$A52,T_SelfStock[WeekIndex],41)+SUMIFS(T_TTAFStock[TTAF_Qty],T_TTAFStock[RM_Code],$A52,T_TTAFStock[WeekIndex],41),AO52+'Grid_Incoming'!AP52-'Grid_Requirement'!AP52))</f>
        <v/>
      </c>
      <c r="AQ52">
        <f>IF(COUNTIFS(T_StockCount[RM_Code],$A52,T_StockCount[WeekIndex],42)&gt;0,SUMIFS(T_StockCount[CountedQty],T_StockCount[RM_Code],$A52,T_StockCount[WeekIndex],42),IF((COUNTIFS(T_SelfStock[RM_Code],$A52,T_SelfStock[WeekIndex],42)&gt;0)*(COUNTIFS(T_TTAFStock[RM_Code],$A52,T_TTAFStock[WeekIndex],42)&gt;0)&gt;0,SUMIFS(T_SelfStock[Self_Qty],T_SelfStock[RM_Code],$A52,T_SelfStock[WeekIndex],42)+SUMIFS(T_TTAFStock[TTAF_Qty],T_TTAFStock[RM_Code],$A52,T_TTAFStock[WeekIndex],42),AP52+'Grid_Incoming'!AQ52-'Grid_Requirement'!AQ52))</f>
        <v/>
      </c>
      <c r="AR52">
        <f>IF(COUNTIFS(T_StockCount[RM_Code],$A52,T_StockCount[WeekIndex],43)&gt;0,SUMIFS(T_StockCount[CountedQty],T_StockCount[RM_Code],$A52,T_StockCount[WeekIndex],43),IF((COUNTIFS(T_SelfStock[RM_Code],$A52,T_SelfStock[WeekIndex],43)&gt;0)*(COUNTIFS(T_TTAFStock[RM_Code],$A52,T_TTAFStock[WeekIndex],43)&gt;0)&gt;0,SUMIFS(T_SelfStock[Self_Qty],T_SelfStock[RM_Code],$A52,T_SelfStock[WeekIndex],43)+SUMIFS(T_TTAFStock[TTAF_Qty],T_TTAFStock[RM_Code],$A52,T_TTAFStock[WeekIndex],43),AQ52+'Grid_Incoming'!AR52-'Grid_Requirement'!AR52))</f>
        <v/>
      </c>
      <c r="AS52">
        <f>IF(COUNTIFS(T_StockCount[RM_Code],$A52,T_StockCount[WeekIndex],44)&gt;0,SUMIFS(T_StockCount[CountedQty],T_StockCount[RM_Code],$A52,T_StockCount[WeekIndex],44),IF((COUNTIFS(T_SelfStock[RM_Code],$A52,T_SelfStock[WeekIndex],44)&gt;0)*(COUNTIFS(T_TTAFStock[RM_Code],$A52,T_TTAFStock[WeekIndex],44)&gt;0)&gt;0,SUMIFS(T_SelfStock[Self_Qty],T_SelfStock[RM_Code],$A52,T_SelfStock[WeekIndex],44)+SUMIFS(T_TTAFStock[TTAF_Qty],T_TTAFStock[RM_Code],$A52,T_TTAFStock[WeekIndex],44),AR52+'Grid_Incoming'!AS52-'Grid_Requirement'!AS52))</f>
        <v/>
      </c>
      <c r="AT52">
        <f>IF(COUNTIFS(T_StockCount[RM_Code],$A52,T_StockCount[WeekIndex],45)&gt;0,SUMIFS(T_StockCount[CountedQty],T_StockCount[RM_Code],$A52,T_StockCount[WeekIndex],45),IF((COUNTIFS(T_SelfStock[RM_Code],$A52,T_SelfStock[WeekIndex],45)&gt;0)*(COUNTIFS(T_TTAFStock[RM_Code],$A52,T_TTAFStock[WeekIndex],45)&gt;0)&gt;0,SUMIFS(T_SelfStock[Self_Qty],T_SelfStock[RM_Code],$A52,T_SelfStock[WeekIndex],45)+SUMIFS(T_TTAFStock[TTAF_Qty],T_TTAFStock[RM_Code],$A52,T_TTAFStock[WeekIndex],45),AS52+'Grid_Incoming'!AT52-'Grid_Requirement'!AT52))</f>
        <v/>
      </c>
      <c r="AU52">
        <f>IF(COUNTIFS(T_StockCount[RM_Code],$A52,T_StockCount[WeekIndex],46)&gt;0,SUMIFS(T_StockCount[CountedQty],T_StockCount[RM_Code],$A52,T_StockCount[WeekIndex],46),IF((COUNTIFS(T_SelfStock[RM_Code],$A52,T_SelfStock[WeekIndex],46)&gt;0)*(COUNTIFS(T_TTAFStock[RM_Code],$A52,T_TTAFStock[WeekIndex],46)&gt;0)&gt;0,SUMIFS(T_SelfStock[Self_Qty],T_SelfStock[RM_Code],$A52,T_SelfStock[WeekIndex],46)+SUMIFS(T_TTAFStock[TTAF_Qty],T_TTAFStock[RM_Code],$A52,T_TTAFStock[WeekIndex],46),AT52+'Grid_Incoming'!AU52-'Grid_Requirement'!AU52))</f>
        <v/>
      </c>
      <c r="AV52">
        <f>IF(COUNTIFS(T_StockCount[RM_Code],$A52,T_StockCount[WeekIndex],47)&gt;0,SUMIFS(T_StockCount[CountedQty],T_StockCount[RM_Code],$A52,T_StockCount[WeekIndex],47),IF((COUNTIFS(T_SelfStock[RM_Code],$A52,T_SelfStock[WeekIndex],47)&gt;0)*(COUNTIFS(T_TTAFStock[RM_Code],$A52,T_TTAFStock[WeekIndex],47)&gt;0)&gt;0,SUMIFS(T_SelfStock[Self_Qty],T_SelfStock[RM_Code],$A52,T_SelfStock[WeekIndex],47)+SUMIFS(T_TTAFStock[TTAF_Qty],T_TTAFStock[RM_Code],$A52,T_TTAFStock[WeekIndex],47),AU52+'Grid_Incoming'!AV52-'Grid_Requirement'!AV52))</f>
        <v/>
      </c>
      <c r="AW52">
        <f>IF(COUNTIFS(T_StockCount[RM_Code],$A52,T_StockCount[WeekIndex],48)&gt;0,SUMIFS(T_StockCount[CountedQty],T_StockCount[RM_Code],$A52,T_StockCount[WeekIndex],48),IF((COUNTIFS(T_SelfStock[RM_Code],$A52,T_SelfStock[WeekIndex],48)&gt;0)*(COUNTIFS(T_TTAFStock[RM_Code],$A52,T_TTAFStock[WeekIndex],48)&gt;0)&gt;0,SUMIFS(T_SelfStock[Self_Qty],T_SelfStock[RM_Code],$A52,T_SelfStock[WeekIndex],48)+SUMIFS(T_TTAFStock[TTAF_Qty],T_TTAFStock[RM_Code],$A52,T_TTAFStock[WeekIndex],48),AV52+'Grid_Incoming'!AW52-'Grid_Requirement'!AW52))</f>
        <v/>
      </c>
      <c r="AX52">
        <f>IF(COUNTIFS(T_StockCount[RM_Code],$A52,T_StockCount[WeekIndex],49)&gt;0,SUMIFS(T_StockCount[CountedQty],T_StockCount[RM_Code],$A52,T_StockCount[WeekIndex],49),IF((COUNTIFS(T_SelfStock[RM_Code],$A52,T_SelfStock[WeekIndex],49)&gt;0)*(COUNTIFS(T_TTAFStock[RM_Code],$A52,T_TTAFStock[WeekIndex],49)&gt;0)&gt;0,SUMIFS(T_SelfStock[Self_Qty],T_SelfStock[RM_Code],$A52,T_SelfStock[WeekIndex],49)+SUMIFS(T_TTAFStock[TTAF_Qty],T_TTAFStock[RM_Code],$A52,T_TTAFStock[WeekIndex],49),AW52+'Grid_Incoming'!AX52-'Grid_Requirement'!AX52))</f>
        <v/>
      </c>
      <c r="AY52">
        <f>IF(COUNTIFS(T_StockCount[RM_Code],$A52,T_StockCount[WeekIndex],50)&gt;0,SUMIFS(T_StockCount[CountedQty],T_StockCount[RM_Code],$A52,T_StockCount[WeekIndex],50),IF((COUNTIFS(T_SelfStock[RM_Code],$A52,T_SelfStock[WeekIndex],50)&gt;0)*(COUNTIFS(T_TTAFStock[RM_Code],$A52,T_TTAFStock[WeekIndex],50)&gt;0)&gt;0,SUMIFS(T_SelfStock[Self_Qty],T_SelfStock[RM_Code],$A52,T_SelfStock[WeekIndex],50)+SUMIFS(T_TTAFStock[TTAF_Qty],T_TTAFStock[RM_Code],$A52,T_TTAFStock[WeekIndex],50),AX52+'Grid_Incoming'!AY52-'Grid_Requirement'!AY52))</f>
        <v/>
      </c>
      <c r="AZ52">
        <f>IF(COUNTIFS(T_StockCount[RM_Code],$A52,T_StockCount[WeekIndex],51)&gt;0,SUMIFS(T_StockCount[CountedQty],T_StockCount[RM_Code],$A52,T_StockCount[WeekIndex],51),IF((COUNTIFS(T_SelfStock[RM_Code],$A52,T_SelfStock[WeekIndex],51)&gt;0)*(COUNTIFS(T_TTAFStock[RM_Code],$A52,T_TTAFStock[WeekIndex],51)&gt;0)&gt;0,SUMIFS(T_SelfStock[Self_Qty],T_SelfStock[RM_Code],$A52,T_SelfStock[WeekIndex],51)+SUMIFS(T_TTAFStock[TTAF_Qty],T_TTAFStock[RM_Code],$A52,T_TTAFStock[WeekIndex],51),AY52+'Grid_Incoming'!AZ52-'Grid_Requirement'!AZ52))</f>
        <v/>
      </c>
      <c r="BA52">
        <f>IF(COUNTIFS(T_StockCount[RM_Code],$A52,T_StockCount[WeekIndex],52)&gt;0,SUMIFS(T_StockCount[CountedQty],T_StockCount[RM_Code],$A52,T_StockCount[WeekIndex],52),IF((COUNTIFS(T_SelfStock[RM_Code],$A52,T_SelfStock[WeekIndex],52)&gt;0)*(COUNTIFS(T_TTAFStock[RM_Code],$A52,T_TTAFStock[WeekIndex],52)&gt;0)&gt;0,SUMIFS(T_SelfStock[Self_Qty],T_SelfStock[RM_Code],$A52,T_SelfStock[WeekIndex],52)+SUMIFS(T_TTAFStock[TTAF_Qty],T_TTAFStock[RM_Code],$A52,T_TTAFStock[WeekIndex],52),AZ52+'Grid_Incoming'!BA52-'Grid_Requirement'!BA52))</f>
        <v/>
      </c>
      <c r="BB52">
        <f>IF(COUNTIFS(T_StockCount[RM_Code],$A52,T_StockCount[WeekIndex],53)&gt;0,SUMIFS(T_StockCount[CountedQty],T_StockCount[RM_Code],$A52,T_StockCount[WeekIndex],53),IF((COUNTIFS(T_SelfStock[RM_Code],$A52,T_SelfStock[WeekIndex],53)&gt;0)*(COUNTIFS(T_TTAFStock[RM_Code],$A52,T_TTAFStock[WeekIndex],53)&gt;0)&gt;0,SUMIFS(T_SelfStock[Self_Qty],T_SelfStock[RM_Code],$A52,T_SelfStock[WeekIndex],53)+SUMIFS(T_TTAFStock[TTAF_Qty],T_TTAFStock[RM_Code],$A52,T_TTAFStock[WeekIndex],53),BA52+'Grid_Incoming'!BB52-'Grid_Requirement'!BB52))</f>
        <v/>
      </c>
      <c r="BC52">
        <f>IF(COUNTIFS(T_StockCount[RM_Code],$A52,T_StockCount[WeekIndex],54)&gt;0,SUMIFS(T_StockCount[CountedQty],T_StockCount[RM_Code],$A52,T_StockCount[WeekIndex],54),IF((COUNTIFS(T_SelfStock[RM_Code],$A52,T_SelfStock[WeekIndex],54)&gt;0)*(COUNTIFS(T_TTAFStock[RM_Code],$A52,T_TTAFStock[WeekIndex],54)&gt;0)&gt;0,SUMIFS(T_SelfStock[Self_Qty],T_SelfStock[RM_Code],$A52,T_SelfStock[WeekIndex],54)+SUMIFS(T_TTAFStock[TTAF_Qty],T_TTAFStock[RM_Code],$A52,T_TTAFStock[WeekIndex],54),BB52+'Grid_Incoming'!BC52-'Grid_Requirement'!BC52))</f>
        <v/>
      </c>
      <c r="BD52">
        <f>IF(COUNTIFS(T_StockCount[RM_Code],$A52,T_StockCount[WeekIndex],55)&gt;0,SUMIFS(T_StockCount[CountedQty],T_StockCount[RM_Code],$A52,T_StockCount[WeekIndex],55),IF((COUNTIFS(T_SelfStock[RM_Code],$A52,T_SelfStock[WeekIndex],55)&gt;0)*(COUNTIFS(T_TTAFStock[RM_Code],$A52,T_TTAFStock[WeekIndex],55)&gt;0)&gt;0,SUMIFS(T_SelfStock[Self_Qty],T_SelfStock[RM_Code],$A52,T_SelfStock[WeekIndex],55)+SUMIFS(T_TTAFStock[TTAF_Qty],T_TTAFStock[RM_Code],$A52,T_TTAFStock[WeekIndex],55),BC52+'Grid_Incoming'!BD52-'Grid_Requirement'!BD52))</f>
        <v/>
      </c>
      <c r="BE52">
        <f>IF(COUNTIFS(T_StockCount[RM_Code],$A52,T_StockCount[WeekIndex],56)&gt;0,SUMIFS(T_StockCount[CountedQty],T_StockCount[RM_Code],$A52,T_StockCount[WeekIndex],56),IF((COUNTIFS(T_SelfStock[RM_Code],$A52,T_SelfStock[WeekIndex],56)&gt;0)*(COUNTIFS(T_TTAFStock[RM_Code],$A52,T_TTAFStock[WeekIndex],56)&gt;0)&gt;0,SUMIFS(T_SelfStock[Self_Qty],T_SelfStock[RM_Code],$A52,T_SelfStock[WeekIndex],56)+SUMIFS(T_TTAFStock[TTAF_Qty],T_TTAFStock[RM_Code],$A52,T_TTAFStock[WeekIndex],56),BD52+'Grid_Incoming'!BE52-'Grid_Requirement'!BE52))</f>
        <v/>
      </c>
      <c r="BF52">
        <f>IF(COUNTIFS(T_StockCount[RM_Code],$A52,T_StockCount[WeekIndex],57)&gt;0,SUMIFS(T_StockCount[CountedQty],T_StockCount[RM_Code],$A52,T_StockCount[WeekIndex],57),IF((COUNTIFS(T_SelfStock[RM_Code],$A52,T_SelfStock[WeekIndex],57)&gt;0)*(COUNTIFS(T_TTAFStock[RM_Code],$A52,T_TTAFStock[WeekIndex],57)&gt;0)&gt;0,SUMIFS(T_SelfStock[Self_Qty],T_SelfStock[RM_Code],$A52,T_SelfStock[WeekIndex],57)+SUMIFS(T_TTAFStock[TTAF_Qty],T_TTAFStock[RM_Code],$A52,T_TTAFStock[WeekIndex],57),BE52+'Grid_Incoming'!BF52-'Grid_Requirement'!BF52))</f>
        <v/>
      </c>
      <c r="BG52">
        <f>IF(COUNTIFS(T_StockCount[RM_Code],$A52,T_StockCount[WeekIndex],58)&gt;0,SUMIFS(T_StockCount[CountedQty],T_StockCount[RM_Code],$A52,T_StockCount[WeekIndex],58),IF((COUNTIFS(T_SelfStock[RM_Code],$A52,T_SelfStock[WeekIndex],58)&gt;0)*(COUNTIFS(T_TTAFStock[RM_Code],$A52,T_TTAFStock[WeekIndex],58)&gt;0)&gt;0,SUMIFS(T_SelfStock[Self_Qty],T_SelfStock[RM_Code],$A52,T_SelfStock[WeekIndex],58)+SUMIFS(T_TTAFStock[TTAF_Qty],T_TTAFStock[RM_Code],$A52,T_TTAFStock[WeekIndex],58),BF52+'Grid_Incoming'!BG52-'Grid_Requirement'!BG52))</f>
        <v/>
      </c>
      <c r="BH52">
        <f>IF(COUNTIFS(T_StockCount[RM_Code],$A52,T_StockCount[WeekIndex],59)&gt;0,SUMIFS(T_StockCount[CountedQty],T_StockCount[RM_Code],$A52,T_StockCount[WeekIndex],59),IF((COUNTIFS(T_SelfStock[RM_Code],$A52,T_SelfStock[WeekIndex],59)&gt;0)*(COUNTIFS(T_TTAFStock[RM_Code],$A52,T_TTAFStock[WeekIndex],59)&gt;0)&gt;0,SUMIFS(T_SelfStock[Self_Qty],T_SelfStock[RM_Code],$A52,T_SelfStock[WeekIndex],59)+SUMIFS(T_TTAFStock[TTAF_Qty],T_TTAFStock[RM_Code],$A52,T_TTAFStock[WeekIndex],59),BG52+'Grid_Incoming'!BH52-'Grid_Requirement'!BH52))</f>
        <v/>
      </c>
      <c r="BI52">
        <f>IF(COUNTIFS(T_StockCount[RM_Code],$A52,T_StockCount[WeekIndex],60)&gt;0,SUMIFS(T_StockCount[CountedQty],T_StockCount[RM_Code],$A52,T_StockCount[WeekIndex],60),IF((COUNTIFS(T_SelfStock[RM_Code],$A52,T_SelfStock[WeekIndex],60)&gt;0)*(COUNTIFS(T_TTAFStock[RM_Code],$A52,T_TTAFStock[WeekIndex],60)&gt;0)&gt;0,SUMIFS(T_SelfStock[Self_Qty],T_SelfStock[RM_Code],$A52,T_SelfStock[WeekIndex],60)+SUMIFS(T_TTAFStock[TTAF_Qty],T_TTAFStock[RM_Code],$A52,T_TTAFStock[WeekIndex],60),BH52+'Grid_Incoming'!BI52-'Grid_Requirement'!BI52))</f>
        <v/>
      </c>
      <c r="BJ52">
        <f>IF(COUNTIFS(T_StockCount[RM_Code],$A52,T_StockCount[WeekIndex],61)&gt;0,SUMIFS(T_StockCount[CountedQty],T_StockCount[RM_Code],$A52,T_StockCount[WeekIndex],61),IF((COUNTIFS(T_SelfStock[RM_Code],$A52,T_SelfStock[WeekIndex],61)&gt;0)*(COUNTIFS(T_TTAFStock[RM_Code],$A52,T_TTAFStock[WeekIndex],61)&gt;0)&gt;0,SUMIFS(T_SelfStock[Self_Qty],T_SelfStock[RM_Code],$A52,T_SelfStock[WeekIndex],61)+SUMIFS(T_TTAFStock[TTAF_Qty],T_TTAFStock[RM_Code],$A52,T_TTAFStock[WeekIndex],61),BI52+'Grid_Incoming'!BJ52-'Grid_Requirement'!BJ52))</f>
        <v/>
      </c>
      <c r="BK52">
        <f>IF(COUNTIFS(T_StockCount[RM_Code],$A52,T_StockCount[WeekIndex],62)&gt;0,SUMIFS(T_StockCount[CountedQty],T_StockCount[RM_Code],$A52,T_StockCount[WeekIndex],62),IF((COUNTIFS(T_SelfStock[RM_Code],$A52,T_SelfStock[WeekIndex],62)&gt;0)*(COUNTIFS(T_TTAFStock[RM_Code],$A52,T_TTAFStock[WeekIndex],62)&gt;0)&gt;0,SUMIFS(T_SelfStock[Self_Qty],T_SelfStock[RM_Code],$A52,T_SelfStock[WeekIndex],62)+SUMIFS(T_TTAFStock[TTAF_Qty],T_TTAFStock[RM_Code],$A52,T_TTAFStock[WeekIndex],62),BJ52+'Grid_Incoming'!BK52-'Grid_Requirement'!BK52))</f>
        <v/>
      </c>
      <c r="BL52">
        <f>IF(COUNTIFS(T_StockCount[RM_Code],$A52,T_StockCount[WeekIndex],63)&gt;0,SUMIFS(T_StockCount[CountedQty],T_StockCount[RM_Code],$A52,T_StockCount[WeekIndex],63),IF((COUNTIFS(T_SelfStock[RM_Code],$A52,T_SelfStock[WeekIndex],63)&gt;0)*(COUNTIFS(T_TTAFStock[RM_Code],$A52,T_TTAFStock[WeekIndex],63)&gt;0)&gt;0,SUMIFS(T_SelfStock[Self_Qty],T_SelfStock[RM_Code],$A52,T_SelfStock[WeekIndex],63)+SUMIFS(T_TTAFStock[TTAF_Qty],T_TTAFStock[RM_Code],$A52,T_TTAFStock[WeekIndex],63),BK52+'Grid_Incoming'!BL52-'Grid_Requirement'!BL52))</f>
        <v/>
      </c>
      <c r="BM52">
        <f>IF(COUNTIFS(T_StockCount[RM_Code],$A52,T_StockCount[WeekIndex],64)&gt;0,SUMIFS(T_StockCount[CountedQty],T_StockCount[RM_Code],$A52,T_StockCount[WeekIndex],64),IF((COUNTIFS(T_SelfStock[RM_Code],$A52,T_SelfStock[WeekIndex],64)&gt;0)*(COUNTIFS(T_TTAFStock[RM_Code],$A52,T_TTAFStock[WeekIndex],64)&gt;0)&gt;0,SUMIFS(T_SelfStock[Self_Qty],T_SelfStock[RM_Code],$A52,T_SelfStock[WeekIndex],64)+SUMIFS(T_TTAFStock[TTAF_Qty],T_TTAFStock[RM_Code],$A52,T_TTAFStock[WeekIndex],64),BL52+'Grid_Incoming'!BM52-'Grid_Requirement'!BM52))</f>
        <v/>
      </c>
      <c r="BN52">
        <f>IF(COUNTIFS(T_StockCount[RM_Code],$A52,T_StockCount[WeekIndex],65)&gt;0,SUMIFS(T_StockCount[CountedQty],T_StockCount[RM_Code],$A52,T_StockCount[WeekIndex],65),IF((COUNTIFS(T_SelfStock[RM_Code],$A52,T_SelfStock[WeekIndex],65)&gt;0)*(COUNTIFS(T_TTAFStock[RM_Code],$A52,T_TTAFStock[WeekIndex],65)&gt;0)&gt;0,SUMIFS(T_SelfStock[Self_Qty],T_SelfStock[RM_Code],$A52,T_SelfStock[WeekIndex],65)+SUMIFS(T_TTAFStock[TTAF_Qty],T_TTAFStock[RM_Code],$A52,T_TTAFStock[WeekIndex],65),BM52+'Grid_Incoming'!BN52-'Grid_Requirement'!BN52))</f>
        <v/>
      </c>
      <c r="BO52">
        <f>IF(COUNTIFS(T_StockCount[RM_Code],$A52,T_StockCount[WeekIndex],66)&gt;0,SUMIFS(T_StockCount[CountedQty],T_StockCount[RM_Code],$A52,T_StockCount[WeekIndex],66),IF((COUNTIFS(T_SelfStock[RM_Code],$A52,T_SelfStock[WeekIndex],66)&gt;0)*(COUNTIFS(T_TTAFStock[RM_Code],$A52,T_TTAFStock[WeekIndex],66)&gt;0)&gt;0,SUMIFS(T_SelfStock[Self_Qty],T_SelfStock[RM_Code],$A52,T_SelfStock[WeekIndex],66)+SUMIFS(T_TTAFStock[TTAF_Qty],T_TTAFStock[RM_Code],$A52,T_TTAFStock[WeekIndex],66),BN52+'Grid_Incoming'!BO52-'Grid_Requirement'!BO52))</f>
        <v/>
      </c>
      <c r="BP52">
        <f>IF(COUNTIFS(T_StockCount[RM_Code],$A52,T_StockCount[WeekIndex],67)&gt;0,SUMIFS(T_StockCount[CountedQty],T_StockCount[RM_Code],$A52,T_StockCount[WeekIndex],67),IF((COUNTIFS(T_SelfStock[RM_Code],$A52,T_SelfStock[WeekIndex],67)&gt;0)*(COUNTIFS(T_TTAFStock[RM_Code],$A52,T_TTAFStock[WeekIndex],67)&gt;0)&gt;0,SUMIFS(T_SelfStock[Self_Qty],T_SelfStock[RM_Code],$A52,T_SelfStock[WeekIndex],67)+SUMIFS(T_TTAFStock[TTAF_Qty],T_TTAFStock[RM_Code],$A52,T_TTAFStock[WeekIndex],67),BO52+'Grid_Incoming'!BP52-'Grid_Requirement'!BP52))</f>
        <v/>
      </c>
      <c r="BQ52">
        <f>IF(COUNTIFS(T_StockCount[RM_Code],$A52,T_StockCount[WeekIndex],68)&gt;0,SUMIFS(T_StockCount[CountedQty],T_StockCount[RM_Code],$A52,T_StockCount[WeekIndex],68),IF((COUNTIFS(T_SelfStock[RM_Code],$A52,T_SelfStock[WeekIndex],68)&gt;0)*(COUNTIFS(T_TTAFStock[RM_Code],$A52,T_TTAFStock[WeekIndex],68)&gt;0)&gt;0,SUMIFS(T_SelfStock[Self_Qty],T_SelfStock[RM_Code],$A52,T_SelfStock[WeekIndex],68)+SUMIFS(T_TTAFStock[TTAF_Qty],T_TTAFStock[RM_Code],$A52,T_TTAFStock[WeekIndex],68),BP52+'Grid_Incoming'!BQ52-'Grid_Requirement'!BQ52))</f>
        <v/>
      </c>
      <c r="BR52">
        <f>IF(COUNTIFS(T_StockCount[RM_Code],$A52,T_StockCount[WeekIndex],69)&gt;0,SUMIFS(T_StockCount[CountedQty],T_StockCount[RM_Code],$A52,T_StockCount[WeekIndex],69),IF((COUNTIFS(T_SelfStock[RM_Code],$A52,T_SelfStock[WeekIndex],69)&gt;0)*(COUNTIFS(T_TTAFStock[RM_Code],$A52,T_TTAFStock[WeekIndex],69)&gt;0)&gt;0,SUMIFS(T_SelfStock[Self_Qty],T_SelfStock[RM_Code],$A52,T_SelfStock[WeekIndex],69)+SUMIFS(T_TTAFStock[TTAF_Qty],T_TTAFStock[RM_Code],$A52,T_TTAFStock[WeekIndex],69),BQ52+'Grid_Incoming'!BR52-'Grid_Requirement'!BR52))</f>
        <v/>
      </c>
      <c r="BS52">
        <f>IF(COUNTIFS(T_StockCount[RM_Code],$A52,T_StockCount[WeekIndex],70)&gt;0,SUMIFS(T_StockCount[CountedQty],T_StockCount[RM_Code],$A52,T_StockCount[WeekIndex],70),IF((COUNTIFS(T_SelfStock[RM_Code],$A52,T_SelfStock[WeekIndex],70)&gt;0)*(COUNTIFS(T_TTAFStock[RM_Code],$A52,T_TTAFStock[WeekIndex],70)&gt;0)&gt;0,SUMIFS(T_SelfStock[Self_Qty],T_SelfStock[RM_Code],$A52,T_SelfStock[WeekIndex],70)+SUMIFS(T_TTAFStock[TTAF_Qty],T_TTAFStock[RM_Code],$A52,T_TTAFStock[WeekIndex],70),BR52+'Grid_Incoming'!BS52-'Grid_Requirement'!BS52))</f>
        <v/>
      </c>
      <c r="BT52">
        <f>IF(COUNTIFS(T_StockCount[RM_Code],$A52,T_StockCount[WeekIndex],71)&gt;0,SUMIFS(T_StockCount[CountedQty],T_StockCount[RM_Code],$A52,T_StockCount[WeekIndex],71),IF((COUNTIFS(T_SelfStock[RM_Code],$A52,T_SelfStock[WeekIndex],71)&gt;0)*(COUNTIFS(T_TTAFStock[RM_Code],$A52,T_TTAFStock[WeekIndex],71)&gt;0)&gt;0,SUMIFS(T_SelfStock[Self_Qty],T_SelfStock[RM_Code],$A52,T_SelfStock[WeekIndex],71)+SUMIFS(T_TTAFStock[TTAF_Qty],T_TTAFStock[RM_Code],$A52,T_TTAFStock[WeekIndex],71),BS52+'Grid_Incoming'!BT52-'Grid_Requirement'!BT52))</f>
        <v/>
      </c>
      <c r="BU52">
        <f>IF(COUNTIFS(T_StockCount[RM_Code],$A52,T_StockCount[WeekIndex],72)&gt;0,SUMIFS(T_StockCount[CountedQty],T_StockCount[RM_Code],$A52,T_StockCount[WeekIndex],72),IF((COUNTIFS(T_SelfStock[RM_Code],$A52,T_SelfStock[WeekIndex],72)&gt;0)*(COUNTIFS(T_TTAFStock[RM_Code],$A52,T_TTAFStock[WeekIndex],72)&gt;0)&gt;0,SUMIFS(T_SelfStock[Self_Qty],T_SelfStock[RM_Code],$A52,T_SelfStock[WeekIndex],72)+SUMIFS(T_TTAFStock[TTAF_Qty],T_TTAFStock[RM_Code],$A52,T_TTAFStock[WeekIndex],72),BT52+'Grid_Incoming'!BU52-'Grid_Requirement'!BU52))</f>
        <v/>
      </c>
      <c r="BV52">
        <f>IF(COUNTIFS(T_StockCount[RM_Code],$A52,T_StockCount[WeekIndex],73)&gt;0,SUMIFS(T_StockCount[CountedQty],T_StockCount[RM_Code],$A52,T_StockCount[WeekIndex],73),IF((COUNTIFS(T_SelfStock[RM_Code],$A52,T_SelfStock[WeekIndex],73)&gt;0)*(COUNTIFS(T_TTAFStock[RM_Code],$A52,T_TTAFStock[WeekIndex],73)&gt;0)&gt;0,SUMIFS(T_SelfStock[Self_Qty],T_SelfStock[RM_Code],$A52,T_SelfStock[WeekIndex],73)+SUMIFS(T_TTAFStock[TTAF_Qty],T_TTAFStock[RM_Code],$A52,T_TTAFStock[WeekIndex],73),BU52+'Grid_Incoming'!BV52-'Grid_Requirement'!BV52))</f>
        <v/>
      </c>
      <c r="BW52">
        <f>IF(COUNTIFS(T_StockCount[RM_Code],$A52,T_StockCount[WeekIndex],74)&gt;0,SUMIFS(T_StockCount[CountedQty],T_StockCount[RM_Code],$A52,T_StockCount[WeekIndex],74),IF((COUNTIFS(T_SelfStock[RM_Code],$A52,T_SelfStock[WeekIndex],74)&gt;0)*(COUNTIFS(T_TTAFStock[RM_Code],$A52,T_TTAFStock[WeekIndex],74)&gt;0)&gt;0,SUMIFS(T_SelfStock[Self_Qty],T_SelfStock[RM_Code],$A52,T_SelfStock[WeekIndex],74)+SUMIFS(T_TTAFStock[TTAF_Qty],T_TTAFStock[RM_Code],$A52,T_TTAFStock[WeekIndex],74),BV52+'Grid_Incoming'!BW52-'Grid_Requirement'!BW52))</f>
        <v/>
      </c>
      <c r="BX52">
        <f>IF(COUNTIFS(T_StockCount[RM_Code],$A52,T_StockCount[WeekIndex],75)&gt;0,SUMIFS(T_StockCount[CountedQty],T_StockCount[RM_Code],$A52,T_StockCount[WeekIndex],75),IF((COUNTIFS(T_SelfStock[RM_Code],$A52,T_SelfStock[WeekIndex],75)&gt;0)*(COUNTIFS(T_TTAFStock[RM_Code],$A52,T_TTAFStock[WeekIndex],75)&gt;0)&gt;0,SUMIFS(T_SelfStock[Self_Qty],T_SelfStock[RM_Code],$A52,T_SelfStock[WeekIndex],75)+SUMIFS(T_TTAFStock[TTAF_Qty],T_TTAFStock[RM_Code],$A52,T_TTAFStock[WeekIndex],75),BW52+'Grid_Incoming'!BX52-'Grid_Requirement'!BX52))</f>
        <v/>
      </c>
      <c r="BY52">
        <f>IF(COUNTIFS(T_StockCount[RM_Code],$A52,T_StockCount[WeekIndex],76)&gt;0,SUMIFS(T_StockCount[CountedQty],T_StockCount[RM_Code],$A52,T_StockCount[WeekIndex],76),IF((COUNTIFS(T_SelfStock[RM_Code],$A52,T_SelfStock[WeekIndex],76)&gt;0)*(COUNTIFS(T_TTAFStock[RM_Code],$A52,T_TTAFStock[WeekIndex],76)&gt;0)&gt;0,SUMIFS(T_SelfStock[Self_Qty],T_SelfStock[RM_Code],$A52,T_SelfStock[WeekIndex],76)+SUMIFS(T_TTAFStock[TTAF_Qty],T_TTAFStock[RM_Code],$A52,T_TTAFStock[WeekIndex],76),BX52+'Grid_Incoming'!BY52-'Grid_Requirement'!BY52))</f>
        <v/>
      </c>
      <c r="BZ52">
        <f>IF(COUNTIFS(T_StockCount[RM_Code],$A52,T_StockCount[WeekIndex],77)&gt;0,SUMIFS(T_StockCount[CountedQty],T_StockCount[RM_Code],$A52,T_StockCount[WeekIndex],77),IF((COUNTIFS(T_SelfStock[RM_Code],$A52,T_SelfStock[WeekIndex],77)&gt;0)*(COUNTIFS(T_TTAFStock[RM_Code],$A52,T_TTAFStock[WeekIndex],77)&gt;0)&gt;0,SUMIFS(T_SelfStock[Self_Qty],T_SelfStock[RM_Code],$A52,T_SelfStock[WeekIndex],77)+SUMIFS(T_TTAFStock[TTAF_Qty],T_TTAFStock[RM_Code],$A52,T_TTAFStock[WeekIndex],77),BY52+'Grid_Incoming'!BZ52-'Grid_Requirement'!BZ52))</f>
        <v/>
      </c>
      <c r="CA52">
        <f>IF(COUNTIFS(T_StockCount[RM_Code],$A52,T_StockCount[WeekIndex],78)&gt;0,SUMIFS(T_StockCount[CountedQty],T_StockCount[RM_Code],$A52,T_StockCount[WeekIndex],78),IF((COUNTIFS(T_SelfStock[RM_Code],$A52,T_SelfStock[WeekIndex],78)&gt;0)*(COUNTIFS(T_TTAFStock[RM_Code],$A52,T_TTAFStock[WeekIndex],78)&gt;0)&gt;0,SUMIFS(T_SelfStock[Self_Qty],T_SelfStock[RM_Code],$A52,T_SelfStock[WeekIndex],78)+SUMIFS(T_TTAFStock[TTAF_Qty],T_TTAFStock[RM_Code],$A52,T_TTAFStock[WeekIndex],78),BZ52+'Grid_Incoming'!CA52-'Grid_Requirement'!CA52))</f>
        <v/>
      </c>
      <c r="CB52">
        <f>IF(COUNTIFS(T_StockCount[RM_Code],$A52,T_StockCount[WeekIndex],79)&gt;0,SUMIFS(T_StockCount[CountedQty],T_StockCount[RM_Code],$A52,T_StockCount[WeekIndex],79),IF((COUNTIFS(T_SelfStock[RM_Code],$A52,T_SelfStock[WeekIndex],79)&gt;0)*(COUNTIFS(T_TTAFStock[RM_Code],$A52,T_TTAFStock[WeekIndex],79)&gt;0)&gt;0,SUMIFS(T_SelfStock[Self_Qty],T_SelfStock[RM_Code],$A52,T_SelfStock[WeekIndex],79)+SUMIFS(T_TTAFStock[TTAF_Qty],T_TTAFStock[RM_Code],$A52,T_TTAFStock[WeekIndex],79),CA52+'Grid_Incoming'!CB52-'Grid_Requirement'!CB52))</f>
        <v/>
      </c>
      <c r="CC52">
        <f>IF(COUNTIFS(T_StockCount[RM_Code],$A52,T_StockCount[WeekIndex],80)&gt;0,SUMIFS(T_StockCount[CountedQty],T_StockCount[RM_Code],$A52,T_StockCount[WeekIndex],80),IF((COUNTIFS(T_SelfStock[RM_Code],$A52,T_SelfStock[WeekIndex],80)&gt;0)*(COUNTIFS(T_TTAFStock[RM_Code],$A52,T_TTAFStock[WeekIndex],80)&gt;0)&gt;0,SUMIFS(T_SelfStock[Self_Qty],T_SelfStock[RM_Code],$A52,T_SelfStock[WeekIndex],80)+SUMIFS(T_TTAFStock[TTAF_Qty],T_TTAFStock[RM_Code],$A52,T_TTAFStock[WeekIndex],80),CB52+'Grid_Incoming'!CC52-'Grid_Requirement'!CC52))</f>
        <v/>
      </c>
      <c r="CD52">
        <f>IF(COUNTIFS(T_StockCount[RM_Code],$A52,T_StockCount[WeekIndex],81)&gt;0,SUMIFS(T_StockCount[CountedQty],T_StockCount[RM_Code],$A52,T_StockCount[WeekIndex],81),IF((COUNTIFS(T_SelfStock[RM_Code],$A52,T_SelfStock[WeekIndex],81)&gt;0)*(COUNTIFS(T_TTAFStock[RM_Code],$A52,T_TTAFStock[WeekIndex],81)&gt;0)&gt;0,SUMIFS(T_SelfStock[Self_Qty],T_SelfStock[RM_Code],$A52,T_SelfStock[WeekIndex],81)+SUMIFS(T_TTAFStock[TTAF_Qty],T_TTAFStock[RM_Code],$A52,T_TTAFStock[WeekIndex],81),CC52+'Grid_Incoming'!CD52-'Grid_Requirement'!CD52))</f>
        <v/>
      </c>
      <c r="CE52">
        <f>IF(COUNTIFS(T_StockCount[RM_Code],$A52,T_StockCount[WeekIndex],82)&gt;0,SUMIFS(T_StockCount[CountedQty],T_StockCount[RM_Code],$A52,T_StockCount[WeekIndex],82),IF((COUNTIFS(T_SelfStock[RM_Code],$A52,T_SelfStock[WeekIndex],82)&gt;0)*(COUNTIFS(T_TTAFStock[RM_Code],$A52,T_TTAFStock[WeekIndex],82)&gt;0)&gt;0,SUMIFS(T_SelfStock[Self_Qty],T_SelfStock[RM_Code],$A52,T_SelfStock[WeekIndex],82)+SUMIFS(T_TTAFStock[TTAF_Qty],T_TTAFStock[RM_Code],$A52,T_TTAFStock[WeekIndex],82),CD52+'Grid_Incoming'!CE52-'Grid_Requirement'!CE52))</f>
        <v/>
      </c>
      <c r="CF52">
        <f>IF(COUNTIFS(T_StockCount[RM_Code],$A52,T_StockCount[WeekIndex],83)&gt;0,SUMIFS(T_StockCount[CountedQty],T_StockCount[RM_Code],$A52,T_StockCount[WeekIndex],83),IF((COUNTIFS(T_SelfStock[RM_Code],$A52,T_SelfStock[WeekIndex],83)&gt;0)*(COUNTIFS(T_TTAFStock[RM_Code],$A52,T_TTAFStock[WeekIndex],83)&gt;0)&gt;0,SUMIFS(T_SelfStock[Self_Qty],T_SelfStock[RM_Code],$A52,T_SelfStock[WeekIndex],83)+SUMIFS(T_TTAFStock[TTAF_Qty],T_TTAFStock[RM_Code],$A52,T_TTAFStock[WeekIndex],83),CE52+'Grid_Incoming'!CF52-'Grid_Requirement'!CF52))</f>
        <v/>
      </c>
      <c r="CG52">
        <f>IF(COUNTIFS(T_StockCount[RM_Code],$A52,T_StockCount[WeekIndex],84)&gt;0,SUMIFS(T_StockCount[CountedQty],T_StockCount[RM_Code],$A52,T_StockCount[WeekIndex],84),IF((COUNTIFS(T_SelfStock[RM_Code],$A52,T_SelfStock[WeekIndex],84)&gt;0)*(COUNTIFS(T_TTAFStock[RM_Code],$A52,T_TTAFStock[WeekIndex],84)&gt;0)&gt;0,SUMIFS(T_SelfStock[Self_Qty],T_SelfStock[RM_Code],$A52,T_SelfStock[WeekIndex],84)+SUMIFS(T_TTAFStock[TTAF_Qty],T_TTAFStock[RM_Code],$A52,T_TTAFStock[WeekIndex],84),CF52+'Grid_Incoming'!CG52-'Grid_Requirement'!CG52))</f>
        <v/>
      </c>
      <c r="CH52">
        <f>IF(COUNTIFS(T_StockCount[RM_Code],$A52,T_StockCount[WeekIndex],85)&gt;0,SUMIFS(T_StockCount[CountedQty],T_StockCount[RM_Code],$A52,T_StockCount[WeekIndex],85),IF((COUNTIFS(T_SelfStock[RM_Code],$A52,T_SelfStock[WeekIndex],85)&gt;0)*(COUNTIFS(T_TTAFStock[RM_Code],$A52,T_TTAFStock[WeekIndex],85)&gt;0)&gt;0,SUMIFS(T_SelfStock[Self_Qty],T_SelfStock[RM_Code],$A52,T_SelfStock[WeekIndex],85)+SUMIFS(T_TTAFStock[TTAF_Qty],T_TTAFStock[RM_Code],$A52,T_TTAFStock[WeekIndex],85),CG52+'Grid_Incoming'!CH52-'Grid_Requirement'!CH52))</f>
        <v/>
      </c>
      <c r="CI52">
        <f>IF(COUNTIFS(T_StockCount[RM_Code],$A52,T_StockCount[WeekIndex],86)&gt;0,SUMIFS(T_StockCount[CountedQty],T_StockCount[RM_Code],$A52,T_StockCount[WeekIndex],86),IF((COUNTIFS(T_SelfStock[RM_Code],$A52,T_SelfStock[WeekIndex],86)&gt;0)*(COUNTIFS(T_TTAFStock[RM_Code],$A52,T_TTAFStock[WeekIndex],86)&gt;0)&gt;0,SUMIFS(T_SelfStock[Self_Qty],T_SelfStock[RM_Code],$A52,T_SelfStock[WeekIndex],86)+SUMIFS(T_TTAFStock[TTAF_Qty],T_TTAFStock[RM_Code],$A52,T_TTAFStock[WeekIndex],86),CH52+'Grid_Incoming'!CI52-'Grid_Requirement'!CI52))</f>
        <v/>
      </c>
      <c r="CJ52">
        <f>IF(COUNTIFS(T_StockCount[RM_Code],$A52,T_StockCount[WeekIndex],87)&gt;0,SUMIFS(T_StockCount[CountedQty],T_StockCount[RM_Code],$A52,T_StockCount[WeekIndex],87),IF((COUNTIFS(T_SelfStock[RM_Code],$A52,T_SelfStock[WeekIndex],87)&gt;0)*(COUNTIFS(T_TTAFStock[RM_Code],$A52,T_TTAFStock[WeekIndex],87)&gt;0)&gt;0,SUMIFS(T_SelfStock[Self_Qty],T_SelfStock[RM_Code],$A52,T_SelfStock[WeekIndex],87)+SUMIFS(T_TTAFStock[TTAF_Qty],T_TTAFStock[RM_Code],$A52,T_TTAFStock[WeekIndex],87),CI52+'Grid_Incoming'!CJ52-'Grid_Requirement'!CJ52))</f>
        <v/>
      </c>
      <c r="CK52">
        <f>IF(COUNTIFS(T_StockCount[RM_Code],$A52,T_StockCount[WeekIndex],88)&gt;0,SUMIFS(T_StockCount[CountedQty],T_StockCount[RM_Code],$A52,T_StockCount[WeekIndex],88),IF((COUNTIFS(T_SelfStock[RM_Code],$A52,T_SelfStock[WeekIndex],88)&gt;0)*(COUNTIFS(T_TTAFStock[RM_Code],$A52,T_TTAFStock[WeekIndex],88)&gt;0)&gt;0,SUMIFS(T_SelfStock[Self_Qty],T_SelfStock[RM_Code],$A52,T_SelfStock[WeekIndex],88)+SUMIFS(T_TTAFStock[TTAF_Qty],T_TTAFStock[RM_Code],$A52,T_TTAFStock[WeekIndex],88),CJ52+'Grid_Incoming'!CK52-'Grid_Requirement'!CK52))</f>
        <v/>
      </c>
      <c r="CL52">
        <f>IF(COUNTIFS(T_StockCount[RM_Code],$A52,T_StockCount[WeekIndex],89)&gt;0,SUMIFS(T_StockCount[CountedQty],T_StockCount[RM_Code],$A52,T_StockCount[WeekIndex],89),IF((COUNTIFS(T_SelfStock[RM_Code],$A52,T_SelfStock[WeekIndex],89)&gt;0)*(COUNTIFS(T_TTAFStock[RM_Code],$A52,T_TTAFStock[WeekIndex],89)&gt;0)&gt;0,SUMIFS(T_SelfStock[Self_Qty],T_SelfStock[RM_Code],$A52,T_SelfStock[WeekIndex],89)+SUMIFS(T_TTAFStock[TTAF_Qty],T_TTAFStock[RM_Code],$A52,T_TTAFStock[WeekIndex],89),CK52+'Grid_Incoming'!CL52-'Grid_Requirement'!CL52))</f>
        <v/>
      </c>
      <c r="CM52">
        <f>IF(COUNTIFS(T_StockCount[RM_Code],$A52,T_StockCount[WeekIndex],90)&gt;0,SUMIFS(T_StockCount[CountedQty],T_StockCount[RM_Code],$A52,T_StockCount[WeekIndex],90),IF((COUNTIFS(T_SelfStock[RM_Code],$A52,T_SelfStock[WeekIndex],90)&gt;0)*(COUNTIFS(T_TTAFStock[RM_Code],$A52,T_TTAFStock[WeekIndex],90)&gt;0)&gt;0,SUMIFS(T_SelfStock[Self_Qty],T_SelfStock[RM_Code],$A52,T_SelfStock[WeekIndex],90)+SUMIFS(T_TTAFStock[TTAF_Qty],T_TTAFStock[RM_Code],$A52,T_TTAFStock[WeekIndex],90),CL52+'Grid_Incoming'!CM52-'Grid_Requirement'!CM52))</f>
        <v/>
      </c>
      <c r="CN52">
        <f>IF(COUNTIFS(T_StockCount[RM_Code],$A52,T_StockCount[WeekIndex],91)&gt;0,SUMIFS(T_StockCount[CountedQty],T_StockCount[RM_Code],$A52,T_StockCount[WeekIndex],91),IF((COUNTIFS(T_SelfStock[RM_Code],$A52,T_SelfStock[WeekIndex],91)&gt;0)*(COUNTIFS(T_TTAFStock[RM_Code],$A52,T_TTAFStock[WeekIndex],91)&gt;0)&gt;0,SUMIFS(T_SelfStock[Self_Qty],T_SelfStock[RM_Code],$A52,T_SelfStock[WeekIndex],91)+SUMIFS(T_TTAFStock[TTAF_Qty],T_TTAFStock[RM_Code],$A52,T_TTAFStock[WeekIndex],91),CM52+'Grid_Incoming'!CN52-'Grid_Requirement'!CN52))</f>
        <v/>
      </c>
      <c r="CO52">
        <f>IF(COUNTIFS(T_StockCount[RM_Code],$A52,T_StockCount[WeekIndex],92)&gt;0,SUMIFS(T_StockCount[CountedQty],T_StockCount[RM_Code],$A52,T_StockCount[WeekIndex],92),IF((COUNTIFS(T_SelfStock[RM_Code],$A52,T_SelfStock[WeekIndex],92)&gt;0)*(COUNTIFS(T_TTAFStock[RM_Code],$A52,T_TTAFStock[WeekIndex],92)&gt;0)&gt;0,SUMIFS(T_SelfStock[Self_Qty],T_SelfStock[RM_Code],$A52,T_SelfStock[WeekIndex],92)+SUMIFS(T_TTAFStock[TTAF_Qty],T_TTAFStock[RM_Code],$A52,T_TTAFStock[WeekIndex],92),CN52+'Grid_Incoming'!CO52-'Grid_Requirement'!CO52))</f>
        <v/>
      </c>
      <c r="CP52">
        <f>IF(COUNTIFS(T_StockCount[RM_Code],$A52,T_StockCount[WeekIndex],93)&gt;0,SUMIFS(T_StockCount[CountedQty],T_StockCount[RM_Code],$A52,T_StockCount[WeekIndex],93),IF((COUNTIFS(T_SelfStock[RM_Code],$A52,T_SelfStock[WeekIndex],93)&gt;0)*(COUNTIFS(T_TTAFStock[RM_Code],$A52,T_TTAFStock[WeekIndex],93)&gt;0)&gt;0,SUMIFS(T_SelfStock[Self_Qty],T_SelfStock[RM_Code],$A52,T_SelfStock[WeekIndex],93)+SUMIFS(T_TTAFStock[TTAF_Qty],T_TTAFStock[RM_Code],$A52,T_TTAFStock[WeekIndex],93),CO52+'Grid_Incoming'!CP52-'Grid_Requirement'!CP52))</f>
        <v/>
      </c>
      <c r="CQ52">
        <f>IF(COUNTIFS(T_StockCount[RM_Code],$A52,T_StockCount[WeekIndex],94)&gt;0,SUMIFS(T_StockCount[CountedQty],T_StockCount[RM_Code],$A52,T_StockCount[WeekIndex],94),IF((COUNTIFS(T_SelfStock[RM_Code],$A52,T_SelfStock[WeekIndex],94)&gt;0)*(COUNTIFS(T_TTAFStock[RM_Code],$A52,T_TTAFStock[WeekIndex],94)&gt;0)&gt;0,SUMIFS(T_SelfStock[Self_Qty],T_SelfStock[RM_Code],$A52,T_SelfStock[WeekIndex],94)+SUMIFS(T_TTAFStock[TTAF_Qty],T_TTAFStock[RM_Code],$A52,T_TTAFStock[WeekIndex],94),CP52+'Grid_Incoming'!CQ52-'Grid_Requirement'!CQ52))</f>
        <v/>
      </c>
      <c r="CR52">
        <f>IF(COUNTIFS(T_StockCount[RM_Code],$A52,T_StockCount[WeekIndex],95)&gt;0,SUMIFS(T_StockCount[CountedQty],T_StockCount[RM_Code],$A52,T_StockCount[WeekIndex],95),IF((COUNTIFS(T_SelfStock[RM_Code],$A52,T_SelfStock[WeekIndex],95)&gt;0)*(COUNTIFS(T_TTAFStock[RM_Code],$A52,T_TTAFStock[WeekIndex],95)&gt;0)&gt;0,SUMIFS(T_SelfStock[Self_Qty],T_SelfStock[RM_Code],$A52,T_SelfStock[WeekIndex],95)+SUMIFS(T_TTAFStock[TTAF_Qty],T_TTAFStock[RM_Code],$A52,T_TTAFStock[WeekIndex],95),CQ52+'Grid_Incoming'!CR52-'Grid_Requirement'!CR52))</f>
        <v/>
      </c>
      <c r="CS52">
        <f>IF(COUNTIFS(T_StockCount[RM_Code],$A52,T_StockCount[WeekIndex],96)&gt;0,SUMIFS(T_StockCount[CountedQty],T_StockCount[RM_Code],$A52,T_StockCount[WeekIndex],96),IF((COUNTIFS(T_SelfStock[RM_Code],$A52,T_SelfStock[WeekIndex],96)&gt;0)*(COUNTIFS(T_TTAFStock[RM_Code],$A52,T_TTAFStock[WeekIndex],96)&gt;0)&gt;0,SUMIFS(T_SelfStock[Self_Qty],T_SelfStock[RM_Code],$A52,T_SelfStock[WeekIndex],96)+SUMIFS(T_TTAFStock[TTAF_Qty],T_TTAFStock[RM_Code],$A52,T_TTAFStock[WeekIndex],96),CR52+'Grid_Incoming'!CS52-'Grid_Requirement'!CS52))</f>
        <v/>
      </c>
      <c r="CT52">
        <f>IF(COUNTIFS(T_StockCount[RM_Code],$A52,T_StockCount[WeekIndex],97)&gt;0,SUMIFS(T_StockCount[CountedQty],T_StockCount[RM_Code],$A52,T_StockCount[WeekIndex],97),IF((COUNTIFS(T_SelfStock[RM_Code],$A52,T_SelfStock[WeekIndex],97)&gt;0)*(COUNTIFS(T_TTAFStock[RM_Code],$A52,T_TTAFStock[WeekIndex],97)&gt;0)&gt;0,SUMIFS(T_SelfStock[Self_Qty],T_SelfStock[RM_Code],$A52,T_SelfStock[WeekIndex],97)+SUMIFS(T_TTAFStock[TTAF_Qty],T_TTAFStock[RM_Code],$A52,T_TTAFStock[WeekIndex],97),CS52+'Grid_Incoming'!CT52-'Grid_Requirement'!CT52))</f>
        <v/>
      </c>
      <c r="CU52">
        <f>IF(COUNTIFS(T_StockCount[RM_Code],$A52,T_StockCount[WeekIndex],98)&gt;0,SUMIFS(T_StockCount[CountedQty],T_StockCount[RM_Code],$A52,T_StockCount[WeekIndex],98),IF((COUNTIFS(T_SelfStock[RM_Code],$A52,T_SelfStock[WeekIndex],98)&gt;0)*(COUNTIFS(T_TTAFStock[RM_Code],$A52,T_TTAFStock[WeekIndex],98)&gt;0)&gt;0,SUMIFS(T_SelfStock[Self_Qty],T_SelfStock[RM_Code],$A52,T_SelfStock[WeekIndex],98)+SUMIFS(T_TTAFStock[TTAF_Qty],T_TTAFStock[RM_Code],$A52,T_TTAFStock[WeekIndex],98),CT52+'Grid_Incoming'!CU52-'Grid_Requirement'!CU52))</f>
        <v/>
      </c>
      <c r="CV52">
        <f>IF(COUNTIFS(T_StockCount[RM_Code],$A52,T_StockCount[WeekIndex],99)&gt;0,SUMIFS(T_StockCount[CountedQty],T_StockCount[RM_Code],$A52,T_StockCount[WeekIndex],99),IF((COUNTIFS(T_SelfStock[RM_Code],$A52,T_SelfStock[WeekIndex],99)&gt;0)*(COUNTIFS(T_TTAFStock[RM_Code],$A52,T_TTAFStock[WeekIndex],99)&gt;0)&gt;0,SUMIFS(T_SelfStock[Self_Qty],T_SelfStock[RM_Code],$A52,T_SelfStock[WeekIndex],99)+SUMIFS(T_TTAFStock[TTAF_Qty],T_TTAFStock[RM_Code],$A52,T_TTAFStock[WeekIndex],99),CU52+'Grid_Incoming'!CV52-'Grid_Requirement'!CV52))</f>
        <v/>
      </c>
      <c r="CW52">
        <f>IF(COUNTIFS(T_StockCount[RM_Code],$A52,T_StockCount[WeekIndex],100)&gt;0,SUMIFS(T_StockCount[CountedQty],T_StockCount[RM_Code],$A52,T_StockCount[WeekIndex],100),IF((COUNTIFS(T_SelfStock[RM_Code],$A52,T_SelfStock[WeekIndex],100)&gt;0)*(COUNTIFS(T_TTAFStock[RM_Code],$A52,T_TTAFStock[WeekIndex],100)&gt;0)&gt;0,SUMIFS(T_SelfStock[Self_Qty],T_SelfStock[RM_Code],$A52,T_SelfStock[WeekIndex],100)+SUMIFS(T_TTAFStock[TTAF_Qty],T_TTAFStock[RM_Code],$A52,T_TTAFStock[WeekIndex],100),CV52+'Grid_Incoming'!CW52-'Grid_Requirement'!CW52))</f>
        <v/>
      </c>
      <c r="CX52">
        <f>IF(COUNTIFS(T_StockCount[RM_Code],$A52,T_StockCount[WeekIndex],101)&gt;0,SUMIFS(T_StockCount[CountedQty],T_StockCount[RM_Code],$A52,T_StockCount[WeekIndex],101),IF((COUNTIFS(T_SelfStock[RM_Code],$A52,T_SelfStock[WeekIndex],101)&gt;0)*(COUNTIFS(T_TTAFStock[RM_Code],$A52,T_TTAFStock[WeekIndex],101)&gt;0)&gt;0,SUMIFS(T_SelfStock[Self_Qty],T_SelfStock[RM_Code],$A52,T_SelfStock[WeekIndex],101)+SUMIFS(T_TTAFStock[TTAF_Qty],T_TTAFStock[RM_Code],$A52,T_TTAFStock[WeekIndex],101),CW52+'Grid_Incoming'!CX52-'Grid_Requirement'!CX52))</f>
        <v/>
      </c>
      <c r="CY52">
        <f>IF(COUNTIFS(T_StockCount[RM_Code],$A52,T_StockCount[WeekIndex],102)&gt;0,SUMIFS(T_StockCount[CountedQty],T_StockCount[RM_Code],$A52,T_StockCount[WeekIndex],102),IF((COUNTIFS(T_SelfStock[RM_Code],$A52,T_SelfStock[WeekIndex],102)&gt;0)*(COUNTIFS(T_TTAFStock[RM_Code],$A52,T_TTAFStock[WeekIndex],102)&gt;0)&gt;0,SUMIFS(T_SelfStock[Self_Qty],T_SelfStock[RM_Code],$A52,T_SelfStock[WeekIndex],102)+SUMIFS(T_TTAFStock[TTAF_Qty],T_TTAFStock[RM_Code],$A52,T_TTAFStock[WeekIndex],102),CX52+'Grid_Incoming'!CY52-'Grid_Requirement'!CY52))</f>
        <v/>
      </c>
      <c r="CZ52">
        <f>IF(COUNTIFS(T_StockCount[RM_Code],$A52,T_StockCount[WeekIndex],103)&gt;0,SUMIFS(T_StockCount[CountedQty],T_StockCount[RM_Code],$A52,T_StockCount[WeekIndex],103),IF((COUNTIFS(T_SelfStock[RM_Code],$A52,T_SelfStock[WeekIndex],103)&gt;0)*(COUNTIFS(T_TTAFStock[RM_Code],$A52,T_TTAFStock[WeekIndex],103)&gt;0)&gt;0,SUMIFS(T_SelfStock[Self_Qty],T_SelfStock[RM_Code],$A52,T_SelfStock[WeekIndex],103)+SUMIFS(T_TTAFStock[TTAF_Qty],T_TTAFStock[RM_Code],$A52,T_TTAFStock[WeekIndex],103),CY52+'Grid_Incoming'!CZ52-'Grid_Requirement'!CZ52))</f>
        <v/>
      </c>
      <c r="DA52">
        <f>IF(COUNTIFS(T_StockCount[RM_Code],$A52,T_StockCount[WeekIndex],104)&gt;0,SUMIFS(T_StockCount[CountedQty],T_StockCount[RM_Code],$A52,T_StockCount[WeekIndex],104),IF((COUNTIFS(T_SelfStock[RM_Code],$A52,T_SelfStock[WeekIndex],104)&gt;0)*(COUNTIFS(T_TTAFStock[RM_Code],$A52,T_TTAFStock[WeekIndex],104)&gt;0)&gt;0,SUMIFS(T_SelfStock[Self_Qty],T_SelfStock[RM_Code],$A52,T_SelfStock[WeekIndex],104)+SUMIFS(T_TTAFStock[TTAF_Qty],T_TTAFStock[RM_Code],$A52,T_TTAFStock[WeekIndex],104),CZ52+'Grid_Incoming'!DA52-'Grid_Requirement'!DA52))</f>
        <v/>
      </c>
    </row>
    <row r="53">
      <c r="A53" t="inlineStr">
        <is>
          <t>CHEM-1580</t>
        </is>
      </c>
      <c r="B53">
        <f>IF(COUNTIFS(T_StockCount[RM_Code],$A53,T_StockCount[WeekIndex],1)&gt;0,SUMIFS(T_StockCount[CountedQty],T_StockCount[RM_Code],$A53,T_StockCount[WeekIndex],1),IF((COUNTIFS(T_SelfStock[RM_Code],$A53,T_SelfStock[WeekIndex],1)&gt;0)*(COUNTIFS(T_TTAFStock[RM_Code],$A53,T_TTAFStock[WeekIndex],1)&gt;0)&gt;0,SUMIFS(T_SelfStock[Self_Qty],T_SelfStock[RM_Code],$A53,T_SelfStock[WeekIndex],1)+SUMIFS(T_TTAFStock[TTAF_Qty],T_TTAFStock[RM_Code],$A53,T_TTAFStock[WeekIndex],1),IFERROR(INDEX(T_OpeningStock[Opening_Qty],MATCH($A53,T_OpeningStock[RM_Code],0)),0)+'Grid_Incoming'!B53-'Grid_Requirement'!B53))</f>
        <v/>
      </c>
      <c r="C53">
        <f>IF(COUNTIFS(T_StockCount[RM_Code],$A53,T_StockCount[WeekIndex],2)&gt;0,SUMIFS(T_StockCount[CountedQty],T_StockCount[RM_Code],$A53,T_StockCount[WeekIndex],2),IF((COUNTIFS(T_SelfStock[RM_Code],$A53,T_SelfStock[WeekIndex],2)&gt;0)*(COUNTIFS(T_TTAFStock[RM_Code],$A53,T_TTAFStock[WeekIndex],2)&gt;0)&gt;0,SUMIFS(T_SelfStock[Self_Qty],T_SelfStock[RM_Code],$A53,T_SelfStock[WeekIndex],2)+SUMIFS(T_TTAFStock[TTAF_Qty],T_TTAFStock[RM_Code],$A53,T_TTAFStock[WeekIndex],2),B53+'Grid_Incoming'!C53-'Grid_Requirement'!C53))</f>
        <v/>
      </c>
      <c r="D53">
        <f>IF(COUNTIFS(T_StockCount[RM_Code],$A53,T_StockCount[WeekIndex],3)&gt;0,SUMIFS(T_StockCount[CountedQty],T_StockCount[RM_Code],$A53,T_StockCount[WeekIndex],3),IF((COUNTIFS(T_SelfStock[RM_Code],$A53,T_SelfStock[WeekIndex],3)&gt;0)*(COUNTIFS(T_TTAFStock[RM_Code],$A53,T_TTAFStock[WeekIndex],3)&gt;0)&gt;0,SUMIFS(T_SelfStock[Self_Qty],T_SelfStock[RM_Code],$A53,T_SelfStock[WeekIndex],3)+SUMIFS(T_TTAFStock[TTAF_Qty],T_TTAFStock[RM_Code],$A53,T_TTAFStock[WeekIndex],3),C53+'Grid_Incoming'!D53-'Grid_Requirement'!D53))</f>
        <v/>
      </c>
      <c r="E53">
        <f>IF(COUNTIFS(T_StockCount[RM_Code],$A53,T_StockCount[WeekIndex],4)&gt;0,SUMIFS(T_StockCount[CountedQty],T_StockCount[RM_Code],$A53,T_StockCount[WeekIndex],4),IF((COUNTIFS(T_SelfStock[RM_Code],$A53,T_SelfStock[WeekIndex],4)&gt;0)*(COUNTIFS(T_TTAFStock[RM_Code],$A53,T_TTAFStock[WeekIndex],4)&gt;0)&gt;0,SUMIFS(T_SelfStock[Self_Qty],T_SelfStock[RM_Code],$A53,T_SelfStock[WeekIndex],4)+SUMIFS(T_TTAFStock[TTAF_Qty],T_TTAFStock[RM_Code],$A53,T_TTAFStock[WeekIndex],4),D53+'Grid_Incoming'!E53-'Grid_Requirement'!E53))</f>
        <v/>
      </c>
      <c r="F53">
        <f>IF(COUNTIFS(T_StockCount[RM_Code],$A53,T_StockCount[WeekIndex],5)&gt;0,SUMIFS(T_StockCount[CountedQty],T_StockCount[RM_Code],$A53,T_StockCount[WeekIndex],5),IF((COUNTIFS(T_SelfStock[RM_Code],$A53,T_SelfStock[WeekIndex],5)&gt;0)*(COUNTIFS(T_TTAFStock[RM_Code],$A53,T_TTAFStock[WeekIndex],5)&gt;0)&gt;0,SUMIFS(T_SelfStock[Self_Qty],T_SelfStock[RM_Code],$A53,T_SelfStock[WeekIndex],5)+SUMIFS(T_TTAFStock[TTAF_Qty],T_TTAFStock[RM_Code],$A53,T_TTAFStock[WeekIndex],5),E53+'Grid_Incoming'!F53-'Grid_Requirement'!F53))</f>
        <v/>
      </c>
      <c r="G53">
        <f>IF(COUNTIFS(T_StockCount[RM_Code],$A53,T_StockCount[WeekIndex],6)&gt;0,SUMIFS(T_StockCount[CountedQty],T_StockCount[RM_Code],$A53,T_StockCount[WeekIndex],6),IF((COUNTIFS(T_SelfStock[RM_Code],$A53,T_SelfStock[WeekIndex],6)&gt;0)*(COUNTIFS(T_TTAFStock[RM_Code],$A53,T_TTAFStock[WeekIndex],6)&gt;0)&gt;0,SUMIFS(T_SelfStock[Self_Qty],T_SelfStock[RM_Code],$A53,T_SelfStock[WeekIndex],6)+SUMIFS(T_TTAFStock[TTAF_Qty],T_TTAFStock[RM_Code],$A53,T_TTAFStock[WeekIndex],6),F53+'Grid_Incoming'!G53-'Grid_Requirement'!G53))</f>
        <v/>
      </c>
      <c r="H53">
        <f>IF(COUNTIFS(T_StockCount[RM_Code],$A53,T_StockCount[WeekIndex],7)&gt;0,SUMIFS(T_StockCount[CountedQty],T_StockCount[RM_Code],$A53,T_StockCount[WeekIndex],7),IF((COUNTIFS(T_SelfStock[RM_Code],$A53,T_SelfStock[WeekIndex],7)&gt;0)*(COUNTIFS(T_TTAFStock[RM_Code],$A53,T_TTAFStock[WeekIndex],7)&gt;0)&gt;0,SUMIFS(T_SelfStock[Self_Qty],T_SelfStock[RM_Code],$A53,T_SelfStock[WeekIndex],7)+SUMIFS(T_TTAFStock[TTAF_Qty],T_TTAFStock[RM_Code],$A53,T_TTAFStock[WeekIndex],7),G53+'Grid_Incoming'!H53-'Grid_Requirement'!H53))</f>
        <v/>
      </c>
      <c r="I53">
        <f>IF(COUNTIFS(T_StockCount[RM_Code],$A53,T_StockCount[WeekIndex],8)&gt;0,SUMIFS(T_StockCount[CountedQty],T_StockCount[RM_Code],$A53,T_StockCount[WeekIndex],8),IF((COUNTIFS(T_SelfStock[RM_Code],$A53,T_SelfStock[WeekIndex],8)&gt;0)*(COUNTIFS(T_TTAFStock[RM_Code],$A53,T_TTAFStock[WeekIndex],8)&gt;0)&gt;0,SUMIFS(T_SelfStock[Self_Qty],T_SelfStock[RM_Code],$A53,T_SelfStock[WeekIndex],8)+SUMIFS(T_TTAFStock[TTAF_Qty],T_TTAFStock[RM_Code],$A53,T_TTAFStock[WeekIndex],8),H53+'Grid_Incoming'!I53-'Grid_Requirement'!I53))</f>
        <v/>
      </c>
      <c r="J53">
        <f>IF(COUNTIFS(T_StockCount[RM_Code],$A53,T_StockCount[WeekIndex],9)&gt;0,SUMIFS(T_StockCount[CountedQty],T_StockCount[RM_Code],$A53,T_StockCount[WeekIndex],9),IF((COUNTIFS(T_SelfStock[RM_Code],$A53,T_SelfStock[WeekIndex],9)&gt;0)*(COUNTIFS(T_TTAFStock[RM_Code],$A53,T_TTAFStock[WeekIndex],9)&gt;0)&gt;0,SUMIFS(T_SelfStock[Self_Qty],T_SelfStock[RM_Code],$A53,T_SelfStock[WeekIndex],9)+SUMIFS(T_TTAFStock[TTAF_Qty],T_TTAFStock[RM_Code],$A53,T_TTAFStock[WeekIndex],9),I53+'Grid_Incoming'!J53-'Grid_Requirement'!J53))</f>
        <v/>
      </c>
      <c r="K53">
        <f>IF(COUNTIFS(T_StockCount[RM_Code],$A53,T_StockCount[WeekIndex],10)&gt;0,SUMIFS(T_StockCount[CountedQty],T_StockCount[RM_Code],$A53,T_StockCount[WeekIndex],10),IF((COUNTIFS(T_SelfStock[RM_Code],$A53,T_SelfStock[WeekIndex],10)&gt;0)*(COUNTIFS(T_TTAFStock[RM_Code],$A53,T_TTAFStock[WeekIndex],10)&gt;0)&gt;0,SUMIFS(T_SelfStock[Self_Qty],T_SelfStock[RM_Code],$A53,T_SelfStock[WeekIndex],10)+SUMIFS(T_TTAFStock[TTAF_Qty],T_TTAFStock[RM_Code],$A53,T_TTAFStock[WeekIndex],10),J53+'Grid_Incoming'!K53-'Grid_Requirement'!K53))</f>
        <v/>
      </c>
      <c r="L53">
        <f>IF(COUNTIFS(T_StockCount[RM_Code],$A53,T_StockCount[WeekIndex],11)&gt;0,SUMIFS(T_StockCount[CountedQty],T_StockCount[RM_Code],$A53,T_StockCount[WeekIndex],11),IF((COUNTIFS(T_SelfStock[RM_Code],$A53,T_SelfStock[WeekIndex],11)&gt;0)*(COUNTIFS(T_TTAFStock[RM_Code],$A53,T_TTAFStock[WeekIndex],11)&gt;0)&gt;0,SUMIFS(T_SelfStock[Self_Qty],T_SelfStock[RM_Code],$A53,T_SelfStock[WeekIndex],11)+SUMIFS(T_TTAFStock[TTAF_Qty],T_TTAFStock[RM_Code],$A53,T_TTAFStock[WeekIndex],11),K53+'Grid_Incoming'!L53-'Grid_Requirement'!L53))</f>
        <v/>
      </c>
      <c r="M53">
        <f>IF(COUNTIFS(T_StockCount[RM_Code],$A53,T_StockCount[WeekIndex],12)&gt;0,SUMIFS(T_StockCount[CountedQty],T_StockCount[RM_Code],$A53,T_StockCount[WeekIndex],12),IF((COUNTIFS(T_SelfStock[RM_Code],$A53,T_SelfStock[WeekIndex],12)&gt;0)*(COUNTIFS(T_TTAFStock[RM_Code],$A53,T_TTAFStock[WeekIndex],12)&gt;0)&gt;0,SUMIFS(T_SelfStock[Self_Qty],T_SelfStock[RM_Code],$A53,T_SelfStock[WeekIndex],12)+SUMIFS(T_TTAFStock[TTAF_Qty],T_TTAFStock[RM_Code],$A53,T_TTAFStock[WeekIndex],12),L53+'Grid_Incoming'!M53-'Grid_Requirement'!M53))</f>
        <v/>
      </c>
      <c r="N53">
        <f>IF(COUNTIFS(T_StockCount[RM_Code],$A53,T_StockCount[WeekIndex],13)&gt;0,SUMIFS(T_StockCount[CountedQty],T_StockCount[RM_Code],$A53,T_StockCount[WeekIndex],13),IF((COUNTIFS(T_SelfStock[RM_Code],$A53,T_SelfStock[WeekIndex],13)&gt;0)*(COUNTIFS(T_TTAFStock[RM_Code],$A53,T_TTAFStock[WeekIndex],13)&gt;0)&gt;0,SUMIFS(T_SelfStock[Self_Qty],T_SelfStock[RM_Code],$A53,T_SelfStock[WeekIndex],13)+SUMIFS(T_TTAFStock[TTAF_Qty],T_TTAFStock[RM_Code],$A53,T_TTAFStock[WeekIndex],13),M53+'Grid_Incoming'!N53-'Grid_Requirement'!N53))</f>
        <v/>
      </c>
      <c r="O53">
        <f>IF(COUNTIFS(T_StockCount[RM_Code],$A53,T_StockCount[WeekIndex],14)&gt;0,SUMIFS(T_StockCount[CountedQty],T_StockCount[RM_Code],$A53,T_StockCount[WeekIndex],14),IF((COUNTIFS(T_SelfStock[RM_Code],$A53,T_SelfStock[WeekIndex],14)&gt;0)*(COUNTIFS(T_TTAFStock[RM_Code],$A53,T_TTAFStock[WeekIndex],14)&gt;0)&gt;0,SUMIFS(T_SelfStock[Self_Qty],T_SelfStock[RM_Code],$A53,T_SelfStock[WeekIndex],14)+SUMIFS(T_TTAFStock[TTAF_Qty],T_TTAFStock[RM_Code],$A53,T_TTAFStock[WeekIndex],14),N53+'Grid_Incoming'!O53-'Grid_Requirement'!O53))</f>
        <v/>
      </c>
      <c r="P53">
        <f>IF(COUNTIFS(T_StockCount[RM_Code],$A53,T_StockCount[WeekIndex],15)&gt;0,SUMIFS(T_StockCount[CountedQty],T_StockCount[RM_Code],$A53,T_StockCount[WeekIndex],15),IF((COUNTIFS(T_SelfStock[RM_Code],$A53,T_SelfStock[WeekIndex],15)&gt;0)*(COUNTIFS(T_TTAFStock[RM_Code],$A53,T_TTAFStock[WeekIndex],15)&gt;0)&gt;0,SUMIFS(T_SelfStock[Self_Qty],T_SelfStock[RM_Code],$A53,T_SelfStock[WeekIndex],15)+SUMIFS(T_TTAFStock[TTAF_Qty],T_TTAFStock[RM_Code],$A53,T_TTAFStock[WeekIndex],15),O53+'Grid_Incoming'!P53-'Grid_Requirement'!P53))</f>
        <v/>
      </c>
      <c r="Q53">
        <f>IF(COUNTIFS(T_StockCount[RM_Code],$A53,T_StockCount[WeekIndex],16)&gt;0,SUMIFS(T_StockCount[CountedQty],T_StockCount[RM_Code],$A53,T_StockCount[WeekIndex],16),IF((COUNTIFS(T_SelfStock[RM_Code],$A53,T_SelfStock[WeekIndex],16)&gt;0)*(COUNTIFS(T_TTAFStock[RM_Code],$A53,T_TTAFStock[WeekIndex],16)&gt;0)&gt;0,SUMIFS(T_SelfStock[Self_Qty],T_SelfStock[RM_Code],$A53,T_SelfStock[WeekIndex],16)+SUMIFS(T_TTAFStock[TTAF_Qty],T_TTAFStock[RM_Code],$A53,T_TTAFStock[WeekIndex],16),P53+'Grid_Incoming'!Q53-'Grid_Requirement'!Q53))</f>
        <v/>
      </c>
      <c r="R53">
        <f>IF(COUNTIFS(T_StockCount[RM_Code],$A53,T_StockCount[WeekIndex],17)&gt;0,SUMIFS(T_StockCount[CountedQty],T_StockCount[RM_Code],$A53,T_StockCount[WeekIndex],17),IF((COUNTIFS(T_SelfStock[RM_Code],$A53,T_SelfStock[WeekIndex],17)&gt;0)*(COUNTIFS(T_TTAFStock[RM_Code],$A53,T_TTAFStock[WeekIndex],17)&gt;0)&gt;0,SUMIFS(T_SelfStock[Self_Qty],T_SelfStock[RM_Code],$A53,T_SelfStock[WeekIndex],17)+SUMIFS(T_TTAFStock[TTAF_Qty],T_TTAFStock[RM_Code],$A53,T_TTAFStock[WeekIndex],17),Q53+'Grid_Incoming'!R53-'Grid_Requirement'!R53))</f>
        <v/>
      </c>
      <c r="S53">
        <f>IF(COUNTIFS(T_StockCount[RM_Code],$A53,T_StockCount[WeekIndex],18)&gt;0,SUMIFS(T_StockCount[CountedQty],T_StockCount[RM_Code],$A53,T_StockCount[WeekIndex],18),IF((COUNTIFS(T_SelfStock[RM_Code],$A53,T_SelfStock[WeekIndex],18)&gt;0)*(COUNTIFS(T_TTAFStock[RM_Code],$A53,T_TTAFStock[WeekIndex],18)&gt;0)&gt;0,SUMIFS(T_SelfStock[Self_Qty],T_SelfStock[RM_Code],$A53,T_SelfStock[WeekIndex],18)+SUMIFS(T_TTAFStock[TTAF_Qty],T_TTAFStock[RM_Code],$A53,T_TTAFStock[WeekIndex],18),R53+'Grid_Incoming'!S53-'Grid_Requirement'!S53))</f>
        <v/>
      </c>
      <c r="T53">
        <f>IF(COUNTIFS(T_StockCount[RM_Code],$A53,T_StockCount[WeekIndex],19)&gt;0,SUMIFS(T_StockCount[CountedQty],T_StockCount[RM_Code],$A53,T_StockCount[WeekIndex],19),IF((COUNTIFS(T_SelfStock[RM_Code],$A53,T_SelfStock[WeekIndex],19)&gt;0)*(COUNTIFS(T_TTAFStock[RM_Code],$A53,T_TTAFStock[WeekIndex],19)&gt;0)&gt;0,SUMIFS(T_SelfStock[Self_Qty],T_SelfStock[RM_Code],$A53,T_SelfStock[WeekIndex],19)+SUMIFS(T_TTAFStock[TTAF_Qty],T_TTAFStock[RM_Code],$A53,T_TTAFStock[WeekIndex],19),S53+'Grid_Incoming'!T53-'Grid_Requirement'!T53))</f>
        <v/>
      </c>
      <c r="U53">
        <f>IF(COUNTIFS(T_StockCount[RM_Code],$A53,T_StockCount[WeekIndex],20)&gt;0,SUMIFS(T_StockCount[CountedQty],T_StockCount[RM_Code],$A53,T_StockCount[WeekIndex],20),IF((COUNTIFS(T_SelfStock[RM_Code],$A53,T_SelfStock[WeekIndex],20)&gt;0)*(COUNTIFS(T_TTAFStock[RM_Code],$A53,T_TTAFStock[WeekIndex],20)&gt;0)&gt;0,SUMIFS(T_SelfStock[Self_Qty],T_SelfStock[RM_Code],$A53,T_SelfStock[WeekIndex],20)+SUMIFS(T_TTAFStock[TTAF_Qty],T_TTAFStock[RM_Code],$A53,T_TTAFStock[WeekIndex],20),T53+'Grid_Incoming'!U53-'Grid_Requirement'!U53))</f>
        <v/>
      </c>
      <c r="V53">
        <f>IF(COUNTIFS(T_StockCount[RM_Code],$A53,T_StockCount[WeekIndex],21)&gt;0,SUMIFS(T_StockCount[CountedQty],T_StockCount[RM_Code],$A53,T_StockCount[WeekIndex],21),IF((COUNTIFS(T_SelfStock[RM_Code],$A53,T_SelfStock[WeekIndex],21)&gt;0)*(COUNTIFS(T_TTAFStock[RM_Code],$A53,T_TTAFStock[WeekIndex],21)&gt;0)&gt;0,SUMIFS(T_SelfStock[Self_Qty],T_SelfStock[RM_Code],$A53,T_SelfStock[WeekIndex],21)+SUMIFS(T_TTAFStock[TTAF_Qty],T_TTAFStock[RM_Code],$A53,T_TTAFStock[WeekIndex],21),U53+'Grid_Incoming'!V53-'Grid_Requirement'!V53))</f>
        <v/>
      </c>
      <c r="W53">
        <f>IF(COUNTIFS(T_StockCount[RM_Code],$A53,T_StockCount[WeekIndex],22)&gt;0,SUMIFS(T_StockCount[CountedQty],T_StockCount[RM_Code],$A53,T_StockCount[WeekIndex],22),IF((COUNTIFS(T_SelfStock[RM_Code],$A53,T_SelfStock[WeekIndex],22)&gt;0)*(COUNTIFS(T_TTAFStock[RM_Code],$A53,T_TTAFStock[WeekIndex],22)&gt;0)&gt;0,SUMIFS(T_SelfStock[Self_Qty],T_SelfStock[RM_Code],$A53,T_SelfStock[WeekIndex],22)+SUMIFS(T_TTAFStock[TTAF_Qty],T_TTAFStock[RM_Code],$A53,T_TTAFStock[WeekIndex],22),V53+'Grid_Incoming'!W53-'Grid_Requirement'!W53))</f>
        <v/>
      </c>
      <c r="X53">
        <f>IF(COUNTIFS(T_StockCount[RM_Code],$A53,T_StockCount[WeekIndex],23)&gt;0,SUMIFS(T_StockCount[CountedQty],T_StockCount[RM_Code],$A53,T_StockCount[WeekIndex],23),IF((COUNTIFS(T_SelfStock[RM_Code],$A53,T_SelfStock[WeekIndex],23)&gt;0)*(COUNTIFS(T_TTAFStock[RM_Code],$A53,T_TTAFStock[WeekIndex],23)&gt;0)&gt;0,SUMIFS(T_SelfStock[Self_Qty],T_SelfStock[RM_Code],$A53,T_SelfStock[WeekIndex],23)+SUMIFS(T_TTAFStock[TTAF_Qty],T_TTAFStock[RM_Code],$A53,T_TTAFStock[WeekIndex],23),W53+'Grid_Incoming'!X53-'Grid_Requirement'!X53))</f>
        <v/>
      </c>
      <c r="Y53">
        <f>IF(COUNTIFS(T_StockCount[RM_Code],$A53,T_StockCount[WeekIndex],24)&gt;0,SUMIFS(T_StockCount[CountedQty],T_StockCount[RM_Code],$A53,T_StockCount[WeekIndex],24),IF((COUNTIFS(T_SelfStock[RM_Code],$A53,T_SelfStock[WeekIndex],24)&gt;0)*(COUNTIFS(T_TTAFStock[RM_Code],$A53,T_TTAFStock[WeekIndex],24)&gt;0)&gt;0,SUMIFS(T_SelfStock[Self_Qty],T_SelfStock[RM_Code],$A53,T_SelfStock[WeekIndex],24)+SUMIFS(T_TTAFStock[TTAF_Qty],T_TTAFStock[RM_Code],$A53,T_TTAFStock[WeekIndex],24),X53+'Grid_Incoming'!Y53-'Grid_Requirement'!Y53))</f>
        <v/>
      </c>
      <c r="Z53">
        <f>IF(COUNTIFS(T_StockCount[RM_Code],$A53,T_StockCount[WeekIndex],25)&gt;0,SUMIFS(T_StockCount[CountedQty],T_StockCount[RM_Code],$A53,T_StockCount[WeekIndex],25),IF((COUNTIFS(T_SelfStock[RM_Code],$A53,T_SelfStock[WeekIndex],25)&gt;0)*(COUNTIFS(T_TTAFStock[RM_Code],$A53,T_TTAFStock[WeekIndex],25)&gt;0)&gt;0,SUMIFS(T_SelfStock[Self_Qty],T_SelfStock[RM_Code],$A53,T_SelfStock[WeekIndex],25)+SUMIFS(T_TTAFStock[TTAF_Qty],T_TTAFStock[RM_Code],$A53,T_TTAFStock[WeekIndex],25),Y53+'Grid_Incoming'!Z53-'Grid_Requirement'!Z53))</f>
        <v/>
      </c>
      <c r="AA53">
        <f>IF(COUNTIFS(T_StockCount[RM_Code],$A53,T_StockCount[WeekIndex],26)&gt;0,SUMIFS(T_StockCount[CountedQty],T_StockCount[RM_Code],$A53,T_StockCount[WeekIndex],26),IF((COUNTIFS(T_SelfStock[RM_Code],$A53,T_SelfStock[WeekIndex],26)&gt;0)*(COUNTIFS(T_TTAFStock[RM_Code],$A53,T_TTAFStock[WeekIndex],26)&gt;0)&gt;0,SUMIFS(T_SelfStock[Self_Qty],T_SelfStock[RM_Code],$A53,T_SelfStock[WeekIndex],26)+SUMIFS(T_TTAFStock[TTAF_Qty],T_TTAFStock[RM_Code],$A53,T_TTAFStock[WeekIndex],26),Z53+'Grid_Incoming'!AA53-'Grid_Requirement'!AA53))</f>
        <v/>
      </c>
      <c r="AB53">
        <f>IF(COUNTIFS(T_StockCount[RM_Code],$A53,T_StockCount[WeekIndex],27)&gt;0,SUMIFS(T_StockCount[CountedQty],T_StockCount[RM_Code],$A53,T_StockCount[WeekIndex],27),IF((COUNTIFS(T_SelfStock[RM_Code],$A53,T_SelfStock[WeekIndex],27)&gt;0)*(COUNTIFS(T_TTAFStock[RM_Code],$A53,T_TTAFStock[WeekIndex],27)&gt;0)&gt;0,SUMIFS(T_SelfStock[Self_Qty],T_SelfStock[RM_Code],$A53,T_SelfStock[WeekIndex],27)+SUMIFS(T_TTAFStock[TTAF_Qty],T_TTAFStock[RM_Code],$A53,T_TTAFStock[WeekIndex],27),AA53+'Grid_Incoming'!AB53-'Grid_Requirement'!AB53))</f>
        <v/>
      </c>
      <c r="AC53">
        <f>IF(COUNTIFS(T_StockCount[RM_Code],$A53,T_StockCount[WeekIndex],28)&gt;0,SUMIFS(T_StockCount[CountedQty],T_StockCount[RM_Code],$A53,T_StockCount[WeekIndex],28),IF((COUNTIFS(T_SelfStock[RM_Code],$A53,T_SelfStock[WeekIndex],28)&gt;0)*(COUNTIFS(T_TTAFStock[RM_Code],$A53,T_TTAFStock[WeekIndex],28)&gt;0)&gt;0,SUMIFS(T_SelfStock[Self_Qty],T_SelfStock[RM_Code],$A53,T_SelfStock[WeekIndex],28)+SUMIFS(T_TTAFStock[TTAF_Qty],T_TTAFStock[RM_Code],$A53,T_TTAFStock[WeekIndex],28),AB53+'Grid_Incoming'!AC53-'Grid_Requirement'!AC53))</f>
        <v/>
      </c>
      <c r="AD53">
        <f>IF(COUNTIFS(T_StockCount[RM_Code],$A53,T_StockCount[WeekIndex],29)&gt;0,SUMIFS(T_StockCount[CountedQty],T_StockCount[RM_Code],$A53,T_StockCount[WeekIndex],29),IF((COUNTIFS(T_SelfStock[RM_Code],$A53,T_SelfStock[WeekIndex],29)&gt;0)*(COUNTIFS(T_TTAFStock[RM_Code],$A53,T_TTAFStock[WeekIndex],29)&gt;0)&gt;0,SUMIFS(T_SelfStock[Self_Qty],T_SelfStock[RM_Code],$A53,T_SelfStock[WeekIndex],29)+SUMIFS(T_TTAFStock[TTAF_Qty],T_TTAFStock[RM_Code],$A53,T_TTAFStock[WeekIndex],29),AC53+'Grid_Incoming'!AD53-'Grid_Requirement'!AD53))</f>
        <v/>
      </c>
      <c r="AE53">
        <f>IF(COUNTIFS(T_StockCount[RM_Code],$A53,T_StockCount[WeekIndex],30)&gt;0,SUMIFS(T_StockCount[CountedQty],T_StockCount[RM_Code],$A53,T_StockCount[WeekIndex],30),IF((COUNTIFS(T_SelfStock[RM_Code],$A53,T_SelfStock[WeekIndex],30)&gt;0)*(COUNTIFS(T_TTAFStock[RM_Code],$A53,T_TTAFStock[WeekIndex],30)&gt;0)&gt;0,SUMIFS(T_SelfStock[Self_Qty],T_SelfStock[RM_Code],$A53,T_SelfStock[WeekIndex],30)+SUMIFS(T_TTAFStock[TTAF_Qty],T_TTAFStock[RM_Code],$A53,T_TTAFStock[WeekIndex],30),AD53+'Grid_Incoming'!AE53-'Grid_Requirement'!AE53))</f>
        <v/>
      </c>
      <c r="AF53">
        <f>IF(COUNTIFS(T_StockCount[RM_Code],$A53,T_StockCount[WeekIndex],31)&gt;0,SUMIFS(T_StockCount[CountedQty],T_StockCount[RM_Code],$A53,T_StockCount[WeekIndex],31),IF((COUNTIFS(T_SelfStock[RM_Code],$A53,T_SelfStock[WeekIndex],31)&gt;0)*(COUNTIFS(T_TTAFStock[RM_Code],$A53,T_TTAFStock[WeekIndex],31)&gt;0)&gt;0,SUMIFS(T_SelfStock[Self_Qty],T_SelfStock[RM_Code],$A53,T_SelfStock[WeekIndex],31)+SUMIFS(T_TTAFStock[TTAF_Qty],T_TTAFStock[RM_Code],$A53,T_TTAFStock[WeekIndex],31),AE53+'Grid_Incoming'!AF53-'Grid_Requirement'!AF53))</f>
        <v/>
      </c>
      <c r="AG53">
        <f>IF(COUNTIFS(T_StockCount[RM_Code],$A53,T_StockCount[WeekIndex],32)&gt;0,SUMIFS(T_StockCount[CountedQty],T_StockCount[RM_Code],$A53,T_StockCount[WeekIndex],32),IF((COUNTIFS(T_SelfStock[RM_Code],$A53,T_SelfStock[WeekIndex],32)&gt;0)*(COUNTIFS(T_TTAFStock[RM_Code],$A53,T_TTAFStock[WeekIndex],32)&gt;0)&gt;0,SUMIFS(T_SelfStock[Self_Qty],T_SelfStock[RM_Code],$A53,T_SelfStock[WeekIndex],32)+SUMIFS(T_TTAFStock[TTAF_Qty],T_TTAFStock[RM_Code],$A53,T_TTAFStock[WeekIndex],32),AF53+'Grid_Incoming'!AG53-'Grid_Requirement'!AG53))</f>
        <v/>
      </c>
      <c r="AH53">
        <f>IF(COUNTIFS(T_StockCount[RM_Code],$A53,T_StockCount[WeekIndex],33)&gt;0,SUMIFS(T_StockCount[CountedQty],T_StockCount[RM_Code],$A53,T_StockCount[WeekIndex],33),IF((COUNTIFS(T_SelfStock[RM_Code],$A53,T_SelfStock[WeekIndex],33)&gt;0)*(COUNTIFS(T_TTAFStock[RM_Code],$A53,T_TTAFStock[WeekIndex],33)&gt;0)&gt;0,SUMIFS(T_SelfStock[Self_Qty],T_SelfStock[RM_Code],$A53,T_SelfStock[WeekIndex],33)+SUMIFS(T_TTAFStock[TTAF_Qty],T_TTAFStock[RM_Code],$A53,T_TTAFStock[WeekIndex],33),AG53+'Grid_Incoming'!AH53-'Grid_Requirement'!AH53))</f>
        <v/>
      </c>
      <c r="AI53">
        <f>IF(COUNTIFS(T_StockCount[RM_Code],$A53,T_StockCount[WeekIndex],34)&gt;0,SUMIFS(T_StockCount[CountedQty],T_StockCount[RM_Code],$A53,T_StockCount[WeekIndex],34),IF((COUNTIFS(T_SelfStock[RM_Code],$A53,T_SelfStock[WeekIndex],34)&gt;0)*(COUNTIFS(T_TTAFStock[RM_Code],$A53,T_TTAFStock[WeekIndex],34)&gt;0)&gt;0,SUMIFS(T_SelfStock[Self_Qty],T_SelfStock[RM_Code],$A53,T_SelfStock[WeekIndex],34)+SUMIFS(T_TTAFStock[TTAF_Qty],T_TTAFStock[RM_Code],$A53,T_TTAFStock[WeekIndex],34),AH53+'Grid_Incoming'!AI53-'Grid_Requirement'!AI53))</f>
        <v/>
      </c>
      <c r="AJ53">
        <f>IF(COUNTIFS(T_StockCount[RM_Code],$A53,T_StockCount[WeekIndex],35)&gt;0,SUMIFS(T_StockCount[CountedQty],T_StockCount[RM_Code],$A53,T_StockCount[WeekIndex],35),IF((COUNTIFS(T_SelfStock[RM_Code],$A53,T_SelfStock[WeekIndex],35)&gt;0)*(COUNTIFS(T_TTAFStock[RM_Code],$A53,T_TTAFStock[WeekIndex],35)&gt;0)&gt;0,SUMIFS(T_SelfStock[Self_Qty],T_SelfStock[RM_Code],$A53,T_SelfStock[WeekIndex],35)+SUMIFS(T_TTAFStock[TTAF_Qty],T_TTAFStock[RM_Code],$A53,T_TTAFStock[WeekIndex],35),AI53+'Grid_Incoming'!AJ53-'Grid_Requirement'!AJ53))</f>
        <v/>
      </c>
      <c r="AK53">
        <f>IF(COUNTIFS(T_StockCount[RM_Code],$A53,T_StockCount[WeekIndex],36)&gt;0,SUMIFS(T_StockCount[CountedQty],T_StockCount[RM_Code],$A53,T_StockCount[WeekIndex],36),IF((COUNTIFS(T_SelfStock[RM_Code],$A53,T_SelfStock[WeekIndex],36)&gt;0)*(COUNTIFS(T_TTAFStock[RM_Code],$A53,T_TTAFStock[WeekIndex],36)&gt;0)&gt;0,SUMIFS(T_SelfStock[Self_Qty],T_SelfStock[RM_Code],$A53,T_SelfStock[WeekIndex],36)+SUMIFS(T_TTAFStock[TTAF_Qty],T_TTAFStock[RM_Code],$A53,T_TTAFStock[WeekIndex],36),AJ53+'Grid_Incoming'!AK53-'Grid_Requirement'!AK53))</f>
        <v/>
      </c>
      <c r="AL53">
        <f>IF(COUNTIFS(T_StockCount[RM_Code],$A53,T_StockCount[WeekIndex],37)&gt;0,SUMIFS(T_StockCount[CountedQty],T_StockCount[RM_Code],$A53,T_StockCount[WeekIndex],37),IF((COUNTIFS(T_SelfStock[RM_Code],$A53,T_SelfStock[WeekIndex],37)&gt;0)*(COUNTIFS(T_TTAFStock[RM_Code],$A53,T_TTAFStock[WeekIndex],37)&gt;0)&gt;0,SUMIFS(T_SelfStock[Self_Qty],T_SelfStock[RM_Code],$A53,T_SelfStock[WeekIndex],37)+SUMIFS(T_TTAFStock[TTAF_Qty],T_TTAFStock[RM_Code],$A53,T_TTAFStock[WeekIndex],37),AK53+'Grid_Incoming'!AL53-'Grid_Requirement'!AL53))</f>
        <v/>
      </c>
      <c r="AM53">
        <f>IF(COUNTIFS(T_StockCount[RM_Code],$A53,T_StockCount[WeekIndex],38)&gt;0,SUMIFS(T_StockCount[CountedQty],T_StockCount[RM_Code],$A53,T_StockCount[WeekIndex],38),IF((COUNTIFS(T_SelfStock[RM_Code],$A53,T_SelfStock[WeekIndex],38)&gt;0)*(COUNTIFS(T_TTAFStock[RM_Code],$A53,T_TTAFStock[WeekIndex],38)&gt;0)&gt;0,SUMIFS(T_SelfStock[Self_Qty],T_SelfStock[RM_Code],$A53,T_SelfStock[WeekIndex],38)+SUMIFS(T_TTAFStock[TTAF_Qty],T_TTAFStock[RM_Code],$A53,T_TTAFStock[WeekIndex],38),AL53+'Grid_Incoming'!AM53-'Grid_Requirement'!AM53))</f>
        <v/>
      </c>
      <c r="AN53">
        <f>IF(COUNTIFS(T_StockCount[RM_Code],$A53,T_StockCount[WeekIndex],39)&gt;0,SUMIFS(T_StockCount[CountedQty],T_StockCount[RM_Code],$A53,T_StockCount[WeekIndex],39),IF((COUNTIFS(T_SelfStock[RM_Code],$A53,T_SelfStock[WeekIndex],39)&gt;0)*(COUNTIFS(T_TTAFStock[RM_Code],$A53,T_TTAFStock[WeekIndex],39)&gt;0)&gt;0,SUMIFS(T_SelfStock[Self_Qty],T_SelfStock[RM_Code],$A53,T_SelfStock[WeekIndex],39)+SUMIFS(T_TTAFStock[TTAF_Qty],T_TTAFStock[RM_Code],$A53,T_TTAFStock[WeekIndex],39),AM53+'Grid_Incoming'!AN53-'Grid_Requirement'!AN53))</f>
        <v/>
      </c>
      <c r="AO53">
        <f>IF(COUNTIFS(T_StockCount[RM_Code],$A53,T_StockCount[WeekIndex],40)&gt;0,SUMIFS(T_StockCount[CountedQty],T_StockCount[RM_Code],$A53,T_StockCount[WeekIndex],40),IF((COUNTIFS(T_SelfStock[RM_Code],$A53,T_SelfStock[WeekIndex],40)&gt;0)*(COUNTIFS(T_TTAFStock[RM_Code],$A53,T_TTAFStock[WeekIndex],40)&gt;0)&gt;0,SUMIFS(T_SelfStock[Self_Qty],T_SelfStock[RM_Code],$A53,T_SelfStock[WeekIndex],40)+SUMIFS(T_TTAFStock[TTAF_Qty],T_TTAFStock[RM_Code],$A53,T_TTAFStock[WeekIndex],40),AN53+'Grid_Incoming'!AO53-'Grid_Requirement'!AO53))</f>
        <v/>
      </c>
      <c r="AP53">
        <f>IF(COUNTIFS(T_StockCount[RM_Code],$A53,T_StockCount[WeekIndex],41)&gt;0,SUMIFS(T_StockCount[CountedQty],T_StockCount[RM_Code],$A53,T_StockCount[WeekIndex],41),IF((COUNTIFS(T_SelfStock[RM_Code],$A53,T_SelfStock[WeekIndex],41)&gt;0)*(COUNTIFS(T_TTAFStock[RM_Code],$A53,T_TTAFStock[WeekIndex],41)&gt;0)&gt;0,SUMIFS(T_SelfStock[Self_Qty],T_SelfStock[RM_Code],$A53,T_SelfStock[WeekIndex],41)+SUMIFS(T_TTAFStock[TTAF_Qty],T_TTAFStock[RM_Code],$A53,T_TTAFStock[WeekIndex],41),AO53+'Grid_Incoming'!AP53-'Grid_Requirement'!AP53))</f>
        <v/>
      </c>
      <c r="AQ53">
        <f>IF(COUNTIFS(T_StockCount[RM_Code],$A53,T_StockCount[WeekIndex],42)&gt;0,SUMIFS(T_StockCount[CountedQty],T_StockCount[RM_Code],$A53,T_StockCount[WeekIndex],42),IF((COUNTIFS(T_SelfStock[RM_Code],$A53,T_SelfStock[WeekIndex],42)&gt;0)*(COUNTIFS(T_TTAFStock[RM_Code],$A53,T_TTAFStock[WeekIndex],42)&gt;0)&gt;0,SUMIFS(T_SelfStock[Self_Qty],T_SelfStock[RM_Code],$A53,T_SelfStock[WeekIndex],42)+SUMIFS(T_TTAFStock[TTAF_Qty],T_TTAFStock[RM_Code],$A53,T_TTAFStock[WeekIndex],42),AP53+'Grid_Incoming'!AQ53-'Grid_Requirement'!AQ53))</f>
        <v/>
      </c>
      <c r="AR53">
        <f>IF(COUNTIFS(T_StockCount[RM_Code],$A53,T_StockCount[WeekIndex],43)&gt;0,SUMIFS(T_StockCount[CountedQty],T_StockCount[RM_Code],$A53,T_StockCount[WeekIndex],43),IF((COUNTIFS(T_SelfStock[RM_Code],$A53,T_SelfStock[WeekIndex],43)&gt;0)*(COUNTIFS(T_TTAFStock[RM_Code],$A53,T_TTAFStock[WeekIndex],43)&gt;0)&gt;0,SUMIFS(T_SelfStock[Self_Qty],T_SelfStock[RM_Code],$A53,T_SelfStock[WeekIndex],43)+SUMIFS(T_TTAFStock[TTAF_Qty],T_TTAFStock[RM_Code],$A53,T_TTAFStock[WeekIndex],43),AQ53+'Grid_Incoming'!AR53-'Grid_Requirement'!AR53))</f>
        <v/>
      </c>
      <c r="AS53">
        <f>IF(COUNTIFS(T_StockCount[RM_Code],$A53,T_StockCount[WeekIndex],44)&gt;0,SUMIFS(T_StockCount[CountedQty],T_StockCount[RM_Code],$A53,T_StockCount[WeekIndex],44),IF((COUNTIFS(T_SelfStock[RM_Code],$A53,T_SelfStock[WeekIndex],44)&gt;0)*(COUNTIFS(T_TTAFStock[RM_Code],$A53,T_TTAFStock[WeekIndex],44)&gt;0)&gt;0,SUMIFS(T_SelfStock[Self_Qty],T_SelfStock[RM_Code],$A53,T_SelfStock[WeekIndex],44)+SUMIFS(T_TTAFStock[TTAF_Qty],T_TTAFStock[RM_Code],$A53,T_TTAFStock[WeekIndex],44),AR53+'Grid_Incoming'!AS53-'Grid_Requirement'!AS53))</f>
        <v/>
      </c>
      <c r="AT53">
        <f>IF(COUNTIFS(T_StockCount[RM_Code],$A53,T_StockCount[WeekIndex],45)&gt;0,SUMIFS(T_StockCount[CountedQty],T_StockCount[RM_Code],$A53,T_StockCount[WeekIndex],45),IF((COUNTIFS(T_SelfStock[RM_Code],$A53,T_SelfStock[WeekIndex],45)&gt;0)*(COUNTIFS(T_TTAFStock[RM_Code],$A53,T_TTAFStock[WeekIndex],45)&gt;0)&gt;0,SUMIFS(T_SelfStock[Self_Qty],T_SelfStock[RM_Code],$A53,T_SelfStock[WeekIndex],45)+SUMIFS(T_TTAFStock[TTAF_Qty],T_TTAFStock[RM_Code],$A53,T_TTAFStock[WeekIndex],45),AS53+'Grid_Incoming'!AT53-'Grid_Requirement'!AT53))</f>
        <v/>
      </c>
      <c r="AU53">
        <f>IF(COUNTIFS(T_StockCount[RM_Code],$A53,T_StockCount[WeekIndex],46)&gt;0,SUMIFS(T_StockCount[CountedQty],T_StockCount[RM_Code],$A53,T_StockCount[WeekIndex],46),IF((COUNTIFS(T_SelfStock[RM_Code],$A53,T_SelfStock[WeekIndex],46)&gt;0)*(COUNTIFS(T_TTAFStock[RM_Code],$A53,T_TTAFStock[WeekIndex],46)&gt;0)&gt;0,SUMIFS(T_SelfStock[Self_Qty],T_SelfStock[RM_Code],$A53,T_SelfStock[WeekIndex],46)+SUMIFS(T_TTAFStock[TTAF_Qty],T_TTAFStock[RM_Code],$A53,T_TTAFStock[WeekIndex],46),AT53+'Grid_Incoming'!AU53-'Grid_Requirement'!AU53))</f>
        <v/>
      </c>
      <c r="AV53">
        <f>IF(COUNTIFS(T_StockCount[RM_Code],$A53,T_StockCount[WeekIndex],47)&gt;0,SUMIFS(T_StockCount[CountedQty],T_StockCount[RM_Code],$A53,T_StockCount[WeekIndex],47),IF((COUNTIFS(T_SelfStock[RM_Code],$A53,T_SelfStock[WeekIndex],47)&gt;0)*(COUNTIFS(T_TTAFStock[RM_Code],$A53,T_TTAFStock[WeekIndex],47)&gt;0)&gt;0,SUMIFS(T_SelfStock[Self_Qty],T_SelfStock[RM_Code],$A53,T_SelfStock[WeekIndex],47)+SUMIFS(T_TTAFStock[TTAF_Qty],T_TTAFStock[RM_Code],$A53,T_TTAFStock[WeekIndex],47),AU53+'Grid_Incoming'!AV53-'Grid_Requirement'!AV53))</f>
        <v/>
      </c>
      <c r="AW53">
        <f>IF(COUNTIFS(T_StockCount[RM_Code],$A53,T_StockCount[WeekIndex],48)&gt;0,SUMIFS(T_StockCount[CountedQty],T_StockCount[RM_Code],$A53,T_StockCount[WeekIndex],48),IF((COUNTIFS(T_SelfStock[RM_Code],$A53,T_SelfStock[WeekIndex],48)&gt;0)*(COUNTIFS(T_TTAFStock[RM_Code],$A53,T_TTAFStock[WeekIndex],48)&gt;0)&gt;0,SUMIFS(T_SelfStock[Self_Qty],T_SelfStock[RM_Code],$A53,T_SelfStock[WeekIndex],48)+SUMIFS(T_TTAFStock[TTAF_Qty],T_TTAFStock[RM_Code],$A53,T_TTAFStock[WeekIndex],48),AV53+'Grid_Incoming'!AW53-'Grid_Requirement'!AW53))</f>
        <v/>
      </c>
      <c r="AX53">
        <f>IF(COUNTIFS(T_StockCount[RM_Code],$A53,T_StockCount[WeekIndex],49)&gt;0,SUMIFS(T_StockCount[CountedQty],T_StockCount[RM_Code],$A53,T_StockCount[WeekIndex],49),IF((COUNTIFS(T_SelfStock[RM_Code],$A53,T_SelfStock[WeekIndex],49)&gt;0)*(COUNTIFS(T_TTAFStock[RM_Code],$A53,T_TTAFStock[WeekIndex],49)&gt;0)&gt;0,SUMIFS(T_SelfStock[Self_Qty],T_SelfStock[RM_Code],$A53,T_SelfStock[WeekIndex],49)+SUMIFS(T_TTAFStock[TTAF_Qty],T_TTAFStock[RM_Code],$A53,T_TTAFStock[WeekIndex],49),AW53+'Grid_Incoming'!AX53-'Grid_Requirement'!AX53))</f>
        <v/>
      </c>
      <c r="AY53">
        <f>IF(COUNTIFS(T_StockCount[RM_Code],$A53,T_StockCount[WeekIndex],50)&gt;0,SUMIFS(T_StockCount[CountedQty],T_StockCount[RM_Code],$A53,T_StockCount[WeekIndex],50),IF((COUNTIFS(T_SelfStock[RM_Code],$A53,T_SelfStock[WeekIndex],50)&gt;0)*(COUNTIFS(T_TTAFStock[RM_Code],$A53,T_TTAFStock[WeekIndex],50)&gt;0)&gt;0,SUMIFS(T_SelfStock[Self_Qty],T_SelfStock[RM_Code],$A53,T_SelfStock[WeekIndex],50)+SUMIFS(T_TTAFStock[TTAF_Qty],T_TTAFStock[RM_Code],$A53,T_TTAFStock[WeekIndex],50),AX53+'Grid_Incoming'!AY53-'Grid_Requirement'!AY53))</f>
        <v/>
      </c>
      <c r="AZ53">
        <f>IF(COUNTIFS(T_StockCount[RM_Code],$A53,T_StockCount[WeekIndex],51)&gt;0,SUMIFS(T_StockCount[CountedQty],T_StockCount[RM_Code],$A53,T_StockCount[WeekIndex],51),IF((COUNTIFS(T_SelfStock[RM_Code],$A53,T_SelfStock[WeekIndex],51)&gt;0)*(COUNTIFS(T_TTAFStock[RM_Code],$A53,T_TTAFStock[WeekIndex],51)&gt;0)&gt;0,SUMIFS(T_SelfStock[Self_Qty],T_SelfStock[RM_Code],$A53,T_SelfStock[WeekIndex],51)+SUMIFS(T_TTAFStock[TTAF_Qty],T_TTAFStock[RM_Code],$A53,T_TTAFStock[WeekIndex],51),AY53+'Grid_Incoming'!AZ53-'Grid_Requirement'!AZ53))</f>
        <v/>
      </c>
      <c r="BA53">
        <f>IF(COUNTIFS(T_StockCount[RM_Code],$A53,T_StockCount[WeekIndex],52)&gt;0,SUMIFS(T_StockCount[CountedQty],T_StockCount[RM_Code],$A53,T_StockCount[WeekIndex],52),IF((COUNTIFS(T_SelfStock[RM_Code],$A53,T_SelfStock[WeekIndex],52)&gt;0)*(COUNTIFS(T_TTAFStock[RM_Code],$A53,T_TTAFStock[WeekIndex],52)&gt;0)&gt;0,SUMIFS(T_SelfStock[Self_Qty],T_SelfStock[RM_Code],$A53,T_SelfStock[WeekIndex],52)+SUMIFS(T_TTAFStock[TTAF_Qty],T_TTAFStock[RM_Code],$A53,T_TTAFStock[WeekIndex],52),AZ53+'Grid_Incoming'!BA53-'Grid_Requirement'!BA53))</f>
        <v/>
      </c>
      <c r="BB53">
        <f>IF(COUNTIFS(T_StockCount[RM_Code],$A53,T_StockCount[WeekIndex],53)&gt;0,SUMIFS(T_StockCount[CountedQty],T_StockCount[RM_Code],$A53,T_StockCount[WeekIndex],53),IF((COUNTIFS(T_SelfStock[RM_Code],$A53,T_SelfStock[WeekIndex],53)&gt;0)*(COUNTIFS(T_TTAFStock[RM_Code],$A53,T_TTAFStock[WeekIndex],53)&gt;0)&gt;0,SUMIFS(T_SelfStock[Self_Qty],T_SelfStock[RM_Code],$A53,T_SelfStock[WeekIndex],53)+SUMIFS(T_TTAFStock[TTAF_Qty],T_TTAFStock[RM_Code],$A53,T_TTAFStock[WeekIndex],53),BA53+'Grid_Incoming'!BB53-'Grid_Requirement'!BB53))</f>
        <v/>
      </c>
      <c r="BC53">
        <f>IF(COUNTIFS(T_StockCount[RM_Code],$A53,T_StockCount[WeekIndex],54)&gt;0,SUMIFS(T_StockCount[CountedQty],T_StockCount[RM_Code],$A53,T_StockCount[WeekIndex],54),IF((COUNTIFS(T_SelfStock[RM_Code],$A53,T_SelfStock[WeekIndex],54)&gt;0)*(COUNTIFS(T_TTAFStock[RM_Code],$A53,T_TTAFStock[WeekIndex],54)&gt;0)&gt;0,SUMIFS(T_SelfStock[Self_Qty],T_SelfStock[RM_Code],$A53,T_SelfStock[WeekIndex],54)+SUMIFS(T_TTAFStock[TTAF_Qty],T_TTAFStock[RM_Code],$A53,T_TTAFStock[WeekIndex],54),BB53+'Grid_Incoming'!BC53-'Grid_Requirement'!BC53))</f>
        <v/>
      </c>
      <c r="BD53">
        <f>IF(COUNTIFS(T_StockCount[RM_Code],$A53,T_StockCount[WeekIndex],55)&gt;0,SUMIFS(T_StockCount[CountedQty],T_StockCount[RM_Code],$A53,T_StockCount[WeekIndex],55),IF((COUNTIFS(T_SelfStock[RM_Code],$A53,T_SelfStock[WeekIndex],55)&gt;0)*(COUNTIFS(T_TTAFStock[RM_Code],$A53,T_TTAFStock[WeekIndex],55)&gt;0)&gt;0,SUMIFS(T_SelfStock[Self_Qty],T_SelfStock[RM_Code],$A53,T_SelfStock[WeekIndex],55)+SUMIFS(T_TTAFStock[TTAF_Qty],T_TTAFStock[RM_Code],$A53,T_TTAFStock[WeekIndex],55),BC53+'Grid_Incoming'!BD53-'Grid_Requirement'!BD53))</f>
        <v/>
      </c>
      <c r="BE53">
        <f>IF(COUNTIFS(T_StockCount[RM_Code],$A53,T_StockCount[WeekIndex],56)&gt;0,SUMIFS(T_StockCount[CountedQty],T_StockCount[RM_Code],$A53,T_StockCount[WeekIndex],56),IF((COUNTIFS(T_SelfStock[RM_Code],$A53,T_SelfStock[WeekIndex],56)&gt;0)*(COUNTIFS(T_TTAFStock[RM_Code],$A53,T_TTAFStock[WeekIndex],56)&gt;0)&gt;0,SUMIFS(T_SelfStock[Self_Qty],T_SelfStock[RM_Code],$A53,T_SelfStock[WeekIndex],56)+SUMIFS(T_TTAFStock[TTAF_Qty],T_TTAFStock[RM_Code],$A53,T_TTAFStock[WeekIndex],56),BD53+'Grid_Incoming'!BE53-'Grid_Requirement'!BE53))</f>
        <v/>
      </c>
      <c r="BF53">
        <f>IF(COUNTIFS(T_StockCount[RM_Code],$A53,T_StockCount[WeekIndex],57)&gt;0,SUMIFS(T_StockCount[CountedQty],T_StockCount[RM_Code],$A53,T_StockCount[WeekIndex],57),IF((COUNTIFS(T_SelfStock[RM_Code],$A53,T_SelfStock[WeekIndex],57)&gt;0)*(COUNTIFS(T_TTAFStock[RM_Code],$A53,T_TTAFStock[WeekIndex],57)&gt;0)&gt;0,SUMIFS(T_SelfStock[Self_Qty],T_SelfStock[RM_Code],$A53,T_SelfStock[WeekIndex],57)+SUMIFS(T_TTAFStock[TTAF_Qty],T_TTAFStock[RM_Code],$A53,T_TTAFStock[WeekIndex],57),BE53+'Grid_Incoming'!BF53-'Grid_Requirement'!BF53))</f>
        <v/>
      </c>
      <c r="BG53">
        <f>IF(COUNTIFS(T_StockCount[RM_Code],$A53,T_StockCount[WeekIndex],58)&gt;0,SUMIFS(T_StockCount[CountedQty],T_StockCount[RM_Code],$A53,T_StockCount[WeekIndex],58),IF((COUNTIFS(T_SelfStock[RM_Code],$A53,T_SelfStock[WeekIndex],58)&gt;0)*(COUNTIFS(T_TTAFStock[RM_Code],$A53,T_TTAFStock[WeekIndex],58)&gt;0)&gt;0,SUMIFS(T_SelfStock[Self_Qty],T_SelfStock[RM_Code],$A53,T_SelfStock[WeekIndex],58)+SUMIFS(T_TTAFStock[TTAF_Qty],T_TTAFStock[RM_Code],$A53,T_TTAFStock[WeekIndex],58),BF53+'Grid_Incoming'!BG53-'Grid_Requirement'!BG53))</f>
        <v/>
      </c>
      <c r="BH53">
        <f>IF(COUNTIFS(T_StockCount[RM_Code],$A53,T_StockCount[WeekIndex],59)&gt;0,SUMIFS(T_StockCount[CountedQty],T_StockCount[RM_Code],$A53,T_StockCount[WeekIndex],59),IF((COUNTIFS(T_SelfStock[RM_Code],$A53,T_SelfStock[WeekIndex],59)&gt;0)*(COUNTIFS(T_TTAFStock[RM_Code],$A53,T_TTAFStock[WeekIndex],59)&gt;0)&gt;0,SUMIFS(T_SelfStock[Self_Qty],T_SelfStock[RM_Code],$A53,T_SelfStock[WeekIndex],59)+SUMIFS(T_TTAFStock[TTAF_Qty],T_TTAFStock[RM_Code],$A53,T_TTAFStock[WeekIndex],59),BG53+'Grid_Incoming'!BH53-'Grid_Requirement'!BH53))</f>
        <v/>
      </c>
      <c r="BI53">
        <f>IF(COUNTIFS(T_StockCount[RM_Code],$A53,T_StockCount[WeekIndex],60)&gt;0,SUMIFS(T_StockCount[CountedQty],T_StockCount[RM_Code],$A53,T_StockCount[WeekIndex],60),IF((COUNTIFS(T_SelfStock[RM_Code],$A53,T_SelfStock[WeekIndex],60)&gt;0)*(COUNTIFS(T_TTAFStock[RM_Code],$A53,T_TTAFStock[WeekIndex],60)&gt;0)&gt;0,SUMIFS(T_SelfStock[Self_Qty],T_SelfStock[RM_Code],$A53,T_SelfStock[WeekIndex],60)+SUMIFS(T_TTAFStock[TTAF_Qty],T_TTAFStock[RM_Code],$A53,T_TTAFStock[WeekIndex],60),BH53+'Grid_Incoming'!BI53-'Grid_Requirement'!BI53))</f>
        <v/>
      </c>
      <c r="BJ53">
        <f>IF(COUNTIFS(T_StockCount[RM_Code],$A53,T_StockCount[WeekIndex],61)&gt;0,SUMIFS(T_StockCount[CountedQty],T_StockCount[RM_Code],$A53,T_StockCount[WeekIndex],61),IF((COUNTIFS(T_SelfStock[RM_Code],$A53,T_SelfStock[WeekIndex],61)&gt;0)*(COUNTIFS(T_TTAFStock[RM_Code],$A53,T_TTAFStock[WeekIndex],61)&gt;0)&gt;0,SUMIFS(T_SelfStock[Self_Qty],T_SelfStock[RM_Code],$A53,T_SelfStock[WeekIndex],61)+SUMIFS(T_TTAFStock[TTAF_Qty],T_TTAFStock[RM_Code],$A53,T_TTAFStock[WeekIndex],61),BI53+'Grid_Incoming'!BJ53-'Grid_Requirement'!BJ53))</f>
        <v/>
      </c>
      <c r="BK53">
        <f>IF(COUNTIFS(T_StockCount[RM_Code],$A53,T_StockCount[WeekIndex],62)&gt;0,SUMIFS(T_StockCount[CountedQty],T_StockCount[RM_Code],$A53,T_StockCount[WeekIndex],62),IF((COUNTIFS(T_SelfStock[RM_Code],$A53,T_SelfStock[WeekIndex],62)&gt;0)*(COUNTIFS(T_TTAFStock[RM_Code],$A53,T_TTAFStock[WeekIndex],62)&gt;0)&gt;0,SUMIFS(T_SelfStock[Self_Qty],T_SelfStock[RM_Code],$A53,T_SelfStock[WeekIndex],62)+SUMIFS(T_TTAFStock[TTAF_Qty],T_TTAFStock[RM_Code],$A53,T_TTAFStock[WeekIndex],62),BJ53+'Grid_Incoming'!BK53-'Grid_Requirement'!BK53))</f>
        <v/>
      </c>
      <c r="BL53">
        <f>IF(COUNTIFS(T_StockCount[RM_Code],$A53,T_StockCount[WeekIndex],63)&gt;0,SUMIFS(T_StockCount[CountedQty],T_StockCount[RM_Code],$A53,T_StockCount[WeekIndex],63),IF((COUNTIFS(T_SelfStock[RM_Code],$A53,T_SelfStock[WeekIndex],63)&gt;0)*(COUNTIFS(T_TTAFStock[RM_Code],$A53,T_TTAFStock[WeekIndex],63)&gt;0)&gt;0,SUMIFS(T_SelfStock[Self_Qty],T_SelfStock[RM_Code],$A53,T_SelfStock[WeekIndex],63)+SUMIFS(T_TTAFStock[TTAF_Qty],T_TTAFStock[RM_Code],$A53,T_TTAFStock[WeekIndex],63),BK53+'Grid_Incoming'!BL53-'Grid_Requirement'!BL53))</f>
        <v/>
      </c>
      <c r="BM53">
        <f>IF(COUNTIFS(T_StockCount[RM_Code],$A53,T_StockCount[WeekIndex],64)&gt;0,SUMIFS(T_StockCount[CountedQty],T_StockCount[RM_Code],$A53,T_StockCount[WeekIndex],64),IF((COUNTIFS(T_SelfStock[RM_Code],$A53,T_SelfStock[WeekIndex],64)&gt;0)*(COUNTIFS(T_TTAFStock[RM_Code],$A53,T_TTAFStock[WeekIndex],64)&gt;0)&gt;0,SUMIFS(T_SelfStock[Self_Qty],T_SelfStock[RM_Code],$A53,T_SelfStock[WeekIndex],64)+SUMIFS(T_TTAFStock[TTAF_Qty],T_TTAFStock[RM_Code],$A53,T_TTAFStock[WeekIndex],64),BL53+'Grid_Incoming'!BM53-'Grid_Requirement'!BM53))</f>
        <v/>
      </c>
      <c r="BN53">
        <f>IF(COUNTIFS(T_StockCount[RM_Code],$A53,T_StockCount[WeekIndex],65)&gt;0,SUMIFS(T_StockCount[CountedQty],T_StockCount[RM_Code],$A53,T_StockCount[WeekIndex],65),IF((COUNTIFS(T_SelfStock[RM_Code],$A53,T_SelfStock[WeekIndex],65)&gt;0)*(COUNTIFS(T_TTAFStock[RM_Code],$A53,T_TTAFStock[WeekIndex],65)&gt;0)&gt;0,SUMIFS(T_SelfStock[Self_Qty],T_SelfStock[RM_Code],$A53,T_SelfStock[WeekIndex],65)+SUMIFS(T_TTAFStock[TTAF_Qty],T_TTAFStock[RM_Code],$A53,T_TTAFStock[WeekIndex],65),BM53+'Grid_Incoming'!BN53-'Grid_Requirement'!BN53))</f>
        <v/>
      </c>
      <c r="BO53">
        <f>IF(COUNTIFS(T_StockCount[RM_Code],$A53,T_StockCount[WeekIndex],66)&gt;0,SUMIFS(T_StockCount[CountedQty],T_StockCount[RM_Code],$A53,T_StockCount[WeekIndex],66),IF((COUNTIFS(T_SelfStock[RM_Code],$A53,T_SelfStock[WeekIndex],66)&gt;0)*(COUNTIFS(T_TTAFStock[RM_Code],$A53,T_TTAFStock[WeekIndex],66)&gt;0)&gt;0,SUMIFS(T_SelfStock[Self_Qty],T_SelfStock[RM_Code],$A53,T_SelfStock[WeekIndex],66)+SUMIFS(T_TTAFStock[TTAF_Qty],T_TTAFStock[RM_Code],$A53,T_TTAFStock[WeekIndex],66),BN53+'Grid_Incoming'!BO53-'Grid_Requirement'!BO53))</f>
        <v/>
      </c>
      <c r="BP53">
        <f>IF(COUNTIFS(T_StockCount[RM_Code],$A53,T_StockCount[WeekIndex],67)&gt;0,SUMIFS(T_StockCount[CountedQty],T_StockCount[RM_Code],$A53,T_StockCount[WeekIndex],67),IF((COUNTIFS(T_SelfStock[RM_Code],$A53,T_SelfStock[WeekIndex],67)&gt;0)*(COUNTIFS(T_TTAFStock[RM_Code],$A53,T_TTAFStock[WeekIndex],67)&gt;0)&gt;0,SUMIFS(T_SelfStock[Self_Qty],T_SelfStock[RM_Code],$A53,T_SelfStock[WeekIndex],67)+SUMIFS(T_TTAFStock[TTAF_Qty],T_TTAFStock[RM_Code],$A53,T_TTAFStock[WeekIndex],67),BO53+'Grid_Incoming'!BP53-'Grid_Requirement'!BP53))</f>
        <v/>
      </c>
      <c r="BQ53">
        <f>IF(COUNTIFS(T_StockCount[RM_Code],$A53,T_StockCount[WeekIndex],68)&gt;0,SUMIFS(T_StockCount[CountedQty],T_StockCount[RM_Code],$A53,T_StockCount[WeekIndex],68),IF((COUNTIFS(T_SelfStock[RM_Code],$A53,T_SelfStock[WeekIndex],68)&gt;0)*(COUNTIFS(T_TTAFStock[RM_Code],$A53,T_TTAFStock[WeekIndex],68)&gt;0)&gt;0,SUMIFS(T_SelfStock[Self_Qty],T_SelfStock[RM_Code],$A53,T_SelfStock[WeekIndex],68)+SUMIFS(T_TTAFStock[TTAF_Qty],T_TTAFStock[RM_Code],$A53,T_TTAFStock[WeekIndex],68),BP53+'Grid_Incoming'!BQ53-'Grid_Requirement'!BQ53))</f>
        <v/>
      </c>
      <c r="BR53">
        <f>IF(COUNTIFS(T_StockCount[RM_Code],$A53,T_StockCount[WeekIndex],69)&gt;0,SUMIFS(T_StockCount[CountedQty],T_StockCount[RM_Code],$A53,T_StockCount[WeekIndex],69),IF((COUNTIFS(T_SelfStock[RM_Code],$A53,T_SelfStock[WeekIndex],69)&gt;0)*(COUNTIFS(T_TTAFStock[RM_Code],$A53,T_TTAFStock[WeekIndex],69)&gt;0)&gt;0,SUMIFS(T_SelfStock[Self_Qty],T_SelfStock[RM_Code],$A53,T_SelfStock[WeekIndex],69)+SUMIFS(T_TTAFStock[TTAF_Qty],T_TTAFStock[RM_Code],$A53,T_TTAFStock[WeekIndex],69),BQ53+'Grid_Incoming'!BR53-'Grid_Requirement'!BR53))</f>
        <v/>
      </c>
      <c r="BS53">
        <f>IF(COUNTIFS(T_StockCount[RM_Code],$A53,T_StockCount[WeekIndex],70)&gt;0,SUMIFS(T_StockCount[CountedQty],T_StockCount[RM_Code],$A53,T_StockCount[WeekIndex],70),IF((COUNTIFS(T_SelfStock[RM_Code],$A53,T_SelfStock[WeekIndex],70)&gt;0)*(COUNTIFS(T_TTAFStock[RM_Code],$A53,T_TTAFStock[WeekIndex],70)&gt;0)&gt;0,SUMIFS(T_SelfStock[Self_Qty],T_SelfStock[RM_Code],$A53,T_SelfStock[WeekIndex],70)+SUMIFS(T_TTAFStock[TTAF_Qty],T_TTAFStock[RM_Code],$A53,T_TTAFStock[WeekIndex],70),BR53+'Grid_Incoming'!BS53-'Grid_Requirement'!BS53))</f>
        <v/>
      </c>
      <c r="BT53">
        <f>IF(COUNTIFS(T_StockCount[RM_Code],$A53,T_StockCount[WeekIndex],71)&gt;0,SUMIFS(T_StockCount[CountedQty],T_StockCount[RM_Code],$A53,T_StockCount[WeekIndex],71),IF((COUNTIFS(T_SelfStock[RM_Code],$A53,T_SelfStock[WeekIndex],71)&gt;0)*(COUNTIFS(T_TTAFStock[RM_Code],$A53,T_TTAFStock[WeekIndex],71)&gt;0)&gt;0,SUMIFS(T_SelfStock[Self_Qty],T_SelfStock[RM_Code],$A53,T_SelfStock[WeekIndex],71)+SUMIFS(T_TTAFStock[TTAF_Qty],T_TTAFStock[RM_Code],$A53,T_TTAFStock[WeekIndex],71),BS53+'Grid_Incoming'!BT53-'Grid_Requirement'!BT53))</f>
        <v/>
      </c>
      <c r="BU53">
        <f>IF(COUNTIFS(T_StockCount[RM_Code],$A53,T_StockCount[WeekIndex],72)&gt;0,SUMIFS(T_StockCount[CountedQty],T_StockCount[RM_Code],$A53,T_StockCount[WeekIndex],72),IF((COUNTIFS(T_SelfStock[RM_Code],$A53,T_SelfStock[WeekIndex],72)&gt;0)*(COUNTIFS(T_TTAFStock[RM_Code],$A53,T_TTAFStock[WeekIndex],72)&gt;0)&gt;0,SUMIFS(T_SelfStock[Self_Qty],T_SelfStock[RM_Code],$A53,T_SelfStock[WeekIndex],72)+SUMIFS(T_TTAFStock[TTAF_Qty],T_TTAFStock[RM_Code],$A53,T_TTAFStock[WeekIndex],72),BT53+'Grid_Incoming'!BU53-'Grid_Requirement'!BU53))</f>
        <v/>
      </c>
      <c r="BV53">
        <f>IF(COUNTIFS(T_StockCount[RM_Code],$A53,T_StockCount[WeekIndex],73)&gt;0,SUMIFS(T_StockCount[CountedQty],T_StockCount[RM_Code],$A53,T_StockCount[WeekIndex],73),IF((COUNTIFS(T_SelfStock[RM_Code],$A53,T_SelfStock[WeekIndex],73)&gt;0)*(COUNTIFS(T_TTAFStock[RM_Code],$A53,T_TTAFStock[WeekIndex],73)&gt;0)&gt;0,SUMIFS(T_SelfStock[Self_Qty],T_SelfStock[RM_Code],$A53,T_SelfStock[WeekIndex],73)+SUMIFS(T_TTAFStock[TTAF_Qty],T_TTAFStock[RM_Code],$A53,T_TTAFStock[WeekIndex],73),BU53+'Grid_Incoming'!BV53-'Grid_Requirement'!BV53))</f>
        <v/>
      </c>
      <c r="BW53">
        <f>IF(COUNTIFS(T_StockCount[RM_Code],$A53,T_StockCount[WeekIndex],74)&gt;0,SUMIFS(T_StockCount[CountedQty],T_StockCount[RM_Code],$A53,T_StockCount[WeekIndex],74),IF((COUNTIFS(T_SelfStock[RM_Code],$A53,T_SelfStock[WeekIndex],74)&gt;0)*(COUNTIFS(T_TTAFStock[RM_Code],$A53,T_TTAFStock[WeekIndex],74)&gt;0)&gt;0,SUMIFS(T_SelfStock[Self_Qty],T_SelfStock[RM_Code],$A53,T_SelfStock[WeekIndex],74)+SUMIFS(T_TTAFStock[TTAF_Qty],T_TTAFStock[RM_Code],$A53,T_TTAFStock[WeekIndex],74),BV53+'Grid_Incoming'!BW53-'Grid_Requirement'!BW53))</f>
        <v/>
      </c>
      <c r="BX53">
        <f>IF(COUNTIFS(T_StockCount[RM_Code],$A53,T_StockCount[WeekIndex],75)&gt;0,SUMIFS(T_StockCount[CountedQty],T_StockCount[RM_Code],$A53,T_StockCount[WeekIndex],75),IF((COUNTIFS(T_SelfStock[RM_Code],$A53,T_SelfStock[WeekIndex],75)&gt;0)*(COUNTIFS(T_TTAFStock[RM_Code],$A53,T_TTAFStock[WeekIndex],75)&gt;0)&gt;0,SUMIFS(T_SelfStock[Self_Qty],T_SelfStock[RM_Code],$A53,T_SelfStock[WeekIndex],75)+SUMIFS(T_TTAFStock[TTAF_Qty],T_TTAFStock[RM_Code],$A53,T_TTAFStock[WeekIndex],75),BW53+'Grid_Incoming'!BX53-'Grid_Requirement'!BX53))</f>
        <v/>
      </c>
      <c r="BY53">
        <f>IF(COUNTIFS(T_StockCount[RM_Code],$A53,T_StockCount[WeekIndex],76)&gt;0,SUMIFS(T_StockCount[CountedQty],T_StockCount[RM_Code],$A53,T_StockCount[WeekIndex],76),IF((COUNTIFS(T_SelfStock[RM_Code],$A53,T_SelfStock[WeekIndex],76)&gt;0)*(COUNTIFS(T_TTAFStock[RM_Code],$A53,T_TTAFStock[WeekIndex],76)&gt;0)&gt;0,SUMIFS(T_SelfStock[Self_Qty],T_SelfStock[RM_Code],$A53,T_SelfStock[WeekIndex],76)+SUMIFS(T_TTAFStock[TTAF_Qty],T_TTAFStock[RM_Code],$A53,T_TTAFStock[WeekIndex],76),BX53+'Grid_Incoming'!BY53-'Grid_Requirement'!BY53))</f>
        <v/>
      </c>
      <c r="BZ53">
        <f>IF(COUNTIFS(T_StockCount[RM_Code],$A53,T_StockCount[WeekIndex],77)&gt;0,SUMIFS(T_StockCount[CountedQty],T_StockCount[RM_Code],$A53,T_StockCount[WeekIndex],77),IF((COUNTIFS(T_SelfStock[RM_Code],$A53,T_SelfStock[WeekIndex],77)&gt;0)*(COUNTIFS(T_TTAFStock[RM_Code],$A53,T_TTAFStock[WeekIndex],77)&gt;0)&gt;0,SUMIFS(T_SelfStock[Self_Qty],T_SelfStock[RM_Code],$A53,T_SelfStock[WeekIndex],77)+SUMIFS(T_TTAFStock[TTAF_Qty],T_TTAFStock[RM_Code],$A53,T_TTAFStock[WeekIndex],77),BY53+'Grid_Incoming'!BZ53-'Grid_Requirement'!BZ53))</f>
        <v/>
      </c>
      <c r="CA53">
        <f>IF(COUNTIFS(T_StockCount[RM_Code],$A53,T_StockCount[WeekIndex],78)&gt;0,SUMIFS(T_StockCount[CountedQty],T_StockCount[RM_Code],$A53,T_StockCount[WeekIndex],78),IF((COUNTIFS(T_SelfStock[RM_Code],$A53,T_SelfStock[WeekIndex],78)&gt;0)*(COUNTIFS(T_TTAFStock[RM_Code],$A53,T_TTAFStock[WeekIndex],78)&gt;0)&gt;0,SUMIFS(T_SelfStock[Self_Qty],T_SelfStock[RM_Code],$A53,T_SelfStock[WeekIndex],78)+SUMIFS(T_TTAFStock[TTAF_Qty],T_TTAFStock[RM_Code],$A53,T_TTAFStock[WeekIndex],78),BZ53+'Grid_Incoming'!CA53-'Grid_Requirement'!CA53))</f>
        <v/>
      </c>
      <c r="CB53">
        <f>IF(COUNTIFS(T_StockCount[RM_Code],$A53,T_StockCount[WeekIndex],79)&gt;0,SUMIFS(T_StockCount[CountedQty],T_StockCount[RM_Code],$A53,T_StockCount[WeekIndex],79),IF((COUNTIFS(T_SelfStock[RM_Code],$A53,T_SelfStock[WeekIndex],79)&gt;0)*(COUNTIFS(T_TTAFStock[RM_Code],$A53,T_TTAFStock[WeekIndex],79)&gt;0)&gt;0,SUMIFS(T_SelfStock[Self_Qty],T_SelfStock[RM_Code],$A53,T_SelfStock[WeekIndex],79)+SUMIFS(T_TTAFStock[TTAF_Qty],T_TTAFStock[RM_Code],$A53,T_TTAFStock[WeekIndex],79),CA53+'Grid_Incoming'!CB53-'Grid_Requirement'!CB53))</f>
        <v/>
      </c>
      <c r="CC53">
        <f>IF(COUNTIFS(T_StockCount[RM_Code],$A53,T_StockCount[WeekIndex],80)&gt;0,SUMIFS(T_StockCount[CountedQty],T_StockCount[RM_Code],$A53,T_StockCount[WeekIndex],80),IF((COUNTIFS(T_SelfStock[RM_Code],$A53,T_SelfStock[WeekIndex],80)&gt;0)*(COUNTIFS(T_TTAFStock[RM_Code],$A53,T_TTAFStock[WeekIndex],80)&gt;0)&gt;0,SUMIFS(T_SelfStock[Self_Qty],T_SelfStock[RM_Code],$A53,T_SelfStock[WeekIndex],80)+SUMIFS(T_TTAFStock[TTAF_Qty],T_TTAFStock[RM_Code],$A53,T_TTAFStock[WeekIndex],80),CB53+'Grid_Incoming'!CC53-'Grid_Requirement'!CC53))</f>
        <v/>
      </c>
      <c r="CD53">
        <f>IF(COUNTIFS(T_StockCount[RM_Code],$A53,T_StockCount[WeekIndex],81)&gt;0,SUMIFS(T_StockCount[CountedQty],T_StockCount[RM_Code],$A53,T_StockCount[WeekIndex],81),IF((COUNTIFS(T_SelfStock[RM_Code],$A53,T_SelfStock[WeekIndex],81)&gt;0)*(COUNTIFS(T_TTAFStock[RM_Code],$A53,T_TTAFStock[WeekIndex],81)&gt;0)&gt;0,SUMIFS(T_SelfStock[Self_Qty],T_SelfStock[RM_Code],$A53,T_SelfStock[WeekIndex],81)+SUMIFS(T_TTAFStock[TTAF_Qty],T_TTAFStock[RM_Code],$A53,T_TTAFStock[WeekIndex],81),CC53+'Grid_Incoming'!CD53-'Grid_Requirement'!CD53))</f>
        <v/>
      </c>
      <c r="CE53">
        <f>IF(COUNTIFS(T_StockCount[RM_Code],$A53,T_StockCount[WeekIndex],82)&gt;0,SUMIFS(T_StockCount[CountedQty],T_StockCount[RM_Code],$A53,T_StockCount[WeekIndex],82),IF((COUNTIFS(T_SelfStock[RM_Code],$A53,T_SelfStock[WeekIndex],82)&gt;0)*(COUNTIFS(T_TTAFStock[RM_Code],$A53,T_TTAFStock[WeekIndex],82)&gt;0)&gt;0,SUMIFS(T_SelfStock[Self_Qty],T_SelfStock[RM_Code],$A53,T_SelfStock[WeekIndex],82)+SUMIFS(T_TTAFStock[TTAF_Qty],T_TTAFStock[RM_Code],$A53,T_TTAFStock[WeekIndex],82),CD53+'Grid_Incoming'!CE53-'Grid_Requirement'!CE53))</f>
        <v/>
      </c>
      <c r="CF53">
        <f>IF(COUNTIFS(T_StockCount[RM_Code],$A53,T_StockCount[WeekIndex],83)&gt;0,SUMIFS(T_StockCount[CountedQty],T_StockCount[RM_Code],$A53,T_StockCount[WeekIndex],83),IF((COUNTIFS(T_SelfStock[RM_Code],$A53,T_SelfStock[WeekIndex],83)&gt;0)*(COUNTIFS(T_TTAFStock[RM_Code],$A53,T_TTAFStock[WeekIndex],83)&gt;0)&gt;0,SUMIFS(T_SelfStock[Self_Qty],T_SelfStock[RM_Code],$A53,T_SelfStock[WeekIndex],83)+SUMIFS(T_TTAFStock[TTAF_Qty],T_TTAFStock[RM_Code],$A53,T_TTAFStock[WeekIndex],83),CE53+'Grid_Incoming'!CF53-'Grid_Requirement'!CF53))</f>
        <v/>
      </c>
      <c r="CG53">
        <f>IF(COUNTIFS(T_StockCount[RM_Code],$A53,T_StockCount[WeekIndex],84)&gt;0,SUMIFS(T_StockCount[CountedQty],T_StockCount[RM_Code],$A53,T_StockCount[WeekIndex],84),IF((COUNTIFS(T_SelfStock[RM_Code],$A53,T_SelfStock[WeekIndex],84)&gt;0)*(COUNTIFS(T_TTAFStock[RM_Code],$A53,T_TTAFStock[WeekIndex],84)&gt;0)&gt;0,SUMIFS(T_SelfStock[Self_Qty],T_SelfStock[RM_Code],$A53,T_SelfStock[WeekIndex],84)+SUMIFS(T_TTAFStock[TTAF_Qty],T_TTAFStock[RM_Code],$A53,T_TTAFStock[WeekIndex],84),CF53+'Grid_Incoming'!CG53-'Grid_Requirement'!CG53))</f>
        <v/>
      </c>
      <c r="CH53">
        <f>IF(COUNTIFS(T_StockCount[RM_Code],$A53,T_StockCount[WeekIndex],85)&gt;0,SUMIFS(T_StockCount[CountedQty],T_StockCount[RM_Code],$A53,T_StockCount[WeekIndex],85),IF((COUNTIFS(T_SelfStock[RM_Code],$A53,T_SelfStock[WeekIndex],85)&gt;0)*(COUNTIFS(T_TTAFStock[RM_Code],$A53,T_TTAFStock[WeekIndex],85)&gt;0)&gt;0,SUMIFS(T_SelfStock[Self_Qty],T_SelfStock[RM_Code],$A53,T_SelfStock[WeekIndex],85)+SUMIFS(T_TTAFStock[TTAF_Qty],T_TTAFStock[RM_Code],$A53,T_TTAFStock[WeekIndex],85),CG53+'Grid_Incoming'!CH53-'Grid_Requirement'!CH53))</f>
        <v/>
      </c>
      <c r="CI53">
        <f>IF(COUNTIFS(T_StockCount[RM_Code],$A53,T_StockCount[WeekIndex],86)&gt;0,SUMIFS(T_StockCount[CountedQty],T_StockCount[RM_Code],$A53,T_StockCount[WeekIndex],86),IF((COUNTIFS(T_SelfStock[RM_Code],$A53,T_SelfStock[WeekIndex],86)&gt;0)*(COUNTIFS(T_TTAFStock[RM_Code],$A53,T_TTAFStock[WeekIndex],86)&gt;0)&gt;0,SUMIFS(T_SelfStock[Self_Qty],T_SelfStock[RM_Code],$A53,T_SelfStock[WeekIndex],86)+SUMIFS(T_TTAFStock[TTAF_Qty],T_TTAFStock[RM_Code],$A53,T_TTAFStock[WeekIndex],86),CH53+'Grid_Incoming'!CI53-'Grid_Requirement'!CI53))</f>
        <v/>
      </c>
      <c r="CJ53">
        <f>IF(COUNTIFS(T_StockCount[RM_Code],$A53,T_StockCount[WeekIndex],87)&gt;0,SUMIFS(T_StockCount[CountedQty],T_StockCount[RM_Code],$A53,T_StockCount[WeekIndex],87),IF((COUNTIFS(T_SelfStock[RM_Code],$A53,T_SelfStock[WeekIndex],87)&gt;0)*(COUNTIFS(T_TTAFStock[RM_Code],$A53,T_TTAFStock[WeekIndex],87)&gt;0)&gt;0,SUMIFS(T_SelfStock[Self_Qty],T_SelfStock[RM_Code],$A53,T_SelfStock[WeekIndex],87)+SUMIFS(T_TTAFStock[TTAF_Qty],T_TTAFStock[RM_Code],$A53,T_TTAFStock[WeekIndex],87),CI53+'Grid_Incoming'!CJ53-'Grid_Requirement'!CJ53))</f>
        <v/>
      </c>
      <c r="CK53">
        <f>IF(COUNTIFS(T_StockCount[RM_Code],$A53,T_StockCount[WeekIndex],88)&gt;0,SUMIFS(T_StockCount[CountedQty],T_StockCount[RM_Code],$A53,T_StockCount[WeekIndex],88),IF((COUNTIFS(T_SelfStock[RM_Code],$A53,T_SelfStock[WeekIndex],88)&gt;0)*(COUNTIFS(T_TTAFStock[RM_Code],$A53,T_TTAFStock[WeekIndex],88)&gt;0)&gt;0,SUMIFS(T_SelfStock[Self_Qty],T_SelfStock[RM_Code],$A53,T_SelfStock[WeekIndex],88)+SUMIFS(T_TTAFStock[TTAF_Qty],T_TTAFStock[RM_Code],$A53,T_TTAFStock[WeekIndex],88),CJ53+'Grid_Incoming'!CK53-'Grid_Requirement'!CK53))</f>
        <v/>
      </c>
      <c r="CL53">
        <f>IF(COUNTIFS(T_StockCount[RM_Code],$A53,T_StockCount[WeekIndex],89)&gt;0,SUMIFS(T_StockCount[CountedQty],T_StockCount[RM_Code],$A53,T_StockCount[WeekIndex],89),IF((COUNTIFS(T_SelfStock[RM_Code],$A53,T_SelfStock[WeekIndex],89)&gt;0)*(COUNTIFS(T_TTAFStock[RM_Code],$A53,T_TTAFStock[WeekIndex],89)&gt;0)&gt;0,SUMIFS(T_SelfStock[Self_Qty],T_SelfStock[RM_Code],$A53,T_SelfStock[WeekIndex],89)+SUMIFS(T_TTAFStock[TTAF_Qty],T_TTAFStock[RM_Code],$A53,T_TTAFStock[WeekIndex],89),CK53+'Grid_Incoming'!CL53-'Grid_Requirement'!CL53))</f>
        <v/>
      </c>
      <c r="CM53">
        <f>IF(COUNTIFS(T_StockCount[RM_Code],$A53,T_StockCount[WeekIndex],90)&gt;0,SUMIFS(T_StockCount[CountedQty],T_StockCount[RM_Code],$A53,T_StockCount[WeekIndex],90),IF((COUNTIFS(T_SelfStock[RM_Code],$A53,T_SelfStock[WeekIndex],90)&gt;0)*(COUNTIFS(T_TTAFStock[RM_Code],$A53,T_TTAFStock[WeekIndex],90)&gt;0)&gt;0,SUMIFS(T_SelfStock[Self_Qty],T_SelfStock[RM_Code],$A53,T_SelfStock[WeekIndex],90)+SUMIFS(T_TTAFStock[TTAF_Qty],T_TTAFStock[RM_Code],$A53,T_TTAFStock[WeekIndex],90),CL53+'Grid_Incoming'!CM53-'Grid_Requirement'!CM53))</f>
        <v/>
      </c>
      <c r="CN53">
        <f>IF(COUNTIFS(T_StockCount[RM_Code],$A53,T_StockCount[WeekIndex],91)&gt;0,SUMIFS(T_StockCount[CountedQty],T_StockCount[RM_Code],$A53,T_StockCount[WeekIndex],91),IF((COUNTIFS(T_SelfStock[RM_Code],$A53,T_SelfStock[WeekIndex],91)&gt;0)*(COUNTIFS(T_TTAFStock[RM_Code],$A53,T_TTAFStock[WeekIndex],91)&gt;0)&gt;0,SUMIFS(T_SelfStock[Self_Qty],T_SelfStock[RM_Code],$A53,T_SelfStock[WeekIndex],91)+SUMIFS(T_TTAFStock[TTAF_Qty],T_TTAFStock[RM_Code],$A53,T_TTAFStock[WeekIndex],91),CM53+'Grid_Incoming'!CN53-'Grid_Requirement'!CN53))</f>
        <v/>
      </c>
      <c r="CO53">
        <f>IF(COUNTIFS(T_StockCount[RM_Code],$A53,T_StockCount[WeekIndex],92)&gt;0,SUMIFS(T_StockCount[CountedQty],T_StockCount[RM_Code],$A53,T_StockCount[WeekIndex],92),IF((COUNTIFS(T_SelfStock[RM_Code],$A53,T_SelfStock[WeekIndex],92)&gt;0)*(COUNTIFS(T_TTAFStock[RM_Code],$A53,T_TTAFStock[WeekIndex],92)&gt;0)&gt;0,SUMIFS(T_SelfStock[Self_Qty],T_SelfStock[RM_Code],$A53,T_SelfStock[WeekIndex],92)+SUMIFS(T_TTAFStock[TTAF_Qty],T_TTAFStock[RM_Code],$A53,T_TTAFStock[WeekIndex],92),CN53+'Grid_Incoming'!CO53-'Grid_Requirement'!CO53))</f>
        <v/>
      </c>
      <c r="CP53">
        <f>IF(COUNTIFS(T_StockCount[RM_Code],$A53,T_StockCount[WeekIndex],93)&gt;0,SUMIFS(T_StockCount[CountedQty],T_StockCount[RM_Code],$A53,T_StockCount[WeekIndex],93),IF((COUNTIFS(T_SelfStock[RM_Code],$A53,T_SelfStock[WeekIndex],93)&gt;0)*(COUNTIFS(T_TTAFStock[RM_Code],$A53,T_TTAFStock[WeekIndex],93)&gt;0)&gt;0,SUMIFS(T_SelfStock[Self_Qty],T_SelfStock[RM_Code],$A53,T_SelfStock[WeekIndex],93)+SUMIFS(T_TTAFStock[TTAF_Qty],T_TTAFStock[RM_Code],$A53,T_TTAFStock[WeekIndex],93),CO53+'Grid_Incoming'!CP53-'Grid_Requirement'!CP53))</f>
        <v/>
      </c>
      <c r="CQ53">
        <f>IF(COUNTIFS(T_StockCount[RM_Code],$A53,T_StockCount[WeekIndex],94)&gt;0,SUMIFS(T_StockCount[CountedQty],T_StockCount[RM_Code],$A53,T_StockCount[WeekIndex],94),IF((COUNTIFS(T_SelfStock[RM_Code],$A53,T_SelfStock[WeekIndex],94)&gt;0)*(COUNTIFS(T_TTAFStock[RM_Code],$A53,T_TTAFStock[WeekIndex],94)&gt;0)&gt;0,SUMIFS(T_SelfStock[Self_Qty],T_SelfStock[RM_Code],$A53,T_SelfStock[WeekIndex],94)+SUMIFS(T_TTAFStock[TTAF_Qty],T_TTAFStock[RM_Code],$A53,T_TTAFStock[WeekIndex],94),CP53+'Grid_Incoming'!CQ53-'Grid_Requirement'!CQ53))</f>
        <v/>
      </c>
      <c r="CR53">
        <f>IF(COUNTIFS(T_StockCount[RM_Code],$A53,T_StockCount[WeekIndex],95)&gt;0,SUMIFS(T_StockCount[CountedQty],T_StockCount[RM_Code],$A53,T_StockCount[WeekIndex],95),IF((COUNTIFS(T_SelfStock[RM_Code],$A53,T_SelfStock[WeekIndex],95)&gt;0)*(COUNTIFS(T_TTAFStock[RM_Code],$A53,T_TTAFStock[WeekIndex],95)&gt;0)&gt;0,SUMIFS(T_SelfStock[Self_Qty],T_SelfStock[RM_Code],$A53,T_SelfStock[WeekIndex],95)+SUMIFS(T_TTAFStock[TTAF_Qty],T_TTAFStock[RM_Code],$A53,T_TTAFStock[WeekIndex],95),CQ53+'Grid_Incoming'!CR53-'Grid_Requirement'!CR53))</f>
        <v/>
      </c>
      <c r="CS53">
        <f>IF(COUNTIFS(T_StockCount[RM_Code],$A53,T_StockCount[WeekIndex],96)&gt;0,SUMIFS(T_StockCount[CountedQty],T_StockCount[RM_Code],$A53,T_StockCount[WeekIndex],96),IF((COUNTIFS(T_SelfStock[RM_Code],$A53,T_SelfStock[WeekIndex],96)&gt;0)*(COUNTIFS(T_TTAFStock[RM_Code],$A53,T_TTAFStock[WeekIndex],96)&gt;0)&gt;0,SUMIFS(T_SelfStock[Self_Qty],T_SelfStock[RM_Code],$A53,T_SelfStock[WeekIndex],96)+SUMIFS(T_TTAFStock[TTAF_Qty],T_TTAFStock[RM_Code],$A53,T_TTAFStock[WeekIndex],96),CR53+'Grid_Incoming'!CS53-'Grid_Requirement'!CS53))</f>
        <v/>
      </c>
      <c r="CT53">
        <f>IF(COUNTIFS(T_StockCount[RM_Code],$A53,T_StockCount[WeekIndex],97)&gt;0,SUMIFS(T_StockCount[CountedQty],T_StockCount[RM_Code],$A53,T_StockCount[WeekIndex],97),IF((COUNTIFS(T_SelfStock[RM_Code],$A53,T_SelfStock[WeekIndex],97)&gt;0)*(COUNTIFS(T_TTAFStock[RM_Code],$A53,T_TTAFStock[WeekIndex],97)&gt;0)&gt;0,SUMIFS(T_SelfStock[Self_Qty],T_SelfStock[RM_Code],$A53,T_SelfStock[WeekIndex],97)+SUMIFS(T_TTAFStock[TTAF_Qty],T_TTAFStock[RM_Code],$A53,T_TTAFStock[WeekIndex],97),CS53+'Grid_Incoming'!CT53-'Grid_Requirement'!CT53))</f>
        <v/>
      </c>
      <c r="CU53">
        <f>IF(COUNTIFS(T_StockCount[RM_Code],$A53,T_StockCount[WeekIndex],98)&gt;0,SUMIFS(T_StockCount[CountedQty],T_StockCount[RM_Code],$A53,T_StockCount[WeekIndex],98),IF((COUNTIFS(T_SelfStock[RM_Code],$A53,T_SelfStock[WeekIndex],98)&gt;0)*(COUNTIFS(T_TTAFStock[RM_Code],$A53,T_TTAFStock[WeekIndex],98)&gt;0)&gt;0,SUMIFS(T_SelfStock[Self_Qty],T_SelfStock[RM_Code],$A53,T_SelfStock[WeekIndex],98)+SUMIFS(T_TTAFStock[TTAF_Qty],T_TTAFStock[RM_Code],$A53,T_TTAFStock[WeekIndex],98),CT53+'Grid_Incoming'!CU53-'Grid_Requirement'!CU53))</f>
        <v/>
      </c>
      <c r="CV53">
        <f>IF(COUNTIFS(T_StockCount[RM_Code],$A53,T_StockCount[WeekIndex],99)&gt;0,SUMIFS(T_StockCount[CountedQty],T_StockCount[RM_Code],$A53,T_StockCount[WeekIndex],99),IF((COUNTIFS(T_SelfStock[RM_Code],$A53,T_SelfStock[WeekIndex],99)&gt;0)*(COUNTIFS(T_TTAFStock[RM_Code],$A53,T_TTAFStock[WeekIndex],99)&gt;0)&gt;0,SUMIFS(T_SelfStock[Self_Qty],T_SelfStock[RM_Code],$A53,T_SelfStock[WeekIndex],99)+SUMIFS(T_TTAFStock[TTAF_Qty],T_TTAFStock[RM_Code],$A53,T_TTAFStock[WeekIndex],99),CU53+'Grid_Incoming'!CV53-'Grid_Requirement'!CV53))</f>
        <v/>
      </c>
      <c r="CW53">
        <f>IF(COUNTIFS(T_StockCount[RM_Code],$A53,T_StockCount[WeekIndex],100)&gt;0,SUMIFS(T_StockCount[CountedQty],T_StockCount[RM_Code],$A53,T_StockCount[WeekIndex],100),IF((COUNTIFS(T_SelfStock[RM_Code],$A53,T_SelfStock[WeekIndex],100)&gt;0)*(COUNTIFS(T_TTAFStock[RM_Code],$A53,T_TTAFStock[WeekIndex],100)&gt;0)&gt;0,SUMIFS(T_SelfStock[Self_Qty],T_SelfStock[RM_Code],$A53,T_SelfStock[WeekIndex],100)+SUMIFS(T_TTAFStock[TTAF_Qty],T_TTAFStock[RM_Code],$A53,T_TTAFStock[WeekIndex],100),CV53+'Grid_Incoming'!CW53-'Grid_Requirement'!CW53))</f>
        <v/>
      </c>
      <c r="CX53">
        <f>IF(COUNTIFS(T_StockCount[RM_Code],$A53,T_StockCount[WeekIndex],101)&gt;0,SUMIFS(T_StockCount[CountedQty],T_StockCount[RM_Code],$A53,T_StockCount[WeekIndex],101),IF((COUNTIFS(T_SelfStock[RM_Code],$A53,T_SelfStock[WeekIndex],101)&gt;0)*(COUNTIFS(T_TTAFStock[RM_Code],$A53,T_TTAFStock[WeekIndex],101)&gt;0)&gt;0,SUMIFS(T_SelfStock[Self_Qty],T_SelfStock[RM_Code],$A53,T_SelfStock[WeekIndex],101)+SUMIFS(T_TTAFStock[TTAF_Qty],T_TTAFStock[RM_Code],$A53,T_TTAFStock[WeekIndex],101),CW53+'Grid_Incoming'!CX53-'Grid_Requirement'!CX53))</f>
        <v/>
      </c>
      <c r="CY53">
        <f>IF(COUNTIFS(T_StockCount[RM_Code],$A53,T_StockCount[WeekIndex],102)&gt;0,SUMIFS(T_StockCount[CountedQty],T_StockCount[RM_Code],$A53,T_StockCount[WeekIndex],102),IF((COUNTIFS(T_SelfStock[RM_Code],$A53,T_SelfStock[WeekIndex],102)&gt;0)*(COUNTIFS(T_TTAFStock[RM_Code],$A53,T_TTAFStock[WeekIndex],102)&gt;0)&gt;0,SUMIFS(T_SelfStock[Self_Qty],T_SelfStock[RM_Code],$A53,T_SelfStock[WeekIndex],102)+SUMIFS(T_TTAFStock[TTAF_Qty],T_TTAFStock[RM_Code],$A53,T_TTAFStock[WeekIndex],102),CX53+'Grid_Incoming'!CY53-'Grid_Requirement'!CY53))</f>
        <v/>
      </c>
      <c r="CZ53">
        <f>IF(COUNTIFS(T_StockCount[RM_Code],$A53,T_StockCount[WeekIndex],103)&gt;0,SUMIFS(T_StockCount[CountedQty],T_StockCount[RM_Code],$A53,T_StockCount[WeekIndex],103),IF((COUNTIFS(T_SelfStock[RM_Code],$A53,T_SelfStock[WeekIndex],103)&gt;0)*(COUNTIFS(T_TTAFStock[RM_Code],$A53,T_TTAFStock[WeekIndex],103)&gt;0)&gt;0,SUMIFS(T_SelfStock[Self_Qty],T_SelfStock[RM_Code],$A53,T_SelfStock[WeekIndex],103)+SUMIFS(T_TTAFStock[TTAF_Qty],T_TTAFStock[RM_Code],$A53,T_TTAFStock[WeekIndex],103),CY53+'Grid_Incoming'!CZ53-'Grid_Requirement'!CZ53))</f>
        <v/>
      </c>
      <c r="DA53">
        <f>IF(COUNTIFS(T_StockCount[RM_Code],$A53,T_StockCount[WeekIndex],104)&gt;0,SUMIFS(T_StockCount[CountedQty],T_StockCount[RM_Code],$A53,T_StockCount[WeekIndex],104),IF((COUNTIFS(T_SelfStock[RM_Code],$A53,T_SelfStock[WeekIndex],104)&gt;0)*(COUNTIFS(T_TTAFStock[RM_Code],$A53,T_TTAFStock[WeekIndex],104)&gt;0)&gt;0,SUMIFS(T_SelfStock[Self_Qty],T_SelfStock[RM_Code],$A53,T_SelfStock[WeekIndex],104)+SUMIFS(T_TTAFStock[TTAF_Qty],T_TTAFStock[RM_Code],$A53,T_TTAFStock[WeekIndex],104),CZ53+'Grid_Incoming'!DA53-'Grid_Requirement'!DA53))</f>
        <v/>
      </c>
    </row>
    <row r="54">
      <c r="A54" t="inlineStr">
        <is>
          <t>CHEM-1550</t>
        </is>
      </c>
      <c r="B54">
        <f>IF(COUNTIFS(T_StockCount[RM_Code],$A54,T_StockCount[WeekIndex],1)&gt;0,SUMIFS(T_StockCount[CountedQty],T_StockCount[RM_Code],$A54,T_StockCount[WeekIndex],1),IF((COUNTIFS(T_SelfStock[RM_Code],$A54,T_SelfStock[WeekIndex],1)&gt;0)*(COUNTIFS(T_TTAFStock[RM_Code],$A54,T_TTAFStock[WeekIndex],1)&gt;0)&gt;0,SUMIFS(T_SelfStock[Self_Qty],T_SelfStock[RM_Code],$A54,T_SelfStock[WeekIndex],1)+SUMIFS(T_TTAFStock[TTAF_Qty],T_TTAFStock[RM_Code],$A54,T_TTAFStock[WeekIndex],1),IFERROR(INDEX(T_OpeningStock[Opening_Qty],MATCH($A54,T_OpeningStock[RM_Code],0)),0)+'Grid_Incoming'!B54-'Grid_Requirement'!B54))</f>
        <v/>
      </c>
      <c r="C54">
        <f>IF(COUNTIFS(T_StockCount[RM_Code],$A54,T_StockCount[WeekIndex],2)&gt;0,SUMIFS(T_StockCount[CountedQty],T_StockCount[RM_Code],$A54,T_StockCount[WeekIndex],2),IF((COUNTIFS(T_SelfStock[RM_Code],$A54,T_SelfStock[WeekIndex],2)&gt;0)*(COUNTIFS(T_TTAFStock[RM_Code],$A54,T_TTAFStock[WeekIndex],2)&gt;0)&gt;0,SUMIFS(T_SelfStock[Self_Qty],T_SelfStock[RM_Code],$A54,T_SelfStock[WeekIndex],2)+SUMIFS(T_TTAFStock[TTAF_Qty],T_TTAFStock[RM_Code],$A54,T_TTAFStock[WeekIndex],2),B54+'Grid_Incoming'!C54-'Grid_Requirement'!C54))</f>
        <v/>
      </c>
      <c r="D54">
        <f>IF(COUNTIFS(T_StockCount[RM_Code],$A54,T_StockCount[WeekIndex],3)&gt;0,SUMIFS(T_StockCount[CountedQty],T_StockCount[RM_Code],$A54,T_StockCount[WeekIndex],3),IF((COUNTIFS(T_SelfStock[RM_Code],$A54,T_SelfStock[WeekIndex],3)&gt;0)*(COUNTIFS(T_TTAFStock[RM_Code],$A54,T_TTAFStock[WeekIndex],3)&gt;0)&gt;0,SUMIFS(T_SelfStock[Self_Qty],T_SelfStock[RM_Code],$A54,T_SelfStock[WeekIndex],3)+SUMIFS(T_TTAFStock[TTAF_Qty],T_TTAFStock[RM_Code],$A54,T_TTAFStock[WeekIndex],3),C54+'Grid_Incoming'!D54-'Grid_Requirement'!D54))</f>
        <v/>
      </c>
      <c r="E54">
        <f>IF(COUNTIFS(T_StockCount[RM_Code],$A54,T_StockCount[WeekIndex],4)&gt;0,SUMIFS(T_StockCount[CountedQty],T_StockCount[RM_Code],$A54,T_StockCount[WeekIndex],4),IF((COUNTIFS(T_SelfStock[RM_Code],$A54,T_SelfStock[WeekIndex],4)&gt;0)*(COUNTIFS(T_TTAFStock[RM_Code],$A54,T_TTAFStock[WeekIndex],4)&gt;0)&gt;0,SUMIFS(T_SelfStock[Self_Qty],T_SelfStock[RM_Code],$A54,T_SelfStock[WeekIndex],4)+SUMIFS(T_TTAFStock[TTAF_Qty],T_TTAFStock[RM_Code],$A54,T_TTAFStock[WeekIndex],4),D54+'Grid_Incoming'!E54-'Grid_Requirement'!E54))</f>
        <v/>
      </c>
      <c r="F54">
        <f>IF(COUNTIFS(T_StockCount[RM_Code],$A54,T_StockCount[WeekIndex],5)&gt;0,SUMIFS(T_StockCount[CountedQty],T_StockCount[RM_Code],$A54,T_StockCount[WeekIndex],5),IF((COUNTIFS(T_SelfStock[RM_Code],$A54,T_SelfStock[WeekIndex],5)&gt;0)*(COUNTIFS(T_TTAFStock[RM_Code],$A54,T_TTAFStock[WeekIndex],5)&gt;0)&gt;0,SUMIFS(T_SelfStock[Self_Qty],T_SelfStock[RM_Code],$A54,T_SelfStock[WeekIndex],5)+SUMIFS(T_TTAFStock[TTAF_Qty],T_TTAFStock[RM_Code],$A54,T_TTAFStock[WeekIndex],5),E54+'Grid_Incoming'!F54-'Grid_Requirement'!F54))</f>
        <v/>
      </c>
      <c r="G54">
        <f>IF(COUNTIFS(T_StockCount[RM_Code],$A54,T_StockCount[WeekIndex],6)&gt;0,SUMIFS(T_StockCount[CountedQty],T_StockCount[RM_Code],$A54,T_StockCount[WeekIndex],6),IF((COUNTIFS(T_SelfStock[RM_Code],$A54,T_SelfStock[WeekIndex],6)&gt;0)*(COUNTIFS(T_TTAFStock[RM_Code],$A54,T_TTAFStock[WeekIndex],6)&gt;0)&gt;0,SUMIFS(T_SelfStock[Self_Qty],T_SelfStock[RM_Code],$A54,T_SelfStock[WeekIndex],6)+SUMIFS(T_TTAFStock[TTAF_Qty],T_TTAFStock[RM_Code],$A54,T_TTAFStock[WeekIndex],6),F54+'Grid_Incoming'!G54-'Grid_Requirement'!G54))</f>
        <v/>
      </c>
      <c r="H54">
        <f>IF(COUNTIFS(T_StockCount[RM_Code],$A54,T_StockCount[WeekIndex],7)&gt;0,SUMIFS(T_StockCount[CountedQty],T_StockCount[RM_Code],$A54,T_StockCount[WeekIndex],7),IF((COUNTIFS(T_SelfStock[RM_Code],$A54,T_SelfStock[WeekIndex],7)&gt;0)*(COUNTIFS(T_TTAFStock[RM_Code],$A54,T_TTAFStock[WeekIndex],7)&gt;0)&gt;0,SUMIFS(T_SelfStock[Self_Qty],T_SelfStock[RM_Code],$A54,T_SelfStock[WeekIndex],7)+SUMIFS(T_TTAFStock[TTAF_Qty],T_TTAFStock[RM_Code],$A54,T_TTAFStock[WeekIndex],7),G54+'Grid_Incoming'!H54-'Grid_Requirement'!H54))</f>
        <v/>
      </c>
      <c r="I54">
        <f>IF(COUNTIFS(T_StockCount[RM_Code],$A54,T_StockCount[WeekIndex],8)&gt;0,SUMIFS(T_StockCount[CountedQty],T_StockCount[RM_Code],$A54,T_StockCount[WeekIndex],8),IF((COUNTIFS(T_SelfStock[RM_Code],$A54,T_SelfStock[WeekIndex],8)&gt;0)*(COUNTIFS(T_TTAFStock[RM_Code],$A54,T_TTAFStock[WeekIndex],8)&gt;0)&gt;0,SUMIFS(T_SelfStock[Self_Qty],T_SelfStock[RM_Code],$A54,T_SelfStock[WeekIndex],8)+SUMIFS(T_TTAFStock[TTAF_Qty],T_TTAFStock[RM_Code],$A54,T_TTAFStock[WeekIndex],8),H54+'Grid_Incoming'!I54-'Grid_Requirement'!I54))</f>
        <v/>
      </c>
      <c r="J54">
        <f>IF(COUNTIFS(T_StockCount[RM_Code],$A54,T_StockCount[WeekIndex],9)&gt;0,SUMIFS(T_StockCount[CountedQty],T_StockCount[RM_Code],$A54,T_StockCount[WeekIndex],9),IF((COUNTIFS(T_SelfStock[RM_Code],$A54,T_SelfStock[WeekIndex],9)&gt;0)*(COUNTIFS(T_TTAFStock[RM_Code],$A54,T_TTAFStock[WeekIndex],9)&gt;0)&gt;0,SUMIFS(T_SelfStock[Self_Qty],T_SelfStock[RM_Code],$A54,T_SelfStock[WeekIndex],9)+SUMIFS(T_TTAFStock[TTAF_Qty],T_TTAFStock[RM_Code],$A54,T_TTAFStock[WeekIndex],9),I54+'Grid_Incoming'!J54-'Grid_Requirement'!J54))</f>
        <v/>
      </c>
      <c r="K54">
        <f>IF(COUNTIFS(T_StockCount[RM_Code],$A54,T_StockCount[WeekIndex],10)&gt;0,SUMIFS(T_StockCount[CountedQty],T_StockCount[RM_Code],$A54,T_StockCount[WeekIndex],10),IF((COUNTIFS(T_SelfStock[RM_Code],$A54,T_SelfStock[WeekIndex],10)&gt;0)*(COUNTIFS(T_TTAFStock[RM_Code],$A54,T_TTAFStock[WeekIndex],10)&gt;0)&gt;0,SUMIFS(T_SelfStock[Self_Qty],T_SelfStock[RM_Code],$A54,T_SelfStock[WeekIndex],10)+SUMIFS(T_TTAFStock[TTAF_Qty],T_TTAFStock[RM_Code],$A54,T_TTAFStock[WeekIndex],10),J54+'Grid_Incoming'!K54-'Grid_Requirement'!K54))</f>
        <v/>
      </c>
      <c r="L54">
        <f>IF(COUNTIFS(T_StockCount[RM_Code],$A54,T_StockCount[WeekIndex],11)&gt;0,SUMIFS(T_StockCount[CountedQty],T_StockCount[RM_Code],$A54,T_StockCount[WeekIndex],11),IF((COUNTIFS(T_SelfStock[RM_Code],$A54,T_SelfStock[WeekIndex],11)&gt;0)*(COUNTIFS(T_TTAFStock[RM_Code],$A54,T_TTAFStock[WeekIndex],11)&gt;0)&gt;0,SUMIFS(T_SelfStock[Self_Qty],T_SelfStock[RM_Code],$A54,T_SelfStock[WeekIndex],11)+SUMIFS(T_TTAFStock[TTAF_Qty],T_TTAFStock[RM_Code],$A54,T_TTAFStock[WeekIndex],11),K54+'Grid_Incoming'!L54-'Grid_Requirement'!L54))</f>
        <v/>
      </c>
      <c r="M54">
        <f>IF(COUNTIFS(T_StockCount[RM_Code],$A54,T_StockCount[WeekIndex],12)&gt;0,SUMIFS(T_StockCount[CountedQty],T_StockCount[RM_Code],$A54,T_StockCount[WeekIndex],12),IF((COUNTIFS(T_SelfStock[RM_Code],$A54,T_SelfStock[WeekIndex],12)&gt;0)*(COUNTIFS(T_TTAFStock[RM_Code],$A54,T_TTAFStock[WeekIndex],12)&gt;0)&gt;0,SUMIFS(T_SelfStock[Self_Qty],T_SelfStock[RM_Code],$A54,T_SelfStock[WeekIndex],12)+SUMIFS(T_TTAFStock[TTAF_Qty],T_TTAFStock[RM_Code],$A54,T_TTAFStock[WeekIndex],12),L54+'Grid_Incoming'!M54-'Grid_Requirement'!M54))</f>
        <v/>
      </c>
      <c r="N54">
        <f>IF(COUNTIFS(T_StockCount[RM_Code],$A54,T_StockCount[WeekIndex],13)&gt;0,SUMIFS(T_StockCount[CountedQty],T_StockCount[RM_Code],$A54,T_StockCount[WeekIndex],13),IF((COUNTIFS(T_SelfStock[RM_Code],$A54,T_SelfStock[WeekIndex],13)&gt;0)*(COUNTIFS(T_TTAFStock[RM_Code],$A54,T_TTAFStock[WeekIndex],13)&gt;0)&gt;0,SUMIFS(T_SelfStock[Self_Qty],T_SelfStock[RM_Code],$A54,T_SelfStock[WeekIndex],13)+SUMIFS(T_TTAFStock[TTAF_Qty],T_TTAFStock[RM_Code],$A54,T_TTAFStock[WeekIndex],13),M54+'Grid_Incoming'!N54-'Grid_Requirement'!N54))</f>
        <v/>
      </c>
      <c r="O54">
        <f>IF(COUNTIFS(T_StockCount[RM_Code],$A54,T_StockCount[WeekIndex],14)&gt;0,SUMIFS(T_StockCount[CountedQty],T_StockCount[RM_Code],$A54,T_StockCount[WeekIndex],14),IF((COUNTIFS(T_SelfStock[RM_Code],$A54,T_SelfStock[WeekIndex],14)&gt;0)*(COUNTIFS(T_TTAFStock[RM_Code],$A54,T_TTAFStock[WeekIndex],14)&gt;0)&gt;0,SUMIFS(T_SelfStock[Self_Qty],T_SelfStock[RM_Code],$A54,T_SelfStock[WeekIndex],14)+SUMIFS(T_TTAFStock[TTAF_Qty],T_TTAFStock[RM_Code],$A54,T_TTAFStock[WeekIndex],14),N54+'Grid_Incoming'!O54-'Grid_Requirement'!O54))</f>
        <v/>
      </c>
      <c r="P54">
        <f>IF(COUNTIFS(T_StockCount[RM_Code],$A54,T_StockCount[WeekIndex],15)&gt;0,SUMIFS(T_StockCount[CountedQty],T_StockCount[RM_Code],$A54,T_StockCount[WeekIndex],15),IF((COUNTIFS(T_SelfStock[RM_Code],$A54,T_SelfStock[WeekIndex],15)&gt;0)*(COUNTIFS(T_TTAFStock[RM_Code],$A54,T_TTAFStock[WeekIndex],15)&gt;0)&gt;0,SUMIFS(T_SelfStock[Self_Qty],T_SelfStock[RM_Code],$A54,T_SelfStock[WeekIndex],15)+SUMIFS(T_TTAFStock[TTAF_Qty],T_TTAFStock[RM_Code],$A54,T_TTAFStock[WeekIndex],15),O54+'Grid_Incoming'!P54-'Grid_Requirement'!P54))</f>
        <v/>
      </c>
      <c r="Q54">
        <f>IF(COUNTIFS(T_StockCount[RM_Code],$A54,T_StockCount[WeekIndex],16)&gt;0,SUMIFS(T_StockCount[CountedQty],T_StockCount[RM_Code],$A54,T_StockCount[WeekIndex],16),IF((COUNTIFS(T_SelfStock[RM_Code],$A54,T_SelfStock[WeekIndex],16)&gt;0)*(COUNTIFS(T_TTAFStock[RM_Code],$A54,T_TTAFStock[WeekIndex],16)&gt;0)&gt;0,SUMIFS(T_SelfStock[Self_Qty],T_SelfStock[RM_Code],$A54,T_SelfStock[WeekIndex],16)+SUMIFS(T_TTAFStock[TTAF_Qty],T_TTAFStock[RM_Code],$A54,T_TTAFStock[WeekIndex],16),P54+'Grid_Incoming'!Q54-'Grid_Requirement'!Q54))</f>
        <v/>
      </c>
      <c r="R54">
        <f>IF(COUNTIFS(T_StockCount[RM_Code],$A54,T_StockCount[WeekIndex],17)&gt;0,SUMIFS(T_StockCount[CountedQty],T_StockCount[RM_Code],$A54,T_StockCount[WeekIndex],17),IF((COUNTIFS(T_SelfStock[RM_Code],$A54,T_SelfStock[WeekIndex],17)&gt;0)*(COUNTIFS(T_TTAFStock[RM_Code],$A54,T_TTAFStock[WeekIndex],17)&gt;0)&gt;0,SUMIFS(T_SelfStock[Self_Qty],T_SelfStock[RM_Code],$A54,T_SelfStock[WeekIndex],17)+SUMIFS(T_TTAFStock[TTAF_Qty],T_TTAFStock[RM_Code],$A54,T_TTAFStock[WeekIndex],17),Q54+'Grid_Incoming'!R54-'Grid_Requirement'!R54))</f>
        <v/>
      </c>
      <c r="S54">
        <f>IF(COUNTIFS(T_StockCount[RM_Code],$A54,T_StockCount[WeekIndex],18)&gt;0,SUMIFS(T_StockCount[CountedQty],T_StockCount[RM_Code],$A54,T_StockCount[WeekIndex],18),IF((COUNTIFS(T_SelfStock[RM_Code],$A54,T_SelfStock[WeekIndex],18)&gt;0)*(COUNTIFS(T_TTAFStock[RM_Code],$A54,T_TTAFStock[WeekIndex],18)&gt;0)&gt;0,SUMIFS(T_SelfStock[Self_Qty],T_SelfStock[RM_Code],$A54,T_SelfStock[WeekIndex],18)+SUMIFS(T_TTAFStock[TTAF_Qty],T_TTAFStock[RM_Code],$A54,T_TTAFStock[WeekIndex],18),R54+'Grid_Incoming'!S54-'Grid_Requirement'!S54))</f>
        <v/>
      </c>
      <c r="T54">
        <f>IF(COUNTIFS(T_StockCount[RM_Code],$A54,T_StockCount[WeekIndex],19)&gt;0,SUMIFS(T_StockCount[CountedQty],T_StockCount[RM_Code],$A54,T_StockCount[WeekIndex],19),IF((COUNTIFS(T_SelfStock[RM_Code],$A54,T_SelfStock[WeekIndex],19)&gt;0)*(COUNTIFS(T_TTAFStock[RM_Code],$A54,T_TTAFStock[WeekIndex],19)&gt;0)&gt;0,SUMIFS(T_SelfStock[Self_Qty],T_SelfStock[RM_Code],$A54,T_SelfStock[WeekIndex],19)+SUMIFS(T_TTAFStock[TTAF_Qty],T_TTAFStock[RM_Code],$A54,T_TTAFStock[WeekIndex],19),S54+'Grid_Incoming'!T54-'Grid_Requirement'!T54))</f>
        <v/>
      </c>
      <c r="U54">
        <f>IF(COUNTIFS(T_StockCount[RM_Code],$A54,T_StockCount[WeekIndex],20)&gt;0,SUMIFS(T_StockCount[CountedQty],T_StockCount[RM_Code],$A54,T_StockCount[WeekIndex],20),IF((COUNTIFS(T_SelfStock[RM_Code],$A54,T_SelfStock[WeekIndex],20)&gt;0)*(COUNTIFS(T_TTAFStock[RM_Code],$A54,T_TTAFStock[WeekIndex],20)&gt;0)&gt;0,SUMIFS(T_SelfStock[Self_Qty],T_SelfStock[RM_Code],$A54,T_SelfStock[WeekIndex],20)+SUMIFS(T_TTAFStock[TTAF_Qty],T_TTAFStock[RM_Code],$A54,T_TTAFStock[WeekIndex],20),T54+'Grid_Incoming'!U54-'Grid_Requirement'!U54))</f>
        <v/>
      </c>
      <c r="V54">
        <f>IF(COUNTIFS(T_StockCount[RM_Code],$A54,T_StockCount[WeekIndex],21)&gt;0,SUMIFS(T_StockCount[CountedQty],T_StockCount[RM_Code],$A54,T_StockCount[WeekIndex],21),IF((COUNTIFS(T_SelfStock[RM_Code],$A54,T_SelfStock[WeekIndex],21)&gt;0)*(COUNTIFS(T_TTAFStock[RM_Code],$A54,T_TTAFStock[WeekIndex],21)&gt;0)&gt;0,SUMIFS(T_SelfStock[Self_Qty],T_SelfStock[RM_Code],$A54,T_SelfStock[WeekIndex],21)+SUMIFS(T_TTAFStock[TTAF_Qty],T_TTAFStock[RM_Code],$A54,T_TTAFStock[WeekIndex],21),U54+'Grid_Incoming'!V54-'Grid_Requirement'!V54))</f>
        <v/>
      </c>
      <c r="W54">
        <f>IF(COUNTIFS(T_StockCount[RM_Code],$A54,T_StockCount[WeekIndex],22)&gt;0,SUMIFS(T_StockCount[CountedQty],T_StockCount[RM_Code],$A54,T_StockCount[WeekIndex],22),IF((COUNTIFS(T_SelfStock[RM_Code],$A54,T_SelfStock[WeekIndex],22)&gt;0)*(COUNTIFS(T_TTAFStock[RM_Code],$A54,T_TTAFStock[WeekIndex],22)&gt;0)&gt;0,SUMIFS(T_SelfStock[Self_Qty],T_SelfStock[RM_Code],$A54,T_SelfStock[WeekIndex],22)+SUMIFS(T_TTAFStock[TTAF_Qty],T_TTAFStock[RM_Code],$A54,T_TTAFStock[WeekIndex],22),V54+'Grid_Incoming'!W54-'Grid_Requirement'!W54))</f>
        <v/>
      </c>
      <c r="X54">
        <f>IF(COUNTIFS(T_StockCount[RM_Code],$A54,T_StockCount[WeekIndex],23)&gt;0,SUMIFS(T_StockCount[CountedQty],T_StockCount[RM_Code],$A54,T_StockCount[WeekIndex],23),IF((COUNTIFS(T_SelfStock[RM_Code],$A54,T_SelfStock[WeekIndex],23)&gt;0)*(COUNTIFS(T_TTAFStock[RM_Code],$A54,T_TTAFStock[WeekIndex],23)&gt;0)&gt;0,SUMIFS(T_SelfStock[Self_Qty],T_SelfStock[RM_Code],$A54,T_SelfStock[WeekIndex],23)+SUMIFS(T_TTAFStock[TTAF_Qty],T_TTAFStock[RM_Code],$A54,T_TTAFStock[WeekIndex],23),W54+'Grid_Incoming'!X54-'Grid_Requirement'!X54))</f>
        <v/>
      </c>
      <c r="Y54">
        <f>IF(COUNTIFS(T_StockCount[RM_Code],$A54,T_StockCount[WeekIndex],24)&gt;0,SUMIFS(T_StockCount[CountedQty],T_StockCount[RM_Code],$A54,T_StockCount[WeekIndex],24),IF((COUNTIFS(T_SelfStock[RM_Code],$A54,T_SelfStock[WeekIndex],24)&gt;0)*(COUNTIFS(T_TTAFStock[RM_Code],$A54,T_TTAFStock[WeekIndex],24)&gt;0)&gt;0,SUMIFS(T_SelfStock[Self_Qty],T_SelfStock[RM_Code],$A54,T_SelfStock[WeekIndex],24)+SUMIFS(T_TTAFStock[TTAF_Qty],T_TTAFStock[RM_Code],$A54,T_TTAFStock[WeekIndex],24),X54+'Grid_Incoming'!Y54-'Grid_Requirement'!Y54))</f>
        <v/>
      </c>
      <c r="Z54">
        <f>IF(COUNTIFS(T_StockCount[RM_Code],$A54,T_StockCount[WeekIndex],25)&gt;0,SUMIFS(T_StockCount[CountedQty],T_StockCount[RM_Code],$A54,T_StockCount[WeekIndex],25),IF((COUNTIFS(T_SelfStock[RM_Code],$A54,T_SelfStock[WeekIndex],25)&gt;0)*(COUNTIFS(T_TTAFStock[RM_Code],$A54,T_TTAFStock[WeekIndex],25)&gt;0)&gt;0,SUMIFS(T_SelfStock[Self_Qty],T_SelfStock[RM_Code],$A54,T_SelfStock[WeekIndex],25)+SUMIFS(T_TTAFStock[TTAF_Qty],T_TTAFStock[RM_Code],$A54,T_TTAFStock[WeekIndex],25),Y54+'Grid_Incoming'!Z54-'Grid_Requirement'!Z54))</f>
        <v/>
      </c>
      <c r="AA54">
        <f>IF(COUNTIFS(T_StockCount[RM_Code],$A54,T_StockCount[WeekIndex],26)&gt;0,SUMIFS(T_StockCount[CountedQty],T_StockCount[RM_Code],$A54,T_StockCount[WeekIndex],26),IF((COUNTIFS(T_SelfStock[RM_Code],$A54,T_SelfStock[WeekIndex],26)&gt;0)*(COUNTIFS(T_TTAFStock[RM_Code],$A54,T_TTAFStock[WeekIndex],26)&gt;0)&gt;0,SUMIFS(T_SelfStock[Self_Qty],T_SelfStock[RM_Code],$A54,T_SelfStock[WeekIndex],26)+SUMIFS(T_TTAFStock[TTAF_Qty],T_TTAFStock[RM_Code],$A54,T_TTAFStock[WeekIndex],26),Z54+'Grid_Incoming'!AA54-'Grid_Requirement'!AA54))</f>
        <v/>
      </c>
      <c r="AB54">
        <f>IF(COUNTIFS(T_StockCount[RM_Code],$A54,T_StockCount[WeekIndex],27)&gt;0,SUMIFS(T_StockCount[CountedQty],T_StockCount[RM_Code],$A54,T_StockCount[WeekIndex],27),IF((COUNTIFS(T_SelfStock[RM_Code],$A54,T_SelfStock[WeekIndex],27)&gt;0)*(COUNTIFS(T_TTAFStock[RM_Code],$A54,T_TTAFStock[WeekIndex],27)&gt;0)&gt;0,SUMIFS(T_SelfStock[Self_Qty],T_SelfStock[RM_Code],$A54,T_SelfStock[WeekIndex],27)+SUMIFS(T_TTAFStock[TTAF_Qty],T_TTAFStock[RM_Code],$A54,T_TTAFStock[WeekIndex],27),AA54+'Grid_Incoming'!AB54-'Grid_Requirement'!AB54))</f>
        <v/>
      </c>
      <c r="AC54">
        <f>IF(COUNTIFS(T_StockCount[RM_Code],$A54,T_StockCount[WeekIndex],28)&gt;0,SUMIFS(T_StockCount[CountedQty],T_StockCount[RM_Code],$A54,T_StockCount[WeekIndex],28),IF((COUNTIFS(T_SelfStock[RM_Code],$A54,T_SelfStock[WeekIndex],28)&gt;0)*(COUNTIFS(T_TTAFStock[RM_Code],$A54,T_TTAFStock[WeekIndex],28)&gt;0)&gt;0,SUMIFS(T_SelfStock[Self_Qty],T_SelfStock[RM_Code],$A54,T_SelfStock[WeekIndex],28)+SUMIFS(T_TTAFStock[TTAF_Qty],T_TTAFStock[RM_Code],$A54,T_TTAFStock[WeekIndex],28),AB54+'Grid_Incoming'!AC54-'Grid_Requirement'!AC54))</f>
        <v/>
      </c>
      <c r="AD54">
        <f>IF(COUNTIFS(T_StockCount[RM_Code],$A54,T_StockCount[WeekIndex],29)&gt;0,SUMIFS(T_StockCount[CountedQty],T_StockCount[RM_Code],$A54,T_StockCount[WeekIndex],29),IF((COUNTIFS(T_SelfStock[RM_Code],$A54,T_SelfStock[WeekIndex],29)&gt;0)*(COUNTIFS(T_TTAFStock[RM_Code],$A54,T_TTAFStock[WeekIndex],29)&gt;0)&gt;0,SUMIFS(T_SelfStock[Self_Qty],T_SelfStock[RM_Code],$A54,T_SelfStock[WeekIndex],29)+SUMIFS(T_TTAFStock[TTAF_Qty],T_TTAFStock[RM_Code],$A54,T_TTAFStock[WeekIndex],29),AC54+'Grid_Incoming'!AD54-'Grid_Requirement'!AD54))</f>
        <v/>
      </c>
      <c r="AE54">
        <f>IF(COUNTIFS(T_StockCount[RM_Code],$A54,T_StockCount[WeekIndex],30)&gt;0,SUMIFS(T_StockCount[CountedQty],T_StockCount[RM_Code],$A54,T_StockCount[WeekIndex],30),IF((COUNTIFS(T_SelfStock[RM_Code],$A54,T_SelfStock[WeekIndex],30)&gt;0)*(COUNTIFS(T_TTAFStock[RM_Code],$A54,T_TTAFStock[WeekIndex],30)&gt;0)&gt;0,SUMIFS(T_SelfStock[Self_Qty],T_SelfStock[RM_Code],$A54,T_SelfStock[WeekIndex],30)+SUMIFS(T_TTAFStock[TTAF_Qty],T_TTAFStock[RM_Code],$A54,T_TTAFStock[WeekIndex],30),AD54+'Grid_Incoming'!AE54-'Grid_Requirement'!AE54))</f>
        <v/>
      </c>
      <c r="AF54">
        <f>IF(COUNTIFS(T_StockCount[RM_Code],$A54,T_StockCount[WeekIndex],31)&gt;0,SUMIFS(T_StockCount[CountedQty],T_StockCount[RM_Code],$A54,T_StockCount[WeekIndex],31),IF((COUNTIFS(T_SelfStock[RM_Code],$A54,T_SelfStock[WeekIndex],31)&gt;0)*(COUNTIFS(T_TTAFStock[RM_Code],$A54,T_TTAFStock[WeekIndex],31)&gt;0)&gt;0,SUMIFS(T_SelfStock[Self_Qty],T_SelfStock[RM_Code],$A54,T_SelfStock[WeekIndex],31)+SUMIFS(T_TTAFStock[TTAF_Qty],T_TTAFStock[RM_Code],$A54,T_TTAFStock[WeekIndex],31),AE54+'Grid_Incoming'!AF54-'Grid_Requirement'!AF54))</f>
        <v/>
      </c>
      <c r="AG54">
        <f>IF(COUNTIFS(T_StockCount[RM_Code],$A54,T_StockCount[WeekIndex],32)&gt;0,SUMIFS(T_StockCount[CountedQty],T_StockCount[RM_Code],$A54,T_StockCount[WeekIndex],32),IF((COUNTIFS(T_SelfStock[RM_Code],$A54,T_SelfStock[WeekIndex],32)&gt;0)*(COUNTIFS(T_TTAFStock[RM_Code],$A54,T_TTAFStock[WeekIndex],32)&gt;0)&gt;0,SUMIFS(T_SelfStock[Self_Qty],T_SelfStock[RM_Code],$A54,T_SelfStock[WeekIndex],32)+SUMIFS(T_TTAFStock[TTAF_Qty],T_TTAFStock[RM_Code],$A54,T_TTAFStock[WeekIndex],32),AF54+'Grid_Incoming'!AG54-'Grid_Requirement'!AG54))</f>
        <v/>
      </c>
      <c r="AH54">
        <f>IF(COUNTIFS(T_StockCount[RM_Code],$A54,T_StockCount[WeekIndex],33)&gt;0,SUMIFS(T_StockCount[CountedQty],T_StockCount[RM_Code],$A54,T_StockCount[WeekIndex],33),IF((COUNTIFS(T_SelfStock[RM_Code],$A54,T_SelfStock[WeekIndex],33)&gt;0)*(COUNTIFS(T_TTAFStock[RM_Code],$A54,T_TTAFStock[WeekIndex],33)&gt;0)&gt;0,SUMIFS(T_SelfStock[Self_Qty],T_SelfStock[RM_Code],$A54,T_SelfStock[WeekIndex],33)+SUMIFS(T_TTAFStock[TTAF_Qty],T_TTAFStock[RM_Code],$A54,T_TTAFStock[WeekIndex],33),AG54+'Grid_Incoming'!AH54-'Grid_Requirement'!AH54))</f>
        <v/>
      </c>
      <c r="AI54">
        <f>IF(COUNTIFS(T_StockCount[RM_Code],$A54,T_StockCount[WeekIndex],34)&gt;0,SUMIFS(T_StockCount[CountedQty],T_StockCount[RM_Code],$A54,T_StockCount[WeekIndex],34),IF((COUNTIFS(T_SelfStock[RM_Code],$A54,T_SelfStock[WeekIndex],34)&gt;0)*(COUNTIFS(T_TTAFStock[RM_Code],$A54,T_TTAFStock[WeekIndex],34)&gt;0)&gt;0,SUMIFS(T_SelfStock[Self_Qty],T_SelfStock[RM_Code],$A54,T_SelfStock[WeekIndex],34)+SUMIFS(T_TTAFStock[TTAF_Qty],T_TTAFStock[RM_Code],$A54,T_TTAFStock[WeekIndex],34),AH54+'Grid_Incoming'!AI54-'Grid_Requirement'!AI54))</f>
        <v/>
      </c>
      <c r="AJ54">
        <f>IF(COUNTIFS(T_StockCount[RM_Code],$A54,T_StockCount[WeekIndex],35)&gt;0,SUMIFS(T_StockCount[CountedQty],T_StockCount[RM_Code],$A54,T_StockCount[WeekIndex],35),IF((COUNTIFS(T_SelfStock[RM_Code],$A54,T_SelfStock[WeekIndex],35)&gt;0)*(COUNTIFS(T_TTAFStock[RM_Code],$A54,T_TTAFStock[WeekIndex],35)&gt;0)&gt;0,SUMIFS(T_SelfStock[Self_Qty],T_SelfStock[RM_Code],$A54,T_SelfStock[WeekIndex],35)+SUMIFS(T_TTAFStock[TTAF_Qty],T_TTAFStock[RM_Code],$A54,T_TTAFStock[WeekIndex],35),AI54+'Grid_Incoming'!AJ54-'Grid_Requirement'!AJ54))</f>
        <v/>
      </c>
      <c r="AK54">
        <f>IF(COUNTIFS(T_StockCount[RM_Code],$A54,T_StockCount[WeekIndex],36)&gt;0,SUMIFS(T_StockCount[CountedQty],T_StockCount[RM_Code],$A54,T_StockCount[WeekIndex],36),IF((COUNTIFS(T_SelfStock[RM_Code],$A54,T_SelfStock[WeekIndex],36)&gt;0)*(COUNTIFS(T_TTAFStock[RM_Code],$A54,T_TTAFStock[WeekIndex],36)&gt;0)&gt;0,SUMIFS(T_SelfStock[Self_Qty],T_SelfStock[RM_Code],$A54,T_SelfStock[WeekIndex],36)+SUMIFS(T_TTAFStock[TTAF_Qty],T_TTAFStock[RM_Code],$A54,T_TTAFStock[WeekIndex],36),AJ54+'Grid_Incoming'!AK54-'Grid_Requirement'!AK54))</f>
        <v/>
      </c>
      <c r="AL54">
        <f>IF(COUNTIFS(T_StockCount[RM_Code],$A54,T_StockCount[WeekIndex],37)&gt;0,SUMIFS(T_StockCount[CountedQty],T_StockCount[RM_Code],$A54,T_StockCount[WeekIndex],37),IF((COUNTIFS(T_SelfStock[RM_Code],$A54,T_SelfStock[WeekIndex],37)&gt;0)*(COUNTIFS(T_TTAFStock[RM_Code],$A54,T_TTAFStock[WeekIndex],37)&gt;0)&gt;0,SUMIFS(T_SelfStock[Self_Qty],T_SelfStock[RM_Code],$A54,T_SelfStock[WeekIndex],37)+SUMIFS(T_TTAFStock[TTAF_Qty],T_TTAFStock[RM_Code],$A54,T_TTAFStock[WeekIndex],37),AK54+'Grid_Incoming'!AL54-'Grid_Requirement'!AL54))</f>
        <v/>
      </c>
      <c r="AM54">
        <f>IF(COUNTIFS(T_StockCount[RM_Code],$A54,T_StockCount[WeekIndex],38)&gt;0,SUMIFS(T_StockCount[CountedQty],T_StockCount[RM_Code],$A54,T_StockCount[WeekIndex],38),IF((COUNTIFS(T_SelfStock[RM_Code],$A54,T_SelfStock[WeekIndex],38)&gt;0)*(COUNTIFS(T_TTAFStock[RM_Code],$A54,T_TTAFStock[WeekIndex],38)&gt;0)&gt;0,SUMIFS(T_SelfStock[Self_Qty],T_SelfStock[RM_Code],$A54,T_SelfStock[WeekIndex],38)+SUMIFS(T_TTAFStock[TTAF_Qty],T_TTAFStock[RM_Code],$A54,T_TTAFStock[WeekIndex],38),AL54+'Grid_Incoming'!AM54-'Grid_Requirement'!AM54))</f>
        <v/>
      </c>
      <c r="AN54">
        <f>IF(COUNTIFS(T_StockCount[RM_Code],$A54,T_StockCount[WeekIndex],39)&gt;0,SUMIFS(T_StockCount[CountedQty],T_StockCount[RM_Code],$A54,T_StockCount[WeekIndex],39),IF((COUNTIFS(T_SelfStock[RM_Code],$A54,T_SelfStock[WeekIndex],39)&gt;0)*(COUNTIFS(T_TTAFStock[RM_Code],$A54,T_TTAFStock[WeekIndex],39)&gt;0)&gt;0,SUMIFS(T_SelfStock[Self_Qty],T_SelfStock[RM_Code],$A54,T_SelfStock[WeekIndex],39)+SUMIFS(T_TTAFStock[TTAF_Qty],T_TTAFStock[RM_Code],$A54,T_TTAFStock[WeekIndex],39),AM54+'Grid_Incoming'!AN54-'Grid_Requirement'!AN54))</f>
        <v/>
      </c>
      <c r="AO54">
        <f>IF(COUNTIFS(T_StockCount[RM_Code],$A54,T_StockCount[WeekIndex],40)&gt;0,SUMIFS(T_StockCount[CountedQty],T_StockCount[RM_Code],$A54,T_StockCount[WeekIndex],40),IF((COUNTIFS(T_SelfStock[RM_Code],$A54,T_SelfStock[WeekIndex],40)&gt;0)*(COUNTIFS(T_TTAFStock[RM_Code],$A54,T_TTAFStock[WeekIndex],40)&gt;0)&gt;0,SUMIFS(T_SelfStock[Self_Qty],T_SelfStock[RM_Code],$A54,T_SelfStock[WeekIndex],40)+SUMIFS(T_TTAFStock[TTAF_Qty],T_TTAFStock[RM_Code],$A54,T_TTAFStock[WeekIndex],40),AN54+'Grid_Incoming'!AO54-'Grid_Requirement'!AO54))</f>
        <v/>
      </c>
      <c r="AP54">
        <f>IF(COUNTIFS(T_StockCount[RM_Code],$A54,T_StockCount[WeekIndex],41)&gt;0,SUMIFS(T_StockCount[CountedQty],T_StockCount[RM_Code],$A54,T_StockCount[WeekIndex],41),IF((COUNTIFS(T_SelfStock[RM_Code],$A54,T_SelfStock[WeekIndex],41)&gt;0)*(COUNTIFS(T_TTAFStock[RM_Code],$A54,T_TTAFStock[WeekIndex],41)&gt;0)&gt;0,SUMIFS(T_SelfStock[Self_Qty],T_SelfStock[RM_Code],$A54,T_SelfStock[WeekIndex],41)+SUMIFS(T_TTAFStock[TTAF_Qty],T_TTAFStock[RM_Code],$A54,T_TTAFStock[WeekIndex],41),AO54+'Grid_Incoming'!AP54-'Grid_Requirement'!AP54))</f>
        <v/>
      </c>
      <c r="AQ54">
        <f>IF(COUNTIFS(T_StockCount[RM_Code],$A54,T_StockCount[WeekIndex],42)&gt;0,SUMIFS(T_StockCount[CountedQty],T_StockCount[RM_Code],$A54,T_StockCount[WeekIndex],42),IF((COUNTIFS(T_SelfStock[RM_Code],$A54,T_SelfStock[WeekIndex],42)&gt;0)*(COUNTIFS(T_TTAFStock[RM_Code],$A54,T_TTAFStock[WeekIndex],42)&gt;0)&gt;0,SUMIFS(T_SelfStock[Self_Qty],T_SelfStock[RM_Code],$A54,T_SelfStock[WeekIndex],42)+SUMIFS(T_TTAFStock[TTAF_Qty],T_TTAFStock[RM_Code],$A54,T_TTAFStock[WeekIndex],42),AP54+'Grid_Incoming'!AQ54-'Grid_Requirement'!AQ54))</f>
        <v/>
      </c>
      <c r="AR54">
        <f>IF(COUNTIFS(T_StockCount[RM_Code],$A54,T_StockCount[WeekIndex],43)&gt;0,SUMIFS(T_StockCount[CountedQty],T_StockCount[RM_Code],$A54,T_StockCount[WeekIndex],43),IF((COUNTIFS(T_SelfStock[RM_Code],$A54,T_SelfStock[WeekIndex],43)&gt;0)*(COUNTIFS(T_TTAFStock[RM_Code],$A54,T_TTAFStock[WeekIndex],43)&gt;0)&gt;0,SUMIFS(T_SelfStock[Self_Qty],T_SelfStock[RM_Code],$A54,T_SelfStock[WeekIndex],43)+SUMIFS(T_TTAFStock[TTAF_Qty],T_TTAFStock[RM_Code],$A54,T_TTAFStock[WeekIndex],43),AQ54+'Grid_Incoming'!AR54-'Grid_Requirement'!AR54))</f>
        <v/>
      </c>
      <c r="AS54">
        <f>IF(COUNTIFS(T_StockCount[RM_Code],$A54,T_StockCount[WeekIndex],44)&gt;0,SUMIFS(T_StockCount[CountedQty],T_StockCount[RM_Code],$A54,T_StockCount[WeekIndex],44),IF((COUNTIFS(T_SelfStock[RM_Code],$A54,T_SelfStock[WeekIndex],44)&gt;0)*(COUNTIFS(T_TTAFStock[RM_Code],$A54,T_TTAFStock[WeekIndex],44)&gt;0)&gt;0,SUMIFS(T_SelfStock[Self_Qty],T_SelfStock[RM_Code],$A54,T_SelfStock[WeekIndex],44)+SUMIFS(T_TTAFStock[TTAF_Qty],T_TTAFStock[RM_Code],$A54,T_TTAFStock[WeekIndex],44),AR54+'Grid_Incoming'!AS54-'Grid_Requirement'!AS54))</f>
        <v/>
      </c>
      <c r="AT54">
        <f>IF(COUNTIFS(T_StockCount[RM_Code],$A54,T_StockCount[WeekIndex],45)&gt;0,SUMIFS(T_StockCount[CountedQty],T_StockCount[RM_Code],$A54,T_StockCount[WeekIndex],45),IF((COUNTIFS(T_SelfStock[RM_Code],$A54,T_SelfStock[WeekIndex],45)&gt;0)*(COUNTIFS(T_TTAFStock[RM_Code],$A54,T_TTAFStock[WeekIndex],45)&gt;0)&gt;0,SUMIFS(T_SelfStock[Self_Qty],T_SelfStock[RM_Code],$A54,T_SelfStock[WeekIndex],45)+SUMIFS(T_TTAFStock[TTAF_Qty],T_TTAFStock[RM_Code],$A54,T_TTAFStock[WeekIndex],45),AS54+'Grid_Incoming'!AT54-'Grid_Requirement'!AT54))</f>
        <v/>
      </c>
      <c r="AU54">
        <f>IF(COUNTIFS(T_StockCount[RM_Code],$A54,T_StockCount[WeekIndex],46)&gt;0,SUMIFS(T_StockCount[CountedQty],T_StockCount[RM_Code],$A54,T_StockCount[WeekIndex],46),IF((COUNTIFS(T_SelfStock[RM_Code],$A54,T_SelfStock[WeekIndex],46)&gt;0)*(COUNTIFS(T_TTAFStock[RM_Code],$A54,T_TTAFStock[WeekIndex],46)&gt;0)&gt;0,SUMIFS(T_SelfStock[Self_Qty],T_SelfStock[RM_Code],$A54,T_SelfStock[WeekIndex],46)+SUMIFS(T_TTAFStock[TTAF_Qty],T_TTAFStock[RM_Code],$A54,T_TTAFStock[WeekIndex],46),AT54+'Grid_Incoming'!AU54-'Grid_Requirement'!AU54))</f>
        <v/>
      </c>
      <c r="AV54">
        <f>IF(COUNTIFS(T_StockCount[RM_Code],$A54,T_StockCount[WeekIndex],47)&gt;0,SUMIFS(T_StockCount[CountedQty],T_StockCount[RM_Code],$A54,T_StockCount[WeekIndex],47),IF((COUNTIFS(T_SelfStock[RM_Code],$A54,T_SelfStock[WeekIndex],47)&gt;0)*(COUNTIFS(T_TTAFStock[RM_Code],$A54,T_TTAFStock[WeekIndex],47)&gt;0)&gt;0,SUMIFS(T_SelfStock[Self_Qty],T_SelfStock[RM_Code],$A54,T_SelfStock[WeekIndex],47)+SUMIFS(T_TTAFStock[TTAF_Qty],T_TTAFStock[RM_Code],$A54,T_TTAFStock[WeekIndex],47),AU54+'Grid_Incoming'!AV54-'Grid_Requirement'!AV54))</f>
        <v/>
      </c>
      <c r="AW54">
        <f>IF(COUNTIFS(T_StockCount[RM_Code],$A54,T_StockCount[WeekIndex],48)&gt;0,SUMIFS(T_StockCount[CountedQty],T_StockCount[RM_Code],$A54,T_StockCount[WeekIndex],48),IF((COUNTIFS(T_SelfStock[RM_Code],$A54,T_SelfStock[WeekIndex],48)&gt;0)*(COUNTIFS(T_TTAFStock[RM_Code],$A54,T_TTAFStock[WeekIndex],48)&gt;0)&gt;0,SUMIFS(T_SelfStock[Self_Qty],T_SelfStock[RM_Code],$A54,T_SelfStock[WeekIndex],48)+SUMIFS(T_TTAFStock[TTAF_Qty],T_TTAFStock[RM_Code],$A54,T_TTAFStock[WeekIndex],48),AV54+'Grid_Incoming'!AW54-'Grid_Requirement'!AW54))</f>
        <v/>
      </c>
      <c r="AX54">
        <f>IF(COUNTIFS(T_StockCount[RM_Code],$A54,T_StockCount[WeekIndex],49)&gt;0,SUMIFS(T_StockCount[CountedQty],T_StockCount[RM_Code],$A54,T_StockCount[WeekIndex],49),IF((COUNTIFS(T_SelfStock[RM_Code],$A54,T_SelfStock[WeekIndex],49)&gt;0)*(COUNTIFS(T_TTAFStock[RM_Code],$A54,T_TTAFStock[WeekIndex],49)&gt;0)&gt;0,SUMIFS(T_SelfStock[Self_Qty],T_SelfStock[RM_Code],$A54,T_SelfStock[WeekIndex],49)+SUMIFS(T_TTAFStock[TTAF_Qty],T_TTAFStock[RM_Code],$A54,T_TTAFStock[WeekIndex],49),AW54+'Grid_Incoming'!AX54-'Grid_Requirement'!AX54))</f>
        <v/>
      </c>
      <c r="AY54">
        <f>IF(COUNTIFS(T_StockCount[RM_Code],$A54,T_StockCount[WeekIndex],50)&gt;0,SUMIFS(T_StockCount[CountedQty],T_StockCount[RM_Code],$A54,T_StockCount[WeekIndex],50),IF((COUNTIFS(T_SelfStock[RM_Code],$A54,T_SelfStock[WeekIndex],50)&gt;0)*(COUNTIFS(T_TTAFStock[RM_Code],$A54,T_TTAFStock[WeekIndex],50)&gt;0)&gt;0,SUMIFS(T_SelfStock[Self_Qty],T_SelfStock[RM_Code],$A54,T_SelfStock[WeekIndex],50)+SUMIFS(T_TTAFStock[TTAF_Qty],T_TTAFStock[RM_Code],$A54,T_TTAFStock[WeekIndex],50),AX54+'Grid_Incoming'!AY54-'Grid_Requirement'!AY54))</f>
        <v/>
      </c>
      <c r="AZ54">
        <f>IF(COUNTIFS(T_StockCount[RM_Code],$A54,T_StockCount[WeekIndex],51)&gt;0,SUMIFS(T_StockCount[CountedQty],T_StockCount[RM_Code],$A54,T_StockCount[WeekIndex],51),IF((COUNTIFS(T_SelfStock[RM_Code],$A54,T_SelfStock[WeekIndex],51)&gt;0)*(COUNTIFS(T_TTAFStock[RM_Code],$A54,T_TTAFStock[WeekIndex],51)&gt;0)&gt;0,SUMIFS(T_SelfStock[Self_Qty],T_SelfStock[RM_Code],$A54,T_SelfStock[WeekIndex],51)+SUMIFS(T_TTAFStock[TTAF_Qty],T_TTAFStock[RM_Code],$A54,T_TTAFStock[WeekIndex],51),AY54+'Grid_Incoming'!AZ54-'Grid_Requirement'!AZ54))</f>
        <v/>
      </c>
      <c r="BA54">
        <f>IF(COUNTIFS(T_StockCount[RM_Code],$A54,T_StockCount[WeekIndex],52)&gt;0,SUMIFS(T_StockCount[CountedQty],T_StockCount[RM_Code],$A54,T_StockCount[WeekIndex],52),IF((COUNTIFS(T_SelfStock[RM_Code],$A54,T_SelfStock[WeekIndex],52)&gt;0)*(COUNTIFS(T_TTAFStock[RM_Code],$A54,T_TTAFStock[WeekIndex],52)&gt;0)&gt;0,SUMIFS(T_SelfStock[Self_Qty],T_SelfStock[RM_Code],$A54,T_SelfStock[WeekIndex],52)+SUMIFS(T_TTAFStock[TTAF_Qty],T_TTAFStock[RM_Code],$A54,T_TTAFStock[WeekIndex],52),AZ54+'Grid_Incoming'!BA54-'Grid_Requirement'!BA54))</f>
        <v/>
      </c>
      <c r="BB54">
        <f>IF(COUNTIFS(T_StockCount[RM_Code],$A54,T_StockCount[WeekIndex],53)&gt;0,SUMIFS(T_StockCount[CountedQty],T_StockCount[RM_Code],$A54,T_StockCount[WeekIndex],53),IF((COUNTIFS(T_SelfStock[RM_Code],$A54,T_SelfStock[WeekIndex],53)&gt;0)*(COUNTIFS(T_TTAFStock[RM_Code],$A54,T_TTAFStock[WeekIndex],53)&gt;0)&gt;0,SUMIFS(T_SelfStock[Self_Qty],T_SelfStock[RM_Code],$A54,T_SelfStock[WeekIndex],53)+SUMIFS(T_TTAFStock[TTAF_Qty],T_TTAFStock[RM_Code],$A54,T_TTAFStock[WeekIndex],53),BA54+'Grid_Incoming'!BB54-'Grid_Requirement'!BB54))</f>
        <v/>
      </c>
      <c r="BC54">
        <f>IF(COUNTIFS(T_StockCount[RM_Code],$A54,T_StockCount[WeekIndex],54)&gt;0,SUMIFS(T_StockCount[CountedQty],T_StockCount[RM_Code],$A54,T_StockCount[WeekIndex],54),IF((COUNTIFS(T_SelfStock[RM_Code],$A54,T_SelfStock[WeekIndex],54)&gt;0)*(COUNTIFS(T_TTAFStock[RM_Code],$A54,T_TTAFStock[WeekIndex],54)&gt;0)&gt;0,SUMIFS(T_SelfStock[Self_Qty],T_SelfStock[RM_Code],$A54,T_SelfStock[WeekIndex],54)+SUMIFS(T_TTAFStock[TTAF_Qty],T_TTAFStock[RM_Code],$A54,T_TTAFStock[WeekIndex],54),BB54+'Grid_Incoming'!BC54-'Grid_Requirement'!BC54))</f>
        <v/>
      </c>
      <c r="BD54">
        <f>IF(COUNTIFS(T_StockCount[RM_Code],$A54,T_StockCount[WeekIndex],55)&gt;0,SUMIFS(T_StockCount[CountedQty],T_StockCount[RM_Code],$A54,T_StockCount[WeekIndex],55),IF((COUNTIFS(T_SelfStock[RM_Code],$A54,T_SelfStock[WeekIndex],55)&gt;0)*(COUNTIFS(T_TTAFStock[RM_Code],$A54,T_TTAFStock[WeekIndex],55)&gt;0)&gt;0,SUMIFS(T_SelfStock[Self_Qty],T_SelfStock[RM_Code],$A54,T_SelfStock[WeekIndex],55)+SUMIFS(T_TTAFStock[TTAF_Qty],T_TTAFStock[RM_Code],$A54,T_TTAFStock[WeekIndex],55),BC54+'Grid_Incoming'!BD54-'Grid_Requirement'!BD54))</f>
        <v/>
      </c>
      <c r="BE54">
        <f>IF(COUNTIFS(T_StockCount[RM_Code],$A54,T_StockCount[WeekIndex],56)&gt;0,SUMIFS(T_StockCount[CountedQty],T_StockCount[RM_Code],$A54,T_StockCount[WeekIndex],56),IF((COUNTIFS(T_SelfStock[RM_Code],$A54,T_SelfStock[WeekIndex],56)&gt;0)*(COUNTIFS(T_TTAFStock[RM_Code],$A54,T_TTAFStock[WeekIndex],56)&gt;0)&gt;0,SUMIFS(T_SelfStock[Self_Qty],T_SelfStock[RM_Code],$A54,T_SelfStock[WeekIndex],56)+SUMIFS(T_TTAFStock[TTAF_Qty],T_TTAFStock[RM_Code],$A54,T_TTAFStock[WeekIndex],56),BD54+'Grid_Incoming'!BE54-'Grid_Requirement'!BE54))</f>
        <v/>
      </c>
      <c r="BF54">
        <f>IF(COUNTIFS(T_StockCount[RM_Code],$A54,T_StockCount[WeekIndex],57)&gt;0,SUMIFS(T_StockCount[CountedQty],T_StockCount[RM_Code],$A54,T_StockCount[WeekIndex],57),IF((COUNTIFS(T_SelfStock[RM_Code],$A54,T_SelfStock[WeekIndex],57)&gt;0)*(COUNTIFS(T_TTAFStock[RM_Code],$A54,T_TTAFStock[WeekIndex],57)&gt;0)&gt;0,SUMIFS(T_SelfStock[Self_Qty],T_SelfStock[RM_Code],$A54,T_SelfStock[WeekIndex],57)+SUMIFS(T_TTAFStock[TTAF_Qty],T_TTAFStock[RM_Code],$A54,T_TTAFStock[WeekIndex],57),BE54+'Grid_Incoming'!BF54-'Grid_Requirement'!BF54))</f>
        <v/>
      </c>
      <c r="BG54">
        <f>IF(COUNTIFS(T_StockCount[RM_Code],$A54,T_StockCount[WeekIndex],58)&gt;0,SUMIFS(T_StockCount[CountedQty],T_StockCount[RM_Code],$A54,T_StockCount[WeekIndex],58),IF((COUNTIFS(T_SelfStock[RM_Code],$A54,T_SelfStock[WeekIndex],58)&gt;0)*(COUNTIFS(T_TTAFStock[RM_Code],$A54,T_TTAFStock[WeekIndex],58)&gt;0)&gt;0,SUMIFS(T_SelfStock[Self_Qty],T_SelfStock[RM_Code],$A54,T_SelfStock[WeekIndex],58)+SUMIFS(T_TTAFStock[TTAF_Qty],T_TTAFStock[RM_Code],$A54,T_TTAFStock[WeekIndex],58),BF54+'Grid_Incoming'!BG54-'Grid_Requirement'!BG54))</f>
        <v/>
      </c>
      <c r="BH54">
        <f>IF(COUNTIFS(T_StockCount[RM_Code],$A54,T_StockCount[WeekIndex],59)&gt;0,SUMIFS(T_StockCount[CountedQty],T_StockCount[RM_Code],$A54,T_StockCount[WeekIndex],59),IF((COUNTIFS(T_SelfStock[RM_Code],$A54,T_SelfStock[WeekIndex],59)&gt;0)*(COUNTIFS(T_TTAFStock[RM_Code],$A54,T_TTAFStock[WeekIndex],59)&gt;0)&gt;0,SUMIFS(T_SelfStock[Self_Qty],T_SelfStock[RM_Code],$A54,T_SelfStock[WeekIndex],59)+SUMIFS(T_TTAFStock[TTAF_Qty],T_TTAFStock[RM_Code],$A54,T_TTAFStock[WeekIndex],59),BG54+'Grid_Incoming'!BH54-'Grid_Requirement'!BH54))</f>
        <v/>
      </c>
      <c r="BI54">
        <f>IF(COUNTIFS(T_StockCount[RM_Code],$A54,T_StockCount[WeekIndex],60)&gt;0,SUMIFS(T_StockCount[CountedQty],T_StockCount[RM_Code],$A54,T_StockCount[WeekIndex],60),IF((COUNTIFS(T_SelfStock[RM_Code],$A54,T_SelfStock[WeekIndex],60)&gt;0)*(COUNTIFS(T_TTAFStock[RM_Code],$A54,T_TTAFStock[WeekIndex],60)&gt;0)&gt;0,SUMIFS(T_SelfStock[Self_Qty],T_SelfStock[RM_Code],$A54,T_SelfStock[WeekIndex],60)+SUMIFS(T_TTAFStock[TTAF_Qty],T_TTAFStock[RM_Code],$A54,T_TTAFStock[WeekIndex],60),BH54+'Grid_Incoming'!BI54-'Grid_Requirement'!BI54))</f>
        <v/>
      </c>
      <c r="BJ54">
        <f>IF(COUNTIFS(T_StockCount[RM_Code],$A54,T_StockCount[WeekIndex],61)&gt;0,SUMIFS(T_StockCount[CountedQty],T_StockCount[RM_Code],$A54,T_StockCount[WeekIndex],61),IF((COUNTIFS(T_SelfStock[RM_Code],$A54,T_SelfStock[WeekIndex],61)&gt;0)*(COUNTIFS(T_TTAFStock[RM_Code],$A54,T_TTAFStock[WeekIndex],61)&gt;0)&gt;0,SUMIFS(T_SelfStock[Self_Qty],T_SelfStock[RM_Code],$A54,T_SelfStock[WeekIndex],61)+SUMIFS(T_TTAFStock[TTAF_Qty],T_TTAFStock[RM_Code],$A54,T_TTAFStock[WeekIndex],61),BI54+'Grid_Incoming'!BJ54-'Grid_Requirement'!BJ54))</f>
        <v/>
      </c>
      <c r="BK54">
        <f>IF(COUNTIFS(T_StockCount[RM_Code],$A54,T_StockCount[WeekIndex],62)&gt;0,SUMIFS(T_StockCount[CountedQty],T_StockCount[RM_Code],$A54,T_StockCount[WeekIndex],62),IF((COUNTIFS(T_SelfStock[RM_Code],$A54,T_SelfStock[WeekIndex],62)&gt;0)*(COUNTIFS(T_TTAFStock[RM_Code],$A54,T_TTAFStock[WeekIndex],62)&gt;0)&gt;0,SUMIFS(T_SelfStock[Self_Qty],T_SelfStock[RM_Code],$A54,T_SelfStock[WeekIndex],62)+SUMIFS(T_TTAFStock[TTAF_Qty],T_TTAFStock[RM_Code],$A54,T_TTAFStock[WeekIndex],62),BJ54+'Grid_Incoming'!BK54-'Grid_Requirement'!BK54))</f>
        <v/>
      </c>
      <c r="BL54">
        <f>IF(COUNTIFS(T_StockCount[RM_Code],$A54,T_StockCount[WeekIndex],63)&gt;0,SUMIFS(T_StockCount[CountedQty],T_StockCount[RM_Code],$A54,T_StockCount[WeekIndex],63),IF((COUNTIFS(T_SelfStock[RM_Code],$A54,T_SelfStock[WeekIndex],63)&gt;0)*(COUNTIFS(T_TTAFStock[RM_Code],$A54,T_TTAFStock[WeekIndex],63)&gt;0)&gt;0,SUMIFS(T_SelfStock[Self_Qty],T_SelfStock[RM_Code],$A54,T_SelfStock[WeekIndex],63)+SUMIFS(T_TTAFStock[TTAF_Qty],T_TTAFStock[RM_Code],$A54,T_TTAFStock[WeekIndex],63),BK54+'Grid_Incoming'!BL54-'Grid_Requirement'!BL54))</f>
        <v/>
      </c>
      <c r="BM54">
        <f>IF(COUNTIFS(T_StockCount[RM_Code],$A54,T_StockCount[WeekIndex],64)&gt;0,SUMIFS(T_StockCount[CountedQty],T_StockCount[RM_Code],$A54,T_StockCount[WeekIndex],64),IF((COUNTIFS(T_SelfStock[RM_Code],$A54,T_SelfStock[WeekIndex],64)&gt;0)*(COUNTIFS(T_TTAFStock[RM_Code],$A54,T_TTAFStock[WeekIndex],64)&gt;0)&gt;0,SUMIFS(T_SelfStock[Self_Qty],T_SelfStock[RM_Code],$A54,T_SelfStock[WeekIndex],64)+SUMIFS(T_TTAFStock[TTAF_Qty],T_TTAFStock[RM_Code],$A54,T_TTAFStock[WeekIndex],64),BL54+'Grid_Incoming'!BM54-'Grid_Requirement'!BM54))</f>
        <v/>
      </c>
      <c r="BN54">
        <f>IF(COUNTIFS(T_StockCount[RM_Code],$A54,T_StockCount[WeekIndex],65)&gt;0,SUMIFS(T_StockCount[CountedQty],T_StockCount[RM_Code],$A54,T_StockCount[WeekIndex],65),IF((COUNTIFS(T_SelfStock[RM_Code],$A54,T_SelfStock[WeekIndex],65)&gt;0)*(COUNTIFS(T_TTAFStock[RM_Code],$A54,T_TTAFStock[WeekIndex],65)&gt;0)&gt;0,SUMIFS(T_SelfStock[Self_Qty],T_SelfStock[RM_Code],$A54,T_SelfStock[WeekIndex],65)+SUMIFS(T_TTAFStock[TTAF_Qty],T_TTAFStock[RM_Code],$A54,T_TTAFStock[WeekIndex],65),BM54+'Grid_Incoming'!BN54-'Grid_Requirement'!BN54))</f>
        <v/>
      </c>
      <c r="BO54">
        <f>IF(COUNTIFS(T_StockCount[RM_Code],$A54,T_StockCount[WeekIndex],66)&gt;0,SUMIFS(T_StockCount[CountedQty],T_StockCount[RM_Code],$A54,T_StockCount[WeekIndex],66),IF((COUNTIFS(T_SelfStock[RM_Code],$A54,T_SelfStock[WeekIndex],66)&gt;0)*(COUNTIFS(T_TTAFStock[RM_Code],$A54,T_TTAFStock[WeekIndex],66)&gt;0)&gt;0,SUMIFS(T_SelfStock[Self_Qty],T_SelfStock[RM_Code],$A54,T_SelfStock[WeekIndex],66)+SUMIFS(T_TTAFStock[TTAF_Qty],T_TTAFStock[RM_Code],$A54,T_TTAFStock[WeekIndex],66),BN54+'Grid_Incoming'!BO54-'Grid_Requirement'!BO54))</f>
        <v/>
      </c>
      <c r="BP54">
        <f>IF(COUNTIFS(T_StockCount[RM_Code],$A54,T_StockCount[WeekIndex],67)&gt;0,SUMIFS(T_StockCount[CountedQty],T_StockCount[RM_Code],$A54,T_StockCount[WeekIndex],67),IF((COUNTIFS(T_SelfStock[RM_Code],$A54,T_SelfStock[WeekIndex],67)&gt;0)*(COUNTIFS(T_TTAFStock[RM_Code],$A54,T_TTAFStock[WeekIndex],67)&gt;0)&gt;0,SUMIFS(T_SelfStock[Self_Qty],T_SelfStock[RM_Code],$A54,T_SelfStock[WeekIndex],67)+SUMIFS(T_TTAFStock[TTAF_Qty],T_TTAFStock[RM_Code],$A54,T_TTAFStock[WeekIndex],67),BO54+'Grid_Incoming'!BP54-'Grid_Requirement'!BP54))</f>
        <v/>
      </c>
      <c r="BQ54">
        <f>IF(COUNTIFS(T_StockCount[RM_Code],$A54,T_StockCount[WeekIndex],68)&gt;0,SUMIFS(T_StockCount[CountedQty],T_StockCount[RM_Code],$A54,T_StockCount[WeekIndex],68),IF((COUNTIFS(T_SelfStock[RM_Code],$A54,T_SelfStock[WeekIndex],68)&gt;0)*(COUNTIFS(T_TTAFStock[RM_Code],$A54,T_TTAFStock[WeekIndex],68)&gt;0)&gt;0,SUMIFS(T_SelfStock[Self_Qty],T_SelfStock[RM_Code],$A54,T_SelfStock[WeekIndex],68)+SUMIFS(T_TTAFStock[TTAF_Qty],T_TTAFStock[RM_Code],$A54,T_TTAFStock[WeekIndex],68),BP54+'Grid_Incoming'!BQ54-'Grid_Requirement'!BQ54))</f>
        <v/>
      </c>
      <c r="BR54">
        <f>IF(COUNTIFS(T_StockCount[RM_Code],$A54,T_StockCount[WeekIndex],69)&gt;0,SUMIFS(T_StockCount[CountedQty],T_StockCount[RM_Code],$A54,T_StockCount[WeekIndex],69),IF((COUNTIFS(T_SelfStock[RM_Code],$A54,T_SelfStock[WeekIndex],69)&gt;0)*(COUNTIFS(T_TTAFStock[RM_Code],$A54,T_TTAFStock[WeekIndex],69)&gt;0)&gt;0,SUMIFS(T_SelfStock[Self_Qty],T_SelfStock[RM_Code],$A54,T_SelfStock[WeekIndex],69)+SUMIFS(T_TTAFStock[TTAF_Qty],T_TTAFStock[RM_Code],$A54,T_TTAFStock[WeekIndex],69),BQ54+'Grid_Incoming'!BR54-'Grid_Requirement'!BR54))</f>
        <v/>
      </c>
      <c r="BS54">
        <f>IF(COUNTIFS(T_StockCount[RM_Code],$A54,T_StockCount[WeekIndex],70)&gt;0,SUMIFS(T_StockCount[CountedQty],T_StockCount[RM_Code],$A54,T_StockCount[WeekIndex],70),IF((COUNTIFS(T_SelfStock[RM_Code],$A54,T_SelfStock[WeekIndex],70)&gt;0)*(COUNTIFS(T_TTAFStock[RM_Code],$A54,T_TTAFStock[WeekIndex],70)&gt;0)&gt;0,SUMIFS(T_SelfStock[Self_Qty],T_SelfStock[RM_Code],$A54,T_SelfStock[WeekIndex],70)+SUMIFS(T_TTAFStock[TTAF_Qty],T_TTAFStock[RM_Code],$A54,T_TTAFStock[WeekIndex],70),BR54+'Grid_Incoming'!BS54-'Grid_Requirement'!BS54))</f>
        <v/>
      </c>
      <c r="BT54">
        <f>IF(COUNTIFS(T_StockCount[RM_Code],$A54,T_StockCount[WeekIndex],71)&gt;0,SUMIFS(T_StockCount[CountedQty],T_StockCount[RM_Code],$A54,T_StockCount[WeekIndex],71),IF((COUNTIFS(T_SelfStock[RM_Code],$A54,T_SelfStock[WeekIndex],71)&gt;0)*(COUNTIFS(T_TTAFStock[RM_Code],$A54,T_TTAFStock[WeekIndex],71)&gt;0)&gt;0,SUMIFS(T_SelfStock[Self_Qty],T_SelfStock[RM_Code],$A54,T_SelfStock[WeekIndex],71)+SUMIFS(T_TTAFStock[TTAF_Qty],T_TTAFStock[RM_Code],$A54,T_TTAFStock[WeekIndex],71),BS54+'Grid_Incoming'!BT54-'Grid_Requirement'!BT54))</f>
        <v/>
      </c>
      <c r="BU54">
        <f>IF(COUNTIFS(T_StockCount[RM_Code],$A54,T_StockCount[WeekIndex],72)&gt;0,SUMIFS(T_StockCount[CountedQty],T_StockCount[RM_Code],$A54,T_StockCount[WeekIndex],72),IF((COUNTIFS(T_SelfStock[RM_Code],$A54,T_SelfStock[WeekIndex],72)&gt;0)*(COUNTIFS(T_TTAFStock[RM_Code],$A54,T_TTAFStock[WeekIndex],72)&gt;0)&gt;0,SUMIFS(T_SelfStock[Self_Qty],T_SelfStock[RM_Code],$A54,T_SelfStock[WeekIndex],72)+SUMIFS(T_TTAFStock[TTAF_Qty],T_TTAFStock[RM_Code],$A54,T_TTAFStock[WeekIndex],72),BT54+'Grid_Incoming'!BU54-'Grid_Requirement'!BU54))</f>
        <v/>
      </c>
      <c r="BV54">
        <f>IF(COUNTIFS(T_StockCount[RM_Code],$A54,T_StockCount[WeekIndex],73)&gt;0,SUMIFS(T_StockCount[CountedQty],T_StockCount[RM_Code],$A54,T_StockCount[WeekIndex],73),IF((COUNTIFS(T_SelfStock[RM_Code],$A54,T_SelfStock[WeekIndex],73)&gt;0)*(COUNTIFS(T_TTAFStock[RM_Code],$A54,T_TTAFStock[WeekIndex],73)&gt;0)&gt;0,SUMIFS(T_SelfStock[Self_Qty],T_SelfStock[RM_Code],$A54,T_SelfStock[WeekIndex],73)+SUMIFS(T_TTAFStock[TTAF_Qty],T_TTAFStock[RM_Code],$A54,T_TTAFStock[WeekIndex],73),BU54+'Grid_Incoming'!BV54-'Grid_Requirement'!BV54))</f>
        <v/>
      </c>
      <c r="BW54">
        <f>IF(COUNTIFS(T_StockCount[RM_Code],$A54,T_StockCount[WeekIndex],74)&gt;0,SUMIFS(T_StockCount[CountedQty],T_StockCount[RM_Code],$A54,T_StockCount[WeekIndex],74),IF((COUNTIFS(T_SelfStock[RM_Code],$A54,T_SelfStock[WeekIndex],74)&gt;0)*(COUNTIFS(T_TTAFStock[RM_Code],$A54,T_TTAFStock[WeekIndex],74)&gt;0)&gt;0,SUMIFS(T_SelfStock[Self_Qty],T_SelfStock[RM_Code],$A54,T_SelfStock[WeekIndex],74)+SUMIFS(T_TTAFStock[TTAF_Qty],T_TTAFStock[RM_Code],$A54,T_TTAFStock[WeekIndex],74),BV54+'Grid_Incoming'!BW54-'Grid_Requirement'!BW54))</f>
        <v/>
      </c>
      <c r="BX54">
        <f>IF(COUNTIFS(T_StockCount[RM_Code],$A54,T_StockCount[WeekIndex],75)&gt;0,SUMIFS(T_StockCount[CountedQty],T_StockCount[RM_Code],$A54,T_StockCount[WeekIndex],75),IF((COUNTIFS(T_SelfStock[RM_Code],$A54,T_SelfStock[WeekIndex],75)&gt;0)*(COUNTIFS(T_TTAFStock[RM_Code],$A54,T_TTAFStock[WeekIndex],75)&gt;0)&gt;0,SUMIFS(T_SelfStock[Self_Qty],T_SelfStock[RM_Code],$A54,T_SelfStock[WeekIndex],75)+SUMIFS(T_TTAFStock[TTAF_Qty],T_TTAFStock[RM_Code],$A54,T_TTAFStock[WeekIndex],75),BW54+'Grid_Incoming'!BX54-'Grid_Requirement'!BX54))</f>
        <v/>
      </c>
      <c r="BY54">
        <f>IF(COUNTIFS(T_StockCount[RM_Code],$A54,T_StockCount[WeekIndex],76)&gt;0,SUMIFS(T_StockCount[CountedQty],T_StockCount[RM_Code],$A54,T_StockCount[WeekIndex],76),IF((COUNTIFS(T_SelfStock[RM_Code],$A54,T_SelfStock[WeekIndex],76)&gt;0)*(COUNTIFS(T_TTAFStock[RM_Code],$A54,T_TTAFStock[WeekIndex],76)&gt;0)&gt;0,SUMIFS(T_SelfStock[Self_Qty],T_SelfStock[RM_Code],$A54,T_SelfStock[WeekIndex],76)+SUMIFS(T_TTAFStock[TTAF_Qty],T_TTAFStock[RM_Code],$A54,T_TTAFStock[WeekIndex],76),BX54+'Grid_Incoming'!BY54-'Grid_Requirement'!BY54))</f>
        <v/>
      </c>
      <c r="BZ54">
        <f>IF(COUNTIFS(T_StockCount[RM_Code],$A54,T_StockCount[WeekIndex],77)&gt;0,SUMIFS(T_StockCount[CountedQty],T_StockCount[RM_Code],$A54,T_StockCount[WeekIndex],77),IF((COUNTIFS(T_SelfStock[RM_Code],$A54,T_SelfStock[WeekIndex],77)&gt;0)*(COUNTIFS(T_TTAFStock[RM_Code],$A54,T_TTAFStock[WeekIndex],77)&gt;0)&gt;0,SUMIFS(T_SelfStock[Self_Qty],T_SelfStock[RM_Code],$A54,T_SelfStock[WeekIndex],77)+SUMIFS(T_TTAFStock[TTAF_Qty],T_TTAFStock[RM_Code],$A54,T_TTAFStock[WeekIndex],77),BY54+'Grid_Incoming'!BZ54-'Grid_Requirement'!BZ54))</f>
        <v/>
      </c>
      <c r="CA54">
        <f>IF(COUNTIFS(T_StockCount[RM_Code],$A54,T_StockCount[WeekIndex],78)&gt;0,SUMIFS(T_StockCount[CountedQty],T_StockCount[RM_Code],$A54,T_StockCount[WeekIndex],78),IF((COUNTIFS(T_SelfStock[RM_Code],$A54,T_SelfStock[WeekIndex],78)&gt;0)*(COUNTIFS(T_TTAFStock[RM_Code],$A54,T_TTAFStock[WeekIndex],78)&gt;0)&gt;0,SUMIFS(T_SelfStock[Self_Qty],T_SelfStock[RM_Code],$A54,T_SelfStock[WeekIndex],78)+SUMIFS(T_TTAFStock[TTAF_Qty],T_TTAFStock[RM_Code],$A54,T_TTAFStock[WeekIndex],78),BZ54+'Grid_Incoming'!CA54-'Grid_Requirement'!CA54))</f>
        <v/>
      </c>
      <c r="CB54">
        <f>IF(COUNTIFS(T_StockCount[RM_Code],$A54,T_StockCount[WeekIndex],79)&gt;0,SUMIFS(T_StockCount[CountedQty],T_StockCount[RM_Code],$A54,T_StockCount[WeekIndex],79),IF((COUNTIFS(T_SelfStock[RM_Code],$A54,T_SelfStock[WeekIndex],79)&gt;0)*(COUNTIFS(T_TTAFStock[RM_Code],$A54,T_TTAFStock[WeekIndex],79)&gt;0)&gt;0,SUMIFS(T_SelfStock[Self_Qty],T_SelfStock[RM_Code],$A54,T_SelfStock[WeekIndex],79)+SUMIFS(T_TTAFStock[TTAF_Qty],T_TTAFStock[RM_Code],$A54,T_TTAFStock[WeekIndex],79),CA54+'Grid_Incoming'!CB54-'Grid_Requirement'!CB54))</f>
        <v/>
      </c>
      <c r="CC54">
        <f>IF(COUNTIFS(T_StockCount[RM_Code],$A54,T_StockCount[WeekIndex],80)&gt;0,SUMIFS(T_StockCount[CountedQty],T_StockCount[RM_Code],$A54,T_StockCount[WeekIndex],80),IF((COUNTIFS(T_SelfStock[RM_Code],$A54,T_SelfStock[WeekIndex],80)&gt;0)*(COUNTIFS(T_TTAFStock[RM_Code],$A54,T_TTAFStock[WeekIndex],80)&gt;0)&gt;0,SUMIFS(T_SelfStock[Self_Qty],T_SelfStock[RM_Code],$A54,T_SelfStock[WeekIndex],80)+SUMIFS(T_TTAFStock[TTAF_Qty],T_TTAFStock[RM_Code],$A54,T_TTAFStock[WeekIndex],80),CB54+'Grid_Incoming'!CC54-'Grid_Requirement'!CC54))</f>
        <v/>
      </c>
      <c r="CD54">
        <f>IF(COUNTIFS(T_StockCount[RM_Code],$A54,T_StockCount[WeekIndex],81)&gt;0,SUMIFS(T_StockCount[CountedQty],T_StockCount[RM_Code],$A54,T_StockCount[WeekIndex],81),IF((COUNTIFS(T_SelfStock[RM_Code],$A54,T_SelfStock[WeekIndex],81)&gt;0)*(COUNTIFS(T_TTAFStock[RM_Code],$A54,T_TTAFStock[WeekIndex],81)&gt;0)&gt;0,SUMIFS(T_SelfStock[Self_Qty],T_SelfStock[RM_Code],$A54,T_SelfStock[WeekIndex],81)+SUMIFS(T_TTAFStock[TTAF_Qty],T_TTAFStock[RM_Code],$A54,T_TTAFStock[WeekIndex],81),CC54+'Grid_Incoming'!CD54-'Grid_Requirement'!CD54))</f>
        <v/>
      </c>
      <c r="CE54">
        <f>IF(COUNTIFS(T_StockCount[RM_Code],$A54,T_StockCount[WeekIndex],82)&gt;0,SUMIFS(T_StockCount[CountedQty],T_StockCount[RM_Code],$A54,T_StockCount[WeekIndex],82),IF((COUNTIFS(T_SelfStock[RM_Code],$A54,T_SelfStock[WeekIndex],82)&gt;0)*(COUNTIFS(T_TTAFStock[RM_Code],$A54,T_TTAFStock[WeekIndex],82)&gt;0)&gt;0,SUMIFS(T_SelfStock[Self_Qty],T_SelfStock[RM_Code],$A54,T_SelfStock[WeekIndex],82)+SUMIFS(T_TTAFStock[TTAF_Qty],T_TTAFStock[RM_Code],$A54,T_TTAFStock[WeekIndex],82),CD54+'Grid_Incoming'!CE54-'Grid_Requirement'!CE54))</f>
        <v/>
      </c>
      <c r="CF54">
        <f>IF(COUNTIFS(T_StockCount[RM_Code],$A54,T_StockCount[WeekIndex],83)&gt;0,SUMIFS(T_StockCount[CountedQty],T_StockCount[RM_Code],$A54,T_StockCount[WeekIndex],83),IF((COUNTIFS(T_SelfStock[RM_Code],$A54,T_SelfStock[WeekIndex],83)&gt;0)*(COUNTIFS(T_TTAFStock[RM_Code],$A54,T_TTAFStock[WeekIndex],83)&gt;0)&gt;0,SUMIFS(T_SelfStock[Self_Qty],T_SelfStock[RM_Code],$A54,T_SelfStock[WeekIndex],83)+SUMIFS(T_TTAFStock[TTAF_Qty],T_TTAFStock[RM_Code],$A54,T_TTAFStock[WeekIndex],83),CE54+'Grid_Incoming'!CF54-'Grid_Requirement'!CF54))</f>
        <v/>
      </c>
      <c r="CG54">
        <f>IF(COUNTIFS(T_StockCount[RM_Code],$A54,T_StockCount[WeekIndex],84)&gt;0,SUMIFS(T_StockCount[CountedQty],T_StockCount[RM_Code],$A54,T_StockCount[WeekIndex],84),IF((COUNTIFS(T_SelfStock[RM_Code],$A54,T_SelfStock[WeekIndex],84)&gt;0)*(COUNTIFS(T_TTAFStock[RM_Code],$A54,T_TTAFStock[WeekIndex],84)&gt;0)&gt;0,SUMIFS(T_SelfStock[Self_Qty],T_SelfStock[RM_Code],$A54,T_SelfStock[WeekIndex],84)+SUMIFS(T_TTAFStock[TTAF_Qty],T_TTAFStock[RM_Code],$A54,T_TTAFStock[WeekIndex],84),CF54+'Grid_Incoming'!CG54-'Grid_Requirement'!CG54))</f>
        <v/>
      </c>
      <c r="CH54">
        <f>IF(COUNTIFS(T_StockCount[RM_Code],$A54,T_StockCount[WeekIndex],85)&gt;0,SUMIFS(T_StockCount[CountedQty],T_StockCount[RM_Code],$A54,T_StockCount[WeekIndex],85),IF((COUNTIFS(T_SelfStock[RM_Code],$A54,T_SelfStock[WeekIndex],85)&gt;0)*(COUNTIFS(T_TTAFStock[RM_Code],$A54,T_TTAFStock[WeekIndex],85)&gt;0)&gt;0,SUMIFS(T_SelfStock[Self_Qty],T_SelfStock[RM_Code],$A54,T_SelfStock[WeekIndex],85)+SUMIFS(T_TTAFStock[TTAF_Qty],T_TTAFStock[RM_Code],$A54,T_TTAFStock[WeekIndex],85),CG54+'Grid_Incoming'!CH54-'Grid_Requirement'!CH54))</f>
        <v/>
      </c>
      <c r="CI54">
        <f>IF(COUNTIFS(T_StockCount[RM_Code],$A54,T_StockCount[WeekIndex],86)&gt;0,SUMIFS(T_StockCount[CountedQty],T_StockCount[RM_Code],$A54,T_StockCount[WeekIndex],86),IF((COUNTIFS(T_SelfStock[RM_Code],$A54,T_SelfStock[WeekIndex],86)&gt;0)*(COUNTIFS(T_TTAFStock[RM_Code],$A54,T_TTAFStock[WeekIndex],86)&gt;0)&gt;0,SUMIFS(T_SelfStock[Self_Qty],T_SelfStock[RM_Code],$A54,T_SelfStock[WeekIndex],86)+SUMIFS(T_TTAFStock[TTAF_Qty],T_TTAFStock[RM_Code],$A54,T_TTAFStock[WeekIndex],86),CH54+'Grid_Incoming'!CI54-'Grid_Requirement'!CI54))</f>
        <v/>
      </c>
      <c r="CJ54">
        <f>IF(COUNTIFS(T_StockCount[RM_Code],$A54,T_StockCount[WeekIndex],87)&gt;0,SUMIFS(T_StockCount[CountedQty],T_StockCount[RM_Code],$A54,T_StockCount[WeekIndex],87),IF((COUNTIFS(T_SelfStock[RM_Code],$A54,T_SelfStock[WeekIndex],87)&gt;0)*(COUNTIFS(T_TTAFStock[RM_Code],$A54,T_TTAFStock[WeekIndex],87)&gt;0)&gt;0,SUMIFS(T_SelfStock[Self_Qty],T_SelfStock[RM_Code],$A54,T_SelfStock[WeekIndex],87)+SUMIFS(T_TTAFStock[TTAF_Qty],T_TTAFStock[RM_Code],$A54,T_TTAFStock[WeekIndex],87),CI54+'Grid_Incoming'!CJ54-'Grid_Requirement'!CJ54))</f>
        <v/>
      </c>
      <c r="CK54">
        <f>IF(COUNTIFS(T_StockCount[RM_Code],$A54,T_StockCount[WeekIndex],88)&gt;0,SUMIFS(T_StockCount[CountedQty],T_StockCount[RM_Code],$A54,T_StockCount[WeekIndex],88),IF((COUNTIFS(T_SelfStock[RM_Code],$A54,T_SelfStock[WeekIndex],88)&gt;0)*(COUNTIFS(T_TTAFStock[RM_Code],$A54,T_TTAFStock[WeekIndex],88)&gt;0)&gt;0,SUMIFS(T_SelfStock[Self_Qty],T_SelfStock[RM_Code],$A54,T_SelfStock[WeekIndex],88)+SUMIFS(T_TTAFStock[TTAF_Qty],T_TTAFStock[RM_Code],$A54,T_TTAFStock[WeekIndex],88),CJ54+'Grid_Incoming'!CK54-'Grid_Requirement'!CK54))</f>
        <v/>
      </c>
      <c r="CL54">
        <f>IF(COUNTIFS(T_StockCount[RM_Code],$A54,T_StockCount[WeekIndex],89)&gt;0,SUMIFS(T_StockCount[CountedQty],T_StockCount[RM_Code],$A54,T_StockCount[WeekIndex],89),IF((COUNTIFS(T_SelfStock[RM_Code],$A54,T_SelfStock[WeekIndex],89)&gt;0)*(COUNTIFS(T_TTAFStock[RM_Code],$A54,T_TTAFStock[WeekIndex],89)&gt;0)&gt;0,SUMIFS(T_SelfStock[Self_Qty],T_SelfStock[RM_Code],$A54,T_SelfStock[WeekIndex],89)+SUMIFS(T_TTAFStock[TTAF_Qty],T_TTAFStock[RM_Code],$A54,T_TTAFStock[WeekIndex],89),CK54+'Grid_Incoming'!CL54-'Grid_Requirement'!CL54))</f>
        <v/>
      </c>
      <c r="CM54">
        <f>IF(COUNTIFS(T_StockCount[RM_Code],$A54,T_StockCount[WeekIndex],90)&gt;0,SUMIFS(T_StockCount[CountedQty],T_StockCount[RM_Code],$A54,T_StockCount[WeekIndex],90),IF((COUNTIFS(T_SelfStock[RM_Code],$A54,T_SelfStock[WeekIndex],90)&gt;0)*(COUNTIFS(T_TTAFStock[RM_Code],$A54,T_TTAFStock[WeekIndex],90)&gt;0)&gt;0,SUMIFS(T_SelfStock[Self_Qty],T_SelfStock[RM_Code],$A54,T_SelfStock[WeekIndex],90)+SUMIFS(T_TTAFStock[TTAF_Qty],T_TTAFStock[RM_Code],$A54,T_TTAFStock[WeekIndex],90),CL54+'Grid_Incoming'!CM54-'Grid_Requirement'!CM54))</f>
        <v/>
      </c>
      <c r="CN54">
        <f>IF(COUNTIFS(T_StockCount[RM_Code],$A54,T_StockCount[WeekIndex],91)&gt;0,SUMIFS(T_StockCount[CountedQty],T_StockCount[RM_Code],$A54,T_StockCount[WeekIndex],91),IF((COUNTIFS(T_SelfStock[RM_Code],$A54,T_SelfStock[WeekIndex],91)&gt;0)*(COUNTIFS(T_TTAFStock[RM_Code],$A54,T_TTAFStock[WeekIndex],91)&gt;0)&gt;0,SUMIFS(T_SelfStock[Self_Qty],T_SelfStock[RM_Code],$A54,T_SelfStock[WeekIndex],91)+SUMIFS(T_TTAFStock[TTAF_Qty],T_TTAFStock[RM_Code],$A54,T_TTAFStock[WeekIndex],91),CM54+'Grid_Incoming'!CN54-'Grid_Requirement'!CN54))</f>
        <v/>
      </c>
      <c r="CO54">
        <f>IF(COUNTIFS(T_StockCount[RM_Code],$A54,T_StockCount[WeekIndex],92)&gt;0,SUMIFS(T_StockCount[CountedQty],T_StockCount[RM_Code],$A54,T_StockCount[WeekIndex],92),IF((COUNTIFS(T_SelfStock[RM_Code],$A54,T_SelfStock[WeekIndex],92)&gt;0)*(COUNTIFS(T_TTAFStock[RM_Code],$A54,T_TTAFStock[WeekIndex],92)&gt;0)&gt;0,SUMIFS(T_SelfStock[Self_Qty],T_SelfStock[RM_Code],$A54,T_SelfStock[WeekIndex],92)+SUMIFS(T_TTAFStock[TTAF_Qty],T_TTAFStock[RM_Code],$A54,T_TTAFStock[WeekIndex],92),CN54+'Grid_Incoming'!CO54-'Grid_Requirement'!CO54))</f>
        <v/>
      </c>
      <c r="CP54">
        <f>IF(COUNTIFS(T_StockCount[RM_Code],$A54,T_StockCount[WeekIndex],93)&gt;0,SUMIFS(T_StockCount[CountedQty],T_StockCount[RM_Code],$A54,T_StockCount[WeekIndex],93),IF((COUNTIFS(T_SelfStock[RM_Code],$A54,T_SelfStock[WeekIndex],93)&gt;0)*(COUNTIFS(T_TTAFStock[RM_Code],$A54,T_TTAFStock[WeekIndex],93)&gt;0)&gt;0,SUMIFS(T_SelfStock[Self_Qty],T_SelfStock[RM_Code],$A54,T_SelfStock[WeekIndex],93)+SUMIFS(T_TTAFStock[TTAF_Qty],T_TTAFStock[RM_Code],$A54,T_TTAFStock[WeekIndex],93),CO54+'Grid_Incoming'!CP54-'Grid_Requirement'!CP54))</f>
        <v/>
      </c>
      <c r="CQ54">
        <f>IF(COUNTIFS(T_StockCount[RM_Code],$A54,T_StockCount[WeekIndex],94)&gt;0,SUMIFS(T_StockCount[CountedQty],T_StockCount[RM_Code],$A54,T_StockCount[WeekIndex],94),IF((COUNTIFS(T_SelfStock[RM_Code],$A54,T_SelfStock[WeekIndex],94)&gt;0)*(COUNTIFS(T_TTAFStock[RM_Code],$A54,T_TTAFStock[WeekIndex],94)&gt;0)&gt;0,SUMIFS(T_SelfStock[Self_Qty],T_SelfStock[RM_Code],$A54,T_SelfStock[WeekIndex],94)+SUMIFS(T_TTAFStock[TTAF_Qty],T_TTAFStock[RM_Code],$A54,T_TTAFStock[WeekIndex],94),CP54+'Grid_Incoming'!CQ54-'Grid_Requirement'!CQ54))</f>
        <v/>
      </c>
      <c r="CR54">
        <f>IF(COUNTIFS(T_StockCount[RM_Code],$A54,T_StockCount[WeekIndex],95)&gt;0,SUMIFS(T_StockCount[CountedQty],T_StockCount[RM_Code],$A54,T_StockCount[WeekIndex],95),IF((COUNTIFS(T_SelfStock[RM_Code],$A54,T_SelfStock[WeekIndex],95)&gt;0)*(COUNTIFS(T_TTAFStock[RM_Code],$A54,T_TTAFStock[WeekIndex],95)&gt;0)&gt;0,SUMIFS(T_SelfStock[Self_Qty],T_SelfStock[RM_Code],$A54,T_SelfStock[WeekIndex],95)+SUMIFS(T_TTAFStock[TTAF_Qty],T_TTAFStock[RM_Code],$A54,T_TTAFStock[WeekIndex],95),CQ54+'Grid_Incoming'!CR54-'Grid_Requirement'!CR54))</f>
        <v/>
      </c>
      <c r="CS54">
        <f>IF(COUNTIFS(T_StockCount[RM_Code],$A54,T_StockCount[WeekIndex],96)&gt;0,SUMIFS(T_StockCount[CountedQty],T_StockCount[RM_Code],$A54,T_StockCount[WeekIndex],96),IF((COUNTIFS(T_SelfStock[RM_Code],$A54,T_SelfStock[WeekIndex],96)&gt;0)*(COUNTIFS(T_TTAFStock[RM_Code],$A54,T_TTAFStock[WeekIndex],96)&gt;0)&gt;0,SUMIFS(T_SelfStock[Self_Qty],T_SelfStock[RM_Code],$A54,T_SelfStock[WeekIndex],96)+SUMIFS(T_TTAFStock[TTAF_Qty],T_TTAFStock[RM_Code],$A54,T_TTAFStock[WeekIndex],96),CR54+'Grid_Incoming'!CS54-'Grid_Requirement'!CS54))</f>
        <v/>
      </c>
      <c r="CT54">
        <f>IF(COUNTIFS(T_StockCount[RM_Code],$A54,T_StockCount[WeekIndex],97)&gt;0,SUMIFS(T_StockCount[CountedQty],T_StockCount[RM_Code],$A54,T_StockCount[WeekIndex],97),IF((COUNTIFS(T_SelfStock[RM_Code],$A54,T_SelfStock[WeekIndex],97)&gt;0)*(COUNTIFS(T_TTAFStock[RM_Code],$A54,T_TTAFStock[WeekIndex],97)&gt;0)&gt;0,SUMIFS(T_SelfStock[Self_Qty],T_SelfStock[RM_Code],$A54,T_SelfStock[WeekIndex],97)+SUMIFS(T_TTAFStock[TTAF_Qty],T_TTAFStock[RM_Code],$A54,T_TTAFStock[WeekIndex],97),CS54+'Grid_Incoming'!CT54-'Grid_Requirement'!CT54))</f>
        <v/>
      </c>
      <c r="CU54">
        <f>IF(COUNTIFS(T_StockCount[RM_Code],$A54,T_StockCount[WeekIndex],98)&gt;0,SUMIFS(T_StockCount[CountedQty],T_StockCount[RM_Code],$A54,T_StockCount[WeekIndex],98),IF((COUNTIFS(T_SelfStock[RM_Code],$A54,T_SelfStock[WeekIndex],98)&gt;0)*(COUNTIFS(T_TTAFStock[RM_Code],$A54,T_TTAFStock[WeekIndex],98)&gt;0)&gt;0,SUMIFS(T_SelfStock[Self_Qty],T_SelfStock[RM_Code],$A54,T_SelfStock[WeekIndex],98)+SUMIFS(T_TTAFStock[TTAF_Qty],T_TTAFStock[RM_Code],$A54,T_TTAFStock[WeekIndex],98),CT54+'Grid_Incoming'!CU54-'Grid_Requirement'!CU54))</f>
        <v/>
      </c>
      <c r="CV54">
        <f>IF(COUNTIFS(T_StockCount[RM_Code],$A54,T_StockCount[WeekIndex],99)&gt;0,SUMIFS(T_StockCount[CountedQty],T_StockCount[RM_Code],$A54,T_StockCount[WeekIndex],99),IF((COUNTIFS(T_SelfStock[RM_Code],$A54,T_SelfStock[WeekIndex],99)&gt;0)*(COUNTIFS(T_TTAFStock[RM_Code],$A54,T_TTAFStock[WeekIndex],99)&gt;0)&gt;0,SUMIFS(T_SelfStock[Self_Qty],T_SelfStock[RM_Code],$A54,T_SelfStock[WeekIndex],99)+SUMIFS(T_TTAFStock[TTAF_Qty],T_TTAFStock[RM_Code],$A54,T_TTAFStock[WeekIndex],99),CU54+'Grid_Incoming'!CV54-'Grid_Requirement'!CV54))</f>
        <v/>
      </c>
      <c r="CW54">
        <f>IF(COUNTIFS(T_StockCount[RM_Code],$A54,T_StockCount[WeekIndex],100)&gt;0,SUMIFS(T_StockCount[CountedQty],T_StockCount[RM_Code],$A54,T_StockCount[WeekIndex],100),IF((COUNTIFS(T_SelfStock[RM_Code],$A54,T_SelfStock[WeekIndex],100)&gt;0)*(COUNTIFS(T_TTAFStock[RM_Code],$A54,T_TTAFStock[WeekIndex],100)&gt;0)&gt;0,SUMIFS(T_SelfStock[Self_Qty],T_SelfStock[RM_Code],$A54,T_SelfStock[WeekIndex],100)+SUMIFS(T_TTAFStock[TTAF_Qty],T_TTAFStock[RM_Code],$A54,T_TTAFStock[WeekIndex],100),CV54+'Grid_Incoming'!CW54-'Grid_Requirement'!CW54))</f>
        <v/>
      </c>
      <c r="CX54">
        <f>IF(COUNTIFS(T_StockCount[RM_Code],$A54,T_StockCount[WeekIndex],101)&gt;0,SUMIFS(T_StockCount[CountedQty],T_StockCount[RM_Code],$A54,T_StockCount[WeekIndex],101),IF((COUNTIFS(T_SelfStock[RM_Code],$A54,T_SelfStock[WeekIndex],101)&gt;0)*(COUNTIFS(T_TTAFStock[RM_Code],$A54,T_TTAFStock[WeekIndex],101)&gt;0)&gt;0,SUMIFS(T_SelfStock[Self_Qty],T_SelfStock[RM_Code],$A54,T_SelfStock[WeekIndex],101)+SUMIFS(T_TTAFStock[TTAF_Qty],T_TTAFStock[RM_Code],$A54,T_TTAFStock[WeekIndex],101),CW54+'Grid_Incoming'!CX54-'Grid_Requirement'!CX54))</f>
        <v/>
      </c>
      <c r="CY54">
        <f>IF(COUNTIFS(T_StockCount[RM_Code],$A54,T_StockCount[WeekIndex],102)&gt;0,SUMIFS(T_StockCount[CountedQty],T_StockCount[RM_Code],$A54,T_StockCount[WeekIndex],102),IF((COUNTIFS(T_SelfStock[RM_Code],$A54,T_SelfStock[WeekIndex],102)&gt;0)*(COUNTIFS(T_TTAFStock[RM_Code],$A54,T_TTAFStock[WeekIndex],102)&gt;0)&gt;0,SUMIFS(T_SelfStock[Self_Qty],T_SelfStock[RM_Code],$A54,T_SelfStock[WeekIndex],102)+SUMIFS(T_TTAFStock[TTAF_Qty],T_TTAFStock[RM_Code],$A54,T_TTAFStock[WeekIndex],102),CX54+'Grid_Incoming'!CY54-'Grid_Requirement'!CY54))</f>
        <v/>
      </c>
      <c r="CZ54">
        <f>IF(COUNTIFS(T_StockCount[RM_Code],$A54,T_StockCount[WeekIndex],103)&gt;0,SUMIFS(T_StockCount[CountedQty],T_StockCount[RM_Code],$A54,T_StockCount[WeekIndex],103),IF((COUNTIFS(T_SelfStock[RM_Code],$A54,T_SelfStock[WeekIndex],103)&gt;0)*(COUNTIFS(T_TTAFStock[RM_Code],$A54,T_TTAFStock[WeekIndex],103)&gt;0)&gt;0,SUMIFS(T_SelfStock[Self_Qty],T_SelfStock[RM_Code],$A54,T_SelfStock[WeekIndex],103)+SUMIFS(T_TTAFStock[TTAF_Qty],T_TTAFStock[RM_Code],$A54,T_TTAFStock[WeekIndex],103),CY54+'Grid_Incoming'!CZ54-'Grid_Requirement'!CZ54))</f>
        <v/>
      </c>
      <c r="DA54">
        <f>IF(COUNTIFS(T_StockCount[RM_Code],$A54,T_StockCount[WeekIndex],104)&gt;0,SUMIFS(T_StockCount[CountedQty],T_StockCount[RM_Code],$A54,T_StockCount[WeekIndex],104),IF((COUNTIFS(T_SelfStock[RM_Code],$A54,T_SelfStock[WeekIndex],104)&gt;0)*(COUNTIFS(T_TTAFStock[RM_Code],$A54,T_TTAFStock[WeekIndex],104)&gt;0)&gt;0,SUMIFS(T_SelfStock[Self_Qty],T_SelfStock[RM_Code],$A54,T_SelfStock[WeekIndex],104)+SUMIFS(T_TTAFStock[TTAF_Qty],T_TTAFStock[RM_Code],$A54,T_TTAFStock[WeekIndex],104),CZ54+'Grid_Incoming'!DA54-'Grid_Requirement'!DA54))</f>
        <v/>
      </c>
    </row>
    <row r="55">
      <c r="A55" t="inlineStr">
        <is>
          <t>CHEM-1510</t>
        </is>
      </c>
      <c r="B55">
        <f>IF(COUNTIFS(T_StockCount[RM_Code],$A55,T_StockCount[WeekIndex],1)&gt;0,SUMIFS(T_StockCount[CountedQty],T_StockCount[RM_Code],$A55,T_StockCount[WeekIndex],1),IF((COUNTIFS(T_SelfStock[RM_Code],$A55,T_SelfStock[WeekIndex],1)&gt;0)*(COUNTIFS(T_TTAFStock[RM_Code],$A55,T_TTAFStock[WeekIndex],1)&gt;0)&gt;0,SUMIFS(T_SelfStock[Self_Qty],T_SelfStock[RM_Code],$A55,T_SelfStock[WeekIndex],1)+SUMIFS(T_TTAFStock[TTAF_Qty],T_TTAFStock[RM_Code],$A55,T_TTAFStock[WeekIndex],1),IFERROR(INDEX(T_OpeningStock[Opening_Qty],MATCH($A55,T_OpeningStock[RM_Code],0)),0)+'Grid_Incoming'!B55-'Grid_Requirement'!B55))</f>
        <v/>
      </c>
      <c r="C55">
        <f>IF(COUNTIFS(T_StockCount[RM_Code],$A55,T_StockCount[WeekIndex],2)&gt;0,SUMIFS(T_StockCount[CountedQty],T_StockCount[RM_Code],$A55,T_StockCount[WeekIndex],2),IF((COUNTIFS(T_SelfStock[RM_Code],$A55,T_SelfStock[WeekIndex],2)&gt;0)*(COUNTIFS(T_TTAFStock[RM_Code],$A55,T_TTAFStock[WeekIndex],2)&gt;0)&gt;0,SUMIFS(T_SelfStock[Self_Qty],T_SelfStock[RM_Code],$A55,T_SelfStock[WeekIndex],2)+SUMIFS(T_TTAFStock[TTAF_Qty],T_TTAFStock[RM_Code],$A55,T_TTAFStock[WeekIndex],2),B55+'Grid_Incoming'!C55-'Grid_Requirement'!C55))</f>
        <v/>
      </c>
      <c r="D55">
        <f>IF(COUNTIFS(T_StockCount[RM_Code],$A55,T_StockCount[WeekIndex],3)&gt;0,SUMIFS(T_StockCount[CountedQty],T_StockCount[RM_Code],$A55,T_StockCount[WeekIndex],3),IF((COUNTIFS(T_SelfStock[RM_Code],$A55,T_SelfStock[WeekIndex],3)&gt;0)*(COUNTIFS(T_TTAFStock[RM_Code],$A55,T_TTAFStock[WeekIndex],3)&gt;0)&gt;0,SUMIFS(T_SelfStock[Self_Qty],T_SelfStock[RM_Code],$A55,T_SelfStock[WeekIndex],3)+SUMIFS(T_TTAFStock[TTAF_Qty],T_TTAFStock[RM_Code],$A55,T_TTAFStock[WeekIndex],3),C55+'Grid_Incoming'!D55-'Grid_Requirement'!D55))</f>
        <v/>
      </c>
      <c r="E55">
        <f>IF(COUNTIFS(T_StockCount[RM_Code],$A55,T_StockCount[WeekIndex],4)&gt;0,SUMIFS(T_StockCount[CountedQty],T_StockCount[RM_Code],$A55,T_StockCount[WeekIndex],4),IF((COUNTIFS(T_SelfStock[RM_Code],$A55,T_SelfStock[WeekIndex],4)&gt;0)*(COUNTIFS(T_TTAFStock[RM_Code],$A55,T_TTAFStock[WeekIndex],4)&gt;0)&gt;0,SUMIFS(T_SelfStock[Self_Qty],T_SelfStock[RM_Code],$A55,T_SelfStock[WeekIndex],4)+SUMIFS(T_TTAFStock[TTAF_Qty],T_TTAFStock[RM_Code],$A55,T_TTAFStock[WeekIndex],4),D55+'Grid_Incoming'!E55-'Grid_Requirement'!E55))</f>
        <v/>
      </c>
      <c r="F55">
        <f>IF(COUNTIFS(T_StockCount[RM_Code],$A55,T_StockCount[WeekIndex],5)&gt;0,SUMIFS(T_StockCount[CountedQty],T_StockCount[RM_Code],$A55,T_StockCount[WeekIndex],5),IF((COUNTIFS(T_SelfStock[RM_Code],$A55,T_SelfStock[WeekIndex],5)&gt;0)*(COUNTIFS(T_TTAFStock[RM_Code],$A55,T_TTAFStock[WeekIndex],5)&gt;0)&gt;0,SUMIFS(T_SelfStock[Self_Qty],T_SelfStock[RM_Code],$A55,T_SelfStock[WeekIndex],5)+SUMIFS(T_TTAFStock[TTAF_Qty],T_TTAFStock[RM_Code],$A55,T_TTAFStock[WeekIndex],5),E55+'Grid_Incoming'!F55-'Grid_Requirement'!F55))</f>
        <v/>
      </c>
      <c r="G55">
        <f>IF(COUNTIFS(T_StockCount[RM_Code],$A55,T_StockCount[WeekIndex],6)&gt;0,SUMIFS(T_StockCount[CountedQty],T_StockCount[RM_Code],$A55,T_StockCount[WeekIndex],6),IF((COUNTIFS(T_SelfStock[RM_Code],$A55,T_SelfStock[WeekIndex],6)&gt;0)*(COUNTIFS(T_TTAFStock[RM_Code],$A55,T_TTAFStock[WeekIndex],6)&gt;0)&gt;0,SUMIFS(T_SelfStock[Self_Qty],T_SelfStock[RM_Code],$A55,T_SelfStock[WeekIndex],6)+SUMIFS(T_TTAFStock[TTAF_Qty],T_TTAFStock[RM_Code],$A55,T_TTAFStock[WeekIndex],6),F55+'Grid_Incoming'!G55-'Grid_Requirement'!G55))</f>
        <v/>
      </c>
      <c r="H55">
        <f>IF(COUNTIFS(T_StockCount[RM_Code],$A55,T_StockCount[WeekIndex],7)&gt;0,SUMIFS(T_StockCount[CountedQty],T_StockCount[RM_Code],$A55,T_StockCount[WeekIndex],7),IF((COUNTIFS(T_SelfStock[RM_Code],$A55,T_SelfStock[WeekIndex],7)&gt;0)*(COUNTIFS(T_TTAFStock[RM_Code],$A55,T_TTAFStock[WeekIndex],7)&gt;0)&gt;0,SUMIFS(T_SelfStock[Self_Qty],T_SelfStock[RM_Code],$A55,T_SelfStock[WeekIndex],7)+SUMIFS(T_TTAFStock[TTAF_Qty],T_TTAFStock[RM_Code],$A55,T_TTAFStock[WeekIndex],7),G55+'Grid_Incoming'!H55-'Grid_Requirement'!H55))</f>
        <v/>
      </c>
      <c r="I55">
        <f>IF(COUNTIFS(T_StockCount[RM_Code],$A55,T_StockCount[WeekIndex],8)&gt;0,SUMIFS(T_StockCount[CountedQty],T_StockCount[RM_Code],$A55,T_StockCount[WeekIndex],8),IF((COUNTIFS(T_SelfStock[RM_Code],$A55,T_SelfStock[WeekIndex],8)&gt;0)*(COUNTIFS(T_TTAFStock[RM_Code],$A55,T_TTAFStock[WeekIndex],8)&gt;0)&gt;0,SUMIFS(T_SelfStock[Self_Qty],T_SelfStock[RM_Code],$A55,T_SelfStock[WeekIndex],8)+SUMIFS(T_TTAFStock[TTAF_Qty],T_TTAFStock[RM_Code],$A55,T_TTAFStock[WeekIndex],8),H55+'Grid_Incoming'!I55-'Grid_Requirement'!I55))</f>
        <v/>
      </c>
      <c r="J55">
        <f>IF(COUNTIFS(T_StockCount[RM_Code],$A55,T_StockCount[WeekIndex],9)&gt;0,SUMIFS(T_StockCount[CountedQty],T_StockCount[RM_Code],$A55,T_StockCount[WeekIndex],9),IF((COUNTIFS(T_SelfStock[RM_Code],$A55,T_SelfStock[WeekIndex],9)&gt;0)*(COUNTIFS(T_TTAFStock[RM_Code],$A55,T_TTAFStock[WeekIndex],9)&gt;0)&gt;0,SUMIFS(T_SelfStock[Self_Qty],T_SelfStock[RM_Code],$A55,T_SelfStock[WeekIndex],9)+SUMIFS(T_TTAFStock[TTAF_Qty],T_TTAFStock[RM_Code],$A55,T_TTAFStock[WeekIndex],9),I55+'Grid_Incoming'!J55-'Grid_Requirement'!J55))</f>
        <v/>
      </c>
      <c r="K55">
        <f>IF(COUNTIFS(T_StockCount[RM_Code],$A55,T_StockCount[WeekIndex],10)&gt;0,SUMIFS(T_StockCount[CountedQty],T_StockCount[RM_Code],$A55,T_StockCount[WeekIndex],10),IF((COUNTIFS(T_SelfStock[RM_Code],$A55,T_SelfStock[WeekIndex],10)&gt;0)*(COUNTIFS(T_TTAFStock[RM_Code],$A55,T_TTAFStock[WeekIndex],10)&gt;0)&gt;0,SUMIFS(T_SelfStock[Self_Qty],T_SelfStock[RM_Code],$A55,T_SelfStock[WeekIndex],10)+SUMIFS(T_TTAFStock[TTAF_Qty],T_TTAFStock[RM_Code],$A55,T_TTAFStock[WeekIndex],10),J55+'Grid_Incoming'!K55-'Grid_Requirement'!K55))</f>
        <v/>
      </c>
      <c r="L55">
        <f>IF(COUNTIFS(T_StockCount[RM_Code],$A55,T_StockCount[WeekIndex],11)&gt;0,SUMIFS(T_StockCount[CountedQty],T_StockCount[RM_Code],$A55,T_StockCount[WeekIndex],11),IF((COUNTIFS(T_SelfStock[RM_Code],$A55,T_SelfStock[WeekIndex],11)&gt;0)*(COUNTIFS(T_TTAFStock[RM_Code],$A55,T_TTAFStock[WeekIndex],11)&gt;0)&gt;0,SUMIFS(T_SelfStock[Self_Qty],T_SelfStock[RM_Code],$A55,T_SelfStock[WeekIndex],11)+SUMIFS(T_TTAFStock[TTAF_Qty],T_TTAFStock[RM_Code],$A55,T_TTAFStock[WeekIndex],11),K55+'Grid_Incoming'!L55-'Grid_Requirement'!L55))</f>
        <v/>
      </c>
      <c r="M55">
        <f>IF(COUNTIFS(T_StockCount[RM_Code],$A55,T_StockCount[WeekIndex],12)&gt;0,SUMIFS(T_StockCount[CountedQty],T_StockCount[RM_Code],$A55,T_StockCount[WeekIndex],12),IF((COUNTIFS(T_SelfStock[RM_Code],$A55,T_SelfStock[WeekIndex],12)&gt;0)*(COUNTIFS(T_TTAFStock[RM_Code],$A55,T_TTAFStock[WeekIndex],12)&gt;0)&gt;0,SUMIFS(T_SelfStock[Self_Qty],T_SelfStock[RM_Code],$A55,T_SelfStock[WeekIndex],12)+SUMIFS(T_TTAFStock[TTAF_Qty],T_TTAFStock[RM_Code],$A55,T_TTAFStock[WeekIndex],12),L55+'Grid_Incoming'!M55-'Grid_Requirement'!M55))</f>
        <v/>
      </c>
      <c r="N55">
        <f>IF(COUNTIFS(T_StockCount[RM_Code],$A55,T_StockCount[WeekIndex],13)&gt;0,SUMIFS(T_StockCount[CountedQty],T_StockCount[RM_Code],$A55,T_StockCount[WeekIndex],13),IF((COUNTIFS(T_SelfStock[RM_Code],$A55,T_SelfStock[WeekIndex],13)&gt;0)*(COUNTIFS(T_TTAFStock[RM_Code],$A55,T_TTAFStock[WeekIndex],13)&gt;0)&gt;0,SUMIFS(T_SelfStock[Self_Qty],T_SelfStock[RM_Code],$A55,T_SelfStock[WeekIndex],13)+SUMIFS(T_TTAFStock[TTAF_Qty],T_TTAFStock[RM_Code],$A55,T_TTAFStock[WeekIndex],13),M55+'Grid_Incoming'!N55-'Grid_Requirement'!N55))</f>
        <v/>
      </c>
      <c r="O55">
        <f>IF(COUNTIFS(T_StockCount[RM_Code],$A55,T_StockCount[WeekIndex],14)&gt;0,SUMIFS(T_StockCount[CountedQty],T_StockCount[RM_Code],$A55,T_StockCount[WeekIndex],14),IF((COUNTIFS(T_SelfStock[RM_Code],$A55,T_SelfStock[WeekIndex],14)&gt;0)*(COUNTIFS(T_TTAFStock[RM_Code],$A55,T_TTAFStock[WeekIndex],14)&gt;0)&gt;0,SUMIFS(T_SelfStock[Self_Qty],T_SelfStock[RM_Code],$A55,T_SelfStock[WeekIndex],14)+SUMIFS(T_TTAFStock[TTAF_Qty],T_TTAFStock[RM_Code],$A55,T_TTAFStock[WeekIndex],14),N55+'Grid_Incoming'!O55-'Grid_Requirement'!O55))</f>
        <v/>
      </c>
      <c r="P55">
        <f>IF(COUNTIFS(T_StockCount[RM_Code],$A55,T_StockCount[WeekIndex],15)&gt;0,SUMIFS(T_StockCount[CountedQty],T_StockCount[RM_Code],$A55,T_StockCount[WeekIndex],15),IF((COUNTIFS(T_SelfStock[RM_Code],$A55,T_SelfStock[WeekIndex],15)&gt;0)*(COUNTIFS(T_TTAFStock[RM_Code],$A55,T_TTAFStock[WeekIndex],15)&gt;0)&gt;0,SUMIFS(T_SelfStock[Self_Qty],T_SelfStock[RM_Code],$A55,T_SelfStock[WeekIndex],15)+SUMIFS(T_TTAFStock[TTAF_Qty],T_TTAFStock[RM_Code],$A55,T_TTAFStock[WeekIndex],15),O55+'Grid_Incoming'!P55-'Grid_Requirement'!P55))</f>
        <v/>
      </c>
      <c r="Q55">
        <f>IF(COUNTIFS(T_StockCount[RM_Code],$A55,T_StockCount[WeekIndex],16)&gt;0,SUMIFS(T_StockCount[CountedQty],T_StockCount[RM_Code],$A55,T_StockCount[WeekIndex],16),IF((COUNTIFS(T_SelfStock[RM_Code],$A55,T_SelfStock[WeekIndex],16)&gt;0)*(COUNTIFS(T_TTAFStock[RM_Code],$A55,T_TTAFStock[WeekIndex],16)&gt;0)&gt;0,SUMIFS(T_SelfStock[Self_Qty],T_SelfStock[RM_Code],$A55,T_SelfStock[WeekIndex],16)+SUMIFS(T_TTAFStock[TTAF_Qty],T_TTAFStock[RM_Code],$A55,T_TTAFStock[WeekIndex],16),P55+'Grid_Incoming'!Q55-'Grid_Requirement'!Q55))</f>
        <v/>
      </c>
      <c r="R55">
        <f>IF(COUNTIFS(T_StockCount[RM_Code],$A55,T_StockCount[WeekIndex],17)&gt;0,SUMIFS(T_StockCount[CountedQty],T_StockCount[RM_Code],$A55,T_StockCount[WeekIndex],17),IF((COUNTIFS(T_SelfStock[RM_Code],$A55,T_SelfStock[WeekIndex],17)&gt;0)*(COUNTIFS(T_TTAFStock[RM_Code],$A55,T_TTAFStock[WeekIndex],17)&gt;0)&gt;0,SUMIFS(T_SelfStock[Self_Qty],T_SelfStock[RM_Code],$A55,T_SelfStock[WeekIndex],17)+SUMIFS(T_TTAFStock[TTAF_Qty],T_TTAFStock[RM_Code],$A55,T_TTAFStock[WeekIndex],17),Q55+'Grid_Incoming'!R55-'Grid_Requirement'!R55))</f>
        <v/>
      </c>
      <c r="S55">
        <f>IF(COUNTIFS(T_StockCount[RM_Code],$A55,T_StockCount[WeekIndex],18)&gt;0,SUMIFS(T_StockCount[CountedQty],T_StockCount[RM_Code],$A55,T_StockCount[WeekIndex],18),IF((COUNTIFS(T_SelfStock[RM_Code],$A55,T_SelfStock[WeekIndex],18)&gt;0)*(COUNTIFS(T_TTAFStock[RM_Code],$A55,T_TTAFStock[WeekIndex],18)&gt;0)&gt;0,SUMIFS(T_SelfStock[Self_Qty],T_SelfStock[RM_Code],$A55,T_SelfStock[WeekIndex],18)+SUMIFS(T_TTAFStock[TTAF_Qty],T_TTAFStock[RM_Code],$A55,T_TTAFStock[WeekIndex],18),R55+'Grid_Incoming'!S55-'Grid_Requirement'!S55))</f>
        <v/>
      </c>
      <c r="T55">
        <f>IF(COUNTIFS(T_StockCount[RM_Code],$A55,T_StockCount[WeekIndex],19)&gt;0,SUMIFS(T_StockCount[CountedQty],T_StockCount[RM_Code],$A55,T_StockCount[WeekIndex],19),IF((COUNTIFS(T_SelfStock[RM_Code],$A55,T_SelfStock[WeekIndex],19)&gt;0)*(COUNTIFS(T_TTAFStock[RM_Code],$A55,T_TTAFStock[WeekIndex],19)&gt;0)&gt;0,SUMIFS(T_SelfStock[Self_Qty],T_SelfStock[RM_Code],$A55,T_SelfStock[WeekIndex],19)+SUMIFS(T_TTAFStock[TTAF_Qty],T_TTAFStock[RM_Code],$A55,T_TTAFStock[WeekIndex],19),S55+'Grid_Incoming'!T55-'Grid_Requirement'!T55))</f>
        <v/>
      </c>
      <c r="U55">
        <f>IF(COUNTIFS(T_StockCount[RM_Code],$A55,T_StockCount[WeekIndex],20)&gt;0,SUMIFS(T_StockCount[CountedQty],T_StockCount[RM_Code],$A55,T_StockCount[WeekIndex],20),IF((COUNTIFS(T_SelfStock[RM_Code],$A55,T_SelfStock[WeekIndex],20)&gt;0)*(COUNTIFS(T_TTAFStock[RM_Code],$A55,T_TTAFStock[WeekIndex],20)&gt;0)&gt;0,SUMIFS(T_SelfStock[Self_Qty],T_SelfStock[RM_Code],$A55,T_SelfStock[WeekIndex],20)+SUMIFS(T_TTAFStock[TTAF_Qty],T_TTAFStock[RM_Code],$A55,T_TTAFStock[WeekIndex],20),T55+'Grid_Incoming'!U55-'Grid_Requirement'!U55))</f>
        <v/>
      </c>
      <c r="V55">
        <f>IF(COUNTIFS(T_StockCount[RM_Code],$A55,T_StockCount[WeekIndex],21)&gt;0,SUMIFS(T_StockCount[CountedQty],T_StockCount[RM_Code],$A55,T_StockCount[WeekIndex],21),IF((COUNTIFS(T_SelfStock[RM_Code],$A55,T_SelfStock[WeekIndex],21)&gt;0)*(COUNTIFS(T_TTAFStock[RM_Code],$A55,T_TTAFStock[WeekIndex],21)&gt;0)&gt;0,SUMIFS(T_SelfStock[Self_Qty],T_SelfStock[RM_Code],$A55,T_SelfStock[WeekIndex],21)+SUMIFS(T_TTAFStock[TTAF_Qty],T_TTAFStock[RM_Code],$A55,T_TTAFStock[WeekIndex],21),U55+'Grid_Incoming'!V55-'Grid_Requirement'!V55))</f>
        <v/>
      </c>
      <c r="W55">
        <f>IF(COUNTIFS(T_StockCount[RM_Code],$A55,T_StockCount[WeekIndex],22)&gt;0,SUMIFS(T_StockCount[CountedQty],T_StockCount[RM_Code],$A55,T_StockCount[WeekIndex],22),IF((COUNTIFS(T_SelfStock[RM_Code],$A55,T_SelfStock[WeekIndex],22)&gt;0)*(COUNTIFS(T_TTAFStock[RM_Code],$A55,T_TTAFStock[WeekIndex],22)&gt;0)&gt;0,SUMIFS(T_SelfStock[Self_Qty],T_SelfStock[RM_Code],$A55,T_SelfStock[WeekIndex],22)+SUMIFS(T_TTAFStock[TTAF_Qty],T_TTAFStock[RM_Code],$A55,T_TTAFStock[WeekIndex],22),V55+'Grid_Incoming'!W55-'Grid_Requirement'!W55))</f>
        <v/>
      </c>
      <c r="X55">
        <f>IF(COUNTIFS(T_StockCount[RM_Code],$A55,T_StockCount[WeekIndex],23)&gt;0,SUMIFS(T_StockCount[CountedQty],T_StockCount[RM_Code],$A55,T_StockCount[WeekIndex],23),IF((COUNTIFS(T_SelfStock[RM_Code],$A55,T_SelfStock[WeekIndex],23)&gt;0)*(COUNTIFS(T_TTAFStock[RM_Code],$A55,T_TTAFStock[WeekIndex],23)&gt;0)&gt;0,SUMIFS(T_SelfStock[Self_Qty],T_SelfStock[RM_Code],$A55,T_SelfStock[WeekIndex],23)+SUMIFS(T_TTAFStock[TTAF_Qty],T_TTAFStock[RM_Code],$A55,T_TTAFStock[WeekIndex],23),W55+'Grid_Incoming'!X55-'Grid_Requirement'!X55))</f>
        <v/>
      </c>
      <c r="Y55">
        <f>IF(COUNTIFS(T_StockCount[RM_Code],$A55,T_StockCount[WeekIndex],24)&gt;0,SUMIFS(T_StockCount[CountedQty],T_StockCount[RM_Code],$A55,T_StockCount[WeekIndex],24),IF((COUNTIFS(T_SelfStock[RM_Code],$A55,T_SelfStock[WeekIndex],24)&gt;0)*(COUNTIFS(T_TTAFStock[RM_Code],$A55,T_TTAFStock[WeekIndex],24)&gt;0)&gt;0,SUMIFS(T_SelfStock[Self_Qty],T_SelfStock[RM_Code],$A55,T_SelfStock[WeekIndex],24)+SUMIFS(T_TTAFStock[TTAF_Qty],T_TTAFStock[RM_Code],$A55,T_TTAFStock[WeekIndex],24),X55+'Grid_Incoming'!Y55-'Grid_Requirement'!Y55))</f>
        <v/>
      </c>
      <c r="Z55">
        <f>IF(COUNTIFS(T_StockCount[RM_Code],$A55,T_StockCount[WeekIndex],25)&gt;0,SUMIFS(T_StockCount[CountedQty],T_StockCount[RM_Code],$A55,T_StockCount[WeekIndex],25),IF((COUNTIFS(T_SelfStock[RM_Code],$A55,T_SelfStock[WeekIndex],25)&gt;0)*(COUNTIFS(T_TTAFStock[RM_Code],$A55,T_TTAFStock[WeekIndex],25)&gt;0)&gt;0,SUMIFS(T_SelfStock[Self_Qty],T_SelfStock[RM_Code],$A55,T_SelfStock[WeekIndex],25)+SUMIFS(T_TTAFStock[TTAF_Qty],T_TTAFStock[RM_Code],$A55,T_TTAFStock[WeekIndex],25),Y55+'Grid_Incoming'!Z55-'Grid_Requirement'!Z55))</f>
        <v/>
      </c>
      <c r="AA55">
        <f>IF(COUNTIFS(T_StockCount[RM_Code],$A55,T_StockCount[WeekIndex],26)&gt;0,SUMIFS(T_StockCount[CountedQty],T_StockCount[RM_Code],$A55,T_StockCount[WeekIndex],26),IF((COUNTIFS(T_SelfStock[RM_Code],$A55,T_SelfStock[WeekIndex],26)&gt;0)*(COUNTIFS(T_TTAFStock[RM_Code],$A55,T_TTAFStock[WeekIndex],26)&gt;0)&gt;0,SUMIFS(T_SelfStock[Self_Qty],T_SelfStock[RM_Code],$A55,T_SelfStock[WeekIndex],26)+SUMIFS(T_TTAFStock[TTAF_Qty],T_TTAFStock[RM_Code],$A55,T_TTAFStock[WeekIndex],26),Z55+'Grid_Incoming'!AA55-'Grid_Requirement'!AA55))</f>
        <v/>
      </c>
      <c r="AB55">
        <f>IF(COUNTIFS(T_StockCount[RM_Code],$A55,T_StockCount[WeekIndex],27)&gt;0,SUMIFS(T_StockCount[CountedQty],T_StockCount[RM_Code],$A55,T_StockCount[WeekIndex],27),IF((COUNTIFS(T_SelfStock[RM_Code],$A55,T_SelfStock[WeekIndex],27)&gt;0)*(COUNTIFS(T_TTAFStock[RM_Code],$A55,T_TTAFStock[WeekIndex],27)&gt;0)&gt;0,SUMIFS(T_SelfStock[Self_Qty],T_SelfStock[RM_Code],$A55,T_SelfStock[WeekIndex],27)+SUMIFS(T_TTAFStock[TTAF_Qty],T_TTAFStock[RM_Code],$A55,T_TTAFStock[WeekIndex],27),AA55+'Grid_Incoming'!AB55-'Grid_Requirement'!AB55))</f>
        <v/>
      </c>
      <c r="AC55">
        <f>IF(COUNTIFS(T_StockCount[RM_Code],$A55,T_StockCount[WeekIndex],28)&gt;0,SUMIFS(T_StockCount[CountedQty],T_StockCount[RM_Code],$A55,T_StockCount[WeekIndex],28),IF((COUNTIFS(T_SelfStock[RM_Code],$A55,T_SelfStock[WeekIndex],28)&gt;0)*(COUNTIFS(T_TTAFStock[RM_Code],$A55,T_TTAFStock[WeekIndex],28)&gt;0)&gt;0,SUMIFS(T_SelfStock[Self_Qty],T_SelfStock[RM_Code],$A55,T_SelfStock[WeekIndex],28)+SUMIFS(T_TTAFStock[TTAF_Qty],T_TTAFStock[RM_Code],$A55,T_TTAFStock[WeekIndex],28),AB55+'Grid_Incoming'!AC55-'Grid_Requirement'!AC55))</f>
        <v/>
      </c>
      <c r="AD55">
        <f>IF(COUNTIFS(T_StockCount[RM_Code],$A55,T_StockCount[WeekIndex],29)&gt;0,SUMIFS(T_StockCount[CountedQty],T_StockCount[RM_Code],$A55,T_StockCount[WeekIndex],29),IF((COUNTIFS(T_SelfStock[RM_Code],$A55,T_SelfStock[WeekIndex],29)&gt;0)*(COUNTIFS(T_TTAFStock[RM_Code],$A55,T_TTAFStock[WeekIndex],29)&gt;0)&gt;0,SUMIFS(T_SelfStock[Self_Qty],T_SelfStock[RM_Code],$A55,T_SelfStock[WeekIndex],29)+SUMIFS(T_TTAFStock[TTAF_Qty],T_TTAFStock[RM_Code],$A55,T_TTAFStock[WeekIndex],29),AC55+'Grid_Incoming'!AD55-'Grid_Requirement'!AD55))</f>
        <v/>
      </c>
      <c r="AE55">
        <f>IF(COUNTIFS(T_StockCount[RM_Code],$A55,T_StockCount[WeekIndex],30)&gt;0,SUMIFS(T_StockCount[CountedQty],T_StockCount[RM_Code],$A55,T_StockCount[WeekIndex],30),IF((COUNTIFS(T_SelfStock[RM_Code],$A55,T_SelfStock[WeekIndex],30)&gt;0)*(COUNTIFS(T_TTAFStock[RM_Code],$A55,T_TTAFStock[WeekIndex],30)&gt;0)&gt;0,SUMIFS(T_SelfStock[Self_Qty],T_SelfStock[RM_Code],$A55,T_SelfStock[WeekIndex],30)+SUMIFS(T_TTAFStock[TTAF_Qty],T_TTAFStock[RM_Code],$A55,T_TTAFStock[WeekIndex],30),AD55+'Grid_Incoming'!AE55-'Grid_Requirement'!AE55))</f>
        <v/>
      </c>
      <c r="AF55">
        <f>IF(COUNTIFS(T_StockCount[RM_Code],$A55,T_StockCount[WeekIndex],31)&gt;0,SUMIFS(T_StockCount[CountedQty],T_StockCount[RM_Code],$A55,T_StockCount[WeekIndex],31),IF((COUNTIFS(T_SelfStock[RM_Code],$A55,T_SelfStock[WeekIndex],31)&gt;0)*(COUNTIFS(T_TTAFStock[RM_Code],$A55,T_TTAFStock[WeekIndex],31)&gt;0)&gt;0,SUMIFS(T_SelfStock[Self_Qty],T_SelfStock[RM_Code],$A55,T_SelfStock[WeekIndex],31)+SUMIFS(T_TTAFStock[TTAF_Qty],T_TTAFStock[RM_Code],$A55,T_TTAFStock[WeekIndex],31),AE55+'Grid_Incoming'!AF55-'Grid_Requirement'!AF55))</f>
        <v/>
      </c>
      <c r="AG55">
        <f>IF(COUNTIFS(T_StockCount[RM_Code],$A55,T_StockCount[WeekIndex],32)&gt;0,SUMIFS(T_StockCount[CountedQty],T_StockCount[RM_Code],$A55,T_StockCount[WeekIndex],32),IF((COUNTIFS(T_SelfStock[RM_Code],$A55,T_SelfStock[WeekIndex],32)&gt;0)*(COUNTIFS(T_TTAFStock[RM_Code],$A55,T_TTAFStock[WeekIndex],32)&gt;0)&gt;0,SUMIFS(T_SelfStock[Self_Qty],T_SelfStock[RM_Code],$A55,T_SelfStock[WeekIndex],32)+SUMIFS(T_TTAFStock[TTAF_Qty],T_TTAFStock[RM_Code],$A55,T_TTAFStock[WeekIndex],32),AF55+'Grid_Incoming'!AG55-'Grid_Requirement'!AG55))</f>
        <v/>
      </c>
      <c r="AH55">
        <f>IF(COUNTIFS(T_StockCount[RM_Code],$A55,T_StockCount[WeekIndex],33)&gt;0,SUMIFS(T_StockCount[CountedQty],T_StockCount[RM_Code],$A55,T_StockCount[WeekIndex],33),IF((COUNTIFS(T_SelfStock[RM_Code],$A55,T_SelfStock[WeekIndex],33)&gt;0)*(COUNTIFS(T_TTAFStock[RM_Code],$A55,T_TTAFStock[WeekIndex],33)&gt;0)&gt;0,SUMIFS(T_SelfStock[Self_Qty],T_SelfStock[RM_Code],$A55,T_SelfStock[WeekIndex],33)+SUMIFS(T_TTAFStock[TTAF_Qty],T_TTAFStock[RM_Code],$A55,T_TTAFStock[WeekIndex],33),AG55+'Grid_Incoming'!AH55-'Grid_Requirement'!AH55))</f>
        <v/>
      </c>
      <c r="AI55">
        <f>IF(COUNTIFS(T_StockCount[RM_Code],$A55,T_StockCount[WeekIndex],34)&gt;0,SUMIFS(T_StockCount[CountedQty],T_StockCount[RM_Code],$A55,T_StockCount[WeekIndex],34),IF((COUNTIFS(T_SelfStock[RM_Code],$A55,T_SelfStock[WeekIndex],34)&gt;0)*(COUNTIFS(T_TTAFStock[RM_Code],$A55,T_TTAFStock[WeekIndex],34)&gt;0)&gt;0,SUMIFS(T_SelfStock[Self_Qty],T_SelfStock[RM_Code],$A55,T_SelfStock[WeekIndex],34)+SUMIFS(T_TTAFStock[TTAF_Qty],T_TTAFStock[RM_Code],$A55,T_TTAFStock[WeekIndex],34),AH55+'Grid_Incoming'!AI55-'Grid_Requirement'!AI55))</f>
        <v/>
      </c>
      <c r="AJ55">
        <f>IF(COUNTIFS(T_StockCount[RM_Code],$A55,T_StockCount[WeekIndex],35)&gt;0,SUMIFS(T_StockCount[CountedQty],T_StockCount[RM_Code],$A55,T_StockCount[WeekIndex],35),IF((COUNTIFS(T_SelfStock[RM_Code],$A55,T_SelfStock[WeekIndex],35)&gt;0)*(COUNTIFS(T_TTAFStock[RM_Code],$A55,T_TTAFStock[WeekIndex],35)&gt;0)&gt;0,SUMIFS(T_SelfStock[Self_Qty],T_SelfStock[RM_Code],$A55,T_SelfStock[WeekIndex],35)+SUMIFS(T_TTAFStock[TTAF_Qty],T_TTAFStock[RM_Code],$A55,T_TTAFStock[WeekIndex],35),AI55+'Grid_Incoming'!AJ55-'Grid_Requirement'!AJ55))</f>
        <v/>
      </c>
      <c r="AK55">
        <f>IF(COUNTIFS(T_StockCount[RM_Code],$A55,T_StockCount[WeekIndex],36)&gt;0,SUMIFS(T_StockCount[CountedQty],T_StockCount[RM_Code],$A55,T_StockCount[WeekIndex],36),IF((COUNTIFS(T_SelfStock[RM_Code],$A55,T_SelfStock[WeekIndex],36)&gt;0)*(COUNTIFS(T_TTAFStock[RM_Code],$A55,T_TTAFStock[WeekIndex],36)&gt;0)&gt;0,SUMIFS(T_SelfStock[Self_Qty],T_SelfStock[RM_Code],$A55,T_SelfStock[WeekIndex],36)+SUMIFS(T_TTAFStock[TTAF_Qty],T_TTAFStock[RM_Code],$A55,T_TTAFStock[WeekIndex],36),AJ55+'Grid_Incoming'!AK55-'Grid_Requirement'!AK55))</f>
        <v/>
      </c>
      <c r="AL55">
        <f>IF(COUNTIFS(T_StockCount[RM_Code],$A55,T_StockCount[WeekIndex],37)&gt;0,SUMIFS(T_StockCount[CountedQty],T_StockCount[RM_Code],$A55,T_StockCount[WeekIndex],37),IF((COUNTIFS(T_SelfStock[RM_Code],$A55,T_SelfStock[WeekIndex],37)&gt;0)*(COUNTIFS(T_TTAFStock[RM_Code],$A55,T_TTAFStock[WeekIndex],37)&gt;0)&gt;0,SUMIFS(T_SelfStock[Self_Qty],T_SelfStock[RM_Code],$A55,T_SelfStock[WeekIndex],37)+SUMIFS(T_TTAFStock[TTAF_Qty],T_TTAFStock[RM_Code],$A55,T_TTAFStock[WeekIndex],37),AK55+'Grid_Incoming'!AL55-'Grid_Requirement'!AL55))</f>
        <v/>
      </c>
      <c r="AM55">
        <f>IF(COUNTIFS(T_StockCount[RM_Code],$A55,T_StockCount[WeekIndex],38)&gt;0,SUMIFS(T_StockCount[CountedQty],T_StockCount[RM_Code],$A55,T_StockCount[WeekIndex],38),IF((COUNTIFS(T_SelfStock[RM_Code],$A55,T_SelfStock[WeekIndex],38)&gt;0)*(COUNTIFS(T_TTAFStock[RM_Code],$A55,T_TTAFStock[WeekIndex],38)&gt;0)&gt;0,SUMIFS(T_SelfStock[Self_Qty],T_SelfStock[RM_Code],$A55,T_SelfStock[WeekIndex],38)+SUMIFS(T_TTAFStock[TTAF_Qty],T_TTAFStock[RM_Code],$A55,T_TTAFStock[WeekIndex],38),AL55+'Grid_Incoming'!AM55-'Grid_Requirement'!AM55))</f>
        <v/>
      </c>
      <c r="AN55">
        <f>IF(COUNTIFS(T_StockCount[RM_Code],$A55,T_StockCount[WeekIndex],39)&gt;0,SUMIFS(T_StockCount[CountedQty],T_StockCount[RM_Code],$A55,T_StockCount[WeekIndex],39),IF((COUNTIFS(T_SelfStock[RM_Code],$A55,T_SelfStock[WeekIndex],39)&gt;0)*(COUNTIFS(T_TTAFStock[RM_Code],$A55,T_TTAFStock[WeekIndex],39)&gt;0)&gt;0,SUMIFS(T_SelfStock[Self_Qty],T_SelfStock[RM_Code],$A55,T_SelfStock[WeekIndex],39)+SUMIFS(T_TTAFStock[TTAF_Qty],T_TTAFStock[RM_Code],$A55,T_TTAFStock[WeekIndex],39),AM55+'Grid_Incoming'!AN55-'Grid_Requirement'!AN55))</f>
        <v/>
      </c>
      <c r="AO55">
        <f>IF(COUNTIFS(T_StockCount[RM_Code],$A55,T_StockCount[WeekIndex],40)&gt;0,SUMIFS(T_StockCount[CountedQty],T_StockCount[RM_Code],$A55,T_StockCount[WeekIndex],40),IF((COUNTIFS(T_SelfStock[RM_Code],$A55,T_SelfStock[WeekIndex],40)&gt;0)*(COUNTIFS(T_TTAFStock[RM_Code],$A55,T_TTAFStock[WeekIndex],40)&gt;0)&gt;0,SUMIFS(T_SelfStock[Self_Qty],T_SelfStock[RM_Code],$A55,T_SelfStock[WeekIndex],40)+SUMIFS(T_TTAFStock[TTAF_Qty],T_TTAFStock[RM_Code],$A55,T_TTAFStock[WeekIndex],40),AN55+'Grid_Incoming'!AO55-'Grid_Requirement'!AO55))</f>
        <v/>
      </c>
      <c r="AP55">
        <f>IF(COUNTIFS(T_StockCount[RM_Code],$A55,T_StockCount[WeekIndex],41)&gt;0,SUMIFS(T_StockCount[CountedQty],T_StockCount[RM_Code],$A55,T_StockCount[WeekIndex],41),IF((COUNTIFS(T_SelfStock[RM_Code],$A55,T_SelfStock[WeekIndex],41)&gt;0)*(COUNTIFS(T_TTAFStock[RM_Code],$A55,T_TTAFStock[WeekIndex],41)&gt;0)&gt;0,SUMIFS(T_SelfStock[Self_Qty],T_SelfStock[RM_Code],$A55,T_SelfStock[WeekIndex],41)+SUMIFS(T_TTAFStock[TTAF_Qty],T_TTAFStock[RM_Code],$A55,T_TTAFStock[WeekIndex],41),AO55+'Grid_Incoming'!AP55-'Grid_Requirement'!AP55))</f>
        <v/>
      </c>
      <c r="AQ55">
        <f>IF(COUNTIFS(T_StockCount[RM_Code],$A55,T_StockCount[WeekIndex],42)&gt;0,SUMIFS(T_StockCount[CountedQty],T_StockCount[RM_Code],$A55,T_StockCount[WeekIndex],42),IF((COUNTIFS(T_SelfStock[RM_Code],$A55,T_SelfStock[WeekIndex],42)&gt;0)*(COUNTIFS(T_TTAFStock[RM_Code],$A55,T_TTAFStock[WeekIndex],42)&gt;0)&gt;0,SUMIFS(T_SelfStock[Self_Qty],T_SelfStock[RM_Code],$A55,T_SelfStock[WeekIndex],42)+SUMIFS(T_TTAFStock[TTAF_Qty],T_TTAFStock[RM_Code],$A55,T_TTAFStock[WeekIndex],42),AP55+'Grid_Incoming'!AQ55-'Grid_Requirement'!AQ55))</f>
        <v/>
      </c>
      <c r="AR55">
        <f>IF(COUNTIFS(T_StockCount[RM_Code],$A55,T_StockCount[WeekIndex],43)&gt;0,SUMIFS(T_StockCount[CountedQty],T_StockCount[RM_Code],$A55,T_StockCount[WeekIndex],43),IF((COUNTIFS(T_SelfStock[RM_Code],$A55,T_SelfStock[WeekIndex],43)&gt;0)*(COUNTIFS(T_TTAFStock[RM_Code],$A55,T_TTAFStock[WeekIndex],43)&gt;0)&gt;0,SUMIFS(T_SelfStock[Self_Qty],T_SelfStock[RM_Code],$A55,T_SelfStock[WeekIndex],43)+SUMIFS(T_TTAFStock[TTAF_Qty],T_TTAFStock[RM_Code],$A55,T_TTAFStock[WeekIndex],43),AQ55+'Grid_Incoming'!AR55-'Grid_Requirement'!AR55))</f>
        <v/>
      </c>
      <c r="AS55">
        <f>IF(COUNTIFS(T_StockCount[RM_Code],$A55,T_StockCount[WeekIndex],44)&gt;0,SUMIFS(T_StockCount[CountedQty],T_StockCount[RM_Code],$A55,T_StockCount[WeekIndex],44),IF((COUNTIFS(T_SelfStock[RM_Code],$A55,T_SelfStock[WeekIndex],44)&gt;0)*(COUNTIFS(T_TTAFStock[RM_Code],$A55,T_TTAFStock[WeekIndex],44)&gt;0)&gt;0,SUMIFS(T_SelfStock[Self_Qty],T_SelfStock[RM_Code],$A55,T_SelfStock[WeekIndex],44)+SUMIFS(T_TTAFStock[TTAF_Qty],T_TTAFStock[RM_Code],$A55,T_TTAFStock[WeekIndex],44),AR55+'Grid_Incoming'!AS55-'Grid_Requirement'!AS55))</f>
        <v/>
      </c>
      <c r="AT55">
        <f>IF(COUNTIFS(T_StockCount[RM_Code],$A55,T_StockCount[WeekIndex],45)&gt;0,SUMIFS(T_StockCount[CountedQty],T_StockCount[RM_Code],$A55,T_StockCount[WeekIndex],45),IF((COUNTIFS(T_SelfStock[RM_Code],$A55,T_SelfStock[WeekIndex],45)&gt;0)*(COUNTIFS(T_TTAFStock[RM_Code],$A55,T_TTAFStock[WeekIndex],45)&gt;0)&gt;0,SUMIFS(T_SelfStock[Self_Qty],T_SelfStock[RM_Code],$A55,T_SelfStock[WeekIndex],45)+SUMIFS(T_TTAFStock[TTAF_Qty],T_TTAFStock[RM_Code],$A55,T_TTAFStock[WeekIndex],45),AS55+'Grid_Incoming'!AT55-'Grid_Requirement'!AT55))</f>
        <v/>
      </c>
      <c r="AU55">
        <f>IF(COUNTIFS(T_StockCount[RM_Code],$A55,T_StockCount[WeekIndex],46)&gt;0,SUMIFS(T_StockCount[CountedQty],T_StockCount[RM_Code],$A55,T_StockCount[WeekIndex],46),IF((COUNTIFS(T_SelfStock[RM_Code],$A55,T_SelfStock[WeekIndex],46)&gt;0)*(COUNTIFS(T_TTAFStock[RM_Code],$A55,T_TTAFStock[WeekIndex],46)&gt;0)&gt;0,SUMIFS(T_SelfStock[Self_Qty],T_SelfStock[RM_Code],$A55,T_SelfStock[WeekIndex],46)+SUMIFS(T_TTAFStock[TTAF_Qty],T_TTAFStock[RM_Code],$A55,T_TTAFStock[WeekIndex],46),AT55+'Grid_Incoming'!AU55-'Grid_Requirement'!AU55))</f>
        <v/>
      </c>
      <c r="AV55">
        <f>IF(COUNTIFS(T_StockCount[RM_Code],$A55,T_StockCount[WeekIndex],47)&gt;0,SUMIFS(T_StockCount[CountedQty],T_StockCount[RM_Code],$A55,T_StockCount[WeekIndex],47),IF((COUNTIFS(T_SelfStock[RM_Code],$A55,T_SelfStock[WeekIndex],47)&gt;0)*(COUNTIFS(T_TTAFStock[RM_Code],$A55,T_TTAFStock[WeekIndex],47)&gt;0)&gt;0,SUMIFS(T_SelfStock[Self_Qty],T_SelfStock[RM_Code],$A55,T_SelfStock[WeekIndex],47)+SUMIFS(T_TTAFStock[TTAF_Qty],T_TTAFStock[RM_Code],$A55,T_TTAFStock[WeekIndex],47),AU55+'Grid_Incoming'!AV55-'Grid_Requirement'!AV55))</f>
        <v/>
      </c>
      <c r="AW55">
        <f>IF(COUNTIFS(T_StockCount[RM_Code],$A55,T_StockCount[WeekIndex],48)&gt;0,SUMIFS(T_StockCount[CountedQty],T_StockCount[RM_Code],$A55,T_StockCount[WeekIndex],48),IF((COUNTIFS(T_SelfStock[RM_Code],$A55,T_SelfStock[WeekIndex],48)&gt;0)*(COUNTIFS(T_TTAFStock[RM_Code],$A55,T_TTAFStock[WeekIndex],48)&gt;0)&gt;0,SUMIFS(T_SelfStock[Self_Qty],T_SelfStock[RM_Code],$A55,T_SelfStock[WeekIndex],48)+SUMIFS(T_TTAFStock[TTAF_Qty],T_TTAFStock[RM_Code],$A55,T_TTAFStock[WeekIndex],48),AV55+'Grid_Incoming'!AW55-'Grid_Requirement'!AW55))</f>
        <v/>
      </c>
      <c r="AX55">
        <f>IF(COUNTIFS(T_StockCount[RM_Code],$A55,T_StockCount[WeekIndex],49)&gt;0,SUMIFS(T_StockCount[CountedQty],T_StockCount[RM_Code],$A55,T_StockCount[WeekIndex],49),IF((COUNTIFS(T_SelfStock[RM_Code],$A55,T_SelfStock[WeekIndex],49)&gt;0)*(COUNTIFS(T_TTAFStock[RM_Code],$A55,T_TTAFStock[WeekIndex],49)&gt;0)&gt;0,SUMIFS(T_SelfStock[Self_Qty],T_SelfStock[RM_Code],$A55,T_SelfStock[WeekIndex],49)+SUMIFS(T_TTAFStock[TTAF_Qty],T_TTAFStock[RM_Code],$A55,T_TTAFStock[WeekIndex],49),AW55+'Grid_Incoming'!AX55-'Grid_Requirement'!AX55))</f>
        <v/>
      </c>
      <c r="AY55">
        <f>IF(COUNTIFS(T_StockCount[RM_Code],$A55,T_StockCount[WeekIndex],50)&gt;0,SUMIFS(T_StockCount[CountedQty],T_StockCount[RM_Code],$A55,T_StockCount[WeekIndex],50),IF((COUNTIFS(T_SelfStock[RM_Code],$A55,T_SelfStock[WeekIndex],50)&gt;0)*(COUNTIFS(T_TTAFStock[RM_Code],$A55,T_TTAFStock[WeekIndex],50)&gt;0)&gt;0,SUMIFS(T_SelfStock[Self_Qty],T_SelfStock[RM_Code],$A55,T_SelfStock[WeekIndex],50)+SUMIFS(T_TTAFStock[TTAF_Qty],T_TTAFStock[RM_Code],$A55,T_TTAFStock[WeekIndex],50),AX55+'Grid_Incoming'!AY55-'Grid_Requirement'!AY55))</f>
        <v/>
      </c>
      <c r="AZ55">
        <f>IF(COUNTIFS(T_StockCount[RM_Code],$A55,T_StockCount[WeekIndex],51)&gt;0,SUMIFS(T_StockCount[CountedQty],T_StockCount[RM_Code],$A55,T_StockCount[WeekIndex],51),IF((COUNTIFS(T_SelfStock[RM_Code],$A55,T_SelfStock[WeekIndex],51)&gt;0)*(COUNTIFS(T_TTAFStock[RM_Code],$A55,T_TTAFStock[WeekIndex],51)&gt;0)&gt;0,SUMIFS(T_SelfStock[Self_Qty],T_SelfStock[RM_Code],$A55,T_SelfStock[WeekIndex],51)+SUMIFS(T_TTAFStock[TTAF_Qty],T_TTAFStock[RM_Code],$A55,T_TTAFStock[WeekIndex],51),AY55+'Grid_Incoming'!AZ55-'Grid_Requirement'!AZ55))</f>
        <v/>
      </c>
      <c r="BA55">
        <f>IF(COUNTIFS(T_StockCount[RM_Code],$A55,T_StockCount[WeekIndex],52)&gt;0,SUMIFS(T_StockCount[CountedQty],T_StockCount[RM_Code],$A55,T_StockCount[WeekIndex],52),IF((COUNTIFS(T_SelfStock[RM_Code],$A55,T_SelfStock[WeekIndex],52)&gt;0)*(COUNTIFS(T_TTAFStock[RM_Code],$A55,T_TTAFStock[WeekIndex],52)&gt;0)&gt;0,SUMIFS(T_SelfStock[Self_Qty],T_SelfStock[RM_Code],$A55,T_SelfStock[WeekIndex],52)+SUMIFS(T_TTAFStock[TTAF_Qty],T_TTAFStock[RM_Code],$A55,T_TTAFStock[WeekIndex],52),AZ55+'Grid_Incoming'!BA55-'Grid_Requirement'!BA55))</f>
        <v/>
      </c>
      <c r="BB55">
        <f>IF(COUNTIFS(T_StockCount[RM_Code],$A55,T_StockCount[WeekIndex],53)&gt;0,SUMIFS(T_StockCount[CountedQty],T_StockCount[RM_Code],$A55,T_StockCount[WeekIndex],53),IF((COUNTIFS(T_SelfStock[RM_Code],$A55,T_SelfStock[WeekIndex],53)&gt;0)*(COUNTIFS(T_TTAFStock[RM_Code],$A55,T_TTAFStock[WeekIndex],53)&gt;0)&gt;0,SUMIFS(T_SelfStock[Self_Qty],T_SelfStock[RM_Code],$A55,T_SelfStock[WeekIndex],53)+SUMIFS(T_TTAFStock[TTAF_Qty],T_TTAFStock[RM_Code],$A55,T_TTAFStock[WeekIndex],53),BA55+'Grid_Incoming'!BB55-'Grid_Requirement'!BB55))</f>
        <v/>
      </c>
      <c r="BC55">
        <f>IF(COUNTIFS(T_StockCount[RM_Code],$A55,T_StockCount[WeekIndex],54)&gt;0,SUMIFS(T_StockCount[CountedQty],T_StockCount[RM_Code],$A55,T_StockCount[WeekIndex],54),IF((COUNTIFS(T_SelfStock[RM_Code],$A55,T_SelfStock[WeekIndex],54)&gt;0)*(COUNTIFS(T_TTAFStock[RM_Code],$A55,T_TTAFStock[WeekIndex],54)&gt;0)&gt;0,SUMIFS(T_SelfStock[Self_Qty],T_SelfStock[RM_Code],$A55,T_SelfStock[WeekIndex],54)+SUMIFS(T_TTAFStock[TTAF_Qty],T_TTAFStock[RM_Code],$A55,T_TTAFStock[WeekIndex],54),BB55+'Grid_Incoming'!BC55-'Grid_Requirement'!BC55))</f>
        <v/>
      </c>
      <c r="BD55">
        <f>IF(COUNTIFS(T_StockCount[RM_Code],$A55,T_StockCount[WeekIndex],55)&gt;0,SUMIFS(T_StockCount[CountedQty],T_StockCount[RM_Code],$A55,T_StockCount[WeekIndex],55),IF((COUNTIFS(T_SelfStock[RM_Code],$A55,T_SelfStock[WeekIndex],55)&gt;0)*(COUNTIFS(T_TTAFStock[RM_Code],$A55,T_TTAFStock[WeekIndex],55)&gt;0)&gt;0,SUMIFS(T_SelfStock[Self_Qty],T_SelfStock[RM_Code],$A55,T_SelfStock[WeekIndex],55)+SUMIFS(T_TTAFStock[TTAF_Qty],T_TTAFStock[RM_Code],$A55,T_TTAFStock[WeekIndex],55),BC55+'Grid_Incoming'!BD55-'Grid_Requirement'!BD55))</f>
        <v/>
      </c>
      <c r="BE55">
        <f>IF(COUNTIFS(T_StockCount[RM_Code],$A55,T_StockCount[WeekIndex],56)&gt;0,SUMIFS(T_StockCount[CountedQty],T_StockCount[RM_Code],$A55,T_StockCount[WeekIndex],56),IF((COUNTIFS(T_SelfStock[RM_Code],$A55,T_SelfStock[WeekIndex],56)&gt;0)*(COUNTIFS(T_TTAFStock[RM_Code],$A55,T_TTAFStock[WeekIndex],56)&gt;0)&gt;0,SUMIFS(T_SelfStock[Self_Qty],T_SelfStock[RM_Code],$A55,T_SelfStock[WeekIndex],56)+SUMIFS(T_TTAFStock[TTAF_Qty],T_TTAFStock[RM_Code],$A55,T_TTAFStock[WeekIndex],56),BD55+'Grid_Incoming'!BE55-'Grid_Requirement'!BE55))</f>
        <v/>
      </c>
      <c r="BF55">
        <f>IF(COUNTIFS(T_StockCount[RM_Code],$A55,T_StockCount[WeekIndex],57)&gt;0,SUMIFS(T_StockCount[CountedQty],T_StockCount[RM_Code],$A55,T_StockCount[WeekIndex],57),IF((COUNTIFS(T_SelfStock[RM_Code],$A55,T_SelfStock[WeekIndex],57)&gt;0)*(COUNTIFS(T_TTAFStock[RM_Code],$A55,T_TTAFStock[WeekIndex],57)&gt;0)&gt;0,SUMIFS(T_SelfStock[Self_Qty],T_SelfStock[RM_Code],$A55,T_SelfStock[WeekIndex],57)+SUMIFS(T_TTAFStock[TTAF_Qty],T_TTAFStock[RM_Code],$A55,T_TTAFStock[WeekIndex],57),BE55+'Grid_Incoming'!BF55-'Grid_Requirement'!BF55))</f>
        <v/>
      </c>
      <c r="BG55">
        <f>IF(COUNTIFS(T_StockCount[RM_Code],$A55,T_StockCount[WeekIndex],58)&gt;0,SUMIFS(T_StockCount[CountedQty],T_StockCount[RM_Code],$A55,T_StockCount[WeekIndex],58),IF((COUNTIFS(T_SelfStock[RM_Code],$A55,T_SelfStock[WeekIndex],58)&gt;0)*(COUNTIFS(T_TTAFStock[RM_Code],$A55,T_TTAFStock[WeekIndex],58)&gt;0)&gt;0,SUMIFS(T_SelfStock[Self_Qty],T_SelfStock[RM_Code],$A55,T_SelfStock[WeekIndex],58)+SUMIFS(T_TTAFStock[TTAF_Qty],T_TTAFStock[RM_Code],$A55,T_TTAFStock[WeekIndex],58),BF55+'Grid_Incoming'!BG55-'Grid_Requirement'!BG55))</f>
        <v/>
      </c>
      <c r="BH55">
        <f>IF(COUNTIFS(T_StockCount[RM_Code],$A55,T_StockCount[WeekIndex],59)&gt;0,SUMIFS(T_StockCount[CountedQty],T_StockCount[RM_Code],$A55,T_StockCount[WeekIndex],59),IF((COUNTIFS(T_SelfStock[RM_Code],$A55,T_SelfStock[WeekIndex],59)&gt;0)*(COUNTIFS(T_TTAFStock[RM_Code],$A55,T_TTAFStock[WeekIndex],59)&gt;0)&gt;0,SUMIFS(T_SelfStock[Self_Qty],T_SelfStock[RM_Code],$A55,T_SelfStock[WeekIndex],59)+SUMIFS(T_TTAFStock[TTAF_Qty],T_TTAFStock[RM_Code],$A55,T_TTAFStock[WeekIndex],59),BG55+'Grid_Incoming'!BH55-'Grid_Requirement'!BH55))</f>
        <v/>
      </c>
      <c r="BI55">
        <f>IF(COUNTIFS(T_StockCount[RM_Code],$A55,T_StockCount[WeekIndex],60)&gt;0,SUMIFS(T_StockCount[CountedQty],T_StockCount[RM_Code],$A55,T_StockCount[WeekIndex],60),IF((COUNTIFS(T_SelfStock[RM_Code],$A55,T_SelfStock[WeekIndex],60)&gt;0)*(COUNTIFS(T_TTAFStock[RM_Code],$A55,T_TTAFStock[WeekIndex],60)&gt;0)&gt;0,SUMIFS(T_SelfStock[Self_Qty],T_SelfStock[RM_Code],$A55,T_SelfStock[WeekIndex],60)+SUMIFS(T_TTAFStock[TTAF_Qty],T_TTAFStock[RM_Code],$A55,T_TTAFStock[WeekIndex],60),BH55+'Grid_Incoming'!BI55-'Grid_Requirement'!BI55))</f>
        <v/>
      </c>
      <c r="BJ55">
        <f>IF(COUNTIFS(T_StockCount[RM_Code],$A55,T_StockCount[WeekIndex],61)&gt;0,SUMIFS(T_StockCount[CountedQty],T_StockCount[RM_Code],$A55,T_StockCount[WeekIndex],61),IF((COUNTIFS(T_SelfStock[RM_Code],$A55,T_SelfStock[WeekIndex],61)&gt;0)*(COUNTIFS(T_TTAFStock[RM_Code],$A55,T_TTAFStock[WeekIndex],61)&gt;0)&gt;0,SUMIFS(T_SelfStock[Self_Qty],T_SelfStock[RM_Code],$A55,T_SelfStock[WeekIndex],61)+SUMIFS(T_TTAFStock[TTAF_Qty],T_TTAFStock[RM_Code],$A55,T_TTAFStock[WeekIndex],61),BI55+'Grid_Incoming'!BJ55-'Grid_Requirement'!BJ55))</f>
        <v/>
      </c>
      <c r="BK55">
        <f>IF(COUNTIFS(T_StockCount[RM_Code],$A55,T_StockCount[WeekIndex],62)&gt;0,SUMIFS(T_StockCount[CountedQty],T_StockCount[RM_Code],$A55,T_StockCount[WeekIndex],62),IF((COUNTIFS(T_SelfStock[RM_Code],$A55,T_SelfStock[WeekIndex],62)&gt;0)*(COUNTIFS(T_TTAFStock[RM_Code],$A55,T_TTAFStock[WeekIndex],62)&gt;0)&gt;0,SUMIFS(T_SelfStock[Self_Qty],T_SelfStock[RM_Code],$A55,T_SelfStock[WeekIndex],62)+SUMIFS(T_TTAFStock[TTAF_Qty],T_TTAFStock[RM_Code],$A55,T_TTAFStock[WeekIndex],62),BJ55+'Grid_Incoming'!BK55-'Grid_Requirement'!BK55))</f>
        <v/>
      </c>
      <c r="BL55">
        <f>IF(COUNTIFS(T_StockCount[RM_Code],$A55,T_StockCount[WeekIndex],63)&gt;0,SUMIFS(T_StockCount[CountedQty],T_StockCount[RM_Code],$A55,T_StockCount[WeekIndex],63),IF((COUNTIFS(T_SelfStock[RM_Code],$A55,T_SelfStock[WeekIndex],63)&gt;0)*(COUNTIFS(T_TTAFStock[RM_Code],$A55,T_TTAFStock[WeekIndex],63)&gt;0)&gt;0,SUMIFS(T_SelfStock[Self_Qty],T_SelfStock[RM_Code],$A55,T_SelfStock[WeekIndex],63)+SUMIFS(T_TTAFStock[TTAF_Qty],T_TTAFStock[RM_Code],$A55,T_TTAFStock[WeekIndex],63),BK55+'Grid_Incoming'!BL55-'Grid_Requirement'!BL55))</f>
        <v/>
      </c>
      <c r="BM55">
        <f>IF(COUNTIFS(T_StockCount[RM_Code],$A55,T_StockCount[WeekIndex],64)&gt;0,SUMIFS(T_StockCount[CountedQty],T_StockCount[RM_Code],$A55,T_StockCount[WeekIndex],64),IF((COUNTIFS(T_SelfStock[RM_Code],$A55,T_SelfStock[WeekIndex],64)&gt;0)*(COUNTIFS(T_TTAFStock[RM_Code],$A55,T_TTAFStock[WeekIndex],64)&gt;0)&gt;0,SUMIFS(T_SelfStock[Self_Qty],T_SelfStock[RM_Code],$A55,T_SelfStock[WeekIndex],64)+SUMIFS(T_TTAFStock[TTAF_Qty],T_TTAFStock[RM_Code],$A55,T_TTAFStock[WeekIndex],64),BL55+'Grid_Incoming'!BM55-'Grid_Requirement'!BM55))</f>
        <v/>
      </c>
      <c r="BN55">
        <f>IF(COUNTIFS(T_StockCount[RM_Code],$A55,T_StockCount[WeekIndex],65)&gt;0,SUMIFS(T_StockCount[CountedQty],T_StockCount[RM_Code],$A55,T_StockCount[WeekIndex],65),IF((COUNTIFS(T_SelfStock[RM_Code],$A55,T_SelfStock[WeekIndex],65)&gt;0)*(COUNTIFS(T_TTAFStock[RM_Code],$A55,T_TTAFStock[WeekIndex],65)&gt;0)&gt;0,SUMIFS(T_SelfStock[Self_Qty],T_SelfStock[RM_Code],$A55,T_SelfStock[WeekIndex],65)+SUMIFS(T_TTAFStock[TTAF_Qty],T_TTAFStock[RM_Code],$A55,T_TTAFStock[WeekIndex],65),BM55+'Grid_Incoming'!BN55-'Grid_Requirement'!BN55))</f>
        <v/>
      </c>
      <c r="BO55">
        <f>IF(COUNTIFS(T_StockCount[RM_Code],$A55,T_StockCount[WeekIndex],66)&gt;0,SUMIFS(T_StockCount[CountedQty],T_StockCount[RM_Code],$A55,T_StockCount[WeekIndex],66),IF((COUNTIFS(T_SelfStock[RM_Code],$A55,T_SelfStock[WeekIndex],66)&gt;0)*(COUNTIFS(T_TTAFStock[RM_Code],$A55,T_TTAFStock[WeekIndex],66)&gt;0)&gt;0,SUMIFS(T_SelfStock[Self_Qty],T_SelfStock[RM_Code],$A55,T_SelfStock[WeekIndex],66)+SUMIFS(T_TTAFStock[TTAF_Qty],T_TTAFStock[RM_Code],$A55,T_TTAFStock[WeekIndex],66),BN55+'Grid_Incoming'!BO55-'Grid_Requirement'!BO55))</f>
        <v/>
      </c>
      <c r="BP55">
        <f>IF(COUNTIFS(T_StockCount[RM_Code],$A55,T_StockCount[WeekIndex],67)&gt;0,SUMIFS(T_StockCount[CountedQty],T_StockCount[RM_Code],$A55,T_StockCount[WeekIndex],67),IF((COUNTIFS(T_SelfStock[RM_Code],$A55,T_SelfStock[WeekIndex],67)&gt;0)*(COUNTIFS(T_TTAFStock[RM_Code],$A55,T_TTAFStock[WeekIndex],67)&gt;0)&gt;0,SUMIFS(T_SelfStock[Self_Qty],T_SelfStock[RM_Code],$A55,T_SelfStock[WeekIndex],67)+SUMIFS(T_TTAFStock[TTAF_Qty],T_TTAFStock[RM_Code],$A55,T_TTAFStock[WeekIndex],67),BO55+'Grid_Incoming'!BP55-'Grid_Requirement'!BP55))</f>
        <v/>
      </c>
      <c r="BQ55">
        <f>IF(COUNTIFS(T_StockCount[RM_Code],$A55,T_StockCount[WeekIndex],68)&gt;0,SUMIFS(T_StockCount[CountedQty],T_StockCount[RM_Code],$A55,T_StockCount[WeekIndex],68),IF((COUNTIFS(T_SelfStock[RM_Code],$A55,T_SelfStock[WeekIndex],68)&gt;0)*(COUNTIFS(T_TTAFStock[RM_Code],$A55,T_TTAFStock[WeekIndex],68)&gt;0)&gt;0,SUMIFS(T_SelfStock[Self_Qty],T_SelfStock[RM_Code],$A55,T_SelfStock[WeekIndex],68)+SUMIFS(T_TTAFStock[TTAF_Qty],T_TTAFStock[RM_Code],$A55,T_TTAFStock[WeekIndex],68),BP55+'Grid_Incoming'!BQ55-'Grid_Requirement'!BQ55))</f>
        <v/>
      </c>
      <c r="BR55">
        <f>IF(COUNTIFS(T_StockCount[RM_Code],$A55,T_StockCount[WeekIndex],69)&gt;0,SUMIFS(T_StockCount[CountedQty],T_StockCount[RM_Code],$A55,T_StockCount[WeekIndex],69),IF((COUNTIFS(T_SelfStock[RM_Code],$A55,T_SelfStock[WeekIndex],69)&gt;0)*(COUNTIFS(T_TTAFStock[RM_Code],$A55,T_TTAFStock[WeekIndex],69)&gt;0)&gt;0,SUMIFS(T_SelfStock[Self_Qty],T_SelfStock[RM_Code],$A55,T_SelfStock[WeekIndex],69)+SUMIFS(T_TTAFStock[TTAF_Qty],T_TTAFStock[RM_Code],$A55,T_TTAFStock[WeekIndex],69),BQ55+'Grid_Incoming'!BR55-'Grid_Requirement'!BR55))</f>
        <v/>
      </c>
      <c r="BS55">
        <f>IF(COUNTIFS(T_StockCount[RM_Code],$A55,T_StockCount[WeekIndex],70)&gt;0,SUMIFS(T_StockCount[CountedQty],T_StockCount[RM_Code],$A55,T_StockCount[WeekIndex],70),IF((COUNTIFS(T_SelfStock[RM_Code],$A55,T_SelfStock[WeekIndex],70)&gt;0)*(COUNTIFS(T_TTAFStock[RM_Code],$A55,T_TTAFStock[WeekIndex],70)&gt;0)&gt;0,SUMIFS(T_SelfStock[Self_Qty],T_SelfStock[RM_Code],$A55,T_SelfStock[WeekIndex],70)+SUMIFS(T_TTAFStock[TTAF_Qty],T_TTAFStock[RM_Code],$A55,T_TTAFStock[WeekIndex],70),BR55+'Grid_Incoming'!BS55-'Grid_Requirement'!BS55))</f>
        <v/>
      </c>
      <c r="BT55">
        <f>IF(COUNTIFS(T_StockCount[RM_Code],$A55,T_StockCount[WeekIndex],71)&gt;0,SUMIFS(T_StockCount[CountedQty],T_StockCount[RM_Code],$A55,T_StockCount[WeekIndex],71),IF((COUNTIFS(T_SelfStock[RM_Code],$A55,T_SelfStock[WeekIndex],71)&gt;0)*(COUNTIFS(T_TTAFStock[RM_Code],$A55,T_TTAFStock[WeekIndex],71)&gt;0)&gt;0,SUMIFS(T_SelfStock[Self_Qty],T_SelfStock[RM_Code],$A55,T_SelfStock[WeekIndex],71)+SUMIFS(T_TTAFStock[TTAF_Qty],T_TTAFStock[RM_Code],$A55,T_TTAFStock[WeekIndex],71),BS55+'Grid_Incoming'!BT55-'Grid_Requirement'!BT55))</f>
        <v/>
      </c>
      <c r="BU55">
        <f>IF(COUNTIFS(T_StockCount[RM_Code],$A55,T_StockCount[WeekIndex],72)&gt;0,SUMIFS(T_StockCount[CountedQty],T_StockCount[RM_Code],$A55,T_StockCount[WeekIndex],72),IF((COUNTIFS(T_SelfStock[RM_Code],$A55,T_SelfStock[WeekIndex],72)&gt;0)*(COUNTIFS(T_TTAFStock[RM_Code],$A55,T_TTAFStock[WeekIndex],72)&gt;0)&gt;0,SUMIFS(T_SelfStock[Self_Qty],T_SelfStock[RM_Code],$A55,T_SelfStock[WeekIndex],72)+SUMIFS(T_TTAFStock[TTAF_Qty],T_TTAFStock[RM_Code],$A55,T_TTAFStock[WeekIndex],72),BT55+'Grid_Incoming'!BU55-'Grid_Requirement'!BU55))</f>
        <v/>
      </c>
      <c r="BV55">
        <f>IF(COUNTIFS(T_StockCount[RM_Code],$A55,T_StockCount[WeekIndex],73)&gt;0,SUMIFS(T_StockCount[CountedQty],T_StockCount[RM_Code],$A55,T_StockCount[WeekIndex],73),IF((COUNTIFS(T_SelfStock[RM_Code],$A55,T_SelfStock[WeekIndex],73)&gt;0)*(COUNTIFS(T_TTAFStock[RM_Code],$A55,T_TTAFStock[WeekIndex],73)&gt;0)&gt;0,SUMIFS(T_SelfStock[Self_Qty],T_SelfStock[RM_Code],$A55,T_SelfStock[WeekIndex],73)+SUMIFS(T_TTAFStock[TTAF_Qty],T_TTAFStock[RM_Code],$A55,T_TTAFStock[WeekIndex],73),BU55+'Grid_Incoming'!BV55-'Grid_Requirement'!BV55))</f>
        <v/>
      </c>
      <c r="BW55">
        <f>IF(COUNTIFS(T_StockCount[RM_Code],$A55,T_StockCount[WeekIndex],74)&gt;0,SUMIFS(T_StockCount[CountedQty],T_StockCount[RM_Code],$A55,T_StockCount[WeekIndex],74),IF((COUNTIFS(T_SelfStock[RM_Code],$A55,T_SelfStock[WeekIndex],74)&gt;0)*(COUNTIFS(T_TTAFStock[RM_Code],$A55,T_TTAFStock[WeekIndex],74)&gt;0)&gt;0,SUMIFS(T_SelfStock[Self_Qty],T_SelfStock[RM_Code],$A55,T_SelfStock[WeekIndex],74)+SUMIFS(T_TTAFStock[TTAF_Qty],T_TTAFStock[RM_Code],$A55,T_TTAFStock[WeekIndex],74),BV55+'Grid_Incoming'!BW55-'Grid_Requirement'!BW55))</f>
        <v/>
      </c>
      <c r="BX55">
        <f>IF(COUNTIFS(T_StockCount[RM_Code],$A55,T_StockCount[WeekIndex],75)&gt;0,SUMIFS(T_StockCount[CountedQty],T_StockCount[RM_Code],$A55,T_StockCount[WeekIndex],75),IF((COUNTIFS(T_SelfStock[RM_Code],$A55,T_SelfStock[WeekIndex],75)&gt;0)*(COUNTIFS(T_TTAFStock[RM_Code],$A55,T_TTAFStock[WeekIndex],75)&gt;0)&gt;0,SUMIFS(T_SelfStock[Self_Qty],T_SelfStock[RM_Code],$A55,T_SelfStock[WeekIndex],75)+SUMIFS(T_TTAFStock[TTAF_Qty],T_TTAFStock[RM_Code],$A55,T_TTAFStock[WeekIndex],75),BW55+'Grid_Incoming'!BX55-'Grid_Requirement'!BX55))</f>
        <v/>
      </c>
      <c r="BY55">
        <f>IF(COUNTIFS(T_StockCount[RM_Code],$A55,T_StockCount[WeekIndex],76)&gt;0,SUMIFS(T_StockCount[CountedQty],T_StockCount[RM_Code],$A55,T_StockCount[WeekIndex],76),IF((COUNTIFS(T_SelfStock[RM_Code],$A55,T_SelfStock[WeekIndex],76)&gt;0)*(COUNTIFS(T_TTAFStock[RM_Code],$A55,T_TTAFStock[WeekIndex],76)&gt;0)&gt;0,SUMIFS(T_SelfStock[Self_Qty],T_SelfStock[RM_Code],$A55,T_SelfStock[WeekIndex],76)+SUMIFS(T_TTAFStock[TTAF_Qty],T_TTAFStock[RM_Code],$A55,T_TTAFStock[WeekIndex],76),BX55+'Grid_Incoming'!BY55-'Grid_Requirement'!BY55))</f>
        <v/>
      </c>
      <c r="BZ55">
        <f>IF(COUNTIFS(T_StockCount[RM_Code],$A55,T_StockCount[WeekIndex],77)&gt;0,SUMIFS(T_StockCount[CountedQty],T_StockCount[RM_Code],$A55,T_StockCount[WeekIndex],77),IF((COUNTIFS(T_SelfStock[RM_Code],$A55,T_SelfStock[WeekIndex],77)&gt;0)*(COUNTIFS(T_TTAFStock[RM_Code],$A55,T_TTAFStock[WeekIndex],77)&gt;0)&gt;0,SUMIFS(T_SelfStock[Self_Qty],T_SelfStock[RM_Code],$A55,T_SelfStock[WeekIndex],77)+SUMIFS(T_TTAFStock[TTAF_Qty],T_TTAFStock[RM_Code],$A55,T_TTAFStock[WeekIndex],77),BY55+'Grid_Incoming'!BZ55-'Grid_Requirement'!BZ55))</f>
        <v/>
      </c>
      <c r="CA55">
        <f>IF(COUNTIFS(T_StockCount[RM_Code],$A55,T_StockCount[WeekIndex],78)&gt;0,SUMIFS(T_StockCount[CountedQty],T_StockCount[RM_Code],$A55,T_StockCount[WeekIndex],78),IF((COUNTIFS(T_SelfStock[RM_Code],$A55,T_SelfStock[WeekIndex],78)&gt;0)*(COUNTIFS(T_TTAFStock[RM_Code],$A55,T_TTAFStock[WeekIndex],78)&gt;0)&gt;0,SUMIFS(T_SelfStock[Self_Qty],T_SelfStock[RM_Code],$A55,T_SelfStock[WeekIndex],78)+SUMIFS(T_TTAFStock[TTAF_Qty],T_TTAFStock[RM_Code],$A55,T_TTAFStock[WeekIndex],78),BZ55+'Grid_Incoming'!CA55-'Grid_Requirement'!CA55))</f>
        <v/>
      </c>
      <c r="CB55">
        <f>IF(COUNTIFS(T_StockCount[RM_Code],$A55,T_StockCount[WeekIndex],79)&gt;0,SUMIFS(T_StockCount[CountedQty],T_StockCount[RM_Code],$A55,T_StockCount[WeekIndex],79),IF((COUNTIFS(T_SelfStock[RM_Code],$A55,T_SelfStock[WeekIndex],79)&gt;0)*(COUNTIFS(T_TTAFStock[RM_Code],$A55,T_TTAFStock[WeekIndex],79)&gt;0)&gt;0,SUMIFS(T_SelfStock[Self_Qty],T_SelfStock[RM_Code],$A55,T_SelfStock[WeekIndex],79)+SUMIFS(T_TTAFStock[TTAF_Qty],T_TTAFStock[RM_Code],$A55,T_TTAFStock[WeekIndex],79),CA55+'Grid_Incoming'!CB55-'Grid_Requirement'!CB55))</f>
        <v/>
      </c>
      <c r="CC55">
        <f>IF(COUNTIFS(T_StockCount[RM_Code],$A55,T_StockCount[WeekIndex],80)&gt;0,SUMIFS(T_StockCount[CountedQty],T_StockCount[RM_Code],$A55,T_StockCount[WeekIndex],80),IF((COUNTIFS(T_SelfStock[RM_Code],$A55,T_SelfStock[WeekIndex],80)&gt;0)*(COUNTIFS(T_TTAFStock[RM_Code],$A55,T_TTAFStock[WeekIndex],80)&gt;0)&gt;0,SUMIFS(T_SelfStock[Self_Qty],T_SelfStock[RM_Code],$A55,T_SelfStock[WeekIndex],80)+SUMIFS(T_TTAFStock[TTAF_Qty],T_TTAFStock[RM_Code],$A55,T_TTAFStock[WeekIndex],80),CB55+'Grid_Incoming'!CC55-'Grid_Requirement'!CC55))</f>
        <v/>
      </c>
      <c r="CD55">
        <f>IF(COUNTIFS(T_StockCount[RM_Code],$A55,T_StockCount[WeekIndex],81)&gt;0,SUMIFS(T_StockCount[CountedQty],T_StockCount[RM_Code],$A55,T_StockCount[WeekIndex],81),IF((COUNTIFS(T_SelfStock[RM_Code],$A55,T_SelfStock[WeekIndex],81)&gt;0)*(COUNTIFS(T_TTAFStock[RM_Code],$A55,T_TTAFStock[WeekIndex],81)&gt;0)&gt;0,SUMIFS(T_SelfStock[Self_Qty],T_SelfStock[RM_Code],$A55,T_SelfStock[WeekIndex],81)+SUMIFS(T_TTAFStock[TTAF_Qty],T_TTAFStock[RM_Code],$A55,T_TTAFStock[WeekIndex],81),CC55+'Grid_Incoming'!CD55-'Grid_Requirement'!CD55))</f>
        <v/>
      </c>
      <c r="CE55">
        <f>IF(COUNTIFS(T_StockCount[RM_Code],$A55,T_StockCount[WeekIndex],82)&gt;0,SUMIFS(T_StockCount[CountedQty],T_StockCount[RM_Code],$A55,T_StockCount[WeekIndex],82),IF((COUNTIFS(T_SelfStock[RM_Code],$A55,T_SelfStock[WeekIndex],82)&gt;0)*(COUNTIFS(T_TTAFStock[RM_Code],$A55,T_TTAFStock[WeekIndex],82)&gt;0)&gt;0,SUMIFS(T_SelfStock[Self_Qty],T_SelfStock[RM_Code],$A55,T_SelfStock[WeekIndex],82)+SUMIFS(T_TTAFStock[TTAF_Qty],T_TTAFStock[RM_Code],$A55,T_TTAFStock[WeekIndex],82),CD55+'Grid_Incoming'!CE55-'Grid_Requirement'!CE55))</f>
        <v/>
      </c>
      <c r="CF55">
        <f>IF(COUNTIFS(T_StockCount[RM_Code],$A55,T_StockCount[WeekIndex],83)&gt;0,SUMIFS(T_StockCount[CountedQty],T_StockCount[RM_Code],$A55,T_StockCount[WeekIndex],83),IF((COUNTIFS(T_SelfStock[RM_Code],$A55,T_SelfStock[WeekIndex],83)&gt;0)*(COUNTIFS(T_TTAFStock[RM_Code],$A55,T_TTAFStock[WeekIndex],83)&gt;0)&gt;0,SUMIFS(T_SelfStock[Self_Qty],T_SelfStock[RM_Code],$A55,T_SelfStock[WeekIndex],83)+SUMIFS(T_TTAFStock[TTAF_Qty],T_TTAFStock[RM_Code],$A55,T_TTAFStock[WeekIndex],83),CE55+'Grid_Incoming'!CF55-'Grid_Requirement'!CF55))</f>
        <v/>
      </c>
      <c r="CG55">
        <f>IF(COUNTIFS(T_StockCount[RM_Code],$A55,T_StockCount[WeekIndex],84)&gt;0,SUMIFS(T_StockCount[CountedQty],T_StockCount[RM_Code],$A55,T_StockCount[WeekIndex],84),IF((COUNTIFS(T_SelfStock[RM_Code],$A55,T_SelfStock[WeekIndex],84)&gt;0)*(COUNTIFS(T_TTAFStock[RM_Code],$A55,T_TTAFStock[WeekIndex],84)&gt;0)&gt;0,SUMIFS(T_SelfStock[Self_Qty],T_SelfStock[RM_Code],$A55,T_SelfStock[WeekIndex],84)+SUMIFS(T_TTAFStock[TTAF_Qty],T_TTAFStock[RM_Code],$A55,T_TTAFStock[WeekIndex],84),CF55+'Grid_Incoming'!CG55-'Grid_Requirement'!CG55))</f>
        <v/>
      </c>
      <c r="CH55">
        <f>IF(COUNTIFS(T_StockCount[RM_Code],$A55,T_StockCount[WeekIndex],85)&gt;0,SUMIFS(T_StockCount[CountedQty],T_StockCount[RM_Code],$A55,T_StockCount[WeekIndex],85),IF((COUNTIFS(T_SelfStock[RM_Code],$A55,T_SelfStock[WeekIndex],85)&gt;0)*(COUNTIFS(T_TTAFStock[RM_Code],$A55,T_TTAFStock[WeekIndex],85)&gt;0)&gt;0,SUMIFS(T_SelfStock[Self_Qty],T_SelfStock[RM_Code],$A55,T_SelfStock[WeekIndex],85)+SUMIFS(T_TTAFStock[TTAF_Qty],T_TTAFStock[RM_Code],$A55,T_TTAFStock[WeekIndex],85),CG55+'Grid_Incoming'!CH55-'Grid_Requirement'!CH55))</f>
        <v/>
      </c>
      <c r="CI55">
        <f>IF(COUNTIFS(T_StockCount[RM_Code],$A55,T_StockCount[WeekIndex],86)&gt;0,SUMIFS(T_StockCount[CountedQty],T_StockCount[RM_Code],$A55,T_StockCount[WeekIndex],86),IF((COUNTIFS(T_SelfStock[RM_Code],$A55,T_SelfStock[WeekIndex],86)&gt;0)*(COUNTIFS(T_TTAFStock[RM_Code],$A55,T_TTAFStock[WeekIndex],86)&gt;0)&gt;0,SUMIFS(T_SelfStock[Self_Qty],T_SelfStock[RM_Code],$A55,T_SelfStock[WeekIndex],86)+SUMIFS(T_TTAFStock[TTAF_Qty],T_TTAFStock[RM_Code],$A55,T_TTAFStock[WeekIndex],86),CH55+'Grid_Incoming'!CI55-'Grid_Requirement'!CI55))</f>
        <v/>
      </c>
      <c r="CJ55">
        <f>IF(COUNTIFS(T_StockCount[RM_Code],$A55,T_StockCount[WeekIndex],87)&gt;0,SUMIFS(T_StockCount[CountedQty],T_StockCount[RM_Code],$A55,T_StockCount[WeekIndex],87),IF((COUNTIFS(T_SelfStock[RM_Code],$A55,T_SelfStock[WeekIndex],87)&gt;0)*(COUNTIFS(T_TTAFStock[RM_Code],$A55,T_TTAFStock[WeekIndex],87)&gt;0)&gt;0,SUMIFS(T_SelfStock[Self_Qty],T_SelfStock[RM_Code],$A55,T_SelfStock[WeekIndex],87)+SUMIFS(T_TTAFStock[TTAF_Qty],T_TTAFStock[RM_Code],$A55,T_TTAFStock[WeekIndex],87),CI55+'Grid_Incoming'!CJ55-'Grid_Requirement'!CJ55))</f>
        <v/>
      </c>
      <c r="CK55">
        <f>IF(COUNTIFS(T_StockCount[RM_Code],$A55,T_StockCount[WeekIndex],88)&gt;0,SUMIFS(T_StockCount[CountedQty],T_StockCount[RM_Code],$A55,T_StockCount[WeekIndex],88),IF((COUNTIFS(T_SelfStock[RM_Code],$A55,T_SelfStock[WeekIndex],88)&gt;0)*(COUNTIFS(T_TTAFStock[RM_Code],$A55,T_TTAFStock[WeekIndex],88)&gt;0)&gt;0,SUMIFS(T_SelfStock[Self_Qty],T_SelfStock[RM_Code],$A55,T_SelfStock[WeekIndex],88)+SUMIFS(T_TTAFStock[TTAF_Qty],T_TTAFStock[RM_Code],$A55,T_TTAFStock[WeekIndex],88),CJ55+'Grid_Incoming'!CK55-'Grid_Requirement'!CK55))</f>
        <v/>
      </c>
      <c r="CL55">
        <f>IF(COUNTIFS(T_StockCount[RM_Code],$A55,T_StockCount[WeekIndex],89)&gt;0,SUMIFS(T_StockCount[CountedQty],T_StockCount[RM_Code],$A55,T_StockCount[WeekIndex],89),IF((COUNTIFS(T_SelfStock[RM_Code],$A55,T_SelfStock[WeekIndex],89)&gt;0)*(COUNTIFS(T_TTAFStock[RM_Code],$A55,T_TTAFStock[WeekIndex],89)&gt;0)&gt;0,SUMIFS(T_SelfStock[Self_Qty],T_SelfStock[RM_Code],$A55,T_SelfStock[WeekIndex],89)+SUMIFS(T_TTAFStock[TTAF_Qty],T_TTAFStock[RM_Code],$A55,T_TTAFStock[WeekIndex],89),CK55+'Grid_Incoming'!CL55-'Grid_Requirement'!CL55))</f>
        <v/>
      </c>
      <c r="CM55">
        <f>IF(COUNTIFS(T_StockCount[RM_Code],$A55,T_StockCount[WeekIndex],90)&gt;0,SUMIFS(T_StockCount[CountedQty],T_StockCount[RM_Code],$A55,T_StockCount[WeekIndex],90),IF((COUNTIFS(T_SelfStock[RM_Code],$A55,T_SelfStock[WeekIndex],90)&gt;0)*(COUNTIFS(T_TTAFStock[RM_Code],$A55,T_TTAFStock[WeekIndex],90)&gt;0)&gt;0,SUMIFS(T_SelfStock[Self_Qty],T_SelfStock[RM_Code],$A55,T_SelfStock[WeekIndex],90)+SUMIFS(T_TTAFStock[TTAF_Qty],T_TTAFStock[RM_Code],$A55,T_TTAFStock[WeekIndex],90),CL55+'Grid_Incoming'!CM55-'Grid_Requirement'!CM55))</f>
        <v/>
      </c>
      <c r="CN55">
        <f>IF(COUNTIFS(T_StockCount[RM_Code],$A55,T_StockCount[WeekIndex],91)&gt;0,SUMIFS(T_StockCount[CountedQty],T_StockCount[RM_Code],$A55,T_StockCount[WeekIndex],91),IF((COUNTIFS(T_SelfStock[RM_Code],$A55,T_SelfStock[WeekIndex],91)&gt;0)*(COUNTIFS(T_TTAFStock[RM_Code],$A55,T_TTAFStock[WeekIndex],91)&gt;0)&gt;0,SUMIFS(T_SelfStock[Self_Qty],T_SelfStock[RM_Code],$A55,T_SelfStock[WeekIndex],91)+SUMIFS(T_TTAFStock[TTAF_Qty],T_TTAFStock[RM_Code],$A55,T_TTAFStock[WeekIndex],91),CM55+'Grid_Incoming'!CN55-'Grid_Requirement'!CN55))</f>
        <v/>
      </c>
      <c r="CO55">
        <f>IF(COUNTIFS(T_StockCount[RM_Code],$A55,T_StockCount[WeekIndex],92)&gt;0,SUMIFS(T_StockCount[CountedQty],T_StockCount[RM_Code],$A55,T_StockCount[WeekIndex],92),IF((COUNTIFS(T_SelfStock[RM_Code],$A55,T_SelfStock[WeekIndex],92)&gt;0)*(COUNTIFS(T_TTAFStock[RM_Code],$A55,T_TTAFStock[WeekIndex],92)&gt;0)&gt;0,SUMIFS(T_SelfStock[Self_Qty],T_SelfStock[RM_Code],$A55,T_SelfStock[WeekIndex],92)+SUMIFS(T_TTAFStock[TTAF_Qty],T_TTAFStock[RM_Code],$A55,T_TTAFStock[WeekIndex],92),CN55+'Grid_Incoming'!CO55-'Grid_Requirement'!CO55))</f>
        <v/>
      </c>
      <c r="CP55">
        <f>IF(COUNTIFS(T_StockCount[RM_Code],$A55,T_StockCount[WeekIndex],93)&gt;0,SUMIFS(T_StockCount[CountedQty],T_StockCount[RM_Code],$A55,T_StockCount[WeekIndex],93),IF((COUNTIFS(T_SelfStock[RM_Code],$A55,T_SelfStock[WeekIndex],93)&gt;0)*(COUNTIFS(T_TTAFStock[RM_Code],$A55,T_TTAFStock[WeekIndex],93)&gt;0)&gt;0,SUMIFS(T_SelfStock[Self_Qty],T_SelfStock[RM_Code],$A55,T_SelfStock[WeekIndex],93)+SUMIFS(T_TTAFStock[TTAF_Qty],T_TTAFStock[RM_Code],$A55,T_TTAFStock[WeekIndex],93),CO55+'Grid_Incoming'!CP55-'Grid_Requirement'!CP55))</f>
        <v/>
      </c>
      <c r="CQ55">
        <f>IF(COUNTIFS(T_StockCount[RM_Code],$A55,T_StockCount[WeekIndex],94)&gt;0,SUMIFS(T_StockCount[CountedQty],T_StockCount[RM_Code],$A55,T_StockCount[WeekIndex],94),IF((COUNTIFS(T_SelfStock[RM_Code],$A55,T_SelfStock[WeekIndex],94)&gt;0)*(COUNTIFS(T_TTAFStock[RM_Code],$A55,T_TTAFStock[WeekIndex],94)&gt;0)&gt;0,SUMIFS(T_SelfStock[Self_Qty],T_SelfStock[RM_Code],$A55,T_SelfStock[WeekIndex],94)+SUMIFS(T_TTAFStock[TTAF_Qty],T_TTAFStock[RM_Code],$A55,T_TTAFStock[WeekIndex],94),CP55+'Grid_Incoming'!CQ55-'Grid_Requirement'!CQ55))</f>
        <v/>
      </c>
      <c r="CR55">
        <f>IF(COUNTIFS(T_StockCount[RM_Code],$A55,T_StockCount[WeekIndex],95)&gt;0,SUMIFS(T_StockCount[CountedQty],T_StockCount[RM_Code],$A55,T_StockCount[WeekIndex],95),IF((COUNTIFS(T_SelfStock[RM_Code],$A55,T_SelfStock[WeekIndex],95)&gt;0)*(COUNTIFS(T_TTAFStock[RM_Code],$A55,T_TTAFStock[WeekIndex],95)&gt;0)&gt;0,SUMIFS(T_SelfStock[Self_Qty],T_SelfStock[RM_Code],$A55,T_SelfStock[WeekIndex],95)+SUMIFS(T_TTAFStock[TTAF_Qty],T_TTAFStock[RM_Code],$A55,T_TTAFStock[WeekIndex],95),CQ55+'Grid_Incoming'!CR55-'Grid_Requirement'!CR55))</f>
        <v/>
      </c>
      <c r="CS55">
        <f>IF(COUNTIFS(T_StockCount[RM_Code],$A55,T_StockCount[WeekIndex],96)&gt;0,SUMIFS(T_StockCount[CountedQty],T_StockCount[RM_Code],$A55,T_StockCount[WeekIndex],96),IF((COUNTIFS(T_SelfStock[RM_Code],$A55,T_SelfStock[WeekIndex],96)&gt;0)*(COUNTIFS(T_TTAFStock[RM_Code],$A55,T_TTAFStock[WeekIndex],96)&gt;0)&gt;0,SUMIFS(T_SelfStock[Self_Qty],T_SelfStock[RM_Code],$A55,T_SelfStock[WeekIndex],96)+SUMIFS(T_TTAFStock[TTAF_Qty],T_TTAFStock[RM_Code],$A55,T_TTAFStock[WeekIndex],96),CR55+'Grid_Incoming'!CS55-'Grid_Requirement'!CS55))</f>
        <v/>
      </c>
      <c r="CT55">
        <f>IF(COUNTIFS(T_StockCount[RM_Code],$A55,T_StockCount[WeekIndex],97)&gt;0,SUMIFS(T_StockCount[CountedQty],T_StockCount[RM_Code],$A55,T_StockCount[WeekIndex],97),IF((COUNTIFS(T_SelfStock[RM_Code],$A55,T_SelfStock[WeekIndex],97)&gt;0)*(COUNTIFS(T_TTAFStock[RM_Code],$A55,T_TTAFStock[WeekIndex],97)&gt;0)&gt;0,SUMIFS(T_SelfStock[Self_Qty],T_SelfStock[RM_Code],$A55,T_SelfStock[WeekIndex],97)+SUMIFS(T_TTAFStock[TTAF_Qty],T_TTAFStock[RM_Code],$A55,T_TTAFStock[WeekIndex],97),CS55+'Grid_Incoming'!CT55-'Grid_Requirement'!CT55))</f>
        <v/>
      </c>
      <c r="CU55">
        <f>IF(COUNTIFS(T_StockCount[RM_Code],$A55,T_StockCount[WeekIndex],98)&gt;0,SUMIFS(T_StockCount[CountedQty],T_StockCount[RM_Code],$A55,T_StockCount[WeekIndex],98),IF((COUNTIFS(T_SelfStock[RM_Code],$A55,T_SelfStock[WeekIndex],98)&gt;0)*(COUNTIFS(T_TTAFStock[RM_Code],$A55,T_TTAFStock[WeekIndex],98)&gt;0)&gt;0,SUMIFS(T_SelfStock[Self_Qty],T_SelfStock[RM_Code],$A55,T_SelfStock[WeekIndex],98)+SUMIFS(T_TTAFStock[TTAF_Qty],T_TTAFStock[RM_Code],$A55,T_TTAFStock[WeekIndex],98),CT55+'Grid_Incoming'!CU55-'Grid_Requirement'!CU55))</f>
        <v/>
      </c>
      <c r="CV55">
        <f>IF(COUNTIFS(T_StockCount[RM_Code],$A55,T_StockCount[WeekIndex],99)&gt;0,SUMIFS(T_StockCount[CountedQty],T_StockCount[RM_Code],$A55,T_StockCount[WeekIndex],99),IF((COUNTIFS(T_SelfStock[RM_Code],$A55,T_SelfStock[WeekIndex],99)&gt;0)*(COUNTIFS(T_TTAFStock[RM_Code],$A55,T_TTAFStock[WeekIndex],99)&gt;0)&gt;0,SUMIFS(T_SelfStock[Self_Qty],T_SelfStock[RM_Code],$A55,T_SelfStock[WeekIndex],99)+SUMIFS(T_TTAFStock[TTAF_Qty],T_TTAFStock[RM_Code],$A55,T_TTAFStock[WeekIndex],99),CU55+'Grid_Incoming'!CV55-'Grid_Requirement'!CV55))</f>
        <v/>
      </c>
      <c r="CW55">
        <f>IF(COUNTIFS(T_StockCount[RM_Code],$A55,T_StockCount[WeekIndex],100)&gt;0,SUMIFS(T_StockCount[CountedQty],T_StockCount[RM_Code],$A55,T_StockCount[WeekIndex],100),IF((COUNTIFS(T_SelfStock[RM_Code],$A55,T_SelfStock[WeekIndex],100)&gt;0)*(COUNTIFS(T_TTAFStock[RM_Code],$A55,T_TTAFStock[WeekIndex],100)&gt;0)&gt;0,SUMIFS(T_SelfStock[Self_Qty],T_SelfStock[RM_Code],$A55,T_SelfStock[WeekIndex],100)+SUMIFS(T_TTAFStock[TTAF_Qty],T_TTAFStock[RM_Code],$A55,T_TTAFStock[WeekIndex],100),CV55+'Grid_Incoming'!CW55-'Grid_Requirement'!CW55))</f>
        <v/>
      </c>
      <c r="CX55">
        <f>IF(COUNTIFS(T_StockCount[RM_Code],$A55,T_StockCount[WeekIndex],101)&gt;0,SUMIFS(T_StockCount[CountedQty],T_StockCount[RM_Code],$A55,T_StockCount[WeekIndex],101),IF((COUNTIFS(T_SelfStock[RM_Code],$A55,T_SelfStock[WeekIndex],101)&gt;0)*(COUNTIFS(T_TTAFStock[RM_Code],$A55,T_TTAFStock[WeekIndex],101)&gt;0)&gt;0,SUMIFS(T_SelfStock[Self_Qty],T_SelfStock[RM_Code],$A55,T_SelfStock[WeekIndex],101)+SUMIFS(T_TTAFStock[TTAF_Qty],T_TTAFStock[RM_Code],$A55,T_TTAFStock[WeekIndex],101),CW55+'Grid_Incoming'!CX55-'Grid_Requirement'!CX55))</f>
        <v/>
      </c>
      <c r="CY55">
        <f>IF(COUNTIFS(T_StockCount[RM_Code],$A55,T_StockCount[WeekIndex],102)&gt;0,SUMIFS(T_StockCount[CountedQty],T_StockCount[RM_Code],$A55,T_StockCount[WeekIndex],102),IF((COUNTIFS(T_SelfStock[RM_Code],$A55,T_SelfStock[WeekIndex],102)&gt;0)*(COUNTIFS(T_TTAFStock[RM_Code],$A55,T_TTAFStock[WeekIndex],102)&gt;0)&gt;0,SUMIFS(T_SelfStock[Self_Qty],T_SelfStock[RM_Code],$A55,T_SelfStock[WeekIndex],102)+SUMIFS(T_TTAFStock[TTAF_Qty],T_TTAFStock[RM_Code],$A55,T_TTAFStock[WeekIndex],102),CX55+'Grid_Incoming'!CY55-'Grid_Requirement'!CY55))</f>
        <v/>
      </c>
      <c r="CZ55">
        <f>IF(COUNTIFS(T_StockCount[RM_Code],$A55,T_StockCount[WeekIndex],103)&gt;0,SUMIFS(T_StockCount[CountedQty],T_StockCount[RM_Code],$A55,T_StockCount[WeekIndex],103),IF((COUNTIFS(T_SelfStock[RM_Code],$A55,T_SelfStock[WeekIndex],103)&gt;0)*(COUNTIFS(T_TTAFStock[RM_Code],$A55,T_TTAFStock[WeekIndex],103)&gt;0)&gt;0,SUMIFS(T_SelfStock[Self_Qty],T_SelfStock[RM_Code],$A55,T_SelfStock[WeekIndex],103)+SUMIFS(T_TTAFStock[TTAF_Qty],T_TTAFStock[RM_Code],$A55,T_TTAFStock[WeekIndex],103),CY55+'Grid_Incoming'!CZ55-'Grid_Requirement'!CZ55))</f>
        <v/>
      </c>
      <c r="DA55">
        <f>IF(COUNTIFS(T_StockCount[RM_Code],$A55,T_StockCount[WeekIndex],104)&gt;0,SUMIFS(T_StockCount[CountedQty],T_StockCount[RM_Code],$A55,T_StockCount[WeekIndex],104),IF((COUNTIFS(T_SelfStock[RM_Code],$A55,T_SelfStock[WeekIndex],104)&gt;0)*(COUNTIFS(T_TTAFStock[RM_Code],$A55,T_TTAFStock[WeekIndex],104)&gt;0)&gt;0,SUMIFS(T_SelfStock[Self_Qty],T_SelfStock[RM_Code],$A55,T_SelfStock[WeekIndex],104)+SUMIFS(T_TTAFStock[TTAF_Qty],T_TTAFStock[RM_Code],$A55,T_TTAFStock[WeekIndex],104),CZ55+'Grid_Incoming'!DA55-'Grid_Requirement'!DA55))</f>
        <v/>
      </c>
    </row>
    <row r="56">
      <c r="A56" t="inlineStr">
        <is>
          <t>CHEM-1080</t>
        </is>
      </c>
      <c r="B56">
        <f>IF(COUNTIFS(T_StockCount[RM_Code],$A56,T_StockCount[WeekIndex],1)&gt;0,SUMIFS(T_StockCount[CountedQty],T_StockCount[RM_Code],$A56,T_StockCount[WeekIndex],1),IF((COUNTIFS(T_SelfStock[RM_Code],$A56,T_SelfStock[WeekIndex],1)&gt;0)*(COUNTIFS(T_TTAFStock[RM_Code],$A56,T_TTAFStock[WeekIndex],1)&gt;0)&gt;0,SUMIFS(T_SelfStock[Self_Qty],T_SelfStock[RM_Code],$A56,T_SelfStock[WeekIndex],1)+SUMIFS(T_TTAFStock[TTAF_Qty],T_TTAFStock[RM_Code],$A56,T_TTAFStock[WeekIndex],1),IFERROR(INDEX(T_OpeningStock[Opening_Qty],MATCH($A56,T_OpeningStock[RM_Code],0)),0)+'Grid_Incoming'!B56-'Grid_Requirement'!B56))</f>
        <v/>
      </c>
      <c r="C56">
        <f>IF(COUNTIFS(T_StockCount[RM_Code],$A56,T_StockCount[WeekIndex],2)&gt;0,SUMIFS(T_StockCount[CountedQty],T_StockCount[RM_Code],$A56,T_StockCount[WeekIndex],2),IF((COUNTIFS(T_SelfStock[RM_Code],$A56,T_SelfStock[WeekIndex],2)&gt;0)*(COUNTIFS(T_TTAFStock[RM_Code],$A56,T_TTAFStock[WeekIndex],2)&gt;0)&gt;0,SUMIFS(T_SelfStock[Self_Qty],T_SelfStock[RM_Code],$A56,T_SelfStock[WeekIndex],2)+SUMIFS(T_TTAFStock[TTAF_Qty],T_TTAFStock[RM_Code],$A56,T_TTAFStock[WeekIndex],2),B56+'Grid_Incoming'!C56-'Grid_Requirement'!C56))</f>
        <v/>
      </c>
      <c r="D56">
        <f>IF(COUNTIFS(T_StockCount[RM_Code],$A56,T_StockCount[WeekIndex],3)&gt;0,SUMIFS(T_StockCount[CountedQty],T_StockCount[RM_Code],$A56,T_StockCount[WeekIndex],3),IF((COUNTIFS(T_SelfStock[RM_Code],$A56,T_SelfStock[WeekIndex],3)&gt;0)*(COUNTIFS(T_TTAFStock[RM_Code],$A56,T_TTAFStock[WeekIndex],3)&gt;0)&gt;0,SUMIFS(T_SelfStock[Self_Qty],T_SelfStock[RM_Code],$A56,T_SelfStock[WeekIndex],3)+SUMIFS(T_TTAFStock[TTAF_Qty],T_TTAFStock[RM_Code],$A56,T_TTAFStock[WeekIndex],3),C56+'Grid_Incoming'!D56-'Grid_Requirement'!D56))</f>
        <v/>
      </c>
      <c r="E56">
        <f>IF(COUNTIFS(T_StockCount[RM_Code],$A56,T_StockCount[WeekIndex],4)&gt;0,SUMIFS(T_StockCount[CountedQty],T_StockCount[RM_Code],$A56,T_StockCount[WeekIndex],4),IF((COUNTIFS(T_SelfStock[RM_Code],$A56,T_SelfStock[WeekIndex],4)&gt;0)*(COUNTIFS(T_TTAFStock[RM_Code],$A56,T_TTAFStock[WeekIndex],4)&gt;0)&gt;0,SUMIFS(T_SelfStock[Self_Qty],T_SelfStock[RM_Code],$A56,T_SelfStock[WeekIndex],4)+SUMIFS(T_TTAFStock[TTAF_Qty],T_TTAFStock[RM_Code],$A56,T_TTAFStock[WeekIndex],4),D56+'Grid_Incoming'!E56-'Grid_Requirement'!E56))</f>
        <v/>
      </c>
      <c r="F56">
        <f>IF(COUNTIFS(T_StockCount[RM_Code],$A56,T_StockCount[WeekIndex],5)&gt;0,SUMIFS(T_StockCount[CountedQty],T_StockCount[RM_Code],$A56,T_StockCount[WeekIndex],5),IF((COUNTIFS(T_SelfStock[RM_Code],$A56,T_SelfStock[WeekIndex],5)&gt;0)*(COUNTIFS(T_TTAFStock[RM_Code],$A56,T_TTAFStock[WeekIndex],5)&gt;0)&gt;0,SUMIFS(T_SelfStock[Self_Qty],T_SelfStock[RM_Code],$A56,T_SelfStock[WeekIndex],5)+SUMIFS(T_TTAFStock[TTAF_Qty],T_TTAFStock[RM_Code],$A56,T_TTAFStock[WeekIndex],5),E56+'Grid_Incoming'!F56-'Grid_Requirement'!F56))</f>
        <v/>
      </c>
      <c r="G56">
        <f>IF(COUNTIFS(T_StockCount[RM_Code],$A56,T_StockCount[WeekIndex],6)&gt;0,SUMIFS(T_StockCount[CountedQty],T_StockCount[RM_Code],$A56,T_StockCount[WeekIndex],6),IF((COUNTIFS(T_SelfStock[RM_Code],$A56,T_SelfStock[WeekIndex],6)&gt;0)*(COUNTIFS(T_TTAFStock[RM_Code],$A56,T_TTAFStock[WeekIndex],6)&gt;0)&gt;0,SUMIFS(T_SelfStock[Self_Qty],T_SelfStock[RM_Code],$A56,T_SelfStock[WeekIndex],6)+SUMIFS(T_TTAFStock[TTAF_Qty],T_TTAFStock[RM_Code],$A56,T_TTAFStock[WeekIndex],6),F56+'Grid_Incoming'!G56-'Grid_Requirement'!G56))</f>
        <v/>
      </c>
      <c r="H56">
        <f>IF(COUNTIFS(T_StockCount[RM_Code],$A56,T_StockCount[WeekIndex],7)&gt;0,SUMIFS(T_StockCount[CountedQty],T_StockCount[RM_Code],$A56,T_StockCount[WeekIndex],7),IF((COUNTIFS(T_SelfStock[RM_Code],$A56,T_SelfStock[WeekIndex],7)&gt;0)*(COUNTIFS(T_TTAFStock[RM_Code],$A56,T_TTAFStock[WeekIndex],7)&gt;0)&gt;0,SUMIFS(T_SelfStock[Self_Qty],T_SelfStock[RM_Code],$A56,T_SelfStock[WeekIndex],7)+SUMIFS(T_TTAFStock[TTAF_Qty],T_TTAFStock[RM_Code],$A56,T_TTAFStock[WeekIndex],7),G56+'Grid_Incoming'!H56-'Grid_Requirement'!H56))</f>
        <v/>
      </c>
      <c r="I56">
        <f>IF(COUNTIFS(T_StockCount[RM_Code],$A56,T_StockCount[WeekIndex],8)&gt;0,SUMIFS(T_StockCount[CountedQty],T_StockCount[RM_Code],$A56,T_StockCount[WeekIndex],8),IF((COUNTIFS(T_SelfStock[RM_Code],$A56,T_SelfStock[WeekIndex],8)&gt;0)*(COUNTIFS(T_TTAFStock[RM_Code],$A56,T_TTAFStock[WeekIndex],8)&gt;0)&gt;0,SUMIFS(T_SelfStock[Self_Qty],T_SelfStock[RM_Code],$A56,T_SelfStock[WeekIndex],8)+SUMIFS(T_TTAFStock[TTAF_Qty],T_TTAFStock[RM_Code],$A56,T_TTAFStock[WeekIndex],8),H56+'Grid_Incoming'!I56-'Grid_Requirement'!I56))</f>
        <v/>
      </c>
      <c r="J56">
        <f>IF(COUNTIFS(T_StockCount[RM_Code],$A56,T_StockCount[WeekIndex],9)&gt;0,SUMIFS(T_StockCount[CountedQty],T_StockCount[RM_Code],$A56,T_StockCount[WeekIndex],9),IF((COUNTIFS(T_SelfStock[RM_Code],$A56,T_SelfStock[WeekIndex],9)&gt;0)*(COUNTIFS(T_TTAFStock[RM_Code],$A56,T_TTAFStock[WeekIndex],9)&gt;0)&gt;0,SUMIFS(T_SelfStock[Self_Qty],T_SelfStock[RM_Code],$A56,T_SelfStock[WeekIndex],9)+SUMIFS(T_TTAFStock[TTAF_Qty],T_TTAFStock[RM_Code],$A56,T_TTAFStock[WeekIndex],9),I56+'Grid_Incoming'!J56-'Grid_Requirement'!J56))</f>
        <v/>
      </c>
      <c r="K56">
        <f>IF(COUNTIFS(T_StockCount[RM_Code],$A56,T_StockCount[WeekIndex],10)&gt;0,SUMIFS(T_StockCount[CountedQty],T_StockCount[RM_Code],$A56,T_StockCount[WeekIndex],10),IF((COUNTIFS(T_SelfStock[RM_Code],$A56,T_SelfStock[WeekIndex],10)&gt;0)*(COUNTIFS(T_TTAFStock[RM_Code],$A56,T_TTAFStock[WeekIndex],10)&gt;0)&gt;0,SUMIFS(T_SelfStock[Self_Qty],T_SelfStock[RM_Code],$A56,T_SelfStock[WeekIndex],10)+SUMIFS(T_TTAFStock[TTAF_Qty],T_TTAFStock[RM_Code],$A56,T_TTAFStock[WeekIndex],10),J56+'Grid_Incoming'!K56-'Grid_Requirement'!K56))</f>
        <v/>
      </c>
      <c r="L56">
        <f>IF(COUNTIFS(T_StockCount[RM_Code],$A56,T_StockCount[WeekIndex],11)&gt;0,SUMIFS(T_StockCount[CountedQty],T_StockCount[RM_Code],$A56,T_StockCount[WeekIndex],11),IF((COUNTIFS(T_SelfStock[RM_Code],$A56,T_SelfStock[WeekIndex],11)&gt;0)*(COUNTIFS(T_TTAFStock[RM_Code],$A56,T_TTAFStock[WeekIndex],11)&gt;0)&gt;0,SUMIFS(T_SelfStock[Self_Qty],T_SelfStock[RM_Code],$A56,T_SelfStock[WeekIndex],11)+SUMIFS(T_TTAFStock[TTAF_Qty],T_TTAFStock[RM_Code],$A56,T_TTAFStock[WeekIndex],11),K56+'Grid_Incoming'!L56-'Grid_Requirement'!L56))</f>
        <v/>
      </c>
      <c r="M56">
        <f>IF(COUNTIFS(T_StockCount[RM_Code],$A56,T_StockCount[WeekIndex],12)&gt;0,SUMIFS(T_StockCount[CountedQty],T_StockCount[RM_Code],$A56,T_StockCount[WeekIndex],12),IF((COUNTIFS(T_SelfStock[RM_Code],$A56,T_SelfStock[WeekIndex],12)&gt;0)*(COUNTIFS(T_TTAFStock[RM_Code],$A56,T_TTAFStock[WeekIndex],12)&gt;0)&gt;0,SUMIFS(T_SelfStock[Self_Qty],T_SelfStock[RM_Code],$A56,T_SelfStock[WeekIndex],12)+SUMIFS(T_TTAFStock[TTAF_Qty],T_TTAFStock[RM_Code],$A56,T_TTAFStock[WeekIndex],12),L56+'Grid_Incoming'!M56-'Grid_Requirement'!M56))</f>
        <v/>
      </c>
      <c r="N56">
        <f>IF(COUNTIFS(T_StockCount[RM_Code],$A56,T_StockCount[WeekIndex],13)&gt;0,SUMIFS(T_StockCount[CountedQty],T_StockCount[RM_Code],$A56,T_StockCount[WeekIndex],13),IF((COUNTIFS(T_SelfStock[RM_Code],$A56,T_SelfStock[WeekIndex],13)&gt;0)*(COUNTIFS(T_TTAFStock[RM_Code],$A56,T_TTAFStock[WeekIndex],13)&gt;0)&gt;0,SUMIFS(T_SelfStock[Self_Qty],T_SelfStock[RM_Code],$A56,T_SelfStock[WeekIndex],13)+SUMIFS(T_TTAFStock[TTAF_Qty],T_TTAFStock[RM_Code],$A56,T_TTAFStock[WeekIndex],13),M56+'Grid_Incoming'!N56-'Grid_Requirement'!N56))</f>
        <v/>
      </c>
      <c r="O56">
        <f>IF(COUNTIFS(T_StockCount[RM_Code],$A56,T_StockCount[WeekIndex],14)&gt;0,SUMIFS(T_StockCount[CountedQty],T_StockCount[RM_Code],$A56,T_StockCount[WeekIndex],14),IF((COUNTIFS(T_SelfStock[RM_Code],$A56,T_SelfStock[WeekIndex],14)&gt;0)*(COUNTIFS(T_TTAFStock[RM_Code],$A56,T_TTAFStock[WeekIndex],14)&gt;0)&gt;0,SUMIFS(T_SelfStock[Self_Qty],T_SelfStock[RM_Code],$A56,T_SelfStock[WeekIndex],14)+SUMIFS(T_TTAFStock[TTAF_Qty],T_TTAFStock[RM_Code],$A56,T_TTAFStock[WeekIndex],14),N56+'Grid_Incoming'!O56-'Grid_Requirement'!O56))</f>
        <v/>
      </c>
      <c r="P56">
        <f>IF(COUNTIFS(T_StockCount[RM_Code],$A56,T_StockCount[WeekIndex],15)&gt;0,SUMIFS(T_StockCount[CountedQty],T_StockCount[RM_Code],$A56,T_StockCount[WeekIndex],15),IF((COUNTIFS(T_SelfStock[RM_Code],$A56,T_SelfStock[WeekIndex],15)&gt;0)*(COUNTIFS(T_TTAFStock[RM_Code],$A56,T_TTAFStock[WeekIndex],15)&gt;0)&gt;0,SUMIFS(T_SelfStock[Self_Qty],T_SelfStock[RM_Code],$A56,T_SelfStock[WeekIndex],15)+SUMIFS(T_TTAFStock[TTAF_Qty],T_TTAFStock[RM_Code],$A56,T_TTAFStock[WeekIndex],15),O56+'Grid_Incoming'!P56-'Grid_Requirement'!P56))</f>
        <v/>
      </c>
      <c r="Q56">
        <f>IF(COUNTIFS(T_StockCount[RM_Code],$A56,T_StockCount[WeekIndex],16)&gt;0,SUMIFS(T_StockCount[CountedQty],T_StockCount[RM_Code],$A56,T_StockCount[WeekIndex],16),IF((COUNTIFS(T_SelfStock[RM_Code],$A56,T_SelfStock[WeekIndex],16)&gt;0)*(COUNTIFS(T_TTAFStock[RM_Code],$A56,T_TTAFStock[WeekIndex],16)&gt;0)&gt;0,SUMIFS(T_SelfStock[Self_Qty],T_SelfStock[RM_Code],$A56,T_SelfStock[WeekIndex],16)+SUMIFS(T_TTAFStock[TTAF_Qty],T_TTAFStock[RM_Code],$A56,T_TTAFStock[WeekIndex],16),P56+'Grid_Incoming'!Q56-'Grid_Requirement'!Q56))</f>
        <v/>
      </c>
      <c r="R56">
        <f>IF(COUNTIFS(T_StockCount[RM_Code],$A56,T_StockCount[WeekIndex],17)&gt;0,SUMIFS(T_StockCount[CountedQty],T_StockCount[RM_Code],$A56,T_StockCount[WeekIndex],17),IF((COUNTIFS(T_SelfStock[RM_Code],$A56,T_SelfStock[WeekIndex],17)&gt;0)*(COUNTIFS(T_TTAFStock[RM_Code],$A56,T_TTAFStock[WeekIndex],17)&gt;0)&gt;0,SUMIFS(T_SelfStock[Self_Qty],T_SelfStock[RM_Code],$A56,T_SelfStock[WeekIndex],17)+SUMIFS(T_TTAFStock[TTAF_Qty],T_TTAFStock[RM_Code],$A56,T_TTAFStock[WeekIndex],17),Q56+'Grid_Incoming'!R56-'Grid_Requirement'!R56))</f>
        <v/>
      </c>
      <c r="S56">
        <f>IF(COUNTIFS(T_StockCount[RM_Code],$A56,T_StockCount[WeekIndex],18)&gt;0,SUMIFS(T_StockCount[CountedQty],T_StockCount[RM_Code],$A56,T_StockCount[WeekIndex],18),IF((COUNTIFS(T_SelfStock[RM_Code],$A56,T_SelfStock[WeekIndex],18)&gt;0)*(COUNTIFS(T_TTAFStock[RM_Code],$A56,T_TTAFStock[WeekIndex],18)&gt;0)&gt;0,SUMIFS(T_SelfStock[Self_Qty],T_SelfStock[RM_Code],$A56,T_SelfStock[WeekIndex],18)+SUMIFS(T_TTAFStock[TTAF_Qty],T_TTAFStock[RM_Code],$A56,T_TTAFStock[WeekIndex],18),R56+'Grid_Incoming'!S56-'Grid_Requirement'!S56))</f>
        <v/>
      </c>
      <c r="T56">
        <f>IF(COUNTIFS(T_StockCount[RM_Code],$A56,T_StockCount[WeekIndex],19)&gt;0,SUMIFS(T_StockCount[CountedQty],T_StockCount[RM_Code],$A56,T_StockCount[WeekIndex],19),IF((COUNTIFS(T_SelfStock[RM_Code],$A56,T_SelfStock[WeekIndex],19)&gt;0)*(COUNTIFS(T_TTAFStock[RM_Code],$A56,T_TTAFStock[WeekIndex],19)&gt;0)&gt;0,SUMIFS(T_SelfStock[Self_Qty],T_SelfStock[RM_Code],$A56,T_SelfStock[WeekIndex],19)+SUMIFS(T_TTAFStock[TTAF_Qty],T_TTAFStock[RM_Code],$A56,T_TTAFStock[WeekIndex],19),S56+'Grid_Incoming'!T56-'Grid_Requirement'!T56))</f>
        <v/>
      </c>
      <c r="U56">
        <f>IF(COUNTIFS(T_StockCount[RM_Code],$A56,T_StockCount[WeekIndex],20)&gt;0,SUMIFS(T_StockCount[CountedQty],T_StockCount[RM_Code],$A56,T_StockCount[WeekIndex],20),IF((COUNTIFS(T_SelfStock[RM_Code],$A56,T_SelfStock[WeekIndex],20)&gt;0)*(COUNTIFS(T_TTAFStock[RM_Code],$A56,T_TTAFStock[WeekIndex],20)&gt;0)&gt;0,SUMIFS(T_SelfStock[Self_Qty],T_SelfStock[RM_Code],$A56,T_SelfStock[WeekIndex],20)+SUMIFS(T_TTAFStock[TTAF_Qty],T_TTAFStock[RM_Code],$A56,T_TTAFStock[WeekIndex],20),T56+'Grid_Incoming'!U56-'Grid_Requirement'!U56))</f>
        <v/>
      </c>
      <c r="V56">
        <f>IF(COUNTIFS(T_StockCount[RM_Code],$A56,T_StockCount[WeekIndex],21)&gt;0,SUMIFS(T_StockCount[CountedQty],T_StockCount[RM_Code],$A56,T_StockCount[WeekIndex],21),IF((COUNTIFS(T_SelfStock[RM_Code],$A56,T_SelfStock[WeekIndex],21)&gt;0)*(COUNTIFS(T_TTAFStock[RM_Code],$A56,T_TTAFStock[WeekIndex],21)&gt;0)&gt;0,SUMIFS(T_SelfStock[Self_Qty],T_SelfStock[RM_Code],$A56,T_SelfStock[WeekIndex],21)+SUMIFS(T_TTAFStock[TTAF_Qty],T_TTAFStock[RM_Code],$A56,T_TTAFStock[WeekIndex],21),U56+'Grid_Incoming'!V56-'Grid_Requirement'!V56))</f>
        <v/>
      </c>
      <c r="W56">
        <f>IF(COUNTIFS(T_StockCount[RM_Code],$A56,T_StockCount[WeekIndex],22)&gt;0,SUMIFS(T_StockCount[CountedQty],T_StockCount[RM_Code],$A56,T_StockCount[WeekIndex],22),IF((COUNTIFS(T_SelfStock[RM_Code],$A56,T_SelfStock[WeekIndex],22)&gt;0)*(COUNTIFS(T_TTAFStock[RM_Code],$A56,T_TTAFStock[WeekIndex],22)&gt;0)&gt;0,SUMIFS(T_SelfStock[Self_Qty],T_SelfStock[RM_Code],$A56,T_SelfStock[WeekIndex],22)+SUMIFS(T_TTAFStock[TTAF_Qty],T_TTAFStock[RM_Code],$A56,T_TTAFStock[WeekIndex],22),V56+'Grid_Incoming'!W56-'Grid_Requirement'!W56))</f>
        <v/>
      </c>
      <c r="X56">
        <f>IF(COUNTIFS(T_StockCount[RM_Code],$A56,T_StockCount[WeekIndex],23)&gt;0,SUMIFS(T_StockCount[CountedQty],T_StockCount[RM_Code],$A56,T_StockCount[WeekIndex],23),IF((COUNTIFS(T_SelfStock[RM_Code],$A56,T_SelfStock[WeekIndex],23)&gt;0)*(COUNTIFS(T_TTAFStock[RM_Code],$A56,T_TTAFStock[WeekIndex],23)&gt;0)&gt;0,SUMIFS(T_SelfStock[Self_Qty],T_SelfStock[RM_Code],$A56,T_SelfStock[WeekIndex],23)+SUMIFS(T_TTAFStock[TTAF_Qty],T_TTAFStock[RM_Code],$A56,T_TTAFStock[WeekIndex],23),W56+'Grid_Incoming'!X56-'Grid_Requirement'!X56))</f>
        <v/>
      </c>
      <c r="Y56">
        <f>IF(COUNTIFS(T_StockCount[RM_Code],$A56,T_StockCount[WeekIndex],24)&gt;0,SUMIFS(T_StockCount[CountedQty],T_StockCount[RM_Code],$A56,T_StockCount[WeekIndex],24),IF((COUNTIFS(T_SelfStock[RM_Code],$A56,T_SelfStock[WeekIndex],24)&gt;0)*(COUNTIFS(T_TTAFStock[RM_Code],$A56,T_TTAFStock[WeekIndex],24)&gt;0)&gt;0,SUMIFS(T_SelfStock[Self_Qty],T_SelfStock[RM_Code],$A56,T_SelfStock[WeekIndex],24)+SUMIFS(T_TTAFStock[TTAF_Qty],T_TTAFStock[RM_Code],$A56,T_TTAFStock[WeekIndex],24),X56+'Grid_Incoming'!Y56-'Grid_Requirement'!Y56))</f>
        <v/>
      </c>
      <c r="Z56">
        <f>IF(COUNTIFS(T_StockCount[RM_Code],$A56,T_StockCount[WeekIndex],25)&gt;0,SUMIFS(T_StockCount[CountedQty],T_StockCount[RM_Code],$A56,T_StockCount[WeekIndex],25),IF((COUNTIFS(T_SelfStock[RM_Code],$A56,T_SelfStock[WeekIndex],25)&gt;0)*(COUNTIFS(T_TTAFStock[RM_Code],$A56,T_TTAFStock[WeekIndex],25)&gt;0)&gt;0,SUMIFS(T_SelfStock[Self_Qty],T_SelfStock[RM_Code],$A56,T_SelfStock[WeekIndex],25)+SUMIFS(T_TTAFStock[TTAF_Qty],T_TTAFStock[RM_Code],$A56,T_TTAFStock[WeekIndex],25),Y56+'Grid_Incoming'!Z56-'Grid_Requirement'!Z56))</f>
        <v/>
      </c>
      <c r="AA56">
        <f>IF(COUNTIFS(T_StockCount[RM_Code],$A56,T_StockCount[WeekIndex],26)&gt;0,SUMIFS(T_StockCount[CountedQty],T_StockCount[RM_Code],$A56,T_StockCount[WeekIndex],26),IF((COUNTIFS(T_SelfStock[RM_Code],$A56,T_SelfStock[WeekIndex],26)&gt;0)*(COUNTIFS(T_TTAFStock[RM_Code],$A56,T_TTAFStock[WeekIndex],26)&gt;0)&gt;0,SUMIFS(T_SelfStock[Self_Qty],T_SelfStock[RM_Code],$A56,T_SelfStock[WeekIndex],26)+SUMIFS(T_TTAFStock[TTAF_Qty],T_TTAFStock[RM_Code],$A56,T_TTAFStock[WeekIndex],26),Z56+'Grid_Incoming'!AA56-'Grid_Requirement'!AA56))</f>
        <v/>
      </c>
      <c r="AB56">
        <f>IF(COUNTIFS(T_StockCount[RM_Code],$A56,T_StockCount[WeekIndex],27)&gt;0,SUMIFS(T_StockCount[CountedQty],T_StockCount[RM_Code],$A56,T_StockCount[WeekIndex],27),IF((COUNTIFS(T_SelfStock[RM_Code],$A56,T_SelfStock[WeekIndex],27)&gt;0)*(COUNTIFS(T_TTAFStock[RM_Code],$A56,T_TTAFStock[WeekIndex],27)&gt;0)&gt;0,SUMIFS(T_SelfStock[Self_Qty],T_SelfStock[RM_Code],$A56,T_SelfStock[WeekIndex],27)+SUMIFS(T_TTAFStock[TTAF_Qty],T_TTAFStock[RM_Code],$A56,T_TTAFStock[WeekIndex],27),AA56+'Grid_Incoming'!AB56-'Grid_Requirement'!AB56))</f>
        <v/>
      </c>
      <c r="AC56">
        <f>IF(COUNTIFS(T_StockCount[RM_Code],$A56,T_StockCount[WeekIndex],28)&gt;0,SUMIFS(T_StockCount[CountedQty],T_StockCount[RM_Code],$A56,T_StockCount[WeekIndex],28),IF((COUNTIFS(T_SelfStock[RM_Code],$A56,T_SelfStock[WeekIndex],28)&gt;0)*(COUNTIFS(T_TTAFStock[RM_Code],$A56,T_TTAFStock[WeekIndex],28)&gt;0)&gt;0,SUMIFS(T_SelfStock[Self_Qty],T_SelfStock[RM_Code],$A56,T_SelfStock[WeekIndex],28)+SUMIFS(T_TTAFStock[TTAF_Qty],T_TTAFStock[RM_Code],$A56,T_TTAFStock[WeekIndex],28),AB56+'Grid_Incoming'!AC56-'Grid_Requirement'!AC56))</f>
        <v/>
      </c>
      <c r="AD56">
        <f>IF(COUNTIFS(T_StockCount[RM_Code],$A56,T_StockCount[WeekIndex],29)&gt;0,SUMIFS(T_StockCount[CountedQty],T_StockCount[RM_Code],$A56,T_StockCount[WeekIndex],29),IF((COUNTIFS(T_SelfStock[RM_Code],$A56,T_SelfStock[WeekIndex],29)&gt;0)*(COUNTIFS(T_TTAFStock[RM_Code],$A56,T_TTAFStock[WeekIndex],29)&gt;0)&gt;0,SUMIFS(T_SelfStock[Self_Qty],T_SelfStock[RM_Code],$A56,T_SelfStock[WeekIndex],29)+SUMIFS(T_TTAFStock[TTAF_Qty],T_TTAFStock[RM_Code],$A56,T_TTAFStock[WeekIndex],29),AC56+'Grid_Incoming'!AD56-'Grid_Requirement'!AD56))</f>
        <v/>
      </c>
      <c r="AE56">
        <f>IF(COUNTIFS(T_StockCount[RM_Code],$A56,T_StockCount[WeekIndex],30)&gt;0,SUMIFS(T_StockCount[CountedQty],T_StockCount[RM_Code],$A56,T_StockCount[WeekIndex],30),IF((COUNTIFS(T_SelfStock[RM_Code],$A56,T_SelfStock[WeekIndex],30)&gt;0)*(COUNTIFS(T_TTAFStock[RM_Code],$A56,T_TTAFStock[WeekIndex],30)&gt;0)&gt;0,SUMIFS(T_SelfStock[Self_Qty],T_SelfStock[RM_Code],$A56,T_SelfStock[WeekIndex],30)+SUMIFS(T_TTAFStock[TTAF_Qty],T_TTAFStock[RM_Code],$A56,T_TTAFStock[WeekIndex],30),AD56+'Grid_Incoming'!AE56-'Grid_Requirement'!AE56))</f>
        <v/>
      </c>
      <c r="AF56">
        <f>IF(COUNTIFS(T_StockCount[RM_Code],$A56,T_StockCount[WeekIndex],31)&gt;0,SUMIFS(T_StockCount[CountedQty],T_StockCount[RM_Code],$A56,T_StockCount[WeekIndex],31),IF((COUNTIFS(T_SelfStock[RM_Code],$A56,T_SelfStock[WeekIndex],31)&gt;0)*(COUNTIFS(T_TTAFStock[RM_Code],$A56,T_TTAFStock[WeekIndex],31)&gt;0)&gt;0,SUMIFS(T_SelfStock[Self_Qty],T_SelfStock[RM_Code],$A56,T_SelfStock[WeekIndex],31)+SUMIFS(T_TTAFStock[TTAF_Qty],T_TTAFStock[RM_Code],$A56,T_TTAFStock[WeekIndex],31),AE56+'Grid_Incoming'!AF56-'Grid_Requirement'!AF56))</f>
        <v/>
      </c>
      <c r="AG56">
        <f>IF(COUNTIFS(T_StockCount[RM_Code],$A56,T_StockCount[WeekIndex],32)&gt;0,SUMIFS(T_StockCount[CountedQty],T_StockCount[RM_Code],$A56,T_StockCount[WeekIndex],32),IF((COUNTIFS(T_SelfStock[RM_Code],$A56,T_SelfStock[WeekIndex],32)&gt;0)*(COUNTIFS(T_TTAFStock[RM_Code],$A56,T_TTAFStock[WeekIndex],32)&gt;0)&gt;0,SUMIFS(T_SelfStock[Self_Qty],T_SelfStock[RM_Code],$A56,T_SelfStock[WeekIndex],32)+SUMIFS(T_TTAFStock[TTAF_Qty],T_TTAFStock[RM_Code],$A56,T_TTAFStock[WeekIndex],32),AF56+'Grid_Incoming'!AG56-'Grid_Requirement'!AG56))</f>
        <v/>
      </c>
      <c r="AH56">
        <f>IF(COUNTIFS(T_StockCount[RM_Code],$A56,T_StockCount[WeekIndex],33)&gt;0,SUMIFS(T_StockCount[CountedQty],T_StockCount[RM_Code],$A56,T_StockCount[WeekIndex],33),IF((COUNTIFS(T_SelfStock[RM_Code],$A56,T_SelfStock[WeekIndex],33)&gt;0)*(COUNTIFS(T_TTAFStock[RM_Code],$A56,T_TTAFStock[WeekIndex],33)&gt;0)&gt;0,SUMIFS(T_SelfStock[Self_Qty],T_SelfStock[RM_Code],$A56,T_SelfStock[WeekIndex],33)+SUMIFS(T_TTAFStock[TTAF_Qty],T_TTAFStock[RM_Code],$A56,T_TTAFStock[WeekIndex],33),AG56+'Grid_Incoming'!AH56-'Grid_Requirement'!AH56))</f>
        <v/>
      </c>
      <c r="AI56">
        <f>IF(COUNTIFS(T_StockCount[RM_Code],$A56,T_StockCount[WeekIndex],34)&gt;0,SUMIFS(T_StockCount[CountedQty],T_StockCount[RM_Code],$A56,T_StockCount[WeekIndex],34),IF((COUNTIFS(T_SelfStock[RM_Code],$A56,T_SelfStock[WeekIndex],34)&gt;0)*(COUNTIFS(T_TTAFStock[RM_Code],$A56,T_TTAFStock[WeekIndex],34)&gt;0)&gt;0,SUMIFS(T_SelfStock[Self_Qty],T_SelfStock[RM_Code],$A56,T_SelfStock[WeekIndex],34)+SUMIFS(T_TTAFStock[TTAF_Qty],T_TTAFStock[RM_Code],$A56,T_TTAFStock[WeekIndex],34),AH56+'Grid_Incoming'!AI56-'Grid_Requirement'!AI56))</f>
        <v/>
      </c>
      <c r="AJ56">
        <f>IF(COUNTIFS(T_StockCount[RM_Code],$A56,T_StockCount[WeekIndex],35)&gt;0,SUMIFS(T_StockCount[CountedQty],T_StockCount[RM_Code],$A56,T_StockCount[WeekIndex],35),IF((COUNTIFS(T_SelfStock[RM_Code],$A56,T_SelfStock[WeekIndex],35)&gt;0)*(COUNTIFS(T_TTAFStock[RM_Code],$A56,T_TTAFStock[WeekIndex],35)&gt;0)&gt;0,SUMIFS(T_SelfStock[Self_Qty],T_SelfStock[RM_Code],$A56,T_SelfStock[WeekIndex],35)+SUMIFS(T_TTAFStock[TTAF_Qty],T_TTAFStock[RM_Code],$A56,T_TTAFStock[WeekIndex],35),AI56+'Grid_Incoming'!AJ56-'Grid_Requirement'!AJ56))</f>
        <v/>
      </c>
      <c r="AK56">
        <f>IF(COUNTIFS(T_StockCount[RM_Code],$A56,T_StockCount[WeekIndex],36)&gt;0,SUMIFS(T_StockCount[CountedQty],T_StockCount[RM_Code],$A56,T_StockCount[WeekIndex],36),IF((COUNTIFS(T_SelfStock[RM_Code],$A56,T_SelfStock[WeekIndex],36)&gt;0)*(COUNTIFS(T_TTAFStock[RM_Code],$A56,T_TTAFStock[WeekIndex],36)&gt;0)&gt;0,SUMIFS(T_SelfStock[Self_Qty],T_SelfStock[RM_Code],$A56,T_SelfStock[WeekIndex],36)+SUMIFS(T_TTAFStock[TTAF_Qty],T_TTAFStock[RM_Code],$A56,T_TTAFStock[WeekIndex],36),AJ56+'Grid_Incoming'!AK56-'Grid_Requirement'!AK56))</f>
        <v/>
      </c>
      <c r="AL56">
        <f>IF(COUNTIFS(T_StockCount[RM_Code],$A56,T_StockCount[WeekIndex],37)&gt;0,SUMIFS(T_StockCount[CountedQty],T_StockCount[RM_Code],$A56,T_StockCount[WeekIndex],37),IF((COUNTIFS(T_SelfStock[RM_Code],$A56,T_SelfStock[WeekIndex],37)&gt;0)*(COUNTIFS(T_TTAFStock[RM_Code],$A56,T_TTAFStock[WeekIndex],37)&gt;0)&gt;0,SUMIFS(T_SelfStock[Self_Qty],T_SelfStock[RM_Code],$A56,T_SelfStock[WeekIndex],37)+SUMIFS(T_TTAFStock[TTAF_Qty],T_TTAFStock[RM_Code],$A56,T_TTAFStock[WeekIndex],37),AK56+'Grid_Incoming'!AL56-'Grid_Requirement'!AL56))</f>
        <v/>
      </c>
      <c r="AM56">
        <f>IF(COUNTIFS(T_StockCount[RM_Code],$A56,T_StockCount[WeekIndex],38)&gt;0,SUMIFS(T_StockCount[CountedQty],T_StockCount[RM_Code],$A56,T_StockCount[WeekIndex],38),IF((COUNTIFS(T_SelfStock[RM_Code],$A56,T_SelfStock[WeekIndex],38)&gt;0)*(COUNTIFS(T_TTAFStock[RM_Code],$A56,T_TTAFStock[WeekIndex],38)&gt;0)&gt;0,SUMIFS(T_SelfStock[Self_Qty],T_SelfStock[RM_Code],$A56,T_SelfStock[WeekIndex],38)+SUMIFS(T_TTAFStock[TTAF_Qty],T_TTAFStock[RM_Code],$A56,T_TTAFStock[WeekIndex],38),AL56+'Grid_Incoming'!AM56-'Grid_Requirement'!AM56))</f>
        <v/>
      </c>
      <c r="AN56">
        <f>IF(COUNTIFS(T_StockCount[RM_Code],$A56,T_StockCount[WeekIndex],39)&gt;0,SUMIFS(T_StockCount[CountedQty],T_StockCount[RM_Code],$A56,T_StockCount[WeekIndex],39),IF((COUNTIFS(T_SelfStock[RM_Code],$A56,T_SelfStock[WeekIndex],39)&gt;0)*(COUNTIFS(T_TTAFStock[RM_Code],$A56,T_TTAFStock[WeekIndex],39)&gt;0)&gt;0,SUMIFS(T_SelfStock[Self_Qty],T_SelfStock[RM_Code],$A56,T_SelfStock[WeekIndex],39)+SUMIFS(T_TTAFStock[TTAF_Qty],T_TTAFStock[RM_Code],$A56,T_TTAFStock[WeekIndex],39),AM56+'Grid_Incoming'!AN56-'Grid_Requirement'!AN56))</f>
        <v/>
      </c>
      <c r="AO56">
        <f>IF(COUNTIFS(T_StockCount[RM_Code],$A56,T_StockCount[WeekIndex],40)&gt;0,SUMIFS(T_StockCount[CountedQty],T_StockCount[RM_Code],$A56,T_StockCount[WeekIndex],40),IF((COUNTIFS(T_SelfStock[RM_Code],$A56,T_SelfStock[WeekIndex],40)&gt;0)*(COUNTIFS(T_TTAFStock[RM_Code],$A56,T_TTAFStock[WeekIndex],40)&gt;0)&gt;0,SUMIFS(T_SelfStock[Self_Qty],T_SelfStock[RM_Code],$A56,T_SelfStock[WeekIndex],40)+SUMIFS(T_TTAFStock[TTAF_Qty],T_TTAFStock[RM_Code],$A56,T_TTAFStock[WeekIndex],40),AN56+'Grid_Incoming'!AO56-'Grid_Requirement'!AO56))</f>
        <v/>
      </c>
      <c r="AP56">
        <f>IF(COUNTIFS(T_StockCount[RM_Code],$A56,T_StockCount[WeekIndex],41)&gt;0,SUMIFS(T_StockCount[CountedQty],T_StockCount[RM_Code],$A56,T_StockCount[WeekIndex],41),IF((COUNTIFS(T_SelfStock[RM_Code],$A56,T_SelfStock[WeekIndex],41)&gt;0)*(COUNTIFS(T_TTAFStock[RM_Code],$A56,T_TTAFStock[WeekIndex],41)&gt;0)&gt;0,SUMIFS(T_SelfStock[Self_Qty],T_SelfStock[RM_Code],$A56,T_SelfStock[WeekIndex],41)+SUMIFS(T_TTAFStock[TTAF_Qty],T_TTAFStock[RM_Code],$A56,T_TTAFStock[WeekIndex],41),AO56+'Grid_Incoming'!AP56-'Grid_Requirement'!AP56))</f>
        <v/>
      </c>
      <c r="AQ56">
        <f>IF(COUNTIFS(T_StockCount[RM_Code],$A56,T_StockCount[WeekIndex],42)&gt;0,SUMIFS(T_StockCount[CountedQty],T_StockCount[RM_Code],$A56,T_StockCount[WeekIndex],42),IF((COUNTIFS(T_SelfStock[RM_Code],$A56,T_SelfStock[WeekIndex],42)&gt;0)*(COUNTIFS(T_TTAFStock[RM_Code],$A56,T_TTAFStock[WeekIndex],42)&gt;0)&gt;0,SUMIFS(T_SelfStock[Self_Qty],T_SelfStock[RM_Code],$A56,T_SelfStock[WeekIndex],42)+SUMIFS(T_TTAFStock[TTAF_Qty],T_TTAFStock[RM_Code],$A56,T_TTAFStock[WeekIndex],42),AP56+'Grid_Incoming'!AQ56-'Grid_Requirement'!AQ56))</f>
        <v/>
      </c>
      <c r="AR56">
        <f>IF(COUNTIFS(T_StockCount[RM_Code],$A56,T_StockCount[WeekIndex],43)&gt;0,SUMIFS(T_StockCount[CountedQty],T_StockCount[RM_Code],$A56,T_StockCount[WeekIndex],43),IF((COUNTIFS(T_SelfStock[RM_Code],$A56,T_SelfStock[WeekIndex],43)&gt;0)*(COUNTIFS(T_TTAFStock[RM_Code],$A56,T_TTAFStock[WeekIndex],43)&gt;0)&gt;0,SUMIFS(T_SelfStock[Self_Qty],T_SelfStock[RM_Code],$A56,T_SelfStock[WeekIndex],43)+SUMIFS(T_TTAFStock[TTAF_Qty],T_TTAFStock[RM_Code],$A56,T_TTAFStock[WeekIndex],43),AQ56+'Grid_Incoming'!AR56-'Grid_Requirement'!AR56))</f>
        <v/>
      </c>
      <c r="AS56">
        <f>IF(COUNTIFS(T_StockCount[RM_Code],$A56,T_StockCount[WeekIndex],44)&gt;0,SUMIFS(T_StockCount[CountedQty],T_StockCount[RM_Code],$A56,T_StockCount[WeekIndex],44),IF((COUNTIFS(T_SelfStock[RM_Code],$A56,T_SelfStock[WeekIndex],44)&gt;0)*(COUNTIFS(T_TTAFStock[RM_Code],$A56,T_TTAFStock[WeekIndex],44)&gt;0)&gt;0,SUMIFS(T_SelfStock[Self_Qty],T_SelfStock[RM_Code],$A56,T_SelfStock[WeekIndex],44)+SUMIFS(T_TTAFStock[TTAF_Qty],T_TTAFStock[RM_Code],$A56,T_TTAFStock[WeekIndex],44),AR56+'Grid_Incoming'!AS56-'Grid_Requirement'!AS56))</f>
        <v/>
      </c>
      <c r="AT56">
        <f>IF(COUNTIFS(T_StockCount[RM_Code],$A56,T_StockCount[WeekIndex],45)&gt;0,SUMIFS(T_StockCount[CountedQty],T_StockCount[RM_Code],$A56,T_StockCount[WeekIndex],45),IF((COUNTIFS(T_SelfStock[RM_Code],$A56,T_SelfStock[WeekIndex],45)&gt;0)*(COUNTIFS(T_TTAFStock[RM_Code],$A56,T_TTAFStock[WeekIndex],45)&gt;0)&gt;0,SUMIFS(T_SelfStock[Self_Qty],T_SelfStock[RM_Code],$A56,T_SelfStock[WeekIndex],45)+SUMIFS(T_TTAFStock[TTAF_Qty],T_TTAFStock[RM_Code],$A56,T_TTAFStock[WeekIndex],45),AS56+'Grid_Incoming'!AT56-'Grid_Requirement'!AT56))</f>
        <v/>
      </c>
      <c r="AU56">
        <f>IF(COUNTIFS(T_StockCount[RM_Code],$A56,T_StockCount[WeekIndex],46)&gt;0,SUMIFS(T_StockCount[CountedQty],T_StockCount[RM_Code],$A56,T_StockCount[WeekIndex],46),IF((COUNTIFS(T_SelfStock[RM_Code],$A56,T_SelfStock[WeekIndex],46)&gt;0)*(COUNTIFS(T_TTAFStock[RM_Code],$A56,T_TTAFStock[WeekIndex],46)&gt;0)&gt;0,SUMIFS(T_SelfStock[Self_Qty],T_SelfStock[RM_Code],$A56,T_SelfStock[WeekIndex],46)+SUMIFS(T_TTAFStock[TTAF_Qty],T_TTAFStock[RM_Code],$A56,T_TTAFStock[WeekIndex],46),AT56+'Grid_Incoming'!AU56-'Grid_Requirement'!AU56))</f>
        <v/>
      </c>
      <c r="AV56">
        <f>IF(COUNTIFS(T_StockCount[RM_Code],$A56,T_StockCount[WeekIndex],47)&gt;0,SUMIFS(T_StockCount[CountedQty],T_StockCount[RM_Code],$A56,T_StockCount[WeekIndex],47),IF((COUNTIFS(T_SelfStock[RM_Code],$A56,T_SelfStock[WeekIndex],47)&gt;0)*(COUNTIFS(T_TTAFStock[RM_Code],$A56,T_TTAFStock[WeekIndex],47)&gt;0)&gt;0,SUMIFS(T_SelfStock[Self_Qty],T_SelfStock[RM_Code],$A56,T_SelfStock[WeekIndex],47)+SUMIFS(T_TTAFStock[TTAF_Qty],T_TTAFStock[RM_Code],$A56,T_TTAFStock[WeekIndex],47),AU56+'Grid_Incoming'!AV56-'Grid_Requirement'!AV56))</f>
        <v/>
      </c>
      <c r="AW56">
        <f>IF(COUNTIFS(T_StockCount[RM_Code],$A56,T_StockCount[WeekIndex],48)&gt;0,SUMIFS(T_StockCount[CountedQty],T_StockCount[RM_Code],$A56,T_StockCount[WeekIndex],48),IF((COUNTIFS(T_SelfStock[RM_Code],$A56,T_SelfStock[WeekIndex],48)&gt;0)*(COUNTIFS(T_TTAFStock[RM_Code],$A56,T_TTAFStock[WeekIndex],48)&gt;0)&gt;0,SUMIFS(T_SelfStock[Self_Qty],T_SelfStock[RM_Code],$A56,T_SelfStock[WeekIndex],48)+SUMIFS(T_TTAFStock[TTAF_Qty],T_TTAFStock[RM_Code],$A56,T_TTAFStock[WeekIndex],48),AV56+'Grid_Incoming'!AW56-'Grid_Requirement'!AW56))</f>
        <v/>
      </c>
      <c r="AX56">
        <f>IF(COUNTIFS(T_StockCount[RM_Code],$A56,T_StockCount[WeekIndex],49)&gt;0,SUMIFS(T_StockCount[CountedQty],T_StockCount[RM_Code],$A56,T_StockCount[WeekIndex],49),IF((COUNTIFS(T_SelfStock[RM_Code],$A56,T_SelfStock[WeekIndex],49)&gt;0)*(COUNTIFS(T_TTAFStock[RM_Code],$A56,T_TTAFStock[WeekIndex],49)&gt;0)&gt;0,SUMIFS(T_SelfStock[Self_Qty],T_SelfStock[RM_Code],$A56,T_SelfStock[WeekIndex],49)+SUMIFS(T_TTAFStock[TTAF_Qty],T_TTAFStock[RM_Code],$A56,T_TTAFStock[WeekIndex],49),AW56+'Grid_Incoming'!AX56-'Grid_Requirement'!AX56))</f>
        <v/>
      </c>
      <c r="AY56">
        <f>IF(COUNTIFS(T_StockCount[RM_Code],$A56,T_StockCount[WeekIndex],50)&gt;0,SUMIFS(T_StockCount[CountedQty],T_StockCount[RM_Code],$A56,T_StockCount[WeekIndex],50),IF((COUNTIFS(T_SelfStock[RM_Code],$A56,T_SelfStock[WeekIndex],50)&gt;0)*(COUNTIFS(T_TTAFStock[RM_Code],$A56,T_TTAFStock[WeekIndex],50)&gt;0)&gt;0,SUMIFS(T_SelfStock[Self_Qty],T_SelfStock[RM_Code],$A56,T_SelfStock[WeekIndex],50)+SUMIFS(T_TTAFStock[TTAF_Qty],T_TTAFStock[RM_Code],$A56,T_TTAFStock[WeekIndex],50),AX56+'Grid_Incoming'!AY56-'Grid_Requirement'!AY56))</f>
        <v/>
      </c>
      <c r="AZ56">
        <f>IF(COUNTIFS(T_StockCount[RM_Code],$A56,T_StockCount[WeekIndex],51)&gt;0,SUMIFS(T_StockCount[CountedQty],T_StockCount[RM_Code],$A56,T_StockCount[WeekIndex],51),IF((COUNTIFS(T_SelfStock[RM_Code],$A56,T_SelfStock[WeekIndex],51)&gt;0)*(COUNTIFS(T_TTAFStock[RM_Code],$A56,T_TTAFStock[WeekIndex],51)&gt;0)&gt;0,SUMIFS(T_SelfStock[Self_Qty],T_SelfStock[RM_Code],$A56,T_SelfStock[WeekIndex],51)+SUMIFS(T_TTAFStock[TTAF_Qty],T_TTAFStock[RM_Code],$A56,T_TTAFStock[WeekIndex],51),AY56+'Grid_Incoming'!AZ56-'Grid_Requirement'!AZ56))</f>
        <v/>
      </c>
      <c r="BA56">
        <f>IF(COUNTIFS(T_StockCount[RM_Code],$A56,T_StockCount[WeekIndex],52)&gt;0,SUMIFS(T_StockCount[CountedQty],T_StockCount[RM_Code],$A56,T_StockCount[WeekIndex],52),IF((COUNTIFS(T_SelfStock[RM_Code],$A56,T_SelfStock[WeekIndex],52)&gt;0)*(COUNTIFS(T_TTAFStock[RM_Code],$A56,T_TTAFStock[WeekIndex],52)&gt;0)&gt;0,SUMIFS(T_SelfStock[Self_Qty],T_SelfStock[RM_Code],$A56,T_SelfStock[WeekIndex],52)+SUMIFS(T_TTAFStock[TTAF_Qty],T_TTAFStock[RM_Code],$A56,T_TTAFStock[WeekIndex],52),AZ56+'Grid_Incoming'!BA56-'Grid_Requirement'!BA56))</f>
        <v/>
      </c>
      <c r="BB56">
        <f>IF(COUNTIFS(T_StockCount[RM_Code],$A56,T_StockCount[WeekIndex],53)&gt;0,SUMIFS(T_StockCount[CountedQty],T_StockCount[RM_Code],$A56,T_StockCount[WeekIndex],53),IF((COUNTIFS(T_SelfStock[RM_Code],$A56,T_SelfStock[WeekIndex],53)&gt;0)*(COUNTIFS(T_TTAFStock[RM_Code],$A56,T_TTAFStock[WeekIndex],53)&gt;0)&gt;0,SUMIFS(T_SelfStock[Self_Qty],T_SelfStock[RM_Code],$A56,T_SelfStock[WeekIndex],53)+SUMIFS(T_TTAFStock[TTAF_Qty],T_TTAFStock[RM_Code],$A56,T_TTAFStock[WeekIndex],53),BA56+'Grid_Incoming'!BB56-'Grid_Requirement'!BB56))</f>
        <v/>
      </c>
      <c r="BC56">
        <f>IF(COUNTIFS(T_StockCount[RM_Code],$A56,T_StockCount[WeekIndex],54)&gt;0,SUMIFS(T_StockCount[CountedQty],T_StockCount[RM_Code],$A56,T_StockCount[WeekIndex],54),IF((COUNTIFS(T_SelfStock[RM_Code],$A56,T_SelfStock[WeekIndex],54)&gt;0)*(COUNTIFS(T_TTAFStock[RM_Code],$A56,T_TTAFStock[WeekIndex],54)&gt;0)&gt;0,SUMIFS(T_SelfStock[Self_Qty],T_SelfStock[RM_Code],$A56,T_SelfStock[WeekIndex],54)+SUMIFS(T_TTAFStock[TTAF_Qty],T_TTAFStock[RM_Code],$A56,T_TTAFStock[WeekIndex],54),BB56+'Grid_Incoming'!BC56-'Grid_Requirement'!BC56))</f>
        <v/>
      </c>
      <c r="BD56">
        <f>IF(COUNTIFS(T_StockCount[RM_Code],$A56,T_StockCount[WeekIndex],55)&gt;0,SUMIFS(T_StockCount[CountedQty],T_StockCount[RM_Code],$A56,T_StockCount[WeekIndex],55),IF((COUNTIFS(T_SelfStock[RM_Code],$A56,T_SelfStock[WeekIndex],55)&gt;0)*(COUNTIFS(T_TTAFStock[RM_Code],$A56,T_TTAFStock[WeekIndex],55)&gt;0)&gt;0,SUMIFS(T_SelfStock[Self_Qty],T_SelfStock[RM_Code],$A56,T_SelfStock[WeekIndex],55)+SUMIFS(T_TTAFStock[TTAF_Qty],T_TTAFStock[RM_Code],$A56,T_TTAFStock[WeekIndex],55),BC56+'Grid_Incoming'!BD56-'Grid_Requirement'!BD56))</f>
        <v/>
      </c>
      <c r="BE56">
        <f>IF(COUNTIFS(T_StockCount[RM_Code],$A56,T_StockCount[WeekIndex],56)&gt;0,SUMIFS(T_StockCount[CountedQty],T_StockCount[RM_Code],$A56,T_StockCount[WeekIndex],56),IF((COUNTIFS(T_SelfStock[RM_Code],$A56,T_SelfStock[WeekIndex],56)&gt;0)*(COUNTIFS(T_TTAFStock[RM_Code],$A56,T_TTAFStock[WeekIndex],56)&gt;0)&gt;0,SUMIFS(T_SelfStock[Self_Qty],T_SelfStock[RM_Code],$A56,T_SelfStock[WeekIndex],56)+SUMIFS(T_TTAFStock[TTAF_Qty],T_TTAFStock[RM_Code],$A56,T_TTAFStock[WeekIndex],56),BD56+'Grid_Incoming'!BE56-'Grid_Requirement'!BE56))</f>
        <v/>
      </c>
      <c r="BF56">
        <f>IF(COUNTIFS(T_StockCount[RM_Code],$A56,T_StockCount[WeekIndex],57)&gt;0,SUMIFS(T_StockCount[CountedQty],T_StockCount[RM_Code],$A56,T_StockCount[WeekIndex],57),IF((COUNTIFS(T_SelfStock[RM_Code],$A56,T_SelfStock[WeekIndex],57)&gt;0)*(COUNTIFS(T_TTAFStock[RM_Code],$A56,T_TTAFStock[WeekIndex],57)&gt;0)&gt;0,SUMIFS(T_SelfStock[Self_Qty],T_SelfStock[RM_Code],$A56,T_SelfStock[WeekIndex],57)+SUMIFS(T_TTAFStock[TTAF_Qty],T_TTAFStock[RM_Code],$A56,T_TTAFStock[WeekIndex],57),BE56+'Grid_Incoming'!BF56-'Grid_Requirement'!BF56))</f>
        <v/>
      </c>
      <c r="BG56">
        <f>IF(COUNTIFS(T_StockCount[RM_Code],$A56,T_StockCount[WeekIndex],58)&gt;0,SUMIFS(T_StockCount[CountedQty],T_StockCount[RM_Code],$A56,T_StockCount[WeekIndex],58),IF((COUNTIFS(T_SelfStock[RM_Code],$A56,T_SelfStock[WeekIndex],58)&gt;0)*(COUNTIFS(T_TTAFStock[RM_Code],$A56,T_TTAFStock[WeekIndex],58)&gt;0)&gt;0,SUMIFS(T_SelfStock[Self_Qty],T_SelfStock[RM_Code],$A56,T_SelfStock[WeekIndex],58)+SUMIFS(T_TTAFStock[TTAF_Qty],T_TTAFStock[RM_Code],$A56,T_TTAFStock[WeekIndex],58),BF56+'Grid_Incoming'!BG56-'Grid_Requirement'!BG56))</f>
        <v/>
      </c>
      <c r="BH56">
        <f>IF(COUNTIFS(T_StockCount[RM_Code],$A56,T_StockCount[WeekIndex],59)&gt;0,SUMIFS(T_StockCount[CountedQty],T_StockCount[RM_Code],$A56,T_StockCount[WeekIndex],59),IF((COUNTIFS(T_SelfStock[RM_Code],$A56,T_SelfStock[WeekIndex],59)&gt;0)*(COUNTIFS(T_TTAFStock[RM_Code],$A56,T_TTAFStock[WeekIndex],59)&gt;0)&gt;0,SUMIFS(T_SelfStock[Self_Qty],T_SelfStock[RM_Code],$A56,T_SelfStock[WeekIndex],59)+SUMIFS(T_TTAFStock[TTAF_Qty],T_TTAFStock[RM_Code],$A56,T_TTAFStock[WeekIndex],59),BG56+'Grid_Incoming'!BH56-'Grid_Requirement'!BH56))</f>
        <v/>
      </c>
      <c r="BI56">
        <f>IF(COUNTIFS(T_StockCount[RM_Code],$A56,T_StockCount[WeekIndex],60)&gt;0,SUMIFS(T_StockCount[CountedQty],T_StockCount[RM_Code],$A56,T_StockCount[WeekIndex],60),IF((COUNTIFS(T_SelfStock[RM_Code],$A56,T_SelfStock[WeekIndex],60)&gt;0)*(COUNTIFS(T_TTAFStock[RM_Code],$A56,T_TTAFStock[WeekIndex],60)&gt;0)&gt;0,SUMIFS(T_SelfStock[Self_Qty],T_SelfStock[RM_Code],$A56,T_SelfStock[WeekIndex],60)+SUMIFS(T_TTAFStock[TTAF_Qty],T_TTAFStock[RM_Code],$A56,T_TTAFStock[WeekIndex],60),BH56+'Grid_Incoming'!BI56-'Grid_Requirement'!BI56))</f>
        <v/>
      </c>
      <c r="BJ56">
        <f>IF(COUNTIFS(T_StockCount[RM_Code],$A56,T_StockCount[WeekIndex],61)&gt;0,SUMIFS(T_StockCount[CountedQty],T_StockCount[RM_Code],$A56,T_StockCount[WeekIndex],61),IF((COUNTIFS(T_SelfStock[RM_Code],$A56,T_SelfStock[WeekIndex],61)&gt;0)*(COUNTIFS(T_TTAFStock[RM_Code],$A56,T_TTAFStock[WeekIndex],61)&gt;0)&gt;0,SUMIFS(T_SelfStock[Self_Qty],T_SelfStock[RM_Code],$A56,T_SelfStock[WeekIndex],61)+SUMIFS(T_TTAFStock[TTAF_Qty],T_TTAFStock[RM_Code],$A56,T_TTAFStock[WeekIndex],61),BI56+'Grid_Incoming'!BJ56-'Grid_Requirement'!BJ56))</f>
        <v/>
      </c>
      <c r="BK56">
        <f>IF(COUNTIFS(T_StockCount[RM_Code],$A56,T_StockCount[WeekIndex],62)&gt;0,SUMIFS(T_StockCount[CountedQty],T_StockCount[RM_Code],$A56,T_StockCount[WeekIndex],62),IF((COUNTIFS(T_SelfStock[RM_Code],$A56,T_SelfStock[WeekIndex],62)&gt;0)*(COUNTIFS(T_TTAFStock[RM_Code],$A56,T_TTAFStock[WeekIndex],62)&gt;0)&gt;0,SUMIFS(T_SelfStock[Self_Qty],T_SelfStock[RM_Code],$A56,T_SelfStock[WeekIndex],62)+SUMIFS(T_TTAFStock[TTAF_Qty],T_TTAFStock[RM_Code],$A56,T_TTAFStock[WeekIndex],62),BJ56+'Grid_Incoming'!BK56-'Grid_Requirement'!BK56))</f>
        <v/>
      </c>
      <c r="BL56">
        <f>IF(COUNTIFS(T_StockCount[RM_Code],$A56,T_StockCount[WeekIndex],63)&gt;0,SUMIFS(T_StockCount[CountedQty],T_StockCount[RM_Code],$A56,T_StockCount[WeekIndex],63),IF((COUNTIFS(T_SelfStock[RM_Code],$A56,T_SelfStock[WeekIndex],63)&gt;0)*(COUNTIFS(T_TTAFStock[RM_Code],$A56,T_TTAFStock[WeekIndex],63)&gt;0)&gt;0,SUMIFS(T_SelfStock[Self_Qty],T_SelfStock[RM_Code],$A56,T_SelfStock[WeekIndex],63)+SUMIFS(T_TTAFStock[TTAF_Qty],T_TTAFStock[RM_Code],$A56,T_TTAFStock[WeekIndex],63),BK56+'Grid_Incoming'!BL56-'Grid_Requirement'!BL56))</f>
        <v/>
      </c>
      <c r="BM56">
        <f>IF(COUNTIFS(T_StockCount[RM_Code],$A56,T_StockCount[WeekIndex],64)&gt;0,SUMIFS(T_StockCount[CountedQty],T_StockCount[RM_Code],$A56,T_StockCount[WeekIndex],64),IF((COUNTIFS(T_SelfStock[RM_Code],$A56,T_SelfStock[WeekIndex],64)&gt;0)*(COUNTIFS(T_TTAFStock[RM_Code],$A56,T_TTAFStock[WeekIndex],64)&gt;0)&gt;0,SUMIFS(T_SelfStock[Self_Qty],T_SelfStock[RM_Code],$A56,T_SelfStock[WeekIndex],64)+SUMIFS(T_TTAFStock[TTAF_Qty],T_TTAFStock[RM_Code],$A56,T_TTAFStock[WeekIndex],64),BL56+'Grid_Incoming'!BM56-'Grid_Requirement'!BM56))</f>
        <v/>
      </c>
      <c r="BN56">
        <f>IF(COUNTIFS(T_StockCount[RM_Code],$A56,T_StockCount[WeekIndex],65)&gt;0,SUMIFS(T_StockCount[CountedQty],T_StockCount[RM_Code],$A56,T_StockCount[WeekIndex],65),IF((COUNTIFS(T_SelfStock[RM_Code],$A56,T_SelfStock[WeekIndex],65)&gt;0)*(COUNTIFS(T_TTAFStock[RM_Code],$A56,T_TTAFStock[WeekIndex],65)&gt;0)&gt;0,SUMIFS(T_SelfStock[Self_Qty],T_SelfStock[RM_Code],$A56,T_SelfStock[WeekIndex],65)+SUMIFS(T_TTAFStock[TTAF_Qty],T_TTAFStock[RM_Code],$A56,T_TTAFStock[WeekIndex],65),BM56+'Grid_Incoming'!BN56-'Grid_Requirement'!BN56))</f>
        <v/>
      </c>
      <c r="BO56">
        <f>IF(COUNTIFS(T_StockCount[RM_Code],$A56,T_StockCount[WeekIndex],66)&gt;0,SUMIFS(T_StockCount[CountedQty],T_StockCount[RM_Code],$A56,T_StockCount[WeekIndex],66),IF((COUNTIFS(T_SelfStock[RM_Code],$A56,T_SelfStock[WeekIndex],66)&gt;0)*(COUNTIFS(T_TTAFStock[RM_Code],$A56,T_TTAFStock[WeekIndex],66)&gt;0)&gt;0,SUMIFS(T_SelfStock[Self_Qty],T_SelfStock[RM_Code],$A56,T_SelfStock[WeekIndex],66)+SUMIFS(T_TTAFStock[TTAF_Qty],T_TTAFStock[RM_Code],$A56,T_TTAFStock[WeekIndex],66),BN56+'Grid_Incoming'!BO56-'Grid_Requirement'!BO56))</f>
        <v/>
      </c>
      <c r="BP56">
        <f>IF(COUNTIFS(T_StockCount[RM_Code],$A56,T_StockCount[WeekIndex],67)&gt;0,SUMIFS(T_StockCount[CountedQty],T_StockCount[RM_Code],$A56,T_StockCount[WeekIndex],67),IF((COUNTIFS(T_SelfStock[RM_Code],$A56,T_SelfStock[WeekIndex],67)&gt;0)*(COUNTIFS(T_TTAFStock[RM_Code],$A56,T_TTAFStock[WeekIndex],67)&gt;0)&gt;0,SUMIFS(T_SelfStock[Self_Qty],T_SelfStock[RM_Code],$A56,T_SelfStock[WeekIndex],67)+SUMIFS(T_TTAFStock[TTAF_Qty],T_TTAFStock[RM_Code],$A56,T_TTAFStock[WeekIndex],67),BO56+'Grid_Incoming'!BP56-'Grid_Requirement'!BP56))</f>
        <v/>
      </c>
      <c r="BQ56">
        <f>IF(COUNTIFS(T_StockCount[RM_Code],$A56,T_StockCount[WeekIndex],68)&gt;0,SUMIFS(T_StockCount[CountedQty],T_StockCount[RM_Code],$A56,T_StockCount[WeekIndex],68),IF((COUNTIFS(T_SelfStock[RM_Code],$A56,T_SelfStock[WeekIndex],68)&gt;0)*(COUNTIFS(T_TTAFStock[RM_Code],$A56,T_TTAFStock[WeekIndex],68)&gt;0)&gt;0,SUMIFS(T_SelfStock[Self_Qty],T_SelfStock[RM_Code],$A56,T_SelfStock[WeekIndex],68)+SUMIFS(T_TTAFStock[TTAF_Qty],T_TTAFStock[RM_Code],$A56,T_TTAFStock[WeekIndex],68),BP56+'Grid_Incoming'!BQ56-'Grid_Requirement'!BQ56))</f>
        <v/>
      </c>
      <c r="BR56">
        <f>IF(COUNTIFS(T_StockCount[RM_Code],$A56,T_StockCount[WeekIndex],69)&gt;0,SUMIFS(T_StockCount[CountedQty],T_StockCount[RM_Code],$A56,T_StockCount[WeekIndex],69),IF((COUNTIFS(T_SelfStock[RM_Code],$A56,T_SelfStock[WeekIndex],69)&gt;0)*(COUNTIFS(T_TTAFStock[RM_Code],$A56,T_TTAFStock[WeekIndex],69)&gt;0)&gt;0,SUMIFS(T_SelfStock[Self_Qty],T_SelfStock[RM_Code],$A56,T_SelfStock[WeekIndex],69)+SUMIFS(T_TTAFStock[TTAF_Qty],T_TTAFStock[RM_Code],$A56,T_TTAFStock[WeekIndex],69),BQ56+'Grid_Incoming'!BR56-'Grid_Requirement'!BR56))</f>
        <v/>
      </c>
      <c r="BS56">
        <f>IF(COUNTIFS(T_StockCount[RM_Code],$A56,T_StockCount[WeekIndex],70)&gt;0,SUMIFS(T_StockCount[CountedQty],T_StockCount[RM_Code],$A56,T_StockCount[WeekIndex],70),IF((COUNTIFS(T_SelfStock[RM_Code],$A56,T_SelfStock[WeekIndex],70)&gt;0)*(COUNTIFS(T_TTAFStock[RM_Code],$A56,T_TTAFStock[WeekIndex],70)&gt;0)&gt;0,SUMIFS(T_SelfStock[Self_Qty],T_SelfStock[RM_Code],$A56,T_SelfStock[WeekIndex],70)+SUMIFS(T_TTAFStock[TTAF_Qty],T_TTAFStock[RM_Code],$A56,T_TTAFStock[WeekIndex],70),BR56+'Grid_Incoming'!BS56-'Grid_Requirement'!BS56))</f>
        <v/>
      </c>
      <c r="BT56">
        <f>IF(COUNTIFS(T_StockCount[RM_Code],$A56,T_StockCount[WeekIndex],71)&gt;0,SUMIFS(T_StockCount[CountedQty],T_StockCount[RM_Code],$A56,T_StockCount[WeekIndex],71),IF((COUNTIFS(T_SelfStock[RM_Code],$A56,T_SelfStock[WeekIndex],71)&gt;0)*(COUNTIFS(T_TTAFStock[RM_Code],$A56,T_TTAFStock[WeekIndex],71)&gt;0)&gt;0,SUMIFS(T_SelfStock[Self_Qty],T_SelfStock[RM_Code],$A56,T_SelfStock[WeekIndex],71)+SUMIFS(T_TTAFStock[TTAF_Qty],T_TTAFStock[RM_Code],$A56,T_TTAFStock[WeekIndex],71),BS56+'Grid_Incoming'!BT56-'Grid_Requirement'!BT56))</f>
        <v/>
      </c>
      <c r="BU56">
        <f>IF(COUNTIFS(T_StockCount[RM_Code],$A56,T_StockCount[WeekIndex],72)&gt;0,SUMIFS(T_StockCount[CountedQty],T_StockCount[RM_Code],$A56,T_StockCount[WeekIndex],72),IF((COUNTIFS(T_SelfStock[RM_Code],$A56,T_SelfStock[WeekIndex],72)&gt;0)*(COUNTIFS(T_TTAFStock[RM_Code],$A56,T_TTAFStock[WeekIndex],72)&gt;0)&gt;0,SUMIFS(T_SelfStock[Self_Qty],T_SelfStock[RM_Code],$A56,T_SelfStock[WeekIndex],72)+SUMIFS(T_TTAFStock[TTAF_Qty],T_TTAFStock[RM_Code],$A56,T_TTAFStock[WeekIndex],72),BT56+'Grid_Incoming'!BU56-'Grid_Requirement'!BU56))</f>
        <v/>
      </c>
      <c r="BV56">
        <f>IF(COUNTIFS(T_StockCount[RM_Code],$A56,T_StockCount[WeekIndex],73)&gt;0,SUMIFS(T_StockCount[CountedQty],T_StockCount[RM_Code],$A56,T_StockCount[WeekIndex],73),IF((COUNTIFS(T_SelfStock[RM_Code],$A56,T_SelfStock[WeekIndex],73)&gt;0)*(COUNTIFS(T_TTAFStock[RM_Code],$A56,T_TTAFStock[WeekIndex],73)&gt;0)&gt;0,SUMIFS(T_SelfStock[Self_Qty],T_SelfStock[RM_Code],$A56,T_SelfStock[WeekIndex],73)+SUMIFS(T_TTAFStock[TTAF_Qty],T_TTAFStock[RM_Code],$A56,T_TTAFStock[WeekIndex],73),BU56+'Grid_Incoming'!BV56-'Grid_Requirement'!BV56))</f>
        <v/>
      </c>
      <c r="BW56">
        <f>IF(COUNTIFS(T_StockCount[RM_Code],$A56,T_StockCount[WeekIndex],74)&gt;0,SUMIFS(T_StockCount[CountedQty],T_StockCount[RM_Code],$A56,T_StockCount[WeekIndex],74),IF((COUNTIFS(T_SelfStock[RM_Code],$A56,T_SelfStock[WeekIndex],74)&gt;0)*(COUNTIFS(T_TTAFStock[RM_Code],$A56,T_TTAFStock[WeekIndex],74)&gt;0)&gt;0,SUMIFS(T_SelfStock[Self_Qty],T_SelfStock[RM_Code],$A56,T_SelfStock[WeekIndex],74)+SUMIFS(T_TTAFStock[TTAF_Qty],T_TTAFStock[RM_Code],$A56,T_TTAFStock[WeekIndex],74),BV56+'Grid_Incoming'!BW56-'Grid_Requirement'!BW56))</f>
        <v/>
      </c>
      <c r="BX56">
        <f>IF(COUNTIFS(T_StockCount[RM_Code],$A56,T_StockCount[WeekIndex],75)&gt;0,SUMIFS(T_StockCount[CountedQty],T_StockCount[RM_Code],$A56,T_StockCount[WeekIndex],75),IF((COUNTIFS(T_SelfStock[RM_Code],$A56,T_SelfStock[WeekIndex],75)&gt;0)*(COUNTIFS(T_TTAFStock[RM_Code],$A56,T_TTAFStock[WeekIndex],75)&gt;0)&gt;0,SUMIFS(T_SelfStock[Self_Qty],T_SelfStock[RM_Code],$A56,T_SelfStock[WeekIndex],75)+SUMIFS(T_TTAFStock[TTAF_Qty],T_TTAFStock[RM_Code],$A56,T_TTAFStock[WeekIndex],75),BW56+'Grid_Incoming'!BX56-'Grid_Requirement'!BX56))</f>
        <v/>
      </c>
      <c r="BY56">
        <f>IF(COUNTIFS(T_StockCount[RM_Code],$A56,T_StockCount[WeekIndex],76)&gt;0,SUMIFS(T_StockCount[CountedQty],T_StockCount[RM_Code],$A56,T_StockCount[WeekIndex],76),IF((COUNTIFS(T_SelfStock[RM_Code],$A56,T_SelfStock[WeekIndex],76)&gt;0)*(COUNTIFS(T_TTAFStock[RM_Code],$A56,T_TTAFStock[WeekIndex],76)&gt;0)&gt;0,SUMIFS(T_SelfStock[Self_Qty],T_SelfStock[RM_Code],$A56,T_SelfStock[WeekIndex],76)+SUMIFS(T_TTAFStock[TTAF_Qty],T_TTAFStock[RM_Code],$A56,T_TTAFStock[WeekIndex],76),BX56+'Grid_Incoming'!BY56-'Grid_Requirement'!BY56))</f>
        <v/>
      </c>
      <c r="BZ56">
        <f>IF(COUNTIFS(T_StockCount[RM_Code],$A56,T_StockCount[WeekIndex],77)&gt;0,SUMIFS(T_StockCount[CountedQty],T_StockCount[RM_Code],$A56,T_StockCount[WeekIndex],77),IF((COUNTIFS(T_SelfStock[RM_Code],$A56,T_SelfStock[WeekIndex],77)&gt;0)*(COUNTIFS(T_TTAFStock[RM_Code],$A56,T_TTAFStock[WeekIndex],77)&gt;0)&gt;0,SUMIFS(T_SelfStock[Self_Qty],T_SelfStock[RM_Code],$A56,T_SelfStock[WeekIndex],77)+SUMIFS(T_TTAFStock[TTAF_Qty],T_TTAFStock[RM_Code],$A56,T_TTAFStock[WeekIndex],77),BY56+'Grid_Incoming'!BZ56-'Grid_Requirement'!BZ56))</f>
        <v/>
      </c>
      <c r="CA56">
        <f>IF(COUNTIFS(T_StockCount[RM_Code],$A56,T_StockCount[WeekIndex],78)&gt;0,SUMIFS(T_StockCount[CountedQty],T_StockCount[RM_Code],$A56,T_StockCount[WeekIndex],78),IF((COUNTIFS(T_SelfStock[RM_Code],$A56,T_SelfStock[WeekIndex],78)&gt;0)*(COUNTIFS(T_TTAFStock[RM_Code],$A56,T_TTAFStock[WeekIndex],78)&gt;0)&gt;0,SUMIFS(T_SelfStock[Self_Qty],T_SelfStock[RM_Code],$A56,T_SelfStock[WeekIndex],78)+SUMIFS(T_TTAFStock[TTAF_Qty],T_TTAFStock[RM_Code],$A56,T_TTAFStock[WeekIndex],78),BZ56+'Grid_Incoming'!CA56-'Grid_Requirement'!CA56))</f>
        <v/>
      </c>
      <c r="CB56">
        <f>IF(COUNTIFS(T_StockCount[RM_Code],$A56,T_StockCount[WeekIndex],79)&gt;0,SUMIFS(T_StockCount[CountedQty],T_StockCount[RM_Code],$A56,T_StockCount[WeekIndex],79),IF((COUNTIFS(T_SelfStock[RM_Code],$A56,T_SelfStock[WeekIndex],79)&gt;0)*(COUNTIFS(T_TTAFStock[RM_Code],$A56,T_TTAFStock[WeekIndex],79)&gt;0)&gt;0,SUMIFS(T_SelfStock[Self_Qty],T_SelfStock[RM_Code],$A56,T_SelfStock[WeekIndex],79)+SUMIFS(T_TTAFStock[TTAF_Qty],T_TTAFStock[RM_Code],$A56,T_TTAFStock[WeekIndex],79),CA56+'Grid_Incoming'!CB56-'Grid_Requirement'!CB56))</f>
        <v/>
      </c>
      <c r="CC56">
        <f>IF(COUNTIFS(T_StockCount[RM_Code],$A56,T_StockCount[WeekIndex],80)&gt;0,SUMIFS(T_StockCount[CountedQty],T_StockCount[RM_Code],$A56,T_StockCount[WeekIndex],80),IF((COUNTIFS(T_SelfStock[RM_Code],$A56,T_SelfStock[WeekIndex],80)&gt;0)*(COUNTIFS(T_TTAFStock[RM_Code],$A56,T_TTAFStock[WeekIndex],80)&gt;0)&gt;0,SUMIFS(T_SelfStock[Self_Qty],T_SelfStock[RM_Code],$A56,T_SelfStock[WeekIndex],80)+SUMIFS(T_TTAFStock[TTAF_Qty],T_TTAFStock[RM_Code],$A56,T_TTAFStock[WeekIndex],80),CB56+'Grid_Incoming'!CC56-'Grid_Requirement'!CC56))</f>
        <v/>
      </c>
      <c r="CD56">
        <f>IF(COUNTIFS(T_StockCount[RM_Code],$A56,T_StockCount[WeekIndex],81)&gt;0,SUMIFS(T_StockCount[CountedQty],T_StockCount[RM_Code],$A56,T_StockCount[WeekIndex],81),IF((COUNTIFS(T_SelfStock[RM_Code],$A56,T_SelfStock[WeekIndex],81)&gt;0)*(COUNTIFS(T_TTAFStock[RM_Code],$A56,T_TTAFStock[WeekIndex],81)&gt;0)&gt;0,SUMIFS(T_SelfStock[Self_Qty],T_SelfStock[RM_Code],$A56,T_SelfStock[WeekIndex],81)+SUMIFS(T_TTAFStock[TTAF_Qty],T_TTAFStock[RM_Code],$A56,T_TTAFStock[WeekIndex],81),CC56+'Grid_Incoming'!CD56-'Grid_Requirement'!CD56))</f>
        <v/>
      </c>
      <c r="CE56">
        <f>IF(COUNTIFS(T_StockCount[RM_Code],$A56,T_StockCount[WeekIndex],82)&gt;0,SUMIFS(T_StockCount[CountedQty],T_StockCount[RM_Code],$A56,T_StockCount[WeekIndex],82),IF((COUNTIFS(T_SelfStock[RM_Code],$A56,T_SelfStock[WeekIndex],82)&gt;0)*(COUNTIFS(T_TTAFStock[RM_Code],$A56,T_TTAFStock[WeekIndex],82)&gt;0)&gt;0,SUMIFS(T_SelfStock[Self_Qty],T_SelfStock[RM_Code],$A56,T_SelfStock[WeekIndex],82)+SUMIFS(T_TTAFStock[TTAF_Qty],T_TTAFStock[RM_Code],$A56,T_TTAFStock[WeekIndex],82),CD56+'Grid_Incoming'!CE56-'Grid_Requirement'!CE56))</f>
        <v/>
      </c>
      <c r="CF56">
        <f>IF(COUNTIFS(T_StockCount[RM_Code],$A56,T_StockCount[WeekIndex],83)&gt;0,SUMIFS(T_StockCount[CountedQty],T_StockCount[RM_Code],$A56,T_StockCount[WeekIndex],83),IF((COUNTIFS(T_SelfStock[RM_Code],$A56,T_SelfStock[WeekIndex],83)&gt;0)*(COUNTIFS(T_TTAFStock[RM_Code],$A56,T_TTAFStock[WeekIndex],83)&gt;0)&gt;0,SUMIFS(T_SelfStock[Self_Qty],T_SelfStock[RM_Code],$A56,T_SelfStock[WeekIndex],83)+SUMIFS(T_TTAFStock[TTAF_Qty],T_TTAFStock[RM_Code],$A56,T_TTAFStock[WeekIndex],83),CE56+'Grid_Incoming'!CF56-'Grid_Requirement'!CF56))</f>
        <v/>
      </c>
      <c r="CG56">
        <f>IF(COUNTIFS(T_StockCount[RM_Code],$A56,T_StockCount[WeekIndex],84)&gt;0,SUMIFS(T_StockCount[CountedQty],T_StockCount[RM_Code],$A56,T_StockCount[WeekIndex],84),IF((COUNTIFS(T_SelfStock[RM_Code],$A56,T_SelfStock[WeekIndex],84)&gt;0)*(COUNTIFS(T_TTAFStock[RM_Code],$A56,T_TTAFStock[WeekIndex],84)&gt;0)&gt;0,SUMIFS(T_SelfStock[Self_Qty],T_SelfStock[RM_Code],$A56,T_SelfStock[WeekIndex],84)+SUMIFS(T_TTAFStock[TTAF_Qty],T_TTAFStock[RM_Code],$A56,T_TTAFStock[WeekIndex],84),CF56+'Grid_Incoming'!CG56-'Grid_Requirement'!CG56))</f>
        <v/>
      </c>
      <c r="CH56">
        <f>IF(COUNTIFS(T_StockCount[RM_Code],$A56,T_StockCount[WeekIndex],85)&gt;0,SUMIFS(T_StockCount[CountedQty],T_StockCount[RM_Code],$A56,T_StockCount[WeekIndex],85),IF((COUNTIFS(T_SelfStock[RM_Code],$A56,T_SelfStock[WeekIndex],85)&gt;0)*(COUNTIFS(T_TTAFStock[RM_Code],$A56,T_TTAFStock[WeekIndex],85)&gt;0)&gt;0,SUMIFS(T_SelfStock[Self_Qty],T_SelfStock[RM_Code],$A56,T_SelfStock[WeekIndex],85)+SUMIFS(T_TTAFStock[TTAF_Qty],T_TTAFStock[RM_Code],$A56,T_TTAFStock[WeekIndex],85),CG56+'Grid_Incoming'!CH56-'Grid_Requirement'!CH56))</f>
        <v/>
      </c>
      <c r="CI56">
        <f>IF(COUNTIFS(T_StockCount[RM_Code],$A56,T_StockCount[WeekIndex],86)&gt;0,SUMIFS(T_StockCount[CountedQty],T_StockCount[RM_Code],$A56,T_StockCount[WeekIndex],86),IF((COUNTIFS(T_SelfStock[RM_Code],$A56,T_SelfStock[WeekIndex],86)&gt;0)*(COUNTIFS(T_TTAFStock[RM_Code],$A56,T_TTAFStock[WeekIndex],86)&gt;0)&gt;0,SUMIFS(T_SelfStock[Self_Qty],T_SelfStock[RM_Code],$A56,T_SelfStock[WeekIndex],86)+SUMIFS(T_TTAFStock[TTAF_Qty],T_TTAFStock[RM_Code],$A56,T_TTAFStock[WeekIndex],86),CH56+'Grid_Incoming'!CI56-'Grid_Requirement'!CI56))</f>
        <v/>
      </c>
      <c r="CJ56">
        <f>IF(COUNTIFS(T_StockCount[RM_Code],$A56,T_StockCount[WeekIndex],87)&gt;0,SUMIFS(T_StockCount[CountedQty],T_StockCount[RM_Code],$A56,T_StockCount[WeekIndex],87),IF((COUNTIFS(T_SelfStock[RM_Code],$A56,T_SelfStock[WeekIndex],87)&gt;0)*(COUNTIFS(T_TTAFStock[RM_Code],$A56,T_TTAFStock[WeekIndex],87)&gt;0)&gt;0,SUMIFS(T_SelfStock[Self_Qty],T_SelfStock[RM_Code],$A56,T_SelfStock[WeekIndex],87)+SUMIFS(T_TTAFStock[TTAF_Qty],T_TTAFStock[RM_Code],$A56,T_TTAFStock[WeekIndex],87),CI56+'Grid_Incoming'!CJ56-'Grid_Requirement'!CJ56))</f>
        <v/>
      </c>
      <c r="CK56">
        <f>IF(COUNTIFS(T_StockCount[RM_Code],$A56,T_StockCount[WeekIndex],88)&gt;0,SUMIFS(T_StockCount[CountedQty],T_StockCount[RM_Code],$A56,T_StockCount[WeekIndex],88),IF((COUNTIFS(T_SelfStock[RM_Code],$A56,T_SelfStock[WeekIndex],88)&gt;0)*(COUNTIFS(T_TTAFStock[RM_Code],$A56,T_TTAFStock[WeekIndex],88)&gt;0)&gt;0,SUMIFS(T_SelfStock[Self_Qty],T_SelfStock[RM_Code],$A56,T_SelfStock[WeekIndex],88)+SUMIFS(T_TTAFStock[TTAF_Qty],T_TTAFStock[RM_Code],$A56,T_TTAFStock[WeekIndex],88),CJ56+'Grid_Incoming'!CK56-'Grid_Requirement'!CK56))</f>
        <v/>
      </c>
      <c r="CL56">
        <f>IF(COUNTIFS(T_StockCount[RM_Code],$A56,T_StockCount[WeekIndex],89)&gt;0,SUMIFS(T_StockCount[CountedQty],T_StockCount[RM_Code],$A56,T_StockCount[WeekIndex],89),IF((COUNTIFS(T_SelfStock[RM_Code],$A56,T_SelfStock[WeekIndex],89)&gt;0)*(COUNTIFS(T_TTAFStock[RM_Code],$A56,T_TTAFStock[WeekIndex],89)&gt;0)&gt;0,SUMIFS(T_SelfStock[Self_Qty],T_SelfStock[RM_Code],$A56,T_SelfStock[WeekIndex],89)+SUMIFS(T_TTAFStock[TTAF_Qty],T_TTAFStock[RM_Code],$A56,T_TTAFStock[WeekIndex],89),CK56+'Grid_Incoming'!CL56-'Grid_Requirement'!CL56))</f>
        <v/>
      </c>
      <c r="CM56">
        <f>IF(COUNTIFS(T_StockCount[RM_Code],$A56,T_StockCount[WeekIndex],90)&gt;0,SUMIFS(T_StockCount[CountedQty],T_StockCount[RM_Code],$A56,T_StockCount[WeekIndex],90),IF((COUNTIFS(T_SelfStock[RM_Code],$A56,T_SelfStock[WeekIndex],90)&gt;0)*(COUNTIFS(T_TTAFStock[RM_Code],$A56,T_TTAFStock[WeekIndex],90)&gt;0)&gt;0,SUMIFS(T_SelfStock[Self_Qty],T_SelfStock[RM_Code],$A56,T_SelfStock[WeekIndex],90)+SUMIFS(T_TTAFStock[TTAF_Qty],T_TTAFStock[RM_Code],$A56,T_TTAFStock[WeekIndex],90),CL56+'Grid_Incoming'!CM56-'Grid_Requirement'!CM56))</f>
        <v/>
      </c>
      <c r="CN56">
        <f>IF(COUNTIFS(T_StockCount[RM_Code],$A56,T_StockCount[WeekIndex],91)&gt;0,SUMIFS(T_StockCount[CountedQty],T_StockCount[RM_Code],$A56,T_StockCount[WeekIndex],91),IF((COUNTIFS(T_SelfStock[RM_Code],$A56,T_SelfStock[WeekIndex],91)&gt;0)*(COUNTIFS(T_TTAFStock[RM_Code],$A56,T_TTAFStock[WeekIndex],91)&gt;0)&gt;0,SUMIFS(T_SelfStock[Self_Qty],T_SelfStock[RM_Code],$A56,T_SelfStock[WeekIndex],91)+SUMIFS(T_TTAFStock[TTAF_Qty],T_TTAFStock[RM_Code],$A56,T_TTAFStock[WeekIndex],91),CM56+'Grid_Incoming'!CN56-'Grid_Requirement'!CN56))</f>
        <v/>
      </c>
      <c r="CO56">
        <f>IF(COUNTIFS(T_StockCount[RM_Code],$A56,T_StockCount[WeekIndex],92)&gt;0,SUMIFS(T_StockCount[CountedQty],T_StockCount[RM_Code],$A56,T_StockCount[WeekIndex],92),IF((COUNTIFS(T_SelfStock[RM_Code],$A56,T_SelfStock[WeekIndex],92)&gt;0)*(COUNTIFS(T_TTAFStock[RM_Code],$A56,T_TTAFStock[WeekIndex],92)&gt;0)&gt;0,SUMIFS(T_SelfStock[Self_Qty],T_SelfStock[RM_Code],$A56,T_SelfStock[WeekIndex],92)+SUMIFS(T_TTAFStock[TTAF_Qty],T_TTAFStock[RM_Code],$A56,T_TTAFStock[WeekIndex],92),CN56+'Grid_Incoming'!CO56-'Grid_Requirement'!CO56))</f>
        <v/>
      </c>
      <c r="CP56">
        <f>IF(COUNTIFS(T_StockCount[RM_Code],$A56,T_StockCount[WeekIndex],93)&gt;0,SUMIFS(T_StockCount[CountedQty],T_StockCount[RM_Code],$A56,T_StockCount[WeekIndex],93),IF((COUNTIFS(T_SelfStock[RM_Code],$A56,T_SelfStock[WeekIndex],93)&gt;0)*(COUNTIFS(T_TTAFStock[RM_Code],$A56,T_TTAFStock[WeekIndex],93)&gt;0)&gt;0,SUMIFS(T_SelfStock[Self_Qty],T_SelfStock[RM_Code],$A56,T_SelfStock[WeekIndex],93)+SUMIFS(T_TTAFStock[TTAF_Qty],T_TTAFStock[RM_Code],$A56,T_TTAFStock[WeekIndex],93),CO56+'Grid_Incoming'!CP56-'Grid_Requirement'!CP56))</f>
        <v/>
      </c>
      <c r="CQ56">
        <f>IF(COUNTIFS(T_StockCount[RM_Code],$A56,T_StockCount[WeekIndex],94)&gt;0,SUMIFS(T_StockCount[CountedQty],T_StockCount[RM_Code],$A56,T_StockCount[WeekIndex],94),IF((COUNTIFS(T_SelfStock[RM_Code],$A56,T_SelfStock[WeekIndex],94)&gt;0)*(COUNTIFS(T_TTAFStock[RM_Code],$A56,T_TTAFStock[WeekIndex],94)&gt;0)&gt;0,SUMIFS(T_SelfStock[Self_Qty],T_SelfStock[RM_Code],$A56,T_SelfStock[WeekIndex],94)+SUMIFS(T_TTAFStock[TTAF_Qty],T_TTAFStock[RM_Code],$A56,T_TTAFStock[WeekIndex],94),CP56+'Grid_Incoming'!CQ56-'Grid_Requirement'!CQ56))</f>
        <v/>
      </c>
      <c r="CR56">
        <f>IF(COUNTIFS(T_StockCount[RM_Code],$A56,T_StockCount[WeekIndex],95)&gt;0,SUMIFS(T_StockCount[CountedQty],T_StockCount[RM_Code],$A56,T_StockCount[WeekIndex],95),IF((COUNTIFS(T_SelfStock[RM_Code],$A56,T_SelfStock[WeekIndex],95)&gt;0)*(COUNTIFS(T_TTAFStock[RM_Code],$A56,T_TTAFStock[WeekIndex],95)&gt;0)&gt;0,SUMIFS(T_SelfStock[Self_Qty],T_SelfStock[RM_Code],$A56,T_SelfStock[WeekIndex],95)+SUMIFS(T_TTAFStock[TTAF_Qty],T_TTAFStock[RM_Code],$A56,T_TTAFStock[WeekIndex],95),CQ56+'Grid_Incoming'!CR56-'Grid_Requirement'!CR56))</f>
        <v/>
      </c>
      <c r="CS56">
        <f>IF(COUNTIFS(T_StockCount[RM_Code],$A56,T_StockCount[WeekIndex],96)&gt;0,SUMIFS(T_StockCount[CountedQty],T_StockCount[RM_Code],$A56,T_StockCount[WeekIndex],96),IF((COUNTIFS(T_SelfStock[RM_Code],$A56,T_SelfStock[WeekIndex],96)&gt;0)*(COUNTIFS(T_TTAFStock[RM_Code],$A56,T_TTAFStock[WeekIndex],96)&gt;0)&gt;0,SUMIFS(T_SelfStock[Self_Qty],T_SelfStock[RM_Code],$A56,T_SelfStock[WeekIndex],96)+SUMIFS(T_TTAFStock[TTAF_Qty],T_TTAFStock[RM_Code],$A56,T_TTAFStock[WeekIndex],96),CR56+'Grid_Incoming'!CS56-'Grid_Requirement'!CS56))</f>
        <v/>
      </c>
      <c r="CT56">
        <f>IF(COUNTIFS(T_StockCount[RM_Code],$A56,T_StockCount[WeekIndex],97)&gt;0,SUMIFS(T_StockCount[CountedQty],T_StockCount[RM_Code],$A56,T_StockCount[WeekIndex],97),IF((COUNTIFS(T_SelfStock[RM_Code],$A56,T_SelfStock[WeekIndex],97)&gt;0)*(COUNTIFS(T_TTAFStock[RM_Code],$A56,T_TTAFStock[WeekIndex],97)&gt;0)&gt;0,SUMIFS(T_SelfStock[Self_Qty],T_SelfStock[RM_Code],$A56,T_SelfStock[WeekIndex],97)+SUMIFS(T_TTAFStock[TTAF_Qty],T_TTAFStock[RM_Code],$A56,T_TTAFStock[WeekIndex],97),CS56+'Grid_Incoming'!CT56-'Grid_Requirement'!CT56))</f>
        <v/>
      </c>
      <c r="CU56">
        <f>IF(COUNTIFS(T_StockCount[RM_Code],$A56,T_StockCount[WeekIndex],98)&gt;0,SUMIFS(T_StockCount[CountedQty],T_StockCount[RM_Code],$A56,T_StockCount[WeekIndex],98),IF((COUNTIFS(T_SelfStock[RM_Code],$A56,T_SelfStock[WeekIndex],98)&gt;0)*(COUNTIFS(T_TTAFStock[RM_Code],$A56,T_TTAFStock[WeekIndex],98)&gt;0)&gt;0,SUMIFS(T_SelfStock[Self_Qty],T_SelfStock[RM_Code],$A56,T_SelfStock[WeekIndex],98)+SUMIFS(T_TTAFStock[TTAF_Qty],T_TTAFStock[RM_Code],$A56,T_TTAFStock[WeekIndex],98),CT56+'Grid_Incoming'!CU56-'Grid_Requirement'!CU56))</f>
        <v/>
      </c>
      <c r="CV56">
        <f>IF(COUNTIFS(T_StockCount[RM_Code],$A56,T_StockCount[WeekIndex],99)&gt;0,SUMIFS(T_StockCount[CountedQty],T_StockCount[RM_Code],$A56,T_StockCount[WeekIndex],99),IF((COUNTIFS(T_SelfStock[RM_Code],$A56,T_SelfStock[WeekIndex],99)&gt;0)*(COUNTIFS(T_TTAFStock[RM_Code],$A56,T_TTAFStock[WeekIndex],99)&gt;0)&gt;0,SUMIFS(T_SelfStock[Self_Qty],T_SelfStock[RM_Code],$A56,T_SelfStock[WeekIndex],99)+SUMIFS(T_TTAFStock[TTAF_Qty],T_TTAFStock[RM_Code],$A56,T_TTAFStock[WeekIndex],99),CU56+'Grid_Incoming'!CV56-'Grid_Requirement'!CV56))</f>
        <v/>
      </c>
      <c r="CW56">
        <f>IF(COUNTIFS(T_StockCount[RM_Code],$A56,T_StockCount[WeekIndex],100)&gt;0,SUMIFS(T_StockCount[CountedQty],T_StockCount[RM_Code],$A56,T_StockCount[WeekIndex],100),IF((COUNTIFS(T_SelfStock[RM_Code],$A56,T_SelfStock[WeekIndex],100)&gt;0)*(COUNTIFS(T_TTAFStock[RM_Code],$A56,T_TTAFStock[WeekIndex],100)&gt;0)&gt;0,SUMIFS(T_SelfStock[Self_Qty],T_SelfStock[RM_Code],$A56,T_SelfStock[WeekIndex],100)+SUMIFS(T_TTAFStock[TTAF_Qty],T_TTAFStock[RM_Code],$A56,T_TTAFStock[WeekIndex],100),CV56+'Grid_Incoming'!CW56-'Grid_Requirement'!CW56))</f>
        <v/>
      </c>
      <c r="CX56">
        <f>IF(COUNTIFS(T_StockCount[RM_Code],$A56,T_StockCount[WeekIndex],101)&gt;0,SUMIFS(T_StockCount[CountedQty],T_StockCount[RM_Code],$A56,T_StockCount[WeekIndex],101),IF((COUNTIFS(T_SelfStock[RM_Code],$A56,T_SelfStock[WeekIndex],101)&gt;0)*(COUNTIFS(T_TTAFStock[RM_Code],$A56,T_TTAFStock[WeekIndex],101)&gt;0)&gt;0,SUMIFS(T_SelfStock[Self_Qty],T_SelfStock[RM_Code],$A56,T_SelfStock[WeekIndex],101)+SUMIFS(T_TTAFStock[TTAF_Qty],T_TTAFStock[RM_Code],$A56,T_TTAFStock[WeekIndex],101),CW56+'Grid_Incoming'!CX56-'Grid_Requirement'!CX56))</f>
        <v/>
      </c>
      <c r="CY56">
        <f>IF(COUNTIFS(T_StockCount[RM_Code],$A56,T_StockCount[WeekIndex],102)&gt;0,SUMIFS(T_StockCount[CountedQty],T_StockCount[RM_Code],$A56,T_StockCount[WeekIndex],102),IF((COUNTIFS(T_SelfStock[RM_Code],$A56,T_SelfStock[WeekIndex],102)&gt;0)*(COUNTIFS(T_TTAFStock[RM_Code],$A56,T_TTAFStock[WeekIndex],102)&gt;0)&gt;0,SUMIFS(T_SelfStock[Self_Qty],T_SelfStock[RM_Code],$A56,T_SelfStock[WeekIndex],102)+SUMIFS(T_TTAFStock[TTAF_Qty],T_TTAFStock[RM_Code],$A56,T_TTAFStock[WeekIndex],102),CX56+'Grid_Incoming'!CY56-'Grid_Requirement'!CY56))</f>
        <v/>
      </c>
      <c r="CZ56">
        <f>IF(COUNTIFS(T_StockCount[RM_Code],$A56,T_StockCount[WeekIndex],103)&gt;0,SUMIFS(T_StockCount[CountedQty],T_StockCount[RM_Code],$A56,T_StockCount[WeekIndex],103),IF((COUNTIFS(T_SelfStock[RM_Code],$A56,T_SelfStock[WeekIndex],103)&gt;0)*(COUNTIFS(T_TTAFStock[RM_Code],$A56,T_TTAFStock[WeekIndex],103)&gt;0)&gt;0,SUMIFS(T_SelfStock[Self_Qty],T_SelfStock[RM_Code],$A56,T_SelfStock[WeekIndex],103)+SUMIFS(T_TTAFStock[TTAF_Qty],T_TTAFStock[RM_Code],$A56,T_TTAFStock[WeekIndex],103),CY56+'Grid_Incoming'!CZ56-'Grid_Requirement'!CZ56))</f>
        <v/>
      </c>
      <c r="DA56">
        <f>IF(COUNTIFS(T_StockCount[RM_Code],$A56,T_StockCount[WeekIndex],104)&gt;0,SUMIFS(T_StockCount[CountedQty],T_StockCount[RM_Code],$A56,T_StockCount[WeekIndex],104),IF((COUNTIFS(T_SelfStock[RM_Code],$A56,T_SelfStock[WeekIndex],104)&gt;0)*(COUNTIFS(T_TTAFStock[RM_Code],$A56,T_TTAFStock[WeekIndex],104)&gt;0)&gt;0,SUMIFS(T_SelfStock[Self_Qty],T_SelfStock[RM_Code],$A56,T_SelfStock[WeekIndex],104)+SUMIFS(T_TTAFStock[TTAF_Qty],T_TTAFStock[RM_Code],$A56,T_TTAFStock[WeekIndex],104),CZ56+'Grid_Incoming'!DA56-'Grid_Requirement'!DA56))</f>
        <v/>
      </c>
    </row>
    <row r="57">
      <c r="A57" t="inlineStr">
        <is>
          <t>CHEM-1770</t>
        </is>
      </c>
      <c r="B57">
        <f>IF(COUNTIFS(T_StockCount[RM_Code],$A57,T_StockCount[WeekIndex],1)&gt;0,SUMIFS(T_StockCount[CountedQty],T_StockCount[RM_Code],$A57,T_StockCount[WeekIndex],1),IF((COUNTIFS(T_SelfStock[RM_Code],$A57,T_SelfStock[WeekIndex],1)&gt;0)*(COUNTIFS(T_TTAFStock[RM_Code],$A57,T_TTAFStock[WeekIndex],1)&gt;0)&gt;0,SUMIFS(T_SelfStock[Self_Qty],T_SelfStock[RM_Code],$A57,T_SelfStock[WeekIndex],1)+SUMIFS(T_TTAFStock[TTAF_Qty],T_TTAFStock[RM_Code],$A57,T_TTAFStock[WeekIndex],1),IFERROR(INDEX(T_OpeningStock[Opening_Qty],MATCH($A57,T_OpeningStock[RM_Code],0)),0)+'Grid_Incoming'!B57-'Grid_Requirement'!B57))</f>
        <v/>
      </c>
      <c r="C57">
        <f>IF(COUNTIFS(T_StockCount[RM_Code],$A57,T_StockCount[WeekIndex],2)&gt;0,SUMIFS(T_StockCount[CountedQty],T_StockCount[RM_Code],$A57,T_StockCount[WeekIndex],2),IF((COUNTIFS(T_SelfStock[RM_Code],$A57,T_SelfStock[WeekIndex],2)&gt;0)*(COUNTIFS(T_TTAFStock[RM_Code],$A57,T_TTAFStock[WeekIndex],2)&gt;0)&gt;0,SUMIFS(T_SelfStock[Self_Qty],T_SelfStock[RM_Code],$A57,T_SelfStock[WeekIndex],2)+SUMIFS(T_TTAFStock[TTAF_Qty],T_TTAFStock[RM_Code],$A57,T_TTAFStock[WeekIndex],2),B57+'Grid_Incoming'!C57-'Grid_Requirement'!C57))</f>
        <v/>
      </c>
      <c r="D57">
        <f>IF(COUNTIFS(T_StockCount[RM_Code],$A57,T_StockCount[WeekIndex],3)&gt;0,SUMIFS(T_StockCount[CountedQty],T_StockCount[RM_Code],$A57,T_StockCount[WeekIndex],3),IF((COUNTIFS(T_SelfStock[RM_Code],$A57,T_SelfStock[WeekIndex],3)&gt;0)*(COUNTIFS(T_TTAFStock[RM_Code],$A57,T_TTAFStock[WeekIndex],3)&gt;0)&gt;0,SUMIFS(T_SelfStock[Self_Qty],T_SelfStock[RM_Code],$A57,T_SelfStock[WeekIndex],3)+SUMIFS(T_TTAFStock[TTAF_Qty],T_TTAFStock[RM_Code],$A57,T_TTAFStock[WeekIndex],3),C57+'Grid_Incoming'!D57-'Grid_Requirement'!D57))</f>
        <v/>
      </c>
      <c r="E57">
        <f>IF(COUNTIFS(T_StockCount[RM_Code],$A57,T_StockCount[WeekIndex],4)&gt;0,SUMIFS(T_StockCount[CountedQty],T_StockCount[RM_Code],$A57,T_StockCount[WeekIndex],4),IF((COUNTIFS(T_SelfStock[RM_Code],$A57,T_SelfStock[WeekIndex],4)&gt;0)*(COUNTIFS(T_TTAFStock[RM_Code],$A57,T_TTAFStock[WeekIndex],4)&gt;0)&gt;0,SUMIFS(T_SelfStock[Self_Qty],T_SelfStock[RM_Code],$A57,T_SelfStock[WeekIndex],4)+SUMIFS(T_TTAFStock[TTAF_Qty],T_TTAFStock[RM_Code],$A57,T_TTAFStock[WeekIndex],4),D57+'Grid_Incoming'!E57-'Grid_Requirement'!E57))</f>
        <v/>
      </c>
      <c r="F57">
        <f>IF(COUNTIFS(T_StockCount[RM_Code],$A57,T_StockCount[WeekIndex],5)&gt;0,SUMIFS(T_StockCount[CountedQty],T_StockCount[RM_Code],$A57,T_StockCount[WeekIndex],5),IF((COUNTIFS(T_SelfStock[RM_Code],$A57,T_SelfStock[WeekIndex],5)&gt;0)*(COUNTIFS(T_TTAFStock[RM_Code],$A57,T_TTAFStock[WeekIndex],5)&gt;0)&gt;0,SUMIFS(T_SelfStock[Self_Qty],T_SelfStock[RM_Code],$A57,T_SelfStock[WeekIndex],5)+SUMIFS(T_TTAFStock[TTAF_Qty],T_TTAFStock[RM_Code],$A57,T_TTAFStock[WeekIndex],5),E57+'Grid_Incoming'!F57-'Grid_Requirement'!F57))</f>
        <v/>
      </c>
      <c r="G57">
        <f>IF(COUNTIFS(T_StockCount[RM_Code],$A57,T_StockCount[WeekIndex],6)&gt;0,SUMIFS(T_StockCount[CountedQty],T_StockCount[RM_Code],$A57,T_StockCount[WeekIndex],6),IF((COUNTIFS(T_SelfStock[RM_Code],$A57,T_SelfStock[WeekIndex],6)&gt;0)*(COUNTIFS(T_TTAFStock[RM_Code],$A57,T_TTAFStock[WeekIndex],6)&gt;0)&gt;0,SUMIFS(T_SelfStock[Self_Qty],T_SelfStock[RM_Code],$A57,T_SelfStock[WeekIndex],6)+SUMIFS(T_TTAFStock[TTAF_Qty],T_TTAFStock[RM_Code],$A57,T_TTAFStock[WeekIndex],6),F57+'Grid_Incoming'!G57-'Grid_Requirement'!G57))</f>
        <v/>
      </c>
      <c r="H57">
        <f>IF(COUNTIFS(T_StockCount[RM_Code],$A57,T_StockCount[WeekIndex],7)&gt;0,SUMIFS(T_StockCount[CountedQty],T_StockCount[RM_Code],$A57,T_StockCount[WeekIndex],7),IF((COUNTIFS(T_SelfStock[RM_Code],$A57,T_SelfStock[WeekIndex],7)&gt;0)*(COUNTIFS(T_TTAFStock[RM_Code],$A57,T_TTAFStock[WeekIndex],7)&gt;0)&gt;0,SUMIFS(T_SelfStock[Self_Qty],T_SelfStock[RM_Code],$A57,T_SelfStock[WeekIndex],7)+SUMIFS(T_TTAFStock[TTAF_Qty],T_TTAFStock[RM_Code],$A57,T_TTAFStock[WeekIndex],7),G57+'Grid_Incoming'!H57-'Grid_Requirement'!H57))</f>
        <v/>
      </c>
      <c r="I57">
        <f>IF(COUNTIFS(T_StockCount[RM_Code],$A57,T_StockCount[WeekIndex],8)&gt;0,SUMIFS(T_StockCount[CountedQty],T_StockCount[RM_Code],$A57,T_StockCount[WeekIndex],8),IF((COUNTIFS(T_SelfStock[RM_Code],$A57,T_SelfStock[WeekIndex],8)&gt;0)*(COUNTIFS(T_TTAFStock[RM_Code],$A57,T_TTAFStock[WeekIndex],8)&gt;0)&gt;0,SUMIFS(T_SelfStock[Self_Qty],T_SelfStock[RM_Code],$A57,T_SelfStock[WeekIndex],8)+SUMIFS(T_TTAFStock[TTAF_Qty],T_TTAFStock[RM_Code],$A57,T_TTAFStock[WeekIndex],8),H57+'Grid_Incoming'!I57-'Grid_Requirement'!I57))</f>
        <v/>
      </c>
      <c r="J57">
        <f>IF(COUNTIFS(T_StockCount[RM_Code],$A57,T_StockCount[WeekIndex],9)&gt;0,SUMIFS(T_StockCount[CountedQty],T_StockCount[RM_Code],$A57,T_StockCount[WeekIndex],9),IF((COUNTIFS(T_SelfStock[RM_Code],$A57,T_SelfStock[WeekIndex],9)&gt;0)*(COUNTIFS(T_TTAFStock[RM_Code],$A57,T_TTAFStock[WeekIndex],9)&gt;0)&gt;0,SUMIFS(T_SelfStock[Self_Qty],T_SelfStock[RM_Code],$A57,T_SelfStock[WeekIndex],9)+SUMIFS(T_TTAFStock[TTAF_Qty],T_TTAFStock[RM_Code],$A57,T_TTAFStock[WeekIndex],9),I57+'Grid_Incoming'!J57-'Grid_Requirement'!J57))</f>
        <v/>
      </c>
      <c r="K57">
        <f>IF(COUNTIFS(T_StockCount[RM_Code],$A57,T_StockCount[WeekIndex],10)&gt;0,SUMIFS(T_StockCount[CountedQty],T_StockCount[RM_Code],$A57,T_StockCount[WeekIndex],10),IF((COUNTIFS(T_SelfStock[RM_Code],$A57,T_SelfStock[WeekIndex],10)&gt;0)*(COUNTIFS(T_TTAFStock[RM_Code],$A57,T_TTAFStock[WeekIndex],10)&gt;0)&gt;0,SUMIFS(T_SelfStock[Self_Qty],T_SelfStock[RM_Code],$A57,T_SelfStock[WeekIndex],10)+SUMIFS(T_TTAFStock[TTAF_Qty],T_TTAFStock[RM_Code],$A57,T_TTAFStock[WeekIndex],10),J57+'Grid_Incoming'!K57-'Grid_Requirement'!K57))</f>
        <v/>
      </c>
      <c r="L57">
        <f>IF(COUNTIFS(T_StockCount[RM_Code],$A57,T_StockCount[WeekIndex],11)&gt;0,SUMIFS(T_StockCount[CountedQty],T_StockCount[RM_Code],$A57,T_StockCount[WeekIndex],11),IF((COUNTIFS(T_SelfStock[RM_Code],$A57,T_SelfStock[WeekIndex],11)&gt;0)*(COUNTIFS(T_TTAFStock[RM_Code],$A57,T_TTAFStock[WeekIndex],11)&gt;0)&gt;0,SUMIFS(T_SelfStock[Self_Qty],T_SelfStock[RM_Code],$A57,T_SelfStock[WeekIndex],11)+SUMIFS(T_TTAFStock[TTAF_Qty],T_TTAFStock[RM_Code],$A57,T_TTAFStock[WeekIndex],11),K57+'Grid_Incoming'!L57-'Grid_Requirement'!L57))</f>
        <v/>
      </c>
      <c r="M57">
        <f>IF(COUNTIFS(T_StockCount[RM_Code],$A57,T_StockCount[WeekIndex],12)&gt;0,SUMIFS(T_StockCount[CountedQty],T_StockCount[RM_Code],$A57,T_StockCount[WeekIndex],12),IF((COUNTIFS(T_SelfStock[RM_Code],$A57,T_SelfStock[WeekIndex],12)&gt;0)*(COUNTIFS(T_TTAFStock[RM_Code],$A57,T_TTAFStock[WeekIndex],12)&gt;0)&gt;0,SUMIFS(T_SelfStock[Self_Qty],T_SelfStock[RM_Code],$A57,T_SelfStock[WeekIndex],12)+SUMIFS(T_TTAFStock[TTAF_Qty],T_TTAFStock[RM_Code],$A57,T_TTAFStock[WeekIndex],12),L57+'Grid_Incoming'!M57-'Grid_Requirement'!M57))</f>
        <v/>
      </c>
      <c r="N57">
        <f>IF(COUNTIFS(T_StockCount[RM_Code],$A57,T_StockCount[WeekIndex],13)&gt;0,SUMIFS(T_StockCount[CountedQty],T_StockCount[RM_Code],$A57,T_StockCount[WeekIndex],13),IF((COUNTIFS(T_SelfStock[RM_Code],$A57,T_SelfStock[WeekIndex],13)&gt;0)*(COUNTIFS(T_TTAFStock[RM_Code],$A57,T_TTAFStock[WeekIndex],13)&gt;0)&gt;0,SUMIFS(T_SelfStock[Self_Qty],T_SelfStock[RM_Code],$A57,T_SelfStock[WeekIndex],13)+SUMIFS(T_TTAFStock[TTAF_Qty],T_TTAFStock[RM_Code],$A57,T_TTAFStock[WeekIndex],13),M57+'Grid_Incoming'!N57-'Grid_Requirement'!N57))</f>
        <v/>
      </c>
      <c r="O57">
        <f>IF(COUNTIFS(T_StockCount[RM_Code],$A57,T_StockCount[WeekIndex],14)&gt;0,SUMIFS(T_StockCount[CountedQty],T_StockCount[RM_Code],$A57,T_StockCount[WeekIndex],14),IF((COUNTIFS(T_SelfStock[RM_Code],$A57,T_SelfStock[WeekIndex],14)&gt;0)*(COUNTIFS(T_TTAFStock[RM_Code],$A57,T_TTAFStock[WeekIndex],14)&gt;0)&gt;0,SUMIFS(T_SelfStock[Self_Qty],T_SelfStock[RM_Code],$A57,T_SelfStock[WeekIndex],14)+SUMIFS(T_TTAFStock[TTAF_Qty],T_TTAFStock[RM_Code],$A57,T_TTAFStock[WeekIndex],14),N57+'Grid_Incoming'!O57-'Grid_Requirement'!O57))</f>
        <v/>
      </c>
      <c r="P57">
        <f>IF(COUNTIFS(T_StockCount[RM_Code],$A57,T_StockCount[WeekIndex],15)&gt;0,SUMIFS(T_StockCount[CountedQty],T_StockCount[RM_Code],$A57,T_StockCount[WeekIndex],15),IF((COUNTIFS(T_SelfStock[RM_Code],$A57,T_SelfStock[WeekIndex],15)&gt;0)*(COUNTIFS(T_TTAFStock[RM_Code],$A57,T_TTAFStock[WeekIndex],15)&gt;0)&gt;0,SUMIFS(T_SelfStock[Self_Qty],T_SelfStock[RM_Code],$A57,T_SelfStock[WeekIndex],15)+SUMIFS(T_TTAFStock[TTAF_Qty],T_TTAFStock[RM_Code],$A57,T_TTAFStock[WeekIndex],15),O57+'Grid_Incoming'!P57-'Grid_Requirement'!P57))</f>
        <v/>
      </c>
      <c r="Q57">
        <f>IF(COUNTIFS(T_StockCount[RM_Code],$A57,T_StockCount[WeekIndex],16)&gt;0,SUMIFS(T_StockCount[CountedQty],T_StockCount[RM_Code],$A57,T_StockCount[WeekIndex],16),IF((COUNTIFS(T_SelfStock[RM_Code],$A57,T_SelfStock[WeekIndex],16)&gt;0)*(COUNTIFS(T_TTAFStock[RM_Code],$A57,T_TTAFStock[WeekIndex],16)&gt;0)&gt;0,SUMIFS(T_SelfStock[Self_Qty],T_SelfStock[RM_Code],$A57,T_SelfStock[WeekIndex],16)+SUMIFS(T_TTAFStock[TTAF_Qty],T_TTAFStock[RM_Code],$A57,T_TTAFStock[WeekIndex],16),P57+'Grid_Incoming'!Q57-'Grid_Requirement'!Q57))</f>
        <v/>
      </c>
      <c r="R57">
        <f>IF(COUNTIFS(T_StockCount[RM_Code],$A57,T_StockCount[WeekIndex],17)&gt;0,SUMIFS(T_StockCount[CountedQty],T_StockCount[RM_Code],$A57,T_StockCount[WeekIndex],17),IF((COUNTIFS(T_SelfStock[RM_Code],$A57,T_SelfStock[WeekIndex],17)&gt;0)*(COUNTIFS(T_TTAFStock[RM_Code],$A57,T_TTAFStock[WeekIndex],17)&gt;0)&gt;0,SUMIFS(T_SelfStock[Self_Qty],T_SelfStock[RM_Code],$A57,T_SelfStock[WeekIndex],17)+SUMIFS(T_TTAFStock[TTAF_Qty],T_TTAFStock[RM_Code],$A57,T_TTAFStock[WeekIndex],17),Q57+'Grid_Incoming'!R57-'Grid_Requirement'!R57))</f>
        <v/>
      </c>
      <c r="S57">
        <f>IF(COUNTIFS(T_StockCount[RM_Code],$A57,T_StockCount[WeekIndex],18)&gt;0,SUMIFS(T_StockCount[CountedQty],T_StockCount[RM_Code],$A57,T_StockCount[WeekIndex],18),IF((COUNTIFS(T_SelfStock[RM_Code],$A57,T_SelfStock[WeekIndex],18)&gt;0)*(COUNTIFS(T_TTAFStock[RM_Code],$A57,T_TTAFStock[WeekIndex],18)&gt;0)&gt;0,SUMIFS(T_SelfStock[Self_Qty],T_SelfStock[RM_Code],$A57,T_SelfStock[WeekIndex],18)+SUMIFS(T_TTAFStock[TTAF_Qty],T_TTAFStock[RM_Code],$A57,T_TTAFStock[WeekIndex],18),R57+'Grid_Incoming'!S57-'Grid_Requirement'!S57))</f>
        <v/>
      </c>
      <c r="T57">
        <f>IF(COUNTIFS(T_StockCount[RM_Code],$A57,T_StockCount[WeekIndex],19)&gt;0,SUMIFS(T_StockCount[CountedQty],T_StockCount[RM_Code],$A57,T_StockCount[WeekIndex],19),IF((COUNTIFS(T_SelfStock[RM_Code],$A57,T_SelfStock[WeekIndex],19)&gt;0)*(COUNTIFS(T_TTAFStock[RM_Code],$A57,T_TTAFStock[WeekIndex],19)&gt;0)&gt;0,SUMIFS(T_SelfStock[Self_Qty],T_SelfStock[RM_Code],$A57,T_SelfStock[WeekIndex],19)+SUMIFS(T_TTAFStock[TTAF_Qty],T_TTAFStock[RM_Code],$A57,T_TTAFStock[WeekIndex],19),S57+'Grid_Incoming'!T57-'Grid_Requirement'!T57))</f>
        <v/>
      </c>
      <c r="U57">
        <f>IF(COUNTIFS(T_StockCount[RM_Code],$A57,T_StockCount[WeekIndex],20)&gt;0,SUMIFS(T_StockCount[CountedQty],T_StockCount[RM_Code],$A57,T_StockCount[WeekIndex],20),IF((COUNTIFS(T_SelfStock[RM_Code],$A57,T_SelfStock[WeekIndex],20)&gt;0)*(COUNTIFS(T_TTAFStock[RM_Code],$A57,T_TTAFStock[WeekIndex],20)&gt;0)&gt;0,SUMIFS(T_SelfStock[Self_Qty],T_SelfStock[RM_Code],$A57,T_SelfStock[WeekIndex],20)+SUMIFS(T_TTAFStock[TTAF_Qty],T_TTAFStock[RM_Code],$A57,T_TTAFStock[WeekIndex],20),T57+'Grid_Incoming'!U57-'Grid_Requirement'!U57))</f>
        <v/>
      </c>
      <c r="V57">
        <f>IF(COUNTIFS(T_StockCount[RM_Code],$A57,T_StockCount[WeekIndex],21)&gt;0,SUMIFS(T_StockCount[CountedQty],T_StockCount[RM_Code],$A57,T_StockCount[WeekIndex],21),IF((COUNTIFS(T_SelfStock[RM_Code],$A57,T_SelfStock[WeekIndex],21)&gt;0)*(COUNTIFS(T_TTAFStock[RM_Code],$A57,T_TTAFStock[WeekIndex],21)&gt;0)&gt;0,SUMIFS(T_SelfStock[Self_Qty],T_SelfStock[RM_Code],$A57,T_SelfStock[WeekIndex],21)+SUMIFS(T_TTAFStock[TTAF_Qty],T_TTAFStock[RM_Code],$A57,T_TTAFStock[WeekIndex],21),U57+'Grid_Incoming'!V57-'Grid_Requirement'!V57))</f>
        <v/>
      </c>
      <c r="W57">
        <f>IF(COUNTIFS(T_StockCount[RM_Code],$A57,T_StockCount[WeekIndex],22)&gt;0,SUMIFS(T_StockCount[CountedQty],T_StockCount[RM_Code],$A57,T_StockCount[WeekIndex],22),IF((COUNTIFS(T_SelfStock[RM_Code],$A57,T_SelfStock[WeekIndex],22)&gt;0)*(COUNTIFS(T_TTAFStock[RM_Code],$A57,T_TTAFStock[WeekIndex],22)&gt;0)&gt;0,SUMIFS(T_SelfStock[Self_Qty],T_SelfStock[RM_Code],$A57,T_SelfStock[WeekIndex],22)+SUMIFS(T_TTAFStock[TTAF_Qty],T_TTAFStock[RM_Code],$A57,T_TTAFStock[WeekIndex],22),V57+'Grid_Incoming'!W57-'Grid_Requirement'!W57))</f>
        <v/>
      </c>
      <c r="X57">
        <f>IF(COUNTIFS(T_StockCount[RM_Code],$A57,T_StockCount[WeekIndex],23)&gt;0,SUMIFS(T_StockCount[CountedQty],T_StockCount[RM_Code],$A57,T_StockCount[WeekIndex],23),IF((COUNTIFS(T_SelfStock[RM_Code],$A57,T_SelfStock[WeekIndex],23)&gt;0)*(COUNTIFS(T_TTAFStock[RM_Code],$A57,T_TTAFStock[WeekIndex],23)&gt;0)&gt;0,SUMIFS(T_SelfStock[Self_Qty],T_SelfStock[RM_Code],$A57,T_SelfStock[WeekIndex],23)+SUMIFS(T_TTAFStock[TTAF_Qty],T_TTAFStock[RM_Code],$A57,T_TTAFStock[WeekIndex],23),W57+'Grid_Incoming'!X57-'Grid_Requirement'!X57))</f>
        <v/>
      </c>
      <c r="Y57">
        <f>IF(COUNTIFS(T_StockCount[RM_Code],$A57,T_StockCount[WeekIndex],24)&gt;0,SUMIFS(T_StockCount[CountedQty],T_StockCount[RM_Code],$A57,T_StockCount[WeekIndex],24),IF((COUNTIFS(T_SelfStock[RM_Code],$A57,T_SelfStock[WeekIndex],24)&gt;0)*(COUNTIFS(T_TTAFStock[RM_Code],$A57,T_TTAFStock[WeekIndex],24)&gt;0)&gt;0,SUMIFS(T_SelfStock[Self_Qty],T_SelfStock[RM_Code],$A57,T_SelfStock[WeekIndex],24)+SUMIFS(T_TTAFStock[TTAF_Qty],T_TTAFStock[RM_Code],$A57,T_TTAFStock[WeekIndex],24),X57+'Grid_Incoming'!Y57-'Grid_Requirement'!Y57))</f>
        <v/>
      </c>
      <c r="Z57">
        <f>IF(COUNTIFS(T_StockCount[RM_Code],$A57,T_StockCount[WeekIndex],25)&gt;0,SUMIFS(T_StockCount[CountedQty],T_StockCount[RM_Code],$A57,T_StockCount[WeekIndex],25),IF((COUNTIFS(T_SelfStock[RM_Code],$A57,T_SelfStock[WeekIndex],25)&gt;0)*(COUNTIFS(T_TTAFStock[RM_Code],$A57,T_TTAFStock[WeekIndex],25)&gt;0)&gt;0,SUMIFS(T_SelfStock[Self_Qty],T_SelfStock[RM_Code],$A57,T_SelfStock[WeekIndex],25)+SUMIFS(T_TTAFStock[TTAF_Qty],T_TTAFStock[RM_Code],$A57,T_TTAFStock[WeekIndex],25),Y57+'Grid_Incoming'!Z57-'Grid_Requirement'!Z57))</f>
        <v/>
      </c>
      <c r="AA57">
        <f>IF(COUNTIFS(T_StockCount[RM_Code],$A57,T_StockCount[WeekIndex],26)&gt;0,SUMIFS(T_StockCount[CountedQty],T_StockCount[RM_Code],$A57,T_StockCount[WeekIndex],26),IF((COUNTIFS(T_SelfStock[RM_Code],$A57,T_SelfStock[WeekIndex],26)&gt;0)*(COUNTIFS(T_TTAFStock[RM_Code],$A57,T_TTAFStock[WeekIndex],26)&gt;0)&gt;0,SUMIFS(T_SelfStock[Self_Qty],T_SelfStock[RM_Code],$A57,T_SelfStock[WeekIndex],26)+SUMIFS(T_TTAFStock[TTAF_Qty],T_TTAFStock[RM_Code],$A57,T_TTAFStock[WeekIndex],26),Z57+'Grid_Incoming'!AA57-'Grid_Requirement'!AA57))</f>
        <v/>
      </c>
      <c r="AB57">
        <f>IF(COUNTIFS(T_StockCount[RM_Code],$A57,T_StockCount[WeekIndex],27)&gt;0,SUMIFS(T_StockCount[CountedQty],T_StockCount[RM_Code],$A57,T_StockCount[WeekIndex],27),IF((COUNTIFS(T_SelfStock[RM_Code],$A57,T_SelfStock[WeekIndex],27)&gt;0)*(COUNTIFS(T_TTAFStock[RM_Code],$A57,T_TTAFStock[WeekIndex],27)&gt;0)&gt;0,SUMIFS(T_SelfStock[Self_Qty],T_SelfStock[RM_Code],$A57,T_SelfStock[WeekIndex],27)+SUMIFS(T_TTAFStock[TTAF_Qty],T_TTAFStock[RM_Code],$A57,T_TTAFStock[WeekIndex],27),AA57+'Grid_Incoming'!AB57-'Grid_Requirement'!AB57))</f>
        <v/>
      </c>
      <c r="AC57">
        <f>IF(COUNTIFS(T_StockCount[RM_Code],$A57,T_StockCount[WeekIndex],28)&gt;0,SUMIFS(T_StockCount[CountedQty],T_StockCount[RM_Code],$A57,T_StockCount[WeekIndex],28),IF((COUNTIFS(T_SelfStock[RM_Code],$A57,T_SelfStock[WeekIndex],28)&gt;0)*(COUNTIFS(T_TTAFStock[RM_Code],$A57,T_TTAFStock[WeekIndex],28)&gt;0)&gt;0,SUMIFS(T_SelfStock[Self_Qty],T_SelfStock[RM_Code],$A57,T_SelfStock[WeekIndex],28)+SUMIFS(T_TTAFStock[TTAF_Qty],T_TTAFStock[RM_Code],$A57,T_TTAFStock[WeekIndex],28),AB57+'Grid_Incoming'!AC57-'Grid_Requirement'!AC57))</f>
        <v/>
      </c>
      <c r="AD57">
        <f>IF(COUNTIFS(T_StockCount[RM_Code],$A57,T_StockCount[WeekIndex],29)&gt;0,SUMIFS(T_StockCount[CountedQty],T_StockCount[RM_Code],$A57,T_StockCount[WeekIndex],29),IF((COUNTIFS(T_SelfStock[RM_Code],$A57,T_SelfStock[WeekIndex],29)&gt;0)*(COUNTIFS(T_TTAFStock[RM_Code],$A57,T_TTAFStock[WeekIndex],29)&gt;0)&gt;0,SUMIFS(T_SelfStock[Self_Qty],T_SelfStock[RM_Code],$A57,T_SelfStock[WeekIndex],29)+SUMIFS(T_TTAFStock[TTAF_Qty],T_TTAFStock[RM_Code],$A57,T_TTAFStock[WeekIndex],29),AC57+'Grid_Incoming'!AD57-'Grid_Requirement'!AD57))</f>
        <v/>
      </c>
      <c r="AE57">
        <f>IF(COUNTIFS(T_StockCount[RM_Code],$A57,T_StockCount[WeekIndex],30)&gt;0,SUMIFS(T_StockCount[CountedQty],T_StockCount[RM_Code],$A57,T_StockCount[WeekIndex],30),IF((COUNTIFS(T_SelfStock[RM_Code],$A57,T_SelfStock[WeekIndex],30)&gt;0)*(COUNTIFS(T_TTAFStock[RM_Code],$A57,T_TTAFStock[WeekIndex],30)&gt;0)&gt;0,SUMIFS(T_SelfStock[Self_Qty],T_SelfStock[RM_Code],$A57,T_SelfStock[WeekIndex],30)+SUMIFS(T_TTAFStock[TTAF_Qty],T_TTAFStock[RM_Code],$A57,T_TTAFStock[WeekIndex],30),AD57+'Grid_Incoming'!AE57-'Grid_Requirement'!AE57))</f>
        <v/>
      </c>
      <c r="AF57">
        <f>IF(COUNTIFS(T_StockCount[RM_Code],$A57,T_StockCount[WeekIndex],31)&gt;0,SUMIFS(T_StockCount[CountedQty],T_StockCount[RM_Code],$A57,T_StockCount[WeekIndex],31),IF((COUNTIFS(T_SelfStock[RM_Code],$A57,T_SelfStock[WeekIndex],31)&gt;0)*(COUNTIFS(T_TTAFStock[RM_Code],$A57,T_TTAFStock[WeekIndex],31)&gt;0)&gt;0,SUMIFS(T_SelfStock[Self_Qty],T_SelfStock[RM_Code],$A57,T_SelfStock[WeekIndex],31)+SUMIFS(T_TTAFStock[TTAF_Qty],T_TTAFStock[RM_Code],$A57,T_TTAFStock[WeekIndex],31),AE57+'Grid_Incoming'!AF57-'Grid_Requirement'!AF57))</f>
        <v/>
      </c>
      <c r="AG57">
        <f>IF(COUNTIFS(T_StockCount[RM_Code],$A57,T_StockCount[WeekIndex],32)&gt;0,SUMIFS(T_StockCount[CountedQty],T_StockCount[RM_Code],$A57,T_StockCount[WeekIndex],32),IF((COUNTIFS(T_SelfStock[RM_Code],$A57,T_SelfStock[WeekIndex],32)&gt;0)*(COUNTIFS(T_TTAFStock[RM_Code],$A57,T_TTAFStock[WeekIndex],32)&gt;0)&gt;0,SUMIFS(T_SelfStock[Self_Qty],T_SelfStock[RM_Code],$A57,T_SelfStock[WeekIndex],32)+SUMIFS(T_TTAFStock[TTAF_Qty],T_TTAFStock[RM_Code],$A57,T_TTAFStock[WeekIndex],32),AF57+'Grid_Incoming'!AG57-'Grid_Requirement'!AG57))</f>
        <v/>
      </c>
      <c r="AH57">
        <f>IF(COUNTIFS(T_StockCount[RM_Code],$A57,T_StockCount[WeekIndex],33)&gt;0,SUMIFS(T_StockCount[CountedQty],T_StockCount[RM_Code],$A57,T_StockCount[WeekIndex],33),IF((COUNTIFS(T_SelfStock[RM_Code],$A57,T_SelfStock[WeekIndex],33)&gt;0)*(COUNTIFS(T_TTAFStock[RM_Code],$A57,T_TTAFStock[WeekIndex],33)&gt;0)&gt;0,SUMIFS(T_SelfStock[Self_Qty],T_SelfStock[RM_Code],$A57,T_SelfStock[WeekIndex],33)+SUMIFS(T_TTAFStock[TTAF_Qty],T_TTAFStock[RM_Code],$A57,T_TTAFStock[WeekIndex],33),AG57+'Grid_Incoming'!AH57-'Grid_Requirement'!AH57))</f>
        <v/>
      </c>
      <c r="AI57">
        <f>IF(COUNTIFS(T_StockCount[RM_Code],$A57,T_StockCount[WeekIndex],34)&gt;0,SUMIFS(T_StockCount[CountedQty],T_StockCount[RM_Code],$A57,T_StockCount[WeekIndex],34),IF((COUNTIFS(T_SelfStock[RM_Code],$A57,T_SelfStock[WeekIndex],34)&gt;0)*(COUNTIFS(T_TTAFStock[RM_Code],$A57,T_TTAFStock[WeekIndex],34)&gt;0)&gt;0,SUMIFS(T_SelfStock[Self_Qty],T_SelfStock[RM_Code],$A57,T_SelfStock[WeekIndex],34)+SUMIFS(T_TTAFStock[TTAF_Qty],T_TTAFStock[RM_Code],$A57,T_TTAFStock[WeekIndex],34),AH57+'Grid_Incoming'!AI57-'Grid_Requirement'!AI57))</f>
        <v/>
      </c>
      <c r="AJ57">
        <f>IF(COUNTIFS(T_StockCount[RM_Code],$A57,T_StockCount[WeekIndex],35)&gt;0,SUMIFS(T_StockCount[CountedQty],T_StockCount[RM_Code],$A57,T_StockCount[WeekIndex],35),IF((COUNTIFS(T_SelfStock[RM_Code],$A57,T_SelfStock[WeekIndex],35)&gt;0)*(COUNTIFS(T_TTAFStock[RM_Code],$A57,T_TTAFStock[WeekIndex],35)&gt;0)&gt;0,SUMIFS(T_SelfStock[Self_Qty],T_SelfStock[RM_Code],$A57,T_SelfStock[WeekIndex],35)+SUMIFS(T_TTAFStock[TTAF_Qty],T_TTAFStock[RM_Code],$A57,T_TTAFStock[WeekIndex],35),AI57+'Grid_Incoming'!AJ57-'Grid_Requirement'!AJ57))</f>
        <v/>
      </c>
      <c r="AK57">
        <f>IF(COUNTIFS(T_StockCount[RM_Code],$A57,T_StockCount[WeekIndex],36)&gt;0,SUMIFS(T_StockCount[CountedQty],T_StockCount[RM_Code],$A57,T_StockCount[WeekIndex],36),IF((COUNTIFS(T_SelfStock[RM_Code],$A57,T_SelfStock[WeekIndex],36)&gt;0)*(COUNTIFS(T_TTAFStock[RM_Code],$A57,T_TTAFStock[WeekIndex],36)&gt;0)&gt;0,SUMIFS(T_SelfStock[Self_Qty],T_SelfStock[RM_Code],$A57,T_SelfStock[WeekIndex],36)+SUMIFS(T_TTAFStock[TTAF_Qty],T_TTAFStock[RM_Code],$A57,T_TTAFStock[WeekIndex],36),AJ57+'Grid_Incoming'!AK57-'Grid_Requirement'!AK57))</f>
        <v/>
      </c>
      <c r="AL57">
        <f>IF(COUNTIFS(T_StockCount[RM_Code],$A57,T_StockCount[WeekIndex],37)&gt;0,SUMIFS(T_StockCount[CountedQty],T_StockCount[RM_Code],$A57,T_StockCount[WeekIndex],37),IF((COUNTIFS(T_SelfStock[RM_Code],$A57,T_SelfStock[WeekIndex],37)&gt;0)*(COUNTIFS(T_TTAFStock[RM_Code],$A57,T_TTAFStock[WeekIndex],37)&gt;0)&gt;0,SUMIFS(T_SelfStock[Self_Qty],T_SelfStock[RM_Code],$A57,T_SelfStock[WeekIndex],37)+SUMIFS(T_TTAFStock[TTAF_Qty],T_TTAFStock[RM_Code],$A57,T_TTAFStock[WeekIndex],37),AK57+'Grid_Incoming'!AL57-'Grid_Requirement'!AL57))</f>
        <v/>
      </c>
      <c r="AM57">
        <f>IF(COUNTIFS(T_StockCount[RM_Code],$A57,T_StockCount[WeekIndex],38)&gt;0,SUMIFS(T_StockCount[CountedQty],T_StockCount[RM_Code],$A57,T_StockCount[WeekIndex],38),IF((COUNTIFS(T_SelfStock[RM_Code],$A57,T_SelfStock[WeekIndex],38)&gt;0)*(COUNTIFS(T_TTAFStock[RM_Code],$A57,T_TTAFStock[WeekIndex],38)&gt;0)&gt;0,SUMIFS(T_SelfStock[Self_Qty],T_SelfStock[RM_Code],$A57,T_SelfStock[WeekIndex],38)+SUMIFS(T_TTAFStock[TTAF_Qty],T_TTAFStock[RM_Code],$A57,T_TTAFStock[WeekIndex],38),AL57+'Grid_Incoming'!AM57-'Grid_Requirement'!AM57))</f>
        <v/>
      </c>
      <c r="AN57">
        <f>IF(COUNTIFS(T_StockCount[RM_Code],$A57,T_StockCount[WeekIndex],39)&gt;0,SUMIFS(T_StockCount[CountedQty],T_StockCount[RM_Code],$A57,T_StockCount[WeekIndex],39),IF((COUNTIFS(T_SelfStock[RM_Code],$A57,T_SelfStock[WeekIndex],39)&gt;0)*(COUNTIFS(T_TTAFStock[RM_Code],$A57,T_TTAFStock[WeekIndex],39)&gt;0)&gt;0,SUMIFS(T_SelfStock[Self_Qty],T_SelfStock[RM_Code],$A57,T_SelfStock[WeekIndex],39)+SUMIFS(T_TTAFStock[TTAF_Qty],T_TTAFStock[RM_Code],$A57,T_TTAFStock[WeekIndex],39),AM57+'Grid_Incoming'!AN57-'Grid_Requirement'!AN57))</f>
        <v/>
      </c>
      <c r="AO57">
        <f>IF(COUNTIFS(T_StockCount[RM_Code],$A57,T_StockCount[WeekIndex],40)&gt;0,SUMIFS(T_StockCount[CountedQty],T_StockCount[RM_Code],$A57,T_StockCount[WeekIndex],40),IF((COUNTIFS(T_SelfStock[RM_Code],$A57,T_SelfStock[WeekIndex],40)&gt;0)*(COUNTIFS(T_TTAFStock[RM_Code],$A57,T_TTAFStock[WeekIndex],40)&gt;0)&gt;0,SUMIFS(T_SelfStock[Self_Qty],T_SelfStock[RM_Code],$A57,T_SelfStock[WeekIndex],40)+SUMIFS(T_TTAFStock[TTAF_Qty],T_TTAFStock[RM_Code],$A57,T_TTAFStock[WeekIndex],40),AN57+'Grid_Incoming'!AO57-'Grid_Requirement'!AO57))</f>
        <v/>
      </c>
      <c r="AP57">
        <f>IF(COUNTIFS(T_StockCount[RM_Code],$A57,T_StockCount[WeekIndex],41)&gt;0,SUMIFS(T_StockCount[CountedQty],T_StockCount[RM_Code],$A57,T_StockCount[WeekIndex],41),IF((COUNTIFS(T_SelfStock[RM_Code],$A57,T_SelfStock[WeekIndex],41)&gt;0)*(COUNTIFS(T_TTAFStock[RM_Code],$A57,T_TTAFStock[WeekIndex],41)&gt;0)&gt;0,SUMIFS(T_SelfStock[Self_Qty],T_SelfStock[RM_Code],$A57,T_SelfStock[WeekIndex],41)+SUMIFS(T_TTAFStock[TTAF_Qty],T_TTAFStock[RM_Code],$A57,T_TTAFStock[WeekIndex],41),AO57+'Grid_Incoming'!AP57-'Grid_Requirement'!AP57))</f>
        <v/>
      </c>
      <c r="AQ57">
        <f>IF(COUNTIFS(T_StockCount[RM_Code],$A57,T_StockCount[WeekIndex],42)&gt;0,SUMIFS(T_StockCount[CountedQty],T_StockCount[RM_Code],$A57,T_StockCount[WeekIndex],42),IF((COUNTIFS(T_SelfStock[RM_Code],$A57,T_SelfStock[WeekIndex],42)&gt;0)*(COUNTIFS(T_TTAFStock[RM_Code],$A57,T_TTAFStock[WeekIndex],42)&gt;0)&gt;0,SUMIFS(T_SelfStock[Self_Qty],T_SelfStock[RM_Code],$A57,T_SelfStock[WeekIndex],42)+SUMIFS(T_TTAFStock[TTAF_Qty],T_TTAFStock[RM_Code],$A57,T_TTAFStock[WeekIndex],42),AP57+'Grid_Incoming'!AQ57-'Grid_Requirement'!AQ57))</f>
        <v/>
      </c>
      <c r="AR57">
        <f>IF(COUNTIFS(T_StockCount[RM_Code],$A57,T_StockCount[WeekIndex],43)&gt;0,SUMIFS(T_StockCount[CountedQty],T_StockCount[RM_Code],$A57,T_StockCount[WeekIndex],43),IF((COUNTIFS(T_SelfStock[RM_Code],$A57,T_SelfStock[WeekIndex],43)&gt;0)*(COUNTIFS(T_TTAFStock[RM_Code],$A57,T_TTAFStock[WeekIndex],43)&gt;0)&gt;0,SUMIFS(T_SelfStock[Self_Qty],T_SelfStock[RM_Code],$A57,T_SelfStock[WeekIndex],43)+SUMIFS(T_TTAFStock[TTAF_Qty],T_TTAFStock[RM_Code],$A57,T_TTAFStock[WeekIndex],43),AQ57+'Grid_Incoming'!AR57-'Grid_Requirement'!AR57))</f>
        <v/>
      </c>
      <c r="AS57">
        <f>IF(COUNTIFS(T_StockCount[RM_Code],$A57,T_StockCount[WeekIndex],44)&gt;0,SUMIFS(T_StockCount[CountedQty],T_StockCount[RM_Code],$A57,T_StockCount[WeekIndex],44),IF((COUNTIFS(T_SelfStock[RM_Code],$A57,T_SelfStock[WeekIndex],44)&gt;0)*(COUNTIFS(T_TTAFStock[RM_Code],$A57,T_TTAFStock[WeekIndex],44)&gt;0)&gt;0,SUMIFS(T_SelfStock[Self_Qty],T_SelfStock[RM_Code],$A57,T_SelfStock[WeekIndex],44)+SUMIFS(T_TTAFStock[TTAF_Qty],T_TTAFStock[RM_Code],$A57,T_TTAFStock[WeekIndex],44),AR57+'Grid_Incoming'!AS57-'Grid_Requirement'!AS57))</f>
        <v/>
      </c>
      <c r="AT57">
        <f>IF(COUNTIFS(T_StockCount[RM_Code],$A57,T_StockCount[WeekIndex],45)&gt;0,SUMIFS(T_StockCount[CountedQty],T_StockCount[RM_Code],$A57,T_StockCount[WeekIndex],45),IF((COUNTIFS(T_SelfStock[RM_Code],$A57,T_SelfStock[WeekIndex],45)&gt;0)*(COUNTIFS(T_TTAFStock[RM_Code],$A57,T_TTAFStock[WeekIndex],45)&gt;0)&gt;0,SUMIFS(T_SelfStock[Self_Qty],T_SelfStock[RM_Code],$A57,T_SelfStock[WeekIndex],45)+SUMIFS(T_TTAFStock[TTAF_Qty],T_TTAFStock[RM_Code],$A57,T_TTAFStock[WeekIndex],45),AS57+'Grid_Incoming'!AT57-'Grid_Requirement'!AT57))</f>
        <v/>
      </c>
      <c r="AU57">
        <f>IF(COUNTIFS(T_StockCount[RM_Code],$A57,T_StockCount[WeekIndex],46)&gt;0,SUMIFS(T_StockCount[CountedQty],T_StockCount[RM_Code],$A57,T_StockCount[WeekIndex],46),IF((COUNTIFS(T_SelfStock[RM_Code],$A57,T_SelfStock[WeekIndex],46)&gt;0)*(COUNTIFS(T_TTAFStock[RM_Code],$A57,T_TTAFStock[WeekIndex],46)&gt;0)&gt;0,SUMIFS(T_SelfStock[Self_Qty],T_SelfStock[RM_Code],$A57,T_SelfStock[WeekIndex],46)+SUMIFS(T_TTAFStock[TTAF_Qty],T_TTAFStock[RM_Code],$A57,T_TTAFStock[WeekIndex],46),AT57+'Grid_Incoming'!AU57-'Grid_Requirement'!AU57))</f>
        <v/>
      </c>
      <c r="AV57">
        <f>IF(COUNTIFS(T_StockCount[RM_Code],$A57,T_StockCount[WeekIndex],47)&gt;0,SUMIFS(T_StockCount[CountedQty],T_StockCount[RM_Code],$A57,T_StockCount[WeekIndex],47),IF((COUNTIFS(T_SelfStock[RM_Code],$A57,T_SelfStock[WeekIndex],47)&gt;0)*(COUNTIFS(T_TTAFStock[RM_Code],$A57,T_TTAFStock[WeekIndex],47)&gt;0)&gt;0,SUMIFS(T_SelfStock[Self_Qty],T_SelfStock[RM_Code],$A57,T_SelfStock[WeekIndex],47)+SUMIFS(T_TTAFStock[TTAF_Qty],T_TTAFStock[RM_Code],$A57,T_TTAFStock[WeekIndex],47),AU57+'Grid_Incoming'!AV57-'Grid_Requirement'!AV57))</f>
        <v/>
      </c>
      <c r="AW57">
        <f>IF(COUNTIFS(T_StockCount[RM_Code],$A57,T_StockCount[WeekIndex],48)&gt;0,SUMIFS(T_StockCount[CountedQty],T_StockCount[RM_Code],$A57,T_StockCount[WeekIndex],48),IF((COUNTIFS(T_SelfStock[RM_Code],$A57,T_SelfStock[WeekIndex],48)&gt;0)*(COUNTIFS(T_TTAFStock[RM_Code],$A57,T_TTAFStock[WeekIndex],48)&gt;0)&gt;0,SUMIFS(T_SelfStock[Self_Qty],T_SelfStock[RM_Code],$A57,T_SelfStock[WeekIndex],48)+SUMIFS(T_TTAFStock[TTAF_Qty],T_TTAFStock[RM_Code],$A57,T_TTAFStock[WeekIndex],48),AV57+'Grid_Incoming'!AW57-'Grid_Requirement'!AW57))</f>
        <v/>
      </c>
      <c r="AX57">
        <f>IF(COUNTIFS(T_StockCount[RM_Code],$A57,T_StockCount[WeekIndex],49)&gt;0,SUMIFS(T_StockCount[CountedQty],T_StockCount[RM_Code],$A57,T_StockCount[WeekIndex],49),IF((COUNTIFS(T_SelfStock[RM_Code],$A57,T_SelfStock[WeekIndex],49)&gt;0)*(COUNTIFS(T_TTAFStock[RM_Code],$A57,T_TTAFStock[WeekIndex],49)&gt;0)&gt;0,SUMIFS(T_SelfStock[Self_Qty],T_SelfStock[RM_Code],$A57,T_SelfStock[WeekIndex],49)+SUMIFS(T_TTAFStock[TTAF_Qty],T_TTAFStock[RM_Code],$A57,T_TTAFStock[WeekIndex],49),AW57+'Grid_Incoming'!AX57-'Grid_Requirement'!AX57))</f>
        <v/>
      </c>
      <c r="AY57">
        <f>IF(COUNTIFS(T_StockCount[RM_Code],$A57,T_StockCount[WeekIndex],50)&gt;0,SUMIFS(T_StockCount[CountedQty],T_StockCount[RM_Code],$A57,T_StockCount[WeekIndex],50),IF((COUNTIFS(T_SelfStock[RM_Code],$A57,T_SelfStock[WeekIndex],50)&gt;0)*(COUNTIFS(T_TTAFStock[RM_Code],$A57,T_TTAFStock[WeekIndex],50)&gt;0)&gt;0,SUMIFS(T_SelfStock[Self_Qty],T_SelfStock[RM_Code],$A57,T_SelfStock[WeekIndex],50)+SUMIFS(T_TTAFStock[TTAF_Qty],T_TTAFStock[RM_Code],$A57,T_TTAFStock[WeekIndex],50),AX57+'Grid_Incoming'!AY57-'Grid_Requirement'!AY57))</f>
        <v/>
      </c>
      <c r="AZ57">
        <f>IF(COUNTIFS(T_StockCount[RM_Code],$A57,T_StockCount[WeekIndex],51)&gt;0,SUMIFS(T_StockCount[CountedQty],T_StockCount[RM_Code],$A57,T_StockCount[WeekIndex],51),IF((COUNTIFS(T_SelfStock[RM_Code],$A57,T_SelfStock[WeekIndex],51)&gt;0)*(COUNTIFS(T_TTAFStock[RM_Code],$A57,T_TTAFStock[WeekIndex],51)&gt;0)&gt;0,SUMIFS(T_SelfStock[Self_Qty],T_SelfStock[RM_Code],$A57,T_SelfStock[WeekIndex],51)+SUMIFS(T_TTAFStock[TTAF_Qty],T_TTAFStock[RM_Code],$A57,T_TTAFStock[WeekIndex],51),AY57+'Grid_Incoming'!AZ57-'Grid_Requirement'!AZ57))</f>
        <v/>
      </c>
      <c r="BA57">
        <f>IF(COUNTIFS(T_StockCount[RM_Code],$A57,T_StockCount[WeekIndex],52)&gt;0,SUMIFS(T_StockCount[CountedQty],T_StockCount[RM_Code],$A57,T_StockCount[WeekIndex],52),IF((COUNTIFS(T_SelfStock[RM_Code],$A57,T_SelfStock[WeekIndex],52)&gt;0)*(COUNTIFS(T_TTAFStock[RM_Code],$A57,T_TTAFStock[WeekIndex],52)&gt;0)&gt;0,SUMIFS(T_SelfStock[Self_Qty],T_SelfStock[RM_Code],$A57,T_SelfStock[WeekIndex],52)+SUMIFS(T_TTAFStock[TTAF_Qty],T_TTAFStock[RM_Code],$A57,T_TTAFStock[WeekIndex],52),AZ57+'Grid_Incoming'!BA57-'Grid_Requirement'!BA57))</f>
        <v/>
      </c>
      <c r="BB57">
        <f>IF(COUNTIFS(T_StockCount[RM_Code],$A57,T_StockCount[WeekIndex],53)&gt;0,SUMIFS(T_StockCount[CountedQty],T_StockCount[RM_Code],$A57,T_StockCount[WeekIndex],53),IF((COUNTIFS(T_SelfStock[RM_Code],$A57,T_SelfStock[WeekIndex],53)&gt;0)*(COUNTIFS(T_TTAFStock[RM_Code],$A57,T_TTAFStock[WeekIndex],53)&gt;0)&gt;0,SUMIFS(T_SelfStock[Self_Qty],T_SelfStock[RM_Code],$A57,T_SelfStock[WeekIndex],53)+SUMIFS(T_TTAFStock[TTAF_Qty],T_TTAFStock[RM_Code],$A57,T_TTAFStock[WeekIndex],53),BA57+'Grid_Incoming'!BB57-'Grid_Requirement'!BB57))</f>
        <v/>
      </c>
      <c r="BC57">
        <f>IF(COUNTIFS(T_StockCount[RM_Code],$A57,T_StockCount[WeekIndex],54)&gt;0,SUMIFS(T_StockCount[CountedQty],T_StockCount[RM_Code],$A57,T_StockCount[WeekIndex],54),IF((COUNTIFS(T_SelfStock[RM_Code],$A57,T_SelfStock[WeekIndex],54)&gt;0)*(COUNTIFS(T_TTAFStock[RM_Code],$A57,T_TTAFStock[WeekIndex],54)&gt;0)&gt;0,SUMIFS(T_SelfStock[Self_Qty],T_SelfStock[RM_Code],$A57,T_SelfStock[WeekIndex],54)+SUMIFS(T_TTAFStock[TTAF_Qty],T_TTAFStock[RM_Code],$A57,T_TTAFStock[WeekIndex],54),BB57+'Grid_Incoming'!BC57-'Grid_Requirement'!BC57))</f>
        <v/>
      </c>
      <c r="BD57">
        <f>IF(COUNTIFS(T_StockCount[RM_Code],$A57,T_StockCount[WeekIndex],55)&gt;0,SUMIFS(T_StockCount[CountedQty],T_StockCount[RM_Code],$A57,T_StockCount[WeekIndex],55),IF((COUNTIFS(T_SelfStock[RM_Code],$A57,T_SelfStock[WeekIndex],55)&gt;0)*(COUNTIFS(T_TTAFStock[RM_Code],$A57,T_TTAFStock[WeekIndex],55)&gt;0)&gt;0,SUMIFS(T_SelfStock[Self_Qty],T_SelfStock[RM_Code],$A57,T_SelfStock[WeekIndex],55)+SUMIFS(T_TTAFStock[TTAF_Qty],T_TTAFStock[RM_Code],$A57,T_TTAFStock[WeekIndex],55),BC57+'Grid_Incoming'!BD57-'Grid_Requirement'!BD57))</f>
        <v/>
      </c>
      <c r="BE57">
        <f>IF(COUNTIFS(T_StockCount[RM_Code],$A57,T_StockCount[WeekIndex],56)&gt;0,SUMIFS(T_StockCount[CountedQty],T_StockCount[RM_Code],$A57,T_StockCount[WeekIndex],56),IF((COUNTIFS(T_SelfStock[RM_Code],$A57,T_SelfStock[WeekIndex],56)&gt;0)*(COUNTIFS(T_TTAFStock[RM_Code],$A57,T_TTAFStock[WeekIndex],56)&gt;0)&gt;0,SUMIFS(T_SelfStock[Self_Qty],T_SelfStock[RM_Code],$A57,T_SelfStock[WeekIndex],56)+SUMIFS(T_TTAFStock[TTAF_Qty],T_TTAFStock[RM_Code],$A57,T_TTAFStock[WeekIndex],56),BD57+'Grid_Incoming'!BE57-'Grid_Requirement'!BE57))</f>
        <v/>
      </c>
      <c r="BF57">
        <f>IF(COUNTIFS(T_StockCount[RM_Code],$A57,T_StockCount[WeekIndex],57)&gt;0,SUMIFS(T_StockCount[CountedQty],T_StockCount[RM_Code],$A57,T_StockCount[WeekIndex],57),IF((COUNTIFS(T_SelfStock[RM_Code],$A57,T_SelfStock[WeekIndex],57)&gt;0)*(COUNTIFS(T_TTAFStock[RM_Code],$A57,T_TTAFStock[WeekIndex],57)&gt;0)&gt;0,SUMIFS(T_SelfStock[Self_Qty],T_SelfStock[RM_Code],$A57,T_SelfStock[WeekIndex],57)+SUMIFS(T_TTAFStock[TTAF_Qty],T_TTAFStock[RM_Code],$A57,T_TTAFStock[WeekIndex],57),BE57+'Grid_Incoming'!BF57-'Grid_Requirement'!BF57))</f>
        <v/>
      </c>
      <c r="BG57">
        <f>IF(COUNTIFS(T_StockCount[RM_Code],$A57,T_StockCount[WeekIndex],58)&gt;0,SUMIFS(T_StockCount[CountedQty],T_StockCount[RM_Code],$A57,T_StockCount[WeekIndex],58),IF((COUNTIFS(T_SelfStock[RM_Code],$A57,T_SelfStock[WeekIndex],58)&gt;0)*(COUNTIFS(T_TTAFStock[RM_Code],$A57,T_TTAFStock[WeekIndex],58)&gt;0)&gt;0,SUMIFS(T_SelfStock[Self_Qty],T_SelfStock[RM_Code],$A57,T_SelfStock[WeekIndex],58)+SUMIFS(T_TTAFStock[TTAF_Qty],T_TTAFStock[RM_Code],$A57,T_TTAFStock[WeekIndex],58),BF57+'Grid_Incoming'!BG57-'Grid_Requirement'!BG57))</f>
        <v/>
      </c>
      <c r="BH57">
        <f>IF(COUNTIFS(T_StockCount[RM_Code],$A57,T_StockCount[WeekIndex],59)&gt;0,SUMIFS(T_StockCount[CountedQty],T_StockCount[RM_Code],$A57,T_StockCount[WeekIndex],59),IF((COUNTIFS(T_SelfStock[RM_Code],$A57,T_SelfStock[WeekIndex],59)&gt;0)*(COUNTIFS(T_TTAFStock[RM_Code],$A57,T_TTAFStock[WeekIndex],59)&gt;0)&gt;0,SUMIFS(T_SelfStock[Self_Qty],T_SelfStock[RM_Code],$A57,T_SelfStock[WeekIndex],59)+SUMIFS(T_TTAFStock[TTAF_Qty],T_TTAFStock[RM_Code],$A57,T_TTAFStock[WeekIndex],59),BG57+'Grid_Incoming'!BH57-'Grid_Requirement'!BH57))</f>
        <v/>
      </c>
      <c r="BI57">
        <f>IF(COUNTIFS(T_StockCount[RM_Code],$A57,T_StockCount[WeekIndex],60)&gt;0,SUMIFS(T_StockCount[CountedQty],T_StockCount[RM_Code],$A57,T_StockCount[WeekIndex],60),IF((COUNTIFS(T_SelfStock[RM_Code],$A57,T_SelfStock[WeekIndex],60)&gt;0)*(COUNTIFS(T_TTAFStock[RM_Code],$A57,T_TTAFStock[WeekIndex],60)&gt;0)&gt;0,SUMIFS(T_SelfStock[Self_Qty],T_SelfStock[RM_Code],$A57,T_SelfStock[WeekIndex],60)+SUMIFS(T_TTAFStock[TTAF_Qty],T_TTAFStock[RM_Code],$A57,T_TTAFStock[WeekIndex],60),BH57+'Grid_Incoming'!BI57-'Grid_Requirement'!BI57))</f>
        <v/>
      </c>
      <c r="BJ57">
        <f>IF(COUNTIFS(T_StockCount[RM_Code],$A57,T_StockCount[WeekIndex],61)&gt;0,SUMIFS(T_StockCount[CountedQty],T_StockCount[RM_Code],$A57,T_StockCount[WeekIndex],61),IF((COUNTIFS(T_SelfStock[RM_Code],$A57,T_SelfStock[WeekIndex],61)&gt;0)*(COUNTIFS(T_TTAFStock[RM_Code],$A57,T_TTAFStock[WeekIndex],61)&gt;0)&gt;0,SUMIFS(T_SelfStock[Self_Qty],T_SelfStock[RM_Code],$A57,T_SelfStock[WeekIndex],61)+SUMIFS(T_TTAFStock[TTAF_Qty],T_TTAFStock[RM_Code],$A57,T_TTAFStock[WeekIndex],61),BI57+'Grid_Incoming'!BJ57-'Grid_Requirement'!BJ57))</f>
        <v/>
      </c>
      <c r="BK57">
        <f>IF(COUNTIFS(T_StockCount[RM_Code],$A57,T_StockCount[WeekIndex],62)&gt;0,SUMIFS(T_StockCount[CountedQty],T_StockCount[RM_Code],$A57,T_StockCount[WeekIndex],62),IF((COUNTIFS(T_SelfStock[RM_Code],$A57,T_SelfStock[WeekIndex],62)&gt;0)*(COUNTIFS(T_TTAFStock[RM_Code],$A57,T_TTAFStock[WeekIndex],62)&gt;0)&gt;0,SUMIFS(T_SelfStock[Self_Qty],T_SelfStock[RM_Code],$A57,T_SelfStock[WeekIndex],62)+SUMIFS(T_TTAFStock[TTAF_Qty],T_TTAFStock[RM_Code],$A57,T_TTAFStock[WeekIndex],62),BJ57+'Grid_Incoming'!BK57-'Grid_Requirement'!BK57))</f>
        <v/>
      </c>
      <c r="BL57">
        <f>IF(COUNTIFS(T_StockCount[RM_Code],$A57,T_StockCount[WeekIndex],63)&gt;0,SUMIFS(T_StockCount[CountedQty],T_StockCount[RM_Code],$A57,T_StockCount[WeekIndex],63),IF((COUNTIFS(T_SelfStock[RM_Code],$A57,T_SelfStock[WeekIndex],63)&gt;0)*(COUNTIFS(T_TTAFStock[RM_Code],$A57,T_TTAFStock[WeekIndex],63)&gt;0)&gt;0,SUMIFS(T_SelfStock[Self_Qty],T_SelfStock[RM_Code],$A57,T_SelfStock[WeekIndex],63)+SUMIFS(T_TTAFStock[TTAF_Qty],T_TTAFStock[RM_Code],$A57,T_TTAFStock[WeekIndex],63),BK57+'Grid_Incoming'!BL57-'Grid_Requirement'!BL57))</f>
        <v/>
      </c>
      <c r="BM57">
        <f>IF(COUNTIFS(T_StockCount[RM_Code],$A57,T_StockCount[WeekIndex],64)&gt;0,SUMIFS(T_StockCount[CountedQty],T_StockCount[RM_Code],$A57,T_StockCount[WeekIndex],64),IF((COUNTIFS(T_SelfStock[RM_Code],$A57,T_SelfStock[WeekIndex],64)&gt;0)*(COUNTIFS(T_TTAFStock[RM_Code],$A57,T_TTAFStock[WeekIndex],64)&gt;0)&gt;0,SUMIFS(T_SelfStock[Self_Qty],T_SelfStock[RM_Code],$A57,T_SelfStock[WeekIndex],64)+SUMIFS(T_TTAFStock[TTAF_Qty],T_TTAFStock[RM_Code],$A57,T_TTAFStock[WeekIndex],64),BL57+'Grid_Incoming'!BM57-'Grid_Requirement'!BM57))</f>
        <v/>
      </c>
      <c r="BN57">
        <f>IF(COUNTIFS(T_StockCount[RM_Code],$A57,T_StockCount[WeekIndex],65)&gt;0,SUMIFS(T_StockCount[CountedQty],T_StockCount[RM_Code],$A57,T_StockCount[WeekIndex],65),IF((COUNTIFS(T_SelfStock[RM_Code],$A57,T_SelfStock[WeekIndex],65)&gt;0)*(COUNTIFS(T_TTAFStock[RM_Code],$A57,T_TTAFStock[WeekIndex],65)&gt;0)&gt;0,SUMIFS(T_SelfStock[Self_Qty],T_SelfStock[RM_Code],$A57,T_SelfStock[WeekIndex],65)+SUMIFS(T_TTAFStock[TTAF_Qty],T_TTAFStock[RM_Code],$A57,T_TTAFStock[WeekIndex],65),BM57+'Grid_Incoming'!BN57-'Grid_Requirement'!BN57))</f>
        <v/>
      </c>
      <c r="BO57">
        <f>IF(COUNTIFS(T_StockCount[RM_Code],$A57,T_StockCount[WeekIndex],66)&gt;0,SUMIFS(T_StockCount[CountedQty],T_StockCount[RM_Code],$A57,T_StockCount[WeekIndex],66),IF((COUNTIFS(T_SelfStock[RM_Code],$A57,T_SelfStock[WeekIndex],66)&gt;0)*(COUNTIFS(T_TTAFStock[RM_Code],$A57,T_TTAFStock[WeekIndex],66)&gt;0)&gt;0,SUMIFS(T_SelfStock[Self_Qty],T_SelfStock[RM_Code],$A57,T_SelfStock[WeekIndex],66)+SUMIFS(T_TTAFStock[TTAF_Qty],T_TTAFStock[RM_Code],$A57,T_TTAFStock[WeekIndex],66),BN57+'Grid_Incoming'!BO57-'Grid_Requirement'!BO57))</f>
        <v/>
      </c>
      <c r="BP57">
        <f>IF(COUNTIFS(T_StockCount[RM_Code],$A57,T_StockCount[WeekIndex],67)&gt;0,SUMIFS(T_StockCount[CountedQty],T_StockCount[RM_Code],$A57,T_StockCount[WeekIndex],67),IF((COUNTIFS(T_SelfStock[RM_Code],$A57,T_SelfStock[WeekIndex],67)&gt;0)*(COUNTIFS(T_TTAFStock[RM_Code],$A57,T_TTAFStock[WeekIndex],67)&gt;0)&gt;0,SUMIFS(T_SelfStock[Self_Qty],T_SelfStock[RM_Code],$A57,T_SelfStock[WeekIndex],67)+SUMIFS(T_TTAFStock[TTAF_Qty],T_TTAFStock[RM_Code],$A57,T_TTAFStock[WeekIndex],67),BO57+'Grid_Incoming'!BP57-'Grid_Requirement'!BP57))</f>
        <v/>
      </c>
      <c r="BQ57">
        <f>IF(COUNTIFS(T_StockCount[RM_Code],$A57,T_StockCount[WeekIndex],68)&gt;0,SUMIFS(T_StockCount[CountedQty],T_StockCount[RM_Code],$A57,T_StockCount[WeekIndex],68),IF((COUNTIFS(T_SelfStock[RM_Code],$A57,T_SelfStock[WeekIndex],68)&gt;0)*(COUNTIFS(T_TTAFStock[RM_Code],$A57,T_TTAFStock[WeekIndex],68)&gt;0)&gt;0,SUMIFS(T_SelfStock[Self_Qty],T_SelfStock[RM_Code],$A57,T_SelfStock[WeekIndex],68)+SUMIFS(T_TTAFStock[TTAF_Qty],T_TTAFStock[RM_Code],$A57,T_TTAFStock[WeekIndex],68),BP57+'Grid_Incoming'!BQ57-'Grid_Requirement'!BQ57))</f>
        <v/>
      </c>
      <c r="BR57">
        <f>IF(COUNTIFS(T_StockCount[RM_Code],$A57,T_StockCount[WeekIndex],69)&gt;0,SUMIFS(T_StockCount[CountedQty],T_StockCount[RM_Code],$A57,T_StockCount[WeekIndex],69),IF((COUNTIFS(T_SelfStock[RM_Code],$A57,T_SelfStock[WeekIndex],69)&gt;0)*(COUNTIFS(T_TTAFStock[RM_Code],$A57,T_TTAFStock[WeekIndex],69)&gt;0)&gt;0,SUMIFS(T_SelfStock[Self_Qty],T_SelfStock[RM_Code],$A57,T_SelfStock[WeekIndex],69)+SUMIFS(T_TTAFStock[TTAF_Qty],T_TTAFStock[RM_Code],$A57,T_TTAFStock[WeekIndex],69),BQ57+'Grid_Incoming'!BR57-'Grid_Requirement'!BR57))</f>
        <v/>
      </c>
      <c r="BS57">
        <f>IF(COUNTIFS(T_StockCount[RM_Code],$A57,T_StockCount[WeekIndex],70)&gt;0,SUMIFS(T_StockCount[CountedQty],T_StockCount[RM_Code],$A57,T_StockCount[WeekIndex],70),IF((COUNTIFS(T_SelfStock[RM_Code],$A57,T_SelfStock[WeekIndex],70)&gt;0)*(COUNTIFS(T_TTAFStock[RM_Code],$A57,T_TTAFStock[WeekIndex],70)&gt;0)&gt;0,SUMIFS(T_SelfStock[Self_Qty],T_SelfStock[RM_Code],$A57,T_SelfStock[WeekIndex],70)+SUMIFS(T_TTAFStock[TTAF_Qty],T_TTAFStock[RM_Code],$A57,T_TTAFStock[WeekIndex],70),BR57+'Grid_Incoming'!BS57-'Grid_Requirement'!BS57))</f>
        <v/>
      </c>
      <c r="BT57">
        <f>IF(COUNTIFS(T_StockCount[RM_Code],$A57,T_StockCount[WeekIndex],71)&gt;0,SUMIFS(T_StockCount[CountedQty],T_StockCount[RM_Code],$A57,T_StockCount[WeekIndex],71),IF((COUNTIFS(T_SelfStock[RM_Code],$A57,T_SelfStock[WeekIndex],71)&gt;0)*(COUNTIFS(T_TTAFStock[RM_Code],$A57,T_TTAFStock[WeekIndex],71)&gt;0)&gt;0,SUMIFS(T_SelfStock[Self_Qty],T_SelfStock[RM_Code],$A57,T_SelfStock[WeekIndex],71)+SUMIFS(T_TTAFStock[TTAF_Qty],T_TTAFStock[RM_Code],$A57,T_TTAFStock[WeekIndex],71),BS57+'Grid_Incoming'!BT57-'Grid_Requirement'!BT57))</f>
        <v/>
      </c>
      <c r="BU57">
        <f>IF(COUNTIFS(T_StockCount[RM_Code],$A57,T_StockCount[WeekIndex],72)&gt;0,SUMIFS(T_StockCount[CountedQty],T_StockCount[RM_Code],$A57,T_StockCount[WeekIndex],72),IF((COUNTIFS(T_SelfStock[RM_Code],$A57,T_SelfStock[WeekIndex],72)&gt;0)*(COUNTIFS(T_TTAFStock[RM_Code],$A57,T_TTAFStock[WeekIndex],72)&gt;0)&gt;0,SUMIFS(T_SelfStock[Self_Qty],T_SelfStock[RM_Code],$A57,T_SelfStock[WeekIndex],72)+SUMIFS(T_TTAFStock[TTAF_Qty],T_TTAFStock[RM_Code],$A57,T_TTAFStock[WeekIndex],72),BT57+'Grid_Incoming'!BU57-'Grid_Requirement'!BU57))</f>
        <v/>
      </c>
      <c r="BV57">
        <f>IF(COUNTIFS(T_StockCount[RM_Code],$A57,T_StockCount[WeekIndex],73)&gt;0,SUMIFS(T_StockCount[CountedQty],T_StockCount[RM_Code],$A57,T_StockCount[WeekIndex],73),IF((COUNTIFS(T_SelfStock[RM_Code],$A57,T_SelfStock[WeekIndex],73)&gt;0)*(COUNTIFS(T_TTAFStock[RM_Code],$A57,T_TTAFStock[WeekIndex],73)&gt;0)&gt;0,SUMIFS(T_SelfStock[Self_Qty],T_SelfStock[RM_Code],$A57,T_SelfStock[WeekIndex],73)+SUMIFS(T_TTAFStock[TTAF_Qty],T_TTAFStock[RM_Code],$A57,T_TTAFStock[WeekIndex],73),BU57+'Grid_Incoming'!BV57-'Grid_Requirement'!BV57))</f>
        <v/>
      </c>
      <c r="BW57">
        <f>IF(COUNTIFS(T_StockCount[RM_Code],$A57,T_StockCount[WeekIndex],74)&gt;0,SUMIFS(T_StockCount[CountedQty],T_StockCount[RM_Code],$A57,T_StockCount[WeekIndex],74),IF((COUNTIFS(T_SelfStock[RM_Code],$A57,T_SelfStock[WeekIndex],74)&gt;0)*(COUNTIFS(T_TTAFStock[RM_Code],$A57,T_TTAFStock[WeekIndex],74)&gt;0)&gt;0,SUMIFS(T_SelfStock[Self_Qty],T_SelfStock[RM_Code],$A57,T_SelfStock[WeekIndex],74)+SUMIFS(T_TTAFStock[TTAF_Qty],T_TTAFStock[RM_Code],$A57,T_TTAFStock[WeekIndex],74),BV57+'Grid_Incoming'!BW57-'Grid_Requirement'!BW57))</f>
        <v/>
      </c>
      <c r="BX57">
        <f>IF(COUNTIFS(T_StockCount[RM_Code],$A57,T_StockCount[WeekIndex],75)&gt;0,SUMIFS(T_StockCount[CountedQty],T_StockCount[RM_Code],$A57,T_StockCount[WeekIndex],75),IF((COUNTIFS(T_SelfStock[RM_Code],$A57,T_SelfStock[WeekIndex],75)&gt;0)*(COUNTIFS(T_TTAFStock[RM_Code],$A57,T_TTAFStock[WeekIndex],75)&gt;0)&gt;0,SUMIFS(T_SelfStock[Self_Qty],T_SelfStock[RM_Code],$A57,T_SelfStock[WeekIndex],75)+SUMIFS(T_TTAFStock[TTAF_Qty],T_TTAFStock[RM_Code],$A57,T_TTAFStock[WeekIndex],75),BW57+'Grid_Incoming'!BX57-'Grid_Requirement'!BX57))</f>
        <v/>
      </c>
      <c r="BY57">
        <f>IF(COUNTIFS(T_StockCount[RM_Code],$A57,T_StockCount[WeekIndex],76)&gt;0,SUMIFS(T_StockCount[CountedQty],T_StockCount[RM_Code],$A57,T_StockCount[WeekIndex],76),IF((COUNTIFS(T_SelfStock[RM_Code],$A57,T_SelfStock[WeekIndex],76)&gt;0)*(COUNTIFS(T_TTAFStock[RM_Code],$A57,T_TTAFStock[WeekIndex],76)&gt;0)&gt;0,SUMIFS(T_SelfStock[Self_Qty],T_SelfStock[RM_Code],$A57,T_SelfStock[WeekIndex],76)+SUMIFS(T_TTAFStock[TTAF_Qty],T_TTAFStock[RM_Code],$A57,T_TTAFStock[WeekIndex],76),BX57+'Grid_Incoming'!BY57-'Grid_Requirement'!BY57))</f>
        <v/>
      </c>
      <c r="BZ57">
        <f>IF(COUNTIFS(T_StockCount[RM_Code],$A57,T_StockCount[WeekIndex],77)&gt;0,SUMIFS(T_StockCount[CountedQty],T_StockCount[RM_Code],$A57,T_StockCount[WeekIndex],77),IF((COUNTIFS(T_SelfStock[RM_Code],$A57,T_SelfStock[WeekIndex],77)&gt;0)*(COUNTIFS(T_TTAFStock[RM_Code],$A57,T_TTAFStock[WeekIndex],77)&gt;0)&gt;0,SUMIFS(T_SelfStock[Self_Qty],T_SelfStock[RM_Code],$A57,T_SelfStock[WeekIndex],77)+SUMIFS(T_TTAFStock[TTAF_Qty],T_TTAFStock[RM_Code],$A57,T_TTAFStock[WeekIndex],77),BY57+'Grid_Incoming'!BZ57-'Grid_Requirement'!BZ57))</f>
        <v/>
      </c>
      <c r="CA57">
        <f>IF(COUNTIFS(T_StockCount[RM_Code],$A57,T_StockCount[WeekIndex],78)&gt;0,SUMIFS(T_StockCount[CountedQty],T_StockCount[RM_Code],$A57,T_StockCount[WeekIndex],78),IF((COUNTIFS(T_SelfStock[RM_Code],$A57,T_SelfStock[WeekIndex],78)&gt;0)*(COUNTIFS(T_TTAFStock[RM_Code],$A57,T_TTAFStock[WeekIndex],78)&gt;0)&gt;0,SUMIFS(T_SelfStock[Self_Qty],T_SelfStock[RM_Code],$A57,T_SelfStock[WeekIndex],78)+SUMIFS(T_TTAFStock[TTAF_Qty],T_TTAFStock[RM_Code],$A57,T_TTAFStock[WeekIndex],78),BZ57+'Grid_Incoming'!CA57-'Grid_Requirement'!CA57))</f>
        <v/>
      </c>
      <c r="CB57">
        <f>IF(COUNTIFS(T_StockCount[RM_Code],$A57,T_StockCount[WeekIndex],79)&gt;0,SUMIFS(T_StockCount[CountedQty],T_StockCount[RM_Code],$A57,T_StockCount[WeekIndex],79),IF((COUNTIFS(T_SelfStock[RM_Code],$A57,T_SelfStock[WeekIndex],79)&gt;0)*(COUNTIFS(T_TTAFStock[RM_Code],$A57,T_TTAFStock[WeekIndex],79)&gt;0)&gt;0,SUMIFS(T_SelfStock[Self_Qty],T_SelfStock[RM_Code],$A57,T_SelfStock[WeekIndex],79)+SUMIFS(T_TTAFStock[TTAF_Qty],T_TTAFStock[RM_Code],$A57,T_TTAFStock[WeekIndex],79),CA57+'Grid_Incoming'!CB57-'Grid_Requirement'!CB57))</f>
        <v/>
      </c>
      <c r="CC57">
        <f>IF(COUNTIFS(T_StockCount[RM_Code],$A57,T_StockCount[WeekIndex],80)&gt;0,SUMIFS(T_StockCount[CountedQty],T_StockCount[RM_Code],$A57,T_StockCount[WeekIndex],80),IF((COUNTIFS(T_SelfStock[RM_Code],$A57,T_SelfStock[WeekIndex],80)&gt;0)*(COUNTIFS(T_TTAFStock[RM_Code],$A57,T_TTAFStock[WeekIndex],80)&gt;0)&gt;0,SUMIFS(T_SelfStock[Self_Qty],T_SelfStock[RM_Code],$A57,T_SelfStock[WeekIndex],80)+SUMIFS(T_TTAFStock[TTAF_Qty],T_TTAFStock[RM_Code],$A57,T_TTAFStock[WeekIndex],80),CB57+'Grid_Incoming'!CC57-'Grid_Requirement'!CC57))</f>
        <v/>
      </c>
      <c r="CD57">
        <f>IF(COUNTIFS(T_StockCount[RM_Code],$A57,T_StockCount[WeekIndex],81)&gt;0,SUMIFS(T_StockCount[CountedQty],T_StockCount[RM_Code],$A57,T_StockCount[WeekIndex],81),IF((COUNTIFS(T_SelfStock[RM_Code],$A57,T_SelfStock[WeekIndex],81)&gt;0)*(COUNTIFS(T_TTAFStock[RM_Code],$A57,T_TTAFStock[WeekIndex],81)&gt;0)&gt;0,SUMIFS(T_SelfStock[Self_Qty],T_SelfStock[RM_Code],$A57,T_SelfStock[WeekIndex],81)+SUMIFS(T_TTAFStock[TTAF_Qty],T_TTAFStock[RM_Code],$A57,T_TTAFStock[WeekIndex],81),CC57+'Grid_Incoming'!CD57-'Grid_Requirement'!CD57))</f>
        <v/>
      </c>
      <c r="CE57">
        <f>IF(COUNTIFS(T_StockCount[RM_Code],$A57,T_StockCount[WeekIndex],82)&gt;0,SUMIFS(T_StockCount[CountedQty],T_StockCount[RM_Code],$A57,T_StockCount[WeekIndex],82),IF((COUNTIFS(T_SelfStock[RM_Code],$A57,T_SelfStock[WeekIndex],82)&gt;0)*(COUNTIFS(T_TTAFStock[RM_Code],$A57,T_TTAFStock[WeekIndex],82)&gt;0)&gt;0,SUMIFS(T_SelfStock[Self_Qty],T_SelfStock[RM_Code],$A57,T_SelfStock[WeekIndex],82)+SUMIFS(T_TTAFStock[TTAF_Qty],T_TTAFStock[RM_Code],$A57,T_TTAFStock[WeekIndex],82),CD57+'Grid_Incoming'!CE57-'Grid_Requirement'!CE57))</f>
        <v/>
      </c>
      <c r="CF57">
        <f>IF(COUNTIFS(T_StockCount[RM_Code],$A57,T_StockCount[WeekIndex],83)&gt;0,SUMIFS(T_StockCount[CountedQty],T_StockCount[RM_Code],$A57,T_StockCount[WeekIndex],83),IF((COUNTIFS(T_SelfStock[RM_Code],$A57,T_SelfStock[WeekIndex],83)&gt;0)*(COUNTIFS(T_TTAFStock[RM_Code],$A57,T_TTAFStock[WeekIndex],83)&gt;0)&gt;0,SUMIFS(T_SelfStock[Self_Qty],T_SelfStock[RM_Code],$A57,T_SelfStock[WeekIndex],83)+SUMIFS(T_TTAFStock[TTAF_Qty],T_TTAFStock[RM_Code],$A57,T_TTAFStock[WeekIndex],83),CE57+'Grid_Incoming'!CF57-'Grid_Requirement'!CF57))</f>
        <v/>
      </c>
      <c r="CG57">
        <f>IF(COUNTIFS(T_StockCount[RM_Code],$A57,T_StockCount[WeekIndex],84)&gt;0,SUMIFS(T_StockCount[CountedQty],T_StockCount[RM_Code],$A57,T_StockCount[WeekIndex],84),IF((COUNTIFS(T_SelfStock[RM_Code],$A57,T_SelfStock[WeekIndex],84)&gt;0)*(COUNTIFS(T_TTAFStock[RM_Code],$A57,T_TTAFStock[WeekIndex],84)&gt;0)&gt;0,SUMIFS(T_SelfStock[Self_Qty],T_SelfStock[RM_Code],$A57,T_SelfStock[WeekIndex],84)+SUMIFS(T_TTAFStock[TTAF_Qty],T_TTAFStock[RM_Code],$A57,T_TTAFStock[WeekIndex],84),CF57+'Grid_Incoming'!CG57-'Grid_Requirement'!CG57))</f>
        <v/>
      </c>
      <c r="CH57">
        <f>IF(COUNTIFS(T_StockCount[RM_Code],$A57,T_StockCount[WeekIndex],85)&gt;0,SUMIFS(T_StockCount[CountedQty],T_StockCount[RM_Code],$A57,T_StockCount[WeekIndex],85),IF((COUNTIFS(T_SelfStock[RM_Code],$A57,T_SelfStock[WeekIndex],85)&gt;0)*(COUNTIFS(T_TTAFStock[RM_Code],$A57,T_TTAFStock[WeekIndex],85)&gt;0)&gt;0,SUMIFS(T_SelfStock[Self_Qty],T_SelfStock[RM_Code],$A57,T_SelfStock[WeekIndex],85)+SUMIFS(T_TTAFStock[TTAF_Qty],T_TTAFStock[RM_Code],$A57,T_TTAFStock[WeekIndex],85),CG57+'Grid_Incoming'!CH57-'Grid_Requirement'!CH57))</f>
        <v/>
      </c>
      <c r="CI57">
        <f>IF(COUNTIFS(T_StockCount[RM_Code],$A57,T_StockCount[WeekIndex],86)&gt;0,SUMIFS(T_StockCount[CountedQty],T_StockCount[RM_Code],$A57,T_StockCount[WeekIndex],86),IF((COUNTIFS(T_SelfStock[RM_Code],$A57,T_SelfStock[WeekIndex],86)&gt;0)*(COUNTIFS(T_TTAFStock[RM_Code],$A57,T_TTAFStock[WeekIndex],86)&gt;0)&gt;0,SUMIFS(T_SelfStock[Self_Qty],T_SelfStock[RM_Code],$A57,T_SelfStock[WeekIndex],86)+SUMIFS(T_TTAFStock[TTAF_Qty],T_TTAFStock[RM_Code],$A57,T_TTAFStock[WeekIndex],86),CH57+'Grid_Incoming'!CI57-'Grid_Requirement'!CI57))</f>
        <v/>
      </c>
      <c r="CJ57">
        <f>IF(COUNTIFS(T_StockCount[RM_Code],$A57,T_StockCount[WeekIndex],87)&gt;0,SUMIFS(T_StockCount[CountedQty],T_StockCount[RM_Code],$A57,T_StockCount[WeekIndex],87),IF((COUNTIFS(T_SelfStock[RM_Code],$A57,T_SelfStock[WeekIndex],87)&gt;0)*(COUNTIFS(T_TTAFStock[RM_Code],$A57,T_TTAFStock[WeekIndex],87)&gt;0)&gt;0,SUMIFS(T_SelfStock[Self_Qty],T_SelfStock[RM_Code],$A57,T_SelfStock[WeekIndex],87)+SUMIFS(T_TTAFStock[TTAF_Qty],T_TTAFStock[RM_Code],$A57,T_TTAFStock[WeekIndex],87),CI57+'Grid_Incoming'!CJ57-'Grid_Requirement'!CJ57))</f>
        <v/>
      </c>
      <c r="CK57">
        <f>IF(COUNTIFS(T_StockCount[RM_Code],$A57,T_StockCount[WeekIndex],88)&gt;0,SUMIFS(T_StockCount[CountedQty],T_StockCount[RM_Code],$A57,T_StockCount[WeekIndex],88),IF((COUNTIFS(T_SelfStock[RM_Code],$A57,T_SelfStock[WeekIndex],88)&gt;0)*(COUNTIFS(T_TTAFStock[RM_Code],$A57,T_TTAFStock[WeekIndex],88)&gt;0)&gt;0,SUMIFS(T_SelfStock[Self_Qty],T_SelfStock[RM_Code],$A57,T_SelfStock[WeekIndex],88)+SUMIFS(T_TTAFStock[TTAF_Qty],T_TTAFStock[RM_Code],$A57,T_TTAFStock[WeekIndex],88),CJ57+'Grid_Incoming'!CK57-'Grid_Requirement'!CK57))</f>
        <v/>
      </c>
      <c r="CL57">
        <f>IF(COUNTIFS(T_StockCount[RM_Code],$A57,T_StockCount[WeekIndex],89)&gt;0,SUMIFS(T_StockCount[CountedQty],T_StockCount[RM_Code],$A57,T_StockCount[WeekIndex],89),IF((COUNTIFS(T_SelfStock[RM_Code],$A57,T_SelfStock[WeekIndex],89)&gt;0)*(COUNTIFS(T_TTAFStock[RM_Code],$A57,T_TTAFStock[WeekIndex],89)&gt;0)&gt;0,SUMIFS(T_SelfStock[Self_Qty],T_SelfStock[RM_Code],$A57,T_SelfStock[WeekIndex],89)+SUMIFS(T_TTAFStock[TTAF_Qty],T_TTAFStock[RM_Code],$A57,T_TTAFStock[WeekIndex],89),CK57+'Grid_Incoming'!CL57-'Grid_Requirement'!CL57))</f>
        <v/>
      </c>
      <c r="CM57">
        <f>IF(COUNTIFS(T_StockCount[RM_Code],$A57,T_StockCount[WeekIndex],90)&gt;0,SUMIFS(T_StockCount[CountedQty],T_StockCount[RM_Code],$A57,T_StockCount[WeekIndex],90),IF((COUNTIFS(T_SelfStock[RM_Code],$A57,T_SelfStock[WeekIndex],90)&gt;0)*(COUNTIFS(T_TTAFStock[RM_Code],$A57,T_TTAFStock[WeekIndex],90)&gt;0)&gt;0,SUMIFS(T_SelfStock[Self_Qty],T_SelfStock[RM_Code],$A57,T_SelfStock[WeekIndex],90)+SUMIFS(T_TTAFStock[TTAF_Qty],T_TTAFStock[RM_Code],$A57,T_TTAFStock[WeekIndex],90),CL57+'Grid_Incoming'!CM57-'Grid_Requirement'!CM57))</f>
        <v/>
      </c>
      <c r="CN57">
        <f>IF(COUNTIFS(T_StockCount[RM_Code],$A57,T_StockCount[WeekIndex],91)&gt;0,SUMIFS(T_StockCount[CountedQty],T_StockCount[RM_Code],$A57,T_StockCount[WeekIndex],91),IF((COUNTIFS(T_SelfStock[RM_Code],$A57,T_SelfStock[WeekIndex],91)&gt;0)*(COUNTIFS(T_TTAFStock[RM_Code],$A57,T_TTAFStock[WeekIndex],91)&gt;0)&gt;0,SUMIFS(T_SelfStock[Self_Qty],T_SelfStock[RM_Code],$A57,T_SelfStock[WeekIndex],91)+SUMIFS(T_TTAFStock[TTAF_Qty],T_TTAFStock[RM_Code],$A57,T_TTAFStock[WeekIndex],91),CM57+'Grid_Incoming'!CN57-'Grid_Requirement'!CN57))</f>
        <v/>
      </c>
      <c r="CO57">
        <f>IF(COUNTIFS(T_StockCount[RM_Code],$A57,T_StockCount[WeekIndex],92)&gt;0,SUMIFS(T_StockCount[CountedQty],T_StockCount[RM_Code],$A57,T_StockCount[WeekIndex],92),IF((COUNTIFS(T_SelfStock[RM_Code],$A57,T_SelfStock[WeekIndex],92)&gt;0)*(COUNTIFS(T_TTAFStock[RM_Code],$A57,T_TTAFStock[WeekIndex],92)&gt;0)&gt;0,SUMIFS(T_SelfStock[Self_Qty],T_SelfStock[RM_Code],$A57,T_SelfStock[WeekIndex],92)+SUMIFS(T_TTAFStock[TTAF_Qty],T_TTAFStock[RM_Code],$A57,T_TTAFStock[WeekIndex],92),CN57+'Grid_Incoming'!CO57-'Grid_Requirement'!CO57))</f>
        <v/>
      </c>
      <c r="CP57">
        <f>IF(COUNTIFS(T_StockCount[RM_Code],$A57,T_StockCount[WeekIndex],93)&gt;0,SUMIFS(T_StockCount[CountedQty],T_StockCount[RM_Code],$A57,T_StockCount[WeekIndex],93),IF((COUNTIFS(T_SelfStock[RM_Code],$A57,T_SelfStock[WeekIndex],93)&gt;0)*(COUNTIFS(T_TTAFStock[RM_Code],$A57,T_TTAFStock[WeekIndex],93)&gt;0)&gt;0,SUMIFS(T_SelfStock[Self_Qty],T_SelfStock[RM_Code],$A57,T_SelfStock[WeekIndex],93)+SUMIFS(T_TTAFStock[TTAF_Qty],T_TTAFStock[RM_Code],$A57,T_TTAFStock[WeekIndex],93),CO57+'Grid_Incoming'!CP57-'Grid_Requirement'!CP57))</f>
        <v/>
      </c>
      <c r="CQ57">
        <f>IF(COUNTIFS(T_StockCount[RM_Code],$A57,T_StockCount[WeekIndex],94)&gt;0,SUMIFS(T_StockCount[CountedQty],T_StockCount[RM_Code],$A57,T_StockCount[WeekIndex],94),IF((COUNTIFS(T_SelfStock[RM_Code],$A57,T_SelfStock[WeekIndex],94)&gt;0)*(COUNTIFS(T_TTAFStock[RM_Code],$A57,T_TTAFStock[WeekIndex],94)&gt;0)&gt;0,SUMIFS(T_SelfStock[Self_Qty],T_SelfStock[RM_Code],$A57,T_SelfStock[WeekIndex],94)+SUMIFS(T_TTAFStock[TTAF_Qty],T_TTAFStock[RM_Code],$A57,T_TTAFStock[WeekIndex],94),CP57+'Grid_Incoming'!CQ57-'Grid_Requirement'!CQ57))</f>
        <v/>
      </c>
      <c r="CR57">
        <f>IF(COUNTIFS(T_StockCount[RM_Code],$A57,T_StockCount[WeekIndex],95)&gt;0,SUMIFS(T_StockCount[CountedQty],T_StockCount[RM_Code],$A57,T_StockCount[WeekIndex],95),IF((COUNTIFS(T_SelfStock[RM_Code],$A57,T_SelfStock[WeekIndex],95)&gt;0)*(COUNTIFS(T_TTAFStock[RM_Code],$A57,T_TTAFStock[WeekIndex],95)&gt;0)&gt;0,SUMIFS(T_SelfStock[Self_Qty],T_SelfStock[RM_Code],$A57,T_SelfStock[WeekIndex],95)+SUMIFS(T_TTAFStock[TTAF_Qty],T_TTAFStock[RM_Code],$A57,T_TTAFStock[WeekIndex],95),CQ57+'Grid_Incoming'!CR57-'Grid_Requirement'!CR57))</f>
        <v/>
      </c>
      <c r="CS57">
        <f>IF(COUNTIFS(T_StockCount[RM_Code],$A57,T_StockCount[WeekIndex],96)&gt;0,SUMIFS(T_StockCount[CountedQty],T_StockCount[RM_Code],$A57,T_StockCount[WeekIndex],96),IF((COUNTIFS(T_SelfStock[RM_Code],$A57,T_SelfStock[WeekIndex],96)&gt;0)*(COUNTIFS(T_TTAFStock[RM_Code],$A57,T_TTAFStock[WeekIndex],96)&gt;0)&gt;0,SUMIFS(T_SelfStock[Self_Qty],T_SelfStock[RM_Code],$A57,T_SelfStock[WeekIndex],96)+SUMIFS(T_TTAFStock[TTAF_Qty],T_TTAFStock[RM_Code],$A57,T_TTAFStock[WeekIndex],96),CR57+'Grid_Incoming'!CS57-'Grid_Requirement'!CS57))</f>
        <v/>
      </c>
      <c r="CT57">
        <f>IF(COUNTIFS(T_StockCount[RM_Code],$A57,T_StockCount[WeekIndex],97)&gt;0,SUMIFS(T_StockCount[CountedQty],T_StockCount[RM_Code],$A57,T_StockCount[WeekIndex],97),IF((COUNTIFS(T_SelfStock[RM_Code],$A57,T_SelfStock[WeekIndex],97)&gt;0)*(COUNTIFS(T_TTAFStock[RM_Code],$A57,T_TTAFStock[WeekIndex],97)&gt;0)&gt;0,SUMIFS(T_SelfStock[Self_Qty],T_SelfStock[RM_Code],$A57,T_SelfStock[WeekIndex],97)+SUMIFS(T_TTAFStock[TTAF_Qty],T_TTAFStock[RM_Code],$A57,T_TTAFStock[WeekIndex],97),CS57+'Grid_Incoming'!CT57-'Grid_Requirement'!CT57))</f>
        <v/>
      </c>
      <c r="CU57">
        <f>IF(COUNTIFS(T_StockCount[RM_Code],$A57,T_StockCount[WeekIndex],98)&gt;0,SUMIFS(T_StockCount[CountedQty],T_StockCount[RM_Code],$A57,T_StockCount[WeekIndex],98),IF((COUNTIFS(T_SelfStock[RM_Code],$A57,T_SelfStock[WeekIndex],98)&gt;0)*(COUNTIFS(T_TTAFStock[RM_Code],$A57,T_TTAFStock[WeekIndex],98)&gt;0)&gt;0,SUMIFS(T_SelfStock[Self_Qty],T_SelfStock[RM_Code],$A57,T_SelfStock[WeekIndex],98)+SUMIFS(T_TTAFStock[TTAF_Qty],T_TTAFStock[RM_Code],$A57,T_TTAFStock[WeekIndex],98),CT57+'Grid_Incoming'!CU57-'Grid_Requirement'!CU57))</f>
        <v/>
      </c>
      <c r="CV57">
        <f>IF(COUNTIFS(T_StockCount[RM_Code],$A57,T_StockCount[WeekIndex],99)&gt;0,SUMIFS(T_StockCount[CountedQty],T_StockCount[RM_Code],$A57,T_StockCount[WeekIndex],99),IF((COUNTIFS(T_SelfStock[RM_Code],$A57,T_SelfStock[WeekIndex],99)&gt;0)*(COUNTIFS(T_TTAFStock[RM_Code],$A57,T_TTAFStock[WeekIndex],99)&gt;0)&gt;0,SUMIFS(T_SelfStock[Self_Qty],T_SelfStock[RM_Code],$A57,T_SelfStock[WeekIndex],99)+SUMIFS(T_TTAFStock[TTAF_Qty],T_TTAFStock[RM_Code],$A57,T_TTAFStock[WeekIndex],99),CU57+'Grid_Incoming'!CV57-'Grid_Requirement'!CV57))</f>
        <v/>
      </c>
      <c r="CW57">
        <f>IF(COUNTIFS(T_StockCount[RM_Code],$A57,T_StockCount[WeekIndex],100)&gt;0,SUMIFS(T_StockCount[CountedQty],T_StockCount[RM_Code],$A57,T_StockCount[WeekIndex],100),IF((COUNTIFS(T_SelfStock[RM_Code],$A57,T_SelfStock[WeekIndex],100)&gt;0)*(COUNTIFS(T_TTAFStock[RM_Code],$A57,T_TTAFStock[WeekIndex],100)&gt;0)&gt;0,SUMIFS(T_SelfStock[Self_Qty],T_SelfStock[RM_Code],$A57,T_SelfStock[WeekIndex],100)+SUMIFS(T_TTAFStock[TTAF_Qty],T_TTAFStock[RM_Code],$A57,T_TTAFStock[WeekIndex],100),CV57+'Grid_Incoming'!CW57-'Grid_Requirement'!CW57))</f>
        <v/>
      </c>
      <c r="CX57">
        <f>IF(COUNTIFS(T_StockCount[RM_Code],$A57,T_StockCount[WeekIndex],101)&gt;0,SUMIFS(T_StockCount[CountedQty],T_StockCount[RM_Code],$A57,T_StockCount[WeekIndex],101),IF((COUNTIFS(T_SelfStock[RM_Code],$A57,T_SelfStock[WeekIndex],101)&gt;0)*(COUNTIFS(T_TTAFStock[RM_Code],$A57,T_TTAFStock[WeekIndex],101)&gt;0)&gt;0,SUMIFS(T_SelfStock[Self_Qty],T_SelfStock[RM_Code],$A57,T_SelfStock[WeekIndex],101)+SUMIFS(T_TTAFStock[TTAF_Qty],T_TTAFStock[RM_Code],$A57,T_TTAFStock[WeekIndex],101),CW57+'Grid_Incoming'!CX57-'Grid_Requirement'!CX57))</f>
        <v/>
      </c>
      <c r="CY57">
        <f>IF(COUNTIFS(T_StockCount[RM_Code],$A57,T_StockCount[WeekIndex],102)&gt;0,SUMIFS(T_StockCount[CountedQty],T_StockCount[RM_Code],$A57,T_StockCount[WeekIndex],102),IF((COUNTIFS(T_SelfStock[RM_Code],$A57,T_SelfStock[WeekIndex],102)&gt;0)*(COUNTIFS(T_TTAFStock[RM_Code],$A57,T_TTAFStock[WeekIndex],102)&gt;0)&gt;0,SUMIFS(T_SelfStock[Self_Qty],T_SelfStock[RM_Code],$A57,T_SelfStock[WeekIndex],102)+SUMIFS(T_TTAFStock[TTAF_Qty],T_TTAFStock[RM_Code],$A57,T_TTAFStock[WeekIndex],102),CX57+'Grid_Incoming'!CY57-'Grid_Requirement'!CY57))</f>
        <v/>
      </c>
      <c r="CZ57">
        <f>IF(COUNTIFS(T_StockCount[RM_Code],$A57,T_StockCount[WeekIndex],103)&gt;0,SUMIFS(T_StockCount[CountedQty],T_StockCount[RM_Code],$A57,T_StockCount[WeekIndex],103),IF((COUNTIFS(T_SelfStock[RM_Code],$A57,T_SelfStock[WeekIndex],103)&gt;0)*(COUNTIFS(T_TTAFStock[RM_Code],$A57,T_TTAFStock[WeekIndex],103)&gt;0)&gt;0,SUMIFS(T_SelfStock[Self_Qty],T_SelfStock[RM_Code],$A57,T_SelfStock[WeekIndex],103)+SUMIFS(T_TTAFStock[TTAF_Qty],T_TTAFStock[RM_Code],$A57,T_TTAFStock[WeekIndex],103),CY57+'Grid_Incoming'!CZ57-'Grid_Requirement'!CZ57))</f>
        <v/>
      </c>
      <c r="DA57">
        <f>IF(COUNTIFS(T_StockCount[RM_Code],$A57,T_StockCount[WeekIndex],104)&gt;0,SUMIFS(T_StockCount[CountedQty],T_StockCount[RM_Code],$A57,T_StockCount[WeekIndex],104),IF((COUNTIFS(T_SelfStock[RM_Code],$A57,T_SelfStock[WeekIndex],104)&gt;0)*(COUNTIFS(T_TTAFStock[RM_Code],$A57,T_TTAFStock[WeekIndex],104)&gt;0)&gt;0,SUMIFS(T_SelfStock[Self_Qty],T_SelfStock[RM_Code],$A57,T_SelfStock[WeekIndex],104)+SUMIFS(T_TTAFStock[TTAF_Qty],T_TTAFStock[RM_Code],$A57,T_TTAFStock[WeekIndex],104),CZ57+'Grid_Incoming'!DA57-'Grid_Requirement'!DA57))</f>
        <v/>
      </c>
    </row>
    <row r="58">
      <c r="A58" t="inlineStr">
        <is>
          <t>CHEM-1850</t>
        </is>
      </c>
      <c r="B58">
        <f>IF(COUNTIFS(T_StockCount[RM_Code],$A58,T_StockCount[WeekIndex],1)&gt;0,SUMIFS(T_StockCount[CountedQty],T_StockCount[RM_Code],$A58,T_StockCount[WeekIndex],1),IF((COUNTIFS(T_SelfStock[RM_Code],$A58,T_SelfStock[WeekIndex],1)&gt;0)*(COUNTIFS(T_TTAFStock[RM_Code],$A58,T_TTAFStock[WeekIndex],1)&gt;0)&gt;0,SUMIFS(T_SelfStock[Self_Qty],T_SelfStock[RM_Code],$A58,T_SelfStock[WeekIndex],1)+SUMIFS(T_TTAFStock[TTAF_Qty],T_TTAFStock[RM_Code],$A58,T_TTAFStock[WeekIndex],1),IFERROR(INDEX(T_OpeningStock[Opening_Qty],MATCH($A58,T_OpeningStock[RM_Code],0)),0)+'Grid_Incoming'!B58-'Grid_Requirement'!B58))</f>
        <v/>
      </c>
      <c r="C58">
        <f>IF(COUNTIFS(T_StockCount[RM_Code],$A58,T_StockCount[WeekIndex],2)&gt;0,SUMIFS(T_StockCount[CountedQty],T_StockCount[RM_Code],$A58,T_StockCount[WeekIndex],2),IF((COUNTIFS(T_SelfStock[RM_Code],$A58,T_SelfStock[WeekIndex],2)&gt;0)*(COUNTIFS(T_TTAFStock[RM_Code],$A58,T_TTAFStock[WeekIndex],2)&gt;0)&gt;0,SUMIFS(T_SelfStock[Self_Qty],T_SelfStock[RM_Code],$A58,T_SelfStock[WeekIndex],2)+SUMIFS(T_TTAFStock[TTAF_Qty],T_TTAFStock[RM_Code],$A58,T_TTAFStock[WeekIndex],2),B58+'Grid_Incoming'!C58-'Grid_Requirement'!C58))</f>
        <v/>
      </c>
      <c r="D58">
        <f>IF(COUNTIFS(T_StockCount[RM_Code],$A58,T_StockCount[WeekIndex],3)&gt;0,SUMIFS(T_StockCount[CountedQty],T_StockCount[RM_Code],$A58,T_StockCount[WeekIndex],3),IF((COUNTIFS(T_SelfStock[RM_Code],$A58,T_SelfStock[WeekIndex],3)&gt;0)*(COUNTIFS(T_TTAFStock[RM_Code],$A58,T_TTAFStock[WeekIndex],3)&gt;0)&gt;0,SUMIFS(T_SelfStock[Self_Qty],T_SelfStock[RM_Code],$A58,T_SelfStock[WeekIndex],3)+SUMIFS(T_TTAFStock[TTAF_Qty],T_TTAFStock[RM_Code],$A58,T_TTAFStock[WeekIndex],3),C58+'Grid_Incoming'!D58-'Grid_Requirement'!D58))</f>
        <v/>
      </c>
      <c r="E58">
        <f>IF(COUNTIFS(T_StockCount[RM_Code],$A58,T_StockCount[WeekIndex],4)&gt;0,SUMIFS(T_StockCount[CountedQty],T_StockCount[RM_Code],$A58,T_StockCount[WeekIndex],4),IF((COUNTIFS(T_SelfStock[RM_Code],$A58,T_SelfStock[WeekIndex],4)&gt;0)*(COUNTIFS(T_TTAFStock[RM_Code],$A58,T_TTAFStock[WeekIndex],4)&gt;0)&gt;0,SUMIFS(T_SelfStock[Self_Qty],T_SelfStock[RM_Code],$A58,T_SelfStock[WeekIndex],4)+SUMIFS(T_TTAFStock[TTAF_Qty],T_TTAFStock[RM_Code],$A58,T_TTAFStock[WeekIndex],4),D58+'Grid_Incoming'!E58-'Grid_Requirement'!E58))</f>
        <v/>
      </c>
      <c r="F58">
        <f>IF(COUNTIFS(T_StockCount[RM_Code],$A58,T_StockCount[WeekIndex],5)&gt;0,SUMIFS(T_StockCount[CountedQty],T_StockCount[RM_Code],$A58,T_StockCount[WeekIndex],5),IF((COUNTIFS(T_SelfStock[RM_Code],$A58,T_SelfStock[WeekIndex],5)&gt;0)*(COUNTIFS(T_TTAFStock[RM_Code],$A58,T_TTAFStock[WeekIndex],5)&gt;0)&gt;0,SUMIFS(T_SelfStock[Self_Qty],T_SelfStock[RM_Code],$A58,T_SelfStock[WeekIndex],5)+SUMIFS(T_TTAFStock[TTAF_Qty],T_TTAFStock[RM_Code],$A58,T_TTAFStock[WeekIndex],5),E58+'Grid_Incoming'!F58-'Grid_Requirement'!F58))</f>
        <v/>
      </c>
      <c r="G58">
        <f>IF(COUNTIFS(T_StockCount[RM_Code],$A58,T_StockCount[WeekIndex],6)&gt;0,SUMIFS(T_StockCount[CountedQty],T_StockCount[RM_Code],$A58,T_StockCount[WeekIndex],6),IF((COUNTIFS(T_SelfStock[RM_Code],$A58,T_SelfStock[WeekIndex],6)&gt;0)*(COUNTIFS(T_TTAFStock[RM_Code],$A58,T_TTAFStock[WeekIndex],6)&gt;0)&gt;0,SUMIFS(T_SelfStock[Self_Qty],T_SelfStock[RM_Code],$A58,T_SelfStock[WeekIndex],6)+SUMIFS(T_TTAFStock[TTAF_Qty],T_TTAFStock[RM_Code],$A58,T_TTAFStock[WeekIndex],6),F58+'Grid_Incoming'!G58-'Grid_Requirement'!G58))</f>
        <v/>
      </c>
      <c r="H58">
        <f>IF(COUNTIFS(T_StockCount[RM_Code],$A58,T_StockCount[WeekIndex],7)&gt;0,SUMIFS(T_StockCount[CountedQty],T_StockCount[RM_Code],$A58,T_StockCount[WeekIndex],7),IF((COUNTIFS(T_SelfStock[RM_Code],$A58,T_SelfStock[WeekIndex],7)&gt;0)*(COUNTIFS(T_TTAFStock[RM_Code],$A58,T_TTAFStock[WeekIndex],7)&gt;0)&gt;0,SUMIFS(T_SelfStock[Self_Qty],T_SelfStock[RM_Code],$A58,T_SelfStock[WeekIndex],7)+SUMIFS(T_TTAFStock[TTAF_Qty],T_TTAFStock[RM_Code],$A58,T_TTAFStock[WeekIndex],7),G58+'Grid_Incoming'!H58-'Grid_Requirement'!H58))</f>
        <v/>
      </c>
      <c r="I58">
        <f>IF(COUNTIFS(T_StockCount[RM_Code],$A58,T_StockCount[WeekIndex],8)&gt;0,SUMIFS(T_StockCount[CountedQty],T_StockCount[RM_Code],$A58,T_StockCount[WeekIndex],8),IF((COUNTIFS(T_SelfStock[RM_Code],$A58,T_SelfStock[WeekIndex],8)&gt;0)*(COUNTIFS(T_TTAFStock[RM_Code],$A58,T_TTAFStock[WeekIndex],8)&gt;0)&gt;0,SUMIFS(T_SelfStock[Self_Qty],T_SelfStock[RM_Code],$A58,T_SelfStock[WeekIndex],8)+SUMIFS(T_TTAFStock[TTAF_Qty],T_TTAFStock[RM_Code],$A58,T_TTAFStock[WeekIndex],8),H58+'Grid_Incoming'!I58-'Grid_Requirement'!I58))</f>
        <v/>
      </c>
      <c r="J58">
        <f>IF(COUNTIFS(T_StockCount[RM_Code],$A58,T_StockCount[WeekIndex],9)&gt;0,SUMIFS(T_StockCount[CountedQty],T_StockCount[RM_Code],$A58,T_StockCount[WeekIndex],9),IF((COUNTIFS(T_SelfStock[RM_Code],$A58,T_SelfStock[WeekIndex],9)&gt;0)*(COUNTIFS(T_TTAFStock[RM_Code],$A58,T_TTAFStock[WeekIndex],9)&gt;0)&gt;0,SUMIFS(T_SelfStock[Self_Qty],T_SelfStock[RM_Code],$A58,T_SelfStock[WeekIndex],9)+SUMIFS(T_TTAFStock[TTAF_Qty],T_TTAFStock[RM_Code],$A58,T_TTAFStock[WeekIndex],9),I58+'Grid_Incoming'!J58-'Grid_Requirement'!J58))</f>
        <v/>
      </c>
      <c r="K58">
        <f>IF(COUNTIFS(T_StockCount[RM_Code],$A58,T_StockCount[WeekIndex],10)&gt;0,SUMIFS(T_StockCount[CountedQty],T_StockCount[RM_Code],$A58,T_StockCount[WeekIndex],10),IF((COUNTIFS(T_SelfStock[RM_Code],$A58,T_SelfStock[WeekIndex],10)&gt;0)*(COUNTIFS(T_TTAFStock[RM_Code],$A58,T_TTAFStock[WeekIndex],10)&gt;0)&gt;0,SUMIFS(T_SelfStock[Self_Qty],T_SelfStock[RM_Code],$A58,T_SelfStock[WeekIndex],10)+SUMIFS(T_TTAFStock[TTAF_Qty],T_TTAFStock[RM_Code],$A58,T_TTAFStock[WeekIndex],10),J58+'Grid_Incoming'!K58-'Grid_Requirement'!K58))</f>
        <v/>
      </c>
      <c r="L58">
        <f>IF(COUNTIFS(T_StockCount[RM_Code],$A58,T_StockCount[WeekIndex],11)&gt;0,SUMIFS(T_StockCount[CountedQty],T_StockCount[RM_Code],$A58,T_StockCount[WeekIndex],11),IF((COUNTIFS(T_SelfStock[RM_Code],$A58,T_SelfStock[WeekIndex],11)&gt;0)*(COUNTIFS(T_TTAFStock[RM_Code],$A58,T_TTAFStock[WeekIndex],11)&gt;0)&gt;0,SUMIFS(T_SelfStock[Self_Qty],T_SelfStock[RM_Code],$A58,T_SelfStock[WeekIndex],11)+SUMIFS(T_TTAFStock[TTAF_Qty],T_TTAFStock[RM_Code],$A58,T_TTAFStock[WeekIndex],11),K58+'Grid_Incoming'!L58-'Grid_Requirement'!L58))</f>
        <v/>
      </c>
      <c r="M58">
        <f>IF(COUNTIFS(T_StockCount[RM_Code],$A58,T_StockCount[WeekIndex],12)&gt;0,SUMIFS(T_StockCount[CountedQty],T_StockCount[RM_Code],$A58,T_StockCount[WeekIndex],12),IF((COUNTIFS(T_SelfStock[RM_Code],$A58,T_SelfStock[WeekIndex],12)&gt;0)*(COUNTIFS(T_TTAFStock[RM_Code],$A58,T_TTAFStock[WeekIndex],12)&gt;0)&gt;0,SUMIFS(T_SelfStock[Self_Qty],T_SelfStock[RM_Code],$A58,T_SelfStock[WeekIndex],12)+SUMIFS(T_TTAFStock[TTAF_Qty],T_TTAFStock[RM_Code],$A58,T_TTAFStock[WeekIndex],12),L58+'Grid_Incoming'!M58-'Grid_Requirement'!M58))</f>
        <v/>
      </c>
      <c r="N58">
        <f>IF(COUNTIFS(T_StockCount[RM_Code],$A58,T_StockCount[WeekIndex],13)&gt;0,SUMIFS(T_StockCount[CountedQty],T_StockCount[RM_Code],$A58,T_StockCount[WeekIndex],13),IF((COUNTIFS(T_SelfStock[RM_Code],$A58,T_SelfStock[WeekIndex],13)&gt;0)*(COUNTIFS(T_TTAFStock[RM_Code],$A58,T_TTAFStock[WeekIndex],13)&gt;0)&gt;0,SUMIFS(T_SelfStock[Self_Qty],T_SelfStock[RM_Code],$A58,T_SelfStock[WeekIndex],13)+SUMIFS(T_TTAFStock[TTAF_Qty],T_TTAFStock[RM_Code],$A58,T_TTAFStock[WeekIndex],13),M58+'Grid_Incoming'!N58-'Grid_Requirement'!N58))</f>
        <v/>
      </c>
      <c r="O58">
        <f>IF(COUNTIFS(T_StockCount[RM_Code],$A58,T_StockCount[WeekIndex],14)&gt;0,SUMIFS(T_StockCount[CountedQty],T_StockCount[RM_Code],$A58,T_StockCount[WeekIndex],14),IF((COUNTIFS(T_SelfStock[RM_Code],$A58,T_SelfStock[WeekIndex],14)&gt;0)*(COUNTIFS(T_TTAFStock[RM_Code],$A58,T_TTAFStock[WeekIndex],14)&gt;0)&gt;0,SUMIFS(T_SelfStock[Self_Qty],T_SelfStock[RM_Code],$A58,T_SelfStock[WeekIndex],14)+SUMIFS(T_TTAFStock[TTAF_Qty],T_TTAFStock[RM_Code],$A58,T_TTAFStock[WeekIndex],14),N58+'Grid_Incoming'!O58-'Grid_Requirement'!O58))</f>
        <v/>
      </c>
      <c r="P58">
        <f>IF(COUNTIFS(T_StockCount[RM_Code],$A58,T_StockCount[WeekIndex],15)&gt;0,SUMIFS(T_StockCount[CountedQty],T_StockCount[RM_Code],$A58,T_StockCount[WeekIndex],15),IF((COUNTIFS(T_SelfStock[RM_Code],$A58,T_SelfStock[WeekIndex],15)&gt;0)*(COUNTIFS(T_TTAFStock[RM_Code],$A58,T_TTAFStock[WeekIndex],15)&gt;0)&gt;0,SUMIFS(T_SelfStock[Self_Qty],T_SelfStock[RM_Code],$A58,T_SelfStock[WeekIndex],15)+SUMIFS(T_TTAFStock[TTAF_Qty],T_TTAFStock[RM_Code],$A58,T_TTAFStock[WeekIndex],15),O58+'Grid_Incoming'!P58-'Grid_Requirement'!P58))</f>
        <v/>
      </c>
      <c r="Q58">
        <f>IF(COUNTIFS(T_StockCount[RM_Code],$A58,T_StockCount[WeekIndex],16)&gt;0,SUMIFS(T_StockCount[CountedQty],T_StockCount[RM_Code],$A58,T_StockCount[WeekIndex],16),IF((COUNTIFS(T_SelfStock[RM_Code],$A58,T_SelfStock[WeekIndex],16)&gt;0)*(COUNTIFS(T_TTAFStock[RM_Code],$A58,T_TTAFStock[WeekIndex],16)&gt;0)&gt;0,SUMIFS(T_SelfStock[Self_Qty],T_SelfStock[RM_Code],$A58,T_SelfStock[WeekIndex],16)+SUMIFS(T_TTAFStock[TTAF_Qty],T_TTAFStock[RM_Code],$A58,T_TTAFStock[WeekIndex],16),P58+'Grid_Incoming'!Q58-'Grid_Requirement'!Q58))</f>
        <v/>
      </c>
      <c r="R58">
        <f>IF(COUNTIFS(T_StockCount[RM_Code],$A58,T_StockCount[WeekIndex],17)&gt;0,SUMIFS(T_StockCount[CountedQty],T_StockCount[RM_Code],$A58,T_StockCount[WeekIndex],17),IF((COUNTIFS(T_SelfStock[RM_Code],$A58,T_SelfStock[WeekIndex],17)&gt;0)*(COUNTIFS(T_TTAFStock[RM_Code],$A58,T_TTAFStock[WeekIndex],17)&gt;0)&gt;0,SUMIFS(T_SelfStock[Self_Qty],T_SelfStock[RM_Code],$A58,T_SelfStock[WeekIndex],17)+SUMIFS(T_TTAFStock[TTAF_Qty],T_TTAFStock[RM_Code],$A58,T_TTAFStock[WeekIndex],17),Q58+'Grid_Incoming'!R58-'Grid_Requirement'!R58))</f>
        <v/>
      </c>
      <c r="S58">
        <f>IF(COUNTIFS(T_StockCount[RM_Code],$A58,T_StockCount[WeekIndex],18)&gt;0,SUMIFS(T_StockCount[CountedQty],T_StockCount[RM_Code],$A58,T_StockCount[WeekIndex],18),IF((COUNTIFS(T_SelfStock[RM_Code],$A58,T_SelfStock[WeekIndex],18)&gt;0)*(COUNTIFS(T_TTAFStock[RM_Code],$A58,T_TTAFStock[WeekIndex],18)&gt;0)&gt;0,SUMIFS(T_SelfStock[Self_Qty],T_SelfStock[RM_Code],$A58,T_SelfStock[WeekIndex],18)+SUMIFS(T_TTAFStock[TTAF_Qty],T_TTAFStock[RM_Code],$A58,T_TTAFStock[WeekIndex],18),R58+'Grid_Incoming'!S58-'Grid_Requirement'!S58))</f>
        <v/>
      </c>
      <c r="T58">
        <f>IF(COUNTIFS(T_StockCount[RM_Code],$A58,T_StockCount[WeekIndex],19)&gt;0,SUMIFS(T_StockCount[CountedQty],T_StockCount[RM_Code],$A58,T_StockCount[WeekIndex],19),IF((COUNTIFS(T_SelfStock[RM_Code],$A58,T_SelfStock[WeekIndex],19)&gt;0)*(COUNTIFS(T_TTAFStock[RM_Code],$A58,T_TTAFStock[WeekIndex],19)&gt;0)&gt;0,SUMIFS(T_SelfStock[Self_Qty],T_SelfStock[RM_Code],$A58,T_SelfStock[WeekIndex],19)+SUMIFS(T_TTAFStock[TTAF_Qty],T_TTAFStock[RM_Code],$A58,T_TTAFStock[WeekIndex],19),S58+'Grid_Incoming'!T58-'Grid_Requirement'!T58))</f>
        <v/>
      </c>
      <c r="U58">
        <f>IF(COUNTIFS(T_StockCount[RM_Code],$A58,T_StockCount[WeekIndex],20)&gt;0,SUMIFS(T_StockCount[CountedQty],T_StockCount[RM_Code],$A58,T_StockCount[WeekIndex],20),IF((COUNTIFS(T_SelfStock[RM_Code],$A58,T_SelfStock[WeekIndex],20)&gt;0)*(COUNTIFS(T_TTAFStock[RM_Code],$A58,T_TTAFStock[WeekIndex],20)&gt;0)&gt;0,SUMIFS(T_SelfStock[Self_Qty],T_SelfStock[RM_Code],$A58,T_SelfStock[WeekIndex],20)+SUMIFS(T_TTAFStock[TTAF_Qty],T_TTAFStock[RM_Code],$A58,T_TTAFStock[WeekIndex],20),T58+'Grid_Incoming'!U58-'Grid_Requirement'!U58))</f>
        <v/>
      </c>
      <c r="V58">
        <f>IF(COUNTIFS(T_StockCount[RM_Code],$A58,T_StockCount[WeekIndex],21)&gt;0,SUMIFS(T_StockCount[CountedQty],T_StockCount[RM_Code],$A58,T_StockCount[WeekIndex],21),IF((COUNTIFS(T_SelfStock[RM_Code],$A58,T_SelfStock[WeekIndex],21)&gt;0)*(COUNTIFS(T_TTAFStock[RM_Code],$A58,T_TTAFStock[WeekIndex],21)&gt;0)&gt;0,SUMIFS(T_SelfStock[Self_Qty],T_SelfStock[RM_Code],$A58,T_SelfStock[WeekIndex],21)+SUMIFS(T_TTAFStock[TTAF_Qty],T_TTAFStock[RM_Code],$A58,T_TTAFStock[WeekIndex],21),U58+'Grid_Incoming'!V58-'Grid_Requirement'!V58))</f>
        <v/>
      </c>
      <c r="W58">
        <f>IF(COUNTIFS(T_StockCount[RM_Code],$A58,T_StockCount[WeekIndex],22)&gt;0,SUMIFS(T_StockCount[CountedQty],T_StockCount[RM_Code],$A58,T_StockCount[WeekIndex],22),IF((COUNTIFS(T_SelfStock[RM_Code],$A58,T_SelfStock[WeekIndex],22)&gt;0)*(COUNTIFS(T_TTAFStock[RM_Code],$A58,T_TTAFStock[WeekIndex],22)&gt;0)&gt;0,SUMIFS(T_SelfStock[Self_Qty],T_SelfStock[RM_Code],$A58,T_SelfStock[WeekIndex],22)+SUMIFS(T_TTAFStock[TTAF_Qty],T_TTAFStock[RM_Code],$A58,T_TTAFStock[WeekIndex],22),V58+'Grid_Incoming'!W58-'Grid_Requirement'!W58))</f>
        <v/>
      </c>
      <c r="X58">
        <f>IF(COUNTIFS(T_StockCount[RM_Code],$A58,T_StockCount[WeekIndex],23)&gt;0,SUMIFS(T_StockCount[CountedQty],T_StockCount[RM_Code],$A58,T_StockCount[WeekIndex],23),IF((COUNTIFS(T_SelfStock[RM_Code],$A58,T_SelfStock[WeekIndex],23)&gt;0)*(COUNTIFS(T_TTAFStock[RM_Code],$A58,T_TTAFStock[WeekIndex],23)&gt;0)&gt;0,SUMIFS(T_SelfStock[Self_Qty],T_SelfStock[RM_Code],$A58,T_SelfStock[WeekIndex],23)+SUMIFS(T_TTAFStock[TTAF_Qty],T_TTAFStock[RM_Code],$A58,T_TTAFStock[WeekIndex],23),W58+'Grid_Incoming'!X58-'Grid_Requirement'!X58))</f>
        <v/>
      </c>
      <c r="Y58">
        <f>IF(COUNTIFS(T_StockCount[RM_Code],$A58,T_StockCount[WeekIndex],24)&gt;0,SUMIFS(T_StockCount[CountedQty],T_StockCount[RM_Code],$A58,T_StockCount[WeekIndex],24),IF((COUNTIFS(T_SelfStock[RM_Code],$A58,T_SelfStock[WeekIndex],24)&gt;0)*(COUNTIFS(T_TTAFStock[RM_Code],$A58,T_TTAFStock[WeekIndex],24)&gt;0)&gt;0,SUMIFS(T_SelfStock[Self_Qty],T_SelfStock[RM_Code],$A58,T_SelfStock[WeekIndex],24)+SUMIFS(T_TTAFStock[TTAF_Qty],T_TTAFStock[RM_Code],$A58,T_TTAFStock[WeekIndex],24),X58+'Grid_Incoming'!Y58-'Grid_Requirement'!Y58))</f>
        <v/>
      </c>
      <c r="Z58">
        <f>IF(COUNTIFS(T_StockCount[RM_Code],$A58,T_StockCount[WeekIndex],25)&gt;0,SUMIFS(T_StockCount[CountedQty],T_StockCount[RM_Code],$A58,T_StockCount[WeekIndex],25),IF((COUNTIFS(T_SelfStock[RM_Code],$A58,T_SelfStock[WeekIndex],25)&gt;0)*(COUNTIFS(T_TTAFStock[RM_Code],$A58,T_TTAFStock[WeekIndex],25)&gt;0)&gt;0,SUMIFS(T_SelfStock[Self_Qty],T_SelfStock[RM_Code],$A58,T_SelfStock[WeekIndex],25)+SUMIFS(T_TTAFStock[TTAF_Qty],T_TTAFStock[RM_Code],$A58,T_TTAFStock[WeekIndex],25),Y58+'Grid_Incoming'!Z58-'Grid_Requirement'!Z58))</f>
        <v/>
      </c>
      <c r="AA58">
        <f>IF(COUNTIFS(T_StockCount[RM_Code],$A58,T_StockCount[WeekIndex],26)&gt;0,SUMIFS(T_StockCount[CountedQty],T_StockCount[RM_Code],$A58,T_StockCount[WeekIndex],26),IF((COUNTIFS(T_SelfStock[RM_Code],$A58,T_SelfStock[WeekIndex],26)&gt;0)*(COUNTIFS(T_TTAFStock[RM_Code],$A58,T_TTAFStock[WeekIndex],26)&gt;0)&gt;0,SUMIFS(T_SelfStock[Self_Qty],T_SelfStock[RM_Code],$A58,T_SelfStock[WeekIndex],26)+SUMIFS(T_TTAFStock[TTAF_Qty],T_TTAFStock[RM_Code],$A58,T_TTAFStock[WeekIndex],26),Z58+'Grid_Incoming'!AA58-'Grid_Requirement'!AA58))</f>
        <v/>
      </c>
      <c r="AB58">
        <f>IF(COUNTIFS(T_StockCount[RM_Code],$A58,T_StockCount[WeekIndex],27)&gt;0,SUMIFS(T_StockCount[CountedQty],T_StockCount[RM_Code],$A58,T_StockCount[WeekIndex],27),IF((COUNTIFS(T_SelfStock[RM_Code],$A58,T_SelfStock[WeekIndex],27)&gt;0)*(COUNTIFS(T_TTAFStock[RM_Code],$A58,T_TTAFStock[WeekIndex],27)&gt;0)&gt;0,SUMIFS(T_SelfStock[Self_Qty],T_SelfStock[RM_Code],$A58,T_SelfStock[WeekIndex],27)+SUMIFS(T_TTAFStock[TTAF_Qty],T_TTAFStock[RM_Code],$A58,T_TTAFStock[WeekIndex],27),AA58+'Grid_Incoming'!AB58-'Grid_Requirement'!AB58))</f>
        <v/>
      </c>
      <c r="AC58">
        <f>IF(COUNTIFS(T_StockCount[RM_Code],$A58,T_StockCount[WeekIndex],28)&gt;0,SUMIFS(T_StockCount[CountedQty],T_StockCount[RM_Code],$A58,T_StockCount[WeekIndex],28),IF((COUNTIFS(T_SelfStock[RM_Code],$A58,T_SelfStock[WeekIndex],28)&gt;0)*(COUNTIFS(T_TTAFStock[RM_Code],$A58,T_TTAFStock[WeekIndex],28)&gt;0)&gt;0,SUMIFS(T_SelfStock[Self_Qty],T_SelfStock[RM_Code],$A58,T_SelfStock[WeekIndex],28)+SUMIFS(T_TTAFStock[TTAF_Qty],T_TTAFStock[RM_Code],$A58,T_TTAFStock[WeekIndex],28),AB58+'Grid_Incoming'!AC58-'Grid_Requirement'!AC58))</f>
        <v/>
      </c>
      <c r="AD58">
        <f>IF(COUNTIFS(T_StockCount[RM_Code],$A58,T_StockCount[WeekIndex],29)&gt;0,SUMIFS(T_StockCount[CountedQty],T_StockCount[RM_Code],$A58,T_StockCount[WeekIndex],29),IF((COUNTIFS(T_SelfStock[RM_Code],$A58,T_SelfStock[WeekIndex],29)&gt;0)*(COUNTIFS(T_TTAFStock[RM_Code],$A58,T_TTAFStock[WeekIndex],29)&gt;0)&gt;0,SUMIFS(T_SelfStock[Self_Qty],T_SelfStock[RM_Code],$A58,T_SelfStock[WeekIndex],29)+SUMIFS(T_TTAFStock[TTAF_Qty],T_TTAFStock[RM_Code],$A58,T_TTAFStock[WeekIndex],29),AC58+'Grid_Incoming'!AD58-'Grid_Requirement'!AD58))</f>
        <v/>
      </c>
      <c r="AE58">
        <f>IF(COUNTIFS(T_StockCount[RM_Code],$A58,T_StockCount[WeekIndex],30)&gt;0,SUMIFS(T_StockCount[CountedQty],T_StockCount[RM_Code],$A58,T_StockCount[WeekIndex],30),IF((COUNTIFS(T_SelfStock[RM_Code],$A58,T_SelfStock[WeekIndex],30)&gt;0)*(COUNTIFS(T_TTAFStock[RM_Code],$A58,T_TTAFStock[WeekIndex],30)&gt;0)&gt;0,SUMIFS(T_SelfStock[Self_Qty],T_SelfStock[RM_Code],$A58,T_SelfStock[WeekIndex],30)+SUMIFS(T_TTAFStock[TTAF_Qty],T_TTAFStock[RM_Code],$A58,T_TTAFStock[WeekIndex],30),AD58+'Grid_Incoming'!AE58-'Grid_Requirement'!AE58))</f>
        <v/>
      </c>
      <c r="AF58">
        <f>IF(COUNTIFS(T_StockCount[RM_Code],$A58,T_StockCount[WeekIndex],31)&gt;0,SUMIFS(T_StockCount[CountedQty],T_StockCount[RM_Code],$A58,T_StockCount[WeekIndex],31),IF((COUNTIFS(T_SelfStock[RM_Code],$A58,T_SelfStock[WeekIndex],31)&gt;0)*(COUNTIFS(T_TTAFStock[RM_Code],$A58,T_TTAFStock[WeekIndex],31)&gt;0)&gt;0,SUMIFS(T_SelfStock[Self_Qty],T_SelfStock[RM_Code],$A58,T_SelfStock[WeekIndex],31)+SUMIFS(T_TTAFStock[TTAF_Qty],T_TTAFStock[RM_Code],$A58,T_TTAFStock[WeekIndex],31),AE58+'Grid_Incoming'!AF58-'Grid_Requirement'!AF58))</f>
        <v/>
      </c>
      <c r="AG58">
        <f>IF(COUNTIFS(T_StockCount[RM_Code],$A58,T_StockCount[WeekIndex],32)&gt;0,SUMIFS(T_StockCount[CountedQty],T_StockCount[RM_Code],$A58,T_StockCount[WeekIndex],32),IF((COUNTIFS(T_SelfStock[RM_Code],$A58,T_SelfStock[WeekIndex],32)&gt;0)*(COUNTIFS(T_TTAFStock[RM_Code],$A58,T_TTAFStock[WeekIndex],32)&gt;0)&gt;0,SUMIFS(T_SelfStock[Self_Qty],T_SelfStock[RM_Code],$A58,T_SelfStock[WeekIndex],32)+SUMIFS(T_TTAFStock[TTAF_Qty],T_TTAFStock[RM_Code],$A58,T_TTAFStock[WeekIndex],32),AF58+'Grid_Incoming'!AG58-'Grid_Requirement'!AG58))</f>
        <v/>
      </c>
      <c r="AH58">
        <f>IF(COUNTIFS(T_StockCount[RM_Code],$A58,T_StockCount[WeekIndex],33)&gt;0,SUMIFS(T_StockCount[CountedQty],T_StockCount[RM_Code],$A58,T_StockCount[WeekIndex],33),IF((COUNTIFS(T_SelfStock[RM_Code],$A58,T_SelfStock[WeekIndex],33)&gt;0)*(COUNTIFS(T_TTAFStock[RM_Code],$A58,T_TTAFStock[WeekIndex],33)&gt;0)&gt;0,SUMIFS(T_SelfStock[Self_Qty],T_SelfStock[RM_Code],$A58,T_SelfStock[WeekIndex],33)+SUMIFS(T_TTAFStock[TTAF_Qty],T_TTAFStock[RM_Code],$A58,T_TTAFStock[WeekIndex],33),AG58+'Grid_Incoming'!AH58-'Grid_Requirement'!AH58))</f>
        <v/>
      </c>
      <c r="AI58">
        <f>IF(COUNTIFS(T_StockCount[RM_Code],$A58,T_StockCount[WeekIndex],34)&gt;0,SUMIFS(T_StockCount[CountedQty],T_StockCount[RM_Code],$A58,T_StockCount[WeekIndex],34),IF((COUNTIFS(T_SelfStock[RM_Code],$A58,T_SelfStock[WeekIndex],34)&gt;0)*(COUNTIFS(T_TTAFStock[RM_Code],$A58,T_TTAFStock[WeekIndex],34)&gt;0)&gt;0,SUMIFS(T_SelfStock[Self_Qty],T_SelfStock[RM_Code],$A58,T_SelfStock[WeekIndex],34)+SUMIFS(T_TTAFStock[TTAF_Qty],T_TTAFStock[RM_Code],$A58,T_TTAFStock[WeekIndex],34),AH58+'Grid_Incoming'!AI58-'Grid_Requirement'!AI58))</f>
        <v/>
      </c>
      <c r="AJ58">
        <f>IF(COUNTIFS(T_StockCount[RM_Code],$A58,T_StockCount[WeekIndex],35)&gt;0,SUMIFS(T_StockCount[CountedQty],T_StockCount[RM_Code],$A58,T_StockCount[WeekIndex],35),IF((COUNTIFS(T_SelfStock[RM_Code],$A58,T_SelfStock[WeekIndex],35)&gt;0)*(COUNTIFS(T_TTAFStock[RM_Code],$A58,T_TTAFStock[WeekIndex],35)&gt;0)&gt;0,SUMIFS(T_SelfStock[Self_Qty],T_SelfStock[RM_Code],$A58,T_SelfStock[WeekIndex],35)+SUMIFS(T_TTAFStock[TTAF_Qty],T_TTAFStock[RM_Code],$A58,T_TTAFStock[WeekIndex],35),AI58+'Grid_Incoming'!AJ58-'Grid_Requirement'!AJ58))</f>
        <v/>
      </c>
      <c r="AK58">
        <f>IF(COUNTIFS(T_StockCount[RM_Code],$A58,T_StockCount[WeekIndex],36)&gt;0,SUMIFS(T_StockCount[CountedQty],T_StockCount[RM_Code],$A58,T_StockCount[WeekIndex],36),IF((COUNTIFS(T_SelfStock[RM_Code],$A58,T_SelfStock[WeekIndex],36)&gt;0)*(COUNTIFS(T_TTAFStock[RM_Code],$A58,T_TTAFStock[WeekIndex],36)&gt;0)&gt;0,SUMIFS(T_SelfStock[Self_Qty],T_SelfStock[RM_Code],$A58,T_SelfStock[WeekIndex],36)+SUMIFS(T_TTAFStock[TTAF_Qty],T_TTAFStock[RM_Code],$A58,T_TTAFStock[WeekIndex],36),AJ58+'Grid_Incoming'!AK58-'Grid_Requirement'!AK58))</f>
        <v/>
      </c>
      <c r="AL58">
        <f>IF(COUNTIFS(T_StockCount[RM_Code],$A58,T_StockCount[WeekIndex],37)&gt;0,SUMIFS(T_StockCount[CountedQty],T_StockCount[RM_Code],$A58,T_StockCount[WeekIndex],37),IF((COUNTIFS(T_SelfStock[RM_Code],$A58,T_SelfStock[WeekIndex],37)&gt;0)*(COUNTIFS(T_TTAFStock[RM_Code],$A58,T_TTAFStock[WeekIndex],37)&gt;0)&gt;0,SUMIFS(T_SelfStock[Self_Qty],T_SelfStock[RM_Code],$A58,T_SelfStock[WeekIndex],37)+SUMIFS(T_TTAFStock[TTAF_Qty],T_TTAFStock[RM_Code],$A58,T_TTAFStock[WeekIndex],37),AK58+'Grid_Incoming'!AL58-'Grid_Requirement'!AL58))</f>
        <v/>
      </c>
      <c r="AM58">
        <f>IF(COUNTIFS(T_StockCount[RM_Code],$A58,T_StockCount[WeekIndex],38)&gt;0,SUMIFS(T_StockCount[CountedQty],T_StockCount[RM_Code],$A58,T_StockCount[WeekIndex],38),IF((COUNTIFS(T_SelfStock[RM_Code],$A58,T_SelfStock[WeekIndex],38)&gt;0)*(COUNTIFS(T_TTAFStock[RM_Code],$A58,T_TTAFStock[WeekIndex],38)&gt;0)&gt;0,SUMIFS(T_SelfStock[Self_Qty],T_SelfStock[RM_Code],$A58,T_SelfStock[WeekIndex],38)+SUMIFS(T_TTAFStock[TTAF_Qty],T_TTAFStock[RM_Code],$A58,T_TTAFStock[WeekIndex],38),AL58+'Grid_Incoming'!AM58-'Grid_Requirement'!AM58))</f>
        <v/>
      </c>
      <c r="AN58">
        <f>IF(COUNTIFS(T_StockCount[RM_Code],$A58,T_StockCount[WeekIndex],39)&gt;0,SUMIFS(T_StockCount[CountedQty],T_StockCount[RM_Code],$A58,T_StockCount[WeekIndex],39),IF((COUNTIFS(T_SelfStock[RM_Code],$A58,T_SelfStock[WeekIndex],39)&gt;0)*(COUNTIFS(T_TTAFStock[RM_Code],$A58,T_TTAFStock[WeekIndex],39)&gt;0)&gt;0,SUMIFS(T_SelfStock[Self_Qty],T_SelfStock[RM_Code],$A58,T_SelfStock[WeekIndex],39)+SUMIFS(T_TTAFStock[TTAF_Qty],T_TTAFStock[RM_Code],$A58,T_TTAFStock[WeekIndex],39),AM58+'Grid_Incoming'!AN58-'Grid_Requirement'!AN58))</f>
        <v/>
      </c>
      <c r="AO58">
        <f>IF(COUNTIFS(T_StockCount[RM_Code],$A58,T_StockCount[WeekIndex],40)&gt;0,SUMIFS(T_StockCount[CountedQty],T_StockCount[RM_Code],$A58,T_StockCount[WeekIndex],40),IF((COUNTIFS(T_SelfStock[RM_Code],$A58,T_SelfStock[WeekIndex],40)&gt;0)*(COUNTIFS(T_TTAFStock[RM_Code],$A58,T_TTAFStock[WeekIndex],40)&gt;0)&gt;0,SUMIFS(T_SelfStock[Self_Qty],T_SelfStock[RM_Code],$A58,T_SelfStock[WeekIndex],40)+SUMIFS(T_TTAFStock[TTAF_Qty],T_TTAFStock[RM_Code],$A58,T_TTAFStock[WeekIndex],40),AN58+'Grid_Incoming'!AO58-'Grid_Requirement'!AO58))</f>
        <v/>
      </c>
      <c r="AP58">
        <f>IF(COUNTIFS(T_StockCount[RM_Code],$A58,T_StockCount[WeekIndex],41)&gt;0,SUMIFS(T_StockCount[CountedQty],T_StockCount[RM_Code],$A58,T_StockCount[WeekIndex],41),IF((COUNTIFS(T_SelfStock[RM_Code],$A58,T_SelfStock[WeekIndex],41)&gt;0)*(COUNTIFS(T_TTAFStock[RM_Code],$A58,T_TTAFStock[WeekIndex],41)&gt;0)&gt;0,SUMIFS(T_SelfStock[Self_Qty],T_SelfStock[RM_Code],$A58,T_SelfStock[WeekIndex],41)+SUMIFS(T_TTAFStock[TTAF_Qty],T_TTAFStock[RM_Code],$A58,T_TTAFStock[WeekIndex],41),AO58+'Grid_Incoming'!AP58-'Grid_Requirement'!AP58))</f>
        <v/>
      </c>
      <c r="AQ58">
        <f>IF(COUNTIFS(T_StockCount[RM_Code],$A58,T_StockCount[WeekIndex],42)&gt;0,SUMIFS(T_StockCount[CountedQty],T_StockCount[RM_Code],$A58,T_StockCount[WeekIndex],42),IF((COUNTIFS(T_SelfStock[RM_Code],$A58,T_SelfStock[WeekIndex],42)&gt;0)*(COUNTIFS(T_TTAFStock[RM_Code],$A58,T_TTAFStock[WeekIndex],42)&gt;0)&gt;0,SUMIFS(T_SelfStock[Self_Qty],T_SelfStock[RM_Code],$A58,T_SelfStock[WeekIndex],42)+SUMIFS(T_TTAFStock[TTAF_Qty],T_TTAFStock[RM_Code],$A58,T_TTAFStock[WeekIndex],42),AP58+'Grid_Incoming'!AQ58-'Grid_Requirement'!AQ58))</f>
        <v/>
      </c>
      <c r="AR58">
        <f>IF(COUNTIFS(T_StockCount[RM_Code],$A58,T_StockCount[WeekIndex],43)&gt;0,SUMIFS(T_StockCount[CountedQty],T_StockCount[RM_Code],$A58,T_StockCount[WeekIndex],43),IF((COUNTIFS(T_SelfStock[RM_Code],$A58,T_SelfStock[WeekIndex],43)&gt;0)*(COUNTIFS(T_TTAFStock[RM_Code],$A58,T_TTAFStock[WeekIndex],43)&gt;0)&gt;0,SUMIFS(T_SelfStock[Self_Qty],T_SelfStock[RM_Code],$A58,T_SelfStock[WeekIndex],43)+SUMIFS(T_TTAFStock[TTAF_Qty],T_TTAFStock[RM_Code],$A58,T_TTAFStock[WeekIndex],43),AQ58+'Grid_Incoming'!AR58-'Grid_Requirement'!AR58))</f>
        <v/>
      </c>
      <c r="AS58">
        <f>IF(COUNTIFS(T_StockCount[RM_Code],$A58,T_StockCount[WeekIndex],44)&gt;0,SUMIFS(T_StockCount[CountedQty],T_StockCount[RM_Code],$A58,T_StockCount[WeekIndex],44),IF((COUNTIFS(T_SelfStock[RM_Code],$A58,T_SelfStock[WeekIndex],44)&gt;0)*(COUNTIFS(T_TTAFStock[RM_Code],$A58,T_TTAFStock[WeekIndex],44)&gt;0)&gt;0,SUMIFS(T_SelfStock[Self_Qty],T_SelfStock[RM_Code],$A58,T_SelfStock[WeekIndex],44)+SUMIFS(T_TTAFStock[TTAF_Qty],T_TTAFStock[RM_Code],$A58,T_TTAFStock[WeekIndex],44),AR58+'Grid_Incoming'!AS58-'Grid_Requirement'!AS58))</f>
        <v/>
      </c>
      <c r="AT58">
        <f>IF(COUNTIFS(T_StockCount[RM_Code],$A58,T_StockCount[WeekIndex],45)&gt;0,SUMIFS(T_StockCount[CountedQty],T_StockCount[RM_Code],$A58,T_StockCount[WeekIndex],45),IF((COUNTIFS(T_SelfStock[RM_Code],$A58,T_SelfStock[WeekIndex],45)&gt;0)*(COUNTIFS(T_TTAFStock[RM_Code],$A58,T_TTAFStock[WeekIndex],45)&gt;0)&gt;0,SUMIFS(T_SelfStock[Self_Qty],T_SelfStock[RM_Code],$A58,T_SelfStock[WeekIndex],45)+SUMIFS(T_TTAFStock[TTAF_Qty],T_TTAFStock[RM_Code],$A58,T_TTAFStock[WeekIndex],45),AS58+'Grid_Incoming'!AT58-'Grid_Requirement'!AT58))</f>
        <v/>
      </c>
      <c r="AU58">
        <f>IF(COUNTIFS(T_StockCount[RM_Code],$A58,T_StockCount[WeekIndex],46)&gt;0,SUMIFS(T_StockCount[CountedQty],T_StockCount[RM_Code],$A58,T_StockCount[WeekIndex],46),IF((COUNTIFS(T_SelfStock[RM_Code],$A58,T_SelfStock[WeekIndex],46)&gt;0)*(COUNTIFS(T_TTAFStock[RM_Code],$A58,T_TTAFStock[WeekIndex],46)&gt;0)&gt;0,SUMIFS(T_SelfStock[Self_Qty],T_SelfStock[RM_Code],$A58,T_SelfStock[WeekIndex],46)+SUMIFS(T_TTAFStock[TTAF_Qty],T_TTAFStock[RM_Code],$A58,T_TTAFStock[WeekIndex],46),AT58+'Grid_Incoming'!AU58-'Grid_Requirement'!AU58))</f>
        <v/>
      </c>
      <c r="AV58">
        <f>IF(COUNTIFS(T_StockCount[RM_Code],$A58,T_StockCount[WeekIndex],47)&gt;0,SUMIFS(T_StockCount[CountedQty],T_StockCount[RM_Code],$A58,T_StockCount[WeekIndex],47),IF((COUNTIFS(T_SelfStock[RM_Code],$A58,T_SelfStock[WeekIndex],47)&gt;0)*(COUNTIFS(T_TTAFStock[RM_Code],$A58,T_TTAFStock[WeekIndex],47)&gt;0)&gt;0,SUMIFS(T_SelfStock[Self_Qty],T_SelfStock[RM_Code],$A58,T_SelfStock[WeekIndex],47)+SUMIFS(T_TTAFStock[TTAF_Qty],T_TTAFStock[RM_Code],$A58,T_TTAFStock[WeekIndex],47),AU58+'Grid_Incoming'!AV58-'Grid_Requirement'!AV58))</f>
        <v/>
      </c>
      <c r="AW58">
        <f>IF(COUNTIFS(T_StockCount[RM_Code],$A58,T_StockCount[WeekIndex],48)&gt;0,SUMIFS(T_StockCount[CountedQty],T_StockCount[RM_Code],$A58,T_StockCount[WeekIndex],48),IF((COUNTIFS(T_SelfStock[RM_Code],$A58,T_SelfStock[WeekIndex],48)&gt;0)*(COUNTIFS(T_TTAFStock[RM_Code],$A58,T_TTAFStock[WeekIndex],48)&gt;0)&gt;0,SUMIFS(T_SelfStock[Self_Qty],T_SelfStock[RM_Code],$A58,T_SelfStock[WeekIndex],48)+SUMIFS(T_TTAFStock[TTAF_Qty],T_TTAFStock[RM_Code],$A58,T_TTAFStock[WeekIndex],48),AV58+'Grid_Incoming'!AW58-'Grid_Requirement'!AW58))</f>
        <v/>
      </c>
      <c r="AX58">
        <f>IF(COUNTIFS(T_StockCount[RM_Code],$A58,T_StockCount[WeekIndex],49)&gt;0,SUMIFS(T_StockCount[CountedQty],T_StockCount[RM_Code],$A58,T_StockCount[WeekIndex],49),IF((COUNTIFS(T_SelfStock[RM_Code],$A58,T_SelfStock[WeekIndex],49)&gt;0)*(COUNTIFS(T_TTAFStock[RM_Code],$A58,T_TTAFStock[WeekIndex],49)&gt;0)&gt;0,SUMIFS(T_SelfStock[Self_Qty],T_SelfStock[RM_Code],$A58,T_SelfStock[WeekIndex],49)+SUMIFS(T_TTAFStock[TTAF_Qty],T_TTAFStock[RM_Code],$A58,T_TTAFStock[WeekIndex],49),AW58+'Grid_Incoming'!AX58-'Grid_Requirement'!AX58))</f>
        <v/>
      </c>
      <c r="AY58">
        <f>IF(COUNTIFS(T_StockCount[RM_Code],$A58,T_StockCount[WeekIndex],50)&gt;0,SUMIFS(T_StockCount[CountedQty],T_StockCount[RM_Code],$A58,T_StockCount[WeekIndex],50),IF((COUNTIFS(T_SelfStock[RM_Code],$A58,T_SelfStock[WeekIndex],50)&gt;0)*(COUNTIFS(T_TTAFStock[RM_Code],$A58,T_TTAFStock[WeekIndex],50)&gt;0)&gt;0,SUMIFS(T_SelfStock[Self_Qty],T_SelfStock[RM_Code],$A58,T_SelfStock[WeekIndex],50)+SUMIFS(T_TTAFStock[TTAF_Qty],T_TTAFStock[RM_Code],$A58,T_TTAFStock[WeekIndex],50),AX58+'Grid_Incoming'!AY58-'Grid_Requirement'!AY58))</f>
        <v/>
      </c>
      <c r="AZ58">
        <f>IF(COUNTIFS(T_StockCount[RM_Code],$A58,T_StockCount[WeekIndex],51)&gt;0,SUMIFS(T_StockCount[CountedQty],T_StockCount[RM_Code],$A58,T_StockCount[WeekIndex],51),IF((COUNTIFS(T_SelfStock[RM_Code],$A58,T_SelfStock[WeekIndex],51)&gt;0)*(COUNTIFS(T_TTAFStock[RM_Code],$A58,T_TTAFStock[WeekIndex],51)&gt;0)&gt;0,SUMIFS(T_SelfStock[Self_Qty],T_SelfStock[RM_Code],$A58,T_SelfStock[WeekIndex],51)+SUMIFS(T_TTAFStock[TTAF_Qty],T_TTAFStock[RM_Code],$A58,T_TTAFStock[WeekIndex],51),AY58+'Grid_Incoming'!AZ58-'Grid_Requirement'!AZ58))</f>
        <v/>
      </c>
      <c r="BA58">
        <f>IF(COUNTIFS(T_StockCount[RM_Code],$A58,T_StockCount[WeekIndex],52)&gt;0,SUMIFS(T_StockCount[CountedQty],T_StockCount[RM_Code],$A58,T_StockCount[WeekIndex],52),IF((COUNTIFS(T_SelfStock[RM_Code],$A58,T_SelfStock[WeekIndex],52)&gt;0)*(COUNTIFS(T_TTAFStock[RM_Code],$A58,T_TTAFStock[WeekIndex],52)&gt;0)&gt;0,SUMIFS(T_SelfStock[Self_Qty],T_SelfStock[RM_Code],$A58,T_SelfStock[WeekIndex],52)+SUMIFS(T_TTAFStock[TTAF_Qty],T_TTAFStock[RM_Code],$A58,T_TTAFStock[WeekIndex],52),AZ58+'Grid_Incoming'!BA58-'Grid_Requirement'!BA58))</f>
        <v/>
      </c>
      <c r="BB58">
        <f>IF(COUNTIFS(T_StockCount[RM_Code],$A58,T_StockCount[WeekIndex],53)&gt;0,SUMIFS(T_StockCount[CountedQty],T_StockCount[RM_Code],$A58,T_StockCount[WeekIndex],53),IF((COUNTIFS(T_SelfStock[RM_Code],$A58,T_SelfStock[WeekIndex],53)&gt;0)*(COUNTIFS(T_TTAFStock[RM_Code],$A58,T_TTAFStock[WeekIndex],53)&gt;0)&gt;0,SUMIFS(T_SelfStock[Self_Qty],T_SelfStock[RM_Code],$A58,T_SelfStock[WeekIndex],53)+SUMIFS(T_TTAFStock[TTAF_Qty],T_TTAFStock[RM_Code],$A58,T_TTAFStock[WeekIndex],53),BA58+'Grid_Incoming'!BB58-'Grid_Requirement'!BB58))</f>
        <v/>
      </c>
      <c r="BC58">
        <f>IF(COUNTIFS(T_StockCount[RM_Code],$A58,T_StockCount[WeekIndex],54)&gt;0,SUMIFS(T_StockCount[CountedQty],T_StockCount[RM_Code],$A58,T_StockCount[WeekIndex],54),IF((COUNTIFS(T_SelfStock[RM_Code],$A58,T_SelfStock[WeekIndex],54)&gt;0)*(COUNTIFS(T_TTAFStock[RM_Code],$A58,T_TTAFStock[WeekIndex],54)&gt;0)&gt;0,SUMIFS(T_SelfStock[Self_Qty],T_SelfStock[RM_Code],$A58,T_SelfStock[WeekIndex],54)+SUMIFS(T_TTAFStock[TTAF_Qty],T_TTAFStock[RM_Code],$A58,T_TTAFStock[WeekIndex],54),BB58+'Grid_Incoming'!BC58-'Grid_Requirement'!BC58))</f>
        <v/>
      </c>
      <c r="BD58">
        <f>IF(COUNTIFS(T_StockCount[RM_Code],$A58,T_StockCount[WeekIndex],55)&gt;0,SUMIFS(T_StockCount[CountedQty],T_StockCount[RM_Code],$A58,T_StockCount[WeekIndex],55),IF((COUNTIFS(T_SelfStock[RM_Code],$A58,T_SelfStock[WeekIndex],55)&gt;0)*(COUNTIFS(T_TTAFStock[RM_Code],$A58,T_TTAFStock[WeekIndex],55)&gt;0)&gt;0,SUMIFS(T_SelfStock[Self_Qty],T_SelfStock[RM_Code],$A58,T_SelfStock[WeekIndex],55)+SUMIFS(T_TTAFStock[TTAF_Qty],T_TTAFStock[RM_Code],$A58,T_TTAFStock[WeekIndex],55),BC58+'Grid_Incoming'!BD58-'Grid_Requirement'!BD58))</f>
        <v/>
      </c>
      <c r="BE58">
        <f>IF(COUNTIFS(T_StockCount[RM_Code],$A58,T_StockCount[WeekIndex],56)&gt;0,SUMIFS(T_StockCount[CountedQty],T_StockCount[RM_Code],$A58,T_StockCount[WeekIndex],56),IF((COUNTIFS(T_SelfStock[RM_Code],$A58,T_SelfStock[WeekIndex],56)&gt;0)*(COUNTIFS(T_TTAFStock[RM_Code],$A58,T_TTAFStock[WeekIndex],56)&gt;0)&gt;0,SUMIFS(T_SelfStock[Self_Qty],T_SelfStock[RM_Code],$A58,T_SelfStock[WeekIndex],56)+SUMIFS(T_TTAFStock[TTAF_Qty],T_TTAFStock[RM_Code],$A58,T_TTAFStock[WeekIndex],56),BD58+'Grid_Incoming'!BE58-'Grid_Requirement'!BE58))</f>
        <v/>
      </c>
      <c r="BF58">
        <f>IF(COUNTIFS(T_StockCount[RM_Code],$A58,T_StockCount[WeekIndex],57)&gt;0,SUMIFS(T_StockCount[CountedQty],T_StockCount[RM_Code],$A58,T_StockCount[WeekIndex],57),IF((COUNTIFS(T_SelfStock[RM_Code],$A58,T_SelfStock[WeekIndex],57)&gt;0)*(COUNTIFS(T_TTAFStock[RM_Code],$A58,T_TTAFStock[WeekIndex],57)&gt;0)&gt;0,SUMIFS(T_SelfStock[Self_Qty],T_SelfStock[RM_Code],$A58,T_SelfStock[WeekIndex],57)+SUMIFS(T_TTAFStock[TTAF_Qty],T_TTAFStock[RM_Code],$A58,T_TTAFStock[WeekIndex],57),BE58+'Grid_Incoming'!BF58-'Grid_Requirement'!BF58))</f>
        <v/>
      </c>
      <c r="BG58">
        <f>IF(COUNTIFS(T_StockCount[RM_Code],$A58,T_StockCount[WeekIndex],58)&gt;0,SUMIFS(T_StockCount[CountedQty],T_StockCount[RM_Code],$A58,T_StockCount[WeekIndex],58),IF((COUNTIFS(T_SelfStock[RM_Code],$A58,T_SelfStock[WeekIndex],58)&gt;0)*(COUNTIFS(T_TTAFStock[RM_Code],$A58,T_TTAFStock[WeekIndex],58)&gt;0)&gt;0,SUMIFS(T_SelfStock[Self_Qty],T_SelfStock[RM_Code],$A58,T_SelfStock[WeekIndex],58)+SUMIFS(T_TTAFStock[TTAF_Qty],T_TTAFStock[RM_Code],$A58,T_TTAFStock[WeekIndex],58),BF58+'Grid_Incoming'!BG58-'Grid_Requirement'!BG58))</f>
        <v/>
      </c>
      <c r="BH58">
        <f>IF(COUNTIFS(T_StockCount[RM_Code],$A58,T_StockCount[WeekIndex],59)&gt;0,SUMIFS(T_StockCount[CountedQty],T_StockCount[RM_Code],$A58,T_StockCount[WeekIndex],59),IF((COUNTIFS(T_SelfStock[RM_Code],$A58,T_SelfStock[WeekIndex],59)&gt;0)*(COUNTIFS(T_TTAFStock[RM_Code],$A58,T_TTAFStock[WeekIndex],59)&gt;0)&gt;0,SUMIFS(T_SelfStock[Self_Qty],T_SelfStock[RM_Code],$A58,T_SelfStock[WeekIndex],59)+SUMIFS(T_TTAFStock[TTAF_Qty],T_TTAFStock[RM_Code],$A58,T_TTAFStock[WeekIndex],59),BG58+'Grid_Incoming'!BH58-'Grid_Requirement'!BH58))</f>
        <v/>
      </c>
      <c r="BI58">
        <f>IF(COUNTIFS(T_StockCount[RM_Code],$A58,T_StockCount[WeekIndex],60)&gt;0,SUMIFS(T_StockCount[CountedQty],T_StockCount[RM_Code],$A58,T_StockCount[WeekIndex],60),IF((COUNTIFS(T_SelfStock[RM_Code],$A58,T_SelfStock[WeekIndex],60)&gt;0)*(COUNTIFS(T_TTAFStock[RM_Code],$A58,T_TTAFStock[WeekIndex],60)&gt;0)&gt;0,SUMIFS(T_SelfStock[Self_Qty],T_SelfStock[RM_Code],$A58,T_SelfStock[WeekIndex],60)+SUMIFS(T_TTAFStock[TTAF_Qty],T_TTAFStock[RM_Code],$A58,T_TTAFStock[WeekIndex],60),BH58+'Grid_Incoming'!BI58-'Grid_Requirement'!BI58))</f>
        <v/>
      </c>
      <c r="BJ58">
        <f>IF(COUNTIFS(T_StockCount[RM_Code],$A58,T_StockCount[WeekIndex],61)&gt;0,SUMIFS(T_StockCount[CountedQty],T_StockCount[RM_Code],$A58,T_StockCount[WeekIndex],61),IF((COUNTIFS(T_SelfStock[RM_Code],$A58,T_SelfStock[WeekIndex],61)&gt;0)*(COUNTIFS(T_TTAFStock[RM_Code],$A58,T_TTAFStock[WeekIndex],61)&gt;0)&gt;0,SUMIFS(T_SelfStock[Self_Qty],T_SelfStock[RM_Code],$A58,T_SelfStock[WeekIndex],61)+SUMIFS(T_TTAFStock[TTAF_Qty],T_TTAFStock[RM_Code],$A58,T_TTAFStock[WeekIndex],61),BI58+'Grid_Incoming'!BJ58-'Grid_Requirement'!BJ58))</f>
        <v/>
      </c>
      <c r="BK58">
        <f>IF(COUNTIFS(T_StockCount[RM_Code],$A58,T_StockCount[WeekIndex],62)&gt;0,SUMIFS(T_StockCount[CountedQty],T_StockCount[RM_Code],$A58,T_StockCount[WeekIndex],62),IF((COUNTIFS(T_SelfStock[RM_Code],$A58,T_SelfStock[WeekIndex],62)&gt;0)*(COUNTIFS(T_TTAFStock[RM_Code],$A58,T_TTAFStock[WeekIndex],62)&gt;0)&gt;0,SUMIFS(T_SelfStock[Self_Qty],T_SelfStock[RM_Code],$A58,T_SelfStock[WeekIndex],62)+SUMIFS(T_TTAFStock[TTAF_Qty],T_TTAFStock[RM_Code],$A58,T_TTAFStock[WeekIndex],62),BJ58+'Grid_Incoming'!BK58-'Grid_Requirement'!BK58))</f>
        <v/>
      </c>
      <c r="BL58">
        <f>IF(COUNTIFS(T_StockCount[RM_Code],$A58,T_StockCount[WeekIndex],63)&gt;0,SUMIFS(T_StockCount[CountedQty],T_StockCount[RM_Code],$A58,T_StockCount[WeekIndex],63),IF((COUNTIFS(T_SelfStock[RM_Code],$A58,T_SelfStock[WeekIndex],63)&gt;0)*(COUNTIFS(T_TTAFStock[RM_Code],$A58,T_TTAFStock[WeekIndex],63)&gt;0)&gt;0,SUMIFS(T_SelfStock[Self_Qty],T_SelfStock[RM_Code],$A58,T_SelfStock[WeekIndex],63)+SUMIFS(T_TTAFStock[TTAF_Qty],T_TTAFStock[RM_Code],$A58,T_TTAFStock[WeekIndex],63),BK58+'Grid_Incoming'!BL58-'Grid_Requirement'!BL58))</f>
        <v/>
      </c>
      <c r="BM58">
        <f>IF(COUNTIFS(T_StockCount[RM_Code],$A58,T_StockCount[WeekIndex],64)&gt;0,SUMIFS(T_StockCount[CountedQty],T_StockCount[RM_Code],$A58,T_StockCount[WeekIndex],64),IF((COUNTIFS(T_SelfStock[RM_Code],$A58,T_SelfStock[WeekIndex],64)&gt;0)*(COUNTIFS(T_TTAFStock[RM_Code],$A58,T_TTAFStock[WeekIndex],64)&gt;0)&gt;0,SUMIFS(T_SelfStock[Self_Qty],T_SelfStock[RM_Code],$A58,T_SelfStock[WeekIndex],64)+SUMIFS(T_TTAFStock[TTAF_Qty],T_TTAFStock[RM_Code],$A58,T_TTAFStock[WeekIndex],64),BL58+'Grid_Incoming'!BM58-'Grid_Requirement'!BM58))</f>
        <v/>
      </c>
      <c r="BN58">
        <f>IF(COUNTIFS(T_StockCount[RM_Code],$A58,T_StockCount[WeekIndex],65)&gt;0,SUMIFS(T_StockCount[CountedQty],T_StockCount[RM_Code],$A58,T_StockCount[WeekIndex],65),IF((COUNTIFS(T_SelfStock[RM_Code],$A58,T_SelfStock[WeekIndex],65)&gt;0)*(COUNTIFS(T_TTAFStock[RM_Code],$A58,T_TTAFStock[WeekIndex],65)&gt;0)&gt;0,SUMIFS(T_SelfStock[Self_Qty],T_SelfStock[RM_Code],$A58,T_SelfStock[WeekIndex],65)+SUMIFS(T_TTAFStock[TTAF_Qty],T_TTAFStock[RM_Code],$A58,T_TTAFStock[WeekIndex],65),BM58+'Grid_Incoming'!BN58-'Grid_Requirement'!BN58))</f>
        <v/>
      </c>
      <c r="BO58">
        <f>IF(COUNTIFS(T_StockCount[RM_Code],$A58,T_StockCount[WeekIndex],66)&gt;0,SUMIFS(T_StockCount[CountedQty],T_StockCount[RM_Code],$A58,T_StockCount[WeekIndex],66),IF((COUNTIFS(T_SelfStock[RM_Code],$A58,T_SelfStock[WeekIndex],66)&gt;0)*(COUNTIFS(T_TTAFStock[RM_Code],$A58,T_TTAFStock[WeekIndex],66)&gt;0)&gt;0,SUMIFS(T_SelfStock[Self_Qty],T_SelfStock[RM_Code],$A58,T_SelfStock[WeekIndex],66)+SUMIFS(T_TTAFStock[TTAF_Qty],T_TTAFStock[RM_Code],$A58,T_TTAFStock[WeekIndex],66),BN58+'Grid_Incoming'!BO58-'Grid_Requirement'!BO58))</f>
        <v/>
      </c>
      <c r="BP58">
        <f>IF(COUNTIFS(T_StockCount[RM_Code],$A58,T_StockCount[WeekIndex],67)&gt;0,SUMIFS(T_StockCount[CountedQty],T_StockCount[RM_Code],$A58,T_StockCount[WeekIndex],67),IF((COUNTIFS(T_SelfStock[RM_Code],$A58,T_SelfStock[WeekIndex],67)&gt;0)*(COUNTIFS(T_TTAFStock[RM_Code],$A58,T_TTAFStock[WeekIndex],67)&gt;0)&gt;0,SUMIFS(T_SelfStock[Self_Qty],T_SelfStock[RM_Code],$A58,T_SelfStock[WeekIndex],67)+SUMIFS(T_TTAFStock[TTAF_Qty],T_TTAFStock[RM_Code],$A58,T_TTAFStock[WeekIndex],67),BO58+'Grid_Incoming'!BP58-'Grid_Requirement'!BP58))</f>
        <v/>
      </c>
      <c r="BQ58">
        <f>IF(COUNTIFS(T_StockCount[RM_Code],$A58,T_StockCount[WeekIndex],68)&gt;0,SUMIFS(T_StockCount[CountedQty],T_StockCount[RM_Code],$A58,T_StockCount[WeekIndex],68),IF((COUNTIFS(T_SelfStock[RM_Code],$A58,T_SelfStock[WeekIndex],68)&gt;0)*(COUNTIFS(T_TTAFStock[RM_Code],$A58,T_TTAFStock[WeekIndex],68)&gt;0)&gt;0,SUMIFS(T_SelfStock[Self_Qty],T_SelfStock[RM_Code],$A58,T_SelfStock[WeekIndex],68)+SUMIFS(T_TTAFStock[TTAF_Qty],T_TTAFStock[RM_Code],$A58,T_TTAFStock[WeekIndex],68),BP58+'Grid_Incoming'!BQ58-'Grid_Requirement'!BQ58))</f>
        <v/>
      </c>
      <c r="BR58">
        <f>IF(COUNTIFS(T_StockCount[RM_Code],$A58,T_StockCount[WeekIndex],69)&gt;0,SUMIFS(T_StockCount[CountedQty],T_StockCount[RM_Code],$A58,T_StockCount[WeekIndex],69),IF((COUNTIFS(T_SelfStock[RM_Code],$A58,T_SelfStock[WeekIndex],69)&gt;0)*(COUNTIFS(T_TTAFStock[RM_Code],$A58,T_TTAFStock[WeekIndex],69)&gt;0)&gt;0,SUMIFS(T_SelfStock[Self_Qty],T_SelfStock[RM_Code],$A58,T_SelfStock[WeekIndex],69)+SUMIFS(T_TTAFStock[TTAF_Qty],T_TTAFStock[RM_Code],$A58,T_TTAFStock[WeekIndex],69),BQ58+'Grid_Incoming'!BR58-'Grid_Requirement'!BR58))</f>
        <v/>
      </c>
      <c r="BS58">
        <f>IF(COUNTIFS(T_StockCount[RM_Code],$A58,T_StockCount[WeekIndex],70)&gt;0,SUMIFS(T_StockCount[CountedQty],T_StockCount[RM_Code],$A58,T_StockCount[WeekIndex],70),IF((COUNTIFS(T_SelfStock[RM_Code],$A58,T_SelfStock[WeekIndex],70)&gt;0)*(COUNTIFS(T_TTAFStock[RM_Code],$A58,T_TTAFStock[WeekIndex],70)&gt;0)&gt;0,SUMIFS(T_SelfStock[Self_Qty],T_SelfStock[RM_Code],$A58,T_SelfStock[WeekIndex],70)+SUMIFS(T_TTAFStock[TTAF_Qty],T_TTAFStock[RM_Code],$A58,T_TTAFStock[WeekIndex],70),BR58+'Grid_Incoming'!BS58-'Grid_Requirement'!BS58))</f>
        <v/>
      </c>
      <c r="BT58">
        <f>IF(COUNTIFS(T_StockCount[RM_Code],$A58,T_StockCount[WeekIndex],71)&gt;0,SUMIFS(T_StockCount[CountedQty],T_StockCount[RM_Code],$A58,T_StockCount[WeekIndex],71),IF((COUNTIFS(T_SelfStock[RM_Code],$A58,T_SelfStock[WeekIndex],71)&gt;0)*(COUNTIFS(T_TTAFStock[RM_Code],$A58,T_TTAFStock[WeekIndex],71)&gt;0)&gt;0,SUMIFS(T_SelfStock[Self_Qty],T_SelfStock[RM_Code],$A58,T_SelfStock[WeekIndex],71)+SUMIFS(T_TTAFStock[TTAF_Qty],T_TTAFStock[RM_Code],$A58,T_TTAFStock[WeekIndex],71),BS58+'Grid_Incoming'!BT58-'Grid_Requirement'!BT58))</f>
        <v/>
      </c>
      <c r="BU58">
        <f>IF(COUNTIFS(T_StockCount[RM_Code],$A58,T_StockCount[WeekIndex],72)&gt;0,SUMIFS(T_StockCount[CountedQty],T_StockCount[RM_Code],$A58,T_StockCount[WeekIndex],72),IF((COUNTIFS(T_SelfStock[RM_Code],$A58,T_SelfStock[WeekIndex],72)&gt;0)*(COUNTIFS(T_TTAFStock[RM_Code],$A58,T_TTAFStock[WeekIndex],72)&gt;0)&gt;0,SUMIFS(T_SelfStock[Self_Qty],T_SelfStock[RM_Code],$A58,T_SelfStock[WeekIndex],72)+SUMIFS(T_TTAFStock[TTAF_Qty],T_TTAFStock[RM_Code],$A58,T_TTAFStock[WeekIndex],72),BT58+'Grid_Incoming'!BU58-'Grid_Requirement'!BU58))</f>
        <v/>
      </c>
      <c r="BV58">
        <f>IF(COUNTIFS(T_StockCount[RM_Code],$A58,T_StockCount[WeekIndex],73)&gt;0,SUMIFS(T_StockCount[CountedQty],T_StockCount[RM_Code],$A58,T_StockCount[WeekIndex],73),IF((COUNTIFS(T_SelfStock[RM_Code],$A58,T_SelfStock[WeekIndex],73)&gt;0)*(COUNTIFS(T_TTAFStock[RM_Code],$A58,T_TTAFStock[WeekIndex],73)&gt;0)&gt;0,SUMIFS(T_SelfStock[Self_Qty],T_SelfStock[RM_Code],$A58,T_SelfStock[WeekIndex],73)+SUMIFS(T_TTAFStock[TTAF_Qty],T_TTAFStock[RM_Code],$A58,T_TTAFStock[WeekIndex],73),BU58+'Grid_Incoming'!BV58-'Grid_Requirement'!BV58))</f>
        <v/>
      </c>
      <c r="BW58">
        <f>IF(COUNTIFS(T_StockCount[RM_Code],$A58,T_StockCount[WeekIndex],74)&gt;0,SUMIFS(T_StockCount[CountedQty],T_StockCount[RM_Code],$A58,T_StockCount[WeekIndex],74),IF((COUNTIFS(T_SelfStock[RM_Code],$A58,T_SelfStock[WeekIndex],74)&gt;0)*(COUNTIFS(T_TTAFStock[RM_Code],$A58,T_TTAFStock[WeekIndex],74)&gt;0)&gt;0,SUMIFS(T_SelfStock[Self_Qty],T_SelfStock[RM_Code],$A58,T_SelfStock[WeekIndex],74)+SUMIFS(T_TTAFStock[TTAF_Qty],T_TTAFStock[RM_Code],$A58,T_TTAFStock[WeekIndex],74),BV58+'Grid_Incoming'!BW58-'Grid_Requirement'!BW58))</f>
        <v/>
      </c>
      <c r="BX58">
        <f>IF(COUNTIFS(T_StockCount[RM_Code],$A58,T_StockCount[WeekIndex],75)&gt;0,SUMIFS(T_StockCount[CountedQty],T_StockCount[RM_Code],$A58,T_StockCount[WeekIndex],75),IF((COUNTIFS(T_SelfStock[RM_Code],$A58,T_SelfStock[WeekIndex],75)&gt;0)*(COUNTIFS(T_TTAFStock[RM_Code],$A58,T_TTAFStock[WeekIndex],75)&gt;0)&gt;0,SUMIFS(T_SelfStock[Self_Qty],T_SelfStock[RM_Code],$A58,T_SelfStock[WeekIndex],75)+SUMIFS(T_TTAFStock[TTAF_Qty],T_TTAFStock[RM_Code],$A58,T_TTAFStock[WeekIndex],75),BW58+'Grid_Incoming'!BX58-'Grid_Requirement'!BX58))</f>
        <v/>
      </c>
      <c r="BY58">
        <f>IF(COUNTIFS(T_StockCount[RM_Code],$A58,T_StockCount[WeekIndex],76)&gt;0,SUMIFS(T_StockCount[CountedQty],T_StockCount[RM_Code],$A58,T_StockCount[WeekIndex],76),IF((COUNTIFS(T_SelfStock[RM_Code],$A58,T_SelfStock[WeekIndex],76)&gt;0)*(COUNTIFS(T_TTAFStock[RM_Code],$A58,T_TTAFStock[WeekIndex],76)&gt;0)&gt;0,SUMIFS(T_SelfStock[Self_Qty],T_SelfStock[RM_Code],$A58,T_SelfStock[WeekIndex],76)+SUMIFS(T_TTAFStock[TTAF_Qty],T_TTAFStock[RM_Code],$A58,T_TTAFStock[WeekIndex],76),BX58+'Grid_Incoming'!BY58-'Grid_Requirement'!BY58))</f>
        <v/>
      </c>
      <c r="BZ58">
        <f>IF(COUNTIFS(T_StockCount[RM_Code],$A58,T_StockCount[WeekIndex],77)&gt;0,SUMIFS(T_StockCount[CountedQty],T_StockCount[RM_Code],$A58,T_StockCount[WeekIndex],77),IF((COUNTIFS(T_SelfStock[RM_Code],$A58,T_SelfStock[WeekIndex],77)&gt;0)*(COUNTIFS(T_TTAFStock[RM_Code],$A58,T_TTAFStock[WeekIndex],77)&gt;0)&gt;0,SUMIFS(T_SelfStock[Self_Qty],T_SelfStock[RM_Code],$A58,T_SelfStock[WeekIndex],77)+SUMIFS(T_TTAFStock[TTAF_Qty],T_TTAFStock[RM_Code],$A58,T_TTAFStock[WeekIndex],77),BY58+'Grid_Incoming'!BZ58-'Grid_Requirement'!BZ58))</f>
        <v/>
      </c>
      <c r="CA58">
        <f>IF(COUNTIFS(T_StockCount[RM_Code],$A58,T_StockCount[WeekIndex],78)&gt;0,SUMIFS(T_StockCount[CountedQty],T_StockCount[RM_Code],$A58,T_StockCount[WeekIndex],78),IF((COUNTIFS(T_SelfStock[RM_Code],$A58,T_SelfStock[WeekIndex],78)&gt;0)*(COUNTIFS(T_TTAFStock[RM_Code],$A58,T_TTAFStock[WeekIndex],78)&gt;0)&gt;0,SUMIFS(T_SelfStock[Self_Qty],T_SelfStock[RM_Code],$A58,T_SelfStock[WeekIndex],78)+SUMIFS(T_TTAFStock[TTAF_Qty],T_TTAFStock[RM_Code],$A58,T_TTAFStock[WeekIndex],78),BZ58+'Grid_Incoming'!CA58-'Grid_Requirement'!CA58))</f>
        <v/>
      </c>
      <c r="CB58">
        <f>IF(COUNTIFS(T_StockCount[RM_Code],$A58,T_StockCount[WeekIndex],79)&gt;0,SUMIFS(T_StockCount[CountedQty],T_StockCount[RM_Code],$A58,T_StockCount[WeekIndex],79),IF((COUNTIFS(T_SelfStock[RM_Code],$A58,T_SelfStock[WeekIndex],79)&gt;0)*(COUNTIFS(T_TTAFStock[RM_Code],$A58,T_TTAFStock[WeekIndex],79)&gt;0)&gt;0,SUMIFS(T_SelfStock[Self_Qty],T_SelfStock[RM_Code],$A58,T_SelfStock[WeekIndex],79)+SUMIFS(T_TTAFStock[TTAF_Qty],T_TTAFStock[RM_Code],$A58,T_TTAFStock[WeekIndex],79),CA58+'Grid_Incoming'!CB58-'Grid_Requirement'!CB58))</f>
        <v/>
      </c>
      <c r="CC58">
        <f>IF(COUNTIFS(T_StockCount[RM_Code],$A58,T_StockCount[WeekIndex],80)&gt;0,SUMIFS(T_StockCount[CountedQty],T_StockCount[RM_Code],$A58,T_StockCount[WeekIndex],80),IF((COUNTIFS(T_SelfStock[RM_Code],$A58,T_SelfStock[WeekIndex],80)&gt;0)*(COUNTIFS(T_TTAFStock[RM_Code],$A58,T_TTAFStock[WeekIndex],80)&gt;0)&gt;0,SUMIFS(T_SelfStock[Self_Qty],T_SelfStock[RM_Code],$A58,T_SelfStock[WeekIndex],80)+SUMIFS(T_TTAFStock[TTAF_Qty],T_TTAFStock[RM_Code],$A58,T_TTAFStock[WeekIndex],80),CB58+'Grid_Incoming'!CC58-'Grid_Requirement'!CC58))</f>
        <v/>
      </c>
      <c r="CD58">
        <f>IF(COUNTIFS(T_StockCount[RM_Code],$A58,T_StockCount[WeekIndex],81)&gt;0,SUMIFS(T_StockCount[CountedQty],T_StockCount[RM_Code],$A58,T_StockCount[WeekIndex],81),IF((COUNTIFS(T_SelfStock[RM_Code],$A58,T_SelfStock[WeekIndex],81)&gt;0)*(COUNTIFS(T_TTAFStock[RM_Code],$A58,T_TTAFStock[WeekIndex],81)&gt;0)&gt;0,SUMIFS(T_SelfStock[Self_Qty],T_SelfStock[RM_Code],$A58,T_SelfStock[WeekIndex],81)+SUMIFS(T_TTAFStock[TTAF_Qty],T_TTAFStock[RM_Code],$A58,T_TTAFStock[WeekIndex],81),CC58+'Grid_Incoming'!CD58-'Grid_Requirement'!CD58))</f>
        <v/>
      </c>
      <c r="CE58">
        <f>IF(COUNTIFS(T_StockCount[RM_Code],$A58,T_StockCount[WeekIndex],82)&gt;0,SUMIFS(T_StockCount[CountedQty],T_StockCount[RM_Code],$A58,T_StockCount[WeekIndex],82),IF((COUNTIFS(T_SelfStock[RM_Code],$A58,T_SelfStock[WeekIndex],82)&gt;0)*(COUNTIFS(T_TTAFStock[RM_Code],$A58,T_TTAFStock[WeekIndex],82)&gt;0)&gt;0,SUMIFS(T_SelfStock[Self_Qty],T_SelfStock[RM_Code],$A58,T_SelfStock[WeekIndex],82)+SUMIFS(T_TTAFStock[TTAF_Qty],T_TTAFStock[RM_Code],$A58,T_TTAFStock[WeekIndex],82),CD58+'Grid_Incoming'!CE58-'Grid_Requirement'!CE58))</f>
        <v/>
      </c>
      <c r="CF58">
        <f>IF(COUNTIFS(T_StockCount[RM_Code],$A58,T_StockCount[WeekIndex],83)&gt;0,SUMIFS(T_StockCount[CountedQty],T_StockCount[RM_Code],$A58,T_StockCount[WeekIndex],83),IF((COUNTIFS(T_SelfStock[RM_Code],$A58,T_SelfStock[WeekIndex],83)&gt;0)*(COUNTIFS(T_TTAFStock[RM_Code],$A58,T_TTAFStock[WeekIndex],83)&gt;0)&gt;0,SUMIFS(T_SelfStock[Self_Qty],T_SelfStock[RM_Code],$A58,T_SelfStock[WeekIndex],83)+SUMIFS(T_TTAFStock[TTAF_Qty],T_TTAFStock[RM_Code],$A58,T_TTAFStock[WeekIndex],83),CE58+'Grid_Incoming'!CF58-'Grid_Requirement'!CF58))</f>
        <v/>
      </c>
      <c r="CG58">
        <f>IF(COUNTIFS(T_StockCount[RM_Code],$A58,T_StockCount[WeekIndex],84)&gt;0,SUMIFS(T_StockCount[CountedQty],T_StockCount[RM_Code],$A58,T_StockCount[WeekIndex],84),IF((COUNTIFS(T_SelfStock[RM_Code],$A58,T_SelfStock[WeekIndex],84)&gt;0)*(COUNTIFS(T_TTAFStock[RM_Code],$A58,T_TTAFStock[WeekIndex],84)&gt;0)&gt;0,SUMIFS(T_SelfStock[Self_Qty],T_SelfStock[RM_Code],$A58,T_SelfStock[WeekIndex],84)+SUMIFS(T_TTAFStock[TTAF_Qty],T_TTAFStock[RM_Code],$A58,T_TTAFStock[WeekIndex],84),CF58+'Grid_Incoming'!CG58-'Grid_Requirement'!CG58))</f>
        <v/>
      </c>
      <c r="CH58">
        <f>IF(COUNTIFS(T_StockCount[RM_Code],$A58,T_StockCount[WeekIndex],85)&gt;0,SUMIFS(T_StockCount[CountedQty],T_StockCount[RM_Code],$A58,T_StockCount[WeekIndex],85),IF((COUNTIFS(T_SelfStock[RM_Code],$A58,T_SelfStock[WeekIndex],85)&gt;0)*(COUNTIFS(T_TTAFStock[RM_Code],$A58,T_TTAFStock[WeekIndex],85)&gt;0)&gt;0,SUMIFS(T_SelfStock[Self_Qty],T_SelfStock[RM_Code],$A58,T_SelfStock[WeekIndex],85)+SUMIFS(T_TTAFStock[TTAF_Qty],T_TTAFStock[RM_Code],$A58,T_TTAFStock[WeekIndex],85),CG58+'Grid_Incoming'!CH58-'Grid_Requirement'!CH58))</f>
        <v/>
      </c>
      <c r="CI58">
        <f>IF(COUNTIFS(T_StockCount[RM_Code],$A58,T_StockCount[WeekIndex],86)&gt;0,SUMIFS(T_StockCount[CountedQty],T_StockCount[RM_Code],$A58,T_StockCount[WeekIndex],86),IF((COUNTIFS(T_SelfStock[RM_Code],$A58,T_SelfStock[WeekIndex],86)&gt;0)*(COUNTIFS(T_TTAFStock[RM_Code],$A58,T_TTAFStock[WeekIndex],86)&gt;0)&gt;0,SUMIFS(T_SelfStock[Self_Qty],T_SelfStock[RM_Code],$A58,T_SelfStock[WeekIndex],86)+SUMIFS(T_TTAFStock[TTAF_Qty],T_TTAFStock[RM_Code],$A58,T_TTAFStock[WeekIndex],86),CH58+'Grid_Incoming'!CI58-'Grid_Requirement'!CI58))</f>
        <v/>
      </c>
      <c r="CJ58">
        <f>IF(COUNTIFS(T_StockCount[RM_Code],$A58,T_StockCount[WeekIndex],87)&gt;0,SUMIFS(T_StockCount[CountedQty],T_StockCount[RM_Code],$A58,T_StockCount[WeekIndex],87),IF((COUNTIFS(T_SelfStock[RM_Code],$A58,T_SelfStock[WeekIndex],87)&gt;0)*(COUNTIFS(T_TTAFStock[RM_Code],$A58,T_TTAFStock[WeekIndex],87)&gt;0)&gt;0,SUMIFS(T_SelfStock[Self_Qty],T_SelfStock[RM_Code],$A58,T_SelfStock[WeekIndex],87)+SUMIFS(T_TTAFStock[TTAF_Qty],T_TTAFStock[RM_Code],$A58,T_TTAFStock[WeekIndex],87),CI58+'Grid_Incoming'!CJ58-'Grid_Requirement'!CJ58))</f>
        <v/>
      </c>
      <c r="CK58">
        <f>IF(COUNTIFS(T_StockCount[RM_Code],$A58,T_StockCount[WeekIndex],88)&gt;0,SUMIFS(T_StockCount[CountedQty],T_StockCount[RM_Code],$A58,T_StockCount[WeekIndex],88),IF((COUNTIFS(T_SelfStock[RM_Code],$A58,T_SelfStock[WeekIndex],88)&gt;0)*(COUNTIFS(T_TTAFStock[RM_Code],$A58,T_TTAFStock[WeekIndex],88)&gt;0)&gt;0,SUMIFS(T_SelfStock[Self_Qty],T_SelfStock[RM_Code],$A58,T_SelfStock[WeekIndex],88)+SUMIFS(T_TTAFStock[TTAF_Qty],T_TTAFStock[RM_Code],$A58,T_TTAFStock[WeekIndex],88),CJ58+'Grid_Incoming'!CK58-'Grid_Requirement'!CK58))</f>
        <v/>
      </c>
      <c r="CL58">
        <f>IF(COUNTIFS(T_StockCount[RM_Code],$A58,T_StockCount[WeekIndex],89)&gt;0,SUMIFS(T_StockCount[CountedQty],T_StockCount[RM_Code],$A58,T_StockCount[WeekIndex],89),IF((COUNTIFS(T_SelfStock[RM_Code],$A58,T_SelfStock[WeekIndex],89)&gt;0)*(COUNTIFS(T_TTAFStock[RM_Code],$A58,T_TTAFStock[WeekIndex],89)&gt;0)&gt;0,SUMIFS(T_SelfStock[Self_Qty],T_SelfStock[RM_Code],$A58,T_SelfStock[WeekIndex],89)+SUMIFS(T_TTAFStock[TTAF_Qty],T_TTAFStock[RM_Code],$A58,T_TTAFStock[WeekIndex],89),CK58+'Grid_Incoming'!CL58-'Grid_Requirement'!CL58))</f>
        <v/>
      </c>
      <c r="CM58">
        <f>IF(COUNTIFS(T_StockCount[RM_Code],$A58,T_StockCount[WeekIndex],90)&gt;0,SUMIFS(T_StockCount[CountedQty],T_StockCount[RM_Code],$A58,T_StockCount[WeekIndex],90),IF((COUNTIFS(T_SelfStock[RM_Code],$A58,T_SelfStock[WeekIndex],90)&gt;0)*(COUNTIFS(T_TTAFStock[RM_Code],$A58,T_TTAFStock[WeekIndex],90)&gt;0)&gt;0,SUMIFS(T_SelfStock[Self_Qty],T_SelfStock[RM_Code],$A58,T_SelfStock[WeekIndex],90)+SUMIFS(T_TTAFStock[TTAF_Qty],T_TTAFStock[RM_Code],$A58,T_TTAFStock[WeekIndex],90),CL58+'Grid_Incoming'!CM58-'Grid_Requirement'!CM58))</f>
        <v/>
      </c>
      <c r="CN58">
        <f>IF(COUNTIFS(T_StockCount[RM_Code],$A58,T_StockCount[WeekIndex],91)&gt;0,SUMIFS(T_StockCount[CountedQty],T_StockCount[RM_Code],$A58,T_StockCount[WeekIndex],91),IF((COUNTIFS(T_SelfStock[RM_Code],$A58,T_SelfStock[WeekIndex],91)&gt;0)*(COUNTIFS(T_TTAFStock[RM_Code],$A58,T_TTAFStock[WeekIndex],91)&gt;0)&gt;0,SUMIFS(T_SelfStock[Self_Qty],T_SelfStock[RM_Code],$A58,T_SelfStock[WeekIndex],91)+SUMIFS(T_TTAFStock[TTAF_Qty],T_TTAFStock[RM_Code],$A58,T_TTAFStock[WeekIndex],91),CM58+'Grid_Incoming'!CN58-'Grid_Requirement'!CN58))</f>
        <v/>
      </c>
      <c r="CO58">
        <f>IF(COUNTIFS(T_StockCount[RM_Code],$A58,T_StockCount[WeekIndex],92)&gt;0,SUMIFS(T_StockCount[CountedQty],T_StockCount[RM_Code],$A58,T_StockCount[WeekIndex],92),IF((COUNTIFS(T_SelfStock[RM_Code],$A58,T_SelfStock[WeekIndex],92)&gt;0)*(COUNTIFS(T_TTAFStock[RM_Code],$A58,T_TTAFStock[WeekIndex],92)&gt;0)&gt;0,SUMIFS(T_SelfStock[Self_Qty],T_SelfStock[RM_Code],$A58,T_SelfStock[WeekIndex],92)+SUMIFS(T_TTAFStock[TTAF_Qty],T_TTAFStock[RM_Code],$A58,T_TTAFStock[WeekIndex],92),CN58+'Grid_Incoming'!CO58-'Grid_Requirement'!CO58))</f>
        <v/>
      </c>
      <c r="CP58">
        <f>IF(COUNTIFS(T_StockCount[RM_Code],$A58,T_StockCount[WeekIndex],93)&gt;0,SUMIFS(T_StockCount[CountedQty],T_StockCount[RM_Code],$A58,T_StockCount[WeekIndex],93),IF((COUNTIFS(T_SelfStock[RM_Code],$A58,T_SelfStock[WeekIndex],93)&gt;0)*(COUNTIFS(T_TTAFStock[RM_Code],$A58,T_TTAFStock[WeekIndex],93)&gt;0)&gt;0,SUMIFS(T_SelfStock[Self_Qty],T_SelfStock[RM_Code],$A58,T_SelfStock[WeekIndex],93)+SUMIFS(T_TTAFStock[TTAF_Qty],T_TTAFStock[RM_Code],$A58,T_TTAFStock[WeekIndex],93),CO58+'Grid_Incoming'!CP58-'Grid_Requirement'!CP58))</f>
        <v/>
      </c>
      <c r="CQ58">
        <f>IF(COUNTIFS(T_StockCount[RM_Code],$A58,T_StockCount[WeekIndex],94)&gt;0,SUMIFS(T_StockCount[CountedQty],T_StockCount[RM_Code],$A58,T_StockCount[WeekIndex],94),IF((COUNTIFS(T_SelfStock[RM_Code],$A58,T_SelfStock[WeekIndex],94)&gt;0)*(COUNTIFS(T_TTAFStock[RM_Code],$A58,T_TTAFStock[WeekIndex],94)&gt;0)&gt;0,SUMIFS(T_SelfStock[Self_Qty],T_SelfStock[RM_Code],$A58,T_SelfStock[WeekIndex],94)+SUMIFS(T_TTAFStock[TTAF_Qty],T_TTAFStock[RM_Code],$A58,T_TTAFStock[WeekIndex],94),CP58+'Grid_Incoming'!CQ58-'Grid_Requirement'!CQ58))</f>
        <v/>
      </c>
      <c r="CR58">
        <f>IF(COUNTIFS(T_StockCount[RM_Code],$A58,T_StockCount[WeekIndex],95)&gt;0,SUMIFS(T_StockCount[CountedQty],T_StockCount[RM_Code],$A58,T_StockCount[WeekIndex],95),IF((COUNTIFS(T_SelfStock[RM_Code],$A58,T_SelfStock[WeekIndex],95)&gt;0)*(COUNTIFS(T_TTAFStock[RM_Code],$A58,T_TTAFStock[WeekIndex],95)&gt;0)&gt;0,SUMIFS(T_SelfStock[Self_Qty],T_SelfStock[RM_Code],$A58,T_SelfStock[WeekIndex],95)+SUMIFS(T_TTAFStock[TTAF_Qty],T_TTAFStock[RM_Code],$A58,T_TTAFStock[WeekIndex],95),CQ58+'Grid_Incoming'!CR58-'Grid_Requirement'!CR58))</f>
        <v/>
      </c>
      <c r="CS58">
        <f>IF(COUNTIFS(T_StockCount[RM_Code],$A58,T_StockCount[WeekIndex],96)&gt;0,SUMIFS(T_StockCount[CountedQty],T_StockCount[RM_Code],$A58,T_StockCount[WeekIndex],96),IF((COUNTIFS(T_SelfStock[RM_Code],$A58,T_SelfStock[WeekIndex],96)&gt;0)*(COUNTIFS(T_TTAFStock[RM_Code],$A58,T_TTAFStock[WeekIndex],96)&gt;0)&gt;0,SUMIFS(T_SelfStock[Self_Qty],T_SelfStock[RM_Code],$A58,T_SelfStock[WeekIndex],96)+SUMIFS(T_TTAFStock[TTAF_Qty],T_TTAFStock[RM_Code],$A58,T_TTAFStock[WeekIndex],96),CR58+'Grid_Incoming'!CS58-'Grid_Requirement'!CS58))</f>
        <v/>
      </c>
      <c r="CT58">
        <f>IF(COUNTIFS(T_StockCount[RM_Code],$A58,T_StockCount[WeekIndex],97)&gt;0,SUMIFS(T_StockCount[CountedQty],T_StockCount[RM_Code],$A58,T_StockCount[WeekIndex],97),IF((COUNTIFS(T_SelfStock[RM_Code],$A58,T_SelfStock[WeekIndex],97)&gt;0)*(COUNTIFS(T_TTAFStock[RM_Code],$A58,T_TTAFStock[WeekIndex],97)&gt;0)&gt;0,SUMIFS(T_SelfStock[Self_Qty],T_SelfStock[RM_Code],$A58,T_SelfStock[WeekIndex],97)+SUMIFS(T_TTAFStock[TTAF_Qty],T_TTAFStock[RM_Code],$A58,T_TTAFStock[WeekIndex],97),CS58+'Grid_Incoming'!CT58-'Grid_Requirement'!CT58))</f>
        <v/>
      </c>
      <c r="CU58">
        <f>IF(COUNTIFS(T_StockCount[RM_Code],$A58,T_StockCount[WeekIndex],98)&gt;0,SUMIFS(T_StockCount[CountedQty],T_StockCount[RM_Code],$A58,T_StockCount[WeekIndex],98),IF((COUNTIFS(T_SelfStock[RM_Code],$A58,T_SelfStock[WeekIndex],98)&gt;0)*(COUNTIFS(T_TTAFStock[RM_Code],$A58,T_TTAFStock[WeekIndex],98)&gt;0)&gt;0,SUMIFS(T_SelfStock[Self_Qty],T_SelfStock[RM_Code],$A58,T_SelfStock[WeekIndex],98)+SUMIFS(T_TTAFStock[TTAF_Qty],T_TTAFStock[RM_Code],$A58,T_TTAFStock[WeekIndex],98),CT58+'Grid_Incoming'!CU58-'Grid_Requirement'!CU58))</f>
        <v/>
      </c>
      <c r="CV58">
        <f>IF(COUNTIFS(T_StockCount[RM_Code],$A58,T_StockCount[WeekIndex],99)&gt;0,SUMIFS(T_StockCount[CountedQty],T_StockCount[RM_Code],$A58,T_StockCount[WeekIndex],99),IF((COUNTIFS(T_SelfStock[RM_Code],$A58,T_SelfStock[WeekIndex],99)&gt;0)*(COUNTIFS(T_TTAFStock[RM_Code],$A58,T_TTAFStock[WeekIndex],99)&gt;0)&gt;0,SUMIFS(T_SelfStock[Self_Qty],T_SelfStock[RM_Code],$A58,T_SelfStock[WeekIndex],99)+SUMIFS(T_TTAFStock[TTAF_Qty],T_TTAFStock[RM_Code],$A58,T_TTAFStock[WeekIndex],99),CU58+'Grid_Incoming'!CV58-'Grid_Requirement'!CV58))</f>
        <v/>
      </c>
      <c r="CW58">
        <f>IF(COUNTIFS(T_StockCount[RM_Code],$A58,T_StockCount[WeekIndex],100)&gt;0,SUMIFS(T_StockCount[CountedQty],T_StockCount[RM_Code],$A58,T_StockCount[WeekIndex],100),IF((COUNTIFS(T_SelfStock[RM_Code],$A58,T_SelfStock[WeekIndex],100)&gt;0)*(COUNTIFS(T_TTAFStock[RM_Code],$A58,T_TTAFStock[WeekIndex],100)&gt;0)&gt;0,SUMIFS(T_SelfStock[Self_Qty],T_SelfStock[RM_Code],$A58,T_SelfStock[WeekIndex],100)+SUMIFS(T_TTAFStock[TTAF_Qty],T_TTAFStock[RM_Code],$A58,T_TTAFStock[WeekIndex],100),CV58+'Grid_Incoming'!CW58-'Grid_Requirement'!CW58))</f>
        <v/>
      </c>
      <c r="CX58">
        <f>IF(COUNTIFS(T_StockCount[RM_Code],$A58,T_StockCount[WeekIndex],101)&gt;0,SUMIFS(T_StockCount[CountedQty],T_StockCount[RM_Code],$A58,T_StockCount[WeekIndex],101),IF((COUNTIFS(T_SelfStock[RM_Code],$A58,T_SelfStock[WeekIndex],101)&gt;0)*(COUNTIFS(T_TTAFStock[RM_Code],$A58,T_TTAFStock[WeekIndex],101)&gt;0)&gt;0,SUMIFS(T_SelfStock[Self_Qty],T_SelfStock[RM_Code],$A58,T_SelfStock[WeekIndex],101)+SUMIFS(T_TTAFStock[TTAF_Qty],T_TTAFStock[RM_Code],$A58,T_TTAFStock[WeekIndex],101),CW58+'Grid_Incoming'!CX58-'Grid_Requirement'!CX58))</f>
        <v/>
      </c>
      <c r="CY58">
        <f>IF(COUNTIFS(T_StockCount[RM_Code],$A58,T_StockCount[WeekIndex],102)&gt;0,SUMIFS(T_StockCount[CountedQty],T_StockCount[RM_Code],$A58,T_StockCount[WeekIndex],102),IF((COUNTIFS(T_SelfStock[RM_Code],$A58,T_SelfStock[WeekIndex],102)&gt;0)*(COUNTIFS(T_TTAFStock[RM_Code],$A58,T_TTAFStock[WeekIndex],102)&gt;0)&gt;0,SUMIFS(T_SelfStock[Self_Qty],T_SelfStock[RM_Code],$A58,T_SelfStock[WeekIndex],102)+SUMIFS(T_TTAFStock[TTAF_Qty],T_TTAFStock[RM_Code],$A58,T_TTAFStock[WeekIndex],102),CX58+'Grid_Incoming'!CY58-'Grid_Requirement'!CY58))</f>
        <v/>
      </c>
      <c r="CZ58">
        <f>IF(COUNTIFS(T_StockCount[RM_Code],$A58,T_StockCount[WeekIndex],103)&gt;0,SUMIFS(T_StockCount[CountedQty],T_StockCount[RM_Code],$A58,T_StockCount[WeekIndex],103),IF((COUNTIFS(T_SelfStock[RM_Code],$A58,T_SelfStock[WeekIndex],103)&gt;0)*(COUNTIFS(T_TTAFStock[RM_Code],$A58,T_TTAFStock[WeekIndex],103)&gt;0)&gt;0,SUMIFS(T_SelfStock[Self_Qty],T_SelfStock[RM_Code],$A58,T_SelfStock[WeekIndex],103)+SUMIFS(T_TTAFStock[TTAF_Qty],T_TTAFStock[RM_Code],$A58,T_TTAFStock[WeekIndex],103),CY58+'Grid_Incoming'!CZ58-'Grid_Requirement'!CZ58))</f>
        <v/>
      </c>
      <c r="DA58">
        <f>IF(COUNTIFS(T_StockCount[RM_Code],$A58,T_StockCount[WeekIndex],104)&gt;0,SUMIFS(T_StockCount[CountedQty],T_StockCount[RM_Code],$A58,T_StockCount[WeekIndex],104),IF((COUNTIFS(T_SelfStock[RM_Code],$A58,T_SelfStock[WeekIndex],104)&gt;0)*(COUNTIFS(T_TTAFStock[RM_Code],$A58,T_TTAFStock[WeekIndex],104)&gt;0)&gt;0,SUMIFS(T_SelfStock[Self_Qty],T_SelfStock[RM_Code],$A58,T_SelfStock[WeekIndex],104)+SUMIFS(T_TTAFStock[TTAF_Qty],T_TTAFStock[RM_Code],$A58,T_TTAFStock[WeekIndex],104),CZ58+'Grid_Incoming'!DA58-'Grid_Requirement'!DA58))</f>
        <v/>
      </c>
    </row>
    <row r="59">
      <c r="A59" t="inlineStr">
        <is>
          <t>CHEM-1780</t>
        </is>
      </c>
      <c r="B59">
        <f>IF(COUNTIFS(T_StockCount[RM_Code],$A59,T_StockCount[WeekIndex],1)&gt;0,SUMIFS(T_StockCount[CountedQty],T_StockCount[RM_Code],$A59,T_StockCount[WeekIndex],1),IF((COUNTIFS(T_SelfStock[RM_Code],$A59,T_SelfStock[WeekIndex],1)&gt;0)*(COUNTIFS(T_TTAFStock[RM_Code],$A59,T_TTAFStock[WeekIndex],1)&gt;0)&gt;0,SUMIFS(T_SelfStock[Self_Qty],T_SelfStock[RM_Code],$A59,T_SelfStock[WeekIndex],1)+SUMIFS(T_TTAFStock[TTAF_Qty],T_TTAFStock[RM_Code],$A59,T_TTAFStock[WeekIndex],1),IFERROR(INDEX(T_OpeningStock[Opening_Qty],MATCH($A59,T_OpeningStock[RM_Code],0)),0)+'Grid_Incoming'!B59-'Grid_Requirement'!B59))</f>
        <v/>
      </c>
      <c r="C59">
        <f>IF(COUNTIFS(T_StockCount[RM_Code],$A59,T_StockCount[WeekIndex],2)&gt;0,SUMIFS(T_StockCount[CountedQty],T_StockCount[RM_Code],$A59,T_StockCount[WeekIndex],2),IF((COUNTIFS(T_SelfStock[RM_Code],$A59,T_SelfStock[WeekIndex],2)&gt;0)*(COUNTIFS(T_TTAFStock[RM_Code],$A59,T_TTAFStock[WeekIndex],2)&gt;0)&gt;0,SUMIFS(T_SelfStock[Self_Qty],T_SelfStock[RM_Code],$A59,T_SelfStock[WeekIndex],2)+SUMIFS(T_TTAFStock[TTAF_Qty],T_TTAFStock[RM_Code],$A59,T_TTAFStock[WeekIndex],2),B59+'Grid_Incoming'!C59-'Grid_Requirement'!C59))</f>
        <v/>
      </c>
      <c r="D59">
        <f>IF(COUNTIFS(T_StockCount[RM_Code],$A59,T_StockCount[WeekIndex],3)&gt;0,SUMIFS(T_StockCount[CountedQty],T_StockCount[RM_Code],$A59,T_StockCount[WeekIndex],3),IF((COUNTIFS(T_SelfStock[RM_Code],$A59,T_SelfStock[WeekIndex],3)&gt;0)*(COUNTIFS(T_TTAFStock[RM_Code],$A59,T_TTAFStock[WeekIndex],3)&gt;0)&gt;0,SUMIFS(T_SelfStock[Self_Qty],T_SelfStock[RM_Code],$A59,T_SelfStock[WeekIndex],3)+SUMIFS(T_TTAFStock[TTAF_Qty],T_TTAFStock[RM_Code],$A59,T_TTAFStock[WeekIndex],3),C59+'Grid_Incoming'!D59-'Grid_Requirement'!D59))</f>
        <v/>
      </c>
      <c r="E59">
        <f>IF(COUNTIFS(T_StockCount[RM_Code],$A59,T_StockCount[WeekIndex],4)&gt;0,SUMIFS(T_StockCount[CountedQty],T_StockCount[RM_Code],$A59,T_StockCount[WeekIndex],4),IF((COUNTIFS(T_SelfStock[RM_Code],$A59,T_SelfStock[WeekIndex],4)&gt;0)*(COUNTIFS(T_TTAFStock[RM_Code],$A59,T_TTAFStock[WeekIndex],4)&gt;0)&gt;0,SUMIFS(T_SelfStock[Self_Qty],T_SelfStock[RM_Code],$A59,T_SelfStock[WeekIndex],4)+SUMIFS(T_TTAFStock[TTAF_Qty],T_TTAFStock[RM_Code],$A59,T_TTAFStock[WeekIndex],4),D59+'Grid_Incoming'!E59-'Grid_Requirement'!E59))</f>
        <v/>
      </c>
      <c r="F59">
        <f>IF(COUNTIFS(T_StockCount[RM_Code],$A59,T_StockCount[WeekIndex],5)&gt;0,SUMIFS(T_StockCount[CountedQty],T_StockCount[RM_Code],$A59,T_StockCount[WeekIndex],5),IF((COUNTIFS(T_SelfStock[RM_Code],$A59,T_SelfStock[WeekIndex],5)&gt;0)*(COUNTIFS(T_TTAFStock[RM_Code],$A59,T_TTAFStock[WeekIndex],5)&gt;0)&gt;0,SUMIFS(T_SelfStock[Self_Qty],T_SelfStock[RM_Code],$A59,T_SelfStock[WeekIndex],5)+SUMIFS(T_TTAFStock[TTAF_Qty],T_TTAFStock[RM_Code],$A59,T_TTAFStock[WeekIndex],5),E59+'Grid_Incoming'!F59-'Grid_Requirement'!F59))</f>
        <v/>
      </c>
      <c r="G59">
        <f>IF(COUNTIFS(T_StockCount[RM_Code],$A59,T_StockCount[WeekIndex],6)&gt;0,SUMIFS(T_StockCount[CountedQty],T_StockCount[RM_Code],$A59,T_StockCount[WeekIndex],6),IF((COUNTIFS(T_SelfStock[RM_Code],$A59,T_SelfStock[WeekIndex],6)&gt;0)*(COUNTIFS(T_TTAFStock[RM_Code],$A59,T_TTAFStock[WeekIndex],6)&gt;0)&gt;0,SUMIFS(T_SelfStock[Self_Qty],T_SelfStock[RM_Code],$A59,T_SelfStock[WeekIndex],6)+SUMIFS(T_TTAFStock[TTAF_Qty],T_TTAFStock[RM_Code],$A59,T_TTAFStock[WeekIndex],6),F59+'Grid_Incoming'!G59-'Grid_Requirement'!G59))</f>
        <v/>
      </c>
      <c r="H59">
        <f>IF(COUNTIFS(T_StockCount[RM_Code],$A59,T_StockCount[WeekIndex],7)&gt;0,SUMIFS(T_StockCount[CountedQty],T_StockCount[RM_Code],$A59,T_StockCount[WeekIndex],7),IF((COUNTIFS(T_SelfStock[RM_Code],$A59,T_SelfStock[WeekIndex],7)&gt;0)*(COUNTIFS(T_TTAFStock[RM_Code],$A59,T_TTAFStock[WeekIndex],7)&gt;0)&gt;0,SUMIFS(T_SelfStock[Self_Qty],T_SelfStock[RM_Code],$A59,T_SelfStock[WeekIndex],7)+SUMIFS(T_TTAFStock[TTAF_Qty],T_TTAFStock[RM_Code],$A59,T_TTAFStock[WeekIndex],7),G59+'Grid_Incoming'!H59-'Grid_Requirement'!H59))</f>
        <v/>
      </c>
      <c r="I59">
        <f>IF(COUNTIFS(T_StockCount[RM_Code],$A59,T_StockCount[WeekIndex],8)&gt;0,SUMIFS(T_StockCount[CountedQty],T_StockCount[RM_Code],$A59,T_StockCount[WeekIndex],8),IF((COUNTIFS(T_SelfStock[RM_Code],$A59,T_SelfStock[WeekIndex],8)&gt;0)*(COUNTIFS(T_TTAFStock[RM_Code],$A59,T_TTAFStock[WeekIndex],8)&gt;0)&gt;0,SUMIFS(T_SelfStock[Self_Qty],T_SelfStock[RM_Code],$A59,T_SelfStock[WeekIndex],8)+SUMIFS(T_TTAFStock[TTAF_Qty],T_TTAFStock[RM_Code],$A59,T_TTAFStock[WeekIndex],8),H59+'Grid_Incoming'!I59-'Grid_Requirement'!I59))</f>
        <v/>
      </c>
      <c r="J59">
        <f>IF(COUNTIFS(T_StockCount[RM_Code],$A59,T_StockCount[WeekIndex],9)&gt;0,SUMIFS(T_StockCount[CountedQty],T_StockCount[RM_Code],$A59,T_StockCount[WeekIndex],9),IF((COUNTIFS(T_SelfStock[RM_Code],$A59,T_SelfStock[WeekIndex],9)&gt;0)*(COUNTIFS(T_TTAFStock[RM_Code],$A59,T_TTAFStock[WeekIndex],9)&gt;0)&gt;0,SUMIFS(T_SelfStock[Self_Qty],T_SelfStock[RM_Code],$A59,T_SelfStock[WeekIndex],9)+SUMIFS(T_TTAFStock[TTAF_Qty],T_TTAFStock[RM_Code],$A59,T_TTAFStock[WeekIndex],9),I59+'Grid_Incoming'!J59-'Grid_Requirement'!J59))</f>
        <v/>
      </c>
      <c r="K59">
        <f>IF(COUNTIFS(T_StockCount[RM_Code],$A59,T_StockCount[WeekIndex],10)&gt;0,SUMIFS(T_StockCount[CountedQty],T_StockCount[RM_Code],$A59,T_StockCount[WeekIndex],10),IF((COUNTIFS(T_SelfStock[RM_Code],$A59,T_SelfStock[WeekIndex],10)&gt;0)*(COUNTIFS(T_TTAFStock[RM_Code],$A59,T_TTAFStock[WeekIndex],10)&gt;0)&gt;0,SUMIFS(T_SelfStock[Self_Qty],T_SelfStock[RM_Code],$A59,T_SelfStock[WeekIndex],10)+SUMIFS(T_TTAFStock[TTAF_Qty],T_TTAFStock[RM_Code],$A59,T_TTAFStock[WeekIndex],10),J59+'Grid_Incoming'!K59-'Grid_Requirement'!K59))</f>
        <v/>
      </c>
      <c r="L59">
        <f>IF(COUNTIFS(T_StockCount[RM_Code],$A59,T_StockCount[WeekIndex],11)&gt;0,SUMIFS(T_StockCount[CountedQty],T_StockCount[RM_Code],$A59,T_StockCount[WeekIndex],11),IF((COUNTIFS(T_SelfStock[RM_Code],$A59,T_SelfStock[WeekIndex],11)&gt;0)*(COUNTIFS(T_TTAFStock[RM_Code],$A59,T_TTAFStock[WeekIndex],11)&gt;0)&gt;0,SUMIFS(T_SelfStock[Self_Qty],T_SelfStock[RM_Code],$A59,T_SelfStock[WeekIndex],11)+SUMIFS(T_TTAFStock[TTAF_Qty],T_TTAFStock[RM_Code],$A59,T_TTAFStock[WeekIndex],11),K59+'Grid_Incoming'!L59-'Grid_Requirement'!L59))</f>
        <v/>
      </c>
      <c r="M59">
        <f>IF(COUNTIFS(T_StockCount[RM_Code],$A59,T_StockCount[WeekIndex],12)&gt;0,SUMIFS(T_StockCount[CountedQty],T_StockCount[RM_Code],$A59,T_StockCount[WeekIndex],12),IF((COUNTIFS(T_SelfStock[RM_Code],$A59,T_SelfStock[WeekIndex],12)&gt;0)*(COUNTIFS(T_TTAFStock[RM_Code],$A59,T_TTAFStock[WeekIndex],12)&gt;0)&gt;0,SUMIFS(T_SelfStock[Self_Qty],T_SelfStock[RM_Code],$A59,T_SelfStock[WeekIndex],12)+SUMIFS(T_TTAFStock[TTAF_Qty],T_TTAFStock[RM_Code],$A59,T_TTAFStock[WeekIndex],12),L59+'Grid_Incoming'!M59-'Grid_Requirement'!M59))</f>
        <v/>
      </c>
      <c r="N59">
        <f>IF(COUNTIFS(T_StockCount[RM_Code],$A59,T_StockCount[WeekIndex],13)&gt;0,SUMIFS(T_StockCount[CountedQty],T_StockCount[RM_Code],$A59,T_StockCount[WeekIndex],13),IF((COUNTIFS(T_SelfStock[RM_Code],$A59,T_SelfStock[WeekIndex],13)&gt;0)*(COUNTIFS(T_TTAFStock[RM_Code],$A59,T_TTAFStock[WeekIndex],13)&gt;0)&gt;0,SUMIFS(T_SelfStock[Self_Qty],T_SelfStock[RM_Code],$A59,T_SelfStock[WeekIndex],13)+SUMIFS(T_TTAFStock[TTAF_Qty],T_TTAFStock[RM_Code],$A59,T_TTAFStock[WeekIndex],13),M59+'Grid_Incoming'!N59-'Grid_Requirement'!N59))</f>
        <v/>
      </c>
      <c r="O59">
        <f>IF(COUNTIFS(T_StockCount[RM_Code],$A59,T_StockCount[WeekIndex],14)&gt;0,SUMIFS(T_StockCount[CountedQty],T_StockCount[RM_Code],$A59,T_StockCount[WeekIndex],14),IF((COUNTIFS(T_SelfStock[RM_Code],$A59,T_SelfStock[WeekIndex],14)&gt;0)*(COUNTIFS(T_TTAFStock[RM_Code],$A59,T_TTAFStock[WeekIndex],14)&gt;0)&gt;0,SUMIFS(T_SelfStock[Self_Qty],T_SelfStock[RM_Code],$A59,T_SelfStock[WeekIndex],14)+SUMIFS(T_TTAFStock[TTAF_Qty],T_TTAFStock[RM_Code],$A59,T_TTAFStock[WeekIndex],14),N59+'Grid_Incoming'!O59-'Grid_Requirement'!O59))</f>
        <v/>
      </c>
      <c r="P59">
        <f>IF(COUNTIFS(T_StockCount[RM_Code],$A59,T_StockCount[WeekIndex],15)&gt;0,SUMIFS(T_StockCount[CountedQty],T_StockCount[RM_Code],$A59,T_StockCount[WeekIndex],15),IF((COUNTIFS(T_SelfStock[RM_Code],$A59,T_SelfStock[WeekIndex],15)&gt;0)*(COUNTIFS(T_TTAFStock[RM_Code],$A59,T_TTAFStock[WeekIndex],15)&gt;0)&gt;0,SUMIFS(T_SelfStock[Self_Qty],T_SelfStock[RM_Code],$A59,T_SelfStock[WeekIndex],15)+SUMIFS(T_TTAFStock[TTAF_Qty],T_TTAFStock[RM_Code],$A59,T_TTAFStock[WeekIndex],15),O59+'Grid_Incoming'!P59-'Grid_Requirement'!P59))</f>
        <v/>
      </c>
      <c r="Q59">
        <f>IF(COUNTIFS(T_StockCount[RM_Code],$A59,T_StockCount[WeekIndex],16)&gt;0,SUMIFS(T_StockCount[CountedQty],T_StockCount[RM_Code],$A59,T_StockCount[WeekIndex],16),IF((COUNTIFS(T_SelfStock[RM_Code],$A59,T_SelfStock[WeekIndex],16)&gt;0)*(COUNTIFS(T_TTAFStock[RM_Code],$A59,T_TTAFStock[WeekIndex],16)&gt;0)&gt;0,SUMIFS(T_SelfStock[Self_Qty],T_SelfStock[RM_Code],$A59,T_SelfStock[WeekIndex],16)+SUMIFS(T_TTAFStock[TTAF_Qty],T_TTAFStock[RM_Code],$A59,T_TTAFStock[WeekIndex],16),P59+'Grid_Incoming'!Q59-'Grid_Requirement'!Q59))</f>
        <v/>
      </c>
      <c r="R59">
        <f>IF(COUNTIFS(T_StockCount[RM_Code],$A59,T_StockCount[WeekIndex],17)&gt;0,SUMIFS(T_StockCount[CountedQty],T_StockCount[RM_Code],$A59,T_StockCount[WeekIndex],17),IF((COUNTIFS(T_SelfStock[RM_Code],$A59,T_SelfStock[WeekIndex],17)&gt;0)*(COUNTIFS(T_TTAFStock[RM_Code],$A59,T_TTAFStock[WeekIndex],17)&gt;0)&gt;0,SUMIFS(T_SelfStock[Self_Qty],T_SelfStock[RM_Code],$A59,T_SelfStock[WeekIndex],17)+SUMIFS(T_TTAFStock[TTAF_Qty],T_TTAFStock[RM_Code],$A59,T_TTAFStock[WeekIndex],17),Q59+'Grid_Incoming'!R59-'Grid_Requirement'!R59))</f>
        <v/>
      </c>
      <c r="S59">
        <f>IF(COUNTIFS(T_StockCount[RM_Code],$A59,T_StockCount[WeekIndex],18)&gt;0,SUMIFS(T_StockCount[CountedQty],T_StockCount[RM_Code],$A59,T_StockCount[WeekIndex],18),IF((COUNTIFS(T_SelfStock[RM_Code],$A59,T_SelfStock[WeekIndex],18)&gt;0)*(COUNTIFS(T_TTAFStock[RM_Code],$A59,T_TTAFStock[WeekIndex],18)&gt;0)&gt;0,SUMIFS(T_SelfStock[Self_Qty],T_SelfStock[RM_Code],$A59,T_SelfStock[WeekIndex],18)+SUMIFS(T_TTAFStock[TTAF_Qty],T_TTAFStock[RM_Code],$A59,T_TTAFStock[WeekIndex],18),R59+'Grid_Incoming'!S59-'Grid_Requirement'!S59))</f>
        <v/>
      </c>
      <c r="T59">
        <f>IF(COUNTIFS(T_StockCount[RM_Code],$A59,T_StockCount[WeekIndex],19)&gt;0,SUMIFS(T_StockCount[CountedQty],T_StockCount[RM_Code],$A59,T_StockCount[WeekIndex],19),IF((COUNTIFS(T_SelfStock[RM_Code],$A59,T_SelfStock[WeekIndex],19)&gt;0)*(COUNTIFS(T_TTAFStock[RM_Code],$A59,T_TTAFStock[WeekIndex],19)&gt;0)&gt;0,SUMIFS(T_SelfStock[Self_Qty],T_SelfStock[RM_Code],$A59,T_SelfStock[WeekIndex],19)+SUMIFS(T_TTAFStock[TTAF_Qty],T_TTAFStock[RM_Code],$A59,T_TTAFStock[WeekIndex],19),S59+'Grid_Incoming'!T59-'Grid_Requirement'!T59))</f>
        <v/>
      </c>
      <c r="U59">
        <f>IF(COUNTIFS(T_StockCount[RM_Code],$A59,T_StockCount[WeekIndex],20)&gt;0,SUMIFS(T_StockCount[CountedQty],T_StockCount[RM_Code],$A59,T_StockCount[WeekIndex],20),IF((COUNTIFS(T_SelfStock[RM_Code],$A59,T_SelfStock[WeekIndex],20)&gt;0)*(COUNTIFS(T_TTAFStock[RM_Code],$A59,T_TTAFStock[WeekIndex],20)&gt;0)&gt;0,SUMIFS(T_SelfStock[Self_Qty],T_SelfStock[RM_Code],$A59,T_SelfStock[WeekIndex],20)+SUMIFS(T_TTAFStock[TTAF_Qty],T_TTAFStock[RM_Code],$A59,T_TTAFStock[WeekIndex],20),T59+'Grid_Incoming'!U59-'Grid_Requirement'!U59))</f>
        <v/>
      </c>
      <c r="V59">
        <f>IF(COUNTIFS(T_StockCount[RM_Code],$A59,T_StockCount[WeekIndex],21)&gt;0,SUMIFS(T_StockCount[CountedQty],T_StockCount[RM_Code],$A59,T_StockCount[WeekIndex],21),IF((COUNTIFS(T_SelfStock[RM_Code],$A59,T_SelfStock[WeekIndex],21)&gt;0)*(COUNTIFS(T_TTAFStock[RM_Code],$A59,T_TTAFStock[WeekIndex],21)&gt;0)&gt;0,SUMIFS(T_SelfStock[Self_Qty],T_SelfStock[RM_Code],$A59,T_SelfStock[WeekIndex],21)+SUMIFS(T_TTAFStock[TTAF_Qty],T_TTAFStock[RM_Code],$A59,T_TTAFStock[WeekIndex],21),U59+'Grid_Incoming'!V59-'Grid_Requirement'!V59))</f>
        <v/>
      </c>
      <c r="W59">
        <f>IF(COUNTIFS(T_StockCount[RM_Code],$A59,T_StockCount[WeekIndex],22)&gt;0,SUMIFS(T_StockCount[CountedQty],T_StockCount[RM_Code],$A59,T_StockCount[WeekIndex],22),IF((COUNTIFS(T_SelfStock[RM_Code],$A59,T_SelfStock[WeekIndex],22)&gt;0)*(COUNTIFS(T_TTAFStock[RM_Code],$A59,T_TTAFStock[WeekIndex],22)&gt;0)&gt;0,SUMIFS(T_SelfStock[Self_Qty],T_SelfStock[RM_Code],$A59,T_SelfStock[WeekIndex],22)+SUMIFS(T_TTAFStock[TTAF_Qty],T_TTAFStock[RM_Code],$A59,T_TTAFStock[WeekIndex],22),V59+'Grid_Incoming'!W59-'Grid_Requirement'!W59))</f>
        <v/>
      </c>
      <c r="X59">
        <f>IF(COUNTIFS(T_StockCount[RM_Code],$A59,T_StockCount[WeekIndex],23)&gt;0,SUMIFS(T_StockCount[CountedQty],T_StockCount[RM_Code],$A59,T_StockCount[WeekIndex],23),IF((COUNTIFS(T_SelfStock[RM_Code],$A59,T_SelfStock[WeekIndex],23)&gt;0)*(COUNTIFS(T_TTAFStock[RM_Code],$A59,T_TTAFStock[WeekIndex],23)&gt;0)&gt;0,SUMIFS(T_SelfStock[Self_Qty],T_SelfStock[RM_Code],$A59,T_SelfStock[WeekIndex],23)+SUMIFS(T_TTAFStock[TTAF_Qty],T_TTAFStock[RM_Code],$A59,T_TTAFStock[WeekIndex],23),W59+'Grid_Incoming'!X59-'Grid_Requirement'!X59))</f>
        <v/>
      </c>
      <c r="Y59">
        <f>IF(COUNTIFS(T_StockCount[RM_Code],$A59,T_StockCount[WeekIndex],24)&gt;0,SUMIFS(T_StockCount[CountedQty],T_StockCount[RM_Code],$A59,T_StockCount[WeekIndex],24),IF((COUNTIFS(T_SelfStock[RM_Code],$A59,T_SelfStock[WeekIndex],24)&gt;0)*(COUNTIFS(T_TTAFStock[RM_Code],$A59,T_TTAFStock[WeekIndex],24)&gt;0)&gt;0,SUMIFS(T_SelfStock[Self_Qty],T_SelfStock[RM_Code],$A59,T_SelfStock[WeekIndex],24)+SUMIFS(T_TTAFStock[TTAF_Qty],T_TTAFStock[RM_Code],$A59,T_TTAFStock[WeekIndex],24),X59+'Grid_Incoming'!Y59-'Grid_Requirement'!Y59))</f>
        <v/>
      </c>
      <c r="Z59">
        <f>IF(COUNTIFS(T_StockCount[RM_Code],$A59,T_StockCount[WeekIndex],25)&gt;0,SUMIFS(T_StockCount[CountedQty],T_StockCount[RM_Code],$A59,T_StockCount[WeekIndex],25),IF((COUNTIFS(T_SelfStock[RM_Code],$A59,T_SelfStock[WeekIndex],25)&gt;0)*(COUNTIFS(T_TTAFStock[RM_Code],$A59,T_TTAFStock[WeekIndex],25)&gt;0)&gt;0,SUMIFS(T_SelfStock[Self_Qty],T_SelfStock[RM_Code],$A59,T_SelfStock[WeekIndex],25)+SUMIFS(T_TTAFStock[TTAF_Qty],T_TTAFStock[RM_Code],$A59,T_TTAFStock[WeekIndex],25),Y59+'Grid_Incoming'!Z59-'Grid_Requirement'!Z59))</f>
        <v/>
      </c>
      <c r="AA59">
        <f>IF(COUNTIFS(T_StockCount[RM_Code],$A59,T_StockCount[WeekIndex],26)&gt;0,SUMIFS(T_StockCount[CountedQty],T_StockCount[RM_Code],$A59,T_StockCount[WeekIndex],26),IF((COUNTIFS(T_SelfStock[RM_Code],$A59,T_SelfStock[WeekIndex],26)&gt;0)*(COUNTIFS(T_TTAFStock[RM_Code],$A59,T_TTAFStock[WeekIndex],26)&gt;0)&gt;0,SUMIFS(T_SelfStock[Self_Qty],T_SelfStock[RM_Code],$A59,T_SelfStock[WeekIndex],26)+SUMIFS(T_TTAFStock[TTAF_Qty],T_TTAFStock[RM_Code],$A59,T_TTAFStock[WeekIndex],26),Z59+'Grid_Incoming'!AA59-'Grid_Requirement'!AA59))</f>
        <v/>
      </c>
      <c r="AB59">
        <f>IF(COUNTIFS(T_StockCount[RM_Code],$A59,T_StockCount[WeekIndex],27)&gt;0,SUMIFS(T_StockCount[CountedQty],T_StockCount[RM_Code],$A59,T_StockCount[WeekIndex],27),IF((COUNTIFS(T_SelfStock[RM_Code],$A59,T_SelfStock[WeekIndex],27)&gt;0)*(COUNTIFS(T_TTAFStock[RM_Code],$A59,T_TTAFStock[WeekIndex],27)&gt;0)&gt;0,SUMIFS(T_SelfStock[Self_Qty],T_SelfStock[RM_Code],$A59,T_SelfStock[WeekIndex],27)+SUMIFS(T_TTAFStock[TTAF_Qty],T_TTAFStock[RM_Code],$A59,T_TTAFStock[WeekIndex],27),AA59+'Grid_Incoming'!AB59-'Grid_Requirement'!AB59))</f>
        <v/>
      </c>
      <c r="AC59">
        <f>IF(COUNTIFS(T_StockCount[RM_Code],$A59,T_StockCount[WeekIndex],28)&gt;0,SUMIFS(T_StockCount[CountedQty],T_StockCount[RM_Code],$A59,T_StockCount[WeekIndex],28),IF((COUNTIFS(T_SelfStock[RM_Code],$A59,T_SelfStock[WeekIndex],28)&gt;0)*(COUNTIFS(T_TTAFStock[RM_Code],$A59,T_TTAFStock[WeekIndex],28)&gt;0)&gt;0,SUMIFS(T_SelfStock[Self_Qty],T_SelfStock[RM_Code],$A59,T_SelfStock[WeekIndex],28)+SUMIFS(T_TTAFStock[TTAF_Qty],T_TTAFStock[RM_Code],$A59,T_TTAFStock[WeekIndex],28),AB59+'Grid_Incoming'!AC59-'Grid_Requirement'!AC59))</f>
        <v/>
      </c>
      <c r="AD59">
        <f>IF(COUNTIFS(T_StockCount[RM_Code],$A59,T_StockCount[WeekIndex],29)&gt;0,SUMIFS(T_StockCount[CountedQty],T_StockCount[RM_Code],$A59,T_StockCount[WeekIndex],29),IF((COUNTIFS(T_SelfStock[RM_Code],$A59,T_SelfStock[WeekIndex],29)&gt;0)*(COUNTIFS(T_TTAFStock[RM_Code],$A59,T_TTAFStock[WeekIndex],29)&gt;0)&gt;0,SUMIFS(T_SelfStock[Self_Qty],T_SelfStock[RM_Code],$A59,T_SelfStock[WeekIndex],29)+SUMIFS(T_TTAFStock[TTAF_Qty],T_TTAFStock[RM_Code],$A59,T_TTAFStock[WeekIndex],29),AC59+'Grid_Incoming'!AD59-'Grid_Requirement'!AD59))</f>
        <v/>
      </c>
      <c r="AE59">
        <f>IF(COUNTIFS(T_StockCount[RM_Code],$A59,T_StockCount[WeekIndex],30)&gt;0,SUMIFS(T_StockCount[CountedQty],T_StockCount[RM_Code],$A59,T_StockCount[WeekIndex],30),IF((COUNTIFS(T_SelfStock[RM_Code],$A59,T_SelfStock[WeekIndex],30)&gt;0)*(COUNTIFS(T_TTAFStock[RM_Code],$A59,T_TTAFStock[WeekIndex],30)&gt;0)&gt;0,SUMIFS(T_SelfStock[Self_Qty],T_SelfStock[RM_Code],$A59,T_SelfStock[WeekIndex],30)+SUMIFS(T_TTAFStock[TTAF_Qty],T_TTAFStock[RM_Code],$A59,T_TTAFStock[WeekIndex],30),AD59+'Grid_Incoming'!AE59-'Grid_Requirement'!AE59))</f>
        <v/>
      </c>
      <c r="AF59">
        <f>IF(COUNTIFS(T_StockCount[RM_Code],$A59,T_StockCount[WeekIndex],31)&gt;0,SUMIFS(T_StockCount[CountedQty],T_StockCount[RM_Code],$A59,T_StockCount[WeekIndex],31),IF((COUNTIFS(T_SelfStock[RM_Code],$A59,T_SelfStock[WeekIndex],31)&gt;0)*(COUNTIFS(T_TTAFStock[RM_Code],$A59,T_TTAFStock[WeekIndex],31)&gt;0)&gt;0,SUMIFS(T_SelfStock[Self_Qty],T_SelfStock[RM_Code],$A59,T_SelfStock[WeekIndex],31)+SUMIFS(T_TTAFStock[TTAF_Qty],T_TTAFStock[RM_Code],$A59,T_TTAFStock[WeekIndex],31),AE59+'Grid_Incoming'!AF59-'Grid_Requirement'!AF59))</f>
        <v/>
      </c>
      <c r="AG59">
        <f>IF(COUNTIFS(T_StockCount[RM_Code],$A59,T_StockCount[WeekIndex],32)&gt;0,SUMIFS(T_StockCount[CountedQty],T_StockCount[RM_Code],$A59,T_StockCount[WeekIndex],32),IF((COUNTIFS(T_SelfStock[RM_Code],$A59,T_SelfStock[WeekIndex],32)&gt;0)*(COUNTIFS(T_TTAFStock[RM_Code],$A59,T_TTAFStock[WeekIndex],32)&gt;0)&gt;0,SUMIFS(T_SelfStock[Self_Qty],T_SelfStock[RM_Code],$A59,T_SelfStock[WeekIndex],32)+SUMIFS(T_TTAFStock[TTAF_Qty],T_TTAFStock[RM_Code],$A59,T_TTAFStock[WeekIndex],32),AF59+'Grid_Incoming'!AG59-'Grid_Requirement'!AG59))</f>
        <v/>
      </c>
      <c r="AH59">
        <f>IF(COUNTIFS(T_StockCount[RM_Code],$A59,T_StockCount[WeekIndex],33)&gt;0,SUMIFS(T_StockCount[CountedQty],T_StockCount[RM_Code],$A59,T_StockCount[WeekIndex],33),IF((COUNTIFS(T_SelfStock[RM_Code],$A59,T_SelfStock[WeekIndex],33)&gt;0)*(COUNTIFS(T_TTAFStock[RM_Code],$A59,T_TTAFStock[WeekIndex],33)&gt;0)&gt;0,SUMIFS(T_SelfStock[Self_Qty],T_SelfStock[RM_Code],$A59,T_SelfStock[WeekIndex],33)+SUMIFS(T_TTAFStock[TTAF_Qty],T_TTAFStock[RM_Code],$A59,T_TTAFStock[WeekIndex],33),AG59+'Grid_Incoming'!AH59-'Grid_Requirement'!AH59))</f>
        <v/>
      </c>
      <c r="AI59">
        <f>IF(COUNTIFS(T_StockCount[RM_Code],$A59,T_StockCount[WeekIndex],34)&gt;0,SUMIFS(T_StockCount[CountedQty],T_StockCount[RM_Code],$A59,T_StockCount[WeekIndex],34),IF((COUNTIFS(T_SelfStock[RM_Code],$A59,T_SelfStock[WeekIndex],34)&gt;0)*(COUNTIFS(T_TTAFStock[RM_Code],$A59,T_TTAFStock[WeekIndex],34)&gt;0)&gt;0,SUMIFS(T_SelfStock[Self_Qty],T_SelfStock[RM_Code],$A59,T_SelfStock[WeekIndex],34)+SUMIFS(T_TTAFStock[TTAF_Qty],T_TTAFStock[RM_Code],$A59,T_TTAFStock[WeekIndex],34),AH59+'Grid_Incoming'!AI59-'Grid_Requirement'!AI59))</f>
        <v/>
      </c>
      <c r="AJ59">
        <f>IF(COUNTIFS(T_StockCount[RM_Code],$A59,T_StockCount[WeekIndex],35)&gt;0,SUMIFS(T_StockCount[CountedQty],T_StockCount[RM_Code],$A59,T_StockCount[WeekIndex],35),IF((COUNTIFS(T_SelfStock[RM_Code],$A59,T_SelfStock[WeekIndex],35)&gt;0)*(COUNTIFS(T_TTAFStock[RM_Code],$A59,T_TTAFStock[WeekIndex],35)&gt;0)&gt;0,SUMIFS(T_SelfStock[Self_Qty],T_SelfStock[RM_Code],$A59,T_SelfStock[WeekIndex],35)+SUMIFS(T_TTAFStock[TTAF_Qty],T_TTAFStock[RM_Code],$A59,T_TTAFStock[WeekIndex],35),AI59+'Grid_Incoming'!AJ59-'Grid_Requirement'!AJ59))</f>
        <v/>
      </c>
      <c r="AK59">
        <f>IF(COUNTIFS(T_StockCount[RM_Code],$A59,T_StockCount[WeekIndex],36)&gt;0,SUMIFS(T_StockCount[CountedQty],T_StockCount[RM_Code],$A59,T_StockCount[WeekIndex],36),IF((COUNTIFS(T_SelfStock[RM_Code],$A59,T_SelfStock[WeekIndex],36)&gt;0)*(COUNTIFS(T_TTAFStock[RM_Code],$A59,T_TTAFStock[WeekIndex],36)&gt;0)&gt;0,SUMIFS(T_SelfStock[Self_Qty],T_SelfStock[RM_Code],$A59,T_SelfStock[WeekIndex],36)+SUMIFS(T_TTAFStock[TTAF_Qty],T_TTAFStock[RM_Code],$A59,T_TTAFStock[WeekIndex],36),AJ59+'Grid_Incoming'!AK59-'Grid_Requirement'!AK59))</f>
        <v/>
      </c>
      <c r="AL59">
        <f>IF(COUNTIFS(T_StockCount[RM_Code],$A59,T_StockCount[WeekIndex],37)&gt;0,SUMIFS(T_StockCount[CountedQty],T_StockCount[RM_Code],$A59,T_StockCount[WeekIndex],37),IF((COUNTIFS(T_SelfStock[RM_Code],$A59,T_SelfStock[WeekIndex],37)&gt;0)*(COUNTIFS(T_TTAFStock[RM_Code],$A59,T_TTAFStock[WeekIndex],37)&gt;0)&gt;0,SUMIFS(T_SelfStock[Self_Qty],T_SelfStock[RM_Code],$A59,T_SelfStock[WeekIndex],37)+SUMIFS(T_TTAFStock[TTAF_Qty],T_TTAFStock[RM_Code],$A59,T_TTAFStock[WeekIndex],37),AK59+'Grid_Incoming'!AL59-'Grid_Requirement'!AL59))</f>
        <v/>
      </c>
      <c r="AM59">
        <f>IF(COUNTIFS(T_StockCount[RM_Code],$A59,T_StockCount[WeekIndex],38)&gt;0,SUMIFS(T_StockCount[CountedQty],T_StockCount[RM_Code],$A59,T_StockCount[WeekIndex],38),IF((COUNTIFS(T_SelfStock[RM_Code],$A59,T_SelfStock[WeekIndex],38)&gt;0)*(COUNTIFS(T_TTAFStock[RM_Code],$A59,T_TTAFStock[WeekIndex],38)&gt;0)&gt;0,SUMIFS(T_SelfStock[Self_Qty],T_SelfStock[RM_Code],$A59,T_SelfStock[WeekIndex],38)+SUMIFS(T_TTAFStock[TTAF_Qty],T_TTAFStock[RM_Code],$A59,T_TTAFStock[WeekIndex],38),AL59+'Grid_Incoming'!AM59-'Grid_Requirement'!AM59))</f>
        <v/>
      </c>
      <c r="AN59">
        <f>IF(COUNTIFS(T_StockCount[RM_Code],$A59,T_StockCount[WeekIndex],39)&gt;0,SUMIFS(T_StockCount[CountedQty],T_StockCount[RM_Code],$A59,T_StockCount[WeekIndex],39),IF((COUNTIFS(T_SelfStock[RM_Code],$A59,T_SelfStock[WeekIndex],39)&gt;0)*(COUNTIFS(T_TTAFStock[RM_Code],$A59,T_TTAFStock[WeekIndex],39)&gt;0)&gt;0,SUMIFS(T_SelfStock[Self_Qty],T_SelfStock[RM_Code],$A59,T_SelfStock[WeekIndex],39)+SUMIFS(T_TTAFStock[TTAF_Qty],T_TTAFStock[RM_Code],$A59,T_TTAFStock[WeekIndex],39),AM59+'Grid_Incoming'!AN59-'Grid_Requirement'!AN59))</f>
        <v/>
      </c>
      <c r="AO59">
        <f>IF(COUNTIFS(T_StockCount[RM_Code],$A59,T_StockCount[WeekIndex],40)&gt;0,SUMIFS(T_StockCount[CountedQty],T_StockCount[RM_Code],$A59,T_StockCount[WeekIndex],40),IF((COUNTIFS(T_SelfStock[RM_Code],$A59,T_SelfStock[WeekIndex],40)&gt;0)*(COUNTIFS(T_TTAFStock[RM_Code],$A59,T_TTAFStock[WeekIndex],40)&gt;0)&gt;0,SUMIFS(T_SelfStock[Self_Qty],T_SelfStock[RM_Code],$A59,T_SelfStock[WeekIndex],40)+SUMIFS(T_TTAFStock[TTAF_Qty],T_TTAFStock[RM_Code],$A59,T_TTAFStock[WeekIndex],40),AN59+'Grid_Incoming'!AO59-'Grid_Requirement'!AO59))</f>
        <v/>
      </c>
      <c r="AP59">
        <f>IF(COUNTIFS(T_StockCount[RM_Code],$A59,T_StockCount[WeekIndex],41)&gt;0,SUMIFS(T_StockCount[CountedQty],T_StockCount[RM_Code],$A59,T_StockCount[WeekIndex],41),IF((COUNTIFS(T_SelfStock[RM_Code],$A59,T_SelfStock[WeekIndex],41)&gt;0)*(COUNTIFS(T_TTAFStock[RM_Code],$A59,T_TTAFStock[WeekIndex],41)&gt;0)&gt;0,SUMIFS(T_SelfStock[Self_Qty],T_SelfStock[RM_Code],$A59,T_SelfStock[WeekIndex],41)+SUMIFS(T_TTAFStock[TTAF_Qty],T_TTAFStock[RM_Code],$A59,T_TTAFStock[WeekIndex],41),AO59+'Grid_Incoming'!AP59-'Grid_Requirement'!AP59))</f>
        <v/>
      </c>
      <c r="AQ59">
        <f>IF(COUNTIFS(T_StockCount[RM_Code],$A59,T_StockCount[WeekIndex],42)&gt;0,SUMIFS(T_StockCount[CountedQty],T_StockCount[RM_Code],$A59,T_StockCount[WeekIndex],42),IF((COUNTIFS(T_SelfStock[RM_Code],$A59,T_SelfStock[WeekIndex],42)&gt;0)*(COUNTIFS(T_TTAFStock[RM_Code],$A59,T_TTAFStock[WeekIndex],42)&gt;0)&gt;0,SUMIFS(T_SelfStock[Self_Qty],T_SelfStock[RM_Code],$A59,T_SelfStock[WeekIndex],42)+SUMIFS(T_TTAFStock[TTAF_Qty],T_TTAFStock[RM_Code],$A59,T_TTAFStock[WeekIndex],42),AP59+'Grid_Incoming'!AQ59-'Grid_Requirement'!AQ59))</f>
        <v/>
      </c>
      <c r="AR59">
        <f>IF(COUNTIFS(T_StockCount[RM_Code],$A59,T_StockCount[WeekIndex],43)&gt;0,SUMIFS(T_StockCount[CountedQty],T_StockCount[RM_Code],$A59,T_StockCount[WeekIndex],43),IF((COUNTIFS(T_SelfStock[RM_Code],$A59,T_SelfStock[WeekIndex],43)&gt;0)*(COUNTIFS(T_TTAFStock[RM_Code],$A59,T_TTAFStock[WeekIndex],43)&gt;0)&gt;0,SUMIFS(T_SelfStock[Self_Qty],T_SelfStock[RM_Code],$A59,T_SelfStock[WeekIndex],43)+SUMIFS(T_TTAFStock[TTAF_Qty],T_TTAFStock[RM_Code],$A59,T_TTAFStock[WeekIndex],43),AQ59+'Grid_Incoming'!AR59-'Grid_Requirement'!AR59))</f>
        <v/>
      </c>
      <c r="AS59">
        <f>IF(COUNTIFS(T_StockCount[RM_Code],$A59,T_StockCount[WeekIndex],44)&gt;0,SUMIFS(T_StockCount[CountedQty],T_StockCount[RM_Code],$A59,T_StockCount[WeekIndex],44),IF((COUNTIFS(T_SelfStock[RM_Code],$A59,T_SelfStock[WeekIndex],44)&gt;0)*(COUNTIFS(T_TTAFStock[RM_Code],$A59,T_TTAFStock[WeekIndex],44)&gt;0)&gt;0,SUMIFS(T_SelfStock[Self_Qty],T_SelfStock[RM_Code],$A59,T_SelfStock[WeekIndex],44)+SUMIFS(T_TTAFStock[TTAF_Qty],T_TTAFStock[RM_Code],$A59,T_TTAFStock[WeekIndex],44),AR59+'Grid_Incoming'!AS59-'Grid_Requirement'!AS59))</f>
        <v/>
      </c>
      <c r="AT59">
        <f>IF(COUNTIFS(T_StockCount[RM_Code],$A59,T_StockCount[WeekIndex],45)&gt;0,SUMIFS(T_StockCount[CountedQty],T_StockCount[RM_Code],$A59,T_StockCount[WeekIndex],45),IF((COUNTIFS(T_SelfStock[RM_Code],$A59,T_SelfStock[WeekIndex],45)&gt;0)*(COUNTIFS(T_TTAFStock[RM_Code],$A59,T_TTAFStock[WeekIndex],45)&gt;0)&gt;0,SUMIFS(T_SelfStock[Self_Qty],T_SelfStock[RM_Code],$A59,T_SelfStock[WeekIndex],45)+SUMIFS(T_TTAFStock[TTAF_Qty],T_TTAFStock[RM_Code],$A59,T_TTAFStock[WeekIndex],45),AS59+'Grid_Incoming'!AT59-'Grid_Requirement'!AT59))</f>
        <v/>
      </c>
      <c r="AU59">
        <f>IF(COUNTIFS(T_StockCount[RM_Code],$A59,T_StockCount[WeekIndex],46)&gt;0,SUMIFS(T_StockCount[CountedQty],T_StockCount[RM_Code],$A59,T_StockCount[WeekIndex],46),IF((COUNTIFS(T_SelfStock[RM_Code],$A59,T_SelfStock[WeekIndex],46)&gt;0)*(COUNTIFS(T_TTAFStock[RM_Code],$A59,T_TTAFStock[WeekIndex],46)&gt;0)&gt;0,SUMIFS(T_SelfStock[Self_Qty],T_SelfStock[RM_Code],$A59,T_SelfStock[WeekIndex],46)+SUMIFS(T_TTAFStock[TTAF_Qty],T_TTAFStock[RM_Code],$A59,T_TTAFStock[WeekIndex],46),AT59+'Grid_Incoming'!AU59-'Grid_Requirement'!AU59))</f>
        <v/>
      </c>
      <c r="AV59">
        <f>IF(COUNTIFS(T_StockCount[RM_Code],$A59,T_StockCount[WeekIndex],47)&gt;0,SUMIFS(T_StockCount[CountedQty],T_StockCount[RM_Code],$A59,T_StockCount[WeekIndex],47),IF((COUNTIFS(T_SelfStock[RM_Code],$A59,T_SelfStock[WeekIndex],47)&gt;0)*(COUNTIFS(T_TTAFStock[RM_Code],$A59,T_TTAFStock[WeekIndex],47)&gt;0)&gt;0,SUMIFS(T_SelfStock[Self_Qty],T_SelfStock[RM_Code],$A59,T_SelfStock[WeekIndex],47)+SUMIFS(T_TTAFStock[TTAF_Qty],T_TTAFStock[RM_Code],$A59,T_TTAFStock[WeekIndex],47),AU59+'Grid_Incoming'!AV59-'Grid_Requirement'!AV59))</f>
        <v/>
      </c>
      <c r="AW59">
        <f>IF(COUNTIFS(T_StockCount[RM_Code],$A59,T_StockCount[WeekIndex],48)&gt;0,SUMIFS(T_StockCount[CountedQty],T_StockCount[RM_Code],$A59,T_StockCount[WeekIndex],48),IF((COUNTIFS(T_SelfStock[RM_Code],$A59,T_SelfStock[WeekIndex],48)&gt;0)*(COUNTIFS(T_TTAFStock[RM_Code],$A59,T_TTAFStock[WeekIndex],48)&gt;0)&gt;0,SUMIFS(T_SelfStock[Self_Qty],T_SelfStock[RM_Code],$A59,T_SelfStock[WeekIndex],48)+SUMIFS(T_TTAFStock[TTAF_Qty],T_TTAFStock[RM_Code],$A59,T_TTAFStock[WeekIndex],48),AV59+'Grid_Incoming'!AW59-'Grid_Requirement'!AW59))</f>
        <v/>
      </c>
      <c r="AX59">
        <f>IF(COUNTIFS(T_StockCount[RM_Code],$A59,T_StockCount[WeekIndex],49)&gt;0,SUMIFS(T_StockCount[CountedQty],T_StockCount[RM_Code],$A59,T_StockCount[WeekIndex],49),IF((COUNTIFS(T_SelfStock[RM_Code],$A59,T_SelfStock[WeekIndex],49)&gt;0)*(COUNTIFS(T_TTAFStock[RM_Code],$A59,T_TTAFStock[WeekIndex],49)&gt;0)&gt;0,SUMIFS(T_SelfStock[Self_Qty],T_SelfStock[RM_Code],$A59,T_SelfStock[WeekIndex],49)+SUMIFS(T_TTAFStock[TTAF_Qty],T_TTAFStock[RM_Code],$A59,T_TTAFStock[WeekIndex],49),AW59+'Grid_Incoming'!AX59-'Grid_Requirement'!AX59))</f>
        <v/>
      </c>
      <c r="AY59">
        <f>IF(COUNTIFS(T_StockCount[RM_Code],$A59,T_StockCount[WeekIndex],50)&gt;0,SUMIFS(T_StockCount[CountedQty],T_StockCount[RM_Code],$A59,T_StockCount[WeekIndex],50),IF((COUNTIFS(T_SelfStock[RM_Code],$A59,T_SelfStock[WeekIndex],50)&gt;0)*(COUNTIFS(T_TTAFStock[RM_Code],$A59,T_TTAFStock[WeekIndex],50)&gt;0)&gt;0,SUMIFS(T_SelfStock[Self_Qty],T_SelfStock[RM_Code],$A59,T_SelfStock[WeekIndex],50)+SUMIFS(T_TTAFStock[TTAF_Qty],T_TTAFStock[RM_Code],$A59,T_TTAFStock[WeekIndex],50),AX59+'Grid_Incoming'!AY59-'Grid_Requirement'!AY59))</f>
        <v/>
      </c>
      <c r="AZ59">
        <f>IF(COUNTIFS(T_StockCount[RM_Code],$A59,T_StockCount[WeekIndex],51)&gt;0,SUMIFS(T_StockCount[CountedQty],T_StockCount[RM_Code],$A59,T_StockCount[WeekIndex],51),IF((COUNTIFS(T_SelfStock[RM_Code],$A59,T_SelfStock[WeekIndex],51)&gt;0)*(COUNTIFS(T_TTAFStock[RM_Code],$A59,T_TTAFStock[WeekIndex],51)&gt;0)&gt;0,SUMIFS(T_SelfStock[Self_Qty],T_SelfStock[RM_Code],$A59,T_SelfStock[WeekIndex],51)+SUMIFS(T_TTAFStock[TTAF_Qty],T_TTAFStock[RM_Code],$A59,T_TTAFStock[WeekIndex],51),AY59+'Grid_Incoming'!AZ59-'Grid_Requirement'!AZ59))</f>
        <v/>
      </c>
      <c r="BA59">
        <f>IF(COUNTIFS(T_StockCount[RM_Code],$A59,T_StockCount[WeekIndex],52)&gt;0,SUMIFS(T_StockCount[CountedQty],T_StockCount[RM_Code],$A59,T_StockCount[WeekIndex],52),IF((COUNTIFS(T_SelfStock[RM_Code],$A59,T_SelfStock[WeekIndex],52)&gt;0)*(COUNTIFS(T_TTAFStock[RM_Code],$A59,T_TTAFStock[WeekIndex],52)&gt;0)&gt;0,SUMIFS(T_SelfStock[Self_Qty],T_SelfStock[RM_Code],$A59,T_SelfStock[WeekIndex],52)+SUMIFS(T_TTAFStock[TTAF_Qty],T_TTAFStock[RM_Code],$A59,T_TTAFStock[WeekIndex],52),AZ59+'Grid_Incoming'!BA59-'Grid_Requirement'!BA59))</f>
        <v/>
      </c>
      <c r="BB59">
        <f>IF(COUNTIFS(T_StockCount[RM_Code],$A59,T_StockCount[WeekIndex],53)&gt;0,SUMIFS(T_StockCount[CountedQty],T_StockCount[RM_Code],$A59,T_StockCount[WeekIndex],53),IF((COUNTIFS(T_SelfStock[RM_Code],$A59,T_SelfStock[WeekIndex],53)&gt;0)*(COUNTIFS(T_TTAFStock[RM_Code],$A59,T_TTAFStock[WeekIndex],53)&gt;0)&gt;0,SUMIFS(T_SelfStock[Self_Qty],T_SelfStock[RM_Code],$A59,T_SelfStock[WeekIndex],53)+SUMIFS(T_TTAFStock[TTAF_Qty],T_TTAFStock[RM_Code],$A59,T_TTAFStock[WeekIndex],53),BA59+'Grid_Incoming'!BB59-'Grid_Requirement'!BB59))</f>
        <v/>
      </c>
      <c r="BC59">
        <f>IF(COUNTIFS(T_StockCount[RM_Code],$A59,T_StockCount[WeekIndex],54)&gt;0,SUMIFS(T_StockCount[CountedQty],T_StockCount[RM_Code],$A59,T_StockCount[WeekIndex],54),IF((COUNTIFS(T_SelfStock[RM_Code],$A59,T_SelfStock[WeekIndex],54)&gt;0)*(COUNTIFS(T_TTAFStock[RM_Code],$A59,T_TTAFStock[WeekIndex],54)&gt;0)&gt;0,SUMIFS(T_SelfStock[Self_Qty],T_SelfStock[RM_Code],$A59,T_SelfStock[WeekIndex],54)+SUMIFS(T_TTAFStock[TTAF_Qty],T_TTAFStock[RM_Code],$A59,T_TTAFStock[WeekIndex],54),BB59+'Grid_Incoming'!BC59-'Grid_Requirement'!BC59))</f>
        <v/>
      </c>
      <c r="BD59">
        <f>IF(COUNTIFS(T_StockCount[RM_Code],$A59,T_StockCount[WeekIndex],55)&gt;0,SUMIFS(T_StockCount[CountedQty],T_StockCount[RM_Code],$A59,T_StockCount[WeekIndex],55),IF((COUNTIFS(T_SelfStock[RM_Code],$A59,T_SelfStock[WeekIndex],55)&gt;0)*(COUNTIFS(T_TTAFStock[RM_Code],$A59,T_TTAFStock[WeekIndex],55)&gt;0)&gt;0,SUMIFS(T_SelfStock[Self_Qty],T_SelfStock[RM_Code],$A59,T_SelfStock[WeekIndex],55)+SUMIFS(T_TTAFStock[TTAF_Qty],T_TTAFStock[RM_Code],$A59,T_TTAFStock[WeekIndex],55),BC59+'Grid_Incoming'!BD59-'Grid_Requirement'!BD59))</f>
        <v/>
      </c>
      <c r="BE59">
        <f>IF(COUNTIFS(T_StockCount[RM_Code],$A59,T_StockCount[WeekIndex],56)&gt;0,SUMIFS(T_StockCount[CountedQty],T_StockCount[RM_Code],$A59,T_StockCount[WeekIndex],56),IF((COUNTIFS(T_SelfStock[RM_Code],$A59,T_SelfStock[WeekIndex],56)&gt;0)*(COUNTIFS(T_TTAFStock[RM_Code],$A59,T_TTAFStock[WeekIndex],56)&gt;0)&gt;0,SUMIFS(T_SelfStock[Self_Qty],T_SelfStock[RM_Code],$A59,T_SelfStock[WeekIndex],56)+SUMIFS(T_TTAFStock[TTAF_Qty],T_TTAFStock[RM_Code],$A59,T_TTAFStock[WeekIndex],56),BD59+'Grid_Incoming'!BE59-'Grid_Requirement'!BE59))</f>
        <v/>
      </c>
      <c r="BF59">
        <f>IF(COUNTIFS(T_StockCount[RM_Code],$A59,T_StockCount[WeekIndex],57)&gt;0,SUMIFS(T_StockCount[CountedQty],T_StockCount[RM_Code],$A59,T_StockCount[WeekIndex],57),IF((COUNTIFS(T_SelfStock[RM_Code],$A59,T_SelfStock[WeekIndex],57)&gt;0)*(COUNTIFS(T_TTAFStock[RM_Code],$A59,T_TTAFStock[WeekIndex],57)&gt;0)&gt;0,SUMIFS(T_SelfStock[Self_Qty],T_SelfStock[RM_Code],$A59,T_SelfStock[WeekIndex],57)+SUMIFS(T_TTAFStock[TTAF_Qty],T_TTAFStock[RM_Code],$A59,T_TTAFStock[WeekIndex],57),BE59+'Grid_Incoming'!BF59-'Grid_Requirement'!BF59))</f>
        <v/>
      </c>
      <c r="BG59">
        <f>IF(COUNTIFS(T_StockCount[RM_Code],$A59,T_StockCount[WeekIndex],58)&gt;0,SUMIFS(T_StockCount[CountedQty],T_StockCount[RM_Code],$A59,T_StockCount[WeekIndex],58),IF((COUNTIFS(T_SelfStock[RM_Code],$A59,T_SelfStock[WeekIndex],58)&gt;0)*(COUNTIFS(T_TTAFStock[RM_Code],$A59,T_TTAFStock[WeekIndex],58)&gt;0)&gt;0,SUMIFS(T_SelfStock[Self_Qty],T_SelfStock[RM_Code],$A59,T_SelfStock[WeekIndex],58)+SUMIFS(T_TTAFStock[TTAF_Qty],T_TTAFStock[RM_Code],$A59,T_TTAFStock[WeekIndex],58),BF59+'Grid_Incoming'!BG59-'Grid_Requirement'!BG59))</f>
        <v/>
      </c>
      <c r="BH59">
        <f>IF(COUNTIFS(T_StockCount[RM_Code],$A59,T_StockCount[WeekIndex],59)&gt;0,SUMIFS(T_StockCount[CountedQty],T_StockCount[RM_Code],$A59,T_StockCount[WeekIndex],59),IF((COUNTIFS(T_SelfStock[RM_Code],$A59,T_SelfStock[WeekIndex],59)&gt;0)*(COUNTIFS(T_TTAFStock[RM_Code],$A59,T_TTAFStock[WeekIndex],59)&gt;0)&gt;0,SUMIFS(T_SelfStock[Self_Qty],T_SelfStock[RM_Code],$A59,T_SelfStock[WeekIndex],59)+SUMIFS(T_TTAFStock[TTAF_Qty],T_TTAFStock[RM_Code],$A59,T_TTAFStock[WeekIndex],59),BG59+'Grid_Incoming'!BH59-'Grid_Requirement'!BH59))</f>
        <v/>
      </c>
      <c r="BI59">
        <f>IF(COUNTIFS(T_StockCount[RM_Code],$A59,T_StockCount[WeekIndex],60)&gt;0,SUMIFS(T_StockCount[CountedQty],T_StockCount[RM_Code],$A59,T_StockCount[WeekIndex],60),IF((COUNTIFS(T_SelfStock[RM_Code],$A59,T_SelfStock[WeekIndex],60)&gt;0)*(COUNTIFS(T_TTAFStock[RM_Code],$A59,T_TTAFStock[WeekIndex],60)&gt;0)&gt;0,SUMIFS(T_SelfStock[Self_Qty],T_SelfStock[RM_Code],$A59,T_SelfStock[WeekIndex],60)+SUMIFS(T_TTAFStock[TTAF_Qty],T_TTAFStock[RM_Code],$A59,T_TTAFStock[WeekIndex],60),BH59+'Grid_Incoming'!BI59-'Grid_Requirement'!BI59))</f>
        <v/>
      </c>
      <c r="BJ59">
        <f>IF(COUNTIFS(T_StockCount[RM_Code],$A59,T_StockCount[WeekIndex],61)&gt;0,SUMIFS(T_StockCount[CountedQty],T_StockCount[RM_Code],$A59,T_StockCount[WeekIndex],61),IF((COUNTIFS(T_SelfStock[RM_Code],$A59,T_SelfStock[WeekIndex],61)&gt;0)*(COUNTIFS(T_TTAFStock[RM_Code],$A59,T_TTAFStock[WeekIndex],61)&gt;0)&gt;0,SUMIFS(T_SelfStock[Self_Qty],T_SelfStock[RM_Code],$A59,T_SelfStock[WeekIndex],61)+SUMIFS(T_TTAFStock[TTAF_Qty],T_TTAFStock[RM_Code],$A59,T_TTAFStock[WeekIndex],61),BI59+'Grid_Incoming'!BJ59-'Grid_Requirement'!BJ59))</f>
        <v/>
      </c>
      <c r="BK59">
        <f>IF(COUNTIFS(T_StockCount[RM_Code],$A59,T_StockCount[WeekIndex],62)&gt;0,SUMIFS(T_StockCount[CountedQty],T_StockCount[RM_Code],$A59,T_StockCount[WeekIndex],62),IF((COUNTIFS(T_SelfStock[RM_Code],$A59,T_SelfStock[WeekIndex],62)&gt;0)*(COUNTIFS(T_TTAFStock[RM_Code],$A59,T_TTAFStock[WeekIndex],62)&gt;0)&gt;0,SUMIFS(T_SelfStock[Self_Qty],T_SelfStock[RM_Code],$A59,T_SelfStock[WeekIndex],62)+SUMIFS(T_TTAFStock[TTAF_Qty],T_TTAFStock[RM_Code],$A59,T_TTAFStock[WeekIndex],62),BJ59+'Grid_Incoming'!BK59-'Grid_Requirement'!BK59))</f>
        <v/>
      </c>
      <c r="BL59">
        <f>IF(COUNTIFS(T_StockCount[RM_Code],$A59,T_StockCount[WeekIndex],63)&gt;0,SUMIFS(T_StockCount[CountedQty],T_StockCount[RM_Code],$A59,T_StockCount[WeekIndex],63),IF((COUNTIFS(T_SelfStock[RM_Code],$A59,T_SelfStock[WeekIndex],63)&gt;0)*(COUNTIFS(T_TTAFStock[RM_Code],$A59,T_TTAFStock[WeekIndex],63)&gt;0)&gt;0,SUMIFS(T_SelfStock[Self_Qty],T_SelfStock[RM_Code],$A59,T_SelfStock[WeekIndex],63)+SUMIFS(T_TTAFStock[TTAF_Qty],T_TTAFStock[RM_Code],$A59,T_TTAFStock[WeekIndex],63),BK59+'Grid_Incoming'!BL59-'Grid_Requirement'!BL59))</f>
        <v/>
      </c>
      <c r="BM59">
        <f>IF(COUNTIFS(T_StockCount[RM_Code],$A59,T_StockCount[WeekIndex],64)&gt;0,SUMIFS(T_StockCount[CountedQty],T_StockCount[RM_Code],$A59,T_StockCount[WeekIndex],64),IF((COUNTIFS(T_SelfStock[RM_Code],$A59,T_SelfStock[WeekIndex],64)&gt;0)*(COUNTIFS(T_TTAFStock[RM_Code],$A59,T_TTAFStock[WeekIndex],64)&gt;0)&gt;0,SUMIFS(T_SelfStock[Self_Qty],T_SelfStock[RM_Code],$A59,T_SelfStock[WeekIndex],64)+SUMIFS(T_TTAFStock[TTAF_Qty],T_TTAFStock[RM_Code],$A59,T_TTAFStock[WeekIndex],64),BL59+'Grid_Incoming'!BM59-'Grid_Requirement'!BM59))</f>
        <v/>
      </c>
      <c r="BN59">
        <f>IF(COUNTIFS(T_StockCount[RM_Code],$A59,T_StockCount[WeekIndex],65)&gt;0,SUMIFS(T_StockCount[CountedQty],T_StockCount[RM_Code],$A59,T_StockCount[WeekIndex],65),IF((COUNTIFS(T_SelfStock[RM_Code],$A59,T_SelfStock[WeekIndex],65)&gt;0)*(COUNTIFS(T_TTAFStock[RM_Code],$A59,T_TTAFStock[WeekIndex],65)&gt;0)&gt;0,SUMIFS(T_SelfStock[Self_Qty],T_SelfStock[RM_Code],$A59,T_SelfStock[WeekIndex],65)+SUMIFS(T_TTAFStock[TTAF_Qty],T_TTAFStock[RM_Code],$A59,T_TTAFStock[WeekIndex],65),BM59+'Grid_Incoming'!BN59-'Grid_Requirement'!BN59))</f>
        <v/>
      </c>
      <c r="BO59">
        <f>IF(COUNTIFS(T_StockCount[RM_Code],$A59,T_StockCount[WeekIndex],66)&gt;0,SUMIFS(T_StockCount[CountedQty],T_StockCount[RM_Code],$A59,T_StockCount[WeekIndex],66),IF((COUNTIFS(T_SelfStock[RM_Code],$A59,T_SelfStock[WeekIndex],66)&gt;0)*(COUNTIFS(T_TTAFStock[RM_Code],$A59,T_TTAFStock[WeekIndex],66)&gt;0)&gt;0,SUMIFS(T_SelfStock[Self_Qty],T_SelfStock[RM_Code],$A59,T_SelfStock[WeekIndex],66)+SUMIFS(T_TTAFStock[TTAF_Qty],T_TTAFStock[RM_Code],$A59,T_TTAFStock[WeekIndex],66),BN59+'Grid_Incoming'!BO59-'Grid_Requirement'!BO59))</f>
        <v/>
      </c>
      <c r="BP59">
        <f>IF(COUNTIFS(T_StockCount[RM_Code],$A59,T_StockCount[WeekIndex],67)&gt;0,SUMIFS(T_StockCount[CountedQty],T_StockCount[RM_Code],$A59,T_StockCount[WeekIndex],67),IF((COUNTIFS(T_SelfStock[RM_Code],$A59,T_SelfStock[WeekIndex],67)&gt;0)*(COUNTIFS(T_TTAFStock[RM_Code],$A59,T_TTAFStock[WeekIndex],67)&gt;0)&gt;0,SUMIFS(T_SelfStock[Self_Qty],T_SelfStock[RM_Code],$A59,T_SelfStock[WeekIndex],67)+SUMIFS(T_TTAFStock[TTAF_Qty],T_TTAFStock[RM_Code],$A59,T_TTAFStock[WeekIndex],67),BO59+'Grid_Incoming'!BP59-'Grid_Requirement'!BP59))</f>
        <v/>
      </c>
      <c r="BQ59">
        <f>IF(COUNTIFS(T_StockCount[RM_Code],$A59,T_StockCount[WeekIndex],68)&gt;0,SUMIFS(T_StockCount[CountedQty],T_StockCount[RM_Code],$A59,T_StockCount[WeekIndex],68),IF((COUNTIFS(T_SelfStock[RM_Code],$A59,T_SelfStock[WeekIndex],68)&gt;0)*(COUNTIFS(T_TTAFStock[RM_Code],$A59,T_TTAFStock[WeekIndex],68)&gt;0)&gt;0,SUMIFS(T_SelfStock[Self_Qty],T_SelfStock[RM_Code],$A59,T_SelfStock[WeekIndex],68)+SUMIFS(T_TTAFStock[TTAF_Qty],T_TTAFStock[RM_Code],$A59,T_TTAFStock[WeekIndex],68),BP59+'Grid_Incoming'!BQ59-'Grid_Requirement'!BQ59))</f>
        <v/>
      </c>
      <c r="BR59">
        <f>IF(COUNTIFS(T_StockCount[RM_Code],$A59,T_StockCount[WeekIndex],69)&gt;0,SUMIFS(T_StockCount[CountedQty],T_StockCount[RM_Code],$A59,T_StockCount[WeekIndex],69),IF((COUNTIFS(T_SelfStock[RM_Code],$A59,T_SelfStock[WeekIndex],69)&gt;0)*(COUNTIFS(T_TTAFStock[RM_Code],$A59,T_TTAFStock[WeekIndex],69)&gt;0)&gt;0,SUMIFS(T_SelfStock[Self_Qty],T_SelfStock[RM_Code],$A59,T_SelfStock[WeekIndex],69)+SUMIFS(T_TTAFStock[TTAF_Qty],T_TTAFStock[RM_Code],$A59,T_TTAFStock[WeekIndex],69),BQ59+'Grid_Incoming'!BR59-'Grid_Requirement'!BR59))</f>
        <v/>
      </c>
      <c r="BS59">
        <f>IF(COUNTIFS(T_StockCount[RM_Code],$A59,T_StockCount[WeekIndex],70)&gt;0,SUMIFS(T_StockCount[CountedQty],T_StockCount[RM_Code],$A59,T_StockCount[WeekIndex],70),IF((COUNTIFS(T_SelfStock[RM_Code],$A59,T_SelfStock[WeekIndex],70)&gt;0)*(COUNTIFS(T_TTAFStock[RM_Code],$A59,T_TTAFStock[WeekIndex],70)&gt;0)&gt;0,SUMIFS(T_SelfStock[Self_Qty],T_SelfStock[RM_Code],$A59,T_SelfStock[WeekIndex],70)+SUMIFS(T_TTAFStock[TTAF_Qty],T_TTAFStock[RM_Code],$A59,T_TTAFStock[WeekIndex],70),BR59+'Grid_Incoming'!BS59-'Grid_Requirement'!BS59))</f>
        <v/>
      </c>
      <c r="BT59">
        <f>IF(COUNTIFS(T_StockCount[RM_Code],$A59,T_StockCount[WeekIndex],71)&gt;0,SUMIFS(T_StockCount[CountedQty],T_StockCount[RM_Code],$A59,T_StockCount[WeekIndex],71),IF((COUNTIFS(T_SelfStock[RM_Code],$A59,T_SelfStock[WeekIndex],71)&gt;0)*(COUNTIFS(T_TTAFStock[RM_Code],$A59,T_TTAFStock[WeekIndex],71)&gt;0)&gt;0,SUMIFS(T_SelfStock[Self_Qty],T_SelfStock[RM_Code],$A59,T_SelfStock[WeekIndex],71)+SUMIFS(T_TTAFStock[TTAF_Qty],T_TTAFStock[RM_Code],$A59,T_TTAFStock[WeekIndex],71),BS59+'Grid_Incoming'!BT59-'Grid_Requirement'!BT59))</f>
        <v/>
      </c>
      <c r="BU59">
        <f>IF(COUNTIFS(T_StockCount[RM_Code],$A59,T_StockCount[WeekIndex],72)&gt;0,SUMIFS(T_StockCount[CountedQty],T_StockCount[RM_Code],$A59,T_StockCount[WeekIndex],72),IF((COUNTIFS(T_SelfStock[RM_Code],$A59,T_SelfStock[WeekIndex],72)&gt;0)*(COUNTIFS(T_TTAFStock[RM_Code],$A59,T_TTAFStock[WeekIndex],72)&gt;0)&gt;0,SUMIFS(T_SelfStock[Self_Qty],T_SelfStock[RM_Code],$A59,T_SelfStock[WeekIndex],72)+SUMIFS(T_TTAFStock[TTAF_Qty],T_TTAFStock[RM_Code],$A59,T_TTAFStock[WeekIndex],72),BT59+'Grid_Incoming'!BU59-'Grid_Requirement'!BU59))</f>
        <v/>
      </c>
      <c r="BV59">
        <f>IF(COUNTIFS(T_StockCount[RM_Code],$A59,T_StockCount[WeekIndex],73)&gt;0,SUMIFS(T_StockCount[CountedQty],T_StockCount[RM_Code],$A59,T_StockCount[WeekIndex],73),IF((COUNTIFS(T_SelfStock[RM_Code],$A59,T_SelfStock[WeekIndex],73)&gt;0)*(COUNTIFS(T_TTAFStock[RM_Code],$A59,T_TTAFStock[WeekIndex],73)&gt;0)&gt;0,SUMIFS(T_SelfStock[Self_Qty],T_SelfStock[RM_Code],$A59,T_SelfStock[WeekIndex],73)+SUMIFS(T_TTAFStock[TTAF_Qty],T_TTAFStock[RM_Code],$A59,T_TTAFStock[WeekIndex],73),BU59+'Grid_Incoming'!BV59-'Grid_Requirement'!BV59))</f>
        <v/>
      </c>
      <c r="BW59">
        <f>IF(COUNTIFS(T_StockCount[RM_Code],$A59,T_StockCount[WeekIndex],74)&gt;0,SUMIFS(T_StockCount[CountedQty],T_StockCount[RM_Code],$A59,T_StockCount[WeekIndex],74),IF((COUNTIFS(T_SelfStock[RM_Code],$A59,T_SelfStock[WeekIndex],74)&gt;0)*(COUNTIFS(T_TTAFStock[RM_Code],$A59,T_TTAFStock[WeekIndex],74)&gt;0)&gt;0,SUMIFS(T_SelfStock[Self_Qty],T_SelfStock[RM_Code],$A59,T_SelfStock[WeekIndex],74)+SUMIFS(T_TTAFStock[TTAF_Qty],T_TTAFStock[RM_Code],$A59,T_TTAFStock[WeekIndex],74),BV59+'Grid_Incoming'!BW59-'Grid_Requirement'!BW59))</f>
        <v/>
      </c>
      <c r="BX59">
        <f>IF(COUNTIFS(T_StockCount[RM_Code],$A59,T_StockCount[WeekIndex],75)&gt;0,SUMIFS(T_StockCount[CountedQty],T_StockCount[RM_Code],$A59,T_StockCount[WeekIndex],75),IF((COUNTIFS(T_SelfStock[RM_Code],$A59,T_SelfStock[WeekIndex],75)&gt;0)*(COUNTIFS(T_TTAFStock[RM_Code],$A59,T_TTAFStock[WeekIndex],75)&gt;0)&gt;0,SUMIFS(T_SelfStock[Self_Qty],T_SelfStock[RM_Code],$A59,T_SelfStock[WeekIndex],75)+SUMIFS(T_TTAFStock[TTAF_Qty],T_TTAFStock[RM_Code],$A59,T_TTAFStock[WeekIndex],75),BW59+'Grid_Incoming'!BX59-'Grid_Requirement'!BX59))</f>
        <v/>
      </c>
      <c r="BY59">
        <f>IF(COUNTIFS(T_StockCount[RM_Code],$A59,T_StockCount[WeekIndex],76)&gt;0,SUMIFS(T_StockCount[CountedQty],T_StockCount[RM_Code],$A59,T_StockCount[WeekIndex],76),IF((COUNTIFS(T_SelfStock[RM_Code],$A59,T_SelfStock[WeekIndex],76)&gt;0)*(COUNTIFS(T_TTAFStock[RM_Code],$A59,T_TTAFStock[WeekIndex],76)&gt;0)&gt;0,SUMIFS(T_SelfStock[Self_Qty],T_SelfStock[RM_Code],$A59,T_SelfStock[WeekIndex],76)+SUMIFS(T_TTAFStock[TTAF_Qty],T_TTAFStock[RM_Code],$A59,T_TTAFStock[WeekIndex],76),BX59+'Grid_Incoming'!BY59-'Grid_Requirement'!BY59))</f>
        <v/>
      </c>
      <c r="BZ59">
        <f>IF(COUNTIFS(T_StockCount[RM_Code],$A59,T_StockCount[WeekIndex],77)&gt;0,SUMIFS(T_StockCount[CountedQty],T_StockCount[RM_Code],$A59,T_StockCount[WeekIndex],77),IF((COUNTIFS(T_SelfStock[RM_Code],$A59,T_SelfStock[WeekIndex],77)&gt;0)*(COUNTIFS(T_TTAFStock[RM_Code],$A59,T_TTAFStock[WeekIndex],77)&gt;0)&gt;0,SUMIFS(T_SelfStock[Self_Qty],T_SelfStock[RM_Code],$A59,T_SelfStock[WeekIndex],77)+SUMIFS(T_TTAFStock[TTAF_Qty],T_TTAFStock[RM_Code],$A59,T_TTAFStock[WeekIndex],77),BY59+'Grid_Incoming'!BZ59-'Grid_Requirement'!BZ59))</f>
        <v/>
      </c>
      <c r="CA59">
        <f>IF(COUNTIFS(T_StockCount[RM_Code],$A59,T_StockCount[WeekIndex],78)&gt;0,SUMIFS(T_StockCount[CountedQty],T_StockCount[RM_Code],$A59,T_StockCount[WeekIndex],78),IF((COUNTIFS(T_SelfStock[RM_Code],$A59,T_SelfStock[WeekIndex],78)&gt;0)*(COUNTIFS(T_TTAFStock[RM_Code],$A59,T_TTAFStock[WeekIndex],78)&gt;0)&gt;0,SUMIFS(T_SelfStock[Self_Qty],T_SelfStock[RM_Code],$A59,T_SelfStock[WeekIndex],78)+SUMIFS(T_TTAFStock[TTAF_Qty],T_TTAFStock[RM_Code],$A59,T_TTAFStock[WeekIndex],78),BZ59+'Grid_Incoming'!CA59-'Grid_Requirement'!CA59))</f>
        <v/>
      </c>
      <c r="CB59">
        <f>IF(COUNTIFS(T_StockCount[RM_Code],$A59,T_StockCount[WeekIndex],79)&gt;0,SUMIFS(T_StockCount[CountedQty],T_StockCount[RM_Code],$A59,T_StockCount[WeekIndex],79),IF((COUNTIFS(T_SelfStock[RM_Code],$A59,T_SelfStock[WeekIndex],79)&gt;0)*(COUNTIFS(T_TTAFStock[RM_Code],$A59,T_TTAFStock[WeekIndex],79)&gt;0)&gt;0,SUMIFS(T_SelfStock[Self_Qty],T_SelfStock[RM_Code],$A59,T_SelfStock[WeekIndex],79)+SUMIFS(T_TTAFStock[TTAF_Qty],T_TTAFStock[RM_Code],$A59,T_TTAFStock[WeekIndex],79),CA59+'Grid_Incoming'!CB59-'Grid_Requirement'!CB59))</f>
        <v/>
      </c>
      <c r="CC59">
        <f>IF(COUNTIFS(T_StockCount[RM_Code],$A59,T_StockCount[WeekIndex],80)&gt;0,SUMIFS(T_StockCount[CountedQty],T_StockCount[RM_Code],$A59,T_StockCount[WeekIndex],80),IF((COUNTIFS(T_SelfStock[RM_Code],$A59,T_SelfStock[WeekIndex],80)&gt;0)*(COUNTIFS(T_TTAFStock[RM_Code],$A59,T_TTAFStock[WeekIndex],80)&gt;0)&gt;0,SUMIFS(T_SelfStock[Self_Qty],T_SelfStock[RM_Code],$A59,T_SelfStock[WeekIndex],80)+SUMIFS(T_TTAFStock[TTAF_Qty],T_TTAFStock[RM_Code],$A59,T_TTAFStock[WeekIndex],80),CB59+'Grid_Incoming'!CC59-'Grid_Requirement'!CC59))</f>
        <v/>
      </c>
      <c r="CD59">
        <f>IF(COUNTIFS(T_StockCount[RM_Code],$A59,T_StockCount[WeekIndex],81)&gt;0,SUMIFS(T_StockCount[CountedQty],T_StockCount[RM_Code],$A59,T_StockCount[WeekIndex],81),IF((COUNTIFS(T_SelfStock[RM_Code],$A59,T_SelfStock[WeekIndex],81)&gt;0)*(COUNTIFS(T_TTAFStock[RM_Code],$A59,T_TTAFStock[WeekIndex],81)&gt;0)&gt;0,SUMIFS(T_SelfStock[Self_Qty],T_SelfStock[RM_Code],$A59,T_SelfStock[WeekIndex],81)+SUMIFS(T_TTAFStock[TTAF_Qty],T_TTAFStock[RM_Code],$A59,T_TTAFStock[WeekIndex],81),CC59+'Grid_Incoming'!CD59-'Grid_Requirement'!CD59))</f>
        <v/>
      </c>
      <c r="CE59">
        <f>IF(COUNTIFS(T_StockCount[RM_Code],$A59,T_StockCount[WeekIndex],82)&gt;0,SUMIFS(T_StockCount[CountedQty],T_StockCount[RM_Code],$A59,T_StockCount[WeekIndex],82),IF((COUNTIFS(T_SelfStock[RM_Code],$A59,T_SelfStock[WeekIndex],82)&gt;0)*(COUNTIFS(T_TTAFStock[RM_Code],$A59,T_TTAFStock[WeekIndex],82)&gt;0)&gt;0,SUMIFS(T_SelfStock[Self_Qty],T_SelfStock[RM_Code],$A59,T_SelfStock[WeekIndex],82)+SUMIFS(T_TTAFStock[TTAF_Qty],T_TTAFStock[RM_Code],$A59,T_TTAFStock[WeekIndex],82),CD59+'Grid_Incoming'!CE59-'Grid_Requirement'!CE59))</f>
        <v/>
      </c>
      <c r="CF59">
        <f>IF(COUNTIFS(T_StockCount[RM_Code],$A59,T_StockCount[WeekIndex],83)&gt;0,SUMIFS(T_StockCount[CountedQty],T_StockCount[RM_Code],$A59,T_StockCount[WeekIndex],83),IF((COUNTIFS(T_SelfStock[RM_Code],$A59,T_SelfStock[WeekIndex],83)&gt;0)*(COUNTIFS(T_TTAFStock[RM_Code],$A59,T_TTAFStock[WeekIndex],83)&gt;0)&gt;0,SUMIFS(T_SelfStock[Self_Qty],T_SelfStock[RM_Code],$A59,T_SelfStock[WeekIndex],83)+SUMIFS(T_TTAFStock[TTAF_Qty],T_TTAFStock[RM_Code],$A59,T_TTAFStock[WeekIndex],83),CE59+'Grid_Incoming'!CF59-'Grid_Requirement'!CF59))</f>
        <v/>
      </c>
      <c r="CG59">
        <f>IF(COUNTIFS(T_StockCount[RM_Code],$A59,T_StockCount[WeekIndex],84)&gt;0,SUMIFS(T_StockCount[CountedQty],T_StockCount[RM_Code],$A59,T_StockCount[WeekIndex],84),IF((COUNTIFS(T_SelfStock[RM_Code],$A59,T_SelfStock[WeekIndex],84)&gt;0)*(COUNTIFS(T_TTAFStock[RM_Code],$A59,T_TTAFStock[WeekIndex],84)&gt;0)&gt;0,SUMIFS(T_SelfStock[Self_Qty],T_SelfStock[RM_Code],$A59,T_SelfStock[WeekIndex],84)+SUMIFS(T_TTAFStock[TTAF_Qty],T_TTAFStock[RM_Code],$A59,T_TTAFStock[WeekIndex],84),CF59+'Grid_Incoming'!CG59-'Grid_Requirement'!CG59))</f>
        <v/>
      </c>
      <c r="CH59">
        <f>IF(COUNTIFS(T_StockCount[RM_Code],$A59,T_StockCount[WeekIndex],85)&gt;0,SUMIFS(T_StockCount[CountedQty],T_StockCount[RM_Code],$A59,T_StockCount[WeekIndex],85),IF((COUNTIFS(T_SelfStock[RM_Code],$A59,T_SelfStock[WeekIndex],85)&gt;0)*(COUNTIFS(T_TTAFStock[RM_Code],$A59,T_TTAFStock[WeekIndex],85)&gt;0)&gt;0,SUMIFS(T_SelfStock[Self_Qty],T_SelfStock[RM_Code],$A59,T_SelfStock[WeekIndex],85)+SUMIFS(T_TTAFStock[TTAF_Qty],T_TTAFStock[RM_Code],$A59,T_TTAFStock[WeekIndex],85),CG59+'Grid_Incoming'!CH59-'Grid_Requirement'!CH59))</f>
        <v/>
      </c>
      <c r="CI59">
        <f>IF(COUNTIFS(T_StockCount[RM_Code],$A59,T_StockCount[WeekIndex],86)&gt;0,SUMIFS(T_StockCount[CountedQty],T_StockCount[RM_Code],$A59,T_StockCount[WeekIndex],86),IF((COUNTIFS(T_SelfStock[RM_Code],$A59,T_SelfStock[WeekIndex],86)&gt;0)*(COUNTIFS(T_TTAFStock[RM_Code],$A59,T_TTAFStock[WeekIndex],86)&gt;0)&gt;0,SUMIFS(T_SelfStock[Self_Qty],T_SelfStock[RM_Code],$A59,T_SelfStock[WeekIndex],86)+SUMIFS(T_TTAFStock[TTAF_Qty],T_TTAFStock[RM_Code],$A59,T_TTAFStock[WeekIndex],86),CH59+'Grid_Incoming'!CI59-'Grid_Requirement'!CI59))</f>
        <v/>
      </c>
      <c r="CJ59">
        <f>IF(COUNTIFS(T_StockCount[RM_Code],$A59,T_StockCount[WeekIndex],87)&gt;0,SUMIFS(T_StockCount[CountedQty],T_StockCount[RM_Code],$A59,T_StockCount[WeekIndex],87),IF((COUNTIFS(T_SelfStock[RM_Code],$A59,T_SelfStock[WeekIndex],87)&gt;0)*(COUNTIFS(T_TTAFStock[RM_Code],$A59,T_TTAFStock[WeekIndex],87)&gt;0)&gt;0,SUMIFS(T_SelfStock[Self_Qty],T_SelfStock[RM_Code],$A59,T_SelfStock[WeekIndex],87)+SUMIFS(T_TTAFStock[TTAF_Qty],T_TTAFStock[RM_Code],$A59,T_TTAFStock[WeekIndex],87),CI59+'Grid_Incoming'!CJ59-'Grid_Requirement'!CJ59))</f>
        <v/>
      </c>
      <c r="CK59">
        <f>IF(COUNTIFS(T_StockCount[RM_Code],$A59,T_StockCount[WeekIndex],88)&gt;0,SUMIFS(T_StockCount[CountedQty],T_StockCount[RM_Code],$A59,T_StockCount[WeekIndex],88),IF((COUNTIFS(T_SelfStock[RM_Code],$A59,T_SelfStock[WeekIndex],88)&gt;0)*(COUNTIFS(T_TTAFStock[RM_Code],$A59,T_TTAFStock[WeekIndex],88)&gt;0)&gt;0,SUMIFS(T_SelfStock[Self_Qty],T_SelfStock[RM_Code],$A59,T_SelfStock[WeekIndex],88)+SUMIFS(T_TTAFStock[TTAF_Qty],T_TTAFStock[RM_Code],$A59,T_TTAFStock[WeekIndex],88),CJ59+'Grid_Incoming'!CK59-'Grid_Requirement'!CK59))</f>
        <v/>
      </c>
      <c r="CL59">
        <f>IF(COUNTIFS(T_StockCount[RM_Code],$A59,T_StockCount[WeekIndex],89)&gt;0,SUMIFS(T_StockCount[CountedQty],T_StockCount[RM_Code],$A59,T_StockCount[WeekIndex],89),IF((COUNTIFS(T_SelfStock[RM_Code],$A59,T_SelfStock[WeekIndex],89)&gt;0)*(COUNTIFS(T_TTAFStock[RM_Code],$A59,T_TTAFStock[WeekIndex],89)&gt;0)&gt;0,SUMIFS(T_SelfStock[Self_Qty],T_SelfStock[RM_Code],$A59,T_SelfStock[WeekIndex],89)+SUMIFS(T_TTAFStock[TTAF_Qty],T_TTAFStock[RM_Code],$A59,T_TTAFStock[WeekIndex],89),CK59+'Grid_Incoming'!CL59-'Grid_Requirement'!CL59))</f>
        <v/>
      </c>
      <c r="CM59">
        <f>IF(COUNTIFS(T_StockCount[RM_Code],$A59,T_StockCount[WeekIndex],90)&gt;0,SUMIFS(T_StockCount[CountedQty],T_StockCount[RM_Code],$A59,T_StockCount[WeekIndex],90),IF((COUNTIFS(T_SelfStock[RM_Code],$A59,T_SelfStock[WeekIndex],90)&gt;0)*(COUNTIFS(T_TTAFStock[RM_Code],$A59,T_TTAFStock[WeekIndex],90)&gt;0)&gt;0,SUMIFS(T_SelfStock[Self_Qty],T_SelfStock[RM_Code],$A59,T_SelfStock[WeekIndex],90)+SUMIFS(T_TTAFStock[TTAF_Qty],T_TTAFStock[RM_Code],$A59,T_TTAFStock[WeekIndex],90),CL59+'Grid_Incoming'!CM59-'Grid_Requirement'!CM59))</f>
        <v/>
      </c>
      <c r="CN59">
        <f>IF(COUNTIFS(T_StockCount[RM_Code],$A59,T_StockCount[WeekIndex],91)&gt;0,SUMIFS(T_StockCount[CountedQty],T_StockCount[RM_Code],$A59,T_StockCount[WeekIndex],91),IF((COUNTIFS(T_SelfStock[RM_Code],$A59,T_SelfStock[WeekIndex],91)&gt;0)*(COUNTIFS(T_TTAFStock[RM_Code],$A59,T_TTAFStock[WeekIndex],91)&gt;0)&gt;0,SUMIFS(T_SelfStock[Self_Qty],T_SelfStock[RM_Code],$A59,T_SelfStock[WeekIndex],91)+SUMIFS(T_TTAFStock[TTAF_Qty],T_TTAFStock[RM_Code],$A59,T_TTAFStock[WeekIndex],91),CM59+'Grid_Incoming'!CN59-'Grid_Requirement'!CN59))</f>
        <v/>
      </c>
      <c r="CO59">
        <f>IF(COUNTIFS(T_StockCount[RM_Code],$A59,T_StockCount[WeekIndex],92)&gt;0,SUMIFS(T_StockCount[CountedQty],T_StockCount[RM_Code],$A59,T_StockCount[WeekIndex],92),IF((COUNTIFS(T_SelfStock[RM_Code],$A59,T_SelfStock[WeekIndex],92)&gt;0)*(COUNTIFS(T_TTAFStock[RM_Code],$A59,T_TTAFStock[WeekIndex],92)&gt;0)&gt;0,SUMIFS(T_SelfStock[Self_Qty],T_SelfStock[RM_Code],$A59,T_SelfStock[WeekIndex],92)+SUMIFS(T_TTAFStock[TTAF_Qty],T_TTAFStock[RM_Code],$A59,T_TTAFStock[WeekIndex],92),CN59+'Grid_Incoming'!CO59-'Grid_Requirement'!CO59))</f>
        <v/>
      </c>
      <c r="CP59">
        <f>IF(COUNTIFS(T_StockCount[RM_Code],$A59,T_StockCount[WeekIndex],93)&gt;0,SUMIFS(T_StockCount[CountedQty],T_StockCount[RM_Code],$A59,T_StockCount[WeekIndex],93),IF((COUNTIFS(T_SelfStock[RM_Code],$A59,T_SelfStock[WeekIndex],93)&gt;0)*(COUNTIFS(T_TTAFStock[RM_Code],$A59,T_TTAFStock[WeekIndex],93)&gt;0)&gt;0,SUMIFS(T_SelfStock[Self_Qty],T_SelfStock[RM_Code],$A59,T_SelfStock[WeekIndex],93)+SUMIFS(T_TTAFStock[TTAF_Qty],T_TTAFStock[RM_Code],$A59,T_TTAFStock[WeekIndex],93),CO59+'Grid_Incoming'!CP59-'Grid_Requirement'!CP59))</f>
        <v/>
      </c>
      <c r="CQ59">
        <f>IF(COUNTIFS(T_StockCount[RM_Code],$A59,T_StockCount[WeekIndex],94)&gt;0,SUMIFS(T_StockCount[CountedQty],T_StockCount[RM_Code],$A59,T_StockCount[WeekIndex],94),IF((COUNTIFS(T_SelfStock[RM_Code],$A59,T_SelfStock[WeekIndex],94)&gt;0)*(COUNTIFS(T_TTAFStock[RM_Code],$A59,T_TTAFStock[WeekIndex],94)&gt;0)&gt;0,SUMIFS(T_SelfStock[Self_Qty],T_SelfStock[RM_Code],$A59,T_SelfStock[WeekIndex],94)+SUMIFS(T_TTAFStock[TTAF_Qty],T_TTAFStock[RM_Code],$A59,T_TTAFStock[WeekIndex],94),CP59+'Grid_Incoming'!CQ59-'Grid_Requirement'!CQ59))</f>
        <v/>
      </c>
      <c r="CR59">
        <f>IF(COUNTIFS(T_StockCount[RM_Code],$A59,T_StockCount[WeekIndex],95)&gt;0,SUMIFS(T_StockCount[CountedQty],T_StockCount[RM_Code],$A59,T_StockCount[WeekIndex],95),IF((COUNTIFS(T_SelfStock[RM_Code],$A59,T_SelfStock[WeekIndex],95)&gt;0)*(COUNTIFS(T_TTAFStock[RM_Code],$A59,T_TTAFStock[WeekIndex],95)&gt;0)&gt;0,SUMIFS(T_SelfStock[Self_Qty],T_SelfStock[RM_Code],$A59,T_SelfStock[WeekIndex],95)+SUMIFS(T_TTAFStock[TTAF_Qty],T_TTAFStock[RM_Code],$A59,T_TTAFStock[WeekIndex],95),CQ59+'Grid_Incoming'!CR59-'Grid_Requirement'!CR59))</f>
        <v/>
      </c>
      <c r="CS59">
        <f>IF(COUNTIFS(T_StockCount[RM_Code],$A59,T_StockCount[WeekIndex],96)&gt;0,SUMIFS(T_StockCount[CountedQty],T_StockCount[RM_Code],$A59,T_StockCount[WeekIndex],96),IF((COUNTIFS(T_SelfStock[RM_Code],$A59,T_SelfStock[WeekIndex],96)&gt;0)*(COUNTIFS(T_TTAFStock[RM_Code],$A59,T_TTAFStock[WeekIndex],96)&gt;0)&gt;0,SUMIFS(T_SelfStock[Self_Qty],T_SelfStock[RM_Code],$A59,T_SelfStock[WeekIndex],96)+SUMIFS(T_TTAFStock[TTAF_Qty],T_TTAFStock[RM_Code],$A59,T_TTAFStock[WeekIndex],96),CR59+'Grid_Incoming'!CS59-'Grid_Requirement'!CS59))</f>
        <v/>
      </c>
      <c r="CT59">
        <f>IF(COUNTIFS(T_StockCount[RM_Code],$A59,T_StockCount[WeekIndex],97)&gt;0,SUMIFS(T_StockCount[CountedQty],T_StockCount[RM_Code],$A59,T_StockCount[WeekIndex],97),IF((COUNTIFS(T_SelfStock[RM_Code],$A59,T_SelfStock[WeekIndex],97)&gt;0)*(COUNTIFS(T_TTAFStock[RM_Code],$A59,T_TTAFStock[WeekIndex],97)&gt;0)&gt;0,SUMIFS(T_SelfStock[Self_Qty],T_SelfStock[RM_Code],$A59,T_SelfStock[WeekIndex],97)+SUMIFS(T_TTAFStock[TTAF_Qty],T_TTAFStock[RM_Code],$A59,T_TTAFStock[WeekIndex],97),CS59+'Grid_Incoming'!CT59-'Grid_Requirement'!CT59))</f>
        <v/>
      </c>
      <c r="CU59">
        <f>IF(COUNTIFS(T_StockCount[RM_Code],$A59,T_StockCount[WeekIndex],98)&gt;0,SUMIFS(T_StockCount[CountedQty],T_StockCount[RM_Code],$A59,T_StockCount[WeekIndex],98),IF((COUNTIFS(T_SelfStock[RM_Code],$A59,T_SelfStock[WeekIndex],98)&gt;0)*(COUNTIFS(T_TTAFStock[RM_Code],$A59,T_TTAFStock[WeekIndex],98)&gt;0)&gt;0,SUMIFS(T_SelfStock[Self_Qty],T_SelfStock[RM_Code],$A59,T_SelfStock[WeekIndex],98)+SUMIFS(T_TTAFStock[TTAF_Qty],T_TTAFStock[RM_Code],$A59,T_TTAFStock[WeekIndex],98),CT59+'Grid_Incoming'!CU59-'Grid_Requirement'!CU59))</f>
        <v/>
      </c>
      <c r="CV59">
        <f>IF(COUNTIFS(T_StockCount[RM_Code],$A59,T_StockCount[WeekIndex],99)&gt;0,SUMIFS(T_StockCount[CountedQty],T_StockCount[RM_Code],$A59,T_StockCount[WeekIndex],99),IF((COUNTIFS(T_SelfStock[RM_Code],$A59,T_SelfStock[WeekIndex],99)&gt;0)*(COUNTIFS(T_TTAFStock[RM_Code],$A59,T_TTAFStock[WeekIndex],99)&gt;0)&gt;0,SUMIFS(T_SelfStock[Self_Qty],T_SelfStock[RM_Code],$A59,T_SelfStock[WeekIndex],99)+SUMIFS(T_TTAFStock[TTAF_Qty],T_TTAFStock[RM_Code],$A59,T_TTAFStock[WeekIndex],99),CU59+'Grid_Incoming'!CV59-'Grid_Requirement'!CV59))</f>
        <v/>
      </c>
      <c r="CW59">
        <f>IF(COUNTIFS(T_StockCount[RM_Code],$A59,T_StockCount[WeekIndex],100)&gt;0,SUMIFS(T_StockCount[CountedQty],T_StockCount[RM_Code],$A59,T_StockCount[WeekIndex],100),IF((COUNTIFS(T_SelfStock[RM_Code],$A59,T_SelfStock[WeekIndex],100)&gt;0)*(COUNTIFS(T_TTAFStock[RM_Code],$A59,T_TTAFStock[WeekIndex],100)&gt;0)&gt;0,SUMIFS(T_SelfStock[Self_Qty],T_SelfStock[RM_Code],$A59,T_SelfStock[WeekIndex],100)+SUMIFS(T_TTAFStock[TTAF_Qty],T_TTAFStock[RM_Code],$A59,T_TTAFStock[WeekIndex],100),CV59+'Grid_Incoming'!CW59-'Grid_Requirement'!CW59))</f>
        <v/>
      </c>
      <c r="CX59">
        <f>IF(COUNTIFS(T_StockCount[RM_Code],$A59,T_StockCount[WeekIndex],101)&gt;0,SUMIFS(T_StockCount[CountedQty],T_StockCount[RM_Code],$A59,T_StockCount[WeekIndex],101),IF((COUNTIFS(T_SelfStock[RM_Code],$A59,T_SelfStock[WeekIndex],101)&gt;0)*(COUNTIFS(T_TTAFStock[RM_Code],$A59,T_TTAFStock[WeekIndex],101)&gt;0)&gt;0,SUMIFS(T_SelfStock[Self_Qty],T_SelfStock[RM_Code],$A59,T_SelfStock[WeekIndex],101)+SUMIFS(T_TTAFStock[TTAF_Qty],T_TTAFStock[RM_Code],$A59,T_TTAFStock[WeekIndex],101),CW59+'Grid_Incoming'!CX59-'Grid_Requirement'!CX59))</f>
        <v/>
      </c>
      <c r="CY59">
        <f>IF(COUNTIFS(T_StockCount[RM_Code],$A59,T_StockCount[WeekIndex],102)&gt;0,SUMIFS(T_StockCount[CountedQty],T_StockCount[RM_Code],$A59,T_StockCount[WeekIndex],102),IF((COUNTIFS(T_SelfStock[RM_Code],$A59,T_SelfStock[WeekIndex],102)&gt;0)*(COUNTIFS(T_TTAFStock[RM_Code],$A59,T_TTAFStock[WeekIndex],102)&gt;0)&gt;0,SUMIFS(T_SelfStock[Self_Qty],T_SelfStock[RM_Code],$A59,T_SelfStock[WeekIndex],102)+SUMIFS(T_TTAFStock[TTAF_Qty],T_TTAFStock[RM_Code],$A59,T_TTAFStock[WeekIndex],102),CX59+'Grid_Incoming'!CY59-'Grid_Requirement'!CY59))</f>
        <v/>
      </c>
      <c r="CZ59">
        <f>IF(COUNTIFS(T_StockCount[RM_Code],$A59,T_StockCount[WeekIndex],103)&gt;0,SUMIFS(T_StockCount[CountedQty],T_StockCount[RM_Code],$A59,T_StockCount[WeekIndex],103),IF((COUNTIFS(T_SelfStock[RM_Code],$A59,T_SelfStock[WeekIndex],103)&gt;0)*(COUNTIFS(T_TTAFStock[RM_Code],$A59,T_TTAFStock[WeekIndex],103)&gt;0)&gt;0,SUMIFS(T_SelfStock[Self_Qty],T_SelfStock[RM_Code],$A59,T_SelfStock[WeekIndex],103)+SUMIFS(T_TTAFStock[TTAF_Qty],T_TTAFStock[RM_Code],$A59,T_TTAFStock[WeekIndex],103),CY59+'Grid_Incoming'!CZ59-'Grid_Requirement'!CZ59))</f>
        <v/>
      </c>
      <c r="DA59">
        <f>IF(COUNTIFS(T_StockCount[RM_Code],$A59,T_StockCount[WeekIndex],104)&gt;0,SUMIFS(T_StockCount[CountedQty],T_StockCount[RM_Code],$A59,T_StockCount[WeekIndex],104),IF((COUNTIFS(T_SelfStock[RM_Code],$A59,T_SelfStock[WeekIndex],104)&gt;0)*(COUNTIFS(T_TTAFStock[RM_Code],$A59,T_TTAFStock[WeekIndex],104)&gt;0)&gt;0,SUMIFS(T_SelfStock[Self_Qty],T_SelfStock[RM_Code],$A59,T_SelfStock[WeekIndex],104)+SUMIFS(T_TTAFStock[TTAF_Qty],T_TTAFStock[RM_Code],$A59,T_TTAFStock[WeekIndex],104),CZ59+'Grid_Incoming'!DA59-'Grid_Requirement'!DA59))</f>
        <v/>
      </c>
    </row>
    <row r="60">
      <c r="A60" t="inlineStr">
        <is>
          <t>CHEM-1020</t>
        </is>
      </c>
      <c r="B60">
        <f>IF(COUNTIFS(T_StockCount[RM_Code],$A60,T_StockCount[WeekIndex],1)&gt;0,SUMIFS(T_StockCount[CountedQty],T_StockCount[RM_Code],$A60,T_StockCount[WeekIndex],1),IF((COUNTIFS(T_SelfStock[RM_Code],$A60,T_SelfStock[WeekIndex],1)&gt;0)*(COUNTIFS(T_TTAFStock[RM_Code],$A60,T_TTAFStock[WeekIndex],1)&gt;0)&gt;0,SUMIFS(T_SelfStock[Self_Qty],T_SelfStock[RM_Code],$A60,T_SelfStock[WeekIndex],1)+SUMIFS(T_TTAFStock[TTAF_Qty],T_TTAFStock[RM_Code],$A60,T_TTAFStock[WeekIndex],1),IFERROR(INDEX(T_OpeningStock[Opening_Qty],MATCH($A60,T_OpeningStock[RM_Code],0)),0)+'Grid_Incoming'!B60-'Grid_Requirement'!B60))</f>
        <v/>
      </c>
      <c r="C60">
        <f>IF(COUNTIFS(T_StockCount[RM_Code],$A60,T_StockCount[WeekIndex],2)&gt;0,SUMIFS(T_StockCount[CountedQty],T_StockCount[RM_Code],$A60,T_StockCount[WeekIndex],2),IF((COUNTIFS(T_SelfStock[RM_Code],$A60,T_SelfStock[WeekIndex],2)&gt;0)*(COUNTIFS(T_TTAFStock[RM_Code],$A60,T_TTAFStock[WeekIndex],2)&gt;0)&gt;0,SUMIFS(T_SelfStock[Self_Qty],T_SelfStock[RM_Code],$A60,T_SelfStock[WeekIndex],2)+SUMIFS(T_TTAFStock[TTAF_Qty],T_TTAFStock[RM_Code],$A60,T_TTAFStock[WeekIndex],2),B60+'Grid_Incoming'!C60-'Grid_Requirement'!C60))</f>
        <v/>
      </c>
      <c r="D60">
        <f>IF(COUNTIFS(T_StockCount[RM_Code],$A60,T_StockCount[WeekIndex],3)&gt;0,SUMIFS(T_StockCount[CountedQty],T_StockCount[RM_Code],$A60,T_StockCount[WeekIndex],3),IF((COUNTIFS(T_SelfStock[RM_Code],$A60,T_SelfStock[WeekIndex],3)&gt;0)*(COUNTIFS(T_TTAFStock[RM_Code],$A60,T_TTAFStock[WeekIndex],3)&gt;0)&gt;0,SUMIFS(T_SelfStock[Self_Qty],T_SelfStock[RM_Code],$A60,T_SelfStock[WeekIndex],3)+SUMIFS(T_TTAFStock[TTAF_Qty],T_TTAFStock[RM_Code],$A60,T_TTAFStock[WeekIndex],3),C60+'Grid_Incoming'!D60-'Grid_Requirement'!D60))</f>
        <v/>
      </c>
      <c r="E60">
        <f>IF(COUNTIFS(T_StockCount[RM_Code],$A60,T_StockCount[WeekIndex],4)&gt;0,SUMIFS(T_StockCount[CountedQty],T_StockCount[RM_Code],$A60,T_StockCount[WeekIndex],4),IF((COUNTIFS(T_SelfStock[RM_Code],$A60,T_SelfStock[WeekIndex],4)&gt;0)*(COUNTIFS(T_TTAFStock[RM_Code],$A60,T_TTAFStock[WeekIndex],4)&gt;0)&gt;0,SUMIFS(T_SelfStock[Self_Qty],T_SelfStock[RM_Code],$A60,T_SelfStock[WeekIndex],4)+SUMIFS(T_TTAFStock[TTAF_Qty],T_TTAFStock[RM_Code],$A60,T_TTAFStock[WeekIndex],4),D60+'Grid_Incoming'!E60-'Grid_Requirement'!E60))</f>
        <v/>
      </c>
      <c r="F60">
        <f>IF(COUNTIFS(T_StockCount[RM_Code],$A60,T_StockCount[WeekIndex],5)&gt;0,SUMIFS(T_StockCount[CountedQty],T_StockCount[RM_Code],$A60,T_StockCount[WeekIndex],5),IF((COUNTIFS(T_SelfStock[RM_Code],$A60,T_SelfStock[WeekIndex],5)&gt;0)*(COUNTIFS(T_TTAFStock[RM_Code],$A60,T_TTAFStock[WeekIndex],5)&gt;0)&gt;0,SUMIFS(T_SelfStock[Self_Qty],T_SelfStock[RM_Code],$A60,T_SelfStock[WeekIndex],5)+SUMIFS(T_TTAFStock[TTAF_Qty],T_TTAFStock[RM_Code],$A60,T_TTAFStock[WeekIndex],5),E60+'Grid_Incoming'!F60-'Grid_Requirement'!F60))</f>
        <v/>
      </c>
      <c r="G60">
        <f>IF(COUNTIFS(T_StockCount[RM_Code],$A60,T_StockCount[WeekIndex],6)&gt;0,SUMIFS(T_StockCount[CountedQty],T_StockCount[RM_Code],$A60,T_StockCount[WeekIndex],6),IF((COUNTIFS(T_SelfStock[RM_Code],$A60,T_SelfStock[WeekIndex],6)&gt;0)*(COUNTIFS(T_TTAFStock[RM_Code],$A60,T_TTAFStock[WeekIndex],6)&gt;0)&gt;0,SUMIFS(T_SelfStock[Self_Qty],T_SelfStock[RM_Code],$A60,T_SelfStock[WeekIndex],6)+SUMIFS(T_TTAFStock[TTAF_Qty],T_TTAFStock[RM_Code],$A60,T_TTAFStock[WeekIndex],6),F60+'Grid_Incoming'!G60-'Grid_Requirement'!G60))</f>
        <v/>
      </c>
      <c r="H60">
        <f>IF(COUNTIFS(T_StockCount[RM_Code],$A60,T_StockCount[WeekIndex],7)&gt;0,SUMIFS(T_StockCount[CountedQty],T_StockCount[RM_Code],$A60,T_StockCount[WeekIndex],7),IF((COUNTIFS(T_SelfStock[RM_Code],$A60,T_SelfStock[WeekIndex],7)&gt;0)*(COUNTIFS(T_TTAFStock[RM_Code],$A60,T_TTAFStock[WeekIndex],7)&gt;0)&gt;0,SUMIFS(T_SelfStock[Self_Qty],T_SelfStock[RM_Code],$A60,T_SelfStock[WeekIndex],7)+SUMIFS(T_TTAFStock[TTAF_Qty],T_TTAFStock[RM_Code],$A60,T_TTAFStock[WeekIndex],7),G60+'Grid_Incoming'!H60-'Grid_Requirement'!H60))</f>
        <v/>
      </c>
      <c r="I60">
        <f>IF(COUNTIFS(T_StockCount[RM_Code],$A60,T_StockCount[WeekIndex],8)&gt;0,SUMIFS(T_StockCount[CountedQty],T_StockCount[RM_Code],$A60,T_StockCount[WeekIndex],8),IF((COUNTIFS(T_SelfStock[RM_Code],$A60,T_SelfStock[WeekIndex],8)&gt;0)*(COUNTIFS(T_TTAFStock[RM_Code],$A60,T_TTAFStock[WeekIndex],8)&gt;0)&gt;0,SUMIFS(T_SelfStock[Self_Qty],T_SelfStock[RM_Code],$A60,T_SelfStock[WeekIndex],8)+SUMIFS(T_TTAFStock[TTAF_Qty],T_TTAFStock[RM_Code],$A60,T_TTAFStock[WeekIndex],8),H60+'Grid_Incoming'!I60-'Grid_Requirement'!I60))</f>
        <v/>
      </c>
      <c r="J60">
        <f>IF(COUNTIFS(T_StockCount[RM_Code],$A60,T_StockCount[WeekIndex],9)&gt;0,SUMIFS(T_StockCount[CountedQty],T_StockCount[RM_Code],$A60,T_StockCount[WeekIndex],9),IF((COUNTIFS(T_SelfStock[RM_Code],$A60,T_SelfStock[WeekIndex],9)&gt;0)*(COUNTIFS(T_TTAFStock[RM_Code],$A60,T_TTAFStock[WeekIndex],9)&gt;0)&gt;0,SUMIFS(T_SelfStock[Self_Qty],T_SelfStock[RM_Code],$A60,T_SelfStock[WeekIndex],9)+SUMIFS(T_TTAFStock[TTAF_Qty],T_TTAFStock[RM_Code],$A60,T_TTAFStock[WeekIndex],9),I60+'Grid_Incoming'!J60-'Grid_Requirement'!J60))</f>
        <v/>
      </c>
      <c r="K60">
        <f>IF(COUNTIFS(T_StockCount[RM_Code],$A60,T_StockCount[WeekIndex],10)&gt;0,SUMIFS(T_StockCount[CountedQty],T_StockCount[RM_Code],$A60,T_StockCount[WeekIndex],10),IF((COUNTIFS(T_SelfStock[RM_Code],$A60,T_SelfStock[WeekIndex],10)&gt;0)*(COUNTIFS(T_TTAFStock[RM_Code],$A60,T_TTAFStock[WeekIndex],10)&gt;0)&gt;0,SUMIFS(T_SelfStock[Self_Qty],T_SelfStock[RM_Code],$A60,T_SelfStock[WeekIndex],10)+SUMIFS(T_TTAFStock[TTAF_Qty],T_TTAFStock[RM_Code],$A60,T_TTAFStock[WeekIndex],10),J60+'Grid_Incoming'!K60-'Grid_Requirement'!K60))</f>
        <v/>
      </c>
      <c r="L60">
        <f>IF(COUNTIFS(T_StockCount[RM_Code],$A60,T_StockCount[WeekIndex],11)&gt;0,SUMIFS(T_StockCount[CountedQty],T_StockCount[RM_Code],$A60,T_StockCount[WeekIndex],11),IF((COUNTIFS(T_SelfStock[RM_Code],$A60,T_SelfStock[WeekIndex],11)&gt;0)*(COUNTIFS(T_TTAFStock[RM_Code],$A60,T_TTAFStock[WeekIndex],11)&gt;0)&gt;0,SUMIFS(T_SelfStock[Self_Qty],T_SelfStock[RM_Code],$A60,T_SelfStock[WeekIndex],11)+SUMIFS(T_TTAFStock[TTAF_Qty],T_TTAFStock[RM_Code],$A60,T_TTAFStock[WeekIndex],11),K60+'Grid_Incoming'!L60-'Grid_Requirement'!L60))</f>
        <v/>
      </c>
      <c r="M60">
        <f>IF(COUNTIFS(T_StockCount[RM_Code],$A60,T_StockCount[WeekIndex],12)&gt;0,SUMIFS(T_StockCount[CountedQty],T_StockCount[RM_Code],$A60,T_StockCount[WeekIndex],12),IF((COUNTIFS(T_SelfStock[RM_Code],$A60,T_SelfStock[WeekIndex],12)&gt;0)*(COUNTIFS(T_TTAFStock[RM_Code],$A60,T_TTAFStock[WeekIndex],12)&gt;0)&gt;0,SUMIFS(T_SelfStock[Self_Qty],T_SelfStock[RM_Code],$A60,T_SelfStock[WeekIndex],12)+SUMIFS(T_TTAFStock[TTAF_Qty],T_TTAFStock[RM_Code],$A60,T_TTAFStock[WeekIndex],12),L60+'Grid_Incoming'!M60-'Grid_Requirement'!M60))</f>
        <v/>
      </c>
      <c r="N60">
        <f>IF(COUNTIFS(T_StockCount[RM_Code],$A60,T_StockCount[WeekIndex],13)&gt;0,SUMIFS(T_StockCount[CountedQty],T_StockCount[RM_Code],$A60,T_StockCount[WeekIndex],13),IF((COUNTIFS(T_SelfStock[RM_Code],$A60,T_SelfStock[WeekIndex],13)&gt;0)*(COUNTIFS(T_TTAFStock[RM_Code],$A60,T_TTAFStock[WeekIndex],13)&gt;0)&gt;0,SUMIFS(T_SelfStock[Self_Qty],T_SelfStock[RM_Code],$A60,T_SelfStock[WeekIndex],13)+SUMIFS(T_TTAFStock[TTAF_Qty],T_TTAFStock[RM_Code],$A60,T_TTAFStock[WeekIndex],13),M60+'Grid_Incoming'!N60-'Grid_Requirement'!N60))</f>
        <v/>
      </c>
      <c r="O60">
        <f>IF(COUNTIFS(T_StockCount[RM_Code],$A60,T_StockCount[WeekIndex],14)&gt;0,SUMIFS(T_StockCount[CountedQty],T_StockCount[RM_Code],$A60,T_StockCount[WeekIndex],14),IF((COUNTIFS(T_SelfStock[RM_Code],$A60,T_SelfStock[WeekIndex],14)&gt;0)*(COUNTIFS(T_TTAFStock[RM_Code],$A60,T_TTAFStock[WeekIndex],14)&gt;0)&gt;0,SUMIFS(T_SelfStock[Self_Qty],T_SelfStock[RM_Code],$A60,T_SelfStock[WeekIndex],14)+SUMIFS(T_TTAFStock[TTAF_Qty],T_TTAFStock[RM_Code],$A60,T_TTAFStock[WeekIndex],14),N60+'Grid_Incoming'!O60-'Grid_Requirement'!O60))</f>
        <v/>
      </c>
      <c r="P60">
        <f>IF(COUNTIFS(T_StockCount[RM_Code],$A60,T_StockCount[WeekIndex],15)&gt;0,SUMIFS(T_StockCount[CountedQty],T_StockCount[RM_Code],$A60,T_StockCount[WeekIndex],15),IF((COUNTIFS(T_SelfStock[RM_Code],$A60,T_SelfStock[WeekIndex],15)&gt;0)*(COUNTIFS(T_TTAFStock[RM_Code],$A60,T_TTAFStock[WeekIndex],15)&gt;0)&gt;0,SUMIFS(T_SelfStock[Self_Qty],T_SelfStock[RM_Code],$A60,T_SelfStock[WeekIndex],15)+SUMIFS(T_TTAFStock[TTAF_Qty],T_TTAFStock[RM_Code],$A60,T_TTAFStock[WeekIndex],15),O60+'Grid_Incoming'!P60-'Grid_Requirement'!P60))</f>
        <v/>
      </c>
      <c r="Q60">
        <f>IF(COUNTIFS(T_StockCount[RM_Code],$A60,T_StockCount[WeekIndex],16)&gt;0,SUMIFS(T_StockCount[CountedQty],T_StockCount[RM_Code],$A60,T_StockCount[WeekIndex],16),IF((COUNTIFS(T_SelfStock[RM_Code],$A60,T_SelfStock[WeekIndex],16)&gt;0)*(COUNTIFS(T_TTAFStock[RM_Code],$A60,T_TTAFStock[WeekIndex],16)&gt;0)&gt;0,SUMIFS(T_SelfStock[Self_Qty],T_SelfStock[RM_Code],$A60,T_SelfStock[WeekIndex],16)+SUMIFS(T_TTAFStock[TTAF_Qty],T_TTAFStock[RM_Code],$A60,T_TTAFStock[WeekIndex],16),P60+'Grid_Incoming'!Q60-'Grid_Requirement'!Q60))</f>
        <v/>
      </c>
      <c r="R60">
        <f>IF(COUNTIFS(T_StockCount[RM_Code],$A60,T_StockCount[WeekIndex],17)&gt;0,SUMIFS(T_StockCount[CountedQty],T_StockCount[RM_Code],$A60,T_StockCount[WeekIndex],17),IF((COUNTIFS(T_SelfStock[RM_Code],$A60,T_SelfStock[WeekIndex],17)&gt;0)*(COUNTIFS(T_TTAFStock[RM_Code],$A60,T_TTAFStock[WeekIndex],17)&gt;0)&gt;0,SUMIFS(T_SelfStock[Self_Qty],T_SelfStock[RM_Code],$A60,T_SelfStock[WeekIndex],17)+SUMIFS(T_TTAFStock[TTAF_Qty],T_TTAFStock[RM_Code],$A60,T_TTAFStock[WeekIndex],17),Q60+'Grid_Incoming'!R60-'Grid_Requirement'!R60))</f>
        <v/>
      </c>
      <c r="S60">
        <f>IF(COUNTIFS(T_StockCount[RM_Code],$A60,T_StockCount[WeekIndex],18)&gt;0,SUMIFS(T_StockCount[CountedQty],T_StockCount[RM_Code],$A60,T_StockCount[WeekIndex],18),IF((COUNTIFS(T_SelfStock[RM_Code],$A60,T_SelfStock[WeekIndex],18)&gt;0)*(COUNTIFS(T_TTAFStock[RM_Code],$A60,T_TTAFStock[WeekIndex],18)&gt;0)&gt;0,SUMIFS(T_SelfStock[Self_Qty],T_SelfStock[RM_Code],$A60,T_SelfStock[WeekIndex],18)+SUMIFS(T_TTAFStock[TTAF_Qty],T_TTAFStock[RM_Code],$A60,T_TTAFStock[WeekIndex],18),R60+'Grid_Incoming'!S60-'Grid_Requirement'!S60))</f>
        <v/>
      </c>
      <c r="T60">
        <f>IF(COUNTIFS(T_StockCount[RM_Code],$A60,T_StockCount[WeekIndex],19)&gt;0,SUMIFS(T_StockCount[CountedQty],T_StockCount[RM_Code],$A60,T_StockCount[WeekIndex],19),IF((COUNTIFS(T_SelfStock[RM_Code],$A60,T_SelfStock[WeekIndex],19)&gt;0)*(COUNTIFS(T_TTAFStock[RM_Code],$A60,T_TTAFStock[WeekIndex],19)&gt;0)&gt;0,SUMIFS(T_SelfStock[Self_Qty],T_SelfStock[RM_Code],$A60,T_SelfStock[WeekIndex],19)+SUMIFS(T_TTAFStock[TTAF_Qty],T_TTAFStock[RM_Code],$A60,T_TTAFStock[WeekIndex],19),S60+'Grid_Incoming'!T60-'Grid_Requirement'!T60))</f>
        <v/>
      </c>
      <c r="U60">
        <f>IF(COUNTIFS(T_StockCount[RM_Code],$A60,T_StockCount[WeekIndex],20)&gt;0,SUMIFS(T_StockCount[CountedQty],T_StockCount[RM_Code],$A60,T_StockCount[WeekIndex],20),IF((COUNTIFS(T_SelfStock[RM_Code],$A60,T_SelfStock[WeekIndex],20)&gt;0)*(COUNTIFS(T_TTAFStock[RM_Code],$A60,T_TTAFStock[WeekIndex],20)&gt;0)&gt;0,SUMIFS(T_SelfStock[Self_Qty],T_SelfStock[RM_Code],$A60,T_SelfStock[WeekIndex],20)+SUMIFS(T_TTAFStock[TTAF_Qty],T_TTAFStock[RM_Code],$A60,T_TTAFStock[WeekIndex],20),T60+'Grid_Incoming'!U60-'Grid_Requirement'!U60))</f>
        <v/>
      </c>
      <c r="V60">
        <f>IF(COUNTIFS(T_StockCount[RM_Code],$A60,T_StockCount[WeekIndex],21)&gt;0,SUMIFS(T_StockCount[CountedQty],T_StockCount[RM_Code],$A60,T_StockCount[WeekIndex],21),IF((COUNTIFS(T_SelfStock[RM_Code],$A60,T_SelfStock[WeekIndex],21)&gt;0)*(COUNTIFS(T_TTAFStock[RM_Code],$A60,T_TTAFStock[WeekIndex],21)&gt;0)&gt;0,SUMIFS(T_SelfStock[Self_Qty],T_SelfStock[RM_Code],$A60,T_SelfStock[WeekIndex],21)+SUMIFS(T_TTAFStock[TTAF_Qty],T_TTAFStock[RM_Code],$A60,T_TTAFStock[WeekIndex],21),U60+'Grid_Incoming'!V60-'Grid_Requirement'!V60))</f>
        <v/>
      </c>
      <c r="W60">
        <f>IF(COUNTIFS(T_StockCount[RM_Code],$A60,T_StockCount[WeekIndex],22)&gt;0,SUMIFS(T_StockCount[CountedQty],T_StockCount[RM_Code],$A60,T_StockCount[WeekIndex],22),IF((COUNTIFS(T_SelfStock[RM_Code],$A60,T_SelfStock[WeekIndex],22)&gt;0)*(COUNTIFS(T_TTAFStock[RM_Code],$A60,T_TTAFStock[WeekIndex],22)&gt;0)&gt;0,SUMIFS(T_SelfStock[Self_Qty],T_SelfStock[RM_Code],$A60,T_SelfStock[WeekIndex],22)+SUMIFS(T_TTAFStock[TTAF_Qty],T_TTAFStock[RM_Code],$A60,T_TTAFStock[WeekIndex],22),V60+'Grid_Incoming'!W60-'Grid_Requirement'!W60))</f>
        <v/>
      </c>
      <c r="X60">
        <f>IF(COUNTIFS(T_StockCount[RM_Code],$A60,T_StockCount[WeekIndex],23)&gt;0,SUMIFS(T_StockCount[CountedQty],T_StockCount[RM_Code],$A60,T_StockCount[WeekIndex],23),IF((COUNTIFS(T_SelfStock[RM_Code],$A60,T_SelfStock[WeekIndex],23)&gt;0)*(COUNTIFS(T_TTAFStock[RM_Code],$A60,T_TTAFStock[WeekIndex],23)&gt;0)&gt;0,SUMIFS(T_SelfStock[Self_Qty],T_SelfStock[RM_Code],$A60,T_SelfStock[WeekIndex],23)+SUMIFS(T_TTAFStock[TTAF_Qty],T_TTAFStock[RM_Code],$A60,T_TTAFStock[WeekIndex],23),W60+'Grid_Incoming'!X60-'Grid_Requirement'!X60))</f>
        <v/>
      </c>
      <c r="Y60">
        <f>IF(COUNTIFS(T_StockCount[RM_Code],$A60,T_StockCount[WeekIndex],24)&gt;0,SUMIFS(T_StockCount[CountedQty],T_StockCount[RM_Code],$A60,T_StockCount[WeekIndex],24),IF((COUNTIFS(T_SelfStock[RM_Code],$A60,T_SelfStock[WeekIndex],24)&gt;0)*(COUNTIFS(T_TTAFStock[RM_Code],$A60,T_TTAFStock[WeekIndex],24)&gt;0)&gt;0,SUMIFS(T_SelfStock[Self_Qty],T_SelfStock[RM_Code],$A60,T_SelfStock[WeekIndex],24)+SUMIFS(T_TTAFStock[TTAF_Qty],T_TTAFStock[RM_Code],$A60,T_TTAFStock[WeekIndex],24),X60+'Grid_Incoming'!Y60-'Grid_Requirement'!Y60))</f>
        <v/>
      </c>
      <c r="Z60">
        <f>IF(COUNTIFS(T_StockCount[RM_Code],$A60,T_StockCount[WeekIndex],25)&gt;0,SUMIFS(T_StockCount[CountedQty],T_StockCount[RM_Code],$A60,T_StockCount[WeekIndex],25),IF((COUNTIFS(T_SelfStock[RM_Code],$A60,T_SelfStock[WeekIndex],25)&gt;0)*(COUNTIFS(T_TTAFStock[RM_Code],$A60,T_TTAFStock[WeekIndex],25)&gt;0)&gt;0,SUMIFS(T_SelfStock[Self_Qty],T_SelfStock[RM_Code],$A60,T_SelfStock[WeekIndex],25)+SUMIFS(T_TTAFStock[TTAF_Qty],T_TTAFStock[RM_Code],$A60,T_TTAFStock[WeekIndex],25),Y60+'Grid_Incoming'!Z60-'Grid_Requirement'!Z60))</f>
        <v/>
      </c>
      <c r="AA60">
        <f>IF(COUNTIFS(T_StockCount[RM_Code],$A60,T_StockCount[WeekIndex],26)&gt;0,SUMIFS(T_StockCount[CountedQty],T_StockCount[RM_Code],$A60,T_StockCount[WeekIndex],26),IF((COUNTIFS(T_SelfStock[RM_Code],$A60,T_SelfStock[WeekIndex],26)&gt;0)*(COUNTIFS(T_TTAFStock[RM_Code],$A60,T_TTAFStock[WeekIndex],26)&gt;0)&gt;0,SUMIFS(T_SelfStock[Self_Qty],T_SelfStock[RM_Code],$A60,T_SelfStock[WeekIndex],26)+SUMIFS(T_TTAFStock[TTAF_Qty],T_TTAFStock[RM_Code],$A60,T_TTAFStock[WeekIndex],26),Z60+'Grid_Incoming'!AA60-'Grid_Requirement'!AA60))</f>
        <v/>
      </c>
      <c r="AB60">
        <f>IF(COUNTIFS(T_StockCount[RM_Code],$A60,T_StockCount[WeekIndex],27)&gt;0,SUMIFS(T_StockCount[CountedQty],T_StockCount[RM_Code],$A60,T_StockCount[WeekIndex],27),IF((COUNTIFS(T_SelfStock[RM_Code],$A60,T_SelfStock[WeekIndex],27)&gt;0)*(COUNTIFS(T_TTAFStock[RM_Code],$A60,T_TTAFStock[WeekIndex],27)&gt;0)&gt;0,SUMIFS(T_SelfStock[Self_Qty],T_SelfStock[RM_Code],$A60,T_SelfStock[WeekIndex],27)+SUMIFS(T_TTAFStock[TTAF_Qty],T_TTAFStock[RM_Code],$A60,T_TTAFStock[WeekIndex],27),AA60+'Grid_Incoming'!AB60-'Grid_Requirement'!AB60))</f>
        <v/>
      </c>
      <c r="AC60">
        <f>IF(COUNTIFS(T_StockCount[RM_Code],$A60,T_StockCount[WeekIndex],28)&gt;0,SUMIFS(T_StockCount[CountedQty],T_StockCount[RM_Code],$A60,T_StockCount[WeekIndex],28),IF((COUNTIFS(T_SelfStock[RM_Code],$A60,T_SelfStock[WeekIndex],28)&gt;0)*(COUNTIFS(T_TTAFStock[RM_Code],$A60,T_TTAFStock[WeekIndex],28)&gt;0)&gt;0,SUMIFS(T_SelfStock[Self_Qty],T_SelfStock[RM_Code],$A60,T_SelfStock[WeekIndex],28)+SUMIFS(T_TTAFStock[TTAF_Qty],T_TTAFStock[RM_Code],$A60,T_TTAFStock[WeekIndex],28),AB60+'Grid_Incoming'!AC60-'Grid_Requirement'!AC60))</f>
        <v/>
      </c>
      <c r="AD60">
        <f>IF(COUNTIFS(T_StockCount[RM_Code],$A60,T_StockCount[WeekIndex],29)&gt;0,SUMIFS(T_StockCount[CountedQty],T_StockCount[RM_Code],$A60,T_StockCount[WeekIndex],29),IF((COUNTIFS(T_SelfStock[RM_Code],$A60,T_SelfStock[WeekIndex],29)&gt;0)*(COUNTIFS(T_TTAFStock[RM_Code],$A60,T_TTAFStock[WeekIndex],29)&gt;0)&gt;0,SUMIFS(T_SelfStock[Self_Qty],T_SelfStock[RM_Code],$A60,T_SelfStock[WeekIndex],29)+SUMIFS(T_TTAFStock[TTAF_Qty],T_TTAFStock[RM_Code],$A60,T_TTAFStock[WeekIndex],29),AC60+'Grid_Incoming'!AD60-'Grid_Requirement'!AD60))</f>
        <v/>
      </c>
      <c r="AE60">
        <f>IF(COUNTIFS(T_StockCount[RM_Code],$A60,T_StockCount[WeekIndex],30)&gt;0,SUMIFS(T_StockCount[CountedQty],T_StockCount[RM_Code],$A60,T_StockCount[WeekIndex],30),IF((COUNTIFS(T_SelfStock[RM_Code],$A60,T_SelfStock[WeekIndex],30)&gt;0)*(COUNTIFS(T_TTAFStock[RM_Code],$A60,T_TTAFStock[WeekIndex],30)&gt;0)&gt;0,SUMIFS(T_SelfStock[Self_Qty],T_SelfStock[RM_Code],$A60,T_SelfStock[WeekIndex],30)+SUMIFS(T_TTAFStock[TTAF_Qty],T_TTAFStock[RM_Code],$A60,T_TTAFStock[WeekIndex],30),AD60+'Grid_Incoming'!AE60-'Grid_Requirement'!AE60))</f>
        <v/>
      </c>
      <c r="AF60">
        <f>IF(COUNTIFS(T_StockCount[RM_Code],$A60,T_StockCount[WeekIndex],31)&gt;0,SUMIFS(T_StockCount[CountedQty],T_StockCount[RM_Code],$A60,T_StockCount[WeekIndex],31),IF((COUNTIFS(T_SelfStock[RM_Code],$A60,T_SelfStock[WeekIndex],31)&gt;0)*(COUNTIFS(T_TTAFStock[RM_Code],$A60,T_TTAFStock[WeekIndex],31)&gt;0)&gt;0,SUMIFS(T_SelfStock[Self_Qty],T_SelfStock[RM_Code],$A60,T_SelfStock[WeekIndex],31)+SUMIFS(T_TTAFStock[TTAF_Qty],T_TTAFStock[RM_Code],$A60,T_TTAFStock[WeekIndex],31),AE60+'Grid_Incoming'!AF60-'Grid_Requirement'!AF60))</f>
        <v/>
      </c>
      <c r="AG60">
        <f>IF(COUNTIFS(T_StockCount[RM_Code],$A60,T_StockCount[WeekIndex],32)&gt;0,SUMIFS(T_StockCount[CountedQty],T_StockCount[RM_Code],$A60,T_StockCount[WeekIndex],32),IF((COUNTIFS(T_SelfStock[RM_Code],$A60,T_SelfStock[WeekIndex],32)&gt;0)*(COUNTIFS(T_TTAFStock[RM_Code],$A60,T_TTAFStock[WeekIndex],32)&gt;0)&gt;0,SUMIFS(T_SelfStock[Self_Qty],T_SelfStock[RM_Code],$A60,T_SelfStock[WeekIndex],32)+SUMIFS(T_TTAFStock[TTAF_Qty],T_TTAFStock[RM_Code],$A60,T_TTAFStock[WeekIndex],32),AF60+'Grid_Incoming'!AG60-'Grid_Requirement'!AG60))</f>
        <v/>
      </c>
      <c r="AH60">
        <f>IF(COUNTIFS(T_StockCount[RM_Code],$A60,T_StockCount[WeekIndex],33)&gt;0,SUMIFS(T_StockCount[CountedQty],T_StockCount[RM_Code],$A60,T_StockCount[WeekIndex],33),IF((COUNTIFS(T_SelfStock[RM_Code],$A60,T_SelfStock[WeekIndex],33)&gt;0)*(COUNTIFS(T_TTAFStock[RM_Code],$A60,T_TTAFStock[WeekIndex],33)&gt;0)&gt;0,SUMIFS(T_SelfStock[Self_Qty],T_SelfStock[RM_Code],$A60,T_SelfStock[WeekIndex],33)+SUMIFS(T_TTAFStock[TTAF_Qty],T_TTAFStock[RM_Code],$A60,T_TTAFStock[WeekIndex],33),AG60+'Grid_Incoming'!AH60-'Grid_Requirement'!AH60))</f>
        <v/>
      </c>
      <c r="AI60">
        <f>IF(COUNTIFS(T_StockCount[RM_Code],$A60,T_StockCount[WeekIndex],34)&gt;0,SUMIFS(T_StockCount[CountedQty],T_StockCount[RM_Code],$A60,T_StockCount[WeekIndex],34),IF((COUNTIFS(T_SelfStock[RM_Code],$A60,T_SelfStock[WeekIndex],34)&gt;0)*(COUNTIFS(T_TTAFStock[RM_Code],$A60,T_TTAFStock[WeekIndex],34)&gt;0)&gt;0,SUMIFS(T_SelfStock[Self_Qty],T_SelfStock[RM_Code],$A60,T_SelfStock[WeekIndex],34)+SUMIFS(T_TTAFStock[TTAF_Qty],T_TTAFStock[RM_Code],$A60,T_TTAFStock[WeekIndex],34),AH60+'Grid_Incoming'!AI60-'Grid_Requirement'!AI60))</f>
        <v/>
      </c>
      <c r="AJ60">
        <f>IF(COUNTIFS(T_StockCount[RM_Code],$A60,T_StockCount[WeekIndex],35)&gt;0,SUMIFS(T_StockCount[CountedQty],T_StockCount[RM_Code],$A60,T_StockCount[WeekIndex],35),IF((COUNTIFS(T_SelfStock[RM_Code],$A60,T_SelfStock[WeekIndex],35)&gt;0)*(COUNTIFS(T_TTAFStock[RM_Code],$A60,T_TTAFStock[WeekIndex],35)&gt;0)&gt;0,SUMIFS(T_SelfStock[Self_Qty],T_SelfStock[RM_Code],$A60,T_SelfStock[WeekIndex],35)+SUMIFS(T_TTAFStock[TTAF_Qty],T_TTAFStock[RM_Code],$A60,T_TTAFStock[WeekIndex],35),AI60+'Grid_Incoming'!AJ60-'Grid_Requirement'!AJ60))</f>
        <v/>
      </c>
      <c r="AK60">
        <f>IF(COUNTIFS(T_StockCount[RM_Code],$A60,T_StockCount[WeekIndex],36)&gt;0,SUMIFS(T_StockCount[CountedQty],T_StockCount[RM_Code],$A60,T_StockCount[WeekIndex],36),IF((COUNTIFS(T_SelfStock[RM_Code],$A60,T_SelfStock[WeekIndex],36)&gt;0)*(COUNTIFS(T_TTAFStock[RM_Code],$A60,T_TTAFStock[WeekIndex],36)&gt;0)&gt;0,SUMIFS(T_SelfStock[Self_Qty],T_SelfStock[RM_Code],$A60,T_SelfStock[WeekIndex],36)+SUMIFS(T_TTAFStock[TTAF_Qty],T_TTAFStock[RM_Code],$A60,T_TTAFStock[WeekIndex],36),AJ60+'Grid_Incoming'!AK60-'Grid_Requirement'!AK60))</f>
        <v/>
      </c>
      <c r="AL60">
        <f>IF(COUNTIFS(T_StockCount[RM_Code],$A60,T_StockCount[WeekIndex],37)&gt;0,SUMIFS(T_StockCount[CountedQty],T_StockCount[RM_Code],$A60,T_StockCount[WeekIndex],37),IF((COUNTIFS(T_SelfStock[RM_Code],$A60,T_SelfStock[WeekIndex],37)&gt;0)*(COUNTIFS(T_TTAFStock[RM_Code],$A60,T_TTAFStock[WeekIndex],37)&gt;0)&gt;0,SUMIFS(T_SelfStock[Self_Qty],T_SelfStock[RM_Code],$A60,T_SelfStock[WeekIndex],37)+SUMIFS(T_TTAFStock[TTAF_Qty],T_TTAFStock[RM_Code],$A60,T_TTAFStock[WeekIndex],37),AK60+'Grid_Incoming'!AL60-'Grid_Requirement'!AL60))</f>
        <v/>
      </c>
      <c r="AM60">
        <f>IF(COUNTIFS(T_StockCount[RM_Code],$A60,T_StockCount[WeekIndex],38)&gt;0,SUMIFS(T_StockCount[CountedQty],T_StockCount[RM_Code],$A60,T_StockCount[WeekIndex],38),IF((COUNTIFS(T_SelfStock[RM_Code],$A60,T_SelfStock[WeekIndex],38)&gt;0)*(COUNTIFS(T_TTAFStock[RM_Code],$A60,T_TTAFStock[WeekIndex],38)&gt;0)&gt;0,SUMIFS(T_SelfStock[Self_Qty],T_SelfStock[RM_Code],$A60,T_SelfStock[WeekIndex],38)+SUMIFS(T_TTAFStock[TTAF_Qty],T_TTAFStock[RM_Code],$A60,T_TTAFStock[WeekIndex],38),AL60+'Grid_Incoming'!AM60-'Grid_Requirement'!AM60))</f>
        <v/>
      </c>
      <c r="AN60">
        <f>IF(COUNTIFS(T_StockCount[RM_Code],$A60,T_StockCount[WeekIndex],39)&gt;0,SUMIFS(T_StockCount[CountedQty],T_StockCount[RM_Code],$A60,T_StockCount[WeekIndex],39),IF((COUNTIFS(T_SelfStock[RM_Code],$A60,T_SelfStock[WeekIndex],39)&gt;0)*(COUNTIFS(T_TTAFStock[RM_Code],$A60,T_TTAFStock[WeekIndex],39)&gt;0)&gt;0,SUMIFS(T_SelfStock[Self_Qty],T_SelfStock[RM_Code],$A60,T_SelfStock[WeekIndex],39)+SUMIFS(T_TTAFStock[TTAF_Qty],T_TTAFStock[RM_Code],$A60,T_TTAFStock[WeekIndex],39),AM60+'Grid_Incoming'!AN60-'Grid_Requirement'!AN60))</f>
        <v/>
      </c>
      <c r="AO60">
        <f>IF(COUNTIFS(T_StockCount[RM_Code],$A60,T_StockCount[WeekIndex],40)&gt;0,SUMIFS(T_StockCount[CountedQty],T_StockCount[RM_Code],$A60,T_StockCount[WeekIndex],40),IF((COUNTIFS(T_SelfStock[RM_Code],$A60,T_SelfStock[WeekIndex],40)&gt;0)*(COUNTIFS(T_TTAFStock[RM_Code],$A60,T_TTAFStock[WeekIndex],40)&gt;0)&gt;0,SUMIFS(T_SelfStock[Self_Qty],T_SelfStock[RM_Code],$A60,T_SelfStock[WeekIndex],40)+SUMIFS(T_TTAFStock[TTAF_Qty],T_TTAFStock[RM_Code],$A60,T_TTAFStock[WeekIndex],40),AN60+'Grid_Incoming'!AO60-'Grid_Requirement'!AO60))</f>
        <v/>
      </c>
      <c r="AP60">
        <f>IF(COUNTIFS(T_StockCount[RM_Code],$A60,T_StockCount[WeekIndex],41)&gt;0,SUMIFS(T_StockCount[CountedQty],T_StockCount[RM_Code],$A60,T_StockCount[WeekIndex],41),IF((COUNTIFS(T_SelfStock[RM_Code],$A60,T_SelfStock[WeekIndex],41)&gt;0)*(COUNTIFS(T_TTAFStock[RM_Code],$A60,T_TTAFStock[WeekIndex],41)&gt;0)&gt;0,SUMIFS(T_SelfStock[Self_Qty],T_SelfStock[RM_Code],$A60,T_SelfStock[WeekIndex],41)+SUMIFS(T_TTAFStock[TTAF_Qty],T_TTAFStock[RM_Code],$A60,T_TTAFStock[WeekIndex],41),AO60+'Grid_Incoming'!AP60-'Grid_Requirement'!AP60))</f>
        <v/>
      </c>
      <c r="AQ60">
        <f>IF(COUNTIFS(T_StockCount[RM_Code],$A60,T_StockCount[WeekIndex],42)&gt;0,SUMIFS(T_StockCount[CountedQty],T_StockCount[RM_Code],$A60,T_StockCount[WeekIndex],42),IF((COUNTIFS(T_SelfStock[RM_Code],$A60,T_SelfStock[WeekIndex],42)&gt;0)*(COUNTIFS(T_TTAFStock[RM_Code],$A60,T_TTAFStock[WeekIndex],42)&gt;0)&gt;0,SUMIFS(T_SelfStock[Self_Qty],T_SelfStock[RM_Code],$A60,T_SelfStock[WeekIndex],42)+SUMIFS(T_TTAFStock[TTAF_Qty],T_TTAFStock[RM_Code],$A60,T_TTAFStock[WeekIndex],42),AP60+'Grid_Incoming'!AQ60-'Grid_Requirement'!AQ60))</f>
        <v/>
      </c>
      <c r="AR60">
        <f>IF(COUNTIFS(T_StockCount[RM_Code],$A60,T_StockCount[WeekIndex],43)&gt;0,SUMIFS(T_StockCount[CountedQty],T_StockCount[RM_Code],$A60,T_StockCount[WeekIndex],43),IF((COUNTIFS(T_SelfStock[RM_Code],$A60,T_SelfStock[WeekIndex],43)&gt;0)*(COUNTIFS(T_TTAFStock[RM_Code],$A60,T_TTAFStock[WeekIndex],43)&gt;0)&gt;0,SUMIFS(T_SelfStock[Self_Qty],T_SelfStock[RM_Code],$A60,T_SelfStock[WeekIndex],43)+SUMIFS(T_TTAFStock[TTAF_Qty],T_TTAFStock[RM_Code],$A60,T_TTAFStock[WeekIndex],43),AQ60+'Grid_Incoming'!AR60-'Grid_Requirement'!AR60))</f>
        <v/>
      </c>
      <c r="AS60">
        <f>IF(COUNTIFS(T_StockCount[RM_Code],$A60,T_StockCount[WeekIndex],44)&gt;0,SUMIFS(T_StockCount[CountedQty],T_StockCount[RM_Code],$A60,T_StockCount[WeekIndex],44),IF((COUNTIFS(T_SelfStock[RM_Code],$A60,T_SelfStock[WeekIndex],44)&gt;0)*(COUNTIFS(T_TTAFStock[RM_Code],$A60,T_TTAFStock[WeekIndex],44)&gt;0)&gt;0,SUMIFS(T_SelfStock[Self_Qty],T_SelfStock[RM_Code],$A60,T_SelfStock[WeekIndex],44)+SUMIFS(T_TTAFStock[TTAF_Qty],T_TTAFStock[RM_Code],$A60,T_TTAFStock[WeekIndex],44),AR60+'Grid_Incoming'!AS60-'Grid_Requirement'!AS60))</f>
        <v/>
      </c>
      <c r="AT60">
        <f>IF(COUNTIFS(T_StockCount[RM_Code],$A60,T_StockCount[WeekIndex],45)&gt;0,SUMIFS(T_StockCount[CountedQty],T_StockCount[RM_Code],$A60,T_StockCount[WeekIndex],45),IF((COUNTIFS(T_SelfStock[RM_Code],$A60,T_SelfStock[WeekIndex],45)&gt;0)*(COUNTIFS(T_TTAFStock[RM_Code],$A60,T_TTAFStock[WeekIndex],45)&gt;0)&gt;0,SUMIFS(T_SelfStock[Self_Qty],T_SelfStock[RM_Code],$A60,T_SelfStock[WeekIndex],45)+SUMIFS(T_TTAFStock[TTAF_Qty],T_TTAFStock[RM_Code],$A60,T_TTAFStock[WeekIndex],45),AS60+'Grid_Incoming'!AT60-'Grid_Requirement'!AT60))</f>
        <v/>
      </c>
      <c r="AU60">
        <f>IF(COUNTIFS(T_StockCount[RM_Code],$A60,T_StockCount[WeekIndex],46)&gt;0,SUMIFS(T_StockCount[CountedQty],T_StockCount[RM_Code],$A60,T_StockCount[WeekIndex],46),IF((COUNTIFS(T_SelfStock[RM_Code],$A60,T_SelfStock[WeekIndex],46)&gt;0)*(COUNTIFS(T_TTAFStock[RM_Code],$A60,T_TTAFStock[WeekIndex],46)&gt;0)&gt;0,SUMIFS(T_SelfStock[Self_Qty],T_SelfStock[RM_Code],$A60,T_SelfStock[WeekIndex],46)+SUMIFS(T_TTAFStock[TTAF_Qty],T_TTAFStock[RM_Code],$A60,T_TTAFStock[WeekIndex],46),AT60+'Grid_Incoming'!AU60-'Grid_Requirement'!AU60))</f>
        <v/>
      </c>
      <c r="AV60">
        <f>IF(COUNTIFS(T_StockCount[RM_Code],$A60,T_StockCount[WeekIndex],47)&gt;0,SUMIFS(T_StockCount[CountedQty],T_StockCount[RM_Code],$A60,T_StockCount[WeekIndex],47),IF((COUNTIFS(T_SelfStock[RM_Code],$A60,T_SelfStock[WeekIndex],47)&gt;0)*(COUNTIFS(T_TTAFStock[RM_Code],$A60,T_TTAFStock[WeekIndex],47)&gt;0)&gt;0,SUMIFS(T_SelfStock[Self_Qty],T_SelfStock[RM_Code],$A60,T_SelfStock[WeekIndex],47)+SUMIFS(T_TTAFStock[TTAF_Qty],T_TTAFStock[RM_Code],$A60,T_TTAFStock[WeekIndex],47),AU60+'Grid_Incoming'!AV60-'Grid_Requirement'!AV60))</f>
        <v/>
      </c>
      <c r="AW60">
        <f>IF(COUNTIFS(T_StockCount[RM_Code],$A60,T_StockCount[WeekIndex],48)&gt;0,SUMIFS(T_StockCount[CountedQty],T_StockCount[RM_Code],$A60,T_StockCount[WeekIndex],48),IF((COUNTIFS(T_SelfStock[RM_Code],$A60,T_SelfStock[WeekIndex],48)&gt;0)*(COUNTIFS(T_TTAFStock[RM_Code],$A60,T_TTAFStock[WeekIndex],48)&gt;0)&gt;0,SUMIFS(T_SelfStock[Self_Qty],T_SelfStock[RM_Code],$A60,T_SelfStock[WeekIndex],48)+SUMIFS(T_TTAFStock[TTAF_Qty],T_TTAFStock[RM_Code],$A60,T_TTAFStock[WeekIndex],48),AV60+'Grid_Incoming'!AW60-'Grid_Requirement'!AW60))</f>
        <v/>
      </c>
      <c r="AX60">
        <f>IF(COUNTIFS(T_StockCount[RM_Code],$A60,T_StockCount[WeekIndex],49)&gt;0,SUMIFS(T_StockCount[CountedQty],T_StockCount[RM_Code],$A60,T_StockCount[WeekIndex],49),IF((COUNTIFS(T_SelfStock[RM_Code],$A60,T_SelfStock[WeekIndex],49)&gt;0)*(COUNTIFS(T_TTAFStock[RM_Code],$A60,T_TTAFStock[WeekIndex],49)&gt;0)&gt;0,SUMIFS(T_SelfStock[Self_Qty],T_SelfStock[RM_Code],$A60,T_SelfStock[WeekIndex],49)+SUMIFS(T_TTAFStock[TTAF_Qty],T_TTAFStock[RM_Code],$A60,T_TTAFStock[WeekIndex],49),AW60+'Grid_Incoming'!AX60-'Grid_Requirement'!AX60))</f>
        <v/>
      </c>
      <c r="AY60">
        <f>IF(COUNTIFS(T_StockCount[RM_Code],$A60,T_StockCount[WeekIndex],50)&gt;0,SUMIFS(T_StockCount[CountedQty],T_StockCount[RM_Code],$A60,T_StockCount[WeekIndex],50),IF((COUNTIFS(T_SelfStock[RM_Code],$A60,T_SelfStock[WeekIndex],50)&gt;0)*(COUNTIFS(T_TTAFStock[RM_Code],$A60,T_TTAFStock[WeekIndex],50)&gt;0)&gt;0,SUMIFS(T_SelfStock[Self_Qty],T_SelfStock[RM_Code],$A60,T_SelfStock[WeekIndex],50)+SUMIFS(T_TTAFStock[TTAF_Qty],T_TTAFStock[RM_Code],$A60,T_TTAFStock[WeekIndex],50),AX60+'Grid_Incoming'!AY60-'Grid_Requirement'!AY60))</f>
        <v/>
      </c>
      <c r="AZ60">
        <f>IF(COUNTIFS(T_StockCount[RM_Code],$A60,T_StockCount[WeekIndex],51)&gt;0,SUMIFS(T_StockCount[CountedQty],T_StockCount[RM_Code],$A60,T_StockCount[WeekIndex],51),IF((COUNTIFS(T_SelfStock[RM_Code],$A60,T_SelfStock[WeekIndex],51)&gt;0)*(COUNTIFS(T_TTAFStock[RM_Code],$A60,T_TTAFStock[WeekIndex],51)&gt;0)&gt;0,SUMIFS(T_SelfStock[Self_Qty],T_SelfStock[RM_Code],$A60,T_SelfStock[WeekIndex],51)+SUMIFS(T_TTAFStock[TTAF_Qty],T_TTAFStock[RM_Code],$A60,T_TTAFStock[WeekIndex],51),AY60+'Grid_Incoming'!AZ60-'Grid_Requirement'!AZ60))</f>
        <v/>
      </c>
      <c r="BA60">
        <f>IF(COUNTIFS(T_StockCount[RM_Code],$A60,T_StockCount[WeekIndex],52)&gt;0,SUMIFS(T_StockCount[CountedQty],T_StockCount[RM_Code],$A60,T_StockCount[WeekIndex],52),IF((COUNTIFS(T_SelfStock[RM_Code],$A60,T_SelfStock[WeekIndex],52)&gt;0)*(COUNTIFS(T_TTAFStock[RM_Code],$A60,T_TTAFStock[WeekIndex],52)&gt;0)&gt;0,SUMIFS(T_SelfStock[Self_Qty],T_SelfStock[RM_Code],$A60,T_SelfStock[WeekIndex],52)+SUMIFS(T_TTAFStock[TTAF_Qty],T_TTAFStock[RM_Code],$A60,T_TTAFStock[WeekIndex],52),AZ60+'Grid_Incoming'!BA60-'Grid_Requirement'!BA60))</f>
        <v/>
      </c>
      <c r="BB60">
        <f>IF(COUNTIFS(T_StockCount[RM_Code],$A60,T_StockCount[WeekIndex],53)&gt;0,SUMIFS(T_StockCount[CountedQty],T_StockCount[RM_Code],$A60,T_StockCount[WeekIndex],53),IF((COUNTIFS(T_SelfStock[RM_Code],$A60,T_SelfStock[WeekIndex],53)&gt;0)*(COUNTIFS(T_TTAFStock[RM_Code],$A60,T_TTAFStock[WeekIndex],53)&gt;0)&gt;0,SUMIFS(T_SelfStock[Self_Qty],T_SelfStock[RM_Code],$A60,T_SelfStock[WeekIndex],53)+SUMIFS(T_TTAFStock[TTAF_Qty],T_TTAFStock[RM_Code],$A60,T_TTAFStock[WeekIndex],53),BA60+'Grid_Incoming'!BB60-'Grid_Requirement'!BB60))</f>
        <v/>
      </c>
      <c r="BC60">
        <f>IF(COUNTIFS(T_StockCount[RM_Code],$A60,T_StockCount[WeekIndex],54)&gt;0,SUMIFS(T_StockCount[CountedQty],T_StockCount[RM_Code],$A60,T_StockCount[WeekIndex],54),IF((COUNTIFS(T_SelfStock[RM_Code],$A60,T_SelfStock[WeekIndex],54)&gt;0)*(COUNTIFS(T_TTAFStock[RM_Code],$A60,T_TTAFStock[WeekIndex],54)&gt;0)&gt;0,SUMIFS(T_SelfStock[Self_Qty],T_SelfStock[RM_Code],$A60,T_SelfStock[WeekIndex],54)+SUMIFS(T_TTAFStock[TTAF_Qty],T_TTAFStock[RM_Code],$A60,T_TTAFStock[WeekIndex],54),BB60+'Grid_Incoming'!BC60-'Grid_Requirement'!BC60))</f>
        <v/>
      </c>
      <c r="BD60">
        <f>IF(COUNTIFS(T_StockCount[RM_Code],$A60,T_StockCount[WeekIndex],55)&gt;0,SUMIFS(T_StockCount[CountedQty],T_StockCount[RM_Code],$A60,T_StockCount[WeekIndex],55),IF((COUNTIFS(T_SelfStock[RM_Code],$A60,T_SelfStock[WeekIndex],55)&gt;0)*(COUNTIFS(T_TTAFStock[RM_Code],$A60,T_TTAFStock[WeekIndex],55)&gt;0)&gt;0,SUMIFS(T_SelfStock[Self_Qty],T_SelfStock[RM_Code],$A60,T_SelfStock[WeekIndex],55)+SUMIFS(T_TTAFStock[TTAF_Qty],T_TTAFStock[RM_Code],$A60,T_TTAFStock[WeekIndex],55),BC60+'Grid_Incoming'!BD60-'Grid_Requirement'!BD60))</f>
        <v/>
      </c>
      <c r="BE60">
        <f>IF(COUNTIFS(T_StockCount[RM_Code],$A60,T_StockCount[WeekIndex],56)&gt;0,SUMIFS(T_StockCount[CountedQty],T_StockCount[RM_Code],$A60,T_StockCount[WeekIndex],56),IF((COUNTIFS(T_SelfStock[RM_Code],$A60,T_SelfStock[WeekIndex],56)&gt;0)*(COUNTIFS(T_TTAFStock[RM_Code],$A60,T_TTAFStock[WeekIndex],56)&gt;0)&gt;0,SUMIFS(T_SelfStock[Self_Qty],T_SelfStock[RM_Code],$A60,T_SelfStock[WeekIndex],56)+SUMIFS(T_TTAFStock[TTAF_Qty],T_TTAFStock[RM_Code],$A60,T_TTAFStock[WeekIndex],56),BD60+'Grid_Incoming'!BE60-'Grid_Requirement'!BE60))</f>
        <v/>
      </c>
      <c r="BF60">
        <f>IF(COUNTIFS(T_StockCount[RM_Code],$A60,T_StockCount[WeekIndex],57)&gt;0,SUMIFS(T_StockCount[CountedQty],T_StockCount[RM_Code],$A60,T_StockCount[WeekIndex],57),IF((COUNTIFS(T_SelfStock[RM_Code],$A60,T_SelfStock[WeekIndex],57)&gt;0)*(COUNTIFS(T_TTAFStock[RM_Code],$A60,T_TTAFStock[WeekIndex],57)&gt;0)&gt;0,SUMIFS(T_SelfStock[Self_Qty],T_SelfStock[RM_Code],$A60,T_SelfStock[WeekIndex],57)+SUMIFS(T_TTAFStock[TTAF_Qty],T_TTAFStock[RM_Code],$A60,T_TTAFStock[WeekIndex],57),BE60+'Grid_Incoming'!BF60-'Grid_Requirement'!BF60))</f>
        <v/>
      </c>
      <c r="BG60">
        <f>IF(COUNTIFS(T_StockCount[RM_Code],$A60,T_StockCount[WeekIndex],58)&gt;0,SUMIFS(T_StockCount[CountedQty],T_StockCount[RM_Code],$A60,T_StockCount[WeekIndex],58),IF((COUNTIFS(T_SelfStock[RM_Code],$A60,T_SelfStock[WeekIndex],58)&gt;0)*(COUNTIFS(T_TTAFStock[RM_Code],$A60,T_TTAFStock[WeekIndex],58)&gt;0)&gt;0,SUMIFS(T_SelfStock[Self_Qty],T_SelfStock[RM_Code],$A60,T_SelfStock[WeekIndex],58)+SUMIFS(T_TTAFStock[TTAF_Qty],T_TTAFStock[RM_Code],$A60,T_TTAFStock[WeekIndex],58),BF60+'Grid_Incoming'!BG60-'Grid_Requirement'!BG60))</f>
        <v/>
      </c>
      <c r="BH60">
        <f>IF(COUNTIFS(T_StockCount[RM_Code],$A60,T_StockCount[WeekIndex],59)&gt;0,SUMIFS(T_StockCount[CountedQty],T_StockCount[RM_Code],$A60,T_StockCount[WeekIndex],59),IF((COUNTIFS(T_SelfStock[RM_Code],$A60,T_SelfStock[WeekIndex],59)&gt;0)*(COUNTIFS(T_TTAFStock[RM_Code],$A60,T_TTAFStock[WeekIndex],59)&gt;0)&gt;0,SUMIFS(T_SelfStock[Self_Qty],T_SelfStock[RM_Code],$A60,T_SelfStock[WeekIndex],59)+SUMIFS(T_TTAFStock[TTAF_Qty],T_TTAFStock[RM_Code],$A60,T_TTAFStock[WeekIndex],59),BG60+'Grid_Incoming'!BH60-'Grid_Requirement'!BH60))</f>
        <v/>
      </c>
      <c r="BI60">
        <f>IF(COUNTIFS(T_StockCount[RM_Code],$A60,T_StockCount[WeekIndex],60)&gt;0,SUMIFS(T_StockCount[CountedQty],T_StockCount[RM_Code],$A60,T_StockCount[WeekIndex],60),IF((COUNTIFS(T_SelfStock[RM_Code],$A60,T_SelfStock[WeekIndex],60)&gt;0)*(COUNTIFS(T_TTAFStock[RM_Code],$A60,T_TTAFStock[WeekIndex],60)&gt;0)&gt;0,SUMIFS(T_SelfStock[Self_Qty],T_SelfStock[RM_Code],$A60,T_SelfStock[WeekIndex],60)+SUMIFS(T_TTAFStock[TTAF_Qty],T_TTAFStock[RM_Code],$A60,T_TTAFStock[WeekIndex],60),BH60+'Grid_Incoming'!BI60-'Grid_Requirement'!BI60))</f>
        <v/>
      </c>
      <c r="BJ60">
        <f>IF(COUNTIFS(T_StockCount[RM_Code],$A60,T_StockCount[WeekIndex],61)&gt;0,SUMIFS(T_StockCount[CountedQty],T_StockCount[RM_Code],$A60,T_StockCount[WeekIndex],61),IF((COUNTIFS(T_SelfStock[RM_Code],$A60,T_SelfStock[WeekIndex],61)&gt;0)*(COUNTIFS(T_TTAFStock[RM_Code],$A60,T_TTAFStock[WeekIndex],61)&gt;0)&gt;0,SUMIFS(T_SelfStock[Self_Qty],T_SelfStock[RM_Code],$A60,T_SelfStock[WeekIndex],61)+SUMIFS(T_TTAFStock[TTAF_Qty],T_TTAFStock[RM_Code],$A60,T_TTAFStock[WeekIndex],61),BI60+'Grid_Incoming'!BJ60-'Grid_Requirement'!BJ60))</f>
        <v/>
      </c>
      <c r="BK60">
        <f>IF(COUNTIFS(T_StockCount[RM_Code],$A60,T_StockCount[WeekIndex],62)&gt;0,SUMIFS(T_StockCount[CountedQty],T_StockCount[RM_Code],$A60,T_StockCount[WeekIndex],62),IF((COUNTIFS(T_SelfStock[RM_Code],$A60,T_SelfStock[WeekIndex],62)&gt;0)*(COUNTIFS(T_TTAFStock[RM_Code],$A60,T_TTAFStock[WeekIndex],62)&gt;0)&gt;0,SUMIFS(T_SelfStock[Self_Qty],T_SelfStock[RM_Code],$A60,T_SelfStock[WeekIndex],62)+SUMIFS(T_TTAFStock[TTAF_Qty],T_TTAFStock[RM_Code],$A60,T_TTAFStock[WeekIndex],62),BJ60+'Grid_Incoming'!BK60-'Grid_Requirement'!BK60))</f>
        <v/>
      </c>
      <c r="BL60">
        <f>IF(COUNTIFS(T_StockCount[RM_Code],$A60,T_StockCount[WeekIndex],63)&gt;0,SUMIFS(T_StockCount[CountedQty],T_StockCount[RM_Code],$A60,T_StockCount[WeekIndex],63),IF((COUNTIFS(T_SelfStock[RM_Code],$A60,T_SelfStock[WeekIndex],63)&gt;0)*(COUNTIFS(T_TTAFStock[RM_Code],$A60,T_TTAFStock[WeekIndex],63)&gt;0)&gt;0,SUMIFS(T_SelfStock[Self_Qty],T_SelfStock[RM_Code],$A60,T_SelfStock[WeekIndex],63)+SUMIFS(T_TTAFStock[TTAF_Qty],T_TTAFStock[RM_Code],$A60,T_TTAFStock[WeekIndex],63),BK60+'Grid_Incoming'!BL60-'Grid_Requirement'!BL60))</f>
        <v/>
      </c>
      <c r="BM60">
        <f>IF(COUNTIFS(T_StockCount[RM_Code],$A60,T_StockCount[WeekIndex],64)&gt;0,SUMIFS(T_StockCount[CountedQty],T_StockCount[RM_Code],$A60,T_StockCount[WeekIndex],64),IF((COUNTIFS(T_SelfStock[RM_Code],$A60,T_SelfStock[WeekIndex],64)&gt;0)*(COUNTIFS(T_TTAFStock[RM_Code],$A60,T_TTAFStock[WeekIndex],64)&gt;0)&gt;0,SUMIFS(T_SelfStock[Self_Qty],T_SelfStock[RM_Code],$A60,T_SelfStock[WeekIndex],64)+SUMIFS(T_TTAFStock[TTAF_Qty],T_TTAFStock[RM_Code],$A60,T_TTAFStock[WeekIndex],64),BL60+'Grid_Incoming'!BM60-'Grid_Requirement'!BM60))</f>
        <v/>
      </c>
      <c r="BN60">
        <f>IF(COUNTIFS(T_StockCount[RM_Code],$A60,T_StockCount[WeekIndex],65)&gt;0,SUMIFS(T_StockCount[CountedQty],T_StockCount[RM_Code],$A60,T_StockCount[WeekIndex],65),IF((COUNTIFS(T_SelfStock[RM_Code],$A60,T_SelfStock[WeekIndex],65)&gt;0)*(COUNTIFS(T_TTAFStock[RM_Code],$A60,T_TTAFStock[WeekIndex],65)&gt;0)&gt;0,SUMIFS(T_SelfStock[Self_Qty],T_SelfStock[RM_Code],$A60,T_SelfStock[WeekIndex],65)+SUMIFS(T_TTAFStock[TTAF_Qty],T_TTAFStock[RM_Code],$A60,T_TTAFStock[WeekIndex],65),BM60+'Grid_Incoming'!BN60-'Grid_Requirement'!BN60))</f>
        <v/>
      </c>
      <c r="BO60">
        <f>IF(COUNTIFS(T_StockCount[RM_Code],$A60,T_StockCount[WeekIndex],66)&gt;0,SUMIFS(T_StockCount[CountedQty],T_StockCount[RM_Code],$A60,T_StockCount[WeekIndex],66),IF((COUNTIFS(T_SelfStock[RM_Code],$A60,T_SelfStock[WeekIndex],66)&gt;0)*(COUNTIFS(T_TTAFStock[RM_Code],$A60,T_TTAFStock[WeekIndex],66)&gt;0)&gt;0,SUMIFS(T_SelfStock[Self_Qty],T_SelfStock[RM_Code],$A60,T_SelfStock[WeekIndex],66)+SUMIFS(T_TTAFStock[TTAF_Qty],T_TTAFStock[RM_Code],$A60,T_TTAFStock[WeekIndex],66),BN60+'Grid_Incoming'!BO60-'Grid_Requirement'!BO60))</f>
        <v/>
      </c>
      <c r="BP60">
        <f>IF(COUNTIFS(T_StockCount[RM_Code],$A60,T_StockCount[WeekIndex],67)&gt;0,SUMIFS(T_StockCount[CountedQty],T_StockCount[RM_Code],$A60,T_StockCount[WeekIndex],67),IF((COUNTIFS(T_SelfStock[RM_Code],$A60,T_SelfStock[WeekIndex],67)&gt;0)*(COUNTIFS(T_TTAFStock[RM_Code],$A60,T_TTAFStock[WeekIndex],67)&gt;0)&gt;0,SUMIFS(T_SelfStock[Self_Qty],T_SelfStock[RM_Code],$A60,T_SelfStock[WeekIndex],67)+SUMIFS(T_TTAFStock[TTAF_Qty],T_TTAFStock[RM_Code],$A60,T_TTAFStock[WeekIndex],67),BO60+'Grid_Incoming'!BP60-'Grid_Requirement'!BP60))</f>
        <v/>
      </c>
      <c r="BQ60">
        <f>IF(COUNTIFS(T_StockCount[RM_Code],$A60,T_StockCount[WeekIndex],68)&gt;0,SUMIFS(T_StockCount[CountedQty],T_StockCount[RM_Code],$A60,T_StockCount[WeekIndex],68),IF((COUNTIFS(T_SelfStock[RM_Code],$A60,T_SelfStock[WeekIndex],68)&gt;0)*(COUNTIFS(T_TTAFStock[RM_Code],$A60,T_TTAFStock[WeekIndex],68)&gt;0)&gt;0,SUMIFS(T_SelfStock[Self_Qty],T_SelfStock[RM_Code],$A60,T_SelfStock[WeekIndex],68)+SUMIFS(T_TTAFStock[TTAF_Qty],T_TTAFStock[RM_Code],$A60,T_TTAFStock[WeekIndex],68),BP60+'Grid_Incoming'!BQ60-'Grid_Requirement'!BQ60))</f>
        <v/>
      </c>
      <c r="BR60">
        <f>IF(COUNTIFS(T_StockCount[RM_Code],$A60,T_StockCount[WeekIndex],69)&gt;0,SUMIFS(T_StockCount[CountedQty],T_StockCount[RM_Code],$A60,T_StockCount[WeekIndex],69),IF((COUNTIFS(T_SelfStock[RM_Code],$A60,T_SelfStock[WeekIndex],69)&gt;0)*(COUNTIFS(T_TTAFStock[RM_Code],$A60,T_TTAFStock[WeekIndex],69)&gt;0)&gt;0,SUMIFS(T_SelfStock[Self_Qty],T_SelfStock[RM_Code],$A60,T_SelfStock[WeekIndex],69)+SUMIFS(T_TTAFStock[TTAF_Qty],T_TTAFStock[RM_Code],$A60,T_TTAFStock[WeekIndex],69),BQ60+'Grid_Incoming'!BR60-'Grid_Requirement'!BR60))</f>
        <v/>
      </c>
      <c r="BS60">
        <f>IF(COUNTIFS(T_StockCount[RM_Code],$A60,T_StockCount[WeekIndex],70)&gt;0,SUMIFS(T_StockCount[CountedQty],T_StockCount[RM_Code],$A60,T_StockCount[WeekIndex],70),IF((COUNTIFS(T_SelfStock[RM_Code],$A60,T_SelfStock[WeekIndex],70)&gt;0)*(COUNTIFS(T_TTAFStock[RM_Code],$A60,T_TTAFStock[WeekIndex],70)&gt;0)&gt;0,SUMIFS(T_SelfStock[Self_Qty],T_SelfStock[RM_Code],$A60,T_SelfStock[WeekIndex],70)+SUMIFS(T_TTAFStock[TTAF_Qty],T_TTAFStock[RM_Code],$A60,T_TTAFStock[WeekIndex],70),BR60+'Grid_Incoming'!BS60-'Grid_Requirement'!BS60))</f>
        <v/>
      </c>
      <c r="BT60">
        <f>IF(COUNTIFS(T_StockCount[RM_Code],$A60,T_StockCount[WeekIndex],71)&gt;0,SUMIFS(T_StockCount[CountedQty],T_StockCount[RM_Code],$A60,T_StockCount[WeekIndex],71),IF((COUNTIFS(T_SelfStock[RM_Code],$A60,T_SelfStock[WeekIndex],71)&gt;0)*(COUNTIFS(T_TTAFStock[RM_Code],$A60,T_TTAFStock[WeekIndex],71)&gt;0)&gt;0,SUMIFS(T_SelfStock[Self_Qty],T_SelfStock[RM_Code],$A60,T_SelfStock[WeekIndex],71)+SUMIFS(T_TTAFStock[TTAF_Qty],T_TTAFStock[RM_Code],$A60,T_TTAFStock[WeekIndex],71),BS60+'Grid_Incoming'!BT60-'Grid_Requirement'!BT60))</f>
        <v/>
      </c>
      <c r="BU60">
        <f>IF(COUNTIFS(T_StockCount[RM_Code],$A60,T_StockCount[WeekIndex],72)&gt;0,SUMIFS(T_StockCount[CountedQty],T_StockCount[RM_Code],$A60,T_StockCount[WeekIndex],72),IF((COUNTIFS(T_SelfStock[RM_Code],$A60,T_SelfStock[WeekIndex],72)&gt;0)*(COUNTIFS(T_TTAFStock[RM_Code],$A60,T_TTAFStock[WeekIndex],72)&gt;0)&gt;0,SUMIFS(T_SelfStock[Self_Qty],T_SelfStock[RM_Code],$A60,T_SelfStock[WeekIndex],72)+SUMIFS(T_TTAFStock[TTAF_Qty],T_TTAFStock[RM_Code],$A60,T_TTAFStock[WeekIndex],72),BT60+'Grid_Incoming'!BU60-'Grid_Requirement'!BU60))</f>
        <v/>
      </c>
      <c r="BV60">
        <f>IF(COUNTIFS(T_StockCount[RM_Code],$A60,T_StockCount[WeekIndex],73)&gt;0,SUMIFS(T_StockCount[CountedQty],T_StockCount[RM_Code],$A60,T_StockCount[WeekIndex],73),IF((COUNTIFS(T_SelfStock[RM_Code],$A60,T_SelfStock[WeekIndex],73)&gt;0)*(COUNTIFS(T_TTAFStock[RM_Code],$A60,T_TTAFStock[WeekIndex],73)&gt;0)&gt;0,SUMIFS(T_SelfStock[Self_Qty],T_SelfStock[RM_Code],$A60,T_SelfStock[WeekIndex],73)+SUMIFS(T_TTAFStock[TTAF_Qty],T_TTAFStock[RM_Code],$A60,T_TTAFStock[WeekIndex],73),BU60+'Grid_Incoming'!BV60-'Grid_Requirement'!BV60))</f>
        <v/>
      </c>
      <c r="BW60">
        <f>IF(COUNTIFS(T_StockCount[RM_Code],$A60,T_StockCount[WeekIndex],74)&gt;0,SUMIFS(T_StockCount[CountedQty],T_StockCount[RM_Code],$A60,T_StockCount[WeekIndex],74),IF((COUNTIFS(T_SelfStock[RM_Code],$A60,T_SelfStock[WeekIndex],74)&gt;0)*(COUNTIFS(T_TTAFStock[RM_Code],$A60,T_TTAFStock[WeekIndex],74)&gt;0)&gt;0,SUMIFS(T_SelfStock[Self_Qty],T_SelfStock[RM_Code],$A60,T_SelfStock[WeekIndex],74)+SUMIFS(T_TTAFStock[TTAF_Qty],T_TTAFStock[RM_Code],$A60,T_TTAFStock[WeekIndex],74),BV60+'Grid_Incoming'!BW60-'Grid_Requirement'!BW60))</f>
        <v/>
      </c>
      <c r="BX60">
        <f>IF(COUNTIFS(T_StockCount[RM_Code],$A60,T_StockCount[WeekIndex],75)&gt;0,SUMIFS(T_StockCount[CountedQty],T_StockCount[RM_Code],$A60,T_StockCount[WeekIndex],75),IF((COUNTIFS(T_SelfStock[RM_Code],$A60,T_SelfStock[WeekIndex],75)&gt;0)*(COUNTIFS(T_TTAFStock[RM_Code],$A60,T_TTAFStock[WeekIndex],75)&gt;0)&gt;0,SUMIFS(T_SelfStock[Self_Qty],T_SelfStock[RM_Code],$A60,T_SelfStock[WeekIndex],75)+SUMIFS(T_TTAFStock[TTAF_Qty],T_TTAFStock[RM_Code],$A60,T_TTAFStock[WeekIndex],75),BW60+'Grid_Incoming'!BX60-'Grid_Requirement'!BX60))</f>
        <v/>
      </c>
      <c r="BY60">
        <f>IF(COUNTIFS(T_StockCount[RM_Code],$A60,T_StockCount[WeekIndex],76)&gt;0,SUMIFS(T_StockCount[CountedQty],T_StockCount[RM_Code],$A60,T_StockCount[WeekIndex],76),IF((COUNTIFS(T_SelfStock[RM_Code],$A60,T_SelfStock[WeekIndex],76)&gt;0)*(COUNTIFS(T_TTAFStock[RM_Code],$A60,T_TTAFStock[WeekIndex],76)&gt;0)&gt;0,SUMIFS(T_SelfStock[Self_Qty],T_SelfStock[RM_Code],$A60,T_SelfStock[WeekIndex],76)+SUMIFS(T_TTAFStock[TTAF_Qty],T_TTAFStock[RM_Code],$A60,T_TTAFStock[WeekIndex],76),BX60+'Grid_Incoming'!BY60-'Grid_Requirement'!BY60))</f>
        <v/>
      </c>
      <c r="BZ60">
        <f>IF(COUNTIFS(T_StockCount[RM_Code],$A60,T_StockCount[WeekIndex],77)&gt;0,SUMIFS(T_StockCount[CountedQty],T_StockCount[RM_Code],$A60,T_StockCount[WeekIndex],77),IF((COUNTIFS(T_SelfStock[RM_Code],$A60,T_SelfStock[WeekIndex],77)&gt;0)*(COUNTIFS(T_TTAFStock[RM_Code],$A60,T_TTAFStock[WeekIndex],77)&gt;0)&gt;0,SUMIFS(T_SelfStock[Self_Qty],T_SelfStock[RM_Code],$A60,T_SelfStock[WeekIndex],77)+SUMIFS(T_TTAFStock[TTAF_Qty],T_TTAFStock[RM_Code],$A60,T_TTAFStock[WeekIndex],77),BY60+'Grid_Incoming'!BZ60-'Grid_Requirement'!BZ60))</f>
        <v/>
      </c>
      <c r="CA60">
        <f>IF(COUNTIFS(T_StockCount[RM_Code],$A60,T_StockCount[WeekIndex],78)&gt;0,SUMIFS(T_StockCount[CountedQty],T_StockCount[RM_Code],$A60,T_StockCount[WeekIndex],78),IF((COUNTIFS(T_SelfStock[RM_Code],$A60,T_SelfStock[WeekIndex],78)&gt;0)*(COUNTIFS(T_TTAFStock[RM_Code],$A60,T_TTAFStock[WeekIndex],78)&gt;0)&gt;0,SUMIFS(T_SelfStock[Self_Qty],T_SelfStock[RM_Code],$A60,T_SelfStock[WeekIndex],78)+SUMIFS(T_TTAFStock[TTAF_Qty],T_TTAFStock[RM_Code],$A60,T_TTAFStock[WeekIndex],78),BZ60+'Grid_Incoming'!CA60-'Grid_Requirement'!CA60))</f>
        <v/>
      </c>
      <c r="CB60">
        <f>IF(COUNTIFS(T_StockCount[RM_Code],$A60,T_StockCount[WeekIndex],79)&gt;0,SUMIFS(T_StockCount[CountedQty],T_StockCount[RM_Code],$A60,T_StockCount[WeekIndex],79),IF((COUNTIFS(T_SelfStock[RM_Code],$A60,T_SelfStock[WeekIndex],79)&gt;0)*(COUNTIFS(T_TTAFStock[RM_Code],$A60,T_TTAFStock[WeekIndex],79)&gt;0)&gt;0,SUMIFS(T_SelfStock[Self_Qty],T_SelfStock[RM_Code],$A60,T_SelfStock[WeekIndex],79)+SUMIFS(T_TTAFStock[TTAF_Qty],T_TTAFStock[RM_Code],$A60,T_TTAFStock[WeekIndex],79),CA60+'Grid_Incoming'!CB60-'Grid_Requirement'!CB60))</f>
        <v/>
      </c>
      <c r="CC60">
        <f>IF(COUNTIFS(T_StockCount[RM_Code],$A60,T_StockCount[WeekIndex],80)&gt;0,SUMIFS(T_StockCount[CountedQty],T_StockCount[RM_Code],$A60,T_StockCount[WeekIndex],80),IF((COUNTIFS(T_SelfStock[RM_Code],$A60,T_SelfStock[WeekIndex],80)&gt;0)*(COUNTIFS(T_TTAFStock[RM_Code],$A60,T_TTAFStock[WeekIndex],80)&gt;0)&gt;0,SUMIFS(T_SelfStock[Self_Qty],T_SelfStock[RM_Code],$A60,T_SelfStock[WeekIndex],80)+SUMIFS(T_TTAFStock[TTAF_Qty],T_TTAFStock[RM_Code],$A60,T_TTAFStock[WeekIndex],80),CB60+'Grid_Incoming'!CC60-'Grid_Requirement'!CC60))</f>
        <v/>
      </c>
      <c r="CD60">
        <f>IF(COUNTIFS(T_StockCount[RM_Code],$A60,T_StockCount[WeekIndex],81)&gt;0,SUMIFS(T_StockCount[CountedQty],T_StockCount[RM_Code],$A60,T_StockCount[WeekIndex],81),IF((COUNTIFS(T_SelfStock[RM_Code],$A60,T_SelfStock[WeekIndex],81)&gt;0)*(COUNTIFS(T_TTAFStock[RM_Code],$A60,T_TTAFStock[WeekIndex],81)&gt;0)&gt;0,SUMIFS(T_SelfStock[Self_Qty],T_SelfStock[RM_Code],$A60,T_SelfStock[WeekIndex],81)+SUMIFS(T_TTAFStock[TTAF_Qty],T_TTAFStock[RM_Code],$A60,T_TTAFStock[WeekIndex],81),CC60+'Grid_Incoming'!CD60-'Grid_Requirement'!CD60))</f>
        <v/>
      </c>
      <c r="CE60">
        <f>IF(COUNTIFS(T_StockCount[RM_Code],$A60,T_StockCount[WeekIndex],82)&gt;0,SUMIFS(T_StockCount[CountedQty],T_StockCount[RM_Code],$A60,T_StockCount[WeekIndex],82),IF((COUNTIFS(T_SelfStock[RM_Code],$A60,T_SelfStock[WeekIndex],82)&gt;0)*(COUNTIFS(T_TTAFStock[RM_Code],$A60,T_TTAFStock[WeekIndex],82)&gt;0)&gt;0,SUMIFS(T_SelfStock[Self_Qty],T_SelfStock[RM_Code],$A60,T_SelfStock[WeekIndex],82)+SUMIFS(T_TTAFStock[TTAF_Qty],T_TTAFStock[RM_Code],$A60,T_TTAFStock[WeekIndex],82),CD60+'Grid_Incoming'!CE60-'Grid_Requirement'!CE60))</f>
        <v/>
      </c>
      <c r="CF60">
        <f>IF(COUNTIFS(T_StockCount[RM_Code],$A60,T_StockCount[WeekIndex],83)&gt;0,SUMIFS(T_StockCount[CountedQty],T_StockCount[RM_Code],$A60,T_StockCount[WeekIndex],83),IF((COUNTIFS(T_SelfStock[RM_Code],$A60,T_SelfStock[WeekIndex],83)&gt;0)*(COUNTIFS(T_TTAFStock[RM_Code],$A60,T_TTAFStock[WeekIndex],83)&gt;0)&gt;0,SUMIFS(T_SelfStock[Self_Qty],T_SelfStock[RM_Code],$A60,T_SelfStock[WeekIndex],83)+SUMIFS(T_TTAFStock[TTAF_Qty],T_TTAFStock[RM_Code],$A60,T_TTAFStock[WeekIndex],83),CE60+'Grid_Incoming'!CF60-'Grid_Requirement'!CF60))</f>
        <v/>
      </c>
      <c r="CG60">
        <f>IF(COUNTIFS(T_StockCount[RM_Code],$A60,T_StockCount[WeekIndex],84)&gt;0,SUMIFS(T_StockCount[CountedQty],T_StockCount[RM_Code],$A60,T_StockCount[WeekIndex],84),IF((COUNTIFS(T_SelfStock[RM_Code],$A60,T_SelfStock[WeekIndex],84)&gt;0)*(COUNTIFS(T_TTAFStock[RM_Code],$A60,T_TTAFStock[WeekIndex],84)&gt;0)&gt;0,SUMIFS(T_SelfStock[Self_Qty],T_SelfStock[RM_Code],$A60,T_SelfStock[WeekIndex],84)+SUMIFS(T_TTAFStock[TTAF_Qty],T_TTAFStock[RM_Code],$A60,T_TTAFStock[WeekIndex],84),CF60+'Grid_Incoming'!CG60-'Grid_Requirement'!CG60))</f>
        <v/>
      </c>
      <c r="CH60">
        <f>IF(COUNTIFS(T_StockCount[RM_Code],$A60,T_StockCount[WeekIndex],85)&gt;0,SUMIFS(T_StockCount[CountedQty],T_StockCount[RM_Code],$A60,T_StockCount[WeekIndex],85),IF((COUNTIFS(T_SelfStock[RM_Code],$A60,T_SelfStock[WeekIndex],85)&gt;0)*(COUNTIFS(T_TTAFStock[RM_Code],$A60,T_TTAFStock[WeekIndex],85)&gt;0)&gt;0,SUMIFS(T_SelfStock[Self_Qty],T_SelfStock[RM_Code],$A60,T_SelfStock[WeekIndex],85)+SUMIFS(T_TTAFStock[TTAF_Qty],T_TTAFStock[RM_Code],$A60,T_TTAFStock[WeekIndex],85),CG60+'Grid_Incoming'!CH60-'Grid_Requirement'!CH60))</f>
        <v/>
      </c>
      <c r="CI60">
        <f>IF(COUNTIFS(T_StockCount[RM_Code],$A60,T_StockCount[WeekIndex],86)&gt;0,SUMIFS(T_StockCount[CountedQty],T_StockCount[RM_Code],$A60,T_StockCount[WeekIndex],86),IF((COUNTIFS(T_SelfStock[RM_Code],$A60,T_SelfStock[WeekIndex],86)&gt;0)*(COUNTIFS(T_TTAFStock[RM_Code],$A60,T_TTAFStock[WeekIndex],86)&gt;0)&gt;0,SUMIFS(T_SelfStock[Self_Qty],T_SelfStock[RM_Code],$A60,T_SelfStock[WeekIndex],86)+SUMIFS(T_TTAFStock[TTAF_Qty],T_TTAFStock[RM_Code],$A60,T_TTAFStock[WeekIndex],86),CH60+'Grid_Incoming'!CI60-'Grid_Requirement'!CI60))</f>
        <v/>
      </c>
      <c r="CJ60">
        <f>IF(COUNTIFS(T_StockCount[RM_Code],$A60,T_StockCount[WeekIndex],87)&gt;0,SUMIFS(T_StockCount[CountedQty],T_StockCount[RM_Code],$A60,T_StockCount[WeekIndex],87),IF((COUNTIFS(T_SelfStock[RM_Code],$A60,T_SelfStock[WeekIndex],87)&gt;0)*(COUNTIFS(T_TTAFStock[RM_Code],$A60,T_TTAFStock[WeekIndex],87)&gt;0)&gt;0,SUMIFS(T_SelfStock[Self_Qty],T_SelfStock[RM_Code],$A60,T_SelfStock[WeekIndex],87)+SUMIFS(T_TTAFStock[TTAF_Qty],T_TTAFStock[RM_Code],$A60,T_TTAFStock[WeekIndex],87),CI60+'Grid_Incoming'!CJ60-'Grid_Requirement'!CJ60))</f>
        <v/>
      </c>
      <c r="CK60">
        <f>IF(COUNTIFS(T_StockCount[RM_Code],$A60,T_StockCount[WeekIndex],88)&gt;0,SUMIFS(T_StockCount[CountedQty],T_StockCount[RM_Code],$A60,T_StockCount[WeekIndex],88),IF((COUNTIFS(T_SelfStock[RM_Code],$A60,T_SelfStock[WeekIndex],88)&gt;0)*(COUNTIFS(T_TTAFStock[RM_Code],$A60,T_TTAFStock[WeekIndex],88)&gt;0)&gt;0,SUMIFS(T_SelfStock[Self_Qty],T_SelfStock[RM_Code],$A60,T_SelfStock[WeekIndex],88)+SUMIFS(T_TTAFStock[TTAF_Qty],T_TTAFStock[RM_Code],$A60,T_TTAFStock[WeekIndex],88),CJ60+'Grid_Incoming'!CK60-'Grid_Requirement'!CK60))</f>
        <v/>
      </c>
      <c r="CL60">
        <f>IF(COUNTIFS(T_StockCount[RM_Code],$A60,T_StockCount[WeekIndex],89)&gt;0,SUMIFS(T_StockCount[CountedQty],T_StockCount[RM_Code],$A60,T_StockCount[WeekIndex],89),IF((COUNTIFS(T_SelfStock[RM_Code],$A60,T_SelfStock[WeekIndex],89)&gt;0)*(COUNTIFS(T_TTAFStock[RM_Code],$A60,T_TTAFStock[WeekIndex],89)&gt;0)&gt;0,SUMIFS(T_SelfStock[Self_Qty],T_SelfStock[RM_Code],$A60,T_SelfStock[WeekIndex],89)+SUMIFS(T_TTAFStock[TTAF_Qty],T_TTAFStock[RM_Code],$A60,T_TTAFStock[WeekIndex],89),CK60+'Grid_Incoming'!CL60-'Grid_Requirement'!CL60))</f>
        <v/>
      </c>
      <c r="CM60">
        <f>IF(COUNTIFS(T_StockCount[RM_Code],$A60,T_StockCount[WeekIndex],90)&gt;0,SUMIFS(T_StockCount[CountedQty],T_StockCount[RM_Code],$A60,T_StockCount[WeekIndex],90),IF((COUNTIFS(T_SelfStock[RM_Code],$A60,T_SelfStock[WeekIndex],90)&gt;0)*(COUNTIFS(T_TTAFStock[RM_Code],$A60,T_TTAFStock[WeekIndex],90)&gt;0)&gt;0,SUMIFS(T_SelfStock[Self_Qty],T_SelfStock[RM_Code],$A60,T_SelfStock[WeekIndex],90)+SUMIFS(T_TTAFStock[TTAF_Qty],T_TTAFStock[RM_Code],$A60,T_TTAFStock[WeekIndex],90),CL60+'Grid_Incoming'!CM60-'Grid_Requirement'!CM60))</f>
        <v/>
      </c>
      <c r="CN60">
        <f>IF(COUNTIFS(T_StockCount[RM_Code],$A60,T_StockCount[WeekIndex],91)&gt;0,SUMIFS(T_StockCount[CountedQty],T_StockCount[RM_Code],$A60,T_StockCount[WeekIndex],91),IF((COUNTIFS(T_SelfStock[RM_Code],$A60,T_SelfStock[WeekIndex],91)&gt;0)*(COUNTIFS(T_TTAFStock[RM_Code],$A60,T_TTAFStock[WeekIndex],91)&gt;0)&gt;0,SUMIFS(T_SelfStock[Self_Qty],T_SelfStock[RM_Code],$A60,T_SelfStock[WeekIndex],91)+SUMIFS(T_TTAFStock[TTAF_Qty],T_TTAFStock[RM_Code],$A60,T_TTAFStock[WeekIndex],91),CM60+'Grid_Incoming'!CN60-'Grid_Requirement'!CN60))</f>
        <v/>
      </c>
      <c r="CO60">
        <f>IF(COUNTIFS(T_StockCount[RM_Code],$A60,T_StockCount[WeekIndex],92)&gt;0,SUMIFS(T_StockCount[CountedQty],T_StockCount[RM_Code],$A60,T_StockCount[WeekIndex],92),IF((COUNTIFS(T_SelfStock[RM_Code],$A60,T_SelfStock[WeekIndex],92)&gt;0)*(COUNTIFS(T_TTAFStock[RM_Code],$A60,T_TTAFStock[WeekIndex],92)&gt;0)&gt;0,SUMIFS(T_SelfStock[Self_Qty],T_SelfStock[RM_Code],$A60,T_SelfStock[WeekIndex],92)+SUMIFS(T_TTAFStock[TTAF_Qty],T_TTAFStock[RM_Code],$A60,T_TTAFStock[WeekIndex],92),CN60+'Grid_Incoming'!CO60-'Grid_Requirement'!CO60))</f>
        <v/>
      </c>
      <c r="CP60">
        <f>IF(COUNTIFS(T_StockCount[RM_Code],$A60,T_StockCount[WeekIndex],93)&gt;0,SUMIFS(T_StockCount[CountedQty],T_StockCount[RM_Code],$A60,T_StockCount[WeekIndex],93),IF((COUNTIFS(T_SelfStock[RM_Code],$A60,T_SelfStock[WeekIndex],93)&gt;0)*(COUNTIFS(T_TTAFStock[RM_Code],$A60,T_TTAFStock[WeekIndex],93)&gt;0)&gt;0,SUMIFS(T_SelfStock[Self_Qty],T_SelfStock[RM_Code],$A60,T_SelfStock[WeekIndex],93)+SUMIFS(T_TTAFStock[TTAF_Qty],T_TTAFStock[RM_Code],$A60,T_TTAFStock[WeekIndex],93),CO60+'Grid_Incoming'!CP60-'Grid_Requirement'!CP60))</f>
        <v/>
      </c>
      <c r="CQ60">
        <f>IF(COUNTIFS(T_StockCount[RM_Code],$A60,T_StockCount[WeekIndex],94)&gt;0,SUMIFS(T_StockCount[CountedQty],T_StockCount[RM_Code],$A60,T_StockCount[WeekIndex],94),IF((COUNTIFS(T_SelfStock[RM_Code],$A60,T_SelfStock[WeekIndex],94)&gt;0)*(COUNTIFS(T_TTAFStock[RM_Code],$A60,T_TTAFStock[WeekIndex],94)&gt;0)&gt;0,SUMIFS(T_SelfStock[Self_Qty],T_SelfStock[RM_Code],$A60,T_SelfStock[WeekIndex],94)+SUMIFS(T_TTAFStock[TTAF_Qty],T_TTAFStock[RM_Code],$A60,T_TTAFStock[WeekIndex],94),CP60+'Grid_Incoming'!CQ60-'Grid_Requirement'!CQ60))</f>
        <v/>
      </c>
      <c r="CR60">
        <f>IF(COUNTIFS(T_StockCount[RM_Code],$A60,T_StockCount[WeekIndex],95)&gt;0,SUMIFS(T_StockCount[CountedQty],T_StockCount[RM_Code],$A60,T_StockCount[WeekIndex],95),IF((COUNTIFS(T_SelfStock[RM_Code],$A60,T_SelfStock[WeekIndex],95)&gt;0)*(COUNTIFS(T_TTAFStock[RM_Code],$A60,T_TTAFStock[WeekIndex],95)&gt;0)&gt;0,SUMIFS(T_SelfStock[Self_Qty],T_SelfStock[RM_Code],$A60,T_SelfStock[WeekIndex],95)+SUMIFS(T_TTAFStock[TTAF_Qty],T_TTAFStock[RM_Code],$A60,T_TTAFStock[WeekIndex],95),CQ60+'Grid_Incoming'!CR60-'Grid_Requirement'!CR60))</f>
        <v/>
      </c>
      <c r="CS60">
        <f>IF(COUNTIFS(T_StockCount[RM_Code],$A60,T_StockCount[WeekIndex],96)&gt;0,SUMIFS(T_StockCount[CountedQty],T_StockCount[RM_Code],$A60,T_StockCount[WeekIndex],96),IF((COUNTIFS(T_SelfStock[RM_Code],$A60,T_SelfStock[WeekIndex],96)&gt;0)*(COUNTIFS(T_TTAFStock[RM_Code],$A60,T_TTAFStock[WeekIndex],96)&gt;0)&gt;0,SUMIFS(T_SelfStock[Self_Qty],T_SelfStock[RM_Code],$A60,T_SelfStock[WeekIndex],96)+SUMIFS(T_TTAFStock[TTAF_Qty],T_TTAFStock[RM_Code],$A60,T_TTAFStock[WeekIndex],96),CR60+'Grid_Incoming'!CS60-'Grid_Requirement'!CS60))</f>
        <v/>
      </c>
      <c r="CT60">
        <f>IF(COUNTIFS(T_StockCount[RM_Code],$A60,T_StockCount[WeekIndex],97)&gt;0,SUMIFS(T_StockCount[CountedQty],T_StockCount[RM_Code],$A60,T_StockCount[WeekIndex],97),IF((COUNTIFS(T_SelfStock[RM_Code],$A60,T_SelfStock[WeekIndex],97)&gt;0)*(COUNTIFS(T_TTAFStock[RM_Code],$A60,T_TTAFStock[WeekIndex],97)&gt;0)&gt;0,SUMIFS(T_SelfStock[Self_Qty],T_SelfStock[RM_Code],$A60,T_SelfStock[WeekIndex],97)+SUMIFS(T_TTAFStock[TTAF_Qty],T_TTAFStock[RM_Code],$A60,T_TTAFStock[WeekIndex],97),CS60+'Grid_Incoming'!CT60-'Grid_Requirement'!CT60))</f>
        <v/>
      </c>
      <c r="CU60">
        <f>IF(COUNTIFS(T_StockCount[RM_Code],$A60,T_StockCount[WeekIndex],98)&gt;0,SUMIFS(T_StockCount[CountedQty],T_StockCount[RM_Code],$A60,T_StockCount[WeekIndex],98),IF((COUNTIFS(T_SelfStock[RM_Code],$A60,T_SelfStock[WeekIndex],98)&gt;0)*(COUNTIFS(T_TTAFStock[RM_Code],$A60,T_TTAFStock[WeekIndex],98)&gt;0)&gt;0,SUMIFS(T_SelfStock[Self_Qty],T_SelfStock[RM_Code],$A60,T_SelfStock[WeekIndex],98)+SUMIFS(T_TTAFStock[TTAF_Qty],T_TTAFStock[RM_Code],$A60,T_TTAFStock[WeekIndex],98),CT60+'Grid_Incoming'!CU60-'Grid_Requirement'!CU60))</f>
        <v/>
      </c>
      <c r="CV60">
        <f>IF(COUNTIFS(T_StockCount[RM_Code],$A60,T_StockCount[WeekIndex],99)&gt;0,SUMIFS(T_StockCount[CountedQty],T_StockCount[RM_Code],$A60,T_StockCount[WeekIndex],99),IF((COUNTIFS(T_SelfStock[RM_Code],$A60,T_SelfStock[WeekIndex],99)&gt;0)*(COUNTIFS(T_TTAFStock[RM_Code],$A60,T_TTAFStock[WeekIndex],99)&gt;0)&gt;0,SUMIFS(T_SelfStock[Self_Qty],T_SelfStock[RM_Code],$A60,T_SelfStock[WeekIndex],99)+SUMIFS(T_TTAFStock[TTAF_Qty],T_TTAFStock[RM_Code],$A60,T_TTAFStock[WeekIndex],99),CU60+'Grid_Incoming'!CV60-'Grid_Requirement'!CV60))</f>
        <v/>
      </c>
      <c r="CW60">
        <f>IF(COUNTIFS(T_StockCount[RM_Code],$A60,T_StockCount[WeekIndex],100)&gt;0,SUMIFS(T_StockCount[CountedQty],T_StockCount[RM_Code],$A60,T_StockCount[WeekIndex],100),IF((COUNTIFS(T_SelfStock[RM_Code],$A60,T_SelfStock[WeekIndex],100)&gt;0)*(COUNTIFS(T_TTAFStock[RM_Code],$A60,T_TTAFStock[WeekIndex],100)&gt;0)&gt;0,SUMIFS(T_SelfStock[Self_Qty],T_SelfStock[RM_Code],$A60,T_SelfStock[WeekIndex],100)+SUMIFS(T_TTAFStock[TTAF_Qty],T_TTAFStock[RM_Code],$A60,T_TTAFStock[WeekIndex],100),CV60+'Grid_Incoming'!CW60-'Grid_Requirement'!CW60))</f>
        <v/>
      </c>
      <c r="CX60">
        <f>IF(COUNTIFS(T_StockCount[RM_Code],$A60,T_StockCount[WeekIndex],101)&gt;0,SUMIFS(T_StockCount[CountedQty],T_StockCount[RM_Code],$A60,T_StockCount[WeekIndex],101),IF((COUNTIFS(T_SelfStock[RM_Code],$A60,T_SelfStock[WeekIndex],101)&gt;0)*(COUNTIFS(T_TTAFStock[RM_Code],$A60,T_TTAFStock[WeekIndex],101)&gt;0)&gt;0,SUMIFS(T_SelfStock[Self_Qty],T_SelfStock[RM_Code],$A60,T_SelfStock[WeekIndex],101)+SUMIFS(T_TTAFStock[TTAF_Qty],T_TTAFStock[RM_Code],$A60,T_TTAFStock[WeekIndex],101),CW60+'Grid_Incoming'!CX60-'Grid_Requirement'!CX60))</f>
        <v/>
      </c>
      <c r="CY60">
        <f>IF(COUNTIFS(T_StockCount[RM_Code],$A60,T_StockCount[WeekIndex],102)&gt;0,SUMIFS(T_StockCount[CountedQty],T_StockCount[RM_Code],$A60,T_StockCount[WeekIndex],102),IF((COUNTIFS(T_SelfStock[RM_Code],$A60,T_SelfStock[WeekIndex],102)&gt;0)*(COUNTIFS(T_TTAFStock[RM_Code],$A60,T_TTAFStock[WeekIndex],102)&gt;0)&gt;0,SUMIFS(T_SelfStock[Self_Qty],T_SelfStock[RM_Code],$A60,T_SelfStock[WeekIndex],102)+SUMIFS(T_TTAFStock[TTAF_Qty],T_TTAFStock[RM_Code],$A60,T_TTAFStock[WeekIndex],102),CX60+'Grid_Incoming'!CY60-'Grid_Requirement'!CY60))</f>
        <v/>
      </c>
      <c r="CZ60">
        <f>IF(COUNTIFS(T_StockCount[RM_Code],$A60,T_StockCount[WeekIndex],103)&gt;0,SUMIFS(T_StockCount[CountedQty],T_StockCount[RM_Code],$A60,T_StockCount[WeekIndex],103),IF((COUNTIFS(T_SelfStock[RM_Code],$A60,T_SelfStock[WeekIndex],103)&gt;0)*(COUNTIFS(T_TTAFStock[RM_Code],$A60,T_TTAFStock[WeekIndex],103)&gt;0)&gt;0,SUMIFS(T_SelfStock[Self_Qty],T_SelfStock[RM_Code],$A60,T_SelfStock[WeekIndex],103)+SUMIFS(T_TTAFStock[TTAF_Qty],T_TTAFStock[RM_Code],$A60,T_TTAFStock[WeekIndex],103),CY60+'Grid_Incoming'!CZ60-'Grid_Requirement'!CZ60))</f>
        <v/>
      </c>
      <c r="DA60">
        <f>IF(COUNTIFS(T_StockCount[RM_Code],$A60,T_StockCount[WeekIndex],104)&gt;0,SUMIFS(T_StockCount[CountedQty],T_StockCount[RM_Code],$A60,T_StockCount[WeekIndex],104),IF((COUNTIFS(T_SelfStock[RM_Code],$A60,T_SelfStock[WeekIndex],104)&gt;0)*(COUNTIFS(T_TTAFStock[RM_Code],$A60,T_TTAFStock[WeekIndex],104)&gt;0)&gt;0,SUMIFS(T_SelfStock[Self_Qty],T_SelfStock[RM_Code],$A60,T_SelfStock[WeekIndex],104)+SUMIFS(T_TTAFStock[TTAF_Qty],T_TTAFStock[RM_Code],$A60,T_TTAFStock[WeekIndex],104),CZ60+'Grid_Incoming'!DA60-'Grid_Requirement'!DA60))</f>
        <v/>
      </c>
    </row>
    <row r="61">
      <c r="A61" t="inlineStr">
        <is>
          <t>CSA Code</t>
        </is>
      </c>
      <c r="B61">
        <f>IF(COUNTIFS(T_StockCount[RM_Code],$A61,T_StockCount[WeekIndex],1)&gt;0,SUMIFS(T_StockCount[CountedQty],T_StockCount[RM_Code],$A61,T_StockCount[WeekIndex],1),IF((COUNTIFS(T_SelfStock[RM_Code],$A61,T_SelfStock[WeekIndex],1)&gt;0)*(COUNTIFS(T_TTAFStock[RM_Code],$A61,T_TTAFStock[WeekIndex],1)&gt;0)&gt;0,SUMIFS(T_SelfStock[Self_Qty],T_SelfStock[RM_Code],$A61,T_SelfStock[WeekIndex],1)+SUMIFS(T_TTAFStock[TTAF_Qty],T_TTAFStock[RM_Code],$A61,T_TTAFStock[WeekIndex],1),IFERROR(INDEX(T_OpeningStock[Opening_Qty],MATCH($A61,T_OpeningStock[RM_Code],0)),0)+'Grid_Incoming'!B61-'Grid_Requirement'!B61))</f>
        <v/>
      </c>
      <c r="C61">
        <f>IF(COUNTIFS(T_StockCount[RM_Code],$A61,T_StockCount[WeekIndex],2)&gt;0,SUMIFS(T_StockCount[CountedQty],T_StockCount[RM_Code],$A61,T_StockCount[WeekIndex],2),IF((COUNTIFS(T_SelfStock[RM_Code],$A61,T_SelfStock[WeekIndex],2)&gt;0)*(COUNTIFS(T_TTAFStock[RM_Code],$A61,T_TTAFStock[WeekIndex],2)&gt;0)&gt;0,SUMIFS(T_SelfStock[Self_Qty],T_SelfStock[RM_Code],$A61,T_SelfStock[WeekIndex],2)+SUMIFS(T_TTAFStock[TTAF_Qty],T_TTAFStock[RM_Code],$A61,T_TTAFStock[WeekIndex],2),B61+'Grid_Incoming'!C61-'Grid_Requirement'!C61))</f>
        <v/>
      </c>
      <c r="D61">
        <f>IF(COUNTIFS(T_StockCount[RM_Code],$A61,T_StockCount[WeekIndex],3)&gt;0,SUMIFS(T_StockCount[CountedQty],T_StockCount[RM_Code],$A61,T_StockCount[WeekIndex],3),IF((COUNTIFS(T_SelfStock[RM_Code],$A61,T_SelfStock[WeekIndex],3)&gt;0)*(COUNTIFS(T_TTAFStock[RM_Code],$A61,T_TTAFStock[WeekIndex],3)&gt;0)&gt;0,SUMIFS(T_SelfStock[Self_Qty],T_SelfStock[RM_Code],$A61,T_SelfStock[WeekIndex],3)+SUMIFS(T_TTAFStock[TTAF_Qty],T_TTAFStock[RM_Code],$A61,T_TTAFStock[WeekIndex],3),C61+'Grid_Incoming'!D61-'Grid_Requirement'!D61))</f>
        <v/>
      </c>
      <c r="E61">
        <f>IF(COUNTIFS(T_StockCount[RM_Code],$A61,T_StockCount[WeekIndex],4)&gt;0,SUMIFS(T_StockCount[CountedQty],T_StockCount[RM_Code],$A61,T_StockCount[WeekIndex],4),IF((COUNTIFS(T_SelfStock[RM_Code],$A61,T_SelfStock[WeekIndex],4)&gt;0)*(COUNTIFS(T_TTAFStock[RM_Code],$A61,T_TTAFStock[WeekIndex],4)&gt;0)&gt;0,SUMIFS(T_SelfStock[Self_Qty],T_SelfStock[RM_Code],$A61,T_SelfStock[WeekIndex],4)+SUMIFS(T_TTAFStock[TTAF_Qty],T_TTAFStock[RM_Code],$A61,T_TTAFStock[WeekIndex],4),D61+'Grid_Incoming'!E61-'Grid_Requirement'!E61))</f>
        <v/>
      </c>
      <c r="F61">
        <f>IF(COUNTIFS(T_StockCount[RM_Code],$A61,T_StockCount[WeekIndex],5)&gt;0,SUMIFS(T_StockCount[CountedQty],T_StockCount[RM_Code],$A61,T_StockCount[WeekIndex],5),IF((COUNTIFS(T_SelfStock[RM_Code],$A61,T_SelfStock[WeekIndex],5)&gt;0)*(COUNTIFS(T_TTAFStock[RM_Code],$A61,T_TTAFStock[WeekIndex],5)&gt;0)&gt;0,SUMIFS(T_SelfStock[Self_Qty],T_SelfStock[RM_Code],$A61,T_SelfStock[WeekIndex],5)+SUMIFS(T_TTAFStock[TTAF_Qty],T_TTAFStock[RM_Code],$A61,T_TTAFStock[WeekIndex],5),E61+'Grid_Incoming'!F61-'Grid_Requirement'!F61))</f>
        <v/>
      </c>
      <c r="G61">
        <f>IF(COUNTIFS(T_StockCount[RM_Code],$A61,T_StockCount[WeekIndex],6)&gt;0,SUMIFS(T_StockCount[CountedQty],T_StockCount[RM_Code],$A61,T_StockCount[WeekIndex],6),IF((COUNTIFS(T_SelfStock[RM_Code],$A61,T_SelfStock[WeekIndex],6)&gt;0)*(COUNTIFS(T_TTAFStock[RM_Code],$A61,T_TTAFStock[WeekIndex],6)&gt;0)&gt;0,SUMIFS(T_SelfStock[Self_Qty],T_SelfStock[RM_Code],$A61,T_SelfStock[WeekIndex],6)+SUMIFS(T_TTAFStock[TTAF_Qty],T_TTAFStock[RM_Code],$A61,T_TTAFStock[WeekIndex],6),F61+'Grid_Incoming'!G61-'Grid_Requirement'!G61))</f>
        <v/>
      </c>
      <c r="H61">
        <f>IF(COUNTIFS(T_StockCount[RM_Code],$A61,T_StockCount[WeekIndex],7)&gt;0,SUMIFS(T_StockCount[CountedQty],T_StockCount[RM_Code],$A61,T_StockCount[WeekIndex],7),IF((COUNTIFS(T_SelfStock[RM_Code],$A61,T_SelfStock[WeekIndex],7)&gt;0)*(COUNTIFS(T_TTAFStock[RM_Code],$A61,T_TTAFStock[WeekIndex],7)&gt;0)&gt;0,SUMIFS(T_SelfStock[Self_Qty],T_SelfStock[RM_Code],$A61,T_SelfStock[WeekIndex],7)+SUMIFS(T_TTAFStock[TTAF_Qty],T_TTAFStock[RM_Code],$A61,T_TTAFStock[WeekIndex],7),G61+'Grid_Incoming'!H61-'Grid_Requirement'!H61))</f>
        <v/>
      </c>
      <c r="I61">
        <f>IF(COUNTIFS(T_StockCount[RM_Code],$A61,T_StockCount[WeekIndex],8)&gt;0,SUMIFS(T_StockCount[CountedQty],T_StockCount[RM_Code],$A61,T_StockCount[WeekIndex],8),IF((COUNTIFS(T_SelfStock[RM_Code],$A61,T_SelfStock[WeekIndex],8)&gt;0)*(COUNTIFS(T_TTAFStock[RM_Code],$A61,T_TTAFStock[WeekIndex],8)&gt;0)&gt;0,SUMIFS(T_SelfStock[Self_Qty],T_SelfStock[RM_Code],$A61,T_SelfStock[WeekIndex],8)+SUMIFS(T_TTAFStock[TTAF_Qty],T_TTAFStock[RM_Code],$A61,T_TTAFStock[WeekIndex],8),H61+'Grid_Incoming'!I61-'Grid_Requirement'!I61))</f>
        <v/>
      </c>
      <c r="J61">
        <f>IF(COUNTIFS(T_StockCount[RM_Code],$A61,T_StockCount[WeekIndex],9)&gt;0,SUMIFS(T_StockCount[CountedQty],T_StockCount[RM_Code],$A61,T_StockCount[WeekIndex],9),IF((COUNTIFS(T_SelfStock[RM_Code],$A61,T_SelfStock[WeekIndex],9)&gt;0)*(COUNTIFS(T_TTAFStock[RM_Code],$A61,T_TTAFStock[WeekIndex],9)&gt;0)&gt;0,SUMIFS(T_SelfStock[Self_Qty],T_SelfStock[RM_Code],$A61,T_SelfStock[WeekIndex],9)+SUMIFS(T_TTAFStock[TTAF_Qty],T_TTAFStock[RM_Code],$A61,T_TTAFStock[WeekIndex],9),I61+'Grid_Incoming'!J61-'Grid_Requirement'!J61))</f>
        <v/>
      </c>
      <c r="K61">
        <f>IF(COUNTIFS(T_StockCount[RM_Code],$A61,T_StockCount[WeekIndex],10)&gt;0,SUMIFS(T_StockCount[CountedQty],T_StockCount[RM_Code],$A61,T_StockCount[WeekIndex],10),IF((COUNTIFS(T_SelfStock[RM_Code],$A61,T_SelfStock[WeekIndex],10)&gt;0)*(COUNTIFS(T_TTAFStock[RM_Code],$A61,T_TTAFStock[WeekIndex],10)&gt;0)&gt;0,SUMIFS(T_SelfStock[Self_Qty],T_SelfStock[RM_Code],$A61,T_SelfStock[WeekIndex],10)+SUMIFS(T_TTAFStock[TTAF_Qty],T_TTAFStock[RM_Code],$A61,T_TTAFStock[WeekIndex],10),J61+'Grid_Incoming'!K61-'Grid_Requirement'!K61))</f>
        <v/>
      </c>
      <c r="L61">
        <f>IF(COUNTIFS(T_StockCount[RM_Code],$A61,T_StockCount[WeekIndex],11)&gt;0,SUMIFS(T_StockCount[CountedQty],T_StockCount[RM_Code],$A61,T_StockCount[WeekIndex],11),IF((COUNTIFS(T_SelfStock[RM_Code],$A61,T_SelfStock[WeekIndex],11)&gt;0)*(COUNTIFS(T_TTAFStock[RM_Code],$A61,T_TTAFStock[WeekIndex],11)&gt;0)&gt;0,SUMIFS(T_SelfStock[Self_Qty],T_SelfStock[RM_Code],$A61,T_SelfStock[WeekIndex],11)+SUMIFS(T_TTAFStock[TTAF_Qty],T_TTAFStock[RM_Code],$A61,T_TTAFStock[WeekIndex],11),K61+'Grid_Incoming'!L61-'Grid_Requirement'!L61))</f>
        <v/>
      </c>
      <c r="M61">
        <f>IF(COUNTIFS(T_StockCount[RM_Code],$A61,T_StockCount[WeekIndex],12)&gt;0,SUMIFS(T_StockCount[CountedQty],T_StockCount[RM_Code],$A61,T_StockCount[WeekIndex],12),IF((COUNTIFS(T_SelfStock[RM_Code],$A61,T_SelfStock[WeekIndex],12)&gt;0)*(COUNTIFS(T_TTAFStock[RM_Code],$A61,T_TTAFStock[WeekIndex],12)&gt;0)&gt;0,SUMIFS(T_SelfStock[Self_Qty],T_SelfStock[RM_Code],$A61,T_SelfStock[WeekIndex],12)+SUMIFS(T_TTAFStock[TTAF_Qty],T_TTAFStock[RM_Code],$A61,T_TTAFStock[WeekIndex],12),L61+'Grid_Incoming'!M61-'Grid_Requirement'!M61))</f>
        <v/>
      </c>
      <c r="N61">
        <f>IF(COUNTIFS(T_StockCount[RM_Code],$A61,T_StockCount[WeekIndex],13)&gt;0,SUMIFS(T_StockCount[CountedQty],T_StockCount[RM_Code],$A61,T_StockCount[WeekIndex],13),IF((COUNTIFS(T_SelfStock[RM_Code],$A61,T_SelfStock[WeekIndex],13)&gt;0)*(COUNTIFS(T_TTAFStock[RM_Code],$A61,T_TTAFStock[WeekIndex],13)&gt;0)&gt;0,SUMIFS(T_SelfStock[Self_Qty],T_SelfStock[RM_Code],$A61,T_SelfStock[WeekIndex],13)+SUMIFS(T_TTAFStock[TTAF_Qty],T_TTAFStock[RM_Code],$A61,T_TTAFStock[WeekIndex],13),M61+'Grid_Incoming'!N61-'Grid_Requirement'!N61))</f>
        <v/>
      </c>
      <c r="O61">
        <f>IF(COUNTIFS(T_StockCount[RM_Code],$A61,T_StockCount[WeekIndex],14)&gt;0,SUMIFS(T_StockCount[CountedQty],T_StockCount[RM_Code],$A61,T_StockCount[WeekIndex],14),IF((COUNTIFS(T_SelfStock[RM_Code],$A61,T_SelfStock[WeekIndex],14)&gt;0)*(COUNTIFS(T_TTAFStock[RM_Code],$A61,T_TTAFStock[WeekIndex],14)&gt;0)&gt;0,SUMIFS(T_SelfStock[Self_Qty],T_SelfStock[RM_Code],$A61,T_SelfStock[WeekIndex],14)+SUMIFS(T_TTAFStock[TTAF_Qty],T_TTAFStock[RM_Code],$A61,T_TTAFStock[WeekIndex],14),N61+'Grid_Incoming'!O61-'Grid_Requirement'!O61))</f>
        <v/>
      </c>
      <c r="P61">
        <f>IF(COUNTIFS(T_StockCount[RM_Code],$A61,T_StockCount[WeekIndex],15)&gt;0,SUMIFS(T_StockCount[CountedQty],T_StockCount[RM_Code],$A61,T_StockCount[WeekIndex],15),IF((COUNTIFS(T_SelfStock[RM_Code],$A61,T_SelfStock[WeekIndex],15)&gt;0)*(COUNTIFS(T_TTAFStock[RM_Code],$A61,T_TTAFStock[WeekIndex],15)&gt;0)&gt;0,SUMIFS(T_SelfStock[Self_Qty],T_SelfStock[RM_Code],$A61,T_SelfStock[WeekIndex],15)+SUMIFS(T_TTAFStock[TTAF_Qty],T_TTAFStock[RM_Code],$A61,T_TTAFStock[WeekIndex],15),O61+'Grid_Incoming'!P61-'Grid_Requirement'!P61))</f>
        <v/>
      </c>
      <c r="Q61">
        <f>IF(COUNTIFS(T_StockCount[RM_Code],$A61,T_StockCount[WeekIndex],16)&gt;0,SUMIFS(T_StockCount[CountedQty],T_StockCount[RM_Code],$A61,T_StockCount[WeekIndex],16),IF((COUNTIFS(T_SelfStock[RM_Code],$A61,T_SelfStock[WeekIndex],16)&gt;0)*(COUNTIFS(T_TTAFStock[RM_Code],$A61,T_TTAFStock[WeekIndex],16)&gt;0)&gt;0,SUMIFS(T_SelfStock[Self_Qty],T_SelfStock[RM_Code],$A61,T_SelfStock[WeekIndex],16)+SUMIFS(T_TTAFStock[TTAF_Qty],T_TTAFStock[RM_Code],$A61,T_TTAFStock[WeekIndex],16),P61+'Grid_Incoming'!Q61-'Grid_Requirement'!Q61))</f>
        <v/>
      </c>
      <c r="R61">
        <f>IF(COUNTIFS(T_StockCount[RM_Code],$A61,T_StockCount[WeekIndex],17)&gt;0,SUMIFS(T_StockCount[CountedQty],T_StockCount[RM_Code],$A61,T_StockCount[WeekIndex],17),IF((COUNTIFS(T_SelfStock[RM_Code],$A61,T_SelfStock[WeekIndex],17)&gt;0)*(COUNTIFS(T_TTAFStock[RM_Code],$A61,T_TTAFStock[WeekIndex],17)&gt;0)&gt;0,SUMIFS(T_SelfStock[Self_Qty],T_SelfStock[RM_Code],$A61,T_SelfStock[WeekIndex],17)+SUMIFS(T_TTAFStock[TTAF_Qty],T_TTAFStock[RM_Code],$A61,T_TTAFStock[WeekIndex],17),Q61+'Grid_Incoming'!R61-'Grid_Requirement'!R61))</f>
        <v/>
      </c>
      <c r="S61">
        <f>IF(COUNTIFS(T_StockCount[RM_Code],$A61,T_StockCount[WeekIndex],18)&gt;0,SUMIFS(T_StockCount[CountedQty],T_StockCount[RM_Code],$A61,T_StockCount[WeekIndex],18),IF((COUNTIFS(T_SelfStock[RM_Code],$A61,T_SelfStock[WeekIndex],18)&gt;0)*(COUNTIFS(T_TTAFStock[RM_Code],$A61,T_TTAFStock[WeekIndex],18)&gt;0)&gt;0,SUMIFS(T_SelfStock[Self_Qty],T_SelfStock[RM_Code],$A61,T_SelfStock[WeekIndex],18)+SUMIFS(T_TTAFStock[TTAF_Qty],T_TTAFStock[RM_Code],$A61,T_TTAFStock[WeekIndex],18),R61+'Grid_Incoming'!S61-'Grid_Requirement'!S61))</f>
        <v/>
      </c>
      <c r="T61">
        <f>IF(COUNTIFS(T_StockCount[RM_Code],$A61,T_StockCount[WeekIndex],19)&gt;0,SUMIFS(T_StockCount[CountedQty],T_StockCount[RM_Code],$A61,T_StockCount[WeekIndex],19),IF((COUNTIFS(T_SelfStock[RM_Code],$A61,T_SelfStock[WeekIndex],19)&gt;0)*(COUNTIFS(T_TTAFStock[RM_Code],$A61,T_TTAFStock[WeekIndex],19)&gt;0)&gt;0,SUMIFS(T_SelfStock[Self_Qty],T_SelfStock[RM_Code],$A61,T_SelfStock[WeekIndex],19)+SUMIFS(T_TTAFStock[TTAF_Qty],T_TTAFStock[RM_Code],$A61,T_TTAFStock[WeekIndex],19),S61+'Grid_Incoming'!T61-'Grid_Requirement'!T61))</f>
        <v/>
      </c>
      <c r="U61">
        <f>IF(COUNTIFS(T_StockCount[RM_Code],$A61,T_StockCount[WeekIndex],20)&gt;0,SUMIFS(T_StockCount[CountedQty],T_StockCount[RM_Code],$A61,T_StockCount[WeekIndex],20),IF((COUNTIFS(T_SelfStock[RM_Code],$A61,T_SelfStock[WeekIndex],20)&gt;0)*(COUNTIFS(T_TTAFStock[RM_Code],$A61,T_TTAFStock[WeekIndex],20)&gt;0)&gt;0,SUMIFS(T_SelfStock[Self_Qty],T_SelfStock[RM_Code],$A61,T_SelfStock[WeekIndex],20)+SUMIFS(T_TTAFStock[TTAF_Qty],T_TTAFStock[RM_Code],$A61,T_TTAFStock[WeekIndex],20),T61+'Grid_Incoming'!U61-'Grid_Requirement'!U61))</f>
        <v/>
      </c>
      <c r="V61">
        <f>IF(COUNTIFS(T_StockCount[RM_Code],$A61,T_StockCount[WeekIndex],21)&gt;0,SUMIFS(T_StockCount[CountedQty],T_StockCount[RM_Code],$A61,T_StockCount[WeekIndex],21),IF((COUNTIFS(T_SelfStock[RM_Code],$A61,T_SelfStock[WeekIndex],21)&gt;0)*(COUNTIFS(T_TTAFStock[RM_Code],$A61,T_TTAFStock[WeekIndex],21)&gt;0)&gt;0,SUMIFS(T_SelfStock[Self_Qty],T_SelfStock[RM_Code],$A61,T_SelfStock[WeekIndex],21)+SUMIFS(T_TTAFStock[TTAF_Qty],T_TTAFStock[RM_Code],$A61,T_TTAFStock[WeekIndex],21),U61+'Grid_Incoming'!V61-'Grid_Requirement'!V61))</f>
        <v/>
      </c>
      <c r="W61">
        <f>IF(COUNTIFS(T_StockCount[RM_Code],$A61,T_StockCount[WeekIndex],22)&gt;0,SUMIFS(T_StockCount[CountedQty],T_StockCount[RM_Code],$A61,T_StockCount[WeekIndex],22),IF((COUNTIFS(T_SelfStock[RM_Code],$A61,T_SelfStock[WeekIndex],22)&gt;0)*(COUNTIFS(T_TTAFStock[RM_Code],$A61,T_TTAFStock[WeekIndex],22)&gt;0)&gt;0,SUMIFS(T_SelfStock[Self_Qty],T_SelfStock[RM_Code],$A61,T_SelfStock[WeekIndex],22)+SUMIFS(T_TTAFStock[TTAF_Qty],T_TTAFStock[RM_Code],$A61,T_TTAFStock[WeekIndex],22),V61+'Grid_Incoming'!W61-'Grid_Requirement'!W61))</f>
        <v/>
      </c>
      <c r="X61">
        <f>IF(COUNTIFS(T_StockCount[RM_Code],$A61,T_StockCount[WeekIndex],23)&gt;0,SUMIFS(T_StockCount[CountedQty],T_StockCount[RM_Code],$A61,T_StockCount[WeekIndex],23),IF((COUNTIFS(T_SelfStock[RM_Code],$A61,T_SelfStock[WeekIndex],23)&gt;0)*(COUNTIFS(T_TTAFStock[RM_Code],$A61,T_TTAFStock[WeekIndex],23)&gt;0)&gt;0,SUMIFS(T_SelfStock[Self_Qty],T_SelfStock[RM_Code],$A61,T_SelfStock[WeekIndex],23)+SUMIFS(T_TTAFStock[TTAF_Qty],T_TTAFStock[RM_Code],$A61,T_TTAFStock[WeekIndex],23),W61+'Grid_Incoming'!X61-'Grid_Requirement'!X61))</f>
        <v/>
      </c>
      <c r="Y61">
        <f>IF(COUNTIFS(T_StockCount[RM_Code],$A61,T_StockCount[WeekIndex],24)&gt;0,SUMIFS(T_StockCount[CountedQty],T_StockCount[RM_Code],$A61,T_StockCount[WeekIndex],24),IF((COUNTIFS(T_SelfStock[RM_Code],$A61,T_SelfStock[WeekIndex],24)&gt;0)*(COUNTIFS(T_TTAFStock[RM_Code],$A61,T_TTAFStock[WeekIndex],24)&gt;0)&gt;0,SUMIFS(T_SelfStock[Self_Qty],T_SelfStock[RM_Code],$A61,T_SelfStock[WeekIndex],24)+SUMIFS(T_TTAFStock[TTAF_Qty],T_TTAFStock[RM_Code],$A61,T_TTAFStock[WeekIndex],24),X61+'Grid_Incoming'!Y61-'Grid_Requirement'!Y61))</f>
        <v/>
      </c>
      <c r="Z61">
        <f>IF(COUNTIFS(T_StockCount[RM_Code],$A61,T_StockCount[WeekIndex],25)&gt;0,SUMIFS(T_StockCount[CountedQty],T_StockCount[RM_Code],$A61,T_StockCount[WeekIndex],25),IF((COUNTIFS(T_SelfStock[RM_Code],$A61,T_SelfStock[WeekIndex],25)&gt;0)*(COUNTIFS(T_TTAFStock[RM_Code],$A61,T_TTAFStock[WeekIndex],25)&gt;0)&gt;0,SUMIFS(T_SelfStock[Self_Qty],T_SelfStock[RM_Code],$A61,T_SelfStock[WeekIndex],25)+SUMIFS(T_TTAFStock[TTAF_Qty],T_TTAFStock[RM_Code],$A61,T_TTAFStock[WeekIndex],25),Y61+'Grid_Incoming'!Z61-'Grid_Requirement'!Z61))</f>
        <v/>
      </c>
      <c r="AA61">
        <f>IF(COUNTIFS(T_StockCount[RM_Code],$A61,T_StockCount[WeekIndex],26)&gt;0,SUMIFS(T_StockCount[CountedQty],T_StockCount[RM_Code],$A61,T_StockCount[WeekIndex],26),IF((COUNTIFS(T_SelfStock[RM_Code],$A61,T_SelfStock[WeekIndex],26)&gt;0)*(COUNTIFS(T_TTAFStock[RM_Code],$A61,T_TTAFStock[WeekIndex],26)&gt;0)&gt;0,SUMIFS(T_SelfStock[Self_Qty],T_SelfStock[RM_Code],$A61,T_SelfStock[WeekIndex],26)+SUMIFS(T_TTAFStock[TTAF_Qty],T_TTAFStock[RM_Code],$A61,T_TTAFStock[WeekIndex],26),Z61+'Grid_Incoming'!AA61-'Grid_Requirement'!AA61))</f>
        <v/>
      </c>
      <c r="AB61">
        <f>IF(COUNTIFS(T_StockCount[RM_Code],$A61,T_StockCount[WeekIndex],27)&gt;0,SUMIFS(T_StockCount[CountedQty],T_StockCount[RM_Code],$A61,T_StockCount[WeekIndex],27),IF((COUNTIFS(T_SelfStock[RM_Code],$A61,T_SelfStock[WeekIndex],27)&gt;0)*(COUNTIFS(T_TTAFStock[RM_Code],$A61,T_TTAFStock[WeekIndex],27)&gt;0)&gt;0,SUMIFS(T_SelfStock[Self_Qty],T_SelfStock[RM_Code],$A61,T_SelfStock[WeekIndex],27)+SUMIFS(T_TTAFStock[TTAF_Qty],T_TTAFStock[RM_Code],$A61,T_TTAFStock[WeekIndex],27),AA61+'Grid_Incoming'!AB61-'Grid_Requirement'!AB61))</f>
        <v/>
      </c>
      <c r="AC61">
        <f>IF(COUNTIFS(T_StockCount[RM_Code],$A61,T_StockCount[WeekIndex],28)&gt;0,SUMIFS(T_StockCount[CountedQty],T_StockCount[RM_Code],$A61,T_StockCount[WeekIndex],28),IF((COUNTIFS(T_SelfStock[RM_Code],$A61,T_SelfStock[WeekIndex],28)&gt;0)*(COUNTIFS(T_TTAFStock[RM_Code],$A61,T_TTAFStock[WeekIndex],28)&gt;0)&gt;0,SUMIFS(T_SelfStock[Self_Qty],T_SelfStock[RM_Code],$A61,T_SelfStock[WeekIndex],28)+SUMIFS(T_TTAFStock[TTAF_Qty],T_TTAFStock[RM_Code],$A61,T_TTAFStock[WeekIndex],28),AB61+'Grid_Incoming'!AC61-'Grid_Requirement'!AC61))</f>
        <v/>
      </c>
      <c r="AD61">
        <f>IF(COUNTIFS(T_StockCount[RM_Code],$A61,T_StockCount[WeekIndex],29)&gt;0,SUMIFS(T_StockCount[CountedQty],T_StockCount[RM_Code],$A61,T_StockCount[WeekIndex],29),IF((COUNTIFS(T_SelfStock[RM_Code],$A61,T_SelfStock[WeekIndex],29)&gt;0)*(COUNTIFS(T_TTAFStock[RM_Code],$A61,T_TTAFStock[WeekIndex],29)&gt;0)&gt;0,SUMIFS(T_SelfStock[Self_Qty],T_SelfStock[RM_Code],$A61,T_SelfStock[WeekIndex],29)+SUMIFS(T_TTAFStock[TTAF_Qty],T_TTAFStock[RM_Code],$A61,T_TTAFStock[WeekIndex],29),AC61+'Grid_Incoming'!AD61-'Grid_Requirement'!AD61))</f>
        <v/>
      </c>
      <c r="AE61">
        <f>IF(COUNTIFS(T_StockCount[RM_Code],$A61,T_StockCount[WeekIndex],30)&gt;0,SUMIFS(T_StockCount[CountedQty],T_StockCount[RM_Code],$A61,T_StockCount[WeekIndex],30),IF((COUNTIFS(T_SelfStock[RM_Code],$A61,T_SelfStock[WeekIndex],30)&gt;0)*(COUNTIFS(T_TTAFStock[RM_Code],$A61,T_TTAFStock[WeekIndex],30)&gt;0)&gt;0,SUMIFS(T_SelfStock[Self_Qty],T_SelfStock[RM_Code],$A61,T_SelfStock[WeekIndex],30)+SUMIFS(T_TTAFStock[TTAF_Qty],T_TTAFStock[RM_Code],$A61,T_TTAFStock[WeekIndex],30),AD61+'Grid_Incoming'!AE61-'Grid_Requirement'!AE61))</f>
        <v/>
      </c>
      <c r="AF61">
        <f>IF(COUNTIFS(T_StockCount[RM_Code],$A61,T_StockCount[WeekIndex],31)&gt;0,SUMIFS(T_StockCount[CountedQty],T_StockCount[RM_Code],$A61,T_StockCount[WeekIndex],31),IF((COUNTIFS(T_SelfStock[RM_Code],$A61,T_SelfStock[WeekIndex],31)&gt;0)*(COUNTIFS(T_TTAFStock[RM_Code],$A61,T_TTAFStock[WeekIndex],31)&gt;0)&gt;0,SUMIFS(T_SelfStock[Self_Qty],T_SelfStock[RM_Code],$A61,T_SelfStock[WeekIndex],31)+SUMIFS(T_TTAFStock[TTAF_Qty],T_TTAFStock[RM_Code],$A61,T_TTAFStock[WeekIndex],31),AE61+'Grid_Incoming'!AF61-'Grid_Requirement'!AF61))</f>
        <v/>
      </c>
      <c r="AG61">
        <f>IF(COUNTIFS(T_StockCount[RM_Code],$A61,T_StockCount[WeekIndex],32)&gt;0,SUMIFS(T_StockCount[CountedQty],T_StockCount[RM_Code],$A61,T_StockCount[WeekIndex],32),IF((COUNTIFS(T_SelfStock[RM_Code],$A61,T_SelfStock[WeekIndex],32)&gt;0)*(COUNTIFS(T_TTAFStock[RM_Code],$A61,T_TTAFStock[WeekIndex],32)&gt;0)&gt;0,SUMIFS(T_SelfStock[Self_Qty],T_SelfStock[RM_Code],$A61,T_SelfStock[WeekIndex],32)+SUMIFS(T_TTAFStock[TTAF_Qty],T_TTAFStock[RM_Code],$A61,T_TTAFStock[WeekIndex],32),AF61+'Grid_Incoming'!AG61-'Grid_Requirement'!AG61))</f>
        <v/>
      </c>
      <c r="AH61">
        <f>IF(COUNTIFS(T_StockCount[RM_Code],$A61,T_StockCount[WeekIndex],33)&gt;0,SUMIFS(T_StockCount[CountedQty],T_StockCount[RM_Code],$A61,T_StockCount[WeekIndex],33),IF((COUNTIFS(T_SelfStock[RM_Code],$A61,T_SelfStock[WeekIndex],33)&gt;0)*(COUNTIFS(T_TTAFStock[RM_Code],$A61,T_TTAFStock[WeekIndex],33)&gt;0)&gt;0,SUMIFS(T_SelfStock[Self_Qty],T_SelfStock[RM_Code],$A61,T_SelfStock[WeekIndex],33)+SUMIFS(T_TTAFStock[TTAF_Qty],T_TTAFStock[RM_Code],$A61,T_TTAFStock[WeekIndex],33),AG61+'Grid_Incoming'!AH61-'Grid_Requirement'!AH61))</f>
        <v/>
      </c>
      <c r="AI61">
        <f>IF(COUNTIFS(T_StockCount[RM_Code],$A61,T_StockCount[WeekIndex],34)&gt;0,SUMIFS(T_StockCount[CountedQty],T_StockCount[RM_Code],$A61,T_StockCount[WeekIndex],34),IF((COUNTIFS(T_SelfStock[RM_Code],$A61,T_SelfStock[WeekIndex],34)&gt;0)*(COUNTIFS(T_TTAFStock[RM_Code],$A61,T_TTAFStock[WeekIndex],34)&gt;0)&gt;0,SUMIFS(T_SelfStock[Self_Qty],T_SelfStock[RM_Code],$A61,T_SelfStock[WeekIndex],34)+SUMIFS(T_TTAFStock[TTAF_Qty],T_TTAFStock[RM_Code],$A61,T_TTAFStock[WeekIndex],34),AH61+'Grid_Incoming'!AI61-'Grid_Requirement'!AI61))</f>
        <v/>
      </c>
      <c r="AJ61">
        <f>IF(COUNTIFS(T_StockCount[RM_Code],$A61,T_StockCount[WeekIndex],35)&gt;0,SUMIFS(T_StockCount[CountedQty],T_StockCount[RM_Code],$A61,T_StockCount[WeekIndex],35),IF((COUNTIFS(T_SelfStock[RM_Code],$A61,T_SelfStock[WeekIndex],35)&gt;0)*(COUNTIFS(T_TTAFStock[RM_Code],$A61,T_TTAFStock[WeekIndex],35)&gt;0)&gt;0,SUMIFS(T_SelfStock[Self_Qty],T_SelfStock[RM_Code],$A61,T_SelfStock[WeekIndex],35)+SUMIFS(T_TTAFStock[TTAF_Qty],T_TTAFStock[RM_Code],$A61,T_TTAFStock[WeekIndex],35),AI61+'Grid_Incoming'!AJ61-'Grid_Requirement'!AJ61))</f>
        <v/>
      </c>
      <c r="AK61">
        <f>IF(COUNTIFS(T_StockCount[RM_Code],$A61,T_StockCount[WeekIndex],36)&gt;0,SUMIFS(T_StockCount[CountedQty],T_StockCount[RM_Code],$A61,T_StockCount[WeekIndex],36),IF((COUNTIFS(T_SelfStock[RM_Code],$A61,T_SelfStock[WeekIndex],36)&gt;0)*(COUNTIFS(T_TTAFStock[RM_Code],$A61,T_TTAFStock[WeekIndex],36)&gt;0)&gt;0,SUMIFS(T_SelfStock[Self_Qty],T_SelfStock[RM_Code],$A61,T_SelfStock[WeekIndex],36)+SUMIFS(T_TTAFStock[TTAF_Qty],T_TTAFStock[RM_Code],$A61,T_TTAFStock[WeekIndex],36),AJ61+'Grid_Incoming'!AK61-'Grid_Requirement'!AK61))</f>
        <v/>
      </c>
      <c r="AL61">
        <f>IF(COUNTIFS(T_StockCount[RM_Code],$A61,T_StockCount[WeekIndex],37)&gt;0,SUMIFS(T_StockCount[CountedQty],T_StockCount[RM_Code],$A61,T_StockCount[WeekIndex],37),IF((COUNTIFS(T_SelfStock[RM_Code],$A61,T_SelfStock[WeekIndex],37)&gt;0)*(COUNTIFS(T_TTAFStock[RM_Code],$A61,T_TTAFStock[WeekIndex],37)&gt;0)&gt;0,SUMIFS(T_SelfStock[Self_Qty],T_SelfStock[RM_Code],$A61,T_SelfStock[WeekIndex],37)+SUMIFS(T_TTAFStock[TTAF_Qty],T_TTAFStock[RM_Code],$A61,T_TTAFStock[WeekIndex],37),AK61+'Grid_Incoming'!AL61-'Grid_Requirement'!AL61))</f>
        <v/>
      </c>
      <c r="AM61">
        <f>IF(COUNTIFS(T_StockCount[RM_Code],$A61,T_StockCount[WeekIndex],38)&gt;0,SUMIFS(T_StockCount[CountedQty],T_StockCount[RM_Code],$A61,T_StockCount[WeekIndex],38),IF((COUNTIFS(T_SelfStock[RM_Code],$A61,T_SelfStock[WeekIndex],38)&gt;0)*(COUNTIFS(T_TTAFStock[RM_Code],$A61,T_TTAFStock[WeekIndex],38)&gt;0)&gt;0,SUMIFS(T_SelfStock[Self_Qty],T_SelfStock[RM_Code],$A61,T_SelfStock[WeekIndex],38)+SUMIFS(T_TTAFStock[TTAF_Qty],T_TTAFStock[RM_Code],$A61,T_TTAFStock[WeekIndex],38),AL61+'Grid_Incoming'!AM61-'Grid_Requirement'!AM61))</f>
        <v/>
      </c>
      <c r="AN61">
        <f>IF(COUNTIFS(T_StockCount[RM_Code],$A61,T_StockCount[WeekIndex],39)&gt;0,SUMIFS(T_StockCount[CountedQty],T_StockCount[RM_Code],$A61,T_StockCount[WeekIndex],39),IF((COUNTIFS(T_SelfStock[RM_Code],$A61,T_SelfStock[WeekIndex],39)&gt;0)*(COUNTIFS(T_TTAFStock[RM_Code],$A61,T_TTAFStock[WeekIndex],39)&gt;0)&gt;0,SUMIFS(T_SelfStock[Self_Qty],T_SelfStock[RM_Code],$A61,T_SelfStock[WeekIndex],39)+SUMIFS(T_TTAFStock[TTAF_Qty],T_TTAFStock[RM_Code],$A61,T_TTAFStock[WeekIndex],39),AM61+'Grid_Incoming'!AN61-'Grid_Requirement'!AN61))</f>
        <v/>
      </c>
      <c r="AO61">
        <f>IF(COUNTIFS(T_StockCount[RM_Code],$A61,T_StockCount[WeekIndex],40)&gt;0,SUMIFS(T_StockCount[CountedQty],T_StockCount[RM_Code],$A61,T_StockCount[WeekIndex],40),IF((COUNTIFS(T_SelfStock[RM_Code],$A61,T_SelfStock[WeekIndex],40)&gt;0)*(COUNTIFS(T_TTAFStock[RM_Code],$A61,T_TTAFStock[WeekIndex],40)&gt;0)&gt;0,SUMIFS(T_SelfStock[Self_Qty],T_SelfStock[RM_Code],$A61,T_SelfStock[WeekIndex],40)+SUMIFS(T_TTAFStock[TTAF_Qty],T_TTAFStock[RM_Code],$A61,T_TTAFStock[WeekIndex],40),AN61+'Grid_Incoming'!AO61-'Grid_Requirement'!AO61))</f>
        <v/>
      </c>
      <c r="AP61">
        <f>IF(COUNTIFS(T_StockCount[RM_Code],$A61,T_StockCount[WeekIndex],41)&gt;0,SUMIFS(T_StockCount[CountedQty],T_StockCount[RM_Code],$A61,T_StockCount[WeekIndex],41),IF((COUNTIFS(T_SelfStock[RM_Code],$A61,T_SelfStock[WeekIndex],41)&gt;0)*(COUNTIFS(T_TTAFStock[RM_Code],$A61,T_TTAFStock[WeekIndex],41)&gt;0)&gt;0,SUMIFS(T_SelfStock[Self_Qty],T_SelfStock[RM_Code],$A61,T_SelfStock[WeekIndex],41)+SUMIFS(T_TTAFStock[TTAF_Qty],T_TTAFStock[RM_Code],$A61,T_TTAFStock[WeekIndex],41),AO61+'Grid_Incoming'!AP61-'Grid_Requirement'!AP61))</f>
        <v/>
      </c>
      <c r="AQ61">
        <f>IF(COUNTIFS(T_StockCount[RM_Code],$A61,T_StockCount[WeekIndex],42)&gt;0,SUMIFS(T_StockCount[CountedQty],T_StockCount[RM_Code],$A61,T_StockCount[WeekIndex],42),IF((COUNTIFS(T_SelfStock[RM_Code],$A61,T_SelfStock[WeekIndex],42)&gt;0)*(COUNTIFS(T_TTAFStock[RM_Code],$A61,T_TTAFStock[WeekIndex],42)&gt;0)&gt;0,SUMIFS(T_SelfStock[Self_Qty],T_SelfStock[RM_Code],$A61,T_SelfStock[WeekIndex],42)+SUMIFS(T_TTAFStock[TTAF_Qty],T_TTAFStock[RM_Code],$A61,T_TTAFStock[WeekIndex],42),AP61+'Grid_Incoming'!AQ61-'Grid_Requirement'!AQ61))</f>
        <v/>
      </c>
      <c r="AR61">
        <f>IF(COUNTIFS(T_StockCount[RM_Code],$A61,T_StockCount[WeekIndex],43)&gt;0,SUMIFS(T_StockCount[CountedQty],T_StockCount[RM_Code],$A61,T_StockCount[WeekIndex],43),IF((COUNTIFS(T_SelfStock[RM_Code],$A61,T_SelfStock[WeekIndex],43)&gt;0)*(COUNTIFS(T_TTAFStock[RM_Code],$A61,T_TTAFStock[WeekIndex],43)&gt;0)&gt;0,SUMIFS(T_SelfStock[Self_Qty],T_SelfStock[RM_Code],$A61,T_SelfStock[WeekIndex],43)+SUMIFS(T_TTAFStock[TTAF_Qty],T_TTAFStock[RM_Code],$A61,T_TTAFStock[WeekIndex],43),AQ61+'Grid_Incoming'!AR61-'Grid_Requirement'!AR61))</f>
        <v/>
      </c>
      <c r="AS61">
        <f>IF(COUNTIFS(T_StockCount[RM_Code],$A61,T_StockCount[WeekIndex],44)&gt;0,SUMIFS(T_StockCount[CountedQty],T_StockCount[RM_Code],$A61,T_StockCount[WeekIndex],44),IF((COUNTIFS(T_SelfStock[RM_Code],$A61,T_SelfStock[WeekIndex],44)&gt;0)*(COUNTIFS(T_TTAFStock[RM_Code],$A61,T_TTAFStock[WeekIndex],44)&gt;0)&gt;0,SUMIFS(T_SelfStock[Self_Qty],T_SelfStock[RM_Code],$A61,T_SelfStock[WeekIndex],44)+SUMIFS(T_TTAFStock[TTAF_Qty],T_TTAFStock[RM_Code],$A61,T_TTAFStock[WeekIndex],44),AR61+'Grid_Incoming'!AS61-'Grid_Requirement'!AS61))</f>
        <v/>
      </c>
      <c r="AT61">
        <f>IF(COUNTIFS(T_StockCount[RM_Code],$A61,T_StockCount[WeekIndex],45)&gt;0,SUMIFS(T_StockCount[CountedQty],T_StockCount[RM_Code],$A61,T_StockCount[WeekIndex],45),IF((COUNTIFS(T_SelfStock[RM_Code],$A61,T_SelfStock[WeekIndex],45)&gt;0)*(COUNTIFS(T_TTAFStock[RM_Code],$A61,T_TTAFStock[WeekIndex],45)&gt;0)&gt;0,SUMIFS(T_SelfStock[Self_Qty],T_SelfStock[RM_Code],$A61,T_SelfStock[WeekIndex],45)+SUMIFS(T_TTAFStock[TTAF_Qty],T_TTAFStock[RM_Code],$A61,T_TTAFStock[WeekIndex],45),AS61+'Grid_Incoming'!AT61-'Grid_Requirement'!AT61))</f>
        <v/>
      </c>
      <c r="AU61">
        <f>IF(COUNTIFS(T_StockCount[RM_Code],$A61,T_StockCount[WeekIndex],46)&gt;0,SUMIFS(T_StockCount[CountedQty],T_StockCount[RM_Code],$A61,T_StockCount[WeekIndex],46),IF((COUNTIFS(T_SelfStock[RM_Code],$A61,T_SelfStock[WeekIndex],46)&gt;0)*(COUNTIFS(T_TTAFStock[RM_Code],$A61,T_TTAFStock[WeekIndex],46)&gt;0)&gt;0,SUMIFS(T_SelfStock[Self_Qty],T_SelfStock[RM_Code],$A61,T_SelfStock[WeekIndex],46)+SUMIFS(T_TTAFStock[TTAF_Qty],T_TTAFStock[RM_Code],$A61,T_TTAFStock[WeekIndex],46),AT61+'Grid_Incoming'!AU61-'Grid_Requirement'!AU61))</f>
        <v/>
      </c>
      <c r="AV61">
        <f>IF(COUNTIFS(T_StockCount[RM_Code],$A61,T_StockCount[WeekIndex],47)&gt;0,SUMIFS(T_StockCount[CountedQty],T_StockCount[RM_Code],$A61,T_StockCount[WeekIndex],47),IF((COUNTIFS(T_SelfStock[RM_Code],$A61,T_SelfStock[WeekIndex],47)&gt;0)*(COUNTIFS(T_TTAFStock[RM_Code],$A61,T_TTAFStock[WeekIndex],47)&gt;0)&gt;0,SUMIFS(T_SelfStock[Self_Qty],T_SelfStock[RM_Code],$A61,T_SelfStock[WeekIndex],47)+SUMIFS(T_TTAFStock[TTAF_Qty],T_TTAFStock[RM_Code],$A61,T_TTAFStock[WeekIndex],47),AU61+'Grid_Incoming'!AV61-'Grid_Requirement'!AV61))</f>
        <v/>
      </c>
      <c r="AW61">
        <f>IF(COUNTIFS(T_StockCount[RM_Code],$A61,T_StockCount[WeekIndex],48)&gt;0,SUMIFS(T_StockCount[CountedQty],T_StockCount[RM_Code],$A61,T_StockCount[WeekIndex],48),IF((COUNTIFS(T_SelfStock[RM_Code],$A61,T_SelfStock[WeekIndex],48)&gt;0)*(COUNTIFS(T_TTAFStock[RM_Code],$A61,T_TTAFStock[WeekIndex],48)&gt;0)&gt;0,SUMIFS(T_SelfStock[Self_Qty],T_SelfStock[RM_Code],$A61,T_SelfStock[WeekIndex],48)+SUMIFS(T_TTAFStock[TTAF_Qty],T_TTAFStock[RM_Code],$A61,T_TTAFStock[WeekIndex],48),AV61+'Grid_Incoming'!AW61-'Grid_Requirement'!AW61))</f>
        <v/>
      </c>
      <c r="AX61">
        <f>IF(COUNTIFS(T_StockCount[RM_Code],$A61,T_StockCount[WeekIndex],49)&gt;0,SUMIFS(T_StockCount[CountedQty],T_StockCount[RM_Code],$A61,T_StockCount[WeekIndex],49),IF((COUNTIFS(T_SelfStock[RM_Code],$A61,T_SelfStock[WeekIndex],49)&gt;0)*(COUNTIFS(T_TTAFStock[RM_Code],$A61,T_TTAFStock[WeekIndex],49)&gt;0)&gt;0,SUMIFS(T_SelfStock[Self_Qty],T_SelfStock[RM_Code],$A61,T_SelfStock[WeekIndex],49)+SUMIFS(T_TTAFStock[TTAF_Qty],T_TTAFStock[RM_Code],$A61,T_TTAFStock[WeekIndex],49),AW61+'Grid_Incoming'!AX61-'Grid_Requirement'!AX61))</f>
        <v/>
      </c>
      <c r="AY61">
        <f>IF(COUNTIFS(T_StockCount[RM_Code],$A61,T_StockCount[WeekIndex],50)&gt;0,SUMIFS(T_StockCount[CountedQty],T_StockCount[RM_Code],$A61,T_StockCount[WeekIndex],50),IF((COUNTIFS(T_SelfStock[RM_Code],$A61,T_SelfStock[WeekIndex],50)&gt;0)*(COUNTIFS(T_TTAFStock[RM_Code],$A61,T_TTAFStock[WeekIndex],50)&gt;0)&gt;0,SUMIFS(T_SelfStock[Self_Qty],T_SelfStock[RM_Code],$A61,T_SelfStock[WeekIndex],50)+SUMIFS(T_TTAFStock[TTAF_Qty],T_TTAFStock[RM_Code],$A61,T_TTAFStock[WeekIndex],50),AX61+'Grid_Incoming'!AY61-'Grid_Requirement'!AY61))</f>
        <v/>
      </c>
      <c r="AZ61">
        <f>IF(COUNTIFS(T_StockCount[RM_Code],$A61,T_StockCount[WeekIndex],51)&gt;0,SUMIFS(T_StockCount[CountedQty],T_StockCount[RM_Code],$A61,T_StockCount[WeekIndex],51),IF((COUNTIFS(T_SelfStock[RM_Code],$A61,T_SelfStock[WeekIndex],51)&gt;0)*(COUNTIFS(T_TTAFStock[RM_Code],$A61,T_TTAFStock[WeekIndex],51)&gt;0)&gt;0,SUMIFS(T_SelfStock[Self_Qty],T_SelfStock[RM_Code],$A61,T_SelfStock[WeekIndex],51)+SUMIFS(T_TTAFStock[TTAF_Qty],T_TTAFStock[RM_Code],$A61,T_TTAFStock[WeekIndex],51),AY61+'Grid_Incoming'!AZ61-'Grid_Requirement'!AZ61))</f>
        <v/>
      </c>
      <c r="BA61">
        <f>IF(COUNTIFS(T_StockCount[RM_Code],$A61,T_StockCount[WeekIndex],52)&gt;0,SUMIFS(T_StockCount[CountedQty],T_StockCount[RM_Code],$A61,T_StockCount[WeekIndex],52),IF((COUNTIFS(T_SelfStock[RM_Code],$A61,T_SelfStock[WeekIndex],52)&gt;0)*(COUNTIFS(T_TTAFStock[RM_Code],$A61,T_TTAFStock[WeekIndex],52)&gt;0)&gt;0,SUMIFS(T_SelfStock[Self_Qty],T_SelfStock[RM_Code],$A61,T_SelfStock[WeekIndex],52)+SUMIFS(T_TTAFStock[TTAF_Qty],T_TTAFStock[RM_Code],$A61,T_TTAFStock[WeekIndex],52),AZ61+'Grid_Incoming'!BA61-'Grid_Requirement'!BA61))</f>
        <v/>
      </c>
      <c r="BB61">
        <f>IF(COUNTIFS(T_StockCount[RM_Code],$A61,T_StockCount[WeekIndex],53)&gt;0,SUMIFS(T_StockCount[CountedQty],T_StockCount[RM_Code],$A61,T_StockCount[WeekIndex],53),IF((COUNTIFS(T_SelfStock[RM_Code],$A61,T_SelfStock[WeekIndex],53)&gt;0)*(COUNTIFS(T_TTAFStock[RM_Code],$A61,T_TTAFStock[WeekIndex],53)&gt;0)&gt;0,SUMIFS(T_SelfStock[Self_Qty],T_SelfStock[RM_Code],$A61,T_SelfStock[WeekIndex],53)+SUMIFS(T_TTAFStock[TTAF_Qty],T_TTAFStock[RM_Code],$A61,T_TTAFStock[WeekIndex],53),BA61+'Grid_Incoming'!BB61-'Grid_Requirement'!BB61))</f>
        <v/>
      </c>
      <c r="BC61">
        <f>IF(COUNTIFS(T_StockCount[RM_Code],$A61,T_StockCount[WeekIndex],54)&gt;0,SUMIFS(T_StockCount[CountedQty],T_StockCount[RM_Code],$A61,T_StockCount[WeekIndex],54),IF((COUNTIFS(T_SelfStock[RM_Code],$A61,T_SelfStock[WeekIndex],54)&gt;0)*(COUNTIFS(T_TTAFStock[RM_Code],$A61,T_TTAFStock[WeekIndex],54)&gt;0)&gt;0,SUMIFS(T_SelfStock[Self_Qty],T_SelfStock[RM_Code],$A61,T_SelfStock[WeekIndex],54)+SUMIFS(T_TTAFStock[TTAF_Qty],T_TTAFStock[RM_Code],$A61,T_TTAFStock[WeekIndex],54),BB61+'Grid_Incoming'!BC61-'Grid_Requirement'!BC61))</f>
        <v/>
      </c>
      <c r="BD61">
        <f>IF(COUNTIFS(T_StockCount[RM_Code],$A61,T_StockCount[WeekIndex],55)&gt;0,SUMIFS(T_StockCount[CountedQty],T_StockCount[RM_Code],$A61,T_StockCount[WeekIndex],55),IF((COUNTIFS(T_SelfStock[RM_Code],$A61,T_SelfStock[WeekIndex],55)&gt;0)*(COUNTIFS(T_TTAFStock[RM_Code],$A61,T_TTAFStock[WeekIndex],55)&gt;0)&gt;0,SUMIFS(T_SelfStock[Self_Qty],T_SelfStock[RM_Code],$A61,T_SelfStock[WeekIndex],55)+SUMIFS(T_TTAFStock[TTAF_Qty],T_TTAFStock[RM_Code],$A61,T_TTAFStock[WeekIndex],55),BC61+'Grid_Incoming'!BD61-'Grid_Requirement'!BD61))</f>
        <v/>
      </c>
      <c r="BE61">
        <f>IF(COUNTIFS(T_StockCount[RM_Code],$A61,T_StockCount[WeekIndex],56)&gt;0,SUMIFS(T_StockCount[CountedQty],T_StockCount[RM_Code],$A61,T_StockCount[WeekIndex],56),IF((COUNTIFS(T_SelfStock[RM_Code],$A61,T_SelfStock[WeekIndex],56)&gt;0)*(COUNTIFS(T_TTAFStock[RM_Code],$A61,T_TTAFStock[WeekIndex],56)&gt;0)&gt;0,SUMIFS(T_SelfStock[Self_Qty],T_SelfStock[RM_Code],$A61,T_SelfStock[WeekIndex],56)+SUMIFS(T_TTAFStock[TTAF_Qty],T_TTAFStock[RM_Code],$A61,T_TTAFStock[WeekIndex],56),BD61+'Grid_Incoming'!BE61-'Grid_Requirement'!BE61))</f>
        <v/>
      </c>
      <c r="BF61">
        <f>IF(COUNTIFS(T_StockCount[RM_Code],$A61,T_StockCount[WeekIndex],57)&gt;0,SUMIFS(T_StockCount[CountedQty],T_StockCount[RM_Code],$A61,T_StockCount[WeekIndex],57),IF((COUNTIFS(T_SelfStock[RM_Code],$A61,T_SelfStock[WeekIndex],57)&gt;0)*(COUNTIFS(T_TTAFStock[RM_Code],$A61,T_TTAFStock[WeekIndex],57)&gt;0)&gt;0,SUMIFS(T_SelfStock[Self_Qty],T_SelfStock[RM_Code],$A61,T_SelfStock[WeekIndex],57)+SUMIFS(T_TTAFStock[TTAF_Qty],T_TTAFStock[RM_Code],$A61,T_TTAFStock[WeekIndex],57),BE61+'Grid_Incoming'!BF61-'Grid_Requirement'!BF61))</f>
        <v/>
      </c>
      <c r="BG61">
        <f>IF(COUNTIFS(T_StockCount[RM_Code],$A61,T_StockCount[WeekIndex],58)&gt;0,SUMIFS(T_StockCount[CountedQty],T_StockCount[RM_Code],$A61,T_StockCount[WeekIndex],58),IF((COUNTIFS(T_SelfStock[RM_Code],$A61,T_SelfStock[WeekIndex],58)&gt;0)*(COUNTIFS(T_TTAFStock[RM_Code],$A61,T_TTAFStock[WeekIndex],58)&gt;0)&gt;0,SUMIFS(T_SelfStock[Self_Qty],T_SelfStock[RM_Code],$A61,T_SelfStock[WeekIndex],58)+SUMIFS(T_TTAFStock[TTAF_Qty],T_TTAFStock[RM_Code],$A61,T_TTAFStock[WeekIndex],58),BF61+'Grid_Incoming'!BG61-'Grid_Requirement'!BG61))</f>
        <v/>
      </c>
      <c r="BH61">
        <f>IF(COUNTIFS(T_StockCount[RM_Code],$A61,T_StockCount[WeekIndex],59)&gt;0,SUMIFS(T_StockCount[CountedQty],T_StockCount[RM_Code],$A61,T_StockCount[WeekIndex],59),IF((COUNTIFS(T_SelfStock[RM_Code],$A61,T_SelfStock[WeekIndex],59)&gt;0)*(COUNTIFS(T_TTAFStock[RM_Code],$A61,T_TTAFStock[WeekIndex],59)&gt;0)&gt;0,SUMIFS(T_SelfStock[Self_Qty],T_SelfStock[RM_Code],$A61,T_SelfStock[WeekIndex],59)+SUMIFS(T_TTAFStock[TTAF_Qty],T_TTAFStock[RM_Code],$A61,T_TTAFStock[WeekIndex],59),BG61+'Grid_Incoming'!BH61-'Grid_Requirement'!BH61))</f>
        <v/>
      </c>
      <c r="BI61">
        <f>IF(COUNTIFS(T_StockCount[RM_Code],$A61,T_StockCount[WeekIndex],60)&gt;0,SUMIFS(T_StockCount[CountedQty],T_StockCount[RM_Code],$A61,T_StockCount[WeekIndex],60),IF((COUNTIFS(T_SelfStock[RM_Code],$A61,T_SelfStock[WeekIndex],60)&gt;0)*(COUNTIFS(T_TTAFStock[RM_Code],$A61,T_TTAFStock[WeekIndex],60)&gt;0)&gt;0,SUMIFS(T_SelfStock[Self_Qty],T_SelfStock[RM_Code],$A61,T_SelfStock[WeekIndex],60)+SUMIFS(T_TTAFStock[TTAF_Qty],T_TTAFStock[RM_Code],$A61,T_TTAFStock[WeekIndex],60),BH61+'Grid_Incoming'!BI61-'Grid_Requirement'!BI61))</f>
        <v/>
      </c>
      <c r="BJ61">
        <f>IF(COUNTIFS(T_StockCount[RM_Code],$A61,T_StockCount[WeekIndex],61)&gt;0,SUMIFS(T_StockCount[CountedQty],T_StockCount[RM_Code],$A61,T_StockCount[WeekIndex],61),IF((COUNTIFS(T_SelfStock[RM_Code],$A61,T_SelfStock[WeekIndex],61)&gt;0)*(COUNTIFS(T_TTAFStock[RM_Code],$A61,T_TTAFStock[WeekIndex],61)&gt;0)&gt;0,SUMIFS(T_SelfStock[Self_Qty],T_SelfStock[RM_Code],$A61,T_SelfStock[WeekIndex],61)+SUMIFS(T_TTAFStock[TTAF_Qty],T_TTAFStock[RM_Code],$A61,T_TTAFStock[WeekIndex],61),BI61+'Grid_Incoming'!BJ61-'Grid_Requirement'!BJ61))</f>
        <v/>
      </c>
      <c r="BK61">
        <f>IF(COUNTIFS(T_StockCount[RM_Code],$A61,T_StockCount[WeekIndex],62)&gt;0,SUMIFS(T_StockCount[CountedQty],T_StockCount[RM_Code],$A61,T_StockCount[WeekIndex],62),IF((COUNTIFS(T_SelfStock[RM_Code],$A61,T_SelfStock[WeekIndex],62)&gt;0)*(COUNTIFS(T_TTAFStock[RM_Code],$A61,T_TTAFStock[WeekIndex],62)&gt;0)&gt;0,SUMIFS(T_SelfStock[Self_Qty],T_SelfStock[RM_Code],$A61,T_SelfStock[WeekIndex],62)+SUMIFS(T_TTAFStock[TTAF_Qty],T_TTAFStock[RM_Code],$A61,T_TTAFStock[WeekIndex],62),BJ61+'Grid_Incoming'!BK61-'Grid_Requirement'!BK61))</f>
        <v/>
      </c>
      <c r="BL61">
        <f>IF(COUNTIFS(T_StockCount[RM_Code],$A61,T_StockCount[WeekIndex],63)&gt;0,SUMIFS(T_StockCount[CountedQty],T_StockCount[RM_Code],$A61,T_StockCount[WeekIndex],63),IF((COUNTIFS(T_SelfStock[RM_Code],$A61,T_SelfStock[WeekIndex],63)&gt;0)*(COUNTIFS(T_TTAFStock[RM_Code],$A61,T_TTAFStock[WeekIndex],63)&gt;0)&gt;0,SUMIFS(T_SelfStock[Self_Qty],T_SelfStock[RM_Code],$A61,T_SelfStock[WeekIndex],63)+SUMIFS(T_TTAFStock[TTAF_Qty],T_TTAFStock[RM_Code],$A61,T_TTAFStock[WeekIndex],63),BK61+'Grid_Incoming'!BL61-'Grid_Requirement'!BL61))</f>
        <v/>
      </c>
      <c r="BM61">
        <f>IF(COUNTIFS(T_StockCount[RM_Code],$A61,T_StockCount[WeekIndex],64)&gt;0,SUMIFS(T_StockCount[CountedQty],T_StockCount[RM_Code],$A61,T_StockCount[WeekIndex],64),IF((COUNTIFS(T_SelfStock[RM_Code],$A61,T_SelfStock[WeekIndex],64)&gt;0)*(COUNTIFS(T_TTAFStock[RM_Code],$A61,T_TTAFStock[WeekIndex],64)&gt;0)&gt;0,SUMIFS(T_SelfStock[Self_Qty],T_SelfStock[RM_Code],$A61,T_SelfStock[WeekIndex],64)+SUMIFS(T_TTAFStock[TTAF_Qty],T_TTAFStock[RM_Code],$A61,T_TTAFStock[WeekIndex],64),BL61+'Grid_Incoming'!BM61-'Grid_Requirement'!BM61))</f>
        <v/>
      </c>
      <c r="BN61">
        <f>IF(COUNTIFS(T_StockCount[RM_Code],$A61,T_StockCount[WeekIndex],65)&gt;0,SUMIFS(T_StockCount[CountedQty],T_StockCount[RM_Code],$A61,T_StockCount[WeekIndex],65),IF((COUNTIFS(T_SelfStock[RM_Code],$A61,T_SelfStock[WeekIndex],65)&gt;0)*(COUNTIFS(T_TTAFStock[RM_Code],$A61,T_TTAFStock[WeekIndex],65)&gt;0)&gt;0,SUMIFS(T_SelfStock[Self_Qty],T_SelfStock[RM_Code],$A61,T_SelfStock[WeekIndex],65)+SUMIFS(T_TTAFStock[TTAF_Qty],T_TTAFStock[RM_Code],$A61,T_TTAFStock[WeekIndex],65),BM61+'Grid_Incoming'!BN61-'Grid_Requirement'!BN61))</f>
        <v/>
      </c>
      <c r="BO61">
        <f>IF(COUNTIFS(T_StockCount[RM_Code],$A61,T_StockCount[WeekIndex],66)&gt;0,SUMIFS(T_StockCount[CountedQty],T_StockCount[RM_Code],$A61,T_StockCount[WeekIndex],66),IF((COUNTIFS(T_SelfStock[RM_Code],$A61,T_SelfStock[WeekIndex],66)&gt;0)*(COUNTIFS(T_TTAFStock[RM_Code],$A61,T_TTAFStock[WeekIndex],66)&gt;0)&gt;0,SUMIFS(T_SelfStock[Self_Qty],T_SelfStock[RM_Code],$A61,T_SelfStock[WeekIndex],66)+SUMIFS(T_TTAFStock[TTAF_Qty],T_TTAFStock[RM_Code],$A61,T_TTAFStock[WeekIndex],66),BN61+'Grid_Incoming'!BO61-'Grid_Requirement'!BO61))</f>
        <v/>
      </c>
      <c r="BP61">
        <f>IF(COUNTIFS(T_StockCount[RM_Code],$A61,T_StockCount[WeekIndex],67)&gt;0,SUMIFS(T_StockCount[CountedQty],T_StockCount[RM_Code],$A61,T_StockCount[WeekIndex],67),IF((COUNTIFS(T_SelfStock[RM_Code],$A61,T_SelfStock[WeekIndex],67)&gt;0)*(COUNTIFS(T_TTAFStock[RM_Code],$A61,T_TTAFStock[WeekIndex],67)&gt;0)&gt;0,SUMIFS(T_SelfStock[Self_Qty],T_SelfStock[RM_Code],$A61,T_SelfStock[WeekIndex],67)+SUMIFS(T_TTAFStock[TTAF_Qty],T_TTAFStock[RM_Code],$A61,T_TTAFStock[WeekIndex],67),BO61+'Grid_Incoming'!BP61-'Grid_Requirement'!BP61))</f>
        <v/>
      </c>
      <c r="BQ61">
        <f>IF(COUNTIFS(T_StockCount[RM_Code],$A61,T_StockCount[WeekIndex],68)&gt;0,SUMIFS(T_StockCount[CountedQty],T_StockCount[RM_Code],$A61,T_StockCount[WeekIndex],68),IF((COUNTIFS(T_SelfStock[RM_Code],$A61,T_SelfStock[WeekIndex],68)&gt;0)*(COUNTIFS(T_TTAFStock[RM_Code],$A61,T_TTAFStock[WeekIndex],68)&gt;0)&gt;0,SUMIFS(T_SelfStock[Self_Qty],T_SelfStock[RM_Code],$A61,T_SelfStock[WeekIndex],68)+SUMIFS(T_TTAFStock[TTAF_Qty],T_TTAFStock[RM_Code],$A61,T_TTAFStock[WeekIndex],68),BP61+'Grid_Incoming'!BQ61-'Grid_Requirement'!BQ61))</f>
        <v/>
      </c>
      <c r="BR61">
        <f>IF(COUNTIFS(T_StockCount[RM_Code],$A61,T_StockCount[WeekIndex],69)&gt;0,SUMIFS(T_StockCount[CountedQty],T_StockCount[RM_Code],$A61,T_StockCount[WeekIndex],69),IF((COUNTIFS(T_SelfStock[RM_Code],$A61,T_SelfStock[WeekIndex],69)&gt;0)*(COUNTIFS(T_TTAFStock[RM_Code],$A61,T_TTAFStock[WeekIndex],69)&gt;0)&gt;0,SUMIFS(T_SelfStock[Self_Qty],T_SelfStock[RM_Code],$A61,T_SelfStock[WeekIndex],69)+SUMIFS(T_TTAFStock[TTAF_Qty],T_TTAFStock[RM_Code],$A61,T_TTAFStock[WeekIndex],69),BQ61+'Grid_Incoming'!BR61-'Grid_Requirement'!BR61))</f>
        <v/>
      </c>
      <c r="BS61">
        <f>IF(COUNTIFS(T_StockCount[RM_Code],$A61,T_StockCount[WeekIndex],70)&gt;0,SUMIFS(T_StockCount[CountedQty],T_StockCount[RM_Code],$A61,T_StockCount[WeekIndex],70),IF((COUNTIFS(T_SelfStock[RM_Code],$A61,T_SelfStock[WeekIndex],70)&gt;0)*(COUNTIFS(T_TTAFStock[RM_Code],$A61,T_TTAFStock[WeekIndex],70)&gt;0)&gt;0,SUMIFS(T_SelfStock[Self_Qty],T_SelfStock[RM_Code],$A61,T_SelfStock[WeekIndex],70)+SUMIFS(T_TTAFStock[TTAF_Qty],T_TTAFStock[RM_Code],$A61,T_TTAFStock[WeekIndex],70),BR61+'Grid_Incoming'!BS61-'Grid_Requirement'!BS61))</f>
        <v/>
      </c>
      <c r="BT61">
        <f>IF(COUNTIFS(T_StockCount[RM_Code],$A61,T_StockCount[WeekIndex],71)&gt;0,SUMIFS(T_StockCount[CountedQty],T_StockCount[RM_Code],$A61,T_StockCount[WeekIndex],71),IF((COUNTIFS(T_SelfStock[RM_Code],$A61,T_SelfStock[WeekIndex],71)&gt;0)*(COUNTIFS(T_TTAFStock[RM_Code],$A61,T_TTAFStock[WeekIndex],71)&gt;0)&gt;0,SUMIFS(T_SelfStock[Self_Qty],T_SelfStock[RM_Code],$A61,T_SelfStock[WeekIndex],71)+SUMIFS(T_TTAFStock[TTAF_Qty],T_TTAFStock[RM_Code],$A61,T_TTAFStock[WeekIndex],71),BS61+'Grid_Incoming'!BT61-'Grid_Requirement'!BT61))</f>
        <v/>
      </c>
      <c r="BU61">
        <f>IF(COUNTIFS(T_StockCount[RM_Code],$A61,T_StockCount[WeekIndex],72)&gt;0,SUMIFS(T_StockCount[CountedQty],T_StockCount[RM_Code],$A61,T_StockCount[WeekIndex],72),IF((COUNTIFS(T_SelfStock[RM_Code],$A61,T_SelfStock[WeekIndex],72)&gt;0)*(COUNTIFS(T_TTAFStock[RM_Code],$A61,T_TTAFStock[WeekIndex],72)&gt;0)&gt;0,SUMIFS(T_SelfStock[Self_Qty],T_SelfStock[RM_Code],$A61,T_SelfStock[WeekIndex],72)+SUMIFS(T_TTAFStock[TTAF_Qty],T_TTAFStock[RM_Code],$A61,T_TTAFStock[WeekIndex],72),BT61+'Grid_Incoming'!BU61-'Grid_Requirement'!BU61))</f>
        <v/>
      </c>
      <c r="BV61">
        <f>IF(COUNTIFS(T_StockCount[RM_Code],$A61,T_StockCount[WeekIndex],73)&gt;0,SUMIFS(T_StockCount[CountedQty],T_StockCount[RM_Code],$A61,T_StockCount[WeekIndex],73),IF((COUNTIFS(T_SelfStock[RM_Code],$A61,T_SelfStock[WeekIndex],73)&gt;0)*(COUNTIFS(T_TTAFStock[RM_Code],$A61,T_TTAFStock[WeekIndex],73)&gt;0)&gt;0,SUMIFS(T_SelfStock[Self_Qty],T_SelfStock[RM_Code],$A61,T_SelfStock[WeekIndex],73)+SUMIFS(T_TTAFStock[TTAF_Qty],T_TTAFStock[RM_Code],$A61,T_TTAFStock[WeekIndex],73),BU61+'Grid_Incoming'!BV61-'Grid_Requirement'!BV61))</f>
        <v/>
      </c>
      <c r="BW61">
        <f>IF(COUNTIFS(T_StockCount[RM_Code],$A61,T_StockCount[WeekIndex],74)&gt;0,SUMIFS(T_StockCount[CountedQty],T_StockCount[RM_Code],$A61,T_StockCount[WeekIndex],74),IF((COUNTIFS(T_SelfStock[RM_Code],$A61,T_SelfStock[WeekIndex],74)&gt;0)*(COUNTIFS(T_TTAFStock[RM_Code],$A61,T_TTAFStock[WeekIndex],74)&gt;0)&gt;0,SUMIFS(T_SelfStock[Self_Qty],T_SelfStock[RM_Code],$A61,T_SelfStock[WeekIndex],74)+SUMIFS(T_TTAFStock[TTAF_Qty],T_TTAFStock[RM_Code],$A61,T_TTAFStock[WeekIndex],74),BV61+'Grid_Incoming'!BW61-'Grid_Requirement'!BW61))</f>
        <v/>
      </c>
      <c r="BX61">
        <f>IF(COUNTIFS(T_StockCount[RM_Code],$A61,T_StockCount[WeekIndex],75)&gt;0,SUMIFS(T_StockCount[CountedQty],T_StockCount[RM_Code],$A61,T_StockCount[WeekIndex],75),IF((COUNTIFS(T_SelfStock[RM_Code],$A61,T_SelfStock[WeekIndex],75)&gt;0)*(COUNTIFS(T_TTAFStock[RM_Code],$A61,T_TTAFStock[WeekIndex],75)&gt;0)&gt;0,SUMIFS(T_SelfStock[Self_Qty],T_SelfStock[RM_Code],$A61,T_SelfStock[WeekIndex],75)+SUMIFS(T_TTAFStock[TTAF_Qty],T_TTAFStock[RM_Code],$A61,T_TTAFStock[WeekIndex],75),BW61+'Grid_Incoming'!BX61-'Grid_Requirement'!BX61))</f>
        <v/>
      </c>
      <c r="BY61">
        <f>IF(COUNTIFS(T_StockCount[RM_Code],$A61,T_StockCount[WeekIndex],76)&gt;0,SUMIFS(T_StockCount[CountedQty],T_StockCount[RM_Code],$A61,T_StockCount[WeekIndex],76),IF((COUNTIFS(T_SelfStock[RM_Code],$A61,T_SelfStock[WeekIndex],76)&gt;0)*(COUNTIFS(T_TTAFStock[RM_Code],$A61,T_TTAFStock[WeekIndex],76)&gt;0)&gt;0,SUMIFS(T_SelfStock[Self_Qty],T_SelfStock[RM_Code],$A61,T_SelfStock[WeekIndex],76)+SUMIFS(T_TTAFStock[TTAF_Qty],T_TTAFStock[RM_Code],$A61,T_TTAFStock[WeekIndex],76),BX61+'Grid_Incoming'!BY61-'Grid_Requirement'!BY61))</f>
        <v/>
      </c>
      <c r="BZ61">
        <f>IF(COUNTIFS(T_StockCount[RM_Code],$A61,T_StockCount[WeekIndex],77)&gt;0,SUMIFS(T_StockCount[CountedQty],T_StockCount[RM_Code],$A61,T_StockCount[WeekIndex],77),IF((COUNTIFS(T_SelfStock[RM_Code],$A61,T_SelfStock[WeekIndex],77)&gt;0)*(COUNTIFS(T_TTAFStock[RM_Code],$A61,T_TTAFStock[WeekIndex],77)&gt;0)&gt;0,SUMIFS(T_SelfStock[Self_Qty],T_SelfStock[RM_Code],$A61,T_SelfStock[WeekIndex],77)+SUMIFS(T_TTAFStock[TTAF_Qty],T_TTAFStock[RM_Code],$A61,T_TTAFStock[WeekIndex],77),BY61+'Grid_Incoming'!BZ61-'Grid_Requirement'!BZ61))</f>
        <v/>
      </c>
      <c r="CA61">
        <f>IF(COUNTIFS(T_StockCount[RM_Code],$A61,T_StockCount[WeekIndex],78)&gt;0,SUMIFS(T_StockCount[CountedQty],T_StockCount[RM_Code],$A61,T_StockCount[WeekIndex],78),IF((COUNTIFS(T_SelfStock[RM_Code],$A61,T_SelfStock[WeekIndex],78)&gt;0)*(COUNTIFS(T_TTAFStock[RM_Code],$A61,T_TTAFStock[WeekIndex],78)&gt;0)&gt;0,SUMIFS(T_SelfStock[Self_Qty],T_SelfStock[RM_Code],$A61,T_SelfStock[WeekIndex],78)+SUMIFS(T_TTAFStock[TTAF_Qty],T_TTAFStock[RM_Code],$A61,T_TTAFStock[WeekIndex],78),BZ61+'Grid_Incoming'!CA61-'Grid_Requirement'!CA61))</f>
        <v/>
      </c>
      <c r="CB61">
        <f>IF(COUNTIFS(T_StockCount[RM_Code],$A61,T_StockCount[WeekIndex],79)&gt;0,SUMIFS(T_StockCount[CountedQty],T_StockCount[RM_Code],$A61,T_StockCount[WeekIndex],79),IF((COUNTIFS(T_SelfStock[RM_Code],$A61,T_SelfStock[WeekIndex],79)&gt;0)*(COUNTIFS(T_TTAFStock[RM_Code],$A61,T_TTAFStock[WeekIndex],79)&gt;0)&gt;0,SUMIFS(T_SelfStock[Self_Qty],T_SelfStock[RM_Code],$A61,T_SelfStock[WeekIndex],79)+SUMIFS(T_TTAFStock[TTAF_Qty],T_TTAFStock[RM_Code],$A61,T_TTAFStock[WeekIndex],79),CA61+'Grid_Incoming'!CB61-'Grid_Requirement'!CB61))</f>
        <v/>
      </c>
      <c r="CC61">
        <f>IF(COUNTIFS(T_StockCount[RM_Code],$A61,T_StockCount[WeekIndex],80)&gt;0,SUMIFS(T_StockCount[CountedQty],T_StockCount[RM_Code],$A61,T_StockCount[WeekIndex],80),IF((COUNTIFS(T_SelfStock[RM_Code],$A61,T_SelfStock[WeekIndex],80)&gt;0)*(COUNTIFS(T_TTAFStock[RM_Code],$A61,T_TTAFStock[WeekIndex],80)&gt;0)&gt;0,SUMIFS(T_SelfStock[Self_Qty],T_SelfStock[RM_Code],$A61,T_SelfStock[WeekIndex],80)+SUMIFS(T_TTAFStock[TTAF_Qty],T_TTAFStock[RM_Code],$A61,T_TTAFStock[WeekIndex],80),CB61+'Grid_Incoming'!CC61-'Grid_Requirement'!CC61))</f>
        <v/>
      </c>
      <c r="CD61">
        <f>IF(COUNTIFS(T_StockCount[RM_Code],$A61,T_StockCount[WeekIndex],81)&gt;0,SUMIFS(T_StockCount[CountedQty],T_StockCount[RM_Code],$A61,T_StockCount[WeekIndex],81),IF((COUNTIFS(T_SelfStock[RM_Code],$A61,T_SelfStock[WeekIndex],81)&gt;0)*(COUNTIFS(T_TTAFStock[RM_Code],$A61,T_TTAFStock[WeekIndex],81)&gt;0)&gt;0,SUMIFS(T_SelfStock[Self_Qty],T_SelfStock[RM_Code],$A61,T_SelfStock[WeekIndex],81)+SUMIFS(T_TTAFStock[TTAF_Qty],T_TTAFStock[RM_Code],$A61,T_TTAFStock[WeekIndex],81),CC61+'Grid_Incoming'!CD61-'Grid_Requirement'!CD61))</f>
        <v/>
      </c>
      <c r="CE61">
        <f>IF(COUNTIFS(T_StockCount[RM_Code],$A61,T_StockCount[WeekIndex],82)&gt;0,SUMIFS(T_StockCount[CountedQty],T_StockCount[RM_Code],$A61,T_StockCount[WeekIndex],82),IF((COUNTIFS(T_SelfStock[RM_Code],$A61,T_SelfStock[WeekIndex],82)&gt;0)*(COUNTIFS(T_TTAFStock[RM_Code],$A61,T_TTAFStock[WeekIndex],82)&gt;0)&gt;0,SUMIFS(T_SelfStock[Self_Qty],T_SelfStock[RM_Code],$A61,T_SelfStock[WeekIndex],82)+SUMIFS(T_TTAFStock[TTAF_Qty],T_TTAFStock[RM_Code],$A61,T_TTAFStock[WeekIndex],82),CD61+'Grid_Incoming'!CE61-'Grid_Requirement'!CE61))</f>
        <v/>
      </c>
      <c r="CF61">
        <f>IF(COUNTIFS(T_StockCount[RM_Code],$A61,T_StockCount[WeekIndex],83)&gt;0,SUMIFS(T_StockCount[CountedQty],T_StockCount[RM_Code],$A61,T_StockCount[WeekIndex],83),IF((COUNTIFS(T_SelfStock[RM_Code],$A61,T_SelfStock[WeekIndex],83)&gt;0)*(COUNTIFS(T_TTAFStock[RM_Code],$A61,T_TTAFStock[WeekIndex],83)&gt;0)&gt;0,SUMIFS(T_SelfStock[Self_Qty],T_SelfStock[RM_Code],$A61,T_SelfStock[WeekIndex],83)+SUMIFS(T_TTAFStock[TTAF_Qty],T_TTAFStock[RM_Code],$A61,T_TTAFStock[WeekIndex],83),CE61+'Grid_Incoming'!CF61-'Grid_Requirement'!CF61))</f>
        <v/>
      </c>
      <c r="CG61">
        <f>IF(COUNTIFS(T_StockCount[RM_Code],$A61,T_StockCount[WeekIndex],84)&gt;0,SUMIFS(T_StockCount[CountedQty],T_StockCount[RM_Code],$A61,T_StockCount[WeekIndex],84),IF((COUNTIFS(T_SelfStock[RM_Code],$A61,T_SelfStock[WeekIndex],84)&gt;0)*(COUNTIFS(T_TTAFStock[RM_Code],$A61,T_TTAFStock[WeekIndex],84)&gt;0)&gt;0,SUMIFS(T_SelfStock[Self_Qty],T_SelfStock[RM_Code],$A61,T_SelfStock[WeekIndex],84)+SUMIFS(T_TTAFStock[TTAF_Qty],T_TTAFStock[RM_Code],$A61,T_TTAFStock[WeekIndex],84),CF61+'Grid_Incoming'!CG61-'Grid_Requirement'!CG61))</f>
        <v/>
      </c>
      <c r="CH61">
        <f>IF(COUNTIFS(T_StockCount[RM_Code],$A61,T_StockCount[WeekIndex],85)&gt;0,SUMIFS(T_StockCount[CountedQty],T_StockCount[RM_Code],$A61,T_StockCount[WeekIndex],85),IF((COUNTIFS(T_SelfStock[RM_Code],$A61,T_SelfStock[WeekIndex],85)&gt;0)*(COUNTIFS(T_TTAFStock[RM_Code],$A61,T_TTAFStock[WeekIndex],85)&gt;0)&gt;0,SUMIFS(T_SelfStock[Self_Qty],T_SelfStock[RM_Code],$A61,T_SelfStock[WeekIndex],85)+SUMIFS(T_TTAFStock[TTAF_Qty],T_TTAFStock[RM_Code],$A61,T_TTAFStock[WeekIndex],85),CG61+'Grid_Incoming'!CH61-'Grid_Requirement'!CH61))</f>
        <v/>
      </c>
      <c r="CI61">
        <f>IF(COUNTIFS(T_StockCount[RM_Code],$A61,T_StockCount[WeekIndex],86)&gt;0,SUMIFS(T_StockCount[CountedQty],T_StockCount[RM_Code],$A61,T_StockCount[WeekIndex],86),IF((COUNTIFS(T_SelfStock[RM_Code],$A61,T_SelfStock[WeekIndex],86)&gt;0)*(COUNTIFS(T_TTAFStock[RM_Code],$A61,T_TTAFStock[WeekIndex],86)&gt;0)&gt;0,SUMIFS(T_SelfStock[Self_Qty],T_SelfStock[RM_Code],$A61,T_SelfStock[WeekIndex],86)+SUMIFS(T_TTAFStock[TTAF_Qty],T_TTAFStock[RM_Code],$A61,T_TTAFStock[WeekIndex],86),CH61+'Grid_Incoming'!CI61-'Grid_Requirement'!CI61))</f>
        <v/>
      </c>
      <c r="CJ61">
        <f>IF(COUNTIFS(T_StockCount[RM_Code],$A61,T_StockCount[WeekIndex],87)&gt;0,SUMIFS(T_StockCount[CountedQty],T_StockCount[RM_Code],$A61,T_StockCount[WeekIndex],87),IF((COUNTIFS(T_SelfStock[RM_Code],$A61,T_SelfStock[WeekIndex],87)&gt;0)*(COUNTIFS(T_TTAFStock[RM_Code],$A61,T_TTAFStock[WeekIndex],87)&gt;0)&gt;0,SUMIFS(T_SelfStock[Self_Qty],T_SelfStock[RM_Code],$A61,T_SelfStock[WeekIndex],87)+SUMIFS(T_TTAFStock[TTAF_Qty],T_TTAFStock[RM_Code],$A61,T_TTAFStock[WeekIndex],87),CI61+'Grid_Incoming'!CJ61-'Grid_Requirement'!CJ61))</f>
        <v/>
      </c>
      <c r="CK61">
        <f>IF(COUNTIFS(T_StockCount[RM_Code],$A61,T_StockCount[WeekIndex],88)&gt;0,SUMIFS(T_StockCount[CountedQty],T_StockCount[RM_Code],$A61,T_StockCount[WeekIndex],88),IF((COUNTIFS(T_SelfStock[RM_Code],$A61,T_SelfStock[WeekIndex],88)&gt;0)*(COUNTIFS(T_TTAFStock[RM_Code],$A61,T_TTAFStock[WeekIndex],88)&gt;0)&gt;0,SUMIFS(T_SelfStock[Self_Qty],T_SelfStock[RM_Code],$A61,T_SelfStock[WeekIndex],88)+SUMIFS(T_TTAFStock[TTAF_Qty],T_TTAFStock[RM_Code],$A61,T_TTAFStock[WeekIndex],88),CJ61+'Grid_Incoming'!CK61-'Grid_Requirement'!CK61))</f>
        <v/>
      </c>
      <c r="CL61">
        <f>IF(COUNTIFS(T_StockCount[RM_Code],$A61,T_StockCount[WeekIndex],89)&gt;0,SUMIFS(T_StockCount[CountedQty],T_StockCount[RM_Code],$A61,T_StockCount[WeekIndex],89),IF((COUNTIFS(T_SelfStock[RM_Code],$A61,T_SelfStock[WeekIndex],89)&gt;0)*(COUNTIFS(T_TTAFStock[RM_Code],$A61,T_TTAFStock[WeekIndex],89)&gt;0)&gt;0,SUMIFS(T_SelfStock[Self_Qty],T_SelfStock[RM_Code],$A61,T_SelfStock[WeekIndex],89)+SUMIFS(T_TTAFStock[TTAF_Qty],T_TTAFStock[RM_Code],$A61,T_TTAFStock[WeekIndex],89),CK61+'Grid_Incoming'!CL61-'Grid_Requirement'!CL61))</f>
        <v/>
      </c>
      <c r="CM61">
        <f>IF(COUNTIFS(T_StockCount[RM_Code],$A61,T_StockCount[WeekIndex],90)&gt;0,SUMIFS(T_StockCount[CountedQty],T_StockCount[RM_Code],$A61,T_StockCount[WeekIndex],90),IF((COUNTIFS(T_SelfStock[RM_Code],$A61,T_SelfStock[WeekIndex],90)&gt;0)*(COUNTIFS(T_TTAFStock[RM_Code],$A61,T_TTAFStock[WeekIndex],90)&gt;0)&gt;0,SUMIFS(T_SelfStock[Self_Qty],T_SelfStock[RM_Code],$A61,T_SelfStock[WeekIndex],90)+SUMIFS(T_TTAFStock[TTAF_Qty],T_TTAFStock[RM_Code],$A61,T_TTAFStock[WeekIndex],90),CL61+'Grid_Incoming'!CM61-'Grid_Requirement'!CM61))</f>
        <v/>
      </c>
      <c r="CN61">
        <f>IF(COUNTIFS(T_StockCount[RM_Code],$A61,T_StockCount[WeekIndex],91)&gt;0,SUMIFS(T_StockCount[CountedQty],T_StockCount[RM_Code],$A61,T_StockCount[WeekIndex],91),IF((COUNTIFS(T_SelfStock[RM_Code],$A61,T_SelfStock[WeekIndex],91)&gt;0)*(COUNTIFS(T_TTAFStock[RM_Code],$A61,T_TTAFStock[WeekIndex],91)&gt;0)&gt;0,SUMIFS(T_SelfStock[Self_Qty],T_SelfStock[RM_Code],$A61,T_SelfStock[WeekIndex],91)+SUMIFS(T_TTAFStock[TTAF_Qty],T_TTAFStock[RM_Code],$A61,T_TTAFStock[WeekIndex],91),CM61+'Grid_Incoming'!CN61-'Grid_Requirement'!CN61))</f>
        <v/>
      </c>
      <c r="CO61">
        <f>IF(COUNTIFS(T_StockCount[RM_Code],$A61,T_StockCount[WeekIndex],92)&gt;0,SUMIFS(T_StockCount[CountedQty],T_StockCount[RM_Code],$A61,T_StockCount[WeekIndex],92),IF((COUNTIFS(T_SelfStock[RM_Code],$A61,T_SelfStock[WeekIndex],92)&gt;0)*(COUNTIFS(T_TTAFStock[RM_Code],$A61,T_TTAFStock[WeekIndex],92)&gt;0)&gt;0,SUMIFS(T_SelfStock[Self_Qty],T_SelfStock[RM_Code],$A61,T_SelfStock[WeekIndex],92)+SUMIFS(T_TTAFStock[TTAF_Qty],T_TTAFStock[RM_Code],$A61,T_TTAFStock[WeekIndex],92),CN61+'Grid_Incoming'!CO61-'Grid_Requirement'!CO61))</f>
        <v/>
      </c>
      <c r="CP61">
        <f>IF(COUNTIFS(T_StockCount[RM_Code],$A61,T_StockCount[WeekIndex],93)&gt;0,SUMIFS(T_StockCount[CountedQty],T_StockCount[RM_Code],$A61,T_StockCount[WeekIndex],93),IF((COUNTIFS(T_SelfStock[RM_Code],$A61,T_SelfStock[WeekIndex],93)&gt;0)*(COUNTIFS(T_TTAFStock[RM_Code],$A61,T_TTAFStock[WeekIndex],93)&gt;0)&gt;0,SUMIFS(T_SelfStock[Self_Qty],T_SelfStock[RM_Code],$A61,T_SelfStock[WeekIndex],93)+SUMIFS(T_TTAFStock[TTAF_Qty],T_TTAFStock[RM_Code],$A61,T_TTAFStock[WeekIndex],93),CO61+'Grid_Incoming'!CP61-'Grid_Requirement'!CP61))</f>
        <v/>
      </c>
      <c r="CQ61">
        <f>IF(COUNTIFS(T_StockCount[RM_Code],$A61,T_StockCount[WeekIndex],94)&gt;0,SUMIFS(T_StockCount[CountedQty],T_StockCount[RM_Code],$A61,T_StockCount[WeekIndex],94),IF((COUNTIFS(T_SelfStock[RM_Code],$A61,T_SelfStock[WeekIndex],94)&gt;0)*(COUNTIFS(T_TTAFStock[RM_Code],$A61,T_TTAFStock[WeekIndex],94)&gt;0)&gt;0,SUMIFS(T_SelfStock[Self_Qty],T_SelfStock[RM_Code],$A61,T_SelfStock[WeekIndex],94)+SUMIFS(T_TTAFStock[TTAF_Qty],T_TTAFStock[RM_Code],$A61,T_TTAFStock[WeekIndex],94),CP61+'Grid_Incoming'!CQ61-'Grid_Requirement'!CQ61))</f>
        <v/>
      </c>
      <c r="CR61">
        <f>IF(COUNTIFS(T_StockCount[RM_Code],$A61,T_StockCount[WeekIndex],95)&gt;0,SUMIFS(T_StockCount[CountedQty],T_StockCount[RM_Code],$A61,T_StockCount[WeekIndex],95),IF((COUNTIFS(T_SelfStock[RM_Code],$A61,T_SelfStock[WeekIndex],95)&gt;0)*(COUNTIFS(T_TTAFStock[RM_Code],$A61,T_TTAFStock[WeekIndex],95)&gt;0)&gt;0,SUMIFS(T_SelfStock[Self_Qty],T_SelfStock[RM_Code],$A61,T_SelfStock[WeekIndex],95)+SUMIFS(T_TTAFStock[TTAF_Qty],T_TTAFStock[RM_Code],$A61,T_TTAFStock[WeekIndex],95),CQ61+'Grid_Incoming'!CR61-'Grid_Requirement'!CR61))</f>
        <v/>
      </c>
      <c r="CS61">
        <f>IF(COUNTIFS(T_StockCount[RM_Code],$A61,T_StockCount[WeekIndex],96)&gt;0,SUMIFS(T_StockCount[CountedQty],T_StockCount[RM_Code],$A61,T_StockCount[WeekIndex],96),IF((COUNTIFS(T_SelfStock[RM_Code],$A61,T_SelfStock[WeekIndex],96)&gt;0)*(COUNTIFS(T_TTAFStock[RM_Code],$A61,T_TTAFStock[WeekIndex],96)&gt;0)&gt;0,SUMIFS(T_SelfStock[Self_Qty],T_SelfStock[RM_Code],$A61,T_SelfStock[WeekIndex],96)+SUMIFS(T_TTAFStock[TTAF_Qty],T_TTAFStock[RM_Code],$A61,T_TTAFStock[WeekIndex],96),CR61+'Grid_Incoming'!CS61-'Grid_Requirement'!CS61))</f>
        <v/>
      </c>
      <c r="CT61">
        <f>IF(COUNTIFS(T_StockCount[RM_Code],$A61,T_StockCount[WeekIndex],97)&gt;0,SUMIFS(T_StockCount[CountedQty],T_StockCount[RM_Code],$A61,T_StockCount[WeekIndex],97),IF((COUNTIFS(T_SelfStock[RM_Code],$A61,T_SelfStock[WeekIndex],97)&gt;0)*(COUNTIFS(T_TTAFStock[RM_Code],$A61,T_TTAFStock[WeekIndex],97)&gt;0)&gt;0,SUMIFS(T_SelfStock[Self_Qty],T_SelfStock[RM_Code],$A61,T_SelfStock[WeekIndex],97)+SUMIFS(T_TTAFStock[TTAF_Qty],T_TTAFStock[RM_Code],$A61,T_TTAFStock[WeekIndex],97),CS61+'Grid_Incoming'!CT61-'Grid_Requirement'!CT61))</f>
        <v/>
      </c>
      <c r="CU61">
        <f>IF(COUNTIFS(T_StockCount[RM_Code],$A61,T_StockCount[WeekIndex],98)&gt;0,SUMIFS(T_StockCount[CountedQty],T_StockCount[RM_Code],$A61,T_StockCount[WeekIndex],98),IF((COUNTIFS(T_SelfStock[RM_Code],$A61,T_SelfStock[WeekIndex],98)&gt;0)*(COUNTIFS(T_TTAFStock[RM_Code],$A61,T_TTAFStock[WeekIndex],98)&gt;0)&gt;0,SUMIFS(T_SelfStock[Self_Qty],T_SelfStock[RM_Code],$A61,T_SelfStock[WeekIndex],98)+SUMIFS(T_TTAFStock[TTAF_Qty],T_TTAFStock[RM_Code],$A61,T_TTAFStock[WeekIndex],98),CT61+'Grid_Incoming'!CU61-'Grid_Requirement'!CU61))</f>
        <v/>
      </c>
      <c r="CV61">
        <f>IF(COUNTIFS(T_StockCount[RM_Code],$A61,T_StockCount[WeekIndex],99)&gt;0,SUMIFS(T_StockCount[CountedQty],T_StockCount[RM_Code],$A61,T_StockCount[WeekIndex],99),IF((COUNTIFS(T_SelfStock[RM_Code],$A61,T_SelfStock[WeekIndex],99)&gt;0)*(COUNTIFS(T_TTAFStock[RM_Code],$A61,T_TTAFStock[WeekIndex],99)&gt;0)&gt;0,SUMIFS(T_SelfStock[Self_Qty],T_SelfStock[RM_Code],$A61,T_SelfStock[WeekIndex],99)+SUMIFS(T_TTAFStock[TTAF_Qty],T_TTAFStock[RM_Code],$A61,T_TTAFStock[WeekIndex],99),CU61+'Grid_Incoming'!CV61-'Grid_Requirement'!CV61))</f>
        <v/>
      </c>
      <c r="CW61">
        <f>IF(COUNTIFS(T_StockCount[RM_Code],$A61,T_StockCount[WeekIndex],100)&gt;0,SUMIFS(T_StockCount[CountedQty],T_StockCount[RM_Code],$A61,T_StockCount[WeekIndex],100),IF((COUNTIFS(T_SelfStock[RM_Code],$A61,T_SelfStock[WeekIndex],100)&gt;0)*(COUNTIFS(T_TTAFStock[RM_Code],$A61,T_TTAFStock[WeekIndex],100)&gt;0)&gt;0,SUMIFS(T_SelfStock[Self_Qty],T_SelfStock[RM_Code],$A61,T_SelfStock[WeekIndex],100)+SUMIFS(T_TTAFStock[TTAF_Qty],T_TTAFStock[RM_Code],$A61,T_TTAFStock[WeekIndex],100),CV61+'Grid_Incoming'!CW61-'Grid_Requirement'!CW61))</f>
        <v/>
      </c>
      <c r="CX61">
        <f>IF(COUNTIFS(T_StockCount[RM_Code],$A61,T_StockCount[WeekIndex],101)&gt;0,SUMIFS(T_StockCount[CountedQty],T_StockCount[RM_Code],$A61,T_StockCount[WeekIndex],101),IF((COUNTIFS(T_SelfStock[RM_Code],$A61,T_SelfStock[WeekIndex],101)&gt;0)*(COUNTIFS(T_TTAFStock[RM_Code],$A61,T_TTAFStock[WeekIndex],101)&gt;0)&gt;0,SUMIFS(T_SelfStock[Self_Qty],T_SelfStock[RM_Code],$A61,T_SelfStock[WeekIndex],101)+SUMIFS(T_TTAFStock[TTAF_Qty],T_TTAFStock[RM_Code],$A61,T_TTAFStock[WeekIndex],101),CW61+'Grid_Incoming'!CX61-'Grid_Requirement'!CX61))</f>
        <v/>
      </c>
      <c r="CY61">
        <f>IF(COUNTIFS(T_StockCount[RM_Code],$A61,T_StockCount[WeekIndex],102)&gt;0,SUMIFS(T_StockCount[CountedQty],T_StockCount[RM_Code],$A61,T_StockCount[WeekIndex],102),IF((COUNTIFS(T_SelfStock[RM_Code],$A61,T_SelfStock[WeekIndex],102)&gt;0)*(COUNTIFS(T_TTAFStock[RM_Code],$A61,T_TTAFStock[WeekIndex],102)&gt;0)&gt;0,SUMIFS(T_SelfStock[Self_Qty],T_SelfStock[RM_Code],$A61,T_SelfStock[WeekIndex],102)+SUMIFS(T_TTAFStock[TTAF_Qty],T_TTAFStock[RM_Code],$A61,T_TTAFStock[WeekIndex],102),CX61+'Grid_Incoming'!CY61-'Grid_Requirement'!CY61))</f>
        <v/>
      </c>
      <c r="CZ61">
        <f>IF(COUNTIFS(T_StockCount[RM_Code],$A61,T_StockCount[WeekIndex],103)&gt;0,SUMIFS(T_StockCount[CountedQty],T_StockCount[RM_Code],$A61,T_StockCount[WeekIndex],103),IF((COUNTIFS(T_SelfStock[RM_Code],$A61,T_SelfStock[WeekIndex],103)&gt;0)*(COUNTIFS(T_TTAFStock[RM_Code],$A61,T_TTAFStock[WeekIndex],103)&gt;0)&gt;0,SUMIFS(T_SelfStock[Self_Qty],T_SelfStock[RM_Code],$A61,T_SelfStock[WeekIndex],103)+SUMIFS(T_TTAFStock[TTAF_Qty],T_TTAFStock[RM_Code],$A61,T_TTAFStock[WeekIndex],103),CY61+'Grid_Incoming'!CZ61-'Grid_Requirement'!CZ61))</f>
        <v/>
      </c>
      <c r="DA61">
        <f>IF(COUNTIFS(T_StockCount[RM_Code],$A61,T_StockCount[WeekIndex],104)&gt;0,SUMIFS(T_StockCount[CountedQty],T_StockCount[RM_Code],$A61,T_StockCount[WeekIndex],104),IF((COUNTIFS(T_SelfStock[RM_Code],$A61,T_SelfStock[WeekIndex],104)&gt;0)*(COUNTIFS(T_TTAFStock[RM_Code],$A61,T_TTAFStock[WeekIndex],104)&gt;0)&gt;0,SUMIFS(T_SelfStock[Self_Qty],T_SelfStock[RM_Code],$A61,T_SelfStock[WeekIndex],104)+SUMIFS(T_TTAFStock[TTAF_Qty],T_TTAFStock[RM_Code],$A61,T_TTAFStock[WeekIndex],104),CZ61+'Grid_Incoming'!DA61-'Grid_Requirement'!DA61))</f>
        <v/>
      </c>
    </row>
    <row r="62">
      <c r="A62" t="inlineStr">
        <is>
          <t>Ester Film</t>
        </is>
      </c>
      <c r="B62">
        <f>IF(COUNTIFS(T_StockCount[RM_Code],$A62,T_StockCount[WeekIndex],1)&gt;0,SUMIFS(T_StockCount[CountedQty],T_StockCount[RM_Code],$A62,T_StockCount[WeekIndex],1),IF((COUNTIFS(T_SelfStock[RM_Code],$A62,T_SelfStock[WeekIndex],1)&gt;0)*(COUNTIFS(T_TTAFStock[RM_Code],$A62,T_TTAFStock[WeekIndex],1)&gt;0)&gt;0,SUMIFS(T_SelfStock[Self_Qty],T_SelfStock[RM_Code],$A62,T_SelfStock[WeekIndex],1)+SUMIFS(T_TTAFStock[TTAF_Qty],T_TTAFStock[RM_Code],$A62,T_TTAFStock[WeekIndex],1),IFERROR(INDEX(T_OpeningStock[Opening_Qty],MATCH($A62,T_OpeningStock[RM_Code],0)),0)+'Grid_Incoming'!B62-'Grid_Requirement'!B62))</f>
        <v/>
      </c>
      <c r="C62">
        <f>IF(COUNTIFS(T_StockCount[RM_Code],$A62,T_StockCount[WeekIndex],2)&gt;0,SUMIFS(T_StockCount[CountedQty],T_StockCount[RM_Code],$A62,T_StockCount[WeekIndex],2),IF((COUNTIFS(T_SelfStock[RM_Code],$A62,T_SelfStock[WeekIndex],2)&gt;0)*(COUNTIFS(T_TTAFStock[RM_Code],$A62,T_TTAFStock[WeekIndex],2)&gt;0)&gt;0,SUMIFS(T_SelfStock[Self_Qty],T_SelfStock[RM_Code],$A62,T_SelfStock[WeekIndex],2)+SUMIFS(T_TTAFStock[TTAF_Qty],T_TTAFStock[RM_Code],$A62,T_TTAFStock[WeekIndex],2),B62+'Grid_Incoming'!C62-'Grid_Requirement'!C62))</f>
        <v/>
      </c>
      <c r="D62">
        <f>IF(COUNTIFS(T_StockCount[RM_Code],$A62,T_StockCount[WeekIndex],3)&gt;0,SUMIFS(T_StockCount[CountedQty],T_StockCount[RM_Code],$A62,T_StockCount[WeekIndex],3),IF((COUNTIFS(T_SelfStock[RM_Code],$A62,T_SelfStock[WeekIndex],3)&gt;0)*(COUNTIFS(T_TTAFStock[RM_Code],$A62,T_TTAFStock[WeekIndex],3)&gt;0)&gt;0,SUMIFS(T_SelfStock[Self_Qty],T_SelfStock[RM_Code],$A62,T_SelfStock[WeekIndex],3)+SUMIFS(T_TTAFStock[TTAF_Qty],T_TTAFStock[RM_Code],$A62,T_TTAFStock[WeekIndex],3),C62+'Grid_Incoming'!D62-'Grid_Requirement'!D62))</f>
        <v/>
      </c>
      <c r="E62">
        <f>IF(COUNTIFS(T_StockCount[RM_Code],$A62,T_StockCount[WeekIndex],4)&gt;0,SUMIFS(T_StockCount[CountedQty],T_StockCount[RM_Code],$A62,T_StockCount[WeekIndex],4),IF((COUNTIFS(T_SelfStock[RM_Code],$A62,T_SelfStock[WeekIndex],4)&gt;0)*(COUNTIFS(T_TTAFStock[RM_Code],$A62,T_TTAFStock[WeekIndex],4)&gt;0)&gt;0,SUMIFS(T_SelfStock[Self_Qty],T_SelfStock[RM_Code],$A62,T_SelfStock[WeekIndex],4)+SUMIFS(T_TTAFStock[TTAF_Qty],T_TTAFStock[RM_Code],$A62,T_TTAFStock[WeekIndex],4),D62+'Grid_Incoming'!E62-'Grid_Requirement'!E62))</f>
        <v/>
      </c>
      <c r="F62">
        <f>IF(COUNTIFS(T_StockCount[RM_Code],$A62,T_StockCount[WeekIndex],5)&gt;0,SUMIFS(T_StockCount[CountedQty],T_StockCount[RM_Code],$A62,T_StockCount[WeekIndex],5),IF((COUNTIFS(T_SelfStock[RM_Code],$A62,T_SelfStock[WeekIndex],5)&gt;0)*(COUNTIFS(T_TTAFStock[RM_Code],$A62,T_TTAFStock[WeekIndex],5)&gt;0)&gt;0,SUMIFS(T_SelfStock[Self_Qty],T_SelfStock[RM_Code],$A62,T_SelfStock[WeekIndex],5)+SUMIFS(T_TTAFStock[TTAF_Qty],T_TTAFStock[RM_Code],$A62,T_TTAFStock[WeekIndex],5),E62+'Grid_Incoming'!F62-'Grid_Requirement'!F62))</f>
        <v/>
      </c>
      <c r="G62">
        <f>IF(COUNTIFS(T_StockCount[RM_Code],$A62,T_StockCount[WeekIndex],6)&gt;0,SUMIFS(T_StockCount[CountedQty],T_StockCount[RM_Code],$A62,T_StockCount[WeekIndex],6),IF((COUNTIFS(T_SelfStock[RM_Code],$A62,T_SelfStock[WeekIndex],6)&gt;0)*(COUNTIFS(T_TTAFStock[RM_Code],$A62,T_TTAFStock[WeekIndex],6)&gt;0)&gt;0,SUMIFS(T_SelfStock[Self_Qty],T_SelfStock[RM_Code],$A62,T_SelfStock[WeekIndex],6)+SUMIFS(T_TTAFStock[TTAF_Qty],T_TTAFStock[RM_Code],$A62,T_TTAFStock[WeekIndex],6),F62+'Grid_Incoming'!G62-'Grid_Requirement'!G62))</f>
        <v/>
      </c>
      <c r="H62">
        <f>IF(COUNTIFS(T_StockCount[RM_Code],$A62,T_StockCount[WeekIndex],7)&gt;0,SUMIFS(T_StockCount[CountedQty],T_StockCount[RM_Code],$A62,T_StockCount[WeekIndex],7),IF((COUNTIFS(T_SelfStock[RM_Code],$A62,T_SelfStock[WeekIndex],7)&gt;0)*(COUNTIFS(T_TTAFStock[RM_Code],$A62,T_TTAFStock[WeekIndex],7)&gt;0)&gt;0,SUMIFS(T_SelfStock[Self_Qty],T_SelfStock[RM_Code],$A62,T_SelfStock[WeekIndex],7)+SUMIFS(T_TTAFStock[TTAF_Qty],T_TTAFStock[RM_Code],$A62,T_TTAFStock[WeekIndex],7),G62+'Grid_Incoming'!H62-'Grid_Requirement'!H62))</f>
        <v/>
      </c>
      <c r="I62">
        <f>IF(COUNTIFS(T_StockCount[RM_Code],$A62,T_StockCount[WeekIndex],8)&gt;0,SUMIFS(T_StockCount[CountedQty],T_StockCount[RM_Code],$A62,T_StockCount[WeekIndex],8),IF((COUNTIFS(T_SelfStock[RM_Code],$A62,T_SelfStock[WeekIndex],8)&gt;0)*(COUNTIFS(T_TTAFStock[RM_Code],$A62,T_TTAFStock[WeekIndex],8)&gt;0)&gt;0,SUMIFS(T_SelfStock[Self_Qty],T_SelfStock[RM_Code],$A62,T_SelfStock[WeekIndex],8)+SUMIFS(T_TTAFStock[TTAF_Qty],T_TTAFStock[RM_Code],$A62,T_TTAFStock[WeekIndex],8),H62+'Grid_Incoming'!I62-'Grid_Requirement'!I62))</f>
        <v/>
      </c>
      <c r="J62">
        <f>IF(COUNTIFS(T_StockCount[RM_Code],$A62,T_StockCount[WeekIndex],9)&gt;0,SUMIFS(T_StockCount[CountedQty],T_StockCount[RM_Code],$A62,T_StockCount[WeekIndex],9),IF((COUNTIFS(T_SelfStock[RM_Code],$A62,T_SelfStock[WeekIndex],9)&gt;0)*(COUNTIFS(T_TTAFStock[RM_Code],$A62,T_TTAFStock[WeekIndex],9)&gt;0)&gt;0,SUMIFS(T_SelfStock[Self_Qty],T_SelfStock[RM_Code],$A62,T_SelfStock[WeekIndex],9)+SUMIFS(T_TTAFStock[TTAF_Qty],T_TTAFStock[RM_Code],$A62,T_TTAFStock[WeekIndex],9),I62+'Grid_Incoming'!J62-'Grid_Requirement'!J62))</f>
        <v/>
      </c>
      <c r="K62">
        <f>IF(COUNTIFS(T_StockCount[RM_Code],$A62,T_StockCount[WeekIndex],10)&gt;0,SUMIFS(T_StockCount[CountedQty],T_StockCount[RM_Code],$A62,T_StockCount[WeekIndex],10),IF((COUNTIFS(T_SelfStock[RM_Code],$A62,T_SelfStock[WeekIndex],10)&gt;0)*(COUNTIFS(T_TTAFStock[RM_Code],$A62,T_TTAFStock[WeekIndex],10)&gt;0)&gt;0,SUMIFS(T_SelfStock[Self_Qty],T_SelfStock[RM_Code],$A62,T_SelfStock[WeekIndex],10)+SUMIFS(T_TTAFStock[TTAF_Qty],T_TTAFStock[RM_Code],$A62,T_TTAFStock[WeekIndex],10),J62+'Grid_Incoming'!K62-'Grid_Requirement'!K62))</f>
        <v/>
      </c>
      <c r="L62">
        <f>IF(COUNTIFS(T_StockCount[RM_Code],$A62,T_StockCount[WeekIndex],11)&gt;0,SUMIFS(T_StockCount[CountedQty],T_StockCount[RM_Code],$A62,T_StockCount[WeekIndex],11),IF((COUNTIFS(T_SelfStock[RM_Code],$A62,T_SelfStock[WeekIndex],11)&gt;0)*(COUNTIFS(T_TTAFStock[RM_Code],$A62,T_TTAFStock[WeekIndex],11)&gt;0)&gt;0,SUMIFS(T_SelfStock[Self_Qty],T_SelfStock[RM_Code],$A62,T_SelfStock[WeekIndex],11)+SUMIFS(T_TTAFStock[TTAF_Qty],T_TTAFStock[RM_Code],$A62,T_TTAFStock[WeekIndex],11),K62+'Grid_Incoming'!L62-'Grid_Requirement'!L62))</f>
        <v/>
      </c>
      <c r="M62">
        <f>IF(COUNTIFS(T_StockCount[RM_Code],$A62,T_StockCount[WeekIndex],12)&gt;0,SUMIFS(T_StockCount[CountedQty],T_StockCount[RM_Code],$A62,T_StockCount[WeekIndex],12),IF((COUNTIFS(T_SelfStock[RM_Code],$A62,T_SelfStock[WeekIndex],12)&gt;0)*(COUNTIFS(T_TTAFStock[RM_Code],$A62,T_TTAFStock[WeekIndex],12)&gt;0)&gt;0,SUMIFS(T_SelfStock[Self_Qty],T_SelfStock[RM_Code],$A62,T_SelfStock[WeekIndex],12)+SUMIFS(T_TTAFStock[TTAF_Qty],T_TTAFStock[RM_Code],$A62,T_TTAFStock[WeekIndex],12),L62+'Grid_Incoming'!M62-'Grid_Requirement'!M62))</f>
        <v/>
      </c>
      <c r="N62">
        <f>IF(COUNTIFS(T_StockCount[RM_Code],$A62,T_StockCount[WeekIndex],13)&gt;0,SUMIFS(T_StockCount[CountedQty],T_StockCount[RM_Code],$A62,T_StockCount[WeekIndex],13),IF((COUNTIFS(T_SelfStock[RM_Code],$A62,T_SelfStock[WeekIndex],13)&gt;0)*(COUNTIFS(T_TTAFStock[RM_Code],$A62,T_TTAFStock[WeekIndex],13)&gt;0)&gt;0,SUMIFS(T_SelfStock[Self_Qty],T_SelfStock[RM_Code],$A62,T_SelfStock[WeekIndex],13)+SUMIFS(T_TTAFStock[TTAF_Qty],T_TTAFStock[RM_Code],$A62,T_TTAFStock[WeekIndex],13),M62+'Grid_Incoming'!N62-'Grid_Requirement'!N62))</f>
        <v/>
      </c>
      <c r="O62">
        <f>IF(COUNTIFS(T_StockCount[RM_Code],$A62,T_StockCount[WeekIndex],14)&gt;0,SUMIFS(T_StockCount[CountedQty],T_StockCount[RM_Code],$A62,T_StockCount[WeekIndex],14),IF((COUNTIFS(T_SelfStock[RM_Code],$A62,T_SelfStock[WeekIndex],14)&gt;0)*(COUNTIFS(T_TTAFStock[RM_Code],$A62,T_TTAFStock[WeekIndex],14)&gt;0)&gt;0,SUMIFS(T_SelfStock[Self_Qty],T_SelfStock[RM_Code],$A62,T_SelfStock[WeekIndex],14)+SUMIFS(T_TTAFStock[TTAF_Qty],T_TTAFStock[RM_Code],$A62,T_TTAFStock[WeekIndex],14),N62+'Grid_Incoming'!O62-'Grid_Requirement'!O62))</f>
        <v/>
      </c>
      <c r="P62">
        <f>IF(COUNTIFS(T_StockCount[RM_Code],$A62,T_StockCount[WeekIndex],15)&gt;0,SUMIFS(T_StockCount[CountedQty],T_StockCount[RM_Code],$A62,T_StockCount[WeekIndex],15),IF((COUNTIFS(T_SelfStock[RM_Code],$A62,T_SelfStock[WeekIndex],15)&gt;0)*(COUNTIFS(T_TTAFStock[RM_Code],$A62,T_TTAFStock[WeekIndex],15)&gt;0)&gt;0,SUMIFS(T_SelfStock[Self_Qty],T_SelfStock[RM_Code],$A62,T_SelfStock[WeekIndex],15)+SUMIFS(T_TTAFStock[TTAF_Qty],T_TTAFStock[RM_Code],$A62,T_TTAFStock[WeekIndex],15),O62+'Grid_Incoming'!P62-'Grid_Requirement'!P62))</f>
        <v/>
      </c>
      <c r="Q62">
        <f>IF(COUNTIFS(T_StockCount[RM_Code],$A62,T_StockCount[WeekIndex],16)&gt;0,SUMIFS(T_StockCount[CountedQty],T_StockCount[RM_Code],$A62,T_StockCount[WeekIndex],16),IF((COUNTIFS(T_SelfStock[RM_Code],$A62,T_SelfStock[WeekIndex],16)&gt;0)*(COUNTIFS(T_TTAFStock[RM_Code],$A62,T_TTAFStock[WeekIndex],16)&gt;0)&gt;0,SUMIFS(T_SelfStock[Self_Qty],T_SelfStock[RM_Code],$A62,T_SelfStock[WeekIndex],16)+SUMIFS(T_TTAFStock[TTAF_Qty],T_TTAFStock[RM_Code],$A62,T_TTAFStock[WeekIndex],16),P62+'Grid_Incoming'!Q62-'Grid_Requirement'!Q62))</f>
        <v/>
      </c>
      <c r="R62">
        <f>IF(COUNTIFS(T_StockCount[RM_Code],$A62,T_StockCount[WeekIndex],17)&gt;0,SUMIFS(T_StockCount[CountedQty],T_StockCount[RM_Code],$A62,T_StockCount[WeekIndex],17),IF((COUNTIFS(T_SelfStock[RM_Code],$A62,T_SelfStock[WeekIndex],17)&gt;0)*(COUNTIFS(T_TTAFStock[RM_Code],$A62,T_TTAFStock[WeekIndex],17)&gt;0)&gt;0,SUMIFS(T_SelfStock[Self_Qty],T_SelfStock[RM_Code],$A62,T_SelfStock[WeekIndex],17)+SUMIFS(T_TTAFStock[TTAF_Qty],T_TTAFStock[RM_Code],$A62,T_TTAFStock[WeekIndex],17),Q62+'Grid_Incoming'!R62-'Grid_Requirement'!R62))</f>
        <v/>
      </c>
      <c r="S62">
        <f>IF(COUNTIFS(T_StockCount[RM_Code],$A62,T_StockCount[WeekIndex],18)&gt;0,SUMIFS(T_StockCount[CountedQty],T_StockCount[RM_Code],$A62,T_StockCount[WeekIndex],18),IF((COUNTIFS(T_SelfStock[RM_Code],$A62,T_SelfStock[WeekIndex],18)&gt;0)*(COUNTIFS(T_TTAFStock[RM_Code],$A62,T_TTAFStock[WeekIndex],18)&gt;0)&gt;0,SUMIFS(T_SelfStock[Self_Qty],T_SelfStock[RM_Code],$A62,T_SelfStock[WeekIndex],18)+SUMIFS(T_TTAFStock[TTAF_Qty],T_TTAFStock[RM_Code],$A62,T_TTAFStock[WeekIndex],18),R62+'Grid_Incoming'!S62-'Grid_Requirement'!S62))</f>
        <v/>
      </c>
      <c r="T62">
        <f>IF(COUNTIFS(T_StockCount[RM_Code],$A62,T_StockCount[WeekIndex],19)&gt;0,SUMIFS(T_StockCount[CountedQty],T_StockCount[RM_Code],$A62,T_StockCount[WeekIndex],19),IF((COUNTIFS(T_SelfStock[RM_Code],$A62,T_SelfStock[WeekIndex],19)&gt;0)*(COUNTIFS(T_TTAFStock[RM_Code],$A62,T_TTAFStock[WeekIndex],19)&gt;0)&gt;0,SUMIFS(T_SelfStock[Self_Qty],T_SelfStock[RM_Code],$A62,T_SelfStock[WeekIndex],19)+SUMIFS(T_TTAFStock[TTAF_Qty],T_TTAFStock[RM_Code],$A62,T_TTAFStock[WeekIndex],19),S62+'Grid_Incoming'!T62-'Grid_Requirement'!T62))</f>
        <v/>
      </c>
      <c r="U62">
        <f>IF(COUNTIFS(T_StockCount[RM_Code],$A62,T_StockCount[WeekIndex],20)&gt;0,SUMIFS(T_StockCount[CountedQty],T_StockCount[RM_Code],$A62,T_StockCount[WeekIndex],20),IF((COUNTIFS(T_SelfStock[RM_Code],$A62,T_SelfStock[WeekIndex],20)&gt;0)*(COUNTIFS(T_TTAFStock[RM_Code],$A62,T_TTAFStock[WeekIndex],20)&gt;0)&gt;0,SUMIFS(T_SelfStock[Self_Qty],T_SelfStock[RM_Code],$A62,T_SelfStock[WeekIndex],20)+SUMIFS(T_TTAFStock[TTAF_Qty],T_TTAFStock[RM_Code],$A62,T_TTAFStock[WeekIndex],20),T62+'Grid_Incoming'!U62-'Grid_Requirement'!U62))</f>
        <v/>
      </c>
      <c r="V62">
        <f>IF(COUNTIFS(T_StockCount[RM_Code],$A62,T_StockCount[WeekIndex],21)&gt;0,SUMIFS(T_StockCount[CountedQty],T_StockCount[RM_Code],$A62,T_StockCount[WeekIndex],21),IF((COUNTIFS(T_SelfStock[RM_Code],$A62,T_SelfStock[WeekIndex],21)&gt;0)*(COUNTIFS(T_TTAFStock[RM_Code],$A62,T_TTAFStock[WeekIndex],21)&gt;0)&gt;0,SUMIFS(T_SelfStock[Self_Qty],T_SelfStock[RM_Code],$A62,T_SelfStock[WeekIndex],21)+SUMIFS(T_TTAFStock[TTAF_Qty],T_TTAFStock[RM_Code],$A62,T_TTAFStock[WeekIndex],21),U62+'Grid_Incoming'!V62-'Grid_Requirement'!V62))</f>
        <v/>
      </c>
      <c r="W62">
        <f>IF(COUNTIFS(T_StockCount[RM_Code],$A62,T_StockCount[WeekIndex],22)&gt;0,SUMIFS(T_StockCount[CountedQty],T_StockCount[RM_Code],$A62,T_StockCount[WeekIndex],22),IF((COUNTIFS(T_SelfStock[RM_Code],$A62,T_SelfStock[WeekIndex],22)&gt;0)*(COUNTIFS(T_TTAFStock[RM_Code],$A62,T_TTAFStock[WeekIndex],22)&gt;0)&gt;0,SUMIFS(T_SelfStock[Self_Qty],T_SelfStock[RM_Code],$A62,T_SelfStock[WeekIndex],22)+SUMIFS(T_TTAFStock[TTAF_Qty],T_TTAFStock[RM_Code],$A62,T_TTAFStock[WeekIndex],22),V62+'Grid_Incoming'!W62-'Grid_Requirement'!W62))</f>
        <v/>
      </c>
      <c r="X62">
        <f>IF(COUNTIFS(T_StockCount[RM_Code],$A62,T_StockCount[WeekIndex],23)&gt;0,SUMIFS(T_StockCount[CountedQty],T_StockCount[RM_Code],$A62,T_StockCount[WeekIndex],23),IF((COUNTIFS(T_SelfStock[RM_Code],$A62,T_SelfStock[WeekIndex],23)&gt;0)*(COUNTIFS(T_TTAFStock[RM_Code],$A62,T_TTAFStock[WeekIndex],23)&gt;0)&gt;0,SUMIFS(T_SelfStock[Self_Qty],T_SelfStock[RM_Code],$A62,T_SelfStock[WeekIndex],23)+SUMIFS(T_TTAFStock[TTAF_Qty],T_TTAFStock[RM_Code],$A62,T_TTAFStock[WeekIndex],23),W62+'Grid_Incoming'!X62-'Grid_Requirement'!X62))</f>
        <v/>
      </c>
      <c r="Y62">
        <f>IF(COUNTIFS(T_StockCount[RM_Code],$A62,T_StockCount[WeekIndex],24)&gt;0,SUMIFS(T_StockCount[CountedQty],T_StockCount[RM_Code],$A62,T_StockCount[WeekIndex],24),IF((COUNTIFS(T_SelfStock[RM_Code],$A62,T_SelfStock[WeekIndex],24)&gt;0)*(COUNTIFS(T_TTAFStock[RM_Code],$A62,T_TTAFStock[WeekIndex],24)&gt;0)&gt;0,SUMIFS(T_SelfStock[Self_Qty],T_SelfStock[RM_Code],$A62,T_SelfStock[WeekIndex],24)+SUMIFS(T_TTAFStock[TTAF_Qty],T_TTAFStock[RM_Code],$A62,T_TTAFStock[WeekIndex],24),X62+'Grid_Incoming'!Y62-'Grid_Requirement'!Y62))</f>
        <v/>
      </c>
      <c r="Z62">
        <f>IF(COUNTIFS(T_StockCount[RM_Code],$A62,T_StockCount[WeekIndex],25)&gt;0,SUMIFS(T_StockCount[CountedQty],T_StockCount[RM_Code],$A62,T_StockCount[WeekIndex],25),IF((COUNTIFS(T_SelfStock[RM_Code],$A62,T_SelfStock[WeekIndex],25)&gt;0)*(COUNTIFS(T_TTAFStock[RM_Code],$A62,T_TTAFStock[WeekIndex],25)&gt;0)&gt;0,SUMIFS(T_SelfStock[Self_Qty],T_SelfStock[RM_Code],$A62,T_SelfStock[WeekIndex],25)+SUMIFS(T_TTAFStock[TTAF_Qty],T_TTAFStock[RM_Code],$A62,T_TTAFStock[WeekIndex],25),Y62+'Grid_Incoming'!Z62-'Grid_Requirement'!Z62))</f>
        <v/>
      </c>
      <c r="AA62">
        <f>IF(COUNTIFS(T_StockCount[RM_Code],$A62,T_StockCount[WeekIndex],26)&gt;0,SUMIFS(T_StockCount[CountedQty],T_StockCount[RM_Code],$A62,T_StockCount[WeekIndex],26),IF((COUNTIFS(T_SelfStock[RM_Code],$A62,T_SelfStock[WeekIndex],26)&gt;0)*(COUNTIFS(T_TTAFStock[RM_Code],$A62,T_TTAFStock[WeekIndex],26)&gt;0)&gt;0,SUMIFS(T_SelfStock[Self_Qty],T_SelfStock[RM_Code],$A62,T_SelfStock[WeekIndex],26)+SUMIFS(T_TTAFStock[TTAF_Qty],T_TTAFStock[RM_Code],$A62,T_TTAFStock[WeekIndex],26),Z62+'Grid_Incoming'!AA62-'Grid_Requirement'!AA62))</f>
        <v/>
      </c>
      <c r="AB62">
        <f>IF(COUNTIFS(T_StockCount[RM_Code],$A62,T_StockCount[WeekIndex],27)&gt;0,SUMIFS(T_StockCount[CountedQty],T_StockCount[RM_Code],$A62,T_StockCount[WeekIndex],27),IF((COUNTIFS(T_SelfStock[RM_Code],$A62,T_SelfStock[WeekIndex],27)&gt;0)*(COUNTIFS(T_TTAFStock[RM_Code],$A62,T_TTAFStock[WeekIndex],27)&gt;0)&gt;0,SUMIFS(T_SelfStock[Self_Qty],T_SelfStock[RM_Code],$A62,T_SelfStock[WeekIndex],27)+SUMIFS(T_TTAFStock[TTAF_Qty],T_TTAFStock[RM_Code],$A62,T_TTAFStock[WeekIndex],27),AA62+'Grid_Incoming'!AB62-'Grid_Requirement'!AB62))</f>
        <v/>
      </c>
      <c r="AC62">
        <f>IF(COUNTIFS(T_StockCount[RM_Code],$A62,T_StockCount[WeekIndex],28)&gt;0,SUMIFS(T_StockCount[CountedQty],T_StockCount[RM_Code],$A62,T_StockCount[WeekIndex],28),IF((COUNTIFS(T_SelfStock[RM_Code],$A62,T_SelfStock[WeekIndex],28)&gt;0)*(COUNTIFS(T_TTAFStock[RM_Code],$A62,T_TTAFStock[WeekIndex],28)&gt;0)&gt;0,SUMIFS(T_SelfStock[Self_Qty],T_SelfStock[RM_Code],$A62,T_SelfStock[WeekIndex],28)+SUMIFS(T_TTAFStock[TTAF_Qty],T_TTAFStock[RM_Code],$A62,T_TTAFStock[WeekIndex],28),AB62+'Grid_Incoming'!AC62-'Grid_Requirement'!AC62))</f>
        <v/>
      </c>
      <c r="AD62">
        <f>IF(COUNTIFS(T_StockCount[RM_Code],$A62,T_StockCount[WeekIndex],29)&gt;0,SUMIFS(T_StockCount[CountedQty],T_StockCount[RM_Code],$A62,T_StockCount[WeekIndex],29),IF((COUNTIFS(T_SelfStock[RM_Code],$A62,T_SelfStock[WeekIndex],29)&gt;0)*(COUNTIFS(T_TTAFStock[RM_Code],$A62,T_TTAFStock[WeekIndex],29)&gt;0)&gt;0,SUMIFS(T_SelfStock[Self_Qty],T_SelfStock[RM_Code],$A62,T_SelfStock[WeekIndex],29)+SUMIFS(T_TTAFStock[TTAF_Qty],T_TTAFStock[RM_Code],$A62,T_TTAFStock[WeekIndex],29),AC62+'Grid_Incoming'!AD62-'Grid_Requirement'!AD62))</f>
        <v/>
      </c>
      <c r="AE62">
        <f>IF(COUNTIFS(T_StockCount[RM_Code],$A62,T_StockCount[WeekIndex],30)&gt;0,SUMIFS(T_StockCount[CountedQty],T_StockCount[RM_Code],$A62,T_StockCount[WeekIndex],30),IF((COUNTIFS(T_SelfStock[RM_Code],$A62,T_SelfStock[WeekIndex],30)&gt;0)*(COUNTIFS(T_TTAFStock[RM_Code],$A62,T_TTAFStock[WeekIndex],30)&gt;0)&gt;0,SUMIFS(T_SelfStock[Self_Qty],T_SelfStock[RM_Code],$A62,T_SelfStock[WeekIndex],30)+SUMIFS(T_TTAFStock[TTAF_Qty],T_TTAFStock[RM_Code],$A62,T_TTAFStock[WeekIndex],30),AD62+'Grid_Incoming'!AE62-'Grid_Requirement'!AE62))</f>
        <v/>
      </c>
      <c r="AF62">
        <f>IF(COUNTIFS(T_StockCount[RM_Code],$A62,T_StockCount[WeekIndex],31)&gt;0,SUMIFS(T_StockCount[CountedQty],T_StockCount[RM_Code],$A62,T_StockCount[WeekIndex],31),IF((COUNTIFS(T_SelfStock[RM_Code],$A62,T_SelfStock[WeekIndex],31)&gt;0)*(COUNTIFS(T_TTAFStock[RM_Code],$A62,T_TTAFStock[WeekIndex],31)&gt;0)&gt;0,SUMIFS(T_SelfStock[Self_Qty],T_SelfStock[RM_Code],$A62,T_SelfStock[WeekIndex],31)+SUMIFS(T_TTAFStock[TTAF_Qty],T_TTAFStock[RM_Code],$A62,T_TTAFStock[WeekIndex],31),AE62+'Grid_Incoming'!AF62-'Grid_Requirement'!AF62))</f>
        <v/>
      </c>
      <c r="AG62">
        <f>IF(COUNTIFS(T_StockCount[RM_Code],$A62,T_StockCount[WeekIndex],32)&gt;0,SUMIFS(T_StockCount[CountedQty],T_StockCount[RM_Code],$A62,T_StockCount[WeekIndex],32),IF((COUNTIFS(T_SelfStock[RM_Code],$A62,T_SelfStock[WeekIndex],32)&gt;0)*(COUNTIFS(T_TTAFStock[RM_Code],$A62,T_TTAFStock[WeekIndex],32)&gt;0)&gt;0,SUMIFS(T_SelfStock[Self_Qty],T_SelfStock[RM_Code],$A62,T_SelfStock[WeekIndex],32)+SUMIFS(T_TTAFStock[TTAF_Qty],T_TTAFStock[RM_Code],$A62,T_TTAFStock[WeekIndex],32),AF62+'Grid_Incoming'!AG62-'Grid_Requirement'!AG62))</f>
        <v/>
      </c>
      <c r="AH62">
        <f>IF(COUNTIFS(T_StockCount[RM_Code],$A62,T_StockCount[WeekIndex],33)&gt;0,SUMIFS(T_StockCount[CountedQty],T_StockCount[RM_Code],$A62,T_StockCount[WeekIndex],33),IF((COUNTIFS(T_SelfStock[RM_Code],$A62,T_SelfStock[WeekIndex],33)&gt;0)*(COUNTIFS(T_TTAFStock[RM_Code],$A62,T_TTAFStock[WeekIndex],33)&gt;0)&gt;0,SUMIFS(T_SelfStock[Self_Qty],T_SelfStock[RM_Code],$A62,T_SelfStock[WeekIndex],33)+SUMIFS(T_TTAFStock[TTAF_Qty],T_TTAFStock[RM_Code],$A62,T_TTAFStock[WeekIndex],33),AG62+'Grid_Incoming'!AH62-'Grid_Requirement'!AH62))</f>
        <v/>
      </c>
      <c r="AI62">
        <f>IF(COUNTIFS(T_StockCount[RM_Code],$A62,T_StockCount[WeekIndex],34)&gt;0,SUMIFS(T_StockCount[CountedQty],T_StockCount[RM_Code],$A62,T_StockCount[WeekIndex],34),IF((COUNTIFS(T_SelfStock[RM_Code],$A62,T_SelfStock[WeekIndex],34)&gt;0)*(COUNTIFS(T_TTAFStock[RM_Code],$A62,T_TTAFStock[WeekIndex],34)&gt;0)&gt;0,SUMIFS(T_SelfStock[Self_Qty],T_SelfStock[RM_Code],$A62,T_SelfStock[WeekIndex],34)+SUMIFS(T_TTAFStock[TTAF_Qty],T_TTAFStock[RM_Code],$A62,T_TTAFStock[WeekIndex],34),AH62+'Grid_Incoming'!AI62-'Grid_Requirement'!AI62))</f>
        <v/>
      </c>
      <c r="AJ62">
        <f>IF(COUNTIFS(T_StockCount[RM_Code],$A62,T_StockCount[WeekIndex],35)&gt;0,SUMIFS(T_StockCount[CountedQty],T_StockCount[RM_Code],$A62,T_StockCount[WeekIndex],35),IF((COUNTIFS(T_SelfStock[RM_Code],$A62,T_SelfStock[WeekIndex],35)&gt;0)*(COUNTIFS(T_TTAFStock[RM_Code],$A62,T_TTAFStock[WeekIndex],35)&gt;0)&gt;0,SUMIFS(T_SelfStock[Self_Qty],T_SelfStock[RM_Code],$A62,T_SelfStock[WeekIndex],35)+SUMIFS(T_TTAFStock[TTAF_Qty],T_TTAFStock[RM_Code],$A62,T_TTAFStock[WeekIndex],35),AI62+'Grid_Incoming'!AJ62-'Grid_Requirement'!AJ62))</f>
        <v/>
      </c>
      <c r="AK62">
        <f>IF(COUNTIFS(T_StockCount[RM_Code],$A62,T_StockCount[WeekIndex],36)&gt;0,SUMIFS(T_StockCount[CountedQty],T_StockCount[RM_Code],$A62,T_StockCount[WeekIndex],36),IF((COUNTIFS(T_SelfStock[RM_Code],$A62,T_SelfStock[WeekIndex],36)&gt;0)*(COUNTIFS(T_TTAFStock[RM_Code],$A62,T_TTAFStock[WeekIndex],36)&gt;0)&gt;0,SUMIFS(T_SelfStock[Self_Qty],T_SelfStock[RM_Code],$A62,T_SelfStock[WeekIndex],36)+SUMIFS(T_TTAFStock[TTAF_Qty],T_TTAFStock[RM_Code],$A62,T_TTAFStock[WeekIndex],36),AJ62+'Grid_Incoming'!AK62-'Grid_Requirement'!AK62))</f>
        <v/>
      </c>
      <c r="AL62">
        <f>IF(COUNTIFS(T_StockCount[RM_Code],$A62,T_StockCount[WeekIndex],37)&gt;0,SUMIFS(T_StockCount[CountedQty],T_StockCount[RM_Code],$A62,T_StockCount[WeekIndex],37),IF((COUNTIFS(T_SelfStock[RM_Code],$A62,T_SelfStock[WeekIndex],37)&gt;0)*(COUNTIFS(T_TTAFStock[RM_Code],$A62,T_TTAFStock[WeekIndex],37)&gt;0)&gt;0,SUMIFS(T_SelfStock[Self_Qty],T_SelfStock[RM_Code],$A62,T_SelfStock[WeekIndex],37)+SUMIFS(T_TTAFStock[TTAF_Qty],T_TTAFStock[RM_Code],$A62,T_TTAFStock[WeekIndex],37),AK62+'Grid_Incoming'!AL62-'Grid_Requirement'!AL62))</f>
        <v/>
      </c>
      <c r="AM62">
        <f>IF(COUNTIFS(T_StockCount[RM_Code],$A62,T_StockCount[WeekIndex],38)&gt;0,SUMIFS(T_StockCount[CountedQty],T_StockCount[RM_Code],$A62,T_StockCount[WeekIndex],38),IF((COUNTIFS(T_SelfStock[RM_Code],$A62,T_SelfStock[WeekIndex],38)&gt;0)*(COUNTIFS(T_TTAFStock[RM_Code],$A62,T_TTAFStock[WeekIndex],38)&gt;0)&gt;0,SUMIFS(T_SelfStock[Self_Qty],T_SelfStock[RM_Code],$A62,T_SelfStock[WeekIndex],38)+SUMIFS(T_TTAFStock[TTAF_Qty],T_TTAFStock[RM_Code],$A62,T_TTAFStock[WeekIndex],38),AL62+'Grid_Incoming'!AM62-'Grid_Requirement'!AM62))</f>
        <v/>
      </c>
      <c r="AN62">
        <f>IF(COUNTIFS(T_StockCount[RM_Code],$A62,T_StockCount[WeekIndex],39)&gt;0,SUMIFS(T_StockCount[CountedQty],T_StockCount[RM_Code],$A62,T_StockCount[WeekIndex],39),IF((COUNTIFS(T_SelfStock[RM_Code],$A62,T_SelfStock[WeekIndex],39)&gt;0)*(COUNTIFS(T_TTAFStock[RM_Code],$A62,T_TTAFStock[WeekIndex],39)&gt;0)&gt;0,SUMIFS(T_SelfStock[Self_Qty],T_SelfStock[RM_Code],$A62,T_SelfStock[WeekIndex],39)+SUMIFS(T_TTAFStock[TTAF_Qty],T_TTAFStock[RM_Code],$A62,T_TTAFStock[WeekIndex],39),AM62+'Grid_Incoming'!AN62-'Grid_Requirement'!AN62))</f>
        <v/>
      </c>
      <c r="AO62">
        <f>IF(COUNTIFS(T_StockCount[RM_Code],$A62,T_StockCount[WeekIndex],40)&gt;0,SUMIFS(T_StockCount[CountedQty],T_StockCount[RM_Code],$A62,T_StockCount[WeekIndex],40),IF((COUNTIFS(T_SelfStock[RM_Code],$A62,T_SelfStock[WeekIndex],40)&gt;0)*(COUNTIFS(T_TTAFStock[RM_Code],$A62,T_TTAFStock[WeekIndex],40)&gt;0)&gt;0,SUMIFS(T_SelfStock[Self_Qty],T_SelfStock[RM_Code],$A62,T_SelfStock[WeekIndex],40)+SUMIFS(T_TTAFStock[TTAF_Qty],T_TTAFStock[RM_Code],$A62,T_TTAFStock[WeekIndex],40),AN62+'Grid_Incoming'!AO62-'Grid_Requirement'!AO62))</f>
        <v/>
      </c>
      <c r="AP62">
        <f>IF(COUNTIFS(T_StockCount[RM_Code],$A62,T_StockCount[WeekIndex],41)&gt;0,SUMIFS(T_StockCount[CountedQty],T_StockCount[RM_Code],$A62,T_StockCount[WeekIndex],41),IF((COUNTIFS(T_SelfStock[RM_Code],$A62,T_SelfStock[WeekIndex],41)&gt;0)*(COUNTIFS(T_TTAFStock[RM_Code],$A62,T_TTAFStock[WeekIndex],41)&gt;0)&gt;0,SUMIFS(T_SelfStock[Self_Qty],T_SelfStock[RM_Code],$A62,T_SelfStock[WeekIndex],41)+SUMIFS(T_TTAFStock[TTAF_Qty],T_TTAFStock[RM_Code],$A62,T_TTAFStock[WeekIndex],41),AO62+'Grid_Incoming'!AP62-'Grid_Requirement'!AP62))</f>
        <v/>
      </c>
      <c r="AQ62">
        <f>IF(COUNTIFS(T_StockCount[RM_Code],$A62,T_StockCount[WeekIndex],42)&gt;0,SUMIFS(T_StockCount[CountedQty],T_StockCount[RM_Code],$A62,T_StockCount[WeekIndex],42),IF((COUNTIFS(T_SelfStock[RM_Code],$A62,T_SelfStock[WeekIndex],42)&gt;0)*(COUNTIFS(T_TTAFStock[RM_Code],$A62,T_TTAFStock[WeekIndex],42)&gt;0)&gt;0,SUMIFS(T_SelfStock[Self_Qty],T_SelfStock[RM_Code],$A62,T_SelfStock[WeekIndex],42)+SUMIFS(T_TTAFStock[TTAF_Qty],T_TTAFStock[RM_Code],$A62,T_TTAFStock[WeekIndex],42),AP62+'Grid_Incoming'!AQ62-'Grid_Requirement'!AQ62))</f>
        <v/>
      </c>
      <c r="AR62">
        <f>IF(COUNTIFS(T_StockCount[RM_Code],$A62,T_StockCount[WeekIndex],43)&gt;0,SUMIFS(T_StockCount[CountedQty],T_StockCount[RM_Code],$A62,T_StockCount[WeekIndex],43),IF((COUNTIFS(T_SelfStock[RM_Code],$A62,T_SelfStock[WeekIndex],43)&gt;0)*(COUNTIFS(T_TTAFStock[RM_Code],$A62,T_TTAFStock[WeekIndex],43)&gt;0)&gt;0,SUMIFS(T_SelfStock[Self_Qty],T_SelfStock[RM_Code],$A62,T_SelfStock[WeekIndex],43)+SUMIFS(T_TTAFStock[TTAF_Qty],T_TTAFStock[RM_Code],$A62,T_TTAFStock[WeekIndex],43),AQ62+'Grid_Incoming'!AR62-'Grid_Requirement'!AR62))</f>
        <v/>
      </c>
      <c r="AS62">
        <f>IF(COUNTIFS(T_StockCount[RM_Code],$A62,T_StockCount[WeekIndex],44)&gt;0,SUMIFS(T_StockCount[CountedQty],T_StockCount[RM_Code],$A62,T_StockCount[WeekIndex],44),IF((COUNTIFS(T_SelfStock[RM_Code],$A62,T_SelfStock[WeekIndex],44)&gt;0)*(COUNTIFS(T_TTAFStock[RM_Code],$A62,T_TTAFStock[WeekIndex],44)&gt;0)&gt;0,SUMIFS(T_SelfStock[Self_Qty],T_SelfStock[RM_Code],$A62,T_SelfStock[WeekIndex],44)+SUMIFS(T_TTAFStock[TTAF_Qty],T_TTAFStock[RM_Code],$A62,T_TTAFStock[WeekIndex],44),AR62+'Grid_Incoming'!AS62-'Grid_Requirement'!AS62))</f>
        <v/>
      </c>
      <c r="AT62">
        <f>IF(COUNTIFS(T_StockCount[RM_Code],$A62,T_StockCount[WeekIndex],45)&gt;0,SUMIFS(T_StockCount[CountedQty],T_StockCount[RM_Code],$A62,T_StockCount[WeekIndex],45),IF((COUNTIFS(T_SelfStock[RM_Code],$A62,T_SelfStock[WeekIndex],45)&gt;0)*(COUNTIFS(T_TTAFStock[RM_Code],$A62,T_TTAFStock[WeekIndex],45)&gt;0)&gt;0,SUMIFS(T_SelfStock[Self_Qty],T_SelfStock[RM_Code],$A62,T_SelfStock[WeekIndex],45)+SUMIFS(T_TTAFStock[TTAF_Qty],T_TTAFStock[RM_Code],$A62,T_TTAFStock[WeekIndex],45),AS62+'Grid_Incoming'!AT62-'Grid_Requirement'!AT62))</f>
        <v/>
      </c>
      <c r="AU62">
        <f>IF(COUNTIFS(T_StockCount[RM_Code],$A62,T_StockCount[WeekIndex],46)&gt;0,SUMIFS(T_StockCount[CountedQty],T_StockCount[RM_Code],$A62,T_StockCount[WeekIndex],46),IF((COUNTIFS(T_SelfStock[RM_Code],$A62,T_SelfStock[WeekIndex],46)&gt;0)*(COUNTIFS(T_TTAFStock[RM_Code],$A62,T_TTAFStock[WeekIndex],46)&gt;0)&gt;0,SUMIFS(T_SelfStock[Self_Qty],T_SelfStock[RM_Code],$A62,T_SelfStock[WeekIndex],46)+SUMIFS(T_TTAFStock[TTAF_Qty],T_TTAFStock[RM_Code],$A62,T_TTAFStock[WeekIndex],46),AT62+'Grid_Incoming'!AU62-'Grid_Requirement'!AU62))</f>
        <v/>
      </c>
      <c r="AV62">
        <f>IF(COUNTIFS(T_StockCount[RM_Code],$A62,T_StockCount[WeekIndex],47)&gt;0,SUMIFS(T_StockCount[CountedQty],T_StockCount[RM_Code],$A62,T_StockCount[WeekIndex],47),IF((COUNTIFS(T_SelfStock[RM_Code],$A62,T_SelfStock[WeekIndex],47)&gt;0)*(COUNTIFS(T_TTAFStock[RM_Code],$A62,T_TTAFStock[WeekIndex],47)&gt;0)&gt;0,SUMIFS(T_SelfStock[Self_Qty],T_SelfStock[RM_Code],$A62,T_SelfStock[WeekIndex],47)+SUMIFS(T_TTAFStock[TTAF_Qty],T_TTAFStock[RM_Code],$A62,T_TTAFStock[WeekIndex],47),AU62+'Grid_Incoming'!AV62-'Grid_Requirement'!AV62))</f>
        <v/>
      </c>
      <c r="AW62">
        <f>IF(COUNTIFS(T_StockCount[RM_Code],$A62,T_StockCount[WeekIndex],48)&gt;0,SUMIFS(T_StockCount[CountedQty],T_StockCount[RM_Code],$A62,T_StockCount[WeekIndex],48),IF((COUNTIFS(T_SelfStock[RM_Code],$A62,T_SelfStock[WeekIndex],48)&gt;0)*(COUNTIFS(T_TTAFStock[RM_Code],$A62,T_TTAFStock[WeekIndex],48)&gt;0)&gt;0,SUMIFS(T_SelfStock[Self_Qty],T_SelfStock[RM_Code],$A62,T_SelfStock[WeekIndex],48)+SUMIFS(T_TTAFStock[TTAF_Qty],T_TTAFStock[RM_Code],$A62,T_TTAFStock[WeekIndex],48),AV62+'Grid_Incoming'!AW62-'Grid_Requirement'!AW62))</f>
        <v/>
      </c>
      <c r="AX62">
        <f>IF(COUNTIFS(T_StockCount[RM_Code],$A62,T_StockCount[WeekIndex],49)&gt;0,SUMIFS(T_StockCount[CountedQty],T_StockCount[RM_Code],$A62,T_StockCount[WeekIndex],49),IF((COUNTIFS(T_SelfStock[RM_Code],$A62,T_SelfStock[WeekIndex],49)&gt;0)*(COUNTIFS(T_TTAFStock[RM_Code],$A62,T_TTAFStock[WeekIndex],49)&gt;0)&gt;0,SUMIFS(T_SelfStock[Self_Qty],T_SelfStock[RM_Code],$A62,T_SelfStock[WeekIndex],49)+SUMIFS(T_TTAFStock[TTAF_Qty],T_TTAFStock[RM_Code],$A62,T_TTAFStock[WeekIndex],49),AW62+'Grid_Incoming'!AX62-'Grid_Requirement'!AX62))</f>
        <v/>
      </c>
      <c r="AY62">
        <f>IF(COUNTIFS(T_StockCount[RM_Code],$A62,T_StockCount[WeekIndex],50)&gt;0,SUMIFS(T_StockCount[CountedQty],T_StockCount[RM_Code],$A62,T_StockCount[WeekIndex],50),IF((COUNTIFS(T_SelfStock[RM_Code],$A62,T_SelfStock[WeekIndex],50)&gt;0)*(COUNTIFS(T_TTAFStock[RM_Code],$A62,T_TTAFStock[WeekIndex],50)&gt;0)&gt;0,SUMIFS(T_SelfStock[Self_Qty],T_SelfStock[RM_Code],$A62,T_SelfStock[WeekIndex],50)+SUMIFS(T_TTAFStock[TTAF_Qty],T_TTAFStock[RM_Code],$A62,T_TTAFStock[WeekIndex],50),AX62+'Grid_Incoming'!AY62-'Grid_Requirement'!AY62))</f>
        <v/>
      </c>
      <c r="AZ62">
        <f>IF(COUNTIFS(T_StockCount[RM_Code],$A62,T_StockCount[WeekIndex],51)&gt;0,SUMIFS(T_StockCount[CountedQty],T_StockCount[RM_Code],$A62,T_StockCount[WeekIndex],51),IF((COUNTIFS(T_SelfStock[RM_Code],$A62,T_SelfStock[WeekIndex],51)&gt;0)*(COUNTIFS(T_TTAFStock[RM_Code],$A62,T_TTAFStock[WeekIndex],51)&gt;0)&gt;0,SUMIFS(T_SelfStock[Self_Qty],T_SelfStock[RM_Code],$A62,T_SelfStock[WeekIndex],51)+SUMIFS(T_TTAFStock[TTAF_Qty],T_TTAFStock[RM_Code],$A62,T_TTAFStock[WeekIndex],51),AY62+'Grid_Incoming'!AZ62-'Grid_Requirement'!AZ62))</f>
        <v/>
      </c>
      <c r="BA62">
        <f>IF(COUNTIFS(T_StockCount[RM_Code],$A62,T_StockCount[WeekIndex],52)&gt;0,SUMIFS(T_StockCount[CountedQty],T_StockCount[RM_Code],$A62,T_StockCount[WeekIndex],52),IF((COUNTIFS(T_SelfStock[RM_Code],$A62,T_SelfStock[WeekIndex],52)&gt;0)*(COUNTIFS(T_TTAFStock[RM_Code],$A62,T_TTAFStock[WeekIndex],52)&gt;0)&gt;0,SUMIFS(T_SelfStock[Self_Qty],T_SelfStock[RM_Code],$A62,T_SelfStock[WeekIndex],52)+SUMIFS(T_TTAFStock[TTAF_Qty],T_TTAFStock[RM_Code],$A62,T_TTAFStock[WeekIndex],52),AZ62+'Grid_Incoming'!BA62-'Grid_Requirement'!BA62))</f>
        <v/>
      </c>
      <c r="BB62">
        <f>IF(COUNTIFS(T_StockCount[RM_Code],$A62,T_StockCount[WeekIndex],53)&gt;0,SUMIFS(T_StockCount[CountedQty],T_StockCount[RM_Code],$A62,T_StockCount[WeekIndex],53),IF((COUNTIFS(T_SelfStock[RM_Code],$A62,T_SelfStock[WeekIndex],53)&gt;0)*(COUNTIFS(T_TTAFStock[RM_Code],$A62,T_TTAFStock[WeekIndex],53)&gt;0)&gt;0,SUMIFS(T_SelfStock[Self_Qty],T_SelfStock[RM_Code],$A62,T_SelfStock[WeekIndex],53)+SUMIFS(T_TTAFStock[TTAF_Qty],T_TTAFStock[RM_Code],$A62,T_TTAFStock[WeekIndex],53),BA62+'Grid_Incoming'!BB62-'Grid_Requirement'!BB62))</f>
        <v/>
      </c>
      <c r="BC62">
        <f>IF(COUNTIFS(T_StockCount[RM_Code],$A62,T_StockCount[WeekIndex],54)&gt;0,SUMIFS(T_StockCount[CountedQty],T_StockCount[RM_Code],$A62,T_StockCount[WeekIndex],54),IF((COUNTIFS(T_SelfStock[RM_Code],$A62,T_SelfStock[WeekIndex],54)&gt;0)*(COUNTIFS(T_TTAFStock[RM_Code],$A62,T_TTAFStock[WeekIndex],54)&gt;0)&gt;0,SUMIFS(T_SelfStock[Self_Qty],T_SelfStock[RM_Code],$A62,T_SelfStock[WeekIndex],54)+SUMIFS(T_TTAFStock[TTAF_Qty],T_TTAFStock[RM_Code],$A62,T_TTAFStock[WeekIndex],54),BB62+'Grid_Incoming'!BC62-'Grid_Requirement'!BC62))</f>
        <v/>
      </c>
      <c r="BD62">
        <f>IF(COUNTIFS(T_StockCount[RM_Code],$A62,T_StockCount[WeekIndex],55)&gt;0,SUMIFS(T_StockCount[CountedQty],T_StockCount[RM_Code],$A62,T_StockCount[WeekIndex],55),IF((COUNTIFS(T_SelfStock[RM_Code],$A62,T_SelfStock[WeekIndex],55)&gt;0)*(COUNTIFS(T_TTAFStock[RM_Code],$A62,T_TTAFStock[WeekIndex],55)&gt;0)&gt;0,SUMIFS(T_SelfStock[Self_Qty],T_SelfStock[RM_Code],$A62,T_SelfStock[WeekIndex],55)+SUMIFS(T_TTAFStock[TTAF_Qty],T_TTAFStock[RM_Code],$A62,T_TTAFStock[WeekIndex],55),BC62+'Grid_Incoming'!BD62-'Grid_Requirement'!BD62))</f>
        <v/>
      </c>
      <c r="BE62">
        <f>IF(COUNTIFS(T_StockCount[RM_Code],$A62,T_StockCount[WeekIndex],56)&gt;0,SUMIFS(T_StockCount[CountedQty],T_StockCount[RM_Code],$A62,T_StockCount[WeekIndex],56),IF((COUNTIFS(T_SelfStock[RM_Code],$A62,T_SelfStock[WeekIndex],56)&gt;0)*(COUNTIFS(T_TTAFStock[RM_Code],$A62,T_TTAFStock[WeekIndex],56)&gt;0)&gt;0,SUMIFS(T_SelfStock[Self_Qty],T_SelfStock[RM_Code],$A62,T_SelfStock[WeekIndex],56)+SUMIFS(T_TTAFStock[TTAF_Qty],T_TTAFStock[RM_Code],$A62,T_TTAFStock[WeekIndex],56),BD62+'Grid_Incoming'!BE62-'Grid_Requirement'!BE62))</f>
        <v/>
      </c>
      <c r="BF62">
        <f>IF(COUNTIFS(T_StockCount[RM_Code],$A62,T_StockCount[WeekIndex],57)&gt;0,SUMIFS(T_StockCount[CountedQty],T_StockCount[RM_Code],$A62,T_StockCount[WeekIndex],57),IF((COUNTIFS(T_SelfStock[RM_Code],$A62,T_SelfStock[WeekIndex],57)&gt;0)*(COUNTIFS(T_TTAFStock[RM_Code],$A62,T_TTAFStock[WeekIndex],57)&gt;0)&gt;0,SUMIFS(T_SelfStock[Self_Qty],T_SelfStock[RM_Code],$A62,T_SelfStock[WeekIndex],57)+SUMIFS(T_TTAFStock[TTAF_Qty],T_TTAFStock[RM_Code],$A62,T_TTAFStock[WeekIndex],57),BE62+'Grid_Incoming'!BF62-'Grid_Requirement'!BF62))</f>
        <v/>
      </c>
      <c r="BG62">
        <f>IF(COUNTIFS(T_StockCount[RM_Code],$A62,T_StockCount[WeekIndex],58)&gt;0,SUMIFS(T_StockCount[CountedQty],T_StockCount[RM_Code],$A62,T_StockCount[WeekIndex],58),IF((COUNTIFS(T_SelfStock[RM_Code],$A62,T_SelfStock[WeekIndex],58)&gt;0)*(COUNTIFS(T_TTAFStock[RM_Code],$A62,T_TTAFStock[WeekIndex],58)&gt;0)&gt;0,SUMIFS(T_SelfStock[Self_Qty],T_SelfStock[RM_Code],$A62,T_SelfStock[WeekIndex],58)+SUMIFS(T_TTAFStock[TTAF_Qty],T_TTAFStock[RM_Code],$A62,T_TTAFStock[WeekIndex],58),BF62+'Grid_Incoming'!BG62-'Grid_Requirement'!BG62))</f>
        <v/>
      </c>
      <c r="BH62">
        <f>IF(COUNTIFS(T_StockCount[RM_Code],$A62,T_StockCount[WeekIndex],59)&gt;0,SUMIFS(T_StockCount[CountedQty],T_StockCount[RM_Code],$A62,T_StockCount[WeekIndex],59),IF((COUNTIFS(T_SelfStock[RM_Code],$A62,T_SelfStock[WeekIndex],59)&gt;0)*(COUNTIFS(T_TTAFStock[RM_Code],$A62,T_TTAFStock[WeekIndex],59)&gt;0)&gt;0,SUMIFS(T_SelfStock[Self_Qty],T_SelfStock[RM_Code],$A62,T_SelfStock[WeekIndex],59)+SUMIFS(T_TTAFStock[TTAF_Qty],T_TTAFStock[RM_Code],$A62,T_TTAFStock[WeekIndex],59),BG62+'Grid_Incoming'!BH62-'Grid_Requirement'!BH62))</f>
        <v/>
      </c>
      <c r="BI62">
        <f>IF(COUNTIFS(T_StockCount[RM_Code],$A62,T_StockCount[WeekIndex],60)&gt;0,SUMIFS(T_StockCount[CountedQty],T_StockCount[RM_Code],$A62,T_StockCount[WeekIndex],60),IF((COUNTIFS(T_SelfStock[RM_Code],$A62,T_SelfStock[WeekIndex],60)&gt;0)*(COUNTIFS(T_TTAFStock[RM_Code],$A62,T_TTAFStock[WeekIndex],60)&gt;0)&gt;0,SUMIFS(T_SelfStock[Self_Qty],T_SelfStock[RM_Code],$A62,T_SelfStock[WeekIndex],60)+SUMIFS(T_TTAFStock[TTAF_Qty],T_TTAFStock[RM_Code],$A62,T_TTAFStock[WeekIndex],60),BH62+'Grid_Incoming'!BI62-'Grid_Requirement'!BI62))</f>
        <v/>
      </c>
      <c r="BJ62">
        <f>IF(COUNTIFS(T_StockCount[RM_Code],$A62,T_StockCount[WeekIndex],61)&gt;0,SUMIFS(T_StockCount[CountedQty],T_StockCount[RM_Code],$A62,T_StockCount[WeekIndex],61),IF((COUNTIFS(T_SelfStock[RM_Code],$A62,T_SelfStock[WeekIndex],61)&gt;0)*(COUNTIFS(T_TTAFStock[RM_Code],$A62,T_TTAFStock[WeekIndex],61)&gt;0)&gt;0,SUMIFS(T_SelfStock[Self_Qty],T_SelfStock[RM_Code],$A62,T_SelfStock[WeekIndex],61)+SUMIFS(T_TTAFStock[TTAF_Qty],T_TTAFStock[RM_Code],$A62,T_TTAFStock[WeekIndex],61),BI62+'Grid_Incoming'!BJ62-'Grid_Requirement'!BJ62))</f>
        <v/>
      </c>
      <c r="BK62">
        <f>IF(COUNTIFS(T_StockCount[RM_Code],$A62,T_StockCount[WeekIndex],62)&gt;0,SUMIFS(T_StockCount[CountedQty],T_StockCount[RM_Code],$A62,T_StockCount[WeekIndex],62),IF((COUNTIFS(T_SelfStock[RM_Code],$A62,T_SelfStock[WeekIndex],62)&gt;0)*(COUNTIFS(T_TTAFStock[RM_Code],$A62,T_TTAFStock[WeekIndex],62)&gt;0)&gt;0,SUMIFS(T_SelfStock[Self_Qty],T_SelfStock[RM_Code],$A62,T_SelfStock[WeekIndex],62)+SUMIFS(T_TTAFStock[TTAF_Qty],T_TTAFStock[RM_Code],$A62,T_TTAFStock[WeekIndex],62),BJ62+'Grid_Incoming'!BK62-'Grid_Requirement'!BK62))</f>
        <v/>
      </c>
      <c r="BL62">
        <f>IF(COUNTIFS(T_StockCount[RM_Code],$A62,T_StockCount[WeekIndex],63)&gt;0,SUMIFS(T_StockCount[CountedQty],T_StockCount[RM_Code],$A62,T_StockCount[WeekIndex],63),IF((COUNTIFS(T_SelfStock[RM_Code],$A62,T_SelfStock[WeekIndex],63)&gt;0)*(COUNTIFS(T_TTAFStock[RM_Code],$A62,T_TTAFStock[WeekIndex],63)&gt;0)&gt;0,SUMIFS(T_SelfStock[Self_Qty],T_SelfStock[RM_Code],$A62,T_SelfStock[WeekIndex],63)+SUMIFS(T_TTAFStock[TTAF_Qty],T_TTAFStock[RM_Code],$A62,T_TTAFStock[WeekIndex],63),BK62+'Grid_Incoming'!BL62-'Grid_Requirement'!BL62))</f>
        <v/>
      </c>
      <c r="BM62">
        <f>IF(COUNTIFS(T_StockCount[RM_Code],$A62,T_StockCount[WeekIndex],64)&gt;0,SUMIFS(T_StockCount[CountedQty],T_StockCount[RM_Code],$A62,T_StockCount[WeekIndex],64),IF((COUNTIFS(T_SelfStock[RM_Code],$A62,T_SelfStock[WeekIndex],64)&gt;0)*(COUNTIFS(T_TTAFStock[RM_Code],$A62,T_TTAFStock[WeekIndex],64)&gt;0)&gt;0,SUMIFS(T_SelfStock[Self_Qty],T_SelfStock[RM_Code],$A62,T_SelfStock[WeekIndex],64)+SUMIFS(T_TTAFStock[TTAF_Qty],T_TTAFStock[RM_Code],$A62,T_TTAFStock[WeekIndex],64),BL62+'Grid_Incoming'!BM62-'Grid_Requirement'!BM62))</f>
        <v/>
      </c>
      <c r="BN62">
        <f>IF(COUNTIFS(T_StockCount[RM_Code],$A62,T_StockCount[WeekIndex],65)&gt;0,SUMIFS(T_StockCount[CountedQty],T_StockCount[RM_Code],$A62,T_StockCount[WeekIndex],65),IF((COUNTIFS(T_SelfStock[RM_Code],$A62,T_SelfStock[WeekIndex],65)&gt;0)*(COUNTIFS(T_TTAFStock[RM_Code],$A62,T_TTAFStock[WeekIndex],65)&gt;0)&gt;0,SUMIFS(T_SelfStock[Self_Qty],T_SelfStock[RM_Code],$A62,T_SelfStock[WeekIndex],65)+SUMIFS(T_TTAFStock[TTAF_Qty],T_TTAFStock[RM_Code],$A62,T_TTAFStock[WeekIndex],65),BM62+'Grid_Incoming'!BN62-'Grid_Requirement'!BN62))</f>
        <v/>
      </c>
      <c r="BO62">
        <f>IF(COUNTIFS(T_StockCount[RM_Code],$A62,T_StockCount[WeekIndex],66)&gt;0,SUMIFS(T_StockCount[CountedQty],T_StockCount[RM_Code],$A62,T_StockCount[WeekIndex],66),IF((COUNTIFS(T_SelfStock[RM_Code],$A62,T_SelfStock[WeekIndex],66)&gt;0)*(COUNTIFS(T_TTAFStock[RM_Code],$A62,T_TTAFStock[WeekIndex],66)&gt;0)&gt;0,SUMIFS(T_SelfStock[Self_Qty],T_SelfStock[RM_Code],$A62,T_SelfStock[WeekIndex],66)+SUMIFS(T_TTAFStock[TTAF_Qty],T_TTAFStock[RM_Code],$A62,T_TTAFStock[WeekIndex],66),BN62+'Grid_Incoming'!BO62-'Grid_Requirement'!BO62))</f>
        <v/>
      </c>
      <c r="BP62">
        <f>IF(COUNTIFS(T_StockCount[RM_Code],$A62,T_StockCount[WeekIndex],67)&gt;0,SUMIFS(T_StockCount[CountedQty],T_StockCount[RM_Code],$A62,T_StockCount[WeekIndex],67),IF((COUNTIFS(T_SelfStock[RM_Code],$A62,T_SelfStock[WeekIndex],67)&gt;0)*(COUNTIFS(T_TTAFStock[RM_Code],$A62,T_TTAFStock[WeekIndex],67)&gt;0)&gt;0,SUMIFS(T_SelfStock[Self_Qty],T_SelfStock[RM_Code],$A62,T_SelfStock[WeekIndex],67)+SUMIFS(T_TTAFStock[TTAF_Qty],T_TTAFStock[RM_Code],$A62,T_TTAFStock[WeekIndex],67),BO62+'Grid_Incoming'!BP62-'Grid_Requirement'!BP62))</f>
        <v/>
      </c>
      <c r="BQ62">
        <f>IF(COUNTIFS(T_StockCount[RM_Code],$A62,T_StockCount[WeekIndex],68)&gt;0,SUMIFS(T_StockCount[CountedQty],T_StockCount[RM_Code],$A62,T_StockCount[WeekIndex],68),IF((COUNTIFS(T_SelfStock[RM_Code],$A62,T_SelfStock[WeekIndex],68)&gt;0)*(COUNTIFS(T_TTAFStock[RM_Code],$A62,T_TTAFStock[WeekIndex],68)&gt;0)&gt;0,SUMIFS(T_SelfStock[Self_Qty],T_SelfStock[RM_Code],$A62,T_SelfStock[WeekIndex],68)+SUMIFS(T_TTAFStock[TTAF_Qty],T_TTAFStock[RM_Code],$A62,T_TTAFStock[WeekIndex],68),BP62+'Grid_Incoming'!BQ62-'Grid_Requirement'!BQ62))</f>
        <v/>
      </c>
      <c r="BR62">
        <f>IF(COUNTIFS(T_StockCount[RM_Code],$A62,T_StockCount[WeekIndex],69)&gt;0,SUMIFS(T_StockCount[CountedQty],T_StockCount[RM_Code],$A62,T_StockCount[WeekIndex],69),IF((COUNTIFS(T_SelfStock[RM_Code],$A62,T_SelfStock[WeekIndex],69)&gt;0)*(COUNTIFS(T_TTAFStock[RM_Code],$A62,T_TTAFStock[WeekIndex],69)&gt;0)&gt;0,SUMIFS(T_SelfStock[Self_Qty],T_SelfStock[RM_Code],$A62,T_SelfStock[WeekIndex],69)+SUMIFS(T_TTAFStock[TTAF_Qty],T_TTAFStock[RM_Code],$A62,T_TTAFStock[WeekIndex],69),BQ62+'Grid_Incoming'!BR62-'Grid_Requirement'!BR62))</f>
        <v/>
      </c>
      <c r="BS62">
        <f>IF(COUNTIFS(T_StockCount[RM_Code],$A62,T_StockCount[WeekIndex],70)&gt;0,SUMIFS(T_StockCount[CountedQty],T_StockCount[RM_Code],$A62,T_StockCount[WeekIndex],70),IF((COUNTIFS(T_SelfStock[RM_Code],$A62,T_SelfStock[WeekIndex],70)&gt;0)*(COUNTIFS(T_TTAFStock[RM_Code],$A62,T_TTAFStock[WeekIndex],70)&gt;0)&gt;0,SUMIFS(T_SelfStock[Self_Qty],T_SelfStock[RM_Code],$A62,T_SelfStock[WeekIndex],70)+SUMIFS(T_TTAFStock[TTAF_Qty],T_TTAFStock[RM_Code],$A62,T_TTAFStock[WeekIndex],70),BR62+'Grid_Incoming'!BS62-'Grid_Requirement'!BS62))</f>
        <v/>
      </c>
      <c r="BT62">
        <f>IF(COUNTIFS(T_StockCount[RM_Code],$A62,T_StockCount[WeekIndex],71)&gt;0,SUMIFS(T_StockCount[CountedQty],T_StockCount[RM_Code],$A62,T_StockCount[WeekIndex],71),IF((COUNTIFS(T_SelfStock[RM_Code],$A62,T_SelfStock[WeekIndex],71)&gt;0)*(COUNTIFS(T_TTAFStock[RM_Code],$A62,T_TTAFStock[WeekIndex],71)&gt;0)&gt;0,SUMIFS(T_SelfStock[Self_Qty],T_SelfStock[RM_Code],$A62,T_SelfStock[WeekIndex],71)+SUMIFS(T_TTAFStock[TTAF_Qty],T_TTAFStock[RM_Code],$A62,T_TTAFStock[WeekIndex],71),BS62+'Grid_Incoming'!BT62-'Grid_Requirement'!BT62))</f>
        <v/>
      </c>
      <c r="BU62">
        <f>IF(COUNTIFS(T_StockCount[RM_Code],$A62,T_StockCount[WeekIndex],72)&gt;0,SUMIFS(T_StockCount[CountedQty],T_StockCount[RM_Code],$A62,T_StockCount[WeekIndex],72),IF((COUNTIFS(T_SelfStock[RM_Code],$A62,T_SelfStock[WeekIndex],72)&gt;0)*(COUNTIFS(T_TTAFStock[RM_Code],$A62,T_TTAFStock[WeekIndex],72)&gt;0)&gt;0,SUMIFS(T_SelfStock[Self_Qty],T_SelfStock[RM_Code],$A62,T_SelfStock[WeekIndex],72)+SUMIFS(T_TTAFStock[TTAF_Qty],T_TTAFStock[RM_Code],$A62,T_TTAFStock[WeekIndex],72),BT62+'Grid_Incoming'!BU62-'Grid_Requirement'!BU62))</f>
        <v/>
      </c>
      <c r="BV62">
        <f>IF(COUNTIFS(T_StockCount[RM_Code],$A62,T_StockCount[WeekIndex],73)&gt;0,SUMIFS(T_StockCount[CountedQty],T_StockCount[RM_Code],$A62,T_StockCount[WeekIndex],73),IF((COUNTIFS(T_SelfStock[RM_Code],$A62,T_SelfStock[WeekIndex],73)&gt;0)*(COUNTIFS(T_TTAFStock[RM_Code],$A62,T_TTAFStock[WeekIndex],73)&gt;0)&gt;0,SUMIFS(T_SelfStock[Self_Qty],T_SelfStock[RM_Code],$A62,T_SelfStock[WeekIndex],73)+SUMIFS(T_TTAFStock[TTAF_Qty],T_TTAFStock[RM_Code],$A62,T_TTAFStock[WeekIndex],73),BU62+'Grid_Incoming'!BV62-'Grid_Requirement'!BV62))</f>
        <v/>
      </c>
      <c r="BW62">
        <f>IF(COUNTIFS(T_StockCount[RM_Code],$A62,T_StockCount[WeekIndex],74)&gt;0,SUMIFS(T_StockCount[CountedQty],T_StockCount[RM_Code],$A62,T_StockCount[WeekIndex],74),IF((COUNTIFS(T_SelfStock[RM_Code],$A62,T_SelfStock[WeekIndex],74)&gt;0)*(COUNTIFS(T_TTAFStock[RM_Code],$A62,T_TTAFStock[WeekIndex],74)&gt;0)&gt;0,SUMIFS(T_SelfStock[Self_Qty],T_SelfStock[RM_Code],$A62,T_SelfStock[WeekIndex],74)+SUMIFS(T_TTAFStock[TTAF_Qty],T_TTAFStock[RM_Code],$A62,T_TTAFStock[WeekIndex],74),BV62+'Grid_Incoming'!BW62-'Grid_Requirement'!BW62))</f>
        <v/>
      </c>
      <c r="BX62">
        <f>IF(COUNTIFS(T_StockCount[RM_Code],$A62,T_StockCount[WeekIndex],75)&gt;0,SUMIFS(T_StockCount[CountedQty],T_StockCount[RM_Code],$A62,T_StockCount[WeekIndex],75),IF((COUNTIFS(T_SelfStock[RM_Code],$A62,T_SelfStock[WeekIndex],75)&gt;0)*(COUNTIFS(T_TTAFStock[RM_Code],$A62,T_TTAFStock[WeekIndex],75)&gt;0)&gt;0,SUMIFS(T_SelfStock[Self_Qty],T_SelfStock[RM_Code],$A62,T_SelfStock[WeekIndex],75)+SUMIFS(T_TTAFStock[TTAF_Qty],T_TTAFStock[RM_Code],$A62,T_TTAFStock[WeekIndex],75),BW62+'Grid_Incoming'!BX62-'Grid_Requirement'!BX62))</f>
        <v/>
      </c>
      <c r="BY62">
        <f>IF(COUNTIFS(T_StockCount[RM_Code],$A62,T_StockCount[WeekIndex],76)&gt;0,SUMIFS(T_StockCount[CountedQty],T_StockCount[RM_Code],$A62,T_StockCount[WeekIndex],76),IF((COUNTIFS(T_SelfStock[RM_Code],$A62,T_SelfStock[WeekIndex],76)&gt;0)*(COUNTIFS(T_TTAFStock[RM_Code],$A62,T_TTAFStock[WeekIndex],76)&gt;0)&gt;0,SUMIFS(T_SelfStock[Self_Qty],T_SelfStock[RM_Code],$A62,T_SelfStock[WeekIndex],76)+SUMIFS(T_TTAFStock[TTAF_Qty],T_TTAFStock[RM_Code],$A62,T_TTAFStock[WeekIndex],76),BX62+'Grid_Incoming'!BY62-'Grid_Requirement'!BY62))</f>
        <v/>
      </c>
      <c r="BZ62">
        <f>IF(COUNTIFS(T_StockCount[RM_Code],$A62,T_StockCount[WeekIndex],77)&gt;0,SUMIFS(T_StockCount[CountedQty],T_StockCount[RM_Code],$A62,T_StockCount[WeekIndex],77),IF((COUNTIFS(T_SelfStock[RM_Code],$A62,T_SelfStock[WeekIndex],77)&gt;0)*(COUNTIFS(T_TTAFStock[RM_Code],$A62,T_TTAFStock[WeekIndex],77)&gt;0)&gt;0,SUMIFS(T_SelfStock[Self_Qty],T_SelfStock[RM_Code],$A62,T_SelfStock[WeekIndex],77)+SUMIFS(T_TTAFStock[TTAF_Qty],T_TTAFStock[RM_Code],$A62,T_TTAFStock[WeekIndex],77),BY62+'Grid_Incoming'!BZ62-'Grid_Requirement'!BZ62))</f>
        <v/>
      </c>
      <c r="CA62">
        <f>IF(COUNTIFS(T_StockCount[RM_Code],$A62,T_StockCount[WeekIndex],78)&gt;0,SUMIFS(T_StockCount[CountedQty],T_StockCount[RM_Code],$A62,T_StockCount[WeekIndex],78),IF((COUNTIFS(T_SelfStock[RM_Code],$A62,T_SelfStock[WeekIndex],78)&gt;0)*(COUNTIFS(T_TTAFStock[RM_Code],$A62,T_TTAFStock[WeekIndex],78)&gt;0)&gt;0,SUMIFS(T_SelfStock[Self_Qty],T_SelfStock[RM_Code],$A62,T_SelfStock[WeekIndex],78)+SUMIFS(T_TTAFStock[TTAF_Qty],T_TTAFStock[RM_Code],$A62,T_TTAFStock[WeekIndex],78),BZ62+'Grid_Incoming'!CA62-'Grid_Requirement'!CA62))</f>
        <v/>
      </c>
      <c r="CB62">
        <f>IF(COUNTIFS(T_StockCount[RM_Code],$A62,T_StockCount[WeekIndex],79)&gt;0,SUMIFS(T_StockCount[CountedQty],T_StockCount[RM_Code],$A62,T_StockCount[WeekIndex],79),IF((COUNTIFS(T_SelfStock[RM_Code],$A62,T_SelfStock[WeekIndex],79)&gt;0)*(COUNTIFS(T_TTAFStock[RM_Code],$A62,T_TTAFStock[WeekIndex],79)&gt;0)&gt;0,SUMIFS(T_SelfStock[Self_Qty],T_SelfStock[RM_Code],$A62,T_SelfStock[WeekIndex],79)+SUMIFS(T_TTAFStock[TTAF_Qty],T_TTAFStock[RM_Code],$A62,T_TTAFStock[WeekIndex],79),CA62+'Grid_Incoming'!CB62-'Grid_Requirement'!CB62))</f>
        <v/>
      </c>
      <c r="CC62">
        <f>IF(COUNTIFS(T_StockCount[RM_Code],$A62,T_StockCount[WeekIndex],80)&gt;0,SUMIFS(T_StockCount[CountedQty],T_StockCount[RM_Code],$A62,T_StockCount[WeekIndex],80),IF((COUNTIFS(T_SelfStock[RM_Code],$A62,T_SelfStock[WeekIndex],80)&gt;0)*(COUNTIFS(T_TTAFStock[RM_Code],$A62,T_TTAFStock[WeekIndex],80)&gt;0)&gt;0,SUMIFS(T_SelfStock[Self_Qty],T_SelfStock[RM_Code],$A62,T_SelfStock[WeekIndex],80)+SUMIFS(T_TTAFStock[TTAF_Qty],T_TTAFStock[RM_Code],$A62,T_TTAFStock[WeekIndex],80),CB62+'Grid_Incoming'!CC62-'Grid_Requirement'!CC62))</f>
        <v/>
      </c>
      <c r="CD62">
        <f>IF(COUNTIFS(T_StockCount[RM_Code],$A62,T_StockCount[WeekIndex],81)&gt;0,SUMIFS(T_StockCount[CountedQty],T_StockCount[RM_Code],$A62,T_StockCount[WeekIndex],81),IF((COUNTIFS(T_SelfStock[RM_Code],$A62,T_SelfStock[WeekIndex],81)&gt;0)*(COUNTIFS(T_TTAFStock[RM_Code],$A62,T_TTAFStock[WeekIndex],81)&gt;0)&gt;0,SUMIFS(T_SelfStock[Self_Qty],T_SelfStock[RM_Code],$A62,T_SelfStock[WeekIndex],81)+SUMIFS(T_TTAFStock[TTAF_Qty],T_TTAFStock[RM_Code],$A62,T_TTAFStock[WeekIndex],81),CC62+'Grid_Incoming'!CD62-'Grid_Requirement'!CD62))</f>
        <v/>
      </c>
      <c r="CE62">
        <f>IF(COUNTIFS(T_StockCount[RM_Code],$A62,T_StockCount[WeekIndex],82)&gt;0,SUMIFS(T_StockCount[CountedQty],T_StockCount[RM_Code],$A62,T_StockCount[WeekIndex],82),IF((COUNTIFS(T_SelfStock[RM_Code],$A62,T_SelfStock[WeekIndex],82)&gt;0)*(COUNTIFS(T_TTAFStock[RM_Code],$A62,T_TTAFStock[WeekIndex],82)&gt;0)&gt;0,SUMIFS(T_SelfStock[Self_Qty],T_SelfStock[RM_Code],$A62,T_SelfStock[WeekIndex],82)+SUMIFS(T_TTAFStock[TTAF_Qty],T_TTAFStock[RM_Code],$A62,T_TTAFStock[WeekIndex],82),CD62+'Grid_Incoming'!CE62-'Grid_Requirement'!CE62))</f>
        <v/>
      </c>
      <c r="CF62">
        <f>IF(COUNTIFS(T_StockCount[RM_Code],$A62,T_StockCount[WeekIndex],83)&gt;0,SUMIFS(T_StockCount[CountedQty],T_StockCount[RM_Code],$A62,T_StockCount[WeekIndex],83),IF((COUNTIFS(T_SelfStock[RM_Code],$A62,T_SelfStock[WeekIndex],83)&gt;0)*(COUNTIFS(T_TTAFStock[RM_Code],$A62,T_TTAFStock[WeekIndex],83)&gt;0)&gt;0,SUMIFS(T_SelfStock[Self_Qty],T_SelfStock[RM_Code],$A62,T_SelfStock[WeekIndex],83)+SUMIFS(T_TTAFStock[TTAF_Qty],T_TTAFStock[RM_Code],$A62,T_TTAFStock[WeekIndex],83),CE62+'Grid_Incoming'!CF62-'Grid_Requirement'!CF62))</f>
        <v/>
      </c>
      <c r="CG62">
        <f>IF(COUNTIFS(T_StockCount[RM_Code],$A62,T_StockCount[WeekIndex],84)&gt;0,SUMIFS(T_StockCount[CountedQty],T_StockCount[RM_Code],$A62,T_StockCount[WeekIndex],84),IF((COUNTIFS(T_SelfStock[RM_Code],$A62,T_SelfStock[WeekIndex],84)&gt;0)*(COUNTIFS(T_TTAFStock[RM_Code],$A62,T_TTAFStock[WeekIndex],84)&gt;0)&gt;0,SUMIFS(T_SelfStock[Self_Qty],T_SelfStock[RM_Code],$A62,T_SelfStock[WeekIndex],84)+SUMIFS(T_TTAFStock[TTAF_Qty],T_TTAFStock[RM_Code],$A62,T_TTAFStock[WeekIndex],84),CF62+'Grid_Incoming'!CG62-'Grid_Requirement'!CG62))</f>
        <v/>
      </c>
      <c r="CH62">
        <f>IF(COUNTIFS(T_StockCount[RM_Code],$A62,T_StockCount[WeekIndex],85)&gt;0,SUMIFS(T_StockCount[CountedQty],T_StockCount[RM_Code],$A62,T_StockCount[WeekIndex],85),IF((COUNTIFS(T_SelfStock[RM_Code],$A62,T_SelfStock[WeekIndex],85)&gt;0)*(COUNTIFS(T_TTAFStock[RM_Code],$A62,T_TTAFStock[WeekIndex],85)&gt;0)&gt;0,SUMIFS(T_SelfStock[Self_Qty],T_SelfStock[RM_Code],$A62,T_SelfStock[WeekIndex],85)+SUMIFS(T_TTAFStock[TTAF_Qty],T_TTAFStock[RM_Code],$A62,T_TTAFStock[WeekIndex],85),CG62+'Grid_Incoming'!CH62-'Grid_Requirement'!CH62))</f>
        <v/>
      </c>
      <c r="CI62">
        <f>IF(COUNTIFS(T_StockCount[RM_Code],$A62,T_StockCount[WeekIndex],86)&gt;0,SUMIFS(T_StockCount[CountedQty],T_StockCount[RM_Code],$A62,T_StockCount[WeekIndex],86),IF((COUNTIFS(T_SelfStock[RM_Code],$A62,T_SelfStock[WeekIndex],86)&gt;0)*(COUNTIFS(T_TTAFStock[RM_Code],$A62,T_TTAFStock[WeekIndex],86)&gt;0)&gt;0,SUMIFS(T_SelfStock[Self_Qty],T_SelfStock[RM_Code],$A62,T_SelfStock[WeekIndex],86)+SUMIFS(T_TTAFStock[TTAF_Qty],T_TTAFStock[RM_Code],$A62,T_TTAFStock[WeekIndex],86),CH62+'Grid_Incoming'!CI62-'Grid_Requirement'!CI62))</f>
        <v/>
      </c>
      <c r="CJ62">
        <f>IF(COUNTIFS(T_StockCount[RM_Code],$A62,T_StockCount[WeekIndex],87)&gt;0,SUMIFS(T_StockCount[CountedQty],T_StockCount[RM_Code],$A62,T_StockCount[WeekIndex],87),IF((COUNTIFS(T_SelfStock[RM_Code],$A62,T_SelfStock[WeekIndex],87)&gt;0)*(COUNTIFS(T_TTAFStock[RM_Code],$A62,T_TTAFStock[WeekIndex],87)&gt;0)&gt;0,SUMIFS(T_SelfStock[Self_Qty],T_SelfStock[RM_Code],$A62,T_SelfStock[WeekIndex],87)+SUMIFS(T_TTAFStock[TTAF_Qty],T_TTAFStock[RM_Code],$A62,T_TTAFStock[WeekIndex],87),CI62+'Grid_Incoming'!CJ62-'Grid_Requirement'!CJ62))</f>
        <v/>
      </c>
      <c r="CK62">
        <f>IF(COUNTIFS(T_StockCount[RM_Code],$A62,T_StockCount[WeekIndex],88)&gt;0,SUMIFS(T_StockCount[CountedQty],T_StockCount[RM_Code],$A62,T_StockCount[WeekIndex],88),IF((COUNTIFS(T_SelfStock[RM_Code],$A62,T_SelfStock[WeekIndex],88)&gt;0)*(COUNTIFS(T_TTAFStock[RM_Code],$A62,T_TTAFStock[WeekIndex],88)&gt;0)&gt;0,SUMIFS(T_SelfStock[Self_Qty],T_SelfStock[RM_Code],$A62,T_SelfStock[WeekIndex],88)+SUMIFS(T_TTAFStock[TTAF_Qty],T_TTAFStock[RM_Code],$A62,T_TTAFStock[WeekIndex],88),CJ62+'Grid_Incoming'!CK62-'Grid_Requirement'!CK62))</f>
        <v/>
      </c>
      <c r="CL62">
        <f>IF(COUNTIFS(T_StockCount[RM_Code],$A62,T_StockCount[WeekIndex],89)&gt;0,SUMIFS(T_StockCount[CountedQty],T_StockCount[RM_Code],$A62,T_StockCount[WeekIndex],89),IF((COUNTIFS(T_SelfStock[RM_Code],$A62,T_SelfStock[WeekIndex],89)&gt;0)*(COUNTIFS(T_TTAFStock[RM_Code],$A62,T_TTAFStock[WeekIndex],89)&gt;0)&gt;0,SUMIFS(T_SelfStock[Self_Qty],T_SelfStock[RM_Code],$A62,T_SelfStock[WeekIndex],89)+SUMIFS(T_TTAFStock[TTAF_Qty],T_TTAFStock[RM_Code],$A62,T_TTAFStock[WeekIndex],89),CK62+'Grid_Incoming'!CL62-'Grid_Requirement'!CL62))</f>
        <v/>
      </c>
      <c r="CM62">
        <f>IF(COUNTIFS(T_StockCount[RM_Code],$A62,T_StockCount[WeekIndex],90)&gt;0,SUMIFS(T_StockCount[CountedQty],T_StockCount[RM_Code],$A62,T_StockCount[WeekIndex],90),IF((COUNTIFS(T_SelfStock[RM_Code],$A62,T_SelfStock[WeekIndex],90)&gt;0)*(COUNTIFS(T_TTAFStock[RM_Code],$A62,T_TTAFStock[WeekIndex],90)&gt;0)&gt;0,SUMIFS(T_SelfStock[Self_Qty],T_SelfStock[RM_Code],$A62,T_SelfStock[WeekIndex],90)+SUMIFS(T_TTAFStock[TTAF_Qty],T_TTAFStock[RM_Code],$A62,T_TTAFStock[WeekIndex],90),CL62+'Grid_Incoming'!CM62-'Grid_Requirement'!CM62))</f>
        <v/>
      </c>
      <c r="CN62">
        <f>IF(COUNTIFS(T_StockCount[RM_Code],$A62,T_StockCount[WeekIndex],91)&gt;0,SUMIFS(T_StockCount[CountedQty],T_StockCount[RM_Code],$A62,T_StockCount[WeekIndex],91),IF((COUNTIFS(T_SelfStock[RM_Code],$A62,T_SelfStock[WeekIndex],91)&gt;0)*(COUNTIFS(T_TTAFStock[RM_Code],$A62,T_TTAFStock[WeekIndex],91)&gt;0)&gt;0,SUMIFS(T_SelfStock[Self_Qty],T_SelfStock[RM_Code],$A62,T_SelfStock[WeekIndex],91)+SUMIFS(T_TTAFStock[TTAF_Qty],T_TTAFStock[RM_Code],$A62,T_TTAFStock[WeekIndex],91),CM62+'Grid_Incoming'!CN62-'Grid_Requirement'!CN62))</f>
        <v/>
      </c>
      <c r="CO62">
        <f>IF(COUNTIFS(T_StockCount[RM_Code],$A62,T_StockCount[WeekIndex],92)&gt;0,SUMIFS(T_StockCount[CountedQty],T_StockCount[RM_Code],$A62,T_StockCount[WeekIndex],92),IF((COUNTIFS(T_SelfStock[RM_Code],$A62,T_SelfStock[WeekIndex],92)&gt;0)*(COUNTIFS(T_TTAFStock[RM_Code],$A62,T_TTAFStock[WeekIndex],92)&gt;0)&gt;0,SUMIFS(T_SelfStock[Self_Qty],T_SelfStock[RM_Code],$A62,T_SelfStock[WeekIndex],92)+SUMIFS(T_TTAFStock[TTAF_Qty],T_TTAFStock[RM_Code],$A62,T_TTAFStock[WeekIndex],92),CN62+'Grid_Incoming'!CO62-'Grid_Requirement'!CO62))</f>
        <v/>
      </c>
      <c r="CP62">
        <f>IF(COUNTIFS(T_StockCount[RM_Code],$A62,T_StockCount[WeekIndex],93)&gt;0,SUMIFS(T_StockCount[CountedQty],T_StockCount[RM_Code],$A62,T_StockCount[WeekIndex],93),IF((COUNTIFS(T_SelfStock[RM_Code],$A62,T_SelfStock[WeekIndex],93)&gt;0)*(COUNTIFS(T_TTAFStock[RM_Code],$A62,T_TTAFStock[WeekIndex],93)&gt;0)&gt;0,SUMIFS(T_SelfStock[Self_Qty],T_SelfStock[RM_Code],$A62,T_SelfStock[WeekIndex],93)+SUMIFS(T_TTAFStock[TTAF_Qty],T_TTAFStock[RM_Code],$A62,T_TTAFStock[WeekIndex],93),CO62+'Grid_Incoming'!CP62-'Grid_Requirement'!CP62))</f>
        <v/>
      </c>
      <c r="CQ62">
        <f>IF(COUNTIFS(T_StockCount[RM_Code],$A62,T_StockCount[WeekIndex],94)&gt;0,SUMIFS(T_StockCount[CountedQty],T_StockCount[RM_Code],$A62,T_StockCount[WeekIndex],94),IF((COUNTIFS(T_SelfStock[RM_Code],$A62,T_SelfStock[WeekIndex],94)&gt;0)*(COUNTIFS(T_TTAFStock[RM_Code],$A62,T_TTAFStock[WeekIndex],94)&gt;0)&gt;0,SUMIFS(T_SelfStock[Self_Qty],T_SelfStock[RM_Code],$A62,T_SelfStock[WeekIndex],94)+SUMIFS(T_TTAFStock[TTAF_Qty],T_TTAFStock[RM_Code],$A62,T_TTAFStock[WeekIndex],94),CP62+'Grid_Incoming'!CQ62-'Grid_Requirement'!CQ62))</f>
        <v/>
      </c>
      <c r="CR62">
        <f>IF(COUNTIFS(T_StockCount[RM_Code],$A62,T_StockCount[WeekIndex],95)&gt;0,SUMIFS(T_StockCount[CountedQty],T_StockCount[RM_Code],$A62,T_StockCount[WeekIndex],95),IF((COUNTIFS(T_SelfStock[RM_Code],$A62,T_SelfStock[WeekIndex],95)&gt;0)*(COUNTIFS(T_TTAFStock[RM_Code],$A62,T_TTAFStock[WeekIndex],95)&gt;0)&gt;0,SUMIFS(T_SelfStock[Self_Qty],T_SelfStock[RM_Code],$A62,T_SelfStock[WeekIndex],95)+SUMIFS(T_TTAFStock[TTAF_Qty],T_TTAFStock[RM_Code],$A62,T_TTAFStock[WeekIndex],95),CQ62+'Grid_Incoming'!CR62-'Grid_Requirement'!CR62))</f>
        <v/>
      </c>
      <c r="CS62">
        <f>IF(COUNTIFS(T_StockCount[RM_Code],$A62,T_StockCount[WeekIndex],96)&gt;0,SUMIFS(T_StockCount[CountedQty],T_StockCount[RM_Code],$A62,T_StockCount[WeekIndex],96),IF((COUNTIFS(T_SelfStock[RM_Code],$A62,T_SelfStock[WeekIndex],96)&gt;0)*(COUNTIFS(T_TTAFStock[RM_Code],$A62,T_TTAFStock[WeekIndex],96)&gt;0)&gt;0,SUMIFS(T_SelfStock[Self_Qty],T_SelfStock[RM_Code],$A62,T_SelfStock[WeekIndex],96)+SUMIFS(T_TTAFStock[TTAF_Qty],T_TTAFStock[RM_Code],$A62,T_TTAFStock[WeekIndex],96),CR62+'Grid_Incoming'!CS62-'Grid_Requirement'!CS62))</f>
        <v/>
      </c>
      <c r="CT62">
        <f>IF(COUNTIFS(T_StockCount[RM_Code],$A62,T_StockCount[WeekIndex],97)&gt;0,SUMIFS(T_StockCount[CountedQty],T_StockCount[RM_Code],$A62,T_StockCount[WeekIndex],97),IF((COUNTIFS(T_SelfStock[RM_Code],$A62,T_SelfStock[WeekIndex],97)&gt;0)*(COUNTIFS(T_TTAFStock[RM_Code],$A62,T_TTAFStock[WeekIndex],97)&gt;0)&gt;0,SUMIFS(T_SelfStock[Self_Qty],T_SelfStock[RM_Code],$A62,T_SelfStock[WeekIndex],97)+SUMIFS(T_TTAFStock[TTAF_Qty],T_TTAFStock[RM_Code],$A62,T_TTAFStock[WeekIndex],97),CS62+'Grid_Incoming'!CT62-'Grid_Requirement'!CT62))</f>
        <v/>
      </c>
      <c r="CU62">
        <f>IF(COUNTIFS(T_StockCount[RM_Code],$A62,T_StockCount[WeekIndex],98)&gt;0,SUMIFS(T_StockCount[CountedQty],T_StockCount[RM_Code],$A62,T_StockCount[WeekIndex],98),IF((COUNTIFS(T_SelfStock[RM_Code],$A62,T_SelfStock[WeekIndex],98)&gt;0)*(COUNTIFS(T_TTAFStock[RM_Code],$A62,T_TTAFStock[WeekIndex],98)&gt;0)&gt;0,SUMIFS(T_SelfStock[Self_Qty],T_SelfStock[RM_Code],$A62,T_SelfStock[WeekIndex],98)+SUMIFS(T_TTAFStock[TTAF_Qty],T_TTAFStock[RM_Code],$A62,T_TTAFStock[WeekIndex],98),CT62+'Grid_Incoming'!CU62-'Grid_Requirement'!CU62))</f>
        <v/>
      </c>
      <c r="CV62">
        <f>IF(COUNTIFS(T_StockCount[RM_Code],$A62,T_StockCount[WeekIndex],99)&gt;0,SUMIFS(T_StockCount[CountedQty],T_StockCount[RM_Code],$A62,T_StockCount[WeekIndex],99),IF((COUNTIFS(T_SelfStock[RM_Code],$A62,T_SelfStock[WeekIndex],99)&gt;0)*(COUNTIFS(T_TTAFStock[RM_Code],$A62,T_TTAFStock[WeekIndex],99)&gt;0)&gt;0,SUMIFS(T_SelfStock[Self_Qty],T_SelfStock[RM_Code],$A62,T_SelfStock[WeekIndex],99)+SUMIFS(T_TTAFStock[TTAF_Qty],T_TTAFStock[RM_Code],$A62,T_TTAFStock[WeekIndex],99),CU62+'Grid_Incoming'!CV62-'Grid_Requirement'!CV62))</f>
        <v/>
      </c>
      <c r="CW62">
        <f>IF(COUNTIFS(T_StockCount[RM_Code],$A62,T_StockCount[WeekIndex],100)&gt;0,SUMIFS(T_StockCount[CountedQty],T_StockCount[RM_Code],$A62,T_StockCount[WeekIndex],100),IF((COUNTIFS(T_SelfStock[RM_Code],$A62,T_SelfStock[WeekIndex],100)&gt;0)*(COUNTIFS(T_TTAFStock[RM_Code],$A62,T_TTAFStock[WeekIndex],100)&gt;0)&gt;0,SUMIFS(T_SelfStock[Self_Qty],T_SelfStock[RM_Code],$A62,T_SelfStock[WeekIndex],100)+SUMIFS(T_TTAFStock[TTAF_Qty],T_TTAFStock[RM_Code],$A62,T_TTAFStock[WeekIndex],100),CV62+'Grid_Incoming'!CW62-'Grid_Requirement'!CW62))</f>
        <v/>
      </c>
      <c r="CX62">
        <f>IF(COUNTIFS(T_StockCount[RM_Code],$A62,T_StockCount[WeekIndex],101)&gt;0,SUMIFS(T_StockCount[CountedQty],T_StockCount[RM_Code],$A62,T_StockCount[WeekIndex],101),IF((COUNTIFS(T_SelfStock[RM_Code],$A62,T_SelfStock[WeekIndex],101)&gt;0)*(COUNTIFS(T_TTAFStock[RM_Code],$A62,T_TTAFStock[WeekIndex],101)&gt;0)&gt;0,SUMIFS(T_SelfStock[Self_Qty],T_SelfStock[RM_Code],$A62,T_SelfStock[WeekIndex],101)+SUMIFS(T_TTAFStock[TTAF_Qty],T_TTAFStock[RM_Code],$A62,T_TTAFStock[WeekIndex],101),CW62+'Grid_Incoming'!CX62-'Grid_Requirement'!CX62))</f>
        <v/>
      </c>
      <c r="CY62">
        <f>IF(COUNTIFS(T_StockCount[RM_Code],$A62,T_StockCount[WeekIndex],102)&gt;0,SUMIFS(T_StockCount[CountedQty],T_StockCount[RM_Code],$A62,T_StockCount[WeekIndex],102),IF((COUNTIFS(T_SelfStock[RM_Code],$A62,T_SelfStock[WeekIndex],102)&gt;0)*(COUNTIFS(T_TTAFStock[RM_Code],$A62,T_TTAFStock[WeekIndex],102)&gt;0)&gt;0,SUMIFS(T_SelfStock[Self_Qty],T_SelfStock[RM_Code],$A62,T_SelfStock[WeekIndex],102)+SUMIFS(T_TTAFStock[TTAF_Qty],T_TTAFStock[RM_Code],$A62,T_TTAFStock[WeekIndex],102),CX62+'Grid_Incoming'!CY62-'Grid_Requirement'!CY62))</f>
        <v/>
      </c>
      <c r="CZ62">
        <f>IF(COUNTIFS(T_StockCount[RM_Code],$A62,T_StockCount[WeekIndex],103)&gt;0,SUMIFS(T_StockCount[CountedQty],T_StockCount[RM_Code],$A62,T_StockCount[WeekIndex],103),IF((COUNTIFS(T_SelfStock[RM_Code],$A62,T_SelfStock[WeekIndex],103)&gt;0)*(COUNTIFS(T_TTAFStock[RM_Code],$A62,T_TTAFStock[WeekIndex],103)&gt;0)&gt;0,SUMIFS(T_SelfStock[Self_Qty],T_SelfStock[RM_Code],$A62,T_SelfStock[WeekIndex],103)+SUMIFS(T_TTAFStock[TTAF_Qty],T_TTAFStock[RM_Code],$A62,T_TTAFStock[WeekIndex],103),CY62+'Grid_Incoming'!CZ62-'Grid_Requirement'!CZ62))</f>
        <v/>
      </c>
      <c r="DA62">
        <f>IF(COUNTIFS(T_StockCount[RM_Code],$A62,T_StockCount[WeekIndex],104)&gt;0,SUMIFS(T_StockCount[CountedQty],T_StockCount[RM_Code],$A62,T_StockCount[WeekIndex],104),IF((COUNTIFS(T_SelfStock[RM_Code],$A62,T_SelfStock[WeekIndex],104)&gt;0)*(COUNTIFS(T_TTAFStock[RM_Code],$A62,T_TTAFStock[WeekIndex],104)&gt;0)&gt;0,SUMIFS(T_SelfStock[Self_Qty],T_SelfStock[RM_Code],$A62,T_SelfStock[WeekIndex],104)+SUMIFS(T_TTAFStock[TTAF_Qty],T_TTAFStock[RM_Code],$A62,T_TTAFStock[WeekIndex],104),CZ62+'Grid_Incoming'!DA62-'Grid_Requirement'!DA62))</f>
        <v/>
      </c>
    </row>
    <row r="63">
      <c r="A63" t="inlineStr">
        <is>
          <t>PP Film</t>
        </is>
      </c>
      <c r="B63">
        <f>IF(COUNTIFS(T_StockCount[RM_Code],$A63,T_StockCount[WeekIndex],1)&gt;0,SUMIFS(T_StockCount[CountedQty],T_StockCount[RM_Code],$A63,T_StockCount[WeekIndex],1),IF((COUNTIFS(T_SelfStock[RM_Code],$A63,T_SelfStock[WeekIndex],1)&gt;0)*(COUNTIFS(T_TTAFStock[RM_Code],$A63,T_TTAFStock[WeekIndex],1)&gt;0)&gt;0,SUMIFS(T_SelfStock[Self_Qty],T_SelfStock[RM_Code],$A63,T_SelfStock[WeekIndex],1)+SUMIFS(T_TTAFStock[TTAF_Qty],T_TTAFStock[RM_Code],$A63,T_TTAFStock[WeekIndex],1),IFERROR(INDEX(T_OpeningStock[Opening_Qty],MATCH($A63,T_OpeningStock[RM_Code],0)),0)+'Grid_Incoming'!B63-'Grid_Requirement'!B63))</f>
        <v/>
      </c>
      <c r="C63">
        <f>IF(COUNTIFS(T_StockCount[RM_Code],$A63,T_StockCount[WeekIndex],2)&gt;0,SUMIFS(T_StockCount[CountedQty],T_StockCount[RM_Code],$A63,T_StockCount[WeekIndex],2),IF((COUNTIFS(T_SelfStock[RM_Code],$A63,T_SelfStock[WeekIndex],2)&gt;0)*(COUNTIFS(T_TTAFStock[RM_Code],$A63,T_TTAFStock[WeekIndex],2)&gt;0)&gt;0,SUMIFS(T_SelfStock[Self_Qty],T_SelfStock[RM_Code],$A63,T_SelfStock[WeekIndex],2)+SUMIFS(T_TTAFStock[TTAF_Qty],T_TTAFStock[RM_Code],$A63,T_TTAFStock[WeekIndex],2),B63+'Grid_Incoming'!C63-'Grid_Requirement'!C63))</f>
        <v/>
      </c>
      <c r="D63">
        <f>IF(COUNTIFS(T_StockCount[RM_Code],$A63,T_StockCount[WeekIndex],3)&gt;0,SUMIFS(T_StockCount[CountedQty],T_StockCount[RM_Code],$A63,T_StockCount[WeekIndex],3),IF((COUNTIFS(T_SelfStock[RM_Code],$A63,T_SelfStock[WeekIndex],3)&gt;0)*(COUNTIFS(T_TTAFStock[RM_Code],$A63,T_TTAFStock[WeekIndex],3)&gt;0)&gt;0,SUMIFS(T_SelfStock[Self_Qty],T_SelfStock[RM_Code],$A63,T_SelfStock[WeekIndex],3)+SUMIFS(T_TTAFStock[TTAF_Qty],T_TTAFStock[RM_Code],$A63,T_TTAFStock[WeekIndex],3),C63+'Grid_Incoming'!D63-'Grid_Requirement'!D63))</f>
        <v/>
      </c>
      <c r="E63">
        <f>IF(COUNTIFS(T_StockCount[RM_Code],$A63,T_StockCount[WeekIndex],4)&gt;0,SUMIFS(T_StockCount[CountedQty],T_StockCount[RM_Code],$A63,T_StockCount[WeekIndex],4),IF((COUNTIFS(T_SelfStock[RM_Code],$A63,T_SelfStock[WeekIndex],4)&gt;0)*(COUNTIFS(T_TTAFStock[RM_Code],$A63,T_TTAFStock[WeekIndex],4)&gt;0)&gt;0,SUMIFS(T_SelfStock[Self_Qty],T_SelfStock[RM_Code],$A63,T_SelfStock[WeekIndex],4)+SUMIFS(T_TTAFStock[TTAF_Qty],T_TTAFStock[RM_Code],$A63,T_TTAFStock[WeekIndex],4),D63+'Grid_Incoming'!E63-'Grid_Requirement'!E63))</f>
        <v/>
      </c>
      <c r="F63">
        <f>IF(COUNTIFS(T_StockCount[RM_Code],$A63,T_StockCount[WeekIndex],5)&gt;0,SUMIFS(T_StockCount[CountedQty],T_StockCount[RM_Code],$A63,T_StockCount[WeekIndex],5),IF((COUNTIFS(T_SelfStock[RM_Code],$A63,T_SelfStock[WeekIndex],5)&gt;0)*(COUNTIFS(T_TTAFStock[RM_Code],$A63,T_TTAFStock[WeekIndex],5)&gt;0)&gt;0,SUMIFS(T_SelfStock[Self_Qty],T_SelfStock[RM_Code],$A63,T_SelfStock[WeekIndex],5)+SUMIFS(T_TTAFStock[TTAF_Qty],T_TTAFStock[RM_Code],$A63,T_TTAFStock[WeekIndex],5),E63+'Grid_Incoming'!F63-'Grid_Requirement'!F63))</f>
        <v/>
      </c>
      <c r="G63">
        <f>IF(COUNTIFS(T_StockCount[RM_Code],$A63,T_StockCount[WeekIndex],6)&gt;0,SUMIFS(T_StockCount[CountedQty],T_StockCount[RM_Code],$A63,T_StockCount[WeekIndex],6),IF((COUNTIFS(T_SelfStock[RM_Code],$A63,T_SelfStock[WeekIndex],6)&gt;0)*(COUNTIFS(T_TTAFStock[RM_Code],$A63,T_TTAFStock[WeekIndex],6)&gt;0)&gt;0,SUMIFS(T_SelfStock[Self_Qty],T_SelfStock[RM_Code],$A63,T_SelfStock[WeekIndex],6)+SUMIFS(T_TTAFStock[TTAF_Qty],T_TTAFStock[RM_Code],$A63,T_TTAFStock[WeekIndex],6),F63+'Grid_Incoming'!G63-'Grid_Requirement'!G63))</f>
        <v/>
      </c>
      <c r="H63">
        <f>IF(COUNTIFS(T_StockCount[RM_Code],$A63,T_StockCount[WeekIndex],7)&gt;0,SUMIFS(T_StockCount[CountedQty],T_StockCount[RM_Code],$A63,T_StockCount[WeekIndex],7),IF((COUNTIFS(T_SelfStock[RM_Code],$A63,T_SelfStock[WeekIndex],7)&gt;0)*(COUNTIFS(T_TTAFStock[RM_Code],$A63,T_TTAFStock[WeekIndex],7)&gt;0)&gt;0,SUMIFS(T_SelfStock[Self_Qty],T_SelfStock[RM_Code],$A63,T_SelfStock[WeekIndex],7)+SUMIFS(T_TTAFStock[TTAF_Qty],T_TTAFStock[RM_Code],$A63,T_TTAFStock[WeekIndex],7),G63+'Grid_Incoming'!H63-'Grid_Requirement'!H63))</f>
        <v/>
      </c>
      <c r="I63">
        <f>IF(COUNTIFS(T_StockCount[RM_Code],$A63,T_StockCount[WeekIndex],8)&gt;0,SUMIFS(T_StockCount[CountedQty],T_StockCount[RM_Code],$A63,T_StockCount[WeekIndex],8),IF((COUNTIFS(T_SelfStock[RM_Code],$A63,T_SelfStock[WeekIndex],8)&gt;0)*(COUNTIFS(T_TTAFStock[RM_Code],$A63,T_TTAFStock[WeekIndex],8)&gt;0)&gt;0,SUMIFS(T_SelfStock[Self_Qty],T_SelfStock[RM_Code],$A63,T_SelfStock[WeekIndex],8)+SUMIFS(T_TTAFStock[TTAF_Qty],T_TTAFStock[RM_Code],$A63,T_TTAFStock[WeekIndex],8),H63+'Grid_Incoming'!I63-'Grid_Requirement'!I63))</f>
        <v/>
      </c>
      <c r="J63">
        <f>IF(COUNTIFS(T_StockCount[RM_Code],$A63,T_StockCount[WeekIndex],9)&gt;0,SUMIFS(T_StockCount[CountedQty],T_StockCount[RM_Code],$A63,T_StockCount[WeekIndex],9),IF((COUNTIFS(T_SelfStock[RM_Code],$A63,T_SelfStock[WeekIndex],9)&gt;0)*(COUNTIFS(T_TTAFStock[RM_Code],$A63,T_TTAFStock[WeekIndex],9)&gt;0)&gt;0,SUMIFS(T_SelfStock[Self_Qty],T_SelfStock[RM_Code],$A63,T_SelfStock[WeekIndex],9)+SUMIFS(T_TTAFStock[TTAF_Qty],T_TTAFStock[RM_Code],$A63,T_TTAFStock[WeekIndex],9),I63+'Grid_Incoming'!J63-'Grid_Requirement'!J63))</f>
        <v/>
      </c>
      <c r="K63">
        <f>IF(COUNTIFS(T_StockCount[RM_Code],$A63,T_StockCount[WeekIndex],10)&gt;0,SUMIFS(T_StockCount[CountedQty],T_StockCount[RM_Code],$A63,T_StockCount[WeekIndex],10),IF((COUNTIFS(T_SelfStock[RM_Code],$A63,T_SelfStock[WeekIndex],10)&gt;0)*(COUNTIFS(T_TTAFStock[RM_Code],$A63,T_TTAFStock[WeekIndex],10)&gt;0)&gt;0,SUMIFS(T_SelfStock[Self_Qty],T_SelfStock[RM_Code],$A63,T_SelfStock[WeekIndex],10)+SUMIFS(T_TTAFStock[TTAF_Qty],T_TTAFStock[RM_Code],$A63,T_TTAFStock[WeekIndex],10),J63+'Grid_Incoming'!K63-'Grid_Requirement'!K63))</f>
        <v/>
      </c>
      <c r="L63">
        <f>IF(COUNTIFS(T_StockCount[RM_Code],$A63,T_StockCount[WeekIndex],11)&gt;0,SUMIFS(T_StockCount[CountedQty],T_StockCount[RM_Code],$A63,T_StockCount[WeekIndex],11),IF((COUNTIFS(T_SelfStock[RM_Code],$A63,T_SelfStock[WeekIndex],11)&gt;0)*(COUNTIFS(T_TTAFStock[RM_Code],$A63,T_TTAFStock[WeekIndex],11)&gt;0)&gt;0,SUMIFS(T_SelfStock[Self_Qty],T_SelfStock[RM_Code],$A63,T_SelfStock[WeekIndex],11)+SUMIFS(T_TTAFStock[TTAF_Qty],T_TTAFStock[RM_Code],$A63,T_TTAFStock[WeekIndex],11),K63+'Grid_Incoming'!L63-'Grid_Requirement'!L63))</f>
        <v/>
      </c>
      <c r="M63">
        <f>IF(COUNTIFS(T_StockCount[RM_Code],$A63,T_StockCount[WeekIndex],12)&gt;0,SUMIFS(T_StockCount[CountedQty],T_StockCount[RM_Code],$A63,T_StockCount[WeekIndex],12),IF((COUNTIFS(T_SelfStock[RM_Code],$A63,T_SelfStock[WeekIndex],12)&gt;0)*(COUNTIFS(T_TTAFStock[RM_Code],$A63,T_TTAFStock[WeekIndex],12)&gt;0)&gt;0,SUMIFS(T_SelfStock[Self_Qty],T_SelfStock[RM_Code],$A63,T_SelfStock[WeekIndex],12)+SUMIFS(T_TTAFStock[TTAF_Qty],T_TTAFStock[RM_Code],$A63,T_TTAFStock[WeekIndex],12),L63+'Grid_Incoming'!M63-'Grid_Requirement'!M63))</f>
        <v/>
      </c>
      <c r="N63">
        <f>IF(COUNTIFS(T_StockCount[RM_Code],$A63,T_StockCount[WeekIndex],13)&gt;0,SUMIFS(T_StockCount[CountedQty],T_StockCount[RM_Code],$A63,T_StockCount[WeekIndex],13),IF((COUNTIFS(T_SelfStock[RM_Code],$A63,T_SelfStock[WeekIndex],13)&gt;0)*(COUNTIFS(T_TTAFStock[RM_Code],$A63,T_TTAFStock[WeekIndex],13)&gt;0)&gt;0,SUMIFS(T_SelfStock[Self_Qty],T_SelfStock[RM_Code],$A63,T_SelfStock[WeekIndex],13)+SUMIFS(T_TTAFStock[TTAF_Qty],T_TTAFStock[RM_Code],$A63,T_TTAFStock[WeekIndex],13),M63+'Grid_Incoming'!N63-'Grid_Requirement'!N63))</f>
        <v/>
      </c>
      <c r="O63">
        <f>IF(COUNTIFS(T_StockCount[RM_Code],$A63,T_StockCount[WeekIndex],14)&gt;0,SUMIFS(T_StockCount[CountedQty],T_StockCount[RM_Code],$A63,T_StockCount[WeekIndex],14),IF((COUNTIFS(T_SelfStock[RM_Code],$A63,T_SelfStock[WeekIndex],14)&gt;0)*(COUNTIFS(T_TTAFStock[RM_Code],$A63,T_TTAFStock[WeekIndex],14)&gt;0)&gt;0,SUMIFS(T_SelfStock[Self_Qty],T_SelfStock[RM_Code],$A63,T_SelfStock[WeekIndex],14)+SUMIFS(T_TTAFStock[TTAF_Qty],T_TTAFStock[RM_Code],$A63,T_TTAFStock[WeekIndex],14),N63+'Grid_Incoming'!O63-'Grid_Requirement'!O63))</f>
        <v/>
      </c>
      <c r="P63">
        <f>IF(COUNTIFS(T_StockCount[RM_Code],$A63,T_StockCount[WeekIndex],15)&gt;0,SUMIFS(T_StockCount[CountedQty],T_StockCount[RM_Code],$A63,T_StockCount[WeekIndex],15),IF((COUNTIFS(T_SelfStock[RM_Code],$A63,T_SelfStock[WeekIndex],15)&gt;0)*(COUNTIFS(T_TTAFStock[RM_Code],$A63,T_TTAFStock[WeekIndex],15)&gt;0)&gt;0,SUMIFS(T_SelfStock[Self_Qty],T_SelfStock[RM_Code],$A63,T_SelfStock[WeekIndex],15)+SUMIFS(T_TTAFStock[TTAF_Qty],T_TTAFStock[RM_Code],$A63,T_TTAFStock[WeekIndex],15),O63+'Grid_Incoming'!P63-'Grid_Requirement'!P63))</f>
        <v/>
      </c>
      <c r="Q63">
        <f>IF(COUNTIFS(T_StockCount[RM_Code],$A63,T_StockCount[WeekIndex],16)&gt;0,SUMIFS(T_StockCount[CountedQty],T_StockCount[RM_Code],$A63,T_StockCount[WeekIndex],16),IF((COUNTIFS(T_SelfStock[RM_Code],$A63,T_SelfStock[WeekIndex],16)&gt;0)*(COUNTIFS(T_TTAFStock[RM_Code],$A63,T_TTAFStock[WeekIndex],16)&gt;0)&gt;0,SUMIFS(T_SelfStock[Self_Qty],T_SelfStock[RM_Code],$A63,T_SelfStock[WeekIndex],16)+SUMIFS(T_TTAFStock[TTAF_Qty],T_TTAFStock[RM_Code],$A63,T_TTAFStock[WeekIndex],16),P63+'Grid_Incoming'!Q63-'Grid_Requirement'!Q63))</f>
        <v/>
      </c>
      <c r="R63">
        <f>IF(COUNTIFS(T_StockCount[RM_Code],$A63,T_StockCount[WeekIndex],17)&gt;0,SUMIFS(T_StockCount[CountedQty],T_StockCount[RM_Code],$A63,T_StockCount[WeekIndex],17),IF((COUNTIFS(T_SelfStock[RM_Code],$A63,T_SelfStock[WeekIndex],17)&gt;0)*(COUNTIFS(T_TTAFStock[RM_Code],$A63,T_TTAFStock[WeekIndex],17)&gt;0)&gt;0,SUMIFS(T_SelfStock[Self_Qty],T_SelfStock[RM_Code],$A63,T_SelfStock[WeekIndex],17)+SUMIFS(T_TTAFStock[TTAF_Qty],T_TTAFStock[RM_Code],$A63,T_TTAFStock[WeekIndex],17),Q63+'Grid_Incoming'!R63-'Grid_Requirement'!R63))</f>
        <v/>
      </c>
      <c r="S63">
        <f>IF(COUNTIFS(T_StockCount[RM_Code],$A63,T_StockCount[WeekIndex],18)&gt;0,SUMIFS(T_StockCount[CountedQty],T_StockCount[RM_Code],$A63,T_StockCount[WeekIndex],18),IF((COUNTIFS(T_SelfStock[RM_Code],$A63,T_SelfStock[WeekIndex],18)&gt;0)*(COUNTIFS(T_TTAFStock[RM_Code],$A63,T_TTAFStock[WeekIndex],18)&gt;0)&gt;0,SUMIFS(T_SelfStock[Self_Qty],T_SelfStock[RM_Code],$A63,T_SelfStock[WeekIndex],18)+SUMIFS(T_TTAFStock[TTAF_Qty],T_TTAFStock[RM_Code],$A63,T_TTAFStock[WeekIndex],18),R63+'Grid_Incoming'!S63-'Grid_Requirement'!S63))</f>
        <v/>
      </c>
      <c r="T63">
        <f>IF(COUNTIFS(T_StockCount[RM_Code],$A63,T_StockCount[WeekIndex],19)&gt;0,SUMIFS(T_StockCount[CountedQty],T_StockCount[RM_Code],$A63,T_StockCount[WeekIndex],19),IF((COUNTIFS(T_SelfStock[RM_Code],$A63,T_SelfStock[WeekIndex],19)&gt;0)*(COUNTIFS(T_TTAFStock[RM_Code],$A63,T_TTAFStock[WeekIndex],19)&gt;0)&gt;0,SUMIFS(T_SelfStock[Self_Qty],T_SelfStock[RM_Code],$A63,T_SelfStock[WeekIndex],19)+SUMIFS(T_TTAFStock[TTAF_Qty],T_TTAFStock[RM_Code],$A63,T_TTAFStock[WeekIndex],19),S63+'Grid_Incoming'!T63-'Grid_Requirement'!T63))</f>
        <v/>
      </c>
      <c r="U63">
        <f>IF(COUNTIFS(T_StockCount[RM_Code],$A63,T_StockCount[WeekIndex],20)&gt;0,SUMIFS(T_StockCount[CountedQty],T_StockCount[RM_Code],$A63,T_StockCount[WeekIndex],20),IF((COUNTIFS(T_SelfStock[RM_Code],$A63,T_SelfStock[WeekIndex],20)&gt;0)*(COUNTIFS(T_TTAFStock[RM_Code],$A63,T_TTAFStock[WeekIndex],20)&gt;0)&gt;0,SUMIFS(T_SelfStock[Self_Qty],T_SelfStock[RM_Code],$A63,T_SelfStock[WeekIndex],20)+SUMIFS(T_TTAFStock[TTAF_Qty],T_TTAFStock[RM_Code],$A63,T_TTAFStock[WeekIndex],20),T63+'Grid_Incoming'!U63-'Grid_Requirement'!U63))</f>
        <v/>
      </c>
      <c r="V63">
        <f>IF(COUNTIFS(T_StockCount[RM_Code],$A63,T_StockCount[WeekIndex],21)&gt;0,SUMIFS(T_StockCount[CountedQty],T_StockCount[RM_Code],$A63,T_StockCount[WeekIndex],21),IF((COUNTIFS(T_SelfStock[RM_Code],$A63,T_SelfStock[WeekIndex],21)&gt;0)*(COUNTIFS(T_TTAFStock[RM_Code],$A63,T_TTAFStock[WeekIndex],21)&gt;0)&gt;0,SUMIFS(T_SelfStock[Self_Qty],T_SelfStock[RM_Code],$A63,T_SelfStock[WeekIndex],21)+SUMIFS(T_TTAFStock[TTAF_Qty],T_TTAFStock[RM_Code],$A63,T_TTAFStock[WeekIndex],21),U63+'Grid_Incoming'!V63-'Grid_Requirement'!V63))</f>
        <v/>
      </c>
      <c r="W63">
        <f>IF(COUNTIFS(T_StockCount[RM_Code],$A63,T_StockCount[WeekIndex],22)&gt;0,SUMIFS(T_StockCount[CountedQty],T_StockCount[RM_Code],$A63,T_StockCount[WeekIndex],22),IF((COUNTIFS(T_SelfStock[RM_Code],$A63,T_SelfStock[WeekIndex],22)&gt;0)*(COUNTIFS(T_TTAFStock[RM_Code],$A63,T_TTAFStock[WeekIndex],22)&gt;0)&gt;0,SUMIFS(T_SelfStock[Self_Qty],T_SelfStock[RM_Code],$A63,T_SelfStock[WeekIndex],22)+SUMIFS(T_TTAFStock[TTAF_Qty],T_TTAFStock[RM_Code],$A63,T_TTAFStock[WeekIndex],22),V63+'Grid_Incoming'!W63-'Grid_Requirement'!W63))</f>
        <v/>
      </c>
      <c r="X63">
        <f>IF(COUNTIFS(T_StockCount[RM_Code],$A63,T_StockCount[WeekIndex],23)&gt;0,SUMIFS(T_StockCount[CountedQty],T_StockCount[RM_Code],$A63,T_StockCount[WeekIndex],23),IF((COUNTIFS(T_SelfStock[RM_Code],$A63,T_SelfStock[WeekIndex],23)&gt;0)*(COUNTIFS(T_TTAFStock[RM_Code],$A63,T_TTAFStock[WeekIndex],23)&gt;0)&gt;0,SUMIFS(T_SelfStock[Self_Qty],T_SelfStock[RM_Code],$A63,T_SelfStock[WeekIndex],23)+SUMIFS(T_TTAFStock[TTAF_Qty],T_TTAFStock[RM_Code],$A63,T_TTAFStock[WeekIndex],23),W63+'Grid_Incoming'!X63-'Grid_Requirement'!X63))</f>
        <v/>
      </c>
      <c r="Y63">
        <f>IF(COUNTIFS(T_StockCount[RM_Code],$A63,T_StockCount[WeekIndex],24)&gt;0,SUMIFS(T_StockCount[CountedQty],T_StockCount[RM_Code],$A63,T_StockCount[WeekIndex],24),IF((COUNTIFS(T_SelfStock[RM_Code],$A63,T_SelfStock[WeekIndex],24)&gt;0)*(COUNTIFS(T_TTAFStock[RM_Code],$A63,T_TTAFStock[WeekIndex],24)&gt;0)&gt;0,SUMIFS(T_SelfStock[Self_Qty],T_SelfStock[RM_Code],$A63,T_SelfStock[WeekIndex],24)+SUMIFS(T_TTAFStock[TTAF_Qty],T_TTAFStock[RM_Code],$A63,T_TTAFStock[WeekIndex],24),X63+'Grid_Incoming'!Y63-'Grid_Requirement'!Y63))</f>
        <v/>
      </c>
      <c r="Z63">
        <f>IF(COUNTIFS(T_StockCount[RM_Code],$A63,T_StockCount[WeekIndex],25)&gt;0,SUMIFS(T_StockCount[CountedQty],T_StockCount[RM_Code],$A63,T_StockCount[WeekIndex],25),IF((COUNTIFS(T_SelfStock[RM_Code],$A63,T_SelfStock[WeekIndex],25)&gt;0)*(COUNTIFS(T_TTAFStock[RM_Code],$A63,T_TTAFStock[WeekIndex],25)&gt;0)&gt;0,SUMIFS(T_SelfStock[Self_Qty],T_SelfStock[RM_Code],$A63,T_SelfStock[WeekIndex],25)+SUMIFS(T_TTAFStock[TTAF_Qty],T_TTAFStock[RM_Code],$A63,T_TTAFStock[WeekIndex],25),Y63+'Grid_Incoming'!Z63-'Grid_Requirement'!Z63))</f>
        <v/>
      </c>
      <c r="AA63">
        <f>IF(COUNTIFS(T_StockCount[RM_Code],$A63,T_StockCount[WeekIndex],26)&gt;0,SUMIFS(T_StockCount[CountedQty],T_StockCount[RM_Code],$A63,T_StockCount[WeekIndex],26),IF((COUNTIFS(T_SelfStock[RM_Code],$A63,T_SelfStock[WeekIndex],26)&gt;0)*(COUNTIFS(T_TTAFStock[RM_Code],$A63,T_TTAFStock[WeekIndex],26)&gt;0)&gt;0,SUMIFS(T_SelfStock[Self_Qty],T_SelfStock[RM_Code],$A63,T_SelfStock[WeekIndex],26)+SUMIFS(T_TTAFStock[TTAF_Qty],T_TTAFStock[RM_Code],$A63,T_TTAFStock[WeekIndex],26),Z63+'Grid_Incoming'!AA63-'Grid_Requirement'!AA63))</f>
        <v/>
      </c>
      <c r="AB63">
        <f>IF(COUNTIFS(T_StockCount[RM_Code],$A63,T_StockCount[WeekIndex],27)&gt;0,SUMIFS(T_StockCount[CountedQty],T_StockCount[RM_Code],$A63,T_StockCount[WeekIndex],27),IF((COUNTIFS(T_SelfStock[RM_Code],$A63,T_SelfStock[WeekIndex],27)&gt;0)*(COUNTIFS(T_TTAFStock[RM_Code],$A63,T_TTAFStock[WeekIndex],27)&gt;0)&gt;0,SUMIFS(T_SelfStock[Self_Qty],T_SelfStock[RM_Code],$A63,T_SelfStock[WeekIndex],27)+SUMIFS(T_TTAFStock[TTAF_Qty],T_TTAFStock[RM_Code],$A63,T_TTAFStock[WeekIndex],27),AA63+'Grid_Incoming'!AB63-'Grid_Requirement'!AB63))</f>
        <v/>
      </c>
      <c r="AC63">
        <f>IF(COUNTIFS(T_StockCount[RM_Code],$A63,T_StockCount[WeekIndex],28)&gt;0,SUMIFS(T_StockCount[CountedQty],T_StockCount[RM_Code],$A63,T_StockCount[WeekIndex],28),IF((COUNTIFS(T_SelfStock[RM_Code],$A63,T_SelfStock[WeekIndex],28)&gt;0)*(COUNTIFS(T_TTAFStock[RM_Code],$A63,T_TTAFStock[WeekIndex],28)&gt;0)&gt;0,SUMIFS(T_SelfStock[Self_Qty],T_SelfStock[RM_Code],$A63,T_SelfStock[WeekIndex],28)+SUMIFS(T_TTAFStock[TTAF_Qty],T_TTAFStock[RM_Code],$A63,T_TTAFStock[WeekIndex],28),AB63+'Grid_Incoming'!AC63-'Grid_Requirement'!AC63))</f>
        <v/>
      </c>
      <c r="AD63">
        <f>IF(COUNTIFS(T_StockCount[RM_Code],$A63,T_StockCount[WeekIndex],29)&gt;0,SUMIFS(T_StockCount[CountedQty],T_StockCount[RM_Code],$A63,T_StockCount[WeekIndex],29),IF((COUNTIFS(T_SelfStock[RM_Code],$A63,T_SelfStock[WeekIndex],29)&gt;0)*(COUNTIFS(T_TTAFStock[RM_Code],$A63,T_TTAFStock[WeekIndex],29)&gt;0)&gt;0,SUMIFS(T_SelfStock[Self_Qty],T_SelfStock[RM_Code],$A63,T_SelfStock[WeekIndex],29)+SUMIFS(T_TTAFStock[TTAF_Qty],T_TTAFStock[RM_Code],$A63,T_TTAFStock[WeekIndex],29),AC63+'Grid_Incoming'!AD63-'Grid_Requirement'!AD63))</f>
        <v/>
      </c>
      <c r="AE63">
        <f>IF(COUNTIFS(T_StockCount[RM_Code],$A63,T_StockCount[WeekIndex],30)&gt;0,SUMIFS(T_StockCount[CountedQty],T_StockCount[RM_Code],$A63,T_StockCount[WeekIndex],30),IF((COUNTIFS(T_SelfStock[RM_Code],$A63,T_SelfStock[WeekIndex],30)&gt;0)*(COUNTIFS(T_TTAFStock[RM_Code],$A63,T_TTAFStock[WeekIndex],30)&gt;0)&gt;0,SUMIFS(T_SelfStock[Self_Qty],T_SelfStock[RM_Code],$A63,T_SelfStock[WeekIndex],30)+SUMIFS(T_TTAFStock[TTAF_Qty],T_TTAFStock[RM_Code],$A63,T_TTAFStock[WeekIndex],30),AD63+'Grid_Incoming'!AE63-'Grid_Requirement'!AE63))</f>
        <v/>
      </c>
      <c r="AF63">
        <f>IF(COUNTIFS(T_StockCount[RM_Code],$A63,T_StockCount[WeekIndex],31)&gt;0,SUMIFS(T_StockCount[CountedQty],T_StockCount[RM_Code],$A63,T_StockCount[WeekIndex],31),IF((COUNTIFS(T_SelfStock[RM_Code],$A63,T_SelfStock[WeekIndex],31)&gt;0)*(COUNTIFS(T_TTAFStock[RM_Code],$A63,T_TTAFStock[WeekIndex],31)&gt;0)&gt;0,SUMIFS(T_SelfStock[Self_Qty],T_SelfStock[RM_Code],$A63,T_SelfStock[WeekIndex],31)+SUMIFS(T_TTAFStock[TTAF_Qty],T_TTAFStock[RM_Code],$A63,T_TTAFStock[WeekIndex],31),AE63+'Grid_Incoming'!AF63-'Grid_Requirement'!AF63))</f>
        <v/>
      </c>
      <c r="AG63">
        <f>IF(COUNTIFS(T_StockCount[RM_Code],$A63,T_StockCount[WeekIndex],32)&gt;0,SUMIFS(T_StockCount[CountedQty],T_StockCount[RM_Code],$A63,T_StockCount[WeekIndex],32),IF((COUNTIFS(T_SelfStock[RM_Code],$A63,T_SelfStock[WeekIndex],32)&gt;0)*(COUNTIFS(T_TTAFStock[RM_Code],$A63,T_TTAFStock[WeekIndex],32)&gt;0)&gt;0,SUMIFS(T_SelfStock[Self_Qty],T_SelfStock[RM_Code],$A63,T_SelfStock[WeekIndex],32)+SUMIFS(T_TTAFStock[TTAF_Qty],T_TTAFStock[RM_Code],$A63,T_TTAFStock[WeekIndex],32),AF63+'Grid_Incoming'!AG63-'Grid_Requirement'!AG63))</f>
        <v/>
      </c>
      <c r="AH63">
        <f>IF(COUNTIFS(T_StockCount[RM_Code],$A63,T_StockCount[WeekIndex],33)&gt;0,SUMIFS(T_StockCount[CountedQty],T_StockCount[RM_Code],$A63,T_StockCount[WeekIndex],33),IF((COUNTIFS(T_SelfStock[RM_Code],$A63,T_SelfStock[WeekIndex],33)&gt;0)*(COUNTIFS(T_TTAFStock[RM_Code],$A63,T_TTAFStock[WeekIndex],33)&gt;0)&gt;0,SUMIFS(T_SelfStock[Self_Qty],T_SelfStock[RM_Code],$A63,T_SelfStock[WeekIndex],33)+SUMIFS(T_TTAFStock[TTAF_Qty],T_TTAFStock[RM_Code],$A63,T_TTAFStock[WeekIndex],33),AG63+'Grid_Incoming'!AH63-'Grid_Requirement'!AH63))</f>
        <v/>
      </c>
      <c r="AI63">
        <f>IF(COUNTIFS(T_StockCount[RM_Code],$A63,T_StockCount[WeekIndex],34)&gt;0,SUMIFS(T_StockCount[CountedQty],T_StockCount[RM_Code],$A63,T_StockCount[WeekIndex],34),IF((COUNTIFS(T_SelfStock[RM_Code],$A63,T_SelfStock[WeekIndex],34)&gt;0)*(COUNTIFS(T_TTAFStock[RM_Code],$A63,T_TTAFStock[WeekIndex],34)&gt;0)&gt;0,SUMIFS(T_SelfStock[Self_Qty],T_SelfStock[RM_Code],$A63,T_SelfStock[WeekIndex],34)+SUMIFS(T_TTAFStock[TTAF_Qty],T_TTAFStock[RM_Code],$A63,T_TTAFStock[WeekIndex],34),AH63+'Grid_Incoming'!AI63-'Grid_Requirement'!AI63))</f>
        <v/>
      </c>
      <c r="AJ63">
        <f>IF(COUNTIFS(T_StockCount[RM_Code],$A63,T_StockCount[WeekIndex],35)&gt;0,SUMIFS(T_StockCount[CountedQty],T_StockCount[RM_Code],$A63,T_StockCount[WeekIndex],35),IF((COUNTIFS(T_SelfStock[RM_Code],$A63,T_SelfStock[WeekIndex],35)&gt;0)*(COUNTIFS(T_TTAFStock[RM_Code],$A63,T_TTAFStock[WeekIndex],35)&gt;0)&gt;0,SUMIFS(T_SelfStock[Self_Qty],T_SelfStock[RM_Code],$A63,T_SelfStock[WeekIndex],35)+SUMIFS(T_TTAFStock[TTAF_Qty],T_TTAFStock[RM_Code],$A63,T_TTAFStock[WeekIndex],35),AI63+'Grid_Incoming'!AJ63-'Grid_Requirement'!AJ63))</f>
        <v/>
      </c>
      <c r="AK63">
        <f>IF(COUNTIFS(T_StockCount[RM_Code],$A63,T_StockCount[WeekIndex],36)&gt;0,SUMIFS(T_StockCount[CountedQty],T_StockCount[RM_Code],$A63,T_StockCount[WeekIndex],36),IF((COUNTIFS(T_SelfStock[RM_Code],$A63,T_SelfStock[WeekIndex],36)&gt;0)*(COUNTIFS(T_TTAFStock[RM_Code],$A63,T_TTAFStock[WeekIndex],36)&gt;0)&gt;0,SUMIFS(T_SelfStock[Self_Qty],T_SelfStock[RM_Code],$A63,T_SelfStock[WeekIndex],36)+SUMIFS(T_TTAFStock[TTAF_Qty],T_TTAFStock[RM_Code],$A63,T_TTAFStock[WeekIndex],36),AJ63+'Grid_Incoming'!AK63-'Grid_Requirement'!AK63))</f>
        <v/>
      </c>
      <c r="AL63">
        <f>IF(COUNTIFS(T_StockCount[RM_Code],$A63,T_StockCount[WeekIndex],37)&gt;0,SUMIFS(T_StockCount[CountedQty],T_StockCount[RM_Code],$A63,T_StockCount[WeekIndex],37),IF((COUNTIFS(T_SelfStock[RM_Code],$A63,T_SelfStock[WeekIndex],37)&gt;0)*(COUNTIFS(T_TTAFStock[RM_Code],$A63,T_TTAFStock[WeekIndex],37)&gt;0)&gt;0,SUMIFS(T_SelfStock[Self_Qty],T_SelfStock[RM_Code],$A63,T_SelfStock[WeekIndex],37)+SUMIFS(T_TTAFStock[TTAF_Qty],T_TTAFStock[RM_Code],$A63,T_TTAFStock[WeekIndex],37),AK63+'Grid_Incoming'!AL63-'Grid_Requirement'!AL63))</f>
        <v/>
      </c>
      <c r="AM63">
        <f>IF(COUNTIFS(T_StockCount[RM_Code],$A63,T_StockCount[WeekIndex],38)&gt;0,SUMIFS(T_StockCount[CountedQty],T_StockCount[RM_Code],$A63,T_StockCount[WeekIndex],38),IF((COUNTIFS(T_SelfStock[RM_Code],$A63,T_SelfStock[WeekIndex],38)&gt;0)*(COUNTIFS(T_TTAFStock[RM_Code],$A63,T_TTAFStock[WeekIndex],38)&gt;0)&gt;0,SUMIFS(T_SelfStock[Self_Qty],T_SelfStock[RM_Code],$A63,T_SelfStock[WeekIndex],38)+SUMIFS(T_TTAFStock[TTAF_Qty],T_TTAFStock[RM_Code],$A63,T_TTAFStock[WeekIndex],38),AL63+'Grid_Incoming'!AM63-'Grid_Requirement'!AM63))</f>
        <v/>
      </c>
      <c r="AN63">
        <f>IF(COUNTIFS(T_StockCount[RM_Code],$A63,T_StockCount[WeekIndex],39)&gt;0,SUMIFS(T_StockCount[CountedQty],T_StockCount[RM_Code],$A63,T_StockCount[WeekIndex],39),IF((COUNTIFS(T_SelfStock[RM_Code],$A63,T_SelfStock[WeekIndex],39)&gt;0)*(COUNTIFS(T_TTAFStock[RM_Code],$A63,T_TTAFStock[WeekIndex],39)&gt;0)&gt;0,SUMIFS(T_SelfStock[Self_Qty],T_SelfStock[RM_Code],$A63,T_SelfStock[WeekIndex],39)+SUMIFS(T_TTAFStock[TTAF_Qty],T_TTAFStock[RM_Code],$A63,T_TTAFStock[WeekIndex],39),AM63+'Grid_Incoming'!AN63-'Grid_Requirement'!AN63))</f>
        <v/>
      </c>
      <c r="AO63">
        <f>IF(COUNTIFS(T_StockCount[RM_Code],$A63,T_StockCount[WeekIndex],40)&gt;0,SUMIFS(T_StockCount[CountedQty],T_StockCount[RM_Code],$A63,T_StockCount[WeekIndex],40),IF((COUNTIFS(T_SelfStock[RM_Code],$A63,T_SelfStock[WeekIndex],40)&gt;0)*(COUNTIFS(T_TTAFStock[RM_Code],$A63,T_TTAFStock[WeekIndex],40)&gt;0)&gt;0,SUMIFS(T_SelfStock[Self_Qty],T_SelfStock[RM_Code],$A63,T_SelfStock[WeekIndex],40)+SUMIFS(T_TTAFStock[TTAF_Qty],T_TTAFStock[RM_Code],$A63,T_TTAFStock[WeekIndex],40),AN63+'Grid_Incoming'!AO63-'Grid_Requirement'!AO63))</f>
        <v/>
      </c>
      <c r="AP63">
        <f>IF(COUNTIFS(T_StockCount[RM_Code],$A63,T_StockCount[WeekIndex],41)&gt;0,SUMIFS(T_StockCount[CountedQty],T_StockCount[RM_Code],$A63,T_StockCount[WeekIndex],41),IF((COUNTIFS(T_SelfStock[RM_Code],$A63,T_SelfStock[WeekIndex],41)&gt;0)*(COUNTIFS(T_TTAFStock[RM_Code],$A63,T_TTAFStock[WeekIndex],41)&gt;0)&gt;0,SUMIFS(T_SelfStock[Self_Qty],T_SelfStock[RM_Code],$A63,T_SelfStock[WeekIndex],41)+SUMIFS(T_TTAFStock[TTAF_Qty],T_TTAFStock[RM_Code],$A63,T_TTAFStock[WeekIndex],41),AO63+'Grid_Incoming'!AP63-'Grid_Requirement'!AP63))</f>
        <v/>
      </c>
      <c r="AQ63">
        <f>IF(COUNTIFS(T_StockCount[RM_Code],$A63,T_StockCount[WeekIndex],42)&gt;0,SUMIFS(T_StockCount[CountedQty],T_StockCount[RM_Code],$A63,T_StockCount[WeekIndex],42),IF((COUNTIFS(T_SelfStock[RM_Code],$A63,T_SelfStock[WeekIndex],42)&gt;0)*(COUNTIFS(T_TTAFStock[RM_Code],$A63,T_TTAFStock[WeekIndex],42)&gt;0)&gt;0,SUMIFS(T_SelfStock[Self_Qty],T_SelfStock[RM_Code],$A63,T_SelfStock[WeekIndex],42)+SUMIFS(T_TTAFStock[TTAF_Qty],T_TTAFStock[RM_Code],$A63,T_TTAFStock[WeekIndex],42),AP63+'Grid_Incoming'!AQ63-'Grid_Requirement'!AQ63))</f>
        <v/>
      </c>
      <c r="AR63">
        <f>IF(COUNTIFS(T_StockCount[RM_Code],$A63,T_StockCount[WeekIndex],43)&gt;0,SUMIFS(T_StockCount[CountedQty],T_StockCount[RM_Code],$A63,T_StockCount[WeekIndex],43),IF((COUNTIFS(T_SelfStock[RM_Code],$A63,T_SelfStock[WeekIndex],43)&gt;0)*(COUNTIFS(T_TTAFStock[RM_Code],$A63,T_TTAFStock[WeekIndex],43)&gt;0)&gt;0,SUMIFS(T_SelfStock[Self_Qty],T_SelfStock[RM_Code],$A63,T_SelfStock[WeekIndex],43)+SUMIFS(T_TTAFStock[TTAF_Qty],T_TTAFStock[RM_Code],$A63,T_TTAFStock[WeekIndex],43),AQ63+'Grid_Incoming'!AR63-'Grid_Requirement'!AR63))</f>
        <v/>
      </c>
      <c r="AS63">
        <f>IF(COUNTIFS(T_StockCount[RM_Code],$A63,T_StockCount[WeekIndex],44)&gt;0,SUMIFS(T_StockCount[CountedQty],T_StockCount[RM_Code],$A63,T_StockCount[WeekIndex],44),IF((COUNTIFS(T_SelfStock[RM_Code],$A63,T_SelfStock[WeekIndex],44)&gt;0)*(COUNTIFS(T_TTAFStock[RM_Code],$A63,T_TTAFStock[WeekIndex],44)&gt;0)&gt;0,SUMIFS(T_SelfStock[Self_Qty],T_SelfStock[RM_Code],$A63,T_SelfStock[WeekIndex],44)+SUMIFS(T_TTAFStock[TTAF_Qty],T_TTAFStock[RM_Code],$A63,T_TTAFStock[WeekIndex],44),AR63+'Grid_Incoming'!AS63-'Grid_Requirement'!AS63))</f>
        <v/>
      </c>
      <c r="AT63">
        <f>IF(COUNTIFS(T_StockCount[RM_Code],$A63,T_StockCount[WeekIndex],45)&gt;0,SUMIFS(T_StockCount[CountedQty],T_StockCount[RM_Code],$A63,T_StockCount[WeekIndex],45),IF((COUNTIFS(T_SelfStock[RM_Code],$A63,T_SelfStock[WeekIndex],45)&gt;0)*(COUNTIFS(T_TTAFStock[RM_Code],$A63,T_TTAFStock[WeekIndex],45)&gt;0)&gt;0,SUMIFS(T_SelfStock[Self_Qty],T_SelfStock[RM_Code],$A63,T_SelfStock[WeekIndex],45)+SUMIFS(T_TTAFStock[TTAF_Qty],T_TTAFStock[RM_Code],$A63,T_TTAFStock[WeekIndex],45),AS63+'Grid_Incoming'!AT63-'Grid_Requirement'!AT63))</f>
        <v/>
      </c>
      <c r="AU63">
        <f>IF(COUNTIFS(T_StockCount[RM_Code],$A63,T_StockCount[WeekIndex],46)&gt;0,SUMIFS(T_StockCount[CountedQty],T_StockCount[RM_Code],$A63,T_StockCount[WeekIndex],46),IF((COUNTIFS(T_SelfStock[RM_Code],$A63,T_SelfStock[WeekIndex],46)&gt;0)*(COUNTIFS(T_TTAFStock[RM_Code],$A63,T_TTAFStock[WeekIndex],46)&gt;0)&gt;0,SUMIFS(T_SelfStock[Self_Qty],T_SelfStock[RM_Code],$A63,T_SelfStock[WeekIndex],46)+SUMIFS(T_TTAFStock[TTAF_Qty],T_TTAFStock[RM_Code],$A63,T_TTAFStock[WeekIndex],46),AT63+'Grid_Incoming'!AU63-'Grid_Requirement'!AU63))</f>
        <v/>
      </c>
      <c r="AV63">
        <f>IF(COUNTIFS(T_StockCount[RM_Code],$A63,T_StockCount[WeekIndex],47)&gt;0,SUMIFS(T_StockCount[CountedQty],T_StockCount[RM_Code],$A63,T_StockCount[WeekIndex],47),IF((COUNTIFS(T_SelfStock[RM_Code],$A63,T_SelfStock[WeekIndex],47)&gt;0)*(COUNTIFS(T_TTAFStock[RM_Code],$A63,T_TTAFStock[WeekIndex],47)&gt;0)&gt;0,SUMIFS(T_SelfStock[Self_Qty],T_SelfStock[RM_Code],$A63,T_SelfStock[WeekIndex],47)+SUMIFS(T_TTAFStock[TTAF_Qty],T_TTAFStock[RM_Code],$A63,T_TTAFStock[WeekIndex],47),AU63+'Grid_Incoming'!AV63-'Grid_Requirement'!AV63))</f>
        <v/>
      </c>
      <c r="AW63">
        <f>IF(COUNTIFS(T_StockCount[RM_Code],$A63,T_StockCount[WeekIndex],48)&gt;0,SUMIFS(T_StockCount[CountedQty],T_StockCount[RM_Code],$A63,T_StockCount[WeekIndex],48),IF((COUNTIFS(T_SelfStock[RM_Code],$A63,T_SelfStock[WeekIndex],48)&gt;0)*(COUNTIFS(T_TTAFStock[RM_Code],$A63,T_TTAFStock[WeekIndex],48)&gt;0)&gt;0,SUMIFS(T_SelfStock[Self_Qty],T_SelfStock[RM_Code],$A63,T_SelfStock[WeekIndex],48)+SUMIFS(T_TTAFStock[TTAF_Qty],T_TTAFStock[RM_Code],$A63,T_TTAFStock[WeekIndex],48),AV63+'Grid_Incoming'!AW63-'Grid_Requirement'!AW63))</f>
        <v/>
      </c>
      <c r="AX63">
        <f>IF(COUNTIFS(T_StockCount[RM_Code],$A63,T_StockCount[WeekIndex],49)&gt;0,SUMIFS(T_StockCount[CountedQty],T_StockCount[RM_Code],$A63,T_StockCount[WeekIndex],49),IF((COUNTIFS(T_SelfStock[RM_Code],$A63,T_SelfStock[WeekIndex],49)&gt;0)*(COUNTIFS(T_TTAFStock[RM_Code],$A63,T_TTAFStock[WeekIndex],49)&gt;0)&gt;0,SUMIFS(T_SelfStock[Self_Qty],T_SelfStock[RM_Code],$A63,T_SelfStock[WeekIndex],49)+SUMIFS(T_TTAFStock[TTAF_Qty],T_TTAFStock[RM_Code],$A63,T_TTAFStock[WeekIndex],49),AW63+'Grid_Incoming'!AX63-'Grid_Requirement'!AX63))</f>
        <v/>
      </c>
      <c r="AY63">
        <f>IF(COUNTIFS(T_StockCount[RM_Code],$A63,T_StockCount[WeekIndex],50)&gt;0,SUMIFS(T_StockCount[CountedQty],T_StockCount[RM_Code],$A63,T_StockCount[WeekIndex],50),IF((COUNTIFS(T_SelfStock[RM_Code],$A63,T_SelfStock[WeekIndex],50)&gt;0)*(COUNTIFS(T_TTAFStock[RM_Code],$A63,T_TTAFStock[WeekIndex],50)&gt;0)&gt;0,SUMIFS(T_SelfStock[Self_Qty],T_SelfStock[RM_Code],$A63,T_SelfStock[WeekIndex],50)+SUMIFS(T_TTAFStock[TTAF_Qty],T_TTAFStock[RM_Code],$A63,T_TTAFStock[WeekIndex],50),AX63+'Grid_Incoming'!AY63-'Grid_Requirement'!AY63))</f>
        <v/>
      </c>
      <c r="AZ63">
        <f>IF(COUNTIFS(T_StockCount[RM_Code],$A63,T_StockCount[WeekIndex],51)&gt;0,SUMIFS(T_StockCount[CountedQty],T_StockCount[RM_Code],$A63,T_StockCount[WeekIndex],51),IF((COUNTIFS(T_SelfStock[RM_Code],$A63,T_SelfStock[WeekIndex],51)&gt;0)*(COUNTIFS(T_TTAFStock[RM_Code],$A63,T_TTAFStock[WeekIndex],51)&gt;0)&gt;0,SUMIFS(T_SelfStock[Self_Qty],T_SelfStock[RM_Code],$A63,T_SelfStock[WeekIndex],51)+SUMIFS(T_TTAFStock[TTAF_Qty],T_TTAFStock[RM_Code],$A63,T_TTAFStock[WeekIndex],51),AY63+'Grid_Incoming'!AZ63-'Grid_Requirement'!AZ63))</f>
        <v/>
      </c>
      <c r="BA63">
        <f>IF(COUNTIFS(T_StockCount[RM_Code],$A63,T_StockCount[WeekIndex],52)&gt;0,SUMIFS(T_StockCount[CountedQty],T_StockCount[RM_Code],$A63,T_StockCount[WeekIndex],52),IF((COUNTIFS(T_SelfStock[RM_Code],$A63,T_SelfStock[WeekIndex],52)&gt;0)*(COUNTIFS(T_TTAFStock[RM_Code],$A63,T_TTAFStock[WeekIndex],52)&gt;0)&gt;0,SUMIFS(T_SelfStock[Self_Qty],T_SelfStock[RM_Code],$A63,T_SelfStock[WeekIndex],52)+SUMIFS(T_TTAFStock[TTAF_Qty],T_TTAFStock[RM_Code],$A63,T_TTAFStock[WeekIndex],52),AZ63+'Grid_Incoming'!BA63-'Grid_Requirement'!BA63))</f>
        <v/>
      </c>
      <c r="BB63">
        <f>IF(COUNTIFS(T_StockCount[RM_Code],$A63,T_StockCount[WeekIndex],53)&gt;0,SUMIFS(T_StockCount[CountedQty],T_StockCount[RM_Code],$A63,T_StockCount[WeekIndex],53),IF((COUNTIFS(T_SelfStock[RM_Code],$A63,T_SelfStock[WeekIndex],53)&gt;0)*(COUNTIFS(T_TTAFStock[RM_Code],$A63,T_TTAFStock[WeekIndex],53)&gt;0)&gt;0,SUMIFS(T_SelfStock[Self_Qty],T_SelfStock[RM_Code],$A63,T_SelfStock[WeekIndex],53)+SUMIFS(T_TTAFStock[TTAF_Qty],T_TTAFStock[RM_Code],$A63,T_TTAFStock[WeekIndex],53),BA63+'Grid_Incoming'!BB63-'Grid_Requirement'!BB63))</f>
        <v/>
      </c>
      <c r="BC63">
        <f>IF(COUNTIFS(T_StockCount[RM_Code],$A63,T_StockCount[WeekIndex],54)&gt;0,SUMIFS(T_StockCount[CountedQty],T_StockCount[RM_Code],$A63,T_StockCount[WeekIndex],54),IF((COUNTIFS(T_SelfStock[RM_Code],$A63,T_SelfStock[WeekIndex],54)&gt;0)*(COUNTIFS(T_TTAFStock[RM_Code],$A63,T_TTAFStock[WeekIndex],54)&gt;0)&gt;0,SUMIFS(T_SelfStock[Self_Qty],T_SelfStock[RM_Code],$A63,T_SelfStock[WeekIndex],54)+SUMIFS(T_TTAFStock[TTAF_Qty],T_TTAFStock[RM_Code],$A63,T_TTAFStock[WeekIndex],54),BB63+'Grid_Incoming'!BC63-'Grid_Requirement'!BC63))</f>
        <v/>
      </c>
      <c r="BD63">
        <f>IF(COUNTIFS(T_StockCount[RM_Code],$A63,T_StockCount[WeekIndex],55)&gt;0,SUMIFS(T_StockCount[CountedQty],T_StockCount[RM_Code],$A63,T_StockCount[WeekIndex],55),IF((COUNTIFS(T_SelfStock[RM_Code],$A63,T_SelfStock[WeekIndex],55)&gt;0)*(COUNTIFS(T_TTAFStock[RM_Code],$A63,T_TTAFStock[WeekIndex],55)&gt;0)&gt;0,SUMIFS(T_SelfStock[Self_Qty],T_SelfStock[RM_Code],$A63,T_SelfStock[WeekIndex],55)+SUMIFS(T_TTAFStock[TTAF_Qty],T_TTAFStock[RM_Code],$A63,T_TTAFStock[WeekIndex],55),BC63+'Grid_Incoming'!BD63-'Grid_Requirement'!BD63))</f>
        <v/>
      </c>
      <c r="BE63">
        <f>IF(COUNTIFS(T_StockCount[RM_Code],$A63,T_StockCount[WeekIndex],56)&gt;0,SUMIFS(T_StockCount[CountedQty],T_StockCount[RM_Code],$A63,T_StockCount[WeekIndex],56),IF((COUNTIFS(T_SelfStock[RM_Code],$A63,T_SelfStock[WeekIndex],56)&gt;0)*(COUNTIFS(T_TTAFStock[RM_Code],$A63,T_TTAFStock[WeekIndex],56)&gt;0)&gt;0,SUMIFS(T_SelfStock[Self_Qty],T_SelfStock[RM_Code],$A63,T_SelfStock[WeekIndex],56)+SUMIFS(T_TTAFStock[TTAF_Qty],T_TTAFStock[RM_Code],$A63,T_TTAFStock[WeekIndex],56),BD63+'Grid_Incoming'!BE63-'Grid_Requirement'!BE63))</f>
        <v/>
      </c>
      <c r="BF63">
        <f>IF(COUNTIFS(T_StockCount[RM_Code],$A63,T_StockCount[WeekIndex],57)&gt;0,SUMIFS(T_StockCount[CountedQty],T_StockCount[RM_Code],$A63,T_StockCount[WeekIndex],57),IF((COUNTIFS(T_SelfStock[RM_Code],$A63,T_SelfStock[WeekIndex],57)&gt;0)*(COUNTIFS(T_TTAFStock[RM_Code],$A63,T_TTAFStock[WeekIndex],57)&gt;0)&gt;0,SUMIFS(T_SelfStock[Self_Qty],T_SelfStock[RM_Code],$A63,T_SelfStock[WeekIndex],57)+SUMIFS(T_TTAFStock[TTAF_Qty],T_TTAFStock[RM_Code],$A63,T_TTAFStock[WeekIndex],57),BE63+'Grid_Incoming'!BF63-'Grid_Requirement'!BF63))</f>
        <v/>
      </c>
      <c r="BG63">
        <f>IF(COUNTIFS(T_StockCount[RM_Code],$A63,T_StockCount[WeekIndex],58)&gt;0,SUMIFS(T_StockCount[CountedQty],T_StockCount[RM_Code],$A63,T_StockCount[WeekIndex],58),IF((COUNTIFS(T_SelfStock[RM_Code],$A63,T_SelfStock[WeekIndex],58)&gt;0)*(COUNTIFS(T_TTAFStock[RM_Code],$A63,T_TTAFStock[WeekIndex],58)&gt;0)&gt;0,SUMIFS(T_SelfStock[Self_Qty],T_SelfStock[RM_Code],$A63,T_SelfStock[WeekIndex],58)+SUMIFS(T_TTAFStock[TTAF_Qty],T_TTAFStock[RM_Code],$A63,T_TTAFStock[WeekIndex],58),BF63+'Grid_Incoming'!BG63-'Grid_Requirement'!BG63))</f>
        <v/>
      </c>
      <c r="BH63">
        <f>IF(COUNTIFS(T_StockCount[RM_Code],$A63,T_StockCount[WeekIndex],59)&gt;0,SUMIFS(T_StockCount[CountedQty],T_StockCount[RM_Code],$A63,T_StockCount[WeekIndex],59),IF((COUNTIFS(T_SelfStock[RM_Code],$A63,T_SelfStock[WeekIndex],59)&gt;0)*(COUNTIFS(T_TTAFStock[RM_Code],$A63,T_TTAFStock[WeekIndex],59)&gt;0)&gt;0,SUMIFS(T_SelfStock[Self_Qty],T_SelfStock[RM_Code],$A63,T_SelfStock[WeekIndex],59)+SUMIFS(T_TTAFStock[TTAF_Qty],T_TTAFStock[RM_Code],$A63,T_TTAFStock[WeekIndex],59),BG63+'Grid_Incoming'!BH63-'Grid_Requirement'!BH63))</f>
        <v/>
      </c>
      <c r="BI63">
        <f>IF(COUNTIFS(T_StockCount[RM_Code],$A63,T_StockCount[WeekIndex],60)&gt;0,SUMIFS(T_StockCount[CountedQty],T_StockCount[RM_Code],$A63,T_StockCount[WeekIndex],60),IF((COUNTIFS(T_SelfStock[RM_Code],$A63,T_SelfStock[WeekIndex],60)&gt;0)*(COUNTIFS(T_TTAFStock[RM_Code],$A63,T_TTAFStock[WeekIndex],60)&gt;0)&gt;0,SUMIFS(T_SelfStock[Self_Qty],T_SelfStock[RM_Code],$A63,T_SelfStock[WeekIndex],60)+SUMIFS(T_TTAFStock[TTAF_Qty],T_TTAFStock[RM_Code],$A63,T_TTAFStock[WeekIndex],60),BH63+'Grid_Incoming'!BI63-'Grid_Requirement'!BI63))</f>
        <v/>
      </c>
      <c r="BJ63">
        <f>IF(COUNTIFS(T_StockCount[RM_Code],$A63,T_StockCount[WeekIndex],61)&gt;0,SUMIFS(T_StockCount[CountedQty],T_StockCount[RM_Code],$A63,T_StockCount[WeekIndex],61),IF((COUNTIFS(T_SelfStock[RM_Code],$A63,T_SelfStock[WeekIndex],61)&gt;0)*(COUNTIFS(T_TTAFStock[RM_Code],$A63,T_TTAFStock[WeekIndex],61)&gt;0)&gt;0,SUMIFS(T_SelfStock[Self_Qty],T_SelfStock[RM_Code],$A63,T_SelfStock[WeekIndex],61)+SUMIFS(T_TTAFStock[TTAF_Qty],T_TTAFStock[RM_Code],$A63,T_TTAFStock[WeekIndex],61),BI63+'Grid_Incoming'!BJ63-'Grid_Requirement'!BJ63))</f>
        <v/>
      </c>
      <c r="BK63">
        <f>IF(COUNTIFS(T_StockCount[RM_Code],$A63,T_StockCount[WeekIndex],62)&gt;0,SUMIFS(T_StockCount[CountedQty],T_StockCount[RM_Code],$A63,T_StockCount[WeekIndex],62),IF((COUNTIFS(T_SelfStock[RM_Code],$A63,T_SelfStock[WeekIndex],62)&gt;0)*(COUNTIFS(T_TTAFStock[RM_Code],$A63,T_TTAFStock[WeekIndex],62)&gt;0)&gt;0,SUMIFS(T_SelfStock[Self_Qty],T_SelfStock[RM_Code],$A63,T_SelfStock[WeekIndex],62)+SUMIFS(T_TTAFStock[TTAF_Qty],T_TTAFStock[RM_Code],$A63,T_TTAFStock[WeekIndex],62),BJ63+'Grid_Incoming'!BK63-'Grid_Requirement'!BK63))</f>
        <v/>
      </c>
      <c r="BL63">
        <f>IF(COUNTIFS(T_StockCount[RM_Code],$A63,T_StockCount[WeekIndex],63)&gt;0,SUMIFS(T_StockCount[CountedQty],T_StockCount[RM_Code],$A63,T_StockCount[WeekIndex],63),IF((COUNTIFS(T_SelfStock[RM_Code],$A63,T_SelfStock[WeekIndex],63)&gt;0)*(COUNTIFS(T_TTAFStock[RM_Code],$A63,T_TTAFStock[WeekIndex],63)&gt;0)&gt;0,SUMIFS(T_SelfStock[Self_Qty],T_SelfStock[RM_Code],$A63,T_SelfStock[WeekIndex],63)+SUMIFS(T_TTAFStock[TTAF_Qty],T_TTAFStock[RM_Code],$A63,T_TTAFStock[WeekIndex],63),BK63+'Grid_Incoming'!BL63-'Grid_Requirement'!BL63))</f>
        <v/>
      </c>
      <c r="BM63">
        <f>IF(COUNTIFS(T_StockCount[RM_Code],$A63,T_StockCount[WeekIndex],64)&gt;0,SUMIFS(T_StockCount[CountedQty],T_StockCount[RM_Code],$A63,T_StockCount[WeekIndex],64),IF((COUNTIFS(T_SelfStock[RM_Code],$A63,T_SelfStock[WeekIndex],64)&gt;0)*(COUNTIFS(T_TTAFStock[RM_Code],$A63,T_TTAFStock[WeekIndex],64)&gt;0)&gt;0,SUMIFS(T_SelfStock[Self_Qty],T_SelfStock[RM_Code],$A63,T_SelfStock[WeekIndex],64)+SUMIFS(T_TTAFStock[TTAF_Qty],T_TTAFStock[RM_Code],$A63,T_TTAFStock[WeekIndex],64),BL63+'Grid_Incoming'!BM63-'Grid_Requirement'!BM63))</f>
        <v/>
      </c>
      <c r="BN63">
        <f>IF(COUNTIFS(T_StockCount[RM_Code],$A63,T_StockCount[WeekIndex],65)&gt;0,SUMIFS(T_StockCount[CountedQty],T_StockCount[RM_Code],$A63,T_StockCount[WeekIndex],65),IF((COUNTIFS(T_SelfStock[RM_Code],$A63,T_SelfStock[WeekIndex],65)&gt;0)*(COUNTIFS(T_TTAFStock[RM_Code],$A63,T_TTAFStock[WeekIndex],65)&gt;0)&gt;0,SUMIFS(T_SelfStock[Self_Qty],T_SelfStock[RM_Code],$A63,T_SelfStock[WeekIndex],65)+SUMIFS(T_TTAFStock[TTAF_Qty],T_TTAFStock[RM_Code],$A63,T_TTAFStock[WeekIndex],65),BM63+'Grid_Incoming'!BN63-'Grid_Requirement'!BN63))</f>
        <v/>
      </c>
      <c r="BO63">
        <f>IF(COUNTIFS(T_StockCount[RM_Code],$A63,T_StockCount[WeekIndex],66)&gt;0,SUMIFS(T_StockCount[CountedQty],T_StockCount[RM_Code],$A63,T_StockCount[WeekIndex],66),IF((COUNTIFS(T_SelfStock[RM_Code],$A63,T_SelfStock[WeekIndex],66)&gt;0)*(COUNTIFS(T_TTAFStock[RM_Code],$A63,T_TTAFStock[WeekIndex],66)&gt;0)&gt;0,SUMIFS(T_SelfStock[Self_Qty],T_SelfStock[RM_Code],$A63,T_SelfStock[WeekIndex],66)+SUMIFS(T_TTAFStock[TTAF_Qty],T_TTAFStock[RM_Code],$A63,T_TTAFStock[WeekIndex],66),BN63+'Grid_Incoming'!BO63-'Grid_Requirement'!BO63))</f>
        <v/>
      </c>
      <c r="BP63">
        <f>IF(COUNTIFS(T_StockCount[RM_Code],$A63,T_StockCount[WeekIndex],67)&gt;0,SUMIFS(T_StockCount[CountedQty],T_StockCount[RM_Code],$A63,T_StockCount[WeekIndex],67),IF((COUNTIFS(T_SelfStock[RM_Code],$A63,T_SelfStock[WeekIndex],67)&gt;0)*(COUNTIFS(T_TTAFStock[RM_Code],$A63,T_TTAFStock[WeekIndex],67)&gt;0)&gt;0,SUMIFS(T_SelfStock[Self_Qty],T_SelfStock[RM_Code],$A63,T_SelfStock[WeekIndex],67)+SUMIFS(T_TTAFStock[TTAF_Qty],T_TTAFStock[RM_Code],$A63,T_TTAFStock[WeekIndex],67),BO63+'Grid_Incoming'!BP63-'Grid_Requirement'!BP63))</f>
        <v/>
      </c>
      <c r="BQ63">
        <f>IF(COUNTIFS(T_StockCount[RM_Code],$A63,T_StockCount[WeekIndex],68)&gt;0,SUMIFS(T_StockCount[CountedQty],T_StockCount[RM_Code],$A63,T_StockCount[WeekIndex],68),IF((COUNTIFS(T_SelfStock[RM_Code],$A63,T_SelfStock[WeekIndex],68)&gt;0)*(COUNTIFS(T_TTAFStock[RM_Code],$A63,T_TTAFStock[WeekIndex],68)&gt;0)&gt;0,SUMIFS(T_SelfStock[Self_Qty],T_SelfStock[RM_Code],$A63,T_SelfStock[WeekIndex],68)+SUMIFS(T_TTAFStock[TTAF_Qty],T_TTAFStock[RM_Code],$A63,T_TTAFStock[WeekIndex],68),BP63+'Grid_Incoming'!BQ63-'Grid_Requirement'!BQ63))</f>
        <v/>
      </c>
      <c r="BR63">
        <f>IF(COUNTIFS(T_StockCount[RM_Code],$A63,T_StockCount[WeekIndex],69)&gt;0,SUMIFS(T_StockCount[CountedQty],T_StockCount[RM_Code],$A63,T_StockCount[WeekIndex],69),IF((COUNTIFS(T_SelfStock[RM_Code],$A63,T_SelfStock[WeekIndex],69)&gt;0)*(COUNTIFS(T_TTAFStock[RM_Code],$A63,T_TTAFStock[WeekIndex],69)&gt;0)&gt;0,SUMIFS(T_SelfStock[Self_Qty],T_SelfStock[RM_Code],$A63,T_SelfStock[WeekIndex],69)+SUMIFS(T_TTAFStock[TTAF_Qty],T_TTAFStock[RM_Code],$A63,T_TTAFStock[WeekIndex],69),BQ63+'Grid_Incoming'!BR63-'Grid_Requirement'!BR63))</f>
        <v/>
      </c>
      <c r="BS63">
        <f>IF(COUNTIFS(T_StockCount[RM_Code],$A63,T_StockCount[WeekIndex],70)&gt;0,SUMIFS(T_StockCount[CountedQty],T_StockCount[RM_Code],$A63,T_StockCount[WeekIndex],70),IF((COUNTIFS(T_SelfStock[RM_Code],$A63,T_SelfStock[WeekIndex],70)&gt;0)*(COUNTIFS(T_TTAFStock[RM_Code],$A63,T_TTAFStock[WeekIndex],70)&gt;0)&gt;0,SUMIFS(T_SelfStock[Self_Qty],T_SelfStock[RM_Code],$A63,T_SelfStock[WeekIndex],70)+SUMIFS(T_TTAFStock[TTAF_Qty],T_TTAFStock[RM_Code],$A63,T_TTAFStock[WeekIndex],70),BR63+'Grid_Incoming'!BS63-'Grid_Requirement'!BS63))</f>
        <v/>
      </c>
      <c r="BT63">
        <f>IF(COUNTIFS(T_StockCount[RM_Code],$A63,T_StockCount[WeekIndex],71)&gt;0,SUMIFS(T_StockCount[CountedQty],T_StockCount[RM_Code],$A63,T_StockCount[WeekIndex],71),IF((COUNTIFS(T_SelfStock[RM_Code],$A63,T_SelfStock[WeekIndex],71)&gt;0)*(COUNTIFS(T_TTAFStock[RM_Code],$A63,T_TTAFStock[WeekIndex],71)&gt;0)&gt;0,SUMIFS(T_SelfStock[Self_Qty],T_SelfStock[RM_Code],$A63,T_SelfStock[WeekIndex],71)+SUMIFS(T_TTAFStock[TTAF_Qty],T_TTAFStock[RM_Code],$A63,T_TTAFStock[WeekIndex],71),BS63+'Grid_Incoming'!BT63-'Grid_Requirement'!BT63))</f>
        <v/>
      </c>
      <c r="BU63">
        <f>IF(COUNTIFS(T_StockCount[RM_Code],$A63,T_StockCount[WeekIndex],72)&gt;0,SUMIFS(T_StockCount[CountedQty],T_StockCount[RM_Code],$A63,T_StockCount[WeekIndex],72),IF((COUNTIFS(T_SelfStock[RM_Code],$A63,T_SelfStock[WeekIndex],72)&gt;0)*(COUNTIFS(T_TTAFStock[RM_Code],$A63,T_TTAFStock[WeekIndex],72)&gt;0)&gt;0,SUMIFS(T_SelfStock[Self_Qty],T_SelfStock[RM_Code],$A63,T_SelfStock[WeekIndex],72)+SUMIFS(T_TTAFStock[TTAF_Qty],T_TTAFStock[RM_Code],$A63,T_TTAFStock[WeekIndex],72),BT63+'Grid_Incoming'!BU63-'Grid_Requirement'!BU63))</f>
        <v/>
      </c>
      <c r="BV63">
        <f>IF(COUNTIFS(T_StockCount[RM_Code],$A63,T_StockCount[WeekIndex],73)&gt;0,SUMIFS(T_StockCount[CountedQty],T_StockCount[RM_Code],$A63,T_StockCount[WeekIndex],73),IF((COUNTIFS(T_SelfStock[RM_Code],$A63,T_SelfStock[WeekIndex],73)&gt;0)*(COUNTIFS(T_TTAFStock[RM_Code],$A63,T_TTAFStock[WeekIndex],73)&gt;0)&gt;0,SUMIFS(T_SelfStock[Self_Qty],T_SelfStock[RM_Code],$A63,T_SelfStock[WeekIndex],73)+SUMIFS(T_TTAFStock[TTAF_Qty],T_TTAFStock[RM_Code],$A63,T_TTAFStock[WeekIndex],73),BU63+'Grid_Incoming'!BV63-'Grid_Requirement'!BV63))</f>
        <v/>
      </c>
      <c r="BW63">
        <f>IF(COUNTIFS(T_StockCount[RM_Code],$A63,T_StockCount[WeekIndex],74)&gt;0,SUMIFS(T_StockCount[CountedQty],T_StockCount[RM_Code],$A63,T_StockCount[WeekIndex],74),IF((COUNTIFS(T_SelfStock[RM_Code],$A63,T_SelfStock[WeekIndex],74)&gt;0)*(COUNTIFS(T_TTAFStock[RM_Code],$A63,T_TTAFStock[WeekIndex],74)&gt;0)&gt;0,SUMIFS(T_SelfStock[Self_Qty],T_SelfStock[RM_Code],$A63,T_SelfStock[WeekIndex],74)+SUMIFS(T_TTAFStock[TTAF_Qty],T_TTAFStock[RM_Code],$A63,T_TTAFStock[WeekIndex],74),BV63+'Grid_Incoming'!BW63-'Grid_Requirement'!BW63))</f>
        <v/>
      </c>
      <c r="BX63">
        <f>IF(COUNTIFS(T_StockCount[RM_Code],$A63,T_StockCount[WeekIndex],75)&gt;0,SUMIFS(T_StockCount[CountedQty],T_StockCount[RM_Code],$A63,T_StockCount[WeekIndex],75),IF((COUNTIFS(T_SelfStock[RM_Code],$A63,T_SelfStock[WeekIndex],75)&gt;0)*(COUNTIFS(T_TTAFStock[RM_Code],$A63,T_TTAFStock[WeekIndex],75)&gt;0)&gt;0,SUMIFS(T_SelfStock[Self_Qty],T_SelfStock[RM_Code],$A63,T_SelfStock[WeekIndex],75)+SUMIFS(T_TTAFStock[TTAF_Qty],T_TTAFStock[RM_Code],$A63,T_TTAFStock[WeekIndex],75),BW63+'Grid_Incoming'!BX63-'Grid_Requirement'!BX63))</f>
        <v/>
      </c>
      <c r="BY63">
        <f>IF(COUNTIFS(T_StockCount[RM_Code],$A63,T_StockCount[WeekIndex],76)&gt;0,SUMIFS(T_StockCount[CountedQty],T_StockCount[RM_Code],$A63,T_StockCount[WeekIndex],76),IF((COUNTIFS(T_SelfStock[RM_Code],$A63,T_SelfStock[WeekIndex],76)&gt;0)*(COUNTIFS(T_TTAFStock[RM_Code],$A63,T_TTAFStock[WeekIndex],76)&gt;0)&gt;0,SUMIFS(T_SelfStock[Self_Qty],T_SelfStock[RM_Code],$A63,T_SelfStock[WeekIndex],76)+SUMIFS(T_TTAFStock[TTAF_Qty],T_TTAFStock[RM_Code],$A63,T_TTAFStock[WeekIndex],76),BX63+'Grid_Incoming'!BY63-'Grid_Requirement'!BY63))</f>
        <v/>
      </c>
      <c r="BZ63">
        <f>IF(COUNTIFS(T_StockCount[RM_Code],$A63,T_StockCount[WeekIndex],77)&gt;0,SUMIFS(T_StockCount[CountedQty],T_StockCount[RM_Code],$A63,T_StockCount[WeekIndex],77),IF((COUNTIFS(T_SelfStock[RM_Code],$A63,T_SelfStock[WeekIndex],77)&gt;0)*(COUNTIFS(T_TTAFStock[RM_Code],$A63,T_TTAFStock[WeekIndex],77)&gt;0)&gt;0,SUMIFS(T_SelfStock[Self_Qty],T_SelfStock[RM_Code],$A63,T_SelfStock[WeekIndex],77)+SUMIFS(T_TTAFStock[TTAF_Qty],T_TTAFStock[RM_Code],$A63,T_TTAFStock[WeekIndex],77),BY63+'Grid_Incoming'!BZ63-'Grid_Requirement'!BZ63))</f>
        <v/>
      </c>
      <c r="CA63">
        <f>IF(COUNTIFS(T_StockCount[RM_Code],$A63,T_StockCount[WeekIndex],78)&gt;0,SUMIFS(T_StockCount[CountedQty],T_StockCount[RM_Code],$A63,T_StockCount[WeekIndex],78),IF((COUNTIFS(T_SelfStock[RM_Code],$A63,T_SelfStock[WeekIndex],78)&gt;0)*(COUNTIFS(T_TTAFStock[RM_Code],$A63,T_TTAFStock[WeekIndex],78)&gt;0)&gt;0,SUMIFS(T_SelfStock[Self_Qty],T_SelfStock[RM_Code],$A63,T_SelfStock[WeekIndex],78)+SUMIFS(T_TTAFStock[TTAF_Qty],T_TTAFStock[RM_Code],$A63,T_TTAFStock[WeekIndex],78),BZ63+'Grid_Incoming'!CA63-'Grid_Requirement'!CA63))</f>
        <v/>
      </c>
      <c r="CB63">
        <f>IF(COUNTIFS(T_StockCount[RM_Code],$A63,T_StockCount[WeekIndex],79)&gt;0,SUMIFS(T_StockCount[CountedQty],T_StockCount[RM_Code],$A63,T_StockCount[WeekIndex],79),IF((COUNTIFS(T_SelfStock[RM_Code],$A63,T_SelfStock[WeekIndex],79)&gt;0)*(COUNTIFS(T_TTAFStock[RM_Code],$A63,T_TTAFStock[WeekIndex],79)&gt;0)&gt;0,SUMIFS(T_SelfStock[Self_Qty],T_SelfStock[RM_Code],$A63,T_SelfStock[WeekIndex],79)+SUMIFS(T_TTAFStock[TTAF_Qty],T_TTAFStock[RM_Code],$A63,T_TTAFStock[WeekIndex],79),CA63+'Grid_Incoming'!CB63-'Grid_Requirement'!CB63))</f>
        <v/>
      </c>
      <c r="CC63">
        <f>IF(COUNTIFS(T_StockCount[RM_Code],$A63,T_StockCount[WeekIndex],80)&gt;0,SUMIFS(T_StockCount[CountedQty],T_StockCount[RM_Code],$A63,T_StockCount[WeekIndex],80),IF((COUNTIFS(T_SelfStock[RM_Code],$A63,T_SelfStock[WeekIndex],80)&gt;0)*(COUNTIFS(T_TTAFStock[RM_Code],$A63,T_TTAFStock[WeekIndex],80)&gt;0)&gt;0,SUMIFS(T_SelfStock[Self_Qty],T_SelfStock[RM_Code],$A63,T_SelfStock[WeekIndex],80)+SUMIFS(T_TTAFStock[TTAF_Qty],T_TTAFStock[RM_Code],$A63,T_TTAFStock[WeekIndex],80),CB63+'Grid_Incoming'!CC63-'Grid_Requirement'!CC63))</f>
        <v/>
      </c>
      <c r="CD63">
        <f>IF(COUNTIFS(T_StockCount[RM_Code],$A63,T_StockCount[WeekIndex],81)&gt;0,SUMIFS(T_StockCount[CountedQty],T_StockCount[RM_Code],$A63,T_StockCount[WeekIndex],81),IF((COUNTIFS(T_SelfStock[RM_Code],$A63,T_SelfStock[WeekIndex],81)&gt;0)*(COUNTIFS(T_TTAFStock[RM_Code],$A63,T_TTAFStock[WeekIndex],81)&gt;0)&gt;0,SUMIFS(T_SelfStock[Self_Qty],T_SelfStock[RM_Code],$A63,T_SelfStock[WeekIndex],81)+SUMIFS(T_TTAFStock[TTAF_Qty],T_TTAFStock[RM_Code],$A63,T_TTAFStock[WeekIndex],81),CC63+'Grid_Incoming'!CD63-'Grid_Requirement'!CD63))</f>
        <v/>
      </c>
      <c r="CE63">
        <f>IF(COUNTIFS(T_StockCount[RM_Code],$A63,T_StockCount[WeekIndex],82)&gt;0,SUMIFS(T_StockCount[CountedQty],T_StockCount[RM_Code],$A63,T_StockCount[WeekIndex],82),IF((COUNTIFS(T_SelfStock[RM_Code],$A63,T_SelfStock[WeekIndex],82)&gt;0)*(COUNTIFS(T_TTAFStock[RM_Code],$A63,T_TTAFStock[WeekIndex],82)&gt;0)&gt;0,SUMIFS(T_SelfStock[Self_Qty],T_SelfStock[RM_Code],$A63,T_SelfStock[WeekIndex],82)+SUMIFS(T_TTAFStock[TTAF_Qty],T_TTAFStock[RM_Code],$A63,T_TTAFStock[WeekIndex],82),CD63+'Grid_Incoming'!CE63-'Grid_Requirement'!CE63))</f>
        <v/>
      </c>
      <c r="CF63">
        <f>IF(COUNTIFS(T_StockCount[RM_Code],$A63,T_StockCount[WeekIndex],83)&gt;0,SUMIFS(T_StockCount[CountedQty],T_StockCount[RM_Code],$A63,T_StockCount[WeekIndex],83),IF((COUNTIFS(T_SelfStock[RM_Code],$A63,T_SelfStock[WeekIndex],83)&gt;0)*(COUNTIFS(T_TTAFStock[RM_Code],$A63,T_TTAFStock[WeekIndex],83)&gt;0)&gt;0,SUMIFS(T_SelfStock[Self_Qty],T_SelfStock[RM_Code],$A63,T_SelfStock[WeekIndex],83)+SUMIFS(T_TTAFStock[TTAF_Qty],T_TTAFStock[RM_Code],$A63,T_TTAFStock[WeekIndex],83),CE63+'Grid_Incoming'!CF63-'Grid_Requirement'!CF63))</f>
        <v/>
      </c>
      <c r="CG63">
        <f>IF(COUNTIFS(T_StockCount[RM_Code],$A63,T_StockCount[WeekIndex],84)&gt;0,SUMIFS(T_StockCount[CountedQty],T_StockCount[RM_Code],$A63,T_StockCount[WeekIndex],84),IF((COUNTIFS(T_SelfStock[RM_Code],$A63,T_SelfStock[WeekIndex],84)&gt;0)*(COUNTIFS(T_TTAFStock[RM_Code],$A63,T_TTAFStock[WeekIndex],84)&gt;0)&gt;0,SUMIFS(T_SelfStock[Self_Qty],T_SelfStock[RM_Code],$A63,T_SelfStock[WeekIndex],84)+SUMIFS(T_TTAFStock[TTAF_Qty],T_TTAFStock[RM_Code],$A63,T_TTAFStock[WeekIndex],84),CF63+'Grid_Incoming'!CG63-'Grid_Requirement'!CG63))</f>
        <v/>
      </c>
      <c r="CH63">
        <f>IF(COUNTIFS(T_StockCount[RM_Code],$A63,T_StockCount[WeekIndex],85)&gt;0,SUMIFS(T_StockCount[CountedQty],T_StockCount[RM_Code],$A63,T_StockCount[WeekIndex],85),IF((COUNTIFS(T_SelfStock[RM_Code],$A63,T_SelfStock[WeekIndex],85)&gt;0)*(COUNTIFS(T_TTAFStock[RM_Code],$A63,T_TTAFStock[WeekIndex],85)&gt;0)&gt;0,SUMIFS(T_SelfStock[Self_Qty],T_SelfStock[RM_Code],$A63,T_SelfStock[WeekIndex],85)+SUMIFS(T_TTAFStock[TTAF_Qty],T_TTAFStock[RM_Code],$A63,T_TTAFStock[WeekIndex],85),CG63+'Grid_Incoming'!CH63-'Grid_Requirement'!CH63))</f>
        <v/>
      </c>
      <c r="CI63">
        <f>IF(COUNTIFS(T_StockCount[RM_Code],$A63,T_StockCount[WeekIndex],86)&gt;0,SUMIFS(T_StockCount[CountedQty],T_StockCount[RM_Code],$A63,T_StockCount[WeekIndex],86),IF((COUNTIFS(T_SelfStock[RM_Code],$A63,T_SelfStock[WeekIndex],86)&gt;0)*(COUNTIFS(T_TTAFStock[RM_Code],$A63,T_TTAFStock[WeekIndex],86)&gt;0)&gt;0,SUMIFS(T_SelfStock[Self_Qty],T_SelfStock[RM_Code],$A63,T_SelfStock[WeekIndex],86)+SUMIFS(T_TTAFStock[TTAF_Qty],T_TTAFStock[RM_Code],$A63,T_TTAFStock[WeekIndex],86),CH63+'Grid_Incoming'!CI63-'Grid_Requirement'!CI63))</f>
        <v/>
      </c>
      <c r="CJ63">
        <f>IF(COUNTIFS(T_StockCount[RM_Code],$A63,T_StockCount[WeekIndex],87)&gt;0,SUMIFS(T_StockCount[CountedQty],T_StockCount[RM_Code],$A63,T_StockCount[WeekIndex],87),IF((COUNTIFS(T_SelfStock[RM_Code],$A63,T_SelfStock[WeekIndex],87)&gt;0)*(COUNTIFS(T_TTAFStock[RM_Code],$A63,T_TTAFStock[WeekIndex],87)&gt;0)&gt;0,SUMIFS(T_SelfStock[Self_Qty],T_SelfStock[RM_Code],$A63,T_SelfStock[WeekIndex],87)+SUMIFS(T_TTAFStock[TTAF_Qty],T_TTAFStock[RM_Code],$A63,T_TTAFStock[WeekIndex],87),CI63+'Grid_Incoming'!CJ63-'Grid_Requirement'!CJ63))</f>
        <v/>
      </c>
      <c r="CK63">
        <f>IF(COUNTIFS(T_StockCount[RM_Code],$A63,T_StockCount[WeekIndex],88)&gt;0,SUMIFS(T_StockCount[CountedQty],T_StockCount[RM_Code],$A63,T_StockCount[WeekIndex],88),IF((COUNTIFS(T_SelfStock[RM_Code],$A63,T_SelfStock[WeekIndex],88)&gt;0)*(COUNTIFS(T_TTAFStock[RM_Code],$A63,T_TTAFStock[WeekIndex],88)&gt;0)&gt;0,SUMIFS(T_SelfStock[Self_Qty],T_SelfStock[RM_Code],$A63,T_SelfStock[WeekIndex],88)+SUMIFS(T_TTAFStock[TTAF_Qty],T_TTAFStock[RM_Code],$A63,T_TTAFStock[WeekIndex],88),CJ63+'Grid_Incoming'!CK63-'Grid_Requirement'!CK63))</f>
        <v/>
      </c>
      <c r="CL63">
        <f>IF(COUNTIFS(T_StockCount[RM_Code],$A63,T_StockCount[WeekIndex],89)&gt;0,SUMIFS(T_StockCount[CountedQty],T_StockCount[RM_Code],$A63,T_StockCount[WeekIndex],89),IF((COUNTIFS(T_SelfStock[RM_Code],$A63,T_SelfStock[WeekIndex],89)&gt;0)*(COUNTIFS(T_TTAFStock[RM_Code],$A63,T_TTAFStock[WeekIndex],89)&gt;0)&gt;0,SUMIFS(T_SelfStock[Self_Qty],T_SelfStock[RM_Code],$A63,T_SelfStock[WeekIndex],89)+SUMIFS(T_TTAFStock[TTAF_Qty],T_TTAFStock[RM_Code],$A63,T_TTAFStock[WeekIndex],89),CK63+'Grid_Incoming'!CL63-'Grid_Requirement'!CL63))</f>
        <v/>
      </c>
      <c r="CM63">
        <f>IF(COUNTIFS(T_StockCount[RM_Code],$A63,T_StockCount[WeekIndex],90)&gt;0,SUMIFS(T_StockCount[CountedQty],T_StockCount[RM_Code],$A63,T_StockCount[WeekIndex],90),IF((COUNTIFS(T_SelfStock[RM_Code],$A63,T_SelfStock[WeekIndex],90)&gt;0)*(COUNTIFS(T_TTAFStock[RM_Code],$A63,T_TTAFStock[WeekIndex],90)&gt;0)&gt;0,SUMIFS(T_SelfStock[Self_Qty],T_SelfStock[RM_Code],$A63,T_SelfStock[WeekIndex],90)+SUMIFS(T_TTAFStock[TTAF_Qty],T_TTAFStock[RM_Code],$A63,T_TTAFStock[WeekIndex],90),CL63+'Grid_Incoming'!CM63-'Grid_Requirement'!CM63))</f>
        <v/>
      </c>
      <c r="CN63">
        <f>IF(COUNTIFS(T_StockCount[RM_Code],$A63,T_StockCount[WeekIndex],91)&gt;0,SUMIFS(T_StockCount[CountedQty],T_StockCount[RM_Code],$A63,T_StockCount[WeekIndex],91),IF((COUNTIFS(T_SelfStock[RM_Code],$A63,T_SelfStock[WeekIndex],91)&gt;0)*(COUNTIFS(T_TTAFStock[RM_Code],$A63,T_TTAFStock[WeekIndex],91)&gt;0)&gt;0,SUMIFS(T_SelfStock[Self_Qty],T_SelfStock[RM_Code],$A63,T_SelfStock[WeekIndex],91)+SUMIFS(T_TTAFStock[TTAF_Qty],T_TTAFStock[RM_Code],$A63,T_TTAFStock[WeekIndex],91),CM63+'Grid_Incoming'!CN63-'Grid_Requirement'!CN63))</f>
        <v/>
      </c>
      <c r="CO63">
        <f>IF(COUNTIFS(T_StockCount[RM_Code],$A63,T_StockCount[WeekIndex],92)&gt;0,SUMIFS(T_StockCount[CountedQty],T_StockCount[RM_Code],$A63,T_StockCount[WeekIndex],92),IF((COUNTIFS(T_SelfStock[RM_Code],$A63,T_SelfStock[WeekIndex],92)&gt;0)*(COUNTIFS(T_TTAFStock[RM_Code],$A63,T_TTAFStock[WeekIndex],92)&gt;0)&gt;0,SUMIFS(T_SelfStock[Self_Qty],T_SelfStock[RM_Code],$A63,T_SelfStock[WeekIndex],92)+SUMIFS(T_TTAFStock[TTAF_Qty],T_TTAFStock[RM_Code],$A63,T_TTAFStock[WeekIndex],92),CN63+'Grid_Incoming'!CO63-'Grid_Requirement'!CO63))</f>
        <v/>
      </c>
      <c r="CP63">
        <f>IF(COUNTIFS(T_StockCount[RM_Code],$A63,T_StockCount[WeekIndex],93)&gt;0,SUMIFS(T_StockCount[CountedQty],T_StockCount[RM_Code],$A63,T_StockCount[WeekIndex],93),IF((COUNTIFS(T_SelfStock[RM_Code],$A63,T_SelfStock[WeekIndex],93)&gt;0)*(COUNTIFS(T_TTAFStock[RM_Code],$A63,T_TTAFStock[WeekIndex],93)&gt;0)&gt;0,SUMIFS(T_SelfStock[Self_Qty],T_SelfStock[RM_Code],$A63,T_SelfStock[WeekIndex],93)+SUMIFS(T_TTAFStock[TTAF_Qty],T_TTAFStock[RM_Code],$A63,T_TTAFStock[WeekIndex],93),CO63+'Grid_Incoming'!CP63-'Grid_Requirement'!CP63))</f>
        <v/>
      </c>
      <c r="CQ63">
        <f>IF(COUNTIFS(T_StockCount[RM_Code],$A63,T_StockCount[WeekIndex],94)&gt;0,SUMIFS(T_StockCount[CountedQty],T_StockCount[RM_Code],$A63,T_StockCount[WeekIndex],94),IF((COUNTIFS(T_SelfStock[RM_Code],$A63,T_SelfStock[WeekIndex],94)&gt;0)*(COUNTIFS(T_TTAFStock[RM_Code],$A63,T_TTAFStock[WeekIndex],94)&gt;0)&gt;0,SUMIFS(T_SelfStock[Self_Qty],T_SelfStock[RM_Code],$A63,T_SelfStock[WeekIndex],94)+SUMIFS(T_TTAFStock[TTAF_Qty],T_TTAFStock[RM_Code],$A63,T_TTAFStock[WeekIndex],94),CP63+'Grid_Incoming'!CQ63-'Grid_Requirement'!CQ63))</f>
        <v/>
      </c>
      <c r="CR63">
        <f>IF(COUNTIFS(T_StockCount[RM_Code],$A63,T_StockCount[WeekIndex],95)&gt;0,SUMIFS(T_StockCount[CountedQty],T_StockCount[RM_Code],$A63,T_StockCount[WeekIndex],95),IF((COUNTIFS(T_SelfStock[RM_Code],$A63,T_SelfStock[WeekIndex],95)&gt;0)*(COUNTIFS(T_TTAFStock[RM_Code],$A63,T_TTAFStock[WeekIndex],95)&gt;0)&gt;0,SUMIFS(T_SelfStock[Self_Qty],T_SelfStock[RM_Code],$A63,T_SelfStock[WeekIndex],95)+SUMIFS(T_TTAFStock[TTAF_Qty],T_TTAFStock[RM_Code],$A63,T_TTAFStock[WeekIndex],95),CQ63+'Grid_Incoming'!CR63-'Grid_Requirement'!CR63))</f>
        <v/>
      </c>
      <c r="CS63">
        <f>IF(COUNTIFS(T_StockCount[RM_Code],$A63,T_StockCount[WeekIndex],96)&gt;0,SUMIFS(T_StockCount[CountedQty],T_StockCount[RM_Code],$A63,T_StockCount[WeekIndex],96),IF((COUNTIFS(T_SelfStock[RM_Code],$A63,T_SelfStock[WeekIndex],96)&gt;0)*(COUNTIFS(T_TTAFStock[RM_Code],$A63,T_TTAFStock[WeekIndex],96)&gt;0)&gt;0,SUMIFS(T_SelfStock[Self_Qty],T_SelfStock[RM_Code],$A63,T_SelfStock[WeekIndex],96)+SUMIFS(T_TTAFStock[TTAF_Qty],T_TTAFStock[RM_Code],$A63,T_TTAFStock[WeekIndex],96),CR63+'Grid_Incoming'!CS63-'Grid_Requirement'!CS63))</f>
        <v/>
      </c>
      <c r="CT63">
        <f>IF(COUNTIFS(T_StockCount[RM_Code],$A63,T_StockCount[WeekIndex],97)&gt;0,SUMIFS(T_StockCount[CountedQty],T_StockCount[RM_Code],$A63,T_StockCount[WeekIndex],97),IF((COUNTIFS(T_SelfStock[RM_Code],$A63,T_SelfStock[WeekIndex],97)&gt;0)*(COUNTIFS(T_TTAFStock[RM_Code],$A63,T_TTAFStock[WeekIndex],97)&gt;0)&gt;0,SUMIFS(T_SelfStock[Self_Qty],T_SelfStock[RM_Code],$A63,T_SelfStock[WeekIndex],97)+SUMIFS(T_TTAFStock[TTAF_Qty],T_TTAFStock[RM_Code],$A63,T_TTAFStock[WeekIndex],97),CS63+'Grid_Incoming'!CT63-'Grid_Requirement'!CT63))</f>
        <v/>
      </c>
      <c r="CU63">
        <f>IF(COUNTIFS(T_StockCount[RM_Code],$A63,T_StockCount[WeekIndex],98)&gt;0,SUMIFS(T_StockCount[CountedQty],T_StockCount[RM_Code],$A63,T_StockCount[WeekIndex],98),IF((COUNTIFS(T_SelfStock[RM_Code],$A63,T_SelfStock[WeekIndex],98)&gt;0)*(COUNTIFS(T_TTAFStock[RM_Code],$A63,T_TTAFStock[WeekIndex],98)&gt;0)&gt;0,SUMIFS(T_SelfStock[Self_Qty],T_SelfStock[RM_Code],$A63,T_SelfStock[WeekIndex],98)+SUMIFS(T_TTAFStock[TTAF_Qty],T_TTAFStock[RM_Code],$A63,T_TTAFStock[WeekIndex],98),CT63+'Grid_Incoming'!CU63-'Grid_Requirement'!CU63))</f>
        <v/>
      </c>
      <c r="CV63">
        <f>IF(COUNTIFS(T_StockCount[RM_Code],$A63,T_StockCount[WeekIndex],99)&gt;0,SUMIFS(T_StockCount[CountedQty],T_StockCount[RM_Code],$A63,T_StockCount[WeekIndex],99),IF((COUNTIFS(T_SelfStock[RM_Code],$A63,T_SelfStock[WeekIndex],99)&gt;0)*(COUNTIFS(T_TTAFStock[RM_Code],$A63,T_TTAFStock[WeekIndex],99)&gt;0)&gt;0,SUMIFS(T_SelfStock[Self_Qty],T_SelfStock[RM_Code],$A63,T_SelfStock[WeekIndex],99)+SUMIFS(T_TTAFStock[TTAF_Qty],T_TTAFStock[RM_Code],$A63,T_TTAFStock[WeekIndex],99),CU63+'Grid_Incoming'!CV63-'Grid_Requirement'!CV63))</f>
        <v/>
      </c>
      <c r="CW63">
        <f>IF(COUNTIFS(T_StockCount[RM_Code],$A63,T_StockCount[WeekIndex],100)&gt;0,SUMIFS(T_StockCount[CountedQty],T_StockCount[RM_Code],$A63,T_StockCount[WeekIndex],100),IF((COUNTIFS(T_SelfStock[RM_Code],$A63,T_SelfStock[WeekIndex],100)&gt;0)*(COUNTIFS(T_TTAFStock[RM_Code],$A63,T_TTAFStock[WeekIndex],100)&gt;0)&gt;0,SUMIFS(T_SelfStock[Self_Qty],T_SelfStock[RM_Code],$A63,T_SelfStock[WeekIndex],100)+SUMIFS(T_TTAFStock[TTAF_Qty],T_TTAFStock[RM_Code],$A63,T_TTAFStock[WeekIndex],100),CV63+'Grid_Incoming'!CW63-'Grid_Requirement'!CW63))</f>
        <v/>
      </c>
      <c r="CX63">
        <f>IF(COUNTIFS(T_StockCount[RM_Code],$A63,T_StockCount[WeekIndex],101)&gt;0,SUMIFS(T_StockCount[CountedQty],T_StockCount[RM_Code],$A63,T_StockCount[WeekIndex],101),IF((COUNTIFS(T_SelfStock[RM_Code],$A63,T_SelfStock[WeekIndex],101)&gt;0)*(COUNTIFS(T_TTAFStock[RM_Code],$A63,T_TTAFStock[WeekIndex],101)&gt;0)&gt;0,SUMIFS(T_SelfStock[Self_Qty],T_SelfStock[RM_Code],$A63,T_SelfStock[WeekIndex],101)+SUMIFS(T_TTAFStock[TTAF_Qty],T_TTAFStock[RM_Code],$A63,T_TTAFStock[WeekIndex],101),CW63+'Grid_Incoming'!CX63-'Grid_Requirement'!CX63))</f>
        <v/>
      </c>
      <c r="CY63">
        <f>IF(COUNTIFS(T_StockCount[RM_Code],$A63,T_StockCount[WeekIndex],102)&gt;0,SUMIFS(T_StockCount[CountedQty],T_StockCount[RM_Code],$A63,T_StockCount[WeekIndex],102),IF((COUNTIFS(T_SelfStock[RM_Code],$A63,T_SelfStock[WeekIndex],102)&gt;0)*(COUNTIFS(T_TTAFStock[RM_Code],$A63,T_TTAFStock[WeekIndex],102)&gt;0)&gt;0,SUMIFS(T_SelfStock[Self_Qty],T_SelfStock[RM_Code],$A63,T_SelfStock[WeekIndex],102)+SUMIFS(T_TTAFStock[TTAF_Qty],T_TTAFStock[RM_Code],$A63,T_TTAFStock[WeekIndex],102),CX63+'Grid_Incoming'!CY63-'Grid_Requirement'!CY63))</f>
        <v/>
      </c>
      <c r="CZ63">
        <f>IF(COUNTIFS(T_StockCount[RM_Code],$A63,T_StockCount[WeekIndex],103)&gt;0,SUMIFS(T_StockCount[CountedQty],T_StockCount[RM_Code],$A63,T_StockCount[WeekIndex],103),IF((COUNTIFS(T_SelfStock[RM_Code],$A63,T_SelfStock[WeekIndex],103)&gt;0)*(COUNTIFS(T_TTAFStock[RM_Code],$A63,T_TTAFStock[WeekIndex],103)&gt;0)&gt;0,SUMIFS(T_SelfStock[Self_Qty],T_SelfStock[RM_Code],$A63,T_SelfStock[WeekIndex],103)+SUMIFS(T_TTAFStock[TTAF_Qty],T_TTAFStock[RM_Code],$A63,T_TTAFStock[WeekIndex],103),CY63+'Grid_Incoming'!CZ63-'Grid_Requirement'!CZ63))</f>
        <v/>
      </c>
      <c r="DA63">
        <f>IF(COUNTIFS(T_StockCount[RM_Code],$A63,T_StockCount[WeekIndex],104)&gt;0,SUMIFS(T_StockCount[CountedQty],T_StockCount[RM_Code],$A63,T_StockCount[WeekIndex],104),IF((COUNTIFS(T_SelfStock[RM_Code],$A63,T_SelfStock[WeekIndex],104)&gt;0)*(COUNTIFS(T_TTAFStock[RM_Code],$A63,T_TTAFStock[WeekIndex],104)&gt;0)&gt;0,SUMIFS(T_SelfStock[Self_Qty],T_SelfStock[RM_Code],$A63,T_SelfStock[WeekIndex],104)+SUMIFS(T_TTAFStock[TTAF_Qty],T_TTAFStock[RM_Code],$A63,T_TTAFStock[WeekIndex],104),CZ63+'Grid_Incoming'!DA63-'Grid_Requirement'!DA63))</f>
        <v/>
      </c>
    </row>
    <row r="64">
      <c r="A64" t="inlineStr">
        <is>
          <t>5SN</t>
        </is>
      </c>
      <c r="B64">
        <f>IF(COUNTIFS(T_StockCount[RM_Code],$A64,T_StockCount[WeekIndex],1)&gt;0,SUMIFS(T_StockCount[CountedQty],T_StockCount[RM_Code],$A64,T_StockCount[WeekIndex],1),IF((COUNTIFS(T_SelfStock[RM_Code],$A64,T_SelfStock[WeekIndex],1)&gt;0)*(COUNTIFS(T_TTAFStock[RM_Code],$A64,T_TTAFStock[WeekIndex],1)&gt;0)&gt;0,SUMIFS(T_SelfStock[Self_Qty],T_SelfStock[RM_Code],$A64,T_SelfStock[WeekIndex],1)+SUMIFS(T_TTAFStock[TTAF_Qty],T_TTAFStock[RM_Code],$A64,T_TTAFStock[WeekIndex],1),IFERROR(INDEX(T_OpeningStock[Opening_Qty],MATCH($A64,T_OpeningStock[RM_Code],0)),0)+'Grid_Incoming'!B64-'Grid_Requirement'!B64))</f>
        <v/>
      </c>
      <c r="C64">
        <f>IF(COUNTIFS(T_StockCount[RM_Code],$A64,T_StockCount[WeekIndex],2)&gt;0,SUMIFS(T_StockCount[CountedQty],T_StockCount[RM_Code],$A64,T_StockCount[WeekIndex],2),IF((COUNTIFS(T_SelfStock[RM_Code],$A64,T_SelfStock[WeekIndex],2)&gt;0)*(COUNTIFS(T_TTAFStock[RM_Code],$A64,T_TTAFStock[WeekIndex],2)&gt;0)&gt;0,SUMIFS(T_SelfStock[Self_Qty],T_SelfStock[RM_Code],$A64,T_SelfStock[WeekIndex],2)+SUMIFS(T_TTAFStock[TTAF_Qty],T_TTAFStock[RM_Code],$A64,T_TTAFStock[WeekIndex],2),B64+'Grid_Incoming'!C64-'Grid_Requirement'!C64))</f>
        <v/>
      </c>
      <c r="D64">
        <f>IF(COUNTIFS(T_StockCount[RM_Code],$A64,T_StockCount[WeekIndex],3)&gt;0,SUMIFS(T_StockCount[CountedQty],T_StockCount[RM_Code],$A64,T_StockCount[WeekIndex],3),IF((COUNTIFS(T_SelfStock[RM_Code],$A64,T_SelfStock[WeekIndex],3)&gt;0)*(COUNTIFS(T_TTAFStock[RM_Code],$A64,T_TTAFStock[WeekIndex],3)&gt;0)&gt;0,SUMIFS(T_SelfStock[Self_Qty],T_SelfStock[RM_Code],$A64,T_SelfStock[WeekIndex],3)+SUMIFS(T_TTAFStock[TTAF_Qty],T_TTAFStock[RM_Code],$A64,T_TTAFStock[WeekIndex],3),C64+'Grid_Incoming'!D64-'Grid_Requirement'!D64))</f>
        <v/>
      </c>
      <c r="E64">
        <f>IF(COUNTIFS(T_StockCount[RM_Code],$A64,T_StockCount[WeekIndex],4)&gt;0,SUMIFS(T_StockCount[CountedQty],T_StockCount[RM_Code],$A64,T_StockCount[WeekIndex],4),IF((COUNTIFS(T_SelfStock[RM_Code],$A64,T_SelfStock[WeekIndex],4)&gt;0)*(COUNTIFS(T_TTAFStock[RM_Code],$A64,T_TTAFStock[WeekIndex],4)&gt;0)&gt;0,SUMIFS(T_SelfStock[Self_Qty],T_SelfStock[RM_Code],$A64,T_SelfStock[WeekIndex],4)+SUMIFS(T_TTAFStock[TTAF_Qty],T_TTAFStock[RM_Code],$A64,T_TTAFStock[WeekIndex],4),D64+'Grid_Incoming'!E64-'Grid_Requirement'!E64))</f>
        <v/>
      </c>
      <c r="F64">
        <f>IF(COUNTIFS(T_StockCount[RM_Code],$A64,T_StockCount[WeekIndex],5)&gt;0,SUMIFS(T_StockCount[CountedQty],T_StockCount[RM_Code],$A64,T_StockCount[WeekIndex],5),IF((COUNTIFS(T_SelfStock[RM_Code],$A64,T_SelfStock[WeekIndex],5)&gt;0)*(COUNTIFS(T_TTAFStock[RM_Code],$A64,T_TTAFStock[WeekIndex],5)&gt;0)&gt;0,SUMIFS(T_SelfStock[Self_Qty],T_SelfStock[RM_Code],$A64,T_SelfStock[WeekIndex],5)+SUMIFS(T_TTAFStock[TTAF_Qty],T_TTAFStock[RM_Code],$A64,T_TTAFStock[WeekIndex],5),E64+'Grid_Incoming'!F64-'Grid_Requirement'!F64))</f>
        <v/>
      </c>
      <c r="G64">
        <f>IF(COUNTIFS(T_StockCount[RM_Code],$A64,T_StockCount[WeekIndex],6)&gt;0,SUMIFS(T_StockCount[CountedQty],T_StockCount[RM_Code],$A64,T_StockCount[WeekIndex],6),IF((COUNTIFS(T_SelfStock[RM_Code],$A64,T_SelfStock[WeekIndex],6)&gt;0)*(COUNTIFS(T_TTAFStock[RM_Code],$A64,T_TTAFStock[WeekIndex],6)&gt;0)&gt;0,SUMIFS(T_SelfStock[Self_Qty],T_SelfStock[RM_Code],$A64,T_SelfStock[WeekIndex],6)+SUMIFS(T_TTAFStock[TTAF_Qty],T_TTAFStock[RM_Code],$A64,T_TTAFStock[WeekIndex],6),F64+'Grid_Incoming'!G64-'Grid_Requirement'!G64))</f>
        <v/>
      </c>
      <c r="H64">
        <f>IF(COUNTIFS(T_StockCount[RM_Code],$A64,T_StockCount[WeekIndex],7)&gt;0,SUMIFS(T_StockCount[CountedQty],T_StockCount[RM_Code],$A64,T_StockCount[WeekIndex],7),IF((COUNTIFS(T_SelfStock[RM_Code],$A64,T_SelfStock[WeekIndex],7)&gt;0)*(COUNTIFS(T_TTAFStock[RM_Code],$A64,T_TTAFStock[WeekIndex],7)&gt;0)&gt;0,SUMIFS(T_SelfStock[Self_Qty],T_SelfStock[RM_Code],$A64,T_SelfStock[WeekIndex],7)+SUMIFS(T_TTAFStock[TTAF_Qty],T_TTAFStock[RM_Code],$A64,T_TTAFStock[WeekIndex],7),G64+'Grid_Incoming'!H64-'Grid_Requirement'!H64))</f>
        <v/>
      </c>
      <c r="I64">
        <f>IF(COUNTIFS(T_StockCount[RM_Code],$A64,T_StockCount[WeekIndex],8)&gt;0,SUMIFS(T_StockCount[CountedQty],T_StockCount[RM_Code],$A64,T_StockCount[WeekIndex],8),IF((COUNTIFS(T_SelfStock[RM_Code],$A64,T_SelfStock[WeekIndex],8)&gt;0)*(COUNTIFS(T_TTAFStock[RM_Code],$A64,T_TTAFStock[WeekIndex],8)&gt;0)&gt;0,SUMIFS(T_SelfStock[Self_Qty],T_SelfStock[RM_Code],$A64,T_SelfStock[WeekIndex],8)+SUMIFS(T_TTAFStock[TTAF_Qty],T_TTAFStock[RM_Code],$A64,T_TTAFStock[WeekIndex],8),H64+'Grid_Incoming'!I64-'Grid_Requirement'!I64))</f>
        <v/>
      </c>
      <c r="J64">
        <f>IF(COUNTIFS(T_StockCount[RM_Code],$A64,T_StockCount[WeekIndex],9)&gt;0,SUMIFS(T_StockCount[CountedQty],T_StockCount[RM_Code],$A64,T_StockCount[WeekIndex],9),IF((COUNTIFS(T_SelfStock[RM_Code],$A64,T_SelfStock[WeekIndex],9)&gt;0)*(COUNTIFS(T_TTAFStock[RM_Code],$A64,T_TTAFStock[WeekIndex],9)&gt;0)&gt;0,SUMIFS(T_SelfStock[Self_Qty],T_SelfStock[RM_Code],$A64,T_SelfStock[WeekIndex],9)+SUMIFS(T_TTAFStock[TTAF_Qty],T_TTAFStock[RM_Code],$A64,T_TTAFStock[WeekIndex],9),I64+'Grid_Incoming'!J64-'Grid_Requirement'!J64))</f>
        <v/>
      </c>
      <c r="K64">
        <f>IF(COUNTIFS(T_StockCount[RM_Code],$A64,T_StockCount[WeekIndex],10)&gt;0,SUMIFS(T_StockCount[CountedQty],T_StockCount[RM_Code],$A64,T_StockCount[WeekIndex],10),IF((COUNTIFS(T_SelfStock[RM_Code],$A64,T_SelfStock[WeekIndex],10)&gt;0)*(COUNTIFS(T_TTAFStock[RM_Code],$A64,T_TTAFStock[WeekIndex],10)&gt;0)&gt;0,SUMIFS(T_SelfStock[Self_Qty],T_SelfStock[RM_Code],$A64,T_SelfStock[WeekIndex],10)+SUMIFS(T_TTAFStock[TTAF_Qty],T_TTAFStock[RM_Code],$A64,T_TTAFStock[WeekIndex],10),J64+'Grid_Incoming'!K64-'Grid_Requirement'!K64))</f>
        <v/>
      </c>
      <c r="L64">
        <f>IF(COUNTIFS(T_StockCount[RM_Code],$A64,T_StockCount[WeekIndex],11)&gt;0,SUMIFS(T_StockCount[CountedQty],T_StockCount[RM_Code],$A64,T_StockCount[WeekIndex],11),IF((COUNTIFS(T_SelfStock[RM_Code],$A64,T_SelfStock[WeekIndex],11)&gt;0)*(COUNTIFS(T_TTAFStock[RM_Code],$A64,T_TTAFStock[WeekIndex],11)&gt;0)&gt;0,SUMIFS(T_SelfStock[Self_Qty],T_SelfStock[RM_Code],$A64,T_SelfStock[WeekIndex],11)+SUMIFS(T_TTAFStock[TTAF_Qty],T_TTAFStock[RM_Code],$A64,T_TTAFStock[WeekIndex],11),K64+'Grid_Incoming'!L64-'Grid_Requirement'!L64))</f>
        <v/>
      </c>
      <c r="M64">
        <f>IF(COUNTIFS(T_StockCount[RM_Code],$A64,T_StockCount[WeekIndex],12)&gt;0,SUMIFS(T_StockCount[CountedQty],T_StockCount[RM_Code],$A64,T_StockCount[WeekIndex],12),IF((COUNTIFS(T_SelfStock[RM_Code],$A64,T_SelfStock[WeekIndex],12)&gt;0)*(COUNTIFS(T_TTAFStock[RM_Code],$A64,T_TTAFStock[WeekIndex],12)&gt;0)&gt;0,SUMIFS(T_SelfStock[Self_Qty],T_SelfStock[RM_Code],$A64,T_SelfStock[WeekIndex],12)+SUMIFS(T_TTAFStock[TTAF_Qty],T_TTAFStock[RM_Code],$A64,T_TTAFStock[WeekIndex],12),L64+'Grid_Incoming'!M64-'Grid_Requirement'!M64))</f>
        <v/>
      </c>
      <c r="N64">
        <f>IF(COUNTIFS(T_StockCount[RM_Code],$A64,T_StockCount[WeekIndex],13)&gt;0,SUMIFS(T_StockCount[CountedQty],T_StockCount[RM_Code],$A64,T_StockCount[WeekIndex],13),IF((COUNTIFS(T_SelfStock[RM_Code],$A64,T_SelfStock[WeekIndex],13)&gt;0)*(COUNTIFS(T_TTAFStock[RM_Code],$A64,T_TTAFStock[WeekIndex],13)&gt;0)&gt;0,SUMIFS(T_SelfStock[Self_Qty],T_SelfStock[RM_Code],$A64,T_SelfStock[WeekIndex],13)+SUMIFS(T_TTAFStock[TTAF_Qty],T_TTAFStock[RM_Code],$A64,T_TTAFStock[WeekIndex],13),M64+'Grid_Incoming'!N64-'Grid_Requirement'!N64))</f>
        <v/>
      </c>
      <c r="O64">
        <f>IF(COUNTIFS(T_StockCount[RM_Code],$A64,T_StockCount[WeekIndex],14)&gt;0,SUMIFS(T_StockCount[CountedQty],T_StockCount[RM_Code],$A64,T_StockCount[WeekIndex],14),IF((COUNTIFS(T_SelfStock[RM_Code],$A64,T_SelfStock[WeekIndex],14)&gt;0)*(COUNTIFS(T_TTAFStock[RM_Code],$A64,T_TTAFStock[WeekIndex],14)&gt;0)&gt;0,SUMIFS(T_SelfStock[Self_Qty],T_SelfStock[RM_Code],$A64,T_SelfStock[WeekIndex],14)+SUMIFS(T_TTAFStock[TTAF_Qty],T_TTAFStock[RM_Code],$A64,T_TTAFStock[WeekIndex],14),N64+'Grid_Incoming'!O64-'Grid_Requirement'!O64))</f>
        <v/>
      </c>
      <c r="P64">
        <f>IF(COUNTIFS(T_StockCount[RM_Code],$A64,T_StockCount[WeekIndex],15)&gt;0,SUMIFS(T_StockCount[CountedQty],T_StockCount[RM_Code],$A64,T_StockCount[WeekIndex],15),IF((COUNTIFS(T_SelfStock[RM_Code],$A64,T_SelfStock[WeekIndex],15)&gt;0)*(COUNTIFS(T_TTAFStock[RM_Code],$A64,T_TTAFStock[WeekIndex],15)&gt;0)&gt;0,SUMIFS(T_SelfStock[Self_Qty],T_SelfStock[RM_Code],$A64,T_SelfStock[WeekIndex],15)+SUMIFS(T_TTAFStock[TTAF_Qty],T_TTAFStock[RM_Code],$A64,T_TTAFStock[WeekIndex],15),O64+'Grid_Incoming'!P64-'Grid_Requirement'!P64))</f>
        <v/>
      </c>
      <c r="Q64">
        <f>IF(COUNTIFS(T_StockCount[RM_Code],$A64,T_StockCount[WeekIndex],16)&gt;0,SUMIFS(T_StockCount[CountedQty],T_StockCount[RM_Code],$A64,T_StockCount[WeekIndex],16),IF((COUNTIFS(T_SelfStock[RM_Code],$A64,T_SelfStock[WeekIndex],16)&gt;0)*(COUNTIFS(T_TTAFStock[RM_Code],$A64,T_TTAFStock[WeekIndex],16)&gt;0)&gt;0,SUMIFS(T_SelfStock[Self_Qty],T_SelfStock[RM_Code],$A64,T_SelfStock[WeekIndex],16)+SUMIFS(T_TTAFStock[TTAF_Qty],T_TTAFStock[RM_Code],$A64,T_TTAFStock[WeekIndex],16),P64+'Grid_Incoming'!Q64-'Grid_Requirement'!Q64))</f>
        <v/>
      </c>
      <c r="R64">
        <f>IF(COUNTIFS(T_StockCount[RM_Code],$A64,T_StockCount[WeekIndex],17)&gt;0,SUMIFS(T_StockCount[CountedQty],T_StockCount[RM_Code],$A64,T_StockCount[WeekIndex],17),IF((COUNTIFS(T_SelfStock[RM_Code],$A64,T_SelfStock[WeekIndex],17)&gt;0)*(COUNTIFS(T_TTAFStock[RM_Code],$A64,T_TTAFStock[WeekIndex],17)&gt;0)&gt;0,SUMIFS(T_SelfStock[Self_Qty],T_SelfStock[RM_Code],$A64,T_SelfStock[WeekIndex],17)+SUMIFS(T_TTAFStock[TTAF_Qty],T_TTAFStock[RM_Code],$A64,T_TTAFStock[WeekIndex],17),Q64+'Grid_Incoming'!R64-'Grid_Requirement'!R64))</f>
        <v/>
      </c>
      <c r="S64">
        <f>IF(COUNTIFS(T_StockCount[RM_Code],$A64,T_StockCount[WeekIndex],18)&gt;0,SUMIFS(T_StockCount[CountedQty],T_StockCount[RM_Code],$A64,T_StockCount[WeekIndex],18),IF((COUNTIFS(T_SelfStock[RM_Code],$A64,T_SelfStock[WeekIndex],18)&gt;0)*(COUNTIFS(T_TTAFStock[RM_Code],$A64,T_TTAFStock[WeekIndex],18)&gt;0)&gt;0,SUMIFS(T_SelfStock[Self_Qty],T_SelfStock[RM_Code],$A64,T_SelfStock[WeekIndex],18)+SUMIFS(T_TTAFStock[TTAF_Qty],T_TTAFStock[RM_Code],$A64,T_TTAFStock[WeekIndex],18),R64+'Grid_Incoming'!S64-'Grid_Requirement'!S64))</f>
        <v/>
      </c>
      <c r="T64">
        <f>IF(COUNTIFS(T_StockCount[RM_Code],$A64,T_StockCount[WeekIndex],19)&gt;0,SUMIFS(T_StockCount[CountedQty],T_StockCount[RM_Code],$A64,T_StockCount[WeekIndex],19),IF((COUNTIFS(T_SelfStock[RM_Code],$A64,T_SelfStock[WeekIndex],19)&gt;0)*(COUNTIFS(T_TTAFStock[RM_Code],$A64,T_TTAFStock[WeekIndex],19)&gt;0)&gt;0,SUMIFS(T_SelfStock[Self_Qty],T_SelfStock[RM_Code],$A64,T_SelfStock[WeekIndex],19)+SUMIFS(T_TTAFStock[TTAF_Qty],T_TTAFStock[RM_Code],$A64,T_TTAFStock[WeekIndex],19),S64+'Grid_Incoming'!T64-'Grid_Requirement'!T64))</f>
        <v/>
      </c>
      <c r="U64">
        <f>IF(COUNTIFS(T_StockCount[RM_Code],$A64,T_StockCount[WeekIndex],20)&gt;0,SUMIFS(T_StockCount[CountedQty],T_StockCount[RM_Code],$A64,T_StockCount[WeekIndex],20),IF((COUNTIFS(T_SelfStock[RM_Code],$A64,T_SelfStock[WeekIndex],20)&gt;0)*(COUNTIFS(T_TTAFStock[RM_Code],$A64,T_TTAFStock[WeekIndex],20)&gt;0)&gt;0,SUMIFS(T_SelfStock[Self_Qty],T_SelfStock[RM_Code],$A64,T_SelfStock[WeekIndex],20)+SUMIFS(T_TTAFStock[TTAF_Qty],T_TTAFStock[RM_Code],$A64,T_TTAFStock[WeekIndex],20),T64+'Grid_Incoming'!U64-'Grid_Requirement'!U64))</f>
        <v/>
      </c>
      <c r="V64">
        <f>IF(COUNTIFS(T_StockCount[RM_Code],$A64,T_StockCount[WeekIndex],21)&gt;0,SUMIFS(T_StockCount[CountedQty],T_StockCount[RM_Code],$A64,T_StockCount[WeekIndex],21),IF((COUNTIFS(T_SelfStock[RM_Code],$A64,T_SelfStock[WeekIndex],21)&gt;0)*(COUNTIFS(T_TTAFStock[RM_Code],$A64,T_TTAFStock[WeekIndex],21)&gt;0)&gt;0,SUMIFS(T_SelfStock[Self_Qty],T_SelfStock[RM_Code],$A64,T_SelfStock[WeekIndex],21)+SUMIFS(T_TTAFStock[TTAF_Qty],T_TTAFStock[RM_Code],$A64,T_TTAFStock[WeekIndex],21),U64+'Grid_Incoming'!V64-'Grid_Requirement'!V64))</f>
        <v/>
      </c>
      <c r="W64">
        <f>IF(COUNTIFS(T_StockCount[RM_Code],$A64,T_StockCount[WeekIndex],22)&gt;0,SUMIFS(T_StockCount[CountedQty],T_StockCount[RM_Code],$A64,T_StockCount[WeekIndex],22),IF((COUNTIFS(T_SelfStock[RM_Code],$A64,T_SelfStock[WeekIndex],22)&gt;0)*(COUNTIFS(T_TTAFStock[RM_Code],$A64,T_TTAFStock[WeekIndex],22)&gt;0)&gt;0,SUMIFS(T_SelfStock[Self_Qty],T_SelfStock[RM_Code],$A64,T_SelfStock[WeekIndex],22)+SUMIFS(T_TTAFStock[TTAF_Qty],T_TTAFStock[RM_Code],$A64,T_TTAFStock[WeekIndex],22),V64+'Grid_Incoming'!W64-'Grid_Requirement'!W64))</f>
        <v/>
      </c>
      <c r="X64">
        <f>IF(COUNTIFS(T_StockCount[RM_Code],$A64,T_StockCount[WeekIndex],23)&gt;0,SUMIFS(T_StockCount[CountedQty],T_StockCount[RM_Code],$A64,T_StockCount[WeekIndex],23),IF((COUNTIFS(T_SelfStock[RM_Code],$A64,T_SelfStock[WeekIndex],23)&gt;0)*(COUNTIFS(T_TTAFStock[RM_Code],$A64,T_TTAFStock[WeekIndex],23)&gt;0)&gt;0,SUMIFS(T_SelfStock[Self_Qty],T_SelfStock[RM_Code],$A64,T_SelfStock[WeekIndex],23)+SUMIFS(T_TTAFStock[TTAF_Qty],T_TTAFStock[RM_Code],$A64,T_TTAFStock[WeekIndex],23),W64+'Grid_Incoming'!X64-'Grid_Requirement'!X64))</f>
        <v/>
      </c>
      <c r="Y64">
        <f>IF(COUNTIFS(T_StockCount[RM_Code],$A64,T_StockCount[WeekIndex],24)&gt;0,SUMIFS(T_StockCount[CountedQty],T_StockCount[RM_Code],$A64,T_StockCount[WeekIndex],24),IF((COUNTIFS(T_SelfStock[RM_Code],$A64,T_SelfStock[WeekIndex],24)&gt;0)*(COUNTIFS(T_TTAFStock[RM_Code],$A64,T_TTAFStock[WeekIndex],24)&gt;0)&gt;0,SUMIFS(T_SelfStock[Self_Qty],T_SelfStock[RM_Code],$A64,T_SelfStock[WeekIndex],24)+SUMIFS(T_TTAFStock[TTAF_Qty],T_TTAFStock[RM_Code],$A64,T_TTAFStock[WeekIndex],24),X64+'Grid_Incoming'!Y64-'Grid_Requirement'!Y64))</f>
        <v/>
      </c>
      <c r="Z64">
        <f>IF(COUNTIFS(T_StockCount[RM_Code],$A64,T_StockCount[WeekIndex],25)&gt;0,SUMIFS(T_StockCount[CountedQty],T_StockCount[RM_Code],$A64,T_StockCount[WeekIndex],25),IF((COUNTIFS(T_SelfStock[RM_Code],$A64,T_SelfStock[WeekIndex],25)&gt;0)*(COUNTIFS(T_TTAFStock[RM_Code],$A64,T_TTAFStock[WeekIndex],25)&gt;0)&gt;0,SUMIFS(T_SelfStock[Self_Qty],T_SelfStock[RM_Code],$A64,T_SelfStock[WeekIndex],25)+SUMIFS(T_TTAFStock[TTAF_Qty],T_TTAFStock[RM_Code],$A64,T_TTAFStock[WeekIndex],25),Y64+'Grid_Incoming'!Z64-'Grid_Requirement'!Z64))</f>
        <v/>
      </c>
      <c r="AA64">
        <f>IF(COUNTIFS(T_StockCount[RM_Code],$A64,T_StockCount[WeekIndex],26)&gt;0,SUMIFS(T_StockCount[CountedQty],T_StockCount[RM_Code],$A64,T_StockCount[WeekIndex],26),IF((COUNTIFS(T_SelfStock[RM_Code],$A64,T_SelfStock[WeekIndex],26)&gt;0)*(COUNTIFS(T_TTAFStock[RM_Code],$A64,T_TTAFStock[WeekIndex],26)&gt;0)&gt;0,SUMIFS(T_SelfStock[Self_Qty],T_SelfStock[RM_Code],$A64,T_SelfStock[WeekIndex],26)+SUMIFS(T_TTAFStock[TTAF_Qty],T_TTAFStock[RM_Code],$A64,T_TTAFStock[WeekIndex],26),Z64+'Grid_Incoming'!AA64-'Grid_Requirement'!AA64))</f>
        <v/>
      </c>
      <c r="AB64">
        <f>IF(COUNTIFS(T_StockCount[RM_Code],$A64,T_StockCount[WeekIndex],27)&gt;0,SUMIFS(T_StockCount[CountedQty],T_StockCount[RM_Code],$A64,T_StockCount[WeekIndex],27),IF((COUNTIFS(T_SelfStock[RM_Code],$A64,T_SelfStock[WeekIndex],27)&gt;0)*(COUNTIFS(T_TTAFStock[RM_Code],$A64,T_TTAFStock[WeekIndex],27)&gt;0)&gt;0,SUMIFS(T_SelfStock[Self_Qty],T_SelfStock[RM_Code],$A64,T_SelfStock[WeekIndex],27)+SUMIFS(T_TTAFStock[TTAF_Qty],T_TTAFStock[RM_Code],$A64,T_TTAFStock[WeekIndex],27),AA64+'Grid_Incoming'!AB64-'Grid_Requirement'!AB64))</f>
        <v/>
      </c>
      <c r="AC64">
        <f>IF(COUNTIFS(T_StockCount[RM_Code],$A64,T_StockCount[WeekIndex],28)&gt;0,SUMIFS(T_StockCount[CountedQty],T_StockCount[RM_Code],$A64,T_StockCount[WeekIndex],28),IF((COUNTIFS(T_SelfStock[RM_Code],$A64,T_SelfStock[WeekIndex],28)&gt;0)*(COUNTIFS(T_TTAFStock[RM_Code],$A64,T_TTAFStock[WeekIndex],28)&gt;0)&gt;0,SUMIFS(T_SelfStock[Self_Qty],T_SelfStock[RM_Code],$A64,T_SelfStock[WeekIndex],28)+SUMIFS(T_TTAFStock[TTAF_Qty],T_TTAFStock[RM_Code],$A64,T_TTAFStock[WeekIndex],28),AB64+'Grid_Incoming'!AC64-'Grid_Requirement'!AC64))</f>
        <v/>
      </c>
      <c r="AD64">
        <f>IF(COUNTIFS(T_StockCount[RM_Code],$A64,T_StockCount[WeekIndex],29)&gt;0,SUMIFS(T_StockCount[CountedQty],T_StockCount[RM_Code],$A64,T_StockCount[WeekIndex],29),IF((COUNTIFS(T_SelfStock[RM_Code],$A64,T_SelfStock[WeekIndex],29)&gt;0)*(COUNTIFS(T_TTAFStock[RM_Code],$A64,T_TTAFStock[WeekIndex],29)&gt;0)&gt;0,SUMIFS(T_SelfStock[Self_Qty],T_SelfStock[RM_Code],$A64,T_SelfStock[WeekIndex],29)+SUMIFS(T_TTAFStock[TTAF_Qty],T_TTAFStock[RM_Code],$A64,T_TTAFStock[WeekIndex],29),AC64+'Grid_Incoming'!AD64-'Grid_Requirement'!AD64))</f>
        <v/>
      </c>
      <c r="AE64">
        <f>IF(COUNTIFS(T_StockCount[RM_Code],$A64,T_StockCount[WeekIndex],30)&gt;0,SUMIFS(T_StockCount[CountedQty],T_StockCount[RM_Code],$A64,T_StockCount[WeekIndex],30),IF((COUNTIFS(T_SelfStock[RM_Code],$A64,T_SelfStock[WeekIndex],30)&gt;0)*(COUNTIFS(T_TTAFStock[RM_Code],$A64,T_TTAFStock[WeekIndex],30)&gt;0)&gt;0,SUMIFS(T_SelfStock[Self_Qty],T_SelfStock[RM_Code],$A64,T_SelfStock[WeekIndex],30)+SUMIFS(T_TTAFStock[TTAF_Qty],T_TTAFStock[RM_Code],$A64,T_TTAFStock[WeekIndex],30),AD64+'Grid_Incoming'!AE64-'Grid_Requirement'!AE64))</f>
        <v/>
      </c>
      <c r="AF64">
        <f>IF(COUNTIFS(T_StockCount[RM_Code],$A64,T_StockCount[WeekIndex],31)&gt;0,SUMIFS(T_StockCount[CountedQty],T_StockCount[RM_Code],$A64,T_StockCount[WeekIndex],31),IF((COUNTIFS(T_SelfStock[RM_Code],$A64,T_SelfStock[WeekIndex],31)&gt;0)*(COUNTIFS(T_TTAFStock[RM_Code],$A64,T_TTAFStock[WeekIndex],31)&gt;0)&gt;0,SUMIFS(T_SelfStock[Self_Qty],T_SelfStock[RM_Code],$A64,T_SelfStock[WeekIndex],31)+SUMIFS(T_TTAFStock[TTAF_Qty],T_TTAFStock[RM_Code],$A64,T_TTAFStock[WeekIndex],31),AE64+'Grid_Incoming'!AF64-'Grid_Requirement'!AF64))</f>
        <v/>
      </c>
      <c r="AG64">
        <f>IF(COUNTIFS(T_StockCount[RM_Code],$A64,T_StockCount[WeekIndex],32)&gt;0,SUMIFS(T_StockCount[CountedQty],T_StockCount[RM_Code],$A64,T_StockCount[WeekIndex],32),IF((COUNTIFS(T_SelfStock[RM_Code],$A64,T_SelfStock[WeekIndex],32)&gt;0)*(COUNTIFS(T_TTAFStock[RM_Code],$A64,T_TTAFStock[WeekIndex],32)&gt;0)&gt;0,SUMIFS(T_SelfStock[Self_Qty],T_SelfStock[RM_Code],$A64,T_SelfStock[WeekIndex],32)+SUMIFS(T_TTAFStock[TTAF_Qty],T_TTAFStock[RM_Code],$A64,T_TTAFStock[WeekIndex],32),AF64+'Grid_Incoming'!AG64-'Grid_Requirement'!AG64))</f>
        <v/>
      </c>
      <c r="AH64">
        <f>IF(COUNTIFS(T_StockCount[RM_Code],$A64,T_StockCount[WeekIndex],33)&gt;0,SUMIFS(T_StockCount[CountedQty],T_StockCount[RM_Code],$A64,T_StockCount[WeekIndex],33),IF((COUNTIFS(T_SelfStock[RM_Code],$A64,T_SelfStock[WeekIndex],33)&gt;0)*(COUNTIFS(T_TTAFStock[RM_Code],$A64,T_TTAFStock[WeekIndex],33)&gt;0)&gt;0,SUMIFS(T_SelfStock[Self_Qty],T_SelfStock[RM_Code],$A64,T_SelfStock[WeekIndex],33)+SUMIFS(T_TTAFStock[TTAF_Qty],T_TTAFStock[RM_Code],$A64,T_TTAFStock[WeekIndex],33),AG64+'Grid_Incoming'!AH64-'Grid_Requirement'!AH64))</f>
        <v/>
      </c>
      <c r="AI64">
        <f>IF(COUNTIFS(T_StockCount[RM_Code],$A64,T_StockCount[WeekIndex],34)&gt;0,SUMIFS(T_StockCount[CountedQty],T_StockCount[RM_Code],$A64,T_StockCount[WeekIndex],34),IF((COUNTIFS(T_SelfStock[RM_Code],$A64,T_SelfStock[WeekIndex],34)&gt;0)*(COUNTIFS(T_TTAFStock[RM_Code],$A64,T_TTAFStock[WeekIndex],34)&gt;0)&gt;0,SUMIFS(T_SelfStock[Self_Qty],T_SelfStock[RM_Code],$A64,T_SelfStock[WeekIndex],34)+SUMIFS(T_TTAFStock[TTAF_Qty],T_TTAFStock[RM_Code],$A64,T_TTAFStock[WeekIndex],34),AH64+'Grid_Incoming'!AI64-'Grid_Requirement'!AI64))</f>
        <v/>
      </c>
      <c r="AJ64">
        <f>IF(COUNTIFS(T_StockCount[RM_Code],$A64,T_StockCount[WeekIndex],35)&gt;0,SUMIFS(T_StockCount[CountedQty],T_StockCount[RM_Code],$A64,T_StockCount[WeekIndex],35),IF((COUNTIFS(T_SelfStock[RM_Code],$A64,T_SelfStock[WeekIndex],35)&gt;0)*(COUNTIFS(T_TTAFStock[RM_Code],$A64,T_TTAFStock[WeekIndex],35)&gt;0)&gt;0,SUMIFS(T_SelfStock[Self_Qty],T_SelfStock[RM_Code],$A64,T_SelfStock[WeekIndex],35)+SUMIFS(T_TTAFStock[TTAF_Qty],T_TTAFStock[RM_Code],$A64,T_TTAFStock[WeekIndex],35),AI64+'Grid_Incoming'!AJ64-'Grid_Requirement'!AJ64))</f>
        <v/>
      </c>
      <c r="AK64">
        <f>IF(COUNTIFS(T_StockCount[RM_Code],$A64,T_StockCount[WeekIndex],36)&gt;0,SUMIFS(T_StockCount[CountedQty],T_StockCount[RM_Code],$A64,T_StockCount[WeekIndex],36),IF((COUNTIFS(T_SelfStock[RM_Code],$A64,T_SelfStock[WeekIndex],36)&gt;0)*(COUNTIFS(T_TTAFStock[RM_Code],$A64,T_TTAFStock[WeekIndex],36)&gt;0)&gt;0,SUMIFS(T_SelfStock[Self_Qty],T_SelfStock[RM_Code],$A64,T_SelfStock[WeekIndex],36)+SUMIFS(T_TTAFStock[TTAF_Qty],T_TTAFStock[RM_Code],$A64,T_TTAFStock[WeekIndex],36),AJ64+'Grid_Incoming'!AK64-'Grid_Requirement'!AK64))</f>
        <v/>
      </c>
      <c r="AL64">
        <f>IF(COUNTIFS(T_StockCount[RM_Code],$A64,T_StockCount[WeekIndex],37)&gt;0,SUMIFS(T_StockCount[CountedQty],T_StockCount[RM_Code],$A64,T_StockCount[WeekIndex],37),IF((COUNTIFS(T_SelfStock[RM_Code],$A64,T_SelfStock[WeekIndex],37)&gt;0)*(COUNTIFS(T_TTAFStock[RM_Code],$A64,T_TTAFStock[WeekIndex],37)&gt;0)&gt;0,SUMIFS(T_SelfStock[Self_Qty],T_SelfStock[RM_Code],$A64,T_SelfStock[WeekIndex],37)+SUMIFS(T_TTAFStock[TTAF_Qty],T_TTAFStock[RM_Code],$A64,T_TTAFStock[WeekIndex],37),AK64+'Grid_Incoming'!AL64-'Grid_Requirement'!AL64))</f>
        <v/>
      </c>
      <c r="AM64">
        <f>IF(COUNTIFS(T_StockCount[RM_Code],$A64,T_StockCount[WeekIndex],38)&gt;0,SUMIFS(T_StockCount[CountedQty],T_StockCount[RM_Code],$A64,T_StockCount[WeekIndex],38),IF((COUNTIFS(T_SelfStock[RM_Code],$A64,T_SelfStock[WeekIndex],38)&gt;0)*(COUNTIFS(T_TTAFStock[RM_Code],$A64,T_TTAFStock[WeekIndex],38)&gt;0)&gt;0,SUMIFS(T_SelfStock[Self_Qty],T_SelfStock[RM_Code],$A64,T_SelfStock[WeekIndex],38)+SUMIFS(T_TTAFStock[TTAF_Qty],T_TTAFStock[RM_Code],$A64,T_TTAFStock[WeekIndex],38),AL64+'Grid_Incoming'!AM64-'Grid_Requirement'!AM64))</f>
        <v/>
      </c>
      <c r="AN64">
        <f>IF(COUNTIFS(T_StockCount[RM_Code],$A64,T_StockCount[WeekIndex],39)&gt;0,SUMIFS(T_StockCount[CountedQty],T_StockCount[RM_Code],$A64,T_StockCount[WeekIndex],39),IF((COUNTIFS(T_SelfStock[RM_Code],$A64,T_SelfStock[WeekIndex],39)&gt;0)*(COUNTIFS(T_TTAFStock[RM_Code],$A64,T_TTAFStock[WeekIndex],39)&gt;0)&gt;0,SUMIFS(T_SelfStock[Self_Qty],T_SelfStock[RM_Code],$A64,T_SelfStock[WeekIndex],39)+SUMIFS(T_TTAFStock[TTAF_Qty],T_TTAFStock[RM_Code],$A64,T_TTAFStock[WeekIndex],39),AM64+'Grid_Incoming'!AN64-'Grid_Requirement'!AN64))</f>
        <v/>
      </c>
      <c r="AO64">
        <f>IF(COUNTIFS(T_StockCount[RM_Code],$A64,T_StockCount[WeekIndex],40)&gt;0,SUMIFS(T_StockCount[CountedQty],T_StockCount[RM_Code],$A64,T_StockCount[WeekIndex],40),IF((COUNTIFS(T_SelfStock[RM_Code],$A64,T_SelfStock[WeekIndex],40)&gt;0)*(COUNTIFS(T_TTAFStock[RM_Code],$A64,T_TTAFStock[WeekIndex],40)&gt;0)&gt;0,SUMIFS(T_SelfStock[Self_Qty],T_SelfStock[RM_Code],$A64,T_SelfStock[WeekIndex],40)+SUMIFS(T_TTAFStock[TTAF_Qty],T_TTAFStock[RM_Code],$A64,T_TTAFStock[WeekIndex],40),AN64+'Grid_Incoming'!AO64-'Grid_Requirement'!AO64))</f>
        <v/>
      </c>
      <c r="AP64">
        <f>IF(COUNTIFS(T_StockCount[RM_Code],$A64,T_StockCount[WeekIndex],41)&gt;0,SUMIFS(T_StockCount[CountedQty],T_StockCount[RM_Code],$A64,T_StockCount[WeekIndex],41),IF((COUNTIFS(T_SelfStock[RM_Code],$A64,T_SelfStock[WeekIndex],41)&gt;0)*(COUNTIFS(T_TTAFStock[RM_Code],$A64,T_TTAFStock[WeekIndex],41)&gt;0)&gt;0,SUMIFS(T_SelfStock[Self_Qty],T_SelfStock[RM_Code],$A64,T_SelfStock[WeekIndex],41)+SUMIFS(T_TTAFStock[TTAF_Qty],T_TTAFStock[RM_Code],$A64,T_TTAFStock[WeekIndex],41),AO64+'Grid_Incoming'!AP64-'Grid_Requirement'!AP64))</f>
        <v/>
      </c>
      <c r="AQ64">
        <f>IF(COUNTIFS(T_StockCount[RM_Code],$A64,T_StockCount[WeekIndex],42)&gt;0,SUMIFS(T_StockCount[CountedQty],T_StockCount[RM_Code],$A64,T_StockCount[WeekIndex],42),IF((COUNTIFS(T_SelfStock[RM_Code],$A64,T_SelfStock[WeekIndex],42)&gt;0)*(COUNTIFS(T_TTAFStock[RM_Code],$A64,T_TTAFStock[WeekIndex],42)&gt;0)&gt;0,SUMIFS(T_SelfStock[Self_Qty],T_SelfStock[RM_Code],$A64,T_SelfStock[WeekIndex],42)+SUMIFS(T_TTAFStock[TTAF_Qty],T_TTAFStock[RM_Code],$A64,T_TTAFStock[WeekIndex],42),AP64+'Grid_Incoming'!AQ64-'Grid_Requirement'!AQ64))</f>
        <v/>
      </c>
      <c r="AR64">
        <f>IF(COUNTIFS(T_StockCount[RM_Code],$A64,T_StockCount[WeekIndex],43)&gt;0,SUMIFS(T_StockCount[CountedQty],T_StockCount[RM_Code],$A64,T_StockCount[WeekIndex],43),IF((COUNTIFS(T_SelfStock[RM_Code],$A64,T_SelfStock[WeekIndex],43)&gt;0)*(COUNTIFS(T_TTAFStock[RM_Code],$A64,T_TTAFStock[WeekIndex],43)&gt;0)&gt;0,SUMIFS(T_SelfStock[Self_Qty],T_SelfStock[RM_Code],$A64,T_SelfStock[WeekIndex],43)+SUMIFS(T_TTAFStock[TTAF_Qty],T_TTAFStock[RM_Code],$A64,T_TTAFStock[WeekIndex],43),AQ64+'Grid_Incoming'!AR64-'Grid_Requirement'!AR64))</f>
        <v/>
      </c>
      <c r="AS64">
        <f>IF(COUNTIFS(T_StockCount[RM_Code],$A64,T_StockCount[WeekIndex],44)&gt;0,SUMIFS(T_StockCount[CountedQty],T_StockCount[RM_Code],$A64,T_StockCount[WeekIndex],44),IF((COUNTIFS(T_SelfStock[RM_Code],$A64,T_SelfStock[WeekIndex],44)&gt;0)*(COUNTIFS(T_TTAFStock[RM_Code],$A64,T_TTAFStock[WeekIndex],44)&gt;0)&gt;0,SUMIFS(T_SelfStock[Self_Qty],T_SelfStock[RM_Code],$A64,T_SelfStock[WeekIndex],44)+SUMIFS(T_TTAFStock[TTAF_Qty],T_TTAFStock[RM_Code],$A64,T_TTAFStock[WeekIndex],44),AR64+'Grid_Incoming'!AS64-'Grid_Requirement'!AS64))</f>
        <v/>
      </c>
      <c r="AT64">
        <f>IF(COUNTIFS(T_StockCount[RM_Code],$A64,T_StockCount[WeekIndex],45)&gt;0,SUMIFS(T_StockCount[CountedQty],T_StockCount[RM_Code],$A64,T_StockCount[WeekIndex],45),IF((COUNTIFS(T_SelfStock[RM_Code],$A64,T_SelfStock[WeekIndex],45)&gt;0)*(COUNTIFS(T_TTAFStock[RM_Code],$A64,T_TTAFStock[WeekIndex],45)&gt;0)&gt;0,SUMIFS(T_SelfStock[Self_Qty],T_SelfStock[RM_Code],$A64,T_SelfStock[WeekIndex],45)+SUMIFS(T_TTAFStock[TTAF_Qty],T_TTAFStock[RM_Code],$A64,T_TTAFStock[WeekIndex],45),AS64+'Grid_Incoming'!AT64-'Grid_Requirement'!AT64))</f>
        <v/>
      </c>
      <c r="AU64">
        <f>IF(COUNTIFS(T_StockCount[RM_Code],$A64,T_StockCount[WeekIndex],46)&gt;0,SUMIFS(T_StockCount[CountedQty],T_StockCount[RM_Code],$A64,T_StockCount[WeekIndex],46),IF((COUNTIFS(T_SelfStock[RM_Code],$A64,T_SelfStock[WeekIndex],46)&gt;0)*(COUNTIFS(T_TTAFStock[RM_Code],$A64,T_TTAFStock[WeekIndex],46)&gt;0)&gt;0,SUMIFS(T_SelfStock[Self_Qty],T_SelfStock[RM_Code],$A64,T_SelfStock[WeekIndex],46)+SUMIFS(T_TTAFStock[TTAF_Qty],T_TTAFStock[RM_Code],$A64,T_TTAFStock[WeekIndex],46),AT64+'Grid_Incoming'!AU64-'Grid_Requirement'!AU64))</f>
        <v/>
      </c>
      <c r="AV64">
        <f>IF(COUNTIFS(T_StockCount[RM_Code],$A64,T_StockCount[WeekIndex],47)&gt;0,SUMIFS(T_StockCount[CountedQty],T_StockCount[RM_Code],$A64,T_StockCount[WeekIndex],47),IF((COUNTIFS(T_SelfStock[RM_Code],$A64,T_SelfStock[WeekIndex],47)&gt;0)*(COUNTIFS(T_TTAFStock[RM_Code],$A64,T_TTAFStock[WeekIndex],47)&gt;0)&gt;0,SUMIFS(T_SelfStock[Self_Qty],T_SelfStock[RM_Code],$A64,T_SelfStock[WeekIndex],47)+SUMIFS(T_TTAFStock[TTAF_Qty],T_TTAFStock[RM_Code],$A64,T_TTAFStock[WeekIndex],47),AU64+'Grid_Incoming'!AV64-'Grid_Requirement'!AV64))</f>
        <v/>
      </c>
      <c r="AW64">
        <f>IF(COUNTIFS(T_StockCount[RM_Code],$A64,T_StockCount[WeekIndex],48)&gt;0,SUMIFS(T_StockCount[CountedQty],T_StockCount[RM_Code],$A64,T_StockCount[WeekIndex],48),IF((COUNTIFS(T_SelfStock[RM_Code],$A64,T_SelfStock[WeekIndex],48)&gt;0)*(COUNTIFS(T_TTAFStock[RM_Code],$A64,T_TTAFStock[WeekIndex],48)&gt;0)&gt;0,SUMIFS(T_SelfStock[Self_Qty],T_SelfStock[RM_Code],$A64,T_SelfStock[WeekIndex],48)+SUMIFS(T_TTAFStock[TTAF_Qty],T_TTAFStock[RM_Code],$A64,T_TTAFStock[WeekIndex],48),AV64+'Grid_Incoming'!AW64-'Grid_Requirement'!AW64))</f>
        <v/>
      </c>
      <c r="AX64">
        <f>IF(COUNTIFS(T_StockCount[RM_Code],$A64,T_StockCount[WeekIndex],49)&gt;0,SUMIFS(T_StockCount[CountedQty],T_StockCount[RM_Code],$A64,T_StockCount[WeekIndex],49),IF((COUNTIFS(T_SelfStock[RM_Code],$A64,T_SelfStock[WeekIndex],49)&gt;0)*(COUNTIFS(T_TTAFStock[RM_Code],$A64,T_TTAFStock[WeekIndex],49)&gt;0)&gt;0,SUMIFS(T_SelfStock[Self_Qty],T_SelfStock[RM_Code],$A64,T_SelfStock[WeekIndex],49)+SUMIFS(T_TTAFStock[TTAF_Qty],T_TTAFStock[RM_Code],$A64,T_TTAFStock[WeekIndex],49),AW64+'Grid_Incoming'!AX64-'Grid_Requirement'!AX64))</f>
        <v/>
      </c>
      <c r="AY64">
        <f>IF(COUNTIFS(T_StockCount[RM_Code],$A64,T_StockCount[WeekIndex],50)&gt;0,SUMIFS(T_StockCount[CountedQty],T_StockCount[RM_Code],$A64,T_StockCount[WeekIndex],50),IF((COUNTIFS(T_SelfStock[RM_Code],$A64,T_SelfStock[WeekIndex],50)&gt;0)*(COUNTIFS(T_TTAFStock[RM_Code],$A64,T_TTAFStock[WeekIndex],50)&gt;0)&gt;0,SUMIFS(T_SelfStock[Self_Qty],T_SelfStock[RM_Code],$A64,T_SelfStock[WeekIndex],50)+SUMIFS(T_TTAFStock[TTAF_Qty],T_TTAFStock[RM_Code],$A64,T_TTAFStock[WeekIndex],50),AX64+'Grid_Incoming'!AY64-'Grid_Requirement'!AY64))</f>
        <v/>
      </c>
      <c r="AZ64">
        <f>IF(COUNTIFS(T_StockCount[RM_Code],$A64,T_StockCount[WeekIndex],51)&gt;0,SUMIFS(T_StockCount[CountedQty],T_StockCount[RM_Code],$A64,T_StockCount[WeekIndex],51),IF((COUNTIFS(T_SelfStock[RM_Code],$A64,T_SelfStock[WeekIndex],51)&gt;0)*(COUNTIFS(T_TTAFStock[RM_Code],$A64,T_TTAFStock[WeekIndex],51)&gt;0)&gt;0,SUMIFS(T_SelfStock[Self_Qty],T_SelfStock[RM_Code],$A64,T_SelfStock[WeekIndex],51)+SUMIFS(T_TTAFStock[TTAF_Qty],T_TTAFStock[RM_Code],$A64,T_TTAFStock[WeekIndex],51),AY64+'Grid_Incoming'!AZ64-'Grid_Requirement'!AZ64))</f>
        <v/>
      </c>
      <c r="BA64">
        <f>IF(COUNTIFS(T_StockCount[RM_Code],$A64,T_StockCount[WeekIndex],52)&gt;0,SUMIFS(T_StockCount[CountedQty],T_StockCount[RM_Code],$A64,T_StockCount[WeekIndex],52),IF((COUNTIFS(T_SelfStock[RM_Code],$A64,T_SelfStock[WeekIndex],52)&gt;0)*(COUNTIFS(T_TTAFStock[RM_Code],$A64,T_TTAFStock[WeekIndex],52)&gt;0)&gt;0,SUMIFS(T_SelfStock[Self_Qty],T_SelfStock[RM_Code],$A64,T_SelfStock[WeekIndex],52)+SUMIFS(T_TTAFStock[TTAF_Qty],T_TTAFStock[RM_Code],$A64,T_TTAFStock[WeekIndex],52),AZ64+'Grid_Incoming'!BA64-'Grid_Requirement'!BA64))</f>
        <v/>
      </c>
      <c r="BB64">
        <f>IF(COUNTIFS(T_StockCount[RM_Code],$A64,T_StockCount[WeekIndex],53)&gt;0,SUMIFS(T_StockCount[CountedQty],T_StockCount[RM_Code],$A64,T_StockCount[WeekIndex],53),IF((COUNTIFS(T_SelfStock[RM_Code],$A64,T_SelfStock[WeekIndex],53)&gt;0)*(COUNTIFS(T_TTAFStock[RM_Code],$A64,T_TTAFStock[WeekIndex],53)&gt;0)&gt;0,SUMIFS(T_SelfStock[Self_Qty],T_SelfStock[RM_Code],$A64,T_SelfStock[WeekIndex],53)+SUMIFS(T_TTAFStock[TTAF_Qty],T_TTAFStock[RM_Code],$A64,T_TTAFStock[WeekIndex],53),BA64+'Grid_Incoming'!BB64-'Grid_Requirement'!BB64))</f>
        <v/>
      </c>
      <c r="BC64">
        <f>IF(COUNTIFS(T_StockCount[RM_Code],$A64,T_StockCount[WeekIndex],54)&gt;0,SUMIFS(T_StockCount[CountedQty],T_StockCount[RM_Code],$A64,T_StockCount[WeekIndex],54),IF((COUNTIFS(T_SelfStock[RM_Code],$A64,T_SelfStock[WeekIndex],54)&gt;0)*(COUNTIFS(T_TTAFStock[RM_Code],$A64,T_TTAFStock[WeekIndex],54)&gt;0)&gt;0,SUMIFS(T_SelfStock[Self_Qty],T_SelfStock[RM_Code],$A64,T_SelfStock[WeekIndex],54)+SUMIFS(T_TTAFStock[TTAF_Qty],T_TTAFStock[RM_Code],$A64,T_TTAFStock[WeekIndex],54),BB64+'Grid_Incoming'!BC64-'Grid_Requirement'!BC64))</f>
        <v/>
      </c>
      <c r="BD64">
        <f>IF(COUNTIFS(T_StockCount[RM_Code],$A64,T_StockCount[WeekIndex],55)&gt;0,SUMIFS(T_StockCount[CountedQty],T_StockCount[RM_Code],$A64,T_StockCount[WeekIndex],55),IF((COUNTIFS(T_SelfStock[RM_Code],$A64,T_SelfStock[WeekIndex],55)&gt;0)*(COUNTIFS(T_TTAFStock[RM_Code],$A64,T_TTAFStock[WeekIndex],55)&gt;0)&gt;0,SUMIFS(T_SelfStock[Self_Qty],T_SelfStock[RM_Code],$A64,T_SelfStock[WeekIndex],55)+SUMIFS(T_TTAFStock[TTAF_Qty],T_TTAFStock[RM_Code],$A64,T_TTAFStock[WeekIndex],55),BC64+'Grid_Incoming'!BD64-'Grid_Requirement'!BD64))</f>
        <v/>
      </c>
      <c r="BE64">
        <f>IF(COUNTIFS(T_StockCount[RM_Code],$A64,T_StockCount[WeekIndex],56)&gt;0,SUMIFS(T_StockCount[CountedQty],T_StockCount[RM_Code],$A64,T_StockCount[WeekIndex],56),IF((COUNTIFS(T_SelfStock[RM_Code],$A64,T_SelfStock[WeekIndex],56)&gt;0)*(COUNTIFS(T_TTAFStock[RM_Code],$A64,T_TTAFStock[WeekIndex],56)&gt;0)&gt;0,SUMIFS(T_SelfStock[Self_Qty],T_SelfStock[RM_Code],$A64,T_SelfStock[WeekIndex],56)+SUMIFS(T_TTAFStock[TTAF_Qty],T_TTAFStock[RM_Code],$A64,T_TTAFStock[WeekIndex],56),BD64+'Grid_Incoming'!BE64-'Grid_Requirement'!BE64))</f>
        <v/>
      </c>
      <c r="BF64">
        <f>IF(COUNTIFS(T_StockCount[RM_Code],$A64,T_StockCount[WeekIndex],57)&gt;0,SUMIFS(T_StockCount[CountedQty],T_StockCount[RM_Code],$A64,T_StockCount[WeekIndex],57),IF((COUNTIFS(T_SelfStock[RM_Code],$A64,T_SelfStock[WeekIndex],57)&gt;0)*(COUNTIFS(T_TTAFStock[RM_Code],$A64,T_TTAFStock[WeekIndex],57)&gt;0)&gt;0,SUMIFS(T_SelfStock[Self_Qty],T_SelfStock[RM_Code],$A64,T_SelfStock[WeekIndex],57)+SUMIFS(T_TTAFStock[TTAF_Qty],T_TTAFStock[RM_Code],$A64,T_TTAFStock[WeekIndex],57),BE64+'Grid_Incoming'!BF64-'Grid_Requirement'!BF64))</f>
        <v/>
      </c>
      <c r="BG64">
        <f>IF(COUNTIFS(T_StockCount[RM_Code],$A64,T_StockCount[WeekIndex],58)&gt;0,SUMIFS(T_StockCount[CountedQty],T_StockCount[RM_Code],$A64,T_StockCount[WeekIndex],58),IF((COUNTIFS(T_SelfStock[RM_Code],$A64,T_SelfStock[WeekIndex],58)&gt;0)*(COUNTIFS(T_TTAFStock[RM_Code],$A64,T_TTAFStock[WeekIndex],58)&gt;0)&gt;0,SUMIFS(T_SelfStock[Self_Qty],T_SelfStock[RM_Code],$A64,T_SelfStock[WeekIndex],58)+SUMIFS(T_TTAFStock[TTAF_Qty],T_TTAFStock[RM_Code],$A64,T_TTAFStock[WeekIndex],58),BF64+'Grid_Incoming'!BG64-'Grid_Requirement'!BG64))</f>
        <v/>
      </c>
      <c r="BH64">
        <f>IF(COUNTIFS(T_StockCount[RM_Code],$A64,T_StockCount[WeekIndex],59)&gt;0,SUMIFS(T_StockCount[CountedQty],T_StockCount[RM_Code],$A64,T_StockCount[WeekIndex],59),IF((COUNTIFS(T_SelfStock[RM_Code],$A64,T_SelfStock[WeekIndex],59)&gt;0)*(COUNTIFS(T_TTAFStock[RM_Code],$A64,T_TTAFStock[WeekIndex],59)&gt;0)&gt;0,SUMIFS(T_SelfStock[Self_Qty],T_SelfStock[RM_Code],$A64,T_SelfStock[WeekIndex],59)+SUMIFS(T_TTAFStock[TTAF_Qty],T_TTAFStock[RM_Code],$A64,T_TTAFStock[WeekIndex],59),BG64+'Grid_Incoming'!BH64-'Grid_Requirement'!BH64))</f>
        <v/>
      </c>
      <c r="BI64">
        <f>IF(COUNTIFS(T_StockCount[RM_Code],$A64,T_StockCount[WeekIndex],60)&gt;0,SUMIFS(T_StockCount[CountedQty],T_StockCount[RM_Code],$A64,T_StockCount[WeekIndex],60),IF((COUNTIFS(T_SelfStock[RM_Code],$A64,T_SelfStock[WeekIndex],60)&gt;0)*(COUNTIFS(T_TTAFStock[RM_Code],$A64,T_TTAFStock[WeekIndex],60)&gt;0)&gt;0,SUMIFS(T_SelfStock[Self_Qty],T_SelfStock[RM_Code],$A64,T_SelfStock[WeekIndex],60)+SUMIFS(T_TTAFStock[TTAF_Qty],T_TTAFStock[RM_Code],$A64,T_TTAFStock[WeekIndex],60),BH64+'Grid_Incoming'!BI64-'Grid_Requirement'!BI64))</f>
        <v/>
      </c>
      <c r="BJ64">
        <f>IF(COUNTIFS(T_StockCount[RM_Code],$A64,T_StockCount[WeekIndex],61)&gt;0,SUMIFS(T_StockCount[CountedQty],T_StockCount[RM_Code],$A64,T_StockCount[WeekIndex],61),IF((COUNTIFS(T_SelfStock[RM_Code],$A64,T_SelfStock[WeekIndex],61)&gt;0)*(COUNTIFS(T_TTAFStock[RM_Code],$A64,T_TTAFStock[WeekIndex],61)&gt;0)&gt;0,SUMIFS(T_SelfStock[Self_Qty],T_SelfStock[RM_Code],$A64,T_SelfStock[WeekIndex],61)+SUMIFS(T_TTAFStock[TTAF_Qty],T_TTAFStock[RM_Code],$A64,T_TTAFStock[WeekIndex],61),BI64+'Grid_Incoming'!BJ64-'Grid_Requirement'!BJ64))</f>
        <v/>
      </c>
      <c r="BK64">
        <f>IF(COUNTIFS(T_StockCount[RM_Code],$A64,T_StockCount[WeekIndex],62)&gt;0,SUMIFS(T_StockCount[CountedQty],T_StockCount[RM_Code],$A64,T_StockCount[WeekIndex],62),IF((COUNTIFS(T_SelfStock[RM_Code],$A64,T_SelfStock[WeekIndex],62)&gt;0)*(COUNTIFS(T_TTAFStock[RM_Code],$A64,T_TTAFStock[WeekIndex],62)&gt;0)&gt;0,SUMIFS(T_SelfStock[Self_Qty],T_SelfStock[RM_Code],$A64,T_SelfStock[WeekIndex],62)+SUMIFS(T_TTAFStock[TTAF_Qty],T_TTAFStock[RM_Code],$A64,T_TTAFStock[WeekIndex],62),BJ64+'Grid_Incoming'!BK64-'Grid_Requirement'!BK64))</f>
        <v/>
      </c>
      <c r="BL64">
        <f>IF(COUNTIFS(T_StockCount[RM_Code],$A64,T_StockCount[WeekIndex],63)&gt;0,SUMIFS(T_StockCount[CountedQty],T_StockCount[RM_Code],$A64,T_StockCount[WeekIndex],63),IF((COUNTIFS(T_SelfStock[RM_Code],$A64,T_SelfStock[WeekIndex],63)&gt;0)*(COUNTIFS(T_TTAFStock[RM_Code],$A64,T_TTAFStock[WeekIndex],63)&gt;0)&gt;0,SUMIFS(T_SelfStock[Self_Qty],T_SelfStock[RM_Code],$A64,T_SelfStock[WeekIndex],63)+SUMIFS(T_TTAFStock[TTAF_Qty],T_TTAFStock[RM_Code],$A64,T_TTAFStock[WeekIndex],63),BK64+'Grid_Incoming'!BL64-'Grid_Requirement'!BL64))</f>
        <v/>
      </c>
      <c r="BM64">
        <f>IF(COUNTIFS(T_StockCount[RM_Code],$A64,T_StockCount[WeekIndex],64)&gt;0,SUMIFS(T_StockCount[CountedQty],T_StockCount[RM_Code],$A64,T_StockCount[WeekIndex],64),IF((COUNTIFS(T_SelfStock[RM_Code],$A64,T_SelfStock[WeekIndex],64)&gt;0)*(COUNTIFS(T_TTAFStock[RM_Code],$A64,T_TTAFStock[WeekIndex],64)&gt;0)&gt;0,SUMIFS(T_SelfStock[Self_Qty],T_SelfStock[RM_Code],$A64,T_SelfStock[WeekIndex],64)+SUMIFS(T_TTAFStock[TTAF_Qty],T_TTAFStock[RM_Code],$A64,T_TTAFStock[WeekIndex],64),BL64+'Grid_Incoming'!BM64-'Grid_Requirement'!BM64))</f>
        <v/>
      </c>
      <c r="BN64">
        <f>IF(COUNTIFS(T_StockCount[RM_Code],$A64,T_StockCount[WeekIndex],65)&gt;0,SUMIFS(T_StockCount[CountedQty],T_StockCount[RM_Code],$A64,T_StockCount[WeekIndex],65),IF((COUNTIFS(T_SelfStock[RM_Code],$A64,T_SelfStock[WeekIndex],65)&gt;0)*(COUNTIFS(T_TTAFStock[RM_Code],$A64,T_TTAFStock[WeekIndex],65)&gt;0)&gt;0,SUMIFS(T_SelfStock[Self_Qty],T_SelfStock[RM_Code],$A64,T_SelfStock[WeekIndex],65)+SUMIFS(T_TTAFStock[TTAF_Qty],T_TTAFStock[RM_Code],$A64,T_TTAFStock[WeekIndex],65),BM64+'Grid_Incoming'!BN64-'Grid_Requirement'!BN64))</f>
        <v/>
      </c>
      <c r="BO64">
        <f>IF(COUNTIFS(T_StockCount[RM_Code],$A64,T_StockCount[WeekIndex],66)&gt;0,SUMIFS(T_StockCount[CountedQty],T_StockCount[RM_Code],$A64,T_StockCount[WeekIndex],66),IF((COUNTIFS(T_SelfStock[RM_Code],$A64,T_SelfStock[WeekIndex],66)&gt;0)*(COUNTIFS(T_TTAFStock[RM_Code],$A64,T_TTAFStock[WeekIndex],66)&gt;0)&gt;0,SUMIFS(T_SelfStock[Self_Qty],T_SelfStock[RM_Code],$A64,T_SelfStock[WeekIndex],66)+SUMIFS(T_TTAFStock[TTAF_Qty],T_TTAFStock[RM_Code],$A64,T_TTAFStock[WeekIndex],66),BN64+'Grid_Incoming'!BO64-'Grid_Requirement'!BO64))</f>
        <v/>
      </c>
      <c r="BP64">
        <f>IF(COUNTIFS(T_StockCount[RM_Code],$A64,T_StockCount[WeekIndex],67)&gt;0,SUMIFS(T_StockCount[CountedQty],T_StockCount[RM_Code],$A64,T_StockCount[WeekIndex],67),IF((COUNTIFS(T_SelfStock[RM_Code],$A64,T_SelfStock[WeekIndex],67)&gt;0)*(COUNTIFS(T_TTAFStock[RM_Code],$A64,T_TTAFStock[WeekIndex],67)&gt;0)&gt;0,SUMIFS(T_SelfStock[Self_Qty],T_SelfStock[RM_Code],$A64,T_SelfStock[WeekIndex],67)+SUMIFS(T_TTAFStock[TTAF_Qty],T_TTAFStock[RM_Code],$A64,T_TTAFStock[WeekIndex],67),BO64+'Grid_Incoming'!BP64-'Grid_Requirement'!BP64))</f>
        <v/>
      </c>
      <c r="BQ64">
        <f>IF(COUNTIFS(T_StockCount[RM_Code],$A64,T_StockCount[WeekIndex],68)&gt;0,SUMIFS(T_StockCount[CountedQty],T_StockCount[RM_Code],$A64,T_StockCount[WeekIndex],68),IF((COUNTIFS(T_SelfStock[RM_Code],$A64,T_SelfStock[WeekIndex],68)&gt;0)*(COUNTIFS(T_TTAFStock[RM_Code],$A64,T_TTAFStock[WeekIndex],68)&gt;0)&gt;0,SUMIFS(T_SelfStock[Self_Qty],T_SelfStock[RM_Code],$A64,T_SelfStock[WeekIndex],68)+SUMIFS(T_TTAFStock[TTAF_Qty],T_TTAFStock[RM_Code],$A64,T_TTAFStock[WeekIndex],68),BP64+'Grid_Incoming'!BQ64-'Grid_Requirement'!BQ64))</f>
        <v/>
      </c>
      <c r="BR64">
        <f>IF(COUNTIFS(T_StockCount[RM_Code],$A64,T_StockCount[WeekIndex],69)&gt;0,SUMIFS(T_StockCount[CountedQty],T_StockCount[RM_Code],$A64,T_StockCount[WeekIndex],69),IF((COUNTIFS(T_SelfStock[RM_Code],$A64,T_SelfStock[WeekIndex],69)&gt;0)*(COUNTIFS(T_TTAFStock[RM_Code],$A64,T_TTAFStock[WeekIndex],69)&gt;0)&gt;0,SUMIFS(T_SelfStock[Self_Qty],T_SelfStock[RM_Code],$A64,T_SelfStock[WeekIndex],69)+SUMIFS(T_TTAFStock[TTAF_Qty],T_TTAFStock[RM_Code],$A64,T_TTAFStock[WeekIndex],69),BQ64+'Grid_Incoming'!BR64-'Grid_Requirement'!BR64))</f>
        <v/>
      </c>
      <c r="BS64">
        <f>IF(COUNTIFS(T_StockCount[RM_Code],$A64,T_StockCount[WeekIndex],70)&gt;0,SUMIFS(T_StockCount[CountedQty],T_StockCount[RM_Code],$A64,T_StockCount[WeekIndex],70),IF((COUNTIFS(T_SelfStock[RM_Code],$A64,T_SelfStock[WeekIndex],70)&gt;0)*(COUNTIFS(T_TTAFStock[RM_Code],$A64,T_TTAFStock[WeekIndex],70)&gt;0)&gt;0,SUMIFS(T_SelfStock[Self_Qty],T_SelfStock[RM_Code],$A64,T_SelfStock[WeekIndex],70)+SUMIFS(T_TTAFStock[TTAF_Qty],T_TTAFStock[RM_Code],$A64,T_TTAFStock[WeekIndex],70),BR64+'Grid_Incoming'!BS64-'Grid_Requirement'!BS64))</f>
        <v/>
      </c>
      <c r="BT64">
        <f>IF(COUNTIFS(T_StockCount[RM_Code],$A64,T_StockCount[WeekIndex],71)&gt;0,SUMIFS(T_StockCount[CountedQty],T_StockCount[RM_Code],$A64,T_StockCount[WeekIndex],71),IF((COUNTIFS(T_SelfStock[RM_Code],$A64,T_SelfStock[WeekIndex],71)&gt;0)*(COUNTIFS(T_TTAFStock[RM_Code],$A64,T_TTAFStock[WeekIndex],71)&gt;0)&gt;0,SUMIFS(T_SelfStock[Self_Qty],T_SelfStock[RM_Code],$A64,T_SelfStock[WeekIndex],71)+SUMIFS(T_TTAFStock[TTAF_Qty],T_TTAFStock[RM_Code],$A64,T_TTAFStock[WeekIndex],71),BS64+'Grid_Incoming'!BT64-'Grid_Requirement'!BT64))</f>
        <v/>
      </c>
      <c r="BU64">
        <f>IF(COUNTIFS(T_StockCount[RM_Code],$A64,T_StockCount[WeekIndex],72)&gt;0,SUMIFS(T_StockCount[CountedQty],T_StockCount[RM_Code],$A64,T_StockCount[WeekIndex],72),IF((COUNTIFS(T_SelfStock[RM_Code],$A64,T_SelfStock[WeekIndex],72)&gt;0)*(COUNTIFS(T_TTAFStock[RM_Code],$A64,T_TTAFStock[WeekIndex],72)&gt;0)&gt;0,SUMIFS(T_SelfStock[Self_Qty],T_SelfStock[RM_Code],$A64,T_SelfStock[WeekIndex],72)+SUMIFS(T_TTAFStock[TTAF_Qty],T_TTAFStock[RM_Code],$A64,T_TTAFStock[WeekIndex],72),BT64+'Grid_Incoming'!BU64-'Grid_Requirement'!BU64))</f>
        <v/>
      </c>
      <c r="BV64">
        <f>IF(COUNTIFS(T_StockCount[RM_Code],$A64,T_StockCount[WeekIndex],73)&gt;0,SUMIFS(T_StockCount[CountedQty],T_StockCount[RM_Code],$A64,T_StockCount[WeekIndex],73),IF((COUNTIFS(T_SelfStock[RM_Code],$A64,T_SelfStock[WeekIndex],73)&gt;0)*(COUNTIFS(T_TTAFStock[RM_Code],$A64,T_TTAFStock[WeekIndex],73)&gt;0)&gt;0,SUMIFS(T_SelfStock[Self_Qty],T_SelfStock[RM_Code],$A64,T_SelfStock[WeekIndex],73)+SUMIFS(T_TTAFStock[TTAF_Qty],T_TTAFStock[RM_Code],$A64,T_TTAFStock[WeekIndex],73),BU64+'Grid_Incoming'!BV64-'Grid_Requirement'!BV64))</f>
        <v/>
      </c>
      <c r="BW64">
        <f>IF(COUNTIFS(T_StockCount[RM_Code],$A64,T_StockCount[WeekIndex],74)&gt;0,SUMIFS(T_StockCount[CountedQty],T_StockCount[RM_Code],$A64,T_StockCount[WeekIndex],74),IF((COUNTIFS(T_SelfStock[RM_Code],$A64,T_SelfStock[WeekIndex],74)&gt;0)*(COUNTIFS(T_TTAFStock[RM_Code],$A64,T_TTAFStock[WeekIndex],74)&gt;0)&gt;0,SUMIFS(T_SelfStock[Self_Qty],T_SelfStock[RM_Code],$A64,T_SelfStock[WeekIndex],74)+SUMIFS(T_TTAFStock[TTAF_Qty],T_TTAFStock[RM_Code],$A64,T_TTAFStock[WeekIndex],74),BV64+'Grid_Incoming'!BW64-'Grid_Requirement'!BW64))</f>
        <v/>
      </c>
      <c r="BX64">
        <f>IF(COUNTIFS(T_StockCount[RM_Code],$A64,T_StockCount[WeekIndex],75)&gt;0,SUMIFS(T_StockCount[CountedQty],T_StockCount[RM_Code],$A64,T_StockCount[WeekIndex],75),IF((COUNTIFS(T_SelfStock[RM_Code],$A64,T_SelfStock[WeekIndex],75)&gt;0)*(COUNTIFS(T_TTAFStock[RM_Code],$A64,T_TTAFStock[WeekIndex],75)&gt;0)&gt;0,SUMIFS(T_SelfStock[Self_Qty],T_SelfStock[RM_Code],$A64,T_SelfStock[WeekIndex],75)+SUMIFS(T_TTAFStock[TTAF_Qty],T_TTAFStock[RM_Code],$A64,T_TTAFStock[WeekIndex],75),BW64+'Grid_Incoming'!BX64-'Grid_Requirement'!BX64))</f>
        <v/>
      </c>
      <c r="BY64">
        <f>IF(COUNTIFS(T_StockCount[RM_Code],$A64,T_StockCount[WeekIndex],76)&gt;0,SUMIFS(T_StockCount[CountedQty],T_StockCount[RM_Code],$A64,T_StockCount[WeekIndex],76),IF((COUNTIFS(T_SelfStock[RM_Code],$A64,T_SelfStock[WeekIndex],76)&gt;0)*(COUNTIFS(T_TTAFStock[RM_Code],$A64,T_TTAFStock[WeekIndex],76)&gt;0)&gt;0,SUMIFS(T_SelfStock[Self_Qty],T_SelfStock[RM_Code],$A64,T_SelfStock[WeekIndex],76)+SUMIFS(T_TTAFStock[TTAF_Qty],T_TTAFStock[RM_Code],$A64,T_TTAFStock[WeekIndex],76),BX64+'Grid_Incoming'!BY64-'Grid_Requirement'!BY64))</f>
        <v/>
      </c>
      <c r="BZ64">
        <f>IF(COUNTIFS(T_StockCount[RM_Code],$A64,T_StockCount[WeekIndex],77)&gt;0,SUMIFS(T_StockCount[CountedQty],T_StockCount[RM_Code],$A64,T_StockCount[WeekIndex],77),IF((COUNTIFS(T_SelfStock[RM_Code],$A64,T_SelfStock[WeekIndex],77)&gt;0)*(COUNTIFS(T_TTAFStock[RM_Code],$A64,T_TTAFStock[WeekIndex],77)&gt;0)&gt;0,SUMIFS(T_SelfStock[Self_Qty],T_SelfStock[RM_Code],$A64,T_SelfStock[WeekIndex],77)+SUMIFS(T_TTAFStock[TTAF_Qty],T_TTAFStock[RM_Code],$A64,T_TTAFStock[WeekIndex],77),BY64+'Grid_Incoming'!BZ64-'Grid_Requirement'!BZ64))</f>
        <v/>
      </c>
      <c r="CA64">
        <f>IF(COUNTIFS(T_StockCount[RM_Code],$A64,T_StockCount[WeekIndex],78)&gt;0,SUMIFS(T_StockCount[CountedQty],T_StockCount[RM_Code],$A64,T_StockCount[WeekIndex],78),IF((COUNTIFS(T_SelfStock[RM_Code],$A64,T_SelfStock[WeekIndex],78)&gt;0)*(COUNTIFS(T_TTAFStock[RM_Code],$A64,T_TTAFStock[WeekIndex],78)&gt;0)&gt;0,SUMIFS(T_SelfStock[Self_Qty],T_SelfStock[RM_Code],$A64,T_SelfStock[WeekIndex],78)+SUMIFS(T_TTAFStock[TTAF_Qty],T_TTAFStock[RM_Code],$A64,T_TTAFStock[WeekIndex],78),BZ64+'Grid_Incoming'!CA64-'Grid_Requirement'!CA64))</f>
        <v/>
      </c>
      <c r="CB64">
        <f>IF(COUNTIFS(T_StockCount[RM_Code],$A64,T_StockCount[WeekIndex],79)&gt;0,SUMIFS(T_StockCount[CountedQty],T_StockCount[RM_Code],$A64,T_StockCount[WeekIndex],79),IF((COUNTIFS(T_SelfStock[RM_Code],$A64,T_SelfStock[WeekIndex],79)&gt;0)*(COUNTIFS(T_TTAFStock[RM_Code],$A64,T_TTAFStock[WeekIndex],79)&gt;0)&gt;0,SUMIFS(T_SelfStock[Self_Qty],T_SelfStock[RM_Code],$A64,T_SelfStock[WeekIndex],79)+SUMIFS(T_TTAFStock[TTAF_Qty],T_TTAFStock[RM_Code],$A64,T_TTAFStock[WeekIndex],79),CA64+'Grid_Incoming'!CB64-'Grid_Requirement'!CB64))</f>
        <v/>
      </c>
      <c r="CC64">
        <f>IF(COUNTIFS(T_StockCount[RM_Code],$A64,T_StockCount[WeekIndex],80)&gt;0,SUMIFS(T_StockCount[CountedQty],T_StockCount[RM_Code],$A64,T_StockCount[WeekIndex],80),IF((COUNTIFS(T_SelfStock[RM_Code],$A64,T_SelfStock[WeekIndex],80)&gt;0)*(COUNTIFS(T_TTAFStock[RM_Code],$A64,T_TTAFStock[WeekIndex],80)&gt;0)&gt;0,SUMIFS(T_SelfStock[Self_Qty],T_SelfStock[RM_Code],$A64,T_SelfStock[WeekIndex],80)+SUMIFS(T_TTAFStock[TTAF_Qty],T_TTAFStock[RM_Code],$A64,T_TTAFStock[WeekIndex],80),CB64+'Grid_Incoming'!CC64-'Grid_Requirement'!CC64))</f>
        <v/>
      </c>
      <c r="CD64">
        <f>IF(COUNTIFS(T_StockCount[RM_Code],$A64,T_StockCount[WeekIndex],81)&gt;0,SUMIFS(T_StockCount[CountedQty],T_StockCount[RM_Code],$A64,T_StockCount[WeekIndex],81),IF((COUNTIFS(T_SelfStock[RM_Code],$A64,T_SelfStock[WeekIndex],81)&gt;0)*(COUNTIFS(T_TTAFStock[RM_Code],$A64,T_TTAFStock[WeekIndex],81)&gt;0)&gt;0,SUMIFS(T_SelfStock[Self_Qty],T_SelfStock[RM_Code],$A64,T_SelfStock[WeekIndex],81)+SUMIFS(T_TTAFStock[TTAF_Qty],T_TTAFStock[RM_Code],$A64,T_TTAFStock[WeekIndex],81),CC64+'Grid_Incoming'!CD64-'Grid_Requirement'!CD64))</f>
        <v/>
      </c>
      <c r="CE64">
        <f>IF(COUNTIFS(T_StockCount[RM_Code],$A64,T_StockCount[WeekIndex],82)&gt;0,SUMIFS(T_StockCount[CountedQty],T_StockCount[RM_Code],$A64,T_StockCount[WeekIndex],82),IF((COUNTIFS(T_SelfStock[RM_Code],$A64,T_SelfStock[WeekIndex],82)&gt;0)*(COUNTIFS(T_TTAFStock[RM_Code],$A64,T_TTAFStock[WeekIndex],82)&gt;0)&gt;0,SUMIFS(T_SelfStock[Self_Qty],T_SelfStock[RM_Code],$A64,T_SelfStock[WeekIndex],82)+SUMIFS(T_TTAFStock[TTAF_Qty],T_TTAFStock[RM_Code],$A64,T_TTAFStock[WeekIndex],82),CD64+'Grid_Incoming'!CE64-'Grid_Requirement'!CE64))</f>
        <v/>
      </c>
      <c r="CF64">
        <f>IF(COUNTIFS(T_StockCount[RM_Code],$A64,T_StockCount[WeekIndex],83)&gt;0,SUMIFS(T_StockCount[CountedQty],T_StockCount[RM_Code],$A64,T_StockCount[WeekIndex],83),IF((COUNTIFS(T_SelfStock[RM_Code],$A64,T_SelfStock[WeekIndex],83)&gt;0)*(COUNTIFS(T_TTAFStock[RM_Code],$A64,T_TTAFStock[WeekIndex],83)&gt;0)&gt;0,SUMIFS(T_SelfStock[Self_Qty],T_SelfStock[RM_Code],$A64,T_SelfStock[WeekIndex],83)+SUMIFS(T_TTAFStock[TTAF_Qty],T_TTAFStock[RM_Code],$A64,T_TTAFStock[WeekIndex],83),CE64+'Grid_Incoming'!CF64-'Grid_Requirement'!CF64))</f>
        <v/>
      </c>
      <c r="CG64">
        <f>IF(COUNTIFS(T_StockCount[RM_Code],$A64,T_StockCount[WeekIndex],84)&gt;0,SUMIFS(T_StockCount[CountedQty],T_StockCount[RM_Code],$A64,T_StockCount[WeekIndex],84),IF((COUNTIFS(T_SelfStock[RM_Code],$A64,T_SelfStock[WeekIndex],84)&gt;0)*(COUNTIFS(T_TTAFStock[RM_Code],$A64,T_TTAFStock[WeekIndex],84)&gt;0)&gt;0,SUMIFS(T_SelfStock[Self_Qty],T_SelfStock[RM_Code],$A64,T_SelfStock[WeekIndex],84)+SUMIFS(T_TTAFStock[TTAF_Qty],T_TTAFStock[RM_Code],$A64,T_TTAFStock[WeekIndex],84),CF64+'Grid_Incoming'!CG64-'Grid_Requirement'!CG64))</f>
        <v/>
      </c>
      <c r="CH64">
        <f>IF(COUNTIFS(T_StockCount[RM_Code],$A64,T_StockCount[WeekIndex],85)&gt;0,SUMIFS(T_StockCount[CountedQty],T_StockCount[RM_Code],$A64,T_StockCount[WeekIndex],85),IF((COUNTIFS(T_SelfStock[RM_Code],$A64,T_SelfStock[WeekIndex],85)&gt;0)*(COUNTIFS(T_TTAFStock[RM_Code],$A64,T_TTAFStock[WeekIndex],85)&gt;0)&gt;0,SUMIFS(T_SelfStock[Self_Qty],T_SelfStock[RM_Code],$A64,T_SelfStock[WeekIndex],85)+SUMIFS(T_TTAFStock[TTAF_Qty],T_TTAFStock[RM_Code],$A64,T_TTAFStock[WeekIndex],85),CG64+'Grid_Incoming'!CH64-'Grid_Requirement'!CH64))</f>
        <v/>
      </c>
      <c r="CI64">
        <f>IF(COUNTIFS(T_StockCount[RM_Code],$A64,T_StockCount[WeekIndex],86)&gt;0,SUMIFS(T_StockCount[CountedQty],T_StockCount[RM_Code],$A64,T_StockCount[WeekIndex],86),IF((COUNTIFS(T_SelfStock[RM_Code],$A64,T_SelfStock[WeekIndex],86)&gt;0)*(COUNTIFS(T_TTAFStock[RM_Code],$A64,T_TTAFStock[WeekIndex],86)&gt;0)&gt;0,SUMIFS(T_SelfStock[Self_Qty],T_SelfStock[RM_Code],$A64,T_SelfStock[WeekIndex],86)+SUMIFS(T_TTAFStock[TTAF_Qty],T_TTAFStock[RM_Code],$A64,T_TTAFStock[WeekIndex],86),CH64+'Grid_Incoming'!CI64-'Grid_Requirement'!CI64))</f>
        <v/>
      </c>
      <c r="CJ64">
        <f>IF(COUNTIFS(T_StockCount[RM_Code],$A64,T_StockCount[WeekIndex],87)&gt;0,SUMIFS(T_StockCount[CountedQty],T_StockCount[RM_Code],$A64,T_StockCount[WeekIndex],87),IF((COUNTIFS(T_SelfStock[RM_Code],$A64,T_SelfStock[WeekIndex],87)&gt;0)*(COUNTIFS(T_TTAFStock[RM_Code],$A64,T_TTAFStock[WeekIndex],87)&gt;0)&gt;0,SUMIFS(T_SelfStock[Self_Qty],T_SelfStock[RM_Code],$A64,T_SelfStock[WeekIndex],87)+SUMIFS(T_TTAFStock[TTAF_Qty],T_TTAFStock[RM_Code],$A64,T_TTAFStock[WeekIndex],87),CI64+'Grid_Incoming'!CJ64-'Grid_Requirement'!CJ64))</f>
        <v/>
      </c>
      <c r="CK64">
        <f>IF(COUNTIFS(T_StockCount[RM_Code],$A64,T_StockCount[WeekIndex],88)&gt;0,SUMIFS(T_StockCount[CountedQty],T_StockCount[RM_Code],$A64,T_StockCount[WeekIndex],88),IF((COUNTIFS(T_SelfStock[RM_Code],$A64,T_SelfStock[WeekIndex],88)&gt;0)*(COUNTIFS(T_TTAFStock[RM_Code],$A64,T_TTAFStock[WeekIndex],88)&gt;0)&gt;0,SUMIFS(T_SelfStock[Self_Qty],T_SelfStock[RM_Code],$A64,T_SelfStock[WeekIndex],88)+SUMIFS(T_TTAFStock[TTAF_Qty],T_TTAFStock[RM_Code],$A64,T_TTAFStock[WeekIndex],88),CJ64+'Grid_Incoming'!CK64-'Grid_Requirement'!CK64))</f>
        <v/>
      </c>
      <c r="CL64">
        <f>IF(COUNTIFS(T_StockCount[RM_Code],$A64,T_StockCount[WeekIndex],89)&gt;0,SUMIFS(T_StockCount[CountedQty],T_StockCount[RM_Code],$A64,T_StockCount[WeekIndex],89),IF((COUNTIFS(T_SelfStock[RM_Code],$A64,T_SelfStock[WeekIndex],89)&gt;0)*(COUNTIFS(T_TTAFStock[RM_Code],$A64,T_TTAFStock[WeekIndex],89)&gt;0)&gt;0,SUMIFS(T_SelfStock[Self_Qty],T_SelfStock[RM_Code],$A64,T_SelfStock[WeekIndex],89)+SUMIFS(T_TTAFStock[TTAF_Qty],T_TTAFStock[RM_Code],$A64,T_TTAFStock[WeekIndex],89),CK64+'Grid_Incoming'!CL64-'Grid_Requirement'!CL64))</f>
        <v/>
      </c>
      <c r="CM64">
        <f>IF(COUNTIFS(T_StockCount[RM_Code],$A64,T_StockCount[WeekIndex],90)&gt;0,SUMIFS(T_StockCount[CountedQty],T_StockCount[RM_Code],$A64,T_StockCount[WeekIndex],90),IF((COUNTIFS(T_SelfStock[RM_Code],$A64,T_SelfStock[WeekIndex],90)&gt;0)*(COUNTIFS(T_TTAFStock[RM_Code],$A64,T_TTAFStock[WeekIndex],90)&gt;0)&gt;0,SUMIFS(T_SelfStock[Self_Qty],T_SelfStock[RM_Code],$A64,T_SelfStock[WeekIndex],90)+SUMIFS(T_TTAFStock[TTAF_Qty],T_TTAFStock[RM_Code],$A64,T_TTAFStock[WeekIndex],90),CL64+'Grid_Incoming'!CM64-'Grid_Requirement'!CM64))</f>
        <v/>
      </c>
      <c r="CN64">
        <f>IF(COUNTIFS(T_StockCount[RM_Code],$A64,T_StockCount[WeekIndex],91)&gt;0,SUMIFS(T_StockCount[CountedQty],T_StockCount[RM_Code],$A64,T_StockCount[WeekIndex],91),IF((COUNTIFS(T_SelfStock[RM_Code],$A64,T_SelfStock[WeekIndex],91)&gt;0)*(COUNTIFS(T_TTAFStock[RM_Code],$A64,T_TTAFStock[WeekIndex],91)&gt;0)&gt;0,SUMIFS(T_SelfStock[Self_Qty],T_SelfStock[RM_Code],$A64,T_SelfStock[WeekIndex],91)+SUMIFS(T_TTAFStock[TTAF_Qty],T_TTAFStock[RM_Code],$A64,T_TTAFStock[WeekIndex],91),CM64+'Grid_Incoming'!CN64-'Grid_Requirement'!CN64))</f>
        <v/>
      </c>
      <c r="CO64">
        <f>IF(COUNTIFS(T_StockCount[RM_Code],$A64,T_StockCount[WeekIndex],92)&gt;0,SUMIFS(T_StockCount[CountedQty],T_StockCount[RM_Code],$A64,T_StockCount[WeekIndex],92),IF((COUNTIFS(T_SelfStock[RM_Code],$A64,T_SelfStock[WeekIndex],92)&gt;0)*(COUNTIFS(T_TTAFStock[RM_Code],$A64,T_TTAFStock[WeekIndex],92)&gt;0)&gt;0,SUMIFS(T_SelfStock[Self_Qty],T_SelfStock[RM_Code],$A64,T_SelfStock[WeekIndex],92)+SUMIFS(T_TTAFStock[TTAF_Qty],T_TTAFStock[RM_Code],$A64,T_TTAFStock[WeekIndex],92),CN64+'Grid_Incoming'!CO64-'Grid_Requirement'!CO64))</f>
        <v/>
      </c>
      <c r="CP64">
        <f>IF(COUNTIFS(T_StockCount[RM_Code],$A64,T_StockCount[WeekIndex],93)&gt;0,SUMIFS(T_StockCount[CountedQty],T_StockCount[RM_Code],$A64,T_StockCount[WeekIndex],93),IF((COUNTIFS(T_SelfStock[RM_Code],$A64,T_SelfStock[WeekIndex],93)&gt;0)*(COUNTIFS(T_TTAFStock[RM_Code],$A64,T_TTAFStock[WeekIndex],93)&gt;0)&gt;0,SUMIFS(T_SelfStock[Self_Qty],T_SelfStock[RM_Code],$A64,T_SelfStock[WeekIndex],93)+SUMIFS(T_TTAFStock[TTAF_Qty],T_TTAFStock[RM_Code],$A64,T_TTAFStock[WeekIndex],93),CO64+'Grid_Incoming'!CP64-'Grid_Requirement'!CP64))</f>
        <v/>
      </c>
      <c r="CQ64">
        <f>IF(COUNTIFS(T_StockCount[RM_Code],$A64,T_StockCount[WeekIndex],94)&gt;0,SUMIFS(T_StockCount[CountedQty],T_StockCount[RM_Code],$A64,T_StockCount[WeekIndex],94),IF((COUNTIFS(T_SelfStock[RM_Code],$A64,T_SelfStock[WeekIndex],94)&gt;0)*(COUNTIFS(T_TTAFStock[RM_Code],$A64,T_TTAFStock[WeekIndex],94)&gt;0)&gt;0,SUMIFS(T_SelfStock[Self_Qty],T_SelfStock[RM_Code],$A64,T_SelfStock[WeekIndex],94)+SUMIFS(T_TTAFStock[TTAF_Qty],T_TTAFStock[RM_Code],$A64,T_TTAFStock[WeekIndex],94),CP64+'Grid_Incoming'!CQ64-'Grid_Requirement'!CQ64))</f>
        <v/>
      </c>
      <c r="CR64">
        <f>IF(COUNTIFS(T_StockCount[RM_Code],$A64,T_StockCount[WeekIndex],95)&gt;0,SUMIFS(T_StockCount[CountedQty],T_StockCount[RM_Code],$A64,T_StockCount[WeekIndex],95),IF((COUNTIFS(T_SelfStock[RM_Code],$A64,T_SelfStock[WeekIndex],95)&gt;0)*(COUNTIFS(T_TTAFStock[RM_Code],$A64,T_TTAFStock[WeekIndex],95)&gt;0)&gt;0,SUMIFS(T_SelfStock[Self_Qty],T_SelfStock[RM_Code],$A64,T_SelfStock[WeekIndex],95)+SUMIFS(T_TTAFStock[TTAF_Qty],T_TTAFStock[RM_Code],$A64,T_TTAFStock[WeekIndex],95),CQ64+'Grid_Incoming'!CR64-'Grid_Requirement'!CR64))</f>
        <v/>
      </c>
      <c r="CS64">
        <f>IF(COUNTIFS(T_StockCount[RM_Code],$A64,T_StockCount[WeekIndex],96)&gt;0,SUMIFS(T_StockCount[CountedQty],T_StockCount[RM_Code],$A64,T_StockCount[WeekIndex],96),IF((COUNTIFS(T_SelfStock[RM_Code],$A64,T_SelfStock[WeekIndex],96)&gt;0)*(COUNTIFS(T_TTAFStock[RM_Code],$A64,T_TTAFStock[WeekIndex],96)&gt;0)&gt;0,SUMIFS(T_SelfStock[Self_Qty],T_SelfStock[RM_Code],$A64,T_SelfStock[WeekIndex],96)+SUMIFS(T_TTAFStock[TTAF_Qty],T_TTAFStock[RM_Code],$A64,T_TTAFStock[WeekIndex],96),CR64+'Grid_Incoming'!CS64-'Grid_Requirement'!CS64))</f>
        <v/>
      </c>
      <c r="CT64">
        <f>IF(COUNTIFS(T_StockCount[RM_Code],$A64,T_StockCount[WeekIndex],97)&gt;0,SUMIFS(T_StockCount[CountedQty],T_StockCount[RM_Code],$A64,T_StockCount[WeekIndex],97),IF((COUNTIFS(T_SelfStock[RM_Code],$A64,T_SelfStock[WeekIndex],97)&gt;0)*(COUNTIFS(T_TTAFStock[RM_Code],$A64,T_TTAFStock[WeekIndex],97)&gt;0)&gt;0,SUMIFS(T_SelfStock[Self_Qty],T_SelfStock[RM_Code],$A64,T_SelfStock[WeekIndex],97)+SUMIFS(T_TTAFStock[TTAF_Qty],T_TTAFStock[RM_Code],$A64,T_TTAFStock[WeekIndex],97),CS64+'Grid_Incoming'!CT64-'Grid_Requirement'!CT64))</f>
        <v/>
      </c>
      <c r="CU64">
        <f>IF(COUNTIFS(T_StockCount[RM_Code],$A64,T_StockCount[WeekIndex],98)&gt;0,SUMIFS(T_StockCount[CountedQty],T_StockCount[RM_Code],$A64,T_StockCount[WeekIndex],98),IF((COUNTIFS(T_SelfStock[RM_Code],$A64,T_SelfStock[WeekIndex],98)&gt;0)*(COUNTIFS(T_TTAFStock[RM_Code],$A64,T_TTAFStock[WeekIndex],98)&gt;0)&gt;0,SUMIFS(T_SelfStock[Self_Qty],T_SelfStock[RM_Code],$A64,T_SelfStock[WeekIndex],98)+SUMIFS(T_TTAFStock[TTAF_Qty],T_TTAFStock[RM_Code],$A64,T_TTAFStock[WeekIndex],98),CT64+'Grid_Incoming'!CU64-'Grid_Requirement'!CU64))</f>
        <v/>
      </c>
      <c r="CV64">
        <f>IF(COUNTIFS(T_StockCount[RM_Code],$A64,T_StockCount[WeekIndex],99)&gt;0,SUMIFS(T_StockCount[CountedQty],T_StockCount[RM_Code],$A64,T_StockCount[WeekIndex],99),IF((COUNTIFS(T_SelfStock[RM_Code],$A64,T_SelfStock[WeekIndex],99)&gt;0)*(COUNTIFS(T_TTAFStock[RM_Code],$A64,T_TTAFStock[WeekIndex],99)&gt;0)&gt;0,SUMIFS(T_SelfStock[Self_Qty],T_SelfStock[RM_Code],$A64,T_SelfStock[WeekIndex],99)+SUMIFS(T_TTAFStock[TTAF_Qty],T_TTAFStock[RM_Code],$A64,T_TTAFStock[WeekIndex],99),CU64+'Grid_Incoming'!CV64-'Grid_Requirement'!CV64))</f>
        <v/>
      </c>
      <c r="CW64">
        <f>IF(COUNTIFS(T_StockCount[RM_Code],$A64,T_StockCount[WeekIndex],100)&gt;0,SUMIFS(T_StockCount[CountedQty],T_StockCount[RM_Code],$A64,T_StockCount[WeekIndex],100),IF((COUNTIFS(T_SelfStock[RM_Code],$A64,T_SelfStock[WeekIndex],100)&gt;0)*(COUNTIFS(T_TTAFStock[RM_Code],$A64,T_TTAFStock[WeekIndex],100)&gt;0)&gt;0,SUMIFS(T_SelfStock[Self_Qty],T_SelfStock[RM_Code],$A64,T_SelfStock[WeekIndex],100)+SUMIFS(T_TTAFStock[TTAF_Qty],T_TTAFStock[RM_Code],$A64,T_TTAFStock[WeekIndex],100),CV64+'Grid_Incoming'!CW64-'Grid_Requirement'!CW64))</f>
        <v/>
      </c>
      <c r="CX64">
        <f>IF(COUNTIFS(T_StockCount[RM_Code],$A64,T_StockCount[WeekIndex],101)&gt;0,SUMIFS(T_StockCount[CountedQty],T_StockCount[RM_Code],$A64,T_StockCount[WeekIndex],101),IF((COUNTIFS(T_SelfStock[RM_Code],$A64,T_SelfStock[WeekIndex],101)&gt;0)*(COUNTIFS(T_TTAFStock[RM_Code],$A64,T_TTAFStock[WeekIndex],101)&gt;0)&gt;0,SUMIFS(T_SelfStock[Self_Qty],T_SelfStock[RM_Code],$A64,T_SelfStock[WeekIndex],101)+SUMIFS(T_TTAFStock[TTAF_Qty],T_TTAFStock[RM_Code],$A64,T_TTAFStock[WeekIndex],101),CW64+'Grid_Incoming'!CX64-'Grid_Requirement'!CX64))</f>
        <v/>
      </c>
      <c r="CY64">
        <f>IF(COUNTIFS(T_StockCount[RM_Code],$A64,T_StockCount[WeekIndex],102)&gt;0,SUMIFS(T_StockCount[CountedQty],T_StockCount[RM_Code],$A64,T_StockCount[WeekIndex],102),IF((COUNTIFS(T_SelfStock[RM_Code],$A64,T_SelfStock[WeekIndex],102)&gt;0)*(COUNTIFS(T_TTAFStock[RM_Code],$A64,T_TTAFStock[WeekIndex],102)&gt;0)&gt;0,SUMIFS(T_SelfStock[Self_Qty],T_SelfStock[RM_Code],$A64,T_SelfStock[WeekIndex],102)+SUMIFS(T_TTAFStock[TTAF_Qty],T_TTAFStock[RM_Code],$A64,T_TTAFStock[WeekIndex],102),CX64+'Grid_Incoming'!CY64-'Grid_Requirement'!CY64))</f>
        <v/>
      </c>
      <c r="CZ64">
        <f>IF(COUNTIFS(T_StockCount[RM_Code],$A64,T_StockCount[WeekIndex],103)&gt;0,SUMIFS(T_StockCount[CountedQty],T_StockCount[RM_Code],$A64,T_StockCount[WeekIndex],103),IF((COUNTIFS(T_SelfStock[RM_Code],$A64,T_SelfStock[WeekIndex],103)&gt;0)*(COUNTIFS(T_TTAFStock[RM_Code],$A64,T_TTAFStock[WeekIndex],103)&gt;0)&gt;0,SUMIFS(T_SelfStock[Self_Qty],T_SelfStock[RM_Code],$A64,T_SelfStock[WeekIndex],103)+SUMIFS(T_TTAFStock[TTAF_Qty],T_TTAFStock[RM_Code],$A64,T_TTAFStock[WeekIndex],103),CY64+'Grid_Incoming'!CZ64-'Grid_Requirement'!CZ64))</f>
        <v/>
      </c>
      <c r="DA64">
        <f>IF(COUNTIFS(T_StockCount[RM_Code],$A64,T_StockCount[WeekIndex],104)&gt;0,SUMIFS(T_StockCount[CountedQty],T_StockCount[RM_Code],$A64,T_StockCount[WeekIndex],104),IF((COUNTIFS(T_SelfStock[RM_Code],$A64,T_SelfStock[WeekIndex],104)&gt;0)*(COUNTIFS(T_TTAFStock[RM_Code],$A64,T_TTAFStock[WeekIndex],104)&gt;0)&gt;0,SUMIFS(T_SelfStock[Self_Qty],T_SelfStock[RM_Code],$A64,T_SelfStock[WeekIndex],104)+SUMIFS(T_TTAFStock[TTAF_Qty],T_TTAFStock[RM_Code],$A64,T_TTAFStock[WeekIndex],104),CZ64+'Grid_Incoming'!DA64-'Grid_Requirement'!DA64))</f>
        <v/>
      </c>
    </row>
    <row r="65">
      <c r="A65" t="inlineStr">
        <is>
          <t>1JN</t>
        </is>
      </c>
      <c r="B65">
        <f>IF(COUNTIFS(T_StockCount[RM_Code],$A65,T_StockCount[WeekIndex],1)&gt;0,SUMIFS(T_StockCount[CountedQty],T_StockCount[RM_Code],$A65,T_StockCount[WeekIndex],1),IF((COUNTIFS(T_SelfStock[RM_Code],$A65,T_SelfStock[WeekIndex],1)&gt;0)*(COUNTIFS(T_TTAFStock[RM_Code],$A65,T_TTAFStock[WeekIndex],1)&gt;0)&gt;0,SUMIFS(T_SelfStock[Self_Qty],T_SelfStock[RM_Code],$A65,T_SelfStock[WeekIndex],1)+SUMIFS(T_TTAFStock[TTAF_Qty],T_TTAFStock[RM_Code],$A65,T_TTAFStock[WeekIndex],1),IFERROR(INDEX(T_OpeningStock[Opening_Qty],MATCH($A65,T_OpeningStock[RM_Code],0)),0)+'Grid_Incoming'!B65-'Grid_Requirement'!B65))</f>
        <v/>
      </c>
      <c r="C65">
        <f>IF(COUNTIFS(T_StockCount[RM_Code],$A65,T_StockCount[WeekIndex],2)&gt;0,SUMIFS(T_StockCount[CountedQty],T_StockCount[RM_Code],$A65,T_StockCount[WeekIndex],2),IF((COUNTIFS(T_SelfStock[RM_Code],$A65,T_SelfStock[WeekIndex],2)&gt;0)*(COUNTIFS(T_TTAFStock[RM_Code],$A65,T_TTAFStock[WeekIndex],2)&gt;0)&gt;0,SUMIFS(T_SelfStock[Self_Qty],T_SelfStock[RM_Code],$A65,T_SelfStock[WeekIndex],2)+SUMIFS(T_TTAFStock[TTAF_Qty],T_TTAFStock[RM_Code],$A65,T_TTAFStock[WeekIndex],2),B65+'Grid_Incoming'!C65-'Grid_Requirement'!C65))</f>
        <v/>
      </c>
      <c r="D65">
        <f>IF(COUNTIFS(T_StockCount[RM_Code],$A65,T_StockCount[WeekIndex],3)&gt;0,SUMIFS(T_StockCount[CountedQty],T_StockCount[RM_Code],$A65,T_StockCount[WeekIndex],3),IF((COUNTIFS(T_SelfStock[RM_Code],$A65,T_SelfStock[WeekIndex],3)&gt;0)*(COUNTIFS(T_TTAFStock[RM_Code],$A65,T_TTAFStock[WeekIndex],3)&gt;0)&gt;0,SUMIFS(T_SelfStock[Self_Qty],T_SelfStock[RM_Code],$A65,T_SelfStock[WeekIndex],3)+SUMIFS(T_TTAFStock[TTAF_Qty],T_TTAFStock[RM_Code],$A65,T_TTAFStock[WeekIndex],3),C65+'Grid_Incoming'!D65-'Grid_Requirement'!D65))</f>
        <v/>
      </c>
      <c r="E65">
        <f>IF(COUNTIFS(T_StockCount[RM_Code],$A65,T_StockCount[WeekIndex],4)&gt;0,SUMIFS(T_StockCount[CountedQty],T_StockCount[RM_Code],$A65,T_StockCount[WeekIndex],4),IF((COUNTIFS(T_SelfStock[RM_Code],$A65,T_SelfStock[WeekIndex],4)&gt;0)*(COUNTIFS(T_TTAFStock[RM_Code],$A65,T_TTAFStock[WeekIndex],4)&gt;0)&gt;0,SUMIFS(T_SelfStock[Self_Qty],T_SelfStock[RM_Code],$A65,T_SelfStock[WeekIndex],4)+SUMIFS(T_TTAFStock[TTAF_Qty],T_TTAFStock[RM_Code],$A65,T_TTAFStock[WeekIndex],4),D65+'Grid_Incoming'!E65-'Grid_Requirement'!E65))</f>
        <v/>
      </c>
      <c r="F65">
        <f>IF(COUNTIFS(T_StockCount[RM_Code],$A65,T_StockCount[WeekIndex],5)&gt;0,SUMIFS(T_StockCount[CountedQty],T_StockCount[RM_Code],$A65,T_StockCount[WeekIndex],5),IF((COUNTIFS(T_SelfStock[RM_Code],$A65,T_SelfStock[WeekIndex],5)&gt;0)*(COUNTIFS(T_TTAFStock[RM_Code],$A65,T_TTAFStock[WeekIndex],5)&gt;0)&gt;0,SUMIFS(T_SelfStock[Self_Qty],T_SelfStock[RM_Code],$A65,T_SelfStock[WeekIndex],5)+SUMIFS(T_TTAFStock[TTAF_Qty],T_TTAFStock[RM_Code],$A65,T_TTAFStock[WeekIndex],5),E65+'Grid_Incoming'!F65-'Grid_Requirement'!F65))</f>
        <v/>
      </c>
      <c r="G65">
        <f>IF(COUNTIFS(T_StockCount[RM_Code],$A65,T_StockCount[WeekIndex],6)&gt;0,SUMIFS(T_StockCount[CountedQty],T_StockCount[RM_Code],$A65,T_StockCount[WeekIndex],6),IF((COUNTIFS(T_SelfStock[RM_Code],$A65,T_SelfStock[WeekIndex],6)&gt;0)*(COUNTIFS(T_TTAFStock[RM_Code],$A65,T_TTAFStock[WeekIndex],6)&gt;0)&gt;0,SUMIFS(T_SelfStock[Self_Qty],T_SelfStock[RM_Code],$A65,T_SelfStock[WeekIndex],6)+SUMIFS(T_TTAFStock[TTAF_Qty],T_TTAFStock[RM_Code],$A65,T_TTAFStock[WeekIndex],6),F65+'Grid_Incoming'!G65-'Grid_Requirement'!G65))</f>
        <v/>
      </c>
      <c r="H65">
        <f>IF(COUNTIFS(T_StockCount[RM_Code],$A65,T_StockCount[WeekIndex],7)&gt;0,SUMIFS(T_StockCount[CountedQty],T_StockCount[RM_Code],$A65,T_StockCount[WeekIndex],7),IF((COUNTIFS(T_SelfStock[RM_Code],$A65,T_SelfStock[WeekIndex],7)&gt;0)*(COUNTIFS(T_TTAFStock[RM_Code],$A65,T_TTAFStock[WeekIndex],7)&gt;0)&gt;0,SUMIFS(T_SelfStock[Self_Qty],T_SelfStock[RM_Code],$A65,T_SelfStock[WeekIndex],7)+SUMIFS(T_TTAFStock[TTAF_Qty],T_TTAFStock[RM_Code],$A65,T_TTAFStock[WeekIndex],7),G65+'Grid_Incoming'!H65-'Grid_Requirement'!H65))</f>
        <v/>
      </c>
      <c r="I65">
        <f>IF(COUNTIFS(T_StockCount[RM_Code],$A65,T_StockCount[WeekIndex],8)&gt;0,SUMIFS(T_StockCount[CountedQty],T_StockCount[RM_Code],$A65,T_StockCount[WeekIndex],8),IF((COUNTIFS(T_SelfStock[RM_Code],$A65,T_SelfStock[WeekIndex],8)&gt;0)*(COUNTIFS(T_TTAFStock[RM_Code],$A65,T_TTAFStock[WeekIndex],8)&gt;0)&gt;0,SUMIFS(T_SelfStock[Self_Qty],T_SelfStock[RM_Code],$A65,T_SelfStock[WeekIndex],8)+SUMIFS(T_TTAFStock[TTAF_Qty],T_TTAFStock[RM_Code],$A65,T_TTAFStock[WeekIndex],8),H65+'Grid_Incoming'!I65-'Grid_Requirement'!I65))</f>
        <v/>
      </c>
      <c r="J65">
        <f>IF(COUNTIFS(T_StockCount[RM_Code],$A65,T_StockCount[WeekIndex],9)&gt;0,SUMIFS(T_StockCount[CountedQty],T_StockCount[RM_Code],$A65,T_StockCount[WeekIndex],9),IF((COUNTIFS(T_SelfStock[RM_Code],$A65,T_SelfStock[WeekIndex],9)&gt;0)*(COUNTIFS(T_TTAFStock[RM_Code],$A65,T_TTAFStock[WeekIndex],9)&gt;0)&gt;0,SUMIFS(T_SelfStock[Self_Qty],T_SelfStock[RM_Code],$A65,T_SelfStock[WeekIndex],9)+SUMIFS(T_TTAFStock[TTAF_Qty],T_TTAFStock[RM_Code],$A65,T_TTAFStock[WeekIndex],9),I65+'Grid_Incoming'!J65-'Grid_Requirement'!J65))</f>
        <v/>
      </c>
      <c r="K65">
        <f>IF(COUNTIFS(T_StockCount[RM_Code],$A65,T_StockCount[WeekIndex],10)&gt;0,SUMIFS(T_StockCount[CountedQty],T_StockCount[RM_Code],$A65,T_StockCount[WeekIndex],10),IF((COUNTIFS(T_SelfStock[RM_Code],$A65,T_SelfStock[WeekIndex],10)&gt;0)*(COUNTIFS(T_TTAFStock[RM_Code],$A65,T_TTAFStock[WeekIndex],10)&gt;0)&gt;0,SUMIFS(T_SelfStock[Self_Qty],T_SelfStock[RM_Code],$A65,T_SelfStock[WeekIndex],10)+SUMIFS(T_TTAFStock[TTAF_Qty],T_TTAFStock[RM_Code],$A65,T_TTAFStock[WeekIndex],10),J65+'Grid_Incoming'!K65-'Grid_Requirement'!K65))</f>
        <v/>
      </c>
      <c r="L65">
        <f>IF(COUNTIFS(T_StockCount[RM_Code],$A65,T_StockCount[WeekIndex],11)&gt;0,SUMIFS(T_StockCount[CountedQty],T_StockCount[RM_Code],$A65,T_StockCount[WeekIndex],11),IF((COUNTIFS(T_SelfStock[RM_Code],$A65,T_SelfStock[WeekIndex],11)&gt;0)*(COUNTIFS(T_TTAFStock[RM_Code],$A65,T_TTAFStock[WeekIndex],11)&gt;0)&gt;0,SUMIFS(T_SelfStock[Self_Qty],T_SelfStock[RM_Code],$A65,T_SelfStock[WeekIndex],11)+SUMIFS(T_TTAFStock[TTAF_Qty],T_TTAFStock[RM_Code],$A65,T_TTAFStock[WeekIndex],11),K65+'Grid_Incoming'!L65-'Grid_Requirement'!L65))</f>
        <v/>
      </c>
      <c r="M65">
        <f>IF(COUNTIFS(T_StockCount[RM_Code],$A65,T_StockCount[WeekIndex],12)&gt;0,SUMIFS(T_StockCount[CountedQty],T_StockCount[RM_Code],$A65,T_StockCount[WeekIndex],12),IF((COUNTIFS(T_SelfStock[RM_Code],$A65,T_SelfStock[WeekIndex],12)&gt;0)*(COUNTIFS(T_TTAFStock[RM_Code],$A65,T_TTAFStock[WeekIndex],12)&gt;0)&gt;0,SUMIFS(T_SelfStock[Self_Qty],T_SelfStock[RM_Code],$A65,T_SelfStock[WeekIndex],12)+SUMIFS(T_TTAFStock[TTAF_Qty],T_TTAFStock[RM_Code],$A65,T_TTAFStock[WeekIndex],12),L65+'Grid_Incoming'!M65-'Grid_Requirement'!M65))</f>
        <v/>
      </c>
      <c r="N65">
        <f>IF(COUNTIFS(T_StockCount[RM_Code],$A65,T_StockCount[WeekIndex],13)&gt;0,SUMIFS(T_StockCount[CountedQty],T_StockCount[RM_Code],$A65,T_StockCount[WeekIndex],13),IF((COUNTIFS(T_SelfStock[RM_Code],$A65,T_SelfStock[WeekIndex],13)&gt;0)*(COUNTIFS(T_TTAFStock[RM_Code],$A65,T_TTAFStock[WeekIndex],13)&gt;0)&gt;0,SUMIFS(T_SelfStock[Self_Qty],T_SelfStock[RM_Code],$A65,T_SelfStock[WeekIndex],13)+SUMIFS(T_TTAFStock[TTAF_Qty],T_TTAFStock[RM_Code],$A65,T_TTAFStock[WeekIndex],13),M65+'Grid_Incoming'!N65-'Grid_Requirement'!N65))</f>
        <v/>
      </c>
      <c r="O65">
        <f>IF(COUNTIFS(T_StockCount[RM_Code],$A65,T_StockCount[WeekIndex],14)&gt;0,SUMIFS(T_StockCount[CountedQty],T_StockCount[RM_Code],$A65,T_StockCount[WeekIndex],14),IF((COUNTIFS(T_SelfStock[RM_Code],$A65,T_SelfStock[WeekIndex],14)&gt;0)*(COUNTIFS(T_TTAFStock[RM_Code],$A65,T_TTAFStock[WeekIndex],14)&gt;0)&gt;0,SUMIFS(T_SelfStock[Self_Qty],T_SelfStock[RM_Code],$A65,T_SelfStock[WeekIndex],14)+SUMIFS(T_TTAFStock[TTAF_Qty],T_TTAFStock[RM_Code],$A65,T_TTAFStock[WeekIndex],14),N65+'Grid_Incoming'!O65-'Grid_Requirement'!O65))</f>
        <v/>
      </c>
      <c r="P65">
        <f>IF(COUNTIFS(T_StockCount[RM_Code],$A65,T_StockCount[WeekIndex],15)&gt;0,SUMIFS(T_StockCount[CountedQty],T_StockCount[RM_Code],$A65,T_StockCount[WeekIndex],15),IF((COUNTIFS(T_SelfStock[RM_Code],$A65,T_SelfStock[WeekIndex],15)&gt;0)*(COUNTIFS(T_TTAFStock[RM_Code],$A65,T_TTAFStock[WeekIndex],15)&gt;0)&gt;0,SUMIFS(T_SelfStock[Self_Qty],T_SelfStock[RM_Code],$A65,T_SelfStock[WeekIndex],15)+SUMIFS(T_TTAFStock[TTAF_Qty],T_TTAFStock[RM_Code],$A65,T_TTAFStock[WeekIndex],15),O65+'Grid_Incoming'!P65-'Grid_Requirement'!P65))</f>
        <v/>
      </c>
      <c r="Q65">
        <f>IF(COUNTIFS(T_StockCount[RM_Code],$A65,T_StockCount[WeekIndex],16)&gt;0,SUMIFS(T_StockCount[CountedQty],T_StockCount[RM_Code],$A65,T_StockCount[WeekIndex],16),IF((COUNTIFS(T_SelfStock[RM_Code],$A65,T_SelfStock[WeekIndex],16)&gt;0)*(COUNTIFS(T_TTAFStock[RM_Code],$A65,T_TTAFStock[WeekIndex],16)&gt;0)&gt;0,SUMIFS(T_SelfStock[Self_Qty],T_SelfStock[RM_Code],$A65,T_SelfStock[WeekIndex],16)+SUMIFS(T_TTAFStock[TTAF_Qty],T_TTAFStock[RM_Code],$A65,T_TTAFStock[WeekIndex],16),P65+'Grid_Incoming'!Q65-'Grid_Requirement'!Q65))</f>
        <v/>
      </c>
      <c r="R65">
        <f>IF(COUNTIFS(T_StockCount[RM_Code],$A65,T_StockCount[WeekIndex],17)&gt;0,SUMIFS(T_StockCount[CountedQty],T_StockCount[RM_Code],$A65,T_StockCount[WeekIndex],17),IF((COUNTIFS(T_SelfStock[RM_Code],$A65,T_SelfStock[WeekIndex],17)&gt;0)*(COUNTIFS(T_TTAFStock[RM_Code],$A65,T_TTAFStock[WeekIndex],17)&gt;0)&gt;0,SUMIFS(T_SelfStock[Self_Qty],T_SelfStock[RM_Code],$A65,T_SelfStock[WeekIndex],17)+SUMIFS(T_TTAFStock[TTAF_Qty],T_TTAFStock[RM_Code],$A65,T_TTAFStock[WeekIndex],17),Q65+'Grid_Incoming'!R65-'Grid_Requirement'!R65))</f>
        <v/>
      </c>
      <c r="S65">
        <f>IF(COUNTIFS(T_StockCount[RM_Code],$A65,T_StockCount[WeekIndex],18)&gt;0,SUMIFS(T_StockCount[CountedQty],T_StockCount[RM_Code],$A65,T_StockCount[WeekIndex],18),IF((COUNTIFS(T_SelfStock[RM_Code],$A65,T_SelfStock[WeekIndex],18)&gt;0)*(COUNTIFS(T_TTAFStock[RM_Code],$A65,T_TTAFStock[WeekIndex],18)&gt;0)&gt;0,SUMIFS(T_SelfStock[Self_Qty],T_SelfStock[RM_Code],$A65,T_SelfStock[WeekIndex],18)+SUMIFS(T_TTAFStock[TTAF_Qty],T_TTAFStock[RM_Code],$A65,T_TTAFStock[WeekIndex],18),R65+'Grid_Incoming'!S65-'Grid_Requirement'!S65))</f>
        <v/>
      </c>
      <c r="T65">
        <f>IF(COUNTIFS(T_StockCount[RM_Code],$A65,T_StockCount[WeekIndex],19)&gt;0,SUMIFS(T_StockCount[CountedQty],T_StockCount[RM_Code],$A65,T_StockCount[WeekIndex],19),IF((COUNTIFS(T_SelfStock[RM_Code],$A65,T_SelfStock[WeekIndex],19)&gt;0)*(COUNTIFS(T_TTAFStock[RM_Code],$A65,T_TTAFStock[WeekIndex],19)&gt;0)&gt;0,SUMIFS(T_SelfStock[Self_Qty],T_SelfStock[RM_Code],$A65,T_SelfStock[WeekIndex],19)+SUMIFS(T_TTAFStock[TTAF_Qty],T_TTAFStock[RM_Code],$A65,T_TTAFStock[WeekIndex],19),S65+'Grid_Incoming'!T65-'Grid_Requirement'!T65))</f>
        <v/>
      </c>
      <c r="U65">
        <f>IF(COUNTIFS(T_StockCount[RM_Code],$A65,T_StockCount[WeekIndex],20)&gt;0,SUMIFS(T_StockCount[CountedQty],T_StockCount[RM_Code],$A65,T_StockCount[WeekIndex],20),IF((COUNTIFS(T_SelfStock[RM_Code],$A65,T_SelfStock[WeekIndex],20)&gt;0)*(COUNTIFS(T_TTAFStock[RM_Code],$A65,T_TTAFStock[WeekIndex],20)&gt;0)&gt;0,SUMIFS(T_SelfStock[Self_Qty],T_SelfStock[RM_Code],$A65,T_SelfStock[WeekIndex],20)+SUMIFS(T_TTAFStock[TTAF_Qty],T_TTAFStock[RM_Code],$A65,T_TTAFStock[WeekIndex],20),T65+'Grid_Incoming'!U65-'Grid_Requirement'!U65))</f>
        <v/>
      </c>
      <c r="V65">
        <f>IF(COUNTIFS(T_StockCount[RM_Code],$A65,T_StockCount[WeekIndex],21)&gt;0,SUMIFS(T_StockCount[CountedQty],T_StockCount[RM_Code],$A65,T_StockCount[WeekIndex],21),IF((COUNTIFS(T_SelfStock[RM_Code],$A65,T_SelfStock[WeekIndex],21)&gt;0)*(COUNTIFS(T_TTAFStock[RM_Code],$A65,T_TTAFStock[WeekIndex],21)&gt;0)&gt;0,SUMIFS(T_SelfStock[Self_Qty],T_SelfStock[RM_Code],$A65,T_SelfStock[WeekIndex],21)+SUMIFS(T_TTAFStock[TTAF_Qty],T_TTAFStock[RM_Code],$A65,T_TTAFStock[WeekIndex],21),U65+'Grid_Incoming'!V65-'Grid_Requirement'!V65))</f>
        <v/>
      </c>
      <c r="W65">
        <f>IF(COUNTIFS(T_StockCount[RM_Code],$A65,T_StockCount[WeekIndex],22)&gt;0,SUMIFS(T_StockCount[CountedQty],T_StockCount[RM_Code],$A65,T_StockCount[WeekIndex],22),IF((COUNTIFS(T_SelfStock[RM_Code],$A65,T_SelfStock[WeekIndex],22)&gt;0)*(COUNTIFS(T_TTAFStock[RM_Code],$A65,T_TTAFStock[WeekIndex],22)&gt;0)&gt;0,SUMIFS(T_SelfStock[Self_Qty],T_SelfStock[RM_Code],$A65,T_SelfStock[WeekIndex],22)+SUMIFS(T_TTAFStock[TTAF_Qty],T_TTAFStock[RM_Code],$A65,T_TTAFStock[WeekIndex],22),V65+'Grid_Incoming'!W65-'Grid_Requirement'!W65))</f>
        <v/>
      </c>
      <c r="X65">
        <f>IF(COUNTIFS(T_StockCount[RM_Code],$A65,T_StockCount[WeekIndex],23)&gt;0,SUMIFS(T_StockCount[CountedQty],T_StockCount[RM_Code],$A65,T_StockCount[WeekIndex],23),IF((COUNTIFS(T_SelfStock[RM_Code],$A65,T_SelfStock[WeekIndex],23)&gt;0)*(COUNTIFS(T_TTAFStock[RM_Code],$A65,T_TTAFStock[WeekIndex],23)&gt;0)&gt;0,SUMIFS(T_SelfStock[Self_Qty],T_SelfStock[RM_Code],$A65,T_SelfStock[WeekIndex],23)+SUMIFS(T_TTAFStock[TTAF_Qty],T_TTAFStock[RM_Code],$A65,T_TTAFStock[WeekIndex],23),W65+'Grid_Incoming'!X65-'Grid_Requirement'!X65))</f>
        <v/>
      </c>
      <c r="Y65">
        <f>IF(COUNTIFS(T_StockCount[RM_Code],$A65,T_StockCount[WeekIndex],24)&gt;0,SUMIFS(T_StockCount[CountedQty],T_StockCount[RM_Code],$A65,T_StockCount[WeekIndex],24),IF((COUNTIFS(T_SelfStock[RM_Code],$A65,T_SelfStock[WeekIndex],24)&gt;0)*(COUNTIFS(T_TTAFStock[RM_Code],$A65,T_TTAFStock[WeekIndex],24)&gt;0)&gt;0,SUMIFS(T_SelfStock[Self_Qty],T_SelfStock[RM_Code],$A65,T_SelfStock[WeekIndex],24)+SUMIFS(T_TTAFStock[TTAF_Qty],T_TTAFStock[RM_Code],$A65,T_TTAFStock[WeekIndex],24),X65+'Grid_Incoming'!Y65-'Grid_Requirement'!Y65))</f>
        <v/>
      </c>
      <c r="Z65">
        <f>IF(COUNTIFS(T_StockCount[RM_Code],$A65,T_StockCount[WeekIndex],25)&gt;0,SUMIFS(T_StockCount[CountedQty],T_StockCount[RM_Code],$A65,T_StockCount[WeekIndex],25),IF((COUNTIFS(T_SelfStock[RM_Code],$A65,T_SelfStock[WeekIndex],25)&gt;0)*(COUNTIFS(T_TTAFStock[RM_Code],$A65,T_TTAFStock[WeekIndex],25)&gt;0)&gt;0,SUMIFS(T_SelfStock[Self_Qty],T_SelfStock[RM_Code],$A65,T_SelfStock[WeekIndex],25)+SUMIFS(T_TTAFStock[TTAF_Qty],T_TTAFStock[RM_Code],$A65,T_TTAFStock[WeekIndex],25),Y65+'Grid_Incoming'!Z65-'Grid_Requirement'!Z65))</f>
        <v/>
      </c>
      <c r="AA65">
        <f>IF(COUNTIFS(T_StockCount[RM_Code],$A65,T_StockCount[WeekIndex],26)&gt;0,SUMIFS(T_StockCount[CountedQty],T_StockCount[RM_Code],$A65,T_StockCount[WeekIndex],26),IF((COUNTIFS(T_SelfStock[RM_Code],$A65,T_SelfStock[WeekIndex],26)&gt;0)*(COUNTIFS(T_TTAFStock[RM_Code],$A65,T_TTAFStock[WeekIndex],26)&gt;0)&gt;0,SUMIFS(T_SelfStock[Self_Qty],T_SelfStock[RM_Code],$A65,T_SelfStock[WeekIndex],26)+SUMIFS(T_TTAFStock[TTAF_Qty],T_TTAFStock[RM_Code],$A65,T_TTAFStock[WeekIndex],26),Z65+'Grid_Incoming'!AA65-'Grid_Requirement'!AA65))</f>
        <v/>
      </c>
      <c r="AB65">
        <f>IF(COUNTIFS(T_StockCount[RM_Code],$A65,T_StockCount[WeekIndex],27)&gt;0,SUMIFS(T_StockCount[CountedQty],T_StockCount[RM_Code],$A65,T_StockCount[WeekIndex],27),IF((COUNTIFS(T_SelfStock[RM_Code],$A65,T_SelfStock[WeekIndex],27)&gt;0)*(COUNTIFS(T_TTAFStock[RM_Code],$A65,T_TTAFStock[WeekIndex],27)&gt;0)&gt;0,SUMIFS(T_SelfStock[Self_Qty],T_SelfStock[RM_Code],$A65,T_SelfStock[WeekIndex],27)+SUMIFS(T_TTAFStock[TTAF_Qty],T_TTAFStock[RM_Code],$A65,T_TTAFStock[WeekIndex],27),AA65+'Grid_Incoming'!AB65-'Grid_Requirement'!AB65))</f>
        <v/>
      </c>
      <c r="AC65">
        <f>IF(COUNTIFS(T_StockCount[RM_Code],$A65,T_StockCount[WeekIndex],28)&gt;0,SUMIFS(T_StockCount[CountedQty],T_StockCount[RM_Code],$A65,T_StockCount[WeekIndex],28),IF((COUNTIFS(T_SelfStock[RM_Code],$A65,T_SelfStock[WeekIndex],28)&gt;0)*(COUNTIFS(T_TTAFStock[RM_Code],$A65,T_TTAFStock[WeekIndex],28)&gt;0)&gt;0,SUMIFS(T_SelfStock[Self_Qty],T_SelfStock[RM_Code],$A65,T_SelfStock[WeekIndex],28)+SUMIFS(T_TTAFStock[TTAF_Qty],T_TTAFStock[RM_Code],$A65,T_TTAFStock[WeekIndex],28),AB65+'Grid_Incoming'!AC65-'Grid_Requirement'!AC65))</f>
        <v/>
      </c>
      <c r="AD65">
        <f>IF(COUNTIFS(T_StockCount[RM_Code],$A65,T_StockCount[WeekIndex],29)&gt;0,SUMIFS(T_StockCount[CountedQty],T_StockCount[RM_Code],$A65,T_StockCount[WeekIndex],29),IF((COUNTIFS(T_SelfStock[RM_Code],$A65,T_SelfStock[WeekIndex],29)&gt;0)*(COUNTIFS(T_TTAFStock[RM_Code],$A65,T_TTAFStock[WeekIndex],29)&gt;0)&gt;0,SUMIFS(T_SelfStock[Self_Qty],T_SelfStock[RM_Code],$A65,T_SelfStock[WeekIndex],29)+SUMIFS(T_TTAFStock[TTAF_Qty],T_TTAFStock[RM_Code],$A65,T_TTAFStock[WeekIndex],29),AC65+'Grid_Incoming'!AD65-'Grid_Requirement'!AD65))</f>
        <v/>
      </c>
      <c r="AE65">
        <f>IF(COUNTIFS(T_StockCount[RM_Code],$A65,T_StockCount[WeekIndex],30)&gt;0,SUMIFS(T_StockCount[CountedQty],T_StockCount[RM_Code],$A65,T_StockCount[WeekIndex],30),IF((COUNTIFS(T_SelfStock[RM_Code],$A65,T_SelfStock[WeekIndex],30)&gt;0)*(COUNTIFS(T_TTAFStock[RM_Code],$A65,T_TTAFStock[WeekIndex],30)&gt;0)&gt;0,SUMIFS(T_SelfStock[Self_Qty],T_SelfStock[RM_Code],$A65,T_SelfStock[WeekIndex],30)+SUMIFS(T_TTAFStock[TTAF_Qty],T_TTAFStock[RM_Code],$A65,T_TTAFStock[WeekIndex],30),AD65+'Grid_Incoming'!AE65-'Grid_Requirement'!AE65))</f>
        <v/>
      </c>
      <c r="AF65">
        <f>IF(COUNTIFS(T_StockCount[RM_Code],$A65,T_StockCount[WeekIndex],31)&gt;0,SUMIFS(T_StockCount[CountedQty],T_StockCount[RM_Code],$A65,T_StockCount[WeekIndex],31),IF((COUNTIFS(T_SelfStock[RM_Code],$A65,T_SelfStock[WeekIndex],31)&gt;0)*(COUNTIFS(T_TTAFStock[RM_Code],$A65,T_TTAFStock[WeekIndex],31)&gt;0)&gt;0,SUMIFS(T_SelfStock[Self_Qty],T_SelfStock[RM_Code],$A65,T_SelfStock[WeekIndex],31)+SUMIFS(T_TTAFStock[TTAF_Qty],T_TTAFStock[RM_Code],$A65,T_TTAFStock[WeekIndex],31),AE65+'Grid_Incoming'!AF65-'Grid_Requirement'!AF65))</f>
        <v/>
      </c>
      <c r="AG65">
        <f>IF(COUNTIFS(T_StockCount[RM_Code],$A65,T_StockCount[WeekIndex],32)&gt;0,SUMIFS(T_StockCount[CountedQty],T_StockCount[RM_Code],$A65,T_StockCount[WeekIndex],32),IF((COUNTIFS(T_SelfStock[RM_Code],$A65,T_SelfStock[WeekIndex],32)&gt;0)*(COUNTIFS(T_TTAFStock[RM_Code],$A65,T_TTAFStock[WeekIndex],32)&gt;0)&gt;0,SUMIFS(T_SelfStock[Self_Qty],T_SelfStock[RM_Code],$A65,T_SelfStock[WeekIndex],32)+SUMIFS(T_TTAFStock[TTAF_Qty],T_TTAFStock[RM_Code],$A65,T_TTAFStock[WeekIndex],32),AF65+'Grid_Incoming'!AG65-'Grid_Requirement'!AG65))</f>
        <v/>
      </c>
      <c r="AH65">
        <f>IF(COUNTIFS(T_StockCount[RM_Code],$A65,T_StockCount[WeekIndex],33)&gt;0,SUMIFS(T_StockCount[CountedQty],T_StockCount[RM_Code],$A65,T_StockCount[WeekIndex],33),IF((COUNTIFS(T_SelfStock[RM_Code],$A65,T_SelfStock[WeekIndex],33)&gt;0)*(COUNTIFS(T_TTAFStock[RM_Code],$A65,T_TTAFStock[WeekIndex],33)&gt;0)&gt;0,SUMIFS(T_SelfStock[Self_Qty],T_SelfStock[RM_Code],$A65,T_SelfStock[WeekIndex],33)+SUMIFS(T_TTAFStock[TTAF_Qty],T_TTAFStock[RM_Code],$A65,T_TTAFStock[WeekIndex],33),AG65+'Grid_Incoming'!AH65-'Grid_Requirement'!AH65))</f>
        <v/>
      </c>
      <c r="AI65">
        <f>IF(COUNTIFS(T_StockCount[RM_Code],$A65,T_StockCount[WeekIndex],34)&gt;0,SUMIFS(T_StockCount[CountedQty],T_StockCount[RM_Code],$A65,T_StockCount[WeekIndex],34),IF((COUNTIFS(T_SelfStock[RM_Code],$A65,T_SelfStock[WeekIndex],34)&gt;0)*(COUNTIFS(T_TTAFStock[RM_Code],$A65,T_TTAFStock[WeekIndex],34)&gt;0)&gt;0,SUMIFS(T_SelfStock[Self_Qty],T_SelfStock[RM_Code],$A65,T_SelfStock[WeekIndex],34)+SUMIFS(T_TTAFStock[TTAF_Qty],T_TTAFStock[RM_Code],$A65,T_TTAFStock[WeekIndex],34),AH65+'Grid_Incoming'!AI65-'Grid_Requirement'!AI65))</f>
        <v/>
      </c>
      <c r="AJ65">
        <f>IF(COUNTIFS(T_StockCount[RM_Code],$A65,T_StockCount[WeekIndex],35)&gt;0,SUMIFS(T_StockCount[CountedQty],T_StockCount[RM_Code],$A65,T_StockCount[WeekIndex],35),IF((COUNTIFS(T_SelfStock[RM_Code],$A65,T_SelfStock[WeekIndex],35)&gt;0)*(COUNTIFS(T_TTAFStock[RM_Code],$A65,T_TTAFStock[WeekIndex],35)&gt;0)&gt;0,SUMIFS(T_SelfStock[Self_Qty],T_SelfStock[RM_Code],$A65,T_SelfStock[WeekIndex],35)+SUMIFS(T_TTAFStock[TTAF_Qty],T_TTAFStock[RM_Code],$A65,T_TTAFStock[WeekIndex],35),AI65+'Grid_Incoming'!AJ65-'Grid_Requirement'!AJ65))</f>
        <v/>
      </c>
      <c r="AK65">
        <f>IF(COUNTIFS(T_StockCount[RM_Code],$A65,T_StockCount[WeekIndex],36)&gt;0,SUMIFS(T_StockCount[CountedQty],T_StockCount[RM_Code],$A65,T_StockCount[WeekIndex],36),IF((COUNTIFS(T_SelfStock[RM_Code],$A65,T_SelfStock[WeekIndex],36)&gt;0)*(COUNTIFS(T_TTAFStock[RM_Code],$A65,T_TTAFStock[WeekIndex],36)&gt;0)&gt;0,SUMIFS(T_SelfStock[Self_Qty],T_SelfStock[RM_Code],$A65,T_SelfStock[WeekIndex],36)+SUMIFS(T_TTAFStock[TTAF_Qty],T_TTAFStock[RM_Code],$A65,T_TTAFStock[WeekIndex],36),AJ65+'Grid_Incoming'!AK65-'Grid_Requirement'!AK65))</f>
        <v/>
      </c>
      <c r="AL65">
        <f>IF(COUNTIFS(T_StockCount[RM_Code],$A65,T_StockCount[WeekIndex],37)&gt;0,SUMIFS(T_StockCount[CountedQty],T_StockCount[RM_Code],$A65,T_StockCount[WeekIndex],37),IF((COUNTIFS(T_SelfStock[RM_Code],$A65,T_SelfStock[WeekIndex],37)&gt;0)*(COUNTIFS(T_TTAFStock[RM_Code],$A65,T_TTAFStock[WeekIndex],37)&gt;0)&gt;0,SUMIFS(T_SelfStock[Self_Qty],T_SelfStock[RM_Code],$A65,T_SelfStock[WeekIndex],37)+SUMIFS(T_TTAFStock[TTAF_Qty],T_TTAFStock[RM_Code],$A65,T_TTAFStock[WeekIndex],37),AK65+'Grid_Incoming'!AL65-'Grid_Requirement'!AL65))</f>
        <v/>
      </c>
      <c r="AM65">
        <f>IF(COUNTIFS(T_StockCount[RM_Code],$A65,T_StockCount[WeekIndex],38)&gt;0,SUMIFS(T_StockCount[CountedQty],T_StockCount[RM_Code],$A65,T_StockCount[WeekIndex],38),IF((COUNTIFS(T_SelfStock[RM_Code],$A65,T_SelfStock[WeekIndex],38)&gt;0)*(COUNTIFS(T_TTAFStock[RM_Code],$A65,T_TTAFStock[WeekIndex],38)&gt;0)&gt;0,SUMIFS(T_SelfStock[Self_Qty],T_SelfStock[RM_Code],$A65,T_SelfStock[WeekIndex],38)+SUMIFS(T_TTAFStock[TTAF_Qty],T_TTAFStock[RM_Code],$A65,T_TTAFStock[WeekIndex],38),AL65+'Grid_Incoming'!AM65-'Grid_Requirement'!AM65))</f>
        <v/>
      </c>
      <c r="AN65">
        <f>IF(COUNTIFS(T_StockCount[RM_Code],$A65,T_StockCount[WeekIndex],39)&gt;0,SUMIFS(T_StockCount[CountedQty],T_StockCount[RM_Code],$A65,T_StockCount[WeekIndex],39),IF((COUNTIFS(T_SelfStock[RM_Code],$A65,T_SelfStock[WeekIndex],39)&gt;0)*(COUNTIFS(T_TTAFStock[RM_Code],$A65,T_TTAFStock[WeekIndex],39)&gt;0)&gt;0,SUMIFS(T_SelfStock[Self_Qty],T_SelfStock[RM_Code],$A65,T_SelfStock[WeekIndex],39)+SUMIFS(T_TTAFStock[TTAF_Qty],T_TTAFStock[RM_Code],$A65,T_TTAFStock[WeekIndex],39),AM65+'Grid_Incoming'!AN65-'Grid_Requirement'!AN65))</f>
        <v/>
      </c>
      <c r="AO65">
        <f>IF(COUNTIFS(T_StockCount[RM_Code],$A65,T_StockCount[WeekIndex],40)&gt;0,SUMIFS(T_StockCount[CountedQty],T_StockCount[RM_Code],$A65,T_StockCount[WeekIndex],40),IF((COUNTIFS(T_SelfStock[RM_Code],$A65,T_SelfStock[WeekIndex],40)&gt;0)*(COUNTIFS(T_TTAFStock[RM_Code],$A65,T_TTAFStock[WeekIndex],40)&gt;0)&gt;0,SUMIFS(T_SelfStock[Self_Qty],T_SelfStock[RM_Code],$A65,T_SelfStock[WeekIndex],40)+SUMIFS(T_TTAFStock[TTAF_Qty],T_TTAFStock[RM_Code],$A65,T_TTAFStock[WeekIndex],40),AN65+'Grid_Incoming'!AO65-'Grid_Requirement'!AO65))</f>
        <v/>
      </c>
      <c r="AP65">
        <f>IF(COUNTIFS(T_StockCount[RM_Code],$A65,T_StockCount[WeekIndex],41)&gt;0,SUMIFS(T_StockCount[CountedQty],T_StockCount[RM_Code],$A65,T_StockCount[WeekIndex],41),IF((COUNTIFS(T_SelfStock[RM_Code],$A65,T_SelfStock[WeekIndex],41)&gt;0)*(COUNTIFS(T_TTAFStock[RM_Code],$A65,T_TTAFStock[WeekIndex],41)&gt;0)&gt;0,SUMIFS(T_SelfStock[Self_Qty],T_SelfStock[RM_Code],$A65,T_SelfStock[WeekIndex],41)+SUMIFS(T_TTAFStock[TTAF_Qty],T_TTAFStock[RM_Code],$A65,T_TTAFStock[WeekIndex],41),AO65+'Grid_Incoming'!AP65-'Grid_Requirement'!AP65))</f>
        <v/>
      </c>
      <c r="AQ65">
        <f>IF(COUNTIFS(T_StockCount[RM_Code],$A65,T_StockCount[WeekIndex],42)&gt;0,SUMIFS(T_StockCount[CountedQty],T_StockCount[RM_Code],$A65,T_StockCount[WeekIndex],42),IF((COUNTIFS(T_SelfStock[RM_Code],$A65,T_SelfStock[WeekIndex],42)&gt;0)*(COUNTIFS(T_TTAFStock[RM_Code],$A65,T_TTAFStock[WeekIndex],42)&gt;0)&gt;0,SUMIFS(T_SelfStock[Self_Qty],T_SelfStock[RM_Code],$A65,T_SelfStock[WeekIndex],42)+SUMIFS(T_TTAFStock[TTAF_Qty],T_TTAFStock[RM_Code],$A65,T_TTAFStock[WeekIndex],42),AP65+'Grid_Incoming'!AQ65-'Grid_Requirement'!AQ65))</f>
        <v/>
      </c>
      <c r="AR65">
        <f>IF(COUNTIFS(T_StockCount[RM_Code],$A65,T_StockCount[WeekIndex],43)&gt;0,SUMIFS(T_StockCount[CountedQty],T_StockCount[RM_Code],$A65,T_StockCount[WeekIndex],43),IF((COUNTIFS(T_SelfStock[RM_Code],$A65,T_SelfStock[WeekIndex],43)&gt;0)*(COUNTIFS(T_TTAFStock[RM_Code],$A65,T_TTAFStock[WeekIndex],43)&gt;0)&gt;0,SUMIFS(T_SelfStock[Self_Qty],T_SelfStock[RM_Code],$A65,T_SelfStock[WeekIndex],43)+SUMIFS(T_TTAFStock[TTAF_Qty],T_TTAFStock[RM_Code],$A65,T_TTAFStock[WeekIndex],43),AQ65+'Grid_Incoming'!AR65-'Grid_Requirement'!AR65))</f>
        <v/>
      </c>
      <c r="AS65">
        <f>IF(COUNTIFS(T_StockCount[RM_Code],$A65,T_StockCount[WeekIndex],44)&gt;0,SUMIFS(T_StockCount[CountedQty],T_StockCount[RM_Code],$A65,T_StockCount[WeekIndex],44),IF((COUNTIFS(T_SelfStock[RM_Code],$A65,T_SelfStock[WeekIndex],44)&gt;0)*(COUNTIFS(T_TTAFStock[RM_Code],$A65,T_TTAFStock[WeekIndex],44)&gt;0)&gt;0,SUMIFS(T_SelfStock[Self_Qty],T_SelfStock[RM_Code],$A65,T_SelfStock[WeekIndex],44)+SUMIFS(T_TTAFStock[TTAF_Qty],T_TTAFStock[RM_Code],$A65,T_TTAFStock[WeekIndex],44),AR65+'Grid_Incoming'!AS65-'Grid_Requirement'!AS65))</f>
        <v/>
      </c>
      <c r="AT65">
        <f>IF(COUNTIFS(T_StockCount[RM_Code],$A65,T_StockCount[WeekIndex],45)&gt;0,SUMIFS(T_StockCount[CountedQty],T_StockCount[RM_Code],$A65,T_StockCount[WeekIndex],45),IF((COUNTIFS(T_SelfStock[RM_Code],$A65,T_SelfStock[WeekIndex],45)&gt;0)*(COUNTIFS(T_TTAFStock[RM_Code],$A65,T_TTAFStock[WeekIndex],45)&gt;0)&gt;0,SUMIFS(T_SelfStock[Self_Qty],T_SelfStock[RM_Code],$A65,T_SelfStock[WeekIndex],45)+SUMIFS(T_TTAFStock[TTAF_Qty],T_TTAFStock[RM_Code],$A65,T_TTAFStock[WeekIndex],45),AS65+'Grid_Incoming'!AT65-'Grid_Requirement'!AT65))</f>
        <v/>
      </c>
      <c r="AU65">
        <f>IF(COUNTIFS(T_StockCount[RM_Code],$A65,T_StockCount[WeekIndex],46)&gt;0,SUMIFS(T_StockCount[CountedQty],T_StockCount[RM_Code],$A65,T_StockCount[WeekIndex],46),IF((COUNTIFS(T_SelfStock[RM_Code],$A65,T_SelfStock[WeekIndex],46)&gt;0)*(COUNTIFS(T_TTAFStock[RM_Code],$A65,T_TTAFStock[WeekIndex],46)&gt;0)&gt;0,SUMIFS(T_SelfStock[Self_Qty],T_SelfStock[RM_Code],$A65,T_SelfStock[WeekIndex],46)+SUMIFS(T_TTAFStock[TTAF_Qty],T_TTAFStock[RM_Code],$A65,T_TTAFStock[WeekIndex],46),AT65+'Grid_Incoming'!AU65-'Grid_Requirement'!AU65))</f>
        <v/>
      </c>
      <c r="AV65">
        <f>IF(COUNTIFS(T_StockCount[RM_Code],$A65,T_StockCount[WeekIndex],47)&gt;0,SUMIFS(T_StockCount[CountedQty],T_StockCount[RM_Code],$A65,T_StockCount[WeekIndex],47),IF((COUNTIFS(T_SelfStock[RM_Code],$A65,T_SelfStock[WeekIndex],47)&gt;0)*(COUNTIFS(T_TTAFStock[RM_Code],$A65,T_TTAFStock[WeekIndex],47)&gt;0)&gt;0,SUMIFS(T_SelfStock[Self_Qty],T_SelfStock[RM_Code],$A65,T_SelfStock[WeekIndex],47)+SUMIFS(T_TTAFStock[TTAF_Qty],T_TTAFStock[RM_Code],$A65,T_TTAFStock[WeekIndex],47),AU65+'Grid_Incoming'!AV65-'Grid_Requirement'!AV65))</f>
        <v/>
      </c>
      <c r="AW65">
        <f>IF(COUNTIFS(T_StockCount[RM_Code],$A65,T_StockCount[WeekIndex],48)&gt;0,SUMIFS(T_StockCount[CountedQty],T_StockCount[RM_Code],$A65,T_StockCount[WeekIndex],48),IF((COUNTIFS(T_SelfStock[RM_Code],$A65,T_SelfStock[WeekIndex],48)&gt;0)*(COUNTIFS(T_TTAFStock[RM_Code],$A65,T_TTAFStock[WeekIndex],48)&gt;0)&gt;0,SUMIFS(T_SelfStock[Self_Qty],T_SelfStock[RM_Code],$A65,T_SelfStock[WeekIndex],48)+SUMIFS(T_TTAFStock[TTAF_Qty],T_TTAFStock[RM_Code],$A65,T_TTAFStock[WeekIndex],48),AV65+'Grid_Incoming'!AW65-'Grid_Requirement'!AW65))</f>
        <v/>
      </c>
      <c r="AX65">
        <f>IF(COUNTIFS(T_StockCount[RM_Code],$A65,T_StockCount[WeekIndex],49)&gt;0,SUMIFS(T_StockCount[CountedQty],T_StockCount[RM_Code],$A65,T_StockCount[WeekIndex],49),IF((COUNTIFS(T_SelfStock[RM_Code],$A65,T_SelfStock[WeekIndex],49)&gt;0)*(COUNTIFS(T_TTAFStock[RM_Code],$A65,T_TTAFStock[WeekIndex],49)&gt;0)&gt;0,SUMIFS(T_SelfStock[Self_Qty],T_SelfStock[RM_Code],$A65,T_SelfStock[WeekIndex],49)+SUMIFS(T_TTAFStock[TTAF_Qty],T_TTAFStock[RM_Code],$A65,T_TTAFStock[WeekIndex],49),AW65+'Grid_Incoming'!AX65-'Grid_Requirement'!AX65))</f>
        <v/>
      </c>
      <c r="AY65">
        <f>IF(COUNTIFS(T_StockCount[RM_Code],$A65,T_StockCount[WeekIndex],50)&gt;0,SUMIFS(T_StockCount[CountedQty],T_StockCount[RM_Code],$A65,T_StockCount[WeekIndex],50),IF((COUNTIFS(T_SelfStock[RM_Code],$A65,T_SelfStock[WeekIndex],50)&gt;0)*(COUNTIFS(T_TTAFStock[RM_Code],$A65,T_TTAFStock[WeekIndex],50)&gt;0)&gt;0,SUMIFS(T_SelfStock[Self_Qty],T_SelfStock[RM_Code],$A65,T_SelfStock[WeekIndex],50)+SUMIFS(T_TTAFStock[TTAF_Qty],T_TTAFStock[RM_Code],$A65,T_TTAFStock[WeekIndex],50),AX65+'Grid_Incoming'!AY65-'Grid_Requirement'!AY65))</f>
        <v/>
      </c>
      <c r="AZ65">
        <f>IF(COUNTIFS(T_StockCount[RM_Code],$A65,T_StockCount[WeekIndex],51)&gt;0,SUMIFS(T_StockCount[CountedQty],T_StockCount[RM_Code],$A65,T_StockCount[WeekIndex],51),IF((COUNTIFS(T_SelfStock[RM_Code],$A65,T_SelfStock[WeekIndex],51)&gt;0)*(COUNTIFS(T_TTAFStock[RM_Code],$A65,T_TTAFStock[WeekIndex],51)&gt;0)&gt;0,SUMIFS(T_SelfStock[Self_Qty],T_SelfStock[RM_Code],$A65,T_SelfStock[WeekIndex],51)+SUMIFS(T_TTAFStock[TTAF_Qty],T_TTAFStock[RM_Code],$A65,T_TTAFStock[WeekIndex],51),AY65+'Grid_Incoming'!AZ65-'Grid_Requirement'!AZ65))</f>
        <v/>
      </c>
      <c r="BA65">
        <f>IF(COUNTIFS(T_StockCount[RM_Code],$A65,T_StockCount[WeekIndex],52)&gt;0,SUMIFS(T_StockCount[CountedQty],T_StockCount[RM_Code],$A65,T_StockCount[WeekIndex],52),IF((COUNTIFS(T_SelfStock[RM_Code],$A65,T_SelfStock[WeekIndex],52)&gt;0)*(COUNTIFS(T_TTAFStock[RM_Code],$A65,T_TTAFStock[WeekIndex],52)&gt;0)&gt;0,SUMIFS(T_SelfStock[Self_Qty],T_SelfStock[RM_Code],$A65,T_SelfStock[WeekIndex],52)+SUMIFS(T_TTAFStock[TTAF_Qty],T_TTAFStock[RM_Code],$A65,T_TTAFStock[WeekIndex],52),AZ65+'Grid_Incoming'!BA65-'Grid_Requirement'!BA65))</f>
        <v/>
      </c>
      <c r="BB65">
        <f>IF(COUNTIFS(T_StockCount[RM_Code],$A65,T_StockCount[WeekIndex],53)&gt;0,SUMIFS(T_StockCount[CountedQty],T_StockCount[RM_Code],$A65,T_StockCount[WeekIndex],53),IF((COUNTIFS(T_SelfStock[RM_Code],$A65,T_SelfStock[WeekIndex],53)&gt;0)*(COUNTIFS(T_TTAFStock[RM_Code],$A65,T_TTAFStock[WeekIndex],53)&gt;0)&gt;0,SUMIFS(T_SelfStock[Self_Qty],T_SelfStock[RM_Code],$A65,T_SelfStock[WeekIndex],53)+SUMIFS(T_TTAFStock[TTAF_Qty],T_TTAFStock[RM_Code],$A65,T_TTAFStock[WeekIndex],53),BA65+'Grid_Incoming'!BB65-'Grid_Requirement'!BB65))</f>
        <v/>
      </c>
      <c r="BC65">
        <f>IF(COUNTIFS(T_StockCount[RM_Code],$A65,T_StockCount[WeekIndex],54)&gt;0,SUMIFS(T_StockCount[CountedQty],T_StockCount[RM_Code],$A65,T_StockCount[WeekIndex],54),IF((COUNTIFS(T_SelfStock[RM_Code],$A65,T_SelfStock[WeekIndex],54)&gt;0)*(COUNTIFS(T_TTAFStock[RM_Code],$A65,T_TTAFStock[WeekIndex],54)&gt;0)&gt;0,SUMIFS(T_SelfStock[Self_Qty],T_SelfStock[RM_Code],$A65,T_SelfStock[WeekIndex],54)+SUMIFS(T_TTAFStock[TTAF_Qty],T_TTAFStock[RM_Code],$A65,T_TTAFStock[WeekIndex],54),BB65+'Grid_Incoming'!BC65-'Grid_Requirement'!BC65))</f>
        <v/>
      </c>
      <c r="BD65">
        <f>IF(COUNTIFS(T_StockCount[RM_Code],$A65,T_StockCount[WeekIndex],55)&gt;0,SUMIFS(T_StockCount[CountedQty],T_StockCount[RM_Code],$A65,T_StockCount[WeekIndex],55),IF((COUNTIFS(T_SelfStock[RM_Code],$A65,T_SelfStock[WeekIndex],55)&gt;0)*(COUNTIFS(T_TTAFStock[RM_Code],$A65,T_TTAFStock[WeekIndex],55)&gt;0)&gt;0,SUMIFS(T_SelfStock[Self_Qty],T_SelfStock[RM_Code],$A65,T_SelfStock[WeekIndex],55)+SUMIFS(T_TTAFStock[TTAF_Qty],T_TTAFStock[RM_Code],$A65,T_TTAFStock[WeekIndex],55),BC65+'Grid_Incoming'!BD65-'Grid_Requirement'!BD65))</f>
        <v/>
      </c>
      <c r="BE65">
        <f>IF(COUNTIFS(T_StockCount[RM_Code],$A65,T_StockCount[WeekIndex],56)&gt;0,SUMIFS(T_StockCount[CountedQty],T_StockCount[RM_Code],$A65,T_StockCount[WeekIndex],56),IF((COUNTIFS(T_SelfStock[RM_Code],$A65,T_SelfStock[WeekIndex],56)&gt;0)*(COUNTIFS(T_TTAFStock[RM_Code],$A65,T_TTAFStock[WeekIndex],56)&gt;0)&gt;0,SUMIFS(T_SelfStock[Self_Qty],T_SelfStock[RM_Code],$A65,T_SelfStock[WeekIndex],56)+SUMIFS(T_TTAFStock[TTAF_Qty],T_TTAFStock[RM_Code],$A65,T_TTAFStock[WeekIndex],56),BD65+'Grid_Incoming'!BE65-'Grid_Requirement'!BE65))</f>
        <v/>
      </c>
      <c r="BF65">
        <f>IF(COUNTIFS(T_StockCount[RM_Code],$A65,T_StockCount[WeekIndex],57)&gt;0,SUMIFS(T_StockCount[CountedQty],T_StockCount[RM_Code],$A65,T_StockCount[WeekIndex],57),IF((COUNTIFS(T_SelfStock[RM_Code],$A65,T_SelfStock[WeekIndex],57)&gt;0)*(COUNTIFS(T_TTAFStock[RM_Code],$A65,T_TTAFStock[WeekIndex],57)&gt;0)&gt;0,SUMIFS(T_SelfStock[Self_Qty],T_SelfStock[RM_Code],$A65,T_SelfStock[WeekIndex],57)+SUMIFS(T_TTAFStock[TTAF_Qty],T_TTAFStock[RM_Code],$A65,T_TTAFStock[WeekIndex],57),BE65+'Grid_Incoming'!BF65-'Grid_Requirement'!BF65))</f>
        <v/>
      </c>
      <c r="BG65">
        <f>IF(COUNTIFS(T_StockCount[RM_Code],$A65,T_StockCount[WeekIndex],58)&gt;0,SUMIFS(T_StockCount[CountedQty],T_StockCount[RM_Code],$A65,T_StockCount[WeekIndex],58),IF((COUNTIFS(T_SelfStock[RM_Code],$A65,T_SelfStock[WeekIndex],58)&gt;0)*(COUNTIFS(T_TTAFStock[RM_Code],$A65,T_TTAFStock[WeekIndex],58)&gt;0)&gt;0,SUMIFS(T_SelfStock[Self_Qty],T_SelfStock[RM_Code],$A65,T_SelfStock[WeekIndex],58)+SUMIFS(T_TTAFStock[TTAF_Qty],T_TTAFStock[RM_Code],$A65,T_TTAFStock[WeekIndex],58),BF65+'Grid_Incoming'!BG65-'Grid_Requirement'!BG65))</f>
        <v/>
      </c>
      <c r="BH65">
        <f>IF(COUNTIFS(T_StockCount[RM_Code],$A65,T_StockCount[WeekIndex],59)&gt;0,SUMIFS(T_StockCount[CountedQty],T_StockCount[RM_Code],$A65,T_StockCount[WeekIndex],59),IF((COUNTIFS(T_SelfStock[RM_Code],$A65,T_SelfStock[WeekIndex],59)&gt;0)*(COUNTIFS(T_TTAFStock[RM_Code],$A65,T_TTAFStock[WeekIndex],59)&gt;0)&gt;0,SUMIFS(T_SelfStock[Self_Qty],T_SelfStock[RM_Code],$A65,T_SelfStock[WeekIndex],59)+SUMIFS(T_TTAFStock[TTAF_Qty],T_TTAFStock[RM_Code],$A65,T_TTAFStock[WeekIndex],59),BG65+'Grid_Incoming'!BH65-'Grid_Requirement'!BH65))</f>
        <v/>
      </c>
      <c r="BI65">
        <f>IF(COUNTIFS(T_StockCount[RM_Code],$A65,T_StockCount[WeekIndex],60)&gt;0,SUMIFS(T_StockCount[CountedQty],T_StockCount[RM_Code],$A65,T_StockCount[WeekIndex],60),IF((COUNTIFS(T_SelfStock[RM_Code],$A65,T_SelfStock[WeekIndex],60)&gt;0)*(COUNTIFS(T_TTAFStock[RM_Code],$A65,T_TTAFStock[WeekIndex],60)&gt;0)&gt;0,SUMIFS(T_SelfStock[Self_Qty],T_SelfStock[RM_Code],$A65,T_SelfStock[WeekIndex],60)+SUMIFS(T_TTAFStock[TTAF_Qty],T_TTAFStock[RM_Code],$A65,T_TTAFStock[WeekIndex],60),BH65+'Grid_Incoming'!BI65-'Grid_Requirement'!BI65))</f>
        <v/>
      </c>
      <c r="BJ65">
        <f>IF(COUNTIFS(T_StockCount[RM_Code],$A65,T_StockCount[WeekIndex],61)&gt;0,SUMIFS(T_StockCount[CountedQty],T_StockCount[RM_Code],$A65,T_StockCount[WeekIndex],61),IF((COUNTIFS(T_SelfStock[RM_Code],$A65,T_SelfStock[WeekIndex],61)&gt;0)*(COUNTIFS(T_TTAFStock[RM_Code],$A65,T_TTAFStock[WeekIndex],61)&gt;0)&gt;0,SUMIFS(T_SelfStock[Self_Qty],T_SelfStock[RM_Code],$A65,T_SelfStock[WeekIndex],61)+SUMIFS(T_TTAFStock[TTAF_Qty],T_TTAFStock[RM_Code],$A65,T_TTAFStock[WeekIndex],61),BI65+'Grid_Incoming'!BJ65-'Grid_Requirement'!BJ65))</f>
        <v/>
      </c>
      <c r="BK65">
        <f>IF(COUNTIFS(T_StockCount[RM_Code],$A65,T_StockCount[WeekIndex],62)&gt;0,SUMIFS(T_StockCount[CountedQty],T_StockCount[RM_Code],$A65,T_StockCount[WeekIndex],62),IF((COUNTIFS(T_SelfStock[RM_Code],$A65,T_SelfStock[WeekIndex],62)&gt;0)*(COUNTIFS(T_TTAFStock[RM_Code],$A65,T_TTAFStock[WeekIndex],62)&gt;0)&gt;0,SUMIFS(T_SelfStock[Self_Qty],T_SelfStock[RM_Code],$A65,T_SelfStock[WeekIndex],62)+SUMIFS(T_TTAFStock[TTAF_Qty],T_TTAFStock[RM_Code],$A65,T_TTAFStock[WeekIndex],62),BJ65+'Grid_Incoming'!BK65-'Grid_Requirement'!BK65))</f>
        <v/>
      </c>
      <c r="BL65">
        <f>IF(COUNTIFS(T_StockCount[RM_Code],$A65,T_StockCount[WeekIndex],63)&gt;0,SUMIFS(T_StockCount[CountedQty],T_StockCount[RM_Code],$A65,T_StockCount[WeekIndex],63),IF((COUNTIFS(T_SelfStock[RM_Code],$A65,T_SelfStock[WeekIndex],63)&gt;0)*(COUNTIFS(T_TTAFStock[RM_Code],$A65,T_TTAFStock[WeekIndex],63)&gt;0)&gt;0,SUMIFS(T_SelfStock[Self_Qty],T_SelfStock[RM_Code],$A65,T_SelfStock[WeekIndex],63)+SUMIFS(T_TTAFStock[TTAF_Qty],T_TTAFStock[RM_Code],$A65,T_TTAFStock[WeekIndex],63),BK65+'Grid_Incoming'!BL65-'Grid_Requirement'!BL65))</f>
        <v/>
      </c>
      <c r="BM65">
        <f>IF(COUNTIFS(T_StockCount[RM_Code],$A65,T_StockCount[WeekIndex],64)&gt;0,SUMIFS(T_StockCount[CountedQty],T_StockCount[RM_Code],$A65,T_StockCount[WeekIndex],64),IF((COUNTIFS(T_SelfStock[RM_Code],$A65,T_SelfStock[WeekIndex],64)&gt;0)*(COUNTIFS(T_TTAFStock[RM_Code],$A65,T_TTAFStock[WeekIndex],64)&gt;0)&gt;0,SUMIFS(T_SelfStock[Self_Qty],T_SelfStock[RM_Code],$A65,T_SelfStock[WeekIndex],64)+SUMIFS(T_TTAFStock[TTAF_Qty],T_TTAFStock[RM_Code],$A65,T_TTAFStock[WeekIndex],64),BL65+'Grid_Incoming'!BM65-'Grid_Requirement'!BM65))</f>
        <v/>
      </c>
      <c r="BN65">
        <f>IF(COUNTIFS(T_StockCount[RM_Code],$A65,T_StockCount[WeekIndex],65)&gt;0,SUMIFS(T_StockCount[CountedQty],T_StockCount[RM_Code],$A65,T_StockCount[WeekIndex],65),IF((COUNTIFS(T_SelfStock[RM_Code],$A65,T_SelfStock[WeekIndex],65)&gt;0)*(COUNTIFS(T_TTAFStock[RM_Code],$A65,T_TTAFStock[WeekIndex],65)&gt;0)&gt;0,SUMIFS(T_SelfStock[Self_Qty],T_SelfStock[RM_Code],$A65,T_SelfStock[WeekIndex],65)+SUMIFS(T_TTAFStock[TTAF_Qty],T_TTAFStock[RM_Code],$A65,T_TTAFStock[WeekIndex],65),BM65+'Grid_Incoming'!BN65-'Grid_Requirement'!BN65))</f>
        <v/>
      </c>
      <c r="BO65">
        <f>IF(COUNTIFS(T_StockCount[RM_Code],$A65,T_StockCount[WeekIndex],66)&gt;0,SUMIFS(T_StockCount[CountedQty],T_StockCount[RM_Code],$A65,T_StockCount[WeekIndex],66),IF((COUNTIFS(T_SelfStock[RM_Code],$A65,T_SelfStock[WeekIndex],66)&gt;0)*(COUNTIFS(T_TTAFStock[RM_Code],$A65,T_TTAFStock[WeekIndex],66)&gt;0)&gt;0,SUMIFS(T_SelfStock[Self_Qty],T_SelfStock[RM_Code],$A65,T_SelfStock[WeekIndex],66)+SUMIFS(T_TTAFStock[TTAF_Qty],T_TTAFStock[RM_Code],$A65,T_TTAFStock[WeekIndex],66),BN65+'Grid_Incoming'!BO65-'Grid_Requirement'!BO65))</f>
        <v/>
      </c>
      <c r="BP65">
        <f>IF(COUNTIFS(T_StockCount[RM_Code],$A65,T_StockCount[WeekIndex],67)&gt;0,SUMIFS(T_StockCount[CountedQty],T_StockCount[RM_Code],$A65,T_StockCount[WeekIndex],67),IF((COUNTIFS(T_SelfStock[RM_Code],$A65,T_SelfStock[WeekIndex],67)&gt;0)*(COUNTIFS(T_TTAFStock[RM_Code],$A65,T_TTAFStock[WeekIndex],67)&gt;0)&gt;0,SUMIFS(T_SelfStock[Self_Qty],T_SelfStock[RM_Code],$A65,T_SelfStock[WeekIndex],67)+SUMIFS(T_TTAFStock[TTAF_Qty],T_TTAFStock[RM_Code],$A65,T_TTAFStock[WeekIndex],67),BO65+'Grid_Incoming'!BP65-'Grid_Requirement'!BP65))</f>
        <v/>
      </c>
      <c r="BQ65">
        <f>IF(COUNTIFS(T_StockCount[RM_Code],$A65,T_StockCount[WeekIndex],68)&gt;0,SUMIFS(T_StockCount[CountedQty],T_StockCount[RM_Code],$A65,T_StockCount[WeekIndex],68),IF((COUNTIFS(T_SelfStock[RM_Code],$A65,T_SelfStock[WeekIndex],68)&gt;0)*(COUNTIFS(T_TTAFStock[RM_Code],$A65,T_TTAFStock[WeekIndex],68)&gt;0)&gt;0,SUMIFS(T_SelfStock[Self_Qty],T_SelfStock[RM_Code],$A65,T_SelfStock[WeekIndex],68)+SUMIFS(T_TTAFStock[TTAF_Qty],T_TTAFStock[RM_Code],$A65,T_TTAFStock[WeekIndex],68),BP65+'Grid_Incoming'!BQ65-'Grid_Requirement'!BQ65))</f>
        <v/>
      </c>
      <c r="BR65">
        <f>IF(COUNTIFS(T_StockCount[RM_Code],$A65,T_StockCount[WeekIndex],69)&gt;0,SUMIFS(T_StockCount[CountedQty],T_StockCount[RM_Code],$A65,T_StockCount[WeekIndex],69),IF((COUNTIFS(T_SelfStock[RM_Code],$A65,T_SelfStock[WeekIndex],69)&gt;0)*(COUNTIFS(T_TTAFStock[RM_Code],$A65,T_TTAFStock[WeekIndex],69)&gt;0)&gt;0,SUMIFS(T_SelfStock[Self_Qty],T_SelfStock[RM_Code],$A65,T_SelfStock[WeekIndex],69)+SUMIFS(T_TTAFStock[TTAF_Qty],T_TTAFStock[RM_Code],$A65,T_TTAFStock[WeekIndex],69),BQ65+'Grid_Incoming'!BR65-'Grid_Requirement'!BR65))</f>
        <v/>
      </c>
      <c r="BS65">
        <f>IF(COUNTIFS(T_StockCount[RM_Code],$A65,T_StockCount[WeekIndex],70)&gt;0,SUMIFS(T_StockCount[CountedQty],T_StockCount[RM_Code],$A65,T_StockCount[WeekIndex],70),IF((COUNTIFS(T_SelfStock[RM_Code],$A65,T_SelfStock[WeekIndex],70)&gt;0)*(COUNTIFS(T_TTAFStock[RM_Code],$A65,T_TTAFStock[WeekIndex],70)&gt;0)&gt;0,SUMIFS(T_SelfStock[Self_Qty],T_SelfStock[RM_Code],$A65,T_SelfStock[WeekIndex],70)+SUMIFS(T_TTAFStock[TTAF_Qty],T_TTAFStock[RM_Code],$A65,T_TTAFStock[WeekIndex],70),BR65+'Grid_Incoming'!BS65-'Grid_Requirement'!BS65))</f>
        <v/>
      </c>
      <c r="BT65">
        <f>IF(COUNTIFS(T_StockCount[RM_Code],$A65,T_StockCount[WeekIndex],71)&gt;0,SUMIFS(T_StockCount[CountedQty],T_StockCount[RM_Code],$A65,T_StockCount[WeekIndex],71),IF((COUNTIFS(T_SelfStock[RM_Code],$A65,T_SelfStock[WeekIndex],71)&gt;0)*(COUNTIFS(T_TTAFStock[RM_Code],$A65,T_TTAFStock[WeekIndex],71)&gt;0)&gt;0,SUMIFS(T_SelfStock[Self_Qty],T_SelfStock[RM_Code],$A65,T_SelfStock[WeekIndex],71)+SUMIFS(T_TTAFStock[TTAF_Qty],T_TTAFStock[RM_Code],$A65,T_TTAFStock[WeekIndex],71),BS65+'Grid_Incoming'!BT65-'Grid_Requirement'!BT65))</f>
        <v/>
      </c>
      <c r="BU65">
        <f>IF(COUNTIFS(T_StockCount[RM_Code],$A65,T_StockCount[WeekIndex],72)&gt;0,SUMIFS(T_StockCount[CountedQty],T_StockCount[RM_Code],$A65,T_StockCount[WeekIndex],72),IF((COUNTIFS(T_SelfStock[RM_Code],$A65,T_SelfStock[WeekIndex],72)&gt;0)*(COUNTIFS(T_TTAFStock[RM_Code],$A65,T_TTAFStock[WeekIndex],72)&gt;0)&gt;0,SUMIFS(T_SelfStock[Self_Qty],T_SelfStock[RM_Code],$A65,T_SelfStock[WeekIndex],72)+SUMIFS(T_TTAFStock[TTAF_Qty],T_TTAFStock[RM_Code],$A65,T_TTAFStock[WeekIndex],72),BT65+'Grid_Incoming'!BU65-'Grid_Requirement'!BU65))</f>
        <v/>
      </c>
      <c r="BV65">
        <f>IF(COUNTIFS(T_StockCount[RM_Code],$A65,T_StockCount[WeekIndex],73)&gt;0,SUMIFS(T_StockCount[CountedQty],T_StockCount[RM_Code],$A65,T_StockCount[WeekIndex],73),IF((COUNTIFS(T_SelfStock[RM_Code],$A65,T_SelfStock[WeekIndex],73)&gt;0)*(COUNTIFS(T_TTAFStock[RM_Code],$A65,T_TTAFStock[WeekIndex],73)&gt;0)&gt;0,SUMIFS(T_SelfStock[Self_Qty],T_SelfStock[RM_Code],$A65,T_SelfStock[WeekIndex],73)+SUMIFS(T_TTAFStock[TTAF_Qty],T_TTAFStock[RM_Code],$A65,T_TTAFStock[WeekIndex],73),BU65+'Grid_Incoming'!BV65-'Grid_Requirement'!BV65))</f>
        <v/>
      </c>
      <c r="BW65">
        <f>IF(COUNTIFS(T_StockCount[RM_Code],$A65,T_StockCount[WeekIndex],74)&gt;0,SUMIFS(T_StockCount[CountedQty],T_StockCount[RM_Code],$A65,T_StockCount[WeekIndex],74),IF((COUNTIFS(T_SelfStock[RM_Code],$A65,T_SelfStock[WeekIndex],74)&gt;0)*(COUNTIFS(T_TTAFStock[RM_Code],$A65,T_TTAFStock[WeekIndex],74)&gt;0)&gt;0,SUMIFS(T_SelfStock[Self_Qty],T_SelfStock[RM_Code],$A65,T_SelfStock[WeekIndex],74)+SUMIFS(T_TTAFStock[TTAF_Qty],T_TTAFStock[RM_Code],$A65,T_TTAFStock[WeekIndex],74),BV65+'Grid_Incoming'!BW65-'Grid_Requirement'!BW65))</f>
        <v/>
      </c>
      <c r="BX65">
        <f>IF(COUNTIFS(T_StockCount[RM_Code],$A65,T_StockCount[WeekIndex],75)&gt;0,SUMIFS(T_StockCount[CountedQty],T_StockCount[RM_Code],$A65,T_StockCount[WeekIndex],75),IF((COUNTIFS(T_SelfStock[RM_Code],$A65,T_SelfStock[WeekIndex],75)&gt;0)*(COUNTIFS(T_TTAFStock[RM_Code],$A65,T_TTAFStock[WeekIndex],75)&gt;0)&gt;0,SUMIFS(T_SelfStock[Self_Qty],T_SelfStock[RM_Code],$A65,T_SelfStock[WeekIndex],75)+SUMIFS(T_TTAFStock[TTAF_Qty],T_TTAFStock[RM_Code],$A65,T_TTAFStock[WeekIndex],75),BW65+'Grid_Incoming'!BX65-'Grid_Requirement'!BX65))</f>
        <v/>
      </c>
      <c r="BY65">
        <f>IF(COUNTIFS(T_StockCount[RM_Code],$A65,T_StockCount[WeekIndex],76)&gt;0,SUMIFS(T_StockCount[CountedQty],T_StockCount[RM_Code],$A65,T_StockCount[WeekIndex],76),IF((COUNTIFS(T_SelfStock[RM_Code],$A65,T_SelfStock[WeekIndex],76)&gt;0)*(COUNTIFS(T_TTAFStock[RM_Code],$A65,T_TTAFStock[WeekIndex],76)&gt;0)&gt;0,SUMIFS(T_SelfStock[Self_Qty],T_SelfStock[RM_Code],$A65,T_SelfStock[WeekIndex],76)+SUMIFS(T_TTAFStock[TTAF_Qty],T_TTAFStock[RM_Code],$A65,T_TTAFStock[WeekIndex],76),BX65+'Grid_Incoming'!BY65-'Grid_Requirement'!BY65))</f>
        <v/>
      </c>
      <c r="BZ65">
        <f>IF(COUNTIFS(T_StockCount[RM_Code],$A65,T_StockCount[WeekIndex],77)&gt;0,SUMIFS(T_StockCount[CountedQty],T_StockCount[RM_Code],$A65,T_StockCount[WeekIndex],77),IF((COUNTIFS(T_SelfStock[RM_Code],$A65,T_SelfStock[WeekIndex],77)&gt;0)*(COUNTIFS(T_TTAFStock[RM_Code],$A65,T_TTAFStock[WeekIndex],77)&gt;0)&gt;0,SUMIFS(T_SelfStock[Self_Qty],T_SelfStock[RM_Code],$A65,T_SelfStock[WeekIndex],77)+SUMIFS(T_TTAFStock[TTAF_Qty],T_TTAFStock[RM_Code],$A65,T_TTAFStock[WeekIndex],77),BY65+'Grid_Incoming'!BZ65-'Grid_Requirement'!BZ65))</f>
        <v/>
      </c>
      <c r="CA65">
        <f>IF(COUNTIFS(T_StockCount[RM_Code],$A65,T_StockCount[WeekIndex],78)&gt;0,SUMIFS(T_StockCount[CountedQty],T_StockCount[RM_Code],$A65,T_StockCount[WeekIndex],78),IF((COUNTIFS(T_SelfStock[RM_Code],$A65,T_SelfStock[WeekIndex],78)&gt;0)*(COUNTIFS(T_TTAFStock[RM_Code],$A65,T_TTAFStock[WeekIndex],78)&gt;0)&gt;0,SUMIFS(T_SelfStock[Self_Qty],T_SelfStock[RM_Code],$A65,T_SelfStock[WeekIndex],78)+SUMIFS(T_TTAFStock[TTAF_Qty],T_TTAFStock[RM_Code],$A65,T_TTAFStock[WeekIndex],78),BZ65+'Grid_Incoming'!CA65-'Grid_Requirement'!CA65))</f>
        <v/>
      </c>
      <c r="CB65">
        <f>IF(COUNTIFS(T_StockCount[RM_Code],$A65,T_StockCount[WeekIndex],79)&gt;0,SUMIFS(T_StockCount[CountedQty],T_StockCount[RM_Code],$A65,T_StockCount[WeekIndex],79),IF((COUNTIFS(T_SelfStock[RM_Code],$A65,T_SelfStock[WeekIndex],79)&gt;0)*(COUNTIFS(T_TTAFStock[RM_Code],$A65,T_TTAFStock[WeekIndex],79)&gt;0)&gt;0,SUMIFS(T_SelfStock[Self_Qty],T_SelfStock[RM_Code],$A65,T_SelfStock[WeekIndex],79)+SUMIFS(T_TTAFStock[TTAF_Qty],T_TTAFStock[RM_Code],$A65,T_TTAFStock[WeekIndex],79),CA65+'Grid_Incoming'!CB65-'Grid_Requirement'!CB65))</f>
        <v/>
      </c>
      <c r="CC65">
        <f>IF(COUNTIFS(T_StockCount[RM_Code],$A65,T_StockCount[WeekIndex],80)&gt;0,SUMIFS(T_StockCount[CountedQty],T_StockCount[RM_Code],$A65,T_StockCount[WeekIndex],80),IF((COUNTIFS(T_SelfStock[RM_Code],$A65,T_SelfStock[WeekIndex],80)&gt;0)*(COUNTIFS(T_TTAFStock[RM_Code],$A65,T_TTAFStock[WeekIndex],80)&gt;0)&gt;0,SUMIFS(T_SelfStock[Self_Qty],T_SelfStock[RM_Code],$A65,T_SelfStock[WeekIndex],80)+SUMIFS(T_TTAFStock[TTAF_Qty],T_TTAFStock[RM_Code],$A65,T_TTAFStock[WeekIndex],80),CB65+'Grid_Incoming'!CC65-'Grid_Requirement'!CC65))</f>
        <v/>
      </c>
      <c r="CD65">
        <f>IF(COUNTIFS(T_StockCount[RM_Code],$A65,T_StockCount[WeekIndex],81)&gt;0,SUMIFS(T_StockCount[CountedQty],T_StockCount[RM_Code],$A65,T_StockCount[WeekIndex],81),IF((COUNTIFS(T_SelfStock[RM_Code],$A65,T_SelfStock[WeekIndex],81)&gt;0)*(COUNTIFS(T_TTAFStock[RM_Code],$A65,T_TTAFStock[WeekIndex],81)&gt;0)&gt;0,SUMIFS(T_SelfStock[Self_Qty],T_SelfStock[RM_Code],$A65,T_SelfStock[WeekIndex],81)+SUMIFS(T_TTAFStock[TTAF_Qty],T_TTAFStock[RM_Code],$A65,T_TTAFStock[WeekIndex],81),CC65+'Grid_Incoming'!CD65-'Grid_Requirement'!CD65))</f>
        <v/>
      </c>
      <c r="CE65">
        <f>IF(COUNTIFS(T_StockCount[RM_Code],$A65,T_StockCount[WeekIndex],82)&gt;0,SUMIFS(T_StockCount[CountedQty],T_StockCount[RM_Code],$A65,T_StockCount[WeekIndex],82),IF((COUNTIFS(T_SelfStock[RM_Code],$A65,T_SelfStock[WeekIndex],82)&gt;0)*(COUNTIFS(T_TTAFStock[RM_Code],$A65,T_TTAFStock[WeekIndex],82)&gt;0)&gt;0,SUMIFS(T_SelfStock[Self_Qty],T_SelfStock[RM_Code],$A65,T_SelfStock[WeekIndex],82)+SUMIFS(T_TTAFStock[TTAF_Qty],T_TTAFStock[RM_Code],$A65,T_TTAFStock[WeekIndex],82),CD65+'Grid_Incoming'!CE65-'Grid_Requirement'!CE65))</f>
        <v/>
      </c>
      <c r="CF65">
        <f>IF(COUNTIFS(T_StockCount[RM_Code],$A65,T_StockCount[WeekIndex],83)&gt;0,SUMIFS(T_StockCount[CountedQty],T_StockCount[RM_Code],$A65,T_StockCount[WeekIndex],83),IF((COUNTIFS(T_SelfStock[RM_Code],$A65,T_SelfStock[WeekIndex],83)&gt;0)*(COUNTIFS(T_TTAFStock[RM_Code],$A65,T_TTAFStock[WeekIndex],83)&gt;0)&gt;0,SUMIFS(T_SelfStock[Self_Qty],T_SelfStock[RM_Code],$A65,T_SelfStock[WeekIndex],83)+SUMIFS(T_TTAFStock[TTAF_Qty],T_TTAFStock[RM_Code],$A65,T_TTAFStock[WeekIndex],83),CE65+'Grid_Incoming'!CF65-'Grid_Requirement'!CF65))</f>
        <v/>
      </c>
      <c r="CG65">
        <f>IF(COUNTIFS(T_StockCount[RM_Code],$A65,T_StockCount[WeekIndex],84)&gt;0,SUMIFS(T_StockCount[CountedQty],T_StockCount[RM_Code],$A65,T_StockCount[WeekIndex],84),IF((COUNTIFS(T_SelfStock[RM_Code],$A65,T_SelfStock[WeekIndex],84)&gt;0)*(COUNTIFS(T_TTAFStock[RM_Code],$A65,T_TTAFStock[WeekIndex],84)&gt;0)&gt;0,SUMIFS(T_SelfStock[Self_Qty],T_SelfStock[RM_Code],$A65,T_SelfStock[WeekIndex],84)+SUMIFS(T_TTAFStock[TTAF_Qty],T_TTAFStock[RM_Code],$A65,T_TTAFStock[WeekIndex],84),CF65+'Grid_Incoming'!CG65-'Grid_Requirement'!CG65))</f>
        <v/>
      </c>
      <c r="CH65">
        <f>IF(COUNTIFS(T_StockCount[RM_Code],$A65,T_StockCount[WeekIndex],85)&gt;0,SUMIFS(T_StockCount[CountedQty],T_StockCount[RM_Code],$A65,T_StockCount[WeekIndex],85),IF((COUNTIFS(T_SelfStock[RM_Code],$A65,T_SelfStock[WeekIndex],85)&gt;0)*(COUNTIFS(T_TTAFStock[RM_Code],$A65,T_TTAFStock[WeekIndex],85)&gt;0)&gt;0,SUMIFS(T_SelfStock[Self_Qty],T_SelfStock[RM_Code],$A65,T_SelfStock[WeekIndex],85)+SUMIFS(T_TTAFStock[TTAF_Qty],T_TTAFStock[RM_Code],$A65,T_TTAFStock[WeekIndex],85),CG65+'Grid_Incoming'!CH65-'Grid_Requirement'!CH65))</f>
        <v/>
      </c>
      <c r="CI65">
        <f>IF(COUNTIFS(T_StockCount[RM_Code],$A65,T_StockCount[WeekIndex],86)&gt;0,SUMIFS(T_StockCount[CountedQty],T_StockCount[RM_Code],$A65,T_StockCount[WeekIndex],86),IF((COUNTIFS(T_SelfStock[RM_Code],$A65,T_SelfStock[WeekIndex],86)&gt;0)*(COUNTIFS(T_TTAFStock[RM_Code],$A65,T_TTAFStock[WeekIndex],86)&gt;0)&gt;0,SUMIFS(T_SelfStock[Self_Qty],T_SelfStock[RM_Code],$A65,T_SelfStock[WeekIndex],86)+SUMIFS(T_TTAFStock[TTAF_Qty],T_TTAFStock[RM_Code],$A65,T_TTAFStock[WeekIndex],86),CH65+'Grid_Incoming'!CI65-'Grid_Requirement'!CI65))</f>
        <v/>
      </c>
      <c r="CJ65">
        <f>IF(COUNTIFS(T_StockCount[RM_Code],$A65,T_StockCount[WeekIndex],87)&gt;0,SUMIFS(T_StockCount[CountedQty],T_StockCount[RM_Code],$A65,T_StockCount[WeekIndex],87),IF((COUNTIFS(T_SelfStock[RM_Code],$A65,T_SelfStock[WeekIndex],87)&gt;0)*(COUNTIFS(T_TTAFStock[RM_Code],$A65,T_TTAFStock[WeekIndex],87)&gt;0)&gt;0,SUMIFS(T_SelfStock[Self_Qty],T_SelfStock[RM_Code],$A65,T_SelfStock[WeekIndex],87)+SUMIFS(T_TTAFStock[TTAF_Qty],T_TTAFStock[RM_Code],$A65,T_TTAFStock[WeekIndex],87),CI65+'Grid_Incoming'!CJ65-'Grid_Requirement'!CJ65))</f>
        <v/>
      </c>
      <c r="CK65">
        <f>IF(COUNTIFS(T_StockCount[RM_Code],$A65,T_StockCount[WeekIndex],88)&gt;0,SUMIFS(T_StockCount[CountedQty],T_StockCount[RM_Code],$A65,T_StockCount[WeekIndex],88),IF((COUNTIFS(T_SelfStock[RM_Code],$A65,T_SelfStock[WeekIndex],88)&gt;0)*(COUNTIFS(T_TTAFStock[RM_Code],$A65,T_TTAFStock[WeekIndex],88)&gt;0)&gt;0,SUMIFS(T_SelfStock[Self_Qty],T_SelfStock[RM_Code],$A65,T_SelfStock[WeekIndex],88)+SUMIFS(T_TTAFStock[TTAF_Qty],T_TTAFStock[RM_Code],$A65,T_TTAFStock[WeekIndex],88),CJ65+'Grid_Incoming'!CK65-'Grid_Requirement'!CK65))</f>
        <v/>
      </c>
      <c r="CL65">
        <f>IF(COUNTIFS(T_StockCount[RM_Code],$A65,T_StockCount[WeekIndex],89)&gt;0,SUMIFS(T_StockCount[CountedQty],T_StockCount[RM_Code],$A65,T_StockCount[WeekIndex],89),IF((COUNTIFS(T_SelfStock[RM_Code],$A65,T_SelfStock[WeekIndex],89)&gt;0)*(COUNTIFS(T_TTAFStock[RM_Code],$A65,T_TTAFStock[WeekIndex],89)&gt;0)&gt;0,SUMIFS(T_SelfStock[Self_Qty],T_SelfStock[RM_Code],$A65,T_SelfStock[WeekIndex],89)+SUMIFS(T_TTAFStock[TTAF_Qty],T_TTAFStock[RM_Code],$A65,T_TTAFStock[WeekIndex],89),CK65+'Grid_Incoming'!CL65-'Grid_Requirement'!CL65))</f>
        <v/>
      </c>
      <c r="CM65">
        <f>IF(COUNTIFS(T_StockCount[RM_Code],$A65,T_StockCount[WeekIndex],90)&gt;0,SUMIFS(T_StockCount[CountedQty],T_StockCount[RM_Code],$A65,T_StockCount[WeekIndex],90),IF((COUNTIFS(T_SelfStock[RM_Code],$A65,T_SelfStock[WeekIndex],90)&gt;0)*(COUNTIFS(T_TTAFStock[RM_Code],$A65,T_TTAFStock[WeekIndex],90)&gt;0)&gt;0,SUMIFS(T_SelfStock[Self_Qty],T_SelfStock[RM_Code],$A65,T_SelfStock[WeekIndex],90)+SUMIFS(T_TTAFStock[TTAF_Qty],T_TTAFStock[RM_Code],$A65,T_TTAFStock[WeekIndex],90),CL65+'Grid_Incoming'!CM65-'Grid_Requirement'!CM65))</f>
        <v/>
      </c>
      <c r="CN65">
        <f>IF(COUNTIFS(T_StockCount[RM_Code],$A65,T_StockCount[WeekIndex],91)&gt;0,SUMIFS(T_StockCount[CountedQty],T_StockCount[RM_Code],$A65,T_StockCount[WeekIndex],91),IF((COUNTIFS(T_SelfStock[RM_Code],$A65,T_SelfStock[WeekIndex],91)&gt;0)*(COUNTIFS(T_TTAFStock[RM_Code],$A65,T_TTAFStock[WeekIndex],91)&gt;0)&gt;0,SUMIFS(T_SelfStock[Self_Qty],T_SelfStock[RM_Code],$A65,T_SelfStock[WeekIndex],91)+SUMIFS(T_TTAFStock[TTAF_Qty],T_TTAFStock[RM_Code],$A65,T_TTAFStock[WeekIndex],91),CM65+'Grid_Incoming'!CN65-'Grid_Requirement'!CN65))</f>
        <v/>
      </c>
      <c r="CO65">
        <f>IF(COUNTIFS(T_StockCount[RM_Code],$A65,T_StockCount[WeekIndex],92)&gt;0,SUMIFS(T_StockCount[CountedQty],T_StockCount[RM_Code],$A65,T_StockCount[WeekIndex],92),IF((COUNTIFS(T_SelfStock[RM_Code],$A65,T_SelfStock[WeekIndex],92)&gt;0)*(COUNTIFS(T_TTAFStock[RM_Code],$A65,T_TTAFStock[WeekIndex],92)&gt;0)&gt;0,SUMIFS(T_SelfStock[Self_Qty],T_SelfStock[RM_Code],$A65,T_SelfStock[WeekIndex],92)+SUMIFS(T_TTAFStock[TTAF_Qty],T_TTAFStock[RM_Code],$A65,T_TTAFStock[WeekIndex],92),CN65+'Grid_Incoming'!CO65-'Grid_Requirement'!CO65))</f>
        <v/>
      </c>
      <c r="CP65">
        <f>IF(COUNTIFS(T_StockCount[RM_Code],$A65,T_StockCount[WeekIndex],93)&gt;0,SUMIFS(T_StockCount[CountedQty],T_StockCount[RM_Code],$A65,T_StockCount[WeekIndex],93),IF((COUNTIFS(T_SelfStock[RM_Code],$A65,T_SelfStock[WeekIndex],93)&gt;0)*(COUNTIFS(T_TTAFStock[RM_Code],$A65,T_TTAFStock[WeekIndex],93)&gt;0)&gt;0,SUMIFS(T_SelfStock[Self_Qty],T_SelfStock[RM_Code],$A65,T_SelfStock[WeekIndex],93)+SUMIFS(T_TTAFStock[TTAF_Qty],T_TTAFStock[RM_Code],$A65,T_TTAFStock[WeekIndex],93),CO65+'Grid_Incoming'!CP65-'Grid_Requirement'!CP65))</f>
        <v/>
      </c>
      <c r="CQ65">
        <f>IF(COUNTIFS(T_StockCount[RM_Code],$A65,T_StockCount[WeekIndex],94)&gt;0,SUMIFS(T_StockCount[CountedQty],T_StockCount[RM_Code],$A65,T_StockCount[WeekIndex],94),IF((COUNTIFS(T_SelfStock[RM_Code],$A65,T_SelfStock[WeekIndex],94)&gt;0)*(COUNTIFS(T_TTAFStock[RM_Code],$A65,T_TTAFStock[WeekIndex],94)&gt;0)&gt;0,SUMIFS(T_SelfStock[Self_Qty],T_SelfStock[RM_Code],$A65,T_SelfStock[WeekIndex],94)+SUMIFS(T_TTAFStock[TTAF_Qty],T_TTAFStock[RM_Code],$A65,T_TTAFStock[WeekIndex],94),CP65+'Grid_Incoming'!CQ65-'Grid_Requirement'!CQ65))</f>
        <v/>
      </c>
      <c r="CR65">
        <f>IF(COUNTIFS(T_StockCount[RM_Code],$A65,T_StockCount[WeekIndex],95)&gt;0,SUMIFS(T_StockCount[CountedQty],T_StockCount[RM_Code],$A65,T_StockCount[WeekIndex],95),IF((COUNTIFS(T_SelfStock[RM_Code],$A65,T_SelfStock[WeekIndex],95)&gt;0)*(COUNTIFS(T_TTAFStock[RM_Code],$A65,T_TTAFStock[WeekIndex],95)&gt;0)&gt;0,SUMIFS(T_SelfStock[Self_Qty],T_SelfStock[RM_Code],$A65,T_SelfStock[WeekIndex],95)+SUMIFS(T_TTAFStock[TTAF_Qty],T_TTAFStock[RM_Code],$A65,T_TTAFStock[WeekIndex],95),CQ65+'Grid_Incoming'!CR65-'Grid_Requirement'!CR65))</f>
        <v/>
      </c>
      <c r="CS65">
        <f>IF(COUNTIFS(T_StockCount[RM_Code],$A65,T_StockCount[WeekIndex],96)&gt;0,SUMIFS(T_StockCount[CountedQty],T_StockCount[RM_Code],$A65,T_StockCount[WeekIndex],96),IF((COUNTIFS(T_SelfStock[RM_Code],$A65,T_SelfStock[WeekIndex],96)&gt;0)*(COUNTIFS(T_TTAFStock[RM_Code],$A65,T_TTAFStock[WeekIndex],96)&gt;0)&gt;0,SUMIFS(T_SelfStock[Self_Qty],T_SelfStock[RM_Code],$A65,T_SelfStock[WeekIndex],96)+SUMIFS(T_TTAFStock[TTAF_Qty],T_TTAFStock[RM_Code],$A65,T_TTAFStock[WeekIndex],96),CR65+'Grid_Incoming'!CS65-'Grid_Requirement'!CS65))</f>
        <v/>
      </c>
      <c r="CT65">
        <f>IF(COUNTIFS(T_StockCount[RM_Code],$A65,T_StockCount[WeekIndex],97)&gt;0,SUMIFS(T_StockCount[CountedQty],T_StockCount[RM_Code],$A65,T_StockCount[WeekIndex],97),IF((COUNTIFS(T_SelfStock[RM_Code],$A65,T_SelfStock[WeekIndex],97)&gt;0)*(COUNTIFS(T_TTAFStock[RM_Code],$A65,T_TTAFStock[WeekIndex],97)&gt;0)&gt;0,SUMIFS(T_SelfStock[Self_Qty],T_SelfStock[RM_Code],$A65,T_SelfStock[WeekIndex],97)+SUMIFS(T_TTAFStock[TTAF_Qty],T_TTAFStock[RM_Code],$A65,T_TTAFStock[WeekIndex],97),CS65+'Grid_Incoming'!CT65-'Grid_Requirement'!CT65))</f>
        <v/>
      </c>
      <c r="CU65">
        <f>IF(COUNTIFS(T_StockCount[RM_Code],$A65,T_StockCount[WeekIndex],98)&gt;0,SUMIFS(T_StockCount[CountedQty],T_StockCount[RM_Code],$A65,T_StockCount[WeekIndex],98),IF((COUNTIFS(T_SelfStock[RM_Code],$A65,T_SelfStock[WeekIndex],98)&gt;0)*(COUNTIFS(T_TTAFStock[RM_Code],$A65,T_TTAFStock[WeekIndex],98)&gt;0)&gt;0,SUMIFS(T_SelfStock[Self_Qty],T_SelfStock[RM_Code],$A65,T_SelfStock[WeekIndex],98)+SUMIFS(T_TTAFStock[TTAF_Qty],T_TTAFStock[RM_Code],$A65,T_TTAFStock[WeekIndex],98),CT65+'Grid_Incoming'!CU65-'Grid_Requirement'!CU65))</f>
        <v/>
      </c>
      <c r="CV65">
        <f>IF(COUNTIFS(T_StockCount[RM_Code],$A65,T_StockCount[WeekIndex],99)&gt;0,SUMIFS(T_StockCount[CountedQty],T_StockCount[RM_Code],$A65,T_StockCount[WeekIndex],99),IF((COUNTIFS(T_SelfStock[RM_Code],$A65,T_SelfStock[WeekIndex],99)&gt;0)*(COUNTIFS(T_TTAFStock[RM_Code],$A65,T_TTAFStock[WeekIndex],99)&gt;0)&gt;0,SUMIFS(T_SelfStock[Self_Qty],T_SelfStock[RM_Code],$A65,T_SelfStock[WeekIndex],99)+SUMIFS(T_TTAFStock[TTAF_Qty],T_TTAFStock[RM_Code],$A65,T_TTAFStock[WeekIndex],99),CU65+'Grid_Incoming'!CV65-'Grid_Requirement'!CV65))</f>
        <v/>
      </c>
      <c r="CW65">
        <f>IF(COUNTIFS(T_StockCount[RM_Code],$A65,T_StockCount[WeekIndex],100)&gt;0,SUMIFS(T_StockCount[CountedQty],T_StockCount[RM_Code],$A65,T_StockCount[WeekIndex],100),IF((COUNTIFS(T_SelfStock[RM_Code],$A65,T_SelfStock[WeekIndex],100)&gt;0)*(COUNTIFS(T_TTAFStock[RM_Code],$A65,T_TTAFStock[WeekIndex],100)&gt;0)&gt;0,SUMIFS(T_SelfStock[Self_Qty],T_SelfStock[RM_Code],$A65,T_SelfStock[WeekIndex],100)+SUMIFS(T_TTAFStock[TTAF_Qty],T_TTAFStock[RM_Code],$A65,T_TTAFStock[WeekIndex],100),CV65+'Grid_Incoming'!CW65-'Grid_Requirement'!CW65))</f>
        <v/>
      </c>
      <c r="CX65">
        <f>IF(COUNTIFS(T_StockCount[RM_Code],$A65,T_StockCount[WeekIndex],101)&gt;0,SUMIFS(T_StockCount[CountedQty],T_StockCount[RM_Code],$A65,T_StockCount[WeekIndex],101),IF((COUNTIFS(T_SelfStock[RM_Code],$A65,T_SelfStock[WeekIndex],101)&gt;0)*(COUNTIFS(T_TTAFStock[RM_Code],$A65,T_TTAFStock[WeekIndex],101)&gt;0)&gt;0,SUMIFS(T_SelfStock[Self_Qty],T_SelfStock[RM_Code],$A65,T_SelfStock[WeekIndex],101)+SUMIFS(T_TTAFStock[TTAF_Qty],T_TTAFStock[RM_Code],$A65,T_TTAFStock[WeekIndex],101),CW65+'Grid_Incoming'!CX65-'Grid_Requirement'!CX65))</f>
        <v/>
      </c>
      <c r="CY65">
        <f>IF(COUNTIFS(T_StockCount[RM_Code],$A65,T_StockCount[WeekIndex],102)&gt;0,SUMIFS(T_StockCount[CountedQty],T_StockCount[RM_Code],$A65,T_StockCount[WeekIndex],102),IF((COUNTIFS(T_SelfStock[RM_Code],$A65,T_SelfStock[WeekIndex],102)&gt;0)*(COUNTIFS(T_TTAFStock[RM_Code],$A65,T_TTAFStock[WeekIndex],102)&gt;0)&gt;0,SUMIFS(T_SelfStock[Self_Qty],T_SelfStock[RM_Code],$A65,T_SelfStock[WeekIndex],102)+SUMIFS(T_TTAFStock[TTAF_Qty],T_TTAFStock[RM_Code],$A65,T_TTAFStock[WeekIndex],102),CX65+'Grid_Incoming'!CY65-'Grid_Requirement'!CY65))</f>
        <v/>
      </c>
      <c r="CZ65">
        <f>IF(COUNTIFS(T_StockCount[RM_Code],$A65,T_StockCount[WeekIndex],103)&gt;0,SUMIFS(T_StockCount[CountedQty],T_StockCount[RM_Code],$A65,T_StockCount[WeekIndex],103),IF((COUNTIFS(T_SelfStock[RM_Code],$A65,T_SelfStock[WeekIndex],103)&gt;0)*(COUNTIFS(T_TTAFStock[RM_Code],$A65,T_TTAFStock[WeekIndex],103)&gt;0)&gt;0,SUMIFS(T_SelfStock[Self_Qty],T_SelfStock[RM_Code],$A65,T_SelfStock[WeekIndex],103)+SUMIFS(T_TTAFStock[TTAF_Qty],T_TTAFStock[RM_Code],$A65,T_TTAFStock[WeekIndex],103),CY65+'Grid_Incoming'!CZ65-'Grid_Requirement'!CZ65))</f>
        <v/>
      </c>
      <c r="DA65">
        <f>IF(COUNTIFS(T_StockCount[RM_Code],$A65,T_StockCount[WeekIndex],104)&gt;0,SUMIFS(T_StockCount[CountedQty],T_StockCount[RM_Code],$A65,T_StockCount[WeekIndex],104),IF((COUNTIFS(T_SelfStock[RM_Code],$A65,T_SelfStock[WeekIndex],104)&gt;0)*(COUNTIFS(T_TTAFStock[RM_Code],$A65,T_TTAFStock[WeekIndex],104)&gt;0)&gt;0,SUMIFS(T_SelfStock[Self_Qty],T_SelfStock[RM_Code],$A65,T_SelfStock[WeekIndex],104)+SUMIFS(T_TTAFStock[TTAF_Qty],T_TTAFStock[RM_Code],$A65,T_TTAFStock[WeekIndex],104),CZ65+'Grid_Incoming'!DA65-'Grid_Requirement'!DA65))</f>
        <v/>
      </c>
    </row>
    <row r="66">
      <c r="A66" t="inlineStr">
        <is>
          <t>V03</t>
        </is>
      </c>
      <c r="B66">
        <f>IF(COUNTIFS(T_StockCount[RM_Code],$A66,T_StockCount[WeekIndex],1)&gt;0,SUMIFS(T_StockCount[CountedQty],T_StockCount[RM_Code],$A66,T_StockCount[WeekIndex],1),IF((COUNTIFS(T_SelfStock[RM_Code],$A66,T_SelfStock[WeekIndex],1)&gt;0)*(COUNTIFS(T_TTAFStock[RM_Code],$A66,T_TTAFStock[WeekIndex],1)&gt;0)&gt;0,SUMIFS(T_SelfStock[Self_Qty],T_SelfStock[RM_Code],$A66,T_SelfStock[WeekIndex],1)+SUMIFS(T_TTAFStock[TTAF_Qty],T_TTAFStock[RM_Code],$A66,T_TTAFStock[WeekIndex],1),IFERROR(INDEX(T_OpeningStock[Opening_Qty],MATCH($A66,T_OpeningStock[RM_Code],0)),0)+'Grid_Incoming'!B66-'Grid_Requirement'!B66))</f>
        <v/>
      </c>
      <c r="C66">
        <f>IF(COUNTIFS(T_StockCount[RM_Code],$A66,T_StockCount[WeekIndex],2)&gt;0,SUMIFS(T_StockCount[CountedQty],T_StockCount[RM_Code],$A66,T_StockCount[WeekIndex],2),IF((COUNTIFS(T_SelfStock[RM_Code],$A66,T_SelfStock[WeekIndex],2)&gt;0)*(COUNTIFS(T_TTAFStock[RM_Code],$A66,T_TTAFStock[WeekIndex],2)&gt;0)&gt;0,SUMIFS(T_SelfStock[Self_Qty],T_SelfStock[RM_Code],$A66,T_SelfStock[WeekIndex],2)+SUMIFS(T_TTAFStock[TTAF_Qty],T_TTAFStock[RM_Code],$A66,T_TTAFStock[WeekIndex],2),B66+'Grid_Incoming'!C66-'Grid_Requirement'!C66))</f>
        <v/>
      </c>
      <c r="D66">
        <f>IF(COUNTIFS(T_StockCount[RM_Code],$A66,T_StockCount[WeekIndex],3)&gt;0,SUMIFS(T_StockCount[CountedQty],T_StockCount[RM_Code],$A66,T_StockCount[WeekIndex],3),IF((COUNTIFS(T_SelfStock[RM_Code],$A66,T_SelfStock[WeekIndex],3)&gt;0)*(COUNTIFS(T_TTAFStock[RM_Code],$A66,T_TTAFStock[WeekIndex],3)&gt;0)&gt;0,SUMIFS(T_SelfStock[Self_Qty],T_SelfStock[RM_Code],$A66,T_SelfStock[WeekIndex],3)+SUMIFS(T_TTAFStock[TTAF_Qty],T_TTAFStock[RM_Code],$A66,T_TTAFStock[WeekIndex],3),C66+'Grid_Incoming'!D66-'Grid_Requirement'!D66))</f>
        <v/>
      </c>
      <c r="E66">
        <f>IF(COUNTIFS(T_StockCount[RM_Code],$A66,T_StockCount[WeekIndex],4)&gt;0,SUMIFS(T_StockCount[CountedQty],T_StockCount[RM_Code],$A66,T_StockCount[WeekIndex],4),IF((COUNTIFS(T_SelfStock[RM_Code],$A66,T_SelfStock[WeekIndex],4)&gt;0)*(COUNTIFS(T_TTAFStock[RM_Code],$A66,T_TTAFStock[WeekIndex],4)&gt;0)&gt;0,SUMIFS(T_SelfStock[Self_Qty],T_SelfStock[RM_Code],$A66,T_SelfStock[WeekIndex],4)+SUMIFS(T_TTAFStock[TTAF_Qty],T_TTAFStock[RM_Code],$A66,T_TTAFStock[WeekIndex],4),D66+'Grid_Incoming'!E66-'Grid_Requirement'!E66))</f>
        <v/>
      </c>
      <c r="F66">
        <f>IF(COUNTIFS(T_StockCount[RM_Code],$A66,T_StockCount[WeekIndex],5)&gt;0,SUMIFS(T_StockCount[CountedQty],T_StockCount[RM_Code],$A66,T_StockCount[WeekIndex],5),IF((COUNTIFS(T_SelfStock[RM_Code],$A66,T_SelfStock[WeekIndex],5)&gt;0)*(COUNTIFS(T_TTAFStock[RM_Code],$A66,T_TTAFStock[WeekIndex],5)&gt;0)&gt;0,SUMIFS(T_SelfStock[Self_Qty],T_SelfStock[RM_Code],$A66,T_SelfStock[WeekIndex],5)+SUMIFS(T_TTAFStock[TTAF_Qty],T_TTAFStock[RM_Code],$A66,T_TTAFStock[WeekIndex],5),E66+'Grid_Incoming'!F66-'Grid_Requirement'!F66))</f>
        <v/>
      </c>
      <c r="G66">
        <f>IF(COUNTIFS(T_StockCount[RM_Code],$A66,T_StockCount[WeekIndex],6)&gt;0,SUMIFS(T_StockCount[CountedQty],T_StockCount[RM_Code],$A66,T_StockCount[WeekIndex],6),IF((COUNTIFS(T_SelfStock[RM_Code],$A66,T_SelfStock[WeekIndex],6)&gt;0)*(COUNTIFS(T_TTAFStock[RM_Code],$A66,T_TTAFStock[WeekIndex],6)&gt;0)&gt;0,SUMIFS(T_SelfStock[Self_Qty],T_SelfStock[RM_Code],$A66,T_SelfStock[WeekIndex],6)+SUMIFS(T_TTAFStock[TTAF_Qty],T_TTAFStock[RM_Code],$A66,T_TTAFStock[WeekIndex],6),F66+'Grid_Incoming'!G66-'Grid_Requirement'!G66))</f>
        <v/>
      </c>
      <c r="H66">
        <f>IF(COUNTIFS(T_StockCount[RM_Code],$A66,T_StockCount[WeekIndex],7)&gt;0,SUMIFS(T_StockCount[CountedQty],T_StockCount[RM_Code],$A66,T_StockCount[WeekIndex],7),IF((COUNTIFS(T_SelfStock[RM_Code],$A66,T_SelfStock[WeekIndex],7)&gt;0)*(COUNTIFS(T_TTAFStock[RM_Code],$A66,T_TTAFStock[WeekIndex],7)&gt;0)&gt;0,SUMIFS(T_SelfStock[Self_Qty],T_SelfStock[RM_Code],$A66,T_SelfStock[WeekIndex],7)+SUMIFS(T_TTAFStock[TTAF_Qty],T_TTAFStock[RM_Code],$A66,T_TTAFStock[WeekIndex],7),G66+'Grid_Incoming'!H66-'Grid_Requirement'!H66))</f>
        <v/>
      </c>
      <c r="I66">
        <f>IF(COUNTIFS(T_StockCount[RM_Code],$A66,T_StockCount[WeekIndex],8)&gt;0,SUMIFS(T_StockCount[CountedQty],T_StockCount[RM_Code],$A66,T_StockCount[WeekIndex],8),IF((COUNTIFS(T_SelfStock[RM_Code],$A66,T_SelfStock[WeekIndex],8)&gt;0)*(COUNTIFS(T_TTAFStock[RM_Code],$A66,T_TTAFStock[WeekIndex],8)&gt;0)&gt;0,SUMIFS(T_SelfStock[Self_Qty],T_SelfStock[RM_Code],$A66,T_SelfStock[WeekIndex],8)+SUMIFS(T_TTAFStock[TTAF_Qty],T_TTAFStock[RM_Code],$A66,T_TTAFStock[WeekIndex],8),H66+'Grid_Incoming'!I66-'Grid_Requirement'!I66))</f>
        <v/>
      </c>
      <c r="J66">
        <f>IF(COUNTIFS(T_StockCount[RM_Code],$A66,T_StockCount[WeekIndex],9)&gt;0,SUMIFS(T_StockCount[CountedQty],T_StockCount[RM_Code],$A66,T_StockCount[WeekIndex],9),IF((COUNTIFS(T_SelfStock[RM_Code],$A66,T_SelfStock[WeekIndex],9)&gt;0)*(COUNTIFS(T_TTAFStock[RM_Code],$A66,T_TTAFStock[WeekIndex],9)&gt;0)&gt;0,SUMIFS(T_SelfStock[Self_Qty],T_SelfStock[RM_Code],$A66,T_SelfStock[WeekIndex],9)+SUMIFS(T_TTAFStock[TTAF_Qty],T_TTAFStock[RM_Code],$A66,T_TTAFStock[WeekIndex],9),I66+'Grid_Incoming'!J66-'Grid_Requirement'!J66))</f>
        <v/>
      </c>
      <c r="K66">
        <f>IF(COUNTIFS(T_StockCount[RM_Code],$A66,T_StockCount[WeekIndex],10)&gt;0,SUMIFS(T_StockCount[CountedQty],T_StockCount[RM_Code],$A66,T_StockCount[WeekIndex],10),IF((COUNTIFS(T_SelfStock[RM_Code],$A66,T_SelfStock[WeekIndex],10)&gt;0)*(COUNTIFS(T_TTAFStock[RM_Code],$A66,T_TTAFStock[WeekIndex],10)&gt;0)&gt;0,SUMIFS(T_SelfStock[Self_Qty],T_SelfStock[RM_Code],$A66,T_SelfStock[WeekIndex],10)+SUMIFS(T_TTAFStock[TTAF_Qty],T_TTAFStock[RM_Code],$A66,T_TTAFStock[WeekIndex],10),J66+'Grid_Incoming'!K66-'Grid_Requirement'!K66))</f>
        <v/>
      </c>
      <c r="L66">
        <f>IF(COUNTIFS(T_StockCount[RM_Code],$A66,T_StockCount[WeekIndex],11)&gt;0,SUMIFS(T_StockCount[CountedQty],T_StockCount[RM_Code],$A66,T_StockCount[WeekIndex],11),IF((COUNTIFS(T_SelfStock[RM_Code],$A66,T_SelfStock[WeekIndex],11)&gt;0)*(COUNTIFS(T_TTAFStock[RM_Code],$A66,T_TTAFStock[WeekIndex],11)&gt;0)&gt;0,SUMIFS(T_SelfStock[Self_Qty],T_SelfStock[RM_Code],$A66,T_SelfStock[WeekIndex],11)+SUMIFS(T_TTAFStock[TTAF_Qty],T_TTAFStock[RM_Code],$A66,T_TTAFStock[WeekIndex],11),K66+'Grid_Incoming'!L66-'Grid_Requirement'!L66))</f>
        <v/>
      </c>
      <c r="M66">
        <f>IF(COUNTIFS(T_StockCount[RM_Code],$A66,T_StockCount[WeekIndex],12)&gt;0,SUMIFS(T_StockCount[CountedQty],T_StockCount[RM_Code],$A66,T_StockCount[WeekIndex],12),IF((COUNTIFS(T_SelfStock[RM_Code],$A66,T_SelfStock[WeekIndex],12)&gt;0)*(COUNTIFS(T_TTAFStock[RM_Code],$A66,T_TTAFStock[WeekIndex],12)&gt;0)&gt;0,SUMIFS(T_SelfStock[Self_Qty],T_SelfStock[RM_Code],$A66,T_SelfStock[WeekIndex],12)+SUMIFS(T_TTAFStock[TTAF_Qty],T_TTAFStock[RM_Code],$A66,T_TTAFStock[WeekIndex],12),L66+'Grid_Incoming'!M66-'Grid_Requirement'!M66))</f>
        <v/>
      </c>
      <c r="N66">
        <f>IF(COUNTIFS(T_StockCount[RM_Code],$A66,T_StockCount[WeekIndex],13)&gt;0,SUMIFS(T_StockCount[CountedQty],T_StockCount[RM_Code],$A66,T_StockCount[WeekIndex],13),IF((COUNTIFS(T_SelfStock[RM_Code],$A66,T_SelfStock[WeekIndex],13)&gt;0)*(COUNTIFS(T_TTAFStock[RM_Code],$A66,T_TTAFStock[WeekIndex],13)&gt;0)&gt;0,SUMIFS(T_SelfStock[Self_Qty],T_SelfStock[RM_Code],$A66,T_SelfStock[WeekIndex],13)+SUMIFS(T_TTAFStock[TTAF_Qty],T_TTAFStock[RM_Code],$A66,T_TTAFStock[WeekIndex],13),M66+'Grid_Incoming'!N66-'Grid_Requirement'!N66))</f>
        <v/>
      </c>
      <c r="O66">
        <f>IF(COUNTIFS(T_StockCount[RM_Code],$A66,T_StockCount[WeekIndex],14)&gt;0,SUMIFS(T_StockCount[CountedQty],T_StockCount[RM_Code],$A66,T_StockCount[WeekIndex],14),IF((COUNTIFS(T_SelfStock[RM_Code],$A66,T_SelfStock[WeekIndex],14)&gt;0)*(COUNTIFS(T_TTAFStock[RM_Code],$A66,T_TTAFStock[WeekIndex],14)&gt;0)&gt;0,SUMIFS(T_SelfStock[Self_Qty],T_SelfStock[RM_Code],$A66,T_SelfStock[WeekIndex],14)+SUMIFS(T_TTAFStock[TTAF_Qty],T_TTAFStock[RM_Code],$A66,T_TTAFStock[WeekIndex],14),N66+'Grid_Incoming'!O66-'Grid_Requirement'!O66))</f>
        <v/>
      </c>
      <c r="P66">
        <f>IF(COUNTIFS(T_StockCount[RM_Code],$A66,T_StockCount[WeekIndex],15)&gt;0,SUMIFS(T_StockCount[CountedQty],T_StockCount[RM_Code],$A66,T_StockCount[WeekIndex],15),IF((COUNTIFS(T_SelfStock[RM_Code],$A66,T_SelfStock[WeekIndex],15)&gt;0)*(COUNTIFS(T_TTAFStock[RM_Code],$A66,T_TTAFStock[WeekIndex],15)&gt;0)&gt;0,SUMIFS(T_SelfStock[Self_Qty],T_SelfStock[RM_Code],$A66,T_SelfStock[WeekIndex],15)+SUMIFS(T_TTAFStock[TTAF_Qty],T_TTAFStock[RM_Code],$A66,T_TTAFStock[WeekIndex],15),O66+'Grid_Incoming'!P66-'Grid_Requirement'!P66))</f>
        <v/>
      </c>
      <c r="Q66">
        <f>IF(COUNTIFS(T_StockCount[RM_Code],$A66,T_StockCount[WeekIndex],16)&gt;0,SUMIFS(T_StockCount[CountedQty],T_StockCount[RM_Code],$A66,T_StockCount[WeekIndex],16),IF((COUNTIFS(T_SelfStock[RM_Code],$A66,T_SelfStock[WeekIndex],16)&gt;0)*(COUNTIFS(T_TTAFStock[RM_Code],$A66,T_TTAFStock[WeekIndex],16)&gt;0)&gt;0,SUMIFS(T_SelfStock[Self_Qty],T_SelfStock[RM_Code],$A66,T_SelfStock[WeekIndex],16)+SUMIFS(T_TTAFStock[TTAF_Qty],T_TTAFStock[RM_Code],$A66,T_TTAFStock[WeekIndex],16),P66+'Grid_Incoming'!Q66-'Grid_Requirement'!Q66))</f>
        <v/>
      </c>
      <c r="R66">
        <f>IF(COUNTIFS(T_StockCount[RM_Code],$A66,T_StockCount[WeekIndex],17)&gt;0,SUMIFS(T_StockCount[CountedQty],T_StockCount[RM_Code],$A66,T_StockCount[WeekIndex],17),IF((COUNTIFS(T_SelfStock[RM_Code],$A66,T_SelfStock[WeekIndex],17)&gt;0)*(COUNTIFS(T_TTAFStock[RM_Code],$A66,T_TTAFStock[WeekIndex],17)&gt;0)&gt;0,SUMIFS(T_SelfStock[Self_Qty],T_SelfStock[RM_Code],$A66,T_SelfStock[WeekIndex],17)+SUMIFS(T_TTAFStock[TTAF_Qty],T_TTAFStock[RM_Code],$A66,T_TTAFStock[WeekIndex],17),Q66+'Grid_Incoming'!R66-'Grid_Requirement'!R66))</f>
        <v/>
      </c>
      <c r="S66">
        <f>IF(COUNTIFS(T_StockCount[RM_Code],$A66,T_StockCount[WeekIndex],18)&gt;0,SUMIFS(T_StockCount[CountedQty],T_StockCount[RM_Code],$A66,T_StockCount[WeekIndex],18),IF((COUNTIFS(T_SelfStock[RM_Code],$A66,T_SelfStock[WeekIndex],18)&gt;0)*(COUNTIFS(T_TTAFStock[RM_Code],$A66,T_TTAFStock[WeekIndex],18)&gt;0)&gt;0,SUMIFS(T_SelfStock[Self_Qty],T_SelfStock[RM_Code],$A66,T_SelfStock[WeekIndex],18)+SUMIFS(T_TTAFStock[TTAF_Qty],T_TTAFStock[RM_Code],$A66,T_TTAFStock[WeekIndex],18),R66+'Grid_Incoming'!S66-'Grid_Requirement'!S66))</f>
        <v/>
      </c>
      <c r="T66">
        <f>IF(COUNTIFS(T_StockCount[RM_Code],$A66,T_StockCount[WeekIndex],19)&gt;0,SUMIFS(T_StockCount[CountedQty],T_StockCount[RM_Code],$A66,T_StockCount[WeekIndex],19),IF((COUNTIFS(T_SelfStock[RM_Code],$A66,T_SelfStock[WeekIndex],19)&gt;0)*(COUNTIFS(T_TTAFStock[RM_Code],$A66,T_TTAFStock[WeekIndex],19)&gt;0)&gt;0,SUMIFS(T_SelfStock[Self_Qty],T_SelfStock[RM_Code],$A66,T_SelfStock[WeekIndex],19)+SUMIFS(T_TTAFStock[TTAF_Qty],T_TTAFStock[RM_Code],$A66,T_TTAFStock[WeekIndex],19),S66+'Grid_Incoming'!T66-'Grid_Requirement'!T66))</f>
        <v/>
      </c>
      <c r="U66">
        <f>IF(COUNTIFS(T_StockCount[RM_Code],$A66,T_StockCount[WeekIndex],20)&gt;0,SUMIFS(T_StockCount[CountedQty],T_StockCount[RM_Code],$A66,T_StockCount[WeekIndex],20),IF((COUNTIFS(T_SelfStock[RM_Code],$A66,T_SelfStock[WeekIndex],20)&gt;0)*(COUNTIFS(T_TTAFStock[RM_Code],$A66,T_TTAFStock[WeekIndex],20)&gt;0)&gt;0,SUMIFS(T_SelfStock[Self_Qty],T_SelfStock[RM_Code],$A66,T_SelfStock[WeekIndex],20)+SUMIFS(T_TTAFStock[TTAF_Qty],T_TTAFStock[RM_Code],$A66,T_TTAFStock[WeekIndex],20),T66+'Grid_Incoming'!U66-'Grid_Requirement'!U66))</f>
        <v/>
      </c>
      <c r="V66">
        <f>IF(COUNTIFS(T_StockCount[RM_Code],$A66,T_StockCount[WeekIndex],21)&gt;0,SUMIFS(T_StockCount[CountedQty],T_StockCount[RM_Code],$A66,T_StockCount[WeekIndex],21),IF((COUNTIFS(T_SelfStock[RM_Code],$A66,T_SelfStock[WeekIndex],21)&gt;0)*(COUNTIFS(T_TTAFStock[RM_Code],$A66,T_TTAFStock[WeekIndex],21)&gt;0)&gt;0,SUMIFS(T_SelfStock[Self_Qty],T_SelfStock[RM_Code],$A66,T_SelfStock[WeekIndex],21)+SUMIFS(T_TTAFStock[TTAF_Qty],T_TTAFStock[RM_Code],$A66,T_TTAFStock[WeekIndex],21),U66+'Grid_Incoming'!V66-'Grid_Requirement'!V66))</f>
        <v/>
      </c>
      <c r="W66">
        <f>IF(COUNTIFS(T_StockCount[RM_Code],$A66,T_StockCount[WeekIndex],22)&gt;0,SUMIFS(T_StockCount[CountedQty],T_StockCount[RM_Code],$A66,T_StockCount[WeekIndex],22),IF((COUNTIFS(T_SelfStock[RM_Code],$A66,T_SelfStock[WeekIndex],22)&gt;0)*(COUNTIFS(T_TTAFStock[RM_Code],$A66,T_TTAFStock[WeekIndex],22)&gt;0)&gt;0,SUMIFS(T_SelfStock[Self_Qty],T_SelfStock[RM_Code],$A66,T_SelfStock[WeekIndex],22)+SUMIFS(T_TTAFStock[TTAF_Qty],T_TTAFStock[RM_Code],$A66,T_TTAFStock[WeekIndex],22),V66+'Grid_Incoming'!W66-'Grid_Requirement'!W66))</f>
        <v/>
      </c>
      <c r="X66">
        <f>IF(COUNTIFS(T_StockCount[RM_Code],$A66,T_StockCount[WeekIndex],23)&gt;0,SUMIFS(T_StockCount[CountedQty],T_StockCount[RM_Code],$A66,T_StockCount[WeekIndex],23),IF((COUNTIFS(T_SelfStock[RM_Code],$A66,T_SelfStock[WeekIndex],23)&gt;0)*(COUNTIFS(T_TTAFStock[RM_Code],$A66,T_TTAFStock[WeekIndex],23)&gt;0)&gt;0,SUMIFS(T_SelfStock[Self_Qty],T_SelfStock[RM_Code],$A66,T_SelfStock[WeekIndex],23)+SUMIFS(T_TTAFStock[TTAF_Qty],T_TTAFStock[RM_Code],$A66,T_TTAFStock[WeekIndex],23),W66+'Grid_Incoming'!X66-'Grid_Requirement'!X66))</f>
        <v/>
      </c>
      <c r="Y66">
        <f>IF(COUNTIFS(T_StockCount[RM_Code],$A66,T_StockCount[WeekIndex],24)&gt;0,SUMIFS(T_StockCount[CountedQty],T_StockCount[RM_Code],$A66,T_StockCount[WeekIndex],24),IF((COUNTIFS(T_SelfStock[RM_Code],$A66,T_SelfStock[WeekIndex],24)&gt;0)*(COUNTIFS(T_TTAFStock[RM_Code],$A66,T_TTAFStock[WeekIndex],24)&gt;0)&gt;0,SUMIFS(T_SelfStock[Self_Qty],T_SelfStock[RM_Code],$A66,T_SelfStock[WeekIndex],24)+SUMIFS(T_TTAFStock[TTAF_Qty],T_TTAFStock[RM_Code],$A66,T_TTAFStock[WeekIndex],24),X66+'Grid_Incoming'!Y66-'Grid_Requirement'!Y66))</f>
        <v/>
      </c>
      <c r="Z66">
        <f>IF(COUNTIFS(T_StockCount[RM_Code],$A66,T_StockCount[WeekIndex],25)&gt;0,SUMIFS(T_StockCount[CountedQty],T_StockCount[RM_Code],$A66,T_StockCount[WeekIndex],25),IF((COUNTIFS(T_SelfStock[RM_Code],$A66,T_SelfStock[WeekIndex],25)&gt;0)*(COUNTIFS(T_TTAFStock[RM_Code],$A66,T_TTAFStock[WeekIndex],25)&gt;0)&gt;0,SUMIFS(T_SelfStock[Self_Qty],T_SelfStock[RM_Code],$A66,T_SelfStock[WeekIndex],25)+SUMIFS(T_TTAFStock[TTAF_Qty],T_TTAFStock[RM_Code],$A66,T_TTAFStock[WeekIndex],25),Y66+'Grid_Incoming'!Z66-'Grid_Requirement'!Z66))</f>
        <v/>
      </c>
      <c r="AA66">
        <f>IF(COUNTIFS(T_StockCount[RM_Code],$A66,T_StockCount[WeekIndex],26)&gt;0,SUMIFS(T_StockCount[CountedQty],T_StockCount[RM_Code],$A66,T_StockCount[WeekIndex],26),IF((COUNTIFS(T_SelfStock[RM_Code],$A66,T_SelfStock[WeekIndex],26)&gt;0)*(COUNTIFS(T_TTAFStock[RM_Code],$A66,T_TTAFStock[WeekIndex],26)&gt;0)&gt;0,SUMIFS(T_SelfStock[Self_Qty],T_SelfStock[RM_Code],$A66,T_SelfStock[WeekIndex],26)+SUMIFS(T_TTAFStock[TTAF_Qty],T_TTAFStock[RM_Code],$A66,T_TTAFStock[WeekIndex],26),Z66+'Grid_Incoming'!AA66-'Grid_Requirement'!AA66))</f>
        <v/>
      </c>
      <c r="AB66">
        <f>IF(COUNTIFS(T_StockCount[RM_Code],$A66,T_StockCount[WeekIndex],27)&gt;0,SUMIFS(T_StockCount[CountedQty],T_StockCount[RM_Code],$A66,T_StockCount[WeekIndex],27),IF((COUNTIFS(T_SelfStock[RM_Code],$A66,T_SelfStock[WeekIndex],27)&gt;0)*(COUNTIFS(T_TTAFStock[RM_Code],$A66,T_TTAFStock[WeekIndex],27)&gt;0)&gt;0,SUMIFS(T_SelfStock[Self_Qty],T_SelfStock[RM_Code],$A66,T_SelfStock[WeekIndex],27)+SUMIFS(T_TTAFStock[TTAF_Qty],T_TTAFStock[RM_Code],$A66,T_TTAFStock[WeekIndex],27),AA66+'Grid_Incoming'!AB66-'Grid_Requirement'!AB66))</f>
        <v/>
      </c>
      <c r="AC66">
        <f>IF(COUNTIFS(T_StockCount[RM_Code],$A66,T_StockCount[WeekIndex],28)&gt;0,SUMIFS(T_StockCount[CountedQty],T_StockCount[RM_Code],$A66,T_StockCount[WeekIndex],28),IF((COUNTIFS(T_SelfStock[RM_Code],$A66,T_SelfStock[WeekIndex],28)&gt;0)*(COUNTIFS(T_TTAFStock[RM_Code],$A66,T_TTAFStock[WeekIndex],28)&gt;0)&gt;0,SUMIFS(T_SelfStock[Self_Qty],T_SelfStock[RM_Code],$A66,T_SelfStock[WeekIndex],28)+SUMIFS(T_TTAFStock[TTAF_Qty],T_TTAFStock[RM_Code],$A66,T_TTAFStock[WeekIndex],28),AB66+'Grid_Incoming'!AC66-'Grid_Requirement'!AC66))</f>
        <v/>
      </c>
      <c r="AD66">
        <f>IF(COUNTIFS(T_StockCount[RM_Code],$A66,T_StockCount[WeekIndex],29)&gt;0,SUMIFS(T_StockCount[CountedQty],T_StockCount[RM_Code],$A66,T_StockCount[WeekIndex],29),IF((COUNTIFS(T_SelfStock[RM_Code],$A66,T_SelfStock[WeekIndex],29)&gt;0)*(COUNTIFS(T_TTAFStock[RM_Code],$A66,T_TTAFStock[WeekIndex],29)&gt;0)&gt;0,SUMIFS(T_SelfStock[Self_Qty],T_SelfStock[RM_Code],$A66,T_SelfStock[WeekIndex],29)+SUMIFS(T_TTAFStock[TTAF_Qty],T_TTAFStock[RM_Code],$A66,T_TTAFStock[WeekIndex],29),AC66+'Grid_Incoming'!AD66-'Grid_Requirement'!AD66))</f>
        <v/>
      </c>
      <c r="AE66">
        <f>IF(COUNTIFS(T_StockCount[RM_Code],$A66,T_StockCount[WeekIndex],30)&gt;0,SUMIFS(T_StockCount[CountedQty],T_StockCount[RM_Code],$A66,T_StockCount[WeekIndex],30),IF((COUNTIFS(T_SelfStock[RM_Code],$A66,T_SelfStock[WeekIndex],30)&gt;0)*(COUNTIFS(T_TTAFStock[RM_Code],$A66,T_TTAFStock[WeekIndex],30)&gt;0)&gt;0,SUMIFS(T_SelfStock[Self_Qty],T_SelfStock[RM_Code],$A66,T_SelfStock[WeekIndex],30)+SUMIFS(T_TTAFStock[TTAF_Qty],T_TTAFStock[RM_Code],$A66,T_TTAFStock[WeekIndex],30),AD66+'Grid_Incoming'!AE66-'Grid_Requirement'!AE66))</f>
        <v/>
      </c>
      <c r="AF66">
        <f>IF(COUNTIFS(T_StockCount[RM_Code],$A66,T_StockCount[WeekIndex],31)&gt;0,SUMIFS(T_StockCount[CountedQty],T_StockCount[RM_Code],$A66,T_StockCount[WeekIndex],31),IF((COUNTIFS(T_SelfStock[RM_Code],$A66,T_SelfStock[WeekIndex],31)&gt;0)*(COUNTIFS(T_TTAFStock[RM_Code],$A66,T_TTAFStock[WeekIndex],31)&gt;0)&gt;0,SUMIFS(T_SelfStock[Self_Qty],T_SelfStock[RM_Code],$A66,T_SelfStock[WeekIndex],31)+SUMIFS(T_TTAFStock[TTAF_Qty],T_TTAFStock[RM_Code],$A66,T_TTAFStock[WeekIndex],31),AE66+'Grid_Incoming'!AF66-'Grid_Requirement'!AF66))</f>
        <v/>
      </c>
      <c r="AG66">
        <f>IF(COUNTIFS(T_StockCount[RM_Code],$A66,T_StockCount[WeekIndex],32)&gt;0,SUMIFS(T_StockCount[CountedQty],T_StockCount[RM_Code],$A66,T_StockCount[WeekIndex],32),IF((COUNTIFS(T_SelfStock[RM_Code],$A66,T_SelfStock[WeekIndex],32)&gt;0)*(COUNTIFS(T_TTAFStock[RM_Code],$A66,T_TTAFStock[WeekIndex],32)&gt;0)&gt;0,SUMIFS(T_SelfStock[Self_Qty],T_SelfStock[RM_Code],$A66,T_SelfStock[WeekIndex],32)+SUMIFS(T_TTAFStock[TTAF_Qty],T_TTAFStock[RM_Code],$A66,T_TTAFStock[WeekIndex],32),AF66+'Grid_Incoming'!AG66-'Grid_Requirement'!AG66))</f>
        <v/>
      </c>
      <c r="AH66">
        <f>IF(COUNTIFS(T_StockCount[RM_Code],$A66,T_StockCount[WeekIndex],33)&gt;0,SUMIFS(T_StockCount[CountedQty],T_StockCount[RM_Code],$A66,T_StockCount[WeekIndex],33),IF((COUNTIFS(T_SelfStock[RM_Code],$A66,T_SelfStock[WeekIndex],33)&gt;0)*(COUNTIFS(T_TTAFStock[RM_Code],$A66,T_TTAFStock[WeekIndex],33)&gt;0)&gt;0,SUMIFS(T_SelfStock[Self_Qty],T_SelfStock[RM_Code],$A66,T_SelfStock[WeekIndex],33)+SUMIFS(T_TTAFStock[TTAF_Qty],T_TTAFStock[RM_Code],$A66,T_TTAFStock[WeekIndex],33),AG66+'Grid_Incoming'!AH66-'Grid_Requirement'!AH66))</f>
        <v/>
      </c>
      <c r="AI66">
        <f>IF(COUNTIFS(T_StockCount[RM_Code],$A66,T_StockCount[WeekIndex],34)&gt;0,SUMIFS(T_StockCount[CountedQty],T_StockCount[RM_Code],$A66,T_StockCount[WeekIndex],34),IF((COUNTIFS(T_SelfStock[RM_Code],$A66,T_SelfStock[WeekIndex],34)&gt;0)*(COUNTIFS(T_TTAFStock[RM_Code],$A66,T_TTAFStock[WeekIndex],34)&gt;0)&gt;0,SUMIFS(T_SelfStock[Self_Qty],T_SelfStock[RM_Code],$A66,T_SelfStock[WeekIndex],34)+SUMIFS(T_TTAFStock[TTAF_Qty],T_TTAFStock[RM_Code],$A66,T_TTAFStock[WeekIndex],34),AH66+'Grid_Incoming'!AI66-'Grid_Requirement'!AI66))</f>
        <v/>
      </c>
      <c r="AJ66">
        <f>IF(COUNTIFS(T_StockCount[RM_Code],$A66,T_StockCount[WeekIndex],35)&gt;0,SUMIFS(T_StockCount[CountedQty],T_StockCount[RM_Code],$A66,T_StockCount[WeekIndex],35),IF((COUNTIFS(T_SelfStock[RM_Code],$A66,T_SelfStock[WeekIndex],35)&gt;0)*(COUNTIFS(T_TTAFStock[RM_Code],$A66,T_TTAFStock[WeekIndex],35)&gt;0)&gt;0,SUMIFS(T_SelfStock[Self_Qty],T_SelfStock[RM_Code],$A66,T_SelfStock[WeekIndex],35)+SUMIFS(T_TTAFStock[TTAF_Qty],T_TTAFStock[RM_Code],$A66,T_TTAFStock[WeekIndex],35),AI66+'Grid_Incoming'!AJ66-'Grid_Requirement'!AJ66))</f>
        <v/>
      </c>
      <c r="AK66">
        <f>IF(COUNTIFS(T_StockCount[RM_Code],$A66,T_StockCount[WeekIndex],36)&gt;0,SUMIFS(T_StockCount[CountedQty],T_StockCount[RM_Code],$A66,T_StockCount[WeekIndex],36),IF((COUNTIFS(T_SelfStock[RM_Code],$A66,T_SelfStock[WeekIndex],36)&gt;0)*(COUNTIFS(T_TTAFStock[RM_Code],$A66,T_TTAFStock[WeekIndex],36)&gt;0)&gt;0,SUMIFS(T_SelfStock[Self_Qty],T_SelfStock[RM_Code],$A66,T_SelfStock[WeekIndex],36)+SUMIFS(T_TTAFStock[TTAF_Qty],T_TTAFStock[RM_Code],$A66,T_TTAFStock[WeekIndex],36),AJ66+'Grid_Incoming'!AK66-'Grid_Requirement'!AK66))</f>
        <v/>
      </c>
      <c r="AL66">
        <f>IF(COUNTIFS(T_StockCount[RM_Code],$A66,T_StockCount[WeekIndex],37)&gt;0,SUMIFS(T_StockCount[CountedQty],T_StockCount[RM_Code],$A66,T_StockCount[WeekIndex],37),IF((COUNTIFS(T_SelfStock[RM_Code],$A66,T_SelfStock[WeekIndex],37)&gt;0)*(COUNTIFS(T_TTAFStock[RM_Code],$A66,T_TTAFStock[WeekIndex],37)&gt;0)&gt;0,SUMIFS(T_SelfStock[Self_Qty],T_SelfStock[RM_Code],$A66,T_SelfStock[WeekIndex],37)+SUMIFS(T_TTAFStock[TTAF_Qty],T_TTAFStock[RM_Code],$A66,T_TTAFStock[WeekIndex],37),AK66+'Grid_Incoming'!AL66-'Grid_Requirement'!AL66))</f>
        <v/>
      </c>
      <c r="AM66">
        <f>IF(COUNTIFS(T_StockCount[RM_Code],$A66,T_StockCount[WeekIndex],38)&gt;0,SUMIFS(T_StockCount[CountedQty],T_StockCount[RM_Code],$A66,T_StockCount[WeekIndex],38),IF((COUNTIFS(T_SelfStock[RM_Code],$A66,T_SelfStock[WeekIndex],38)&gt;0)*(COUNTIFS(T_TTAFStock[RM_Code],$A66,T_TTAFStock[WeekIndex],38)&gt;0)&gt;0,SUMIFS(T_SelfStock[Self_Qty],T_SelfStock[RM_Code],$A66,T_SelfStock[WeekIndex],38)+SUMIFS(T_TTAFStock[TTAF_Qty],T_TTAFStock[RM_Code],$A66,T_TTAFStock[WeekIndex],38),AL66+'Grid_Incoming'!AM66-'Grid_Requirement'!AM66))</f>
        <v/>
      </c>
      <c r="AN66">
        <f>IF(COUNTIFS(T_StockCount[RM_Code],$A66,T_StockCount[WeekIndex],39)&gt;0,SUMIFS(T_StockCount[CountedQty],T_StockCount[RM_Code],$A66,T_StockCount[WeekIndex],39),IF((COUNTIFS(T_SelfStock[RM_Code],$A66,T_SelfStock[WeekIndex],39)&gt;0)*(COUNTIFS(T_TTAFStock[RM_Code],$A66,T_TTAFStock[WeekIndex],39)&gt;0)&gt;0,SUMIFS(T_SelfStock[Self_Qty],T_SelfStock[RM_Code],$A66,T_SelfStock[WeekIndex],39)+SUMIFS(T_TTAFStock[TTAF_Qty],T_TTAFStock[RM_Code],$A66,T_TTAFStock[WeekIndex],39),AM66+'Grid_Incoming'!AN66-'Grid_Requirement'!AN66))</f>
        <v/>
      </c>
      <c r="AO66">
        <f>IF(COUNTIFS(T_StockCount[RM_Code],$A66,T_StockCount[WeekIndex],40)&gt;0,SUMIFS(T_StockCount[CountedQty],T_StockCount[RM_Code],$A66,T_StockCount[WeekIndex],40),IF((COUNTIFS(T_SelfStock[RM_Code],$A66,T_SelfStock[WeekIndex],40)&gt;0)*(COUNTIFS(T_TTAFStock[RM_Code],$A66,T_TTAFStock[WeekIndex],40)&gt;0)&gt;0,SUMIFS(T_SelfStock[Self_Qty],T_SelfStock[RM_Code],$A66,T_SelfStock[WeekIndex],40)+SUMIFS(T_TTAFStock[TTAF_Qty],T_TTAFStock[RM_Code],$A66,T_TTAFStock[WeekIndex],40),AN66+'Grid_Incoming'!AO66-'Grid_Requirement'!AO66))</f>
        <v/>
      </c>
      <c r="AP66">
        <f>IF(COUNTIFS(T_StockCount[RM_Code],$A66,T_StockCount[WeekIndex],41)&gt;0,SUMIFS(T_StockCount[CountedQty],T_StockCount[RM_Code],$A66,T_StockCount[WeekIndex],41),IF((COUNTIFS(T_SelfStock[RM_Code],$A66,T_SelfStock[WeekIndex],41)&gt;0)*(COUNTIFS(T_TTAFStock[RM_Code],$A66,T_TTAFStock[WeekIndex],41)&gt;0)&gt;0,SUMIFS(T_SelfStock[Self_Qty],T_SelfStock[RM_Code],$A66,T_SelfStock[WeekIndex],41)+SUMIFS(T_TTAFStock[TTAF_Qty],T_TTAFStock[RM_Code],$A66,T_TTAFStock[WeekIndex],41),AO66+'Grid_Incoming'!AP66-'Grid_Requirement'!AP66))</f>
        <v/>
      </c>
      <c r="AQ66">
        <f>IF(COUNTIFS(T_StockCount[RM_Code],$A66,T_StockCount[WeekIndex],42)&gt;0,SUMIFS(T_StockCount[CountedQty],T_StockCount[RM_Code],$A66,T_StockCount[WeekIndex],42),IF((COUNTIFS(T_SelfStock[RM_Code],$A66,T_SelfStock[WeekIndex],42)&gt;0)*(COUNTIFS(T_TTAFStock[RM_Code],$A66,T_TTAFStock[WeekIndex],42)&gt;0)&gt;0,SUMIFS(T_SelfStock[Self_Qty],T_SelfStock[RM_Code],$A66,T_SelfStock[WeekIndex],42)+SUMIFS(T_TTAFStock[TTAF_Qty],T_TTAFStock[RM_Code],$A66,T_TTAFStock[WeekIndex],42),AP66+'Grid_Incoming'!AQ66-'Grid_Requirement'!AQ66))</f>
        <v/>
      </c>
      <c r="AR66">
        <f>IF(COUNTIFS(T_StockCount[RM_Code],$A66,T_StockCount[WeekIndex],43)&gt;0,SUMIFS(T_StockCount[CountedQty],T_StockCount[RM_Code],$A66,T_StockCount[WeekIndex],43),IF((COUNTIFS(T_SelfStock[RM_Code],$A66,T_SelfStock[WeekIndex],43)&gt;0)*(COUNTIFS(T_TTAFStock[RM_Code],$A66,T_TTAFStock[WeekIndex],43)&gt;0)&gt;0,SUMIFS(T_SelfStock[Self_Qty],T_SelfStock[RM_Code],$A66,T_SelfStock[WeekIndex],43)+SUMIFS(T_TTAFStock[TTAF_Qty],T_TTAFStock[RM_Code],$A66,T_TTAFStock[WeekIndex],43),AQ66+'Grid_Incoming'!AR66-'Grid_Requirement'!AR66))</f>
        <v/>
      </c>
      <c r="AS66">
        <f>IF(COUNTIFS(T_StockCount[RM_Code],$A66,T_StockCount[WeekIndex],44)&gt;0,SUMIFS(T_StockCount[CountedQty],T_StockCount[RM_Code],$A66,T_StockCount[WeekIndex],44),IF((COUNTIFS(T_SelfStock[RM_Code],$A66,T_SelfStock[WeekIndex],44)&gt;0)*(COUNTIFS(T_TTAFStock[RM_Code],$A66,T_TTAFStock[WeekIndex],44)&gt;0)&gt;0,SUMIFS(T_SelfStock[Self_Qty],T_SelfStock[RM_Code],$A66,T_SelfStock[WeekIndex],44)+SUMIFS(T_TTAFStock[TTAF_Qty],T_TTAFStock[RM_Code],$A66,T_TTAFStock[WeekIndex],44),AR66+'Grid_Incoming'!AS66-'Grid_Requirement'!AS66))</f>
        <v/>
      </c>
      <c r="AT66">
        <f>IF(COUNTIFS(T_StockCount[RM_Code],$A66,T_StockCount[WeekIndex],45)&gt;0,SUMIFS(T_StockCount[CountedQty],T_StockCount[RM_Code],$A66,T_StockCount[WeekIndex],45),IF((COUNTIFS(T_SelfStock[RM_Code],$A66,T_SelfStock[WeekIndex],45)&gt;0)*(COUNTIFS(T_TTAFStock[RM_Code],$A66,T_TTAFStock[WeekIndex],45)&gt;0)&gt;0,SUMIFS(T_SelfStock[Self_Qty],T_SelfStock[RM_Code],$A66,T_SelfStock[WeekIndex],45)+SUMIFS(T_TTAFStock[TTAF_Qty],T_TTAFStock[RM_Code],$A66,T_TTAFStock[WeekIndex],45),AS66+'Grid_Incoming'!AT66-'Grid_Requirement'!AT66))</f>
        <v/>
      </c>
      <c r="AU66">
        <f>IF(COUNTIFS(T_StockCount[RM_Code],$A66,T_StockCount[WeekIndex],46)&gt;0,SUMIFS(T_StockCount[CountedQty],T_StockCount[RM_Code],$A66,T_StockCount[WeekIndex],46),IF((COUNTIFS(T_SelfStock[RM_Code],$A66,T_SelfStock[WeekIndex],46)&gt;0)*(COUNTIFS(T_TTAFStock[RM_Code],$A66,T_TTAFStock[WeekIndex],46)&gt;0)&gt;0,SUMIFS(T_SelfStock[Self_Qty],T_SelfStock[RM_Code],$A66,T_SelfStock[WeekIndex],46)+SUMIFS(T_TTAFStock[TTAF_Qty],T_TTAFStock[RM_Code],$A66,T_TTAFStock[WeekIndex],46),AT66+'Grid_Incoming'!AU66-'Grid_Requirement'!AU66))</f>
        <v/>
      </c>
      <c r="AV66">
        <f>IF(COUNTIFS(T_StockCount[RM_Code],$A66,T_StockCount[WeekIndex],47)&gt;0,SUMIFS(T_StockCount[CountedQty],T_StockCount[RM_Code],$A66,T_StockCount[WeekIndex],47),IF((COUNTIFS(T_SelfStock[RM_Code],$A66,T_SelfStock[WeekIndex],47)&gt;0)*(COUNTIFS(T_TTAFStock[RM_Code],$A66,T_TTAFStock[WeekIndex],47)&gt;0)&gt;0,SUMIFS(T_SelfStock[Self_Qty],T_SelfStock[RM_Code],$A66,T_SelfStock[WeekIndex],47)+SUMIFS(T_TTAFStock[TTAF_Qty],T_TTAFStock[RM_Code],$A66,T_TTAFStock[WeekIndex],47),AU66+'Grid_Incoming'!AV66-'Grid_Requirement'!AV66))</f>
        <v/>
      </c>
      <c r="AW66">
        <f>IF(COUNTIFS(T_StockCount[RM_Code],$A66,T_StockCount[WeekIndex],48)&gt;0,SUMIFS(T_StockCount[CountedQty],T_StockCount[RM_Code],$A66,T_StockCount[WeekIndex],48),IF((COUNTIFS(T_SelfStock[RM_Code],$A66,T_SelfStock[WeekIndex],48)&gt;0)*(COUNTIFS(T_TTAFStock[RM_Code],$A66,T_TTAFStock[WeekIndex],48)&gt;0)&gt;0,SUMIFS(T_SelfStock[Self_Qty],T_SelfStock[RM_Code],$A66,T_SelfStock[WeekIndex],48)+SUMIFS(T_TTAFStock[TTAF_Qty],T_TTAFStock[RM_Code],$A66,T_TTAFStock[WeekIndex],48),AV66+'Grid_Incoming'!AW66-'Grid_Requirement'!AW66))</f>
        <v/>
      </c>
      <c r="AX66">
        <f>IF(COUNTIFS(T_StockCount[RM_Code],$A66,T_StockCount[WeekIndex],49)&gt;0,SUMIFS(T_StockCount[CountedQty],T_StockCount[RM_Code],$A66,T_StockCount[WeekIndex],49),IF((COUNTIFS(T_SelfStock[RM_Code],$A66,T_SelfStock[WeekIndex],49)&gt;0)*(COUNTIFS(T_TTAFStock[RM_Code],$A66,T_TTAFStock[WeekIndex],49)&gt;0)&gt;0,SUMIFS(T_SelfStock[Self_Qty],T_SelfStock[RM_Code],$A66,T_SelfStock[WeekIndex],49)+SUMIFS(T_TTAFStock[TTAF_Qty],T_TTAFStock[RM_Code],$A66,T_TTAFStock[WeekIndex],49),AW66+'Grid_Incoming'!AX66-'Grid_Requirement'!AX66))</f>
        <v/>
      </c>
      <c r="AY66">
        <f>IF(COUNTIFS(T_StockCount[RM_Code],$A66,T_StockCount[WeekIndex],50)&gt;0,SUMIFS(T_StockCount[CountedQty],T_StockCount[RM_Code],$A66,T_StockCount[WeekIndex],50),IF((COUNTIFS(T_SelfStock[RM_Code],$A66,T_SelfStock[WeekIndex],50)&gt;0)*(COUNTIFS(T_TTAFStock[RM_Code],$A66,T_TTAFStock[WeekIndex],50)&gt;0)&gt;0,SUMIFS(T_SelfStock[Self_Qty],T_SelfStock[RM_Code],$A66,T_SelfStock[WeekIndex],50)+SUMIFS(T_TTAFStock[TTAF_Qty],T_TTAFStock[RM_Code],$A66,T_TTAFStock[WeekIndex],50),AX66+'Grid_Incoming'!AY66-'Grid_Requirement'!AY66))</f>
        <v/>
      </c>
      <c r="AZ66">
        <f>IF(COUNTIFS(T_StockCount[RM_Code],$A66,T_StockCount[WeekIndex],51)&gt;0,SUMIFS(T_StockCount[CountedQty],T_StockCount[RM_Code],$A66,T_StockCount[WeekIndex],51),IF((COUNTIFS(T_SelfStock[RM_Code],$A66,T_SelfStock[WeekIndex],51)&gt;0)*(COUNTIFS(T_TTAFStock[RM_Code],$A66,T_TTAFStock[WeekIndex],51)&gt;0)&gt;0,SUMIFS(T_SelfStock[Self_Qty],T_SelfStock[RM_Code],$A66,T_SelfStock[WeekIndex],51)+SUMIFS(T_TTAFStock[TTAF_Qty],T_TTAFStock[RM_Code],$A66,T_TTAFStock[WeekIndex],51),AY66+'Grid_Incoming'!AZ66-'Grid_Requirement'!AZ66))</f>
        <v/>
      </c>
      <c r="BA66">
        <f>IF(COUNTIFS(T_StockCount[RM_Code],$A66,T_StockCount[WeekIndex],52)&gt;0,SUMIFS(T_StockCount[CountedQty],T_StockCount[RM_Code],$A66,T_StockCount[WeekIndex],52),IF((COUNTIFS(T_SelfStock[RM_Code],$A66,T_SelfStock[WeekIndex],52)&gt;0)*(COUNTIFS(T_TTAFStock[RM_Code],$A66,T_TTAFStock[WeekIndex],52)&gt;0)&gt;0,SUMIFS(T_SelfStock[Self_Qty],T_SelfStock[RM_Code],$A66,T_SelfStock[WeekIndex],52)+SUMIFS(T_TTAFStock[TTAF_Qty],T_TTAFStock[RM_Code],$A66,T_TTAFStock[WeekIndex],52),AZ66+'Grid_Incoming'!BA66-'Grid_Requirement'!BA66))</f>
        <v/>
      </c>
      <c r="BB66">
        <f>IF(COUNTIFS(T_StockCount[RM_Code],$A66,T_StockCount[WeekIndex],53)&gt;0,SUMIFS(T_StockCount[CountedQty],T_StockCount[RM_Code],$A66,T_StockCount[WeekIndex],53),IF((COUNTIFS(T_SelfStock[RM_Code],$A66,T_SelfStock[WeekIndex],53)&gt;0)*(COUNTIFS(T_TTAFStock[RM_Code],$A66,T_TTAFStock[WeekIndex],53)&gt;0)&gt;0,SUMIFS(T_SelfStock[Self_Qty],T_SelfStock[RM_Code],$A66,T_SelfStock[WeekIndex],53)+SUMIFS(T_TTAFStock[TTAF_Qty],T_TTAFStock[RM_Code],$A66,T_TTAFStock[WeekIndex],53),BA66+'Grid_Incoming'!BB66-'Grid_Requirement'!BB66))</f>
        <v/>
      </c>
      <c r="BC66">
        <f>IF(COUNTIFS(T_StockCount[RM_Code],$A66,T_StockCount[WeekIndex],54)&gt;0,SUMIFS(T_StockCount[CountedQty],T_StockCount[RM_Code],$A66,T_StockCount[WeekIndex],54),IF((COUNTIFS(T_SelfStock[RM_Code],$A66,T_SelfStock[WeekIndex],54)&gt;0)*(COUNTIFS(T_TTAFStock[RM_Code],$A66,T_TTAFStock[WeekIndex],54)&gt;0)&gt;0,SUMIFS(T_SelfStock[Self_Qty],T_SelfStock[RM_Code],$A66,T_SelfStock[WeekIndex],54)+SUMIFS(T_TTAFStock[TTAF_Qty],T_TTAFStock[RM_Code],$A66,T_TTAFStock[WeekIndex],54),BB66+'Grid_Incoming'!BC66-'Grid_Requirement'!BC66))</f>
        <v/>
      </c>
      <c r="BD66">
        <f>IF(COUNTIFS(T_StockCount[RM_Code],$A66,T_StockCount[WeekIndex],55)&gt;0,SUMIFS(T_StockCount[CountedQty],T_StockCount[RM_Code],$A66,T_StockCount[WeekIndex],55),IF((COUNTIFS(T_SelfStock[RM_Code],$A66,T_SelfStock[WeekIndex],55)&gt;0)*(COUNTIFS(T_TTAFStock[RM_Code],$A66,T_TTAFStock[WeekIndex],55)&gt;0)&gt;0,SUMIFS(T_SelfStock[Self_Qty],T_SelfStock[RM_Code],$A66,T_SelfStock[WeekIndex],55)+SUMIFS(T_TTAFStock[TTAF_Qty],T_TTAFStock[RM_Code],$A66,T_TTAFStock[WeekIndex],55),BC66+'Grid_Incoming'!BD66-'Grid_Requirement'!BD66))</f>
        <v/>
      </c>
      <c r="BE66">
        <f>IF(COUNTIFS(T_StockCount[RM_Code],$A66,T_StockCount[WeekIndex],56)&gt;0,SUMIFS(T_StockCount[CountedQty],T_StockCount[RM_Code],$A66,T_StockCount[WeekIndex],56),IF((COUNTIFS(T_SelfStock[RM_Code],$A66,T_SelfStock[WeekIndex],56)&gt;0)*(COUNTIFS(T_TTAFStock[RM_Code],$A66,T_TTAFStock[WeekIndex],56)&gt;0)&gt;0,SUMIFS(T_SelfStock[Self_Qty],T_SelfStock[RM_Code],$A66,T_SelfStock[WeekIndex],56)+SUMIFS(T_TTAFStock[TTAF_Qty],T_TTAFStock[RM_Code],$A66,T_TTAFStock[WeekIndex],56),BD66+'Grid_Incoming'!BE66-'Grid_Requirement'!BE66))</f>
        <v/>
      </c>
      <c r="BF66">
        <f>IF(COUNTIFS(T_StockCount[RM_Code],$A66,T_StockCount[WeekIndex],57)&gt;0,SUMIFS(T_StockCount[CountedQty],T_StockCount[RM_Code],$A66,T_StockCount[WeekIndex],57),IF((COUNTIFS(T_SelfStock[RM_Code],$A66,T_SelfStock[WeekIndex],57)&gt;0)*(COUNTIFS(T_TTAFStock[RM_Code],$A66,T_TTAFStock[WeekIndex],57)&gt;0)&gt;0,SUMIFS(T_SelfStock[Self_Qty],T_SelfStock[RM_Code],$A66,T_SelfStock[WeekIndex],57)+SUMIFS(T_TTAFStock[TTAF_Qty],T_TTAFStock[RM_Code],$A66,T_TTAFStock[WeekIndex],57),BE66+'Grid_Incoming'!BF66-'Grid_Requirement'!BF66))</f>
        <v/>
      </c>
      <c r="BG66">
        <f>IF(COUNTIFS(T_StockCount[RM_Code],$A66,T_StockCount[WeekIndex],58)&gt;0,SUMIFS(T_StockCount[CountedQty],T_StockCount[RM_Code],$A66,T_StockCount[WeekIndex],58),IF((COUNTIFS(T_SelfStock[RM_Code],$A66,T_SelfStock[WeekIndex],58)&gt;0)*(COUNTIFS(T_TTAFStock[RM_Code],$A66,T_TTAFStock[WeekIndex],58)&gt;0)&gt;0,SUMIFS(T_SelfStock[Self_Qty],T_SelfStock[RM_Code],$A66,T_SelfStock[WeekIndex],58)+SUMIFS(T_TTAFStock[TTAF_Qty],T_TTAFStock[RM_Code],$A66,T_TTAFStock[WeekIndex],58),BF66+'Grid_Incoming'!BG66-'Grid_Requirement'!BG66))</f>
        <v/>
      </c>
      <c r="BH66">
        <f>IF(COUNTIFS(T_StockCount[RM_Code],$A66,T_StockCount[WeekIndex],59)&gt;0,SUMIFS(T_StockCount[CountedQty],T_StockCount[RM_Code],$A66,T_StockCount[WeekIndex],59),IF((COUNTIFS(T_SelfStock[RM_Code],$A66,T_SelfStock[WeekIndex],59)&gt;0)*(COUNTIFS(T_TTAFStock[RM_Code],$A66,T_TTAFStock[WeekIndex],59)&gt;0)&gt;0,SUMIFS(T_SelfStock[Self_Qty],T_SelfStock[RM_Code],$A66,T_SelfStock[WeekIndex],59)+SUMIFS(T_TTAFStock[TTAF_Qty],T_TTAFStock[RM_Code],$A66,T_TTAFStock[WeekIndex],59),BG66+'Grid_Incoming'!BH66-'Grid_Requirement'!BH66))</f>
        <v/>
      </c>
      <c r="BI66">
        <f>IF(COUNTIFS(T_StockCount[RM_Code],$A66,T_StockCount[WeekIndex],60)&gt;0,SUMIFS(T_StockCount[CountedQty],T_StockCount[RM_Code],$A66,T_StockCount[WeekIndex],60),IF((COUNTIFS(T_SelfStock[RM_Code],$A66,T_SelfStock[WeekIndex],60)&gt;0)*(COUNTIFS(T_TTAFStock[RM_Code],$A66,T_TTAFStock[WeekIndex],60)&gt;0)&gt;0,SUMIFS(T_SelfStock[Self_Qty],T_SelfStock[RM_Code],$A66,T_SelfStock[WeekIndex],60)+SUMIFS(T_TTAFStock[TTAF_Qty],T_TTAFStock[RM_Code],$A66,T_TTAFStock[WeekIndex],60),BH66+'Grid_Incoming'!BI66-'Grid_Requirement'!BI66))</f>
        <v/>
      </c>
      <c r="BJ66">
        <f>IF(COUNTIFS(T_StockCount[RM_Code],$A66,T_StockCount[WeekIndex],61)&gt;0,SUMIFS(T_StockCount[CountedQty],T_StockCount[RM_Code],$A66,T_StockCount[WeekIndex],61),IF((COUNTIFS(T_SelfStock[RM_Code],$A66,T_SelfStock[WeekIndex],61)&gt;0)*(COUNTIFS(T_TTAFStock[RM_Code],$A66,T_TTAFStock[WeekIndex],61)&gt;0)&gt;0,SUMIFS(T_SelfStock[Self_Qty],T_SelfStock[RM_Code],$A66,T_SelfStock[WeekIndex],61)+SUMIFS(T_TTAFStock[TTAF_Qty],T_TTAFStock[RM_Code],$A66,T_TTAFStock[WeekIndex],61),BI66+'Grid_Incoming'!BJ66-'Grid_Requirement'!BJ66))</f>
        <v/>
      </c>
      <c r="BK66">
        <f>IF(COUNTIFS(T_StockCount[RM_Code],$A66,T_StockCount[WeekIndex],62)&gt;0,SUMIFS(T_StockCount[CountedQty],T_StockCount[RM_Code],$A66,T_StockCount[WeekIndex],62),IF((COUNTIFS(T_SelfStock[RM_Code],$A66,T_SelfStock[WeekIndex],62)&gt;0)*(COUNTIFS(T_TTAFStock[RM_Code],$A66,T_TTAFStock[WeekIndex],62)&gt;0)&gt;0,SUMIFS(T_SelfStock[Self_Qty],T_SelfStock[RM_Code],$A66,T_SelfStock[WeekIndex],62)+SUMIFS(T_TTAFStock[TTAF_Qty],T_TTAFStock[RM_Code],$A66,T_TTAFStock[WeekIndex],62),BJ66+'Grid_Incoming'!BK66-'Grid_Requirement'!BK66))</f>
        <v/>
      </c>
      <c r="BL66">
        <f>IF(COUNTIFS(T_StockCount[RM_Code],$A66,T_StockCount[WeekIndex],63)&gt;0,SUMIFS(T_StockCount[CountedQty],T_StockCount[RM_Code],$A66,T_StockCount[WeekIndex],63),IF((COUNTIFS(T_SelfStock[RM_Code],$A66,T_SelfStock[WeekIndex],63)&gt;0)*(COUNTIFS(T_TTAFStock[RM_Code],$A66,T_TTAFStock[WeekIndex],63)&gt;0)&gt;0,SUMIFS(T_SelfStock[Self_Qty],T_SelfStock[RM_Code],$A66,T_SelfStock[WeekIndex],63)+SUMIFS(T_TTAFStock[TTAF_Qty],T_TTAFStock[RM_Code],$A66,T_TTAFStock[WeekIndex],63),BK66+'Grid_Incoming'!BL66-'Grid_Requirement'!BL66))</f>
        <v/>
      </c>
      <c r="BM66">
        <f>IF(COUNTIFS(T_StockCount[RM_Code],$A66,T_StockCount[WeekIndex],64)&gt;0,SUMIFS(T_StockCount[CountedQty],T_StockCount[RM_Code],$A66,T_StockCount[WeekIndex],64),IF((COUNTIFS(T_SelfStock[RM_Code],$A66,T_SelfStock[WeekIndex],64)&gt;0)*(COUNTIFS(T_TTAFStock[RM_Code],$A66,T_TTAFStock[WeekIndex],64)&gt;0)&gt;0,SUMIFS(T_SelfStock[Self_Qty],T_SelfStock[RM_Code],$A66,T_SelfStock[WeekIndex],64)+SUMIFS(T_TTAFStock[TTAF_Qty],T_TTAFStock[RM_Code],$A66,T_TTAFStock[WeekIndex],64),BL66+'Grid_Incoming'!BM66-'Grid_Requirement'!BM66))</f>
        <v/>
      </c>
      <c r="BN66">
        <f>IF(COUNTIFS(T_StockCount[RM_Code],$A66,T_StockCount[WeekIndex],65)&gt;0,SUMIFS(T_StockCount[CountedQty],T_StockCount[RM_Code],$A66,T_StockCount[WeekIndex],65),IF((COUNTIFS(T_SelfStock[RM_Code],$A66,T_SelfStock[WeekIndex],65)&gt;0)*(COUNTIFS(T_TTAFStock[RM_Code],$A66,T_TTAFStock[WeekIndex],65)&gt;0)&gt;0,SUMIFS(T_SelfStock[Self_Qty],T_SelfStock[RM_Code],$A66,T_SelfStock[WeekIndex],65)+SUMIFS(T_TTAFStock[TTAF_Qty],T_TTAFStock[RM_Code],$A66,T_TTAFStock[WeekIndex],65),BM66+'Grid_Incoming'!BN66-'Grid_Requirement'!BN66))</f>
        <v/>
      </c>
      <c r="BO66">
        <f>IF(COUNTIFS(T_StockCount[RM_Code],$A66,T_StockCount[WeekIndex],66)&gt;0,SUMIFS(T_StockCount[CountedQty],T_StockCount[RM_Code],$A66,T_StockCount[WeekIndex],66),IF((COUNTIFS(T_SelfStock[RM_Code],$A66,T_SelfStock[WeekIndex],66)&gt;0)*(COUNTIFS(T_TTAFStock[RM_Code],$A66,T_TTAFStock[WeekIndex],66)&gt;0)&gt;0,SUMIFS(T_SelfStock[Self_Qty],T_SelfStock[RM_Code],$A66,T_SelfStock[WeekIndex],66)+SUMIFS(T_TTAFStock[TTAF_Qty],T_TTAFStock[RM_Code],$A66,T_TTAFStock[WeekIndex],66),BN66+'Grid_Incoming'!BO66-'Grid_Requirement'!BO66))</f>
        <v/>
      </c>
      <c r="BP66">
        <f>IF(COUNTIFS(T_StockCount[RM_Code],$A66,T_StockCount[WeekIndex],67)&gt;0,SUMIFS(T_StockCount[CountedQty],T_StockCount[RM_Code],$A66,T_StockCount[WeekIndex],67),IF((COUNTIFS(T_SelfStock[RM_Code],$A66,T_SelfStock[WeekIndex],67)&gt;0)*(COUNTIFS(T_TTAFStock[RM_Code],$A66,T_TTAFStock[WeekIndex],67)&gt;0)&gt;0,SUMIFS(T_SelfStock[Self_Qty],T_SelfStock[RM_Code],$A66,T_SelfStock[WeekIndex],67)+SUMIFS(T_TTAFStock[TTAF_Qty],T_TTAFStock[RM_Code],$A66,T_TTAFStock[WeekIndex],67),BO66+'Grid_Incoming'!BP66-'Grid_Requirement'!BP66))</f>
        <v/>
      </c>
      <c r="BQ66">
        <f>IF(COUNTIFS(T_StockCount[RM_Code],$A66,T_StockCount[WeekIndex],68)&gt;0,SUMIFS(T_StockCount[CountedQty],T_StockCount[RM_Code],$A66,T_StockCount[WeekIndex],68),IF((COUNTIFS(T_SelfStock[RM_Code],$A66,T_SelfStock[WeekIndex],68)&gt;0)*(COUNTIFS(T_TTAFStock[RM_Code],$A66,T_TTAFStock[WeekIndex],68)&gt;0)&gt;0,SUMIFS(T_SelfStock[Self_Qty],T_SelfStock[RM_Code],$A66,T_SelfStock[WeekIndex],68)+SUMIFS(T_TTAFStock[TTAF_Qty],T_TTAFStock[RM_Code],$A66,T_TTAFStock[WeekIndex],68),BP66+'Grid_Incoming'!BQ66-'Grid_Requirement'!BQ66))</f>
        <v/>
      </c>
      <c r="BR66">
        <f>IF(COUNTIFS(T_StockCount[RM_Code],$A66,T_StockCount[WeekIndex],69)&gt;0,SUMIFS(T_StockCount[CountedQty],T_StockCount[RM_Code],$A66,T_StockCount[WeekIndex],69),IF((COUNTIFS(T_SelfStock[RM_Code],$A66,T_SelfStock[WeekIndex],69)&gt;0)*(COUNTIFS(T_TTAFStock[RM_Code],$A66,T_TTAFStock[WeekIndex],69)&gt;0)&gt;0,SUMIFS(T_SelfStock[Self_Qty],T_SelfStock[RM_Code],$A66,T_SelfStock[WeekIndex],69)+SUMIFS(T_TTAFStock[TTAF_Qty],T_TTAFStock[RM_Code],$A66,T_TTAFStock[WeekIndex],69),BQ66+'Grid_Incoming'!BR66-'Grid_Requirement'!BR66))</f>
        <v/>
      </c>
      <c r="BS66">
        <f>IF(COUNTIFS(T_StockCount[RM_Code],$A66,T_StockCount[WeekIndex],70)&gt;0,SUMIFS(T_StockCount[CountedQty],T_StockCount[RM_Code],$A66,T_StockCount[WeekIndex],70),IF((COUNTIFS(T_SelfStock[RM_Code],$A66,T_SelfStock[WeekIndex],70)&gt;0)*(COUNTIFS(T_TTAFStock[RM_Code],$A66,T_TTAFStock[WeekIndex],70)&gt;0)&gt;0,SUMIFS(T_SelfStock[Self_Qty],T_SelfStock[RM_Code],$A66,T_SelfStock[WeekIndex],70)+SUMIFS(T_TTAFStock[TTAF_Qty],T_TTAFStock[RM_Code],$A66,T_TTAFStock[WeekIndex],70),BR66+'Grid_Incoming'!BS66-'Grid_Requirement'!BS66))</f>
        <v/>
      </c>
      <c r="BT66">
        <f>IF(COUNTIFS(T_StockCount[RM_Code],$A66,T_StockCount[WeekIndex],71)&gt;0,SUMIFS(T_StockCount[CountedQty],T_StockCount[RM_Code],$A66,T_StockCount[WeekIndex],71),IF((COUNTIFS(T_SelfStock[RM_Code],$A66,T_SelfStock[WeekIndex],71)&gt;0)*(COUNTIFS(T_TTAFStock[RM_Code],$A66,T_TTAFStock[WeekIndex],71)&gt;0)&gt;0,SUMIFS(T_SelfStock[Self_Qty],T_SelfStock[RM_Code],$A66,T_SelfStock[WeekIndex],71)+SUMIFS(T_TTAFStock[TTAF_Qty],T_TTAFStock[RM_Code],$A66,T_TTAFStock[WeekIndex],71),BS66+'Grid_Incoming'!BT66-'Grid_Requirement'!BT66))</f>
        <v/>
      </c>
      <c r="BU66">
        <f>IF(COUNTIFS(T_StockCount[RM_Code],$A66,T_StockCount[WeekIndex],72)&gt;0,SUMIFS(T_StockCount[CountedQty],T_StockCount[RM_Code],$A66,T_StockCount[WeekIndex],72),IF((COUNTIFS(T_SelfStock[RM_Code],$A66,T_SelfStock[WeekIndex],72)&gt;0)*(COUNTIFS(T_TTAFStock[RM_Code],$A66,T_TTAFStock[WeekIndex],72)&gt;0)&gt;0,SUMIFS(T_SelfStock[Self_Qty],T_SelfStock[RM_Code],$A66,T_SelfStock[WeekIndex],72)+SUMIFS(T_TTAFStock[TTAF_Qty],T_TTAFStock[RM_Code],$A66,T_TTAFStock[WeekIndex],72),BT66+'Grid_Incoming'!BU66-'Grid_Requirement'!BU66))</f>
        <v/>
      </c>
      <c r="BV66">
        <f>IF(COUNTIFS(T_StockCount[RM_Code],$A66,T_StockCount[WeekIndex],73)&gt;0,SUMIFS(T_StockCount[CountedQty],T_StockCount[RM_Code],$A66,T_StockCount[WeekIndex],73),IF((COUNTIFS(T_SelfStock[RM_Code],$A66,T_SelfStock[WeekIndex],73)&gt;0)*(COUNTIFS(T_TTAFStock[RM_Code],$A66,T_TTAFStock[WeekIndex],73)&gt;0)&gt;0,SUMIFS(T_SelfStock[Self_Qty],T_SelfStock[RM_Code],$A66,T_SelfStock[WeekIndex],73)+SUMIFS(T_TTAFStock[TTAF_Qty],T_TTAFStock[RM_Code],$A66,T_TTAFStock[WeekIndex],73),BU66+'Grid_Incoming'!BV66-'Grid_Requirement'!BV66))</f>
        <v/>
      </c>
      <c r="BW66">
        <f>IF(COUNTIFS(T_StockCount[RM_Code],$A66,T_StockCount[WeekIndex],74)&gt;0,SUMIFS(T_StockCount[CountedQty],T_StockCount[RM_Code],$A66,T_StockCount[WeekIndex],74),IF((COUNTIFS(T_SelfStock[RM_Code],$A66,T_SelfStock[WeekIndex],74)&gt;0)*(COUNTIFS(T_TTAFStock[RM_Code],$A66,T_TTAFStock[WeekIndex],74)&gt;0)&gt;0,SUMIFS(T_SelfStock[Self_Qty],T_SelfStock[RM_Code],$A66,T_SelfStock[WeekIndex],74)+SUMIFS(T_TTAFStock[TTAF_Qty],T_TTAFStock[RM_Code],$A66,T_TTAFStock[WeekIndex],74),BV66+'Grid_Incoming'!BW66-'Grid_Requirement'!BW66))</f>
        <v/>
      </c>
      <c r="BX66">
        <f>IF(COUNTIFS(T_StockCount[RM_Code],$A66,T_StockCount[WeekIndex],75)&gt;0,SUMIFS(T_StockCount[CountedQty],T_StockCount[RM_Code],$A66,T_StockCount[WeekIndex],75),IF((COUNTIFS(T_SelfStock[RM_Code],$A66,T_SelfStock[WeekIndex],75)&gt;0)*(COUNTIFS(T_TTAFStock[RM_Code],$A66,T_TTAFStock[WeekIndex],75)&gt;0)&gt;0,SUMIFS(T_SelfStock[Self_Qty],T_SelfStock[RM_Code],$A66,T_SelfStock[WeekIndex],75)+SUMIFS(T_TTAFStock[TTAF_Qty],T_TTAFStock[RM_Code],$A66,T_TTAFStock[WeekIndex],75),BW66+'Grid_Incoming'!BX66-'Grid_Requirement'!BX66))</f>
        <v/>
      </c>
      <c r="BY66">
        <f>IF(COUNTIFS(T_StockCount[RM_Code],$A66,T_StockCount[WeekIndex],76)&gt;0,SUMIFS(T_StockCount[CountedQty],T_StockCount[RM_Code],$A66,T_StockCount[WeekIndex],76),IF((COUNTIFS(T_SelfStock[RM_Code],$A66,T_SelfStock[WeekIndex],76)&gt;0)*(COUNTIFS(T_TTAFStock[RM_Code],$A66,T_TTAFStock[WeekIndex],76)&gt;0)&gt;0,SUMIFS(T_SelfStock[Self_Qty],T_SelfStock[RM_Code],$A66,T_SelfStock[WeekIndex],76)+SUMIFS(T_TTAFStock[TTAF_Qty],T_TTAFStock[RM_Code],$A66,T_TTAFStock[WeekIndex],76),BX66+'Grid_Incoming'!BY66-'Grid_Requirement'!BY66))</f>
        <v/>
      </c>
      <c r="BZ66">
        <f>IF(COUNTIFS(T_StockCount[RM_Code],$A66,T_StockCount[WeekIndex],77)&gt;0,SUMIFS(T_StockCount[CountedQty],T_StockCount[RM_Code],$A66,T_StockCount[WeekIndex],77),IF((COUNTIFS(T_SelfStock[RM_Code],$A66,T_SelfStock[WeekIndex],77)&gt;0)*(COUNTIFS(T_TTAFStock[RM_Code],$A66,T_TTAFStock[WeekIndex],77)&gt;0)&gt;0,SUMIFS(T_SelfStock[Self_Qty],T_SelfStock[RM_Code],$A66,T_SelfStock[WeekIndex],77)+SUMIFS(T_TTAFStock[TTAF_Qty],T_TTAFStock[RM_Code],$A66,T_TTAFStock[WeekIndex],77),BY66+'Grid_Incoming'!BZ66-'Grid_Requirement'!BZ66))</f>
        <v/>
      </c>
      <c r="CA66">
        <f>IF(COUNTIFS(T_StockCount[RM_Code],$A66,T_StockCount[WeekIndex],78)&gt;0,SUMIFS(T_StockCount[CountedQty],T_StockCount[RM_Code],$A66,T_StockCount[WeekIndex],78),IF((COUNTIFS(T_SelfStock[RM_Code],$A66,T_SelfStock[WeekIndex],78)&gt;0)*(COUNTIFS(T_TTAFStock[RM_Code],$A66,T_TTAFStock[WeekIndex],78)&gt;0)&gt;0,SUMIFS(T_SelfStock[Self_Qty],T_SelfStock[RM_Code],$A66,T_SelfStock[WeekIndex],78)+SUMIFS(T_TTAFStock[TTAF_Qty],T_TTAFStock[RM_Code],$A66,T_TTAFStock[WeekIndex],78),BZ66+'Grid_Incoming'!CA66-'Grid_Requirement'!CA66))</f>
        <v/>
      </c>
      <c r="CB66">
        <f>IF(COUNTIFS(T_StockCount[RM_Code],$A66,T_StockCount[WeekIndex],79)&gt;0,SUMIFS(T_StockCount[CountedQty],T_StockCount[RM_Code],$A66,T_StockCount[WeekIndex],79),IF((COUNTIFS(T_SelfStock[RM_Code],$A66,T_SelfStock[WeekIndex],79)&gt;0)*(COUNTIFS(T_TTAFStock[RM_Code],$A66,T_TTAFStock[WeekIndex],79)&gt;0)&gt;0,SUMIFS(T_SelfStock[Self_Qty],T_SelfStock[RM_Code],$A66,T_SelfStock[WeekIndex],79)+SUMIFS(T_TTAFStock[TTAF_Qty],T_TTAFStock[RM_Code],$A66,T_TTAFStock[WeekIndex],79),CA66+'Grid_Incoming'!CB66-'Grid_Requirement'!CB66))</f>
        <v/>
      </c>
      <c r="CC66">
        <f>IF(COUNTIFS(T_StockCount[RM_Code],$A66,T_StockCount[WeekIndex],80)&gt;0,SUMIFS(T_StockCount[CountedQty],T_StockCount[RM_Code],$A66,T_StockCount[WeekIndex],80),IF((COUNTIFS(T_SelfStock[RM_Code],$A66,T_SelfStock[WeekIndex],80)&gt;0)*(COUNTIFS(T_TTAFStock[RM_Code],$A66,T_TTAFStock[WeekIndex],80)&gt;0)&gt;0,SUMIFS(T_SelfStock[Self_Qty],T_SelfStock[RM_Code],$A66,T_SelfStock[WeekIndex],80)+SUMIFS(T_TTAFStock[TTAF_Qty],T_TTAFStock[RM_Code],$A66,T_TTAFStock[WeekIndex],80),CB66+'Grid_Incoming'!CC66-'Grid_Requirement'!CC66))</f>
        <v/>
      </c>
      <c r="CD66">
        <f>IF(COUNTIFS(T_StockCount[RM_Code],$A66,T_StockCount[WeekIndex],81)&gt;0,SUMIFS(T_StockCount[CountedQty],T_StockCount[RM_Code],$A66,T_StockCount[WeekIndex],81),IF((COUNTIFS(T_SelfStock[RM_Code],$A66,T_SelfStock[WeekIndex],81)&gt;0)*(COUNTIFS(T_TTAFStock[RM_Code],$A66,T_TTAFStock[WeekIndex],81)&gt;0)&gt;0,SUMIFS(T_SelfStock[Self_Qty],T_SelfStock[RM_Code],$A66,T_SelfStock[WeekIndex],81)+SUMIFS(T_TTAFStock[TTAF_Qty],T_TTAFStock[RM_Code],$A66,T_TTAFStock[WeekIndex],81),CC66+'Grid_Incoming'!CD66-'Grid_Requirement'!CD66))</f>
        <v/>
      </c>
      <c r="CE66">
        <f>IF(COUNTIFS(T_StockCount[RM_Code],$A66,T_StockCount[WeekIndex],82)&gt;0,SUMIFS(T_StockCount[CountedQty],T_StockCount[RM_Code],$A66,T_StockCount[WeekIndex],82),IF((COUNTIFS(T_SelfStock[RM_Code],$A66,T_SelfStock[WeekIndex],82)&gt;0)*(COUNTIFS(T_TTAFStock[RM_Code],$A66,T_TTAFStock[WeekIndex],82)&gt;0)&gt;0,SUMIFS(T_SelfStock[Self_Qty],T_SelfStock[RM_Code],$A66,T_SelfStock[WeekIndex],82)+SUMIFS(T_TTAFStock[TTAF_Qty],T_TTAFStock[RM_Code],$A66,T_TTAFStock[WeekIndex],82),CD66+'Grid_Incoming'!CE66-'Grid_Requirement'!CE66))</f>
        <v/>
      </c>
      <c r="CF66">
        <f>IF(COUNTIFS(T_StockCount[RM_Code],$A66,T_StockCount[WeekIndex],83)&gt;0,SUMIFS(T_StockCount[CountedQty],T_StockCount[RM_Code],$A66,T_StockCount[WeekIndex],83),IF((COUNTIFS(T_SelfStock[RM_Code],$A66,T_SelfStock[WeekIndex],83)&gt;0)*(COUNTIFS(T_TTAFStock[RM_Code],$A66,T_TTAFStock[WeekIndex],83)&gt;0)&gt;0,SUMIFS(T_SelfStock[Self_Qty],T_SelfStock[RM_Code],$A66,T_SelfStock[WeekIndex],83)+SUMIFS(T_TTAFStock[TTAF_Qty],T_TTAFStock[RM_Code],$A66,T_TTAFStock[WeekIndex],83),CE66+'Grid_Incoming'!CF66-'Grid_Requirement'!CF66))</f>
        <v/>
      </c>
      <c r="CG66">
        <f>IF(COUNTIFS(T_StockCount[RM_Code],$A66,T_StockCount[WeekIndex],84)&gt;0,SUMIFS(T_StockCount[CountedQty],T_StockCount[RM_Code],$A66,T_StockCount[WeekIndex],84),IF((COUNTIFS(T_SelfStock[RM_Code],$A66,T_SelfStock[WeekIndex],84)&gt;0)*(COUNTIFS(T_TTAFStock[RM_Code],$A66,T_TTAFStock[WeekIndex],84)&gt;0)&gt;0,SUMIFS(T_SelfStock[Self_Qty],T_SelfStock[RM_Code],$A66,T_SelfStock[WeekIndex],84)+SUMIFS(T_TTAFStock[TTAF_Qty],T_TTAFStock[RM_Code],$A66,T_TTAFStock[WeekIndex],84),CF66+'Grid_Incoming'!CG66-'Grid_Requirement'!CG66))</f>
        <v/>
      </c>
      <c r="CH66">
        <f>IF(COUNTIFS(T_StockCount[RM_Code],$A66,T_StockCount[WeekIndex],85)&gt;0,SUMIFS(T_StockCount[CountedQty],T_StockCount[RM_Code],$A66,T_StockCount[WeekIndex],85),IF((COUNTIFS(T_SelfStock[RM_Code],$A66,T_SelfStock[WeekIndex],85)&gt;0)*(COUNTIFS(T_TTAFStock[RM_Code],$A66,T_TTAFStock[WeekIndex],85)&gt;0)&gt;0,SUMIFS(T_SelfStock[Self_Qty],T_SelfStock[RM_Code],$A66,T_SelfStock[WeekIndex],85)+SUMIFS(T_TTAFStock[TTAF_Qty],T_TTAFStock[RM_Code],$A66,T_TTAFStock[WeekIndex],85),CG66+'Grid_Incoming'!CH66-'Grid_Requirement'!CH66))</f>
        <v/>
      </c>
      <c r="CI66">
        <f>IF(COUNTIFS(T_StockCount[RM_Code],$A66,T_StockCount[WeekIndex],86)&gt;0,SUMIFS(T_StockCount[CountedQty],T_StockCount[RM_Code],$A66,T_StockCount[WeekIndex],86),IF((COUNTIFS(T_SelfStock[RM_Code],$A66,T_SelfStock[WeekIndex],86)&gt;0)*(COUNTIFS(T_TTAFStock[RM_Code],$A66,T_TTAFStock[WeekIndex],86)&gt;0)&gt;0,SUMIFS(T_SelfStock[Self_Qty],T_SelfStock[RM_Code],$A66,T_SelfStock[WeekIndex],86)+SUMIFS(T_TTAFStock[TTAF_Qty],T_TTAFStock[RM_Code],$A66,T_TTAFStock[WeekIndex],86),CH66+'Grid_Incoming'!CI66-'Grid_Requirement'!CI66))</f>
        <v/>
      </c>
      <c r="CJ66">
        <f>IF(COUNTIFS(T_StockCount[RM_Code],$A66,T_StockCount[WeekIndex],87)&gt;0,SUMIFS(T_StockCount[CountedQty],T_StockCount[RM_Code],$A66,T_StockCount[WeekIndex],87),IF((COUNTIFS(T_SelfStock[RM_Code],$A66,T_SelfStock[WeekIndex],87)&gt;0)*(COUNTIFS(T_TTAFStock[RM_Code],$A66,T_TTAFStock[WeekIndex],87)&gt;0)&gt;0,SUMIFS(T_SelfStock[Self_Qty],T_SelfStock[RM_Code],$A66,T_SelfStock[WeekIndex],87)+SUMIFS(T_TTAFStock[TTAF_Qty],T_TTAFStock[RM_Code],$A66,T_TTAFStock[WeekIndex],87),CI66+'Grid_Incoming'!CJ66-'Grid_Requirement'!CJ66))</f>
        <v/>
      </c>
      <c r="CK66">
        <f>IF(COUNTIFS(T_StockCount[RM_Code],$A66,T_StockCount[WeekIndex],88)&gt;0,SUMIFS(T_StockCount[CountedQty],T_StockCount[RM_Code],$A66,T_StockCount[WeekIndex],88),IF((COUNTIFS(T_SelfStock[RM_Code],$A66,T_SelfStock[WeekIndex],88)&gt;0)*(COUNTIFS(T_TTAFStock[RM_Code],$A66,T_TTAFStock[WeekIndex],88)&gt;0)&gt;0,SUMIFS(T_SelfStock[Self_Qty],T_SelfStock[RM_Code],$A66,T_SelfStock[WeekIndex],88)+SUMIFS(T_TTAFStock[TTAF_Qty],T_TTAFStock[RM_Code],$A66,T_TTAFStock[WeekIndex],88),CJ66+'Grid_Incoming'!CK66-'Grid_Requirement'!CK66))</f>
        <v/>
      </c>
      <c r="CL66">
        <f>IF(COUNTIFS(T_StockCount[RM_Code],$A66,T_StockCount[WeekIndex],89)&gt;0,SUMIFS(T_StockCount[CountedQty],T_StockCount[RM_Code],$A66,T_StockCount[WeekIndex],89),IF((COUNTIFS(T_SelfStock[RM_Code],$A66,T_SelfStock[WeekIndex],89)&gt;0)*(COUNTIFS(T_TTAFStock[RM_Code],$A66,T_TTAFStock[WeekIndex],89)&gt;0)&gt;0,SUMIFS(T_SelfStock[Self_Qty],T_SelfStock[RM_Code],$A66,T_SelfStock[WeekIndex],89)+SUMIFS(T_TTAFStock[TTAF_Qty],T_TTAFStock[RM_Code],$A66,T_TTAFStock[WeekIndex],89),CK66+'Grid_Incoming'!CL66-'Grid_Requirement'!CL66))</f>
        <v/>
      </c>
      <c r="CM66">
        <f>IF(COUNTIFS(T_StockCount[RM_Code],$A66,T_StockCount[WeekIndex],90)&gt;0,SUMIFS(T_StockCount[CountedQty],T_StockCount[RM_Code],$A66,T_StockCount[WeekIndex],90),IF((COUNTIFS(T_SelfStock[RM_Code],$A66,T_SelfStock[WeekIndex],90)&gt;0)*(COUNTIFS(T_TTAFStock[RM_Code],$A66,T_TTAFStock[WeekIndex],90)&gt;0)&gt;0,SUMIFS(T_SelfStock[Self_Qty],T_SelfStock[RM_Code],$A66,T_SelfStock[WeekIndex],90)+SUMIFS(T_TTAFStock[TTAF_Qty],T_TTAFStock[RM_Code],$A66,T_TTAFStock[WeekIndex],90),CL66+'Grid_Incoming'!CM66-'Grid_Requirement'!CM66))</f>
        <v/>
      </c>
      <c r="CN66">
        <f>IF(COUNTIFS(T_StockCount[RM_Code],$A66,T_StockCount[WeekIndex],91)&gt;0,SUMIFS(T_StockCount[CountedQty],T_StockCount[RM_Code],$A66,T_StockCount[WeekIndex],91),IF((COUNTIFS(T_SelfStock[RM_Code],$A66,T_SelfStock[WeekIndex],91)&gt;0)*(COUNTIFS(T_TTAFStock[RM_Code],$A66,T_TTAFStock[WeekIndex],91)&gt;0)&gt;0,SUMIFS(T_SelfStock[Self_Qty],T_SelfStock[RM_Code],$A66,T_SelfStock[WeekIndex],91)+SUMIFS(T_TTAFStock[TTAF_Qty],T_TTAFStock[RM_Code],$A66,T_TTAFStock[WeekIndex],91),CM66+'Grid_Incoming'!CN66-'Grid_Requirement'!CN66))</f>
        <v/>
      </c>
      <c r="CO66">
        <f>IF(COUNTIFS(T_StockCount[RM_Code],$A66,T_StockCount[WeekIndex],92)&gt;0,SUMIFS(T_StockCount[CountedQty],T_StockCount[RM_Code],$A66,T_StockCount[WeekIndex],92),IF((COUNTIFS(T_SelfStock[RM_Code],$A66,T_SelfStock[WeekIndex],92)&gt;0)*(COUNTIFS(T_TTAFStock[RM_Code],$A66,T_TTAFStock[WeekIndex],92)&gt;0)&gt;0,SUMIFS(T_SelfStock[Self_Qty],T_SelfStock[RM_Code],$A66,T_SelfStock[WeekIndex],92)+SUMIFS(T_TTAFStock[TTAF_Qty],T_TTAFStock[RM_Code],$A66,T_TTAFStock[WeekIndex],92),CN66+'Grid_Incoming'!CO66-'Grid_Requirement'!CO66))</f>
        <v/>
      </c>
      <c r="CP66">
        <f>IF(COUNTIFS(T_StockCount[RM_Code],$A66,T_StockCount[WeekIndex],93)&gt;0,SUMIFS(T_StockCount[CountedQty],T_StockCount[RM_Code],$A66,T_StockCount[WeekIndex],93),IF((COUNTIFS(T_SelfStock[RM_Code],$A66,T_SelfStock[WeekIndex],93)&gt;0)*(COUNTIFS(T_TTAFStock[RM_Code],$A66,T_TTAFStock[WeekIndex],93)&gt;0)&gt;0,SUMIFS(T_SelfStock[Self_Qty],T_SelfStock[RM_Code],$A66,T_SelfStock[WeekIndex],93)+SUMIFS(T_TTAFStock[TTAF_Qty],T_TTAFStock[RM_Code],$A66,T_TTAFStock[WeekIndex],93),CO66+'Grid_Incoming'!CP66-'Grid_Requirement'!CP66))</f>
        <v/>
      </c>
      <c r="CQ66">
        <f>IF(COUNTIFS(T_StockCount[RM_Code],$A66,T_StockCount[WeekIndex],94)&gt;0,SUMIFS(T_StockCount[CountedQty],T_StockCount[RM_Code],$A66,T_StockCount[WeekIndex],94),IF((COUNTIFS(T_SelfStock[RM_Code],$A66,T_SelfStock[WeekIndex],94)&gt;0)*(COUNTIFS(T_TTAFStock[RM_Code],$A66,T_TTAFStock[WeekIndex],94)&gt;0)&gt;0,SUMIFS(T_SelfStock[Self_Qty],T_SelfStock[RM_Code],$A66,T_SelfStock[WeekIndex],94)+SUMIFS(T_TTAFStock[TTAF_Qty],T_TTAFStock[RM_Code],$A66,T_TTAFStock[WeekIndex],94),CP66+'Grid_Incoming'!CQ66-'Grid_Requirement'!CQ66))</f>
        <v/>
      </c>
      <c r="CR66">
        <f>IF(COUNTIFS(T_StockCount[RM_Code],$A66,T_StockCount[WeekIndex],95)&gt;0,SUMIFS(T_StockCount[CountedQty],T_StockCount[RM_Code],$A66,T_StockCount[WeekIndex],95),IF((COUNTIFS(T_SelfStock[RM_Code],$A66,T_SelfStock[WeekIndex],95)&gt;0)*(COUNTIFS(T_TTAFStock[RM_Code],$A66,T_TTAFStock[WeekIndex],95)&gt;0)&gt;0,SUMIFS(T_SelfStock[Self_Qty],T_SelfStock[RM_Code],$A66,T_SelfStock[WeekIndex],95)+SUMIFS(T_TTAFStock[TTAF_Qty],T_TTAFStock[RM_Code],$A66,T_TTAFStock[WeekIndex],95),CQ66+'Grid_Incoming'!CR66-'Grid_Requirement'!CR66))</f>
        <v/>
      </c>
      <c r="CS66">
        <f>IF(COUNTIFS(T_StockCount[RM_Code],$A66,T_StockCount[WeekIndex],96)&gt;0,SUMIFS(T_StockCount[CountedQty],T_StockCount[RM_Code],$A66,T_StockCount[WeekIndex],96),IF((COUNTIFS(T_SelfStock[RM_Code],$A66,T_SelfStock[WeekIndex],96)&gt;0)*(COUNTIFS(T_TTAFStock[RM_Code],$A66,T_TTAFStock[WeekIndex],96)&gt;0)&gt;0,SUMIFS(T_SelfStock[Self_Qty],T_SelfStock[RM_Code],$A66,T_SelfStock[WeekIndex],96)+SUMIFS(T_TTAFStock[TTAF_Qty],T_TTAFStock[RM_Code],$A66,T_TTAFStock[WeekIndex],96),CR66+'Grid_Incoming'!CS66-'Grid_Requirement'!CS66))</f>
        <v/>
      </c>
      <c r="CT66">
        <f>IF(COUNTIFS(T_StockCount[RM_Code],$A66,T_StockCount[WeekIndex],97)&gt;0,SUMIFS(T_StockCount[CountedQty],T_StockCount[RM_Code],$A66,T_StockCount[WeekIndex],97),IF((COUNTIFS(T_SelfStock[RM_Code],$A66,T_SelfStock[WeekIndex],97)&gt;0)*(COUNTIFS(T_TTAFStock[RM_Code],$A66,T_TTAFStock[WeekIndex],97)&gt;0)&gt;0,SUMIFS(T_SelfStock[Self_Qty],T_SelfStock[RM_Code],$A66,T_SelfStock[WeekIndex],97)+SUMIFS(T_TTAFStock[TTAF_Qty],T_TTAFStock[RM_Code],$A66,T_TTAFStock[WeekIndex],97),CS66+'Grid_Incoming'!CT66-'Grid_Requirement'!CT66))</f>
        <v/>
      </c>
      <c r="CU66">
        <f>IF(COUNTIFS(T_StockCount[RM_Code],$A66,T_StockCount[WeekIndex],98)&gt;0,SUMIFS(T_StockCount[CountedQty],T_StockCount[RM_Code],$A66,T_StockCount[WeekIndex],98),IF((COUNTIFS(T_SelfStock[RM_Code],$A66,T_SelfStock[WeekIndex],98)&gt;0)*(COUNTIFS(T_TTAFStock[RM_Code],$A66,T_TTAFStock[WeekIndex],98)&gt;0)&gt;0,SUMIFS(T_SelfStock[Self_Qty],T_SelfStock[RM_Code],$A66,T_SelfStock[WeekIndex],98)+SUMIFS(T_TTAFStock[TTAF_Qty],T_TTAFStock[RM_Code],$A66,T_TTAFStock[WeekIndex],98),CT66+'Grid_Incoming'!CU66-'Grid_Requirement'!CU66))</f>
        <v/>
      </c>
      <c r="CV66">
        <f>IF(COUNTIFS(T_StockCount[RM_Code],$A66,T_StockCount[WeekIndex],99)&gt;0,SUMIFS(T_StockCount[CountedQty],T_StockCount[RM_Code],$A66,T_StockCount[WeekIndex],99),IF((COUNTIFS(T_SelfStock[RM_Code],$A66,T_SelfStock[WeekIndex],99)&gt;0)*(COUNTIFS(T_TTAFStock[RM_Code],$A66,T_TTAFStock[WeekIndex],99)&gt;0)&gt;0,SUMIFS(T_SelfStock[Self_Qty],T_SelfStock[RM_Code],$A66,T_SelfStock[WeekIndex],99)+SUMIFS(T_TTAFStock[TTAF_Qty],T_TTAFStock[RM_Code],$A66,T_TTAFStock[WeekIndex],99),CU66+'Grid_Incoming'!CV66-'Grid_Requirement'!CV66))</f>
        <v/>
      </c>
      <c r="CW66">
        <f>IF(COUNTIFS(T_StockCount[RM_Code],$A66,T_StockCount[WeekIndex],100)&gt;0,SUMIFS(T_StockCount[CountedQty],T_StockCount[RM_Code],$A66,T_StockCount[WeekIndex],100),IF((COUNTIFS(T_SelfStock[RM_Code],$A66,T_SelfStock[WeekIndex],100)&gt;0)*(COUNTIFS(T_TTAFStock[RM_Code],$A66,T_TTAFStock[WeekIndex],100)&gt;0)&gt;0,SUMIFS(T_SelfStock[Self_Qty],T_SelfStock[RM_Code],$A66,T_SelfStock[WeekIndex],100)+SUMIFS(T_TTAFStock[TTAF_Qty],T_TTAFStock[RM_Code],$A66,T_TTAFStock[WeekIndex],100),CV66+'Grid_Incoming'!CW66-'Grid_Requirement'!CW66))</f>
        <v/>
      </c>
      <c r="CX66">
        <f>IF(COUNTIFS(T_StockCount[RM_Code],$A66,T_StockCount[WeekIndex],101)&gt;0,SUMIFS(T_StockCount[CountedQty],T_StockCount[RM_Code],$A66,T_StockCount[WeekIndex],101),IF((COUNTIFS(T_SelfStock[RM_Code],$A66,T_SelfStock[WeekIndex],101)&gt;0)*(COUNTIFS(T_TTAFStock[RM_Code],$A66,T_TTAFStock[WeekIndex],101)&gt;0)&gt;0,SUMIFS(T_SelfStock[Self_Qty],T_SelfStock[RM_Code],$A66,T_SelfStock[WeekIndex],101)+SUMIFS(T_TTAFStock[TTAF_Qty],T_TTAFStock[RM_Code],$A66,T_TTAFStock[WeekIndex],101),CW66+'Grid_Incoming'!CX66-'Grid_Requirement'!CX66))</f>
        <v/>
      </c>
      <c r="CY66">
        <f>IF(COUNTIFS(T_StockCount[RM_Code],$A66,T_StockCount[WeekIndex],102)&gt;0,SUMIFS(T_StockCount[CountedQty],T_StockCount[RM_Code],$A66,T_StockCount[WeekIndex],102),IF((COUNTIFS(T_SelfStock[RM_Code],$A66,T_SelfStock[WeekIndex],102)&gt;0)*(COUNTIFS(T_TTAFStock[RM_Code],$A66,T_TTAFStock[WeekIndex],102)&gt;0)&gt;0,SUMIFS(T_SelfStock[Self_Qty],T_SelfStock[RM_Code],$A66,T_SelfStock[WeekIndex],102)+SUMIFS(T_TTAFStock[TTAF_Qty],T_TTAFStock[RM_Code],$A66,T_TTAFStock[WeekIndex],102),CX66+'Grid_Incoming'!CY66-'Grid_Requirement'!CY66))</f>
        <v/>
      </c>
      <c r="CZ66">
        <f>IF(COUNTIFS(T_StockCount[RM_Code],$A66,T_StockCount[WeekIndex],103)&gt;0,SUMIFS(T_StockCount[CountedQty],T_StockCount[RM_Code],$A66,T_StockCount[WeekIndex],103),IF((COUNTIFS(T_SelfStock[RM_Code],$A66,T_SelfStock[WeekIndex],103)&gt;0)*(COUNTIFS(T_TTAFStock[RM_Code],$A66,T_TTAFStock[WeekIndex],103)&gt;0)&gt;0,SUMIFS(T_SelfStock[Self_Qty],T_SelfStock[RM_Code],$A66,T_SelfStock[WeekIndex],103)+SUMIFS(T_TTAFStock[TTAF_Qty],T_TTAFStock[RM_Code],$A66,T_TTAFStock[WeekIndex],103),CY66+'Grid_Incoming'!CZ66-'Grid_Requirement'!CZ66))</f>
        <v/>
      </c>
      <c r="DA66">
        <f>IF(COUNTIFS(T_StockCount[RM_Code],$A66,T_StockCount[WeekIndex],104)&gt;0,SUMIFS(T_StockCount[CountedQty],T_StockCount[RM_Code],$A66,T_StockCount[WeekIndex],104),IF((COUNTIFS(T_SelfStock[RM_Code],$A66,T_SelfStock[WeekIndex],104)&gt;0)*(COUNTIFS(T_TTAFStock[RM_Code],$A66,T_TTAFStock[WeekIndex],104)&gt;0)&gt;0,SUMIFS(T_SelfStock[Self_Qty],T_SelfStock[RM_Code],$A66,T_SelfStock[WeekIndex],104)+SUMIFS(T_TTAFStock[TTAF_Qty],T_TTAFStock[RM_Code],$A66,T_TTAFStock[WeekIndex],104),CZ66+'Grid_Incoming'!DA66-'Grid_Requirement'!DA66))</f>
        <v/>
      </c>
    </row>
    <row r="67">
      <c r="A67" t="inlineStr">
        <is>
          <t>V19</t>
        </is>
      </c>
      <c r="B67">
        <f>IF(COUNTIFS(T_StockCount[RM_Code],$A67,T_StockCount[WeekIndex],1)&gt;0,SUMIFS(T_StockCount[CountedQty],T_StockCount[RM_Code],$A67,T_StockCount[WeekIndex],1),IF((COUNTIFS(T_SelfStock[RM_Code],$A67,T_SelfStock[WeekIndex],1)&gt;0)*(COUNTIFS(T_TTAFStock[RM_Code],$A67,T_TTAFStock[WeekIndex],1)&gt;0)&gt;0,SUMIFS(T_SelfStock[Self_Qty],T_SelfStock[RM_Code],$A67,T_SelfStock[WeekIndex],1)+SUMIFS(T_TTAFStock[TTAF_Qty],T_TTAFStock[RM_Code],$A67,T_TTAFStock[WeekIndex],1),IFERROR(INDEX(T_OpeningStock[Opening_Qty],MATCH($A67,T_OpeningStock[RM_Code],0)),0)+'Grid_Incoming'!B67-'Grid_Requirement'!B67))</f>
        <v/>
      </c>
      <c r="C67">
        <f>IF(COUNTIFS(T_StockCount[RM_Code],$A67,T_StockCount[WeekIndex],2)&gt;0,SUMIFS(T_StockCount[CountedQty],T_StockCount[RM_Code],$A67,T_StockCount[WeekIndex],2),IF((COUNTIFS(T_SelfStock[RM_Code],$A67,T_SelfStock[WeekIndex],2)&gt;0)*(COUNTIFS(T_TTAFStock[RM_Code],$A67,T_TTAFStock[WeekIndex],2)&gt;0)&gt;0,SUMIFS(T_SelfStock[Self_Qty],T_SelfStock[RM_Code],$A67,T_SelfStock[WeekIndex],2)+SUMIFS(T_TTAFStock[TTAF_Qty],T_TTAFStock[RM_Code],$A67,T_TTAFStock[WeekIndex],2),B67+'Grid_Incoming'!C67-'Grid_Requirement'!C67))</f>
        <v/>
      </c>
      <c r="D67">
        <f>IF(COUNTIFS(T_StockCount[RM_Code],$A67,T_StockCount[WeekIndex],3)&gt;0,SUMIFS(T_StockCount[CountedQty],T_StockCount[RM_Code],$A67,T_StockCount[WeekIndex],3),IF((COUNTIFS(T_SelfStock[RM_Code],$A67,T_SelfStock[WeekIndex],3)&gt;0)*(COUNTIFS(T_TTAFStock[RM_Code],$A67,T_TTAFStock[WeekIndex],3)&gt;0)&gt;0,SUMIFS(T_SelfStock[Self_Qty],T_SelfStock[RM_Code],$A67,T_SelfStock[WeekIndex],3)+SUMIFS(T_TTAFStock[TTAF_Qty],T_TTAFStock[RM_Code],$A67,T_TTAFStock[WeekIndex],3),C67+'Grid_Incoming'!D67-'Grid_Requirement'!D67))</f>
        <v/>
      </c>
      <c r="E67">
        <f>IF(COUNTIFS(T_StockCount[RM_Code],$A67,T_StockCount[WeekIndex],4)&gt;0,SUMIFS(T_StockCount[CountedQty],T_StockCount[RM_Code],$A67,T_StockCount[WeekIndex],4),IF((COUNTIFS(T_SelfStock[RM_Code],$A67,T_SelfStock[WeekIndex],4)&gt;0)*(COUNTIFS(T_TTAFStock[RM_Code],$A67,T_TTAFStock[WeekIndex],4)&gt;0)&gt;0,SUMIFS(T_SelfStock[Self_Qty],T_SelfStock[RM_Code],$A67,T_SelfStock[WeekIndex],4)+SUMIFS(T_TTAFStock[TTAF_Qty],T_TTAFStock[RM_Code],$A67,T_TTAFStock[WeekIndex],4),D67+'Grid_Incoming'!E67-'Grid_Requirement'!E67))</f>
        <v/>
      </c>
      <c r="F67">
        <f>IF(COUNTIFS(T_StockCount[RM_Code],$A67,T_StockCount[WeekIndex],5)&gt;0,SUMIFS(T_StockCount[CountedQty],T_StockCount[RM_Code],$A67,T_StockCount[WeekIndex],5),IF((COUNTIFS(T_SelfStock[RM_Code],$A67,T_SelfStock[WeekIndex],5)&gt;0)*(COUNTIFS(T_TTAFStock[RM_Code],$A67,T_TTAFStock[WeekIndex],5)&gt;0)&gt;0,SUMIFS(T_SelfStock[Self_Qty],T_SelfStock[RM_Code],$A67,T_SelfStock[WeekIndex],5)+SUMIFS(T_TTAFStock[TTAF_Qty],T_TTAFStock[RM_Code],$A67,T_TTAFStock[WeekIndex],5),E67+'Grid_Incoming'!F67-'Grid_Requirement'!F67))</f>
        <v/>
      </c>
      <c r="G67">
        <f>IF(COUNTIFS(T_StockCount[RM_Code],$A67,T_StockCount[WeekIndex],6)&gt;0,SUMIFS(T_StockCount[CountedQty],T_StockCount[RM_Code],$A67,T_StockCount[WeekIndex],6),IF((COUNTIFS(T_SelfStock[RM_Code],$A67,T_SelfStock[WeekIndex],6)&gt;0)*(COUNTIFS(T_TTAFStock[RM_Code],$A67,T_TTAFStock[WeekIndex],6)&gt;0)&gt;0,SUMIFS(T_SelfStock[Self_Qty],T_SelfStock[RM_Code],$A67,T_SelfStock[WeekIndex],6)+SUMIFS(T_TTAFStock[TTAF_Qty],T_TTAFStock[RM_Code],$A67,T_TTAFStock[WeekIndex],6),F67+'Grid_Incoming'!G67-'Grid_Requirement'!G67))</f>
        <v/>
      </c>
      <c r="H67">
        <f>IF(COUNTIFS(T_StockCount[RM_Code],$A67,T_StockCount[WeekIndex],7)&gt;0,SUMIFS(T_StockCount[CountedQty],T_StockCount[RM_Code],$A67,T_StockCount[WeekIndex],7),IF((COUNTIFS(T_SelfStock[RM_Code],$A67,T_SelfStock[WeekIndex],7)&gt;0)*(COUNTIFS(T_TTAFStock[RM_Code],$A67,T_TTAFStock[WeekIndex],7)&gt;0)&gt;0,SUMIFS(T_SelfStock[Self_Qty],T_SelfStock[RM_Code],$A67,T_SelfStock[WeekIndex],7)+SUMIFS(T_TTAFStock[TTAF_Qty],T_TTAFStock[RM_Code],$A67,T_TTAFStock[WeekIndex],7),G67+'Grid_Incoming'!H67-'Grid_Requirement'!H67))</f>
        <v/>
      </c>
      <c r="I67">
        <f>IF(COUNTIFS(T_StockCount[RM_Code],$A67,T_StockCount[WeekIndex],8)&gt;0,SUMIFS(T_StockCount[CountedQty],T_StockCount[RM_Code],$A67,T_StockCount[WeekIndex],8),IF((COUNTIFS(T_SelfStock[RM_Code],$A67,T_SelfStock[WeekIndex],8)&gt;0)*(COUNTIFS(T_TTAFStock[RM_Code],$A67,T_TTAFStock[WeekIndex],8)&gt;0)&gt;0,SUMIFS(T_SelfStock[Self_Qty],T_SelfStock[RM_Code],$A67,T_SelfStock[WeekIndex],8)+SUMIFS(T_TTAFStock[TTAF_Qty],T_TTAFStock[RM_Code],$A67,T_TTAFStock[WeekIndex],8),H67+'Grid_Incoming'!I67-'Grid_Requirement'!I67))</f>
        <v/>
      </c>
      <c r="J67">
        <f>IF(COUNTIFS(T_StockCount[RM_Code],$A67,T_StockCount[WeekIndex],9)&gt;0,SUMIFS(T_StockCount[CountedQty],T_StockCount[RM_Code],$A67,T_StockCount[WeekIndex],9),IF((COUNTIFS(T_SelfStock[RM_Code],$A67,T_SelfStock[WeekIndex],9)&gt;0)*(COUNTIFS(T_TTAFStock[RM_Code],$A67,T_TTAFStock[WeekIndex],9)&gt;0)&gt;0,SUMIFS(T_SelfStock[Self_Qty],T_SelfStock[RM_Code],$A67,T_SelfStock[WeekIndex],9)+SUMIFS(T_TTAFStock[TTAF_Qty],T_TTAFStock[RM_Code],$A67,T_TTAFStock[WeekIndex],9),I67+'Grid_Incoming'!J67-'Grid_Requirement'!J67))</f>
        <v/>
      </c>
      <c r="K67">
        <f>IF(COUNTIFS(T_StockCount[RM_Code],$A67,T_StockCount[WeekIndex],10)&gt;0,SUMIFS(T_StockCount[CountedQty],T_StockCount[RM_Code],$A67,T_StockCount[WeekIndex],10),IF((COUNTIFS(T_SelfStock[RM_Code],$A67,T_SelfStock[WeekIndex],10)&gt;0)*(COUNTIFS(T_TTAFStock[RM_Code],$A67,T_TTAFStock[WeekIndex],10)&gt;0)&gt;0,SUMIFS(T_SelfStock[Self_Qty],T_SelfStock[RM_Code],$A67,T_SelfStock[WeekIndex],10)+SUMIFS(T_TTAFStock[TTAF_Qty],T_TTAFStock[RM_Code],$A67,T_TTAFStock[WeekIndex],10),J67+'Grid_Incoming'!K67-'Grid_Requirement'!K67))</f>
        <v/>
      </c>
      <c r="L67">
        <f>IF(COUNTIFS(T_StockCount[RM_Code],$A67,T_StockCount[WeekIndex],11)&gt;0,SUMIFS(T_StockCount[CountedQty],T_StockCount[RM_Code],$A67,T_StockCount[WeekIndex],11),IF((COUNTIFS(T_SelfStock[RM_Code],$A67,T_SelfStock[WeekIndex],11)&gt;0)*(COUNTIFS(T_TTAFStock[RM_Code],$A67,T_TTAFStock[WeekIndex],11)&gt;0)&gt;0,SUMIFS(T_SelfStock[Self_Qty],T_SelfStock[RM_Code],$A67,T_SelfStock[WeekIndex],11)+SUMIFS(T_TTAFStock[TTAF_Qty],T_TTAFStock[RM_Code],$A67,T_TTAFStock[WeekIndex],11),K67+'Grid_Incoming'!L67-'Grid_Requirement'!L67))</f>
        <v/>
      </c>
      <c r="M67">
        <f>IF(COUNTIFS(T_StockCount[RM_Code],$A67,T_StockCount[WeekIndex],12)&gt;0,SUMIFS(T_StockCount[CountedQty],T_StockCount[RM_Code],$A67,T_StockCount[WeekIndex],12),IF((COUNTIFS(T_SelfStock[RM_Code],$A67,T_SelfStock[WeekIndex],12)&gt;0)*(COUNTIFS(T_TTAFStock[RM_Code],$A67,T_TTAFStock[WeekIndex],12)&gt;0)&gt;0,SUMIFS(T_SelfStock[Self_Qty],T_SelfStock[RM_Code],$A67,T_SelfStock[WeekIndex],12)+SUMIFS(T_TTAFStock[TTAF_Qty],T_TTAFStock[RM_Code],$A67,T_TTAFStock[WeekIndex],12),L67+'Grid_Incoming'!M67-'Grid_Requirement'!M67))</f>
        <v/>
      </c>
      <c r="N67">
        <f>IF(COUNTIFS(T_StockCount[RM_Code],$A67,T_StockCount[WeekIndex],13)&gt;0,SUMIFS(T_StockCount[CountedQty],T_StockCount[RM_Code],$A67,T_StockCount[WeekIndex],13),IF((COUNTIFS(T_SelfStock[RM_Code],$A67,T_SelfStock[WeekIndex],13)&gt;0)*(COUNTIFS(T_TTAFStock[RM_Code],$A67,T_TTAFStock[WeekIndex],13)&gt;0)&gt;0,SUMIFS(T_SelfStock[Self_Qty],T_SelfStock[RM_Code],$A67,T_SelfStock[WeekIndex],13)+SUMIFS(T_TTAFStock[TTAF_Qty],T_TTAFStock[RM_Code],$A67,T_TTAFStock[WeekIndex],13),M67+'Grid_Incoming'!N67-'Grid_Requirement'!N67))</f>
        <v/>
      </c>
      <c r="O67">
        <f>IF(COUNTIFS(T_StockCount[RM_Code],$A67,T_StockCount[WeekIndex],14)&gt;0,SUMIFS(T_StockCount[CountedQty],T_StockCount[RM_Code],$A67,T_StockCount[WeekIndex],14),IF((COUNTIFS(T_SelfStock[RM_Code],$A67,T_SelfStock[WeekIndex],14)&gt;0)*(COUNTIFS(T_TTAFStock[RM_Code],$A67,T_TTAFStock[WeekIndex],14)&gt;0)&gt;0,SUMIFS(T_SelfStock[Self_Qty],T_SelfStock[RM_Code],$A67,T_SelfStock[WeekIndex],14)+SUMIFS(T_TTAFStock[TTAF_Qty],T_TTAFStock[RM_Code],$A67,T_TTAFStock[WeekIndex],14),N67+'Grid_Incoming'!O67-'Grid_Requirement'!O67))</f>
        <v/>
      </c>
      <c r="P67">
        <f>IF(COUNTIFS(T_StockCount[RM_Code],$A67,T_StockCount[WeekIndex],15)&gt;0,SUMIFS(T_StockCount[CountedQty],T_StockCount[RM_Code],$A67,T_StockCount[WeekIndex],15),IF((COUNTIFS(T_SelfStock[RM_Code],$A67,T_SelfStock[WeekIndex],15)&gt;0)*(COUNTIFS(T_TTAFStock[RM_Code],$A67,T_TTAFStock[WeekIndex],15)&gt;0)&gt;0,SUMIFS(T_SelfStock[Self_Qty],T_SelfStock[RM_Code],$A67,T_SelfStock[WeekIndex],15)+SUMIFS(T_TTAFStock[TTAF_Qty],T_TTAFStock[RM_Code],$A67,T_TTAFStock[WeekIndex],15),O67+'Grid_Incoming'!P67-'Grid_Requirement'!P67))</f>
        <v/>
      </c>
      <c r="Q67">
        <f>IF(COUNTIFS(T_StockCount[RM_Code],$A67,T_StockCount[WeekIndex],16)&gt;0,SUMIFS(T_StockCount[CountedQty],T_StockCount[RM_Code],$A67,T_StockCount[WeekIndex],16),IF((COUNTIFS(T_SelfStock[RM_Code],$A67,T_SelfStock[WeekIndex],16)&gt;0)*(COUNTIFS(T_TTAFStock[RM_Code],$A67,T_TTAFStock[WeekIndex],16)&gt;0)&gt;0,SUMIFS(T_SelfStock[Self_Qty],T_SelfStock[RM_Code],$A67,T_SelfStock[WeekIndex],16)+SUMIFS(T_TTAFStock[TTAF_Qty],T_TTAFStock[RM_Code],$A67,T_TTAFStock[WeekIndex],16),P67+'Grid_Incoming'!Q67-'Grid_Requirement'!Q67))</f>
        <v/>
      </c>
      <c r="R67">
        <f>IF(COUNTIFS(T_StockCount[RM_Code],$A67,T_StockCount[WeekIndex],17)&gt;0,SUMIFS(T_StockCount[CountedQty],T_StockCount[RM_Code],$A67,T_StockCount[WeekIndex],17),IF((COUNTIFS(T_SelfStock[RM_Code],$A67,T_SelfStock[WeekIndex],17)&gt;0)*(COUNTIFS(T_TTAFStock[RM_Code],$A67,T_TTAFStock[WeekIndex],17)&gt;0)&gt;0,SUMIFS(T_SelfStock[Self_Qty],T_SelfStock[RM_Code],$A67,T_SelfStock[WeekIndex],17)+SUMIFS(T_TTAFStock[TTAF_Qty],T_TTAFStock[RM_Code],$A67,T_TTAFStock[WeekIndex],17),Q67+'Grid_Incoming'!R67-'Grid_Requirement'!R67))</f>
        <v/>
      </c>
      <c r="S67">
        <f>IF(COUNTIFS(T_StockCount[RM_Code],$A67,T_StockCount[WeekIndex],18)&gt;0,SUMIFS(T_StockCount[CountedQty],T_StockCount[RM_Code],$A67,T_StockCount[WeekIndex],18),IF((COUNTIFS(T_SelfStock[RM_Code],$A67,T_SelfStock[WeekIndex],18)&gt;0)*(COUNTIFS(T_TTAFStock[RM_Code],$A67,T_TTAFStock[WeekIndex],18)&gt;0)&gt;0,SUMIFS(T_SelfStock[Self_Qty],T_SelfStock[RM_Code],$A67,T_SelfStock[WeekIndex],18)+SUMIFS(T_TTAFStock[TTAF_Qty],T_TTAFStock[RM_Code],$A67,T_TTAFStock[WeekIndex],18),R67+'Grid_Incoming'!S67-'Grid_Requirement'!S67))</f>
        <v/>
      </c>
      <c r="T67">
        <f>IF(COUNTIFS(T_StockCount[RM_Code],$A67,T_StockCount[WeekIndex],19)&gt;0,SUMIFS(T_StockCount[CountedQty],T_StockCount[RM_Code],$A67,T_StockCount[WeekIndex],19),IF((COUNTIFS(T_SelfStock[RM_Code],$A67,T_SelfStock[WeekIndex],19)&gt;0)*(COUNTIFS(T_TTAFStock[RM_Code],$A67,T_TTAFStock[WeekIndex],19)&gt;0)&gt;0,SUMIFS(T_SelfStock[Self_Qty],T_SelfStock[RM_Code],$A67,T_SelfStock[WeekIndex],19)+SUMIFS(T_TTAFStock[TTAF_Qty],T_TTAFStock[RM_Code],$A67,T_TTAFStock[WeekIndex],19),S67+'Grid_Incoming'!T67-'Grid_Requirement'!T67))</f>
        <v/>
      </c>
      <c r="U67">
        <f>IF(COUNTIFS(T_StockCount[RM_Code],$A67,T_StockCount[WeekIndex],20)&gt;0,SUMIFS(T_StockCount[CountedQty],T_StockCount[RM_Code],$A67,T_StockCount[WeekIndex],20),IF((COUNTIFS(T_SelfStock[RM_Code],$A67,T_SelfStock[WeekIndex],20)&gt;0)*(COUNTIFS(T_TTAFStock[RM_Code],$A67,T_TTAFStock[WeekIndex],20)&gt;0)&gt;0,SUMIFS(T_SelfStock[Self_Qty],T_SelfStock[RM_Code],$A67,T_SelfStock[WeekIndex],20)+SUMIFS(T_TTAFStock[TTAF_Qty],T_TTAFStock[RM_Code],$A67,T_TTAFStock[WeekIndex],20),T67+'Grid_Incoming'!U67-'Grid_Requirement'!U67))</f>
        <v/>
      </c>
      <c r="V67">
        <f>IF(COUNTIFS(T_StockCount[RM_Code],$A67,T_StockCount[WeekIndex],21)&gt;0,SUMIFS(T_StockCount[CountedQty],T_StockCount[RM_Code],$A67,T_StockCount[WeekIndex],21),IF((COUNTIFS(T_SelfStock[RM_Code],$A67,T_SelfStock[WeekIndex],21)&gt;0)*(COUNTIFS(T_TTAFStock[RM_Code],$A67,T_TTAFStock[WeekIndex],21)&gt;0)&gt;0,SUMIFS(T_SelfStock[Self_Qty],T_SelfStock[RM_Code],$A67,T_SelfStock[WeekIndex],21)+SUMIFS(T_TTAFStock[TTAF_Qty],T_TTAFStock[RM_Code],$A67,T_TTAFStock[WeekIndex],21),U67+'Grid_Incoming'!V67-'Grid_Requirement'!V67))</f>
        <v/>
      </c>
      <c r="W67">
        <f>IF(COUNTIFS(T_StockCount[RM_Code],$A67,T_StockCount[WeekIndex],22)&gt;0,SUMIFS(T_StockCount[CountedQty],T_StockCount[RM_Code],$A67,T_StockCount[WeekIndex],22),IF((COUNTIFS(T_SelfStock[RM_Code],$A67,T_SelfStock[WeekIndex],22)&gt;0)*(COUNTIFS(T_TTAFStock[RM_Code],$A67,T_TTAFStock[WeekIndex],22)&gt;0)&gt;0,SUMIFS(T_SelfStock[Self_Qty],T_SelfStock[RM_Code],$A67,T_SelfStock[WeekIndex],22)+SUMIFS(T_TTAFStock[TTAF_Qty],T_TTAFStock[RM_Code],$A67,T_TTAFStock[WeekIndex],22),V67+'Grid_Incoming'!W67-'Grid_Requirement'!W67))</f>
        <v/>
      </c>
      <c r="X67">
        <f>IF(COUNTIFS(T_StockCount[RM_Code],$A67,T_StockCount[WeekIndex],23)&gt;0,SUMIFS(T_StockCount[CountedQty],T_StockCount[RM_Code],$A67,T_StockCount[WeekIndex],23),IF((COUNTIFS(T_SelfStock[RM_Code],$A67,T_SelfStock[WeekIndex],23)&gt;0)*(COUNTIFS(T_TTAFStock[RM_Code],$A67,T_TTAFStock[WeekIndex],23)&gt;0)&gt;0,SUMIFS(T_SelfStock[Self_Qty],T_SelfStock[RM_Code],$A67,T_SelfStock[WeekIndex],23)+SUMIFS(T_TTAFStock[TTAF_Qty],T_TTAFStock[RM_Code],$A67,T_TTAFStock[WeekIndex],23),W67+'Grid_Incoming'!X67-'Grid_Requirement'!X67))</f>
        <v/>
      </c>
      <c r="Y67">
        <f>IF(COUNTIFS(T_StockCount[RM_Code],$A67,T_StockCount[WeekIndex],24)&gt;0,SUMIFS(T_StockCount[CountedQty],T_StockCount[RM_Code],$A67,T_StockCount[WeekIndex],24),IF((COUNTIFS(T_SelfStock[RM_Code],$A67,T_SelfStock[WeekIndex],24)&gt;0)*(COUNTIFS(T_TTAFStock[RM_Code],$A67,T_TTAFStock[WeekIndex],24)&gt;0)&gt;0,SUMIFS(T_SelfStock[Self_Qty],T_SelfStock[RM_Code],$A67,T_SelfStock[WeekIndex],24)+SUMIFS(T_TTAFStock[TTAF_Qty],T_TTAFStock[RM_Code],$A67,T_TTAFStock[WeekIndex],24),X67+'Grid_Incoming'!Y67-'Grid_Requirement'!Y67))</f>
        <v/>
      </c>
      <c r="Z67">
        <f>IF(COUNTIFS(T_StockCount[RM_Code],$A67,T_StockCount[WeekIndex],25)&gt;0,SUMIFS(T_StockCount[CountedQty],T_StockCount[RM_Code],$A67,T_StockCount[WeekIndex],25),IF((COUNTIFS(T_SelfStock[RM_Code],$A67,T_SelfStock[WeekIndex],25)&gt;0)*(COUNTIFS(T_TTAFStock[RM_Code],$A67,T_TTAFStock[WeekIndex],25)&gt;0)&gt;0,SUMIFS(T_SelfStock[Self_Qty],T_SelfStock[RM_Code],$A67,T_SelfStock[WeekIndex],25)+SUMIFS(T_TTAFStock[TTAF_Qty],T_TTAFStock[RM_Code],$A67,T_TTAFStock[WeekIndex],25),Y67+'Grid_Incoming'!Z67-'Grid_Requirement'!Z67))</f>
        <v/>
      </c>
      <c r="AA67">
        <f>IF(COUNTIFS(T_StockCount[RM_Code],$A67,T_StockCount[WeekIndex],26)&gt;0,SUMIFS(T_StockCount[CountedQty],T_StockCount[RM_Code],$A67,T_StockCount[WeekIndex],26),IF((COUNTIFS(T_SelfStock[RM_Code],$A67,T_SelfStock[WeekIndex],26)&gt;0)*(COUNTIFS(T_TTAFStock[RM_Code],$A67,T_TTAFStock[WeekIndex],26)&gt;0)&gt;0,SUMIFS(T_SelfStock[Self_Qty],T_SelfStock[RM_Code],$A67,T_SelfStock[WeekIndex],26)+SUMIFS(T_TTAFStock[TTAF_Qty],T_TTAFStock[RM_Code],$A67,T_TTAFStock[WeekIndex],26),Z67+'Grid_Incoming'!AA67-'Grid_Requirement'!AA67))</f>
        <v/>
      </c>
      <c r="AB67">
        <f>IF(COUNTIFS(T_StockCount[RM_Code],$A67,T_StockCount[WeekIndex],27)&gt;0,SUMIFS(T_StockCount[CountedQty],T_StockCount[RM_Code],$A67,T_StockCount[WeekIndex],27),IF((COUNTIFS(T_SelfStock[RM_Code],$A67,T_SelfStock[WeekIndex],27)&gt;0)*(COUNTIFS(T_TTAFStock[RM_Code],$A67,T_TTAFStock[WeekIndex],27)&gt;0)&gt;0,SUMIFS(T_SelfStock[Self_Qty],T_SelfStock[RM_Code],$A67,T_SelfStock[WeekIndex],27)+SUMIFS(T_TTAFStock[TTAF_Qty],T_TTAFStock[RM_Code],$A67,T_TTAFStock[WeekIndex],27),AA67+'Grid_Incoming'!AB67-'Grid_Requirement'!AB67))</f>
        <v/>
      </c>
      <c r="AC67">
        <f>IF(COUNTIFS(T_StockCount[RM_Code],$A67,T_StockCount[WeekIndex],28)&gt;0,SUMIFS(T_StockCount[CountedQty],T_StockCount[RM_Code],$A67,T_StockCount[WeekIndex],28),IF((COUNTIFS(T_SelfStock[RM_Code],$A67,T_SelfStock[WeekIndex],28)&gt;0)*(COUNTIFS(T_TTAFStock[RM_Code],$A67,T_TTAFStock[WeekIndex],28)&gt;0)&gt;0,SUMIFS(T_SelfStock[Self_Qty],T_SelfStock[RM_Code],$A67,T_SelfStock[WeekIndex],28)+SUMIFS(T_TTAFStock[TTAF_Qty],T_TTAFStock[RM_Code],$A67,T_TTAFStock[WeekIndex],28),AB67+'Grid_Incoming'!AC67-'Grid_Requirement'!AC67))</f>
        <v/>
      </c>
      <c r="AD67">
        <f>IF(COUNTIFS(T_StockCount[RM_Code],$A67,T_StockCount[WeekIndex],29)&gt;0,SUMIFS(T_StockCount[CountedQty],T_StockCount[RM_Code],$A67,T_StockCount[WeekIndex],29),IF((COUNTIFS(T_SelfStock[RM_Code],$A67,T_SelfStock[WeekIndex],29)&gt;0)*(COUNTIFS(T_TTAFStock[RM_Code],$A67,T_TTAFStock[WeekIndex],29)&gt;0)&gt;0,SUMIFS(T_SelfStock[Self_Qty],T_SelfStock[RM_Code],$A67,T_SelfStock[WeekIndex],29)+SUMIFS(T_TTAFStock[TTAF_Qty],T_TTAFStock[RM_Code],$A67,T_TTAFStock[WeekIndex],29),AC67+'Grid_Incoming'!AD67-'Grid_Requirement'!AD67))</f>
        <v/>
      </c>
      <c r="AE67">
        <f>IF(COUNTIFS(T_StockCount[RM_Code],$A67,T_StockCount[WeekIndex],30)&gt;0,SUMIFS(T_StockCount[CountedQty],T_StockCount[RM_Code],$A67,T_StockCount[WeekIndex],30),IF((COUNTIFS(T_SelfStock[RM_Code],$A67,T_SelfStock[WeekIndex],30)&gt;0)*(COUNTIFS(T_TTAFStock[RM_Code],$A67,T_TTAFStock[WeekIndex],30)&gt;0)&gt;0,SUMIFS(T_SelfStock[Self_Qty],T_SelfStock[RM_Code],$A67,T_SelfStock[WeekIndex],30)+SUMIFS(T_TTAFStock[TTAF_Qty],T_TTAFStock[RM_Code],$A67,T_TTAFStock[WeekIndex],30),AD67+'Grid_Incoming'!AE67-'Grid_Requirement'!AE67))</f>
        <v/>
      </c>
      <c r="AF67">
        <f>IF(COUNTIFS(T_StockCount[RM_Code],$A67,T_StockCount[WeekIndex],31)&gt;0,SUMIFS(T_StockCount[CountedQty],T_StockCount[RM_Code],$A67,T_StockCount[WeekIndex],31),IF((COUNTIFS(T_SelfStock[RM_Code],$A67,T_SelfStock[WeekIndex],31)&gt;0)*(COUNTIFS(T_TTAFStock[RM_Code],$A67,T_TTAFStock[WeekIndex],31)&gt;0)&gt;0,SUMIFS(T_SelfStock[Self_Qty],T_SelfStock[RM_Code],$A67,T_SelfStock[WeekIndex],31)+SUMIFS(T_TTAFStock[TTAF_Qty],T_TTAFStock[RM_Code],$A67,T_TTAFStock[WeekIndex],31),AE67+'Grid_Incoming'!AF67-'Grid_Requirement'!AF67))</f>
        <v/>
      </c>
      <c r="AG67">
        <f>IF(COUNTIFS(T_StockCount[RM_Code],$A67,T_StockCount[WeekIndex],32)&gt;0,SUMIFS(T_StockCount[CountedQty],T_StockCount[RM_Code],$A67,T_StockCount[WeekIndex],32),IF((COUNTIFS(T_SelfStock[RM_Code],$A67,T_SelfStock[WeekIndex],32)&gt;0)*(COUNTIFS(T_TTAFStock[RM_Code],$A67,T_TTAFStock[WeekIndex],32)&gt;0)&gt;0,SUMIFS(T_SelfStock[Self_Qty],T_SelfStock[RM_Code],$A67,T_SelfStock[WeekIndex],32)+SUMIFS(T_TTAFStock[TTAF_Qty],T_TTAFStock[RM_Code],$A67,T_TTAFStock[WeekIndex],32),AF67+'Grid_Incoming'!AG67-'Grid_Requirement'!AG67))</f>
        <v/>
      </c>
      <c r="AH67">
        <f>IF(COUNTIFS(T_StockCount[RM_Code],$A67,T_StockCount[WeekIndex],33)&gt;0,SUMIFS(T_StockCount[CountedQty],T_StockCount[RM_Code],$A67,T_StockCount[WeekIndex],33),IF((COUNTIFS(T_SelfStock[RM_Code],$A67,T_SelfStock[WeekIndex],33)&gt;0)*(COUNTIFS(T_TTAFStock[RM_Code],$A67,T_TTAFStock[WeekIndex],33)&gt;0)&gt;0,SUMIFS(T_SelfStock[Self_Qty],T_SelfStock[RM_Code],$A67,T_SelfStock[WeekIndex],33)+SUMIFS(T_TTAFStock[TTAF_Qty],T_TTAFStock[RM_Code],$A67,T_TTAFStock[WeekIndex],33),AG67+'Grid_Incoming'!AH67-'Grid_Requirement'!AH67))</f>
        <v/>
      </c>
      <c r="AI67">
        <f>IF(COUNTIFS(T_StockCount[RM_Code],$A67,T_StockCount[WeekIndex],34)&gt;0,SUMIFS(T_StockCount[CountedQty],T_StockCount[RM_Code],$A67,T_StockCount[WeekIndex],34),IF((COUNTIFS(T_SelfStock[RM_Code],$A67,T_SelfStock[WeekIndex],34)&gt;0)*(COUNTIFS(T_TTAFStock[RM_Code],$A67,T_TTAFStock[WeekIndex],34)&gt;0)&gt;0,SUMIFS(T_SelfStock[Self_Qty],T_SelfStock[RM_Code],$A67,T_SelfStock[WeekIndex],34)+SUMIFS(T_TTAFStock[TTAF_Qty],T_TTAFStock[RM_Code],$A67,T_TTAFStock[WeekIndex],34),AH67+'Grid_Incoming'!AI67-'Grid_Requirement'!AI67))</f>
        <v/>
      </c>
      <c r="AJ67">
        <f>IF(COUNTIFS(T_StockCount[RM_Code],$A67,T_StockCount[WeekIndex],35)&gt;0,SUMIFS(T_StockCount[CountedQty],T_StockCount[RM_Code],$A67,T_StockCount[WeekIndex],35),IF((COUNTIFS(T_SelfStock[RM_Code],$A67,T_SelfStock[WeekIndex],35)&gt;0)*(COUNTIFS(T_TTAFStock[RM_Code],$A67,T_TTAFStock[WeekIndex],35)&gt;0)&gt;0,SUMIFS(T_SelfStock[Self_Qty],T_SelfStock[RM_Code],$A67,T_SelfStock[WeekIndex],35)+SUMIFS(T_TTAFStock[TTAF_Qty],T_TTAFStock[RM_Code],$A67,T_TTAFStock[WeekIndex],35),AI67+'Grid_Incoming'!AJ67-'Grid_Requirement'!AJ67))</f>
        <v/>
      </c>
      <c r="AK67">
        <f>IF(COUNTIFS(T_StockCount[RM_Code],$A67,T_StockCount[WeekIndex],36)&gt;0,SUMIFS(T_StockCount[CountedQty],T_StockCount[RM_Code],$A67,T_StockCount[WeekIndex],36),IF((COUNTIFS(T_SelfStock[RM_Code],$A67,T_SelfStock[WeekIndex],36)&gt;0)*(COUNTIFS(T_TTAFStock[RM_Code],$A67,T_TTAFStock[WeekIndex],36)&gt;0)&gt;0,SUMIFS(T_SelfStock[Self_Qty],T_SelfStock[RM_Code],$A67,T_SelfStock[WeekIndex],36)+SUMIFS(T_TTAFStock[TTAF_Qty],T_TTAFStock[RM_Code],$A67,T_TTAFStock[WeekIndex],36),AJ67+'Grid_Incoming'!AK67-'Grid_Requirement'!AK67))</f>
        <v/>
      </c>
      <c r="AL67">
        <f>IF(COUNTIFS(T_StockCount[RM_Code],$A67,T_StockCount[WeekIndex],37)&gt;0,SUMIFS(T_StockCount[CountedQty],T_StockCount[RM_Code],$A67,T_StockCount[WeekIndex],37),IF((COUNTIFS(T_SelfStock[RM_Code],$A67,T_SelfStock[WeekIndex],37)&gt;0)*(COUNTIFS(T_TTAFStock[RM_Code],$A67,T_TTAFStock[WeekIndex],37)&gt;0)&gt;0,SUMIFS(T_SelfStock[Self_Qty],T_SelfStock[RM_Code],$A67,T_SelfStock[WeekIndex],37)+SUMIFS(T_TTAFStock[TTAF_Qty],T_TTAFStock[RM_Code],$A67,T_TTAFStock[WeekIndex],37),AK67+'Grid_Incoming'!AL67-'Grid_Requirement'!AL67))</f>
        <v/>
      </c>
      <c r="AM67">
        <f>IF(COUNTIFS(T_StockCount[RM_Code],$A67,T_StockCount[WeekIndex],38)&gt;0,SUMIFS(T_StockCount[CountedQty],T_StockCount[RM_Code],$A67,T_StockCount[WeekIndex],38),IF((COUNTIFS(T_SelfStock[RM_Code],$A67,T_SelfStock[WeekIndex],38)&gt;0)*(COUNTIFS(T_TTAFStock[RM_Code],$A67,T_TTAFStock[WeekIndex],38)&gt;0)&gt;0,SUMIFS(T_SelfStock[Self_Qty],T_SelfStock[RM_Code],$A67,T_SelfStock[WeekIndex],38)+SUMIFS(T_TTAFStock[TTAF_Qty],T_TTAFStock[RM_Code],$A67,T_TTAFStock[WeekIndex],38),AL67+'Grid_Incoming'!AM67-'Grid_Requirement'!AM67))</f>
        <v/>
      </c>
      <c r="AN67">
        <f>IF(COUNTIFS(T_StockCount[RM_Code],$A67,T_StockCount[WeekIndex],39)&gt;0,SUMIFS(T_StockCount[CountedQty],T_StockCount[RM_Code],$A67,T_StockCount[WeekIndex],39),IF((COUNTIFS(T_SelfStock[RM_Code],$A67,T_SelfStock[WeekIndex],39)&gt;0)*(COUNTIFS(T_TTAFStock[RM_Code],$A67,T_TTAFStock[WeekIndex],39)&gt;0)&gt;0,SUMIFS(T_SelfStock[Self_Qty],T_SelfStock[RM_Code],$A67,T_SelfStock[WeekIndex],39)+SUMIFS(T_TTAFStock[TTAF_Qty],T_TTAFStock[RM_Code],$A67,T_TTAFStock[WeekIndex],39),AM67+'Grid_Incoming'!AN67-'Grid_Requirement'!AN67))</f>
        <v/>
      </c>
      <c r="AO67">
        <f>IF(COUNTIFS(T_StockCount[RM_Code],$A67,T_StockCount[WeekIndex],40)&gt;0,SUMIFS(T_StockCount[CountedQty],T_StockCount[RM_Code],$A67,T_StockCount[WeekIndex],40),IF((COUNTIFS(T_SelfStock[RM_Code],$A67,T_SelfStock[WeekIndex],40)&gt;0)*(COUNTIFS(T_TTAFStock[RM_Code],$A67,T_TTAFStock[WeekIndex],40)&gt;0)&gt;0,SUMIFS(T_SelfStock[Self_Qty],T_SelfStock[RM_Code],$A67,T_SelfStock[WeekIndex],40)+SUMIFS(T_TTAFStock[TTAF_Qty],T_TTAFStock[RM_Code],$A67,T_TTAFStock[WeekIndex],40),AN67+'Grid_Incoming'!AO67-'Grid_Requirement'!AO67))</f>
        <v/>
      </c>
      <c r="AP67">
        <f>IF(COUNTIFS(T_StockCount[RM_Code],$A67,T_StockCount[WeekIndex],41)&gt;0,SUMIFS(T_StockCount[CountedQty],T_StockCount[RM_Code],$A67,T_StockCount[WeekIndex],41),IF((COUNTIFS(T_SelfStock[RM_Code],$A67,T_SelfStock[WeekIndex],41)&gt;0)*(COUNTIFS(T_TTAFStock[RM_Code],$A67,T_TTAFStock[WeekIndex],41)&gt;0)&gt;0,SUMIFS(T_SelfStock[Self_Qty],T_SelfStock[RM_Code],$A67,T_SelfStock[WeekIndex],41)+SUMIFS(T_TTAFStock[TTAF_Qty],T_TTAFStock[RM_Code],$A67,T_TTAFStock[WeekIndex],41),AO67+'Grid_Incoming'!AP67-'Grid_Requirement'!AP67))</f>
        <v/>
      </c>
      <c r="AQ67">
        <f>IF(COUNTIFS(T_StockCount[RM_Code],$A67,T_StockCount[WeekIndex],42)&gt;0,SUMIFS(T_StockCount[CountedQty],T_StockCount[RM_Code],$A67,T_StockCount[WeekIndex],42),IF((COUNTIFS(T_SelfStock[RM_Code],$A67,T_SelfStock[WeekIndex],42)&gt;0)*(COUNTIFS(T_TTAFStock[RM_Code],$A67,T_TTAFStock[WeekIndex],42)&gt;0)&gt;0,SUMIFS(T_SelfStock[Self_Qty],T_SelfStock[RM_Code],$A67,T_SelfStock[WeekIndex],42)+SUMIFS(T_TTAFStock[TTAF_Qty],T_TTAFStock[RM_Code],$A67,T_TTAFStock[WeekIndex],42),AP67+'Grid_Incoming'!AQ67-'Grid_Requirement'!AQ67))</f>
        <v/>
      </c>
      <c r="AR67">
        <f>IF(COUNTIFS(T_StockCount[RM_Code],$A67,T_StockCount[WeekIndex],43)&gt;0,SUMIFS(T_StockCount[CountedQty],T_StockCount[RM_Code],$A67,T_StockCount[WeekIndex],43),IF((COUNTIFS(T_SelfStock[RM_Code],$A67,T_SelfStock[WeekIndex],43)&gt;0)*(COUNTIFS(T_TTAFStock[RM_Code],$A67,T_TTAFStock[WeekIndex],43)&gt;0)&gt;0,SUMIFS(T_SelfStock[Self_Qty],T_SelfStock[RM_Code],$A67,T_SelfStock[WeekIndex],43)+SUMIFS(T_TTAFStock[TTAF_Qty],T_TTAFStock[RM_Code],$A67,T_TTAFStock[WeekIndex],43),AQ67+'Grid_Incoming'!AR67-'Grid_Requirement'!AR67))</f>
        <v/>
      </c>
      <c r="AS67">
        <f>IF(COUNTIFS(T_StockCount[RM_Code],$A67,T_StockCount[WeekIndex],44)&gt;0,SUMIFS(T_StockCount[CountedQty],T_StockCount[RM_Code],$A67,T_StockCount[WeekIndex],44),IF((COUNTIFS(T_SelfStock[RM_Code],$A67,T_SelfStock[WeekIndex],44)&gt;0)*(COUNTIFS(T_TTAFStock[RM_Code],$A67,T_TTAFStock[WeekIndex],44)&gt;0)&gt;0,SUMIFS(T_SelfStock[Self_Qty],T_SelfStock[RM_Code],$A67,T_SelfStock[WeekIndex],44)+SUMIFS(T_TTAFStock[TTAF_Qty],T_TTAFStock[RM_Code],$A67,T_TTAFStock[WeekIndex],44),AR67+'Grid_Incoming'!AS67-'Grid_Requirement'!AS67))</f>
        <v/>
      </c>
      <c r="AT67">
        <f>IF(COUNTIFS(T_StockCount[RM_Code],$A67,T_StockCount[WeekIndex],45)&gt;0,SUMIFS(T_StockCount[CountedQty],T_StockCount[RM_Code],$A67,T_StockCount[WeekIndex],45),IF((COUNTIFS(T_SelfStock[RM_Code],$A67,T_SelfStock[WeekIndex],45)&gt;0)*(COUNTIFS(T_TTAFStock[RM_Code],$A67,T_TTAFStock[WeekIndex],45)&gt;0)&gt;0,SUMIFS(T_SelfStock[Self_Qty],T_SelfStock[RM_Code],$A67,T_SelfStock[WeekIndex],45)+SUMIFS(T_TTAFStock[TTAF_Qty],T_TTAFStock[RM_Code],$A67,T_TTAFStock[WeekIndex],45),AS67+'Grid_Incoming'!AT67-'Grid_Requirement'!AT67))</f>
        <v/>
      </c>
      <c r="AU67">
        <f>IF(COUNTIFS(T_StockCount[RM_Code],$A67,T_StockCount[WeekIndex],46)&gt;0,SUMIFS(T_StockCount[CountedQty],T_StockCount[RM_Code],$A67,T_StockCount[WeekIndex],46),IF((COUNTIFS(T_SelfStock[RM_Code],$A67,T_SelfStock[WeekIndex],46)&gt;0)*(COUNTIFS(T_TTAFStock[RM_Code],$A67,T_TTAFStock[WeekIndex],46)&gt;0)&gt;0,SUMIFS(T_SelfStock[Self_Qty],T_SelfStock[RM_Code],$A67,T_SelfStock[WeekIndex],46)+SUMIFS(T_TTAFStock[TTAF_Qty],T_TTAFStock[RM_Code],$A67,T_TTAFStock[WeekIndex],46),AT67+'Grid_Incoming'!AU67-'Grid_Requirement'!AU67))</f>
        <v/>
      </c>
      <c r="AV67">
        <f>IF(COUNTIFS(T_StockCount[RM_Code],$A67,T_StockCount[WeekIndex],47)&gt;0,SUMIFS(T_StockCount[CountedQty],T_StockCount[RM_Code],$A67,T_StockCount[WeekIndex],47),IF((COUNTIFS(T_SelfStock[RM_Code],$A67,T_SelfStock[WeekIndex],47)&gt;0)*(COUNTIFS(T_TTAFStock[RM_Code],$A67,T_TTAFStock[WeekIndex],47)&gt;0)&gt;0,SUMIFS(T_SelfStock[Self_Qty],T_SelfStock[RM_Code],$A67,T_SelfStock[WeekIndex],47)+SUMIFS(T_TTAFStock[TTAF_Qty],T_TTAFStock[RM_Code],$A67,T_TTAFStock[WeekIndex],47),AU67+'Grid_Incoming'!AV67-'Grid_Requirement'!AV67))</f>
        <v/>
      </c>
      <c r="AW67">
        <f>IF(COUNTIFS(T_StockCount[RM_Code],$A67,T_StockCount[WeekIndex],48)&gt;0,SUMIFS(T_StockCount[CountedQty],T_StockCount[RM_Code],$A67,T_StockCount[WeekIndex],48),IF((COUNTIFS(T_SelfStock[RM_Code],$A67,T_SelfStock[WeekIndex],48)&gt;0)*(COUNTIFS(T_TTAFStock[RM_Code],$A67,T_TTAFStock[WeekIndex],48)&gt;0)&gt;0,SUMIFS(T_SelfStock[Self_Qty],T_SelfStock[RM_Code],$A67,T_SelfStock[WeekIndex],48)+SUMIFS(T_TTAFStock[TTAF_Qty],T_TTAFStock[RM_Code],$A67,T_TTAFStock[WeekIndex],48),AV67+'Grid_Incoming'!AW67-'Grid_Requirement'!AW67))</f>
        <v/>
      </c>
      <c r="AX67">
        <f>IF(COUNTIFS(T_StockCount[RM_Code],$A67,T_StockCount[WeekIndex],49)&gt;0,SUMIFS(T_StockCount[CountedQty],T_StockCount[RM_Code],$A67,T_StockCount[WeekIndex],49),IF((COUNTIFS(T_SelfStock[RM_Code],$A67,T_SelfStock[WeekIndex],49)&gt;0)*(COUNTIFS(T_TTAFStock[RM_Code],$A67,T_TTAFStock[WeekIndex],49)&gt;0)&gt;0,SUMIFS(T_SelfStock[Self_Qty],T_SelfStock[RM_Code],$A67,T_SelfStock[WeekIndex],49)+SUMIFS(T_TTAFStock[TTAF_Qty],T_TTAFStock[RM_Code],$A67,T_TTAFStock[WeekIndex],49),AW67+'Grid_Incoming'!AX67-'Grid_Requirement'!AX67))</f>
        <v/>
      </c>
      <c r="AY67">
        <f>IF(COUNTIFS(T_StockCount[RM_Code],$A67,T_StockCount[WeekIndex],50)&gt;0,SUMIFS(T_StockCount[CountedQty],T_StockCount[RM_Code],$A67,T_StockCount[WeekIndex],50),IF((COUNTIFS(T_SelfStock[RM_Code],$A67,T_SelfStock[WeekIndex],50)&gt;0)*(COUNTIFS(T_TTAFStock[RM_Code],$A67,T_TTAFStock[WeekIndex],50)&gt;0)&gt;0,SUMIFS(T_SelfStock[Self_Qty],T_SelfStock[RM_Code],$A67,T_SelfStock[WeekIndex],50)+SUMIFS(T_TTAFStock[TTAF_Qty],T_TTAFStock[RM_Code],$A67,T_TTAFStock[WeekIndex],50),AX67+'Grid_Incoming'!AY67-'Grid_Requirement'!AY67))</f>
        <v/>
      </c>
      <c r="AZ67">
        <f>IF(COUNTIFS(T_StockCount[RM_Code],$A67,T_StockCount[WeekIndex],51)&gt;0,SUMIFS(T_StockCount[CountedQty],T_StockCount[RM_Code],$A67,T_StockCount[WeekIndex],51),IF((COUNTIFS(T_SelfStock[RM_Code],$A67,T_SelfStock[WeekIndex],51)&gt;0)*(COUNTIFS(T_TTAFStock[RM_Code],$A67,T_TTAFStock[WeekIndex],51)&gt;0)&gt;0,SUMIFS(T_SelfStock[Self_Qty],T_SelfStock[RM_Code],$A67,T_SelfStock[WeekIndex],51)+SUMIFS(T_TTAFStock[TTAF_Qty],T_TTAFStock[RM_Code],$A67,T_TTAFStock[WeekIndex],51),AY67+'Grid_Incoming'!AZ67-'Grid_Requirement'!AZ67))</f>
        <v/>
      </c>
      <c r="BA67">
        <f>IF(COUNTIFS(T_StockCount[RM_Code],$A67,T_StockCount[WeekIndex],52)&gt;0,SUMIFS(T_StockCount[CountedQty],T_StockCount[RM_Code],$A67,T_StockCount[WeekIndex],52),IF((COUNTIFS(T_SelfStock[RM_Code],$A67,T_SelfStock[WeekIndex],52)&gt;0)*(COUNTIFS(T_TTAFStock[RM_Code],$A67,T_TTAFStock[WeekIndex],52)&gt;0)&gt;0,SUMIFS(T_SelfStock[Self_Qty],T_SelfStock[RM_Code],$A67,T_SelfStock[WeekIndex],52)+SUMIFS(T_TTAFStock[TTAF_Qty],T_TTAFStock[RM_Code],$A67,T_TTAFStock[WeekIndex],52),AZ67+'Grid_Incoming'!BA67-'Grid_Requirement'!BA67))</f>
        <v/>
      </c>
      <c r="BB67">
        <f>IF(COUNTIFS(T_StockCount[RM_Code],$A67,T_StockCount[WeekIndex],53)&gt;0,SUMIFS(T_StockCount[CountedQty],T_StockCount[RM_Code],$A67,T_StockCount[WeekIndex],53),IF((COUNTIFS(T_SelfStock[RM_Code],$A67,T_SelfStock[WeekIndex],53)&gt;0)*(COUNTIFS(T_TTAFStock[RM_Code],$A67,T_TTAFStock[WeekIndex],53)&gt;0)&gt;0,SUMIFS(T_SelfStock[Self_Qty],T_SelfStock[RM_Code],$A67,T_SelfStock[WeekIndex],53)+SUMIFS(T_TTAFStock[TTAF_Qty],T_TTAFStock[RM_Code],$A67,T_TTAFStock[WeekIndex],53),BA67+'Grid_Incoming'!BB67-'Grid_Requirement'!BB67))</f>
        <v/>
      </c>
      <c r="BC67">
        <f>IF(COUNTIFS(T_StockCount[RM_Code],$A67,T_StockCount[WeekIndex],54)&gt;0,SUMIFS(T_StockCount[CountedQty],T_StockCount[RM_Code],$A67,T_StockCount[WeekIndex],54),IF((COUNTIFS(T_SelfStock[RM_Code],$A67,T_SelfStock[WeekIndex],54)&gt;0)*(COUNTIFS(T_TTAFStock[RM_Code],$A67,T_TTAFStock[WeekIndex],54)&gt;0)&gt;0,SUMIFS(T_SelfStock[Self_Qty],T_SelfStock[RM_Code],$A67,T_SelfStock[WeekIndex],54)+SUMIFS(T_TTAFStock[TTAF_Qty],T_TTAFStock[RM_Code],$A67,T_TTAFStock[WeekIndex],54),BB67+'Grid_Incoming'!BC67-'Grid_Requirement'!BC67))</f>
        <v/>
      </c>
      <c r="BD67">
        <f>IF(COUNTIFS(T_StockCount[RM_Code],$A67,T_StockCount[WeekIndex],55)&gt;0,SUMIFS(T_StockCount[CountedQty],T_StockCount[RM_Code],$A67,T_StockCount[WeekIndex],55),IF((COUNTIFS(T_SelfStock[RM_Code],$A67,T_SelfStock[WeekIndex],55)&gt;0)*(COUNTIFS(T_TTAFStock[RM_Code],$A67,T_TTAFStock[WeekIndex],55)&gt;0)&gt;0,SUMIFS(T_SelfStock[Self_Qty],T_SelfStock[RM_Code],$A67,T_SelfStock[WeekIndex],55)+SUMIFS(T_TTAFStock[TTAF_Qty],T_TTAFStock[RM_Code],$A67,T_TTAFStock[WeekIndex],55),BC67+'Grid_Incoming'!BD67-'Grid_Requirement'!BD67))</f>
        <v/>
      </c>
      <c r="BE67">
        <f>IF(COUNTIFS(T_StockCount[RM_Code],$A67,T_StockCount[WeekIndex],56)&gt;0,SUMIFS(T_StockCount[CountedQty],T_StockCount[RM_Code],$A67,T_StockCount[WeekIndex],56),IF((COUNTIFS(T_SelfStock[RM_Code],$A67,T_SelfStock[WeekIndex],56)&gt;0)*(COUNTIFS(T_TTAFStock[RM_Code],$A67,T_TTAFStock[WeekIndex],56)&gt;0)&gt;0,SUMIFS(T_SelfStock[Self_Qty],T_SelfStock[RM_Code],$A67,T_SelfStock[WeekIndex],56)+SUMIFS(T_TTAFStock[TTAF_Qty],T_TTAFStock[RM_Code],$A67,T_TTAFStock[WeekIndex],56),BD67+'Grid_Incoming'!BE67-'Grid_Requirement'!BE67))</f>
        <v/>
      </c>
      <c r="BF67">
        <f>IF(COUNTIFS(T_StockCount[RM_Code],$A67,T_StockCount[WeekIndex],57)&gt;0,SUMIFS(T_StockCount[CountedQty],T_StockCount[RM_Code],$A67,T_StockCount[WeekIndex],57),IF((COUNTIFS(T_SelfStock[RM_Code],$A67,T_SelfStock[WeekIndex],57)&gt;0)*(COUNTIFS(T_TTAFStock[RM_Code],$A67,T_TTAFStock[WeekIndex],57)&gt;0)&gt;0,SUMIFS(T_SelfStock[Self_Qty],T_SelfStock[RM_Code],$A67,T_SelfStock[WeekIndex],57)+SUMIFS(T_TTAFStock[TTAF_Qty],T_TTAFStock[RM_Code],$A67,T_TTAFStock[WeekIndex],57),BE67+'Grid_Incoming'!BF67-'Grid_Requirement'!BF67))</f>
        <v/>
      </c>
      <c r="BG67">
        <f>IF(COUNTIFS(T_StockCount[RM_Code],$A67,T_StockCount[WeekIndex],58)&gt;0,SUMIFS(T_StockCount[CountedQty],T_StockCount[RM_Code],$A67,T_StockCount[WeekIndex],58),IF((COUNTIFS(T_SelfStock[RM_Code],$A67,T_SelfStock[WeekIndex],58)&gt;0)*(COUNTIFS(T_TTAFStock[RM_Code],$A67,T_TTAFStock[WeekIndex],58)&gt;0)&gt;0,SUMIFS(T_SelfStock[Self_Qty],T_SelfStock[RM_Code],$A67,T_SelfStock[WeekIndex],58)+SUMIFS(T_TTAFStock[TTAF_Qty],T_TTAFStock[RM_Code],$A67,T_TTAFStock[WeekIndex],58),BF67+'Grid_Incoming'!BG67-'Grid_Requirement'!BG67))</f>
        <v/>
      </c>
      <c r="BH67">
        <f>IF(COUNTIFS(T_StockCount[RM_Code],$A67,T_StockCount[WeekIndex],59)&gt;0,SUMIFS(T_StockCount[CountedQty],T_StockCount[RM_Code],$A67,T_StockCount[WeekIndex],59),IF((COUNTIFS(T_SelfStock[RM_Code],$A67,T_SelfStock[WeekIndex],59)&gt;0)*(COUNTIFS(T_TTAFStock[RM_Code],$A67,T_TTAFStock[WeekIndex],59)&gt;0)&gt;0,SUMIFS(T_SelfStock[Self_Qty],T_SelfStock[RM_Code],$A67,T_SelfStock[WeekIndex],59)+SUMIFS(T_TTAFStock[TTAF_Qty],T_TTAFStock[RM_Code],$A67,T_TTAFStock[WeekIndex],59),BG67+'Grid_Incoming'!BH67-'Grid_Requirement'!BH67))</f>
        <v/>
      </c>
      <c r="BI67">
        <f>IF(COUNTIFS(T_StockCount[RM_Code],$A67,T_StockCount[WeekIndex],60)&gt;0,SUMIFS(T_StockCount[CountedQty],T_StockCount[RM_Code],$A67,T_StockCount[WeekIndex],60),IF((COUNTIFS(T_SelfStock[RM_Code],$A67,T_SelfStock[WeekIndex],60)&gt;0)*(COUNTIFS(T_TTAFStock[RM_Code],$A67,T_TTAFStock[WeekIndex],60)&gt;0)&gt;0,SUMIFS(T_SelfStock[Self_Qty],T_SelfStock[RM_Code],$A67,T_SelfStock[WeekIndex],60)+SUMIFS(T_TTAFStock[TTAF_Qty],T_TTAFStock[RM_Code],$A67,T_TTAFStock[WeekIndex],60),BH67+'Grid_Incoming'!BI67-'Grid_Requirement'!BI67))</f>
        <v/>
      </c>
      <c r="BJ67">
        <f>IF(COUNTIFS(T_StockCount[RM_Code],$A67,T_StockCount[WeekIndex],61)&gt;0,SUMIFS(T_StockCount[CountedQty],T_StockCount[RM_Code],$A67,T_StockCount[WeekIndex],61),IF((COUNTIFS(T_SelfStock[RM_Code],$A67,T_SelfStock[WeekIndex],61)&gt;0)*(COUNTIFS(T_TTAFStock[RM_Code],$A67,T_TTAFStock[WeekIndex],61)&gt;0)&gt;0,SUMIFS(T_SelfStock[Self_Qty],T_SelfStock[RM_Code],$A67,T_SelfStock[WeekIndex],61)+SUMIFS(T_TTAFStock[TTAF_Qty],T_TTAFStock[RM_Code],$A67,T_TTAFStock[WeekIndex],61),BI67+'Grid_Incoming'!BJ67-'Grid_Requirement'!BJ67))</f>
        <v/>
      </c>
      <c r="BK67">
        <f>IF(COUNTIFS(T_StockCount[RM_Code],$A67,T_StockCount[WeekIndex],62)&gt;0,SUMIFS(T_StockCount[CountedQty],T_StockCount[RM_Code],$A67,T_StockCount[WeekIndex],62),IF((COUNTIFS(T_SelfStock[RM_Code],$A67,T_SelfStock[WeekIndex],62)&gt;0)*(COUNTIFS(T_TTAFStock[RM_Code],$A67,T_TTAFStock[WeekIndex],62)&gt;0)&gt;0,SUMIFS(T_SelfStock[Self_Qty],T_SelfStock[RM_Code],$A67,T_SelfStock[WeekIndex],62)+SUMIFS(T_TTAFStock[TTAF_Qty],T_TTAFStock[RM_Code],$A67,T_TTAFStock[WeekIndex],62),BJ67+'Grid_Incoming'!BK67-'Grid_Requirement'!BK67))</f>
        <v/>
      </c>
      <c r="BL67">
        <f>IF(COUNTIFS(T_StockCount[RM_Code],$A67,T_StockCount[WeekIndex],63)&gt;0,SUMIFS(T_StockCount[CountedQty],T_StockCount[RM_Code],$A67,T_StockCount[WeekIndex],63),IF((COUNTIFS(T_SelfStock[RM_Code],$A67,T_SelfStock[WeekIndex],63)&gt;0)*(COUNTIFS(T_TTAFStock[RM_Code],$A67,T_TTAFStock[WeekIndex],63)&gt;0)&gt;0,SUMIFS(T_SelfStock[Self_Qty],T_SelfStock[RM_Code],$A67,T_SelfStock[WeekIndex],63)+SUMIFS(T_TTAFStock[TTAF_Qty],T_TTAFStock[RM_Code],$A67,T_TTAFStock[WeekIndex],63),BK67+'Grid_Incoming'!BL67-'Grid_Requirement'!BL67))</f>
        <v/>
      </c>
      <c r="BM67">
        <f>IF(COUNTIFS(T_StockCount[RM_Code],$A67,T_StockCount[WeekIndex],64)&gt;0,SUMIFS(T_StockCount[CountedQty],T_StockCount[RM_Code],$A67,T_StockCount[WeekIndex],64),IF((COUNTIFS(T_SelfStock[RM_Code],$A67,T_SelfStock[WeekIndex],64)&gt;0)*(COUNTIFS(T_TTAFStock[RM_Code],$A67,T_TTAFStock[WeekIndex],64)&gt;0)&gt;0,SUMIFS(T_SelfStock[Self_Qty],T_SelfStock[RM_Code],$A67,T_SelfStock[WeekIndex],64)+SUMIFS(T_TTAFStock[TTAF_Qty],T_TTAFStock[RM_Code],$A67,T_TTAFStock[WeekIndex],64),BL67+'Grid_Incoming'!BM67-'Grid_Requirement'!BM67))</f>
        <v/>
      </c>
      <c r="BN67">
        <f>IF(COUNTIFS(T_StockCount[RM_Code],$A67,T_StockCount[WeekIndex],65)&gt;0,SUMIFS(T_StockCount[CountedQty],T_StockCount[RM_Code],$A67,T_StockCount[WeekIndex],65),IF((COUNTIFS(T_SelfStock[RM_Code],$A67,T_SelfStock[WeekIndex],65)&gt;0)*(COUNTIFS(T_TTAFStock[RM_Code],$A67,T_TTAFStock[WeekIndex],65)&gt;0)&gt;0,SUMIFS(T_SelfStock[Self_Qty],T_SelfStock[RM_Code],$A67,T_SelfStock[WeekIndex],65)+SUMIFS(T_TTAFStock[TTAF_Qty],T_TTAFStock[RM_Code],$A67,T_TTAFStock[WeekIndex],65),BM67+'Grid_Incoming'!BN67-'Grid_Requirement'!BN67))</f>
        <v/>
      </c>
      <c r="BO67">
        <f>IF(COUNTIFS(T_StockCount[RM_Code],$A67,T_StockCount[WeekIndex],66)&gt;0,SUMIFS(T_StockCount[CountedQty],T_StockCount[RM_Code],$A67,T_StockCount[WeekIndex],66),IF((COUNTIFS(T_SelfStock[RM_Code],$A67,T_SelfStock[WeekIndex],66)&gt;0)*(COUNTIFS(T_TTAFStock[RM_Code],$A67,T_TTAFStock[WeekIndex],66)&gt;0)&gt;0,SUMIFS(T_SelfStock[Self_Qty],T_SelfStock[RM_Code],$A67,T_SelfStock[WeekIndex],66)+SUMIFS(T_TTAFStock[TTAF_Qty],T_TTAFStock[RM_Code],$A67,T_TTAFStock[WeekIndex],66),BN67+'Grid_Incoming'!BO67-'Grid_Requirement'!BO67))</f>
        <v/>
      </c>
      <c r="BP67">
        <f>IF(COUNTIFS(T_StockCount[RM_Code],$A67,T_StockCount[WeekIndex],67)&gt;0,SUMIFS(T_StockCount[CountedQty],T_StockCount[RM_Code],$A67,T_StockCount[WeekIndex],67),IF((COUNTIFS(T_SelfStock[RM_Code],$A67,T_SelfStock[WeekIndex],67)&gt;0)*(COUNTIFS(T_TTAFStock[RM_Code],$A67,T_TTAFStock[WeekIndex],67)&gt;0)&gt;0,SUMIFS(T_SelfStock[Self_Qty],T_SelfStock[RM_Code],$A67,T_SelfStock[WeekIndex],67)+SUMIFS(T_TTAFStock[TTAF_Qty],T_TTAFStock[RM_Code],$A67,T_TTAFStock[WeekIndex],67),BO67+'Grid_Incoming'!BP67-'Grid_Requirement'!BP67))</f>
        <v/>
      </c>
      <c r="BQ67">
        <f>IF(COUNTIFS(T_StockCount[RM_Code],$A67,T_StockCount[WeekIndex],68)&gt;0,SUMIFS(T_StockCount[CountedQty],T_StockCount[RM_Code],$A67,T_StockCount[WeekIndex],68),IF((COUNTIFS(T_SelfStock[RM_Code],$A67,T_SelfStock[WeekIndex],68)&gt;0)*(COUNTIFS(T_TTAFStock[RM_Code],$A67,T_TTAFStock[WeekIndex],68)&gt;0)&gt;0,SUMIFS(T_SelfStock[Self_Qty],T_SelfStock[RM_Code],$A67,T_SelfStock[WeekIndex],68)+SUMIFS(T_TTAFStock[TTAF_Qty],T_TTAFStock[RM_Code],$A67,T_TTAFStock[WeekIndex],68),BP67+'Grid_Incoming'!BQ67-'Grid_Requirement'!BQ67))</f>
        <v/>
      </c>
      <c r="BR67">
        <f>IF(COUNTIFS(T_StockCount[RM_Code],$A67,T_StockCount[WeekIndex],69)&gt;0,SUMIFS(T_StockCount[CountedQty],T_StockCount[RM_Code],$A67,T_StockCount[WeekIndex],69),IF((COUNTIFS(T_SelfStock[RM_Code],$A67,T_SelfStock[WeekIndex],69)&gt;0)*(COUNTIFS(T_TTAFStock[RM_Code],$A67,T_TTAFStock[WeekIndex],69)&gt;0)&gt;0,SUMIFS(T_SelfStock[Self_Qty],T_SelfStock[RM_Code],$A67,T_SelfStock[WeekIndex],69)+SUMIFS(T_TTAFStock[TTAF_Qty],T_TTAFStock[RM_Code],$A67,T_TTAFStock[WeekIndex],69),BQ67+'Grid_Incoming'!BR67-'Grid_Requirement'!BR67))</f>
        <v/>
      </c>
      <c r="BS67">
        <f>IF(COUNTIFS(T_StockCount[RM_Code],$A67,T_StockCount[WeekIndex],70)&gt;0,SUMIFS(T_StockCount[CountedQty],T_StockCount[RM_Code],$A67,T_StockCount[WeekIndex],70),IF((COUNTIFS(T_SelfStock[RM_Code],$A67,T_SelfStock[WeekIndex],70)&gt;0)*(COUNTIFS(T_TTAFStock[RM_Code],$A67,T_TTAFStock[WeekIndex],70)&gt;0)&gt;0,SUMIFS(T_SelfStock[Self_Qty],T_SelfStock[RM_Code],$A67,T_SelfStock[WeekIndex],70)+SUMIFS(T_TTAFStock[TTAF_Qty],T_TTAFStock[RM_Code],$A67,T_TTAFStock[WeekIndex],70),BR67+'Grid_Incoming'!BS67-'Grid_Requirement'!BS67))</f>
        <v/>
      </c>
      <c r="BT67">
        <f>IF(COUNTIFS(T_StockCount[RM_Code],$A67,T_StockCount[WeekIndex],71)&gt;0,SUMIFS(T_StockCount[CountedQty],T_StockCount[RM_Code],$A67,T_StockCount[WeekIndex],71),IF((COUNTIFS(T_SelfStock[RM_Code],$A67,T_SelfStock[WeekIndex],71)&gt;0)*(COUNTIFS(T_TTAFStock[RM_Code],$A67,T_TTAFStock[WeekIndex],71)&gt;0)&gt;0,SUMIFS(T_SelfStock[Self_Qty],T_SelfStock[RM_Code],$A67,T_SelfStock[WeekIndex],71)+SUMIFS(T_TTAFStock[TTAF_Qty],T_TTAFStock[RM_Code],$A67,T_TTAFStock[WeekIndex],71),BS67+'Grid_Incoming'!BT67-'Grid_Requirement'!BT67))</f>
        <v/>
      </c>
      <c r="BU67">
        <f>IF(COUNTIFS(T_StockCount[RM_Code],$A67,T_StockCount[WeekIndex],72)&gt;0,SUMIFS(T_StockCount[CountedQty],T_StockCount[RM_Code],$A67,T_StockCount[WeekIndex],72),IF((COUNTIFS(T_SelfStock[RM_Code],$A67,T_SelfStock[WeekIndex],72)&gt;0)*(COUNTIFS(T_TTAFStock[RM_Code],$A67,T_TTAFStock[WeekIndex],72)&gt;0)&gt;0,SUMIFS(T_SelfStock[Self_Qty],T_SelfStock[RM_Code],$A67,T_SelfStock[WeekIndex],72)+SUMIFS(T_TTAFStock[TTAF_Qty],T_TTAFStock[RM_Code],$A67,T_TTAFStock[WeekIndex],72),BT67+'Grid_Incoming'!BU67-'Grid_Requirement'!BU67))</f>
        <v/>
      </c>
      <c r="BV67">
        <f>IF(COUNTIFS(T_StockCount[RM_Code],$A67,T_StockCount[WeekIndex],73)&gt;0,SUMIFS(T_StockCount[CountedQty],T_StockCount[RM_Code],$A67,T_StockCount[WeekIndex],73),IF((COUNTIFS(T_SelfStock[RM_Code],$A67,T_SelfStock[WeekIndex],73)&gt;0)*(COUNTIFS(T_TTAFStock[RM_Code],$A67,T_TTAFStock[WeekIndex],73)&gt;0)&gt;0,SUMIFS(T_SelfStock[Self_Qty],T_SelfStock[RM_Code],$A67,T_SelfStock[WeekIndex],73)+SUMIFS(T_TTAFStock[TTAF_Qty],T_TTAFStock[RM_Code],$A67,T_TTAFStock[WeekIndex],73),BU67+'Grid_Incoming'!BV67-'Grid_Requirement'!BV67))</f>
        <v/>
      </c>
      <c r="BW67">
        <f>IF(COUNTIFS(T_StockCount[RM_Code],$A67,T_StockCount[WeekIndex],74)&gt;0,SUMIFS(T_StockCount[CountedQty],T_StockCount[RM_Code],$A67,T_StockCount[WeekIndex],74),IF((COUNTIFS(T_SelfStock[RM_Code],$A67,T_SelfStock[WeekIndex],74)&gt;0)*(COUNTIFS(T_TTAFStock[RM_Code],$A67,T_TTAFStock[WeekIndex],74)&gt;0)&gt;0,SUMIFS(T_SelfStock[Self_Qty],T_SelfStock[RM_Code],$A67,T_SelfStock[WeekIndex],74)+SUMIFS(T_TTAFStock[TTAF_Qty],T_TTAFStock[RM_Code],$A67,T_TTAFStock[WeekIndex],74),BV67+'Grid_Incoming'!BW67-'Grid_Requirement'!BW67))</f>
        <v/>
      </c>
      <c r="BX67">
        <f>IF(COUNTIFS(T_StockCount[RM_Code],$A67,T_StockCount[WeekIndex],75)&gt;0,SUMIFS(T_StockCount[CountedQty],T_StockCount[RM_Code],$A67,T_StockCount[WeekIndex],75),IF((COUNTIFS(T_SelfStock[RM_Code],$A67,T_SelfStock[WeekIndex],75)&gt;0)*(COUNTIFS(T_TTAFStock[RM_Code],$A67,T_TTAFStock[WeekIndex],75)&gt;0)&gt;0,SUMIFS(T_SelfStock[Self_Qty],T_SelfStock[RM_Code],$A67,T_SelfStock[WeekIndex],75)+SUMIFS(T_TTAFStock[TTAF_Qty],T_TTAFStock[RM_Code],$A67,T_TTAFStock[WeekIndex],75),BW67+'Grid_Incoming'!BX67-'Grid_Requirement'!BX67))</f>
        <v/>
      </c>
      <c r="BY67">
        <f>IF(COUNTIFS(T_StockCount[RM_Code],$A67,T_StockCount[WeekIndex],76)&gt;0,SUMIFS(T_StockCount[CountedQty],T_StockCount[RM_Code],$A67,T_StockCount[WeekIndex],76),IF((COUNTIFS(T_SelfStock[RM_Code],$A67,T_SelfStock[WeekIndex],76)&gt;0)*(COUNTIFS(T_TTAFStock[RM_Code],$A67,T_TTAFStock[WeekIndex],76)&gt;0)&gt;0,SUMIFS(T_SelfStock[Self_Qty],T_SelfStock[RM_Code],$A67,T_SelfStock[WeekIndex],76)+SUMIFS(T_TTAFStock[TTAF_Qty],T_TTAFStock[RM_Code],$A67,T_TTAFStock[WeekIndex],76),BX67+'Grid_Incoming'!BY67-'Grid_Requirement'!BY67))</f>
        <v/>
      </c>
      <c r="BZ67">
        <f>IF(COUNTIFS(T_StockCount[RM_Code],$A67,T_StockCount[WeekIndex],77)&gt;0,SUMIFS(T_StockCount[CountedQty],T_StockCount[RM_Code],$A67,T_StockCount[WeekIndex],77),IF((COUNTIFS(T_SelfStock[RM_Code],$A67,T_SelfStock[WeekIndex],77)&gt;0)*(COUNTIFS(T_TTAFStock[RM_Code],$A67,T_TTAFStock[WeekIndex],77)&gt;0)&gt;0,SUMIFS(T_SelfStock[Self_Qty],T_SelfStock[RM_Code],$A67,T_SelfStock[WeekIndex],77)+SUMIFS(T_TTAFStock[TTAF_Qty],T_TTAFStock[RM_Code],$A67,T_TTAFStock[WeekIndex],77),BY67+'Grid_Incoming'!BZ67-'Grid_Requirement'!BZ67))</f>
        <v/>
      </c>
      <c r="CA67">
        <f>IF(COUNTIFS(T_StockCount[RM_Code],$A67,T_StockCount[WeekIndex],78)&gt;0,SUMIFS(T_StockCount[CountedQty],T_StockCount[RM_Code],$A67,T_StockCount[WeekIndex],78),IF((COUNTIFS(T_SelfStock[RM_Code],$A67,T_SelfStock[WeekIndex],78)&gt;0)*(COUNTIFS(T_TTAFStock[RM_Code],$A67,T_TTAFStock[WeekIndex],78)&gt;0)&gt;0,SUMIFS(T_SelfStock[Self_Qty],T_SelfStock[RM_Code],$A67,T_SelfStock[WeekIndex],78)+SUMIFS(T_TTAFStock[TTAF_Qty],T_TTAFStock[RM_Code],$A67,T_TTAFStock[WeekIndex],78),BZ67+'Grid_Incoming'!CA67-'Grid_Requirement'!CA67))</f>
        <v/>
      </c>
      <c r="CB67">
        <f>IF(COUNTIFS(T_StockCount[RM_Code],$A67,T_StockCount[WeekIndex],79)&gt;0,SUMIFS(T_StockCount[CountedQty],T_StockCount[RM_Code],$A67,T_StockCount[WeekIndex],79),IF((COUNTIFS(T_SelfStock[RM_Code],$A67,T_SelfStock[WeekIndex],79)&gt;0)*(COUNTIFS(T_TTAFStock[RM_Code],$A67,T_TTAFStock[WeekIndex],79)&gt;0)&gt;0,SUMIFS(T_SelfStock[Self_Qty],T_SelfStock[RM_Code],$A67,T_SelfStock[WeekIndex],79)+SUMIFS(T_TTAFStock[TTAF_Qty],T_TTAFStock[RM_Code],$A67,T_TTAFStock[WeekIndex],79),CA67+'Grid_Incoming'!CB67-'Grid_Requirement'!CB67))</f>
        <v/>
      </c>
      <c r="CC67">
        <f>IF(COUNTIFS(T_StockCount[RM_Code],$A67,T_StockCount[WeekIndex],80)&gt;0,SUMIFS(T_StockCount[CountedQty],T_StockCount[RM_Code],$A67,T_StockCount[WeekIndex],80),IF((COUNTIFS(T_SelfStock[RM_Code],$A67,T_SelfStock[WeekIndex],80)&gt;0)*(COUNTIFS(T_TTAFStock[RM_Code],$A67,T_TTAFStock[WeekIndex],80)&gt;0)&gt;0,SUMIFS(T_SelfStock[Self_Qty],T_SelfStock[RM_Code],$A67,T_SelfStock[WeekIndex],80)+SUMIFS(T_TTAFStock[TTAF_Qty],T_TTAFStock[RM_Code],$A67,T_TTAFStock[WeekIndex],80),CB67+'Grid_Incoming'!CC67-'Grid_Requirement'!CC67))</f>
        <v/>
      </c>
      <c r="CD67">
        <f>IF(COUNTIFS(T_StockCount[RM_Code],$A67,T_StockCount[WeekIndex],81)&gt;0,SUMIFS(T_StockCount[CountedQty],T_StockCount[RM_Code],$A67,T_StockCount[WeekIndex],81),IF((COUNTIFS(T_SelfStock[RM_Code],$A67,T_SelfStock[WeekIndex],81)&gt;0)*(COUNTIFS(T_TTAFStock[RM_Code],$A67,T_TTAFStock[WeekIndex],81)&gt;0)&gt;0,SUMIFS(T_SelfStock[Self_Qty],T_SelfStock[RM_Code],$A67,T_SelfStock[WeekIndex],81)+SUMIFS(T_TTAFStock[TTAF_Qty],T_TTAFStock[RM_Code],$A67,T_TTAFStock[WeekIndex],81),CC67+'Grid_Incoming'!CD67-'Grid_Requirement'!CD67))</f>
        <v/>
      </c>
      <c r="CE67">
        <f>IF(COUNTIFS(T_StockCount[RM_Code],$A67,T_StockCount[WeekIndex],82)&gt;0,SUMIFS(T_StockCount[CountedQty],T_StockCount[RM_Code],$A67,T_StockCount[WeekIndex],82),IF((COUNTIFS(T_SelfStock[RM_Code],$A67,T_SelfStock[WeekIndex],82)&gt;0)*(COUNTIFS(T_TTAFStock[RM_Code],$A67,T_TTAFStock[WeekIndex],82)&gt;0)&gt;0,SUMIFS(T_SelfStock[Self_Qty],T_SelfStock[RM_Code],$A67,T_SelfStock[WeekIndex],82)+SUMIFS(T_TTAFStock[TTAF_Qty],T_TTAFStock[RM_Code],$A67,T_TTAFStock[WeekIndex],82),CD67+'Grid_Incoming'!CE67-'Grid_Requirement'!CE67))</f>
        <v/>
      </c>
      <c r="CF67">
        <f>IF(COUNTIFS(T_StockCount[RM_Code],$A67,T_StockCount[WeekIndex],83)&gt;0,SUMIFS(T_StockCount[CountedQty],T_StockCount[RM_Code],$A67,T_StockCount[WeekIndex],83),IF((COUNTIFS(T_SelfStock[RM_Code],$A67,T_SelfStock[WeekIndex],83)&gt;0)*(COUNTIFS(T_TTAFStock[RM_Code],$A67,T_TTAFStock[WeekIndex],83)&gt;0)&gt;0,SUMIFS(T_SelfStock[Self_Qty],T_SelfStock[RM_Code],$A67,T_SelfStock[WeekIndex],83)+SUMIFS(T_TTAFStock[TTAF_Qty],T_TTAFStock[RM_Code],$A67,T_TTAFStock[WeekIndex],83),CE67+'Grid_Incoming'!CF67-'Grid_Requirement'!CF67))</f>
        <v/>
      </c>
      <c r="CG67">
        <f>IF(COUNTIFS(T_StockCount[RM_Code],$A67,T_StockCount[WeekIndex],84)&gt;0,SUMIFS(T_StockCount[CountedQty],T_StockCount[RM_Code],$A67,T_StockCount[WeekIndex],84),IF((COUNTIFS(T_SelfStock[RM_Code],$A67,T_SelfStock[WeekIndex],84)&gt;0)*(COUNTIFS(T_TTAFStock[RM_Code],$A67,T_TTAFStock[WeekIndex],84)&gt;0)&gt;0,SUMIFS(T_SelfStock[Self_Qty],T_SelfStock[RM_Code],$A67,T_SelfStock[WeekIndex],84)+SUMIFS(T_TTAFStock[TTAF_Qty],T_TTAFStock[RM_Code],$A67,T_TTAFStock[WeekIndex],84),CF67+'Grid_Incoming'!CG67-'Grid_Requirement'!CG67))</f>
        <v/>
      </c>
      <c r="CH67">
        <f>IF(COUNTIFS(T_StockCount[RM_Code],$A67,T_StockCount[WeekIndex],85)&gt;0,SUMIFS(T_StockCount[CountedQty],T_StockCount[RM_Code],$A67,T_StockCount[WeekIndex],85),IF((COUNTIFS(T_SelfStock[RM_Code],$A67,T_SelfStock[WeekIndex],85)&gt;0)*(COUNTIFS(T_TTAFStock[RM_Code],$A67,T_TTAFStock[WeekIndex],85)&gt;0)&gt;0,SUMIFS(T_SelfStock[Self_Qty],T_SelfStock[RM_Code],$A67,T_SelfStock[WeekIndex],85)+SUMIFS(T_TTAFStock[TTAF_Qty],T_TTAFStock[RM_Code],$A67,T_TTAFStock[WeekIndex],85),CG67+'Grid_Incoming'!CH67-'Grid_Requirement'!CH67))</f>
        <v/>
      </c>
      <c r="CI67">
        <f>IF(COUNTIFS(T_StockCount[RM_Code],$A67,T_StockCount[WeekIndex],86)&gt;0,SUMIFS(T_StockCount[CountedQty],T_StockCount[RM_Code],$A67,T_StockCount[WeekIndex],86),IF((COUNTIFS(T_SelfStock[RM_Code],$A67,T_SelfStock[WeekIndex],86)&gt;0)*(COUNTIFS(T_TTAFStock[RM_Code],$A67,T_TTAFStock[WeekIndex],86)&gt;0)&gt;0,SUMIFS(T_SelfStock[Self_Qty],T_SelfStock[RM_Code],$A67,T_SelfStock[WeekIndex],86)+SUMIFS(T_TTAFStock[TTAF_Qty],T_TTAFStock[RM_Code],$A67,T_TTAFStock[WeekIndex],86),CH67+'Grid_Incoming'!CI67-'Grid_Requirement'!CI67))</f>
        <v/>
      </c>
      <c r="CJ67">
        <f>IF(COUNTIFS(T_StockCount[RM_Code],$A67,T_StockCount[WeekIndex],87)&gt;0,SUMIFS(T_StockCount[CountedQty],T_StockCount[RM_Code],$A67,T_StockCount[WeekIndex],87),IF((COUNTIFS(T_SelfStock[RM_Code],$A67,T_SelfStock[WeekIndex],87)&gt;0)*(COUNTIFS(T_TTAFStock[RM_Code],$A67,T_TTAFStock[WeekIndex],87)&gt;0)&gt;0,SUMIFS(T_SelfStock[Self_Qty],T_SelfStock[RM_Code],$A67,T_SelfStock[WeekIndex],87)+SUMIFS(T_TTAFStock[TTAF_Qty],T_TTAFStock[RM_Code],$A67,T_TTAFStock[WeekIndex],87),CI67+'Grid_Incoming'!CJ67-'Grid_Requirement'!CJ67))</f>
        <v/>
      </c>
      <c r="CK67">
        <f>IF(COUNTIFS(T_StockCount[RM_Code],$A67,T_StockCount[WeekIndex],88)&gt;0,SUMIFS(T_StockCount[CountedQty],T_StockCount[RM_Code],$A67,T_StockCount[WeekIndex],88),IF((COUNTIFS(T_SelfStock[RM_Code],$A67,T_SelfStock[WeekIndex],88)&gt;0)*(COUNTIFS(T_TTAFStock[RM_Code],$A67,T_TTAFStock[WeekIndex],88)&gt;0)&gt;0,SUMIFS(T_SelfStock[Self_Qty],T_SelfStock[RM_Code],$A67,T_SelfStock[WeekIndex],88)+SUMIFS(T_TTAFStock[TTAF_Qty],T_TTAFStock[RM_Code],$A67,T_TTAFStock[WeekIndex],88),CJ67+'Grid_Incoming'!CK67-'Grid_Requirement'!CK67))</f>
        <v/>
      </c>
      <c r="CL67">
        <f>IF(COUNTIFS(T_StockCount[RM_Code],$A67,T_StockCount[WeekIndex],89)&gt;0,SUMIFS(T_StockCount[CountedQty],T_StockCount[RM_Code],$A67,T_StockCount[WeekIndex],89),IF((COUNTIFS(T_SelfStock[RM_Code],$A67,T_SelfStock[WeekIndex],89)&gt;0)*(COUNTIFS(T_TTAFStock[RM_Code],$A67,T_TTAFStock[WeekIndex],89)&gt;0)&gt;0,SUMIFS(T_SelfStock[Self_Qty],T_SelfStock[RM_Code],$A67,T_SelfStock[WeekIndex],89)+SUMIFS(T_TTAFStock[TTAF_Qty],T_TTAFStock[RM_Code],$A67,T_TTAFStock[WeekIndex],89),CK67+'Grid_Incoming'!CL67-'Grid_Requirement'!CL67))</f>
        <v/>
      </c>
      <c r="CM67">
        <f>IF(COUNTIFS(T_StockCount[RM_Code],$A67,T_StockCount[WeekIndex],90)&gt;0,SUMIFS(T_StockCount[CountedQty],T_StockCount[RM_Code],$A67,T_StockCount[WeekIndex],90),IF((COUNTIFS(T_SelfStock[RM_Code],$A67,T_SelfStock[WeekIndex],90)&gt;0)*(COUNTIFS(T_TTAFStock[RM_Code],$A67,T_TTAFStock[WeekIndex],90)&gt;0)&gt;0,SUMIFS(T_SelfStock[Self_Qty],T_SelfStock[RM_Code],$A67,T_SelfStock[WeekIndex],90)+SUMIFS(T_TTAFStock[TTAF_Qty],T_TTAFStock[RM_Code],$A67,T_TTAFStock[WeekIndex],90),CL67+'Grid_Incoming'!CM67-'Grid_Requirement'!CM67))</f>
        <v/>
      </c>
      <c r="CN67">
        <f>IF(COUNTIFS(T_StockCount[RM_Code],$A67,T_StockCount[WeekIndex],91)&gt;0,SUMIFS(T_StockCount[CountedQty],T_StockCount[RM_Code],$A67,T_StockCount[WeekIndex],91),IF((COUNTIFS(T_SelfStock[RM_Code],$A67,T_SelfStock[WeekIndex],91)&gt;0)*(COUNTIFS(T_TTAFStock[RM_Code],$A67,T_TTAFStock[WeekIndex],91)&gt;0)&gt;0,SUMIFS(T_SelfStock[Self_Qty],T_SelfStock[RM_Code],$A67,T_SelfStock[WeekIndex],91)+SUMIFS(T_TTAFStock[TTAF_Qty],T_TTAFStock[RM_Code],$A67,T_TTAFStock[WeekIndex],91),CM67+'Grid_Incoming'!CN67-'Grid_Requirement'!CN67))</f>
        <v/>
      </c>
      <c r="CO67">
        <f>IF(COUNTIFS(T_StockCount[RM_Code],$A67,T_StockCount[WeekIndex],92)&gt;0,SUMIFS(T_StockCount[CountedQty],T_StockCount[RM_Code],$A67,T_StockCount[WeekIndex],92),IF((COUNTIFS(T_SelfStock[RM_Code],$A67,T_SelfStock[WeekIndex],92)&gt;0)*(COUNTIFS(T_TTAFStock[RM_Code],$A67,T_TTAFStock[WeekIndex],92)&gt;0)&gt;0,SUMIFS(T_SelfStock[Self_Qty],T_SelfStock[RM_Code],$A67,T_SelfStock[WeekIndex],92)+SUMIFS(T_TTAFStock[TTAF_Qty],T_TTAFStock[RM_Code],$A67,T_TTAFStock[WeekIndex],92),CN67+'Grid_Incoming'!CO67-'Grid_Requirement'!CO67))</f>
        <v/>
      </c>
      <c r="CP67">
        <f>IF(COUNTIFS(T_StockCount[RM_Code],$A67,T_StockCount[WeekIndex],93)&gt;0,SUMIFS(T_StockCount[CountedQty],T_StockCount[RM_Code],$A67,T_StockCount[WeekIndex],93),IF((COUNTIFS(T_SelfStock[RM_Code],$A67,T_SelfStock[WeekIndex],93)&gt;0)*(COUNTIFS(T_TTAFStock[RM_Code],$A67,T_TTAFStock[WeekIndex],93)&gt;0)&gt;0,SUMIFS(T_SelfStock[Self_Qty],T_SelfStock[RM_Code],$A67,T_SelfStock[WeekIndex],93)+SUMIFS(T_TTAFStock[TTAF_Qty],T_TTAFStock[RM_Code],$A67,T_TTAFStock[WeekIndex],93),CO67+'Grid_Incoming'!CP67-'Grid_Requirement'!CP67))</f>
        <v/>
      </c>
      <c r="CQ67">
        <f>IF(COUNTIFS(T_StockCount[RM_Code],$A67,T_StockCount[WeekIndex],94)&gt;0,SUMIFS(T_StockCount[CountedQty],T_StockCount[RM_Code],$A67,T_StockCount[WeekIndex],94),IF((COUNTIFS(T_SelfStock[RM_Code],$A67,T_SelfStock[WeekIndex],94)&gt;0)*(COUNTIFS(T_TTAFStock[RM_Code],$A67,T_TTAFStock[WeekIndex],94)&gt;0)&gt;0,SUMIFS(T_SelfStock[Self_Qty],T_SelfStock[RM_Code],$A67,T_SelfStock[WeekIndex],94)+SUMIFS(T_TTAFStock[TTAF_Qty],T_TTAFStock[RM_Code],$A67,T_TTAFStock[WeekIndex],94),CP67+'Grid_Incoming'!CQ67-'Grid_Requirement'!CQ67))</f>
        <v/>
      </c>
      <c r="CR67">
        <f>IF(COUNTIFS(T_StockCount[RM_Code],$A67,T_StockCount[WeekIndex],95)&gt;0,SUMIFS(T_StockCount[CountedQty],T_StockCount[RM_Code],$A67,T_StockCount[WeekIndex],95),IF((COUNTIFS(T_SelfStock[RM_Code],$A67,T_SelfStock[WeekIndex],95)&gt;0)*(COUNTIFS(T_TTAFStock[RM_Code],$A67,T_TTAFStock[WeekIndex],95)&gt;0)&gt;0,SUMIFS(T_SelfStock[Self_Qty],T_SelfStock[RM_Code],$A67,T_SelfStock[WeekIndex],95)+SUMIFS(T_TTAFStock[TTAF_Qty],T_TTAFStock[RM_Code],$A67,T_TTAFStock[WeekIndex],95),CQ67+'Grid_Incoming'!CR67-'Grid_Requirement'!CR67))</f>
        <v/>
      </c>
      <c r="CS67">
        <f>IF(COUNTIFS(T_StockCount[RM_Code],$A67,T_StockCount[WeekIndex],96)&gt;0,SUMIFS(T_StockCount[CountedQty],T_StockCount[RM_Code],$A67,T_StockCount[WeekIndex],96),IF((COUNTIFS(T_SelfStock[RM_Code],$A67,T_SelfStock[WeekIndex],96)&gt;0)*(COUNTIFS(T_TTAFStock[RM_Code],$A67,T_TTAFStock[WeekIndex],96)&gt;0)&gt;0,SUMIFS(T_SelfStock[Self_Qty],T_SelfStock[RM_Code],$A67,T_SelfStock[WeekIndex],96)+SUMIFS(T_TTAFStock[TTAF_Qty],T_TTAFStock[RM_Code],$A67,T_TTAFStock[WeekIndex],96),CR67+'Grid_Incoming'!CS67-'Grid_Requirement'!CS67))</f>
        <v/>
      </c>
      <c r="CT67">
        <f>IF(COUNTIFS(T_StockCount[RM_Code],$A67,T_StockCount[WeekIndex],97)&gt;0,SUMIFS(T_StockCount[CountedQty],T_StockCount[RM_Code],$A67,T_StockCount[WeekIndex],97),IF((COUNTIFS(T_SelfStock[RM_Code],$A67,T_SelfStock[WeekIndex],97)&gt;0)*(COUNTIFS(T_TTAFStock[RM_Code],$A67,T_TTAFStock[WeekIndex],97)&gt;0)&gt;0,SUMIFS(T_SelfStock[Self_Qty],T_SelfStock[RM_Code],$A67,T_SelfStock[WeekIndex],97)+SUMIFS(T_TTAFStock[TTAF_Qty],T_TTAFStock[RM_Code],$A67,T_TTAFStock[WeekIndex],97),CS67+'Grid_Incoming'!CT67-'Grid_Requirement'!CT67))</f>
        <v/>
      </c>
      <c r="CU67">
        <f>IF(COUNTIFS(T_StockCount[RM_Code],$A67,T_StockCount[WeekIndex],98)&gt;0,SUMIFS(T_StockCount[CountedQty],T_StockCount[RM_Code],$A67,T_StockCount[WeekIndex],98),IF((COUNTIFS(T_SelfStock[RM_Code],$A67,T_SelfStock[WeekIndex],98)&gt;0)*(COUNTIFS(T_TTAFStock[RM_Code],$A67,T_TTAFStock[WeekIndex],98)&gt;0)&gt;0,SUMIFS(T_SelfStock[Self_Qty],T_SelfStock[RM_Code],$A67,T_SelfStock[WeekIndex],98)+SUMIFS(T_TTAFStock[TTAF_Qty],T_TTAFStock[RM_Code],$A67,T_TTAFStock[WeekIndex],98),CT67+'Grid_Incoming'!CU67-'Grid_Requirement'!CU67))</f>
        <v/>
      </c>
      <c r="CV67">
        <f>IF(COUNTIFS(T_StockCount[RM_Code],$A67,T_StockCount[WeekIndex],99)&gt;0,SUMIFS(T_StockCount[CountedQty],T_StockCount[RM_Code],$A67,T_StockCount[WeekIndex],99),IF((COUNTIFS(T_SelfStock[RM_Code],$A67,T_SelfStock[WeekIndex],99)&gt;0)*(COUNTIFS(T_TTAFStock[RM_Code],$A67,T_TTAFStock[WeekIndex],99)&gt;0)&gt;0,SUMIFS(T_SelfStock[Self_Qty],T_SelfStock[RM_Code],$A67,T_SelfStock[WeekIndex],99)+SUMIFS(T_TTAFStock[TTAF_Qty],T_TTAFStock[RM_Code],$A67,T_TTAFStock[WeekIndex],99),CU67+'Grid_Incoming'!CV67-'Grid_Requirement'!CV67))</f>
        <v/>
      </c>
      <c r="CW67">
        <f>IF(COUNTIFS(T_StockCount[RM_Code],$A67,T_StockCount[WeekIndex],100)&gt;0,SUMIFS(T_StockCount[CountedQty],T_StockCount[RM_Code],$A67,T_StockCount[WeekIndex],100),IF((COUNTIFS(T_SelfStock[RM_Code],$A67,T_SelfStock[WeekIndex],100)&gt;0)*(COUNTIFS(T_TTAFStock[RM_Code],$A67,T_TTAFStock[WeekIndex],100)&gt;0)&gt;0,SUMIFS(T_SelfStock[Self_Qty],T_SelfStock[RM_Code],$A67,T_SelfStock[WeekIndex],100)+SUMIFS(T_TTAFStock[TTAF_Qty],T_TTAFStock[RM_Code],$A67,T_TTAFStock[WeekIndex],100),CV67+'Grid_Incoming'!CW67-'Grid_Requirement'!CW67))</f>
        <v/>
      </c>
      <c r="CX67">
        <f>IF(COUNTIFS(T_StockCount[RM_Code],$A67,T_StockCount[WeekIndex],101)&gt;0,SUMIFS(T_StockCount[CountedQty],T_StockCount[RM_Code],$A67,T_StockCount[WeekIndex],101),IF((COUNTIFS(T_SelfStock[RM_Code],$A67,T_SelfStock[WeekIndex],101)&gt;0)*(COUNTIFS(T_TTAFStock[RM_Code],$A67,T_TTAFStock[WeekIndex],101)&gt;0)&gt;0,SUMIFS(T_SelfStock[Self_Qty],T_SelfStock[RM_Code],$A67,T_SelfStock[WeekIndex],101)+SUMIFS(T_TTAFStock[TTAF_Qty],T_TTAFStock[RM_Code],$A67,T_TTAFStock[WeekIndex],101),CW67+'Grid_Incoming'!CX67-'Grid_Requirement'!CX67))</f>
        <v/>
      </c>
      <c r="CY67">
        <f>IF(COUNTIFS(T_StockCount[RM_Code],$A67,T_StockCount[WeekIndex],102)&gt;0,SUMIFS(T_StockCount[CountedQty],T_StockCount[RM_Code],$A67,T_StockCount[WeekIndex],102),IF((COUNTIFS(T_SelfStock[RM_Code],$A67,T_SelfStock[WeekIndex],102)&gt;0)*(COUNTIFS(T_TTAFStock[RM_Code],$A67,T_TTAFStock[WeekIndex],102)&gt;0)&gt;0,SUMIFS(T_SelfStock[Self_Qty],T_SelfStock[RM_Code],$A67,T_SelfStock[WeekIndex],102)+SUMIFS(T_TTAFStock[TTAF_Qty],T_TTAFStock[RM_Code],$A67,T_TTAFStock[WeekIndex],102),CX67+'Grid_Incoming'!CY67-'Grid_Requirement'!CY67))</f>
        <v/>
      </c>
      <c r="CZ67">
        <f>IF(COUNTIFS(T_StockCount[RM_Code],$A67,T_StockCount[WeekIndex],103)&gt;0,SUMIFS(T_StockCount[CountedQty],T_StockCount[RM_Code],$A67,T_StockCount[WeekIndex],103),IF((COUNTIFS(T_SelfStock[RM_Code],$A67,T_SelfStock[WeekIndex],103)&gt;0)*(COUNTIFS(T_TTAFStock[RM_Code],$A67,T_TTAFStock[WeekIndex],103)&gt;0)&gt;0,SUMIFS(T_SelfStock[Self_Qty],T_SelfStock[RM_Code],$A67,T_SelfStock[WeekIndex],103)+SUMIFS(T_TTAFStock[TTAF_Qty],T_TTAFStock[RM_Code],$A67,T_TTAFStock[WeekIndex],103),CY67+'Grid_Incoming'!CZ67-'Grid_Requirement'!CZ67))</f>
        <v/>
      </c>
      <c r="DA67">
        <f>IF(COUNTIFS(T_StockCount[RM_Code],$A67,T_StockCount[WeekIndex],104)&gt;0,SUMIFS(T_StockCount[CountedQty],T_StockCount[RM_Code],$A67,T_StockCount[WeekIndex],104),IF((COUNTIFS(T_SelfStock[RM_Code],$A67,T_SelfStock[WeekIndex],104)&gt;0)*(COUNTIFS(T_TTAFStock[RM_Code],$A67,T_TTAFStock[WeekIndex],104)&gt;0)&gt;0,SUMIFS(T_SelfStock[Self_Qty],T_SelfStock[RM_Code],$A67,T_SelfStock[WeekIndex],104)+SUMIFS(T_TTAFStock[TTAF_Qty],T_TTAFStock[RM_Code],$A67,T_TTAFStock[WeekIndex],104),CZ67+'Grid_Incoming'!DA67-'Grid_Requirement'!DA67))</f>
        <v/>
      </c>
    </row>
    <row r="68">
      <c r="A68" t="inlineStr">
        <is>
          <t>3TP</t>
        </is>
      </c>
      <c r="B68">
        <f>IF(COUNTIFS(T_StockCount[RM_Code],$A68,T_StockCount[WeekIndex],1)&gt;0,SUMIFS(T_StockCount[CountedQty],T_StockCount[RM_Code],$A68,T_StockCount[WeekIndex],1),IF((COUNTIFS(T_SelfStock[RM_Code],$A68,T_SelfStock[WeekIndex],1)&gt;0)*(COUNTIFS(T_TTAFStock[RM_Code],$A68,T_TTAFStock[WeekIndex],1)&gt;0)&gt;0,SUMIFS(T_SelfStock[Self_Qty],T_SelfStock[RM_Code],$A68,T_SelfStock[WeekIndex],1)+SUMIFS(T_TTAFStock[TTAF_Qty],T_TTAFStock[RM_Code],$A68,T_TTAFStock[WeekIndex],1),IFERROR(INDEX(T_OpeningStock[Opening_Qty],MATCH($A68,T_OpeningStock[RM_Code],0)),0)+'Grid_Incoming'!B68-'Grid_Requirement'!B68))</f>
        <v/>
      </c>
      <c r="C68">
        <f>IF(COUNTIFS(T_StockCount[RM_Code],$A68,T_StockCount[WeekIndex],2)&gt;0,SUMIFS(T_StockCount[CountedQty],T_StockCount[RM_Code],$A68,T_StockCount[WeekIndex],2),IF((COUNTIFS(T_SelfStock[RM_Code],$A68,T_SelfStock[WeekIndex],2)&gt;0)*(COUNTIFS(T_TTAFStock[RM_Code],$A68,T_TTAFStock[WeekIndex],2)&gt;0)&gt;0,SUMIFS(T_SelfStock[Self_Qty],T_SelfStock[RM_Code],$A68,T_SelfStock[WeekIndex],2)+SUMIFS(T_TTAFStock[TTAF_Qty],T_TTAFStock[RM_Code],$A68,T_TTAFStock[WeekIndex],2),B68+'Grid_Incoming'!C68-'Grid_Requirement'!C68))</f>
        <v/>
      </c>
      <c r="D68">
        <f>IF(COUNTIFS(T_StockCount[RM_Code],$A68,T_StockCount[WeekIndex],3)&gt;0,SUMIFS(T_StockCount[CountedQty],T_StockCount[RM_Code],$A68,T_StockCount[WeekIndex],3),IF((COUNTIFS(T_SelfStock[RM_Code],$A68,T_SelfStock[WeekIndex],3)&gt;0)*(COUNTIFS(T_TTAFStock[RM_Code],$A68,T_TTAFStock[WeekIndex],3)&gt;0)&gt;0,SUMIFS(T_SelfStock[Self_Qty],T_SelfStock[RM_Code],$A68,T_SelfStock[WeekIndex],3)+SUMIFS(T_TTAFStock[TTAF_Qty],T_TTAFStock[RM_Code],$A68,T_TTAFStock[WeekIndex],3),C68+'Grid_Incoming'!D68-'Grid_Requirement'!D68))</f>
        <v/>
      </c>
      <c r="E68">
        <f>IF(COUNTIFS(T_StockCount[RM_Code],$A68,T_StockCount[WeekIndex],4)&gt;0,SUMIFS(T_StockCount[CountedQty],T_StockCount[RM_Code],$A68,T_StockCount[WeekIndex],4),IF((COUNTIFS(T_SelfStock[RM_Code],$A68,T_SelfStock[WeekIndex],4)&gt;0)*(COUNTIFS(T_TTAFStock[RM_Code],$A68,T_TTAFStock[WeekIndex],4)&gt;0)&gt;0,SUMIFS(T_SelfStock[Self_Qty],T_SelfStock[RM_Code],$A68,T_SelfStock[WeekIndex],4)+SUMIFS(T_TTAFStock[TTAF_Qty],T_TTAFStock[RM_Code],$A68,T_TTAFStock[WeekIndex],4),D68+'Grid_Incoming'!E68-'Grid_Requirement'!E68))</f>
        <v/>
      </c>
      <c r="F68">
        <f>IF(COUNTIFS(T_StockCount[RM_Code],$A68,T_StockCount[WeekIndex],5)&gt;0,SUMIFS(T_StockCount[CountedQty],T_StockCount[RM_Code],$A68,T_StockCount[WeekIndex],5),IF((COUNTIFS(T_SelfStock[RM_Code],$A68,T_SelfStock[WeekIndex],5)&gt;0)*(COUNTIFS(T_TTAFStock[RM_Code],$A68,T_TTAFStock[WeekIndex],5)&gt;0)&gt;0,SUMIFS(T_SelfStock[Self_Qty],T_SelfStock[RM_Code],$A68,T_SelfStock[WeekIndex],5)+SUMIFS(T_TTAFStock[TTAF_Qty],T_TTAFStock[RM_Code],$A68,T_TTAFStock[WeekIndex],5),E68+'Grid_Incoming'!F68-'Grid_Requirement'!F68))</f>
        <v/>
      </c>
      <c r="G68">
        <f>IF(COUNTIFS(T_StockCount[RM_Code],$A68,T_StockCount[WeekIndex],6)&gt;0,SUMIFS(T_StockCount[CountedQty],T_StockCount[RM_Code],$A68,T_StockCount[WeekIndex],6),IF((COUNTIFS(T_SelfStock[RM_Code],$A68,T_SelfStock[WeekIndex],6)&gt;0)*(COUNTIFS(T_TTAFStock[RM_Code],$A68,T_TTAFStock[WeekIndex],6)&gt;0)&gt;0,SUMIFS(T_SelfStock[Self_Qty],T_SelfStock[RM_Code],$A68,T_SelfStock[WeekIndex],6)+SUMIFS(T_TTAFStock[TTAF_Qty],T_TTAFStock[RM_Code],$A68,T_TTAFStock[WeekIndex],6),F68+'Grid_Incoming'!G68-'Grid_Requirement'!G68))</f>
        <v/>
      </c>
      <c r="H68">
        <f>IF(COUNTIFS(T_StockCount[RM_Code],$A68,T_StockCount[WeekIndex],7)&gt;0,SUMIFS(T_StockCount[CountedQty],T_StockCount[RM_Code],$A68,T_StockCount[WeekIndex],7),IF((COUNTIFS(T_SelfStock[RM_Code],$A68,T_SelfStock[WeekIndex],7)&gt;0)*(COUNTIFS(T_TTAFStock[RM_Code],$A68,T_TTAFStock[WeekIndex],7)&gt;0)&gt;0,SUMIFS(T_SelfStock[Self_Qty],T_SelfStock[RM_Code],$A68,T_SelfStock[WeekIndex],7)+SUMIFS(T_TTAFStock[TTAF_Qty],T_TTAFStock[RM_Code],$A68,T_TTAFStock[WeekIndex],7),G68+'Grid_Incoming'!H68-'Grid_Requirement'!H68))</f>
        <v/>
      </c>
      <c r="I68">
        <f>IF(COUNTIFS(T_StockCount[RM_Code],$A68,T_StockCount[WeekIndex],8)&gt;0,SUMIFS(T_StockCount[CountedQty],T_StockCount[RM_Code],$A68,T_StockCount[WeekIndex],8),IF((COUNTIFS(T_SelfStock[RM_Code],$A68,T_SelfStock[WeekIndex],8)&gt;0)*(COUNTIFS(T_TTAFStock[RM_Code],$A68,T_TTAFStock[WeekIndex],8)&gt;0)&gt;0,SUMIFS(T_SelfStock[Self_Qty],T_SelfStock[RM_Code],$A68,T_SelfStock[WeekIndex],8)+SUMIFS(T_TTAFStock[TTAF_Qty],T_TTAFStock[RM_Code],$A68,T_TTAFStock[WeekIndex],8),H68+'Grid_Incoming'!I68-'Grid_Requirement'!I68))</f>
        <v/>
      </c>
      <c r="J68">
        <f>IF(COUNTIFS(T_StockCount[RM_Code],$A68,T_StockCount[WeekIndex],9)&gt;0,SUMIFS(T_StockCount[CountedQty],T_StockCount[RM_Code],$A68,T_StockCount[WeekIndex],9),IF((COUNTIFS(T_SelfStock[RM_Code],$A68,T_SelfStock[WeekIndex],9)&gt;0)*(COUNTIFS(T_TTAFStock[RM_Code],$A68,T_TTAFStock[WeekIndex],9)&gt;0)&gt;0,SUMIFS(T_SelfStock[Self_Qty],T_SelfStock[RM_Code],$A68,T_SelfStock[WeekIndex],9)+SUMIFS(T_TTAFStock[TTAF_Qty],T_TTAFStock[RM_Code],$A68,T_TTAFStock[WeekIndex],9),I68+'Grid_Incoming'!J68-'Grid_Requirement'!J68))</f>
        <v/>
      </c>
      <c r="K68">
        <f>IF(COUNTIFS(T_StockCount[RM_Code],$A68,T_StockCount[WeekIndex],10)&gt;0,SUMIFS(T_StockCount[CountedQty],T_StockCount[RM_Code],$A68,T_StockCount[WeekIndex],10),IF((COUNTIFS(T_SelfStock[RM_Code],$A68,T_SelfStock[WeekIndex],10)&gt;0)*(COUNTIFS(T_TTAFStock[RM_Code],$A68,T_TTAFStock[WeekIndex],10)&gt;0)&gt;0,SUMIFS(T_SelfStock[Self_Qty],T_SelfStock[RM_Code],$A68,T_SelfStock[WeekIndex],10)+SUMIFS(T_TTAFStock[TTAF_Qty],T_TTAFStock[RM_Code],$A68,T_TTAFStock[WeekIndex],10),J68+'Grid_Incoming'!K68-'Grid_Requirement'!K68))</f>
        <v/>
      </c>
      <c r="L68">
        <f>IF(COUNTIFS(T_StockCount[RM_Code],$A68,T_StockCount[WeekIndex],11)&gt;0,SUMIFS(T_StockCount[CountedQty],T_StockCount[RM_Code],$A68,T_StockCount[WeekIndex],11),IF((COUNTIFS(T_SelfStock[RM_Code],$A68,T_SelfStock[WeekIndex],11)&gt;0)*(COUNTIFS(T_TTAFStock[RM_Code],$A68,T_TTAFStock[WeekIndex],11)&gt;0)&gt;0,SUMIFS(T_SelfStock[Self_Qty],T_SelfStock[RM_Code],$A68,T_SelfStock[WeekIndex],11)+SUMIFS(T_TTAFStock[TTAF_Qty],T_TTAFStock[RM_Code],$A68,T_TTAFStock[WeekIndex],11),K68+'Grid_Incoming'!L68-'Grid_Requirement'!L68))</f>
        <v/>
      </c>
      <c r="M68">
        <f>IF(COUNTIFS(T_StockCount[RM_Code],$A68,T_StockCount[WeekIndex],12)&gt;0,SUMIFS(T_StockCount[CountedQty],T_StockCount[RM_Code],$A68,T_StockCount[WeekIndex],12),IF((COUNTIFS(T_SelfStock[RM_Code],$A68,T_SelfStock[WeekIndex],12)&gt;0)*(COUNTIFS(T_TTAFStock[RM_Code],$A68,T_TTAFStock[WeekIndex],12)&gt;0)&gt;0,SUMIFS(T_SelfStock[Self_Qty],T_SelfStock[RM_Code],$A68,T_SelfStock[WeekIndex],12)+SUMIFS(T_TTAFStock[TTAF_Qty],T_TTAFStock[RM_Code],$A68,T_TTAFStock[WeekIndex],12),L68+'Grid_Incoming'!M68-'Grid_Requirement'!M68))</f>
        <v/>
      </c>
      <c r="N68">
        <f>IF(COUNTIFS(T_StockCount[RM_Code],$A68,T_StockCount[WeekIndex],13)&gt;0,SUMIFS(T_StockCount[CountedQty],T_StockCount[RM_Code],$A68,T_StockCount[WeekIndex],13),IF((COUNTIFS(T_SelfStock[RM_Code],$A68,T_SelfStock[WeekIndex],13)&gt;0)*(COUNTIFS(T_TTAFStock[RM_Code],$A68,T_TTAFStock[WeekIndex],13)&gt;0)&gt;0,SUMIFS(T_SelfStock[Self_Qty],T_SelfStock[RM_Code],$A68,T_SelfStock[WeekIndex],13)+SUMIFS(T_TTAFStock[TTAF_Qty],T_TTAFStock[RM_Code],$A68,T_TTAFStock[WeekIndex],13),M68+'Grid_Incoming'!N68-'Grid_Requirement'!N68))</f>
        <v/>
      </c>
      <c r="O68">
        <f>IF(COUNTIFS(T_StockCount[RM_Code],$A68,T_StockCount[WeekIndex],14)&gt;0,SUMIFS(T_StockCount[CountedQty],T_StockCount[RM_Code],$A68,T_StockCount[WeekIndex],14),IF((COUNTIFS(T_SelfStock[RM_Code],$A68,T_SelfStock[WeekIndex],14)&gt;0)*(COUNTIFS(T_TTAFStock[RM_Code],$A68,T_TTAFStock[WeekIndex],14)&gt;0)&gt;0,SUMIFS(T_SelfStock[Self_Qty],T_SelfStock[RM_Code],$A68,T_SelfStock[WeekIndex],14)+SUMIFS(T_TTAFStock[TTAF_Qty],T_TTAFStock[RM_Code],$A68,T_TTAFStock[WeekIndex],14),N68+'Grid_Incoming'!O68-'Grid_Requirement'!O68))</f>
        <v/>
      </c>
      <c r="P68">
        <f>IF(COUNTIFS(T_StockCount[RM_Code],$A68,T_StockCount[WeekIndex],15)&gt;0,SUMIFS(T_StockCount[CountedQty],T_StockCount[RM_Code],$A68,T_StockCount[WeekIndex],15),IF((COUNTIFS(T_SelfStock[RM_Code],$A68,T_SelfStock[WeekIndex],15)&gt;0)*(COUNTIFS(T_TTAFStock[RM_Code],$A68,T_TTAFStock[WeekIndex],15)&gt;0)&gt;0,SUMIFS(T_SelfStock[Self_Qty],T_SelfStock[RM_Code],$A68,T_SelfStock[WeekIndex],15)+SUMIFS(T_TTAFStock[TTAF_Qty],T_TTAFStock[RM_Code],$A68,T_TTAFStock[WeekIndex],15),O68+'Grid_Incoming'!P68-'Grid_Requirement'!P68))</f>
        <v/>
      </c>
      <c r="Q68">
        <f>IF(COUNTIFS(T_StockCount[RM_Code],$A68,T_StockCount[WeekIndex],16)&gt;0,SUMIFS(T_StockCount[CountedQty],T_StockCount[RM_Code],$A68,T_StockCount[WeekIndex],16),IF((COUNTIFS(T_SelfStock[RM_Code],$A68,T_SelfStock[WeekIndex],16)&gt;0)*(COUNTIFS(T_TTAFStock[RM_Code],$A68,T_TTAFStock[WeekIndex],16)&gt;0)&gt;0,SUMIFS(T_SelfStock[Self_Qty],T_SelfStock[RM_Code],$A68,T_SelfStock[WeekIndex],16)+SUMIFS(T_TTAFStock[TTAF_Qty],T_TTAFStock[RM_Code],$A68,T_TTAFStock[WeekIndex],16),P68+'Grid_Incoming'!Q68-'Grid_Requirement'!Q68))</f>
        <v/>
      </c>
      <c r="R68">
        <f>IF(COUNTIFS(T_StockCount[RM_Code],$A68,T_StockCount[WeekIndex],17)&gt;0,SUMIFS(T_StockCount[CountedQty],T_StockCount[RM_Code],$A68,T_StockCount[WeekIndex],17),IF((COUNTIFS(T_SelfStock[RM_Code],$A68,T_SelfStock[WeekIndex],17)&gt;0)*(COUNTIFS(T_TTAFStock[RM_Code],$A68,T_TTAFStock[WeekIndex],17)&gt;0)&gt;0,SUMIFS(T_SelfStock[Self_Qty],T_SelfStock[RM_Code],$A68,T_SelfStock[WeekIndex],17)+SUMIFS(T_TTAFStock[TTAF_Qty],T_TTAFStock[RM_Code],$A68,T_TTAFStock[WeekIndex],17),Q68+'Grid_Incoming'!R68-'Grid_Requirement'!R68))</f>
        <v/>
      </c>
      <c r="S68">
        <f>IF(COUNTIFS(T_StockCount[RM_Code],$A68,T_StockCount[WeekIndex],18)&gt;0,SUMIFS(T_StockCount[CountedQty],T_StockCount[RM_Code],$A68,T_StockCount[WeekIndex],18),IF((COUNTIFS(T_SelfStock[RM_Code],$A68,T_SelfStock[WeekIndex],18)&gt;0)*(COUNTIFS(T_TTAFStock[RM_Code],$A68,T_TTAFStock[WeekIndex],18)&gt;0)&gt;0,SUMIFS(T_SelfStock[Self_Qty],T_SelfStock[RM_Code],$A68,T_SelfStock[WeekIndex],18)+SUMIFS(T_TTAFStock[TTAF_Qty],T_TTAFStock[RM_Code],$A68,T_TTAFStock[WeekIndex],18),R68+'Grid_Incoming'!S68-'Grid_Requirement'!S68))</f>
        <v/>
      </c>
      <c r="T68">
        <f>IF(COUNTIFS(T_StockCount[RM_Code],$A68,T_StockCount[WeekIndex],19)&gt;0,SUMIFS(T_StockCount[CountedQty],T_StockCount[RM_Code],$A68,T_StockCount[WeekIndex],19),IF((COUNTIFS(T_SelfStock[RM_Code],$A68,T_SelfStock[WeekIndex],19)&gt;0)*(COUNTIFS(T_TTAFStock[RM_Code],$A68,T_TTAFStock[WeekIndex],19)&gt;0)&gt;0,SUMIFS(T_SelfStock[Self_Qty],T_SelfStock[RM_Code],$A68,T_SelfStock[WeekIndex],19)+SUMIFS(T_TTAFStock[TTAF_Qty],T_TTAFStock[RM_Code],$A68,T_TTAFStock[WeekIndex],19),S68+'Grid_Incoming'!T68-'Grid_Requirement'!T68))</f>
        <v/>
      </c>
      <c r="U68">
        <f>IF(COUNTIFS(T_StockCount[RM_Code],$A68,T_StockCount[WeekIndex],20)&gt;0,SUMIFS(T_StockCount[CountedQty],T_StockCount[RM_Code],$A68,T_StockCount[WeekIndex],20),IF((COUNTIFS(T_SelfStock[RM_Code],$A68,T_SelfStock[WeekIndex],20)&gt;0)*(COUNTIFS(T_TTAFStock[RM_Code],$A68,T_TTAFStock[WeekIndex],20)&gt;0)&gt;0,SUMIFS(T_SelfStock[Self_Qty],T_SelfStock[RM_Code],$A68,T_SelfStock[WeekIndex],20)+SUMIFS(T_TTAFStock[TTAF_Qty],T_TTAFStock[RM_Code],$A68,T_TTAFStock[WeekIndex],20),T68+'Grid_Incoming'!U68-'Grid_Requirement'!U68))</f>
        <v/>
      </c>
      <c r="V68">
        <f>IF(COUNTIFS(T_StockCount[RM_Code],$A68,T_StockCount[WeekIndex],21)&gt;0,SUMIFS(T_StockCount[CountedQty],T_StockCount[RM_Code],$A68,T_StockCount[WeekIndex],21),IF((COUNTIFS(T_SelfStock[RM_Code],$A68,T_SelfStock[WeekIndex],21)&gt;0)*(COUNTIFS(T_TTAFStock[RM_Code],$A68,T_TTAFStock[WeekIndex],21)&gt;0)&gt;0,SUMIFS(T_SelfStock[Self_Qty],T_SelfStock[RM_Code],$A68,T_SelfStock[WeekIndex],21)+SUMIFS(T_TTAFStock[TTAF_Qty],T_TTAFStock[RM_Code],$A68,T_TTAFStock[WeekIndex],21),U68+'Grid_Incoming'!V68-'Grid_Requirement'!V68))</f>
        <v/>
      </c>
      <c r="W68">
        <f>IF(COUNTIFS(T_StockCount[RM_Code],$A68,T_StockCount[WeekIndex],22)&gt;0,SUMIFS(T_StockCount[CountedQty],T_StockCount[RM_Code],$A68,T_StockCount[WeekIndex],22),IF((COUNTIFS(T_SelfStock[RM_Code],$A68,T_SelfStock[WeekIndex],22)&gt;0)*(COUNTIFS(T_TTAFStock[RM_Code],$A68,T_TTAFStock[WeekIndex],22)&gt;0)&gt;0,SUMIFS(T_SelfStock[Self_Qty],T_SelfStock[RM_Code],$A68,T_SelfStock[WeekIndex],22)+SUMIFS(T_TTAFStock[TTAF_Qty],T_TTAFStock[RM_Code],$A68,T_TTAFStock[WeekIndex],22),V68+'Grid_Incoming'!W68-'Grid_Requirement'!W68))</f>
        <v/>
      </c>
      <c r="X68">
        <f>IF(COUNTIFS(T_StockCount[RM_Code],$A68,T_StockCount[WeekIndex],23)&gt;0,SUMIFS(T_StockCount[CountedQty],T_StockCount[RM_Code],$A68,T_StockCount[WeekIndex],23),IF((COUNTIFS(T_SelfStock[RM_Code],$A68,T_SelfStock[WeekIndex],23)&gt;0)*(COUNTIFS(T_TTAFStock[RM_Code],$A68,T_TTAFStock[WeekIndex],23)&gt;0)&gt;0,SUMIFS(T_SelfStock[Self_Qty],T_SelfStock[RM_Code],$A68,T_SelfStock[WeekIndex],23)+SUMIFS(T_TTAFStock[TTAF_Qty],T_TTAFStock[RM_Code],$A68,T_TTAFStock[WeekIndex],23),W68+'Grid_Incoming'!X68-'Grid_Requirement'!X68))</f>
        <v/>
      </c>
      <c r="Y68">
        <f>IF(COUNTIFS(T_StockCount[RM_Code],$A68,T_StockCount[WeekIndex],24)&gt;0,SUMIFS(T_StockCount[CountedQty],T_StockCount[RM_Code],$A68,T_StockCount[WeekIndex],24),IF((COUNTIFS(T_SelfStock[RM_Code],$A68,T_SelfStock[WeekIndex],24)&gt;0)*(COUNTIFS(T_TTAFStock[RM_Code],$A68,T_TTAFStock[WeekIndex],24)&gt;0)&gt;0,SUMIFS(T_SelfStock[Self_Qty],T_SelfStock[RM_Code],$A68,T_SelfStock[WeekIndex],24)+SUMIFS(T_TTAFStock[TTAF_Qty],T_TTAFStock[RM_Code],$A68,T_TTAFStock[WeekIndex],24),X68+'Grid_Incoming'!Y68-'Grid_Requirement'!Y68))</f>
        <v/>
      </c>
      <c r="Z68">
        <f>IF(COUNTIFS(T_StockCount[RM_Code],$A68,T_StockCount[WeekIndex],25)&gt;0,SUMIFS(T_StockCount[CountedQty],T_StockCount[RM_Code],$A68,T_StockCount[WeekIndex],25),IF((COUNTIFS(T_SelfStock[RM_Code],$A68,T_SelfStock[WeekIndex],25)&gt;0)*(COUNTIFS(T_TTAFStock[RM_Code],$A68,T_TTAFStock[WeekIndex],25)&gt;0)&gt;0,SUMIFS(T_SelfStock[Self_Qty],T_SelfStock[RM_Code],$A68,T_SelfStock[WeekIndex],25)+SUMIFS(T_TTAFStock[TTAF_Qty],T_TTAFStock[RM_Code],$A68,T_TTAFStock[WeekIndex],25),Y68+'Grid_Incoming'!Z68-'Grid_Requirement'!Z68))</f>
        <v/>
      </c>
      <c r="AA68">
        <f>IF(COUNTIFS(T_StockCount[RM_Code],$A68,T_StockCount[WeekIndex],26)&gt;0,SUMIFS(T_StockCount[CountedQty],T_StockCount[RM_Code],$A68,T_StockCount[WeekIndex],26),IF((COUNTIFS(T_SelfStock[RM_Code],$A68,T_SelfStock[WeekIndex],26)&gt;0)*(COUNTIFS(T_TTAFStock[RM_Code],$A68,T_TTAFStock[WeekIndex],26)&gt;0)&gt;0,SUMIFS(T_SelfStock[Self_Qty],T_SelfStock[RM_Code],$A68,T_SelfStock[WeekIndex],26)+SUMIFS(T_TTAFStock[TTAF_Qty],T_TTAFStock[RM_Code],$A68,T_TTAFStock[WeekIndex],26),Z68+'Grid_Incoming'!AA68-'Grid_Requirement'!AA68))</f>
        <v/>
      </c>
      <c r="AB68">
        <f>IF(COUNTIFS(T_StockCount[RM_Code],$A68,T_StockCount[WeekIndex],27)&gt;0,SUMIFS(T_StockCount[CountedQty],T_StockCount[RM_Code],$A68,T_StockCount[WeekIndex],27),IF((COUNTIFS(T_SelfStock[RM_Code],$A68,T_SelfStock[WeekIndex],27)&gt;0)*(COUNTIFS(T_TTAFStock[RM_Code],$A68,T_TTAFStock[WeekIndex],27)&gt;0)&gt;0,SUMIFS(T_SelfStock[Self_Qty],T_SelfStock[RM_Code],$A68,T_SelfStock[WeekIndex],27)+SUMIFS(T_TTAFStock[TTAF_Qty],T_TTAFStock[RM_Code],$A68,T_TTAFStock[WeekIndex],27),AA68+'Grid_Incoming'!AB68-'Grid_Requirement'!AB68))</f>
        <v/>
      </c>
      <c r="AC68">
        <f>IF(COUNTIFS(T_StockCount[RM_Code],$A68,T_StockCount[WeekIndex],28)&gt;0,SUMIFS(T_StockCount[CountedQty],T_StockCount[RM_Code],$A68,T_StockCount[WeekIndex],28),IF((COUNTIFS(T_SelfStock[RM_Code],$A68,T_SelfStock[WeekIndex],28)&gt;0)*(COUNTIFS(T_TTAFStock[RM_Code],$A68,T_TTAFStock[WeekIndex],28)&gt;0)&gt;0,SUMIFS(T_SelfStock[Self_Qty],T_SelfStock[RM_Code],$A68,T_SelfStock[WeekIndex],28)+SUMIFS(T_TTAFStock[TTAF_Qty],T_TTAFStock[RM_Code],$A68,T_TTAFStock[WeekIndex],28),AB68+'Grid_Incoming'!AC68-'Grid_Requirement'!AC68))</f>
        <v/>
      </c>
      <c r="AD68">
        <f>IF(COUNTIFS(T_StockCount[RM_Code],$A68,T_StockCount[WeekIndex],29)&gt;0,SUMIFS(T_StockCount[CountedQty],T_StockCount[RM_Code],$A68,T_StockCount[WeekIndex],29),IF((COUNTIFS(T_SelfStock[RM_Code],$A68,T_SelfStock[WeekIndex],29)&gt;0)*(COUNTIFS(T_TTAFStock[RM_Code],$A68,T_TTAFStock[WeekIndex],29)&gt;0)&gt;0,SUMIFS(T_SelfStock[Self_Qty],T_SelfStock[RM_Code],$A68,T_SelfStock[WeekIndex],29)+SUMIFS(T_TTAFStock[TTAF_Qty],T_TTAFStock[RM_Code],$A68,T_TTAFStock[WeekIndex],29),AC68+'Grid_Incoming'!AD68-'Grid_Requirement'!AD68))</f>
        <v/>
      </c>
      <c r="AE68">
        <f>IF(COUNTIFS(T_StockCount[RM_Code],$A68,T_StockCount[WeekIndex],30)&gt;0,SUMIFS(T_StockCount[CountedQty],T_StockCount[RM_Code],$A68,T_StockCount[WeekIndex],30),IF((COUNTIFS(T_SelfStock[RM_Code],$A68,T_SelfStock[WeekIndex],30)&gt;0)*(COUNTIFS(T_TTAFStock[RM_Code],$A68,T_TTAFStock[WeekIndex],30)&gt;0)&gt;0,SUMIFS(T_SelfStock[Self_Qty],T_SelfStock[RM_Code],$A68,T_SelfStock[WeekIndex],30)+SUMIFS(T_TTAFStock[TTAF_Qty],T_TTAFStock[RM_Code],$A68,T_TTAFStock[WeekIndex],30),AD68+'Grid_Incoming'!AE68-'Grid_Requirement'!AE68))</f>
        <v/>
      </c>
      <c r="AF68">
        <f>IF(COUNTIFS(T_StockCount[RM_Code],$A68,T_StockCount[WeekIndex],31)&gt;0,SUMIFS(T_StockCount[CountedQty],T_StockCount[RM_Code],$A68,T_StockCount[WeekIndex],31),IF((COUNTIFS(T_SelfStock[RM_Code],$A68,T_SelfStock[WeekIndex],31)&gt;0)*(COUNTIFS(T_TTAFStock[RM_Code],$A68,T_TTAFStock[WeekIndex],31)&gt;0)&gt;0,SUMIFS(T_SelfStock[Self_Qty],T_SelfStock[RM_Code],$A68,T_SelfStock[WeekIndex],31)+SUMIFS(T_TTAFStock[TTAF_Qty],T_TTAFStock[RM_Code],$A68,T_TTAFStock[WeekIndex],31),AE68+'Grid_Incoming'!AF68-'Grid_Requirement'!AF68))</f>
        <v/>
      </c>
      <c r="AG68">
        <f>IF(COUNTIFS(T_StockCount[RM_Code],$A68,T_StockCount[WeekIndex],32)&gt;0,SUMIFS(T_StockCount[CountedQty],T_StockCount[RM_Code],$A68,T_StockCount[WeekIndex],32),IF((COUNTIFS(T_SelfStock[RM_Code],$A68,T_SelfStock[WeekIndex],32)&gt;0)*(COUNTIFS(T_TTAFStock[RM_Code],$A68,T_TTAFStock[WeekIndex],32)&gt;0)&gt;0,SUMIFS(T_SelfStock[Self_Qty],T_SelfStock[RM_Code],$A68,T_SelfStock[WeekIndex],32)+SUMIFS(T_TTAFStock[TTAF_Qty],T_TTAFStock[RM_Code],$A68,T_TTAFStock[WeekIndex],32),AF68+'Grid_Incoming'!AG68-'Grid_Requirement'!AG68))</f>
        <v/>
      </c>
      <c r="AH68">
        <f>IF(COUNTIFS(T_StockCount[RM_Code],$A68,T_StockCount[WeekIndex],33)&gt;0,SUMIFS(T_StockCount[CountedQty],T_StockCount[RM_Code],$A68,T_StockCount[WeekIndex],33),IF((COUNTIFS(T_SelfStock[RM_Code],$A68,T_SelfStock[WeekIndex],33)&gt;0)*(COUNTIFS(T_TTAFStock[RM_Code],$A68,T_TTAFStock[WeekIndex],33)&gt;0)&gt;0,SUMIFS(T_SelfStock[Self_Qty],T_SelfStock[RM_Code],$A68,T_SelfStock[WeekIndex],33)+SUMIFS(T_TTAFStock[TTAF_Qty],T_TTAFStock[RM_Code],$A68,T_TTAFStock[WeekIndex],33),AG68+'Grid_Incoming'!AH68-'Grid_Requirement'!AH68))</f>
        <v/>
      </c>
      <c r="AI68">
        <f>IF(COUNTIFS(T_StockCount[RM_Code],$A68,T_StockCount[WeekIndex],34)&gt;0,SUMIFS(T_StockCount[CountedQty],T_StockCount[RM_Code],$A68,T_StockCount[WeekIndex],34),IF((COUNTIFS(T_SelfStock[RM_Code],$A68,T_SelfStock[WeekIndex],34)&gt;0)*(COUNTIFS(T_TTAFStock[RM_Code],$A68,T_TTAFStock[WeekIndex],34)&gt;0)&gt;0,SUMIFS(T_SelfStock[Self_Qty],T_SelfStock[RM_Code],$A68,T_SelfStock[WeekIndex],34)+SUMIFS(T_TTAFStock[TTAF_Qty],T_TTAFStock[RM_Code],$A68,T_TTAFStock[WeekIndex],34),AH68+'Grid_Incoming'!AI68-'Grid_Requirement'!AI68))</f>
        <v/>
      </c>
      <c r="AJ68">
        <f>IF(COUNTIFS(T_StockCount[RM_Code],$A68,T_StockCount[WeekIndex],35)&gt;0,SUMIFS(T_StockCount[CountedQty],T_StockCount[RM_Code],$A68,T_StockCount[WeekIndex],35),IF((COUNTIFS(T_SelfStock[RM_Code],$A68,T_SelfStock[WeekIndex],35)&gt;0)*(COUNTIFS(T_TTAFStock[RM_Code],$A68,T_TTAFStock[WeekIndex],35)&gt;0)&gt;0,SUMIFS(T_SelfStock[Self_Qty],T_SelfStock[RM_Code],$A68,T_SelfStock[WeekIndex],35)+SUMIFS(T_TTAFStock[TTAF_Qty],T_TTAFStock[RM_Code],$A68,T_TTAFStock[WeekIndex],35),AI68+'Grid_Incoming'!AJ68-'Grid_Requirement'!AJ68))</f>
        <v/>
      </c>
      <c r="AK68">
        <f>IF(COUNTIFS(T_StockCount[RM_Code],$A68,T_StockCount[WeekIndex],36)&gt;0,SUMIFS(T_StockCount[CountedQty],T_StockCount[RM_Code],$A68,T_StockCount[WeekIndex],36),IF((COUNTIFS(T_SelfStock[RM_Code],$A68,T_SelfStock[WeekIndex],36)&gt;0)*(COUNTIFS(T_TTAFStock[RM_Code],$A68,T_TTAFStock[WeekIndex],36)&gt;0)&gt;0,SUMIFS(T_SelfStock[Self_Qty],T_SelfStock[RM_Code],$A68,T_SelfStock[WeekIndex],36)+SUMIFS(T_TTAFStock[TTAF_Qty],T_TTAFStock[RM_Code],$A68,T_TTAFStock[WeekIndex],36),AJ68+'Grid_Incoming'!AK68-'Grid_Requirement'!AK68))</f>
        <v/>
      </c>
      <c r="AL68">
        <f>IF(COUNTIFS(T_StockCount[RM_Code],$A68,T_StockCount[WeekIndex],37)&gt;0,SUMIFS(T_StockCount[CountedQty],T_StockCount[RM_Code],$A68,T_StockCount[WeekIndex],37),IF((COUNTIFS(T_SelfStock[RM_Code],$A68,T_SelfStock[WeekIndex],37)&gt;0)*(COUNTIFS(T_TTAFStock[RM_Code],$A68,T_TTAFStock[WeekIndex],37)&gt;0)&gt;0,SUMIFS(T_SelfStock[Self_Qty],T_SelfStock[RM_Code],$A68,T_SelfStock[WeekIndex],37)+SUMIFS(T_TTAFStock[TTAF_Qty],T_TTAFStock[RM_Code],$A68,T_TTAFStock[WeekIndex],37),AK68+'Grid_Incoming'!AL68-'Grid_Requirement'!AL68))</f>
        <v/>
      </c>
      <c r="AM68">
        <f>IF(COUNTIFS(T_StockCount[RM_Code],$A68,T_StockCount[WeekIndex],38)&gt;0,SUMIFS(T_StockCount[CountedQty],T_StockCount[RM_Code],$A68,T_StockCount[WeekIndex],38),IF((COUNTIFS(T_SelfStock[RM_Code],$A68,T_SelfStock[WeekIndex],38)&gt;0)*(COUNTIFS(T_TTAFStock[RM_Code],$A68,T_TTAFStock[WeekIndex],38)&gt;0)&gt;0,SUMIFS(T_SelfStock[Self_Qty],T_SelfStock[RM_Code],$A68,T_SelfStock[WeekIndex],38)+SUMIFS(T_TTAFStock[TTAF_Qty],T_TTAFStock[RM_Code],$A68,T_TTAFStock[WeekIndex],38),AL68+'Grid_Incoming'!AM68-'Grid_Requirement'!AM68))</f>
        <v/>
      </c>
      <c r="AN68">
        <f>IF(COUNTIFS(T_StockCount[RM_Code],$A68,T_StockCount[WeekIndex],39)&gt;0,SUMIFS(T_StockCount[CountedQty],T_StockCount[RM_Code],$A68,T_StockCount[WeekIndex],39),IF((COUNTIFS(T_SelfStock[RM_Code],$A68,T_SelfStock[WeekIndex],39)&gt;0)*(COUNTIFS(T_TTAFStock[RM_Code],$A68,T_TTAFStock[WeekIndex],39)&gt;0)&gt;0,SUMIFS(T_SelfStock[Self_Qty],T_SelfStock[RM_Code],$A68,T_SelfStock[WeekIndex],39)+SUMIFS(T_TTAFStock[TTAF_Qty],T_TTAFStock[RM_Code],$A68,T_TTAFStock[WeekIndex],39),AM68+'Grid_Incoming'!AN68-'Grid_Requirement'!AN68))</f>
        <v/>
      </c>
      <c r="AO68">
        <f>IF(COUNTIFS(T_StockCount[RM_Code],$A68,T_StockCount[WeekIndex],40)&gt;0,SUMIFS(T_StockCount[CountedQty],T_StockCount[RM_Code],$A68,T_StockCount[WeekIndex],40),IF((COUNTIFS(T_SelfStock[RM_Code],$A68,T_SelfStock[WeekIndex],40)&gt;0)*(COUNTIFS(T_TTAFStock[RM_Code],$A68,T_TTAFStock[WeekIndex],40)&gt;0)&gt;0,SUMIFS(T_SelfStock[Self_Qty],T_SelfStock[RM_Code],$A68,T_SelfStock[WeekIndex],40)+SUMIFS(T_TTAFStock[TTAF_Qty],T_TTAFStock[RM_Code],$A68,T_TTAFStock[WeekIndex],40),AN68+'Grid_Incoming'!AO68-'Grid_Requirement'!AO68))</f>
        <v/>
      </c>
      <c r="AP68">
        <f>IF(COUNTIFS(T_StockCount[RM_Code],$A68,T_StockCount[WeekIndex],41)&gt;0,SUMIFS(T_StockCount[CountedQty],T_StockCount[RM_Code],$A68,T_StockCount[WeekIndex],41),IF((COUNTIFS(T_SelfStock[RM_Code],$A68,T_SelfStock[WeekIndex],41)&gt;0)*(COUNTIFS(T_TTAFStock[RM_Code],$A68,T_TTAFStock[WeekIndex],41)&gt;0)&gt;0,SUMIFS(T_SelfStock[Self_Qty],T_SelfStock[RM_Code],$A68,T_SelfStock[WeekIndex],41)+SUMIFS(T_TTAFStock[TTAF_Qty],T_TTAFStock[RM_Code],$A68,T_TTAFStock[WeekIndex],41),AO68+'Grid_Incoming'!AP68-'Grid_Requirement'!AP68))</f>
        <v/>
      </c>
      <c r="AQ68">
        <f>IF(COUNTIFS(T_StockCount[RM_Code],$A68,T_StockCount[WeekIndex],42)&gt;0,SUMIFS(T_StockCount[CountedQty],T_StockCount[RM_Code],$A68,T_StockCount[WeekIndex],42),IF((COUNTIFS(T_SelfStock[RM_Code],$A68,T_SelfStock[WeekIndex],42)&gt;0)*(COUNTIFS(T_TTAFStock[RM_Code],$A68,T_TTAFStock[WeekIndex],42)&gt;0)&gt;0,SUMIFS(T_SelfStock[Self_Qty],T_SelfStock[RM_Code],$A68,T_SelfStock[WeekIndex],42)+SUMIFS(T_TTAFStock[TTAF_Qty],T_TTAFStock[RM_Code],$A68,T_TTAFStock[WeekIndex],42),AP68+'Grid_Incoming'!AQ68-'Grid_Requirement'!AQ68))</f>
        <v/>
      </c>
      <c r="AR68">
        <f>IF(COUNTIFS(T_StockCount[RM_Code],$A68,T_StockCount[WeekIndex],43)&gt;0,SUMIFS(T_StockCount[CountedQty],T_StockCount[RM_Code],$A68,T_StockCount[WeekIndex],43),IF((COUNTIFS(T_SelfStock[RM_Code],$A68,T_SelfStock[WeekIndex],43)&gt;0)*(COUNTIFS(T_TTAFStock[RM_Code],$A68,T_TTAFStock[WeekIndex],43)&gt;0)&gt;0,SUMIFS(T_SelfStock[Self_Qty],T_SelfStock[RM_Code],$A68,T_SelfStock[WeekIndex],43)+SUMIFS(T_TTAFStock[TTAF_Qty],T_TTAFStock[RM_Code],$A68,T_TTAFStock[WeekIndex],43),AQ68+'Grid_Incoming'!AR68-'Grid_Requirement'!AR68))</f>
        <v/>
      </c>
      <c r="AS68">
        <f>IF(COUNTIFS(T_StockCount[RM_Code],$A68,T_StockCount[WeekIndex],44)&gt;0,SUMIFS(T_StockCount[CountedQty],T_StockCount[RM_Code],$A68,T_StockCount[WeekIndex],44),IF((COUNTIFS(T_SelfStock[RM_Code],$A68,T_SelfStock[WeekIndex],44)&gt;0)*(COUNTIFS(T_TTAFStock[RM_Code],$A68,T_TTAFStock[WeekIndex],44)&gt;0)&gt;0,SUMIFS(T_SelfStock[Self_Qty],T_SelfStock[RM_Code],$A68,T_SelfStock[WeekIndex],44)+SUMIFS(T_TTAFStock[TTAF_Qty],T_TTAFStock[RM_Code],$A68,T_TTAFStock[WeekIndex],44),AR68+'Grid_Incoming'!AS68-'Grid_Requirement'!AS68))</f>
        <v/>
      </c>
      <c r="AT68">
        <f>IF(COUNTIFS(T_StockCount[RM_Code],$A68,T_StockCount[WeekIndex],45)&gt;0,SUMIFS(T_StockCount[CountedQty],T_StockCount[RM_Code],$A68,T_StockCount[WeekIndex],45),IF((COUNTIFS(T_SelfStock[RM_Code],$A68,T_SelfStock[WeekIndex],45)&gt;0)*(COUNTIFS(T_TTAFStock[RM_Code],$A68,T_TTAFStock[WeekIndex],45)&gt;0)&gt;0,SUMIFS(T_SelfStock[Self_Qty],T_SelfStock[RM_Code],$A68,T_SelfStock[WeekIndex],45)+SUMIFS(T_TTAFStock[TTAF_Qty],T_TTAFStock[RM_Code],$A68,T_TTAFStock[WeekIndex],45),AS68+'Grid_Incoming'!AT68-'Grid_Requirement'!AT68))</f>
        <v/>
      </c>
      <c r="AU68">
        <f>IF(COUNTIFS(T_StockCount[RM_Code],$A68,T_StockCount[WeekIndex],46)&gt;0,SUMIFS(T_StockCount[CountedQty],T_StockCount[RM_Code],$A68,T_StockCount[WeekIndex],46),IF((COUNTIFS(T_SelfStock[RM_Code],$A68,T_SelfStock[WeekIndex],46)&gt;0)*(COUNTIFS(T_TTAFStock[RM_Code],$A68,T_TTAFStock[WeekIndex],46)&gt;0)&gt;0,SUMIFS(T_SelfStock[Self_Qty],T_SelfStock[RM_Code],$A68,T_SelfStock[WeekIndex],46)+SUMIFS(T_TTAFStock[TTAF_Qty],T_TTAFStock[RM_Code],$A68,T_TTAFStock[WeekIndex],46),AT68+'Grid_Incoming'!AU68-'Grid_Requirement'!AU68))</f>
        <v/>
      </c>
      <c r="AV68">
        <f>IF(COUNTIFS(T_StockCount[RM_Code],$A68,T_StockCount[WeekIndex],47)&gt;0,SUMIFS(T_StockCount[CountedQty],T_StockCount[RM_Code],$A68,T_StockCount[WeekIndex],47),IF((COUNTIFS(T_SelfStock[RM_Code],$A68,T_SelfStock[WeekIndex],47)&gt;0)*(COUNTIFS(T_TTAFStock[RM_Code],$A68,T_TTAFStock[WeekIndex],47)&gt;0)&gt;0,SUMIFS(T_SelfStock[Self_Qty],T_SelfStock[RM_Code],$A68,T_SelfStock[WeekIndex],47)+SUMIFS(T_TTAFStock[TTAF_Qty],T_TTAFStock[RM_Code],$A68,T_TTAFStock[WeekIndex],47),AU68+'Grid_Incoming'!AV68-'Grid_Requirement'!AV68))</f>
        <v/>
      </c>
      <c r="AW68">
        <f>IF(COUNTIFS(T_StockCount[RM_Code],$A68,T_StockCount[WeekIndex],48)&gt;0,SUMIFS(T_StockCount[CountedQty],T_StockCount[RM_Code],$A68,T_StockCount[WeekIndex],48),IF((COUNTIFS(T_SelfStock[RM_Code],$A68,T_SelfStock[WeekIndex],48)&gt;0)*(COUNTIFS(T_TTAFStock[RM_Code],$A68,T_TTAFStock[WeekIndex],48)&gt;0)&gt;0,SUMIFS(T_SelfStock[Self_Qty],T_SelfStock[RM_Code],$A68,T_SelfStock[WeekIndex],48)+SUMIFS(T_TTAFStock[TTAF_Qty],T_TTAFStock[RM_Code],$A68,T_TTAFStock[WeekIndex],48),AV68+'Grid_Incoming'!AW68-'Grid_Requirement'!AW68))</f>
        <v/>
      </c>
      <c r="AX68">
        <f>IF(COUNTIFS(T_StockCount[RM_Code],$A68,T_StockCount[WeekIndex],49)&gt;0,SUMIFS(T_StockCount[CountedQty],T_StockCount[RM_Code],$A68,T_StockCount[WeekIndex],49),IF((COUNTIFS(T_SelfStock[RM_Code],$A68,T_SelfStock[WeekIndex],49)&gt;0)*(COUNTIFS(T_TTAFStock[RM_Code],$A68,T_TTAFStock[WeekIndex],49)&gt;0)&gt;0,SUMIFS(T_SelfStock[Self_Qty],T_SelfStock[RM_Code],$A68,T_SelfStock[WeekIndex],49)+SUMIFS(T_TTAFStock[TTAF_Qty],T_TTAFStock[RM_Code],$A68,T_TTAFStock[WeekIndex],49),AW68+'Grid_Incoming'!AX68-'Grid_Requirement'!AX68))</f>
        <v/>
      </c>
      <c r="AY68">
        <f>IF(COUNTIFS(T_StockCount[RM_Code],$A68,T_StockCount[WeekIndex],50)&gt;0,SUMIFS(T_StockCount[CountedQty],T_StockCount[RM_Code],$A68,T_StockCount[WeekIndex],50),IF((COUNTIFS(T_SelfStock[RM_Code],$A68,T_SelfStock[WeekIndex],50)&gt;0)*(COUNTIFS(T_TTAFStock[RM_Code],$A68,T_TTAFStock[WeekIndex],50)&gt;0)&gt;0,SUMIFS(T_SelfStock[Self_Qty],T_SelfStock[RM_Code],$A68,T_SelfStock[WeekIndex],50)+SUMIFS(T_TTAFStock[TTAF_Qty],T_TTAFStock[RM_Code],$A68,T_TTAFStock[WeekIndex],50),AX68+'Grid_Incoming'!AY68-'Grid_Requirement'!AY68))</f>
        <v/>
      </c>
      <c r="AZ68">
        <f>IF(COUNTIFS(T_StockCount[RM_Code],$A68,T_StockCount[WeekIndex],51)&gt;0,SUMIFS(T_StockCount[CountedQty],T_StockCount[RM_Code],$A68,T_StockCount[WeekIndex],51),IF((COUNTIFS(T_SelfStock[RM_Code],$A68,T_SelfStock[WeekIndex],51)&gt;0)*(COUNTIFS(T_TTAFStock[RM_Code],$A68,T_TTAFStock[WeekIndex],51)&gt;0)&gt;0,SUMIFS(T_SelfStock[Self_Qty],T_SelfStock[RM_Code],$A68,T_SelfStock[WeekIndex],51)+SUMIFS(T_TTAFStock[TTAF_Qty],T_TTAFStock[RM_Code],$A68,T_TTAFStock[WeekIndex],51),AY68+'Grid_Incoming'!AZ68-'Grid_Requirement'!AZ68))</f>
        <v/>
      </c>
      <c r="BA68">
        <f>IF(COUNTIFS(T_StockCount[RM_Code],$A68,T_StockCount[WeekIndex],52)&gt;0,SUMIFS(T_StockCount[CountedQty],T_StockCount[RM_Code],$A68,T_StockCount[WeekIndex],52),IF((COUNTIFS(T_SelfStock[RM_Code],$A68,T_SelfStock[WeekIndex],52)&gt;0)*(COUNTIFS(T_TTAFStock[RM_Code],$A68,T_TTAFStock[WeekIndex],52)&gt;0)&gt;0,SUMIFS(T_SelfStock[Self_Qty],T_SelfStock[RM_Code],$A68,T_SelfStock[WeekIndex],52)+SUMIFS(T_TTAFStock[TTAF_Qty],T_TTAFStock[RM_Code],$A68,T_TTAFStock[WeekIndex],52),AZ68+'Grid_Incoming'!BA68-'Grid_Requirement'!BA68))</f>
        <v/>
      </c>
      <c r="BB68">
        <f>IF(COUNTIFS(T_StockCount[RM_Code],$A68,T_StockCount[WeekIndex],53)&gt;0,SUMIFS(T_StockCount[CountedQty],T_StockCount[RM_Code],$A68,T_StockCount[WeekIndex],53),IF((COUNTIFS(T_SelfStock[RM_Code],$A68,T_SelfStock[WeekIndex],53)&gt;0)*(COUNTIFS(T_TTAFStock[RM_Code],$A68,T_TTAFStock[WeekIndex],53)&gt;0)&gt;0,SUMIFS(T_SelfStock[Self_Qty],T_SelfStock[RM_Code],$A68,T_SelfStock[WeekIndex],53)+SUMIFS(T_TTAFStock[TTAF_Qty],T_TTAFStock[RM_Code],$A68,T_TTAFStock[WeekIndex],53),BA68+'Grid_Incoming'!BB68-'Grid_Requirement'!BB68))</f>
        <v/>
      </c>
      <c r="BC68">
        <f>IF(COUNTIFS(T_StockCount[RM_Code],$A68,T_StockCount[WeekIndex],54)&gt;0,SUMIFS(T_StockCount[CountedQty],T_StockCount[RM_Code],$A68,T_StockCount[WeekIndex],54),IF((COUNTIFS(T_SelfStock[RM_Code],$A68,T_SelfStock[WeekIndex],54)&gt;0)*(COUNTIFS(T_TTAFStock[RM_Code],$A68,T_TTAFStock[WeekIndex],54)&gt;0)&gt;0,SUMIFS(T_SelfStock[Self_Qty],T_SelfStock[RM_Code],$A68,T_SelfStock[WeekIndex],54)+SUMIFS(T_TTAFStock[TTAF_Qty],T_TTAFStock[RM_Code],$A68,T_TTAFStock[WeekIndex],54),BB68+'Grid_Incoming'!BC68-'Grid_Requirement'!BC68))</f>
        <v/>
      </c>
      <c r="BD68">
        <f>IF(COUNTIFS(T_StockCount[RM_Code],$A68,T_StockCount[WeekIndex],55)&gt;0,SUMIFS(T_StockCount[CountedQty],T_StockCount[RM_Code],$A68,T_StockCount[WeekIndex],55),IF((COUNTIFS(T_SelfStock[RM_Code],$A68,T_SelfStock[WeekIndex],55)&gt;0)*(COUNTIFS(T_TTAFStock[RM_Code],$A68,T_TTAFStock[WeekIndex],55)&gt;0)&gt;0,SUMIFS(T_SelfStock[Self_Qty],T_SelfStock[RM_Code],$A68,T_SelfStock[WeekIndex],55)+SUMIFS(T_TTAFStock[TTAF_Qty],T_TTAFStock[RM_Code],$A68,T_TTAFStock[WeekIndex],55),BC68+'Grid_Incoming'!BD68-'Grid_Requirement'!BD68))</f>
        <v/>
      </c>
      <c r="BE68">
        <f>IF(COUNTIFS(T_StockCount[RM_Code],$A68,T_StockCount[WeekIndex],56)&gt;0,SUMIFS(T_StockCount[CountedQty],T_StockCount[RM_Code],$A68,T_StockCount[WeekIndex],56),IF((COUNTIFS(T_SelfStock[RM_Code],$A68,T_SelfStock[WeekIndex],56)&gt;0)*(COUNTIFS(T_TTAFStock[RM_Code],$A68,T_TTAFStock[WeekIndex],56)&gt;0)&gt;0,SUMIFS(T_SelfStock[Self_Qty],T_SelfStock[RM_Code],$A68,T_SelfStock[WeekIndex],56)+SUMIFS(T_TTAFStock[TTAF_Qty],T_TTAFStock[RM_Code],$A68,T_TTAFStock[WeekIndex],56),BD68+'Grid_Incoming'!BE68-'Grid_Requirement'!BE68))</f>
        <v/>
      </c>
      <c r="BF68">
        <f>IF(COUNTIFS(T_StockCount[RM_Code],$A68,T_StockCount[WeekIndex],57)&gt;0,SUMIFS(T_StockCount[CountedQty],T_StockCount[RM_Code],$A68,T_StockCount[WeekIndex],57),IF((COUNTIFS(T_SelfStock[RM_Code],$A68,T_SelfStock[WeekIndex],57)&gt;0)*(COUNTIFS(T_TTAFStock[RM_Code],$A68,T_TTAFStock[WeekIndex],57)&gt;0)&gt;0,SUMIFS(T_SelfStock[Self_Qty],T_SelfStock[RM_Code],$A68,T_SelfStock[WeekIndex],57)+SUMIFS(T_TTAFStock[TTAF_Qty],T_TTAFStock[RM_Code],$A68,T_TTAFStock[WeekIndex],57),BE68+'Grid_Incoming'!BF68-'Grid_Requirement'!BF68))</f>
        <v/>
      </c>
      <c r="BG68">
        <f>IF(COUNTIFS(T_StockCount[RM_Code],$A68,T_StockCount[WeekIndex],58)&gt;0,SUMIFS(T_StockCount[CountedQty],T_StockCount[RM_Code],$A68,T_StockCount[WeekIndex],58),IF((COUNTIFS(T_SelfStock[RM_Code],$A68,T_SelfStock[WeekIndex],58)&gt;0)*(COUNTIFS(T_TTAFStock[RM_Code],$A68,T_TTAFStock[WeekIndex],58)&gt;0)&gt;0,SUMIFS(T_SelfStock[Self_Qty],T_SelfStock[RM_Code],$A68,T_SelfStock[WeekIndex],58)+SUMIFS(T_TTAFStock[TTAF_Qty],T_TTAFStock[RM_Code],$A68,T_TTAFStock[WeekIndex],58),BF68+'Grid_Incoming'!BG68-'Grid_Requirement'!BG68))</f>
        <v/>
      </c>
      <c r="BH68">
        <f>IF(COUNTIFS(T_StockCount[RM_Code],$A68,T_StockCount[WeekIndex],59)&gt;0,SUMIFS(T_StockCount[CountedQty],T_StockCount[RM_Code],$A68,T_StockCount[WeekIndex],59),IF((COUNTIFS(T_SelfStock[RM_Code],$A68,T_SelfStock[WeekIndex],59)&gt;0)*(COUNTIFS(T_TTAFStock[RM_Code],$A68,T_TTAFStock[WeekIndex],59)&gt;0)&gt;0,SUMIFS(T_SelfStock[Self_Qty],T_SelfStock[RM_Code],$A68,T_SelfStock[WeekIndex],59)+SUMIFS(T_TTAFStock[TTAF_Qty],T_TTAFStock[RM_Code],$A68,T_TTAFStock[WeekIndex],59),BG68+'Grid_Incoming'!BH68-'Grid_Requirement'!BH68))</f>
        <v/>
      </c>
      <c r="BI68">
        <f>IF(COUNTIFS(T_StockCount[RM_Code],$A68,T_StockCount[WeekIndex],60)&gt;0,SUMIFS(T_StockCount[CountedQty],T_StockCount[RM_Code],$A68,T_StockCount[WeekIndex],60),IF((COUNTIFS(T_SelfStock[RM_Code],$A68,T_SelfStock[WeekIndex],60)&gt;0)*(COUNTIFS(T_TTAFStock[RM_Code],$A68,T_TTAFStock[WeekIndex],60)&gt;0)&gt;0,SUMIFS(T_SelfStock[Self_Qty],T_SelfStock[RM_Code],$A68,T_SelfStock[WeekIndex],60)+SUMIFS(T_TTAFStock[TTAF_Qty],T_TTAFStock[RM_Code],$A68,T_TTAFStock[WeekIndex],60),BH68+'Grid_Incoming'!BI68-'Grid_Requirement'!BI68))</f>
        <v/>
      </c>
      <c r="BJ68">
        <f>IF(COUNTIFS(T_StockCount[RM_Code],$A68,T_StockCount[WeekIndex],61)&gt;0,SUMIFS(T_StockCount[CountedQty],T_StockCount[RM_Code],$A68,T_StockCount[WeekIndex],61),IF((COUNTIFS(T_SelfStock[RM_Code],$A68,T_SelfStock[WeekIndex],61)&gt;0)*(COUNTIFS(T_TTAFStock[RM_Code],$A68,T_TTAFStock[WeekIndex],61)&gt;0)&gt;0,SUMIFS(T_SelfStock[Self_Qty],T_SelfStock[RM_Code],$A68,T_SelfStock[WeekIndex],61)+SUMIFS(T_TTAFStock[TTAF_Qty],T_TTAFStock[RM_Code],$A68,T_TTAFStock[WeekIndex],61),BI68+'Grid_Incoming'!BJ68-'Grid_Requirement'!BJ68))</f>
        <v/>
      </c>
      <c r="BK68">
        <f>IF(COUNTIFS(T_StockCount[RM_Code],$A68,T_StockCount[WeekIndex],62)&gt;0,SUMIFS(T_StockCount[CountedQty],T_StockCount[RM_Code],$A68,T_StockCount[WeekIndex],62),IF((COUNTIFS(T_SelfStock[RM_Code],$A68,T_SelfStock[WeekIndex],62)&gt;0)*(COUNTIFS(T_TTAFStock[RM_Code],$A68,T_TTAFStock[WeekIndex],62)&gt;0)&gt;0,SUMIFS(T_SelfStock[Self_Qty],T_SelfStock[RM_Code],$A68,T_SelfStock[WeekIndex],62)+SUMIFS(T_TTAFStock[TTAF_Qty],T_TTAFStock[RM_Code],$A68,T_TTAFStock[WeekIndex],62),BJ68+'Grid_Incoming'!BK68-'Grid_Requirement'!BK68))</f>
        <v/>
      </c>
      <c r="BL68">
        <f>IF(COUNTIFS(T_StockCount[RM_Code],$A68,T_StockCount[WeekIndex],63)&gt;0,SUMIFS(T_StockCount[CountedQty],T_StockCount[RM_Code],$A68,T_StockCount[WeekIndex],63),IF((COUNTIFS(T_SelfStock[RM_Code],$A68,T_SelfStock[WeekIndex],63)&gt;0)*(COUNTIFS(T_TTAFStock[RM_Code],$A68,T_TTAFStock[WeekIndex],63)&gt;0)&gt;0,SUMIFS(T_SelfStock[Self_Qty],T_SelfStock[RM_Code],$A68,T_SelfStock[WeekIndex],63)+SUMIFS(T_TTAFStock[TTAF_Qty],T_TTAFStock[RM_Code],$A68,T_TTAFStock[WeekIndex],63),BK68+'Grid_Incoming'!BL68-'Grid_Requirement'!BL68))</f>
        <v/>
      </c>
      <c r="BM68">
        <f>IF(COUNTIFS(T_StockCount[RM_Code],$A68,T_StockCount[WeekIndex],64)&gt;0,SUMIFS(T_StockCount[CountedQty],T_StockCount[RM_Code],$A68,T_StockCount[WeekIndex],64),IF((COUNTIFS(T_SelfStock[RM_Code],$A68,T_SelfStock[WeekIndex],64)&gt;0)*(COUNTIFS(T_TTAFStock[RM_Code],$A68,T_TTAFStock[WeekIndex],64)&gt;0)&gt;0,SUMIFS(T_SelfStock[Self_Qty],T_SelfStock[RM_Code],$A68,T_SelfStock[WeekIndex],64)+SUMIFS(T_TTAFStock[TTAF_Qty],T_TTAFStock[RM_Code],$A68,T_TTAFStock[WeekIndex],64),BL68+'Grid_Incoming'!BM68-'Grid_Requirement'!BM68))</f>
        <v/>
      </c>
      <c r="BN68">
        <f>IF(COUNTIFS(T_StockCount[RM_Code],$A68,T_StockCount[WeekIndex],65)&gt;0,SUMIFS(T_StockCount[CountedQty],T_StockCount[RM_Code],$A68,T_StockCount[WeekIndex],65),IF((COUNTIFS(T_SelfStock[RM_Code],$A68,T_SelfStock[WeekIndex],65)&gt;0)*(COUNTIFS(T_TTAFStock[RM_Code],$A68,T_TTAFStock[WeekIndex],65)&gt;0)&gt;0,SUMIFS(T_SelfStock[Self_Qty],T_SelfStock[RM_Code],$A68,T_SelfStock[WeekIndex],65)+SUMIFS(T_TTAFStock[TTAF_Qty],T_TTAFStock[RM_Code],$A68,T_TTAFStock[WeekIndex],65),BM68+'Grid_Incoming'!BN68-'Grid_Requirement'!BN68))</f>
        <v/>
      </c>
      <c r="BO68">
        <f>IF(COUNTIFS(T_StockCount[RM_Code],$A68,T_StockCount[WeekIndex],66)&gt;0,SUMIFS(T_StockCount[CountedQty],T_StockCount[RM_Code],$A68,T_StockCount[WeekIndex],66),IF((COUNTIFS(T_SelfStock[RM_Code],$A68,T_SelfStock[WeekIndex],66)&gt;0)*(COUNTIFS(T_TTAFStock[RM_Code],$A68,T_TTAFStock[WeekIndex],66)&gt;0)&gt;0,SUMIFS(T_SelfStock[Self_Qty],T_SelfStock[RM_Code],$A68,T_SelfStock[WeekIndex],66)+SUMIFS(T_TTAFStock[TTAF_Qty],T_TTAFStock[RM_Code],$A68,T_TTAFStock[WeekIndex],66),BN68+'Grid_Incoming'!BO68-'Grid_Requirement'!BO68))</f>
        <v/>
      </c>
      <c r="BP68">
        <f>IF(COUNTIFS(T_StockCount[RM_Code],$A68,T_StockCount[WeekIndex],67)&gt;0,SUMIFS(T_StockCount[CountedQty],T_StockCount[RM_Code],$A68,T_StockCount[WeekIndex],67),IF((COUNTIFS(T_SelfStock[RM_Code],$A68,T_SelfStock[WeekIndex],67)&gt;0)*(COUNTIFS(T_TTAFStock[RM_Code],$A68,T_TTAFStock[WeekIndex],67)&gt;0)&gt;0,SUMIFS(T_SelfStock[Self_Qty],T_SelfStock[RM_Code],$A68,T_SelfStock[WeekIndex],67)+SUMIFS(T_TTAFStock[TTAF_Qty],T_TTAFStock[RM_Code],$A68,T_TTAFStock[WeekIndex],67),BO68+'Grid_Incoming'!BP68-'Grid_Requirement'!BP68))</f>
        <v/>
      </c>
      <c r="BQ68">
        <f>IF(COUNTIFS(T_StockCount[RM_Code],$A68,T_StockCount[WeekIndex],68)&gt;0,SUMIFS(T_StockCount[CountedQty],T_StockCount[RM_Code],$A68,T_StockCount[WeekIndex],68),IF((COUNTIFS(T_SelfStock[RM_Code],$A68,T_SelfStock[WeekIndex],68)&gt;0)*(COUNTIFS(T_TTAFStock[RM_Code],$A68,T_TTAFStock[WeekIndex],68)&gt;0)&gt;0,SUMIFS(T_SelfStock[Self_Qty],T_SelfStock[RM_Code],$A68,T_SelfStock[WeekIndex],68)+SUMIFS(T_TTAFStock[TTAF_Qty],T_TTAFStock[RM_Code],$A68,T_TTAFStock[WeekIndex],68),BP68+'Grid_Incoming'!BQ68-'Grid_Requirement'!BQ68))</f>
        <v/>
      </c>
      <c r="BR68">
        <f>IF(COUNTIFS(T_StockCount[RM_Code],$A68,T_StockCount[WeekIndex],69)&gt;0,SUMIFS(T_StockCount[CountedQty],T_StockCount[RM_Code],$A68,T_StockCount[WeekIndex],69),IF((COUNTIFS(T_SelfStock[RM_Code],$A68,T_SelfStock[WeekIndex],69)&gt;0)*(COUNTIFS(T_TTAFStock[RM_Code],$A68,T_TTAFStock[WeekIndex],69)&gt;0)&gt;0,SUMIFS(T_SelfStock[Self_Qty],T_SelfStock[RM_Code],$A68,T_SelfStock[WeekIndex],69)+SUMIFS(T_TTAFStock[TTAF_Qty],T_TTAFStock[RM_Code],$A68,T_TTAFStock[WeekIndex],69),BQ68+'Grid_Incoming'!BR68-'Grid_Requirement'!BR68))</f>
        <v/>
      </c>
      <c r="BS68">
        <f>IF(COUNTIFS(T_StockCount[RM_Code],$A68,T_StockCount[WeekIndex],70)&gt;0,SUMIFS(T_StockCount[CountedQty],T_StockCount[RM_Code],$A68,T_StockCount[WeekIndex],70),IF((COUNTIFS(T_SelfStock[RM_Code],$A68,T_SelfStock[WeekIndex],70)&gt;0)*(COUNTIFS(T_TTAFStock[RM_Code],$A68,T_TTAFStock[WeekIndex],70)&gt;0)&gt;0,SUMIFS(T_SelfStock[Self_Qty],T_SelfStock[RM_Code],$A68,T_SelfStock[WeekIndex],70)+SUMIFS(T_TTAFStock[TTAF_Qty],T_TTAFStock[RM_Code],$A68,T_TTAFStock[WeekIndex],70),BR68+'Grid_Incoming'!BS68-'Grid_Requirement'!BS68))</f>
        <v/>
      </c>
      <c r="BT68">
        <f>IF(COUNTIFS(T_StockCount[RM_Code],$A68,T_StockCount[WeekIndex],71)&gt;0,SUMIFS(T_StockCount[CountedQty],T_StockCount[RM_Code],$A68,T_StockCount[WeekIndex],71),IF((COUNTIFS(T_SelfStock[RM_Code],$A68,T_SelfStock[WeekIndex],71)&gt;0)*(COUNTIFS(T_TTAFStock[RM_Code],$A68,T_TTAFStock[WeekIndex],71)&gt;0)&gt;0,SUMIFS(T_SelfStock[Self_Qty],T_SelfStock[RM_Code],$A68,T_SelfStock[WeekIndex],71)+SUMIFS(T_TTAFStock[TTAF_Qty],T_TTAFStock[RM_Code],$A68,T_TTAFStock[WeekIndex],71),BS68+'Grid_Incoming'!BT68-'Grid_Requirement'!BT68))</f>
        <v/>
      </c>
      <c r="BU68">
        <f>IF(COUNTIFS(T_StockCount[RM_Code],$A68,T_StockCount[WeekIndex],72)&gt;0,SUMIFS(T_StockCount[CountedQty],T_StockCount[RM_Code],$A68,T_StockCount[WeekIndex],72),IF((COUNTIFS(T_SelfStock[RM_Code],$A68,T_SelfStock[WeekIndex],72)&gt;0)*(COUNTIFS(T_TTAFStock[RM_Code],$A68,T_TTAFStock[WeekIndex],72)&gt;0)&gt;0,SUMIFS(T_SelfStock[Self_Qty],T_SelfStock[RM_Code],$A68,T_SelfStock[WeekIndex],72)+SUMIFS(T_TTAFStock[TTAF_Qty],T_TTAFStock[RM_Code],$A68,T_TTAFStock[WeekIndex],72),BT68+'Grid_Incoming'!BU68-'Grid_Requirement'!BU68))</f>
        <v/>
      </c>
      <c r="BV68">
        <f>IF(COUNTIFS(T_StockCount[RM_Code],$A68,T_StockCount[WeekIndex],73)&gt;0,SUMIFS(T_StockCount[CountedQty],T_StockCount[RM_Code],$A68,T_StockCount[WeekIndex],73),IF((COUNTIFS(T_SelfStock[RM_Code],$A68,T_SelfStock[WeekIndex],73)&gt;0)*(COUNTIFS(T_TTAFStock[RM_Code],$A68,T_TTAFStock[WeekIndex],73)&gt;0)&gt;0,SUMIFS(T_SelfStock[Self_Qty],T_SelfStock[RM_Code],$A68,T_SelfStock[WeekIndex],73)+SUMIFS(T_TTAFStock[TTAF_Qty],T_TTAFStock[RM_Code],$A68,T_TTAFStock[WeekIndex],73),BU68+'Grid_Incoming'!BV68-'Grid_Requirement'!BV68))</f>
        <v/>
      </c>
      <c r="BW68">
        <f>IF(COUNTIFS(T_StockCount[RM_Code],$A68,T_StockCount[WeekIndex],74)&gt;0,SUMIFS(T_StockCount[CountedQty],T_StockCount[RM_Code],$A68,T_StockCount[WeekIndex],74),IF((COUNTIFS(T_SelfStock[RM_Code],$A68,T_SelfStock[WeekIndex],74)&gt;0)*(COUNTIFS(T_TTAFStock[RM_Code],$A68,T_TTAFStock[WeekIndex],74)&gt;0)&gt;0,SUMIFS(T_SelfStock[Self_Qty],T_SelfStock[RM_Code],$A68,T_SelfStock[WeekIndex],74)+SUMIFS(T_TTAFStock[TTAF_Qty],T_TTAFStock[RM_Code],$A68,T_TTAFStock[WeekIndex],74),BV68+'Grid_Incoming'!BW68-'Grid_Requirement'!BW68))</f>
        <v/>
      </c>
      <c r="BX68">
        <f>IF(COUNTIFS(T_StockCount[RM_Code],$A68,T_StockCount[WeekIndex],75)&gt;0,SUMIFS(T_StockCount[CountedQty],T_StockCount[RM_Code],$A68,T_StockCount[WeekIndex],75),IF((COUNTIFS(T_SelfStock[RM_Code],$A68,T_SelfStock[WeekIndex],75)&gt;0)*(COUNTIFS(T_TTAFStock[RM_Code],$A68,T_TTAFStock[WeekIndex],75)&gt;0)&gt;0,SUMIFS(T_SelfStock[Self_Qty],T_SelfStock[RM_Code],$A68,T_SelfStock[WeekIndex],75)+SUMIFS(T_TTAFStock[TTAF_Qty],T_TTAFStock[RM_Code],$A68,T_TTAFStock[WeekIndex],75),BW68+'Grid_Incoming'!BX68-'Grid_Requirement'!BX68))</f>
        <v/>
      </c>
      <c r="BY68">
        <f>IF(COUNTIFS(T_StockCount[RM_Code],$A68,T_StockCount[WeekIndex],76)&gt;0,SUMIFS(T_StockCount[CountedQty],T_StockCount[RM_Code],$A68,T_StockCount[WeekIndex],76),IF((COUNTIFS(T_SelfStock[RM_Code],$A68,T_SelfStock[WeekIndex],76)&gt;0)*(COUNTIFS(T_TTAFStock[RM_Code],$A68,T_TTAFStock[WeekIndex],76)&gt;0)&gt;0,SUMIFS(T_SelfStock[Self_Qty],T_SelfStock[RM_Code],$A68,T_SelfStock[WeekIndex],76)+SUMIFS(T_TTAFStock[TTAF_Qty],T_TTAFStock[RM_Code],$A68,T_TTAFStock[WeekIndex],76),BX68+'Grid_Incoming'!BY68-'Grid_Requirement'!BY68))</f>
        <v/>
      </c>
      <c r="BZ68">
        <f>IF(COUNTIFS(T_StockCount[RM_Code],$A68,T_StockCount[WeekIndex],77)&gt;0,SUMIFS(T_StockCount[CountedQty],T_StockCount[RM_Code],$A68,T_StockCount[WeekIndex],77),IF((COUNTIFS(T_SelfStock[RM_Code],$A68,T_SelfStock[WeekIndex],77)&gt;0)*(COUNTIFS(T_TTAFStock[RM_Code],$A68,T_TTAFStock[WeekIndex],77)&gt;0)&gt;0,SUMIFS(T_SelfStock[Self_Qty],T_SelfStock[RM_Code],$A68,T_SelfStock[WeekIndex],77)+SUMIFS(T_TTAFStock[TTAF_Qty],T_TTAFStock[RM_Code],$A68,T_TTAFStock[WeekIndex],77),BY68+'Grid_Incoming'!BZ68-'Grid_Requirement'!BZ68))</f>
        <v/>
      </c>
      <c r="CA68">
        <f>IF(COUNTIFS(T_StockCount[RM_Code],$A68,T_StockCount[WeekIndex],78)&gt;0,SUMIFS(T_StockCount[CountedQty],T_StockCount[RM_Code],$A68,T_StockCount[WeekIndex],78),IF((COUNTIFS(T_SelfStock[RM_Code],$A68,T_SelfStock[WeekIndex],78)&gt;0)*(COUNTIFS(T_TTAFStock[RM_Code],$A68,T_TTAFStock[WeekIndex],78)&gt;0)&gt;0,SUMIFS(T_SelfStock[Self_Qty],T_SelfStock[RM_Code],$A68,T_SelfStock[WeekIndex],78)+SUMIFS(T_TTAFStock[TTAF_Qty],T_TTAFStock[RM_Code],$A68,T_TTAFStock[WeekIndex],78),BZ68+'Grid_Incoming'!CA68-'Grid_Requirement'!CA68))</f>
        <v/>
      </c>
      <c r="CB68">
        <f>IF(COUNTIFS(T_StockCount[RM_Code],$A68,T_StockCount[WeekIndex],79)&gt;0,SUMIFS(T_StockCount[CountedQty],T_StockCount[RM_Code],$A68,T_StockCount[WeekIndex],79),IF((COUNTIFS(T_SelfStock[RM_Code],$A68,T_SelfStock[WeekIndex],79)&gt;0)*(COUNTIFS(T_TTAFStock[RM_Code],$A68,T_TTAFStock[WeekIndex],79)&gt;0)&gt;0,SUMIFS(T_SelfStock[Self_Qty],T_SelfStock[RM_Code],$A68,T_SelfStock[WeekIndex],79)+SUMIFS(T_TTAFStock[TTAF_Qty],T_TTAFStock[RM_Code],$A68,T_TTAFStock[WeekIndex],79),CA68+'Grid_Incoming'!CB68-'Grid_Requirement'!CB68))</f>
        <v/>
      </c>
      <c r="CC68">
        <f>IF(COUNTIFS(T_StockCount[RM_Code],$A68,T_StockCount[WeekIndex],80)&gt;0,SUMIFS(T_StockCount[CountedQty],T_StockCount[RM_Code],$A68,T_StockCount[WeekIndex],80),IF((COUNTIFS(T_SelfStock[RM_Code],$A68,T_SelfStock[WeekIndex],80)&gt;0)*(COUNTIFS(T_TTAFStock[RM_Code],$A68,T_TTAFStock[WeekIndex],80)&gt;0)&gt;0,SUMIFS(T_SelfStock[Self_Qty],T_SelfStock[RM_Code],$A68,T_SelfStock[WeekIndex],80)+SUMIFS(T_TTAFStock[TTAF_Qty],T_TTAFStock[RM_Code],$A68,T_TTAFStock[WeekIndex],80),CB68+'Grid_Incoming'!CC68-'Grid_Requirement'!CC68))</f>
        <v/>
      </c>
      <c r="CD68">
        <f>IF(COUNTIFS(T_StockCount[RM_Code],$A68,T_StockCount[WeekIndex],81)&gt;0,SUMIFS(T_StockCount[CountedQty],T_StockCount[RM_Code],$A68,T_StockCount[WeekIndex],81),IF((COUNTIFS(T_SelfStock[RM_Code],$A68,T_SelfStock[WeekIndex],81)&gt;0)*(COUNTIFS(T_TTAFStock[RM_Code],$A68,T_TTAFStock[WeekIndex],81)&gt;0)&gt;0,SUMIFS(T_SelfStock[Self_Qty],T_SelfStock[RM_Code],$A68,T_SelfStock[WeekIndex],81)+SUMIFS(T_TTAFStock[TTAF_Qty],T_TTAFStock[RM_Code],$A68,T_TTAFStock[WeekIndex],81),CC68+'Grid_Incoming'!CD68-'Grid_Requirement'!CD68))</f>
        <v/>
      </c>
      <c r="CE68">
        <f>IF(COUNTIFS(T_StockCount[RM_Code],$A68,T_StockCount[WeekIndex],82)&gt;0,SUMIFS(T_StockCount[CountedQty],T_StockCount[RM_Code],$A68,T_StockCount[WeekIndex],82),IF((COUNTIFS(T_SelfStock[RM_Code],$A68,T_SelfStock[WeekIndex],82)&gt;0)*(COUNTIFS(T_TTAFStock[RM_Code],$A68,T_TTAFStock[WeekIndex],82)&gt;0)&gt;0,SUMIFS(T_SelfStock[Self_Qty],T_SelfStock[RM_Code],$A68,T_SelfStock[WeekIndex],82)+SUMIFS(T_TTAFStock[TTAF_Qty],T_TTAFStock[RM_Code],$A68,T_TTAFStock[WeekIndex],82),CD68+'Grid_Incoming'!CE68-'Grid_Requirement'!CE68))</f>
        <v/>
      </c>
      <c r="CF68">
        <f>IF(COUNTIFS(T_StockCount[RM_Code],$A68,T_StockCount[WeekIndex],83)&gt;0,SUMIFS(T_StockCount[CountedQty],T_StockCount[RM_Code],$A68,T_StockCount[WeekIndex],83),IF((COUNTIFS(T_SelfStock[RM_Code],$A68,T_SelfStock[WeekIndex],83)&gt;0)*(COUNTIFS(T_TTAFStock[RM_Code],$A68,T_TTAFStock[WeekIndex],83)&gt;0)&gt;0,SUMIFS(T_SelfStock[Self_Qty],T_SelfStock[RM_Code],$A68,T_SelfStock[WeekIndex],83)+SUMIFS(T_TTAFStock[TTAF_Qty],T_TTAFStock[RM_Code],$A68,T_TTAFStock[WeekIndex],83),CE68+'Grid_Incoming'!CF68-'Grid_Requirement'!CF68))</f>
        <v/>
      </c>
      <c r="CG68">
        <f>IF(COUNTIFS(T_StockCount[RM_Code],$A68,T_StockCount[WeekIndex],84)&gt;0,SUMIFS(T_StockCount[CountedQty],T_StockCount[RM_Code],$A68,T_StockCount[WeekIndex],84),IF((COUNTIFS(T_SelfStock[RM_Code],$A68,T_SelfStock[WeekIndex],84)&gt;0)*(COUNTIFS(T_TTAFStock[RM_Code],$A68,T_TTAFStock[WeekIndex],84)&gt;0)&gt;0,SUMIFS(T_SelfStock[Self_Qty],T_SelfStock[RM_Code],$A68,T_SelfStock[WeekIndex],84)+SUMIFS(T_TTAFStock[TTAF_Qty],T_TTAFStock[RM_Code],$A68,T_TTAFStock[WeekIndex],84),CF68+'Grid_Incoming'!CG68-'Grid_Requirement'!CG68))</f>
        <v/>
      </c>
      <c r="CH68">
        <f>IF(COUNTIFS(T_StockCount[RM_Code],$A68,T_StockCount[WeekIndex],85)&gt;0,SUMIFS(T_StockCount[CountedQty],T_StockCount[RM_Code],$A68,T_StockCount[WeekIndex],85),IF((COUNTIFS(T_SelfStock[RM_Code],$A68,T_SelfStock[WeekIndex],85)&gt;0)*(COUNTIFS(T_TTAFStock[RM_Code],$A68,T_TTAFStock[WeekIndex],85)&gt;0)&gt;0,SUMIFS(T_SelfStock[Self_Qty],T_SelfStock[RM_Code],$A68,T_SelfStock[WeekIndex],85)+SUMIFS(T_TTAFStock[TTAF_Qty],T_TTAFStock[RM_Code],$A68,T_TTAFStock[WeekIndex],85),CG68+'Grid_Incoming'!CH68-'Grid_Requirement'!CH68))</f>
        <v/>
      </c>
      <c r="CI68">
        <f>IF(COUNTIFS(T_StockCount[RM_Code],$A68,T_StockCount[WeekIndex],86)&gt;0,SUMIFS(T_StockCount[CountedQty],T_StockCount[RM_Code],$A68,T_StockCount[WeekIndex],86),IF((COUNTIFS(T_SelfStock[RM_Code],$A68,T_SelfStock[WeekIndex],86)&gt;0)*(COUNTIFS(T_TTAFStock[RM_Code],$A68,T_TTAFStock[WeekIndex],86)&gt;0)&gt;0,SUMIFS(T_SelfStock[Self_Qty],T_SelfStock[RM_Code],$A68,T_SelfStock[WeekIndex],86)+SUMIFS(T_TTAFStock[TTAF_Qty],T_TTAFStock[RM_Code],$A68,T_TTAFStock[WeekIndex],86),CH68+'Grid_Incoming'!CI68-'Grid_Requirement'!CI68))</f>
        <v/>
      </c>
      <c r="CJ68">
        <f>IF(COUNTIFS(T_StockCount[RM_Code],$A68,T_StockCount[WeekIndex],87)&gt;0,SUMIFS(T_StockCount[CountedQty],T_StockCount[RM_Code],$A68,T_StockCount[WeekIndex],87),IF((COUNTIFS(T_SelfStock[RM_Code],$A68,T_SelfStock[WeekIndex],87)&gt;0)*(COUNTIFS(T_TTAFStock[RM_Code],$A68,T_TTAFStock[WeekIndex],87)&gt;0)&gt;0,SUMIFS(T_SelfStock[Self_Qty],T_SelfStock[RM_Code],$A68,T_SelfStock[WeekIndex],87)+SUMIFS(T_TTAFStock[TTAF_Qty],T_TTAFStock[RM_Code],$A68,T_TTAFStock[WeekIndex],87),CI68+'Grid_Incoming'!CJ68-'Grid_Requirement'!CJ68))</f>
        <v/>
      </c>
      <c r="CK68">
        <f>IF(COUNTIFS(T_StockCount[RM_Code],$A68,T_StockCount[WeekIndex],88)&gt;0,SUMIFS(T_StockCount[CountedQty],T_StockCount[RM_Code],$A68,T_StockCount[WeekIndex],88),IF((COUNTIFS(T_SelfStock[RM_Code],$A68,T_SelfStock[WeekIndex],88)&gt;0)*(COUNTIFS(T_TTAFStock[RM_Code],$A68,T_TTAFStock[WeekIndex],88)&gt;0)&gt;0,SUMIFS(T_SelfStock[Self_Qty],T_SelfStock[RM_Code],$A68,T_SelfStock[WeekIndex],88)+SUMIFS(T_TTAFStock[TTAF_Qty],T_TTAFStock[RM_Code],$A68,T_TTAFStock[WeekIndex],88),CJ68+'Grid_Incoming'!CK68-'Grid_Requirement'!CK68))</f>
        <v/>
      </c>
      <c r="CL68">
        <f>IF(COUNTIFS(T_StockCount[RM_Code],$A68,T_StockCount[WeekIndex],89)&gt;0,SUMIFS(T_StockCount[CountedQty],T_StockCount[RM_Code],$A68,T_StockCount[WeekIndex],89),IF((COUNTIFS(T_SelfStock[RM_Code],$A68,T_SelfStock[WeekIndex],89)&gt;0)*(COUNTIFS(T_TTAFStock[RM_Code],$A68,T_TTAFStock[WeekIndex],89)&gt;0)&gt;0,SUMIFS(T_SelfStock[Self_Qty],T_SelfStock[RM_Code],$A68,T_SelfStock[WeekIndex],89)+SUMIFS(T_TTAFStock[TTAF_Qty],T_TTAFStock[RM_Code],$A68,T_TTAFStock[WeekIndex],89),CK68+'Grid_Incoming'!CL68-'Grid_Requirement'!CL68))</f>
        <v/>
      </c>
      <c r="CM68">
        <f>IF(COUNTIFS(T_StockCount[RM_Code],$A68,T_StockCount[WeekIndex],90)&gt;0,SUMIFS(T_StockCount[CountedQty],T_StockCount[RM_Code],$A68,T_StockCount[WeekIndex],90),IF((COUNTIFS(T_SelfStock[RM_Code],$A68,T_SelfStock[WeekIndex],90)&gt;0)*(COUNTIFS(T_TTAFStock[RM_Code],$A68,T_TTAFStock[WeekIndex],90)&gt;0)&gt;0,SUMIFS(T_SelfStock[Self_Qty],T_SelfStock[RM_Code],$A68,T_SelfStock[WeekIndex],90)+SUMIFS(T_TTAFStock[TTAF_Qty],T_TTAFStock[RM_Code],$A68,T_TTAFStock[WeekIndex],90),CL68+'Grid_Incoming'!CM68-'Grid_Requirement'!CM68))</f>
        <v/>
      </c>
      <c r="CN68">
        <f>IF(COUNTIFS(T_StockCount[RM_Code],$A68,T_StockCount[WeekIndex],91)&gt;0,SUMIFS(T_StockCount[CountedQty],T_StockCount[RM_Code],$A68,T_StockCount[WeekIndex],91),IF((COUNTIFS(T_SelfStock[RM_Code],$A68,T_SelfStock[WeekIndex],91)&gt;0)*(COUNTIFS(T_TTAFStock[RM_Code],$A68,T_TTAFStock[WeekIndex],91)&gt;0)&gt;0,SUMIFS(T_SelfStock[Self_Qty],T_SelfStock[RM_Code],$A68,T_SelfStock[WeekIndex],91)+SUMIFS(T_TTAFStock[TTAF_Qty],T_TTAFStock[RM_Code],$A68,T_TTAFStock[WeekIndex],91),CM68+'Grid_Incoming'!CN68-'Grid_Requirement'!CN68))</f>
        <v/>
      </c>
      <c r="CO68">
        <f>IF(COUNTIFS(T_StockCount[RM_Code],$A68,T_StockCount[WeekIndex],92)&gt;0,SUMIFS(T_StockCount[CountedQty],T_StockCount[RM_Code],$A68,T_StockCount[WeekIndex],92),IF((COUNTIFS(T_SelfStock[RM_Code],$A68,T_SelfStock[WeekIndex],92)&gt;0)*(COUNTIFS(T_TTAFStock[RM_Code],$A68,T_TTAFStock[WeekIndex],92)&gt;0)&gt;0,SUMIFS(T_SelfStock[Self_Qty],T_SelfStock[RM_Code],$A68,T_SelfStock[WeekIndex],92)+SUMIFS(T_TTAFStock[TTAF_Qty],T_TTAFStock[RM_Code],$A68,T_TTAFStock[WeekIndex],92),CN68+'Grid_Incoming'!CO68-'Grid_Requirement'!CO68))</f>
        <v/>
      </c>
      <c r="CP68">
        <f>IF(COUNTIFS(T_StockCount[RM_Code],$A68,T_StockCount[WeekIndex],93)&gt;0,SUMIFS(T_StockCount[CountedQty],T_StockCount[RM_Code],$A68,T_StockCount[WeekIndex],93),IF((COUNTIFS(T_SelfStock[RM_Code],$A68,T_SelfStock[WeekIndex],93)&gt;0)*(COUNTIFS(T_TTAFStock[RM_Code],$A68,T_TTAFStock[WeekIndex],93)&gt;0)&gt;0,SUMIFS(T_SelfStock[Self_Qty],T_SelfStock[RM_Code],$A68,T_SelfStock[WeekIndex],93)+SUMIFS(T_TTAFStock[TTAF_Qty],T_TTAFStock[RM_Code],$A68,T_TTAFStock[WeekIndex],93),CO68+'Grid_Incoming'!CP68-'Grid_Requirement'!CP68))</f>
        <v/>
      </c>
      <c r="CQ68">
        <f>IF(COUNTIFS(T_StockCount[RM_Code],$A68,T_StockCount[WeekIndex],94)&gt;0,SUMIFS(T_StockCount[CountedQty],T_StockCount[RM_Code],$A68,T_StockCount[WeekIndex],94),IF((COUNTIFS(T_SelfStock[RM_Code],$A68,T_SelfStock[WeekIndex],94)&gt;0)*(COUNTIFS(T_TTAFStock[RM_Code],$A68,T_TTAFStock[WeekIndex],94)&gt;0)&gt;0,SUMIFS(T_SelfStock[Self_Qty],T_SelfStock[RM_Code],$A68,T_SelfStock[WeekIndex],94)+SUMIFS(T_TTAFStock[TTAF_Qty],T_TTAFStock[RM_Code],$A68,T_TTAFStock[WeekIndex],94),CP68+'Grid_Incoming'!CQ68-'Grid_Requirement'!CQ68))</f>
        <v/>
      </c>
      <c r="CR68">
        <f>IF(COUNTIFS(T_StockCount[RM_Code],$A68,T_StockCount[WeekIndex],95)&gt;0,SUMIFS(T_StockCount[CountedQty],T_StockCount[RM_Code],$A68,T_StockCount[WeekIndex],95),IF((COUNTIFS(T_SelfStock[RM_Code],$A68,T_SelfStock[WeekIndex],95)&gt;0)*(COUNTIFS(T_TTAFStock[RM_Code],$A68,T_TTAFStock[WeekIndex],95)&gt;0)&gt;0,SUMIFS(T_SelfStock[Self_Qty],T_SelfStock[RM_Code],$A68,T_SelfStock[WeekIndex],95)+SUMIFS(T_TTAFStock[TTAF_Qty],T_TTAFStock[RM_Code],$A68,T_TTAFStock[WeekIndex],95),CQ68+'Grid_Incoming'!CR68-'Grid_Requirement'!CR68))</f>
        <v/>
      </c>
      <c r="CS68">
        <f>IF(COUNTIFS(T_StockCount[RM_Code],$A68,T_StockCount[WeekIndex],96)&gt;0,SUMIFS(T_StockCount[CountedQty],T_StockCount[RM_Code],$A68,T_StockCount[WeekIndex],96),IF((COUNTIFS(T_SelfStock[RM_Code],$A68,T_SelfStock[WeekIndex],96)&gt;0)*(COUNTIFS(T_TTAFStock[RM_Code],$A68,T_TTAFStock[WeekIndex],96)&gt;0)&gt;0,SUMIFS(T_SelfStock[Self_Qty],T_SelfStock[RM_Code],$A68,T_SelfStock[WeekIndex],96)+SUMIFS(T_TTAFStock[TTAF_Qty],T_TTAFStock[RM_Code],$A68,T_TTAFStock[WeekIndex],96),CR68+'Grid_Incoming'!CS68-'Grid_Requirement'!CS68))</f>
        <v/>
      </c>
      <c r="CT68">
        <f>IF(COUNTIFS(T_StockCount[RM_Code],$A68,T_StockCount[WeekIndex],97)&gt;0,SUMIFS(T_StockCount[CountedQty],T_StockCount[RM_Code],$A68,T_StockCount[WeekIndex],97),IF((COUNTIFS(T_SelfStock[RM_Code],$A68,T_SelfStock[WeekIndex],97)&gt;0)*(COUNTIFS(T_TTAFStock[RM_Code],$A68,T_TTAFStock[WeekIndex],97)&gt;0)&gt;0,SUMIFS(T_SelfStock[Self_Qty],T_SelfStock[RM_Code],$A68,T_SelfStock[WeekIndex],97)+SUMIFS(T_TTAFStock[TTAF_Qty],T_TTAFStock[RM_Code],$A68,T_TTAFStock[WeekIndex],97),CS68+'Grid_Incoming'!CT68-'Grid_Requirement'!CT68))</f>
        <v/>
      </c>
      <c r="CU68">
        <f>IF(COUNTIFS(T_StockCount[RM_Code],$A68,T_StockCount[WeekIndex],98)&gt;0,SUMIFS(T_StockCount[CountedQty],T_StockCount[RM_Code],$A68,T_StockCount[WeekIndex],98),IF((COUNTIFS(T_SelfStock[RM_Code],$A68,T_SelfStock[WeekIndex],98)&gt;0)*(COUNTIFS(T_TTAFStock[RM_Code],$A68,T_TTAFStock[WeekIndex],98)&gt;0)&gt;0,SUMIFS(T_SelfStock[Self_Qty],T_SelfStock[RM_Code],$A68,T_SelfStock[WeekIndex],98)+SUMIFS(T_TTAFStock[TTAF_Qty],T_TTAFStock[RM_Code],$A68,T_TTAFStock[WeekIndex],98),CT68+'Grid_Incoming'!CU68-'Grid_Requirement'!CU68))</f>
        <v/>
      </c>
      <c r="CV68">
        <f>IF(COUNTIFS(T_StockCount[RM_Code],$A68,T_StockCount[WeekIndex],99)&gt;0,SUMIFS(T_StockCount[CountedQty],T_StockCount[RM_Code],$A68,T_StockCount[WeekIndex],99),IF((COUNTIFS(T_SelfStock[RM_Code],$A68,T_SelfStock[WeekIndex],99)&gt;0)*(COUNTIFS(T_TTAFStock[RM_Code],$A68,T_TTAFStock[WeekIndex],99)&gt;0)&gt;0,SUMIFS(T_SelfStock[Self_Qty],T_SelfStock[RM_Code],$A68,T_SelfStock[WeekIndex],99)+SUMIFS(T_TTAFStock[TTAF_Qty],T_TTAFStock[RM_Code],$A68,T_TTAFStock[WeekIndex],99),CU68+'Grid_Incoming'!CV68-'Grid_Requirement'!CV68))</f>
        <v/>
      </c>
      <c r="CW68">
        <f>IF(COUNTIFS(T_StockCount[RM_Code],$A68,T_StockCount[WeekIndex],100)&gt;0,SUMIFS(T_StockCount[CountedQty],T_StockCount[RM_Code],$A68,T_StockCount[WeekIndex],100),IF((COUNTIFS(T_SelfStock[RM_Code],$A68,T_SelfStock[WeekIndex],100)&gt;0)*(COUNTIFS(T_TTAFStock[RM_Code],$A68,T_TTAFStock[WeekIndex],100)&gt;0)&gt;0,SUMIFS(T_SelfStock[Self_Qty],T_SelfStock[RM_Code],$A68,T_SelfStock[WeekIndex],100)+SUMIFS(T_TTAFStock[TTAF_Qty],T_TTAFStock[RM_Code],$A68,T_TTAFStock[WeekIndex],100),CV68+'Grid_Incoming'!CW68-'Grid_Requirement'!CW68))</f>
        <v/>
      </c>
      <c r="CX68">
        <f>IF(COUNTIFS(T_StockCount[RM_Code],$A68,T_StockCount[WeekIndex],101)&gt;0,SUMIFS(T_StockCount[CountedQty],T_StockCount[RM_Code],$A68,T_StockCount[WeekIndex],101),IF((COUNTIFS(T_SelfStock[RM_Code],$A68,T_SelfStock[WeekIndex],101)&gt;0)*(COUNTIFS(T_TTAFStock[RM_Code],$A68,T_TTAFStock[WeekIndex],101)&gt;0)&gt;0,SUMIFS(T_SelfStock[Self_Qty],T_SelfStock[RM_Code],$A68,T_SelfStock[WeekIndex],101)+SUMIFS(T_TTAFStock[TTAF_Qty],T_TTAFStock[RM_Code],$A68,T_TTAFStock[WeekIndex],101),CW68+'Grid_Incoming'!CX68-'Grid_Requirement'!CX68))</f>
        <v/>
      </c>
      <c r="CY68">
        <f>IF(COUNTIFS(T_StockCount[RM_Code],$A68,T_StockCount[WeekIndex],102)&gt;0,SUMIFS(T_StockCount[CountedQty],T_StockCount[RM_Code],$A68,T_StockCount[WeekIndex],102),IF((COUNTIFS(T_SelfStock[RM_Code],$A68,T_SelfStock[WeekIndex],102)&gt;0)*(COUNTIFS(T_TTAFStock[RM_Code],$A68,T_TTAFStock[WeekIndex],102)&gt;0)&gt;0,SUMIFS(T_SelfStock[Self_Qty],T_SelfStock[RM_Code],$A68,T_SelfStock[WeekIndex],102)+SUMIFS(T_TTAFStock[TTAF_Qty],T_TTAFStock[RM_Code],$A68,T_TTAFStock[WeekIndex],102),CX68+'Grid_Incoming'!CY68-'Grid_Requirement'!CY68))</f>
        <v/>
      </c>
      <c r="CZ68">
        <f>IF(COUNTIFS(T_StockCount[RM_Code],$A68,T_StockCount[WeekIndex],103)&gt;0,SUMIFS(T_StockCount[CountedQty],T_StockCount[RM_Code],$A68,T_StockCount[WeekIndex],103),IF((COUNTIFS(T_SelfStock[RM_Code],$A68,T_SelfStock[WeekIndex],103)&gt;0)*(COUNTIFS(T_TTAFStock[RM_Code],$A68,T_TTAFStock[WeekIndex],103)&gt;0)&gt;0,SUMIFS(T_SelfStock[Self_Qty],T_SelfStock[RM_Code],$A68,T_SelfStock[WeekIndex],103)+SUMIFS(T_TTAFStock[TTAF_Qty],T_TTAFStock[RM_Code],$A68,T_TTAFStock[WeekIndex],103),CY68+'Grid_Incoming'!CZ68-'Grid_Requirement'!CZ68))</f>
        <v/>
      </c>
      <c r="DA68">
        <f>IF(COUNTIFS(T_StockCount[RM_Code],$A68,T_StockCount[WeekIndex],104)&gt;0,SUMIFS(T_StockCount[CountedQty],T_StockCount[RM_Code],$A68,T_StockCount[WeekIndex],104),IF((COUNTIFS(T_SelfStock[RM_Code],$A68,T_SelfStock[WeekIndex],104)&gt;0)*(COUNTIFS(T_TTAFStock[RM_Code],$A68,T_TTAFStock[WeekIndex],104)&gt;0)&gt;0,SUMIFS(T_SelfStock[Self_Qty],T_SelfStock[RM_Code],$A68,T_SelfStock[WeekIndex],104)+SUMIFS(T_TTAFStock[TTAF_Qty],T_TTAFStock[RM_Code],$A68,T_TTAFStock[WeekIndex],104),CZ68+'Grid_Incoming'!DA68-'Grid_Requirement'!DA68))</f>
        <v/>
      </c>
    </row>
    <row r="69">
      <c r="A69" t="inlineStr">
        <is>
          <t>CHEM-1740</t>
        </is>
      </c>
      <c r="B69">
        <f>IF(COUNTIFS(T_StockCount[RM_Code],$A69,T_StockCount[WeekIndex],1)&gt;0,SUMIFS(T_StockCount[CountedQty],T_StockCount[RM_Code],$A69,T_StockCount[WeekIndex],1),IF((COUNTIFS(T_SelfStock[RM_Code],$A69,T_SelfStock[WeekIndex],1)&gt;0)*(COUNTIFS(T_TTAFStock[RM_Code],$A69,T_TTAFStock[WeekIndex],1)&gt;0)&gt;0,SUMIFS(T_SelfStock[Self_Qty],T_SelfStock[RM_Code],$A69,T_SelfStock[WeekIndex],1)+SUMIFS(T_TTAFStock[TTAF_Qty],T_TTAFStock[RM_Code],$A69,T_TTAFStock[WeekIndex],1),IFERROR(INDEX(T_OpeningStock[Opening_Qty],MATCH($A69,T_OpeningStock[RM_Code],0)),0)+'Grid_Incoming'!B69-'Grid_Requirement'!B69))</f>
        <v/>
      </c>
      <c r="C69">
        <f>IF(COUNTIFS(T_StockCount[RM_Code],$A69,T_StockCount[WeekIndex],2)&gt;0,SUMIFS(T_StockCount[CountedQty],T_StockCount[RM_Code],$A69,T_StockCount[WeekIndex],2),IF((COUNTIFS(T_SelfStock[RM_Code],$A69,T_SelfStock[WeekIndex],2)&gt;0)*(COUNTIFS(T_TTAFStock[RM_Code],$A69,T_TTAFStock[WeekIndex],2)&gt;0)&gt;0,SUMIFS(T_SelfStock[Self_Qty],T_SelfStock[RM_Code],$A69,T_SelfStock[WeekIndex],2)+SUMIFS(T_TTAFStock[TTAF_Qty],T_TTAFStock[RM_Code],$A69,T_TTAFStock[WeekIndex],2),B69+'Grid_Incoming'!C69-'Grid_Requirement'!C69))</f>
        <v/>
      </c>
      <c r="D69">
        <f>IF(COUNTIFS(T_StockCount[RM_Code],$A69,T_StockCount[WeekIndex],3)&gt;0,SUMIFS(T_StockCount[CountedQty],T_StockCount[RM_Code],$A69,T_StockCount[WeekIndex],3),IF((COUNTIFS(T_SelfStock[RM_Code],$A69,T_SelfStock[WeekIndex],3)&gt;0)*(COUNTIFS(T_TTAFStock[RM_Code],$A69,T_TTAFStock[WeekIndex],3)&gt;0)&gt;0,SUMIFS(T_SelfStock[Self_Qty],T_SelfStock[RM_Code],$A69,T_SelfStock[WeekIndex],3)+SUMIFS(T_TTAFStock[TTAF_Qty],T_TTAFStock[RM_Code],$A69,T_TTAFStock[WeekIndex],3),C69+'Grid_Incoming'!D69-'Grid_Requirement'!D69))</f>
        <v/>
      </c>
      <c r="E69">
        <f>IF(COUNTIFS(T_StockCount[RM_Code],$A69,T_StockCount[WeekIndex],4)&gt;0,SUMIFS(T_StockCount[CountedQty],T_StockCount[RM_Code],$A69,T_StockCount[WeekIndex],4),IF((COUNTIFS(T_SelfStock[RM_Code],$A69,T_SelfStock[WeekIndex],4)&gt;0)*(COUNTIFS(T_TTAFStock[RM_Code],$A69,T_TTAFStock[WeekIndex],4)&gt;0)&gt;0,SUMIFS(T_SelfStock[Self_Qty],T_SelfStock[RM_Code],$A69,T_SelfStock[WeekIndex],4)+SUMIFS(T_TTAFStock[TTAF_Qty],T_TTAFStock[RM_Code],$A69,T_TTAFStock[WeekIndex],4),D69+'Grid_Incoming'!E69-'Grid_Requirement'!E69))</f>
        <v/>
      </c>
      <c r="F69">
        <f>IF(COUNTIFS(T_StockCount[RM_Code],$A69,T_StockCount[WeekIndex],5)&gt;0,SUMIFS(T_StockCount[CountedQty],T_StockCount[RM_Code],$A69,T_StockCount[WeekIndex],5),IF((COUNTIFS(T_SelfStock[RM_Code],$A69,T_SelfStock[WeekIndex],5)&gt;0)*(COUNTIFS(T_TTAFStock[RM_Code],$A69,T_TTAFStock[WeekIndex],5)&gt;0)&gt;0,SUMIFS(T_SelfStock[Self_Qty],T_SelfStock[RM_Code],$A69,T_SelfStock[WeekIndex],5)+SUMIFS(T_TTAFStock[TTAF_Qty],T_TTAFStock[RM_Code],$A69,T_TTAFStock[WeekIndex],5),E69+'Grid_Incoming'!F69-'Grid_Requirement'!F69))</f>
        <v/>
      </c>
      <c r="G69">
        <f>IF(COUNTIFS(T_StockCount[RM_Code],$A69,T_StockCount[WeekIndex],6)&gt;0,SUMIFS(T_StockCount[CountedQty],T_StockCount[RM_Code],$A69,T_StockCount[WeekIndex],6),IF((COUNTIFS(T_SelfStock[RM_Code],$A69,T_SelfStock[WeekIndex],6)&gt;0)*(COUNTIFS(T_TTAFStock[RM_Code],$A69,T_TTAFStock[WeekIndex],6)&gt;0)&gt;0,SUMIFS(T_SelfStock[Self_Qty],T_SelfStock[RM_Code],$A69,T_SelfStock[WeekIndex],6)+SUMIFS(T_TTAFStock[TTAF_Qty],T_TTAFStock[RM_Code],$A69,T_TTAFStock[WeekIndex],6),F69+'Grid_Incoming'!G69-'Grid_Requirement'!G69))</f>
        <v/>
      </c>
      <c r="H69">
        <f>IF(COUNTIFS(T_StockCount[RM_Code],$A69,T_StockCount[WeekIndex],7)&gt;0,SUMIFS(T_StockCount[CountedQty],T_StockCount[RM_Code],$A69,T_StockCount[WeekIndex],7),IF((COUNTIFS(T_SelfStock[RM_Code],$A69,T_SelfStock[WeekIndex],7)&gt;0)*(COUNTIFS(T_TTAFStock[RM_Code],$A69,T_TTAFStock[WeekIndex],7)&gt;0)&gt;0,SUMIFS(T_SelfStock[Self_Qty],T_SelfStock[RM_Code],$A69,T_SelfStock[WeekIndex],7)+SUMIFS(T_TTAFStock[TTAF_Qty],T_TTAFStock[RM_Code],$A69,T_TTAFStock[WeekIndex],7),G69+'Grid_Incoming'!H69-'Grid_Requirement'!H69))</f>
        <v/>
      </c>
      <c r="I69">
        <f>IF(COUNTIFS(T_StockCount[RM_Code],$A69,T_StockCount[WeekIndex],8)&gt;0,SUMIFS(T_StockCount[CountedQty],T_StockCount[RM_Code],$A69,T_StockCount[WeekIndex],8),IF((COUNTIFS(T_SelfStock[RM_Code],$A69,T_SelfStock[WeekIndex],8)&gt;0)*(COUNTIFS(T_TTAFStock[RM_Code],$A69,T_TTAFStock[WeekIndex],8)&gt;0)&gt;0,SUMIFS(T_SelfStock[Self_Qty],T_SelfStock[RM_Code],$A69,T_SelfStock[WeekIndex],8)+SUMIFS(T_TTAFStock[TTAF_Qty],T_TTAFStock[RM_Code],$A69,T_TTAFStock[WeekIndex],8),H69+'Grid_Incoming'!I69-'Grid_Requirement'!I69))</f>
        <v/>
      </c>
      <c r="J69">
        <f>IF(COUNTIFS(T_StockCount[RM_Code],$A69,T_StockCount[WeekIndex],9)&gt;0,SUMIFS(T_StockCount[CountedQty],T_StockCount[RM_Code],$A69,T_StockCount[WeekIndex],9),IF((COUNTIFS(T_SelfStock[RM_Code],$A69,T_SelfStock[WeekIndex],9)&gt;0)*(COUNTIFS(T_TTAFStock[RM_Code],$A69,T_TTAFStock[WeekIndex],9)&gt;0)&gt;0,SUMIFS(T_SelfStock[Self_Qty],T_SelfStock[RM_Code],$A69,T_SelfStock[WeekIndex],9)+SUMIFS(T_TTAFStock[TTAF_Qty],T_TTAFStock[RM_Code],$A69,T_TTAFStock[WeekIndex],9),I69+'Grid_Incoming'!J69-'Grid_Requirement'!J69))</f>
        <v/>
      </c>
      <c r="K69">
        <f>IF(COUNTIFS(T_StockCount[RM_Code],$A69,T_StockCount[WeekIndex],10)&gt;0,SUMIFS(T_StockCount[CountedQty],T_StockCount[RM_Code],$A69,T_StockCount[WeekIndex],10),IF((COUNTIFS(T_SelfStock[RM_Code],$A69,T_SelfStock[WeekIndex],10)&gt;0)*(COUNTIFS(T_TTAFStock[RM_Code],$A69,T_TTAFStock[WeekIndex],10)&gt;0)&gt;0,SUMIFS(T_SelfStock[Self_Qty],T_SelfStock[RM_Code],$A69,T_SelfStock[WeekIndex],10)+SUMIFS(T_TTAFStock[TTAF_Qty],T_TTAFStock[RM_Code],$A69,T_TTAFStock[WeekIndex],10),J69+'Grid_Incoming'!K69-'Grid_Requirement'!K69))</f>
        <v/>
      </c>
      <c r="L69">
        <f>IF(COUNTIFS(T_StockCount[RM_Code],$A69,T_StockCount[WeekIndex],11)&gt;0,SUMIFS(T_StockCount[CountedQty],T_StockCount[RM_Code],$A69,T_StockCount[WeekIndex],11),IF((COUNTIFS(T_SelfStock[RM_Code],$A69,T_SelfStock[WeekIndex],11)&gt;0)*(COUNTIFS(T_TTAFStock[RM_Code],$A69,T_TTAFStock[WeekIndex],11)&gt;0)&gt;0,SUMIFS(T_SelfStock[Self_Qty],T_SelfStock[RM_Code],$A69,T_SelfStock[WeekIndex],11)+SUMIFS(T_TTAFStock[TTAF_Qty],T_TTAFStock[RM_Code],$A69,T_TTAFStock[WeekIndex],11),K69+'Grid_Incoming'!L69-'Grid_Requirement'!L69))</f>
        <v/>
      </c>
      <c r="M69">
        <f>IF(COUNTIFS(T_StockCount[RM_Code],$A69,T_StockCount[WeekIndex],12)&gt;0,SUMIFS(T_StockCount[CountedQty],T_StockCount[RM_Code],$A69,T_StockCount[WeekIndex],12),IF((COUNTIFS(T_SelfStock[RM_Code],$A69,T_SelfStock[WeekIndex],12)&gt;0)*(COUNTIFS(T_TTAFStock[RM_Code],$A69,T_TTAFStock[WeekIndex],12)&gt;0)&gt;0,SUMIFS(T_SelfStock[Self_Qty],T_SelfStock[RM_Code],$A69,T_SelfStock[WeekIndex],12)+SUMIFS(T_TTAFStock[TTAF_Qty],T_TTAFStock[RM_Code],$A69,T_TTAFStock[WeekIndex],12),L69+'Grid_Incoming'!M69-'Grid_Requirement'!M69))</f>
        <v/>
      </c>
      <c r="N69">
        <f>IF(COUNTIFS(T_StockCount[RM_Code],$A69,T_StockCount[WeekIndex],13)&gt;0,SUMIFS(T_StockCount[CountedQty],T_StockCount[RM_Code],$A69,T_StockCount[WeekIndex],13),IF((COUNTIFS(T_SelfStock[RM_Code],$A69,T_SelfStock[WeekIndex],13)&gt;0)*(COUNTIFS(T_TTAFStock[RM_Code],$A69,T_TTAFStock[WeekIndex],13)&gt;0)&gt;0,SUMIFS(T_SelfStock[Self_Qty],T_SelfStock[RM_Code],$A69,T_SelfStock[WeekIndex],13)+SUMIFS(T_TTAFStock[TTAF_Qty],T_TTAFStock[RM_Code],$A69,T_TTAFStock[WeekIndex],13),M69+'Grid_Incoming'!N69-'Grid_Requirement'!N69))</f>
        <v/>
      </c>
      <c r="O69">
        <f>IF(COUNTIFS(T_StockCount[RM_Code],$A69,T_StockCount[WeekIndex],14)&gt;0,SUMIFS(T_StockCount[CountedQty],T_StockCount[RM_Code],$A69,T_StockCount[WeekIndex],14),IF((COUNTIFS(T_SelfStock[RM_Code],$A69,T_SelfStock[WeekIndex],14)&gt;0)*(COUNTIFS(T_TTAFStock[RM_Code],$A69,T_TTAFStock[WeekIndex],14)&gt;0)&gt;0,SUMIFS(T_SelfStock[Self_Qty],T_SelfStock[RM_Code],$A69,T_SelfStock[WeekIndex],14)+SUMIFS(T_TTAFStock[TTAF_Qty],T_TTAFStock[RM_Code],$A69,T_TTAFStock[WeekIndex],14),N69+'Grid_Incoming'!O69-'Grid_Requirement'!O69))</f>
        <v/>
      </c>
      <c r="P69">
        <f>IF(COUNTIFS(T_StockCount[RM_Code],$A69,T_StockCount[WeekIndex],15)&gt;0,SUMIFS(T_StockCount[CountedQty],T_StockCount[RM_Code],$A69,T_StockCount[WeekIndex],15),IF((COUNTIFS(T_SelfStock[RM_Code],$A69,T_SelfStock[WeekIndex],15)&gt;0)*(COUNTIFS(T_TTAFStock[RM_Code],$A69,T_TTAFStock[WeekIndex],15)&gt;0)&gt;0,SUMIFS(T_SelfStock[Self_Qty],T_SelfStock[RM_Code],$A69,T_SelfStock[WeekIndex],15)+SUMIFS(T_TTAFStock[TTAF_Qty],T_TTAFStock[RM_Code],$A69,T_TTAFStock[WeekIndex],15),O69+'Grid_Incoming'!P69-'Grid_Requirement'!P69))</f>
        <v/>
      </c>
      <c r="Q69">
        <f>IF(COUNTIFS(T_StockCount[RM_Code],$A69,T_StockCount[WeekIndex],16)&gt;0,SUMIFS(T_StockCount[CountedQty],T_StockCount[RM_Code],$A69,T_StockCount[WeekIndex],16),IF((COUNTIFS(T_SelfStock[RM_Code],$A69,T_SelfStock[WeekIndex],16)&gt;0)*(COUNTIFS(T_TTAFStock[RM_Code],$A69,T_TTAFStock[WeekIndex],16)&gt;0)&gt;0,SUMIFS(T_SelfStock[Self_Qty],T_SelfStock[RM_Code],$A69,T_SelfStock[WeekIndex],16)+SUMIFS(T_TTAFStock[TTAF_Qty],T_TTAFStock[RM_Code],$A69,T_TTAFStock[WeekIndex],16),P69+'Grid_Incoming'!Q69-'Grid_Requirement'!Q69))</f>
        <v/>
      </c>
      <c r="R69">
        <f>IF(COUNTIFS(T_StockCount[RM_Code],$A69,T_StockCount[WeekIndex],17)&gt;0,SUMIFS(T_StockCount[CountedQty],T_StockCount[RM_Code],$A69,T_StockCount[WeekIndex],17),IF((COUNTIFS(T_SelfStock[RM_Code],$A69,T_SelfStock[WeekIndex],17)&gt;0)*(COUNTIFS(T_TTAFStock[RM_Code],$A69,T_TTAFStock[WeekIndex],17)&gt;0)&gt;0,SUMIFS(T_SelfStock[Self_Qty],T_SelfStock[RM_Code],$A69,T_SelfStock[WeekIndex],17)+SUMIFS(T_TTAFStock[TTAF_Qty],T_TTAFStock[RM_Code],$A69,T_TTAFStock[WeekIndex],17),Q69+'Grid_Incoming'!R69-'Grid_Requirement'!R69))</f>
        <v/>
      </c>
      <c r="S69">
        <f>IF(COUNTIFS(T_StockCount[RM_Code],$A69,T_StockCount[WeekIndex],18)&gt;0,SUMIFS(T_StockCount[CountedQty],T_StockCount[RM_Code],$A69,T_StockCount[WeekIndex],18),IF((COUNTIFS(T_SelfStock[RM_Code],$A69,T_SelfStock[WeekIndex],18)&gt;0)*(COUNTIFS(T_TTAFStock[RM_Code],$A69,T_TTAFStock[WeekIndex],18)&gt;0)&gt;0,SUMIFS(T_SelfStock[Self_Qty],T_SelfStock[RM_Code],$A69,T_SelfStock[WeekIndex],18)+SUMIFS(T_TTAFStock[TTAF_Qty],T_TTAFStock[RM_Code],$A69,T_TTAFStock[WeekIndex],18),R69+'Grid_Incoming'!S69-'Grid_Requirement'!S69))</f>
        <v/>
      </c>
      <c r="T69">
        <f>IF(COUNTIFS(T_StockCount[RM_Code],$A69,T_StockCount[WeekIndex],19)&gt;0,SUMIFS(T_StockCount[CountedQty],T_StockCount[RM_Code],$A69,T_StockCount[WeekIndex],19),IF((COUNTIFS(T_SelfStock[RM_Code],$A69,T_SelfStock[WeekIndex],19)&gt;0)*(COUNTIFS(T_TTAFStock[RM_Code],$A69,T_TTAFStock[WeekIndex],19)&gt;0)&gt;0,SUMIFS(T_SelfStock[Self_Qty],T_SelfStock[RM_Code],$A69,T_SelfStock[WeekIndex],19)+SUMIFS(T_TTAFStock[TTAF_Qty],T_TTAFStock[RM_Code],$A69,T_TTAFStock[WeekIndex],19),S69+'Grid_Incoming'!T69-'Grid_Requirement'!T69))</f>
        <v/>
      </c>
      <c r="U69">
        <f>IF(COUNTIFS(T_StockCount[RM_Code],$A69,T_StockCount[WeekIndex],20)&gt;0,SUMIFS(T_StockCount[CountedQty],T_StockCount[RM_Code],$A69,T_StockCount[WeekIndex],20),IF((COUNTIFS(T_SelfStock[RM_Code],$A69,T_SelfStock[WeekIndex],20)&gt;0)*(COUNTIFS(T_TTAFStock[RM_Code],$A69,T_TTAFStock[WeekIndex],20)&gt;0)&gt;0,SUMIFS(T_SelfStock[Self_Qty],T_SelfStock[RM_Code],$A69,T_SelfStock[WeekIndex],20)+SUMIFS(T_TTAFStock[TTAF_Qty],T_TTAFStock[RM_Code],$A69,T_TTAFStock[WeekIndex],20),T69+'Grid_Incoming'!U69-'Grid_Requirement'!U69))</f>
        <v/>
      </c>
      <c r="V69">
        <f>IF(COUNTIFS(T_StockCount[RM_Code],$A69,T_StockCount[WeekIndex],21)&gt;0,SUMIFS(T_StockCount[CountedQty],T_StockCount[RM_Code],$A69,T_StockCount[WeekIndex],21),IF((COUNTIFS(T_SelfStock[RM_Code],$A69,T_SelfStock[WeekIndex],21)&gt;0)*(COUNTIFS(T_TTAFStock[RM_Code],$A69,T_TTAFStock[WeekIndex],21)&gt;0)&gt;0,SUMIFS(T_SelfStock[Self_Qty],T_SelfStock[RM_Code],$A69,T_SelfStock[WeekIndex],21)+SUMIFS(T_TTAFStock[TTAF_Qty],T_TTAFStock[RM_Code],$A69,T_TTAFStock[WeekIndex],21),U69+'Grid_Incoming'!V69-'Grid_Requirement'!V69))</f>
        <v/>
      </c>
      <c r="W69">
        <f>IF(COUNTIFS(T_StockCount[RM_Code],$A69,T_StockCount[WeekIndex],22)&gt;0,SUMIFS(T_StockCount[CountedQty],T_StockCount[RM_Code],$A69,T_StockCount[WeekIndex],22),IF((COUNTIFS(T_SelfStock[RM_Code],$A69,T_SelfStock[WeekIndex],22)&gt;0)*(COUNTIFS(T_TTAFStock[RM_Code],$A69,T_TTAFStock[WeekIndex],22)&gt;0)&gt;0,SUMIFS(T_SelfStock[Self_Qty],T_SelfStock[RM_Code],$A69,T_SelfStock[WeekIndex],22)+SUMIFS(T_TTAFStock[TTAF_Qty],T_TTAFStock[RM_Code],$A69,T_TTAFStock[WeekIndex],22),V69+'Grid_Incoming'!W69-'Grid_Requirement'!W69))</f>
        <v/>
      </c>
      <c r="X69">
        <f>IF(COUNTIFS(T_StockCount[RM_Code],$A69,T_StockCount[WeekIndex],23)&gt;0,SUMIFS(T_StockCount[CountedQty],T_StockCount[RM_Code],$A69,T_StockCount[WeekIndex],23),IF((COUNTIFS(T_SelfStock[RM_Code],$A69,T_SelfStock[WeekIndex],23)&gt;0)*(COUNTIFS(T_TTAFStock[RM_Code],$A69,T_TTAFStock[WeekIndex],23)&gt;0)&gt;0,SUMIFS(T_SelfStock[Self_Qty],T_SelfStock[RM_Code],$A69,T_SelfStock[WeekIndex],23)+SUMIFS(T_TTAFStock[TTAF_Qty],T_TTAFStock[RM_Code],$A69,T_TTAFStock[WeekIndex],23),W69+'Grid_Incoming'!X69-'Grid_Requirement'!X69))</f>
        <v/>
      </c>
      <c r="Y69">
        <f>IF(COUNTIFS(T_StockCount[RM_Code],$A69,T_StockCount[WeekIndex],24)&gt;0,SUMIFS(T_StockCount[CountedQty],T_StockCount[RM_Code],$A69,T_StockCount[WeekIndex],24),IF((COUNTIFS(T_SelfStock[RM_Code],$A69,T_SelfStock[WeekIndex],24)&gt;0)*(COUNTIFS(T_TTAFStock[RM_Code],$A69,T_TTAFStock[WeekIndex],24)&gt;0)&gt;0,SUMIFS(T_SelfStock[Self_Qty],T_SelfStock[RM_Code],$A69,T_SelfStock[WeekIndex],24)+SUMIFS(T_TTAFStock[TTAF_Qty],T_TTAFStock[RM_Code],$A69,T_TTAFStock[WeekIndex],24),X69+'Grid_Incoming'!Y69-'Grid_Requirement'!Y69))</f>
        <v/>
      </c>
      <c r="Z69">
        <f>IF(COUNTIFS(T_StockCount[RM_Code],$A69,T_StockCount[WeekIndex],25)&gt;0,SUMIFS(T_StockCount[CountedQty],T_StockCount[RM_Code],$A69,T_StockCount[WeekIndex],25),IF((COUNTIFS(T_SelfStock[RM_Code],$A69,T_SelfStock[WeekIndex],25)&gt;0)*(COUNTIFS(T_TTAFStock[RM_Code],$A69,T_TTAFStock[WeekIndex],25)&gt;0)&gt;0,SUMIFS(T_SelfStock[Self_Qty],T_SelfStock[RM_Code],$A69,T_SelfStock[WeekIndex],25)+SUMIFS(T_TTAFStock[TTAF_Qty],T_TTAFStock[RM_Code],$A69,T_TTAFStock[WeekIndex],25),Y69+'Grid_Incoming'!Z69-'Grid_Requirement'!Z69))</f>
        <v/>
      </c>
      <c r="AA69">
        <f>IF(COUNTIFS(T_StockCount[RM_Code],$A69,T_StockCount[WeekIndex],26)&gt;0,SUMIFS(T_StockCount[CountedQty],T_StockCount[RM_Code],$A69,T_StockCount[WeekIndex],26),IF((COUNTIFS(T_SelfStock[RM_Code],$A69,T_SelfStock[WeekIndex],26)&gt;0)*(COUNTIFS(T_TTAFStock[RM_Code],$A69,T_TTAFStock[WeekIndex],26)&gt;0)&gt;0,SUMIFS(T_SelfStock[Self_Qty],T_SelfStock[RM_Code],$A69,T_SelfStock[WeekIndex],26)+SUMIFS(T_TTAFStock[TTAF_Qty],T_TTAFStock[RM_Code],$A69,T_TTAFStock[WeekIndex],26),Z69+'Grid_Incoming'!AA69-'Grid_Requirement'!AA69))</f>
        <v/>
      </c>
      <c r="AB69">
        <f>IF(COUNTIFS(T_StockCount[RM_Code],$A69,T_StockCount[WeekIndex],27)&gt;0,SUMIFS(T_StockCount[CountedQty],T_StockCount[RM_Code],$A69,T_StockCount[WeekIndex],27),IF((COUNTIFS(T_SelfStock[RM_Code],$A69,T_SelfStock[WeekIndex],27)&gt;0)*(COUNTIFS(T_TTAFStock[RM_Code],$A69,T_TTAFStock[WeekIndex],27)&gt;0)&gt;0,SUMIFS(T_SelfStock[Self_Qty],T_SelfStock[RM_Code],$A69,T_SelfStock[WeekIndex],27)+SUMIFS(T_TTAFStock[TTAF_Qty],T_TTAFStock[RM_Code],$A69,T_TTAFStock[WeekIndex],27),AA69+'Grid_Incoming'!AB69-'Grid_Requirement'!AB69))</f>
        <v/>
      </c>
      <c r="AC69">
        <f>IF(COUNTIFS(T_StockCount[RM_Code],$A69,T_StockCount[WeekIndex],28)&gt;0,SUMIFS(T_StockCount[CountedQty],T_StockCount[RM_Code],$A69,T_StockCount[WeekIndex],28),IF((COUNTIFS(T_SelfStock[RM_Code],$A69,T_SelfStock[WeekIndex],28)&gt;0)*(COUNTIFS(T_TTAFStock[RM_Code],$A69,T_TTAFStock[WeekIndex],28)&gt;0)&gt;0,SUMIFS(T_SelfStock[Self_Qty],T_SelfStock[RM_Code],$A69,T_SelfStock[WeekIndex],28)+SUMIFS(T_TTAFStock[TTAF_Qty],T_TTAFStock[RM_Code],$A69,T_TTAFStock[WeekIndex],28),AB69+'Grid_Incoming'!AC69-'Grid_Requirement'!AC69))</f>
        <v/>
      </c>
      <c r="AD69">
        <f>IF(COUNTIFS(T_StockCount[RM_Code],$A69,T_StockCount[WeekIndex],29)&gt;0,SUMIFS(T_StockCount[CountedQty],T_StockCount[RM_Code],$A69,T_StockCount[WeekIndex],29),IF((COUNTIFS(T_SelfStock[RM_Code],$A69,T_SelfStock[WeekIndex],29)&gt;0)*(COUNTIFS(T_TTAFStock[RM_Code],$A69,T_TTAFStock[WeekIndex],29)&gt;0)&gt;0,SUMIFS(T_SelfStock[Self_Qty],T_SelfStock[RM_Code],$A69,T_SelfStock[WeekIndex],29)+SUMIFS(T_TTAFStock[TTAF_Qty],T_TTAFStock[RM_Code],$A69,T_TTAFStock[WeekIndex],29),AC69+'Grid_Incoming'!AD69-'Grid_Requirement'!AD69))</f>
        <v/>
      </c>
      <c r="AE69">
        <f>IF(COUNTIFS(T_StockCount[RM_Code],$A69,T_StockCount[WeekIndex],30)&gt;0,SUMIFS(T_StockCount[CountedQty],T_StockCount[RM_Code],$A69,T_StockCount[WeekIndex],30),IF((COUNTIFS(T_SelfStock[RM_Code],$A69,T_SelfStock[WeekIndex],30)&gt;0)*(COUNTIFS(T_TTAFStock[RM_Code],$A69,T_TTAFStock[WeekIndex],30)&gt;0)&gt;0,SUMIFS(T_SelfStock[Self_Qty],T_SelfStock[RM_Code],$A69,T_SelfStock[WeekIndex],30)+SUMIFS(T_TTAFStock[TTAF_Qty],T_TTAFStock[RM_Code],$A69,T_TTAFStock[WeekIndex],30),AD69+'Grid_Incoming'!AE69-'Grid_Requirement'!AE69))</f>
        <v/>
      </c>
      <c r="AF69">
        <f>IF(COUNTIFS(T_StockCount[RM_Code],$A69,T_StockCount[WeekIndex],31)&gt;0,SUMIFS(T_StockCount[CountedQty],T_StockCount[RM_Code],$A69,T_StockCount[WeekIndex],31),IF((COUNTIFS(T_SelfStock[RM_Code],$A69,T_SelfStock[WeekIndex],31)&gt;0)*(COUNTIFS(T_TTAFStock[RM_Code],$A69,T_TTAFStock[WeekIndex],31)&gt;0)&gt;0,SUMIFS(T_SelfStock[Self_Qty],T_SelfStock[RM_Code],$A69,T_SelfStock[WeekIndex],31)+SUMIFS(T_TTAFStock[TTAF_Qty],T_TTAFStock[RM_Code],$A69,T_TTAFStock[WeekIndex],31),AE69+'Grid_Incoming'!AF69-'Grid_Requirement'!AF69))</f>
        <v/>
      </c>
      <c r="AG69">
        <f>IF(COUNTIFS(T_StockCount[RM_Code],$A69,T_StockCount[WeekIndex],32)&gt;0,SUMIFS(T_StockCount[CountedQty],T_StockCount[RM_Code],$A69,T_StockCount[WeekIndex],32),IF((COUNTIFS(T_SelfStock[RM_Code],$A69,T_SelfStock[WeekIndex],32)&gt;0)*(COUNTIFS(T_TTAFStock[RM_Code],$A69,T_TTAFStock[WeekIndex],32)&gt;0)&gt;0,SUMIFS(T_SelfStock[Self_Qty],T_SelfStock[RM_Code],$A69,T_SelfStock[WeekIndex],32)+SUMIFS(T_TTAFStock[TTAF_Qty],T_TTAFStock[RM_Code],$A69,T_TTAFStock[WeekIndex],32),AF69+'Grid_Incoming'!AG69-'Grid_Requirement'!AG69))</f>
        <v/>
      </c>
      <c r="AH69">
        <f>IF(COUNTIFS(T_StockCount[RM_Code],$A69,T_StockCount[WeekIndex],33)&gt;0,SUMIFS(T_StockCount[CountedQty],T_StockCount[RM_Code],$A69,T_StockCount[WeekIndex],33),IF((COUNTIFS(T_SelfStock[RM_Code],$A69,T_SelfStock[WeekIndex],33)&gt;0)*(COUNTIFS(T_TTAFStock[RM_Code],$A69,T_TTAFStock[WeekIndex],33)&gt;0)&gt;0,SUMIFS(T_SelfStock[Self_Qty],T_SelfStock[RM_Code],$A69,T_SelfStock[WeekIndex],33)+SUMIFS(T_TTAFStock[TTAF_Qty],T_TTAFStock[RM_Code],$A69,T_TTAFStock[WeekIndex],33),AG69+'Grid_Incoming'!AH69-'Grid_Requirement'!AH69))</f>
        <v/>
      </c>
      <c r="AI69">
        <f>IF(COUNTIFS(T_StockCount[RM_Code],$A69,T_StockCount[WeekIndex],34)&gt;0,SUMIFS(T_StockCount[CountedQty],T_StockCount[RM_Code],$A69,T_StockCount[WeekIndex],34),IF((COUNTIFS(T_SelfStock[RM_Code],$A69,T_SelfStock[WeekIndex],34)&gt;0)*(COUNTIFS(T_TTAFStock[RM_Code],$A69,T_TTAFStock[WeekIndex],34)&gt;0)&gt;0,SUMIFS(T_SelfStock[Self_Qty],T_SelfStock[RM_Code],$A69,T_SelfStock[WeekIndex],34)+SUMIFS(T_TTAFStock[TTAF_Qty],T_TTAFStock[RM_Code],$A69,T_TTAFStock[WeekIndex],34),AH69+'Grid_Incoming'!AI69-'Grid_Requirement'!AI69))</f>
        <v/>
      </c>
      <c r="AJ69">
        <f>IF(COUNTIFS(T_StockCount[RM_Code],$A69,T_StockCount[WeekIndex],35)&gt;0,SUMIFS(T_StockCount[CountedQty],T_StockCount[RM_Code],$A69,T_StockCount[WeekIndex],35),IF((COUNTIFS(T_SelfStock[RM_Code],$A69,T_SelfStock[WeekIndex],35)&gt;0)*(COUNTIFS(T_TTAFStock[RM_Code],$A69,T_TTAFStock[WeekIndex],35)&gt;0)&gt;0,SUMIFS(T_SelfStock[Self_Qty],T_SelfStock[RM_Code],$A69,T_SelfStock[WeekIndex],35)+SUMIFS(T_TTAFStock[TTAF_Qty],T_TTAFStock[RM_Code],$A69,T_TTAFStock[WeekIndex],35),AI69+'Grid_Incoming'!AJ69-'Grid_Requirement'!AJ69))</f>
        <v/>
      </c>
      <c r="AK69">
        <f>IF(COUNTIFS(T_StockCount[RM_Code],$A69,T_StockCount[WeekIndex],36)&gt;0,SUMIFS(T_StockCount[CountedQty],T_StockCount[RM_Code],$A69,T_StockCount[WeekIndex],36),IF((COUNTIFS(T_SelfStock[RM_Code],$A69,T_SelfStock[WeekIndex],36)&gt;0)*(COUNTIFS(T_TTAFStock[RM_Code],$A69,T_TTAFStock[WeekIndex],36)&gt;0)&gt;0,SUMIFS(T_SelfStock[Self_Qty],T_SelfStock[RM_Code],$A69,T_SelfStock[WeekIndex],36)+SUMIFS(T_TTAFStock[TTAF_Qty],T_TTAFStock[RM_Code],$A69,T_TTAFStock[WeekIndex],36),AJ69+'Grid_Incoming'!AK69-'Grid_Requirement'!AK69))</f>
        <v/>
      </c>
      <c r="AL69">
        <f>IF(COUNTIFS(T_StockCount[RM_Code],$A69,T_StockCount[WeekIndex],37)&gt;0,SUMIFS(T_StockCount[CountedQty],T_StockCount[RM_Code],$A69,T_StockCount[WeekIndex],37),IF((COUNTIFS(T_SelfStock[RM_Code],$A69,T_SelfStock[WeekIndex],37)&gt;0)*(COUNTIFS(T_TTAFStock[RM_Code],$A69,T_TTAFStock[WeekIndex],37)&gt;0)&gt;0,SUMIFS(T_SelfStock[Self_Qty],T_SelfStock[RM_Code],$A69,T_SelfStock[WeekIndex],37)+SUMIFS(T_TTAFStock[TTAF_Qty],T_TTAFStock[RM_Code],$A69,T_TTAFStock[WeekIndex],37),AK69+'Grid_Incoming'!AL69-'Grid_Requirement'!AL69))</f>
        <v/>
      </c>
      <c r="AM69">
        <f>IF(COUNTIFS(T_StockCount[RM_Code],$A69,T_StockCount[WeekIndex],38)&gt;0,SUMIFS(T_StockCount[CountedQty],T_StockCount[RM_Code],$A69,T_StockCount[WeekIndex],38),IF((COUNTIFS(T_SelfStock[RM_Code],$A69,T_SelfStock[WeekIndex],38)&gt;0)*(COUNTIFS(T_TTAFStock[RM_Code],$A69,T_TTAFStock[WeekIndex],38)&gt;0)&gt;0,SUMIFS(T_SelfStock[Self_Qty],T_SelfStock[RM_Code],$A69,T_SelfStock[WeekIndex],38)+SUMIFS(T_TTAFStock[TTAF_Qty],T_TTAFStock[RM_Code],$A69,T_TTAFStock[WeekIndex],38),AL69+'Grid_Incoming'!AM69-'Grid_Requirement'!AM69))</f>
        <v/>
      </c>
      <c r="AN69">
        <f>IF(COUNTIFS(T_StockCount[RM_Code],$A69,T_StockCount[WeekIndex],39)&gt;0,SUMIFS(T_StockCount[CountedQty],T_StockCount[RM_Code],$A69,T_StockCount[WeekIndex],39),IF((COUNTIFS(T_SelfStock[RM_Code],$A69,T_SelfStock[WeekIndex],39)&gt;0)*(COUNTIFS(T_TTAFStock[RM_Code],$A69,T_TTAFStock[WeekIndex],39)&gt;0)&gt;0,SUMIFS(T_SelfStock[Self_Qty],T_SelfStock[RM_Code],$A69,T_SelfStock[WeekIndex],39)+SUMIFS(T_TTAFStock[TTAF_Qty],T_TTAFStock[RM_Code],$A69,T_TTAFStock[WeekIndex],39),AM69+'Grid_Incoming'!AN69-'Grid_Requirement'!AN69))</f>
        <v/>
      </c>
      <c r="AO69">
        <f>IF(COUNTIFS(T_StockCount[RM_Code],$A69,T_StockCount[WeekIndex],40)&gt;0,SUMIFS(T_StockCount[CountedQty],T_StockCount[RM_Code],$A69,T_StockCount[WeekIndex],40),IF((COUNTIFS(T_SelfStock[RM_Code],$A69,T_SelfStock[WeekIndex],40)&gt;0)*(COUNTIFS(T_TTAFStock[RM_Code],$A69,T_TTAFStock[WeekIndex],40)&gt;0)&gt;0,SUMIFS(T_SelfStock[Self_Qty],T_SelfStock[RM_Code],$A69,T_SelfStock[WeekIndex],40)+SUMIFS(T_TTAFStock[TTAF_Qty],T_TTAFStock[RM_Code],$A69,T_TTAFStock[WeekIndex],40),AN69+'Grid_Incoming'!AO69-'Grid_Requirement'!AO69))</f>
        <v/>
      </c>
      <c r="AP69">
        <f>IF(COUNTIFS(T_StockCount[RM_Code],$A69,T_StockCount[WeekIndex],41)&gt;0,SUMIFS(T_StockCount[CountedQty],T_StockCount[RM_Code],$A69,T_StockCount[WeekIndex],41),IF((COUNTIFS(T_SelfStock[RM_Code],$A69,T_SelfStock[WeekIndex],41)&gt;0)*(COUNTIFS(T_TTAFStock[RM_Code],$A69,T_TTAFStock[WeekIndex],41)&gt;0)&gt;0,SUMIFS(T_SelfStock[Self_Qty],T_SelfStock[RM_Code],$A69,T_SelfStock[WeekIndex],41)+SUMIFS(T_TTAFStock[TTAF_Qty],T_TTAFStock[RM_Code],$A69,T_TTAFStock[WeekIndex],41),AO69+'Grid_Incoming'!AP69-'Grid_Requirement'!AP69))</f>
        <v/>
      </c>
      <c r="AQ69">
        <f>IF(COUNTIFS(T_StockCount[RM_Code],$A69,T_StockCount[WeekIndex],42)&gt;0,SUMIFS(T_StockCount[CountedQty],T_StockCount[RM_Code],$A69,T_StockCount[WeekIndex],42),IF((COUNTIFS(T_SelfStock[RM_Code],$A69,T_SelfStock[WeekIndex],42)&gt;0)*(COUNTIFS(T_TTAFStock[RM_Code],$A69,T_TTAFStock[WeekIndex],42)&gt;0)&gt;0,SUMIFS(T_SelfStock[Self_Qty],T_SelfStock[RM_Code],$A69,T_SelfStock[WeekIndex],42)+SUMIFS(T_TTAFStock[TTAF_Qty],T_TTAFStock[RM_Code],$A69,T_TTAFStock[WeekIndex],42),AP69+'Grid_Incoming'!AQ69-'Grid_Requirement'!AQ69))</f>
        <v/>
      </c>
      <c r="AR69">
        <f>IF(COUNTIFS(T_StockCount[RM_Code],$A69,T_StockCount[WeekIndex],43)&gt;0,SUMIFS(T_StockCount[CountedQty],T_StockCount[RM_Code],$A69,T_StockCount[WeekIndex],43),IF((COUNTIFS(T_SelfStock[RM_Code],$A69,T_SelfStock[WeekIndex],43)&gt;0)*(COUNTIFS(T_TTAFStock[RM_Code],$A69,T_TTAFStock[WeekIndex],43)&gt;0)&gt;0,SUMIFS(T_SelfStock[Self_Qty],T_SelfStock[RM_Code],$A69,T_SelfStock[WeekIndex],43)+SUMIFS(T_TTAFStock[TTAF_Qty],T_TTAFStock[RM_Code],$A69,T_TTAFStock[WeekIndex],43),AQ69+'Grid_Incoming'!AR69-'Grid_Requirement'!AR69))</f>
        <v/>
      </c>
      <c r="AS69">
        <f>IF(COUNTIFS(T_StockCount[RM_Code],$A69,T_StockCount[WeekIndex],44)&gt;0,SUMIFS(T_StockCount[CountedQty],T_StockCount[RM_Code],$A69,T_StockCount[WeekIndex],44),IF((COUNTIFS(T_SelfStock[RM_Code],$A69,T_SelfStock[WeekIndex],44)&gt;0)*(COUNTIFS(T_TTAFStock[RM_Code],$A69,T_TTAFStock[WeekIndex],44)&gt;0)&gt;0,SUMIFS(T_SelfStock[Self_Qty],T_SelfStock[RM_Code],$A69,T_SelfStock[WeekIndex],44)+SUMIFS(T_TTAFStock[TTAF_Qty],T_TTAFStock[RM_Code],$A69,T_TTAFStock[WeekIndex],44),AR69+'Grid_Incoming'!AS69-'Grid_Requirement'!AS69))</f>
        <v/>
      </c>
      <c r="AT69">
        <f>IF(COUNTIFS(T_StockCount[RM_Code],$A69,T_StockCount[WeekIndex],45)&gt;0,SUMIFS(T_StockCount[CountedQty],T_StockCount[RM_Code],$A69,T_StockCount[WeekIndex],45),IF((COUNTIFS(T_SelfStock[RM_Code],$A69,T_SelfStock[WeekIndex],45)&gt;0)*(COUNTIFS(T_TTAFStock[RM_Code],$A69,T_TTAFStock[WeekIndex],45)&gt;0)&gt;0,SUMIFS(T_SelfStock[Self_Qty],T_SelfStock[RM_Code],$A69,T_SelfStock[WeekIndex],45)+SUMIFS(T_TTAFStock[TTAF_Qty],T_TTAFStock[RM_Code],$A69,T_TTAFStock[WeekIndex],45),AS69+'Grid_Incoming'!AT69-'Grid_Requirement'!AT69))</f>
        <v/>
      </c>
      <c r="AU69">
        <f>IF(COUNTIFS(T_StockCount[RM_Code],$A69,T_StockCount[WeekIndex],46)&gt;0,SUMIFS(T_StockCount[CountedQty],T_StockCount[RM_Code],$A69,T_StockCount[WeekIndex],46),IF((COUNTIFS(T_SelfStock[RM_Code],$A69,T_SelfStock[WeekIndex],46)&gt;0)*(COUNTIFS(T_TTAFStock[RM_Code],$A69,T_TTAFStock[WeekIndex],46)&gt;0)&gt;0,SUMIFS(T_SelfStock[Self_Qty],T_SelfStock[RM_Code],$A69,T_SelfStock[WeekIndex],46)+SUMIFS(T_TTAFStock[TTAF_Qty],T_TTAFStock[RM_Code],$A69,T_TTAFStock[WeekIndex],46),AT69+'Grid_Incoming'!AU69-'Grid_Requirement'!AU69))</f>
        <v/>
      </c>
      <c r="AV69">
        <f>IF(COUNTIFS(T_StockCount[RM_Code],$A69,T_StockCount[WeekIndex],47)&gt;0,SUMIFS(T_StockCount[CountedQty],T_StockCount[RM_Code],$A69,T_StockCount[WeekIndex],47),IF((COUNTIFS(T_SelfStock[RM_Code],$A69,T_SelfStock[WeekIndex],47)&gt;0)*(COUNTIFS(T_TTAFStock[RM_Code],$A69,T_TTAFStock[WeekIndex],47)&gt;0)&gt;0,SUMIFS(T_SelfStock[Self_Qty],T_SelfStock[RM_Code],$A69,T_SelfStock[WeekIndex],47)+SUMIFS(T_TTAFStock[TTAF_Qty],T_TTAFStock[RM_Code],$A69,T_TTAFStock[WeekIndex],47),AU69+'Grid_Incoming'!AV69-'Grid_Requirement'!AV69))</f>
        <v/>
      </c>
      <c r="AW69">
        <f>IF(COUNTIFS(T_StockCount[RM_Code],$A69,T_StockCount[WeekIndex],48)&gt;0,SUMIFS(T_StockCount[CountedQty],T_StockCount[RM_Code],$A69,T_StockCount[WeekIndex],48),IF((COUNTIFS(T_SelfStock[RM_Code],$A69,T_SelfStock[WeekIndex],48)&gt;0)*(COUNTIFS(T_TTAFStock[RM_Code],$A69,T_TTAFStock[WeekIndex],48)&gt;0)&gt;0,SUMIFS(T_SelfStock[Self_Qty],T_SelfStock[RM_Code],$A69,T_SelfStock[WeekIndex],48)+SUMIFS(T_TTAFStock[TTAF_Qty],T_TTAFStock[RM_Code],$A69,T_TTAFStock[WeekIndex],48),AV69+'Grid_Incoming'!AW69-'Grid_Requirement'!AW69))</f>
        <v/>
      </c>
      <c r="AX69">
        <f>IF(COUNTIFS(T_StockCount[RM_Code],$A69,T_StockCount[WeekIndex],49)&gt;0,SUMIFS(T_StockCount[CountedQty],T_StockCount[RM_Code],$A69,T_StockCount[WeekIndex],49),IF((COUNTIFS(T_SelfStock[RM_Code],$A69,T_SelfStock[WeekIndex],49)&gt;0)*(COUNTIFS(T_TTAFStock[RM_Code],$A69,T_TTAFStock[WeekIndex],49)&gt;0)&gt;0,SUMIFS(T_SelfStock[Self_Qty],T_SelfStock[RM_Code],$A69,T_SelfStock[WeekIndex],49)+SUMIFS(T_TTAFStock[TTAF_Qty],T_TTAFStock[RM_Code],$A69,T_TTAFStock[WeekIndex],49),AW69+'Grid_Incoming'!AX69-'Grid_Requirement'!AX69))</f>
        <v/>
      </c>
      <c r="AY69">
        <f>IF(COUNTIFS(T_StockCount[RM_Code],$A69,T_StockCount[WeekIndex],50)&gt;0,SUMIFS(T_StockCount[CountedQty],T_StockCount[RM_Code],$A69,T_StockCount[WeekIndex],50),IF((COUNTIFS(T_SelfStock[RM_Code],$A69,T_SelfStock[WeekIndex],50)&gt;0)*(COUNTIFS(T_TTAFStock[RM_Code],$A69,T_TTAFStock[WeekIndex],50)&gt;0)&gt;0,SUMIFS(T_SelfStock[Self_Qty],T_SelfStock[RM_Code],$A69,T_SelfStock[WeekIndex],50)+SUMIFS(T_TTAFStock[TTAF_Qty],T_TTAFStock[RM_Code],$A69,T_TTAFStock[WeekIndex],50),AX69+'Grid_Incoming'!AY69-'Grid_Requirement'!AY69))</f>
        <v/>
      </c>
      <c r="AZ69">
        <f>IF(COUNTIFS(T_StockCount[RM_Code],$A69,T_StockCount[WeekIndex],51)&gt;0,SUMIFS(T_StockCount[CountedQty],T_StockCount[RM_Code],$A69,T_StockCount[WeekIndex],51),IF((COUNTIFS(T_SelfStock[RM_Code],$A69,T_SelfStock[WeekIndex],51)&gt;0)*(COUNTIFS(T_TTAFStock[RM_Code],$A69,T_TTAFStock[WeekIndex],51)&gt;0)&gt;0,SUMIFS(T_SelfStock[Self_Qty],T_SelfStock[RM_Code],$A69,T_SelfStock[WeekIndex],51)+SUMIFS(T_TTAFStock[TTAF_Qty],T_TTAFStock[RM_Code],$A69,T_TTAFStock[WeekIndex],51),AY69+'Grid_Incoming'!AZ69-'Grid_Requirement'!AZ69))</f>
        <v/>
      </c>
      <c r="BA69">
        <f>IF(COUNTIFS(T_StockCount[RM_Code],$A69,T_StockCount[WeekIndex],52)&gt;0,SUMIFS(T_StockCount[CountedQty],T_StockCount[RM_Code],$A69,T_StockCount[WeekIndex],52),IF((COUNTIFS(T_SelfStock[RM_Code],$A69,T_SelfStock[WeekIndex],52)&gt;0)*(COUNTIFS(T_TTAFStock[RM_Code],$A69,T_TTAFStock[WeekIndex],52)&gt;0)&gt;0,SUMIFS(T_SelfStock[Self_Qty],T_SelfStock[RM_Code],$A69,T_SelfStock[WeekIndex],52)+SUMIFS(T_TTAFStock[TTAF_Qty],T_TTAFStock[RM_Code],$A69,T_TTAFStock[WeekIndex],52),AZ69+'Grid_Incoming'!BA69-'Grid_Requirement'!BA69))</f>
        <v/>
      </c>
      <c r="BB69">
        <f>IF(COUNTIFS(T_StockCount[RM_Code],$A69,T_StockCount[WeekIndex],53)&gt;0,SUMIFS(T_StockCount[CountedQty],T_StockCount[RM_Code],$A69,T_StockCount[WeekIndex],53),IF((COUNTIFS(T_SelfStock[RM_Code],$A69,T_SelfStock[WeekIndex],53)&gt;0)*(COUNTIFS(T_TTAFStock[RM_Code],$A69,T_TTAFStock[WeekIndex],53)&gt;0)&gt;0,SUMIFS(T_SelfStock[Self_Qty],T_SelfStock[RM_Code],$A69,T_SelfStock[WeekIndex],53)+SUMIFS(T_TTAFStock[TTAF_Qty],T_TTAFStock[RM_Code],$A69,T_TTAFStock[WeekIndex],53),BA69+'Grid_Incoming'!BB69-'Grid_Requirement'!BB69))</f>
        <v/>
      </c>
      <c r="BC69">
        <f>IF(COUNTIFS(T_StockCount[RM_Code],$A69,T_StockCount[WeekIndex],54)&gt;0,SUMIFS(T_StockCount[CountedQty],T_StockCount[RM_Code],$A69,T_StockCount[WeekIndex],54),IF((COUNTIFS(T_SelfStock[RM_Code],$A69,T_SelfStock[WeekIndex],54)&gt;0)*(COUNTIFS(T_TTAFStock[RM_Code],$A69,T_TTAFStock[WeekIndex],54)&gt;0)&gt;0,SUMIFS(T_SelfStock[Self_Qty],T_SelfStock[RM_Code],$A69,T_SelfStock[WeekIndex],54)+SUMIFS(T_TTAFStock[TTAF_Qty],T_TTAFStock[RM_Code],$A69,T_TTAFStock[WeekIndex],54),BB69+'Grid_Incoming'!BC69-'Grid_Requirement'!BC69))</f>
        <v/>
      </c>
      <c r="BD69">
        <f>IF(COUNTIFS(T_StockCount[RM_Code],$A69,T_StockCount[WeekIndex],55)&gt;0,SUMIFS(T_StockCount[CountedQty],T_StockCount[RM_Code],$A69,T_StockCount[WeekIndex],55),IF((COUNTIFS(T_SelfStock[RM_Code],$A69,T_SelfStock[WeekIndex],55)&gt;0)*(COUNTIFS(T_TTAFStock[RM_Code],$A69,T_TTAFStock[WeekIndex],55)&gt;0)&gt;0,SUMIFS(T_SelfStock[Self_Qty],T_SelfStock[RM_Code],$A69,T_SelfStock[WeekIndex],55)+SUMIFS(T_TTAFStock[TTAF_Qty],T_TTAFStock[RM_Code],$A69,T_TTAFStock[WeekIndex],55),BC69+'Grid_Incoming'!BD69-'Grid_Requirement'!BD69))</f>
        <v/>
      </c>
      <c r="BE69">
        <f>IF(COUNTIFS(T_StockCount[RM_Code],$A69,T_StockCount[WeekIndex],56)&gt;0,SUMIFS(T_StockCount[CountedQty],T_StockCount[RM_Code],$A69,T_StockCount[WeekIndex],56),IF((COUNTIFS(T_SelfStock[RM_Code],$A69,T_SelfStock[WeekIndex],56)&gt;0)*(COUNTIFS(T_TTAFStock[RM_Code],$A69,T_TTAFStock[WeekIndex],56)&gt;0)&gt;0,SUMIFS(T_SelfStock[Self_Qty],T_SelfStock[RM_Code],$A69,T_SelfStock[WeekIndex],56)+SUMIFS(T_TTAFStock[TTAF_Qty],T_TTAFStock[RM_Code],$A69,T_TTAFStock[WeekIndex],56),BD69+'Grid_Incoming'!BE69-'Grid_Requirement'!BE69))</f>
        <v/>
      </c>
      <c r="BF69">
        <f>IF(COUNTIFS(T_StockCount[RM_Code],$A69,T_StockCount[WeekIndex],57)&gt;0,SUMIFS(T_StockCount[CountedQty],T_StockCount[RM_Code],$A69,T_StockCount[WeekIndex],57),IF((COUNTIFS(T_SelfStock[RM_Code],$A69,T_SelfStock[WeekIndex],57)&gt;0)*(COUNTIFS(T_TTAFStock[RM_Code],$A69,T_TTAFStock[WeekIndex],57)&gt;0)&gt;0,SUMIFS(T_SelfStock[Self_Qty],T_SelfStock[RM_Code],$A69,T_SelfStock[WeekIndex],57)+SUMIFS(T_TTAFStock[TTAF_Qty],T_TTAFStock[RM_Code],$A69,T_TTAFStock[WeekIndex],57),BE69+'Grid_Incoming'!BF69-'Grid_Requirement'!BF69))</f>
        <v/>
      </c>
      <c r="BG69">
        <f>IF(COUNTIFS(T_StockCount[RM_Code],$A69,T_StockCount[WeekIndex],58)&gt;0,SUMIFS(T_StockCount[CountedQty],T_StockCount[RM_Code],$A69,T_StockCount[WeekIndex],58),IF((COUNTIFS(T_SelfStock[RM_Code],$A69,T_SelfStock[WeekIndex],58)&gt;0)*(COUNTIFS(T_TTAFStock[RM_Code],$A69,T_TTAFStock[WeekIndex],58)&gt;0)&gt;0,SUMIFS(T_SelfStock[Self_Qty],T_SelfStock[RM_Code],$A69,T_SelfStock[WeekIndex],58)+SUMIFS(T_TTAFStock[TTAF_Qty],T_TTAFStock[RM_Code],$A69,T_TTAFStock[WeekIndex],58),BF69+'Grid_Incoming'!BG69-'Grid_Requirement'!BG69))</f>
        <v/>
      </c>
      <c r="BH69">
        <f>IF(COUNTIFS(T_StockCount[RM_Code],$A69,T_StockCount[WeekIndex],59)&gt;0,SUMIFS(T_StockCount[CountedQty],T_StockCount[RM_Code],$A69,T_StockCount[WeekIndex],59),IF((COUNTIFS(T_SelfStock[RM_Code],$A69,T_SelfStock[WeekIndex],59)&gt;0)*(COUNTIFS(T_TTAFStock[RM_Code],$A69,T_TTAFStock[WeekIndex],59)&gt;0)&gt;0,SUMIFS(T_SelfStock[Self_Qty],T_SelfStock[RM_Code],$A69,T_SelfStock[WeekIndex],59)+SUMIFS(T_TTAFStock[TTAF_Qty],T_TTAFStock[RM_Code],$A69,T_TTAFStock[WeekIndex],59),BG69+'Grid_Incoming'!BH69-'Grid_Requirement'!BH69))</f>
        <v/>
      </c>
      <c r="BI69">
        <f>IF(COUNTIFS(T_StockCount[RM_Code],$A69,T_StockCount[WeekIndex],60)&gt;0,SUMIFS(T_StockCount[CountedQty],T_StockCount[RM_Code],$A69,T_StockCount[WeekIndex],60),IF((COUNTIFS(T_SelfStock[RM_Code],$A69,T_SelfStock[WeekIndex],60)&gt;0)*(COUNTIFS(T_TTAFStock[RM_Code],$A69,T_TTAFStock[WeekIndex],60)&gt;0)&gt;0,SUMIFS(T_SelfStock[Self_Qty],T_SelfStock[RM_Code],$A69,T_SelfStock[WeekIndex],60)+SUMIFS(T_TTAFStock[TTAF_Qty],T_TTAFStock[RM_Code],$A69,T_TTAFStock[WeekIndex],60),BH69+'Grid_Incoming'!BI69-'Grid_Requirement'!BI69))</f>
        <v/>
      </c>
      <c r="BJ69">
        <f>IF(COUNTIFS(T_StockCount[RM_Code],$A69,T_StockCount[WeekIndex],61)&gt;0,SUMIFS(T_StockCount[CountedQty],T_StockCount[RM_Code],$A69,T_StockCount[WeekIndex],61),IF((COUNTIFS(T_SelfStock[RM_Code],$A69,T_SelfStock[WeekIndex],61)&gt;0)*(COUNTIFS(T_TTAFStock[RM_Code],$A69,T_TTAFStock[WeekIndex],61)&gt;0)&gt;0,SUMIFS(T_SelfStock[Self_Qty],T_SelfStock[RM_Code],$A69,T_SelfStock[WeekIndex],61)+SUMIFS(T_TTAFStock[TTAF_Qty],T_TTAFStock[RM_Code],$A69,T_TTAFStock[WeekIndex],61),BI69+'Grid_Incoming'!BJ69-'Grid_Requirement'!BJ69))</f>
        <v/>
      </c>
      <c r="BK69">
        <f>IF(COUNTIFS(T_StockCount[RM_Code],$A69,T_StockCount[WeekIndex],62)&gt;0,SUMIFS(T_StockCount[CountedQty],T_StockCount[RM_Code],$A69,T_StockCount[WeekIndex],62),IF((COUNTIFS(T_SelfStock[RM_Code],$A69,T_SelfStock[WeekIndex],62)&gt;0)*(COUNTIFS(T_TTAFStock[RM_Code],$A69,T_TTAFStock[WeekIndex],62)&gt;0)&gt;0,SUMIFS(T_SelfStock[Self_Qty],T_SelfStock[RM_Code],$A69,T_SelfStock[WeekIndex],62)+SUMIFS(T_TTAFStock[TTAF_Qty],T_TTAFStock[RM_Code],$A69,T_TTAFStock[WeekIndex],62),BJ69+'Grid_Incoming'!BK69-'Grid_Requirement'!BK69))</f>
        <v/>
      </c>
      <c r="BL69">
        <f>IF(COUNTIFS(T_StockCount[RM_Code],$A69,T_StockCount[WeekIndex],63)&gt;0,SUMIFS(T_StockCount[CountedQty],T_StockCount[RM_Code],$A69,T_StockCount[WeekIndex],63),IF((COUNTIFS(T_SelfStock[RM_Code],$A69,T_SelfStock[WeekIndex],63)&gt;0)*(COUNTIFS(T_TTAFStock[RM_Code],$A69,T_TTAFStock[WeekIndex],63)&gt;0)&gt;0,SUMIFS(T_SelfStock[Self_Qty],T_SelfStock[RM_Code],$A69,T_SelfStock[WeekIndex],63)+SUMIFS(T_TTAFStock[TTAF_Qty],T_TTAFStock[RM_Code],$A69,T_TTAFStock[WeekIndex],63),BK69+'Grid_Incoming'!BL69-'Grid_Requirement'!BL69))</f>
        <v/>
      </c>
      <c r="BM69">
        <f>IF(COUNTIFS(T_StockCount[RM_Code],$A69,T_StockCount[WeekIndex],64)&gt;0,SUMIFS(T_StockCount[CountedQty],T_StockCount[RM_Code],$A69,T_StockCount[WeekIndex],64),IF((COUNTIFS(T_SelfStock[RM_Code],$A69,T_SelfStock[WeekIndex],64)&gt;0)*(COUNTIFS(T_TTAFStock[RM_Code],$A69,T_TTAFStock[WeekIndex],64)&gt;0)&gt;0,SUMIFS(T_SelfStock[Self_Qty],T_SelfStock[RM_Code],$A69,T_SelfStock[WeekIndex],64)+SUMIFS(T_TTAFStock[TTAF_Qty],T_TTAFStock[RM_Code],$A69,T_TTAFStock[WeekIndex],64),BL69+'Grid_Incoming'!BM69-'Grid_Requirement'!BM69))</f>
        <v/>
      </c>
      <c r="BN69">
        <f>IF(COUNTIFS(T_StockCount[RM_Code],$A69,T_StockCount[WeekIndex],65)&gt;0,SUMIFS(T_StockCount[CountedQty],T_StockCount[RM_Code],$A69,T_StockCount[WeekIndex],65),IF((COUNTIFS(T_SelfStock[RM_Code],$A69,T_SelfStock[WeekIndex],65)&gt;0)*(COUNTIFS(T_TTAFStock[RM_Code],$A69,T_TTAFStock[WeekIndex],65)&gt;0)&gt;0,SUMIFS(T_SelfStock[Self_Qty],T_SelfStock[RM_Code],$A69,T_SelfStock[WeekIndex],65)+SUMIFS(T_TTAFStock[TTAF_Qty],T_TTAFStock[RM_Code],$A69,T_TTAFStock[WeekIndex],65),BM69+'Grid_Incoming'!BN69-'Grid_Requirement'!BN69))</f>
        <v/>
      </c>
      <c r="BO69">
        <f>IF(COUNTIFS(T_StockCount[RM_Code],$A69,T_StockCount[WeekIndex],66)&gt;0,SUMIFS(T_StockCount[CountedQty],T_StockCount[RM_Code],$A69,T_StockCount[WeekIndex],66),IF((COUNTIFS(T_SelfStock[RM_Code],$A69,T_SelfStock[WeekIndex],66)&gt;0)*(COUNTIFS(T_TTAFStock[RM_Code],$A69,T_TTAFStock[WeekIndex],66)&gt;0)&gt;0,SUMIFS(T_SelfStock[Self_Qty],T_SelfStock[RM_Code],$A69,T_SelfStock[WeekIndex],66)+SUMIFS(T_TTAFStock[TTAF_Qty],T_TTAFStock[RM_Code],$A69,T_TTAFStock[WeekIndex],66),BN69+'Grid_Incoming'!BO69-'Grid_Requirement'!BO69))</f>
        <v/>
      </c>
      <c r="BP69">
        <f>IF(COUNTIFS(T_StockCount[RM_Code],$A69,T_StockCount[WeekIndex],67)&gt;0,SUMIFS(T_StockCount[CountedQty],T_StockCount[RM_Code],$A69,T_StockCount[WeekIndex],67),IF((COUNTIFS(T_SelfStock[RM_Code],$A69,T_SelfStock[WeekIndex],67)&gt;0)*(COUNTIFS(T_TTAFStock[RM_Code],$A69,T_TTAFStock[WeekIndex],67)&gt;0)&gt;0,SUMIFS(T_SelfStock[Self_Qty],T_SelfStock[RM_Code],$A69,T_SelfStock[WeekIndex],67)+SUMIFS(T_TTAFStock[TTAF_Qty],T_TTAFStock[RM_Code],$A69,T_TTAFStock[WeekIndex],67),BO69+'Grid_Incoming'!BP69-'Grid_Requirement'!BP69))</f>
        <v/>
      </c>
      <c r="BQ69">
        <f>IF(COUNTIFS(T_StockCount[RM_Code],$A69,T_StockCount[WeekIndex],68)&gt;0,SUMIFS(T_StockCount[CountedQty],T_StockCount[RM_Code],$A69,T_StockCount[WeekIndex],68),IF((COUNTIFS(T_SelfStock[RM_Code],$A69,T_SelfStock[WeekIndex],68)&gt;0)*(COUNTIFS(T_TTAFStock[RM_Code],$A69,T_TTAFStock[WeekIndex],68)&gt;0)&gt;0,SUMIFS(T_SelfStock[Self_Qty],T_SelfStock[RM_Code],$A69,T_SelfStock[WeekIndex],68)+SUMIFS(T_TTAFStock[TTAF_Qty],T_TTAFStock[RM_Code],$A69,T_TTAFStock[WeekIndex],68),BP69+'Grid_Incoming'!BQ69-'Grid_Requirement'!BQ69))</f>
        <v/>
      </c>
      <c r="BR69">
        <f>IF(COUNTIFS(T_StockCount[RM_Code],$A69,T_StockCount[WeekIndex],69)&gt;0,SUMIFS(T_StockCount[CountedQty],T_StockCount[RM_Code],$A69,T_StockCount[WeekIndex],69),IF((COUNTIFS(T_SelfStock[RM_Code],$A69,T_SelfStock[WeekIndex],69)&gt;0)*(COUNTIFS(T_TTAFStock[RM_Code],$A69,T_TTAFStock[WeekIndex],69)&gt;0)&gt;0,SUMIFS(T_SelfStock[Self_Qty],T_SelfStock[RM_Code],$A69,T_SelfStock[WeekIndex],69)+SUMIFS(T_TTAFStock[TTAF_Qty],T_TTAFStock[RM_Code],$A69,T_TTAFStock[WeekIndex],69),BQ69+'Grid_Incoming'!BR69-'Grid_Requirement'!BR69))</f>
        <v/>
      </c>
      <c r="BS69">
        <f>IF(COUNTIFS(T_StockCount[RM_Code],$A69,T_StockCount[WeekIndex],70)&gt;0,SUMIFS(T_StockCount[CountedQty],T_StockCount[RM_Code],$A69,T_StockCount[WeekIndex],70),IF((COUNTIFS(T_SelfStock[RM_Code],$A69,T_SelfStock[WeekIndex],70)&gt;0)*(COUNTIFS(T_TTAFStock[RM_Code],$A69,T_TTAFStock[WeekIndex],70)&gt;0)&gt;0,SUMIFS(T_SelfStock[Self_Qty],T_SelfStock[RM_Code],$A69,T_SelfStock[WeekIndex],70)+SUMIFS(T_TTAFStock[TTAF_Qty],T_TTAFStock[RM_Code],$A69,T_TTAFStock[WeekIndex],70),BR69+'Grid_Incoming'!BS69-'Grid_Requirement'!BS69))</f>
        <v/>
      </c>
      <c r="BT69">
        <f>IF(COUNTIFS(T_StockCount[RM_Code],$A69,T_StockCount[WeekIndex],71)&gt;0,SUMIFS(T_StockCount[CountedQty],T_StockCount[RM_Code],$A69,T_StockCount[WeekIndex],71),IF((COUNTIFS(T_SelfStock[RM_Code],$A69,T_SelfStock[WeekIndex],71)&gt;0)*(COUNTIFS(T_TTAFStock[RM_Code],$A69,T_TTAFStock[WeekIndex],71)&gt;0)&gt;0,SUMIFS(T_SelfStock[Self_Qty],T_SelfStock[RM_Code],$A69,T_SelfStock[WeekIndex],71)+SUMIFS(T_TTAFStock[TTAF_Qty],T_TTAFStock[RM_Code],$A69,T_TTAFStock[WeekIndex],71),BS69+'Grid_Incoming'!BT69-'Grid_Requirement'!BT69))</f>
        <v/>
      </c>
      <c r="BU69">
        <f>IF(COUNTIFS(T_StockCount[RM_Code],$A69,T_StockCount[WeekIndex],72)&gt;0,SUMIFS(T_StockCount[CountedQty],T_StockCount[RM_Code],$A69,T_StockCount[WeekIndex],72),IF((COUNTIFS(T_SelfStock[RM_Code],$A69,T_SelfStock[WeekIndex],72)&gt;0)*(COUNTIFS(T_TTAFStock[RM_Code],$A69,T_TTAFStock[WeekIndex],72)&gt;0)&gt;0,SUMIFS(T_SelfStock[Self_Qty],T_SelfStock[RM_Code],$A69,T_SelfStock[WeekIndex],72)+SUMIFS(T_TTAFStock[TTAF_Qty],T_TTAFStock[RM_Code],$A69,T_TTAFStock[WeekIndex],72),BT69+'Grid_Incoming'!BU69-'Grid_Requirement'!BU69))</f>
        <v/>
      </c>
      <c r="BV69">
        <f>IF(COUNTIFS(T_StockCount[RM_Code],$A69,T_StockCount[WeekIndex],73)&gt;0,SUMIFS(T_StockCount[CountedQty],T_StockCount[RM_Code],$A69,T_StockCount[WeekIndex],73),IF((COUNTIFS(T_SelfStock[RM_Code],$A69,T_SelfStock[WeekIndex],73)&gt;0)*(COUNTIFS(T_TTAFStock[RM_Code],$A69,T_TTAFStock[WeekIndex],73)&gt;0)&gt;0,SUMIFS(T_SelfStock[Self_Qty],T_SelfStock[RM_Code],$A69,T_SelfStock[WeekIndex],73)+SUMIFS(T_TTAFStock[TTAF_Qty],T_TTAFStock[RM_Code],$A69,T_TTAFStock[WeekIndex],73),BU69+'Grid_Incoming'!BV69-'Grid_Requirement'!BV69))</f>
        <v/>
      </c>
      <c r="BW69">
        <f>IF(COUNTIFS(T_StockCount[RM_Code],$A69,T_StockCount[WeekIndex],74)&gt;0,SUMIFS(T_StockCount[CountedQty],T_StockCount[RM_Code],$A69,T_StockCount[WeekIndex],74),IF((COUNTIFS(T_SelfStock[RM_Code],$A69,T_SelfStock[WeekIndex],74)&gt;0)*(COUNTIFS(T_TTAFStock[RM_Code],$A69,T_TTAFStock[WeekIndex],74)&gt;0)&gt;0,SUMIFS(T_SelfStock[Self_Qty],T_SelfStock[RM_Code],$A69,T_SelfStock[WeekIndex],74)+SUMIFS(T_TTAFStock[TTAF_Qty],T_TTAFStock[RM_Code],$A69,T_TTAFStock[WeekIndex],74),BV69+'Grid_Incoming'!BW69-'Grid_Requirement'!BW69))</f>
        <v/>
      </c>
      <c r="BX69">
        <f>IF(COUNTIFS(T_StockCount[RM_Code],$A69,T_StockCount[WeekIndex],75)&gt;0,SUMIFS(T_StockCount[CountedQty],T_StockCount[RM_Code],$A69,T_StockCount[WeekIndex],75),IF((COUNTIFS(T_SelfStock[RM_Code],$A69,T_SelfStock[WeekIndex],75)&gt;0)*(COUNTIFS(T_TTAFStock[RM_Code],$A69,T_TTAFStock[WeekIndex],75)&gt;0)&gt;0,SUMIFS(T_SelfStock[Self_Qty],T_SelfStock[RM_Code],$A69,T_SelfStock[WeekIndex],75)+SUMIFS(T_TTAFStock[TTAF_Qty],T_TTAFStock[RM_Code],$A69,T_TTAFStock[WeekIndex],75),BW69+'Grid_Incoming'!BX69-'Grid_Requirement'!BX69))</f>
        <v/>
      </c>
      <c r="BY69">
        <f>IF(COUNTIFS(T_StockCount[RM_Code],$A69,T_StockCount[WeekIndex],76)&gt;0,SUMIFS(T_StockCount[CountedQty],T_StockCount[RM_Code],$A69,T_StockCount[WeekIndex],76),IF((COUNTIFS(T_SelfStock[RM_Code],$A69,T_SelfStock[WeekIndex],76)&gt;0)*(COUNTIFS(T_TTAFStock[RM_Code],$A69,T_TTAFStock[WeekIndex],76)&gt;0)&gt;0,SUMIFS(T_SelfStock[Self_Qty],T_SelfStock[RM_Code],$A69,T_SelfStock[WeekIndex],76)+SUMIFS(T_TTAFStock[TTAF_Qty],T_TTAFStock[RM_Code],$A69,T_TTAFStock[WeekIndex],76),BX69+'Grid_Incoming'!BY69-'Grid_Requirement'!BY69))</f>
        <v/>
      </c>
      <c r="BZ69">
        <f>IF(COUNTIFS(T_StockCount[RM_Code],$A69,T_StockCount[WeekIndex],77)&gt;0,SUMIFS(T_StockCount[CountedQty],T_StockCount[RM_Code],$A69,T_StockCount[WeekIndex],77),IF((COUNTIFS(T_SelfStock[RM_Code],$A69,T_SelfStock[WeekIndex],77)&gt;0)*(COUNTIFS(T_TTAFStock[RM_Code],$A69,T_TTAFStock[WeekIndex],77)&gt;0)&gt;0,SUMIFS(T_SelfStock[Self_Qty],T_SelfStock[RM_Code],$A69,T_SelfStock[WeekIndex],77)+SUMIFS(T_TTAFStock[TTAF_Qty],T_TTAFStock[RM_Code],$A69,T_TTAFStock[WeekIndex],77),BY69+'Grid_Incoming'!BZ69-'Grid_Requirement'!BZ69))</f>
        <v/>
      </c>
      <c r="CA69">
        <f>IF(COUNTIFS(T_StockCount[RM_Code],$A69,T_StockCount[WeekIndex],78)&gt;0,SUMIFS(T_StockCount[CountedQty],T_StockCount[RM_Code],$A69,T_StockCount[WeekIndex],78),IF((COUNTIFS(T_SelfStock[RM_Code],$A69,T_SelfStock[WeekIndex],78)&gt;0)*(COUNTIFS(T_TTAFStock[RM_Code],$A69,T_TTAFStock[WeekIndex],78)&gt;0)&gt;0,SUMIFS(T_SelfStock[Self_Qty],T_SelfStock[RM_Code],$A69,T_SelfStock[WeekIndex],78)+SUMIFS(T_TTAFStock[TTAF_Qty],T_TTAFStock[RM_Code],$A69,T_TTAFStock[WeekIndex],78),BZ69+'Grid_Incoming'!CA69-'Grid_Requirement'!CA69))</f>
        <v/>
      </c>
      <c r="CB69">
        <f>IF(COUNTIFS(T_StockCount[RM_Code],$A69,T_StockCount[WeekIndex],79)&gt;0,SUMIFS(T_StockCount[CountedQty],T_StockCount[RM_Code],$A69,T_StockCount[WeekIndex],79),IF((COUNTIFS(T_SelfStock[RM_Code],$A69,T_SelfStock[WeekIndex],79)&gt;0)*(COUNTIFS(T_TTAFStock[RM_Code],$A69,T_TTAFStock[WeekIndex],79)&gt;0)&gt;0,SUMIFS(T_SelfStock[Self_Qty],T_SelfStock[RM_Code],$A69,T_SelfStock[WeekIndex],79)+SUMIFS(T_TTAFStock[TTAF_Qty],T_TTAFStock[RM_Code],$A69,T_TTAFStock[WeekIndex],79),CA69+'Grid_Incoming'!CB69-'Grid_Requirement'!CB69))</f>
        <v/>
      </c>
      <c r="CC69">
        <f>IF(COUNTIFS(T_StockCount[RM_Code],$A69,T_StockCount[WeekIndex],80)&gt;0,SUMIFS(T_StockCount[CountedQty],T_StockCount[RM_Code],$A69,T_StockCount[WeekIndex],80),IF((COUNTIFS(T_SelfStock[RM_Code],$A69,T_SelfStock[WeekIndex],80)&gt;0)*(COUNTIFS(T_TTAFStock[RM_Code],$A69,T_TTAFStock[WeekIndex],80)&gt;0)&gt;0,SUMIFS(T_SelfStock[Self_Qty],T_SelfStock[RM_Code],$A69,T_SelfStock[WeekIndex],80)+SUMIFS(T_TTAFStock[TTAF_Qty],T_TTAFStock[RM_Code],$A69,T_TTAFStock[WeekIndex],80),CB69+'Grid_Incoming'!CC69-'Grid_Requirement'!CC69))</f>
        <v/>
      </c>
      <c r="CD69">
        <f>IF(COUNTIFS(T_StockCount[RM_Code],$A69,T_StockCount[WeekIndex],81)&gt;0,SUMIFS(T_StockCount[CountedQty],T_StockCount[RM_Code],$A69,T_StockCount[WeekIndex],81),IF((COUNTIFS(T_SelfStock[RM_Code],$A69,T_SelfStock[WeekIndex],81)&gt;0)*(COUNTIFS(T_TTAFStock[RM_Code],$A69,T_TTAFStock[WeekIndex],81)&gt;0)&gt;0,SUMIFS(T_SelfStock[Self_Qty],T_SelfStock[RM_Code],$A69,T_SelfStock[WeekIndex],81)+SUMIFS(T_TTAFStock[TTAF_Qty],T_TTAFStock[RM_Code],$A69,T_TTAFStock[WeekIndex],81),CC69+'Grid_Incoming'!CD69-'Grid_Requirement'!CD69))</f>
        <v/>
      </c>
      <c r="CE69">
        <f>IF(COUNTIFS(T_StockCount[RM_Code],$A69,T_StockCount[WeekIndex],82)&gt;0,SUMIFS(T_StockCount[CountedQty],T_StockCount[RM_Code],$A69,T_StockCount[WeekIndex],82),IF((COUNTIFS(T_SelfStock[RM_Code],$A69,T_SelfStock[WeekIndex],82)&gt;0)*(COUNTIFS(T_TTAFStock[RM_Code],$A69,T_TTAFStock[WeekIndex],82)&gt;0)&gt;0,SUMIFS(T_SelfStock[Self_Qty],T_SelfStock[RM_Code],$A69,T_SelfStock[WeekIndex],82)+SUMIFS(T_TTAFStock[TTAF_Qty],T_TTAFStock[RM_Code],$A69,T_TTAFStock[WeekIndex],82),CD69+'Grid_Incoming'!CE69-'Grid_Requirement'!CE69))</f>
        <v/>
      </c>
      <c r="CF69">
        <f>IF(COUNTIFS(T_StockCount[RM_Code],$A69,T_StockCount[WeekIndex],83)&gt;0,SUMIFS(T_StockCount[CountedQty],T_StockCount[RM_Code],$A69,T_StockCount[WeekIndex],83),IF((COUNTIFS(T_SelfStock[RM_Code],$A69,T_SelfStock[WeekIndex],83)&gt;0)*(COUNTIFS(T_TTAFStock[RM_Code],$A69,T_TTAFStock[WeekIndex],83)&gt;0)&gt;0,SUMIFS(T_SelfStock[Self_Qty],T_SelfStock[RM_Code],$A69,T_SelfStock[WeekIndex],83)+SUMIFS(T_TTAFStock[TTAF_Qty],T_TTAFStock[RM_Code],$A69,T_TTAFStock[WeekIndex],83),CE69+'Grid_Incoming'!CF69-'Grid_Requirement'!CF69))</f>
        <v/>
      </c>
      <c r="CG69">
        <f>IF(COUNTIFS(T_StockCount[RM_Code],$A69,T_StockCount[WeekIndex],84)&gt;0,SUMIFS(T_StockCount[CountedQty],T_StockCount[RM_Code],$A69,T_StockCount[WeekIndex],84),IF((COUNTIFS(T_SelfStock[RM_Code],$A69,T_SelfStock[WeekIndex],84)&gt;0)*(COUNTIFS(T_TTAFStock[RM_Code],$A69,T_TTAFStock[WeekIndex],84)&gt;0)&gt;0,SUMIFS(T_SelfStock[Self_Qty],T_SelfStock[RM_Code],$A69,T_SelfStock[WeekIndex],84)+SUMIFS(T_TTAFStock[TTAF_Qty],T_TTAFStock[RM_Code],$A69,T_TTAFStock[WeekIndex],84),CF69+'Grid_Incoming'!CG69-'Grid_Requirement'!CG69))</f>
        <v/>
      </c>
      <c r="CH69">
        <f>IF(COUNTIFS(T_StockCount[RM_Code],$A69,T_StockCount[WeekIndex],85)&gt;0,SUMIFS(T_StockCount[CountedQty],T_StockCount[RM_Code],$A69,T_StockCount[WeekIndex],85),IF((COUNTIFS(T_SelfStock[RM_Code],$A69,T_SelfStock[WeekIndex],85)&gt;0)*(COUNTIFS(T_TTAFStock[RM_Code],$A69,T_TTAFStock[WeekIndex],85)&gt;0)&gt;0,SUMIFS(T_SelfStock[Self_Qty],T_SelfStock[RM_Code],$A69,T_SelfStock[WeekIndex],85)+SUMIFS(T_TTAFStock[TTAF_Qty],T_TTAFStock[RM_Code],$A69,T_TTAFStock[WeekIndex],85),CG69+'Grid_Incoming'!CH69-'Grid_Requirement'!CH69))</f>
        <v/>
      </c>
      <c r="CI69">
        <f>IF(COUNTIFS(T_StockCount[RM_Code],$A69,T_StockCount[WeekIndex],86)&gt;0,SUMIFS(T_StockCount[CountedQty],T_StockCount[RM_Code],$A69,T_StockCount[WeekIndex],86),IF((COUNTIFS(T_SelfStock[RM_Code],$A69,T_SelfStock[WeekIndex],86)&gt;0)*(COUNTIFS(T_TTAFStock[RM_Code],$A69,T_TTAFStock[WeekIndex],86)&gt;0)&gt;0,SUMIFS(T_SelfStock[Self_Qty],T_SelfStock[RM_Code],$A69,T_SelfStock[WeekIndex],86)+SUMIFS(T_TTAFStock[TTAF_Qty],T_TTAFStock[RM_Code],$A69,T_TTAFStock[WeekIndex],86),CH69+'Grid_Incoming'!CI69-'Grid_Requirement'!CI69))</f>
        <v/>
      </c>
      <c r="CJ69">
        <f>IF(COUNTIFS(T_StockCount[RM_Code],$A69,T_StockCount[WeekIndex],87)&gt;0,SUMIFS(T_StockCount[CountedQty],T_StockCount[RM_Code],$A69,T_StockCount[WeekIndex],87),IF((COUNTIFS(T_SelfStock[RM_Code],$A69,T_SelfStock[WeekIndex],87)&gt;0)*(COUNTIFS(T_TTAFStock[RM_Code],$A69,T_TTAFStock[WeekIndex],87)&gt;0)&gt;0,SUMIFS(T_SelfStock[Self_Qty],T_SelfStock[RM_Code],$A69,T_SelfStock[WeekIndex],87)+SUMIFS(T_TTAFStock[TTAF_Qty],T_TTAFStock[RM_Code],$A69,T_TTAFStock[WeekIndex],87),CI69+'Grid_Incoming'!CJ69-'Grid_Requirement'!CJ69))</f>
        <v/>
      </c>
      <c r="CK69">
        <f>IF(COUNTIFS(T_StockCount[RM_Code],$A69,T_StockCount[WeekIndex],88)&gt;0,SUMIFS(T_StockCount[CountedQty],T_StockCount[RM_Code],$A69,T_StockCount[WeekIndex],88),IF((COUNTIFS(T_SelfStock[RM_Code],$A69,T_SelfStock[WeekIndex],88)&gt;0)*(COUNTIFS(T_TTAFStock[RM_Code],$A69,T_TTAFStock[WeekIndex],88)&gt;0)&gt;0,SUMIFS(T_SelfStock[Self_Qty],T_SelfStock[RM_Code],$A69,T_SelfStock[WeekIndex],88)+SUMIFS(T_TTAFStock[TTAF_Qty],T_TTAFStock[RM_Code],$A69,T_TTAFStock[WeekIndex],88),CJ69+'Grid_Incoming'!CK69-'Grid_Requirement'!CK69))</f>
        <v/>
      </c>
      <c r="CL69">
        <f>IF(COUNTIFS(T_StockCount[RM_Code],$A69,T_StockCount[WeekIndex],89)&gt;0,SUMIFS(T_StockCount[CountedQty],T_StockCount[RM_Code],$A69,T_StockCount[WeekIndex],89),IF((COUNTIFS(T_SelfStock[RM_Code],$A69,T_SelfStock[WeekIndex],89)&gt;0)*(COUNTIFS(T_TTAFStock[RM_Code],$A69,T_TTAFStock[WeekIndex],89)&gt;0)&gt;0,SUMIFS(T_SelfStock[Self_Qty],T_SelfStock[RM_Code],$A69,T_SelfStock[WeekIndex],89)+SUMIFS(T_TTAFStock[TTAF_Qty],T_TTAFStock[RM_Code],$A69,T_TTAFStock[WeekIndex],89),CK69+'Grid_Incoming'!CL69-'Grid_Requirement'!CL69))</f>
        <v/>
      </c>
      <c r="CM69">
        <f>IF(COUNTIFS(T_StockCount[RM_Code],$A69,T_StockCount[WeekIndex],90)&gt;0,SUMIFS(T_StockCount[CountedQty],T_StockCount[RM_Code],$A69,T_StockCount[WeekIndex],90),IF((COUNTIFS(T_SelfStock[RM_Code],$A69,T_SelfStock[WeekIndex],90)&gt;0)*(COUNTIFS(T_TTAFStock[RM_Code],$A69,T_TTAFStock[WeekIndex],90)&gt;0)&gt;0,SUMIFS(T_SelfStock[Self_Qty],T_SelfStock[RM_Code],$A69,T_SelfStock[WeekIndex],90)+SUMIFS(T_TTAFStock[TTAF_Qty],T_TTAFStock[RM_Code],$A69,T_TTAFStock[WeekIndex],90),CL69+'Grid_Incoming'!CM69-'Grid_Requirement'!CM69))</f>
        <v/>
      </c>
      <c r="CN69">
        <f>IF(COUNTIFS(T_StockCount[RM_Code],$A69,T_StockCount[WeekIndex],91)&gt;0,SUMIFS(T_StockCount[CountedQty],T_StockCount[RM_Code],$A69,T_StockCount[WeekIndex],91),IF((COUNTIFS(T_SelfStock[RM_Code],$A69,T_SelfStock[WeekIndex],91)&gt;0)*(COUNTIFS(T_TTAFStock[RM_Code],$A69,T_TTAFStock[WeekIndex],91)&gt;0)&gt;0,SUMIFS(T_SelfStock[Self_Qty],T_SelfStock[RM_Code],$A69,T_SelfStock[WeekIndex],91)+SUMIFS(T_TTAFStock[TTAF_Qty],T_TTAFStock[RM_Code],$A69,T_TTAFStock[WeekIndex],91),CM69+'Grid_Incoming'!CN69-'Grid_Requirement'!CN69))</f>
        <v/>
      </c>
      <c r="CO69">
        <f>IF(COUNTIFS(T_StockCount[RM_Code],$A69,T_StockCount[WeekIndex],92)&gt;0,SUMIFS(T_StockCount[CountedQty],T_StockCount[RM_Code],$A69,T_StockCount[WeekIndex],92),IF((COUNTIFS(T_SelfStock[RM_Code],$A69,T_SelfStock[WeekIndex],92)&gt;0)*(COUNTIFS(T_TTAFStock[RM_Code],$A69,T_TTAFStock[WeekIndex],92)&gt;0)&gt;0,SUMIFS(T_SelfStock[Self_Qty],T_SelfStock[RM_Code],$A69,T_SelfStock[WeekIndex],92)+SUMIFS(T_TTAFStock[TTAF_Qty],T_TTAFStock[RM_Code],$A69,T_TTAFStock[WeekIndex],92),CN69+'Grid_Incoming'!CO69-'Grid_Requirement'!CO69))</f>
        <v/>
      </c>
      <c r="CP69">
        <f>IF(COUNTIFS(T_StockCount[RM_Code],$A69,T_StockCount[WeekIndex],93)&gt;0,SUMIFS(T_StockCount[CountedQty],T_StockCount[RM_Code],$A69,T_StockCount[WeekIndex],93),IF((COUNTIFS(T_SelfStock[RM_Code],$A69,T_SelfStock[WeekIndex],93)&gt;0)*(COUNTIFS(T_TTAFStock[RM_Code],$A69,T_TTAFStock[WeekIndex],93)&gt;0)&gt;0,SUMIFS(T_SelfStock[Self_Qty],T_SelfStock[RM_Code],$A69,T_SelfStock[WeekIndex],93)+SUMIFS(T_TTAFStock[TTAF_Qty],T_TTAFStock[RM_Code],$A69,T_TTAFStock[WeekIndex],93),CO69+'Grid_Incoming'!CP69-'Grid_Requirement'!CP69))</f>
        <v/>
      </c>
      <c r="CQ69">
        <f>IF(COUNTIFS(T_StockCount[RM_Code],$A69,T_StockCount[WeekIndex],94)&gt;0,SUMIFS(T_StockCount[CountedQty],T_StockCount[RM_Code],$A69,T_StockCount[WeekIndex],94),IF((COUNTIFS(T_SelfStock[RM_Code],$A69,T_SelfStock[WeekIndex],94)&gt;0)*(COUNTIFS(T_TTAFStock[RM_Code],$A69,T_TTAFStock[WeekIndex],94)&gt;0)&gt;0,SUMIFS(T_SelfStock[Self_Qty],T_SelfStock[RM_Code],$A69,T_SelfStock[WeekIndex],94)+SUMIFS(T_TTAFStock[TTAF_Qty],T_TTAFStock[RM_Code],$A69,T_TTAFStock[WeekIndex],94),CP69+'Grid_Incoming'!CQ69-'Grid_Requirement'!CQ69))</f>
        <v/>
      </c>
      <c r="CR69">
        <f>IF(COUNTIFS(T_StockCount[RM_Code],$A69,T_StockCount[WeekIndex],95)&gt;0,SUMIFS(T_StockCount[CountedQty],T_StockCount[RM_Code],$A69,T_StockCount[WeekIndex],95),IF((COUNTIFS(T_SelfStock[RM_Code],$A69,T_SelfStock[WeekIndex],95)&gt;0)*(COUNTIFS(T_TTAFStock[RM_Code],$A69,T_TTAFStock[WeekIndex],95)&gt;0)&gt;0,SUMIFS(T_SelfStock[Self_Qty],T_SelfStock[RM_Code],$A69,T_SelfStock[WeekIndex],95)+SUMIFS(T_TTAFStock[TTAF_Qty],T_TTAFStock[RM_Code],$A69,T_TTAFStock[WeekIndex],95),CQ69+'Grid_Incoming'!CR69-'Grid_Requirement'!CR69))</f>
        <v/>
      </c>
      <c r="CS69">
        <f>IF(COUNTIFS(T_StockCount[RM_Code],$A69,T_StockCount[WeekIndex],96)&gt;0,SUMIFS(T_StockCount[CountedQty],T_StockCount[RM_Code],$A69,T_StockCount[WeekIndex],96),IF((COUNTIFS(T_SelfStock[RM_Code],$A69,T_SelfStock[WeekIndex],96)&gt;0)*(COUNTIFS(T_TTAFStock[RM_Code],$A69,T_TTAFStock[WeekIndex],96)&gt;0)&gt;0,SUMIFS(T_SelfStock[Self_Qty],T_SelfStock[RM_Code],$A69,T_SelfStock[WeekIndex],96)+SUMIFS(T_TTAFStock[TTAF_Qty],T_TTAFStock[RM_Code],$A69,T_TTAFStock[WeekIndex],96),CR69+'Grid_Incoming'!CS69-'Grid_Requirement'!CS69))</f>
        <v/>
      </c>
      <c r="CT69">
        <f>IF(COUNTIFS(T_StockCount[RM_Code],$A69,T_StockCount[WeekIndex],97)&gt;0,SUMIFS(T_StockCount[CountedQty],T_StockCount[RM_Code],$A69,T_StockCount[WeekIndex],97),IF((COUNTIFS(T_SelfStock[RM_Code],$A69,T_SelfStock[WeekIndex],97)&gt;0)*(COUNTIFS(T_TTAFStock[RM_Code],$A69,T_TTAFStock[WeekIndex],97)&gt;0)&gt;0,SUMIFS(T_SelfStock[Self_Qty],T_SelfStock[RM_Code],$A69,T_SelfStock[WeekIndex],97)+SUMIFS(T_TTAFStock[TTAF_Qty],T_TTAFStock[RM_Code],$A69,T_TTAFStock[WeekIndex],97),CS69+'Grid_Incoming'!CT69-'Grid_Requirement'!CT69))</f>
        <v/>
      </c>
      <c r="CU69">
        <f>IF(COUNTIFS(T_StockCount[RM_Code],$A69,T_StockCount[WeekIndex],98)&gt;0,SUMIFS(T_StockCount[CountedQty],T_StockCount[RM_Code],$A69,T_StockCount[WeekIndex],98),IF((COUNTIFS(T_SelfStock[RM_Code],$A69,T_SelfStock[WeekIndex],98)&gt;0)*(COUNTIFS(T_TTAFStock[RM_Code],$A69,T_TTAFStock[WeekIndex],98)&gt;0)&gt;0,SUMIFS(T_SelfStock[Self_Qty],T_SelfStock[RM_Code],$A69,T_SelfStock[WeekIndex],98)+SUMIFS(T_TTAFStock[TTAF_Qty],T_TTAFStock[RM_Code],$A69,T_TTAFStock[WeekIndex],98),CT69+'Grid_Incoming'!CU69-'Grid_Requirement'!CU69))</f>
        <v/>
      </c>
      <c r="CV69">
        <f>IF(COUNTIFS(T_StockCount[RM_Code],$A69,T_StockCount[WeekIndex],99)&gt;0,SUMIFS(T_StockCount[CountedQty],T_StockCount[RM_Code],$A69,T_StockCount[WeekIndex],99),IF((COUNTIFS(T_SelfStock[RM_Code],$A69,T_SelfStock[WeekIndex],99)&gt;0)*(COUNTIFS(T_TTAFStock[RM_Code],$A69,T_TTAFStock[WeekIndex],99)&gt;0)&gt;0,SUMIFS(T_SelfStock[Self_Qty],T_SelfStock[RM_Code],$A69,T_SelfStock[WeekIndex],99)+SUMIFS(T_TTAFStock[TTAF_Qty],T_TTAFStock[RM_Code],$A69,T_TTAFStock[WeekIndex],99),CU69+'Grid_Incoming'!CV69-'Grid_Requirement'!CV69))</f>
        <v/>
      </c>
      <c r="CW69">
        <f>IF(COUNTIFS(T_StockCount[RM_Code],$A69,T_StockCount[WeekIndex],100)&gt;0,SUMIFS(T_StockCount[CountedQty],T_StockCount[RM_Code],$A69,T_StockCount[WeekIndex],100),IF((COUNTIFS(T_SelfStock[RM_Code],$A69,T_SelfStock[WeekIndex],100)&gt;0)*(COUNTIFS(T_TTAFStock[RM_Code],$A69,T_TTAFStock[WeekIndex],100)&gt;0)&gt;0,SUMIFS(T_SelfStock[Self_Qty],T_SelfStock[RM_Code],$A69,T_SelfStock[WeekIndex],100)+SUMIFS(T_TTAFStock[TTAF_Qty],T_TTAFStock[RM_Code],$A69,T_TTAFStock[WeekIndex],100),CV69+'Grid_Incoming'!CW69-'Grid_Requirement'!CW69))</f>
        <v/>
      </c>
      <c r="CX69">
        <f>IF(COUNTIFS(T_StockCount[RM_Code],$A69,T_StockCount[WeekIndex],101)&gt;0,SUMIFS(T_StockCount[CountedQty],T_StockCount[RM_Code],$A69,T_StockCount[WeekIndex],101),IF((COUNTIFS(T_SelfStock[RM_Code],$A69,T_SelfStock[WeekIndex],101)&gt;0)*(COUNTIFS(T_TTAFStock[RM_Code],$A69,T_TTAFStock[WeekIndex],101)&gt;0)&gt;0,SUMIFS(T_SelfStock[Self_Qty],T_SelfStock[RM_Code],$A69,T_SelfStock[WeekIndex],101)+SUMIFS(T_TTAFStock[TTAF_Qty],T_TTAFStock[RM_Code],$A69,T_TTAFStock[WeekIndex],101),CW69+'Grid_Incoming'!CX69-'Grid_Requirement'!CX69))</f>
        <v/>
      </c>
      <c r="CY69">
        <f>IF(COUNTIFS(T_StockCount[RM_Code],$A69,T_StockCount[WeekIndex],102)&gt;0,SUMIFS(T_StockCount[CountedQty],T_StockCount[RM_Code],$A69,T_StockCount[WeekIndex],102),IF((COUNTIFS(T_SelfStock[RM_Code],$A69,T_SelfStock[WeekIndex],102)&gt;0)*(COUNTIFS(T_TTAFStock[RM_Code],$A69,T_TTAFStock[WeekIndex],102)&gt;0)&gt;0,SUMIFS(T_SelfStock[Self_Qty],T_SelfStock[RM_Code],$A69,T_SelfStock[WeekIndex],102)+SUMIFS(T_TTAFStock[TTAF_Qty],T_TTAFStock[RM_Code],$A69,T_TTAFStock[WeekIndex],102),CX69+'Grid_Incoming'!CY69-'Grid_Requirement'!CY69))</f>
        <v/>
      </c>
      <c r="CZ69">
        <f>IF(COUNTIFS(T_StockCount[RM_Code],$A69,T_StockCount[WeekIndex],103)&gt;0,SUMIFS(T_StockCount[CountedQty],T_StockCount[RM_Code],$A69,T_StockCount[WeekIndex],103),IF((COUNTIFS(T_SelfStock[RM_Code],$A69,T_SelfStock[WeekIndex],103)&gt;0)*(COUNTIFS(T_TTAFStock[RM_Code],$A69,T_TTAFStock[WeekIndex],103)&gt;0)&gt;0,SUMIFS(T_SelfStock[Self_Qty],T_SelfStock[RM_Code],$A69,T_SelfStock[WeekIndex],103)+SUMIFS(T_TTAFStock[TTAF_Qty],T_TTAFStock[RM_Code],$A69,T_TTAFStock[WeekIndex],103),CY69+'Grid_Incoming'!CZ69-'Grid_Requirement'!CZ69))</f>
        <v/>
      </c>
      <c r="DA69">
        <f>IF(COUNTIFS(T_StockCount[RM_Code],$A69,T_StockCount[WeekIndex],104)&gt;0,SUMIFS(T_StockCount[CountedQty],T_StockCount[RM_Code],$A69,T_StockCount[WeekIndex],104),IF((COUNTIFS(T_SelfStock[RM_Code],$A69,T_SelfStock[WeekIndex],104)&gt;0)*(COUNTIFS(T_TTAFStock[RM_Code],$A69,T_TTAFStock[WeekIndex],104)&gt;0)&gt;0,SUMIFS(T_SelfStock[Self_Qty],T_SelfStock[RM_Code],$A69,T_SelfStock[WeekIndex],104)+SUMIFS(T_TTAFStock[TTAF_Qty],T_TTAFStock[RM_Code],$A69,T_TTAFStock[WeekIndex],104),CZ69+'Grid_Incoming'!DA69-'Grid_Requirement'!DA69))</f>
        <v/>
      </c>
    </row>
    <row r="70">
      <c r="A70" t="inlineStr">
        <is>
          <t>CHEM-1750</t>
        </is>
      </c>
      <c r="B70">
        <f>IF(COUNTIFS(T_StockCount[RM_Code],$A70,T_StockCount[WeekIndex],1)&gt;0,SUMIFS(T_StockCount[CountedQty],T_StockCount[RM_Code],$A70,T_StockCount[WeekIndex],1),IF((COUNTIFS(T_SelfStock[RM_Code],$A70,T_SelfStock[WeekIndex],1)&gt;0)*(COUNTIFS(T_TTAFStock[RM_Code],$A70,T_TTAFStock[WeekIndex],1)&gt;0)&gt;0,SUMIFS(T_SelfStock[Self_Qty],T_SelfStock[RM_Code],$A70,T_SelfStock[WeekIndex],1)+SUMIFS(T_TTAFStock[TTAF_Qty],T_TTAFStock[RM_Code],$A70,T_TTAFStock[WeekIndex],1),IFERROR(INDEX(T_OpeningStock[Opening_Qty],MATCH($A70,T_OpeningStock[RM_Code],0)),0)+'Grid_Incoming'!B70-'Grid_Requirement'!B70))</f>
        <v/>
      </c>
      <c r="C70">
        <f>IF(COUNTIFS(T_StockCount[RM_Code],$A70,T_StockCount[WeekIndex],2)&gt;0,SUMIFS(T_StockCount[CountedQty],T_StockCount[RM_Code],$A70,T_StockCount[WeekIndex],2),IF((COUNTIFS(T_SelfStock[RM_Code],$A70,T_SelfStock[WeekIndex],2)&gt;0)*(COUNTIFS(T_TTAFStock[RM_Code],$A70,T_TTAFStock[WeekIndex],2)&gt;0)&gt;0,SUMIFS(T_SelfStock[Self_Qty],T_SelfStock[RM_Code],$A70,T_SelfStock[WeekIndex],2)+SUMIFS(T_TTAFStock[TTAF_Qty],T_TTAFStock[RM_Code],$A70,T_TTAFStock[WeekIndex],2),B70+'Grid_Incoming'!C70-'Grid_Requirement'!C70))</f>
        <v/>
      </c>
      <c r="D70">
        <f>IF(COUNTIFS(T_StockCount[RM_Code],$A70,T_StockCount[WeekIndex],3)&gt;0,SUMIFS(T_StockCount[CountedQty],T_StockCount[RM_Code],$A70,T_StockCount[WeekIndex],3),IF((COUNTIFS(T_SelfStock[RM_Code],$A70,T_SelfStock[WeekIndex],3)&gt;0)*(COUNTIFS(T_TTAFStock[RM_Code],$A70,T_TTAFStock[WeekIndex],3)&gt;0)&gt;0,SUMIFS(T_SelfStock[Self_Qty],T_SelfStock[RM_Code],$A70,T_SelfStock[WeekIndex],3)+SUMIFS(T_TTAFStock[TTAF_Qty],T_TTAFStock[RM_Code],$A70,T_TTAFStock[WeekIndex],3),C70+'Grid_Incoming'!D70-'Grid_Requirement'!D70))</f>
        <v/>
      </c>
      <c r="E70">
        <f>IF(COUNTIFS(T_StockCount[RM_Code],$A70,T_StockCount[WeekIndex],4)&gt;0,SUMIFS(T_StockCount[CountedQty],T_StockCount[RM_Code],$A70,T_StockCount[WeekIndex],4),IF((COUNTIFS(T_SelfStock[RM_Code],$A70,T_SelfStock[WeekIndex],4)&gt;0)*(COUNTIFS(T_TTAFStock[RM_Code],$A70,T_TTAFStock[WeekIndex],4)&gt;0)&gt;0,SUMIFS(T_SelfStock[Self_Qty],T_SelfStock[RM_Code],$A70,T_SelfStock[WeekIndex],4)+SUMIFS(T_TTAFStock[TTAF_Qty],T_TTAFStock[RM_Code],$A70,T_TTAFStock[WeekIndex],4),D70+'Grid_Incoming'!E70-'Grid_Requirement'!E70))</f>
        <v/>
      </c>
      <c r="F70">
        <f>IF(COUNTIFS(T_StockCount[RM_Code],$A70,T_StockCount[WeekIndex],5)&gt;0,SUMIFS(T_StockCount[CountedQty],T_StockCount[RM_Code],$A70,T_StockCount[WeekIndex],5),IF((COUNTIFS(T_SelfStock[RM_Code],$A70,T_SelfStock[WeekIndex],5)&gt;0)*(COUNTIFS(T_TTAFStock[RM_Code],$A70,T_TTAFStock[WeekIndex],5)&gt;0)&gt;0,SUMIFS(T_SelfStock[Self_Qty],T_SelfStock[RM_Code],$A70,T_SelfStock[WeekIndex],5)+SUMIFS(T_TTAFStock[TTAF_Qty],T_TTAFStock[RM_Code],$A70,T_TTAFStock[WeekIndex],5),E70+'Grid_Incoming'!F70-'Grid_Requirement'!F70))</f>
        <v/>
      </c>
      <c r="G70">
        <f>IF(COUNTIFS(T_StockCount[RM_Code],$A70,T_StockCount[WeekIndex],6)&gt;0,SUMIFS(T_StockCount[CountedQty],T_StockCount[RM_Code],$A70,T_StockCount[WeekIndex],6),IF((COUNTIFS(T_SelfStock[RM_Code],$A70,T_SelfStock[WeekIndex],6)&gt;0)*(COUNTIFS(T_TTAFStock[RM_Code],$A70,T_TTAFStock[WeekIndex],6)&gt;0)&gt;0,SUMIFS(T_SelfStock[Self_Qty],T_SelfStock[RM_Code],$A70,T_SelfStock[WeekIndex],6)+SUMIFS(T_TTAFStock[TTAF_Qty],T_TTAFStock[RM_Code],$A70,T_TTAFStock[WeekIndex],6),F70+'Grid_Incoming'!G70-'Grid_Requirement'!G70))</f>
        <v/>
      </c>
      <c r="H70">
        <f>IF(COUNTIFS(T_StockCount[RM_Code],$A70,T_StockCount[WeekIndex],7)&gt;0,SUMIFS(T_StockCount[CountedQty],T_StockCount[RM_Code],$A70,T_StockCount[WeekIndex],7),IF((COUNTIFS(T_SelfStock[RM_Code],$A70,T_SelfStock[WeekIndex],7)&gt;0)*(COUNTIFS(T_TTAFStock[RM_Code],$A70,T_TTAFStock[WeekIndex],7)&gt;0)&gt;0,SUMIFS(T_SelfStock[Self_Qty],T_SelfStock[RM_Code],$A70,T_SelfStock[WeekIndex],7)+SUMIFS(T_TTAFStock[TTAF_Qty],T_TTAFStock[RM_Code],$A70,T_TTAFStock[WeekIndex],7),G70+'Grid_Incoming'!H70-'Grid_Requirement'!H70))</f>
        <v/>
      </c>
      <c r="I70">
        <f>IF(COUNTIFS(T_StockCount[RM_Code],$A70,T_StockCount[WeekIndex],8)&gt;0,SUMIFS(T_StockCount[CountedQty],T_StockCount[RM_Code],$A70,T_StockCount[WeekIndex],8),IF((COUNTIFS(T_SelfStock[RM_Code],$A70,T_SelfStock[WeekIndex],8)&gt;0)*(COUNTIFS(T_TTAFStock[RM_Code],$A70,T_TTAFStock[WeekIndex],8)&gt;0)&gt;0,SUMIFS(T_SelfStock[Self_Qty],T_SelfStock[RM_Code],$A70,T_SelfStock[WeekIndex],8)+SUMIFS(T_TTAFStock[TTAF_Qty],T_TTAFStock[RM_Code],$A70,T_TTAFStock[WeekIndex],8),H70+'Grid_Incoming'!I70-'Grid_Requirement'!I70))</f>
        <v/>
      </c>
      <c r="J70">
        <f>IF(COUNTIFS(T_StockCount[RM_Code],$A70,T_StockCount[WeekIndex],9)&gt;0,SUMIFS(T_StockCount[CountedQty],T_StockCount[RM_Code],$A70,T_StockCount[WeekIndex],9),IF((COUNTIFS(T_SelfStock[RM_Code],$A70,T_SelfStock[WeekIndex],9)&gt;0)*(COUNTIFS(T_TTAFStock[RM_Code],$A70,T_TTAFStock[WeekIndex],9)&gt;0)&gt;0,SUMIFS(T_SelfStock[Self_Qty],T_SelfStock[RM_Code],$A70,T_SelfStock[WeekIndex],9)+SUMIFS(T_TTAFStock[TTAF_Qty],T_TTAFStock[RM_Code],$A70,T_TTAFStock[WeekIndex],9),I70+'Grid_Incoming'!J70-'Grid_Requirement'!J70))</f>
        <v/>
      </c>
      <c r="K70">
        <f>IF(COUNTIFS(T_StockCount[RM_Code],$A70,T_StockCount[WeekIndex],10)&gt;0,SUMIFS(T_StockCount[CountedQty],T_StockCount[RM_Code],$A70,T_StockCount[WeekIndex],10),IF((COUNTIFS(T_SelfStock[RM_Code],$A70,T_SelfStock[WeekIndex],10)&gt;0)*(COUNTIFS(T_TTAFStock[RM_Code],$A70,T_TTAFStock[WeekIndex],10)&gt;0)&gt;0,SUMIFS(T_SelfStock[Self_Qty],T_SelfStock[RM_Code],$A70,T_SelfStock[WeekIndex],10)+SUMIFS(T_TTAFStock[TTAF_Qty],T_TTAFStock[RM_Code],$A70,T_TTAFStock[WeekIndex],10),J70+'Grid_Incoming'!K70-'Grid_Requirement'!K70))</f>
        <v/>
      </c>
      <c r="L70">
        <f>IF(COUNTIFS(T_StockCount[RM_Code],$A70,T_StockCount[WeekIndex],11)&gt;0,SUMIFS(T_StockCount[CountedQty],T_StockCount[RM_Code],$A70,T_StockCount[WeekIndex],11),IF((COUNTIFS(T_SelfStock[RM_Code],$A70,T_SelfStock[WeekIndex],11)&gt;0)*(COUNTIFS(T_TTAFStock[RM_Code],$A70,T_TTAFStock[WeekIndex],11)&gt;0)&gt;0,SUMIFS(T_SelfStock[Self_Qty],T_SelfStock[RM_Code],$A70,T_SelfStock[WeekIndex],11)+SUMIFS(T_TTAFStock[TTAF_Qty],T_TTAFStock[RM_Code],$A70,T_TTAFStock[WeekIndex],11),K70+'Grid_Incoming'!L70-'Grid_Requirement'!L70))</f>
        <v/>
      </c>
      <c r="M70">
        <f>IF(COUNTIFS(T_StockCount[RM_Code],$A70,T_StockCount[WeekIndex],12)&gt;0,SUMIFS(T_StockCount[CountedQty],T_StockCount[RM_Code],$A70,T_StockCount[WeekIndex],12),IF((COUNTIFS(T_SelfStock[RM_Code],$A70,T_SelfStock[WeekIndex],12)&gt;0)*(COUNTIFS(T_TTAFStock[RM_Code],$A70,T_TTAFStock[WeekIndex],12)&gt;0)&gt;0,SUMIFS(T_SelfStock[Self_Qty],T_SelfStock[RM_Code],$A70,T_SelfStock[WeekIndex],12)+SUMIFS(T_TTAFStock[TTAF_Qty],T_TTAFStock[RM_Code],$A70,T_TTAFStock[WeekIndex],12),L70+'Grid_Incoming'!M70-'Grid_Requirement'!M70))</f>
        <v/>
      </c>
      <c r="N70">
        <f>IF(COUNTIFS(T_StockCount[RM_Code],$A70,T_StockCount[WeekIndex],13)&gt;0,SUMIFS(T_StockCount[CountedQty],T_StockCount[RM_Code],$A70,T_StockCount[WeekIndex],13),IF((COUNTIFS(T_SelfStock[RM_Code],$A70,T_SelfStock[WeekIndex],13)&gt;0)*(COUNTIFS(T_TTAFStock[RM_Code],$A70,T_TTAFStock[WeekIndex],13)&gt;0)&gt;0,SUMIFS(T_SelfStock[Self_Qty],T_SelfStock[RM_Code],$A70,T_SelfStock[WeekIndex],13)+SUMIFS(T_TTAFStock[TTAF_Qty],T_TTAFStock[RM_Code],$A70,T_TTAFStock[WeekIndex],13),M70+'Grid_Incoming'!N70-'Grid_Requirement'!N70))</f>
        <v/>
      </c>
      <c r="O70">
        <f>IF(COUNTIFS(T_StockCount[RM_Code],$A70,T_StockCount[WeekIndex],14)&gt;0,SUMIFS(T_StockCount[CountedQty],T_StockCount[RM_Code],$A70,T_StockCount[WeekIndex],14),IF((COUNTIFS(T_SelfStock[RM_Code],$A70,T_SelfStock[WeekIndex],14)&gt;0)*(COUNTIFS(T_TTAFStock[RM_Code],$A70,T_TTAFStock[WeekIndex],14)&gt;0)&gt;0,SUMIFS(T_SelfStock[Self_Qty],T_SelfStock[RM_Code],$A70,T_SelfStock[WeekIndex],14)+SUMIFS(T_TTAFStock[TTAF_Qty],T_TTAFStock[RM_Code],$A70,T_TTAFStock[WeekIndex],14),N70+'Grid_Incoming'!O70-'Grid_Requirement'!O70))</f>
        <v/>
      </c>
      <c r="P70">
        <f>IF(COUNTIFS(T_StockCount[RM_Code],$A70,T_StockCount[WeekIndex],15)&gt;0,SUMIFS(T_StockCount[CountedQty],T_StockCount[RM_Code],$A70,T_StockCount[WeekIndex],15),IF((COUNTIFS(T_SelfStock[RM_Code],$A70,T_SelfStock[WeekIndex],15)&gt;0)*(COUNTIFS(T_TTAFStock[RM_Code],$A70,T_TTAFStock[WeekIndex],15)&gt;0)&gt;0,SUMIFS(T_SelfStock[Self_Qty],T_SelfStock[RM_Code],$A70,T_SelfStock[WeekIndex],15)+SUMIFS(T_TTAFStock[TTAF_Qty],T_TTAFStock[RM_Code],$A70,T_TTAFStock[WeekIndex],15),O70+'Grid_Incoming'!P70-'Grid_Requirement'!P70))</f>
        <v/>
      </c>
      <c r="Q70">
        <f>IF(COUNTIFS(T_StockCount[RM_Code],$A70,T_StockCount[WeekIndex],16)&gt;0,SUMIFS(T_StockCount[CountedQty],T_StockCount[RM_Code],$A70,T_StockCount[WeekIndex],16),IF((COUNTIFS(T_SelfStock[RM_Code],$A70,T_SelfStock[WeekIndex],16)&gt;0)*(COUNTIFS(T_TTAFStock[RM_Code],$A70,T_TTAFStock[WeekIndex],16)&gt;0)&gt;0,SUMIFS(T_SelfStock[Self_Qty],T_SelfStock[RM_Code],$A70,T_SelfStock[WeekIndex],16)+SUMIFS(T_TTAFStock[TTAF_Qty],T_TTAFStock[RM_Code],$A70,T_TTAFStock[WeekIndex],16),P70+'Grid_Incoming'!Q70-'Grid_Requirement'!Q70))</f>
        <v/>
      </c>
      <c r="R70">
        <f>IF(COUNTIFS(T_StockCount[RM_Code],$A70,T_StockCount[WeekIndex],17)&gt;0,SUMIFS(T_StockCount[CountedQty],T_StockCount[RM_Code],$A70,T_StockCount[WeekIndex],17),IF((COUNTIFS(T_SelfStock[RM_Code],$A70,T_SelfStock[WeekIndex],17)&gt;0)*(COUNTIFS(T_TTAFStock[RM_Code],$A70,T_TTAFStock[WeekIndex],17)&gt;0)&gt;0,SUMIFS(T_SelfStock[Self_Qty],T_SelfStock[RM_Code],$A70,T_SelfStock[WeekIndex],17)+SUMIFS(T_TTAFStock[TTAF_Qty],T_TTAFStock[RM_Code],$A70,T_TTAFStock[WeekIndex],17),Q70+'Grid_Incoming'!R70-'Grid_Requirement'!R70))</f>
        <v/>
      </c>
      <c r="S70">
        <f>IF(COUNTIFS(T_StockCount[RM_Code],$A70,T_StockCount[WeekIndex],18)&gt;0,SUMIFS(T_StockCount[CountedQty],T_StockCount[RM_Code],$A70,T_StockCount[WeekIndex],18),IF((COUNTIFS(T_SelfStock[RM_Code],$A70,T_SelfStock[WeekIndex],18)&gt;0)*(COUNTIFS(T_TTAFStock[RM_Code],$A70,T_TTAFStock[WeekIndex],18)&gt;0)&gt;0,SUMIFS(T_SelfStock[Self_Qty],T_SelfStock[RM_Code],$A70,T_SelfStock[WeekIndex],18)+SUMIFS(T_TTAFStock[TTAF_Qty],T_TTAFStock[RM_Code],$A70,T_TTAFStock[WeekIndex],18),R70+'Grid_Incoming'!S70-'Grid_Requirement'!S70))</f>
        <v/>
      </c>
      <c r="T70">
        <f>IF(COUNTIFS(T_StockCount[RM_Code],$A70,T_StockCount[WeekIndex],19)&gt;0,SUMIFS(T_StockCount[CountedQty],T_StockCount[RM_Code],$A70,T_StockCount[WeekIndex],19),IF((COUNTIFS(T_SelfStock[RM_Code],$A70,T_SelfStock[WeekIndex],19)&gt;0)*(COUNTIFS(T_TTAFStock[RM_Code],$A70,T_TTAFStock[WeekIndex],19)&gt;0)&gt;0,SUMIFS(T_SelfStock[Self_Qty],T_SelfStock[RM_Code],$A70,T_SelfStock[WeekIndex],19)+SUMIFS(T_TTAFStock[TTAF_Qty],T_TTAFStock[RM_Code],$A70,T_TTAFStock[WeekIndex],19),S70+'Grid_Incoming'!T70-'Grid_Requirement'!T70))</f>
        <v/>
      </c>
      <c r="U70">
        <f>IF(COUNTIFS(T_StockCount[RM_Code],$A70,T_StockCount[WeekIndex],20)&gt;0,SUMIFS(T_StockCount[CountedQty],T_StockCount[RM_Code],$A70,T_StockCount[WeekIndex],20),IF((COUNTIFS(T_SelfStock[RM_Code],$A70,T_SelfStock[WeekIndex],20)&gt;0)*(COUNTIFS(T_TTAFStock[RM_Code],$A70,T_TTAFStock[WeekIndex],20)&gt;0)&gt;0,SUMIFS(T_SelfStock[Self_Qty],T_SelfStock[RM_Code],$A70,T_SelfStock[WeekIndex],20)+SUMIFS(T_TTAFStock[TTAF_Qty],T_TTAFStock[RM_Code],$A70,T_TTAFStock[WeekIndex],20),T70+'Grid_Incoming'!U70-'Grid_Requirement'!U70))</f>
        <v/>
      </c>
      <c r="V70">
        <f>IF(COUNTIFS(T_StockCount[RM_Code],$A70,T_StockCount[WeekIndex],21)&gt;0,SUMIFS(T_StockCount[CountedQty],T_StockCount[RM_Code],$A70,T_StockCount[WeekIndex],21),IF((COUNTIFS(T_SelfStock[RM_Code],$A70,T_SelfStock[WeekIndex],21)&gt;0)*(COUNTIFS(T_TTAFStock[RM_Code],$A70,T_TTAFStock[WeekIndex],21)&gt;0)&gt;0,SUMIFS(T_SelfStock[Self_Qty],T_SelfStock[RM_Code],$A70,T_SelfStock[WeekIndex],21)+SUMIFS(T_TTAFStock[TTAF_Qty],T_TTAFStock[RM_Code],$A70,T_TTAFStock[WeekIndex],21),U70+'Grid_Incoming'!V70-'Grid_Requirement'!V70))</f>
        <v/>
      </c>
      <c r="W70">
        <f>IF(COUNTIFS(T_StockCount[RM_Code],$A70,T_StockCount[WeekIndex],22)&gt;0,SUMIFS(T_StockCount[CountedQty],T_StockCount[RM_Code],$A70,T_StockCount[WeekIndex],22),IF((COUNTIFS(T_SelfStock[RM_Code],$A70,T_SelfStock[WeekIndex],22)&gt;0)*(COUNTIFS(T_TTAFStock[RM_Code],$A70,T_TTAFStock[WeekIndex],22)&gt;0)&gt;0,SUMIFS(T_SelfStock[Self_Qty],T_SelfStock[RM_Code],$A70,T_SelfStock[WeekIndex],22)+SUMIFS(T_TTAFStock[TTAF_Qty],T_TTAFStock[RM_Code],$A70,T_TTAFStock[WeekIndex],22),V70+'Grid_Incoming'!W70-'Grid_Requirement'!W70))</f>
        <v/>
      </c>
      <c r="X70">
        <f>IF(COUNTIFS(T_StockCount[RM_Code],$A70,T_StockCount[WeekIndex],23)&gt;0,SUMIFS(T_StockCount[CountedQty],T_StockCount[RM_Code],$A70,T_StockCount[WeekIndex],23),IF((COUNTIFS(T_SelfStock[RM_Code],$A70,T_SelfStock[WeekIndex],23)&gt;0)*(COUNTIFS(T_TTAFStock[RM_Code],$A70,T_TTAFStock[WeekIndex],23)&gt;0)&gt;0,SUMIFS(T_SelfStock[Self_Qty],T_SelfStock[RM_Code],$A70,T_SelfStock[WeekIndex],23)+SUMIFS(T_TTAFStock[TTAF_Qty],T_TTAFStock[RM_Code],$A70,T_TTAFStock[WeekIndex],23),W70+'Grid_Incoming'!X70-'Grid_Requirement'!X70))</f>
        <v/>
      </c>
      <c r="Y70">
        <f>IF(COUNTIFS(T_StockCount[RM_Code],$A70,T_StockCount[WeekIndex],24)&gt;0,SUMIFS(T_StockCount[CountedQty],T_StockCount[RM_Code],$A70,T_StockCount[WeekIndex],24),IF((COUNTIFS(T_SelfStock[RM_Code],$A70,T_SelfStock[WeekIndex],24)&gt;0)*(COUNTIFS(T_TTAFStock[RM_Code],$A70,T_TTAFStock[WeekIndex],24)&gt;0)&gt;0,SUMIFS(T_SelfStock[Self_Qty],T_SelfStock[RM_Code],$A70,T_SelfStock[WeekIndex],24)+SUMIFS(T_TTAFStock[TTAF_Qty],T_TTAFStock[RM_Code],$A70,T_TTAFStock[WeekIndex],24),X70+'Grid_Incoming'!Y70-'Grid_Requirement'!Y70))</f>
        <v/>
      </c>
      <c r="Z70">
        <f>IF(COUNTIFS(T_StockCount[RM_Code],$A70,T_StockCount[WeekIndex],25)&gt;0,SUMIFS(T_StockCount[CountedQty],T_StockCount[RM_Code],$A70,T_StockCount[WeekIndex],25),IF((COUNTIFS(T_SelfStock[RM_Code],$A70,T_SelfStock[WeekIndex],25)&gt;0)*(COUNTIFS(T_TTAFStock[RM_Code],$A70,T_TTAFStock[WeekIndex],25)&gt;0)&gt;0,SUMIFS(T_SelfStock[Self_Qty],T_SelfStock[RM_Code],$A70,T_SelfStock[WeekIndex],25)+SUMIFS(T_TTAFStock[TTAF_Qty],T_TTAFStock[RM_Code],$A70,T_TTAFStock[WeekIndex],25),Y70+'Grid_Incoming'!Z70-'Grid_Requirement'!Z70))</f>
        <v/>
      </c>
      <c r="AA70">
        <f>IF(COUNTIFS(T_StockCount[RM_Code],$A70,T_StockCount[WeekIndex],26)&gt;0,SUMIFS(T_StockCount[CountedQty],T_StockCount[RM_Code],$A70,T_StockCount[WeekIndex],26),IF((COUNTIFS(T_SelfStock[RM_Code],$A70,T_SelfStock[WeekIndex],26)&gt;0)*(COUNTIFS(T_TTAFStock[RM_Code],$A70,T_TTAFStock[WeekIndex],26)&gt;0)&gt;0,SUMIFS(T_SelfStock[Self_Qty],T_SelfStock[RM_Code],$A70,T_SelfStock[WeekIndex],26)+SUMIFS(T_TTAFStock[TTAF_Qty],T_TTAFStock[RM_Code],$A70,T_TTAFStock[WeekIndex],26),Z70+'Grid_Incoming'!AA70-'Grid_Requirement'!AA70))</f>
        <v/>
      </c>
      <c r="AB70">
        <f>IF(COUNTIFS(T_StockCount[RM_Code],$A70,T_StockCount[WeekIndex],27)&gt;0,SUMIFS(T_StockCount[CountedQty],T_StockCount[RM_Code],$A70,T_StockCount[WeekIndex],27),IF((COUNTIFS(T_SelfStock[RM_Code],$A70,T_SelfStock[WeekIndex],27)&gt;0)*(COUNTIFS(T_TTAFStock[RM_Code],$A70,T_TTAFStock[WeekIndex],27)&gt;0)&gt;0,SUMIFS(T_SelfStock[Self_Qty],T_SelfStock[RM_Code],$A70,T_SelfStock[WeekIndex],27)+SUMIFS(T_TTAFStock[TTAF_Qty],T_TTAFStock[RM_Code],$A70,T_TTAFStock[WeekIndex],27),AA70+'Grid_Incoming'!AB70-'Grid_Requirement'!AB70))</f>
        <v/>
      </c>
      <c r="AC70">
        <f>IF(COUNTIFS(T_StockCount[RM_Code],$A70,T_StockCount[WeekIndex],28)&gt;0,SUMIFS(T_StockCount[CountedQty],T_StockCount[RM_Code],$A70,T_StockCount[WeekIndex],28),IF((COUNTIFS(T_SelfStock[RM_Code],$A70,T_SelfStock[WeekIndex],28)&gt;0)*(COUNTIFS(T_TTAFStock[RM_Code],$A70,T_TTAFStock[WeekIndex],28)&gt;0)&gt;0,SUMIFS(T_SelfStock[Self_Qty],T_SelfStock[RM_Code],$A70,T_SelfStock[WeekIndex],28)+SUMIFS(T_TTAFStock[TTAF_Qty],T_TTAFStock[RM_Code],$A70,T_TTAFStock[WeekIndex],28),AB70+'Grid_Incoming'!AC70-'Grid_Requirement'!AC70))</f>
        <v/>
      </c>
      <c r="AD70">
        <f>IF(COUNTIFS(T_StockCount[RM_Code],$A70,T_StockCount[WeekIndex],29)&gt;0,SUMIFS(T_StockCount[CountedQty],T_StockCount[RM_Code],$A70,T_StockCount[WeekIndex],29),IF((COUNTIFS(T_SelfStock[RM_Code],$A70,T_SelfStock[WeekIndex],29)&gt;0)*(COUNTIFS(T_TTAFStock[RM_Code],$A70,T_TTAFStock[WeekIndex],29)&gt;0)&gt;0,SUMIFS(T_SelfStock[Self_Qty],T_SelfStock[RM_Code],$A70,T_SelfStock[WeekIndex],29)+SUMIFS(T_TTAFStock[TTAF_Qty],T_TTAFStock[RM_Code],$A70,T_TTAFStock[WeekIndex],29),AC70+'Grid_Incoming'!AD70-'Grid_Requirement'!AD70))</f>
        <v/>
      </c>
      <c r="AE70">
        <f>IF(COUNTIFS(T_StockCount[RM_Code],$A70,T_StockCount[WeekIndex],30)&gt;0,SUMIFS(T_StockCount[CountedQty],T_StockCount[RM_Code],$A70,T_StockCount[WeekIndex],30),IF((COUNTIFS(T_SelfStock[RM_Code],$A70,T_SelfStock[WeekIndex],30)&gt;0)*(COUNTIFS(T_TTAFStock[RM_Code],$A70,T_TTAFStock[WeekIndex],30)&gt;0)&gt;0,SUMIFS(T_SelfStock[Self_Qty],T_SelfStock[RM_Code],$A70,T_SelfStock[WeekIndex],30)+SUMIFS(T_TTAFStock[TTAF_Qty],T_TTAFStock[RM_Code],$A70,T_TTAFStock[WeekIndex],30),AD70+'Grid_Incoming'!AE70-'Grid_Requirement'!AE70))</f>
        <v/>
      </c>
      <c r="AF70">
        <f>IF(COUNTIFS(T_StockCount[RM_Code],$A70,T_StockCount[WeekIndex],31)&gt;0,SUMIFS(T_StockCount[CountedQty],T_StockCount[RM_Code],$A70,T_StockCount[WeekIndex],31),IF((COUNTIFS(T_SelfStock[RM_Code],$A70,T_SelfStock[WeekIndex],31)&gt;0)*(COUNTIFS(T_TTAFStock[RM_Code],$A70,T_TTAFStock[WeekIndex],31)&gt;0)&gt;0,SUMIFS(T_SelfStock[Self_Qty],T_SelfStock[RM_Code],$A70,T_SelfStock[WeekIndex],31)+SUMIFS(T_TTAFStock[TTAF_Qty],T_TTAFStock[RM_Code],$A70,T_TTAFStock[WeekIndex],31),AE70+'Grid_Incoming'!AF70-'Grid_Requirement'!AF70))</f>
        <v/>
      </c>
      <c r="AG70">
        <f>IF(COUNTIFS(T_StockCount[RM_Code],$A70,T_StockCount[WeekIndex],32)&gt;0,SUMIFS(T_StockCount[CountedQty],T_StockCount[RM_Code],$A70,T_StockCount[WeekIndex],32),IF((COUNTIFS(T_SelfStock[RM_Code],$A70,T_SelfStock[WeekIndex],32)&gt;0)*(COUNTIFS(T_TTAFStock[RM_Code],$A70,T_TTAFStock[WeekIndex],32)&gt;0)&gt;0,SUMIFS(T_SelfStock[Self_Qty],T_SelfStock[RM_Code],$A70,T_SelfStock[WeekIndex],32)+SUMIFS(T_TTAFStock[TTAF_Qty],T_TTAFStock[RM_Code],$A70,T_TTAFStock[WeekIndex],32),AF70+'Grid_Incoming'!AG70-'Grid_Requirement'!AG70))</f>
        <v/>
      </c>
      <c r="AH70">
        <f>IF(COUNTIFS(T_StockCount[RM_Code],$A70,T_StockCount[WeekIndex],33)&gt;0,SUMIFS(T_StockCount[CountedQty],T_StockCount[RM_Code],$A70,T_StockCount[WeekIndex],33),IF((COUNTIFS(T_SelfStock[RM_Code],$A70,T_SelfStock[WeekIndex],33)&gt;0)*(COUNTIFS(T_TTAFStock[RM_Code],$A70,T_TTAFStock[WeekIndex],33)&gt;0)&gt;0,SUMIFS(T_SelfStock[Self_Qty],T_SelfStock[RM_Code],$A70,T_SelfStock[WeekIndex],33)+SUMIFS(T_TTAFStock[TTAF_Qty],T_TTAFStock[RM_Code],$A70,T_TTAFStock[WeekIndex],33),AG70+'Grid_Incoming'!AH70-'Grid_Requirement'!AH70))</f>
        <v/>
      </c>
      <c r="AI70">
        <f>IF(COUNTIFS(T_StockCount[RM_Code],$A70,T_StockCount[WeekIndex],34)&gt;0,SUMIFS(T_StockCount[CountedQty],T_StockCount[RM_Code],$A70,T_StockCount[WeekIndex],34),IF((COUNTIFS(T_SelfStock[RM_Code],$A70,T_SelfStock[WeekIndex],34)&gt;0)*(COUNTIFS(T_TTAFStock[RM_Code],$A70,T_TTAFStock[WeekIndex],34)&gt;0)&gt;0,SUMIFS(T_SelfStock[Self_Qty],T_SelfStock[RM_Code],$A70,T_SelfStock[WeekIndex],34)+SUMIFS(T_TTAFStock[TTAF_Qty],T_TTAFStock[RM_Code],$A70,T_TTAFStock[WeekIndex],34),AH70+'Grid_Incoming'!AI70-'Grid_Requirement'!AI70))</f>
        <v/>
      </c>
      <c r="AJ70">
        <f>IF(COUNTIFS(T_StockCount[RM_Code],$A70,T_StockCount[WeekIndex],35)&gt;0,SUMIFS(T_StockCount[CountedQty],T_StockCount[RM_Code],$A70,T_StockCount[WeekIndex],35),IF((COUNTIFS(T_SelfStock[RM_Code],$A70,T_SelfStock[WeekIndex],35)&gt;0)*(COUNTIFS(T_TTAFStock[RM_Code],$A70,T_TTAFStock[WeekIndex],35)&gt;0)&gt;0,SUMIFS(T_SelfStock[Self_Qty],T_SelfStock[RM_Code],$A70,T_SelfStock[WeekIndex],35)+SUMIFS(T_TTAFStock[TTAF_Qty],T_TTAFStock[RM_Code],$A70,T_TTAFStock[WeekIndex],35),AI70+'Grid_Incoming'!AJ70-'Grid_Requirement'!AJ70))</f>
        <v/>
      </c>
      <c r="AK70">
        <f>IF(COUNTIFS(T_StockCount[RM_Code],$A70,T_StockCount[WeekIndex],36)&gt;0,SUMIFS(T_StockCount[CountedQty],T_StockCount[RM_Code],$A70,T_StockCount[WeekIndex],36),IF((COUNTIFS(T_SelfStock[RM_Code],$A70,T_SelfStock[WeekIndex],36)&gt;0)*(COUNTIFS(T_TTAFStock[RM_Code],$A70,T_TTAFStock[WeekIndex],36)&gt;0)&gt;0,SUMIFS(T_SelfStock[Self_Qty],T_SelfStock[RM_Code],$A70,T_SelfStock[WeekIndex],36)+SUMIFS(T_TTAFStock[TTAF_Qty],T_TTAFStock[RM_Code],$A70,T_TTAFStock[WeekIndex],36),AJ70+'Grid_Incoming'!AK70-'Grid_Requirement'!AK70))</f>
        <v/>
      </c>
      <c r="AL70">
        <f>IF(COUNTIFS(T_StockCount[RM_Code],$A70,T_StockCount[WeekIndex],37)&gt;0,SUMIFS(T_StockCount[CountedQty],T_StockCount[RM_Code],$A70,T_StockCount[WeekIndex],37),IF((COUNTIFS(T_SelfStock[RM_Code],$A70,T_SelfStock[WeekIndex],37)&gt;0)*(COUNTIFS(T_TTAFStock[RM_Code],$A70,T_TTAFStock[WeekIndex],37)&gt;0)&gt;0,SUMIFS(T_SelfStock[Self_Qty],T_SelfStock[RM_Code],$A70,T_SelfStock[WeekIndex],37)+SUMIFS(T_TTAFStock[TTAF_Qty],T_TTAFStock[RM_Code],$A70,T_TTAFStock[WeekIndex],37),AK70+'Grid_Incoming'!AL70-'Grid_Requirement'!AL70))</f>
        <v/>
      </c>
      <c r="AM70">
        <f>IF(COUNTIFS(T_StockCount[RM_Code],$A70,T_StockCount[WeekIndex],38)&gt;0,SUMIFS(T_StockCount[CountedQty],T_StockCount[RM_Code],$A70,T_StockCount[WeekIndex],38),IF((COUNTIFS(T_SelfStock[RM_Code],$A70,T_SelfStock[WeekIndex],38)&gt;0)*(COUNTIFS(T_TTAFStock[RM_Code],$A70,T_TTAFStock[WeekIndex],38)&gt;0)&gt;0,SUMIFS(T_SelfStock[Self_Qty],T_SelfStock[RM_Code],$A70,T_SelfStock[WeekIndex],38)+SUMIFS(T_TTAFStock[TTAF_Qty],T_TTAFStock[RM_Code],$A70,T_TTAFStock[WeekIndex],38),AL70+'Grid_Incoming'!AM70-'Grid_Requirement'!AM70))</f>
        <v/>
      </c>
      <c r="AN70">
        <f>IF(COUNTIFS(T_StockCount[RM_Code],$A70,T_StockCount[WeekIndex],39)&gt;0,SUMIFS(T_StockCount[CountedQty],T_StockCount[RM_Code],$A70,T_StockCount[WeekIndex],39),IF((COUNTIFS(T_SelfStock[RM_Code],$A70,T_SelfStock[WeekIndex],39)&gt;0)*(COUNTIFS(T_TTAFStock[RM_Code],$A70,T_TTAFStock[WeekIndex],39)&gt;0)&gt;0,SUMIFS(T_SelfStock[Self_Qty],T_SelfStock[RM_Code],$A70,T_SelfStock[WeekIndex],39)+SUMIFS(T_TTAFStock[TTAF_Qty],T_TTAFStock[RM_Code],$A70,T_TTAFStock[WeekIndex],39),AM70+'Grid_Incoming'!AN70-'Grid_Requirement'!AN70))</f>
        <v/>
      </c>
      <c r="AO70">
        <f>IF(COUNTIFS(T_StockCount[RM_Code],$A70,T_StockCount[WeekIndex],40)&gt;0,SUMIFS(T_StockCount[CountedQty],T_StockCount[RM_Code],$A70,T_StockCount[WeekIndex],40),IF((COUNTIFS(T_SelfStock[RM_Code],$A70,T_SelfStock[WeekIndex],40)&gt;0)*(COUNTIFS(T_TTAFStock[RM_Code],$A70,T_TTAFStock[WeekIndex],40)&gt;0)&gt;0,SUMIFS(T_SelfStock[Self_Qty],T_SelfStock[RM_Code],$A70,T_SelfStock[WeekIndex],40)+SUMIFS(T_TTAFStock[TTAF_Qty],T_TTAFStock[RM_Code],$A70,T_TTAFStock[WeekIndex],40),AN70+'Grid_Incoming'!AO70-'Grid_Requirement'!AO70))</f>
        <v/>
      </c>
      <c r="AP70">
        <f>IF(COUNTIFS(T_StockCount[RM_Code],$A70,T_StockCount[WeekIndex],41)&gt;0,SUMIFS(T_StockCount[CountedQty],T_StockCount[RM_Code],$A70,T_StockCount[WeekIndex],41),IF((COUNTIFS(T_SelfStock[RM_Code],$A70,T_SelfStock[WeekIndex],41)&gt;0)*(COUNTIFS(T_TTAFStock[RM_Code],$A70,T_TTAFStock[WeekIndex],41)&gt;0)&gt;0,SUMIFS(T_SelfStock[Self_Qty],T_SelfStock[RM_Code],$A70,T_SelfStock[WeekIndex],41)+SUMIFS(T_TTAFStock[TTAF_Qty],T_TTAFStock[RM_Code],$A70,T_TTAFStock[WeekIndex],41),AO70+'Grid_Incoming'!AP70-'Grid_Requirement'!AP70))</f>
        <v/>
      </c>
      <c r="AQ70">
        <f>IF(COUNTIFS(T_StockCount[RM_Code],$A70,T_StockCount[WeekIndex],42)&gt;0,SUMIFS(T_StockCount[CountedQty],T_StockCount[RM_Code],$A70,T_StockCount[WeekIndex],42),IF((COUNTIFS(T_SelfStock[RM_Code],$A70,T_SelfStock[WeekIndex],42)&gt;0)*(COUNTIFS(T_TTAFStock[RM_Code],$A70,T_TTAFStock[WeekIndex],42)&gt;0)&gt;0,SUMIFS(T_SelfStock[Self_Qty],T_SelfStock[RM_Code],$A70,T_SelfStock[WeekIndex],42)+SUMIFS(T_TTAFStock[TTAF_Qty],T_TTAFStock[RM_Code],$A70,T_TTAFStock[WeekIndex],42),AP70+'Grid_Incoming'!AQ70-'Grid_Requirement'!AQ70))</f>
        <v/>
      </c>
      <c r="AR70">
        <f>IF(COUNTIFS(T_StockCount[RM_Code],$A70,T_StockCount[WeekIndex],43)&gt;0,SUMIFS(T_StockCount[CountedQty],T_StockCount[RM_Code],$A70,T_StockCount[WeekIndex],43),IF((COUNTIFS(T_SelfStock[RM_Code],$A70,T_SelfStock[WeekIndex],43)&gt;0)*(COUNTIFS(T_TTAFStock[RM_Code],$A70,T_TTAFStock[WeekIndex],43)&gt;0)&gt;0,SUMIFS(T_SelfStock[Self_Qty],T_SelfStock[RM_Code],$A70,T_SelfStock[WeekIndex],43)+SUMIFS(T_TTAFStock[TTAF_Qty],T_TTAFStock[RM_Code],$A70,T_TTAFStock[WeekIndex],43),AQ70+'Grid_Incoming'!AR70-'Grid_Requirement'!AR70))</f>
        <v/>
      </c>
      <c r="AS70">
        <f>IF(COUNTIFS(T_StockCount[RM_Code],$A70,T_StockCount[WeekIndex],44)&gt;0,SUMIFS(T_StockCount[CountedQty],T_StockCount[RM_Code],$A70,T_StockCount[WeekIndex],44),IF((COUNTIFS(T_SelfStock[RM_Code],$A70,T_SelfStock[WeekIndex],44)&gt;0)*(COUNTIFS(T_TTAFStock[RM_Code],$A70,T_TTAFStock[WeekIndex],44)&gt;0)&gt;0,SUMIFS(T_SelfStock[Self_Qty],T_SelfStock[RM_Code],$A70,T_SelfStock[WeekIndex],44)+SUMIFS(T_TTAFStock[TTAF_Qty],T_TTAFStock[RM_Code],$A70,T_TTAFStock[WeekIndex],44),AR70+'Grid_Incoming'!AS70-'Grid_Requirement'!AS70))</f>
        <v/>
      </c>
      <c r="AT70">
        <f>IF(COUNTIFS(T_StockCount[RM_Code],$A70,T_StockCount[WeekIndex],45)&gt;0,SUMIFS(T_StockCount[CountedQty],T_StockCount[RM_Code],$A70,T_StockCount[WeekIndex],45),IF((COUNTIFS(T_SelfStock[RM_Code],$A70,T_SelfStock[WeekIndex],45)&gt;0)*(COUNTIFS(T_TTAFStock[RM_Code],$A70,T_TTAFStock[WeekIndex],45)&gt;0)&gt;0,SUMIFS(T_SelfStock[Self_Qty],T_SelfStock[RM_Code],$A70,T_SelfStock[WeekIndex],45)+SUMIFS(T_TTAFStock[TTAF_Qty],T_TTAFStock[RM_Code],$A70,T_TTAFStock[WeekIndex],45),AS70+'Grid_Incoming'!AT70-'Grid_Requirement'!AT70))</f>
        <v/>
      </c>
      <c r="AU70">
        <f>IF(COUNTIFS(T_StockCount[RM_Code],$A70,T_StockCount[WeekIndex],46)&gt;0,SUMIFS(T_StockCount[CountedQty],T_StockCount[RM_Code],$A70,T_StockCount[WeekIndex],46),IF((COUNTIFS(T_SelfStock[RM_Code],$A70,T_SelfStock[WeekIndex],46)&gt;0)*(COUNTIFS(T_TTAFStock[RM_Code],$A70,T_TTAFStock[WeekIndex],46)&gt;0)&gt;0,SUMIFS(T_SelfStock[Self_Qty],T_SelfStock[RM_Code],$A70,T_SelfStock[WeekIndex],46)+SUMIFS(T_TTAFStock[TTAF_Qty],T_TTAFStock[RM_Code],$A70,T_TTAFStock[WeekIndex],46),AT70+'Grid_Incoming'!AU70-'Grid_Requirement'!AU70))</f>
        <v/>
      </c>
      <c r="AV70">
        <f>IF(COUNTIFS(T_StockCount[RM_Code],$A70,T_StockCount[WeekIndex],47)&gt;0,SUMIFS(T_StockCount[CountedQty],T_StockCount[RM_Code],$A70,T_StockCount[WeekIndex],47),IF((COUNTIFS(T_SelfStock[RM_Code],$A70,T_SelfStock[WeekIndex],47)&gt;0)*(COUNTIFS(T_TTAFStock[RM_Code],$A70,T_TTAFStock[WeekIndex],47)&gt;0)&gt;0,SUMIFS(T_SelfStock[Self_Qty],T_SelfStock[RM_Code],$A70,T_SelfStock[WeekIndex],47)+SUMIFS(T_TTAFStock[TTAF_Qty],T_TTAFStock[RM_Code],$A70,T_TTAFStock[WeekIndex],47),AU70+'Grid_Incoming'!AV70-'Grid_Requirement'!AV70))</f>
        <v/>
      </c>
      <c r="AW70">
        <f>IF(COUNTIFS(T_StockCount[RM_Code],$A70,T_StockCount[WeekIndex],48)&gt;0,SUMIFS(T_StockCount[CountedQty],T_StockCount[RM_Code],$A70,T_StockCount[WeekIndex],48),IF((COUNTIFS(T_SelfStock[RM_Code],$A70,T_SelfStock[WeekIndex],48)&gt;0)*(COUNTIFS(T_TTAFStock[RM_Code],$A70,T_TTAFStock[WeekIndex],48)&gt;0)&gt;0,SUMIFS(T_SelfStock[Self_Qty],T_SelfStock[RM_Code],$A70,T_SelfStock[WeekIndex],48)+SUMIFS(T_TTAFStock[TTAF_Qty],T_TTAFStock[RM_Code],$A70,T_TTAFStock[WeekIndex],48),AV70+'Grid_Incoming'!AW70-'Grid_Requirement'!AW70))</f>
        <v/>
      </c>
      <c r="AX70">
        <f>IF(COUNTIFS(T_StockCount[RM_Code],$A70,T_StockCount[WeekIndex],49)&gt;0,SUMIFS(T_StockCount[CountedQty],T_StockCount[RM_Code],$A70,T_StockCount[WeekIndex],49),IF((COUNTIFS(T_SelfStock[RM_Code],$A70,T_SelfStock[WeekIndex],49)&gt;0)*(COUNTIFS(T_TTAFStock[RM_Code],$A70,T_TTAFStock[WeekIndex],49)&gt;0)&gt;0,SUMIFS(T_SelfStock[Self_Qty],T_SelfStock[RM_Code],$A70,T_SelfStock[WeekIndex],49)+SUMIFS(T_TTAFStock[TTAF_Qty],T_TTAFStock[RM_Code],$A70,T_TTAFStock[WeekIndex],49),AW70+'Grid_Incoming'!AX70-'Grid_Requirement'!AX70))</f>
        <v/>
      </c>
      <c r="AY70">
        <f>IF(COUNTIFS(T_StockCount[RM_Code],$A70,T_StockCount[WeekIndex],50)&gt;0,SUMIFS(T_StockCount[CountedQty],T_StockCount[RM_Code],$A70,T_StockCount[WeekIndex],50),IF((COUNTIFS(T_SelfStock[RM_Code],$A70,T_SelfStock[WeekIndex],50)&gt;0)*(COUNTIFS(T_TTAFStock[RM_Code],$A70,T_TTAFStock[WeekIndex],50)&gt;0)&gt;0,SUMIFS(T_SelfStock[Self_Qty],T_SelfStock[RM_Code],$A70,T_SelfStock[WeekIndex],50)+SUMIFS(T_TTAFStock[TTAF_Qty],T_TTAFStock[RM_Code],$A70,T_TTAFStock[WeekIndex],50),AX70+'Grid_Incoming'!AY70-'Grid_Requirement'!AY70))</f>
        <v/>
      </c>
      <c r="AZ70">
        <f>IF(COUNTIFS(T_StockCount[RM_Code],$A70,T_StockCount[WeekIndex],51)&gt;0,SUMIFS(T_StockCount[CountedQty],T_StockCount[RM_Code],$A70,T_StockCount[WeekIndex],51),IF((COUNTIFS(T_SelfStock[RM_Code],$A70,T_SelfStock[WeekIndex],51)&gt;0)*(COUNTIFS(T_TTAFStock[RM_Code],$A70,T_TTAFStock[WeekIndex],51)&gt;0)&gt;0,SUMIFS(T_SelfStock[Self_Qty],T_SelfStock[RM_Code],$A70,T_SelfStock[WeekIndex],51)+SUMIFS(T_TTAFStock[TTAF_Qty],T_TTAFStock[RM_Code],$A70,T_TTAFStock[WeekIndex],51),AY70+'Grid_Incoming'!AZ70-'Grid_Requirement'!AZ70))</f>
        <v/>
      </c>
      <c r="BA70">
        <f>IF(COUNTIFS(T_StockCount[RM_Code],$A70,T_StockCount[WeekIndex],52)&gt;0,SUMIFS(T_StockCount[CountedQty],T_StockCount[RM_Code],$A70,T_StockCount[WeekIndex],52),IF((COUNTIFS(T_SelfStock[RM_Code],$A70,T_SelfStock[WeekIndex],52)&gt;0)*(COUNTIFS(T_TTAFStock[RM_Code],$A70,T_TTAFStock[WeekIndex],52)&gt;0)&gt;0,SUMIFS(T_SelfStock[Self_Qty],T_SelfStock[RM_Code],$A70,T_SelfStock[WeekIndex],52)+SUMIFS(T_TTAFStock[TTAF_Qty],T_TTAFStock[RM_Code],$A70,T_TTAFStock[WeekIndex],52),AZ70+'Grid_Incoming'!BA70-'Grid_Requirement'!BA70))</f>
        <v/>
      </c>
      <c r="BB70">
        <f>IF(COUNTIFS(T_StockCount[RM_Code],$A70,T_StockCount[WeekIndex],53)&gt;0,SUMIFS(T_StockCount[CountedQty],T_StockCount[RM_Code],$A70,T_StockCount[WeekIndex],53),IF((COUNTIFS(T_SelfStock[RM_Code],$A70,T_SelfStock[WeekIndex],53)&gt;0)*(COUNTIFS(T_TTAFStock[RM_Code],$A70,T_TTAFStock[WeekIndex],53)&gt;0)&gt;0,SUMIFS(T_SelfStock[Self_Qty],T_SelfStock[RM_Code],$A70,T_SelfStock[WeekIndex],53)+SUMIFS(T_TTAFStock[TTAF_Qty],T_TTAFStock[RM_Code],$A70,T_TTAFStock[WeekIndex],53),BA70+'Grid_Incoming'!BB70-'Grid_Requirement'!BB70))</f>
        <v/>
      </c>
      <c r="BC70">
        <f>IF(COUNTIFS(T_StockCount[RM_Code],$A70,T_StockCount[WeekIndex],54)&gt;0,SUMIFS(T_StockCount[CountedQty],T_StockCount[RM_Code],$A70,T_StockCount[WeekIndex],54),IF((COUNTIFS(T_SelfStock[RM_Code],$A70,T_SelfStock[WeekIndex],54)&gt;0)*(COUNTIFS(T_TTAFStock[RM_Code],$A70,T_TTAFStock[WeekIndex],54)&gt;0)&gt;0,SUMIFS(T_SelfStock[Self_Qty],T_SelfStock[RM_Code],$A70,T_SelfStock[WeekIndex],54)+SUMIFS(T_TTAFStock[TTAF_Qty],T_TTAFStock[RM_Code],$A70,T_TTAFStock[WeekIndex],54),BB70+'Grid_Incoming'!BC70-'Grid_Requirement'!BC70))</f>
        <v/>
      </c>
      <c r="BD70">
        <f>IF(COUNTIFS(T_StockCount[RM_Code],$A70,T_StockCount[WeekIndex],55)&gt;0,SUMIFS(T_StockCount[CountedQty],T_StockCount[RM_Code],$A70,T_StockCount[WeekIndex],55),IF((COUNTIFS(T_SelfStock[RM_Code],$A70,T_SelfStock[WeekIndex],55)&gt;0)*(COUNTIFS(T_TTAFStock[RM_Code],$A70,T_TTAFStock[WeekIndex],55)&gt;0)&gt;0,SUMIFS(T_SelfStock[Self_Qty],T_SelfStock[RM_Code],$A70,T_SelfStock[WeekIndex],55)+SUMIFS(T_TTAFStock[TTAF_Qty],T_TTAFStock[RM_Code],$A70,T_TTAFStock[WeekIndex],55),BC70+'Grid_Incoming'!BD70-'Grid_Requirement'!BD70))</f>
        <v/>
      </c>
      <c r="BE70">
        <f>IF(COUNTIFS(T_StockCount[RM_Code],$A70,T_StockCount[WeekIndex],56)&gt;0,SUMIFS(T_StockCount[CountedQty],T_StockCount[RM_Code],$A70,T_StockCount[WeekIndex],56),IF((COUNTIFS(T_SelfStock[RM_Code],$A70,T_SelfStock[WeekIndex],56)&gt;0)*(COUNTIFS(T_TTAFStock[RM_Code],$A70,T_TTAFStock[WeekIndex],56)&gt;0)&gt;0,SUMIFS(T_SelfStock[Self_Qty],T_SelfStock[RM_Code],$A70,T_SelfStock[WeekIndex],56)+SUMIFS(T_TTAFStock[TTAF_Qty],T_TTAFStock[RM_Code],$A70,T_TTAFStock[WeekIndex],56),BD70+'Grid_Incoming'!BE70-'Grid_Requirement'!BE70))</f>
        <v/>
      </c>
      <c r="BF70">
        <f>IF(COUNTIFS(T_StockCount[RM_Code],$A70,T_StockCount[WeekIndex],57)&gt;0,SUMIFS(T_StockCount[CountedQty],T_StockCount[RM_Code],$A70,T_StockCount[WeekIndex],57),IF((COUNTIFS(T_SelfStock[RM_Code],$A70,T_SelfStock[WeekIndex],57)&gt;0)*(COUNTIFS(T_TTAFStock[RM_Code],$A70,T_TTAFStock[WeekIndex],57)&gt;0)&gt;0,SUMIFS(T_SelfStock[Self_Qty],T_SelfStock[RM_Code],$A70,T_SelfStock[WeekIndex],57)+SUMIFS(T_TTAFStock[TTAF_Qty],T_TTAFStock[RM_Code],$A70,T_TTAFStock[WeekIndex],57),BE70+'Grid_Incoming'!BF70-'Grid_Requirement'!BF70))</f>
        <v/>
      </c>
      <c r="BG70">
        <f>IF(COUNTIFS(T_StockCount[RM_Code],$A70,T_StockCount[WeekIndex],58)&gt;0,SUMIFS(T_StockCount[CountedQty],T_StockCount[RM_Code],$A70,T_StockCount[WeekIndex],58),IF((COUNTIFS(T_SelfStock[RM_Code],$A70,T_SelfStock[WeekIndex],58)&gt;0)*(COUNTIFS(T_TTAFStock[RM_Code],$A70,T_TTAFStock[WeekIndex],58)&gt;0)&gt;0,SUMIFS(T_SelfStock[Self_Qty],T_SelfStock[RM_Code],$A70,T_SelfStock[WeekIndex],58)+SUMIFS(T_TTAFStock[TTAF_Qty],T_TTAFStock[RM_Code],$A70,T_TTAFStock[WeekIndex],58),BF70+'Grid_Incoming'!BG70-'Grid_Requirement'!BG70))</f>
        <v/>
      </c>
      <c r="BH70">
        <f>IF(COUNTIFS(T_StockCount[RM_Code],$A70,T_StockCount[WeekIndex],59)&gt;0,SUMIFS(T_StockCount[CountedQty],T_StockCount[RM_Code],$A70,T_StockCount[WeekIndex],59),IF((COUNTIFS(T_SelfStock[RM_Code],$A70,T_SelfStock[WeekIndex],59)&gt;0)*(COUNTIFS(T_TTAFStock[RM_Code],$A70,T_TTAFStock[WeekIndex],59)&gt;0)&gt;0,SUMIFS(T_SelfStock[Self_Qty],T_SelfStock[RM_Code],$A70,T_SelfStock[WeekIndex],59)+SUMIFS(T_TTAFStock[TTAF_Qty],T_TTAFStock[RM_Code],$A70,T_TTAFStock[WeekIndex],59),BG70+'Grid_Incoming'!BH70-'Grid_Requirement'!BH70))</f>
        <v/>
      </c>
      <c r="BI70">
        <f>IF(COUNTIFS(T_StockCount[RM_Code],$A70,T_StockCount[WeekIndex],60)&gt;0,SUMIFS(T_StockCount[CountedQty],T_StockCount[RM_Code],$A70,T_StockCount[WeekIndex],60),IF((COUNTIFS(T_SelfStock[RM_Code],$A70,T_SelfStock[WeekIndex],60)&gt;0)*(COUNTIFS(T_TTAFStock[RM_Code],$A70,T_TTAFStock[WeekIndex],60)&gt;0)&gt;0,SUMIFS(T_SelfStock[Self_Qty],T_SelfStock[RM_Code],$A70,T_SelfStock[WeekIndex],60)+SUMIFS(T_TTAFStock[TTAF_Qty],T_TTAFStock[RM_Code],$A70,T_TTAFStock[WeekIndex],60),BH70+'Grid_Incoming'!BI70-'Grid_Requirement'!BI70))</f>
        <v/>
      </c>
      <c r="BJ70">
        <f>IF(COUNTIFS(T_StockCount[RM_Code],$A70,T_StockCount[WeekIndex],61)&gt;0,SUMIFS(T_StockCount[CountedQty],T_StockCount[RM_Code],$A70,T_StockCount[WeekIndex],61),IF((COUNTIFS(T_SelfStock[RM_Code],$A70,T_SelfStock[WeekIndex],61)&gt;0)*(COUNTIFS(T_TTAFStock[RM_Code],$A70,T_TTAFStock[WeekIndex],61)&gt;0)&gt;0,SUMIFS(T_SelfStock[Self_Qty],T_SelfStock[RM_Code],$A70,T_SelfStock[WeekIndex],61)+SUMIFS(T_TTAFStock[TTAF_Qty],T_TTAFStock[RM_Code],$A70,T_TTAFStock[WeekIndex],61),BI70+'Grid_Incoming'!BJ70-'Grid_Requirement'!BJ70))</f>
        <v/>
      </c>
      <c r="BK70">
        <f>IF(COUNTIFS(T_StockCount[RM_Code],$A70,T_StockCount[WeekIndex],62)&gt;0,SUMIFS(T_StockCount[CountedQty],T_StockCount[RM_Code],$A70,T_StockCount[WeekIndex],62),IF((COUNTIFS(T_SelfStock[RM_Code],$A70,T_SelfStock[WeekIndex],62)&gt;0)*(COUNTIFS(T_TTAFStock[RM_Code],$A70,T_TTAFStock[WeekIndex],62)&gt;0)&gt;0,SUMIFS(T_SelfStock[Self_Qty],T_SelfStock[RM_Code],$A70,T_SelfStock[WeekIndex],62)+SUMIFS(T_TTAFStock[TTAF_Qty],T_TTAFStock[RM_Code],$A70,T_TTAFStock[WeekIndex],62),BJ70+'Grid_Incoming'!BK70-'Grid_Requirement'!BK70))</f>
        <v/>
      </c>
      <c r="BL70">
        <f>IF(COUNTIFS(T_StockCount[RM_Code],$A70,T_StockCount[WeekIndex],63)&gt;0,SUMIFS(T_StockCount[CountedQty],T_StockCount[RM_Code],$A70,T_StockCount[WeekIndex],63),IF((COUNTIFS(T_SelfStock[RM_Code],$A70,T_SelfStock[WeekIndex],63)&gt;0)*(COUNTIFS(T_TTAFStock[RM_Code],$A70,T_TTAFStock[WeekIndex],63)&gt;0)&gt;0,SUMIFS(T_SelfStock[Self_Qty],T_SelfStock[RM_Code],$A70,T_SelfStock[WeekIndex],63)+SUMIFS(T_TTAFStock[TTAF_Qty],T_TTAFStock[RM_Code],$A70,T_TTAFStock[WeekIndex],63),BK70+'Grid_Incoming'!BL70-'Grid_Requirement'!BL70))</f>
        <v/>
      </c>
      <c r="BM70">
        <f>IF(COUNTIFS(T_StockCount[RM_Code],$A70,T_StockCount[WeekIndex],64)&gt;0,SUMIFS(T_StockCount[CountedQty],T_StockCount[RM_Code],$A70,T_StockCount[WeekIndex],64),IF((COUNTIFS(T_SelfStock[RM_Code],$A70,T_SelfStock[WeekIndex],64)&gt;0)*(COUNTIFS(T_TTAFStock[RM_Code],$A70,T_TTAFStock[WeekIndex],64)&gt;0)&gt;0,SUMIFS(T_SelfStock[Self_Qty],T_SelfStock[RM_Code],$A70,T_SelfStock[WeekIndex],64)+SUMIFS(T_TTAFStock[TTAF_Qty],T_TTAFStock[RM_Code],$A70,T_TTAFStock[WeekIndex],64),BL70+'Grid_Incoming'!BM70-'Grid_Requirement'!BM70))</f>
        <v/>
      </c>
      <c r="BN70">
        <f>IF(COUNTIFS(T_StockCount[RM_Code],$A70,T_StockCount[WeekIndex],65)&gt;0,SUMIFS(T_StockCount[CountedQty],T_StockCount[RM_Code],$A70,T_StockCount[WeekIndex],65),IF((COUNTIFS(T_SelfStock[RM_Code],$A70,T_SelfStock[WeekIndex],65)&gt;0)*(COUNTIFS(T_TTAFStock[RM_Code],$A70,T_TTAFStock[WeekIndex],65)&gt;0)&gt;0,SUMIFS(T_SelfStock[Self_Qty],T_SelfStock[RM_Code],$A70,T_SelfStock[WeekIndex],65)+SUMIFS(T_TTAFStock[TTAF_Qty],T_TTAFStock[RM_Code],$A70,T_TTAFStock[WeekIndex],65),BM70+'Grid_Incoming'!BN70-'Grid_Requirement'!BN70))</f>
        <v/>
      </c>
      <c r="BO70">
        <f>IF(COUNTIFS(T_StockCount[RM_Code],$A70,T_StockCount[WeekIndex],66)&gt;0,SUMIFS(T_StockCount[CountedQty],T_StockCount[RM_Code],$A70,T_StockCount[WeekIndex],66),IF((COUNTIFS(T_SelfStock[RM_Code],$A70,T_SelfStock[WeekIndex],66)&gt;0)*(COUNTIFS(T_TTAFStock[RM_Code],$A70,T_TTAFStock[WeekIndex],66)&gt;0)&gt;0,SUMIFS(T_SelfStock[Self_Qty],T_SelfStock[RM_Code],$A70,T_SelfStock[WeekIndex],66)+SUMIFS(T_TTAFStock[TTAF_Qty],T_TTAFStock[RM_Code],$A70,T_TTAFStock[WeekIndex],66),BN70+'Grid_Incoming'!BO70-'Grid_Requirement'!BO70))</f>
        <v/>
      </c>
      <c r="BP70">
        <f>IF(COUNTIFS(T_StockCount[RM_Code],$A70,T_StockCount[WeekIndex],67)&gt;0,SUMIFS(T_StockCount[CountedQty],T_StockCount[RM_Code],$A70,T_StockCount[WeekIndex],67),IF((COUNTIFS(T_SelfStock[RM_Code],$A70,T_SelfStock[WeekIndex],67)&gt;0)*(COUNTIFS(T_TTAFStock[RM_Code],$A70,T_TTAFStock[WeekIndex],67)&gt;0)&gt;0,SUMIFS(T_SelfStock[Self_Qty],T_SelfStock[RM_Code],$A70,T_SelfStock[WeekIndex],67)+SUMIFS(T_TTAFStock[TTAF_Qty],T_TTAFStock[RM_Code],$A70,T_TTAFStock[WeekIndex],67),BO70+'Grid_Incoming'!BP70-'Grid_Requirement'!BP70))</f>
        <v/>
      </c>
      <c r="BQ70">
        <f>IF(COUNTIFS(T_StockCount[RM_Code],$A70,T_StockCount[WeekIndex],68)&gt;0,SUMIFS(T_StockCount[CountedQty],T_StockCount[RM_Code],$A70,T_StockCount[WeekIndex],68),IF((COUNTIFS(T_SelfStock[RM_Code],$A70,T_SelfStock[WeekIndex],68)&gt;0)*(COUNTIFS(T_TTAFStock[RM_Code],$A70,T_TTAFStock[WeekIndex],68)&gt;0)&gt;0,SUMIFS(T_SelfStock[Self_Qty],T_SelfStock[RM_Code],$A70,T_SelfStock[WeekIndex],68)+SUMIFS(T_TTAFStock[TTAF_Qty],T_TTAFStock[RM_Code],$A70,T_TTAFStock[WeekIndex],68),BP70+'Grid_Incoming'!BQ70-'Grid_Requirement'!BQ70))</f>
        <v/>
      </c>
      <c r="BR70">
        <f>IF(COUNTIFS(T_StockCount[RM_Code],$A70,T_StockCount[WeekIndex],69)&gt;0,SUMIFS(T_StockCount[CountedQty],T_StockCount[RM_Code],$A70,T_StockCount[WeekIndex],69),IF((COUNTIFS(T_SelfStock[RM_Code],$A70,T_SelfStock[WeekIndex],69)&gt;0)*(COUNTIFS(T_TTAFStock[RM_Code],$A70,T_TTAFStock[WeekIndex],69)&gt;0)&gt;0,SUMIFS(T_SelfStock[Self_Qty],T_SelfStock[RM_Code],$A70,T_SelfStock[WeekIndex],69)+SUMIFS(T_TTAFStock[TTAF_Qty],T_TTAFStock[RM_Code],$A70,T_TTAFStock[WeekIndex],69),BQ70+'Grid_Incoming'!BR70-'Grid_Requirement'!BR70))</f>
        <v/>
      </c>
      <c r="BS70">
        <f>IF(COUNTIFS(T_StockCount[RM_Code],$A70,T_StockCount[WeekIndex],70)&gt;0,SUMIFS(T_StockCount[CountedQty],T_StockCount[RM_Code],$A70,T_StockCount[WeekIndex],70),IF((COUNTIFS(T_SelfStock[RM_Code],$A70,T_SelfStock[WeekIndex],70)&gt;0)*(COUNTIFS(T_TTAFStock[RM_Code],$A70,T_TTAFStock[WeekIndex],70)&gt;0)&gt;0,SUMIFS(T_SelfStock[Self_Qty],T_SelfStock[RM_Code],$A70,T_SelfStock[WeekIndex],70)+SUMIFS(T_TTAFStock[TTAF_Qty],T_TTAFStock[RM_Code],$A70,T_TTAFStock[WeekIndex],70),BR70+'Grid_Incoming'!BS70-'Grid_Requirement'!BS70))</f>
        <v/>
      </c>
      <c r="BT70">
        <f>IF(COUNTIFS(T_StockCount[RM_Code],$A70,T_StockCount[WeekIndex],71)&gt;0,SUMIFS(T_StockCount[CountedQty],T_StockCount[RM_Code],$A70,T_StockCount[WeekIndex],71),IF((COUNTIFS(T_SelfStock[RM_Code],$A70,T_SelfStock[WeekIndex],71)&gt;0)*(COUNTIFS(T_TTAFStock[RM_Code],$A70,T_TTAFStock[WeekIndex],71)&gt;0)&gt;0,SUMIFS(T_SelfStock[Self_Qty],T_SelfStock[RM_Code],$A70,T_SelfStock[WeekIndex],71)+SUMIFS(T_TTAFStock[TTAF_Qty],T_TTAFStock[RM_Code],$A70,T_TTAFStock[WeekIndex],71),BS70+'Grid_Incoming'!BT70-'Grid_Requirement'!BT70))</f>
        <v/>
      </c>
      <c r="BU70">
        <f>IF(COUNTIFS(T_StockCount[RM_Code],$A70,T_StockCount[WeekIndex],72)&gt;0,SUMIFS(T_StockCount[CountedQty],T_StockCount[RM_Code],$A70,T_StockCount[WeekIndex],72),IF((COUNTIFS(T_SelfStock[RM_Code],$A70,T_SelfStock[WeekIndex],72)&gt;0)*(COUNTIFS(T_TTAFStock[RM_Code],$A70,T_TTAFStock[WeekIndex],72)&gt;0)&gt;0,SUMIFS(T_SelfStock[Self_Qty],T_SelfStock[RM_Code],$A70,T_SelfStock[WeekIndex],72)+SUMIFS(T_TTAFStock[TTAF_Qty],T_TTAFStock[RM_Code],$A70,T_TTAFStock[WeekIndex],72),BT70+'Grid_Incoming'!BU70-'Grid_Requirement'!BU70))</f>
        <v/>
      </c>
      <c r="BV70">
        <f>IF(COUNTIFS(T_StockCount[RM_Code],$A70,T_StockCount[WeekIndex],73)&gt;0,SUMIFS(T_StockCount[CountedQty],T_StockCount[RM_Code],$A70,T_StockCount[WeekIndex],73),IF((COUNTIFS(T_SelfStock[RM_Code],$A70,T_SelfStock[WeekIndex],73)&gt;0)*(COUNTIFS(T_TTAFStock[RM_Code],$A70,T_TTAFStock[WeekIndex],73)&gt;0)&gt;0,SUMIFS(T_SelfStock[Self_Qty],T_SelfStock[RM_Code],$A70,T_SelfStock[WeekIndex],73)+SUMIFS(T_TTAFStock[TTAF_Qty],T_TTAFStock[RM_Code],$A70,T_TTAFStock[WeekIndex],73),BU70+'Grid_Incoming'!BV70-'Grid_Requirement'!BV70))</f>
        <v/>
      </c>
      <c r="BW70">
        <f>IF(COUNTIFS(T_StockCount[RM_Code],$A70,T_StockCount[WeekIndex],74)&gt;0,SUMIFS(T_StockCount[CountedQty],T_StockCount[RM_Code],$A70,T_StockCount[WeekIndex],74),IF((COUNTIFS(T_SelfStock[RM_Code],$A70,T_SelfStock[WeekIndex],74)&gt;0)*(COUNTIFS(T_TTAFStock[RM_Code],$A70,T_TTAFStock[WeekIndex],74)&gt;0)&gt;0,SUMIFS(T_SelfStock[Self_Qty],T_SelfStock[RM_Code],$A70,T_SelfStock[WeekIndex],74)+SUMIFS(T_TTAFStock[TTAF_Qty],T_TTAFStock[RM_Code],$A70,T_TTAFStock[WeekIndex],74),BV70+'Grid_Incoming'!BW70-'Grid_Requirement'!BW70))</f>
        <v/>
      </c>
      <c r="BX70">
        <f>IF(COUNTIFS(T_StockCount[RM_Code],$A70,T_StockCount[WeekIndex],75)&gt;0,SUMIFS(T_StockCount[CountedQty],T_StockCount[RM_Code],$A70,T_StockCount[WeekIndex],75),IF((COUNTIFS(T_SelfStock[RM_Code],$A70,T_SelfStock[WeekIndex],75)&gt;0)*(COUNTIFS(T_TTAFStock[RM_Code],$A70,T_TTAFStock[WeekIndex],75)&gt;0)&gt;0,SUMIFS(T_SelfStock[Self_Qty],T_SelfStock[RM_Code],$A70,T_SelfStock[WeekIndex],75)+SUMIFS(T_TTAFStock[TTAF_Qty],T_TTAFStock[RM_Code],$A70,T_TTAFStock[WeekIndex],75),BW70+'Grid_Incoming'!BX70-'Grid_Requirement'!BX70))</f>
        <v/>
      </c>
      <c r="BY70">
        <f>IF(COUNTIFS(T_StockCount[RM_Code],$A70,T_StockCount[WeekIndex],76)&gt;0,SUMIFS(T_StockCount[CountedQty],T_StockCount[RM_Code],$A70,T_StockCount[WeekIndex],76),IF((COUNTIFS(T_SelfStock[RM_Code],$A70,T_SelfStock[WeekIndex],76)&gt;0)*(COUNTIFS(T_TTAFStock[RM_Code],$A70,T_TTAFStock[WeekIndex],76)&gt;0)&gt;0,SUMIFS(T_SelfStock[Self_Qty],T_SelfStock[RM_Code],$A70,T_SelfStock[WeekIndex],76)+SUMIFS(T_TTAFStock[TTAF_Qty],T_TTAFStock[RM_Code],$A70,T_TTAFStock[WeekIndex],76),BX70+'Grid_Incoming'!BY70-'Grid_Requirement'!BY70))</f>
        <v/>
      </c>
      <c r="BZ70">
        <f>IF(COUNTIFS(T_StockCount[RM_Code],$A70,T_StockCount[WeekIndex],77)&gt;0,SUMIFS(T_StockCount[CountedQty],T_StockCount[RM_Code],$A70,T_StockCount[WeekIndex],77),IF((COUNTIFS(T_SelfStock[RM_Code],$A70,T_SelfStock[WeekIndex],77)&gt;0)*(COUNTIFS(T_TTAFStock[RM_Code],$A70,T_TTAFStock[WeekIndex],77)&gt;0)&gt;0,SUMIFS(T_SelfStock[Self_Qty],T_SelfStock[RM_Code],$A70,T_SelfStock[WeekIndex],77)+SUMIFS(T_TTAFStock[TTAF_Qty],T_TTAFStock[RM_Code],$A70,T_TTAFStock[WeekIndex],77),BY70+'Grid_Incoming'!BZ70-'Grid_Requirement'!BZ70))</f>
        <v/>
      </c>
      <c r="CA70">
        <f>IF(COUNTIFS(T_StockCount[RM_Code],$A70,T_StockCount[WeekIndex],78)&gt;0,SUMIFS(T_StockCount[CountedQty],T_StockCount[RM_Code],$A70,T_StockCount[WeekIndex],78),IF((COUNTIFS(T_SelfStock[RM_Code],$A70,T_SelfStock[WeekIndex],78)&gt;0)*(COUNTIFS(T_TTAFStock[RM_Code],$A70,T_TTAFStock[WeekIndex],78)&gt;0)&gt;0,SUMIFS(T_SelfStock[Self_Qty],T_SelfStock[RM_Code],$A70,T_SelfStock[WeekIndex],78)+SUMIFS(T_TTAFStock[TTAF_Qty],T_TTAFStock[RM_Code],$A70,T_TTAFStock[WeekIndex],78),BZ70+'Grid_Incoming'!CA70-'Grid_Requirement'!CA70))</f>
        <v/>
      </c>
      <c r="CB70">
        <f>IF(COUNTIFS(T_StockCount[RM_Code],$A70,T_StockCount[WeekIndex],79)&gt;0,SUMIFS(T_StockCount[CountedQty],T_StockCount[RM_Code],$A70,T_StockCount[WeekIndex],79),IF((COUNTIFS(T_SelfStock[RM_Code],$A70,T_SelfStock[WeekIndex],79)&gt;0)*(COUNTIFS(T_TTAFStock[RM_Code],$A70,T_TTAFStock[WeekIndex],79)&gt;0)&gt;0,SUMIFS(T_SelfStock[Self_Qty],T_SelfStock[RM_Code],$A70,T_SelfStock[WeekIndex],79)+SUMIFS(T_TTAFStock[TTAF_Qty],T_TTAFStock[RM_Code],$A70,T_TTAFStock[WeekIndex],79),CA70+'Grid_Incoming'!CB70-'Grid_Requirement'!CB70))</f>
        <v/>
      </c>
      <c r="CC70">
        <f>IF(COUNTIFS(T_StockCount[RM_Code],$A70,T_StockCount[WeekIndex],80)&gt;0,SUMIFS(T_StockCount[CountedQty],T_StockCount[RM_Code],$A70,T_StockCount[WeekIndex],80),IF((COUNTIFS(T_SelfStock[RM_Code],$A70,T_SelfStock[WeekIndex],80)&gt;0)*(COUNTIFS(T_TTAFStock[RM_Code],$A70,T_TTAFStock[WeekIndex],80)&gt;0)&gt;0,SUMIFS(T_SelfStock[Self_Qty],T_SelfStock[RM_Code],$A70,T_SelfStock[WeekIndex],80)+SUMIFS(T_TTAFStock[TTAF_Qty],T_TTAFStock[RM_Code],$A70,T_TTAFStock[WeekIndex],80),CB70+'Grid_Incoming'!CC70-'Grid_Requirement'!CC70))</f>
        <v/>
      </c>
      <c r="CD70">
        <f>IF(COUNTIFS(T_StockCount[RM_Code],$A70,T_StockCount[WeekIndex],81)&gt;0,SUMIFS(T_StockCount[CountedQty],T_StockCount[RM_Code],$A70,T_StockCount[WeekIndex],81),IF((COUNTIFS(T_SelfStock[RM_Code],$A70,T_SelfStock[WeekIndex],81)&gt;0)*(COUNTIFS(T_TTAFStock[RM_Code],$A70,T_TTAFStock[WeekIndex],81)&gt;0)&gt;0,SUMIFS(T_SelfStock[Self_Qty],T_SelfStock[RM_Code],$A70,T_SelfStock[WeekIndex],81)+SUMIFS(T_TTAFStock[TTAF_Qty],T_TTAFStock[RM_Code],$A70,T_TTAFStock[WeekIndex],81),CC70+'Grid_Incoming'!CD70-'Grid_Requirement'!CD70))</f>
        <v/>
      </c>
      <c r="CE70">
        <f>IF(COUNTIFS(T_StockCount[RM_Code],$A70,T_StockCount[WeekIndex],82)&gt;0,SUMIFS(T_StockCount[CountedQty],T_StockCount[RM_Code],$A70,T_StockCount[WeekIndex],82),IF((COUNTIFS(T_SelfStock[RM_Code],$A70,T_SelfStock[WeekIndex],82)&gt;0)*(COUNTIFS(T_TTAFStock[RM_Code],$A70,T_TTAFStock[WeekIndex],82)&gt;0)&gt;0,SUMIFS(T_SelfStock[Self_Qty],T_SelfStock[RM_Code],$A70,T_SelfStock[WeekIndex],82)+SUMIFS(T_TTAFStock[TTAF_Qty],T_TTAFStock[RM_Code],$A70,T_TTAFStock[WeekIndex],82),CD70+'Grid_Incoming'!CE70-'Grid_Requirement'!CE70))</f>
        <v/>
      </c>
      <c r="CF70">
        <f>IF(COUNTIFS(T_StockCount[RM_Code],$A70,T_StockCount[WeekIndex],83)&gt;0,SUMIFS(T_StockCount[CountedQty],T_StockCount[RM_Code],$A70,T_StockCount[WeekIndex],83),IF((COUNTIFS(T_SelfStock[RM_Code],$A70,T_SelfStock[WeekIndex],83)&gt;0)*(COUNTIFS(T_TTAFStock[RM_Code],$A70,T_TTAFStock[WeekIndex],83)&gt;0)&gt;0,SUMIFS(T_SelfStock[Self_Qty],T_SelfStock[RM_Code],$A70,T_SelfStock[WeekIndex],83)+SUMIFS(T_TTAFStock[TTAF_Qty],T_TTAFStock[RM_Code],$A70,T_TTAFStock[WeekIndex],83),CE70+'Grid_Incoming'!CF70-'Grid_Requirement'!CF70))</f>
        <v/>
      </c>
      <c r="CG70">
        <f>IF(COUNTIFS(T_StockCount[RM_Code],$A70,T_StockCount[WeekIndex],84)&gt;0,SUMIFS(T_StockCount[CountedQty],T_StockCount[RM_Code],$A70,T_StockCount[WeekIndex],84),IF((COUNTIFS(T_SelfStock[RM_Code],$A70,T_SelfStock[WeekIndex],84)&gt;0)*(COUNTIFS(T_TTAFStock[RM_Code],$A70,T_TTAFStock[WeekIndex],84)&gt;0)&gt;0,SUMIFS(T_SelfStock[Self_Qty],T_SelfStock[RM_Code],$A70,T_SelfStock[WeekIndex],84)+SUMIFS(T_TTAFStock[TTAF_Qty],T_TTAFStock[RM_Code],$A70,T_TTAFStock[WeekIndex],84),CF70+'Grid_Incoming'!CG70-'Grid_Requirement'!CG70))</f>
        <v/>
      </c>
      <c r="CH70">
        <f>IF(COUNTIFS(T_StockCount[RM_Code],$A70,T_StockCount[WeekIndex],85)&gt;0,SUMIFS(T_StockCount[CountedQty],T_StockCount[RM_Code],$A70,T_StockCount[WeekIndex],85),IF((COUNTIFS(T_SelfStock[RM_Code],$A70,T_SelfStock[WeekIndex],85)&gt;0)*(COUNTIFS(T_TTAFStock[RM_Code],$A70,T_TTAFStock[WeekIndex],85)&gt;0)&gt;0,SUMIFS(T_SelfStock[Self_Qty],T_SelfStock[RM_Code],$A70,T_SelfStock[WeekIndex],85)+SUMIFS(T_TTAFStock[TTAF_Qty],T_TTAFStock[RM_Code],$A70,T_TTAFStock[WeekIndex],85),CG70+'Grid_Incoming'!CH70-'Grid_Requirement'!CH70))</f>
        <v/>
      </c>
      <c r="CI70">
        <f>IF(COUNTIFS(T_StockCount[RM_Code],$A70,T_StockCount[WeekIndex],86)&gt;0,SUMIFS(T_StockCount[CountedQty],T_StockCount[RM_Code],$A70,T_StockCount[WeekIndex],86),IF((COUNTIFS(T_SelfStock[RM_Code],$A70,T_SelfStock[WeekIndex],86)&gt;0)*(COUNTIFS(T_TTAFStock[RM_Code],$A70,T_TTAFStock[WeekIndex],86)&gt;0)&gt;0,SUMIFS(T_SelfStock[Self_Qty],T_SelfStock[RM_Code],$A70,T_SelfStock[WeekIndex],86)+SUMIFS(T_TTAFStock[TTAF_Qty],T_TTAFStock[RM_Code],$A70,T_TTAFStock[WeekIndex],86),CH70+'Grid_Incoming'!CI70-'Grid_Requirement'!CI70))</f>
        <v/>
      </c>
      <c r="CJ70">
        <f>IF(COUNTIFS(T_StockCount[RM_Code],$A70,T_StockCount[WeekIndex],87)&gt;0,SUMIFS(T_StockCount[CountedQty],T_StockCount[RM_Code],$A70,T_StockCount[WeekIndex],87),IF((COUNTIFS(T_SelfStock[RM_Code],$A70,T_SelfStock[WeekIndex],87)&gt;0)*(COUNTIFS(T_TTAFStock[RM_Code],$A70,T_TTAFStock[WeekIndex],87)&gt;0)&gt;0,SUMIFS(T_SelfStock[Self_Qty],T_SelfStock[RM_Code],$A70,T_SelfStock[WeekIndex],87)+SUMIFS(T_TTAFStock[TTAF_Qty],T_TTAFStock[RM_Code],$A70,T_TTAFStock[WeekIndex],87),CI70+'Grid_Incoming'!CJ70-'Grid_Requirement'!CJ70))</f>
        <v/>
      </c>
      <c r="CK70">
        <f>IF(COUNTIFS(T_StockCount[RM_Code],$A70,T_StockCount[WeekIndex],88)&gt;0,SUMIFS(T_StockCount[CountedQty],T_StockCount[RM_Code],$A70,T_StockCount[WeekIndex],88),IF((COUNTIFS(T_SelfStock[RM_Code],$A70,T_SelfStock[WeekIndex],88)&gt;0)*(COUNTIFS(T_TTAFStock[RM_Code],$A70,T_TTAFStock[WeekIndex],88)&gt;0)&gt;0,SUMIFS(T_SelfStock[Self_Qty],T_SelfStock[RM_Code],$A70,T_SelfStock[WeekIndex],88)+SUMIFS(T_TTAFStock[TTAF_Qty],T_TTAFStock[RM_Code],$A70,T_TTAFStock[WeekIndex],88),CJ70+'Grid_Incoming'!CK70-'Grid_Requirement'!CK70))</f>
        <v/>
      </c>
      <c r="CL70">
        <f>IF(COUNTIFS(T_StockCount[RM_Code],$A70,T_StockCount[WeekIndex],89)&gt;0,SUMIFS(T_StockCount[CountedQty],T_StockCount[RM_Code],$A70,T_StockCount[WeekIndex],89),IF((COUNTIFS(T_SelfStock[RM_Code],$A70,T_SelfStock[WeekIndex],89)&gt;0)*(COUNTIFS(T_TTAFStock[RM_Code],$A70,T_TTAFStock[WeekIndex],89)&gt;0)&gt;0,SUMIFS(T_SelfStock[Self_Qty],T_SelfStock[RM_Code],$A70,T_SelfStock[WeekIndex],89)+SUMIFS(T_TTAFStock[TTAF_Qty],T_TTAFStock[RM_Code],$A70,T_TTAFStock[WeekIndex],89),CK70+'Grid_Incoming'!CL70-'Grid_Requirement'!CL70))</f>
        <v/>
      </c>
      <c r="CM70">
        <f>IF(COUNTIFS(T_StockCount[RM_Code],$A70,T_StockCount[WeekIndex],90)&gt;0,SUMIFS(T_StockCount[CountedQty],T_StockCount[RM_Code],$A70,T_StockCount[WeekIndex],90),IF((COUNTIFS(T_SelfStock[RM_Code],$A70,T_SelfStock[WeekIndex],90)&gt;0)*(COUNTIFS(T_TTAFStock[RM_Code],$A70,T_TTAFStock[WeekIndex],90)&gt;0)&gt;0,SUMIFS(T_SelfStock[Self_Qty],T_SelfStock[RM_Code],$A70,T_SelfStock[WeekIndex],90)+SUMIFS(T_TTAFStock[TTAF_Qty],T_TTAFStock[RM_Code],$A70,T_TTAFStock[WeekIndex],90),CL70+'Grid_Incoming'!CM70-'Grid_Requirement'!CM70))</f>
        <v/>
      </c>
      <c r="CN70">
        <f>IF(COUNTIFS(T_StockCount[RM_Code],$A70,T_StockCount[WeekIndex],91)&gt;0,SUMIFS(T_StockCount[CountedQty],T_StockCount[RM_Code],$A70,T_StockCount[WeekIndex],91),IF((COUNTIFS(T_SelfStock[RM_Code],$A70,T_SelfStock[WeekIndex],91)&gt;0)*(COUNTIFS(T_TTAFStock[RM_Code],$A70,T_TTAFStock[WeekIndex],91)&gt;0)&gt;0,SUMIFS(T_SelfStock[Self_Qty],T_SelfStock[RM_Code],$A70,T_SelfStock[WeekIndex],91)+SUMIFS(T_TTAFStock[TTAF_Qty],T_TTAFStock[RM_Code],$A70,T_TTAFStock[WeekIndex],91),CM70+'Grid_Incoming'!CN70-'Grid_Requirement'!CN70))</f>
        <v/>
      </c>
      <c r="CO70">
        <f>IF(COUNTIFS(T_StockCount[RM_Code],$A70,T_StockCount[WeekIndex],92)&gt;0,SUMIFS(T_StockCount[CountedQty],T_StockCount[RM_Code],$A70,T_StockCount[WeekIndex],92),IF((COUNTIFS(T_SelfStock[RM_Code],$A70,T_SelfStock[WeekIndex],92)&gt;0)*(COUNTIFS(T_TTAFStock[RM_Code],$A70,T_TTAFStock[WeekIndex],92)&gt;0)&gt;0,SUMIFS(T_SelfStock[Self_Qty],T_SelfStock[RM_Code],$A70,T_SelfStock[WeekIndex],92)+SUMIFS(T_TTAFStock[TTAF_Qty],T_TTAFStock[RM_Code],$A70,T_TTAFStock[WeekIndex],92),CN70+'Grid_Incoming'!CO70-'Grid_Requirement'!CO70))</f>
        <v/>
      </c>
      <c r="CP70">
        <f>IF(COUNTIFS(T_StockCount[RM_Code],$A70,T_StockCount[WeekIndex],93)&gt;0,SUMIFS(T_StockCount[CountedQty],T_StockCount[RM_Code],$A70,T_StockCount[WeekIndex],93),IF((COUNTIFS(T_SelfStock[RM_Code],$A70,T_SelfStock[WeekIndex],93)&gt;0)*(COUNTIFS(T_TTAFStock[RM_Code],$A70,T_TTAFStock[WeekIndex],93)&gt;0)&gt;0,SUMIFS(T_SelfStock[Self_Qty],T_SelfStock[RM_Code],$A70,T_SelfStock[WeekIndex],93)+SUMIFS(T_TTAFStock[TTAF_Qty],T_TTAFStock[RM_Code],$A70,T_TTAFStock[WeekIndex],93),CO70+'Grid_Incoming'!CP70-'Grid_Requirement'!CP70))</f>
        <v/>
      </c>
      <c r="CQ70">
        <f>IF(COUNTIFS(T_StockCount[RM_Code],$A70,T_StockCount[WeekIndex],94)&gt;0,SUMIFS(T_StockCount[CountedQty],T_StockCount[RM_Code],$A70,T_StockCount[WeekIndex],94),IF((COUNTIFS(T_SelfStock[RM_Code],$A70,T_SelfStock[WeekIndex],94)&gt;0)*(COUNTIFS(T_TTAFStock[RM_Code],$A70,T_TTAFStock[WeekIndex],94)&gt;0)&gt;0,SUMIFS(T_SelfStock[Self_Qty],T_SelfStock[RM_Code],$A70,T_SelfStock[WeekIndex],94)+SUMIFS(T_TTAFStock[TTAF_Qty],T_TTAFStock[RM_Code],$A70,T_TTAFStock[WeekIndex],94),CP70+'Grid_Incoming'!CQ70-'Grid_Requirement'!CQ70))</f>
        <v/>
      </c>
      <c r="CR70">
        <f>IF(COUNTIFS(T_StockCount[RM_Code],$A70,T_StockCount[WeekIndex],95)&gt;0,SUMIFS(T_StockCount[CountedQty],T_StockCount[RM_Code],$A70,T_StockCount[WeekIndex],95),IF((COUNTIFS(T_SelfStock[RM_Code],$A70,T_SelfStock[WeekIndex],95)&gt;0)*(COUNTIFS(T_TTAFStock[RM_Code],$A70,T_TTAFStock[WeekIndex],95)&gt;0)&gt;0,SUMIFS(T_SelfStock[Self_Qty],T_SelfStock[RM_Code],$A70,T_SelfStock[WeekIndex],95)+SUMIFS(T_TTAFStock[TTAF_Qty],T_TTAFStock[RM_Code],$A70,T_TTAFStock[WeekIndex],95),CQ70+'Grid_Incoming'!CR70-'Grid_Requirement'!CR70))</f>
        <v/>
      </c>
      <c r="CS70">
        <f>IF(COUNTIFS(T_StockCount[RM_Code],$A70,T_StockCount[WeekIndex],96)&gt;0,SUMIFS(T_StockCount[CountedQty],T_StockCount[RM_Code],$A70,T_StockCount[WeekIndex],96),IF((COUNTIFS(T_SelfStock[RM_Code],$A70,T_SelfStock[WeekIndex],96)&gt;0)*(COUNTIFS(T_TTAFStock[RM_Code],$A70,T_TTAFStock[WeekIndex],96)&gt;0)&gt;0,SUMIFS(T_SelfStock[Self_Qty],T_SelfStock[RM_Code],$A70,T_SelfStock[WeekIndex],96)+SUMIFS(T_TTAFStock[TTAF_Qty],T_TTAFStock[RM_Code],$A70,T_TTAFStock[WeekIndex],96),CR70+'Grid_Incoming'!CS70-'Grid_Requirement'!CS70))</f>
        <v/>
      </c>
      <c r="CT70">
        <f>IF(COUNTIFS(T_StockCount[RM_Code],$A70,T_StockCount[WeekIndex],97)&gt;0,SUMIFS(T_StockCount[CountedQty],T_StockCount[RM_Code],$A70,T_StockCount[WeekIndex],97),IF((COUNTIFS(T_SelfStock[RM_Code],$A70,T_SelfStock[WeekIndex],97)&gt;0)*(COUNTIFS(T_TTAFStock[RM_Code],$A70,T_TTAFStock[WeekIndex],97)&gt;0)&gt;0,SUMIFS(T_SelfStock[Self_Qty],T_SelfStock[RM_Code],$A70,T_SelfStock[WeekIndex],97)+SUMIFS(T_TTAFStock[TTAF_Qty],T_TTAFStock[RM_Code],$A70,T_TTAFStock[WeekIndex],97),CS70+'Grid_Incoming'!CT70-'Grid_Requirement'!CT70))</f>
        <v/>
      </c>
      <c r="CU70">
        <f>IF(COUNTIFS(T_StockCount[RM_Code],$A70,T_StockCount[WeekIndex],98)&gt;0,SUMIFS(T_StockCount[CountedQty],T_StockCount[RM_Code],$A70,T_StockCount[WeekIndex],98),IF((COUNTIFS(T_SelfStock[RM_Code],$A70,T_SelfStock[WeekIndex],98)&gt;0)*(COUNTIFS(T_TTAFStock[RM_Code],$A70,T_TTAFStock[WeekIndex],98)&gt;0)&gt;0,SUMIFS(T_SelfStock[Self_Qty],T_SelfStock[RM_Code],$A70,T_SelfStock[WeekIndex],98)+SUMIFS(T_TTAFStock[TTAF_Qty],T_TTAFStock[RM_Code],$A70,T_TTAFStock[WeekIndex],98),CT70+'Grid_Incoming'!CU70-'Grid_Requirement'!CU70))</f>
        <v/>
      </c>
      <c r="CV70">
        <f>IF(COUNTIFS(T_StockCount[RM_Code],$A70,T_StockCount[WeekIndex],99)&gt;0,SUMIFS(T_StockCount[CountedQty],T_StockCount[RM_Code],$A70,T_StockCount[WeekIndex],99),IF((COUNTIFS(T_SelfStock[RM_Code],$A70,T_SelfStock[WeekIndex],99)&gt;0)*(COUNTIFS(T_TTAFStock[RM_Code],$A70,T_TTAFStock[WeekIndex],99)&gt;0)&gt;0,SUMIFS(T_SelfStock[Self_Qty],T_SelfStock[RM_Code],$A70,T_SelfStock[WeekIndex],99)+SUMIFS(T_TTAFStock[TTAF_Qty],T_TTAFStock[RM_Code],$A70,T_TTAFStock[WeekIndex],99),CU70+'Grid_Incoming'!CV70-'Grid_Requirement'!CV70))</f>
        <v/>
      </c>
      <c r="CW70">
        <f>IF(COUNTIFS(T_StockCount[RM_Code],$A70,T_StockCount[WeekIndex],100)&gt;0,SUMIFS(T_StockCount[CountedQty],T_StockCount[RM_Code],$A70,T_StockCount[WeekIndex],100),IF((COUNTIFS(T_SelfStock[RM_Code],$A70,T_SelfStock[WeekIndex],100)&gt;0)*(COUNTIFS(T_TTAFStock[RM_Code],$A70,T_TTAFStock[WeekIndex],100)&gt;0)&gt;0,SUMIFS(T_SelfStock[Self_Qty],T_SelfStock[RM_Code],$A70,T_SelfStock[WeekIndex],100)+SUMIFS(T_TTAFStock[TTAF_Qty],T_TTAFStock[RM_Code],$A70,T_TTAFStock[WeekIndex],100),CV70+'Grid_Incoming'!CW70-'Grid_Requirement'!CW70))</f>
        <v/>
      </c>
      <c r="CX70">
        <f>IF(COUNTIFS(T_StockCount[RM_Code],$A70,T_StockCount[WeekIndex],101)&gt;0,SUMIFS(T_StockCount[CountedQty],T_StockCount[RM_Code],$A70,T_StockCount[WeekIndex],101),IF((COUNTIFS(T_SelfStock[RM_Code],$A70,T_SelfStock[WeekIndex],101)&gt;0)*(COUNTIFS(T_TTAFStock[RM_Code],$A70,T_TTAFStock[WeekIndex],101)&gt;0)&gt;0,SUMIFS(T_SelfStock[Self_Qty],T_SelfStock[RM_Code],$A70,T_SelfStock[WeekIndex],101)+SUMIFS(T_TTAFStock[TTAF_Qty],T_TTAFStock[RM_Code],$A70,T_TTAFStock[WeekIndex],101),CW70+'Grid_Incoming'!CX70-'Grid_Requirement'!CX70))</f>
        <v/>
      </c>
      <c r="CY70">
        <f>IF(COUNTIFS(T_StockCount[RM_Code],$A70,T_StockCount[WeekIndex],102)&gt;0,SUMIFS(T_StockCount[CountedQty],T_StockCount[RM_Code],$A70,T_StockCount[WeekIndex],102),IF((COUNTIFS(T_SelfStock[RM_Code],$A70,T_SelfStock[WeekIndex],102)&gt;0)*(COUNTIFS(T_TTAFStock[RM_Code],$A70,T_TTAFStock[WeekIndex],102)&gt;0)&gt;0,SUMIFS(T_SelfStock[Self_Qty],T_SelfStock[RM_Code],$A70,T_SelfStock[WeekIndex],102)+SUMIFS(T_TTAFStock[TTAF_Qty],T_TTAFStock[RM_Code],$A70,T_TTAFStock[WeekIndex],102),CX70+'Grid_Incoming'!CY70-'Grid_Requirement'!CY70))</f>
        <v/>
      </c>
      <c r="CZ70">
        <f>IF(COUNTIFS(T_StockCount[RM_Code],$A70,T_StockCount[WeekIndex],103)&gt;0,SUMIFS(T_StockCount[CountedQty],T_StockCount[RM_Code],$A70,T_StockCount[WeekIndex],103),IF((COUNTIFS(T_SelfStock[RM_Code],$A70,T_SelfStock[WeekIndex],103)&gt;0)*(COUNTIFS(T_TTAFStock[RM_Code],$A70,T_TTAFStock[WeekIndex],103)&gt;0)&gt;0,SUMIFS(T_SelfStock[Self_Qty],T_SelfStock[RM_Code],$A70,T_SelfStock[WeekIndex],103)+SUMIFS(T_TTAFStock[TTAF_Qty],T_TTAFStock[RM_Code],$A70,T_TTAFStock[WeekIndex],103),CY70+'Grid_Incoming'!CZ70-'Grid_Requirement'!CZ70))</f>
        <v/>
      </c>
      <c r="DA70">
        <f>IF(COUNTIFS(T_StockCount[RM_Code],$A70,T_StockCount[WeekIndex],104)&gt;0,SUMIFS(T_StockCount[CountedQty],T_StockCount[RM_Code],$A70,T_StockCount[WeekIndex],104),IF((COUNTIFS(T_SelfStock[RM_Code],$A70,T_SelfStock[WeekIndex],104)&gt;0)*(COUNTIFS(T_TTAFStock[RM_Code],$A70,T_TTAFStock[WeekIndex],104)&gt;0)&gt;0,SUMIFS(T_SelfStock[Self_Qty],T_SelfStock[RM_Code],$A70,T_SelfStock[WeekIndex],104)+SUMIFS(T_TTAFStock[TTAF_Qty],T_TTAFStock[RM_Code],$A70,T_TTAFStock[WeekIndex],104),CZ70+'Grid_Incoming'!DA70-'Grid_Requirement'!DA70))</f>
        <v/>
      </c>
    </row>
    <row r="71">
      <c r="A71" t="inlineStr">
        <is>
          <t>848530</t>
        </is>
      </c>
      <c r="B71">
        <f>IF(COUNTIFS(T_StockCount[RM_Code],$A71,T_StockCount[WeekIndex],1)&gt;0,SUMIFS(T_StockCount[CountedQty],T_StockCount[RM_Code],$A71,T_StockCount[WeekIndex],1),IF((COUNTIFS(T_SelfStock[RM_Code],$A71,T_SelfStock[WeekIndex],1)&gt;0)*(COUNTIFS(T_TTAFStock[RM_Code],$A71,T_TTAFStock[WeekIndex],1)&gt;0)&gt;0,SUMIFS(T_SelfStock[Self_Qty],T_SelfStock[RM_Code],$A71,T_SelfStock[WeekIndex],1)+SUMIFS(T_TTAFStock[TTAF_Qty],T_TTAFStock[RM_Code],$A71,T_TTAFStock[WeekIndex],1),IFERROR(INDEX(T_OpeningStock[Opening_Qty],MATCH($A71,T_OpeningStock[RM_Code],0)),0)+'Grid_Incoming'!B71-'Grid_Requirement'!B71))</f>
        <v/>
      </c>
      <c r="C71">
        <f>IF(COUNTIFS(T_StockCount[RM_Code],$A71,T_StockCount[WeekIndex],2)&gt;0,SUMIFS(T_StockCount[CountedQty],T_StockCount[RM_Code],$A71,T_StockCount[WeekIndex],2),IF((COUNTIFS(T_SelfStock[RM_Code],$A71,T_SelfStock[WeekIndex],2)&gt;0)*(COUNTIFS(T_TTAFStock[RM_Code],$A71,T_TTAFStock[WeekIndex],2)&gt;0)&gt;0,SUMIFS(T_SelfStock[Self_Qty],T_SelfStock[RM_Code],$A71,T_SelfStock[WeekIndex],2)+SUMIFS(T_TTAFStock[TTAF_Qty],T_TTAFStock[RM_Code],$A71,T_TTAFStock[WeekIndex],2),B71+'Grid_Incoming'!C71-'Grid_Requirement'!C71))</f>
        <v/>
      </c>
      <c r="D71">
        <f>IF(COUNTIFS(T_StockCount[RM_Code],$A71,T_StockCount[WeekIndex],3)&gt;0,SUMIFS(T_StockCount[CountedQty],T_StockCount[RM_Code],$A71,T_StockCount[WeekIndex],3),IF((COUNTIFS(T_SelfStock[RM_Code],$A71,T_SelfStock[WeekIndex],3)&gt;0)*(COUNTIFS(T_TTAFStock[RM_Code],$A71,T_TTAFStock[WeekIndex],3)&gt;0)&gt;0,SUMIFS(T_SelfStock[Self_Qty],T_SelfStock[RM_Code],$A71,T_SelfStock[WeekIndex],3)+SUMIFS(T_TTAFStock[TTAF_Qty],T_TTAFStock[RM_Code],$A71,T_TTAFStock[WeekIndex],3),C71+'Grid_Incoming'!D71-'Grid_Requirement'!D71))</f>
        <v/>
      </c>
      <c r="E71">
        <f>IF(COUNTIFS(T_StockCount[RM_Code],$A71,T_StockCount[WeekIndex],4)&gt;0,SUMIFS(T_StockCount[CountedQty],T_StockCount[RM_Code],$A71,T_StockCount[WeekIndex],4),IF((COUNTIFS(T_SelfStock[RM_Code],$A71,T_SelfStock[WeekIndex],4)&gt;0)*(COUNTIFS(T_TTAFStock[RM_Code],$A71,T_TTAFStock[WeekIndex],4)&gt;0)&gt;0,SUMIFS(T_SelfStock[Self_Qty],T_SelfStock[RM_Code],$A71,T_SelfStock[WeekIndex],4)+SUMIFS(T_TTAFStock[TTAF_Qty],T_TTAFStock[RM_Code],$A71,T_TTAFStock[WeekIndex],4),D71+'Grid_Incoming'!E71-'Grid_Requirement'!E71))</f>
        <v/>
      </c>
      <c r="F71">
        <f>IF(COUNTIFS(T_StockCount[RM_Code],$A71,T_StockCount[WeekIndex],5)&gt;0,SUMIFS(T_StockCount[CountedQty],T_StockCount[RM_Code],$A71,T_StockCount[WeekIndex],5),IF((COUNTIFS(T_SelfStock[RM_Code],$A71,T_SelfStock[WeekIndex],5)&gt;0)*(COUNTIFS(T_TTAFStock[RM_Code],$A71,T_TTAFStock[WeekIndex],5)&gt;0)&gt;0,SUMIFS(T_SelfStock[Self_Qty],T_SelfStock[RM_Code],$A71,T_SelfStock[WeekIndex],5)+SUMIFS(T_TTAFStock[TTAF_Qty],T_TTAFStock[RM_Code],$A71,T_TTAFStock[WeekIndex],5),E71+'Grid_Incoming'!F71-'Grid_Requirement'!F71))</f>
        <v/>
      </c>
      <c r="G71">
        <f>IF(COUNTIFS(T_StockCount[RM_Code],$A71,T_StockCount[WeekIndex],6)&gt;0,SUMIFS(T_StockCount[CountedQty],T_StockCount[RM_Code],$A71,T_StockCount[WeekIndex],6),IF((COUNTIFS(T_SelfStock[RM_Code],$A71,T_SelfStock[WeekIndex],6)&gt;0)*(COUNTIFS(T_TTAFStock[RM_Code],$A71,T_TTAFStock[WeekIndex],6)&gt;0)&gt;0,SUMIFS(T_SelfStock[Self_Qty],T_SelfStock[RM_Code],$A71,T_SelfStock[WeekIndex],6)+SUMIFS(T_TTAFStock[TTAF_Qty],T_TTAFStock[RM_Code],$A71,T_TTAFStock[WeekIndex],6),F71+'Grid_Incoming'!G71-'Grid_Requirement'!G71))</f>
        <v/>
      </c>
      <c r="H71">
        <f>IF(COUNTIFS(T_StockCount[RM_Code],$A71,T_StockCount[WeekIndex],7)&gt;0,SUMIFS(T_StockCount[CountedQty],T_StockCount[RM_Code],$A71,T_StockCount[WeekIndex],7),IF((COUNTIFS(T_SelfStock[RM_Code],$A71,T_SelfStock[WeekIndex],7)&gt;0)*(COUNTIFS(T_TTAFStock[RM_Code],$A71,T_TTAFStock[WeekIndex],7)&gt;0)&gt;0,SUMIFS(T_SelfStock[Self_Qty],T_SelfStock[RM_Code],$A71,T_SelfStock[WeekIndex],7)+SUMIFS(T_TTAFStock[TTAF_Qty],T_TTAFStock[RM_Code],$A71,T_TTAFStock[WeekIndex],7),G71+'Grid_Incoming'!H71-'Grid_Requirement'!H71))</f>
        <v/>
      </c>
      <c r="I71">
        <f>IF(COUNTIFS(T_StockCount[RM_Code],$A71,T_StockCount[WeekIndex],8)&gt;0,SUMIFS(T_StockCount[CountedQty],T_StockCount[RM_Code],$A71,T_StockCount[WeekIndex],8),IF((COUNTIFS(T_SelfStock[RM_Code],$A71,T_SelfStock[WeekIndex],8)&gt;0)*(COUNTIFS(T_TTAFStock[RM_Code],$A71,T_TTAFStock[WeekIndex],8)&gt;0)&gt;0,SUMIFS(T_SelfStock[Self_Qty],T_SelfStock[RM_Code],$A71,T_SelfStock[WeekIndex],8)+SUMIFS(T_TTAFStock[TTAF_Qty],T_TTAFStock[RM_Code],$A71,T_TTAFStock[WeekIndex],8),H71+'Grid_Incoming'!I71-'Grid_Requirement'!I71))</f>
        <v/>
      </c>
      <c r="J71">
        <f>IF(COUNTIFS(T_StockCount[RM_Code],$A71,T_StockCount[WeekIndex],9)&gt;0,SUMIFS(T_StockCount[CountedQty],T_StockCount[RM_Code],$A71,T_StockCount[WeekIndex],9),IF((COUNTIFS(T_SelfStock[RM_Code],$A71,T_SelfStock[WeekIndex],9)&gt;0)*(COUNTIFS(T_TTAFStock[RM_Code],$A71,T_TTAFStock[WeekIndex],9)&gt;0)&gt;0,SUMIFS(T_SelfStock[Self_Qty],T_SelfStock[RM_Code],$A71,T_SelfStock[WeekIndex],9)+SUMIFS(T_TTAFStock[TTAF_Qty],T_TTAFStock[RM_Code],$A71,T_TTAFStock[WeekIndex],9),I71+'Grid_Incoming'!J71-'Grid_Requirement'!J71))</f>
        <v/>
      </c>
      <c r="K71">
        <f>IF(COUNTIFS(T_StockCount[RM_Code],$A71,T_StockCount[WeekIndex],10)&gt;0,SUMIFS(T_StockCount[CountedQty],T_StockCount[RM_Code],$A71,T_StockCount[WeekIndex],10),IF((COUNTIFS(T_SelfStock[RM_Code],$A71,T_SelfStock[WeekIndex],10)&gt;0)*(COUNTIFS(T_TTAFStock[RM_Code],$A71,T_TTAFStock[WeekIndex],10)&gt;0)&gt;0,SUMIFS(T_SelfStock[Self_Qty],T_SelfStock[RM_Code],$A71,T_SelfStock[WeekIndex],10)+SUMIFS(T_TTAFStock[TTAF_Qty],T_TTAFStock[RM_Code],$A71,T_TTAFStock[WeekIndex],10),J71+'Grid_Incoming'!K71-'Grid_Requirement'!K71))</f>
        <v/>
      </c>
      <c r="L71">
        <f>IF(COUNTIFS(T_StockCount[RM_Code],$A71,T_StockCount[WeekIndex],11)&gt;0,SUMIFS(T_StockCount[CountedQty],T_StockCount[RM_Code],$A71,T_StockCount[WeekIndex],11),IF((COUNTIFS(T_SelfStock[RM_Code],$A71,T_SelfStock[WeekIndex],11)&gt;0)*(COUNTIFS(T_TTAFStock[RM_Code],$A71,T_TTAFStock[WeekIndex],11)&gt;0)&gt;0,SUMIFS(T_SelfStock[Self_Qty],T_SelfStock[RM_Code],$A71,T_SelfStock[WeekIndex],11)+SUMIFS(T_TTAFStock[TTAF_Qty],T_TTAFStock[RM_Code],$A71,T_TTAFStock[WeekIndex],11),K71+'Grid_Incoming'!L71-'Grid_Requirement'!L71))</f>
        <v/>
      </c>
      <c r="M71">
        <f>IF(COUNTIFS(T_StockCount[RM_Code],$A71,T_StockCount[WeekIndex],12)&gt;0,SUMIFS(T_StockCount[CountedQty],T_StockCount[RM_Code],$A71,T_StockCount[WeekIndex],12),IF((COUNTIFS(T_SelfStock[RM_Code],$A71,T_SelfStock[WeekIndex],12)&gt;0)*(COUNTIFS(T_TTAFStock[RM_Code],$A71,T_TTAFStock[WeekIndex],12)&gt;0)&gt;0,SUMIFS(T_SelfStock[Self_Qty],T_SelfStock[RM_Code],$A71,T_SelfStock[WeekIndex],12)+SUMIFS(T_TTAFStock[TTAF_Qty],T_TTAFStock[RM_Code],$A71,T_TTAFStock[WeekIndex],12),L71+'Grid_Incoming'!M71-'Grid_Requirement'!M71))</f>
        <v/>
      </c>
      <c r="N71">
        <f>IF(COUNTIFS(T_StockCount[RM_Code],$A71,T_StockCount[WeekIndex],13)&gt;0,SUMIFS(T_StockCount[CountedQty],T_StockCount[RM_Code],$A71,T_StockCount[WeekIndex],13),IF((COUNTIFS(T_SelfStock[RM_Code],$A71,T_SelfStock[WeekIndex],13)&gt;0)*(COUNTIFS(T_TTAFStock[RM_Code],$A71,T_TTAFStock[WeekIndex],13)&gt;0)&gt;0,SUMIFS(T_SelfStock[Self_Qty],T_SelfStock[RM_Code],$A71,T_SelfStock[WeekIndex],13)+SUMIFS(T_TTAFStock[TTAF_Qty],T_TTAFStock[RM_Code],$A71,T_TTAFStock[WeekIndex],13),M71+'Grid_Incoming'!N71-'Grid_Requirement'!N71))</f>
        <v/>
      </c>
      <c r="O71">
        <f>IF(COUNTIFS(T_StockCount[RM_Code],$A71,T_StockCount[WeekIndex],14)&gt;0,SUMIFS(T_StockCount[CountedQty],T_StockCount[RM_Code],$A71,T_StockCount[WeekIndex],14),IF((COUNTIFS(T_SelfStock[RM_Code],$A71,T_SelfStock[WeekIndex],14)&gt;0)*(COUNTIFS(T_TTAFStock[RM_Code],$A71,T_TTAFStock[WeekIndex],14)&gt;0)&gt;0,SUMIFS(T_SelfStock[Self_Qty],T_SelfStock[RM_Code],$A71,T_SelfStock[WeekIndex],14)+SUMIFS(T_TTAFStock[TTAF_Qty],T_TTAFStock[RM_Code],$A71,T_TTAFStock[WeekIndex],14),N71+'Grid_Incoming'!O71-'Grid_Requirement'!O71))</f>
        <v/>
      </c>
      <c r="P71">
        <f>IF(COUNTIFS(T_StockCount[RM_Code],$A71,T_StockCount[WeekIndex],15)&gt;0,SUMIFS(T_StockCount[CountedQty],T_StockCount[RM_Code],$A71,T_StockCount[WeekIndex],15),IF((COUNTIFS(T_SelfStock[RM_Code],$A71,T_SelfStock[WeekIndex],15)&gt;0)*(COUNTIFS(T_TTAFStock[RM_Code],$A71,T_TTAFStock[WeekIndex],15)&gt;0)&gt;0,SUMIFS(T_SelfStock[Self_Qty],T_SelfStock[RM_Code],$A71,T_SelfStock[WeekIndex],15)+SUMIFS(T_TTAFStock[TTAF_Qty],T_TTAFStock[RM_Code],$A71,T_TTAFStock[WeekIndex],15),O71+'Grid_Incoming'!P71-'Grid_Requirement'!P71))</f>
        <v/>
      </c>
      <c r="Q71">
        <f>IF(COUNTIFS(T_StockCount[RM_Code],$A71,T_StockCount[WeekIndex],16)&gt;0,SUMIFS(T_StockCount[CountedQty],T_StockCount[RM_Code],$A71,T_StockCount[WeekIndex],16),IF((COUNTIFS(T_SelfStock[RM_Code],$A71,T_SelfStock[WeekIndex],16)&gt;0)*(COUNTIFS(T_TTAFStock[RM_Code],$A71,T_TTAFStock[WeekIndex],16)&gt;0)&gt;0,SUMIFS(T_SelfStock[Self_Qty],T_SelfStock[RM_Code],$A71,T_SelfStock[WeekIndex],16)+SUMIFS(T_TTAFStock[TTAF_Qty],T_TTAFStock[RM_Code],$A71,T_TTAFStock[WeekIndex],16),P71+'Grid_Incoming'!Q71-'Grid_Requirement'!Q71))</f>
        <v/>
      </c>
      <c r="R71">
        <f>IF(COUNTIFS(T_StockCount[RM_Code],$A71,T_StockCount[WeekIndex],17)&gt;0,SUMIFS(T_StockCount[CountedQty],T_StockCount[RM_Code],$A71,T_StockCount[WeekIndex],17),IF((COUNTIFS(T_SelfStock[RM_Code],$A71,T_SelfStock[WeekIndex],17)&gt;0)*(COUNTIFS(T_TTAFStock[RM_Code],$A71,T_TTAFStock[WeekIndex],17)&gt;0)&gt;0,SUMIFS(T_SelfStock[Self_Qty],T_SelfStock[RM_Code],$A71,T_SelfStock[WeekIndex],17)+SUMIFS(T_TTAFStock[TTAF_Qty],T_TTAFStock[RM_Code],$A71,T_TTAFStock[WeekIndex],17),Q71+'Grid_Incoming'!R71-'Grid_Requirement'!R71))</f>
        <v/>
      </c>
      <c r="S71">
        <f>IF(COUNTIFS(T_StockCount[RM_Code],$A71,T_StockCount[WeekIndex],18)&gt;0,SUMIFS(T_StockCount[CountedQty],T_StockCount[RM_Code],$A71,T_StockCount[WeekIndex],18),IF((COUNTIFS(T_SelfStock[RM_Code],$A71,T_SelfStock[WeekIndex],18)&gt;0)*(COUNTIFS(T_TTAFStock[RM_Code],$A71,T_TTAFStock[WeekIndex],18)&gt;0)&gt;0,SUMIFS(T_SelfStock[Self_Qty],T_SelfStock[RM_Code],$A71,T_SelfStock[WeekIndex],18)+SUMIFS(T_TTAFStock[TTAF_Qty],T_TTAFStock[RM_Code],$A71,T_TTAFStock[WeekIndex],18),R71+'Grid_Incoming'!S71-'Grid_Requirement'!S71))</f>
        <v/>
      </c>
      <c r="T71">
        <f>IF(COUNTIFS(T_StockCount[RM_Code],$A71,T_StockCount[WeekIndex],19)&gt;0,SUMIFS(T_StockCount[CountedQty],T_StockCount[RM_Code],$A71,T_StockCount[WeekIndex],19),IF((COUNTIFS(T_SelfStock[RM_Code],$A71,T_SelfStock[WeekIndex],19)&gt;0)*(COUNTIFS(T_TTAFStock[RM_Code],$A71,T_TTAFStock[WeekIndex],19)&gt;0)&gt;0,SUMIFS(T_SelfStock[Self_Qty],T_SelfStock[RM_Code],$A71,T_SelfStock[WeekIndex],19)+SUMIFS(T_TTAFStock[TTAF_Qty],T_TTAFStock[RM_Code],$A71,T_TTAFStock[WeekIndex],19),S71+'Grid_Incoming'!T71-'Grid_Requirement'!T71))</f>
        <v/>
      </c>
      <c r="U71">
        <f>IF(COUNTIFS(T_StockCount[RM_Code],$A71,T_StockCount[WeekIndex],20)&gt;0,SUMIFS(T_StockCount[CountedQty],T_StockCount[RM_Code],$A71,T_StockCount[WeekIndex],20),IF((COUNTIFS(T_SelfStock[RM_Code],$A71,T_SelfStock[WeekIndex],20)&gt;0)*(COUNTIFS(T_TTAFStock[RM_Code],$A71,T_TTAFStock[WeekIndex],20)&gt;0)&gt;0,SUMIFS(T_SelfStock[Self_Qty],T_SelfStock[RM_Code],$A71,T_SelfStock[WeekIndex],20)+SUMIFS(T_TTAFStock[TTAF_Qty],T_TTAFStock[RM_Code],$A71,T_TTAFStock[WeekIndex],20),T71+'Grid_Incoming'!U71-'Grid_Requirement'!U71))</f>
        <v/>
      </c>
      <c r="V71">
        <f>IF(COUNTIFS(T_StockCount[RM_Code],$A71,T_StockCount[WeekIndex],21)&gt;0,SUMIFS(T_StockCount[CountedQty],T_StockCount[RM_Code],$A71,T_StockCount[WeekIndex],21),IF((COUNTIFS(T_SelfStock[RM_Code],$A71,T_SelfStock[WeekIndex],21)&gt;0)*(COUNTIFS(T_TTAFStock[RM_Code],$A71,T_TTAFStock[WeekIndex],21)&gt;0)&gt;0,SUMIFS(T_SelfStock[Self_Qty],T_SelfStock[RM_Code],$A71,T_SelfStock[WeekIndex],21)+SUMIFS(T_TTAFStock[TTAF_Qty],T_TTAFStock[RM_Code],$A71,T_TTAFStock[WeekIndex],21),U71+'Grid_Incoming'!V71-'Grid_Requirement'!V71))</f>
        <v/>
      </c>
      <c r="W71">
        <f>IF(COUNTIFS(T_StockCount[RM_Code],$A71,T_StockCount[WeekIndex],22)&gt;0,SUMIFS(T_StockCount[CountedQty],T_StockCount[RM_Code],$A71,T_StockCount[WeekIndex],22),IF((COUNTIFS(T_SelfStock[RM_Code],$A71,T_SelfStock[WeekIndex],22)&gt;0)*(COUNTIFS(T_TTAFStock[RM_Code],$A71,T_TTAFStock[WeekIndex],22)&gt;0)&gt;0,SUMIFS(T_SelfStock[Self_Qty],T_SelfStock[RM_Code],$A71,T_SelfStock[WeekIndex],22)+SUMIFS(T_TTAFStock[TTAF_Qty],T_TTAFStock[RM_Code],$A71,T_TTAFStock[WeekIndex],22),V71+'Grid_Incoming'!W71-'Grid_Requirement'!W71))</f>
        <v/>
      </c>
      <c r="X71">
        <f>IF(COUNTIFS(T_StockCount[RM_Code],$A71,T_StockCount[WeekIndex],23)&gt;0,SUMIFS(T_StockCount[CountedQty],T_StockCount[RM_Code],$A71,T_StockCount[WeekIndex],23),IF((COUNTIFS(T_SelfStock[RM_Code],$A71,T_SelfStock[WeekIndex],23)&gt;0)*(COUNTIFS(T_TTAFStock[RM_Code],$A71,T_TTAFStock[WeekIndex],23)&gt;0)&gt;0,SUMIFS(T_SelfStock[Self_Qty],T_SelfStock[RM_Code],$A71,T_SelfStock[WeekIndex],23)+SUMIFS(T_TTAFStock[TTAF_Qty],T_TTAFStock[RM_Code],$A71,T_TTAFStock[WeekIndex],23),W71+'Grid_Incoming'!X71-'Grid_Requirement'!X71))</f>
        <v/>
      </c>
      <c r="Y71">
        <f>IF(COUNTIFS(T_StockCount[RM_Code],$A71,T_StockCount[WeekIndex],24)&gt;0,SUMIFS(T_StockCount[CountedQty],T_StockCount[RM_Code],$A71,T_StockCount[WeekIndex],24),IF((COUNTIFS(T_SelfStock[RM_Code],$A71,T_SelfStock[WeekIndex],24)&gt;0)*(COUNTIFS(T_TTAFStock[RM_Code],$A71,T_TTAFStock[WeekIndex],24)&gt;0)&gt;0,SUMIFS(T_SelfStock[Self_Qty],T_SelfStock[RM_Code],$A71,T_SelfStock[WeekIndex],24)+SUMIFS(T_TTAFStock[TTAF_Qty],T_TTAFStock[RM_Code],$A71,T_TTAFStock[WeekIndex],24),X71+'Grid_Incoming'!Y71-'Grid_Requirement'!Y71))</f>
        <v/>
      </c>
      <c r="Z71">
        <f>IF(COUNTIFS(T_StockCount[RM_Code],$A71,T_StockCount[WeekIndex],25)&gt;0,SUMIFS(T_StockCount[CountedQty],T_StockCount[RM_Code],$A71,T_StockCount[WeekIndex],25),IF((COUNTIFS(T_SelfStock[RM_Code],$A71,T_SelfStock[WeekIndex],25)&gt;0)*(COUNTIFS(T_TTAFStock[RM_Code],$A71,T_TTAFStock[WeekIndex],25)&gt;0)&gt;0,SUMIFS(T_SelfStock[Self_Qty],T_SelfStock[RM_Code],$A71,T_SelfStock[WeekIndex],25)+SUMIFS(T_TTAFStock[TTAF_Qty],T_TTAFStock[RM_Code],$A71,T_TTAFStock[WeekIndex],25),Y71+'Grid_Incoming'!Z71-'Grid_Requirement'!Z71))</f>
        <v/>
      </c>
      <c r="AA71">
        <f>IF(COUNTIFS(T_StockCount[RM_Code],$A71,T_StockCount[WeekIndex],26)&gt;0,SUMIFS(T_StockCount[CountedQty],T_StockCount[RM_Code],$A71,T_StockCount[WeekIndex],26),IF((COUNTIFS(T_SelfStock[RM_Code],$A71,T_SelfStock[WeekIndex],26)&gt;0)*(COUNTIFS(T_TTAFStock[RM_Code],$A71,T_TTAFStock[WeekIndex],26)&gt;0)&gt;0,SUMIFS(T_SelfStock[Self_Qty],T_SelfStock[RM_Code],$A71,T_SelfStock[WeekIndex],26)+SUMIFS(T_TTAFStock[TTAF_Qty],T_TTAFStock[RM_Code],$A71,T_TTAFStock[WeekIndex],26),Z71+'Grid_Incoming'!AA71-'Grid_Requirement'!AA71))</f>
        <v/>
      </c>
      <c r="AB71">
        <f>IF(COUNTIFS(T_StockCount[RM_Code],$A71,T_StockCount[WeekIndex],27)&gt;0,SUMIFS(T_StockCount[CountedQty],T_StockCount[RM_Code],$A71,T_StockCount[WeekIndex],27),IF((COUNTIFS(T_SelfStock[RM_Code],$A71,T_SelfStock[WeekIndex],27)&gt;0)*(COUNTIFS(T_TTAFStock[RM_Code],$A71,T_TTAFStock[WeekIndex],27)&gt;0)&gt;0,SUMIFS(T_SelfStock[Self_Qty],T_SelfStock[RM_Code],$A71,T_SelfStock[WeekIndex],27)+SUMIFS(T_TTAFStock[TTAF_Qty],T_TTAFStock[RM_Code],$A71,T_TTAFStock[WeekIndex],27),AA71+'Grid_Incoming'!AB71-'Grid_Requirement'!AB71))</f>
        <v/>
      </c>
      <c r="AC71">
        <f>IF(COUNTIFS(T_StockCount[RM_Code],$A71,T_StockCount[WeekIndex],28)&gt;0,SUMIFS(T_StockCount[CountedQty],T_StockCount[RM_Code],$A71,T_StockCount[WeekIndex],28),IF((COUNTIFS(T_SelfStock[RM_Code],$A71,T_SelfStock[WeekIndex],28)&gt;0)*(COUNTIFS(T_TTAFStock[RM_Code],$A71,T_TTAFStock[WeekIndex],28)&gt;0)&gt;0,SUMIFS(T_SelfStock[Self_Qty],T_SelfStock[RM_Code],$A71,T_SelfStock[WeekIndex],28)+SUMIFS(T_TTAFStock[TTAF_Qty],T_TTAFStock[RM_Code],$A71,T_TTAFStock[WeekIndex],28),AB71+'Grid_Incoming'!AC71-'Grid_Requirement'!AC71))</f>
        <v/>
      </c>
      <c r="AD71">
        <f>IF(COUNTIFS(T_StockCount[RM_Code],$A71,T_StockCount[WeekIndex],29)&gt;0,SUMIFS(T_StockCount[CountedQty],T_StockCount[RM_Code],$A71,T_StockCount[WeekIndex],29),IF((COUNTIFS(T_SelfStock[RM_Code],$A71,T_SelfStock[WeekIndex],29)&gt;0)*(COUNTIFS(T_TTAFStock[RM_Code],$A71,T_TTAFStock[WeekIndex],29)&gt;0)&gt;0,SUMIFS(T_SelfStock[Self_Qty],T_SelfStock[RM_Code],$A71,T_SelfStock[WeekIndex],29)+SUMIFS(T_TTAFStock[TTAF_Qty],T_TTAFStock[RM_Code],$A71,T_TTAFStock[WeekIndex],29),AC71+'Grid_Incoming'!AD71-'Grid_Requirement'!AD71))</f>
        <v/>
      </c>
      <c r="AE71">
        <f>IF(COUNTIFS(T_StockCount[RM_Code],$A71,T_StockCount[WeekIndex],30)&gt;0,SUMIFS(T_StockCount[CountedQty],T_StockCount[RM_Code],$A71,T_StockCount[WeekIndex],30),IF((COUNTIFS(T_SelfStock[RM_Code],$A71,T_SelfStock[WeekIndex],30)&gt;0)*(COUNTIFS(T_TTAFStock[RM_Code],$A71,T_TTAFStock[WeekIndex],30)&gt;0)&gt;0,SUMIFS(T_SelfStock[Self_Qty],T_SelfStock[RM_Code],$A71,T_SelfStock[WeekIndex],30)+SUMIFS(T_TTAFStock[TTAF_Qty],T_TTAFStock[RM_Code],$A71,T_TTAFStock[WeekIndex],30),AD71+'Grid_Incoming'!AE71-'Grid_Requirement'!AE71))</f>
        <v/>
      </c>
      <c r="AF71">
        <f>IF(COUNTIFS(T_StockCount[RM_Code],$A71,T_StockCount[WeekIndex],31)&gt;0,SUMIFS(T_StockCount[CountedQty],T_StockCount[RM_Code],$A71,T_StockCount[WeekIndex],31),IF((COUNTIFS(T_SelfStock[RM_Code],$A71,T_SelfStock[WeekIndex],31)&gt;0)*(COUNTIFS(T_TTAFStock[RM_Code],$A71,T_TTAFStock[WeekIndex],31)&gt;0)&gt;0,SUMIFS(T_SelfStock[Self_Qty],T_SelfStock[RM_Code],$A71,T_SelfStock[WeekIndex],31)+SUMIFS(T_TTAFStock[TTAF_Qty],T_TTAFStock[RM_Code],$A71,T_TTAFStock[WeekIndex],31),AE71+'Grid_Incoming'!AF71-'Grid_Requirement'!AF71))</f>
        <v/>
      </c>
      <c r="AG71">
        <f>IF(COUNTIFS(T_StockCount[RM_Code],$A71,T_StockCount[WeekIndex],32)&gt;0,SUMIFS(T_StockCount[CountedQty],T_StockCount[RM_Code],$A71,T_StockCount[WeekIndex],32),IF((COUNTIFS(T_SelfStock[RM_Code],$A71,T_SelfStock[WeekIndex],32)&gt;0)*(COUNTIFS(T_TTAFStock[RM_Code],$A71,T_TTAFStock[WeekIndex],32)&gt;0)&gt;0,SUMIFS(T_SelfStock[Self_Qty],T_SelfStock[RM_Code],$A71,T_SelfStock[WeekIndex],32)+SUMIFS(T_TTAFStock[TTAF_Qty],T_TTAFStock[RM_Code],$A71,T_TTAFStock[WeekIndex],32),AF71+'Grid_Incoming'!AG71-'Grid_Requirement'!AG71))</f>
        <v/>
      </c>
      <c r="AH71">
        <f>IF(COUNTIFS(T_StockCount[RM_Code],$A71,T_StockCount[WeekIndex],33)&gt;0,SUMIFS(T_StockCount[CountedQty],T_StockCount[RM_Code],$A71,T_StockCount[WeekIndex],33),IF((COUNTIFS(T_SelfStock[RM_Code],$A71,T_SelfStock[WeekIndex],33)&gt;0)*(COUNTIFS(T_TTAFStock[RM_Code],$A71,T_TTAFStock[WeekIndex],33)&gt;0)&gt;0,SUMIFS(T_SelfStock[Self_Qty],T_SelfStock[RM_Code],$A71,T_SelfStock[WeekIndex],33)+SUMIFS(T_TTAFStock[TTAF_Qty],T_TTAFStock[RM_Code],$A71,T_TTAFStock[WeekIndex],33),AG71+'Grid_Incoming'!AH71-'Grid_Requirement'!AH71))</f>
        <v/>
      </c>
      <c r="AI71">
        <f>IF(COUNTIFS(T_StockCount[RM_Code],$A71,T_StockCount[WeekIndex],34)&gt;0,SUMIFS(T_StockCount[CountedQty],T_StockCount[RM_Code],$A71,T_StockCount[WeekIndex],34),IF((COUNTIFS(T_SelfStock[RM_Code],$A71,T_SelfStock[WeekIndex],34)&gt;0)*(COUNTIFS(T_TTAFStock[RM_Code],$A71,T_TTAFStock[WeekIndex],34)&gt;0)&gt;0,SUMIFS(T_SelfStock[Self_Qty],T_SelfStock[RM_Code],$A71,T_SelfStock[WeekIndex],34)+SUMIFS(T_TTAFStock[TTAF_Qty],T_TTAFStock[RM_Code],$A71,T_TTAFStock[WeekIndex],34),AH71+'Grid_Incoming'!AI71-'Grid_Requirement'!AI71))</f>
        <v/>
      </c>
      <c r="AJ71">
        <f>IF(COUNTIFS(T_StockCount[RM_Code],$A71,T_StockCount[WeekIndex],35)&gt;0,SUMIFS(T_StockCount[CountedQty],T_StockCount[RM_Code],$A71,T_StockCount[WeekIndex],35),IF((COUNTIFS(T_SelfStock[RM_Code],$A71,T_SelfStock[WeekIndex],35)&gt;0)*(COUNTIFS(T_TTAFStock[RM_Code],$A71,T_TTAFStock[WeekIndex],35)&gt;0)&gt;0,SUMIFS(T_SelfStock[Self_Qty],T_SelfStock[RM_Code],$A71,T_SelfStock[WeekIndex],35)+SUMIFS(T_TTAFStock[TTAF_Qty],T_TTAFStock[RM_Code],$A71,T_TTAFStock[WeekIndex],35),AI71+'Grid_Incoming'!AJ71-'Grid_Requirement'!AJ71))</f>
        <v/>
      </c>
      <c r="AK71">
        <f>IF(COUNTIFS(T_StockCount[RM_Code],$A71,T_StockCount[WeekIndex],36)&gt;0,SUMIFS(T_StockCount[CountedQty],T_StockCount[RM_Code],$A71,T_StockCount[WeekIndex],36),IF((COUNTIFS(T_SelfStock[RM_Code],$A71,T_SelfStock[WeekIndex],36)&gt;0)*(COUNTIFS(T_TTAFStock[RM_Code],$A71,T_TTAFStock[WeekIndex],36)&gt;0)&gt;0,SUMIFS(T_SelfStock[Self_Qty],T_SelfStock[RM_Code],$A71,T_SelfStock[WeekIndex],36)+SUMIFS(T_TTAFStock[TTAF_Qty],T_TTAFStock[RM_Code],$A71,T_TTAFStock[WeekIndex],36),AJ71+'Grid_Incoming'!AK71-'Grid_Requirement'!AK71))</f>
        <v/>
      </c>
      <c r="AL71">
        <f>IF(COUNTIFS(T_StockCount[RM_Code],$A71,T_StockCount[WeekIndex],37)&gt;0,SUMIFS(T_StockCount[CountedQty],T_StockCount[RM_Code],$A71,T_StockCount[WeekIndex],37),IF((COUNTIFS(T_SelfStock[RM_Code],$A71,T_SelfStock[WeekIndex],37)&gt;0)*(COUNTIFS(T_TTAFStock[RM_Code],$A71,T_TTAFStock[WeekIndex],37)&gt;0)&gt;0,SUMIFS(T_SelfStock[Self_Qty],T_SelfStock[RM_Code],$A71,T_SelfStock[WeekIndex],37)+SUMIFS(T_TTAFStock[TTAF_Qty],T_TTAFStock[RM_Code],$A71,T_TTAFStock[WeekIndex],37),AK71+'Grid_Incoming'!AL71-'Grid_Requirement'!AL71))</f>
        <v/>
      </c>
      <c r="AM71">
        <f>IF(COUNTIFS(T_StockCount[RM_Code],$A71,T_StockCount[WeekIndex],38)&gt;0,SUMIFS(T_StockCount[CountedQty],T_StockCount[RM_Code],$A71,T_StockCount[WeekIndex],38),IF((COUNTIFS(T_SelfStock[RM_Code],$A71,T_SelfStock[WeekIndex],38)&gt;0)*(COUNTIFS(T_TTAFStock[RM_Code],$A71,T_TTAFStock[WeekIndex],38)&gt;0)&gt;0,SUMIFS(T_SelfStock[Self_Qty],T_SelfStock[RM_Code],$A71,T_SelfStock[WeekIndex],38)+SUMIFS(T_TTAFStock[TTAF_Qty],T_TTAFStock[RM_Code],$A71,T_TTAFStock[WeekIndex],38),AL71+'Grid_Incoming'!AM71-'Grid_Requirement'!AM71))</f>
        <v/>
      </c>
      <c r="AN71">
        <f>IF(COUNTIFS(T_StockCount[RM_Code],$A71,T_StockCount[WeekIndex],39)&gt;0,SUMIFS(T_StockCount[CountedQty],T_StockCount[RM_Code],$A71,T_StockCount[WeekIndex],39),IF((COUNTIFS(T_SelfStock[RM_Code],$A71,T_SelfStock[WeekIndex],39)&gt;0)*(COUNTIFS(T_TTAFStock[RM_Code],$A71,T_TTAFStock[WeekIndex],39)&gt;0)&gt;0,SUMIFS(T_SelfStock[Self_Qty],T_SelfStock[RM_Code],$A71,T_SelfStock[WeekIndex],39)+SUMIFS(T_TTAFStock[TTAF_Qty],T_TTAFStock[RM_Code],$A71,T_TTAFStock[WeekIndex],39),AM71+'Grid_Incoming'!AN71-'Grid_Requirement'!AN71))</f>
        <v/>
      </c>
      <c r="AO71">
        <f>IF(COUNTIFS(T_StockCount[RM_Code],$A71,T_StockCount[WeekIndex],40)&gt;0,SUMIFS(T_StockCount[CountedQty],T_StockCount[RM_Code],$A71,T_StockCount[WeekIndex],40),IF((COUNTIFS(T_SelfStock[RM_Code],$A71,T_SelfStock[WeekIndex],40)&gt;0)*(COUNTIFS(T_TTAFStock[RM_Code],$A71,T_TTAFStock[WeekIndex],40)&gt;0)&gt;0,SUMIFS(T_SelfStock[Self_Qty],T_SelfStock[RM_Code],$A71,T_SelfStock[WeekIndex],40)+SUMIFS(T_TTAFStock[TTAF_Qty],T_TTAFStock[RM_Code],$A71,T_TTAFStock[WeekIndex],40),AN71+'Grid_Incoming'!AO71-'Grid_Requirement'!AO71))</f>
        <v/>
      </c>
      <c r="AP71">
        <f>IF(COUNTIFS(T_StockCount[RM_Code],$A71,T_StockCount[WeekIndex],41)&gt;0,SUMIFS(T_StockCount[CountedQty],T_StockCount[RM_Code],$A71,T_StockCount[WeekIndex],41),IF((COUNTIFS(T_SelfStock[RM_Code],$A71,T_SelfStock[WeekIndex],41)&gt;0)*(COUNTIFS(T_TTAFStock[RM_Code],$A71,T_TTAFStock[WeekIndex],41)&gt;0)&gt;0,SUMIFS(T_SelfStock[Self_Qty],T_SelfStock[RM_Code],$A71,T_SelfStock[WeekIndex],41)+SUMIFS(T_TTAFStock[TTAF_Qty],T_TTAFStock[RM_Code],$A71,T_TTAFStock[WeekIndex],41),AO71+'Grid_Incoming'!AP71-'Grid_Requirement'!AP71))</f>
        <v/>
      </c>
      <c r="AQ71">
        <f>IF(COUNTIFS(T_StockCount[RM_Code],$A71,T_StockCount[WeekIndex],42)&gt;0,SUMIFS(T_StockCount[CountedQty],T_StockCount[RM_Code],$A71,T_StockCount[WeekIndex],42),IF((COUNTIFS(T_SelfStock[RM_Code],$A71,T_SelfStock[WeekIndex],42)&gt;0)*(COUNTIFS(T_TTAFStock[RM_Code],$A71,T_TTAFStock[WeekIndex],42)&gt;0)&gt;0,SUMIFS(T_SelfStock[Self_Qty],T_SelfStock[RM_Code],$A71,T_SelfStock[WeekIndex],42)+SUMIFS(T_TTAFStock[TTAF_Qty],T_TTAFStock[RM_Code],$A71,T_TTAFStock[WeekIndex],42),AP71+'Grid_Incoming'!AQ71-'Grid_Requirement'!AQ71))</f>
        <v/>
      </c>
      <c r="AR71">
        <f>IF(COUNTIFS(T_StockCount[RM_Code],$A71,T_StockCount[WeekIndex],43)&gt;0,SUMIFS(T_StockCount[CountedQty],T_StockCount[RM_Code],$A71,T_StockCount[WeekIndex],43),IF((COUNTIFS(T_SelfStock[RM_Code],$A71,T_SelfStock[WeekIndex],43)&gt;0)*(COUNTIFS(T_TTAFStock[RM_Code],$A71,T_TTAFStock[WeekIndex],43)&gt;0)&gt;0,SUMIFS(T_SelfStock[Self_Qty],T_SelfStock[RM_Code],$A71,T_SelfStock[WeekIndex],43)+SUMIFS(T_TTAFStock[TTAF_Qty],T_TTAFStock[RM_Code],$A71,T_TTAFStock[WeekIndex],43),AQ71+'Grid_Incoming'!AR71-'Grid_Requirement'!AR71))</f>
        <v/>
      </c>
      <c r="AS71">
        <f>IF(COUNTIFS(T_StockCount[RM_Code],$A71,T_StockCount[WeekIndex],44)&gt;0,SUMIFS(T_StockCount[CountedQty],T_StockCount[RM_Code],$A71,T_StockCount[WeekIndex],44),IF((COUNTIFS(T_SelfStock[RM_Code],$A71,T_SelfStock[WeekIndex],44)&gt;0)*(COUNTIFS(T_TTAFStock[RM_Code],$A71,T_TTAFStock[WeekIndex],44)&gt;0)&gt;0,SUMIFS(T_SelfStock[Self_Qty],T_SelfStock[RM_Code],$A71,T_SelfStock[WeekIndex],44)+SUMIFS(T_TTAFStock[TTAF_Qty],T_TTAFStock[RM_Code],$A71,T_TTAFStock[WeekIndex],44),AR71+'Grid_Incoming'!AS71-'Grid_Requirement'!AS71))</f>
        <v/>
      </c>
      <c r="AT71">
        <f>IF(COUNTIFS(T_StockCount[RM_Code],$A71,T_StockCount[WeekIndex],45)&gt;0,SUMIFS(T_StockCount[CountedQty],T_StockCount[RM_Code],$A71,T_StockCount[WeekIndex],45),IF((COUNTIFS(T_SelfStock[RM_Code],$A71,T_SelfStock[WeekIndex],45)&gt;0)*(COUNTIFS(T_TTAFStock[RM_Code],$A71,T_TTAFStock[WeekIndex],45)&gt;0)&gt;0,SUMIFS(T_SelfStock[Self_Qty],T_SelfStock[RM_Code],$A71,T_SelfStock[WeekIndex],45)+SUMIFS(T_TTAFStock[TTAF_Qty],T_TTAFStock[RM_Code],$A71,T_TTAFStock[WeekIndex],45),AS71+'Grid_Incoming'!AT71-'Grid_Requirement'!AT71))</f>
        <v/>
      </c>
      <c r="AU71">
        <f>IF(COUNTIFS(T_StockCount[RM_Code],$A71,T_StockCount[WeekIndex],46)&gt;0,SUMIFS(T_StockCount[CountedQty],T_StockCount[RM_Code],$A71,T_StockCount[WeekIndex],46),IF((COUNTIFS(T_SelfStock[RM_Code],$A71,T_SelfStock[WeekIndex],46)&gt;0)*(COUNTIFS(T_TTAFStock[RM_Code],$A71,T_TTAFStock[WeekIndex],46)&gt;0)&gt;0,SUMIFS(T_SelfStock[Self_Qty],T_SelfStock[RM_Code],$A71,T_SelfStock[WeekIndex],46)+SUMIFS(T_TTAFStock[TTAF_Qty],T_TTAFStock[RM_Code],$A71,T_TTAFStock[WeekIndex],46),AT71+'Grid_Incoming'!AU71-'Grid_Requirement'!AU71))</f>
        <v/>
      </c>
      <c r="AV71">
        <f>IF(COUNTIFS(T_StockCount[RM_Code],$A71,T_StockCount[WeekIndex],47)&gt;0,SUMIFS(T_StockCount[CountedQty],T_StockCount[RM_Code],$A71,T_StockCount[WeekIndex],47),IF((COUNTIFS(T_SelfStock[RM_Code],$A71,T_SelfStock[WeekIndex],47)&gt;0)*(COUNTIFS(T_TTAFStock[RM_Code],$A71,T_TTAFStock[WeekIndex],47)&gt;0)&gt;0,SUMIFS(T_SelfStock[Self_Qty],T_SelfStock[RM_Code],$A71,T_SelfStock[WeekIndex],47)+SUMIFS(T_TTAFStock[TTAF_Qty],T_TTAFStock[RM_Code],$A71,T_TTAFStock[WeekIndex],47),AU71+'Grid_Incoming'!AV71-'Grid_Requirement'!AV71))</f>
        <v/>
      </c>
      <c r="AW71">
        <f>IF(COUNTIFS(T_StockCount[RM_Code],$A71,T_StockCount[WeekIndex],48)&gt;0,SUMIFS(T_StockCount[CountedQty],T_StockCount[RM_Code],$A71,T_StockCount[WeekIndex],48),IF((COUNTIFS(T_SelfStock[RM_Code],$A71,T_SelfStock[WeekIndex],48)&gt;0)*(COUNTIFS(T_TTAFStock[RM_Code],$A71,T_TTAFStock[WeekIndex],48)&gt;0)&gt;0,SUMIFS(T_SelfStock[Self_Qty],T_SelfStock[RM_Code],$A71,T_SelfStock[WeekIndex],48)+SUMIFS(T_TTAFStock[TTAF_Qty],T_TTAFStock[RM_Code],$A71,T_TTAFStock[WeekIndex],48),AV71+'Grid_Incoming'!AW71-'Grid_Requirement'!AW71))</f>
        <v/>
      </c>
      <c r="AX71">
        <f>IF(COUNTIFS(T_StockCount[RM_Code],$A71,T_StockCount[WeekIndex],49)&gt;0,SUMIFS(T_StockCount[CountedQty],T_StockCount[RM_Code],$A71,T_StockCount[WeekIndex],49),IF((COUNTIFS(T_SelfStock[RM_Code],$A71,T_SelfStock[WeekIndex],49)&gt;0)*(COUNTIFS(T_TTAFStock[RM_Code],$A71,T_TTAFStock[WeekIndex],49)&gt;0)&gt;0,SUMIFS(T_SelfStock[Self_Qty],T_SelfStock[RM_Code],$A71,T_SelfStock[WeekIndex],49)+SUMIFS(T_TTAFStock[TTAF_Qty],T_TTAFStock[RM_Code],$A71,T_TTAFStock[WeekIndex],49),AW71+'Grid_Incoming'!AX71-'Grid_Requirement'!AX71))</f>
        <v/>
      </c>
      <c r="AY71">
        <f>IF(COUNTIFS(T_StockCount[RM_Code],$A71,T_StockCount[WeekIndex],50)&gt;0,SUMIFS(T_StockCount[CountedQty],T_StockCount[RM_Code],$A71,T_StockCount[WeekIndex],50),IF((COUNTIFS(T_SelfStock[RM_Code],$A71,T_SelfStock[WeekIndex],50)&gt;0)*(COUNTIFS(T_TTAFStock[RM_Code],$A71,T_TTAFStock[WeekIndex],50)&gt;0)&gt;0,SUMIFS(T_SelfStock[Self_Qty],T_SelfStock[RM_Code],$A71,T_SelfStock[WeekIndex],50)+SUMIFS(T_TTAFStock[TTAF_Qty],T_TTAFStock[RM_Code],$A71,T_TTAFStock[WeekIndex],50),AX71+'Grid_Incoming'!AY71-'Grid_Requirement'!AY71))</f>
        <v/>
      </c>
      <c r="AZ71">
        <f>IF(COUNTIFS(T_StockCount[RM_Code],$A71,T_StockCount[WeekIndex],51)&gt;0,SUMIFS(T_StockCount[CountedQty],T_StockCount[RM_Code],$A71,T_StockCount[WeekIndex],51),IF((COUNTIFS(T_SelfStock[RM_Code],$A71,T_SelfStock[WeekIndex],51)&gt;0)*(COUNTIFS(T_TTAFStock[RM_Code],$A71,T_TTAFStock[WeekIndex],51)&gt;0)&gt;0,SUMIFS(T_SelfStock[Self_Qty],T_SelfStock[RM_Code],$A71,T_SelfStock[WeekIndex],51)+SUMIFS(T_TTAFStock[TTAF_Qty],T_TTAFStock[RM_Code],$A71,T_TTAFStock[WeekIndex],51),AY71+'Grid_Incoming'!AZ71-'Grid_Requirement'!AZ71))</f>
        <v/>
      </c>
      <c r="BA71">
        <f>IF(COUNTIFS(T_StockCount[RM_Code],$A71,T_StockCount[WeekIndex],52)&gt;0,SUMIFS(T_StockCount[CountedQty],T_StockCount[RM_Code],$A71,T_StockCount[WeekIndex],52),IF((COUNTIFS(T_SelfStock[RM_Code],$A71,T_SelfStock[WeekIndex],52)&gt;0)*(COUNTIFS(T_TTAFStock[RM_Code],$A71,T_TTAFStock[WeekIndex],52)&gt;0)&gt;0,SUMIFS(T_SelfStock[Self_Qty],T_SelfStock[RM_Code],$A71,T_SelfStock[WeekIndex],52)+SUMIFS(T_TTAFStock[TTAF_Qty],T_TTAFStock[RM_Code],$A71,T_TTAFStock[WeekIndex],52),AZ71+'Grid_Incoming'!BA71-'Grid_Requirement'!BA71))</f>
        <v/>
      </c>
      <c r="BB71">
        <f>IF(COUNTIFS(T_StockCount[RM_Code],$A71,T_StockCount[WeekIndex],53)&gt;0,SUMIFS(T_StockCount[CountedQty],T_StockCount[RM_Code],$A71,T_StockCount[WeekIndex],53),IF((COUNTIFS(T_SelfStock[RM_Code],$A71,T_SelfStock[WeekIndex],53)&gt;0)*(COUNTIFS(T_TTAFStock[RM_Code],$A71,T_TTAFStock[WeekIndex],53)&gt;0)&gt;0,SUMIFS(T_SelfStock[Self_Qty],T_SelfStock[RM_Code],$A71,T_SelfStock[WeekIndex],53)+SUMIFS(T_TTAFStock[TTAF_Qty],T_TTAFStock[RM_Code],$A71,T_TTAFStock[WeekIndex],53),BA71+'Grid_Incoming'!BB71-'Grid_Requirement'!BB71))</f>
        <v/>
      </c>
      <c r="BC71">
        <f>IF(COUNTIFS(T_StockCount[RM_Code],$A71,T_StockCount[WeekIndex],54)&gt;0,SUMIFS(T_StockCount[CountedQty],T_StockCount[RM_Code],$A71,T_StockCount[WeekIndex],54),IF((COUNTIFS(T_SelfStock[RM_Code],$A71,T_SelfStock[WeekIndex],54)&gt;0)*(COUNTIFS(T_TTAFStock[RM_Code],$A71,T_TTAFStock[WeekIndex],54)&gt;0)&gt;0,SUMIFS(T_SelfStock[Self_Qty],T_SelfStock[RM_Code],$A71,T_SelfStock[WeekIndex],54)+SUMIFS(T_TTAFStock[TTAF_Qty],T_TTAFStock[RM_Code],$A71,T_TTAFStock[WeekIndex],54),BB71+'Grid_Incoming'!BC71-'Grid_Requirement'!BC71))</f>
        <v/>
      </c>
      <c r="BD71">
        <f>IF(COUNTIFS(T_StockCount[RM_Code],$A71,T_StockCount[WeekIndex],55)&gt;0,SUMIFS(T_StockCount[CountedQty],T_StockCount[RM_Code],$A71,T_StockCount[WeekIndex],55),IF((COUNTIFS(T_SelfStock[RM_Code],$A71,T_SelfStock[WeekIndex],55)&gt;0)*(COUNTIFS(T_TTAFStock[RM_Code],$A71,T_TTAFStock[WeekIndex],55)&gt;0)&gt;0,SUMIFS(T_SelfStock[Self_Qty],T_SelfStock[RM_Code],$A71,T_SelfStock[WeekIndex],55)+SUMIFS(T_TTAFStock[TTAF_Qty],T_TTAFStock[RM_Code],$A71,T_TTAFStock[WeekIndex],55),BC71+'Grid_Incoming'!BD71-'Grid_Requirement'!BD71))</f>
        <v/>
      </c>
      <c r="BE71">
        <f>IF(COUNTIFS(T_StockCount[RM_Code],$A71,T_StockCount[WeekIndex],56)&gt;0,SUMIFS(T_StockCount[CountedQty],T_StockCount[RM_Code],$A71,T_StockCount[WeekIndex],56),IF((COUNTIFS(T_SelfStock[RM_Code],$A71,T_SelfStock[WeekIndex],56)&gt;0)*(COUNTIFS(T_TTAFStock[RM_Code],$A71,T_TTAFStock[WeekIndex],56)&gt;0)&gt;0,SUMIFS(T_SelfStock[Self_Qty],T_SelfStock[RM_Code],$A71,T_SelfStock[WeekIndex],56)+SUMIFS(T_TTAFStock[TTAF_Qty],T_TTAFStock[RM_Code],$A71,T_TTAFStock[WeekIndex],56),BD71+'Grid_Incoming'!BE71-'Grid_Requirement'!BE71))</f>
        <v/>
      </c>
      <c r="BF71">
        <f>IF(COUNTIFS(T_StockCount[RM_Code],$A71,T_StockCount[WeekIndex],57)&gt;0,SUMIFS(T_StockCount[CountedQty],T_StockCount[RM_Code],$A71,T_StockCount[WeekIndex],57),IF((COUNTIFS(T_SelfStock[RM_Code],$A71,T_SelfStock[WeekIndex],57)&gt;0)*(COUNTIFS(T_TTAFStock[RM_Code],$A71,T_TTAFStock[WeekIndex],57)&gt;0)&gt;0,SUMIFS(T_SelfStock[Self_Qty],T_SelfStock[RM_Code],$A71,T_SelfStock[WeekIndex],57)+SUMIFS(T_TTAFStock[TTAF_Qty],T_TTAFStock[RM_Code],$A71,T_TTAFStock[WeekIndex],57),BE71+'Grid_Incoming'!BF71-'Grid_Requirement'!BF71))</f>
        <v/>
      </c>
      <c r="BG71">
        <f>IF(COUNTIFS(T_StockCount[RM_Code],$A71,T_StockCount[WeekIndex],58)&gt;0,SUMIFS(T_StockCount[CountedQty],T_StockCount[RM_Code],$A71,T_StockCount[WeekIndex],58),IF((COUNTIFS(T_SelfStock[RM_Code],$A71,T_SelfStock[WeekIndex],58)&gt;0)*(COUNTIFS(T_TTAFStock[RM_Code],$A71,T_TTAFStock[WeekIndex],58)&gt;0)&gt;0,SUMIFS(T_SelfStock[Self_Qty],T_SelfStock[RM_Code],$A71,T_SelfStock[WeekIndex],58)+SUMIFS(T_TTAFStock[TTAF_Qty],T_TTAFStock[RM_Code],$A71,T_TTAFStock[WeekIndex],58),BF71+'Grid_Incoming'!BG71-'Grid_Requirement'!BG71))</f>
        <v/>
      </c>
      <c r="BH71">
        <f>IF(COUNTIFS(T_StockCount[RM_Code],$A71,T_StockCount[WeekIndex],59)&gt;0,SUMIFS(T_StockCount[CountedQty],T_StockCount[RM_Code],$A71,T_StockCount[WeekIndex],59),IF((COUNTIFS(T_SelfStock[RM_Code],$A71,T_SelfStock[WeekIndex],59)&gt;0)*(COUNTIFS(T_TTAFStock[RM_Code],$A71,T_TTAFStock[WeekIndex],59)&gt;0)&gt;0,SUMIFS(T_SelfStock[Self_Qty],T_SelfStock[RM_Code],$A71,T_SelfStock[WeekIndex],59)+SUMIFS(T_TTAFStock[TTAF_Qty],T_TTAFStock[RM_Code],$A71,T_TTAFStock[WeekIndex],59),BG71+'Grid_Incoming'!BH71-'Grid_Requirement'!BH71))</f>
        <v/>
      </c>
      <c r="BI71">
        <f>IF(COUNTIFS(T_StockCount[RM_Code],$A71,T_StockCount[WeekIndex],60)&gt;0,SUMIFS(T_StockCount[CountedQty],T_StockCount[RM_Code],$A71,T_StockCount[WeekIndex],60),IF((COUNTIFS(T_SelfStock[RM_Code],$A71,T_SelfStock[WeekIndex],60)&gt;0)*(COUNTIFS(T_TTAFStock[RM_Code],$A71,T_TTAFStock[WeekIndex],60)&gt;0)&gt;0,SUMIFS(T_SelfStock[Self_Qty],T_SelfStock[RM_Code],$A71,T_SelfStock[WeekIndex],60)+SUMIFS(T_TTAFStock[TTAF_Qty],T_TTAFStock[RM_Code],$A71,T_TTAFStock[WeekIndex],60),BH71+'Grid_Incoming'!BI71-'Grid_Requirement'!BI71))</f>
        <v/>
      </c>
      <c r="BJ71">
        <f>IF(COUNTIFS(T_StockCount[RM_Code],$A71,T_StockCount[WeekIndex],61)&gt;0,SUMIFS(T_StockCount[CountedQty],T_StockCount[RM_Code],$A71,T_StockCount[WeekIndex],61),IF((COUNTIFS(T_SelfStock[RM_Code],$A71,T_SelfStock[WeekIndex],61)&gt;0)*(COUNTIFS(T_TTAFStock[RM_Code],$A71,T_TTAFStock[WeekIndex],61)&gt;0)&gt;0,SUMIFS(T_SelfStock[Self_Qty],T_SelfStock[RM_Code],$A71,T_SelfStock[WeekIndex],61)+SUMIFS(T_TTAFStock[TTAF_Qty],T_TTAFStock[RM_Code],$A71,T_TTAFStock[WeekIndex],61),BI71+'Grid_Incoming'!BJ71-'Grid_Requirement'!BJ71))</f>
        <v/>
      </c>
      <c r="BK71">
        <f>IF(COUNTIFS(T_StockCount[RM_Code],$A71,T_StockCount[WeekIndex],62)&gt;0,SUMIFS(T_StockCount[CountedQty],T_StockCount[RM_Code],$A71,T_StockCount[WeekIndex],62),IF((COUNTIFS(T_SelfStock[RM_Code],$A71,T_SelfStock[WeekIndex],62)&gt;0)*(COUNTIFS(T_TTAFStock[RM_Code],$A71,T_TTAFStock[WeekIndex],62)&gt;0)&gt;0,SUMIFS(T_SelfStock[Self_Qty],T_SelfStock[RM_Code],$A71,T_SelfStock[WeekIndex],62)+SUMIFS(T_TTAFStock[TTAF_Qty],T_TTAFStock[RM_Code],$A71,T_TTAFStock[WeekIndex],62),BJ71+'Grid_Incoming'!BK71-'Grid_Requirement'!BK71))</f>
        <v/>
      </c>
      <c r="BL71">
        <f>IF(COUNTIFS(T_StockCount[RM_Code],$A71,T_StockCount[WeekIndex],63)&gt;0,SUMIFS(T_StockCount[CountedQty],T_StockCount[RM_Code],$A71,T_StockCount[WeekIndex],63),IF((COUNTIFS(T_SelfStock[RM_Code],$A71,T_SelfStock[WeekIndex],63)&gt;0)*(COUNTIFS(T_TTAFStock[RM_Code],$A71,T_TTAFStock[WeekIndex],63)&gt;0)&gt;0,SUMIFS(T_SelfStock[Self_Qty],T_SelfStock[RM_Code],$A71,T_SelfStock[WeekIndex],63)+SUMIFS(T_TTAFStock[TTAF_Qty],T_TTAFStock[RM_Code],$A71,T_TTAFStock[WeekIndex],63),BK71+'Grid_Incoming'!BL71-'Grid_Requirement'!BL71))</f>
        <v/>
      </c>
      <c r="BM71">
        <f>IF(COUNTIFS(T_StockCount[RM_Code],$A71,T_StockCount[WeekIndex],64)&gt;0,SUMIFS(T_StockCount[CountedQty],T_StockCount[RM_Code],$A71,T_StockCount[WeekIndex],64),IF((COUNTIFS(T_SelfStock[RM_Code],$A71,T_SelfStock[WeekIndex],64)&gt;0)*(COUNTIFS(T_TTAFStock[RM_Code],$A71,T_TTAFStock[WeekIndex],64)&gt;0)&gt;0,SUMIFS(T_SelfStock[Self_Qty],T_SelfStock[RM_Code],$A71,T_SelfStock[WeekIndex],64)+SUMIFS(T_TTAFStock[TTAF_Qty],T_TTAFStock[RM_Code],$A71,T_TTAFStock[WeekIndex],64),BL71+'Grid_Incoming'!BM71-'Grid_Requirement'!BM71))</f>
        <v/>
      </c>
      <c r="BN71">
        <f>IF(COUNTIFS(T_StockCount[RM_Code],$A71,T_StockCount[WeekIndex],65)&gt;0,SUMIFS(T_StockCount[CountedQty],T_StockCount[RM_Code],$A71,T_StockCount[WeekIndex],65),IF((COUNTIFS(T_SelfStock[RM_Code],$A71,T_SelfStock[WeekIndex],65)&gt;0)*(COUNTIFS(T_TTAFStock[RM_Code],$A71,T_TTAFStock[WeekIndex],65)&gt;0)&gt;0,SUMIFS(T_SelfStock[Self_Qty],T_SelfStock[RM_Code],$A71,T_SelfStock[WeekIndex],65)+SUMIFS(T_TTAFStock[TTAF_Qty],T_TTAFStock[RM_Code],$A71,T_TTAFStock[WeekIndex],65),BM71+'Grid_Incoming'!BN71-'Grid_Requirement'!BN71))</f>
        <v/>
      </c>
      <c r="BO71">
        <f>IF(COUNTIFS(T_StockCount[RM_Code],$A71,T_StockCount[WeekIndex],66)&gt;0,SUMIFS(T_StockCount[CountedQty],T_StockCount[RM_Code],$A71,T_StockCount[WeekIndex],66),IF((COUNTIFS(T_SelfStock[RM_Code],$A71,T_SelfStock[WeekIndex],66)&gt;0)*(COUNTIFS(T_TTAFStock[RM_Code],$A71,T_TTAFStock[WeekIndex],66)&gt;0)&gt;0,SUMIFS(T_SelfStock[Self_Qty],T_SelfStock[RM_Code],$A71,T_SelfStock[WeekIndex],66)+SUMIFS(T_TTAFStock[TTAF_Qty],T_TTAFStock[RM_Code],$A71,T_TTAFStock[WeekIndex],66),BN71+'Grid_Incoming'!BO71-'Grid_Requirement'!BO71))</f>
        <v/>
      </c>
      <c r="BP71">
        <f>IF(COUNTIFS(T_StockCount[RM_Code],$A71,T_StockCount[WeekIndex],67)&gt;0,SUMIFS(T_StockCount[CountedQty],T_StockCount[RM_Code],$A71,T_StockCount[WeekIndex],67),IF((COUNTIFS(T_SelfStock[RM_Code],$A71,T_SelfStock[WeekIndex],67)&gt;0)*(COUNTIFS(T_TTAFStock[RM_Code],$A71,T_TTAFStock[WeekIndex],67)&gt;0)&gt;0,SUMIFS(T_SelfStock[Self_Qty],T_SelfStock[RM_Code],$A71,T_SelfStock[WeekIndex],67)+SUMIFS(T_TTAFStock[TTAF_Qty],T_TTAFStock[RM_Code],$A71,T_TTAFStock[WeekIndex],67),BO71+'Grid_Incoming'!BP71-'Grid_Requirement'!BP71))</f>
        <v/>
      </c>
      <c r="BQ71">
        <f>IF(COUNTIFS(T_StockCount[RM_Code],$A71,T_StockCount[WeekIndex],68)&gt;0,SUMIFS(T_StockCount[CountedQty],T_StockCount[RM_Code],$A71,T_StockCount[WeekIndex],68),IF((COUNTIFS(T_SelfStock[RM_Code],$A71,T_SelfStock[WeekIndex],68)&gt;0)*(COUNTIFS(T_TTAFStock[RM_Code],$A71,T_TTAFStock[WeekIndex],68)&gt;0)&gt;0,SUMIFS(T_SelfStock[Self_Qty],T_SelfStock[RM_Code],$A71,T_SelfStock[WeekIndex],68)+SUMIFS(T_TTAFStock[TTAF_Qty],T_TTAFStock[RM_Code],$A71,T_TTAFStock[WeekIndex],68),BP71+'Grid_Incoming'!BQ71-'Grid_Requirement'!BQ71))</f>
        <v/>
      </c>
      <c r="BR71">
        <f>IF(COUNTIFS(T_StockCount[RM_Code],$A71,T_StockCount[WeekIndex],69)&gt;0,SUMIFS(T_StockCount[CountedQty],T_StockCount[RM_Code],$A71,T_StockCount[WeekIndex],69),IF((COUNTIFS(T_SelfStock[RM_Code],$A71,T_SelfStock[WeekIndex],69)&gt;0)*(COUNTIFS(T_TTAFStock[RM_Code],$A71,T_TTAFStock[WeekIndex],69)&gt;0)&gt;0,SUMIFS(T_SelfStock[Self_Qty],T_SelfStock[RM_Code],$A71,T_SelfStock[WeekIndex],69)+SUMIFS(T_TTAFStock[TTAF_Qty],T_TTAFStock[RM_Code],$A71,T_TTAFStock[WeekIndex],69),BQ71+'Grid_Incoming'!BR71-'Grid_Requirement'!BR71))</f>
        <v/>
      </c>
      <c r="BS71">
        <f>IF(COUNTIFS(T_StockCount[RM_Code],$A71,T_StockCount[WeekIndex],70)&gt;0,SUMIFS(T_StockCount[CountedQty],T_StockCount[RM_Code],$A71,T_StockCount[WeekIndex],70),IF((COUNTIFS(T_SelfStock[RM_Code],$A71,T_SelfStock[WeekIndex],70)&gt;0)*(COUNTIFS(T_TTAFStock[RM_Code],$A71,T_TTAFStock[WeekIndex],70)&gt;0)&gt;0,SUMIFS(T_SelfStock[Self_Qty],T_SelfStock[RM_Code],$A71,T_SelfStock[WeekIndex],70)+SUMIFS(T_TTAFStock[TTAF_Qty],T_TTAFStock[RM_Code],$A71,T_TTAFStock[WeekIndex],70),BR71+'Grid_Incoming'!BS71-'Grid_Requirement'!BS71))</f>
        <v/>
      </c>
      <c r="BT71">
        <f>IF(COUNTIFS(T_StockCount[RM_Code],$A71,T_StockCount[WeekIndex],71)&gt;0,SUMIFS(T_StockCount[CountedQty],T_StockCount[RM_Code],$A71,T_StockCount[WeekIndex],71),IF((COUNTIFS(T_SelfStock[RM_Code],$A71,T_SelfStock[WeekIndex],71)&gt;0)*(COUNTIFS(T_TTAFStock[RM_Code],$A71,T_TTAFStock[WeekIndex],71)&gt;0)&gt;0,SUMIFS(T_SelfStock[Self_Qty],T_SelfStock[RM_Code],$A71,T_SelfStock[WeekIndex],71)+SUMIFS(T_TTAFStock[TTAF_Qty],T_TTAFStock[RM_Code],$A71,T_TTAFStock[WeekIndex],71),BS71+'Grid_Incoming'!BT71-'Grid_Requirement'!BT71))</f>
        <v/>
      </c>
      <c r="BU71">
        <f>IF(COUNTIFS(T_StockCount[RM_Code],$A71,T_StockCount[WeekIndex],72)&gt;0,SUMIFS(T_StockCount[CountedQty],T_StockCount[RM_Code],$A71,T_StockCount[WeekIndex],72),IF((COUNTIFS(T_SelfStock[RM_Code],$A71,T_SelfStock[WeekIndex],72)&gt;0)*(COUNTIFS(T_TTAFStock[RM_Code],$A71,T_TTAFStock[WeekIndex],72)&gt;0)&gt;0,SUMIFS(T_SelfStock[Self_Qty],T_SelfStock[RM_Code],$A71,T_SelfStock[WeekIndex],72)+SUMIFS(T_TTAFStock[TTAF_Qty],T_TTAFStock[RM_Code],$A71,T_TTAFStock[WeekIndex],72),BT71+'Grid_Incoming'!BU71-'Grid_Requirement'!BU71))</f>
        <v/>
      </c>
      <c r="BV71">
        <f>IF(COUNTIFS(T_StockCount[RM_Code],$A71,T_StockCount[WeekIndex],73)&gt;0,SUMIFS(T_StockCount[CountedQty],T_StockCount[RM_Code],$A71,T_StockCount[WeekIndex],73),IF((COUNTIFS(T_SelfStock[RM_Code],$A71,T_SelfStock[WeekIndex],73)&gt;0)*(COUNTIFS(T_TTAFStock[RM_Code],$A71,T_TTAFStock[WeekIndex],73)&gt;0)&gt;0,SUMIFS(T_SelfStock[Self_Qty],T_SelfStock[RM_Code],$A71,T_SelfStock[WeekIndex],73)+SUMIFS(T_TTAFStock[TTAF_Qty],T_TTAFStock[RM_Code],$A71,T_TTAFStock[WeekIndex],73),BU71+'Grid_Incoming'!BV71-'Grid_Requirement'!BV71))</f>
        <v/>
      </c>
      <c r="BW71">
        <f>IF(COUNTIFS(T_StockCount[RM_Code],$A71,T_StockCount[WeekIndex],74)&gt;0,SUMIFS(T_StockCount[CountedQty],T_StockCount[RM_Code],$A71,T_StockCount[WeekIndex],74),IF((COUNTIFS(T_SelfStock[RM_Code],$A71,T_SelfStock[WeekIndex],74)&gt;0)*(COUNTIFS(T_TTAFStock[RM_Code],$A71,T_TTAFStock[WeekIndex],74)&gt;0)&gt;0,SUMIFS(T_SelfStock[Self_Qty],T_SelfStock[RM_Code],$A71,T_SelfStock[WeekIndex],74)+SUMIFS(T_TTAFStock[TTAF_Qty],T_TTAFStock[RM_Code],$A71,T_TTAFStock[WeekIndex],74),BV71+'Grid_Incoming'!BW71-'Grid_Requirement'!BW71))</f>
        <v/>
      </c>
      <c r="BX71">
        <f>IF(COUNTIFS(T_StockCount[RM_Code],$A71,T_StockCount[WeekIndex],75)&gt;0,SUMIFS(T_StockCount[CountedQty],T_StockCount[RM_Code],$A71,T_StockCount[WeekIndex],75),IF((COUNTIFS(T_SelfStock[RM_Code],$A71,T_SelfStock[WeekIndex],75)&gt;0)*(COUNTIFS(T_TTAFStock[RM_Code],$A71,T_TTAFStock[WeekIndex],75)&gt;0)&gt;0,SUMIFS(T_SelfStock[Self_Qty],T_SelfStock[RM_Code],$A71,T_SelfStock[WeekIndex],75)+SUMIFS(T_TTAFStock[TTAF_Qty],T_TTAFStock[RM_Code],$A71,T_TTAFStock[WeekIndex],75),BW71+'Grid_Incoming'!BX71-'Grid_Requirement'!BX71))</f>
        <v/>
      </c>
      <c r="BY71">
        <f>IF(COUNTIFS(T_StockCount[RM_Code],$A71,T_StockCount[WeekIndex],76)&gt;0,SUMIFS(T_StockCount[CountedQty],T_StockCount[RM_Code],$A71,T_StockCount[WeekIndex],76),IF((COUNTIFS(T_SelfStock[RM_Code],$A71,T_SelfStock[WeekIndex],76)&gt;0)*(COUNTIFS(T_TTAFStock[RM_Code],$A71,T_TTAFStock[WeekIndex],76)&gt;0)&gt;0,SUMIFS(T_SelfStock[Self_Qty],T_SelfStock[RM_Code],$A71,T_SelfStock[WeekIndex],76)+SUMIFS(T_TTAFStock[TTAF_Qty],T_TTAFStock[RM_Code],$A71,T_TTAFStock[WeekIndex],76),BX71+'Grid_Incoming'!BY71-'Grid_Requirement'!BY71))</f>
        <v/>
      </c>
      <c r="BZ71">
        <f>IF(COUNTIFS(T_StockCount[RM_Code],$A71,T_StockCount[WeekIndex],77)&gt;0,SUMIFS(T_StockCount[CountedQty],T_StockCount[RM_Code],$A71,T_StockCount[WeekIndex],77),IF((COUNTIFS(T_SelfStock[RM_Code],$A71,T_SelfStock[WeekIndex],77)&gt;0)*(COUNTIFS(T_TTAFStock[RM_Code],$A71,T_TTAFStock[WeekIndex],77)&gt;0)&gt;0,SUMIFS(T_SelfStock[Self_Qty],T_SelfStock[RM_Code],$A71,T_SelfStock[WeekIndex],77)+SUMIFS(T_TTAFStock[TTAF_Qty],T_TTAFStock[RM_Code],$A71,T_TTAFStock[WeekIndex],77),BY71+'Grid_Incoming'!BZ71-'Grid_Requirement'!BZ71))</f>
        <v/>
      </c>
      <c r="CA71">
        <f>IF(COUNTIFS(T_StockCount[RM_Code],$A71,T_StockCount[WeekIndex],78)&gt;0,SUMIFS(T_StockCount[CountedQty],T_StockCount[RM_Code],$A71,T_StockCount[WeekIndex],78),IF((COUNTIFS(T_SelfStock[RM_Code],$A71,T_SelfStock[WeekIndex],78)&gt;0)*(COUNTIFS(T_TTAFStock[RM_Code],$A71,T_TTAFStock[WeekIndex],78)&gt;0)&gt;0,SUMIFS(T_SelfStock[Self_Qty],T_SelfStock[RM_Code],$A71,T_SelfStock[WeekIndex],78)+SUMIFS(T_TTAFStock[TTAF_Qty],T_TTAFStock[RM_Code],$A71,T_TTAFStock[WeekIndex],78),BZ71+'Grid_Incoming'!CA71-'Grid_Requirement'!CA71))</f>
        <v/>
      </c>
      <c r="CB71">
        <f>IF(COUNTIFS(T_StockCount[RM_Code],$A71,T_StockCount[WeekIndex],79)&gt;0,SUMIFS(T_StockCount[CountedQty],T_StockCount[RM_Code],$A71,T_StockCount[WeekIndex],79),IF((COUNTIFS(T_SelfStock[RM_Code],$A71,T_SelfStock[WeekIndex],79)&gt;0)*(COUNTIFS(T_TTAFStock[RM_Code],$A71,T_TTAFStock[WeekIndex],79)&gt;0)&gt;0,SUMIFS(T_SelfStock[Self_Qty],T_SelfStock[RM_Code],$A71,T_SelfStock[WeekIndex],79)+SUMIFS(T_TTAFStock[TTAF_Qty],T_TTAFStock[RM_Code],$A71,T_TTAFStock[WeekIndex],79),CA71+'Grid_Incoming'!CB71-'Grid_Requirement'!CB71))</f>
        <v/>
      </c>
      <c r="CC71">
        <f>IF(COUNTIFS(T_StockCount[RM_Code],$A71,T_StockCount[WeekIndex],80)&gt;0,SUMIFS(T_StockCount[CountedQty],T_StockCount[RM_Code],$A71,T_StockCount[WeekIndex],80),IF((COUNTIFS(T_SelfStock[RM_Code],$A71,T_SelfStock[WeekIndex],80)&gt;0)*(COUNTIFS(T_TTAFStock[RM_Code],$A71,T_TTAFStock[WeekIndex],80)&gt;0)&gt;0,SUMIFS(T_SelfStock[Self_Qty],T_SelfStock[RM_Code],$A71,T_SelfStock[WeekIndex],80)+SUMIFS(T_TTAFStock[TTAF_Qty],T_TTAFStock[RM_Code],$A71,T_TTAFStock[WeekIndex],80),CB71+'Grid_Incoming'!CC71-'Grid_Requirement'!CC71))</f>
        <v/>
      </c>
      <c r="CD71">
        <f>IF(COUNTIFS(T_StockCount[RM_Code],$A71,T_StockCount[WeekIndex],81)&gt;0,SUMIFS(T_StockCount[CountedQty],T_StockCount[RM_Code],$A71,T_StockCount[WeekIndex],81),IF((COUNTIFS(T_SelfStock[RM_Code],$A71,T_SelfStock[WeekIndex],81)&gt;0)*(COUNTIFS(T_TTAFStock[RM_Code],$A71,T_TTAFStock[WeekIndex],81)&gt;0)&gt;0,SUMIFS(T_SelfStock[Self_Qty],T_SelfStock[RM_Code],$A71,T_SelfStock[WeekIndex],81)+SUMIFS(T_TTAFStock[TTAF_Qty],T_TTAFStock[RM_Code],$A71,T_TTAFStock[WeekIndex],81),CC71+'Grid_Incoming'!CD71-'Grid_Requirement'!CD71))</f>
        <v/>
      </c>
      <c r="CE71">
        <f>IF(COUNTIFS(T_StockCount[RM_Code],$A71,T_StockCount[WeekIndex],82)&gt;0,SUMIFS(T_StockCount[CountedQty],T_StockCount[RM_Code],$A71,T_StockCount[WeekIndex],82),IF((COUNTIFS(T_SelfStock[RM_Code],$A71,T_SelfStock[WeekIndex],82)&gt;0)*(COUNTIFS(T_TTAFStock[RM_Code],$A71,T_TTAFStock[WeekIndex],82)&gt;0)&gt;0,SUMIFS(T_SelfStock[Self_Qty],T_SelfStock[RM_Code],$A71,T_SelfStock[WeekIndex],82)+SUMIFS(T_TTAFStock[TTAF_Qty],T_TTAFStock[RM_Code],$A71,T_TTAFStock[WeekIndex],82),CD71+'Grid_Incoming'!CE71-'Grid_Requirement'!CE71))</f>
        <v/>
      </c>
      <c r="CF71">
        <f>IF(COUNTIFS(T_StockCount[RM_Code],$A71,T_StockCount[WeekIndex],83)&gt;0,SUMIFS(T_StockCount[CountedQty],T_StockCount[RM_Code],$A71,T_StockCount[WeekIndex],83),IF((COUNTIFS(T_SelfStock[RM_Code],$A71,T_SelfStock[WeekIndex],83)&gt;0)*(COUNTIFS(T_TTAFStock[RM_Code],$A71,T_TTAFStock[WeekIndex],83)&gt;0)&gt;0,SUMIFS(T_SelfStock[Self_Qty],T_SelfStock[RM_Code],$A71,T_SelfStock[WeekIndex],83)+SUMIFS(T_TTAFStock[TTAF_Qty],T_TTAFStock[RM_Code],$A71,T_TTAFStock[WeekIndex],83),CE71+'Grid_Incoming'!CF71-'Grid_Requirement'!CF71))</f>
        <v/>
      </c>
      <c r="CG71">
        <f>IF(COUNTIFS(T_StockCount[RM_Code],$A71,T_StockCount[WeekIndex],84)&gt;0,SUMIFS(T_StockCount[CountedQty],T_StockCount[RM_Code],$A71,T_StockCount[WeekIndex],84),IF((COUNTIFS(T_SelfStock[RM_Code],$A71,T_SelfStock[WeekIndex],84)&gt;0)*(COUNTIFS(T_TTAFStock[RM_Code],$A71,T_TTAFStock[WeekIndex],84)&gt;0)&gt;0,SUMIFS(T_SelfStock[Self_Qty],T_SelfStock[RM_Code],$A71,T_SelfStock[WeekIndex],84)+SUMIFS(T_TTAFStock[TTAF_Qty],T_TTAFStock[RM_Code],$A71,T_TTAFStock[WeekIndex],84),CF71+'Grid_Incoming'!CG71-'Grid_Requirement'!CG71))</f>
        <v/>
      </c>
      <c r="CH71">
        <f>IF(COUNTIFS(T_StockCount[RM_Code],$A71,T_StockCount[WeekIndex],85)&gt;0,SUMIFS(T_StockCount[CountedQty],T_StockCount[RM_Code],$A71,T_StockCount[WeekIndex],85),IF((COUNTIFS(T_SelfStock[RM_Code],$A71,T_SelfStock[WeekIndex],85)&gt;0)*(COUNTIFS(T_TTAFStock[RM_Code],$A71,T_TTAFStock[WeekIndex],85)&gt;0)&gt;0,SUMIFS(T_SelfStock[Self_Qty],T_SelfStock[RM_Code],$A71,T_SelfStock[WeekIndex],85)+SUMIFS(T_TTAFStock[TTAF_Qty],T_TTAFStock[RM_Code],$A71,T_TTAFStock[WeekIndex],85),CG71+'Grid_Incoming'!CH71-'Grid_Requirement'!CH71))</f>
        <v/>
      </c>
      <c r="CI71">
        <f>IF(COUNTIFS(T_StockCount[RM_Code],$A71,T_StockCount[WeekIndex],86)&gt;0,SUMIFS(T_StockCount[CountedQty],T_StockCount[RM_Code],$A71,T_StockCount[WeekIndex],86),IF((COUNTIFS(T_SelfStock[RM_Code],$A71,T_SelfStock[WeekIndex],86)&gt;0)*(COUNTIFS(T_TTAFStock[RM_Code],$A71,T_TTAFStock[WeekIndex],86)&gt;0)&gt;0,SUMIFS(T_SelfStock[Self_Qty],T_SelfStock[RM_Code],$A71,T_SelfStock[WeekIndex],86)+SUMIFS(T_TTAFStock[TTAF_Qty],T_TTAFStock[RM_Code],$A71,T_TTAFStock[WeekIndex],86),CH71+'Grid_Incoming'!CI71-'Grid_Requirement'!CI71))</f>
        <v/>
      </c>
      <c r="CJ71">
        <f>IF(COUNTIFS(T_StockCount[RM_Code],$A71,T_StockCount[WeekIndex],87)&gt;0,SUMIFS(T_StockCount[CountedQty],T_StockCount[RM_Code],$A71,T_StockCount[WeekIndex],87),IF((COUNTIFS(T_SelfStock[RM_Code],$A71,T_SelfStock[WeekIndex],87)&gt;0)*(COUNTIFS(T_TTAFStock[RM_Code],$A71,T_TTAFStock[WeekIndex],87)&gt;0)&gt;0,SUMIFS(T_SelfStock[Self_Qty],T_SelfStock[RM_Code],$A71,T_SelfStock[WeekIndex],87)+SUMIFS(T_TTAFStock[TTAF_Qty],T_TTAFStock[RM_Code],$A71,T_TTAFStock[WeekIndex],87),CI71+'Grid_Incoming'!CJ71-'Grid_Requirement'!CJ71))</f>
        <v/>
      </c>
      <c r="CK71">
        <f>IF(COUNTIFS(T_StockCount[RM_Code],$A71,T_StockCount[WeekIndex],88)&gt;0,SUMIFS(T_StockCount[CountedQty],T_StockCount[RM_Code],$A71,T_StockCount[WeekIndex],88),IF((COUNTIFS(T_SelfStock[RM_Code],$A71,T_SelfStock[WeekIndex],88)&gt;0)*(COUNTIFS(T_TTAFStock[RM_Code],$A71,T_TTAFStock[WeekIndex],88)&gt;0)&gt;0,SUMIFS(T_SelfStock[Self_Qty],T_SelfStock[RM_Code],$A71,T_SelfStock[WeekIndex],88)+SUMIFS(T_TTAFStock[TTAF_Qty],T_TTAFStock[RM_Code],$A71,T_TTAFStock[WeekIndex],88),CJ71+'Grid_Incoming'!CK71-'Grid_Requirement'!CK71))</f>
        <v/>
      </c>
      <c r="CL71">
        <f>IF(COUNTIFS(T_StockCount[RM_Code],$A71,T_StockCount[WeekIndex],89)&gt;0,SUMIFS(T_StockCount[CountedQty],T_StockCount[RM_Code],$A71,T_StockCount[WeekIndex],89),IF((COUNTIFS(T_SelfStock[RM_Code],$A71,T_SelfStock[WeekIndex],89)&gt;0)*(COUNTIFS(T_TTAFStock[RM_Code],$A71,T_TTAFStock[WeekIndex],89)&gt;0)&gt;0,SUMIFS(T_SelfStock[Self_Qty],T_SelfStock[RM_Code],$A71,T_SelfStock[WeekIndex],89)+SUMIFS(T_TTAFStock[TTAF_Qty],T_TTAFStock[RM_Code],$A71,T_TTAFStock[WeekIndex],89),CK71+'Grid_Incoming'!CL71-'Grid_Requirement'!CL71))</f>
        <v/>
      </c>
      <c r="CM71">
        <f>IF(COUNTIFS(T_StockCount[RM_Code],$A71,T_StockCount[WeekIndex],90)&gt;0,SUMIFS(T_StockCount[CountedQty],T_StockCount[RM_Code],$A71,T_StockCount[WeekIndex],90),IF((COUNTIFS(T_SelfStock[RM_Code],$A71,T_SelfStock[WeekIndex],90)&gt;0)*(COUNTIFS(T_TTAFStock[RM_Code],$A71,T_TTAFStock[WeekIndex],90)&gt;0)&gt;0,SUMIFS(T_SelfStock[Self_Qty],T_SelfStock[RM_Code],$A71,T_SelfStock[WeekIndex],90)+SUMIFS(T_TTAFStock[TTAF_Qty],T_TTAFStock[RM_Code],$A71,T_TTAFStock[WeekIndex],90),CL71+'Grid_Incoming'!CM71-'Grid_Requirement'!CM71))</f>
        <v/>
      </c>
      <c r="CN71">
        <f>IF(COUNTIFS(T_StockCount[RM_Code],$A71,T_StockCount[WeekIndex],91)&gt;0,SUMIFS(T_StockCount[CountedQty],T_StockCount[RM_Code],$A71,T_StockCount[WeekIndex],91),IF((COUNTIFS(T_SelfStock[RM_Code],$A71,T_SelfStock[WeekIndex],91)&gt;0)*(COUNTIFS(T_TTAFStock[RM_Code],$A71,T_TTAFStock[WeekIndex],91)&gt;0)&gt;0,SUMIFS(T_SelfStock[Self_Qty],T_SelfStock[RM_Code],$A71,T_SelfStock[WeekIndex],91)+SUMIFS(T_TTAFStock[TTAF_Qty],T_TTAFStock[RM_Code],$A71,T_TTAFStock[WeekIndex],91),CM71+'Grid_Incoming'!CN71-'Grid_Requirement'!CN71))</f>
        <v/>
      </c>
      <c r="CO71">
        <f>IF(COUNTIFS(T_StockCount[RM_Code],$A71,T_StockCount[WeekIndex],92)&gt;0,SUMIFS(T_StockCount[CountedQty],T_StockCount[RM_Code],$A71,T_StockCount[WeekIndex],92),IF((COUNTIFS(T_SelfStock[RM_Code],$A71,T_SelfStock[WeekIndex],92)&gt;0)*(COUNTIFS(T_TTAFStock[RM_Code],$A71,T_TTAFStock[WeekIndex],92)&gt;0)&gt;0,SUMIFS(T_SelfStock[Self_Qty],T_SelfStock[RM_Code],$A71,T_SelfStock[WeekIndex],92)+SUMIFS(T_TTAFStock[TTAF_Qty],T_TTAFStock[RM_Code],$A71,T_TTAFStock[WeekIndex],92),CN71+'Grid_Incoming'!CO71-'Grid_Requirement'!CO71))</f>
        <v/>
      </c>
      <c r="CP71">
        <f>IF(COUNTIFS(T_StockCount[RM_Code],$A71,T_StockCount[WeekIndex],93)&gt;0,SUMIFS(T_StockCount[CountedQty],T_StockCount[RM_Code],$A71,T_StockCount[WeekIndex],93),IF((COUNTIFS(T_SelfStock[RM_Code],$A71,T_SelfStock[WeekIndex],93)&gt;0)*(COUNTIFS(T_TTAFStock[RM_Code],$A71,T_TTAFStock[WeekIndex],93)&gt;0)&gt;0,SUMIFS(T_SelfStock[Self_Qty],T_SelfStock[RM_Code],$A71,T_SelfStock[WeekIndex],93)+SUMIFS(T_TTAFStock[TTAF_Qty],T_TTAFStock[RM_Code],$A71,T_TTAFStock[WeekIndex],93),CO71+'Grid_Incoming'!CP71-'Grid_Requirement'!CP71))</f>
        <v/>
      </c>
      <c r="CQ71">
        <f>IF(COUNTIFS(T_StockCount[RM_Code],$A71,T_StockCount[WeekIndex],94)&gt;0,SUMIFS(T_StockCount[CountedQty],T_StockCount[RM_Code],$A71,T_StockCount[WeekIndex],94),IF((COUNTIFS(T_SelfStock[RM_Code],$A71,T_SelfStock[WeekIndex],94)&gt;0)*(COUNTIFS(T_TTAFStock[RM_Code],$A71,T_TTAFStock[WeekIndex],94)&gt;0)&gt;0,SUMIFS(T_SelfStock[Self_Qty],T_SelfStock[RM_Code],$A71,T_SelfStock[WeekIndex],94)+SUMIFS(T_TTAFStock[TTAF_Qty],T_TTAFStock[RM_Code],$A71,T_TTAFStock[WeekIndex],94),CP71+'Grid_Incoming'!CQ71-'Grid_Requirement'!CQ71))</f>
        <v/>
      </c>
      <c r="CR71">
        <f>IF(COUNTIFS(T_StockCount[RM_Code],$A71,T_StockCount[WeekIndex],95)&gt;0,SUMIFS(T_StockCount[CountedQty],T_StockCount[RM_Code],$A71,T_StockCount[WeekIndex],95),IF((COUNTIFS(T_SelfStock[RM_Code],$A71,T_SelfStock[WeekIndex],95)&gt;0)*(COUNTIFS(T_TTAFStock[RM_Code],$A71,T_TTAFStock[WeekIndex],95)&gt;0)&gt;0,SUMIFS(T_SelfStock[Self_Qty],T_SelfStock[RM_Code],$A71,T_SelfStock[WeekIndex],95)+SUMIFS(T_TTAFStock[TTAF_Qty],T_TTAFStock[RM_Code],$A71,T_TTAFStock[WeekIndex],95),CQ71+'Grid_Incoming'!CR71-'Grid_Requirement'!CR71))</f>
        <v/>
      </c>
      <c r="CS71">
        <f>IF(COUNTIFS(T_StockCount[RM_Code],$A71,T_StockCount[WeekIndex],96)&gt;0,SUMIFS(T_StockCount[CountedQty],T_StockCount[RM_Code],$A71,T_StockCount[WeekIndex],96),IF((COUNTIFS(T_SelfStock[RM_Code],$A71,T_SelfStock[WeekIndex],96)&gt;0)*(COUNTIFS(T_TTAFStock[RM_Code],$A71,T_TTAFStock[WeekIndex],96)&gt;0)&gt;0,SUMIFS(T_SelfStock[Self_Qty],T_SelfStock[RM_Code],$A71,T_SelfStock[WeekIndex],96)+SUMIFS(T_TTAFStock[TTAF_Qty],T_TTAFStock[RM_Code],$A71,T_TTAFStock[WeekIndex],96),CR71+'Grid_Incoming'!CS71-'Grid_Requirement'!CS71))</f>
        <v/>
      </c>
      <c r="CT71">
        <f>IF(COUNTIFS(T_StockCount[RM_Code],$A71,T_StockCount[WeekIndex],97)&gt;0,SUMIFS(T_StockCount[CountedQty],T_StockCount[RM_Code],$A71,T_StockCount[WeekIndex],97),IF((COUNTIFS(T_SelfStock[RM_Code],$A71,T_SelfStock[WeekIndex],97)&gt;0)*(COUNTIFS(T_TTAFStock[RM_Code],$A71,T_TTAFStock[WeekIndex],97)&gt;0)&gt;0,SUMIFS(T_SelfStock[Self_Qty],T_SelfStock[RM_Code],$A71,T_SelfStock[WeekIndex],97)+SUMIFS(T_TTAFStock[TTAF_Qty],T_TTAFStock[RM_Code],$A71,T_TTAFStock[WeekIndex],97),CS71+'Grid_Incoming'!CT71-'Grid_Requirement'!CT71))</f>
        <v/>
      </c>
      <c r="CU71">
        <f>IF(COUNTIFS(T_StockCount[RM_Code],$A71,T_StockCount[WeekIndex],98)&gt;0,SUMIFS(T_StockCount[CountedQty],T_StockCount[RM_Code],$A71,T_StockCount[WeekIndex],98),IF((COUNTIFS(T_SelfStock[RM_Code],$A71,T_SelfStock[WeekIndex],98)&gt;0)*(COUNTIFS(T_TTAFStock[RM_Code],$A71,T_TTAFStock[WeekIndex],98)&gt;0)&gt;0,SUMIFS(T_SelfStock[Self_Qty],T_SelfStock[RM_Code],$A71,T_SelfStock[WeekIndex],98)+SUMIFS(T_TTAFStock[TTAF_Qty],T_TTAFStock[RM_Code],$A71,T_TTAFStock[WeekIndex],98),CT71+'Grid_Incoming'!CU71-'Grid_Requirement'!CU71))</f>
        <v/>
      </c>
      <c r="CV71">
        <f>IF(COUNTIFS(T_StockCount[RM_Code],$A71,T_StockCount[WeekIndex],99)&gt;0,SUMIFS(T_StockCount[CountedQty],T_StockCount[RM_Code],$A71,T_StockCount[WeekIndex],99),IF((COUNTIFS(T_SelfStock[RM_Code],$A71,T_SelfStock[WeekIndex],99)&gt;0)*(COUNTIFS(T_TTAFStock[RM_Code],$A71,T_TTAFStock[WeekIndex],99)&gt;0)&gt;0,SUMIFS(T_SelfStock[Self_Qty],T_SelfStock[RM_Code],$A71,T_SelfStock[WeekIndex],99)+SUMIFS(T_TTAFStock[TTAF_Qty],T_TTAFStock[RM_Code],$A71,T_TTAFStock[WeekIndex],99),CU71+'Grid_Incoming'!CV71-'Grid_Requirement'!CV71))</f>
        <v/>
      </c>
      <c r="CW71">
        <f>IF(COUNTIFS(T_StockCount[RM_Code],$A71,T_StockCount[WeekIndex],100)&gt;0,SUMIFS(T_StockCount[CountedQty],T_StockCount[RM_Code],$A71,T_StockCount[WeekIndex],100),IF((COUNTIFS(T_SelfStock[RM_Code],$A71,T_SelfStock[WeekIndex],100)&gt;0)*(COUNTIFS(T_TTAFStock[RM_Code],$A71,T_TTAFStock[WeekIndex],100)&gt;0)&gt;0,SUMIFS(T_SelfStock[Self_Qty],T_SelfStock[RM_Code],$A71,T_SelfStock[WeekIndex],100)+SUMIFS(T_TTAFStock[TTAF_Qty],T_TTAFStock[RM_Code],$A71,T_TTAFStock[WeekIndex],100),CV71+'Grid_Incoming'!CW71-'Grid_Requirement'!CW71))</f>
        <v/>
      </c>
      <c r="CX71">
        <f>IF(COUNTIFS(T_StockCount[RM_Code],$A71,T_StockCount[WeekIndex],101)&gt;0,SUMIFS(T_StockCount[CountedQty],T_StockCount[RM_Code],$A71,T_StockCount[WeekIndex],101),IF((COUNTIFS(T_SelfStock[RM_Code],$A71,T_SelfStock[WeekIndex],101)&gt;0)*(COUNTIFS(T_TTAFStock[RM_Code],$A71,T_TTAFStock[WeekIndex],101)&gt;0)&gt;0,SUMIFS(T_SelfStock[Self_Qty],T_SelfStock[RM_Code],$A71,T_SelfStock[WeekIndex],101)+SUMIFS(T_TTAFStock[TTAF_Qty],T_TTAFStock[RM_Code],$A71,T_TTAFStock[WeekIndex],101),CW71+'Grid_Incoming'!CX71-'Grid_Requirement'!CX71))</f>
        <v/>
      </c>
      <c r="CY71">
        <f>IF(COUNTIFS(T_StockCount[RM_Code],$A71,T_StockCount[WeekIndex],102)&gt;0,SUMIFS(T_StockCount[CountedQty],T_StockCount[RM_Code],$A71,T_StockCount[WeekIndex],102),IF((COUNTIFS(T_SelfStock[RM_Code],$A71,T_SelfStock[WeekIndex],102)&gt;0)*(COUNTIFS(T_TTAFStock[RM_Code],$A71,T_TTAFStock[WeekIndex],102)&gt;0)&gt;0,SUMIFS(T_SelfStock[Self_Qty],T_SelfStock[RM_Code],$A71,T_SelfStock[WeekIndex],102)+SUMIFS(T_TTAFStock[TTAF_Qty],T_TTAFStock[RM_Code],$A71,T_TTAFStock[WeekIndex],102),CX71+'Grid_Incoming'!CY71-'Grid_Requirement'!CY71))</f>
        <v/>
      </c>
      <c r="CZ71">
        <f>IF(COUNTIFS(T_StockCount[RM_Code],$A71,T_StockCount[WeekIndex],103)&gt;0,SUMIFS(T_StockCount[CountedQty],T_StockCount[RM_Code],$A71,T_StockCount[WeekIndex],103),IF((COUNTIFS(T_SelfStock[RM_Code],$A71,T_SelfStock[WeekIndex],103)&gt;0)*(COUNTIFS(T_TTAFStock[RM_Code],$A71,T_TTAFStock[WeekIndex],103)&gt;0)&gt;0,SUMIFS(T_SelfStock[Self_Qty],T_SelfStock[RM_Code],$A71,T_SelfStock[WeekIndex],103)+SUMIFS(T_TTAFStock[TTAF_Qty],T_TTAFStock[RM_Code],$A71,T_TTAFStock[WeekIndex],103),CY71+'Grid_Incoming'!CZ71-'Grid_Requirement'!CZ71))</f>
        <v/>
      </c>
      <c r="DA71">
        <f>IF(COUNTIFS(T_StockCount[RM_Code],$A71,T_StockCount[WeekIndex],104)&gt;0,SUMIFS(T_StockCount[CountedQty],T_StockCount[RM_Code],$A71,T_StockCount[WeekIndex],104),IF((COUNTIFS(T_SelfStock[RM_Code],$A71,T_SelfStock[WeekIndex],104)&gt;0)*(COUNTIFS(T_TTAFStock[RM_Code],$A71,T_TTAFStock[WeekIndex],104)&gt;0)&gt;0,SUMIFS(T_SelfStock[Self_Qty],T_SelfStock[RM_Code],$A71,T_SelfStock[WeekIndex],104)+SUMIFS(T_TTAFStock[TTAF_Qty],T_TTAFStock[RM_Code],$A71,T_TTAFStock[WeekIndex],104),CZ71+'Grid_Incoming'!DA71-'Grid_Requirement'!DA71))</f>
        <v/>
      </c>
    </row>
    <row r="72">
      <c r="A72" t="inlineStr">
        <is>
          <t>848531</t>
        </is>
      </c>
      <c r="B72">
        <f>IF(COUNTIFS(T_StockCount[RM_Code],$A72,T_StockCount[WeekIndex],1)&gt;0,SUMIFS(T_StockCount[CountedQty],T_StockCount[RM_Code],$A72,T_StockCount[WeekIndex],1),IF((COUNTIFS(T_SelfStock[RM_Code],$A72,T_SelfStock[WeekIndex],1)&gt;0)*(COUNTIFS(T_TTAFStock[RM_Code],$A72,T_TTAFStock[WeekIndex],1)&gt;0)&gt;0,SUMIFS(T_SelfStock[Self_Qty],T_SelfStock[RM_Code],$A72,T_SelfStock[WeekIndex],1)+SUMIFS(T_TTAFStock[TTAF_Qty],T_TTAFStock[RM_Code],$A72,T_TTAFStock[WeekIndex],1),IFERROR(INDEX(T_OpeningStock[Opening_Qty],MATCH($A72,T_OpeningStock[RM_Code],0)),0)+'Grid_Incoming'!B72-'Grid_Requirement'!B72))</f>
        <v/>
      </c>
      <c r="C72">
        <f>IF(COUNTIFS(T_StockCount[RM_Code],$A72,T_StockCount[WeekIndex],2)&gt;0,SUMIFS(T_StockCount[CountedQty],T_StockCount[RM_Code],$A72,T_StockCount[WeekIndex],2),IF((COUNTIFS(T_SelfStock[RM_Code],$A72,T_SelfStock[WeekIndex],2)&gt;0)*(COUNTIFS(T_TTAFStock[RM_Code],$A72,T_TTAFStock[WeekIndex],2)&gt;0)&gt;0,SUMIFS(T_SelfStock[Self_Qty],T_SelfStock[RM_Code],$A72,T_SelfStock[WeekIndex],2)+SUMIFS(T_TTAFStock[TTAF_Qty],T_TTAFStock[RM_Code],$A72,T_TTAFStock[WeekIndex],2),B72+'Grid_Incoming'!C72-'Grid_Requirement'!C72))</f>
        <v/>
      </c>
      <c r="D72">
        <f>IF(COUNTIFS(T_StockCount[RM_Code],$A72,T_StockCount[WeekIndex],3)&gt;0,SUMIFS(T_StockCount[CountedQty],T_StockCount[RM_Code],$A72,T_StockCount[WeekIndex],3),IF((COUNTIFS(T_SelfStock[RM_Code],$A72,T_SelfStock[WeekIndex],3)&gt;0)*(COUNTIFS(T_TTAFStock[RM_Code],$A72,T_TTAFStock[WeekIndex],3)&gt;0)&gt;0,SUMIFS(T_SelfStock[Self_Qty],T_SelfStock[RM_Code],$A72,T_SelfStock[WeekIndex],3)+SUMIFS(T_TTAFStock[TTAF_Qty],T_TTAFStock[RM_Code],$A72,T_TTAFStock[WeekIndex],3),C72+'Grid_Incoming'!D72-'Grid_Requirement'!D72))</f>
        <v/>
      </c>
      <c r="E72">
        <f>IF(COUNTIFS(T_StockCount[RM_Code],$A72,T_StockCount[WeekIndex],4)&gt;0,SUMIFS(T_StockCount[CountedQty],T_StockCount[RM_Code],$A72,T_StockCount[WeekIndex],4),IF((COUNTIFS(T_SelfStock[RM_Code],$A72,T_SelfStock[WeekIndex],4)&gt;0)*(COUNTIFS(T_TTAFStock[RM_Code],$A72,T_TTAFStock[WeekIndex],4)&gt;0)&gt;0,SUMIFS(T_SelfStock[Self_Qty],T_SelfStock[RM_Code],$A72,T_SelfStock[WeekIndex],4)+SUMIFS(T_TTAFStock[TTAF_Qty],T_TTAFStock[RM_Code],$A72,T_TTAFStock[WeekIndex],4),D72+'Grid_Incoming'!E72-'Grid_Requirement'!E72))</f>
        <v/>
      </c>
      <c r="F72">
        <f>IF(COUNTIFS(T_StockCount[RM_Code],$A72,T_StockCount[WeekIndex],5)&gt;0,SUMIFS(T_StockCount[CountedQty],T_StockCount[RM_Code],$A72,T_StockCount[WeekIndex],5),IF((COUNTIFS(T_SelfStock[RM_Code],$A72,T_SelfStock[WeekIndex],5)&gt;0)*(COUNTIFS(T_TTAFStock[RM_Code],$A72,T_TTAFStock[WeekIndex],5)&gt;0)&gt;0,SUMIFS(T_SelfStock[Self_Qty],T_SelfStock[RM_Code],$A72,T_SelfStock[WeekIndex],5)+SUMIFS(T_TTAFStock[TTAF_Qty],T_TTAFStock[RM_Code],$A72,T_TTAFStock[WeekIndex],5),E72+'Grid_Incoming'!F72-'Grid_Requirement'!F72))</f>
        <v/>
      </c>
      <c r="G72">
        <f>IF(COUNTIFS(T_StockCount[RM_Code],$A72,T_StockCount[WeekIndex],6)&gt;0,SUMIFS(T_StockCount[CountedQty],T_StockCount[RM_Code],$A72,T_StockCount[WeekIndex],6),IF((COUNTIFS(T_SelfStock[RM_Code],$A72,T_SelfStock[WeekIndex],6)&gt;0)*(COUNTIFS(T_TTAFStock[RM_Code],$A72,T_TTAFStock[WeekIndex],6)&gt;0)&gt;0,SUMIFS(T_SelfStock[Self_Qty],T_SelfStock[RM_Code],$A72,T_SelfStock[WeekIndex],6)+SUMIFS(T_TTAFStock[TTAF_Qty],T_TTAFStock[RM_Code],$A72,T_TTAFStock[WeekIndex],6),F72+'Grid_Incoming'!G72-'Grid_Requirement'!G72))</f>
        <v/>
      </c>
      <c r="H72">
        <f>IF(COUNTIFS(T_StockCount[RM_Code],$A72,T_StockCount[WeekIndex],7)&gt;0,SUMIFS(T_StockCount[CountedQty],T_StockCount[RM_Code],$A72,T_StockCount[WeekIndex],7),IF((COUNTIFS(T_SelfStock[RM_Code],$A72,T_SelfStock[WeekIndex],7)&gt;0)*(COUNTIFS(T_TTAFStock[RM_Code],$A72,T_TTAFStock[WeekIndex],7)&gt;0)&gt;0,SUMIFS(T_SelfStock[Self_Qty],T_SelfStock[RM_Code],$A72,T_SelfStock[WeekIndex],7)+SUMIFS(T_TTAFStock[TTAF_Qty],T_TTAFStock[RM_Code],$A72,T_TTAFStock[WeekIndex],7),G72+'Grid_Incoming'!H72-'Grid_Requirement'!H72))</f>
        <v/>
      </c>
      <c r="I72">
        <f>IF(COUNTIFS(T_StockCount[RM_Code],$A72,T_StockCount[WeekIndex],8)&gt;0,SUMIFS(T_StockCount[CountedQty],T_StockCount[RM_Code],$A72,T_StockCount[WeekIndex],8),IF((COUNTIFS(T_SelfStock[RM_Code],$A72,T_SelfStock[WeekIndex],8)&gt;0)*(COUNTIFS(T_TTAFStock[RM_Code],$A72,T_TTAFStock[WeekIndex],8)&gt;0)&gt;0,SUMIFS(T_SelfStock[Self_Qty],T_SelfStock[RM_Code],$A72,T_SelfStock[WeekIndex],8)+SUMIFS(T_TTAFStock[TTAF_Qty],T_TTAFStock[RM_Code],$A72,T_TTAFStock[WeekIndex],8),H72+'Grid_Incoming'!I72-'Grid_Requirement'!I72))</f>
        <v/>
      </c>
      <c r="J72">
        <f>IF(COUNTIFS(T_StockCount[RM_Code],$A72,T_StockCount[WeekIndex],9)&gt;0,SUMIFS(T_StockCount[CountedQty],T_StockCount[RM_Code],$A72,T_StockCount[WeekIndex],9),IF((COUNTIFS(T_SelfStock[RM_Code],$A72,T_SelfStock[WeekIndex],9)&gt;0)*(COUNTIFS(T_TTAFStock[RM_Code],$A72,T_TTAFStock[WeekIndex],9)&gt;0)&gt;0,SUMIFS(T_SelfStock[Self_Qty],T_SelfStock[RM_Code],$A72,T_SelfStock[WeekIndex],9)+SUMIFS(T_TTAFStock[TTAF_Qty],T_TTAFStock[RM_Code],$A72,T_TTAFStock[WeekIndex],9),I72+'Grid_Incoming'!J72-'Grid_Requirement'!J72))</f>
        <v/>
      </c>
      <c r="K72">
        <f>IF(COUNTIFS(T_StockCount[RM_Code],$A72,T_StockCount[WeekIndex],10)&gt;0,SUMIFS(T_StockCount[CountedQty],T_StockCount[RM_Code],$A72,T_StockCount[WeekIndex],10),IF((COUNTIFS(T_SelfStock[RM_Code],$A72,T_SelfStock[WeekIndex],10)&gt;0)*(COUNTIFS(T_TTAFStock[RM_Code],$A72,T_TTAFStock[WeekIndex],10)&gt;0)&gt;0,SUMIFS(T_SelfStock[Self_Qty],T_SelfStock[RM_Code],$A72,T_SelfStock[WeekIndex],10)+SUMIFS(T_TTAFStock[TTAF_Qty],T_TTAFStock[RM_Code],$A72,T_TTAFStock[WeekIndex],10),J72+'Grid_Incoming'!K72-'Grid_Requirement'!K72))</f>
        <v/>
      </c>
      <c r="L72">
        <f>IF(COUNTIFS(T_StockCount[RM_Code],$A72,T_StockCount[WeekIndex],11)&gt;0,SUMIFS(T_StockCount[CountedQty],T_StockCount[RM_Code],$A72,T_StockCount[WeekIndex],11),IF((COUNTIFS(T_SelfStock[RM_Code],$A72,T_SelfStock[WeekIndex],11)&gt;0)*(COUNTIFS(T_TTAFStock[RM_Code],$A72,T_TTAFStock[WeekIndex],11)&gt;0)&gt;0,SUMIFS(T_SelfStock[Self_Qty],T_SelfStock[RM_Code],$A72,T_SelfStock[WeekIndex],11)+SUMIFS(T_TTAFStock[TTAF_Qty],T_TTAFStock[RM_Code],$A72,T_TTAFStock[WeekIndex],11),K72+'Grid_Incoming'!L72-'Grid_Requirement'!L72))</f>
        <v/>
      </c>
      <c r="M72">
        <f>IF(COUNTIFS(T_StockCount[RM_Code],$A72,T_StockCount[WeekIndex],12)&gt;0,SUMIFS(T_StockCount[CountedQty],T_StockCount[RM_Code],$A72,T_StockCount[WeekIndex],12),IF((COUNTIFS(T_SelfStock[RM_Code],$A72,T_SelfStock[WeekIndex],12)&gt;0)*(COUNTIFS(T_TTAFStock[RM_Code],$A72,T_TTAFStock[WeekIndex],12)&gt;0)&gt;0,SUMIFS(T_SelfStock[Self_Qty],T_SelfStock[RM_Code],$A72,T_SelfStock[WeekIndex],12)+SUMIFS(T_TTAFStock[TTAF_Qty],T_TTAFStock[RM_Code],$A72,T_TTAFStock[WeekIndex],12),L72+'Grid_Incoming'!M72-'Grid_Requirement'!M72))</f>
        <v/>
      </c>
      <c r="N72">
        <f>IF(COUNTIFS(T_StockCount[RM_Code],$A72,T_StockCount[WeekIndex],13)&gt;0,SUMIFS(T_StockCount[CountedQty],T_StockCount[RM_Code],$A72,T_StockCount[WeekIndex],13),IF((COUNTIFS(T_SelfStock[RM_Code],$A72,T_SelfStock[WeekIndex],13)&gt;0)*(COUNTIFS(T_TTAFStock[RM_Code],$A72,T_TTAFStock[WeekIndex],13)&gt;0)&gt;0,SUMIFS(T_SelfStock[Self_Qty],T_SelfStock[RM_Code],$A72,T_SelfStock[WeekIndex],13)+SUMIFS(T_TTAFStock[TTAF_Qty],T_TTAFStock[RM_Code],$A72,T_TTAFStock[WeekIndex],13),M72+'Grid_Incoming'!N72-'Grid_Requirement'!N72))</f>
        <v/>
      </c>
      <c r="O72">
        <f>IF(COUNTIFS(T_StockCount[RM_Code],$A72,T_StockCount[WeekIndex],14)&gt;0,SUMIFS(T_StockCount[CountedQty],T_StockCount[RM_Code],$A72,T_StockCount[WeekIndex],14),IF((COUNTIFS(T_SelfStock[RM_Code],$A72,T_SelfStock[WeekIndex],14)&gt;0)*(COUNTIFS(T_TTAFStock[RM_Code],$A72,T_TTAFStock[WeekIndex],14)&gt;0)&gt;0,SUMIFS(T_SelfStock[Self_Qty],T_SelfStock[RM_Code],$A72,T_SelfStock[WeekIndex],14)+SUMIFS(T_TTAFStock[TTAF_Qty],T_TTAFStock[RM_Code],$A72,T_TTAFStock[WeekIndex],14),N72+'Grid_Incoming'!O72-'Grid_Requirement'!O72))</f>
        <v/>
      </c>
      <c r="P72">
        <f>IF(COUNTIFS(T_StockCount[RM_Code],$A72,T_StockCount[WeekIndex],15)&gt;0,SUMIFS(T_StockCount[CountedQty],T_StockCount[RM_Code],$A72,T_StockCount[WeekIndex],15),IF((COUNTIFS(T_SelfStock[RM_Code],$A72,T_SelfStock[WeekIndex],15)&gt;0)*(COUNTIFS(T_TTAFStock[RM_Code],$A72,T_TTAFStock[WeekIndex],15)&gt;0)&gt;0,SUMIFS(T_SelfStock[Self_Qty],T_SelfStock[RM_Code],$A72,T_SelfStock[WeekIndex],15)+SUMIFS(T_TTAFStock[TTAF_Qty],T_TTAFStock[RM_Code],$A72,T_TTAFStock[WeekIndex],15),O72+'Grid_Incoming'!P72-'Grid_Requirement'!P72))</f>
        <v/>
      </c>
      <c r="Q72">
        <f>IF(COUNTIFS(T_StockCount[RM_Code],$A72,T_StockCount[WeekIndex],16)&gt;0,SUMIFS(T_StockCount[CountedQty],T_StockCount[RM_Code],$A72,T_StockCount[WeekIndex],16),IF((COUNTIFS(T_SelfStock[RM_Code],$A72,T_SelfStock[WeekIndex],16)&gt;0)*(COUNTIFS(T_TTAFStock[RM_Code],$A72,T_TTAFStock[WeekIndex],16)&gt;0)&gt;0,SUMIFS(T_SelfStock[Self_Qty],T_SelfStock[RM_Code],$A72,T_SelfStock[WeekIndex],16)+SUMIFS(T_TTAFStock[TTAF_Qty],T_TTAFStock[RM_Code],$A72,T_TTAFStock[WeekIndex],16),P72+'Grid_Incoming'!Q72-'Grid_Requirement'!Q72))</f>
        <v/>
      </c>
      <c r="R72">
        <f>IF(COUNTIFS(T_StockCount[RM_Code],$A72,T_StockCount[WeekIndex],17)&gt;0,SUMIFS(T_StockCount[CountedQty],T_StockCount[RM_Code],$A72,T_StockCount[WeekIndex],17),IF((COUNTIFS(T_SelfStock[RM_Code],$A72,T_SelfStock[WeekIndex],17)&gt;0)*(COUNTIFS(T_TTAFStock[RM_Code],$A72,T_TTAFStock[WeekIndex],17)&gt;0)&gt;0,SUMIFS(T_SelfStock[Self_Qty],T_SelfStock[RM_Code],$A72,T_SelfStock[WeekIndex],17)+SUMIFS(T_TTAFStock[TTAF_Qty],T_TTAFStock[RM_Code],$A72,T_TTAFStock[WeekIndex],17),Q72+'Grid_Incoming'!R72-'Grid_Requirement'!R72))</f>
        <v/>
      </c>
      <c r="S72">
        <f>IF(COUNTIFS(T_StockCount[RM_Code],$A72,T_StockCount[WeekIndex],18)&gt;0,SUMIFS(T_StockCount[CountedQty],T_StockCount[RM_Code],$A72,T_StockCount[WeekIndex],18),IF((COUNTIFS(T_SelfStock[RM_Code],$A72,T_SelfStock[WeekIndex],18)&gt;0)*(COUNTIFS(T_TTAFStock[RM_Code],$A72,T_TTAFStock[WeekIndex],18)&gt;0)&gt;0,SUMIFS(T_SelfStock[Self_Qty],T_SelfStock[RM_Code],$A72,T_SelfStock[WeekIndex],18)+SUMIFS(T_TTAFStock[TTAF_Qty],T_TTAFStock[RM_Code],$A72,T_TTAFStock[WeekIndex],18),R72+'Grid_Incoming'!S72-'Grid_Requirement'!S72))</f>
        <v/>
      </c>
      <c r="T72">
        <f>IF(COUNTIFS(T_StockCount[RM_Code],$A72,T_StockCount[WeekIndex],19)&gt;0,SUMIFS(T_StockCount[CountedQty],T_StockCount[RM_Code],$A72,T_StockCount[WeekIndex],19),IF((COUNTIFS(T_SelfStock[RM_Code],$A72,T_SelfStock[WeekIndex],19)&gt;0)*(COUNTIFS(T_TTAFStock[RM_Code],$A72,T_TTAFStock[WeekIndex],19)&gt;0)&gt;0,SUMIFS(T_SelfStock[Self_Qty],T_SelfStock[RM_Code],$A72,T_SelfStock[WeekIndex],19)+SUMIFS(T_TTAFStock[TTAF_Qty],T_TTAFStock[RM_Code],$A72,T_TTAFStock[WeekIndex],19),S72+'Grid_Incoming'!T72-'Grid_Requirement'!T72))</f>
        <v/>
      </c>
      <c r="U72">
        <f>IF(COUNTIFS(T_StockCount[RM_Code],$A72,T_StockCount[WeekIndex],20)&gt;0,SUMIFS(T_StockCount[CountedQty],T_StockCount[RM_Code],$A72,T_StockCount[WeekIndex],20),IF((COUNTIFS(T_SelfStock[RM_Code],$A72,T_SelfStock[WeekIndex],20)&gt;0)*(COUNTIFS(T_TTAFStock[RM_Code],$A72,T_TTAFStock[WeekIndex],20)&gt;0)&gt;0,SUMIFS(T_SelfStock[Self_Qty],T_SelfStock[RM_Code],$A72,T_SelfStock[WeekIndex],20)+SUMIFS(T_TTAFStock[TTAF_Qty],T_TTAFStock[RM_Code],$A72,T_TTAFStock[WeekIndex],20),T72+'Grid_Incoming'!U72-'Grid_Requirement'!U72))</f>
        <v/>
      </c>
      <c r="V72">
        <f>IF(COUNTIFS(T_StockCount[RM_Code],$A72,T_StockCount[WeekIndex],21)&gt;0,SUMIFS(T_StockCount[CountedQty],T_StockCount[RM_Code],$A72,T_StockCount[WeekIndex],21),IF((COUNTIFS(T_SelfStock[RM_Code],$A72,T_SelfStock[WeekIndex],21)&gt;0)*(COUNTIFS(T_TTAFStock[RM_Code],$A72,T_TTAFStock[WeekIndex],21)&gt;0)&gt;0,SUMIFS(T_SelfStock[Self_Qty],T_SelfStock[RM_Code],$A72,T_SelfStock[WeekIndex],21)+SUMIFS(T_TTAFStock[TTAF_Qty],T_TTAFStock[RM_Code],$A72,T_TTAFStock[WeekIndex],21),U72+'Grid_Incoming'!V72-'Grid_Requirement'!V72))</f>
        <v/>
      </c>
      <c r="W72">
        <f>IF(COUNTIFS(T_StockCount[RM_Code],$A72,T_StockCount[WeekIndex],22)&gt;0,SUMIFS(T_StockCount[CountedQty],T_StockCount[RM_Code],$A72,T_StockCount[WeekIndex],22),IF((COUNTIFS(T_SelfStock[RM_Code],$A72,T_SelfStock[WeekIndex],22)&gt;0)*(COUNTIFS(T_TTAFStock[RM_Code],$A72,T_TTAFStock[WeekIndex],22)&gt;0)&gt;0,SUMIFS(T_SelfStock[Self_Qty],T_SelfStock[RM_Code],$A72,T_SelfStock[WeekIndex],22)+SUMIFS(T_TTAFStock[TTAF_Qty],T_TTAFStock[RM_Code],$A72,T_TTAFStock[WeekIndex],22),V72+'Grid_Incoming'!W72-'Grid_Requirement'!W72))</f>
        <v/>
      </c>
      <c r="X72">
        <f>IF(COUNTIFS(T_StockCount[RM_Code],$A72,T_StockCount[WeekIndex],23)&gt;0,SUMIFS(T_StockCount[CountedQty],T_StockCount[RM_Code],$A72,T_StockCount[WeekIndex],23),IF((COUNTIFS(T_SelfStock[RM_Code],$A72,T_SelfStock[WeekIndex],23)&gt;0)*(COUNTIFS(T_TTAFStock[RM_Code],$A72,T_TTAFStock[WeekIndex],23)&gt;0)&gt;0,SUMIFS(T_SelfStock[Self_Qty],T_SelfStock[RM_Code],$A72,T_SelfStock[WeekIndex],23)+SUMIFS(T_TTAFStock[TTAF_Qty],T_TTAFStock[RM_Code],$A72,T_TTAFStock[WeekIndex],23),W72+'Grid_Incoming'!X72-'Grid_Requirement'!X72))</f>
        <v/>
      </c>
      <c r="Y72">
        <f>IF(COUNTIFS(T_StockCount[RM_Code],$A72,T_StockCount[WeekIndex],24)&gt;0,SUMIFS(T_StockCount[CountedQty],T_StockCount[RM_Code],$A72,T_StockCount[WeekIndex],24),IF((COUNTIFS(T_SelfStock[RM_Code],$A72,T_SelfStock[WeekIndex],24)&gt;0)*(COUNTIFS(T_TTAFStock[RM_Code],$A72,T_TTAFStock[WeekIndex],24)&gt;0)&gt;0,SUMIFS(T_SelfStock[Self_Qty],T_SelfStock[RM_Code],$A72,T_SelfStock[WeekIndex],24)+SUMIFS(T_TTAFStock[TTAF_Qty],T_TTAFStock[RM_Code],$A72,T_TTAFStock[WeekIndex],24),X72+'Grid_Incoming'!Y72-'Grid_Requirement'!Y72))</f>
        <v/>
      </c>
      <c r="Z72">
        <f>IF(COUNTIFS(T_StockCount[RM_Code],$A72,T_StockCount[WeekIndex],25)&gt;0,SUMIFS(T_StockCount[CountedQty],T_StockCount[RM_Code],$A72,T_StockCount[WeekIndex],25),IF((COUNTIFS(T_SelfStock[RM_Code],$A72,T_SelfStock[WeekIndex],25)&gt;0)*(COUNTIFS(T_TTAFStock[RM_Code],$A72,T_TTAFStock[WeekIndex],25)&gt;0)&gt;0,SUMIFS(T_SelfStock[Self_Qty],T_SelfStock[RM_Code],$A72,T_SelfStock[WeekIndex],25)+SUMIFS(T_TTAFStock[TTAF_Qty],T_TTAFStock[RM_Code],$A72,T_TTAFStock[WeekIndex],25),Y72+'Grid_Incoming'!Z72-'Grid_Requirement'!Z72))</f>
        <v/>
      </c>
      <c r="AA72">
        <f>IF(COUNTIFS(T_StockCount[RM_Code],$A72,T_StockCount[WeekIndex],26)&gt;0,SUMIFS(T_StockCount[CountedQty],T_StockCount[RM_Code],$A72,T_StockCount[WeekIndex],26),IF((COUNTIFS(T_SelfStock[RM_Code],$A72,T_SelfStock[WeekIndex],26)&gt;0)*(COUNTIFS(T_TTAFStock[RM_Code],$A72,T_TTAFStock[WeekIndex],26)&gt;0)&gt;0,SUMIFS(T_SelfStock[Self_Qty],T_SelfStock[RM_Code],$A72,T_SelfStock[WeekIndex],26)+SUMIFS(T_TTAFStock[TTAF_Qty],T_TTAFStock[RM_Code],$A72,T_TTAFStock[WeekIndex],26),Z72+'Grid_Incoming'!AA72-'Grid_Requirement'!AA72))</f>
        <v/>
      </c>
      <c r="AB72">
        <f>IF(COUNTIFS(T_StockCount[RM_Code],$A72,T_StockCount[WeekIndex],27)&gt;0,SUMIFS(T_StockCount[CountedQty],T_StockCount[RM_Code],$A72,T_StockCount[WeekIndex],27),IF((COUNTIFS(T_SelfStock[RM_Code],$A72,T_SelfStock[WeekIndex],27)&gt;0)*(COUNTIFS(T_TTAFStock[RM_Code],$A72,T_TTAFStock[WeekIndex],27)&gt;0)&gt;0,SUMIFS(T_SelfStock[Self_Qty],T_SelfStock[RM_Code],$A72,T_SelfStock[WeekIndex],27)+SUMIFS(T_TTAFStock[TTAF_Qty],T_TTAFStock[RM_Code],$A72,T_TTAFStock[WeekIndex],27),AA72+'Grid_Incoming'!AB72-'Grid_Requirement'!AB72))</f>
        <v/>
      </c>
      <c r="AC72">
        <f>IF(COUNTIFS(T_StockCount[RM_Code],$A72,T_StockCount[WeekIndex],28)&gt;0,SUMIFS(T_StockCount[CountedQty],T_StockCount[RM_Code],$A72,T_StockCount[WeekIndex],28),IF((COUNTIFS(T_SelfStock[RM_Code],$A72,T_SelfStock[WeekIndex],28)&gt;0)*(COUNTIFS(T_TTAFStock[RM_Code],$A72,T_TTAFStock[WeekIndex],28)&gt;0)&gt;0,SUMIFS(T_SelfStock[Self_Qty],T_SelfStock[RM_Code],$A72,T_SelfStock[WeekIndex],28)+SUMIFS(T_TTAFStock[TTAF_Qty],T_TTAFStock[RM_Code],$A72,T_TTAFStock[WeekIndex],28),AB72+'Grid_Incoming'!AC72-'Grid_Requirement'!AC72))</f>
        <v/>
      </c>
      <c r="AD72">
        <f>IF(COUNTIFS(T_StockCount[RM_Code],$A72,T_StockCount[WeekIndex],29)&gt;0,SUMIFS(T_StockCount[CountedQty],T_StockCount[RM_Code],$A72,T_StockCount[WeekIndex],29),IF((COUNTIFS(T_SelfStock[RM_Code],$A72,T_SelfStock[WeekIndex],29)&gt;0)*(COUNTIFS(T_TTAFStock[RM_Code],$A72,T_TTAFStock[WeekIndex],29)&gt;0)&gt;0,SUMIFS(T_SelfStock[Self_Qty],T_SelfStock[RM_Code],$A72,T_SelfStock[WeekIndex],29)+SUMIFS(T_TTAFStock[TTAF_Qty],T_TTAFStock[RM_Code],$A72,T_TTAFStock[WeekIndex],29),AC72+'Grid_Incoming'!AD72-'Grid_Requirement'!AD72))</f>
        <v/>
      </c>
      <c r="AE72">
        <f>IF(COUNTIFS(T_StockCount[RM_Code],$A72,T_StockCount[WeekIndex],30)&gt;0,SUMIFS(T_StockCount[CountedQty],T_StockCount[RM_Code],$A72,T_StockCount[WeekIndex],30),IF((COUNTIFS(T_SelfStock[RM_Code],$A72,T_SelfStock[WeekIndex],30)&gt;0)*(COUNTIFS(T_TTAFStock[RM_Code],$A72,T_TTAFStock[WeekIndex],30)&gt;0)&gt;0,SUMIFS(T_SelfStock[Self_Qty],T_SelfStock[RM_Code],$A72,T_SelfStock[WeekIndex],30)+SUMIFS(T_TTAFStock[TTAF_Qty],T_TTAFStock[RM_Code],$A72,T_TTAFStock[WeekIndex],30),AD72+'Grid_Incoming'!AE72-'Grid_Requirement'!AE72))</f>
        <v/>
      </c>
      <c r="AF72">
        <f>IF(COUNTIFS(T_StockCount[RM_Code],$A72,T_StockCount[WeekIndex],31)&gt;0,SUMIFS(T_StockCount[CountedQty],T_StockCount[RM_Code],$A72,T_StockCount[WeekIndex],31),IF((COUNTIFS(T_SelfStock[RM_Code],$A72,T_SelfStock[WeekIndex],31)&gt;0)*(COUNTIFS(T_TTAFStock[RM_Code],$A72,T_TTAFStock[WeekIndex],31)&gt;0)&gt;0,SUMIFS(T_SelfStock[Self_Qty],T_SelfStock[RM_Code],$A72,T_SelfStock[WeekIndex],31)+SUMIFS(T_TTAFStock[TTAF_Qty],T_TTAFStock[RM_Code],$A72,T_TTAFStock[WeekIndex],31),AE72+'Grid_Incoming'!AF72-'Grid_Requirement'!AF72))</f>
        <v/>
      </c>
      <c r="AG72">
        <f>IF(COUNTIFS(T_StockCount[RM_Code],$A72,T_StockCount[WeekIndex],32)&gt;0,SUMIFS(T_StockCount[CountedQty],T_StockCount[RM_Code],$A72,T_StockCount[WeekIndex],32),IF((COUNTIFS(T_SelfStock[RM_Code],$A72,T_SelfStock[WeekIndex],32)&gt;0)*(COUNTIFS(T_TTAFStock[RM_Code],$A72,T_TTAFStock[WeekIndex],32)&gt;0)&gt;0,SUMIFS(T_SelfStock[Self_Qty],T_SelfStock[RM_Code],$A72,T_SelfStock[WeekIndex],32)+SUMIFS(T_TTAFStock[TTAF_Qty],T_TTAFStock[RM_Code],$A72,T_TTAFStock[WeekIndex],32),AF72+'Grid_Incoming'!AG72-'Grid_Requirement'!AG72))</f>
        <v/>
      </c>
      <c r="AH72">
        <f>IF(COUNTIFS(T_StockCount[RM_Code],$A72,T_StockCount[WeekIndex],33)&gt;0,SUMIFS(T_StockCount[CountedQty],T_StockCount[RM_Code],$A72,T_StockCount[WeekIndex],33),IF((COUNTIFS(T_SelfStock[RM_Code],$A72,T_SelfStock[WeekIndex],33)&gt;0)*(COUNTIFS(T_TTAFStock[RM_Code],$A72,T_TTAFStock[WeekIndex],33)&gt;0)&gt;0,SUMIFS(T_SelfStock[Self_Qty],T_SelfStock[RM_Code],$A72,T_SelfStock[WeekIndex],33)+SUMIFS(T_TTAFStock[TTAF_Qty],T_TTAFStock[RM_Code],$A72,T_TTAFStock[WeekIndex],33),AG72+'Grid_Incoming'!AH72-'Grid_Requirement'!AH72))</f>
        <v/>
      </c>
      <c r="AI72">
        <f>IF(COUNTIFS(T_StockCount[RM_Code],$A72,T_StockCount[WeekIndex],34)&gt;0,SUMIFS(T_StockCount[CountedQty],T_StockCount[RM_Code],$A72,T_StockCount[WeekIndex],34),IF((COUNTIFS(T_SelfStock[RM_Code],$A72,T_SelfStock[WeekIndex],34)&gt;0)*(COUNTIFS(T_TTAFStock[RM_Code],$A72,T_TTAFStock[WeekIndex],34)&gt;0)&gt;0,SUMIFS(T_SelfStock[Self_Qty],T_SelfStock[RM_Code],$A72,T_SelfStock[WeekIndex],34)+SUMIFS(T_TTAFStock[TTAF_Qty],T_TTAFStock[RM_Code],$A72,T_TTAFStock[WeekIndex],34),AH72+'Grid_Incoming'!AI72-'Grid_Requirement'!AI72))</f>
        <v/>
      </c>
      <c r="AJ72">
        <f>IF(COUNTIFS(T_StockCount[RM_Code],$A72,T_StockCount[WeekIndex],35)&gt;0,SUMIFS(T_StockCount[CountedQty],T_StockCount[RM_Code],$A72,T_StockCount[WeekIndex],35),IF((COUNTIFS(T_SelfStock[RM_Code],$A72,T_SelfStock[WeekIndex],35)&gt;0)*(COUNTIFS(T_TTAFStock[RM_Code],$A72,T_TTAFStock[WeekIndex],35)&gt;0)&gt;0,SUMIFS(T_SelfStock[Self_Qty],T_SelfStock[RM_Code],$A72,T_SelfStock[WeekIndex],35)+SUMIFS(T_TTAFStock[TTAF_Qty],T_TTAFStock[RM_Code],$A72,T_TTAFStock[WeekIndex],35),AI72+'Grid_Incoming'!AJ72-'Grid_Requirement'!AJ72))</f>
        <v/>
      </c>
      <c r="AK72">
        <f>IF(COUNTIFS(T_StockCount[RM_Code],$A72,T_StockCount[WeekIndex],36)&gt;0,SUMIFS(T_StockCount[CountedQty],T_StockCount[RM_Code],$A72,T_StockCount[WeekIndex],36),IF((COUNTIFS(T_SelfStock[RM_Code],$A72,T_SelfStock[WeekIndex],36)&gt;0)*(COUNTIFS(T_TTAFStock[RM_Code],$A72,T_TTAFStock[WeekIndex],36)&gt;0)&gt;0,SUMIFS(T_SelfStock[Self_Qty],T_SelfStock[RM_Code],$A72,T_SelfStock[WeekIndex],36)+SUMIFS(T_TTAFStock[TTAF_Qty],T_TTAFStock[RM_Code],$A72,T_TTAFStock[WeekIndex],36),AJ72+'Grid_Incoming'!AK72-'Grid_Requirement'!AK72))</f>
        <v/>
      </c>
      <c r="AL72">
        <f>IF(COUNTIFS(T_StockCount[RM_Code],$A72,T_StockCount[WeekIndex],37)&gt;0,SUMIFS(T_StockCount[CountedQty],T_StockCount[RM_Code],$A72,T_StockCount[WeekIndex],37),IF((COUNTIFS(T_SelfStock[RM_Code],$A72,T_SelfStock[WeekIndex],37)&gt;0)*(COUNTIFS(T_TTAFStock[RM_Code],$A72,T_TTAFStock[WeekIndex],37)&gt;0)&gt;0,SUMIFS(T_SelfStock[Self_Qty],T_SelfStock[RM_Code],$A72,T_SelfStock[WeekIndex],37)+SUMIFS(T_TTAFStock[TTAF_Qty],T_TTAFStock[RM_Code],$A72,T_TTAFStock[WeekIndex],37),AK72+'Grid_Incoming'!AL72-'Grid_Requirement'!AL72))</f>
        <v/>
      </c>
      <c r="AM72">
        <f>IF(COUNTIFS(T_StockCount[RM_Code],$A72,T_StockCount[WeekIndex],38)&gt;0,SUMIFS(T_StockCount[CountedQty],T_StockCount[RM_Code],$A72,T_StockCount[WeekIndex],38),IF((COUNTIFS(T_SelfStock[RM_Code],$A72,T_SelfStock[WeekIndex],38)&gt;0)*(COUNTIFS(T_TTAFStock[RM_Code],$A72,T_TTAFStock[WeekIndex],38)&gt;0)&gt;0,SUMIFS(T_SelfStock[Self_Qty],T_SelfStock[RM_Code],$A72,T_SelfStock[WeekIndex],38)+SUMIFS(T_TTAFStock[TTAF_Qty],T_TTAFStock[RM_Code],$A72,T_TTAFStock[WeekIndex],38),AL72+'Grid_Incoming'!AM72-'Grid_Requirement'!AM72))</f>
        <v/>
      </c>
      <c r="AN72">
        <f>IF(COUNTIFS(T_StockCount[RM_Code],$A72,T_StockCount[WeekIndex],39)&gt;0,SUMIFS(T_StockCount[CountedQty],T_StockCount[RM_Code],$A72,T_StockCount[WeekIndex],39),IF((COUNTIFS(T_SelfStock[RM_Code],$A72,T_SelfStock[WeekIndex],39)&gt;0)*(COUNTIFS(T_TTAFStock[RM_Code],$A72,T_TTAFStock[WeekIndex],39)&gt;0)&gt;0,SUMIFS(T_SelfStock[Self_Qty],T_SelfStock[RM_Code],$A72,T_SelfStock[WeekIndex],39)+SUMIFS(T_TTAFStock[TTAF_Qty],T_TTAFStock[RM_Code],$A72,T_TTAFStock[WeekIndex],39),AM72+'Grid_Incoming'!AN72-'Grid_Requirement'!AN72))</f>
        <v/>
      </c>
      <c r="AO72">
        <f>IF(COUNTIFS(T_StockCount[RM_Code],$A72,T_StockCount[WeekIndex],40)&gt;0,SUMIFS(T_StockCount[CountedQty],T_StockCount[RM_Code],$A72,T_StockCount[WeekIndex],40),IF((COUNTIFS(T_SelfStock[RM_Code],$A72,T_SelfStock[WeekIndex],40)&gt;0)*(COUNTIFS(T_TTAFStock[RM_Code],$A72,T_TTAFStock[WeekIndex],40)&gt;0)&gt;0,SUMIFS(T_SelfStock[Self_Qty],T_SelfStock[RM_Code],$A72,T_SelfStock[WeekIndex],40)+SUMIFS(T_TTAFStock[TTAF_Qty],T_TTAFStock[RM_Code],$A72,T_TTAFStock[WeekIndex],40),AN72+'Grid_Incoming'!AO72-'Grid_Requirement'!AO72))</f>
        <v/>
      </c>
      <c r="AP72">
        <f>IF(COUNTIFS(T_StockCount[RM_Code],$A72,T_StockCount[WeekIndex],41)&gt;0,SUMIFS(T_StockCount[CountedQty],T_StockCount[RM_Code],$A72,T_StockCount[WeekIndex],41),IF((COUNTIFS(T_SelfStock[RM_Code],$A72,T_SelfStock[WeekIndex],41)&gt;0)*(COUNTIFS(T_TTAFStock[RM_Code],$A72,T_TTAFStock[WeekIndex],41)&gt;0)&gt;0,SUMIFS(T_SelfStock[Self_Qty],T_SelfStock[RM_Code],$A72,T_SelfStock[WeekIndex],41)+SUMIFS(T_TTAFStock[TTAF_Qty],T_TTAFStock[RM_Code],$A72,T_TTAFStock[WeekIndex],41),AO72+'Grid_Incoming'!AP72-'Grid_Requirement'!AP72))</f>
        <v/>
      </c>
      <c r="AQ72">
        <f>IF(COUNTIFS(T_StockCount[RM_Code],$A72,T_StockCount[WeekIndex],42)&gt;0,SUMIFS(T_StockCount[CountedQty],T_StockCount[RM_Code],$A72,T_StockCount[WeekIndex],42),IF((COUNTIFS(T_SelfStock[RM_Code],$A72,T_SelfStock[WeekIndex],42)&gt;0)*(COUNTIFS(T_TTAFStock[RM_Code],$A72,T_TTAFStock[WeekIndex],42)&gt;0)&gt;0,SUMIFS(T_SelfStock[Self_Qty],T_SelfStock[RM_Code],$A72,T_SelfStock[WeekIndex],42)+SUMIFS(T_TTAFStock[TTAF_Qty],T_TTAFStock[RM_Code],$A72,T_TTAFStock[WeekIndex],42),AP72+'Grid_Incoming'!AQ72-'Grid_Requirement'!AQ72))</f>
        <v/>
      </c>
      <c r="AR72">
        <f>IF(COUNTIFS(T_StockCount[RM_Code],$A72,T_StockCount[WeekIndex],43)&gt;0,SUMIFS(T_StockCount[CountedQty],T_StockCount[RM_Code],$A72,T_StockCount[WeekIndex],43),IF((COUNTIFS(T_SelfStock[RM_Code],$A72,T_SelfStock[WeekIndex],43)&gt;0)*(COUNTIFS(T_TTAFStock[RM_Code],$A72,T_TTAFStock[WeekIndex],43)&gt;0)&gt;0,SUMIFS(T_SelfStock[Self_Qty],T_SelfStock[RM_Code],$A72,T_SelfStock[WeekIndex],43)+SUMIFS(T_TTAFStock[TTAF_Qty],T_TTAFStock[RM_Code],$A72,T_TTAFStock[WeekIndex],43),AQ72+'Grid_Incoming'!AR72-'Grid_Requirement'!AR72))</f>
        <v/>
      </c>
      <c r="AS72">
        <f>IF(COUNTIFS(T_StockCount[RM_Code],$A72,T_StockCount[WeekIndex],44)&gt;0,SUMIFS(T_StockCount[CountedQty],T_StockCount[RM_Code],$A72,T_StockCount[WeekIndex],44),IF((COUNTIFS(T_SelfStock[RM_Code],$A72,T_SelfStock[WeekIndex],44)&gt;0)*(COUNTIFS(T_TTAFStock[RM_Code],$A72,T_TTAFStock[WeekIndex],44)&gt;0)&gt;0,SUMIFS(T_SelfStock[Self_Qty],T_SelfStock[RM_Code],$A72,T_SelfStock[WeekIndex],44)+SUMIFS(T_TTAFStock[TTAF_Qty],T_TTAFStock[RM_Code],$A72,T_TTAFStock[WeekIndex],44),AR72+'Grid_Incoming'!AS72-'Grid_Requirement'!AS72))</f>
        <v/>
      </c>
      <c r="AT72">
        <f>IF(COUNTIFS(T_StockCount[RM_Code],$A72,T_StockCount[WeekIndex],45)&gt;0,SUMIFS(T_StockCount[CountedQty],T_StockCount[RM_Code],$A72,T_StockCount[WeekIndex],45),IF((COUNTIFS(T_SelfStock[RM_Code],$A72,T_SelfStock[WeekIndex],45)&gt;0)*(COUNTIFS(T_TTAFStock[RM_Code],$A72,T_TTAFStock[WeekIndex],45)&gt;0)&gt;0,SUMIFS(T_SelfStock[Self_Qty],T_SelfStock[RM_Code],$A72,T_SelfStock[WeekIndex],45)+SUMIFS(T_TTAFStock[TTAF_Qty],T_TTAFStock[RM_Code],$A72,T_TTAFStock[WeekIndex],45),AS72+'Grid_Incoming'!AT72-'Grid_Requirement'!AT72))</f>
        <v/>
      </c>
      <c r="AU72">
        <f>IF(COUNTIFS(T_StockCount[RM_Code],$A72,T_StockCount[WeekIndex],46)&gt;0,SUMIFS(T_StockCount[CountedQty],T_StockCount[RM_Code],$A72,T_StockCount[WeekIndex],46),IF((COUNTIFS(T_SelfStock[RM_Code],$A72,T_SelfStock[WeekIndex],46)&gt;0)*(COUNTIFS(T_TTAFStock[RM_Code],$A72,T_TTAFStock[WeekIndex],46)&gt;0)&gt;0,SUMIFS(T_SelfStock[Self_Qty],T_SelfStock[RM_Code],$A72,T_SelfStock[WeekIndex],46)+SUMIFS(T_TTAFStock[TTAF_Qty],T_TTAFStock[RM_Code],$A72,T_TTAFStock[WeekIndex],46),AT72+'Grid_Incoming'!AU72-'Grid_Requirement'!AU72))</f>
        <v/>
      </c>
      <c r="AV72">
        <f>IF(COUNTIFS(T_StockCount[RM_Code],$A72,T_StockCount[WeekIndex],47)&gt;0,SUMIFS(T_StockCount[CountedQty],T_StockCount[RM_Code],$A72,T_StockCount[WeekIndex],47),IF((COUNTIFS(T_SelfStock[RM_Code],$A72,T_SelfStock[WeekIndex],47)&gt;0)*(COUNTIFS(T_TTAFStock[RM_Code],$A72,T_TTAFStock[WeekIndex],47)&gt;0)&gt;0,SUMIFS(T_SelfStock[Self_Qty],T_SelfStock[RM_Code],$A72,T_SelfStock[WeekIndex],47)+SUMIFS(T_TTAFStock[TTAF_Qty],T_TTAFStock[RM_Code],$A72,T_TTAFStock[WeekIndex],47),AU72+'Grid_Incoming'!AV72-'Grid_Requirement'!AV72))</f>
        <v/>
      </c>
      <c r="AW72">
        <f>IF(COUNTIFS(T_StockCount[RM_Code],$A72,T_StockCount[WeekIndex],48)&gt;0,SUMIFS(T_StockCount[CountedQty],T_StockCount[RM_Code],$A72,T_StockCount[WeekIndex],48),IF((COUNTIFS(T_SelfStock[RM_Code],$A72,T_SelfStock[WeekIndex],48)&gt;0)*(COUNTIFS(T_TTAFStock[RM_Code],$A72,T_TTAFStock[WeekIndex],48)&gt;0)&gt;0,SUMIFS(T_SelfStock[Self_Qty],T_SelfStock[RM_Code],$A72,T_SelfStock[WeekIndex],48)+SUMIFS(T_TTAFStock[TTAF_Qty],T_TTAFStock[RM_Code],$A72,T_TTAFStock[WeekIndex],48),AV72+'Grid_Incoming'!AW72-'Grid_Requirement'!AW72))</f>
        <v/>
      </c>
      <c r="AX72">
        <f>IF(COUNTIFS(T_StockCount[RM_Code],$A72,T_StockCount[WeekIndex],49)&gt;0,SUMIFS(T_StockCount[CountedQty],T_StockCount[RM_Code],$A72,T_StockCount[WeekIndex],49),IF((COUNTIFS(T_SelfStock[RM_Code],$A72,T_SelfStock[WeekIndex],49)&gt;0)*(COUNTIFS(T_TTAFStock[RM_Code],$A72,T_TTAFStock[WeekIndex],49)&gt;0)&gt;0,SUMIFS(T_SelfStock[Self_Qty],T_SelfStock[RM_Code],$A72,T_SelfStock[WeekIndex],49)+SUMIFS(T_TTAFStock[TTAF_Qty],T_TTAFStock[RM_Code],$A72,T_TTAFStock[WeekIndex],49),AW72+'Grid_Incoming'!AX72-'Grid_Requirement'!AX72))</f>
        <v/>
      </c>
      <c r="AY72">
        <f>IF(COUNTIFS(T_StockCount[RM_Code],$A72,T_StockCount[WeekIndex],50)&gt;0,SUMIFS(T_StockCount[CountedQty],T_StockCount[RM_Code],$A72,T_StockCount[WeekIndex],50),IF((COUNTIFS(T_SelfStock[RM_Code],$A72,T_SelfStock[WeekIndex],50)&gt;0)*(COUNTIFS(T_TTAFStock[RM_Code],$A72,T_TTAFStock[WeekIndex],50)&gt;0)&gt;0,SUMIFS(T_SelfStock[Self_Qty],T_SelfStock[RM_Code],$A72,T_SelfStock[WeekIndex],50)+SUMIFS(T_TTAFStock[TTAF_Qty],T_TTAFStock[RM_Code],$A72,T_TTAFStock[WeekIndex],50),AX72+'Grid_Incoming'!AY72-'Grid_Requirement'!AY72))</f>
        <v/>
      </c>
      <c r="AZ72">
        <f>IF(COUNTIFS(T_StockCount[RM_Code],$A72,T_StockCount[WeekIndex],51)&gt;0,SUMIFS(T_StockCount[CountedQty],T_StockCount[RM_Code],$A72,T_StockCount[WeekIndex],51),IF((COUNTIFS(T_SelfStock[RM_Code],$A72,T_SelfStock[WeekIndex],51)&gt;0)*(COUNTIFS(T_TTAFStock[RM_Code],$A72,T_TTAFStock[WeekIndex],51)&gt;0)&gt;0,SUMIFS(T_SelfStock[Self_Qty],T_SelfStock[RM_Code],$A72,T_SelfStock[WeekIndex],51)+SUMIFS(T_TTAFStock[TTAF_Qty],T_TTAFStock[RM_Code],$A72,T_TTAFStock[WeekIndex],51),AY72+'Grid_Incoming'!AZ72-'Grid_Requirement'!AZ72))</f>
        <v/>
      </c>
      <c r="BA72">
        <f>IF(COUNTIFS(T_StockCount[RM_Code],$A72,T_StockCount[WeekIndex],52)&gt;0,SUMIFS(T_StockCount[CountedQty],T_StockCount[RM_Code],$A72,T_StockCount[WeekIndex],52),IF((COUNTIFS(T_SelfStock[RM_Code],$A72,T_SelfStock[WeekIndex],52)&gt;0)*(COUNTIFS(T_TTAFStock[RM_Code],$A72,T_TTAFStock[WeekIndex],52)&gt;0)&gt;0,SUMIFS(T_SelfStock[Self_Qty],T_SelfStock[RM_Code],$A72,T_SelfStock[WeekIndex],52)+SUMIFS(T_TTAFStock[TTAF_Qty],T_TTAFStock[RM_Code],$A72,T_TTAFStock[WeekIndex],52),AZ72+'Grid_Incoming'!BA72-'Grid_Requirement'!BA72))</f>
        <v/>
      </c>
      <c r="BB72">
        <f>IF(COUNTIFS(T_StockCount[RM_Code],$A72,T_StockCount[WeekIndex],53)&gt;0,SUMIFS(T_StockCount[CountedQty],T_StockCount[RM_Code],$A72,T_StockCount[WeekIndex],53),IF((COUNTIFS(T_SelfStock[RM_Code],$A72,T_SelfStock[WeekIndex],53)&gt;0)*(COUNTIFS(T_TTAFStock[RM_Code],$A72,T_TTAFStock[WeekIndex],53)&gt;0)&gt;0,SUMIFS(T_SelfStock[Self_Qty],T_SelfStock[RM_Code],$A72,T_SelfStock[WeekIndex],53)+SUMIFS(T_TTAFStock[TTAF_Qty],T_TTAFStock[RM_Code],$A72,T_TTAFStock[WeekIndex],53),BA72+'Grid_Incoming'!BB72-'Grid_Requirement'!BB72))</f>
        <v/>
      </c>
      <c r="BC72">
        <f>IF(COUNTIFS(T_StockCount[RM_Code],$A72,T_StockCount[WeekIndex],54)&gt;0,SUMIFS(T_StockCount[CountedQty],T_StockCount[RM_Code],$A72,T_StockCount[WeekIndex],54),IF((COUNTIFS(T_SelfStock[RM_Code],$A72,T_SelfStock[WeekIndex],54)&gt;0)*(COUNTIFS(T_TTAFStock[RM_Code],$A72,T_TTAFStock[WeekIndex],54)&gt;0)&gt;0,SUMIFS(T_SelfStock[Self_Qty],T_SelfStock[RM_Code],$A72,T_SelfStock[WeekIndex],54)+SUMIFS(T_TTAFStock[TTAF_Qty],T_TTAFStock[RM_Code],$A72,T_TTAFStock[WeekIndex],54),BB72+'Grid_Incoming'!BC72-'Grid_Requirement'!BC72))</f>
        <v/>
      </c>
      <c r="BD72">
        <f>IF(COUNTIFS(T_StockCount[RM_Code],$A72,T_StockCount[WeekIndex],55)&gt;0,SUMIFS(T_StockCount[CountedQty],T_StockCount[RM_Code],$A72,T_StockCount[WeekIndex],55),IF((COUNTIFS(T_SelfStock[RM_Code],$A72,T_SelfStock[WeekIndex],55)&gt;0)*(COUNTIFS(T_TTAFStock[RM_Code],$A72,T_TTAFStock[WeekIndex],55)&gt;0)&gt;0,SUMIFS(T_SelfStock[Self_Qty],T_SelfStock[RM_Code],$A72,T_SelfStock[WeekIndex],55)+SUMIFS(T_TTAFStock[TTAF_Qty],T_TTAFStock[RM_Code],$A72,T_TTAFStock[WeekIndex],55),BC72+'Grid_Incoming'!BD72-'Grid_Requirement'!BD72))</f>
        <v/>
      </c>
      <c r="BE72">
        <f>IF(COUNTIFS(T_StockCount[RM_Code],$A72,T_StockCount[WeekIndex],56)&gt;0,SUMIFS(T_StockCount[CountedQty],T_StockCount[RM_Code],$A72,T_StockCount[WeekIndex],56),IF((COUNTIFS(T_SelfStock[RM_Code],$A72,T_SelfStock[WeekIndex],56)&gt;0)*(COUNTIFS(T_TTAFStock[RM_Code],$A72,T_TTAFStock[WeekIndex],56)&gt;0)&gt;0,SUMIFS(T_SelfStock[Self_Qty],T_SelfStock[RM_Code],$A72,T_SelfStock[WeekIndex],56)+SUMIFS(T_TTAFStock[TTAF_Qty],T_TTAFStock[RM_Code],$A72,T_TTAFStock[WeekIndex],56),BD72+'Grid_Incoming'!BE72-'Grid_Requirement'!BE72))</f>
        <v/>
      </c>
      <c r="BF72">
        <f>IF(COUNTIFS(T_StockCount[RM_Code],$A72,T_StockCount[WeekIndex],57)&gt;0,SUMIFS(T_StockCount[CountedQty],T_StockCount[RM_Code],$A72,T_StockCount[WeekIndex],57),IF((COUNTIFS(T_SelfStock[RM_Code],$A72,T_SelfStock[WeekIndex],57)&gt;0)*(COUNTIFS(T_TTAFStock[RM_Code],$A72,T_TTAFStock[WeekIndex],57)&gt;0)&gt;0,SUMIFS(T_SelfStock[Self_Qty],T_SelfStock[RM_Code],$A72,T_SelfStock[WeekIndex],57)+SUMIFS(T_TTAFStock[TTAF_Qty],T_TTAFStock[RM_Code],$A72,T_TTAFStock[WeekIndex],57),BE72+'Grid_Incoming'!BF72-'Grid_Requirement'!BF72))</f>
        <v/>
      </c>
      <c r="BG72">
        <f>IF(COUNTIFS(T_StockCount[RM_Code],$A72,T_StockCount[WeekIndex],58)&gt;0,SUMIFS(T_StockCount[CountedQty],T_StockCount[RM_Code],$A72,T_StockCount[WeekIndex],58),IF((COUNTIFS(T_SelfStock[RM_Code],$A72,T_SelfStock[WeekIndex],58)&gt;0)*(COUNTIFS(T_TTAFStock[RM_Code],$A72,T_TTAFStock[WeekIndex],58)&gt;0)&gt;0,SUMIFS(T_SelfStock[Self_Qty],T_SelfStock[RM_Code],$A72,T_SelfStock[WeekIndex],58)+SUMIFS(T_TTAFStock[TTAF_Qty],T_TTAFStock[RM_Code],$A72,T_TTAFStock[WeekIndex],58),BF72+'Grid_Incoming'!BG72-'Grid_Requirement'!BG72))</f>
        <v/>
      </c>
      <c r="BH72">
        <f>IF(COUNTIFS(T_StockCount[RM_Code],$A72,T_StockCount[WeekIndex],59)&gt;0,SUMIFS(T_StockCount[CountedQty],T_StockCount[RM_Code],$A72,T_StockCount[WeekIndex],59),IF((COUNTIFS(T_SelfStock[RM_Code],$A72,T_SelfStock[WeekIndex],59)&gt;0)*(COUNTIFS(T_TTAFStock[RM_Code],$A72,T_TTAFStock[WeekIndex],59)&gt;0)&gt;0,SUMIFS(T_SelfStock[Self_Qty],T_SelfStock[RM_Code],$A72,T_SelfStock[WeekIndex],59)+SUMIFS(T_TTAFStock[TTAF_Qty],T_TTAFStock[RM_Code],$A72,T_TTAFStock[WeekIndex],59),BG72+'Grid_Incoming'!BH72-'Grid_Requirement'!BH72))</f>
        <v/>
      </c>
      <c r="BI72">
        <f>IF(COUNTIFS(T_StockCount[RM_Code],$A72,T_StockCount[WeekIndex],60)&gt;0,SUMIFS(T_StockCount[CountedQty],T_StockCount[RM_Code],$A72,T_StockCount[WeekIndex],60),IF((COUNTIFS(T_SelfStock[RM_Code],$A72,T_SelfStock[WeekIndex],60)&gt;0)*(COUNTIFS(T_TTAFStock[RM_Code],$A72,T_TTAFStock[WeekIndex],60)&gt;0)&gt;0,SUMIFS(T_SelfStock[Self_Qty],T_SelfStock[RM_Code],$A72,T_SelfStock[WeekIndex],60)+SUMIFS(T_TTAFStock[TTAF_Qty],T_TTAFStock[RM_Code],$A72,T_TTAFStock[WeekIndex],60),BH72+'Grid_Incoming'!BI72-'Grid_Requirement'!BI72))</f>
        <v/>
      </c>
      <c r="BJ72">
        <f>IF(COUNTIFS(T_StockCount[RM_Code],$A72,T_StockCount[WeekIndex],61)&gt;0,SUMIFS(T_StockCount[CountedQty],T_StockCount[RM_Code],$A72,T_StockCount[WeekIndex],61),IF((COUNTIFS(T_SelfStock[RM_Code],$A72,T_SelfStock[WeekIndex],61)&gt;0)*(COUNTIFS(T_TTAFStock[RM_Code],$A72,T_TTAFStock[WeekIndex],61)&gt;0)&gt;0,SUMIFS(T_SelfStock[Self_Qty],T_SelfStock[RM_Code],$A72,T_SelfStock[WeekIndex],61)+SUMIFS(T_TTAFStock[TTAF_Qty],T_TTAFStock[RM_Code],$A72,T_TTAFStock[WeekIndex],61),BI72+'Grid_Incoming'!BJ72-'Grid_Requirement'!BJ72))</f>
        <v/>
      </c>
      <c r="BK72">
        <f>IF(COUNTIFS(T_StockCount[RM_Code],$A72,T_StockCount[WeekIndex],62)&gt;0,SUMIFS(T_StockCount[CountedQty],T_StockCount[RM_Code],$A72,T_StockCount[WeekIndex],62),IF((COUNTIFS(T_SelfStock[RM_Code],$A72,T_SelfStock[WeekIndex],62)&gt;0)*(COUNTIFS(T_TTAFStock[RM_Code],$A72,T_TTAFStock[WeekIndex],62)&gt;0)&gt;0,SUMIFS(T_SelfStock[Self_Qty],T_SelfStock[RM_Code],$A72,T_SelfStock[WeekIndex],62)+SUMIFS(T_TTAFStock[TTAF_Qty],T_TTAFStock[RM_Code],$A72,T_TTAFStock[WeekIndex],62),BJ72+'Grid_Incoming'!BK72-'Grid_Requirement'!BK72))</f>
        <v/>
      </c>
      <c r="BL72">
        <f>IF(COUNTIFS(T_StockCount[RM_Code],$A72,T_StockCount[WeekIndex],63)&gt;0,SUMIFS(T_StockCount[CountedQty],T_StockCount[RM_Code],$A72,T_StockCount[WeekIndex],63),IF((COUNTIFS(T_SelfStock[RM_Code],$A72,T_SelfStock[WeekIndex],63)&gt;0)*(COUNTIFS(T_TTAFStock[RM_Code],$A72,T_TTAFStock[WeekIndex],63)&gt;0)&gt;0,SUMIFS(T_SelfStock[Self_Qty],T_SelfStock[RM_Code],$A72,T_SelfStock[WeekIndex],63)+SUMIFS(T_TTAFStock[TTAF_Qty],T_TTAFStock[RM_Code],$A72,T_TTAFStock[WeekIndex],63),BK72+'Grid_Incoming'!BL72-'Grid_Requirement'!BL72))</f>
        <v/>
      </c>
      <c r="BM72">
        <f>IF(COUNTIFS(T_StockCount[RM_Code],$A72,T_StockCount[WeekIndex],64)&gt;0,SUMIFS(T_StockCount[CountedQty],T_StockCount[RM_Code],$A72,T_StockCount[WeekIndex],64),IF((COUNTIFS(T_SelfStock[RM_Code],$A72,T_SelfStock[WeekIndex],64)&gt;0)*(COUNTIFS(T_TTAFStock[RM_Code],$A72,T_TTAFStock[WeekIndex],64)&gt;0)&gt;0,SUMIFS(T_SelfStock[Self_Qty],T_SelfStock[RM_Code],$A72,T_SelfStock[WeekIndex],64)+SUMIFS(T_TTAFStock[TTAF_Qty],T_TTAFStock[RM_Code],$A72,T_TTAFStock[WeekIndex],64),BL72+'Grid_Incoming'!BM72-'Grid_Requirement'!BM72))</f>
        <v/>
      </c>
      <c r="BN72">
        <f>IF(COUNTIFS(T_StockCount[RM_Code],$A72,T_StockCount[WeekIndex],65)&gt;0,SUMIFS(T_StockCount[CountedQty],T_StockCount[RM_Code],$A72,T_StockCount[WeekIndex],65),IF((COUNTIFS(T_SelfStock[RM_Code],$A72,T_SelfStock[WeekIndex],65)&gt;0)*(COUNTIFS(T_TTAFStock[RM_Code],$A72,T_TTAFStock[WeekIndex],65)&gt;0)&gt;0,SUMIFS(T_SelfStock[Self_Qty],T_SelfStock[RM_Code],$A72,T_SelfStock[WeekIndex],65)+SUMIFS(T_TTAFStock[TTAF_Qty],T_TTAFStock[RM_Code],$A72,T_TTAFStock[WeekIndex],65),BM72+'Grid_Incoming'!BN72-'Grid_Requirement'!BN72))</f>
        <v/>
      </c>
      <c r="BO72">
        <f>IF(COUNTIFS(T_StockCount[RM_Code],$A72,T_StockCount[WeekIndex],66)&gt;0,SUMIFS(T_StockCount[CountedQty],T_StockCount[RM_Code],$A72,T_StockCount[WeekIndex],66),IF((COUNTIFS(T_SelfStock[RM_Code],$A72,T_SelfStock[WeekIndex],66)&gt;0)*(COUNTIFS(T_TTAFStock[RM_Code],$A72,T_TTAFStock[WeekIndex],66)&gt;0)&gt;0,SUMIFS(T_SelfStock[Self_Qty],T_SelfStock[RM_Code],$A72,T_SelfStock[WeekIndex],66)+SUMIFS(T_TTAFStock[TTAF_Qty],T_TTAFStock[RM_Code],$A72,T_TTAFStock[WeekIndex],66),BN72+'Grid_Incoming'!BO72-'Grid_Requirement'!BO72))</f>
        <v/>
      </c>
      <c r="BP72">
        <f>IF(COUNTIFS(T_StockCount[RM_Code],$A72,T_StockCount[WeekIndex],67)&gt;0,SUMIFS(T_StockCount[CountedQty],T_StockCount[RM_Code],$A72,T_StockCount[WeekIndex],67),IF((COUNTIFS(T_SelfStock[RM_Code],$A72,T_SelfStock[WeekIndex],67)&gt;0)*(COUNTIFS(T_TTAFStock[RM_Code],$A72,T_TTAFStock[WeekIndex],67)&gt;0)&gt;0,SUMIFS(T_SelfStock[Self_Qty],T_SelfStock[RM_Code],$A72,T_SelfStock[WeekIndex],67)+SUMIFS(T_TTAFStock[TTAF_Qty],T_TTAFStock[RM_Code],$A72,T_TTAFStock[WeekIndex],67),BO72+'Grid_Incoming'!BP72-'Grid_Requirement'!BP72))</f>
        <v/>
      </c>
      <c r="BQ72">
        <f>IF(COUNTIFS(T_StockCount[RM_Code],$A72,T_StockCount[WeekIndex],68)&gt;0,SUMIFS(T_StockCount[CountedQty],T_StockCount[RM_Code],$A72,T_StockCount[WeekIndex],68),IF((COUNTIFS(T_SelfStock[RM_Code],$A72,T_SelfStock[WeekIndex],68)&gt;0)*(COUNTIFS(T_TTAFStock[RM_Code],$A72,T_TTAFStock[WeekIndex],68)&gt;0)&gt;0,SUMIFS(T_SelfStock[Self_Qty],T_SelfStock[RM_Code],$A72,T_SelfStock[WeekIndex],68)+SUMIFS(T_TTAFStock[TTAF_Qty],T_TTAFStock[RM_Code],$A72,T_TTAFStock[WeekIndex],68),BP72+'Grid_Incoming'!BQ72-'Grid_Requirement'!BQ72))</f>
        <v/>
      </c>
      <c r="BR72">
        <f>IF(COUNTIFS(T_StockCount[RM_Code],$A72,T_StockCount[WeekIndex],69)&gt;0,SUMIFS(T_StockCount[CountedQty],T_StockCount[RM_Code],$A72,T_StockCount[WeekIndex],69),IF((COUNTIFS(T_SelfStock[RM_Code],$A72,T_SelfStock[WeekIndex],69)&gt;0)*(COUNTIFS(T_TTAFStock[RM_Code],$A72,T_TTAFStock[WeekIndex],69)&gt;0)&gt;0,SUMIFS(T_SelfStock[Self_Qty],T_SelfStock[RM_Code],$A72,T_SelfStock[WeekIndex],69)+SUMIFS(T_TTAFStock[TTAF_Qty],T_TTAFStock[RM_Code],$A72,T_TTAFStock[WeekIndex],69),BQ72+'Grid_Incoming'!BR72-'Grid_Requirement'!BR72))</f>
        <v/>
      </c>
      <c r="BS72">
        <f>IF(COUNTIFS(T_StockCount[RM_Code],$A72,T_StockCount[WeekIndex],70)&gt;0,SUMIFS(T_StockCount[CountedQty],T_StockCount[RM_Code],$A72,T_StockCount[WeekIndex],70),IF((COUNTIFS(T_SelfStock[RM_Code],$A72,T_SelfStock[WeekIndex],70)&gt;0)*(COUNTIFS(T_TTAFStock[RM_Code],$A72,T_TTAFStock[WeekIndex],70)&gt;0)&gt;0,SUMIFS(T_SelfStock[Self_Qty],T_SelfStock[RM_Code],$A72,T_SelfStock[WeekIndex],70)+SUMIFS(T_TTAFStock[TTAF_Qty],T_TTAFStock[RM_Code],$A72,T_TTAFStock[WeekIndex],70),BR72+'Grid_Incoming'!BS72-'Grid_Requirement'!BS72))</f>
        <v/>
      </c>
      <c r="BT72">
        <f>IF(COUNTIFS(T_StockCount[RM_Code],$A72,T_StockCount[WeekIndex],71)&gt;0,SUMIFS(T_StockCount[CountedQty],T_StockCount[RM_Code],$A72,T_StockCount[WeekIndex],71),IF((COUNTIFS(T_SelfStock[RM_Code],$A72,T_SelfStock[WeekIndex],71)&gt;0)*(COUNTIFS(T_TTAFStock[RM_Code],$A72,T_TTAFStock[WeekIndex],71)&gt;0)&gt;0,SUMIFS(T_SelfStock[Self_Qty],T_SelfStock[RM_Code],$A72,T_SelfStock[WeekIndex],71)+SUMIFS(T_TTAFStock[TTAF_Qty],T_TTAFStock[RM_Code],$A72,T_TTAFStock[WeekIndex],71),BS72+'Grid_Incoming'!BT72-'Grid_Requirement'!BT72))</f>
        <v/>
      </c>
      <c r="BU72">
        <f>IF(COUNTIFS(T_StockCount[RM_Code],$A72,T_StockCount[WeekIndex],72)&gt;0,SUMIFS(T_StockCount[CountedQty],T_StockCount[RM_Code],$A72,T_StockCount[WeekIndex],72),IF((COUNTIFS(T_SelfStock[RM_Code],$A72,T_SelfStock[WeekIndex],72)&gt;0)*(COUNTIFS(T_TTAFStock[RM_Code],$A72,T_TTAFStock[WeekIndex],72)&gt;0)&gt;0,SUMIFS(T_SelfStock[Self_Qty],T_SelfStock[RM_Code],$A72,T_SelfStock[WeekIndex],72)+SUMIFS(T_TTAFStock[TTAF_Qty],T_TTAFStock[RM_Code],$A72,T_TTAFStock[WeekIndex],72),BT72+'Grid_Incoming'!BU72-'Grid_Requirement'!BU72))</f>
        <v/>
      </c>
      <c r="BV72">
        <f>IF(COUNTIFS(T_StockCount[RM_Code],$A72,T_StockCount[WeekIndex],73)&gt;0,SUMIFS(T_StockCount[CountedQty],T_StockCount[RM_Code],$A72,T_StockCount[WeekIndex],73),IF((COUNTIFS(T_SelfStock[RM_Code],$A72,T_SelfStock[WeekIndex],73)&gt;0)*(COUNTIFS(T_TTAFStock[RM_Code],$A72,T_TTAFStock[WeekIndex],73)&gt;0)&gt;0,SUMIFS(T_SelfStock[Self_Qty],T_SelfStock[RM_Code],$A72,T_SelfStock[WeekIndex],73)+SUMIFS(T_TTAFStock[TTAF_Qty],T_TTAFStock[RM_Code],$A72,T_TTAFStock[WeekIndex],73),BU72+'Grid_Incoming'!BV72-'Grid_Requirement'!BV72))</f>
        <v/>
      </c>
      <c r="BW72">
        <f>IF(COUNTIFS(T_StockCount[RM_Code],$A72,T_StockCount[WeekIndex],74)&gt;0,SUMIFS(T_StockCount[CountedQty],T_StockCount[RM_Code],$A72,T_StockCount[WeekIndex],74),IF((COUNTIFS(T_SelfStock[RM_Code],$A72,T_SelfStock[WeekIndex],74)&gt;0)*(COUNTIFS(T_TTAFStock[RM_Code],$A72,T_TTAFStock[WeekIndex],74)&gt;0)&gt;0,SUMIFS(T_SelfStock[Self_Qty],T_SelfStock[RM_Code],$A72,T_SelfStock[WeekIndex],74)+SUMIFS(T_TTAFStock[TTAF_Qty],T_TTAFStock[RM_Code],$A72,T_TTAFStock[WeekIndex],74),BV72+'Grid_Incoming'!BW72-'Grid_Requirement'!BW72))</f>
        <v/>
      </c>
      <c r="BX72">
        <f>IF(COUNTIFS(T_StockCount[RM_Code],$A72,T_StockCount[WeekIndex],75)&gt;0,SUMIFS(T_StockCount[CountedQty],T_StockCount[RM_Code],$A72,T_StockCount[WeekIndex],75),IF((COUNTIFS(T_SelfStock[RM_Code],$A72,T_SelfStock[WeekIndex],75)&gt;0)*(COUNTIFS(T_TTAFStock[RM_Code],$A72,T_TTAFStock[WeekIndex],75)&gt;0)&gt;0,SUMIFS(T_SelfStock[Self_Qty],T_SelfStock[RM_Code],$A72,T_SelfStock[WeekIndex],75)+SUMIFS(T_TTAFStock[TTAF_Qty],T_TTAFStock[RM_Code],$A72,T_TTAFStock[WeekIndex],75),BW72+'Grid_Incoming'!BX72-'Grid_Requirement'!BX72))</f>
        <v/>
      </c>
      <c r="BY72">
        <f>IF(COUNTIFS(T_StockCount[RM_Code],$A72,T_StockCount[WeekIndex],76)&gt;0,SUMIFS(T_StockCount[CountedQty],T_StockCount[RM_Code],$A72,T_StockCount[WeekIndex],76),IF((COUNTIFS(T_SelfStock[RM_Code],$A72,T_SelfStock[WeekIndex],76)&gt;0)*(COUNTIFS(T_TTAFStock[RM_Code],$A72,T_TTAFStock[WeekIndex],76)&gt;0)&gt;0,SUMIFS(T_SelfStock[Self_Qty],T_SelfStock[RM_Code],$A72,T_SelfStock[WeekIndex],76)+SUMIFS(T_TTAFStock[TTAF_Qty],T_TTAFStock[RM_Code],$A72,T_TTAFStock[WeekIndex],76),BX72+'Grid_Incoming'!BY72-'Grid_Requirement'!BY72))</f>
        <v/>
      </c>
      <c r="BZ72">
        <f>IF(COUNTIFS(T_StockCount[RM_Code],$A72,T_StockCount[WeekIndex],77)&gt;0,SUMIFS(T_StockCount[CountedQty],T_StockCount[RM_Code],$A72,T_StockCount[WeekIndex],77),IF((COUNTIFS(T_SelfStock[RM_Code],$A72,T_SelfStock[WeekIndex],77)&gt;0)*(COUNTIFS(T_TTAFStock[RM_Code],$A72,T_TTAFStock[WeekIndex],77)&gt;0)&gt;0,SUMIFS(T_SelfStock[Self_Qty],T_SelfStock[RM_Code],$A72,T_SelfStock[WeekIndex],77)+SUMIFS(T_TTAFStock[TTAF_Qty],T_TTAFStock[RM_Code],$A72,T_TTAFStock[WeekIndex],77),BY72+'Grid_Incoming'!BZ72-'Grid_Requirement'!BZ72))</f>
        <v/>
      </c>
      <c r="CA72">
        <f>IF(COUNTIFS(T_StockCount[RM_Code],$A72,T_StockCount[WeekIndex],78)&gt;0,SUMIFS(T_StockCount[CountedQty],T_StockCount[RM_Code],$A72,T_StockCount[WeekIndex],78),IF((COUNTIFS(T_SelfStock[RM_Code],$A72,T_SelfStock[WeekIndex],78)&gt;0)*(COUNTIFS(T_TTAFStock[RM_Code],$A72,T_TTAFStock[WeekIndex],78)&gt;0)&gt;0,SUMIFS(T_SelfStock[Self_Qty],T_SelfStock[RM_Code],$A72,T_SelfStock[WeekIndex],78)+SUMIFS(T_TTAFStock[TTAF_Qty],T_TTAFStock[RM_Code],$A72,T_TTAFStock[WeekIndex],78),BZ72+'Grid_Incoming'!CA72-'Grid_Requirement'!CA72))</f>
        <v/>
      </c>
      <c r="CB72">
        <f>IF(COUNTIFS(T_StockCount[RM_Code],$A72,T_StockCount[WeekIndex],79)&gt;0,SUMIFS(T_StockCount[CountedQty],T_StockCount[RM_Code],$A72,T_StockCount[WeekIndex],79),IF((COUNTIFS(T_SelfStock[RM_Code],$A72,T_SelfStock[WeekIndex],79)&gt;0)*(COUNTIFS(T_TTAFStock[RM_Code],$A72,T_TTAFStock[WeekIndex],79)&gt;0)&gt;0,SUMIFS(T_SelfStock[Self_Qty],T_SelfStock[RM_Code],$A72,T_SelfStock[WeekIndex],79)+SUMIFS(T_TTAFStock[TTAF_Qty],T_TTAFStock[RM_Code],$A72,T_TTAFStock[WeekIndex],79),CA72+'Grid_Incoming'!CB72-'Grid_Requirement'!CB72))</f>
        <v/>
      </c>
      <c r="CC72">
        <f>IF(COUNTIFS(T_StockCount[RM_Code],$A72,T_StockCount[WeekIndex],80)&gt;0,SUMIFS(T_StockCount[CountedQty],T_StockCount[RM_Code],$A72,T_StockCount[WeekIndex],80),IF((COUNTIFS(T_SelfStock[RM_Code],$A72,T_SelfStock[WeekIndex],80)&gt;0)*(COUNTIFS(T_TTAFStock[RM_Code],$A72,T_TTAFStock[WeekIndex],80)&gt;0)&gt;0,SUMIFS(T_SelfStock[Self_Qty],T_SelfStock[RM_Code],$A72,T_SelfStock[WeekIndex],80)+SUMIFS(T_TTAFStock[TTAF_Qty],T_TTAFStock[RM_Code],$A72,T_TTAFStock[WeekIndex],80),CB72+'Grid_Incoming'!CC72-'Grid_Requirement'!CC72))</f>
        <v/>
      </c>
      <c r="CD72">
        <f>IF(COUNTIFS(T_StockCount[RM_Code],$A72,T_StockCount[WeekIndex],81)&gt;0,SUMIFS(T_StockCount[CountedQty],T_StockCount[RM_Code],$A72,T_StockCount[WeekIndex],81),IF((COUNTIFS(T_SelfStock[RM_Code],$A72,T_SelfStock[WeekIndex],81)&gt;0)*(COUNTIFS(T_TTAFStock[RM_Code],$A72,T_TTAFStock[WeekIndex],81)&gt;0)&gt;0,SUMIFS(T_SelfStock[Self_Qty],T_SelfStock[RM_Code],$A72,T_SelfStock[WeekIndex],81)+SUMIFS(T_TTAFStock[TTAF_Qty],T_TTAFStock[RM_Code],$A72,T_TTAFStock[WeekIndex],81),CC72+'Grid_Incoming'!CD72-'Grid_Requirement'!CD72))</f>
        <v/>
      </c>
      <c r="CE72">
        <f>IF(COUNTIFS(T_StockCount[RM_Code],$A72,T_StockCount[WeekIndex],82)&gt;0,SUMIFS(T_StockCount[CountedQty],T_StockCount[RM_Code],$A72,T_StockCount[WeekIndex],82),IF((COUNTIFS(T_SelfStock[RM_Code],$A72,T_SelfStock[WeekIndex],82)&gt;0)*(COUNTIFS(T_TTAFStock[RM_Code],$A72,T_TTAFStock[WeekIndex],82)&gt;0)&gt;0,SUMIFS(T_SelfStock[Self_Qty],T_SelfStock[RM_Code],$A72,T_SelfStock[WeekIndex],82)+SUMIFS(T_TTAFStock[TTAF_Qty],T_TTAFStock[RM_Code],$A72,T_TTAFStock[WeekIndex],82),CD72+'Grid_Incoming'!CE72-'Grid_Requirement'!CE72))</f>
        <v/>
      </c>
      <c r="CF72">
        <f>IF(COUNTIFS(T_StockCount[RM_Code],$A72,T_StockCount[WeekIndex],83)&gt;0,SUMIFS(T_StockCount[CountedQty],T_StockCount[RM_Code],$A72,T_StockCount[WeekIndex],83),IF((COUNTIFS(T_SelfStock[RM_Code],$A72,T_SelfStock[WeekIndex],83)&gt;0)*(COUNTIFS(T_TTAFStock[RM_Code],$A72,T_TTAFStock[WeekIndex],83)&gt;0)&gt;0,SUMIFS(T_SelfStock[Self_Qty],T_SelfStock[RM_Code],$A72,T_SelfStock[WeekIndex],83)+SUMIFS(T_TTAFStock[TTAF_Qty],T_TTAFStock[RM_Code],$A72,T_TTAFStock[WeekIndex],83),CE72+'Grid_Incoming'!CF72-'Grid_Requirement'!CF72))</f>
        <v/>
      </c>
      <c r="CG72">
        <f>IF(COUNTIFS(T_StockCount[RM_Code],$A72,T_StockCount[WeekIndex],84)&gt;0,SUMIFS(T_StockCount[CountedQty],T_StockCount[RM_Code],$A72,T_StockCount[WeekIndex],84),IF((COUNTIFS(T_SelfStock[RM_Code],$A72,T_SelfStock[WeekIndex],84)&gt;0)*(COUNTIFS(T_TTAFStock[RM_Code],$A72,T_TTAFStock[WeekIndex],84)&gt;0)&gt;0,SUMIFS(T_SelfStock[Self_Qty],T_SelfStock[RM_Code],$A72,T_SelfStock[WeekIndex],84)+SUMIFS(T_TTAFStock[TTAF_Qty],T_TTAFStock[RM_Code],$A72,T_TTAFStock[WeekIndex],84),CF72+'Grid_Incoming'!CG72-'Grid_Requirement'!CG72))</f>
        <v/>
      </c>
      <c r="CH72">
        <f>IF(COUNTIFS(T_StockCount[RM_Code],$A72,T_StockCount[WeekIndex],85)&gt;0,SUMIFS(T_StockCount[CountedQty],T_StockCount[RM_Code],$A72,T_StockCount[WeekIndex],85),IF((COUNTIFS(T_SelfStock[RM_Code],$A72,T_SelfStock[WeekIndex],85)&gt;0)*(COUNTIFS(T_TTAFStock[RM_Code],$A72,T_TTAFStock[WeekIndex],85)&gt;0)&gt;0,SUMIFS(T_SelfStock[Self_Qty],T_SelfStock[RM_Code],$A72,T_SelfStock[WeekIndex],85)+SUMIFS(T_TTAFStock[TTAF_Qty],T_TTAFStock[RM_Code],$A72,T_TTAFStock[WeekIndex],85),CG72+'Grid_Incoming'!CH72-'Grid_Requirement'!CH72))</f>
        <v/>
      </c>
      <c r="CI72">
        <f>IF(COUNTIFS(T_StockCount[RM_Code],$A72,T_StockCount[WeekIndex],86)&gt;0,SUMIFS(T_StockCount[CountedQty],T_StockCount[RM_Code],$A72,T_StockCount[WeekIndex],86),IF((COUNTIFS(T_SelfStock[RM_Code],$A72,T_SelfStock[WeekIndex],86)&gt;0)*(COUNTIFS(T_TTAFStock[RM_Code],$A72,T_TTAFStock[WeekIndex],86)&gt;0)&gt;0,SUMIFS(T_SelfStock[Self_Qty],T_SelfStock[RM_Code],$A72,T_SelfStock[WeekIndex],86)+SUMIFS(T_TTAFStock[TTAF_Qty],T_TTAFStock[RM_Code],$A72,T_TTAFStock[WeekIndex],86),CH72+'Grid_Incoming'!CI72-'Grid_Requirement'!CI72))</f>
        <v/>
      </c>
      <c r="CJ72">
        <f>IF(COUNTIFS(T_StockCount[RM_Code],$A72,T_StockCount[WeekIndex],87)&gt;0,SUMIFS(T_StockCount[CountedQty],T_StockCount[RM_Code],$A72,T_StockCount[WeekIndex],87),IF((COUNTIFS(T_SelfStock[RM_Code],$A72,T_SelfStock[WeekIndex],87)&gt;0)*(COUNTIFS(T_TTAFStock[RM_Code],$A72,T_TTAFStock[WeekIndex],87)&gt;0)&gt;0,SUMIFS(T_SelfStock[Self_Qty],T_SelfStock[RM_Code],$A72,T_SelfStock[WeekIndex],87)+SUMIFS(T_TTAFStock[TTAF_Qty],T_TTAFStock[RM_Code],$A72,T_TTAFStock[WeekIndex],87),CI72+'Grid_Incoming'!CJ72-'Grid_Requirement'!CJ72))</f>
        <v/>
      </c>
      <c r="CK72">
        <f>IF(COUNTIFS(T_StockCount[RM_Code],$A72,T_StockCount[WeekIndex],88)&gt;0,SUMIFS(T_StockCount[CountedQty],T_StockCount[RM_Code],$A72,T_StockCount[WeekIndex],88),IF((COUNTIFS(T_SelfStock[RM_Code],$A72,T_SelfStock[WeekIndex],88)&gt;0)*(COUNTIFS(T_TTAFStock[RM_Code],$A72,T_TTAFStock[WeekIndex],88)&gt;0)&gt;0,SUMIFS(T_SelfStock[Self_Qty],T_SelfStock[RM_Code],$A72,T_SelfStock[WeekIndex],88)+SUMIFS(T_TTAFStock[TTAF_Qty],T_TTAFStock[RM_Code],$A72,T_TTAFStock[WeekIndex],88),CJ72+'Grid_Incoming'!CK72-'Grid_Requirement'!CK72))</f>
        <v/>
      </c>
      <c r="CL72">
        <f>IF(COUNTIFS(T_StockCount[RM_Code],$A72,T_StockCount[WeekIndex],89)&gt;0,SUMIFS(T_StockCount[CountedQty],T_StockCount[RM_Code],$A72,T_StockCount[WeekIndex],89),IF((COUNTIFS(T_SelfStock[RM_Code],$A72,T_SelfStock[WeekIndex],89)&gt;0)*(COUNTIFS(T_TTAFStock[RM_Code],$A72,T_TTAFStock[WeekIndex],89)&gt;0)&gt;0,SUMIFS(T_SelfStock[Self_Qty],T_SelfStock[RM_Code],$A72,T_SelfStock[WeekIndex],89)+SUMIFS(T_TTAFStock[TTAF_Qty],T_TTAFStock[RM_Code],$A72,T_TTAFStock[WeekIndex],89),CK72+'Grid_Incoming'!CL72-'Grid_Requirement'!CL72))</f>
        <v/>
      </c>
      <c r="CM72">
        <f>IF(COUNTIFS(T_StockCount[RM_Code],$A72,T_StockCount[WeekIndex],90)&gt;0,SUMIFS(T_StockCount[CountedQty],T_StockCount[RM_Code],$A72,T_StockCount[WeekIndex],90),IF((COUNTIFS(T_SelfStock[RM_Code],$A72,T_SelfStock[WeekIndex],90)&gt;0)*(COUNTIFS(T_TTAFStock[RM_Code],$A72,T_TTAFStock[WeekIndex],90)&gt;0)&gt;0,SUMIFS(T_SelfStock[Self_Qty],T_SelfStock[RM_Code],$A72,T_SelfStock[WeekIndex],90)+SUMIFS(T_TTAFStock[TTAF_Qty],T_TTAFStock[RM_Code],$A72,T_TTAFStock[WeekIndex],90),CL72+'Grid_Incoming'!CM72-'Grid_Requirement'!CM72))</f>
        <v/>
      </c>
      <c r="CN72">
        <f>IF(COUNTIFS(T_StockCount[RM_Code],$A72,T_StockCount[WeekIndex],91)&gt;0,SUMIFS(T_StockCount[CountedQty],T_StockCount[RM_Code],$A72,T_StockCount[WeekIndex],91),IF((COUNTIFS(T_SelfStock[RM_Code],$A72,T_SelfStock[WeekIndex],91)&gt;0)*(COUNTIFS(T_TTAFStock[RM_Code],$A72,T_TTAFStock[WeekIndex],91)&gt;0)&gt;0,SUMIFS(T_SelfStock[Self_Qty],T_SelfStock[RM_Code],$A72,T_SelfStock[WeekIndex],91)+SUMIFS(T_TTAFStock[TTAF_Qty],T_TTAFStock[RM_Code],$A72,T_TTAFStock[WeekIndex],91),CM72+'Grid_Incoming'!CN72-'Grid_Requirement'!CN72))</f>
        <v/>
      </c>
      <c r="CO72">
        <f>IF(COUNTIFS(T_StockCount[RM_Code],$A72,T_StockCount[WeekIndex],92)&gt;0,SUMIFS(T_StockCount[CountedQty],T_StockCount[RM_Code],$A72,T_StockCount[WeekIndex],92),IF((COUNTIFS(T_SelfStock[RM_Code],$A72,T_SelfStock[WeekIndex],92)&gt;0)*(COUNTIFS(T_TTAFStock[RM_Code],$A72,T_TTAFStock[WeekIndex],92)&gt;0)&gt;0,SUMIFS(T_SelfStock[Self_Qty],T_SelfStock[RM_Code],$A72,T_SelfStock[WeekIndex],92)+SUMIFS(T_TTAFStock[TTAF_Qty],T_TTAFStock[RM_Code],$A72,T_TTAFStock[WeekIndex],92),CN72+'Grid_Incoming'!CO72-'Grid_Requirement'!CO72))</f>
        <v/>
      </c>
      <c r="CP72">
        <f>IF(COUNTIFS(T_StockCount[RM_Code],$A72,T_StockCount[WeekIndex],93)&gt;0,SUMIFS(T_StockCount[CountedQty],T_StockCount[RM_Code],$A72,T_StockCount[WeekIndex],93),IF((COUNTIFS(T_SelfStock[RM_Code],$A72,T_SelfStock[WeekIndex],93)&gt;0)*(COUNTIFS(T_TTAFStock[RM_Code],$A72,T_TTAFStock[WeekIndex],93)&gt;0)&gt;0,SUMIFS(T_SelfStock[Self_Qty],T_SelfStock[RM_Code],$A72,T_SelfStock[WeekIndex],93)+SUMIFS(T_TTAFStock[TTAF_Qty],T_TTAFStock[RM_Code],$A72,T_TTAFStock[WeekIndex],93),CO72+'Grid_Incoming'!CP72-'Grid_Requirement'!CP72))</f>
        <v/>
      </c>
      <c r="CQ72">
        <f>IF(COUNTIFS(T_StockCount[RM_Code],$A72,T_StockCount[WeekIndex],94)&gt;0,SUMIFS(T_StockCount[CountedQty],T_StockCount[RM_Code],$A72,T_StockCount[WeekIndex],94),IF((COUNTIFS(T_SelfStock[RM_Code],$A72,T_SelfStock[WeekIndex],94)&gt;0)*(COUNTIFS(T_TTAFStock[RM_Code],$A72,T_TTAFStock[WeekIndex],94)&gt;0)&gt;0,SUMIFS(T_SelfStock[Self_Qty],T_SelfStock[RM_Code],$A72,T_SelfStock[WeekIndex],94)+SUMIFS(T_TTAFStock[TTAF_Qty],T_TTAFStock[RM_Code],$A72,T_TTAFStock[WeekIndex],94),CP72+'Grid_Incoming'!CQ72-'Grid_Requirement'!CQ72))</f>
        <v/>
      </c>
      <c r="CR72">
        <f>IF(COUNTIFS(T_StockCount[RM_Code],$A72,T_StockCount[WeekIndex],95)&gt;0,SUMIFS(T_StockCount[CountedQty],T_StockCount[RM_Code],$A72,T_StockCount[WeekIndex],95),IF((COUNTIFS(T_SelfStock[RM_Code],$A72,T_SelfStock[WeekIndex],95)&gt;0)*(COUNTIFS(T_TTAFStock[RM_Code],$A72,T_TTAFStock[WeekIndex],95)&gt;0)&gt;0,SUMIFS(T_SelfStock[Self_Qty],T_SelfStock[RM_Code],$A72,T_SelfStock[WeekIndex],95)+SUMIFS(T_TTAFStock[TTAF_Qty],T_TTAFStock[RM_Code],$A72,T_TTAFStock[WeekIndex],95),CQ72+'Grid_Incoming'!CR72-'Grid_Requirement'!CR72))</f>
        <v/>
      </c>
      <c r="CS72">
        <f>IF(COUNTIFS(T_StockCount[RM_Code],$A72,T_StockCount[WeekIndex],96)&gt;0,SUMIFS(T_StockCount[CountedQty],T_StockCount[RM_Code],$A72,T_StockCount[WeekIndex],96),IF((COUNTIFS(T_SelfStock[RM_Code],$A72,T_SelfStock[WeekIndex],96)&gt;0)*(COUNTIFS(T_TTAFStock[RM_Code],$A72,T_TTAFStock[WeekIndex],96)&gt;0)&gt;0,SUMIFS(T_SelfStock[Self_Qty],T_SelfStock[RM_Code],$A72,T_SelfStock[WeekIndex],96)+SUMIFS(T_TTAFStock[TTAF_Qty],T_TTAFStock[RM_Code],$A72,T_TTAFStock[WeekIndex],96),CR72+'Grid_Incoming'!CS72-'Grid_Requirement'!CS72))</f>
        <v/>
      </c>
      <c r="CT72">
        <f>IF(COUNTIFS(T_StockCount[RM_Code],$A72,T_StockCount[WeekIndex],97)&gt;0,SUMIFS(T_StockCount[CountedQty],T_StockCount[RM_Code],$A72,T_StockCount[WeekIndex],97),IF((COUNTIFS(T_SelfStock[RM_Code],$A72,T_SelfStock[WeekIndex],97)&gt;0)*(COUNTIFS(T_TTAFStock[RM_Code],$A72,T_TTAFStock[WeekIndex],97)&gt;0)&gt;0,SUMIFS(T_SelfStock[Self_Qty],T_SelfStock[RM_Code],$A72,T_SelfStock[WeekIndex],97)+SUMIFS(T_TTAFStock[TTAF_Qty],T_TTAFStock[RM_Code],$A72,T_TTAFStock[WeekIndex],97),CS72+'Grid_Incoming'!CT72-'Grid_Requirement'!CT72))</f>
        <v/>
      </c>
      <c r="CU72">
        <f>IF(COUNTIFS(T_StockCount[RM_Code],$A72,T_StockCount[WeekIndex],98)&gt;0,SUMIFS(T_StockCount[CountedQty],T_StockCount[RM_Code],$A72,T_StockCount[WeekIndex],98),IF((COUNTIFS(T_SelfStock[RM_Code],$A72,T_SelfStock[WeekIndex],98)&gt;0)*(COUNTIFS(T_TTAFStock[RM_Code],$A72,T_TTAFStock[WeekIndex],98)&gt;0)&gt;0,SUMIFS(T_SelfStock[Self_Qty],T_SelfStock[RM_Code],$A72,T_SelfStock[WeekIndex],98)+SUMIFS(T_TTAFStock[TTAF_Qty],T_TTAFStock[RM_Code],$A72,T_TTAFStock[WeekIndex],98),CT72+'Grid_Incoming'!CU72-'Grid_Requirement'!CU72))</f>
        <v/>
      </c>
      <c r="CV72">
        <f>IF(COUNTIFS(T_StockCount[RM_Code],$A72,T_StockCount[WeekIndex],99)&gt;0,SUMIFS(T_StockCount[CountedQty],T_StockCount[RM_Code],$A72,T_StockCount[WeekIndex],99),IF((COUNTIFS(T_SelfStock[RM_Code],$A72,T_SelfStock[WeekIndex],99)&gt;0)*(COUNTIFS(T_TTAFStock[RM_Code],$A72,T_TTAFStock[WeekIndex],99)&gt;0)&gt;0,SUMIFS(T_SelfStock[Self_Qty],T_SelfStock[RM_Code],$A72,T_SelfStock[WeekIndex],99)+SUMIFS(T_TTAFStock[TTAF_Qty],T_TTAFStock[RM_Code],$A72,T_TTAFStock[WeekIndex],99),CU72+'Grid_Incoming'!CV72-'Grid_Requirement'!CV72))</f>
        <v/>
      </c>
      <c r="CW72">
        <f>IF(COUNTIFS(T_StockCount[RM_Code],$A72,T_StockCount[WeekIndex],100)&gt;0,SUMIFS(T_StockCount[CountedQty],T_StockCount[RM_Code],$A72,T_StockCount[WeekIndex],100),IF((COUNTIFS(T_SelfStock[RM_Code],$A72,T_SelfStock[WeekIndex],100)&gt;0)*(COUNTIFS(T_TTAFStock[RM_Code],$A72,T_TTAFStock[WeekIndex],100)&gt;0)&gt;0,SUMIFS(T_SelfStock[Self_Qty],T_SelfStock[RM_Code],$A72,T_SelfStock[WeekIndex],100)+SUMIFS(T_TTAFStock[TTAF_Qty],T_TTAFStock[RM_Code],$A72,T_TTAFStock[WeekIndex],100),CV72+'Grid_Incoming'!CW72-'Grid_Requirement'!CW72))</f>
        <v/>
      </c>
      <c r="CX72">
        <f>IF(COUNTIFS(T_StockCount[RM_Code],$A72,T_StockCount[WeekIndex],101)&gt;0,SUMIFS(T_StockCount[CountedQty],T_StockCount[RM_Code],$A72,T_StockCount[WeekIndex],101),IF((COUNTIFS(T_SelfStock[RM_Code],$A72,T_SelfStock[WeekIndex],101)&gt;0)*(COUNTIFS(T_TTAFStock[RM_Code],$A72,T_TTAFStock[WeekIndex],101)&gt;0)&gt;0,SUMIFS(T_SelfStock[Self_Qty],T_SelfStock[RM_Code],$A72,T_SelfStock[WeekIndex],101)+SUMIFS(T_TTAFStock[TTAF_Qty],T_TTAFStock[RM_Code],$A72,T_TTAFStock[WeekIndex],101),CW72+'Grid_Incoming'!CX72-'Grid_Requirement'!CX72))</f>
        <v/>
      </c>
      <c r="CY72">
        <f>IF(COUNTIFS(T_StockCount[RM_Code],$A72,T_StockCount[WeekIndex],102)&gt;0,SUMIFS(T_StockCount[CountedQty],T_StockCount[RM_Code],$A72,T_StockCount[WeekIndex],102),IF((COUNTIFS(T_SelfStock[RM_Code],$A72,T_SelfStock[WeekIndex],102)&gt;0)*(COUNTIFS(T_TTAFStock[RM_Code],$A72,T_TTAFStock[WeekIndex],102)&gt;0)&gt;0,SUMIFS(T_SelfStock[Self_Qty],T_SelfStock[RM_Code],$A72,T_SelfStock[WeekIndex],102)+SUMIFS(T_TTAFStock[TTAF_Qty],T_TTAFStock[RM_Code],$A72,T_TTAFStock[WeekIndex],102),CX72+'Grid_Incoming'!CY72-'Grid_Requirement'!CY72))</f>
        <v/>
      </c>
      <c r="CZ72">
        <f>IF(COUNTIFS(T_StockCount[RM_Code],$A72,T_StockCount[WeekIndex],103)&gt;0,SUMIFS(T_StockCount[CountedQty],T_StockCount[RM_Code],$A72,T_StockCount[WeekIndex],103),IF((COUNTIFS(T_SelfStock[RM_Code],$A72,T_SelfStock[WeekIndex],103)&gt;0)*(COUNTIFS(T_TTAFStock[RM_Code],$A72,T_TTAFStock[WeekIndex],103)&gt;0)&gt;0,SUMIFS(T_SelfStock[Self_Qty],T_SelfStock[RM_Code],$A72,T_SelfStock[WeekIndex],103)+SUMIFS(T_TTAFStock[TTAF_Qty],T_TTAFStock[RM_Code],$A72,T_TTAFStock[WeekIndex],103),CY72+'Grid_Incoming'!CZ72-'Grid_Requirement'!CZ72))</f>
        <v/>
      </c>
      <c r="DA72">
        <f>IF(COUNTIFS(T_StockCount[RM_Code],$A72,T_StockCount[WeekIndex],104)&gt;0,SUMIFS(T_StockCount[CountedQty],T_StockCount[RM_Code],$A72,T_StockCount[WeekIndex],104),IF((COUNTIFS(T_SelfStock[RM_Code],$A72,T_SelfStock[WeekIndex],104)&gt;0)*(COUNTIFS(T_TTAFStock[RM_Code],$A72,T_TTAFStock[WeekIndex],104)&gt;0)&gt;0,SUMIFS(T_SelfStock[Self_Qty],T_SelfStock[RM_Code],$A72,T_SelfStock[WeekIndex],104)+SUMIFS(T_TTAFStock[TTAF_Qty],T_TTAFStock[RM_Code],$A72,T_TTAFStock[WeekIndex],104),CZ72+'Grid_Incoming'!DA72-'Grid_Requirement'!DA72))</f>
        <v/>
      </c>
    </row>
    <row r="73">
      <c r="A73" t="inlineStr">
        <is>
          <t>846227</t>
        </is>
      </c>
      <c r="B73">
        <f>IF(COUNTIFS(T_StockCount[RM_Code],$A73,T_StockCount[WeekIndex],1)&gt;0,SUMIFS(T_StockCount[CountedQty],T_StockCount[RM_Code],$A73,T_StockCount[WeekIndex],1),IF((COUNTIFS(T_SelfStock[RM_Code],$A73,T_SelfStock[WeekIndex],1)&gt;0)*(COUNTIFS(T_TTAFStock[RM_Code],$A73,T_TTAFStock[WeekIndex],1)&gt;0)&gt;0,SUMIFS(T_SelfStock[Self_Qty],T_SelfStock[RM_Code],$A73,T_SelfStock[WeekIndex],1)+SUMIFS(T_TTAFStock[TTAF_Qty],T_TTAFStock[RM_Code],$A73,T_TTAFStock[WeekIndex],1),IFERROR(INDEX(T_OpeningStock[Opening_Qty],MATCH($A73,T_OpeningStock[RM_Code],0)),0)+'Grid_Incoming'!B73-'Grid_Requirement'!B73))</f>
        <v/>
      </c>
      <c r="C73">
        <f>IF(COUNTIFS(T_StockCount[RM_Code],$A73,T_StockCount[WeekIndex],2)&gt;0,SUMIFS(T_StockCount[CountedQty],T_StockCount[RM_Code],$A73,T_StockCount[WeekIndex],2),IF((COUNTIFS(T_SelfStock[RM_Code],$A73,T_SelfStock[WeekIndex],2)&gt;0)*(COUNTIFS(T_TTAFStock[RM_Code],$A73,T_TTAFStock[WeekIndex],2)&gt;0)&gt;0,SUMIFS(T_SelfStock[Self_Qty],T_SelfStock[RM_Code],$A73,T_SelfStock[WeekIndex],2)+SUMIFS(T_TTAFStock[TTAF_Qty],T_TTAFStock[RM_Code],$A73,T_TTAFStock[WeekIndex],2),B73+'Grid_Incoming'!C73-'Grid_Requirement'!C73))</f>
        <v/>
      </c>
      <c r="D73">
        <f>IF(COUNTIFS(T_StockCount[RM_Code],$A73,T_StockCount[WeekIndex],3)&gt;0,SUMIFS(T_StockCount[CountedQty],T_StockCount[RM_Code],$A73,T_StockCount[WeekIndex],3),IF((COUNTIFS(T_SelfStock[RM_Code],$A73,T_SelfStock[WeekIndex],3)&gt;0)*(COUNTIFS(T_TTAFStock[RM_Code],$A73,T_TTAFStock[WeekIndex],3)&gt;0)&gt;0,SUMIFS(T_SelfStock[Self_Qty],T_SelfStock[RM_Code],$A73,T_SelfStock[WeekIndex],3)+SUMIFS(T_TTAFStock[TTAF_Qty],T_TTAFStock[RM_Code],$A73,T_TTAFStock[WeekIndex],3),C73+'Grid_Incoming'!D73-'Grid_Requirement'!D73))</f>
        <v/>
      </c>
      <c r="E73">
        <f>IF(COUNTIFS(T_StockCount[RM_Code],$A73,T_StockCount[WeekIndex],4)&gt;0,SUMIFS(T_StockCount[CountedQty],T_StockCount[RM_Code],$A73,T_StockCount[WeekIndex],4),IF((COUNTIFS(T_SelfStock[RM_Code],$A73,T_SelfStock[WeekIndex],4)&gt;0)*(COUNTIFS(T_TTAFStock[RM_Code],$A73,T_TTAFStock[WeekIndex],4)&gt;0)&gt;0,SUMIFS(T_SelfStock[Self_Qty],T_SelfStock[RM_Code],$A73,T_SelfStock[WeekIndex],4)+SUMIFS(T_TTAFStock[TTAF_Qty],T_TTAFStock[RM_Code],$A73,T_TTAFStock[WeekIndex],4),D73+'Grid_Incoming'!E73-'Grid_Requirement'!E73))</f>
        <v/>
      </c>
      <c r="F73">
        <f>IF(COUNTIFS(T_StockCount[RM_Code],$A73,T_StockCount[WeekIndex],5)&gt;0,SUMIFS(T_StockCount[CountedQty],T_StockCount[RM_Code],$A73,T_StockCount[WeekIndex],5),IF((COUNTIFS(T_SelfStock[RM_Code],$A73,T_SelfStock[WeekIndex],5)&gt;0)*(COUNTIFS(T_TTAFStock[RM_Code],$A73,T_TTAFStock[WeekIndex],5)&gt;0)&gt;0,SUMIFS(T_SelfStock[Self_Qty],T_SelfStock[RM_Code],$A73,T_SelfStock[WeekIndex],5)+SUMIFS(T_TTAFStock[TTAF_Qty],T_TTAFStock[RM_Code],$A73,T_TTAFStock[WeekIndex],5),E73+'Grid_Incoming'!F73-'Grid_Requirement'!F73))</f>
        <v/>
      </c>
      <c r="G73">
        <f>IF(COUNTIFS(T_StockCount[RM_Code],$A73,T_StockCount[WeekIndex],6)&gt;0,SUMIFS(T_StockCount[CountedQty],T_StockCount[RM_Code],$A73,T_StockCount[WeekIndex],6),IF((COUNTIFS(T_SelfStock[RM_Code],$A73,T_SelfStock[WeekIndex],6)&gt;0)*(COUNTIFS(T_TTAFStock[RM_Code],$A73,T_TTAFStock[WeekIndex],6)&gt;0)&gt;0,SUMIFS(T_SelfStock[Self_Qty],T_SelfStock[RM_Code],$A73,T_SelfStock[WeekIndex],6)+SUMIFS(T_TTAFStock[TTAF_Qty],T_TTAFStock[RM_Code],$A73,T_TTAFStock[WeekIndex],6),F73+'Grid_Incoming'!G73-'Grid_Requirement'!G73))</f>
        <v/>
      </c>
      <c r="H73">
        <f>IF(COUNTIFS(T_StockCount[RM_Code],$A73,T_StockCount[WeekIndex],7)&gt;0,SUMIFS(T_StockCount[CountedQty],T_StockCount[RM_Code],$A73,T_StockCount[WeekIndex],7),IF((COUNTIFS(T_SelfStock[RM_Code],$A73,T_SelfStock[WeekIndex],7)&gt;0)*(COUNTIFS(T_TTAFStock[RM_Code],$A73,T_TTAFStock[WeekIndex],7)&gt;0)&gt;0,SUMIFS(T_SelfStock[Self_Qty],T_SelfStock[RM_Code],$A73,T_SelfStock[WeekIndex],7)+SUMIFS(T_TTAFStock[TTAF_Qty],T_TTAFStock[RM_Code],$A73,T_TTAFStock[WeekIndex],7),G73+'Grid_Incoming'!H73-'Grid_Requirement'!H73))</f>
        <v/>
      </c>
      <c r="I73">
        <f>IF(COUNTIFS(T_StockCount[RM_Code],$A73,T_StockCount[WeekIndex],8)&gt;0,SUMIFS(T_StockCount[CountedQty],T_StockCount[RM_Code],$A73,T_StockCount[WeekIndex],8),IF((COUNTIFS(T_SelfStock[RM_Code],$A73,T_SelfStock[WeekIndex],8)&gt;0)*(COUNTIFS(T_TTAFStock[RM_Code],$A73,T_TTAFStock[WeekIndex],8)&gt;0)&gt;0,SUMIFS(T_SelfStock[Self_Qty],T_SelfStock[RM_Code],$A73,T_SelfStock[WeekIndex],8)+SUMIFS(T_TTAFStock[TTAF_Qty],T_TTAFStock[RM_Code],$A73,T_TTAFStock[WeekIndex],8),H73+'Grid_Incoming'!I73-'Grid_Requirement'!I73))</f>
        <v/>
      </c>
      <c r="J73">
        <f>IF(COUNTIFS(T_StockCount[RM_Code],$A73,T_StockCount[WeekIndex],9)&gt;0,SUMIFS(T_StockCount[CountedQty],T_StockCount[RM_Code],$A73,T_StockCount[WeekIndex],9),IF((COUNTIFS(T_SelfStock[RM_Code],$A73,T_SelfStock[WeekIndex],9)&gt;0)*(COUNTIFS(T_TTAFStock[RM_Code],$A73,T_TTAFStock[WeekIndex],9)&gt;0)&gt;0,SUMIFS(T_SelfStock[Self_Qty],T_SelfStock[RM_Code],$A73,T_SelfStock[WeekIndex],9)+SUMIFS(T_TTAFStock[TTAF_Qty],T_TTAFStock[RM_Code],$A73,T_TTAFStock[WeekIndex],9),I73+'Grid_Incoming'!J73-'Grid_Requirement'!J73))</f>
        <v/>
      </c>
      <c r="K73">
        <f>IF(COUNTIFS(T_StockCount[RM_Code],$A73,T_StockCount[WeekIndex],10)&gt;0,SUMIFS(T_StockCount[CountedQty],T_StockCount[RM_Code],$A73,T_StockCount[WeekIndex],10),IF((COUNTIFS(T_SelfStock[RM_Code],$A73,T_SelfStock[WeekIndex],10)&gt;0)*(COUNTIFS(T_TTAFStock[RM_Code],$A73,T_TTAFStock[WeekIndex],10)&gt;0)&gt;0,SUMIFS(T_SelfStock[Self_Qty],T_SelfStock[RM_Code],$A73,T_SelfStock[WeekIndex],10)+SUMIFS(T_TTAFStock[TTAF_Qty],T_TTAFStock[RM_Code],$A73,T_TTAFStock[WeekIndex],10),J73+'Grid_Incoming'!K73-'Grid_Requirement'!K73))</f>
        <v/>
      </c>
      <c r="L73">
        <f>IF(COUNTIFS(T_StockCount[RM_Code],$A73,T_StockCount[WeekIndex],11)&gt;0,SUMIFS(T_StockCount[CountedQty],T_StockCount[RM_Code],$A73,T_StockCount[WeekIndex],11),IF((COUNTIFS(T_SelfStock[RM_Code],$A73,T_SelfStock[WeekIndex],11)&gt;0)*(COUNTIFS(T_TTAFStock[RM_Code],$A73,T_TTAFStock[WeekIndex],11)&gt;0)&gt;0,SUMIFS(T_SelfStock[Self_Qty],T_SelfStock[RM_Code],$A73,T_SelfStock[WeekIndex],11)+SUMIFS(T_TTAFStock[TTAF_Qty],T_TTAFStock[RM_Code],$A73,T_TTAFStock[WeekIndex],11),K73+'Grid_Incoming'!L73-'Grid_Requirement'!L73))</f>
        <v/>
      </c>
      <c r="M73">
        <f>IF(COUNTIFS(T_StockCount[RM_Code],$A73,T_StockCount[WeekIndex],12)&gt;0,SUMIFS(T_StockCount[CountedQty],T_StockCount[RM_Code],$A73,T_StockCount[WeekIndex],12),IF((COUNTIFS(T_SelfStock[RM_Code],$A73,T_SelfStock[WeekIndex],12)&gt;0)*(COUNTIFS(T_TTAFStock[RM_Code],$A73,T_TTAFStock[WeekIndex],12)&gt;0)&gt;0,SUMIFS(T_SelfStock[Self_Qty],T_SelfStock[RM_Code],$A73,T_SelfStock[WeekIndex],12)+SUMIFS(T_TTAFStock[TTAF_Qty],T_TTAFStock[RM_Code],$A73,T_TTAFStock[WeekIndex],12),L73+'Grid_Incoming'!M73-'Grid_Requirement'!M73))</f>
        <v/>
      </c>
      <c r="N73">
        <f>IF(COUNTIFS(T_StockCount[RM_Code],$A73,T_StockCount[WeekIndex],13)&gt;0,SUMIFS(T_StockCount[CountedQty],T_StockCount[RM_Code],$A73,T_StockCount[WeekIndex],13),IF((COUNTIFS(T_SelfStock[RM_Code],$A73,T_SelfStock[WeekIndex],13)&gt;0)*(COUNTIFS(T_TTAFStock[RM_Code],$A73,T_TTAFStock[WeekIndex],13)&gt;0)&gt;0,SUMIFS(T_SelfStock[Self_Qty],T_SelfStock[RM_Code],$A73,T_SelfStock[WeekIndex],13)+SUMIFS(T_TTAFStock[TTAF_Qty],T_TTAFStock[RM_Code],$A73,T_TTAFStock[WeekIndex],13),M73+'Grid_Incoming'!N73-'Grid_Requirement'!N73))</f>
        <v/>
      </c>
      <c r="O73">
        <f>IF(COUNTIFS(T_StockCount[RM_Code],$A73,T_StockCount[WeekIndex],14)&gt;0,SUMIFS(T_StockCount[CountedQty],T_StockCount[RM_Code],$A73,T_StockCount[WeekIndex],14),IF((COUNTIFS(T_SelfStock[RM_Code],$A73,T_SelfStock[WeekIndex],14)&gt;0)*(COUNTIFS(T_TTAFStock[RM_Code],$A73,T_TTAFStock[WeekIndex],14)&gt;0)&gt;0,SUMIFS(T_SelfStock[Self_Qty],T_SelfStock[RM_Code],$A73,T_SelfStock[WeekIndex],14)+SUMIFS(T_TTAFStock[TTAF_Qty],T_TTAFStock[RM_Code],$A73,T_TTAFStock[WeekIndex],14),N73+'Grid_Incoming'!O73-'Grid_Requirement'!O73))</f>
        <v/>
      </c>
      <c r="P73">
        <f>IF(COUNTIFS(T_StockCount[RM_Code],$A73,T_StockCount[WeekIndex],15)&gt;0,SUMIFS(T_StockCount[CountedQty],T_StockCount[RM_Code],$A73,T_StockCount[WeekIndex],15),IF((COUNTIFS(T_SelfStock[RM_Code],$A73,T_SelfStock[WeekIndex],15)&gt;0)*(COUNTIFS(T_TTAFStock[RM_Code],$A73,T_TTAFStock[WeekIndex],15)&gt;0)&gt;0,SUMIFS(T_SelfStock[Self_Qty],T_SelfStock[RM_Code],$A73,T_SelfStock[WeekIndex],15)+SUMIFS(T_TTAFStock[TTAF_Qty],T_TTAFStock[RM_Code],$A73,T_TTAFStock[WeekIndex],15),O73+'Grid_Incoming'!P73-'Grid_Requirement'!P73))</f>
        <v/>
      </c>
      <c r="Q73">
        <f>IF(COUNTIFS(T_StockCount[RM_Code],$A73,T_StockCount[WeekIndex],16)&gt;0,SUMIFS(T_StockCount[CountedQty],T_StockCount[RM_Code],$A73,T_StockCount[WeekIndex],16),IF((COUNTIFS(T_SelfStock[RM_Code],$A73,T_SelfStock[WeekIndex],16)&gt;0)*(COUNTIFS(T_TTAFStock[RM_Code],$A73,T_TTAFStock[WeekIndex],16)&gt;0)&gt;0,SUMIFS(T_SelfStock[Self_Qty],T_SelfStock[RM_Code],$A73,T_SelfStock[WeekIndex],16)+SUMIFS(T_TTAFStock[TTAF_Qty],T_TTAFStock[RM_Code],$A73,T_TTAFStock[WeekIndex],16),P73+'Grid_Incoming'!Q73-'Grid_Requirement'!Q73))</f>
        <v/>
      </c>
      <c r="R73">
        <f>IF(COUNTIFS(T_StockCount[RM_Code],$A73,T_StockCount[WeekIndex],17)&gt;0,SUMIFS(T_StockCount[CountedQty],T_StockCount[RM_Code],$A73,T_StockCount[WeekIndex],17),IF((COUNTIFS(T_SelfStock[RM_Code],$A73,T_SelfStock[WeekIndex],17)&gt;0)*(COUNTIFS(T_TTAFStock[RM_Code],$A73,T_TTAFStock[WeekIndex],17)&gt;0)&gt;0,SUMIFS(T_SelfStock[Self_Qty],T_SelfStock[RM_Code],$A73,T_SelfStock[WeekIndex],17)+SUMIFS(T_TTAFStock[TTAF_Qty],T_TTAFStock[RM_Code],$A73,T_TTAFStock[WeekIndex],17),Q73+'Grid_Incoming'!R73-'Grid_Requirement'!R73))</f>
        <v/>
      </c>
      <c r="S73">
        <f>IF(COUNTIFS(T_StockCount[RM_Code],$A73,T_StockCount[WeekIndex],18)&gt;0,SUMIFS(T_StockCount[CountedQty],T_StockCount[RM_Code],$A73,T_StockCount[WeekIndex],18),IF((COUNTIFS(T_SelfStock[RM_Code],$A73,T_SelfStock[WeekIndex],18)&gt;0)*(COUNTIFS(T_TTAFStock[RM_Code],$A73,T_TTAFStock[WeekIndex],18)&gt;0)&gt;0,SUMIFS(T_SelfStock[Self_Qty],T_SelfStock[RM_Code],$A73,T_SelfStock[WeekIndex],18)+SUMIFS(T_TTAFStock[TTAF_Qty],T_TTAFStock[RM_Code],$A73,T_TTAFStock[WeekIndex],18),R73+'Grid_Incoming'!S73-'Grid_Requirement'!S73))</f>
        <v/>
      </c>
      <c r="T73">
        <f>IF(COUNTIFS(T_StockCount[RM_Code],$A73,T_StockCount[WeekIndex],19)&gt;0,SUMIFS(T_StockCount[CountedQty],T_StockCount[RM_Code],$A73,T_StockCount[WeekIndex],19),IF((COUNTIFS(T_SelfStock[RM_Code],$A73,T_SelfStock[WeekIndex],19)&gt;0)*(COUNTIFS(T_TTAFStock[RM_Code],$A73,T_TTAFStock[WeekIndex],19)&gt;0)&gt;0,SUMIFS(T_SelfStock[Self_Qty],T_SelfStock[RM_Code],$A73,T_SelfStock[WeekIndex],19)+SUMIFS(T_TTAFStock[TTAF_Qty],T_TTAFStock[RM_Code],$A73,T_TTAFStock[WeekIndex],19),S73+'Grid_Incoming'!T73-'Grid_Requirement'!T73))</f>
        <v/>
      </c>
      <c r="U73">
        <f>IF(COUNTIFS(T_StockCount[RM_Code],$A73,T_StockCount[WeekIndex],20)&gt;0,SUMIFS(T_StockCount[CountedQty],T_StockCount[RM_Code],$A73,T_StockCount[WeekIndex],20),IF((COUNTIFS(T_SelfStock[RM_Code],$A73,T_SelfStock[WeekIndex],20)&gt;0)*(COUNTIFS(T_TTAFStock[RM_Code],$A73,T_TTAFStock[WeekIndex],20)&gt;0)&gt;0,SUMIFS(T_SelfStock[Self_Qty],T_SelfStock[RM_Code],$A73,T_SelfStock[WeekIndex],20)+SUMIFS(T_TTAFStock[TTAF_Qty],T_TTAFStock[RM_Code],$A73,T_TTAFStock[WeekIndex],20),T73+'Grid_Incoming'!U73-'Grid_Requirement'!U73))</f>
        <v/>
      </c>
      <c r="V73">
        <f>IF(COUNTIFS(T_StockCount[RM_Code],$A73,T_StockCount[WeekIndex],21)&gt;0,SUMIFS(T_StockCount[CountedQty],T_StockCount[RM_Code],$A73,T_StockCount[WeekIndex],21),IF((COUNTIFS(T_SelfStock[RM_Code],$A73,T_SelfStock[WeekIndex],21)&gt;0)*(COUNTIFS(T_TTAFStock[RM_Code],$A73,T_TTAFStock[WeekIndex],21)&gt;0)&gt;0,SUMIFS(T_SelfStock[Self_Qty],T_SelfStock[RM_Code],$A73,T_SelfStock[WeekIndex],21)+SUMIFS(T_TTAFStock[TTAF_Qty],T_TTAFStock[RM_Code],$A73,T_TTAFStock[WeekIndex],21),U73+'Grid_Incoming'!V73-'Grid_Requirement'!V73))</f>
        <v/>
      </c>
      <c r="W73">
        <f>IF(COUNTIFS(T_StockCount[RM_Code],$A73,T_StockCount[WeekIndex],22)&gt;0,SUMIFS(T_StockCount[CountedQty],T_StockCount[RM_Code],$A73,T_StockCount[WeekIndex],22),IF((COUNTIFS(T_SelfStock[RM_Code],$A73,T_SelfStock[WeekIndex],22)&gt;0)*(COUNTIFS(T_TTAFStock[RM_Code],$A73,T_TTAFStock[WeekIndex],22)&gt;0)&gt;0,SUMIFS(T_SelfStock[Self_Qty],T_SelfStock[RM_Code],$A73,T_SelfStock[WeekIndex],22)+SUMIFS(T_TTAFStock[TTAF_Qty],T_TTAFStock[RM_Code],$A73,T_TTAFStock[WeekIndex],22),V73+'Grid_Incoming'!W73-'Grid_Requirement'!W73))</f>
        <v/>
      </c>
      <c r="X73">
        <f>IF(COUNTIFS(T_StockCount[RM_Code],$A73,T_StockCount[WeekIndex],23)&gt;0,SUMIFS(T_StockCount[CountedQty],T_StockCount[RM_Code],$A73,T_StockCount[WeekIndex],23),IF((COUNTIFS(T_SelfStock[RM_Code],$A73,T_SelfStock[WeekIndex],23)&gt;0)*(COUNTIFS(T_TTAFStock[RM_Code],$A73,T_TTAFStock[WeekIndex],23)&gt;0)&gt;0,SUMIFS(T_SelfStock[Self_Qty],T_SelfStock[RM_Code],$A73,T_SelfStock[WeekIndex],23)+SUMIFS(T_TTAFStock[TTAF_Qty],T_TTAFStock[RM_Code],$A73,T_TTAFStock[WeekIndex],23),W73+'Grid_Incoming'!X73-'Grid_Requirement'!X73))</f>
        <v/>
      </c>
      <c r="Y73">
        <f>IF(COUNTIFS(T_StockCount[RM_Code],$A73,T_StockCount[WeekIndex],24)&gt;0,SUMIFS(T_StockCount[CountedQty],T_StockCount[RM_Code],$A73,T_StockCount[WeekIndex],24),IF((COUNTIFS(T_SelfStock[RM_Code],$A73,T_SelfStock[WeekIndex],24)&gt;0)*(COUNTIFS(T_TTAFStock[RM_Code],$A73,T_TTAFStock[WeekIndex],24)&gt;0)&gt;0,SUMIFS(T_SelfStock[Self_Qty],T_SelfStock[RM_Code],$A73,T_SelfStock[WeekIndex],24)+SUMIFS(T_TTAFStock[TTAF_Qty],T_TTAFStock[RM_Code],$A73,T_TTAFStock[WeekIndex],24),X73+'Grid_Incoming'!Y73-'Grid_Requirement'!Y73))</f>
        <v/>
      </c>
      <c r="Z73">
        <f>IF(COUNTIFS(T_StockCount[RM_Code],$A73,T_StockCount[WeekIndex],25)&gt;0,SUMIFS(T_StockCount[CountedQty],T_StockCount[RM_Code],$A73,T_StockCount[WeekIndex],25),IF((COUNTIFS(T_SelfStock[RM_Code],$A73,T_SelfStock[WeekIndex],25)&gt;0)*(COUNTIFS(T_TTAFStock[RM_Code],$A73,T_TTAFStock[WeekIndex],25)&gt;0)&gt;0,SUMIFS(T_SelfStock[Self_Qty],T_SelfStock[RM_Code],$A73,T_SelfStock[WeekIndex],25)+SUMIFS(T_TTAFStock[TTAF_Qty],T_TTAFStock[RM_Code],$A73,T_TTAFStock[WeekIndex],25),Y73+'Grid_Incoming'!Z73-'Grid_Requirement'!Z73))</f>
        <v/>
      </c>
      <c r="AA73">
        <f>IF(COUNTIFS(T_StockCount[RM_Code],$A73,T_StockCount[WeekIndex],26)&gt;0,SUMIFS(T_StockCount[CountedQty],T_StockCount[RM_Code],$A73,T_StockCount[WeekIndex],26),IF((COUNTIFS(T_SelfStock[RM_Code],$A73,T_SelfStock[WeekIndex],26)&gt;0)*(COUNTIFS(T_TTAFStock[RM_Code],$A73,T_TTAFStock[WeekIndex],26)&gt;0)&gt;0,SUMIFS(T_SelfStock[Self_Qty],T_SelfStock[RM_Code],$A73,T_SelfStock[WeekIndex],26)+SUMIFS(T_TTAFStock[TTAF_Qty],T_TTAFStock[RM_Code],$A73,T_TTAFStock[WeekIndex],26),Z73+'Grid_Incoming'!AA73-'Grid_Requirement'!AA73))</f>
        <v/>
      </c>
      <c r="AB73">
        <f>IF(COUNTIFS(T_StockCount[RM_Code],$A73,T_StockCount[WeekIndex],27)&gt;0,SUMIFS(T_StockCount[CountedQty],T_StockCount[RM_Code],$A73,T_StockCount[WeekIndex],27),IF((COUNTIFS(T_SelfStock[RM_Code],$A73,T_SelfStock[WeekIndex],27)&gt;0)*(COUNTIFS(T_TTAFStock[RM_Code],$A73,T_TTAFStock[WeekIndex],27)&gt;0)&gt;0,SUMIFS(T_SelfStock[Self_Qty],T_SelfStock[RM_Code],$A73,T_SelfStock[WeekIndex],27)+SUMIFS(T_TTAFStock[TTAF_Qty],T_TTAFStock[RM_Code],$A73,T_TTAFStock[WeekIndex],27),AA73+'Grid_Incoming'!AB73-'Grid_Requirement'!AB73))</f>
        <v/>
      </c>
      <c r="AC73">
        <f>IF(COUNTIFS(T_StockCount[RM_Code],$A73,T_StockCount[WeekIndex],28)&gt;0,SUMIFS(T_StockCount[CountedQty],T_StockCount[RM_Code],$A73,T_StockCount[WeekIndex],28),IF((COUNTIFS(T_SelfStock[RM_Code],$A73,T_SelfStock[WeekIndex],28)&gt;0)*(COUNTIFS(T_TTAFStock[RM_Code],$A73,T_TTAFStock[WeekIndex],28)&gt;0)&gt;0,SUMIFS(T_SelfStock[Self_Qty],T_SelfStock[RM_Code],$A73,T_SelfStock[WeekIndex],28)+SUMIFS(T_TTAFStock[TTAF_Qty],T_TTAFStock[RM_Code],$A73,T_TTAFStock[WeekIndex],28),AB73+'Grid_Incoming'!AC73-'Grid_Requirement'!AC73))</f>
        <v/>
      </c>
      <c r="AD73">
        <f>IF(COUNTIFS(T_StockCount[RM_Code],$A73,T_StockCount[WeekIndex],29)&gt;0,SUMIFS(T_StockCount[CountedQty],T_StockCount[RM_Code],$A73,T_StockCount[WeekIndex],29),IF((COUNTIFS(T_SelfStock[RM_Code],$A73,T_SelfStock[WeekIndex],29)&gt;0)*(COUNTIFS(T_TTAFStock[RM_Code],$A73,T_TTAFStock[WeekIndex],29)&gt;0)&gt;0,SUMIFS(T_SelfStock[Self_Qty],T_SelfStock[RM_Code],$A73,T_SelfStock[WeekIndex],29)+SUMIFS(T_TTAFStock[TTAF_Qty],T_TTAFStock[RM_Code],$A73,T_TTAFStock[WeekIndex],29),AC73+'Grid_Incoming'!AD73-'Grid_Requirement'!AD73))</f>
        <v/>
      </c>
      <c r="AE73">
        <f>IF(COUNTIFS(T_StockCount[RM_Code],$A73,T_StockCount[WeekIndex],30)&gt;0,SUMIFS(T_StockCount[CountedQty],T_StockCount[RM_Code],$A73,T_StockCount[WeekIndex],30),IF((COUNTIFS(T_SelfStock[RM_Code],$A73,T_SelfStock[WeekIndex],30)&gt;0)*(COUNTIFS(T_TTAFStock[RM_Code],$A73,T_TTAFStock[WeekIndex],30)&gt;0)&gt;0,SUMIFS(T_SelfStock[Self_Qty],T_SelfStock[RM_Code],$A73,T_SelfStock[WeekIndex],30)+SUMIFS(T_TTAFStock[TTAF_Qty],T_TTAFStock[RM_Code],$A73,T_TTAFStock[WeekIndex],30),AD73+'Grid_Incoming'!AE73-'Grid_Requirement'!AE73))</f>
        <v/>
      </c>
      <c r="AF73">
        <f>IF(COUNTIFS(T_StockCount[RM_Code],$A73,T_StockCount[WeekIndex],31)&gt;0,SUMIFS(T_StockCount[CountedQty],T_StockCount[RM_Code],$A73,T_StockCount[WeekIndex],31),IF((COUNTIFS(T_SelfStock[RM_Code],$A73,T_SelfStock[WeekIndex],31)&gt;0)*(COUNTIFS(T_TTAFStock[RM_Code],$A73,T_TTAFStock[WeekIndex],31)&gt;0)&gt;0,SUMIFS(T_SelfStock[Self_Qty],T_SelfStock[RM_Code],$A73,T_SelfStock[WeekIndex],31)+SUMIFS(T_TTAFStock[TTAF_Qty],T_TTAFStock[RM_Code],$A73,T_TTAFStock[WeekIndex],31),AE73+'Grid_Incoming'!AF73-'Grid_Requirement'!AF73))</f>
        <v/>
      </c>
      <c r="AG73">
        <f>IF(COUNTIFS(T_StockCount[RM_Code],$A73,T_StockCount[WeekIndex],32)&gt;0,SUMIFS(T_StockCount[CountedQty],T_StockCount[RM_Code],$A73,T_StockCount[WeekIndex],32),IF((COUNTIFS(T_SelfStock[RM_Code],$A73,T_SelfStock[WeekIndex],32)&gt;0)*(COUNTIFS(T_TTAFStock[RM_Code],$A73,T_TTAFStock[WeekIndex],32)&gt;0)&gt;0,SUMIFS(T_SelfStock[Self_Qty],T_SelfStock[RM_Code],$A73,T_SelfStock[WeekIndex],32)+SUMIFS(T_TTAFStock[TTAF_Qty],T_TTAFStock[RM_Code],$A73,T_TTAFStock[WeekIndex],32),AF73+'Grid_Incoming'!AG73-'Grid_Requirement'!AG73))</f>
        <v/>
      </c>
      <c r="AH73">
        <f>IF(COUNTIFS(T_StockCount[RM_Code],$A73,T_StockCount[WeekIndex],33)&gt;0,SUMIFS(T_StockCount[CountedQty],T_StockCount[RM_Code],$A73,T_StockCount[WeekIndex],33),IF((COUNTIFS(T_SelfStock[RM_Code],$A73,T_SelfStock[WeekIndex],33)&gt;0)*(COUNTIFS(T_TTAFStock[RM_Code],$A73,T_TTAFStock[WeekIndex],33)&gt;0)&gt;0,SUMIFS(T_SelfStock[Self_Qty],T_SelfStock[RM_Code],$A73,T_SelfStock[WeekIndex],33)+SUMIFS(T_TTAFStock[TTAF_Qty],T_TTAFStock[RM_Code],$A73,T_TTAFStock[WeekIndex],33),AG73+'Grid_Incoming'!AH73-'Grid_Requirement'!AH73))</f>
        <v/>
      </c>
      <c r="AI73">
        <f>IF(COUNTIFS(T_StockCount[RM_Code],$A73,T_StockCount[WeekIndex],34)&gt;0,SUMIFS(T_StockCount[CountedQty],T_StockCount[RM_Code],$A73,T_StockCount[WeekIndex],34),IF((COUNTIFS(T_SelfStock[RM_Code],$A73,T_SelfStock[WeekIndex],34)&gt;0)*(COUNTIFS(T_TTAFStock[RM_Code],$A73,T_TTAFStock[WeekIndex],34)&gt;0)&gt;0,SUMIFS(T_SelfStock[Self_Qty],T_SelfStock[RM_Code],$A73,T_SelfStock[WeekIndex],34)+SUMIFS(T_TTAFStock[TTAF_Qty],T_TTAFStock[RM_Code],$A73,T_TTAFStock[WeekIndex],34),AH73+'Grid_Incoming'!AI73-'Grid_Requirement'!AI73))</f>
        <v/>
      </c>
      <c r="AJ73">
        <f>IF(COUNTIFS(T_StockCount[RM_Code],$A73,T_StockCount[WeekIndex],35)&gt;0,SUMIFS(T_StockCount[CountedQty],T_StockCount[RM_Code],$A73,T_StockCount[WeekIndex],35),IF((COUNTIFS(T_SelfStock[RM_Code],$A73,T_SelfStock[WeekIndex],35)&gt;0)*(COUNTIFS(T_TTAFStock[RM_Code],$A73,T_TTAFStock[WeekIndex],35)&gt;0)&gt;0,SUMIFS(T_SelfStock[Self_Qty],T_SelfStock[RM_Code],$A73,T_SelfStock[WeekIndex],35)+SUMIFS(T_TTAFStock[TTAF_Qty],T_TTAFStock[RM_Code],$A73,T_TTAFStock[WeekIndex],35),AI73+'Grid_Incoming'!AJ73-'Grid_Requirement'!AJ73))</f>
        <v/>
      </c>
      <c r="AK73">
        <f>IF(COUNTIFS(T_StockCount[RM_Code],$A73,T_StockCount[WeekIndex],36)&gt;0,SUMIFS(T_StockCount[CountedQty],T_StockCount[RM_Code],$A73,T_StockCount[WeekIndex],36),IF((COUNTIFS(T_SelfStock[RM_Code],$A73,T_SelfStock[WeekIndex],36)&gt;0)*(COUNTIFS(T_TTAFStock[RM_Code],$A73,T_TTAFStock[WeekIndex],36)&gt;0)&gt;0,SUMIFS(T_SelfStock[Self_Qty],T_SelfStock[RM_Code],$A73,T_SelfStock[WeekIndex],36)+SUMIFS(T_TTAFStock[TTAF_Qty],T_TTAFStock[RM_Code],$A73,T_TTAFStock[WeekIndex],36),AJ73+'Grid_Incoming'!AK73-'Grid_Requirement'!AK73))</f>
        <v/>
      </c>
      <c r="AL73">
        <f>IF(COUNTIFS(T_StockCount[RM_Code],$A73,T_StockCount[WeekIndex],37)&gt;0,SUMIFS(T_StockCount[CountedQty],T_StockCount[RM_Code],$A73,T_StockCount[WeekIndex],37),IF((COUNTIFS(T_SelfStock[RM_Code],$A73,T_SelfStock[WeekIndex],37)&gt;0)*(COUNTIFS(T_TTAFStock[RM_Code],$A73,T_TTAFStock[WeekIndex],37)&gt;0)&gt;0,SUMIFS(T_SelfStock[Self_Qty],T_SelfStock[RM_Code],$A73,T_SelfStock[WeekIndex],37)+SUMIFS(T_TTAFStock[TTAF_Qty],T_TTAFStock[RM_Code],$A73,T_TTAFStock[WeekIndex],37),AK73+'Grid_Incoming'!AL73-'Grid_Requirement'!AL73))</f>
        <v/>
      </c>
      <c r="AM73">
        <f>IF(COUNTIFS(T_StockCount[RM_Code],$A73,T_StockCount[WeekIndex],38)&gt;0,SUMIFS(T_StockCount[CountedQty],T_StockCount[RM_Code],$A73,T_StockCount[WeekIndex],38),IF((COUNTIFS(T_SelfStock[RM_Code],$A73,T_SelfStock[WeekIndex],38)&gt;0)*(COUNTIFS(T_TTAFStock[RM_Code],$A73,T_TTAFStock[WeekIndex],38)&gt;0)&gt;0,SUMIFS(T_SelfStock[Self_Qty],T_SelfStock[RM_Code],$A73,T_SelfStock[WeekIndex],38)+SUMIFS(T_TTAFStock[TTAF_Qty],T_TTAFStock[RM_Code],$A73,T_TTAFStock[WeekIndex],38),AL73+'Grid_Incoming'!AM73-'Grid_Requirement'!AM73))</f>
        <v/>
      </c>
      <c r="AN73">
        <f>IF(COUNTIFS(T_StockCount[RM_Code],$A73,T_StockCount[WeekIndex],39)&gt;0,SUMIFS(T_StockCount[CountedQty],T_StockCount[RM_Code],$A73,T_StockCount[WeekIndex],39),IF((COUNTIFS(T_SelfStock[RM_Code],$A73,T_SelfStock[WeekIndex],39)&gt;0)*(COUNTIFS(T_TTAFStock[RM_Code],$A73,T_TTAFStock[WeekIndex],39)&gt;0)&gt;0,SUMIFS(T_SelfStock[Self_Qty],T_SelfStock[RM_Code],$A73,T_SelfStock[WeekIndex],39)+SUMIFS(T_TTAFStock[TTAF_Qty],T_TTAFStock[RM_Code],$A73,T_TTAFStock[WeekIndex],39),AM73+'Grid_Incoming'!AN73-'Grid_Requirement'!AN73))</f>
        <v/>
      </c>
      <c r="AO73">
        <f>IF(COUNTIFS(T_StockCount[RM_Code],$A73,T_StockCount[WeekIndex],40)&gt;0,SUMIFS(T_StockCount[CountedQty],T_StockCount[RM_Code],$A73,T_StockCount[WeekIndex],40),IF((COUNTIFS(T_SelfStock[RM_Code],$A73,T_SelfStock[WeekIndex],40)&gt;0)*(COUNTIFS(T_TTAFStock[RM_Code],$A73,T_TTAFStock[WeekIndex],40)&gt;0)&gt;0,SUMIFS(T_SelfStock[Self_Qty],T_SelfStock[RM_Code],$A73,T_SelfStock[WeekIndex],40)+SUMIFS(T_TTAFStock[TTAF_Qty],T_TTAFStock[RM_Code],$A73,T_TTAFStock[WeekIndex],40),AN73+'Grid_Incoming'!AO73-'Grid_Requirement'!AO73))</f>
        <v/>
      </c>
      <c r="AP73">
        <f>IF(COUNTIFS(T_StockCount[RM_Code],$A73,T_StockCount[WeekIndex],41)&gt;0,SUMIFS(T_StockCount[CountedQty],T_StockCount[RM_Code],$A73,T_StockCount[WeekIndex],41),IF((COUNTIFS(T_SelfStock[RM_Code],$A73,T_SelfStock[WeekIndex],41)&gt;0)*(COUNTIFS(T_TTAFStock[RM_Code],$A73,T_TTAFStock[WeekIndex],41)&gt;0)&gt;0,SUMIFS(T_SelfStock[Self_Qty],T_SelfStock[RM_Code],$A73,T_SelfStock[WeekIndex],41)+SUMIFS(T_TTAFStock[TTAF_Qty],T_TTAFStock[RM_Code],$A73,T_TTAFStock[WeekIndex],41),AO73+'Grid_Incoming'!AP73-'Grid_Requirement'!AP73))</f>
        <v/>
      </c>
      <c r="AQ73">
        <f>IF(COUNTIFS(T_StockCount[RM_Code],$A73,T_StockCount[WeekIndex],42)&gt;0,SUMIFS(T_StockCount[CountedQty],T_StockCount[RM_Code],$A73,T_StockCount[WeekIndex],42),IF((COUNTIFS(T_SelfStock[RM_Code],$A73,T_SelfStock[WeekIndex],42)&gt;0)*(COUNTIFS(T_TTAFStock[RM_Code],$A73,T_TTAFStock[WeekIndex],42)&gt;0)&gt;0,SUMIFS(T_SelfStock[Self_Qty],T_SelfStock[RM_Code],$A73,T_SelfStock[WeekIndex],42)+SUMIFS(T_TTAFStock[TTAF_Qty],T_TTAFStock[RM_Code],$A73,T_TTAFStock[WeekIndex],42),AP73+'Grid_Incoming'!AQ73-'Grid_Requirement'!AQ73))</f>
        <v/>
      </c>
      <c r="AR73">
        <f>IF(COUNTIFS(T_StockCount[RM_Code],$A73,T_StockCount[WeekIndex],43)&gt;0,SUMIFS(T_StockCount[CountedQty],T_StockCount[RM_Code],$A73,T_StockCount[WeekIndex],43),IF((COUNTIFS(T_SelfStock[RM_Code],$A73,T_SelfStock[WeekIndex],43)&gt;0)*(COUNTIFS(T_TTAFStock[RM_Code],$A73,T_TTAFStock[WeekIndex],43)&gt;0)&gt;0,SUMIFS(T_SelfStock[Self_Qty],T_SelfStock[RM_Code],$A73,T_SelfStock[WeekIndex],43)+SUMIFS(T_TTAFStock[TTAF_Qty],T_TTAFStock[RM_Code],$A73,T_TTAFStock[WeekIndex],43),AQ73+'Grid_Incoming'!AR73-'Grid_Requirement'!AR73))</f>
        <v/>
      </c>
      <c r="AS73">
        <f>IF(COUNTIFS(T_StockCount[RM_Code],$A73,T_StockCount[WeekIndex],44)&gt;0,SUMIFS(T_StockCount[CountedQty],T_StockCount[RM_Code],$A73,T_StockCount[WeekIndex],44),IF((COUNTIFS(T_SelfStock[RM_Code],$A73,T_SelfStock[WeekIndex],44)&gt;0)*(COUNTIFS(T_TTAFStock[RM_Code],$A73,T_TTAFStock[WeekIndex],44)&gt;0)&gt;0,SUMIFS(T_SelfStock[Self_Qty],T_SelfStock[RM_Code],$A73,T_SelfStock[WeekIndex],44)+SUMIFS(T_TTAFStock[TTAF_Qty],T_TTAFStock[RM_Code],$A73,T_TTAFStock[WeekIndex],44),AR73+'Grid_Incoming'!AS73-'Grid_Requirement'!AS73))</f>
        <v/>
      </c>
      <c r="AT73">
        <f>IF(COUNTIFS(T_StockCount[RM_Code],$A73,T_StockCount[WeekIndex],45)&gt;0,SUMIFS(T_StockCount[CountedQty],T_StockCount[RM_Code],$A73,T_StockCount[WeekIndex],45),IF((COUNTIFS(T_SelfStock[RM_Code],$A73,T_SelfStock[WeekIndex],45)&gt;0)*(COUNTIFS(T_TTAFStock[RM_Code],$A73,T_TTAFStock[WeekIndex],45)&gt;0)&gt;0,SUMIFS(T_SelfStock[Self_Qty],T_SelfStock[RM_Code],$A73,T_SelfStock[WeekIndex],45)+SUMIFS(T_TTAFStock[TTAF_Qty],T_TTAFStock[RM_Code],$A73,T_TTAFStock[WeekIndex],45),AS73+'Grid_Incoming'!AT73-'Grid_Requirement'!AT73))</f>
        <v/>
      </c>
      <c r="AU73">
        <f>IF(COUNTIFS(T_StockCount[RM_Code],$A73,T_StockCount[WeekIndex],46)&gt;0,SUMIFS(T_StockCount[CountedQty],T_StockCount[RM_Code],$A73,T_StockCount[WeekIndex],46),IF((COUNTIFS(T_SelfStock[RM_Code],$A73,T_SelfStock[WeekIndex],46)&gt;0)*(COUNTIFS(T_TTAFStock[RM_Code],$A73,T_TTAFStock[WeekIndex],46)&gt;0)&gt;0,SUMIFS(T_SelfStock[Self_Qty],T_SelfStock[RM_Code],$A73,T_SelfStock[WeekIndex],46)+SUMIFS(T_TTAFStock[TTAF_Qty],T_TTAFStock[RM_Code],$A73,T_TTAFStock[WeekIndex],46),AT73+'Grid_Incoming'!AU73-'Grid_Requirement'!AU73))</f>
        <v/>
      </c>
      <c r="AV73">
        <f>IF(COUNTIFS(T_StockCount[RM_Code],$A73,T_StockCount[WeekIndex],47)&gt;0,SUMIFS(T_StockCount[CountedQty],T_StockCount[RM_Code],$A73,T_StockCount[WeekIndex],47),IF((COUNTIFS(T_SelfStock[RM_Code],$A73,T_SelfStock[WeekIndex],47)&gt;0)*(COUNTIFS(T_TTAFStock[RM_Code],$A73,T_TTAFStock[WeekIndex],47)&gt;0)&gt;0,SUMIFS(T_SelfStock[Self_Qty],T_SelfStock[RM_Code],$A73,T_SelfStock[WeekIndex],47)+SUMIFS(T_TTAFStock[TTAF_Qty],T_TTAFStock[RM_Code],$A73,T_TTAFStock[WeekIndex],47),AU73+'Grid_Incoming'!AV73-'Grid_Requirement'!AV73))</f>
        <v/>
      </c>
      <c r="AW73">
        <f>IF(COUNTIFS(T_StockCount[RM_Code],$A73,T_StockCount[WeekIndex],48)&gt;0,SUMIFS(T_StockCount[CountedQty],T_StockCount[RM_Code],$A73,T_StockCount[WeekIndex],48),IF((COUNTIFS(T_SelfStock[RM_Code],$A73,T_SelfStock[WeekIndex],48)&gt;0)*(COUNTIFS(T_TTAFStock[RM_Code],$A73,T_TTAFStock[WeekIndex],48)&gt;0)&gt;0,SUMIFS(T_SelfStock[Self_Qty],T_SelfStock[RM_Code],$A73,T_SelfStock[WeekIndex],48)+SUMIFS(T_TTAFStock[TTAF_Qty],T_TTAFStock[RM_Code],$A73,T_TTAFStock[WeekIndex],48),AV73+'Grid_Incoming'!AW73-'Grid_Requirement'!AW73))</f>
        <v/>
      </c>
      <c r="AX73">
        <f>IF(COUNTIFS(T_StockCount[RM_Code],$A73,T_StockCount[WeekIndex],49)&gt;0,SUMIFS(T_StockCount[CountedQty],T_StockCount[RM_Code],$A73,T_StockCount[WeekIndex],49),IF((COUNTIFS(T_SelfStock[RM_Code],$A73,T_SelfStock[WeekIndex],49)&gt;0)*(COUNTIFS(T_TTAFStock[RM_Code],$A73,T_TTAFStock[WeekIndex],49)&gt;0)&gt;0,SUMIFS(T_SelfStock[Self_Qty],T_SelfStock[RM_Code],$A73,T_SelfStock[WeekIndex],49)+SUMIFS(T_TTAFStock[TTAF_Qty],T_TTAFStock[RM_Code],$A73,T_TTAFStock[WeekIndex],49),AW73+'Grid_Incoming'!AX73-'Grid_Requirement'!AX73))</f>
        <v/>
      </c>
      <c r="AY73">
        <f>IF(COUNTIFS(T_StockCount[RM_Code],$A73,T_StockCount[WeekIndex],50)&gt;0,SUMIFS(T_StockCount[CountedQty],T_StockCount[RM_Code],$A73,T_StockCount[WeekIndex],50),IF((COUNTIFS(T_SelfStock[RM_Code],$A73,T_SelfStock[WeekIndex],50)&gt;0)*(COUNTIFS(T_TTAFStock[RM_Code],$A73,T_TTAFStock[WeekIndex],50)&gt;0)&gt;0,SUMIFS(T_SelfStock[Self_Qty],T_SelfStock[RM_Code],$A73,T_SelfStock[WeekIndex],50)+SUMIFS(T_TTAFStock[TTAF_Qty],T_TTAFStock[RM_Code],$A73,T_TTAFStock[WeekIndex],50),AX73+'Grid_Incoming'!AY73-'Grid_Requirement'!AY73))</f>
        <v/>
      </c>
      <c r="AZ73">
        <f>IF(COUNTIFS(T_StockCount[RM_Code],$A73,T_StockCount[WeekIndex],51)&gt;0,SUMIFS(T_StockCount[CountedQty],T_StockCount[RM_Code],$A73,T_StockCount[WeekIndex],51),IF((COUNTIFS(T_SelfStock[RM_Code],$A73,T_SelfStock[WeekIndex],51)&gt;0)*(COUNTIFS(T_TTAFStock[RM_Code],$A73,T_TTAFStock[WeekIndex],51)&gt;0)&gt;0,SUMIFS(T_SelfStock[Self_Qty],T_SelfStock[RM_Code],$A73,T_SelfStock[WeekIndex],51)+SUMIFS(T_TTAFStock[TTAF_Qty],T_TTAFStock[RM_Code],$A73,T_TTAFStock[WeekIndex],51),AY73+'Grid_Incoming'!AZ73-'Grid_Requirement'!AZ73))</f>
        <v/>
      </c>
      <c r="BA73">
        <f>IF(COUNTIFS(T_StockCount[RM_Code],$A73,T_StockCount[WeekIndex],52)&gt;0,SUMIFS(T_StockCount[CountedQty],T_StockCount[RM_Code],$A73,T_StockCount[WeekIndex],52),IF((COUNTIFS(T_SelfStock[RM_Code],$A73,T_SelfStock[WeekIndex],52)&gt;0)*(COUNTIFS(T_TTAFStock[RM_Code],$A73,T_TTAFStock[WeekIndex],52)&gt;0)&gt;0,SUMIFS(T_SelfStock[Self_Qty],T_SelfStock[RM_Code],$A73,T_SelfStock[WeekIndex],52)+SUMIFS(T_TTAFStock[TTAF_Qty],T_TTAFStock[RM_Code],$A73,T_TTAFStock[WeekIndex],52),AZ73+'Grid_Incoming'!BA73-'Grid_Requirement'!BA73))</f>
        <v/>
      </c>
      <c r="BB73">
        <f>IF(COUNTIFS(T_StockCount[RM_Code],$A73,T_StockCount[WeekIndex],53)&gt;0,SUMIFS(T_StockCount[CountedQty],T_StockCount[RM_Code],$A73,T_StockCount[WeekIndex],53),IF((COUNTIFS(T_SelfStock[RM_Code],$A73,T_SelfStock[WeekIndex],53)&gt;0)*(COUNTIFS(T_TTAFStock[RM_Code],$A73,T_TTAFStock[WeekIndex],53)&gt;0)&gt;0,SUMIFS(T_SelfStock[Self_Qty],T_SelfStock[RM_Code],$A73,T_SelfStock[WeekIndex],53)+SUMIFS(T_TTAFStock[TTAF_Qty],T_TTAFStock[RM_Code],$A73,T_TTAFStock[WeekIndex],53),BA73+'Grid_Incoming'!BB73-'Grid_Requirement'!BB73))</f>
        <v/>
      </c>
      <c r="BC73">
        <f>IF(COUNTIFS(T_StockCount[RM_Code],$A73,T_StockCount[WeekIndex],54)&gt;0,SUMIFS(T_StockCount[CountedQty],T_StockCount[RM_Code],$A73,T_StockCount[WeekIndex],54),IF((COUNTIFS(T_SelfStock[RM_Code],$A73,T_SelfStock[WeekIndex],54)&gt;0)*(COUNTIFS(T_TTAFStock[RM_Code],$A73,T_TTAFStock[WeekIndex],54)&gt;0)&gt;0,SUMIFS(T_SelfStock[Self_Qty],T_SelfStock[RM_Code],$A73,T_SelfStock[WeekIndex],54)+SUMIFS(T_TTAFStock[TTAF_Qty],T_TTAFStock[RM_Code],$A73,T_TTAFStock[WeekIndex],54),BB73+'Grid_Incoming'!BC73-'Grid_Requirement'!BC73))</f>
        <v/>
      </c>
      <c r="BD73">
        <f>IF(COUNTIFS(T_StockCount[RM_Code],$A73,T_StockCount[WeekIndex],55)&gt;0,SUMIFS(T_StockCount[CountedQty],T_StockCount[RM_Code],$A73,T_StockCount[WeekIndex],55),IF((COUNTIFS(T_SelfStock[RM_Code],$A73,T_SelfStock[WeekIndex],55)&gt;0)*(COUNTIFS(T_TTAFStock[RM_Code],$A73,T_TTAFStock[WeekIndex],55)&gt;0)&gt;0,SUMIFS(T_SelfStock[Self_Qty],T_SelfStock[RM_Code],$A73,T_SelfStock[WeekIndex],55)+SUMIFS(T_TTAFStock[TTAF_Qty],T_TTAFStock[RM_Code],$A73,T_TTAFStock[WeekIndex],55),BC73+'Grid_Incoming'!BD73-'Grid_Requirement'!BD73))</f>
        <v/>
      </c>
      <c r="BE73">
        <f>IF(COUNTIFS(T_StockCount[RM_Code],$A73,T_StockCount[WeekIndex],56)&gt;0,SUMIFS(T_StockCount[CountedQty],T_StockCount[RM_Code],$A73,T_StockCount[WeekIndex],56),IF((COUNTIFS(T_SelfStock[RM_Code],$A73,T_SelfStock[WeekIndex],56)&gt;0)*(COUNTIFS(T_TTAFStock[RM_Code],$A73,T_TTAFStock[WeekIndex],56)&gt;0)&gt;0,SUMIFS(T_SelfStock[Self_Qty],T_SelfStock[RM_Code],$A73,T_SelfStock[WeekIndex],56)+SUMIFS(T_TTAFStock[TTAF_Qty],T_TTAFStock[RM_Code],$A73,T_TTAFStock[WeekIndex],56),BD73+'Grid_Incoming'!BE73-'Grid_Requirement'!BE73))</f>
        <v/>
      </c>
      <c r="BF73">
        <f>IF(COUNTIFS(T_StockCount[RM_Code],$A73,T_StockCount[WeekIndex],57)&gt;0,SUMIFS(T_StockCount[CountedQty],T_StockCount[RM_Code],$A73,T_StockCount[WeekIndex],57),IF((COUNTIFS(T_SelfStock[RM_Code],$A73,T_SelfStock[WeekIndex],57)&gt;0)*(COUNTIFS(T_TTAFStock[RM_Code],$A73,T_TTAFStock[WeekIndex],57)&gt;0)&gt;0,SUMIFS(T_SelfStock[Self_Qty],T_SelfStock[RM_Code],$A73,T_SelfStock[WeekIndex],57)+SUMIFS(T_TTAFStock[TTAF_Qty],T_TTAFStock[RM_Code],$A73,T_TTAFStock[WeekIndex],57),BE73+'Grid_Incoming'!BF73-'Grid_Requirement'!BF73))</f>
        <v/>
      </c>
      <c r="BG73">
        <f>IF(COUNTIFS(T_StockCount[RM_Code],$A73,T_StockCount[WeekIndex],58)&gt;0,SUMIFS(T_StockCount[CountedQty],T_StockCount[RM_Code],$A73,T_StockCount[WeekIndex],58),IF((COUNTIFS(T_SelfStock[RM_Code],$A73,T_SelfStock[WeekIndex],58)&gt;0)*(COUNTIFS(T_TTAFStock[RM_Code],$A73,T_TTAFStock[WeekIndex],58)&gt;0)&gt;0,SUMIFS(T_SelfStock[Self_Qty],T_SelfStock[RM_Code],$A73,T_SelfStock[WeekIndex],58)+SUMIFS(T_TTAFStock[TTAF_Qty],T_TTAFStock[RM_Code],$A73,T_TTAFStock[WeekIndex],58),BF73+'Grid_Incoming'!BG73-'Grid_Requirement'!BG73))</f>
        <v/>
      </c>
      <c r="BH73">
        <f>IF(COUNTIFS(T_StockCount[RM_Code],$A73,T_StockCount[WeekIndex],59)&gt;0,SUMIFS(T_StockCount[CountedQty],T_StockCount[RM_Code],$A73,T_StockCount[WeekIndex],59),IF((COUNTIFS(T_SelfStock[RM_Code],$A73,T_SelfStock[WeekIndex],59)&gt;0)*(COUNTIFS(T_TTAFStock[RM_Code],$A73,T_TTAFStock[WeekIndex],59)&gt;0)&gt;0,SUMIFS(T_SelfStock[Self_Qty],T_SelfStock[RM_Code],$A73,T_SelfStock[WeekIndex],59)+SUMIFS(T_TTAFStock[TTAF_Qty],T_TTAFStock[RM_Code],$A73,T_TTAFStock[WeekIndex],59),BG73+'Grid_Incoming'!BH73-'Grid_Requirement'!BH73))</f>
        <v/>
      </c>
      <c r="BI73">
        <f>IF(COUNTIFS(T_StockCount[RM_Code],$A73,T_StockCount[WeekIndex],60)&gt;0,SUMIFS(T_StockCount[CountedQty],T_StockCount[RM_Code],$A73,T_StockCount[WeekIndex],60),IF((COUNTIFS(T_SelfStock[RM_Code],$A73,T_SelfStock[WeekIndex],60)&gt;0)*(COUNTIFS(T_TTAFStock[RM_Code],$A73,T_TTAFStock[WeekIndex],60)&gt;0)&gt;0,SUMIFS(T_SelfStock[Self_Qty],T_SelfStock[RM_Code],$A73,T_SelfStock[WeekIndex],60)+SUMIFS(T_TTAFStock[TTAF_Qty],T_TTAFStock[RM_Code],$A73,T_TTAFStock[WeekIndex],60),BH73+'Grid_Incoming'!BI73-'Grid_Requirement'!BI73))</f>
        <v/>
      </c>
      <c r="BJ73">
        <f>IF(COUNTIFS(T_StockCount[RM_Code],$A73,T_StockCount[WeekIndex],61)&gt;0,SUMIFS(T_StockCount[CountedQty],T_StockCount[RM_Code],$A73,T_StockCount[WeekIndex],61),IF((COUNTIFS(T_SelfStock[RM_Code],$A73,T_SelfStock[WeekIndex],61)&gt;0)*(COUNTIFS(T_TTAFStock[RM_Code],$A73,T_TTAFStock[WeekIndex],61)&gt;0)&gt;0,SUMIFS(T_SelfStock[Self_Qty],T_SelfStock[RM_Code],$A73,T_SelfStock[WeekIndex],61)+SUMIFS(T_TTAFStock[TTAF_Qty],T_TTAFStock[RM_Code],$A73,T_TTAFStock[WeekIndex],61),BI73+'Grid_Incoming'!BJ73-'Grid_Requirement'!BJ73))</f>
        <v/>
      </c>
      <c r="BK73">
        <f>IF(COUNTIFS(T_StockCount[RM_Code],$A73,T_StockCount[WeekIndex],62)&gt;0,SUMIFS(T_StockCount[CountedQty],T_StockCount[RM_Code],$A73,T_StockCount[WeekIndex],62),IF((COUNTIFS(T_SelfStock[RM_Code],$A73,T_SelfStock[WeekIndex],62)&gt;0)*(COUNTIFS(T_TTAFStock[RM_Code],$A73,T_TTAFStock[WeekIndex],62)&gt;0)&gt;0,SUMIFS(T_SelfStock[Self_Qty],T_SelfStock[RM_Code],$A73,T_SelfStock[WeekIndex],62)+SUMIFS(T_TTAFStock[TTAF_Qty],T_TTAFStock[RM_Code],$A73,T_TTAFStock[WeekIndex],62),BJ73+'Grid_Incoming'!BK73-'Grid_Requirement'!BK73))</f>
        <v/>
      </c>
      <c r="BL73">
        <f>IF(COUNTIFS(T_StockCount[RM_Code],$A73,T_StockCount[WeekIndex],63)&gt;0,SUMIFS(T_StockCount[CountedQty],T_StockCount[RM_Code],$A73,T_StockCount[WeekIndex],63),IF((COUNTIFS(T_SelfStock[RM_Code],$A73,T_SelfStock[WeekIndex],63)&gt;0)*(COUNTIFS(T_TTAFStock[RM_Code],$A73,T_TTAFStock[WeekIndex],63)&gt;0)&gt;0,SUMIFS(T_SelfStock[Self_Qty],T_SelfStock[RM_Code],$A73,T_SelfStock[WeekIndex],63)+SUMIFS(T_TTAFStock[TTAF_Qty],T_TTAFStock[RM_Code],$A73,T_TTAFStock[WeekIndex],63),BK73+'Grid_Incoming'!BL73-'Grid_Requirement'!BL73))</f>
        <v/>
      </c>
      <c r="BM73">
        <f>IF(COUNTIFS(T_StockCount[RM_Code],$A73,T_StockCount[WeekIndex],64)&gt;0,SUMIFS(T_StockCount[CountedQty],T_StockCount[RM_Code],$A73,T_StockCount[WeekIndex],64),IF((COUNTIFS(T_SelfStock[RM_Code],$A73,T_SelfStock[WeekIndex],64)&gt;0)*(COUNTIFS(T_TTAFStock[RM_Code],$A73,T_TTAFStock[WeekIndex],64)&gt;0)&gt;0,SUMIFS(T_SelfStock[Self_Qty],T_SelfStock[RM_Code],$A73,T_SelfStock[WeekIndex],64)+SUMIFS(T_TTAFStock[TTAF_Qty],T_TTAFStock[RM_Code],$A73,T_TTAFStock[WeekIndex],64),BL73+'Grid_Incoming'!BM73-'Grid_Requirement'!BM73))</f>
        <v/>
      </c>
      <c r="BN73">
        <f>IF(COUNTIFS(T_StockCount[RM_Code],$A73,T_StockCount[WeekIndex],65)&gt;0,SUMIFS(T_StockCount[CountedQty],T_StockCount[RM_Code],$A73,T_StockCount[WeekIndex],65),IF((COUNTIFS(T_SelfStock[RM_Code],$A73,T_SelfStock[WeekIndex],65)&gt;0)*(COUNTIFS(T_TTAFStock[RM_Code],$A73,T_TTAFStock[WeekIndex],65)&gt;0)&gt;0,SUMIFS(T_SelfStock[Self_Qty],T_SelfStock[RM_Code],$A73,T_SelfStock[WeekIndex],65)+SUMIFS(T_TTAFStock[TTAF_Qty],T_TTAFStock[RM_Code],$A73,T_TTAFStock[WeekIndex],65),BM73+'Grid_Incoming'!BN73-'Grid_Requirement'!BN73))</f>
        <v/>
      </c>
      <c r="BO73">
        <f>IF(COUNTIFS(T_StockCount[RM_Code],$A73,T_StockCount[WeekIndex],66)&gt;0,SUMIFS(T_StockCount[CountedQty],T_StockCount[RM_Code],$A73,T_StockCount[WeekIndex],66),IF((COUNTIFS(T_SelfStock[RM_Code],$A73,T_SelfStock[WeekIndex],66)&gt;0)*(COUNTIFS(T_TTAFStock[RM_Code],$A73,T_TTAFStock[WeekIndex],66)&gt;0)&gt;0,SUMIFS(T_SelfStock[Self_Qty],T_SelfStock[RM_Code],$A73,T_SelfStock[WeekIndex],66)+SUMIFS(T_TTAFStock[TTAF_Qty],T_TTAFStock[RM_Code],$A73,T_TTAFStock[WeekIndex],66),BN73+'Grid_Incoming'!BO73-'Grid_Requirement'!BO73))</f>
        <v/>
      </c>
      <c r="BP73">
        <f>IF(COUNTIFS(T_StockCount[RM_Code],$A73,T_StockCount[WeekIndex],67)&gt;0,SUMIFS(T_StockCount[CountedQty],T_StockCount[RM_Code],$A73,T_StockCount[WeekIndex],67),IF((COUNTIFS(T_SelfStock[RM_Code],$A73,T_SelfStock[WeekIndex],67)&gt;0)*(COUNTIFS(T_TTAFStock[RM_Code],$A73,T_TTAFStock[WeekIndex],67)&gt;0)&gt;0,SUMIFS(T_SelfStock[Self_Qty],T_SelfStock[RM_Code],$A73,T_SelfStock[WeekIndex],67)+SUMIFS(T_TTAFStock[TTAF_Qty],T_TTAFStock[RM_Code],$A73,T_TTAFStock[WeekIndex],67),BO73+'Grid_Incoming'!BP73-'Grid_Requirement'!BP73))</f>
        <v/>
      </c>
      <c r="BQ73">
        <f>IF(COUNTIFS(T_StockCount[RM_Code],$A73,T_StockCount[WeekIndex],68)&gt;0,SUMIFS(T_StockCount[CountedQty],T_StockCount[RM_Code],$A73,T_StockCount[WeekIndex],68),IF((COUNTIFS(T_SelfStock[RM_Code],$A73,T_SelfStock[WeekIndex],68)&gt;0)*(COUNTIFS(T_TTAFStock[RM_Code],$A73,T_TTAFStock[WeekIndex],68)&gt;0)&gt;0,SUMIFS(T_SelfStock[Self_Qty],T_SelfStock[RM_Code],$A73,T_SelfStock[WeekIndex],68)+SUMIFS(T_TTAFStock[TTAF_Qty],T_TTAFStock[RM_Code],$A73,T_TTAFStock[WeekIndex],68),BP73+'Grid_Incoming'!BQ73-'Grid_Requirement'!BQ73))</f>
        <v/>
      </c>
      <c r="BR73">
        <f>IF(COUNTIFS(T_StockCount[RM_Code],$A73,T_StockCount[WeekIndex],69)&gt;0,SUMIFS(T_StockCount[CountedQty],T_StockCount[RM_Code],$A73,T_StockCount[WeekIndex],69),IF((COUNTIFS(T_SelfStock[RM_Code],$A73,T_SelfStock[WeekIndex],69)&gt;0)*(COUNTIFS(T_TTAFStock[RM_Code],$A73,T_TTAFStock[WeekIndex],69)&gt;0)&gt;0,SUMIFS(T_SelfStock[Self_Qty],T_SelfStock[RM_Code],$A73,T_SelfStock[WeekIndex],69)+SUMIFS(T_TTAFStock[TTAF_Qty],T_TTAFStock[RM_Code],$A73,T_TTAFStock[WeekIndex],69),BQ73+'Grid_Incoming'!BR73-'Grid_Requirement'!BR73))</f>
        <v/>
      </c>
      <c r="BS73">
        <f>IF(COUNTIFS(T_StockCount[RM_Code],$A73,T_StockCount[WeekIndex],70)&gt;0,SUMIFS(T_StockCount[CountedQty],T_StockCount[RM_Code],$A73,T_StockCount[WeekIndex],70),IF((COUNTIFS(T_SelfStock[RM_Code],$A73,T_SelfStock[WeekIndex],70)&gt;0)*(COUNTIFS(T_TTAFStock[RM_Code],$A73,T_TTAFStock[WeekIndex],70)&gt;0)&gt;0,SUMIFS(T_SelfStock[Self_Qty],T_SelfStock[RM_Code],$A73,T_SelfStock[WeekIndex],70)+SUMIFS(T_TTAFStock[TTAF_Qty],T_TTAFStock[RM_Code],$A73,T_TTAFStock[WeekIndex],70),BR73+'Grid_Incoming'!BS73-'Grid_Requirement'!BS73))</f>
        <v/>
      </c>
      <c r="BT73">
        <f>IF(COUNTIFS(T_StockCount[RM_Code],$A73,T_StockCount[WeekIndex],71)&gt;0,SUMIFS(T_StockCount[CountedQty],T_StockCount[RM_Code],$A73,T_StockCount[WeekIndex],71),IF((COUNTIFS(T_SelfStock[RM_Code],$A73,T_SelfStock[WeekIndex],71)&gt;0)*(COUNTIFS(T_TTAFStock[RM_Code],$A73,T_TTAFStock[WeekIndex],71)&gt;0)&gt;0,SUMIFS(T_SelfStock[Self_Qty],T_SelfStock[RM_Code],$A73,T_SelfStock[WeekIndex],71)+SUMIFS(T_TTAFStock[TTAF_Qty],T_TTAFStock[RM_Code],$A73,T_TTAFStock[WeekIndex],71),BS73+'Grid_Incoming'!BT73-'Grid_Requirement'!BT73))</f>
        <v/>
      </c>
      <c r="BU73">
        <f>IF(COUNTIFS(T_StockCount[RM_Code],$A73,T_StockCount[WeekIndex],72)&gt;0,SUMIFS(T_StockCount[CountedQty],T_StockCount[RM_Code],$A73,T_StockCount[WeekIndex],72),IF((COUNTIFS(T_SelfStock[RM_Code],$A73,T_SelfStock[WeekIndex],72)&gt;0)*(COUNTIFS(T_TTAFStock[RM_Code],$A73,T_TTAFStock[WeekIndex],72)&gt;0)&gt;0,SUMIFS(T_SelfStock[Self_Qty],T_SelfStock[RM_Code],$A73,T_SelfStock[WeekIndex],72)+SUMIFS(T_TTAFStock[TTAF_Qty],T_TTAFStock[RM_Code],$A73,T_TTAFStock[WeekIndex],72),BT73+'Grid_Incoming'!BU73-'Grid_Requirement'!BU73))</f>
        <v/>
      </c>
      <c r="BV73">
        <f>IF(COUNTIFS(T_StockCount[RM_Code],$A73,T_StockCount[WeekIndex],73)&gt;0,SUMIFS(T_StockCount[CountedQty],T_StockCount[RM_Code],$A73,T_StockCount[WeekIndex],73),IF((COUNTIFS(T_SelfStock[RM_Code],$A73,T_SelfStock[WeekIndex],73)&gt;0)*(COUNTIFS(T_TTAFStock[RM_Code],$A73,T_TTAFStock[WeekIndex],73)&gt;0)&gt;0,SUMIFS(T_SelfStock[Self_Qty],T_SelfStock[RM_Code],$A73,T_SelfStock[WeekIndex],73)+SUMIFS(T_TTAFStock[TTAF_Qty],T_TTAFStock[RM_Code],$A73,T_TTAFStock[WeekIndex],73),BU73+'Grid_Incoming'!BV73-'Grid_Requirement'!BV73))</f>
        <v/>
      </c>
      <c r="BW73">
        <f>IF(COUNTIFS(T_StockCount[RM_Code],$A73,T_StockCount[WeekIndex],74)&gt;0,SUMIFS(T_StockCount[CountedQty],T_StockCount[RM_Code],$A73,T_StockCount[WeekIndex],74),IF((COUNTIFS(T_SelfStock[RM_Code],$A73,T_SelfStock[WeekIndex],74)&gt;0)*(COUNTIFS(T_TTAFStock[RM_Code],$A73,T_TTAFStock[WeekIndex],74)&gt;0)&gt;0,SUMIFS(T_SelfStock[Self_Qty],T_SelfStock[RM_Code],$A73,T_SelfStock[WeekIndex],74)+SUMIFS(T_TTAFStock[TTAF_Qty],T_TTAFStock[RM_Code],$A73,T_TTAFStock[WeekIndex],74),BV73+'Grid_Incoming'!BW73-'Grid_Requirement'!BW73))</f>
        <v/>
      </c>
      <c r="BX73">
        <f>IF(COUNTIFS(T_StockCount[RM_Code],$A73,T_StockCount[WeekIndex],75)&gt;0,SUMIFS(T_StockCount[CountedQty],T_StockCount[RM_Code],$A73,T_StockCount[WeekIndex],75),IF((COUNTIFS(T_SelfStock[RM_Code],$A73,T_SelfStock[WeekIndex],75)&gt;0)*(COUNTIFS(T_TTAFStock[RM_Code],$A73,T_TTAFStock[WeekIndex],75)&gt;0)&gt;0,SUMIFS(T_SelfStock[Self_Qty],T_SelfStock[RM_Code],$A73,T_SelfStock[WeekIndex],75)+SUMIFS(T_TTAFStock[TTAF_Qty],T_TTAFStock[RM_Code],$A73,T_TTAFStock[WeekIndex],75),BW73+'Grid_Incoming'!BX73-'Grid_Requirement'!BX73))</f>
        <v/>
      </c>
      <c r="BY73">
        <f>IF(COUNTIFS(T_StockCount[RM_Code],$A73,T_StockCount[WeekIndex],76)&gt;0,SUMIFS(T_StockCount[CountedQty],T_StockCount[RM_Code],$A73,T_StockCount[WeekIndex],76),IF((COUNTIFS(T_SelfStock[RM_Code],$A73,T_SelfStock[WeekIndex],76)&gt;0)*(COUNTIFS(T_TTAFStock[RM_Code],$A73,T_TTAFStock[WeekIndex],76)&gt;0)&gt;0,SUMIFS(T_SelfStock[Self_Qty],T_SelfStock[RM_Code],$A73,T_SelfStock[WeekIndex],76)+SUMIFS(T_TTAFStock[TTAF_Qty],T_TTAFStock[RM_Code],$A73,T_TTAFStock[WeekIndex],76),BX73+'Grid_Incoming'!BY73-'Grid_Requirement'!BY73))</f>
        <v/>
      </c>
      <c r="BZ73">
        <f>IF(COUNTIFS(T_StockCount[RM_Code],$A73,T_StockCount[WeekIndex],77)&gt;0,SUMIFS(T_StockCount[CountedQty],T_StockCount[RM_Code],$A73,T_StockCount[WeekIndex],77),IF((COUNTIFS(T_SelfStock[RM_Code],$A73,T_SelfStock[WeekIndex],77)&gt;0)*(COUNTIFS(T_TTAFStock[RM_Code],$A73,T_TTAFStock[WeekIndex],77)&gt;0)&gt;0,SUMIFS(T_SelfStock[Self_Qty],T_SelfStock[RM_Code],$A73,T_SelfStock[WeekIndex],77)+SUMIFS(T_TTAFStock[TTAF_Qty],T_TTAFStock[RM_Code],$A73,T_TTAFStock[WeekIndex],77),BY73+'Grid_Incoming'!BZ73-'Grid_Requirement'!BZ73))</f>
        <v/>
      </c>
      <c r="CA73">
        <f>IF(COUNTIFS(T_StockCount[RM_Code],$A73,T_StockCount[WeekIndex],78)&gt;0,SUMIFS(T_StockCount[CountedQty],T_StockCount[RM_Code],$A73,T_StockCount[WeekIndex],78),IF((COUNTIFS(T_SelfStock[RM_Code],$A73,T_SelfStock[WeekIndex],78)&gt;0)*(COUNTIFS(T_TTAFStock[RM_Code],$A73,T_TTAFStock[WeekIndex],78)&gt;0)&gt;0,SUMIFS(T_SelfStock[Self_Qty],T_SelfStock[RM_Code],$A73,T_SelfStock[WeekIndex],78)+SUMIFS(T_TTAFStock[TTAF_Qty],T_TTAFStock[RM_Code],$A73,T_TTAFStock[WeekIndex],78),BZ73+'Grid_Incoming'!CA73-'Grid_Requirement'!CA73))</f>
        <v/>
      </c>
      <c r="CB73">
        <f>IF(COUNTIFS(T_StockCount[RM_Code],$A73,T_StockCount[WeekIndex],79)&gt;0,SUMIFS(T_StockCount[CountedQty],T_StockCount[RM_Code],$A73,T_StockCount[WeekIndex],79),IF((COUNTIFS(T_SelfStock[RM_Code],$A73,T_SelfStock[WeekIndex],79)&gt;0)*(COUNTIFS(T_TTAFStock[RM_Code],$A73,T_TTAFStock[WeekIndex],79)&gt;0)&gt;0,SUMIFS(T_SelfStock[Self_Qty],T_SelfStock[RM_Code],$A73,T_SelfStock[WeekIndex],79)+SUMIFS(T_TTAFStock[TTAF_Qty],T_TTAFStock[RM_Code],$A73,T_TTAFStock[WeekIndex],79),CA73+'Grid_Incoming'!CB73-'Grid_Requirement'!CB73))</f>
        <v/>
      </c>
      <c r="CC73">
        <f>IF(COUNTIFS(T_StockCount[RM_Code],$A73,T_StockCount[WeekIndex],80)&gt;0,SUMIFS(T_StockCount[CountedQty],T_StockCount[RM_Code],$A73,T_StockCount[WeekIndex],80),IF((COUNTIFS(T_SelfStock[RM_Code],$A73,T_SelfStock[WeekIndex],80)&gt;0)*(COUNTIFS(T_TTAFStock[RM_Code],$A73,T_TTAFStock[WeekIndex],80)&gt;0)&gt;0,SUMIFS(T_SelfStock[Self_Qty],T_SelfStock[RM_Code],$A73,T_SelfStock[WeekIndex],80)+SUMIFS(T_TTAFStock[TTAF_Qty],T_TTAFStock[RM_Code],$A73,T_TTAFStock[WeekIndex],80),CB73+'Grid_Incoming'!CC73-'Grid_Requirement'!CC73))</f>
        <v/>
      </c>
      <c r="CD73">
        <f>IF(COUNTIFS(T_StockCount[RM_Code],$A73,T_StockCount[WeekIndex],81)&gt;0,SUMIFS(T_StockCount[CountedQty],T_StockCount[RM_Code],$A73,T_StockCount[WeekIndex],81),IF((COUNTIFS(T_SelfStock[RM_Code],$A73,T_SelfStock[WeekIndex],81)&gt;0)*(COUNTIFS(T_TTAFStock[RM_Code],$A73,T_TTAFStock[WeekIndex],81)&gt;0)&gt;0,SUMIFS(T_SelfStock[Self_Qty],T_SelfStock[RM_Code],$A73,T_SelfStock[WeekIndex],81)+SUMIFS(T_TTAFStock[TTAF_Qty],T_TTAFStock[RM_Code],$A73,T_TTAFStock[WeekIndex],81),CC73+'Grid_Incoming'!CD73-'Grid_Requirement'!CD73))</f>
        <v/>
      </c>
      <c r="CE73">
        <f>IF(COUNTIFS(T_StockCount[RM_Code],$A73,T_StockCount[WeekIndex],82)&gt;0,SUMIFS(T_StockCount[CountedQty],T_StockCount[RM_Code],$A73,T_StockCount[WeekIndex],82),IF((COUNTIFS(T_SelfStock[RM_Code],$A73,T_SelfStock[WeekIndex],82)&gt;0)*(COUNTIFS(T_TTAFStock[RM_Code],$A73,T_TTAFStock[WeekIndex],82)&gt;0)&gt;0,SUMIFS(T_SelfStock[Self_Qty],T_SelfStock[RM_Code],$A73,T_SelfStock[WeekIndex],82)+SUMIFS(T_TTAFStock[TTAF_Qty],T_TTAFStock[RM_Code],$A73,T_TTAFStock[WeekIndex],82),CD73+'Grid_Incoming'!CE73-'Grid_Requirement'!CE73))</f>
        <v/>
      </c>
      <c r="CF73">
        <f>IF(COUNTIFS(T_StockCount[RM_Code],$A73,T_StockCount[WeekIndex],83)&gt;0,SUMIFS(T_StockCount[CountedQty],T_StockCount[RM_Code],$A73,T_StockCount[WeekIndex],83),IF((COUNTIFS(T_SelfStock[RM_Code],$A73,T_SelfStock[WeekIndex],83)&gt;0)*(COUNTIFS(T_TTAFStock[RM_Code],$A73,T_TTAFStock[WeekIndex],83)&gt;0)&gt;0,SUMIFS(T_SelfStock[Self_Qty],T_SelfStock[RM_Code],$A73,T_SelfStock[WeekIndex],83)+SUMIFS(T_TTAFStock[TTAF_Qty],T_TTAFStock[RM_Code],$A73,T_TTAFStock[WeekIndex],83),CE73+'Grid_Incoming'!CF73-'Grid_Requirement'!CF73))</f>
        <v/>
      </c>
      <c r="CG73">
        <f>IF(COUNTIFS(T_StockCount[RM_Code],$A73,T_StockCount[WeekIndex],84)&gt;0,SUMIFS(T_StockCount[CountedQty],T_StockCount[RM_Code],$A73,T_StockCount[WeekIndex],84),IF((COUNTIFS(T_SelfStock[RM_Code],$A73,T_SelfStock[WeekIndex],84)&gt;0)*(COUNTIFS(T_TTAFStock[RM_Code],$A73,T_TTAFStock[WeekIndex],84)&gt;0)&gt;0,SUMIFS(T_SelfStock[Self_Qty],T_SelfStock[RM_Code],$A73,T_SelfStock[WeekIndex],84)+SUMIFS(T_TTAFStock[TTAF_Qty],T_TTAFStock[RM_Code],$A73,T_TTAFStock[WeekIndex],84),CF73+'Grid_Incoming'!CG73-'Grid_Requirement'!CG73))</f>
        <v/>
      </c>
      <c r="CH73">
        <f>IF(COUNTIFS(T_StockCount[RM_Code],$A73,T_StockCount[WeekIndex],85)&gt;0,SUMIFS(T_StockCount[CountedQty],T_StockCount[RM_Code],$A73,T_StockCount[WeekIndex],85),IF((COUNTIFS(T_SelfStock[RM_Code],$A73,T_SelfStock[WeekIndex],85)&gt;0)*(COUNTIFS(T_TTAFStock[RM_Code],$A73,T_TTAFStock[WeekIndex],85)&gt;0)&gt;0,SUMIFS(T_SelfStock[Self_Qty],T_SelfStock[RM_Code],$A73,T_SelfStock[WeekIndex],85)+SUMIFS(T_TTAFStock[TTAF_Qty],T_TTAFStock[RM_Code],$A73,T_TTAFStock[WeekIndex],85),CG73+'Grid_Incoming'!CH73-'Grid_Requirement'!CH73))</f>
        <v/>
      </c>
      <c r="CI73">
        <f>IF(COUNTIFS(T_StockCount[RM_Code],$A73,T_StockCount[WeekIndex],86)&gt;0,SUMIFS(T_StockCount[CountedQty],T_StockCount[RM_Code],$A73,T_StockCount[WeekIndex],86),IF((COUNTIFS(T_SelfStock[RM_Code],$A73,T_SelfStock[WeekIndex],86)&gt;0)*(COUNTIFS(T_TTAFStock[RM_Code],$A73,T_TTAFStock[WeekIndex],86)&gt;0)&gt;0,SUMIFS(T_SelfStock[Self_Qty],T_SelfStock[RM_Code],$A73,T_SelfStock[WeekIndex],86)+SUMIFS(T_TTAFStock[TTAF_Qty],T_TTAFStock[RM_Code],$A73,T_TTAFStock[WeekIndex],86),CH73+'Grid_Incoming'!CI73-'Grid_Requirement'!CI73))</f>
        <v/>
      </c>
      <c r="CJ73">
        <f>IF(COUNTIFS(T_StockCount[RM_Code],$A73,T_StockCount[WeekIndex],87)&gt;0,SUMIFS(T_StockCount[CountedQty],T_StockCount[RM_Code],$A73,T_StockCount[WeekIndex],87),IF((COUNTIFS(T_SelfStock[RM_Code],$A73,T_SelfStock[WeekIndex],87)&gt;0)*(COUNTIFS(T_TTAFStock[RM_Code],$A73,T_TTAFStock[WeekIndex],87)&gt;0)&gt;0,SUMIFS(T_SelfStock[Self_Qty],T_SelfStock[RM_Code],$A73,T_SelfStock[WeekIndex],87)+SUMIFS(T_TTAFStock[TTAF_Qty],T_TTAFStock[RM_Code],$A73,T_TTAFStock[WeekIndex],87),CI73+'Grid_Incoming'!CJ73-'Grid_Requirement'!CJ73))</f>
        <v/>
      </c>
      <c r="CK73">
        <f>IF(COUNTIFS(T_StockCount[RM_Code],$A73,T_StockCount[WeekIndex],88)&gt;0,SUMIFS(T_StockCount[CountedQty],T_StockCount[RM_Code],$A73,T_StockCount[WeekIndex],88),IF((COUNTIFS(T_SelfStock[RM_Code],$A73,T_SelfStock[WeekIndex],88)&gt;0)*(COUNTIFS(T_TTAFStock[RM_Code],$A73,T_TTAFStock[WeekIndex],88)&gt;0)&gt;0,SUMIFS(T_SelfStock[Self_Qty],T_SelfStock[RM_Code],$A73,T_SelfStock[WeekIndex],88)+SUMIFS(T_TTAFStock[TTAF_Qty],T_TTAFStock[RM_Code],$A73,T_TTAFStock[WeekIndex],88),CJ73+'Grid_Incoming'!CK73-'Grid_Requirement'!CK73))</f>
        <v/>
      </c>
      <c r="CL73">
        <f>IF(COUNTIFS(T_StockCount[RM_Code],$A73,T_StockCount[WeekIndex],89)&gt;0,SUMIFS(T_StockCount[CountedQty],T_StockCount[RM_Code],$A73,T_StockCount[WeekIndex],89),IF((COUNTIFS(T_SelfStock[RM_Code],$A73,T_SelfStock[WeekIndex],89)&gt;0)*(COUNTIFS(T_TTAFStock[RM_Code],$A73,T_TTAFStock[WeekIndex],89)&gt;0)&gt;0,SUMIFS(T_SelfStock[Self_Qty],T_SelfStock[RM_Code],$A73,T_SelfStock[WeekIndex],89)+SUMIFS(T_TTAFStock[TTAF_Qty],T_TTAFStock[RM_Code],$A73,T_TTAFStock[WeekIndex],89),CK73+'Grid_Incoming'!CL73-'Grid_Requirement'!CL73))</f>
        <v/>
      </c>
      <c r="CM73">
        <f>IF(COUNTIFS(T_StockCount[RM_Code],$A73,T_StockCount[WeekIndex],90)&gt;0,SUMIFS(T_StockCount[CountedQty],T_StockCount[RM_Code],$A73,T_StockCount[WeekIndex],90),IF((COUNTIFS(T_SelfStock[RM_Code],$A73,T_SelfStock[WeekIndex],90)&gt;0)*(COUNTIFS(T_TTAFStock[RM_Code],$A73,T_TTAFStock[WeekIndex],90)&gt;0)&gt;0,SUMIFS(T_SelfStock[Self_Qty],T_SelfStock[RM_Code],$A73,T_SelfStock[WeekIndex],90)+SUMIFS(T_TTAFStock[TTAF_Qty],T_TTAFStock[RM_Code],$A73,T_TTAFStock[WeekIndex],90),CL73+'Grid_Incoming'!CM73-'Grid_Requirement'!CM73))</f>
        <v/>
      </c>
      <c r="CN73">
        <f>IF(COUNTIFS(T_StockCount[RM_Code],$A73,T_StockCount[WeekIndex],91)&gt;0,SUMIFS(T_StockCount[CountedQty],T_StockCount[RM_Code],$A73,T_StockCount[WeekIndex],91),IF((COUNTIFS(T_SelfStock[RM_Code],$A73,T_SelfStock[WeekIndex],91)&gt;0)*(COUNTIFS(T_TTAFStock[RM_Code],$A73,T_TTAFStock[WeekIndex],91)&gt;0)&gt;0,SUMIFS(T_SelfStock[Self_Qty],T_SelfStock[RM_Code],$A73,T_SelfStock[WeekIndex],91)+SUMIFS(T_TTAFStock[TTAF_Qty],T_TTAFStock[RM_Code],$A73,T_TTAFStock[WeekIndex],91),CM73+'Grid_Incoming'!CN73-'Grid_Requirement'!CN73))</f>
        <v/>
      </c>
      <c r="CO73">
        <f>IF(COUNTIFS(T_StockCount[RM_Code],$A73,T_StockCount[WeekIndex],92)&gt;0,SUMIFS(T_StockCount[CountedQty],T_StockCount[RM_Code],$A73,T_StockCount[WeekIndex],92),IF((COUNTIFS(T_SelfStock[RM_Code],$A73,T_SelfStock[WeekIndex],92)&gt;0)*(COUNTIFS(T_TTAFStock[RM_Code],$A73,T_TTAFStock[WeekIndex],92)&gt;0)&gt;0,SUMIFS(T_SelfStock[Self_Qty],T_SelfStock[RM_Code],$A73,T_SelfStock[WeekIndex],92)+SUMIFS(T_TTAFStock[TTAF_Qty],T_TTAFStock[RM_Code],$A73,T_TTAFStock[WeekIndex],92),CN73+'Grid_Incoming'!CO73-'Grid_Requirement'!CO73))</f>
        <v/>
      </c>
      <c r="CP73">
        <f>IF(COUNTIFS(T_StockCount[RM_Code],$A73,T_StockCount[WeekIndex],93)&gt;0,SUMIFS(T_StockCount[CountedQty],T_StockCount[RM_Code],$A73,T_StockCount[WeekIndex],93),IF((COUNTIFS(T_SelfStock[RM_Code],$A73,T_SelfStock[WeekIndex],93)&gt;0)*(COUNTIFS(T_TTAFStock[RM_Code],$A73,T_TTAFStock[WeekIndex],93)&gt;0)&gt;0,SUMIFS(T_SelfStock[Self_Qty],T_SelfStock[RM_Code],$A73,T_SelfStock[WeekIndex],93)+SUMIFS(T_TTAFStock[TTAF_Qty],T_TTAFStock[RM_Code],$A73,T_TTAFStock[WeekIndex],93),CO73+'Grid_Incoming'!CP73-'Grid_Requirement'!CP73))</f>
        <v/>
      </c>
      <c r="CQ73">
        <f>IF(COUNTIFS(T_StockCount[RM_Code],$A73,T_StockCount[WeekIndex],94)&gt;0,SUMIFS(T_StockCount[CountedQty],T_StockCount[RM_Code],$A73,T_StockCount[WeekIndex],94),IF((COUNTIFS(T_SelfStock[RM_Code],$A73,T_SelfStock[WeekIndex],94)&gt;0)*(COUNTIFS(T_TTAFStock[RM_Code],$A73,T_TTAFStock[WeekIndex],94)&gt;0)&gt;0,SUMIFS(T_SelfStock[Self_Qty],T_SelfStock[RM_Code],$A73,T_SelfStock[WeekIndex],94)+SUMIFS(T_TTAFStock[TTAF_Qty],T_TTAFStock[RM_Code],$A73,T_TTAFStock[WeekIndex],94),CP73+'Grid_Incoming'!CQ73-'Grid_Requirement'!CQ73))</f>
        <v/>
      </c>
      <c r="CR73">
        <f>IF(COUNTIFS(T_StockCount[RM_Code],$A73,T_StockCount[WeekIndex],95)&gt;0,SUMIFS(T_StockCount[CountedQty],T_StockCount[RM_Code],$A73,T_StockCount[WeekIndex],95),IF((COUNTIFS(T_SelfStock[RM_Code],$A73,T_SelfStock[WeekIndex],95)&gt;0)*(COUNTIFS(T_TTAFStock[RM_Code],$A73,T_TTAFStock[WeekIndex],95)&gt;0)&gt;0,SUMIFS(T_SelfStock[Self_Qty],T_SelfStock[RM_Code],$A73,T_SelfStock[WeekIndex],95)+SUMIFS(T_TTAFStock[TTAF_Qty],T_TTAFStock[RM_Code],$A73,T_TTAFStock[WeekIndex],95),CQ73+'Grid_Incoming'!CR73-'Grid_Requirement'!CR73))</f>
        <v/>
      </c>
      <c r="CS73">
        <f>IF(COUNTIFS(T_StockCount[RM_Code],$A73,T_StockCount[WeekIndex],96)&gt;0,SUMIFS(T_StockCount[CountedQty],T_StockCount[RM_Code],$A73,T_StockCount[WeekIndex],96),IF((COUNTIFS(T_SelfStock[RM_Code],$A73,T_SelfStock[WeekIndex],96)&gt;0)*(COUNTIFS(T_TTAFStock[RM_Code],$A73,T_TTAFStock[WeekIndex],96)&gt;0)&gt;0,SUMIFS(T_SelfStock[Self_Qty],T_SelfStock[RM_Code],$A73,T_SelfStock[WeekIndex],96)+SUMIFS(T_TTAFStock[TTAF_Qty],T_TTAFStock[RM_Code],$A73,T_TTAFStock[WeekIndex],96),CR73+'Grid_Incoming'!CS73-'Grid_Requirement'!CS73))</f>
        <v/>
      </c>
      <c r="CT73">
        <f>IF(COUNTIFS(T_StockCount[RM_Code],$A73,T_StockCount[WeekIndex],97)&gt;0,SUMIFS(T_StockCount[CountedQty],T_StockCount[RM_Code],$A73,T_StockCount[WeekIndex],97),IF((COUNTIFS(T_SelfStock[RM_Code],$A73,T_SelfStock[WeekIndex],97)&gt;0)*(COUNTIFS(T_TTAFStock[RM_Code],$A73,T_TTAFStock[WeekIndex],97)&gt;0)&gt;0,SUMIFS(T_SelfStock[Self_Qty],T_SelfStock[RM_Code],$A73,T_SelfStock[WeekIndex],97)+SUMIFS(T_TTAFStock[TTAF_Qty],T_TTAFStock[RM_Code],$A73,T_TTAFStock[WeekIndex],97),CS73+'Grid_Incoming'!CT73-'Grid_Requirement'!CT73))</f>
        <v/>
      </c>
      <c r="CU73">
        <f>IF(COUNTIFS(T_StockCount[RM_Code],$A73,T_StockCount[WeekIndex],98)&gt;0,SUMIFS(T_StockCount[CountedQty],T_StockCount[RM_Code],$A73,T_StockCount[WeekIndex],98),IF((COUNTIFS(T_SelfStock[RM_Code],$A73,T_SelfStock[WeekIndex],98)&gt;0)*(COUNTIFS(T_TTAFStock[RM_Code],$A73,T_TTAFStock[WeekIndex],98)&gt;0)&gt;0,SUMIFS(T_SelfStock[Self_Qty],T_SelfStock[RM_Code],$A73,T_SelfStock[WeekIndex],98)+SUMIFS(T_TTAFStock[TTAF_Qty],T_TTAFStock[RM_Code],$A73,T_TTAFStock[WeekIndex],98),CT73+'Grid_Incoming'!CU73-'Grid_Requirement'!CU73))</f>
        <v/>
      </c>
      <c r="CV73">
        <f>IF(COUNTIFS(T_StockCount[RM_Code],$A73,T_StockCount[WeekIndex],99)&gt;0,SUMIFS(T_StockCount[CountedQty],T_StockCount[RM_Code],$A73,T_StockCount[WeekIndex],99),IF((COUNTIFS(T_SelfStock[RM_Code],$A73,T_SelfStock[WeekIndex],99)&gt;0)*(COUNTIFS(T_TTAFStock[RM_Code],$A73,T_TTAFStock[WeekIndex],99)&gt;0)&gt;0,SUMIFS(T_SelfStock[Self_Qty],T_SelfStock[RM_Code],$A73,T_SelfStock[WeekIndex],99)+SUMIFS(T_TTAFStock[TTAF_Qty],T_TTAFStock[RM_Code],$A73,T_TTAFStock[WeekIndex],99),CU73+'Grid_Incoming'!CV73-'Grid_Requirement'!CV73))</f>
        <v/>
      </c>
      <c r="CW73">
        <f>IF(COUNTIFS(T_StockCount[RM_Code],$A73,T_StockCount[WeekIndex],100)&gt;0,SUMIFS(T_StockCount[CountedQty],T_StockCount[RM_Code],$A73,T_StockCount[WeekIndex],100),IF((COUNTIFS(T_SelfStock[RM_Code],$A73,T_SelfStock[WeekIndex],100)&gt;0)*(COUNTIFS(T_TTAFStock[RM_Code],$A73,T_TTAFStock[WeekIndex],100)&gt;0)&gt;0,SUMIFS(T_SelfStock[Self_Qty],T_SelfStock[RM_Code],$A73,T_SelfStock[WeekIndex],100)+SUMIFS(T_TTAFStock[TTAF_Qty],T_TTAFStock[RM_Code],$A73,T_TTAFStock[WeekIndex],100),CV73+'Grid_Incoming'!CW73-'Grid_Requirement'!CW73))</f>
        <v/>
      </c>
      <c r="CX73">
        <f>IF(COUNTIFS(T_StockCount[RM_Code],$A73,T_StockCount[WeekIndex],101)&gt;0,SUMIFS(T_StockCount[CountedQty],T_StockCount[RM_Code],$A73,T_StockCount[WeekIndex],101),IF((COUNTIFS(T_SelfStock[RM_Code],$A73,T_SelfStock[WeekIndex],101)&gt;0)*(COUNTIFS(T_TTAFStock[RM_Code],$A73,T_TTAFStock[WeekIndex],101)&gt;0)&gt;0,SUMIFS(T_SelfStock[Self_Qty],T_SelfStock[RM_Code],$A73,T_SelfStock[WeekIndex],101)+SUMIFS(T_TTAFStock[TTAF_Qty],T_TTAFStock[RM_Code],$A73,T_TTAFStock[WeekIndex],101),CW73+'Grid_Incoming'!CX73-'Grid_Requirement'!CX73))</f>
        <v/>
      </c>
      <c r="CY73">
        <f>IF(COUNTIFS(T_StockCount[RM_Code],$A73,T_StockCount[WeekIndex],102)&gt;0,SUMIFS(T_StockCount[CountedQty],T_StockCount[RM_Code],$A73,T_StockCount[WeekIndex],102),IF((COUNTIFS(T_SelfStock[RM_Code],$A73,T_SelfStock[WeekIndex],102)&gt;0)*(COUNTIFS(T_TTAFStock[RM_Code],$A73,T_TTAFStock[WeekIndex],102)&gt;0)&gt;0,SUMIFS(T_SelfStock[Self_Qty],T_SelfStock[RM_Code],$A73,T_SelfStock[WeekIndex],102)+SUMIFS(T_TTAFStock[TTAF_Qty],T_TTAFStock[RM_Code],$A73,T_TTAFStock[WeekIndex],102),CX73+'Grid_Incoming'!CY73-'Grid_Requirement'!CY73))</f>
        <v/>
      </c>
      <c r="CZ73">
        <f>IF(COUNTIFS(T_StockCount[RM_Code],$A73,T_StockCount[WeekIndex],103)&gt;0,SUMIFS(T_StockCount[CountedQty],T_StockCount[RM_Code],$A73,T_StockCount[WeekIndex],103),IF((COUNTIFS(T_SelfStock[RM_Code],$A73,T_SelfStock[WeekIndex],103)&gt;0)*(COUNTIFS(T_TTAFStock[RM_Code],$A73,T_TTAFStock[WeekIndex],103)&gt;0)&gt;0,SUMIFS(T_SelfStock[Self_Qty],T_SelfStock[RM_Code],$A73,T_SelfStock[WeekIndex],103)+SUMIFS(T_TTAFStock[TTAF_Qty],T_TTAFStock[RM_Code],$A73,T_TTAFStock[WeekIndex],103),CY73+'Grid_Incoming'!CZ73-'Grid_Requirement'!CZ73))</f>
        <v/>
      </c>
      <c r="DA73">
        <f>IF(COUNTIFS(T_StockCount[RM_Code],$A73,T_StockCount[WeekIndex],104)&gt;0,SUMIFS(T_StockCount[CountedQty],T_StockCount[RM_Code],$A73,T_StockCount[WeekIndex],104),IF((COUNTIFS(T_SelfStock[RM_Code],$A73,T_SelfStock[WeekIndex],104)&gt;0)*(COUNTIFS(T_TTAFStock[RM_Code],$A73,T_TTAFStock[WeekIndex],104)&gt;0)&gt;0,SUMIFS(T_SelfStock[Self_Qty],T_SelfStock[RM_Code],$A73,T_SelfStock[WeekIndex],104)+SUMIFS(T_TTAFStock[TTAF_Qty],T_TTAFStock[RM_Code],$A73,T_TTAFStock[WeekIndex],104),CZ73+'Grid_Incoming'!DA73-'Grid_Requirement'!DA73))</f>
        <v/>
      </c>
    </row>
    <row r="74">
      <c r="A74" t="inlineStr">
        <is>
          <t>OLJ</t>
        </is>
      </c>
      <c r="B74">
        <f>IF(COUNTIFS(T_StockCount[RM_Code],$A74,T_StockCount[WeekIndex],1)&gt;0,SUMIFS(T_StockCount[CountedQty],T_StockCount[RM_Code],$A74,T_StockCount[WeekIndex],1),IF((COUNTIFS(T_SelfStock[RM_Code],$A74,T_SelfStock[WeekIndex],1)&gt;0)*(COUNTIFS(T_TTAFStock[RM_Code],$A74,T_TTAFStock[WeekIndex],1)&gt;0)&gt;0,SUMIFS(T_SelfStock[Self_Qty],T_SelfStock[RM_Code],$A74,T_SelfStock[WeekIndex],1)+SUMIFS(T_TTAFStock[TTAF_Qty],T_TTAFStock[RM_Code],$A74,T_TTAFStock[WeekIndex],1),IFERROR(INDEX(T_OpeningStock[Opening_Qty],MATCH($A74,T_OpeningStock[RM_Code],0)),0)+'Grid_Incoming'!B74-'Grid_Requirement'!B74))</f>
        <v/>
      </c>
      <c r="C74">
        <f>IF(COUNTIFS(T_StockCount[RM_Code],$A74,T_StockCount[WeekIndex],2)&gt;0,SUMIFS(T_StockCount[CountedQty],T_StockCount[RM_Code],$A74,T_StockCount[WeekIndex],2),IF((COUNTIFS(T_SelfStock[RM_Code],$A74,T_SelfStock[WeekIndex],2)&gt;0)*(COUNTIFS(T_TTAFStock[RM_Code],$A74,T_TTAFStock[WeekIndex],2)&gt;0)&gt;0,SUMIFS(T_SelfStock[Self_Qty],T_SelfStock[RM_Code],$A74,T_SelfStock[WeekIndex],2)+SUMIFS(T_TTAFStock[TTAF_Qty],T_TTAFStock[RM_Code],$A74,T_TTAFStock[WeekIndex],2),B74+'Grid_Incoming'!C74-'Grid_Requirement'!C74))</f>
        <v/>
      </c>
      <c r="D74">
        <f>IF(COUNTIFS(T_StockCount[RM_Code],$A74,T_StockCount[WeekIndex],3)&gt;0,SUMIFS(T_StockCount[CountedQty],T_StockCount[RM_Code],$A74,T_StockCount[WeekIndex],3),IF((COUNTIFS(T_SelfStock[RM_Code],$A74,T_SelfStock[WeekIndex],3)&gt;0)*(COUNTIFS(T_TTAFStock[RM_Code],$A74,T_TTAFStock[WeekIndex],3)&gt;0)&gt;0,SUMIFS(T_SelfStock[Self_Qty],T_SelfStock[RM_Code],$A74,T_SelfStock[WeekIndex],3)+SUMIFS(T_TTAFStock[TTAF_Qty],T_TTAFStock[RM_Code],$A74,T_TTAFStock[WeekIndex],3),C74+'Grid_Incoming'!D74-'Grid_Requirement'!D74))</f>
        <v/>
      </c>
      <c r="E74">
        <f>IF(COUNTIFS(T_StockCount[RM_Code],$A74,T_StockCount[WeekIndex],4)&gt;0,SUMIFS(T_StockCount[CountedQty],T_StockCount[RM_Code],$A74,T_StockCount[WeekIndex],4),IF((COUNTIFS(T_SelfStock[RM_Code],$A74,T_SelfStock[WeekIndex],4)&gt;0)*(COUNTIFS(T_TTAFStock[RM_Code],$A74,T_TTAFStock[WeekIndex],4)&gt;0)&gt;0,SUMIFS(T_SelfStock[Self_Qty],T_SelfStock[RM_Code],$A74,T_SelfStock[WeekIndex],4)+SUMIFS(T_TTAFStock[TTAF_Qty],T_TTAFStock[RM_Code],$A74,T_TTAFStock[WeekIndex],4),D74+'Grid_Incoming'!E74-'Grid_Requirement'!E74))</f>
        <v/>
      </c>
      <c r="F74">
        <f>IF(COUNTIFS(T_StockCount[RM_Code],$A74,T_StockCount[WeekIndex],5)&gt;0,SUMIFS(T_StockCount[CountedQty],T_StockCount[RM_Code],$A74,T_StockCount[WeekIndex],5),IF((COUNTIFS(T_SelfStock[RM_Code],$A74,T_SelfStock[WeekIndex],5)&gt;0)*(COUNTIFS(T_TTAFStock[RM_Code],$A74,T_TTAFStock[WeekIndex],5)&gt;0)&gt;0,SUMIFS(T_SelfStock[Self_Qty],T_SelfStock[RM_Code],$A74,T_SelfStock[WeekIndex],5)+SUMIFS(T_TTAFStock[TTAF_Qty],T_TTAFStock[RM_Code],$A74,T_TTAFStock[WeekIndex],5),E74+'Grid_Incoming'!F74-'Grid_Requirement'!F74))</f>
        <v/>
      </c>
      <c r="G74">
        <f>IF(COUNTIFS(T_StockCount[RM_Code],$A74,T_StockCount[WeekIndex],6)&gt;0,SUMIFS(T_StockCount[CountedQty],T_StockCount[RM_Code],$A74,T_StockCount[WeekIndex],6),IF((COUNTIFS(T_SelfStock[RM_Code],$A74,T_SelfStock[WeekIndex],6)&gt;0)*(COUNTIFS(T_TTAFStock[RM_Code],$A74,T_TTAFStock[WeekIndex],6)&gt;0)&gt;0,SUMIFS(T_SelfStock[Self_Qty],T_SelfStock[RM_Code],$A74,T_SelfStock[WeekIndex],6)+SUMIFS(T_TTAFStock[TTAF_Qty],T_TTAFStock[RM_Code],$A74,T_TTAFStock[WeekIndex],6),F74+'Grid_Incoming'!G74-'Grid_Requirement'!G74))</f>
        <v/>
      </c>
      <c r="H74">
        <f>IF(COUNTIFS(T_StockCount[RM_Code],$A74,T_StockCount[WeekIndex],7)&gt;0,SUMIFS(T_StockCount[CountedQty],T_StockCount[RM_Code],$A74,T_StockCount[WeekIndex],7),IF((COUNTIFS(T_SelfStock[RM_Code],$A74,T_SelfStock[WeekIndex],7)&gt;0)*(COUNTIFS(T_TTAFStock[RM_Code],$A74,T_TTAFStock[WeekIndex],7)&gt;0)&gt;0,SUMIFS(T_SelfStock[Self_Qty],T_SelfStock[RM_Code],$A74,T_SelfStock[WeekIndex],7)+SUMIFS(T_TTAFStock[TTAF_Qty],T_TTAFStock[RM_Code],$A74,T_TTAFStock[WeekIndex],7),G74+'Grid_Incoming'!H74-'Grid_Requirement'!H74))</f>
        <v/>
      </c>
      <c r="I74">
        <f>IF(COUNTIFS(T_StockCount[RM_Code],$A74,T_StockCount[WeekIndex],8)&gt;0,SUMIFS(T_StockCount[CountedQty],T_StockCount[RM_Code],$A74,T_StockCount[WeekIndex],8),IF((COUNTIFS(T_SelfStock[RM_Code],$A74,T_SelfStock[WeekIndex],8)&gt;0)*(COUNTIFS(T_TTAFStock[RM_Code],$A74,T_TTAFStock[WeekIndex],8)&gt;0)&gt;0,SUMIFS(T_SelfStock[Self_Qty],T_SelfStock[RM_Code],$A74,T_SelfStock[WeekIndex],8)+SUMIFS(T_TTAFStock[TTAF_Qty],T_TTAFStock[RM_Code],$A74,T_TTAFStock[WeekIndex],8),H74+'Grid_Incoming'!I74-'Grid_Requirement'!I74))</f>
        <v/>
      </c>
      <c r="J74">
        <f>IF(COUNTIFS(T_StockCount[RM_Code],$A74,T_StockCount[WeekIndex],9)&gt;0,SUMIFS(T_StockCount[CountedQty],T_StockCount[RM_Code],$A74,T_StockCount[WeekIndex],9),IF((COUNTIFS(T_SelfStock[RM_Code],$A74,T_SelfStock[WeekIndex],9)&gt;0)*(COUNTIFS(T_TTAFStock[RM_Code],$A74,T_TTAFStock[WeekIndex],9)&gt;0)&gt;0,SUMIFS(T_SelfStock[Self_Qty],T_SelfStock[RM_Code],$A74,T_SelfStock[WeekIndex],9)+SUMIFS(T_TTAFStock[TTAF_Qty],T_TTAFStock[RM_Code],$A74,T_TTAFStock[WeekIndex],9),I74+'Grid_Incoming'!J74-'Grid_Requirement'!J74))</f>
        <v/>
      </c>
      <c r="K74">
        <f>IF(COUNTIFS(T_StockCount[RM_Code],$A74,T_StockCount[WeekIndex],10)&gt;0,SUMIFS(T_StockCount[CountedQty],T_StockCount[RM_Code],$A74,T_StockCount[WeekIndex],10),IF((COUNTIFS(T_SelfStock[RM_Code],$A74,T_SelfStock[WeekIndex],10)&gt;0)*(COUNTIFS(T_TTAFStock[RM_Code],$A74,T_TTAFStock[WeekIndex],10)&gt;0)&gt;0,SUMIFS(T_SelfStock[Self_Qty],T_SelfStock[RM_Code],$A74,T_SelfStock[WeekIndex],10)+SUMIFS(T_TTAFStock[TTAF_Qty],T_TTAFStock[RM_Code],$A74,T_TTAFStock[WeekIndex],10),J74+'Grid_Incoming'!K74-'Grid_Requirement'!K74))</f>
        <v/>
      </c>
      <c r="L74">
        <f>IF(COUNTIFS(T_StockCount[RM_Code],$A74,T_StockCount[WeekIndex],11)&gt;0,SUMIFS(T_StockCount[CountedQty],T_StockCount[RM_Code],$A74,T_StockCount[WeekIndex],11),IF((COUNTIFS(T_SelfStock[RM_Code],$A74,T_SelfStock[WeekIndex],11)&gt;0)*(COUNTIFS(T_TTAFStock[RM_Code],$A74,T_TTAFStock[WeekIndex],11)&gt;0)&gt;0,SUMIFS(T_SelfStock[Self_Qty],T_SelfStock[RM_Code],$A74,T_SelfStock[WeekIndex],11)+SUMIFS(T_TTAFStock[TTAF_Qty],T_TTAFStock[RM_Code],$A74,T_TTAFStock[WeekIndex],11),K74+'Grid_Incoming'!L74-'Grid_Requirement'!L74))</f>
        <v/>
      </c>
      <c r="M74">
        <f>IF(COUNTIFS(T_StockCount[RM_Code],$A74,T_StockCount[WeekIndex],12)&gt;0,SUMIFS(T_StockCount[CountedQty],T_StockCount[RM_Code],$A74,T_StockCount[WeekIndex],12),IF((COUNTIFS(T_SelfStock[RM_Code],$A74,T_SelfStock[WeekIndex],12)&gt;0)*(COUNTIFS(T_TTAFStock[RM_Code],$A74,T_TTAFStock[WeekIndex],12)&gt;0)&gt;0,SUMIFS(T_SelfStock[Self_Qty],T_SelfStock[RM_Code],$A74,T_SelfStock[WeekIndex],12)+SUMIFS(T_TTAFStock[TTAF_Qty],T_TTAFStock[RM_Code],$A74,T_TTAFStock[WeekIndex],12),L74+'Grid_Incoming'!M74-'Grid_Requirement'!M74))</f>
        <v/>
      </c>
      <c r="N74">
        <f>IF(COUNTIFS(T_StockCount[RM_Code],$A74,T_StockCount[WeekIndex],13)&gt;0,SUMIFS(T_StockCount[CountedQty],T_StockCount[RM_Code],$A74,T_StockCount[WeekIndex],13),IF((COUNTIFS(T_SelfStock[RM_Code],$A74,T_SelfStock[WeekIndex],13)&gt;0)*(COUNTIFS(T_TTAFStock[RM_Code],$A74,T_TTAFStock[WeekIndex],13)&gt;0)&gt;0,SUMIFS(T_SelfStock[Self_Qty],T_SelfStock[RM_Code],$A74,T_SelfStock[WeekIndex],13)+SUMIFS(T_TTAFStock[TTAF_Qty],T_TTAFStock[RM_Code],$A74,T_TTAFStock[WeekIndex],13),M74+'Grid_Incoming'!N74-'Grid_Requirement'!N74))</f>
        <v/>
      </c>
      <c r="O74">
        <f>IF(COUNTIFS(T_StockCount[RM_Code],$A74,T_StockCount[WeekIndex],14)&gt;0,SUMIFS(T_StockCount[CountedQty],T_StockCount[RM_Code],$A74,T_StockCount[WeekIndex],14),IF((COUNTIFS(T_SelfStock[RM_Code],$A74,T_SelfStock[WeekIndex],14)&gt;0)*(COUNTIFS(T_TTAFStock[RM_Code],$A74,T_TTAFStock[WeekIndex],14)&gt;0)&gt;0,SUMIFS(T_SelfStock[Self_Qty],T_SelfStock[RM_Code],$A74,T_SelfStock[WeekIndex],14)+SUMIFS(T_TTAFStock[TTAF_Qty],T_TTAFStock[RM_Code],$A74,T_TTAFStock[WeekIndex],14),N74+'Grid_Incoming'!O74-'Grid_Requirement'!O74))</f>
        <v/>
      </c>
      <c r="P74">
        <f>IF(COUNTIFS(T_StockCount[RM_Code],$A74,T_StockCount[WeekIndex],15)&gt;0,SUMIFS(T_StockCount[CountedQty],T_StockCount[RM_Code],$A74,T_StockCount[WeekIndex],15),IF((COUNTIFS(T_SelfStock[RM_Code],$A74,T_SelfStock[WeekIndex],15)&gt;0)*(COUNTIFS(T_TTAFStock[RM_Code],$A74,T_TTAFStock[WeekIndex],15)&gt;0)&gt;0,SUMIFS(T_SelfStock[Self_Qty],T_SelfStock[RM_Code],$A74,T_SelfStock[WeekIndex],15)+SUMIFS(T_TTAFStock[TTAF_Qty],T_TTAFStock[RM_Code],$A74,T_TTAFStock[WeekIndex],15),O74+'Grid_Incoming'!P74-'Grid_Requirement'!P74))</f>
        <v/>
      </c>
      <c r="Q74">
        <f>IF(COUNTIFS(T_StockCount[RM_Code],$A74,T_StockCount[WeekIndex],16)&gt;0,SUMIFS(T_StockCount[CountedQty],T_StockCount[RM_Code],$A74,T_StockCount[WeekIndex],16),IF((COUNTIFS(T_SelfStock[RM_Code],$A74,T_SelfStock[WeekIndex],16)&gt;0)*(COUNTIFS(T_TTAFStock[RM_Code],$A74,T_TTAFStock[WeekIndex],16)&gt;0)&gt;0,SUMIFS(T_SelfStock[Self_Qty],T_SelfStock[RM_Code],$A74,T_SelfStock[WeekIndex],16)+SUMIFS(T_TTAFStock[TTAF_Qty],T_TTAFStock[RM_Code],$A74,T_TTAFStock[WeekIndex],16),P74+'Grid_Incoming'!Q74-'Grid_Requirement'!Q74))</f>
        <v/>
      </c>
      <c r="R74">
        <f>IF(COUNTIFS(T_StockCount[RM_Code],$A74,T_StockCount[WeekIndex],17)&gt;0,SUMIFS(T_StockCount[CountedQty],T_StockCount[RM_Code],$A74,T_StockCount[WeekIndex],17),IF((COUNTIFS(T_SelfStock[RM_Code],$A74,T_SelfStock[WeekIndex],17)&gt;0)*(COUNTIFS(T_TTAFStock[RM_Code],$A74,T_TTAFStock[WeekIndex],17)&gt;0)&gt;0,SUMIFS(T_SelfStock[Self_Qty],T_SelfStock[RM_Code],$A74,T_SelfStock[WeekIndex],17)+SUMIFS(T_TTAFStock[TTAF_Qty],T_TTAFStock[RM_Code],$A74,T_TTAFStock[WeekIndex],17),Q74+'Grid_Incoming'!R74-'Grid_Requirement'!R74))</f>
        <v/>
      </c>
      <c r="S74">
        <f>IF(COUNTIFS(T_StockCount[RM_Code],$A74,T_StockCount[WeekIndex],18)&gt;0,SUMIFS(T_StockCount[CountedQty],T_StockCount[RM_Code],$A74,T_StockCount[WeekIndex],18),IF((COUNTIFS(T_SelfStock[RM_Code],$A74,T_SelfStock[WeekIndex],18)&gt;0)*(COUNTIFS(T_TTAFStock[RM_Code],$A74,T_TTAFStock[WeekIndex],18)&gt;0)&gt;0,SUMIFS(T_SelfStock[Self_Qty],T_SelfStock[RM_Code],$A74,T_SelfStock[WeekIndex],18)+SUMIFS(T_TTAFStock[TTAF_Qty],T_TTAFStock[RM_Code],$A74,T_TTAFStock[WeekIndex],18),R74+'Grid_Incoming'!S74-'Grid_Requirement'!S74))</f>
        <v/>
      </c>
      <c r="T74">
        <f>IF(COUNTIFS(T_StockCount[RM_Code],$A74,T_StockCount[WeekIndex],19)&gt;0,SUMIFS(T_StockCount[CountedQty],T_StockCount[RM_Code],$A74,T_StockCount[WeekIndex],19),IF((COUNTIFS(T_SelfStock[RM_Code],$A74,T_SelfStock[WeekIndex],19)&gt;0)*(COUNTIFS(T_TTAFStock[RM_Code],$A74,T_TTAFStock[WeekIndex],19)&gt;0)&gt;0,SUMIFS(T_SelfStock[Self_Qty],T_SelfStock[RM_Code],$A74,T_SelfStock[WeekIndex],19)+SUMIFS(T_TTAFStock[TTAF_Qty],T_TTAFStock[RM_Code],$A74,T_TTAFStock[WeekIndex],19),S74+'Grid_Incoming'!T74-'Grid_Requirement'!T74))</f>
        <v/>
      </c>
      <c r="U74">
        <f>IF(COUNTIFS(T_StockCount[RM_Code],$A74,T_StockCount[WeekIndex],20)&gt;0,SUMIFS(T_StockCount[CountedQty],T_StockCount[RM_Code],$A74,T_StockCount[WeekIndex],20),IF((COUNTIFS(T_SelfStock[RM_Code],$A74,T_SelfStock[WeekIndex],20)&gt;0)*(COUNTIFS(T_TTAFStock[RM_Code],$A74,T_TTAFStock[WeekIndex],20)&gt;0)&gt;0,SUMIFS(T_SelfStock[Self_Qty],T_SelfStock[RM_Code],$A74,T_SelfStock[WeekIndex],20)+SUMIFS(T_TTAFStock[TTAF_Qty],T_TTAFStock[RM_Code],$A74,T_TTAFStock[WeekIndex],20),T74+'Grid_Incoming'!U74-'Grid_Requirement'!U74))</f>
        <v/>
      </c>
      <c r="V74">
        <f>IF(COUNTIFS(T_StockCount[RM_Code],$A74,T_StockCount[WeekIndex],21)&gt;0,SUMIFS(T_StockCount[CountedQty],T_StockCount[RM_Code],$A74,T_StockCount[WeekIndex],21),IF((COUNTIFS(T_SelfStock[RM_Code],$A74,T_SelfStock[WeekIndex],21)&gt;0)*(COUNTIFS(T_TTAFStock[RM_Code],$A74,T_TTAFStock[WeekIndex],21)&gt;0)&gt;0,SUMIFS(T_SelfStock[Self_Qty],T_SelfStock[RM_Code],$A74,T_SelfStock[WeekIndex],21)+SUMIFS(T_TTAFStock[TTAF_Qty],T_TTAFStock[RM_Code],$A74,T_TTAFStock[WeekIndex],21),U74+'Grid_Incoming'!V74-'Grid_Requirement'!V74))</f>
        <v/>
      </c>
      <c r="W74">
        <f>IF(COUNTIFS(T_StockCount[RM_Code],$A74,T_StockCount[WeekIndex],22)&gt;0,SUMIFS(T_StockCount[CountedQty],T_StockCount[RM_Code],$A74,T_StockCount[WeekIndex],22),IF((COUNTIFS(T_SelfStock[RM_Code],$A74,T_SelfStock[WeekIndex],22)&gt;0)*(COUNTIFS(T_TTAFStock[RM_Code],$A74,T_TTAFStock[WeekIndex],22)&gt;0)&gt;0,SUMIFS(T_SelfStock[Self_Qty],T_SelfStock[RM_Code],$A74,T_SelfStock[WeekIndex],22)+SUMIFS(T_TTAFStock[TTAF_Qty],T_TTAFStock[RM_Code],$A74,T_TTAFStock[WeekIndex],22),V74+'Grid_Incoming'!W74-'Grid_Requirement'!W74))</f>
        <v/>
      </c>
      <c r="X74">
        <f>IF(COUNTIFS(T_StockCount[RM_Code],$A74,T_StockCount[WeekIndex],23)&gt;0,SUMIFS(T_StockCount[CountedQty],T_StockCount[RM_Code],$A74,T_StockCount[WeekIndex],23),IF((COUNTIFS(T_SelfStock[RM_Code],$A74,T_SelfStock[WeekIndex],23)&gt;0)*(COUNTIFS(T_TTAFStock[RM_Code],$A74,T_TTAFStock[WeekIndex],23)&gt;0)&gt;0,SUMIFS(T_SelfStock[Self_Qty],T_SelfStock[RM_Code],$A74,T_SelfStock[WeekIndex],23)+SUMIFS(T_TTAFStock[TTAF_Qty],T_TTAFStock[RM_Code],$A74,T_TTAFStock[WeekIndex],23),W74+'Grid_Incoming'!X74-'Grid_Requirement'!X74))</f>
        <v/>
      </c>
      <c r="Y74">
        <f>IF(COUNTIFS(T_StockCount[RM_Code],$A74,T_StockCount[WeekIndex],24)&gt;0,SUMIFS(T_StockCount[CountedQty],T_StockCount[RM_Code],$A74,T_StockCount[WeekIndex],24),IF((COUNTIFS(T_SelfStock[RM_Code],$A74,T_SelfStock[WeekIndex],24)&gt;0)*(COUNTIFS(T_TTAFStock[RM_Code],$A74,T_TTAFStock[WeekIndex],24)&gt;0)&gt;0,SUMIFS(T_SelfStock[Self_Qty],T_SelfStock[RM_Code],$A74,T_SelfStock[WeekIndex],24)+SUMIFS(T_TTAFStock[TTAF_Qty],T_TTAFStock[RM_Code],$A74,T_TTAFStock[WeekIndex],24),X74+'Grid_Incoming'!Y74-'Grid_Requirement'!Y74))</f>
        <v/>
      </c>
      <c r="Z74">
        <f>IF(COUNTIFS(T_StockCount[RM_Code],$A74,T_StockCount[WeekIndex],25)&gt;0,SUMIFS(T_StockCount[CountedQty],T_StockCount[RM_Code],$A74,T_StockCount[WeekIndex],25),IF((COUNTIFS(T_SelfStock[RM_Code],$A74,T_SelfStock[WeekIndex],25)&gt;0)*(COUNTIFS(T_TTAFStock[RM_Code],$A74,T_TTAFStock[WeekIndex],25)&gt;0)&gt;0,SUMIFS(T_SelfStock[Self_Qty],T_SelfStock[RM_Code],$A74,T_SelfStock[WeekIndex],25)+SUMIFS(T_TTAFStock[TTAF_Qty],T_TTAFStock[RM_Code],$A74,T_TTAFStock[WeekIndex],25),Y74+'Grid_Incoming'!Z74-'Grid_Requirement'!Z74))</f>
        <v/>
      </c>
      <c r="AA74">
        <f>IF(COUNTIFS(T_StockCount[RM_Code],$A74,T_StockCount[WeekIndex],26)&gt;0,SUMIFS(T_StockCount[CountedQty],T_StockCount[RM_Code],$A74,T_StockCount[WeekIndex],26),IF((COUNTIFS(T_SelfStock[RM_Code],$A74,T_SelfStock[WeekIndex],26)&gt;0)*(COUNTIFS(T_TTAFStock[RM_Code],$A74,T_TTAFStock[WeekIndex],26)&gt;0)&gt;0,SUMIFS(T_SelfStock[Self_Qty],T_SelfStock[RM_Code],$A74,T_SelfStock[WeekIndex],26)+SUMIFS(T_TTAFStock[TTAF_Qty],T_TTAFStock[RM_Code],$A74,T_TTAFStock[WeekIndex],26),Z74+'Grid_Incoming'!AA74-'Grid_Requirement'!AA74))</f>
        <v/>
      </c>
      <c r="AB74">
        <f>IF(COUNTIFS(T_StockCount[RM_Code],$A74,T_StockCount[WeekIndex],27)&gt;0,SUMIFS(T_StockCount[CountedQty],T_StockCount[RM_Code],$A74,T_StockCount[WeekIndex],27),IF((COUNTIFS(T_SelfStock[RM_Code],$A74,T_SelfStock[WeekIndex],27)&gt;0)*(COUNTIFS(T_TTAFStock[RM_Code],$A74,T_TTAFStock[WeekIndex],27)&gt;0)&gt;0,SUMIFS(T_SelfStock[Self_Qty],T_SelfStock[RM_Code],$A74,T_SelfStock[WeekIndex],27)+SUMIFS(T_TTAFStock[TTAF_Qty],T_TTAFStock[RM_Code],$A74,T_TTAFStock[WeekIndex],27),AA74+'Grid_Incoming'!AB74-'Grid_Requirement'!AB74))</f>
        <v/>
      </c>
      <c r="AC74">
        <f>IF(COUNTIFS(T_StockCount[RM_Code],$A74,T_StockCount[WeekIndex],28)&gt;0,SUMIFS(T_StockCount[CountedQty],T_StockCount[RM_Code],$A74,T_StockCount[WeekIndex],28),IF((COUNTIFS(T_SelfStock[RM_Code],$A74,T_SelfStock[WeekIndex],28)&gt;0)*(COUNTIFS(T_TTAFStock[RM_Code],$A74,T_TTAFStock[WeekIndex],28)&gt;0)&gt;0,SUMIFS(T_SelfStock[Self_Qty],T_SelfStock[RM_Code],$A74,T_SelfStock[WeekIndex],28)+SUMIFS(T_TTAFStock[TTAF_Qty],T_TTAFStock[RM_Code],$A74,T_TTAFStock[WeekIndex],28),AB74+'Grid_Incoming'!AC74-'Grid_Requirement'!AC74))</f>
        <v/>
      </c>
      <c r="AD74">
        <f>IF(COUNTIFS(T_StockCount[RM_Code],$A74,T_StockCount[WeekIndex],29)&gt;0,SUMIFS(T_StockCount[CountedQty],T_StockCount[RM_Code],$A74,T_StockCount[WeekIndex],29),IF((COUNTIFS(T_SelfStock[RM_Code],$A74,T_SelfStock[WeekIndex],29)&gt;0)*(COUNTIFS(T_TTAFStock[RM_Code],$A74,T_TTAFStock[WeekIndex],29)&gt;0)&gt;0,SUMIFS(T_SelfStock[Self_Qty],T_SelfStock[RM_Code],$A74,T_SelfStock[WeekIndex],29)+SUMIFS(T_TTAFStock[TTAF_Qty],T_TTAFStock[RM_Code],$A74,T_TTAFStock[WeekIndex],29),AC74+'Grid_Incoming'!AD74-'Grid_Requirement'!AD74))</f>
        <v/>
      </c>
      <c r="AE74">
        <f>IF(COUNTIFS(T_StockCount[RM_Code],$A74,T_StockCount[WeekIndex],30)&gt;0,SUMIFS(T_StockCount[CountedQty],T_StockCount[RM_Code],$A74,T_StockCount[WeekIndex],30),IF((COUNTIFS(T_SelfStock[RM_Code],$A74,T_SelfStock[WeekIndex],30)&gt;0)*(COUNTIFS(T_TTAFStock[RM_Code],$A74,T_TTAFStock[WeekIndex],30)&gt;0)&gt;0,SUMIFS(T_SelfStock[Self_Qty],T_SelfStock[RM_Code],$A74,T_SelfStock[WeekIndex],30)+SUMIFS(T_TTAFStock[TTAF_Qty],T_TTAFStock[RM_Code],$A74,T_TTAFStock[WeekIndex],30),AD74+'Grid_Incoming'!AE74-'Grid_Requirement'!AE74))</f>
        <v/>
      </c>
      <c r="AF74">
        <f>IF(COUNTIFS(T_StockCount[RM_Code],$A74,T_StockCount[WeekIndex],31)&gt;0,SUMIFS(T_StockCount[CountedQty],T_StockCount[RM_Code],$A74,T_StockCount[WeekIndex],31),IF((COUNTIFS(T_SelfStock[RM_Code],$A74,T_SelfStock[WeekIndex],31)&gt;0)*(COUNTIFS(T_TTAFStock[RM_Code],$A74,T_TTAFStock[WeekIndex],31)&gt;0)&gt;0,SUMIFS(T_SelfStock[Self_Qty],T_SelfStock[RM_Code],$A74,T_SelfStock[WeekIndex],31)+SUMIFS(T_TTAFStock[TTAF_Qty],T_TTAFStock[RM_Code],$A74,T_TTAFStock[WeekIndex],31),AE74+'Grid_Incoming'!AF74-'Grid_Requirement'!AF74))</f>
        <v/>
      </c>
      <c r="AG74">
        <f>IF(COUNTIFS(T_StockCount[RM_Code],$A74,T_StockCount[WeekIndex],32)&gt;0,SUMIFS(T_StockCount[CountedQty],T_StockCount[RM_Code],$A74,T_StockCount[WeekIndex],32),IF((COUNTIFS(T_SelfStock[RM_Code],$A74,T_SelfStock[WeekIndex],32)&gt;0)*(COUNTIFS(T_TTAFStock[RM_Code],$A74,T_TTAFStock[WeekIndex],32)&gt;0)&gt;0,SUMIFS(T_SelfStock[Self_Qty],T_SelfStock[RM_Code],$A74,T_SelfStock[WeekIndex],32)+SUMIFS(T_TTAFStock[TTAF_Qty],T_TTAFStock[RM_Code],$A74,T_TTAFStock[WeekIndex],32),AF74+'Grid_Incoming'!AG74-'Grid_Requirement'!AG74))</f>
        <v/>
      </c>
      <c r="AH74">
        <f>IF(COUNTIFS(T_StockCount[RM_Code],$A74,T_StockCount[WeekIndex],33)&gt;0,SUMIFS(T_StockCount[CountedQty],T_StockCount[RM_Code],$A74,T_StockCount[WeekIndex],33),IF((COUNTIFS(T_SelfStock[RM_Code],$A74,T_SelfStock[WeekIndex],33)&gt;0)*(COUNTIFS(T_TTAFStock[RM_Code],$A74,T_TTAFStock[WeekIndex],33)&gt;0)&gt;0,SUMIFS(T_SelfStock[Self_Qty],T_SelfStock[RM_Code],$A74,T_SelfStock[WeekIndex],33)+SUMIFS(T_TTAFStock[TTAF_Qty],T_TTAFStock[RM_Code],$A74,T_TTAFStock[WeekIndex],33),AG74+'Grid_Incoming'!AH74-'Grid_Requirement'!AH74))</f>
        <v/>
      </c>
      <c r="AI74">
        <f>IF(COUNTIFS(T_StockCount[RM_Code],$A74,T_StockCount[WeekIndex],34)&gt;0,SUMIFS(T_StockCount[CountedQty],T_StockCount[RM_Code],$A74,T_StockCount[WeekIndex],34),IF((COUNTIFS(T_SelfStock[RM_Code],$A74,T_SelfStock[WeekIndex],34)&gt;0)*(COUNTIFS(T_TTAFStock[RM_Code],$A74,T_TTAFStock[WeekIndex],34)&gt;0)&gt;0,SUMIFS(T_SelfStock[Self_Qty],T_SelfStock[RM_Code],$A74,T_SelfStock[WeekIndex],34)+SUMIFS(T_TTAFStock[TTAF_Qty],T_TTAFStock[RM_Code],$A74,T_TTAFStock[WeekIndex],34),AH74+'Grid_Incoming'!AI74-'Grid_Requirement'!AI74))</f>
        <v/>
      </c>
      <c r="AJ74">
        <f>IF(COUNTIFS(T_StockCount[RM_Code],$A74,T_StockCount[WeekIndex],35)&gt;0,SUMIFS(T_StockCount[CountedQty],T_StockCount[RM_Code],$A74,T_StockCount[WeekIndex],35),IF((COUNTIFS(T_SelfStock[RM_Code],$A74,T_SelfStock[WeekIndex],35)&gt;0)*(COUNTIFS(T_TTAFStock[RM_Code],$A74,T_TTAFStock[WeekIndex],35)&gt;0)&gt;0,SUMIFS(T_SelfStock[Self_Qty],T_SelfStock[RM_Code],$A74,T_SelfStock[WeekIndex],35)+SUMIFS(T_TTAFStock[TTAF_Qty],T_TTAFStock[RM_Code],$A74,T_TTAFStock[WeekIndex],35),AI74+'Grid_Incoming'!AJ74-'Grid_Requirement'!AJ74))</f>
        <v/>
      </c>
      <c r="AK74">
        <f>IF(COUNTIFS(T_StockCount[RM_Code],$A74,T_StockCount[WeekIndex],36)&gt;0,SUMIFS(T_StockCount[CountedQty],T_StockCount[RM_Code],$A74,T_StockCount[WeekIndex],36),IF((COUNTIFS(T_SelfStock[RM_Code],$A74,T_SelfStock[WeekIndex],36)&gt;0)*(COUNTIFS(T_TTAFStock[RM_Code],$A74,T_TTAFStock[WeekIndex],36)&gt;0)&gt;0,SUMIFS(T_SelfStock[Self_Qty],T_SelfStock[RM_Code],$A74,T_SelfStock[WeekIndex],36)+SUMIFS(T_TTAFStock[TTAF_Qty],T_TTAFStock[RM_Code],$A74,T_TTAFStock[WeekIndex],36),AJ74+'Grid_Incoming'!AK74-'Grid_Requirement'!AK74))</f>
        <v/>
      </c>
      <c r="AL74">
        <f>IF(COUNTIFS(T_StockCount[RM_Code],$A74,T_StockCount[WeekIndex],37)&gt;0,SUMIFS(T_StockCount[CountedQty],T_StockCount[RM_Code],$A74,T_StockCount[WeekIndex],37),IF((COUNTIFS(T_SelfStock[RM_Code],$A74,T_SelfStock[WeekIndex],37)&gt;0)*(COUNTIFS(T_TTAFStock[RM_Code],$A74,T_TTAFStock[WeekIndex],37)&gt;0)&gt;0,SUMIFS(T_SelfStock[Self_Qty],T_SelfStock[RM_Code],$A74,T_SelfStock[WeekIndex],37)+SUMIFS(T_TTAFStock[TTAF_Qty],T_TTAFStock[RM_Code],$A74,T_TTAFStock[WeekIndex],37),AK74+'Grid_Incoming'!AL74-'Grid_Requirement'!AL74))</f>
        <v/>
      </c>
      <c r="AM74">
        <f>IF(COUNTIFS(T_StockCount[RM_Code],$A74,T_StockCount[WeekIndex],38)&gt;0,SUMIFS(T_StockCount[CountedQty],T_StockCount[RM_Code],$A74,T_StockCount[WeekIndex],38),IF((COUNTIFS(T_SelfStock[RM_Code],$A74,T_SelfStock[WeekIndex],38)&gt;0)*(COUNTIFS(T_TTAFStock[RM_Code],$A74,T_TTAFStock[WeekIndex],38)&gt;0)&gt;0,SUMIFS(T_SelfStock[Self_Qty],T_SelfStock[RM_Code],$A74,T_SelfStock[WeekIndex],38)+SUMIFS(T_TTAFStock[TTAF_Qty],T_TTAFStock[RM_Code],$A74,T_TTAFStock[WeekIndex],38),AL74+'Grid_Incoming'!AM74-'Grid_Requirement'!AM74))</f>
        <v/>
      </c>
      <c r="AN74">
        <f>IF(COUNTIFS(T_StockCount[RM_Code],$A74,T_StockCount[WeekIndex],39)&gt;0,SUMIFS(T_StockCount[CountedQty],T_StockCount[RM_Code],$A74,T_StockCount[WeekIndex],39),IF((COUNTIFS(T_SelfStock[RM_Code],$A74,T_SelfStock[WeekIndex],39)&gt;0)*(COUNTIFS(T_TTAFStock[RM_Code],$A74,T_TTAFStock[WeekIndex],39)&gt;0)&gt;0,SUMIFS(T_SelfStock[Self_Qty],T_SelfStock[RM_Code],$A74,T_SelfStock[WeekIndex],39)+SUMIFS(T_TTAFStock[TTAF_Qty],T_TTAFStock[RM_Code],$A74,T_TTAFStock[WeekIndex],39),AM74+'Grid_Incoming'!AN74-'Grid_Requirement'!AN74))</f>
        <v/>
      </c>
      <c r="AO74">
        <f>IF(COUNTIFS(T_StockCount[RM_Code],$A74,T_StockCount[WeekIndex],40)&gt;0,SUMIFS(T_StockCount[CountedQty],T_StockCount[RM_Code],$A74,T_StockCount[WeekIndex],40),IF((COUNTIFS(T_SelfStock[RM_Code],$A74,T_SelfStock[WeekIndex],40)&gt;0)*(COUNTIFS(T_TTAFStock[RM_Code],$A74,T_TTAFStock[WeekIndex],40)&gt;0)&gt;0,SUMIFS(T_SelfStock[Self_Qty],T_SelfStock[RM_Code],$A74,T_SelfStock[WeekIndex],40)+SUMIFS(T_TTAFStock[TTAF_Qty],T_TTAFStock[RM_Code],$A74,T_TTAFStock[WeekIndex],40),AN74+'Grid_Incoming'!AO74-'Grid_Requirement'!AO74))</f>
        <v/>
      </c>
      <c r="AP74">
        <f>IF(COUNTIFS(T_StockCount[RM_Code],$A74,T_StockCount[WeekIndex],41)&gt;0,SUMIFS(T_StockCount[CountedQty],T_StockCount[RM_Code],$A74,T_StockCount[WeekIndex],41),IF((COUNTIFS(T_SelfStock[RM_Code],$A74,T_SelfStock[WeekIndex],41)&gt;0)*(COUNTIFS(T_TTAFStock[RM_Code],$A74,T_TTAFStock[WeekIndex],41)&gt;0)&gt;0,SUMIFS(T_SelfStock[Self_Qty],T_SelfStock[RM_Code],$A74,T_SelfStock[WeekIndex],41)+SUMIFS(T_TTAFStock[TTAF_Qty],T_TTAFStock[RM_Code],$A74,T_TTAFStock[WeekIndex],41),AO74+'Grid_Incoming'!AP74-'Grid_Requirement'!AP74))</f>
        <v/>
      </c>
      <c r="AQ74">
        <f>IF(COUNTIFS(T_StockCount[RM_Code],$A74,T_StockCount[WeekIndex],42)&gt;0,SUMIFS(T_StockCount[CountedQty],T_StockCount[RM_Code],$A74,T_StockCount[WeekIndex],42),IF((COUNTIFS(T_SelfStock[RM_Code],$A74,T_SelfStock[WeekIndex],42)&gt;0)*(COUNTIFS(T_TTAFStock[RM_Code],$A74,T_TTAFStock[WeekIndex],42)&gt;0)&gt;0,SUMIFS(T_SelfStock[Self_Qty],T_SelfStock[RM_Code],$A74,T_SelfStock[WeekIndex],42)+SUMIFS(T_TTAFStock[TTAF_Qty],T_TTAFStock[RM_Code],$A74,T_TTAFStock[WeekIndex],42),AP74+'Grid_Incoming'!AQ74-'Grid_Requirement'!AQ74))</f>
        <v/>
      </c>
      <c r="AR74">
        <f>IF(COUNTIFS(T_StockCount[RM_Code],$A74,T_StockCount[WeekIndex],43)&gt;0,SUMIFS(T_StockCount[CountedQty],T_StockCount[RM_Code],$A74,T_StockCount[WeekIndex],43),IF((COUNTIFS(T_SelfStock[RM_Code],$A74,T_SelfStock[WeekIndex],43)&gt;0)*(COUNTIFS(T_TTAFStock[RM_Code],$A74,T_TTAFStock[WeekIndex],43)&gt;0)&gt;0,SUMIFS(T_SelfStock[Self_Qty],T_SelfStock[RM_Code],$A74,T_SelfStock[WeekIndex],43)+SUMIFS(T_TTAFStock[TTAF_Qty],T_TTAFStock[RM_Code],$A74,T_TTAFStock[WeekIndex],43),AQ74+'Grid_Incoming'!AR74-'Grid_Requirement'!AR74))</f>
        <v/>
      </c>
      <c r="AS74">
        <f>IF(COUNTIFS(T_StockCount[RM_Code],$A74,T_StockCount[WeekIndex],44)&gt;0,SUMIFS(T_StockCount[CountedQty],T_StockCount[RM_Code],$A74,T_StockCount[WeekIndex],44),IF((COUNTIFS(T_SelfStock[RM_Code],$A74,T_SelfStock[WeekIndex],44)&gt;0)*(COUNTIFS(T_TTAFStock[RM_Code],$A74,T_TTAFStock[WeekIndex],44)&gt;0)&gt;0,SUMIFS(T_SelfStock[Self_Qty],T_SelfStock[RM_Code],$A74,T_SelfStock[WeekIndex],44)+SUMIFS(T_TTAFStock[TTAF_Qty],T_TTAFStock[RM_Code],$A74,T_TTAFStock[WeekIndex],44),AR74+'Grid_Incoming'!AS74-'Grid_Requirement'!AS74))</f>
        <v/>
      </c>
      <c r="AT74">
        <f>IF(COUNTIFS(T_StockCount[RM_Code],$A74,T_StockCount[WeekIndex],45)&gt;0,SUMIFS(T_StockCount[CountedQty],T_StockCount[RM_Code],$A74,T_StockCount[WeekIndex],45),IF((COUNTIFS(T_SelfStock[RM_Code],$A74,T_SelfStock[WeekIndex],45)&gt;0)*(COUNTIFS(T_TTAFStock[RM_Code],$A74,T_TTAFStock[WeekIndex],45)&gt;0)&gt;0,SUMIFS(T_SelfStock[Self_Qty],T_SelfStock[RM_Code],$A74,T_SelfStock[WeekIndex],45)+SUMIFS(T_TTAFStock[TTAF_Qty],T_TTAFStock[RM_Code],$A74,T_TTAFStock[WeekIndex],45),AS74+'Grid_Incoming'!AT74-'Grid_Requirement'!AT74))</f>
        <v/>
      </c>
      <c r="AU74">
        <f>IF(COUNTIFS(T_StockCount[RM_Code],$A74,T_StockCount[WeekIndex],46)&gt;0,SUMIFS(T_StockCount[CountedQty],T_StockCount[RM_Code],$A74,T_StockCount[WeekIndex],46),IF((COUNTIFS(T_SelfStock[RM_Code],$A74,T_SelfStock[WeekIndex],46)&gt;0)*(COUNTIFS(T_TTAFStock[RM_Code],$A74,T_TTAFStock[WeekIndex],46)&gt;0)&gt;0,SUMIFS(T_SelfStock[Self_Qty],T_SelfStock[RM_Code],$A74,T_SelfStock[WeekIndex],46)+SUMIFS(T_TTAFStock[TTAF_Qty],T_TTAFStock[RM_Code],$A74,T_TTAFStock[WeekIndex],46),AT74+'Grid_Incoming'!AU74-'Grid_Requirement'!AU74))</f>
        <v/>
      </c>
      <c r="AV74">
        <f>IF(COUNTIFS(T_StockCount[RM_Code],$A74,T_StockCount[WeekIndex],47)&gt;0,SUMIFS(T_StockCount[CountedQty],T_StockCount[RM_Code],$A74,T_StockCount[WeekIndex],47),IF((COUNTIFS(T_SelfStock[RM_Code],$A74,T_SelfStock[WeekIndex],47)&gt;0)*(COUNTIFS(T_TTAFStock[RM_Code],$A74,T_TTAFStock[WeekIndex],47)&gt;0)&gt;0,SUMIFS(T_SelfStock[Self_Qty],T_SelfStock[RM_Code],$A74,T_SelfStock[WeekIndex],47)+SUMIFS(T_TTAFStock[TTAF_Qty],T_TTAFStock[RM_Code],$A74,T_TTAFStock[WeekIndex],47),AU74+'Grid_Incoming'!AV74-'Grid_Requirement'!AV74))</f>
        <v/>
      </c>
      <c r="AW74">
        <f>IF(COUNTIFS(T_StockCount[RM_Code],$A74,T_StockCount[WeekIndex],48)&gt;0,SUMIFS(T_StockCount[CountedQty],T_StockCount[RM_Code],$A74,T_StockCount[WeekIndex],48),IF((COUNTIFS(T_SelfStock[RM_Code],$A74,T_SelfStock[WeekIndex],48)&gt;0)*(COUNTIFS(T_TTAFStock[RM_Code],$A74,T_TTAFStock[WeekIndex],48)&gt;0)&gt;0,SUMIFS(T_SelfStock[Self_Qty],T_SelfStock[RM_Code],$A74,T_SelfStock[WeekIndex],48)+SUMIFS(T_TTAFStock[TTAF_Qty],T_TTAFStock[RM_Code],$A74,T_TTAFStock[WeekIndex],48),AV74+'Grid_Incoming'!AW74-'Grid_Requirement'!AW74))</f>
        <v/>
      </c>
      <c r="AX74">
        <f>IF(COUNTIFS(T_StockCount[RM_Code],$A74,T_StockCount[WeekIndex],49)&gt;0,SUMIFS(T_StockCount[CountedQty],T_StockCount[RM_Code],$A74,T_StockCount[WeekIndex],49),IF((COUNTIFS(T_SelfStock[RM_Code],$A74,T_SelfStock[WeekIndex],49)&gt;0)*(COUNTIFS(T_TTAFStock[RM_Code],$A74,T_TTAFStock[WeekIndex],49)&gt;0)&gt;0,SUMIFS(T_SelfStock[Self_Qty],T_SelfStock[RM_Code],$A74,T_SelfStock[WeekIndex],49)+SUMIFS(T_TTAFStock[TTAF_Qty],T_TTAFStock[RM_Code],$A74,T_TTAFStock[WeekIndex],49),AW74+'Grid_Incoming'!AX74-'Grid_Requirement'!AX74))</f>
        <v/>
      </c>
      <c r="AY74">
        <f>IF(COUNTIFS(T_StockCount[RM_Code],$A74,T_StockCount[WeekIndex],50)&gt;0,SUMIFS(T_StockCount[CountedQty],T_StockCount[RM_Code],$A74,T_StockCount[WeekIndex],50),IF((COUNTIFS(T_SelfStock[RM_Code],$A74,T_SelfStock[WeekIndex],50)&gt;0)*(COUNTIFS(T_TTAFStock[RM_Code],$A74,T_TTAFStock[WeekIndex],50)&gt;0)&gt;0,SUMIFS(T_SelfStock[Self_Qty],T_SelfStock[RM_Code],$A74,T_SelfStock[WeekIndex],50)+SUMIFS(T_TTAFStock[TTAF_Qty],T_TTAFStock[RM_Code],$A74,T_TTAFStock[WeekIndex],50),AX74+'Grid_Incoming'!AY74-'Grid_Requirement'!AY74))</f>
        <v/>
      </c>
      <c r="AZ74">
        <f>IF(COUNTIFS(T_StockCount[RM_Code],$A74,T_StockCount[WeekIndex],51)&gt;0,SUMIFS(T_StockCount[CountedQty],T_StockCount[RM_Code],$A74,T_StockCount[WeekIndex],51),IF((COUNTIFS(T_SelfStock[RM_Code],$A74,T_SelfStock[WeekIndex],51)&gt;0)*(COUNTIFS(T_TTAFStock[RM_Code],$A74,T_TTAFStock[WeekIndex],51)&gt;0)&gt;0,SUMIFS(T_SelfStock[Self_Qty],T_SelfStock[RM_Code],$A74,T_SelfStock[WeekIndex],51)+SUMIFS(T_TTAFStock[TTAF_Qty],T_TTAFStock[RM_Code],$A74,T_TTAFStock[WeekIndex],51),AY74+'Grid_Incoming'!AZ74-'Grid_Requirement'!AZ74))</f>
        <v/>
      </c>
      <c r="BA74">
        <f>IF(COUNTIFS(T_StockCount[RM_Code],$A74,T_StockCount[WeekIndex],52)&gt;0,SUMIFS(T_StockCount[CountedQty],T_StockCount[RM_Code],$A74,T_StockCount[WeekIndex],52),IF((COUNTIFS(T_SelfStock[RM_Code],$A74,T_SelfStock[WeekIndex],52)&gt;0)*(COUNTIFS(T_TTAFStock[RM_Code],$A74,T_TTAFStock[WeekIndex],52)&gt;0)&gt;0,SUMIFS(T_SelfStock[Self_Qty],T_SelfStock[RM_Code],$A74,T_SelfStock[WeekIndex],52)+SUMIFS(T_TTAFStock[TTAF_Qty],T_TTAFStock[RM_Code],$A74,T_TTAFStock[WeekIndex],52),AZ74+'Grid_Incoming'!BA74-'Grid_Requirement'!BA74))</f>
        <v/>
      </c>
      <c r="BB74">
        <f>IF(COUNTIFS(T_StockCount[RM_Code],$A74,T_StockCount[WeekIndex],53)&gt;0,SUMIFS(T_StockCount[CountedQty],T_StockCount[RM_Code],$A74,T_StockCount[WeekIndex],53),IF((COUNTIFS(T_SelfStock[RM_Code],$A74,T_SelfStock[WeekIndex],53)&gt;0)*(COUNTIFS(T_TTAFStock[RM_Code],$A74,T_TTAFStock[WeekIndex],53)&gt;0)&gt;0,SUMIFS(T_SelfStock[Self_Qty],T_SelfStock[RM_Code],$A74,T_SelfStock[WeekIndex],53)+SUMIFS(T_TTAFStock[TTAF_Qty],T_TTAFStock[RM_Code],$A74,T_TTAFStock[WeekIndex],53),BA74+'Grid_Incoming'!BB74-'Grid_Requirement'!BB74))</f>
        <v/>
      </c>
      <c r="BC74">
        <f>IF(COUNTIFS(T_StockCount[RM_Code],$A74,T_StockCount[WeekIndex],54)&gt;0,SUMIFS(T_StockCount[CountedQty],T_StockCount[RM_Code],$A74,T_StockCount[WeekIndex],54),IF((COUNTIFS(T_SelfStock[RM_Code],$A74,T_SelfStock[WeekIndex],54)&gt;0)*(COUNTIFS(T_TTAFStock[RM_Code],$A74,T_TTAFStock[WeekIndex],54)&gt;0)&gt;0,SUMIFS(T_SelfStock[Self_Qty],T_SelfStock[RM_Code],$A74,T_SelfStock[WeekIndex],54)+SUMIFS(T_TTAFStock[TTAF_Qty],T_TTAFStock[RM_Code],$A74,T_TTAFStock[WeekIndex],54),BB74+'Grid_Incoming'!BC74-'Grid_Requirement'!BC74))</f>
        <v/>
      </c>
      <c r="BD74">
        <f>IF(COUNTIFS(T_StockCount[RM_Code],$A74,T_StockCount[WeekIndex],55)&gt;0,SUMIFS(T_StockCount[CountedQty],T_StockCount[RM_Code],$A74,T_StockCount[WeekIndex],55),IF((COUNTIFS(T_SelfStock[RM_Code],$A74,T_SelfStock[WeekIndex],55)&gt;0)*(COUNTIFS(T_TTAFStock[RM_Code],$A74,T_TTAFStock[WeekIndex],55)&gt;0)&gt;0,SUMIFS(T_SelfStock[Self_Qty],T_SelfStock[RM_Code],$A74,T_SelfStock[WeekIndex],55)+SUMIFS(T_TTAFStock[TTAF_Qty],T_TTAFStock[RM_Code],$A74,T_TTAFStock[WeekIndex],55),BC74+'Grid_Incoming'!BD74-'Grid_Requirement'!BD74))</f>
        <v/>
      </c>
      <c r="BE74">
        <f>IF(COUNTIFS(T_StockCount[RM_Code],$A74,T_StockCount[WeekIndex],56)&gt;0,SUMIFS(T_StockCount[CountedQty],T_StockCount[RM_Code],$A74,T_StockCount[WeekIndex],56),IF((COUNTIFS(T_SelfStock[RM_Code],$A74,T_SelfStock[WeekIndex],56)&gt;0)*(COUNTIFS(T_TTAFStock[RM_Code],$A74,T_TTAFStock[WeekIndex],56)&gt;0)&gt;0,SUMIFS(T_SelfStock[Self_Qty],T_SelfStock[RM_Code],$A74,T_SelfStock[WeekIndex],56)+SUMIFS(T_TTAFStock[TTAF_Qty],T_TTAFStock[RM_Code],$A74,T_TTAFStock[WeekIndex],56),BD74+'Grid_Incoming'!BE74-'Grid_Requirement'!BE74))</f>
        <v/>
      </c>
      <c r="BF74">
        <f>IF(COUNTIFS(T_StockCount[RM_Code],$A74,T_StockCount[WeekIndex],57)&gt;0,SUMIFS(T_StockCount[CountedQty],T_StockCount[RM_Code],$A74,T_StockCount[WeekIndex],57),IF((COUNTIFS(T_SelfStock[RM_Code],$A74,T_SelfStock[WeekIndex],57)&gt;0)*(COUNTIFS(T_TTAFStock[RM_Code],$A74,T_TTAFStock[WeekIndex],57)&gt;0)&gt;0,SUMIFS(T_SelfStock[Self_Qty],T_SelfStock[RM_Code],$A74,T_SelfStock[WeekIndex],57)+SUMIFS(T_TTAFStock[TTAF_Qty],T_TTAFStock[RM_Code],$A74,T_TTAFStock[WeekIndex],57),BE74+'Grid_Incoming'!BF74-'Grid_Requirement'!BF74))</f>
        <v/>
      </c>
      <c r="BG74">
        <f>IF(COUNTIFS(T_StockCount[RM_Code],$A74,T_StockCount[WeekIndex],58)&gt;0,SUMIFS(T_StockCount[CountedQty],T_StockCount[RM_Code],$A74,T_StockCount[WeekIndex],58),IF((COUNTIFS(T_SelfStock[RM_Code],$A74,T_SelfStock[WeekIndex],58)&gt;0)*(COUNTIFS(T_TTAFStock[RM_Code],$A74,T_TTAFStock[WeekIndex],58)&gt;0)&gt;0,SUMIFS(T_SelfStock[Self_Qty],T_SelfStock[RM_Code],$A74,T_SelfStock[WeekIndex],58)+SUMIFS(T_TTAFStock[TTAF_Qty],T_TTAFStock[RM_Code],$A74,T_TTAFStock[WeekIndex],58),BF74+'Grid_Incoming'!BG74-'Grid_Requirement'!BG74))</f>
        <v/>
      </c>
      <c r="BH74">
        <f>IF(COUNTIFS(T_StockCount[RM_Code],$A74,T_StockCount[WeekIndex],59)&gt;0,SUMIFS(T_StockCount[CountedQty],T_StockCount[RM_Code],$A74,T_StockCount[WeekIndex],59),IF((COUNTIFS(T_SelfStock[RM_Code],$A74,T_SelfStock[WeekIndex],59)&gt;0)*(COUNTIFS(T_TTAFStock[RM_Code],$A74,T_TTAFStock[WeekIndex],59)&gt;0)&gt;0,SUMIFS(T_SelfStock[Self_Qty],T_SelfStock[RM_Code],$A74,T_SelfStock[WeekIndex],59)+SUMIFS(T_TTAFStock[TTAF_Qty],T_TTAFStock[RM_Code],$A74,T_TTAFStock[WeekIndex],59),BG74+'Grid_Incoming'!BH74-'Grid_Requirement'!BH74))</f>
        <v/>
      </c>
      <c r="BI74">
        <f>IF(COUNTIFS(T_StockCount[RM_Code],$A74,T_StockCount[WeekIndex],60)&gt;0,SUMIFS(T_StockCount[CountedQty],T_StockCount[RM_Code],$A74,T_StockCount[WeekIndex],60),IF((COUNTIFS(T_SelfStock[RM_Code],$A74,T_SelfStock[WeekIndex],60)&gt;0)*(COUNTIFS(T_TTAFStock[RM_Code],$A74,T_TTAFStock[WeekIndex],60)&gt;0)&gt;0,SUMIFS(T_SelfStock[Self_Qty],T_SelfStock[RM_Code],$A74,T_SelfStock[WeekIndex],60)+SUMIFS(T_TTAFStock[TTAF_Qty],T_TTAFStock[RM_Code],$A74,T_TTAFStock[WeekIndex],60),BH74+'Grid_Incoming'!BI74-'Grid_Requirement'!BI74))</f>
        <v/>
      </c>
      <c r="BJ74">
        <f>IF(COUNTIFS(T_StockCount[RM_Code],$A74,T_StockCount[WeekIndex],61)&gt;0,SUMIFS(T_StockCount[CountedQty],T_StockCount[RM_Code],$A74,T_StockCount[WeekIndex],61),IF((COUNTIFS(T_SelfStock[RM_Code],$A74,T_SelfStock[WeekIndex],61)&gt;0)*(COUNTIFS(T_TTAFStock[RM_Code],$A74,T_TTAFStock[WeekIndex],61)&gt;0)&gt;0,SUMIFS(T_SelfStock[Self_Qty],T_SelfStock[RM_Code],$A74,T_SelfStock[WeekIndex],61)+SUMIFS(T_TTAFStock[TTAF_Qty],T_TTAFStock[RM_Code],$A74,T_TTAFStock[WeekIndex],61),BI74+'Grid_Incoming'!BJ74-'Grid_Requirement'!BJ74))</f>
        <v/>
      </c>
      <c r="BK74">
        <f>IF(COUNTIFS(T_StockCount[RM_Code],$A74,T_StockCount[WeekIndex],62)&gt;0,SUMIFS(T_StockCount[CountedQty],T_StockCount[RM_Code],$A74,T_StockCount[WeekIndex],62),IF((COUNTIFS(T_SelfStock[RM_Code],$A74,T_SelfStock[WeekIndex],62)&gt;0)*(COUNTIFS(T_TTAFStock[RM_Code],$A74,T_TTAFStock[WeekIndex],62)&gt;0)&gt;0,SUMIFS(T_SelfStock[Self_Qty],T_SelfStock[RM_Code],$A74,T_SelfStock[WeekIndex],62)+SUMIFS(T_TTAFStock[TTAF_Qty],T_TTAFStock[RM_Code],$A74,T_TTAFStock[WeekIndex],62),BJ74+'Grid_Incoming'!BK74-'Grid_Requirement'!BK74))</f>
        <v/>
      </c>
      <c r="BL74">
        <f>IF(COUNTIFS(T_StockCount[RM_Code],$A74,T_StockCount[WeekIndex],63)&gt;0,SUMIFS(T_StockCount[CountedQty],T_StockCount[RM_Code],$A74,T_StockCount[WeekIndex],63),IF((COUNTIFS(T_SelfStock[RM_Code],$A74,T_SelfStock[WeekIndex],63)&gt;0)*(COUNTIFS(T_TTAFStock[RM_Code],$A74,T_TTAFStock[WeekIndex],63)&gt;0)&gt;0,SUMIFS(T_SelfStock[Self_Qty],T_SelfStock[RM_Code],$A74,T_SelfStock[WeekIndex],63)+SUMIFS(T_TTAFStock[TTAF_Qty],T_TTAFStock[RM_Code],$A74,T_TTAFStock[WeekIndex],63),BK74+'Grid_Incoming'!BL74-'Grid_Requirement'!BL74))</f>
        <v/>
      </c>
      <c r="BM74">
        <f>IF(COUNTIFS(T_StockCount[RM_Code],$A74,T_StockCount[WeekIndex],64)&gt;0,SUMIFS(T_StockCount[CountedQty],T_StockCount[RM_Code],$A74,T_StockCount[WeekIndex],64),IF((COUNTIFS(T_SelfStock[RM_Code],$A74,T_SelfStock[WeekIndex],64)&gt;0)*(COUNTIFS(T_TTAFStock[RM_Code],$A74,T_TTAFStock[WeekIndex],64)&gt;0)&gt;0,SUMIFS(T_SelfStock[Self_Qty],T_SelfStock[RM_Code],$A74,T_SelfStock[WeekIndex],64)+SUMIFS(T_TTAFStock[TTAF_Qty],T_TTAFStock[RM_Code],$A74,T_TTAFStock[WeekIndex],64),BL74+'Grid_Incoming'!BM74-'Grid_Requirement'!BM74))</f>
        <v/>
      </c>
      <c r="BN74">
        <f>IF(COUNTIFS(T_StockCount[RM_Code],$A74,T_StockCount[WeekIndex],65)&gt;0,SUMIFS(T_StockCount[CountedQty],T_StockCount[RM_Code],$A74,T_StockCount[WeekIndex],65),IF((COUNTIFS(T_SelfStock[RM_Code],$A74,T_SelfStock[WeekIndex],65)&gt;0)*(COUNTIFS(T_TTAFStock[RM_Code],$A74,T_TTAFStock[WeekIndex],65)&gt;0)&gt;0,SUMIFS(T_SelfStock[Self_Qty],T_SelfStock[RM_Code],$A74,T_SelfStock[WeekIndex],65)+SUMIFS(T_TTAFStock[TTAF_Qty],T_TTAFStock[RM_Code],$A74,T_TTAFStock[WeekIndex],65),BM74+'Grid_Incoming'!BN74-'Grid_Requirement'!BN74))</f>
        <v/>
      </c>
      <c r="BO74">
        <f>IF(COUNTIFS(T_StockCount[RM_Code],$A74,T_StockCount[WeekIndex],66)&gt;0,SUMIFS(T_StockCount[CountedQty],T_StockCount[RM_Code],$A74,T_StockCount[WeekIndex],66),IF((COUNTIFS(T_SelfStock[RM_Code],$A74,T_SelfStock[WeekIndex],66)&gt;0)*(COUNTIFS(T_TTAFStock[RM_Code],$A74,T_TTAFStock[WeekIndex],66)&gt;0)&gt;0,SUMIFS(T_SelfStock[Self_Qty],T_SelfStock[RM_Code],$A74,T_SelfStock[WeekIndex],66)+SUMIFS(T_TTAFStock[TTAF_Qty],T_TTAFStock[RM_Code],$A74,T_TTAFStock[WeekIndex],66),BN74+'Grid_Incoming'!BO74-'Grid_Requirement'!BO74))</f>
        <v/>
      </c>
      <c r="BP74">
        <f>IF(COUNTIFS(T_StockCount[RM_Code],$A74,T_StockCount[WeekIndex],67)&gt;0,SUMIFS(T_StockCount[CountedQty],T_StockCount[RM_Code],$A74,T_StockCount[WeekIndex],67),IF((COUNTIFS(T_SelfStock[RM_Code],$A74,T_SelfStock[WeekIndex],67)&gt;0)*(COUNTIFS(T_TTAFStock[RM_Code],$A74,T_TTAFStock[WeekIndex],67)&gt;0)&gt;0,SUMIFS(T_SelfStock[Self_Qty],T_SelfStock[RM_Code],$A74,T_SelfStock[WeekIndex],67)+SUMIFS(T_TTAFStock[TTAF_Qty],T_TTAFStock[RM_Code],$A74,T_TTAFStock[WeekIndex],67),BO74+'Grid_Incoming'!BP74-'Grid_Requirement'!BP74))</f>
        <v/>
      </c>
      <c r="BQ74">
        <f>IF(COUNTIFS(T_StockCount[RM_Code],$A74,T_StockCount[WeekIndex],68)&gt;0,SUMIFS(T_StockCount[CountedQty],T_StockCount[RM_Code],$A74,T_StockCount[WeekIndex],68),IF((COUNTIFS(T_SelfStock[RM_Code],$A74,T_SelfStock[WeekIndex],68)&gt;0)*(COUNTIFS(T_TTAFStock[RM_Code],$A74,T_TTAFStock[WeekIndex],68)&gt;0)&gt;0,SUMIFS(T_SelfStock[Self_Qty],T_SelfStock[RM_Code],$A74,T_SelfStock[WeekIndex],68)+SUMIFS(T_TTAFStock[TTAF_Qty],T_TTAFStock[RM_Code],$A74,T_TTAFStock[WeekIndex],68),BP74+'Grid_Incoming'!BQ74-'Grid_Requirement'!BQ74))</f>
        <v/>
      </c>
      <c r="BR74">
        <f>IF(COUNTIFS(T_StockCount[RM_Code],$A74,T_StockCount[WeekIndex],69)&gt;0,SUMIFS(T_StockCount[CountedQty],T_StockCount[RM_Code],$A74,T_StockCount[WeekIndex],69),IF((COUNTIFS(T_SelfStock[RM_Code],$A74,T_SelfStock[WeekIndex],69)&gt;0)*(COUNTIFS(T_TTAFStock[RM_Code],$A74,T_TTAFStock[WeekIndex],69)&gt;0)&gt;0,SUMIFS(T_SelfStock[Self_Qty],T_SelfStock[RM_Code],$A74,T_SelfStock[WeekIndex],69)+SUMIFS(T_TTAFStock[TTAF_Qty],T_TTAFStock[RM_Code],$A74,T_TTAFStock[WeekIndex],69),BQ74+'Grid_Incoming'!BR74-'Grid_Requirement'!BR74))</f>
        <v/>
      </c>
      <c r="BS74">
        <f>IF(COUNTIFS(T_StockCount[RM_Code],$A74,T_StockCount[WeekIndex],70)&gt;0,SUMIFS(T_StockCount[CountedQty],T_StockCount[RM_Code],$A74,T_StockCount[WeekIndex],70),IF((COUNTIFS(T_SelfStock[RM_Code],$A74,T_SelfStock[WeekIndex],70)&gt;0)*(COUNTIFS(T_TTAFStock[RM_Code],$A74,T_TTAFStock[WeekIndex],70)&gt;0)&gt;0,SUMIFS(T_SelfStock[Self_Qty],T_SelfStock[RM_Code],$A74,T_SelfStock[WeekIndex],70)+SUMIFS(T_TTAFStock[TTAF_Qty],T_TTAFStock[RM_Code],$A74,T_TTAFStock[WeekIndex],70),BR74+'Grid_Incoming'!BS74-'Grid_Requirement'!BS74))</f>
        <v/>
      </c>
      <c r="BT74">
        <f>IF(COUNTIFS(T_StockCount[RM_Code],$A74,T_StockCount[WeekIndex],71)&gt;0,SUMIFS(T_StockCount[CountedQty],T_StockCount[RM_Code],$A74,T_StockCount[WeekIndex],71),IF((COUNTIFS(T_SelfStock[RM_Code],$A74,T_SelfStock[WeekIndex],71)&gt;0)*(COUNTIFS(T_TTAFStock[RM_Code],$A74,T_TTAFStock[WeekIndex],71)&gt;0)&gt;0,SUMIFS(T_SelfStock[Self_Qty],T_SelfStock[RM_Code],$A74,T_SelfStock[WeekIndex],71)+SUMIFS(T_TTAFStock[TTAF_Qty],T_TTAFStock[RM_Code],$A74,T_TTAFStock[WeekIndex],71),BS74+'Grid_Incoming'!BT74-'Grid_Requirement'!BT74))</f>
        <v/>
      </c>
      <c r="BU74">
        <f>IF(COUNTIFS(T_StockCount[RM_Code],$A74,T_StockCount[WeekIndex],72)&gt;0,SUMIFS(T_StockCount[CountedQty],T_StockCount[RM_Code],$A74,T_StockCount[WeekIndex],72),IF((COUNTIFS(T_SelfStock[RM_Code],$A74,T_SelfStock[WeekIndex],72)&gt;0)*(COUNTIFS(T_TTAFStock[RM_Code],$A74,T_TTAFStock[WeekIndex],72)&gt;0)&gt;0,SUMIFS(T_SelfStock[Self_Qty],T_SelfStock[RM_Code],$A74,T_SelfStock[WeekIndex],72)+SUMIFS(T_TTAFStock[TTAF_Qty],T_TTAFStock[RM_Code],$A74,T_TTAFStock[WeekIndex],72),BT74+'Grid_Incoming'!BU74-'Grid_Requirement'!BU74))</f>
        <v/>
      </c>
      <c r="BV74">
        <f>IF(COUNTIFS(T_StockCount[RM_Code],$A74,T_StockCount[WeekIndex],73)&gt;0,SUMIFS(T_StockCount[CountedQty],T_StockCount[RM_Code],$A74,T_StockCount[WeekIndex],73),IF((COUNTIFS(T_SelfStock[RM_Code],$A74,T_SelfStock[WeekIndex],73)&gt;0)*(COUNTIFS(T_TTAFStock[RM_Code],$A74,T_TTAFStock[WeekIndex],73)&gt;0)&gt;0,SUMIFS(T_SelfStock[Self_Qty],T_SelfStock[RM_Code],$A74,T_SelfStock[WeekIndex],73)+SUMIFS(T_TTAFStock[TTAF_Qty],T_TTAFStock[RM_Code],$A74,T_TTAFStock[WeekIndex],73),BU74+'Grid_Incoming'!BV74-'Grid_Requirement'!BV74))</f>
        <v/>
      </c>
      <c r="BW74">
        <f>IF(COUNTIFS(T_StockCount[RM_Code],$A74,T_StockCount[WeekIndex],74)&gt;0,SUMIFS(T_StockCount[CountedQty],T_StockCount[RM_Code],$A74,T_StockCount[WeekIndex],74),IF((COUNTIFS(T_SelfStock[RM_Code],$A74,T_SelfStock[WeekIndex],74)&gt;0)*(COUNTIFS(T_TTAFStock[RM_Code],$A74,T_TTAFStock[WeekIndex],74)&gt;0)&gt;0,SUMIFS(T_SelfStock[Self_Qty],T_SelfStock[RM_Code],$A74,T_SelfStock[WeekIndex],74)+SUMIFS(T_TTAFStock[TTAF_Qty],T_TTAFStock[RM_Code],$A74,T_TTAFStock[WeekIndex],74),BV74+'Grid_Incoming'!BW74-'Grid_Requirement'!BW74))</f>
        <v/>
      </c>
      <c r="BX74">
        <f>IF(COUNTIFS(T_StockCount[RM_Code],$A74,T_StockCount[WeekIndex],75)&gt;0,SUMIFS(T_StockCount[CountedQty],T_StockCount[RM_Code],$A74,T_StockCount[WeekIndex],75),IF((COUNTIFS(T_SelfStock[RM_Code],$A74,T_SelfStock[WeekIndex],75)&gt;0)*(COUNTIFS(T_TTAFStock[RM_Code],$A74,T_TTAFStock[WeekIndex],75)&gt;0)&gt;0,SUMIFS(T_SelfStock[Self_Qty],T_SelfStock[RM_Code],$A74,T_SelfStock[WeekIndex],75)+SUMIFS(T_TTAFStock[TTAF_Qty],T_TTAFStock[RM_Code],$A74,T_TTAFStock[WeekIndex],75),BW74+'Grid_Incoming'!BX74-'Grid_Requirement'!BX74))</f>
        <v/>
      </c>
      <c r="BY74">
        <f>IF(COUNTIFS(T_StockCount[RM_Code],$A74,T_StockCount[WeekIndex],76)&gt;0,SUMIFS(T_StockCount[CountedQty],T_StockCount[RM_Code],$A74,T_StockCount[WeekIndex],76),IF((COUNTIFS(T_SelfStock[RM_Code],$A74,T_SelfStock[WeekIndex],76)&gt;0)*(COUNTIFS(T_TTAFStock[RM_Code],$A74,T_TTAFStock[WeekIndex],76)&gt;0)&gt;0,SUMIFS(T_SelfStock[Self_Qty],T_SelfStock[RM_Code],$A74,T_SelfStock[WeekIndex],76)+SUMIFS(T_TTAFStock[TTAF_Qty],T_TTAFStock[RM_Code],$A74,T_TTAFStock[WeekIndex],76),BX74+'Grid_Incoming'!BY74-'Grid_Requirement'!BY74))</f>
        <v/>
      </c>
      <c r="BZ74">
        <f>IF(COUNTIFS(T_StockCount[RM_Code],$A74,T_StockCount[WeekIndex],77)&gt;0,SUMIFS(T_StockCount[CountedQty],T_StockCount[RM_Code],$A74,T_StockCount[WeekIndex],77),IF((COUNTIFS(T_SelfStock[RM_Code],$A74,T_SelfStock[WeekIndex],77)&gt;0)*(COUNTIFS(T_TTAFStock[RM_Code],$A74,T_TTAFStock[WeekIndex],77)&gt;0)&gt;0,SUMIFS(T_SelfStock[Self_Qty],T_SelfStock[RM_Code],$A74,T_SelfStock[WeekIndex],77)+SUMIFS(T_TTAFStock[TTAF_Qty],T_TTAFStock[RM_Code],$A74,T_TTAFStock[WeekIndex],77),BY74+'Grid_Incoming'!BZ74-'Grid_Requirement'!BZ74))</f>
        <v/>
      </c>
      <c r="CA74">
        <f>IF(COUNTIFS(T_StockCount[RM_Code],$A74,T_StockCount[WeekIndex],78)&gt;0,SUMIFS(T_StockCount[CountedQty],T_StockCount[RM_Code],$A74,T_StockCount[WeekIndex],78),IF((COUNTIFS(T_SelfStock[RM_Code],$A74,T_SelfStock[WeekIndex],78)&gt;0)*(COUNTIFS(T_TTAFStock[RM_Code],$A74,T_TTAFStock[WeekIndex],78)&gt;0)&gt;0,SUMIFS(T_SelfStock[Self_Qty],T_SelfStock[RM_Code],$A74,T_SelfStock[WeekIndex],78)+SUMIFS(T_TTAFStock[TTAF_Qty],T_TTAFStock[RM_Code],$A74,T_TTAFStock[WeekIndex],78),BZ74+'Grid_Incoming'!CA74-'Grid_Requirement'!CA74))</f>
        <v/>
      </c>
      <c r="CB74">
        <f>IF(COUNTIFS(T_StockCount[RM_Code],$A74,T_StockCount[WeekIndex],79)&gt;0,SUMIFS(T_StockCount[CountedQty],T_StockCount[RM_Code],$A74,T_StockCount[WeekIndex],79),IF((COUNTIFS(T_SelfStock[RM_Code],$A74,T_SelfStock[WeekIndex],79)&gt;0)*(COUNTIFS(T_TTAFStock[RM_Code],$A74,T_TTAFStock[WeekIndex],79)&gt;0)&gt;0,SUMIFS(T_SelfStock[Self_Qty],T_SelfStock[RM_Code],$A74,T_SelfStock[WeekIndex],79)+SUMIFS(T_TTAFStock[TTAF_Qty],T_TTAFStock[RM_Code],$A74,T_TTAFStock[WeekIndex],79),CA74+'Grid_Incoming'!CB74-'Grid_Requirement'!CB74))</f>
        <v/>
      </c>
      <c r="CC74">
        <f>IF(COUNTIFS(T_StockCount[RM_Code],$A74,T_StockCount[WeekIndex],80)&gt;0,SUMIFS(T_StockCount[CountedQty],T_StockCount[RM_Code],$A74,T_StockCount[WeekIndex],80),IF((COUNTIFS(T_SelfStock[RM_Code],$A74,T_SelfStock[WeekIndex],80)&gt;0)*(COUNTIFS(T_TTAFStock[RM_Code],$A74,T_TTAFStock[WeekIndex],80)&gt;0)&gt;0,SUMIFS(T_SelfStock[Self_Qty],T_SelfStock[RM_Code],$A74,T_SelfStock[WeekIndex],80)+SUMIFS(T_TTAFStock[TTAF_Qty],T_TTAFStock[RM_Code],$A74,T_TTAFStock[WeekIndex],80),CB74+'Grid_Incoming'!CC74-'Grid_Requirement'!CC74))</f>
        <v/>
      </c>
      <c r="CD74">
        <f>IF(COUNTIFS(T_StockCount[RM_Code],$A74,T_StockCount[WeekIndex],81)&gt;0,SUMIFS(T_StockCount[CountedQty],T_StockCount[RM_Code],$A74,T_StockCount[WeekIndex],81),IF((COUNTIFS(T_SelfStock[RM_Code],$A74,T_SelfStock[WeekIndex],81)&gt;0)*(COUNTIFS(T_TTAFStock[RM_Code],$A74,T_TTAFStock[WeekIndex],81)&gt;0)&gt;0,SUMIFS(T_SelfStock[Self_Qty],T_SelfStock[RM_Code],$A74,T_SelfStock[WeekIndex],81)+SUMIFS(T_TTAFStock[TTAF_Qty],T_TTAFStock[RM_Code],$A74,T_TTAFStock[WeekIndex],81),CC74+'Grid_Incoming'!CD74-'Grid_Requirement'!CD74))</f>
        <v/>
      </c>
      <c r="CE74">
        <f>IF(COUNTIFS(T_StockCount[RM_Code],$A74,T_StockCount[WeekIndex],82)&gt;0,SUMIFS(T_StockCount[CountedQty],T_StockCount[RM_Code],$A74,T_StockCount[WeekIndex],82),IF((COUNTIFS(T_SelfStock[RM_Code],$A74,T_SelfStock[WeekIndex],82)&gt;0)*(COUNTIFS(T_TTAFStock[RM_Code],$A74,T_TTAFStock[WeekIndex],82)&gt;0)&gt;0,SUMIFS(T_SelfStock[Self_Qty],T_SelfStock[RM_Code],$A74,T_SelfStock[WeekIndex],82)+SUMIFS(T_TTAFStock[TTAF_Qty],T_TTAFStock[RM_Code],$A74,T_TTAFStock[WeekIndex],82),CD74+'Grid_Incoming'!CE74-'Grid_Requirement'!CE74))</f>
        <v/>
      </c>
      <c r="CF74">
        <f>IF(COUNTIFS(T_StockCount[RM_Code],$A74,T_StockCount[WeekIndex],83)&gt;0,SUMIFS(T_StockCount[CountedQty],T_StockCount[RM_Code],$A74,T_StockCount[WeekIndex],83),IF((COUNTIFS(T_SelfStock[RM_Code],$A74,T_SelfStock[WeekIndex],83)&gt;0)*(COUNTIFS(T_TTAFStock[RM_Code],$A74,T_TTAFStock[WeekIndex],83)&gt;0)&gt;0,SUMIFS(T_SelfStock[Self_Qty],T_SelfStock[RM_Code],$A74,T_SelfStock[WeekIndex],83)+SUMIFS(T_TTAFStock[TTAF_Qty],T_TTAFStock[RM_Code],$A74,T_TTAFStock[WeekIndex],83),CE74+'Grid_Incoming'!CF74-'Grid_Requirement'!CF74))</f>
        <v/>
      </c>
      <c r="CG74">
        <f>IF(COUNTIFS(T_StockCount[RM_Code],$A74,T_StockCount[WeekIndex],84)&gt;0,SUMIFS(T_StockCount[CountedQty],T_StockCount[RM_Code],$A74,T_StockCount[WeekIndex],84),IF((COUNTIFS(T_SelfStock[RM_Code],$A74,T_SelfStock[WeekIndex],84)&gt;0)*(COUNTIFS(T_TTAFStock[RM_Code],$A74,T_TTAFStock[WeekIndex],84)&gt;0)&gt;0,SUMIFS(T_SelfStock[Self_Qty],T_SelfStock[RM_Code],$A74,T_SelfStock[WeekIndex],84)+SUMIFS(T_TTAFStock[TTAF_Qty],T_TTAFStock[RM_Code],$A74,T_TTAFStock[WeekIndex],84),CF74+'Grid_Incoming'!CG74-'Grid_Requirement'!CG74))</f>
        <v/>
      </c>
      <c r="CH74">
        <f>IF(COUNTIFS(T_StockCount[RM_Code],$A74,T_StockCount[WeekIndex],85)&gt;0,SUMIFS(T_StockCount[CountedQty],T_StockCount[RM_Code],$A74,T_StockCount[WeekIndex],85),IF((COUNTIFS(T_SelfStock[RM_Code],$A74,T_SelfStock[WeekIndex],85)&gt;0)*(COUNTIFS(T_TTAFStock[RM_Code],$A74,T_TTAFStock[WeekIndex],85)&gt;0)&gt;0,SUMIFS(T_SelfStock[Self_Qty],T_SelfStock[RM_Code],$A74,T_SelfStock[WeekIndex],85)+SUMIFS(T_TTAFStock[TTAF_Qty],T_TTAFStock[RM_Code],$A74,T_TTAFStock[WeekIndex],85),CG74+'Grid_Incoming'!CH74-'Grid_Requirement'!CH74))</f>
        <v/>
      </c>
      <c r="CI74">
        <f>IF(COUNTIFS(T_StockCount[RM_Code],$A74,T_StockCount[WeekIndex],86)&gt;0,SUMIFS(T_StockCount[CountedQty],T_StockCount[RM_Code],$A74,T_StockCount[WeekIndex],86),IF((COUNTIFS(T_SelfStock[RM_Code],$A74,T_SelfStock[WeekIndex],86)&gt;0)*(COUNTIFS(T_TTAFStock[RM_Code],$A74,T_TTAFStock[WeekIndex],86)&gt;0)&gt;0,SUMIFS(T_SelfStock[Self_Qty],T_SelfStock[RM_Code],$A74,T_SelfStock[WeekIndex],86)+SUMIFS(T_TTAFStock[TTAF_Qty],T_TTAFStock[RM_Code],$A74,T_TTAFStock[WeekIndex],86),CH74+'Grid_Incoming'!CI74-'Grid_Requirement'!CI74))</f>
        <v/>
      </c>
      <c r="CJ74">
        <f>IF(COUNTIFS(T_StockCount[RM_Code],$A74,T_StockCount[WeekIndex],87)&gt;0,SUMIFS(T_StockCount[CountedQty],T_StockCount[RM_Code],$A74,T_StockCount[WeekIndex],87),IF((COUNTIFS(T_SelfStock[RM_Code],$A74,T_SelfStock[WeekIndex],87)&gt;0)*(COUNTIFS(T_TTAFStock[RM_Code],$A74,T_TTAFStock[WeekIndex],87)&gt;0)&gt;0,SUMIFS(T_SelfStock[Self_Qty],T_SelfStock[RM_Code],$A74,T_SelfStock[WeekIndex],87)+SUMIFS(T_TTAFStock[TTAF_Qty],T_TTAFStock[RM_Code],$A74,T_TTAFStock[WeekIndex],87),CI74+'Grid_Incoming'!CJ74-'Grid_Requirement'!CJ74))</f>
        <v/>
      </c>
      <c r="CK74">
        <f>IF(COUNTIFS(T_StockCount[RM_Code],$A74,T_StockCount[WeekIndex],88)&gt;0,SUMIFS(T_StockCount[CountedQty],T_StockCount[RM_Code],$A74,T_StockCount[WeekIndex],88),IF((COUNTIFS(T_SelfStock[RM_Code],$A74,T_SelfStock[WeekIndex],88)&gt;0)*(COUNTIFS(T_TTAFStock[RM_Code],$A74,T_TTAFStock[WeekIndex],88)&gt;0)&gt;0,SUMIFS(T_SelfStock[Self_Qty],T_SelfStock[RM_Code],$A74,T_SelfStock[WeekIndex],88)+SUMIFS(T_TTAFStock[TTAF_Qty],T_TTAFStock[RM_Code],$A74,T_TTAFStock[WeekIndex],88),CJ74+'Grid_Incoming'!CK74-'Grid_Requirement'!CK74))</f>
        <v/>
      </c>
      <c r="CL74">
        <f>IF(COUNTIFS(T_StockCount[RM_Code],$A74,T_StockCount[WeekIndex],89)&gt;0,SUMIFS(T_StockCount[CountedQty],T_StockCount[RM_Code],$A74,T_StockCount[WeekIndex],89),IF((COUNTIFS(T_SelfStock[RM_Code],$A74,T_SelfStock[WeekIndex],89)&gt;0)*(COUNTIFS(T_TTAFStock[RM_Code],$A74,T_TTAFStock[WeekIndex],89)&gt;0)&gt;0,SUMIFS(T_SelfStock[Self_Qty],T_SelfStock[RM_Code],$A74,T_SelfStock[WeekIndex],89)+SUMIFS(T_TTAFStock[TTAF_Qty],T_TTAFStock[RM_Code],$A74,T_TTAFStock[WeekIndex],89),CK74+'Grid_Incoming'!CL74-'Grid_Requirement'!CL74))</f>
        <v/>
      </c>
      <c r="CM74">
        <f>IF(COUNTIFS(T_StockCount[RM_Code],$A74,T_StockCount[WeekIndex],90)&gt;0,SUMIFS(T_StockCount[CountedQty],T_StockCount[RM_Code],$A74,T_StockCount[WeekIndex],90),IF((COUNTIFS(T_SelfStock[RM_Code],$A74,T_SelfStock[WeekIndex],90)&gt;0)*(COUNTIFS(T_TTAFStock[RM_Code],$A74,T_TTAFStock[WeekIndex],90)&gt;0)&gt;0,SUMIFS(T_SelfStock[Self_Qty],T_SelfStock[RM_Code],$A74,T_SelfStock[WeekIndex],90)+SUMIFS(T_TTAFStock[TTAF_Qty],T_TTAFStock[RM_Code],$A74,T_TTAFStock[WeekIndex],90),CL74+'Grid_Incoming'!CM74-'Grid_Requirement'!CM74))</f>
        <v/>
      </c>
      <c r="CN74">
        <f>IF(COUNTIFS(T_StockCount[RM_Code],$A74,T_StockCount[WeekIndex],91)&gt;0,SUMIFS(T_StockCount[CountedQty],T_StockCount[RM_Code],$A74,T_StockCount[WeekIndex],91),IF((COUNTIFS(T_SelfStock[RM_Code],$A74,T_SelfStock[WeekIndex],91)&gt;0)*(COUNTIFS(T_TTAFStock[RM_Code],$A74,T_TTAFStock[WeekIndex],91)&gt;0)&gt;0,SUMIFS(T_SelfStock[Self_Qty],T_SelfStock[RM_Code],$A74,T_SelfStock[WeekIndex],91)+SUMIFS(T_TTAFStock[TTAF_Qty],T_TTAFStock[RM_Code],$A74,T_TTAFStock[WeekIndex],91),CM74+'Grid_Incoming'!CN74-'Grid_Requirement'!CN74))</f>
        <v/>
      </c>
      <c r="CO74">
        <f>IF(COUNTIFS(T_StockCount[RM_Code],$A74,T_StockCount[WeekIndex],92)&gt;0,SUMIFS(T_StockCount[CountedQty],T_StockCount[RM_Code],$A74,T_StockCount[WeekIndex],92),IF((COUNTIFS(T_SelfStock[RM_Code],$A74,T_SelfStock[WeekIndex],92)&gt;0)*(COUNTIFS(T_TTAFStock[RM_Code],$A74,T_TTAFStock[WeekIndex],92)&gt;0)&gt;0,SUMIFS(T_SelfStock[Self_Qty],T_SelfStock[RM_Code],$A74,T_SelfStock[WeekIndex],92)+SUMIFS(T_TTAFStock[TTAF_Qty],T_TTAFStock[RM_Code],$A74,T_TTAFStock[WeekIndex],92),CN74+'Grid_Incoming'!CO74-'Grid_Requirement'!CO74))</f>
        <v/>
      </c>
      <c r="CP74">
        <f>IF(COUNTIFS(T_StockCount[RM_Code],$A74,T_StockCount[WeekIndex],93)&gt;0,SUMIFS(T_StockCount[CountedQty],T_StockCount[RM_Code],$A74,T_StockCount[WeekIndex],93),IF((COUNTIFS(T_SelfStock[RM_Code],$A74,T_SelfStock[WeekIndex],93)&gt;0)*(COUNTIFS(T_TTAFStock[RM_Code],$A74,T_TTAFStock[WeekIndex],93)&gt;0)&gt;0,SUMIFS(T_SelfStock[Self_Qty],T_SelfStock[RM_Code],$A74,T_SelfStock[WeekIndex],93)+SUMIFS(T_TTAFStock[TTAF_Qty],T_TTAFStock[RM_Code],$A74,T_TTAFStock[WeekIndex],93),CO74+'Grid_Incoming'!CP74-'Grid_Requirement'!CP74))</f>
        <v/>
      </c>
      <c r="CQ74">
        <f>IF(COUNTIFS(T_StockCount[RM_Code],$A74,T_StockCount[WeekIndex],94)&gt;0,SUMIFS(T_StockCount[CountedQty],T_StockCount[RM_Code],$A74,T_StockCount[WeekIndex],94),IF((COUNTIFS(T_SelfStock[RM_Code],$A74,T_SelfStock[WeekIndex],94)&gt;0)*(COUNTIFS(T_TTAFStock[RM_Code],$A74,T_TTAFStock[WeekIndex],94)&gt;0)&gt;0,SUMIFS(T_SelfStock[Self_Qty],T_SelfStock[RM_Code],$A74,T_SelfStock[WeekIndex],94)+SUMIFS(T_TTAFStock[TTAF_Qty],T_TTAFStock[RM_Code],$A74,T_TTAFStock[WeekIndex],94),CP74+'Grid_Incoming'!CQ74-'Grid_Requirement'!CQ74))</f>
        <v/>
      </c>
      <c r="CR74">
        <f>IF(COUNTIFS(T_StockCount[RM_Code],$A74,T_StockCount[WeekIndex],95)&gt;0,SUMIFS(T_StockCount[CountedQty],T_StockCount[RM_Code],$A74,T_StockCount[WeekIndex],95),IF((COUNTIFS(T_SelfStock[RM_Code],$A74,T_SelfStock[WeekIndex],95)&gt;0)*(COUNTIFS(T_TTAFStock[RM_Code],$A74,T_TTAFStock[WeekIndex],95)&gt;0)&gt;0,SUMIFS(T_SelfStock[Self_Qty],T_SelfStock[RM_Code],$A74,T_SelfStock[WeekIndex],95)+SUMIFS(T_TTAFStock[TTAF_Qty],T_TTAFStock[RM_Code],$A74,T_TTAFStock[WeekIndex],95),CQ74+'Grid_Incoming'!CR74-'Grid_Requirement'!CR74))</f>
        <v/>
      </c>
      <c r="CS74">
        <f>IF(COUNTIFS(T_StockCount[RM_Code],$A74,T_StockCount[WeekIndex],96)&gt;0,SUMIFS(T_StockCount[CountedQty],T_StockCount[RM_Code],$A74,T_StockCount[WeekIndex],96),IF((COUNTIFS(T_SelfStock[RM_Code],$A74,T_SelfStock[WeekIndex],96)&gt;0)*(COUNTIFS(T_TTAFStock[RM_Code],$A74,T_TTAFStock[WeekIndex],96)&gt;0)&gt;0,SUMIFS(T_SelfStock[Self_Qty],T_SelfStock[RM_Code],$A74,T_SelfStock[WeekIndex],96)+SUMIFS(T_TTAFStock[TTAF_Qty],T_TTAFStock[RM_Code],$A74,T_TTAFStock[WeekIndex],96),CR74+'Grid_Incoming'!CS74-'Grid_Requirement'!CS74))</f>
        <v/>
      </c>
      <c r="CT74">
        <f>IF(COUNTIFS(T_StockCount[RM_Code],$A74,T_StockCount[WeekIndex],97)&gt;0,SUMIFS(T_StockCount[CountedQty],T_StockCount[RM_Code],$A74,T_StockCount[WeekIndex],97),IF((COUNTIFS(T_SelfStock[RM_Code],$A74,T_SelfStock[WeekIndex],97)&gt;0)*(COUNTIFS(T_TTAFStock[RM_Code],$A74,T_TTAFStock[WeekIndex],97)&gt;0)&gt;0,SUMIFS(T_SelfStock[Self_Qty],T_SelfStock[RM_Code],$A74,T_SelfStock[WeekIndex],97)+SUMIFS(T_TTAFStock[TTAF_Qty],T_TTAFStock[RM_Code],$A74,T_TTAFStock[WeekIndex],97),CS74+'Grid_Incoming'!CT74-'Grid_Requirement'!CT74))</f>
        <v/>
      </c>
      <c r="CU74">
        <f>IF(COUNTIFS(T_StockCount[RM_Code],$A74,T_StockCount[WeekIndex],98)&gt;0,SUMIFS(T_StockCount[CountedQty],T_StockCount[RM_Code],$A74,T_StockCount[WeekIndex],98),IF((COUNTIFS(T_SelfStock[RM_Code],$A74,T_SelfStock[WeekIndex],98)&gt;0)*(COUNTIFS(T_TTAFStock[RM_Code],$A74,T_TTAFStock[WeekIndex],98)&gt;0)&gt;0,SUMIFS(T_SelfStock[Self_Qty],T_SelfStock[RM_Code],$A74,T_SelfStock[WeekIndex],98)+SUMIFS(T_TTAFStock[TTAF_Qty],T_TTAFStock[RM_Code],$A74,T_TTAFStock[WeekIndex],98),CT74+'Grid_Incoming'!CU74-'Grid_Requirement'!CU74))</f>
        <v/>
      </c>
      <c r="CV74">
        <f>IF(COUNTIFS(T_StockCount[RM_Code],$A74,T_StockCount[WeekIndex],99)&gt;0,SUMIFS(T_StockCount[CountedQty],T_StockCount[RM_Code],$A74,T_StockCount[WeekIndex],99),IF((COUNTIFS(T_SelfStock[RM_Code],$A74,T_SelfStock[WeekIndex],99)&gt;0)*(COUNTIFS(T_TTAFStock[RM_Code],$A74,T_TTAFStock[WeekIndex],99)&gt;0)&gt;0,SUMIFS(T_SelfStock[Self_Qty],T_SelfStock[RM_Code],$A74,T_SelfStock[WeekIndex],99)+SUMIFS(T_TTAFStock[TTAF_Qty],T_TTAFStock[RM_Code],$A74,T_TTAFStock[WeekIndex],99),CU74+'Grid_Incoming'!CV74-'Grid_Requirement'!CV74))</f>
        <v/>
      </c>
      <c r="CW74">
        <f>IF(COUNTIFS(T_StockCount[RM_Code],$A74,T_StockCount[WeekIndex],100)&gt;0,SUMIFS(T_StockCount[CountedQty],T_StockCount[RM_Code],$A74,T_StockCount[WeekIndex],100),IF((COUNTIFS(T_SelfStock[RM_Code],$A74,T_SelfStock[WeekIndex],100)&gt;0)*(COUNTIFS(T_TTAFStock[RM_Code],$A74,T_TTAFStock[WeekIndex],100)&gt;0)&gt;0,SUMIFS(T_SelfStock[Self_Qty],T_SelfStock[RM_Code],$A74,T_SelfStock[WeekIndex],100)+SUMIFS(T_TTAFStock[TTAF_Qty],T_TTAFStock[RM_Code],$A74,T_TTAFStock[WeekIndex],100),CV74+'Grid_Incoming'!CW74-'Grid_Requirement'!CW74))</f>
        <v/>
      </c>
      <c r="CX74">
        <f>IF(COUNTIFS(T_StockCount[RM_Code],$A74,T_StockCount[WeekIndex],101)&gt;0,SUMIFS(T_StockCount[CountedQty],T_StockCount[RM_Code],$A74,T_StockCount[WeekIndex],101),IF((COUNTIFS(T_SelfStock[RM_Code],$A74,T_SelfStock[WeekIndex],101)&gt;0)*(COUNTIFS(T_TTAFStock[RM_Code],$A74,T_TTAFStock[WeekIndex],101)&gt;0)&gt;0,SUMIFS(T_SelfStock[Self_Qty],T_SelfStock[RM_Code],$A74,T_SelfStock[WeekIndex],101)+SUMIFS(T_TTAFStock[TTAF_Qty],T_TTAFStock[RM_Code],$A74,T_TTAFStock[WeekIndex],101),CW74+'Grid_Incoming'!CX74-'Grid_Requirement'!CX74))</f>
        <v/>
      </c>
      <c r="CY74">
        <f>IF(COUNTIFS(T_StockCount[RM_Code],$A74,T_StockCount[WeekIndex],102)&gt;0,SUMIFS(T_StockCount[CountedQty],T_StockCount[RM_Code],$A74,T_StockCount[WeekIndex],102),IF((COUNTIFS(T_SelfStock[RM_Code],$A74,T_SelfStock[WeekIndex],102)&gt;0)*(COUNTIFS(T_TTAFStock[RM_Code],$A74,T_TTAFStock[WeekIndex],102)&gt;0)&gt;0,SUMIFS(T_SelfStock[Self_Qty],T_SelfStock[RM_Code],$A74,T_SelfStock[WeekIndex],102)+SUMIFS(T_TTAFStock[TTAF_Qty],T_TTAFStock[RM_Code],$A74,T_TTAFStock[WeekIndex],102),CX74+'Grid_Incoming'!CY74-'Grid_Requirement'!CY74))</f>
        <v/>
      </c>
      <c r="CZ74">
        <f>IF(COUNTIFS(T_StockCount[RM_Code],$A74,T_StockCount[WeekIndex],103)&gt;0,SUMIFS(T_StockCount[CountedQty],T_StockCount[RM_Code],$A74,T_StockCount[WeekIndex],103),IF((COUNTIFS(T_SelfStock[RM_Code],$A74,T_SelfStock[WeekIndex],103)&gt;0)*(COUNTIFS(T_TTAFStock[RM_Code],$A74,T_TTAFStock[WeekIndex],103)&gt;0)&gt;0,SUMIFS(T_SelfStock[Self_Qty],T_SelfStock[RM_Code],$A74,T_SelfStock[WeekIndex],103)+SUMIFS(T_TTAFStock[TTAF_Qty],T_TTAFStock[RM_Code],$A74,T_TTAFStock[WeekIndex],103),CY74+'Grid_Incoming'!CZ74-'Grid_Requirement'!CZ74))</f>
        <v/>
      </c>
      <c r="DA74">
        <f>IF(COUNTIFS(T_StockCount[RM_Code],$A74,T_StockCount[WeekIndex],104)&gt;0,SUMIFS(T_StockCount[CountedQty],T_StockCount[RM_Code],$A74,T_StockCount[WeekIndex],104),IF((COUNTIFS(T_SelfStock[RM_Code],$A74,T_SelfStock[WeekIndex],104)&gt;0)*(COUNTIFS(T_TTAFStock[RM_Code],$A74,T_TTAFStock[WeekIndex],104)&gt;0)&gt;0,SUMIFS(T_SelfStock[Self_Qty],T_SelfStock[RM_Code],$A74,T_SelfStock[WeekIndex],104)+SUMIFS(T_TTAFStock[TTAF_Qty],T_TTAFStock[RM_Code],$A74,T_TTAFStock[WeekIndex],104),CZ74+'Grid_Incoming'!DA74-'Grid_Requirement'!DA74))</f>
        <v/>
      </c>
    </row>
    <row r="75">
      <c r="A75" t="inlineStr">
        <is>
          <t>CHEM-1500</t>
        </is>
      </c>
      <c r="B75">
        <f>IF(COUNTIFS(T_StockCount[RM_Code],$A75,T_StockCount[WeekIndex],1)&gt;0,SUMIFS(T_StockCount[CountedQty],T_StockCount[RM_Code],$A75,T_StockCount[WeekIndex],1),IF((COUNTIFS(T_SelfStock[RM_Code],$A75,T_SelfStock[WeekIndex],1)&gt;0)*(COUNTIFS(T_TTAFStock[RM_Code],$A75,T_TTAFStock[WeekIndex],1)&gt;0)&gt;0,SUMIFS(T_SelfStock[Self_Qty],T_SelfStock[RM_Code],$A75,T_SelfStock[WeekIndex],1)+SUMIFS(T_TTAFStock[TTAF_Qty],T_TTAFStock[RM_Code],$A75,T_TTAFStock[WeekIndex],1),IFERROR(INDEX(T_OpeningStock[Opening_Qty],MATCH($A75,T_OpeningStock[RM_Code],0)),0)+'Grid_Incoming'!B75-'Grid_Requirement'!B75))</f>
        <v/>
      </c>
      <c r="C75">
        <f>IF(COUNTIFS(T_StockCount[RM_Code],$A75,T_StockCount[WeekIndex],2)&gt;0,SUMIFS(T_StockCount[CountedQty],T_StockCount[RM_Code],$A75,T_StockCount[WeekIndex],2),IF((COUNTIFS(T_SelfStock[RM_Code],$A75,T_SelfStock[WeekIndex],2)&gt;0)*(COUNTIFS(T_TTAFStock[RM_Code],$A75,T_TTAFStock[WeekIndex],2)&gt;0)&gt;0,SUMIFS(T_SelfStock[Self_Qty],T_SelfStock[RM_Code],$A75,T_SelfStock[WeekIndex],2)+SUMIFS(T_TTAFStock[TTAF_Qty],T_TTAFStock[RM_Code],$A75,T_TTAFStock[WeekIndex],2),B75+'Grid_Incoming'!C75-'Grid_Requirement'!C75))</f>
        <v/>
      </c>
      <c r="D75">
        <f>IF(COUNTIFS(T_StockCount[RM_Code],$A75,T_StockCount[WeekIndex],3)&gt;0,SUMIFS(T_StockCount[CountedQty],T_StockCount[RM_Code],$A75,T_StockCount[WeekIndex],3),IF((COUNTIFS(T_SelfStock[RM_Code],$A75,T_SelfStock[WeekIndex],3)&gt;0)*(COUNTIFS(T_TTAFStock[RM_Code],$A75,T_TTAFStock[WeekIndex],3)&gt;0)&gt;0,SUMIFS(T_SelfStock[Self_Qty],T_SelfStock[RM_Code],$A75,T_SelfStock[WeekIndex],3)+SUMIFS(T_TTAFStock[TTAF_Qty],T_TTAFStock[RM_Code],$A75,T_TTAFStock[WeekIndex],3),C75+'Grid_Incoming'!D75-'Grid_Requirement'!D75))</f>
        <v/>
      </c>
      <c r="E75">
        <f>IF(COUNTIFS(T_StockCount[RM_Code],$A75,T_StockCount[WeekIndex],4)&gt;0,SUMIFS(T_StockCount[CountedQty],T_StockCount[RM_Code],$A75,T_StockCount[WeekIndex],4),IF((COUNTIFS(T_SelfStock[RM_Code],$A75,T_SelfStock[WeekIndex],4)&gt;0)*(COUNTIFS(T_TTAFStock[RM_Code],$A75,T_TTAFStock[WeekIndex],4)&gt;0)&gt;0,SUMIFS(T_SelfStock[Self_Qty],T_SelfStock[RM_Code],$A75,T_SelfStock[WeekIndex],4)+SUMIFS(T_TTAFStock[TTAF_Qty],T_TTAFStock[RM_Code],$A75,T_TTAFStock[WeekIndex],4),D75+'Grid_Incoming'!E75-'Grid_Requirement'!E75))</f>
        <v/>
      </c>
      <c r="F75">
        <f>IF(COUNTIFS(T_StockCount[RM_Code],$A75,T_StockCount[WeekIndex],5)&gt;0,SUMIFS(T_StockCount[CountedQty],T_StockCount[RM_Code],$A75,T_StockCount[WeekIndex],5),IF((COUNTIFS(T_SelfStock[RM_Code],$A75,T_SelfStock[WeekIndex],5)&gt;0)*(COUNTIFS(T_TTAFStock[RM_Code],$A75,T_TTAFStock[WeekIndex],5)&gt;0)&gt;0,SUMIFS(T_SelfStock[Self_Qty],T_SelfStock[RM_Code],$A75,T_SelfStock[WeekIndex],5)+SUMIFS(T_TTAFStock[TTAF_Qty],T_TTAFStock[RM_Code],$A75,T_TTAFStock[WeekIndex],5),E75+'Grid_Incoming'!F75-'Grid_Requirement'!F75))</f>
        <v/>
      </c>
      <c r="G75">
        <f>IF(COUNTIFS(T_StockCount[RM_Code],$A75,T_StockCount[WeekIndex],6)&gt;0,SUMIFS(T_StockCount[CountedQty],T_StockCount[RM_Code],$A75,T_StockCount[WeekIndex],6),IF((COUNTIFS(T_SelfStock[RM_Code],$A75,T_SelfStock[WeekIndex],6)&gt;0)*(COUNTIFS(T_TTAFStock[RM_Code],$A75,T_TTAFStock[WeekIndex],6)&gt;0)&gt;0,SUMIFS(T_SelfStock[Self_Qty],T_SelfStock[RM_Code],$A75,T_SelfStock[WeekIndex],6)+SUMIFS(T_TTAFStock[TTAF_Qty],T_TTAFStock[RM_Code],$A75,T_TTAFStock[WeekIndex],6),F75+'Grid_Incoming'!G75-'Grid_Requirement'!G75))</f>
        <v/>
      </c>
      <c r="H75">
        <f>IF(COUNTIFS(T_StockCount[RM_Code],$A75,T_StockCount[WeekIndex],7)&gt;0,SUMIFS(T_StockCount[CountedQty],T_StockCount[RM_Code],$A75,T_StockCount[WeekIndex],7),IF((COUNTIFS(T_SelfStock[RM_Code],$A75,T_SelfStock[WeekIndex],7)&gt;0)*(COUNTIFS(T_TTAFStock[RM_Code],$A75,T_TTAFStock[WeekIndex],7)&gt;0)&gt;0,SUMIFS(T_SelfStock[Self_Qty],T_SelfStock[RM_Code],$A75,T_SelfStock[WeekIndex],7)+SUMIFS(T_TTAFStock[TTAF_Qty],T_TTAFStock[RM_Code],$A75,T_TTAFStock[WeekIndex],7),G75+'Grid_Incoming'!H75-'Grid_Requirement'!H75))</f>
        <v/>
      </c>
      <c r="I75">
        <f>IF(COUNTIFS(T_StockCount[RM_Code],$A75,T_StockCount[WeekIndex],8)&gt;0,SUMIFS(T_StockCount[CountedQty],T_StockCount[RM_Code],$A75,T_StockCount[WeekIndex],8),IF((COUNTIFS(T_SelfStock[RM_Code],$A75,T_SelfStock[WeekIndex],8)&gt;0)*(COUNTIFS(T_TTAFStock[RM_Code],$A75,T_TTAFStock[WeekIndex],8)&gt;0)&gt;0,SUMIFS(T_SelfStock[Self_Qty],T_SelfStock[RM_Code],$A75,T_SelfStock[WeekIndex],8)+SUMIFS(T_TTAFStock[TTAF_Qty],T_TTAFStock[RM_Code],$A75,T_TTAFStock[WeekIndex],8),H75+'Grid_Incoming'!I75-'Grid_Requirement'!I75))</f>
        <v/>
      </c>
      <c r="J75">
        <f>IF(COUNTIFS(T_StockCount[RM_Code],$A75,T_StockCount[WeekIndex],9)&gt;0,SUMIFS(T_StockCount[CountedQty],T_StockCount[RM_Code],$A75,T_StockCount[WeekIndex],9),IF((COUNTIFS(T_SelfStock[RM_Code],$A75,T_SelfStock[WeekIndex],9)&gt;0)*(COUNTIFS(T_TTAFStock[RM_Code],$A75,T_TTAFStock[WeekIndex],9)&gt;0)&gt;0,SUMIFS(T_SelfStock[Self_Qty],T_SelfStock[RM_Code],$A75,T_SelfStock[WeekIndex],9)+SUMIFS(T_TTAFStock[TTAF_Qty],T_TTAFStock[RM_Code],$A75,T_TTAFStock[WeekIndex],9),I75+'Grid_Incoming'!J75-'Grid_Requirement'!J75))</f>
        <v/>
      </c>
      <c r="K75">
        <f>IF(COUNTIFS(T_StockCount[RM_Code],$A75,T_StockCount[WeekIndex],10)&gt;0,SUMIFS(T_StockCount[CountedQty],T_StockCount[RM_Code],$A75,T_StockCount[WeekIndex],10),IF((COUNTIFS(T_SelfStock[RM_Code],$A75,T_SelfStock[WeekIndex],10)&gt;0)*(COUNTIFS(T_TTAFStock[RM_Code],$A75,T_TTAFStock[WeekIndex],10)&gt;0)&gt;0,SUMIFS(T_SelfStock[Self_Qty],T_SelfStock[RM_Code],$A75,T_SelfStock[WeekIndex],10)+SUMIFS(T_TTAFStock[TTAF_Qty],T_TTAFStock[RM_Code],$A75,T_TTAFStock[WeekIndex],10),J75+'Grid_Incoming'!K75-'Grid_Requirement'!K75))</f>
        <v/>
      </c>
      <c r="L75">
        <f>IF(COUNTIFS(T_StockCount[RM_Code],$A75,T_StockCount[WeekIndex],11)&gt;0,SUMIFS(T_StockCount[CountedQty],T_StockCount[RM_Code],$A75,T_StockCount[WeekIndex],11),IF((COUNTIFS(T_SelfStock[RM_Code],$A75,T_SelfStock[WeekIndex],11)&gt;0)*(COUNTIFS(T_TTAFStock[RM_Code],$A75,T_TTAFStock[WeekIndex],11)&gt;0)&gt;0,SUMIFS(T_SelfStock[Self_Qty],T_SelfStock[RM_Code],$A75,T_SelfStock[WeekIndex],11)+SUMIFS(T_TTAFStock[TTAF_Qty],T_TTAFStock[RM_Code],$A75,T_TTAFStock[WeekIndex],11),K75+'Grid_Incoming'!L75-'Grid_Requirement'!L75))</f>
        <v/>
      </c>
      <c r="M75">
        <f>IF(COUNTIFS(T_StockCount[RM_Code],$A75,T_StockCount[WeekIndex],12)&gt;0,SUMIFS(T_StockCount[CountedQty],T_StockCount[RM_Code],$A75,T_StockCount[WeekIndex],12),IF((COUNTIFS(T_SelfStock[RM_Code],$A75,T_SelfStock[WeekIndex],12)&gt;0)*(COUNTIFS(T_TTAFStock[RM_Code],$A75,T_TTAFStock[WeekIndex],12)&gt;0)&gt;0,SUMIFS(T_SelfStock[Self_Qty],T_SelfStock[RM_Code],$A75,T_SelfStock[WeekIndex],12)+SUMIFS(T_TTAFStock[TTAF_Qty],T_TTAFStock[RM_Code],$A75,T_TTAFStock[WeekIndex],12),L75+'Grid_Incoming'!M75-'Grid_Requirement'!M75))</f>
        <v/>
      </c>
      <c r="N75">
        <f>IF(COUNTIFS(T_StockCount[RM_Code],$A75,T_StockCount[WeekIndex],13)&gt;0,SUMIFS(T_StockCount[CountedQty],T_StockCount[RM_Code],$A75,T_StockCount[WeekIndex],13),IF((COUNTIFS(T_SelfStock[RM_Code],$A75,T_SelfStock[WeekIndex],13)&gt;0)*(COUNTIFS(T_TTAFStock[RM_Code],$A75,T_TTAFStock[WeekIndex],13)&gt;0)&gt;0,SUMIFS(T_SelfStock[Self_Qty],T_SelfStock[RM_Code],$A75,T_SelfStock[WeekIndex],13)+SUMIFS(T_TTAFStock[TTAF_Qty],T_TTAFStock[RM_Code],$A75,T_TTAFStock[WeekIndex],13),M75+'Grid_Incoming'!N75-'Grid_Requirement'!N75))</f>
        <v/>
      </c>
      <c r="O75">
        <f>IF(COUNTIFS(T_StockCount[RM_Code],$A75,T_StockCount[WeekIndex],14)&gt;0,SUMIFS(T_StockCount[CountedQty],T_StockCount[RM_Code],$A75,T_StockCount[WeekIndex],14),IF((COUNTIFS(T_SelfStock[RM_Code],$A75,T_SelfStock[WeekIndex],14)&gt;0)*(COUNTIFS(T_TTAFStock[RM_Code],$A75,T_TTAFStock[WeekIndex],14)&gt;0)&gt;0,SUMIFS(T_SelfStock[Self_Qty],T_SelfStock[RM_Code],$A75,T_SelfStock[WeekIndex],14)+SUMIFS(T_TTAFStock[TTAF_Qty],T_TTAFStock[RM_Code],$A75,T_TTAFStock[WeekIndex],14),N75+'Grid_Incoming'!O75-'Grid_Requirement'!O75))</f>
        <v/>
      </c>
      <c r="P75">
        <f>IF(COUNTIFS(T_StockCount[RM_Code],$A75,T_StockCount[WeekIndex],15)&gt;0,SUMIFS(T_StockCount[CountedQty],T_StockCount[RM_Code],$A75,T_StockCount[WeekIndex],15),IF((COUNTIFS(T_SelfStock[RM_Code],$A75,T_SelfStock[WeekIndex],15)&gt;0)*(COUNTIFS(T_TTAFStock[RM_Code],$A75,T_TTAFStock[WeekIndex],15)&gt;0)&gt;0,SUMIFS(T_SelfStock[Self_Qty],T_SelfStock[RM_Code],$A75,T_SelfStock[WeekIndex],15)+SUMIFS(T_TTAFStock[TTAF_Qty],T_TTAFStock[RM_Code],$A75,T_TTAFStock[WeekIndex],15),O75+'Grid_Incoming'!P75-'Grid_Requirement'!P75))</f>
        <v/>
      </c>
      <c r="Q75">
        <f>IF(COUNTIFS(T_StockCount[RM_Code],$A75,T_StockCount[WeekIndex],16)&gt;0,SUMIFS(T_StockCount[CountedQty],T_StockCount[RM_Code],$A75,T_StockCount[WeekIndex],16),IF((COUNTIFS(T_SelfStock[RM_Code],$A75,T_SelfStock[WeekIndex],16)&gt;0)*(COUNTIFS(T_TTAFStock[RM_Code],$A75,T_TTAFStock[WeekIndex],16)&gt;0)&gt;0,SUMIFS(T_SelfStock[Self_Qty],T_SelfStock[RM_Code],$A75,T_SelfStock[WeekIndex],16)+SUMIFS(T_TTAFStock[TTAF_Qty],T_TTAFStock[RM_Code],$A75,T_TTAFStock[WeekIndex],16),P75+'Grid_Incoming'!Q75-'Grid_Requirement'!Q75))</f>
        <v/>
      </c>
      <c r="R75">
        <f>IF(COUNTIFS(T_StockCount[RM_Code],$A75,T_StockCount[WeekIndex],17)&gt;0,SUMIFS(T_StockCount[CountedQty],T_StockCount[RM_Code],$A75,T_StockCount[WeekIndex],17),IF((COUNTIFS(T_SelfStock[RM_Code],$A75,T_SelfStock[WeekIndex],17)&gt;0)*(COUNTIFS(T_TTAFStock[RM_Code],$A75,T_TTAFStock[WeekIndex],17)&gt;0)&gt;0,SUMIFS(T_SelfStock[Self_Qty],T_SelfStock[RM_Code],$A75,T_SelfStock[WeekIndex],17)+SUMIFS(T_TTAFStock[TTAF_Qty],T_TTAFStock[RM_Code],$A75,T_TTAFStock[WeekIndex],17),Q75+'Grid_Incoming'!R75-'Grid_Requirement'!R75))</f>
        <v/>
      </c>
      <c r="S75">
        <f>IF(COUNTIFS(T_StockCount[RM_Code],$A75,T_StockCount[WeekIndex],18)&gt;0,SUMIFS(T_StockCount[CountedQty],T_StockCount[RM_Code],$A75,T_StockCount[WeekIndex],18),IF((COUNTIFS(T_SelfStock[RM_Code],$A75,T_SelfStock[WeekIndex],18)&gt;0)*(COUNTIFS(T_TTAFStock[RM_Code],$A75,T_TTAFStock[WeekIndex],18)&gt;0)&gt;0,SUMIFS(T_SelfStock[Self_Qty],T_SelfStock[RM_Code],$A75,T_SelfStock[WeekIndex],18)+SUMIFS(T_TTAFStock[TTAF_Qty],T_TTAFStock[RM_Code],$A75,T_TTAFStock[WeekIndex],18),R75+'Grid_Incoming'!S75-'Grid_Requirement'!S75))</f>
        <v/>
      </c>
      <c r="T75">
        <f>IF(COUNTIFS(T_StockCount[RM_Code],$A75,T_StockCount[WeekIndex],19)&gt;0,SUMIFS(T_StockCount[CountedQty],T_StockCount[RM_Code],$A75,T_StockCount[WeekIndex],19),IF((COUNTIFS(T_SelfStock[RM_Code],$A75,T_SelfStock[WeekIndex],19)&gt;0)*(COUNTIFS(T_TTAFStock[RM_Code],$A75,T_TTAFStock[WeekIndex],19)&gt;0)&gt;0,SUMIFS(T_SelfStock[Self_Qty],T_SelfStock[RM_Code],$A75,T_SelfStock[WeekIndex],19)+SUMIFS(T_TTAFStock[TTAF_Qty],T_TTAFStock[RM_Code],$A75,T_TTAFStock[WeekIndex],19),S75+'Grid_Incoming'!T75-'Grid_Requirement'!T75))</f>
        <v/>
      </c>
      <c r="U75">
        <f>IF(COUNTIFS(T_StockCount[RM_Code],$A75,T_StockCount[WeekIndex],20)&gt;0,SUMIFS(T_StockCount[CountedQty],T_StockCount[RM_Code],$A75,T_StockCount[WeekIndex],20),IF((COUNTIFS(T_SelfStock[RM_Code],$A75,T_SelfStock[WeekIndex],20)&gt;0)*(COUNTIFS(T_TTAFStock[RM_Code],$A75,T_TTAFStock[WeekIndex],20)&gt;0)&gt;0,SUMIFS(T_SelfStock[Self_Qty],T_SelfStock[RM_Code],$A75,T_SelfStock[WeekIndex],20)+SUMIFS(T_TTAFStock[TTAF_Qty],T_TTAFStock[RM_Code],$A75,T_TTAFStock[WeekIndex],20),T75+'Grid_Incoming'!U75-'Grid_Requirement'!U75))</f>
        <v/>
      </c>
      <c r="V75">
        <f>IF(COUNTIFS(T_StockCount[RM_Code],$A75,T_StockCount[WeekIndex],21)&gt;0,SUMIFS(T_StockCount[CountedQty],T_StockCount[RM_Code],$A75,T_StockCount[WeekIndex],21),IF((COUNTIFS(T_SelfStock[RM_Code],$A75,T_SelfStock[WeekIndex],21)&gt;0)*(COUNTIFS(T_TTAFStock[RM_Code],$A75,T_TTAFStock[WeekIndex],21)&gt;0)&gt;0,SUMIFS(T_SelfStock[Self_Qty],T_SelfStock[RM_Code],$A75,T_SelfStock[WeekIndex],21)+SUMIFS(T_TTAFStock[TTAF_Qty],T_TTAFStock[RM_Code],$A75,T_TTAFStock[WeekIndex],21),U75+'Grid_Incoming'!V75-'Grid_Requirement'!V75))</f>
        <v/>
      </c>
      <c r="W75">
        <f>IF(COUNTIFS(T_StockCount[RM_Code],$A75,T_StockCount[WeekIndex],22)&gt;0,SUMIFS(T_StockCount[CountedQty],T_StockCount[RM_Code],$A75,T_StockCount[WeekIndex],22),IF((COUNTIFS(T_SelfStock[RM_Code],$A75,T_SelfStock[WeekIndex],22)&gt;0)*(COUNTIFS(T_TTAFStock[RM_Code],$A75,T_TTAFStock[WeekIndex],22)&gt;0)&gt;0,SUMIFS(T_SelfStock[Self_Qty],T_SelfStock[RM_Code],$A75,T_SelfStock[WeekIndex],22)+SUMIFS(T_TTAFStock[TTAF_Qty],T_TTAFStock[RM_Code],$A75,T_TTAFStock[WeekIndex],22),V75+'Grid_Incoming'!W75-'Grid_Requirement'!W75))</f>
        <v/>
      </c>
      <c r="X75">
        <f>IF(COUNTIFS(T_StockCount[RM_Code],$A75,T_StockCount[WeekIndex],23)&gt;0,SUMIFS(T_StockCount[CountedQty],T_StockCount[RM_Code],$A75,T_StockCount[WeekIndex],23),IF((COUNTIFS(T_SelfStock[RM_Code],$A75,T_SelfStock[WeekIndex],23)&gt;0)*(COUNTIFS(T_TTAFStock[RM_Code],$A75,T_TTAFStock[WeekIndex],23)&gt;0)&gt;0,SUMIFS(T_SelfStock[Self_Qty],T_SelfStock[RM_Code],$A75,T_SelfStock[WeekIndex],23)+SUMIFS(T_TTAFStock[TTAF_Qty],T_TTAFStock[RM_Code],$A75,T_TTAFStock[WeekIndex],23),W75+'Grid_Incoming'!X75-'Grid_Requirement'!X75))</f>
        <v/>
      </c>
      <c r="Y75">
        <f>IF(COUNTIFS(T_StockCount[RM_Code],$A75,T_StockCount[WeekIndex],24)&gt;0,SUMIFS(T_StockCount[CountedQty],T_StockCount[RM_Code],$A75,T_StockCount[WeekIndex],24),IF((COUNTIFS(T_SelfStock[RM_Code],$A75,T_SelfStock[WeekIndex],24)&gt;0)*(COUNTIFS(T_TTAFStock[RM_Code],$A75,T_TTAFStock[WeekIndex],24)&gt;0)&gt;0,SUMIFS(T_SelfStock[Self_Qty],T_SelfStock[RM_Code],$A75,T_SelfStock[WeekIndex],24)+SUMIFS(T_TTAFStock[TTAF_Qty],T_TTAFStock[RM_Code],$A75,T_TTAFStock[WeekIndex],24),X75+'Grid_Incoming'!Y75-'Grid_Requirement'!Y75))</f>
        <v/>
      </c>
      <c r="Z75">
        <f>IF(COUNTIFS(T_StockCount[RM_Code],$A75,T_StockCount[WeekIndex],25)&gt;0,SUMIFS(T_StockCount[CountedQty],T_StockCount[RM_Code],$A75,T_StockCount[WeekIndex],25),IF((COUNTIFS(T_SelfStock[RM_Code],$A75,T_SelfStock[WeekIndex],25)&gt;0)*(COUNTIFS(T_TTAFStock[RM_Code],$A75,T_TTAFStock[WeekIndex],25)&gt;0)&gt;0,SUMIFS(T_SelfStock[Self_Qty],T_SelfStock[RM_Code],$A75,T_SelfStock[WeekIndex],25)+SUMIFS(T_TTAFStock[TTAF_Qty],T_TTAFStock[RM_Code],$A75,T_TTAFStock[WeekIndex],25),Y75+'Grid_Incoming'!Z75-'Grid_Requirement'!Z75))</f>
        <v/>
      </c>
      <c r="AA75">
        <f>IF(COUNTIFS(T_StockCount[RM_Code],$A75,T_StockCount[WeekIndex],26)&gt;0,SUMIFS(T_StockCount[CountedQty],T_StockCount[RM_Code],$A75,T_StockCount[WeekIndex],26),IF((COUNTIFS(T_SelfStock[RM_Code],$A75,T_SelfStock[WeekIndex],26)&gt;0)*(COUNTIFS(T_TTAFStock[RM_Code],$A75,T_TTAFStock[WeekIndex],26)&gt;0)&gt;0,SUMIFS(T_SelfStock[Self_Qty],T_SelfStock[RM_Code],$A75,T_SelfStock[WeekIndex],26)+SUMIFS(T_TTAFStock[TTAF_Qty],T_TTAFStock[RM_Code],$A75,T_TTAFStock[WeekIndex],26),Z75+'Grid_Incoming'!AA75-'Grid_Requirement'!AA75))</f>
        <v/>
      </c>
      <c r="AB75">
        <f>IF(COUNTIFS(T_StockCount[RM_Code],$A75,T_StockCount[WeekIndex],27)&gt;0,SUMIFS(T_StockCount[CountedQty],T_StockCount[RM_Code],$A75,T_StockCount[WeekIndex],27),IF((COUNTIFS(T_SelfStock[RM_Code],$A75,T_SelfStock[WeekIndex],27)&gt;0)*(COUNTIFS(T_TTAFStock[RM_Code],$A75,T_TTAFStock[WeekIndex],27)&gt;0)&gt;0,SUMIFS(T_SelfStock[Self_Qty],T_SelfStock[RM_Code],$A75,T_SelfStock[WeekIndex],27)+SUMIFS(T_TTAFStock[TTAF_Qty],T_TTAFStock[RM_Code],$A75,T_TTAFStock[WeekIndex],27),AA75+'Grid_Incoming'!AB75-'Grid_Requirement'!AB75))</f>
        <v/>
      </c>
      <c r="AC75">
        <f>IF(COUNTIFS(T_StockCount[RM_Code],$A75,T_StockCount[WeekIndex],28)&gt;0,SUMIFS(T_StockCount[CountedQty],T_StockCount[RM_Code],$A75,T_StockCount[WeekIndex],28),IF((COUNTIFS(T_SelfStock[RM_Code],$A75,T_SelfStock[WeekIndex],28)&gt;0)*(COUNTIFS(T_TTAFStock[RM_Code],$A75,T_TTAFStock[WeekIndex],28)&gt;0)&gt;0,SUMIFS(T_SelfStock[Self_Qty],T_SelfStock[RM_Code],$A75,T_SelfStock[WeekIndex],28)+SUMIFS(T_TTAFStock[TTAF_Qty],T_TTAFStock[RM_Code],$A75,T_TTAFStock[WeekIndex],28),AB75+'Grid_Incoming'!AC75-'Grid_Requirement'!AC75))</f>
        <v/>
      </c>
      <c r="AD75">
        <f>IF(COUNTIFS(T_StockCount[RM_Code],$A75,T_StockCount[WeekIndex],29)&gt;0,SUMIFS(T_StockCount[CountedQty],T_StockCount[RM_Code],$A75,T_StockCount[WeekIndex],29),IF((COUNTIFS(T_SelfStock[RM_Code],$A75,T_SelfStock[WeekIndex],29)&gt;0)*(COUNTIFS(T_TTAFStock[RM_Code],$A75,T_TTAFStock[WeekIndex],29)&gt;0)&gt;0,SUMIFS(T_SelfStock[Self_Qty],T_SelfStock[RM_Code],$A75,T_SelfStock[WeekIndex],29)+SUMIFS(T_TTAFStock[TTAF_Qty],T_TTAFStock[RM_Code],$A75,T_TTAFStock[WeekIndex],29),AC75+'Grid_Incoming'!AD75-'Grid_Requirement'!AD75))</f>
        <v/>
      </c>
      <c r="AE75">
        <f>IF(COUNTIFS(T_StockCount[RM_Code],$A75,T_StockCount[WeekIndex],30)&gt;0,SUMIFS(T_StockCount[CountedQty],T_StockCount[RM_Code],$A75,T_StockCount[WeekIndex],30),IF((COUNTIFS(T_SelfStock[RM_Code],$A75,T_SelfStock[WeekIndex],30)&gt;0)*(COUNTIFS(T_TTAFStock[RM_Code],$A75,T_TTAFStock[WeekIndex],30)&gt;0)&gt;0,SUMIFS(T_SelfStock[Self_Qty],T_SelfStock[RM_Code],$A75,T_SelfStock[WeekIndex],30)+SUMIFS(T_TTAFStock[TTAF_Qty],T_TTAFStock[RM_Code],$A75,T_TTAFStock[WeekIndex],30),AD75+'Grid_Incoming'!AE75-'Grid_Requirement'!AE75))</f>
        <v/>
      </c>
      <c r="AF75">
        <f>IF(COUNTIFS(T_StockCount[RM_Code],$A75,T_StockCount[WeekIndex],31)&gt;0,SUMIFS(T_StockCount[CountedQty],T_StockCount[RM_Code],$A75,T_StockCount[WeekIndex],31),IF((COUNTIFS(T_SelfStock[RM_Code],$A75,T_SelfStock[WeekIndex],31)&gt;0)*(COUNTIFS(T_TTAFStock[RM_Code],$A75,T_TTAFStock[WeekIndex],31)&gt;0)&gt;0,SUMIFS(T_SelfStock[Self_Qty],T_SelfStock[RM_Code],$A75,T_SelfStock[WeekIndex],31)+SUMIFS(T_TTAFStock[TTAF_Qty],T_TTAFStock[RM_Code],$A75,T_TTAFStock[WeekIndex],31),AE75+'Grid_Incoming'!AF75-'Grid_Requirement'!AF75))</f>
        <v/>
      </c>
      <c r="AG75">
        <f>IF(COUNTIFS(T_StockCount[RM_Code],$A75,T_StockCount[WeekIndex],32)&gt;0,SUMIFS(T_StockCount[CountedQty],T_StockCount[RM_Code],$A75,T_StockCount[WeekIndex],32),IF((COUNTIFS(T_SelfStock[RM_Code],$A75,T_SelfStock[WeekIndex],32)&gt;0)*(COUNTIFS(T_TTAFStock[RM_Code],$A75,T_TTAFStock[WeekIndex],32)&gt;0)&gt;0,SUMIFS(T_SelfStock[Self_Qty],T_SelfStock[RM_Code],$A75,T_SelfStock[WeekIndex],32)+SUMIFS(T_TTAFStock[TTAF_Qty],T_TTAFStock[RM_Code],$A75,T_TTAFStock[WeekIndex],32),AF75+'Grid_Incoming'!AG75-'Grid_Requirement'!AG75))</f>
        <v/>
      </c>
      <c r="AH75">
        <f>IF(COUNTIFS(T_StockCount[RM_Code],$A75,T_StockCount[WeekIndex],33)&gt;0,SUMIFS(T_StockCount[CountedQty],T_StockCount[RM_Code],$A75,T_StockCount[WeekIndex],33),IF((COUNTIFS(T_SelfStock[RM_Code],$A75,T_SelfStock[WeekIndex],33)&gt;0)*(COUNTIFS(T_TTAFStock[RM_Code],$A75,T_TTAFStock[WeekIndex],33)&gt;0)&gt;0,SUMIFS(T_SelfStock[Self_Qty],T_SelfStock[RM_Code],$A75,T_SelfStock[WeekIndex],33)+SUMIFS(T_TTAFStock[TTAF_Qty],T_TTAFStock[RM_Code],$A75,T_TTAFStock[WeekIndex],33),AG75+'Grid_Incoming'!AH75-'Grid_Requirement'!AH75))</f>
        <v/>
      </c>
      <c r="AI75">
        <f>IF(COUNTIFS(T_StockCount[RM_Code],$A75,T_StockCount[WeekIndex],34)&gt;0,SUMIFS(T_StockCount[CountedQty],T_StockCount[RM_Code],$A75,T_StockCount[WeekIndex],34),IF((COUNTIFS(T_SelfStock[RM_Code],$A75,T_SelfStock[WeekIndex],34)&gt;0)*(COUNTIFS(T_TTAFStock[RM_Code],$A75,T_TTAFStock[WeekIndex],34)&gt;0)&gt;0,SUMIFS(T_SelfStock[Self_Qty],T_SelfStock[RM_Code],$A75,T_SelfStock[WeekIndex],34)+SUMIFS(T_TTAFStock[TTAF_Qty],T_TTAFStock[RM_Code],$A75,T_TTAFStock[WeekIndex],34),AH75+'Grid_Incoming'!AI75-'Grid_Requirement'!AI75))</f>
        <v/>
      </c>
      <c r="AJ75">
        <f>IF(COUNTIFS(T_StockCount[RM_Code],$A75,T_StockCount[WeekIndex],35)&gt;0,SUMIFS(T_StockCount[CountedQty],T_StockCount[RM_Code],$A75,T_StockCount[WeekIndex],35),IF((COUNTIFS(T_SelfStock[RM_Code],$A75,T_SelfStock[WeekIndex],35)&gt;0)*(COUNTIFS(T_TTAFStock[RM_Code],$A75,T_TTAFStock[WeekIndex],35)&gt;0)&gt;0,SUMIFS(T_SelfStock[Self_Qty],T_SelfStock[RM_Code],$A75,T_SelfStock[WeekIndex],35)+SUMIFS(T_TTAFStock[TTAF_Qty],T_TTAFStock[RM_Code],$A75,T_TTAFStock[WeekIndex],35),AI75+'Grid_Incoming'!AJ75-'Grid_Requirement'!AJ75))</f>
        <v/>
      </c>
      <c r="AK75">
        <f>IF(COUNTIFS(T_StockCount[RM_Code],$A75,T_StockCount[WeekIndex],36)&gt;0,SUMIFS(T_StockCount[CountedQty],T_StockCount[RM_Code],$A75,T_StockCount[WeekIndex],36),IF((COUNTIFS(T_SelfStock[RM_Code],$A75,T_SelfStock[WeekIndex],36)&gt;0)*(COUNTIFS(T_TTAFStock[RM_Code],$A75,T_TTAFStock[WeekIndex],36)&gt;0)&gt;0,SUMIFS(T_SelfStock[Self_Qty],T_SelfStock[RM_Code],$A75,T_SelfStock[WeekIndex],36)+SUMIFS(T_TTAFStock[TTAF_Qty],T_TTAFStock[RM_Code],$A75,T_TTAFStock[WeekIndex],36),AJ75+'Grid_Incoming'!AK75-'Grid_Requirement'!AK75))</f>
        <v/>
      </c>
      <c r="AL75">
        <f>IF(COUNTIFS(T_StockCount[RM_Code],$A75,T_StockCount[WeekIndex],37)&gt;0,SUMIFS(T_StockCount[CountedQty],T_StockCount[RM_Code],$A75,T_StockCount[WeekIndex],37),IF((COUNTIFS(T_SelfStock[RM_Code],$A75,T_SelfStock[WeekIndex],37)&gt;0)*(COUNTIFS(T_TTAFStock[RM_Code],$A75,T_TTAFStock[WeekIndex],37)&gt;0)&gt;0,SUMIFS(T_SelfStock[Self_Qty],T_SelfStock[RM_Code],$A75,T_SelfStock[WeekIndex],37)+SUMIFS(T_TTAFStock[TTAF_Qty],T_TTAFStock[RM_Code],$A75,T_TTAFStock[WeekIndex],37),AK75+'Grid_Incoming'!AL75-'Grid_Requirement'!AL75))</f>
        <v/>
      </c>
      <c r="AM75">
        <f>IF(COUNTIFS(T_StockCount[RM_Code],$A75,T_StockCount[WeekIndex],38)&gt;0,SUMIFS(T_StockCount[CountedQty],T_StockCount[RM_Code],$A75,T_StockCount[WeekIndex],38),IF((COUNTIFS(T_SelfStock[RM_Code],$A75,T_SelfStock[WeekIndex],38)&gt;0)*(COUNTIFS(T_TTAFStock[RM_Code],$A75,T_TTAFStock[WeekIndex],38)&gt;0)&gt;0,SUMIFS(T_SelfStock[Self_Qty],T_SelfStock[RM_Code],$A75,T_SelfStock[WeekIndex],38)+SUMIFS(T_TTAFStock[TTAF_Qty],T_TTAFStock[RM_Code],$A75,T_TTAFStock[WeekIndex],38),AL75+'Grid_Incoming'!AM75-'Grid_Requirement'!AM75))</f>
        <v/>
      </c>
      <c r="AN75">
        <f>IF(COUNTIFS(T_StockCount[RM_Code],$A75,T_StockCount[WeekIndex],39)&gt;0,SUMIFS(T_StockCount[CountedQty],T_StockCount[RM_Code],$A75,T_StockCount[WeekIndex],39),IF((COUNTIFS(T_SelfStock[RM_Code],$A75,T_SelfStock[WeekIndex],39)&gt;0)*(COUNTIFS(T_TTAFStock[RM_Code],$A75,T_TTAFStock[WeekIndex],39)&gt;0)&gt;0,SUMIFS(T_SelfStock[Self_Qty],T_SelfStock[RM_Code],$A75,T_SelfStock[WeekIndex],39)+SUMIFS(T_TTAFStock[TTAF_Qty],T_TTAFStock[RM_Code],$A75,T_TTAFStock[WeekIndex],39),AM75+'Grid_Incoming'!AN75-'Grid_Requirement'!AN75))</f>
        <v/>
      </c>
      <c r="AO75">
        <f>IF(COUNTIFS(T_StockCount[RM_Code],$A75,T_StockCount[WeekIndex],40)&gt;0,SUMIFS(T_StockCount[CountedQty],T_StockCount[RM_Code],$A75,T_StockCount[WeekIndex],40),IF((COUNTIFS(T_SelfStock[RM_Code],$A75,T_SelfStock[WeekIndex],40)&gt;0)*(COUNTIFS(T_TTAFStock[RM_Code],$A75,T_TTAFStock[WeekIndex],40)&gt;0)&gt;0,SUMIFS(T_SelfStock[Self_Qty],T_SelfStock[RM_Code],$A75,T_SelfStock[WeekIndex],40)+SUMIFS(T_TTAFStock[TTAF_Qty],T_TTAFStock[RM_Code],$A75,T_TTAFStock[WeekIndex],40),AN75+'Grid_Incoming'!AO75-'Grid_Requirement'!AO75))</f>
        <v/>
      </c>
      <c r="AP75">
        <f>IF(COUNTIFS(T_StockCount[RM_Code],$A75,T_StockCount[WeekIndex],41)&gt;0,SUMIFS(T_StockCount[CountedQty],T_StockCount[RM_Code],$A75,T_StockCount[WeekIndex],41),IF((COUNTIFS(T_SelfStock[RM_Code],$A75,T_SelfStock[WeekIndex],41)&gt;0)*(COUNTIFS(T_TTAFStock[RM_Code],$A75,T_TTAFStock[WeekIndex],41)&gt;0)&gt;0,SUMIFS(T_SelfStock[Self_Qty],T_SelfStock[RM_Code],$A75,T_SelfStock[WeekIndex],41)+SUMIFS(T_TTAFStock[TTAF_Qty],T_TTAFStock[RM_Code],$A75,T_TTAFStock[WeekIndex],41),AO75+'Grid_Incoming'!AP75-'Grid_Requirement'!AP75))</f>
        <v/>
      </c>
      <c r="AQ75">
        <f>IF(COUNTIFS(T_StockCount[RM_Code],$A75,T_StockCount[WeekIndex],42)&gt;0,SUMIFS(T_StockCount[CountedQty],T_StockCount[RM_Code],$A75,T_StockCount[WeekIndex],42),IF((COUNTIFS(T_SelfStock[RM_Code],$A75,T_SelfStock[WeekIndex],42)&gt;0)*(COUNTIFS(T_TTAFStock[RM_Code],$A75,T_TTAFStock[WeekIndex],42)&gt;0)&gt;0,SUMIFS(T_SelfStock[Self_Qty],T_SelfStock[RM_Code],$A75,T_SelfStock[WeekIndex],42)+SUMIFS(T_TTAFStock[TTAF_Qty],T_TTAFStock[RM_Code],$A75,T_TTAFStock[WeekIndex],42),AP75+'Grid_Incoming'!AQ75-'Grid_Requirement'!AQ75))</f>
        <v/>
      </c>
      <c r="AR75">
        <f>IF(COUNTIFS(T_StockCount[RM_Code],$A75,T_StockCount[WeekIndex],43)&gt;0,SUMIFS(T_StockCount[CountedQty],T_StockCount[RM_Code],$A75,T_StockCount[WeekIndex],43),IF((COUNTIFS(T_SelfStock[RM_Code],$A75,T_SelfStock[WeekIndex],43)&gt;0)*(COUNTIFS(T_TTAFStock[RM_Code],$A75,T_TTAFStock[WeekIndex],43)&gt;0)&gt;0,SUMIFS(T_SelfStock[Self_Qty],T_SelfStock[RM_Code],$A75,T_SelfStock[WeekIndex],43)+SUMIFS(T_TTAFStock[TTAF_Qty],T_TTAFStock[RM_Code],$A75,T_TTAFStock[WeekIndex],43),AQ75+'Grid_Incoming'!AR75-'Grid_Requirement'!AR75))</f>
        <v/>
      </c>
      <c r="AS75">
        <f>IF(COUNTIFS(T_StockCount[RM_Code],$A75,T_StockCount[WeekIndex],44)&gt;0,SUMIFS(T_StockCount[CountedQty],T_StockCount[RM_Code],$A75,T_StockCount[WeekIndex],44),IF((COUNTIFS(T_SelfStock[RM_Code],$A75,T_SelfStock[WeekIndex],44)&gt;0)*(COUNTIFS(T_TTAFStock[RM_Code],$A75,T_TTAFStock[WeekIndex],44)&gt;0)&gt;0,SUMIFS(T_SelfStock[Self_Qty],T_SelfStock[RM_Code],$A75,T_SelfStock[WeekIndex],44)+SUMIFS(T_TTAFStock[TTAF_Qty],T_TTAFStock[RM_Code],$A75,T_TTAFStock[WeekIndex],44),AR75+'Grid_Incoming'!AS75-'Grid_Requirement'!AS75))</f>
        <v/>
      </c>
      <c r="AT75">
        <f>IF(COUNTIFS(T_StockCount[RM_Code],$A75,T_StockCount[WeekIndex],45)&gt;0,SUMIFS(T_StockCount[CountedQty],T_StockCount[RM_Code],$A75,T_StockCount[WeekIndex],45),IF((COUNTIFS(T_SelfStock[RM_Code],$A75,T_SelfStock[WeekIndex],45)&gt;0)*(COUNTIFS(T_TTAFStock[RM_Code],$A75,T_TTAFStock[WeekIndex],45)&gt;0)&gt;0,SUMIFS(T_SelfStock[Self_Qty],T_SelfStock[RM_Code],$A75,T_SelfStock[WeekIndex],45)+SUMIFS(T_TTAFStock[TTAF_Qty],T_TTAFStock[RM_Code],$A75,T_TTAFStock[WeekIndex],45),AS75+'Grid_Incoming'!AT75-'Grid_Requirement'!AT75))</f>
        <v/>
      </c>
      <c r="AU75">
        <f>IF(COUNTIFS(T_StockCount[RM_Code],$A75,T_StockCount[WeekIndex],46)&gt;0,SUMIFS(T_StockCount[CountedQty],T_StockCount[RM_Code],$A75,T_StockCount[WeekIndex],46),IF((COUNTIFS(T_SelfStock[RM_Code],$A75,T_SelfStock[WeekIndex],46)&gt;0)*(COUNTIFS(T_TTAFStock[RM_Code],$A75,T_TTAFStock[WeekIndex],46)&gt;0)&gt;0,SUMIFS(T_SelfStock[Self_Qty],T_SelfStock[RM_Code],$A75,T_SelfStock[WeekIndex],46)+SUMIFS(T_TTAFStock[TTAF_Qty],T_TTAFStock[RM_Code],$A75,T_TTAFStock[WeekIndex],46),AT75+'Grid_Incoming'!AU75-'Grid_Requirement'!AU75))</f>
        <v/>
      </c>
      <c r="AV75">
        <f>IF(COUNTIFS(T_StockCount[RM_Code],$A75,T_StockCount[WeekIndex],47)&gt;0,SUMIFS(T_StockCount[CountedQty],T_StockCount[RM_Code],$A75,T_StockCount[WeekIndex],47),IF((COUNTIFS(T_SelfStock[RM_Code],$A75,T_SelfStock[WeekIndex],47)&gt;0)*(COUNTIFS(T_TTAFStock[RM_Code],$A75,T_TTAFStock[WeekIndex],47)&gt;0)&gt;0,SUMIFS(T_SelfStock[Self_Qty],T_SelfStock[RM_Code],$A75,T_SelfStock[WeekIndex],47)+SUMIFS(T_TTAFStock[TTAF_Qty],T_TTAFStock[RM_Code],$A75,T_TTAFStock[WeekIndex],47),AU75+'Grid_Incoming'!AV75-'Grid_Requirement'!AV75))</f>
        <v/>
      </c>
      <c r="AW75">
        <f>IF(COUNTIFS(T_StockCount[RM_Code],$A75,T_StockCount[WeekIndex],48)&gt;0,SUMIFS(T_StockCount[CountedQty],T_StockCount[RM_Code],$A75,T_StockCount[WeekIndex],48),IF((COUNTIFS(T_SelfStock[RM_Code],$A75,T_SelfStock[WeekIndex],48)&gt;0)*(COUNTIFS(T_TTAFStock[RM_Code],$A75,T_TTAFStock[WeekIndex],48)&gt;0)&gt;0,SUMIFS(T_SelfStock[Self_Qty],T_SelfStock[RM_Code],$A75,T_SelfStock[WeekIndex],48)+SUMIFS(T_TTAFStock[TTAF_Qty],T_TTAFStock[RM_Code],$A75,T_TTAFStock[WeekIndex],48),AV75+'Grid_Incoming'!AW75-'Grid_Requirement'!AW75))</f>
        <v/>
      </c>
      <c r="AX75">
        <f>IF(COUNTIFS(T_StockCount[RM_Code],$A75,T_StockCount[WeekIndex],49)&gt;0,SUMIFS(T_StockCount[CountedQty],T_StockCount[RM_Code],$A75,T_StockCount[WeekIndex],49),IF((COUNTIFS(T_SelfStock[RM_Code],$A75,T_SelfStock[WeekIndex],49)&gt;0)*(COUNTIFS(T_TTAFStock[RM_Code],$A75,T_TTAFStock[WeekIndex],49)&gt;0)&gt;0,SUMIFS(T_SelfStock[Self_Qty],T_SelfStock[RM_Code],$A75,T_SelfStock[WeekIndex],49)+SUMIFS(T_TTAFStock[TTAF_Qty],T_TTAFStock[RM_Code],$A75,T_TTAFStock[WeekIndex],49),AW75+'Grid_Incoming'!AX75-'Grid_Requirement'!AX75))</f>
        <v/>
      </c>
      <c r="AY75">
        <f>IF(COUNTIFS(T_StockCount[RM_Code],$A75,T_StockCount[WeekIndex],50)&gt;0,SUMIFS(T_StockCount[CountedQty],T_StockCount[RM_Code],$A75,T_StockCount[WeekIndex],50),IF((COUNTIFS(T_SelfStock[RM_Code],$A75,T_SelfStock[WeekIndex],50)&gt;0)*(COUNTIFS(T_TTAFStock[RM_Code],$A75,T_TTAFStock[WeekIndex],50)&gt;0)&gt;0,SUMIFS(T_SelfStock[Self_Qty],T_SelfStock[RM_Code],$A75,T_SelfStock[WeekIndex],50)+SUMIFS(T_TTAFStock[TTAF_Qty],T_TTAFStock[RM_Code],$A75,T_TTAFStock[WeekIndex],50),AX75+'Grid_Incoming'!AY75-'Grid_Requirement'!AY75))</f>
        <v/>
      </c>
      <c r="AZ75">
        <f>IF(COUNTIFS(T_StockCount[RM_Code],$A75,T_StockCount[WeekIndex],51)&gt;0,SUMIFS(T_StockCount[CountedQty],T_StockCount[RM_Code],$A75,T_StockCount[WeekIndex],51),IF((COUNTIFS(T_SelfStock[RM_Code],$A75,T_SelfStock[WeekIndex],51)&gt;0)*(COUNTIFS(T_TTAFStock[RM_Code],$A75,T_TTAFStock[WeekIndex],51)&gt;0)&gt;0,SUMIFS(T_SelfStock[Self_Qty],T_SelfStock[RM_Code],$A75,T_SelfStock[WeekIndex],51)+SUMIFS(T_TTAFStock[TTAF_Qty],T_TTAFStock[RM_Code],$A75,T_TTAFStock[WeekIndex],51),AY75+'Grid_Incoming'!AZ75-'Grid_Requirement'!AZ75))</f>
        <v/>
      </c>
      <c r="BA75">
        <f>IF(COUNTIFS(T_StockCount[RM_Code],$A75,T_StockCount[WeekIndex],52)&gt;0,SUMIFS(T_StockCount[CountedQty],T_StockCount[RM_Code],$A75,T_StockCount[WeekIndex],52),IF((COUNTIFS(T_SelfStock[RM_Code],$A75,T_SelfStock[WeekIndex],52)&gt;0)*(COUNTIFS(T_TTAFStock[RM_Code],$A75,T_TTAFStock[WeekIndex],52)&gt;0)&gt;0,SUMIFS(T_SelfStock[Self_Qty],T_SelfStock[RM_Code],$A75,T_SelfStock[WeekIndex],52)+SUMIFS(T_TTAFStock[TTAF_Qty],T_TTAFStock[RM_Code],$A75,T_TTAFStock[WeekIndex],52),AZ75+'Grid_Incoming'!BA75-'Grid_Requirement'!BA75))</f>
        <v/>
      </c>
      <c r="BB75">
        <f>IF(COUNTIFS(T_StockCount[RM_Code],$A75,T_StockCount[WeekIndex],53)&gt;0,SUMIFS(T_StockCount[CountedQty],T_StockCount[RM_Code],$A75,T_StockCount[WeekIndex],53),IF((COUNTIFS(T_SelfStock[RM_Code],$A75,T_SelfStock[WeekIndex],53)&gt;0)*(COUNTIFS(T_TTAFStock[RM_Code],$A75,T_TTAFStock[WeekIndex],53)&gt;0)&gt;0,SUMIFS(T_SelfStock[Self_Qty],T_SelfStock[RM_Code],$A75,T_SelfStock[WeekIndex],53)+SUMIFS(T_TTAFStock[TTAF_Qty],T_TTAFStock[RM_Code],$A75,T_TTAFStock[WeekIndex],53),BA75+'Grid_Incoming'!BB75-'Grid_Requirement'!BB75))</f>
        <v/>
      </c>
      <c r="BC75">
        <f>IF(COUNTIFS(T_StockCount[RM_Code],$A75,T_StockCount[WeekIndex],54)&gt;0,SUMIFS(T_StockCount[CountedQty],T_StockCount[RM_Code],$A75,T_StockCount[WeekIndex],54),IF((COUNTIFS(T_SelfStock[RM_Code],$A75,T_SelfStock[WeekIndex],54)&gt;0)*(COUNTIFS(T_TTAFStock[RM_Code],$A75,T_TTAFStock[WeekIndex],54)&gt;0)&gt;0,SUMIFS(T_SelfStock[Self_Qty],T_SelfStock[RM_Code],$A75,T_SelfStock[WeekIndex],54)+SUMIFS(T_TTAFStock[TTAF_Qty],T_TTAFStock[RM_Code],$A75,T_TTAFStock[WeekIndex],54),BB75+'Grid_Incoming'!BC75-'Grid_Requirement'!BC75))</f>
        <v/>
      </c>
      <c r="BD75">
        <f>IF(COUNTIFS(T_StockCount[RM_Code],$A75,T_StockCount[WeekIndex],55)&gt;0,SUMIFS(T_StockCount[CountedQty],T_StockCount[RM_Code],$A75,T_StockCount[WeekIndex],55),IF((COUNTIFS(T_SelfStock[RM_Code],$A75,T_SelfStock[WeekIndex],55)&gt;0)*(COUNTIFS(T_TTAFStock[RM_Code],$A75,T_TTAFStock[WeekIndex],55)&gt;0)&gt;0,SUMIFS(T_SelfStock[Self_Qty],T_SelfStock[RM_Code],$A75,T_SelfStock[WeekIndex],55)+SUMIFS(T_TTAFStock[TTAF_Qty],T_TTAFStock[RM_Code],$A75,T_TTAFStock[WeekIndex],55),BC75+'Grid_Incoming'!BD75-'Grid_Requirement'!BD75))</f>
        <v/>
      </c>
      <c r="BE75">
        <f>IF(COUNTIFS(T_StockCount[RM_Code],$A75,T_StockCount[WeekIndex],56)&gt;0,SUMIFS(T_StockCount[CountedQty],T_StockCount[RM_Code],$A75,T_StockCount[WeekIndex],56),IF((COUNTIFS(T_SelfStock[RM_Code],$A75,T_SelfStock[WeekIndex],56)&gt;0)*(COUNTIFS(T_TTAFStock[RM_Code],$A75,T_TTAFStock[WeekIndex],56)&gt;0)&gt;0,SUMIFS(T_SelfStock[Self_Qty],T_SelfStock[RM_Code],$A75,T_SelfStock[WeekIndex],56)+SUMIFS(T_TTAFStock[TTAF_Qty],T_TTAFStock[RM_Code],$A75,T_TTAFStock[WeekIndex],56),BD75+'Grid_Incoming'!BE75-'Grid_Requirement'!BE75))</f>
        <v/>
      </c>
      <c r="BF75">
        <f>IF(COUNTIFS(T_StockCount[RM_Code],$A75,T_StockCount[WeekIndex],57)&gt;0,SUMIFS(T_StockCount[CountedQty],T_StockCount[RM_Code],$A75,T_StockCount[WeekIndex],57),IF((COUNTIFS(T_SelfStock[RM_Code],$A75,T_SelfStock[WeekIndex],57)&gt;0)*(COUNTIFS(T_TTAFStock[RM_Code],$A75,T_TTAFStock[WeekIndex],57)&gt;0)&gt;0,SUMIFS(T_SelfStock[Self_Qty],T_SelfStock[RM_Code],$A75,T_SelfStock[WeekIndex],57)+SUMIFS(T_TTAFStock[TTAF_Qty],T_TTAFStock[RM_Code],$A75,T_TTAFStock[WeekIndex],57),BE75+'Grid_Incoming'!BF75-'Grid_Requirement'!BF75))</f>
        <v/>
      </c>
      <c r="BG75">
        <f>IF(COUNTIFS(T_StockCount[RM_Code],$A75,T_StockCount[WeekIndex],58)&gt;0,SUMIFS(T_StockCount[CountedQty],T_StockCount[RM_Code],$A75,T_StockCount[WeekIndex],58),IF((COUNTIFS(T_SelfStock[RM_Code],$A75,T_SelfStock[WeekIndex],58)&gt;0)*(COUNTIFS(T_TTAFStock[RM_Code],$A75,T_TTAFStock[WeekIndex],58)&gt;0)&gt;0,SUMIFS(T_SelfStock[Self_Qty],T_SelfStock[RM_Code],$A75,T_SelfStock[WeekIndex],58)+SUMIFS(T_TTAFStock[TTAF_Qty],T_TTAFStock[RM_Code],$A75,T_TTAFStock[WeekIndex],58),BF75+'Grid_Incoming'!BG75-'Grid_Requirement'!BG75))</f>
        <v/>
      </c>
      <c r="BH75">
        <f>IF(COUNTIFS(T_StockCount[RM_Code],$A75,T_StockCount[WeekIndex],59)&gt;0,SUMIFS(T_StockCount[CountedQty],T_StockCount[RM_Code],$A75,T_StockCount[WeekIndex],59),IF((COUNTIFS(T_SelfStock[RM_Code],$A75,T_SelfStock[WeekIndex],59)&gt;0)*(COUNTIFS(T_TTAFStock[RM_Code],$A75,T_TTAFStock[WeekIndex],59)&gt;0)&gt;0,SUMIFS(T_SelfStock[Self_Qty],T_SelfStock[RM_Code],$A75,T_SelfStock[WeekIndex],59)+SUMIFS(T_TTAFStock[TTAF_Qty],T_TTAFStock[RM_Code],$A75,T_TTAFStock[WeekIndex],59),BG75+'Grid_Incoming'!BH75-'Grid_Requirement'!BH75))</f>
        <v/>
      </c>
      <c r="BI75">
        <f>IF(COUNTIFS(T_StockCount[RM_Code],$A75,T_StockCount[WeekIndex],60)&gt;0,SUMIFS(T_StockCount[CountedQty],T_StockCount[RM_Code],$A75,T_StockCount[WeekIndex],60),IF((COUNTIFS(T_SelfStock[RM_Code],$A75,T_SelfStock[WeekIndex],60)&gt;0)*(COUNTIFS(T_TTAFStock[RM_Code],$A75,T_TTAFStock[WeekIndex],60)&gt;0)&gt;0,SUMIFS(T_SelfStock[Self_Qty],T_SelfStock[RM_Code],$A75,T_SelfStock[WeekIndex],60)+SUMIFS(T_TTAFStock[TTAF_Qty],T_TTAFStock[RM_Code],$A75,T_TTAFStock[WeekIndex],60),BH75+'Grid_Incoming'!BI75-'Grid_Requirement'!BI75))</f>
        <v/>
      </c>
      <c r="BJ75">
        <f>IF(COUNTIFS(T_StockCount[RM_Code],$A75,T_StockCount[WeekIndex],61)&gt;0,SUMIFS(T_StockCount[CountedQty],T_StockCount[RM_Code],$A75,T_StockCount[WeekIndex],61),IF((COUNTIFS(T_SelfStock[RM_Code],$A75,T_SelfStock[WeekIndex],61)&gt;0)*(COUNTIFS(T_TTAFStock[RM_Code],$A75,T_TTAFStock[WeekIndex],61)&gt;0)&gt;0,SUMIFS(T_SelfStock[Self_Qty],T_SelfStock[RM_Code],$A75,T_SelfStock[WeekIndex],61)+SUMIFS(T_TTAFStock[TTAF_Qty],T_TTAFStock[RM_Code],$A75,T_TTAFStock[WeekIndex],61),BI75+'Grid_Incoming'!BJ75-'Grid_Requirement'!BJ75))</f>
        <v/>
      </c>
      <c r="BK75">
        <f>IF(COUNTIFS(T_StockCount[RM_Code],$A75,T_StockCount[WeekIndex],62)&gt;0,SUMIFS(T_StockCount[CountedQty],T_StockCount[RM_Code],$A75,T_StockCount[WeekIndex],62),IF((COUNTIFS(T_SelfStock[RM_Code],$A75,T_SelfStock[WeekIndex],62)&gt;0)*(COUNTIFS(T_TTAFStock[RM_Code],$A75,T_TTAFStock[WeekIndex],62)&gt;0)&gt;0,SUMIFS(T_SelfStock[Self_Qty],T_SelfStock[RM_Code],$A75,T_SelfStock[WeekIndex],62)+SUMIFS(T_TTAFStock[TTAF_Qty],T_TTAFStock[RM_Code],$A75,T_TTAFStock[WeekIndex],62),BJ75+'Grid_Incoming'!BK75-'Grid_Requirement'!BK75))</f>
        <v/>
      </c>
      <c r="BL75">
        <f>IF(COUNTIFS(T_StockCount[RM_Code],$A75,T_StockCount[WeekIndex],63)&gt;0,SUMIFS(T_StockCount[CountedQty],T_StockCount[RM_Code],$A75,T_StockCount[WeekIndex],63),IF((COUNTIFS(T_SelfStock[RM_Code],$A75,T_SelfStock[WeekIndex],63)&gt;0)*(COUNTIFS(T_TTAFStock[RM_Code],$A75,T_TTAFStock[WeekIndex],63)&gt;0)&gt;0,SUMIFS(T_SelfStock[Self_Qty],T_SelfStock[RM_Code],$A75,T_SelfStock[WeekIndex],63)+SUMIFS(T_TTAFStock[TTAF_Qty],T_TTAFStock[RM_Code],$A75,T_TTAFStock[WeekIndex],63),BK75+'Grid_Incoming'!BL75-'Grid_Requirement'!BL75))</f>
        <v/>
      </c>
      <c r="BM75">
        <f>IF(COUNTIFS(T_StockCount[RM_Code],$A75,T_StockCount[WeekIndex],64)&gt;0,SUMIFS(T_StockCount[CountedQty],T_StockCount[RM_Code],$A75,T_StockCount[WeekIndex],64),IF((COUNTIFS(T_SelfStock[RM_Code],$A75,T_SelfStock[WeekIndex],64)&gt;0)*(COUNTIFS(T_TTAFStock[RM_Code],$A75,T_TTAFStock[WeekIndex],64)&gt;0)&gt;0,SUMIFS(T_SelfStock[Self_Qty],T_SelfStock[RM_Code],$A75,T_SelfStock[WeekIndex],64)+SUMIFS(T_TTAFStock[TTAF_Qty],T_TTAFStock[RM_Code],$A75,T_TTAFStock[WeekIndex],64),BL75+'Grid_Incoming'!BM75-'Grid_Requirement'!BM75))</f>
        <v/>
      </c>
      <c r="BN75">
        <f>IF(COUNTIFS(T_StockCount[RM_Code],$A75,T_StockCount[WeekIndex],65)&gt;0,SUMIFS(T_StockCount[CountedQty],T_StockCount[RM_Code],$A75,T_StockCount[WeekIndex],65),IF((COUNTIFS(T_SelfStock[RM_Code],$A75,T_SelfStock[WeekIndex],65)&gt;0)*(COUNTIFS(T_TTAFStock[RM_Code],$A75,T_TTAFStock[WeekIndex],65)&gt;0)&gt;0,SUMIFS(T_SelfStock[Self_Qty],T_SelfStock[RM_Code],$A75,T_SelfStock[WeekIndex],65)+SUMIFS(T_TTAFStock[TTAF_Qty],T_TTAFStock[RM_Code],$A75,T_TTAFStock[WeekIndex],65),BM75+'Grid_Incoming'!BN75-'Grid_Requirement'!BN75))</f>
        <v/>
      </c>
      <c r="BO75">
        <f>IF(COUNTIFS(T_StockCount[RM_Code],$A75,T_StockCount[WeekIndex],66)&gt;0,SUMIFS(T_StockCount[CountedQty],T_StockCount[RM_Code],$A75,T_StockCount[WeekIndex],66),IF((COUNTIFS(T_SelfStock[RM_Code],$A75,T_SelfStock[WeekIndex],66)&gt;0)*(COUNTIFS(T_TTAFStock[RM_Code],$A75,T_TTAFStock[WeekIndex],66)&gt;0)&gt;0,SUMIFS(T_SelfStock[Self_Qty],T_SelfStock[RM_Code],$A75,T_SelfStock[WeekIndex],66)+SUMIFS(T_TTAFStock[TTAF_Qty],T_TTAFStock[RM_Code],$A75,T_TTAFStock[WeekIndex],66),BN75+'Grid_Incoming'!BO75-'Grid_Requirement'!BO75))</f>
        <v/>
      </c>
      <c r="BP75">
        <f>IF(COUNTIFS(T_StockCount[RM_Code],$A75,T_StockCount[WeekIndex],67)&gt;0,SUMIFS(T_StockCount[CountedQty],T_StockCount[RM_Code],$A75,T_StockCount[WeekIndex],67),IF((COUNTIFS(T_SelfStock[RM_Code],$A75,T_SelfStock[WeekIndex],67)&gt;0)*(COUNTIFS(T_TTAFStock[RM_Code],$A75,T_TTAFStock[WeekIndex],67)&gt;0)&gt;0,SUMIFS(T_SelfStock[Self_Qty],T_SelfStock[RM_Code],$A75,T_SelfStock[WeekIndex],67)+SUMIFS(T_TTAFStock[TTAF_Qty],T_TTAFStock[RM_Code],$A75,T_TTAFStock[WeekIndex],67),BO75+'Grid_Incoming'!BP75-'Grid_Requirement'!BP75))</f>
        <v/>
      </c>
      <c r="BQ75">
        <f>IF(COUNTIFS(T_StockCount[RM_Code],$A75,T_StockCount[WeekIndex],68)&gt;0,SUMIFS(T_StockCount[CountedQty],T_StockCount[RM_Code],$A75,T_StockCount[WeekIndex],68),IF((COUNTIFS(T_SelfStock[RM_Code],$A75,T_SelfStock[WeekIndex],68)&gt;0)*(COUNTIFS(T_TTAFStock[RM_Code],$A75,T_TTAFStock[WeekIndex],68)&gt;0)&gt;0,SUMIFS(T_SelfStock[Self_Qty],T_SelfStock[RM_Code],$A75,T_SelfStock[WeekIndex],68)+SUMIFS(T_TTAFStock[TTAF_Qty],T_TTAFStock[RM_Code],$A75,T_TTAFStock[WeekIndex],68),BP75+'Grid_Incoming'!BQ75-'Grid_Requirement'!BQ75))</f>
        <v/>
      </c>
      <c r="BR75">
        <f>IF(COUNTIFS(T_StockCount[RM_Code],$A75,T_StockCount[WeekIndex],69)&gt;0,SUMIFS(T_StockCount[CountedQty],T_StockCount[RM_Code],$A75,T_StockCount[WeekIndex],69),IF((COUNTIFS(T_SelfStock[RM_Code],$A75,T_SelfStock[WeekIndex],69)&gt;0)*(COUNTIFS(T_TTAFStock[RM_Code],$A75,T_TTAFStock[WeekIndex],69)&gt;0)&gt;0,SUMIFS(T_SelfStock[Self_Qty],T_SelfStock[RM_Code],$A75,T_SelfStock[WeekIndex],69)+SUMIFS(T_TTAFStock[TTAF_Qty],T_TTAFStock[RM_Code],$A75,T_TTAFStock[WeekIndex],69),BQ75+'Grid_Incoming'!BR75-'Grid_Requirement'!BR75))</f>
        <v/>
      </c>
      <c r="BS75">
        <f>IF(COUNTIFS(T_StockCount[RM_Code],$A75,T_StockCount[WeekIndex],70)&gt;0,SUMIFS(T_StockCount[CountedQty],T_StockCount[RM_Code],$A75,T_StockCount[WeekIndex],70),IF((COUNTIFS(T_SelfStock[RM_Code],$A75,T_SelfStock[WeekIndex],70)&gt;0)*(COUNTIFS(T_TTAFStock[RM_Code],$A75,T_TTAFStock[WeekIndex],70)&gt;0)&gt;0,SUMIFS(T_SelfStock[Self_Qty],T_SelfStock[RM_Code],$A75,T_SelfStock[WeekIndex],70)+SUMIFS(T_TTAFStock[TTAF_Qty],T_TTAFStock[RM_Code],$A75,T_TTAFStock[WeekIndex],70),BR75+'Grid_Incoming'!BS75-'Grid_Requirement'!BS75))</f>
        <v/>
      </c>
      <c r="BT75">
        <f>IF(COUNTIFS(T_StockCount[RM_Code],$A75,T_StockCount[WeekIndex],71)&gt;0,SUMIFS(T_StockCount[CountedQty],T_StockCount[RM_Code],$A75,T_StockCount[WeekIndex],71),IF((COUNTIFS(T_SelfStock[RM_Code],$A75,T_SelfStock[WeekIndex],71)&gt;0)*(COUNTIFS(T_TTAFStock[RM_Code],$A75,T_TTAFStock[WeekIndex],71)&gt;0)&gt;0,SUMIFS(T_SelfStock[Self_Qty],T_SelfStock[RM_Code],$A75,T_SelfStock[WeekIndex],71)+SUMIFS(T_TTAFStock[TTAF_Qty],T_TTAFStock[RM_Code],$A75,T_TTAFStock[WeekIndex],71),BS75+'Grid_Incoming'!BT75-'Grid_Requirement'!BT75))</f>
        <v/>
      </c>
      <c r="BU75">
        <f>IF(COUNTIFS(T_StockCount[RM_Code],$A75,T_StockCount[WeekIndex],72)&gt;0,SUMIFS(T_StockCount[CountedQty],T_StockCount[RM_Code],$A75,T_StockCount[WeekIndex],72),IF((COUNTIFS(T_SelfStock[RM_Code],$A75,T_SelfStock[WeekIndex],72)&gt;0)*(COUNTIFS(T_TTAFStock[RM_Code],$A75,T_TTAFStock[WeekIndex],72)&gt;0)&gt;0,SUMIFS(T_SelfStock[Self_Qty],T_SelfStock[RM_Code],$A75,T_SelfStock[WeekIndex],72)+SUMIFS(T_TTAFStock[TTAF_Qty],T_TTAFStock[RM_Code],$A75,T_TTAFStock[WeekIndex],72),BT75+'Grid_Incoming'!BU75-'Grid_Requirement'!BU75))</f>
        <v/>
      </c>
      <c r="BV75">
        <f>IF(COUNTIFS(T_StockCount[RM_Code],$A75,T_StockCount[WeekIndex],73)&gt;0,SUMIFS(T_StockCount[CountedQty],T_StockCount[RM_Code],$A75,T_StockCount[WeekIndex],73),IF((COUNTIFS(T_SelfStock[RM_Code],$A75,T_SelfStock[WeekIndex],73)&gt;0)*(COUNTIFS(T_TTAFStock[RM_Code],$A75,T_TTAFStock[WeekIndex],73)&gt;0)&gt;0,SUMIFS(T_SelfStock[Self_Qty],T_SelfStock[RM_Code],$A75,T_SelfStock[WeekIndex],73)+SUMIFS(T_TTAFStock[TTAF_Qty],T_TTAFStock[RM_Code],$A75,T_TTAFStock[WeekIndex],73),BU75+'Grid_Incoming'!BV75-'Grid_Requirement'!BV75))</f>
        <v/>
      </c>
      <c r="BW75">
        <f>IF(COUNTIFS(T_StockCount[RM_Code],$A75,T_StockCount[WeekIndex],74)&gt;0,SUMIFS(T_StockCount[CountedQty],T_StockCount[RM_Code],$A75,T_StockCount[WeekIndex],74),IF((COUNTIFS(T_SelfStock[RM_Code],$A75,T_SelfStock[WeekIndex],74)&gt;0)*(COUNTIFS(T_TTAFStock[RM_Code],$A75,T_TTAFStock[WeekIndex],74)&gt;0)&gt;0,SUMIFS(T_SelfStock[Self_Qty],T_SelfStock[RM_Code],$A75,T_SelfStock[WeekIndex],74)+SUMIFS(T_TTAFStock[TTAF_Qty],T_TTAFStock[RM_Code],$A75,T_TTAFStock[WeekIndex],74),BV75+'Grid_Incoming'!BW75-'Grid_Requirement'!BW75))</f>
        <v/>
      </c>
      <c r="BX75">
        <f>IF(COUNTIFS(T_StockCount[RM_Code],$A75,T_StockCount[WeekIndex],75)&gt;0,SUMIFS(T_StockCount[CountedQty],T_StockCount[RM_Code],$A75,T_StockCount[WeekIndex],75),IF((COUNTIFS(T_SelfStock[RM_Code],$A75,T_SelfStock[WeekIndex],75)&gt;0)*(COUNTIFS(T_TTAFStock[RM_Code],$A75,T_TTAFStock[WeekIndex],75)&gt;0)&gt;0,SUMIFS(T_SelfStock[Self_Qty],T_SelfStock[RM_Code],$A75,T_SelfStock[WeekIndex],75)+SUMIFS(T_TTAFStock[TTAF_Qty],T_TTAFStock[RM_Code],$A75,T_TTAFStock[WeekIndex],75),BW75+'Grid_Incoming'!BX75-'Grid_Requirement'!BX75))</f>
        <v/>
      </c>
      <c r="BY75">
        <f>IF(COUNTIFS(T_StockCount[RM_Code],$A75,T_StockCount[WeekIndex],76)&gt;0,SUMIFS(T_StockCount[CountedQty],T_StockCount[RM_Code],$A75,T_StockCount[WeekIndex],76),IF((COUNTIFS(T_SelfStock[RM_Code],$A75,T_SelfStock[WeekIndex],76)&gt;0)*(COUNTIFS(T_TTAFStock[RM_Code],$A75,T_TTAFStock[WeekIndex],76)&gt;0)&gt;0,SUMIFS(T_SelfStock[Self_Qty],T_SelfStock[RM_Code],$A75,T_SelfStock[WeekIndex],76)+SUMIFS(T_TTAFStock[TTAF_Qty],T_TTAFStock[RM_Code],$A75,T_TTAFStock[WeekIndex],76),BX75+'Grid_Incoming'!BY75-'Grid_Requirement'!BY75))</f>
        <v/>
      </c>
      <c r="BZ75">
        <f>IF(COUNTIFS(T_StockCount[RM_Code],$A75,T_StockCount[WeekIndex],77)&gt;0,SUMIFS(T_StockCount[CountedQty],T_StockCount[RM_Code],$A75,T_StockCount[WeekIndex],77),IF((COUNTIFS(T_SelfStock[RM_Code],$A75,T_SelfStock[WeekIndex],77)&gt;0)*(COUNTIFS(T_TTAFStock[RM_Code],$A75,T_TTAFStock[WeekIndex],77)&gt;0)&gt;0,SUMIFS(T_SelfStock[Self_Qty],T_SelfStock[RM_Code],$A75,T_SelfStock[WeekIndex],77)+SUMIFS(T_TTAFStock[TTAF_Qty],T_TTAFStock[RM_Code],$A75,T_TTAFStock[WeekIndex],77),BY75+'Grid_Incoming'!BZ75-'Grid_Requirement'!BZ75))</f>
        <v/>
      </c>
      <c r="CA75">
        <f>IF(COUNTIFS(T_StockCount[RM_Code],$A75,T_StockCount[WeekIndex],78)&gt;0,SUMIFS(T_StockCount[CountedQty],T_StockCount[RM_Code],$A75,T_StockCount[WeekIndex],78),IF((COUNTIFS(T_SelfStock[RM_Code],$A75,T_SelfStock[WeekIndex],78)&gt;0)*(COUNTIFS(T_TTAFStock[RM_Code],$A75,T_TTAFStock[WeekIndex],78)&gt;0)&gt;0,SUMIFS(T_SelfStock[Self_Qty],T_SelfStock[RM_Code],$A75,T_SelfStock[WeekIndex],78)+SUMIFS(T_TTAFStock[TTAF_Qty],T_TTAFStock[RM_Code],$A75,T_TTAFStock[WeekIndex],78),BZ75+'Grid_Incoming'!CA75-'Grid_Requirement'!CA75))</f>
        <v/>
      </c>
      <c r="CB75">
        <f>IF(COUNTIFS(T_StockCount[RM_Code],$A75,T_StockCount[WeekIndex],79)&gt;0,SUMIFS(T_StockCount[CountedQty],T_StockCount[RM_Code],$A75,T_StockCount[WeekIndex],79),IF((COUNTIFS(T_SelfStock[RM_Code],$A75,T_SelfStock[WeekIndex],79)&gt;0)*(COUNTIFS(T_TTAFStock[RM_Code],$A75,T_TTAFStock[WeekIndex],79)&gt;0)&gt;0,SUMIFS(T_SelfStock[Self_Qty],T_SelfStock[RM_Code],$A75,T_SelfStock[WeekIndex],79)+SUMIFS(T_TTAFStock[TTAF_Qty],T_TTAFStock[RM_Code],$A75,T_TTAFStock[WeekIndex],79),CA75+'Grid_Incoming'!CB75-'Grid_Requirement'!CB75))</f>
        <v/>
      </c>
      <c r="CC75">
        <f>IF(COUNTIFS(T_StockCount[RM_Code],$A75,T_StockCount[WeekIndex],80)&gt;0,SUMIFS(T_StockCount[CountedQty],T_StockCount[RM_Code],$A75,T_StockCount[WeekIndex],80),IF((COUNTIFS(T_SelfStock[RM_Code],$A75,T_SelfStock[WeekIndex],80)&gt;0)*(COUNTIFS(T_TTAFStock[RM_Code],$A75,T_TTAFStock[WeekIndex],80)&gt;0)&gt;0,SUMIFS(T_SelfStock[Self_Qty],T_SelfStock[RM_Code],$A75,T_SelfStock[WeekIndex],80)+SUMIFS(T_TTAFStock[TTAF_Qty],T_TTAFStock[RM_Code],$A75,T_TTAFStock[WeekIndex],80),CB75+'Grid_Incoming'!CC75-'Grid_Requirement'!CC75))</f>
        <v/>
      </c>
      <c r="CD75">
        <f>IF(COUNTIFS(T_StockCount[RM_Code],$A75,T_StockCount[WeekIndex],81)&gt;0,SUMIFS(T_StockCount[CountedQty],T_StockCount[RM_Code],$A75,T_StockCount[WeekIndex],81),IF((COUNTIFS(T_SelfStock[RM_Code],$A75,T_SelfStock[WeekIndex],81)&gt;0)*(COUNTIFS(T_TTAFStock[RM_Code],$A75,T_TTAFStock[WeekIndex],81)&gt;0)&gt;0,SUMIFS(T_SelfStock[Self_Qty],T_SelfStock[RM_Code],$A75,T_SelfStock[WeekIndex],81)+SUMIFS(T_TTAFStock[TTAF_Qty],T_TTAFStock[RM_Code],$A75,T_TTAFStock[WeekIndex],81),CC75+'Grid_Incoming'!CD75-'Grid_Requirement'!CD75))</f>
        <v/>
      </c>
      <c r="CE75">
        <f>IF(COUNTIFS(T_StockCount[RM_Code],$A75,T_StockCount[WeekIndex],82)&gt;0,SUMIFS(T_StockCount[CountedQty],T_StockCount[RM_Code],$A75,T_StockCount[WeekIndex],82),IF((COUNTIFS(T_SelfStock[RM_Code],$A75,T_SelfStock[WeekIndex],82)&gt;0)*(COUNTIFS(T_TTAFStock[RM_Code],$A75,T_TTAFStock[WeekIndex],82)&gt;0)&gt;0,SUMIFS(T_SelfStock[Self_Qty],T_SelfStock[RM_Code],$A75,T_SelfStock[WeekIndex],82)+SUMIFS(T_TTAFStock[TTAF_Qty],T_TTAFStock[RM_Code],$A75,T_TTAFStock[WeekIndex],82),CD75+'Grid_Incoming'!CE75-'Grid_Requirement'!CE75))</f>
        <v/>
      </c>
      <c r="CF75">
        <f>IF(COUNTIFS(T_StockCount[RM_Code],$A75,T_StockCount[WeekIndex],83)&gt;0,SUMIFS(T_StockCount[CountedQty],T_StockCount[RM_Code],$A75,T_StockCount[WeekIndex],83),IF((COUNTIFS(T_SelfStock[RM_Code],$A75,T_SelfStock[WeekIndex],83)&gt;0)*(COUNTIFS(T_TTAFStock[RM_Code],$A75,T_TTAFStock[WeekIndex],83)&gt;0)&gt;0,SUMIFS(T_SelfStock[Self_Qty],T_SelfStock[RM_Code],$A75,T_SelfStock[WeekIndex],83)+SUMIFS(T_TTAFStock[TTAF_Qty],T_TTAFStock[RM_Code],$A75,T_TTAFStock[WeekIndex],83),CE75+'Grid_Incoming'!CF75-'Grid_Requirement'!CF75))</f>
        <v/>
      </c>
      <c r="CG75">
        <f>IF(COUNTIFS(T_StockCount[RM_Code],$A75,T_StockCount[WeekIndex],84)&gt;0,SUMIFS(T_StockCount[CountedQty],T_StockCount[RM_Code],$A75,T_StockCount[WeekIndex],84),IF((COUNTIFS(T_SelfStock[RM_Code],$A75,T_SelfStock[WeekIndex],84)&gt;0)*(COUNTIFS(T_TTAFStock[RM_Code],$A75,T_TTAFStock[WeekIndex],84)&gt;0)&gt;0,SUMIFS(T_SelfStock[Self_Qty],T_SelfStock[RM_Code],$A75,T_SelfStock[WeekIndex],84)+SUMIFS(T_TTAFStock[TTAF_Qty],T_TTAFStock[RM_Code],$A75,T_TTAFStock[WeekIndex],84),CF75+'Grid_Incoming'!CG75-'Grid_Requirement'!CG75))</f>
        <v/>
      </c>
      <c r="CH75">
        <f>IF(COUNTIFS(T_StockCount[RM_Code],$A75,T_StockCount[WeekIndex],85)&gt;0,SUMIFS(T_StockCount[CountedQty],T_StockCount[RM_Code],$A75,T_StockCount[WeekIndex],85),IF((COUNTIFS(T_SelfStock[RM_Code],$A75,T_SelfStock[WeekIndex],85)&gt;0)*(COUNTIFS(T_TTAFStock[RM_Code],$A75,T_TTAFStock[WeekIndex],85)&gt;0)&gt;0,SUMIFS(T_SelfStock[Self_Qty],T_SelfStock[RM_Code],$A75,T_SelfStock[WeekIndex],85)+SUMIFS(T_TTAFStock[TTAF_Qty],T_TTAFStock[RM_Code],$A75,T_TTAFStock[WeekIndex],85),CG75+'Grid_Incoming'!CH75-'Grid_Requirement'!CH75))</f>
        <v/>
      </c>
      <c r="CI75">
        <f>IF(COUNTIFS(T_StockCount[RM_Code],$A75,T_StockCount[WeekIndex],86)&gt;0,SUMIFS(T_StockCount[CountedQty],T_StockCount[RM_Code],$A75,T_StockCount[WeekIndex],86),IF((COUNTIFS(T_SelfStock[RM_Code],$A75,T_SelfStock[WeekIndex],86)&gt;0)*(COUNTIFS(T_TTAFStock[RM_Code],$A75,T_TTAFStock[WeekIndex],86)&gt;0)&gt;0,SUMIFS(T_SelfStock[Self_Qty],T_SelfStock[RM_Code],$A75,T_SelfStock[WeekIndex],86)+SUMIFS(T_TTAFStock[TTAF_Qty],T_TTAFStock[RM_Code],$A75,T_TTAFStock[WeekIndex],86),CH75+'Grid_Incoming'!CI75-'Grid_Requirement'!CI75))</f>
        <v/>
      </c>
      <c r="CJ75">
        <f>IF(COUNTIFS(T_StockCount[RM_Code],$A75,T_StockCount[WeekIndex],87)&gt;0,SUMIFS(T_StockCount[CountedQty],T_StockCount[RM_Code],$A75,T_StockCount[WeekIndex],87),IF((COUNTIFS(T_SelfStock[RM_Code],$A75,T_SelfStock[WeekIndex],87)&gt;0)*(COUNTIFS(T_TTAFStock[RM_Code],$A75,T_TTAFStock[WeekIndex],87)&gt;0)&gt;0,SUMIFS(T_SelfStock[Self_Qty],T_SelfStock[RM_Code],$A75,T_SelfStock[WeekIndex],87)+SUMIFS(T_TTAFStock[TTAF_Qty],T_TTAFStock[RM_Code],$A75,T_TTAFStock[WeekIndex],87),CI75+'Grid_Incoming'!CJ75-'Grid_Requirement'!CJ75))</f>
        <v/>
      </c>
      <c r="CK75">
        <f>IF(COUNTIFS(T_StockCount[RM_Code],$A75,T_StockCount[WeekIndex],88)&gt;0,SUMIFS(T_StockCount[CountedQty],T_StockCount[RM_Code],$A75,T_StockCount[WeekIndex],88),IF((COUNTIFS(T_SelfStock[RM_Code],$A75,T_SelfStock[WeekIndex],88)&gt;0)*(COUNTIFS(T_TTAFStock[RM_Code],$A75,T_TTAFStock[WeekIndex],88)&gt;0)&gt;0,SUMIFS(T_SelfStock[Self_Qty],T_SelfStock[RM_Code],$A75,T_SelfStock[WeekIndex],88)+SUMIFS(T_TTAFStock[TTAF_Qty],T_TTAFStock[RM_Code],$A75,T_TTAFStock[WeekIndex],88),CJ75+'Grid_Incoming'!CK75-'Grid_Requirement'!CK75))</f>
        <v/>
      </c>
      <c r="CL75">
        <f>IF(COUNTIFS(T_StockCount[RM_Code],$A75,T_StockCount[WeekIndex],89)&gt;0,SUMIFS(T_StockCount[CountedQty],T_StockCount[RM_Code],$A75,T_StockCount[WeekIndex],89),IF((COUNTIFS(T_SelfStock[RM_Code],$A75,T_SelfStock[WeekIndex],89)&gt;0)*(COUNTIFS(T_TTAFStock[RM_Code],$A75,T_TTAFStock[WeekIndex],89)&gt;0)&gt;0,SUMIFS(T_SelfStock[Self_Qty],T_SelfStock[RM_Code],$A75,T_SelfStock[WeekIndex],89)+SUMIFS(T_TTAFStock[TTAF_Qty],T_TTAFStock[RM_Code],$A75,T_TTAFStock[WeekIndex],89),CK75+'Grid_Incoming'!CL75-'Grid_Requirement'!CL75))</f>
        <v/>
      </c>
      <c r="CM75">
        <f>IF(COUNTIFS(T_StockCount[RM_Code],$A75,T_StockCount[WeekIndex],90)&gt;0,SUMIFS(T_StockCount[CountedQty],T_StockCount[RM_Code],$A75,T_StockCount[WeekIndex],90),IF((COUNTIFS(T_SelfStock[RM_Code],$A75,T_SelfStock[WeekIndex],90)&gt;0)*(COUNTIFS(T_TTAFStock[RM_Code],$A75,T_TTAFStock[WeekIndex],90)&gt;0)&gt;0,SUMIFS(T_SelfStock[Self_Qty],T_SelfStock[RM_Code],$A75,T_SelfStock[WeekIndex],90)+SUMIFS(T_TTAFStock[TTAF_Qty],T_TTAFStock[RM_Code],$A75,T_TTAFStock[WeekIndex],90),CL75+'Grid_Incoming'!CM75-'Grid_Requirement'!CM75))</f>
        <v/>
      </c>
      <c r="CN75">
        <f>IF(COUNTIFS(T_StockCount[RM_Code],$A75,T_StockCount[WeekIndex],91)&gt;0,SUMIFS(T_StockCount[CountedQty],T_StockCount[RM_Code],$A75,T_StockCount[WeekIndex],91),IF((COUNTIFS(T_SelfStock[RM_Code],$A75,T_SelfStock[WeekIndex],91)&gt;0)*(COUNTIFS(T_TTAFStock[RM_Code],$A75,T_TTAFStock[WeekIndex],91)&gt;0)&gt;0,SUMIFS(T_SelfStock[Self_Qty],T_SelfStock[RM_Code],$A75,T_SelfStock[WeekIndex],91)+SUMIFS(T_TTAFStock[TTAF_Qty],T_TTAFStock[RM_Code],$A75,T_TTAFStock[WeekIndex],91),CM75+'Grid_Incoming'!CN75-'Grid_Requirement'!CN75))</f>
        <v/>
      </c>
      <c r="CO75">
        <f>IF(COUNTIFS(T_StockCount[RM_Code],$A75,T_StockCount[WeekIndex],92)&gt;0,SUMIFS(T_StockCount[CountedQty],T_StockCount[RM_Code],$A75,T_StockCount[WeekIndex],92),IF((COUNTIFS(T_SelfStock[RM_Code],$A75,T_SelfStock[WeekIndex],92)&gt;0)*(COUNTIFS(T_TTAFStock[RM_Code],$A75,T_TTAFStock[WeekIndex],92)&gt;0)&gt;0,SUMIFS(T_SelfStock[Self_Qty],T_SelfStock[RM_Code],$A75,T_SelfStock[WeekIndex],92)+SUMIFS(T_TTAFStock[TTAF_Qty],T_TTAFStock[RM_Code],$A75,T_TTAFStock[WeekIndex],92),CN75+'Grid_Incoming'!CO75-'Grid_Requirement'!CO75))</f>
        <v/>
      </c>
      <c r="CP75">
        <f>IF(COUNTIFS(T_StockCount[RM_Code],$A75,T_StockCount[WeekIndex],93)&gt;0,SUMIFS(T_StockCount[CountedQty],T_StockCount[RM_Code],$A75,T_StockCount[WeekIndex],93),IF((COUNTIFS(T_SelfStock[RM_Code],$A75,T_SelfStock[WeekIndex],93)&gt;0)*(COUNTIFS(T_TTAFStock[RM_Code],$A75,T_TTAFStock[WeekIndex],93)&gt;0)&gt;0,SUMIFS(T_SelfStock[Self_Qty],T_SelfStock[RM_Code],$A75,T_SelfStock[WeekIndex],93)+SUMIFS(T_TTAFStock[TTAF_Qty],T_TTAFStock[RM_Code],$A75,T_TTAFStock[WeekIndex],93),CO75+'Grid_Incoming'!CP75-'Grid_Requirement'!CP75))</f>
        <v/>
      </c>
      <c r="CQ75">
        <f>IF(COUNTIFS(T_StockCount[RM_Code],$A75,T_StockCount[WeekIndex],94)&gt;0,SUMIFS(T_StockCount[CountedQty],T_StockCount[RM_Code],$A75,T_StockCount[WeekIndex],94),IF((COUNTIFS(T_SelfStock[RM_Code],$A75,T_SelfStock[WeekIndex],94)&gt;0)*(COUNTIFS(T_TTAFStock[RM_Code],$A75,T_TTAFStock[WeekIndex],94)&gt;0)&gt;0,SUMIFS(T_SelfStock[Self_Qty],T_SelfStock[RM_Code],$A75,T_SelfStock[WeekIndex],94)+SUMIFS(T_TTAFStock[TTAF_Qty],T_TTAFStock[RM_Code],$A75,T_TTAFStock[WeekIndex],94),CP75+'Grid_Incoming'!CQ75-'Grid_Requirement'!CQ75))</f>
        <v/>
      </c>
      <c r="CR75">
        <f>IF(COUNTIFS(T_StockCount[RM_Code],$A75,T_StockCount[WeekIndex],95)&gt;0,SUMIFS(T_StockCount[CountedQty],T_StockCount[RM_Code],$A75,T_StockCount[WeekIndex],95),IF((COUNTIFS(T_SelfStock[RM_Code],$A75,T_SelfStock[WeekIndex],95)&gt;0)*(COUNTIFS(T_TTAFStock[RM_Code],$A75,T_TTAFStock[WeekIndex],95)&gt;0)&gt;0,SUMIFS(T_SelfStock[Self_Qty],T_SelfStock[RM_Code],$A75,T_SelfStock[WeekIndex],95)+SUMIFS(T_TTAFStock[TTAF_Qty],T_TTAFStock[RM_Code],$A75,T_TTAFStock[WeekIndex],95),CQ75+'Grid_Incoming'!CR75-'Grid_Requirement'!CR75))</f>
        <v/>
      </c>
      <c r="CS75">
        <f>IF(COUNTIFS(T_StockCount[RM_Code],$A75,T_StockCount[WeekIndex],96)&gt;0,SUMIFS(T_StockCount[CountedQty],T_StockCount[RM_Code],$A75,T_StockCount[WeekIndex],96),IF((COUNTIFS(T_SelfStock[RM_Code],$A75,T_SelfStock[WeekIndex],96)&gt;0)*(COUNTIFS(T_TTAFStock[RM_Code],$A75,T_TTAFStock[WeekIndex],96)&gt;0)&gt;0,SUMIFS(T_SelfStock[Self_Qty],T_SelfStock[RM_Code],$A75,T_SelfStock[WeekIndex],96)+SUMIFS(T_TTAFStock[TTAF_Qty],T_TTAFStock[RM_Code],$A75,T_TTAFStock[WeekIndex],96),CR75+'Grid_Incoming'!CS75-'Grid_Requirement'!CS75))</f>
        <v/>
      </c>
      <c r="CT75">
        <f>IF(COUNTIFS(T_StockCount[RM_Code],$A75,T_StockCount[WeekIndex],97)&gt;0,SUMIFS(T_StockCount[CountedQty],T_StockCount[RM_Code],$A75,T_StockCount[WeekIndex],97),IF((COUNTIFS(T_SelfStock[RM_Code],$A75,T_SelfStock[WeekIndex],97)&gt;0)*(COUNTIFS(T_TTAFStock[RM_Code],$A75,T_TTAFStock[WeekIndex],97)&gt;0)&gt;0,SUMIFS(T_SelfStock[Self_Qty],T_SelfStock[RM_Code],$A75,T_SelfStock[WeekIndex],97)+SUMIFS(T_TTAFStock[TTAF_Qty],T_TTAFStock[RM_Code],$A75,T_TTAFStock[WeekIndex],97),CS75+'Grid_Incoming'!CT75-'Grid_Requirement'!CT75))</f>
        <v/>
      </c>
      <c r="CU75">
        <f>IF(COUNTIFS(T_StockCount[RM_Code],$A75,T_StockCount[WeekIndex],98)&gt;0,SUMIFS(T_StockCount[CountedQty],T_StockCount[RM_Code],$A75,T_StockCount[WeekIndex],98),IF((COUNTIFS(T_SelfStock[RM_Code],$A75,T_SelfStock[WeekIndex],98)&gt;0)*(COUNTIFS(T_TTAFStock[RM_Code],$A75,T_TTAFStock[WeekIndex],98)&gt;0)&gt;0,SUMIFS(T_SelfStock[Self_Qty],T_SelfStock[RM_Code],$A75,T_SelfStock[WeekIndex],98)+SUMIFS(T_TTAFStock[TTAF_Qty],T_TTAFStock[RM_Code],$A75,T_TTAFStock[WeekIndex],98),CT75+'Grid_Incoming'!CU75-'Grid_Requirement'!CU75))</f>
        <v/>
      </c>
      <c r="CV75">
        <f>IF(COUNTIFS(T_StockCount[RM_Code],$A75,T_StockCount[WeekIndex],99)&gt;0,SUMIFS(T_StockCount[CountedQty],T_StockCount[RM_Code],$A75,T_StockCount[WeekIndex],99),IF((COUNTIFS(T_SelfStock[RM_Code],$A75,T_SelfStock[WeekIndex],99)&gt;0)*(COUNTIFS(T_TTAFStock[RM_Code],$A75,T_TTAFStock[WeekIndex],99)&gt;0)&gt;0,SUMIFS(T_SelfStock[Self_Qty],T_SelfStock[RM_Code],$A75,T_SelfStock[WeekIndex],99)+SUMIFS(T_TTAFStock[TTAF_Qty],T_TTAFStock[RM_Code],$A75,T_TTAFStock[WeekIndex],99),CU75+'Grid_Incoming'!CV75-'Grid_Requirement'!CV75))</f>
        <v/>
      </c>
      <c r="CW75">
        <f>IF(COUNTIFS(T_StockCount[RM_Code],$A75,T_StockCount[WeekIndex],100)&gt;0,SUMIFS(T_StockCount[CountedQty],T_StockCount[RM_Code],$A75,T_StockCount[WeekIndex],100),IF((COUNTIFS(T_SelfStock[RM_Code],$A75,T_SelfStock[WeekIndex],100)&gt;0)*(COUNTIFS(T_TTAFStock[RM_Code],$A75,T_TTAFStock[WeekIndex],100)&gt;0)&gt;0,SUMIFS(T_SelfStock[Self_Qty],T_SelfStock[RM_Code],$A75,T_SelfStock[WeekIndex],100)+SUMIFS(T_TTAFStock[TTAF_Qty],T_TTAFStock[RM_Code],$A75,T_TTAFStock[WeekIndex],100),CV75+'Grid_Incoming'!CW75-'Grid_Requirement'!CW75))</f>
        <v/>
      </c>
      <c r="CX75">
        <f>IF(COUNTIFS(T_StockCount[RM_Code],$A75,T_StockCount[WeekIndex],101)&gt;0,SUMIFS(T_StockCount[CountedQty],T_StockCount[RM_Code],$A75,T_StockCount[WeekIndex],101),IF((COUNTIFS(T_SelfStock[RM_Code],$A75,T_SelfStock[WeekIndex],101)&gt;0)*(COUNTIFS(T_TTAFStock[RM_Code],$A75,T_TTAFStock[WeekIndex],101)&gt;0)&gt;0,SUMIFS(T_SelfStock[Self_Qty],T_SelfStock[RM_Code],$A75,T_SelfStock[WeekIndex],101)+SUMIFS(T_TTAFStock[TTAF_Qty],T_TTAFStock[RM_Code],$A75,T_TTAFStock[WeekIndex],101),CW75+'Grid_Incoming'!CX75-'Grid_Requirement'!CX75))</f>
        <v/>
      </c>
      <c r="CY75">
        <f>IF(COUNTIFS(T_StockCount[RM_Code],$A75,T_StockCount[WeekIndex],102)&gt;0,SUMIFS(T_StockCount[CountedQty],T_StockCount[RM_Code],$A75,T_StockCount[WeekIndex],102),IF((COUNTIFS(T_SelfStock[RM_Code],$A75,T_SelfStock[WeekIndex],102)&gt;0)*(COUNTIFS(T_TTAFStock[RM_Code],$A75,T_TTAFStock[WeekIndex],102)&gt;0)&gt;0,SUMIFS(T_SelfStock[Self_Qty],T_SelfStock[RM_Code],$A75,T_SelfStock[WeekIndex],102)+SUMIFS(T_TTAFStock[TTAF_Qty],T_TTAFStock[RM_Code],$A75,T_TTAFStock[WeekIndex],102),CX75+'Grid_Incoming'!CY75-'Grid_Requirement'!CY75))</f>
        <v/>
      </c>
      <c r="CZ75">
        <f>IF(COUNTIFS(T_StockCount[RM_Code],$A75,T_StockCount[WeekIndex],103)&gt;0,SUMIFS(T_StockCount[CountedQty],T_StockCount[RM_Code],$A75,T_StockCount[WeekIndex],103),IF((COUNTIFS(T_SelfStock[RM_Code],$A75,T_SelfStock[WeekIndex],103)&gt;0)*(COUNTIFS(T_TTAFStock[RM_Code],$A75,T_TTAFStock[WeekIndex],103)&gt;0)&gt;0,SUMIFS(T_SelfStock[Self_Qty],T_SelfStock[RM_Code],$A75,T_SelfStock[WeekIndex],103)+SUMIFS(T_TTAFStock[TTAF_Qty],T_TTAFStock[RM_Code],$A75,T_TTAFStock[WeekIndex],103),CY75+'Grid_Incoming'!CZ75-'Grid_Requirement'!CZ75))</f>
        <v/>
      </c>
      <c r="DA75">
        <f>IF(COUNTIFS(T_StockCount[RM_Code],$A75,T_StockCount[WeekIndex],104)&gt;0,SUMIFS(T_StockCount[CountedQty],T_StockCount[RM_Code],$A75,T_StockCount[WeekIndex],104),IF((COUNTIFS(T_SelfStock[RM_Code],$A75,T_SelfStock[WeekIndex],104)&gt;0)*(COUNTIFS(T_TTAFStock[RM_Code],$A75,T_TTAFStock[WeekIndex],104)&gt;0)&gt;0,SUMIFS(T_SelfStock[Self_Qty],T_SelfStock[RM_Code],$A75,T_SelfStock[WeekIndex],104)+SUMIFS(T_TTAFStock[TTAF_Qty],T_TTAFStock[RM_Code],$A75,T_TTAFStock[WeekIndex],104),CZ75+'Grid_Incoming'!DA75-'Grid_Requirement'!DA75))</f>
        <v/>
      </c>
    </row>
    <row r="76">
      <c r="A76" t="inlineStr">
        <is>
          <t>CHEM-1810</t>
        </is>
      </c>
      <c r="B76">
        <f>IF(COUNTIFS(T_StockCount[RM_Code],$A76,T_StockCount[WeekIndex],1)&gt;0,SUMIFS(T_StockCount[CountedQty],T_StockCount[RM_Code],$A76,T_StockCount[WeekIndex],1),IF((COUNTIFS(T_SelfStock[RM_Code],$A76,T_SelfStock[WeekIndex],1)&gt;0)*(COUNTIFS(T_TTAFStock[RM_Code],$A76,T_TTAFStock[WeekIndex],1)&gt;0)&gt;0,SUMIFS(T_SelfStock[Self_Qty],T_SelfStock[RM_Code],$A76,T_SelfStock[WeekIndex],1)+SUMIFS(T_TTAFStock[TTAF_Qty],T_TTAFStock[RM_Code],$A76,T_TTAFStock[WeekIndex],1),IFERROR(INDEX(T_OpeningStock[Opening_Qty],MATCH($A76,T_OpeningStock[RM_Code],0)),0)+'Grid_Incoming'!B76-'Grid_Requirement'!B76))</f>
        <v/>
      </c>
      <c r="C76">
        <f>IF(COUNTIFS(T_StockCount[RM_Code],$A76,T_StockCount[WeekIndex],2)&gt;0,SUMIFS(T_StockCount[CountedQty],T_StockCount[RM_Code],$A76,T_StockCount[WeekIndex],2),IF((COUNTIFS(T_SelfStock[RM_Code],$A76,T_SelfStock[WeekIndex],2)&gt;0)*(COUNTIFS(T_TTAFStock[RM_Code],$A76,T_TTAFStock[WeekIndex],2)&gt;0)&gt;0,SUMIFS(T_SelfStock[Self_Qty],T_SelfStock[RM_Code],$A76,T_SelfStock[WeekIndex],2)+SUMIFS(T_TTAFStock[TTAF_Qty],T_TTAFStock[RM_Code],$A76,T_TTAFStock[WeekIndex],2),B76+'Grid_Incoming'!C76-'Grid_Requirement'!C76))</f>
        <v/>
      </c>
      <c r="D76">
        <f>IF(COUNTIFS(T_StockCount[RM_Code],$A76,T_StockCount[WeekIndex],3)&gt;0,SUMIFS(T_StockCount[CountedQty],T_StockCount[RM_Code],$A76,T_StockCount[WeekIndex],3),IF((COUNTIFS(T_SelfStock[RM_Code],$A76,T_SelfStock[WeekIndex],3)&gt;0)*(COUNTIFS(T_TTAFStock[RM_Code],$A76,T_TTAFStock[WeekIndex],3)&gt;0)&gt;0,SUMIFS(T_SelfStock[Self_Qty],T_SelfStock[RM_Code],$A76,T_SelfStock[WeekIndex],3)+SUMIFS(T_TTAFStock[TTAF_Qty],T_TTAFStock[RM_Code],$A76,T_TTAFStock[WeekIndex],3),C76+'Grid_Incoming'!D76-'Grid_Requirement'!D76))</f>
        <v/>
      </c>
      <c r="E76">
        <f>IF(COUNTIFS(T_StockCount[RM_Code],$A76,T_StockCount[WeekIndex],4)&gt;0,SUMIFS(T_StockCount[CountedQty],T_StockCount[RM_Code],$A76,T_StockCount[WeekIndex],4),IF((COUNTIFS(T_SelfStock[RM_Code],$A76,T_SelfStock[WeekIndex],4)&gt;0)*(COUNTIFS(T_TTAFStock[RM_Code],$A76,T_TTAFStock[WeekIndex],4)&gt;0)&gt;0,SUMIFS(T_SelfStock[Self_Qty],T_SelfStock[RM_Code],$A76,T_SelfStock[WeekIndex],4)+SUMIFS(T_TTAFStock[TTAF_Qty],T_TTAFStock[RM_Code],$A76,T_TTAFStock[WeekIndex],4),D76+'Grid_Incoming'!E76-'Grid_Requirement'!E76))</f>
        <v/>
      </c>
      <c r="F76">
        <f>IF(COUNTIFS(T_StockCount[RM_Code],$A76,T_StockCount[WeekIndex],5)&gt;0,SUMIFS(T_StockCount[CountedQty],T_StockCount[RM_Code],$A76,T_StockCount[WeekIndex],5),IF((COUNTIFS(T_SelfStock[RM_Code],$A76,T_SelfStock[WeekIndex],5)&gt;0)*(COUNTIFS(T_TTAFStock[RM_Code],$A76,T_TTAFStock[WeekIndex],5)&gt;0)&gt;0,SUMIFS(T_SelfStock[Self_Qty],T_SelfStock[RM_Code],$A76,T_SelfStock[WeekIndex],5)+SUMIFS(T_TTAFStock[TTAF_Qty],T_TTAFStock[RM_Code],$A76,T_TTAFStock[WeekIndex],5),E76+'Grid_Incoming'!F76-'Grid_Requirement'!F76))</f>
        <v/>
      </c>
      <c r="G76">
        <f>IF(COUNTIFS(T_StockCount[RM_Code],$A76,T_StockCount[WeekIndex],6)&gt;0,SUMIFS(T_StockCount[CountedQty],T_StockCount[RM_Code],$A76,T_StockCount[WeekIndex],6),IF((COUNTIFS(T_SelfStock[RM_Code],$A76,T_SelfStock[WeekIndex],6)&gt;0)*(COUNTIFS(T_TTAFStock[RM_Code],$A76,T_TTAFStock[WeekIndex],6)&gt;0)&gt;0,SUMIFS(T_SelfStock[Self_Qty],T_SelfStock[RM_Code],$A76,T_SelfStock[WeekIndex],6)+SUMIFS(T_TTAFStock[TTAF_Qty],T_TTAFStock[RM_Code],$A76,T_TTAFStock[WeekIndex],6),F76+'Grid_Incoming'!G76-'Grid_Requirement'!G76))</f>
        <v/>
      </c>
      <c r="H76">
        <f>IF(COUNTIFS(T_StockCount[RM_Code],$A76,T_StockCount[WeekIndex],7)&gt;0,SUMIFS(T_StockCount[CountedQty],T_StockCount[RM_Code],$A76,T_StockCount[WeekIndex],7),IF((COUNTIFS(T_SelfStock[RM_Code],$A76,T_SelfStock[WeekIndex],7)&gt;0)*(COUNTIFS(T_TTAFStock[RM_Code],$A76,T_TTAFStock[WeekIndex],7)&gt;0)&gt;0,SUMIFS(T_SelfStock[Self_Qty],T_SelfStock[RM_Code],$A76,T_SelfStock[WeekIndex],7)+SUMIFS(T_TTAFStock[TTAF_Qty],T_TTAFStock[RM_Code],$A76,T_TTAFStock[WeekIndex],7),G76+'Grid_Incoming'!H76-'Grid_Requirement'!H76))</f>
        <v/>
      </c>
      <c r="I76">
        <f>IF(COUNTIFS(T_StockCount[RM_Code],$A76,T_StockCount[WeekIndex],8)&gt;0,SUMIFS(T_StockCount[CountedQty],T_StockCount[RM_Code],$A76,T_StockCount[WeekIndex],8),IF((COUNTIFS(T_SelfStock[RM_Code],$A76,T_SelfStock[WeekIndex],8)&gt;0)*(COUNTIFS(T_TTAFStock[RM_Code],$A76,T_TTAFStock[WeekIndex],8)&gt;0)&gt;0,SUMIFS(T_SelfStock[Self_Qty],T_SelfStock[RM_Code],$A76,T_SelfStock[WeekIndex],8)+SUMIFS(T_TTAFStock[TTAF_Qty],T_TTAFStock[RM_Code],$A76,T_TTAFStock[WeekIndex],8),H76+'Grid_Incoming'!I76-'Grid_Requirement'!I76))</f>
        <v/>
      </c>
      <c r="J76">
        <f>IF(COUNTIFS(T_StockCount[RM_Code],$A76,T_StockCount[WeekIndex],9)&gt;0,SUMIFS(T_StockCount[CountedQty],T_StockCount[RM_Code],$A76,T_StockCount[WeekIndex],9),IF((COUNTIFS(T_SelfStock[RM_Code],$A76,T_SelfStock[WeekIndex],9)&gt;0)*(COUNTIFS(T_TTAFStock[RM_Code],$A76,T_TTAFStock[WeekIndex],9)&gt;0)&gt;0,SUMIFS(T_SelfStock[Self_Qty],T_SelfStock[RM_Code],$A76,T_SelfStock[WeekIndex],9)+SUMIFS(T_TTAFStock[TTAF_Qty],T_TTAFStock[RM_Code],$A76,T_TTAFStock[WeekIndex],9),I76+'Grid_Incoming'!J76-'Grid_Requirement'!J76))</f>
        <v/>
      </c>
      <c r="K76">
        <f>IF(COUNTIFS(T_StockCount[RM_Code],$A76,T_StockCount[WeekIndex],10)&gt;0,SUMIFS(T_StockCount[CountedQty],T_StockCount[RM_Code],$A76,T_StockCount[WeekIndex],10),IF((COUNTIFS(T_SelfStock[RM_Code],$A76,T_SelfStock[WeekIndex],10)&gt;0)*(COUNTIFS(T_TTAFStock[RM_Code],$A76,T_TTAFStock[WeekIndex],10)&gt;0)&gt;0,SUMIFS(T_SelfStock[Self_Qty],T_SelfStock[RM_Code],$A76,T_SelfStock[WeekIndex],10)+SUMIFS(T_TTAFStock[TTAF_Qty],T_TTAFStock[RM_Code],$A76,T_TTAFStock[WeekIndex],10),J76+'Grid_Incoming'!K76-'Grid_Requirement'!K76))</f>
        <v/>
      </c>
      <c r="L76">
        <f>IF(COUNTIFS(T_StockCount[RM_Code],$A76,T_StockCount[WeekIndex],11)&gt;0,SUMIFS(T_StockCount[CountedQty],T_StockCount[RM_Code],$A76,T_StockCount[WeekIndex],11),IF((COUNTIFS(T_SelfStock[RM_Code],$A76,T_SelfStock[WeekIndex],11)&gt;0)*(COUNTIFS(T_TTAFStock[RM_Code],$A76,T_TTAFStock[WeekIndex],11)&gt;0)&gt;0,SUMIFS(T_SelfStock[Self_Qty],T_SelfStock[RM_Code],$A76,T_SelfStock[WeekIndex],11)+SUMIFS(T_TTAFStock[TTAF_Qty],T_TTAFStock[RM_Code],$A76,T_TTAFStock[WeekIndex],11),K76+'Grid_Incoming'!L76-'Grid_Requirement'!L76))</f>
        <v/>
      </c>
      <c r="M76">
        <f>IF(COUNTIFS(T_StockCount[RM_Code],$A76,T_StockCount[WeekIndex],12)&gt;0,SUMIFS(T_StockCount[CountedQty],T_StockCount[RM_Code],$A76,T_StockCount[WeekIndex],12),IF((COUNTIFS(T_SelfStock[RM_Code],$A76,T_SelfStock[WeekIndex],12)&gt;0)*(COUNTIFS(T_TTAFStock[RM_Code],$A76,T_TTAFStock[WeekIndex],12)&gt;0)&gt;0,SUMIFS(T_SelfStock[Self_Qty],T_SelfStock[RM_Code],$A76,T_SelfStock[WeekIndex],12)+SUMIFS(T_TTAFStock[TTAF_Qty],T_TTAFStock[RM_Code],$A76,T_TTAFStock[WeekIndex],12),L76+'Grid_Incoming'!M76-'Grid_Requirement'!M76))</f>
        <v/>
      </c>
      <c r="N76">
        <f>IF(COUNTIFS(T_StockCount[RM_Code],$A76,T_StockCount[WeekIndex],13)&gt;0,SUMIFS(T_StockCount[CountedQty],T_StockCount[RM_Code],$A76,T_StockCount[WeekIndex],13),IF((COUNTIFS(T_SelfStock[RM_Code],$A76,T_SelfStock[WeekIndex],13)&gt;0)*(COUNTIFS(T_TTAFStock[RM_Code],$A76,T_TTAFStock[WeekIndex],13)&gt;0)&gt;0,SUMIFS(T_SelfStock[Self_Qty],T_SelfStock[RM_Code],$A76,T_SelfStock[WeekIndex],13)+SUMIFS(T_TTAFStock[TTAF_Qty],T_TTAFStock[RM_Code],$A76,T_TTAFStock[WeekIndex],13),M76+'Grid_Incoming'!N76-'Grid_Requirement'!N76))</f>
        <v/>
      </c>
      <c r="O76">
        <f>IF(COUNTIFS(T_StockCount[RM_Code],$A76,T_StockCount[WeekIndex],14)&gt;0,SUMIFS(T_StockCount[CountedQty],T_StockCount[RM_Code],$A76,T_StockCount[WeekIndex],14),IF((COUNTIFS(T_SelfStock[RM_Code],$A76,T_SelfStock[WeekIndex],14)&gt;0)*(COUNTIFS(T_TTAFStock[RM_Code],$A76,T_TTAFStock[WeekIndex],14)&gt;0)&gt;0,SUMIFS(T_SelfStock[Self_Qty],T_SelfStock[RM_Code],$A76,T_SelfStock[WeekIndex],14)+SUMIFS(T_TTAFStock[TTAF_Qty],T_TTAFStock[RM_Code],$A76,T_TTAFStock[WeekIndex],14),N76+'Grid_Incoming'!O76-'Grid_Requirement'!O76))</f>
        <v/>
      </c>
      <c r="P76">
        <f>IF(COUNTIFS(T_StockCount[RM_Code],$A76,T_StockCount[WeekIndex],15)&gt;0,SUMIFS(T_StockCount[CountedQty],T_StockCount[RM_Code],$A76,T_StockCount[WeekIndex],15),IF((COUNTIFS(T_SelfStock[RM_Code],$A76,T_SelfStock[WeekIndex],15)&gt;0)*(COUNTIFS(T_TTAFStock[RM_Code],$A76,T_TTAFStock[WeekIndex],15)&gt;0)&gt;0,SUMIFS(T_SelfStock[Self_Qty],T_SelfStock[RM_Code],$A76,T_SelfStock[WeekIndex],15)+SUMIFS(T_TTAFStock[TTAF_Qty],T_TTAFStock[RM_Code],$A76,T_TTAFStock[WeekIndex],15),O76+'Grid_Incoming'!P76-'Grid_Requirement'!P76))</f>
        <v/>
      </c>
      <c r="Q76">
        <f>IF(COUNTIFS(T_StockCount[RM_Code],$A76,T_StockCount[WeekIndex],16)&gt;0,SUMIFS(T_StockCount[CountedQty],T_StockCount[RM_Code],$A76,T_StockCount[WeekIndex],16),IF((COUNTIFS(T_SelfStock[RM_Code],$A76,T_SelfStock[WeekIndex],16)&gt;0)*(COUNTIFS(T_TTAFStock[RM_Code],$A76,T_TTAFStock[WeekIndex],16)&gt;0)&gt;0,SUMIFS(T_SelfStock[Self_Qty],T_SelfStock[RM_Code],$A76,T_SelfStock[WeekIndex],16)+SUMIFS(T_TTAFStock[TTAF_Qty],T_TTAFStock[RM_Code],$A76,T_TTAFStock[WeekIndex],16),P76+'Grid_Incoming'!Q76-'Grid_Requirement'!Q76))</f>
        <v/>
      </c>
      <c r="R76">
        <f>IF(COUNTIFS(T_StockCount[RM_Code],$A76,T_StockCount[WeekIndex],17)&gt;0,SUMIFS(T_StockCount[CountedQty],T_StockCount[RM_Code],$A76,T_StockCount[WeekIndex],17),IF((COUNTIFS(T_SelfStock[RM_Code],$A76,T_SelfStock[WeekIndex],17)&gt;0)*(COUNTIFS(T_TTAFStock[RM_Code],$A76,T_TTAFStock[WeekIndex],17)&gt;0)&gt;0,SUMIFS(T_SelfStock[Self_Qty],T_SelfStock[RM_Code],$A76,T_SelfStock[WeekIndex],17)+SUMIFS(T_TTAFStock[TTAF_Qty],T_TTAFStock[RM_Code],$A76,T_TTAFStock[WeekIndex],17),Q76+'Grid_Incoming'!R76-'Grid_Requirement'!R76))</f>
        <v/>
      </c>
      <c r="S76">
        <f>IF(COUNTIFS(T_StockCount[RM_Code],$A76,T_StockCount[WeekIndex],18)&gt;0,SUMIFS(T_StockCount[CountedQty],T_StockCount[RM_Code],$A76,T_StockCount[WeekIndex],18),IF((COUNTIFS(T_SelfStock[RM_Code],$A76,T_SelfStock[WeekIndex],18)&gt;0)*(COUNTIFS(T_TTAFStock[RM_Code],$A76,T_TTAFStock[WeekIndex],18)&gt;0)&gt;0,SUMIFS(T_SelfStock[Self_Qty],T_SelfStock[RM_Code],$A76,T_SelfStock[WeekIndex],18)+SUMIFS(T_TTAFStock[TTAF_Qty],T_TTAFStock[RM_Code],$A76,T_TTAFStock[WeekIndex],18),R76+'Grid_Incoming'!S76-'Grid_Requirement'!S76))</f>
        <v/>
      </c>
      <c r="T76">
        <f>IF(COUNTIFS(T_StockCount[RM_Code],$A76,T_StockCount[WeekIndex],19)&gt;0,SUMIFS(T_StockCount[CountedQty],T_StockCount[RM_Code],$A76,T_StockCount[WeekIndex],19),IF((COUNTIFS(T_SelfStock[RM_Code],$A76,T_SelfStock[WeekIndex],19)&gt;0)*(COUNTIFS(T_TTAFStock[RM_Code],$A76,T_TTAFStock[WeekIndex],19)&gt;0)&gt;0,SUMIFS(T_SelfStock[Self_Qty],T_SelfStock[RM_Code],$A76,T_SelfStock[WeekIndex],19)+SUMIFS(T_TTAFStock[TTAF_Qty],T_TTAFStock[RM_Code],$A76,T_TTAFStock[WeekIndex],19),S76+'Grid_Incoming'!T76-'Grid_Requirement'!T76))</f>
        <v/>
      </c>
      <c r="U76">
        <f>IF(COUNTIFS(T_StockCount[RM_Code],$A76,T_StockCount[WeekIndex],20)&gt;0,SUMIFS(T_StockCount[CountedQty],T_StockCount[RM_Code],$A76,T_StockCount[WeekIndex],20),IF((COUNTIFS(T_SelfStock[RM_Code],$A76,T_SelfStock[WeekIndex],20)&gt;0)*(COUNTIFS(T_TTAFStock[RM_Code],$A76,T_TTAFStock[WeekIndex],20)&gt;0)&gt;0,SUMIFS(T_SelfStock[Self_Qty],T_SelfStock[RM_Code],$A76,T_SelfStock[WeekIndex],20)+SUMIFS(T_TTAFStock[TTAF_Qty],T_TTAFStock[RM_Code],$A76,T_TTAFStock[WeekIndex],20),T76+'Grid_Incoming'!U76-'Grid_Requirement'!U76))</f>
        <v/>
      </c>
      <c r="V76">
        <f>IF(COUNTIFS(T_StockCount[RM_Code],$A76,T_StockCount[WeekIndex],21)&gt;0,SUMIFS(T_StockCount[CountedQty],T_StockCount[RM_Code],$A76,T_StockCount[WeekIndex],21),IF((COUNTIFS(T_SelfStock[RM_Code],$A76,T_SelfStock[WeekIndex],21)&gt;0)*(COUNTIFS(T_TTAFStock[RM_Code],$A76,T_TTAFStock[WeekIndex],21)&gt;0)&gt;0,SUMIFS(T_SelfStock[Self_Qty],T_SelfStock[RM_Code],$A76,T_SelfStock[WeekIndex],21)+SUMIFS(T_TTAFStock[TTAF_Qty],T_TTAFStock[RM_Code],$A76,T_TTAFStock[WeekIndex],21),U76+'Grid_Incoming'!V76-'Grid_Requirement'!V76))</f>
        <v/>
      </c>
      <c r="W76">
        <f>IF(COUNTIFS(T_StockCount[RM_Code],$A76,T_StockCount[WeekIndex],22)&gt;0,SUMIFS(T_StockCount[CountedQty],T_StockCount[RM_Code],$A76,T_StockCount[WeekIndex],22),IF((COUNTIFS(T_SelfStock[RM_Code],$A76,T_SelfStock[WeekIndex],22)&gt;0)*(COUNTIFS(T_TTAFStock[RM_Code],$A76,T_TTAFStock[WeekIndex],22)&gt;0)&gt;0,SUMIFS(T_SelfStock[Self_Qty],T_SelfStock[RM_Code],$A76,T_SelfStock[WeekIndex],22)+SUMIFS(T_TTAFStock[TTAF_Qty],T_TTAFStock[RM_Code],$A76,T_TTAFStock[WeekIndex],22),V76+'Grid_Incoming'!W76-'Grid_Requirement'!W76))</f>
        <v/>
      </c>
      <c r="X76">
        <f>IF(COUNTIFS(T_StockCount[RM_Code],$A76,T_StockCount[WeekIndex],23)&gt;0,SUMIFS(T_StockCount[CountedQty],T_StockCount[RM_Code],$A76,T_StockCount[WeekIndex],23),IF((COUNTIFS(T_SelfStock[RM_Code],$A76,T_SelfStock[WeekIndex],23)&gt;0)*(COUNTIFS(T_TTAFStock[RM_Code],$A76,T_TTAFStock[WeekIndex],23)&gt;0)&gt;0,SUMIFS(T_SelfStock[Self_Qty],T_SelfStock[RM_Code],$A76,T_SelfStock[WeekIndex],23)+SUMIFS(T_TTAFStock[TTAF_Qty],T_TTAFStock[RM_Code],$A76,T_TTAFStock[WeekIndex],23),W76+'Grid_Incoming'!X76-'Grid_Requirement'!X76))</f>
        <v/>
      </c>
      <c r="Y76">
        <f>IF(COUNTIFS(T_StockCount[RM_Code],$A76,T_StockCount[WeekIndex],24)&gt;0,SUMIFS(T_StockCount[CountedQty],T_StockCount[RM_Code],$A76,T_StockCount[WeekIndex],24),IF((COUNTIFS(T_SelfStock[RM_Code],$A76,T_SelfStock[WeekIndex],24)&gt;0)*(COUNTIFS(T_TTAFStock[RM_Code],$A76,T_TTAFStock[WeekIndex],24)&gt;0)&gt;0,SUMIFS(T_SelfStock[Self_Qty],T_SelfStock[RM_Code],$A76,T_SelfStock[WeekIndex],24)+SUMIFS(T_TTAFStock[TTAF_Qty],T_TTAFStock[RM_Code],$A76,T_TTAFStock[WeekIndex],24),X76+'Grid_Incoming'!Y76-'Grid_Requirement'!Y76))</f>
        <v/>
      </c>
      <c r="Z76">
        <f>IF(COUNTIFS(T_StockCount[RM_Code],$A76,T_StockCount[WeekIndex],25)&gt;0,SUMIFS(T_StockCount[CountedQty],T_StockCount[RM_Code],$A76,T_StockCount[WeekIndex],25),IF((COUNTIFS(T_SelfStock[RM_Code],$A76,T_SelfStock[WeekIndex],25)&gt;0)*(COUNTIFS(T_TTAFStock[RM_Code],$A76,T_TTAFStock[WeekIndex],25)&gt;0)&gt;0,SUMIFS(T_SelfStock[Self_Qty],T_SelfStock[RM_Code],$A76,T_SelfStock[WeekIndex],25)+SUMIFS(T_TTAFStock[TTAF_Qty],T_TTAFStock[RM_Code],$A76,T_TTAFStock[WeekIndex],25),Y76+'Grid_Incoming'!Z76-'Grid_Requirement'!Z76))</f>
        <v/>
      </c>
      <c r="AA76">
        <f>IF(COUNTIFS(T_StockCount[RM_Code],$A76,T_StockCount[WeekIndex],26)&gt;0,SUMIFS(T_StockCount[CountedQty],T_StockCount[RM_Code],$A76,T_StockCount[WeekIndex],26),IF((COUNTIFS(T_SelfStock[RM_Code],$A76,T_SelfStock[WeekIndex],26)&gt;0)*(COUNTIFS(T_TTAFStock[RM_Code],$A76,T_TTAFStock[WeekIndex],26)&gt;0)&gt;0,SUMIFS(T_SelfStock[Self_Qty],T_SelfStock[RM_Code],$A76,T_SelfStock[WeekIndex],26)+SUMIFS(T_TTAFStock[TTAF_Qty],T_TTAFStock[RM_Code],$A76,T_TTAFStock[WeekIndex],26),Z76+'Grid_Incoming'!AA76-'Grid_Requirement'!AA76))</f>
        <v/>
      </c>
      <c r="AB76">
        <f>IF(COUNTIFS(T_StockCount[RM_Code],$A76,T_StockCount[WeekIndex],27)&gt;0,SUMIFS(T_StockCount[CountedQty],T_StockCount[RM_Code],$A76,T_StockCount[WeekIndex],27),IF((COUNTIFS(T_SelfStock[RM_Code],$A76,T_SelfStock[WeekIndex],27)&gt;0)*(COUNTIFS(T_TTAFStock[RM_Code],$A76,T_TTAFStock[WeekIndex],27)&gt;0)&gt;0,SUMIFS(T_SelfStock[Self_Qty],T_SelfStock[RM_Code],$A76,T_SelfStock[WeekIndex],27)+SUMIFS(T_TTAFStock[TTAF_Qty],T_TTAFStock[RM_Code],$A76,T_TTAFStock[WeekIndex],27),AA76+'Grid_Incoming'!AB76-'Grid_Requirement'!AB76))</f>
        <v/>
      </c>
      <c r="AC76">
        <f>IF(COUNTIFS(T_StockCount[RM_Code],$A76,T_StockCount[WeekIndex],28)&gt;0,SUMIFS(T_StockCount[CountedQty],T_StockCount[RM_Code],$A76,T_StockCount[WeekIndex],28),IF((COUNTIFS(T_SelfStock[RM_Code],$A76,T_SelfStock[WeekIndex],28)&gt;0)*(COUNTIFS(T_TTAFStock[RM_Code],$A76,T_TTAFStock[WeekIndex],28)&gt;0)&gt;0,SUMIFS(T_SelfStock[Self_Qty],T_SelfStock[RM_Code],$A76,T_SelfStock[WeekIndex],28)+SUMIFS(T_TTAFStock[TTAF_Qty],T_TTAFStock[RM_Code],$A76,T_TTAFStock[WeekIndex],28),AB76+'Grid_Incoming'!AC76-'Grid_Requirement'!AC76))</f>
        <v/>
      </c>
      <c r="AD76">
        <f>IF(COUNTIFS(T_StockCount[RM_Code],$A76,T_StockCount[WeekIndex],29)&gt;0,SUMIFS(T_StockCount[CountedQty],T_StockCount[RM_Code],$A76,T_StockCount[WeekIndex],29),IF((COUNTIFS(T_SelfStock[RM_Code],$A76,T_SelfStock[WeekIndex],29)&gt;0)*(COUNTIFS(T_TTAFStock[RM_Code],$A76,T_TTAFStock[WeekIndex],29)&gt;0)&gt;0,SUMIFS(T_SelfStock[Self_Qty],T_SelfStock[RM_Code],$A76,T_SelfStock[WeekIndex],29)+SUMIFS(T_TTAFStock[TTAF_Qty],T_TTAFStock[RM_Code],$A76,T_TTAFStock[WeekIndex],29),AC76+'Grid_Incoming'!AD76-'Grid_Requirement'!AD76))</f>
        <v/>
      </c>
      <c r="AE76">
        <f>IF(COUNTIFS(T_StockCount[RM_Code],$A76,T_StockCount[WeekIndex],30)&gt;0,SUMIFS(T_StockCount[CountedQty],T_StockCount[RM_Code],$A76,T_StockCount[WeekIndex],30),IF((COUNTIFS(T_SelfStock[RM_Code],$A76,T_SelfStock[WeekIndex],30)&gt;0)*(COUNTIFS(T_TTAFStock[RM_Code],$A76,T_TTAFStock[WeekIndex],30)&gt;0)&gt;0,SUMIFS(T_SelfStock[Self_Qty],T_SelfStock[RM_Code],$A76,T_SelfStock[WeekIndex],30)+SUMIFS(T_TTAFStock[TTAF_Qty],T_TTAFStock[RM_Code],$A76,T_TTAFStock[WeekIndex],30),AD76+'Grid_Incoming'!AE76-'Grid_Requirement'!AE76))</f>
        <v/>
      </c>
      <c r="AF76">
        <f>IF(COUNTIFS(T_StockCount[RM_Code],$A76,T_StockCount[WeekIndex],31)&gt;0,SUMIFS(T_StockCount[CountedQty],T_StockCount[RM_Code],$A76,T_StockCount[WeekIndex],31),IF((COUNTIFS(T_SelfStock[RM_Code],$A76,T_SelfStock[WeekIndex],31)&gt;0)*(COUNTIFS(T_TTAFStock[RM_Code],$A76,T_TTAFStock[WeekIndex],31)&gt;0)&gt;0,SUMIFS(T_SelfStock[Self_Qty],T_SelfStock[RM_Code],$A76,T_SelfStock[WeekIndex],31)+SUMIFS(T_TTAFStock[TTAF_Qty],T_TTAFStock[RM_Code],$A76,T_TTAFStock[WeekIndex],31),AE76+'Grid_Incoming'!AF76-'Grid_Requirement'!AF76))</f>
        <v/>
      </c>
      <c r="AG76">
        <f>IF(COUNTIFS(T_StockCount[RM_Code],$A76,T_StockCount[WeekIndex],32)&gt;0,SUMIFS(T_StockCount[CountedQty],T_StockCount[RM_Code],$A76,T_StockCount[WeekIndex],32),IF((COUNTIFS(T_SelfStock[RM_Code],$A76,T_SelfStock[WeekIndex],32)&gt;0)*(COUNTIFS(T_TTAFStock[RM_Code],$A76,T_TTAFStock[WeekIndex],32)&gt;0)&gt;0,SUMIFS(T_SelfStock[Self_Qty],T_SelfStock[RM_Code],$A76,T_SelfStock[WeekIndex],32)+SUMIFS(T_TTAFStock[TTAF_Qty],T_TTAFStock[RM_Code],$A76,T_TTAFStock[WeekIndex],32),AF76+'Grid_Incoming'!AG76-'Grid_Requirement'!AG76))</f>
        <v/>
      </c>
      <c r="AH76">
        <f>IF(COUNTIFS(T_StockCount[RM_Code],$A76,T_StockCount[WeekIndex],33)&gt;0,SUMIFS(T_StockCount[CountedQty],T_StockCount[RM_Code],$A76,T_StockCount[WeekIndex],33),IF((COUNTIFS(T_SelfStock[RM_Code],$A76,T_SelfStock[WeekIndex],33)&gt;0)*(COUNTIFS(T_TTAFStock[RM_Code],$A76,T_TTAFStock[WeekIndex],33)&gt;0)&gt;0,SUMIFS(T_SelfStock[Self_Qty],T_SelfStock[RM_Code],$A76,T_SelfStock[WeekIndex],33)+SUMIFS(T_TTAFStock[TTAF_Qty],T_TTAFStock[RM_Code],$A76,T_TTAFStock[WeekIndex],33),AG76+'Grid_Incoming'!AH76-'Grid_Requirement'!AH76))</f>
        <v/>
      </c>
      <c r="AI76">
        <f>IF(COUNTIFS(T_StockCount[RM_Code],$A76,T_StockCount[WeekIndex],34)&gt;0,SUMIFS(T_StockCount[CountedQty],T_StockCount[RM_Code],$A76,T_StockCount[WeekIndex],34),IF((COUNTIFS(T_SelfStock[RM_Code],$A76,T_SelfStock[WeekIndex],34)&gt;0)*(COUNTIFS(T_TTAFStock[RM_Code],$A76,T_TTAFStock[WeekIndex],34)&gt;0)&gt;0,SUMIFS(T_SelfStock[Self_Qty],T_SelfStock[RM_Code],$A76,T_SelfStock[WeekIndex],34)+SUMIFS(T_TTAFStock[TTAF_Qty],T_TTAFStock[RM_Code],$A76,T_TTAFStock[WeekIndex],34),AH76+'Grid_Incoming'!AI76-'Grid_Requirement'!AI76))</f>
        <v/>
      </c>
      <c r="AJ76">
        <f>IF(COUNTIFS(T_StockCount[RM_Code],$A76,T_StockCount[WeekIndex],35)&gt;0,SUMIFS(T_StockCount[CountedQty],T_StockCount[RM_Code],$A76,T_StockCount[WeekIndex],35),IF((COUNTIFS(T_SelfStock[RM_Code],$A76,T_SelfStock[WeekIndex],35)&gt;0)*(COUNTIFS(T_TTAFStock[RM_Code],$A76,T_TTAFStock[WeekIndex],35)&gt;0)&gt;0,SUMIFS(T_SelfStock[Self_Qty],T_SelfStock[RM_Code],$A76,T_SelfStock[WeekIndex],35)+SUMIFS(T_TTAFStock[TTAF_Qty],T_TTAFStock[RM_Code],$A76,T_TTAFStock[WeekIndex],35),AI76+'Grid_Incoming'!AJ76-'Grid_Requirement'!AJ76))</f>
        <v/>
      </c>
      <c r="AK76">
        <f>IF(COUNTIFS(T_StockCount[RM_Code],$A76,T_StockCount[WeekIndex],36)&gt;0,SUMIFS(T_StockCount[CountedQty],T_StockCount[RM_Code],$A76,T_StockCount[WeekIndex],36),IF((COUNTIFS(T_SelfStock[RM_Code],$A76,T_SelfStock[WeekIndex],36)&gt;0)*(COUNTIFS(T_TTAFStock[RM_Code],$A76,T_TTAFStock[WeekIndex],36)&gt;0)&gt;0,SUMIFS(T_SelfStock[Self_Qty],T_SelfStock[RM_Code],$A76,T_SelfStock[WeekIndex],36)+SUMIFS(T_TTAFStock[TTAF_Qty],T_TTAFStock[RM_Code],$A76,T_TTAFStock[WeekIndex],36),AJ76+'Grid_Incoming'!AK76-'Grid_Requirement'!AK76))</f>
        <v/>
      </c>
      <c r="AL76">
        <f>IF(COUNTIFS(T_StockCount[RM_Code],$A76,T_StockCount[WeekIndex],37)&gt;0,SUMIFS(T_StockCount[CountedQty],T_StockCount[RM_Code],$A76,T_StockCount[WeekIndex],37),IF((COUNTIFS(T_SelfStock[RM_Code],$A76,T_SelfStock[WeekIndex],37)&gt;0)*(COUNTIFS(T_TTAFStock[RM_Code],$A76,T_TTAFStock[WeekIndex],37)&gt;0)&gt;0,SUMIFS(T_SelfStock[Self_Qty],T_SelfStock[RM_Code],$A76,T_SelfStock[WeekIndex],37)+SUMIFS(T_TTAFStock[TTAF_Qty],T_TTAFStock[RM_Code],$A76,T_TTAFStock[WeekIndex],37),AK76+'Grid_Incoming'!AL76-'Grid_Requirement'!AL76))</f>
        <v/>
      </c>
      <c r="AM76">
        <f>IF(COUNTIFS(T_StockCount[RM_Code],$A76,T_StockCount[WeekIndex],38)&gt;0,SUMIFS(T_StockCount[CountedQty],T_StockCount[RM_Code],$A76,T_StockCount[WeekIndex],38),IF((COUNTIFS(T_SelfStock[RM_Code],$A76,T_SelfStock[WeekIndex],38)&gt;0)*(COUNTIFS(T_TTAFStock[RM_Code],$A76,T_TTAFStock[WeekIndex],38)&gt;0)&gt;0,SUMIFS(T_SelfStock[Self_Qty],T_SelfStock[RM_Code],$A76,T_SelfStock[WeekIndex],38)+SUMIFS(T_TTAFStock[TTAF_Qty],T_TTAFStock[RM_Code],$A76,T_TTAFStock[WeekIndex],38),AL76+'Grid_Incoming'!AM76-'Grid_Requirement'!AM76))</f>
        <v/>
      </c>
      <c r="AN76">
        <f>IF(COUNTIFS(T_StockCount[RM_Code],$A76,T_StockCount[WeekIndex],39)&gt;0,SUMIFS(T_StockCount[CountedQty],T_StockCount[RM_Code],$A76,T_StockCount[WeekIndex],39),IF((COUNTIFS(T_SelfStock[RM_Code],$A76,T_SelfStock[WeekIndex],39)&gt;0)*(COUNTIFS(T_TTAFStock[RM_Code],$A76,T_TTAFStock[WeekIndex],39)&gt;0)&gt;0,SUMIFS(T_SelfStock[Self_Qty],T_SelfStock[RM_Code],$A76,T_SelfStock[WeekIndex],39)+SUMIFS(T_TTAFStock[TTAF_Qty],T_TTAFStock[RM_Code],$A76,T_TTAFStock[WeekIndex],39),AM76+'Grid_Incoming'!AN76-'Grid_Requirement'!AN76))</f>
        <v/>
      </c>
      <c r="AO76">
        <f>IF(COUNTIFS(T_StockCount[RM_Code],$A76,T_StockCount[WeekIndex],40)&gt;0,SUMIFS(T_StockCount[CountedQty],T_StockCount[RM_Code],$A76,T_StockCount[WeekIndex],40),IF((COUNTIFS(T_SelfStock[RM_Code],$A76,T_SelfStock[WeekIndex],40)&gt;0)*(COUNTIFS(T_TTAFStock[RM_Code],$A76,T_TTAFStock[WeekIndex],40)&gt;0)&gt;0,SUMIFS(T_SelfStock[Self_Qty],T_SelfStock[RM_Code],$A76,T_SelfStock[WeekIndex],40)+SUMIFS(T_TTAFStock[TTAF_Qty],T_TTAFStock[RM_Code],$A76,T_TTAFStock[WeekIndex],40),AN76+'Grid_Incoming'!AO76-'Grid_Requirement'!AO76))</f>
        <v/>
      </c>
      <c r="AP76">
        <f>IF(COUNTIFS(T_StockCount[RM_Code],$A76,T_StockCount[WeekIndex],41)&gt;0,SUMIFS(T_StockCount[CountedQty],T_StockCount[RM_Code],$A76,T_StockCount[WeekIndex],41),IF((COUNTIFS(T_SelfStock[RM_Code],$A76,T_SelfStock[WeekIndex],41)&gt;0)*(COUNTIFS(T_TTAFStock[RM_Code],$A76,T_TTAFStock[WeekIndex],41)&gt;0)&gt;0,SUMIFS(T_SelfStock[Self_Qty],T_SelfStock[RM_Code],$A76,T_SelfStock[WeekIndex],41)+SUMIFS(T_TTAFStock[TTAF_Qty],T_TTAFStock[RM_Code],$A76,T_TTAFStock[WeekIndex],41),AO76+'Grid_Incoming'!AP76-'Grid_Requirement'!AP76))</f>
        <v/>
      </c>
      <c r="AQ76">
        <f>IF(COUNTIFS(T_StockCount[RM_Code],$A76,T_StockCount[WeekIndex],42)&gt;0,SUMIFS(T_StockCount[CountedQty],T_StockCount[RM_Code],$A76,T_StockCount[WeekIndex],42),IF((COUNTIFS(T_SelfStock[RM_Code],$A76,T_SelfStock[WeekIndex],42)&gt;0)*(COUNTIFS(T_TTAFStock[RM_Code],$A76,T_TTAFStock[WeekIndex],42)&gt;0)&gt;0,SUMIFS(T_SelfStock[Self_Qty],T_SelfStock[RM_Code],$A76,T_SelfStock[WeekIndex],42)+SUMIFS(T_TTAFStock[TTAF_Qty],T_TTAFStock[RM_Code],$A76,T_TTAFStock[WeekIndex],42),AP76+'Grid_Incoming'!AQ76-'Grid_Requirement'!AQ76))</f>
        <v/>
      </c>
      <c r="AR76">
        <f>IF(COUNTIFS(T_StockCount[RM_Code],$A76,T_StockCount[WeekIndex],43)&gt;0,SUMIFS(T_StockCount[CountedQty],T_StockCount[RM_Code],$A76,T_StockCount[WeekIndex],43),IF((COUNTIFS(T_SelfStock[RM_Code],$A76,T_SelfStock[WeekIndex],43)&gt;0)*(COUNTIFS(T_TTAFStock[RM_Code],$A76,T_TTAFStock[WeekIndex],43)&gt;0)&gt;0,SUMIFS(T_SelfStock[Self_Qty],T_SelfStock[RM_Code],$A76,T_SelfStock[WeekIndex],43)+SUMIFS(T_TTAFStock[TTAF_Qty],T_TTAFStock[RM_Code],$A76,T_TTAFStock[WeekIndex],43),AQ76+'Grid_Incoming'!AR76-'Grid_Requirement'!AR76))</f>
        <v/>
      </c>
      <c r="AS76">
        <f>IF(COUNTIFS(T_StockCount[RM_Code],$A76,T_StockCount[WeekIndex],44)&gt;0,SUMIFS(T_StockCount[CountedQty],T_StockCount[RM_Code],$A76,T_StockCount[WeekIndex],44),IF((COUNTIFS(T_SelfStock[RM_Code],$A76,T_SelfStock[WeekIndex],44)&gt;0)*(COUNTIFS(T_TTAFStock[RM_Code],$A76,T_TTAFStock[WeekIndex],44)&gt;0)&gt;0,SUMIFS(T_SelfStock[Self_Qty],T_SelfStock[RM_Code],$A76,T_SelfStock[WeekIndex],44)+SUMIFS(T_TTAFStock[TTAF_Qty],T_TTAFStock[RM_Code],$A76,T_TTAFStock[WeekIndex],44),AR76+'Grid_Incoming'!AS76-'Grid_Requirement'!AS76))</f>
        <v/>
      </c>
      <c r="AT76">
        <f>IF(COUNTIFS(T_StockCount[RM_Code],$A76,T_StockCount[WeekIndex],45)&gt;0,SUMIFS(T_StockCount[CountedQty],T_StockCount[RM_Code],$A76,T_StockCount[WeekIndex],45),IF((COUNTIFS(T_SelfStock[RM_Code],$A76,T_SelfStock[WeekIndex],45)&gt;0)*(COUNTIFS(T_TTAFStock[RM_Code],$A76,T_TTAFStock[WeekIndex],45)&gt;0)&gt;0,SUMIFS(T_SelfStock[Self_Qty],T_SelfStock[RM_Code],$A76,T_SelfStock[WeekIndex],45)+SUMIFS(T_TTAFStock[TTAF_Qty],T_TTAFStock[RM_Code],$A76,T_TTAFStock[WeekIndex],45),AS76+'Grid_Incoming'!AT76-'Grid_Requirement'!AT76))</f>
        <v/>
      </c>
      <c r="AU76">
        <f>IF(COUNTIFS(T_StockCount[RM_Code],$A76,T_StockCount[WeekIndex],46)&gt;0,SUMIFS(T_StockCount[CountedQty],T_StockCount[RM_Code],$A76,T_StockCount[WeekIndex],46),IF((COUNTIFS(T_SelfStock[RM_Code],$A76,T_SelfStock[WeekIndex],46)&gt;0)*(COUNTIFS(T_TTAFStock[RM_Code],$A76,T_TTAFStock[WeekIndex],46)&gt;0)&gt;0,SUMIFS(T_SelfStock[Self_Qty],T_SelfStock[RM_Code],$A76,T_SelfStock[WeekIndex],46)+SUMIFS(T_TTAFStock[TTAF_Qty],T_TTAFStock[RM_Code],$A76,T_TTAFStock[WeekIndex],46),AT76+'Grid_Incoming'!AU76-'Grid_Requirement'!AU76))</f>
        <v/>
      </c>
      <c r="AV76">
        <f>IF(COUNTIFS(T_StockCount[RM_Code],$A76,T_StockCount[WeekIndex],47)&gt;0,SUMIFS(T_StockCount[CountedQty],T_StockCount[RM_Code],$A76,T_StockCount[WeekIndex],47),IF((COUNTIFS(T_SelfStock[RM_Code],$A76,T_SelfStock[WeekIndex],47)&gt;0)*(COUNTIFS(T_TTAFStock[RM_Code],$A76,T_TTAFStock[WeekIndex],47)&gt;0)&gt;0,SUMIFS(T_SelfStock[Self_Qty],T_SelfStock[RM_Code],$A76,T_SelfStock[WeekIndex],47)+SUMIFS(T_TTAFStock[TTAF_Qty],T_TTAFStock[RM_Code],$A76,T_TTAFStock[WeekIndex],47),AU76+'Grid_Incoming'!AV76-'Grid_Requirement'!AV76))</f>
        <v/>
      </c>
      <c r="AW76">
        <f>IF(COUNTIFS(T_StockCount[RM_Code],$A76,T_StockCount[WeekIndex],48)&gt;0,SUMIFS(T_StockCount[CountedQty],T_StockCount[RM_Code],$A76,T_StockCount[WeekIndex],48),IF((COUNTIFS(T_SelfStock[RM_Code],$A76,T_SelfStock[WeekIndex],48)&gt;0)*(COUNTIFS(T_TTAFStock[RM_Code],$A76,T_TTAFStock[WeekIndex],48)&gt;0)&gt;0,SUMIFS(T_SelfStock[Self_Qty],T_SelfStock[RM_Code],$A76,T_SelfStock[WeekIndex],48)+SUMIFS(T_TTAFStock[TTAF_Qty],T_TTAFStock[RM_Code],$A76,T_TTAFStock[WeekIndex],48),AV76+'Grid_Incoming'!AW76-'Grid_Requirement'!AW76))</f>
        <v/>
      </c>
      <c r="AX76">
        <f>IF(COUNTIFS(T_StockCount[RM_Code],$A76,T_StockCount[WeekIndex],49)&gt;0,SUMIFS(T_StockCount[CountedQty],T_StockCount[RM_Code],$A76,T_StockCount[WeekIndex],49),IF((COUNTIFS(T_SelfStock[RM_Code],$A76,T_SelfStock[WeekIndex],49)&gt;0)*(COUNTIFS(T_TTAFStock[RM_Code],$A76,T_TTAFStock[WeekIndex],49)&gt;0)&gt;0,SUMIFS(T_SelfStock[Self_Qty],T_SelfStock[RM_Code],$A76,T_SelfStock[WeekIndex],49)+SUMIFS(T_TTAFStock[TTAF_Qty],T_TTAFStock[RM_Code],$A76,T_TTAFStock[WeekIndex],49),AW76+'Grid_Incoming'!AX76-'Grid_Requirement'!AX76))</f>
        <v/>
      </c>
      <c r="AY76">
        <f>IF(COUNTIFS(T_StockCount[RM_Code],$A76,T_StockCount[WeekIndex],50)&gt;0,SUMIFS(T_StockCount[CountedQty],T_StockCount[RM_Code],$A76,T_StockCount[WeekIndex],50),IF((COUNTIFS(T_SelfStock[RM_Code],$A76,T_SelfStock[WeekIndex],50)&gt;0)*(COUNTIFS(T_TTAFStock[RM_Code],$A76,T_TTAFStock[WeekIndex],50)&gt;0)&gt;0,SUMIFS(T_SelfStock[Self_Qty],T_SelfStock[RM_Code],$A76,T_SelfStock[WeekIndex],50)+SUMIFS(T_TTAFStock[TTAF_Qty],T_TTAFStock[RM_Code],$A76,T_TTAFStock[WeekIndex],50),AX76+'Grid_Incoming'!AY76-'Grid_Requirement'!AY76))</f>
        <v/>
      </c>
      <c r="AZ76">
        <f>IF(COUNTIFS(T_StockCount[RM_Code],$A76,T_StockCount[WeekIndex],51)&gt;0,SUMIFS(T_StockCount[CountedQty],T_StockCount[RM_Code],$A76,T_StockCount[WeekIndex],51),IF((COUNTIFS(T_SelfStock[RM_Code],$A76,T_SelfStock[WeekIndex],51)&gt;0)*(COUNTIFS(T_TTAFStock[RM_Code],$A76,T_TTAFStock[WeekIndex],51)&gt;0)&gt;0,SUMIFS(T_SelfStock[Self_Qty],T_SelfStock[RM_Code],$A76,T_SelfStock[WeekIndex],51)+SUMIFS(T_TTAFStock[TTAF_Qty],T_TTAFStock[RM_Code],$A76,T_TTAFStock[WeekIndex],51),AY76+'Grid_Incoming'!AZ76-'Grid_Requirement'!AZ76))</f>
        <v/>
      </c>
      <c r="BA76">
        <f>IF(COUNTIFS(T_StockCount[RM_Code],$A76,T_StockCount[WeekIndex],52)&gt;0,SUMIFS(T_StockCount[CountedQty],T_StockCount[RM_Code],$A76,T_StockCount[WeekIndex],52),IF((COUNTIFS(T_SelfStock[RM_Code],$A76,T_SelfStock[WeekIndex],52)&gt;0)*(COUNTIFS(T_TTAFStock[RM_Code],$A76,T_TTAFStock[WeekIndex],52)&gt;0)&gt;0,SUMIFS(T_SelfStock[Self_Qty],T_SelfStock[RM_Code],$A76,T_SelfStock[WeekIndex],52)+SUMIFS(T_TTAFStock[TTAF_Qty],T_TTAFStock[RM_Code],$A76,T_TTAFStock[WeekIndex],52),AZ76+'Grid_Incoming'!BA76-'Grid_Requirement'!BA76))</f>
        <v/>
      </c>
      <c r="BB76">
        <f>IF(COUNTIFS(T_StockCount[RM_Code],$A76,T_StockCount[WeekIndex],53)&gt;0,SUMIFS(T_StockCount[CountedQty],T_StockCount[RM_Code],$A76,T_StockCount[WeekIndex],53),IF((COUNTIFS(T_SelfStock[RM_Code],$A76,T_SelfStock[WeekIndex],53)&gt;0)*(COUNTIFS(T_TTAFStock[RM_Code],$A76,T_TTAFStock[WeekIndex],53)&gt;0)&gt;0,SUMIFS(T_SelfStock[Self_Qty],T_SelfStock[RM_Code],$A76,T_SelfStock[WeekIndex],53)+SUMIFS(T_TTAFStock[TTAF_Qty],T_TTAFStock[RM_Code],$A76,T_TTAFStock[WeekIndex],53),BA76+'Grid_Incoming'!BB76-'Grid_Requirement'!BB76))</f>
        <v/>
      </c>
      <c r="BC76">
        <f>IF(COUNTIFS(T_StockCount[RM_Code],$A76,T_StockCount[WeekIndex],54)&gt;0,SUMIFS(T_StockCount[CountedQty],T_StockCount[RM_Code],$A76,T_StockCount[WeekIndex],54),IF((COUNTIFS(T_SelfStock[RM_Code],$A76,T_SelfStock[WeekIndex],54)&gt;0)*(COUNTIFS(T_TTAFStock[RM_Code],$A76,T_TTAFStock[WeekIndex],54)&gt;0)&gt;0,SUMIFS(T_SelfStock[Self_Qty],T_SelfStock[RM_Code],$A76,T_SelfStock[WeekIndex],54)+SUMIFS(T_TTAFStock[TTAF_Qty],T_TTAFStock[RM_Code],$A76,T_TTAFStock[WeekIndex],54),BB76+'Grid_Incoming'!BC76-'Grid_Requirement'!BC76))</f>
        <v/>
      </c>
      <c r="BD76">
        <f>IF(COUNTIFS(T_StockCount[RM_Code],$A76,T_StockCount[WeekIndex],55)&gt;0,SUMIFS(T_StockCount[CountedQty],T_StockCount[RM_Code],$A76,T_StockCount[WeekIndex],55),IF((COUNTIFS(T_SelfStock[RM_Code],$A76,T_SelfStock[WeekIndex],55)&gt;0)*(COUNTIFS(T_TTAFStock[RM_Code],$A76,T_TTAFStock[WeekIndex],55)&gt;0)&gt;0,SUMIFS(T_SelfStock[Self_Qty],T_SelfStock[RM_Code],$A76,T_SelfStock[WeekIndex],55)+SUMIFS(T_TTAFStock[TTAF_Qty],T_TTAFStock[RM_Code],$A76,T_TTAFStock[WeekIndex],55),BC76+'Grid_Incoming'!BD76-'Grid_Requirement'!BD76))</f>
        <v/>
      </c>
      <c r="BE76">
        <f>IF(COUNTIFS(T_StockCount[RM_Code],$A76,T_StockCount[WeekIndex],56)&gt;0,SUMIFS(T_StockCount[CountedQty],T_StockCount[RM_Code],$A76,T_StockCount[WeekIndex],56),IF((COUNTIFS(T_SelfStock[RM_Code],$A76,T_SelfStock[WeekIndex],56)&gt;0)*(COUNTIFS(T_TTAFStock[RM_Code],$A76,T_TTAFStock[WeekIndex],56)&gt;0)&gt;0,SUMIFS(T_SelfStock[Self_Qty],T_SelfStock[RM_Code],$A76,T_SelfStock[WeekIndex],56)+SUMIFS(T_TTAFStock[TTAF_Qty],T_TTAFStock[RM_Code],$A76,T_TTAFStock[WeekIndex],56),BD76+'Grid_Incoming'!BE76-'Grid_Requirement'!BE76))</f>
        <v/>
      </c>
      <c r="BF76">
        <f>IF(COUNTIFS(T_StockCount[RM_Code],$A76,T_StockCount[WeekIndex],57)&gt;0,SUMIFS(T_StockCount[CountedQty],T_StockCount[RM_Code],$A76,T_StockCount[WeekIndex],57),IF((COUNTIFS(T_SelfStock[RM_Code],$A76,T_SelfStock[WeekIndex],57)&gt;0)*(COUNTIFS(T_TTAFStock[RM_Code],$A76,T_TTAFStock[WeekIndex],57)&gt;0)&gt;0,SUMIFS(T_SelfStock[Self_Qty],T_SelfStock[RM_Code],$A76,T_SelfStock[WeekIndex],57)+SUMIFS(T_TTAFStock[TTAF_Qty],T_TTAFStock[RM_Code],$A76,T_TTAFStock[WeekIndex],57),BE76+'Grid_Incoming'!BF76-'Grid_Requirement'!BF76))</f>
        <v/>
      </c>
      <c r="BG76">
        <f>IF(COUNTIFS(T_StockCount[RM_Code],$A76,T_StockCount[WeekIndex],58)&gt;0,SUMIFS(T_StockCount[CountedQty],T_StockCount[RM_Code],$A76,T_StockCount[WeekIndex],58),IF((COUNTIFS(T_SelfStock[RM_Code],$A76,T_SelfStock[WeekIndex],58)&gt;0)*(COUNTIFS(T_TTAFStock[RM_Code],$A76,T_TTAFStock[WeekIndex],58)&gt;0)&gt;0,SUMIFS(T_SelfStock[Self_Qty],T_SelfStock[RM_Code],$A76,T_SelfStock[WeekIndex],58)+SUMIFS(T_TTAFStock[TTAF_Qty],T_TTAFStock[RM_Code],$A76,T_TTAFStock[WeekIndex],58),BF76+'Grid_Incoming'!BG76-'Grid_Requirement'!BG76))</f>
        <v/>
      </c>
      <c r="BH76">
        <f>IF(COUNTIFS(T_StockCount[RM_Code],$A76,T_StockCount[WeekIndex],59)&gt;0,SUMIFS(T_StockCount[CountedQty],T_StockCount[RM_Code],$A76,T_StockCount[WeekIndex],59),IF((COUNTIFS(T_SelfStock[RM_Code],$A76,T_SelfStock[WeekIndex],59)&gt;0)*(COUNTIFS(T_TTAFStock[RM_Code],$A76,T_TTAFStock[WeekIndex],59)&gt;0)&gt;0,SUMIFS(T_SelfStock[Self_Qty],T_SelfStock[RM_Code],$A76,T_SelfStock[WeekIndex],59)+SUMIFS(T_TTAFStock[TTAF_Qty],T_TTAFStock[RM_Code],$A76,T_TTAFStock[WeekIndex],59),BG76+'Grid_Incoming'!BH76-'Grid_Requirement'!BH76))</f>
        <v/>
      </c>
      <c r="BI76">
        <f>IF(COUNTIFS(T_StockCount[RM_Code],$A76,T_StockCount[WeekIndex],60)&gt;0,SUMIFS(T_StockCount[CountedQty],T_StockCount[RM_Code],$A76,T_StockCount[WeekIndex],60),IF((COUNTIFS(T_SelfStock[RM_Code],$A76,T_SelfStock[WeekIndex],60)&gt;0)*(COUNTIFS(T_TTAFStock[RM_Code],$A76,T_TTAFStock[WeekIndex],60)&gt;0)&gt;0,SUMIFS(T_SelfStock[Self_Qty],T_SelfStock[RM_Code],$A76,T_SelfStock[WeekIndex],60)+SUMIFS(T_TTAFStock[TTAF_Qty],T_TTAFStock[RM_Code],$A76,T_TTAFStock[WeekIndex],60),BH76+'Grid_Incoming'!BI76-'Grid_Requirement'!BI76))</f>
        <v/>
      </c>
      <c r="BJ76">
        <f>IF(COUNTIFS(T_StockCount[RM_Code],$A76,T_StockCount[WeekIndex],61)&gt;0,SUMIFS(T_StockCount[CountedQty],T_StockCount[RM_Code],$A76,T_StockCount[WeekIndex],61),IF((COUNTIFS(T_SelfStock[RM_Code],$A76,T_SelfStock[WeekIndex],61)&gt;0)*(COUNTIFS(T_TTAFStock[RM_Code],$A76,T_TTAFStock[WeekIndex],61)&gt;0)&gt;0,SUMIFS(T_SelfStock[Self_Qty],T_SelfStock[RM_Code],$A76,T_SelfStock[WeekIndex],61)+SUMIFS(T_TTAFStock[TTAF_Qty],T_TTAFStock[RM_Code],$A76,T_TTAFStock[WeekIndex],61),BI76+'Grid_Incoming'!BJ76-'Grid_Requirement'!BJ76))</f>
        <v/>
      </c>
      <c r="BK76">
        <f>IF(COUNTIFS(T_StockCount[RM_Code],$A76,T_StockCount[WeekIndex],62)&gt;0,SUMIFS(T_StockCount[CountedQty],T_StockCount[RM_Code],$A76,T_StockCount[WeekIndex],62),IF((COUNTIFS(T_SelfStock[RM_Code],$A76,T_SelfStock[WeekIndex],62)&gt;0)*(COUNTIFS(T_TTAFStock[RM_Code],$A76,T_TTAFStock[WeekIndex],62)&gt;0)&gt;0,SUMIFS(T_SelfStock[Self_Qty],T_SelfStock[RM_Code],$A76,T_SelfStock[WeekIndex],62)+SUMIFS(T_TTAFStock[TTAF_Qty],T_TTAFStock[RM_Code],$A76,T_TTAFStock[WeekIndex],62),BJ76+'Grid_Incoming'!BK76-'Grid_Requirement'!BK76))</f>
        <v/>
      </c>
      <c r="BL76">
        <f>IF(COUNTIFS(T_StockCount[RM_Code],$A76,T_StockCount[WeekIndex],63)&gt;0,SUMIFS(T_StockCount[CountedQty],T_StockCount[RM_Code],$A76,T_StockCount[WeekIndex],63),IF((COUNTIFS(T_SelfStock[RM_Code],$A76,T_SelfStock[WeekIndex],63)&gt;0)*(COUNTIFS(T_TTAFStock[RM_Code],$A76,T_TTAFStock[WeekIndex],63)&gt;0)&gt;0,SUMIFS(T_SelfStock[Self_Qty],T_SelfStock[RM_Code],$A76,T_SelfStock[WeekIndex],63)+SUMIFS(T_TTAFStock[TTAF_Qty],T_TTAFStock[RM_Code],$A76,T_TTAFStock[WeekIndex],63),BK76+'Grid_Incoming'!BL76-'Grid_Requirement'!BL76))</f>
        <v/>
      </c>
      <c r="BM76">
        <f>IF(COUNTIFS(T_StockCount[RM_Code],$A76,T_StockCount[WeekIndex],64)&gt;0,SUMIFS(T_StockCount[CountedQty],T_StockCount[RM_Code],$A76,T_StockCount[WeekIndex],64),IF((COUNTIFS(T_SelfStock[RM_Code],$A76,T_SelfStock[WeekIndex],64)&gt;0)*(COUNTIFS(T_TTAFStock[RM_Code],$A76,T_TTAFStock[WeekIndex],64)&gt;0)&gt;0,SUMIFS(T_SelfStock[Self_Qty],T_SelfStock[RM_Code],$A76,T_SelfStock[WeekIndex],64)+SUMIFS(T_TTAFStock[TTAF_Qty],T_TTAFStock[RM_Code],$A76,T_TTAFStock[WeekIndex],64),BL76+'Grid_Incoming'!BM76-'Grid_Requirement'!BM76))</f>
        <v/>
      </c>
      <c r="BN76">
        <f>IF(COUNTIFS(T_StockCount[RM_Code],$A76,T_StockCount[WeekIndex],65)&gt;0,SUMIFS(T_StockCount[CountedQty],T_StockCount[RM_Code],$A76,T_StockCount[WeekIndex],65),IF((COUNTIFS(T_SelfStock[RM_Code],$A76,T_SelfStock[WeekIndex],65)&gt;0)*(COUNTIFS(T_TTAFStock[RM_Code],$A76,T_TTAFStock[WeekIndex],65)&gt;0)&gt;0,SUMIFS(T_SelfStock[Self_Qty],T_SelfStock[RM_Code],$A76,T_SelfStock[WeekIndex],65)+SUMIFS(T_TTAFStock[TTAF_Qty],T_TTAFStock[RM_Code],$A76,T_TTAFStock[WeekIndex],65),BM76+'Grid_Incoming'!BN76-'Grid_Requirement'!BN76))</f>
        <v/>
      </c>
      <c r="BO76">
        <f>IF(COUNTIFS(T_StockCount[RM_Code],$A76,T_StockCount[WeekIndex],66)&gt;0,SUMIFS(T_StockCount[CountedQty],T_StockCount[RM_Code],$A76,T_StockCount[WeekIndex],66),IF((COUNTIFS(T_SelfStock[RM_Code],$A76,T_SelfStock[WeekIndex],66)&gt;0)*(COUNTIFS(T_TTAFStock[RM_Code],$A76,T_TTAFStock[WeekIndex],66)&gt;0)&gt;0,SUMIFS(T_SelfStock[Self_Qty],T_SelfStock[RM_Code],$A76,T_SelfStock[WeekIndex],66)+SUMIFS(T_TTAFStock[TTAF_Qty],T_TTAFStock[RM_Code],$A76,T_TTAFStock[WeekIndex],66),BN76+'Grid_Incoming'!BO76-'Grid_Requirement'!BO76))</f>
        <v/>
      </c>
      <c r="BP76">
        <f>IF(COUNTIFS(T_StockCount[RM_Code],$A76,T_StockCount[WeekIndex],67)&gt;0,SUMIFS(T_StockCount[CountedQty],T_StockCount[RM_Code],$A76,T_StockCount[WeekIndex],67),IF((COUNTIFS(T_SelfStock[RM_Code],$A76,T_SelfStock[WeekIndex],67)&gt;0)*(COUNTIFS(T_TTAFStock[RM_Code],$A76,T_TTAFStock[WeekIndex],67)&gt;0)&gt;0,SUMIFS(T_SelfStock[Self_Qty],T_SelfStock[RM_Code],$A76,T_SelfStock[WeekIndex],67)+SUMIFS(T_TTAFStock[TTAF_Qty],T_TTAFStock[RM_Code],$A76,T_TTAFStock[WeekIndex],67),BO76+'Grid_Incoming'!BP76-'Grid_Requirement'!BP76))</f>
        <v/>
      </c>
      <c r="BQ76">
        <f>IF(COUNTIFS(T_StockCount[RM_Code],$A76,T_StockCount[WeekIndex],68)&gt;0,SUMIFS(T_StockCount[CountedQty],T_StockCount[RM_Code],$A76,T_StockCount[WeekIndex],68),IF((COUNTIFS(T_SelfStock[RM_Code],$A76,T_SelfStock[WeekIndex],68)&gt;0)*(COUNTIFS(T_TTAFStock[RM_Code],$A76,T_TTAFStock[WeekIndex],68)&gt;0)&gt;0,SUMIFS(T_SelfStock[Self_Qty],T_SelfStock[RM_Code],$A76,T_SelfStock[WeekIndex],68)+SUMIFS(T_TTAFStock[TTAF_Qty],T_TTAFStock[RM_Code],$A76,T_TTAFStock[WeekIndex],68),BP76+'Grid_Incoming'!BQ76-'Grid_Requirement'!BQ76))</f>
        <v/>
      </c>
      <c r="BR76">
        <f>IF(COUNTIFS(T_StockCount[RM_Code],$A76,T_StockCount[WeekIndex],69)&gt;0,SUMIFS(T_StockCount[CountedQty],T_StockCount[RM_Code],$A76,T_StockCount[WeekIndex],69),IF((COUNTIFS(T_SelfStock[RM_Code],$A76,T_SelfStock[WeekIndex],69)&gt;0)*(COUNTIFS(T_TTAFStock[RM_Code],$A76,T_TTAFStock[WeekIndex],69)&gt;0)&gt;0,SUMIFS(T_SelfStock[Self_Qty],T_SelfStock[RM_Code],$A76,T_SelfStock[WeekIndex],69)+SUMIFS(T_TTAFStock[TTAF_Qty],T_TTAFStock[RM_Code],$A76,T_TTAFStock[WeekIndex],69),BQ76+'Grid_Incoming'!BR76-'Grid_Requirement'!BR76))</f>
        <v/>
      </c>
      <c r="BS76">
        <f>IF(COUNTIFS(T_StockCount[RM_Code],$A76,T_StockCount[WeekIndex],70)&gt;0,SUMIFS(T_StockCount[CountedQty],T_StockCount[RM_Code],$A76,T_StockCount[WeekIndex],70),IF((COUNTIFS(T_SelfStock[RM_Code],$A76,T_SelfStock[WeekIndex],70)&gt;0)*(COUNTIFS(T_TTAFStock[RM_Code],$A76,T_TTAFStock[WeekIndex],70)&gt;0)&gt;0,SUMIFS(T_SelfStock[Self_Qty],T_SelfStock[RM_Code],$A76,T_SelfStock[WeekIndex],70)+SUMIFS(T_TTAFStock[TTAF_Qty],T_TTAFStock[RM_Code],$A76,T_TTAFStock[WeekIndex],70),BR76+'Grid_Incoming'!BS76-'Grid_Requirement'!BS76))</f>
        <v/>
      </c>
      <c r="BT76">
        <f>IF(COUNTIFS(T_StockCount[RM_Code],$A76,T_StockCount[WeekIndex],71)&gt;0,SUMIFS(T_StockCount[CountedQty],T_StockCount[RM_Code],$A76,T_StockCount[WeekIndex],71),IF((COUNTIFS(T_SelfStock[RM_Code],$A76,T_SelfStock[WeekIndex],71)&gt;0)*(COUNTIFS(T_TTAFStock[RM_Code],$A76,T_TTAFStock[WeekIndex],71)&gt;0)&gt;0,SUMIFS(T_SelfStock[Self_Qty],T_SelfStock[RM_Code],$A76,T_SelfStock[WeekIndex],71)+SUMIFS(T_TTAFStock[TTAF_Qty],T_TTAFStock[RM_Code],$A76,T_TTAFStock[WeekIndex],71),BS76+'Grid_Incoming'!BT76-'Grid_Requirement'!BT76))</f>
        <v/>
      </c>
      <c r="BU76">
        <f>IF(COUNTIFS(T_StockCount[RM_Code],$A76,T_StockCount[WeekIndex],72)&gt;0,SUMIFS(T_StockCount[CountedQty],T_StockCount[RM_Code],$A76,T_StockCount[WeekIndex],72),IF((COUNTIFS(T_SelfStock[RM_Code],$A76,T_SelfStock[WeekIndex],72)&gt;0)*(COUNTIFS(T_TTAFStock[RM_Code],$A76,T_TTAFStock[WeekIndex],72)&gt;0)&gt;0,SUMIFS(T_SelfStock[Self_Qty],T_SelfStock[RM_Code],$A76,T_SelfStock[WeekIndex],72)+SUMIFS(T_TTAFStock[TTAF_Qty],T_TTAFStock[RM_Code],$A76,T_TTAFStock[WeekIndex],72),BT76+'Grid_Incoming'!BU76-'Grid_Requirement'!BU76))</f>
        <v/>
      </c>
      <c r="BV76">
        <f>IF(COUNTIFS(T_StockCount[RM_Code],$A76,T_StockCount[WeekIndex],73)&gt;0,SUMIFS(T_StockCount[CountedQty],T_StockCount[RM_Code],$A76,T_StockCount[WeekIndex],73),IF((COUNTIFS(T_SelfStock[RM_Code],$A76,T_SelfStock[WeekIndex],73)&gt;0)*(COUNTIFS(T_TTAFStock[RM_Code],$A76,T_TTAFStock[WeekIndex],73)&gt;0)&gt;0,SUMIFS(T_SelfStock[Self_Qty],T_SelfStock[RM_Code],$A76,T_SelfStock[WeekIndex],73)+SUMIFS(T_TTAFStock[TTAF_Qty],T_TTAFStock[RM_Code],$A76,T_TTAFStock[WeekIndex],73),BU76+'Grid_Incoming'!BV76-'Grid_Requirement'!BV76))</f>
        <v/>
      </c>
      <c r="BW76">
        <f>IF(COUNTIFS(T_StockCount[RM_Code],$A76,T_StockCount[WeekIndex],74)&gt;0,SUMIFS(T_StockCount[CountedQty],T_StockCount[RM_Code],$A76,T_StockCount[WeekIndex],74),IF((COUNTIFS(T_SelfStock[RM_Code],$A76,T_SelfStock[WeekIndex],74)&gt;0)*(COUNTIFS(T_TTAFStock[RM_Code],$A76,T_TTAFStock[WeekIndex],74)&gt;0)&gt;0,SUMIFS(T_SelfStock[Self_Qty],T_SelfStock[RM_Code],$A76,T_SelfStock[WeekIndex],74)+SUMIFS(T_TTAFStock[TTAF_Qty],T_TTAFStock[RM_Code],$A76,T_TTAFStock[WeekIndex],74),BV76+'Grid_Incoming'!BW76-'Grid_Requirement'!BW76))</f>
        <v/>
      </c>
      <c r="BX76">
        <f>IF(COUNTIFS(T_StockCount[RM_Code],$A76,T_StockCount[WeekIndex],75)&gt;0,SUMIFS(T_StockCount[CountedQty],T_StockCount[RM_Code],$A76,T_StockCount[WeekIndex],75),IF((COUNTIFS(T_SelfStock[RM_Code],$A76,T_SelfStock[WeekIndex],75)&gt;0)*(COUNTIFS(T_TTAFStock[RM_Code],$A76,T_TTAFStock[WeekIndex],75)&gt;0)&gt;0,SUMIFS(T_SelfStock[Self_Qty],T_SelfStock[RM_Code],$A76,T_SelfStock[WeekIndex],75)+SUMIFS(T_TTAFStock[TTAF_Qty],T_TTAFStock[RM_Code],$A76,T_TTAFStock[WeekIndex],75),BW76+'Grid_Incoming'!BX76-'Grid_Requirement'!BX76))</f>
        <v/>
      </c>
      <c r="BY76">
        <f>IF(COUNTIFS(T_StockCount[RM_Code],$A76,T_StockCount[WeekIndex],76)&gt;0,SUMIFS(T_StockCount[CountedQty],T_StockCount[RM_Code],$A76,T_StockCount[WeekIndex],76),IF((COUNTIFS(T_SelfStock[RM_Code],$A76,T_SelfStock[WeekIndex],76)&gt;0)*(COUNTIFS(T_TTAFStock[RM_Code],$A76,T_TTAFStock[WeekIndex],76)&gt;0)&gt;0,SUMIFS(T_SelfStock[Self_Qty],T_SelfStock[RM_Code],$A76,T_SelfStock[WeekIndex],76)+SUMIFS(T_TTAFStock[TTAF_Qty],T_TTAFStock[RM_Code],$A76,T_TTAFStock[WeekIndex],76),BX76+'Grid_Incoming'!BY76-'Grid_Requirement'!BY76))</f>
        <v/>
      </c>
      <c r="BZ76">
        <f>IF(COUNTIFS(T_StockCount[RM_Code],$A76,T_StockCount[WeekIndex],77)&gt;0,SUMIFS(T_StockCount[CountedQty],T_StockCount[RM_Code],$A76,T_StockCount[WeekIndex],77),IF((COUNTIFS(T_SelfStock[RM_Code],$A76,T_SelfStock[WeekIndex],77)&gt;0)*(COUNTIFS(T_TTAFStock[RM_Code],$A76,T_TTAFStock[WeekIndex],77)&gt;0)&gt;0,SUMIFS(T_SelfStock[Self_Qty],T_SelfStock[RM_Code],$A76,T_SelfStock[WeekIndex],77)+SUMIFS(T_TTAFStock[TTAF_Qty],T_TTAFStock[RM_Code],$A76,T_TTAFStock[WeekIndex],77),BY76+'Grid_Incoming'!BZ76-'Grid_Requirement'!BZ76))</f>
        <v/>
      </c>
      <c r="CA76">
        <f>IF(COUNTIFS(T_StockCount[RM_Code],$A76,T_StockCount[WeekIndex],78)&gt;0,SUMIFS(T_StockCount[CountedQty],T_StockCount[RM_Code],$A76,T_StockCount[WeekIndex],78),IF((COUNTIFS(T_SelfStock[RM_Code],$A76,T_SelfStock[WeekIndex],78)&gt;0)*(COUNTIFS(T_TTAFStock[RM_Code],$A76,T_TTAFStock[WeekIndex],78)&gt;0)&gt;0,SUMIFS(T_SelfStock[Self_Qty],T_SelfStock[RM_Code],$A76,T_SelfStock[WeekIndex],78)+SUMIFS(T_TTAFStock[TTAF_Qty],T_TTAFStock[RM_Code],$A76,T_TTAFStock[WeekIndex],78),BZ76+'Grid_Incoming'!CA76-'Grid_Requirement'!CA76))</f>
        <v/>
      </c>
      <c r="CB76">
        <f>IF(COUNTIFS(T_StockCount[RM_Code],$A76,T_StockCount[WeekIndex],79)&gt;0,SUMIFS(T_StockCount[CountedQty],T_StockCount[RM_Code],$A76,T_StockCount[WeekIndex],79),IF((COUNTIFS(T_SelfStock[RM_Code],$A76,T_SelfStock[WeekIndex],79)&gt;0)*(COUNTIFS(T_TTAFStock[RM_Code],$A76,T_TTAFStock[WeekIndex],79)&gt;0)&gt;0,SUMIFS(T_SelfStock[Self_Qty],T_SelfStock[RM_Code],$A76,T_SelfStock[WeekIndex],79)+SUMIFS(T_TTAFStock[TTAF_Qty],T_TTAFStock[RM_Code],$A76,T_TTAFStock[WeekIndex],79),CA76+'Grid_Incoming'!CB76-'Grid_Requirement'!CB76))</f>
        <v/>
      </c>
      <c r="CC76">
        <f>IF(COUNTIFS(T_StockCount[RM_Code],$A76,T_StockCount[WeekIndex],80)&gt;0,SUMIFS(T_StockCount[CountedQty],T_StockCount[RM_Code],$A76,T_StockCount[WeekIndex],80),IF((COUNTIFS(T_SelfStock[RM_Code],$A76,T_SelfStock[WeekIndex],80)&gt;0)*(COUNTIFS(T_TTAFStock[RM_Code],$A76,T_TTAFStock[WeekIndex],80)&gt;0)&gt;0,SUMIFS(T_SelfStock[Self_Qty],T_SelfStock[RM_Code],$A76,T_SelfStock[WeekIndex],80)+SUMIFS(T_TTAFStock[TTAF_Qty],T_TTAFStock[RM_Code],$A76,T_TTAFStock[WeekIndex],80),CB76+'Grid_Incoming'!CC76-'Grid_Requirement'!CC76))</f>
        <v/>
      </c>
      <c r="CD76">
        <f>IF(COUNTIFS(T_StockCount[RM_Code],$A76,T_StockCount[WeekIndex],81)&gt;0,SUMIFS(T_StockCount[CountedQty],T_StockCount[RM_Code],$A76,T_StockCount[WeekIndex],81),IF((COUNTIFS(T_SelfStock[RM_Code],$A76,T_SelfStock[WeekIndex],81)&gt;0)*(COUNTIFS(T_TTAFStock[RM_Code],$A76,T_TTAFStock[WeekIndex],81)&gt;0)&gt;0,SUMIFS(T_SelfStock[Self_Qty],T_SelfStock[RM_Code],$A76,T_SelfStock[WeekIndex],81)+SUMIFS(T_TTAFStock[TTAF_Qty],T_TTAFStock[RM_Code],$A76,T_TTAFStock[WeekIndex],81),CC76+'Grid_Incoming'!CD76-'Grid_Requirement'!CD76))</f>
        <v/>
      </c>
      <c r="CE76">
        <f>IF(COUNTIFS(T_StockCount[RM_Code],$A76,T_StockCount[WeekIndex],82)&gt;0,SUMIFS(T_StockCount[CountedQty],T_StockCount[RM_Code],$A76,T_StockCount[WeekIndex],82),IF((COUNTIFS(T_SelfStock[RM_Code],$A76,T_SelfStock[WeekIndex],82)&gt;0)*(COUNTIFS(T_TTAFStock[RM_Code],$A76,T_TTAFStock[WeekIndex],82)&gt;0)&gt;0,SUMIFS(T_SelfStock[Self_Qty],T_SelfStock[RM_Code],$A76,T_SelfStock[WeekIndex],82)+SUMIFS(T_TTAFStock[TTAF_Qty],T_TTAFStock[RM_Code],$A76,T_TTAFStock[WeekIndex],82),CD76+'Grid_Incoming'!CE76-'Grid_Requirement'!CE76))</f>
        <v/>
      </c>
      <c r="CF76">
        <f>IF(COUNTIFS(T_StockCount[RM_Code],$A76,T_StockCount[WeekIndex],83)&gt;0,SUMIFS(T_StockCount[CountedQty],T_StockCount[RM_Code],$A76,T_StockCount[WeekIndex],83),IF((COUNTIFS(T_SelfStock[RM_Code],$A76,T_SelfStock[WeekIndex],83)&gt;0)*(COUNTIFS(T_TTAFStock[RM_Code],$A76,T_TTAFStock[WeekIndex],83)&gt;0)&gt;0,SUMIFS(T_SelfStock[Self_Qty],T_SelfStock[RM_Code],$A76,T_SelfStock[WeekIndex],83)+SUMIFS(T_TTAFStock[TTAF_Qty],T_TTAFStock[RM_Code],$A76,T_TTAFStock[WeekIndex],83),CE76+'Grid_Incoming'!CF76-'Grid_Requirement'!CF76))</f>
        <v/>
      </c>
      <c r="CG76">
        <f>IF(COUNTIFS(T_StockCount[RM_Code],$A76,T_StockCount[WeekIndex],84)&gt;0,SUMIFS(T_StockCount[CountedQty],T_StockCount[RM_Code],$A76,T_StockCount[WeekIndex],84),IF((COUNTIFS(T_SelfStock[RM_Code],$A76,T_SelfStock[WeekIndex],84)&gt;0)*(COUNTIFS(T_TTAFStock[RM_Code],$A76,T_TTAFStock[WeekIndex],84)&gt;0)&gt;0,SUMIFS(T_SelfStock[Self_Qty],T_SelfStock[RM_Code],$A76,T_SelfStock[WeekIndex],84)+SUMIFS(T_TTAFStock[TTAF_Qty],T_TTAFStock[RM_Code],$A76,T_TTAFStock[WeekIndex],84),CF76+'Grid_Incoming'!CG76-'Grid_Requirement'!CG76))</f>
        <v/>
      </c>
      <c r="CH76">
        <f>IF(COUNTIFS(T_StockCount[RM_Code],$A76,T_StockCount[WeekIndex],85)&gt;0,SUMIFS(T_StockCount[CountedQty],T_StockCount[RM_Code],$A76,T_StockCount[WeekIndex],85),IF((COUNTIFS(T_SelfStock[RM_Code],$A76,T_SelfStock[WeekIndex],85)&gt;0)*(COUNTIFS(T_TTAFStock[RM_Code],$A76,T_TTAFStock[WeekIndex],85)&gt;0)&gt;0,SUMIFS(T_SelfStock[Self_Qty],T_SelfStock[RM_Code],$A76,T_SelfStock[WeekIndex],85)+SUMIFS(T_TTAFStock[TTAF_Qty],T_TTAFStock[RM_Code],$A76,T_TTAFStock[WeekIndex],85),CG76+'Grid_Incoming'!CH76-'Grid_Requirement'!CH76))</f>
        <v/>
      </c>
      <c r="CI76">
        <f>IF(COUNTIFS(T_StockCount[RM_Code],$A76,T_StockCount[WeekIndex],86)&gt;0,SUMIFS(T_StockCount[CountedQty],T_StockCount[RM_Code],$A76,T_StockCount[WeekIndex],86),IF((COUNTIFS(T_SelfStock[RM_Code],$A76,T_SelfStock[WeekIndex],86)&gt;0)*(COUNTIFS(T_TTAFStock[RM_Code],$A76,T_TTAFStock[WeekIndex],86)&gt;0)&gt;0,SUMIFS(T_SelfStock[Self_Qty],T_SelfStock[RM_Code],$A76,T_SelfStock[WeekIndex],86)+SUMIFS(T_TTAFStock[TTAF_Qty],T_TTAFStock[RM_Code],$A76,T_TTAFStock[WeekIndex],86),CH76+'Grid_Incoming'!CI76-'Grid_Requirement'!CI76))</f>
        <v/>
      </c>
      <c r="CJ76">
        <f>IF(COUNTIFS(T_StockCount[RM_Code],$A76,T_StockCount[WeekIndex],87)&gt;0,SUMIFS(T_StockCount[CountedQty],T_StockCount[RM_Code],$A76,T_StockCount[WeekIndex],87),IF((COUNTIFS(T_SelfStock[RM_Code],$A76,T_SelfStock[WeekIndex],87)&gt;0)*(COUNTIFS(T_TTAFStock[RM_Code],$A76,T_TTAFStock[WeekIndex],87)&gt;0)&gt;0,SUMIFS(T_SelfStock[Self_Qty],T_SelfStock[RM_Code],$A76,T_SelfStock[WeekIndex],87)+SUMIFS(T_TTAFStock[TTAF_Qty],T_TTAFStock[RM_Code],$A76,T_TTAFStock[WeekIndex],87),CI76+'Grid_Incoming'!CJ76-'Grid_Requirement'!CJ76))</f>
        <v/>
      </c>
      <c r="CK76">
        <f>IF(COUNTIFS(T_StockCount[RM_Code],$A76,T_StockCount[WeekIndex],88)&gt;0,SUMIFS(T_StockCount[CountedQty],T_StockCount[RM_Code],$A76,T_StockCount[WeekIndex],88),IF((COUNTIFS(T_SelfStock[RM_Code],$A76,T_SelfStock[WeekIndex],88)&gt;0)*(COUNTIFS(T_TTAFStock[RM_Code],$A76,T_TTAFStock[WeekIndex],88)&gt;0)&gt;0,SUMIFS(T_SelfStock[Self_Qty],T_SelfStock[RM_Code],$A76,T_SelfStock[WeekIndex],88)+SUMIFS(T_TTAFStock[TTAF_Qty],T_TTAFStock[RM_Code],$A76,T_TTAFStock[WeekIndex],88),CJ76+'Grid_Incoming'!CK76-'Grid_Requirement'!CK76))</f>
        <v/>
      </c>
      <c r="CL76">
        <f>IF(COUNTIFS(T_StockCount[RM_Code],$A76,T_StockCount[WeekIndex],89)&gt;0,SUMIFS(T_StockCount[CountedQty],T_StockCount[RM_Code],$A76,T_StockCount[WeekIndex],89),IF((COUNTIFS(T_SelfStock[RM_Code],$A76,T_SelfStock[WeekIndex],89)&gt;0)*(COUNTIFS(T_TTAFStock[RM_Code],$A76,T_TTAFStock[WeekIndex],89)&gt;0)&gt;0,SUMIFS(T_SelfStock[Self_Qty],T_SelfStock[RM_Code],$A76,T_SelfStock[WeekIndex],89)+SUMIFS(T_TTAFStock[TTAF_Qty],T_TTAFStock[RM_Code],$A76,T_TTAFStock[WeekIndex],89),CK76+'Grid_Incoming'!CL76-'Grid_Requirement'!CL76))</f>
        <v/>
      </c>
      <c r="CM76">
        <f>IF(COUNTIFS(T_StockCount[RM_Code],$A76,T_StockCount[WeekIndex],90)&gt;0,SUMIFS(T_StockCount[CountedQty],T_StockCount[RM_Code],$A76,T_StockCount[WeekIndex],90),IF((COUNTIFS(T_SelfStock[RM_Code],$A76,T_SelfStock[WeekIndex],90)&gt;0)*(COUNTIFS(T_TTAFStock[RM_Code],$A76,T_TTAFStock[WeekIndex],90)&gt;0)&gt;0,SUMIFS(T_SelfStock[Self_Qty],T_SelfStock[RM_Code],$A76,T_SelfStock[WeekIndex],90)+SUMIFS(T_TTAFStock[TTAF_Qty],T_TTAFStock[RM_Code],$A76,T_TTAFStock[WeekIndex],90),CL76+'Grid_Incoming'!CM76-'Grid_Requirement'!CM76))</f>
        <v/>
      </c>
      <c r="CN76">
        <f>IF(COUNTIFS(T_StockCount[RM_Code],$A76,T_StockCount[WeekIndex],91)&gt;0,SUMIFS(T_StockCount[CountedQty],T_StockCount[RM_Code],$A76,T_StockCount[WeekIndex],91),IF((COUNTIFS(T_SelfStock[RM_Code],$A76,T_SelfStock[WeekIndex],91)&gt;0)*(COUNTIFS(T_TTAFStock[RM_Code],$A76,T_TTAFStock[WeekIndex],91)&gt;0)&gt;0,SUMIFS(T_SelfStock[Self_Qty],T_SelfStock[RM_Code],$A76,T_SelfStock[WeekIndex],91)+SUMIFS(T_TTAFStock[TTAF_Qty],T_TTAFStock[RM_Code],$A76,T_TTAFStock[WeekIndex],91),CM76+'Grid_Incoming'!CN76-'Grid_Requirement'!CN76))</f>
        <v/>
      </c>
      <c r="CO76">
        <f>IF(COUNTIFS(T_StockCount[RM_Code],$A76,T_StockCount[WeekIndex],92)&gt;0,SUMIFS(T_StockCount[CountedQty],T_StockCount[RM_Code],$A76,T_StockCount[WeekIndex],92),IF((COUNTIFS(T_SelfStock[RM_Code],$A76,T_SelfStock[WeekIndex],92)&gt;0)*(COUNTIFS(T_TTAFStock[RM_Code],$A76,T_TTAFStock[WeekIndex],92)&gt;0)&gt;0,SUMIFS(T_SelfStock[Self_Qty],T_SelfStock[RM_Code],$A76,T_SelfStock[WeekIndex],92)+SUMIFS(T_TTAFStock[TTAF_Qty],T_TTAFStock[RM_Code],$A76,T_TTAFStock[WeekIndex],92),CN76+'Grid_Incoming'!CO76-'Grid_Requirement'!CO76))</f>
        <v/>
      </c>
      <c r="CP76">
        <f>IF(COUNTIFS(T_StockCount[RM_Code],$A76,T_StockCount[WeekIndex],93)&gt;0,SUMIFS(T_StockCount[CountedQty],T_StockCount[RM_Code],$A76,T_StockCount[WeekIndex],93),IF((COUNTIFS(T_SelfStock[RM_Code],$A76,T_SelfStock[WeekIndex],93)&gt;0)*(COUNTIFS(T_TTAFStock[RM_Code],$A76,T_TTAFStock[WeekIndex],93)&gt;0)&gt;0,SUMIFS(T_SelfStock[Self_Qty],T_SelfStock[RM_Code],$A76,T_SelfStock[WeekIndex],93)+SUMIFS(T_TTAFStock[TTAF_Qty],T_TTAFStock[RM_Code],$A76,T_TTAFStock[WeekIndex],93),CO76+'Grid_Incoming'!CP76-'Grid_Requirement'!CP76))</f>
        <v/>
      </c>
      <c r="CQ76">
        <f>IF(COUNTIFS(T_StockCount[RM_Code],$A76,T_StockCount[WeekIndex],94)&gt;0,SUMIFS(T_StockCount[CountedQty],T_StockCount[RM_Code],$A76,T_StockCount[WeekIndex],94),IF((COUNTIFS(T_SelfStock[RM_Code],$A76,T_SelfStock[WeekIndex],94)&gt;0)*(COUNTIFS(T_TTAFStock[RM_Code],$A76,T_TTAFStock[WeekIndex],94)&gt;0)&gt;0,SUMIFS(T_SelfStock[Self_Qty],T_SelfStock[RM_Code],$A76,T_SelfStock[WeekIndex],94)+SUMIFS(T_TTAFStock[TTAF_Qty],T_TTAFStock[RM_Code],$A76,T_TTAFStock[WeekIndex],94),CP76+'Grid_Incoming'!CQ76-'Grid_Requirement'!CQ76))</f>
        <v/>
      </c>
      <c r="CR76">
        <f>IF(COUNTIFS(T_StockCount[RM_Code],$A76,T_StockCount[WeekIndex],95)&gt;0,SUMIFS(T_StockCount[CountedQty],T_StockCount[RM_Code],$A76,T_StockCount[WeekIndex],95),IF((COUNTIFS(T_SelfStock[RM_Code],$A76,T_SelfStock[WeekIndex],95)&gt;0)*(COUNTIFS(T_TTAFStock[RM_Code],$A76,T_TTAFStock[WeekIndex],95)&gt;0)&gt;0,SUMIFS(T_SelfStock[Self_Qty],T_SelfStock[RM_Code],$A76,T_SelfStock[WeekIndex],95)+SUMIFS(T_TTAFStock[TTAF_Qty],T_TTAFStock[RM_Code],$A76,T_TTAFStock[WeekIndex],95),CQ76+'Grid_Incoming'!CR76-'Grid_Requirement'!CR76))</f>
        <v/>
      </c>
      <c r="CS76">
        <f>IF(COUNTIFS(T_StockCount[RM_Code],$A76,T_StockCount[WeekIndex],96)&gt;0,SUMIFS(T_StockCount[CountedQty],T_StockCount[RM_Code],$A76,T_StockCount[WeekIndex],96),IF((COUNTIFS(T_SelfStock[RM_Code],$A76,T_SelfStock[WeekIndex],96)&gt;0)*(COUNTIFS(T_TTAFStock[RM_Code],$A76,T_TTAFStock[WeekIndex],96)&gt;0)&gt;0,SUMIFS(T_SelfStock[Self_Qty],T_SelfStock[RM_Code],$A76,T_SelfStock[WeekIndex],96)+SUMIFS(T_TTAFStock[TTAF_Qty],T_TTAFStock[RM_Code],$A76,T_TTAFStock[WeekIndex],96),CR76+'Grid_Incoming'!CS76-'Grid_Requirement'!CS76))</f>
        <v/>
      </c>
      <c r="CT76">
        <f>IF(COUNTIFS(T_StockCount[RM_Code],$A76,T_StockCount[WeekIndex],97)&gt;0,SUMIFS(T_StockCount[CountedQty],T_StockCount[RM_Code],$A76,T_StockCount[WeekIndex],97),IF((COUNTIFS(T_SelfStock[RM_Code],$A76,T_SelfStock[WeekIndex],97)&gt;0)*(COUNTIFS(T_TTAFStock[RM_Code],$A76,T_TTAFStock[WeekIndex],97)&gt;0)&gt;0,SUMIFS(T_SelfStock[Self_Qty],T_SelfStock[RM_Code],$A76,T_SelfStock[WeekIndex],97)+SUMIFS(T_TTAFStock[TTAF_Qty],T_TTAFStock[RM_Code],$A76,T_TTAFStock[WeekIndex],97),CS76+'Grid_Incoming'!CT76-'Grid_Requirement'!CT76))</f>
        <v/>
      </c>
      <c r="CU76">
        <f>IF(COUNTIFS(T_StockCount[RM_Code],$A76,T_StockCount[WeekIndex],98)&gt;0,SUMIFS(T_StockCount[CountedQty],T_StockCount[RM_Code],$A76,T_StockCount[WeekIndex],98),IF((COUNTIFS(T_SelfStock[RM_Code],$A76,T_SelfStock[WeekIndex],98)&gt;0)*(COUNTIFS(T_TTAFStock[RM_Code],$A76,T_TTAFStock[WeekIndex],98)&gt;0)&gt;0,SUMIFS(T_SelfStock[Self_Qty],T_SelfStock[RM_Code],$A76,T_SelfStock[WeekIndex],98)+SUMIFS(T_TTAFStock[TTAF_Qty],T_TTAFStock[RM_Code],$A76,T_TTAFStock[WeekIndex],98),CT76+'Grid_Incoming'!CU76-'Grid_Requirement'!CU76))</f>
        <v/>
      </c>
      <c r="CV76">
        <f>IF(COUNTIFS(T_StockCount[RM_Code],$A76,T_StockCount[WeekIndex],99)&gt;0,SUMIFS(T_StockCount[CountedQty],T_StockCount[RM_Code],$A76,T_StockCount[WeekIndex],99),IF((COUNTIFS(T_SelfStock[RM_Code],$A76,T_SelfStock[WeekIndex],99)&gt;0)*(COUNTIFS(T_TTAFStock[RM_Code],$A76,T_TTAFStock[WeekIndex],99)&gt;0)&gt;0,SUMIFS(T_SelfStock[Self_Qty],T_SelfStock[RM_Code],$A76,T_SelfStock[WeekIndex],99)+SUMIFS(T_TTAFStock[TTAF_Qty],T_TTAFStock[RM_Code],$A76,T_TTAFStock[WeekIndex],99),CU76+'Grid_Incoming'!CV76-'Grid_Requirement'!CV76))</f>
        <v/>
      </c>
      <c r="CW76">
        <f>IF(COUNTIFS(T_StockCount[RM_Code],$A76,T_StockCount[WeekIndex],100)&gt;0,SUMIFS(T_StockCount[CountedQty],T_StockCount[RM_Code],$A76,T_StockCount[WeekIndex],100),IF((COUNTIFS(T_SelfStock[RM_Code],$A76,T_SelfStock[WeekIndex],100)&gt;0)*(COUNTIFS(T_TTAFStock[RM_Code],$A76,T_TTAFStock[WeekIndex],100)&gt;0)&gt;0,SUMIFS(T_SelfStock[Self_Qty],T_SelfStock[RM_Code],$A76,T_SelfStock[WeekIndex],100)+SUMIFS(T_TTAFStock[TTAF_Qty],T_TTAFStock[RM_Code],$A76,T_TTAFStock[WeekIndex],100),CV76+'Grid_Incoming'!CW76-'Grid_Requirement'!CW76))</f>
        <v/>
      </c>
      <c r="CX76">
        <f>IF(COUNTIFS(T_StockCount[RM_Code],$A76,T_StockCount[WeekIndex],101)&gt;0,SUMIFS(T_StockCount[CountedQty],T_StockCount[RM_Code],$A76,T_StockCount[WeekIndex],101),IF((COUNTIFS(T_SelfStock[RM_Code],$A76,T_SelfStock[WeekIndex],101)&gt;0)*(COUNTIFS(T_TTAFStock[RM_Code],$A76,T_TTAFStock[WeekIndex],101)&gt;0)&gt;0,SUMIFS(T_SelfStock[Self_Qty],T_SelfStock[RM_Code],$A76,T_SelfStock[WeekIndex],101)+SUMIFS(T_TTAFStock[TTAF_Qty],T_TTAFStock[RM_Code],$A76,T_TTAFStock[WeekIndex],101),CW76+'Grid_Incoming'!CX76-'Grid_Requirement'!CX76))</f>
        <v/>
      </c>
      <c r="CY76">
        <f>IF(COUNTIFS(T_StockCount[RM_Code],$A76,T_StockCount[WeekIndex],102)&gt;0,SUMIFS(T_StockCount[CountedQty],T_StockCount[RM_Code],$A76,T_StockCount[WeekIndex],102),IF((COUNTIFS(T_SelfStock[RM_Code],$A76,T_SelfStock[WeekIndex],102)&gt;0)*(COUNTIFS(T_TTAFStock[RM_Code],$A76,T_TTAFStock[WeekIndex],102)&gt;0)&gt;0,SUMIFS(T_SelfStock[Self_Qty],T_SelfStock[RM_Code],$A76,T_SelfStock[WeekIndex],102)+SUMIFS(T_TTAFStock[TTAF_Qty],T_TTAFStock[RM_Code],$A76,T_TTAFStock[WeekIndex],102),CX76+'Grid_Incoming'!CY76-'Grid_Requirement'!CY76))</f>
        <v/>
      </c>
      <c r="CZ76">
        <f>IF(COUNTIFS(T_StockCount[RM_Code],$A76,T_StockCount[WeekIndex],103)&gt;0,SUMIFS(T_StockCount[CountedQty],T_StockCount[RM_Code],$A76,T_StockCount[WeekIndex],103),IF((COUNTIFS(T_SelfStock[RM_Code],$A76,T_SelfStock[WeekIndex],103)&gt;0)*(COUNTIFS(T_TTAFStock[RM_Code],$A76,T_TTAFStock[WeekIndex],103)&gt;0)&gt;0,SUMIFS(T_SelfStock[Self_Qty],T_SelfStock[RM_Code],$A76,T_SelfStock[WeekIndex],103)+SUMIFS(T_TTAFStock[TTAF_Qty],T_TTAFStock[RM_Code],$A76,T_TTAFStock[WeekIndex],103),CY76+'Grid_Incoming'!CZ76-'Grid_Requirement'!CZ76))</f>
        <v/>
      </c>
      <c r="DA76">
        <f>IF(COUNTIFS(T_StockCount[RM_Code],$A76,T_StockCount[WeekIndex],104)&gt;0,SUMIFS(T_StockCount[CountedQty],T_StockCount[RM_Code],$A76,T_StockCount[WeekIndex],104),IF((COUNTIFS(T_SelfStock[RM_Code],$A76,T_SelfStock[WeekIndex],104)&gt;0)*(COUNTIFS(T_TTAFStock[RM_Code],$A76,T_TTAFStock[WeekIndex],104)&gt;0)&gt;0,SUMIFS(T_SelfStock[Self_Qty],T_SelfStock[RM_Code],$A76,T_SelfStock[WeekIndex],104)+SUMIFS(T_TTAFStock[TTAF_Qty],T_TTAFStock[RM_Code],$A76,T_TTAFStock[WeekIndex],104),CZ76+'Grid_Incoming'!DA76-'Grid_Requirement'!DA76))</f>
        <v/>
      </c>
    </row>
    <row r="77">
      <c r="A77" t="inlineStr">
        <is>
          <t>Chem-1220</t>
        </is>
      </c>
      <c r="B77">
        <f>IF(COUNTIFS(T_StockCount[RM_Code],$A77,T_StockCount[WeekIndex],1)&gt;0,SUMIFS(T_StockCount[CountedQty],T_StockCount[RM_Code],$A77,T_StockCount[WeekIndex],1),IF((COUNTIFS(T_SelfStock[RM_Code],$A77,T_SelfStock[WeekIndex],1)&gt;0)*(COUNTIFS(T_TTAFStock[RM_Code],$A77,T_TTAFStock[WeekIndex],1)&gt;0)&gt;0,SUMIFS(T_SelfStock[Self_Qty],T_SelfStock[RM_Code],$A77,T_SelfStock[WeekIndex],1)+SUMIFS(T_TTAFStock[TTAF_Qty],T_TTAFStock[RM_Code],$A77,T_TTAFStock[WeekIndex],1),IFERROR(INDEX(T_OpeningStock[Opening_Qty],MATCH($A77,T_OpeningStock[RM_Code],0)),0)+'Grid_Incoming'!B77-'Grid_Requirement'!B77))</f>
        <v/>
      </c>
      <c r="C77">
        <f>IF(COUNTIFS(T_StockCount[RM_Code],$A77,T_StockCount[WeekIndex],2)&gt;0,SUMIFS(T_StockCount[CountedQty],T_StockCount[RM_Code],$A77,T_StockCount[WeekIndex],2),IF((COUNTIFS(T_SelfStock[RM_Code],$A77,T_SelfStock[WeekIndex],2)&gt;0)*(COUNTIFS(T_TTAFStock[RM_Code],$A77,T_TTAFStock[WeekIndex],2)&gt;0)&gt;0,SUMIFS(T_SelfStock[Self_Qty],T_SelfStock[RM_Code],$A77,T_SelfStock[WeekIndex],2)+SUMIFS(T_TTAFStock[TTAF_Qty],T_TTAFStock[RM_Code],$A77,T_TTAFStock[WeekIndex],2),B77+'Grid_Incoming'!C77-'Grid_Requirement'!C77))</f>
        <v/>
      </c>
      <c r="D77">
        <f>IF(COUNTIFS(T_StockCount[RM_Code],$A77,T_StockCount[WeekIndex],3)&gt;0,SUMIFS(T_StockCount[CountedQty],T_StockCount[RM_Code],$A77,T_StockCount[WeekIndex],3),IF((COUNTIFS(T_SelfStock[RM_Code],$A77,T_SelfStock[WeekIndex],3)&gt;0)*(COUNTIFS(T_TTAFStock[RM_Code],$A77,T_TTAFStock[WeekIndex],3)&gt;0)&gt;0,SUMIFS(T_SelfStock[Self_Qty],T_SelfStock[RM_Code],$A77,T_SelfStock[WeekIndex],3)+SUMIFS(T_TTAFStock[TTAF_Qty],T_TTAFStock[RM_Code],$A77,T_TTAFStock[WeekIndex],3),C77+'Grid_Incoming'!D77-'Grid_Requirement'!D77))</f>
        <v/>
      </c>
      <c r="E77">
        <f>IF(COUNTIFS(T_StockCount[RM_Code],$A77,T_StockCount[WeekIndex],4)&gt;0,SUMIFS(T_StockCount[CountedQty],T_StockCount[RM_Code],$A77,T_StockCount[WeekIndex],4),IF((COUNTIFS(T_SelfStock[RM_Code],$A77,T_SelfStock[WeekIndex],4)&gt;0)*(COUNTIFS(T_TTAFStock[RM_Code],$A77,T_TTAFStock[WeekIndex],4)&gt;0)&gt;0,SUMIFS(T_SelfStock[Self_Qty],T_SelfStock[RM_Code],$A77,T_SelfStock[WeekIndex],4)+SUMIFS(T_TTAFStock[TTAF_Qty],T_TTAFStock[RM_Code],$A77,T_TTAFStock[WeekIndex],4),D77+'Grid_Incoming'!E77-'Grid_Requirement'!E77))</f>
        <v/>
      </c>
      <c r="F77">
        <f>IF(COUNTIFS(T_StockCount[RM_Code],$A77,T_StockCount[WeekIndex],5)&gt;0,SUMIFS(T_StockCount[CountedQty],T_StockCount[RM_Code],$A77,T_StockCount[WeekIndex],5),IF((COUNTIFS(T_SelfStock[RM_Code],$A77,T_SelfStock[WeekIndex],5)&gt;0)*(COUNTIFS(T_TTAFStock[RM_Code],$A77,T_TTAFStock[WeekIndex],5)&gt;0)&gt;0,SUMIFS(T_SelfStock[Self_Qty],T_SelfStock[RM_Code],$A77,T_SelfStock[WeekIndex],5)+SUMIFS(T_TTAFStock[TTAF_Qty],T_TTAFStock[RM_Code],$A77,T_TTAFStock[WeekIndex],5),E77+'Grid_Incoming'!F77-'Grid_Requirement'!F77))</f>
        <v/>
      </c>
      <c r="G77">
        <f>IF(COUNTIFS(T_StockCount[RM_Code],$A77,T_StockCount[WeekIndex],6)&gt;0,SUMIFS(T_StockCount[CountedQty],T_StockCount[RM_Code],$A77,T_StockCount[WeekIndex],6),IF((COUNTIFS(T_SelfStock[RM_Code],$A77,T_SelfStock[WeekIndex],6)&gt;0)*(COUNTIFS(T_TTAFStock[RM_Code],$A77,T_TTAFStock[WeekIndex],6)&gt;0)&gt;0,SUMIFS(T_SelfStock[Self_Qty],T_SelfStock[RM_Code],$A77,T_SelfStock[WeekIndex],6)+SUMIFS(T_TTAFStock[TTAF_Qty],T_TTAFStock[RM_Code],$A77,T_TTAFStock[WeekIndex],6),F77+'Grid_Incoming'!G77-'Grid_Requirement'!G77))</f>
        <v/>
      </c>
      <c r="H77">
        <f>IF(COUNTIFS(T_StockCount[RM_Code],$A77,T_StockCount[WeekIndex],7)&gt;0,SUMIFS(T_StockCount[CountedQty],T_StockCount[RM_Code],$A77,T_StockCount[WeekIndex],7),IF((COUNTIFS(T_SelfStock[RM_Code],$A77,T_SelfStock[WeekIndex],7)&gt;0)*(COUNTIFS(T_TTAFStock[RM_Code],$A77,T_TTAFStock[WeekIndex],7)&gt;0)&gt;0,SUMIFS(T_SelfStock[Self_Qty],T_SelfStock[RM_Code],$A77,T_SelfStock[WeekIndex],7)+SUMIFS(T_TTAFStock[TTAF_Qty],T_TTAFStock[RM_Code],$A77,T_TTAFStock[WeekIndex],7),G77+'Grid_Incoming'!H77-'Grid_Requirement'!H77))</f>
        <v/>
      </c>
      <c r="I77">
        <f>IF(COUNTIFS(T_StockCount[RM_Code],$A77,T_StockCount[WeekIndex],8)&gt;0,SUMIFS(T_StockCount[CountedQty],T_StockCount[RM_Code],$A77,T_StockCount[WeekIndex],8),IF((COUNTIFS(T_SelfStock[RM_Code],$A77,T_SelfStock[WeekIndex],8)&gt;0)*(COUNTIFS(T_TTAFStock[RM_Code],$A77,T_TTAFStock[WeekIndex],8)&gt;0)&gt;0,SUMIFS(T_SelfStock[Self_Qty],T_SelfStock[RM_Code],$A77,T_SelfStock[WeekIndex],8)+SUMIFS(T_TTAFStock[TTAF_Qty],T_TTAFStock[RM_Code],$A77,T_TTAFStock[WeekIndex],8),H77+'Grid_Incoming'!I77-'Grid_Requirement'!I77))</f>
        <v/>
      </c>
      <c r="J77">
        <f>IF(COUNTIFS(T_StockCount[RM_Code],$A77,T_StockCount[WeekIndex],9)&gt;0,SUMIFS(T_StockCount[CountedQty],T_StockCount[RM_Code],$A77,T_StockCount[WeekIndex],9),IF((COUNTIFS(T_SelfStock[RM_Code],$A77,T_SelfStock[WeekIndex],9)&gt;0)*(COUNTIFS(T_TTAFStock[RM_Code],$A77,T_TTAFStock[WeekIndex],9)&gt;0)&gt;0,SUMIFS(T_SelfStock[Self_Qty],T_SelfStock[RM_Code],$A77,T_SelfStock[WeekIndex],9)+SUMIFS(T_TTAFStock[TTAF_Qty],T_TTAFStock[RM_Code],$A77,T_TTAFStock[WeekIndex],9),I77+'Grid_Incoming'!J77-'Grid_Requirement'!J77))</f>
        <v/>
      </c>
      <c r="K77">
        <f>IF(COUNTIFS(T_StockCount[RM_Code],$A77,T_StockCount[WeekIndex],10)&gt;0,SUMIFS(T_StockCount[CountedQty],T_StockCount[RM_Code],$A77,T_StockCount[WeekIndex],10),IF((COUNTIFS(T_SelfStock[RM_Code],$A77,T_SelfStock[WeekIndex],10)&gt;0)*(COUNTIFS(T_TTAFStock[RM_Code],$A77,T_TTAFStock[WeekIndex],10)&gt;0)&gt;0,SUMIFS(T_SelfStock[Self_Qty],T_SelfStock[RM_Code],$A77,T_SelfStock[WeekIndex],10)+SUMIFS(T_TTAFStock[TTAF_Qty],T_TTAFStock[RM_Code],$A77,T_TTAFStock[WeekIndex],10),J77+'Grid_Incoming'!K77-'Grid_Requirement'!K77))</f>
        <v/>
      </c>
      <c r="L77">
        <f>IF(COUNTIFS(T_StockCount[RM_Code],$A77,T_StockCount[WeekIndex],11)&gt;0,SUMIFS(T_StockCount[CountedQty],T_StockCount[RM_Code],$A77,T_StockCount[WeekIndex],11),IF((COUNTIFS(T_SelfStock[RM_Code],$A77,T_SelfStock[WeekIndex],11)&gt;0)*(COUNTIFS(T_TTAFStock[RM_Code],$A77,T_TTAFStock[WeekIndex],11)&gt;0)&gt;0,SUMIFS(T_SelfStock[Self_Qty],T_SelfStock[RM_Code],$A77,T_SelfStock[WeekIndex],11)+SUMIFS(T_TTAFStock[TTAF_Qty],T_TTAFStock[RM_Code],$A77,T_TTAFStock[WeekIndex],11),K77+'Grid_Incoming'!L77-'Grid_Requirement'!L77))</f>
        <v/>
      </c>
      <c r="M77">
        <f>IF(COUNTIFS(T_StockCount[RM_Code],$A77,T_StockCount[WeekIndex],12)&gt;0,SUMIFS(T_StockCount[CountedQty],T_StockCount[RM_Code],$A77,T_StockCount[WeekIndex],12),IF((COUNTIFS(T_SelfStock[RM_Code],$A77,T_SelfStock[WeekIndex],12)&gt;0)*(COUNTIFS(T_TTAFStock[RM_Code],$A77,T_TTAFStock[WeekIndex],12)&gt;0)&gt;0,SUMIFS(T_SelfStock[Self_Qty],T_SelfStock[RM_Code],$A77,T_SelfStock[WeekIndex],12)+SUMIFS(T_TTAFStock[TTAF_Qty],T_TTAFStock[RM_Code],$A77,T_TTAFStock[WeekIndex],12),L77+'Grid_Incoming'!M77-'Grid_Requirement'!M77))</f>
        <v/>
      </c>
      <c r="N77">
        <f>IF(COUNTIFS(T_StockCount[RM_Code],$A77,T_StockCount[WeekIndex],13)&gt;0,SUMIFS(T_StockCount[CountedQty],T_StockCount[RM_Code],$A77,T_StockCount[WeekIndex],13),IF((COUNTIFS(T_SelfStock[RM_Code],$A77,T_SelfStock[WeekIndex],13)&gt;0)*(COUNTIFS(T_TTAFStock[RM_Code],$A77,T_TTAFStock[WeekIndex],13)&gt;0)&gt;0,SUMIFS(T_SelfStock[Self_Qty],T_SelfStock[RM_Code],$A77,T_SelfStock[WeekIndex],13)+SUMIFS(T_TTAFStock[TTAF_Qty],T_TTAFStock[RM_Code],$A77,T_TTAFStock[WeekIndex],13),M77+'Grid_Incoming'!N77-'Grid_Requirement'!N77))</f>
        <v/>
      </c>
      <c r="O77">
        <f>IF(COUNTIFS(T_StockCount[RM_Code],$A77,T_StockCount[WeekIndex],14)&gt;0,SUMIFS(T_StockCount[CountedQty],T_StockCount[RM_Code],$A77,T_StockCount[WeekIndex],14),IF((COUNTIFS(T_SelfStock[RM_Code],$A77,T_SelfStock[WeekIndex],14)&gt;0)*(COUNTIFS(T_TTAFStock[RM_Code],$A77,T_TTAFStock[WeekIndex],14)&gt;0)&gt;0,SUMIFS(T_SelfStock[Self_Qty],T_SelfStock[RM_Code],$A77,T_SelfStock[WeekIndex],14)+SUMIFS(T_TTAFStock[TTAF_Qty],T_TTAFStock[RM_Code],$A77,T_TTAFStock[WeekIndex],14),N77+'Grid_Incoming'!O77-'Grid_Requirement'!O77))</f>
        <v/>
      </c>
      <c r="P77">
        <f>IF(COUNTIFS(T_StockCount[RM_Code],$A77,T_StockCount[WeekIndex],15)&gt;0,SUMIFS(T_StockCount[CountedQty],T_StockCount[RM_Code],$A77,T_StockCount[WeekIndex],15),IF((COUNTIFS(T_SelfStock[RM_Code],$A77,T_SelfStock[WeekIndex],15)&gt;0)*(COUNTIFS(T_TTAFStock[RM_Code],$A77,T_TTAFStock[WeekIndex],15)&gt;0)&gt;0,SUMIFS(T_SelfStock[Self_Qty],T_SelfStock[RM_Code],$A77,T_SelfStock[WeekIndex],15)+SUMIFS(T_TTAFStock[TTAF_Qty],T_TTAFStock[RM_Code],$A77,T_TTAFStock[WeekIndex],15),O77+'Grid_Incoming'!P77-'Grid_Requirement'!P77))</f>
        <v/>
      </c>
      <c r="Q77">
        <f>IF(COUNTIFS(T_StockCount[RM_Code],$A77,T_StockCount[WeekIndex],16)&gt;0,SUMIFS(T_StockCount[CountedQty],T_StockCount[RM_Code],$A77,T_StockCount[WeekIndex],16),IF((COUNTIFS(T_SelfStock[RM_Code],$A77,T_SelfStock[WeekIndex],16)&gt;0)*(COUNTIFS(T_TTAFStock[RM_Code],$A77,T_TTAFStock[WeekIndex],16)&gt;0)&gt;0,SUMIFS(T_SelfStock[Self_Qty],T_SelfStock[RM_Code],$A77,T_SelfStock[WeekIndex],16)+SUMIFS(T_TTAFStock[TTAF_Qty],T_TTAFStock[RM_Code],$A77,T_TTAFStock[WeekIndex],16),P77+'Grid_Incoming'!Q77-'Grid_Requirement'!Q77))</f>
        <v/>
      </c>
      <c r="R77">
        <f>IF(COUNTIFS(T_StockCount[RM_Code],$A77,T_StockCount[WeekIndex],17)&gt;0,SUMIFS(T_StockCount[CountedQty],T_StockCount[RM_Code],$A77,T_StockCount[WeekIndex],17),IF((COUNTIFS(T_SelfStock[RM_Code],$A77,T_SelfStock[WeekIndex],17)&gt;0)*(COUNTIFS(T_TTAFStock[RM_Code],$A77,T_TTAFStock[WeekIndex],17)&gt;0)&gt;0,SUMIFS(T_SelfStock[Self_Qty],T_SelfStock[RM_Code],$A77,T_SelfStock[WeekIndex],17)+SUMIFS(T_TTAFStock[TTAF_Qty],T_TTAFStock[RM_Code],$A77,T_TTAFStock[WeekIndex],17),Q77+'Grid_Incoming'!R77-'Grid_Requirement'!R77))</f>
        <v/>
      </c>
      <c r="S77">
        <f>IF(COUNTIFS(T_StockCount[RM_Code],$A77,T_StockCount[WeekIndex],18)&gt;0,SUMIFS(T_StockCount[CountedQty],T_StockCount[RM_Code],$A77,T_StockCount[WeekIndex],18),IF((COUNTIFS(T_SelfStock[RM_Code],$A77,T_SelfStock[WeekIndex],18)&gt;0)*(COUNTIFS(T_TTAFStock[RM_Code],$A77,T_TTAFStock[WeekIndex],18)&gt;0)&gt;0,SUMIFS(T_SelfStock[Self_Qty],T_SelfStock[RM_Code],$A77,T_SelfStock[WeekIndex],18)+SUMIFS(T_TTAFStock[TTAF_Qty],T_TTAFStock[RM_Code],$A77,T_TTAFStock[WeekIndex],18),R77+'Grid_Incoming'!S77-'Grid_Requirement'!S77))</f>
        <v/>
      </c>
      <c r="T77">
        <f>IF(COUNTIFS(T_StockCount[RM_Code],$A77,T_StockCount[WeekIndex],19)&gt;0,SUMIFS(T_StockCount[CountedQty],T_StockCount[RM_Code],$A77,T_StockCount[WeekIndex],19),IF((COUNTIFS(T_SelfStock[RM_Code],$A77,T_SelfStock[WeekIndex],19)&gt;0)*(COUNTIFS(T_TTAFStock[RM_Code],$A77,T_TTAFStock[WeekIndex],19)&gt;0)&gt;0,SUMIFS(T_SelfStock[Self_Qty],T_SelfStock[RM_Code],$A77,T_SelfStock[WeekIndex],19)+SUMIFS(T_TTAFStock[TTAF_Qty],T_TTAFStock[RM_Code],$A77,T_TTAFStock[WeekIndex],19),S77+'Grid_Incoming'!T77-'Grid_Requirement'!T77))</f>
        <v/>
      </c>
      <c r="U77">
        <f>IF(COUNTIFS(T_StockCount[RM_Code],$A77,T_StockCount[WeekIndex],20)&gt;0,SUMIFS(T_StockCount[CountedQty],T_StockCount[RM_Code],$A77,T_StockCount[WeekIndex],20),IF((COUNTIFS(T_SelfStock[RM_Code],$A77,T_SelfStock[WeekIndex],20)&gt;0)*(COUNTIFS(T_TTAFStock[RM_Code],$A77,T_TTAFStock[WeekIndex],20)&gt;0)&gt;0,SUMIFS(T_SelfStock[Self_Qty],T_SelfStock[RM_Code],$A77,T_SelfStock[WeekIndex],20)+SUMIFS(T_TTAFStock[TTAF_Qty],T_TTAFStock[RM_Code],$A77,T_TTAFStock[WeekIndex],20),T77+'Grid_Incoming'!U77-'Grid_Requirement'!U77))</f>
        <v/>
      </c>
      <c r="V77">
        <f>IF(COUNTIFS(T_StockCount[RM_Code],$A77,T_StockCount[WeekIndex],21)&gt;0,SUMIFS(T_StockCount[CountedQty],T_StockCount[RM_Code],$A77,T_StockCount[WeekIndex],21),IF((COUNTIFS(T_SelfStock[RM_Code],$A77,T_SelfStock[WeekIndex],21)&gt;0)*(COUNTIFS(T_TTAFStock[RM_Code],$A77,T_TTAFStock[WeekIndex],21)&gt;0)&gt;0,SUMIFS(T_SelfStock[Self_Qty],T_SelfStock[RM_Code],$A77,T_SelfStock[WeekIndex],21)+SUMIFS(T_TTAFStock[TTAF_Qty],T_TTAFStock[RM_Code],$A77,T_TTAFStock[WeekIndex],21),U77+'Grid_Incoming'!V77-'Grid_Requirement'!V77))</f>
        <v/>
      </c>
      <c r="W77">
        <f>IF(COUNTIFS(T_StockCount[RM_Code],$A77,T_StockCount[WeekIndex],22)&gt;0,SUMIFS(T_StockCount[CountedQty],T_StockCount[RM_Code],$A77,T_StockCount[WeekIndex],22),IF((COUNTIFS(T_SelfStock[RM_Code],$A77,T_SelfStock[WeekIndex],22)&gt;0)*(COUNTIFS(T_TTAFStock[RM_Code],$A77,T_TTAFStock[WeekIndex],22)&gt;0)&gt;0,SUMIFS(T_SelfStock[Self_Qty],T_SelfStock[RM_Code],$A77,T_SelfStock[WeekIndex],22)+SUMIFS(T_TTAFStock[TTAF_Qty],T_TTAFStock[RM_Code],$A77,T_TTAFStock[WeekIndex],22),V77+'Grid_Incoming'!W77-'Grid_Requirement'!W77))</f>
        <v/>
      </c>
      <c r="X77">
        <f>IF(COUNTIFS(T_StockCount[RM_Code],$A77,T_StockCount[WeekIndex],23)&gt;0,SUMIFS(T_StockCount[CountedQty],T_StockCount[RM_Code],$A77,T_StockCount[WeekIndex],23),IF((COUNTIFS(T_SelfStock[RM_Code],$A77,T_SelfStock[WeekIndex],23)&gt;0)*(COUNTIFS(T_TTAFStock[RM_Code],$A77,T_TTAFStock[WeekIndex],23)&gt;0)&gt;0,SUMIFS(T_SelfStock[Self_Qty],T_SelfStock[RM_Code],$A77,T_SelfStock[WeekIndex],23)+SUMIFS(T_TTAFStock[TTAF_Qty],T_TTAFStock[RM_Code],$A77,T_TTAFStock[WeekIndex],23),W77+'Grid_Incoming'!X77-'Grid_Requirement'!X77))</f>
        <v/>
      </c>
      <c r="Y77">
        <f>IF(COUNTIFS(T_StockCount[RM_Code],$A77,T_StockCount[WeekIndex],24)&gt;0,SUMIFS(T_StockCount[CountedQty],T_StockCount[RM_Code],$A77,T_StockCount[WeekIndex],24),IF((COUNTIFS(T_SelfStock[RM_Code],$A77,T_SelfStock[WeekIndex],24)&gt;0)*(COUNTIFS(T_TTAFStock[RM_Code],$A77,T_TTAFStock[WeekIndex],24)&gt;0)&gt;0,SUMIFS(T_SelfStock[Self_Qty],T_SelfStock[RM_Code],$A77,T_SelfStock[WeekIndex],24)+SUMIFS(T_TTAFStock[TTAF_Qty],T_TTAFStock[RM_Code],$A77,T_TTAFStock[WeekIndex],24),X77+'Grid_Incoming'!Y77-'Grid_Requirement'!Y77))</f>
        <v/>
      </c>
      <c r="Z77">
        <f>IF(COUNTIFS(T_StockCount[RM_Code],$A77,T_StockCount[WeekIndex],25)&gt;0,SUMIFS(T_StockCount[CountedQty],T_StockCount[RM_Code],$A77,T_StockCount[WeekIndex],25),IF((COUNTIFS(T_SelfStock[RM_Code],$A77,T_SelfStock[WeekIndex],25)&gt;0)*(COUNTIFS(T_TTAFStock[RM_Code],$A77,T_TTAFStock[WeekIndex],25)&gt;0)&gt;0,SUMIFS(T_SelfStock[Self_Qty],T_SelfStock[RM_Code],$A77,T_SelfStock[WeekIndex],25)+SUMIFS(T_TTAFStock[TTAF_Qty],T_TTAFStock[RM_Code],$A77,T_TTAFStock[WeekIndex],25),Y77+'Grid_Incoming'!Z77-'Grid_Requirement'!Z77))</f>
        <v/>
      </c>
      <c r="AA77">
        <f>IF(COUNTIFS(T_StockCount[RM_Code],$A77,T_StockCount[WeekIndex],26)&gt;0,SUMIFS(T_StockCount[CountedQty],T_StockCount[RM_Code],$A77,T_StockCount[WeekIndex],26),IF((COUNTIFS(T_SelfStock[RM_Code],$A77,T_SelfStock[WeekIndex],26)&gt;0)*(COUNTIFS(T_TTAFStock[RM_Code],$A77,T_TTAFStock[WeekIndex],26)&gt;0)&gt;0,SUMIFS(T_SelfStock[Self_Qty],T_SelfStock[RM_Code],$A77,T_SelfStock[WeekIndex],26)+SUMIFS(T_TTAFStock[TTAF_Qty],T_TTAFStock[RM_Code],$A77,T_TTAFStock[WeekIndex],26),Z77+'Grid_Incoming'!AA77-'Grid_Requirement'!AA77))</f>
        <v/>
      </c>
      <c r="AB77">
        <f>IF(COUNTIFS(T_StockCount[RM_Code],$A77,T_StockCount[WeekIndex],27)&gt;0,SUMIFS(T_StockCount[CountedQty],T_StockCount[RM_Code],$A77,T_StockCount[WeekIndex],27),IF((COUNTIFS(T_SelfStock[RM_Code],$A77,T_SelfStock[WeekIndex],27)&gt;0)*(COUNTIFS(T_TTAFStock[RM_Code],$A77,T_TTAFStock[WeekIndex],27)&gt;0)&gt;0,SUMIFS(T_SelfStock[Self_Qty],T_SelfStock[RM_Code],$A77,T_SelfStock[WeekIndex],27)+SUMIFS(T_TTAFStock[TTAF_Qty],T_TTAFStock[RM_Code],$A77,T_TTAFStock[WeekIndex],27),AA77+'Grid_Incoming'!AB77-'Grid_Requirement'!AB77))</f>
        <v/>
      </c>
      <c r="AC77">
        <f>IF(COUNTIFS(T_StockCount[RM_Code],$A77,T_StockCount[WeekIndex],28)&gt;0,SUMIFS(T_StockCount[CountedQty],T_StockCount[RM_Code],$A77,T_StockCount[WeekIndex],28),IF((COUNTIFS(T_SelfStock[RM_Code],$A77,T_SelfStock[WeekIndex],28)&gt;0)*(COUNTIFS(T_TTAFStock[RM_Code],$A77,T_TTAFStock[WeekIndex],28)&gt;0)&gt;0,SUMIFS(T_SelfStock[Self_Qty],T_SelfStock[RM_Code],$A77,T_SelfStock[WeekIndex],28)+SUMIFS(T_TTAFStock[TTAF_Qty],T_TTAFStock[RM_Code],$A77,T_TTAFStock[WeekIndex],28),AB77+'Grid_Incoming'!AC77-'Grid_Requirement'!AC77))</f>
        <v/>
      </c>
      <c r="AD77">
        <f>IF(COUNTIFS(T_StockCount[RM_Code],$A77,T_StockCount[WeekIndex],29)&gt;0,SUMIFS(T_StockCount[CountedQty],T_StockCount[RM_Code],$A77,T_StockCount[WeekIndex],29),IF((COUNTIFS(T_SelfStock[RM_Code],$A77,T_SelfStock[WeekIndex],29)&gt;0)*(COUNTIFS(T_TTAFStock[RM_Code],$A77,T_TTAFStock[WeekIndex],29)&gt;0)&gt;0,SUMIFS(T_SelfStock[Self_Qty],T_SelfStock[RM_Code],$A77,T_SelfStock[WeekIndex],29)+SUMIFS(T_TTAFStock[TTAF_Qty],T_TTAFStock[RM_Code],$A77,T_TTAFStock[WeekIndex],29),AC77+'Grid_Incoming'!AD77-'Grid_Requirement'!AD77))</f>
        <v/>
      </c>
      <c r="AE77">
        <f>IF(COUNTIFS(T_StockCount[RM_Code],$A77,T_StockCount[WeekIndex],30)&gt;0,SUMIFS(T_StockCount[CountedQty],T_StockCount[RM_Code],$A77,T_StockCount[WeekIndex],30),IF((COUNTIFS(T_SelfStock[RM_Code],$A77,T_SelfStock[WeekIndex],30)&gt;0)*(COUNTIFS(T_TTAFStock[RM_Code],$A77,T_TTAFStock[WeekIndex],30)&gt;0)&gt;0,SUMIFS(T_SelfStock[Self_Qty],T_SelfStock[RM_Code],$A77,T_SelfStock[WeekIndex],30)+SUMIFS(T_TTAFStock[TTAF_Qty],T_TTAFStock[RM_Code],$A77,T_TTAFStock[WeekIndex],30),AD77+'Grid_Incoming'!AE77-'Grid_Requirement'!AE77))</f>
        <v/>
      </c>
      <c r="AF77">
        <f>IF(COUNTIFS(T_StockCount[RM_Code],$A77,T_StockCount[WeekIndex],31)&gt;0,SUMIFS(T_StockCount[CountedQty],T_StockCount[RM_Code],$A77,T_StockCount[WeekIndex],31),IF((COUNTIFS(T_SelfStock[RM_Code],$A77,T_SelfStock[WeekIndex],31)&gt;0)*(COUNTIFS(T_TTAFStock[RM_Code],$A77,T_TTAFStock[WeekIndex],31)&gt;0)&gt;0,SUMIFS(T_SelfStock[Self_Qty],T_SelfStock[RM_Code],$A77,T_SelfStock[WeekIndex],31)+SUMIFS(T_TTAFStock[TTAF_Qty],T_TTAFStock[RM_Code],$A77,T_TTAFStock[WeekIndex],31),AE77+'Grid_Incoming'!AF77-'Grid_Requirement'!AF77))</f>
        <v/>
      </c>
      <c r="AG77">
        <f>IF(COUNTIFS(T_StockCount[RM_Code],$A77,T_StockCount[WeekIndex],32)&gt;0,SUMIFS(T_StockCount[CountedQty],T_StockCount[RM_Code],$A77,T_StockCount[WeekIndex],32),IF((COUNTIFS(T_SelfStock[RM_Code],$A77,T_SelfStock[WeekIndex],32)&gt;0)*(COUNTIFS(T_TTAFStock[RM_Code],$A77,T_TTAFStock[WeekIndex],32)&gt;0)&gt;0,SUMIFS(T_SelfStock[Self_Qty],T_SelfStock[RM_Code],$A77,T_SelfStock[WeekIndex],32)+SUMIFS(T_TTAFStock[TTAF_Qty],T_TTAFStock[RM_Code],$A77,T_TTAFStock[WeekIndex],32),AF77+'Grid_Incoming'!AG77-'Grid_Requirement'!AG77))</f>
        <v/>
      </c>
      <c r="AH77">
        <f>IF(COUNTIFS(T_StockCount[RM_Code],$A77,T_StockCount[WeekIndex],33)&gt;0,SUMIFS(T_StockCount[CountedQty],T_StockCount[RM_Code],$A77,T_StockCount[WeekIndex],33),IF((COUNTIFS(T_SelfStock[RM_Code],$A77,T_SelfStock[WeekIndex],33)&gt;0)*(COUNTIFS(T_TTAFStock[RM_Code],$A77,T_TTAFStock[WeekIndex],33)&gt;0)&gt;0,SUMIFS(T_SelfStock[Self_Qty],T_SelfStock[RM_Code],$A77,T_SelfStock[WeekIndex],33)+SUMIFS(T_TTAFStock[TTAF_Qty],T_TTAFStock[RM_Code],$A77,T_TTAFStock[WeekIndex],33),AG77+'Grid_Incoming'!AH77-'Grid_Requirement'!AH77))</f>
        <v/>
      </c>
      <c r="AI77">
        <f>IF(COUNTIFS(T_StockCount[RM_Code],$A77,T_StockCount[WeekIndex],34)&gt;0,SUMIFS(T_StockCount[CountedQty],T_StockCount[RM_Code],$A77,T_StockCount[WeekIndex],34),IF((COUNTIFS(T_SelfStock[RM_Code],$A77,T_SelfStock[WeekIndex],34)&gt;0)*(COUNTIFS(T_TTAFStock[RM_Code],$A77,T_TTAFStock[WeekIndex],34)&gt;0)&gt;0,SUMIFS(T_SelfStock[Self_Qty],T_SelfStock[RM_Code],$A77,T_SelfStock[WeekIndex],34)+SUMIFS(T_TTAFStock[TTAF_Qty],T_TTAFStock[RM_Code],$A77,T_TTAFStock[WeekIndex],34),AH77+'Grid_Incoming'!AI77-'Grid_Requirement'!AI77))</f>
        <v/>
      </c>
      <c r="AJ77">
        <f>IF(COUNTIFS(T_StockCount[RM_Code],$A77,T_StockCount[WeekIndex],35)&gt;0,SUMIFS(T_StockCount[CountedQty],T_StockCount[RM_Code],$A77,T_StockCount[WeekIndex],35),IF((COUNTIFS(T_SelfStock[RM_Code],$A77,T_SelfStock[WeekIndex],35)&gt;0)*(COUNTIFS(T_TTAFStock[RM_Code],$A77,T_TTAFStock[WeekIndex],35)&gt;0)&gt;0,SUMIFS(T_SelfStock[Self_Qty],T_SelfStock[RM_Code],$A77,T_SelfStock[WeekIndex],35)+SUMIFS(T_TTAFStock[TTAF_Qty],T_TTAFStock[RM_Code],$A77,T_TTAFStock[WeekIndex],35),AI77+'Grid_Incoming'!AJ77-'Grid_Requirement'!AJ77))</f>
        <v/>
      </c>
      <c r="AK77">
        <f>IF(COUNTIFS(T_StockCount[RM_Code],$A77,T_StockCount[WeekIndex],36)&gt;0,SUMIFS(T_StockCount[CountedQty],T_StockCount[RM_Code],$A77,T_StockCount[WeekIndex],36),IF((COUNTIFS(T_SelfStock[RM_Code],$A77,T_SelfStock[WeekIndex],36)&gt;0)*(COUNTIFS(T_TTAFStock[RM_Code],$A77,T_TTAFStock[WeekIndex],36)&gt;0)&gt;0,SUMIFS(T_SelfStock[Self_Qty],T_SelfStock[RM_Code],$A77,T_SelfStock[WeekIndex],36)+SUMIFS(T_TTAFStock[TTAF_Qty],T_TTAFStock[RM_Code],$A77,T_TTAFStock[WeekIndex],36),AJ77+'Grid_Incoming'!AK77-'Grid_Requirement'!AK77))</f>
        <v/>
      </c>
      <c r="AL77">
        <f>IF(COUNTIFS(T_StockCount[RM_Code],$A77,T_StockCount[WeekIndex],37)&gt;0,SUMIFS(T_StockCount[CountedQty],T_StockCount[RM_Code],$A77,T_StockCount[WeekIndex],37),IF((COUNTIFS(T_SelfStock[RM_Code],$A77,T_SelfStock[WeekIndex],37)&gt;0)*(COUNTIFS(T_TTAFStock[RM_Code],$A77,T_TTAFStock[WeekIndex],37)&gt;0)&gt;0,SUMIFS(T_SelfStock[Self_Qty],T_SelfStock[RM_Code],$A77,T_SelfStock[WeekIndex],37)+SUMIFS(T_TTAFStock[TTAF_Qty],T_TTAFStock[RM_Code],$A77,T_TTAFStock[WeekIndex],37),AK77+'Grid_Incoming'!AL77-'Grid_Requirement'!AL77))</f>
        <v/>
      </c>
      <c r="AM77">
        <f>IF(COUNTIFS(T_StockCount[RM_Code],$A77,T_StockCount[WeekIndex],38)&gt;0,SUMIFS(T_StockCount[CountedQty],T_StockCount[RM_Code],$A77,T_StockCount[WeekIndex],38),IF((COUNTIFS(T_SelfStock[RM_Code],$A77,T_SelfStock[WeekIndex],38)&gt;0)*(COUNTIFS(T_TTAFStock[RM_Code],$A77,T_TTAFStock[WeekIndex],38)&gt;0)&gt;0,SUMIFS(T_SelfStock[Self_Qty],T_SelfStock[RM_Code],$A77,T_SelfStock[WeekIndex],38)+SUMIFS(T_TTAFStock[TTAF_Qty],T_TTAFStock[RM_Code],$A77,T_TTAFStock[WeekIndex],38),AL77+'Grid_Incoming'!AM77-'Grid_Requirement'!AM77))</f>
        <v/>
      </c>
      <c r="AN77">
        <f>IF(COUNTIFS(T_StockCount[RM_Code],$A77,T_StockCount[WeekIndex],39)&gt;0,SUMIFS(T_StockCount[CountedQty],T_StockCount[RM_Code],$A77,T_StockCount[WeekIndex],39),IF((COUNTIFS(T_SelfStock[RM_Code],$A77,T_SelfStock[WeekIndex],39)&gt;0)*(COUNTIFS(T_TTAFStock[RM_Code],$A77,T_TTAFStock[WeekIndex],39)&gt;0)&gt;0,SUMIFS(T_SelfStock[Self_Qty],T_SelfStock[RM_Code],$A77,T_SelfStock[WeekIndex],39)+SUMIFS(T_TTAFStock[TTAF_Qty],T_TTAFStock[RM_Code],$A77,T_TTAFStock[WeekIndex],39),AM77+'Grid_Incoming'!AN77-'Grid_Requirement'!AN77))</f>
        <v/>
      </c>
      <c r="AO77">
        <f>IF(COUNTIFS(T_StockCount[RM_Code],$A77,T_StockCount[WeekIndex],40)&gt;0,SUMIFS(T_StockCount[CountedQty],T_StockCount[RM_Code],$A77,T_StockCount[WeekIndex],40),IF((COUNTIFS(T_SelfStock[RM_Code],$A77,T_SelfStock[WeekIndex],40)&gt;0)*(COUNTIFS(T_TTAFStock[RM_Code],$A77,T_TTAFStock[WeekIndex],40)&gt;0)&gt;0,SUMIFS(T_SelfStock[Self_Qty],T_SelfStock[RM_Code],$A77,T_SelfStock[WeekIndex],40)+SUMIFS(T_TTAFStock[TTAF_Qty],T_TTAFStock[RM_Code],$A77,T_TTAFStock[WeekIndex],40),AN77+'Grid_Incoming'!AO77-'Grid_Requirement'!AO77))</f>
        <v/>
      </c>
      <c r="AP77">
        <f>IF(COUNTIFS(T_StockCount[RM_Code],$A77,T_StockCount[WeekIndex],41)&gt;0,SUMIFS(T_StockCount[CountedQty],T_StockCount[RM_Code],$A77,T_StockCount[WeekIndex],41),IF((COUNTIFS(T_SelfStock[RM_Code],$A77,T_SelfStock[WeekIndex],41)&gt;0)*(COUNTIFS(T_TTAFStock[RM_Code],$A77,T_TTAFStock[WeekIndex],41)&gt;0)&gt;0,SUMIFS(T_SelfStock[Self_Qty],T_SelfStock[RM_Code],$A77,T_SelfStock[WeekIndex],41)+SUMIFS(T_TTAFStock[TTAF_Qty],T_TTAFStock[RM_Code],$A77,T_TTAFStock[WeekIndex],41),AO77+'Grid_Incoming'!AP77-'Grid_Requirement'!AP77))</f>
        <v/>
      </c>
      <c r="AQ77">
        <f>IF(COUNTIFS(T_StockCount[RM_Code],$A77,T_StockCount[WeekIndex],42)&gt;0,SUMIFS(T_StockCount[CountedQty],T_StockCount[RM_Code],$A77,T_StockCount[WeekIndex],42),IF((COUNTIFS(T_SelfStock[RM_Code],$A77,T_SelfStock[WeekIndex],42)&gt;0)*(COUNTIFS(T_TTAFStock[RM_Code],$A77,T_TTAFStock[WeekIndex],42)&gt;0)&gt;0,SUMIFS(T_SelfStock[Self_Qty],T_SelfStock[RM_Code],$A77,T_SelfStock[WeekIndex],42)+SUMIFS(T_TTAFStock[TTAF_Qty],T_TTAFStock[RM_Code],$A77,T_TTAFStock[WeekIndex],42),AP77+'Grid_Incoming'!AQ77-'Grid_Requirement'!AQ77))</f>
        <v/>
      </c>
      <c r="AR77">
        <f>IF(COUNTIFS(T_StockCount[RM_Code],$A77,T_StockCount[WeekIndex],43)&gt;0,SUMIFS(T_StockCount[CountedQty],T_StockCount[RM_Code],$A77,T_StockCount[WeekIndex],43),IF((COUNTIFS(T_SelfStock[RM_Code],$A77,T_SelfStock[WeekIndex],43)&gt;0)*(COUNTIFS(T_TTAFStock[RM_Code],$A77,T_TTAFStock[WeekIndex],43)&gt;0)&gt;0,SUMIFS(T_SelfStock[Self_Qty],T_SelfStock[RM_Code],$A77,T_SelfStock[WeekIndex],43)+SUMIFS(T_TTAFStock[TTAF_Qty],T_TTAFStock[RM_Code],$A77,T_TTAFStock[WeekIndex],43),AQ77+'Grid_Incoming'!AR77-'Grid_Requirement'!AR77))</f>
        <v/>
      </c>
      <c r="AS77">
        <f>IF(COUNTIFS(T_StockCount[RM_Code],$A77,T_StockCount[WeekIndex],44)&gt;0,SUMIFS(T_StockCount[CountedQty],T_StockCount[RM_Code],$A77,T_StockCount[WeekIndex],44),IF((COUNTIFS(T_SelfStock[RM_Code],$A77,T_SelfStock[WeekIndex],44)&gt;0)*(COUNTIFS(T_TTAFStock[RM_Code],$A77,T_TTAFStock[WeekIndex],44)&gt;0)&gt;0,SUMIFS(T_SelfStock[Self_Qty],T_SelfStock[RM_Code],$A77,T_SelfStock[WeekIndex],44)+SUMIFS(T_TTAFStock[TTAF_Qty],T_TTAFStock[RM_Code],$A77,T_TTAFStock[WeekIndex],44),AR77+'Grid_Incoming'!AS77-'Grid_Requirement'!AS77))</f>
        <v/>
      </c>
      <c r="AT77">
        <f>IF(COUNTIFS(T_StockCount[RM_Code],$A77,T_StockCount[WeekIndex],45)&gt;0,SUMIFS(T_StockCount[CountedQty],T_StockCount[RM_Code],$A77,T_StockCount[WeekIndex],45),IF((COUNTIFS(T_SelfStock[RM_Code],$A77,T_SelfStock[WeekIndex],45)&gt;0)*(COUNTIFS(T_TTAFStock[RM_Code],$A77,T_TTAFStock[WeekIndex],45)&gt;0)&gt;0,SUMIFS(T_SelfStock[Self_Qty],T_SelfStock[RM_Code],$A77,T_SelfStock[WeekIndex],45)+SUMIFS(T_TTAFStock[TTAF_Qty],T_TTAFStock[RM_Code],$A77,T_TTAFStock[WeekIndex],45),AS77+'Grid_Incoming'!AT77-'Grid_Requirement'!AT77))</f>
        <v/>
      </c>
      <c r="AU77">
        <f>IF(COUNTIFS(T_StockCount[RM_Code],$A77,T_StockCount[WeekIndex],46)&gt;0,SUMIFS(T_StockCount[CountedQty],T_StockCount[RM_Code],$A77,T_StockCount[WeekIndex],46),IF((COUNTIFS(T_SelfStock[RM_Code],$A77,T_SelfStock[WeekIndex],46)&gt;0)*(COUNTIFS(T_TTAFStock[RM_Code],$A77,T_TTAFStock[WeekIndex],46)&gt;0)&gt;0,SUMIFS(T_SelfStock[Self_Qty],T_SelfStock[RM_Code],$A77,T_SelfStock[WeekIndex],46)+SUMIFS(T_TTAFStock[TTAF_Qty],T_TTAFStock[RM_Code],$A77,T_TTAFStock[WeekIndex],46),AT77+'Grid_Incoming'!AU77-'Grid_Requirement'!AU77))</f>
        <v/>
      </c>
      <c r="AV77">
        <f>IF(COUNTIFS(T_StockCount[RM_Code],$A77,T_StockCount[WeekIndex],47)&gt;0,SUMIFS(T_StockCount[CountedQty],T_StockCount[RM_Code],$A77,T_StockCount[WeekIndex],47),IF((COUNTIFS(T_SelfStock[RM_Code],$A77,T_SelfStock[WeekIndex],47)&gt;0)*(COUNTIFS(T_TTAFStock[RM_Code],$A77,T_TTAFStock[WeekIndex],47)&gt;0)&gt;0,SUMIFS(T_SelfStock[Self_Qty],T_SelfStock[RM_Code],$A77,T_SelfStock[WeekIndex],47)+SUMIFS(T_TTAFStock[TTAF_Qty],T_TTAFStock[RM_Code],$A77,T_TTAFStock[WeekIndex],47),AU77+'Grid_Incoming'!AV77-'Grid_Requirement'!AV77))</f>
        <v/>
      </c>
      <c r="AW77">
        <f>IF(COUNTIFS(T_StockCount[RM_Code],$A77,T_StockCount[WeekIndex],48)&gt;0,SUMIFS(T_StockCount[CountedQty],T_StockCount[RM_Code],$A77,T_StockCount[WeekIndex],48),IF((COUNTIFS(T_SelfStock[RM_Code],$A77,T_SelfStock[WeekIndex],48)&gt;0)*(COUNTIFS(T_TTAFStock[RM_Code],$A77,T_TTAFStock[WeekIndex],48)&gt;0)&gt;0,SUMIFS(T_SelfStock[Self_Qty],T_SelfStock[RM_Code],$A77,T_SelfStock[WeekIndex],48)+SUMIFS(T_TTAFStock[TTAF_Qty],T_TTAFStock[RM_Code],$A77,T_TTAFStock[WeekIndex],48),AV77+'Grid_Incoming'!AW77-'Grid_Requirement'!AW77))</f>
        <v/>
      </c>
      <c r="AX77">
        <f>IF(COUNTIFS(T_StockCount[RM_Code],$A77,T_StockCount[WeekIndex],49)&gt;0,SUMIFS(T_StockCount[CountedQty],T_StockCount[RM_Code],$A77,T_StockCount[WeekIndex],49),IF((COUNTIFS(T_SelfStock[RM_Code],$A77,T_SelfStock[WeekIndex],49)&gt;0)*(COUNTIFS(T_TTAFStock[RM_Code],$A77,T_TTAFStock[WeekIndex],49)&gt;0)&gt;0,SUMIFS(T_SelfStock[Self_Qty],T_SelfStock[RM_Code],$A77,T_SelfStock[WeekIndex],49)+SUMIFS(T_TTAFStock[TTAF_Qty],T_TTAFStock[RM_Code],$A77,T_TTAFStock[WeekIndex],49),AW77+'Grid_Incoming'!AX77-'Grid_Requirement'!AX77))</f>
        <v/>
      </c>
      <c r="AY77">
        <f>IF(COUNTIFS(T_StockCount[RM_Code],$A77,T_StockCount[WeekIndex],50)&gt;0,SUMIFS(T_StockCount[CountedQty],T_StockCount[RM_Code],$A77,T_StockCount[WeekIndex],50),IF((COUNTIFS(T_SelfStock[RM_Code],$A77,T_SelfStock[WeekIndex],50)&gt;0)*(COUNTIFS(T_TTAFStock[RM_Code],$A77,T_TTAFStock[WeekIndex],50)&gt;0)&gt;0,SUMIFS(T_SelfStock[Self_Qty],T_SelfStock[RM_Code],$A77,T_SelfStock[WeekIndex],50)+SUMIFS(T_TTAFStock[TTAF_Qty],T_TTAFStock[RM_Code],$A77,T_TTAFStock[WeekIndex],50),AX77+'Grid_Incoming'!AY77-'Grid_Requirement'!AY77))</f>
        <v/>
      </c>
      <c r="AZ77">
        <f>IF(COUNTIFS(T_StockCount[RM_Code],$A77,T_StockCount[WeekIndex],51)&gt;0,SUMIFS(T_StockCount[CountedQty],T_StockCount[RM_Code],$A77,T_StockCount[WeekIndex],51),IF((COUNTIFS(T_SelfStock[RM_Code],$A77,T_SelfStock[WeekIndex],51)&gt;0)*(COUNTIFS(T_TTAFStock[RM_Code],$A77,T_TTAFStock[WeekIndex],51)&gt;0)&gt;0,SUMIFS(T_SelfStock[Self_Qty],T_SelfStock[RM_Code],$A77,T_SelfStock[WeekIndex],51)+SUMIFS(T_TTAFStock[TTAF_Qty],T_TTAFStock[RM_Code],$A77,T_TTAFStock[WeekIndex],51),AY77+'Grid_Incoming'!AZ77-'Grid_Requirement'!AZ77))</f>
        <v/>
      </c>
      <c r="BA77">
        <f>IF(COUNTIFS(T_StockCount[RM_Code],$A77,T_StockCount[WeekIndex],52)&gt;0,SUMIFS(T_StockCount[CountedQty],T_StockCount[RM_Code],$A77,T_StockCount[WeekIndex],52),IF((COUNTIFS(T_SelfStock[RM_Code],$A77,T_SelfStock[WeekIndex],52)&gt;0)*(COUNTIFS(T_TTAFStock[RM_Code],$A77,T_TTAFStock[WeekIndex],52)&gt;0)&gt;0,SUMIFS(T_SelfStock[Self_Qty],T_SelfStock[RM_Code],$A77,T_SelfStock[WeekIndex],52)+SUMIFS(T_TTAFStock[TTAF_Qty],T_TTAFStock[RM_Code],$A77,T_TTAFStock[WeekIndex],52),AZ77+'Grid_Incoming'!BA77-'Grid_Requirement'!BA77))</f>
        <v/>
      </c>
      <c r="BB77">
        <f>IF(COUNTIFS(T_StockCount[RM_Code],$A77,T_StockCount[WeekIndex],53)&gt;0,SUMIFS(T_StockCount[CountedQty],T_StockCount[RM_Code],$A77,T_StockCount[WeekIndex],53),IF((COUNTIFS(T_SelfStock[RM_Code],$A77,T_SelfStock[WeekIndex],53)&gt;0)*(COUNTIFS(T_TTAFStock[RM_Code],$A77,T_TTAFStock[WeekIndex],53)&gt;0)&gt;0,SUMIFS(T_SelfStock[Self_Qty],T_SelfStock[RM_Code],$A77,T_SelfStock[WeekIndex],53)+SUMIFS(T_TTAFStock[TTAF_Qty],T_TTAFStock[RM_Code],$A77,T_TTAFStock[WeekIndex],53),BA77+'Grid_Incoming'!BB77-'Grid_Requirement'!BB77))</f>
        <v/>
      </c>
      <c r="BC77">
        <f>IF(COUNTIFS(T_StockCount[RM_Code],$A77,T_StockCount[WeekIndex],54)&gt;0,SUMIFS(T_StockCount[CountedQty],T_StockCount[RM_Code],$A77,T_StockCount[WeekIndex],54),IF((COUNTIFS(T_SelfStock[RM_Code],$A77,T_SelfStock[WeekIndex],54)&gt;0)*(COUNTIFS(T_TTAFStock[RM_Code],$A77,T_TTAFStock[WeekIndex],54)&gt;0)&gt;0,SUMIFS(T_SelfStock[Self_Qty],T_SelfStock[RM_Code],$A77,T_SelfStock[WeekIndex],54)+SUMIFS(T_TTAFStock[TTAF_Qty],T_TTAFStock[RM_Code],$A77,T_TTAFStock[WeekIndex],54),BB77+'Grid_Incoming'!BC77-'Grid_Requirement'!BC77))</f>
        <v/>
      </c>
      <c r="BD77">
        <f>IF(COUNTIFS(T_StockCount[RM_Code],$A77,T_StockCount[WeekIndex],55)&gt;0,SUMIFS(T_StockCount[CountedQty],T_StockCount[RM_Code],$A77,T_StockCount[WeekIndex],55),IF((COUNTIFS(T_SelfStock[RM_Code],$A77,T_SelfStock[WeekIndex],55)&gt;0)*(COUNTIFS(T_TTAFStock[RM_Code],$A77,T_TTAFStock[WeekIndex],55)&gt;0)&gt;0,SUMIFS(T_SelfStock[Self_Qty],T_SelfStock[RM_Code],$A77,T_SelfStock[WeekIndex],55)+SUMIFS(T_TTAFStock[TTAF_Qty],T_TTAFStock[RM_Code],$A77,T_TTAFStock[WeekIndex],55),BC77+'Grid_Incoming'!BD77-'Grid_Requirement'!BD77))</f>
        <v/>
      </c>
      <c r="BE77">
        <f>IF(COUNTIFS(T_StockCount[RM_Code],$A77,T_StockCount[WeekIndex],56)&gt;0,SUMIFS(T_StockCount[CountedQty],T_StockCount[RM_Code],$A77,T_StockCount[WeekIndex],56),IF((COUNTIFS(T_SelfStock[RM_Code],$A77,T_SelfStock[WeekIndex],56)&gt;0)*(COUNTIFS(T_TTAFStock[RM_Code],$A77,T_TTAFStock[WeekIndex],56)&gt;0)&gt;0,SUMIFS(T_SelfStock[Self_Qty],T_SelfStock[RM_Code],$A77,T_SelfStock[WeekIndex],56)+SUMIFS(T_TTAFStock[TTAF_Qty],T_TTAFStock[RM_Code],$A77,T_TTAFStock[WeekIndex],56),BD77+'Grid_Incoming'!BE77-'Grid_Requirement'!BE77))</f>
        <v/>
      </c>
      <c r="BF77">
        <f>IF(COUNTIFS(T_StockCount[RM_Code],$A77,T_StockCount[WeekIndex],57)&gt;0,SUMIFS(T_StockCount[CountedQty],T_StockCount[RM_Code],$A77,T_StockCount[WeekIndex],57),IF((COUNTIFS(T_SelfStock[RM_Code],$A77,T_SelfStock[WeekIndex],57)&gt;0)*(COUNTIFS(T_TTAFStock[RM_Code],$A77,T_TTAFStock[WeekIndex],57)&gt;0)&gt;0,SUMIFS(T_SelfStock[Self_Qty],T_SelfStock[RM_Code],$A77,T_SelfStock[WeekIndex],57)+SUMIFS(T_TTAFStock[TTAF_Qty],T_TTAFStock[RM_Code],$A77,T_TTAFStock[WeekIndex],57),BE77+'Grid_Incoming'!BF77-'Grid_Requirement'!BF77))</f>
        <v/>
      </c>
      <c r="BG77">
        <f>IF(COUNTIFS(T_StockCount[RM_Code],$A77,T_StockCount[WeekIndex],58)&gt;0,SUMIFS(T_StockCount[CountedQty],T_StockCount[RM_Code],$A77,T_StockCount[WeekIndex],58),IF((COUNTIFS(T_SelfStock[RM_Code],$A77,T_SelfStock[WeekIndex],58)&gt;0)*(COUNTIFS(T_TTAFStock[RM_Code],$A77,T_TTAFStock[WeekIndex],58)&gt;0)&gt;0,SUMIFS(T_SelfStock[Self_Qty],T_SelfStock[RM_Code],$A77,T_SelfStock[WeekIndex],58)+SUMIFS(T_TTAFStock[TTAF_Qty],T_TTAFStock[RM_Code],$A77,T_TTAFStock[WeekIndex],58),BF77+'Grid_Incoming'!BG77-'Grid_Requirement'!BG77))</f>
        <v/>
      </c>
      <c r="BH77">
        <f>IF(COUNTIFS(T_StockCount[RM_Code],$A77,T_StockCount[WeekIndex],59)&gt;0,SUMIFS(T_StockCount[CountedQty],T_StockCount[RM_Code],$A77,T_StockCount[WeekIndex],59),IF((COUNTIFS(T_SelfStock[RM_Code],$A77,T_SelfStock[WeekIndex],59)&gt;0)*(COUNTIFS(T_TTAFStock[RM_Code],$A77,T_TTAFStock[WeekIndex],59)&gt;0)&gt;0,SUMIFS(T_SelfStock[Self_Qty],T_SelfStock[RM_Code],$A77,T_SelfStock[WeekIndex],59)+SUMIFS(T_TTAFStock[TTAF_Qty],T_TTAFStock[RM_Code],$A77,T_TTAFStock[WeekIndex],59),BG77+'Grid_Incoming'!BH77-'Grid_Requirement'!BH77))</f>
        <v/>
      </c>
      <c r="BI77">
        <f>IF(COUNTIFS(T_StockCount[RM_Code],$A77,T_StockCount[WeekIndex],60)&gt;0,SUMIFS(T_StockCount[CountedQty],T_StockCount[RM_Code],$A77,T_StockCount[WeekIndex],60),IF((COUNTIFS(T_SelfStock[RM_Code],$A77,T_SelfStock[WeekIndex],60)&gt;0)*(COUNTIFS(T_TTAFStock[RM_Code],$A77,T_TTAFStock[WeekIndex],60)&gt;0)&gt;0,SUMIFS(T_SelfStock[Self_Qty],T_SelfStock[RM_Code],$A77,T_SelfStock[WeekIndex],60)+SUMIFS(T_TTAFStock[TTAF_Qty],T_TTAFStock[RM_Code],$A77,T_TTAFStock[WeekIndex],60),BH77+'Grid_Incoming'!BI77-'Grid_Requirement'!BI77))</f>
        <v/>
      </c>
      <c r="BJ77">
        <f>IF(COUNTIFS(T_StockCount[RM_Code],$A77,T_StockCount[WeekIndex],61)&gt;0,SUMIFS(T_StockCount[CountedQty],T_StockCount[RM_Code],$A77,T_StockCount[WeekIndex],61),IF((COUNTIFS(T_SelfStock[RM_Code],$A77,T_SelfStock[WeekIndex],61)&gt;0)*(COUNTIFS(T_TTAFStock[RM_Code],$A77,T_TTAFStock[WeekIndex],61)&gt;0)&gt;0,SUMIFS(T_SelfStock[Self_Qty],T_SelfStock[RM_Code],$A77,T_SelfStock[WeekIndex],61)+SUMIFS(T_TTAFStock[TTAF_Qty],T_TTAFStock[RM_Code],$A77,T_TTAFStock[WeekIndex],61),BI77+'Grid_Incoming'!BJ77-'Grid_Requirement'!BJ77))</f>
        <v/>
      </c>
      <c r="BK77">
        <f>IF(COUNTIFS(T_StockCount[RM_Code],$A77,T_StockCount[WeekIndex],62)&gt;0,SUMIFS(T_StockCount[CountedQty],T_StockCount[RM_Code],$A77,T_StockCount[WeekIndex],62),IF((COUNTIFS(T_SelfStock[RM_Code],$A77,T_SelfStock[WeekIndex],62)&gt;0)*(COUNTIFS(T_TTAFStock[RM_Code],$A77,T_TTAFStock[WeekIndex],62)&gt;0)&gt;0,SUMIFS(T_SelfStock[Self_Qty],T_SelfStock[RM_Code],$A77,T_SelfStock[WeekIndex],62)+SUMIFS(T_TTAFStock[TTAF_Qty],T_TTAFStock[RM_Code],$A77,T_TTAFStock[WeekIndex],62),BJ77+'Grid_Incoming'!BK77-'Grid_Requirement'!BK77))</f>
        <v/>
      </c>
      <c r="BL77">
        <f>IF(COUNTIFS(T_StockCount[RM_Code],$A77,T_StockCount[WeekIndex],63)&gt;0,SUMIFS(T_StockCount[CountedQty],T_StockCount[RM_Code],$A77,T_StockCount[WeekIndex],63),IF((COUNTIFS(T_SelfStock[RM_Code],$A77,T_SelfStock[WeekIndex],63)&gt;0)*(COUNTIFS(T_TTAFStock[RM_Code],$A77,T_TTAFStock[WeekIndex],63)&gt;0)&gt;0,SUMIFS(T_SelfStock[Self_Qty],T_SelfStock[RM_Code],$A77,T_SelfStock[WeekIndex],63)+SUMIFS(T_TTAFStock[TTAF_Qty],T_TTAFStock[RM_Code],$A77,T_TTAFStock[WeekIndex],63),BK77+'Grid_Incoming'!BL77-'Grid_Requirement'!BL77))</f>
        <v/>
      </c>
      <c r="BM77">
        <f>IF(COUNTIFS(T_StockCount[RM_Code],$A77,T_StockCount[WeekIndex],64)&gt;0,SUMIFS(T_StockCount[CountedQty],T_StockCount[RM_Code],$A77,T_StockCount[WeekIndex],64),IF((COUNTIFS(T_SelfStock[RM_Code],$A77,T_SelfStock[WeekIndex],64)&gt;0)*(COUNTIFS(T_TTAFStock[RM_Code],$A77,T_TTAFStock[WeekIndex],64)&gt;0)&gt;0,SUMIFS(T_SelfStock[Self_Qty],T_SelfStock[RM_Code],$A77,T_SelfStock[WeekIndex],64)+SUMIFS(T_TTAFStock[TTAF_Qty],T_TTAFStock[RM_Code],$A77,T_TTAFStock[WeekIndex],64),BL77+'Grid_Incoming'!BM77-'Grid_Requirement'!BM77))</f>
        <v/>
      </c>
      <c r="BN77">
        <f>IF(COUNTIFS(T_StockCount[RM_Code],$A77,T_StockCount[WeekIndex],65)&gt;0,SUMIFS(T_StockCount[CountedQty],T_StockCount[RM_Code],$A77,T_StockCount[WeekIndex],65),IF((COUNTIFS(T_SelfStock[RM_Code],$A77,T_SelfStock[WeekIndex],65)&gt;0)*(COUNTIFS(T_TTAFStock[RM_Code],$A77,T_TTAFStock[WeekIndex],65)&gt;0)&gt;0,SUMIFS(T_SelfStock[Self_Qty],T_SelfStock[RM_Code],$A77,T_SelfStock[WeekIndex],65)+SUMIFS(T_TTAFStock[TTAF_Qty],T_TTAFStock[RM_Code],$A77,T_TTAFStock[WeekIndex],65),BM77+'Grid_Incoming'!BN77-'Grid_Requirement'!BN77))</f>
        <v/>
      </c>
      <c r="BO77">
        <f>IF(COUNTIFS(T_StockCount[RM_Code],$A77,T_StockCount[WeekIndex],66)&gt;0,SUMIFS(T_StockCount[CountedQty],T_StockCount[RM_Code],$A77,T_StockCount[WeekIndex],66),IF((COUNTIFS(T_SelfStock[RM_Code],$A77,T_SelfStock[WeekIndex],66)&gt;0)*(COUNTIFS(T_TTAFStock[RM_Code],$A77,T_TTAFStock[WeekIndex],66)&gt;0)&gt;0,SUMIFS(T_SelfStock[Self_Qty],T_SelfStock[RM_Code],$A77,T_SelfStock[WeekIndex],66)+SUMIFS(T_TTAFStock[TTAF_Qty],T_TTAFStock[RM_Code],$A77,T_TTAFStock[WeekIndex],66),BN77+'Grid_Incoming'!BO77-'Grid_Requirement'!BO77))</f>
        <v/>
      </c>
      <c r="BP77">
        <f>IF(COUNTIFS(T_StockCount[RM_Code],$A77,T_StockCount[WeekIndex],67)&gt;0,SUMIFS(T_StockCount[CountedQty],T_StockCount[RM_Code],$A77,T_StockCount[WeekIndex],67),IF((COUNTIFS(T_SelfStock[RM_Code],$A77,T_SelfStock[WeekIndex],67)&gt;0)*(COUNTIFS(T_TTAFStock[RM_Code],$A77,T_TTAFStock[WeekIndex],67)&gt;0)&gt;0,SUMIFS(T_SelfStock[Self_Qty],T_SelfStock[RM_Code],$A77,T_SelfStock[WeekIndex],67)+SUMIFS(T_TTAFStock[TTAF_Qty],T_TTAFStock[RM_Code],$A77,T_TTAFStock[WeekIndex],67),BO77+'Grid_Incoming'!BP77-'Grid_Requirement'!BP77))</f>
        <v/>
      </c>
      <c r="BQ77">
        <f>IF(COUNTIFS(T_StockCount[RM_Code],$A77,T_StockCount[WeekIndex],68)&gt;0,SUMIFS(T_StockCount[CountedQty],T_StockCount[RM_Code],$A77,T_StockCount[WeekIndex],68),IF((COUNTIFS(T_SelfStock[RM_Code],$A77,T_SelfStock[WeekIndex],68)&gt;0)*(COUNTIFS(T_TTAFStock[RM_Code],$A77,T_TTAFStock[WeekIndex],68)&gt;0)&gt;0,SUMIFS(T_SelfStock[Self_Qty],T_SelfStock[RM_Code],$A77,T_SelfStock[WeekIndex],68)+SUMIFS(T_TTAFStock[TTAF_Qty],T_TTAFStock[RM_Code],$A77,T_TTAFStock[WeekIndex],68),BP77+'Grid_Incoming'!BQ77-'Grid_Requirement'!BQ77))</f>
        <v/>
      </c>
      <c r="BR77">
        <f>IF(COUNTIFS(T_StockCount[RM_Code],$A77,T_StockCount[WeekIndex],69)&gt;0,SUMIFS(T_StockCount[CountedQty],T_StockCount[RM_Code],$A77,T_StockCount[WeekIndex],69),IF((COUNTIFS(T_SelfStock[RM_Code],$A77,T_SelfStock[WeekIndex],69)&gt;0)*(COUNTIFS(T_TTAFStock[RM_Code],$A77,T_TTAFStock[WeekIndex],69)&gt;0)&gt;0,SUMIFS(T_SelfStock[Self_Qty],T_SelfStock[RM_Code],$A77,T_SelfStock[WeekIndex],69)+SUMIFS(T_TTAFStock[TTAF_Qty],T_TTAFStock[RM_Code],$A77,T_TTAFStock[WeekIndex],69),BQ77+'Grid_Incoming'!BR77-'Grid_Requirement'!BR77))</f>
        <v/>
      </c>
      <c r="BS77">
        <f>IF(COUNTIFS(T_StockCount[RM_Code],$A77,T_StockCount[WeekIndex],70)&gt;0,SUMIFS(T_StockCount[CountedQty],T_StockCount[RM_Code],$A77,T_StockCount[WeekIndex],70),IF((COUNTIFS(T_SelfStock[RM_Code],$A77,T_SelfStock[WeekIndex],70)&gt;0)*(COUNTIFS(T_TTAFStock[RM_Code],$A77,T_TTAFStock[WeekIndex],70)&gt;0)&gt;0,SUMIFS(T_SelfStock[Self_Qty],T_SelfStock[RM_Code],$A77,T_SelfStock[WeekIndex],70)+SUMIFS(T_TTAFStock[TTAF_Qty],T_TTAFStock[RM_Code],$A77,T_TTAFStock[WeekIndex],70),BR77+'Grid_Incoming'!BS77-'Grid_Requirement'!BS77))</f>
        <v/>
      </c>
      <c r="BT77">
        <f>IF(COUNTIFS(T_StockCount[RM_Code],$A77,T_StockCount[WeekIndex],71)&gt;0,SUMIFS(T_StockCount[CountedQty],T_StockCount[RM_Code],$A77,T_StockCount[WeekIndex],71),IF((COUNTIFS(T_SelfStock[RM_Code],$A77,T_SelfStock[WeekIndex],71)&gt;0)*(COUNTIFS(T_TTAFStock[RM_Code],$A77,T_TTAFStock[WeekIndex],71)&gt;0)&gt;0,SUMIFS(T_SelfStock[Self_Qty],T_SelfStock[RM_Code],$A77,T_SelfStock[WeekIndex],71)+SUMIFS(T_TTAFStock[TTAF_Qty],T_TTAFStock[RM_Code],$A77,T_TTAFStock[WeekIndex],71),BS77+'Grid_Incoming'!BT77-'Grid_Requirement'!BT77))</f>
        <v/>
      </c>
      <c r="BU77">
        <f>IF(COUNTIFS(T_StockCount[RM_Code],$A77,T_StockCount[WeekIndex],72)&gt;0,SUMIFS(T_StockCount[CountedQty],T_StockCount[RM_Code],$A77,T_StockCount[WeekIndex],72),IF((COUNTIFS(T_SelfStock[RM_Code],$A77,T_SelfStock[WeekIndex],72)&gt;0)*(COUNTIFS(T_TTAFStock[RM_Code],$A77,T_TTAFStock[WeekIndex],72)&gt;0)&gt;0,SUMIFS(T_SelfStock[Self_Qty],T_SelfStock[RM_Code],$A77,T_SelfStock[WeekIndex],72)+SUMIFS(T_TTAFStock[TTAF_Qty],T_TTAFStock[RM_Code],$A77,T_TTAFStock[WeekIndex],72),BT77+'Grid_Incoming'!BU77-'Grid_Requirement'!BU77))</f>
        <v/>
      </c>
      <c r="BV77">
        <f>IF(COUNTIFS(T_StockCount[RM_Code],$A77,T_StockCount[WeekIndex],73)&gt;0,SUMIFS(T_StockCount[CountedQty],T_StockCount[RM_Code],$A77,T_StockCount[WeekIndex],73),IF((COUNTIFS(T_SelfStock[RM_Code],$A77,T_SelfStock[WeekIndex],73)&gt;0)*(COUNTIFS(T_TTAFStock[RM_Code],$A77,T_TTAFStock[WeekIndex],73)&gt;0)&gt;0,SUMIFS(T_SelfStock[Self_Qty],T_SelfStock[RM_Code],$A77,T_SelfStock[WeekIndex],73)+SUMIFS(T_TTAFStock[TTAF_Qty],T_TTAFStock[RM_Code],$A77,T_TTAFStock[WeekIndex],73),BU77+'Grid_Incoming'!BV77-'Grid_Requirement'!BV77))</f>
        <v/>
      </c>
      <c r="BW77">
        <f>IF(COUNTIFS(T_StockCount[RM_Code],$A77,T_StockCount[WeekIndex],74)&gt;0,SUMIFS(T_StockCount[CountedQty],T_StockCount[RM_Code],$A77,T_StockCount[WeekIndex],74),IF((COUNTIFS(T_SelfStock[RM_Code],$A77,T_SelfStock[WeekIndex],74)&gt;0)*(COUNTIFS(T_TTAFStock[RM_Code],$A77,T_TTAFStock[WeekIndex],74)&gt;0)&gt;0,SUMIFS(T_SelfStock[Self_Qty],T_SelfStock[RM_Code],$A77,T_SelfStock[WeekIndex],74)+SUMIFS(T_TTAFStock[TTAF_Qty],T_TTAFStock[RM_Code],$A77,T_TTAFStock[WeekIndex],74),BV77+'Grid_Incoming'!BW77-'Grid_Requirement'!BW77))</f>
        <v/>
      </c>
      <c r="BX77">
        <f>IF(COUNTIFS(T_StockCount[RM_Code],$A77,T_StockCount[WeekIndex],75)&gt;0,SUMIFS(T_StockCount[CountedQty],T_StockCount[RM_Code],$A77,T_StockCount[WeekIndex],75),IF((COUNTIFS(T_SelfStock[RM_Code],$A77,T_SelfStock[WeekIndex],75)&gt;0)*(COUNTIFS(T_TTAFStock[RM_Code],$A77,T_TTAFStock[WeekIndex],75)&gt;0)&gt;0,SUMIFS(T_SelfStock[Self_Qty],T_SelfStock[RM_Code],$A77,T_SelfStock[WeekIndex],75)+SUMIFS(T_TTAFStock[TTAF_Qty],T_TTAFStock[RM_Code],$A77,T_TTAFStock[WeekIndex],75),BW77+'Grid_Incoming'!BX77-'Grid_Requirement'!BX77))</f>
        <v/>
      </c>
      <c r="BY77">
        <f>IF(COUNTIFS(T_StockCount[RM_Code],$A77,T_StockCount[WeekIndex],76)&gt;0,SUMIFS(T_StockCount[CountedQty],T_StockCount[RM_Code],$A77,T_StockCount[WeekIndex],76),IF((COUNTIFS(T_SelfStock[RM_Code],$A77,T_SelfStock[WeekIndex],76)&gt;0)*(COUNTIFS(T_TTAFStock[RM_Code],$A77,T_TTAFStock[WeekIndex],76)&gt;0)&gt;0,SUMIFS(T_SelfStock[Self_Qty],T_SelfStock[RM_Code],$A77,T_SelfStock[WeekIndex],76)+SUMIFS(T_TTAFStock[TTAF_Qty],T_TTAFStock[RM_Code],$A77,T_TTAFStock[WeekIndex],76),BX77+'Grid_Incoming'!BY77-'Grid_Requirement'!BY77))</f>
        <v/>
      </c>
      <c r="BZ77">
        <f>IF(COUNTIFS(T_StockCount[RM_Code],$A77,T_StockCount[WeekIndex],77)&gt;0,SUMIFS(T_StockCount[CountedQty],T_StockCount[RM_Code],$A77,T_StockCount[WeekIndex],77),IF((COUNTIFS(T_SelfStock[RM_Code],$A77,T_SelfStock[WeekIndex],77)&gt;0)*(COUNTIFS(T_TTAFStock[RM_Code],$A77,T_TTAFStock[WeekIndex],77)&gt;0)&gt;0,SUMIFS(T_SelfStock[Self_Qty],T_SelfStock[RM_Code],$A77,T_SelfStock[WeekIndex],77)+SUMIFS(T_TTAFStock[TTAF_Qty],T_TTAFStock[RM_Code],$A77,T_TTAFStock[WeekIndex],77),BY77+'Grid_Incoming'!BZ77-'Grid_Requirement'!BZ77))</f>
        <v/>
      </c>
      <c r="CA77">
        <f>IF(COUNTIFS(T_StockCount[RM_Code],$A77,T_StockCount[WeekIndex],78)&gt;0,SUMIFS(T_StockCount[CountedQty],T_StockCount[RM_Code],$A77,T_StockCount[WeekIndex],78),IF((COUNTIFS(T_SelfStock[RM_Code],$A77,T_SelfStock[WeekIndex],78)&gt;0)*(COUNTIFS(T_TTAFStock[RM_Code],$A77,T_TTAFStock[WeekIndex],78)&gt;0)&gt;0,SUMIFS(T_SelfStock[Self_Qty],T_SelfStock[RM_Code],$A77,T_SelfStock[WeekIndex],78)+SUMIFS(T_TTAFStock[TTAF_Qty],T_TTAFStock[RM_Code],$A77,T_TTAFStock[WeekIndex],78),BZ77+'Grid_Incoming'!CA77-'Grid_Requirement'!CA77))</f>
        <v/>
      </c>
      <c r="CB77">
        <f>IF(COUNTIFS(T_StockCount[RM_Code],$A77,T_StockCount[WeekIndex],79)&gt;0,SUMIFS(T_StockCount[CountedQty],T_StockCount[RM_Code],$A77,T_StockCount[WeekIndex],79),IF((COUNTIFS(T_SelfStock[RM_Code],$A77,T_SelfStock[WeekIndex],79)&gt;0)*(COUNTIFS(T_TTAFStock[RM_Code],$A77,T_TTAFStock[WeekIndex],79)&gt;0)&gt;0,SUMIFS(T_SelfStock[Self_Qty],T_SelfStock[RM_Code],$A77,T_SelfStock[WeekIndex],79)+SUMIFS(T_TTAFStock[TTAF_Qty],T_TTAFStock[RM_Code],$A77,T_TTAFStock[WeekIndex],79),CA77+'Grid_Incoming'!CB77-'Grid_Requirement'!CB77))</f>
        <v/>
      </c>
      <c r="CC77">
        <f>IF(COUNTIFS(T_StockCount[RM_Code],$A77,T_StockCount[WeekIndex],80)&gt;0,SUMIFS(T_StockCount[CountedQty],T_StockCount[RM_Code],$A77,T_StockCount[WeekIndex],80),IF((COUNTIFS(T_SelfStock[RM_Code],$A77,T_SelfStock[WeekIndex],80)&gt;0)*(COUNTIFS(T_TTAFStock[RM_Code],$A77,T_TTAFStock[WeekIndex],80)&gt;0)&gt;0,SUMIFS(T_SelfStock[Self_Qty],T_SelfStock[RM_Code],$A77,T_SelfStock[WeekIndex],80)+SUMIFS(T_TTAFStock[TTAF_Qty],T_TTAFStock[RM_Code],$A77,T_TTAFStock[WeekIndex],80),CB77+'Grid_Incoming'!CC77-'Grid_Requirement'!CC77))</f>
        <v/>
      </c>
      <c r="CD77">
        <f>IF(COUNTIFS(T_StockCount[RM_Code],$A77,T_StockCount[WeekIndex],81)&gt;0,SUMIFS(T_StockCount[CountedQty],T_StockCount[RM_Code],$A77,T_StockCount[WeekIndex],81),IF((COUNTIFS(T_SelfStock[RM_Code],$A77,T_SelfStock[WeekIndex],81)&gt;0)*(COUNTIFS(T_TTAFStock[RM_Code],$A77,T_TTAFStock[WeekIndex],81)&gt;0)&gt;0,SUMIFS(T_SelfStock[Self_Qty],T_SelfStock[RM_Code],$A77,T_SelfStock[WeekIndex],81)+SUMIFS(T_TTAFStock[TTAF_Qty],T_TTAFStock[RM_Code],$A77,T_TTAFStock[WeekIndex],81),CC77+'Grid_Incoming'!CD77-'Grid_Requirement'!CD77))</f>
        <v/>
      </c>
      <c r="CE77">
        <f>IF(COUNTIFS(T_StockCount[RM_Code],$A77,T_StockCount[WeekIndex],82)&gt;0,SUMIFS(T_StockCount[CountedQty],T_StockCount[RM_Code],$A77,T_StockCount[WeekIndex],82),IF((COUNTIFS(T_SelfStock[RM_Code],$A77,T_SelfStock[WeekIndex],82)&gt;0)*(COUNTIFS(T_TTAFStock[RM_Code],$A77,T_TTAFStock[WeekIndex],82)&gt;0)&gt;0,SUMIFS(T_SelfStock[Self_Qty],T_SelfStock[RM_Code],$A77,T_SelfStock[WeekIndex],82)+SUMIFS(T_TTAFStock[TTAF_Qty],T_TTAFStock[RM_Code],$A77,T_TTAFStock[WeekIndex],82),CD77+'Grid_Incoming'!CE77-'Grid_Requirement'!CE77))</f>
        <v/>
      </c>
      <c r="CF77">
        <f>IF(COUNTIFS(T_StockCount[RM_Code],$A77,T_StockCount[WeekIndex],83)&gt;0,SUMIFS(T_StockCount[CountedQty],T_StockCount[RM_Code],$A77,T_StockCount[WeekIndex],83),IF((COUNTIFS(T_SelfStock[RM_Code],$A77,T_SelfStock[WeekIndex],83)&gt;0)*(COUNTIFS(T_TTAFStock[RM_Code],$A77,T_TTAFStock[WeekIndex],83)&gt;0)&gt;0,SUMIFS(T_SelfStock[Self_Qty],T_SelfStock[RM_Code],$A77,T_SelfStock[WeekIndex],83)+SUMIFS(T_TTAFStock[TTAF_Qty],T_TTAFStock[RM_Code],$A77,T_TTAFStock[WeekIndex],83),CE77+'Grid_Incoming'!CF77-'Grid_Requirement'!CF77))</f>
        <v/>
      </c>
      <c r="CG77">
        <f>IF(COUNTIFS(T_StockCount[RM_Code],$A77,T_StockCount[WeekIndex],84)&gt;0,SUMIFS(T_StockCount[CountedQty],T_StockCount[RM_Code],$A77,T_StockCount[WeekIndex],84),IF((COUNTIFS(T_SelfStock[RM_Code],$A77,T_SelfStock[WeekIndex],84)&gt;0)*(COUNTIFS(T_TTAFStock[RM_Code],$A77,T_TTAFStock[WeekIndex],84)&gt;0)&gt;0,SUMIFS(T_SelfStock[Self_Qty],T_SelfStock[RM_Code],$A77,T_SelfStock[WeekIndex],84)+SUMIFS(T_TTAFStock[TTAF_Qty],T_TTAFStock[RM_Code],$A77,T_TTAFStock[WeekIndex],84),CF77+'Grid_Incoming'!CG77-'Grid_Requirement'!CG77))</f>
        <v/>
      </c>
      <c r="CH77">
        <f>IF(COUNTIFS(T_StockCount[RM_Code],$A77,T_StockCount[WeekIndex],85)&gt;0,SUMIFS(T_StockCount[CountedQty],T_StockCount[RM_Code],$A77,T_StockCount[WeekIndex],85),IF((COUNTIFS(T_SelfStock[RM_Code],$A77,T_SelfStock[WeekIndex],85)&gt;0)*(COUNTIFS(T_TTAFStock[RM_Code],$A77,T_TTAFStock[WeekIndex],85)&gt;0)&gt;0,SUMIFS(T_SelfStock[Self_Qty],T_SelfStock[RM_Code],$A77,T_SelfStock[WeekIndex],85)+SUMIFS(T_TTAFStock[TTAF_Qty],T_TTAFStock[RM_Code],$A77,T_TTAFStock[WeekIndex],85),CG77+'Grid_Incoming'!CH77-'Grid_Requirement'!CH77))</f>
        <v/>
      </c>
      <c r="CI77">
        <f>IF(COUNTIFS(T_StockCount[RM_Code],$A77,T_StockCount[WeekIndex],86)&gt;0,SUMIFS(T_StockCount[CountedQty],T_StockCount[RM_Code],$A77,T_StockCount[WeekIndex],86),IF((COUNTIFS(T_SelfStock[RM_Code],$A77,T_SelfStock[WeekIndex],86)&gt;0)*(COUNTIFS(T_TTAFStock[RM_Code],$A77,T_TTAFStock[WeekIndex],86)&gt;0)&gt;0,SUMIFS(T_SelfStock[Self_Qty],T_SelfStock[RM_Code],$A77,T_SelfStock[WeekIndex],86)+SUMIFS(T_TTAFStock[TTAF_Qty],T_TTAFStock[RM_Code],$A77,T_TTAFStock[WeekIndex],86),CH77+'Grid_Incoming'!CI77-'Grid_Requirement'!CI77))</f>
        <v/>
      </c>
      <c r="CJ77">
        <f>IF(COUNTIFS(T_StockCount[RM_Code],$A77,T_StockCount[WeekIndex],87)&gt;0,SUMIFS(T_StockCount[CountedQty],T_StockCount[RM_Code],$A77,T_StockCount[WeekIndex],87),IF((COUNTIFS(T_SelfStock[RM_Code],$A77,T_SelfStock[WeekIndex],87)&gt;0)*(COUNTIFS(T_TTAFStock[RM_Code],$A77,T_TTAFStock[WeekIndex],87)&gt;0)&gt;0,SUMIFS(T_SelfStock[Self_Qty],T_SelfStock[RM_Code],$A77,T_SelfStock[WeekIndex],87)+SUMIFS(T_TTAFStock[TTAF_Qty],T_TTAFStock[RM_Code],$A77,T_TTAFStock[WeekIndex],87),CI77+'Grid_Incoming'!CJ77-'Grid_Requirement'!CJ77))</f>
        <v/>
      </c>
      <c r="CK77">
        <f>IF(COUNTIFS(T_StockCount[RM_Code],$A77,T_StockCount[WeekIndex],88)&gt;0,SUMIFS(T_StockCount[CountedQty],T_StockCount[RM_Code],$A77,T_StockCount[WeekIndex],88),IF((COUNTIFS(T_SelfStock[RM_Code],$A77,T_SelfStock[WeekIndex],88)&gt;0)*(COUNTIFS(T_TTAFStock[RM_Code],$A77,T_TTAFStock[WeekIndex],88)&gt;0)&gt;0,SUMIFS(T_SelfStock[Self_Qty],T_SelfStock[RM_Code],$A77,T_SelfStock[WeekIndex],88)+SUMIFS(T_TTAFStock[TTAF_Qty],T_TTAFStock[RM_Code],$A77,T_TTAFStock[WeekIndex],88),CJ77+'Grid_Incoming'!CK77-'Grid_Requirement'!CK77))</f>
        <v/>
      </c>
      <c r="CL77">
        <f>IF(COUNTIFS(T_StockCount[RM_Code],$A77,T_StockCount[WeekIndex],89)&gt;0,SUMIFS(T_StockCount[CountedQty],T_StockCount[RM_Code],$A77,T_StockCount[WeekIndex],89),IF((COUNTIFS(T_SelfStock[RM_Code],$A77,T_SelfStock[WeekIndex],89)&gt;0)*(COUNTIFS(T_TTAFStock[RM_Code],$A77,T_TTAFStock[WeekIndex],89)&gt;0)&gt;0,SUMIFS(T_SelfStock[Self_Qty],T_SelfStock[RM_Code],$A77,T_SelfStock[WeekIndex],89)+SUMIFS(T_TTAFStock[TTAF_Qty],T_TTAFStock[RM_Code],$A77,T_TTAFStock[WeekIndex],89),CK77+'Grid_Incoming'!CL77-'Grid_Requirement'!CL77))</f>
        <v/>
      </c>
      <c r="CM77">
        <f>IF(COUNTIFS(T_StockCount[RM_Code],$A77,T_StockCount[WeekIndex],90)&gt;0,SUMIFS(T_StockCount[CountedQty],T_StockCount[RM_Code],$A77,T_StockCount[WeekIndex],90),IF((COUNTIFS(T_SelfStock[RM_Code],$A77,T_SelfStock[WeekIndex],90)&gt;0)*(COUNTIFS(T_TTAFStock[RM_Code],$A77,T_TTAFStock[WeekIndex],90)&gt;0)&gt;0,SUMIFS(T_SelfStock[Self_Qty],T_SelfStock[RM_Code],$A77,T_SelfStock[WeekIndex],90)+SUMIFS(T_TTAFStock[TTAF_Qty],T_TTAFStock[RM_Code],$A77,T_TTAFStock[WeekIndex],90),CL77+'Grid_Incoming'!CM77-'Grid_Requirement'!CM77))</f>
        <v/>
      </c>
      <c r="CN77">
        <f>IF(COUNTIFS(T_StockCount[RM_Code],$A77,T_StockCount[WeekIndex],91)&gt;0,SUMIFS(T_StockCount[CountedQty],T_StockCount[RM_Code],$A77,T_StockCount[WeekIndex],91),IF((COUNTIFS(T_SelfStock[RM_Code],$A77,T_SelfStock[WeekIndex],91)&gt;0)*(COUNTIFS(T_TTAFStock[RM_Code],$A77,T_TTAFStock[WeekIndex],91)&gt;0)&gt;0,SUMIFS(T_SelfStock[Self_Qty],T_SelfStock[RM_Code],$A77,T_SelfStock[WeekIndex],91)+SUMIFS(T_TTAFStock[TTAF_Qty],T_TTAFStock[RM_Code],$A77,T_TTAFStock[WeekIndex],91),CM77+'Grid_Incoming'!CN77-'Grid_Requirement'!CN77))</f>
        <v/>
      </c>
      <c r="CO77">
        <f>IF(COUNTIFS(T_StockCount[RM_Code],$A77,T_StockCount[WeekIndex],92)&gt;0,SUMIFS(T_StockCount[CountedQty],T_StockCount[RM_Code],$A77,T_StockCount[WeekIndex],92),IF((COUNTIFS(T_SelfStock[RM_Code],$A77,T_SelfStock[WeekIndex],92)&gt;0)*(COUNTIFS(T_TTAFStock[RM_Code],$A77,T_TTAFStock[WeekIndex],92)&gt;0)&gt;0,SUMIFS(T_SelfStock[Self_Qty],T_SelfStock[RM_Code],$A77,T_SelfStock[WeekIndex],92)+SUMIFS(T_TTAFStock[TTAF_Qty],T_TTAFStock[RM_Code],$A77,T_TTAFStock[WeekIndex],92),CN77+'Grid_Incoming'!CO77-'Grid_Requirement'!CO77))</f>
        <v/>
      </c>
      <c r="CP77">
        <f>IF(COUNTIFS(T_StockCount[RM_Code],$A77,T_StockCount[WeekIndex],93)&gt;0,SUMIFS(T_StockCount[CountedQty],T_StockCount[RM_Code],$A77,T_StockCount[WeekIndex],93),IF((COUNTIFS(T_SelfStock[RM_Code],$A77,T_SelfStock[WeekIndex],93)&gt;0)*(COUNTIFS(T_TTAFStock[RM_Code],$A77,T_TTAFStock[WeekIndex],93)&gt;0)&gt;0,SUMIFS(T_SelfStock[Self_Qty],T_SelfStock[RM_Code],$A77,T_SelfStock[WeekIndex],93)+SUMIFS(T_TTAFStock[TTAF_Qty],T_TTAFStock[RM_Code],$A77,T_TTAFStock[WeekIndex],93),CO77+'Grid_Incoming'!CP77-'Grid_Requirement'!CP77))</f>
        <v/>
      </c>
      <c r="CQ77">
        <f>IF(COUNTIFS(T_StockCount[RM_Code],$A77,T_StockCount[WeekIndex],94)&gt;0,SUMIFS(T_StockCount[CountedQty],T_StockCount[RM_Code],$A77,T_StockCount[WeekIndex],94),IF((COUNTIFS(T_SelfStock[RM_Code],$A77,T_SelfStock[WeekIndex],94)&gt;0)*(COUNTIFS(T_TTAFStock[RM_Code],$A77,T_TTAFStock[WeekIndex],94)&gt;0)&gt;0,SUMIFS(T_SelfStock[Self_Qty],T_SelfStock[RM_Code],$A77,T_SelfStock[WeekIndex],94)+SUMIFS(T_TTAFStock[TTAF_Qty],T_TTAFStock[RM_Code],$A77,T_TTAFStock[WeekIndex],94),CP77+'Grid_Incoming'!CQ77-'Grid_Requirement'!CQ77))</f>
        <v/>
      </c>
      <c r="CR77">
        <f>IF(COUNTIFS(T_StockCount[RM_Code],$A77,T_StockCount[WeekIndex],95)&gt;0,SUMIFS(T_StockCount[CountedQty],T_StockCount[RM_Code],$A77,T_StockCount[WeekIndex],95),IF((COUNTIFS(T_SelfStock[RM_Code],$A77,T_SelfStock[WeekIndex],95)&gt;0)*(COUNTIFS(T_TTAFStock[RM_Code],$A77,T_TTAFStock[WeekIndex],95)&gt;0)&gt;0,SUMIFS(T_SelfStock[Self_Qty],T_SelfStock[RM_Code],$A77,T_SelfStock[WeekIndex],95)+SUMIFS(T_TTAFStock[TTAF_Qty],T_TTAFStock[RM_Code],$A77,T_TTAFStock[WeekIndex],95),CQ77+'Grid_Incoming'!CR77-'Grid_Requirement'!CR77))</f>
        <v/>
      </c>
      <c r="CS77">
        <f>IF(COUNTIFS(T_StockCount[RM_Code],$A77,T_StockCount[WeekIndex],96)&gt;0,SUMIFS(T_StockCount[CountedQty],T_StockCount[RM_Code],$A77,T_StockCount[WeekIndex],96),IF((COUNTIFS(T_SelfStock[RM_Code],$A77,T_SelfStock[WeekIndex],96)&gt;0)*(COUNTIFS(T_TTAFStock[RM_Code],$A77,T_TTAFStock[WeekIndex],96)&gt;0)&gt;0,SUMIFS(T_SelfStock[Self_Qty],T_SelfStock[RM_Code],$A77,T_SelfStock[WeekIndex],96)+SUMIFS(T_TTAFStock[TTAF_Qty],T_TTAFStock[RM_Code],$A77,T_TTAFStock[WeekIndex],96),CR77+'Grid_Incoming'!CS77-'Grid_Requirement'!CS77))</f>
        <v/>
      </c>
      <c r="CT77">
        <f>IF(COUNTIFS(T_StockCount[RM_Code],$A77,T_StockCount[WeekIndex],97)&gt;0,SUMIFS(T_StockCount[CountedQty],T_StockCount[RM_Code],$A77,T_StockCount[WeekIndex],97),IF((COUNTIFS(T_SelfStock[RM_Code],$A77,T_SelfStock[WeekIndex],97)&gt;0)*(COUNTIFS(T_TTAFStock[RM_Code],$A77,T_TTAFStock[WeekIndex],97)&gt;0)&gt;0,SUMIFS(T_SelfStock[Self_Qty],T_SelfStock[RM_Code],$A77,T_SelfStock[WeekIndex],97)+SUMIFS(T_TTAFStock[TTAF_Qty],T_TTAFStock[RM_Code],$A77,T_TTAFStock[WeekIndex],97),CS77+'Grid_Incoming'!CT77-'Grid_Requirement'!CT77))</f>
        <v/>
      </c>
      <c r="CU77">
        <f>IF(COUNTIFS(T_StockCount[RM_Code],$A77,T_StockCount[WeekIndex],98)&gt;0,SUMIFS(T_StockCount[CountedQty],T_StockCount[RM_Code],$A77,T_StockCount[WeekIndex],98),IF((COUNTIFS(T_SelfStock[RM_Code],$A77,T_SelfStock[WeekIndex],98)&gt;0)*(COUNTIFS(T_TTAFStock[RM_Code],$A77,T_TTAFStock[WeekIndex],98)&gt;0)&gt;0,SUMIFS(T_SelfStock[Self_Qty],T_SelfStock[RM_Code],$A77,T_SelfStock[WeekIndex],98)+SUMIFS(T_TTAFStock[TTAF_Qty],T_TTAFStock[RM_Code],$A77,T_TTAFStock[WeekIndex],98),CT77+'Grid_Incoming'!CU77-'Grid_Requirement'!CU77))</f>
        <v/>
      </c>
      <c r="CV77">
        <f>IF(COUNTIFS(T_StockCount[RM_Code],$A77,T_StockCount[WeekIndex],99)&gt;0,SUMIFS(T_StockCount[CountedQty],T_StockCount[RM_Code],$A77,T_StockCount[WeekIndex],99),IF((COUNTIFS(T_SelfStock[RM_Code],$A77,T_SelfStock[WeekIndex],99)&gt;0)*(COUNTIFS(T_TTAFStock[RM_Code],$A77,T_TTAFStock[WeekIndex],99)&gt;0)&gt;0,SUMIFS(T_SelfStock[Self_Qty],T_SelfStock[RM_Code],$A77,T_SelfStock[WeekIndex],99)+SUMIFS(T_TTAFStock[TTAF_Qty],T_TTAFStock[RM_Code],$A77,T_TTAFStock[WeekIndex],99),CU77+'Grid_Incoming'!CV77-'Grid_Requirement'!CV77))</f>
        <v/>
      </c>
      <c r="CW77">
        <f>IF(COUNTIFS(T_StockCount[RM_Code],$A77,T_StockCount[WeekIndex],100)&gt;0,SUMIFS(T_StockCount[CountedQty],T_StockCount[RM_Code],$A77,T_StockCount[WeekIndex],100),IF((COUNTIFS(T_SelfStock[RM_Code],$A77,T_SelfStock[WeekIndex],100)&gt;0)*(COUNTIFS(T_TTAFStock[RM_Code],$A77,T_TTAFStock[WeekIndex],100)&gt;0)&gt;0,SUMIFS(T_SelfStock[Self_Qty],T_SelfStock[RM_Code],$A77,T_SelfStock[WeekIndex],100)+SUMIFS(T_TTAFStock[TTAF_Qty],T_TTAFStock[RM_Code],$A77,T_TTAFStock[WeekIndex],100),CV77+'Grid_Incoming'!CW77-'Grid_Requirement'!CW77))</f>
        <v/>
      </c>
      <c r="CX77">
        <f>IF(COUNTIFS(T_StockCount[RM_Code],$A77,T_StockCount[WeekIndex],101)&gt;0,SUMIFS(T_StockCount[CountedQty],T_StockCount[RM_Code],$A77,T_StockCount[WeekIndex],101),IF((COUNTIFS(T_SelfStock[RM_Code],$A77,T_SelfStock[WeekIndex],101)&gt;0)*(COUNTIFS(T_TTAFStock[RM_Code],$A77,T_TTAFStock[WeekIndex],101)&gt;0)&gt;0,SUMIFS(T_SelfStock[Self_Qty],T_SelfStock[RM_Code],$A77,T_SelfStock[WeekIndex],101)+SUMIFS(T_TTAFStock[TTAF_Qty],T_TTAFStock[RM_Code],$A77,T_TTAFStock[WeekIndex],101),CW77+'Grid_Incoming'!CX77-'Grid_Requirement'!CX77))</f>
        <v/>
      </c>
      <c r="CY77">
        <f>IF(COUNTIFS(T_StockCount[RM_Code],$A77,T_StockCount[WeekIndex],102)&gt;0,SUMIFS(T_StockCount[CountedQty],T_StockCount[RM_Code],$A77,T_StockCount[WeekIndex],102),IF((COUNTIFS(T_SelfStock[RM_Code],$A77,T_SelfStock[WeekIndex],102)&gt;0)*(COUNTIFS(T_TTAFStock[RM_Code],$A77,T_TTAFStock[WeekIndex],102)&gt;0)&gt;0,SUMIFS(T_SelfStock[Self_Qty],T_SelfStock[RM_Code],$A77,T_SelfStock[WeekIndex],102)+SUMIFS(T_TTAFStock[TTAF_Qty],T_TTAFStock[RM_Code],$A77,T_TTAFStock[WeekIndex],102),CX77+'Grid_Incoming'!CY77-'Grid_Requirement'!CY77))</f>
        <v/>
      </c>
      <c r="CZ77">
        <f>IF(COUNTIFS(T_StockCount[RM_Code],$A77,T_StockCount[WeekIndex],103)&gt;0,SUMIFS(T_StockCount[CountedQty],T_StockCount[RM_Code],$A77,T_StockCount[WeekIndex],103),IF((COUNTIFS(T_SelfStock[RM_Code],$A77,T_SelfStock[WeekIndex],103)&gt;0)*(COUNTIFS(T_TTAFStock[RM_Code],$A77,T_TTAFStock[WeekIndex],103)&gt;0)&gt;0,SUMIFS(T_SelfStock[Self_Qty],T_SelfStock[RM_Code],$A77,T_SelfStock[WeekIndex],103)+SUMIFS(T_TTAFStock[TTAF_Qty],T_TTAFStock[RM_Code],$A77,T_TTAFStock[WeekIndex],103),CY77+'Grid_Incoming'!CZ77-'Grid_Requirement'!CZ77))</f>
        <v/>
      </c>
      <c r="DA77">
        <f>IF(COUNTIFS(T_StockCount[RM_Code],$A77,T_StockCount[WeekIndex],104)&gt;0,SUMIFS(T_StockCount[CountedQty],T_StockCount[RM_Code],$A77,T_StockCount[WeekIndex],104),IF((COUNTIFS(T_SelfStock[RM_Code],$A77,T_SelfStock[WeekIndex],104)&gt;0)*(COUNTIFS(T_TTAFStock[RM_Code],$A77,T_TTAFStock[WeekIndex],104)&gt;0)&gt;0,SUMIFS(T_SelfStock[Self_Qty],T_SelfStock[RM_Code],$A77,T_SelfStock[WeekIndex],104)+SUMIFS(T_TTAFStock[TTAF_Qty],T_TTAFStock[RM_Code],$A77,T_TTAFStock[WeekIndex],104),CZ77+'Grid_Incoming'!DA77-'Grid_Requirement'!DA77))</f>
        <v/>
      </c>
    </row>
    <row r="78">
      <c r="A78" t="inlineStr">
        <is>
          <t>Chem-1610</t>
        </is>
      </c>
      <c r="B78">
        <f>IF(COUNTIFS(T_StockCount[RM_Code],$A78,T_StockCount[WeekIndex],1)&gt;0,SUMIFS(T_StockCount[CountedQty],T_StockCount[RM_Code],$A78,T_StockCount[WeekIndex],1),IF((COUNTIFS(T_SelfStock[RM_Code],$A78,T_SelfStock[WeekIndex],1)&gt;0)*(COUNTIFS(T_TTAFStock[RM_Code],$A78,T_TTAFStock[WeekIndex],1)&gt;0)&gt;0,SUMIFS(T_SelfStock[Self_Qty],T_SelfStock[RM_Code],$A78,T_SelfStock[WeekIndex],1)+SUMIFS(T_TTAFStock[TTAF_Qty],T_TTAFStock[RM_Code],$A78,T_TTAFStock[WeekIndex],1),IFERROR(INDEX(T_OpeningStock[Opening_Qty],MATCH($A78,T_OpeningStock[RM_Code],0)),0)+'Grid_Incoming'!B78-'Grid_Requirement'!B78))</f>
        <v/>
      </c>
      <c r="C78">
        <f>IF(COUNTIFS(T_StockCount[RM_Code],$A78,T_StockCount[WeekIndex],2)&gt;0,SUMIFS(T_StockCount[CountedQty],T_StockCount[RM_Code],$A78,T_StockCount[WeekIndex],2),IF((COUNTIFS(T_SelfStock[RM_Code],$A78,T_SelfStock[WeekIndex],2)&gt;0)*(COUNTIFS(T_TTAFStock[RM_Code],$A78,T_TTAFStock[WeekIndex],2)&gt;0)&gt;0,SUMIFS(T_SelfStock[Self_Qty],T_SelfStock[RM_Code],$A78,T_SelfStock[WeekIndex],2)+SUMIFS(T_TTAFStock[TTAF_Qty],T_TTAFStock[RM_Code],$A78,T_TTAFStock[WeekIndex],2),B78+'Grid_Incoming'!C78-'Grid_Requirement'!C78))</f>
        <v/>
      </c>
      <c r="D78">
        <f>IF(COUNTIFS(T_StockCount[RM_Code],$A78,T_StockCount[WeekIndex],3)&gt;0,SUMIFS(T_StockCount[CountedQty],T_StockCount[RM_Code],$A78,T_StockCount[WeekIndex],3),IF((COUNTIFS(T_SelfStock[RM_Code],$A78,T_SelfStock[WeekIndex],3)&gt;0)*(COUNTIFS(T_TTAFStock[RM_Code],$A78,T_TTAFStock[WeekIndex],3)&gt;0)&gt;0,SUMIFS(T_SelfStock[Self_Qty],T_SelfStock[RM_Code],$A78,T_SelfStock[WeekIndex],3)+SUMIFS(T_TTAFStock[TTAF_Qty],T_TTAFStock[RM_Code],$A78,T_TTAFStock[WeekIndex],3),C78+'Grid_Incoming'!D78-'Grid_Requirement'!D78))</f>
        <v/>
      </c>
      <c r="E78">
        <f>IF(COUNTIFS(T_StockCount[RM_Code],$A78,T_StockCount[WeekIndex],4)&gt;0,SUMIFS(T_StockCount[CountedQty],T_StockCount[RM_Code],$A78,T_StockCount[WeekIndex],4),IF((COUNTIFS(T_SelfStock[RM_Code],$A78,T_SelfStock[WeekIndex],4)&gt;0)*(COUNTIFS(T_TTAFStock[RM_Code],$A78,T_TTAFStock[WeekIndex],4)&gt;0)&gt;0,SUMIFS(T_SelfStock[Self_Qty],T_SelfStock[RM_Code],$A78,T_SelfStock[WeekIndex],4)+SUMIFS(T_TTAFStock[TTAF_Qty],T_TTAFStock[RM_Code],$A78,T_TTAFStock[WeekIndex],4),D78+'Grid_Incoming'!E78-'Grid_Requirement'!E78))</f>
        <v/>
      </c>
      <c r="F78">
        <f>IF(COUNTIFS(T_StockCount[RM_Code],$A78,T_StockCount[WeekIndex],5)&gt;0,SUMIFS(T_StockCount[CountedQty],T_StockCount[RM_Code],$A78,T_StockCount[WeekIndex],5),IF((COUNTIFS(T_SelfStock[RM_Code],$A78,T_SelfStock[WeekIndex],5)&gt;0)*(COUNTIFS(T_TTAFStock[RM_Code],$A78,T_TTAFStock[WeekIndex],5)&gt;0)&gt;0,SUMIFS(T_SelfStock[Self_Qty],T_SelfStock[RM_Code],$A78,T_SelfStock[WeekIndex],5)+SUMIFS(T_TTAFStock[TTAF_Qty],T_TTAFStock[RM_Code],$A78,T_TTAFStock[WeekIndex],5),E78+'Grid_Incoming'!F78-'Grid_Requirement'!F78))</f>
        <v/>
      </c>
      <c r="G78">
        <f>IF(COUNTIFS(T_StockCount[RM_Code],$A78,T_StockCount[WeekIndex],6)&gt;0,SUMIFS(T_StockCount[CountedQty],T_StockCount[RM_Code],$A78,T_StockCount[WeekIndex],6),IF((COUNTIFS(T_SelfStock[RM_Code],$A78,T_SelfStock[WeekIndex],6)&gt;0)*(COUNTIFS(T_TTAFStock[RM_Code],$A78,T_TTAFStock[WeekIndex],6)&gt;0)&gt;0,SUMIFS(T_SelfStock[Self_Qty],T_SelfStock[RM_Code],$A78,T_SelfStock[WeekIndex],6)+SUMIFS(T_TTAFStock[TTAF_Qty],T_TTAFStock[RM_Code],$A78,T_TTAFStock[WeekIndex],6),F78+'Grid_Incoming'!G78-'Grid_Requirement'!G78))</f>
        <v/>
      </c>
      <c r="H78">
        <f>IF(COUNTIFS(T_StockCount[RM_Code],$A78,T_StockCount[WeekIndex],7)&gt;0,SUMIFS(T_StockCount[CountedQty],T_StockCount[RM_Code],$A78,T_StockCount[WeekIndex],7),IF((COUNTIFS(T_SelfStock[RM_Code],$A78,T_SelfStock[WeekIndex],7)&gt;0)*(COUNTIFS(T_TTAFStock[RM_Code],$A78,T_TTAFStock[WeekIndex],7)&gt;0)&gt;0,SUMIFS(T_SelfStock[Self_Qty],T_SelfStock[RM_Code],$A78,T_SelfStock[WeekIndex],7)+SUMIFS(T_TTAFStock[TTAF_Qty],T_TTAFStock[RM_Code],$A78,T_TTAFStock[WeekIndex],7),G78+'Grid_Incoming'!H78-'Grid_Requirement'!H78))</f>
        <v/>
      </c>
      <c r="I78">
        <f>IF(COUNTIFS(T_StockCount[RM_Code],$A78,T_StockCount[WeekIndex],8)&gt;0,SUMIFS(T_StockCount[CountedQty],T_StockCount[RM_Code],$A78,T_StockCount[WeekIndex],8),IF((COUNTIFS(T_SelfStock[RM_Code],$A78,T_SelfStock[WeekIndex],8)&gt;0)*(COUNTIFS(T_TTAFStock[RM_Code],$A78,T_TTAFStock[WeekIndex],8)&gt;0)&gt;0,SUMIFS(T_SelfStock[Self_Qty],T_SelfStock[RM_Code],$A78,T_SelfStock[WeekIndex],8)+SUMIFS(T_TTAFStock[TTAF_Qty],T_TTAFStock[RM_Code],$A78,T_TTAFStock[WeekIndex],8),H78+'Grid_Incoming'!I78-'Grid_Requirement'!I78))</f>
        <v/>
      </c>
      <c r="J78">
        <f>IF(COUNTIFS(T_StockCount[RM_Code],$A78,T_StockCount[WeekIndex],9)&gt;0,SUMIFS(T_StockCount[CountedQty],T_StockCount[RM_Code],$A78,T_StockCount[WeekIndex],9),IF((COUNTIFS(T_SelfStock[RM_Code],$A78,T_SelfStock[WeekIndex],9)&gt;0)*(COUNTIFS(T_TTAFStock[RM_Code],$A78,T_TTAFStock[WeekIndex],9)&gt;0)&gt;0,SUMIFS(T_SelfStock[Self_Qty],T_SelfStock[RM_Code],$A78,T_SelfStock[WeekIndex],9)+SUMIFS(T_TTAFStock[TTAF_Qty],T_TTAFStock[RM_Code],$A78,T_TTAFStock[WeekIndex],9),I78+'Grid_Incoming'!J78-'Grid_Requirement'!J78))</f>
        <v/>
      </c>
      <c r="K78">
        <f>IF(COUNTIFS(T_StockCount[RM_Code],$A78,T_StockCount[WeekIndex],10)&gt;0,SUMIFS(T_StockCount[CountedQty],T_StockCount[RM_Code],$A78,T_StockCount[WeekIndex],10),IF((COUNTIFS(T_SelfStock[RM_Code],$A78,T_SelfStock[WeekIndex],10)&gt;0)*(COUNTIFS(T_TTAFStock[RM_Code],$A78,T_TTAFStock[WeekIndex],10)&gt;0)&gt;0,SUMIFS(T_SelfStock[Self_Qty],T_SelfStock[RM_Code],$A78,T_SelfStock[WeekIndex],10)+SUMIFS(T_TTAFStock[TTAF_Qty],T_TTAFStock[RM_Code],$A78,T_TTAFStock[WeekIndex],10),J78+'Grid_Incoming'!K78-'Grid_Requirement'!K78))</f>
        <v/>
      </c>
      <c r="L78">
        <f>IF(COUNTIFS(T_StockCount[RM_Code],$A78,T_StockCount[WeekIndex],11)&gt;0,SUMIFS(T_StockCount[CountedQty],T_StockCount[RM_Code],$A78,T_StockCount[WeekIndex],11),IF((COUNTIFS(T_SelfStock[RM_Code],$A78,T_SelfStock[WeekIndex],11)&gt;0)*(COUNTIFS(T_TTAFStock[RM_Code],$A78,T_TTAFStock[WeekIndex],11)&gt;0)&gt;0,SUMIFS(T_SelfStock[Self_Qty],T_SelfStock[RM_Code],$A78,T_SelfStock[WeekIndex],11)+SUMIFS(T_TTAFStock[TTAF_Qty],T_TTAFStock[RM_Code],$A78,T_TTAFStock[WeekIndex],11),K78+'Grid_Incoming'!L78-'Grid_Requirement'!L78))</f>
        <v/>
      </c>
      <c r="M78">
        <f>IF(COUNTIFS(T_StockCount[RM_Code],$A78,T_StockCount[WeekIndex],12)&gt;0,SUMIFS(T_StockCount[CountedQty],T_StockCount[RM_Code],$A78,T_StockCount[WeekIndex],12),IF((COUNTIFS(T_SelfStock[RM_Code],$A78,T_SelfStock[WeekIndex],12)&gt;0)*(COUNTIFS(T_TTAFStock[RM_Code],$A78,T_TTAFStock[WeekIndex],12)&gt;0)&gt;0,SUMIFS(T_SelfStock[Self_Qty],T_SelfStock[RM_Code],$A78,T_SelfStock[WeekIndex],12)+SUMIFS(T_TTAFStock[TTAF_Qty],T_TTAFStock[RM_Code],$A78,T_TTAFStock[WeekIndex],12),L78+'Grid_Incoming'!M78-'Grid_Requirement'!M78))</f>
        <v/>
      </c>
      <c r="N78">
        <f>IF(COUNTIFS(T_StockCount[RM_Code],$A78,T_StockCount[WeekIndex],13)&gt;0,SUMIFS(T_StockCount[CountedQty],T_StockCount[RM_Code],$A78,T_StockCount[WeekIndex],13),IF((COUNTIFS(T_SelfStock[RM_Code],$A78,T_SelfStock[WeekIndex],13)&gt;0)*(COUNTIFS(T_TTAFStock[RM_Code],$A78,T_TTAFStock[WeekIndex],13)&gt;0)&gt;0,SUMIFS(T_SelfStock[Self_Qty],T_SelfStock[RM_Code],$A78,T_SelfStock[WeekIndex],13)+SUMIFS(T_TTAFStock[TTAF_Qty],T_TTAFStock[RM_Code],$A78,T_TTAFStock[WeekIndex],13),M78+'Grid_Incoming'!N78-'Grid_Requirement'!N78))</f>
        <v/>
      </c>
      <c r="O78">
        <f>IF(COUNTIFS(T_StockCount[RM_Code],$A78,T_StockCount[WeekIndex],14)&gt;0,SUMIFS(T_StockCount[CountedQty],T_StockCount[RM_Code],$A78,T_StockCount[WeekIndex],14),IF((COUNTIFS(T_SelfStock[RM_Code],$A78,T_SelfStock[WeekIndex],14)&gt;0)*(COUNTIFS(T_TTAFStock[RM_Code],$A78,T_TTAFStock[WeekIndex],14)&gt;0)&gt;0,SUMIFS(T_SelfStock[Self_Qty],T_SelfStock[RM_Code],$A78,T_SelfStock[WeekIndex],14)+SUMIFS(T_TTAFStock[TTAF_Qty],T_TTAFStock[RM_Code],$A78,T_TTAFStock[WeekIndex],14),N78+'Grid_Incoming'!O78-'Grid_Requirement'!O78))</f>
        <v/>
      </c>
      <c r="P78">
        <f>IF(COUNTIFS(T_StockCount[RM_Code],$A78,T_StockCount[WeekIndex],15)&gt;0,SUMIFS(T_StockCount[CountedQty],T_StockCount[RM_Code],$A78,T_StockCount[WeekIndex],15),IF((COUNTIFS(T_SelfStock[RM_Code],$A78,T_SelfStock[WeekIndex],15)&gt;0)*(COUNTIFS(T_TTAFStock[RM_Code],$A78,T_TTAFStock[WeekIndex],15)&gt;0)&gt;0,SUMIFS(T_SelfStock[Self_Qty],T_SelfStock[RM_Code],$A78,T_SelfStock[WeekIndex],15)+SUMIFS(T_TTAFStock[TTAF_Qty],T_TTAFStock[RM_Code],$A78,T_TTAFStock[WeekIndex],15),O78+'Grid_Incoming'!P78-'Grid_Requirement'!P78))</f>
        <v/>
      </c>
      <c r="Q78">
        <f>IF(COUNTIFS(T_StockCount[RM_Code],$A78,T_StockCount[WeekIndex],16)&gt;0,SUMIFS(T_StockCount[CountedQty],T_StockCount[RM_Code],$A78,T_StockCount[WeekIndex],16),IF((COUNTIFS(T_SelfStock[RM_Code],$A78,T_SelfStock[WeekIndex],16)&gt;0)*(COUNTIFS(T_TTAFStock[RM_Code],$A78,T_TTAFStock[WeekIndex],16)&gt;0)&gt;0,SUMIFS(T_SelfStock[Self_Qty],T_SelfStock[RM_Code],$A78,T_SelfStock[WeekIndex],16)+SUMIFS(T_TTAFStock[TTAF_Qty],T_TTAFStock[RM_Code],$A78,T_TTAFStock[WeekIndex],16),P78+'Grid_Incoming'!Q78-'Grid_Requirement'!Q78))</f>
        <v/>
      </c>
      <c r="R78">
        <f>IF(COUNTIFS(T_StockCount[RM_Code],$A78,T_StockCount[WeekIndex],17)&gt;0,SUMIFS(T_StockCount[CountedQty],T_StockCount[RM_Code],$A78,T_StockCount[WeekIndex],17),IF((COUNTIFS(T_SelfStock[RM_Code],$A78,T_SelfStock[WeekIndex],17)&gt;0)*(COUNTIFS(T_TTAFStock[RM_Code],$A78,T_TTAFStock[WeekIndex],17)&gt;0)&gt;0,SUMIFS(T_SelfStock[Self_Qty],T_SelfStock[RM_Code],$A78,T_SelfStock[WeekIndex],17)+SUMIFS(T_TTAFStock[TTAF_Qty],T_TTAFStock[RM_Code],$A78,T_TTAFStock[WeekIndex],17),Q78+'Grid_Incoming'!R78-'Grid_Requirement'!R78))</f>
        <v/>
      </c>
      <c r="S78">
        <f>IF(COUNTIFS(T_StockCount[RM_Code],$A78,T_StockCount[WeekIndex],18)&gt;0,SUMIFS(T_StockCount[CountedQty],T_StockCount[RM_Code],$A78,T_StockCount[WeekIndex],18),IF((COUNTIFS(T_SelfStock[RM_Code],$A78,T_SelfStock[WeekIndex],18)&gt;0)*(COUNTIFS(T_TTAFStock[RM_Code],$A78,T_TTAFStock[WeekIndex],18)&gt;0)&gt;0,SUMIFS(T_SelfStock[Self_Qty],T_SelfStock[RM_Code],$A78,T_SelfStock[WeekIndex],18)+SUMIFS(T_TTAFStock[TTAF_Qty],T_TTAFStock[RM_Code],$A78,T_TTAFStock[WeekIndex],18),R78+'Grid_Incoming'!S78-'Grid_Requirement'!S78))</f>
        <v/>
      </c>
      <c r="T78">
        <f>IF(COUNTIFS(T_StockCount[RM_Code],$A78,T_StockCount[WeekIndex],19)&gt;0,SUMIFS(T_StockCount[CountedQty],T_StockCount[RM_Code],$A78,T_StockCount[WeekIndex],19),IF((COUNTIFS(T_SelfStock[RM_Code],$A78,T_SelfStock[WeekIndex],19)&gt;0)*(COUNTIFS(T_TTAFStock[RM_Code],$A78,T_TTAFStock[WeekIndex],19)&gt;0)&gt;0,SUMIFS(T_SelfStock[Self_Qty],T_SelfStock[RM_Code],$A78,T_SelfStock[WeekIndex],19)+SUMIFS(T_TTAFStock[TTAF_Qty],T_TTAFStock[RM_Code],$A78,T_TTAFStock[WeekIndex],19),S78+'Grid_Incoming'!T78-'Grid_Requirement'!T78))</f>
        <v/>
      </c>
      <c r="U78">
        <f>IF(COUNTIFS(T_StockCount[RM_Code],$A78,T_StockCount[WeekIndex],20)&gt;0,SUMIFS(T_StockCount[CountedQty],T_StockCount[RM_Code],$A78,T_StockCount[WeekIndex],20),IF((COUNTIFS(T_SelfStock[RM_Code],$A78,T_SelfStock[WeekIndex],20)&gt;0)*(COUNTIFS(T_TTAFStock[RM_Code],$A78,T_TTAFStock[WeekIndex],20)&gt;0)&gt;0,SUMIFS(T_SelfStock[Self_Qty],T_SelfStock[RM_Code],$A78,T_SelfStock[WeekIndex],20)+SUMIFS(T_TTAFStock[TTAF_Qty],T_TTAFStock[RM_Code],$A78,T_TTAFStock[WeekIndex],20),T78+'Grid_Incoming'!U78-'Grid_Requirement'!U78))</f>
        <v/>
      </c>
      <c r="V78">
        <f>IF(COUNTIFS(T_StockCount[RM_Code],$A78,T_StockCount[WeekIndex],21)&gt;0,SUMIFS(T_StockCount[CountedQty],T_StockCount[RM_Code],$A78,T_StockCount[WeekIndex],21),IF((COUNTIFS(T_SelfStock[RM_Code],$A78,T_SelfStock[WeekIndex],21)&gt;0)*(COUNTIFS(T_TTAFStock[RM_Code],$A78,T_TTAFStock[WeekIndex],21)&gt;0)&gt;0,SUMIFS(T_SelfStock[Self_Qty],T_SelfStock[RM_Code],$A78,T_SelfStock[WeekIndex],21)+SUMIFS(T_TTAFStock[TTAF_Qty],T_TTAFStock[RM_Code],$A78,T_TTAFStock[WeekIndex],21),U78+'Grid_Incoming'!V78-'Grid_Requirement'!V78))</f>
        <v/>
      </c>
      <c r="W78">
        <f>IF(COUNTIFS(T_StockCount[RM_Code],$A78,T_StockCount[WeekIndex],22)&gt;0,SUMIFS(T_StockCount[CountedQty],T_StockCount[RM_Code],$A78,T_StockCount[WeekIndex],22),IF((COUNTIFS(T_SelfStock[RM_Code],$A78,T_SelfStock[WeekIndex],22)&gt;0)*(COUNTIFS(T_TTAFStock[RM_Code],$A78,T_TTAFStock[WeekIndex],22)&gt;0)&gt;0,SUMIFS(T_SelfStock[Self_Qty],T_SelfStock[RM_Code],$A78,T_SelfStock[WeekIndex],22)+SUMIFS(T_TTAFStock[TTAF_Qty],T_TTAFStock[RM_Code],$A78,T_TTAFStock[WeekIndex],22),V78+'Grid_Incoming'!W78-'Grid_Requirement'!W78))</f>
        <v/>
      </c>
      <c r="X78">
        <f>IF(COUNTIFS(T_StockCount[RM_Code],$A78,T_StockCount[WeekIndex],23)&gt;0,SUMIFS(T_StockCount[CountedQty],T_StockCount[RM_Code],$A78,T_StockCount[WeekIndex],23),IF((COUNTIFS(T_SelfStock[RM_Code],$A78,T_SelfStock[WeekIndex],23)&gt;0)*(COUNTIFS(T_TTAFStock[RM_Code],$A78,T_TTAFStock[WeekIndex],23)&gt;0)&gt;0,SUMIFS(T_SelfStock[Self_Qty],T_SelfStock[RM_Code],$A78,T_SelfStock[WeekIndex],23)+SUMIFS(T_TTAFStock[TTAF_Qty],T_TTAFStock[RM_Code],$A78,T_TTAFStock[WeekIndex],23),W78+'Grid_Incoming'!X78-'Grid_Requirement'!X78))</f>
        <v/>
      </c>
      <c r="Y78">
        <f>IF(COUNTIFS(T_StockCount[RM_Code],$A78,T_StockCount[WeekIndex],24)&gt;0,SUMIFS(T_StockCount[CountedQty],T_StockCount[RM_Code],$A78,T_StockCount[WeekIndex],24),IF((COUNTIFS(T_SelfStock[RM_Code],$A78,T_SelfStock[WeekIndex],24)&gt;0)*(COUNTIFS(T_TTAFStock[RM_Code],$A78,T_TTAFStock[WeekIndex],24)&gt;0)&gt;0,SUMIFS(T_SelfStock[Self_Qty],T_SelfStock[RM_Code],$A78,T_SelfStock[WeekIndex],24)+SUMIFS(T_TTAFStock[TTAF_Qty],T_TTAFStock[RM_Code],$A78,T_TTAFStock[WeekIndex],24),X78+'Grid_Incoming'!Y78-'Grid_Requirement'!Y78))</f>
        <v/>
      </c>
      <c r="Z78">
        <f>IF(COUNTIFS(T_StockCount[RM_Code],$A78,T_StockCount[WeekIndex],25)&gt;0,SUMIFS(T_StockCount[CountedQty],T_StockCount[RM_Code],$A78,T_StockCount[WeekIndex],25),IF((COUNTIFS(T_SelfStock[RM_Code],$A78,T_SelfStock[WeekIndex],25)&gt;0)*(COUNTIFS(T_TTAFStock[RM_Code],$A78,T_TTAFStock[WeekIndex],25)&gt;0)&gt;0,SUMIFS(T_SelfStock[Self_Qty],T_SelfStock[RM_Code],$A78,T_SelfStock[WeekIndex],25)+SUMIFS(T_TTAFStock[TTAF_Qty],T_TTAFStock[RM_Code],$A78,T_TTAFStock[WeekIndex],25),Y78+'Grid_Incoming'!Z78-'Grid_Requirement'!Z78))</f>
        <v/>
      </c>
      <c r="AA78">
        <f>IF(COUNTIFS(T_StockCount[RM_Code],$A78,T_StockCount[WeekIndex],26)&gt;0,SUMIFS(T_StockCount[CountedQty],T_StockCount[RM_Code],$A78,T_StockCount[WeekIndex],26),IF((COUNTIFS(T_SelfStock[RM_Code],$A78,T_SelfStock[WeekIndex],26)&gt;0)*(COUNTIFS(T_TTAFStock[RM_Code],$A78,T_TTAFStock[WeekIndex],26)&gt;0)&gt;0,SUMIFS(T_SelfStock[Self_Qty],T_SelfStock[RM_Code],$A78,T_SelfStock[WeekIndex],26)+SUMIFS(T_TTAFStock[TTAF_Qty],T_TTAFStock[RM_Code],$A78,T_TTAFStock[WeekIndex],26),Z78+'Grid_Incoming'!AA78-'Grid_Requirement'!AA78))</f>
        <v/>
      </c>
      <c r="AB78">
        <f>IF(COUNTIFS(T_StockCount[RM_Code],$A78,T_StockCount[WeekIndex],27)&gt;0,SUMIFS(T_StockCount[CountedQty],T_StockCount[RM_Code],$A78,T_StockCount[WeekIndex],27),IF((COUNTIFS(T_SelfStock[RM_Code],$A78,T_SelfStock[WeekIndex],27)&gt;0)*(COUNTIFS(T_TTAFStock[RM_Code],$A78,T_TTAFStock[WeekIndex],27)&gt;0)&gt;0,SUMIFS(T_SelfStock[Self_Qty],T_SelfStock[RM_Code],$A78,T_SelfStock[WeekIndex],27)+SUMIFS(T_TTAFStock[TTAF_Qty],T_TTAFStock[RM_Code],$A78,T_TTAFStock[WeekIndex],27),AA78+'Grid_Incoming'!AB78-'Grid_Requirement'!AB78))</f>
        <v/>
      </c>
      <c r="AC78">
        <f>IF(COUNTIFS(T_StockCount[RM_Code],$A78,T_StockCount[WeekIndex],28)&gt;0,SUMIFS(T_StockCount[CountedQty],T_StockCount[RM_Code],$A78,T_StockCount[WeekIndex],28),IF((COUNTIFS(T_SelfStock[RM_Code],$A78,T_SelfStock[WeekIndex],28)&gt;0)*(COUNTIFS(T_TTAFStock[RM_Code],$A78,T_TTAFStock[WeekIndex],28)&gt;0)&gt;0,SUMIFS(T_SelfStock[Self_Qty],T_SelfStock[RM_Code],$A78,T_SelfStock[WeekIndex],28)+SUMIFS(T_TTAFStock[TTAF_Qty],T_TTAFStock[RM_Code],$A78,T_TTAFStock[WeekIndex],28),AB78+'Grid_Incoming'!AC78-'Grid_Requirement'!AC78))</f>
        <v/>
      </c>
      <c r="AD78">
        <f>IF(COUNTIFS(T_StockCount[RM_Code],$A78,T_StockCount[WeekIndex],29)&gt;0,SUMIFS(T_StockCount[CountedQty],T_StockCount[RM_Code],$A78,T_StockCount[WeekIndex],29),IF((COUNTIFS(T_SelfStock[RM_Code],$A78,T_SelfStock[WeekIndex],29)&gt;0)*(COUNTIFS(T_TTAFStock[RM_Code],$A78,T_TTAFStock[WeekIndex],29)&gt;0)&gt;0,SUMIFS(T_SelfStock[Self_Qty],T_SelfStock[RM_Code],$A78,T_SelfStock[WeekIndex],29)+SUMIFS(T_TTAFStock[TTAF_Qty],T_TTAFStock[RM_Code],$A78,T_TTAFStock[WeekIndex],29),AC78+'Grid_Incoming'!AD78-'Grid_Requirement'!AD78))</f>
        <v/>
      </c>
      <c r="AE78">
        <f>IF(COUNTIFS(T_StockCount[RM_Code],$A78,T_StockCount[WeekIndex],30)&gt;0,SUMIFS(T_StockCount[CountedQty],T_StockCount[RM_Code],$A78,T_StockCount[WeekIndex],30),IF((COUNTIFS(T_SelfStock[RM_Code],$A78,T_SelfStock[WeekIndex],30)&gt;0)*(COUNTIFS(T_TTAFStock[RM_Code],$A78,T_TTAFStock[WeekIndex],30)&gt;0)&gt;0,SUMIFS(T_SelfStock[Self_Qty],T_SelfStock[RM_Code],$A78,T_SelfStock[WeekIndex],30)+SUMIFS(T_TTAFStock[TTAF_Qty],T_TTAFStock[RM_Code],$A78,T_TTAFStock[WeekIndex],30),AD78+'Grid_Incoming'!AE78-'Grid_Requirement'!AE78))</f>
        <v/>
      </c>
      <c r="AF78">
        <f>IF(COUNTIFS(T_StockCount[RM_Code],$A78,T_StockCount[WeekIndex],31)&gt;0,SUMIFS(T_StockCount[CountedQty],T_StockCount[RM_Code],$A78,T_StockCount[WeekIndex],31),IF((COUNTIFS(T_SelfStock[RM_Code],$A78,T_SelfStock[WeekIndex],31)&gt;0)*(COUNTIFS(T_TTAFStock[RM_Code],$A78,T_TTAFStock[WeekIndex],31)&gt;0)&gt;0,SUMIFS(T_SelfStock[Self_Qty],T_SelfStock[RM_Code],$A78,T_SelfStock[WeekIndex],31)+SUMIFS(T_TTAFStock[TTAF_Qty],T_TTAFStock[RM_Code],$A78,T_TTAFStock[WeekIndex],31),AE78+'Grid_Incoming'!AF78-'Grid_Requirement'!AF78))</f>
        <v/>
      </c>
      <c r="AG78">
        <f>IF(COUNTIFS(T_StockCount[RM_Code],$A78,T_StockCount[WeekIndex],32)&gt;0,SUMIFS(T_StockCount[CountedQty],T_StockCount[RM_Code],$A78,T_StockCount[WeekIndex],32),IF((COUNTIFS(T_SelfStock[RM_Code],$A78,T_SelfStock[WeekIndex],32)&gt;0)*(COUNTIFS(T_TTAFStock[RM_Code],$A78,T_TTAFStock[WeekIndex],32)&gt;0)&gt;0,SUMIFS(T_SelfStock[Self_Qty],T_SelfStock[RM_Code],$A78,T_SelfStock[WeekIndex],32)+SUMIFS(T_TTAFStock[TTAF_Qty],T_TTAFStock[RM_Code],$A78,T_TTAFStock[WeekIndex],32),AF78+'Grid_Incoming'!AG78-'Grid_Requirement'!AG78))</f>
        <v/>
      </c>
      <c r="AH78">
        <f>IF(COUNTIFS(T_StockCount[RM_Code],$A78,T_StockCount[WeekIndex],33)&gt;0,SUMIFS(T_StockCount[CountedQty],T_StockCount[RM_Code],$A78,T_StockCount[WeekIndex],33),IF((COUNTIFS(T_SelfStock[RM_Code],$A78,T_SelfStock[WeekIndex],33)&gt;0)*(COUNTIFS(T_TTAFStock[RM_Code],$A78,T_TTAFStock[WeekIndex],33)&gt;0)&gt;0,SUMIFS(T_SelfStock[Self_Qty],T_SelfStock[RM_Code],$A78,T_SelfStock[WeekIndex],33)+SUMIFS(T_TTAFStock[TTAF_Qty],T_TTAFStock[RM_Code],$A78,T_TTAFStock[WeekIndex],33),AG78+'Grid_Incoming'!AH78-'Grid_Requirement'!AH78))</f>
        <v/>
      </c>
      <c r="AI78">
        <f>IF(COUNTIFS(T_StockCount[RM_Code],$A78,T_StockCount[WeekIndex],34)&gt;0,SUMIFS(T_StockCount[CountedQty],T_StockCount[RM_Code],$A78,T_StockCount[WeekIndex],34),IF((COUNTIFS(T_SelfStock[RM_Code],$A78,T_SelfStock[WeekIndex],34)&gt;0)*(COUNTIFS(T_TTAFStock[RM_Code],$A78,T_TTAFStock[WeekIndex],34)&gt;0)&gt;0,SUMIFS(T_SelfStock[Self_Qty],T_SelfStock[RM_Code],$A78,T_SelfStock[WeekIndex],34)+SUMIFS(T_TTAFStock[TTAF_Qty],T_TTAFStock[RM_Code],$A78,T_TTAFStock[WeekIndex],34),AH78+'Grid_Incoming'!AI78-'Grid_Requirement'!AI78))</f>
        <v/>
      </c>
      <c r="AJ78">
        <f>IF(COUNTIFS(T_StockCount[RM_Code],$A78,T_StockCount[WeekIndex],35)&gt;0,SUMIFS(T_StockCount[CountedQty],T_StockCount[RM_Code],$A78,T_StockCount[WeekIndex],35),IF((COUNTIFS(T_SelfStock[RM_Code],$A78,T_SelfStock[WeekIndex],35)&gt;0)*(COUNTIFS(T_TTAFStock[RM_Code],$A78,T_TTAFStock[WeekIndex],35)&gt;0)&gt;0,SUMIFS(T_SelfStock[Self_Qty],T_SelfStock[RM_Code],$A78,T_SelfStock[WeekIndex],35)+SUMIFS(T_TTAFStock[TTAF_Qty],T_TTAFStock[RM_Code],$A78,T_TTAFStock[WeekIndex],35),AI78+'Grid_Incoming'!AJ78-'Grid_Requirement'!AJ78))</f>
        <v/>
      </c>
      <c r="AK78">
        <f>IF(COUNTIFS(T_StockCount[RM_Code],$A78,T_StockCount[WeekIndex],36)&gt;0,SUMIFS(T_StockCount[CountedQty],T_StockCount[RM_Code],$A78,T_StockCount[WeekIndex],36),IF((COUNTIFS(T_SelfStock[RM_Code],$A78,T_SelfStock[WeekIndex],36)&gt;0)*(COUNTIFS(T_TTAFStock[RM_Code],$A78,T_TTAFStock[WeekIndex],36)&gt;0)&gt;0,SUMIFS(T_SelfStock[Self_Qty],T_SelfStock[RM_Code],$A78,T_SelfStock[WeekIndex],36)+SUMIFS(T_TTAFStock[TTAF_Qty],T_TTAFStock[RM_Code],$A78,T_TTAFStock[WeekIndex],36),AJ78+'Grid_Incoming'!AK78-'Grid_Requirement'!AK78))</f>
        <v/>
      </c>
      <c r="AL78">
        <f>IF(COUNTIFS(T_StockCount[RM_Code],$A78,T_StockCount[WeekIndex],37)&gt;0,SUMIFS(T_StockCount[CountedQty],T_StockCount[RM_Code],$A78,T_StockCount[WeekIndex],37),IF((COUNTIFS(T_SelfStock[RM_Code],$A78,T_SelfStock[WeekIndex],37)&gt;0)*(COUNTIFS(T_TTAFStock[RM_Code],$A78,T_TTAFStock[WeekIndex],37)&gt;0)&gt;0,SUMIFS(T_SelfStock[Self_Qty],T_SelfStock[RM_Code],$A78,T_SelfStock[WeekIndex],37)+SUMIFS(T_TTAFStock[TTAF_Qty],T_TTAFStock[RM_Code],$A78,T_TTAFStock[WeekIndex],37),AK78+'Grid_Incoming'!AL78-'Grid_Requirement'!AL78))</f>
        <v/>
      </c>
      <c r="AM78">
        <f>IF(COUNTIFS(T_StockCount[RM_Code],$A78,T_StockCount[WeekIndex],38)&gt;0,SUMIFS(T_StockCount[CountedQty],T_StockCount[RM_Code],$A78,T_StockCount[WeekIndex],38),IF((COUNTIFS(T_SelfStock[RM_Code],$A78,T_SelfStock[WeekIndex],38)&gt;0)*(COUNTIFS(T_TTAFStock[RM_Code],$A78,T_TTAFStock[WeekIndex],38)&gt;0)&gt;0,SUMIFS(T_SelfStock[Self_Qty],T_SelfStock[RM_Code],$A78,T_SelfStock[WeekIndex],38)+SUMIFS(T_TTAFStock[TTAF_Qty],T_TTAFStock[RM_Code],$A78,T_TTAFStock[WeekIndex],38),AL78+'Grid_Incoming'!AM78-'Grid_Requirement'!AM78))</f>
        <v/>
      </c>
      <c r="AN78">
        <f>IF(COUNTIFS(T_StockCount[RM_Code],$A78,T_StockCount[WeekIndex],39)&gt;0,SUMIFS(T_StockCount[CountedQty],T_StockCount[RM_Code],$A78,T_StockCount[WeekIndex],39),IF((COUNTIFS(T_SelfStock[RM_Code],$A78,T_SelfStock[WeekIndex],39)&gt;0)*(COUNTIFS(T_TTAFStock[RM_Code],$A78,T_TTAFStock[WeekIndex],39)&gt;0)&gt;0,SUMIFS(T_SelfStock[Self_Qty],T_SelfStock[RM_Code],$A78,T_SelfStock[WeekIndex],39)+SUMIFS(T_TTAFStock[TTAF_Qty],T_TTAFStock[RM_Code],$A78,T_TTAFStock[WeekIndex],39),AM78+'Grid_Incoming'!AN78-'Grid_Requirement'!AN78))</f>
        <v/>
      </c>
      <c r="AO78">
        <f>IF(COUNTIFS(T_StockCount[RM_Code],$A78,T_StockCount[WeekIndex],40)&gt;0,SUMIFS(T_StockCount[CountedQty],T_StockCount[RM_Code],$A78,T_StockCount[WeekIndex],40),IF((COUNTIFS(T_SelfStock[RM_Code],$A78,T_SelfStock[WeekIndex],40)&gt;0)*(COUNTIFS(T_TTAFStock[RM_Code],$A78,T_TTAFStock[WeekIndex],40)&gt;0)&gt;0,SUMIFS(T_SelfStock[Self_Qty],T_SelfStock[RM_Code],$A78,T_SelfStock[WeekIndex],40)+SUMIFS(T_TTAFStock[TTAF_Qty],T_TTAFStock[RM_Code],$A78,T_TTAFStock[WeekIndex],40),AN78+'Grid_Incoming'!AO78-'Grid_Requirement'!AO78))</f>
        <v/>
      </c>
      <c r="AP78">
        <f>IF(COUNTIFS(T_StockCount[RM_Code],$A78,T_StockCount[WeekIndex],41)&gt;0,SUMIFS(T_StockCount[CountedQty],T_StockCount[RM_Code],$A78,T_StockCount[WeekIndex],41),IF((COUNTIFS(T_SelfStock[RM_Code],$A78,T_SelfStock[WeekIndex],41)&gt;0)*(COUNTIFS(T_TTAFStock[RM_Code],$A78,T_TTAFStock[WeekIndex],41)&gt;0)&gt;0,SUMIFS(T_SelfStock[Self_Qty],T_SelfStock[RM_Code],$A78,T_SelfStock[WeekIndex],41)+SUMIFS(T_TTAFStock[TTAF_Qty],T_TTAFStock[RM_Code],$A78,T_TTAFStock[WeekIndex],41),AO78+'Grid_Incoming'!AP78-'Grid_Requirement'!AP78))</f>
        <v/>
      </c>
      <c r="AQ78">
        <f>IF(COUNTIFS(T_StockCount[RM_Code],$A78,T_StockCount[WeekIndex],42)&gt;0,SUMIFS(T_StockCount[CountedQty],T_StockCount[RM_Code],$A78,T_StockCount[WeekIndex],42),IF((COUNTIFS(T_SelfStock[RM_Code],$A78,T_SelfStock[WeekIndex],42)&gt;0)*(COUNTIFS(T_TTAFStock[RM_Code],$A78,T_TTAFStock[WeekIndex],42)&gt;0)&gt;0,SUMIFS(T_SelfStock[Self_Qty],T_SelfStock[RM_Code],$A78,T_SelfStock[WeekIndex],42)+SUMIFS(T_TTAFStock[TTAF_Qty],T_TTAFStock[RM_Code],$A78,T_TTAFStock[WeekIndex],42),AP78+'Grid_Incoming'!AQ78-'Grid_Requirement'!AQ78))</f>
        <v/>
      </c>
      <c r="AR78">
        <f>IF(COUNTIFS(T_StockCount[RM_Code],$A78,T_StockCount[WeekIndex],43)&gt;0,SUMIFS(T_StockCount[CountedQty],T_StockCount[RM_Code],$A78,T_StockCount[WeekIndex],43),IF((COUNTIFS(T_SelfStock[RM_Code],$A78,T_SelfStock[WeekIndex],43)&gt;0)*(COUNTIFS(T_TTAFStock[RM_Code],$A78,T_TTAFStock[WeekIndex],43)&gt;0)&gt;0,SUMIFS(T_SelfStock[Self_Qty],T_SelfStock[RM_Code],$A78,T_SelfStock[WeekIndex],43)+SUMIFS(T_TTAFStock[TTAF_Qty],T_TTAFStock[RM_Code],$A78,T_TTAFStock[WeekIndex],43),AQ78+'Grid_Incoming'!AR78-'Grid_Requirement'!AR78))</f>
        <v/>
      </c>
      <c r="AS78">
        <f>IF(COUNTIFS(T_StockCount[RM_Code],$A78,T_StockCount[WeekIndex],44)&gt;0,SUMIFS(T_StockCount[CountedQty],T_StockCount[RM_Code],$A78,T_StockCount[WeekIndex],44),IF((COUNTIFS(T_SelfStock[RM_Code],$A78,T_SelfStock[WeekIndex],44)&gt;0)*(COUNTIFS(T_TTAFStock[RM_Code],$A78,T_TTAFStock[WeekIndex],44)&gt;0)&gt;0,SUMIFS(T_SelfStock[Self_Qty],T_SelfStock[RM_Code],$A78,T_SelfStock[WeekIndex],44)+SUMIFS(T_TTAFStock[TTAF_Qty],T_TTAFStock[RM_Code],$A78,T_TTAFStock[WeekIndex],44),AR78+'Grid_Incoming'!AS78-'Grid_Requirement'!AS78))</f>
        <v/>
      </c>
      <c r="AT78">
        <f>IF(COUNTIFS(T_StockCount[RM_Code],$A78,T_StockCount[WeekIndex],45)&gt;0,SUMIFS(T_StockCount[CountedQty],T_StockCount[RM_Code],$A78,T_StockCount[WeekIndex],45),IF((COUNTIFS(T_SelfStock[RM_Code],$A78,T_SelfStock[WeekIndex],45)&gt;0)*(COUNTIFS(T_TTAFStock[RM_Code],$A78,T_TTAFStock[WeekIndex],45)&gt;0)&gt;0,SUMIFS(T_SelfStock[Self_Qty],T_SelfStock[RM_Code],$A78,T_SelfStock[WeekIndex],45)+SUMIFS(T_TTAFStock[TTAF_Qty],T_TTAFStock[RM_Code],$A78,T_TTAFStock[WeekIndex],45),AS78+'Grid_Incoming'!AT78-'Grid_Requirement'!AT78))</f>
        <v/>
      </c>
      <c r="AU78">
        <f>IF(COUNTIFS(T_StockCount[RM_Code],$A78,T_StockCount[WeekIndex],46)&gt;0,SUMIFS(T_StockCount[CountedQty],T_StockCount[RM_Code],$A78,T_StockCount[WeekIndex],46),IF((COUNTIFS(T_SelfStock[RM_Code],$A78,T_SelfStock[WeekIndex],46)&gt;0)*(COUNTIFS(T_TTAFStock[RM_Code],$A78,T_TTAFStock[WeekIndex],46)&gt;0)&gt;0,SUMIFS(T_SelfStock[Self_Qty],T_SelfStock[RM_Code],$A78,T_SelfStock[WeekIndex],46)+SUMIFS(T_TTAFStock[TTAF_Qty],T_TTAFStock[RM_Code],$A78,T_TTAFStock[WeekIndex],46),AT78+'Grid_Incoming'!AU78-'Grid_Requirement'!AU78))</f>
        <v/>
      </c>
      <c r="AV78">
        <f>IF(COUNTIFS(T_StockCount[RM_Code],$A78,T_StockCount[WeekIndex],47)&gt;0,SUMIFS(T_StockCount[CountedQty],T_StockCount[RM_Code],$A78,T_StockCount[WeekIndex],47),IF((COUNTIFS(T_SelfStock[RM_Code],$A78,T_SelfStock[WeekIndex],47)&gt;0)*(COUNTIFS(T_TTAFStock[RM_Code],$A78,T_TTAFStock[WeekIndex],47)&gt;0)&gt;0,SUMIFS(T_SelfStock[Self_Qty],T_SelfStock[RM_Code],$A78,T_SelfStock[WeekIndex],47)+SUMIFS(T_TTAFStock[TTAF_Qty],T_TTAFStock[RM_Code],$A78,T_TTAFStock[WeekIndex],47),AU78+'Grid_Incoming'!AV78-'Grid_Requirement'!AV78))</f>
        <v/>
      </c>
      <c r="AW78">
        <f>IF(COUNTIFS(T_StockCount[RM_Code],$A78,T_StockCount[WeekIndex],48)&gt;0,SUMIFS(T_StockCount[CountedQty],T_StockCount[RM_Code],$A78,T_StockCount[WeekIndex],48),IF((COUNTIFS(T_SelfStock[RM_Code],$A78,T_SelfStock[WeekIndex],48)&gt;0)*(COUNTIFS(T_TTAFStock[RM_Code],$A78,T_TTAFStock[WeekIndex],48)&gt;0)&gt;0,SUMIFS(T_SelfStock[Self_Qty],T_SelfStock[RM_Code],$A78,T_SelfStock[WeekIndex],48)+SUMIFS(T_TTAFStock[TTAF_Qty],T_TTAFStock[RM_Code],$A78,T_TTAFStock[WeekIndex],48),AV78+'Grid_Incoming'!AW78-'Grid_Requirement'!AW78))</f>
        <v/>
      </c>
      <c r="AX78">
        <f>IF(COUNTIFS(T_StockCount[RM_Code],$A78,T_StockCount[WeekIndex],49)&gt;0,SUMIFS(T_StockCount[CountedQty],T_StockCount[RM_Code],$A78,T_StockCount[WeekIndex],49),IF((COUNTIFS(T_SelfStock[RM_Code],$A78,T_SelfStock[WeekIndex],49)&gt;0)*(COUNTIFS(T_TTAFStock[RM_Code],$A78,T_TTAFStock[WeekIndex],49)&gt;0)&gt;0,SUMIFS(T_SelfStock[Self_Qty],T_SelfStock[RM_Code],$A78,T_SelfStock[WeekIndex],49)+SUMIFS(T_TTAFStock[TTAF_Qty],T_TTAFStock[RM_Code],$A78,T_TTAFStock[WeekIndex],49),AW78+'Grid_Incoming'!AX78-'Grid_Requirement'!AX78))</f>
        <v/>
      </c>
      <c r="AY78">
        <f>IF(COUNTIFS(T_StockCount[RM_Code],$A78,T_StockCount[WeekIndex],50)&gt;0,SUMIFS(T_StockCount[CountedQty],T_StockCount[RM_Code],$A78,T_StockCount[WeekIndex],50),IF((COUNTIFS(T_SelfStock[RM_Code],$A78,T_SelfStock[WeekIndex],50)&gt;0)*(COUNTIFS(T_TTAFStock[RM_Code],$A78,T_TTAFStock[WeekIndex],50)&gt;0)&gt;0,SUMIFS(T_SelfStock[Self_Qty],T_SelfStock[RM_Code],$A78,T_SelfStock[WeekIndex],50)+SUMIFS(T_TTAFStock[TTAF_Qty],T_TTAFStock[RM_Code],$A78,T_TTAFStock[WeekIndex],50),AX78+'Grid_Incoming'!AY78-'Grid_Requirement'!AY78))</f>
        <v/>
      </c>
      <c r="AZ78">
        <f>IF(COUNTIFS(T_StockCount[RM_Code],$A78,T_StockCount[WeekIndex],51)&gt;0,SUMIFS(T_StockCount[CountedQty],T_StockCount[RM_Code],$A78,T_StockCount[WeekIndex],51),IF((COUNTIFS(T_SelfStock[RM_Code],$A78,T_SelfStock[WeekIndex],51)&gt;0)*(COUNTIFS(T_TTAFStock[RM_Code],$A78,T_TTAFStock[WeekIndex],51)&gt;0)&gt;0,SUMIFS(T_SelfStock[Self_Qty],T_SelfStock[RM_Code],$A78,T_SelfStock[WeekIndex],51)+SUMIFS(T_TTAFStock[TTAF_Qty],T_TTAFStock[RM_Code],$A78,T_TTAFStock[WeekIndex],51),AY78+'Grid_Incoming'!AZ78-'Grid_Requirement'!AZ78))</f>
        <v/>
      </c>
      <c r="BA78">
        <f>IF(COUNTIFS(T_StockCount[RM_Code],$A78,T_StockCount[WeekIndex],52)&gt;0,SUMIFS(T_StockCount[CountedQty],T_StockCount[RM_Code],$A78,T_StockCount[WeekIndex],52),IF((COUNTIFS(T_SelfStock[RM_Code],$A78,T_SelfStock[WeekIndex],52)&gt;0)*(COUNTIFS(T_TTAFStock[RM_Code],$A78,T_TTAFStock[WeekIndex],52)&gt;0)&gt;0,SUMIFS(T_SelfStock[Self_Qty],T_SelfStock[RM_Code],$A78,T_SelfStock[WeekIndex],52)+SUMIFS(T_TTAFStock[TTAF_Qty],T_TTAFStock[RM_Code],$A78,T_TTAFStock[WeekIndex],52),AZ78+'Grid_Incoming'!BA78-'Grid_Requirement'!BA78))</f>
        <v/>
      </c>
      <c r="BB78">
        <f>IF(COUNTIFS(T_StockCount[RM_Code],$A78,T_StockCount[WeekIndex],53)&gt;0,SUMIFS(T_StockCount[CountedQty],T_StockCount[RM_Code],$A78,T_StockCount[WeekIndex],53),IF((COUNTIFS(T_SelfStock[RM_Code],$A78,T_SelfStock[WeekIndex],53)&gt;0)*(COUNTIFS(T_TTAFStock[RM_Code],$A78,T_TTAFStock[WeekIndex],53)&gt;0)&gt;0,SUMIFS(T_SelfStock[Self_Qty],T_SelfStock[RM_Code],$A78,T_SelfStock[WeekIndex],53)+SUMIFS(T_TTAFStock[TTAF_Qty],T_TTAFStock[RM_Code],$A78,T_TTAFStock[WeekIndex],53),BA78+'Grid_Incoming'!BB78-'Grid_Requirement'!BB78))</f>
        <v/>
      </c>
      <c r="BC78">
        <f>IF(COUNTIFS(T_StockCount[RM_Code],$A78,T_StockCount[WeekIndex],54)&gt;0,SUMIFS(T_StockCount[CountedQty],T_StockCount[RM_Code],$A78,T_StockCount[WeekIndex],54),IF((COUNTIFS(T_SelfStock[RM_Code],$A78,T_SelfStock[WeekIndex],54)&gt;0)*(COUNTIFS(T_TTAFStock[RM_Code],$A78,T_TTAFStock[WeekIndex],54)&gt;0)&gt;0,SUMIFS(T_SelfStock[Self_Qty],T_SelfStock[RM_Code],$A78,T_SelfStock[WeekIndex],54)+SUMIFS(T_TTAFStock[TTAF_Qty],T_TTAFStock[RM_Code],$A78,T_TTAFStock[WeekIndex],54),BB78+'Grid_Incoming'!BC78-'Grid_Requirement'!BC78))</f>
        <v/>
      </c>
      <c r="BD78">
        <f>IF(COUNTIFS(T_StockCount[RM_Code],$A78,T_StockCount[WeekIndex],55)&gt;0,SUMIFS(T_StockCount[CountedQty],T_StockCount[RM_Code],$A78,T_StockCount[WeekIndex],55),IF((COUNTIFS(T_SelfStock[RM_Code],$A78,T_SelfStock[WeekIndex],55)&gt;0)*(COUNTIFS(T_TTAFStock[RM_Code],$A78,T_TTAFStock[WeekIndex],55)&gt;0)&gt;0,SUMIFS(T_SelfStock[Self_Qty],T_SelfStock[RM_Code],$A78,T_SelfStock[WeekIndex],55)+SUMIFS(T_TTAFStock[TTAF_Qty],T_TTAFStock[RM_Code],$A78,T_TTAFStock[WeekIndex],55),BC78+'Grid_Incoming'!BD78-'Grid_Requirement'!BD78))</f>
        <v/>
      </c>
      <c r="BE78">
        <f>IF(COUNTIFS(T_StockCount[RM_Code],$A78,T_StockCount[WeekIndex],56)&gt;0,SUMIFS(T_StockCount[CountedQty],T_StockCount[RM_Code],$A78,T_StockCount[WeekIndex],56),IF((COUNTIFS(T_SelfStock[RM_Code],$A78,T_SelfStock[WeekIndex],56)&gt;0)*(COUNTIFS(T_TTAFStock[RM_Code],$A78,T_TTAFStock[WeekIndex],56)&gt;0)&gt;0,SUMIFS(T_SelfStock[Self_Qty],T_SelfStock[RM_Code],$A78,T_SelfStock[WeekIndex],56)+SUMIFS(T_TTAFStock[TTAF_Qty],T_TTAFStock[RM_Code],$A78,T_TTAFStock[WeekIndex],56),BD78+'Grid_Incoming'!BE78-'Grid_Requirement'!BE78))</f>
        <v/>
      </c>
      <c r="BF78">
        <f>IF(COUNTIFS(T_StockCount[RM_Code],$A78,T_StockCount[WeekIndex],57)&gt;0,SUMIFS(T_StockCount[CountedQty],T_StockCount[RM_Code],$A78,T_StockCount[WeekIndex],57),IF((COUNTIFS(T_SelfStock[RM_Code],$A78,T_SelfStock[WeekIndex],57)&gt;0)*(COUNTIFS(T_TTAFStock[RM_Code],$A78,T_TTAFStock[WeekIndex],57)&gt;0)&gt;0,SUMIFS(T_SelfStock[Self_Qty],T_SelfStock[RM_Code],$A78,T_SelfStock[WeekIndex],57)+SUMIFS(T_TTAFStock[TTAF_Qty],T_TTAFStock[RM_Code],$A78,T_TTAFStock[WeekIndex],57),BE78+'Grid_Incoming'!BF78-'Grid_Requirement'!BF78))</f>
        <v/>
      </c>
      <c r="BG78">
        <f>IF(COUNTIFS(T_StockCount[RM_Code],$A78,T_StockCount[WeekIndex],58)&gt;0,SUMIFS(T_StockCount[CountedQty],T_StockCount[RM_Code],$A78,T_StockCount[WeekIndex],58),IF((COUNTIFS(T_SelfStock[RM_Code],$A78,T_SelfStock[WeekIndex],58)&gt;0)*(COUNTIFS(T_TTAFStock[RM_Code],$A78,T_TTAFStock[WeekIndex],58)&gt;0)&gt;0,SUMIFS(T_SelfStock[Self_Qty],T_SelfStock[RM_Code],$A78,T_SelfStock[WeekIndex],58)+SUMIFS(T_TTAFStock[TTAF_Qty],T_TTAFStock[RM_Code],$A78,T_TTAFStock[WeekIndex],58),BF78+'Grid_Incoming'!BG78-'Grid_Requirement'!BG78))</f>
        <v/>
      </c>
      <c r="BH78">
        <f>IF(COUNTIFS(T_StockCount[RM_Code],$A78,T_StockCount[WeekIndex],59)&gt;0,SUMIFS(T_StockCount[CountedQty],T_StockCount[RM_Code],$A78,T_StockCount[WeekIndex],59),IF((COUNTIFS(T_SelfStock[RM_Code],$A78,T_SelfStock[WeekIndex],59)&gt;0)*(COUNTIFS(T_TTAFStock[RM_Code],$A78,T_TTAFStock[WeekIndex],59)&gt;0)&gt;0,SUMIFS(T_SelfStock[Self_Qty],T_SelfStock[RM_Code],$A78,T_SelfStock[WeekIndex],59)+SUMIFS(T_TTAFStock[TTAF_Qty],T_TTAFStock[RM_Code],$A78,T_TTAFStock[WeekIndex],59),BG78+'Grid_Incoming'!BH78-'Grid_Requirement'!BH78))</f>
        <v/>
      </c>
      <c r="BI78">
        <f>IF(COUNTIFS(T_StockCount[RM_Code],$A78,T_StockCount[WeekIndex],60)&gt;0,SUMIFS(T_StockCount[CountedQty],T_StockCount[RM_Code],$A78,T_StockCount[WeekIndex],60),IF((COUNTIFS(T_SelfStock[RM_Code],$A78,T_SelfStock[WeekIndex],60)&gt;0)*(COUNTIFS(T_TTAFStock[RM_Code],$A78,T_TTAFStock[WeekIndex],60)&gt;0)&gt;0,SUMIFS(T_SelfStock[Self_Qty],T_SelfStock[RM_Code],$A78,T_SelfStock[WeekIndex],60)+SUMIFS(T_TTAFStock[TTAF_Qty],T_TTAFStock[RM_Code],$A78,T_TTAFStock[WeekIndex],60),BH78+'Grid_Incoming'!BI78-'Grid_Requirement'!BI78))</f>
        <v/>
      </c>
      <c r="BJ78">
        <f>IF(COUNTIFS(T_StockCount[RM_Code],$A78,T_StockCount[WeekIndex],61)&gt;0,SUMIFS(T_StockCount[CountedQty],T_StockCount[RM_Code],$A78,T_StockCount[WeekIndex],61),IF((COUNTIFS(T_SelfStock[RM_Code],$A78,T_SelfStock[WeekIndex],61)&gt;0)*(COUNTIFS(T_TTAFStock[RM_Code],$A78,T_TTAFStock[WeekIndex],61)&gt;0)&gt;0,SUMIFS(T_SelfStock[Self_Qty],T_SelfStock[RM_Code],$A78,T_SelfStock[WeekIndex],61)+SUMIFS(T_TTAFStock[TTAF_Qty],T_TTAFStock[RM_Code],$A78,T_TTAFStock[WeekIndex],61),BI78+'Grid_Incoming'!BJ78-'Grid_Requirement'!BJ78))</f>
        <v/>
      </c>
      <c r="BK78">
        <f>IF(COUNTIFS(T_StockCount[RM_Code],$A78,T_StockCount[WeekIndex],62)&gt;0,SUMIFS(T_StockCount[CountedQty],T_StockCount[RM_Code],$A78,T_StockCount[WeekIndex],62),IF((COUNTIFS(T_SelfStock[RM_Code],$A78,T_SelfStock[WeekIndex],62)&gt;0)*(COUNTIFS(T_TTAFStock[RM_Code],$A78,T_TTAFStock[WeekIndex],62)&gt;0)&gt;0,SUMIFS(T_SelfStock[Self_Qty],T_SelfStock[RM_Code],$A78,T_SelfStock[WeekIndex],62)+SUMIFS(T_TTAFStock[TTAF_Qty],T_TTAFStock[RM_Code],$A78,T_TTAFStock[WeekIndex],62),BJ78+'Grid_Incoming'!BK78-'Grid_Requirement'!BK78))</f>
        <v/>
      </c>
      <c r="BL78">
        <f>IF(COUNTIFS(T_StockCount[RM_Code],$A78,T_StockCount[WeekIndex],63)&gt;0,SUMIFS(T_StockCount[CountedQty],T_StockCount[RM_Code],$A78,T_StockCount[WeekIndex],63),IF((COUNTIFS(T_SelfStock[RM_Code],$A78,T_SelfStock[WeekIndex],63)&gt;0)*(COUNTIFS(T_TTAFStock[RM_Code],$A78,T_TTAFStock[WeekIndex],63)&gt;0)&gt;0,SUMIFS(T_SelfStock[Self_Qty],T_SelfStock[RM_Code],$A78,T_SelfStock[WeekIndex],63)+SUMIFS(T_TTAFStock[TTAF_Qty],T_TTAFStock[RM_Code],$A78,T_TTAFStock[WeekIndex],63),BK78+'Grid_Incoming'!BL78-'Grid_Requirement'!BL78))</f>
        <v/>
      </c>
      <c r="BM78">
        <f>IF(COUNTIFS(T_StockCount[RM_Code],$A78,T_StockCount[WeekIndex],64)&gt;0,SUMIFS(T_StockCount[CountedQty],T_StockCount[RM_Code],$A78,T_StockCount[WeekIndex],64),IF((COUNTIFS(T_SelfStock[RM_Code],$A78,T_SelfStock[WeekIndex],64)&gt;0)*(COUNTIFS(T_TTAFStock[RM_Code],$A78,T_TTAFStock[WeekIndex],64)&gt;0)&gt;0,SUMIFS(T_SelfStock[Self_Qty],T_SelfStock[RM_Code],$A78,T_SelfStock[WeekIndex],64)+SUMIFS(T_TTAFStock[TTAF_Qty],T_TTAFStock[RM_Code],$A78,T_TTAFStock[WeekIndex],64),BL78+'Grid_Incoming'!BM78-'Grid_Requirement'!BM78))</f>
        <v/>
      </c>
      <c r="BN78">
        <f>IF(COUNTIFS(T_StockCount[RM_Code],$A78,T_StockCount[WeekIndex],65)&gt;0,SUMIFS(T_StockCount[CountedQty],T_StockCount[RM_Code],$A78,T_StockCount[WeekIndex],65),IF((COUNTIFS(T_SelfStock[RM_Code],$A78,T_SelfStock[WeekIndex],65)&gt;0)*(COUNTIFS(T_TTAFStock[RM_Code],$A78,T_TTAFStock[WeekIndex],65)&gt;0)&gt;0,SUMIFS(T_SelfStock[Self_Qty],T_SelfStock[RM_Code],$A78,T_SelfStock[WeekIndex],65)+SUMIFS(T_TTAFStock[TTAF_Qty],T_TTAFStock[RM_Code],$A78,T_TTAFStock[WeekIndex],65),BM78+'Grid_Incoming'!BN78-'Grid_Requirement'!BN78))</f>
        <v/>
      </c>
      <c r="BO78">
        <f>IF(COUNTIFS(T_StockCount[RM_Code],$A78,T_StockCount[WeekIndex],66)&gt;0,SUMIFS(T_StockCount[CountedQty],T_StockCount[RM_Code],$A78,T_StockCount[WeekIndex],66),IF((COUNTIFS(T_SelfStock[RM_Code],$A78,T_SelfStock[WeekIndex],66)&gt;0)*(COUNTIFS(T_TTAFStock[RM_Code],$A78,T_TTAFStock[WeekIndex],66)&gt;0)&gt;0,SUMIFS(T_SelfStock[Self_Qty],T_SelfStock[RM_Code],$A78,T_SelfStock[WeekIndex],66)+SUMIFS(T_TTAFStock[TTAF_Qty],T_TTAFStock[RM_Code],$A78,T_TTAFStock[WeekIndex],66),BN78+'Grid_Incoming'!BO78-'Grid_Requirement'!BO78))</f>
        <v/>
      </c>
      <c r="BP78">
        <f>IF(COUNTIFS(T_StockCount[RM_Code],$A78,T_StockCount[WeekIndex],67)&gt;0,SUMIFS(T_StockCount[CountedQty],T_StockCount[RM_Code],$A78,T_StockCount[WeekIndex],67),IF((COUNTIFS(T_SelfStock[RM_Code],$A78,T_SelfStock[WeekIndex],67)&gt;0)*(COUNTIFS(T_TTAFStock[RM_Code],$A78,T_TTAFStock[WeekIndex],67)&gt;0)&gt;0,SUMIFS(T_SelfStock[Self_Qty],T_SelfStock[RM_Code],$A78,T_SelfStock[WeekIndex],67)+SUMIFS(T_TTAFStock[TTAF_Qty],T_TTAFStock[RM_Code],$A78,T_TTAFStock[WeekIndex],67),BO78+'Grid_Incoming'!BP78-'Grid_Requirement'!BP78))</f>
        <v/>
      </c>
      <c r="BQ78">
        <f>IF(COUNTIFS(T_StockCount[RM_Code],$A78,T_StockCount[WeekIndex],68)&gt;0,SUMIFS(T_StockCount[CountedQty],T_StockCount[RM_Code],$A78,T_StockCount[WeekIndex],68),IF((COUNTIFS(T_SelfStock[RM_Code],$A78,T_SelfStock[WeekIndex],68)&gt;0)*(COUNTIFS(T_TTAFStock[RM_Code],$A78,T_TTAFStock[WeekIndex],68)&gt;0)&gt;0,SUMIFS(T_SelfStock[Self_Qty],T_SelfStock[RM_Code],$A78,T_SelfStock[WeekIndex],68)+SUMIFS(T_TTAFStock[TTAF_Qty],T_TTAFStock[RM_Code],$A78,T_TTAFStock[WeekIndex],68),BP78+'Grid_Incoming'!BQ78-'Grid_Requirement'!BQ78))</f>
        <v/>
      </c>
      <c r="BR78">
        <f>IF(COUNTIFS(T_StockCount[RM_Code],$A78,T_StockCount[WeekIndex],69)&gt;0,SUMIFS(T_StockCount[CountedQty],T_StockCount[RM_Code],$A78,T_StockCount[WeekIndex],69),IF((COUNTIFS(T_SelfStock[RM_Code],$A78,T_SelfStock[WeekIndex],69)&gt;0)*(COUNTIFS(T_TTAFStock[RM_Code],$A78,T_TTAFStock[WeekIndex],69)&gt;0)&gt;0,SUMIFS(T_SelfStock[Self_Qty],T_SelfStock[RM_Code],$A78,T_SelfStock[WeekIndex],69)+SUMIFS(T_TTAFStock[TTAF_Qty],T_TTAFStock[RM_Code],$A78,T_TTAFStock[WeekIndex],69),BQ78+'Grid_Incoming'!BR78-'Grid_Requirement'!BR78))</f>
        <v/>
      </c>
      <c r="BS78">
        <f>IF(COUNTIFS(T_StockCount[RM_Code],$A78,T_StockCount[WeekIndex],70)&gt;0,SUMIFS(T_StockCount[CountedQty],T_StockCount[RM_Code],$A78,T_StockCount[WeekIndex],70),IF((COUNTIFS(T_SelfStock[RM_Code],$A78,T_SelfStock[WeekIndex],70)&gt;0)*(COUNTIFS(T_TTAFStock[RM_Code],$A78,T_TTAFStock[WeekIndex],70)&gt;0)&gt;0,SUMIFS(T_SelfStock[Self_Qty],T_SelfStock[RM_Code],$A78,T_SelfStock[WeekIndex],70)+SUMIFS(T_TTAFStock[TTAF_Qty],T_TTAFStock[RM_Code],$A78,T_TTAFStock[WeekIndex],70),BR78+'Grid_Incoming'!BS78-'Grid_Requirement'!BS78))</f>
        <v/>
      </c>
      <c r="BT78">
        <f>IF(COUNTIFS(T_StockCount[RM_Code],$A78,T_StockCount[WeekIndex],71)&gt;0,SUMIFS(T_StockCount[CountedQty],T_StockCount[RM_Code],$A78,T_StockCount[WeekIndex],71),IF((COUNTIFS(T_SelfStock[RM_Code],$A78,T_SelfStock[WeekIndex],71)&gt;0)*(COUNTIFS(T_TTAFStock[RM_Code],$A78,T_TTAFStock[WeekIndex],71)&gt;0)&gt;0,SUMIFS(T_SelfStock[Self_Qty],T_SelfStock[RM_Code],$A78,T_SelfStock[WeekIndex],71)+SUMIFS(T_TTAFStock[TTAF_Qty],T_TTAFStock[RM_Code],$A78,T_TTAFStock[WeekIndex],71),BS78+'Grid_Incoming'!BT78-'Grid_Requirement'!BT78))</f>
        <v/>
      </c>
      <c r="BU78">
        <f>IF(COUNTIFS(T_StockCount[RM_Code],$A78,T_StockCount[WeekIndex],72)&gt;0,SUMIFS(T_StockCount[CountedQty],T_StockCount[RM_Code],$A78,T_StockCount[WeekIndex],72),IF((COUNTIFS(T_SelfStock[RM_Code],$A78,T_SelfStock[WeekIndex],72)&gt;0)*(COUNTIFS(T_TTAFStock[RM_Code],$A78,T_TTAFStock[WeekIndex],72)&gt;0)&gt;0,SUMIFS(T_SelfStock[Self_Qty],T_SelfStock[RM_Code],$A78,T_SelfStock[WeekIndex],72)+SUMIFS(T_TTAFStock[TTAF_Qty],T_TTAFStock[RM_Code],$A78,T_TTAFStock[WeekIndex],72),BT78+'Grid_Incoming'!BU78-'Grid_Requirement'!BU78))</f>
        <v/>
      </c>
      <c r="BV78">
        <f>IF(COUNTIFS(T_StockCount[RM_Code],$A78,T_StockCount[WeekIndex],73)&gt;0,SUMIFS(T_StockCount[CountedQty],T_StockCount[RM_Code],$A78,T_StockCount[WeekIndex],73),IF((COUNTIFS(T_SelfStock[RM_Code],$A78,T_SelfStock[WeekIndex],73)&gt;0)*(COUNTIFS(T_TTAFStock[RM_Code],$A78,T_TTAFStock[WeekIndex],73)&gt;0)&gt;0,SUMIFS(T_SelfStock[Self_Qty],T_SelfStock[RM_Code],$A78,T_SelfStock[WeekIndex],73)+SUMIFS(T_TTAFStock[TTAF_Qty],T_TTAFStock[RM_Code],$A78,T_TTAFStock[WeekIndex],73),BU78+'Grid_Incoming'!BV78-'Grid_Requirement'!BV78))</f>
        <v/>
      </c>
      <c r="BW78">
        <f>IF(COUNTIFS(T_StockCount[RM_Code],$A78,T_StockCount[WeekIndex],74)&gt;0,SUMIFS(T_StockCount[CountedQty],T_StockCount[RM_Code],$A78,T_StockCount[WeekIndex],74),IF((COUNTIFS(T_SelfStock[RM_Code],$A78,T_SelfStock[WeekIndex],74)&gt;0)*(COUNTIFS(T_TTAFStock[RM_Code],$A78,T_TTAFStock[WeekIndex],74)&gt;0)&gt;0,SUMIFS(T_SelfStock[Self_Qty],T_SelfStock[RM_Code],$A78,T_SelfStock[WeekIndex],74)+SUMIFS(T_TTAFStock[TTAF_Qty],T_TTAFStock[RM_Code],$A78,T_TTAFStock[WeekIndex],74),BV78+'Grid_Incoming'!BW78-'Grid_Requirement'!BW78))</f>
        <v/>
      </c>
      <c r="BX78">
        <f>IF(COUNTIFS(T_StockCount[RM_Code],$A78,T_StockCount[WeekIndex],75)&gt;0,SUMIFS(T_StockCount[CountedQty],T_StockCount[RM_Code],$A78,T_StockCount[WeekIndex],75),IF((COUNTIFS(T_SelfStock[RM_Code],$A78,T_SelfStock[WeekIndex],75)&gt;0)*(COUNTIFS(T_TTAFStock[RM_Code],$A78,T_TTAFStock[WeekIndex],75)&gt;0)&gt;0,SUMIFS(T_SelfStock[Self_Qty],T_SelfStock[RM_Code],$A78,T_SelfStock[WeekIndex],75)+SUMIFS(T_TTAFStock[TTAF_Qty],T_TTAFStock[RM_Code],$A78,T_TTAFStock[WeekIndex],75),BW78+'Grid_Incoming'!BX78-'Grid_Requirement'!BX78))</f>
        <v/>
      </c>
      <c r="BY78">
        <f>IF(COUNTIFS(T_StockCount[RM_Code],$A78,T_StockCount[WeekIndex],76)&gt;0,SUMIFS(T_StockCount[CountedQty],T_StockCount[RM_Code],$A78,T_StockCount[WeekIndex],76),IF((COUNTIFS(T_SelfStock[RM_Code],$A78,T_SelfStock[WeekIndex],76)&gt;0)*(COUNTIFS(T_TTAFStock[RM_Code],$A78,T_TTAFStock[WeekIndex],76)&gt;0)&gt;0,SUMIFS(T_SelfStock[Self_Qty],T_SelfStock[RM_Code],$A78,T_SelfStock[WeekIndex],76)+SUMIFS(T_TTAFStock[TTAF_Qty],T_TTAFStock[RM_Code],$A78,T_TTAFStock[WeekIndex],76),BX78+'Grid_Incoming'!BY78-'Grid_Requirement'!BY78))</f>
        <v/>
      </c>
      <c r="BZ78">
        <f>IF(COUNTIFS(T_StockCount[RM_Code],$A78,T_StockCount[WeekIndex],77)&gt;0,SUMIFS(T_StockCount[CountedQty],T_StockCount[RM_Code],$A78,T_StockCount[WeekIndex],77),IF((COUNTIFS(T_SelfStock[RM_Code],$A78,T_SelfStock[WeekIndex],77)&gt;0)*(COUNTIFS(T_TTAFStock[RM_Code],$A78,T_TTAFStock[WeekIndex],77)&gt;0)&gt;0,SUMIFS(T_SelfStock[Self_Qty],T_SelfStock[RM_Code],$A78,T_SelfStock[WeekIndex],77)+SUMIFS(T_TTAFStock[TTAF_Qty],T_TTAFStock[RM_Code],$A78,T_TTAFStock[WeekIndex],77),BY78+'Grid_Incoming'!BZ78-'Grid_Requirement'!BZ78))</f>
        <v/>
      </c>
      <c r="CA78">
        <f>IF(COUNTIFS(T_StockCount[RM_Code],$A78,T_StockCount[WeekIndex],78)&gt;0,SUMIFS(T_StockCount[CountedQty],T_StockCount[RM_Code],$A78,T_StockCount[WeekIndex],78),IF((COUNTIFS(T_SelfStock[RM_Code],$A78,T_SelfStock[WeekIndex],78)&gt;0)*(COUNTIFS(T_TTAFStock[RM_Code],$A78,T_TTAFStock[WeekIndex],78)&gt;0)&gt;0,SUMIFS(T_SelfStock[Self_Qty],T_SelfStock[RM_Code],$A78,T_SelfStock[WeekIndex],78)+SUMIFS(T_TTAFStock[TTAF_Qty],T_TTAFStock[RM_Code],$A78,T_TTAFStock[WeekIndex],78),BZ78+'Grid_Incoming'!CA78-'Grid_Requirement'!CA78))</f>
        <v/>
      </c>
      <c r="CB78">
        <f>IF(COUNTIFS(T_StockCount[RM_Code],$A78,T_StockCount[WeekIndex],79)&gt;0,SUMIFS(T_StockCount[CountedQty],T_StockCount[RM_Code],$A78,T_StockCount[WeekIndex],79),IF((COUNTIFS(T_SelfStock[RM_Code],$A78,T_SelfStock[WeekIndex],79)&gt;0)*(COUNTIFS(T_TTAFStock[RM_Code],$A78,T_TTAFStock[WeekIndex],79)&gt;0)&gt;0,SUMIFS(T_SelfStock[Self_Qty],T_SelfStock[RM_Code],$A78,T_SelfStock[WeekIndex],79)+SUMIFS(T_TTAFStock[TTAF_Qty],T_TTAFStock[RM_Code],$A78,T_TTAFStock[WeekIndex],79),CA78+'Grid_Incoming'!CB78-'Grid_Requirement'!CB78))</f>
        <v/>
      </c>
      <c r="CC78">
        <f>IF(COUNTIFS(T_StockCount[RM_Code],$A78,T_StockCount[WeekIndex],80)&gt;0,SUMIFS(T_StockCount[CountedQty],T_StockCount[RM_Code],$A78,T_StockCount[WeekIndex],80),IF((COUNTIFS(T_SelfStock[RM_Code],$A78,T_SelfStock[WeekIndex],80)&gt;0)*(COUNTIFS(T_TTAFStock[RM_Code],$A78,T_TTAFStock[WeekIndex],80)&gt;0)&gt;0,SUMIFS(T_SelfStock[Self_Qty],T_SelfStock[RM_Code],$A78,T_SelfStock[WeekIndex],80)+SUMIFS(T_TTAFStock[TTAF_Qty],T_TTAFStock[RM_Code],$A78,T_TTAFStock[WeekIndex],80),CB78+'Grid_Incoming'!CC78-'Grid_Requirement'!CC78))</f>
        <v/>
      </c>
      <c r="CD78">
        <f>IF(COUNTIFS(T_StockCount[RM_Code],$A78,T_StockCount[WeekIndex],81)&gt;0,SUMIFS(T_StockCount[CountedQty],T_StockCount[RM_Code],$A78,T_StockCount[WeekIndex],81),IF((COUNTIFS(T_SelfStock[RM_Code],$A78,T_SelfStock[WeekIndex],81)&gt;0)*(COUNTIFS(T_TTAFStock[RM_Code],$A78,T_TTAFStock[WeekIndex],81)&gt;0)&gt;0,SUMIFS(T_SelfStock[Self_Qty],T_SelfStock[RM_Code],$A78,T_SelfStock[WeekIndex],81)+SUMIFS(T_TTAFStock[TTAF_Qty],T_TTAFStock[RM_Code],$A78,T_TTAFStock[WeekIndex],81),CC78+'Grid_Incoming'!CD78-'Grid_Requirement'!CD78))</f>
        <v/>
      </c>
      <c r="CE78">
        <f>IF(COUNTIFS(T_StockCount[RM_Code],$A78,T_StockCount[WeekIndex],82)&gt;0,SUMIFS(T_StockCount[CountedQty],T_StockCount[RM_Code],$A78,T_StockCount[WeekIndex],82),IF((COUNTIFS(T_SelfStock[RM_Code],$A78,T_SelfStock[WeekIndex],82)&gt;0)*(COUNTIFS(T_TTAFStock[RM_Code],$A78,T_TTAFStock[WeekIndex],82)&gt;0)&gt;0,SUMIFS(T_SelfStock[Self_Qty],T_SelfStock[RM_Code],$A78,T_SelfStock[WeekIndex],82)+SUMIFS(T_TTAFStock[TTAF_Qty],T_TTAFStock[RM_Code],$A78,T_TTAFStock[WeekIndex],82),CD78+'Grid_Incoming'!CE78-'Grid_Requirement'!CE78))</f>
        <v/>
      </c>
      <c r="CF78">
        <f>IF(COUNTIFS(T_StockCount[RM_Code],$A78,T_StockCount[WeekIndex],83)&gt;0,SUMIFS(T_StockCount[CountedQty],T_StockCount[RM_Code],$A78,T_StockCount[WeekIndex],83),IF((COUNTIFS(T_SelfStock[RM_Code],$A78,T_SelfStock[WeekIndex],83)&gt;0)*(COUNTIFS(T_TTAFStock[RM_Code],$A78,T_TTAFStock[WeekIndex],83)&gt;0)&gt;0,SUMIFS(T_SelfStock[Self_Qty],T_SelfStock[RM_Code],$A78,T_SelfStock[WeekIndex],83)+SUMIFS(T_TTAFStock[TTAF_Qty],T_TTAFStock[RM_Code],$A78,T_TTAFStock[WeekIndex],83),CE78+'Grid_Incoming'!CF78-'Grid_Requirement'!CF78))</f>
        <v/>
      </c>
      <c r="CG78">
        <f>IF(COUNTIFS(T_StockCount[RM_Code],$A78,T_StockCount[WeekIndex],84)&gt;0,SUMIFS(T_StockCount[CountedQty],T_StockCount[RM_Code],$A78,T_StockCount[WeekIndex],84),IF((COUNTIFS(T_SelfStock[RM_Code],$A78,T_SelfStock[WeekIndex],84)&gt;0)*(COUNTIFS(T_TTAFStock[RM_Code],$A78,T_TTAFStock[WeekIndex],84)&gt;0)&gt;0,SUMIFS(T_SelfStock[Self_Qty],T_SelfStock[RM_Code],$A78,T_SelfStock[WeekIndex],84)+SUMIFS(T_TTAFStock[TTAF_Qty],T_TTAFStock[RM_Code],$A78,T_TTAFStock[WeekIndex],84),CF78+'Grid_Incoming'!CG78-'Grid_Requirement'!CG78))</f>
        <v/>
      </c>
      <c r="CH78">
        <f>IF(COUNTIFS(T_StockCount[RM_Code],$A78,T_StockCount[WeekIndex],85)&gt;0,SUMIFS(T_StockCount[CountedQty],T_StockCount[RM_Code],$A78,T_StockCount[WeekIndex],85),IF((COUNTIFS(T_SelfStock[RM_Code],$A78,T_SelfStock[WeekIndex],85)&gt;0)*(COUNTIFS(T_TTAFStock[RM_Code],$A78,T_TTAFStock[WeekIndex],85)&gt;0)&gt;0,SUMIFS(T_SelfStock[Self_Qty],T_SelfStock[RM_Code],$A78,T_SelfStock[WeekIndex],85)+SUMIFS(T_TTAFStock[TTAF_Qty],T_TTAFStock[RM_Code],$A78,T_TTAFStock[WeekIndex],85),CG78+'Grid_Incoming'!CH78-'Grid_Requirement'!CH78))</f>
        <v/>
      </c>
      <c r="CI78">
        <f>IF(COUNTIFS(T_StockCount[RM_Code],$A78,T_StockCount[WeekIndex],86)&gt;0,SUMIFS(T_StockCount[CountedQty],T_StockCount[RM_Code],$A78,T_StockCount[WeekIndex],86),IF((COUNTIFS(T_SelfStock[RM_Code],$A78,T_SelfStock[WeekIndex],86)&gt;0)*(COUNTIFS(T_TTAFStock[RM_Code],$A78,T_TTAFStock[WeekIndex],86)&gt;0)&gt;0,SUMIFS(T_SelfStock[Self_Qty],T_SelfStock[RM_Code],$A78,T_SelfStock[WeekIndex],86)+SUMIFS(T_TTAFStock[TTAF_Qty],T_TTAFStock[RM_Code],$A78,T_TTAFStock[WeekIndex],86),CH78+'Grid_Incoming'!CI78-'Grid_Requirement'!CI78))</f>
        <v/>
      </c>
      <c r="CJ78">
        <f>IF(COUNTIFS(T_StockCount[RM_Code],$A78,T_StockCount[WeekIndex],87)&gt;0,SUMIFS(T_StockCount[CountedQty],T_StockCount[RM_Code],$A78,T_StockCount[WeekIndex],87),IF((COUNTIFS(T_SelfStock[RM_Code],$A78,T_SelfStock[WeekIndex],87)&gt;0)*(COUNTIFS(T_TTAFStock[RM_Code],$A78,T_TTAFStock[WeekIndex],87)&gt;0)&gt;0,SUMIFS(T_SelfStock[Self_Qty],T_SelfStock[RM_Code],$A78,T_SelfStock[WeekIndex],87)+SUMIFS(T_TTAFStock[TTAF_Qty],T_TTAFStock[RM_Code],$A78,T_TTAFStock[WeekIndex],87),CI78+'Grid_Incoming'!CJ78-'Grid_Requirement'!CJ78))</f>
        <v/>
      </c>
      <c r="CK78">
        <f>IF(COUNTIFS(T_StockCount[RM_Code],$A78,T_StockCount[WeekIndex],88)&gt;0,SUMIFS(T_StockCount[CountedQty],T_StockCount[RM_Code],$A78,T_StockCount[WeekIndex],88),IF((COUNTIFS(T_SelfStock[RM_Code],$A78,T_SelfStock[WeekIndex],88)&gt;0)*(COUNTIFS(T_TTAFStock[RM_Code],$A78,T_TTAFStock[WeekIndex],88)&gt;0)&gt;0,SUMIFS(T_SelfStock[Self_Qty],T_SelfStock[RM_Code],$A78,T_SelfStock[WeekIndex],88)+SUMIFS(T_TTAFStock[TTAF_Qty],T_TTAFStock[RM_Code],$A78,T_TTAFStock[WeekIndex],88),CJ78+'Grid_Incoming'!CK78-'Grid_Requirement'!CK78))</f>
        <v/>
      </c>
      <c r="CL78">
        <f>IF(COUNTIFS(T_StockCount[RM_Code],$A78,T_StockCount[WeekIndex],89)&gt;0,SUMIFS(T_StockCount[CountedQty],T_StockCount[RM_Code],$A78,T_StockCount[WeekIndex],89),IF((COUNTIFS(T_SelfStock[RM_Code],$A78,T_SelfStock[WeekIndex],89)&gt;0)*(COUNTIFS(T_TTAFStock[RM_Code],$A78,T_TTAFStock[WeekIndex],89)&gt;0)&gt;0,SUMIFS(T_SelfStock[Self_Qty],T_SelfStock[RM_Code],$A78,T_SelfStock[WeekIndex],89)+SUMIFS(T_TTAFStock[TTAF_Qty],T_TTAFStock[RM_Code],$A78,T_TTAFStock[WeekIndex],89),CK78+'Grid_Incoming'!CL78-'Grid_Requirement'!CL78))</f>
        <v/>
      </c>
      <c r="CM78">
        <f>IF(COUNTIFS(T_StockCount[RM_Code],$A78,T_StockCount[WeekIndex],90)&gt;0,SUMIFS(T_StockCount[CountedQty],T_StockCount[RM_Code],$A78,T_StockCount[WeekIndex],90),IF((COUNTIFS(T_SelfStock[RM_Code],$A78,T_SelfStock[WeekIndex],90)&gt;0)*(COUNTIFS(T_TTAFStock[RM_Code],$A78,T_TTAFStock[WeekIndex],90)&gt;0)&gt;0,SUMIFS(T_SelfStock[Self_Qty],T_SelfStock[RM_Code],$A78,T_SelfStock[WeekIndex],90)+SUMIFS(T_TTAFStock[TTAF_Qty],T_TTAFStock[RM_Code],$A78,T_TTAFStock[WeekIndex],90),CL78+'Grid_Incoming'!CM78-'Grid_Requirement'!CM78))</f>
        <v/>
      </c>
      <c r="CN78">
        <f>IF(COUNTIFS(T_StockCount[RM_Code],$A78,T_StockCount[WeekIndex],91)&gt;0,SUMIFS(T_StockCount[CountedQty],T_StockCount[RM_Code],$A78,T_StockCount[WeekIndex],91),IF((COUNTIFS(T_SelfStock[RM_Code],$A78,T_SelfStock[WeekIndex],91)&gt;0)*(COUNTIFS(T_TTAFStock[RM_Code],$A78,T_TTAFStock[WeekIndex],91)&gt;0)&gt;0,SUMIFS(T_SelfStock[Self_Qty],T_SelfStock[RM_Code],$A78,T_SelfStock[WeekIndex],91)+SUMIFS(T_TTAFStock[TTAF_Qty],T_TTAFStock[RM_Code],$A78,T_TTAFStock[WeekIndex],91),CM78+'Grid_Incoming'!CN78-'Grid_Requirement'!CN78))</f>
        <v/>
      </c>
      <c r="CO78">
        <f>IF(COUNTIFS(T_StockCount[RM_Code],$A78,T_StockCount[WeekIndex],92)&gt;0,SUMIFS(T_StockCount[CountedQty],T_StockCount[RM_Code],$A78,T_StockCount[WeekIndex],92),IF((COUNTIFS(T_SelfStock[RM_Code],$A78,T_SelfStock[WeekIndex],92)&gt;0)*(COUNTIFS(T_TTAFStock[RM_Code],$A78,T_TTAFStock[WeekIndex],92)&gt;0)&gt;0,SUMIFS(T_SelfStock[Self_Qty],T_SelfStock[RM_Code],$A78,T_SelfStock[WeekIndex],92)+SUMIFS(T_TTAFStock[TTAF_Qty],T_TTAFStock[RM_Code],$A78,T_TTAFStock[WeekIndex],92),CN78+'Grid_Incoming'!CO78-'Grid_Requirement'!CO78))</f>
        <v/>
      </c>
      <c r="CP78">
        <f>IF(COUNTIFS(T_StockCount[RM_Code],$A78,T_StockCount[WeekIndex],93)&gt;0,SUMIFS(T_StockCount[CountedQty],T_StockCount[RM_Code],$A78,T_StockCount[WeekIndex],93),IF((COUNTIFS(T_SelfStock[RM_Code],$A78,T_SelfStock[WeekIndex],93)&gt;0)*(COUNTIFS(T_TTAFStock[RM_Code],$A78,T_TTAFStock[WeekIndex],93)&gt;0)&gt;0,SUMIFS(T_SelfStock[Self_Qty],T_SelfStock[RM_Code],$A78,T_SelfStock[WeekIndex],93)+SUMIFS(T_TTAFStock[TTAF_Qty],T_TTAFStock[RM_Code],$A78,T_TTAFStock[WeekIndex],93),CO78+'Grid_Incoming'!CP78-'Grid_Requirement'!CP78))</f>
        <v/>
      </c>
      <c r="CQ78">
        <f>IF(COUNTIFS(T_StockCount[RM_Code],$A78,T_StockCount[WeekIndex],94)&gt;0,SUMIFS(T_StockCount[CountedQty],T_StockCount[RM_Code],$A78,T_StockCount[WeekIndex],94),IF((COUNTIFS(T_SelfStock[RM_Code],$A78,T_SelfStock[WeekIndex],94)&gt;0)*(COUNTIFS(T_TTAFStock[RM_Code],$A78,T_TTAFStock[WeekIndex],94)&gt;0)&gt;0,SUMIFS(T_SelfStock[Self_Qty],T_SelfStock[RM_Code],$A78,T_SelfStock[WeekIndex],94)+SUMIFS(T_TTAFStock[TTAF_Qty],T_TTAFStock[RM_Code],$A78,T_TTAFStock[WeekIndex],94),CP78+'Grid_Incoming'!CQ78-'Grid_Requirement'!CQ78))</f>
        <v/>
      </c>
      <c r="CR78">
        <f>IF(COUNTIFS(T_StockCount[RM_Code],$A78,T_StockCount[WeekIndex],95)&gt;0,SUMIFS(T_StockCount[CountedQty],T_StockCount[RM_Code],$A78,T_StockCount[WeekIndex],95),IF((COUNTIFS(T_SelfStock[RM_Code],$A78,T_SelfStock[WeekIndex],95)&gt;0)*(COUNTIFS(T_TTAFStock[RM_Code],$A78,T_TTAFStock[WeekIndex],95)&gt;0)&gt;0,SUMIFS(T_SelfStock[Self_Qty],T_SelfStock[RM_Code],$A78,T_SelfStock[WeekIndex],95)+SUMIFS(T_TTAFStock[TTAF_Qty],T_TTAFStock[RM_Code],$A78,T_TTAFStock[WeekIndex],95),CQ78+'Grid_Incoming'!CR78-'Grid_Requirement'!CR78))</f>
        <v/>
      </c>
      <c r="CS78">
        <f>IF(COUNTIFS(T_StockCount[RM_Code],$A78,T_StockCount[WeekIndex],96)&gt;0,SUMIFS(T_StockCount[CountedQty],T_StockCount[RM_Code],$A78,T_StockCount[WeekIndex],96),IF((COUNTIFS(T_SelfStock[RM_Code],$A78,T_SelfStock[WeekIndex],96)&gt;0)*(COUNTIFS(T_TTAFStock[RM_Code],$A78,T_TTAFStock[WeekIndex],96)&gt;0)&gt;0,SUMIFS(T_SelfStock[Self_Qty],T_SelfStock[RM_Code],$A78,T_SelfStock[WeekIndex],96)+SUMIFS(T_TTAFStock[TTAF_Qty],T_TTAFStock[RM_Code],$A78,T_TTAFStock[WeekIndex],96),CR78+'Grid_Incoming'!CS78-'Grid_Requirement'!CS78))</f>
        <v/>
      </c>
      <c r="CT78">
        <f>IF(COUNTIFS(T_StockCount[RM_Code],$A78,T_StockCount[WeekIndex],97)&gt;0,SUMIFS(T_StockCount[CountedQty],T_StockCount[RM_Code],$A78,T_StockCount[WeekIndex],97),IF((COUNTIFS(T_SelfStock[RM_Code],$A78,T_SelfStock[WeekIndex],97)&gt;0)*(COUNTIFS(T_TTAFStock[RM_Code],$A78,T_TTAFStock[WeekIndex],97)&gt;0)&gt;0,SUMIFS(T_SelfStock[Self_Qty],T_SelfStock[RM_Code],$A78,T_SelfStock[WeekIndex],97)+SUMIFS(T_TTAFStock[TTAF_Qty],T_TTAFStock[RM_Code],$A78,T_TTAFStock[WeekIndex],97),CS78+'Grid_Incoming'!CT78-'Grid_Requirement'!CT78))</f>
        <v/>
      </c>
      <c r="CU78">
        <f>IF(COUNTIFS(T_StockCount[RM_Code],$A78,T_StockCount[WeekIndex],98)&gt;0,SUMIFS(T_StockCount[CountedQty],T_StockCount[RM_Code],$A78,T_StockCount[WeekIndex],98),IF((COUNTIFS(T_SelfStock[RM_Code],$A78,T_SelfStock[WeekIndex],98)&gt;0)*(COUNTIFS(T_TTAFStock[RM_Code],$A78,T_TTAFStock[WeekIndex],98)&gt;0)&gt;0,SUMIFS(T_SelfStock[Self_Qty],T_SelfStock[RM_Code],$A78,T_SelfStock[WeekIndex],98)+SUMIFS(T_TTAFStock[TTAF_Qty],T_TTAFStock[RM_Code],$A78,T_TTAFStock[WeekIndex],98),CT78+'Grid_Incoming'!CU78-'Grid_Requirement'!CU78))</f>
        <v/>
      </c>
      <c r="CV78">
        <f>IF(COUNTIFS(T_StockCount[RM_Code],$A78,T_StockCount[WeekIndex],99)&gt;0,SUMIFS(T_StockCount[CountedQty],T_StockCount[RM_Code],$A78,T_StockCount[WeekIndex],99),IF((COUNTIFS(T_SelfStock[RM_Code],$A78,T_SelfStock[WeekIndex],99)&gt;0)*(COUNTIFS(T_TTAFStock[RM_Code],$A78,T_TTAFStock[WeekIndex],99)&gt;0)&gt;0,SUMIFS(T_SelfStock[Self_Qty],T_SelfStock[RM_Code],$A78,T_SelfStock[WeekIndex],99)+SUMIFS(T_TTAFStock[TTAF_Qty],T_TTAFStock[RM_Code],$A78,T_TTAFStock[WeekIndex],99),CU78+'Grid_Incoming'!CV78-'Grid_Requirement'!CV78))</f>
        <v/>
      </c>
      <c r="CW78">
        <f>IF(COUNTIFS(T_StockCount[RM_Code],$A78,T_StockCount[WeekIndex],100)&gt;0,SUMIFS(T_StockCount[CountedQty],T_StockCount[RM_Code],$A78,T_StockCount[WeekIndex],100),IF((COUNTIFS(T_SelfStock[RM_Code],$A78,T_SelfStock[WeekIndex],100)&gt;0)*(COUNTIFS(T_TTAFStock[RM_Code],$A78,T_TTAFStock[WeekIndex],100)&gt;0)&gt;0,SUMIFS(T_SelfStock[Self_Qty],T_SelfStock[RM_Code],$A78,T_SelfStock[WeekIndex],100)+SUMIFS(T_TTAFStock[TTAF_Qty],T_TTAFStock[RM_Code],$A78,T_TTAFStock[WeekIndex],100),CV78+'Grid_Incoming'!CW78-'Grid_Requirement'!CW78))</f>
        <v/>
      </c>
      <c r="CX78">
        <f>IF(COUNTIFS(T_StockCount[RM_Code],$A78,T_StockCount[WeekIndex],101)&gt;0,SUMIFS(T_StockCount[CountedQty],T_StockCount[RM_Code],$A78,T_StockCount[WeekIndex],101),IF((COUNTIFS(T_SelfStock[RM_Code],$A78,T_SelfStock[WeekIndex],101)&gt;0)*(COUNTIFS(T_TTAFStock[RM_Code],$A78,T_TTAFStock[WeekIndex],101)&gt;0)&gt;0,SUMIFS(T_SelfStock[Self_Qty],T_SelfStock[RM_Code],$A78,T_SelfStock[WeekIndex],101)+SUMIFS(T_TTAFStock[TTAF_Qty],T_TTAFStock[RM_Code],$A78,T_TTAFStock[WeekIndex],101),CW78+'Grid_Incoming'!CX78-'Grid_Requirement'!CX78))</f>
        <v/>
      </c>
      <c r="CY78">
        <f>IF(COUNTIFS(T_StockCount[RM_Code],$A78,T_StockCount[WeekIndex],102)&gt;0,SUMIFS(T_StockCount[CountedQty],T_StockCount[RM_Code],$A78,T_StockCount[WeekIndex],102),IF((COUNTIFS(T_SelfStock[RM_Code],$A78,T_SelfStock[WeekIndex],102)&gt;0)*(COUNTIFS(T_TTAFStock[RM_Code],$A78,T_TTAFStock[WeekIndex],102)&gt;0)&gt;0,SUMIFS(T_SelfStock[Self_Qty],T_SelfStock[RM_Code],$A78,T_SelfStock[WeekIndex],102)+SUMIFS(T_TTAFStock[TTAF_Qty],T_TTAFStock[RM_Code],$A78,T_TTAFStock[WeekIndex],102),CX78+'Grid_Incoming'!CY78-'Grid_Requirement'!CY78))</f>
        <v/>
      </c>
      <c r="CZ78">
        <f>IF(COUNTIFS(T_StockCount[RM_Code],$A78,T_StockCount[WeekIndex],103)&gt;0,SUMIFS(T_StockCount[CountedQty],T_StockCount[RM_Code],$A78,T_StockCount[WeekIndex],103),IF((COUNTIFS(T_SelfStock[RM_Code],$A78,T_SelfStock[WeekIndex],103)&gt;0)*(COUNTIFS(T_TTAFStock[RM_Code],$A78,T_TTAFStock[WeekIndex],103)&gt;0)&gt;0,SUMIFS(T_SelfStock[Self_Qty],T_SelfStock[RM_Code],$A78,T_SelfStock[WeekIndex],103)+SUMIFS(T_TTAFStock[TTAF_Qty],T_TTAFStock[RM_Code],$A78,T_TTAFStock[WeekIndex],103),CY78+'Grid_Incoming'!CZ78-'Grid_Requirement'!CZ78))</f>
        <v/>
      </c>
      <c r="DA78">
        <f>IF(COUNTIFS(T_StockCount[RM_Code],$A78,T_StockCount[WeekIndex],104)&gt;0,SUMIFS(T_StockCount[CountedQty],T_StockCount[RM_Code],$A78,T_StockCount[WeekIndex],104),IF((COUNTIFS(T_SelfStock[RM_Code],$A78,T_SelfStock[WeekIndex],104)&gt;0)*(COUNTIFS(T_TTAFStock[RM_Code],$A78,T_TTAFStock[WeekIndex],104)&gt;0)&gt;0,SUMIFS(T_SelfStock[Self_Qty],T_SelfStock[RM_Code],$A78,T_SelfStock[WeekIndex],104)+SUMIFS(T_TTAFStock[TTAF_Qty],T_TTAFStock[RM_Code],$A78,T_TTAFStock[WeekIndex],104),CZ78+'Grid_Incoming'!DA78-'Grid_Requirement'!DA78))</f>
        <v/>
      </c>
    </row>
    <row r="79">
      <c r="A79" t="inlineStr">
        <is>
          <t>Chem-1490</t>
        </is>
      </c>
      <c r="B79">
        <f>IF(COUNTIFS(T_StockCount[RM_Code],$A79,T_StockCount[WeekIndex],1)&gt;0,SUMIFS(T_StockCount[CountedQty],T_StockCount[RM_Code],$A79,T_StockCount[WeekIndex],1),IF((COUNTIFS(T_SelfStock[RM_Code],$A79,T_SelfStock[WeekIndex],1)&gt;0)*(COUNTIFS(T_TTAFStock[RM_Code],$A79,T_TTAFStock[WeekIndex],1)&gt;0)&gt;0,SUMIFS(T_SelfStock[Self_Qty],T_SelfStock[RM_Code],$A79,T_SelfStock[WeekIndex],1)+SUMIFS(T_TTAFStock[TTAF_Qty],T_TTAFStock[RM_Code],$A79,T_TTAFStock[WeekIndex],1),IFERROR(INDEX(T_OpeningStock[Opening_Qty],MATCH($A79,T_OpeningStock[RM_Code],0)),0)+'Grid_Incoming'!B79-'Grid_Requirement'!B79))</f>
        <v/>
      </c>
      <c r="C79">
        <f>IF(COUNTIFS(T_StockCount[RM_Code],$A79,T_StockCount[WeekIndex],2)&gt;0,SUMIFS(T_StockCount[CountedQty],T_StockCount[RM_Code],$A79,T_StockCount[WeekIndex],2),IF((COUNTIFS(T_SelfStock[RM_Code],$A79,T_SelfStock[WeekIndex],2)&gt;0)*(COUNTIFS(T_TTAFStock[RM_Code],$A79,T_TTAFStock[WeekIndex],2)&gt;0)&gt;0,SUMIFS(T_SelfStock[Self_Qty],T_SelfStock[RM_Code],$A79,T_SelfStock[WeekIndex],2)+SUMIFS(T_TTAFStock[TTAF_Qty],T_TTAFStock[RM_Code],$A79,T_TTAFStock[WeekIndex],2),B79+'Grid_Incoming'!C79-'Grid_Requirement'!C79))</f>
        <v/>
      </c>
      <c r="D79">
        <f>IF(COUNTIFS(T_StockCount[RM_Code],$A79,T_StockCount[WeekIndex],3)&gt;0,SUMIFS(T_StockCount[CountedQty],T_StockCount[RM_Code],$A79,T_StockCount[WeekIndex],3),IF((COUNTIFS(T_SelfStock[RM_Code],$A79,T_SelfStock[WeekIndex],3)&gt;0)*(COUNTIFS(T_TTAFStock[RM_Code],$A79,T_TTAFStock[WeekIndex],3)&gt;0)&gt;0,SUMIFS(T_SelfStock[Self_Qty],T_SelfStock[RM_Code],$A79,T_SelfStock[WeekIndex],3)+SUMIFS(T_TTAFStock[TTAF_Qty],T_TTAFStock[RM_Code],$A79,T_TTAFStock[WeekIndex],3),C79+'Grid_Incoming'!D79-'Grid_Requirement'!D79))</f>
        <v/>
      </c>
      <c r="E79">
        <f>IF(COUNTIFS(T_StockCount[RM_Code],$A79,T_StockCount[WeekIndex],4)&gt;0,SUMIFS(T_StockCount[CountedQty],T_StockCount[RM_Code],$A79,T_StockCount[WeekIndex],4),IF((COUNTIFS(T_SelfStock[RM_Code],$A79,T_SelfStock[WeekIndex],4)&gt;0)*(COUNTIFS(T_TTAFStock[RM_Code],$A79,T_TTAFStock[WeekIndex],4)&gt;0)&gt;0,SUMIFS(T_SelfStock[Self_Qty],T_SelfStock[RM_Code],$A79,T_SelfStock[WeekIndex],4)+SUMIFS(T_TTAFStock[TTAF_Qty],T_TTAFStock[RM_Code],$A79,T_TTAFStock[WeekIndex],4),D79+'Grid_Incoming'!E79-'Grid_Requirement'!E79))</f>
        <v/>
      </c>
      <c r="F79">
        <f>IF(COUNTIFS(T_StockCount[RM_Code],$A79,T_StockCount[WeekIndex],5)&gt;0,SUMIFS(T_StockCount[CountedQty],T_StockCount[RM_Code],$A79,T_StockCount[WeekIndex],5),IF((COUNTIFS(T_SelfStock[RM_Code],$A79,T_SelfStock[WeekIndex],5)&gt;0)*(COUNTIFS(T_TTAFStock[RM_Code],$A79,T_TTAFStock[WeekIndex],5)&gt;0)&gt;0,SUMIFS(T_SelfStock[Self_Qty],T_SelfStock[RM_Code],$A79,T_SelfStock[WeekIndex],5)+SUMIFS(T_TTAFStock[TTAF_Qty],T_TTAFStock[RM_Code],$A79,T_TTAFStock[WeekIndex],5),E79+'Grid_Incoming'!F79-'Grid_Requirement'!F79))</f>
        <v/>
      </c>
      <c r="G79">
        <f>IF(COUNTIFS(T_StockCount[RM_Code],$A79,T_StockCount[WeekIndex],6)&gt;0,SUMIFS(T_StockCount[CountedQty],T_StockCount[RM_Code],$A79,T_StockCount[WeekIndex],6),IF((COUNTIFS(T_SelfStock[RM_Code],$A79,T_SelfStock[WeekIndex],6)&gt;0)*(COUNTIFS(T_TTAFStock[RM_Code],$A79,T_TTAFStock[WeekIndex],6)&gt;0)&gt;0,SUMIFS(T_SelfStock[Self_Qty],T_SelfStock[RM_Code],$A79,T_SelfStock[WeekIndex],6)+SUMIFS(T_TTAFStock[TTAF_Qty],T_TTAFStock[RM_Code],$A79,T_TTAFStock[WeekIndex],6),F79+'Grid_Incoming'!G79-'Grid_Requirement'!G79))</f>
        <v/>
      </c>
      <c r="H79">
        <f>IF(COUNTIFS(T_StockCount[RM_Code],$A79,T_StockCount[WeekIndex],7)&gt;0,SUMIFS(T_StockCount[CountedQty],T_StockCount[RM_Code],$A79,T_StockCount[WeekIndex],7),IF((COUNTIFS(T_SelfStock[RM_Code],$A79,T_SelfStock[WeekIndex],7)&gt;0)*(COUNTIFS(T_TTAFStock[RM_Code],$A79,T_TTAFStock[WeekIndex],7)&gt;0)&gt;0,SUMIFS(T_SelfStock[Self_Qty],T_SelfStock[RM_Code],$A79,T_SelfStock[WeekIndex],7)+SUMIFS(T_TTAFStock[TTAF_Qty],T_TTAFStock[RM_Code],$A79,T_TTAFStock[WeekIndex],7),G79+'Grid_Incoming'!H79-'Grid_Requirement'!H79))</f>
        <v/>
      </c>
      <c r="I79">
        <f>IF(COUNTIFS(T_StockCount[RM_Code],$A79,T_StockCount[WeekIndex],8)&gt;0,SUMIFS(T_StockCount[CountedQty],T_StockCount[RM_Code],$A79,T_StockCount[WeekIndex],8),IF((COUNTIFS(T_SelfStock[RM_Code],$A79,T_SelfStock[WeekIndex],8)&gt;0)*(COUNTIFS(T_TTAFStock[RM_Code],$A79,T_TTAFStock[WeekIndex],8)&gt;0)&gt;0,SUMIFS(T_SelfStock[Self_Qty],T_SelfStock[RM_Code],$A79,T_SelfStock[WeekIndex],8)+SUMIFS(T_TTAFStock[TTAF_Qty],T_TTAFStock[RM_Code],$A79,T_TTAFStock[WeekIndex],8),H79+'Grid_Incoming'!I79-'Grid_Requirement'!I79))</f>
        <v/>
      </c>
      <c r="J79">
        <f>IF(COUNTIFS(T_StockCount[RM_Code],$A79,T_StockCount[WeekIndex],9)&gt;0,SUMIFS(T_StockCount[CountedQty],T_StockCount[RM_Code],$A79,T_StockCount[WeekIndex],9),IF((COUNTIFS(T_SelfStock[RM_Code],$A79,T_SelfStock[WeekIndex],9)&gt;0)*(COUNTIFS(T_TTAFStock[RM_Code],$A79,T_TTAFStock[WeekIndex],9)&gt;0)&gt;0,SUMIFS(T_SelfStock[Self_Qty],T_SelfStock[RM_Code],$A79,T_SelfStock[WeekIndex],9)+SUMIFS(T_TTAFStock[TTAF_Qty],T_TTAFStock[RM_Code],$A79,T_TTAFStock[WeekIndex],9),I79+'Grid_Incoming'!J79-'Grid_Requirement'!J79))</f>
        <v/>
      </c>
      <c r="K79">
        <f>IF(COUNTIFS(T_StockCount[RM_Code],$A79,T_StockCount[WeekIndex],10)&gt;0,SUMIFS(T_StockCount[CountedQty],T_StockCount[RM_Code],$A79,T_StockCount[WeekIndex],10),IF((COUNTIFS(T_SelfStock[RM_Code],$A79,T_SelfStock[WeekIndex],10)&gt;0)*(COUNTIFS(T_TTAFStock[RM_Code],$A79,T_TTAFStock[WeekIndex],10)&gt;0)&gt;0,SUMIFS(T_SelfStock[Self_Qty],T_SelfStock[RM_Code],$A79,T_SelfStock[WeekIndex],10)+SUMIFS(T_TTAFStock[TTAF_Qty],T_TTAFStock[RM_Code],$A79,T_TTAFStock[WeekIndex],10),J79+'Grid_Incoming'!K79-'Grid_Requirement'!K79))</f>
        <v/>
      </c>
      <c r="L79">
        <f>IF(COUNTIFS(T_StockCount[RM_Code],$A79,T_StockCount[WeekIndex],11)&gt;0,SUMIFS(T_StockCount[CountedQty],T_StockCount[RM_Code],$A79,T_StockCount[WeekIndex],11),IF((COUNTIFS(T_SelfStock[RM_Code],$A79,T_SelfStock[WeekIndex],11)&gt;0)*(COUNTIFS(T_TTAFStock[RM_Code],$A79,T_TTAFStock[WeekIndex],11)&gt;0)&gt;0,SUMIFS(T_SelfStock[Self_Qty],T_SelfStock[RM_Code],$A79,T_SelfStock[WeekIndex],11)+SUMIFS(T_TTAFStock[TTAF_Qty],T_TTAFStock[RM_Code],$A79,T_TTAFStock[WeekIndex],11),K79+'Grid_Incoming'!L79-'Grid_Requirement'!L79))</f>
        <v/>
      </c>
      <c r="M79">
        <f>IF(COUNTIFS(T_StockCount[RM_Code],$A79,T_StockCount[WeekIndex],12)&gt;0,SUMIFS(T_StockCount[CountedQty],T_StockCount[RM_Code],$A79,T_StockCount[WeekIndex],12),IF((COUNTIFS(T_SelfStock[RM_Code],$A79,T_SelfStock[WeekIndex],12)&gt;0)*(COUNTIFS(T_TTAFStock[RM_Code],$A79,T_TTAFStock[WeekIndex],12)&gt;0)&gt;0,SUMIFS(T_SelfStock[Self_Qty],T_SelfStock[RM_Code],$A79,T_SelfStock[WeekIndex],12)+SUMIFS(T_TTAFStock[TTAF_Qty],T_TTAFStock[RM_Code],$A79,T_TTAFStock[WeekIndex],12),L79+'Grid_Incoming'!M79-'Grid_Requirement'!M79))</f>
        <v/>
      </c>
      <c r="N79">
        <f>IF(COUNTIFS(T_StockCount[RM_Code],$A79,T_StockCount[WeekIndex],13)&gt;0,SUMIFS(T_StockCount[CountedQty],T_StockCount[RM_Code],$A79,T_StockCount[WeekIndex],13),IF((COUNTIFS(T_SelfStock[RM_Code],$A79,T_SelfStock[WeekIndex],13)&gt;0)*(COUNTIFS(T_TTAFStock[RM_Code],$A79,T_TTAFStock[WeekIndex],13)&gt;0)&gt;0,SUMIFS(T_SelfStock[Self_Qty],T_SelfStock[RM_Code],$A79,T_SelfStock[WeekIndex],13)+SUMIFS(T_TTAFStock[TTAF_Qty],T_TTAFStock[RM_Code],$A79,T_TTAFStock[WeekIndex],13),M79+'Grid_Incoming'!N79-'Grid_Requirement'!N79))</f>
        <v/>
      </c>
      <c r="O79">
        <f>IF(COUNTIFS(T_StockCount[RM_Code],$A79,T_StockCount[WeekIndex],14)&gt;0,SUMIFS(T_StockCount[CountedQty],T_StockCount[RM_Code],$A79,T_StockCount[WeekIndex],14),IF((COUNTIFS(T_SelfStock[RM_Code],$A79,T_SelfStock[WeekIndex],14)&gt;0)*(COUNTIFS(T_TTAFStock[RM_Code],$A79,T_TTAFStock[WeekIndex],14)&gt;0)&gt;0,SUMIFS(T_SelfStock[Self_Qty],T_SelfStock[RM_Code],$A79,T_SelfStock[WeekIndex],14)+SUMIFS(T_TTAFStock[TTAF_Qty],T_TTAFStock[RM_Code],$A79,T_TTAFStock[WeekIndex],14),N79+'Grid_Incoming'!O79-'Grid_Requirement'!O79))</f>
        <v/>
      </c>
      <c r="P79">
        <f>IF(COUNTIFS(T_StockCount[RM_Code],$A79,T_StockCount[WeekIndex],15)&gt;0,SUMIFS(T_StockCount[CountedQty],T_StockCount[RM_Code],$A79,T_StockCount[WeekIndex],15),IF((COUNTIFS(T_SelfStock[RM_Code],$A79,T_SelfStock[WeekIndex],15)&gt;0)*(COUNTIFS(T_TTAFStock[RM_Code],$A79,T_TTAFStock[WeekIndex],15)&gt;0)&gt;0,SUMIFS(T_SelfStock[Self_Qty],T_SelfStock[RM_Code],$A79,T_SelfStock[WeekIndex],15)+SUMIFS(T_TTAFStock[TTAF_Qty],T_TTAFStock[RM_Code],$A79,T_TTAFStock[WeekIndex],15),O79+'Grid_Incoming'!P79-'Grid_Requirement'!P79))</f>
        <v/>
      </c>
      <c r="Q79">
        <f>IF(COUNTIFS(T_StockCount[RM_Code],$A79,T_StockCount[WeekIndex],16)&gt;0,SUMIFS(T_StockCount[CountedQty],T_StockCount[RM_Code],$A79,T_StockCount[WeekIndex],16),IF((COUNTIFS(T_SelfStock[RM_Code],$A79,T_SelfStock[WeekIndex],16)&gt;0)*(COUNTIFS(T_TTAFStock[RM_Code],$A79,T_TTAFStock[WeekIndex],16)&gt;0)&gt;0,SUMIFS(T_SelfStock[Self_Qty],T_SelfStock[RM_Code],$A79,T_SelfStock[WeekIndex],16)+SUMIFS(T_TTAFStock[TTAF_Qty],T_TTAFStock[RM_Code],$A79,T_TTAFStock[WeekIndex],16),P79+'Grid_Incoming'!Q79-'Grid_Requirement'!Q79))</f>
        <v/>
      </c>
      <c r="R79">
        <f>IF(COUNTIFS(T_StockCount[RM_Code],$A79,T_StockCount[WeekIndex],17)&gt;0,SUMIFS(T_StockCount[CountedQty],T_StockCount[RM_Code],$A79,T_StockCount[WeekIndex],17),IF((COUNTIFS(T_SelfStock[RM_Code],$A79,T_SelfStock[WeekIndex],17)&gt;0)*(COUNTIFS(T_TTAFStock[RM_Code],$A79,T_TTAFStock[WeekIndex],17)&gt;0)&gt;0,SUMIFS(T_SelfStock[Self_Qty],T_SelfStock[RM_Code],$A79,T_SelfStock[WeekIndex],17)+SUMIFS(T_TTAFStock[TTAF_Qty],T_TTAFStock[RM_Code],$A79,T_TTAFStock[WeekIndex],17),Q79+'Grid_Incoming'!R79-'Grid_Requirement'!R79))</f>
        <v/>
      </c>
      <c r="S79">
        <f>IF(COUNTIFS(T_StockCount[RM_Code],$A79,T_StockCount[WeekIndex],18)&gt;0,SUMIFS(T_StockCount[CountedQty],T_StockCount[RM_Code],$A79,T_StockCount[WeekIndex],18),IF((COUNTIFS(T_SelfStock[RM_Code],$A79,T_SelfStock[WeekIndex],18)&gt;0)*(COUNTIFS(T_TTAFStock[RM_Code],$A79,T_TTAFStock[WeekIndex],18)&gt;0)&gt;0,SUMIFS(T_SelfStock[Self_Qty],T_SelfStock[RM_Code],$A79,T_SelfStock[WeekIndex],18)+SUMIFS(T_TTAFStock[TTAF_Qty],T_TTAFStock[RM_Code],$A79,T_TTAFStock[WeekIndex],18),R79+'Grid_Incoming'!S79-'Grid_Requirement'!S79))</f>
        <v/>
      </c>
      <c r="T79">
        <f>IF(COUNTIFS(T_StockCount[RM_Code],$A79,T_StockCount[WeekIndex],19)&gt;0,SUMIFS(T_StockCount[CountedQty],T_StockCount[RM_Code],$A79,T_StockCount[WeekIndex],19),IF((COUNTIFS(T_SelfStock[RM_Code],$A79,T_SelfStock[WeekIndex],19)&gt;0)*(COUNTIFS(T_TTAFStock[RM_Code],$A79,T_TTAFStock[WeekIndex],19)&gt;0)&gt;0,SUMIFS(T_SelfStock[Self_Qty],T_SelfStock[RM_Code],$A79,T_SelfStock[WeekIndex],19)+SUMIFS(T_TTAFStock[TTAF_Qty],T_TTAFStock[RM_Code],$A79,T_TTAFStock[WeekIndex],19),S79+'Grid_Incoming'!T79-'Grid_Requirement'!T79))</f>
        <v/>
      </c>
      <c r="U79">
        <f>IF(COUNTIFS(T_StockCount[RM_Code],$A79,T_StockCount[WeekIndex],20)&gt;0,SUMIFS(T_StockCount[CountedQty],T_StockCount[RM_Code],$A79,T_StockCount[WeekIndex],20),IF((COUNTIFS(T_SelfStock[RM_Code],$A79,T_SelfStock[WeekIndex],20)&gt;0)*(COUNTIFS(T_TTAFStock[RM_Code],$A79,T_TTAFStock[WeekIndex],20)&gt;0)&gt;0,SUMIFS(T_SelfStock[Self_Qty],T_SelfStock[RM_Code],$A79,T_SelfStock[WeekIndex],20)+SUMIFS(T_TTAFStock[TTAF_Qty],T_TTAFStock[RM_Code],$A79,T_TTAFStock[WeekIndex],20),T79+'Grid_Incoming'!U79-'Grid_Requirement'!U79))</f>
        <v/>
      </c>
      <c r="V79">
        <f>IF(COUNTIFS(T_StockCount[RM_Code],$A79,T_StockCount[WeekIndex],21)&gt;0,SUMIFS(T_StockCount[CountedQty],T_StockCount[RM_Code],$A79,T_StockCount[WeekIndex],21),IF((COUNTIFS(T_SelfStock[RM_Code],$A79,T_SelfStock[WeekIndex],21)&gt;0)*(COUNTIFS(T_TTAFStock[RM_Code],$A79,T_TTAFStock[WeekIndex],21)&gt;0)&gt;0,SUMIFS(T_SelfStock[Self_Qty],T_SelfStock[RM_Code],$A79,T_SelfStock[WeekIndex],21)+SUMIFS(T_TTAFStock[TTAF_Qty],T_TTAFStock[RM_Code],$A79,T_TTAFStock[WeekIndex],21),U79+'Grid_Incoming'!V79-'Grid_Requirement'!V79))</f>
        <v/>
      </c>
      <c r="W79">
        <f>IF(COUNTIFS(T_StockCount[RM_Code],$A79,T_StockCount[WeekIndex],22)&gt;0,SUMIFS(T_StockCount[CountedQty],T_StockCount[RM_Code],$A79,T_StockCount[WeekIndex],22),IF((COUNTIFS(T_SelfStock[RM_Code],$A79,T_SelfStock[WeekIndex],22)&gt;0)*(COUNTIFS(T_TTAFStock[RM_Code],$A79,T_TTAFStock[WeekIndex],22)&gt;0)&gt;0,SUMIFS(T_SelfStock[Self_Qty],T_SelfStock[RM_Code],$A79,T_SelfStock[WeekIndex],22)+SUMIFS(T_TTAFStock[TTAF_Qty],T_TTAFStock[RM_Code],$A79,T_TTAFStock[WeekIndex],22),V79+'Grid_Incoming'!W79-'Grid_Requirement'!W79))</f>
        <v/>
      </c>
      <c r="X79">
        <f>IF(COUNTIFS(T_StockCount[RM_Code],$A79,T_StockCount[WeekIndex],23)&gt;0,SUMIFS(T_StockCount[CountedQty],T_StockCount[RM_Code],$A79,T_StockCount[WeekIndex],23),IF((COUNTIFS(T_SelfStock[RM_Code],$A79,T_SelfStock[WeekIndex],23)&gt;0)*(COUNTIFS(T_TTAFStock[RM_Code],$A79,T_TTAFStock[WeekIndex],23)&gt;0)&gt;0,SUMIFS(T_SelfStock[Self_Qty],T_SelfStock[RM_Code],$A79,T_SelfStock[WeekIndex],23)+SUMIFS(T_TTAFStock[TTAF_Qty],T_TTAFStock[RM_Code],$A79,T_TTAFStock[WeekIndex],23),W79+'Grid_Incoming'!X79-'Grid_Requirement'!X79))</f>
        <v/>
      </c>
      <c r="Y79">
        <f>IF(COUNTIFS(T_StockCount[RM_Code],$A79,T_StockCount[WeekIndex],24)&gt;0,SUMIFS(T_StockCount[CountedQty],T_StockCount[RM_Code],$A79,T_StockCount[WeekIndex],24),IF((COUNTIFS(T_SelfStock[RM_Code],$A79,T_SelfStock[WeekIndex],24)&gt;0)*(COUNTIFS(T_TTAFStock[RM_Code],$A79,T_TTAFStock[WeekIndex],24)&gt;0)&gt;0,SUMIFS(T_SelfStock[Self_Qty],T_SelfStock[RM_Code],$A79,T_SelfStock[WeekIndex],24)+SUMIFS(T_TTAFStock[TTAF_Qty],T_TTAFStock[RM_Code],$A79,T_TTAFStock[WeekIndex],24),X79+'Grid_Incoming'!Y79-'Grid_Requirement'!Y79))</f>
        <v/>
      </c>
      <c r="Z79">
        <f>IF(COUNTIFS(T_StockCount[RM_Code],$A79,T_StockCount[WeekIndex],25)&gt;0,SUMIFS(T_StockCount[CountedQty],T_StockCount[RM_Code],$A79,T_StockCount[WeekIndex],25),IF((COUNTIFS(T_SelfStock[RM_Code],$A79,T_SelfStock[WeekIndex],25)&gt;0)*(COUNTIFS(T_TTAFStock[RM_Code],$A79,T_TTAFStock[WeekIndex],25)&gt;0)&gt;0,SUMIFS(T_SelfStock[Self_Qty],T_SelfStock[RM_Code],$A79,T_SelfStock[WeekIndex],25)+SUMIFS(T_TTAFStock[TTAF_Qty],T_TTAFStock[RM_Code],$A79,T_TTAFStock[WeekIndex],25),Y79+'Grid_Incoming'!Z79-'Grid_Requirement'!Z79))</f>
        <v/>
      </c>
      <c r="AA79">
        <f>IF(COUNTIFS(T_StockCount[RM_Code],$A79,T_StockCount[WeekIndex],26)&gt;0,SUMIFS(T_StockCount[CountedQty],T_StockCount[RM_Code],$A79,T_StockCount[WeekIndex],26),IF((COUNTIFS(T_SelfStock[RM_Code],$A79,T_SelfStock[WeekIndex],26)&gt;0)*(COUNTIFS(T_TTAFStock[RM_Code],$A79,T_TTAFStock[WeekIndex],26)&gt;0)&gt;0,SUMIFS(T_SelfStock[Self_Qty],T_SelfStock[RM_Code],$A79,T_SelfStock[WeekIndex],26)+SUMIFS(T_TTAFStock[TTAF_Qty],T_TTAFStock[RM_Code],$A79,T_TTAFStock[WeekIndex],26),Z79+'Grid_Incoming'!AA79-'Grid_Requirement'!AA79))</f>
        <v/>
      </c>
      <c r="AB79">
        <f>IF(COUNTIFS(T_StockCount[RM_Code],$A79,T_StockCount[WeekIndex],27)&gt;0,SUMIFS(T_StockCount[CountedQty],T_StockCount[RM_Code],$A79,T_StockCount[WeekIndex],27),IF((COUNTIFS(T_SelfStock[RM_Code],$A79,T_SelfStock[WeekIndex],27)&gt;0)*(COUNTIFS(T_TTAFStock[RM_Code],$A79,T_TTAFStock[WeekIndex],27)&gt;0)&gt;0,SUMIFS(T_SelfStock[Self_Qty],T_SelfStock[RM_Code],$A79,T_SelfStock[WeekIndex],27)+SUMIFS(T_TTAFStock[TTAF_Qty],T_TTAFStock[RM_Code],$A79,T_TTAFStock[WeekIndex],27),AA79+'Grid_Incoming'!AB79-'Grid_Requirement'!AB79))</f>
        <v/>
      </c>
      <c r="AC79">
        <f>IF(COUNTIFS(T_StockCount[RM_Code],$A79,T_StockCount[WeekIndex],28)&gt;0,SUMIFS(T_StockCount[CountedQty],T_StockCount[RM_Code],$A79,T_StockCount[WeekIndex],28),IF((COUNTIFS(T_SelfStock[RM_Code],$A79,T_SelfStock[WeekIndex],28)&gt;0)*(COUNTIFS(T_TTAFStock[RM_Code],$A79,T_TTAFStock[WeekIndex],28)&gt;0)&gt;0,SUMIFS(T_SelfStock[Self_Qty],T_SelfStock[RM_Code],$A79,T_SelfStock[WeekIndex],28)+SUMIFS(T_TTAFStock[TTAF_Qty],T_TTAFStock[RM_Code],$A79,T_TTAFStock[WeekIndex],28),AB79+'Grid_Incoming'!AC79-'Grid_Requirement'!AC79))</f>
        <v/>
      </c>
      <c r="AD79">
        <f>IF(COUNTIFS(T_StockCount[RM_Code],$A79,T_StockCount[WeekIndex],29)&gt;0,SUMIFS(T_StockCount[CountedQty],T_StockCount[RM_Code],$A79,T_StockCount[WeekIndex],29),IF((COUNTIFS(T_SelfStock[RM_Code],$A79,T_SelfStock[WeekIndex],29)&gt;0)*(COUNTIFS(T_TTAFStock[RM_Code],$A79,T_TTAFStock[WeekIndex],29)&gt;0)&gt;0,SUMIFS(T_SelfStock[Self_Qty],T_SelfStock[RM_Code],$A79,T_SelfStock[WeekIndex],29)+SUMIFS(T_TTAFStock[TTAF_Qty],T_TTAFStock[RM_Code],$A79,T_TTAFStock[WeekIndex],29),AC79+'Grid_Incoming'!AD79-'Grid_Requirement'!AD79))</f>
        <v/>
      </c>
      <c r="AE79">
        <f>IF(COUNTIFS(T_StockCount[RM_Code],$A79,T_StockCount[WeekIndex],30)&gt;0,SUMIFS(T_StockCount[CountedQty],T_StockCount[RM_Code],$A79,T_StockCount[WeekIndex],30),IF((COUNTIFS(T_SelfStock[RM_Code],$A79,T_SelfStock[WeekIndex],30)&gt;0)*(COUNTIFS(T_TTAFStock[RM_Code],$A79,T_TTAFStock[WeekIndex],30)&gt;0)&gt;0,SUMIFS(T_SelfStock[Self_Qty],T_SelfStock[RM_Code],$A79,T_SelfStock[WeekIndex],30)+SUMIFS(T_TTAFStock[TTAF_Qty],T_TTAFStock[RM_Code],$A79,T_TTAFStock[WeekIndex],30),AD79+'Grid_Incoming'!AE79-'Grid_Requirement'!AE79))</f>
        <v/>
      </c>
      <c r="AF79">
        <f>IF(COUNTIFS(T_StockCount[RM_Code],$A79,T_StockCount[WeekIndex],31)&gt;0,SUMIFS(T_StockCount[CountedQty],T_StockCount[RM_Code],$A79,T_StockCount[WeekIndex],31),IF((COUNTIFS(T_SelfStock[RM_Code],$A79,T_SelfStock[WeekIndex],31)&gt;0)*(COUNTIFS(T_TTAFStock[RM_Code],$A79,T_TTAFStock[WeekIndex],31)&gt;0)&gt;0,SUMIFS(T_SelfStock[Self_Qty],T_SelfStock[RM_Code],$A79,T_SelfStock[WeekIndex],31)+SUMIFS(T_TTAFStock[TTAF_Qty],T_TTAFStock[RM_Code],$A79,T_TTAFStock[WeekIndex],31),AE79+'Grid_Incoming'!AF79-'Grid_Requirement'!AF79))</f>
        <v/>
      </c>
      <c r="AG79">
        <f>IF(COUNTIFS(T_StockCount[RM_Code],$A79,T_StockCount[WeekIndex],32)&gt;0,SUMIFS(T_StockCount[CountedQty],T_StockCount[RM_Code],$A79,T_StockCount[WeekIndex],32),IF((COUNTIFS(T_SelfStock[RM_Code],$A79,T_SelfStock[WeekIndex],32)&gt;0)*(COUNTIFS(T_TTAFStock[RM_Code],$A79,T_TTAFStock[WeekIndex],32)&gt;0)&gt;0,SUMIFS(T_SelfStock[Self_Qty],T_SelfStock[RM_Code],$A79,T_SelfStock[WeekIndex],32)+SUMIFS(T_TTAFStock[TTAF_Qty],T_TTAFStock[RM_Code],$A79,T_TTAFStock[WeekIndex],32),AF79+'Grid_Incoming'!AG79-'Grid_Requirement'!AG79))</f>
        <v/>
      </c>
      <c r="AH79">
        <f>IF(COUNTIFS(T_StockCount[RM_Code],$A79,T_StockCount[WeekIndex],33)&gt;0,SUMIFS(T_StockCount[CountedQty],T_StockCount[RM_Code],$A79,T_StockCount[WeekIndex],33),IF((COUNTIFS(T_SelfStock[RM_Code],$A79,T_SelfStock[WeekIndex],33)&gt;0)*(COUNTIFS(T_TTAFStock[RM_Code],$A79,T_TTAFStock[WeekIndex],33)&gt;0)&gt;0,SUMIFS(T_SelfStock[Self_Qty],T_SelfStock[RM_Code],$A79,T_SelfStock[WeekIndex],33)+SUMIFS(T_TTAFStock[TTAF_Qty],T_TTAFStock[RM_Code],$A79,T_TTAFStock[WeekIndex],33),AG79+'Grid_Incoming'!AH79-'Grid_Requirement'!AH79))</f>
        <v/>
      </c>
      <c r="AI79">
        <f>IF(COUNTIFS(T_StockCount[RM_Code],$A79,T_StockCount[WeekIndex],34)&gt;0,SUMIFS(T_StockCount[CountedQty],T_StockCount[RM_Code],$A79,T_StockCount[WeekIndex],34),IF((COUNTIFS(T_SelfStock[RM_Code],$A79,T_SelfStock[WeekIndex],34)&gt;0)*(COUNTIFS(T_TTAFStock[RM_Code],$A79,T_TTAFStock[WeekIndex],34)&gt;0)&gt;0,SUMIFS(T_SelfStock[Self_Qty],T_SelfStock[RM_Code],$A79,T_SelfStock[WeekIndex],34)+SUMIFS(T_TTAFStock[TTAF_Qty],T_TTAFStock[RM_Code],$A79,T_TTAFStock[WeekIndex],34),AH79+'Grid_Incoming'!AI79-'Grid_Requirement'!AI79))</f>
        <v/>
      </c>
      <c r="AJ79">
        <f>IF(COUNTIFS(T_StockCount[RM_Code],$A79,T_StockCount[WeekIndex],35)&gt;0,SUMIFS(T_StockCount[CountedQty],T_StockCount[RM_Code],$A79,T_StockCount[WeekIndex],35),IF((COUNTIFS(T_SelfStock[RM_Code],$A79,T_SelfStock[WeekIndex],35)&gt;0)*(COUNTIFS(T_TTAFStock[RM_Code],$A79,T_TTAFStock[WeekIndex],35)&gt;0)&gt;0,SUMIFS(T_SelfStock[Self_Qty],T_SelfStock[RM_Code],$A79,T_SelfStock[WeekIndex],35)+SUMIFS(T_TTAFStock[TTAF_Qty],T_TTAFStock[RM_Code],$A79,T_TTAFStock[WeekIndex],35),AI79+'Grid_Incoming'!AJ79-'Grid_Requirement'!AJ79))</f>
        <v/>
      </c>
      <c r="AK79">
        <f>IF(COUNTIFS(T_StockCount[RM_Code],$A79,T_StockCount[WeekIndex],36)&gt;0,SUMIFS(T_StockCount[CountedQty],T_StockCount[RM_Code],$A79,T_StockCount[WeekIndex],36),IF((COUNTIFS(T_SelfStock[RM_Code],$A79,T_SelfStock[WeekIndex],36)&gt;0)*(COUNTIFS(T_TTAFStock[RM_Code],$A79,T_TTAFStock[WeekIndex],36)&gt;0)&gt;0,SUMIFS(T_SelfStock[Self_Qty],T_SelfStock[RM_Code],$A79,T_SelfStock[WeekIndex],36)+SUMIFS(T_TTAFStock[TTAF_Qty],T_TTAFStock[RM_Code],$A79,T_TTAFStock[WeekIndex],36),AJ79+'Grid_Incoming'!AK79-'Grid_Requirement'!AK79))</f>
        <v/>
      </c>
      <c r="AL79">
        <f>IF(COUNTIFS(T_StockCount[RM_Code],$A79,T_StockCount[WeekIndex],37)&gt;0,SUMIFS(T_StockCount[CountedQty],T_StockCount[RM_Code],$A79,T_StockCount[WeekIndex],37),IF((COUNTIFS(T_SelfStock[RM_Code],$A79,T_SelfStock[WeekIndex],37)&gt;0)*(COUNTIFS(T_TTAFStock[RM_Code],$A79,T_TTAFStock[WeekIndex],37)&gt;0)&gt;0,SUMIFS(T_SelfStock[Self_Qty],T_SelfStock[RM_Code],$A79,T_SelfStock[WeekIndex],37)+SUMIFS(T_TTAFStock[TTAF_Qty],T_TTAFStock[RM_Code],$A79,T_TTAFStock[WeekIndex],37),AK79+'Grid_Incoming'!AL79-'Grid_Requirement'!AL79))</f>
        <v/>
      </c>
      <c r="AM79">
        <f>IF(COUNTIFS(T_StockCount[RM_Code],$A79,T_StockCount[WeekIndex],38)&gt;0,SUMIFS(T_StockCount[CountedQty],T_StockCount[RM_Code],$A79,T_StockCount[WeekIndex],38),IF((COUNTIFS(T_SelfStock[RM_Code],$A79,T_SelfStock[WeekIndex],38)&gt;0)*(COUNTIFS(T_TTAFStock[RM_Code],$A79,T_TTAFStock[WeekIndex],38)&gt;0)&gt;0,SUMIFS(T_SelfStock[Self_Qty],T_SelfStock[RM_Code],$A79,T_SelfStock[WeekIndex],38)+SUMIFS(T_TTAFStock[TTAF_Qty],T_TTAFStock[RM_Code],$A79,T_TTAFStock[WeekIndex],38),AL79+'Grid_Incoming'!AM79-'Grid_Requirement'!AM79))</f>
        <v/>
      </c>
      <c r="AN79">
        <f>IF(COUNTIFS(T_StockCount[RM_Code],$A79,T_StockCount[WeekIndex],39)&gt;0,SUMIFS(T_StockCount[CountedQty],T_StockCount[RM_Code],$A79,T_StockCount[WeekIndex],39),IF((COUNTIFS(T_SelfStock[RM_Code],$A79,T_SelfStock[WeekIndex],39)&gt;0)*(COUNTIFS(T_TTAFStock[RM_Code],$A79,T_TTAFStock[WeekIndex],39)&gt;0)&gt;0,SUMIFS(T_SelfStock[Self_Qty],T_SelfStock[RM_Code],$A79,T_SelfStock[WeekIndex],39)+SUMIFS(T_TTAFStock[TTAF_Qty],T_TTAFStock[RM_Code],$A79,T_TTAFStock[WeekIndex],39),AM79+'Grid_Incoming'!AN79-'Grid_Requirement'!AN79))</f>
        <v/>
      </c>
      <c r="AO79">
        <f>IF(COUNTIFS(T_StockCount[RM_Code],$A79,T_StockCount[WeekIndex],40)&gt;0,SUMIFS(T_StockCount[CountedQty],T_StockCount[RM_Code],$A79,T_StockCount[WeekIndex],40),IF((COUNTIFS(T_SelfStock[RM_Code],$A79,T_SelfStock[WeekIndex],40)&gt;0)*(COUNTIFS(T_TTAFStock[RM_Code],$A79,T_TTAFStock[WeekIndex],40)&gt;0)&gt;0,SUMIFS(T_SelfStock[Self_Qty],T_SelfStock[RM_Code],$A79,T_SelfStock[WeekIndex],40)+SUMIFS(T_TTAFStock[TTAF_Qty],T_TTAFStock[RM_Code],$A79,T_TTAFStock[WeekIndex],40),AN79+'Grid_Incoming'!AO79-'Grid_Requirement'!AO79))</f>
        <v/>
      </c>
      <c r="AP79">
        <f>IF(COUNTIFS(T_StockCount[RM_Code],$A79,T_StockCount[WeekIndex],41)&gt;0,SUMIFS(T_StockCount[CountedQty],T_StockCount[RM_Code],$A79,T_StockCount[WeekIndex],41),IF((COUNTIFS(T_SelfStock[RM_Code],$A79,T_SelfStock[WeekIndex],41)&gt;0)*(COUNTIFS(T_TTAFStock[RM_Code],$A79,T_TTAFStock[WeekIndex],41)&gt;0)&gt;0,SUMIFS(T_SelfStock[Self_Qty],T_SelfStock[RM_Code],$A79,T_SelfStock[WeekIndex],41)+SUMIFS(T_TTAFStock[TTAF_Qty],T_TTAFStock[RM_Code],$A79,T_TTAFStock[WeekIndex],41),AO79+'Grid_Incoming'!AP79-'Grid_Requirement'!AP79))</f>
        <v/>
      </c>
      <c r="AQ79">
        <f>IF(COUNTIFS(T_StockCount[RM_Code],$A79,T_StockCount[WeekIndex],42)&gt;0,SUMIFS(T_StockCount[CountedQty],T_StockCount[RM_Code],$A79,T_StockCount[WeekIndex],42),IF((COUNTIFS(T_SelfStock[RM_Code],$A79,T_SelfStock[WeekIndex],42)&gt;0)*(COUNTIFS(T_TTAFStock[RM_Code],$A79,T_TTAFStock[WeekIndex],42)&gt;0)&gt;0,SUMIFS(T_SelfStock[Self_Qty],T_SelfStock[RM_Code],$A79,T_SelfStock[WeekIndex],42)+SUMIFS(T_TTAFStock[TTAF_Qty],T_TTAFStock[RM_Code],$A79,T_TTAFStock[WeekIndex],42),AP79+'Grid_Incoming'!AQ79-'Grid_Requirement'!AQ79))</f>
        <v/>
      </c>
      <c r="AR79">
        <f>IF(COUNTIFS(T_StockCount[RM_Code],$A79,T_StockCount[WeekIndex],43)&gt;0,SUMIFS(T_StockCount[CountedQty],T_StockCount[RM_Code],$A79,T_StockCount[WeekIndex],43),IF((COUNTIFS(T_SelfStock[RM_Code],$A79,T_SelfStock[WeekIndex],43)&gt;0)*(COUNTIFS(T_TTAFStock[RM_Code],$A79,T_TTAFStock[WeekIndex],43)&gt;0)&gt;0,SUMIFS(T_SelfStock[Self_Qty],T_SelfStock[RM_Code],$A79,T_SelfStock[WeekIndex],43)+SUMIFS(T_TTAFStock[TTAF_Qty],T_TTAFStock[RM_Code],$A79,T_TTAFStock[WeekIndex],43),AQ79+'Grid_Incoming'!AR79-'Grid_Requirement'!AR79))</f>
        <v/>
      </c>
      <c r="AS79">
        <f>IF(COUNTIFS(T_StockCount[RM_Code],$A79,T_StockCount[WeekIndex],44)&gt;0,SUMIFS(T_StockCount[CountedQty],T_StockCount[RM_Code],$A79,T_StockCount[WeekIndex],44),IF((COUNTIFS(T_SelfStock[RM_Code],$A79,T_SelfStock[WeekIndex],44)&gt;0)*(COUNTIFS(T_TTAFStock[RM_Code],$A79,T_TTAFStock[WeekIndex],44)&gt;0)&gt;0,SUMIFS(T_SelfStock[Self_Qty],T_SelfStock[RM_Code],$A79,T_SelfStock[WeekIndex],44)+SUMIFS(T_TTAFStock[TTAF_Qty],T_TTAFStock[RM_Code],$A79,T_TTAFStock[WeekIndex],44),AR79+'Grid_Incoming'!AS79-'Grid_Requirement'!AS79))</f>
        <v/>
      </c>
      <c r="AT79">
        <f>IF(COUNTIFS(T_StockCount[RM_Code],$A79,T_StockCount[WeekIndex],45)&gt;0,SUMIFS(T_StockCount[CountedQty],T_StockCount[RM_Code],$A79,T_StockCount[WeekIndex],45),IF((COUNTIFS(T_SelfStock[RM_Code],$A79,T_SelfStock[WeekIndex],45)&gt;0)*(COUNTIFS(T_TTAFStock[RM_Code],$A79,T_TTAFStock[WeekIndex],45)&gt;0)&gt;0,SUMIFS(T_SelfStock[Self_Qty],T_SelfStock[RM_Code],$A79,T_SelfStock[WeekIndex],45)+SUMIFS(T_TTAFStock[TTAF_Qty],T_TTAFStock[RM_Code],$A79,T_TTAFStock[WeekIndex],45),AS79+'Grid_Incoming'!AT79-'Grid_Requirement'!AT79))</f>
        <v/>
      </c>
      <c r="AU79">
        <f>IF(COUNTIFS(T_StockCount[RM_Code],$A79,T_StockCount[WeekIndex],46)&gt;0,SUMIFS(T_StockCount[CountedQty],T_StockCount[RM_Code],$A79,T_StockCount[WeekIndex],46),IF((COUNTIFS(T_SelfStock[RM_Code],$A79,T_SelfStock[WeekIndex],46)&gt;0)*(COUNTIFS(T_TTAFStock[RM_Code],$A79,T_TTAFStock[WeekIndex],46)&gt;0)&gt;0,SUMIFS(T_SelfStock[Self_Qty],T_SelfStock[RM_Code],$A79,T_SelfStock[WeekIndex],46)+SUMIFS(T_TTAFStock[TTAF_Qty],T_TTAFStock[RM_Code],$A79,T_TTAFStock[WeekIndex],46),AT79+'Grid_Incoming'!AU79-'Grid_Requirement'!AU79))</f>
        <v/>
      </c>
      <c r="AV79">
        <f>IF(COUNTIFS(T_StockCount[RM_Code],$A79,T_StockCount[WeekIndex],47)&gt;0,SUMIFS(T_StockCount[CountedQty],T_StockCount[RM_Code],$A79,T_StockCount[WeekIndex],47),IF((COUNTIFS(T_SelfStock[RM_Code],$A79,T_SelfStock[WeekIndex],47)&gt;0)*(COUNTIFS(T_TTAFStock[RM_Code],$A79,T_TTAFStock[WeekIndex],47)&gt;0)&gt;0,SUMIFS(T_SelfStock[Self_Qty],T_SelfStock[RM_Code],$A79,T_SelfStock[WeekIndex],47)+SUMIFS(T_TTAFStock[TTAF_Qty],T_TTAFStock[RM_Code],$A79,T_TTAFStock[WeekIndex],47),AU79+'Grid_Incoming'!AV79-'Grid_Requirement'!AV79))</f>
        <v/>
      </c>
      <c r="AW79">
        <f>IF(COUNTIFS(T_StockCount[RM_Code],$A79,T_StockCount[WeekIndex],48)&gt;0,SUMIFS(T_StockCount[CountedQty],T_StockCount[RM_Code],$A79,T_StockCount[WeekIndex],48),IF((COUNTIFS(T_SelfStock[RM_Code],$A79,T_SelfStock[WeekIndex],48)&gt;0)*(COUNTIFS(T_TTAFStock[RM_Code],$A79,T_TTAFStock[WeekIndex],48)&gt;0)&gt;0,SUMIFS(T_SelfStock[Self_Qty],T_SelfStock[RM_Code],$A79,T_SelfStock[WeekIndex],48)+SUMIFS(T_TTAFStock[TTAF_Qty],T_TTAFStock[RM_Code],$A79,T_TTAFStock[WeekIndex],48),AV79+'Grid_Incoming'!AW79-'Grid_Requirement'!AW79))</f>
        <v/>
      </c>
      <c r="AX79">
        <f>IF(COUNTIFS(T_StockCount[RM_Code],$A79,T_StockCount[WeekIndex],49)&gt;0,SUMIFS(T_StockCount[CountedQty],T_StockCount[RM_Code],$A79,T_StockCount[WeekIndex],49),IF((COUNTIFS(T_SelfStock[RM_Code],$A79,T_SelfStock[WeekIndex],49)&gt;0)*(COUNTIFS(T_TTAFStock[RM_Code],$A79,T_TTAFStock[WeekIndex],49)&gt;0)&gt;0,SUMIFS(T_SelfStock[Self_Qty],T_SelfStock[RM_Code],$A79,T_SelfStock[WeekIndex],49)+SUMIFS(T_TTAFStock[TTAF_Qty],T_TTAFStock[RM_Code],$A79,T_TTAFStock[WeekIndex],49),AW79+'Grid_Incoming'!AX79-'Grid_Requirement'!AX79))</f>
        <v/>
      </c>
      <c r="AY79">
        <f>IF(COUNTIFS(T_StockCount[RM_Code],$A79,T_StockCount[WeekIndex],50)&gt;0,SUMIFS(T_StockCount[CountedQty],T_StockCount[RM_Code],$A79,T_StockCount[WeekIndex],50),IF((COUNTIFS(T_SelfStock[RM_Code],$A79,T_SelfStock[WeekIndex],50)&gt;0)*(COUNTIFS(T_TTAFStock[RM_Code],$A79,T_TTAFStock[WeekIndex],50)&gt;0)&gt;0,SUMIFS(T_SelfStock[Self_Qty],T_SelfStock[RM_Code],$A79,T_SelfStock[WeekIndex],50)+SUMIFS(T_TTAFStock[TTAF_Qty],T_TTAFStock[RM_Code],$A79,T_TTAFStock[WeekIndex],50),AX79+'Grid_Incoming'!AY79-'Grid_Requirement'!AY79))</f>
        <v/>
      </c>
      <c r="AZ79">
        <f>IF(COUNTIFS(T_StockCount[RM_Code],$A79,T_StockCount[WeekIndex],51)&gt;0,SUMIFS(T_StockCount[CountedQty],T_StockCount[RM_Code],$A79,T_StockCount[WeekIndex],51),IF((COUNTIFS(T_SelfStock[RM_Code],$A79,T_SelfStock[WeekIndex],51)&gt;0)*(COUNTIFS(T_TTAFStock[RM_Code],$A79,T_TTAFStock[WeekIndex],51)&gt;0)&gt;0,SUMIFS(T_SelfStock[Self_Qty],T_SelfStock[RM_Code],$A79,T_SelfStock[WeekIndex],51)+SUMIFS(T_TTAFStock[TTAF_Qty],T_TTAFStock[RM_Code],$A79,T_TTAFStock[WeekIndex],51),AY79+'Grid_Incoming'!AZ79-'Grid_Requirement'!AZ79))</f>
        <v/>
      </c>
      <c r="BA79">
        <f>IF(COUNTIFS(T_StockCount[RM_Code],$A79,T_StockCount[WeekIndex],52)&gt;0,SUMIFS(T_StockCount[CountedQty],T_StockCount[RM_Code],$A79,T_StockCount[WeekIndex],52),IF((COUNTIFS(T_SelfStock[RM_Code],$A79,T_SelfStock[WeekIndex],52)&gt;0)*(COUNTIFS(T_TTAFStock[RM_Code],$A79,T_TTAFStock[WeekIndex],52)&gt;0)&gt;0,SUMIFS(T_SelfStock[Self_Qty],T_SelfStock[RM_Code],$A79,T_SelfStock[WeekIndex],52)+SUMIFS(T_TTAFStock[TTAF_Qty],T_TTAFStock[RM_Code],$A79,T_TTAFStock[WeekIndex],52),AZ79+'Grid_Incoming'!BA79-'Grid_Requirement'!BA79))</f>
        <v/>
      </c>
      <c r="BB79">
        <f>IF(COUNTIFS(T_StockCount[RM_Code],$A79,T_StockCount[WeekIndex],53)&gt;0,SUMIFS(T_StockCount[CountedQty],T_StockCount[RM_Code],$A79,T_StockCount[WeekIndex],53),IF((COUNTIFS(T_SelfStock[RM_Code],$A79,T_SelfStock[WeekIndex],53)&gt;0)*(COUNTIFS(T_TTAFStock[RM_Code],$A79,T_TTAFStock[WeekIndex],53)&gt;0)&gt;0,SUMIFS(T_SelfStock[Self_Qty],T_SelfStock[RM_Code],$A79,T_SelfStock[WeekIndex],53)+SUMIFS(T_TTAFStock[TTAF_Qty],T_TTAFStock[RM_Code],$A79,T_TTAFStock[WeekIndex],53),BA79+'Grid_Incoming'!BB79-'Grid_Requirement'!BB79))</f>
        <v/>
      </c>
      <c r="BC79">
        <f>IF(COUNTIFS(T_StockCount[RM_Code],$A79,T_StockCount[WeekIndex],54)&gt;0,SUMIFS(T_StockCount[CountedQty],T_StockCount[RM_Code],$A79,T_StockCount[WeekIndex],54),IF((COUNTIFS(T_SelfStock[RM_Code],$A79,T_SelfStock[WeekIndex],54)&gt;0)*(COUNTIFS(T_TTAFStock[RM_Code],$A79,T_TTAFStock[WeekIndex],54)&gt;0)&gt;0,SUMIFS(T_SelfStock[Self_Qty],T_SelfStock[RM_Code],$A79,T_SelfStock[WeekIndex],54)+SUMIFS(T_TTAFStock[TTAF_Qty],T_TTAFStock[RM_Code],$A79,T_TTAFStock[WeekIndex],54),BB79+'Grid_Incoming'!BC79-'Grid_Requirement'!BC79))</f>
        <v/>
      </c>
      <c r="BD79">
        <f>IF(COUNTIFS(T_StockCount[RM_Code],$A79,T_StockCount[WeekIndex],55)&gt;0,SUMIFS(T_StockCount[CountedQty],T_StockCount[RM_Code],$A79,T_StockCount[WeekIndex],55),IF((COUNTIFS(T_SelfStock[RM_Code],$A79,T_SelfStock[WeekIndex],55)&gt;0)*(COUNTIFS(T_TTAFStock[RM_Code],$A79,T_TTAFStock[WeekIndex],55)&gt;0)&gt;0,SUMIFS(T_SelfStock[Self_Qty],T_SelfStock[RM_Code],$A79,T_SelfStock[WeekIndex],55)+SUMIFS(T_TTAFStock[TTAF_Qty],T_TTAFStock[RM_Code],$A79,T_TTAFStock[WeekIndex],55),BC79+'Grid_Incoming'!BD79-'Grid_Requirement'!BD79))</f>
        <v/>
      </c>
      <c r="BE79">
        <f>IF(COUNTIFS(T_StockCount[RM_Code],$A79,T_StockCount[WeekIndex],56)&gt;0,SUMIFS(T_StockCount[CountedQty],T_StockCount[RM_Code],$A79,T_StockCount[WeekIndex],56),IF((COUNTIFS(T_SelfStock[RM_Code],$A79,T_SelfStock[WeekIndex],56)&gt;0)*(COUNTIFS(T_TTAFStock[RM_Code],$A79,T_TTAFStock[WeekIndex],56)&gt;0)&gt;0,SUMIFS(T_SelfStock[Self_Qty],T_SelfStock[RM_Code],$A79,T_SelfStock[WeekIndex],56)+SUMIFS(T_TTAFStock[TTAF_Qty],T_TTAFStock[RM_Code],$A79,T_TTAFStock[WeekIndex],56),BD79+'Grid_Incoming'!BE79-'Grid_Requirement'!BE79))</f>
        <v/>
      </c>
      <c r="BF79">
        <f>IF(COUNTIFS(T_StockCount[RM_Code],$A79,T_StockCount[WeekIndex],57)&gt;0,SUMIFS(T_StockCount[CountedQty],T_StockCount[RM_Code],$A79,T_StockCount[WeekIndex],57),IF((COUNTIFS(T_SelfStock[RM_Code],$A79,T_SelfStock[WeekIndex],57)&gt;0)*(COUNTIFS(T_TTAFStock[RM_Code],$A79,T_TTAFStock[WeekIndex],57)&gt;0)&gt;0,SUMIFS(T_SelfStock[Self_Qty],T_SelfStock[RM_Code],$A79,T_SelfStock[WeekIndex],57)+SUMIFS(T_TTAFStock[TTAF_Qty],T_TTAFStock[RM_Code],$A79,T_TTAFStock[WeekIndex],57),BE79+'Grid_Incoming'!BF79-'Grid_Requirement'!BF79))</f>
        <v/>
      </c>
      <c r="BG79">
        <f>IF(COUNTIFS(T_StockCount[RM_Code],$A79,T_StockCount[WeekIndex],58)&gt;0,SUMIFS(T_StockCount[CountedQty],T_StockCount[RM_Code],$A79,T_StockCount[WeekIndex],58),IF((COUNTIFS(T_SelfStock[RM_Code],$A79,T_SelfStock[WeekIndex],58)&gt;0)*(COUNTIFS(T_TTAFStock[RM_Code],$A79,T_TTAFStock[WeekIndex],58)&gt;0)&gt;0,SUMIFS(T_SelfStock[Self_Qty],T_SelfStock[RM_Code],$A79,T_SelfStock[WeekIndex],58)+SUMIFS(T_TTAFStock[TTAF_Qty],T_TTAFStock[RM_Code],$A79,T_TTAFStock[WeekIndex],58),BF79+'Grid_Incoming'!BG79-'Grid_Requirement'!BG79))</f>
        <v/>
      </c>
      <c r="BH79">
        <f>IF(COUNTIFS(T_StockCount[RM_Code],$A79,T_StockCount[WeekIndex],59)&gt;0,SUMIFS(T_StockCount[CountedQty],T_StockCount[RM_Code],$A79,T_StockCount[WeekIndex],59),IF((COUNTIFS(T_SelfStock[RM_Code],$A79,T_SelfStock[WeekIndex],59)&gt;0)*(COUNTIFS(T_TTAFStock[RM_Code],$A79,T_TTAFStock[WeekIndex],59)&gt;0)&gt;0,SUMIFS(T_SelfStock[Self_Qty],T_SelfStock[RM_Code],$A79,T_SelfStock[WeekIndex],59)+SUMIFS(T_TTAFStock[TTAF_Qty],T_TTAFStock[RM_Code],$A79,T_TTAFStock[WeekIndex],59),BG79+'Grid_Incoming'!BH79-'Grid_Requirement'!BH79))</f>
        <v/>
      </c>
      <c r="BI79">
        <f>IF(COUNTIFS(T_StockCount[RM_Code],$A79,T_StockCount[WeekIndex],60)&gt;0,SUMIFS(T_StockCount[CountedQty],T_StockCount[RM_Code],$A79,T_StockCount[WeekIndex],60),IF((COUNTIFS(T_SelfStock[RM_Code],$A79,T_SelfStock[WeekIndex],60)&gt;0)*(COUNTIFS(T_TTAFStock[RM_Code],$A79,T_TTAFStock[WeekIndex],60)&gt;0)&gt;0,SUMIFS(T_SelfStock[Self_Qty],T_SelfStock[RM_Code],$A79,T_SelfStock[WeekIndex],60)+SUMIFS(T_TTAFStock[TTAF_Qty],T_TTAFStock[RM_Code],$A79,T_TTAFStock[WeekIndex],60),BH79+'Grid_Incoming'!BI79-'Grid_Requirement'!BI79))</f>
        <v/>
      </c>
      <c r="BJ79">
        <f>IF(COUNTIFS(T_StockCount[RM_Code],$A79,T_StockCount[WeekIndex],61)&gt;0,SUMIFS(T_StockCount[CountedQty],T_StockCount[RM_Code],$A79,T_StockCount[WeekIndex],61),IF((COUNTIFS(T_SelfStock[RM_Code],$A79,T_SelfStock[WeekIndex],61)&gt;0)*(COUNTIFS(T_TTAFStock[RM_Code],$A79,T_TTAFStock[WeekIndex],61)&gt;0)&gt;0,SUMIFS(T_SelfStock[Self_Qty],T_SelfStock[RM_Code],$A79,T_SelfStock[WeekIndex],61)+SUMIFS(T_TTAFStock[TTAF_Qty],T_TTAFStock[RM_Code],$A79,T_TTAFStock[WeekIndex],61),BI79+'Grid_Incoming'!BJ79-'Grid_Requirement'!BJ79))</f>
        <v/>
      </c>
      <c r="BK79">
        <f>IF(COUNTIFS(T_StockCount[RM_Code],$A79,T_StockCount[WeekIndex],62)&gt;0,SUMIFS(T_StockCount[CountedQty],T_StockCount[RM_Code],$A79,T_StockCount[WeekIndex],62),IF((COUNTIFS(T_SelfStock[RM_Code],$A79,T_SelfStock[WeekIndex],62)&gt;0)*(COUNTIFS(T_TTAFStock[RM_Code],$A79,T_TTAFStock[WeekIndex],62)&gt;0)&gt;0,SUMIFS(T_SelfStock[Self_Qty],T_SelfStock[RM_Code],$A79,T_SelfStock[WeekIndex],62)+SUMIFS(T_TTAFStock[TTAF_Qty],T_TTAFStock[RM_Code],$A79,T_TTAFStock[WeekIndex],62),BJ79+'Grid_Incoming'!BK79-'Grid_Requirement'!BK79))</f>
        <v/>
      </c>
      <c r="BL79">
        <f>IF(COUNTIFS(T_StockCount[RM_Code],$A79,T_StockCount[WeekIndex],63)&gt;0,SUMIFS(T_StockCount[CountedQty],T_StockCount[RM_Code],$A79,T_StockCount[WeekIndex],63),IF((COUNTIFS(T_SelfStock[RM_Code],$A79,T_SelfStock[WeekIndex],63)&gt;0)*(COUNTIFS(T_TTAFStock[RM_Code],$A79,T_TTAFStock[WeekIndex],63)&gt;0)&gt;0,SUMIFS(T_SelfStock[Self_Qty],T_SelfStock[RM_Code],$A79,T_SelfStock[WeekIndex],63)+SUMIFS(T_TTAFStock[TTAF_Qty],T_TTAFStock[RM_Code],$A79,T_TTAFStock[WeekIndex],63),BK79+'Grid_Incoming'!BL79-'Grid_Requirement'!BL79))</f>
        <v/>
      </c>
      <c r="BM79">
        <f>IF(COUNTIFS(T_StockCount[RM_Code],$A79,T_StockCount[WeekIndex],64)&gt;0,SUMIFS(T_StockCount[CountedQty],T_StockCount[RM_Code],$A79,T_StockCount[WeekIndex],64),IF((COUNTIFS(T_SelfStock[RM_Code],$A79,T_SelfStock[WeekIndex],64)&gt;0)*(COUNTIFS(T_TTAFStock[RM_Code],$A79,T_TTAFStock[WeekIndex],64)&gt;0)&gt;0,SUMIFS(T_SelfStock[Self_Qty],T_SelfStock[RM_Code],$A79,T_SelfStock[WeekIndex],64)+SUMIFS(T_TTAFStock[TTAF_Qty],T_TTAFStock[RM_Code],$A79,T_TTAFStock[WeekIndex],64),BL79+'Grid_Incoming'!BM79-'Grid_Requirement'!BM79))</f>
        <v/>
      </c>
      <c r="BN79">
        <f>IF(COUNTIFS(T_StockCount[RM_Code],$A79,T_StockCount[WeekIndex],65)&gt;0,SUMIFS(T_StockCount[CountedQty],T_StockCount[RM_Code],$A79,T_StockCount[WeekIndex],65),IF((COUNTIFS(T_SelfStock[RM_Code],$A79,T_SelfStock[WeekIndex],65)&gt;0)*(COUNTIFS(T_TTAFStock[RM_Code],$A79,T_TTAFStock[WeekIndex],65)&gt;0)&gt;0,SUMIFS(T_SelfStock[Self_Qty],T_SelfStock[RM_Code],$A79,T_SelfStock[WeekIndex],65)+SUMIFS(T_TTAFStock[TTAF_Qty],T_TTAFStock[RM_Code],$A79,T_TTAFStock[WeekIndex],65),BM79+'Grid_Incoming'!BN79-'Grid_Requirement'!BN79))</f>
        <v/>
      </c>
      <c r="BO79">
        <f>IF(COUNTIFS(T_StockCount[RM_Code],$A79,T_StockCount[WeekIndex],66)&gt;0,SUMIFS(T_StockCount[CountedQty],T_StockCount[RM_Code],$A79,T_StockCount[WeekIndex],66),IF((COUNTIFS(T_SelfStock[RM_Code],$A79,T_SelfStock[WeekIndex],66)&gt;0)*(COUNTIFS(T_TTAFStock[RM_Code],$A79,T_TTAFStock[WeekIndex],66)&gt;0)&gt;0,SUMIFS(T_SelfStock[Self_Qty],T_SelfStock[RM_Code],$A79,T_SelfStock[WeekIndex],66)+SUMIFS(T_TTAFStock[TTAF_Qty],T_TTAFStock[RM_Code],$A79,T_TTAFStock[WeekIndex],66),BN79+'Grid_Incoming'!BO79-'Grid_Requirement'!BO79))</f>
        <v/>
      </c>
      <c r="BP79">
        <f>IF(COUNTIFS(T_StockCount[RM_Code],$A79,T_StockCount[WeekIndex],67)&gt;0,SUMIFS(T_StockCount[CountedQty],T_StockCount[RM_Code],$A79,T_StockCount[WeekIndex],67),IF((COUNTIFS(T_SelfStock[RM_Code],$A79,T_SelfStock[WeekIndex],67)&gt;0)*(COUNTIFS(T_TTAFStock[RM_Code],$A79,T_TTAFStock[WeekIndex],67)&gt;0)&gt;0,SUMIFS(T_SelfStock[Self_Qty],T_SelfStock[RM_Code],$A79,T_SelfStock[WeekIndex],67)+SUMIFS(T_TTAFStock[TTAF_Qty],T_TTAFStock[RM_Code],$A79,T_TTAFStock[WeekIndex],67),BO79+'Grid_Incoming'!BP79-'Grid_Requirement'!BP79))</f>
        <v/>
      </c>
      <c r="BQ79">
        <f>IF(COUNTIFS(T_StockCount[RM_Code],$A79,T_StockCount[WeekIndex],68)&gt;0,SUMIFS(T_StockCount[CountedQty],T_StockCount[RM_Code],$A79,T_StockCount[WeekIndex],68),IF((COUNTIFS(T_SelfStock[RM_Code],$A79,T_SelfStock[WeekIndex],68)&gt;0)*(COUNTIFS(T_TTAFStock[RM_Code],$A79,T_TTAFStock[WeekIndex],68)&gt;0)&gt;0,SUMIFS(T_SelfStock[Self_Qty],T_SelfStock[RM_Code],$A79,T_SelfStock[WeekIndex],68)+SUMIFS(T_TTAFStock[TTAF_Qty],T_TTAFStock[RM_Code],$A79,T_TTAFStock[WeekIndex],68),BP79+'Grid_Incoming'!BQ79-'Grid_Requirement'!BQ79))</f>
        <v/>
      </c>
      <c r="BR79">
        <f>IF(COUNTIFS(T_StockCount[RM_Code],$A79,T_StockCount[WeekIndex],69)&gt;0,SUMIFS(T_StockCount[CountedQty],T_StockCount[RM_Code],$A79,T_StockCount[WeekIndex],69),IF((COUNTIFS(T_SelfStock[RM_Code],$A79,T_SelfStock[WeekIndex],69)&gt;0)*(COUNTIFS(T_TTAFStock[RM_Code],$A79,T_TTAFStock[WeekIndex],69)&gt;0)&gt;0,SUMIFS(T_SelfStock[Self_Qty],T_SelfStock[RM_Code],$A79,T_SelfStock[WeekIndex],69)+SUMIFS(T_TTAFStock[TTAF_Qty],T_TTAFStock[RM_Code],$A79,T_TTAFStock[WeekIndex],69),BQ79+'Grid_Incoming'!BR79-'Grid_Requirement'!BR79))</f>
        <v/>
      </c>
      <c r="BS79">
        <f>IF(COUNTIFS(T_StockCount[RM_Code],$A79,T_StockCount[WeekIndex],70)&gt;0,SUMIFS(T_StockCount[CountedQty],T_StockCount[RM_Code],$A79,T_StockCount[WeekIndex],70),IF((COUNTIFS(T_SelfStock[RM_Code],$A79,T_SelfStock[WeekIndex],70)&gt;0)*(COUNTIFS(T_TTAFStock[RM_Code],$A79,T_TTAFStock[WeekIndex],70)&gt;0)&gt;0,SUMIFS(T_SelfStock[Self_Qty],T_SelfStock[RM_Code],$A79,T_SelfStock[WeekIndex],70)+SUMIFS(T_TTAFStock[TTAF_Qty],T_TTAFStock[RM_Code],$A79,T_TTAFStock[WeekIndex],70),BR79+'Grid_Incoming'!BS79-'Grid_Requirement'!BS79))</f>
        <v/>
      </c>
      <c r="BT79">
        <f>IF(COUNTIFS(T_StockCount[RM_Code],$A79,T_StockCount[WeekIndex],71)&gt;0,SUMIFS(T_StockCount[CountedQty],T_StockCount[RM_Code],$A79,T_StockCount[WeekIndex],71),IF((COUNTIFS(T_SelfStock[RM_Code],$A79,T_SelfStock[WeekIndex],71)&gt;0)*(COUNTIFS(T_TTAFStock[RM_Code],$A79,T_TTAFStock[WeekIndex],71)&gt;0)&gt;0,SUMIFS(T_SelfStock[Self_Qty],T_SelfStock[RM_Code],$A79,T_SelfStock[WeekIndex],71)+SUMIFS(T_TTAFStock[TTAF_Qty],T_TTAFStock[RM_Code],$A79,T_TTAFStock[WeekIndex],71),BS79+'Grid_Incoming'!BT79-'Grid_Requirement'!BT79))</f>
        <v/>
      </c>
      <c r="BU79">
        <f>IF(COUNTIFS(T_StockCount[RM_Code],$A79,T_StockCount[WeekIndex],72)&gt;0,SUMIFS(T_StockCount[CountedQty],T_StockCount[RM_Code],$A79,T_StockCount[WeekIndex],72),IF((COUNTIFS(T_SelfStock[RM_Code],$A79,T_SelfStock[WeekIndex],72)&gt;0)*(COUNTIFS(T_TTAFStock[RM_Code],$A79,T_TTAFStock[WeekIndex],72)&gt;0)&gt;0,SUMIFS(T_SelfStock[Self_Qty],T_SelfStock[RM_Code],$A79,T_SelfStock[WeekIndex],72)+SUMIFS(T_TTAFStock[TTAF_Qty],T_TTAFStock[RM_Code],$A79,T_TTAFStock[WeekIndex],72),BT79+'Grid_Incoming'!BU79-'Grid_Requirement'!BU79))</f>
        <v/>
      </c>
      <c r="BV79">
        <f>IF(COUNTIFS(T_StockCount[RM_Code],$A79,T_StockCount[WeekIndex],73)&gt;0,SUMIFS(T_StockCount[CountedQty],T_StockCount[RM_Code],$A79,T_StockCount[WeekIndex],73),IF((COUNTIFS(T_SelfStock[RM_Code],$A79,T_SelfStock[WeekIndex],73)&gt;0)*(COUNTIFS(T_TTAFStock[RM_Code],$A79,T_TTAFStock[WeekIndex],73)&gt;0)&gt;0,SUMIFS(T_SelfStock[Self_Qty],T_SelfStock[RM_Code],$A79,T_SelfStock[WeekIndex],73)+SUMIFS(T_TTAFStock[TTAF_Qty],T_TTAFStock[RM_Code],$A79,T_TTAFStock[WeekIndex],73),BU79+'Grid_Incoming'!BV79-'Grid_Requirement'!BV79))</f>
        <v/>
      </c>
      <c r="BW79">
        <f>IF(COUNTIFS(T_StockCount[RM_Code],$A79,T_StockCount[WeekIndex],74)&gt;0,SUMIFS(T_StockCount[CountedQty],T_StockCount[RM_Code],$A79,T_StockCount[WeekIndex],74),IF((COUNTIFS(T_SelfStock[RM_Code],$A79,T_SelfStock[WeekIndex],74)&gt;0)*(COUNTIFS(T_TTAFStock[RM_Code],$A79,T_TTAFStock[WeekIndex],74)&gt;0)&gt;0,SUMIFS(T_SelfStock[Self_Qty],T_SelfStock[RM_Code],$A79,T_SelfStock[WeekIndex],74)+SUMIFS(T_TTAFStock[TTAF_Qty],T_TTAFStock[RM_Code],$A79,T_TTAFStock[WeekIndex],74),BV79+'Grid_Incoming'!BW79-'Grid_Requirement'!BW79))</f>
        <v/>
      </c>
      <c r="BX79">
        <f>IF(COUNTIFS(T_StockCount[RM_Code],$A79,T_StockCount[WeekIndex],75)&gt;0,SUMIFS(T_StockCount[CountedQty],T_StockCount[RM_Code],$A79,T_StockCount[WeekIndex],75),IF((COUNTIFS(T_SelfStock[RM_Code],$A79,T_SelfStock[WeekIndex],75)&gt;0)*(COUNTIFS(T_TTAFStock[RM_Code],$A79,T_TTAFStock[WeekIndex],75)&gt;0)&gt;0,SUMIFS(T_SelfStock[Self_Qty],T_SelfStock[RM_Code],$A79,T_SelfStock[WeekIndex],75)+SUMIFS(T_TTAFStock[TTAF_Qty],T_TTAFStock[RM_Code],$A79,T_TTAFStock[WeekIndex],75),BW79+'Grid_Incoming'!BX79-'Grid_Requirement'!BX79))</f>
        <v/>
      </c>
      <c r="BY79">
        <f>IF(COUNTIFS(T_StockCount[RM_Code],$A79,T_StockCount[WeekIndex],76)&gt;0,SUMIFS(T_StockCount[CountedQty],T_StockCount[RM_Code],$A79,T_StockCount[WeekIndex],76),IF((COUNTIFS(T_SelfStock[RM_Code],$A79,T_SelfStock[WeekIndex],76)&gt;0)*(COUNTIFS(T_TTAFStock[RM_Code],$A79,T_TTAFStock[WeekIndex],76)&gt;0)&gt;0,SUMIFS(T_SelfStock[Self_Qty],T_SelfStock[RM_Code],$A79,T_SelfStock[WeekIndex],76)+SUMIFS(T_TTAFStock[TTAF_Qty],T_TTAFStock[RM_Code],$A79,T_TTAFStock[WeekIndex],76),BX79+'Grid_Incoming'!BY79-'Grid_Requirement'!BY79))</f>
        <v/>
      </c>
      <c r="BZ79">
        <f>IF(COUNTIFS(T_StockCount[RM_Code],$A79,T_StockCount[WeekIndex],77)&gt;0,SUMIFS(T_StockCount[CountedQty],T_StockCount[RM_Code],$A79,T_StockCount[WeekIndex],77),IF((COUNTIFS(T_SelfStock[RM_Code],$A79,T_SelfStock[WeekIndex],77)&gt;0)*(COUNTIFS(T_TTAFStock[RM_Code],$A79,T_TTAFStock[WeekIndex],77)&gt;0)&gt;0,SUMIFS(T_SelfStock[Self_Qty],T_SelfStock[RM_Code],$A79,T_SelfStock[WeekIndex],77)+SUMIFS(T_TTAFStock[TTAF_Qty],T_TTAFStock[RM_Code],$A79,T_TTAFStock[WeekIndex],77),BY79+'Grid_Incoming'!BZ79-'Grid_Requirement'!BZ79))</f>
        <v/>
      </c>
      <c r="CA79">
        <f>IF(COUNTIFS(T_StockCount[RM_Code],$A79,T_StockCount[WeekIndex],78)&gt;0,SUMIFS(T_StockCount[CountedQty],T_StockCount[RM_Code],$A79,T_StockCount[WeekIndex],78),IF((COUNTIFS(T_SelfStock[RM_Code],$A79,T_SelfStock[WeekIndex],78)&gt;0)*(COUNTIFS(T_TTAFStock[RM_Code],$A79,T_TTAFStock[WeekIndex],78)&gt;0)&gt;0,SUMIFS(T_SelfStock[Self_Qty],T_SelfStock[RM_Code],$A79,T_SelfStock[WeekIndex],78)+SUMIFS(T_TTAFStock[TTAF_Qty],T_TTAFStock[RM_Code],$A79,T_TTAFStock[WeekIndex],78),BZ79+'Grid_Incoming'!CA79-'Grid_Requirement'!CA79))</f>
        <v/>
      </c>
      <c r="CB79">
        <f>IF(COUNTIFS(T_StockCount[RM_Code],$A79,T_StockCount[WeekIndex],79)&gt;0,SUMIFS(T_StockCount[CountedQty],T_StockCount[RM_Code],$A79,T_StockCount[WeekIndex],79),IF((COUNTIFS(T_SelfStock[RM_Code],$A79,T_SelfStock[WeekIndex],79)&gt;0)*(COUNTIFS(T_TTAFStock[RM_Code],$A79,T_TTAFStock[WeekIndex],79)&gt;0)&gt;0,SUMIFS(T_SelfStock[Self_Qty],T_SelfStock[RM_Code],$A79,T_SelfStock[WeekIndex],79)+SUMIFS(T_TTAFStock[TTAF_Qty],T_TTAFStock[RM_Code],$A79,T_TTAFStock[WeekIndex],79),CA79+'Grid_Incoming'!CB79-'Grid_Requirement'!CB79))</f>
        <v/>
      </c>
      <c r="CC79">
        <f>IF(COUNTIFS(T_StockCount[RM_Code],$A79,T_StockCount[WeekIndex],80)&gt;0,SUMIFS(T_StockCount[CountedQty],T_StockCount[RM_Code],$A79,T_StockCount[WeekIndex],80),IF((COUNTIFS(T_SelfStock[RM_Code],$A79,T_SelfStock[WeekIndex],80)&gt;0)*(COUNTIFS(T_TTAFStock[RM_Code],$A79,T_TTAFStock[WeekIndex],80)&gt;0)&gt;0,SUMIFS(T_SelfStock[Self_Qty],T_SelfStock[RM_Code],$A79,T_SelfStock[WeekIndex],80)+SUMIFS(T_TTAFStock[TTAF_Qty],T_TTAFStock[RM_Code],$A79,T_TTAFStock[WeekIndex],80),CB79+'Grid_Incoming'!CC79-'Grid_Requirement'!CC79))</f>
        <v/>
      </c>
      <c r="CD79">
        <f>IF(COUNTIFS(T_StockCount[RM_Code],$A79,T_StockCount[WeekIndex],81)&gt;0,SUMIFS(T_StockCount[CountedQty],T_StockCount[RM_Code],$A79,T_StockCount[WeekIndex],81),IF((COUNTIFS(T_SelfStock[RM_Code],$A79,T_SelfStock[WeekIndex],81)&gt;0)*(COUNTIFS(T_TTAFStock[RM_Code],$A79,T_TTAFStock[WeekIndex],81)&gt;0)&gt;0,SUMIFS(T_SelfStock[Self_Qty],T_SelfStock[RM_Code],$A79,T_SelfStock[WeekIndex],81)+SUMIFS(T_TTAFStock[TTAF_Qty],T_TTAFStock[RM_Code],$A79,T_TTAFStock[WeekIndex],81),CC79+'Grid_Incoming'!CD79-'Grid_Requirement'!CD79))</f>
        <v/>
      </c>
      <c r="CE79">
        <f>IF(COUNTIFS(T_StockCount[RM_Code],$A79,T_StockCount[WeekIndex],82)&gt;0,SUMIFS(T_StockCount[CountedQty],T_StockCount[RM_Code],$A79,T_StockCount[WeekIndex],82),IF((COUNTIFS(T_SelfStock[RM_Code],$A79,T_SelfStock[WeekIndex],82)&gt;0)*(COUNTIFS(T_TTAFStock[RM_Code],$A79,T_TTAFStock[WeekIndex],82)&gt;0)&gt;0,SUMIFS(T_SelfStock[Self_Qty],T_SelfStock[RM_Code],$A79,T_SelfStock[WeekIndex],82)+SUMIFS(T_TTAFStock[TTAF_Qty],T_TTAFStock[RM_Code],$A79,T_TTAFStock[WeekIndex],82),CD79+'Grid_Incoming'!CE79-'Grid_Requirement'!CE79))</f>
        <v/>
      </c>
      <c r="CF79">
        <f>IF(COUNTIFS(T_StockCount[RM_Code],$A79,T_StockCount[WeekIndex],83)&gt;0,SUMIFS(T_StockCount[CountedQty],T_StockCount[RM_Code],$A79,T_StockCount[WeekIndex],83),IF((COUNTIFS(T_SelfStock[RM_Code],$A79,T_SelfStock[WeekIndex],83)&gt;0)*(COUNTIFS(T_TTAFStock[RM_Code],$A79,T_TTAFStock[WeekIndex],83)&gt;0)&gt;0,SUMIFS(T_SelfStock[Self_Qty],T_SelfStock[RM_Code],$A79,T_SelfStock[WeekIndex],83)+SUMIFS(T_TTAFStock[TTAF_Qty],T_TTAFStock[RM_Code],$A79,T_TTAFStock[WeekIndex],83),CE79+'Grid_Incoming'!CF79-'Grid_Requirement'!CF79))</f>
        <v/>
      </c>
      <c r="CG79">
        <f>IF(COUNTIFS(T_StockCount[RM_Code],$A79,T_StockCount[WeekIndex],84)&gt;0,SUMIFS(T_StockCount[CountedQty],T_StockCount[RM_Code],$A79,T_StockCount[WeekIndex],84),IF((COUNTIFS(T_SelfStock[RM_Code],$A79,T_SelfStock[WeekIndex],84)&gt;0)*(COUNTIFS(T_TTAFStock[RM_Code],$A79,T_TTAFStock[WeekIndex],84)&gt;0)&gt;0,SUMIFS(T_SelfStock[Self_Qty],T_SelfStock[RM_Code],$A79,T_SelfStock[WeekIndex],84)+SUMIFS(T_TTAFStock[TTAF_Qty],T_TTAFStock[RM_Code],$A79,T_TTAFStock[WeekIndex],84),CF79+'Grid_Incoming'!CG79-'Grid_Requirement'!CG79))</f>
        <v/>
      </c>
      <c r="CH79">
        <f>IF(COUNTIFS(T_StockCount[RM_Code],$A79,T_StockCount[WeekIndex],85)&gt;0,SUMIFS(T_StockCount[CountedQty],T_StockCount[RM_Code],$A79,T_StockCount[WeekIndex],85),IF((COUNTIFS(T_SelfStock[RM_Code],$A79,T_SelfStock[WeekIndex],85)&gt;0)*(COUNTIFS(T_TTAFStock[RM_Code],$A79,T_TTAFStock[WeekIndex],85)&gt;0)&gt;0,SUMIFS(T_SelfStock[Self_Qty],T_SelfStock[RM_Code],$A79,T_SelfStock[WeekIndex],85)+SUMIFS(T_TTAFStock[TTAF_Qty],T_TTAFStock[RM_Code],$A79,T_TTAFStock[WeekIndex],85),CG79+'Grid_Incoming'!CH79-'Grid_Requirement'!CH79))</f>
        <v/>
      </c>
      <c r="CI79">
        <f>IF(COUNTIFS(T_StockCount[RM_Code],$A79,T_StockCount[WeekIndex],86)&gt;0,SUMIFS(T_StockCount[CountedQty],T_StockCount[RM_Code],$A79,T_StockCount[WeekIndex],86),IF((COUNTIFS(T_SelfStock[RM_Code],$A79,T_SelfStock[WeekIndex],86)&gt;0)*(COUNTIFS(T_TTAFStock[RM_Code],$A79,T_TTAFStock[WeekIndex],86)&gt;0)&gt;0,SUMIFS(T_SelfStock[Self_Qty],T_SelfStock[RM_Code],$A79,T_SelfStock[WeekIndex],86)+SUMIFS(T_TTAFStock[TTAF_Qty],T_TTAFStock[RM_Code],$A79,T_TTAFStock[WeekIndex],86),CH79+'Grid_Incoming'!CI79-'Grid_Requirement'!CI79))</f>
        <v/>
      </c>
      <c r="CJ79">
        <f>IF(COUNTIFS(T_StockCount[RM_Code],$A79,T_StockCount[WeekIndex],87)&gt;0,SUMIFS(T_StockCount[CountedQty],T_StockCount[RM_Code],$A79,T_StockCount[WeekIndex],87),IF((COUNTIFS(T_SelfStock[RM_Code],$A79,T_SelfStock[WeekIndex],87)&gt;0)*(COUNTIFS(T_TTAFStock[RM_Code],$A79,T_TTAFStock[WeekIndex],87)&gt;0)&gt;0,SUMIFS(T_SelfStock[Self_Qty],T_SelfStock[RM_Code],$A79,T_SelfStock[WeekIndex],87)+SUMIFS(T_TTAFStock[TTAF_Qty],T_TTAFStock[RM_Code],$A79,T_TTAFStock[WeekIndex],87),CI79+'Grid_Incoming'!CJ79-'Grid_Requirement'!CJ79))</f>
        <v/>
      </c>
      <c r="CK79">
        <f>IF(COUNTIFS(T_StockCount[RM_Code],$A79,T_StockCount[WeekIndex],88)&gt;0,SUMIFS(T_StockCount[CountedQty],T_StockCount[RM_Code],$A79,T_StockCount[WeekIndex],88),IF((COUNTIFS(T_SelfStock[RM_Code],$A79,T_SelfStock[WeekIndex],88)&gt;0)*(COUNTIFS(T_TTAFStock[RM_Code],$A79,T_TTAFStock[WeekIndex],88)&gt;0)&gt;0,SUMIFS(T_SelfStock[Self_Qty],T_SelfStock[RM_Code],$A79,T_SelfStock[WeekIndex],88)+SUMIFS(T_TTAFStock[TTAF_Qty],T_TTAFStock[RM_Code],$A79,T_TTAFStock[WeekIndex],88),CJ79+'Grid_Incoming'!CK79-'Grid_Requirement'!CK79))</f>
        <v/>
      </c>
      <c r="CL79">
        <f>IF(COUNTIFS(T_StockCount[RM_Code],$A79,T_StockCount[WeekIndex],89)&gt;0,SUMIFS(T_StockCount[CountedQty],T_StockCount[RM_Code],$A79,T_StockCount[WeekIndex],89),IF((COUNTIFS(T_SelfStock[RM_Code],$A79,T_SelfStock[WeekIndex],89)&gt;0)*(COUNTIFS(T_TTAFStock[RM_Code],$A79,T_TTAFStock[WeekIndex],89)&gt;0)&gt;0,SUMIFS(T_SelfStock[Self_Qty],T_SelfStock[RM_Code],$A79,T_SelfStock[WeekIndex],89)+SUMIFS(T_TTAFStock[TTAF_Qty],T_TTAFStock[RM_Code],$A79,T_TTAFStock[WeekIndex],89),CK79+'Grid_Incoming'!CL79-'Grid_Requirement'!CL79))</f>
        <v/>
      </c>
      <c r="CM79">
        <f>IF(COUNTIFS(T_StockCount[RM_Code],$A79,T_StockCount[WeekIndex],90)&gt;0,SUMIFS(T_StockCount[CountedQty],T_StockCount[RM_Code],$A79,T_StockCount[WeekIndex],90),IF((COUNTIFS(T_SelfStock[RM_Code],$A79,T_SelfStock[WeekIndex],90)&gt;0)*(COUNTIFS(T_TTAFStock[RM_Code],$A79,T_TTAFStock[WeekIndex],90)&gt;0)&gt;0,SUMIFS(T_SelfStock[Self_Qty],T_SelfStock[RM_Code],$A79,T_SelfStock[WeekIndex],90)+SUMIFS(T_TTAFStock[TTAF_Qty],T_TTAFStock[RM_Code],$A79,T_TTAFStock[WeekIndex],90),CL79+'Grid_Incoming'!CM79-'Grid_Requirement'!CM79))</f>
        <v/>
      </c>
      <c r="CN79">
        <f>IF(COUNTIFS(T_StockCount[RM_Code],$A79,T_StockCount[WeekIndex],91)&gt;0,SUMIFS(T_StockCount[CountedQty],T_StockCount[RM_Code],$A79,T_StockCount[WeekIndex],91),IF((COUNTIFS(T_SelfStock[RM_Code],$A79,T_SelfStock[WeekIndex],91)&gt;0)*(COUNTIFS(T_TTAFStock[RM_Code],$A79,T_TTAFStock[WeekIndex],91)&gt;0)&gt;0,SUMIFS(T_SelfStock[Self_Qty],T_SelfStock[RM_Code],$A79,T_SelfStock[WeekIndex],91)+SUMIFS(T_TTAFStock[TTAF_Qty],T_TTAFStock[RM_Code],$A79,T_TTAFStock[WeekIndex],91),CM79+'Grid_Incoming'!CN79-'Grid_Requirement'!CN79))</f>
        <v/>
      </c>
      <c r="CO79">
        <f>IF(COUNTIFS(T_StockCount[RM_Code],$A79,T_StockCount[WeekIndex],92)&gt;0,SUMIFS(T_StockCount[CountedQty],T_StockCount[RM_Code],$A79,T_StockCount[WeekIndex],92),IF((COUNTIFS(T_SelfStock[RM_Code],$A79,T_SelfStock[WeekIndex],92)&gt;0)*(COUNTIFS(T_TTAFStock[RM_Code],$A79,T_TTAFStock[WeekIndex],92)&gt;0)&gt;0,SUMIFS(T_SelfStock[Self_Qty],T_SelfStock[RM_Code],$A79,T_SelfStock[WeekIndex],92)+SUMIFS(T_TTAFStock[TTAF_Qty],T_TTAFStock[RM_Code],$A79,T_TTAFStock[WeekIndex],92),CN79+'Grid_Incoming'!CO79-'Grid_Requirement'!CO79))</f>
        <v/>
      </c>
      <c r="CP79">
        <f>IF(COUNTIFS(T_StockCount[RM_Code],$A79,T_StockCount[WeekIndex],93)&gt;0,SUMIFS(T_StockCount[CountedQty],T_StockCount[RM_Code],$A79,T_StockCount[WeekIndex],93),IF((COUNTIFS(T_SelfStock[RM_Code],$A79,T_SelfStock[WeekIndex],93)&gt;0)*(COUNTIFS(T_TTAFStock[RM_Code],$A79,T_TTAFStock[WeekIndex],93)&gt;0)&gt;0,SUMIFS(T_SelfStock[Self_Qty],T_SelfStock[RM_Code],$A79,T_SelfStock[WeekIndex],93)+SUMIFS(T_TTAFStock[TTAF_Qty],T_TTAFStock[RM_Code],$A79,T_TTAFStock[WeekIndex],93),CO79+'Grid_Incoming'!CP79-'Grid_Requirement'!CP79))</f>
        <v/>
      </c>
      <c r="CQ79">
        <f>IF(COUNTIFS(T_StockCount[RM_Code],$A79,T_StockCount[WeekIndex],94)&gt;0,SUMIFS(T_StockCount[CountedQty],T_StockCount[RM_Code],$A79,T_StockCount[WeekIndex],94),IF((COUNTIFS(T_SelfStock[RM_Code],$A79,T_SelfStock[WeekIndex],94)&gt;0)*(COUNTIFS(T_TTAFStock[RM_Code],$A79,T_TTAFStock[WeekIndex],94)&gt;0)&gt;0,SUMIFS(T_SelfStock[Self_Qty],T_SelfStock[RM_Code],$A79,T_SelfStock[WeekIndex],94)+SUMIFS(T_TTAFStock[TTAF_Qty],T_TTAFStock[RM_Code],$A79,T_TTAFStock[WeekIndex],94),CP79+'Grid_Incoming'!CQ79-'Grid_Requirement'!CQ79))</f>
        <v/>
      </c>
      <c r="CR79">
        <f>IF(COUNTIFS(T_StockCount[RM_Code],$A79,T_StockCount[WeekIndex],95)&gt;0,SUMIFS(T_StockCount[CountedQty],T_StockCount[RM_Code],$A79,T_StockCount[WeekIndex],95),IF((COUNTIFS(T_SelfStock[RM_Code],$A79,T_SelfStock[WeekIndex],95)&gt;0)*(COUNTIFS(T_TTAFStock[RM_Code],$A79,T_TTAFStock[WeekIndex],95)&gt;0)&gt;0,SUMIFS(T_SelfStock[Self_Qty],T_SelfStock[RM_Code],$A79,T_SelfStock[WeekIndex],95)+SUMIFS(T_TTAFStock[TTAF_Qty],T_TTAFStock[RM_Code],$A79,T_TTAFStock[WeekIndex],95),CQ79+'Grid_Incoming'!CR79-'Grid_Requirement'!CR79))</f>
        <v/>
      </c>
      <c r="CS79">
        <f>IF(COUNTIFS(T_StockCount[RM_Code],$A79,T_StockCount[WeekIndex],96)&gt;0,SUMIFS(T_StockCount[CountedQty],T_StockCount[RM_Code],$A79,T_StockCount[WeekIndex],96),IF((COUNTIFS(T_SelfStock[RM_Code],$A79,T_SelfStock[WeekIndex],96)&gt;0)*(COUNTIFS(T_TTAFStock[RM_Code],$A79,T_TTAFStock[WeekIndex],96)&gt;0)&gt;0,SUMIFS(T_SelfStock[Self_Qty],T_SelfStock[RM_Code],$A79,T_SelfStock[WeekIndex],96)+SUMIFS(T_TTAFStock[TTAF_Qty],T_TTAFStock[RM_Code],$A79,T_TTAFStock[WeekIndex],96),CR79+'Grid_Incoming'!CS79-'Grid_Requirement'!CS79))</f>
        <v/>
      </c>
      <c r="CT79">
        <f>IF(COUNTIFS(T_StockCount[RM_Code],$A79,T_StockCount[WeekIndex],97)&gt;0,SUMIFS(T_StockCount[CountedQty],T_StockCount[RM_Code],$A79,T_StockCount[WeekIndex],97),IF((COUNTIFS(T_SelfStock[RM_Code],$A79,T_SelfStock[WeekIndex],97)&gt;0)*(COUNTIFS(T_TTAFStock[RM_Code],$A79,T_TTAFStock[WeekIndex],97)&gt;0)&gt;0,SUMIFS(T_SelfStock[Self_Qty],T_SelfStock[RM_Code],$A79,T_SelfStock[WeekIndex],97)+SUMIFS(T_TTAFStock[TTAF_Qty],T_TTAFStock[RM_Code],$A79,T_TTAFStock[WeekIndex],97),CS79+'Grid_Incoming'!CT79-'Grid_Requirement'!CT79))</f>
        <v/>
      </c>
      <c r="CU79">
        <f>IF(COUNTIFS(T_StockCount[RM_Code],$A79,T_StockCount[WeekIndex],98)&gt;0,SUMIFS(T_StockCount[CountedQty],T_StockCount[RM_Code],$A79,T_StockCount[WeekIndex],98),IF((COUNTIFS(T_SelfStock[RM_Code],$A79,T_SelfStock[WeekIndex],98)&gt;0)*(COUNTIFS(T_TTAFStock[RM_Code],$A79,T_TTAFStock[WeekIndex],98)&gt;0)&gt;0,SUMIFS(T_SelfStock[Self_Qty],T_SelfStock[RM_Code],$A79,T_SelfStock[WeekIndex],98)+SUMIFS(T_TTAFStock[TTAF_Qty],T_TTAFStock[RM_Code],$A79,T_TTAFStock[WeekIndex],98),CT79+'Grid_Incoming'!CU79-'Grid_Requirement'!CU79))</f>
        <v/>
      </c>
      <c r="CV79">
        <f>IF(COUNTIFS(T_StockCount[RM_Code],$A79,T_StockCount[WeekIndex],99)&gt;0,SUMIFS(T_StockCount[CountedQty],T_StockCount[RM_Code],$A79,T_StockCount[WeekIndex],99),IF((COUNTIFS(T_SelfStock[RM_Code],$A79,T_SelfStock[WeekIndex],99)&gt;0)*(COUNTIFS(T_TTAFStock[RM_Code],$A79,T_TTAFStock[WeekIndex],99)&gt;0)&gt;0,SUMIFS(T_SelfStock[Self_Qty],T_SelfStock[RM_Code],$A79,T_SelfStock[WeekIndex],99)+SUMIFS(T_TTAFStock[TTAF_Qty],T_TTAFStock[RM_Code],$A79,T_TTAFStock[WeekIndex],99),CU79+'Grid_Incoming'!CV79-'Grid_Requirement'!CV79))</f>
        <v/>
      </c>
      <c r="CW79">
        <f>IF(COUNTIFS(T_StockCount[RM_Code],$A79,T_StockCount[WeekIndex],100)&gt;0,SUMIFS(T_StockCount[CountedQty],T_StockCount[RM_Code],$A79,T_StockCount[WeekIndex],100),IF((COUNTIFS(T_SelfStock[RM_Code],$A79,T_SelfStock[WeekIndex],100)&gt;0)*(COUNTIFS(T_TTAFStock[RM_Code],$A79,T_TTAFStock[WeekIndex],100)&gt;0)&gt;0,SUMIFS(T_SelfStock[Self_Qty],T_SelfStock[RM_Code],$A79,T_SelfStock[WeekIndex],100)+SUMIFS(T_TTAFStock[TTAF_Qty],T_TTAFStock[RM_Code],$A79,T_TTAFStock[WeekIndex],100),CV79+'Grid_Incoming'!CW79-'Grid_Requirement'!CW79))</f>
        <v/>
      </c>
      <c r="CX79">
        <f>IF(COUNTIFS(T_StockCount[RM_Code],$A79,T_StockCount[WeekIndex],101)&gt;0,SUMIFS(T_StockCount[CountedQty],T_StockCount[RM_Code],$A79,T_StockCount[WeekIndex],101),IF((COUNTIFS(T_SelfStock[RM_Code],$A79,T_SelfStock[WeekIndex],101)&gt;0)*(COUNTIFS(T_TTAFStock[RM_Code],$A79,T_TTAFStock[WeekIndex],101)&gt;0)&gt;0,SUMIFS(T_SelfStock[Self_Qty],T_SelfStock[RM_Code],$A79,T_SelfStock[WeekIndex],101)+SUMIFS(T_TTAFStock[TTAF_Qty],T_TTAFStock[RM_Code],$A79,T_TTAFStock[WeekIndex],101),CW79+'Grid_Incoming'!CX79-'Grid_Requirement'!CX79))</f>
        <v/>
      </c>
      <c r="CY79">
        <f>IF(COUNTIFS(T_StockCount[RM_Code],$A79,T_StockCount[WeekIndex],102)&gt;0,SUMIFS(T_StockCount[CountedQty],T_StockCount[RM_Code],$A79,T_StockCount[WeekIndex],102),IF((COUNTIFS(T_SelfStock[RM_Code],$A79,T_SelfStock[WeekIndex],102)&gt;0)*(COUNTIFS(T_TTAFStock[RM_Code],$A79,T_TTAFStock[WeekIndex],102)&gt;0)&gt;0,SUMIFS(T_SelfStock[Self_Qty],T_SelfStock[RM_Code],$A79,T_SelfStock[WeekIndex],102)+SUMIFS(T_TTAFStock[TTAF_Qty],T_TTAFStock[RM_Code],$A79,T_TTAFStock[WeekIndex],102),CX79+'Grid_Incoming'!CY79-'Grid_Requirement'!CY79))</f>
        <v/>
      </c>
      <c r="CZ79">
        <f>IF(COUNTIFS(T_StockCount[RM_Code],$A79,T_StockCount[WeekIndex],103)&gt;0,SUMIFS(T_StockCount[CountedQty],T_StockCount[RM_Code],$A79,T_StockCount[WeekIndex],103),IF((COUNTIFS(T_SelfStock[RM_Code],$A79,T_SelfStock[WeekIndex],103)&gt;0)*(COUNTIFS(T_TTAFStock[RM_Code],$A79,T_TTAFStock[WeekIndex],103)&gt;0)&gt;0,SUMIFS(T_SelfStock[Self_Qty],T_SelfStock[RM_Code],$A79,T_SelfStock[WeekIndex],103)+SUMIFS(T_TTAFStock[TTAF_Qty],T_TTAFStock[RM_Code],$A79,T_TTAFStock[WeekIndex],103),CY79+'Grid_Incoming'!CZ79-'Grid_Requirement'!CZ79))</f>
        <v/>
      </c>
      <c r="DA79">
        <f>IF(COUNTIFS(T_StockCount[RM_Code],$A79,T_StockCount[WeekIndex],104)&gt;0,SUMIFS(T_StockCount[CountedQty],T_StockCount[RM_Code],$A79,T_StockCount[WeekIndex],104),IF((COUNTIFS(T_SelfStock[RM_Code],$A79,T_SelfStock[WeekIndex],104)&gt;0)*(COUNTIFS(T_TTAFStock[RM_Code],$A79,T_TTAFStock[WeekIndex],104)&gt;0)&gt;0,SUMIFS(T_SelfStock[Self_Qty],T_SelfStock[RM_Code],$A79,T_SelfStock[WeekIndex],104)+SUMIFS(T_TTAFStock[TTAF_Qty],T_TTAFStock[RM_Code],$A79,T_TTAFStock[WeekIndex],104),CZ79+'Grid_Incoming'!DA79-'Grid_Requirement'!DA79))</f>
        <v/>
      </c>
    </row>
    <row r="80">
      <c r="A80" t="inlineStr">
        <is>
          <t>Chem-1790</t>
        </is>
      </c>
      <c r="B80">
        <f>IF(COUNTIFS(T_StockCount[RM_Code],$A80,T_StockCount[WeekIndex],1)&gt;0,SUMIFS(T_StockCount[CountedQty],T_StockCount[RM_Code],$A80,T_StockCount[WeekIndex],1),IF((COUNTIFS(T_SelfStock[RM_Code],$A80,T_SelfStock[WeekIndex],1)&gt;0)*(COUNTIFS(T_TTAFStock[RM_Code],$A80,T_TTAFStock[WeekIndex],1)&gt;0)&gt;0,SUMIFS(T_SelfStock[Self_Qty],T_SelfStock[RM_Code],$A80,T_SelfStock[WeekIndex],1)+SUMIFS(T_TTAFStock[TTAF_Qty],T_TTAFStock[RM_Code],$A80,T_TTAFStock[WeekIndex],1),IFERROR(INDEX(T_OpeningStock[Opening_Qty],MATCH($A80,T_OpeningStock[RM_Code],0)),0)+'Grid_Incoming'!B80-'Grid_Requirement'!B80))</f>
        <v/>
      </c>
      <c r="C80">
        <f>IF(COUNTIFS(T_StockCount[RM_Code],$A80,T_StockCount[WeekIndex],2)&gt;0,SUMIFS(T_StockCount[CountedQty],T_StockCount[RM_Code],$A80,T_StockCount[WeekIndex],2),IF((COUNTIFS(T_SelfStock[RM_Code],$A80,T_SelfStock[WeekIndex],2)&gt;0)*(COUNTIFS(T_TTAFStock[RM_Code],$A80,T_TTAFStock[WeekIndex],2)&gt;0)&gt;0,SUMIFS(T_SelfStock[Self_Qty],T_SelfStock[RM_Code],$A80,T_SelfStock[WeekIndex],2)+SUMIFS(T_TTAFStock[TTAF_Qty],T_TTAFStock[RM_Code],$A80,T_TTAFStock[WeekIndex],2),B80+'Grid_Incoming'!C80-'Grid_Requirement'!C80))</f>
        <v/>
      </c>
      <c r="D80">
        <f>IF(COUNTIFS(T_StockCount[RM_Code],$A80,T_StockCount[WeekIndex],3)&gt;0,SUMIFS(T_StockCount[CountedQty],T_StockCount[RM_Code],$A80,T_StockCount[WeekIndex],3),IF((COUNTIFS(T_SelfStock[RM_Code],$A80,T_SelfStock[WeekIndex],3)&gt;0)*(COUNTIFS(T_TTAFStock[RM_Code],$A80,T_TTAFStock[WeekIndex],3)&gt;0)&gt;0,SUMIFS(T_SelfStock[Self_Qty],T_SelfStock[RM_Code],$A80,T_SelfStock[WeekIndex],3)+SUMIFS(T_TTAFStock[TTAF_Qty],T_TTAFStock[RM_Code],$A80,T_TTAFStock[WeekIndex],3),C80+'Grid_Incoming'!D80-'Grid_Requirement'!D80))</f>
        <v/>
      </c>
      <c r="E80">
        <f>IF(COUNTIFS(T_StockCount[RM_Code],$A80,T_StockCount[WeekIndex],4)&gt;0,SUMIFS(T_StockCount[CountedQty],T_StockCount[RM_Code],$A80,T_StockCount[WeekIndex],4),IF((COUNTIFS(T_SelfStock[RM_Code],$A80,T_SelfStock[WeekIndex],4)&gt;0)*(COUNTIFS(T_TTAFStock[RM_Code],$A80,T_TTAFStock[WeekIndex],4)&gt;0)&gt;0,SUMIFS(T_SelfStock[Self_Qty],T_SelfStock[RM_Code],$A80,T_SelfStock[WeekIndex],4)+SUMIFS(T_TTAFStock[TTAF_Qty],T_TTAFStock[RM_Code],$A80,T_TTAFStock[WeekIndex],4),D80+'Grid_Incoming'!E80-'Grid_Requirement'!E80))</f>
        <v/>
      </c>
      <c r="F80">
        <f>IF(COUNTIFS(T_StockCount[RM_Code],$A80,T_StockCount[WeekIndex],5)&gt;0,SUMIFS(T_StockCount[CountedQty],T_StockCount[RM_Code],$A80,T_StockCount[WeekIndex],5),IF((COUNTIFS(T_SelfStock[RM_Code],$A80,T_SelfStock[WeekIndex],5)&gt;0)*(COUNTIFS(T_TTAFStock[RM_Code],$A80,T_TTAFStock[WeekIndex],5)&gt;0)&gt;0,SUMIFS(T_SelfStock[Self_Qty],T_SelfStock[RM_Code],$A80,T_SelfStock[WeekIndex],5)+SUMIFS(T_TTAFStock[TTAF_Qty],T_TTAFStock[RM_Code],$A80,T_TTAFStock[WeekIndex],5),E80+'Grid_Incoming'!F80-'Grid_Requirement'!F80))</f>
        <v/>
      </c>
      <c r="G80">
        <f>IF(COUNTIFS(T_StockCount[RM_Code],$A80,T_StockCount[WeekIndex],6)&gt;0,SUMIFS(T_StockCount[CountedQty],T_StockCount[RM_Code],$A80,T_StockCount[WeekIndex],6),IF((COUNTIFS(T_SelfStock[RM_Code],$A80,T_SelfStock[WeekIndex],6)&gt;0)*(COUNTIFS(T_TTAFStock[RM_Code],$A80,T_TTAFStock[WeekIndex],6)&gt;0)&gt;0,SUMIFS(T_SelfStock[Self_Qty],T_SelfStock[RM_Code],$A80,T_SelfStock[WeekIndex],6)+SUMIFS(T_TTAFStock[TTAF_Qty],T_TTAFStock[RM_Code],$A80,T_TTAFStock[WeekIndex],6),F80+'Grid_Incoming'!G80-'Grid_Requirement'!G80))</f>
        <v/>
      </c>
      <c r="H80">
        <f>IF(COUNTIFS(T_StockCount[RM_Code],$A80,T_StockCount[WeekIndex],7)&gt;0,SUMIFS(T_StockCount[CountedQty],T_StockCount[RM_Code],$A80,T_StockCount[WeekIndex],7),IF((COUNTIFS(T_SelfStock[RM_Code],$A80,T_SelfStock[WeekIndex],7)&gt;0)*(COUNTIFS(T_TTAFStock[RM_Code],$A80,T_TTAFStock[WeekIndex],7)&gt;0)&gt;0,SUMIFS(T_SelfStock[Self_Qty],T_SelfStock[RM_Code],$A80,T_SelfStock[WeekIndex],7)+SUMIFS(T_TTAFStock[TTAF_Qty],T_TTAFStock[RM_Code],$A80,T_TTAFStock[WeekIndex],7),G80+'Grid_Incoming'!H80-'Grid_Requirement'!H80))</f>
        <v/>
      </c>
      <c r="I80">
        <f>IF(COUNTIFS(T_StockCount[RM_Code],$A80,T_StockCount[WeekIndex],8)&gt;0,SUMIFS(T_StockCount[CountedQty],T_StockCount[RM_Code],$A80,T_StockCount[WeekIndex],8),IF((COUNTIFS(T_SelfStock[RM_Code],$A80,T_SelfStock[WeekIndex],8)&gt;0)*(COUNTIFS(T_TTAFStock[RM_Code],$A80,T_TTAFStock[WeekIndex],8)&gt;0)&gt;0,SUMIFS(T_SelfStock[Self_Qty],T_SelfStock[RM_Code],$A80,T_SelfStock[WeekIndex],8)+SUMIFS(T_TTAFStock[TTAF_Qty],T_TTAFStock[RM_Code],$A80,T_TTAFStock[WeekIndex],8),H80+'Grid_Incoming'!I80-'Grid_Requirement'!I80))</f>
        <v/>
      </c>
      <c r="J80">
        <f>IF(COUNTIFS(T_StockCount[RM_Code],$A80,T_StockCount[WeekIndex],9)&gt;0,SUMIFS(T_StockCount[CountedQty],T_StockCount[RM_Code],$A80,T_StockCount[WeekIndex],9),IF((COUNTIFS(T_SelfStock[RM_Code],$A80,T_SelfStock[WeekIndex],9)&gt;0)*(COUNTIFS(T_TTAFStock[RM_Code],$A80,T_TTAFStock[WeekIndex],9)&gt;0)&gt;0,SUMIFS(T_SelfStock[Self_Qty],T_SelfStock[RM_Code],$A80,T_SelfStock[WeekIndex],9)+SUMIFS(T_TTAFStock[TTAF_Qty],T_TTAFStock[RM_Code],$A80,T_TTAFStock[WeekIndex],9),I80+'Grid_Incoming'!J80-'Grid_Requirement'!J80))</f>
        <v/>
      </c>
      <c r="K80">
        <f>IF(COUNTIFS(T_StockCount[RM_Code],$A80,T_StockCount[WeekIndex],10)&gt;0,SUMIFS(T_StockCount[CountedQty],T_StockCount[RM_Code],$A80,T_StockCount[WeekIndex],10),IF((COUNTIFS(T_SelfStock[RM_Code],$A80,T_SelfStock[WeekIndex],10)&gt;0)*(COUNTIFS(T_TTAFStock[RM_Code],$A80,T_TTAFStock[WeekIndex],10)&gt;0)&gt;0,SUMIFS(T_SelfStock[Self_Qty],T_SelfStock[RM_Code],$A80,T_SelfStock[WeekIndex],10)+SUMIFS(T_TTAFStock[TTAF_Qty],T_TTAFStock[RM_Code],$A80,T_TTAFStock[WeekIndex],10),J80+'Grid_Incoming'!K80-'Grid_Requirement'!K80))</f>
        <v/>
      </c>
      <c r="L80">
        <f>IF(COUNTIFS(T_StockCount[RM_Code],$A80,T_StockCount[WeekIndex],11)&gt;0,SUMIFS(T_StockCount[CountedQty],T_StockCount[RM_Code],$A80,T_StockCount[WeekIndex],11),IF((COUNTIFS(T_SelfStock[RM_Code],$A80,T_SelfStock[WeekIndex],11)&gt;0)*(COUNTIFS(T_TTAFStock[RM_Code],$A80,T_TTAFStock[WeekIndex],11)&gt;0)&gt;0,SUMIFS(T_SelfStock[Self_Qty],T_SelfStock[RM_Code],$A80,T_SelfStock[WeekIndex],11)+SUMIFS(T_TTAFStock[TTAF_Qty],T_TTAFStock[RM_Code],$A80,T_TTAFStock[WeekIndex],11),K80+'Grid_Incoming'!L80-'Grid_Requirement'!L80))</f>
        <v/>
      </c>
      <c r="M80">
        <f>IF(COUNTIFS(T_StockCount[RM_Code],$A80,T_StockCount[WeekIndex],12)&gt;0,SUMIFS(T_StockCount[CountedQty],T_StockCount[RM_Code],$A80,T_StockCount[WeekIndex],12),IF((COUNTIFS(T_SelfStock[RM_Code],$A80,T_SelfStock[WeekIndex],12)&gt;0)*(COUNTIFS(T_TTAFStock[RM_Code],$A80,T_TTAFStock[WeekIndex],12)&gt;0)&gt;0,SUMIFS(T_SelfStock[Self_Qty],T_SelfStock[RM_Code],$A80,T_SelfStock[WeekIndex],12)+SUMIFS(T_TTAFStock[TTAF_Qty],T_TTAFStock[RM_Code],$A80,T_TTAFStock[WeekIndex],12),L80+'Grid_Incoming'!M80-'Grid_Requirement'!M80))</f>
        <v/>
      </c>
      <c r="N80">
        <f>IF(COUNTIFS(T_StockCount[RM_Code],$A80,T_StockCount[WeekIndex],13)&gt;0,SUMIFS(T_StockCount[CountedQty],T_StockCount[RM_Code],$A80,T_StockCount[WeekIndex],13),IF((COUNTIFS(T_SelfStock[RM_Code],$A80,T_SelfStock[WeekIndex],13)&gt;0)*(COUNTIFS(T_TTAFStock[RM_Code],$A80,T_TTAFStock[WeekIndex],13)&gt;0)&gt;0,SUMIFS(T_SelfStock[Self_Qty],T_SelfStock[RM_Code],$A80,T_SelfStock[WeekIndex],13)+SUMIFS(T_TTAFStock[TTAF_Qty],T_TTAFStock[RM_Code],$A80,T_TTAFStock[WeekIndex],13),M80+'Grid_Incoming'!N80-'Grid_Requirement'!N80))</f>
        <v/>
      </c>
      <c r="O80">
        <f>IF(COUNTIFS(T_StockCount[RM_Code],$A80,T_StockCount[WeekIndex],14)&gt;0,SUMIFS(T_StockCount[CountedQty],T_StockCount[RM_Code],$A80,T_StockCount[WeekIndex],14),IF((COUNTIFS(T_SelfStock[RM_Code],$A80,T_SelfStock[WeekIndex],14)&gt;0)*(COUNTIFS(T_TTAFStock[RM_Code],$A80,T_TTAFStock[WeekIndex],14)&gt;0)&gt;0,SUMIFS(T_SelfStock[Self_Qty],T_SelfStock[RM_Code],$A80,T_SelfStock[WeekIndex],14)+SUMIFS(T_TTAFStock[TTAF_Qty],T_TTAFStock[RM_Code],$A80,T_TTAFStock[WeekIndex],14),N80+'Grid_Incoming'!O80-'Grid_Requirement'!O80))</f>
        <v/>
      </c>
      <c r="P80">
        <f>IF(COUNTIFS(T_StockCount[RM_Code],$A80,T_StockCount[WeekIndex],15)&gt;0,SUMIFS(T_StockCount[CountedQty],T_StockCount[RM_Code],$A80,T_StockCount[WeekIndex],15),IF((COUNTIFS(T_SelfStock[RM_Code],$A80,T_SelfStock[WeekIndex],15)&gt;0)*(COUNTIFS(T_TTAFStock[RM_Code],$A80,T_TTAFStock[WeekIndex],15)&gt;0)&gt;0,SUMIFS(T_SelfStock[Self_Qty],T_SelfStock[RM_Code],$A80,T_SelfStock[WeekIndex],15)+SUMIFS(T_TTAFStock[TTAF_Qty],T_TTAFStock[RM_Code],$A80,T_TTAFStock[WeekIndex],15),O80+'Grid_Incoming'!P80-'Grid_Requirement'!P80))</f>
        <v/>
      </c>
      <c r="Q80">
        <f>IF(COUNTIFS(T_StockCount[RM_Code],$A80,T_StockCount[WeekIndex],16)&gt;0,SUMIFS(T_StockCount[CountedQty],T_StockCount[RM_Code],$A80,T_StockCount[WeekIndex],16),IF((COUNTIFS(T_SelfStock[RM_Code],$A80,T_SelfStock[WeekIndex],16)&gt;0)*(COUNTIFS(T_TTAFStock[RM_Code],$A80,T_TTAFStock[WeekIndex],16)&gt;0)&gt;0,SUMIFS(T_SelfStock[Self_Qty],T_SelfStock[RM_Code],$A80,T_SelfStock[WeekIndex],16)+SUMIFS(T_TTAFStock[TTAF_Qty],T_TTAFStock[RM_Code],$A80,T_TTAFStock[WeekIndex],16),P80+'Grid_Incoming'!Q80-'Grid_Requirement'!Q80))</f>
        <v/>
      </c>
      <c r="R80">
        <f>IF(COUNTIFS(T_StockCount[RM_Code],$A80,T_StockCount[WeekIndex],17)&gt;0,SUMIFS(T_StockCount[CountedQty],T_StockCount[RM_Code],$A80,T_StockCount[WeekIndex],17),IF((COUNTIFS(T_SelfStock[RM_Code],$A80,T_SelfStock[WeekIndex],17)&gt;0)*(COUNTIFS(T_TTAFStock[RM_Code],$A80,T_TTAFStock[WeekIndex],17)&gt;0)&gt;0,SUMIFS(T_SelfStock[Self_Qty],T_SelfStock[RM_Code],$A80,T_SelfStock[WeekIndex],17)+SUMIFS(T_TTAFStock[TTAF_Qty],T_TTAFStock[RM_Code],$A80,T_TTAFStock[WeekIndex],17),Q80+'Grid_Incoming'!R80-'Grid_Requirement'!R80))</f>
        <v/>
      </c>
      <c r="S80">
        <f>IF(COUNTIFS(T_StockCount[RM_Code],$A80,T_StockCount[WeekIndex],18)&gt;0,SUMIFS(T_StockCount[CountedQty],T_StockCount[RM_Code],$A80,T_StockCount[WeekIndex],18),IF((COUNTIFS(T_SelfStock[RM_Code],$A80,T_SelfStock[WeekIndex],18)&gt;0)*(COUNTIFS(T_TTAFStock[RM_Code],$A80,T_TTAFStock[WeekIndex],18)&gt;0)&gt;0,SUMIFS(T_SelfStock[Self_Qty],T_SelfStock[RM_Code],$A80,T_SelfStock[WeekIndex],18)+SUMIFS(T_TTAFStock[TTAF_Qty],T_TTAFStock[RM_Code],$A80,T_TTAFStock[WeekIndex],18),R80+'Grid_Incoming'!S80-'Grid_Requirement'!S80))</f>
        <v/>
      </c>
      <c r="T80">
        <f>IF(COUNTIFS(T_StockCount[RM_Code],$A80,T_StockCount[WeekIndex],19)&gt;0,SUMIFS(T_StockCount[CountedQty],T_StockCount[RM_Code],$A80,T_StockCount[WeekIndex],19),IF((COUNTIFS(T_SelfStock[RM_Code],$A80,T_SelfStock[WeekIndex],19)&gt;0)*(COUNTIFS(T_TTAFStock[RM_Code],$A80,T_TTAFStock[WeekIndex],19)&gt;0)&gt;0,SUMIFS(T_SelfStock[Self_Qty],T_SelfStock[RM_Code],$A80,T_SelfStock[WeekIndex],19)+SUMIFS(T_TTAFStock[TTAF_Qty],T_TTAFStock[RM_Code],$A80,T_TTAFStock[WeekIndex],19),S80+'Grid_Incoming'!T80-'Grid_Requirement'!T80))</f>
        <v/>
      </c>
      <c r="U80">
        <f>IF(COUNTIFS(T_StockCount[RM_Code],$A80,T_StockCount[WeekIndex],20)&gt;0,SUMIFS(T_StockCount[CountedQty],T_StockCount[RM_Code],$A80,T_StockCount[WeekIndex],20),IF((COUNTIFS(T_SelfStock[RM_Code],$A80,T_SelfStock[WeekIndex],20)&gt;0)*(COUNTIFS(T_TTAFStock[RM_Code],$A80,T_TTAFStock[WeekIndex],20)&gt;0)&gt;0,SUMIFS(T_SelfStock[Self_Qty],T_SelfStock[RM_Code],$A80,T_SelfStock[WeekIndex],20)+SUMIFS(T_TTAFStock[TTAF_Qty],T_TTAFStock[RM_Code],$A80,T_TTAFStock[WeekIndex],20),T80+'Grid_Incoming'!U80-'Grid_Requirement'!U80))</f>
        <v/>
      </c>
      <c r="V80">
        <f>IF(COUNTIFS(T_StockCount[RM_Code],$A80,T_StockCount[WeekIndex],21)&gt;0,SUMIFS(T_StockCount[CountedQty],T_StockCount[RM_Code],$A80,T_StockCount[WeekIndex],21),IF((COUNTIFS(T_SelfStock[RM_Code],$A80,T_SelfStock[WeekIndex],21)&gt;0)*(COUNTIFS(T_TTAFStock[RM_Code],$A80,T_TTAFStock[WeekIndex],21)&gt;0)&gt;0,SUMIFS(T_SelfStock[Self_Qty],T_SelfStock[RM_Code],$A80,T_SelfStock[WeekIndex],21)+SUMIFS(T_TTAFStock[TTAF_Qty],T_TTAFStock[RM_Code],$A80,T_TTAFStock[WeekIndex],21),U80+'Grid_Incoming'!V80-'Grid_Requirement'!V80))</f>
        <v/>
      </c>
      <c r="W80">
        <f>IF(COUNTIFS(T_StockCount[RM_Code],$A80,T_StockCount[WeekIndex],22)&gt;0,SUMIFS(T_StockCount[CountedQty],T_StockCount[RM_Code],$A80,T_StockCount[WeekIndex],22),IF((COUNTIFS(T_SelfStock[RM_Code],$A80,T_SelfStock[WeekIndex],22)&gt;0)*(COUNTIFS(T_TTAFStock[RM_Code],$A80,T_TTAFStock[WeekIndex],22)&gt;0)&gt;0,SUMIFS(T_SelfStock[Self_Qty],T_SelfStock[RM_Code],$A80,T_SelfStock[WeekIndex],22)+SUMIFS(T_TTAFStock[TTAF_Qty],T_TTAFStock[RM_Code],$A80,T_TTAFStock[WeekIndex],22),V80+'Grid_Incoming'!W80-'Grid_Requirement'!W80))</f>
        <v/>
      </c>
      <c r="X80">
        <f>IF(COUNTIFS(T_StockCount[RM_Code],$A80,T_StockCount[WeekIndex],23)&gt;0,SUMIFS(T_StockCount[CountedQty],T_StockCount[RM_Code],$A80,T_StockCount[WeekIndex],23),IF((COUNTIFS(T_SelfStock[RM_Code],$A80,T_SelfStock[WeekIndex],23)&gt;0)*(COUNTIFS(T_TTAFStock[RM_Code],$A80,T_TTAFStock[WeekIndex],23)&gt;0)&gt;0,SUMIFS(T_SelfStock[Self_Qty],T_SelfStock[RM_Code],$A80,T_SelfStock[WeekIndex],23)+SUMIFS(T_TTAFStock[TTAF_Qty],T_TTAFStock[RM_Code],$A80,T_TTAFStock[WeekIndex],23),W80+'Grid_Incoming'!X80-'Grid_Requirement'!X80))</f>
        <v/>
      </c>
      <c r="Y80">
        <f>IF(COUNTIFS(T_StockCount[RM_Code],$A80,T_StockCount[WeekIndex],24)&gt;0,SUMIFS(T_StockCount[CountedQty],T_StockCount[RM_Code],$A80,T_StockCount[WeekIndex],24),IF((COUNTIFS(T_SelfStock[RM_Code],$A80,T_SelfStock[WeekIndex],24)&gt;0)*(COUNTIFS(T_TTAFStock[RM_Code],$A80,T_TTAFStock[WeekIndex],24)&gt;0)&gt;0,SUMIFS(T_SelfStock[Self_Qty],T_SelfStock[RM_Code],$A80,T_SelfStock[WeekIndex],24)+SUMIFS(T_TTAFStock[TTAF_Qty],T_TTAFStock[RM_Code],$A80,T_TTAFStock[WeekIndex],24),X80+'Grid_Incoming'!Y80-'Grid_Requirement'!Y80))</f>
        <v/>
      </c>
      <c r="Z80">
        <f>IF(COUNTIFS(T_StockCount[RM_Code],$A80,T_StockCount[WeekIndex],25)&gt;0,SUMIFS(T_StockCount[CountedQty],T_StockCount[RM_Code],$A80,T_StockCount[WeekIndex],25),IF((COUNTIFS(T_SelfStock[RM_Code],$A80,T_SelfStock[WeekIndex],25)&gt;0)*(COUNTIFS(T_TTAFStock[RM_Code],$A80,T_TTAFStock[WeekIndex],25)&gt;0)&gt;0,SUMIFS(T_SelfStock[Self_Qty],T_SelfStock[RM_Code],$A80,T_SelfStock[WeekIndex],25)+SUMIFS(T_TTAFStock[TTAF_Qty],T_TTAFStock[RM_Code],$A80,T_TTAFStock[WeekIndex],25),Y80+'Grid_Incoming'!Z80-'Grid_Requirement'!Z80))</f>
        <v/>
      </c>
      <c r="AA80">
        <f>IF(COUNTIFS(T_StockCount[RM_Code],$A80,T_StockCount[WeekIndex],26)&gt;0,SUMIFS(T_StockCount[CountedQty],T_StockCount[RM_Code],$A80,T_StockCount[WeekIndex],26),IF((COUNTIFS(T_SelfStock[RM_Code],$A80,T_SelfStock[WeekIndex],26)&gt;0)*(COUNTIFS(T_TTAFStock[RM_Code],$A80,T_TTAFStock[WeekIndex],26)&gt;0)&gt;0,SUMIFS(T_SelfStock[Self_Qty],T_SelfStock[RM_Code],$A80,T_SelfStock[WeekIndex],26)+SUMIFS(T_TTAFStock[TTAF_Qty],T_TTAFStock[RM_Code],$A80,T_TTAFStock[WeekIndex],26),Z80+'Grid_Incoming'!AA80-'Grid_Requirement'!AA80))</f>
        <v/>
      </c>
      <c r="AB80">
        <f>IF(COUNTIFS(T_StockCount[RM_Code],$A80,T_StockCount[WeekIndex],27)&gt;0,SUMIFS(T_StockCount[CountedQty],T_StockCount[RM_Code],$A80,T_StockCount[WeekIndex],27),IF((COUNTIFS(T_SelfStock[RM_Code],$A80,T_SelfStock[WeekIndex],27)&gt;0)*(COUNTIFS(T_TTAFStock[RM_Code],$A80,T_TTAFStock[WeekIndex],27)&gt;0)&gt;0,SUMIFS(T_SelfStock[Self_Qty],T_SelfStock[RM_Code],$A80,T_SelfStock[WeekIndex],27)+SUMIFS(T_TTAFStock[TTAF_Qty],T_TTAFStock[RM_Code],$A80,T_TTAFStock[WeekIndex],27),AA80+'Grid_Incoming'!AB80-'Grid_Requirement'!AB80))</f>
        <v/>
      </c>
      <c r="AC80">
        <f>IF(COUNTIFS(T_StockCount[RM_Code],$A80,T_StockCount[WeekIndex],28)&gt;0,SUMIFS(T_StockCount[CountedQty],T_StockCount[RM_Code],$A80,T_StockCount[WeekIndex],28),IF((COUNTIFS(T_SelfStock[RM_Code],$A80,T_SelfStock[WeekIndex],28)&gt;0)*(COUNTIFS(T_TTAFStock[RM_Code],$A80,T_TTAFStock[WeekIndex],28)&gt;0)&gt;0,SUMIFS(T_SelfStock[Self_Qty],T_SelfStock[RM_Code],$A80,T_SelfStock[WeekIndex],28)+SUMIFS(T_TTAFStock[TTAF_Qty],T_TTAFStock[RM_Code],$A80,T_TTAFStock[WeekIndex],28),AB80+'Grid_Incoming'!AC80-'Grid_Requirement'!AC80))</f>
        <v/>
      </c>
      <c r="AD80">
        <f>IF(COUNTIFS(T_StockCount[RM_Code],$A80,T_StockCount[WeekIndex],29)&gt;0,SUMIFS(T_StockCount[CountedQty],T_StockCount[RM_Code],$A80,T_StockCount[WeekIndex],29),IF((COUNTIFS(T_SelfStock[RM_Code],$A80,T_SelfStock[WeekIndex],29)&gt;0)*(COUNTIFS(T_TTAFStock[RM_Code],$A80,T_TTAFStock[WeekIndex],29)&gt;0)&gt;0,SUMIFS(T_SelfStock[Self_Qty],T_SelfStock[RM_Code],$A80,T_SelfStock[WeekIndex],29)+SUMIFS(T_TTAFStock[TTAF_Qty],T_TTAFStock[RM_Code],$A80,T_TTAFStock[WeekIndex],29),AC80+'Grid_Incoming'!AD80-'Grid_Requirement'!AD80))</f>
        <v/>
      </c>
      <c r="AE80">
        <f>IF(COUNTIFS(T_StockCount[RM_Code],$A80,T_StockCount[WeekIndex],30)&gt;0,SUMIFS(T_StockCount[CountedQty],T_StockCount[RM_Code],$A80,T_StockCount[WeekIndex],30),IF((COUNTIFS(T_SelfStock[RM_Code],$A80,T_SelfStock[WeekIndex],30)&gt;0)*(COUNTIFS(T_TTAFStock[RM_Code],$A80,T_TTAFStock[WeekIndex],30)&gt;0)&gt;0,SUMIFS(T_SelfStock[Self_Qty],T_SelfStock[RM_Code],$A80,T_SelfStock[WeekIndex],30)+SUMIFS(T_TTAFStock[TTAF_Qty],T_TTAFStock[RM_Code],$A80,T_TTAFStock[WeekIndex],30),AD80+'Grid_Incoming'!AE80-'Grid_Requirement'!AE80))</f>
        <v/>
      </c>
      <c r="AF80">
        <f>IF(COUNTIFS(T_StockCount[RM_Code],$A80,T_StockCount[WeekIndex],31)&gt;0,SUMIFS(T_StockCount[CountedQty],T_StockCount[RM_Code],$A80,T_StockCount[WeekIndex],31),IF((COUNTIFS(T_SelfStock[RM_Code],$A80,T_SelfStock[WeekIndex],31)&gt;0)*(COUNTIFS(T_TTAFStock[RM_Code],$A80,T_TTAFStock[WeekIndex],31)&gt;0)&gt;0,SUMIFS(T_SelfStock[Self_Qty],T_SelfStock[RM_Code],$A80,T_SelfStock[WeekIndex],31)+SUMIFS(T_TTAFStock[TTAF_Qty],T_TTAFStock[RM_Code],$A80,T_TTAFStock[WeekIndex],31),AE80+'Grid_Incoming'!AF80-'Grid_Requirement'!AF80))</f>
        <v/>
      </c>
      <c r="AG80">
        <f>IF(COUNTIFS(T_StockCount[RM_Code],$A80,T_StockCount[WeekIndex],32)&gt;0,SUMIFS(T_StockCount[CountedQty],T_StockCount[RM_Code],$A80,T_StockCount[WeekIndex],32),IF((COUNTIFS(T_SelfStock[RM_Code],$A80,T_SelfStock[WeekIndex],32)&gt;0)*(COUNTIFS(T_TTAFStock[RM_Code],$A80,T_TTAFStock[WeekIndex],32)&gt;0)&gt;0,SUMIFS(T_SelfStock[Self_Qty],T_SelfStock[RM_Code],$A80,T_SelfStock[WeekIndex],32)+SUMIFS(T_TTAFStock[TTAF_Qty],T_TTAFStock[RM_Code],$A80,T_TTAFStock[WeekIndex],32),AF80+'Grid_Incoming'!AG80-'Grid_Requirement'!AG80))</f>
        <v/>
      </c>
      <c r="AH80">
        <f>IF(COUNTIFS(T_StockCount[RM_Code],$A80,T_StockCount[WeekIndex],33)&gt;0,SUMIFS(T_StockCount[CountedQty],T_StockCount[RM_Code],$A80,T_StockCount[WeekIndex],33),IF((COUNTIFS(T_SelfStock[RM_Code],$A80,T_SelfStock[WeekIndex],33)&gt;0)*(COUNTIFS(T_TTAFStock[RM_Code],$A80,T_TTAFStock[WeekIndex],33)&gt;0)&gt;0,SUMIFS(T_SelfStock[Self_Qty],T_SelfStock[RM_Code],$A80,T_SelfStock[WeekIndex],33)+SUMIFS(T_TTAFStock[TTAF_Qty],T_TTAFStock[RM_Code],$A80,T_TTAFStock[WeekIndex],33),AG80+'Grid_Incoming'!AH80-'Grid_Requirement'!AH80))</f>
        <v/>
      </c>
      <c r="AI80">
        <f>IF(COUNTIFS(T_StockCount[RM_Code],$A80,T_StockCount[WeekIndex],34)&gt;0,SUMIFS(T_StockCount[CountedQty],T_StockCount[RM_Code],$A80,T_StockCount[WeekIndex],34),IF((COUNTIFS(T_SelfStock[RM_Code],$A80,T_SelfStock[WeekIndex],34)&gt;0)*(COUNTIFS(T_TTAFStock[RM_Code],$A80,T_TTAFStock[WeekIndex],34)&gt;0)&gt;0,SUMIFS(T_SelfStock[Self_Qty],T_SelfStock[RM_Code],$A80,T_SelfStock[WeekIndex],34)+SUMIFS(T_TTAFStock[TTAF_Qty],T_TTAFStock[RM_Code],$A80,T_TTAFStock[WeekIndex],34),AH80+'Grid_Incoming'!AI80-'Grid_Requirement'!AI80))</f>
        <v/>
      </c>
      <c r="AJ80">
        <f>IF(COUNTIFS(T_StockCount[RM_Code],$A80,T_StockCount[WeekIndex],35)&gt;0,SUMIFS(T_StockCount[CountedQty],T_StockCount[RM_Code],$A80,T_StockCount[WeekIndex],35),IF((COUNTIFS(T_SelfStock[RM_Code],$A80,T_SelfStock[WeekIndex],35)&gt;0)*(COUNTIFS(T_TTAFStock[RM_Code],$A80,T_TTAFStock[WeekIndex],35)&gt;0)&gt;0,SUMIFS(T_SelfStock[Self_Qty],T_SelfStock[RM_Code],$A80,T_SelfStock[WeekIndex],35)+SUMIFS(T_TTAFStock[TTAF_Qty],T_TTAFStock[RM_Code],$A80,T_TTAFStock[WeekIndex],35),AI80+'Grid_Incoming'!AJ80-'Grid_Requirement'!AJ80))</f>
        <v/>
      </c>
      <c r="AK80">
        <f>IF(COUNTIFS(T_StockCount[RM_Code],$A80,T_StockCount[WeekIndex],36)&gt;0,SUMIFS(T_StockCount[CountedQty],T_StockCount[RM_Code],$A80,T_StockCount[WeekIndex],36),IF((COUNTIFS(T_SelfStock[RM_Code],$A80,T_SelfStock[WeekIndex],36)&gt;0)*(COUNTIFS(T_TTAFStock[RM_Code],$A80,T_TTAFStock[WeekIndex],36)&gt;0)&gt;0,SUMIFS(T_SelfStock[Self_Qty],T_SelfStock[RM_Code],$A80,T_SelfStock[WeekIndex],36)+SUMIFS(T_TTAFStock[TTAF_Qty],T_TTAFStock[RM_Code],$A80,T_TTAFStock[WeekIndex],36),AJ80+'Grid_Incoming'!AK80-'Grid_Requirement'!AK80))</f>
        <v/>
      </c>
      <c r="AL80">
        <f>IF(COUNTIFS(T_StockCount[RM_Code],$A80,T_StockCount[WeekIndex],37)&gt;0,SUMIFS(T_StockCount[CountedQty],T_StockCount[RM_Code],$A80,T_StockCount[WeekIndex],37),IF((COUNTIFS(T_SelfStock[RM_Code],$A80,T_SelfStock[WeekIndex],37)&gt;0)*(COUNTIFS(T_TTAFStock[RM_Code],$A80,T_TTAFStock[WeekIndex],37)&gt;0)&gt;0,SUMIFS(T_SelfStock[Self_Qty],T_SelfStock[RM_Code],$A80,T_SelfStock[WeekIndex],37)+SUMIFS(T_TTAFStock[TTAF_Qty],T_TTAFStock[RM_Code],$A80,T_TTAFStock[WeekIndex],37),AK80+'Grid_Incoming'!AL80-'Grid_Requirement'!AL80))</f>
        <v/>
      </c>
      <c r="AM80">
        <f>IF(COUNTIFS(T_StockCount[RM_Code],$A80,T_StockCount[WeekIndex],38)&gt;0,SUMIFS(T_StockCount[CountedQty],T_StockCount[RM_Code],$A80,T_StockCount[WeekIndex],38),IF((COUNTIFS(T_SelfStock[RM_Code],$A80,T_SelfStock[WeekIndex],38)&gt;0)*(COUNTIFS(T_TTAFStock[RM_Code],$A80,T_TTAFStock[WeekIndex],38)&gt;0)&gt;0,SUMIFS(T_SelfStock[Self_Qty],T_SelfStock[RM_Code],$A80,T_SelfStock[WeekIndex],38)+SUMIFS(T_TTAFStock[TTAF_Qty],T_TTAFStock[RM_Code],$A80,T_TTAFStock[WeekIndex],38),AL80+'Grid_Incoming'!AM80-'Grid_Requirement'!AM80))</f>
        <v/>
      </c>
      <c r="AN80">
        <f>IF(COUNTIFS(T_StockCount[RM_Code],$A80,T_StockCount[WeekIndex],39)&gt;0,SUMIFS(T_StockCount[CountedQty],T_StockCount[RM_Code],$A80,T_StockCount[WeekIndex],39),IF((COUNTIFS(T_SelfStock[RM_Code],$A80,T_SelfStock[WeekIndex],39)&gt;0)*(COUNTIFS(T_TTAFStock[RM_Code],$A80,T_TTAFStock[WeekIndex],39)&gt;0)&gt;0,SUMIFS(T_SelfStock[Self_Qty],T_SelfStock[RM_Code],$A80,T_SelfStock[WeekIndex],39)+SUMIFS(T_TTAFStock[TTAF_Qty],T_TTAFStock[RM_Code],$A80,T_TTAFStock[WeekIndex],39),AM80+'Grid_Incoming'!AN80-'Grid_Requirement'!AN80))</f>
        <v/>
      </c>
      <c r="AO80">
        <f>IF(COUNTIFS(T_StockCount[RM_Code],$A80,T_StockCount[WeekIndex],40)&gt;0,SUMIFS(T_StockCount[CountedQty],T_StockCount[RM_Code],$A80,T_StockCount[WeekIndex],40),IF((COUNTIFS(T_SelfStock[RM_Code],$A80,T_SelfStock[WeekIndex],40)&gt;0)*(COUNTIFS(T_TTAFStock[RM_Code],$A80,T_TTAFStock[WeekIndex],40)&gt;0)&gt;0,SUMIFS(T_SelfStock[Self_Qty],T_SelfStock[RM_Code],$A80,T_SelfStock[WeekIndex],40)+SUMIFS(T_TTAFStock[TTAF_Qty],T_TTAFStock[RM_Code],$A80,T_TTAFStock[WeekIndex],40),AN80+'Grid_Incoming'!AO80-'Grid_Requirement'!AO80))</f>
        <v/>
      </c>
      <c r="AP80">
        <f>IF(COUNTIFS(T_StockCount[RM_Code],$A80,T_StockCount[WeekIndex],41)&gt;0,SUMIFS(T_StockCount[CountedQty],T_StockCount[RM_Code],$A80,T_StockCount[WeekIndex],41),IF((COUNTIFS(T_SelfStock[RM_Code],$A80,T_SelfStock[WeekIndex],41)&gt;0)*(COUNTIFS(T_TTAFStock[RM_Code],$A80,T_TTAFStock[WeekIndex],41)&gt;0)&gt;0,SUMIFS(T_SelfStock[Self_Qty],T_SelfStock[RM_Code],$A80,T_SelfStock[WeekIndex],41)+SUMIFS(T_TTAFStock[TTAF_Qty],T_TTAFStock[RM_Code],$A80,T_TTAFStock[WeekIndex],41),AO80+'Grid_Incoming'!AP80-'Grid_Requirement'!AP80))</f>
        <v/>
      </c>
      <c r="AQ80">
        <f>IF(COUNTIFS(T_StockCount[RM_Code],$A80,T_StockCount[WeekIndex],42)&gt;0,SUMIFS(T_StockCount[CountedQty],T_StockCount[RM_Code],$A80,T_StockCount[WeekIndex],42),IF((COUNTIFS(T_SelfStock[RM_Code],$A80,T_SelfStock[WeekIndex],42)&gt;0)*(COUNTIFS(T_TTAFStock[RM_Code],$A80,T_TTAFStock[WeekIndex],42)&gt;0)&gt;0,SUMIFS(T_SelfStock[Self_Qty],T_SelfStock[RM_Code],$A80,T_SelfStock[WeekIndex],42)+SUMIFS(T_TTAFStock[TTAF_Qty],T_TTAFStock[RM_Code],$A80,T_TTAFStock[WeekIndex],42),AP80+'Grid_Incoming'!AQ80-'Grid_Requirement'!AQ80))</f>
        <v/>
      </c>
      <c r="AR80">
        <f>IF(COUNTIFS(T_StockCount[RM_Code],$A80,T_StockCount[WeekIndex],43)&gt;0,SUMIFS(T_StockCount[CountedQty],T_StockCount[RM_Code],$A80,T_StockCount[WeekIndex],43),IF((COUNTIFS(T_SelfStock[RM_Code],$A80,T_SelfStock[WeekIndex],43)&gt;0)*(COUNTIFS(T_TTAFStock[RM_Code],$A80,T_TTAFStock[WeekIndex],43)&gt;0)&gt;0,SUMIFS(T_SelfStock[Self_Qty],T_SelfStock[RM_Code],$A80,T_SelfStock[WeekIndex],43)+SUMIFS(T_TTAFStock[TTAF_Qty],T_TTAFStock[RM_Code],$A80,T_TTAFStock[WeekIndex],43),AQ80+'Grid_Incoming'!AR80-'Grid_Requirement'!AR80))</f>
        <v/>
      </c>
      <c r="AS80">
        <f>IF(COUNTIFS(T_StockCount[RM_Code],$A80,T_StockCount[WeekIndex],44)&gt;0,SUMIFS(T_StockCount[CountedQty],T_StockCount[RM_Code],$A80,T_StockCount[WeekIndex],44),IF((COUNTIFS(T_SelfStock[RM_Code],$A80,T_SelfStock[WeekIndex],44)&gt;0)*(COUNTIFS(T_TTAFStock[RM_Code],$A80,T_TTAFStock[WeekIndex],44)&gt;0)&gt;0,SUMIFS(T_SelfStock[Self_Qty],T_SelfStock[RM_Code],$A80,T_SelfStock[WeekIndex],44)+SUMIFS(T_TTAFStock[TTAF_Qty],T_TTAFStock[RM_Code],$A80,T_TTAFStock[WeekIndex],44),AR80+'Grid_Incoming'!AS80-'Grid_Requirement'!AS80))</f>
        <v/>
      </c>
      <c r="AT80">
        <f>IF(COUNTIFS(T_StockCount[RM_Code],$A80,T_StockCount[WeekIndex],45)&gt;0,SUMIFS(T_StockCount[CountedQty],T_StockCount[RM_Code],$A80,T_StockCount[WeekIndex],45),IF((COUNTIFS(T_SelfStock[RM_Code],$A80,T_SelfStock[WeekIndex],45)&gt;0)*(COUNTIFS(T_TTAFStock[RM_Code],$A80,T_TTAFStock[WeekIndex],45)&gt;0)&gt;0,SUMIFS(T_SelfStock[Self_Qty],T_SelfStock[RM_Code],$A80,T_SelfStock[WeekIndex],45)+SUMIFS(T_TTAFStock[TTAF_Qty],T_TTAFStock[RM_Code],$A80,T_TTAFStock[WeekIndex],45),AS80+'Grid_Incoming'!AT80-'Grid_Requirement'!AT80))</f>
        <v/>
      </c>
      <c r="AU80">
        <f>IF(COUNTIFS(T_StockCount[RM_Code],$A80,T_StockCount[WeekIndex],46)&gt;0,SUMIFS(T_StockCount[CountedQty],T_StockCount[RM_Code],$A80,T_StockCount[WeekIndex],46),IF((COUNTIFS(T_SelfStock[RM_Code],$A80,T_SelfStock[WeekIndex],46)&gt;0)*(COUNTIFS(T_TTAFStock[RM_Code],$A80,T_TTAFStock[WeekIndex],46)&gt;0)&gt;0,SUMIFS(T_SelfStock[Self_Qty],T_SelfStock[RM_Code],$A80,T_SelfStock[WeekIndex],46)+SUMIFS(T_TTAFStock[TTAF_Qty],T_TTAFStock[RM_Code],$A80,T_TTAFStock[WeekIndex],46),AT80+'Grid_Incoming'!AU80-'Grid_Requirement'!AU80))</f>
        <v/>
      </c>
      <c r="AV80">
        <f>IF(COUNTIFS(T_StockCount[RM_Code],$A80,T_StockCount[WeekIndex],47)&gt;0,SUMIFS(T_StockCount[CountedQty],T_StockCount[RM_Code],$A80,T_StockCount[WeekIndex],47),IF((COUNTIFS(T_SelfStock[RM_Code],$A80,T_SelfStock[WeekIndex],47)&gt;0)*(COUNTIFS(T_TTAFStock[RM_Code],$A80,T_TTAFStock[WeekIndex],47)&gt;0)&gt;0,SUMIFS(T_SelfStock[Self_Qty],T_SelfStock[RM_Code],$A80,T_SelfStock[WeekIndex],47)+SUMIFS(T_TTAFStock[TTAF_Qty],T_TTAFStock[RM_Code],$A80,T_TTAFStock[WeekIndex],47),AU80+'Grid_Incoming'!AV80-'Grid_Requirement'!AV80))</f>
        <v/>
      </c>
      <c r="AW80">
        <f>IF(COUNTIFS(T_StockCount[RM_Code],$A80,T_StockCount[WeekIndex],48)&gt;0,SUMIFS(T_StockCount[CountedQty],T_StockCount[RM_Code],$A80,T_StockCount[WeekIndex],48),IF((COUNTIFS(T_SelfStock[RM_Code],$A80,T_SelfStock[WeekIndex],48)&gt;0)*(COUNTIFS(T_TTAFStock[RM_Code],$A80,T_TTAFStock[WeekIndex],48)&gt;0)&gt;0,SUMIFS(T_SelfStock[Self_Qty],T_SelfStock[RM_Code],$A80,T_SelfStock[WeekIndex],48)+SUMIFS(T_TTAFStock[TTAF_Qty],T_TTAFStock[RM_Code],$A80,T_TTAFStock[WeekIndex],48),AV80+'Grid_Incoming'!AW80-'Grid_Requirement'!AW80))</f>
        <v/>
      </c>
      <c r="AX80">
        <f>IF(COUNTIFS(T_StockCount[RM_Code],$A80,T_StockCount[WeekIndex],49)&gt;0,SUMIFS(T_StockCount[CountedQty],T_StockCount[RM_Code],$A80,T_StockCount[WeekIndex],49),IF((COUNTIFS(T_SelfStock[RM_Code],$A80,T_SelfStock[WeekIndex],49)&gt;0)*(COUNTIFS(T_TTAFStock[RM_Code],$A80,T_TTAFStock[WeekIndex],49)&gt;0)&gt;0,SUMIFS(T_SelfStock[Self_Qty],T_SelfStock[RM_Code],$A80,T_SelfStock[WeekIndex],49)+SUMIFS(T_TTAFStock[TTAF_Qty],T_TTAFStock[RM_Code],$A80,T_TTAFStock[WeekIndex],49),AW80+'Grid_Incoming'!AX80-'Grid_Requirement'!AX80))</f>
        <v/>
      </c>
      <c r="AY80">
        <f>IF(COUNTIFS(T_StockCount[RM_Code],$A80,T_StockCount[WeekIndex],50)&gt;0,SUMIFS(T_StockCount[CountedQty],T_StockCount[RM_Code],$A80,T_StockCount[WeekIndex],50),IF((COUNTIFS(T_SelfStock[RM_Code],$A80,T_SelfStock[WeekIndex],50)&gt;0)*(COUNTIFS(T_TTAFStock[RM_Code],$A80,T_TTAFStock[WeekIndex],50)&gt;0)&gt;0,SUMIFS(T_SelfStock[Self_Qty],T_SelfStock[RM_Code],$A80,T_SelfStock[WeekIndex],50)+SUMIFS(T_TTAFStock[TTAF_Qty],T_TTAFStock[RM_Code],$A80,T_TTAFStock[WeekIndex],50),AX80+'Grid_Incoming'!AY80-'Grid_Requirement'!AY80))</f>
        <v/>
      </c>
      <c r="AZ80">
        <f>IF(COUNTIFS(T_StockCount[RM_Code],$A80,T_StockCount[WeekIndex],51)&gt;0,SUMIFS(T_StockCount[CountedQty],T_StockCount[RM_Code],$A80,T_StockCount[WeekIndex],51),IF((COUNTIFS(T_SelfStock[RM_Code],$A80,T_SelfStock[WeekIndex],51)&gt;0)*(COUNTIFS(T_TTAFStock[RM_Code],$A80,T_TTAFStock[WeekIndex],51)&gt;0)&gt;0,SUMIFS(T_SelfStock[Self_Qty],T_SelfStock[RM_Code],$A80,T_SelfStock[WeekIndex],51)+SUMIFS(T_TTAFStock[TTAF_Qty],T_TTAFStock[RM_Code],$A80,T_TTAFStock[WeekIndex],51),AY80+'Grid_Incoming'!AZ80-'Grid_Requirement'!AZ80))</f>
        <v/>
      </c>
      <c r="BA80">
        <f>IF(COUNTIFS(T_StockCount[RM_Code],$A80,T_StockCount[WeekIndex],52)&gt;0,SUMIFS(T_StockCount[CountedQty],T_StockCount[RM_Code],$A80,T_StockCount[WeekIndex],52),IF((COUNTIFS(T_SelfStock[RM_Code],$A80,T_SelfStock[WeekIndex],52)&gt;0)*(COUNTIFS(T_TTAFStock[RM_Code],$A80,T_TTAFStock[WeekIndex],52)&gt;0)&gt;0,SUMIFS(T_SelfStock[Self_Qty],T_SelfStock[RM_Code],$A80,T_SelfStock[WeekIndex],52)+SUMIFS(T_TTAFStock[TTAF_Qty],T_TTAFStock[RM_Code],$A80,T_TTAFStock[WeekIndex],52),AZ80+'Grid_Incoming'!BA80-'Grid_Requirement'!BA80))</f>
        <v/>
      </c>
      <c r="BB80">
        <f>IF(COUNTIFS(T_StockCount[RM_Code],$A80,T_StockCount[WeekIndex],53)&gt;0,SUMIFS(T_StockCount[CountedQty],T_StockCount[RM_Code],$A80,T_StockCount[WeekIndex],53),IF((COUNTIFS(T_SelfStock[RM_Code],$A80,T_SelfStock[WeekIndex],53)&gt;0)*(COUNTIFS(T_TTAFStock[RM_Code],$A80,T_TTAFStock[WeekIndex],53)&gt;0)&gt;0,SUMIFS(T_SelfStock[Self_Qty],T_SelfStock[RM_Code],$A80,T_SelfStock[WeekIndex],53)+SUMIFS(T_TTAFStock[TTAF_Qty],T_TTAFStock[RM_Code],$A80,T_TTAFStock[WeekIndex],53),BA80+'Grid_Incoming'!BB80-'Grid_Requirement'!BB80))</f>
        <v/>
      </c>
      <c r="BC80">
        <f>IF(COUNTIFS(T_StockCount[RM_Code],$A80,T_StockCount[WeekIndex],54)&gt;0,SUMIFS(T_StockCount[CountedQty],T_StockCount[RM_Code],$A80,T_StockCount[WeekIndex],54),IF((COUNTIFS(T_SelfStock[RM_Code],$A80,T_SelfStock[WeekIndex],54)&gt;0)*(COUNTIFS(T_TTAFStock[RM_Code],$A80,T_TTAFStock[WeekIndex],54)&gt;0)&gt;0,SUMIFS(T_SelfStock[Self_Qty],T_SelfStock[RM_Code],$A80,T_SelfStock[WeekIndex],54)+SUMIFS(T_TTAFStock[TTAF_Qty],T_TTAFStock[RM_Code],$A80,T_TTAFStock[WeekIndex],54),BB80+'Grid_Incoming'!BC80-'Grid_Requirement'!BC80))</f>
        <v/>
      </c>
      <c r="BD80">
        <f>IF(COUNTIFS(T_StockCount[RM_Code],$A80,T_StockCount[WeekIndex],55)&gt;0,SUMIFS(T_StockCount[CountedQty],T_StockCount[RM_Code],$A80,T_StockCount[WeekIndex],55),IF((COUNTIFS(T_SelfStock[RM_Code],$A80,T_SelfStock[WeekIndex],55)&gt;0)*(COUNTIFS(T_TTAFStock[RM_Code],$A80,T_TTAFStock[WeekIndex],55)&gt;0)&gt;0,SUMIFS(T_SelfStock[Self_Qty],T_SelfStock[RM_Code],$A80,T_SelfStock[WeekIndex],55)+SUMIFS(T_TTAFStock[TTAF_Qty],T_TTAFStock[RM_Code],$A80,T_TTAFStock[WeekIndex],55),BC80+'Grid_Incoming'!BD80-'Grid_Requirement'!BD80))</f>
        <v/>
      </c>
      <c r="BE80">
        <f>IF(COUNTIFS(T_StockCount[RM_Code],$A80,T_StockCount[WeekIndex],56)&gt;0,SUMIFS(T_StockCount[CountedQty],T_StockCount[RM_Code],$A80,T_StockCount[WeekIndex],56),IF((COUNTIFS(T_SelfStock[RM_Code],$A80,T_SelfStock[WeekIndex],56)&gt;0)*(COUNTIFS(T_TTAFStock[RM_Code],$A80,T_TTAFStock[WeekIndex],56)&gt;0)&gt;0,SUMIFS(T_SelfStock[Self_Qty],T_SelfStock[RM_Code],$A80,T_SelfStock[WeekIndex],56)+SUMIFS(T_TTAFStock[TTAF_Qty],T_TTAFStock[RM_Code],$A80,T_TTAFStock[WeekIndex],56),BD80+'Grid_Incoming'!BE80-'Grid_Requirement'!BE80))</f>
        <v/>
      </c>
      <c r="BF80">
        <f>IF(COUNTIFS(T_StockCount[RM_Code],$A80,T_StockCount[WeekIndex],57)&gt;0,SUMIFS(T_StockCount[CountedQty],T_StockCount[RM_Code],$A80,T_StockCount[WeekIndex],57),IF((COUNTIFS(T_SelfStock[RM_Code],$A80,T_SelfStock[WeekIndex],57)&gt;0)*(COUNTIFS(T_TTAFStock[RM_Code],$A80,T_TTAFStock[WeekIndex],57)&gt;0)&gt;0,SUMIFS(T_SelfStock[Self_Qty],T_SelfStock[RM_Code],$A80,T_SelfStock[WeekIndex],57)+SUMIFS(T_TTAFStock[TTAF_Qty],T_TTAFStock[RM_Code],$A80,T_TTAFStock[WeekIndex],57),BE80+'Grid_Incoming'!BF80-'Grid_Requirement'!BF80))</f>
        <v/>
      </c>
      <c r="BG80">
        <f>IF(COUNTIFS(T_StockCount[RM_Code],$A80,T_StockCount[WeekIndex],58)&gt;0,SUMIFS(T_StockCount[CountedQty],T_StockCount[RM_Code],$A80,T_StockCount[WeekIndex],58),IF((COUNTIFS(T_SelfStock[RM_Code],$A80,T_SelfStock[WeekIndex],58)&gt;0)*(COUNTIFS(T_TTAFStock[RM_Code],$A80,T_TTAFStock[WeekIndex],58)&gt;0)&gt;0,SUMIFS(T_SelfStock[Self_Qty],T_SelfStock[RM_Code],$A80,T_SelfStock[WeekIndex],58)+SUMIFS(T_TTAFStock[TTAF_Qty],T_TTAFStock[RM_Code],$A80,T_TTAFStock[WeekIndex],58),BF80+'Grid_Incoming'!BG80-'Grid_Requirement'!BG80))</f>
        <v/>
      </c>
      <c r="BH80">
        <f>IF(COUNTIFS(T_StockCount[RM_Code],$A80,T_StockCount[WeekIndex],59)&gt;0,SUMIFS(T_StockCount[CountedQty],T_StockCount[RM_Code],$A80,T_StockCount[WeekIndex],59),IF((COUNTIFS(T_SelfStock[RM_Code],$A80,T_SelfStock[WeekIndex],59)&gt;0)*(COUNTIFS(T_TTAFStock[RM_Code],$A80,T_TTAFStock[WeekIndex],59)&gt;0)&gt;0,SUMIFS(T_SelfStock[Self_Qty],T_SelfStock[RM_Code],$A80,T_SelfStock[WeekIndex],59)+SUMIFS(T_TTAFStock[TTAF_Qty],T_TTAFStock[RM_Code],$A80,T_TTAFStock[WeekIndex],59),BG80+'Grid_Incoming'!BH80-'Grid_Requirement'!BH80))</f>
        <v/>
      </c>
      <c r="BI80">
        <f>IF(COUNTIFS(T_StockCount[RM_Code],$A80,T_StockCount[WeekIndex],60)&gt;0,SUMIFS(T_StockCount[CountedQty],T_StockCount[RM_Code],$A80,T_StockCount[WeekIndex],60),IF((COUNTIFS(T_SelfStock[RM_Code],$A80,T_SelfStock[WeekIndex],60)&gt;0)*(COUNTIFS(T_TTAFStock[RM_Code],$A80,T_TTAFStock[WeekIndex],60)&gt;0)&gt;0,SUMIFS(T_SelfStock[Self_Qty],T_SelfStock[RM_Code],$A80,T_SelfStock[WeekIndex],60)+SUMIFS(T_TTAFStock[TTAF_Qty],T_TTAFStock[RM_Code],$A80,T_TTAFStock[WeekIndex],60),BH80+'Grid_Incoming'!BI80-'Grid_Requirement'!BI80))</f>
        <v/>
      </c>
      <c r="BJ80">
        <f>IF(COUNTIFS(T_StockCount[RM_Code],$A80,T_StockCount[WeekIndex],61)&gt;0,SUMIFS(T_StockCount[CountedQty],T_StockCount[RM_Code],$A80,T_StockCount[WeekIndex],61),IF((COUNTIFS(T_SelfStock[RM_Code],$A80,T_SelfStock[WeekIndex],61)&gt;0)*(COUNTIFS(T_TTAFStock[RM_Code],$A80,T_TTAFStock[WeekIndex],61)&gt;0)&gt;0,SUMIFS(T_SelfStock[Self_Qty],T_SelfStock[RM_Code],$A80,T_SelfStock[WeekIndex],61)+SUMIFS(T_TTAFStock[TTAF_Qty],T_TTAFStock[RM_Code],$A80,T_TTAFStock[WeekIndex],61),BI80+'Grid_Incoming'!BJ80-'Grid_Requirement'!BJ80))</f>
        <v/>
      </c>
      <c r="BK80">
        <f>IF(COUNTIFS(T_StockCount[RM_Code],$A80,T_StockCount[WeekIndex],62)&gt;0,SUMIFS(T_StockCount[CountedQty],T_StockCount[RM_Code],$A80,T_StockCount[WeekIndex],62),IF((COUNTIFS(T_SelfStock[RM_Code],$A80,T_SelfStock[WeekIndex],62)&gt;0)*(COUNTIFS(T_TTAFStock[RM_Code],$A80,T_TTAFStock[WeekIndex],62)&gt;0)&gt;0,SUMIFS(T_SelfStock[Self_Qty],T_SelfStock[RM_Code],$A80,T_SelfStock[WeekIndex],62)+SUMIFS(T_TTAFStock[TTAF_Qty],T_TTAFStock[RM_Code],$A80,T_TTAFStock[WeekIndex],62),BJ80+'Grid_Incoming'!BK80-'Grid_Requirement'!BK80))</f>
        <v/>
      </c>
      <c r="BL80">
        <f>IF(COUNTIFS(T_StockCount[RM_Code],$A80,T_StockCount[WeekIndex],63)&gt;0,SUMIFS(T_StockCount[CountedQty],T_StockCount[RM_Code],$A80,T_StockCount[WeekIndex],63),IF((COUNTIFS(T_SelfStock[RM_Code],$A80,T_SelfStock[WeekIndex],63)&gt;0)*(COUNTIFS(T_TTAFStock[RM_Code],$A80,T_TTAFStock[WeekIndex],63)&gt;0)&gt;0,SUMIFS(T_SelfStock[Self_Qty],T_SelfStock[RM_Code],$A80,T_SelfStock[WeekIndex],63)+SUMIFS(T_TTAFStock[TTAF_Qty],T_TTAFStock[RM_Code],$A80,T_TTAFStock[WeekIndex],63),BK80+'Grid_Incoming'!BL80-'Grid_Requirement'!BL80))</f>
        <v/>
      </c>
      <c r="BM80">
        <f>IF(COUNTIFS(T_StockCount[RM_Code],$A80,T_StockCount[WeekIndex],64)&gt;0,SUMIFS(T_StockCount[CountedQty],T_StockCount[RM_Code],$A80,T_StockCount[WeekIndex],64),IF((COUNTIFS(T_SelfStock[RM_Code],$A80,T_SelfStock[WeekIndex],64)&gt;0)*(COUNTIFS(T_TTAFStock[RM_Code],$A80,T_TTAFStock[WeekIndex],64)&gt;0)&gt;0,SUMIFS(T_SelfStock[Self_Qty],T_SelfStock[RM_Code],$A80,T_SelfStock[WeekIndex],64)+SUMIFS(T_TTAFStock[TTAF_Qty],T_TTAFStock[RM_Code],$A80,T_TTAFStock[WeekIndex],64),BL80+'Grid_Incoming'!BM80-'Grid_Requirement'!BM80))</f>
        <v/>
      </c>
      <c r="BN80">
        <f>IF(COUNTIFS(T_StockCount[RM_Code],$A80,T_StockCount[WeekIndex],65)&gt;0,SUMIFS(T_StockCount[CountedQty],T_StockCount[RM_Code],$A80,T_StockCount[WeekIndex],65),IF((COUNTIFS(T_SelfStock[RM_Code],$A80,T_SelfStock[WeekIndex],65)&gt;0)*(COUNTIFS(T_TTAFStock[RM_Code],$A80,T_TTAFStock[WeekIndex],65)&gt;0)&gt;0,SUMIFS(T_SelfStock[Self_Qty],T_SelfStock[RM_Code],$A80,T_SelfStock[WeekIndex],65)+SUMIFS(T_TTAFStock[TTAF_Qty],T_TTAFStock[RM_Code],$A80,T_TTAFStock[WeekIndex],65),BM80+'Grid_Incoming'!BN80-'Grid_Requirement'!BN80))</f>
        <v/>
      </c>
      <c r="BO80">
        <f>IF(COUNTIFS(T_StockCount[RM_Code],$A80,T_StockCount[WeekIndex],66)&gt;0,SUMIFS(T_StockCount[CountedQty],T_StockCount[RM_Code],$A80,T_StockCount[WeekIndex],66),IF((COUNTIFS(T_SelfStock[RM_Code],$A80,T_SelfStock[WeekIndex],66)&gt;0)*(COUNTIFS(T_TTAFStock[RM_Code],$A80,T_TTAFStock[WeekIndex],66)&gt;0)&gt;0,SUMIFS(T_SelfStock[Self_Qty],T_SelfStock[RM_Code],$A80,T_SelfStock[WeekIndex],66)+SUMIFS(T_TTAFStock[TTAF_Qty],T_TTAFStock[RM_Code],$A80,T_TTAFStock[WeekIndex],66),BN80+'Grid_Incoming'!BO80-'Grid_Requirement'!BO80))</f>
        <v/>
      </c>
      <c r="BP80">
        <f>IF(COUNTIFS(T_StockCount[RM_Code],$A80,T_StockCount[WeekIndex],67)&gt;0,SUMIFS(T_StockCount[CountedQty],T_StockCount[RM_Code],$A80,T_StockCount[WeekIndex],67),IF((COUNTIFS(T_SelfStock[RM_Code],$A80,T_SelfStock[WeekIndex],67)&gt;0)*(COUNTIFS(T_TTAFStock[RM_Code],$A80,T_TTAFStock[WeekIndex],67)&gt;0)&gt;0,SUMIFS(T_SelfStock[Self_Qty],T_SelfStock[RM_Code],$A80,T_SelfStock[WeekIndex],67)+SUMIFS(T_TTAFStock[TTAF_Qty],T_TTAFStock[RM_Code],$A80,T_TTAFStock[WeekIndex],67),BO80+'Grid_Incoming'!BP80-'Grid_Requirement'!BP80))</f>
        <v/>
      </c>
      <c r="BQ80">
        <f>IF(COUNTIFS(T_StockCount[RM_Code],$A80,T_StockCount[WeekIndex],68)&gt;0,SUMIFS(T_StockCount[CountedQty],T_StockCount[RM_Code],$A80,T_StockCount[WeekIndex],68),IF((COUNTIFS(T_SelfStock[RM_Code],$A80,T_SelfStock[WeekIndex],68)&gt;0)*(COUNTIFS(T_TTAFStock[RM_Code],$A80,T_TTAFStock[WeekIndex],68)&gt;0)&gt;0,SUMIFS(T_SelfStock[Self_Qty],T_SelfStock[RM_Code],$A80,T_SelfStock[WeekIndex],68)+SUMIFS(T_TTAFStock[TTAF_Qty],T_TTAFStock[RM_Code],$A80,T_TTAFStock[WeekIndex],68),BP80+'Grid_Incoming'!BQ80-'Grid_Requirement'!BQ80))</f>
        <v/>
      </c>
      <c r="BR80">
        <f>IF(COUNTIFS(T_StockCount[RM_Code],$A80,T_StockCount[WeekIndex],69)&gt;0,SUMIFS(T_StockCount[CountedQty],T_StockCount[RM_Code],$A80,T_StockCount[WeekIndex],69),IF((COUNTIFS(T_SelfStock[RM_Code],$A80,T_SelfStock[WeekIndex],69)&gt;0)*(COUNTIFS(T_TTAFStock[RM_Code],$A80,T_TTAFStock[WeekIndex],69)&gt;0)&gt;0,SUMIFS(T_SelfStock[Self_Qty],T_SelfStock[RM_Code],$A80,T_SelfStock[WeekIndex],69)+SUMIFS(T_TTAFStock[TTAF_Qty],T_TTAFStock[RM_Code],$A80,T_TTAFStock[WeekIndex],69),BQ80+'Grid_Incoming'!BR80-'Grid_Requirement'!BR80))</f>
        <v/>
      </c>
      <c r="BS80">
        <f>IF(COUNTIFS(T_StockCount[RM_Code],$A80,T_StockCount[WeekIndex],70)&gt;0,SUMIFS(T_StockCount[CountedQty],T_StockCount[RM_Code],$A80,T_StockCount[WeekIndex],70),IF((COUNTIFS(T_SelfStock[RM_Code],$A80,T_SelfStock[WeekIndex],70)&gt;0)*(COUNTIFS(T_TTAFStock[RM_Code],$A80,T_TTAFStock[WeekIndex],70)&gt;0)&gt;0,SUMIFS(T_SelfStock[Self_Qty],T_SelfStock[RM_Code],$A80,T_SelfStock[WeekIndex],70)+SUMIFS(T_TTAFStock[TTAF_Qty],T_TTAFStock[RM_Code],$A80,T_TTAFStock[WeekIndex],70),BR80+'Grid_Incoming'!BS80-'Grid_Requirement'!BS80))</f>
        <v/>
      </c>
      <c r="BT80">
        <f>IF(COUNTIFS(T_StockCount[RM_Code],$A80,T_StockCount[WeekIndex],71)&gt;0,SUMIFS(T_StockCount[CountedQty],T_StockCount[RM_Code],$A80,T_StockCount[WeekIndex],71),IF((COUNTIFS(T_SelfStock[RM_Code],$A80,T_SelfStock[WeekIndex],71)&gt;0)*(COUNTIFS(T_TTAFStock[RM_Code],$A80,T_TTAFStock[WeekIndex],71)&gt;0)&gt;0,SUMIFS(T_SelfStock[Self_Qty],T_SelfStock[RM_Code],$A80,T_SelfStock[WeekIndex],71)+SUMIFS(T_TTAFStock[TTAF_Qty],T_TTAFStock[RM_Code],$A80,T_TTAFStock[WeekIndex],71),BS80+'Grid_Incoming'!BT80-'Grid_Requirement'!BT80))</f>
        <v/>
      </c>
      <c r="BU80">
        <f>IF(COUNTIFS(T_StockCount[RM_Code],$A80,T_StockCount[WeekIndex],72)&gt;0,SUMIFS(T_StockCount[CountedQty],T_StockCount[RM_Code],$A80,T_StockCount[WeekIndex],72),IF((COUNTIFS(T_SelfStock[RM_Code],$A80,T_SelfStock[WeekIndex],72)&gt;0)*(COUNTIFS(T_TTAFStock[RM_Code],$A80,T_TTAFStock[WeekIndex],72)&gt;0)&gt;0,SUMIFS(T_SelfStock[Self_Qty],T_SelfStock[RM_Code],$A80,T_SelfStock[WeekIndex],72)+SUMIFS(T_TTAFStock[TTAF_Qty],T_TTAFStock[RM_Code],$A80,T_TTAFStock[WeekIndex],72),BT80+'Grid_Incoming'!BU80-'Grid_Requirement'!BU80))</f>
        <v/>
      </c>
      <c r="BV80">
        <f>IF(COUNTIFS(T_StockCount[RM_Code],$A80,T_StockCount[WeekIndex],73)&gt;0,SUMIFS(T_StockCount[CountedQty],T_StockCount[RM_Code],$A80,T_StockCount[WeekIndex],73),IF((COUNTIFS(T_SelfStock[RM_Code],$A80,T_SelfStock[WeekIndex],73)&gt;0)*(COUNTIFS(T_TTAFStock[RM_Code],$A80,T_TTAFStock[WeekIndex],73)&gt;0)&gt;0,SUMIFS(T_SelfStock[Self_Qty],T_SelfStock[RM_Code],$A80,T_SelfStock[WeekIndex],73)+SUMIFS(T_TTAFStock[TTAF_Qty],T_TTAFStock[RM_Code],$A80,T_TTAFStock[WeekIndex],73),BU80+'Grid_Incoming'!BV80-'Grid_Requirement'!BV80))</f>
        <v/>
      </c>
      <c r="BW80">
        <f>IF(COUNTIFS(T_StockCount[RM_Code],$A80,T_StockCount[WeekIndex],74)&gt;0,SUMIFS(T_StockCount[CountedQty],T_StockCount[RM_Code],$A80,T_StockCount[WeekIndex],74),IF((COUNTIFS(T_SelfStock[RM_Code],$A80,T_SelfStock[WeekIndex],74)&gt;0)*(COUNTIFS(T_TTAFStock[RM_Code],$A80,T_TTAFStock[WeekIndex],74)&gt;0)&gt;0,SUMIFS(T_SelfStock[Self_Qty],T_SelfStock[RM_Code],$A80,T_SelfStock[WeekIndex],74)+SUMIFS(T_TTAFStock[TTAF_Qty],T_TTAFStock[RM_Code],$A80,T_TTAFStock[WeekIndex],74),BV80+'Grid_Incoming'!BW80-'Grid_Requirement'!BW80))</f>
        <v/>
      </c>
      <c r="BX80">
        <f>IF(COUNTIFS(T_StockCount[RM_Code],$A80,T_StockCount[WeekIndex],75)&gt;0,SUMIFS(T_StockCount[CountedQty],T_StockCount[RM_Code],$A80,T_StockCount[WeekIndex],75),IF((COUNTIFS(T_SelfStock[RM_Code],$A80,T_SelfStock[WeekIndex],75)&gt;0)*(COUNTIFS(T_TTAFStock[RM_Code],$A80,T_TTAFStock[WeekIndex],75)&gt;0)&gt;0,SUMIFS(T_SelfStock[Self_Qty],T_SelfStock[RM_Code],$A80,T_SelfStock[WeekIndex],75)+SUMIFS(T_TTAFStock[TTAF_Qty],T_TTAFStock[RM_Code],$A80,T_TTAFStock[WeekIndex],75),BW80+'Grid_Incoming'!BX80-'Grid_Requirement'!BX80))</f>
        <v/>
      </c>
      <c r="BY80">
        <f>IF(COUNTIFS(T_StockCount[RM_Code],$A80,T_StockCount[WeekIndex],76)&gt;0,SUMIFS(T_StockCount[CountedQty],T_StockCount[RM_Code],$A80,T_StockCount[WeekIndex],76),IF((COUNTIFS(T_SelfStock[RM_Code],$A80,T_SelfStock[WeekIndex],76)&gt;0)*(COUNTIFS(T_TTAFStock[RM_Code],$A80,T_TTAFStock[WeekIndex],76)&gt;0)&gt;0,SUMIFS(T_SelfStock[Self_Qty],T_SelfStock[RM_Code],$A80,T_SelfStock[WeekIndex],76)+SUMIFS(T_TTAFStock[TTAF_Qty],T_TTAFStock[RM_Code],$A80,T_TTAFStock[WeekIndex],76),BX80+'Grid_Incoming'!BY80-'Grid_Requirement'!BY80))</f>
        <v/>
      </c>
      <c r="BZ80">
        <f>IF(COUNTIFS(T_StockCount[RM_Code],$A80,T_StockCount[WeekIndex],77)&gt;0,SUMIFS(T_StockCount[CountedQty],T_StockCount[RM_Code],$A80,T_StockCount[WeekIndex],77),IF((COUNTIFS(T_SelfStock[RM_Code],$A80,T_SelfStock[WeekIndex],77)&gt;0)*(COUNTIFS(T_TTAFStock[RM_Code],$A80,T_TTAFStock[WeekIndex],77)&gt;0)&gt;0,SUMIFS(T_SelfStock[Self_Qty],T_SelfStock[RM_Code],$A80,T_SelfStock[WeekIndex],77)+SUMIFS(T_TTAFStock[TTAF_Qty],T_TTAFStock[RM_Code],$A80,T_TTAFStock[WeekIndex],77),BY80+'Grid_Incoming'!BZ80-'Grid_Requirement'!BZ80))</f>
        <v/>
      </c>
      <c r="CA80">
        <f>IF(COUNTIFS(T_StockCount[RM_Code],$A80,T_StockCount[WeekIndex],78)&gt;0,SUMIFS(T_StockCount[CountedQty],T_StockCount[RM_Code],$A80,T_StockCount[WeekIndex],78),IF((COUNTIFS(T_SelfStock[RM_Code],$A80,T_SelfStock[WeekIndex],78)&gt;0)*(COUNTIFS(T_TTAFStock[RM_Code],$A80,T_TTAFStock[WeekIndex],78)&gt;0)&gt;0,SUMIFS(T_SelfStock[Self_Qty],T_SelfStock[RM_Code],$A80,T_SelfStock[WeekIndex],78)+SUMIFS(T_TTAFStock[TTAF_Qty],T_TTAFStock[RM_Code],$A80,T_TTAFStock[WeekIndex],78),BZ80+'Grid_Incoming'!CA80-'Grid_Requirement'!CA80))</f>
        <v/>
      </c>
      <c r="CB80">
        <f>IF(COUNTIFS(T_StockCount[RM_Code],$A80,T_StockCount[WeekIndex],79)&gt;0,SUMIFS(T_StockCount[CountedQty],T_StockCount[RM_Code],$A80,T_StockCount[WeekIndex],79),IF((COUNTIFS(T_SelfStock[RM_Code],$A80,T_SelfStock[WeekIndex],79)&gt;0)*(COUNTIFS(T_TTAFStock[RM_Code],$A80,T_TTAFStock[WeekIndex],79)&gt;0)&gt;0,SUMIFS(T_SelfStock[Self_Qty],T_SelfStock[RM_Code],$A80,T_SelfStock[WeekIndex],79)+SUMIFS(T_TTAFStock[TTAF_Qty],T_TTAFStock[RM_Code],$A80,T_TTAFStock[WeekIndex],79),CA80+'Grid_Incoming'!CB80-'Grid_Requirement'!CB80))</f>
        <v/>
      </c>
      <c r="CC80">
        <f>IF(COUNTIFS(T_StockCount[RM_Code],$A80,T_StockCount[WeekIndex],80)&gt;0,SUMIFS(T_StockCount[CountedQty],T_StockCount[RM_Code],$A80,T_StockCount[WeekIndex],80),IF((COUNTIFS(T_SelfStock[RM_Code],$A80,T_SelfStock[WeekIndex],80)&gt;0)*(COUNTIFS(T_TTAFStock[RM_Code],$A80,T_TTAFStock[WeekIndex],80)&gt;0)&gt;0,SUMIFS(T_SelfStock[Self_Qty],T_SelfStock[RM_Code],$A80,T_SelfStock[WeekIndex],80)+SUMIFS(T_TTAFStock[TTAF_Qty],T_TTAFStock[RM_Code],$A80,T_TTAFStock[WeekIndex],80),CB80+'Grid_Incoming'!CC80-'Grid_Requirement'!CC80))</f>
        <v/>
      </c>
      <c r="CD80">
        <f>IF(COUNTIFS(T_StockCount[RM_Code],$A80,T_StockCount[WeekIndex],81)&gt;0,SUMIFS(T_StockCount[CountedQty],T_StockCount[RM_Code],$A80,T_StockCount[WeekIndex],81),IF((COUNTIFS(T_SelfStock[RM_Code],$A80,T_SelfStock[WeekIndex],81)&gt;0)*(COUNTIFS(T_TTAFStock[RM_Code],$A80,T_TTAFStock[WeekIndex],81)&gt;0)&gt;0,SUMIFS(T_SelfStock[Self_Qty],T_SelfStock[RM_Code],$A80,T_SelfStock[WeekIndex],81)+SUMIFS(T_TTAFStock[TTAF_Qty],T_TTAFStock[RM_Code],$A80,T_TTAFStock[WeekIndex],81),CC80+'Grid_Incoming'!CD80-'Grid_Requirement'!CD80))</f>
        <v/>
      </c>
      <c r="CE80">
        <f>IF(COUNTIFS(T_StockCount[RM_Code],$A80,T_StockCount[WeekIndex],82)&gt;0,SUMIFS(T_StockCount[CountedQty],T_StockCount[RM_Code],$A80,T_StockCount[WeekIndex],82),IF((COUNTIFS(T_SelfStock[RM_Code],$A80,T_SelfStock[WeekIndex],82)&gt;0)*(COUNTIFS(T_TTAFStock[RM_Code],$A80,T_TTAFStock[WeekIndex],82)&gt;0)&gt;0,SUMIFS(T_SelfStock[Self_Qty],T_SelfStock[RM_Code],$A80,T_SelfStock[WeekIndex],82)+SUMIFS(T_TTAFStock[TTAF_Qty],T_TTAFStock[RM_Code],$A80,T_TTAFStock[WeekIndex],82),CD80+'Grid_Incoming'!CE80-'Grid_Requirement'!CE80))</f>
        <v/>
      </c>
      <c r="CF80">
        <f>IF(COUNTIFS(T_StockCount[RM_Code],$A80,T_StockCount[WeekIndex],83)&gt;0,SUMIFS(T_StockCount[CountedQty],T_StockCount[RM_Code],$A80,T_StockCount[WeekIndex],83),IF((COUNTIFS(T_SelfStock[RM_Code],$A80,T_SelfStock[WeekIndex],83)&gt;0)*(COUNTIFS(T_TTAFStock[RM_Code],$A80,T_TTAFStock[WeekIndex],83)&gt;0)&gt;0,SUMIFS(T_SelfStock[Self_Qty],T_SelfStock[RM_Code],$A80,T_SelfStock[WeekIndex],83)+SUMIFS(T_TTAFStock[TTAF_Qty],T_TTAFStock[RM_Code],$A80,T_TTAFStock[WeekIndex],83),CE80+'Grid_Incoming'!CF80-'Grid_Requirement'!CF80))</f>
        <v/>
      </c>
      <c r="CG80">
        <f>IF(COUNTIFS(T_StockCount[RM_Code],$A80,T_StockCount[WeekIndex],84)&gt;0,SUMIFS(T_StockCount[CountedQty],T_StockCount[RM_Code],$A80,T_StockCount[WeekIndex],84),IF((COUNTIFS(T_SelfStock[RM_Code],$A80,T_SelfStock[WeekIndex],84)&gt;0)*(COUNTIFS(T_TTAFStock[RM_Code],$A80,T_TTAFStock[WeekIndex],84)&gt;0)&gt;0,SUMIFS(T_SelfStock[Self_Qty],T_SelfStock[RM_Code],$A80,T_SelfStock[WeekIndex],84)+SUMIFS(T_TTAFStock[TTAF_Qty],T_TTAFStock[RM_Code],$A80,T_TTAFStock[WeekIndex],84),CF80+'Grid_Incoming'!CG80-'Grid_Requirement'!CG80))</f>
        <v/>
      </c>
      <c r="CH80">
        <f>IF(COUNTIFS(T_StockCount[RM_Code],$A80,T_StockCount[WeekIndex],85)&gt;0,SUMIFS(T_StockCount[CountedQty],T_StockCount[RM_Code],$A80,T_StockCount[WeekIndex],85),IF((COUNTIFS(T_SelfStock[RM_Code],$A80,T_SelfStock[WeekIndex],85)&gt;0)*(COUNTIFS(T_TTAFStock[RM_Code],$A80,T_TTAFStock[WeekIndex],85)&gt;0)&gt;0,SUMIFS(T_SelfStock[Self_Qty],T_SelfStock[RM_Code],$A80,T_SelfStock[WeekIndex],85)+SUMIFS(T_TTAFStock[TTAF_Qty],T_TTAFStock[RM_Code],$A80,T_TTAFStock[WeekIndex],85),CG80+'Grid_Incoming'!CH80-'Grid_Requirement'!CH80))</f>
        <v/>
      </c>
      <c r="CI80">
        <f>IF(COUNTIFS(T_StockCount[RM_Code],$A80,T_StockCount[WeekIndex],86)&gt;0,SUMIFS(T_StockCount[CountedQty],T_StockCount[RM_Code],$A80,T_StockCount[WeekIndex],86),IF((COUNTIFS(T_SelfStock[RM_Code],$A80,T_SelfStock[WeekIndex],86)&gt;0)*(COUNTIFS(T_TTAFStock[RM_Code],$A80,T_TTAFStock[WeekIndex],86)&gt;0)&gt;0,SUMIFS(T_SelfStock[Self_Qty],T_SelfStock[RM_Code],$A80,T_SelfStock[WeekIndex],86)+SUMIFS(T_TTAFStock[TTAF_Qty],T_TTAFStock[RM_Code],$A80,T_TTAFStock[WeekIndex],86),CH80+'Grid_Incoming'!CI80-'Grid_Requirement'!CI80))</f>
        <v/>
      </c>
      <c r="CJ80">
        <f>IF(COUNTIFS(T_StockCount[RM_Code],$A80,T_StockCount[WeekIndex],87)&gt;0,SUMIFS(T_StockCount[CountedQty],T_StockCount[RM_Code],$A80,T_StockCount[WeekIndex],87),IF((COUNTIFS(T_SelfStock[RM_Code],$A80,T_SelfStock[WeekIndex],87)&gt;0)*(COUNTIFS(T_TTAFStock[RM_Code],$A80,T_TTAFStock[WeekIndex],87)&gt;0)&gt;0,SUMIFS(T_SelfStock[Self_Qty],T_SelfStock[RM_Code],$A80,T_SelfStock[WeekIndex],87)+SUMIFS(T_TTAFStock[TTAF_Qty],T_TTAFStock[RM_Code],$A80,T_TTAFStock[WeekIndex],87),CI80+'Grid_Incoming'!CJ80-'Grid_Requirement'!CJ80))</f>
        <v/>
      </c>
      <c r="CK80">
        <f>IF(COUNTIFS(T_StockCount[RM_Code],$A80,T_StockCount[WeekIndex],88)&gt;0,SUMIFS(T_StockCount[CountedQty],T_StockCount[RM_Code],$A80,T_StockCount[WeekIndex],88),IF((COUNTIFS(T_SelfStock[RM_Code],$A80,T_SelfStock[WeekIndex],88)&gt;0)*(COUNTIFS(T_TTAFStock[RM_Code],$A80,T_TTAFStock[WeekIndex],88)&gt;0)&gt;0,SUMIFS(T_SelfStock[Self_Qty],T_SelfStock[RM_Code],$A80,T_SelfStock[WeekIndex],88)+SUMIFS(T_TTAFStock[TTAF_Qty],T_TTAFStock[RM_Code],$A80,T_TTAFStock[WeekIndex],88),CJ80+'Grid_Incoming'!CK80-'Grid_Requirement'!CK80))</f>
        <v/>
      </c>
      <c r="CL80">
        <f>IF(COUNTIFS(T_StockCount[RM_Code],$A80,T_StockCount[WeekIndex],89)&gt;0,SUMIFS(T_StockCount[CountedQty],T_StockCount[RM_Code],$A80,T_StockCount[WeekIndex],89),IF((COUNTIFS(T_SelfStock[RM_Code],$A80,T_SelfStock[WeekIndex],89)&gt;0)*(COUNTIFS(T_TTAFStock[RM_Code],$A80,T_TTAFStock[WeekIndex],89)&gt;0)&gt;0,SUMIFS(T_SelfStock[Self_Qty],T_SelfStock[RM_Code],$A80,T_SelfStock[WeekIndex],89)+SUMIFS(T_TTAFStock[TTAF_Qty],T_TTAFStock[RM_Code],$A80,T_TTAFStock[WeekIndex],89),CK80+'Grid_Incoming'!CL80-'Grid_Requirement'!CL80))</f>
        <v/>
      </c>
      <c r="CM80">
        <f>IF(COUNTIFS(T_StockCount[RM_Code],$A80,T_StockCount[WeekIndex],90)&gt;0,SUMIFS(T_StockCount[CountedQty],T_StockCount[RM_Code],$A80,T_StockCount[WeekIndex],90),IF((COUNTIFS(T_SelfStock[RM_Code],$A80,T_SelfStock[WeekIndex],90)&gt;0)*(COUNTIFS(T_TTAFStock[RM_Code],$A80,T_TTAFStock[WeekIndex],90)&gt;0)&gt;0,SUMIFS(T_SelfStock[Self_Qty],T_SelfStock[RM_Code],$A80,T_SelfStock[WeekIndex],90)+SUMIFS(T_TTAFStock[TTAF_Qty],T_TTAFStock[RM_Code],$A80,T_TTAFStock[WeekIndex],90),CL80+'Grid_Incoming'!CM80-'Grid_Requirement'!CM80))</f>
        <v/>
      </c>
      <c r="CN80">
        <f>IF(COUNTIFS(T_StockCount[RM_Code],$A80,T_StockCount[WeekIndex],91)&gt;0,SUMIFS(T_StockCount[CountedQty],T_StockCount[RM_Code],$A80,T_StockCount[WeekIndex],91),IF((COUNTIFS(T_SelfStock[RM_Code],$A80,T_SelfStock[WeekIndex],91)&gt;0)*(COUNTIFS(T_TTAFStock[RM_Code],$A80,T_TTAFStock[WeekIndex],91)&gt;0)&gt;0,SUMIFS(T_SelfStock[Self_Qty],T_SelfStock[RM_Code],$A80,T_SelfStock[WeekIndex],91)+SUMIFS(T_TTAFStock[TTAF_Qty],T_TTAFStock[RM_Code],$A80,T_TTAFStock[WeekIndex],91),CM80+'Grid_Incoming'!CN80-'Grid_Requirement'!CN80))</f>
        <v/>
      </c>
      <c r="CO80">
        <f>IF(COUNTIFS(T_StockCount[RM_Code],$A80,T_StockCount[WeekIndex],92)&gt;0,SUMIFS(T_StockCount[CountedQty],T_StockCount[RM_Code],$A80,T_StockCount[WeekIndex],92),IF((COUNTIFS(T_SelfStock[RM_Code],$A80,T_SelfStock[WeekIndex],92)&gt;0)*(COUNTIFS(T_TTAFStock[RM_Code],$A80,T_TTAFStock[WeekIndex],92)&gt;0)&gt;0,SUMIFS(T_SelfStock[Self_Qty],T_SelfStock[RM_Code],$A80,T_SelfStock[WeekIndex],92)+SUMIFS(T_TTAFStock[TTAF_Qty],T_TTAFStock[RM_Code],$A80,T_TTAFStock[WeekIndex],92),CN80+'Grid_Incoming'!CO80-'Grid_Requirement'!CO80))</f>
        <v/>
      </c>
      <c r="CP80">
        <f>IF(COUNTIFS(T_StockCount[RM_Code],$A80,T_StockCount[WeekIndex],93)&gt;0,SUMIFS(T_StockCount[CountedQty],T_StockCount[RM_Code],$A80,T_StockCount[WeekIndex],93),IF((COUNTIFS(T_SelfStock[RM_Code],$A80,T_SelfStock[WeekIndex],93)&gt;0)*(COUNTIFS(T_TTAFStock[RM_Code],$A80,T_TTAFStock[WeekIndex],93)&gt;0)&gt;0,SUMIFS(T_SelfStock[Self_Qty],T_SelfStock[RM_Code],$A80,T_SelfStock[WeekIndex],93)+SUMIFS(T_TTAFStock[TTAF_Qty],T_TTAFStock[RM_Code],$A80,T_TTAFStock[WeekIndex],93),CO80+'Grid_Incoming'!CP80-'Grid_Requirement'!CP80))</f>
        <v/>
      </c>
      <c r="CQ80">
        <f>IF(COUNTIFS(T_StockCount[RM_Code],$A80,T_StockCount[WeekIndex],94)&gt;0,SUMIFS(T_StockCount[CountedQty],T_StockCount[RM_Code],$A80,T_StockCount[WeekIndex],94),IF((COUNTIFS(T_SelfStock[RM_Code],$A80,T_SelfStock[WeekIndex],94)&gt;0)*(COUNTIFS(T_TTAFStock[RM_Code],$A80,T_TTAFStock[WeekIndex],94)&gt;0)&gt;0,SUMIFS(T_SelfStock[Self_Qty],T_SelfStock[RM_Code],$A80,T_SelfStock[WeekIndex],94)+SUMIFS(T_TTAFStock[TTAF_Qty],T_TTAFStock[RM_Code],$A80,T_TTAFStock[WeekIndex],94),CP80+'Grid_Incoming'!CQ80-'Grid_Requirement'!CQ80))</f>
        <v/>
      </c>
      <c r="CR80">
        <f>IF(COUNTIFS(T_StockCount[RM_Code],$A80,T_StockCount[WeekIndex],95)&gt;0,SUMIFS(T_StockCount[CountedQty],T_StockCount[RM_Code],$A80,T_StockCount[WeekIndex],95),IF((COUNTIFS(T_SelfStock[RM_Code],$A80,T_SelfStock[WeekIndex],95)&gt;0)*(COUNTIFS(T_TTAFStock[RM_Code],$A80,T_TTAFStock[WeekIndex],95)&gt;0)&gt;0,SUMIFS(T_SelfStock[Self_Qty],T_SelfStock[RM_Code],$A80,T_SelfStock[WeekIndex],95)+SUMIFS(T_TTAFStock[TTAF_Qty],T_TTAFStock[RM_Code],$A80,T_TTAFStock[WeekIndex],95),CQ80+'Grid_Incoming'!CR80-'Grid_Requirement'!CR80))</f>
        <v/>
      </c>
      <c r="CS80">
        <f>IF(COUNTIFS(T_StockCount[RM_Code],$A80,T_StockCount[WeekIndex],96)&gt;0,SUMIFS(T_StockCount[CountedQty],T_StockCount[RM_Code],$A80,T_StockCount[WeekIndex],96),IF((COUNTIFS(T_SelfStock[RM_Code],$A80,T_SelfStock[WeekIndex],96)&gt;0)*(COUNTIFS(T_TTAFStock[RM_Code],$A80,T_TTAFStock[WeekIndex],96)&gt;0)&gt;0,SUMIFS(T_SelfStock[Self_Qty],T_SelfStock[RM_Code],$A80,T_SelfStock[WeekIndex],96)+SUMIFS(T_TTAFStock[TTAF_Qty],T_TTAFStock[RM_Code],$A80,T_TTAFStock[WeekIndex],96),CR80+'Grid_Incoming'!CS80-'Grid_Requirement'!CS80))</f>
        <v/>
      </c>
      <c r="CT80">
        <f>IF(COUNTIFS(T_StockCount[RM_Code],$A80,T_StockCount[WeekIndex],97)&gt;0,SUMIFS(T_StockCount[CountedQty],T_StockCount[RM_Code],$A80,T_StockCount[WeekIndex],97),IF((COUNTIFS(T_SelfStock[RM_Code],$A80,T_SelfStock[WeekIndex],97)&gt;0)*(COUNTIFS(T_TTAFStock[RM_Code],$A80,T_TTAFStock[WeekIndex],97)&gt;0)&gt;0,SUMIFS(T_SelfStock[Self_Qty],T_SelfStock[RM_Code],$A80,T_SelfStock[WeekIndex],97)+SUMIFS(T_TTAFStock[TTAF_Qty],T_TTAFStock[RM_Code],$A80,T_TTAFStock[WeekIndex],97),CS80+'Grid_Incoming'!CT80-'Grid_Requirement'!CT80))</f>
        <v/>
      </c>
      <c r="CU80">
        <f>IF(COUNTIFS(T_StockCount[RM_Code],$A80,T_StockCount[WeekIndex],98)&gt;0,SUMIFS(T_StockCount[CountedQty],T_StockCount[RM_Code],$A80,T_StockCount[WeekIndex],98),IF((COUNTIFS(T_SelfStock[RM_Code],$A80,T_SelfStock[WeekIndex],98)&gt;0)*(COUNTIFS(T_TTAFStock[RM_Code],$A80,T_TTAFStock[WeekIndex],98)&gt;0)&gt;0,SUMIFS(T_SelfStock[Self_Qty],T_SelfStock[RM_Code],$A80,T_SelfStock[WeekIndex],98)+SUMIFS(T_TTAFStock[TTAF_Qty],T_TTAFStock[RM_Code],$A80,T_TTAFStock[WeekIndex],98),CT80+'Grid_Incoming'!CU80-'Grid_Requirement'!CU80))</f>
        <v/>
      </c>
      <c r="CV80">
        <f>IF(COUNTIFS(T_StockCount[RM_Code],$A80,T_StockCount[WeekIndex],99)&gt;0,SUMIFS(T_StockCount[CountedQty],T_StockCount[RM_Code],$A80,T_StockCount[WeekIndex],99),IF((COUNTIFS(T_SelfStock[RM_Code],$A80,T_SelfStock[WeekIndex],99)&gt;0)*(COUNTIFS(T_TTAFStock[RM_Code],$A80,T_TTAFStock[WeekIndex],99)&gt;0)&gt;0,SUMIFS(T_SelfStock[Self_Qty],T_SelfStock[RM_Code],$A80,T_SelfStock[WeekIndex],99)+SUMIFS(T_TTAFStock[TTAF_Qty],T_TTAFStock[RM_Code],$A80,T_TTAFStock[WeekIndex],99),CU80+'Grid_Incoming'!CV80-'Grid_Requirement'!CV80))</f>
        <v/>
      </c>
      <c r="CW80">
        <f>IF(COUNTIFS(T_StockCount[RM_Code],$A80,T_StockCount[WeekIndex],100)&gt;0,SUMIFS(T_StockCount[CountedQty],T_StockCount[RM_Code],$A80,T_StockCount[WeekIndex],100),IF((COUNTIFS(T_SelfStock[RM_Code],$A80,T_SelfStock[WeekIndex],100)&gt;0)*(COUNTIFS(T_TTAFStock[RM_Code],$A80,T_TTAFStock[WeekIndex],100)&gt;0)&gt;0,SUMIFS(T_SelfStock[Self_Qty],T_SelfStock[RM_Code],$A80,T_SelfStock[WeekIndex],100)+SUMIFS(T_TTAFStock[TTAF_Qty],T_TTAFStock[RM_Code],$A80,T_TTAFStock[WeekIndex],100),CV80+'Grid_Incoming'!CW80-'Grid_Requirement'!CW80))</f>
        <v/>
      </c>
      <c r="CX80">
        <f>IF(COUNTIFS(T_StockCount[RM_Code],$A80,T_StockCount[WeekIndex],101)&gt;0,SUMIFS(T_StockCount[CountedQty],T_StockCount[RM_Code],$A80,T_StockCount[WeekIndex],101),IF((COUNTIFS(T_SelfStock[RM_Code],$A80,T_SelfStock[WeekIndex],101)&gt;0)*(COUNTIFS(T_TTAFStock[RM_Code],$A80,T_TTAFStock[WeekIndex],101)&gt;0)&gt;0,SUMIFS(T_SelfStock[Self_Qty],T_SelfStock[RM_Code],$A80,T_SelfStock[WeekIndex],101)+SUMIFS(T_TTAFStock[TTAF_Qty],T_TTAFStock[RM_Code],$A80,T_TTAFStock[WeekIndex],101),CW80+'Grid_Incoming'!CX80-'Grid_Requirement'!CX80))</f>
        <v/>
      </c>
      <c r="CY80">
        <f>IF(COUNTIFS(T_StockCount[RM_Code],$A80,T_StockCount[WeekIndex],102)&gt;0,SUMIFS(T_StockCount[CountedQty],T_StockCount[RM_Code],$A80,T_StockCount[WeekIndex],102),IF((COUNTIFS(T_SelfStock[RM_Code],$A80,T_SelfStock[WeekIndex],102)&gt;0)*(COUNTIFS(T_TTAFStock[RM_Code],$A80,T_TTAFStock[WeekIndex],102)&gt;0)&gt;0,SUMIFS(T_SelfStock[Self_Qty],T_SelfStock[RM_Code],$A80,T_SelfStock[WeekIndex],102)+SUMIFS(T_TTAFStock[TTAF_Qty],T_TTAFStock[RM_Code],$A80,T_TTAFStock[WeekIndex],102),CX80+'Grid_Incoming'!CY80-'Grid_Requirement'!CY80))</f>
        <v/>
      </c>
      <c r="CZ80">
        <f>IF(COUNTIFS(T_StockCount[RM_Code],$A80,T_StockCount[WeekIndex],103)&gt;0,SUMIFS(T_StockCount[CountedQty],T_StockCount[RM_Code],$A80,T_StockCount[WeekIndex],103),IF((COUNTIFS(T_SelfStock[RM_Code],$A80,T_SelfStock[WeekIndex],103)&gt;0)*(COUNTIFS(T_TTAFStock[RM_Code],$A80,T_TTAFStock[WeekIndex],103)&gt;0)&gt;0,SUMIFS(T_SelfStock[Self_Qty],T_SelfStock[RM_Code],$A80,T_SelfStock[WeekIndex],103)+SUMIFS(T_TTAFStock[TTAF_Qty],T_TTAFStock[RM_Code],$A80,T_TTAFStock[WeekIndex],103),CY80+'Grid_Incoming'!CZ80-'Grid_Requirement'!CZ80))</f>
        <v/>
      </c>
      <c r="DA80">
        <f>IF(COUNTIFS(T_StockCount[RM_Code],$A80,T_StockCount[WeekIndex],104)&gt;0,SUMIFS(T_StockCount[CountedQty],T_StockCount[RM_Code],$A80,T_StockCount[WeekIndex],104),IF((COUNTIFS(T_SelfStock[RM_Code],$A80,T_SelfStock[WeekIndex],104)&gt;0)*(COUNTIFS(T_TTAFStock[RM_Code],$A80,T_TTAFStock[WeekIndex],104)&gt;0)&gt;0,SUMIFS(T_SelfStock[Self_Qty],T_SelfStock[RM_Code],$A80,T_SelfStock[WeekIndex],104)+SUMIFS(T_TTAFStock[TTAF_Qty],T_TTAFStock[RM_Code],$A80,T_TTAFStock[WeekIndex],104),CZ80+'Grid_Incoming'!DA80-'Grid_Requirement'!DA80))</f>
        <v/>
      </c>
    </row>
    <row r="81">
      <c r="A81" t="inlineStr">
        <is>
          <t>Chem-1800</t>
        </is>
      </c>
      <c r="B81">
        <f>IF(COUNTIFS(T_StockCount[RM_Code],$A81,T_StockCount[WeekIndex],1)&gt;0,SUMIFS(T_StockCount[CountedQty],T_StockCount[RM_Code],$A81,T_StockCount[WeekIndex],1),IF((COUNTIFS(T_SelfStock[RM_Code],$A81,T_SelfStock[WeekIndex],1)&gt;0)*(COUNTIFS(T_TTAFStock[RM_Code],$A81,T_TTAFStock[WeekIndex],1)&gt;0)&gt;0,SUMIFS(T_SelfStock[Self_Qty],T_SelfStock[RM_Code],$A81,T_SelfStock[WeekIndex],1)+SUMIFS(T_TTAFStock[TTAF_Qty],T_TTAFStock[RM_Code],$A81,T_TTAFStock[WeekIndex],1),IFERROR(INDEX(T_OpeningStock[Opening_Qty],MATCH($A81,T_OpeningStock[RM_Code],0)),0)+'Grid_Incoming'!B81-'Grid_Requirement'!B81))</f>
        <v/>
      </c>
      <c r="C81">
        <f>IF(COUNTIFS(T_StockCount[RM_Code],$A81,T_StockCount[WeekIndex],2)&gt;0,SUMIFS(T_StockCount[CountedQty],T_StockCount[RM_Code],$A81,T_StockCount[WeekIndex],2),IF((COUNTIFS(T_SelfStock[RM_Code],$A81,T_SelfStock[WeekIndex],2)&gt;0)*(COUNTIFS(T_TTAFStock[RM_Code],$A81,T_TTAFStock[WeekIndex],2)&gt;0)&gt;0,SUMIFS(T_SelfStock[Self_Qty],T_SelfStock[RM_Code],$A81,T_SelfStock[WeekIndex],2)+SUMIFS(T_TTAFStock[TTAF_Qty],T_TTAFStock[RM_Code],$A81,T_TTAFStock[WeekIndex],2),B81+'Grid_Incoming'!C81-'Grid_Requirement'!C81))</f>
        <v/>
      </c>
      <c r="D81">
        <f>IF(COUNTIFS(T_StockCount[RM_Code],$A81,T_StockCount[WeekIndex],3)&gt;0,SUMIFS(T_StockCount[CountedQty],T_StockCount[RM_Code],$A81,T_StockCount[WeekIndex],3),IF((COUNTIFS(T_SelfStock[RM_Code],$A81,T_SelfStock[WeekIndex],3)&gt;0)*(COUNTIFS(T_TTAFStock[RM_Code],$A81,T_TTAFStock[WeekIndex],3)&gt;0)&gt;0,SUMIFS(T_SelfStock[Self_Qty],T_SelfStock[RM_Code],$A81,T_SelfStock[WeekIndex],3)+SUMIFS(T_TTAFStock[TTAF_Qty],T_TTAFStock[RM_Code],$A81,T_TTAFStock[WeekIndex],3),C81+'Grid_Incoming'!D81-'Grid_Requirement'!D81))</f>
        <v/>
      </c>
      <c r="E81">
        <f>IF(COUNTIFS(T_StockCount[RM_Code],$A81,T_StockCount[WeekIndex],4)&gt;0,SUMIFS(T_StockCount[CountedQty],T_StockCount[RM_Code],$A81,T_StockCount[WeekIndex],4),IF((COUNTIFS(T_SelfStock[RM_Code],$A81,T_SelfStock[WeekIndex],4)&gt;0)*(COUNTIFS(T_TTAFStock[RM_Code],$A81,T_TTAFStock[WeekIndex],4)&gt;0)&gt;0,SUMIFS(T_SelfStock[Self_Qty],T_SelfStock[RM_Code],$A81,T_SelfStock[WeekIndex],4)+SUMIFS(T_TTAFStock[TTAF_Qty],T_TTAFStock[RM_Code],$A81,T_TTAFStock[WeekIndex],4),D81+'Grid_Incoming'!E81-'Grid_Requirement'!E81))</f>
        <v/>
      </c>
      <c r="F81">
        <f>IF(COUNTIFS(T_StockCount[RM_Code],$A81,T_StockCount[WeekIndex],5)&gt;0,SUMIFS(T_StockCount[CountedQty],T_StockCount[RM_Code],$A81,T_StockCount[WeekIndex],5),IF((COUNTIFS(T_SelfStock[RM_Code],$A81,T_SelfStock[WeekIndex],5)&gt;0)*(COUNTIFS(T_TTAFStock[RM_Code],$A81,T_TTAFStock[WeekIndex],5)&gt;0)&gt;0,SUMIFS(T_SelfStock[Self_Qty],T_SelfStock[RM_Code],$A81,T_SelfStock[WeekIndex],5)+SUMIFS(T_TTAFStock[TTAF_Qty],T_TTAFStock[RM_Code],$A81,T_TTAFStock[WeekIndex],5),E81+'Grid_Incoming'!F81-'Grid_Requirement'!F81))</f>
        <v/>
      </c>
      <c r="G81">
        <f>IF(COUNTIFS(T_StockCount[RM_Code],$A81,T_StockCount[WeekIndex],6)&gt;0,SUMIFS(T_StockCount[CountedQty],T_StockCount[RM_Code],$A81,T_StockCount[WeekIndex],6),IF((COUNTIFS(T_SelfStock[RM_Code],$A81,T_SelfStock[WeekIndex],6)&gt;0)*(COUNTIFS(T_TTAFStock[RM_Code],$A81,T_TTAFStock[WeekIndex],6)&gt;0)&gt;0,SUMIFS(T_SelfStock[Self_Qty],T_SelfStock[RM_Code],$A81,T_SelfStock[WeekIndex],6)+SUMIFS(T_TTAFStock[TTAF_Qty],T_TTAFStock[RM_Code],$A81,T_TTAFStock[WeekIndex],6),F81+'Grid_Incoming'!G81-'Grid_Requirement'!G81))</f>
        <v/>
      </c>
      <c r="H81">
        <f>IF(COUNTIFS(T_StockCount[RM_Code],$A81,T_StockCount[WeekIndex],7)&gt;0,SUMIFS(T_StockCount[CountedQty],T_StockCount[RM_Code],$A81,T_StockCount[WeekIndex],7),IF((COUNTIFS(T_SelfStock[RM_Code],$A81,T_SelfStock[WeekIndex],7)&gt;0)*(COUNTIFS(T_TTAFStock[RM_Code],$A81,T_TTAFStock[WeekIndex],7)&gt;0)&gt;0,SUMIFS(T_SelfStock[Self_Qty],T_SelfStock[RM_Code],$A81,T_SelfStock[WeekIndex],7)+SUMIFS(T_TTAFStock[TTAF_Qty],T_TTAFStock[RM_Code],$A81,T_TTAFStock[WeekIndex],7),G81+'Grid_Incoming'!H81-'Grid_Requirement'!H81))</f>
        <v/>
      </c>
      <c r="I81">
        <f>IF(COUNTIFS(T_StockCount[RM_Code],$A81,T_StockCount[WeekIndex],8)&gt;0,SUMIFS(T_StockCount[CountedQty],T_StockCount[RM_Code],$A81,T_StockCount[WeekIndex],8),IF((COUNTIFS(T_SelfStock[RM_Code],$A81,T_SelfStock[WeekIndex],8)&gt;0)*(COUNTIFS(T_TTAFStock[RM_Code],$A81,T_TTAFStock[WeekIndex],8)&gt;0)&gt;0,SUMIFS(T_SelfStock[Self_Qty],T_SelfStock[RM_Code],$A81,T_SelfStock[WeekIndex],8)+SUMIFS(T_TTAFStock[TTAF_Qty],T_TTAFStock[RM_Code],$A81,T_TTAFStock[WeekIndex],8),H81+'Grid_Incoming'!I81-'Grid_Requirement'!I81))</f>
        <v/>
      </c>
      <c r="J81">
        <f>IF(COUNTIFS(T_StockCount[RM_Code],$A81,T_StockCount[WeekIndex],9)&gt;0,SUMIFS(T_StockCount[CountedQty],T_StockCount[RM_Code],$A81,T_StockCount[WeekIndex],9),IF((COUNTIFS(T_SelfStock[RM_Code],$A81,T_SelfStock[WeekIndex],9)&gt;0)*(COUNTIFS(T_TTAFStock[RM_Code],$A81,T_TTAFStock[WeekIndex],9)&gt;0)&gt;0,SUMIFS(T_SelfStock[Self_Qty],T_SelfStock[RM_Code],$A81,T_SelfStock[WeekIndex],9)+SUMIFS(T_TTAFStock[TTAF_Qty],T_TTAFStock[RM_Code],$A81,T_TTAFStock[WeekIndex],9),I81+'Grid_Incoming'!J81-'Grid_Requirement'!J81))</f>
        <v/>
      </c>
      <c r="K81">
        <f>IF(COUNTIFS(T_StockCount[RM_Code],$A81,T_StockCount[WeekIndex],10)&gt;0,SUMIFS(T_StockCount[CountedQty],T_StockCount[RM_Code],$A81,T_StockCount[WeekIndex],10),IF((COUNTIFS(T_SelfStock[RM_Code],$A81,T_SelfStock[WeekIndex],10)&gt;0)*(COUNTIFS(T_TTAFStock[RM_Code],$A81,T_TTAFStock[WeekIndex],10)&gt;0)&gt;0,SUMIFS(T_SelfStock[Self_Qty],T_SelfStock[RM_Code],$A81,T_SelfStock[WeekIndex],10)+SUMIFS(T_TTAFStock[TTAF_Qty],T_TTAFStock[RM_Code],$A81,T_TTAFStock[WeekIndex],10),J81+'Grid_Incoming'!K81-'Grid_Requirement'!K81))</f>
        <v/>
      </c>
      <c r="L81">
        <f>IF(COUNTIFS(T_StockCount[RM_Code],$A81,T_StockCount[WeekIndex],11)&gt;0,SUMIFS(T_StockCount[CountedQty],T_StockCount[RM_Code],$A81,T_StockCount[WeekIndex],11),IF((COUNTIFS(T_SelfStock[RM_Code],$A81,T_SelfStock[WeekIndex],11)&gt;0)*(COUNTIFS(T_TTAFStock[RM_Code],$A81,T_TTAFStock[WeekIndex],11)&gt;0)&gt;0,SUMIFS(T_SelfStock[Self_Qty],T_SelfStock[RM_Code],$A81,T_SelfStock[WeekIndex],11)+SUMIFS(T_TTAFStock[TTAF_Qty],T_TTAFStock[RM_Code],$A81,T_TTAFStock[WeekIndex],11),K81+'Grid_Incoming'!L81-'Grid_Requirement'!L81))</f>
        <v/>
      </c>
      <c r="M81">
        <f>IF(COUNTIFS(T_StockCount[RM_Code],$A81,T_StockCount[WeekIndex],12)&gt;0,SUMIFS(T_StockCount[CountedQty],T_StockCount[RM_Code],$A81,T_StockCount[WeekIndex],12),IF((COUNTIFS(T_SelfStock[RM_Code],$A81,T_SelfStock[WeekIndex],12)&gt;0)*(COUNTIFS(T_TTAFStock[RM_Code],$A81,T_TTAFStock[WeekIndex],12)&gt;0)&gt;0,SUMIFS(T_SelfStock[Self_Qty],T_SelfStock[RM_Code],$A81,T_SelfStock[WeekIndex],12)+SUMIFS(T_TTAFStock[TTAF_Qty],T_TTAFStock[RM_Code],$A81,T_TTAFStock[WeekIndex],12),L81+'Grid_Incoming'!M81-'Grid_Requirement'!M81))</f>
        <v/>
      </c>
      <c r="N81">
        <f>IF(COUNTIFS(T_StockCount[RM_Code],$A81,T_StockCount[WeekIndex],13)&gt;0,SUMIFS(T_StockCount[CountedQty],T_StockCount[RM_Code],$A81,T_StockCount[WeekIndex],13),IF((COUNTIFS(T_SelfStock[RM_Code],$A81,T_SelfStock[WeekIndex],13)&gt;0)*(COUNTIFS(T_TTAFStock[RM_Code],$A81,T_TTAFStock[WeekIndex],13)&gt;0)&gt;0,SUMIFS(T_SelfStock[Self_Qty],T_SelfStock[RM_Code],$A81,T_SelfStock[WeekIndex],13)+SUMIFS(T_TTAFStock[TTAF_Qty],T_TTAFStock[RM_Code],$A81,T_TTAFStock[WeekIndex],13),M81+'Grid_Incoming'!N81-'Grid_Requirement'!N81))</f>
        <v/>
      </c>
      <c r="O81">
        <f>IF(COUNTIFS(T_StockCount[RM_Code],$A81,T_StockCount[WeekIndex],14)&gt;0,SUMIFS(T_StockCount[CountedQty],T_StockCount[RM_Code],$A81,T_StockCount[WeekIndex],14),IF((COUNTIFS(T_SelfStock[RM_Code],$A81,T_SelfStock[WeekIndex],14)&gt;0)*(COUNTIFS(T_TTAFStock[RM_Code],$A81,T_TTAFStock[WeekIndex],14)&gt;0)&gt;0,SUMIFS(T_SelfStock[Self_Qty],T_SelfStock[RM_Code],$A81,T_SelfStock[WeekIndex],14)+SUMIFS(T_TTAFStock[TTAF_Qty],T_TTAFStock[RM_Code],$A81,T_TTAFStock[WeekIndex],14),N81+'Grid_Incoming'!O81-'Grid_Requirement'!O81))</f>
        <v/>
      </c>
      <c r="P81">
        <f>IF(COUNTIFS(T_StockCount[RM_Code],$A81,T_StockCount[WeekIndex],15)&gt;0,SUMIFS(T_StockCount[CountedQty],T_StockCount[RM_Code],$A81,T_StockCount[WeekIndex],15),IF((COUNTIFS(T_SelfStock[RM_Code],$A81,T_SelfStock[WeekIndex],15)&gt;0)*(COUNTIFS(T_TTAFStock[RM_Code],$A81,T_TTAFStock[WeekIndex],15)&gt;0)&gt;0,SUMIFS(T_SelfStock[Self_Qty],T_SelfStock[RM_Code],$A81,T_SelfStock[WeekIndex],15)+SUMIFS(T_TTAFStock[TTAF_Qty],T_TTAFStock[RM_Code],$A81,T_TTAFStock[WeekIndex],15),O81+'Grid_Incoming'!P81-'Grid_Requirement'!P81))</f>
        <v/>
      </c>
      <c r="Q81">
        <f>IF(COUNTIFS(T_StockCount[RM_Code],$A81,T_StockCount[WeekIndex],16)&gt;0,SUMIFS(T_StockCount[CountedQty],T_StockCount[RM_Code],$A81,T_StockCount[WeekIndex],16),IF((COUNTIFS(T_SelfStock[RM_Code],$A81,T_SelfStock[WeekIndex],16)&gt;0)*(COUNTIFS(T_TTAFStock[RM_Code],$A81,T_TTAFStock[WeekIndex],16)&gt;0)&gt;0,SUMIFS(T_SelfStock[Self_Qty],T_SelfStock[RM_Code],$A81,T_SelfStock[WeekIndex],16)+SUMIFS(T_TTAFStock[TTAF_Qty],T_TTAFStock[RM_Code],$A81,T_TTAFStock[WeekIndex],16),P81+'Grid_Incoming'!Q81-'Grid_Requirement'!Q81))</f>
        <v/>
      </c>
      <c r="R81">
        <f>IF(COUNTIFS(T_StockCount[RM_Code],$A81,T_StockCount[WeekIndex],17)&gt;0,SUMIFS(T_StockCount[CountedQty],T_StockCount[RM_Code],$A81,T_StockCount[WeekIndex],17),IF((COUNTIFS(T_SelfStock[RM_Code],$A81,T_SelfStock[WeekIndex],17)&gt;0)*(COUNTIFS(T_TTAFStock[RM_Code],$A81,T_TTAFStock[WeekIndex],17)&gt;0)&gt;0,SUMIFS(T_SelfStock[Self_Qty],T_SelfStock[RM_Code],$A81,T_SelfStock[WeekIndex],17)+SUMIFS(T_TTAFStock[TTAF_Qty],T_TTAFStock[RM_Code],$A81,T_TTAFStock[WeekIndex],17),Q81+'Grid_Incoming'!R81-'Grid_Requirement'!R81))</f>
        <v/>
      </c>
      <c r="S81">
        <f>IF(COUNTIFS(T_StockCount[RM_Code],$A81,T_StockCount[WeekIndex],18)&gt;0,SUMIFS(T_StockCount[CountedQty],T_StockCount[RM_Code],$A81,T_StockCount[WeekIndex],18),IF((COUNTIFS(T_SelfStock[RM_Code],$A81,T_SelfStock[WeekIndex],18)&gt;0)*(COUNTIFS(T_TTAFStock[RM_Code],$A81,T_TTAFStock[WeekIndex],18)&gt;0)&gt;0,SUMIFS(T_SelfStock[Self_Qty],T_SelfStock[RM_Code],$A81,T_SelfStock[WeekIndex],18)+SUMIFS(T_TTAFStock[TTAF_Qty],T_TTAFStock[RM_Code],$A81,T_TTAFStock[WeekIndex],18),R81+'Grid_Incoming'!S81-'Grid_Requirement'!S81))</f>
        <v/>
      </c>
      <c r="T81">
        <f>IF(COUNTIFS(T_StockCount[RM_Code],$A81,T_StockCount[WeekIndex],19)&gt;0,SUMIFS(T_StockCount[CountedQty],T_StockCount[RM_Code],$A81,T_StockCount[WeekIndex],19),IF((COUNTIFS(T_SelfStock[RM_Code],$A81,T_SelfStock[WeekIndex],19)&gt;0)*(COUNTIFS(T_TTAFStock[RM_Code],$A81,T_TTAFStock[WeekIndex],19)&gt;0)&gt;0,SUMIFS(T_SelfStock[Self_Qty],T_SelfStock[RM_Code],$A81,T_SelfStock[WeekIndex],19)+SUMIFS(T_TTAFStock[TTAF_Qty],T_TTAFStock[RM_Code],$A81,T_TTAFStock[WeekIndex],19),S81+'Grid_Incoming'!T81-'Grid_Requirement'!T81))</f>
        <v/>
      </c>
      <c r="U81">
        <f>IF(COUNTIFS(T_StockCount[RM_Code],$A81,T_StockCount[WeekIndex],20)&gt;0,SUMIFS(T_StockCount[CountedQty],T_StockCount[RM_Code],$A81,T_StockCount[WeekIndex],20),IF((COUNTIFS(T_SelfStock[RM_Code],$A81,T_SelfStock[WeekIndex],20)&gt;0)*(COUNTIFS(T_TTAFStock[RM_Code],$A81,T_TTAFStock[WeekIndex],20)&gt;0)&gt;0,SUMIFS(T_SelfStock[Self_Qty],T_SelfStock[RM_Code],$A81,T_SelfStock[WeekIndex],20)+SUMIFS(T_TTAFStock[TTAF_Qty],T_TTAFStock[RM_Code],$A81,T_TTAFStock[WeekIndex],20),T81+'Grid_Incoming'!U81-'Grid_Requirement'!U81))</f>
        <v/>
      </c>
      <c r="V81">
        <f>IF(COUNTIFS(T_StockCount[RM_Code],$A81,T_StockCount[WeekIndex],21)&gt;0,SUMIFS(T_StockCount[CountedQty],T_StockCount[RM_Code],$A81,T_StockCount[WeekIndex],21),IF((COUNTIFS(T_SelfStock[RM_Code],$A81,T_SelfStock[WeekIndex],21)&gt;0)*(COUNTIFS(T_TTAFStock[RM_Code],$A81,T_TTAFStock[WeekIndex],21)&gt;0)&gt;0,SUMIFS(T_SelfStock[Self_Qty],T_SelfStock[RM_Code],$A81,T_SelfStock[WeekIndex],21)+SUMIFS(T_TTAFStock[TTAF_Qty],T_TTAFStock[RM_Code],$A81,T_TTAFStock[WeekIndex],21),U81+'Grid_Incoming'!V81-'Grid_Requirement'!V81))</f>
        <v/>
      </c>
      <c r="W81">
        <f>IF(COUNTIFS(T_StockCount[RM_Code],$A81,T_StockCount[WeekIndex],22)&gt;0,SUMIFS(T_StockCount[CountedQty],T_StockCount[RM_Code],$A81,T_StockCount[WeekIndex],22),IF((COUNTIFS(T_SelfStock[RM_Code],$A81,T_SelfStock[WeekIndex],22)&gt;0)*(COUNTIFS(T_TTAFStock[RM_Code],$A81,T_TTAFStock[WeekIndex],22)&gt;0)&gt;0,SUMIFS(T_SelfStock[Self_Qty],T_SelfStock[RM_Code],$A81,T_SelfStock[WeekIndex],22)+SUMIFS(T_TTAFStock[TTAF_Qty],T_TTAFStock[RM_Code],$A81,T_TTAFStock[WeekIndex],22),V81+'Grid_Incoming'!W81-'Grid_Requirement'!W81))</f>
        <v/>
      </c>
      <c r="X81">
        <f>IF(COUNTIFS(T_StockCount[RM_Code],$A81,T_StockCount[WeekIndex],23)&gt;0,SUMIFS(T_StockCount[CountedQty],T_StockCount[RM_Code],$A81,T_StockCount[WeekIndex],23),IF((COUNTIFS(T_SelfStock[RM_Code],$A81,T_SelfStock[WeekIndex],23)&gt;0)*(COUNTIFS(T_TTAFStock[RM_Code],$A81,T_TTAFStock[WeekIndex],23)&gt;0)&gt;0,SUMIFS(T_SelfStock[Self_Qty],T_SelfStock[RM_Code],$A81,T_SelfStock[WeekIndex],23)+SUMIFS(T_TTAFStock[TTAF_Qty],T_TTAFStock[RM_Code],$A81,T_TTAFStock[WeekIndex],23),W81+'Grid_Incoming'!X81-'Grid_Requirement'!X81))</f>
        <v/>
      </c>
      <c r="Y81">
        <f>IF(COUNTIFS(T_StockCount[RM_Code],$A81,T_StockCount[WeekIndex],24)&gt;0,SUMIFS(T_StockCount[CountedQty],T_StockCount[RM_Code],$A81,T_StockCount[WeekIndex],24),IF((COUNTIFS(T_SelfStock[RM_Code],$A81,T_SelfStock[WeekIndex],24)&gt;0)*(COUNTIFS(T_TTAFStock[RM_Code],$A81,T_TTAFStock[WeekIndex],24)&gt;0)&gt;0,SUMIFS(T_SelfStock[Self_Qty],T_SelfStock[RM_Code],$A81,T_SelfStock[WeekIndex],24)+SUMIFS(T_TTAFStock[TTAF_Qty],T_TTAFStock[RM_Code],$A81,T_TTAFStock[WeekIndex],24),X81+'Grid_Incoming'!Y81-'Grid_Requirement'!Y81))</f>
        <v/>
      </c>
      <c r="Z81">
        <f>IF(COUNTIFS(T_StockCount[RM_Code],$A81,T_StockCount[WeekIndex],25)&gt;0,SUMIFS(T_StockCount[CountedQty],T_StockCount[RM_Code],$A81,T_StockCount[WeekIndex],25),IF((COUNTIFS(T_SelfStock[RM_Code],$A81,T_SelfStock[WeekIndex],25)&gt;0)*(COUNTIFS(T_TTAFStock[RM_Code],$A81,T_TTAFStock[WeekIndex],25)&gt;0)&gt;0,SUMIFS(T_SelfStock[Self_Qty],T_SelfStock[RM_Code],$A81,T_SelfStock[WeekIndex],25)+SUMIFS(T_TTAFStock[TTAF_Qty],T_TTAFStock[RM_Code],$A81,T_TTAFStock[WeekIndex],25),Y81+'Grid_Incoming'!Z81-'Grid_Requirement'!Z81))</f>
        <v/>
      </c>
      <c r="AA81">
        <f>IF(COUNTIFS(T_StockCount[RM_Code],$A81,T_StockCount[WeekIndex],26)&gt;0,SUMIFS(T_StockCount[CountedQty],T_StockCount[RM_Code],$A81,T_StockCount[WeekIndex],26),IF((COUNTIFS(T_SelfStock[RM_Code],$A81,T_SelfStock[WeekIndex],26)&gt;0)*(COUNTIFS(T_TTAFStock[RM_Code],$A81,T_TTAFStock[WeekIndex],26)&gt;0)&gt;0,SUMIFS(T_SelfStock[Self_Qty],T_SelfStock[RM_Code],$A81,T_SelfStock[WeekIndex],26)+SUMIFS(T_TTAFStock[TTAF_Qty],T_TTAFStock[RM_Code],$A81,T_TTAFStock[WeekIndex],26),Z81+'Grid_Incoming'!AA81-'Grid_Requirement'!AA81))</f>
        <v/>
      </c>
      <c r="AB81">
        <f>IF(COUNTIFS(T_StockCount[RM_Code],$A81,T_StockCount[WeekIndex],27)&gt;0,SUMIFS(T_StockCount[CountedQty],T_StockCount[RM_Code],$A81,T_StockCount[WeekIndex],27),IF((COUNTIFS(T_SelfStock[RM_Code],$A81,T_SelfStock[WeekIndex],27)&gt;0)*(COUNTIFS(T_TTAFStock[RM_Code],$A81,T_TTAFStock[WeekIndex],27)&gt;0)&gt;0,SUMIFS(T_SelfStock[Self_Qty],T_SelfStock[RM_Code],$A81,T_SelfStock[WeekIndex],27)+SUMIFS(T_TTAFStock[TTAF_Qty],T_TTAFStock[RM_Code],$A81,T_TTAFStock[WeekIndex],27),AA81+'Grid_Incoming'!AB81-'Grid_Requirement'!AB81))</f>
        <v/>
      </c>
      <c r="AC81">
        <f>IF(COUNTIFS(T_StockCount[RM_Code],$A81,T_StockCount[WeekIndex],28)&gt;0,SUMIFS(T_StockCount[CountedQty],T_StockCount[RM_Code],$A81,T_StockCount[WeekIndex],28),IF((COUNTIFS(T_SelfStock[RM_Code],$A81,T_SelfStock[WeekIndex],28)&gt;0)*(COUNTIFS(T_TTAFStock[RM_Code],$A81,T_TTAFStock[WeekIndex],28)&gt;0)&gt;0,SUMIFS(T_SelfStock[Self_Qty],T_SelfStock[RM_Code],$A81,T_SelfStock[WeekIndex],28)+SUMIFS(T_TTAFStock[TTAF_Qty],T_TTAFStock[RM_Code],$A81,T_TTAFStock[WeekIndex],28),AB81+'Grid_Incoming'!AC81-'Grid_Requirement'!AC81))</f>
        <v/>
      </c>
      <c r="AD81">
        <f>IF(COUNTIFS(T_StockCount[RM_Code],$A81,T_StockCount[WeekIndex],29)&gt;0,SUMIFS(T_StockCount[CountedQty],T_StockCount[RM_Code],$A81,T_StockCount[WeekIndex],29),IF((COUNTIFS(T_SelfStock[RM_Code],$A81,T_SelfStock[WeekIndex],29)&gt;0)*(COUNTIFS(T_TTAFStock[RM_Code],$A81,T_TTAFStock[WeekIndex],29)&gt;0)&gt;0,SUMIFS(T_SelfStock[Self_Qty],T_SelfStock[RM_Code],$A81,T_SelfStock[WeekIndex],29)+SUMIFS(T_TTAFStock[TTAF_Qty],T_TTAFStock[RM_Code],$A81,T_TTAFStock[WeekIndex],29),AC81+'Grid_Incoming'!AD81-'Grid_Requirement'!AD81))</f>
        <v/>
      </c>
      <c r="AE81">
        <f>IF(COUNTIFS(T_StockCount[RM_Code],$A81,T_StockCount[WeekIndex],30)&gt;0,SUMIFS(T_StockCount[CountedQty],T_StockCount[RM_Code],$A81,T_StockCount[WeekIndex],30),IF((COUNTIFS(T_SelfStock[RM_Code],$A81,T_SelfStock[WeekIndex],30)&gt;0)*(COUNTIFS(T_TTAFStock[RM_Code],$A81,T_TTAFStock[WeekIndex],30)&gt;0)&gt;0,SUMIFS(T_SelfStock[Self_Qty],T_SelfStock[RM_Code],$A81,T_SelfStock[WeekIndex],30)+SUMIFS(T_TTAFStock[TTAF_Qty],T_TTAFStock[RM_Code],$A81,T_TTAFStock[WeekIndex],30),AD81+'Grid_Incoming'!AE81-'Grid_Requirement'!AE81))</f>
        <v/>
      </c>
      <c r="AF81">
        <f>IF(COUNTIFS(T_StockCount[RM_Code],$A81,T_StockCount[WeekIndex],31)&gt;0,SUMIFS(T_StockCount[CountedQty],T_StockCount[RM_Code],$A81,T_StockCount[WeekIndex],31),IF((COUNTIFS(T_SelfStock[RM_Code],$A81,T_SelfStock[WeekIndex],31)&gt;0)*(COUNTIFS(T_TTAFStock[RM_Code],$A81,T_TTAFStock[WeekIndex],31)&gt;0)&gt;0,SUMIFS(T_SelfStock[Self_Qty],T_SelfStock[RM_Code],$A81,T_SelfStock[WeekIndex],31)+SUMIFS(T_TTAFStock[TTAF_Qty],T_TTAFStock[RM_Code],$A81,T_TTAFStock[WeekIndex],31),AE81+'Grid_Incoming'!AF81-'Grid_Requirement'!AF81))</f>
        <v/>
      </c>
      <c r="AG81">
        <f>IF(COUNTIFS(T_StockCount[RM_Code],$A81,T_StockCount[WeekIndex],32)&gt;0,SUMIFS(T_StockCount[CountedQty],T_StockCount[RM_Code],$A81,T_StockCount[WeekIndex],32),IF((COUNTIFS(T_SelfStock[RM_Code],$A81,T_SelfStock[WeekIndex],32)&gt;0)*(COUNTIFS(T_TTAFStock[RM_Code],$A81,T_TTAFStock[WeekIndex],32)&gt;0)&gt;0,SUMIFS(T_SelfStock[Self_Qty],T_SelfStock[RM_Code],$A81,T_SelfStock[WeekIndex],32)+SUMIFS(T_TTAFStock[TTAF_Qty],T_TTAFStock[RM_Code],$A81,T_TTAFStock[WeekIndex],32),AF81+'Grid_Incoming'!AG81-'Grid_Requirement'!AG81))</f>
        <v/>
      </c>
      <c r="AH81">
        <f>IF(COUNTIFS(T_StockCount[RM_Code],$A81,T_StockCount[WeekIndex],33)&gt;0,SUMIFS(T_StockCount[CountedQty],T_StockCount[RM_Code],$A81,T_StockCount[WeekIndex],33),IF((COUNTIFS(T_SelfStock[RM_Code],$A81,T_SelfStock[WeekIndex],33)&gt;0)*(COUNTIFS(T_TTAFStock[RM_Code],$A81,T_TTAFStock[WeekIndex],33)&gt;0)&gt;0,SUMIFS(T_SelfStock[Self_Qty],T_SelfStock[RM_Code],$A81,T_SelfStock[WeekIndex],33)+SUMIFS(T_TTAFStock[TTAF_Qty],T_TTAFStock[RM_Code],$A81,T_TTAFStock[WeekIndex],33),AG81+'Grid_Incoming'!AH81-'Grid_Requirement'!AH81))</f>
        <v/>
      </c>
      <c r="AI81">
        <f>IF(COUNTIFS(T_StockCount[RM_Code],$A81,T_StockCount[WeekIndex],34)&gt;0,SUMIFS(T_StockCount[CountedQty],T_StockCount[RM_Code],$A81,T_StockCount[WeekIndex],34),IF((COUNTIFS(T_SelfStock[RM_Code],$A81,T_SelfStock[WeekIndex],34)&gt;0)*(COUNTIFS(T_TTAFStock[RM_Code],$A81,T_TTAFStock[WeekIndex],34)&gt;0)&gt;0,SUMIFS(T_SelfStock[Self_Qty],T_SelfStock[RM_Code],$A81,T_SelfStock[WeekIndex],34)+SUMIFS(T_TTAFStock[TTAF_Qty],T_TTAFStock[RM_Code],$A81,T_TTAFStock[WeekIndex],34),AH81+'Grid_Incoming'!AI81-'Grid_Requirement'!AI81))</f>
        <v/>
      </c>
      <c r="AJ81">
        <f>IF(COUNTIFS(T_StockCount[RM_Code],$A81,T_StockCount[WeekIndex],35)&gt;0,SUMIFS(T_StockCount[CountedQty],T_StockCount[RM_Code],$A81,T_StockCount[WeekIndex],35),IF((COUNTIFS(T_SelfStock[RM_Code],$A81,T_SelfStock[WeekIndex],35)&gt;0)*(COUNTIFS(T_TTAFStock[RM_Code],$A81,T_TTAFStock[WeekIndex],35)&gt;0)&gt;0,SUMIFS(T_SelfStock[Self_Qty],T_SelfStock[RM_Code],$A81,T_SelfStock[WeekIndex],35)+SUMIFS(T_TTAFStock[TTAF_Qty],T_TTAFStock[RM_Code],$A81,T_TTAFStock[WeekIndex],35),AI81+'Grid_Incoming'!AJ81-'Grid_Requirement'!AJ81))</f>
        <v/>
      </c>
      <c r="AK81">
        <f>IF(COUNTIFS(T_StockCount[RM_Code],$A81,T_StockCount[WeekIndex],36)&gt;0,SUMIFS(T_StockCount[CountedQty],T_StockCount[RM_Code],$A81,T_StockCount[WeekIndex],36),IF((COUNTIFS(T_SelfStock[RM_Code],$A81,T_SelfStock[WeekIndex],36)&gt;0)*(COUNTIFS(T_TTAFStock[RM_Code],$A81,T_TTAFStock[WeekIndex],36)&gt;0)&gt;0,SUMIFS(T_SelfStock[Self_Qty],T_SelfStock[RM_Code],$A81,T_SelfStock[WeekIndex],36)+SUMIFS(T_TTAFStock[TTAF_Qty],T_TTAFStock[RM_Code],$A81,T_TTAFStock[WeekIndex],36),AJ81+'Grid_Incoming'!AK81-'Grid_Requirement'!AK81))</f>
        <v/>
      </c>
      <c r="AL81">
        <f>IF(COUNTIFS(T_StockCount[RM_Code],$A81,T_StockCount[WeekIndex],37)&gt;0,SUMIFS(T_StockCount[CountedQty],T_StockCount[RM_Code],$A81,T_StockCount[WeekIndex],37),IF((COUNTIFS(T_SelfStock[RM_Code],$A81,T_SelfStock[WeekIndex],37)&gt;0)*(COUNTIFS(T_TTAFStock[RM_Code],$A81,T_TTAFStock[WeekIndex],37)&gt;0)&gt;0,SUMIFS(T_SelfStock[Self_Qty],T_SelfStock[RM_Code],$A81,T_SelfStock[WeekIndex],37)+SUMIFS(T_TTAFStock[TTAF_Qty],T_TTAFStock[RM_Code],$A81,T_TTAFStock[WeekIndex],37),AK81+'Grid_Incoming'!AL81-'Grid_Requirement'!AL81))</f>
        <v/>
      </c>
      <c r="AM81">
        <f>IF(COUNTIFS(T_StockCount[RM_Code],$A81,T_StockCount[WeekIndex],38)&gt;0,SUMIFS(T_StockCount[CountedQty],T_StockCount[RM_Code],$A81,T_StockCount[WeekIndex],38),IF((COUNTIFS(T_SelfStock[RM_Code],$A81,T_SelfStock[WeekIndex],38)&gt;0)*(COUNTIFS(T_TTAFStock[RM_Code],$A81,T_TTAFStock[WeekIndex],38)&gt;0)&gt;0,SUMIFS(T_SelfStock[Self_Qty],T_SelfStock[RM_Code],$A81,T_SelfStock[WeekIndex],38)+SUMIFS(T_TTAFStock[TTAF_Qty],T_TTAFStock[RM_Code],$A81,T_TTAFStock[WeekIndex],38),AL81+'Grid_Incoming'!AM81-'Grid_Requirement'!AM81))</f>
        <v/>
      </c>
      <c r="AN81">
        <f>IF(COUNTIFS(T_StockCount[RM_Code],$A81,T_StockCount[WeekIndex],39)&gt;0,SUMIFS(T_StockCount[CountedQty],T_StockCount[RM_Code],$A81,T_StockCount[WeekIndex],39),IF((COUNTIFS(T_SelfStock[RM_Code],$A81,T_SelfStock[WeekIndex],39)&gt;0)*(COUNTIFS(T_TTAFStock[RM_Code],$A81,T_TTAFStock[WeekIndex],39)&gt;0)&gt;0,SUMIFS(T_SelfStock[Self_Qty],T_SelfStock[RM_Code],$A81,T_SelfStock[WeekIndex],39)+SUMIFS(T_TTAFStock[TTAF_Qty],T_TTAFStock[RM_Code],$A81,T_TTAFStock[WeekIndex],39),AM81+'Grid_Incoming'!AN81-'Grid_Requirement'!AN81))</f>
        <v/>
      </c>
      <c r="AO81">
        <f>IF(COUNTIFS(T_StockCount[RM_Code],$A81,T_StockCount[WeekIndex],40)&gt;0,SUMIFS(T_StockCount[CountedQty],T_StockCount[RM_Code],$A81,T_StockCount[WeekIndex],40),IF((COUNTIFS(T_SelfStock[RM_Code],$A81,T_SelfStock[WeekIndex],40)&gt;0)*(COUNTIFS(T_TTAFStock[RM_Code],$A81,T_TTAFStock[WeekIndex],40)&gt;0)&gt;0,SUMIFS(T_SelfStock[Self_Qty],T_SelfStock[RM_Code],$A81,T_SelfStock[WeekIndex],40)+SUMIFS(T_TTAFStock[TTAF_Qty],T_TTAFStock[RM_Code],$A81,T_TTAFStock[WeekIndex],40),AN81+'Grid_Incoming'!AO81-'Grid_Requirement'!AO81))</f>
        <v/>
      </c>
      <c r="AP81">
        <f>IF(COUNTIFS(T_StockCount[RM_Code],$A81,T_StockCount[WeekIndex],41)&gt;0,SUMIFS(T_StockCount[CountedQty],T_StockCount[RM_Code],$A81,T_StockCount[WeekIndex],41),IF((COUNTIFS(T_SelfStock[RM_Code],$A81,T_SelfStock[WeekIndex],41)&gt;0)*(COUNTIFS(T_TTAFStock[RM_Code],$A81,T_TTAFStock[WeekIndex],41)&gt;0)&gt;0,SUMIFS(T_SelfStock[Self_Qty],T_SelfStock[RM_Code],$A81,T_SelfStock[WeekIndex],41)+SUMIFS(T_TTAFStock[TTAF_Qty],T_TTAFStock[RM_Code],$A81,T_TTAFStock[WeekIndex],41),AO81+'Grid_Incoming'!AP81-'Grid_Requirement'!AP81))</f>
        <v/>
      </c>
      <c r="AQ81">
        <f>IF(COUNTIFS(T_StockCount[RM_Code],$A81,T_StockCount[WeekIndex],42)&gt;0,SUMIFS(T_StockCount[CountedQty],T_StockCount[RM_Code],$A81,T_StockCount[WeekIndex],42),IF((COUNTIFS(T_SelfStock[RM_Code],$A81,T_SelfStock[WeekIndex],42)&gt;0)*(COUNTIFS(T_TTAFStock[RM_Code],$A81,T_TTAFStock[WeekIndex],42)&gt;0)&gt;0,SUMIFS(T_SelfStock[Self_Qty],T_SelfStock[RM_Code],$A81,T_SelfStock[WeekIndex],42)+SUMIFS(T_TTAFStock[TTAF_Qty],T_TTAFStock[RM_Code],$A81,T_TTAFStock[WeekIndex],42),AP81+'Grid_Incoming'!AQ81-'Grid_Requirement'!AQ81))</f>
        <v/>
      </c>
      <c r="AR81">
        <f>IF(COUNTIFS(T_StockCount[RM_Code],$A81,T_StockCount[WeekIndex],43)&gt;0,SUMIFS(T_StockCount[CountedQty],T_StockCount[RM_Code],$A81,T_StockCount[WeekIndex],43),IF((COUNTIFS(T_SelfStock[RM_Code],$A81,T_SelfStock[WeekIndex],43)&gt;0)*(COUNTIFS(T_TTAFStock[RM_Code],$A81,T_TTAFStock[WeekIndex],43)&gt;0)&gt;0,SUMIFS(T_SelfStock[Self_Qty],T_SelfStock[RM_Code],$A81,T_SelfStock[WeekIndex],43)+SUMIFS(T_TTAFStock[TTAF_Qty],T_TTAFStock[RM_Code],$A81,T_TTAFStock[WeekIndex],43),AQ81+'Grid_Incoming'!AR81-'Grid_Requirement'!AR81))</f>
        <v/>
      </c>
      <c r="AS81">
        <f>IF(COUNTIFS(T_StockCount[RM_Code],$A81,T_StockCount[WeekIndex],44)&gt;0,SUMIFS(T_StockCount[CountedQty],T_StockCount[RM_Code],$A81,T_StockCount[WeekIndex],44),IF((COUNTIFS(T_SelfStock[RM_Code],$A81,T_SelfStock[WeekIndex],44)&gt;0)*(COUNTIFS(T_TTAFStock[RM_Code],$A81,T_TTAFStock[WeekIndex],44)&gt;0)&gt;0,SUMIFS(T_SelfStock[Self_Qty],T_SelfStock[RM_Code],$A81,T_SelfStock[WeekIndex],44)+SUMIFS(T_TTAFStock[TTAF_Qty],T_TTAFStock[RM_Code],$A81,T_TTAFStock[WeekIndex],44),AR81+'Grid_Incoming'!AS81-'Grid_Requirement'!AS81))</f>
        <v/>
      </c>
      <c r="AT81">
        <f>IF(COUNTIFS(T_StockCount[RM_Code],$A81,T_StockCount[WeekIndex],45)&gt;0,SUMIFS(T_StockCount[CountedQty],T_StockCount[RM_Code],$A81,T_StockCount[WeekIndex],45),IF((COUNTIFS(T_SelfStock[RM_Code],$A81,T_SelfStock[WeekIndex],45)&gt;0)*(COUNTIFS(T_TTAFStock[RM_Code],$A81,T_TTAFStock[WeekIndex],45)&gt;0)&gt;0,SUMIFS(T_SelfStock[Self_Qty],T_SelfStock[RM_Code],$A81,T_SelfStock[WeekIndex],45)+SUMIFS(T_TTAFStock[TTAF_Qty],T_TTAFStock[RM_Code],$A81,T_TTAFStock[WeekIndex],45),AS81+'Grid_Incoming'!AT81-'Grid_Requirement'!AT81))</f>
        <v/>
      </c>
      <c r="AU81">
        <f>IF(COUNTIFS(T_StockCount[RM_Code],$A81,T_StockCount[WeekIndex],46)&gt;0,SUMIFS(T_StockCount[CountedQty],T_StockCount[RM_Code],$A81,T_StockCount[WeekIndex],46),IF((COUNTIFS(T_SelfStock[RM_Code],$A81,T_SelfStock[WeekIndex],46)&gt;0)*(COUNTIFS(T_TTAFStock[RM_Code],$A81,T_TTAFStock[WeekIndex],46)&gt;0)&gt;0,SUMIFS(T_SelfStock[Self_Qty],T_SelfStock[RM_Code],$A81,T_SelfStock[WeekIndex],46)+SUMIFS(T_TTAFStock[TTAF_Qty],T_TTAFStock[RM_Code],$A81,T_TTAFStock[WeekIndex],46),AT81+'Grid_Incoming'!AU81-'Grid_Requirement'!AU81))</f>
        <v/>
      </c>
      <c r="AV81">
        <f>IF(COUNTIFS(T_StockCount[RM_Code],$A81,T_StockCount[WeekIndex],47)&gt;0,SUMIFS(T_StockCount[CountedQty],T_StockCount[RM_Code],$A81,T_StockCount[WeekIndex],47),IF((COUNTIFS(T_SelfStock[RM_Code],$A81,T_SelfStock[WeekIndex],47)&gt;0)*(COUNTIFS(T_TTAFStock[RM_Code],$A81,T_TTAFStock[WeekIndex],47)&gt;0)&gt;0,SUMIFS(T_SelfStock[Self_Qty],T_SelfStock[RM_Code],$A81,T_SelfStock[WeekIndex],47)+SUMIFS(T_TTAFStock[TTAF_Qty],T_TTAFStock[RM_Code],$A81,T_TTAFStock[WeekIndex],47),AU81+'Grid_Incoming'!AV81-'Grid_Requirement'!AV81))</f>
        <v/>
      </c>
      <c r="AW81">
        <f>IF(COUNTIFS(T_StockCount[RM_Code],$A81,T_StockCount[WeekIndex],48)&gt;0,SUMIFS(T_StockCount[CountedQty],T_StockCount[RM_Code],$A81,T_StockCount[WeekIndex],48),IF((COUNTIFS(T_SelfStock[RM_Code],$A81,T_SelfStock[WeekIndex],48)&gt;0)*(COUNTIFS(T_TTAFStock[RM_Code],$A81,T_TTAFStock[WeekIndex],48)&gt;0)&gt;0,SUMIFS(T_SelfStock[Self_Qty],T_SelfStock[RM_Code],$A81,T_SelfStock[WeekIndex],48)+SUMIFS(T_TTAFStock[TTAF_Qty],T_TTAFStock[RM_Code],$A81,T_TTAFStock[WeekIndex],48),AV81+'Grid_Incoming'!AW81-'Grid_Requirement'!AW81))</f>
        <v/>
      </c>
      <c r="AX81">
        <f>IF(COUNTIFS(T_StockCount[RM_Code],$A81,T_StockCount[WeekIndex],49)&gt;0,SUMIFS(T_StockCount[CountedQty],T_StockCount[RM_Code],$A81,T_StockCount[WeekIndex],49),IF((COUNTIFS(T_SelfStock[RM_Code],$A81,T_SelfStock[WeekIndex],49)&gt;0)*(COUNTIFS(T_TTAFStock[RM_Code],$A81,T_TTAFStock[WeekIndex],49)&gt;0)&gt;0,SUMIFS(T_SelfStock[Self_Qty],T_SelfStock[RM_Code],$A81,T_SelfStock[WeekIndex],49)+SUMIFS(T_TTAFStock[TTAF_Qty],T_TTAFStock[RM_Code],$A81,T_TTAFStock[WeekIndex],49),AW81+'Grid_Incoming'!AX81-'Grid_Requirement'!AX81))</f>
        <v/>
      </c>
      <c r="AY81">
        <f>IF(COUNTIFS(T_StockCount[RM_Code],$A81,T_StockCount[WeekIndex],50)&gt;0,SUMIFS(T_StockCount[CountedQty],T_StockCount[RM_Code],$A81,T_StockCount[WeekIndex],50),IF((COUNTIFS(T_SelfStock[RM_Code],$A81,T_SelfStock[WeekIndex],50)&gt;0)*(COUNTIFS(T_TTAFStock[RM_Code],$A81,T_TTAFStock[WeekIndex],50)&gt;0)&gt;0,SUMIFS(T_SelfStock[Self_Qty],T_SelfStock[RM_Code],$A81,T_SelfStock[WeekIndex],50)+SUMIFS(T_TTAFStock[TTAF_Qty],T_TTAFStock[RM_Code],$A81,T_TTAFStock[WeekIndex],50),AX81+'Grid_Incoming'!AY81-'Grid_Requirement'!AY81))</f>
        <v/>
      </c>
      <c r="AZ81">
        <f>IF(COUNTIFS(T_StockCount[RM_Code],$A81,T_StockCount[WeekIndex],51)&gt;0,SUMIFS(T_StockCount[CountedQty],T_StockCount[RM_Code],$A81,T_StockCount[WeekIndex],51),IF((COUNTIFS(T_SelfStock[RM_Code],$A81,T_SelfStock[WeekIndex],51)&gt;0)*(COUNTIFS(T_TTAFStock[RM_Code],$A81,T_TTAFStock[WeekIndex],51)&gt;0)&gt;0,SUMIFS(T_SelfStock[Self_Qty],T_SelfStock[RM_Code],$A81,T_SelfStock[WeekIndex],51)+SUMIFS(T_TTAFStock[TTAF_Qty],T_TTAFStock[RM_Code],$A81,T_TTAFStock[WeekIndex],51),AY81+'Grid_Incoming'!AZ81-'Grid_Requirement'!AZ81))</f>
        <v/>
      </c>
      <c r="BA81">
        <f>IF(COUNTIFS(T_StockCount[RM_Code],$A81,T_StockCount[WeekIndex],52)&gt;0,SUMIFS(T_StockCount[CountedQty],T_StockCount[RM_Code],$A81,T_StockCount[WeekIndex],52),IF((COUNTIFS(T_SelfStock[RM_Code],$A81,T_SelfStock[WeekIndex],52)&gt;0)*(COUNTIFS(T_TTAFStock[RM_Code],$A81,T_TTAFStock[WeekIndex],52)&gt;0)&gt;0,SUMIFS(T_SelfStock[Self_Qty],T_SelfStock[RM_Code],$A81,T_SelfStock[WeekIndex],52)+SUMIFS(T_TTAFStock[TTAF_Qty],T_TTAFStock[RM_Code],$A81,T_TTAFStock[WeekIndex],52),AZ81+'Grid_Incoming'!BA81-'Grid_Requirement'!BA81))</f>
        <v/>
      </c>
      <c r="BB81">
        <f>IF(COUNTIFS(T_StockCount[RM_Code],$A81,T_StockCount[WeekIndex],53)&gt;0,SUMIFS(T_StockCount[CountedQty],T_StockCount[RM_Code],$A81,T_StockCount[WeekIndex],53),IF((COUNTIFS(T_SelfStock[RM_Code],$A81,T_SelfStock[WeekIndex],53)&gt;0)*(COUNTIFS(T_TTAFStock[RM_Code],$A81,T_TTAFStock[WeekIndex],53)&gt;0)&gt;0,SUMIFS(T_SelfStock[Self_Qty],T_SelfStock[RM_Code],$A81,T_SelfStock[WeekIndex],53)+SUMIFS(T_TTAFStock[TTAF_Qty],T_TTAFStock[RM_Code],$A81,T_TTAFStock[WeekIndex],53),BA81+'Grid_Incoming'!BB81-'Grid_Requirement'!BB81))</f>
        <v/>
      </c>
      <c r="BC81">
        <f>IF(COUNTIFS(T_StockCount[RM_Code],$A81,T_StockCount[WeekIndex],54)&gt;0,SUMIFS(T_StockCount[CountedQty],T_StockCount[RM_Code],$A81,T_StockCount[WeekIndex],54),IF((COUNTIFS(T_SelfStock[RM_Code],$A81,T_SelfStock[WeekIndex],54)&gt;0)*(COUNTIFS(T_TTAFStock[RM_Code],$A81,T_TTAFStock[WeekIndex],54)&gt;0)&gt;0,SUMIFS(T_SelfStock[Self_Qty],T_SelfStock[RM_Code],$A81,T_SelfStock[WeekIndex],54)+SUMIFS(T_TTAFStock[TTAF_Qty],T_TTAFStock[RM_Code],$A81,T_TTAFStock[WeekIndex],54),BB81+'Grid_Incoming'!BC81-'Grid_Requirement'!BC81))</f>
        <v/>
      </c>
      <c r="BD81">
        <f>IF(COUNTIFS(T_StockCount[RM_Code],$A81,T_StockCount[WeekIndex],55)&gt;0,SUMIFS(T_StockCount[CountedQty],T_StockCount[RM_Code],$A81,T_StockCount[WeekIndex],55),IF((COUNTIFS(T_SelfStock[RM_Code],$A81,T_SelfStock[WeekIndex],55)&gt;0)*(COUNTIFS(T_TTAFStock[RM_Code],$A81,T_TTAFStock[WeekIndex],55)&gt;0)&gt;0,SUMIFS(T_SelfStock[Self_Qty],T_SelfStock[RM_Code],$A81,T_SelfStock[WeekIndex],55)+SUMIFS(T_TTAFStock[TTAF_Qty],T_TTAFStock[RM_Code],$A81,T_TTAFStock[WeekIndex],55),BC81+'Grid_Incoming'!BD81-'Grid_Requirement'!BD81))</f>
        <v/>
      </c>
      <c r="BE81">
        <f>IF(COUNTIFS(T_StockCount[RM_Code],$A81,T_StockCount[WeekIndex],56)&gt;0,SUMIFS(T_StockCount[CountedQty],T_StockCount[RM_Code],$A81,T_StockCount[WeekIndex],56),IF((COUNTIFS(T_SelfStock[RM_Code],$A81,T_SelfStock[WeekIndex],56)&gt;0)*(COUNTIFS(T_TTAFStock[RM_Code],$A81,T_TTAFStock[WeekIndex],56)&gt;0)&gt;0,SUMIFS(T_SelfStock[Self_Qty],T_SelfStock[RM_Code],$A81,T_SelfStock[WeekIndex],56)+SUMIFS(T_TTAFStock[TTAF_Qty],T_TTAFStock[RM_Code],$A81,T_TTAFStock[WeekIndex],56),BD81+'Grid_Incoming'!BE81-'Grid_Requirement'!BE81))</f>
        <v/>
      </c>
      <c r="BF81">
        <f>IF(COUNTIFS(T_StockCount[RM_Code],$A81,T_StockCount[WeekIndex],57)&gt;0,SUMIFS(T_StockCount[CountedQty],T_StockCount[RM_Code],$A81,T_StockCount[WeekIndex],57),IF((COUNTIFS(T_SelfStock[RM_Code],$A81,T_SelfStock[WeekIndex],57)&gt;0)*(COUNTIFS(T_TTAFStock[RM_Code],$A81,T_TTAFStock[WeekIndex],57)&gt;0)&gt;0,SUMIFS(T_SelfStock[Self_Qty],T_SelfStock[RM_Code],$A81,T_SelfStock[WeekIndex],57)+SUMIFS(T_TTAFStock[TTAF_Qty],T_TTAFStock[RM_Code],$A81,T_TTAFStock[WeekIndex],57),BE81+'Grid_Incoming'!BF81-'Grid_Requirement'!BF81))</f>
        <v/>
      </c>
      <c r="BG81">
        <f>IF(COUNTIFS(T_StockCount[RM_Code],$A81,T_StockCount[WeekIndex],58)&gt;0,SUMIFS(T_StockCount[CountedQty],T_StockCount[RM_Code],$A81,T_StockCount[WeekIndex],58),IF((COUNTIFS(T_SelfStock[RM_Code],$A81,T_SelfStock[WeekIndex],58)&gt;0)*(COUNTIFS(T_TTAFStock[RM_Code],$A81,T_TTAFStock[WeekIndex],58)&gt;0)&gt;0,SUMIFS(T_SelfStock[Self_Qty],T_SelfStock[RM_Code],$A81,T_SelfStock[WeekIndex],58)+SUMIFS(T_TTAFStock[TTAF_Qty],T_TTAFStock[RM_Code],$A81,T_TTAFStock[WeekIndex],58),BF81+'Grid_Incoming'!BG81-'Grid_Requirement'!BG81))</f>
        <v/>
      </c>
      <c r="BH81">
        <f>IF(COUNTIFS(T_StockCount[RM_Code],$A81,T_StockCount[WeekIndex],59)&gt;0,SUMIFS(T_StockCount[CountedQty],T_StockCount[RM_Code],$A81,T_StockCount[WeekIndex],59),IF((COUNTIFS(T_SelfStock[RM_Code],$A81,T_SelfStock[WeekIndex],59)&gt;0)*(COUNTIFS(T_TTAFStock[RM_Code],$A81,T_TTAFStock[WeekIndex],59)&gt;0)&gt;0,SUMIFS(T_SelfStock[Self_Qty],T_SelfStock[RM_Code],$A81,T_SelfStock[WeekIndex],59)+SUMIFS(T_TTAFStock[TTAF_Qty],T_TTAFStock[RM_Code],$A81,T_TTAFStock[WeekIndex],59),BG81+'Grid_Incoming'!BH81-'Grid_Requirement'!BH81))</f>
        <v/>
      </c>
      <c r="BI81">
        <f>IF(COUNTIFS(T_StockCount[RM_Code],$A81,T_StockCount[WeekIndex],60)&gt;0,SUMIFS(T_StockCount[CountedQty],T_StockCount[RM_Code],$A81,T_StockCount[WeekIndex],60),IF((COUNTIFS(T_SelfStock[RM_Code],$A81,T_SelfStock[WeekIndex],60)&gt;0)*(COUNTIFS(T_TTAFStock[RM_Code],$A81,T_TTAFStock[WeekIndex],60)&gt;0)&gt;0,SUMIFS(T_SelfStock[Self_Qty],T_SelfStock[RM_Code],$A81,T_SelfStock[WeekIndex],60)+SUMIFS(T_TTAFStock[TTAF_Qty],T_TTAFStock[RM_Code],$A81,T_TTAFStock[WeekIndex],60),BH81+'Grid_Incoming'!BI81-'Grid_Requirement'!BI81))</f>
        <v/>
      </c>
      <c r="BJ81">
        <f>IF(COUNTIFS(T_StockCount[RM_Code],$A81,T_StockCount[WeekIndex],61)&gt;0,SUMIFS(T_StockCount[CountedQty],T_StockCount[RM_Code],$A81,T_StockCount[WeekIndex],61),IF((COUNTIFS(T_SelfStock[RM_Code],$A81,T_SelfStock[WeekIndex],61)&gt;0)*(COUNTIFS(T_TTAFStock[RM_Code],$A81,T_TTAFStock[WeekIndex],61)&gt;0)&gt;0,SUMIFS(T_SelfStock[Self_Qty],T_SelfStock[RM_Code],$A81,T_SelfStock[WeekIndex],61)+SUMIFS(T_TTAFStock[TTAF_Qty],T_TTAFStock[RM_Code],$A81,T_TTAFStock[WeekIndex],61),BI81+'Grid_Incoming'!BJ81-'Grid_Requirement'!BJ81))</f>
        <v/>
      </c>
      <c r="BK81">
        <f>IF(COUNTIFS(T_StockCount[RM_Code],$A81,T_StockCount[WeekIndex],62)&gt;0,SUMIFS(T_StockCount[CountedQty],T_StockCount[RM_Code],$A81,T_StockCount[WeekIndex],62),IF((COUNTIFS(T_SelfStock[RM_Code],$A81,T_SelfStock[WeekIndex],62)&gt;0)*(COUNTIFS(T_TTAFStock[RM_Code],$A81,T_TTAFStock[WeekIndex],62)&gt;0)&gt;0,SUMIFS(T_SelfStock[Self_Qty],T_SelfStock[RM_Code],$A81,T_SelfStock[WeekIndex],62)+SUMIFS(T_TTAFStock[TTAF_Qty],T_TTAFStock[RM_Code],$A81,T_TTAFStock[WeekIndex],62),BJ81+'Grid_Incoming'!BK81-'Grid_Requirement'!BK81))</f>
        <v/>
      </c>
      <c r="BL81">
        <f>IF(COUNTIFS(T_StockCount[RM_Code],$A81,T_StockCount[WeekIndex],63)&gt;0,SUMIFS(T_StockCount[CountedQty],T_StockCount[RM_Code],$A81,T_StockCount[WeekIndex],63),IF((COUNTIFS(T_SelfStock[RM_Code],$A81,T_SelfStock[WeekIndex],63)&gt;0)*(COUNTIFS(T_TTAFStock[RM_Code],$A81,T_TTAFStock[WeekIndex],63)&gt;0)&gt;0,SUMIFS(T_SelfStock[Self_Qty],T_SelfStock[RM_Code],$A81,T_SelfStock[WeekIndex],63)+SUMIFS(T_TTAFStock[TTAF_Qty],T_TTAFStock[RM_Code],$A81,T_TTAFStock[WeekIndex],63),BK81+'Grid_Incoming'!BL81-'Grid_Requirement'!BL81))</f>
        <v/>
      </c>
      <c r="BM81">
        <f>IF(COUNTIFS(T_StockCount[RM_Code],$A81,T_StockCount[WeekIndex],64)&gt;0,SUMIFS(T_StockCount[CountedQty],T_StockCount[RM_Code],$A81,T_StockCount[WeekIndex],64),IF((COUNTIFS(T_SelfStock[RM_Code],$A81,T_SelfStock[WeekIndex],64)&gt;0)*(COUNTIFS(T_TTAFStock[RM_Code],$A81,T_TTAFStock[WeekIndex],64)&gt;0)&gt;0,SUMIFS(T_SelfStock[Self_Qty],T_SelfStock[RM_Code],$A81,T_SelfStock[WeekIndex],64)+SUMIFS(T_TTAFStock[TTAF_Qty],T_TTAFStock[RM_Code],$A81,T_TTAFStock[WeekIndex],64),BL81+'Grid_Incoming'!BM81-'Grid_Requirement'!BM81))</f>
        <v/>
      </c>
      <c r="BN81">
        <f>IF(COUNTIFS(T_StockCount[RM_Code],$A81,T_StockCount[WeekIndex],65)&gt;0,SUMIFS(T_StockCount[CountedQty],T_StockCount[RM_Code],$A81,T_StockCount[WeekIndex],65),IF((COUNTIFS(T_SelfStock[RM_Code],$A81,T_SelfStock[WeekIndex],65)&gt;0)*(COUNTIFS(T_TTAFStock[RM_Code],$A81,T_TTAFStock[WeekIndex],65)&gt;0)&gt;0,SUMIFS(T_SelfStock[Self_Qty],T_SelfStock[RM_Code],$A81,T_SelfStock[WeekIndex],65)+SUMIFS(T_TTAFStock[TTAF_Qty],T_TTAFStock[RM_Code],$A81,T_TTAFStock[WeekIndex],65),BM81+'Grid_Incoming'!BN81-'Grid_Requirement'!BN81))</f>
        <v/>
      </c>
      <c r="BO81">
        <f>IF(COUNTIFS(T_StockCount[RM_Code],$A81,T_StockCount[WeekIndex],66)&gt;0,SUMIFS(T_StockCount[CountedQty],T_StockCount[RM_Code],$A81,T_StockCount[WeekIndex],66),IF((COUNTIFS(T_SelfStock[RM_Code],$A81,T_SelfStock[WeekIndex],66)&gt;0)*(COUNTIFS(T_TTAFStock[RM_Code],$A81,T_TTAFStock[WeekIndex],66)&gt;0)&gt;0,SUMIFS(T_SelfStock[Self_Qty],T_SelfStock[RM_Code],$A81,T_SelfStock[WeekIndex],66)+SUMIFS(T_TTAFStock[TTAF_Qty],T_TTAFStock[RM_Code],$A81,T_TTAFStock[WeekIndex],66),BN81+'Grid_Incoming'!BO81-'Grid_Requirement'!BO81))</f>
        <v/>
      </c>
      <c r="BP81">
        <f>IF(COUNTIFS(T_StockCount[RM_Code],$A81,T_StockCount[WeekIndex],67)&gt;0,SUMIFS(T_StockCount[CountedQty],T_StockCount[RM_Code],$A81,T_StockCount[WeekIndex],67),IF((COUNTIFS(T_SelfStock[RM_Code],$A81,T_SelfStock[WeekIndex],67)&gt;0)*(COUNTIFS(T_TTAFStock[RM_Code],$A81,T_TTAFStock[WeekIndex],67)&gt;0)&gt;0,SUMIFS(T_SelfStock[Self_Qty],T_SelfStock[RM_Code],$A81,T_SelfStock[WeekIndex],67)+SUMIFS(T_TTAFStock[TTAF_Qty],T_TTAFStock[RM_Code],$A81,T_TTAFStock[WeekIndex],67),BO81+'Grid_Incoming'!BP81-'Grid_Requirement'!BP81))</f>
        <v/>
      </c>
      <c r="BQ81">
        <f>IF(COUNTIFS(T_StockCount[RM_Code],$A81,T_StockCount[WeekIndex],68)&gt;0,SUMIFS(T_StockCount[CountedQty],T_StockCount[RM_Code],$A81,T_StockCount[WeekIndex],68),IF((COUNTIFS(T_SelfStock[RM_Code],$A81,T_SelfStock[WeekIndex],68)&gt;0)*(COUNTIFS(T_TTAFStock[RM_Code],$A81,T_TTAFStock[WeekIndex],68)&gt;0)&gt;0,SUMIFS(T_SelfStock[Self_Qty],T_SelfStock[RM_Code],$A81,T_SelfStock[WeekIndex],68)+SUMIFS(T_TTAFStock[TTAF_Qty],T_TTAFStock[RM_Code],$A81,T_TTAFStock[WeekIndex],68),BP81+'Grid_Incoming'!BQ81-'Grid_Requirement'!BQ81))</f>
        <v/>
      </c>
      <c r="BR81">
        <f>IF(COUNTIFS(T_StockCount[RM_Code],$A81,T_StockCount[WeekIndex],69)&gt;0,SUMIFS(T_StockCount[CountedQty],T_StockCount[RM_Code],$A81,T_StockCount[WeekIndex],69),IF((COUNTIFS(T_SelfStock[RM_Code],$A81,T_SelfStock[WeekIndex],69)&gt;0)*(COUNTIFS(T_TTAFStock[RM_Code],$A81,T_TTAFStock[WeekIndex],69)&gt;0)&gt;0,SUMIFS(T_SelfStock[Self_Qty],T_SelfStock[RM_Code],$A81,T_SelfStock[WeekIndex],69)+SUMIFS(T_TTAFStock[TTAF_Qty],T_TTAFStock[RM_Code],$A81,T_TTAFStock[WeekIndex],69),BQ81+'Grid_Incoming'!BR81-'Grid_Requirement'!BR81))</f>
        <v/>
      </c>
      <c r="BS81">
        <f>IF(COUNTIFS(T_StockCount[RM_Code],$A81,T_StockCount[WeekIndex],70)&gt;0,SUMIFS(T_StockCount[CountedQty],T_StockCount[RM_Code],$A81,T_StockCount[WeekIndex],70),IF((COUNTIFS(T_SelfStock[RM_Code],$A81,T_SelfStock[WeekIndex],70)&gt;0)*(COUNTIFS(T_TTAFStock[RM_Code],$A81,T_TTAFStock[WeekIndex],70)&gt;0)&gt;0,SUMIFS(T_SelfStock[Self_Qty],T_SelfStock[RM_Code],$A81,T_SelfStock[WeekIndex],70)+SUMIFS(T_TTAFStock[TTAF_Qty],T_TTAFStock[RM_Code],$A81,T_TTAFStock[WeekIndex],70),BR81+'Grid_Incoming'!BS81-'Grid_Requirement'!BS81))</f>
        <v/>
      </c>
      <c r="BT81">
        <f>IF(COUNTIFS(T_StockCount[RM_Code],$A81,T_StockCount[WeekIndex],71)&gt;0,SUMIFS(T_StockCount[CountedQty],T_StockCount[RM_Code],$A81,T_StockCount[WeekIndex],71),IF((COUNTIFS(T_SelfStock[RM_Code],$A81,T_SelfStock[WeekIndex],71)&gt;0)*(COUNTIFS(T_TTAFStock[RM_Code],$A81,T_TTAFStock[WeekIndex],71)&gt;0)&gt;0,SUMIFS(T_SelfStock[Self_Qty],T_SelfStock[RM_Code],$A81,T_SelfStock[WeekIndex],71)+SUMIFS(T_TTAFStock[TTAF_Qty],T_TTAFStock[RM_Code],$A81,T_TTAFStock[WeekIndex],71),BS81+'Grid_Incoming'!BT81-'Grid_Requirement'!BT81))</f>
        <v/>
      </c>
      <c r="BU81">
        <f>IF(COUNTIFS(T_StockCount[RM_Code],$A81,T_StockCount[WeekIndex],72)&gt;0,SUMIFS(T_StockCount[CountedQty],T_StockCount[RM_Code],$A81,T_StockCount[WeekIndex],72),IF((COUNTIFS(T_SelfStock[RM_Code],$A81,T_SelfStock[WeekIndex],72)&gt;0)*(COUNTIFS(T_TTAFStock[RM_Code],$A81,T_TTAFStock[WeekIndex],72)&gt;0)&gt;0,SUMIFS(T_SelfStock[Self_Qty],T_SelfStock[RM_Code],$A81,T_SelfStock[WeekIndex],72)+SUMIFS(T_TTAFStock[TTAF_Qty],T_TTAFStock[RM_Code],$A81,T_TTAFStock[WeekIndex],72),BT81+'Grid_Incoming'!BU81-'Grid_Requirement'!BU81))</f>
        <v/>
      </c>
      <c r="BV81">
        <f>IF(COUNTIFS(T_StockCount[RM_Code],$A81,T_StockCount[WeekIndex],73)&gt;0,SUMIFS(T_StockCount[CountedQty],T_StockCount[RM_Code],$A81,T_StockCount[WeekIndex],73),IF((COUNTIFS(T_SelfStock[RM_Code],$A81,T_SelfStock[WeekIndex],73)&gt;0)*(COUNTIFS(T_TTAFStock[RM_Code],$A81,T_TTAFStock[WeekIndex],73)&gt;0)&gt;0,SUMIFS(T_SelfStock[Self_Qty],T_SelfStock[RM_Code],$A81,T_SelfStock[WeekIndex],73)+SUMIFS(T_TTAFStock[TTAF_Qty],T_TTAFStock[RM_Code],$A81,T_TTAFStock[WeekIndex],73),BU81+'Grid_Incoming'!BV81-'Grid_Requirement'!BV81))</f>
        <v/>
      </c>
      <c r="BW81">
        <f>IF(COUNTIFS(T_StockCount[RM_Code],$A81,T_StockCount[WeekIndex],74)&gt;0,SUMIFS(T_StockCount[CountedQty],T_StockCount[RM_Code],$A81,T_StockCount[WeekIndex],74),IF((COUNTIFS(T_SelfStock[RM_Code],$A81,T_SelfStock[WeekIndex],74)&gt;0)*(COUNTIFS(T_TTAFStock[RM_Code],$A81,T_TTAFStock[WeekIndex],74)&gt;0)&gt;0,SUMIFS(T_SelfStock[Self_Qty],T_SelfStock[RM_Code],$A81,T_SelfStock[WeekIndex],74)+SUMIFS(T_TTAFStock[TTAF_Qty],T_TTAFStock[RM_Code],$A81,T_TTAFStock[WeekIndex],74),BV81+'Grid_Incoming'!BW81-'Grid_Requirement'!BW81))</f>
        <v/>
      </c>
      <c r="BX81">
        <f>IF(COUNTIFS(T_StockCount[RM_Code],$A81,T_StockCount[WeekIndex],75)&gt;0,SUMIFS(T_StockCount[CountedQty],T_StockCount[RM_Code],$A81,T_StockCount[WeekIndex],75),IF((COUNTIFS(T_SelfStock[RM_Code],$A81,T_SelfStock[WeekIndex],75)&gt;0)*(COUNTIFS(T_TTAFStock[RM_Code],$A81,T_TTAFStock[WeekIndex],75)&gt;0)&gt;0,SUMIFS(T_SelfStock[Self_Qty],T_SelfStock[RM_Code],$A81,T_SelfStock[WeekIndex],75)+SUMIFS(T_TTAFStock[TTAF_Qty],T_TTAFStock[RM_Code],$A81,T_TTAFStock[WeekIndex],75),BW81+'Grid_Incoming'!BX81-'Grid_Requirement'!BX81))</f>
        <v/>
      </c>
      <c r="BY81">
        <f>IF(COUNTIFS(T_StockCount[RM_Code],$A81,T_StockCount[WeekIndex],76)&gt;0,SUMIFS(T_StockCount[CountedQty],T_StockCount[RM_Code],$A81,T_StockCount[WeekIndex],76),IF((COUNTIFS(T_SelfStock[RM_Code],$A81,T_SelfStock[WeekIndex],76)&gt;0)*(COUNTIFS(T_TTAFStock[RM_Code],$A81,T_TTAFStock[WeekIndex],76)&gt;0)&gt;0,SUMIFS(T_SelfStock[Self_Qty],T_SelfStock[RM_Code],$A81,T_SelfStock[WeekIndex],76)+SUMIFS(T_TTAFStock[TTAF_Qty],T_TTAFStock[RM_Code],$A81,T_TTAFStock[WeekIndex],76),BX81+'Grid_Incoming'!BY81-'Grid_Requirement'!BY81))</f>
        <v/>
      </c>
      <c r="BZ81">
        <f>IF(COUNTIFS(T_StockCount[RM_Code],$A81,T_StockCount[WeekIndex],77)&gt;0,SUMIFS(T_StockCount[CountedQty],T_StockCount[RM_Code],$A81,T_StockCount[WeekIndex],77),IF((COUNTIFS(T_SelfStock[RM_Code],$A81,T_SelfStock[WeekIndex],77)&gt;0)*(COUNTIFS(T_TTAFStock[RM_Code],$A81,T_TTAFStock[WeekIndex],77)&gt;0)&gt;0,SUMIFS(T_SelfStock[Self_Qty],T_SelfStock[RM_Code],$A81,T_SelfStock[WeekIndex],77)+SUMIFS(T_TTAFStock[TTAF_Qty],T_TTAFStock[RM_Code],$A81,T_TTAFStock[WeekIndex],77),BY81+'Grid_Incoming'!BZ81-'Grid_Requirement'!BZ81))</f>
        <v/>
      </c>
      <c r="CA81">
        <f>IF(COUNTIFS(T_StockCount[RM_Code],$A81,T_StockCount[WeekIndex],78)&gt;0,SUMIFS(T_StockCount[CountedQty],T_StockCount[RM_Code],$A81,T_StockCount[WeekIndex],78),IF((COUNTIFS(T_SelfStock[RM_Code],$A81,T_SelfStock[WeekIndex],78)&gt;0)*(COUNTIFS(T_TTAFStock[RM_Code],$A81,T_TTAFStock[WeekIndex],78)&gt;0)&gt;0,SUMIFS(T_SelfStock[Self_Qty],T_SelfStock[RM_Code],$A81,T_SelfStock[WeekIndex],78)+SUMIFS(T_TTAFStock[TTAF_Qty],T_TTAFStock[RM_Code],$A81,T_TTAFStock[WeekIndex],78),BZ81+'Grid_Incoming'!CA81-'Grid_Requirement'!CA81))</f>
        <v/>
      </c>
      <c r="CB81">
        <f>IF(COUNTIFS(T_StockCount[RM_Code],$A81,T_StockCount[WeekIndex],79)&gt;0,SUMIFS(T_StockCount[CountedQty],T_StockCount[RM_Code],$A81,T_StockCount[WeekIndex],79),IF((COUNTIFS(T_SelfStock[RM_Code],$A81,T_SelfStock[WeekIndex],79)&gt;0)*(COUNTIFS(T_TTAFStock[RM_Code],$A81,T_TTAFStock[WeekIndex],79)&gt;0)&gt;0,SUMIFS(T_SelfStock[Self_Qty],T_SelfStock[RM_Code],$A81,T_SelfStock[WeekIndex],79)+SUMIFS(T_TTAFStock[TTAF_Qty],T_TTAFStock[RM_Code],$A81,T_TTAFStock[WeekIndex],79),CA81+'Grid_Incoming'!CB81-'Grid_Requirement'!CB81))</f>
        <v/>
      </c>
      <c r="CC81">
        <f>IF(COUNTIFS(T_StockCount[RM_Code],$A81,T_StockCount[WeekIndex],80)&gt;0,SUMIFS(T_StockCount[CountedQty],T_StockCount[RM_Code],$A81,T_StockCount[WeekIndex],80),IF((COUNTIFS(T_SelfStock[RM_Code],$A81,T_SelfStock[WeekIndex],80)&gt;0)*(COUNTIFS(T_TTAFStock[RM_Code],$A81,T_TTAFStock[WeekIndex],80)&gt;0)&gt;0,SUMIFS(T_SelfStock[Self_Qty],T_SelfStock[RM_Code],$A81,T_SelfStock[WeekIndex],80)+SUMIFS(T_TTAFStock[TTAF_Qty],T_TTAFStock[RM_Code],$A81,T_TTAFStock[WeekIndex],80),CB81+'Grid_Incoming'!CC81-'Grid_Requirement'!CC81))</f>
        <v/>
      </c>
      <c r="CD81">
        <f>IF(COUNTIFS(T_StockCount[RM_Code],$A81,T_StockCount[WeekIndex],81)&gt;0,SUMIFS(T_StockCount[CountedQty],T_StockCount[RM_Code],$A81,T_StockCount[WeekIndex],81),IF((COUNTIFS(T_SelfStock[RM_Code],$A81,T_SelfStock[WeekIndex],81)&gt;0)*(COUNTIFS(T_TTAFStock[RM_Code],$A81,T_TTAFStock[WeekIndex],81)&gt;0)&gt;0,SUMIFS(T_SelfStock[Self_Qty],T_SelfStock[RM_Code],$A81,T_SelfStock[WeekIndex],81)+SUMIFS(T_TTAFStock[TTAF_Qty],T_TTAFStock[RM_Code],$A81,T_TTAFStock[WeekIndex],81),CC81+'Grid_Incoming'!CD81-'Grid_Requirement'!CD81))</f>
        <v/>
      </c>
      <c r="CE81">
        <f>IF(COUNTIFS(T_StockCount[RM_Code],$A81,T_StockCount[WeekIndex],82)&gt;0,SUMIFS(T_StockCount[CountedQty],T_StockCount[RM_Code],$A81,T_StockCount[WeekIndex],82),IF((COUNTIFS(T_SelfStock[RM_Code],$A81,T_SelfStock[WeekIndex],82)&gt;0)*(COUNTIFS(T_TTAFStock[RM_Code],$A81,T_TTAFStock[WeekIndex],82)&gt;0)&gt;0,SUMIFS(T_SelfStock[Self_Qty],T_SelfStock[RM_Code],$A81,T_SelfStock[WeekIndex],82)+SUMIFS(T_TTAFStock[TTAF_Qty],T_TTAFStock[RM_Code],$A81,T_TTAFStock[WeekIndex],82),CD81+'Grid_Incoming'!CE81-'Grid_Requirement'!CE81))</f>
        <v/>
      </c>
      <c r="CF81">
        <f>IF(COUNTIFS(T_StockCount[RM_Code],$A81,T_StockCount[WeekIndex],83)&gt;0,SUMIFS(T_StockCount[CountedQty],T_StockCount[RM_Code],$A81,T_StockCount[WeekIndex],83),IF((COUNTIFS(T_SelfStock[RM_Code],$A81,T_SelfStock[WeekIndex],83)&gt;0)*(COUNTIFS(T_TTAFStock[RM_Code],$A81,T_TTAFStock[WeekIndex],83)&gt;0)&gt;0,SUMIFS(T_SelfStock[Self_Qty],T_SelfStock[RM_Code],$A81,T_SelfStock[WeekIndex],83)+SUMIFS(T_TTAFStock[TTAF_Qty],T_TTAFStock[RM_Code],$A81,T_TTAFStock[WeekIndex],83),CE81+'Grid_Incoming'!CF81-'Grid_Requirement'!CF81))</f>
        <v/>
      </c>
      <c r="CG81">
        <f>IF(COUNTIFS(T_StockCount[RM_Code],$A81,T_StockCount[WeekIndex],84)&gt;0,SUMIFS(T_StockCount[CountedQty],T_StockCount[RM_Code],$A81,T_StockCount[WeekIndex],84),IF((COUNTIFS(T_SelfStock[RM_Code],$A81,T_SelfStock[WeekIndex],84)&gt;0)*(COUNTIFS(T_TTAFStock[RM_Code],$A81,T_TTAFStock[WeekIndex],84)&gt;0)&gt;0,SUMIFS(T_SelfStock[Self_Qty],T_SelfStock[RM_Code],$A81,T_SelfStock[WeekIndex],84)+SUMIFS(T_TTAFStock[TTAF_Qty],T_TTAFStock[RM_Code],$A81,T_TTAFStock[WeekIndex],84),CF81+'Grid_Incoming'!CG81-'Grid_Requirement'!CG81))</f>
        <v/>
      </c>
      <c r="CH81">
        <f>IF(COUNTIFS(T_StockCount[RM_Code],$A81,T_StockCount[WeekIndex],85)&gt;0,SUMIFS(T_StockCount[CountedQty],T_StockCount[RM_Code],$A81,T_StockCount[WeekIndex],85),IF((COUNTIFS(T_SelfStock[RM_Code],$A81,T_SelfStock[WeekIndex],85)&gt;0)*(COUNTIFS(T_TTAFStock[RM_Code],$A81,T_TTAFStock[WeekIndex],85)&gt;0)&gt;0,SUMIFS(T_SelfStock[Self_Qty],T_SelfStock[RM_Code],$A81,T_SelfStock[WeekIndex],85)+SUMIFS(T_TTAFStock[TTAF_Qty],T_TTAFStock[RM_Code],$A81,T_TTAFStock[WeekIndex],85),CG81+'Grid_Incoming'!CH81-'Grid_Requirement'!CH81))</f>
        <v/>
      </c>
      <c r="CI81">
        <f>IF(COUNTIFS(T_StockCount[RM_Code],$A81,T_StockCount[WeekIndex],86)&gt;0,SUMIFS(T_StockCount[CountedQty],T_StockCount[RM_Code],$A81,T_StockCount[WeekIndex],86),IF((COUNTIFS(T_SelfStock[RM_Code],$A81,T_SelfStock[WeekIndex],86)&gt;0)*(COUNTIFS(T_TTAFStock[RM_Code],$A81,T_TTAFStock[WeekIndex],86)&gt;0)&gt;0,SUMIFS(T_SelfStock[Self_Qty],T_SelfStock[RM_Code],$A81,T_SelfStock[WeekIndex],86)+SUMIFS(T_TTAFStock[TTAF_Qty],T_TTAFStock[RM_Code],$A81,T_TTAFStock[WeekIndex],86),CH81+'Grid_Incoming'!CI81-'Grid_Requirement'!CI81))</f>
        <v/>
      </c>
      <c r="CJ81">
        <f>IF(COUNTIFS(T_StockCount[RM_Code],$A81,T_StockCount[WeekIndex],87)&gt;0,SUMIFS(T_StockCount[CountedQty],T_StockCount[RM_Code],$A81,T_StockCount[WeekIndex],87),IF((COUNTIFS(T_SelfStock[RM_Code],$A81,T_SelfStock[WeekIndex],87)&gt;0)*(COUNTIFS(T_TTAFStock[RM_Code],$A81,T_TTAFStock[WeekIndex],87)&gt;0)&gt;0,SUMIFS(T_SelfStock[Self_Qty],T_SelfStock[RM_Code],$A81,T_SelfStock[WeekIndex],87)+SUMIFS(T_TTAFStock[TTAF_Qty],T_TTAFStock[RM_Code],$A81,T_TTAFStock[WeekIndex],87),CI81+'Grid_Incoming'!CJ81-'Grid_Requirement'!CJ81))</f>
        <v/>
      </c>
      <c r="CK81">
        <f>IF(COUNTIFS(T_StockCount[RM_Code],$A81,T_StockCount[WeekIndex],88)&gt;0,SUMIFS(T_StockCount[CountedQty],T_StockCount[RM_Code],$A81,T_StockCount[WeekIndex],88),IF((COUNTIFS(T_SelfStock[RM_Code],$A81,T_SelfStock[WeekIndex],88)&gt;0)*(COUNTIFS(T_TTAFStock[RM_Code],$A81,T_TTAFStock[WeekIndex],88)&gt;0)&gt;0,SUMIFS(T_SelfStock[Self_Qty],T_SelfStock[RM_Code],$A81,T_SelfStock[WeekIndex],88)+SUMIFS(T_TTAFStock[TTAF_Qty],T_TTAFStock[RM_Code],$A81,T_TTAFStock[WeekIndex],88),CJ81+'Grid_Incoming'!CK81-'Grid_Requirement'!CK81))</f>
        <v/>
      </c>
      <c r="CL81">
        <f>IF(COUNTIFS(T_StockCount[RM_Code],$A81,T_StockCount[WeekIndex],89)&gt;0,SUMIFS(T_StockCount[CountedQty],T_StockCount[RM_Code],$A81,T_StockCount[WeekIndex],89),IF((COUNTIFS(T_SelfStock[RM_Code],$A81,T_SelfStock[WeekIndex],89)&gt;0)*(COUNTIFS(T_TTAFStock[RM_Code],$A81,T_TTAFStock[WeekIndex],89)&gt;0)&gt;0,SUMIFS(T_SelfStock[Self_Qty],T_SelfStock[RM_Code],$A81,T_SelfStock[WeekIndex],89)+SUMIFS(T_TTAFStock[TTAF_Qty],T_TTAFStock[RM_Code],$A81,T_TTAFStock[WeekIndex],89),CK81+'Grid_Incoming'!CL81-'Grid_Requirement'!CL81))</f>
        <v/>
      </c>
      <c r="CM81">
        <f>IF(COUNTIFS(T_StockCount[RM_Code],$A81,T_StockCount[WeekIndex],90)&gt;0,SUMIFS(T_StockCount[CountedQty],T_StockCount[RM_Code],$A81,T_StockCount[WeekIndex],90),IF((COUNTIFS(T_SelfStock[RM_Code],$A81,T_SelfStock[WeekIndex],90)&gt;0)*(COUNTIFS(T_TTAFStock[RM_Code],$A81,T_TTAFStock[WeekIndex],90)&gt;0)&gt;0,SUMIFS(T_SelfStock[Self_Qty],T_SelfStock[RM_Code],$A81,T_SelfStock[WeekIndex],90)+SUMIFS(T_TTAFStock[TTAF_Qty],T_TTAFStock[RM_Code],$A81,T_TTAFStock[WeekIndex],90),CL81+'Grid_Incoming'!CM81-'Grid_Requirement'!CM81))</f>
        <v/>
      </c>
      <c r="CN81">
        <f>IF(COUNTIFS(T_StockCount[RM_Code],$A81,T_StockCount[WeekIndex],91)&gt;0,SUMIFS(T_StockCount[CountedQty],T_StockCount[RM_Code],$A81,T_StockCount[WeekIndex],91),IF((COUNTIFS(T_SelfStock[RM_Code],$A81,T_SelfStock[WeekIndex],91)&gt;0)*(COUNTIFS(T_TTAFStock[RM_Code],$A81,T_TTAFStock[WeekIndex],91)&gt;0)&gt;0,SUMIFS(T_SelfStock[Self_Qty],T_SelfStock[RM_Code],$A81,T_SelfStock[WeekIndex],91)+SUMIFS(T_TTAFStock[TTAF_Qty],T_TTAFStock[RM_Code],$A81,T_TTAFStock[WeekIndex],91),CM81+'Grid_Incoming'!CN81-'Grid_Requirement'!CN81))</f>
        <v/>
      </c>
      <c r="CO81">
        <f>IF(COUNTIFS(T_StockCount[RM_Code],$A81,T_StockCount[WeekIndex],92)&gt;0,SUMIFS(T_StockCount[CountedQty],T_StockCount[RM_Code],$A81,T_StockCount[WeekIndex],92),IF((COUNTIFS(T_SelfStock[RM_Code],$A81,T_SelfStock[WeekIndex],92)&gt;0)*(COUNTIFS(T_TTAFStock[RM_Code],$A81,T_TTAFStock[WeekIndex],92)&gt;0)&gt;0,SUMIFS(T_SelfStock[Self_Qty],T_SelfStock[RM_Code],$A81,T_SelfStock[WeekIndex],92)+SUMIFS(T_TTAFStock[TTAF_Qty],T_TTAFStock[RM_Code],$A81,T_TTAFStock[WeekIndex],92),CN81+'Grid_Incoming'!CO81-'Grid_Requirement'!CO81))</f>
        <v/>
      </c>
      <c r="CP81">
        <f>IF(COUNTIFS(T_StockCount[RM_Code],$A81,T_StockCount[WeekIndex],93)&gt;0,SUMIFS(T_StockCount[CountedQty],T_StockCount[RM_Code],$A81,T_StockCount[WeekIndex],93),IF((COUNTIFS(T_SelfStock[RM_Code],$A81,T_SelfStock[WeekIndex],93)&gt;0)*(COUNTIFS(T_TTAFStock[RM_Code],$A81,T_TTAFStock[WeekIndex],93)&gt;0)&gt;0,SUMIFS(T_SelfStock[Self_Qty],T_SelfStock[RM_Code],$A81,T_SelfStock[WeekIndex],93)+SUMIFS(T_TTAFStock[TTAF_Qty],T_TTAFStock[RM_Code],$A81,T_TTAFStock[WeekIndex],93),CO81+'Grid_Incoming'!CP81-'Grid_Requirement'!CP81))</f>
        <v/>
      </c>
      <c r="CQ81">
        <f>IF(COUNTIFS(T_StockCount[RM_Code],$A81,T_StockCount[WeekIndex],94)&gt;0,SUMIFS(T_StockCount[CountedQty],T_StockCount[RM_Code],$A81,T_StockCount[WeekIndex],94),IF((COUNTIFS(T_SelfStock[RM_Code],$A81,T_SelfStock[WeekIndex],94)&gt;0)*(COUNTIFS(T_TTAFStock[RM_Code],$A81,T_TTAFStock[WeekIndex],94)&gt;0)&gt;0,SUMIFS(T_SelfStock[Self_Qty],T_SelfStock[RM_Code],$A81,T_SelfStock[WeekIndex],94)+SUMIFS(T_TTAFStock[TTAF_Qty],T_TTAFStock[RM_Code],$A81,T_TTAFStock[WeekIndex],94),CP81+'Grid_Incoming'!CQ81-'Grid_Requirement'!CQ81))</f>
        <v/>
      </c>
      <c r="CR81">
        <f>IF(COUNTIFS(T_StockCount[RM_Code],$A81,T_StockCount[WeekIndex],95)&gt;0,SUMIFS(T_StockCount[CountedQty],T_StockCount[RM_Code],$A81,T_StockCount[WeekIndex],95),IF((COUNTIFS(T_SelfStock[RM_Code],$A81,T_SelfStock[WeekIndex],95)&gt;0)*(COUNTIFS(T_TTAFStock[RM_Code],$A81,T_TTAFStock[WeekIndex],95)&gt;0)&gt;0,SUMIFS(T_SelfStock[Self_Qty],T_SelfStock[RM_Code],$A81,T_SelfStock[WeekIndex],95)+SUMIFS(T_TTAFStock[TTAF_Qty],T_TTAFStock[RM_Code],$A81,T_TTAFStock[WeekIndex],95),CQ81+'Grid_Incoming'!CR81-'Grid_Requirement'!CR81))</f>
        <v/>
      </c>
      <c r="CS81">
        <f>IF(COUNTIFS(T_StockCount[RM_Code],$A81,T_StockCount[WeekIndex],96)&gt;0,SUMIFS(T_StockCount[CountedQty],T_StockCount[RM_Code],$A81,T_StockCount[WeekIndex],96),IF((COUNTIFS(T_SelfStock[RM_Code],$A81,T_SelfStock[WeekIndex],96)&gt;0)*(COUNTIFS(T_TTAFStock[RM_Code],$A81,T_TTAFStock[WeekIndex],96)&gt;0)&gt;0,SUMIFS(T_SelfStock[Self_Qty],T_SelfStock[RM_Code],$A81,T_SelfStock[WeekIndex],96)+SUMIFS(T_TTAFStock[TTAF_Qty],T_TTAFStock[RM_Code],$A81,T_TTAFStock[WeekIndex],96),CR81+'Grid_Incoming'!CS81-'Grid_Requirement'!CS81))</f>
        <v/>
      </c>
      <c r="CT81">
        <f>IF(COUNTIFS(T_StockCount[RM_Code],$A81,T_StockCount[WeekIndex],97)&gt;0,SUMIFS(T_StockCount[CountedQty],T_StockCount[RM_Code],$A81,T_StockCount[WeekIndex],97),IF((COUNTIFS(T_SelfStock[RM_Code],$A81,T_SelfStock[WeekIndex],97)&gt;0)*(COUNTIFS(T_TTAFStock[RM_Code],$A81,T_TTAFStock[WeekIndex],97)&gt;0)&gt;0,SUMIFS(T_SelfStock[Self_Qty],T_SelfStock[RM_Code],$A81,T_SelfStock[WeekIndex],97)+SUMIFS(T_TTAFStock[TTAF_Qty],T_TTAFStock[RM_Code],$A81,T_TTAFStock[WeekIndex],97),CS81+'Grid_Incoming'!CT81-'Grid_Requirement'!CT81))</f>
        <v/>
      </c>
      <c r="CU81">
        <f>IF(COUNTIFS(T_StockCount[RM_Code],$A81,T_StockCount[WeekIndex],98)&gt;0,SUMIFS(T_StockCount[CountedQty],T_StockCount[RM_Code],$A81,T_StockCount[WeekIndex],98),IF((COUNTIFS(T_SelfStock[RM_Code],$A81,T_SelfStock[WeekIndex],98)&gt;0)*(COUNTIFS(T_TTAFStock[RM_Code],$A81,T_TTAFStock[WeekIndex],98)&gt;0)&gt;0,SUMIFS(T_SelfStock[Self_Qty],T_SelfStock[RM_Code],$A81,T_SelfStock[WeekIndex],98)+SUMIFS(T_TTAFStock[TTAF_Qty],T_TTAFStock[RM_Code],$A81,T_TTAFStock[WeekIndex],98),CT81+'Grid_Incoming'!CU81-'Grid_Requirement'!CU81))</f>
        <v/>
      </c>
      <c r="CV81">
        <f>IF(COUNTIFS(T_StockCount[RM_Code],$A81,T_StockCount[WeekIndex],99)&gt;0,SUMIFS(T_StockCount[CountedQty],T_StockCount[RM_Code],$A81,T_StockCount[WeekIndex],99),IF((COUNTIFS(T_SelfStock[RM_Code],$A81,T_SelfStock[WeekIndex],99)&gt;0)*(COUNTIFS(T_TTAFStock[RM_Code],$A81,T_TTAFStock[WeekIndex],99)&gt;0)&gt;0,SUMIFS(T_SelfStock[Self_Qty],T_SelfStock[RM_Code],$A81,T_SelfStock[WeekIndex],99)+SUMIFS(T_TTAFStock[TTAF_Qty],T_TTAFStock[RM_Code],$A81,T_TTAFStock[WeekIndex],99),CU81+'Grid_Incoming'!CV81-'Grid_Requirement'!CV81))</f>
        <v/>
      </c>
      <c r="CW81">
        <f>IF(COUNTIFS(T_StockCount[RM_Code],$A81,T_StockCount[WeekIndex],100)&gt;0,SUMIFS(T_StockCount[CountedQty],T_StockCount[RM_Code],$A81,T_StockCount[WeekIndex],100),IF((COUNTIFS(T_SelfStock[RM_Code],$A81,T_SelfStock[WeekIndex],100)&gt;0)*(COUNTIFS(T_TTAFStock[RM_Code],$A81,T_TTAFStock[WeekIndex],100)&gt;0)&gt;0,SUMIFS(T_SelfStock[Self_Qty],T_SelfStock[RM_Code],$A81,T_SelfStock[WeekIndex],100)+SUMIFS(T_TTAFStock[TTAF_Qty],T_TTAFStock[RM_Code],$A81,T_TTAFStock[WeekIndex],100),CV81+'Grid_Incoming'!CW81-'Grid_Requirement'!CW81))</f>
        <v/>
      </c>
      <c r="CX81">
        <f>IF(COUNTIFS(T_StockCount[RM_Code],$A81,T_StockCount[WeekIndex],101)&gt;0,SUMIFS(T_StockCount[CountedQty],T_StockCount[RM_Code],$A81,T_StockCount[WeekIndex],101),IF((COUNTIFS(T_SelfStock[RM_Code],$A81,T_SelfStock[WeekIndex],101)&gt;0)*(COUNTIFS(T_TTAFStock[RM_Code],$A81,T_TTAFStock[WeekIndex],101)&gt;0)&gt;0,SUMIFS(T_SelfStock[Self_Qty],T_SelfStock[RM_Code],$A81,T_SelfStock[WeekIndex],101)+SUMIFS(T_TTAFStock[TTAF_Qty],T_TTAFStock[RM_Code],$A81,T_TTAFStock[WeekIndex],101),CW81+'Grid_Incoming'!CX81-'Grid_Requirement'!CX81))</f>
        <v/>
      </c>
      <c r="CY81">
        <f>IF(COUNTIFS(T_StockCount[RM_Code],$A81,T_StockCount[WeekIndex],102)&gt;0,SUMIFS(T_StockCount[CountedQty],T_StockCount[RM_Code],$A81,T_StockCount[WeekIndex],102),IF((COUNTIFS(T_SelfStock[RM_Code],$A81,T_SelfStock[WeekIndex],102)&gt;0)*(COUNTIFS(T_TTAFStock[RM_Code],$A81,T_TTAFStock[WeekIndex],102)&gt;0)&gt;0,SUMIFS(T_SelfStock[Self_Qty],T_SelfStock[RM_Code],$A81,T_SelfStock[WeekIndex],102)+SUMIFS(T_TTAFStock[TTAF_Qty],T_TTAFStock[RM_Code],$A81,T_TTAFStock[WeekIndex],102),CX81+'Grid_Incoming'!CY81-'Grid_Requirement'!CY81))</f>
        <v/>
      </c>
      <c r="CZ81">
        <f>IF(COUNTIFS(T_StockCount[RM_Code],$A81,T_StockCount[WeekIndex],103)&gt;0,SUMIFS(T_StockCount[CountedQty],T_StockCount[RM_Code],$A81,T_StockCount[WeekIndex],103),IF((COUNTIFS(T_SelfStock[RM_Code],$A81,T_SelfStock[WeekIndex],103)&gt;0)*(COUNTIFS(T_TTAFStock[RM_Code],$A81,T_TTAFStock[WeekIndex],103)&gt;0)&gt;0,SUMIFS(T_SelfStock[Self_Qty],T_SelfStock[RM_Code],$A81,T_SelfStock[WeekIndex],103)+SUMIFS(T_TTAFStock[TTAF_Qty],T_TTAFStock[RM_Code],$A81,T_TTAFStock[WeekIndex],103),CY81+'Grid_Incoming'!CZ81-'Grid_Requirement'!CZ81))</f>
        <v/>
      </c>
      <c r="DA81">
        <f>IF(COUNTIFS(T_StockCount[RM_Code],$A81,T_StockCount[WeekIndex],104)&gt;0,SUMIFS(T_StockCount[CountedQty],T_StockCount[RM_Code],$A81,T_StockCount[WeekIndex],104),IF((COUNTIFS(T_SelfStock[RM_Code],$A81,T_SelfStock[WeekIndex],104)&gt;0)*(COUNTIFS(T_TTAFStock[RM_Code],$A81,T_TTAFStock[WeekIndex],104)&gt;0)&gt;0,SUMIFS(T_SelfStock[Self_Qty],T_SelfStock[RM_Code],$A81,T_SelfStock[WeekIndex],104)+SUMIFS(T_TTAFStock[TTAF_Qty],T_TTAFStock[RM_Code],$A81,T_TTAFStock[WeekIndex],104),CZ81+'Grid_Incoming'!DA81-'Grid_Requirement'!DA81))</f>
        <v/>
      </c>
    </row>
    <row r="82">
      <c r="A82" t="inlineStr">
        <is>
          <t>A043</t>
        </is>
      </c>
      <c r="B82">
        <f>IF(COUNTIFS(T_StockCount[RM_Code],$A82,T_StockCount[WeekIndex],1)&gt;0,SUMIFS(T_StockCount[CountedQty],T_StockCount[RM_Code],$A82,T_StockCount[WeekIndex],1),IF((COUNTIFS(T_SelfStock[RM_Code],$A82,T_SelfStock[WeekIndex],1)&gt;0)*(COUNTIFS(T_TTAFStock[RM_Code],$A82,T_TTAFStock[WeekIndex],1)&gt;0)&gt;0,SUMIFS(T_SelfStock[Self_Qty],T_SelfStock[RM_Code],$A82,T_SelfStock[WeekIndex],1)+SUMIFS(T_TTAFStock[TTAF_Qty],T_TTAFStock[RM_Code],$A82,T_TTAFStock[WeekIndex],1),IFERROR(INDEX(T_OpeningStock[Opening_Qty],MATCH($A82,T_OpeningStock[RM_Code],0)),0)+'Grid_Incoming'!B82-'Grid_Requirement'!B82))</f>
        <v/>
      </c>
      <c r="C82">
        <f>IF(COUNTIFS(T_StockCount[RM_Code],$A82,T_StockCount[WeekIndex],2)&gt;0,SUMIFS(T_StockCount[CountedQty],T_StockCount[RM_Code],$A82,T_StockCount[WeekIndex],2),IF((COUNTIFS(T_SelfStock[RM_Code],$A82,T_SelfStock[WeekIndex],2)&gt;0)*(COUNTIFS(T_TTAFStock[RM_Code],$A82,T_TTAFStock[WeekIndex],2)&gt;0)&gt;0,SUMIFS(T_SelfStock[Self_Qty],T_SelfStock[RM_Code],$A82,T_SelfStock[WeekIndex],2)+SUMIFS(T_TTAFStock[TTAF_Qty],T_TTAFStock[RM_Code],$A82,T_TTAFStock[WeekIndex],2),B82+'Grid_Incoming'!C82-'Grid_Requirement'!C82))</f>
        <v/>
      </c>
      <c r="D82">
        <f>IF(COUNTIFS(T_StockCount[RM_Code],$A82,T_StockCount[WeekIndex],3)&gt;0,SUMIFS(T_StockCount[CountedQty],T_StockCount[RM_Code],$A82,T_StockCount[WeekIndex],3),IF((COUNTIFS(T_SelfStock[RM_Code],$A82,T_SelfStock[WeekIndex],3)&gt;0)*(COUNTIFS(T_TTAFStock[RM_Code],$A82,T_TTAFStock[WeekIndex],3)&gt;0)&gt;0,SUMIFS(T_SelfStock[Self_Qty],T_SelfStock[RM_Code],$A82,T_SelfStock[WeekIndex],3)+SUMIFS(T_TTAFStock[TTAF_Qty],T_TTAFStock[RM_Code],$A82,T_TTAFStock[WeekIndex],3),C82+'Grid_Incoming'!D82-'Grid_Requirement'!D82))</f>
        <v/>
      </c>
      <c r="E82">
        <f>IF(COUNTIFS(T_StockCount[RM_Code],$A82,T_StockCount[WeekIndex],4)&gt;0,SUMIFS(T_StockCount[CountedQty],T_StockCount[RM_Code],$A82,T_StockCount[WeekIndex],4),IF((COUNTIFS(T_SelfStock[RM_Code],$A82,T_SelfStock[WeekIndex],4)&gt;0)*(COUNTIFS(T_TTAFStock[RM_Code],$A82,T_TTAFStock[WeekIndex],4)&gt;0)&gt;0,SUMIFS(T_SelfStock[Self_Qty],T_SelfStock[RM_Code],$A82,T_SelfStock[WeekIndex],4)+SUMIFS(T_TTAFStock[TTAF_Qty],T_TTAFStock[RM_Code],$A82,T_TTAFStock[WeekIndex],4),D82+'Grid_Incoming'!E82-'Grid_Requirement'!E82))</f>
        <v/>
      </c>
      <c r="F82">
        <f>IF(COUNTIFS(T_StockCount[RM_Code],$A82,T_StockCount[WeekIndex],5)&gt;0,SUMIFS(T_StockCount[CountedQty],T_StockCount[RM_Code],$A82,T_StockCount[WeekIndex],5),IF((COUNTIFS(T_SelfStock[RM_Code],$A82,T_SelfStock[WeekIndex],5)&gt;0)*(COUNTIFS(T_TTAFStock[RM_Code],$A82,T_TTAFStock[WeekIndex],5)&gt;0)&gt;0,SUMIFS(T_SelfStock[Self_Qty],T_SelfStock[RM_Code],$A82,T_SelfStock[WeekIndex],5)+SUMIFS(T_TTAFStock[TTAF_Qty],T_TTAFStock[RM_Code],$A82,T_TTAFStock[WeekIndex],5),E82+'Grid_Incoming'!F82-'Grid_Requirement'!F82))</f>
        <v/>
      </c>
      <c r="G82">
        <f>IF(COUNTIFS(T_StockCount[RM_Code],$A82,T_StockCount[WeekIndex],6)&gt;0,SUMIFS(T_StockCount[CountedQty],T_StockCount[RM_Code],$A82,T_StockCount[WeekIndex],6),IF((COUNTIFS(T_SelfStock[RM_Code],$A82,T_SelfStock[WeekIndex],6)&gt;0)*(COUNTIFS(T_TTAFStock[RM_Code],$A82,T_TTAFStock[WeekIndex],6)&gt;0)&gt;0,SUMIFS(T_SelfStock[Self_Qty],T_SelfStock[RM_Code],$A82,T_SelfStock[WeekIndex],6)+SUMIFS(T_TTAFStock[TTAF_Qty],T_TTAFStock[RM_Code],$A82,T_TTAFStock[WeekIndex],6),F82+'Grid_Incoming'!G82-'Grid_Requirement'!G82))</f>
        <v/>
      </c>
      <c r="H82">
        <f>IF(COUNTIFS(T_StockCount[RM_Code],$A82,T_StockCount[WeekIndex],7)&gt;0,SUMIFS(T_StockCount[CountedQty],T_StockCount[RM_Code],$A82,T_StockCount[WeekIndex],7),IF((COUNTIFS(T_SelfStock[RM_Code],$A82,T_SelfStock[WeekIndex],7)&gt;0)*(COUNTIFS(T_TTAFStock[RM_Code],$A82,T_TTAFStock[WeekIndex],7)&gt;0)&gt;0,SUMIFS(T_SelfStock[Self_Qty],T_SelfStock[RM_Code],$A82,T_SelfStock[WeekIndex],7)+SUMIFS(T_TTAFStock[TTAF_Qty],T_TTAFStock[RM_Code],$A82,T_TTAFStock[WeekIndex],7),G82+'Grid_Incoming'!H82-'Grid_Requirement'!H82))</f>
        <v/>
      </c>
      <c r="I82">
        <f>IF(COUNTIFS(T_StockCount[RM_Code],$A82,T_StockCount[WeekIndex],8)&gt;0,SUMIFS(T_StockCount[CountedQty],T_StockCount[RM_Code],$A82,T_StockCount[WeekIndex],8),IF((COUNTIFS(T_SelfStock[RM_Code],$A82,T_SelfStock[WeekIndex],8)&gt;0)*(COUNTIFS(T_TTAFStock[RM_Code],$A82,T_TTAFStock[WeekIndex],8)&gt;0)&gt;0,SUMIFS(T_SelfStock[Self_Qty],T_SelfStock[RM_Code],$A82,T_SelfStock[WeekIndex],8)+SUMIFS(T_TTAFStock[TTAF_Qty],T_TTAFStock[RM_Code],$A82,T_TTAFStock[WeekIndex],8),H82+'Grid_Incoming'!I82-'Grid_Requirement'!I82))</f>
        <v/>
      </c>
      <c r="J82">
        <f>IF(COUNTIFS(T_StockCount[RM_Code],$A82,T_StockCount[WeekIndex],9)&gt;0,SUMIFS(T_StockCount[CountedQty],T_StockCount[RM_Code],$A82,T_StockCount[WeekIndex],9),IF((COUNTIFS(T_SelfStock[RM_Code],$A82,T_SelfStock[WeekIndex],9)&gt;0)*(COUNTIFS(T_TTAFStock[RM_Code],$A82,T_TTAFStock[WeekIndex],9)&gt;0)&gt;0,SUMIFS(T_SelfStock[Self_Qty],T_SelfStock[RM_Code],$A82,T_SelfStock[WeekIndex],9)+SUMIFS(T_TTAFStock[TTAF_Qty],T_TTAFStock[RM_Code],$A82,T_TTAFStock[WeekIndex],9),I82+'Grid_Incoming'!J82-'Grid_Requirement'!J82))</f>
        <v/>
      </c>
      <c r="K82">
        <f>IF(COUNTIFS(T_StockCount[RM_Code],$A82,T_StockCount[WeekIndex],10)&gt;0,SUMIFS(T_StockCount[CountedQty],T_StockCount[RM_Code],$A82,T_StockCount[WeekIndex],10),IF((COUNTIFS(T_SelfStock[RM_Code],$A82,T_SelfStock[WeekIndex],10)&gt;0)*(COUNTIFS(T_TTAFStock[RM_Code],$A82,T_TTAFStock[WeekIndex],10)&gt;0)&gt;0,SUMIFS(T_SelfStock[Self_Qty],T_SelfStock[RM_Code],$A82,T_SelfStock[WeekIndex],10)+SUMIFS(T_TTAFStock[TTAF_Qty],T_TTAFStock[RM_Code],$A82,T_TTAFStock[WeekIndex],10),J82+'Grid_Incoming'!K82-'Grid_Requirement'!K82))</f>
        <v/>
      </c>
      <c r="L82">
        <f>IF(COUNTIFS(T_StockCount[RM_Code],$A82,T_StockCount[WeekIndex],11)&gt;0,SUMIFS(T_StockCount[CountedQty],T_StockCount[RM_Code],$A82,T_StockCount[WeekIndex],11),IF((COUNTIFS(T_SelfStock[RM_Code],$A82,T_SelfStock[WeekIndex],11)&gt;0)*(COUNTIFS(T_TTAFStock[RM_Code],$A82,T_TTAFStock[WeekIndex],11)&gt;0)&gt;0,SUMIFS(T_SelfStock[Self_Qty],T_SelfStock[RM_Code],$A82,T_SelfStock[WeekIndex],11)+SUMIFS(T_TTAFStock[TTAF_Qty],T_TTAFStock[RM_Code],$A82,T_TTAFStock[WeekIndex],11),K82+'Grid_Incoming'!L82-'Grid_Requirement'!L82))</f>
        <v/>
      </c>
      <c r="M82">
        <f>IF(COUNTIFS(T_StockCount[RM_Code],$A82,T_StockCount[WeekIndex],12)&gt;0,SUMIFS(T_StockCount[CountedQty],T_StockCount[RM_Code],$A82,T_StockCount[WeekIndex],12),IF((COUNTIFS(T_SelfStock[RM_Code],$A82,T_SelfStock[WeekIndex],12)&gt;0)*(COUNTIFS(T_TTAFStock[RM_Code],$A82,T_TTAFStock[WeekIndex],12)&gt;0)&gt;0,SUMIFS(T_SelfStock[Self_Qty],T_SelfStock[RM_Code],$A82,T_SelfStock[WeekIndex],12)+SUMIFS(T_TTAFStock[TTAF_Qty],T_TTAFStock[RM_Code],$A82,T_TTAFStock[WeekIndex],12),L82+'Grid_Incoming'!M82-'Grid_Requirement'!M82))</f>
        <v/>
      </c>
      <c r="N82">
        <f>IF(COUNTIFS(T_StockCount[RM_Code],$A82,T_StockCount[WeekIndex],13)&gt;0,SUMIFS(T_StockCount[CountedQty],T_StockCount[RM_Code],$A82,T_StockCount[WeekIndex],13),IF((COUNTIFS(T_SelfStock[RM_Code],$A82,T_SelfStock[WeekIndex],13)&gt;0)*(COUNTIFS(T_TTAFStock[RM_Code],$A82,T_TTAFStock[WeekIndex],13)&gt;0)&gt;0,SUMIFS(T_SelfStock[Self_Qty],T_SelfStock[RM_Code],$A82,T_SelfStock[WeekIndex],13)+SUMIFS(T_TTAFStock[TTAF_Qty],T_TTAFStock[RM_Code],$A82,T_TTAFStock[WeekIndex],13),M82+'Grid_Incoming'!N82-'Grid_Requirement'!N82))</f>
        <v/>
      </c>
      <c r="O82">
        <f>IF(COUNTIFS(T_StockCount[RM_Code],$A82,T_StockCount[WeekIndex],14)&gt;0,SUMIFS(T_StockCount[CountedQty],T_StockCount[RM_Code],$A82,T_StockCount[WeekIndex],14),IF((COUNTIFS(T_SelfStock[RM_Code],$A82,T_SelfStock[WeekIndex],14)&gt;0)*(COUNTIFS(T_TTAFStock[RM_Code],$A82,T_TTAFStock[WeekIndex],14)&gt;0)&gt;0,SUMIFS(T_SelfStock[Self_Qty],T_SelfStock[RM_Code],$A82,T_SelfStock[WeekIndex],14)+SUMIFS(T_TTAFStock[TTAF_Qty],T_TTAFStock[RM_Code],$A82,T_TTAFStock[WeekIndex],14),N82+'Grid_Incoming'!O82-'Grid_Requirement'!O82))</f>
        <v/>
      </c>
      <c r="P82">
        <f>IF(COUNTIFS(T_StockCount[RM_Code],$A82,T_StockCount[WeekIndex],15)&gt;0,SUMIFS(T_StockCount[CountedQty],T_StockCount[RM_Code],$A82,T_StockCount[WeekIndex],15),IF((COUNTIFS(T_SelfStock[RM_Code],$A82,T_SelfStock[WeekIndex],15)&gt;0)*(COUNTIFS(T_TTAFStock[RM_Code],$A82,T_TTAFStock[WeekIndex],15)&gt;0)&gt;0,SUMIFS(T_SelfStock[Self_Qty],T_SelfStock[RM_Code],$A82,T_SelfStock[WeekIndex],15)+SUMIFS(T_TTAFStock[TTAF_Qty],T_TTAFStock[RM_Code],$A82,T_TTAFStock[WeekIndex],15),O82+'Grid_Incoming'!P82-'Grid_Requirement'!P82))</f>
        <v/>
      </c>
      <c r="Q82">
        <f>IF(COUNTIFS(T_StockCount[RM_Code],$A82,T_StockCount[WeekIndex],16)&gt;0,SUMIFS(T_StockCount[CountedQty],T_StockCount[RM_Code],$A82,T_StockCount[WeekIndex],16),IF((COUNTIFS(T_SelfStock[RM_Code],$A82,T_SelfStock[WeekIndex],16)&gt;0)*(COUNTIFS(T_TTAFStock[RM_Code],$A82,T_TTAFStock[WeekIndex],16)&gt;0)&gt;0,SUMIFS(T_SelfStock[Self_Qty],T_SelfStock[RM_Code],$A82,T_SelfStock[WeekIndex],16)+SUMIFS(T_TTAFStock[TTAF_Qty],T_TTAFStock[RM_Code],$A82,T_TTAFStock[WeekIndex],16),P82+'Grid_Incoming'!Q82-'Grid_Requirement'!Q82))</f>
        <v/>
      </c>
      <c r="R82">
        <f>IF(COUNTIFS(T_StockCount[RM_Code],$A82,T_StockCount[WeekIndex],17)&gt;0,SUMIFS(T_StockCount[CountedQty],T_StockCount[RM_Code],$A82,T_StockCount[WeekIndex],17),IF((COUNTIFS(T_SelfStock[RM_Code],$A82,T_SelfStock[WeekIndex],17)&gt;0)*(COUNTIFS(T_TTAFStock[RM_Code],$A82,T_TTAFStock[WeekIndex],17)&gt;0)&gt;0,SUMIFS(T_SelfStock[Self_Qty],T_SelfStock[RM_Code],$A82,T_SelfStock[WeekIndex],17)+SUMIFS(T_TTAFStock[TTAF_Qty],T_TTAFStock[RM_Code],$A82,T_TTAFStock[WeekIndex],17),Q82+'Grid_Incoming'!R82-'Grid_Requirement'!R82))</f>
        <v/>
      </c>
      <c r="S82">
        <f>IF(COUNTIFS(T_StockCount[RM_Code],$A82,T_StockCount[WeekIndex],18)&gt;0,SUMIFS(T_StockCount[CountedQty],T_StockCount[RM_Code],$A82,T_StockCount[WeekIndex],18),IF((COUNTIFS(T_SelfStock[RM_Code],$A82,T_SelfStock[WeekIndex],18)&gt;0)*(COUNTIFS(T_TTAFStock[RM_Code],$A82,T_TTAFStock[WeekIndex],18)&gt;0)&gt;0,SUMIFS(T_SelfStock[Self_Qty],T_SelfStock[RM_Code],$A82,T_SelfStock[WeekIndex],18)+SUMIFS(T_TTAFStock[TTAF_Qty],T_TTAFStock[RM_Code],$A82,T_TTAFStock[WeekIndex],18),R82+'Grid_Incoming'!S82-'Grid_Requirement'!S82))</f>
        <v/>
      </c>
      <c r="T82">
        <f>IF(COUNTIFS(T_StockCount[RM_Code],$A82,T_StockCount[WeekIndex],19)&gt;0,SUMIFS(T_StockCount[CountedQty],T_StockCount[RM_Code],$A82,T_StockCount[WeekIndex],19),IF((COUNTIFS(T_SelfStock[RM_Code],$A82,T_SelfStock[WeekIndex],19)&gt;0)*(COUNTIFS(T_TTAFStock[RM_Code],$A82,T_TTAFStock[WeekIndex],19)&gt;0)&gt;0,SUMIFS(T_SelfStock[Self_Qty],T_SelfStock[RM_Code],$A82,T_SelfStock[WeekIndex],19)+SUMIFS(T_TTAFStock[TTAF_Qty],T_TTAFStock[RM_Code],$A82,T_TTAFStock[WeekIndex],19),S82+'Grid_Incoming'!T82-'Grid_Requirement'!T82))</f>
        <v/>
      </c>
      <c r="U82">
        <f>IF(COUNTIFS(T_StockCount[RM_Code],$A82,T_StockCount[WeekIndex],20)&gt;0,SUMIFS(T_StockCount[CountedQty],T_StockCount[RM_Code],$A82,T_StockCount[WeekIndex],20),IF((COUNTIFS(T_SelfStock[RM_Code],$A82,T_SelfStock[WeekIndex],20)&gt;0)*(COUNTIFS(T_TTAFStock[RM_Code],$A82,T_TTAFStock[WeekIndex],20)&gt;0)&gt;0,SUMIFS(T_SelfStock[Self_Qty],T_SelfStock[RM_Code],$A82,T_SelfStock[WeekIndex],20)+SUMIFS(T_TTAFStock[TTAF_Qty],T_TTAFStock[RM_Code],$A82,T_TTAFStock[WeekIndex],20),T82+'Grid_Incoming'!U82-'Grid_Requirement'!U82))</f>
        <v/>
      </c>
      <c r="V82">
        <f>IF(COUNTIFS(T_StockCount[RM_Code],$A82,T_StockCount[WeekIndex],21)&gt;0,SUMIFS(T_StockCount[CountedQty],T_StockCount[RM_Code],$A82,T_StockCount[WeekIndex],21),IF((COUNTIFS(T_SelfStock[RM_Code],$A82,T_SelfStock[WeekIndex],21)&gt;0)*(COUNTIFS(T_TTAFStock[RM_Code],$A82,T_TTAFStock[WeekIndex],21)&gt;0)&gt;0,SUMIFS(T_SelfStock[Self_Qty],T_SelfStock[RM_Code],$A82,T_SelfStock[WeekIndex],21)+SUMIFS(T_TTAFStock[TTAF_Qty],T_TTAFStock[RM_Code],$A82,T_TTAFStock[WeekIndex],21),U82+'Grid_Incoming'!V82-'Grid_Requirement'!V82))</f>
        <v/>
      </c>
      <c r="W82">
        <f>IF(COUNTIFS(T_StockCount[RM_Code],$A82,T_StockCount[WeekIndex],22)&gt;0,SUMIFS(T_StockCount[CountedQty],T_StockCount[RM_Code],$A82,T_StockCount[WeekIndex],22),IF((COUNTIFS(T_SelfStock[RM_Code],$A82,T_SelfStock[WeekIndex],22)&gt;0)*(COUNTIFS(T_TTAFStock[RM_Code],$A82,T_TTAFStock[WeekIndex],22)&gt;0)&gt;0,SUMIFS(T_SelfStock[Self_Qty],T_SelfStock[RM_Code],$A82,T_SelfStock[WeekIndex],22)+SUMIFS(T_TTAFStock[TTAF_Qty],T_TTAFStock[RM_Code],$A82,T_TTAFStock[WeekIndex],22),V82+'Grid_Incoming'!W82-'Grid_Requirement'!W82))</f>
        <v/>
      </c>
      <c r="X82">
        <f>IF(COUNTIFS(T_StockCount[RM_Code],$A82,T_StockCount[WeekIndex],23)&gt;0,SUMIFS(T_StockCount[CountedQty],T_StockCount[RM_Code],$A82,T_StockCount[WeekIndex],23),IF((COUNTIFS(T_SelfStock[RM_Code],$A82,T_SelfStock[WeekIndex],23)&gt;0)*(COUNTIFS(T_TTAFStock[RM_Code],$A82,T_TTAFStock[WeekIndex],23)&gt;0)&gt;0,SUMIFS(T_SelfStock[Self_Qty],T_SelfStock[RM_Code],$A82,T_SelfStock[WeekIndex],23)+SUMIFS(T_TTAFStock[TTAF_Qty],T_TTAFStock[RM_Code],$A82,T_TTAFStock[WeekIndex],23),W82+'Grid_Incoming'!X82-'Grid_Requirement'!X82))</f>
        <v/>
      </c>
      <c r="Y82">
        <f>IF(COUNTIFS(T_StockCount[RM_Code],$A82,T_StockCount[WeekIndex],24)&gt;0,SUMIFS(T_StockCount[CountedQty],T_StockCount[RM_Code],$A82,T_StockCount[WeekIndex],24),IF((COUNTIFS(T_SelfStock[RM_Code],$A82,T_SelfStock[WeekIndex],24)&gt;0)*(COUNTIFS(T_TTAFStock[RM_Code],$A82,T_TTAFStock[WeekIndex],24)&gt;0)&gt;0,SUMIFS(T_SelfStock[Self_Qty],T_SelfStock[RM_Code],$A82,T_SelfStock[WeekIndex],24)+SUMIFS(T_TTAFStock[TTAF_Qty],T_TTAFStock[RM_Code],$A82,T_TTAFStock[WeekIndex],24),X82+'Grid_Incoming'!Y82-'Grid_Requirement'!Y82))</f>
        <v/>
      </c>
      <c r="Z82">
        <f>IF(COUNTIFS(T_StockCount[RM_Code],$A82,T_StockCount[WeekIndex],25)&gt;0,SUMIFS(T_StockCount[CountedQty],T_StockCount[RM_Code],$A82,T_StockCount[WeekIndex],25),IF((COUNTIFS(T_SelfStock[RM_Code],$A82,T_SelfStock[WeekIndex],25)&gt;0)*(COUNTIFS(T_TTAFStock[RM_Code],$A82,T_TTAFStock[WeekIndex],25)&gt;0)&gt;0,SUMIFS(T_SelfStock[Self_Qty],T_SelfStock[RM_Code],$A82,T_SelfStock[WeekIndex],25)+SUMIFS(T_TTAFStock[TTAF_Qty],T_TTAFStock[RM_Code],$A82,T_TTAFStock[WeekIndex],25),Y82+'Grid_Incoming'!Z82-'Grid_Requirement'!Z82))</f>
        <v/>
      </c>
      <c r="AA82">
        <f>IF(COUNTIFS(T_StockCount[RM_Code],$A82,T_StockCount[WeekIndex],26)&gt;0,SUMIFS(T_StockCount[CountedQty],T_StockCount[RM_Code],$A82,T_StockCount[WeekIndex],26),IF((COUNTIFS(T_SelfStock[RM_Code],$A82,T_SelfStock[WeekIndex],26)&gt;0)*(COUNTIFS(T_TTAFStock[RM_Code],$A82,T_TTAFStock[WeekIndex],26)&gt;0)&gt;0,SUMIFS(T_SelfStock[Self_Qty],T_SelfStock[RM_Code],$A82,T_SelfStock[WeekIndex],26)+SUMIFS(T_TTAFStock[TTAF_Qty],T_TTAFStock[RM_Code],$A82,T_TTAFStock[WeekIndex],26),Z82+'Grid_Incoming'!AA82-'Grid_Requirement'!AA82))</f>
        <v/>
      </c>
      <c r="AB82">
        <f>IF(COUNTIFS(T_StockCount[RM_Code],$A82,T_StockCount[WeekIndex],27)&gt;0,SUMIFS(T_StockCount[CountedQty],T_StockCount[RM_Code],$A82,T_StockCount[WeekIndex],27),IF((COUNTIFS(T_SelfStock[RM_Code],$A82,T_SelfStock[WeekIndex],27)&gt;0)*(COUNTIFS(T_TTAFStock[RM_Code],$A82,T_TTAFStock[WeekIndex],27)&gt;0)&gt;0,SUMIFS(T_SelfStock[Self_Qty],T_SelfStock[RM_Code],$A82,T_SelfStock[WeekIndex],27)+SUMIFS(T_TTAFStock[TTAF_Qty],T_TTAFStock[RM_Code],$A82,T_TTAFStock[WeekIndex],27),AA82+'Grid_Incoming'!AB82-'Grid_Requirement'!AB82))</f>
        <v/>
      </c>
      <c r="AC82">
        <f>IF(COUNTIFS(T_StockCount[RM_Code],$A82,T_StockCount[WeekIndex],28)&gt;0,SUMIFS(T_StockCount[CountedQty],T_StockCount[RM_Code],$A82,T_StockCount[WeekIndex],28),IF((COUNTIFS(T_SelfStock[RM_Code],$A82,T_SelfStock[WeekIndex],28)&gt;0)*(COUNTIFS(T_TTAFStock[RM_Code],$A82,T_TTAFStock[WeekIndex],28)&gt;0)&gt;0,SUMIFS(T_SelfStock[Self_Qty],T_SelfStock[RM_Code],$A82,T_SelfStock[WeekIndex],28)+SUMIFS(T_TTAFStock[TTAF_Qty],T_TTAFStock[RM_Code],$A82,T_TTAFStock[WeekIndex],28),AB82+'Grid_Incoming'!AC82-'Grid_Requirement'!AC82))</f>
        <v/>
      </c>
      <c r="AD82">
        <f>IF(COUNTIFS(T_StockCount[RM_Code],$A82,T_StockCount[WeekIndex],29)&gt;0,SUMIFS(T_StockCount[CountedQty],T_StockCount[RM_Code],$A82,T_StockCount[WeekIndex],29),IF((COUNTIFS(T_SelfStock[RM_Code],$A82,T_SelfStock[WeekIndex],29)&gt;0)*(COUNTIFS(T_TTAFStock[RM_Code],$A82,T_TTAFStock[WeekIndex],29)&gt;0)&gt;0,SUMIFS(T_SelfStock[Self_Qty],T_SelfStock[RM_Code],$A82,T_SelfStock[WeekIndex],29)+SUMIFS(T_TTAFStock[TTAF_Qty],T_TTAFStock[RM_Code],$A82,T_TTAFStock[WeekIndex],29),AC82+'Grid_Incoming'!AD82-'Grid_Requirement'!AD82))</f>
        <v/>
      </c>
      <c r="AE82">
        <f>IF(COUNTIFS(T_StockCount[RM_Code],$A82,T_StockCount[WeekIndex],30)&gt;0,SUMIFS(T_StockCount[CountedQty],T_StockCount[RM_Code],$A82,T_StockCount[WeekIndex],30),IF((COUNTIFS(T_SelfStock[RM_Code],$A82,T_SelfStock[WeekIndex],30)&gt;0)*(COUNTIFS(T_TTAFStock[RM_Code],$A82,T_TTAFStock[WeekIndex],30)&gt;0)&gt;0,SUMIFS(T_SelfStock[Self_Qty],T_SelfStock[RM_Code],$A82,T_SelfStock[WeekIndex],30)+SUMIFS(T_TTAFStock[TTAF_Qty],T_TTAFStock[RM_Code],$A82,T_TTAFStock[WeekIndex],30),AD82+'Grid_Incoming'!AE82-'Grid_Requirement'!AE82))</f>
        <v/>
      </c>
      <c r="AF82">
        <f>IF(COUNTIFS(T_StockCount[RM_Code],$A82,T_StockCount[WeekIndex],31)&gt;0,SUMIFS(T_StockCount[CountedQty],T_StockCount[RM_Code],$A82,T_StockCount[WeekIndex],31),IF((COUNTIFS(T_SelfStock[RM_Code],$A82,T_SelfStock[WeekIndex],31)&gt;0)*(COUNTIFS(T_TTAFStock[RM_Code],$A82,T_TTAFStock[WeekIndex],31)&gt;0)&gt;0,SUMIFS(T_SelfStock[Self_Qty],T_SelfStock[RM_Code],$A82,T_SelfStock[WeekIndex],31)+SUMIFS(T_TTAFStock[TTAF_Qty],T_TTAFStock[RM_Code],$A82,T_TTAFStock[WeekIndex],31),AE82+'Grid_Incoming'!AF82-'Grid_Requirement'!AF82))</f>
        <v/>
      </c>
      <c r="AG82">
        <f>IF(COUNTIFS(T_StockCount[RM_Code],$A82,T_StockCount[WeekIndex],32)&gt;0,SUMIFS(T_StockCount[CountedQty],T_StockCount[RM_Code],$A82,T_StockCount[WeekIndex],32),IF((COUNTIFS(T_SelfStock[RM_Code],$A82,T_SelfStock[WeekIndex],32)&gt;0)*(COUNTIFS(T_TTAFStock[RM_Code],$A82,T_TTAFStock[WeekIndex],32)&gt;0)&gt;0,SUMIFS(T_SelfStock[Self_Qty],T_SelfStock[RM_Code],$A82,T_SelfStock[WeekIndex],32)+SUMIFS(T_TTAFStock[TTAF_Qty],T_TTAFStock[RM_Code],$A82,T_TTAFStock[WeekIndex],32),AF82+'Grid_Incoming'!AG82-'Grid_Requirement'!AG82))</f>
        <v/>
      </c>
      <c r="AH82">
        <f>IF(COUNTIFS(T_StockCount[RM_Code],$A82,T_StockCount[WeekIndex],33)&gt;0,SUMIFS(T_StockCount[CountedQty],T_StockCount[RM_Code],$A82,T_StockCount[WeekIndex],33),IF((COUNTIFS(T_SelfStock[RM_Code],$A82,T_SelfStock[WeekIndex],33)&gt;0)*(COUNTIFS(T_TTAFStock[RM_Code],$A82,T_TTAFStock[WeekIndex],33)&gt;0)&gt;0,SUMIFS(T_SelfStock[Self_Qty],T_SelfStock[RM_Code],$A82,T_SelfStock[WeekIndex],33)+SUMIFS(T_TTAFStock[TTAF_Qty],T_TTAFStock[RM_Code],$A82,T_TTAFStock[WeekIndex],33),AG82+'Grid_Incoming'!AH82-'Grid_Requirement'!AH82))</f>
        <v/>
      </c>
      <c r="AI82">
        <f>IF(COUNTIFS(T_StockCount[RM_Code],$A82,T_StockCount[WeekIndex],34)&gt;0,SUMIFS(T_StockCount[CountedQty],T_StockCount[RM_Code],$A82,T_StockCount[WeekIndex],34),IF((COUNTIFS(T_SelfStock[RM_Code],$A82,T_SelfStock[WeekIndex],34)&gt;0)*(COUNTIFS(T_TTAFStock[RM_Code],$A82,T_TTAFStock[WeekIndex],34)&gt;0)&gt;0,SUMIFS(T_SelfStock[Self_Qty],T_SelfStock[RM_Code],$A82,T_SelfStock[WeekIndex],34)+SUMIFS(T_TTAFStock[TTAF_Qty],T_TTAFStock[RM_Code],$A82,T_TTAFStock[WeekIndex],34),AH82+'Grid_Incoming'!AI82-'Grid_Requirement'!AI82))</f>
        <v/>
      </c>
      <c r="AJ82">
        <f>IF(COUNTIFS(T_StockCount[RM_Code],$A82,T_StockCount[WeekIndex],35)&gt;0,SUMIFS(T_StockCount[CountedQty],T_StockCount[RM_Code],$A82,T_StockCount[WeekIndex],35),IF((COUNTIFS(T_SelfStock[RM_Code],$A82,T_SelfStock[WeekIndex],35)&gt;0)*(COUNTIFS(T_TTAFStock[RM_Code],$A82,T_TTAFStock[WeekIndex],35)&gt;0)&gt;0,SUMIFS(T_SelfStock[Self_Qty],T_SelfStock[RM_Code],$A82,T_SelfStock[WeekIndex],35)+SUMIFS(T_TTAFStock[TTAF_Qty],T_TTAFStock[RM_Code],$A82,T_TTAFStock[WeekIndex],35),AI82+'Grid_Incoming'!AJ82-'Grid_Requirement'!AJ82))</f>
        <v/>
      </c>
      <c r="AK82">
        <f>IF(COUNTIFS(T_StockCount[RM_Code],$A82,T_StockCount[WeekIndex],36)&gt;0,SUMIFS(T_StockCount[CountedQty],T_StockCount[RM_Code],$A82,T_StockCount[WeekIndex],36),IF((COUNTIFS(T_SelfStock[RM_Code],$A82,T_SelfStock[WeekIndex],36)&gt;0)*(COUNTIFS(T_TTAFStock[RM_Code],$A82,T_TTAFStock[WeekIndex],36)&gt;0)&gt;0,SUMIFS(T_SelfStock[Self_Qty],T_SelfStock[RM_Code],$A82,T_SelfStock[WeekIndex],36)+SUMIFS(T_TTAFStock[TTAF_Qty],T_TTAFStock[RM_Code],$A82,T_TTAFStock[WeekIndex],36),AJ82+'Grid_Incoming'!AK82-'Grid_Requirement'!AK82))</f>
        <v/>
      </c>
      <c r="AL82">
        <f>IF(COUNTIFS(T_StockCount[RM_Code],$A82,T_StockCount[WeekIndex],37)&gt;0,SUMIFS(T_StockCount[CountedQty],T_StockCount[RM_Code],$A82,T_StockCount[WeekIndex],37),IF((COUNTIFS(T_SelfStock[RM_Code],$A82,T_SelfStock[WeekIndex],37)&gt;0)*(COUNTIFS(T_TTAFStock[RM_Code],$A82,T_TTAFStock[WeekIndex],37)&gt;0)&gt;0,SUMIFS(T_SelfStock[Self_Qty],T_SelfStock[RM_Code],$A82,T_SelfStock[WeekIndex],37)+SUMIFS(T_TTAFStock[TTAF_Qty],T_TTAFStock[RM_Code],$A82,T_TTAFStock[WeekIndex],37),AK82+'Grid_Incoming'!AL82-'Grid_Requirement'!AL82))</f>
        <v/>
      </c>
      <c r="AM82">
        <f>IF(COUNTIFS(T_StockCount[RM_Code],$A82,T_StockCount[WeekIndex],38)&gt;0,SUMIFS(T_StockCount[CountedQty],T_StockCount[RM_Code],$A82,T_StockCount[WeekIndex],38),IF((COUNTIFS(T_SelfStock[RM_Code],$A82,T_SelfStock[WeekIndex],38)&gt;0)*(COUNTIFS(T_TTAFStock[RM_Code],$A82,T_TTAFStock[WeekIndex],38)&gt;0)&gt;0,SUMIFS(T_SelfStock[Self_Qty],T_SelfStock[RM_Code],$A82,T_SelfStock[WeekIndex],38)+SUMIFS(T_TTAFStock[TTAF_Qty],T_TTAFStock[RM_Code],$A82,T_TTAFStock[WeekIndex],38),AL82+'Grid_Incoming'!AM82-'Grid_Requirement'!AM82))</f>
        <v/>
      </c>
      <c r="AN82">
        <f>IF(COUNTIFS(T_StockCount[RM_Code],$A82,T_StockCount[WeekIndex],39)&gt;0,SUMIFS(T_StockCount[CountedQty],T_StockCount[RM_Code],$A82,T_StockCount[WeekIndex],39),IF((COUNTIFS(T_SelfStock[RM_Code],$A82,T_SelfStock[WeekIndex],39)&gt;0)*(COUNTIFS(T_TTAFStock[RM_Code],$A82,T_TTAFStock[WeekIndex],39)&gt;0)&gt;0,SUMIFS(T_SelfStock[Self_Qty],T_SelfStock[RM_Code],$A82,T_SelfStock[WeekIndex],39)+SUMIFS(T_TTAFStock[TTAF_Qty],T_TTAFStock[RM_Code],$A82,T_TTAFStock[WeekIndex],39),AM82+'Grid_Incoming'!AN82-'Grid_Requirement'!AN82))</f>
        <v/>
      </c>
      <c r="AO82">
        <f>IF(COUNTIFS(T_StockCount[RM_Code],$A82,T_StockCount[WeekIndex],40)&gt;0,SUMIFS(T_StockCount[CountedQty],T_StockCount[RM_Code],$A82,T_StockCount[WeekIndex],40),IF((COUNTIFS(T_SelfStock[RM_Code],$A82,T_SelfStock[WeekIndex],40)&gt;0)*(COUNTIFS(T_TTAFStock[RM_Code],$A82,T_TTAFStock[WeekIndex],40)&gt;0)&gt;0,SUMIFS(T_SelfStock[Self_Qty],T_SelfStock[RM_Code],$A82,T_SelfStock[WeekIndex],40)+SUMIFS(T_TTAFStock[TTAF_Qty],T_TTAFStock[RM_Code],$A82,T_TTAFStock[WeekIndex],40),AN82+'Grid_Incoming'!AO82-'Grid_Requirement'!AO82))</f>
        <v/>
      </c>
      <c r="AP82">
        <f>IF(COUNTIFS(T_StockCount[RM_Code],$A82,T_StockCount[WeekIndex],41)&gt;0,SUMIFS(T_StockCount[CountedQty],T_StockCount[RM_Code],$A82,T_StockCount[WeekIndex],41),IF((COUNTIFS(T_SelfStock[RM_Code],$A82,T_SelfStock[WeekIndex],41)&gt;0)*(COUNTIFS(T_TTAFStock[RM_Code],$A82,T_TTAFStock[WeekIndex],41)&gt;0)&gt;0,SUMIFS(T_SelfStock[Self_Qty],T_SelfStock[RM_Code],$A82,T_SelfStock[WeekIndex],41)+SUMIFS(T_TTAFStock[TTAF_Qty],T_TTAFStock[RM_Code],$A82,T_TTAFStock[WeekIndex],41),AO82+'Grid_Incoming'!AP82-'Grid_Requirement'!AP82))</f>
        <v/>
      </c>
      <c r="AQ82">
        <f>IF(COUNTIFS(T_StockCount[RM_Code],$A82,T_StockCount[WeekIndex],42)&gt;0,SUMIFS(T_StockCount[CountedQty],T_StockCount[RM_Code],$A82,T_StockCount[WeekIndex],42),IF((COUNTIFS(T_SelfStock[RM_Code],$A82,T_SelfStock[WeekIndex],42)&gt;0)*(COUNTIFS(T_TTAFStock[RM_Code],$A82,T_TTAFStock[WeekIndex],42)&gt;0)&gt;0,SUMIFS(T_SelfStock[Self_Qty],T_SelfStock[RM_Code],$A82,T_SelfStock[WeekIndex],42)+SUMIFS(T_TTAFStock[TTAF_Qty],T_TTAFStock[RM_Code],$A82,T_TTAFStock[WeekIndex],42),AP82+'Grid_Incoming'!AQ82-'Grid_Requirement'!AQ82))</f>
        <v/>
      </c>
      <c r="AR82">
        <f>IF(COUNTIFS(T_StockCount[RM_Code],$A82,T_StockCount[WeekIndex],43)&gt;0,SUMIFS(T_StockCount[CountedQty],T_StockCount[RM_Code],$A82,T_StockCount[WeekIndex],43),IF((COUNTIFS(T_SelfStock[RM_Code],$A82,T_SelfStock[WeekIndex],43)&gt;0)*(COUNTIFS(T_TTAFStock[RM_Code],$A82,T_TTAFStock[WeekIndex],43)&gt;0)&gt;0,SUMIFS(T_SelfStock[Self_Qty],T_SelfStock[RM_Code],$A82,T_SelfStock[WeekIndex],43)+SUMIFS(T_TTAFStock[TTAF_Qty],T_TTAFStock[RM_Code],$A82,T_TTAFStock[WeekIndex],43),AQ82+'Grid_Incoming'!AR82-'Grid_Requirement'!AR82))</f>
        <v/>
      </c>
      <c r="AS82">
        <f>IF(COUNTIFS(T_StockCount[RM_Code],$A82,T_StockCount[WeekIndex],44)&gt;0,SUMIFS(T_StockCount[CountedQty],T_StockCount[RM_Code],$A82,T_StockCount[WeekIndex],44),IF((COUNTIFS(T_SelfStock[RM_Code],$A82,T_SelfStock[WeekIndex],44)&gt;0)*(COUNTIFS(T_TTAFStock[RM_Code],$A82,T_TTAFStock[WeekIndex],44)&gt;0)&gt;0,SUMIFS(T_SelfStock[Self_Qty],T_SelfStock[RM_Code],$A82,T_SelfStock[WeekIndex],44)+SUMIFS(T_TTAFStock[TTAF_Qty],T_TTAFStock[RM_Code],$A82,T_TTAFStock[WeekIndex],44),AR82+'Grid_Incoming'!AS82-'Grid_Requirement'!AS82))</f>
        <v/>
      </c>
      <c r="AT82">
        <f>IF(COUNTIFS(T_StockCount[RM_Code],$A82,T_StockCount[WeekIndex],45)&gt;0,SUMIFS(T_StockCount[CountedQty],T_StockCount[RM_Code],$A82,T_StockCount[WeekIndex],45),IF((COUNTIFS(T_SelfStock[RM_Code],$A82,T_SelfStock[WeekIndex],45)&gt;0)*(COUNTIFS(T_TTAFStock[RM_Code],$A82,T_TTAFStock[WeekIndex],45)&gt;0)&gt;0,SUMIFS(T_SelfStock[Self_Qty],T_SelfStock[RM_Code],$A82,T_SelfStock[WeekIndex],45)+SUMIFS(T_TTAFStock[TTAF_Qty],T_TTAFStock[RM_Code],$A82,T_TTAFStock[WeekIndex],45),AS82+'Grid_Incoming'!AT82-'Grid_Requirement'!AT82))</f>
        <v/>
      </c>
      <c r="AU82">
        <f>IF(COUNTIFS(T_StockCount[RM_Code],$A82,T_StockCount[WeekIndex],46)&gt;0,SUMIFS(T_StockCount[CountedQty],T_StockCount[RM_Code],$A82,T_StockCount[WeekIndex],46),IF((COUNTIFS(T_SelfStock[RM_Code],$A82,T_SelfStock[WeekIndex],46)&gt;0)*(COUNTIFS(T_TTAFStock[RM_Code],$A82,T_TTAFStock[WeekIndex],46)&gt;0)&gt;0,SUMIFS(T_SelfStock[Self_Qty],T_SelfStock[RM_Code],$A82,T_SelfStock[WeekIndex],46)+SUMIFS(T_TTAFStock[TTAF_Qty],T_TTAFStock[RM_Code],$A82,T_TTAFStock[WeekIndex],46),AT82+'Grid_Incoming'!AU82-'Grid_Requirement'!AU82))</f>
        <v/>
      </c>
      <c r="AV82">
        <f>IF(COUNTIFS(T_StockCount[RM_Code],$A82,T_StockCount[WeekIndex],47)&gt;0,SUMIFS(T_StockCount[CountedQty],T_StockCount[RM_Code],$A82,T_StockCount[WeekIndex],47),IF((COUNTIFS(T_SelfStock[RM_Code],$A82,T_SelfStock[WeekIndex],47)&gt;0)*(COUNTIFS(T_TTAFStock[RM_Code],$A82,T_TTAFStock[WeekIndex],47)&gt;0)&gt;0,SUMIFS(T_SelfStock[Self_Qty],T_SelfStock[RM_Code],$A82,T_SelfStock[WeekIndex],47)+SUMIFS(T_TTAFStock[TTAF_Qty],T_TTAFStock[RM_Code],$A82,T_TTAFStock[WeekIndex],47),AU82+'Grid_Incoming'!AV82-'Grid_Requirement'!AV82))</f>
        <v/>
      </c>
      <c r="AW82">
        <f>IF(COUNTIFS(T_StockCount[RM_Code],$A82,T_StockCount[WeekIndex],48)&gt;0,SUMIFS(T_StockCount[CountedQty],T_StockCount[RM_Code],$A82,T_StockCount[WeekIndex],48),IF((COUNTIFS(T_SelfStock[RM_Code],$A82,T_SelfStock[WeekIndex],48)&gt;0)*(COUNTIFS(T_TTAFStock[RM_Code],$A82,T_TTAFStock[WeekIndex],48)&gt;0)&gt;0,SUMIFS(T_SelfStock[Self_Qty],T_SelfStock[RM_Code],$A82,T_SelfStock[WeekIndex],48)+SUMIFS(T_TTAFStock[TTAF_Qty],T_TTAFStock[RM_Code],$A82,T_TTAFStock[WeekIndex],48),AV82+'Grid_Incoming'!AW82-'Grid_Requirement'!AW82))</f>
        <v/>
      </c>
      <c r="AX82">
        <f>IF(COUNTIFS(T_StockCount[RM_Code],$A82,T_StockCount[WeekIndex],49)&gt;0,SUMIFS(T_StockCount[CountedQty],T_StockCount[RM_Code],$A82,T_StockCount[WeekIndex],49),IF((COUNTIFS(T_SelfStock[RM_Code],$A82,T_SelfStock[WeekIndex],49)&gt;0)*(COUNTIFS(T_TTAFStock[RM_Code],$A82,T_TTAFStock[WeekIndex],49)&gt;0)&gt;0,SUMIFS(T_SelfStock[Self_Qty],T_SelfStock[RM_Code],$A82,T_SelfStock[WeekIndex],49)+SUMIFS(T_TTAFStock[TTAF_Qty],T_TTAFStock[RM_Code],$A82,T_TTAFStock[WeekIndex],49),AW82+'Grid_Incoming'!AX82-'Grid_Requirement'!AX82))</f>
        <v/>
      </c>
      <c r="AY82">
        <f>IF(COUNTIFS(T_StockCount[RM_Code],$A82,T_StockCount[WeekIndex],50)&gt;0,SUMIFS(T_StockCount[CountedQty],T_StockCount[RM_Code],$A82,T_StockCount[WeekIndex],50),IF((COUNTIFS(T_SelfStock[RM_Code],$A82,T_SelfStock[WeekIndex],50)&gt;0)*(COUNTIFS(T_TTAFStock[RM_Code],$A82,T_TTAFStock[WeekIndex],50)&gt;0)&gt;0,SUMIFS(T_SelfStock[Self_Qty],T_SelfStock[RM_Code],$A82,T_SelfStock[WeekIndex],50)+SUMIFS(T_TTAFStock[TTAF_Qty],T_TTAFStock[RM_Code],$A82,T_TTAFStock[WeekIndex],50),AX82+'Grid_Incoming'!AY82-'Grid_Requirement'!AY82))</f>
        <v/>
      </c>
      <c r="AZ82">
        <f>IF(COUNTIFS(T_StockCount[RM_Code],$A82,T_StockCount[WeekIndex],51)&gt;0,SUMIFS(T_StockCount[CountedQty],T_StockCount[RM_Code],$A82,T_StockCount[WeekIndex],51),IF((COUNTIFS(T_SelfStock[RM_Code],$A82,T_SelfStock[WeekIndex],51)&gt;0)*(COUNTIFS(T_TTAFStock[RM_Code],$A82,T_TTAFStock[WeekIndex],51)&gt;0)&gt;0,SUMIFS(T_SelfStock[Self_Qty],T_SelfStock[RM_Code],$A82,T_SelfStock[WeekIndex],51)+SUMIFS(T_TTAFStock[TTAF_Qty],T_TTAFStock[RM_Code],$A82,T_TTAFStock[WeekIndex],51),AY82+'Grid_Incoming'!AZ82-'Grid_Requirement'!AZ82))</f>
        <v/>
      </c>
      <c r="BA82">
        <f>IF(COUNTIFS(T_StockCount[RM_Code],$A82,T_StockCount[WeekIndex],52)&gt;0,SUMIFS(T_StockCount[CountedQty],T_StockCount[RM_Code],$A82,T_StockCount[WeekIndex],52),IF((COUNTIFS(T_SelfStock[RM_Code],$A82,T_SelfStock[WeekIndex],52)&gt;0)*(COUNTIFS(T_TTAFStock[RM_Code],$A82,T_TTAFStock[WeekIndex],52)&gt;0)&gt;0,SUMIFS(T_SelfStock[Self_Qty],T_SelfStock[RM_Code],$A82,T_SelfStock[WeekIndex],52)+SUMIFS(T_TTAFStock[TTAF_Qty],T_TTAFStock[RM_Code],$A82,T_TTAFStock[WeekIndex],52),AZ82+'Grid_Incoming'!BA82-'Grid_Requirement'!BA82))</f>
        <v/>
      </c>
      <c r="BB82">
        <f>IF(COUNTIFS(T_StockCount[RM_Code],$A82,T_StockCount[WeekIndex],53)&gt;0,SUMIFS(T_StockCount[CountedQty],T_StockCount[RM_Code],$A82,T_StockCount[WeekIndex],53),IF((COUNTIFS(T_SelfStock[RM_Code],$A82,T_SelfStock[WeekIndex],53)&gt;0)*(COUNTIFS(T_TTAFStock[RM_Code],$A82,T_TTAFStock[WeekIndex],53)&gt;0)&gt;0,SUMIFS(T_SelfStock[Self_Qty],T_SelfStock[RM_Code],$A82,T_SelfStock[WeekIndex],53)+SUMIFS(T_TTAFStock[TTAF_Qty],T_TTAFStock[RM_Code],$A82,T_TTAFStock[WeekIndex],53),BA82+'Grid_Incoming'!BB82-'Grid_Requirement'!BB82))</f>
        <v/>
      </c>
      <c r="BC82">
        <f>IF(COUNTIFS(T_StockCount[RM_Code],$A82,T_StockCount[WeekIndex],54)&gt;0,SUMIFS(T_StockCount[CountedQty],T_StockCount[RM_Code],$A82,T_StockCount[WeekIndex],54),IF((COUNTIFS(T_SelfStock[RM_Code],$A82,T_SelfStock[WeekIndex],54)&gt;0)*(COUNTIFS(T_TTAFStock[RM_Code],$A82,T_TTAFStock[WeekIndex],54)&gt;0)&gt;0,SUMIFS(T_SelfStock[Self_Qty],T_SelfStock[RM_Code],$A82,T_SelfStock[WeekIndex],54)+SUMIFS(T_TTAFStock[TTAF_Qty],T_TTAFStock[RM_Code],$A82,T_TTAFStock[WeekIndex],54),BB82+'Grid_Incoming'!BC82-'Grid_Requirement'!BC82))</f>
        <v/>
      </c>
      <c r="BD82">
        <f>IF(COUNTIFS(T_StockCount[RM_Code],$A82,T_StockCount[WeekIndex],55)&gt;0,SUMIFS(T_StockCount[CountedQty],T_StockCount[RM_Code],$A82,T_StockCount[WeekIndex],55),IF((COUNTIFS(T_SelfStock[RM_Code],$A82,T_SelfStock[WeekIndex],55)&gt;0)*(COUNTIFS(T_TTAFStock[RM_Code],$A82,T_TTAFStock[WeekIndex],55)&gt;0)&gt;0,SUMIFS(T_SelfStock[Self_Qty],T_SelfStock[RM_Code],$A82,T_SelfStock[WeekIndex],55)+SUMIFS(T_TTAFStock[TTAF_Qty],T_TTAFStock[RM_Code],$A82,T_TTAFStock[WeekIndex],55),BC82+'Grid_Incoming'!BD82-'Grid_Requirement'!BD82))</f>
        <v/>
      </c>
      <c r="BE82">
        <f>IF(COUNTIFS(T_StockCount[RM_Code],$A82,T_StockCount[WeekIndex],56)&gt;0,SUMIFS(T_StockCount[CountedQty],T_StockCount[RM_Code],$A82,T_StockCount[WeekIndex],56),IF((COUNTIFS(T_SelfStock[RM_Code],$A82,T_SelfStock[WeekIndex],56)&gt;0)*(COUNTIFS(T_TTAFStock[RM_Code],$A82,T_TTAFStock[WeekIndex],56)&gt;0)&gt;0,SUMIFS(T_SelfStock[Self_Qty],T_SelfStock[RM_Code],$A82,T_SelfStock[WeekIndex],56)+SUMIFS(T_TTAFStock[TTAF_Qty],T_TTAFStock[RM_Code],$A82,T_TTAFStock[WeekIndex],56),BD82+'Grid_Incoming'!BE82-'Grid_Requirement'!BE82))</f>
        <v/>
      </c>
      <c r="BF82">
        <f>IF(COUNTIFS(T_StockCount[RM_Code],$A82,T_StockCount[WeekIndex],57)&gt;0,SUMIFS(T_StockCount[CountedQty],T_StockCount[RM_Code],$A82,T_StockCount[WeekIndex],57),IF((COUNTIFS(T_SelfStock[RM_Code],$A82,T_SelfStock[WeekIndex],57)&gt;0)*(COUNTIFS(T_TTAFStock[RM_Code],$A82,T_TTAFStock[WeekIndex],57)&gt;0)&gt;0,SUMIFS(T_SelfStock[Self_Qty],T_SelfStock[RM_Code],$A82,T_SelfStock[WeekIndex],57)+SUMIFS(T_TTAFStock[TTAF_Qty],T_TTAFStock[RM_Code],$A82,T_TTAFStock[WeekIndex],57),BE82+'Grid_Incoming'!BF82-'Grid_Requirement'!BF82))</f>
        <v/>
      </c>
      <c r="BG82">
        <f>IF(COUNTIFS(T_StockCount[RM_Code],$A82,T_StockCount[WeekIndex],58)&gt;0,SUMIFS(T_StockCount[CountedQty],T_StockCount[RM_Code],$A82,T_StockCount[WeekIndex],58),IF((COUNTIFS(T_SelfStock[RM_Code],$A82,T_SelfStock[WeekIndex],58)&gt;0)*(COUNTIFS(T_TTAFStock[RM_Code],$A82,T_TTAFStock[WeekIndex],58)&gt;0)&gt;0,SUMIFS(T_SelfStock[Self_Qty],T_SelfStock[RM_Code],$A82,T_SelfStock[WeekIndex],58)+SUMIFS(T_TTAFStock[TTAF_Qty],T_TTAFStock[RM_Code],$A82,T_TTAFStock[WeekIndex],58),BF82+'Grid_Incoming'!BG82-'Grid_Requirement'!BG82))</f>
        <v/>
      </c>
      <c r="BH82">
        <f>IF(COUNTIFS(T_StockCount[RM_Code],$A82,T_StockCount[WeekIndex],59)&gt;0,SUMIFS(T_StockCount[CountedQty],T_StockCount[RM_Code],$A82,T_StockCount[WeekIndex],59),IF((COUNTIFS(T_SelfStock[RM_Code],$A82,T_SelfStock[WeekIndex],59)&gt;0)*(COUNTIFS(T_TTAFStock[RM_Code],$A82,T_TTAFStock[WeekIndex],59)&gt;0)&gt;0,SUMIFS(T_SelfStock[Self_Qty],T_SelfStock[RM_Code],$A82,T_SelfStock[WeekIndex],59)+SUMIFS(T_TTAFStock[TTAF_Qty],T_TTAFStock[RM_Code],$A82,T_TTAFStock[WeekIndex],59),BG82+'Grid_Incoming'!BH82-'Grid_Requirement'!BH82))</f>
        <v/>
      </c>
      <c r="BI82">
        <f>IF(COUNTIFS(T_StockCount[RM_Code],$A82,T_StockCount[WeekIndex],60)&gt;0,SUMIFS(T_StockCount[CountedQty],T_StockCount[RM_Code],$A82,T_StockCount[WeekIndex],60),IF((COUNTIFS(T_SelfStock[RM_Code],$A82,T_SelfStock[WeekIndex],60)&gt;0)*(COUNTIFS(T_TTAFStock[RM_Code],$A82,T_TTAFStock[WeekIndex],60)&gt;0)&gt;0,SUMIFS(T_SelfStock[Self_Qty],T_SelfStock[RM_Code],$A82,T_SelfStock[WeekIndex],60)+SUMIFS(T_TTAFStock[TTAF_Qty],T_TTAFStock[RM_Code],$A82,T_TTAFStock[WeekIndex],60),BH82+'Grid_Incoming'!BI82-'Grid_Requirement'!BI82))</f>
        <v/>
      </c>
      <c r="BJ82">
        <f>IF(COUNTIFS(T_StockCount[RM_Code],$A82,T_StockCount[WeekIndex],61)&gt;0,SUMIFS(T_StockCount[CountedQty],T_StockCount[RM_Code],$A82,T_StockCount[WeekIndex],61),IF((COUNTIFS(T_SelfStock[RM_Code],$A82,T_SelfStock[WeekIndex],61)&gt;0)*(COUNTIFS(T_TTAFStock[RM_Code],$A82,T_TTAFStock[WeekIndex],61)&gt;0)&gt;0,SUMIFS(T_SelfStock[Self_Qty],T_SelfStock[RM_Code],$A82,T_SelfStock[WeekIndex],61)+SUMIFS(T_TTAFStock[TTAF_Qty],T_TTAFStock[RM_Code],$A82,T_TTAFStock[WeekIndex],61),BI82+'Grid_Incoming'!BJ82-'Grid_Requirement'!BJ82))</f>
        <v/>
      </c>
      <c r="BK82">
        <f>IF(COUNTIFS(T_StockCount[RM_Code],$A82,T_StockCount[WeekIndex],62)&gt;0,SUMIFS(T_StockCount[CountedQty],T_StockCount[RM_Code],$A82,T_StockCount[WeekIndex],62),IF((COUNTIFS(T_SelfStock[RM_Code],$A82,T_SelfStock[WeekIndex],62)&gt;0)*(COUNTIFS(T_TTAFStock[RM_Code],$A82,T_TTAFStock[WeekIndex],62)&gt;0)&gt;0,SUMIFS(T_SelfStock[Self_Qty],T_SelfStock[RM_Code],$A82,T_SelfStock[WeekIndex],62)+SUMIFS(T_TTAFStock[TTAF_Qty],T_TTAFStock[RM_Code],$A82,T_TTAFStock[WeekIndex],62),BJ82+'Grid_Incoming'!BK82-'Grid_Requirement'!BK82))</f>
        <v/>
      </c>
      <c r="BL82">
        <f>IF(COUNTIFS(T_StockCount[RM_Code],$A82,T_StockCount[WeekIndex],63)&gt;0,SUMIFS(T_StockCount[CountedQty],T_StockCount[RM_Code],$A82,T_StockCount[WeekIndex],63),IF((COUNTIFS(T_SelfStock[RM_Code],$A82,T_SelfStock[WeekIndex],63)&gt;0)*(COUNTIFS(T_TTAFStock[RM_Code],$A82,T_TTAFStock[WeekIndex],63)&gt;0)&gt;0,SUMIFS(T_SelfStock[Self_Qty],T_SelfStock[RM_Code],$A82,T_SelfStock[WeekIndex],63)+SUMIFS(T_TTAFStock[TTAF_Qty],T_TTAFStock[RM_Code],$A82,T_TTAFStock[WeekIndex],63),BK82+'Grid_Incoming'!BL82-'Grid_Requirement'!BL82))</f>
        <v/>
      </c>
      <c r="BM82">
        <f>IF(COUNTIFS(T_StockCount[RM_Code],$A82,T_StockCount[WeekIndex],64)&gt;0,SUMIFS(T_StockCount[CountedQty],T_StockCount[RM_Code],$A82,T_StockCount[WeekIndex],64),IF((COUNTIFS(T_SelfStock[RM_Code],$A82,T_SelfStock[WeekIndex],64)&gt;0)*(COUNTIFS(T_TTAFStock[RM_Code],$A82,T_TTAFStock[WeekIndex],64)&gt;0)&gt;0,SUMIFS(T_SelfStock[Self_Qty],T_SelfStock[RM_Code],$A82,T_SelfStock[WeekIndex],64)+SUMIFS(T_TTAFStock[TTAF_Qty],T_TTAFStock[RM_Code],$A82,T_TTAFStock[WeekIndex],64),BL82+'Grid_Incoming'!BM82-'Grid_Requirement'!BM82))</f>
        <v/>
      </c>
      <c r="BN82">
        <f>IF(COUNTIFS(T_StockCount[RM_Code],$A82,T_StockCount[WeekIndex],65)&gt;0,SUMIFS(T_StockCount[CountedQty],T_StockCount[RM_Code],$A82,T_StockCount[WeekIndex],65),IF((COUNTIFS(T_SelfStock[RM_Code],$A82,T_SelfStock[WeekIndex],65)&gt;0)*(COUNTIFS(T_TTAFStock[RM_Code],$A82,T_TTAFStock[WeekIndex],65)&gt;0)&gt;0,SUMIFS(T_SelfStock[Self_Qty],T_SelfStock[RM_Code],$A82,T_SelfStock[WeekIndex],65)+SUMIFS(T_TTAFStock[TTAF_Qty],T_TTAFStock[RM_Code],$A82,T_TTAFStock[WeekIndex],65),BM82+'Grid_Incoming'!BN82-'Grid_Requirement'!BN82))</f>
        <v/>
      </c>
      <c r="BO82">
        <f>IF(COUNTIFS(T_StockCount[RM_Code],$A82,T_StockCount[WeekIndex],66)&gt;0,SUMIFS(T_StockCount[CountedQty],T_StockCount[RM_Code],$A82,T_StockCount[WeekIndex],66),IF((COUNTIFS(T_SelfStock[RM_Code],$A82,T_SelfStock[WeekIndex],66)&gt;0)*(COUNTIFS(T_TTAFStock[RM_Code],$A82,T_TTAFStock[WeekIndex],66)&gt;0)&gt;0,SUMIFS(T_SelfStock[Self_Qty],T_SelfStock[RM_Code],$A82,T_SelfStock[WeekIndex],66)+SUMIFS(T_TTAFStock[TTAF_Qty],T_TTAFStock[RM_Code],$A82,T_TTAFStock[WeekIndex],66),BN82+'Grid_Incoming'!BO82-'Grid_Requirement'!BO82))</f>
        <v/>
      </c>
      <c r="BP82">
        <f>IF(COUNTIFS(T_StockCount[RM_Code],$A82,T_StockCount[WeekIndex],67)&gt;0,SUMIFS(T_StockCount[CountedQty],T_StockCount[RM_Code],$A82,T_StockCount[WeekIndex],67),IF((COUNTIFS(T_SelfStock[RM_Code],$A82,T_SelfStock[WeekIndex],67)&gt;0)*(COUNTIFS(T_TTAFStock[RM_Code],$A82,T_TTAFStock[WeekIndex],67)&gt;0)&gt;0,SUMIFS(T_SelfStock[Self_Qty],T_SelfStock[RM_Code],$A82,T_SelfStock[WeekIndex],67)+SUMIFS(T_TTAFStock[TTAF_Qty],T_TTAFStock[RM_Code],$A82,T_TTAFStock[WeekIndex],67),BO82+'Grid_Incoming'!BP82-'Grid_Requirement'!BP82))</f>
        <v/>
      </c>
      <c r="BQ82">
        <f>IF(COUNTIFS(T_StockCount[RM_Code],$A82,T_StockCount[WeekIndex],68)&gt;0,SUMIFS(T_StockCount[CountedQty],T_StockCount[RM_Code],$A82,T_StockCount[WeekIndex],68),IF((COUNTIFS(T_SelfStock[RM_Code],$A82,T_SelfStock[WeekIndex],68)&gt;0)*(COUNTIFS(T_TTAFStock[RM_Code],$A82,T_TTAFStock[WeekIndex],68)&gt;0)&gt;0,SUMIFS(T_SelfStock[Self_Qty],T_SelfStock[RM_Code],$A82,T_SelfStock[WeekIndex],68)+SUMIFS(T_TTAFStock[TTAF_Qty],T_TTAFStock[RM_Code],$A82,T_TTAFStock[WeekIndex],68),BP82+'Grid_Incoming'!BQ82-'Grid_Requirement'!BQ82))</f>
        <v/>
      </c>
      <c r="BR82">
        <f>IF(COUNTIFS(T_StockCount[RM_Code],$A82,T_StockCount[WeekIndex],69)&gt;0,SUMIFS(T_StockCount[CountedQty],T_StockCount[RM_Code],$A82,T_StockCount[WeekIndex],69),IF((COUNTIFS(T_SelfStock[RM_Code],$A82,T_SelfStock[WeekIndex],69)&gt;0)*(COUNTIFS(T_TTAFStock[RM_Code],$A82,T_TTAFStock[WeekIndex],69)&gt;0)&gt;0,SUMIFS(T_SelfStock[Self_Qty],T_SelfStock[RM_Code],$A82,T_SelfStock[WeekIndex],69)+SUMIFS(T_TTAFStock[TTAF_Qty],T_TTAFStock[RM_Code],$A82,T_TTAFStock[WeekIndex],69),BQ82+'Grid_Incoming'!BR82-'Grid_Requirement'!BR82))</f>
        <v/>
      </c>
      <c r="BS82">
        <f>IF(COUNTIFS(T_StockCount[RM_Code],$A82,T_StockCount[WeekIndex],70)&gt;0,SUMIFS(T_StockCount[CountedQty],T_StockCount[RM_Code],$A82,T_StockCount[WeekIndex],70),IF((COUNTIFS(T_SelfStock[RM_Code],$A82,T_SelfStock[WeekIndex],70)&gt;0)*(COUNTIFS(T_TTAFStock[RM_Code],$A82,T_TTAFStock[WeekIndex],70)&gt;0)&gt;0,SUMIFS(T_SelfStock[Self_Qty],T_SelfStock[RM_Code],$A82,T_SelfStock[WeekIndex],70)+SUMIFS(T_TTAFStock[TTAF_Qty],T_TTAFStock[RM_Code],$A82,T_TTAFStock[WeekIndex],70),BR82+'Grid_Incoming'!BS82-'Grid_Requirement'!BS82))</f>
        <v/>
      </c>
      <c r="BT82">
        <f>IF(COUNTIFS(T_StockCount[RM_Code],$A82,T_StockCount[WeekIndex],71)&gt;0,SUMIFS(T_StockCount[CountedQty],T_StockCount[RM_Code],$A82,T_StockCount[WeekIndex],71),IF((COUNTIFS(T_SelfStock[RM_Code],$A82,T_SelfStock[WeekIndex],71)&gt;0)*(COUNTIFS(T_TTAFStock[RM_Code],$A82,T_TTAFStock[WeekIndex],71)&gt;0)&gt;0,SUMIFS(T_SelfStock[Self_Qty],T_SelfStock[RM_Code],$A82,T_SelfStock[WeekIndex],71)+SUMIFS(T_TTAFStock[TTAF_Qty],T_TTAFStock[RM_Code],$A82,T_TTAFStock[WeekIndex],71),BS82+'Grid_Incoming'!BT82-'Grid_Requirement'!BT82))</f>
        <v/>
      </c>
      <c r="BU82">
        <f>IF(COUNTIFS(T_StockCount[RM_Code],$A82,T_StockCount[WeekIndex],72)&gt;0,SUMIFS(T_StockCount[CountedQty],T_StockCount[RM_Code],$A82,T_StockCount[WeekIndex],72),IF((COUNTIFS(T_SelfStock[RM_Code],$A82,T_SelfStock[WeekIndex],72)&gt;0)*(COUNTIFS(T_TTAFStock[RM_Code],$A82,T_TTAFStock[WeekIndex],72)&gt;0)&gt;0,SUMIFS(T_SelfStock[Self_Qty],T_SelfStock[RM_Code],$A82,T_SelfStock[WeekIndex],72)+SUMIFS(T_TTAFStock[TTAF_Qty],T_TTAFStock[RM_Code],$A82,T_TTAFStock[WeekIndex],72),BT82+'Grid_Incoming'!BU82-'Grid_Requirement'!BU82))</f>
        <v/>
      </c>
      <c r="BV82">
        <f>IF(COUNTIFS(T_StockCount[RM_Code],$A82,T_StockCount[WeekIndex],73)&gt;0,SUMIFS(T_StockCount[CountedQty],T_StockCount[RM_Code],$A82,T_StockCount[WeekIndex],73),IF((COUNTIFS(T_SelfStock[RM_Code],$A82,T_SelfStock[WeekIndex],73)&gt;0)*(COUNTIFS(T_TTAFStock[RM_Code],$A82,T_TTAFStock[WeekIndex],73)&gt;0)&gt;0,SUMIFS(T_SelfStock[Self_Qty],T_SelfStock[RM_Code],$A82,T_SelfStock[WeekIndex],73)+SUMIFS(T_TTAFStock[TTAF_Qty],T_TTAFStock[RM_Code],$A82,T_TTAFStock[WeekIndex],73),BU82+'Grid_Incoming'!BV82-'Grid_Requirement'!BV82))</f>
        <v/>
      </c>
      <c r="BW82">
        <f>IF(COUNTIFS(T_StockCount[RM_Code],$A82,T_StockCount[WeekIndex],74)&gt;0,SUMIFS(T_StockCount[CountedQty],T_StockCount[RM_Code],$A82,T_StockCount[WeekIndex],74),IF((COUNTIFS(T_SelfStock[RM_Code],$A82,T_SelfStock[WeekIndex],74)&gt;0)*(COUNTIFS(T_TTAFStock[RM_Code],$A82,T_TTAFStock[WeekIndex],74)&gt;0)&gt;0,SUMIFS(T_SelfStock[Self_Qty],T_SelfStock[RM_Code],$A82,T_SelfStock[WeekIndex],74)+SUMIFS(T_TTAFStock[TTAF_Qty],T_TTAFStock[RM_Code],$A82,T_TTAFStock[WeekIndex],74),BV82+'Grid_Incoming'!BW82-'Grid_Requirement'!BW82))</f>
        <v/>
      </c>
      <c r="BX82">
        <f>IF(COUNTIFS(T_StockCount[RM_Code],$A82,T_StockCount[WeekIndex],75)&gt;0,SUMIFS(T_StockCount[CountedQty],T_StockCount[RM_Code],$A82,T_StockCount[WeekIndex],75),IF((COUNTIFS(T_SelfStock[RM_Code],$A82,T_SelfStock[WeekIndex],75)&gt;0)*(COUNTIFS(T_TTAFStock[RM_Code],$A82,T_TTAFStock[WeekIndex],75)&gt;0)&gt;0,SUMIFS(T_SelfStock[Self_Qty],T_SelfStock[RM_Code],$A82,T_SelfStock[WeekIndex],75)+SUMIFS(T_TTAFStock[TTAF_Qty],T_TTAFStock[RM_Code],$A82,T_TTAFStock[WeekIndex],75),BW82+'Grid_Incoming'!BX82-'Grid_Requirement'!BX82))</f>
        <v/>
      </c>
      <c r="BY82">
        <f>IF(COUNTIFS(T_StockCount[RM_Code],$A82,T_StockCount[WeekIndex],76)&gt;0,SUMIFS(T_StockCount[CountedQty],T_StockCount[RM_Code],$A82,T_StockCount[WeekIndex],76),IF((COUNTIFS(T_SelfStock[RM_Code],$A82,T_SelfStock[WeekIndex],76)&gt;0)*(COUNTIFS(T_TTAFStock[RM_Code],$A82,T_TTAFStock[WeekIndex],76)&gt;0)&gt;0,SUMIFS(T_SelfStock[Self_Qty],T_SelfStock[RM_Code],$A82,T_SelfStock[WeekIndex],76)+SUMIFS(T_TTAFStock[TTAF_Qty],T_TTAFStock[RM_Code],$A82,T_TTAFStock[WeekIndex],76),BX82+'Grid_Incoming'!BY82-'Grid_Requirement'!BY82))</f>
        <v/>
      </c>
      <c r="BZ82">
        <f>IF(COUNTIFS(T_StockCount[RM_Code],$A82,T_StockCount[WeekIndex],77)&gt;0,SUMIFS(T_StockCount[CountedQty],T_StockCount[RM_Code],$A82,T_StockCount[WeekIndex],77),IF((COUNTIFS(T_SelfStock[RM_Code],$A82,T_SelfStock[WeekIndex],77)&gt;0)*(COUNTIFS(T_TTAFStock[RM_Code],$A82,T_TTAFStock[WeekIndex],77)&gt;0)&gt;0,SUMIFS(T_SelfStock[Self_Qty],T_SelfStock[RM_Code],$A82,T_SelfStock[WeekIndex],77)+SUMIFS(T_TTAFStock[TTAF_Qty],T_TTAFStock[RM_Code],$A82,T_TTAFStock[WeekIndex],77),BY82+'Grid_Incoming'!BZ82-'Grid_Requirement'!BZ82))</f>
        <v/>
      </c>
      <c r="CA82">
        <f>IF(COUNTIFS(T_StockCount[RM_Code],$A82,T_StockCount[WeekIndex],78)&gt;0,SUMIFS(T_StockCount[CountedQty],T_StockCount[RM_Code],$A82,T_StockCount[WeekIndex],78),IF((COUNTIFS(T_SelfStock[RM_Code],$A82,T_SelfStock[WeekIndex],78)&gt;0)*(COUNTIFS(T_TTAFStock[RM_Code],$A82,T_TTAFStock[WeekIndex],78)&gt;0)&gt;0,SUMIFS(T_SelfStock[Self_Qty],T_SelfStock[RM_Code],$A82,T_SelfStock[WeekIndex],78)+SUMIFS(T_TTAFStock[TTAF_Qty],T_TTAFStock[RM_Code],$A82,T_TTAFStock[WeekIndex],78),BZ82+'Grid_Incoming'!CA82-'Grid_Requirement'!CA82))</f>
        <v/>
      </c>
      <c r="CB82">
        <f>IF(COUNTIFS(T_StockCount[RM_Code],$A82,T_StockCount[WeekIndex],79)&gt;0,SUMIFS(T_StockCount[CountedQty],T_StockCount[RM_Code],$A82,T_StockCount[WeekIndex],79),IF((COUNTIFS(T_SelfStock[RM_Code],$A82,T_SelfStock[WeekIndex],79)&gt;0)*(COUNTIFS(T_TTAFStock[RM_Code],$A82,T_TTAFStock[WeekIndex],79)&gt;0)&gt;0,SUMIFS(T_SelfStock[Self_Qty],T_SelfStock[RM_Code],$A82,T_SelfStock[WeekIndex],79)+SUMIFS(T_TTAFStock[TTAF_Qty],T_TTAFStock[RM_Code],$A82,T_TTAFStock[WeekIndex],79),CA82+'Grid_Incoming'!CB82-'Grid_Requirement'!CB82))</f>
        <v/>
      </c>
      <c r="CC82">
        <f>IF(COUNTIFS(T_StockCount[RM_Code],$A82,T_StockCount[WeekIndex],80)&gt;0,SUMIFS(T_StockCount[CountedQty],T_StockCount[RM_Code],$A82,T_StockCount[WeekIndex],80),IF((COUNTIFS(T_SelfStock[RM_Code],$A82,T_SelfStock[WeekIndex],80)&gt;0)*(COUNTIFS(T_TTAFStock[RM_Code],$A82,T_TTAFStock[WeekIndex],80)&gt;0)&gt;0,SUMIFS(T_SelfStock[Self_Qty],T_SelfStock[RM_Code],$A82,T_SelfStock[WeekIndex],80)+SUMIFS(T_TTAFStock[TTAF_Qty],T_TTAFStock[RM_Code],$A82,T_TTAFStock[WeekIndex],80),CB82+'Grid_Incoming'!CC82-'Grid_Requirement'!CC82))</f>
        <v/>
      </c>
      <c r="CD82">
        <f>IF(COUNTIFS(T_StockCount[RM_Code],$A82,T_StockCount[WeekIndex],81)&gt;0,SUMIFS(T_StockCount[CountedQty],T_StockCount[RM_Code],$A82,T_StockCount[WeekIndex],81),IF((COUNTIFS(T_SelfStock[RM_Code],$A82,T_SelfStock[WeekIndex],81)&gt;0)*(COUNTIFS(T_TTAFStock[RM_Code],$A82,T_TTAFStock[WeekIndex],81)&gt;0)&gt;0,SUMIFS(T_SelfStock[Self_Qty],T_SelfStock[RM_Code],$A82,T_SelfStock[WeekIndex],81)+SUMIFS(T_TTAFStock[TTAF_Qty],T_TTAFStock[RM_Code],$A82,T_TTAFStock[WeekIndex],81),CC82+'Grid_Incoming'!CD82-'Grid_Requirement'!CD82))</f>
        <v/>
      </c>
      <c r="CE82">
        <f>IF(COUNTIFS(T_StockCount[RM_Code],$A82,T_StockCount[WeekIndex],82)&gt;0,SUMIFS(T_StockCount[CountedQty],T_StockCount[RM_Code],$A82,T_StockCount[WeekIndex],82),IF((COUNTIFS(T_SelfStock[RM_Code],$A82,T_SelfStock[WeekIndex],82)&gt;0)*(COUNTIFS(T_TTAFStock[RM_Code],$A82,T_TTAFStock[WeekIndex],82)&gt;0)&gt;0,SUMIFS(T_SelfStock[Self_Qty],T_SelfStock[RM_Code],$A82,T_SelfStock[WeekIndex],82)+SUMIFS(T_TTAFStock[TTAF_Qty],T_TTAFStock[RM_Code],$A82,T_TTAFStock[WeekIndex],82),CD82+'Grid_Incoming'!CE82-'Grid_Requirement'!CE82))</f>
        <v/>
      </c>
      <c r="CF82">
        <f>IF(COUNTIFS(T_StockCount[RM_Code],$A82,T_StockCount[WeekIndex],83)&gt;0,SUMIFS(T_StockCount[CountedQty],T_StockCount[RM_Code],$A82,T_StockCount[WeekIndex],83),IF((COUNTIFS(T_SelfStock[RM_Code],$A82,T_SelfStock[WeekIndex],83)&gt;0)*(COUNTIFS(T_TTAFStock[RM_Code],$A82,T_TTAFStock[WeekIndex],83)&gt;0)&gt;0,SUMIFS(T_SelfStock[Self_Qty],T_SelfStock[RM_Code],$A82,T_SelfStock[WeekIndex],83)+SUMIFS(T_TTAFStock[TTAF_Qty],T_TTAFStock[RM_Code],$A82,T_TTAFStock[WeekIndex],83),CE82+'Grid_Incoming'!CF82-'Grid_Requirement'!CF82))</f>
        <v/>
      </c>
      <c r="CG82">
        <f>IF(COUNTIFS(T_StockCount[RM_Code],$A82,T_StockCount[WeekIndex],84)&gt;0,SUMIFS(T_StockCount[CountedQty],T_StockCount[RM_Code],$A82,T_StockCount[WeekIndex],84),IF((COUNTIFS(T_SelfStock[RM_Code],$A82,T_SelfStock[WeekIndex],84)&gt;0)*(COUNTIFS(T_TTAFStock[RM_Code],$A82,T_TTAFStock[WeekIndex],84)&gt;0)&gt;0,SUMIFS(T_SelfStock[Self_Qty],T_SelfStock[RM_Code],$A82,T_SelfStock[WeekIndex],84)+SUMIFS(T_TTAFStock[TTAF_Qty],T_TTAFStock[RM_Code],$A82,T_TTAFStock[WeekIndex],84),CF82+'Grid_Incoming'!CG82-'Grid_Requirement'!CG82))</f>
        <v/>
      </c>
      <c r="CH82">
        <f>IF(COUNTIFS(T_StockCount[RM_Code],$A82,T_StockCount[WeekIndex],85)&gt;0,SUMIFS(T_StockCount[CountedQty],T_StockCount[RM_Code],$A82,T_StockCount[WeekIndex],85),IF((COUNTIFS(T_SelfStock[RM_Code],$A82,T_SelfStock[WeekIndex],85)&gt;0)*(COUNTIFS(T_TTAFStock[RM_Code],$A82,T_TTAFStock[WeekIndex],85)&gt;0)&gt;0,SUMIFS(T_SelfStock[Self_Qty],T_SelfStock[RM_Code],$A82,T_SelfStock[WeekIndex],85)+SUMIFS(T_TTAFStock[TTAF_Qty],T_TTAFStock[RM_Code],$A82,T_TTAFStock[WeekIndex],85),CG82+'Grid_Incoming'!CH82-'Grid_Requirement'!CH82))</f>
        <v/>
      </c>
      <c r="CI82">
        <f>IF(COUNTIFS(T_StockCount[RM_Code],$A82,T_StockCount[WeekIndex],86)&gt;0,SUMIFS(T_StockCount[CountedQty],T_StockCount[RM_Code],$A82,T_StockCount[WeekIndex],86),IF((COUNTIFS(T_SelfStock[RM_Code],$A82,T_SelfStock[WeekIndex],86)&gt;0)*(COUNTIFS(T_TTAFStock[RM_Code],$A82,T_TTAFStock[WeekIndex],86)&gt;0)&gt;0,SUMIFS(T_SelfStock[Self_Qty],T_SelfStock[RM_Code],$A82,T_SelfStock[WeekIndex],86)+SUMIFS(T_TTAFStock[TTAF_Qty],T_TTAFStock[RM_Code],$A82,T_TTAFStock[WeekIndex],86),CH82+'Grid_Incoming'!CI82-'Grid_Requirement'!CI82))</f>
        <v/>
      </c>
      <c r="CJ82">
        <f>IF(COUNTIFS(T_StockCount[RM_Code],$A82,T_StockCount[WeekIndex],87)&gt;0,SUMIFS(T_StockCount[CountedQty],T_StockCount[RM_Code],$A82,T_StockCount[WeekIndex],87),IF((COUNTIFS(T_SelfStock[RM_Code],$A82,T_SelfStock[WeekIndex],87)&gt;0)*(COUNTIFS(T_TTAFStock[RM_Code],$A82,T_TTAFStock[WeekIndex],87)&gt;0)&gt;0,SUMIFS(T_SelfStock[Self_Qty],T_SelfStock[RM_Code],$A82,T_SelfStock[WeekIndex],87)+SUMIFS(T_TTAFStock[TTAF_Qty],T_TTAFStock[RM_Code],$A82,T_TTAFStock[WeekIndex],87),CI82+'Grid_Incoming'!CJ82-'Grid_Requirement'!CJ82))</f>
        <v/>
      </c>
      <c r="CK82">
        <f>IF(COUNTIFS(T_StockCount[RM_Code],$A82,T_StockCount[WeekIndex],88)&gt;0,SUMIFS(T_StockCount[CountedQty],T_StockCount[RM_Code],$A82,T_StockCount[WeekIndex],88),IF((COUNTIFS(T_SelfStock[RM_Code],$A82,T_SelfStock[WeekIndex],88)&gt;0)*(COUNTIFS(T_TTAFStock[RM_Code],$A82,T_TTAFStock[WeekIndex],88)&gt;0)&gt;0,SUMIFS(T_SelfStock[Self_Qty],T_SelfStock[RM_Code],$A82,T_SelfStock[WeekIndex],88)+SUMIFS(T_TTAFStock[TTAF_Qty],T_TTAFStock[RM_Code],$A82,T_TTAFStock[WeekIndex],88),CJ82+'Grid_Incoming'!CK82-'Grid_Requirement'!CK82))</f>
        <v/>
      </c>
      <c r="CL82">
        <f>IF(COUNTIFS(T_StockCount[RM_Code],$A82,T_StockCount[WeekIndex],89)&gt;0,SUMIFS(T_StockCount[CountedQty],T_StockCount[RM_Code],$A82,T_StockCount[WeekIndex],89),IF((COUNTIFS(T_SelfStock[RM_Code],$A82,T_SelfStock[WeekIndex],89)&gt;0)*(COUNTIFS(T_TTAFStock[RM_Code],$A82,T_TTAFStock[WeekIndex],89)&gt;0)&gt;0,SUMIFS(T_SelfStock[Self_Qty],T_SelfStock[RM_Code],$A82,T_SelfStock[WeekIndex],89)+SUMIFS(T_TTAFStock[TTAF_Qty],T_TTAFStock[RM_Code],$A82,T_TTAFStock[WeekIndex],89),CK82+'Grid_Incoming'!CL82-'Grid_Requirement'!CL82))</f>
        <v/>
      </c>
      <c r="CM82">
        <f>IF(COUNTIFS(T_StockCount[RM_Code],$A82,T_StockCount[WeekIndex],90)&gt;0,SUMIFS(T_StockCount[CountedQty],T_StockCount[RM_Code],$A82,T_StockCount[WeekIndex],90),IF((COUNTIFS(T_SelfStock[RM_Code],$A82,T_SelfStock[WeekIndex],90)&gt;0)*(COUNTIFS(T_TTAFStock[RM_Code],$A82,T_TTAFStock[WeekIndex],90)&gt;0)&gt;0,SUMIFS(T_SelfStock[Self_Qty],T_SelfStock[RM_Code],$A82,T_SelfStock[WeekIndex],90)+SUMIFS(T_TTAFStock[TTAF_Qty],T_TTAFStock[RM_Code],$A82,T_TTAFStock[WeekIndex],90),CL82+'Grid_Incoming'!CM82-'Grid_Requirement'!CM82))</f>
        <v/>
      </c>
      <c r="CN82">
        <f>IF(COUNTIFS(T_StockCount[RM_Code],$A82,T_StockCount[WeekIndex],91)&gt;0,SUMIFS(T_StockCount[CountedQty],T_StockCount[RM_Code],$A82,T_StockCount[WeekIndex],91),IF((COUNTIFS(T_SelfStock[RM_Code],$A82,T_SelfStock[WeekIndex],91)&gt;0)*(COUNTIFS(T_TTAFStock[RM_Code],$A82,T_TTAFStock[WeekIndex],91)&gt;0)&gt;0,SUMIFS(T_SelfStock[Self_Qty],T_SelfStock[RM_Code],$A82,T_SelfStock[WeekIndex],91)+SUMIFS(T_TTAFStock[TTAF_Qty],T_TTAFStock[RM_Code],$A82,T_TTAFStock[WeekIndex],91),CM82+'Grid_Incoming'!CN82-'Grid_Requirement'!CN82))</f>
        <v/>
      </c>
      <c r="CO82">
        <f>IF(COUNTIFS(T_StockCount[RM_Code],$A82,T_StockCount[WeekIndex],92)&gt;0,SUMIFS(T_StockCount[CountedQty],T_StockCount[RM_Code],$A82,T_StockCount[WeekIndex],92),IF((COUNTIFS(T_SelfStock[RM_Code],$A82,T_SelfStock[WeekIndex],92)&gt;0)*(COUNTIFS(T_TTAFStock[RM_Code],$A82,T_TTAFStock[WeekIndex],92)&gt;0)&gt;0,SUMIFS(T_SelfStock[Self_Qty],T_SelfStock[RM_Code],$A82,T_SelfStock[WeekIndex],92)+SUMIFS(T_TTAFStock[TTAF_Qty],T_TTAFStock[RM_Code],$A82,T_TTAFStock[WeekIndex],92),CN82+'Grid_Incoming'!CO82-'Grid_Requirement'!CO82))</f>
        <v/>
      </c>
      <c r="CP82">
        <f>IF(COUNTIFS(T_StockCount[RM_Code],$A82,T_StockCount[WeekIndex],93)&gt;0,SUMIFS(T_StockCount[CountedQty],T_StockCount[RM_Code],$A82,T_StockCount[WeekIndex],93),IF((COUNTIFS(T_SelfStock[RM_Code],$A82,T_SelfStock[WeekIndex],93)&gt;0)*(COUNTIFS(T_TTAFStock[RM_Code],$A82,T_TTAFStock[WeekIndex],93)&gt;0)&gt;0,SUMIFS(T_SelfStock[Self_Qty],T_SelfStock[RM_Code],$A82,T_SelfStock[WeekIndex],93)+SUMIFS(T_TTAFStock[TTAF_Qty],T_TTAFStock[RM_Code],$A82,T_TTAFStock[WeekIndex],93),CO82+'Grid_Incoming'!CP82-'Grid_Requirement'!CP82))</f>
        <v/>
      </c>
      <c r="CQ82">
        <f>IF(COUNTIFS(T_StockCount[RM_Code],$A82,T_StockCount[WeekIndex],94)&gt;0,SUMIFS(T_StockCount[CountedQty],T_StockCount[RM_Code],$A82,T_StockCount[WeekIndex],94),IF((COUNTIFS(T_SelfStock[RM_Code],$A82,T_SelfStock[WeekIndex],94)&gt;0)*(COUNTIFS(T_TTAFStock[RM_Code],$A82,T_TTAFStock[WeekIndex],94)&gt;0)&gt;0,SUMIFS(T_SelfStock[Self_Qty],T_SelfStock[RM_Code],$A82,T_SelfStock[WeekIndex],94)+SUMIFS(T_TTAFStock[TTAF_Qty],T_TTAFStock[RM_Code],$A82,T_TTAFStock[WeekIndex],94),CP82+'Grid_Incoming'!CQ82-'Grid_Requirement'!CQ82))</f>
        <v/>
      </c>
      <c r="CR82">
        <f>IF(COUNTIFS(T_StockCount[RM_Code],$A82,T_StockCount[WeekIndex],95)&gt;0,SUMIFS(T_StockCount[CountedQty],T_StockCount[RM_Code],$A82,T_StockCount[WeekIndex],95),IF((COUNTIFS(T_SelfStock[RM_Code],$A82,T_SelfStock[WeekIndex],95)&gt;0)*(COUNTIFS(T_TTAFStock[RM_Code],$A82,T_TTAFStock[WeekIndex],95)&gt;0)&gt;0,SUMIFS(T_SelfStock[Self_Qty],T_SelfStock[RM_Code],$A82,T_SelfStock[WeekIndex],95)+SUMIFS(T_TTAFStock[TTAF_Qty],T_TTAFStock[RM_Code],$A82,T_TTAFStock[WeekIndex],95),CQ82+'Grid_Incoming'!CR82-'Grid_Requirement'!CR82))</f>
        <v/>
      </c>
      <c r="CS82">
        <f>IF(COUNTIFS(T_StockCount[RM_Code],$A82,T_StockCount[WeekIndex],96)&gt;0,SUMIFS(T_StockCount[CountedQty],T_StockCount[RM_Code],$A82,T_StockCount[WeekIndex],96),IF((COUNTIFS(T_SelfStock[RM_Code],$A82,T_SelfStock[WeekIndex],96)&gt;0)*(COUNTIFS(T_TTAFStock[RM_Code],$A82,T_TTAFStock[WeekIndex],96)&gt;0)&gt;0,SUMIFS(T_SelfStock[Self_Qty],T_SelfStock[RM_Code],$A82,T_SelfStock[WeekIndex],96)+SUMIFS(T_TTAFStock[TTAF_Qty],T_TTAFStock[RM_Code],$A82,T_TTAFStock[WeekIndex],96),CR82+'Grid_Incoming'!CS82-'Grid_Requirement'!CS82))</f>
        <v/>
      </c>
      <c r="CT82">
        <f>IF(COUNTIFS(T_StockCount[RM_Code],$A82,T_StockCount[WeekIndex],97)&gt;0,SUMIFS(T_StockCount[CountedQty],T_StockCount[RM_Code],$A82,T_StockCount[WeekIndex],97),IF((COUNTIFS(T_SelfStock[RM_Code],$A82,T_SelfStock[WeekIndex],97)&gt;0)*(COUNTIFS(T_TTAFStock[RM_Code],$A82,T_TTAFStock[WeekIndex],97)&gt;0)&gt;0,SUMIFS(T_SelfStock[Self_Qty],T_SelfStock[RM_Code],$A82,T_SelfStock[WeekIndex],97)+SUMIFS(T_TTAFStock[TTAF_Qty],T_TTAFStock[RM_Code],$A82,T_TTAFStock[WeekIndex],97),CS82+'Grid_Incoming'!CT82-'Grid_Requirement'!CT82))</f>
        <v/>
      </c>
      <c r="CU82">
        <f>IF(COUNTIFS(T_StockCount[RM_Code],$A82,T_StockCount[WeekIndex],98)&gt;0,SUMIFS(T_StockCount[CountedQty],T_StockCount[RM_Code],$A82,T_StockCount[WeekIndex],98),IF((COUNTIFS(T_SelfStock[RM_Code],$A82,T_SelfStock[WeekIndex],98)&gt;0)*(COUNTIFS(T_TTAFStock[RM_Code],$A82,T_TTAFStock[WeekIndex],98)&gt;0)&gt;0,SUMIFS(T_SelfStock[Self_Qty],T_SelfStock[RM_Code],$A82,T_SelfStock[WeekIndex],98)+SUMIFS(T_TTAFStock[TTAF_Qty],T_TTAFStock[RM_Code],$A82,T_TTAFStock[WeekIndex],98),CT82+'Grid_Incoming'!CU82-'Grid_Requirement'!CU82))</f>
        <v/>
      </c>
      <c r="CV82">
        <f>IF(COUNTIFS(T_StockCount[RM_Code],$A82,T_StockCount[WeekIndex],99)&gt;0,SUMIFS(T_StockCount[CountedQty],T_StockCount[RM_Code],$A82,T_StockCount[WeekIndex],99),IF((COUNTIFS(T_SelfStock[RM_Code],$A82,T_SelfStock[WeekIndex],99)&gt;0)*(COUNTIFS(T_TTAFStock[RM_Code],$A82,T_TTAFStock[WeekIndex],99)&gt;0)&gt;0,SUMIFS(T_SelfStock[Self_Qty],T_SelfStock[RM_Code],$A82,T_SelfStock[WeekIndex],99)+SUMIFS(T_TTAFStock[TTAF_Qty],T_TTAFStock[RM_Code],$A82,T_TTAFStock[WeekIndex],99),CU82+'Grid_Incoming'!CV82-'Grid_Requirement'!CV82))</f>
        <v/>
      </c>
      <c r="CW82">
        <f>IF(COUNTIFS(T_StockCount[RM_Code],$A82,T_StockCount[WeekIndex],100)&gt;0,SUMIFS(T_StockCount[CountedQty],T_StockCount[RM_Code],$A82,T_StockCount[WeekIndex],100),IF((COUNTIFS(T_SelfStock[RM_Code],$A82,T_SelfStock[WeekIndex],100)&gt;0)*(COUNTIFS(T_TTAFStock[RM_Code],$A82,T_TTAFStock[WeekIndex],100)&gt;0)&gt;0,SUMIFS(T_SelfStock[Self_Qty],T_SelfStock[RM_Code],$A82,T_SelfStock[WeekIndex],100)+SUMIFS(T_TTAFStock[TTAF_Qty],T_TTAFStock[RM_Code],$A82,T_TTAFStock[WeekIndex],100),CV82+'Grid_Incoming'!CW82-'Grid_Requirement'!CW82))</f>
        <v/>
      </c>
      <c r="CX82">
        <f>IF(COUNTIFS(T_StockCount[RM_Code],$A82,T_StockCount[WeekIndex],101)&gt;0,SUMIFS(T_StockCount[CountedQty],T_StockCount[RM_Code],$A82,T_StockCount[WeekIndex],101),IF((COUNTIFS(T_SelfStock[RM_Code],$A82,T_SelfStock[WeekIndex],101)&gt;0)*(COUNTIFS(T_TTAFStock[RM_Code],$A82,T_TTAFStock[WeekIndex],101)&gt;0)&gt;0,SUMIFS(T_SelfStock[Self_Qty],T_SelfStock[RM_Code],$A82,T_SelfStock[WeekIndex],101)+SUMIFS(T_TTAFStock[TTAF_Qty],T_TTAFStock[RM_Code],$A82,T_TTAFStock[WeekIndex],101),CW82+'Grid_Incoming'!CX82-'Grid_Requirement'!CX82))</f>
        <v/>
      </c>
      <c r="CY82">
        <f>IF(COUNTIFS(T_StockCount[RM_Code],$A82,T_StockCount[WeekIndex],102)&gt;0,SUMIFS(T_StockCount[CountedQty],T_StockCount[RM_Code],$A82,T_StockCount[WeekIndex],102),IF((COUNTIFS(T_SelfStock[RM_Code],$A82,T_SelfStock[WeekIndex],102)&gt;0)*(COUNTIFS(T_TTAFStock[RM_Code],$A82,T_TTAFStock[WeekIndex],102)&gt;0)&gt;0,SUMIFS(T_SelfStock[Self_Qty],T_SelfStock[RM_Code],$A82,T_SelfStock[WeekIndex],102)+SUMIFS(T_TTAFStock[TTAF_Qty],T_TTAFStock[RM_Code],$A82,T_TTAFStock[WeekIndex],102),CX82+'Grid_Incoming'!CY82-'Grid_Requirement'!CY82))</f>
        <v/>
      </c>
      <c r="CZ82">
        <f>IF(COUNTIFS(T_StockCount[RM_Code],$A82,T_StockCount[WeekIndex],103)&gt;0,SUMIFS(T_StockCount[CountedQty],T_StockCount[RM_Code],$A82,T_StockCount[WeekIndex],103),IF((COUNTIFS(T_SelfStock[RM_Code],$A82,T_SelfStock[WeekIndex],103)&gt;0)*(COUNTIFS(T_TTAFStock[RM_Code],$A82,T_TTAFStock[WeekIndex],103)&gt;0)&gt;0,SUMIFS(T_SelfStock[Self_Qty],T_SelfStock[RM_Code],$A82,T_SelfStock[WeekIndex],103)+SUMIFS(T_TTAFStock[TTAF_Qty],T_TTAFStock[RM_Code],$A82,T_TTAFStock[WeekIndex],103),CY82+'Grid_Incoming'!CZ82-'Grid_Requirement'!CZ82))</f>
        <v/>
      </c>
      <c r="DA82">
        <f>IF(COUNTIFS(T_StockCount[RM_Code],$A82,T_StockCount[WeekIndex],104)&gt;0,SUMIFS(T_StockCount[CountedQty],T_StockCount[RM_Code],$A82,T_StockCount[WeekIndex],104),IF((COUNTIFS(T_SelfStock[RM_Code],$A82,T_SelfStock[WeekIndex],104)&gt;0)*(COUNTIFS(T_TTAFStock[RM_Code],$A82,T_TTAFStock[WeekIndex],104)&gt;0)&gt;0,SUMIFS(T_SelfStock[Self_Qty],T_SelfStock[RM_Code],$A82,T_SelfStock[WeekIndex],104)+SUMIFS(T_TTAFStock[TTAF_Qty],T_TTAFStock[RM_Code],$A82,T_TTAFStock[WeekIndex],104),CZ82+'Grid_Incoming'!DA82-'Grid_Requirement'!DA82))</f>
        <v/>
      </c>
    </row>
    <row r="83">
      <c r="A83" t="inlineStr">
        <is>
          <t>CHEM-1220</t>
        </is>
      </c>
      <c r="B83">
        <f>IF(COUNTIFS(T_StockCount[RM_Code],$A83,T_StockCount[WeekIndex],1)&gt;0,SUMIFS(T_StockCount[CountedQty],T_StockCount[RM_Code],$A83,T_StockCount[WeekIndex],1),IF((COUNTIFS(T_SelfStock[RM_Code],$A83,T_SelfStock[WeekIndex],1)&gt;0)*(COUNTIFS(T_TTAFStock[RM_Code],$A83,T_TTAFStock[WeekIndex],1)&gt;0)&gt;0,SUMIFS(T_SelfStock[Self_Qty],T_SelfStock[RM_Code],$A83,T_SelfStock[WeekIndex],1)+SUMIFS(T_TTAFStock[TTAF_Qty],T_TTAFStock[RM_Code],$A83,T_TTAFStock[WeekIndex],1),IFERROR(INDEX(T_OpeningStock[Opening_Qty],MATCH($A83,T_OpeningStock[RM_Code],0)),0)+'Grid_Incoming'!B83-'Grid_Requirement'!B83))</f>
        <v/>
      </c>
      <c r="C83">
        <f>IF(COUNTIFS(T_StockCount[RM_Code],$A83,T_StockCount[WeekIndex],2)&gt;0,SUMIFS(T_StockCount[CountedQty],T_StockCount[RM_Code],$A83,T_StockCount[WeekIndex],2),IF((COUNTIFS(T_SelfStock[RM_Code],$A83,T_SelfStock[WeekIndex],2)&gt;0)*(COUNTIFS(T_TTAFStock[RM_Code],$A83,T_TTAFStock[WeekIndex],2)&gt;0)&gt;0,SUMIFS(T_SelfStock[Self_Qty],T_SelfStock[RM_Code],$A83,T_SelfStock[WeekIndex],2)+SUMIFS(T_TTAFStock[TTAF_Qty],T_TTAFStock[RM_Code],$A83,T_TTAFStock[WeekIndex],2),B83+'Grid_Incoming'!C83-'Grid_Requirement'!C83))</f>
        <v/>
      </c>
      <c r="D83">
        <f>IF(COUNTIFS(T_StockCount[RM_Code],$A83,T_StockCount[WeekIndex],3)&gt;0,SUMIFS(T_StockCount[CountedQty],T_StockCount[RM_Code],$A83,T_StockCount[WeekIndex],3),IF((COUNTIFS(T_SelfStock[RM_Code],$A83,T_SelfStock[WeekIndex],3)&gt;0)*(COUNTIFS(T_TTAFStock[RM_Code],$A83,T_TTAFStock[WeekIndex],3)&gt;0)&gt;0,SUMIFS(T_SelfStock[Self_Qty],T_SelfStock[RM_Code],$A83,T_SelfStock[WeekIndex],3)+SUMIFS(T_TTAFStock[TTAF_Qty],T_TTAFStock[RM_Code],$A83,T_TTAFStock[WeekIndex],3),C83+'Grid_Incoming'!D83-'Grid_Requirement'!D83))</f>
        <v/>
      </c>
      <c r="E83">
        <f>IF(COUNTIFS(T_StockCount[RM_Code],$A83,T_StockCount[WeekIndex],4)&gt;0,SUMIFS(T_StockCount[CountedQty],T_StockCount[RM_Code],$A83,T_StockCount[WeekIndex],4),IF((COUNTIFS(T_SelfStock[RM_Code],$A83,T_SelfStock[WeekIndex],4)&gt;0)*(COUNTIFS(T_TTAFStock[RM_Code],$A83,T_TTAFStock[WeekIndex],4)&gt;0)&gt;0,SUMIFS(T_SelfStock[Self_Qty],T_SelfStock[RM_Code],$A83,T_SelfStock[WeekIndex],4)+SUMIFS(T_TTAFStock[TTAF_Qty],T_TTAFStock[RM_Code],$A83,T_TTAFStock[WeekIndex],4),D83+'Grid_Incoming'!E83-'Grid_Requirement'!E83))</f>
        <v/>
      </c>
      <c r="F83">
        <f>IF(COUNTIFS(T_StockCount[RM_Code],$A83,T_StockCount[WeekIndex],5)&gt;0,SUMIFS(T_StockCount[CountedQty],T_StockCount[RM_Code],$A83,T_StockCount[WeekIndex],5),IF((COUNTIFS(T_SelfStock[RM_Code],$A83,T_SelfStock[WeekIndex],5)&gt;0)*(COUNTIFS(T_TTAFStock[RM_Code],$A83,T_TTAFStock[WeekIndex],5)&gt;0)&gt;0,SUMIFS(T_SelfStock[Self_Qty],T_SelfStock[RM_Code],$A83,T_SelfStock[WeekIndex],5)+SUMIFS(T_TTAFStock[TTAF_Qty],T_TTAFStock[RM_Code],$A83,T_TTAFStock[WeekIndex],5),E83+'Grid_Incoming'!F83-'Grid_Requirement'!F83))</f>
        <v/>
      </c>
      <c r="G83">
        <f>IF(COUNTIFS(T_StockCount[RM_Code],$A83,T_StockCount[WeekIndex],6)&gt;0,SUMIFS(T_StockCount[CountedQty],T_StockCount[RM_Code],$A83,T_StockCount[WeekIndex],6),IF((COUNTIFS(T_SelfStock[RM_Code],$A83,T_SelfStock[WeekIndex],6)&gt;0)*(COUNTIFS(T_TTAFStock[RM_Code],$A83,T_TTAFStock[WeekIndex],6)&gt;0)&gt;0,SUMIFS(T_SelfStock[Self_Qty],T_SelfStock[RM_Code],$A83,T_SelfStock[WeekIndex],6)+SUMIFS(T_TTAFStock[TTAF_Qty],T_TTAFStock[RM_Code],$A83,T_TTAFStock[WeekIndex],6),F83+'Grid_Incoming'!G83-'Grid_Requirement'!G83))</f>
        <v/>
      </c>
      <c r="H83">
        <f>IF(COUNTIFS(T_StockCount[RM_Code],$A83,T_StockCount[WeekIndex],7)&gt;0,SUMIFS(T_StockCount[CountedQty],T_StockCount[RM_Code],$A83,T_StockCount[WeekIndex],7),IF((COUNTIFS(T_SelfStock[RM_Code],$A83,T_SelfStock[WeekIndex],7)&gt;0)*(COUNTIFS(T_TTAFStock[RM_Code],$A83,T_TTAFStock[WeekIndex],7)&gt;0)&gt;0,SUMIFS(T_SelfStock[Self_Qty],T_SelfStock[RM_Code],$A83,T_SelfStock[WeekIndex],7)+SUMIFS(T_TTAFStock[TTAF_Qty],T_TTAFStock[RM_Code],$A83,T_TTAFStock[WeekIndex],7),G83+'Grid_Incoming'!H83-'Grid_Requirement'!H83))</f>
        <v/>
      </c>
      <c r="I83">
        <f>IF(COUNTIFS(T_StockCount[RM_Code],$A83,T_StockCount[WeekIndex],8)&gt;0,SUMIFS(T_StockCount[CountedQty],T_StockCount[RM_Code],$A83,T_StockCount[WeekIndex],8),IF((COUNTIFS(T_SelfStock[RM_Code],$A83,T_SelfStock[WeekIndex],8)&gt;0)*(COUNTIFS(T_TTAFStock[RM_Code],$A83,T_TTAFStock[WeekIndex],8)&gt;0)&gt;0,SUMIFS(T_SelfStock[Self_Qty],T_SelfStock[RM_Code],$A83,T_SelfStock[WeekIndex],8)+SUMIFS(T_TTAFStock[TTAF_Qty],T_TTAFStock[RM_Code],$A83,T_TTAFStock[WeekIndex],8),H83+'Grid_Incoming'!I83-'Grid_Requirement'!I83))</f>
        <v/>
      </c>
      <c r="J83">
        <f>IF(COUNTIFS(T_StockCount[RM_Code],$A83,T_StockCount[WeekIndex],9)&gt;0,SUMIFS(T_StockCount[CountedQty],T_StockCount[RM_Code],$A83,T_StockCount[WeekIndex],9),IF((COUNTIFS(T_SelfStock[RM_Code],$A83,T_SelfStock[WeekIndex],9)&gt;0)*(COUNTIFS(T_TTAFStock[RM_Code],$A83,T_TTAFStock[WeekIndex],9)&gt;0)&gt;0,SUMIFS(T_SelfStock[Self_Qty],T_SelfStock[RM_Code],$A83,T_SelfStock[WeekIndex],9)+SUMIFS(T_TTAFStock[TTAF_Qty],T_TTAFStock[RM_Code],$A83,T_TTAFStock[WeekIndex],9),I83+'Grid_Incoming'!J83-'Grid_Requirement'!J83))</f>
        <v/>
      </c>
      <c r="K83">
        <f>IF(COUNTIFS(T_StockCount[RM_Code],$A83,T_StockCount[WeekIndex],10)&gt;0,SUMIFS(T_StockCount[CountedQty],T_StockCount[RM_Code],$A83,T_StockCount[WeekIndex],10),IF((COUNTIFS(T_SelfStock[RM_Code],$A83,T_SelfStock[WeekIndex],10)&gt;0)*(COUNTIFS(T_TTAFStock[RM_Code],$A83,T_TTAFStock[WeekIndex],10)&gt;0)&gt;0,SUMIFS(T_SelfStock[Self_Qty],T_SelfStock[RM_Code],$A83,T_SelfStock[WeekIndex],10)+SUMIFS(T_TTAFStock[TTAF_Qty],T_TTAFStock[RM_Code],$A83,T_TTAFStock[WeekIndex],10),J83+'Grid_Incoming'!K83-'Grid_Requirement'!K83))</f>
        <v/>
      </c>
      <c r="L83">
        <f>IF(COUNTIFS(T_StockCount[RM_Code],$A83,T_StockCount[WeekIndex],11)&gt;0,SUMIFS(T_StockCount[CountedQty],T_StockCount[RM_Code],$A83,T_StockCount[WeekIndex],11),IF((COUNTIFS(T_SelfStock[RM_Code],$A83,T_SelfStock[WeekIndex],11)&gt;0)*(COUNTIFS(T_TTAFStock[RM_Code],$A83,T_TTAFStock[WeekIndex],11)&gt;0)&gt;0,SUMIFS(T_SelfStock[Self_Qty],T_SelfStock[RM_Code],$A83,T_SelfStock[WeekIndex],11)+SUMIFS(T_TTAFStock[TTAF_Qty],T_TTAFStock[RM_Code],$A83,T_TTAFStock[WeekIndex],11),K83+'Grid_Incoming'!L83-'Grid_Requirement'!L83))</f>
        <v/>
      </c>
      <c r="M83">
        <f>IF(COUNTIFS(T_StockCount[RM_Code],$A83,T_StockCount[WeekIndex],12)&gt;0,SUMIFS(T_StockCount[CountedQty],T_StockCount[RM_Code],$A83,T_StockCount[WeekIndex],12),IF((COUNTIFS(T_SelfStock[RM_Code],$A83,T_SelfStock[WeekIndex],12)&gt;0)*(COUNTIFS(T_TTAFStock[RM_Code],$A83,T_TTAFStock[WeekIndex],12)&gt;0)&gt;0,SUMIFS(T_SelfStock[Self_Qty],T_SelfStock[RM_Code],$A83,T_SelfStock[WeekIndex],12)+SUMIFS(T_TTAFStock[TTAF_Qty],T_TTAFStock[RM_Code],$A83,T_TTAFStock[WeekIndex],12),L83+'Grid_Incoming'!M83-'Grid_Requirement'!M83))</f>
        <v/>
      </c>
      <c r="N83">
        <f>IF(COUNTIFS(T_StockCount[RM_Code],$A83,T_StockCount[WeekIndex],13)&gt;0,SUMIFS(T_StockCount[CountedQty],T_StockCount[RM_Code],$A83,T_StockCount[WeekIndex],13),IF((COUNTIFS(T_SelfStock[RM_Code],$A83,T_SelfStock[WeekIndex],13)&gt;0)*(COUNTIFS(T_TTAFStock[RM_Code],$A83,T_TTAFStock[WeekIndex],13)&gt;0)&gt;0,SUMIFS(T_SelfStock[Self_Qty],T_SelfStock[RM_Code],$A83,T_SelfStock[WeekIndex],13)+SUMIFS(T_TTAFStock[TTAF_Qty],T_TTAFStock[RM_Code],$A83,T_TTAFStock[WeekIndex],13),M83+'Grid_Incoming'!N83-'Grid_Requirement'!N83))</f>
        <v/>
      </c>
      <c r="O83">
        <f>IF(COUNTIFS(T_StockCount[RM_Code],$A83,T_StockCount[WeekIndex],14)&gt;0,SUMIFS(T_StockCount[CountedQty],T_StockCount[RM_Code],$A83,T_StockCount[WeekIndex],14),IF((COUNTIFS(T_SelfStock[RM_Code],$A83,T_SelfStock[WeekIndex],14)&gt;0)*(COUNTIFS(T_TTAFStock[RM_Code],$A83,T_TTAFStock[WeekIndex],14)&gt;0)&gt;0,SUMIFS(T_SelfStock[Self_Qty],T_SelfStock[RM_Code],$A83,T_SelfStock[WeekIndex],14)+SUMIFS(T_TTAFStock[TTAF_Qty],T_TTAFStock[RM_Code],$A83,T_TTAFStock[WeekIndex],14),N83+'Grid_Incoming'!O83-'Grid_Requirement'!O83))</f>
        <v/>
      </c>
      <c r="P83">
        <f>IF(COUNTIFS(T_StockCount[RM_Code],$A83,T_StockCount[WeekIndex],15)&gt;0,SUMIFS(T_StockCount[CountedQty],T_StockCount[RM_Code],$A83,T_StockCount[WeekIndex],15),IF((COUNTIFS(T_SelfStock[RM_Code],$A83,T_SelfStock[WeekIndex],15)&gt;0)*(COUNTIFS(T_TTAFStock[RM_Code],$A83,T_TTAFStock[WeekIndex],15)&gt;0)&gt;0,SUMIFS(T_SelfStock[Self_Qty],T_SelfStock[RM_Code],$A83,T_SelfStock[WeekIndex],15)+SUMIFS(T_TTAFStock[TTAF_Qty],T_TTAFStock[RM_Code],$A83,T_TTAFStock[WeekIndex],15),O83+'Grid_Incoming'!P83-'Grid_Requirement'!P83))</f>
        <v/>
      </c>
      <c r="Q83">
        <f>IF(COUNTIFS(T_StockCount[RM_Code],$A83,T_StockCount[WeekIndex],16)&gt;0,SUMIFS(T_StockCount[CountedQty],T_StockCount[RM_Code],$A83,T_StockCount[WeekIndex],16),IF((COUNTIFS(T_SelfStock[RM_Code],$A83,T_SelfStock[WeekIndex],16)&gt;0)*(COUNTIFS(T_TTAFStock[RM_Code],$A83,T_TTAFStock[WeekIndex],16)&gt;0)&gt;0,SUMIFS(T_SelfStock[Self_Qty],T_SelfStock[RM_Code],$A83,T_SelfStock[WeekIndex],16)+SUMIFS(T_TTAFStock[TTAF_Qty],T_TTAFStock[RM_Code],$A83,T_TTAFStock[WeekIndex],16),P83+'Grid_Incoming'!Q83-'Grid_Requirement'!Q83))</f>
        <v/>
      </c>
      <c r="R83">
        <f>IF(COUNTIFS(T_StockCount[RM_Code],$A83,T_StockCount[WeekIndex],17)&gt;0,SUMIFS(T_StockCount[CountedQty],T_StockCount[RM_Code],$A83,T_StockCount[WeekIndex],17),IF((COUNTIFS(T_SelfStock[RM_Code],$A83,T_SelfStock[WeekIndex],17)&gt;0)*(COUNTIFS(T_TTAFStock[RM_Code],$A83,T_TTAFStock[WeekIndex],17)&gt;0)&gt;0,SUMIFS(T_SelfStock[Self_Qty],T_SelfStock[RM_Code],$A83,T_SelfStock[WeekIndex],17)+SUMIFS(T_TTAFStock[TTAF_Qty],T_TTAFStock[RM_Code],$A83,T_TTAFStock[WeekIndex],17),Q83+'Grid_Incoming'!R83-'Grid_Requirement'!R83))</f>
        <v/>
      </c>
      <c r="S83">
        <f>IF(COUNTIFS(T_StockCount[RM_Code],$A83,T_StockCount[WeekIndex],18)&gt;0,SUMIFS(T_StockCount[CountedQty],T_StockCount[RM_Code],$A83,T_StockCount[WeekIndex],18),IF((COUNTIFS(T_SelfStock[RM_Code],$A83,T_SelfStock[WeekIndex],18)&gt;0)*(COUNTIFS(T_TTAFStock[RM_Code],$A83,T_TTAFStock[WeekIndex],18)&gt;0)&gt;0,SUMIFS(T_SelfStock[Self_Qty],T_SelfStock[RM_Code],$A83,T_SelfStock[WeekIndex],18)+SUMIFS(T_TTAFStock[TTAF_Qty],T_TTAFStock[RM_Code],$A83,T_TTAFStock[WeekIndex],18),R83+'Grid_Incoming'!S83-'Grid_Requirement'!S83))</f>
        <v/>
      </c>
      <c r="T83">
        <f>IF(COUNTIFS(T_StockCount[RM_Code],$A83,T_StockCount[WeekIndex],19)&gt;0,SUMIFS(T_StockCount[CountedQty],T_StockCount[RM_Code],$A83,T_StockCount[WeekIndex],19),IF((COUNTIFS(T_SelfStock[RM_Code],$A83,T_SelfStock[WeekIndex],19)&gt;0)*(COUNTIFS(T_TTAFStock[RM_Code],$A83,T_TTAFStock[WeekIndex],19)&gt;0)&gt;0,SUMIFS(T_SelfStock[Self_Qty],T_SelfStock[RM_Code],$A83,T_SelfStock[WeekIndex],19)+SUMIFS(T_TTAFStock[TTAF_Qty],T_TTAFStock[RM_Code],$A83,T_TTAFStock[WeekIndex],19),S83+'Grid_Incoming'!T83-'Grid_Requirement'!T83))</f>
        <v/>
      </c>
      <c r="U83">
        <f>IF(COUNTIFS(T_StockCount[RM_Code],$A83,T_StockCount[WeekIndex],20)&gt;0,SUMIFS(T_StockCount[CountedQty],T_StockCount[RM_Code],$A83,T_StockCount[WeekIndex],20),IF((COUNTIFS(T_SelfStock[RM_Code],$A83,T_SelfStock[WeekIndex],20)&gt;0)*(COUNTIFS(T_TTAFStock[RM_Code],$A83,T_TTAFStock[WeekIndex],20)&gt;0)&gt;0,SUMIFS(T_SelfStock[Self_Qty],T_SelfStock[RM_Code],$A83,T_SelfStock[WeekIndex],20)+SUMIFS(T_TTAFStock[TTAF_Qty],T_TTAFStock[RM_Code],$A83,T_TTAFStock[WeekIndex],20),T83+'Grid_Incoming'!U83-'Grid_Requirement'!U83))</f>
        <v/>
      </c>
      <c r="V83">
        <f>IF(COUNTIFS(T_StockCount[RM_Code],$A83,T_StockCount[WeekIndex],21)&gt;0,SUMIFS(T_StockCount[CountedQty],T_StockCount[RM_Code],$A83,T_StockCount[WeekIndex],21),IF((COUNTIFS(T_SelfStock[RM_Code],$A83,T_SelfStock[WeekIndex],21)&gt;0)*(COUNTIFS(T_TTAFStock[RM_Code],$A83,T_TTAFStock[WeekIndex],21)&gt;0)&gt;0,SUMIFS(T_SelfStock[Self_Qty],T_SelfStock[RM_Code],$A83,T_SelfStock[WeekIndex],21)+SUMIFS(T_TTAFStock[TTAF_Qty],T_TTAFStock[RM_Code],$A83,T_TTAFStock[WeekIndex],21),U83+'Grid_Incoming'!V83-'Grid_Requirement'!V83))</f>
        <v/>
      </c>
      <c r="W83">
        <f>IF(COUNTIFS(T_StockCount[RM_Code],$A83,T_StockCount[WeekIndex],22)&gt;0,SUMIFS(T_StockCount[CountedQty],T_StockCount[RM_Code],$A83,T_StockCount[WeekIndex],22),IF((COUNTIFS(T_SelfStock[RM_Code],$A83,T_SelfStock[WeekIndex],22)&gt;0)*(COUNTIFS(T_TTAFStock[RM_Code],$A83,T_TTAFStock[WeekIndex],22)&gt;0)&gt;0,SUMIFS(T_SelfStock[Self_Qty],T_SelfStock[RM_Code],$A83,T_SelfStock[WeekIndex],22)+SUMIFS(T_TTAFStock[TTAF_Qty],T_TTAFStock[RM_Code],$A83,T_TTAFStock[WeekIndex],22),V83+'Grid_Incoming'!W83-'Grid_Requirement'!W83))</f>
        <v/>
      </c>
      <c r="X83">
        <f>IF(COUNTIFS(T_StockCount[RM_Code],$A83,T_StockCount[WeekIndex],23)&gt;0,SUMIFS(T_StockCount[CountedQty],T_StockCount[RM_Code],$A83,T_StockCount[WeekIndex],23),IF((COUNTIFS(T_SelfStock[RM_Code],$A83,T_SelfStock[WeekIndex],23)&gt;0)*(COUNTIFS(T_TTAFStock[RM_Code],$A83,T_TTAFStock[WeekIndex],23)&gt;0)&gt;0,SUMIFS(T_SelfStock[Self_Qty],T_SelfStock[RM_Code],$A83,T_SelfStock[WeekIndex],23)+SUMIFS(T_TTAFStock[TTAF_Qty],T_TTAFStock[RM_Code],$A83,T_TTAFStock[WeekIndex],23),W83+'Grid_Incoming'!X83-'Grid_Requirement'!X83))</f>
        <v/>
      </c>
      <c r="Y83">
        <f>IF(COUNTIFS(T_StockCount[RM_Code],$A83,T_StockCount[WeekIndex],24)&gt;0,SUMIFS(T_StockCount[CountedQty],T_StockCount[RM_Code],$A83,T_StockCount[WeekIndex],24),IF((COUNTIFS(T_SelfStock[RM_Code],$A83,T_SelfStock[WeekIndex],24)&gt;0)*(COUNTIFS(T_TTAFStock[RM_Code],$A83,T_TTAFStock[WeekIndex],24)&gt;0)&gt;0,SUMIFS(T_SelfStock[Self_Qty],T_SelfStock[RM_Code],$A83,T_SelfStock[WeekIndex],24)+SUMIFS(T_TTAFStock[TTAF_Qty],T_TTAFStock[RM_Code],$A83,T_TTAFStock[WeekIndex],24),X83+'Grid_Incoming'!Y83-'Grid_Requirement'!Y83))</f>
        <v/>
      </c>
      <c r="Z83">
        <f>IF(COUNTIFS(T_StockCount[RM_Code],$A83,T_StockCount[WeekIndex],25)&gt;0,SUMIFS(T_StockCount[CountedQty],T_StockCount[RM_Code],$A83,T_StockCount[WeekIndex],25),IF((COUNTIFS(T_SelfStock[RM_Code],$A83,T_SelfStock[WeekIndex],25)&gt;0)*(COUNTIFS(T_TTAFStock[RM_Code],$A83,T_TTAFStock[WeekIndex],25)&gt;0)&gt;0,SUMIFS(T_SelfStock[Self_Qty],T_SelfStock[RM_Code],$A83,T_SelfStock[WeekIndex],25)+SUMIFS(T_TTAFStock[TTAF_Qty],T_TTAFStock[RM_Code],$A83,T_TTAFStock[WeekIndex],25),Y83+'Grid_Incoming'!Z83-'Grid_Requirement'!Z83))</f>
        <v/>
      </c>
      <c r="AA83">
        <f>IF(COUNTIFS(T_StockCount[RM_Code],$A83,T_StockCount[WeekIndex],26)&gt;0,SUMIFS(T_StockCount[CountedQty],T_StockCount[RM_Code],$A83,T_StockCount[WeekIndex],26),IF((COUNTIFS(T_SelfStock[RM_Code],$A83,T_SelfStock[WeekIndex],26)&gt;0)*(COUNTIFS(T_TTAFStock[RM_Code],$A83,T_TTAFStock[WeekIndex],26)&gt;0)&gt;0,SUMIFS(T_SelfStock[Self_Qty],T_SelfStock[RM_Code],$A83,T_SelfStock[WeekIndex],26)+SUMIFS(T_TTAFStock[TTAF_Qty],T_TTAFStock[RM_Code],$A83,T_TTAFStock[WeekIndex],26),Z83+'Grid_Incoming'!AA83-'Grid_Requirement'!AA83))</f>
        <v/>
      </c>
      <c r="AB83">
        <f>IF(COUNTIFS(T_StockCount[RM_Code],$A83,T_StockCount[WeekIndex],27)&gt;0,SUMIFS(T_StockCount[CountedQty],T_StockCount[RM_Code],$A83,T_StockCount[WeekIndex],27),IF((COUNTIFS(T_SelfStock[RM_Code],$A83,T_SelfStock[WeekIndex],27)&gt;0)*(COUNTIFS(T_TTAFStock[RM_Code],$A83,T_TTAFStock[WeekIndex],27)&gt;0)&gt;0,SUMIFS(T_SelfStock[Self_Qty],T_SelfStock[RM_Code],$A83,T_SelfStock[WeekIndex],27)+SUMIFS(T_TTAFStock[TTAF_Qty],T_TTAFStock[RM_Code],$A83,T_TTAFStock[WeekIndex],27),AA83+'Grid_Incoming'!AB83-'Grid_Requirement'!AB83))</f>
        <v/>
      </c>
      <c r="AC83">
        <f>IF(COUNTIFS(T_StockCount[RM_Code],$A83,T_StockCount[WeekIndex],28)&gt;0,SUMIFS(T_StockCount[CountedQty],T_StockCount[RM_Code],$A83,T_StockCount[WeekIndex],28),IF((COUNTIFS(T_SelfStock[RM_Code],$A83,T_SelfStock[WeekIndex],28)&gt;0)*(COUNTIFS(T_TTAFStock[RM_Code],$A83,T_TTAFStock[WeekIndex],28)&gt;0)&gt;0,SUMIFS(T_SelfStock[Self_Qty],T_SelfStock[RM_Code],$A83,T_SelfStock[WeekIndex],28)+SUMIFS(T_TTAFStock[TTAF_Qty],T_TTAFStock[RM_Code],$A83,T_TTAFStock[WeekIndex],28),AB83+'Grid_Incoming'!AC83-'Grid_Requirement'!AC83))</f>
        <v/>
      </c>
      <c r="AD83">
        <f>IF(COUNTIFS(T_StockCount[RM_Code],$A83,T_StockCount[WeekIndex],29)&gt;0,SUMIFS(T_StockCount[CountedQty],T_StockCount[RM_Code],$A83,T_StockCount[WeekIndex],29),IF((COUNTIFS(T_SelfStock[RM_Code],$A83,T_SelfStock[WeekIndex],29)&gt;0)*(COUNTIFS(T_TTAFStock[RM_Code],$A83,T_TTAFStock[WeekIndex],29)&gt;0)&gt;0,SUMIFS(T_SelfStock[Self_Qty],T_SelfStock[RM_Code],$A83,T_SelfStock[WeekIndex],29)+SUMIFS(T_TTAFStock[TTAF_Qty],T_TTAFStock[RM_Code],$A83,T_TTAFStock[WeekIndex],29),AC83+'Grid_Incoming'!AD83-'Grid_Requirement'!AD83))</f>
        <v/>
      </c>
      <c r="AE83">
        <f>IF(COUNTIFS(T_StockCount[RM_Code],$A83,T_StockCount[WeekIndex],30)&gt;0,SUMIFS(T_StockCount[CountedQty],T_StockCount[RM_Code],$A83,T_StockCount[WeekIndex],30),IF((COUNTIFS(T_SelfStock[RM_Code],$A83,T_SelfStock[WeekIndex],30)&gt;0)*(COUNTIFS(T_TTAFStock[RM_Code],$A83,T_TTAFStock[WeekIndex],30)&gt;0)&gt;0,SUMIFS(T_SelfStock[Self_Qty],T_SelfStock[RM_Code],$A83,T_SelfStock[WeekIndex],30)+SUMIFS(T_TTAFStock[TTAF_Qty],T_TTAFStock[RM_Code],$A83,T_TTAFStock[WeekIndex],30),AD83+'Grid_Incoming'!AE83-'Grid_Requirement'!AE83))</f>
        <v/>
      </c>
      <c r="AF83">
        <f>IF(COUNTIFS(T_StockCount[RM_Code],$A83,T_StockCount[WeekIndex],31)&gt;0,SUMIFS(T_StockCount[CountedQty],T_StockCount[RM_Code],$A83,T_StockCount[WeekIndex],31),IF((COUNTIFS(T_SelfStock[RM_Code],$A83,T_SelfStock[WeekIndex],31)&gt;0)*(COUNTIFS(T_TTAFStock[RM_Code],$A83,T_TTAFStock[WeekIndex],31)&gt;0)&gt;0,SUMIFS(T_SelfStock[Self_Qty],T_SelfStock[RM_Code],$A83,T_SelfStock[WeekIndex],31)+SUMIFS(T_TTAFStock[TTAF_Qty],T_TTAFStock[RM_Code],$A83,T_TTAFStock[WeekIndex],31),AE83+'Grid_Incoming'!AF83-'Grid_Requirement'!AF83))</f>
        <v/>
      </c>
      <c r="AG83">
        <f>IF(COUNTIFS(T_StockCount[RM_Code],$A83,T_StockCount[WeekIndex],32)&gt;0,SUMIFS(T_StockCount[CountedQty],T_StockCount[RM_Code],$A83,T_StockCount[WeekIndex],32),IF((COUNTIFS(T_SelfStock[RM_Code],$A83,T_SelfStock[WeekIndex],32)&gt;0)*(COUNTIFS(T_TTAFStock[RM_Code],$A83,T_TTAFStock[WeekIndex],32)&gt;0)&gt;0,SUMIFS(T_SelfStock[Self_Qty],T_SelfStock[RM_Code],$A83,T_SelfStock[WeekIndex],32)+SUMIFS(T_TTAFStock[TTAF_Qty],T_TTAFStock[RM_Code],$A83,T_TTAFStock[WeekIndex],32),AF83+'Grid_Incoming'!AG83-'Grid_Requirement'!AG83))</f>
        <v/>
      </c>
      <c r="AH83">
        <f>IF(COUNTIFS(T_StockCount[RM_Code],$A83,T_StockCount[WeekIndex],33)&gt;0,SUMIFS(T_StockCount[CountedQty],T_StockCount[RM_Code],$A83,T_StockCount[WeekIndex],33),IF((COUNTIFS(T_SelfStock[RM_Code],$A83,T_SelfStock[WeekIndex],33)&gt;0)*(COUNTIFS(T_TTAFStock[RM_Code],$A83,T_TTAFStock[WeekIndex],33)&gt;0)&gt;0,SUMIFS(T_SelfStock[Self_Qty],T_SelfStock[RM_Code],$A83,T_SelfStock[WeekIndex],33)+SUMIFS(T_TTAFStock[TTAF_Qty],T_TTAFStock[RM_Code],$A83,T_TTAFStock[WeekIndex],33),AG83+'Grid_Incoming'!AH83-'Grid_Requirement'!AH83))</f>
        <v/>
      </c>
      <c r="AI83">
        <f>IF(COUNTIFS(T_StockCount[RM_Code],$A83,T_StockCount[WeekIndex],34)&gt;0,SUMIFS(T_StockCount[CountedQty],T_StockCount[RM_Code],$A83,T_StockCount[WeekIndex],34),IF((COUNTIFS(T_SelfStock[RM_Code],$A83,T_SelfStock[WeekIndex],34)&gt;0)*(COUNTIFS(T_TTAFStock[RM_Code],$A83,T_TTAFStock[WeekIndex],34)&gt;0)&gt;0,SUMIFS(T_SelfStock[Self_Qty],T_SelfStock[RM_Code],$A83,T_SelfStock[WeekIndex],34)+SUMIFS(T_TTAFStock[TTAF_Qty],T_TTAFStock[RM_Code],$A83,T_TTAFStock[WeekIndex],34),AH83+'Grid_Incoming'!AI83-'Grid_Requirement'!AI83))</f>
        <v/>
      </c>
      <c r="AJ83">
        <f>IF(COUNTIFS(T_StockCount[RM_Code],$A83,T_StockCount[WeekIndex],35)&gt;0,SUMIFS(T_StockCount[CountedQty],T_StockCount[RM_Code],$A83,T_StockCount[WeekIndex],35),IF((COUNTIFS(T_SelfStock[RM_Code],$A83,T_SelfStock[WeekIndex],35)&gt;0)*(COUNTIFS(T_TTAFStock[RM_Code],$A83,T_TTAFStock[WeekIndex],35)&gt;0)&gt;0,SUMIFS(T_SelfStock[Self_Qty],T_SelfStock[RM_Code],$A83,T_SelfStock[WeekIndex],35)+SUMIFS(T_TTAFStock[TTAF_Qty],T_TTAFStock[RM_Code],$A83,T_TTAFStock[WeekIndex],35),AI83+'Grid_Incoming'!AJ83-'Grid_Requirement'!AJ83))</f>
        <v/>
      </c>
      <c r="AK83">
        <f>IF(COUNTIFS(T_StockCount[RM_Code],$A83,T_StockCount[WeekIndex],36)&gt;0,SUMIFS(T_StockCount[CountedQty],T_StockCount[RM_Code],$A83,T_StockCount[WeekIndex],36),IF((COUNTIFS(T_SelfStock[RM_Code],$A83,T_SelfStock[WeekIndex],36)&gt;0)*(COUNTIFS(T_TTAFStock[RM_Code],$A83,T_TTAFStock[WeekIndex],36)&gt;0)&gt;0,SUMIFS(T_SelfStock[Self_Qty],T_SelfStock[RM_Code],$A83,T_SelfStock[WeekIndex],36)+SUMIFS(T_TTAFStock[TTAF_Qty],T_TTAFStock[RM_Code],$A83,T_TTAFStock[WeekIndex],36),AJ83+'Grid_Incoming'!AK83-'Grid_Requirement'!AK83))</f>
        <v/>
      </c>
      <c r="AL83">
        <f>IF(COUNTIFS(T_StockCount[RM_Code],$A83,T_StockCount[WeekIndex],37)&gt;0,SUMIFS(T_StockCount[CountedQty],T_StockCount[RM_Code],$A83,T_StockCount[WeekIndex],37),IF((COUNTIFS(T_SelfStock[RM_Code],$A83,T_SelfStock[WeekIndex],37)&gt;0)*(COUNTIFS(T_TTAFStock[RM_Code],$A83,T_TTAFStock[WeekIndex],37)&gt;0)&gt;0,SUMIFS(T_SelfStock[Self_Qty],T_SelfStock[RM_Code],$A83,T_SelfStock[WeekIndex],37)+SUMIFS(T_TTAFStock[TTAF_Qty],T_TTAFStock[RM_Code],$A83,T_TTAFStock[WeekIndex],37),AK83+'Grid_Incoming'!AL83-'Grid_Requirement'!AL83))</f>
        <v/>
      </c>
      <c r="AM83">
        <f>IF(COUNTIFS(T_StockCount[RM_Code],$A83,T_StockCount[WeekIndex],38)&gt;0,SUMIFS(T_StockCount[CountedQty],T_StockCount[RM_Code],$A83,T_StockCount[WeekIndex],38),IF((COUNTIFS(T_SelfStock[RM_Code],$A83,T_SelfStock[WeekIndex],38)&gt;0)*(COUNTIFS(T_TTAFStock[RM_Code],$A83,T_TTAFStock[WeekIndex],38)&gt;0)&gt;0,SUMIFS(T_SelfStock[Self_Qty],T_SelfStock[RM_Code],$A83,T_SelfStock[WeekIndex],38)+SUMIFS(T_TTAFStock[TTAF_Qty],T_TTAFStock[RM_Code],$A83,T_TTAFStock[WeekIndex],38),AL83+'Grid_Incoming'!AM83-'Grid_Requirement'!AM83))</f>
        <v/>
      </c>
      <c r="AN83">
        <f>IF(COUNTIFS(T_StockCount[RM_Code],$A83,T_StockCount[WeekIndex],39)&gt;0,SUMIFS(T_StockCount[CountedQty],T_StockCount[RM_Code],$A83,T_StockCount[WeekIndex],39),IF((COUNTIFS(T_SelfStock[RM_Code],$A83,T_SelfStock[WeekIndex],39)&gt;0)*(COUNTIFS(T_TTAFStock[RM_Code],$A83,T_TTAFStock[WeekIndex],39)&gt;0)&gt;0,SUMIFS(T_SelfStock[Self_Qty],T_SelfStock[RM_Code],$A83,T_SelfStock[WeekIndex],39)+SUMIFS(T_TTAFStock[TTAF_Qty],T_TTAFStock[RM_Code],$A83,T_TTAFStock[WeekIndex],39),AM83+'Grid_Incoming'!AN83-'Grid_Requirement'!AN83))</f>
        <v/>
      </c>
      <c r="AO83">
        <f>IF(COUNTIFS(T_StockCount[RM_Code],$A83,T_StockCount[WeekIndex],40)&gt;0,SUMIFS(T_StockCount[CountedQty],T_StockCount[RM_Code],$A83,T_StockCount[WeekIndex],40),IF((COUNTIFS(T_SelfStock[RM_Code],$A83,T_SelfStock[WeekIndex],40)&gt;0)*(COUNTIFS(T_TTAFStock[RM_Code],$A83,T_TTAFStock[WeekIndex],40)&gt;0)&gt;0,SUMIFS(T_SelfStock[Self_Qty],T_SelfStock[RM_Code],$A83,T_SelfStock[WeekIndex],40)+SUMIFS(T_TTAFStock[TTAF_Qty],T_TTAFStock[RM_Code],$A83,T_TTAFStock[WeekIndex],40),AN83+'Grid_Incoming'!AO83-'Grid_Requirement'!AO83))</f>
        <v/>
      </c>
      <c r="AP83">
        <f>IF(COUNTIFS(T_StockCount[RM_Code],$A83,T_StockCount[WeekIndex],41)&gt;0,SUMIFS(T_StockCount[CountedQty],T_StockCount[RM_Code],$A83,T_StockCount[WeekIndex],41),IF((COUNTIFS(T_SelfStock[RM_Code],$A83,T_SelfStock[WeekIndex],41)&gt;0)*(COUNTIFS(T_TTAFStock[RM_Code],$A83,T_TTAFStock[WeekIndex],41)&gt;0)&gt;0,SUMIFS(T_SelfStock[Self_Qty],T_SelfStock[RM_Code],$A83,T_SelfStock[WeekIndex],41)+SUMIFS(T_TTAFStock[TTAF_Qty],T_TTAFStock[RM_Code],$A83,T_TTAFStock[WeekIndex],41),AO83+'Grid_Incoming'!AP83-'Grid_Requirement'!AP83))</f>
        <v/>
      </c>
      <c r="AQ83">
        <f>IF(COUNTIFS(T_StockCount[RM_Code],$A83,T_StockCount[WeekIndex],42)&gt;0,SUMIFS(T_StockCount[CountedQty],T_StockCount[RM_Code],$A83,T_StockCount[WeekIndex],42),IF((COUNTIFS(T_SelfStock[RM_Code],$A83,T_SelfStock[WeekIndex],42)&gt;0)*(COUNTIFS(T_TTAFStock[RM_Code],$A83,T_TTAFStock[WeekIndex],42)&gt;0)&gt;0,SUMIFS(T_SelfStock[Self_Qty],T_SelfStock[RM_Code],$A83,T_SelfStock[WeekIndex],42)+SUMIFS(T_TTAFStock[TTAF_Qty],T_TTAFStock[RM_Code],$A83,T_TTAFStock[WeekIndex],42),AP83+'Grid_Incoming'!AQ83-'Grid_Requirement'!AQ83))</f>
        <v/>
      </c>
      <c r="AR83">
        <f>IF(COUNTIFS(T_StockCount[RM_Code],$A83,T_StockCount[WeekIndex],43)&gt;0,SUMIFS(T_StockCount[CountedQty],T_StockCount[RM_Code],$A83,T_StockCount[WeekIndex],43),IF((COUNTIFS(T_SelfStock[RM_Code],$A83,T_SelfStock[WeekIndex],43)&gt;0)*(COUNTIFS(T_TTAFStock[RM_Code],$A83,T_TTAFStock[WeekIndex],43)&gt;0)&gt;0,SUMIFS(T_SelfStock[Self_Qty],T_SelfStock[RM_Code],$A83,T_SelfStock[WeekIndex],43)+SUMIFS(T_TTAFStock[TTAF_Qty],T_TTAFStock[RM_Code],$A83,T_TTAFStock[WeekIndex],43),AQ83+'Grid_Incoming'!AR83-'Grid_Requirement'!AR83))</f>
        <v/>
      </c>
      <c r="AS83">
        <f>IF(COUNTIFS(T_StockCount[RM_Code],$A83,T_StockCount[WeekIndex],44)&gt;0,SUMIFS(T_StockCount[CountedQty],T_StockCount[RM_Code],$A83,T_StockCount[WeekIndex],44),IF((COUNTIFS(T_SelfStock[RM_Code],$A83,T_SelfStock[WeekIndex],44)&gt;0)*(COUNTIFS(T_TTAFStock[RM_Code],$A83,T_TTAFStock[WeekIndex],44)&gt;0)&gt;0,SUMIFS(T_SelfStock[Self_Qty],T_SelfStock[RM_Code],$A83,T_SelfStock[WeekIndex],44)+SUMIFS(T_TTAFStock[TTAF_Qty],T_TTAFStock[RM_Code],$A83,T_TTAFStock[WeekIndex],44),AR83+'Grid_Incoming'!AS83-'Grid_Requirement'!AS83))</f>
        <v/>
      </c>
      <c r="AT83">
        <f>IF(COUNTIFS(T_StockCount[RM_Code],$A83,T_StockCount[WeekIndex],45)&gt;0,SUMIFS(T_StockCount[CountedQty],T_StockCount[RM_Code],$A83,T_StockCount[WeekIndex],45),IF((COUNTIFS(T_SelfStock[RM_Code],$A83,T_SelfStock[WeekIndex],45)&gt;0)*(COUNTIFS(T_TTAFStock[RM_Code],$A83,T_TTAFStock[WeekIndex],45)&gt;0)&gt;0,SUMIFS(T_SelfStock[Self_Qty],T_SelfStock[RM_Code],$A83,T_SelfStock[WeekIndex],45)+SUMIFS(T_TTAFStock[TTAF_Qty],T_TTAFStock[RM_Code],$A83,T_TTAFStock[WeekIndex],45),AS83+'Grid_Incoming'!AT83-'Grid_Requirement'!AT83))</f>
        <v/>
      </c>
      <c r="AU83">
        <f>IF(COUNTIFS(T_StockCount[RM_Code],$A83,T_StockCount[WeekIndex],46)&gt;0,SUMIFS(T_StockCount[CountedQty],T_StockCount[RM_Code],$A83,T_StockCount[WeekIndex],46),IF((COUNTIFS(T_SelfStock[RM_Code],$A83,T_SelfStock[WeekIndex],46)&gt;0)*(COUNTIFS(T_TTAFStock[RM_Code],$A83,T_TTAFStock[WeekIndex],46)&gt;0)&gt;0,SUMIFS(T_SelfStock[Self_Qty],T_SelfStock[RM_Code],$A83,T_SelfStock[WeekIndex],46)+SUMIFS(T_TTAFStock[TTAF_Qty],T_TTAFStock[RM_Code],$A83,T_TTAFStock[WeekIndex],46),AT83+'Grid_Incoming'!AU83-'Grid_Requirement'!AU83))</f>
        <v/>
      </c>
      <c r="AV83">
        <f>IF(COUNTIFS(T_StockCount[RM_Code],$A83,T_StockCount[WeekIndex],47)&gt;0,SUMIFS(T_StockCount[CountedQty],T_StockCount[RM_Code],$A83,T_StockCount[WeekIndex],47),IF((COUNTIFS(T_SelfStock[RM_Code],$A83,T_SelfStock[WeekIndex],47)&gt;0)*(COUNTIFS(T_TTAFStock[RM_Code],$A83,T_TTAFStock[WeekIndex],47)&gt;0)&gt;0,SUMIFS(T_SelfStock[Self_Qty],T_SelfStock[RM_Code],$A83,T_SelfStock[WeekIndex],47)+SUMIFS(T_TTAFStock[TTAF_Qty],T_TTAFStock[RM_Code],$A83,T_TTAFStock[WeekIndex],47),AU83+'Grid_Incoming'!AV83-'Grid_Requirement'!AV83))</f>
        <v/>
      </c>
      <c r="AW83">
        <f>IF(COUNTIFS(T_StockCount[RM_Code],$A83,T_StockCount[WeekIndex],48)&gt;0,SUMIFS(T_StockCount[CountedQty],T_StockCount[RM_Code],$A83,T_StockCount[WeekIndex],48),IF((COUNTIFS(T_SelfStock[RM_Code],$A83,T_SelfStock[WeekIndex],48)&gt;0)*(COUNTIFS(T_TTAFStock[RM_Code],$A83,T_TTAFStock[WeekIndex],48)&gt;0)&gt;0,SUMIFS(T_SelfStock[Self_Qty],T_SelfStock[RM_Code],$A83,T_SelfStock[WeekIndex],48)+SUMIFS(T_TTAFStock[TTAF_Qty],T_TTAFStock[RM_Code],$A83,T_TTAFStock[WeekIndex],48),AV83+'Grid_Incoming'!AW83-'Grid_Requirement'!AW83))</f>
        <v/>
      </c>
      <c r="AX83">
        <f>IF(COUNTIFS(T_StockCount[RM_Code],$A83,T_StockCount[WeekIndex],49)&gt;0,SUMIFS(T_StockCount[CountedQty],T_StockCount[RM_Code],$A83,T_StockCount[WeekIndex],49),IF((COUNTIFS(T_SelfStock[RM_Code],$A83,T_SelfStock[WeekIndex],49)&gt;0)*(COUNTIFS(T_TTAFStock[RM_Code],$A83,T_TTAFStock[WeekIndex],49)&gt;0)&gt;0,SUMIFS(T_SelfStock[Self_Qty],T_SelfStock[RM_Code],$A83,T_SelfStock[WeekIndex],49)+SUMIFS(T_TTAFStock[TTAF_Qty],T_TTAFStock[RM_Code],$A83,T_TTAFStock[WeekIndex],49),AW83+'Grid_Incoming'!AX83-'Grid_Requirement'!AX83))</f>
        <v/>
      </c>
      <c r="AY83">
        <f>IF(COUNTIFS(T_StockCount[RM_Code],$A83,T_StockCount[WeekIndex],50)&gt;0,SUMIFS(T_StockCount[CountedQty],T_StockCount[RM_Code],$A83,T_StockCount[WeekIndex],50),IF((COUNTIFS(T_SelfStock[RM_Code],$A83,T_SelfStock[WeekIndex],50)&gt;0)*(COUNTIFS(T_TTAFStock[RM_Code],$A83,T_TTAFStock[WeekIndex],50)&gt;0)&gt;0,SUMIFS(T_SelfStock[Self_Qty],T_SelfStock[RM_Code],$A83,T_SelfStock[WeekIndex],50)+SUMIFS(T_TTAFStock[TTAF_Qty],T_TTAFStock[RM_Code],$A83,T_TTAFStock[WeekIndex],50),AX83+'Grid_Incoming'!AY83-'Grid_Requirement'!AY83))</f>
        <v/>
      </c>
      <c r="AZ83">
        <f>IF(COUNTIFS(T_StockCount[RM_Code],$A83,T_StockCount[WeekIndex],51)&gt;0,SUMIFS(T_StockCount[CountedQty],T_StockCount[RM_Code],$A83,T_StockCount[WeekIndex],51),IF((COUNTIFS(T_SelfStock[RM_Code],$A83,T_SelfStock[WeekIndex],51)&gt;0)*(COUNTIFS(T_TTAFStock[RM_Code],$A83,T_TTAFStock[WeekIndex],51)&gt;0)&gt;0,SUMIFS(T_SelfStock[Self_Qty],T_SelfStock[RM_Code],$A83,T_SelfStock[WeekIndex],51)+SUMIFS(T_TTAFStock[TTAF_Qty],T_TTAFStock[RM_Code],$A83,T_TTAFStock[WeekIndex],51),AY83+'Grid_Incoming'!AZ83-'Grid_Requirement'!AZ83))</f>
        <v/>
      </c>
      <c r="BA83">
        <f>IF(COUNTIFS(T_StockCount[RM_Code],$A83,T_StockCount[WeekIndex],52)&gt;0,SUMIFS(T_StockCount[CountedQty],T_StockCount[RM_Code],$A83,T_StockCount[WeekIndex],52),IF((COUNTIFS(T_SelfStock[RM_Code],$A83,T_SelfStock[WeekIndex],52)&gt;0)*(COUNTIFS(T_TTAFStock[RM_Code],$A83,T_TTAFStock[WeekIndex],52)&gt;0)&gt;0,SUMIFS(T_SelfStock[Self_Qty],T_SelfStock[RM_Code],$A83,T_SelfStock[WeekIndex],52)+SUMIFS(T_TTAFStock[TTAF_Qty],T_TTAFStock[RM_Code],$A83,T_TTAFStock[WeekIndex],52),AZ83+'Grid_Incoming'!BA83-'Grid_Requirement'!BA83))</f>
        <v/>
      </c>
      <c r="BB83">
        <f>IF(COUNTIFS(T_StockCount[RM_Code],$A83,T_StockCount[WeekIndex],53)&gt;0,SUMIFS(T_StockCount[CountedQty],T_StockCount[RM_Code],$A83,T_StockCount[WeekIndex],53),IF((COUNTIFS(T_SelfStock[RM_Code],$A83,T_SelfStock[WeekIndex],53)&gt;0)*(COUNTIFS(T_TTAFStock[RM_Code],$A83,T_TTAFStock[WeekIndex],53)&gt;0)&gt;0,SUMIFS(T_SelfStock[Self_Qty],T_SelfStock[RM_Code],$A83,T_SelfStock[WeekIndex],53)+SUMIFS(T_TTAFStock[TTAF_Qty],T_TTAFStock[RM_Code],$A83,T_TTAFStock[WeekIndex],53),BA83+'Grid_Incoming'!BB83-'Grid_Requirement'!BB83))</f>
        <v/>
      </c>
      <c r="BC83">
        <f>IF(COUNTIFS(T_StockCount[RM_Code],$A83,T_StockCount[WeekIndex],54)&gt;0,SUMIFS(T_StockCount[CountedQty],T_StockCount[RM_Code],$A83,T_StockCount[WeekIndex],54),IF((COUNTIFS(T_SelfStock[RM_Code],$A83,T_SelfStock[WeekIndex],54)&gt;0)*(COUNTIFS(T_TTAFStock[RM_Code],$A83,T_TTAFStock[WeekIndex],54)&gt;0)&gt;0,SUMIFS(T_SelfStock[Self_Qty],T_SelfStock[RM_Code],$A83,T_SelfStock[WeekIndex],54)+SUMIFS(T_TTAFStock[TTAF_Qty],T_TTAFStock[RM_Code],$A83,T_TTAFStock[WeekIndex],54),BB83+'Grid_Incoming'!BC83-'Grid_Requirement'!BC83))</f>
        <v/>
      </c>
      <c r="BD83">
        <f>IF(COUNTIFS(T_StockCount[RM_Code],$A83,T_StockCount[WeekIndex],55)&gt;0,SUMIFS(T_StockCount[CountedQty],T_StockCount[RM_Code],$A83,T_StockCount[WeekIndex],55),IF((COUNTIFS(T_SelfStock[RM_Code],$A83,T_SelfStock[WeekIndex],55)&gt;0)*(COUNTIFS(T_TTAFStock[RM_Code],$A83,T_TTAFStock[WeekIndex],55)&gt;0)&gt;0,SUMIFS(T_SelfStock[Self_Qty],T_SelfStock[RM_Code],$A83,T_SelfStock[WeekIndex],55)+SUMIFS(T_TTAFStock[TTAF_Qty],T_TTAFStock[RM_Code],$A83,T_TTAFStock[WeekIndex],55),BC83+'Grid_Incoming'!BD83-'Grid_Requirement'!BD83))</f>
        <v/>
      </c>
      <c r="BE83">
        <f>IF(COUNTIFS(T_StockCount[RM_Code],$A83,T_StockCount[WeekIndex],56)&gt;0,SUMIFS(T_StockCount[CountedQty],T_StockCount[RM_Code],$A83,T_StockCount[WeekIndex],56),IF((COUNTIFS(T_SelfStock[RM_Code],$A83,T_SelfStock[WeekIndex],56)&gt;0)*(COUNTIFS(T_TTAFStock[RM_Code],$A83,T_TTAFStock[WeekIndex],56)&gt;0)&gt;0,SUMIFS(T_SelfStock[Self_Qty],T_SelfStock[RM_Code],$A83,T_SelfStock[WeekIndex],56)+SUMIFS(T_TTAFStock[TTAF_Qty],T_TTAFStock[RM_Code],$A83,T_TTAFStock[WeekIndex],56),BD83+'Grid_Incoming'!BE83-'Grid_Requirement'!BE83))</f>
        <v/>
      </c>
      <c r="BF83">
        <f>IF(COUNTIFS(T_StockCount[RM_Code],$A83,T_StockCount[WeekIndex],57)&gt;0,SUMIFS(T_StockCount[CountedQty],T_StockCount[RM_Code],$A83,T_StockCount[WeekIndex],57),IF((COUNTIFS(T_SelfStock[RM_Code],$A83,T_SelfStock[WeekIndex],57)&gt;0)*(COUNTIFS(T_TTAFStock[RM_Code],$A83,T_TTAFStock[WeekIndex],57)&gt;0)&gt;0,SUMIFS(T_SelfStock[Self_Qty],T_SelfStock[RM_Code],$A83,T_SelfStock[WeekIndex],57)+SUMIFS(T_TTAFStock[TTAF_Qty],T_TTAFStock[RM_Code],$A83,T_TTAFStock[WeekIndex],57),BE83+'Grid_Incoming'!BF83-'Grid_Requirement'!BF83))</f>
        <v/>
      </c>
      <c r="BG83">
        <f>IF(COUNTIFS(T_StockCount[RM_Code],$A83,T_StockCount[WeekIndex],58)&gt;0,SUMIFS(T_StockCount[CountedQty],T_StockCount[RM_Code],$A83,T_StockCount[WeekIndex],58),IF((COUNTIFS(T_SelfStock[RM_Code],$A83,T_SelfStock[WeekIndex],58)&gt;0)*(COUNTIFS(T_TTAFStock[RM_Code],$A83,T_TTAFStock[WeekIndex],58)&gt;0)&gt;0,SUMIFS(T_SelfStock[Self_Qty],T_SelfStock[RM_Code],$A83,T_SelfStock[WeekIndex],58)+SUMIFS(T_TTAFStock[TTAF_Qty],T_TTAFStock[RM_Code],$A83,T_TTAFStock[WeekIndex],58),BF83+'Grid_Incoming'!BG83-'Grid_Requirement'!BG83))</f>
        <v/>
      </c>
      <c r="BH83">
        <f>IF(COUNTIFS(T_StockCount[RM_Code],$A83,T_StockCount[WeekIndex],59)&gt;0,SUMIFS(T_StockCount[CountedQty],T_StockCount[RM_Code],$A83,T_StockCount[WeekIndex],59),IF((COUNTIFS(T_SelfStock[RM_Code],$A83,T_SelfStock[WeekIndex],59)&gt;0)*(COUNTIFS(T_TTAFStock[RM_Code],$A83,T_TTAFStock[WeekIndex],59)&gt;0)&gt;0,SUMIFS(T_SelfStock[Self_Qty],T_SelfStock[RM_Code],$A83,T_SelfStock[WeekIndex],59)+SUMIFS(T_TTAFStock[TTAF_Qty],T_TTAFStock[RM_Code],$A83,T_TTAFStock[WeekIndex],59),BG83+'Grid_Incoming'!BH83-'Grid_Requirement'!BH83))</f>
        <v/>
      </c>
      <c r="BI83">
        <f>IF(COUNTIFS(T_StockCount[RM_Code],$A83,T_StockCount[WeekIndex],60)&gt;0,SUMIFS(T_StockCount[CountedQty],T_StockCount[RM_Code],$A83,T_StockCount[WeekIndex],60),IF((COUNTIFS(T_SelfStock[RM_Code],$A83,T_SelfStock[WeekIndex],60)&gt;0)*(COUNTIFS(T_TTAFStock[RM_Code],$A83,T_TTAFStock[WeekIndex],60)&gt;0)&gt;0,SUMIFS(T_SelfStock[Self_Qty],T_SelfStock[RM_Code],$A83,T_SelfStock[WeekIndex],60)+SUMIFS(T_TTAFStock[TTAF_Qty],T_TTAFStock[RM_Code],$A83,T_TTAFStock[WeekIndex],60),BH83+'Grid_Incoming'!BI83-'Grid_Requirement'!BI83))</f>
        <v/>
      </c>
      <c r="BJ83">
        <f>IF(COUNTIFS(T_StockCount[RM_Code],$A83,T_StockCount[WeekIndex],61)&gt;0,SUMIFS(T_StockCount[CountedQty],T_StockCount[RM_Code],$A83,T_StockCount[WeekIndex],61),IF((COUNTIFS(T_SelfStock[RM_Code],$A83,T_SelfStock[WeekIndex],61)&gt;0)*(COUNTIFS(T_TTAFStock[RM_Code],$A83,T_TTAFStock[WeekIndex],61)&gt;0)&gt;0,SUMIFS(T_SelfStock[Self_Qty],T_SelfStock[RM_Code],$A83,T_SelfStock[WeekIndex],61)+SUMIFS(T_TTAFStock[TTAF_Qty],T_TTAFStock[RM_Code],$A83,T_TTAFStock[WeekIndex],61),BI83+'Grid_Incoming'!BJ83-'Grid_Requirement'!BJ83))</f>
        <v/>
      </c>
      <c r="BK83">
        <f>IF(COUNTIFS(T_StockCount[RM_Code],$A83,T_StockCount[WeekIndex],62)&gt;0,SUMIFS(T_StockCount[CountedQty],T_StockCount[RM_Code],$A83,T_StockCount[WeekIndex],62),IF((COUNTIFS(T_SelfStock[RM_Code],$A83,T_SelfStock[WeekIndex],62)&gt;0)*(COUNTIFS(T_TTAFStock[RM_Code],$A83,T_TTAFStock[WeekIndex],62)&gt;0)&gt;0,SUMIFS(T_SelfStock[Self_Qty],T_SelfStock[RM_Code],$A83,T_SelfStock[WeekIndex],62)+SUMIFS(T_TTAFStock[TTAF_Qty],T_TTAFStock[RM_Code],$A83,T_TTAFStock[WeekIndex],62),BJ83+'Grid_Incoming'!BK83-'Grid_Requirement'!BK83))</f>
        <v/>
      </c>
      <c r="BL83">
        <f>IF(COUNTIFS(T_StockCount[RM_Code],$A83,T_StockCount[WeekIndex],63)&gt;0,SUMIFS(T_StockCount[CountedQty],T_StockCount[RM_Code],$A83,T_StockCount[WeekIndex],63),IF((COUNTIFS(T_SelfStock[RM_Code],$A83,T_SelfStock[WeekIndex],63)&gt;0)*(COUNTIFS(T_TTAFStock[RM_Code],$A83,T_TTAFStock[WeekIndex],63)&gt;0)&gt;0,SUMIFS(T_SelfStock[Self_Qty],T_SelfStock[RM_Code],$A83,T_SelfStock[WeekIndex],63)+SUMIFS(T_TTAFStock[TTAF_Qty],T_TTAFStock[RM_Code],$A83,T_TTAFStock[WeekIndex],63),BK83+'Grid_Incoming'!BL83-'Grid_Requirement'!BL83))</f>
        <v/>
      </c>
      <c r="BM83">
        <f>IF(COUNTIFS(T_StockCount[RM_Code],$A83,T_StockCount[WeekIndex],64)&gt;0,SUMIFS(T_StockCount[CountedQty],T_StockCount[RM_Code],$A83,T_StockCount[WeekIndex],64),IF((COUNTIFS(T_SelfStock[RM_Code],$A83,T_SelfStock[WeekIndex],64)&gt;0)*(COUNTIFS(T_TTAFStock[RM_Code],$A83,T_TTAFStock[WeekIndex],64)&gt;0)&gt;0,SUMIFS(T_SelfStock[Self_Qty],T_SelfStock[RM_Code],$A83,T_SelfStock[WeekIndex],64)+SUMIFS(T_TTAFStock[TTAF_Qty],T_TTAFStock[RM_Code],$A83,T_TTAFStock[WeekIndex],64),BL83+'Grid_Incoming'!BM83-'Grid_Requirement'!BM83))</f>
        <v/>
      </c>
      <c r="BN83">
        <f>IF(COUNTIFS(T_StockCount[RM_Code],$A83,T_StockCount[WeekIndex],65)&gt;0,SUMIFS(T_StockCount[CountedQty],T_StockCount[RM_Code],$A83,T_StockCount[WeekIndex],65),IF((COUNTIFS(T_SelfStock[RM_Code],$A83,T_SelfStock[WeekIndex],65)&gt;0)*(COUNTIFS(T_TTAFStock[RM_Code],$A83,T_TTAFStock[WeekIndex],65)&gt;0)&gt;0,SUMIFS(T_SelfStock[Self_Qty],T_SelfStock[RM_Code],$A83,T_SelfStock[WeekIndex],65)+SUMIFS(T_TTAFStock[TTAF_Qty],T_TTAFStock[RM_Code],$A83,T_TTAFStock[WeekIndex],65),BM83+'Grid_Incoming'!BN83-'Grid_Requirement'!BN83))</f>
        <v/>
      </c>
      <c r="BO83">
        <f>IF(COUNTIFS(T_StockCount[RM_Code],$A83,T_StockCount[WeekIndex],66)&gt;0,SUMIFS(T_StockCount[CountedQty],T_StockCount[RM_Code],$A83,T_StockCount[WeekIndex],66),IF((COUNTIFS(T_SelfStock[RM_Code],$A83,T_SelfStock[WeekIndex],66)&gt;0)*(COUNTIFS(T_TTAFStock[RM_Code],$A83,T_TTAFStock[WeekIndex],66)&gt;0)&gt;0,SUMIFS(T_SelfStock[Self_Qty],T_SelfStock[RM_Code],$A83,T_SelfStock[WeekIndex],66)+SUMIFS(T_TTAFStock[TTAF_Qty],T_TTAFStock[RM_Code],$A83,T_TTAFStock[WeekIndex],66),BN83+'Grid_Incoming'!BO83-'Grid_Requirement'!BO83))</f>
        <v/>
      </c>
      <c r="BP83">
        <f>IF(COUNTIFS(T_StockCount[RM_Code],$A83,T_StockCount[WeekIndex],67)&gt;0,SUMIFS(T_StockCount[CountedQty],T_StockCount[RM_Code],$A83,T_StockCount[WeekIndex],67),IF((COUNTIFS(T_SelfStock[RM_Code],$A83,T_SelfStock[WeekIndex],67)&gt;0)*(COUNTIFS(T_TTAFStock[RM_Code],$A83,T_TTAFStock[WeekIndex],67)&gt;0)&gt;0,SUMIFS(T_SelfStock[Self_Qty],T_SelfStock[RM_Code],$A83,T_SelfStock[WeekIndex],67)+SUMIFS(T_TTAFStock[TTAF_Qty],T_TTAFStock[RM_Code],$A83,T_TTAFStock[WeekIndex],67),BO83+'Grid_Incoming'!BP83-'Grid_Requirement'!BP83))</f>
        <v/>
      </c>
      <c r="BQ83">
        <f>IF(COUNTIFS(T_StockCount[RM_Code],$A83,T_StockCount[WeekIndex],68)&gt;0,SUMIFS(T_StockCount[CountedQty],T_StockCount[RM_Code],$A83,T_StockCount[WeekIndex],68),IF((COUNTIFS(T_SelfStock[RM_Code],$A83,T_SelfStock[WeekIndex],68)&gt;0)*(COUNTIFS(T_TTAFStock[RM_Code],$A83,T_TTAFStock[WeekIndex],68)&gt;0)&gt;0,SUMIFS(T_SelfStock[Self_Qty],T_SelfStock[RM_Code],$A83,T_SelfStock[WeekIndex],68)+SUMIFS(T_TTAFStock[TTAF_Qty],T_TTAFStock[RM_Code],$A83,T_TTAFStock[WeekIndex],68),BP83+'Grid_Incoming'!BQ83-'Grid_Requirement'!BQ83))</f>
        <v/>
      </c>
      <c r="BR83">
        <f>IF(COUNTIFS(T_StockCount[RM_Code],$A83,T_StockCount[WeekIndex],69)&gt;0,SUMIFS(T_StockCount[CountedQty],T_StockCount[RM_Code],$A83,T_StockCount[WeekIndex],69),IF((COUNTIFS(T_SelfStock[RM_Code],$A83,T_SelfStock[WeekIndex],69)&gt;0)*(COUNTIFS(T_TTAFStock[RM_Code],$A83,T_TTAFStock[WeekIndex],69)&gt;0)&gt;0,SUMIFS(T_SelfStock[Self_Qty],T_SelfStock[RM_Code],$A83,T_SelfStock[WeekIndex],69)+SUMIFS(T_TTAFStock[TTAF_Qty],T_TTAFStock[RM_Code],$A83,T_TTAFStock[WeekIndex],69),BQ83+'Grid_Incoming'!BR83-'Grid_Requirement'!BR83))</f>
        <v/>
      </c>
      <c r="BS83">
        <f>IF(COUNTIFS(T_StockCount[RM_Code],$A83,T_StockCount[WeekIndex],70)&gt;0,SUMIFS(T_StockCount[CountedQty],T_StockCount[RM_Code],$A83,T_StockCount[WeekIndex],70),IF((COUNTIFS(T_SelfStock[RM_Code],$A83,T_SelfStock[WeekIndex],70)&gt;0)*(COUNTIFS(T_TTAFStock[RM_Code],$A83,T_TTAFStock[WeekIndex],70)&gt;0)&gt;0,SUMIFS(T_SelfStock[Self_Qty],T_SelfStock[RM_Code],$A83,T_SelfStock[WeekIndex],70)+SUMIFS(T_TTAFStock[TTAF_Qty],T_TTAFStock[RM_Code],$A83,T_TTAFStock[WeekIndex],70),BR83+'Grid_Incoming'!BS83-'Grid_Requirement'!BS83))</f>
        <v/>
      </c>
      <c r="BT83">
        <f>IF(COUNTIFS(T_StockCount[RM_Code],$A83,T_StockCount[WeekIndex],71)&gt;0,SUMIFS(T_StockCount[CountedQty],T_StockCount[RM_Code],$A83,T_StockCount[WeekIndex],71),IF((COUNTIFS(T_SelfStock[RM_Code],$A83,T_SelfStock[WeekIndex],71)&gt;0)*(COUNTIFS(T_TTAFStock[RM_Code],$A83,T_TTAFStock[WeekIndex],71)&gt;0)&gt;0,SUMIFS(T_SelfStock[Self_Qty],T_SelfStock[RM_Code],$A83,T_SelfStock[WeekIndex],71)+SUMIFS(T_TTAFStock[TTAF_Qty],T_TTAFStock[RM_Code],$A83,T_TTAFStock[WeekIndex],71),BS83+'Grid_Incoming'!BT83-'Grid_Requirement'!BT83))</f>
        <v/>
      </c>
      <c r="BU83">
        <f>IF(COUNTIFS(T_StockCount[RM_Code],$A83,T_StockCount[WeekIndex],72)&gt;0,SUMIFS(T_StockCount[CountedQty],T_StockCount[RM_Code],$A83,T_StockCount[WeekIndex],72),IF((COUNTIFS(T_SelfStock[RM_Code],$A83,T_SelfStock[WeekIndex],72)&gt;0)*(COUNTIFS(T_TTAFStock[RM_Code],$A83,T_TTAFStock[WeekIndex],72)&gt;0)&gt;0,SUMIFS(T_SelfStock[Self_Qty],T_SelfStock[RM_Code],$A83,T_SelfStock[WeekIndex],72)+SUMIFS(T_TTAFStock[TTAF_Qty],T_TTAFStock[RM_Code],$A83,T_TTAFStock[WeekIndex],72),BT83+'Grid_Incoming'!BU83-'Grid_Requirement'!BU83))</f>
        <v/>
      </c>
      <c r="BV83">
        <f>IF(COUNTIFS(T_StockCount[RM_Code],$A83,T_StockCount[WeekIndex],73)&gt;0,SUMIFS(T_StockCount[CountedQty],T_StockCount[RM_Code],$A83,T_StockCount[WeekIndex],73),IF((COUNTIFS(T_SelfStock[RM_Code],$A83,T_SelfStock[WeekIndex],73)&gt;0)*(COUNTIFS(T_TTAFStock[RM_Code],$A83,T_TTAFStock[WeekIndex],73)&gt;0)&gt;0,SUMIFS(T_SelfStock[Self_Qty],T_SelfStock[RM_Code],$A83,T_SelfStock[WeekIndex],73)+SUMIFS(T_TTAFStock[TTAF_Qty],T_TTAFStock[RM_Code],$A83,T_TTAFStock[WeekIndex],73),BU83+'Grid_Incoming'!BV83-'Grid_Requirement'!BV83))</f>
        <v/>
      </c>
      <c r="BW83">
        <f>IF(COUNTIFS(T_StockCount[RM_Code],$A83,T_StockCount[WeekIndex],74)&gt;0,SUMIFS(T_StockCount[CountedQty],T_StockCount[RM_Code],$A83,T_StockCount[WeekIndex],74),IF((COUNTIFS(T_SelfStock[RM_Code],$A83,T_SelfStock[WeekIndex],74)&gt;0)*(COUNTIFS(T_TTAFStock[RM_Code],$A83,T_TTAFStock[WeekIndex],74)&gt;0)&gt;0,SUMIFS(T_SelfStock[Self_Qty],T_SelfStock[RM_Code],$A83,T_SelfStock[WeekIndex],74)+SUMIFS(T_TTAFStock[TTAF_Qty],T_TTAFStock[RM_Code],$A83,T_TTAFStock[WeekIndex],74),BV83+'Grid_Incoming'!BW83-'Grid_Requirement'!BW83))</f>
        <v/>
      </c>
      <c r="BX83">
        <f>IF(COUNTIFS(T_StockCount[RM_Code],$A83,T_StockCount[WeekIndex],75)&gt;0,SUMIFS(T_StockCount[CountedQty],T_StockCount[RM_Code],$A83,T_StockCount[WeekIndex],75),IF((COUNTIFS(T_SelfStock[RM_Code],$A83,T_SelfStock[WeekIndex],75)&gt;0)*(COUNTIFS(T_TTAFStock[RM_Code],$A83,T_TTAFStock[WeekIndex],75)&gt;0)&gt;0,SUMIFS(T_SelfStock[Self_Qty],T_SelfStock[RM_Code],$A83,T_SelfStock[WeekIndex],75)+SUMIFS(T_TTAFStock[TTAF_Qty],T_TTAFStock[RM_Code],$A83,T_TTAFStock[WeekIndex],75),BW83+'Grid_Incoming'!BX83-'Grid_Requirement'!BX83))</f>
        <v/>
      </c>
      <c r="BY83">
        <f>IF(COUNTIFS(T_StockCount[RM_Code],$A83,T_StockCount[WeekIndex],76)&gt;0,SUMIFS(T_StockCount[CountedQty],T_StockCount[RM_Code],$A83,T_StockCount[WeekIndex],76),IF((COUNTIFS(T_SelfStock[RM_Code],$A83,T_SelfStock[WeekIndex],76)&gt;0)*(COUNTIFS(T_TTAFStock[RM_Code],$A83,T_TTAFStock[WeekIndex],76)&gt;0)&gt;0,SUMIFS(T_SelfStock[Self_Qty],T_SelfStock[RM_Code],$A83,T_SelfStock[WeekIndex],76)+SUMIFS(T_TTAFStock[TTAF_Qty],T_TTAFStock[RM_Code],$A83,T_TTAFStock[WeekIndex],76),BX83+'Grid_Incoming'!BY83-'Grid_Requirement'!BY83))</f>
        <v/>
      </c>
      <c r="BZ83">
        <f>IF(COUNTIFS(T_StockCount[RM_Code],$A83,T_StockCount[WeekIndex],77)&gt;0,SUMIFS(T_StockCount[CountedQty],T_StockCount[RM_Code],$A83,T_StockCount[WeekIndex],77),IF((COUNTIFS(T_SelfStock[RM_Code],$A83,T_SelfStock[WeekIndex],77)&gt;0)*(COUNTIFS(T_TTAFStock[RM_Code],$A83,T_TTAFStock[WeekIndex],77)&gt;0)&gt;0,SUMIFS(T_SelfStock[Self_Qty],T_SelfStock[RM_Code],$A83,T_SelfStock[WeekIndex],77)+SUMIFS(T_TTAFStock[TTAF_Qty],T_TTAFStock[RM_Code],$A83,T_TTAFStock[WeekIndex],77),BY83+'Grid_Incoming'!BZ83-'Grid_Requirement'!BZ83))</f>
        <v/>
      </c>
      <c r="CA83">
        <f>IF(COUNTIFS(T_StockCount[RM_Code],$A83,T_StockCount[WeekIndex],78)&gt;0,SUMIFS(T_StockCount[CountedQty],T_StockCount[RM_Code],$A83,T_StockCount[WeekIndex],78),IF((COUNTIFS(T_SelfStock[RM_Code],$A83,T_SelfStock[WeekIndex],78)&gt;0)*(COUNTIFS(T_TTAFStock[RM_Code],$A83,T_TTAFStock[WeekIndex],78)&gt;0)&gt;0,SUMIFS(T_SelfStock[Self_Qty],T_SelfStock[RM_Code],$A83,T_SelfStock[WeekIndex],78)+SUMIFS(T_TTAFStock[TTAF_Qty],T_TTAFStock[RM_Code],$A83,T_TTAFStock[WeekIndex],78),BZ83+'Grid_Incoming'!CA83-'Grid_Requirement'!CA83))</f>
        <v/>
      </c>
      <c r="CB83">
        <f>IF(COUNTIFS(T_StockCount[RM_Code],$A83,T_StockCount[WeekIndex],79)&gt;0,SUMIFS(T_StockCount[CountedQty],T_StockCount[RM_Code],$A83,T_StockCount[WeekIndex],79),IF((COUNTIFS(T_SelfStock[RM_Code],$A83,T_SelfStock[WeekIndex],79)&gt;0)*(COUNTIFS(T_TTAFStock[RM_Code],$A83,T_TTAFStock[WeekIndex],79)&gt;0)&gt;0,SUMIFS(T_SelfStock[Self_Qty],T_SelfStock[RM_Code],$A83,T_SelfStock[WeekIndex],79)+SUMIFS(T_TTAFStock[TTAF_Qty],T_TTAFStock[RM_Code],$A83,T_TTAFStock[WeekIndex],79),CA83+'Grid_Incoming'!CB83-'Grid_Requirement'!CB83))</f>
        <v/>
      </c>
      <c r="CC83">
        <f>IF(COUNTIFS(T_StockCount[RM_Code],$A83,T_StockCount[WeekIndex],80)&gt;0,SUMIFS(T_StockCount[CountedQty],T_StockCount[RM_Code],$A83,T_StockCount[WeekIndex],80),IF((COUNTIFS(T_SelfStock[RM_Code],$A83,T_SelfStock[WeekIndex],80)&gt;0)*(COUNTIFS(T_TTAFStock[RM_Code],$A83,T_TTAFStock[WeekIndex],80)&gt;0)&gt;0,SUMIFS(T_SelfStock[Self_Qty],T_SelfStock[RM_Code],$A83,T_SelfStock[WeekIndex],80)+SUMIFS(T_TTAFStock[TTAF_Qty],T_TTAFStock[RM_Code],$A83,T_TTAFStock[WeekIndex],80),CB83+'Grid_Incoming'!CC83-'Grid_Requirement'!CC83))</f>
        <v/>
      </c>
      <c r="CD83">
        <f>IF(COUNTIFS(T_StockCount[RM_Code],$A83,T_StockCount[WeekIndex],81)&gt;0,SUMIFS(T_StockCount[CountedQty],T_StockCount[RM_Code],$A83,T_StockCount[WeekIndex],81),IF((COUNTIFS(T_SelfStock[RM_Code],$A83,T_SelfStock[WeekIndex],81)&gt;0)*(COUNTIFS(T_TTAFStock[RM_Code],$A83,T_TTAFStock[WeekIndex],81)&gt;0)&gt;0,SUMIFS(T_SelfStock[Self_Qty],T_SelfStock[RM_Code],$A83,T_SelfStock[WeekIndex],81)+SUMIFS(T_TTAFStock[TTAF_Qty],T_TTAFStock[RM_Code],$A83,T_TTAFStock[WeekIndex],81),CC83+'Grid_Incoming'!CD83-'Grid_Requirement'!CD83))</f>
        <v/>
      </c>
      <c r="CE83">
        <f>IF(COUNTIFS(T_StockCount[RM_Code],$A83,T_StockCount[WeekIndex],82)&gt;0,SUMIFS(T_StockCount[CountedQty],T_StockCount[RM_Code],$A83,T_StockCount[WeekIndex],82),IF((COUNTIFS(T_SelfStock[RM_Code],$A83,T_SelfStock[WeekIndex],82)&gt;0)*(COUNTIFS(T_TTAFStock[RM_Code],$A83,T_TTAFStock[WeekIndex],82)&gt;0)&gt;0,SUMIFS(T_SelfStock[Self_Qty],T_SelfStock[RM_Code],$A83,T_SelfStock[WeekIndex],82)+SUMIFS(T_TTAFStock[TTAF_Qty],T_TTAFStock[RM_Code],$A83,T_TTAFStock[WeekIndex],82),CD83+'Grid_Incoming'!CE83-'Grid_Requirement'!CE83))</f>
        <v/>
      </c>
      <c r="CF83">
        <f>IF(COUNTIFS(T_StockCount[RM_Code],$A83,T_StockCount[WeekIndex],83)&gt;0,SUMIFS(T_StockCount[CountedQty],T_StockCount[RM_Code],$A83,T_StockCount[WeekIndex],83),IF((COUNTIFS(T_SelfStock[RM_Code],$A83,T_SelfStock[WeekIndex],83)&gt;0)*(COUNTIFS(T_TTAFStock[RM_Code],$A83,T_TTAFStock[WeekIndex],83)&gt;0)&gt;0,SUMIFS(T_SelfStock[Self_Qty],T_SelfStock[RM_Code],$A83,T_SelfStock[WeekIndex],83)+SUMIFS(T_TTAFStock[TTAF_Qty],T_TTAFStock[RM_Code],$A83,T_TTAFStock[WeekIndex],83),CE83+'Grid_Incoming'!CF83-'Grid_Requirement'!CF83))</f>
        <v/>
      </c>
      <c r="CG83">
        <f>IF(COUNTIFS(T_StockCount[RM_Code],$A83,T_StockCount[WeekIndex],84)&gt;0,SUMIFS(T_StockCount[CountedQty],T_StockCount[RM_Code],$A83,T_StockCount[WeekIndex],84),IF((COUNTIFS(T_SelfStock[RM_Code],$A83,T_SelfStock[WeekIndex],84)&gt;0)*(COUNTIFS(T_TTAFStock[RM_Code],$A83,T_TTAFStock[WeekIndex],84)&gt;0)&gt;0,SUMIFS(T_SelfStock[Self_Qty],T_SelfStock[RM_Code],$A83,T_SelfStock[WeekIndex],84)+SUMIFS(T_TTAFStock[TTAF_Qty],T_TTAFStock[RM_Code],$A83,T_TTAFStock[WeekIndex],84),CF83+'Grid_Incoming'!CG83-'Grid_Requirement'!CG83))</f>
        <v/>
      </c>
      <c r="CH83">
        <f>IF(COUNTIFS(T_StockCount[RM_Code],$A83,T_StockCount[WeekIndex],85)&gt;0,SUMIFS(T_StockCount[CountedQty],T_StockCount[RM_Code],$A83,T_StockCount[WeekIndex],85),IF((COUNTIFS(T_SelfStock[RM_Code],$A83,T_SelfStock[WeekIndex],85)&gt;0)*(COUNTIFS(T_TTAFStock[RM_Code],$A83,T_TTAFStock[WeekIndex],85)&gt;0)&gt;0,SUMIFS(T_SelfStock[Self_Qty],T_SelfStock[RM_Code],$A83,T_SelfStock[WeekIndex],85)+SUMIFS(T_TTAFStock[TTAF_Qty],T_TTAFStock[RM_Code],$A83,T_TTAFStock[WeekIndex],85),CG83+'Grid_Incoming'!CH83-'Grid_Requirement'!CH83))</f>
        <v/>
      </c>
      <c r="CI83">
        <f>IF(COUNTIFS(T_StockCount[RM_Code],$A83,T_StockCount[WeekIndex],86)&gt;0,SUMIFS(T_StockCount[CountedQty],T_StockCount[RM_Code],$A83,T_StockCount[WeekIndex],86),IF((COUNTIFS(T_SelfStock[RM_Code],$A83,T_SelfStock[WeekIndex],86)&gt;0)*(COUNTIFS(T_TTAFStock[RM_Code],$A83,T_TTAFStock[WeekIndex],86)&gt;0)&gt;0,SUMIFS(T_SelfStock[Self_Qty],T_SelfStock[RM_Code],$A83,T_SelfStock[WeekIndex],86)+SUMIFS(T_TTAFStock[TTAF_Qty],T_TTAFStock[RM_Code],$A83,T_TTAFStock[WeekIndex],86),CH83+'Grid_Incoming'!CI83-'Grid_Requirement'!CI83))</f>
        <v/>
      </c>
      <c r="CJ83">
        <f>IF(COUNTIFS(T_StockCount[RM_Code],$A83,T_StockCount[WeekIndex],87)&gt;0,SUMIFS(T_StockCount[CountedQty],T_StockCount[RM_Code],$A83,T_StockCount[WeekIndex],87),IF((COUNTIFS(T_SelfStock[RM_Code],$A83,T_SelfStock[WeekIndex],87)&gt;0)*(COUNTIFS(T_TTAFStock[RM_Code],$A83,T_TTAFStock[WeekIndex],87)&gt;0)&gt;0,SUMIFS(T_SelfStock[Self_Qty],T_SelfStock[RM_Code],$A83,T_SelfStock[WeekIndex],87)+SUMIFS(T_TTAFStock[TTAF_Qty],T_TTAFStock[RM_Code],$A83,T_TTAFStock[WeekIndex],87),CI83+'Grid_Incoming'!CJ83-'Grid_Requirement'!CJ83))</f>
        <v/>
      </c>
      <c r="CK83">
        <f>IF(COUNTIFS(T_StockCount[RM_Code],$A83,T_StockCount[WeekIndex],88)&gt;0,SUMIFS(T_StockCount[CountedQty],T_StockCount[RM_Code],$A83,T_StockCount[WeekIndex],88),IF((COUNTIFS(T_SelfStock[RM_Code],$A83,T_SelfStock[WeekIndex],88)&gt;0)*(COUNTIFS(T_TTAFStock[RM_Code],$A83,T_TTAFStock[WeekIndex],88)&gt;0)&gt;0,SUMIFS(T_SelfStock[Self_Qty],T_SelfStock[RM_Code],$A83,T_SelfStock[WeekIndex],88)+SUMIFS(T_TTAFStock[TTAF_Qty],T_TTAFStock[RM_Code],$A83,T_TTAFStock[WeekIndex],88),CJ83+'Grid_Incoming'!CK83-'Grid_Requirement'!CK83))</f>
        <v/>
      </c>
      <c r="CL83">
        <f>IF(COUNTIFS(T_StockCount[RM_Code],$A83,T_StockCount[WeekIndex],89)&gt;0,SUMIFS(T_StockCount[CountedQty],T_StockCount[RM_Code],$A83,T_StockCount[WeekIndex],89),IF((COUNTIFS(T_SelfStock[RM_Code],$A83,T_SelfStock[WeekIndex],89)&gt;0)*(COUNTIFS(T_TTAFStock[RM_Code],$A83,T_TTAFStock[WeekIndex],89)&gt;0)&gt;0,SUMIFS(T_SelfStock[Self_Qty],T_SelfStock[RM_Code],$A83,T_SelfStock[WeekIndex],89)+SUMIFS(T_TTAFStock[TTAF_Qty],T_TTAFStock[RM_Code],$A83,T_TTAFStock[WeekIndex],89),CK83+'Grid_Incoming'!CL83-'Grid_Requirement'!CL83))</f>
        <v/>
      </c>
      <c r="CM83">
        <f>IF(COUNTIFS(T_StockCount[RM_Code],$A83,T_StockCount[WeekIndex],90)&gt;0,SUMIFS(T_StockCount[CountedQty],T_StockCount[RM_Code],$A83,T_StockCount[WeekIndex],90),IF((COUNTIFS(T_SelfStock[RM_Code],$A83,T_SelfStock[WeekIndex],90)&gt;0)*(COUNTIFS(T_TTAFStock[RM_Code],$A83,T_TTAFStock[WeekIndex],90)&gt;0)&gt;0,SUMIFS(T_SelfStock[Self_Qty],T_SelfStock[RM_Code],$A83,T_SelfStock[WeekIndex],90)+SUMIFS(T_TTAFStock[TTAF_Qty],T_TTAFStock[RM_Code],$A83,T_TTAFStock[WeekIndex],90),CL83+'Grid_Incoming'!CM83-'Grid_Requirement'!CM83))</f>
        <v/>
      </c>
      <c r="CN83">
        <f>IF(COUNTIFS(T_StockCount[RM_Code],$A83,T_StockCount[WeekIndex],91)&gt;0,SUMIFS(T_StockCount[CountedQty],T_StockCount[RM_Code],$A83,T_StockCount[WeekIndex],91),IF((COUNTIFS(T_SelfStock[RM_Code],$A83,T_SelfStock[WeekIndex],91)&gt;0)*(COUNTIFS(T_TTAFStock[RM_Code],$A83,T_TTAFStock[WeekIndex],91)&gt;0)&gt;0,SUMIFS(T_SelfStock[Self_Qty],T_SelfStock[RM_Code],$A83,T_SelfStock[WeekIndex],91)+SUMIFS(T_TTAFStock[TTAF_Qty],T_TTAFStock[RM_Code],$A83,T_TTAFStock[WeekIndex],91),CM83+'Grid_Incoming'!CN83-'Grid_Requirement'!CN83))</f>
        <v/>
      </c>
      <c r="CO83">
        <f>IF(COUNTIFS(T_StockCount[RM_Code],$A83,T_StockCount[WeekIndex],92)&gt;0,SUMIFS(T_StockCount[CountedQty],T_StockCount[RM_Code],$A83,T_StockCount[WeekIndex],92),IF((COUNTIFS(T_SelfStock[RM_Code],$A83,T_SelfStock[WeekIndex],92)&gt;0)*(COUNTIFS(T_TTAFStock[RM_Code],$A83,T_TTAFStock[WeekIndex],92)&gt;0)&gt;0,SUMIFS(T_SelfStock[Self_Qty],T_SelfStock[RM_Code],$A83,T_SelfStock[WeekIndex],92)+SUMIFS(T_TTAFStock[TTAF_Qty],T_TTAFStock[RM_Code],$A83,T_TTAFStock[WeekIndex],92),CN83+'Grid_Incoming'!CO83-'Grid_Requirement'!CO83))</f>
        <v/>
      </c>
      <c r="CP83">
        <f>IF(COUNTIFS(T_StockCount[RM_Code],$A83,T_StockCount[WeekIndex],93)&gt;0,SUMIFS(T_StockCount[CountedQty],T_StockCount[RM_Code],$A83,T_StockCount[WeekIndex],93),IF((COUNTIFS(T_SelfStock[RM_Code],$A83,T_SelfStock[WeekIndex],93)&gt;0)*(COUNTIFS(T_TTAFStock[RM_Code],$A83,T_TTAFStock[WeekIndex],93)&gt;0)&gt;0,SUMIFS(T_SelfStock[Self_Qty],T_SelfStock[RM_Code],$A83,T_SelfStock[WeekIndex],93)+SUMIFS(T_TTAFStock[TTAF_Qty],T_TTAFStock[RM_Code],$A83,T_TTAFStock[WeekIndex],93),CO83+'Grid_Incoming'!CP83-'Grid_Requirement'!CP83))</f>
        <v/>
      </c>
      <c r="CQ83">
        <f>IF(COUNTIFS(T_StockCount[RM_Code],$A83,T_StockCount[WeekIndex],94)&gt;0,SUMIFS(T_StockCount[CountedQty],T_StockCount[RM_Code],$A83,T_StockCount[WeekIndex],94),IF((COUNTIFS(T_SelfStock[RM_Code],$A83,T_SelfStock[WeekIndex],94)&gt;0)*(COUNTIFS(T_TTAFStock[RM_Code],$A83,T_TTAFStock[WeekIndex],94)&gt;0)&gt;0,SUMIFS(T_SelfStock[Self_Qty],T_SelfStock[RM_Code],$A83,T_SelfStock[WeekIndex],94)+SUMIFS(T_TTAFStock[TTAF_Qty],T_TTAFStock[RM_Code],$A83,T_TTAFStock[WeekIndex],94),CP83+'Grid_Incoming'!CQ83-'Grid_Requirement'!CQ83))</f>
        <v/>
      </c>
      <c r="CR83">
        <f>IF(COUNTIFS(T_StockCount[RM_Code],$A83,T_StockCount[WeekIndex],95)&gt;0,SUMIFS(T_StockCount[CountedQty],T_StockCount[RM_Code],$A83,T_StockCount[WeekIndex],95),IF((COUNTIFS(T_SelfStock[RM_Code],$A83,T_SelfStock[WeekIndex],95)&gt;0)*(COUNTIFS(T_TTAFStock[RM_Code],$A83,T_TTAFStock[WeekIndex],95)&gt;0)&gt;0,SUMIFS(T_SelfStock[Self_Qty],T_SelfStock[RM_Code],$A83,T_SelfStock[WeekIndex],95)+SUMIFS(T_TTAFStock[TTAF_Qty],T_TTAFStock[RM_Code],$A83,T_TTAFStock[WeekIndex],95),CQ83+'Grid_Incoming'!CR83-'Grid_Requirement'!CR83))</f>
        <v/>
      </c>
      <c r="CS83">
        <f>IF(COUNTIFS(T_StockCount[RM_Code],$A83,T_StockCount[WeekIndex],96)&gt;0,SUMIFS(T_StockCount[CountedQty],T_StockCount[RM_Code],$A83,T_StockCount[WeekIndex],96),IF((COUNTIFS(T_SelfStock[RM_Code],$A83,T_SelfStock[WeekIndex],96)&gt;0)*(COUNTIFS(T_TTAFStock[RM_Code],$A83,T_TTAFStock[WeekIndex],96)&gt;0)&gt;0,SUMIFS(T_SelfStock[Self_Qty],T_SelfStock[RM_Code],$A83,T_SelfStock[WeekIndex],96)+SUMIFS(T_TTAFStock[TTAF_Qty],T_TTAFStock[RM_Code],$A83,T_TTAFStock[WeekIndex],96),CR83+'Grid_Incoming'!CS83-'Grid_Requirement'!CS83))</f>
        <v/>
      </c>
      <c r="CT83">
        <f>IF(COUNTIFS(T_StockCount[RM_Code],$A83,T_StockCount[WeekIndex],97)&gt;0,SUMIFS(T_StockCount[CountedQty],T_StockCount[RM_Code],$A83,T_StockCount[WeekIndex],97),IF((COUNTIFS(T_SelfStock[RM_Code],$A83,T_SelfStock[WeekIndex],97)&gt;0)*(COUNTIFS(T_TTAFStock[RM_Code],$A83,T_TTAFStock[WeekIndex],97)&gt;0)&gt;0,SUMIFS(T_SelfStock[Self_Qty],T_SelfStock[RM_Code],$A83,T_SelfStock[WeekIndex],97)+SUMIFS(T_TTAFStock[TTAF_Qty],T_TTAFStock[RM_Code],$A83,T_TTAFStock[WeekIndex],97),CS83+'Grid_Incoming'!CT83-'Grid_Requirement'!CT83))</f>
        <v/>
      </c>
      <c r="CU83">
        <f>IF(COUNTIFS(T_StockCount[RM_Code],$A83,T_StockCount[WeekIndex],98)&gt;0,SUMIFS(T_StockCount[CountedQty],T_StockCount[RM_Code],$A83,T_StockCount[WeekIndex],98),IF((COUNTIFS(T_SelfStock[RM_Code],$A83,T_SelfStock[WeekIndex],98)&gt;0)*(COUNTIFS(T_TTAFStock[RM_Code],$A83,T_TTAFStock[WeekIndex],98)&gt;0)&gt;0,SUMIFS(T_SelfStock[Self_Qty],T_SelfStock[RM_Code],$A83,T_SelfStock[WeekIndex],98)+SUMIFS(T_TTAFStock[TTAF_Qty],T_TTAFStock[RM_Code],$A83,T_TTAFStock[WeekIndex],98),CT83+'Grid_Incoming'!CU83-'Grid_Requirement'!CU83))</f>
        <v/>
      </c>
      <c r="CV83">
        <f>IF(COUNTIFS(T_StockCount[RM_Code],$A83,T_StockCount[WeekIndex],99)&gt;0,SUMIFS(T_StockCount[CountedQty],T_StockCount[RM_Code],$A83,T_StockCount[WeekIndex],99),IF((COUNTIFS(T_SelfStock[RM_Code],$A83,T_SelfStock[WeekIndex],99)&gt;0)*(COUNTIFS(T_TTAFStock[RM_Code],$A83,T_TTAFStock[WeekIndex],99)&gt;0)&gt;0,SUMIFS(T_SelfStock[Self_Qty],T_SelfStock[RM_Code],$A83,T_SelfStock[WeekIndex],99)+SUMIFS(T_TTAFStock[TTAF_Qty],T_TTAFStock[RM_Code],$A83,T_TTAFStock[WeekIndex],99),CU83+'Grid_Incoming'!CV83-'Grid_Requirement'!CV83))</f>
        <v/>
      </c>
      <c r="CW83">
        <f>IF(COUNTIFS(T_StockCount[RM_Code],$A83,T_StockCount[WeekIndex],100)&gt;0,SUMIFS(T_StockCount[CountedQty],T_StockCount[RM_Code],$A83,T_StockCount[WeekIndex],100),IF((COUNTIFS(T_SelfStock[RM_Code],$A83,T_SelfStock[WeekIndex],100)&gt;0)*(COUNTIFS(T_TTAFStock[RM_Code],$A83,T_TTAFStock[WeekIndex],100)&gt;0)&gt;0,SUMIFS(T_SelfStock[Self_Qty],T_SelfStock[RM_Code],$A83,T_SelfStock[WeekIndex],100)+SUMIFS(T_TTAFStock[TTAF_Qty],T_TTAFStock[RM_Code],$A83,T_TTAFStock[WeekIndex],100),CV83+'Grid_Incoming'!CW83-'Grid_Requirement'!CW83))</f>
        <v/>
      </c>
      <c r="CX83">
        <f>IF(COUNTIFS(T_StockCount[RM_Code],$A83,T_StockCount[WeekIndex],101)&gt;0,SUMIFS(T_StockCount[CountedQty],T_StockCount[RM_Code],$A83,T_StockCount[WeekIndex],101),IF((COUNTIFS(T_SelfStock[RM_Code],$A83,T_SelfStock[WeekIndex],101)&gt;0)*(COUNTIFS(T_TTAFStock[RM_Code],$A83,T_TTAFStock[WeekIndex],101)&gt;0)&gt;0,SUMIFS(T_SelfStock[Self_Qty],T_SelfStock[RM_Code],$A83,T_SelfStock[WeekIndex],101)+SUMIFS(T_TTAFStock[TTAF_Qty],T_TTAFStock[RM_Code],$A83,T_TTAFStock[WeekIndex],101),CW83+'Grid_Incoming'!CX83-'Grid_Requirement'!CX83))</f>
        <v/>
      </c>
      <c r="CY83">
        <f>IF(COUNTIFS(T_StockCount[RM_Code],$A83,T_StockCount[WeekIndex],102)&gt;0,SUMIFS(T_StockCount[CountedQty],T_StockCount[RM_Code],$A83,T_StockCount[WeekIndex],102),IF((COUNTIFS(T_SelfStock[RM_Code],$A83,T_SelfStock[WeekIndex],102)&gt;0)*(COUNTIFS(T_TTAFStock[RM_Code],$A83,T_TTAFStock[WeekIndex],102)&gt;0)&gt;0,SUMIFS(T_SelfStock[Self_Qty],T_SelfStock[RM_Code],$A83,T_SelfStock[WeekIndex],102)+SUMIFS(T_TTAFStock[TTAF_Qty],T_TTAFStock[RM_Code],$A83,T_TTAFStock[WeekIndex],102),CX83+'Grid_Incoming'!CY83-'Grid_Requirement'!CY83))</f>
        <v/>
      </c>
      <c r="CZ83">
        <f>IF(COUNTIFS(T_StockCount[RM_Code],$A83,T_StockCount[WeekIndex],103)&gt;0,SUMIFS(T_StockCount[CountedQty],T_StockCount[RM_Code],$A83,T_StockCount[WeekIndex],103),IF((COUNTIFS(T_SelfStock[RM_Code],$A83,T_SelfStock[WeekIndex],103)&gt;0)*(COUNTIFS(T_TTAFStock[RM_Code],$A83,T_TTAFStock[WeekIndex],103)&gt;0)&gt;0,SUMIFS(T_SelfStock[Self_Qty],T_SelfStock[RM_Code],$A83,T_SelfStock[WeekIndex],103)+SUMIFS(T_TTAFStock[TTAF_Qty],T_TTAFStock[RM_Code],$A83,T_TTAFStock[WeekIndex],103),CY83+'Grid_Incoming'!CZ83-'Grid_Requirement'!CZ83))</f>
        <v/>
      </c>
      <c r="DA83">
        <f>IF(COUNTIFS(T_StockCount[RM_Code],$A83,T_StockCount[WeekIndex],104)&gt;0,SUMIFS(T_StockCount[CountedQty],T_StockCount[RM_Code],$A83,T_StockCount[WeekIndex],104),IF((COUNTIFS(T_SelfStock[RM_Code],$A83,T_SelfStock[WeekIndex],104)&gt;0)*(COUNTIFS(T_TTAFStock[RM_Code],$A83,T_TTAFStock[WeekIndex],104)&gt;0)&gt;0,SUMIFS(T_SelfStock[Self_Qty],T_SelfStock[RM_Code],$A83,T_SelfStock[WeekIndex],104)+SUMIFS(T_TTAFStock[TTAF_Qty],T_TTAFStock[RM_Code],$A83,T_TTAFStock[WeekIndex],104),CZ83+'Grid_Incoming'!DA83-'Grid_Requirement'!DA83))</f>
        <v/>
      </c>
    </row>
    <row r="84">
      <c r="A84" t="inlineStr">
        <is>
          <t>CHEM-1260</t>
        </is>
      </c>
      <c r="B84">
        <f>IF(COUNTIFS(T_StockCount[RM_Code],$A84,T_StockCount[WeekIndex],1)&gt;0,SUMIFS(T_StockCount[CountedQty],T_StockCount[RM_Code],$A84,T_StockCount[WeekIndex],1),IF((COUNTIFS(T_SelfStock[RM_Code],$A84,T_SelfStock[WeekIndex],1)&gt;0)*(COUNTIFS(T_TTAFStock[RM_Code],$A84,T_TTAFStock[WeekIndex],1)&gt;0)&gt;0,SUMIFS(T_SelfStock[Self_Qty],T_SelfStock[RM_Code],$A84,T_SelfStock[WeekIndex],1)+SUMIFS(T_TTAFStock[TTAF_Qty],T_TTAFStock[RM_Code],$A84,T_TTAFStock[WeekIndex],1),IFERROR(INDEX(T_OpeningStock[Opening_Qty],MATCH($A84,T_OpeningStock[RM_Code],0)),0)+'Grid_Incoming'!B84-'Grid_Requirement'!B84))</f>
        <v/>
      </c>
      <c r="C84">
        <f>IF(COUNTIFS(T_StockCount[RM_Code],$A84,T_StockCount[WeekIndex],2)&gt;0,SUMIFS(T_StockCount[CountedQty],T_StockCount[RM_Code],$A84,T_StockCount[WeekIndex],2),IF((COUNTIFS(T_SelfStock[RM_Code],$A84,T_SelfStock[WeekIndex],2)&gt;0)*(COUNTIFS(T_TTAFStock[RM_Code],$A84,T_TTAFStock[WeekIndex],2)&gt;0)&gt;0,SUMIFS(T_SelfStock[Self_Qty],T_SelfStock[RM_Code],$A84,T_SelfStock[WeekIndex],2)+SUMIFS(T_TTAFStock[TTAF_Qty],T_TTAFStock[RM_Code],$A84,T_TTAFStock[WeekIndex],2),B84+'Grid_Incoming'!C84-'Grid_Requirement'!C84))</f>
        <v/>
      </c>
      <c r="D84">
        <f>IF(COUNTIFS(T_StockCount[RM_Code],$A84,T_StockCount[WeekIndex],3)&gt;0,SUMIFS(T_StockCount[CountedQty],T_StockCount[RM_Code],$A84,T_StockCount[WeekIndex],3),IF((COUNTIFS(T_SelfStock[RM_Code],$A84,T_SelfStock[WeekIndex],3)&gt;0)*(COUNTIFS(T_TTAFStock[RM_Code],$A84,T_TTAFStock[WeekIndex],3)&gt;0)&gt;0,SUMIFS(T_SelfStock[Self_Qty],T_SelfStock[RM_Code],$A84,T_SelfStock[WeekIndex],3)+SUMIFS(T_TTAFStock[TTAF_Qty],T_TTAFStock[RM_Code],$A84,T_TTAFStock[WeekIndex],3),C84+'Grid_Incoming'!D84-'Grid_Requirement'!D84))</f>
        <v/>
      </c>
      <c r="E84">
        <f>IF(COUNTIFS(T_StockCount[RM_Code],$A84,T_StockCount[WeekIndex],4)&gt;0,SUMIFS(T_StockCount[CountedQty],T_StockCount[RM_Code],$A84,T_StockCount[WeekIndex],4),IF((COUNTIFS(T_SelfStock[RM_Code],$A84,T_SelfStock[WeekIndex],4)&gt;0)*(COUNTIFS(T_TTAFStock[RM_Code],$A84,T_TTAFStock[WeekIndex],4)&gt;0)&gt;0,SUMIFS(T_SelfStock[Self_Qty],T_SelfStock[RM_Code],$A84,T_SelfStock[WeekIndex],4)+SUMIFS(T_TTAFStock[TTAF_Qty],T_TTAFStock[RM_Code],$A84,T_TTAFStock[WeekIndex],4),D84+'Grid_Incoming'!E84-'Grid_Requirement'!E84))</f>
        <v/>
      </c>
      <c r="F84">
        <f>IF(COUNTIFS(T_StockCount[RM_Code],$A84,T_StockCount[WeekIndex],5)&gt;0,SUMIFS(T_StockCount[CountedQty],T_StockCount[RM_Code],$A84,T_StockCount[WeekIndex],5),IF((COUNTIFS(T_SelfStock[RM_Code],$A84,T_SelfStock[WeekIndex],5)&gt;0)*(COUNTIFS(T_TTAFStock[RM_Code],$A84,T_TTAFStock[WeekIndex],5)&gt;0)&gt;0,SUMIFS(T_SelfStock[Self_Qty],T_SelfStock[RM_Code],$A84,T_SelfStock[WeekIndex],5)+SUMIFS(T_TTAFStock[TTAF_Qty],T_TTAFStock[RM_Code],$A84,T_TTAFStock[WeekIndex],5),E84+'Grid_Incoming'!F84-'Grid_Requirement'!F84))</f>
        <v/>
      </c>
      <c r="G84">
        <f>IF(COUNTIFS(T_StockCount[RM_Code],$A84,T_StockCount[WeekIndex],6)&gt;0,SUMIFS(T_StockCount[CountedQty],T_StockCount[RM_Code],$A84,T_StockCount[WeekIndex],6),IF((COUNTIFS(T_SelfStock[RM_Code],$A84,T_SelfStock[WeekIndex],6)&gt;0)*(COUNTIFS(T_TTAFStock[RM_Code],$A84,T_TTAFStock[WeekIndex],6)&gt;0)&gt;0,SUMIFS(T_SelfStock[Self_Qty],T_SelfStock[RM_Code],$A84,T_SelfStock[WeekIndex],6)+SUMIFS(T_TTAFStock[TTAF_Qty],T_TTAFStock[RM_Code],$A84,T_TTAFStock[WeekIndex],6),F84+'Grid_Incoming'!G84-'Grid_Requirement'!G84))</f>
        <v/>
      </c>
      <c r="H84">
        <f>IF(COUNTIFS(T_StockCount[RM_Code],$A84,T_StockCount[WeekIndex],7)&gt;0,SUMIFS(T_StockCount[CountedQty],T_StockCount[RM_Code],$A84,T_StockCount[WeekIndex],7),IF((COUNTIFS(T_SelfStock[RM_Code],$A84,T_SelfStock[WeekIndex],7)&gt;0)*(COUNTIFS(T_TTAFStock[RM_Code],$A84,T_TTAFStock[WeekIndex],7)&gt;0)&gt;0,SUMIFS(T_SelfStock[Self_Qty],T_SelfStock[RM_Code],$A84,T_SelfStock[WeekIndex],7)+SUMIFS(T_TTAFStock[TTAF_Qty],T_TTAFStock[RM_Code],$A84,T_TTAFStock[WeekIndex],7),G84+'Grid_Incoming'!H84-'Grid_Requirement'!H84))</f>
        <v/>
      </c>
      <c r="I84">
        <f>IF(COUNTIFS(T_StockCount[RM_Code],$A84,T_StockCount[WeekIndex],8)&gt;0,SUMIFS(T_StockCount[CountedQty],T_StockCount[RM_Code],$A84,T_StockCount[WeekIndex],8),IF((COUNTIFS(T_SelfStock[RM_Code],$A84,T_SelfStock[WeekIndex],8)&gt;0)*(COUNTIFS(T_TTAFStock[RM_Code],$A84,T_TTAFStock[WeekIndex],8)&gt;0)&gt;0,SUMIFS(T_SelfStock[Self_Qty],T_SelfStock[RM_Code],$A84,T_SelfStock[WeekIndex],8)+SUMIFS(T_TTAFStock[TTAF_Qty],T_TTAFStock[RM_Code],$A84,T_TTAFStock[WeekIndex],8),H84+'Grid_Incoming'!I84-'Grid_Requirement'!I84))</f>
        <v/>
      </c>
      <c r="J84">
        <f>IF(COUNTIFS(T_StockCount[RM_Code],$A84,T_StockCount[WeekIndex],9)&gt;0,SUMIFS(T_StockCount[CountedQty],T_StockCount[RM_Code],$A84,T_StockCount[WeekIndex],9),IF((COUNTIFS(T_SelfStock[RM_Code],$A84,T_SelfStock[WeekIndex],9)&gt;0)*(COUNTIFS(T_TTAFStock[RM_Code],$A84,T_TTAFStock[WeekIndex],9)&gt;0)&gt;0,SUMIFS(T_SelfStock[Self_Qty],T_SelfStock[RM_Code],$A84,T_SelfStock[WeekIndex],9)+SUMIFS(T_TTAFStock[TTAF_Qty],T_TTAFStock[RM_Code],$A84,T_TTAFStock[WeekIndex],9),I84+'Grid_Incoming'!J84-'Grid_Requirement'!J84))</f>
        <v/>
      </c>
      <c r="K84">
        <f>IF(COUNTIFS(T_StockCount[RM_Code],$A84,T_StockCount[WeekIndex],10)&gt;0,SUMIFS(T_StockCount[CountedQty],T_StockCount[RM_Code],$A84,T_StockCount[WeekIndex],10),IF((COUNTIFS(T_SelfStock[RM_Code],$A84,T_SelfStock[WeekIndex],10)&gt;0)*(COUNTIFS(T_TTAFStock[RM_Code],$A84,T_TTAFStock[WeekIndex],10)&gt;0)&gt;0,SUMIFS(T_SelfStock[Self_Qty],T_SelfStock[RM_Code],$A84,T_SelfStock[WeekIndex],10)+SUMIFS(T_TTAFStock[TTAF_Qty],T_TTAFStock[RM_Code],$A84,T_TTAFStock[WeekIndex],10),J84+'Grid_Incoming'!K84-'Grid_Requirement'!K84))</f>
        <v/>
      </c>
      <c r="L84">
        <f>IF(COUNTIFS(T_StockCount[RM_Code],$A84,T_StockCount[WeekIndex],11)&gt;0,SUMIFS(T_StockCount[CountedQty],T_StockCount[RM_Code],$A84,T_StockCount[WeekIndex],11),IF((COUNTIFS(T_SelfStock[RM_Code],$A84,T_SelfStock[WeekIndex],11)&gt;0)*(COUNTIFS(T_TTAFStock[RM_Code],$A84,T_TTAFStock[WeekIndex],11)&gt;0)&gt;0,SUMIFS(T_SelfStock[Self_Qty],T_SelfStock[RM_Code],$A84,T_SelfStock[WeekIndex],11)+SUMIFS(T_TTAFStock[TTAF_Qty],T_TTAFStock[RM_Code],$A84,T_TTAFStock[WeekIndex],11),K84+'Grid_Incoming'!L84-'Grid_Requirement'!L84))</f>
        <v/>
      </c>
      <c r="M84">
        <f>IF(COUNTIFS(T_StockCount[RM_Code],$A84,T_StockCount[WeekIndex],12)&gt;0,SUMIFS(T_StockCount[CountedQty],T_StockCount[RM_Code],$A84,T_StockCount[WeekIndex],12),IF((COUNTIFS(T_SelfStock[RM_Code],$A84,T_SelfStock[WeekIndex],12)&gt;0)*(COUNTIFS(T_TTAFStock[RM_Code],$A84,T_TTAFStock[WeekIndex],12)&gt;0)&gt;0,SUMIFS(T_SelfStock[Self_Qty],T_SelfStock[RM_Code],$A84,T_SelfStock[WeekIndex],12)+SUMIFS(T_TTAFStock[TTAF_Qty],T_TTAFStock[RM_Code],$A84,T_TTAFStock[WeekIndex],12),L84+'Grid_Incoming'!M84-'Grid_Requirement'!M84))</f>
        <v/>
      </c>
      <c r="N84">
        <f>IF(COUNTIFS(T_StockCount[RM_Code],$A84,T_StockCount[WeekIndex],13)&gt;0,SUMIFS(T_StockCount[CountedQty],T_StockCount[RM_Code],$A84,T_StockCount[WeekIndex],13),IF((COUNTIFS(T_SelfStock[RM_Code],$A84,T_SelfStock[WeekIndex],13)&gt;0)*(COUNTIFS(T_TTAFStock[RM_Code],$A84,T_TTAFStock[WeekIndex],13)&gt;0)&gt;0,SUMIFS(T_SelfStock[Self_Qty],T_SelfStock[RM_Code],$A84,T_SelfStock[WeekIndex],13)+SUMIFS(T_TTAFStock[TTAF_Qty],T_TTAFStock[RM_Code],$A84,T_TTAFStock[WeekIndex],13),M84+'Grid_Incoming'!N84-'Grid_Requirement'!N84))</f>
        <v/>
      </c>
      <c r="O84">
        <f>IF(COUNTIFS(T_StockCount[RM_Code],$A84,T_StockCount[WeekIndex],14)&gt;0,SUMIFS(T_StockCount[CountedQty],T_StockCount[RM_Code],$A84,T_StockCount[WeekIndex],14),IF((COUNTIFS(T_SelfStock[RM_Code],$A84,T_SelfStock[WeekIndex],14)&gt;0)*(COUNTIFS(T_TTAFStock[RM_Code],$A84,T_TTAFStock[WeekIndex],14)&gt;0)&gt;0,SUMIFS(T_SelfStock[Self_Qty],T_SelfStock[RM_Code],$A84,T_SelfStock[WeekIndex],14)+SUMIFS(T_TTAFStock[TTAF_Qty],T_TTAFStock[RM_Code],$A84,T_TTAFStock[WeekIndex],14),N84+'Grid_Incoming'!O84-'Grid_Requirement'!O84))</f>
        <v/>
      </c>
      <c r="P84">
        <f>IF(COUNTIFS(T_StockCount[RM_Code],$A84,T_StockCount[WeekIndex],15)&gt;0,SUMIFS(T_StockCount[CountedQty],T_StockCount[RM_Code],$A84,T_StockCount[WeekIndex],15),IF((COUNTIFS(T_SelfStock[RM_Code],$A84,T_SelfStock[WeekIndex],15)&gt;0)*(COUNTIFS(T_TTAFStock[RM_Code],$A84,T_TTAFStock[WeekIndex],15)&gt;0)&gt;0,SUMIFS(T_SelfStock[Self_Qty],T_SelfStock[RM_Code],$A84,T_SelfStock[WeekIndex],15)+SUMIFS(T_TTAFStock[TTAF_Qty],T_TTAFStock[RM_Code],$A84,T_TTAFStock[WeekIndex],15),O84+'Grid_Incoming'!P84-'Grid_Requirement'!P84))</f>
        <v/>
      </c>
      <c r="Q84">
        <f>IF(COUNTIFS(T_StockCount[RM_Code],$A84,T_StockCount[WeekIndex],16)&gt;0,SUMIFS(T_StockCount[CountedQty],T_StockCount[RM_Code],$A84,T_StockCount[WeekIndex],16),IF((COUNTIFS(T_SelfStock[RM_Code],$A84,T_SelfStock[WeekIndex],16)&gt;0)*(COUNTIFS(T_TTAFStock[RM_Code],$A84,T_TTAFStock[WeekIndex],16)&gt;0)&gt;0,SUMIFS(T_SelfStock[Self_Qty],T_SelfStock[RM_Code],$A84,T_SelfStock[WeekIndex],16)+SUMIFS(T_TTAFStock[TTAF_Qty],T_TTAFStock[RM_Code],$A84,T_TTAFStock[WeekIndex],16),P84+'Grid_Incoming'!Q84-'Grid_Requirement'!Q84))</f>
        <v/>
      </c>
      <c r="R84">
        <f>IF(COUNTIFS(T_StockCount[RM_Code],$A84,T_StockCount[WeekIndex],17)&gt;0,SUMIFS(T_StockCount[CountedQty],T_StockCount[RM_Code],$A84,T_StockCount[WeekIndex],17),IF((COUNTIFS(T_SelfStock[RM_Code],$A84,T_SelfStock[WeekIndex],17)&gt;0)*(COUNTIFS(T_TTAFStock[RM_Code],$A84,T_TTAFStock[WeekIndex],17)&gt;0)&gt;0,SUMIFS(T_SelfStock[Self_Qty],T_SelfStock[RM_Code],$A84,T_SelfStock[WeekIndex],17)+SUMIFS(T_TTAFStock[TTAF_Qty],T_TTAFStock[RM_Code],$A84,T_TTAFStock[WeekIndex],17),Q84+'Grid_Incoming'!R84-'Grid_Requirement'!R84))</f>
        <v/>
      </c>
      <c r="S84">
        <f>IF(COUNTIFS(T_StockCount[RM_Code],$A84,T_StockCount[WeekIndex],18)&gt;0,SUMIFS(T_StockCount[CountedQty],T_StockCount[RM_Code],$A84,T_StockCount[WeekIndex],18),IF((COUNTIFS(T_SelfStock[RM_Code],$A84,T_SelfStock[WeekIndex],18)&gt;0)*(COUNTIFS(T_TTAFStock[RM_Code],$A84,T_TTAFStock[WeekIndex],18)&gt;0)&gt;0,SUMIFS(T_SelfStock[Self_Qty],T_SelfStock[RM_Code],$A84,T_SelfStock[WeekIndex],18)+SUMIFS(T_TTAFStock[TTAF_Qty],T_TTAFStock[RM_Code],$A84,T_TTAFStock[WeekIndex],18),R84+'Grid_Incoming'!S84-'Grid_Requirement'!S84))</f>
        <v/>
      </c>
      <c r="T84">
        <f>IF(COUNTIFS(T_StockCount[RM_Code],$A84,T_StockCount[WeekIndex],19)&gt;0,SUMIFS(T_StockCount[CountedQty],T_StockCount[RM_Code],$A84,T_StockCount[WeekIndex],19),IF((COUNTIFS(T_SelfStock[RM_Code],$A84,T_SelfStock[WeekIndex],19)&gt;0)*(COUNTIFS(T_TTAFStock[RM_Code],$A84,T_TTAFStock[WeekIndex],19)&gt;0)&gt;0,SUMIFS(T_SelfStock[Self_Qty],T_SelfStock[RM_Code],$A84,T_SelfStock[WeekIndex],19)+SUMIFS(T_TTAFStock[TTAF_Qty],T_TTAFStock[RM_Code],$A84,T_TTAFStock[WeekIndex],19),S84+'Grid_Incoming'!T84-'Grid_Requirement'!T84))</f>
        <v/>
      </c>
      <c r="U84">
        <f>IF(COUNTIFS(T_StockCount[RM_Code],$A84,T_StockCount[WeekIndex],20)&gt;0,SUMIFS(T_StockCount[CountedQty],T_StockCount[RM_Code],$A84,T_StockCount[WeekIndex],20),IF((COUNTIFS(T_SelfStock[RM_Code],$A84,T_SelfStock[WeekIndex],20)&gt;0)*(COUNTIFS(T_TTAFStock[RM_Code],$A84,T_TTAFStock[WeekIndex],20)&gt;0)&gt;0,SUMIFS(T_SelfStock[Self_Qty],T_SelfStock[RM_Code],$A84,T_SelfStock[WeekIndex],20)+SUMIFS(T_TTAFStock[TTAF_Qty],T_TTAFStock[RM_Code],$A84,T_TTAFStock[WeekIndex],20),T84+'Grid_Incoming'!U84-'Grid_Requirement'!U84))</f>
        <v/>
      </c>
      <c r="V84">
        <f>IF(COUNTIFS(T_StockCount[RM_Code],$A84,T_StockCount[WeekIndex],21)&gt;0,SUMIFS(T_StockCount[CountedQty],T_StockCount[RM_Code],$A84,T_StockCount[WeekIndex],21),IF((COUNTIFS(T_SelfStock[RM_Code],$A84,T_SelfStock[WeekIndex],21)&gt;0)*(COUNTIFS(T_TTAFStock[RM_Code],$A84,T_TTAFStock[WeekIndex],21)&gt;0)&gt;0,SUMIFS(T_SelfStock[Self_Qty],T_SelfStock[RM_Code],$A84,T_SelfStock[WeekIndex],21)+SUMIFS(T_TTAFStock[TTAF_Qty],T_TTAFStock[RM_Code],$A84,T_TTAFStock[WeekIndex],21),U84+'Grid_Incoming'!V84-'Grid_Requirement'!V84))</f>
        <v/>
      </c>
      <c r="W84">
        <f>IF(COUNTIFS(T_StockCount[RM_Code],$A84,T_StockCount[WeekIndex],22)&gt;0,SUMIFS(T_StockCount[CountedQty],T_StockCount[RM_Code],$A84,T_StockCount[WeekIndex],22),IF((COUNTIFS(T_SelfStock[RM_Code],$A84,T_SelfStock[WeekIndex],22)&gt;0)*(COUNTIFS(T_TTAFStock[RM_Code],$A84,T_TTAFStock[WeekIndex],22)&gt;0)&gt;0,SUMIFS(T_SelfStock[Self_Qty],T_SelfStock[RM_Code],$A84,T_SelfStock[WeekIndex],22)+SUMIFS(T_TTAFStock[TTAF_Qty],T_TTAFStock[RM_Code],$A84,T_TTAFStock[WeekIndex],22),V84+'Grid_Incoming'!W84-'Grid_Requirement'!W84))</f>
        <v/>
      </c>
      <c r="X84">
        <f>IF(COUNTIFS(T_StockCount[RM_Code],$A84,T_StockCount[WeekIndex],23)&gt;0,SUMIFS(T_StockCount[CountedQty],T_StockCount[RM_Code],$A84,T_StockCount[WeekIndex],23),IF((COUNTIFS(T_SelfStock[RM_Code],$A84,T_SelfStock[WeekIndex],23)&gt;0)*(COUNTIFS(T_TTAFStock[RM_Code],$A84,T_TTAFStock[WeekIndex],23)&gt;0)&gt;0,SUMIFS(T_SelfStock[Self_Qty],T_SelfStock[RM_Code],$A84,T_SelfStock[WeekIndex],23)+SUMIFS(T_TTAFStock[TTAF_Qty],T_TTAFStock[RM_Code],$A84,T_TTAFStock[WeekIndex],23),W84+'Grid_Incoming'!X84-'Grid_Requirement'!X84))</f>
        <v/>
      </c>
      <c r="Y84">
        <f>IF(COUNTIFS(T_StockCount[RM_Code],$A84,T_StockCount[WeekIndex],24)&gt;0,SUMIFS(T_StockCount[CountedQty],T_StockCount[RM_Code],$A84,T_StockCount[WeekIndex],24),IF((COUNTIFS(T_SelfStock[RM_Code],$A84,T_SelfStock[WeekIndex],24)&gt;0)*(COUNTIFS(T_TTAFStock[RM_Code],$A84,T_TTAFStock[WeekIndex],24)&gt;0)&gt;0,SUMIFS(T_SelfStock[Self_Qty],T_SelfStock[RM_Code],$A84,T_SelfStock[WeekIndex],24)+SUMIFS(T_TTAFStock[TTAF_Qty],T_TTAFStock[RM_Code],$A84,T_TTAFStock[WeekIndex],24),X84+'Grid_Incoming'!Y84-'Grid_Requirement'!Y84))</f>
        <v/>
      </c>
      <c r="Z84">
        <f>IF(COUNTIFS(T_StockCount[RM_Code],$A84,T_StockCount[WeekIndex],25)&gt;0,SUMIFS(T_StockCount[CountedQty],T_StockCount[RM_Code],$A84,T_StockCount[WeekIndex],25),IF((COUNTIFS(T_SelfStock[RM_Code],$A84,T_SelfStock[WeekIndex],25)&gt;0)*(COUNTIFS(T_TTAFStock[RM_Code],$A84,T_TTAFStock[WeekIndex],25)&gt;0)&gt;0,SUMIFS(T_SelfStock[Self_Qty],T_SelfStock[RM_Code],$A84,T_SelfStock[WeekIndex],25)+SUMIFS(T_TTAFStock[TTAF_Qty],T_TTAFStock[RM_Code],$A84,T_TTAFStock[WeekIndex],25),Y84+'Grid_Incoming'!Z84-'Grid_Requirement'!Z84))</f>
        <v/>
      </c>
      <c r="AA84">
        <f>IF(COUNTIFS(T_StockCount[RM_Code],$A84,T_StockCount[WeekIndex],26)&gt;0,SUMIFS(T_StockCount[CountedQty],T_StockCount[RM_Code],$A84,T_StockCount[WeekIndex],26),IF((COUNTIFS(T_SelfStock[RM_Code],$A84,T_SelfStock[WeekIndex],26)&gt;0)*(COUNTIFS(T_TTAFStock[RM_Code],$A84,T_TTAFStock[WeekIndex],26)&gt;0)&gt;0,SUMIFS(T_SelfStock[Self_Qty],T_SelfStock[RM_Code],$A84,T_SelfStock[WeekIndex],26)+SUMIFS(T_TTAFStock[TTAF_Qty],T_TTAFStock[RM_Code],$A84,T_TTAFStock[WeekIndex],26),Z84+'Grid_Incoming'!AA84-'Grid_Requirement'!AA84))</f>
        <v/>
      </c>
      <c r="AB84">
        <f>IF(COUNTIFS(T_StockCount[RM_Code],$A84,T_StockCount[WeekIndex],27)&gt;0,SUMIFS(T_StockCount[CountedQty],T_StockCount[RM_Code],$A84,T_StockCount[WeekIndex],27),IF((COUNTIFS(T_SelfStock[RM_Code],$A84,T_SelfStock[WeekIndex],27)&gt;0)*(COUNTIFS(T_TTAFStock[RM_Code],$A84,T_TTAFStock[WeekIndex],27)&gt;0)&gt;0,SUMIFS(T_SelfStock[Self_Qty],T_SelfStock[RM_Code],$A84,T_SelfStock[WeekIndex],27)+SUMIFS(T_TTAFStock[TTAF_Qty],T_TTAFStock[RM_Code],$A84,T_TTAFStock[WeekIndex],27),AA84+'Grid_Incoming'!AB84-'Grid_Requirement'!AB84))</f>
        <v/>
      </c>
      <c r="AC84">
        <f>IF(COUNTIFS(T_StockCount[RM_Code],$A84,T_StockCount[WeekIndex],28)&gt;0,SUMIFS(T_StockCount[CountedQty],T_StockCount[RM_Code],$A84,T_StockCount[WeekIndex],28),IF((COUNTIFS(T_SelfStock[RM_Code],$A84,T_SelfStock[WeekIndex],28)&gt;0)*(COUNTIFS(T_TTAFStock[RM_Code],$A84,T_TTAFStock[WeekIndex],28)&gt;0)&gt;0,SUMIFS(T_SelfStock[Self_Qty],T_SelfStock[RM_Code],$A84,T_SelfStock[WeekIndex],28)+SUMIFS(T_TTAFStock[TTAF_Qty],T_TTAFStock[RM_Code],$A84,T_TTAFStock[WeekIndex],28),AB84+'Grid_Incoming'!AC84-'Grid_Requirement'!AC84))</f>
        <v/>
      </c>
      <c r="AD84">
        <f>IF(COUNTIFS(T_StockCount[RM_Code],$A84,T_StockCount[WeekIndex],29)&gt;0,SUMIFS(T_StockCount[CountedQty],T_StockCount[RM_Code],$A84,T_StockCount[WeekIndex],29),IF((COUNTIFS(T_SelfStock[RM_Code],$A84,T_SelfStock[WeekIndex],29)&gt;0)*(COUNTIFS(T_TTAFStock[RM_Code],$A84,T_TTAFStock[WeekIndex],29)&gt;0)&gt;0,SUMIFS(T_SelfStock[Self_Qty],T_SelfStock[RM_Code],$A84,T_SelfStock[WeekIndex],29)+SUMIFS(T_TTAFStock[TTAF_Qty],T_TTAFStock[RM_Code],$A84,T_TTAFStock[WeekIndex],29),AC84+'Grid_Incoming'!AD84-'Grid_Requirement'!AD84))</f>
        <v/>
      </c>
      <c r="AE84">
        <f>IF(COUNTIFS(T_StockCount[RM_Code],$A84,T_StockCount[WeekIndex],30)&gt;0,SUMIFS(T_StockCount[CountedQty],T_StockCount[RM_Code],$A84,T_StockCount[WeekIndex],30),IF((COUNTIFS(T_SelfStock[RM_Code],$A84,T_SelfStock[WeekIndex],30)&gt;0)*(COUNTIFS(T_TTAFStock[RM_Code],$A84,T_TTAFStock[WeekIndex],30)&gt;0)&gt;0,SUMIFS(T_SelfStock[Self_Qty],T_SelfStock[RM_Code],$A84,T_SelfStock[WeekIndex],30)+SUMIFS(T_TTAFStock[TTAF_Qty],T_TTAFStock[RM_Code],$A84,T_TTAFStock[WeekIndex],30),AD84+'Grid_Incoming'!AE84-'Grid_Requirement'!AE84))</f>
        <v/>
      </c>
      <c r="AF84">
        <f>IF(COUNTIFS(T_StockCount[RM_Code],$A84,T_StockCount[WeekIndex],31)&gt;0,SUMIFS(T_StockCount[CountedQty],T_StockCount[RM_Code],$A84,T_StockCount[WeekIndex],31),IF((COUNTIFS(T_SelfStock[RM_Code],$A84,T_SelfStock[WeekIndex],31)&gt;0)*(COUNTIFS(T_TTAFStock[RM_Code],$A84,T_TTAFStock[WeekIndex],31)&gt;0)&gt;0,SUMIFS(T_SelfStock[Self_Qty],T_SelfStock[RM_Code],$A84,T_SelfStock[WeekIndex],31)+SUMIFS(T_TTAFStock[TTAF_Qty],T_TTAFStock[RM_Code],$A84,T_TTAFStock[WeekIndex],31),AE84+'Grid_Incoming'!AF84-'Grid_Requirement'!AF84))</f>
        <v/>
      </c>
      <c r="AG84">
        <f>IF(COUNTIFS(T_StockCount[RM_Code],$A84,T_StockCount[WeekIndex],32)&gt;0,SUMIFS(T_StockCount[CountedQty],T_StockCount[RM_Code],$A84,T_StockCount[WeekIndex],32),IF((COUNTIFS(T_SelfStock[RM_Code],$A84,T_SelfStock[WeekIndex],32)&gt;0)*(COUNTIFS(T_TTAFStock[RM_Code],$A84,T_TTAFStock[WeekIndex],32)&gt;0)&gt;0,SUMIFS(T_SelfStock[Self_Qty],T_SelfStock[RM_Code],$A84,T_SelfStock[WeekIndex],32)+SUMIFS(T_TTAFStock[TTAF_Qty],T_TTAFStock[RM_Code],$A84,T_TTAFStock[WeekIndex],32),AF84+'Grid_Incoming'!AG84-'Grid_Requirement'!AG84))</f>
        <v/>
      </c>
      <c r="AH84">
        <f>IF(COUNTIFS(T_StockCount[RM_Code],$A84,T_StockCount[WeekIndex],33)&gt;0,SUMIFS(T_StockCount[CountedQty],T_StockCount[RM_Code],$A84,T_StockCount[WeekIndex],33),IF((COUNTIFS(T_SelfStock[RM_Code],$A84,T_SelfStock[WeekIndex],33)&gt;0)*(COUNTIFS(T_TTAFStock[RM_Code],$A84,T_TTAFStock[WeekIndex],33)&gt;0)&gt;0,SUMIFS(T_SelfStock[Self_Qty],T_SelfStock[RM_Code],$A84,T_SelfStock[WeekIndex],33)+SUMIFS(T_TTAFStock[TTAF_Qty],T_TTAFStock[RM_Code],$A84,T_TTAFStock[WeekIndex],33),AG84+'Grid_Incoming'!AH84-'Grid_Requirement'!AH84))</f>
        <v/>
      </c>
      <c r="AI84">
        <f>IF(COUNTIFS(T_StockCount[RM_Code],$A84,T_StockCount[WeekIndex],34)&gt;0,SUMIFS(T_StockCount[CountedQty],T_StockCount[RM_Code],$A84,T_StockCount[WeekIndex],34),IF((COUNTIFS(T_SelfStock[RM_Code],$A84,T_SelfStock[WeekIndex],34)&gt;0)*(COUNTIFS(T_TTAFStock[RM_Code],$A84,T_TTAFStock[WeekIndex],34)&gt;0)&gt;0,SUMIFS(T_SelfStock[Self_Qty],T_SelfStock[RM_Code],$A84,T_SelfStock[WeekIndex],34)+SUMIFS(T_TTAFStock[TTAF_Qty],T_TTAFStock[RM_Code],$A84,T_TTAFStock[WeekIndex],34),AH84+'Grid_Incoming'!AI84-'Grid_Requirement'!AI84))</f>
        <v/>
      </c>
      <c r="AJ84">
        <f>IF(COUNTIFS(T_StockCount[RM_Code],$A84,T_StockCount[WeekIndex],35)&gt;0,SUMIFS(T_StockCount[CountedQty],T_StockCount[RM_Code],$A84,T_StockCount[WeekIndex],35),IF((COUNTIFS(T_SelfStock[RM_Code],$A84,T_SelfStock[WeekIndex],35)&gt;0)*(COUNTIFS(T_TTAFStock[RM_Code],$A84,T_TTAFStock[WeekIndex],35)&gt;0)&gt;0,SUMIFS(T_SelfStock[Self_Qty],T_SelfStock[RM_Code],$A84,T_SelfStock[WeekIndex],35)+SUMIFS(T_TTAFStock[TTAF_Qty],T_TTAFStock[RM_Code],$A84,T_TTAFStock[WeekIndex],35),AI84+'Grid_Incoming'!AJ84-'Grid_Requirement'!AJ84))</f>
        <v/>
      </c>
      <c r="AK84">
        <f>IF(COUNTIFS(T_StockCount[RM_Code],$A84,T_StockCount[WeekIndex],36)&gt;0,SUMIFS(T_StockCount[CountedQty],T_StockCount[RM_Code],$A84,T_StockCount[WeekIndex],36),IF((COUNTIFS(T_SelfStock[RM_Code],$A84,T_SelfStock[WeekIndex],36)&gt;0)*(COUNTIFS(T_TTAFStock[RM_Code],$A84,T_TTAFStock[WeekIndex],36)&gt;0)&gt;0,SUMIFS(T_SelfStock[Self_Qty],T_SelfStock[RM_Code],$A84,T_SelfStock[WeekIndex],36)+SUMIFS(T_TTAFStock[TTAF_Qty],T_TTAFStock[RM_Code],$A84,T_TTAFStock[WeekIndex],36),AJ84+'Grid_Incoming'!AK84-'Grid_Requirement'!AK84))</f>
        <v/>
      </c>
      <c r="AL84">
        <f>IF(COUNTIFS(T_StockCount[RM_Code],$A84,T_StockCount[WeekIndex],37)&gt;0,SUMIFS(T_StockCount[CountedQty],T_StockCount[RM_Code],$A84,T_StockCount[WeekIndex],37),IF((COUNTIFS(T_SelfStock[RM_Code],$A84,T_SelfStock[WeekIndex],37)&gt;0)*(COUNTIFS(T_TTAFStock[RM_Code],$A84,T_TTAFStock[WeekIndex],37)&gt;0)&gt;0,SUMIFS(T_SelfStock[Self_Qty],T_SelfStock[RM_Code],$A84,T_SelfStock[WeekIndex],37)+SUMIFS(T_TTAFStock[TTAF_Qty],T_TTAFStock[RM_Code],$A84,T_TTAFStock[WeekIndex],37),AK84+'Grid_Incoming'!AL84-'Grid_Requirement'!AL84))</f>
        <v/>
      </c>
      <c r="AM84">
        <f>IF(COUNTIFS(T_StockCount[RM_Code],$A84,T_StockCount[WeekIndex],38)&gt;0,SUMIFS(T_StockCount[CountedQty],T_StockCount[RM_Code],$A84,T_StockCount[WeekIndex],38),IF((COUNTIFS(T_SelfStock[RM_Code],$A84,T_SelfStock[WeekIndex],38)&gt;0)*(COUNTIFS(T_TTAFStock[RM_Code],$A84,T_TTAFStock[WeekIndex],38)&gt;0)&gt;0,SUMIFS(T_SelfStock[Self_Qty],T_SelfStock[RM_Code],$A84,T_SelfStock[WeekIndex],38)+SUMIFS(T_TTAFStock[TTAF_Qty],T_TTAFStock[RM_Code],$A84,T_TTAFStock[WeekIndex],38),AL84+'Grid_Incoming'!AM84-'Grid_Requirement'!AM84))</f>
        <v/>
      </c>
      <c r="AN84">
        <f>IF(COUNTIFS(T_StockCount[RM_Code],$A84,T_StockCount[WeekIndex],39)&gt;0,SUMIFS(T_StockCount[CountedQty],T_StockCount[RM_Code],$A84,T_StockCount[WeekIndex],39),IF((COUNTIFS(T_SelfStock[RM_Code],$A84,T_SelfStock[WeekIndex],39)&gt;0)*(COUNTIFS(T_TTAFStock[RM_Code],$A84,T_TTAFStock[WeekIndex],39)&gt;0)&gt;0,SUMIFS(T_SelfStock[Self_Qty],T_SelfStock[RM_Code],$A84,T_SelfStock[WeekIndex],39)+SUMIFS(T_TTAFStock[TTAF_Qty],T_TTAFStock[RM_Code],$A84,T_TTAFStock[WeekIndex],39),AM84+'Grid_Incoming'!AN84-'Grid_Requirement'!AN84))</f>
        <v/>
      </c>
      <c r="AO84">
        <f>IF(COUNTIFS(T_StockCount[RM_Code],$A84,T_StockCount[WeekIndex],40)&gt;0,SUMIFS(T_StockCount[CountedQty],T_StockCount[RM_Code],$A84,T_StockCount[WeekIndex],40),IF((COUNTIFS(T_SelfStock[RM_Code],$A84,T_SelfStock[WeekIndex],40)&gt;0)*(COUNTIFS(T_TTAFStock[RM_Code],$A84,T_TTAFStock[WeekIndex],40)&gt;0)&gt;0,SUMIFS(T_SelfStock[Self_Qty],T_SelfStock[RM_Code],$A84,T_SelfStock[WeekIndex],40)+SUMIFS(T_TTAFStock[TTAF_Qty],T_TTAFStock[RM_Code],$A84,T_TTAFStock[WeekIndex],40),AN84+'Grid_Incoming'!AO84-'Grid_Requirement'!AO84))</f>
        <v/>
      </c>
      <c r="AP84">
        <f>IF(COUNTIFS(T_StockCount[RM_Code],$A84,T_StockCount[WeekIndex],41)&gt;0,SUMIFS(T_StockCount[CountedQty],T_StockCount[RM_Code],$A84,T_StockCount[WeekIndex],41),IF((COUNTIFS(T_SelfStock[RM_Code],$A84,T_SelfStock[WeekIndex],41)&gt;0)*(COUNTIFS(T_TTAFStock[RM_Code],$A84,T_TTAFStock[WeekIndex],41)&gt;0)&gt;0,SUMIFS(T_SelfStock[Self_Qty],T_SelfStock[RM_Code],$A84,T_SelfStock[WeekIndex],41)+SUMIFS(T_TTAFStock[TTAF_Qty],T_TTAFStock[RM_Code],$A84,T_TTAFStock[WeekIndex],41),AO84+'Grid_Incoming'!AP84-'Grid_Requirement'!AP84))</f>
        <v/>
      </c>
      <c r="AQ84">
        <f>IF(COUNTIFS(T_StockCount[RM_Code],$A84,T_StockCount[WeekIndex],42)&gt;0,SUMIFS(T_StockCount[CountedQty],T_StockCount[RM_Code],$A84,T_StockCount[WeekIndex],42),IF((COUNTIFS(T_SelfStock[RM_Code],$A84,T_SelfStock[WeekIndex],42)&gt;0)*(COUNTIFS(T_TTAFStock[RM_Code],$A84,T_TTAFStock[WeekIndex],42)&gt;0)&gt;0,SUMIFS(T_SelfStock[Self_Qty],T_SelfStock[RM_Code],$A84,T_SelfStock[WeekIndex],42)+SUMIFS(T_TTAFStock[TTAF_Qty],T_TTAFStock[RM_Code],$A84,T_TTAFStock[WeekIndex],42),AP84+'Grid_Incoming'!AQ84-'Grid_Requirement'!AQ84))</f>
        <v/>
      </c>
      <c r="AR84">
        <f>IF(COUNTIFS(T_StockCount[RM_Code],$A84,T_StockCount[WeekIndex],43)&gt;0,SUMIFS(T_StockCount[CountedQty],T_StockCount[RM_Code],$A84,T_StockCount[WeekIndex],43),IF((COUNTIFS(T_SelfStock[RM_Code],$A84,T_SelfStock[WeekIndex],43)&gt;0)*(COUNTIFS(T_TTAFStock[RM_Code],$A84,T_TTAFStock[WeekIndex],43)&gt;0)&gt;0,SUMIFS(T_SelfStock[Self_Qty],T_SelfStock[RM_Code],$A84,T_SelfStock[WeekIndex],43)+SUMIFS(T_TTAFStock[TTAF_Qty],T_TTAFStock[RM_Code],$A84,T_TTAFStock[WeekIndex],43),AQ84+'Grid_Incoming'!AR84-'Grid_Requirement'!AR84))</f>
        <v/>
      </c>
      <c r="AS84">
        <f>IF(COUNTIFS(T_StockCount[RM_Code],$A84,T_StockCount[WeekIndex],44)&gt;0,SUMIFS(T_StockCount[CountedQty],T_StockCount[RM_Code],$A84,T_StockCount[WeekIndex],44),IF((COUNTIFS(T_SelfStock[RM_Code],$A84,T_SelfStock[WeekIndex],44)&gt;0)*(COUNTIFS(T_TTAFStock[RM_Code],$A84,T_TTAFStock[WeekIndex],44)&gt;0)&gt;0,SUMIFS(T_SelfStock[Self_Qty],T_SelfStock[RM_Code],$A84,T_SelfStock[WeekIndex],44)+SUMIFS(T_TTAFStock[TTAF_Qty],T_TTAFStock[RM_Code],$A84,T_TTAFStock[WeekIndex],44),AR84+'Grid_Incoming'!AS84-'Grid_Requirement'!AS84))</f>
        <v/>
      </c>
      <c r="AT84">
        <f>IF(COUNTIFS(T_StockCount[RM_Code],$A84,T_StockCount[WeekIndex],45)&gt;0,SUMIFS(T_StockCount[CountedQty],T_StockCount[RM_Code],$A84,T_StockCount[WeekIndex],45),IF((COUNTIFS(T_SelfStock[RM_Code],$A84,T_SelfStock[WeekIndex],45)&gt;0)*(COUNTIFS(T_TTAFStock[RM_Code],$A84,T_TTAFStock[WeekIndex],45)&gt;0)&gt;0,SUMIFS(T_SelfStock[Self_Qty],T_SelfStock[RM_Code],$A84,T_SelfStock[WeekIndex],45)+SUMIFS(T_TTAFStock[TTAF_Qty],T_TTAFStock[RM_Code],$A84,T_TTAFStock[WeekIndex],45),AS84+'Grid_Incoming'!AT84-'Grid_Requirement'!AT84))</f>
        <v/>
      </c>
      <c r="AU84">
        <f>IF(COUNTIFS(T_StockCount[RM_Code],$A84,T_StockCount[WeekIndex],46)&gt;0,SUMIFS(T_StockCount[CountedQty],T_StockCount[RM_Code],$A84,T_StockCount[WeekIndex],46),IF((COUNTIFS(T_SelfStock[RM_Code],$A84,T_SelfStock[WeekIndex],46)&gt;0)*(COUNTIFS(T_TTAFStock[RM_Code],$A84,T_TTAFStock[WeekIndex],46)&gt;0)&gt;0,SUMIFS(T_SelfStock[Self_Qty],T_SelfStock[RM_Code],$A84,T_SelfStock[WeekIndex],46)+SUMIFS(T_TTAFStock[TTAF_Qty],T_TTAFStock[RM_Code],$A84,T_TTAFStock[WeekIndex],46),AT84+'Grid_Incoming'!AU84-'Grid_Requirement'!AU84))</f>
        <v/>
      </c>
      <c r="AV84">
        <f>IF(COUNTIFS(T_StockCount[RM_Code],$A84,T_StockCount[WeekIndex],47)&gt;0,SUMIFS(T_StockCount[CountedQty],T_StockCount[RM_Code],$A84,T_StockCount[WeekIndex],47),IF((COUNTIFS(T_SelfStock[RM_Code],$A84,T_SelfStock[WeekIndex],47)&gt;0)*(COUNTIFS(T_TTAFStock[RM_Code],$A84,T_TTAFStock[WeekIndex],47)&gt;0)&gt;0,SUMIFS(T_SelfStock[Self_Qty],T_SelfStock[RM_Code],$A84,T_SelfStock[WeekIndex],47)+SUMIFS(T_TTAFStock[TTAF_Qty],T_TTAFStock[RM_Code],$A84,T_TTAFStock[WeekIndex],47),AU84+'Grid_Incoming'!AV84-'Grid_Requirement'!AV84))</f>
        <v/>
      </c>
      <c r="AW84">
        <f>IF(COUNTIFS(T_StockCount[RM_Code],$A84,T_StockCount[WeekIndex],48)&gt;0,SUMIFS(T_StockCount[CountedQty],T_StockCount[RM_Code],$A84,T_StockCount[WeekIndex],48),IF((COUNTIFS(T_SelfStock[RM_Code],$A84,T_SelfStock[WeekIndex],48)&gt;0)*(COUNTIFS(T_TTAFStock[RM_Code],$A84,T_TTAFStock[WeekIndex],48)&gt;0)&gt;0,SUMIFS(T_SelfStock[Self_Qty],T_SelfStock[RM_Code],$A84,T_SelfStock[WeekIndex],48)+SUMIFS(T_TTAFStock[TTAF_Qty],T_TTAFStock[RM_Code],$A84,T_TTAFStock[WeekIndex],48),AV84+'Grid_Incoming'!AW84-'Grid_Requirement'!AW84))</f>
        <v/>
      </c>
      <c r="AX84">
        <f>IF(COUNTIFS(T_StockCount[RM_Code],$A84,T_StockCount[WeekIndex],49)&gt;0,SUMIFS(T_StockCount[CountedQty],T_StockCount[RM_Code],$A84,T_StockCount[WeekIndex],49),IF((COUNTIFS(T_SelfStock[RM_Code],$A84,T_SelfStock[WeekIndex],49)&gt;0)*(COUNTIFS(T_TTAFStock[RM_Code],$A84,T_TTAFStock[WeekIndex],49)&gt;0)&gt;0,SUMIFS(T_SelfStock[Self_Qty],T_SelfStock[RM_Code],$A84,T_SelfStock[WeekIndex],49)+SUMIFS(T_TTAFStock[TTAF_Qty],T_TTAFStock[RM_Code],$A84,T_TTAFStock[WeekIndex],49),AW84+'Grid_Incoming'!AX84-'Grid_Requirement'!AX84))</f>
        <v/>
      </c>
      <c r="AY84">
        <f>IF(COUNTIFS(T_StockCount[RM_Code],$A84,T_StockCount[WeekIndex],50)&gt;0,SUMIFS(T_StockCount[CountedQty],T_StockCount[RM_Code],$A84,T_StockCount[WeekIndex],50),IF((COUNTIFS(T_SelfStock[RM_Code],$A84,T_SelfStock[WeekIndex],50)&gt;0)*(COUNTIFS(T_TTAFStock[RM_Code],$A84,T_TTAFStock[WeekIndex],50)&gt;0)&gt;0,SUMIFS(T_SelfStock[Self_Qty],T_SelfStock[RM_Code],$A84,T_SelfStock[WeekIndex],50)+SUMIFS(T_TTAFStock[TTAF_Qty],T_TTAFStock[RM_Code],$A84,T_TTAFStock[WeekIndex],50),AX84+'Grid_Incoming'!AY84-'Grid_Requirement'!AY84))</f>
        <v/>
      </c>
      <c r="AZ84">
        <f>IF(COUNTIFS(T_StockCount[RM_Code],$A84,T_StockCount[WeekIndex],51)&gt;0,SUMIFS(T_StockCount[CountedQty],T_StockCount[RM_Code],$A84,T_StockCount[WeekIndex],51),IF((COUNTIFS(T_SelfStock[RM_Code],$A84,T_SelfStock[WeekIndex],51)&gt;0)*(COUNTIFS(T_TTAFStock[RM_Code],$A84,T_TTAFStock[WeekIndex],51)&gt;0)&gt;0,SUMIFS(T_SelfStock[Self_Qty],T_SelfStock[RM_Code],$A84,T_SelfStock[WeekIndex],51)+SUMIFS(T_TTAFStock[TTAF_Qty],T_TTAFStock[RM_Code],$A84,T_TTAFStock[WeekIndex],51),AY84+'Grid_Incoming'!AZ84-'Grid_Requirement'!AZ84))</f>
        <v/>
      </c>
      <c r="BA84">
        <f>IF(COUNTIFS(T_StockCount[RM_Code],$A84,T_StockCount[WeekIndex],52)&gt;0,SUMIFS(T_StockCount[CountedQty],T_StockCount[RM_Code],$A84,T_StockCount[WeekIndex],52),IF((COUNTIFS(T_SelfStock[RM_Code],$A84,T_SelfStock[WeekIndex],52)&gt;0)*(COUNTIFS(T_TTAFStock[RM_Code],$A84,T_TTAFStock[WeekIndex],52)&gt;0)&gt;0,SUMIFS(T_SelfStock[Self_Qty],T_SelfStock[RM_Code],$A84,T_SelfStock[WeekIndex],52)+SUMIFS(T_TTAFStock[TTAF_Qty],T_TTAFStock[RM_Code],$A84,T_TTAFStock[WeekIndex],52),AZ84+'Grid_Incoming'!BA84-'Grid_Requirement'!BA84))</f>
        <v/>
      </c>
      <c r="BB84">
        <f>IF(COUNTIFS(T_StockCount[RM_Code],$A84,T_StockCount[WeekIndex],53)&gt;0,SUMIFS(T_StockCount[CountedQty],T_StockCount[RM_Code],$A84,T_StockCount[WeekIndex],53),IF((COUNTIFS(T_SelfStock[RM_Code],$A84,T_SelfStock[WeekIndex],53)&gt;0)*(COUNTIFS(T_TTAFStock[RM_Code],$A84,T_TTAFStock[WeekIndex],53)&gt;0)&gt;0,SUMIFS(T_SelfStock[Self_Qty],T_SelfStock[RM_Code],$A84,T_SelfStock[WeekIndex],53)+SUMIFS(T_TTAFStock[TTAF_Qty],T_TTAFStock[RM_Code],$A84,T_TTAFStock[WeekIndex],53),BA84+'Grid_Incoming'!BB84-'Grid_Requirement'!BB84))</f>
        <v/>
      </c>
      <c r="BC84">
        <f>IF(COUNTIFS(T_StockCount[RM_Code],$A84,T_StockCount[WeekIndex],54)&gt;0,SUMIFS(T_StockCount[CountedQty],T_StockCount[RM_Code],$A84,T_StockCount[WeekIndex],54),IF((COUNTIFS(T_SelfStock[RM_Code],$A84,T_SelfStock[WeekIndex],54)&gt;0)*(COUNTIFS(T_TTAFStock[RM_Code],$A84,T_TTAFStock[WeekIndex],54)&gt;0)&gt;0,SUMIFS(T_SelfStock[Self_Qty],T_SelfStock[RM_Code],$A84,T_SelfStock[WeekIndex],54)+SUMIFS(T_TTAFStock[TTAF_Qty],T_TTAFStock[RM_Code],$A84,T_TTAFStock[WeekIndex],54),BB84+'Grid_Incoming'!BC84-'Grid_Requirement'!BC84))</f>
        <v/>
      </c>
      <c r="BD84">
        <f>IF(COUNTIFS(T_StockCount[RM_Code],$A84,T_StockCount[WeekIndex],55)&gt;0,SUMIFS(T_StockCount[CountedQty],T_StockCount[RM_Code],$A84,T_StockCount[WeekIndex],55),IF((COUNTIFS(T_SelfStock[RM_Code],$A84,T_SelfStock[WeekIndex],55)&gt;0)*(COUNTIFS(T_TTAFStock[RM_Code],$A84,T_TTAFStock[WeekIndex],55)&gt;0)&gt;0,SUMIFS(T_SelfStock[Self_Qty],T_SelfStock[RM_Code],$A84,T_SelfStock[WeekIndex],55)+SUMIFS(T_TTAFStock[TTAF_Qty],T_TTAFStock[RM_Code],$A84,T_TTAFStock[WeekIndex],55),BC84+'Grid_Incoming'!BD84-'Grid_Requirement'!BD84))</f>
        <v/>
      </c>
      <c r="BE84">
        <f>IF(COUNTIFS(T_StockCount[RM_Code],$A84,T_StockCount[WeekIndex],56)&gt;0,SUMIFS(T_StockCount[CountedQty],T_StockCount[RM_Code],$A84,T_StockCount[WeekIndex],56),IF((COUNTIFS(T_SelfStock[RM_Code],$A84,T_SelfStock[WeekIndex],56)&gt;0)*(COUNTIFS(T_TTAFStock[RM_Code],$A84,T_TTAFStock[WeekIndex],56)&gt;0)&gt;0,SUMIFS(T_SelfStock[Self_Qty],T_SelfStock[RM_Code],$A84,T_SelfStock[WeekIndex],56)+SUMIFS(T_TTAFStock[TTAF_Qty],T_TTAFStock[RM_Code],$A84,T_TTAFStock[WeekIndex],56),BD84+'Grid_Incoming'!BE84-'Grid_Requirement'!BE84))</f>
        <v/>
      </c>
      <c r="BF84">
        <f>IF(COUNTIFS(T_StockCount[RM_Code],$A84,T_StockCount[WeekIndex],57)&gt;0,SUMIFS(T_StockCount[CountedQty],T_StockCount[RM_Code],$A84,T_StockCount[WeekIndex],57),IF((COUNTIFS(T_SelfStock[RM_Code],$A84,T_SelfStock[WeekIndex],57)&gt;0)*(COUNTIFS(T_TTAFStock[RM_Code],$A84,T_TTAFStock[WeekIndex],57)&gt;0)&gt;0,SUMIFS(T_SelfStock[Self_Qty],T_SelfStock[RM_Code],$A84,T_SelfStock[WeekIndex],57)+SUMIFS(T_TTAFStock[TTAF_Qty],T_TTAFStock[RM_Code],$A84,T_TTAFStock[WeekIndex],57),BE84+'Grid_Incoming'!BF84-'Grid_Requirement'!BF84))</f>
        <v/>
      </c>
      <c r="BG84">
        <f>IF(COUNTIFS(T_StockCount[RM_Code],$A84,T_StockCount[WeekIndex],58)&gt;0,SUMIFS(T_StockCount[CountedQty],T_StockCount[RM_Code],$A84,T_StockCount[WeekIndex],58),IF((COUNTIFS(T_SelfStock[RM_Code],$A84,T_SelfStock[WeekIndex],58)&gt;0)*(COUNTIFS(T_TTAFStock[RM_Code],$A84,T_TTAFStock[WeekIndex],58)&gt;0)&gt;0,SUMIFS(T_SelfStock[Self_Qty],T_SelfStock[RM_Code],$A84,T_SelfStock[WeekIndex],58)+SUMIFS(T_TTAFStock[TTAF_Qty],T_TTAFStock[RM_Code],$A84,T_TTAFStock[WeekIndex],58),BF84+'Grid_Incoming'!BG84-'Grid_Requirement'!BG84))</f>
        <v/>
      </c>
      <c r="BH84">
        <f>IF(COUNTIFS(T_StockCount[RM_Code],$A84,T_StockCount[WeekIndex],59)&gt;0,SUMIFS(T_StockCount[CountedQty],T_StockCount[RM_Code],$A84,T_StockCount[WeekIndex],59),IF((COUNTIFS(T_SelfStock[RM_Code],$A84,T_SelfStock[WeekIndex],59)&gt;0)*(COUNTIFS(T_TTAFStock[RM_Code],$A84,T_TTAFStock[WeekIndex],59)&gt;0)&gt;0,SUMIFS(T_SelfStock[Self_Qty],T_SelfStock[RM_Code],$A84,T_SelfStock[WeekIndex],59)+SUMIFS(T_TTAFStock[TTAF_Qty],T_TTAFStock[RM_Code],$A84,T_TTAFStock[WeekIndex],59),BG84+'Grid_Incoming'!BH84-'Grid_Requirement'!BH84))</f>
        <v/>
      </c>
      <c r="BI84">
        <f>IF(COUNTIFS(T_StockCount[RM_Code],$A84,T_StockCount[WeekIndex],60)&gt;0,SUMIFS(T_StockCount[CountedQty],T_StockCount[RM_Code],$A84,T_StockCount[WeekIndex],60),IF((COUNTIFS(T_SelfStock[RM_Code],$A84,T_SelfStock[WeekIndex],60)&gt;0)*(COUNTIFS(T_TTAFStock[RM_Code],$A84,T_TTAFStock[WeekIndex],60)&gt;0)&gt;0,SUMIFS(T_SelfStock[Self_Qty],T_SelfStock[RM_Code],$A84,T_SelfStock[WeekIndex],60)+SUMIFS(T_TTAFStock[TTAF_Qty],T_TTAFStock[RM_Code],$A84,T_TTAFStock[WeekIndex],60),BH84+'Grid_Incoming'!BI84-'Grid_Requirement'!BI84))</f>
        <v/>
      </c>
      <c r="BJ84">
        <f>IF(COUNTIFS(T_StockCount[RM_Code],$A84,T_StockCount[WeekIndex],61)&gt;0,SUMIFS(T_StockCount[CountedQty],T_StockCount[RM_Code],$A84,T_StockCount[WeekIndex],61),IF((COUNTIFS(T_SelfStock[RM_Code],$A84,T_SelfStock[WeekIndex],61)&gt;0)*(COUNTIFS(T_TTAFStock[RM_Code],$A84,T_TTAFStock[WeekIndex],61)&gt;0)&gt;0,SUMIFS(T_SelfStock[Self_Qty],T_SelfStock[RM_Code],$A84,T_SelfStock[WeekIndex],61)+SUMIFS(T_TTAFStock[TTAF_Qty],T_TTAFStock[RM_Code],$A84,T_TTAFStock[WeekIndex],61),BI84+'Grid_Incoming'!BJ84-'Grid_Requirement'!BJ84))</f>
        <v/>
      </c>
      <c r="BK84">
        <f>IF(COUNTIFS(T_StockCount[RM_Code],$A84,T_StockCount[WeekIndex],62)&gt;0,SUMIFS(T_StockCount[CountedQty],T_StockCount[RM_Code],$A84,T_StockCount[WeekIndex],62),IF((COUNTIFS(T_SelfStock[RM_Code],$A84,T_SelfStock[WeekIndex],62)&gt;0)*(COUNTIFS(T_TTAFStock[RM_Code],$A84,T_TTAFStock[WeekIndex],62)&gt;0)&gt;0,SUMIFS(T_SelfStock[Self_Qty],T_SelfStock[RM_Code],$A84,T_SelfStock[WeekIndex],62)+SUMIFS(T_TTAFStock[TTAF_Qty],T_TTAFStock[RM_Code],$A84,T_TTAFStock[WeekIndex],62),BJ84+'Grid_Incoming'!BK84-'Grid_Requirement'!BK84))</f>
        <v/>
      </c>
      <c r="BL84">
        <f>IF(COUNTIFS(T_StockCount[RM_Code],$A84,T_StockCount[WeekIndex],63)&gt;0,SUMIFS(T_StockCount[CountedQty],T_StockCount[RM_Code],$A84,T_StockCount[WeekIndex],63),IF((COUNTIFS(T_SelfStock[RM_Code],$A84,T_SelfStock[WeekIndex],63)&gt;0)*(COUNTIFS(T_TTAFStock[RM_Code],$A84,T_TTAFStock[WeekIndex],63)&gt;0)&gt;0,SUMIFS(T_SelfStock[Self_Qty],T_SelfStock[RM_Code],$A84,T_SelfStock[WeekIndex],63)+SUMIFS(T_TTAFStock[TTAF_Qty],T_TTAFStock[RM_Code],$A84,T_TTAFStock[WeekIndex],63),BK84+'Grid_Incoming'!BL84-'Grid_Requirement'!BL84))</f>
        <v/>
      </c>
      <c r="BM84">
        <f>IF(COUNTIFS(T_StockCount[RM_Code],$A84,T_StockCount[WeekIndex],64)&gt;0,SUMIFS(T_StockCount[CountedQty],T_StockCount[RM_Code],$A84,T_StockCount[WeekIndex],64),IF((COUNTIFS(T_SelfStock[RM_Code],$A84,T_SelfStock[WeekIndex],64)&gt;0)*(COUNTIFS(T_TTAFStock[RM_Code],$A84,T_TTAFStock[WeekIndex],64)&gt;0)&gt;0,SUMIFS(T_SelfStock[Self_Qty],T_SelfStock[RM_Code],$A84,T_SelfStock[WeekIndex],64)+SUMIFS(T_TTAFStock[TTAF_Qty],T_TTAFStock[RM_Code],$A84,T_TTAFStock[WeekIndex],64),BL84+'Grid_Incoming'!BM84-'Grid_Requirement'!BM84))</f>
        <v/>
      </c>
      <c r="BN84">
        <f>IF(COUNTIFS(T_StockCount[RM_Code],$A84,T_StockCount[WeekIndex],65)&gt;0,SUMIFS(T_StockCount[CountedQty],T_StockCount[RM_Code],$A84,T_StockCount[WeekIndex],65),IF((COUNTIFS(T_SelfStock[RM_Code],$A84,T_SelfStock[WeekIndex],65)&gt;0)*(COUNTIFS(T_TTAFStock[RM_Code],$A84,T_TTAFStock[WeekIndex],65)&gt;0)&gt;0,SUMIFS(T_SelfStock[Self_Qty],T_SelfStock[RM_Code],$A84,T_SelfStock[WeekIndex],65)+SUMIFS(T_TTAFStock[TTAF_Qty],T_TTAFStock[RM_Code],$A84,T_TTAFStock[WeekIndex],65),BM84+'Grid_Incoming'!BN84-'Grid_Requirement'!BN84))</f>
        <v/>
      </c>
      <c r="BO84">
        <f>IF(COUNTIFS(T_StockCount[RM_Code],$A84,T_StockCount[WeekIndex],66)&gt;0,SUMIFS(T_StockCount[CountedQty],T_StockCount[RM_Code],$A84,T_StockCount[WeekIndex],66),IF((COUNTIFS(T_SelfStock[RM_Code],$A84,T_SelfStock[WeekIndex],66)&gt;0)*(COUNTIFS(T_TTAFStock[RM_Code],$A84,T_TTAFStock[WeekIndex],66)&gt;0)&gt;0,SUMIFS(T_SelfStock[Self_Qty],T_SelfStock[RM_Code],$A84,T_SelfStock[WeekIndex],66)+SUMIFS(T_TTAFStock[TTAF_Qty],T_TTAFStock[RM_Code],$A84,T_TTAFStock[WeekIndex],66),BN84+'Grid_Incoming'!BO84-'Grid_Requirement'!BO84))</f>
        <v/>
      </c>
      <c r="BP84">
        <f>IF(COUNTIFS(T_StockCount[RM_Code],$A84,T_StockCount[WeekIndex],67)&gt;0,SUMIFS(T_StockCount[CountedQty],T_StockCount[RM_Code],$A84,T_StockCount[WeekIndex],67),IF((COUNTIFS(T_SelfStock[RM_Code],$A84,T_SelfStock[WeekIndex],67)&gt;0)*(COUNTIFS(T_TTAFStock[RM_Code],$A84,T_TTAFStock[WeekIndex],67)&gt;0)&gt;0,SUMIFS(T_SelfStock[Self_Qty],T_SelfStock[RM_Code],$A84,T_SelfStock[WeekIndex],67)+SUMIFS(T_TTAFStock[TTAF_Qty],T_TTAFStock[RM_Code],$A84,T_TTAFStock[WeekIndex],67),BO84+'Grid_Incoming'!BP84-'Grid_Requirement'!BP84))</f>
        <v/>
      </c>
      <c r="BQ84">
        <f>IF(COUNTIFS(T_StockCount[RM_Code],$A84,T_StockCount[WeekIndex],68)&gt;0,SUMIFS(T_StockCount[CountedQty],T_StockCount[RM_Code],$A84,T_StockCount[WeekIndex],68),IF((COUNTIFS(T_SelfStock[RM_Code],$A84,T_SelfStock[WeekIndex],68)&gt;0)*(COUNTIFS(T_TTAFStock[RM_Code],$A84,T_TTAFStock[WeekIndex],68)&gt;0)&gt;0,SUMIFS(T_SelfStock[Self_Qty],T_SelfStock[RM_Code],$A84,T_SelfStock[WeekIndex],68)+SUMIFS(T_TTAFStock[TTAF_Qty],T_TTAFStock[RM_Code],$A84,T_TTAFStock[WeekIndex],68),BP84+'Grid_Incoming'!BQ84-'Grid_Requirement'!BQ84))</f>
        <v/>
      </c>
      <c r="BR84">
        <f>IF(COUNTIFS(T_StockCount[RM_Code],$A84,T_StockCount[WeekIndex],69)&gt;0,SUMIFS(T_StockCount[CountedQty],T_StockCount[RM_Code],$A84,T_StockCount[WeekIndex],69),IF((COUNTIFS(T_SelfStock[RM_Code],$A84,T_SelfStock[WeekIndex],69)&gt;0)*(COUNTIFS(T_TTAFStock[RM_Code],$A84,T_TTAFStock[WeekIndex],69)&gt;0)&gt;0,SUMIFS(T_SelfStock[Self_Qty],T_SelfStock[RM_Code],$A84,T_SelfStock[WeekIndex],69)+SUMIFS(T_TTAFStock[TTAF_Qty],T_TTAFStock[RM_Code],$A84,T_TTAFStock[WeekIndex],69),BQ84+'Grid_Incoming'!BR84-'Grid_Requirement'!BR84))</f>
        <v/>
      </c>
      <c r="BS84">
        <f>IF(COUNTIFS(T_StockCount[RM_Code],$A84,T_StockCount[WeekIndex],70)&gt;0,SUMIFS(T_StockCount[CountedQty],T_StockCount[RM_Code],$A84,T_StockCount[WeekIndex],70),IF((COUNTIFS(T_SelfStock[RM_Code],$A84,T_SelfStock[WeekIndex],70)&gt;0)*(COUNTIFS(T_TTAFStock[RM_Code],$A84,T_TTAFStock[WeekIndex],70)&gt;0)&gt;0,SUMIFS(T_SelfStock[Self_Qty],T_SelfStock[RM_Code],$A84,T_SelfStock[WeekIndex],70)+SUMIFS(T_TTAFStock[TTAF_Qty],T_TTAFStock[RM_Code],$A84,T_TTAFStock[WeekIndex],70),BR84+'Grid_Incoming'!BS84-'Grid_Requirement'!BS84))</f>
        <v/>
      </c>
      <c r="BT84">
        <f>IF(COUNTIFS(T_StockCount[RM_Code],$A84,T_StockCount[WeekIndex],71)&gt;0,SUMIFS(T_StockCount[CountedQty],T_StockCount[RM_Code],$A84,T_StockCount[WeekIndex],71),IF((COUNTIFS(T_SelfStock[RM_Code],$A84,T_SelfStock[WeekIndex],71)&gt;0)*(COUNTIFS(T_TTAFStock[RM_Code],$A84,T_TTAFStock[WeekIndex],71)&gt;0)&gt;0,SUMIFS(T_SelfStock[Self_Qty],T_SelfStock[RM_Code],$A84,T_SelfStock[WeekIndex],71)+SUMIFS(T_TTAFStock[TTAF_Qty],T_TTAFStock[RM_Code],$A84,T_TTAFStock[WeekIndex],71),BS84+'Grid_Incoming'!BT84-'Grid_Requirement'!BT84))</f>
        <v/>
      </c>
      <c r="BU84">
        <f>IF(COUNTIFS(T_StockCount[RM_Code],$A84,T_StockCount[WeekIndex],72)&gt;0,SUMIFS(T_StockCount[CountedQty],T_StockCount[RM_Code],$A84,T_StockCount[WeekIndex],72),IF((COUNTIFS(T_SelfStock[RM_Code],$A84,T_SelfStock[WeekIndex],72)&gt;0)*(COUNTIFS(T_TTAFStock[RM_Code],$A84,T_TTAFStock[WeekIndex],72)&gt;0)&gt;0,SUMIFS(T_SelfStock[Self_Qty],T_SelfStock[RM_Code],$A84,T_SelfStock[WeekIndex],72)+SUMIFS(T_TTAFStock[TTAF_Qty],T_TTAFStock[RM_Code],$A84,T_TTAFStock[WeekIndex],72),BT84+'Grid_Incoming'!BU84-'Grid_Requirement'!BU84))</f>
        <v/>
      </c>
      <c r="BV84">
        <f>IF(COUNTIFS(T_StockCount[RM_Code],$A84,T_StockCount[WeekIndex],73)&gt;0,SUMIFS(T_StockCount[CountedQty],T_StockCount[RM_Code],$A84,T_StockCount[WeekIndex],73),IF((COUNTIFS(T_SelfStock[RM_Code],$A84,T_SelfStock[WeekIndex],73)&gt;0)*(COUNTIFS(T_TTAFStock[RM_Code],$A84,T_TTAFStock[WeekIndex],73)&gt;0)&gt;0,SUMIFS(T_SelfStock[Self_Qty],T_SelfStock[RM_Code],$A84,T_SelfStock[WeekIndex],73)+SUMIFS(T_TTAFStock[TTAF_Qty],T_TTAFStock[RM_Code],$A84,T_TTAFStock[WeekIndex],73),BU84+'Grid_Incoming'!BV84-'Grid_Requirement'!BV84))</f>
        <v/>
      </c>
      <c r="BW84">
        <f>IF(COUNTIFS(T_StockCount[RM_Code],$A84,T_StockCount[WeekIndex],74)&gt;0,SUMIFS(T_StockCount[CountedQty],T_StockCount[RM_Code],$A84,T_StockCount[WeekIndex],74),IF((COUNTIFS(T_SelfStock[RM_Code],$A84,T_SelfStock[WeekIndex],74)&gt;0)*(COUNTIFS(T_TTAFStock[RM_Code],$A84,T_TTAFStock[WeekIndex],74)&gt;0)&gt;0,SUMIFS(T_SelfStock[Self_Qty],T_SelfStock[RM_Code],$A84,T_SelfStock[WeekIndex],74)+SUMIFS(T_TTAFStock[TTAF_Qty],T_TTAFStock[RM_Code],$A84,T_TTAFStock[WeekIndex],74),BV84+'Grid_Incoming'!BW84-'Grid_Requirement'!BW84))</f>
        <v/>
      </c>
      <c r="BX84">
        <f>IF(COUNTIFS(T_StockCount[RM_Code],$A84,T_StockCount[WeekIndex],75)&gt;0,SUMIFS(T_StockCount[CountedQty],T_StockCount[RM_Code],$A84,T_StockCount[WeekIndex],75),IF((COUNTIFS(T_SelfStock[RM_Code],$A84,T_SelfStock[WeekIndex],75)&gt;0)*(COUNTIFS(T_TTAFStock[RM_Code],$A84,T_TTAFStock[WeekIndex],75)&gt;0)&gt;0,SUMIFS(T_SelfStock[Self_Qty],T_SelfStock[RM_Code],$A84,T_SelfStock[WeekIndex],75)+SUMIFS(T_TTAFStock[TTAF_Qty],T_TTAFStock[RM_Code],$A84,T_TTAFStock[WeekIndex],75),BW84+'Grid_Incoming'!BX84-'Grid_Requirement'!BX84))</f>
        <v/>
      </c>
      <c r="BY84">
        <f>IF(COUNTIFS(T_StockCount[RM_Code],$A84,T_StockCount[WeekIndex],76)&gt;0,SUMIFS(T_StockCount[CountedQty],T_StockCount[RM_Code],$A84,T_StockCount[WeekIndex],76),IF((COUNTIFS(T_SelfStock[RM_Code],$A84,T_SelfStock[WeekIndex],76)&gt;0)*(COUNTIFS(T_TTAFStock[RM_Code],$A84,T_TTAFStock[WeekIndex],76)&gt;0)&gt;0,SUMIFS(T_SelfStock[Self_Qty],T_SelfStock[RM_Code],$A84,T_SelfStock[WeekIndex],76)+SUMIFS(T_TTAFStock[TTAF_Qty],T_TTAFStock[RM_Code],$A84,T_TTAFStock[WeekIndex],76),BX84+'Grid_Incoming'!BY84-'Grid_Requirement'!BY84))</f>
        <v/>
      </c>
      <c r="BZ84">
        <f>IF(COUNTIFS(T_StockCount[RM_Code],$A84,T_StockCount[WeekIndex],77)&gt;0,SUMIFS(T_StockCount[CountedQty],T_StockCount[RM_Code],$A84,T_StockCount[WeekIndex],77),IF((COUNTIFS(T_SelfStock[RM_Code],$A84,T_SelfStock[WeekIndex],77)&gt;0)*(COUNTIFS(T_TTAFStock[RM_Code],$A84,T_TTAFStock[WeekIndex],77)&gt;0)&gt;0,SUMIFS(T_SelfStock[Self_Qty],T_SelfStock[RM_Code],$A84,T_SelfStock[WeekIndex],77)+SUMIFS(T_TTAFStock[TTAF_Qty],T_TTAFStock[RM_Code],$A84,T_TTAFStock[WeekIndex],77),BY84+'Grid_Incoming'!BZ84-'Grid_Requirement'!BZ84))</f>
        <v/>
      </c>
      <c r="CA84">
        <f>IF(COUNTIFS(T_StockCount[RM_Code],$A84,T_StockCount[WeekIndex],78)&gt;0,SUMIFS(T_StockCount[CountedQty],T_StockCount[RM_Code],$A84,T_StockCount[WeekIndex],78),IF((COUNTIFS(T_SelfStock[RM_Code],$A84,T_SelfStock[WeekIndex],78)&gt;0)*(COUNTIFS(T_TTAFStock[RM_Code],$A84,T_TTAFStock[WeekIndex],78)&gt;0)&gt;0,SUMIFS(T_SelfStock[Self_Qty],T_SelfStock[RM_Code],$A84,T_SelfStock[WeekIndex],78)+SUMIFS(T_TTAFStock[TTAF_Qty],T_TTAFStock[RM_Code],$A84,T_TTAFStock[WeekIndex],78),BZ84+'Grid_Incoming'!CA84-'Grid_Requirement'!CA84))</f>
        <v/>
      </c>
      <c r="CB84">
        <f>IF(COUNTIFS(T_StockCount[RM_Code],$A84,T_StockCount[WeekIndex],79)&gt;0,SUMIFS(T_StockCount[CountedQty],T_StockCount[RM_Code],$A84,T_StockCount[WeekIndex],79),IF((COUNTIFS(T_SelfStock[RM_Code],$A84,T_SelfStock[WeekIndex],79)&gt;0)*(COUNTIFS(T_TTAFStock[RM_Code],$A84,T_TTAFStock[WeekIndex],79)&gt;0)&gt;0,SUMIFS(T_SelfStock[Self_Qty],T_SelfStock[RM_Code],$A84,T_SelfStock[WeekIndex],79)+SUMIFS(T_TTAFStock[TTAF_Qty],T_TTAFStock[RM_Code],$A84,T_TTAFStock[WeekIndex],79),CA84+'Grid_Incoming'!CB84-'Grid_Requirement'!CB84))</f>
        <v/>
      </c>
      <c r="CC84">
        <f>IF(COUNTIFS(T_StockCount[RM_Code],$A84,T_StockCount[WeekIndex],80)&gt;0,SUMIFS(T_StockCount[CountedQty],T_StockCount[RM_Code],$A84,T_StockCount[WeekIndex],80),IF((COUNTIFS(T_SelfStock[RM_Code],$A84,T_SelfStock[WeekIndex],80)&gt;0)*(COUNTIFS(T_TTAFStock[RM_Code],$A84,T_TTAFStock[WeekIndex],80)&gt;0)&gt;0,SUMIFS(T_SelfStock[Self_Qty],T_SelfStock[RM_Code],$A84,T_SelfStock[WeekIndex],80)+SUMIFS(T_TTAFStock[TTAF_Qty],T_TTAFStock[RM_Code],$A84,T_TTAFStock[WeekIndex],80),CB84+'Grid_Incoming'!CC84-'Grid_Requirement'!CC84))</f>
        <v/>
      </c>
      <c r="CD84">
        <f>IF(COUNTIFS(T_StockCount[RM_Code],$A84,T_StockCount[WeekIndex],81)&gt;0,SUMIFS(T_StockCount[CountedQty],T_StockCount[RM_Code],$A84,T_StockCount[WeekIndex],81),IF((COUNTIFS(T_SelfStock[RM_Code],$A84,T_SelfStock[WeekIndex],81)&gt;0)*(COUNTIFS(T_TTAFStock[RM_Code],$A84,T_TTAFStock[WeekIndex],81)&gt;0)&gt;0,SUMIFS(T_SelfStock[Self_Qty],T_SelfStock[RM_Code],$A84,T_SelfStock[WeekIndex],81)+SUMIFS(T_TTAFStock[TTAF_Qty],T_TTAFStock[RM_Code],$A84,T_TTAFStock[WeekIndex],81),CC84+'Grid_Incoming'!CD84-'Grid_Requirement'!CD84))</f>
        <v/>
      </c>
      <c r="CE84">
        <f>IF(COUNTIFS(T_StockCount[RM_Code],$A84,T_StockCount[WeekIndex],82)&gt;0,SUMIFS(T_StockCount[CountedQty],T_StockCount[RM_Code],$A84,T_StockCount[WeekIndex],82),IF((COUNTIFS(T_SelfStock[RM_Code],$A84,T_SelfStock[WeekIndex],82)&gt;0)*(COUNTIFS(T_TTAFStock[RM_Code],$A84,T_TTAFStock[WeekIndex],82)&gt;0)&gt;0,SUMIFS(T_SelfStock[Self_Qty],T_SelfStock[RM_Code],$A84,T_SelfStock[WeekIndex],82)+SUMIFS(T_TTAFStock[TTAF_Qty],T_TTAFStock[RM_Code],$A84,T_TTAFStock[WeekIndex],82),CD84+'Grid_Incoming'!CE84-'Grid_Requirement'!CE84))</f>
        <v/>
      </c>
      <c r="CF84">
        <f>IF(COUNTIFS(T_StockCount[RM_Code],$A84,T_StockCount[WeekIndex],83)&gt;0,SUMIFS(T_StockCount[CountedQty],T_StockCount[RM_Code],$A84,T_StockCount[WeekIndex],83),IF((COUNTIFS(T_SelfStock[RM_Code],$A84,T_SelfStock[WeekIndex],83)&gt;0)*(COUNTIFS(T_TTAFStock[RM_Code],$A84,T_TTAFStock[WeekIndex],83)&gt;0)&gt;0,SUMIFS(T_SelfStock[Self_Qty],T_SelfStock[RM_Code],$A84,T_SelfStock[WeekIndex],83)+SUMIFS(T_TTAFStock[TTAF_Qty],T_TTAFStock[RM_Code],$A84,T_TTAFStock[WeekIndex],83),CE84+'Grid_Incoming'!CF84-'Grid_Requirement'!CF84))</f>
        <v/>
      </c>
      <c r="CG84">
        <f>IF(COUNTIFS(T_StockCount[RM_Code],$A84,T_StockCount[WeekIndex],84)&gt;0,SUMIFS(T_StockCount[CountedQty],T_StockCount[RM_Code],$A84,T_StockCount[WeekIndex],84),IF((COUNTIFS(T_SelfStock[RM_Code],$A84,T_SelfStock[WeekIndex],84)&gt;0)*(COUNTIFS(T_TTAFStock[RM_Code],$A84,T_TTAFStock[WeekIndex],84)&gt;0)&gt;0,SUMIFS(T_SelfStock[Self_Qty],T_SelfStock[RM_Code],$A84,T_SelfStock[WeekIndex],84)+SUMIFS(T_TTAFStock[TTAF_Qty],T_TTAFStock[RM_Code],$A84,T_TTAFStock[WeekIndex],84),CF84+'Grid_Incoming'!CG84-'Grid_Requirement'!CG84))</f>
        <v/>
      </c>
      <c r="CH84">
        <f>IF(COUNTIFS(T_StockCount[RM_Code],$A84,T_StockCount[WeekIndex],85)&gt;0,SUMIFS(T_StockCount[CountedQty],T_StockCount[RM_Code],$A84,T_StockCount[WeekIndex],85),IF((COUNTIFS(T_SelfStock[RM_Code],$A84,T_SelfStock[WeekIndex],85)&gt;0)*(COUNTIFS(T_TTAFStock[RM_Code],$A84,T_TTAFStock[WeekIndex],85)&gt;0)&gt;0,SUMIFS(T_SelfStock[Self_Qty],T_SelfStock[RM_Code],$A84,T_SelfStock[WeekIndex],85)+SUMIFS(T_TTAFStock[TTAF_Qty],T_TTAFStock[RM_Code],$A84,T_TTAFStock[WeekIndex],85),CG84+'Grid_Incoming'!CH84-'Grid_Requirement'!CH84))</f>
        <v/>
      </c>
      <c r="CI84">
        <f>IF(COUNTIFS(T_StockCount[RM_Code],$A84,T_StockCount[WeekIndex],86)&gt;0,SUMIFS(T_StockCount[CountedQty],T_StockCount[RM_Code],$A84,T_StockCount[WeekIndex],86),IF((COUNTIFS(T_SelfStock[RM_Code],$A84,T_SelfStock[WeekIndex],86)&gt;0)*(COUNTIFS(T_TTAFStock[RM_Code],$A84,T_TTAFStock[WeekIndex],86)&gt;0)&gt;0,SUMIFS(T_SelfStock[Self_Qty],T_SelfStock[RM_Code],$A84,T_SelfStock[WeekIndex],86)+SUMIFS(T_TTAFStock[TTAF_Qty],T_TTAFStock[RM_Code],$A84,T_TTAFStock[WeekIndex],86),CH84+'Grid_Incoming'!CI84-'Grid_Requirement'!CI84))</f>
        <v/>
      </c>
      <c r="CJ84">
        <f>IF(COUNTIFS(T_StockCount[RM_Code],$A84,T_StockCount[WeekIndex],87)&gt;0,SUMIFS(T_StockCount[CountedQty],T_StockCount[RM_Code],$A84,T_StockCount[WeekIndex],87),IF((COUNTIFS(T_SelfStock[RM_Code],$A84,T_SelfStock[WeekIndex],87)&gt;0)*(COUNTIFS(T_TTAFStock[RM_Code],$A84,T_TTAFStock[WeekIndex],87)&gt;0)&gt;0,SUMIFS(T_SelfStock[Self_Qty],T_SelfStock[RM_Code],$A84,T_SelfStock[WeekIndex],87)+SUMIFS(T_TTAFStock[TTAF_Qty],T_TTAFStock[RM_Code],$A84,T_TTAFStock[WeekIndex],87),CI84+'Grid_Incoming'!CJ84-'Grid_Requirement'!CJ84))</f>
        <v/>
      </c>
      <c r="CK84">
        <f>IF(COUNTIFS(T_StockCount[RM_Code],$A84,T_StockCount[WeekIndex],88)&gt;0,SUMIFS(T_StockCount[CountedQty],T_StockCount[RM_Code],$A84,T_StockCount[WeekIndex],88),IF((COUNTIFS(T_SelfStock[RM_Code],$A84,T_SelfStock[WeekIndex],88)&gt;0)*(COUNTIFS(T_TTAFStock[RM_Code],$A84,T_TTAFStock[WeekIndex],88)&gt;0)&gt;0,SUMIFS(T_SelfStock[Self_Qty],T_SelfStock[RM_Code],$A84,T_SelfStock[WeekIndex],88)+SUMIFS(T_TTAFStock[TTAF_Qty],T_TTAFStock[RM_Code],$A84,T_TTAFStock[WeekIndex],88),CJ84+'Grid_Incoming'!CK84-'Grid_Requirement'!CK84))</f>
        <v/>
      </c>
      <c r="CL84">
        <f>IF(COUNTIFS(T_StockCount[RM_Code],$A84,T_StockCount[WeekIndex],89)&gt;0,SUMIFS(T_StockCount[CountedQty],T_StockCount[RM_Code],$A84,T_StockCount[WeekIndex],89),IF((COUNTIFS(T_SelfStock[RM_Code],$A84,T_SelfStock[WeekIndex],89)&gt;0)*(COUNTIFS(T_TTAFStock[RM_Code],$A84,T_TTAFStock[WeekIndex],89)&gt;0)&gt;0,SUMIFS(T_SelfStock[Self_Qty],T_SelfStock[RM_Code],$A84,T_SelfStock[WeekIndex],89)+SUMIFS(T_TTAFStock[TTAF_Qty],T_TTAFStock[RM_Code],$A84,T_TTAFStock[WeekIndex],89),CK84+'Grid_Incoming'!CL84-'Grid_Requirement'!CL84))</f>
        <v/>
      </c>
      <c r="CM84">
        <f>IF(COUNTIFS(T_StockCount[RM_Code],$A84,T_StockCount[WeekIndex],90)&gt;0,SUMIFS(T_StockCount[CountedQty],T_StockCount[RM_Code],$A84,T_StockCount[WeekIndex],90),IF((COUNTIFS(T_SelfStock[RM_Code],$A84,T_SelfStock[WeekIndex],90)&gt;0)*(COUNTIFS(T_TTAFStock[RM_Code],$A84,T_TTAFStock[WeekIndex],90)&gt;0)&gt;0,SUMIFS(T_SelfStock[Self_Qty],T_SelfStock[RM_Code],$A84,T_SelfStock[WeekIndex],90)+SUMIFS(T_TTAFStock[TTAF_Qty],T_TTAFStock[RM_Code],$A84,T_TTAFStock[WeekIndex],90),CL84+'Grid_Incoming'!CM84-'Grid_Requirement'!CM84))</f>
        <v/>
      </c>
      <c r="CN84">
        <f>IF(COUNTIFS(T_StockCount[RM_Code],$A84,T_StockCount[WeekIndex],91)&gt;0,SUMIFS(T_StockCount[CountedQty],T_StockCount[RM_Code],$A84,T_StockCount[WeekIndex],91),IF((COUNTIFS(T_SelfStock[RM_Code],$A84,T_SelfStock[WeekIndex],91)&gt;0)*(COUNTIFS(T_TTAFStock[RM_Code],$A84,T_TTAFStock[WeekIndex],91)&gt;0)&gt;0,SUMIFS(T_SelfStock[Self_Qty],T_SelfStock[RM_Code],$A84,T_SelfStock[WeekIndex],91)+SUMIFS(T_TTAFStock[TTAF_Qty],T_TTAFStock[RM_Code],$A84,T_TTAFStock[WeekIndex],91),CM84+'Grid_Incoming'!CN84-'Grid_Requirement'!CN84))</f>
        <v/>
      </c>
      <c r="CO84">
        <f>IF(COUNTIFS(T_StockCount[RM_Code],$A84,T_StockCount[WeekIndex],92)&gt;0,SUMIFS(T_StockCount[CountedQty],T_StockCount[RM_Code],$A84,T_StockCount[WeekIndex],92),IF((COUNTIFS(T_SelfStock[RM_Code],$A84,T_SelfStock[WeekIndex],92)&gt;0)*(COUNTIFS(T_TTAFStock[RM_Code],$A84,T_TTAFStock[WeekIndex],92)&gt;0)&gt;0,SUMIFS(T_SelfStock[Self_Qty],T_SelfStock[RM_Code],$A84,T_SelfStock[WeekIndex],92)+SUMIFS(T_TTAFStock[TTAF_Qty],T_TTAFStock[RM_Code],$A84,T_TTAFStock[WeekIndex],92),CN84+'Grid_Incoming'!CO84-'Grid_Requirement'!CO84))</f>
        <v/>
      </c>
      <c r="CP84">
        <f>IF(COUNTIFS(T_StockCount[RM_Code],$A84,T_StockCount[WeekIndex],93)&gt;0,SUMIFS(T_StockCount[CountedQty],T_StockCount[RM_Code],$A84,T_StockCount[WeekIndex],93),IF((COUNTIFS(T_SelfStock[RM_Code],$A84,T_SelfStock[WeekIndex],93)&gt;0)*(COUNTIFS(T_TTAFStock[RM_Code],$A84,T_TTAFStock[WeekIndex],93)&gt;0)&gt;0,SUMIFS(T_SelfStock[Self_Qty],T_SelfStock[RM_Code],$A84,T_SelfStock[WeekIndex],93)+SUMIFS(T_TTAFStock[TTAF_Qty],T_TTAFStock[RM_Code],$A84,T_TTAFStock[WeekIndex],93),CO84+'Grid_Incoming'!CP84-'Grid_Requirement'!CP84))</f>
        <v/>
      </c>
      <c r="CQ84">
        <f>IF(COUNTIFS(T_StockCount[RM_Code],$A84,T_StockCount[WeekIndex],94)&gt;0,SUMIFS(T_StockCount[CountedQty],T_StockCount[RM_Code],$A84,T_StockCount[WeekIndex],94),IF((COUNTIFS(T_SelfStock[RM_Code],$A84,T_SelfStock[WeekIndex],94)&gt;0)*(COUNTIFS(T_TTAFStock[RM_Code],$A84,T_TTAFStock[WeekIndex],94)&gt;0)&gt;0,SUMIFS(T_SelfStock[Self_Qty],T_SelfStock[RM_Code],$A84,T_SelfStock[WeekIndex],94)+SUMIFS(T_TTAFStock[TTAF_Qty],T_TTAFStock[RM_Code],$A84,T_TTAFStock[WeekIndex],94),CP84+'Grid_Incoming'!CQ84-'Grid_Requirement'!CQ84))</f>
        <v/>
      </c>
      <c r="CR84">
        <f>IF(COUNTIFS(T_StockCount[RM_Code],$A84,T_StockCount[WeekIndex],95)&gt;0,SUMIFS(T_StockCount[CountedQty],T_StockCount[RM_Code],$A84,T_StockCount[WeekIndex],95),IF((COUNTIFS(T_SelfStock[RM_Code],$A84,T_SelfStock[WeekIndex],95)&gt;0)*(COUNTIFS(T_TTAFStock[RM_Code],$A84,T_TTAFStock[WeekIndex],95)&gt;0)&gt;0,SUMIFS(T_SelfStock[Self_Qty],T_SelfStock[RM_Code],$A84,T_SelfStock[WeekIndex],95)+SUMIFS(T_TTAFStock[TTAF_Qty],T_TTAFStock[RM_Code],$A84,T_TTAFStock[WeekIndex],95),CQ84+'Grid_Incoming'!CR84-'Grid_Requirement'!CR84))</f>
        <v/>
      </c>
      <c r="CS84">
        <f>IF(COUNTIFS(T_StockCount[RM_Code],$A84,T_StockCount[WeekIndex],96)&gt;0,SUMIFS(T_StockCount[CountedQty],T_StockCount[RM_Code],$A84,T_StockCount[WeekIndex],96),IF((COUNTIFS(T_SelfStock[RM_Code],$A84,T_SelfStock[WeekIndex],96)&gt;0)*(COUNTIFS(T_TTAFStock[RM_Code],$A84,T_TTAFStock[WeekIndex],96)&gt;0)&gt;0,SUMIFS(T_SelfStock[Self_Qty],T_SelfStock[RM_Code],$A84,T_SelfStock[WeekIndex],96)+SUMIFS(T_TTAFStock[TTAF_Qty],T_TTAFStock[RM_Code],$A84,T_TTAFStock[WeekIndex],96),CR84+'Grid_Incoming'!CS84-'Grid_Requirement'!CS84))</f>
        <v/>
      </c>
      <c r="CT84">
        <f>IF(COUNTIFS(T_StockCount[RM_Code],$A84,T_StockCount[WeekIndex],97)&gt;0,SUMIFS(T_StockCount[CountedQty],T_StockCount[RM_Code],$A84,T_StockCount[WeekIndex],97),IF((COUNTIFS(T_SelfStock[RM_Code],$A84,T_SelfStock[WeekIndex],97)&gt;0)*(COUNTIFS(T_TTAFStock[RM_Code],$A84,T_TTAFStock[WeekIndex],97)&gt;0)&gt;0,SUMIFS(T_SelfStock[Self_Qty],T_SelfStock[RM_Code],$A84,T_SelfStock[WeekIndex],97)+SUMIFS(T_TTAFStock[TTAF_Qty],T_TTAFStock[RM_Code],$A84,T_TTAFStock[WeekIndex],97),CS84+'Grid_Incoming'!CT84-'Grid_Requirement'!CT84))</f>
        <v/>
      </c>
      <c r="CU84">
        <f>IF(COUNTIFS(T_StockCount[RM_Code],$A84,T_StockCount[WeekIndex],98)&gt;0,SUMIFS(T_StockCount[CountedQty],T_StockCount[RM_Code],$A84,T_StockCount[WeekIndex],98),IF((COUNTIFS(T_SelfStock[RM_Code],$A84,T_SelfStock[WeekIndex],98)&gt;0)*(COUNTIFS(T_TTAFStock[RM_Code],$A84,T_TTAFStock[WeekIndex],98)&gt;0)&gt;0,SUMIFS(T_SelfStock[Self_Qty],T_SelfStock[RM_Code],$A84,T_SelfStock[WeekIndex],98)+SUMIFS(T_TTAFStock[TTAF_Qty],T_TTAFStock[RM_Code],$A84,T_TTAFStock[WeekIndex],98),CT84+'Grid_Incoming'!CU84-'Grid_Requirement'!CU84))</f>
        <v/>
      </c>
      <c r="CV84">
        <f>IF(COUNTIFS(T_StockCount[RM_Code],$A84,T_StockCount[WeekIndex],99)&gt;0,SUMIFS(T_StockCount[CountedQty],T_StockCount[RM_Code],$A84,T_StockCount[WeekIndex],99),IF((COUNTIFS(T_SelfStock[RM_Code],$A84,T_SelfStock[WeekIndex],99)&gt;0)*(COUNTIFS(T_TTAFStock[RM_Code],$A84,T_TTAFStock[WeekIndex],99)&gt;0)&gt;0,SUMIFS(T_SelfStock[Self_Qty],T_SelfStock[RM_Code],$A84,T_SelfStock[WeekIndex],99)+SUMIFS(T_TTAFStock[TTAF_Qty],T_TTAFStock[RM_Code],$A84,T_TTAFStock[WeekIndex],99),CU84+'Grid_Incoming'!CV84-'Grid_Requirement'!CV84))</f>
        <v/>
      </c>
      <c r="CW84">
        <f>IF(COUNTIFS(T_StockCount[RM_Code],$A84,T_StockCount[WeekIndex],100)&gt;0,SUMIFS(T_StockCount[CountedQty],T_StockCount[RM_Code],$A84,T_StockCount[WeekIndex],100),IF((COUNTIFS(T_SelfStock[RM_Code],$A84,T_SelfStock[WeekIndex],100)&gt;0)*(COUNTIFS(T_TTAFStock[RM_Code],$A84,T_TTAFStock[WeekIndex],100)&gt;0)&gt;0,SUMIFS(T_SelfStock[Self_Qty],T_SelfStock[RM_Code],$A84,T_SelfStock[WeekIndex],100)+SUMIFS(T_TTAFStock[TTAF_Qty],T_TTAFStock[RM_Code],$A84,T_TTAFStock[WeekIndex],100),CV84+'Grid_Incoming'!CW84-'Grid_Requirement'!CW84))</f>
        <v/>
      </c>
      <c r="CX84">
        <f>IF(COUNTIFS(T_StockCount[RM_Code],$A84,T_StockCount[WeekIndex],101)&gt;0,SUMIFS(T_StockCount[CountedQty],T_StockCount[RM_Code],$A84,T_StockCount[WeekIndex],101),IF((COUNTIFS(T_SelfStock[RM_Code],$A84,T_SelfStock[WeekIndex],101)&gt;0)*(COUNTIFS(T_TTAFStock[RM_Code],$A84,T_TTAFStock[WeekIndex],101)&gt;0)&gt;0,SUMIFS(T_SelfStock[Self_Qty],T_SelfStock[RM_Code],$A84,T_SelfStock[WeekIndex],101)+SUMIFS(T_TTAFStock[TTAF_Qty],T_TTAFStock[RM_Code],$A84,T_TTAFStock[WeekIndex],101),CW84+'Grid_Incoming'!CX84-'Grid_Requirement'!CX84))</f>
        <v/>
      </c>
      <c r="CY84">
        <f>IF(COUNTIFS(T_StockCount[RM_Code],$A84,T_StockCount[WeekIndex],102)&gt;0,SUMIFS(T_StockCount[CountedQty],T_StockCount[RM_Code],$A84,T_StockCount[WeekIndex],102),IF((COUNTIFS(T_SelfStock[RM_Code],$A84,T_SelfStock[WeekIndex],102)&gt;0)*(COUNTIFS(T_TTAFStock[RM_Code],$A84,T_TTAFStock[WeekIndex],102)&gt;0)&gt;0,SUMIFS(T_SelfStock[Self_Qty],T_SelfStock[RM_Code],$A84,T_SelfStock[WeekIndex],102)+SUMIFS(T_TTAFStock[TTAF_Qty],T_TTAFStock[RM_Code],$A84,T_TTAFStock[WeekIndex],102),CX84+'Grid_Incoming'!CY84-'Grid_Requirement'!CY84))</f>
        <v/>
      </c>
      <c r="CZ84">
        <f>IF(COUNTIFS(T_StockCount[RM_Code],$A84,T_StockCount[WeekIndex],103)&gt;0,SUMIFS(T_StockCount[CountedQty],T_StockCount[RM_Code],$A84,T_StockCount[WeekIndex],103),IF((COUNTIFS(T_SelfStock[RM_Code],$A84,T_SelfStock[WeekIndex],103)&gt;0)*(COUNTIFS(T_TTAFStock[RM_Code],$A84,T_TTAFStock[WeekIndex],103)&gt;0)&gt;0,SUMIFS(T_SelfStock[Self_Qty],T_SelfStock[RM_Code],$A84,T_SelfStock[WeekIndex],103)+SUMIFS(T_TTAFStock[TTAF_Qty],T_TTAFStock[RM_Code],$A84,T_TTAFStock[WeekIndex],103),CY84+'Grid_Incoming'!CZ84-'Grid_Requirement'!CZ84))</f>
        <v/>
      </c>
      <c r="DA84">
        <f>IF(COUNTIFS(T_StockCount[RM_Code],$A84,T_StockCount[WeekIndex],104)&gt;0,SUMIFS(T_StockCount[CountedQty],T_StockCount[RM_Code],$A84,T_StockCount[WeekIndex],104),IF((COUNTIFS(T_SelfStock[RM_Code],$A84,T_SelfStock[WeekIndex],104)&gt;0)*(COUNTIFS(T_TTAFStock[RM_Code],$A84,T_TTAFStock[WeekIndex],104)&gt;0)&gt;0,SUMIFS(T_SelfStock[Self_Qty],T_SelfStock[RM_Code],$A84,T_SelfStock[WeekIndex],104)+SUMIFS(T_TTAFStock[TTAF_Qty],T_TTAFStock[RM_Code],$A84,T_TTAFStock[WeekIndex],104),CZ84+'Grid_Incoming'!DA84-'Grid_Requirement'!DA84))</f>
        <v/>
      </c>
    </row>
    <row r="85">
      <c r="A85" t="inlineStr">
        <is>
          <t>CHEM-1790</t>
        </is>
      </c>
      <c r="B85">
        <f>IF(COUNTIFS(T_StockCount[RM_Code],$A85,T_StockCount[WeekIndex],1)&gt;0,SUMIFS(T_StockCount[CountedQty],T_StockCount[RM_Code],$A85,T_StockCount[WeekIndex],1),IF((COUNTIFS(T_SelfStock[RM_Code],$A85,T_SelfStock[WeekIndex],1)&gt;0)*(COUNTIFS(T_TTAFStock[RM_Code],$A85,T_TTAFStock[WeekIndex],1)&gt;0)&gt;0,SUMIFS(T_SelfStock[Self_Qty],T_SelfStock[RM_Code],$A85,T_SelfStock[WeekIndex],1)+SUMIFS(T_TTAFStock[TTAF_Qty],T_TTAFStock[RM_Code],$A85,T_TTAFStock[WeekIndex],1),IFERROR(INDEX(T_OpeningStock[Opening_Qty],MATCH($A85,T_OpeningStock[RM_Code],0)),0)+'Grid_Incoming'!B85-'Grid_Requirement'!B85))</f>
        <v/>
      </c>
      <c r="C85">
        <f>IF(COUNTIFS(T_StockCount[RM_Code],$A85,T_StockCount[WeekIndex],2)&gt;0,SUMIFS(T_StockCount[CountedQty],T_StockCount[RM_Code],$A85,T_StockCount[WeekIndex],2),IF((COUNTIFS(T_SelfStock[RM_Code],$A85,T_SelfStock[WeekIndex],2)&gt;0)*(COUNTIFS(T_TTAFStock[RM_Code],$A85,T_TTAFStock[WeekIndex],2)&gt;0)&gt;0,SUMIFS(T_SelfStock[Self_Qty],T_SelfStock[RM_Code],$A85,T_SelfStock[WeekIndex],2)+SUMIFS(T_TTAFStock[TTAF_Qty],T_TTAFStock[RM_Code],$A85,T_TTAFStock[WeekIndex],2),B85+'Grid_Incoming'!C85-'Grid_Requirement'!C85))</f>
        <v/>
      </c>
      <c r="D85">
        <f>IF(COUNTIFS(T_StockCount[RM_Code],$A85,T_StockCount[WeekIndex],3)&gt;0,SUMIFS(T_StockCount[CountedQty],T_StockCount[RM_Code],$A85,T_StockCount[WeekIndex],3),IF((COUNTIFS(T_SelfStock[RM_Code],$A85,T_SelfStock[WeekIndex],3)&gt;0)*(COUNTIFS(T_TTAFStock[RM_Code],$A85,T_TTAFStock[WeekIndex],3)&gt;0)&gt;0,SUMIFS(T_SelfStock[Self_Qty],T_SelfStock[RM_Code],$A85,T_SelfStock[WeekIndex],3)+SUMIFS(T_TTAFStock[TTAF_Qty],T_TTAFStock[RM_Code],$A85,T_TTAFStock[WeekIndex],3),C85+'Grid_Incoming'!D85-'Grid_Requirement'!D85))</f>
        <v/>
      </c>
      <c r="E85">
        <f>IF(COUNTIFS(T_StockCount[RM_Code],$A85,T_StockCount[WeekIndex],4)&gt;0,SUMIFS(T_StockCount[CountedQty],T_StockCount[RM_Code],$A85,T_StockCount[WeekIndex],4),IF((COUNTIFS(T_SelfStock[RM_Code],$A85,T_SelfStock[WeekIndex],4)&gt;0)*(COUNTIFS(T_TTAFStock[RM_Code],$A85,T_TTAFStock[WeekIndex],4)&gt;0)&gt;0,SUMIFS(T_SelfStock[Self_Qty],T_SelfStock[RM_Code],$A85,T_SelfStock[WeekIndex],4)+SUMIFS(T_TTAFStock[TTAF_Qty],T_TTAFStock[RM_Code],$A85,T_TTAFStock[WeekIndex],4),D85+'Grid_Incoming'!E85-'Grid_Requirement'!E85))</f>
        <v/>
      </c>
      <c r="F85">
        <f>IF(COUNTIFS(T_StockCount[RM_Code],$A85,T_StockCount[WeekIndex],5)&gt;0,SUMIFS(T_StockCount[CountedQty],T_StockCount[RM_Code],$A85,T_StockCount[WeekIndex],5),IF((COUNTIFS(T_SelfStock[RM_Code],$A85,T_SelfStock[WeekIndex],5)&gt;0)*(COUNTIFS(T_TTAFStock[RM_Code],$A85,T_TTAFStock[WeekIndex],5)&gt;0)&gt;0,SUMIFS(T_SelfStock[Self_Qty],T_SelfStock[RM_Code],$A85,T_SelfStock[WeekIndex],5)+SUMIFS(T_TTAFStock[TTAF_Qty],T_TTAFStock[RM_Code],$A85,T_TTAFStock[WeekIndex],5),E85+'Grid_Incoming'!F85-'Grid_Requirement'!F85))</f>
        <v/>
      </c>
      <c r="G85">
        <f>IF(COUNTIFS(T_StockCount[RM_Code],$A85,T_StockCount[WeekIndex],6)&gt;0,SUMIFS(T_StockCount[CountedQty],T_StockCount[RM_Code],$A85,T_StockCount[WeekIndex],6),IF((COUNTIFS(T_SelfStock[RM_Code],$A85,T_SelfStock[WeekIndex],6)&gt;0)*(COUNTIFS(T_TTAFStock[RM_Code],$A85,T_TTAFStock[WeekIndex],6)&gt;0)&gt;0,SUMIFS(T_SelfStock[Self_Qty],T_SelfStock[RM_Code],$A85,T_SelfStock[WeekIndex],6)+SUMIFS(T_TTAFStock[TTAF_Qty],T_TTAFStock[RM_Code],$A85,T_TTAFStock[WeekIndex],6),F85+'Grid_Incoming'!G85-'Grid_Requirement'!G85))</f>
        <v/>
      </c>
      <c r="H85">
        <f>IF(COUNTIFS(T_StockCount[RM_Code],$A85,T_StockCount[WeekIndex],7)&gt;0,SUMIFS(T_StockCount[CountedQty],T_StockCount[RM_Code],$A85,T_StockCount[WeekIndex],7),IF((COUNTIFS(T_SelfStock[RM_Code],$A85,T_SelfStock[WeekIndex],7)&gt;0)*(COUNTIFS(T_TTAFStock[RM_Code],$A85,T_TTAFStock[WeekIndex],7)&gt;0)&gt;0,SUMIFS(T_SelfStock[Self_Qty],T_SelfStock[RM_Code],$A85,T_SelfStock[WeekIndex],7)+SUMIFS(T_TTAFStock[TTAF_Qty],T_TTAFStock[RM_Code],$A85,T_TTAFStock[WeekIndex],7),G85+'Grid_Incoming'!H85-'Grid_Requirement'!H85))</f>
        <v/>
      </c>
      <c r="I85">
        <f>IF(COUNTIFS(T_StockCount[RM_Code],$A85,T_StockCount[WeekIndex],8)&gt;0,SUMIFS(T_StockCount[CountedQty],T_StockCount[RM_Code],$A85,T_StockCount[WeekIndex],8),IF((COUNTIFS(T_SelfStock[RM_Code],$A85,T_SelfStock[WeekIndex],8)&gt;0)*(COUNTIFS(T_TTAFStock[RM_Code],$A85,T_TTAFStock[WeekIndex],8)&gt;0)&gt;0,SUMIFS(T_SelfStock[Self_Qty],T_SelfStock[RM_Code],$A85,T_SelfStock[WeekIndex],8)+SUMIFS(T_TTAFStock[TTAF_Qty],T_TTAFStock[RM_Code],$A85,T_TTAFStock[WeekIndex],8),H85+'Grid_Incoming'!I85-'Grid_Requirement'!I85))</f>
        <v/>
      </c>
      <c r="J85">
        <f>IF(COUNTIFS(T_StockCount[RM_Code],$A85,T_StockCount[WeekIndex],9)&gt;0,SUMIFS(T_StockCount[CountedQty],T_StockCount[RM_Code],$A85,T_StockCount[WeekIndex],9),IF((COUNTIFS(T_SelfStock[RM_Code],$A85,T_SelfStock[WeekIndex],9)&gt;0)*(COUNTIFS(T_TTAFStock[RM_Code],$A85,T_TTAFStock[WeekIndex],9)&gt;0)&gt;0,SUMIFS(T_SelfStock[Self_Qty],T_SelfStock[RM_Code],$A85,T_SelfStock[WeekIndex],9)+SUMIFS(T_TTAFStock[TTAF_Qty],T_TTAFStock[RM_Code],$A85,T_TTAFStock[WeekIndex],9),I85+'Grid_Incoming'!J85-'Grid_Requirement'!J85))</f>
        <v/>
      </c>
      <c r="K85">
        <f>IF(COUNTIFS(T_StockCount[RM_Code],$A85,T_StockCount[WeekIndex],10)&gt;0,SUMIFS(T_StockCount[CountedQty],T_StockCount[RM_Code],$A85,T_StockCount[WeekIndex],10),IF((COUNTIFS(T_SelfStock[RM_Code],$A85,T_SelfStock[WeekIndex],10)&gt;0)*(COUNTIFS(T_TTAFStock[RM_Code],$A85,T_TTAFStock[WeekIndex],10)&gt;0)&gt;0,SUMIFS(T_SelfStock[Self_Qty],T_SelfStock[RM_Code],$A85,T_SelfStock[WeekIndex],10)+SUMIFS(T_TTAFStock[TTAF_Qty],T_TTAFStock[RM_Code],$A85,T_TTAFStock[WeekIndex],10),J85+'Grid_Incoming'!K85-'Grid_Requirement'!K85))</f>
        <v/>
      </c>
      <c r="L85">
        <f>IF(COUNTIFS(T_StockCount[RM_Code],$A85,T_StockCount[WeekIndex],11)&gt;0,SUMIFS(T_StockCount[CountedQty],T_StockCount[RM_Code],$A85,T_StockCount[WeekIndex],11),IF((COUNTIFS(T_SelfStock[RM_Code],$A85,T_SelfStock[WeekIndex],11)&gt;0)*(COUNTIFS(T_TTAFStock[RM_Code],$A85,T_TTAFStock[WeekIndex],11)&gt;0)&gt;0,SUMIFS(T_SelfStock[Self_Qty],T_SelfStock[RM_Code],$A85,T_SelfStock[WeekIndex],11)+SUMIFS(T_TTAFStock[TTAF_Qty],T_TTAFStock[RM_Code],$A85,T_TTAFStock[WeekIndex],11),K85+'Grid_Incoming'!L85-'Grid_Requirement'!L85))</f>
        <v/>
      </c>
      <c r="M85">
        <f>IF(COUNTIFS(T_StockCount[RM_Code],$A85,T_StockCount[WeekIndex],12)&gt;0,SUMIFS(T_StockCount[CountedQty],T_StockCount[RM_Code],$A85,T_StockCount[WeekIndex],12),IF((COUNTIFS(T_SelfStock[RM_Code],$A85,T_SelfStock[WeekIndex],12)&gt;0)*(COUNTIFS(T_TTAFStock[RM_Code],$A85,T_TTAFStock[WeekIndex],12)&gt;0)&gt;0,SUMIFS(T_SelfStock[Self_Qty],T_SelfStock[RM_Code],$A85,T_SelfStock[WeekIndex],12)+SUMIFS(T_TTAFStock[TTAF_Qty],T_TTAFStock[RM_Code],$A85,T_TTAFStock[WeekIndex],12),L85+'Grid_Incoming'!M85-'Grid_Requirement'!M85))</f>
        <v/>
      </c>
      <c r="N85">
        <f>IF(COUNTIFS(T_StockCount[RM_Code],$A85,T_StockCount[WeekIndex],13)&gt;0,SUMIFS(T_StockCount[CountedQty],T_StockCount[RM_Code],$A85,T_StockCount[WeekIndex],13),IF((COUNTIFS(T_SelfStock[RM_Code],$A85,T_SelfStock[WeekIndex],13)&gt;0)*(COUNTIFS(T_TTAFStock[RM_Code],$A85,T_TTAFStock[WeekIndex],13)&gt;0)&gt;0,SUMIFS(T_SelfStock[Self_Qty],T_SelfStock[RM_Code],$A85,T_SelfStock[WeekIndex],13)+SUMIFS(T_TTAFStock[TTAF_Qty],T_TTAFStock[RM_Code],$A85,T_TTAFStock[WeekIndex],13),M85+'Grid_Incoming'!N85-'Grid_Requirement'!N85))</f>
        <v/>
      </c>
      <c r="O85">
        <f>IF(COUNTIFS(T_StockCount[RM_Code],$A85,T_StockCount[WeekIndex],14)&gt;0,SUMIFS(T_StockCount[CountedQty],T_StockCount[RM_Code],$A85,T_StockCount[WeekIndex],14),IF((COUNTIFS(T_SelfStock[RM_Code],$A85,T_SelfStock[WeekIndex],14)&gt;0)*(COUNTIFS(T_TTAFStock[RM_Code],$A85,T_TTAFStock[WeekIndex],14)&gt;0)&gt;0,SUMIFS(T_SelfStock[Self_Qty],T_SelfStock[RM_Code],$A85,T_SelfStock[WeekIndex],14)+SUMIFS(T_TTAFStock[TTAF_Qty],T_TTAFStock[RM_Code],$A85,T_TTAFStock[WeekIndex],14),N85+'Grid_Incoming'!O85-'Grid_Requirement'!O85))</f>
        <v/>
      </c>
      <c r="P85">
        <f>IF(COUNTIFS(T_StockCount[RM_Code],$A85,T_StockCount[WeekIndex],15)&gt;0,SUMIFS(T_StockCount[CountedQty],T_StockCount[RM_Code],$A85,T_StockCount[WeekIndex],15),IF((COUNTIFS(T_SelfStock[RM_Code],$A85,T_SelfStock[WeekIndex],15)&gt;0)*(COUNTIFS(T_TTAFStock[RM_Code],$A85,T_TTAFStock[WeekIndex],15)&gt;0)&gt;0,SUMIFS(T_SelfStock[Self_Qty],T_SelfStock[RM_Code],$A85,T_SelfStock[WeekIndex],15)+SUMIFS(T_TTAFStock[TTAF_Qty],T_TTAFStock[RM_Code],$A85,T_TTAFStock[WeekIndex],15),O85+'Grid_Incoming'!P85-'Grid_Requirement'!P85))</f>
        <v/>
      </c>
      <c r="Q85">
        <f>IF(COUNTIFS(T_StockCount[RM_Code],$A85,T_StockCount[WeekIndex],16)&gt;0,SUMIFS(T_StockCount[CountedQty],T_StockCount[RM_Code],$A85,T_StockCount[WeekIndex],16),IF((COUNTIFS(T_SelfStock[RM_Code],$A85,T_SelfStock[WeekIndex],16)&gt;0)*(COUNTIFS(T_TTAFStock[RM_Code],$A85,T_TTAFStock[WeekIndex],16)&gt;0)&gt;0,SUMIFS(T_SelfStock[Self_Qty],T_SelfStock[RM_Code],$A85,T_SelfStock[WeekIndex],16)+SUMIFS(T_TTAFStock[TTAF_Qty],T_TTAFStock[RM_Code],$A85,T_TTAFStock[WeekIndex],16),P85+'Grid_Incoming'!Q85-'Grid_Requirement'!Q85))</f>
        <v/>
      </c>
      <c r="R85">
        <f>IF(COUNTIFS(T_StockCount[RM_Code],$A85,T_StockCount[WeekIndex],17)&gt;0,SUMIFS(T_StockCount[CountedQty],T_StockCount[RM_Code],$A85,T_StockCount[WeekIndex],17),IF((COUNTIFS(T_SelfStock[RM_Code],$A85,T_SelfStock[WeekIndex],17)&gt;0)*(COUNTIFS(T_TTAFStock[RM_Code],$A85,T_TTAFStock[WeekIndex],17)&gt;0)&gt;0,SUMIFS(T_SelfStock[Self_Qty],T_SelfStock[RM_Code],$A85,T_SelfStock[WeekIndex],17)+SUMIFS(T_TTAFStock[TTAF_Qty],T_TTAFStock[RM_Code],$A85,T_TTAFStock[WeekIndex],17),Q85+'Grid_Incoming'!R85-'Grid_Requirement'!R85))</f>
        <v/>
      </c>
      <c r="S85">
        <f>IF(COUNTIFS(T_StockCount[RM_Code],$A85,T_StockCount[WeekIndex],18)&gt;0,SUMIFS(T_StockCount[CountedQty],T_StockCount[RM_Code],$A85,T_StockCount[WeekIndex],18),IF((COUNTIFS(T_SelfStock[RM_Code],$A85,T_SelfStock[WeekIndex],18)&gt;0)*(COUNTIFS(T_TTAFStock[RM_Code],$A85,T_TTAFStock[WeekIndex],18)&gt;0)&gt;0,SUMIFS(T_SelfStock[Self_Qty],T_SelfStock[RM_Code],$A85,T_SelfStock[WeekIndex],18)+SUMIFS(T_TTAFStock[TTAF_Qty],T_TTAFStock[RM_Code],$A85,T_TTAFStock[WeekIndex],18),R85+'Grid_Incoming'!S85-'Grid_Requirement'!S85))</f>
        <v/>
      </c>
      <c r="T85">
        <f>IF(COUNTIFS(T_StockCount[RM_Code],$A85,T_StockCount[WeekIndex],19)&gt;0,SUMIFS(T_StockCount[CountedQty],T_StockCount[RM_Code],$A85,T_StockCount[WeekIndex],19),IF((COUNTIFS(T_SelfStock[RM_Code],$A85,T_SelfStock[WeekIndex],19)&gt;0)*(COUNTIFS(T_TTAFStock[RM_Code],$A85,T_TTAFStock[WeekIndex],19)&gt;0)&gt;0,SUMIFS(T_SelfStock[Self_Qty],T_SelfStock[RM_Code],$A85,T_SelfStock[WeekIndex],19)+SUMIFS(T_TTAFStock[TTAF_Qty],T_TTAFStock[RM_Code],$A85,T_TTAFStock[WeekIndex],19),S85+'Grid_Incoming'!T85-'Grid_Requirement'!T85))</f>
        <v/>
      </c>
      <c r="U85">
        <f>IF(COUNTIFS(T_StockCount[RM_Code],$A85,T_StockCount[WeekIndex],20)&gt;0,SUMIFS(T_StockCount[CountedQty],T_StockCount[RM_Code],$A85,T_StockCount[WeekIndex],20),IF((COUNTIFS(T_SelfStock[RM_Code],$A85,T_SelfStock[WeekIndex],20)&gt;0)*(COUNTIFS(T_TTAFStock[RM_Code],$A85,T_TTAFStock[WeekIndex],20)&gt;0)&gt;0,SUMIFS(T_SelfStock[Self_Qty],T_SelfStock[RM_Code],$A85,T_SelfStock[WeekIndex],20)+SUMIFS(T_TTAFStock[TTAF_Qty],T_TTAFStock[RM_Code],$A85,T_TTAFStock[WeekIndex],20),T85+'Grid_Incoming'!U85-'Grid_Requirement'!U85))</f>
        <v/>
      </c>
      <c r="V85">
        <f>IF(COUNTIFS(T_StockCount[RM_Code],$A85,T_StockCount[WeekIndex],21)&gt;0,SUMIFS(T_StockCount[CountedQty],T_StockCount[RM_Code],$A85,T_StockCount[WeekIndex],21),IF((COUNTIFS(T_SelfStock[RM_Code],$A85,T_SelfStock[WeekIndex],21)&gt;0)*(COUNTIFS(T_TTAFStock[RM_Code],$A85,T_TTAFStock[WeekIndex],21)&gt;0)&gt;0,SUMIFS(T_SelfStock[Self_Qty],T_SelfStock[RM_Code],$A85,T_SelfStock[WeekIndex],21)+SUMIFS(T_TTAFStock[TTAF_Qty],T_TTAFStock[RM_Code],$A85,T_TTAFStock[WeekIndex],21),U85+'Grid_Incoming'!V85-'Grid_Requirement'!V85))</f>
        <v/>
      </c>
      <c r="W85">
        <f>IF(COUNTIFS(T_StockCount[RM_Code],$A85,T_StockCount[WeekIndex],22)&gt;0,SUMIFS(T_StockCount[CountedQty],T_StockCount[RM_Code],$A85,T_StockCount[WeekIndex],22),IF((COUNTIFS(T_SelfStock[RM_Code],$A85,T_SelfStock[WeekIndex],22)&gt;0)*(COUNTIFS(T_TTAFStock[RM_Code],$A85,T_TTAFStock[WeekIndex],22)&gt;0)&gt;0,SUMIFS(T_SelfStock[Self_Qty],T_SelfStock[RM_Code],$A85,T_SelfStock[WeekIndex],22)+SUMIFS(T_TTAFStock[TTAF_Qty],T_TTAFStock[RM_Code],$A85,T_TTAFStock[WeekIndex],22),V85+'Grid_Incoming'!W85-'Grid_Requirement'!W85))</f>
        <v/>
      </c>
      <c r="X85">
        <f>IF(COUNTIFS(T_StockCount[RM_Code],$A85,T_StockCount[WeekIndex],23)&gt;0,SUMIFS(T_StockCount[CountedQty],T_StockCount[RM_Code],$A85,T_StockCount[WeekIndex],23),IF((COUNTIFS(T_SelfStock[RM_Code],$A85,T_SelfStock[WeekIndex],23)&gt;0)*(COUNTIFS(T_TTAFStock[RM_Code],$A85,T_TTAFStock[WeekIndex],23)&gt;0)&gt;0,SUMIFS(T_SelfStock[Self_Qty],T_SelfStock[RM_Code],$A85,T_SelfStock[WeekIndex],23)+SUMIFS(T_TTAFStock[TTAF_Qty],T_TTAFStock[RM_Code],$A85,T_TTAFStock[WeekIndex],23),W85+'Grid_Incoming'!X85-'Grid_Requirement'!X85))</f>
        <v/>
      </c>
      <c r="Y85">
        <f>IF(COUNTIFS(T_StockCount[RM_Code],$A85,T_StockCount[WeekIndex],24)&gt;0,SUMIFS(T_StockCount[CountedQty],T_StockCount[RM_Code],$A85,T_StockCount[WeekIndex],24),IF((COUNTIFS(T_SelfStock[RM_Code],$A85,T_SelfStock[WeekIndex],24)&gt;0)*(COUNTIFS(T_TTAFStock[RM_Code],$A85,T_TTAFStock[WeekIndex],24)&gt;0)&gt;0,SUMIFS(T_SelfStock[Self_Qty],T_SelfStock[RM_Code],$A85,T_SelfStock[WeekIndex],24)+SUMIFS(T_TTAFStock[TTAF_Qty],T_TTAFStock[RM_Code],$A85,T_TTAFStock[WeekIndex],24),X85+'Grid_Incoming'!Y85-'Grid_Requirement'!Y85))</f>
        <v/>
      </c>
      <c r="Z85">
        <f>IF(COUNTIFS(T_StockCount[RM_Code],$A85,T_StockCount[WeekIndex],25)&gt;0,SUMIFS(T_StockCount[CountedQty],T_StockCount[RM_Code],$A85,T_StockCount[WeekIndex],25),IF((COUNTIFS(T_SelfStock[RM_Code],$A85,T_SelfStock[WeekIndex],25)&gt;0)*(COUNTIFS(T_TTAFStock[RM_Code],$A85,T_TTAFStock[WeekIndex],25)&gt;0)&gt;0,SUMIFS(T_SelfStock[Self_Qty],T_SelfStock[RM_Code],$A85,T_SelfStock[WeekIndex],25)+SUMIFS(T_TTAFStock[TTAF_Qty],T_TTAFStock[RM_Code],$A85,T_TTAFStock[WeekIndex],25),Y85+'Grid_Incoming'!Z85-'Grid_Requirement'!Z85))</f>
        <v/>
      </c>
      <c r="AA85">
        <f>IF(COUNTIFS(T_StockCount[RM_Code],$A85,T_StockCount[WeekIndex],26)&gt;0,SUMIFS(T_StockCount[CountedQty],T_StockCount[RM_Code],$A85,T_StockCount[WeekIndex],26),IF((COUNTIFS(T_SelfStock[RM_Code],$A85,T_SelfStock[WeekIndex],26)&gt;0)*(COUNTIFS(T_TTAFStock[RM_Code],$A85,T_TTAFStock[WeekIndex],26)&gt;0)&gt;0,SUMIFS(T_SelfStock[Self_Qty],T_SelfStock[RM_Code],$A85,T_SelfStock[WeekIndex],26)+SUMIFS(T_TTAFStock[TTAF_Qty],T_TTAFStock[RM_Code],$A85,T_TTAFStock[WeekIndex],26),Z85+'Grid_Incoming'!AA85-'Grid_Requirement'!AA85))</f>
        <v/>
      </c>
      <c r="AB85">
        <f>IF(COUNTIFS(T_StockCount[RM_Code],$A85,T_StockCount[WeekIndex],27)&gt;0,SUMIFS(T_StockCount[CountedQty],T_StockCount[RM_Code],$A85,T_StockCount[WeekIndex],27),IF((COUNTIFS(T_SelfStock[RM_Code],$A85,T_SelfStock[WeekIndex],27)&gt;0)*(COUNTIFS(T_TTAFStock[RM_Code],$A85,T_TTAFStock[WeekIndex],27)&gt;0)&gt;0,SUMIFS(T_SelfStock[Self_Qty],T_SelfStock[RM_Code],$A85,T_SelfStock[WeekIndex],27)+SUMIFS(T_TTAFStock[TTAF_Qty],T_TTAFStock[RM_Code],$A85,T_TTAFStock[WeekIndex],27),AA85+'Grid_Incoming'!AB85-'Grid_Requirement'!AB85))</f>
        <v/>
      </c>
      <c r="AC85">
        <f>IF(COUNTIFS(T_StockCount[RM_Code],$A85,T_StockCount[WeekIndex],28)&gt;0,SUMIFS(T_StockCount[CountedQty],T_StockCount[RM_Code],$A85,T_StockCount[WeekIndex],28),IF((COUNTIFS(T_SelfStock[RM_Code],$A85,T_SelfStock[WeekIndex],28)&gt;0)*(COUNTIFS(T_TTAFStock[RM_Code],$A85,T_TTAFStock[WeekIndex],28)&gt;0)&gt;0,SUMIFS(T_SelfStock[Self_Qty],T_SelfStock[RM_Code],$A85,T_SelfStock[WeekIndex],28)+SUMIFS(T_TTAFStock[TTAF_Qty],T_TTAFStock[RM_Code],$A85,T_TTAFStock[WeekIndex],28),AB85+'Grid_Incoming'!AC85-'Grid_Requirement'!AC85))</f>
        <v/>
      </c>
      <c r="AD85">
        <f>IF(COUNTIFS(T_StockCount[RM_Code],$A85,T_StockCount[WeekIndex],29)&gt;0,SUMIFS(T_StockCount[CountedQty],T_StockCount[RM_Code],$A85,T_StockCount[WeekIndex],29),IF((COUNTIFS(T_SelfStock[RM_Code],$A85,T_SelfStock[WeekIndex],29)&gt;0)*(COUNTIFS(T_TTAFStock[RM_Code],$A85,T_TTAFStock[WeekIndex],29)&gt;0)&gt;0,SUMIFS(T_SelfStock[Self_Qty],T_SelfStock[RM_Code],$A85,T_SelfStock[WeekIndex],29)+SUMIFS(T_TTAFStock[TTAF_Qty],T_TTAFStock[RM_Code],$A85,T_TTAFStock[WeekIndex],29),AC85+'Grid_Incoming'!AD85-'Grid_Requirement'!AD85))</f>
        <v/>
      </c>
      <c r="AE85">
        <f>IF(COUNTIFS(T_StockCount[RM_Code],$A85,T_StockCount[WeekIndex],30)&gt;0,SUMIFS(T_StockCount[CountedQty],T_StockCount[RM_Code],$A85,T_StockCount[WeekIndex],30),IF((COUNTIFS(T_SelfStock[RM_Code],$A85,T_SelfStock[WeekIndex],30)&gt;0)*(COUNTIFS(T_TTAFStock[RM_Code],$A85,T_TTAFStock[WeekIndex],30)&gt;0)&gt;0,SUMIFS(T_SelfStock[Self_Qty],T_SelfStock[RM_Code],$A85,T_SelfStock[WeekIndex],30)+SUMIFS(T_TTAFStock[TTAF_Qty],T_TTAFStock[RM_Code],$A85,T_TTAFStock[WeekIndex],30),AD85+'Grid_Incoming'!AE85-'Grid_Requirement'!AE85))</f>
        <v/>
      </c>
      <c r="AF85">
        <f>IF(COUNTIFS(T_StockCount[RM_Code],$A85,T_StockCount[WeekIndex],31)&gt;0,SUMIFS(T_StockCount[CountedQty],T_StockCount[RM_Code],$A85,T_StockCount[WeekIndex],31),IF((COUNTIFS(T_SelfStock[RM_Code],$A85,T_SelfStock[WeekIndex],31)&gt;0)*(COUNTIFS(T_TTAFStock[RM_Code],$A85,T_TTAFStock[WeekIndex],31)&gt;0)&gt;0,SUMIFS(T_SelfStock[Self_Qty],T_SelfStock[RM_Code],$A85,T_SelfStock[WeekIndex],31)+SUMIFS(T_TTAFStock[TTAF_Qty],T_TTAFStock[RM_Code],$A85,T_TTAFStock[WeekIndex],31),AE85+'Grid_Incoming'!AF85-'Grid_Requirement'!AF85))</f>
        <v/>
      </c>
      <c r="AG85">
        <f>IF(COUNTIFS(T_StockCount[RM_Code],$A85,T_StockCount[WeekIndex],32)&gt;0,SUMIFS(T_StockCount[CountedQty],T_StockCount[RM_Code],$A85,T_StockCount[WeekIndex],32),IF((COUNTIFS(T_SelfStock[RM_Code],$A85,T_SelfStock[WeekIndex],32)&gt;0)*(COUNTIFS(T_TTAFStock[RM_Code],$A85,T_TTAFStock[WeekIndex],32)&gt;0)&gt;0,SUMIFS(T_SelfStock[Self_Qty],T_SelfStock[RM_Code],$A85,T_SelfStock[WeekIndex],32)+SUMIFS(T_TTAFStock[TTAF_Qty],T_TTAFStock[RM_Code],$A85,T_TTAFStock[WeekIndex],32),AF85+'Grid_Incoming'!AG85-'Grid_Requirement'!AG85))</f>
        <v/>
      </c>
      <c r="AH85">
        <f>IF(COUNTIFS(T_StockCount[RM_Code],$A85,T_StockCount[WeekIndex],33)&gt;0,SUMIFS(T_StockCount[CountedQty],T_StockCount[RM_Code],$A85,T_StockCount[WeekIndex],33),IF((COUNTIFS(T_SelfStock[RM_Code],$A85,T_SelfStock[WeekIndex],33)&gt;0)*(COUNTIFS(T_TTAFStock[RM_Code],$A85,T_TTAFStock[WeekIndex],33)&gt;0)&gt;0,SUMIFS(T_SelfStock[Self_Qty],T_SelfStock[RM_Code],$A85,T_SelfStock[WeekIndex],33)+SUMIFS(T_TTAFStock[TTAF_Qty],T_TTAFStock[RM_Code],$A85,T_TTAFStock[WeekIndex],33),AG85+'Grid_Incoming'!AH85-'Grid_Requirement'!AH85))</f>
        <v/>
      </c>
      <c r="AI85">
        <f>IF(COUNTIFS(T_StockCount[RM_Code],$A85,T_StockCount[WeekIndex],34)&gt;0,SUMIFS(T_StockCount[CountedQty],T_StockCount[RM_Code],$A85,T_StockCount[WeekIndex],34),IF((COUNTIFS(T_SelfStock[RM_Code],$A85,T_SelfStock[WeekIndex],34)&gt;0)*(COUNTIFS(T_TTAFStock[RM_Code],$A85,T_TTAFStock[WeekIndex],34)&gt;0)&gt;0,SUMIFS(T_SelfStock[Self_Qty],T_SelfStock[RM_Code],$A85,T_SelfStock[WeekIndex],34)+SUMIFS(T_TTAFStock[TTAF_Qty],T_TTAFStock[RM_Code],$A85,T_TTAFStock[WeekIndex],34),AH85+'Grid_Incoming'!AI85-'Grid_Requirement'!AI85))</f>
        <v/>
      </c>
      <c r="AJ85">
        <f>IF(COUNTIFS(T_StockCount[RM_Code],$A85,T_StockCount[WeekIndex],35)&gt;0,SUMIFS(T_StockCount[CountedQty],T_StockCount[RM_Code],$A85,T_StockCount[WeekIndex],35),IF((COUNTIFS(T_SelfStock[RM_Code],$A85,T_SelfStock[WeekIndex],35)&gt;0)*(COUNTIFS(T_TTAFStock[RM_Code],$A85,T_TTAFStock[WeekIndex],35)&gt;0)&gt;0,SUMIFS(T_SelfStock[Self_Qty],T_SelfStock[RM_Code],$A85,T_SelfStock[WeekIndex],35)+SUMIFS(T_TTAFStock[TTAF_Qty],T_TTAFStock[RM_Code],$A85,T_TTAFStock[WeekIndex],35),AI85+'Grid_Incoming'!AJ85-'Grid_Requirement'!AJ85))</f>
        <v/>
      </c>
      <c r="AK85">
        <f>IF(COUNTIFS(T_StockCount[RM_Code],$A85,T_StockCount[WeekIndex],36)&gt;0,SUMIFS(T_StockCount[CountedQty],T_StockCount[RM_Code],$A85,T_StockCount[WeekIndex],36),IF((COUNTIFS(T_SelfStock[RM_Code],$A85,T_SelfStock[WeekIndex],36)&gt;0)*(COUNTIFS(T_TTAFStock[RM_Code],$A85,T_TTAFStock[WeekIndex],36)&gt;0)&gt;0,SUMIFS(T_SelfStock[Self_Qty],T_SelfStock[RM_Code],$A85,T_SelfStock[WeekIndex],36)+SUMIFS(T_TTAFStock[TTAF_Qty],T_TTAFStock[RM_Code],$A85,T_TTAFStock[WeekIndex],36),AJ85+'Grid_Incoming'!AK85-'Grid_Requirement'!AK85))</f>
        <v/>
      </c>
      <c r="AL85">
        <f>IF(COUNTIFS(T_StockCount[RM_Code],$A85,T_StockCount[WeekIndex],37)&gt;0,SUMIFS(T_StockCount[CountedQty],T_StockCount[RM_Code],$A85,T_StockCount[WeekIndex],37),IF((COUNTIFS(T_SelfStock[RM_Code],$A85,T_SelfStock[WeekIndex],37)&gt;0)*(COUNTIFS(T_TTAFStock[RM_Code],$A85,T_TTAFStock[WeekIndex],37)&gt;0)&gt;0,SUMIFS(T_SelfStock[Self_Qty],T_SelfStock[RM_Code],$A85,T_SelfStock[WeekIndex],37)+SUMIFS(T_TTAFStock[TTAF_Qty],T_TTAFStock[RM_Code],$A85,T_TTAFStock[WeekIndex],37),AK85+'Grid_Incoming'!AL85-'Grid_Requirement'!AL85))</f>
        <v/>
      </c>
      <c r="AM85">
        <f>IF(COUNTIFS(T_StockCount[RM_Code],$A85,T_StockCount[WeekIndex],38)&gt;0,SUMIFS(T_StockCount[CountedQty],T_StockCount[RM_Code],$A85,T_StockCount[WeekIndex],38),IF((COUNTIFS(T_SelfStock[RM_Code],$A85,T_SelfStock[WeekIndex],38)&gt;0)*(COUNTIFS(T_TTAFStock[RM_Code],$A85,T_TTAFStock[WeekIndex],38)&gt;0)&gt;0,SUMIFS(T_SelfStock[Self_Qty],T_SelfStock[RM_Code],$A85,T_SelfStock[WeekIndex],38)+SUMIFS(T_TTAFStock[TTAF_Qty],T_TTAFStock[RM_Code],$A85,T_TTAFStock[WeekIndex],38),AL85+'Grid_Incoming'!AM85-'Grid_Requirement'!AM85))</f>
        <v/>
      </c>
      <c r="AN85">
        <f>IF(COUNTIFS(T_StockCount[RM_Code],$A85,T_StockCount[WeekIndex],39)&gt;0,SUMIFS(T_StockCount[CountedQty],T_StockCount[RM_Code],$A85,T_StockCount[WeekIndex],39),IF((COUNTIFS(T_SelfStock[RM_Code],$A85,T_SelfStock[WeekIndex],39)&gt;0)*(COUNTIFS(T_TTAFStock[RM_Code],$A85,T_TTAFStock[WeekIndex],39)&gt;0)&gt;0,SUMIFS(T_SelfStock[Self_Qty],T_SelfStock[RM_Code],$A85,T_SelfStock[WeekIndex],39)+SUMIFS(T_TTAFStock[TTAF_Qty],T_TTAFStock[RM_Code],$A85,T_TTAFStock[WeekIndex],39),AM85+'Grid_Incoming'!AN85-'Grid_Requirement'!AN85))</f>
        <v/>
      </c>
      <c r="AO85">
        <f>IF(COUNTIFS(T_StockCount[RM_Code],$A85,T_StockCount[WeekIndex],40)&gt;0,SUMIFS(T_StockCount[CountedQty],T_StockCount[RM_Code],$A85,T_StockCount[WeekIndex],40),IF((COUNTIFS(T_SelfStock[RM_Code],$A85,T_SelfStock[WeekIndex],40)&gt;0)*(COUNTIFS(T_TTAFStock[RM_Code],$A85,T_TTAFStock[WeekIndex],40)&gt;0)&gt;0,SUMIFS(T_SelfStock[Self_Qty],T_SelfStock[RM_Code],$A85,T_SelfStock[WeekIndex],40)+SUMIFS(T_TTAFStock[TTAF_Qty],T_TTAFStock[RM_Code],$A85,T_TTAFStock[WeekIndex],40),AN85+'Grid_Incoming'!AO85-'Grid_Requirement'!AO85))</f>
        <v/>
      </c>
      <c r="AP85">
        <f>IF(COUNTIFS(T_StockCount[RM_Code],$A85,T_StockCount[WeekIndex],41)&gt;0,SUMIFS(T_StockCount[CountedQty],T_StockCount[RM_Code],$A85,T_StockCount[WeekIndex],41),IF((COUNTIFS(T_SelfStock[RM_Code],$A85,T_SelfStock[WeekIndex],41)&gt;0)*(COUNTIFS(T_TTAFStock[RM_Code],$A85,T_TTAFStock[WeekIndex],41)&gt;0)&gt;0,SUMIFS(T_SelfStock[Self_Qty],T_SelfStock[RM_Code],$A85,T_SelfStock[WeekIndex],41)+SUMIFS(T_TTAFStock[TTAF_Qty],T_TTAFStock[RM_Code],$A85,T_TTAFStock[WeekIndex],41),AO85+'Grid_Incoming'!AP85-'Grid_Requirement'!AP85))</f>
        <v/>
      </c>
      <c r="AQ85">
        <f>IF(COUNTIFS(T_StockCount[RM_Code],$A85,T_StockCount[WeekIndex],42)&gt;0,SUMIFS(T_StockCount[CountedQty],T_StockCount[RM_Code],$A85,T_StockCount[WeekIndex],42),IF((COUNTIFS(T_SelfStock[RM_Code],$A85,T_SelfStock[WeekIndex],42)&gt;0)*(COUNTIFS(T_TTAFStock[RM_Code],$A85,T_TTAFStock[WeekIndex],42)&gt;0)&gt;0,SUMIFS(T_SelfStock[Self_Qty],T_SelfStock[RM_Code],$A85,T_SelfStock[WeekIndex],42)+SUMIFS(T_TTAFStock[TTAF_Qty],T_TTAFStock[RM_Code],$A85,T_TTAFStock[WeekIndex],42),AP85+'Grid_Incoming'!AQ85-'Grid_Requirement'!AQ85))</f>
        <v/>
      </c>
      <c r="AR85">
        <f>IF(COUNTIFS(T_StockCount[RM_Code],$A85,T_StockCount[WeekIndex],43)&gt;0,SUMIFS(T_StockCount[CountedQty],T_StockCount[RM_Code],$A85,T_StockCount[WeekIndex],43),IF((COUNTIFS(T_SelfStock[RM_Code],$A85,T_SelfStock[WeekIndex],43)&gt;0)*(COUNTIFS(T_TTAFStock[RM_Code],$A85,T_TTAFStock[WeekIndex],43)&gt;0)&gt;0,SUMIFS(T_SelfStock[Self_Qty],T_SelfStock[RM_Code],$A85,T_SelfStock[WeekIndex],43)+SUMIFS(T_TTAFStock[TTAF_Qty],T_TTAFStock[RM_Code],$A85,T_TTAFStock[WeekIndex],43),AQ85+'Grid_Incoming'!AR85-'Grid_Requirement'!AR85))</f>
        <v/>
      </c>
      <c r="AS85">
        <f>IF(COUNTIFS(T_StockCount[RM_Code],$A85,T_StockCount[WeekIndex],44)&gt;0,SUMIFS(T_StockCount[CountedQty],T_StockCount[RM_Code],$A85,T_StockCount[WeekIndex],44),IF((COUNTIFS(T_SelfStock[RM_Code],$A85,T_SelfStock[WeekIndex],44)&gt;0)*(COUNTIFS(T_TTAFStock[RM_Code],$A85,T_TTAFStock[WeekIndex],44)&gt;0)&gt;0,SUMIFS(T_SelfStock[Self_Qty],T_SelfStock[RM_Code],$A85,T_SelfStock[WeekIndex],44)+SUMIFS(T_TTAFStock[TTAF_Qty],T_TTAFStock[RM_Code],$A85,T_TTAFStock[WeekIndex],44),AR85+'Grid_Incoming'!AS85-'Grid_Requirement'!AS85))</f>
        <v/>
      </c>
      <c r="AT85">
        <f>IF(COUNTIFS(T_StockCount[RM_Code],$A85,T_StockCount[WeekIndex],45)&gt;0,SUMIFS(T_StockCount[CountedQty],T_StockCount[RM_Code],$A85,T_StockCount[WeekIndex],45),IF((COUNTIFS(T_SelfStock[RM_Code],$A85,T_SelfStock[WeekIndex],45)&gt;0)*(COUNTIFS(T_TTAFStock[RM_Code],$A85,T_TTAFStock[WeekIndex],45)&gt;0)&gt;0,SUMIFS(T_SelfStock[Self_Qty],T_SelfStock[RM_Code],$A85,T_SelfStock[WeekIndex],45)+SUMIFS(T_TTAFStock[TTAF_Qty],T_TTAFStock[RM_Code],$A85,T_TTAFStock[WeekIndex],45),AS85+'Grid_Incoming'!AT85-'Grid_Requirement'!AT85))</f>
        <v/>
      </c>
      <c r="AU85">
        <f>IF(COUNTIFS(T_StockCount[RM_Code],$A85,T_StockCount[WeekIndex],46)&gt;0,SUMIFS(T_StockCount[CountedQty],T_StockCount[RM_Code],$A85,T_StockCount[WeekIndex],46),IF((COUNTIFS(T_SelfStock[RM_Code],$A85,T_SelfStock[WeekIndex],46)&gt;0)*(COUNTIFS(T_TTAFStock[RM_Code],$A85,T_TTAFStock[WeekIndex],46)&gt;0)&gt;0,SUMIFS(T_SelfStock[Self_Qty],T_SelfStock[RM_Code],$A85,T_SelfStock[WeekIndex],46)+SUMIFS(T_TTAFStock[TTAF_Qty],T_TTAFStock[RM_Code],$A85,T_TTAFStock[WeekIndex],46),AT85+'Grid_Incoming'!AU85-'Grid_Requirement'!AU85))</f>
        <v/>
      </c>
      <c r="AV85">
        <f>IF(COUNTIFS(T_StockCount[RM_Code],$A85,T_StockCount[WeekIndex],47)&gt;0,SUMIFS(T_StockCount[CountedQty],T_StockCount[RM_Code],$A85,T_StockCount[WeekIndex],47),IF((COUNTIFS(T_SelfStock[RM_Code],$A85,T_SelfStock[WeekIndex],47)&gt;0)*(COUNTIFS(T_TTAFStock[RM_Code],$A85,T_TTAFStock[WeekIndex],47)&gt;0)&gt;0,SUMIFS(T_SelfStock[Self_Qty],T_SelfStock[RM_Code],$A85,T_SelfStock[WeekIndex],47)+SUMIFS(T_TTAFStock[TTAF_Qty],T_TTAFStock[RM_Code],$A85,T_TTAFStock[WeekIndex],47),AU85+'Grid_Incoming'!AV85-'Grid_Requirement'!AV85))</f>
        <v/>
      </c>
      <c r="AW85">
        <f>IF(COUNTIFS(T_StockCount[RM_Code],$A85,T_StockCount[WeekIndex],48)&gt;0,SUMIFS(T_StockCount[CountedQty],T_StockCount[RM_Code],$A85,T_StockCount[WeekIndex],48),IF((COUNTIFS(T_SelfStock[RM_Code],$A85,T_SelfStock[WeekIndex],48)&gt;0)*(COUNTIFS(T_TTAFStock[RM_Code],$A85,T_TTAFStock[WeekIndex],48)&gt;0)&gt;0,SUMIFS(T_SelfStock[Self_Qty],T_SelfStock[RM_Code],$A85,T_SelfStock[WeekIndex],48)+SUMIFS(T_TTAFStock[TTAF_Qty],T_TTAFStock[RM_Code],$A85,T_TTAFStock[WeekIndex],48),AV85+'Grid_Incoming'!AW85-'Grid_Requirement'!AW85))</f>
        <v/>
      </c>
      <c r="AX85">
        <f>IF(COUNTIFS(T_StockCount[RM_Code],$A85,T_StockCount[WeekIndex],49)&gt;0,SUMIFS(T_StockCount[CountedQty],T_StockCount[RM_Code],$A85,T_StockCount[WeekIndex],49),IF((COUNTIFS(T_SelfStock[RM_Code],$A85,T_SelfStock[WeekIndex],49)&gt;0)*(COUNTIFS(T_TTAFStock[RM_Code],$A85,T_TTAFStock[WeekIndex],49)&gt;0)&gt;0,SUMIFS(T_SelfStock[Self_Qty],T_SelfStock[RM_Code],$A85,T_SelfStock[WeekIndex],49)+SUMIFS(T_TTAFStock[TTAF_Qty],T_TTAFStock[RM_Code],$A85,T_TTAFStock[WeekIndex],49),AW85+'Grid_Incoming'!AX85-'Grid_Requirement'!AX85))</f>
        <v/>
      </c>
      <c r="AY85">
        <f>IF(COUNTIFS(T_StockCount[RM_Code],$A85,T_StockCount[WeekIndex],50)&gt;0,SUMIFS(T_StockCount[CountedQty],T_StockCount[RM_Code],$A85,T_StockCount[WeekIndex],50),IF((COUNTIFS(T_SelfStock[RM_Code],$A85,T_SelfStock[WeekIndex],50)&gt;0)*(COUNTIFS(T_TTAFStock[RM_Code],$A85,T_TTAFStock[WeekIndex],50)&gt;0)&gt;0,SUMIFS(T_SelfStock[Self_Qty],T_SelfStock[RM_Code],$A85,T_SelfStock[WeekIndex],50)+SUMIFS(T_TTAFStock[TTAF_Qty],T_TTAFStock[RM_Code],$A85,T_TTAFStock[WeekIndex],50),AX85+'Grid_Incoming'!AY85-'Grid_Requirement'!AY85))</f>
        <v/>
      </c>
      <c r="AZ85">
        <f>IF(COUNTIFS(T_StockCount[RM_Code],$A85,T_StockCount[WeekIndex],51)&gt;0,SUMIFS(T_StockCount[CountedQty],T_StockCount[RM_Code],$A85,T_StockCount[WeekIndex],51),IF((COUNTIFS(T_SelfStock[RM_Code],$A85,T_SelfStock[WeekIndex],51)&gt;0)*(COUNTIFS(T_TTAFStock[RM_Code],$A85,T_TTAFStock[WeekIndex],51)&gt;0)&gt;0,SUMIFS(T_SelfStock[Self_Qty],T_SelfStock[RM_Code],$A85,T_SelfStock[WeekIndex],51)+SUMIFS(T_TTAFStock[TTAF_Qty],T_TTAFStock[RM_Code],$A85,T_TTAFStock[WeekIndex],51),AY85+'Grid_Incoming'!AZ85-'Grid_Requirement'!AZ85))</f>
        <v/>
      </c>
      <c r="BA85">
        <f>IF(COUNTIFS(T_StockCount[RM_Code],$A85,T_StockCount[WeekIndex],52)&gt;0,SUMIFS(T_StockCount[CountedQty],T_StockCount[RM_Code],$A85,T_StockCount[WeekIndex],52),IF((COUNTIFS(T_SelfStock[RM_Code],$A85,T_SelfStock[WeekIndex],52)&gt;0)*(COUNTIFS(T_TTAFStock[RM_Code],$A85,T_TTAFStock[WeekIndex],52)&gt;0)&gt;0,SUMIFS(T_SelfStock[Self_Qty],T_SelfStock[RM_Code],$A85,T_SelfStock[WeekIndex],52)+SUMIFS(T_TTAFStock[TTAF_Qty],T_TTAFStock[RM_Code],$A85,T_TTAFStock[WeekIndex],52),AZ85+'Grid_Incoming'!BA85-'Grid_Requirement'!BA85))</f>
        <v/>
      </c>
      <c r="BB85">
        <f>IF(COUNTIFS(T_StockCount[RM_Code],$A85,T_StockCount[WeekIndex],53)&gt;0,SUMIFS(T_StockCount[CountedQty],T_StockCount[RM_Code],$A85,T_StockCount[WeekIndex],53),IF((COUNTIFS(T_SelfStock[RM_Code],$A85,T_SelfStock[WeekIndex],53)&gt;0)*(COUNTIFS(T_TTAFStock[RM_Code],$A85,T_TTAFStock[WeekIndex],53)&gt;0)&gt;0,SUMIFS(T_SelfStock[Self_Qty],T_SelfStock[RM_Code],$A85,T_SelfStock[WeekIndex],53)+SUMIFS(T_TTAFStock[TTAF_Qty],T_TTAFStock[RM_Code],$A85,T_TTAFStock[WeekIndex],53),BA85+'Grid_Incoming'!BB85-'Grid_Requirement'!BB85))</f>
        <v/>
      </c>
      <c r="BC85">
        <f>IF(COUNTIFS(T_StockCount[RM_Code],$A85,T_StockCount[WeekIndex],54)&gt;0,SUMIFS(T_StockCount[CountedQty],T_StockCount[RM_Code],$A85,T_StockCount[WeekIndex],54),IF((COUNTIFS(T_SelfStock[RM_Code],$A85,T_SelfStock[WeekIndex],54)&gt;0)*(COUNTIFS(T_TTAFStock[RM_Code],$A85,T_TTAFStock[WeekIndex],54)&gt;0)&gt;0,SUMIFS(T_SelfStock[Self_Qty],T_SelfStock[RM_Code],$A85,T_SelfStock[WeekIndex],54)+SUMIFS(T_TTAFStock[TTAF_Qty],T_TTAFStock[RM_Code],$A85,T_TTAFStock[WeekIndex],54),BB85+'Grid_Incoming'!BC85-'Grid_Requirement'!BC85))</f>
        <v/>
      </c>
      <c r="BD85">
        <f>IF(COUNTIFS(T_StockCount[RM_Code],$A85,T_StockCount[WeekIndex],55)&gt;0,SUMIFS(T_StockCount[CountedQty],T_StockCount[RM_Code],$A85,T_StockCount[WeekIndex],55),IF((COUNTIFS(T_SelfStock[RM_Code],$A85,T_SelfStock[WeekIndex],55)&gt;0)*(COUNTIFS(T_TTAFStock[RM_Code],$A85,T_TTAFStock[WeekIndex],55)&gt;0)&gt;0,SUMIFS(T_SelfStock[Self_Qty],T_SelfStock[RM_Code],$A85,T_SelfStock[WeekIndex],55)+SUMIFS(T_TTAFStock[TTAF_Qty],T_TTAFStock[RM_Code],$A85,T_TTAFStock[WeekIndex],55),BC85+'Grid_Incoming'!BD85-'Grid_Requirement'!BD85))</f>
        <v/>
      </c>
      <c r="BE85">
        <f>IF(COUNTIFS(T_StockCount[RM_Code],$A85,T_StockCount[WeekIndex],56)&gt;0,SUMIFS(T_StockCount[CountedQty],T_StockCount[RM_Code],$A85,T_StockCount[WeekIndex],56),IF((COUNTIFS(T_SelfStock[RM_Code],$A85,T_SelfStock[WeekIndex],56)&gt;0)*(COUNTIFS(T_TTAFStock[RM_Code],$A85,T_TTAFStock[WeekIndex],56)&gt;0)&gt;0,SUMIFS(T_SelfStock[Self_Qty],T_SelfStock[RM_Code],$A85,T_SelfStock[WeekIndex],56)+SUMIFS(T_TTAFStock[TTAF_Qty],T_TTAFStock[RM_Code],$A85,T_TTAFStock[WeekIndex],56),BD85+'Grid_Incoming'!BE85-'Grid_Requirement'!BE85))</f>
        <v/>
      </c>
      <c r="BF85">
        <f>IF(COUNTIFS(T_StockCount[RM_Code],$A85,T_StockCount[WeekIndex],57)&gt;0,SUMIFS(T_StockCount[CountedQty],T_StockCount[RM_Code],$A85,T_StockCount[WeekIndex],57),IF((COUNTIFS(T_SelfStock[RM_Code],$A85,T_SelfStock[WeekIndex],57)&gt;0)*(COUNTIFS(T_TTAFStock[RM_Code],$A85,T_TTAFStock[WeekIndex],57)&gt;0)&gt;0,SUMIFS(T_SelfStock[Self_Qty],T_SelfStock[RM_Code],$A85,T_SelfStock[WeekIndex],57)+SUMIFS(T_TTAFStock[TTAF_Qty],T_TTAFStock[RM_Code],$A85,T_TTAFStock[WeekIndex],57),BE85+'Grid_Incoming'!BF85-'Grid_Requirement'!BF85))</f>
        <v/>
      </c>
      <c r="BG85">
        <f>IF(COUNTIFS(T_StockCount[RM_Code],$A85,T_StockCount[WeekIndex],58)&gt;0,SUMIFS(T_StockCount[CountedQty],T_StockCount[RM_Code],$A85,T_StockCount[WeekIndex],58),IF((COUNTIFS(T_SelfStock[RM_Code],$A85,T_SelfStock[WeekIndex],58)&gt;0)*(COUNTIFS(T_TTAFStock[RM_Code],$A85,T_TTAFStock[WeekIndex],58)&gt;0)&gt;0,SUMIFS(T_SelfStock[Self_Qty],T_SelfStock[RM_Code],$A85,T_SelfStock[WeekIndex],58)+SUMIFS(T_TTAFStock[TTAF_Qty],T_TTAFStock[RM_Code],$A85,T_TTAFStock[WeekIndex],58),BF85+'Grid_Incoming'!BG85-'Grid_Requirement'!BG85))</f>
        <v/>
      </c>
      <c r="BH85">
        <f>IF(COUNTIFS(T_StockCount[RM_Code],$A85,T_StockCount[WeekIndex],59)&gt;0,SUMIFS(T_StockCount[CountedQty],T_StockCount[RM_Code],$A85,T_StockCount[WeekIndex],59),IF((COUNTIFS(T_SelfStock[RM_Code],$A85,T_SelfStock[WeekIndex],59)&gt;0)*(COUNTIFS(T_TTAFStock[RM_Code],$A85,T_TTAFStock[WeekIndex],59)&gt;0)&gt;0,SUMIFS(T_SelfStock[Self_Qty],T_SelfStock[RM_Code],$A85,T_SelfStock[WeekIndex],59)+SUMIFS(T_TTAFStock[TTAF_Qty],T_TTAFStock[RM_Code],$A85,T_TTAFStock[WeekIndex],59),BG85+'Grid_Incoming'!BH85-'Grid_Requirement'!BH85))</f>
        <v/>
      </c>
      <c r="BI85">
        <f>IF(COUNTIFS(T_StockCount[RM_Code],$A85,T_StockCount[WeekIndex],60)&gt;0,SUMIFS(T_StockCount[CountedQty],T_StockCount[RM_Code],$A85,T_StockCount[WeekIndex],60),IF((COUNTIFS(T_SelfStock[RM_Code],$A85,T_SelfStock[WeekIndex],60)&gt;0)*(COUNTIFS(T_TTAFStock[RM_Code],$A85,T_TTAFStock[WeekIndex],60)&gt;0)&gt;0,SUMIFS(T_SelfStock[Self_Qty],T_SelfStock[RM_Code],$A85,T_SelfStock[WeekIndex],60)+SUMIFS(T_TTAFStock[TTAF_Qty],T_TTAFStock[RM_Code],$A85,T_TTAFStock[WeekIndex],60),BH85+'Grid_Incoming'!BI85-'Grid_Requirement'!BI85))</f>
        <v/>
      </c>
      <c r="BJ85">
        <f>IF(COUNTIFS(T_StockCount[RM_Code],$A85,T_StockCount[WeekIndex],61)&gt;0,SUMIFS(T_StockCount[CountedQty],T_StockCount[RM_Code],$A85,T_StockCount[WeekIndex],61),IF((COUNTIFS(T_SelfStock[RM_Code],$A85,T_SelfStock[WeekIndex],61)&gt;0)*(COUNTIFS(T_TTAFStock[RM_Code],$A85,T_TTAFStock[WeekIndex],61)&gt;0)&gt;0,SUMIFS(T_SelfStock[Self_Qty],T_SelfStock[RM_Code],$A85,T_SelfStock[WeekIndex],61)+SUMIFS(T_TTAFStock[TTAF_Qty],T_TTAFStock[RM_Code],$A85,T_TTAFStock[WeekIndex],61),BI85+'Grid_Incoming'!BJ85-'Grid_Requirement'!BJ85))</f>
        <v/>
      </c>
      <c r="BK85">
        <f>IF(COUNTIFS(T_StockCount[RM_Code],$A85,T_StockCount[WeekIndex],62)&gt;0,SUMIFS(T_StockCount[CountedQty],T_StockCount[RM_Code],$A85,T_StockCount[WeekIndex],62),IF((COUNTIFS(T_SelfStock[RM_Code],$A85,T_SelfStock[WeekIndex],62)&gt;0)*(COUNTIFS(T_TTAFStock[RM_Code],$A85,T_TTAFStock[WeekIndex],62)&gt;0)&gt;0,SUMIFS(T_SelfStock[Self_Qty],T_SelfStock[RM_Code],$A85,T_SelfStock[WeekIndex],62)+SUMIFS(T_TTAFStock[TTAF_Qty],T_TTAFStock[RM_Code],$A85,T_TTAFStock[WeekIndex],62),BJ85+'Grid_Incoming'!BK85-'Grid_Requirement'!BK85))</f>
        <v/>
      </c>
      <c r="BL85">
        <f>IF(COUNTIFS(T_StockCount[RM_Code],$A85,T_StockCount[WeekIndex],63)&gt;0,SUMIFS(T_StockCount[CountedQty],T_StockCount[RM_Code],$A85,T_StockCount[WeekIndex],63),IF((COUNTIFS(T_SelfStock[RM_Code],$A85,T_SelfStock[WeekIndex],63)&gt;0)*(COUNTIFS(T_TTAFStock[RM_Code],$A85,T_TTAFStock[WeekIndex],63)&gt;0)&gt;0,SUMIFS(T_SelfStock[Self_Qty],T_SelfStock[RM_Code],$A85,T_SelfStock[WeekIndex],63)+SUMIFS(T_TTAFStock[TTAF_Qty],T_TTAFStock[RM_Code],$A85,T_TTAFStock[WeekIndex],63),BK85+'Grid_Incoming'!BL85-'Grid_Requirement'!BL85))</f>
        <v/>
      </c>
      <c r="BM85">
        <f>IF(COUNTIFS(T_StockCount[RM_Code],$A85,T_StockCount[WeekIndex],64)&gt;0,SUMIFS(T_StockCount[CountedQty],T_StockCount[RM_Code],$A85,T_StockCount[WeekIndex],64),IF((COUNTIFS(T_SelfStock[RM_Code],$A85,T_SelfStock[WeekIndex],64)&gt;0)*(COUNTIFS(T_TTAFStock[RM_Code],$A85,T_TTAFStock[WeekIndex],64)&gt;0)&gt;0,SUMIFS(T_SelfStock[Self_Qty],T_SelfStock[RM_Code],$A85,T_SelfStock[WeekIndex],64)+SUMIFS(T_TTAFStock[TTAF_Qty],T_TTAFStock[RM_Code],$A85,T_TTAFStock[WeekIndex],64),BL85+'Grid_Incoming'!BM85-'Grid_Requirement'!BM85))</f>
        <v/>
      </c>
      <c r="BN85">
        <f>IF(COUNTIFS(T_StockCount[RM_Code],$A85,T_StockCount[WeekIndex],65)&gt;0,SUMIFS(T_StockCount[CountedQty],T_StockCount[RM_Code],$A85,T_StockCount[WeekIndex],65),IF((COUNTIFS(T_SelfStock[RM_Code],$A85,T_SelfStock[WeekIndex],65)&gt;0)*(COUNTIFS(T_TTAFStock[RM_Code],$A85,T_TTAFStock[WeekIndex],65)&gt;0)&gt;0,SUMIFS(T_SelfStock[Self_Qty],T_SelfStock[RM_Code],$A85,T_SelfStock[WeekIndex],65)+SUMIFS(T_TTAFStock[TTAF_Qty],T_TTAFStock[RM_Code],$A85,T_TTAFStock[WeekIndex],65),BM85+'Grid_Incoming'!BN85-'Grid_Requirement'!BN85))</f>
        <v/>
      </c>
      <c r="BO85">
        <f>IF(COUNTIFS(T_StockCount[RM_Code],$A85,T_StockCount[WeekIndex],66)&gt;0,SUMIFS(T_StockCount[CountedQty],T_StockCount[RM_Code],$A85,T_StockCount[WeekIndex],66),IF((COUNTIFS(T_SelfStock[RM_Code],$A85,T_SelfStock[WeekIndex],66)&gt;0)*(COUNTIFS(T_TTAFStock[RM_Code],$A85,T_TTAFStock[WeekIndex],66)&gt;0)&gt;0,SUMIFS(T_SelfStock[Self_Qty],T_SelfStock[RM_Code],$A85,T_SelfStock[WeekIndex],66)+SUMIFS(T_TTAFStock[TTAF_Qty],T_TTAFStock[RM_Code],$A85,T_TTAFStock[WeekIndex],66),BN85+'Grid_Incoming'!BO85-'Grid_Requirement'!BO85))</f>
        <v/>
      </c>
      <c r="BP85">
        <f>IF(COUNTIFS(T_StockCount[RM_Code],$A85,T_StockCount[WeekIndex],67)&gt;0,SUMIFS(T_StockCount[CountedQty],T_StockCount[RM_Code],$A85,T_StockCount[WeekIndex],67),IF((COUNTIFS(T_SelfStock[RM_Code],$A85,T_SelfStock[WeekIndex],67)&gt;0)*(COUNTIFS(T_TTAFStock[RM_Code],$A85,T_TTAFStock[WeekIndex],67)&gt;0)&gt;0,SUMIFS(T_SelfStock[Self_Qty],T_SelfStock[RM_Code],$A85,T_SelfStock[WeekIndex],67)+SUMIFS(T_TTAFStock[TTAF_Qty],T_TTAFStock[RM_Code],$A85,T_TTAFStock[WeekIndex],67),BO85+'Grid_Incoming'!BP85-'Grid_Requirement'!BP85))</f>
        <v/>
      </c>
      <c r="BQ85">
        <f>IF(COUNTIFS(T_StockCount[RM_Code],$A85,T_StockCount[WeekIndex],68)&gt;0,SUMIFS(T_StockCount[CountedQty],T_StockCount[RM_Code],$A85,T_StockCount[WeekIndex],68),IF((COUNTIFS(T_SelfStock[RM_Code],$A85,T_SelfStock[WeekIndex],68)&gt;0)*(COUNTIFS(T_TTAFStock[RM_Code],$A85,T_TTAFStock[WeekIndex],68)&gt;0)&gt;0,SUMIFS(T_SelfStock[Self_Qty],T_SelfStock[RM_Code],$A85,T_SelfStock[WeekIndex],68)+SUMIFS(T_TTAFStock[TTAF_Qty],T_TTAFStock[RM_Code],$A85,T_TTAFStock[WeekIndex],68),BP85+'Grid_Incoming'!BQ85-'Grid_Requirement'!BQ85))</f>
        <v/>
      </c>
      <c r="BR85">
        <f>IF(COUNTIFS(T_StockCount[RM_Code],$A85,T_StockCount[WeekIndex],69)&gt;0,SUMIFS(T_StockCount[CountedQty],T_StockCount[RM_Code],$A85,T_StockCount[WeekIndex],69),IF((COUNTIFS(T_SelfStock[RM_Code],$A85,T_SelfStock[WeekIndex],69)&gt;0)*(COUNTIFS(T_TTAFStock[RM_Code],$A85,T_TTAFStock[WeekIndex],69)&gt;0)&gt;0,SUMIFS(T_SelfStock[Self_Qty],T_SelfStock[RM_Code],$A85,T_SelfStock[WeekIndex],69)+SUMIFS(T_TTAFStock[TTAF_Qty],T_TTAFStock[RM_Code],$A85,T_TTAFStock[WeekIndex],69),BQ85+'Grid_Incoming'!BR85-'Grid_Requirement'!BR85))</f>
        <v/>
      </c>
      <c r="BS85">
        <f>IF(COUNTIFS(T_StockCount[RM_Code],$A85,T_StockCount[WeekIndex],70)&gt;0,SUMIFS(T_StockCount[CountedQty],T_StockCount[RM_Code],$A85,T_StockCount[WeekIndex],70),IF((COUNTIFS(T_SelfStock[RM_Code],$A85,T_SelfStock[WeekIndex],70)&gt;0)*(COUNTIFS(T_TTAFStock[RM_Code],$A85,T_TTAFStock[WeekIndex],70)&gt;0)&gt;0,SUMIFS(T_SelfStock[Self_Qty],T_SelfStock[RM_Code],$A85,T_SelfStock[WeekIndex],70)+SUMIFS(T_TTAFStock[TTAF_Qty],T_TTAFStock[RM_Code],$A85,T_TTAFStock[WeekIndex],70),BR85+'Grid_Incoming'!BS85-'Grid_Requirement'!BS85))</f>
        <v/>
      </c>
      <c r="BT85">
        <f>IF(COUNTIFS(T_StockCount[RM_Code],$A85,T_StockCount[WeekIndex],71)&gt;0,SUMIFS(T_StockCount[CountedQty],T_StockCount[RM_Code],$A85,T_StockCount[WeekIndex],71),IF((COUNTIFS(T_SelfStock[RM_Code],$A85,T_SelfStock[WeekIndex],71)&gt;0)*(COUNTIFS(T_TTAFStock[RM_Code],$A85,T_TTAFStock[WeekIndex],71)&gt;0)&gt;0,SUMIFS(T_SelfStock[Self_Qty],T_SelfStock[RM_Code],$A85,T_SelfStock[WeekIndex],71)+SUMIFS(T_TTAFStock[TTAF_Qty],T_TTAFStock[RM_Code],$A85,T_TTAFStock[WeekIndex],71),BS85+'Grid_Incoming'!BT85-'Grid_Requirement'!BT85))</f>
        <v/>
      </c>
      <c r="BU85">
        <f>IF(COUNTIFS(T_StockCount[RM_Code],$A85,T_StockCount[WeekIndex],72)&gt;0,SUMIFS(T_StockCount[CountedQty],T_StockCount[RM_Code],$A85,T_StockCount[WeekIndex],72),IF((COUNTIFS(T_SelfStock[RM_Code],$A85,T_SelfStock[WeekIndex],72)&gt;0)*(COUNTIFS(T_TTAFStock[RM_Code],$A85,T_TTAFStock[WeekIndex],72)&gt;0)&gt;0,SUMIFS(T_SelfStock[Self_Qty],T_SelfStock[RM_Code],$A85,T_SelfStock[WeekIndex],72)+SUMIFS(T_TTAFStock[TTAF_Qty],T_TTAFStock[RM_Code],$A85,T_TTAFStock[WeekIndex],72),BT85+'Grid_Incoming'!BU85-'Grid_Requirement'!BU85))</f>
        <v/>
      </c>
      <c r="BV85">
        <f>IF(COUNTIFS(T_StockCount[RM_Code],$A85,T_StockCount[WeekIndex],73)&gt;0,SUMIFS(T_StockCount[CountedQty],T_StockCount[RM_Code],$A85,T_StockCount[WeekIndex],73),IF((COUNTIFS(T_SelfStock[RM_Code],$A85,T_SelfStock[WeekIndex],73)&gt;0)*(COUNTIFS(T_TTAFStock[RM_Code],$A85,T_TTAFStock[WeekIndex],73)&gt;0)&gt;0,SUMIFS(T_SelfStock[Self_Qty],T_SelfStock[RM_Code],$A85,T_SelfStock[WeekIndex],73)+SUMIFS(T_TTAFStock[TTAF_Qty],T_TTAFStock[RM_Code],$A85,T_TTAFStock[WeekIndex],73),BU85+'Grid_Incoming'!BV85-'Grid_Requirement'!BV85))</f>
        <v/>
      </c>
      <c r="BW85">
        <f>IF(COUNTIFS(T_StockCount[RM_Code],$A85,T_StockCount[WeekIndex],74)&gt;0,SUMIFS(T_StockCount[CountedQty],T_StockCount[RM_Code],$A85,T_StockCount[WeekIndex],74),IF((COUNTIFS(T_SelfStock[RM_Code],$A85,T_SelfStock[WeekIndex],74)&gt;0)*(COUNTIFS(T_TTAFStock[RM_Code],$A85,T_TTAFStock[WeekIndex],74)&gt;0)&gt;0,SUMIFS(T_SelfStock[Self_Qty],T_SelfStock[RM_Code],$A85,T_SelfStock[WeekIndex],74)+SUMIFS(T_TTAFStock[TTAF_Qty],T_TTAFStock[RM_Code],$A85,T_TTAFStock[WeekIndex],74),BV85+'Grid_Incoming'!BW85-'Grid_Requirement'!BW85))</f>
        <v/>
      </c>
      <c r="BX85">
        <f>IF(COUNTIFS(T_StockCount[RM_Code],$A85,T_StockCount[WeekIndex],75)&gt;0,SUMIFS(T_StockCount[CountedQty],T_StockCount[RM_Code],$A85,T_StockCount[WeekIndex],75),IF((COUNTIFS(T_SelfStock[RM_Code],$A85,T_SelfStock[WeekIndex],75)&gt;0)*(COUNTIFS(T_TTAFStock[RM_Code],$A85,T_TTAFStock[WeekIndex],75)&gt;0)&gt;0,SUMIFS(T_SelfStock[Self_Qty],T_SelfStock[RM_Code],$A85,T_SelfStock[WeekIndex],75)+SUMIFS(T_TTAFStock[TTAF_Qty],T_TTAFStock[RM_Code],$A85,T_TTAFStock[WeekIndex],75),BW85+'Grid_Incoming'!BX85-'Grid_Requirement'!BX85))</f>
        <v/>
      </c>
      <c r="BY85">
        <f>IF(COUNTIFS(T_StockCount[RM_Code],$A85,T_StockCount[WeekIndex],76)&gt;0,SUMIFS(T_StockCount[CountedQty],T_StockCount[RM_Code],$A85,T_StockCount[WeekIndex],76),IF((COUNTIFS(T_SelfStock[RM_Code],$A85,T_SelfStock[WeekIndex],76)&gt;0)*(COUNTIFS(T_TTAFStock[RM_Code],$A85,T_TTAFStock[WeekIndex],76)&gt;0)&gt;0,SUMIFS(T_SelfStock[Self_Qty],T_SelfStock[RM_Code],$A85,T_SelfStock[WeekIndex],76)+SUMIFS(T_TTAFStock[TTAF_Qty],T_TTAFStock[RM_Code],$A85,T_TTAFStock[WeekIndex],76),BX85+'Grid_Incoming'!BY85-'Grid_Requirement'!BY85))</f>
        <v/>
      </c>
      <c r="BZ85">
        <f>IF(COUNTIFS(T_StockCount[RM_Code],$A85,T_StockCount[WeekIndex],77)&gt;0,SUMIFS(T_StockCount[CountedQty],T_StockCount[RM_Code],$A85,T_StockCount[WeekIndex],77),IF((COUNTIFS(T_SelfStock[RM_Code],$A85,T_SelfStock[WeekIndex],77)&gt;0)*(COUNTIFS(T_TTAFStock[RM_Code],$A85,T_TTAFStock[WeekIndex],77)&gt;0)&gt;0,SUMIFS(T_SelfStock[Self_Qty],T_SelfStock[RM_Code],$A85,T_SelfStock[WeekIndex],77)+SUMIFS(T_TTAFStock[TTAF_Qty],T_TTAFStock[RM_Code],$A85,T_TTAFStock[WeekIndex],77),BY85+'Grid_Incoming'!BZ85-'Grid_Requirement'!BZ85))</f>
        <v/>
      </c>
      <c r="CA85">
        <f>IF(COUNTIFS(T_StockCount[RM_Code],$A85,T_StockCount[WeekIndex],78)&gt;0,SUMIFS(T_StockCount[CountedQty],T_StockCount[RM_Code],$A85,T_StockCount[WeekIndex],78),IF((COUNTIFS(T_SelfStock[RM_Code],$A85,T_SelfStock[WeekIndex],78)&gt;0)*(COUNTIFS(T_TTAFStock[RM_Code],$A85,T_TTAFStock[WeekIndex],78)&gt;0)&gt;0,SUMIFS(T_SelfStock[Self_Qty],T_SelfStock[RM_Code],$A85,T_SelfStock[WeekIndex],78)+SUMIFS(T_TTAFStock[TTAF_Qty],T_TTAFStock[RM_Code],$A85,T_TTAFStock[WeekIndex],78),BZ85+'Grid_Incoming'!CA85-'Grid_Requirement'!CA85))</f>
        <v/>
      </c>
      <c r="CB85">
        <f>IF(COUNTIFS(T_StockCount[RM_Code],$A85,T_StockCount[WeekIndex],79)&gt;0,SUMIFS(T_StockCount[CountedQty],T_StockCount[RM_Code],$A85,T_StockCount[WeekIndex],79),IF((COUNTIFS(T_SelfStock[RM_Code],$A85,T_SelfStock[WeekIndex],79)&gt;0)*(COUNTIFS(T_TTAFStock[RM_Code],$A85,T_TTAFStock[WeekIndex],79)&gt;0)&gt;0,SUMIFS(T_SelfStock[Self_Qty],T_SelfStock[RM_Code],$A85,T_SelfStock[WeekIndex],79)+SUMIFS(T_TTAFStock[TTAF_Qty],T_TTAFStock[RM_Code],$A85,T_TTAFStock[WeekIndex],79),CA85+'Grid_Incoming'!CB85-'Grid_Requirement'!CB85))</f>
        <v/>
      </c>
      <c r="CC85">
        <f>IF(COUNTIFS(T_StockCount[RM_Code],$A85,T_StockCount[WeekIndex],80)&gt;0,SUMIFS(T_StockCount[CountedQty],T_StockCount[RM_Code],$A85,T_StockCount[WeekIndex],80),IF((COUNTIFS(T_SelfStock[RM_Code],$A85,T_SelfStock[WeekIndex],80)&gt;0)*(COUNTIFS(T_TTAFStock[RM_Code],$A85,T_TTAFStock[WeekIndex],80)&gt;0)&gt;0,SUMIFS(T_SelfStock[Self_Qty],T_SelfStock[RM_Code],$A85,T_SelfStock[WeekIndex],80)+SUMIFS(T_TTAFStock[TTAF_Qty],T_TTAFStock[RM_Code],$A85,T_TTAFStock[WeekIndex],80),CB85+'Grid_Incoming'!CC85-'Grid_Requirement'!CC85))</f>
        <v/>
      </c>
      <c r="CD85">
        <f>IF(COUNTIFS(T_StockCount[RM_Code],$A85,T_StockCount[WeekIndex],81)&gt;0,SUMIFS(T_StockCount[CountedQty],T_StockCount[RM_Code],$A85,T_StockCount[WeekIndex],81),IF((COUNTIFS(T_SelfStock[RM_Code],$A85,T_SelfStock[WeekIndex],81)&gt;0)*(COUNTIFS(T_TTAFStock[RM_Code],$A85,T_TTAFStock[WeekIndex],81)&gt;0)&gt;0,SUMIFS(T_SelfStock[Self_Qty],T_SelfStock[RM_Code],$A85,T_SelfStock[WeekIndex],81)+SUMIFS(T_TTAFStock[TTAF_Qty],T_TTAFStock[RM_Code],$A85,T_TTAFStock[WeekIndex],81),CC85+'Grid_Incoming'!CD85-'Grid_Requirement'!CD85))</f>
        <v/>
      </c>
      <c r="CE85">
        <f>IF(COUNTIFS(T_StockCount[RM_Code],$A85,T_StockCount[WeekIndex],82)&gt;0,SUMIFS(T_StockCount[CountedQty],T_StockCount[RM_Code],$A85,T_StockCount[WeekIndex],82),IF((COUNTIFS(T_SelfStock[RM_Code],$A85,T_SelfStock[WeekIndex],82)&gt;0)*(COUNTIFS(T_TTAFStock[RM_Code],$A85,T_TTAFStock[WeekIndex],82)&gt;0)&gt;0,SUMIFS(T_SelfStock[Self_Qty],T_SelfStock[RM_Code],$A85,T_SelfStock[WeekIndex],82)+SUMIFS(T_TTAFStock[TTAF_Qty],T_TTAFStock[RM_Code],$A85,T_TTAFStock[WeekIndex],82),CD85+'Grid_Incoming'!CE85-'Grid_Requirement'!CE85))</f>
        <v/>
      </c>
      <c r="CF85">
        <f>IF(COUNTIFS(T_StockCount[RM_Code],$A85,T_StockCount[WeekIndex],83)&gt;0,SUMIFS(T_StockCount[CountedQty],T_StockCount[RM_Code],$A85,T_StockCount[WeekIndex],83),IF((COUNTIFS(T_SelfStock[RM_Code],$A85,T_SelfStock[WeekIndex],83)&gt;0)*(COUNTIFS(T_TTAFStock[RM_Code],$A85,T_TTAFStock[WeekIndex],83)&gt;0)&gt;0,SUMIFS(T_SelfStock[Self_Qty],T_SelfStock[RM_Code],$A85,T_SelfStock[WeekIndex],83)+SUMIFS(T_TTAFStock[TTAF_Qty],T_TTAFStock[RM_Code],$A85,T_TTAFStock[WeekIndex],83),CE85+'Grid_Incoming'!CF85-'Grid_Requirement'!CF85))</f>
        <v/>
      </c>
      <c r="CG85">
        <f>IF(COUNTIFS(T_StockCount[RM_Code],$A85,T_StockCount[WeekIndex],84)&gt;0,SUMIFS(T_StockCount[CountedQty],T_StockCount[RM_Code],$A85,T_StockCount[WeekIndex],84),IF((COUNTIFS(T_SelfStock[RM_Code],$A85,T_SelfStock[WeekIndex],84)&gt;0)*(COUNTIFS(T_TTAFStock[RM_Code],$A85,T_TTAFStock[WeekIndex],84)&gt;0)&gt;0,SUMIFS(T_SelfStock[Self_Qty],T_SelfStock[RM_Code],$A85,T_SelfStock[WeekIndex],84)+SUMIFS(T_TTAFStock[TTAF_Qty],T_TTAFStock[RM_Code],$A85,T_TTAFStock[WeekIndex],84),CF85+'Grid_Incoming'!CG85-'Grid_Requirement'!CG85))</f>
        <v/>
      </c>
      <c r="CH85">
        <f>IF(COUNTIFS(T_StockCount[RM_Code],$A85,T_StockCount[WeekIndex],85)&gt;0,SUMIFS(T_StockCount[CountedQty],T_StockCount[RM_Code],$A85,T_StockCount[WeekIndex],85),IF((COUNTIFS(T_SelfStock[RM_Code],$A85,T_SelfStock[WeekIndex],85)&gt;0)*(COUNTIFS(T_TTAFStock[RM_Code],$A85,T_TTAFStock[WeekIndex],85)&gt;0)&gt;0,SUMIFS(T_SelfStock[Self_Qty],T_SelfStock[RM_Code],$A85,T_SelfStock[WeekIndex],85)+SUMIFS(T_TTAFStock[TTAF_Qty],T_TTAFStock[RM_Code],$A85,T_TTAFStock[WeekIndex],85),CG85+'Grid_Incoming'!CH85-'Grid_Requirement'!CH85))</f>
        <v/>
      </c>
      <c r="CI85">
        <f>IF(COUNTIFS(T_StockCount[RM_Code],$A85,T_StockCount[WeekIndex],86)&gt;0,SUMIFS(T_StockCount[CountedQty],T_StockCount[RM_Code],$A85,T_StockCount[WeekIndex],86),IF((COUNTIFS(T_SelfStock[RM_Code],$A85,T_SelfStock[WeekIndex],86)&gt;0)*(COUNTIFS(T_TTAFStock[RM_Code],$A85,T_TTAFStock[WeekIndex],86)&gt;0)&gt;0,SUMIFS(T_SelfStock[Self_Qty],T_SelfStock[RM_Code],$A85,T_SelfStock[WeekIndex],86)+SUMIFS(T_TTAFStock[TTAF_Qty],T_TTAFStock[RM_Code],$A85,T_TTAFStock[WeekIndex],86),CH85+'Grid_Incoming'!CI85-'Grid_Requirement'!CI85))</f>
        <v/>
      </c>
      <c r="CJ85">
        <f>IF(COUNTIFS(T_StockCount[RM_Code],$A85,T_StockCount[WeekIndex],87)&gt;0,SUMIFS(T_StockCount[CountedQty],T_StockCount[RM_Code],$A85,T_StockCount[WeekIndex],87),IF((COUNTIFS(T_SelfStock[RM_Code],$A85,T_SelfStock[WeekIndex],87)&gt;0)*(COUNTIFS(T_TTAFStock[RM_Code],$A85,T_TTAFStock[WeekIndex],87)&gt;0)&gt;0,SUMIFS(T_SelfStock[Self_Qty],T_SelfStock[RM_Code],$A85,T_SelfStock[WeekIndex],87)+SUMIFS(T_TTAFStock[TTAF_Qty],T_TTAFStock[RM_Code],$A85,T_TTAFStock[WeekIndex],87),CI85+'Grid_Incoming'!CJ85-'Grid_Requirement'!CJ85))</f>
        <v/>
      </c>
      <c r="CK85">
        <f>IF(COUNTIFS(T_StockCount[RM_Code],$A85,T_StockCount[WeekIndex],88)&gt;0,SUMIFS(T_StockCount[CountedQty],T_StockCount[RM_Code],$A85,T_StockCount[WeekIndex],88),IF((COUNTIFS(T_SelfStock[RM_Code],$A85,T_SelfStock[WeekIndex],88)&gt;0)*(COUNTIFS(T_TTAFStock[RM_Code],$A85,T_TTAFStock[WeekIndex],88)&gt;0)&gt;0,SUMIFS(T_SelfStock[Self_Qty],T_SelfStock[RM_Code],$A85,T_SelfStock[WeekIndex],88)+SUMIFS(T_TTAFStock[TTAF_Qty],T_TTAFStock[RM_Code],$A85,T_TTAFStock[WeekIndex],88),CJ85+'Grid_Incoming'!CK85-'Grid_Requirement'!CK85))</f>
        <v/>
      </c>
      <c r="CL85">
        <f>IF(COUNTIFS(T_StockCount[RM_Code],$A85,T_StockCount[WeekIndex],89)&gt;0,SUMIFS(T_StockCount[CountedQty],T_StockCount[RM_Code],$A85,T_StockCount[WeekIndex],89),IF((COUNTIFS(T_SelfStock[RM_Code],$A85,T_SelfStock[WeekIndex],89)&gt;0)*(COUNTIFS(T_TTAFStock[RM_Code],$A85,T_TTAFStock[WeekIndex],89)&gt;0)&gt;0,SUMIFS(T_SelfStock[Self_Qty],T_SelfStock[RM_Code],$A85,T_SelfStock[WeekIndex],89)+SUMIFS(T_TTAFStock[TTAF_Qty],T_TTAFStock[RM_Code],$A85,T_TTAFStock[WeekIndex],89),CK85+'Grid_Incoming'!CL85-'Grid_Requirement'!CL85))</f>
        <v/>
      </c>
      <c r="CM85">
        <f>IF(COUNTIFS(T_StockCount[RM_Code],$A85,T_StockCount[WeekIndex],90)&gt;0,SUMIFS(T_StockCount[CountedQty],T_StockCount[RM_Code],$A85,T_StockCount[WeekIndex],90),IF((COUNTIFS(T_SelfStock[RM_Code],$A85,T_SelfStock[WeekIndex],90)&gt;0)*(COUNTIFS(T_TTAFStock[RM_Code],$A85,T_TTAFStock[WeekIndex],90)&gt;0)&gt;0,SUMIFS(T_SelfStock[Self_Qty],T_SelfStock[RM_Code],$A85,T_SelfStock[WeekIndex],90)+SUMIFS(T_TTAFStock[TTAF_Qty],T_TTAFStock[RM_Code],$A85,T_TTAFStock[WeekIndex],90),CL85+'Grid_Incoming'!CM85-'Grid_Requirement'!CM85))</f>
        <v/>
      </c>
      <c r="CN85">
        <f>IF(COUNTIFS(T_StockCount[RM_Code],$A85,T_StockCount[WeekIndex],91)&gt;0,SUMIFS(T_StockCount[CountedQty],T_StockCount[RM_Code],$A85,T_StockCount[WeekIndex],91),IF((COUNTIFS(T_SelfStock[RM_Code],$A85,T_SelfStock[WeekIndex],91)&gt;0)*(COUNTIFS(T_TTAFStock[RM_Code],$A85,T_TTAFStock[WeekIndex],91)&gt;0)&gt;0,SUMIFS(T_SelfStock[Self_Qty],T_SelfStock[RM_Code],$A85,T_SelfStock[WeekIndex],91)+SUMIFS(T_TTAFStock[TTAF_Qty],T_TTAFStock[RM_Code],$A85,T_TTAFStock[WeekIndex],91),CM85+'Grid_Incoming'!CN85-'Grid_Requirement'!CN85))</f>
        <v/>
      </c>
      <c r="CO85">
        <f>IF(COUNTIFS(T_StockCount[RM_Code],$A85,T_StockCount[WeekIndex],92)&gt;0,SUMIFS(T_StockCount[CountedQty],T_StockCount[RM_Code],$A85,T_StockCount[WeekIndex],92),IF((COUNTIFS(T_SelfStock[RM_Code],$A85,T_SelfStock[WeekIndex],92)&gt;0)*(COUNTIFS(T_TTAFStock[RM_Code],$A85,T_TTAFStock[WeekIndex],92)&gt;0)&gt;0,SUMIFS(T_SelfStock[Self_Qty],T_SelfStock[RM_Code],$A85,T_SelfStock[WeekIndex],92)+SUMIFS(T_TTAFStock[TTAF_Qty],T_TTAFStock[RM_Code],$A85,T_TTAFStock[WeekIndex],92),CN85+'Grid_Incoming'!CO85-'Grid_Requirement'!CO85))</f>
        <v/>
      </c>
      <c r="CP85">
        <f>IF(COUNTIFS(T_StockCount[RM_Code],$A85,T_StockCount[WeekIndex],93)&gt;0,SUMIFS(T_StockCount[CountedQty],T_StockCount[RM_Code],$A85,T_StockCount[WeekIndex],93),IF((COUNTIFS(T_SelfStock[RM_Code],$A85,T_SelfStock[WeekIndex],93)&gt;0)*(COUNTIFS(T_TTAFStock[RM_Code],$A85,T_TTAFStock[WeekIndex],93)&gt;0)&gt;0,SUMIFS(T_SelfStock[Self_Qty],T_SelfStock[RM_Code],$A85,T_SelfStock[WeekIndex],93)+SUMIFS(T_TTAFStock[TTAF_Qty],T_TTAFStock[RM_Code],$A85,T_TTAFStock[WeekIndex],93),CO85+'Grid_Incoming'!CP85-'Grid_Requirement'!CP85))</f>
        <v/>
      </c>
      <c r="CQ85">
        <f>IF(COUNTIFS(T_StockCount[RM_Code],$A85,T_StockCount[WeekIndex],94)&gt;0,SUMIFS(T_StockCount[CountedQty],T_StockCount[RM_Code],$A85,T_StockCount[WeekIndex],94),IF((COUNTIFS(T_SelfStock[RM_Code],$A85,T_SelfStock[WeekIndex],94)&gt;0)*(COUNTIFS(T_TTAFStock[RM_Code],$A85,T_TTAFStock[WeekIndex],94)&gt;0)&gt;0,SUMIFS(T_SelfStock[Self_Qty],T_SelfStock[RM_Code],$A85,T_SelfStock[WeekIndex],94)+SUMIFS(T_TTAFStock[TTAF_Qty],T_TTAFStock[RM_Code],$A85,T_TTAFStock[WeekIndex],94),CP85+'Grid_Incoming'!CQ85-'Grid_Requirement'!CQ85))</f>
        <v/>
      </c>
      <c r="CR85">
        <f>IF(COUNTIFS(T_StockCount[RM_Code],$A85,T_StockCount[WeekIndex],95)&gt;0,SUMIFS(T_StockCount[CountedQty],T_StockCount[RM_Code],$A85,T_StockCount[WeekIndex],95),IF((COUNTIFS(T_SelfStock[RM_Code],$A85,T_SelfStock[WeekIndex],95)&gt;0)*(COUNTIFS(T_TTAFStock[RM_Code],$A85,T_TTAFStock[WeekIndex],95)&gt;0)&gt;0,SUMIFS(T_SelfStock[Self_Qty],T_SelfStock[RM_Code],$A85,T_SelfStock[WeekIndex],95)+SUMIFS(T_TTAFStock[TTAF_Qty],T_TTAFStock[RM_Code],$A85,T_TTAFStock[WeekIndex],95),CQ85+'Grid_Incoming'!CR85-'Grid_Requirement'!CR85))</f>
        <v/>
      </c>
      <c r="CS85">
        <f>IF(COUNTIFS(T_StockCount[RM_Code],$A85,T_StockCount[WeekIndex],96)&gt;0,SUMIFS(T_StockCount[CountedQty],T_StockCount[RM_Code],$A85,T_StockCount[WeekIndex],96),IF((COUNTIFS(T_SelfStock[RM_Code],$A85,T_SelfStock[WeekIndex],96)&gt;0)*(COUNTIFS(T_TTAFStock[RM_Code],$A85,T_TTAFStock[WeekIndex],96)&gt;0)&gt;0,SUMIFS(T_SelfStock[Self_Qty],T_SelfStock[RM_Code],$A85,T_SelfStock[WeekIndex],96)+SUMIFS(T_TTAFStock[TTAF_Qty],T_TTAFStock[RM_Code],$A85,T_TTAFStock[WeekIndex],96),CR85+'Grid_Incoming'!CS85-'Grid_Requirement'!CS85))</f>
        <v/>
      </c>
      <c r="CT85">
        <f>IF(COUNTIFS(T_StockCount[RM_Code],$A85,T_StockCount[WeekIndex],97)&gt;0,SUMIFS(T_StockCount[CountedQty],T_StockCount[RM_Code],$A85,T_StockCount[WeekIndex],97),IF((COUNTIFS(T_SelfStock[RM_Code],$A85,T_SelfStock[WeekIndex],97)&gt;0)*(COUNTIFS(T_TTAFStock[RM_Code],$A85,T_TTAFStock[WeekIndex],97)&gt;0)&gt;0,SUMIFS(T_SelfStock[Self_Qty],T_SelfStock[RM_Code],$A85,T_SelfStock[WeekIndex],97)+SUMIFS(T_TTAFStock[TTAF_Qty],T_TTAFStock[RM_Code],$A85,T_TTAFStock[WeekIndex],97),CS85+'Grid_Incoming'!CT85-'Grid_Requirement'!CT85))</f>
        <v/>
      </c>
      <c r="CU85">
        <f>IF(COUNTIFS(T_StockCount[RM_Code],$A85,T_StockCount[WeekIndex],98)&gt;0,SUMIFS(T_StockCount[CountedQty],T_StockCount[RM_Code],$A85,T_StockCount[WeekIndex],98),IF((COUNTIFS(T_SelfStock[RM_Code],$A85,T_SelfStock[WeekIndex],98)&gt;0)*(COUNTIFS(T_TTAFStock[RM_Code],$A85,T_TTAFStock[WeekIndex],98)&gt;0)&gt;0,SUMIFS(T_SelfStock[Self_Qty],T_SelfStock[RM_Code],$A85,T_SelfStock[WeekIndex],98)+SUMIFS(T_TTAFStock[TTAF_Qty],T_TTAFStock[RM_Code],$A85,T_TTAFStock[WeekIndex],98),CT85+'Grid_Incoming'!CU85-'Grid_Requirement'!CU85))</f>
        <v/>
      </c>
      <c r="CV85">
        <f>IF(COUNTIFS(T_StockCount[RM_Code],$A85,T_StockCount[WeekIndex],99)&gt;0,SUMIFS(T_StockCount[CountedQty],T_StockCount[RM_Code],$A85,T_StockCount[WeekIndex],99),IF((COUNTIFS(T_SelfStock[RM_Code],$A85,T_SelfStock[WeekIndex],99)&gt;0)*(COUNTIFS(T_TTAFStock[RM_Code],$A85,T_TTAFStock[WeekIndex],99)&gt;0)&gt;0,SUMIFS(T_SelfStock[Self_Qty],T_SelfStock[RM_Code],$A85,T_SelfStock[WeekIndex],99)+SUMIFS(T_TTAFStock[TTAF_Qty],T_TTAFStock[RM_Code],$A85,T_TTAFStock[WeekIndex],99),CU85+'Grid_Incoming'!CV85-'Grid_Requirement'!CV85))</f>
        <v/>
      </c>
      <c r="CW85">
        <f>IF(COUNTIFS(T_StockCount[RM_Code],$A85,T_StockCount[WeekIndex],100)&gt;0,SUMIFS(T_StockCount[CountedQty],T_StockCount[RM_Code],$A85,T_StockCount[WeekIndex],100),IF((COUNTIFS(T_SelfStock[RM_Code],$A85,T_SelfStock[WeekIndex],100)&gt;0)*(COUNTIFS(T_TTAFStock[RM_Code],$A85,T_TTAFStock[WeekIndex],100)&gt;0)&gt;0,SUMIFS(T_SelfStock[Self_Qty],T_SelfStock[RM_Code],$A85,T_SelfStock[WeekIndex],100)+SUMIFS(T_TTAFStock[TTAF_Qty],T_TTAFStock[RM_Code],$A85,T_TTAFStock[WeekIndex],100),CV85+'Grid_Incoming'!CW85-'Grid_Requirement'!CW85))</f>
        <v/>
      </c>
      <c r="CX85">
        <f>IF(COUNTIFS(T_StockCount[RM_Code],$A85,T_StockCount[WeekIndex],101)&gt;0,SUMIFS(T_StockCount[CountedQty],T_StockCount[RM_Code],$A85,T_StockCount[WeekIndex],101),IF((COUNTIFS(T_SelfStock[RM_Code],$A85,T_SelfStock[WeekIndex],101)&gt;0)*(COUNTIFS(T_TTAFStock[RM_Code],$A85,T_TTAFStock[WeekIndex],101)&gt;0)&gt;0,SUMIFS(T_SelfStock[Self_Qty],T_SelfStock[RM_Code],$A85,T_SelfStock[WeekIndex],101)+SUMIFS(T_TTAFStock[TTAF_Qty],T_TTAFStock[RM_Code],$A85,T_TTAFStock[WeekIndex],101),CW85+'Grid_Incoming'!CX85-'Grid_Requirement'!CX85))</f>
        <v/>
      </c>
      <c r="CY85">
        <f>IF(COUNTIFS(T_StockCount[RM_Code],$A85,T_StockCount[WeekIndex],102)&gt;0,SUMIFS(T_StockCount[CountedQty],T_StockCount[RM_Code],$A85,T_StockCount[WeekIndex],102),IF((COUNTIFS(T_SelfStock[RM_Code],$A85,T_SelfStock[WeekIndex],102)&gt;0)*(COUNTIFS(T_TTAFStock[RM_Code],$A85,T_TTAFStock[WeekIndex],102)&gt;0)&gt;0,SUMIFS(T_SelfStock[Self_Qty],T_SelfStock[RM_Code],$A85,T_SelfStock[WeekIndex],102)+SUMIFS(T_TTAFStock[TTAF_Qty],T_TTAFStock[RM_Code],$A85,T_TTAFStock[WeekIndex],102),CX85+'Grid_Incoming'!CY85-'Grid_Requirement'!CY85))</f>
        <v/>
      </c>
      <c r="CZ85">
        <f>IF(COUNTIFS(T_StockCount[RM_Code],$A85,T_StockCount[WeekIndex],103)&gt;0,SUMIFS(T_StockCount[CountedQty],T_StockCount[RM_Code],$A85,T_StockCount[WeekIndex],103),IF((COUNTIFS(T_SelfStock[RM_Code],$A85,T_SelfStock[WeekIndex],103)&gt;0)*(COUNTIFS(T_TTAFStock[RM_Code],$A85,T_TTAFStock[WeekIndex],103)&gt;0)&gt;0,SUMIFS(T_SelfStock[Self_Qty],T_SelfStock[RM_Code],$A85,T_SelfStock[WeekIndex],103)+SUMIFS(T_TTAFStock[TTAF_Qty],T_TTAFStock[RM_Code],$A85,T_TTAFStock[WeekIndex],103),CY85+'Grid_Incoming'!CZ85-'Grid_Requirement'!CZ85))</f>
        <v/>
      </c>
      <c r="DA85">
        <f>IF(COUNTIFS(T_StockCount[RM_Code],$A85,T_StockCount[WeekIndex],104)&gt;0,SUMIFS(T_StockCount[CountedQty],T_StockCount[RM_Code],$A85,T_StockCount[WeekIndex],104),IF((COUNTIFS(T_SelfStock[RM_Code],$A85,T_SelfStock[WeekIndex],104)&gt;0)*(COUNTIFS(T_TTAFStock[RM_Code],$A85,T_TTAFStock[WeekIndex],104)&gt;0)&gt;0,SUMIFS(T_SelfStock[Self_Qty],T_SelfStock[RM_Code],$A85,T_SelfStock[WeekIndex],104)+SUMIFS(T_TTAFStock[TTAF_Qty],T_TTAFStock[RM_Code],$A85,T_TTAFStock[WeekIndex],104),CZ85+'Grid_Incoming'!DA85-'Grid_Requirement'!DA85))</f>
        <v/>
      </c>
    </row>
    <row r="86">
      <c r="A86" t="inlineStr">
        <is>
          <t>TSZ-616</t>
        </is>
      </c>
      <c r="B86">
        <f>IF(COUNTIFS(T_StockCount[RM_Code],$A86,T_StockCount[WeekIndex],1)&gt;0,SUMIFS(T_StockCount[CountedQty],T_StockCount[RM_Code],$A86,T_StockCount[WeekIndex],1),IF((COUNTIFS(T_SelfStock[RM_Code],$A86,T_SelfStock[WeekIndex],1)&gt;0)*(COUNTIFS(T_TTAFStock[RM_Code],$A86,T_TTAFStock[WeekIndex],1)&gt;0)&gt;0,SUMIFS(T_SelfStock[Self_Qty],T_SelfStock[RM_Code],$A86,T_SelfStock[WeekIndex],1)+SUMIFS(T_TTAFStock[TTAF_Qty],T_TTAFStock[RM_Code],$A86,T_TTAFStock[WeekIndex],1),IFERROR(INDEX(T_OpeningStock[Opening_Qty],MATCH($A86,T_OpeningStock[RM_Code],0)),0)+'Grid_Incoming'!B86-'Grid_Requirement'!B86))</f>
        <v/>
      </c>
      <c r="C86">
        <f>IF(COUNTIFS(T_StockCount[RM_Code],$A86,T_StockCount[WeekIndex],2)&gt;0,SUMIFS(T_StockCount[CountedQty],T_StockCount[RM_Code],$A86,T_StockCount[WeekIndex],2),IF((COUNTIFS(T_SelfStock[RM_Code],$A86,T_SelfStock[WeekIndex],2)&gt;0)*(COUNTIFS(T_TTAFStock[RM_Code],$A86,T_TTAFStock[WeekIndex],2)&gt;0)&gt;0,SUMIFS(T_SelfStock[Self_Qty],T_SelfStock[RM_Code],$A86,T_SelfStock[WeekIndex],2)+SUMIFS(T_TTAFStock[TTAF_Qty],T_TTAFStock[RM_Code],$A86,T_TTAFStock[WeekIndex],2),B86+'Grid_Incoming'!C86-'Grid_Requirement'!C86))</f>
        <v/>
      </c>
      <c r="D86">
        <f>IF(COUNTIFS(T_StockCount[RM_Code],$A86,T_StockCount[WeekIndex],3)&gt;0,SUMIFS(T_StockCount[CountedQty],T_StockCount[RM_Code],$A86,T_StockCount[WeekIndex],3),IF((COUNTIFS(T_SelfStock[RM_Code],$A86,T_SelfStock[WeekIndex],3)&gt;0)*(COUNTIFS(T_TTAFStock[RM_Code],$A86,T_TTAFStock[WeekIndex],3)&gt;0)&gt;0,SUMIFS(T_SelfStock[Self_Qty],T_SelfStock[RM_Code],$A86,T_SelfStock[WeekIndex],3)+SUMIFS(T_TTAFStock[TTAF_Qty],T_TTAFStock[RM_Code],$A86,T_TTAFStock[WeekIndex],3),C86+'Grid_Incoming'!D86-'Grid_Requirement'!D86))</f>
        <v/>
      </c>
      <c r="E86">
        <f>IF(COUNTIFS(T_StockCount[RM_Code],$A86,T_StockCount[WeekIndex],4)&gt;0,SUMIFS(T_StockCount[CountedQty],T_StockCount[RM_Code],$A86,T_StockCount[WeekIndex],4),IF((COUNTIFS(T_SelfStock[RM_Code],$A86,T_SelfStock[WeekIndex],4)&gt;0)*(COUNTIFS(T_TTAFStock[RM_Code],$A86,T_TTAFStock[WeekIndex],4)&gt;0)&gt;0,SUMIFS(T_SelfStock[Self_Qty],T_SelfStock[RM_Code],$A86,T_SelfStock[WeekIndex],4)+SUMIFS(T_TTAFStock[TTAF_Qty],T_TTAFStock[RM_Code],$A86,T_TTAFStock[WeekIndex],4),D86+'Grid_Incoming'!E86-'Grid_Requirement'!E86))</f>
        <v/>
      </c>
      <c r="F86">
        <f>IF(COUNTIFS(T_StockCount[RM_Code],$A86,T_StockCount[WeekIndex],5)&gt;0,SUMIFS(T_StockCount[CountedQty],T_StockCount[RM_Code],$A86,T_StockCount[WeekIndex],5),IF((COUNTIFS(T_SelfStock[RM_Code],$A86,T_SelfStock[WeekIndex],5)&gt;0)*(COUNTIFS(T_TTAFStock[RM_Code],$A86,T_TTAFStock[WeekIndex],5)&gt;0)&gt;0,SUMIFS(T_SelfStock[Self_Qty],T_SelfStock[RM_Code],$A86,T_SelfStock[WeekIndex],5)+SUMIFS(T_TTAFStock[TTAF_Qty],T_TTAFStock[RM_Code],$A86,T_TTAFStock[WeekIndex],5),E86+'Grid_Incoming'!F86-'Grid_Requirement'!F86))</f>
        <v/>
      </c>
      <c r="G86">
        <f>IF(COUNTIFS(T_StockCount[RM_Code],$A86,T_StockCount[WeekIndex],6)&gt;0,SUMIFS(T_StockCount[CountedQty],T_StockCount[RM_Code],$A86,T_StockCount[WeekIndex],6),IF((COUNTIFS(T_SelfStock[RM_Code],$A86,T_SelfStock[WeekIndex],6)&gt;0)*(COUNTIFS(T_TTAFStock[RM_Code],$A86,T_TTAFStock[WeekIndex],6)&gt;0)&gt;0,SUMIFS(T_SelfStock[Self_Qty],T_SelfStock[RM_Code],$A86,T_SelfStock[WeekIndex],6)+SUMIFS(T_TTAFStock[TTAF_Qty],T_TTAFStock[RM_Code],$A86,T_TTAFStock[WeekIndex],6),F86+'Grid_Incoming'!G86-'Grid_Requirement'!G86))</f>
        <v/>
      </c>
      <c r="H86">
        <f>IF(COUNTIFS(T_StockCount[RM_Code],$A86,T_StockCount[WeekIndex],7)&gt;0,SUMIFS(T_StockCount[CountedQty],T_StockCount[RM_Code],$A86,T_StockCount[WeekIndex],7),IF((COUNTIFS(T_SelfStock[RM_Code],$A86,T_SelfStock[WeekIndex],7)&gt;0)*(COUNTIFS(T_TTAFStock[RM_Code],$A86,T_TTAFStock[WeekIndex],7)&gt;0)&gt;0,SUMIFS(T_SelfStock[Self_Qty],T_SelfStock[RM_Code],$A86,T_SelfStock[WeekIndex],7)+SUMIFS(T_TTAFStock[TTAF_Qty],T_TTAFStock[RM_Code],$A86,T_TTAFStock[WeekIndex],7),G86+'Grid_Incoming'!H86-'Grid_Requirement'!H86))</f>
        <v/>
      </c>
      <c r="I86">
        <f>IF(COUNTIFS(T_StockCount[RM_Code],$A86,T_StockCount[WeekIndex],8)&gt;0,SUMIFS(T_StockCount[CountedQty],T_StockCount[RM_Code],$A86,T_StockCount[WeekIndex],8),IF((COUNTIFS(T_SelfStock[RM_Code],$A86,T_SelfStock[WeekIndex],8)&gt;0)*(COUNTIFS(T_TTAFStock[RM_Code],$A86,T_TTAFStock[WeekIndex],8)&gt;0)&gt;0,SUMIFS(T_SelfStock[Self_Qty],T_SelfStock[RM_Code],$A86,T_SelfStock[WeekIndex],8)+SUMIFS(T_TTAFStock[TTAF_Qty],T_TTAFStock[RM_Code],$A86,T_TTAFStock[WeekIndex],8),H86+'Grid_Incoming'!I86-'Grid_Requirement'!I86))</f>
        <v/>
      </c>
      <c r="J86">
        <f>IF(COUNTIFS(T_StockCount[RM_Code],$A86,T_StockCount[WeekIndex],9)&gt;0,SUMIFS(T_StockCount[CountedQty],T_StockCount[RM_Code],$A86,T_StockCount[WeekIndex],9),IF((COUNTIFS(T_SelfStock[RM_Code],$A86,T_SelfStock[WeekIndex],9)&gt;0)*(COUNTIFS(T_TTAFStock[RM_Code],$A86,T_TTAFStock[WeekIndex],9)&gt;0)&gt;0,SUMIFS(T_SelfStock[Self_Qty],T_SelfStock[RM_Code],$A86,T_SelfStock[WeekIndex],9)+SUMIFS(T_TTAFStock[TTAF_Qty],T_TTAFStock[RM_Code],$A86,T_TTAFStock[WeekIndex],9),I86+'Grid_Incoming'!J86-'Grid_Requirement'!J86))</f>
        <v/>
      </c>
      <c r="K86">
        <f>IF(COUNTIFS(T_StockCount[RM_Code],$A86,T_StockCount[WeekIndex],10)&gt;0,SUMIFS(T_StockCount[CountedQty],T_StockCount[RM_Code],$A86,T_StockCount[WeekIndex],10),IF((COUNTIFS(T_SelfStock[RM_Code],$A86,T_SelfStock[WeekIndex],10)&gt;0)*(COUNTIFS(T_TTAFStock[RM_Code],$A86,T_TTAFStock[WeekIndex],10)&gt;0)&gt;0,SUMIFS(T_SelfStock[Self_Qty],T_SelfStock[RM_Code],$A86,T_SelfStock[WeekIndex],10)+SUMIFS(T_TTAFStock[TTAF_Qty],T_TTAFStock[RM_Code],$A86,T_TTAFStock[WeekIndex],10),J86+'Grid_Incoming'!K86-'Grid_Requirement'!K86))</f>
        <v/>
      </c>
      <c r="L86">
        <f>IF(COUNTIFS(T_StockCount[RM_Code],$A86,T_StockCount[WeekIndex],11)&gt;0,SUMIFS(T_StockCount[CountedQty],T_StockCount[RM_Code],$A86,T_StockCount[WeekIndex],11),IF((COUNTIFS(T_SelfStock[RM_Code],$A86,T_SelfStock[WeekIndex],11)&gt;0)*(COUNTIFS(T_TTAFStock[RM_Code],$A86,T_TTAFStock[WeekIndex],11)&gt;0)&gt;0,SUMIFS(T_SelfStock[Self_Qty],T_SelfStock[RM_Code],$A86,T_SelfStock[WeekIndex],11)+SUMIFS(T_TTAFStock[TTAF_Qty],T_TTAFStock[RM_Code],$A86,T_TTAFStock[WeekIndex],11),K86+'Grid_Incoming'!L86-'Grid_Requirement'!L86))</f>
        <v/>
      </c>
      <c r="M86">
        <f>IF(COUNTIFS(T_StockCount[RM_Code],$A86,T_StockCount[WeekIndex],12)&gt;0,SUMIFS(T_StockCount[CountedQty],T_StockCount[RM_Code],$A86,T_StockCount[WeekIndex],12),IF((COUNTIFS(T_SelfStock[RM_Code],$A86,T_SelfStock[WeekIndex],12)&gt;0)*(COUNTIFS(T_TTAFStock[RM_Code],$A86,T_TTAFStock[WeekIndex],12)&gt;0)&gt;0,SUMIFS(T_SelfStock[Self_Qty],T_SelfStock[RM_Code],$A86,T_SelfStock[WeekIndex],12)+SUMIFS(T_TTAFStock[TTAF_Qty],T_TTAFStock[RM_Code],$A86,T_TTAFStock[WeekIndex],12),L86+'Grid_Incoming'!M86-'Grid_Requirement'!M86))</f>
        <v/>
      </c>
      <c r="N86">
        <f>IF(COUNTIFS(T_StockCount[RM_Code],$A86,T_StockCount[WeekIndex],13)&gt;0,SUMIFS(T_StockCount[CountedQty],T_StockCount[RM_Code],$A86,T_StockCount[WeekIndex],13),IF((COUNTIFS(T_SelfStock[RM_Code],$A86,T_SelfStock[WeekIndex],13)&gt;0)*(COUNTIFS(T_TTAFStock[RM_Code],$A86,T_TTAFStock[WeekIndex],13)&gt;0)&gt;0,SUMIFS(T_SelfStock[Self_Qty],T_SelfStock[RM_Code],$A86,T_SelfStock[WeekIndex],13)+SUMIFS(T_TTAFStock[TTAF_Qty],T_TTAFStock[RM_Code],$A86,T_TTAFStock[WeekIndex],13),M86+'Grid_Incoming'!N86-'Grid_Requirement'!N86))</f>
        <v/>
      </c>
      <c r="O86">
        <f>IF(COUNTIFS(T_StockCount[RM_Code],$A86,T_StockCount[WeekIndex],14)&gt;0,SUMIFS(T_StockCount[CountedQty],T_StockCount[RM_Code],$A86,T_StockCount[WeekIndex],14),IF((COUNTIFS(T_SelfStock[RM_Code],$A86,T_SelfStock[WeekIndex],14)&gt;0)*(COUNTIFS(T_TTAFStock[RM_Code],$A86,T_TTAFStock[WeekIndex],14)&gt;0)&gt;0,SUMIFS(T_SelfStock[Self_Qty],T_SelfStock[RM_Code],$A86,T_SelfStock[WeekIndex],14)+SUMIFS(T_TTAFStock[TTAF_Qty],T_TTAFStock[RM_Code],$A86,T_TTAFStock[WeekIndex],14),N86+'Grid_Incoming'!O86-'Grid_Requirement'!O86))</f>
        <v/>
      </c>
      <c r="P86">
        <f>IF(COUNTIFS(T_StockCount[RM_Code],$A86,T_StockCount[WeekIndex],15)&gt;0,SUMIFS(T_StockCount[CountedQty],T_StockCount[RM_Code],$A86,T_StockCount[WeekIndex],15),IF((COUNTIFS(T_SelfStock[RM_Code],$A86,T_SelfStock[WeekIndex],15)&gt;0)*(COUNTIFS(T_TTAFStock[RM_Code],$A86,T_TTAFStock[WeekIndex],15)&gt;0)&gt;0,SUMIFS(T_SelfStock[Self_Qty],T_SelfStock[RM_Code],$A86,T_SelfStock[WeekIndex],15)+SUMIFS(T_TTAFStock[TTAF_Qty],T_TTAFStock[RM_Code],$A86,T_TTAFStock[WeekIndex],15),O86+'Grid_Incoming'!P86-'Grid_Requirement'!P86))</f>
        <v/>
      </c>
      <c r="Q86">
        <f>IF(COUNTIFS(T_StockCount[RM_Code],$A86,T_StockCount[WeekIndex],16)&gt;0,SUMIFS(T_StockCount[CountedQty],T_StockCount[RM_Code],$A86,T_StockCount[WeekIndex],16),IF((COUNTIFS(T_SelfStock[RM_Code],$A86,T_SelfStock[WeekIndex],16)&gt;0)*(COUNTIFS(T_TTAFStock[RM_Code],$A86,T_TTAFStock[WeekIndex],16)&gt;0)&gt;0,SUMIFS(T_SelfStock[Self_Qty],T_SelfStock[RM_Code],$A86,T_SelfStock[WeekIndex],16)+SUMIFS(T_TTAFStock[TTAF_Qty],T_TTAFStock[RM_Code],$A86,T_TTAFStock[WeekIndex],16),P86+'Grid_Incoming'!Q86-'Grid_Requirement'!Q86))</f>
        <v/>
      </c>
      <c r="R86">
        <f>IF(COUNTIFS(T_StockCount[RM_Code],$A86,T_StockCount[WeekIndex],17)&gt;0,SUMIFS(T_StockCount[CountedQty],T_StockCount[RM_Code],$A86,T_StockCount[WeekIndex],17),IF((COUNTIFS(T_SelfStock[RM_Code],$A86,T_SelfStock[WeekIndex],17)&gt;0)*(COUNTIFS(T_TTAFStock[RM_Code],$A86,T_TTAFStock[WeekIndex],17)&gt;0)&gt;0,SUMIFS(T_SelfStock[Self_Qty],T_SelfStock[RM_Code],$A86,T_SelfStock[WeekIndex],17)+SUMIFS(T_TTAFStock[TTAF_Qty],T_TTAFStock[RM_Code],$A86,T_TTAFStock[WeekIndex],17),Q86+'Grid_Incoming'!R86-'Grid_Requirement'!R86))</f>
        <v/>
      </c>
      <c r="S86">
        <f>IF(COUNTIFS(T_StockCount[RM_Code],$A86,T_StockCount[WeekIndex],18)&gt;0,SUMIFS(T_StockCount[CountedQty],T_StockCount[RM_Code],$A86,T_StockCount[WeekIndex],18),IF((COUNTIFS(T_SelfStock[RM_Code],$A86,T_SelfStock[WeekIndex],18)&gt;0)*(COUNTIFS(T_TTAFStock[RM_Code],$A86,T_TTAFStock[WeekIndex],18)&gt;0)&gt;0,SUMIFS(T_SelfStock[Self_Qty],T_SelfStock[RM_Code],$A86,T_SelfStock[WeekIndex],18)+SUMIFS(T_TTAFStock[TTAF_Qty],T_TTAFStock[RM_Code],$A86,T_TTAFStock[WeekIndex],18),R86+'Grid_Incoming'!S86-'Grid_Requirement'!S86))</f>
        <v/>
      </c>
      <c r="T86">
        <f>IF(COUNTIFS(T_StockCount[RM_Code],$A86,T_StockCount[WeekIndex],19)&gt;0,SUMIFS(T_StockCount[CountedQty],T_StockCount[RM_Code],$A86,T_StockCount[WeekIndex],19),IF((COUNTIFS(T_SelfStock[RM_Code],$A86,T_SelfStock[WeekIndex],19)&gt;0)*(COUNTIFS(T_TTAFStock[RM_Code],$A86,T_TTAFStock[WeekIndex],19)&gt;0)&gt;0,SUMIFS(T_SelfStock[Self_Qty],T_SelfStock[RM_Code],$A86,T_SelfStock[WeekIndex],19)+SUMIFS(T_TTAFStock[TTAF_Qty],T_TTAFStock[RM_Code],$A86,T_TTAFStock[WeekIndex],19),S86+'Grid_Incoming'!T86-'Grid_Requirement'!T86))</f>
        <v/>
      </c>
      <c r="U86">
        <f>IF(COUNTIFS(T_StockCount[RM_Code],$A86,T_StockCount[WeekIndex],20)&gt;0,SUMIFS(T_StockCount[CountedQty],T_StockCount[RM_Code],$A86,T_StockCount[WeekIndex],20),IF((COUNTIFS(T_SelfStock[RM_Code],$A86,T_SelfStock[WeekIndex],20)&gt;0)*(COUNTIFS(T_TTAFStock[RM_Code],$A86,T_TTAFStock[WeekIndex],20)&gt;0)&gt;0,SUMIFS(T_SelfStock[Self_Qty],T_SelfStock[RM_Code],$A86,T_SelfStock[WeekIndex],20)+SUMIFS(T_TTAFStock[TTAF_Qty],T_TTAFStock[RM_Code],$A86,T_TTAFStock[WeekIndex],20),T86+'Grid_Incoming'!U86-'Grid_Requirement'!U86))</f>
        <v/>
      </c>
      <c r="V86">
        <f>IF(COUNTIFS(T_StockCount[RM_Code],$A86,T_StockCount[WeekIndex],21)&gt;0,SUMIFS(T_StockCount[CountedQty],T_StockCount[RM_Code],$A86,T_StockCount[WeekIndex],21),IF((COUNTIFS(T_SelfStock[RM_Code],$A86,T_SelfStock[WeekIndex],21)&gt;0)*(COUNTIFS(T_TTAFStock[RM_Code],$A86,T_TTAFStock[WeekIndex],21)&gt;0)&gt;0,SUMIFS(T_SelfStock[Self_Qty],T_SelfStock[RM_Code],$A86,T_SelfStock[WeekIndex],21)+SUMIFS(T_TTAFStock[TTAF_Qty],T_TTAFStock[RM_Code],$A86,T_TTAFStock[WeekIndex],21),U86+'Grid_Incoming'!V86-'Grid_Requirement'!V86))</f>
        <v/>
      </c>
      <c r="W86">
        <f>IF(COUNTIFS(T_StockCount[RM_Code],$A86,T_StockCount[WeekIndex],22)&gt;0,SUMIFS(T_StockCount[CountedQty],T_StockCount[RM_Code],$A86,T_StockCount[WeekIndex],22),IF((COUNTIFS(T_SelfStock[RM_Code],$A86,T_SelfStock[WeekIndex],22)&gt;0)*(COUNTIFS(T_TTAFStock[RM_Code],$A86,T_TTAFStock[WeekIndex],22)&gt;0)&gt;0,SUMIFS(T_SelfStock[Self_Qty],T_SelfStock[RM_Code],$A86,T_SelfStock[WeekIndex],22)+SUMIFS(T_TTAFStock[TTAF_Qty],T_TTAFStock[RM_Code],$A86,T_TTAFStock[WeekIndex],22),V86+'Grid_Incoming'!W86-'Grid_Requirement'!W86))</f>
        <v/>
      </c>
      <c r="X86">
        <f>IF(COUNTIFS(T_StockCount[RM_Code],$A86,T_StockCount[WeekIndex],23)&gt;0,SUMIFS(T_StockCount[CountedQty],T_StockCount[RM_Code],$A86,T_StockCount[WeekIndex],23),IF((COUNTIFS(T_SelfStock[RM_Code],$A86,T_SelfStock[WeekIndex],23)&gt;0)*(COUNTIFS(T_TTAFStock[RM_Code],$A86,T_TTAFStock[WeekIndex],23)&gt;0)&gt;0,SUMIFS(T_SelfStock[Self_Qty],T_SelfStock[RM_Code],$A86,T_SelfStock[WeekIndex],23)+SUMIFS(T_TTAFStock[TTAF_Qty],T_TTAFStock[RM_Code],$A86,T_TTAFStock[WeekIndex],23),W86+'Grid_Incoming'!X86-'Grid_Requirement'!X86))</f>
        <v/>
      </c>
      <c r="Y86">
        <f>IF(COUNTIFS(T_StockCount[RM_Code],$A86,T_StockCount[WeekIndex],24)&gt;0,SUMIFS(T_StockCount[CountedQty],T_StockCount[RM_Code],$A86,T_StockCount[WeekIndex],24),IF((COUNTIFS(T_SelfStock[RM_Code],$A86,T_SelfStock[WeekIndex],24)&gt;0)*(COUNTIFS(T_TTAFStock[RM_Code],$A86,T_TTAFStock[WeekIndex],24)&gt;0)&gt;0,SUMIFS(T_SelfStock[Self_Qty],T_SelfStock[RM_Code],$A86,T_SelfStock[WeekIndex],24)+SUMIFS(T_TTAFStock[TTAF_Qty],T_TTAFStock[RM_Code],$A86,T_TTAFStock[WeekIndex],24),X86+'Grid_Incoming'!Y86-'Grid_Requirement'!Y86))</f>
        <v/>
      </c>
      <c r="Z86">
        <f>IF(COUNTIFS(T_StockCount[RM_Code],$A86,T_StockCount[WeekIndex],25)&gt;0,SUMIFS(T_StockCount[CountedQty],T_StockCount[RM_Code],$A86,T_StockCount[WeekIndex],25),IF((COUNTIFS(T_SelfStock[RM_Code],$A86,T_SelfStock[WeekIndex],25)&gt;0)*(COUNTIFS(T_TTAFStock[RM_Code],$A86,T_TTAFStock[WeekIndex],25)&gt;0)&gt;0,SUMIFS(T_SelfStock[Self_Qty],T_SelfStock[RM_Code],$A86,T_SelfStock[WeekIndex],25)+SUMIFS(T_TTAFStock[TTAF_Qty],T_TTAFStock[RM_Code],$A86,T_TTAFStock[WeekIndex],25),Y86+'Grid_Incoming'!Z86-'Grid_Requirement'!Z86))</f>
        <v/>
      </c>
      <c r="AA86">
        <f>IF(COUNTIFS(T_StockCount[RM_Code],$A86,T_StockCount[WeekIndex],26)&gt;0,SUMIFS(T_StockCount[CountedQty],T_StockCount[RM_Code],$A86,T_StockCount[WeekIndex],26),IF((COUNTIFS(T_SelfStock[RM_Code],$A86,T_SelfStock[WeekIndex],26)&gt;0)*(COUNTIFS(T_TTAFStock[RM_Code],$A86,T_TTAFStock[WeekIndex],26)&gt;0)&gt;0,SUMIFS(T_SelfStock[Self_Qty],T_SelfStock[RM_Code],$A86,T_SelfStock[WeekIndex],26)+SUMIFS(T_TTAFStock[TTAF_Qty],T_TTAFStock[RM_Code],$A86,T_TTAFStock[WeekIndex],26),Z86+'Grid_Incoming'!AA86-'Grid_Requirement'!AA86))</f>
        <v/>
      </c>
      <c r="AB86">
        <f>IF(COUNTIFS(T_StockCount[RM_Code],$A86,T_StockCount[WeekIndex],27)&gt;0,SUMIFS(T_StockCount[CountedQty],T_StockCount[RM_Code],$A86,T_StockCount[WeekIndex],27),IF((COUNTIFS(T_SelfStock[RM_Code],$A86,T_SelfStock[WeekIndex],27)&gt;0)*(COUNTIFS(T_TTAFStock[RM_Code],$A86,T_TTAFStock[WeekIndex],27)&gt;0)&gt;0,SUMIFS(T_SelfStock[Self_Qty],T_SelfStock[RM_Code],$A86,T_SelfStock[WeekIndex],27)+SUMIFS(T_TTAFStock[TTAF_Qty],T_TTAFStock[RM_Code],$A86,T_TTAFStock[WeekIndex],27),AA86+'Grid_Incoming'!AB86-'Grid_Requirement'!AB86))</f>
        <v/>
      </c>
      <c r="AC86">
        <f>IF(COUNTIFS(T_StockCount[RM_Code],$A86,T_StockCount[WeekIndex],28)&gt;0,SUMIFS(T_StockCount[CountedQty],T_StockCount[RM_Code],$A86,T_StockCount[WeekIndex],28),IF((COUNTIFS(T_SelfStock[RM_Code],$A86,T_SelfStock[WeekIndex],28)&gt;0)*(COUNTIFS(T_TTAFStock[RM_Code],$A86,T_TTAFStock[WeekIndex],28)&gt;0)&gt;0,SUMIFS(T_SelfStock[Self_Qty],T_SelfStock[RM_Code],$A86,T_SelfStock[WeekIndex],28)+SUMIFS(T_TTAFStock[TTAF_Qty],T_TTAFStock[RM_Code],$A86,T_TTAFStock[WeekIndex],28),AB86+'Grid_Incoming'!AC86-'Grid_Requirement'!AC86))</f>
        <v/>
      </c>
      <c r="AD86">
        <f>IF(COUNTIFS(T_StockCount[RM_Code],$A86,T_StockCount[WeekIndex],29)&gt;0,SUMIFS(T_StockCount[CountedQty],T_StockCount[RM_Code],$A86,T_StockCount[WeekIndex],29),IF((COUNTIFS(T_SelfStock[RM_Code],$A86,T_SelfStock[WeekIndex],29)&gt;0)*(COUNTIFS(T_TTAFStock[RM_Code],$A86,T_TTAFStock[WeekIndex],29)&gt;0)&gt;0,SUMIFS(T_SelfStock[Self_Qty],T_SelfStock[RM_Code],$A86,T_SelfStock[WeekIndex],29)+SUMIFS(T_TTAFStock[TTAF_Qty],T_TTAFStock[RM_Code],$A86,T_TTAFStock[WeekIndex],29),AC86+'Grid_Incoming'!AD86-'Grid_Requirement'!AD86))</f>
        <v/>
      </c>
      <c r="AE86">
        <f>IF(COUNTIFS(T_StockCount[RM_Code],$A86,T_StockCount[WeekIndex],30)&gt;0,SUMIFS(T_StockCount[CountedQty],T_StockCount[RM_Code],$A86,T_StockCount[WeekIndex],30),IF((COUNTIFS(T_SelfStock[RM_Code],$A86,T_SelfStock[WeekIndex],30)&gt;0)*(COUNTIFS(T_TTAFStock[RM_Code],$A86,T_TTAFStock[WeekIndex],30)&gt;0)&gt;0,SUMIFS(T_SelfStock[Self_Qty],T_SelfStock[RM_Code],$A86,T_SelfStock[WeekIndex],30)+SUMIFS(T_TTAFStock[TTAF_Qty],T_TTAFStock[RM_Code],$A86,T_TTAFStock[WeekIndex],30),AD86+'Grid_Incoming'!AE86-'Grid_Requirement'!AE86))</f>
        <v/>
      </c>
      <c r="AF86">
        <f>IF(COUNTIFS(T_StockCount[RM_Code],$A86,T_StockCount[WeekIndex],31)&gt;0,SUMIFS(T_StockCount[CountedQty],T_StockCount[RM_Code],$A86,T_StockCount[WeekIndex],31),IF((COUNTIFS(T_SelfStock[RM_Code],$A86,T_SelfStock[WeekIndex],31)&gt;0)*(COUNTIFS(T_TTAFStock[RM_Code],$A86,T_TTAFStock[WeekIndex],31)&gt;0)&gt;0,SUMIFS(T_SelfStock[Self_Qty],T_SelfStock[RM_Code],$A86,T_SelfStock[WeekIndex],31)+SUMIFS(T_TTAFStock[TTAF_Qty],T_TTAFStock[RM_Code],$A86,T_TTAFStock[WeekIndex],31),AE86+'Grid_Incoming'!AF86-'Grid_Requirement'!AF86))</f>
        <v/>
      </c>
      <c r="AG86">
        <f>IF(COUNTIFS(T_StockCount[RM_Code],$A86,T_StockCount[WeekIndex],32)&gt;0,SUMIFS(T_StockCount[CountedQty],T_StockCount[RM_Code],$A86,T_StockCount[WeekIndex],32),IF((COUNTIFS(T_SelfStock[RM_Code],$A86,T_SelfStock[WeekIndex],32)&gt;0)*(COUNTIFS(T_TTAFStock[RM_Code],$A86,T_TTAFStock[WeekIndex],32)&gt;0)&gt;0,SUMIFS(T_SelfStock[Self_Qty],T_SelfStock[RM_Code],$A86,T_SelfStock[WeekIndex],32)+SUMIFS(T_TTAFStock[TTAF_Qty],T_TTAFStock[RM_Code],$A86,T_TTAFStock[WeekIndex],32),AF86+'Grid_Incoming'!AG86-'Grid_Requirement'!AG86))</f>
        <v/>
      </c>
      <c r="AH86">
        <f>IF(COUNTIFS(T_StockCount[RM_Code],$A86,T_StockCount[WeekIndex],33)&gt;0,SUMIFS(T_StockCount[CountedQty],T_StockCount[RM_Code],$A86,T_StockCount[WeekIndex],33),IF((COUNTIFS(T_SelfStock[RM_Code],$A86,T_SelfStock[WeekIndex],33)&gt;0)*(COUNTIFS(T_TTAFStock[RM_Code],$A86,T_TTAFStock[WeekIndex],33)&gt;0)&gt;0,SUMIFS(T_SelfStock[Self_Qty],T_SelfStock[RM_Code],$A86,T_SelfStock[WeekIndex],33)+SUMIFS(T_TTAFStock[TTAF_Qty],T_TTAFStock[RM_Code],$A86,T_TTAFStock[WeekIndex],33),AG86+'Grid_Incoming'!AH86-'Grid_Requirement'!AH86))</f>
        <v/>
      </c>
      <c r="AI86">
        <f>IF(COUNTIFS(T_StockCount[RM_Code],$A86,T_StockCount[WeekIndex],34)&gt;0,SUMIFS(T_StockCount[CountedQty],T_StockCount[RM_Code],$A86,T_StockCount[WeekIndex],34),IF((COUNTIFS(T_SelfStock[RM_Code],$A86,T_SelfStock[WeekIndex],34)&gt;0)*(COUNTIFS(T_TTAFStock[RM_Code],$A86,T_TTAFStock[WeekIndex],34)&gt;0)&gt;0,SUMIFS(T_SelfStock[Self_Qty],T_SelfStock[RM_Code],$A86,T_SelfStock[WeekIndex],34)+SUMIFS(T_TTAFStock[TTAF_Qty],T_TTAFStock[RM_Code],$A86,T_TTAFStock[WeekIndex],34),AH86+'Grid_Incoming'!AI86-'Grid_Requirement'!AI86))</f>
        <v/>
      </c>
      <c r="AJ86">
        <f>IF(COUNTIFS(T_StockCount[RM_Code],$A86,T_StockCount[WeekIndex],35)&gt;0,SUMIFS(T_StockCount[CountedQty],T_StockCount[RM_Code],$A86,T_StockCount[WeekIndex],35),IF((COUNTIFS(T_SelfStock[RM_Code],$A86,T_SelfStock[WeekIndex],35)&gt;0)*(COUNTIFS(T_TTAFStock[RM_Code],$A86,T_TTAFStock[WeekIndex],35)&gt;0)&gt;0,SUMIFS(T_SelfStock[Self_Qty],T_SelfStock[RM_Code],$A86,T_SelfStock[WeekIndex],35)+SUMIFS(T_TTAFStock[TTAF_Qty],T_TTAFStock[RM_Code],$A86,T_TTAFStock[WeekIndex],35),AI86+'Grid_Incoming'!AJ86-'Grid_Requirement'!AJ86))</f>
        <v/>
      </c>
      <c r="AK86">
        <f>IF(COUNTIFS(T_StockCount[RM_Code],$A86,T_StockCount[WeekIndex],36)&gt;0,SUMIFS(T_StockCount[CountedQty],T_StockCount[RM_Code],$A86,T_StockCount[WeekIndex],36),IF((COUNTIFS(T_SelfStock[RM_Code],$A86,T_SelfStock[WeekIndex],36)&gt;0)*(COUNTIFS(T_TTAFStock[RM_Code],$A86,T_TTAFStock[WeekIndex],36)&gt;0)&gt;0,SUMIFS(T_SelfStock[Self_Qty],T_SelfStock[RM_Code],$A86,T_SelfStock[WeekIndex],36)+SUMIFS(T_TTAFStock[TTAF_Qty],T_TTAFStock[RM_Code],$A86,T_TTAFStock[WeekIndex],36),AJ86+'Grid_Incoming'!AK86-'Grid_Requirement'!AK86))</f>
        <v/>
      </c>
      <c r="AL86">
        <f>IF(COUNTIFS(T_StockCount[RM_Code],$A86,T_StockCount[WeekIndex],37)&gt;0,SUMIFS(T_StockCount[CountedQty],T_StockCount[RM_Code],$A86,T_StockCount[WeekIndex],37),IF((COUNTIFS(T_SelfStock[RM_Code],$A86,T_SelfStock[WeekIndex],37)&gt;0)*(COUNTIFS(T_TTAFStock[RM_Code],$A86,T_TTAFStock[WeekIndex],37)&gt;0)&gt;0,SUMIFS(T_SelfStock[Self_Qty],T_SelfStock[RM_Code],$A86,T_SelfStock[WeekIndex],37)+SUMIFS(T_TTAFStock[TTAF_Qty],T_TTAFStock[RM_Code],$A86,T_TTAFStock[WeekIndex],37),AK86+'Grid_Incoming'!AL86-'Grid_Requirement'!AL86))</f>
        <v/>
      </c>
      <c r="AM86">
        <f>IF(COUNTIFS(T_StockCount[RM_Code],$A86,T_StockCount[WeekIndex],38)&gt;0,SUMIFS(T_StockCount[CountedQty],T_StockCount[RM_Code],$A86,T_StockCount[WeekIndex],38),IF((COUNTIFS(T_SelfStock[RM_Code],$A86,T_SelfStock[WeekIndex],38)&gt;0)*(COUNTIFS(T_TTAFStock[RM_Code],$A86,T_TTAFStock[WeekIndex],38)&gt;0)&gt;0,SUMIFS(T_SelfStock[Self_Qty],T_SelfStock[RM_Code],$A86,T_SelfStock[WeekIndex],38)+SUMIFS(T_TTAFStock[TTAF_Qty],T_TTAFStock[RM_Code],$A86,T_TTAFStock[WeekIndex],38),AL86+'Grid_Incoming'!AM86-'Grid_Requirement'!AM86))</f>
        <v/>
      </c>
      <c r="AN86">
        <f>IF(COUNTIFS(T_StockCount[RM_Code],$A86,T_StockCount[WeekIndex],39)&gt;0,SUMIFS(T_StockCount[CountedQty],T_StockCount[RM_Code],$A86,T_StockCount[WeekIndex],39),IF((COUNTIFS(T_SelfStock[RM_Code],$A86,T_SelfStock[WeekIndex],39)&gt;0)*(COUNTIFS(T_TTAFStock[RM_Code],$A86,T_TTAFStock[WeekIndex],39)&gt;0)&gt;0,SUMIFS(T_SelfStock[Self_Qty],T_SelfStock[RM_Code],$A86,T_SelfStock[WeekIndex],39)+SUMIFS(T_TTAFStock[TTAF_Qty],T_TTAFStock[RM_Code],$A86,T_TTAFStock[WeekIndex],39),AM86+'Grid_Incoming'!AN86-'Grid_Requirement'!AN86))</f>
        <v/>
      </c>
      <c r="AO86">
        <f>IF(COUNTIFS(T_StockCount[RM_Code],$A86,T_StockCount[WeekIndex],40)&gt;0,SUMIFS(T_StockCount[CountedQty],T_StockCount[RM_Code],$A86,T_StockCount[WeekIndex],40),IF((COUNTIFS(T_SelfStock[RM_Code],$A86,T_SelfStock[WeekIndex],40)&gt;0)*(COUNTIFS(T_TTAFStock[RM_Code],$A86,T_TTAFStock[WeekIndex],40)&gt;0)&gt;0,SUMIFS(T_SelfStock[Self_Qty],T_SelfStock[RM_Code],$A86,T_SelfStock[WeekIndex],40)+SUMIFS(T_TTAFStock[TTAF_Qty],T_TTAFStock[RM_Code],$A86,T_TTAFStock[WeekIndex],40),AN86+'Grid_Incoming'!AO86-'Grid_Requirement'!AO86))</f>
        <v/>
      </c>
      <c r="AP86">
        <f>IF(COUNTIFS(T_StockCount[RM_Code],$A86,T_StockCount[WeekIndex],41)&gt;0,SUMIFS(T_StockCount[CountedQty],T_StockCount[RM_Code],$A86,T_StockCount[WeekIndex],41),IF((COUNTIFS(T_SelfStock[RM_Code],$A86,T_SelfStock[WeekIndex],41)&gt;0)*(COUNTIFS(T_TTAFStock[RM_Code],$A86,T_TTAFStock[WeekIndex],41)&gt;0)&gt;0,SUMIFS(T_SelfStock[Self_Qty],T_SelfStock[RM_Code],$A86,T_SelfStock[WeekIndex],41)+SUMIFS(T_TTAFStock[TTAF_Qty],T_TTAFStock[RM_Code],$A86,T_TTAFStock[WeekIndex],41),AO86+'Grid_Incoming'!AP86-'Grid_Requirement'!AP86))</f>
        <v/>
      </c>
      <c r="AQ86">
        <f>IF(COUNTIFS(T_StockCount[RM_Code],$A86,T_StockCount[WeekIndex],42)&gt;0,SUMIFS(T_StockCount[CountedQty],T_StockCount[RM_Code],$A86,T_StockCount[WeekIndex],42),IF((COUNTIFS(T_SelfStock[RM_Code],$A86,T_SelfStock[WeekIndex],42)&gt;0)*(COUNTIFS(T_TTAFStock[RM_Code],$A86,T_TTAFStock[WeekIndex],42)&gt;0)&gt;0,SUMIFS(T_SelfStock[Self_Qty],T_SelfStock[RM_Code],$A86,T_SelfStock[WeekIndex],42)+SUMIFS(T_TTAFStock[TTAF_Qty],T_TTAFStock[RM_Code],$A86,T_TTAFStock[WeekIndex],42),AP86+'Grid_Incoming'!AQ86-'Grid_Requirement'!AQ86))</f>
        <v/>
      </c>
      <c r="AR86">
        <f>IF(COUNTIFS(T_StockCount[RM_Code],$A86,T_StockCount[WeekIndex],43)&gt;0,SUMIFS(T_StockCount[CountedQty],T_StockCount[RM_Code],$A86,T_StockCount[WeekIndex],43),IF((COUNTIFS(T_SelfStock[RM_Code],$A86,T_SelfStock[WeekIndex],43)&gt;0)*(COUNTIFS(T_TTAFStock[RM_Code],$A86,T_TTAFStock[WeekIndex],43)&gt;0)&gt;0,SUMIFS(T_SelfStock[Self_Qty],T_SelfStock[RM_Code],$A86,T_SelfStock[WeekIndex],43)+SUMIFS(T_TTAFStock[TTAF_Qty],T_TTAFStock[RM_Code],$A86,T_TTAFStock[WeekIndex],43),AQ86+'Grid_Incoming'!AR86-'Grid_Requirement'!AR86))</f>
        <v/>
      </c>
      <c r="AS86">
        <f>IF(COUNTIFS(T_StockCount[RM_Code],$A86,T_StockCount[WeekIndex],44)&gt;0,SUMIFS(T_StockCount[CountedQty],T_StockCount[RM_Code],$A86,T_StockCount[WeekIndex],44),IF((COUNTIFS(T_SelfStock[RM_Code],$A86,T_SelfStock[WeekIndex],44)&gt;0)*(COUNTIFS(T_TTAFStock[RM_Code],$A86,T_TTAFStock[WeekIndex],44)&gt;0)&gt;0,SUMIFS(T_SelfStock[Self_Qty],T_SelfStock[RM_Code],$A86,T_SelfStock[WeekIndex],44)+SUMIFS(T_TTAFStock[TTAF_Qty],T_TTAFStock[RM_Code],$A86,T_TTAFStock[WeekIndex],44),AR86+'Grid_Incoming'!AS86-'Grid_Requirement'!AS86))</f>
        <v/>
      </c>
      <c r="AT86">
        <f>IF(COUNTIFS(T_StockCount[RM_Code],$A86,T_StockCount[WeekIndex],45)&gt;0,SUMIFS(T_StockCount[CountedQty],T_StockCount[RM_Code],$A86,T_StockCount[WeekIndex],45),IF((COUNTIFS(T_SelfStock[RM_Code],$A86,T_SelfStock[WeekIndex],45)&gt;0)*(COUNTIFS(T_TTAFStock[RM_Code],$A86,T_TTAFStock[WeekIndex],45)&gt;0)&gt;0,SUMIFS(T_SelfStock[Self_Qty],T_SelfStock[RM_Code],$A86,T_SelfStock[WeekIndex],45)+SUMIFS(T_TTAFStock[TTAF_Qty],T_TTAFStock[RM_Code],$A86,T_TTAFStock[WeekIndex],45),AS86+'Grid_Incoming'!AT86-'Grid_Requirement'!AT86))</f>
        <v/>
      </c>
      <c r="AU86">
        <f>IF(COUNTIFS(T_StockCount[RM_Code],$A86,T_StockCount[WeekIndex],46)&gt;0,SUMIFS(T_StockCount[CountedQty],T_StockCount[RM_Code],$A86,T_StockCount[WeekIndex],46),IF((COUNTIFS(T_SelfStock[RM_Code],$A86,T_SelfStock[WeekIndex],46)&gt;0)*(COUNTIFS(T_TTAFStock[RM_Code],$A86,T_TTAFStock[WeekIndex],46)&gt;0)&gt;0,SUMIFS(T_SelfStock[Self_Qty],T_SelfStock[RM_Code],$A86,T_SelfStock[WeekIndex],46)+SUMIFS(T_TTAFStock[TTAF_Qty],T_TTAFStock[RM_Code],$A86,T_TTAFStock[WeekIndex],46),AT86+'Grid_Incoming'!AU86-'Grid_Requirement'!AU86))</f>
        <v/>
      </c>
      <c r="AV86">
        <f>IF(COUNTIFS(T_StockCount[RM_Code],$A86,T_StockCount[WeekIndex],47)&gt;0,SUMIFS(T_StockCount[CountedQty],T_StockCount[RM_Code],$A86,T_StockCount[WeekIndex],47),IF((COUNTIFS(T_SelfStock[RM_Code],$A86,T_SelfStock[WeekIndex],47)&gt;0)*(COUNTIFS(T_TTAFStock[RM_Code],$A86,T_TTAFStock[WeekIndex],47)&gt;0)&gt;0,SUMIFS(T_SelfStock[Self_Qty],T_SelfStock[RM_Code],$A86,T_SelfStock[WeekIndex],47)+SUMIFS(T_TTAFStock[TTAF_Qty],T_TTAFStock[RM_Code],$A86,T_TTAFStock[WeekIndex],47),AU86+'Grid_Incoming'!AV86-'Grid_Requirement'!AV86))</f>
        <v/>
      </c>
      <c r="AW86">
        <f>IF(COUNTIFS(T_StockCount[RM_Code],$A86,T_StockCount[WeekIndex],48)&gt;0,SUMIFS(T_StockCount[CountedQty],T_StockCount[RM_Code],$A86,T_StockCount[WeekIndex],48),IF((COUNTIFS(T_SelfStock[RM_Code],$A86,T_SelfStock[WeekIndex],48)&gt;0)*(COUNTIFS(T_TTAFStock[RM_Code],$A86,T_TTAFStock[WeekIndex],48)&gt;0)&gt;0,SUMIFS(T_SelfStock[Self_Qty],T_SelfStock[RM_Code],$A86,T_SelfStock[WeekIndex],48)+SUMIFS(T_TTAFStock[TTAF_Qty],T_TTAFStock[RM_Code],$A86,T_TTAFStock[WeekIndex],48),AV86+'Grid_Incoming'!AW86-'Grid_Requirement'!AW86))</f>
        <v/>
      </c>
      <c r="AX86">
        <f>IF(COUNTIFS(T_StockCount[RM_Code],$A86,T_StockCount[WeekIndex],49)&gt;0,SUMIFS(T_StockCount[CountedQty],T_StockCount[RM_Code],$A86,T_StockCount[WeekIndex],49),IF((COUNTIFS(T_SelfStock[RM_Code],$A86,T_SelfStock[WeekIndex],49)&gt;0)*(COUNTIFS(T_TTAFStock[RM_Code],$A86,T_TTAFStock[WeekIndex],49)&gt;0)&gt;0,SUMIFS(T_SelfStock[Self_Qty],T_SelfStock[RM_Code],$A86,T_SelfStock[WeekIndex],49)+SUMIFS(T_TTAFStock[TTAF_Qty],T_TTAFStock[RM_Code],$A86,T_TTAFStock[WeekIndex],49),AW86+'Grid_Incoming'!AX86-'Grid_Requirement'!AX86))</f>
        <v/>
      </c>
      <c r="AY86">
        <f>IF(COUNTIFS(T_StockCount[RM_Code],$A86,T_StockCount[WeekIndex],50)&gt;0,SUMIFS(T_StockCount[CountedQty],T_StockCount[RM_Code],$A86,T_StockCount[WeekIndex],50),IF((COUNTIFS(T_SelfStock[RM_Code],$A86,T_SelfStock[WeekIndex],50)&gt;0)*(COUNTIFS(T_TTAFStock[RM_Code],$A86,T_TTAFStock[WeekIndex],50)&gt;0)&gt;0,SUMIFS(T_SelfStock[Self_Qty],T_SelfStock[RM_Code],$A86,T_SelfStock[WeekIndex],50)+SUMIFS(T_TTAFStock[TTAF_Qty],T_TTAFStock[RM_Code],$A86,T_TTAFStock[WeekIndex],50),AX86+'Grid_Incoming'!AY86-'Grid_Requirement'!AY86))</f>
        <v/>
      </c>
      <c r="AZ86">
        <f>IF(COUNTIFS(T_StockCount[RM_Code],$A86,T_StockCount[WeekIndex],51)&gt;0,SUMIFS(T_StockCount[CountedQty],T_StockCount[RM_Code],$A86,T_StockCount[WeekIndex],51),IF((COUNTIFS(T_SelfStock[RM_Code],$A86,T_SelfStock[WeekIndex],51)&gt;0)*(COUNTIFS(T_TTAFStock[RM_Code],$A86,T_TTAFStock[WeekIndex],51)&gt;0)&gt;0,SUMIFS(T_SelfStock[Self_Qty],T_SelfStock[RM_Code],$A86,T_SelfStock[WeekIndex],51)+SUMIFS(T_TTAFStock[TTAF_Qty],T_TTAFStock[RM_Code],$A86,T_TTAFStock[WeekIndex],51),AY86+'Grid_Incoming'!AZ86-'Grid_Requirement'!AZ86))</f>
        <v/>
      </c>
      <c r="BA86">
        <f>IF(COUNTIFS(T_StockCount[RM_Code],$A86,T_StockCount[WeekIndex],52)&gt;0,SUMIFS(T_StockCount[CountedQty],T_StockCount[RM_Code],$A86,T_StockCount[WeekIndex],52),IF((COUNTIFS(T_SelfStock[RM_Code],$A86,T_SelfStock[WeekIndex],52)&gt;0)*(COUNTIFS(T_TTAFStock[RM_Code],$A86,T_TTAFStock[WeekIndex],52)&gt;0)&gt;0,SUMIFS(T_SelfStock[Self_Qty],T_SelfStock[RM_Code],$A86,T_SelfStock[WeekIndex],52)+SUMIFS(T_TTAFStock[TTAF_Qty],T_TTAFStock[RM_Code],$A86,T_TTAFStock[WeekIndex],52),AZ86+'Grid_Incoming'!BA86-'Grid_Requirement'!BA86))</f>
        <v/>
      </c>
      <c r="BB86">
        <f>IF(COUNTIFS(T_StockCount[RM_Code],$A86,T_StockCount[WeekIndex],53)&gt;0,SUMIFS(T_StockCount[CountedQty],T_StockCount[RM_Code],$A86,T_StockCount[WeekIndex],53),IF((COUNTIFS(T_SelfStock[RM_Code],$A86,T_SelfStock[WeekIndex],53)&gt;0)*(COUNTIFS(T_TTAFStock[RM_Code],$A86,T_TTAFStock[WeekIndex],53)&gt;0)&gt;0,SUMIFS(T_SelfStock[Self_Qty],T_SelfStock[RM_Code],$A86,T_SelfStock[WeekIndex],53)+SUMIFS(T_TTAFStock[TTAF_Qty],T_TTAFStock[RM_Code],$A86,T_TTAFStock[WeekIndex],53),BA86+'Grid_Incoming'!BB86-'Grid_Requirement'!BB86))</f>
        <v/>
      </c>
      <c r="BC86">
        <f>IF(COUNTIFS(T_StockCount[RM_Code],$A86,T_StockCount[WeekIndex],54)&gt;0,SUMIFS(T_StockCount[CountedQty],T_StockCount[RM_Code],$A86,T_StockCount[WeekIndex],54),IF((COUNTIFS(T_SelfStock[RM_Code],$A86,T_SelfStock[WeekIndex],54)&gt;0)*(COUNTIFS(T_TTAFStock[RM_Code],$A86,T_TTAFStock[WeekIndex],54)&gt;0)&gt;0,SUMIFS(T_SelfStock[Self_Qty],T_SelfStock[RM_Code],$A86,T_SelfStock[WeekIndex],54)+SUMIFS(T_TTAFStock[TTAF_Qty],T_TTAFStock[RM_Code],$A86,T_TTAFStock[WeekIndex],54),BB86+'Grid_Incoming'!BC86-'Grid_Requirement'!BC86))</f>
        <v/>
      </c>
      <c r="BD86">
        <f>IF(COUNTIFS(T_StockCount[RM_Code],$A86,T_StockCount[WeekIndex],55)&gt;0,SUMIFS(T_StockCount[CountedQty],T_StockCount[RM_Code],$A86,T_StockCount[WeekIndex],55),IF((COUNTIFS(T_SelfStock[RM_Code],$A86,T_SelfStock[WeekIndex],55)&gt;0)*(COUNTIFS(T_TTAFStock[RM_Code],$A86,T_TTAFStock[WeekIndex],55)&gt;0)&gt;0,SUMIFS(T_SelfStock[Self_Qty],T_SelfStock[RM_Code],$A86,T_SelfStock[WeekIndex],55)+SUMIFS(T_TTAFStock[TTAF_Qty],T_TTAFStock[RM_Code],$A86,T_TTAFStock[WeekIndex],55),BC86+'Grid_Incoming'!BD86-'Grid_Requirement'!BD86))</f>
        <v/>
      </c>
      <c r="BE86">
        <f>IF(COUNTIFS(T_StockCount[RM_Code],$A86,T_StockCount[WeekIndex],56)&gt;0,SUMIFS(T_StockCount[CountedQty],T_StockCount[RM_Code],$A86,T_StockCount[WeekIndex],56),IF((COUNTIFS(T_SelfStock[RM_Code],$A86,T_SelfStock[WeekIndex],56)&gt;0)*(COUNTIFS(T_TTAFStock[RM_Code],$A86,T_TTAFStock[WeekIndex],56)&gt;0)&gt;0,SUMIFS(T_SelfStock[Self_Qty],T_SelfStock[RM_Code],$A86,T_SelfStock[WeekIndex],56)+SUMIFS(T_TTAFStock[TTAF_Qty],T_TTAFStock[RM_Code],$A86,T_TTAFStock[WeekIndex],56),BD86+'Grid_Incoming'!BE86-'Grid_Requirement'!BE86))</f>
        <v/>
      </c>
      <c r="BF86">
        <f>IF(COUNTIFS(T_StockCount[RM_Code],$A86,T_StockCount[WeekIndex],57)&gt;0,SUMIFS(T_StockCount[CountedQty],T_StockCount[RM_Code],$A86,T_StockCount[WeekIndex],57),IF((COUNTIFS(T_SelfStock[RM_Code],$A86,T_SelfStock[WeekIndex],57)&gt;0)*(COUNTIFS(T_TTAFStock[RM_Code],$A86,T_TTAFStock[WeekIndex],57)&gt;0)&gt;0,SUMIFS(T_SelfStock[Self_Qty],T_SelfStock[RM_Code],$A86,T_SelfStock[WeekIndex],57)+SUMIFS(T_TTAFStock[TTAF_Qty],T_TTAFStock[RM_Code],$A86,T_TTAFStock[WeekIndex],57),BE86+'Grid_Incoming'!BF86-'Grid_Requirement'!BF86))</f>
        <v/>
      </c>
      <c r="BG86">
        <f>IF(COUNTIFS(T_StockCount[RM_Code],$A86,T_StockCount[WeekIndex],58)&gt;0,SUMIFS(T_StockCount[CountedQty],T_StockCount[RM_Code],$A86,T_StockCount[WeekIndex],58),IF((COUNTIFS(T_SelfStock[RM_Code],$A86,T_SelfStock[WeekIndex],58)&gt;0)*(COUNTIFS(T_TTAFStock[RM_Code],$A86,T_TTAFStock[WeekIndex],58)&gt;0)&gt;0,SUMIFS(T_SelfStock[Self_Qty],T_SelfStock[RM_Code],$A86,T_SelfStock[WeekIndex],58)+SUMIFS(T_TTAFStock[TTAF_Qty],T_TTAFStock[RM_Code],$A86,T_TTAFStock[WeekIndex],58),BF86+'Grid_Incoming'!BG86-'Grid_Requirement'!BG86))</f>
        <v/>
      </c>
      <c r="BH86">
        <f>IF(COUNTIFS(T_StockCount[RM_Code],$A86,T_StockCount[WeekIndex],59)&gt;0,SUMIFS(T_StockCount[CountedQty],T_StockCount[RM_Code],$A86,T_StockCount[WeekIndex],59),IF((COUNTIFS(T_SelfStock[RM_Code],$A86,T_SelfStock[WeekIndex],59)&gt;0)*(COUNTIFS(T_TTAFStock[RM_Code],$A86,T_TTAFStock[WeekIndex],59)&gt;0)&gt;0,SUMIFS(T_SelfStock[Self_Qty],T_SelfStock[RM_Code],$A86,T_SelfStock[WeekIndex],59)+SUMIFS(T_TTAFStock[TTAF_Qty],T_TTAFStock[RM_Code],$A86,T_TTAFStock[WeekIndex],59),BG86+'Grid_Incoming'!BH86-'Grid_Requirement'!BH86))</f>
        <v/>
      </c>
      <c r="BI86">
        <f>IF(COUNTIFS(T_StockCount[RM_Code],$A86,T_StockCount[WeekIndex],60)&gt;0,SUMIFS(T_StockCount[CountedQty],T_StockCount[RM_Code],$A86,T_StockCount[WeekIndex],60),IF((COUNTIFS(T_SelfStock[RM_Code],$A86,T_SelfStock[WeekIndex],60)&gt;0)*(COUNTIFS(T_TTAFStock[RM_Code],$A86,T_TTAFStock[WeekIndex],60)&gt;0)&gt;0,SUMIFS(T_SelfStock[Self_Qty],T_SelfStock[RM_Code],$A86,T_SelfStock[WeekIndex],60)+SUMIFS(T_TTAFStock[TTAF_Qty],T_TTAFStock[RM_Code],$A86,T_TTAFStock[WeekIndex],60),BH86+'Grid_Incoming'!BI86-'Grid_Requirement'!BI86))</f>
        <v/>
      </c>
      <c r="BJ86">
        <f>IF(COUNTIFS(T_StockCount[RM_Code],$A86,T_StockCount[WeekIndex],61)&gt;0,SUMIFS(T_StockCount[CountedQty],T_StockCount[RM_Code],$A86,T_StockCount[WeekIndex],61),IF((COUNTIFS(T_SelfStock[RM_Code],$A86,T_SelfStock[WeekIndex],61)&gt;0)*(COUNTIFS(T_TTAFStock[RM_Code],$A86,T_TTAFStock[WeekIndex],61)&gt;0)&gt;0,SUMIFS(T_SelfStock[Self_Qty],T_SelfStock[RM_Code],$A86,T_SelfStock[WeekIndex],61)+SUMIFS(T_TTAFStock[TTAF_Qty],T_TTAFStock[RM_Code],$A86,T_TTAFStock[WeekIndex],61),BI86+'Grid_Incoming'!BJ86-'Grid_Requirement'!BJ86))</f>
        <v/>
      </c>
      <c r="BK86">
        <f>IF(COUNTIFS(T_StockCount[RM_Code],$A86,T_StockCount[WeekIndex],62)&gt;0,SUMIFS(T_StockCount[CountedQty],T_StockCount[RM_Code],$A86,T_StockCount[WeekIndex],62),IF((COUNTIFS(T_SelfStock[RM_Code],$A86,T_SelfStock[WeekIndex],62)&gt;0)*(COUNTIFS(T_TTAFStock[RM_Code],$A86,T_TTAFStock[WeekIndex],62)&gt;0)&gt;0,SUMIFS(T_SelfStock[Self_Qty],T_SelfStock[RM_Code],$A86,T_SelfStock[WeekIndex],62)+SUMIFS(T_TTAFStock[TTAF_Qty],T_TTAFStock[RM_Code],$A86,T_TTAFStock[WeekIndex],62),BJ86+'Grid_Incoming'!BK86-'Grid_Requirement'!BK86))</f>
        <v/>
      </c>
      <c r="BL86">
        <f>IF(COUNTIFS(T_StockCount[RM_Code],$A86,T_StockCount[WeekIndex],63)&gt;0,SUMIFS(T_StockCount[CountedQty],T_StockCount[RM_Code],$A86,T_StockCount[WeekIndex],63),IF((COUNTIFS(T_SelfStock[RM_Code],$A86,T_SelfStock[WeekIndex],63)&gt;0)*(COUNTIFS(T_TTAFStock[RM_Code],$A86,T_TTAFStock[WeekIndex],63)&gt;0)&gt;0,SUMIFS(T_SelfStock[Self_Qty],T_SelfStock[RM_Code],$A86,T_SelfStock[WeekIndex],63)+SUMIFS(T_TTAFStock[TTAF_Qty],T_TTAFStock[RM_Code],$A86,T_TTAFStock[WeekIndex],63),BK86+'Grid_Incoming'!BL86-'Grid_Requirement'!BL86))</f>
        <v/>
      </c>
      <c r="BM86">
        <f>IF(COUNTIFS(T_StockCount[RM_Code],$A86,T_StockCount[WeekIndex],64)&gt;0,SUMIFS(T_StockCount[CountedQty],T_StockCount[RM_Code],$A86,T_StockCount[WeekIndex],64),IF((COUNTIFS(T_SelfStock[RM_Code],$A86,T_SelfStock[WeekIndex],64)&gt;0)*(COUNTIFS(T_TTAFStock[RM_Code],$A86,T_TTAFStock[WeekIndex],64)&gt;0)&gt;0,SUMIFS(T_SelfStock[Self_Qty],T_SelfStock[RM_Code],$A86,T_SelfStock[WeekIndex],64)+SUMIFS(T_TTAFStock[TTAF_Qty],T_TTAFStock[RM_Code],$A86,T_TTAFStock[WeekIndex],64),BL86+'Grid_Incoming'!BM86-'Grid_Requirement'!BM86))</f>
        <v/>
      </c>
      <c r="BN86">
        <f>IF(COUNTIFS(T_StockCount[RM_Code],$A86,T_StockCount[WeekIndex],65)&gt;0,SUMIFS(T_StockCount[CountedQty],T_StockCount[RM_Code],$A86,T_StockCount[WeekIndex],65),IF((COUNTIFS(T_SelfStock[RM_Code],$A86,T_SelfStock[WeekIndex],65)&gt;0)*(COUNTIFS(T_TTAFStock[RM_Code],$A86,T_TTAFStock[WeekIndex],65)&gt;0)&gt;0,SUMIFS(T_SelfStock[Self_Qty],T_SelfStock[RM_Code],$A86,T_SelfStock[WeekIndex],65)+SUMIFS(T_TTAFStock[TTAF_Qty],T_TTAFStock[RM_Code],$A86,T_TTAFStock[WeekIndex],65),BM86+'Grid_Incoming'!BN86-'Grid_Requirement'!BN86))</f>
        <v/>
      </c>
      <c r="BO86">
        <f>IF(COUNTIFS(T_StockCount[RM_Code],$A86,T_StockCount[WeekIndex],66)&gt;0,SUMIFS(T_StockCount[CountedQty],T_StockCount[RM_Code],$A86,T_StockCount[WeekIndex],66),IF((COUNTIFS(T_SelfStock[RM_Code],$A86,T_SelfStock[WeekIndex],66)&gt;0)*(COUNTIFS(T_TTAFStock[RM_Code],$A86,T_TTAFStock[WeekIndex],66)&gt;0)&gt;0,SUMIFS(T_SelfStock[Self_Qty],T_SelfStock[RM_Code],$A86,T_SelfStock[WeekIndex],66)+SUMIFS(T_TTAFStock[TTAF_Qty],T_TTAFStock[RM_Code],$A86,T_TTAFStock[WeekIndex],66),BN86+'Grid_Incoming'!BO86-'Grid_Requirement'!BO86))</f>
        <v/>
      </c>
      <c r="BP86">
        <f>IF(COUNTIFS(T_StockCount[RM_Code],$A86,T_StockCount[WeekIndex],67)&gt;0,SUMIFS(T_StockCount[CountedQty],T_StockCount[RM_Code],$A86,T_StockCount[WeekIndex],67),IF((COUNTIFS(T_SelfStock[RM_Code],$A86,T_SelfStock[WeekIndex],67)&gt;0)*(COUNTIFS(T_TTAFStock[RM_Code],$A86,T_TTAFStock[WeekIndex],67)&gt;0)&gt;0,SUMIFS(T_SelfStock[Self_Qty],T_SelfStock[RM_Code],$A86,T_SelfStock[WeekIndex],67)+SUMIFS(T_TTAFStock[TTAF_Qty],T_TTAFStock[RM_Code],$A86,T_TTAFStock[WeekIndex],67),BO86+'Grid_Incoming'!BP86-'Grid_Requirement'!BP86))</f>
        <v/>
      </c>
      <c r="BQ86">
        <f>IF(COUNTIFS(T_StockCount[RM_Code],$A86,T_StockCount[WeekIndex],68)&gt;0,SUMIFS(T_StockCount[CountedQty],T_StockCount[RM_Code],$A86,T_StockCount[WeekIndex],68),IF((COUNTIFS(T_SelfStock[RM_Code],$A86,T_SelfStock[WeekIndex],68)&gt;0)*(COUNTIFS(T_TTAFStock[RM_Code],$A86,T_TTAFStock[WeekIndex],68)&gt;0)&gt;0,SUMIFS(T_SelfStock[Self_Qty],T_SelfStock[RM_Code],$A86,T_SelfStock[WeekIndex],68)+SUMIFS(T_TTAFStock[TTAF_Qty],T_TTAFStock[RM_Code],$A86,T_TTAFStock[WeekIndex],68),BP86+'Grid_Incoming'!BQ86-'Grid_Requirement'!BQ86))</f>
        <v/>
      </c>
      <c r="BR86">
        <f>IF(COUNTIFS(T_StockCount[RM_Code],$A86,T_StockCount[WeekIndex],69)&gt;0,SUMIFS(T_StockCount[CountedQty],T_StockCount[RM_Code],$A86,T_StockCount[WeekIndex],69),IF((COUNTIFS(T_SelfStock[RM_Code],$A86,T_SelfStock[WeekIndex],69)&gt;0)*(COUNTIFS(T_TTAFStock[RM_Code],$A86,T_TTAFStock[WeekIndex],69)&gt;0)&gt;0,SUMIFS(T_SelfStock[Self_Qty],T_SelfStock[RM_Code],$A86,T_SelfStock[WeekIndex],69)+SUMIFS(T_TTAFStock[TTAF_Qty],T_TTAFStock[RM_Code],$A86,T_TTAFStock[WeekIndex],69),BQ86+'Grid_Incoming'!BR86-'Grid_Requirement'!BR86))</f>
        <v/>
      </c>
      <c r="BS86">
        <f>IF(COUNTIFS(T_StockCount[RM_Code],$A86,T_StockCount[WeekIndex],70)&gt;0,SUMIFS(T_StockCount[CountedQty],T_StockCount[RM_Code],$A86,T_StockCount[WeekIndex],70),IF((COUNTIFS(T_SelfStock[RM_Code],$A86,T_SelfStock[WeekIndex],70)&gt;0)*(COUNTIFS(T_TTAFStock[RM_Code],$A86,T_TTAFStock[WeekIndex],70)&gt;0)&gt;0,SUMIFS(T_SelfStock[Self_Qty],T_SelfStock[RM_Code],$A86,T_SelfStock[WeekIndex],70)+SUMIFS(T_TTAFStock[TTAF_Qty],T_TTAFStock[RM_Code],$A86,T_TTAFStock[WeekIndex],70),BR86+'Grid_Incoming'!BS86-'Grid_Requirement'!BS86))</f>
        <v/>
      </c>
      <c r="BT86">
        <f>IF(COUNTIFS(T_StockCount[RM_Code],$A86,T_StockCount[WeekIndex],71)&gt;0,SUMIFS(T_StockCount[CountedQty],T_StockCount[RM_Code],$A86,T_StockCount[WeekIndex],71),IF((COUNTIFS(T_SelfStock[RM_Code],$A86,T_SelfStock[WeekIndex],71)&gt;0)*(COUNTIFS(T_TTAFStock[RM_Code],$A86,T_TTAFStock[WeekIndex],71)&gt;0)&gt;0,SUMIFS(T_SelfStock[Self_Qty],T_SelfStock[RM_Code],$A86,T_SelfStock[WeekIndex],71)+SUMIFS(T_TTAFStock[TTAF_Qty],T_TTAFStock[RM_Code],$A86,T_TTAFStock[WeekIndex],71),BS86+'Grid_Incoming'!BT86-'Grid_Requirement'!BT86))</f>
        <v/>
      </c>
      <c r="BU86">
        <f>IF(COUNTIFS(T_StockCount[RM_Code],$A86,T_StockCount[WeekIndex],72)&gt;0,SUMIFS(T_StockCount[CountedQty],T_StockCount[RM_Code],$A86,T_StockCount[WeekIndex],72),IF((COUNTIFS(T_SelfStock[RM_Code],$A86,T_SelfStock[WeekIndex],72)&gt;0)*(COUNTIFS(T_TTAFStock[RM_Code],$A86,T_TTAFStock[WeekIndex],72)&gt;0)&gt;0,SUMIFS(T_SelfStock[Self_Qty],T_SelfStock[RM_Code],$A86,T_SelfStock[WeekIndex],72)+SUMIFS(T_TTAFStock[TTAF_Qty],T_TTAFStock[RM_Code],$A86,T_TTAFStock[WeekIndex],72),BT86+'Grid_Incoming'!BU86-'Grid_Requirement'!BU86))</f>
        <v/>
      </c>
      <c r="BV86">
        <f>IF(COUNTIFS(T_StockCount[RM_Code],$A86,T_StockCount[WeekIndex],73)&gt;0,SUMIFS(T_StockCount[CountedQty],T_StockCount[RM_Code],$A86,T_StockCount[WeekIndex],73),IF((COUNTIFS(T_SelfStock[RM_Code],$A86,T_SelfStock[WeekIndex],73)&gt;0)*(COUNTIFS(T_TTAFStock[RM_Code],$A86,T_TTAFStock[WeekIndex],73)&gt;0)&gt;0,SUMIFS(T_SelfStock[Self_Qty],T_SelfStock[RM_Code],$A86,T_SelfStock[WeekIndex],73)+SUMIFS(T_TTAFStock[TTAF_Qty],T_TTAFStock[RM_Code],$A86,T_TTAFStock[WeekIndex],73),BU86+'Grid_Incoming'!BV86-'Grid_Requirement'!BV86))</f>
        <v/>
      </c>
      <c r="BW86">
        <f>IF(COUNTIFS(T_StockCount[RM_Code],$A86,T_StockCount[WeekIndex],74)&gt;0,SUMIFS(T_StockCount[CountedQty],T_StockCount[RM_Code],$A86,T_StockCount[WeekIndex],74),IF((COUNTIFS(T_SelfStock[RM_Code],$A86,T_SelfStock[WeekIndex],74)&gt;0)*(COUNTIFS(T_TTAFStock[RM_Code],$A86,T_TTAFStock[WeekIndex],74)&gt;0)&gt;0,SUMIFS(T_SelfStock[Self_Qty],T_SelfStock[RM_Code],$A86,T_SelfStock[WeekIndex],74)+SUMIFS(T_TTAFStock[TTAF_Qty],T_TTAFStock[RM_Code],$A86,T_TTAFStock[WeekIndex],74),BV86+'Grid_Incoming'!BW86-'Grid_Requirement'!BW86))</f>
        <v/>
      </c>
      <c r="BX86">
        <f>IF(COUNTIFS(T_StockCount[RM_Code],$A86,T_StockCount[WeekIndex],75)&gt;0,SUMIFS(T_StockCount[CountedQty],T_StockCount[RM_Code],$A86,T_StockCount[WeekIndex],75),IF((COUNTIFS(T_SelfStock[RM_Code],$A86,T_SelfStock[WeekIndex],75)&gt;0)*(COUNTIFS(T_TTAFStock[RM_Code],$A86,T_TTAFStock[WeekIndex],75)&gt;0)&gt;0,SUMIFS(T_SelfStock[Self_Qty],T_SelfStock[RM_Code],$A86,T_SelfStock[WeekIndex],75)+SUMIFS(T_TTAFStock[TTAF_Qty],T_TTAFStock[RM_Code],$A86,T_TTAFStock[WeekIndex],75),BW86+'Grid_Incoming'!BX86-'Grid_Requirement'!BX86))</f>
        <v/>
      </c>
      <c r="BY86">
        <f>IF(COUNTIFS(T_StockCount[RM_Code],$A86,T_StockCount[WeekIndex],76)&gt;0,SUMIFS(T_StockCount[CountedQty],T_StockCount[RM_Code],$A86,T_StockCount[WeekIndex],76),IF((COUNTIFS(T_SelfStock[RM_Code],$A86,T_SelfStock[WeekIndex],76)&gt;0)*(COUNTIFS(T_TTAFStock[RM_Code],$A86,T_TTAFStock[WeekIndex],76)&gt;0)&gt;0,SUMIFS(T_SelfStock[Self_Qty],T_SelfStock[RM_Code],$A86,T_SelfStock[WeekIndex],76)+SUMIFS(T_TTAFStock[TTAF_Qty],T_TTAFStock[RM_Code],$A86,T_TTAFStock[WeekIndex],76),BX86+'Grid_Incoming'!BY86-'Grid_Requirement'!BY86))</f>
        <v/>
      </c>
      <c r="BZ86">
        <f>IF(COUNTIFS(T_StockCount[RM_Code],$A86,T_StockCount[WeekIndex],77)&gt;0,SUMIFS(T_StockCount[CountedQty],T_StockCount[RM_Code],$A86,T_StockCount[WeekIndex],77),IF((COUNTIFS(T_SelfStock[RM_Code],$A86,T_SelfStock[WeekIndex],77)&gt;0)*(COUNTIFS(T_TTAFStock[RM_Code],$A86,T_TTAFStock[WeekIndex],77)&gt;0)&gt;0,SUMIFS(T_SelfStock[Self_Qty],T_SelfStock[RM_Code],$A86,T_SelfStock[WeekIndex],77)+SUMIFS(T_TTAFStock[TTAF_Qty],T_TTAFStock[RM_Code],$A86,T_TTAFStock[WeekIndex],77),BY86+'Grid_Incoming'!BZ86-'Grid_Requirement'!BZ86))</f>
        <v/>
      </c>
      <c r="CA86">
        <f>IF(COUNTIFS(T_StockCount[RM_Code],$A86,T_StockCount[WeekIndex],78)&gt;0,SUMIFS(T_StockCount[CountedQty],T_StockCount[RM_Code],$A86,T_StockCount[WeekIndex],78),IF((COUNTIFS(T_SelfStock[RM_Code],$A86,T_SelfStock[WeekIndex],78)&gt;0)*(COUNTIFS(T_TTAFStock[RM_Code],$A86,T_TTAFStock[WeekIndex],78)&gt;0)&gt;0,SUMIFS(T_SelfStock[Self_Qty],T_SelfStock[RM_Code],$A86,T_SelfStock[WeekIndex],78)+SUMIFS(T_TTAFStock[TTAF_Qty],T_TTAFStock[RM_Code],$A86,T_TTAFStock[WeekIndex],78),BZ86+'Grid_Incoming'!CA86-'Grid_Requirement'!CA86))</f>
        <v/>
      </c>
      <c r="CB86">
        <f>IF(COUNTIFS(T_StockCount[RM_Code],$A86,T_StockCount[WeekIndex],79)&gt;0,SUMIFS(T_StockCount[CountedQty],T_StockCount[RM_Code],$A86,T_StockCount[WeekIndex],79),IF((COUNTIFS(T_SelfStock[RM_Code],$A86,T_SelfStock[WeekIndex],79)&gt;0)*(COUNTIFS(T_TTAFStock[RM_Code],$A86,T_TTAFStock[WeekIndex],79)&gt;0)&gt;0,SUMIFS(T_SelfStock[Self_Qty],T_SelfStock[RM_Code],$A86,T_SelfStock[WeekIndex],79)+SUMIFS(T_TTAFStock[TTAF_Qty],T_TTAFStock[RM_Code],$A86,T_TTAFStock[WeekIndex],79),CA86+'Grid_Incoming'!CB86-'Grid_Requirement'!CB86))</f>
        <v/>
      </c>
      <c r="CC86">
        <f>IF(COUNTIFS(T_StockCount[RM_Code],$A86,T_StockCount[WeekIndex],80)&gt;0,SUMIFS(T_StockCount[CountedQty],T_StockCount[RM_Code],$A86,T_StockCount[WeekIndex],80),IF((COUNTIFS(T_SelfStock[RM_Code],$A86,T_SelfStock[WeekIndex],80)&gt;0)*(COUNTIFS(T_TTAFStock[RM_Code],$A86,T_TTAFStock[WeekIndex],80)&gt;0)&gt;0,SUMIFS(T_SelfStock[Self_Qty],T_SelfStock[RM_Code],$A86,T_SelfStock[WeekIndex],80)+SUMIFS(T_TTAFStock[TTAF_Qty],T_TTAFStock[RM_Code],$A86,T_TTAFStock[WeekIndex],80),CB86+'Grid_Incoming'!CC86-'Grid_Requirement'!CC86))</f>
        <v/>
      </c>
      <c r="CD86">
        <f>IF(COUNTIFS(T_StockCount[RM_Code],$A86,T_StockCount[WeekIndex],81)&gt;0,SUMIFS(T_StockCount[CountedQty],T_StockCount[RM_Code],$A86,T_StockCount[WeekIndex],81),IF((COUNTIFS(T_SelfStock[RM_Code],$A86,T_SelfStock[WeekIndex],81)&gt;0)*(COUNTIFS(T_TTAFStock[RM_Code],$A86,T_TTAFStock[WeekIndex],81)&gt;0)&gt;0,SUMIFS(T_SelfStock[Self_Qty],T_SelfStock[RM_Code],$A86,T_SelfStock[WeekIndex],81)+SUMIFS(T_TTAFStock[TTAF_Qty],T_TTAFStock[RM_Code],$A86,T_TTAFStock[WeekIndex],81),CC86+'Grid_Incoming'!CD86-'Grid_Requirement'!CD86))</f>
        <v/>
      </c>
      <c r="CE86">
        <f>IF(COUNTIFS(T_StockCount[RM_Code],$A86,T_StockCount[WeekIndex],82)&gt;0,SUMIFS(T_StockCount[CountedQty],T_StockCount[RM_Code],$A86,T_StockCount[WeekIndex],82),IF((COUNTIFS(T_SelfStock[RM_Code],$A86,T_SelfStock[WeekIndex],82)&gt;0)*(COUNTIFS(T_TTAFStock[RM_Code],$A86,T_TTAFStock[WeekIndex],82)&gt;0)&gt;0,SUMIFS(T_SelfStock[Self_Qty],T_SelfStock[RM_Code],$A86,T_SelfStock[WeekIndex],82)+SUMIFS(T_TTAFStock[TTAF_Qty],T_TTAFStock[RM_Code],$A86,T_TTAFStock[WeekIndex],82),CD86+'Grid_Incoming'!CE86-'Grid_Requirement'!CE86))</f>
        <v/>
      </c>
      <c r="CF86">
        <f>IF(COUNTIFS(T_StockCount[RM_Code],$A86,T_StockCount[WeekIndex],83)&gt;0,SUMIFS(T_StockCount[CountedQty],T_StockCount[RM_Code],$A86,T_StockCount[WeekIndex],83),IF((COUNTIFS(T_SelfStock[RM_Code],$A86,T_SelfStock[WeekIndex],83)&gt;0)*(COUNTIFS(T_TTAFStock[RM_Code],$A86,T_TTAFStock[WeekIndex],83)&gt;0)&gt;0,SUMIFS(T_SelfStock[Self_Qty],T_SelfStock[RM_Code],$A86,T_SelfStock[WeekIndex],83)+SUMIFS(T_TTAFStock[TTAF_Qty],T_TTAFStock[RM_Code],$A86,T_TTAFStock[WeekIndex],83),CE86+'Grid_Incoming'!CF86-'Grid_Requirement'!CF86))</f>
        <v/>
      </c>
      <c r="CG86">
        <f>IF(COUNTIFS(T_StockCount[RM_Code],$A86,T_StockCount[WeekIndex],84)&gt;0,SUMIFS(T_StockCount[CountedQty],T_StockCount[RM_Code],$A86,T_StockCount[WeekIndex],84),IF((COUNTIFS(T_SelfStock[RM_Code],$A86,T_SelfStock[WeekIndex],84)&gt;0)*(COUNTIFS(T_TTAFStock[RM_Code],$A86,T_TTAFStock[WeekIndex],84)&gt;0)&gt;0,SUMIFS(T_SelfStock[Self_Qty],T_SelfStock[RM_Code],$A86,T_SelfStock[WeekIndex],84)+SUMIFS(T_TTAFStock[TTAF_Qty],T_TTAFStock[RM_Code],$A86,T_TTAFStock[WeekIndex],84),CF86+'Grid_Incoming'!CG86-'Grid_Requirement'!CG86))</f>
        <v/>
      </c>
      <c r="CH86">
        <f>IF(COUNTIFS(T_StockCount[RM_Code],$A86,T_StockCount[WeekIndex],85)&gt;0,SUMIFS(T_StockCount[CountedQty],T_StockCount[RM_Code],$A86,T_StockCount[WeekIndex],85),IF((COUNTIFS(T_SelfStock[RM_Code],$A86,T_SelfStock[WeekIndex],85)&gt;0)*(COUNTIFS(T_TTAFStock[RM_Code],$A86,T_TTAFStock[WeekIndex],85)&gt;0)&gt;0,SUMIFS(T_SelfStock[Self_Qty],T_SelfStock[RM_Code],$A86,T_SelfStock[WeekIndex],85)+SUMIFS(T_TTAFStock[TTAF_Qty],T_TTAFStock[RM_Code],$A86,T_TTAFStock[WeekIndex],85),CG86+'Grid_Incoming'!CH86-'Grid_Requirement'!CH86))</f>
        <v/>
      </c>
      <c r="CI86">
        <f>IF(COUNTIFS(T_StockCount[RM_Code],$A86,T_StockCount[WeekIndex],86)&gt;0,SUMIFS(T_StockCount[CountedQty],T_StockCount[RM_Code],$A86,T_StockCount[WeekIndex],86),IF((COUNTIFS(T_SelfStock[RM_Code],$A86,T_SelfStock[WeekIndex],86)&gt;0)*(COUNTIFS(T_TTAFStock[RM_Code],$A86,T_TTAFStock[WeekIndex],86)&gt;0)&gt;0,SUMIFS(T_SelfStock[Self_Qty],T_SelfStock[RM_Code],$A86,T_SelfStock[WeekIndex],86)+SUMIFS(T_TTAFStock[TTAF_Qty],T_TTAFStock[RM_Code],$A86,T_TTAFStock[WeekIndex],86),CH86+'Grid_Incoming'!CI86-'Grid_Requirement'!CI86))</f>
        <v/>
      </c>
      <c r="CJ86">
        <f>IF(COUNTIFS(T_StockCount[RM_Code],$A86,T_StockCount[WeekIndex],87)&gt;0,SUMIFS(T_StockCount[CountedQty],T_StockCount[RM_Code],$A86,T_StockCount[WeekIndex],87),IF((COUNTIFS(T_SelfStock[RM_Code],$A86,T_SelfStock[WeekIndex],87)&gt;0)*(COUNTIFS(T_TTAFStock[RM_Code],$A86,T_TTAFStock[WeekIndex],87)&gt;0)&gt;0,SUMIFS(T_SelfStock[Self_Qty],T_SelfStock[RM_Code],$A86,T_SelfStock[WeekIndex],87)+SUMIFS(T_TTAFStock[TTAF_Qty],T_TTAFStock[RM_Code],$A86,T_TTAFStock[WeekIndex],87),CI86+'Grid_Incoming'!CJ86-'Grid_Requirement'!CJ86))</f>
        <v/>
      </c>
      <c r="CK86">
        <f>IF(COUNTIFS(T_StockCount[RM_Code],$A86,T_StockCount[WeekIndex],88)&gt;0,SUMIFS(T_StockCount[CountedQty],T_StockCount[RM_Code],$A86,T_StockCount[WeekIndex],88),IF((COUNTIFS(T_SelfStock[RM_Code],$A86,T_SelfStock[WeekIndex],88)&gt;0)*(COUNTIFS(T_TTAFStock[RM_Code],$A86,T_TTAFStock[WeekIndex],88)&gt;0)&gt;0,SUMIFS(T_SelfStock[Self_Qty],T_SelfStock[RM_Code],$A86,T_SelfStock[WeekIndex],88)+SUMIFS(T_TTAFStock[TTAF_Qty],T_TTAFStock[RM_Code],$A86,T_TTAFStock[WeekIndex],88),CJ86+'Grid_Incoming'!CK86-'Grid_Requirement'!CK86))</f>
        <v/>
      </c>
      <c r="CL86">
        <f>IF(COUNTIFS(T_StockCount[RM_Code],$A86,T_StockCount[WeekIndex],89)&gt;0,SUMIFS(T_StockCount[CountedQty],T_StockCount[RM_Code],$A86,T_StockCount[WeekIndex],89),IF((COUNTIFS(T_SelfStock[RM_Code],$A86,T_SelfStock[WeekIndex],89)&gt;0)*(COUNTIFS(T_TTAFStock[RM_Code],$A86,T_TTAFStock[WeekIndex],89)&gt;0)&gt;0,SUMIFS(T_SelfStock[Self_Qty],T_SelfStock[RM_Code],$A86,T_SelfStock[WeekIndex],89)+SUMIFS(T_TTAFStock[TTAF_Qty],T_TTAFStock[RM_Code],$A86,T_TTAFStock[WeekIndex],89),CK86+'Grid_Incoming'!CL86-'Grid_Requirement'!CL86))</f>
        <v/>
      </c>
      <c r="CM86">
        <f>IF(COUNTIFS(T_StockCount[RM_Code],$A86,T_StockCount[WeekIndex],90)&gt;0,SUMIFS(T_StockCount[CountedQty],T_StockCount[RM_Code],$A86,T_StockCount[WeekIndex],90),IF((COUNTIFS(T_SelfStock[RM_Code],$A86,T_SelfStock[WeekIndex],90)&gt;0)*(COUNTIFS(T_TTAFStock[RM_Code],$A86,T_TTAFStock[WeekIndex],90)&gt;0)&gt;0,SUMIFS(T_SelfStock[Self_Qty],T_SelfStock[RM_Code],$A86,T_SelfStock[WeekIndex],90)+SUMIFS(T_TTAFStock[TTAF_Qty],T_TTAFStock[RM_Code],$A86,T_TTAFStock[WeekIndex],90),CL86+'Grid_Incoming'!CM86-'Grid_Requirement'!CM86))</f>
        <v/>
      </c>
      <c r="CN86">
        <f>IF(COUNTIFS(T_StockCount[RM_Code],$A86,T_StockCount[WeekIndex],91)&gt;0,SUMIFS(T_StockCount[CountedQty],T_StockCount[RM_Code],$A86,T_StockCount[WeekIndex],91),IF((COUNTIFS(T_SelfStock[RM_Code],$A86,T_SelfStock[WeekIndex],91)&gt;0)*(COUNTIFS(T_TTAFStock[RM_Code],$A86,T_TTAFStock[WeekIndex],91)&gt;0)&gt;0,SUMIFS(T_SelfStock[Self_Qty],T_SelfStock[RM_Code],$A86,T_SelfStock[WeekIndex],91)+SUMIFS(T_TTAFStock[TTAF_Qty],T_TTAFStock[RM_Code],$A86,T_TTAFStock[WeekIndex],91),CM86+'Grid_Incoming'!CN86-'Grid_Requirement'!CN86))</f>
        <v/>
      </c>
      <c r="CO86">
        <f>IF(COUNTIFS(T_StockCount[RM_Code],$A86,T_StockCount[WeekIndex],92)&gt;0,SUMIFS(T_StockCount[CountedQty],T_StockCount[RM_Code],$A86,T_StockCount[WeekIndex],92),IF((COUNTIFS(T_SelfStock[RM_Code],$A86,T_SelfStock[WeekIndex],92)&gt;0)*(COUNTIFS(T_TTAFStock[RM_Code],$A86,T_TTAFStock[WeekIndex],92)&gt;0)&gt;0,SUMIFS(T_SelfStock[Self_Qty],T_SelfStock[RM_Code],$A86,T_SelfStock[WeekIndex],92)+SUMIFS(T_TTAFStock[TTAF_Qty],T_TTAFStock[RM_Code],$A86,T_TTAFStock[WeekIndex],92),CN86+'Grid_Incoming'!CO86-'Grid_Requirement'!CO86))</f>
        <v/>
      </c>
      <c r="CP86">
        <f>IF(COUNTIFS(T_StockCount[RM_Code],$A86,T_StockCount[WeekIndex],93)&gt;0,SUMIFS(T_StockCount[CountedQty],T_StockCount[RM_Code],$A86,T_StockCount[WeekIndex],93),IF((COUNTIFS(T_SelfStock[RM_Code],$A86,T_SelfStock[WeekIndex],93)&gt;0)*(COUNTIFS(T_TTAFStock[RM_Code],$A86,T_TTAFStock[WeekIndex],93)&gt;0)&gt;0,SUMIFS(T_SelfStock[Self_Qty],T_SelfStock[RM_Code],$A86,T_SelfStock[WeekIndex],93)+SUMIFS(T_TTAFStock[TTAF_Qty],T_TTAFStock[RM_Code],$A86,T_TTAFStock[WeekIndex],93),CO86+'Grid_Incoming'!CP86-'Grid_Requirement'!CP86))</f>
        <v/>
      </c>
      <c r="CQ86">
        <f>IF(COUNTIFS(T_StockCount[RM_Code],$A86,T_StockCount[WeekIndex],94)&gt;0,SUMIFS(T_StockCount[CountedQty],T_StockCount[RM_Code],$A86,T_StockCount[WeekIndex],94),IF((COUNTIFS(T_SelfStock[RM_Code],$A86,T_SelfStock[WeekIndex],94)&gt;0)*(COUNTIFS(T_TTAFStock[RM_Code],$A86,T_TTAFStock[WeekIndex],94)&gt;0)&gt;0,SUMIFS(T_SelfStock[Self_Qty],T_SelfStock[RM_Code],$A86,T_SelfStock[WeekIndex],94)+SUMIFS(T_TTAFStock[TTAF_Qty],T_TTAFStock[RM_Code],$A86,T_TTAFStock[WeekIndex],94),CP86+'Grid_Incoming'!CQ86-'Grid_Requirement'!CQ86))</f>
        <v/>
      </c>
      <c r="CR86">
        <f>IF(COUNTIFS(T_StockCount[RM_Code],$A86,T_StockCount[WeekIndex],95)&gt;0,SUMIFS(T_StockCount[CountedQty],T_StockCount[RM_Code],$A86,T_StockCount[WeekIndex],95),IF((COUNTIFS(T_SelfStock[RM_Code],$A86,T_SelfStock[WeekIndex],95)&gt;0)*(COUNTIFS(T_TTAFStock[RM_Code],$A86,T_TTAFStock[WeekIndex],95)&gt;0)&gt;0,SUMIFS(T_SelfStock[Self_Qty],T_SelfStock[RM_Code],$A86,T_SelfStock[WeekIndex],95)+SUMIFS(T_TTAFStock[TTAF_Qty],T_TTAFStock[RM_Code],$A86,T_TTAFStock[WeekIndex],95),CQ86+'Grid_Incoming'!CR86-'Grid_Requirement'!CR86))</f>
        <v/>
      </c>
      <c r="CS86">
        <f>IF(COUNTIFS(T_StockCount[RM_Code],$A86,T_StockCount[WeekIndex],96)&gt;0,SUMIFS(T_StockCount[CountedQty],T_StockCount[RM_Code],$A86,T_StockCount[WeekIndex],96),IF((COUNTIFS(T_SelfStock[RM_Code],$A86,T_SelfStock[WeekIndex],96)&gt;0)*(COUNTIFS(T_TTAFStock[RM_Code],$A86,T_TTAFStock[WeekIndex],96)&gt;0)&gt;0,SUMIFS(T_SelfStock[Self_Qty],T_SelfStock[RM_Code],$A86,T_SelfStock[WeekIndex],96)+SUMIFS(T_TTAFStock[TTAF_Qty],T_TTAFStock[RM_Code],$A86,T_TTAFStock[WeekIndex],96),CR86+'Grid_Incoming'!CS86-'Grid_Requirement'!CS86))</f>
        <v/>
      </c>
      <c r="CT86">
        <f>IF(COUNTIFS(T_StockCount[RM_Code],$A86,T_StockCount[WeekIndex],97)&gt;0,SUMIFS(T_StockCount[CountedQty],T_StockCount[RM_Code],$A86,T_StockCount[WeekIndex],97),IF((COUNTIFS(T_SelfStock[RM_Code],$A86,T_SelfStock[WeekIndex],97)&gt;0)*(COUNTIFS(T_TTAFStock[RM_Code],$A86,T_TTAFStock[WeekIndex],97)&gt;0)&gt;0,SUMIFS(T_SelfStock[Self_Qty],T_SelfStock[RM_Code],$A86,T_SelfStock[WeekIndex],97)+SUMIFS(T_TTAFStock[TTAF_Qty],T_TTAFStock[RM_Code],$A86,T_TTAFStock[WeekIndex],97),CS86+'Grid_Incoming'!CT86-'Grid_Requirement'!CT86))</f>
        <v/>
      </c>
      <c r="CU86">
        <f>IF(COUNTIFS(T_StockCount[RM_Code],$A86,T_StockCount[WeekIndex],98)&gt;0,SUMIFS(T_StockCount[CountedQty],T_StockCount[RM_Code],$A86,T_StockCount[WeekIndex],98),IF((COUNTIFS(T_SelfStock[RM_Code],$A86,T_SelfStock[WeekIndex],98)&gt;0)*(COUNTIFS(T_TTAFStock[RM_Code],$A86,T_TTAFStock[WeekIndex],98)&gt;0)&gt;0,SUMIFS(T_SelfStock[Self_Qty],T_SelfStock[RM_Code],$A86,T_SelfStock[WeekIndex],98)+SUMIFS(T_TTAFStock[TTAF_Qty],T_TTAFStock[RM_Code],$A86,T_TTAFStock[WeekIndex],98),CT86+'Grid_Incoming'!CU86-'Grid_Requirement'!CU86))</f>
        <v/>
      </c>
      <c r="CV86">
        <f>IF(COUNTIFS(T_StockCount[RM_Code],$A86,T_StockCount[WeekIndex],99)&gt;0,SUMIFS(T_StockCount[CountedQty],T_StockCount[RM_Code],$A86,T_StockCount[WeekIndex],99),IF((COUNTIFS(T_SelfStock[RM_Code],$A86,T_SelfStock[WeekIndex],99)&gt;0)*(COUNTIFS(T_TTAFStock[RM_Code],$A86,T_TTAFStock[WeekIndex],99)&gt;0)&gt;0,SUMIFS(T_SelfStock[Self_Qty],T_SelfStock[RM_Code],$A86,T_SelfStock[WeekIndex],99)+SUMIFS(T_TTAFStock[TTAF_Qty],T_TTAFStock[RM_Code],$A86,T_TTAFStock[WeekIndex],99),CU86+'Grid_Incoming'!CV86-'Grid_Requirement'!CV86))</f>
        <v/>
      </c>
      <c r="CW86">
        <f>IF(COUNTIFS(T_StockCount[RM_Code],$A86,T_StockCount[WeekIndex],100)&gt;0,SUMIFS(T_StockCount[CountedQty],T_StockCount[RM_Code],$A86,T_StockCount[WeekIndex],100),IF((COUNTIFS(T_SelfStock[RM_Code],$A86,T_SelfStock[WeekIndex],100)&gt;0)*(COUNTIFS(T_TTAFStock[RM_Code],$A86,T_TTAFStock[WeekIndex],100)&gt;0)&gt;0,SUMIFS(T_SelfStock[Self_Qty],T_SelfStock[RM_Code],$A86,T_SelfStock[WeekIndex],100)+SUMIFS(T_TTAFStock[TTAF_Qty],T_TTAFStock[RM_Code],$A86,T_TTAFStock[WeekIndex],100),CV86+'Grid_Incoming'!CW86-'Grid_Requirement'!CW86))</f>
        <v/>
      </c>
      <c r="CX86">
        <f>IF(COUNTIFS(T_StockCount[RM_Code],$A86,T_StockCount[WeekIndex],101)&gt;0,SUMIFS(T_StockCount[CountedQty],T_StockCount[RM_Code],$A86,T_StockCount[WeekIndex],101),IF((COUNTIFS(T_SelfStock[RM_Code],$A86,T_SelfStock[WeekIndex],101)&gt;0)*(COUNTIFS(T_TTAFStock[RM_Code],$A86,T_TTAFStock[WeekIndex],101)&gt;0)&gt;0,SUMIFS(T_SelfStock[Self_Qty],T_SelfStock[RM_Code],$A86,T_SelfStock[WeekIndex],101)+SUMIFS(T_TTAFStock[TTAF_Qty],T_TTAFStock[RM_Code],$A86,T_TTAFStock[WeekIndex],101),CW86+'Grid_Incoming'!CX86-'Grid_Requirement'!CX86))</f>
        <v/>
      </c>
      <c r="CY86">
        <f>IF(COUNTIFS(T_StockCount[RM_Code],$A86,T_StockCount[WeekIndex],102)&gt;0,SUMIFS(T_StockCount[CountedQty],T_StockCount[RM_Code],$A86,T_StockCount[WeekIndex],102),IF((COUNTIFS(T_SelfStock[RM_Code],$A86,T_SelfStock[WeekIndex],102)&gt;0)*(COUNTIFS(T_TTAFStock[RM_Code],$A86,T_TTAFStock[WeekIndex],102)&gt;0)&gt;0,SUMIFS(T_SelfStock[Self_Qty],T_SelfStock[RM_Code],$A86,T_SelfStock[WeekIndex],102)+SUMIFS(T_TTAFStock[TTAF_Qty],T_TTAFStock[RM_Code],$A86,T_TTAFStock[WeekIndex],102),CX86+'Grid_Incoming'!CY86-'Grid_Requirement'!CY86))</f>
        <v/>
      </c>
      <c r="CZ86">
        <f>IF(COUNTIFS(T_StockCount[RM_Code],$A86,T_StockCount[WeekIndex],103)&gt;0,SUMIFS(T_StockCount[CountedQty],T_StockCount[RM_Code],$A86,T_StockCount[WeekIndex],103),IF((COUNTIFS(T_SelfStock[RM_Code],$A86,T_SelfStock[WeekIndex],103)&gt;0)*(COUNTIFS(T_TTAFStock[RM_Code],$A86,T_TTAFStock[WeekIndex],103)&gt;0)&gt;0,SUMIFS(T_SelfStock[Self_Qty],T_SelfStock[RM_Code],$A86,T_SelfStock[WeekIndex],103)+SUMIFS(T_TTAFStock[TTAF_Qty],T_TTAFStock[RM_Code],$A86,T_TTAFStock[WeekIndex],103),CY86+'Grid_Incoming'!CZ86-'Grid_Requirement'!CZ86))</f>
        <v/>
      </c>
      <c r="DA86">
        <f>IF(COUNTIFS(T_StockCount[RM_Code],$A86,T_StockCount[WeekIndex],104)&gt;0,SUMIFS(T_StockCount[CountedQty],T_StockCount[RM_Code],$A86,T_StockCount[WeekIndex],104),IF((COUNTIFS(T_SelfStock[RM_Code],$A86,T_SelfStock[WeekIndex],104)&gt;0)*(COUNTIFS(T_TTAFStock[RM_Code],$A86,T_TTAFStock[WeekIndex],104)&gt;0)&gt;0,SUMIFS(T_SelfStock[Self_Qty],T_SelfStock[RM_Code],$A86,T_SelfStock[WeekIndex],104)+SUMIFS(T_TTAFStock[TTAF_Qty],T_TTAFStock[RM_Code],$A86,T_TTAFStock[WeekIndex],104),CZ86+'Grid_Incoming'!DA86-'Grid_Requirement'!DA86))</f>
        <v/>
      </c>
    </row>
    <row r="87">
      <c r="A87" t="inlineStr">
        <is>
          <t>CHEM-1180</t>
        </is>
      </c>
      <c r="B87">
        <f>IF(COUNTIFS(T_StockCount[RM_Code],$A87,T_StockCount[WeekIndex],1)&gt;0,SUMIFS(T_StockCount[CountedQty],T_StockCount[RM_Code],$A87,T_StockCount[WeekIndex],1),IF((COUNTIFS(T_SelfStock[RM_Code],$A87,T_SelfStock[WeekIndex],1)&gt;0)*(COUNTIFS(T_TTAFStock[RM_Code],$A87,T_TTAFStock[WeekIndex],1)&gt;0)&gt;0,SUMIFS(T_SelfStock[Self_Qty],T_SelfStock[RM_Code],$A87,T_SelfStock[WeekIndex],1)+SUMIFS(T_TTAFStock[TTAF_Qty],T_TTAFStock[RM_Code],$A87,T_TTAFStock[WeekIndex],1),IFERROR(INDEX(T_OpeningStock[Opening_Qty],MATCH($A87,T_OpeningStock[RM_Code],0)),0)+'Grid_Incoming'!B87-'Grid_Requirement'!B87))</f>
        <v/>
      </c>
      <c r="C87">
        <f>IF(COUNTIFS(T_StockCount[RM_Code],$A87,T_StockCount[WeekIndex],2)&gt;0,SUMIFS(T_StockCount[CountedQty],T_StockCount[RM_Code],$A87,T_StockCount[WeekIndex],2),IF((COUNTIFS(T_SelfStock[RM_Code],$A87,T_SelfStock[WeekIndex],2)&gt;0)*(COUNTIFS(T_TTAFStock[RM_Code],$A87,T_TTAFStock[WeekIndex],2)&gt;0)&gt;0,SUMIFS(T_SelfStock[Self_Qty],T_SelfStock[RM_Code],$A87,T_SelfStock[WeekIndex],2)+SUMIFS(T_TTAFStock[TTAF_Qty],T_TTAFStock[RM_Code],$A87,T_TTAFStock[WeekIndex],2),B87+'Grid_Incoming'!C87-'Grid_Requirement'!C87))</f>
        <v/>
      </c>
      <c r="D87">
        <f>IF(COUNTIFS(T_StockCount[RM_Code],$A87,T_StockCount[WeekIndex],3)&gt;0,SUMIFS(T_StockCount[CountedQty],T_StockCount[RM_Code],$A87,T_StockCount[WeekIndex],3),IF((COUNTIFS(T_SelfStock[RM_Code],$A87,T_SelfStock[WeekIndex],3)&gt;0)*(COUNTIFS(T_TTAFStock[RM_Code],$A87,T_TTAFStock[WeekIndex],3)&gt;0)&gt;0,SUMIFS(T_SelfStock[Self_Qty],T_SelfStock[RM_Code],$A87,T_SelfStock[WeekIndex],3)+SUMIFS(T_TTAFStock[TTAF_Qty],T_TTAFStock[RM_Code],$A87,T_TTAFStock[WeekIndex],3),C87+'Grid_Incoming'!D87-'Grid_Requirement'!D87))</f>
        <v/>
      </c>
      <c r="E87">
        <f>IF(COUNTIFS(T_StockCount[RM_Code],$A87,T_StockCount[WeekIndex],4)&gt;0,SUMIFS(T_StockCount[CountedQty],T_StockCount[RM_Code],$A87,T_StockCount[WeekIndex],4),IF((COUNTIFS(T_SelfStock[RM_Code],$A87,T_SelfStock[WeekIndex],4)&gt;0)*(COUNTIFS(T_TTAFStock[RM_Code],$A87,T_TTAFStock[WeekIndex],4)&gt;0)&gt;0,SUMIFS(T_SelfStock[Self_Qty],T_SelfStock[RM_Code],$A87,T_SelfStock[WeekIndex],4)+SUMIFS(T_TTAFStock[TTAF_Qty],T_TTAFStock[RM_Code],$A87,T_TTAFStock[WeekIndex],4),D87+'Grid_Incoming'!E87-'Grid_Requirement'!E87))</f>
        <v/>
      </c>
      <c r="F87">
        <f>IF(COUNTIFS(T_StockCount[RM_Code],$A87,T_StockCount[WeekIndex],5)&gt;0,SUMIFS(T_StockCount[CountedQty],T_StockCount[RM_Code],$A87,T_StockCount[WeekIndex],5),IF((COUNTIFS(T_SelfStock[RM_Code],$A87,T_SelfStock[WeekIndex],5)&gt;0)*(COUNTIFS(T_TTAFStock[RM_Code],$A87,T_TTAFStock[WeekIndex],5)&gt;0)&gt;0,SUMIFS(T_SelfStock[Self_Qty],T_SelfStock[RM_Code],$A87,T_SelfStock[WeekIndex],5)+SUMIFS(T_TTAFStock[TTAF_Qty],T_TTAFStock[RM_Code],$A87,T_TTAFStock[WeekIndex],5),E87+'Grid_Incoming'!F87-'Grid_Requirement'!F87))</f>
        <v/>
      </c>
      <c r="G87">
        <f>IF(COUNTIFS(T_StockCount[RM_Code],$A87,T_StockCount[WeekIndex],6)&gt;0,SUMIFS(T_StockCount[CountedQty],T_StockCount[RM_Code],$A87,T_StockCount[WeekIndex],6),IF((COUNTIFS(T_SelfStock[RM_Code],$A87,T_SelfStock[WeekIndex],6)&gt;0)*(COUNTIFS(T_TTAFStock[RM_Code],$A87,T_TTAFStock[WeekIndex],6)&gt;0)&gt;0,SUMIFS(T_SelfStock[Self_Qty],T_SelfStock[RM_Code],$A87,T_SelfStock[WeekIndex],6)+SUMIFS(T_TTAFStock[TTAF_Qty],T_TTAFStock[RM_Code],$A87,T_TTAFStock[WeekIndex],6),F87+'Grid_Incoming'!G87-'Grid_Requirement'!G87))</f>
        <v/>
      </c>
      <c r="H87">
        <f>IF(COUNTIFS(T_StockCount[RM_Code],$A87,T_StockCount[WeekIndex],7)&gt;0,SUMIFS(T_StockCount[CountedQty],T_StockCount[RM_Code],$A87,T_StockCount[WeekIndex],7),IF((COUNTIFS(T_SelfStock[RM_Code],$A87,T_SelfStock[WeekIndex],7)&gt;0)*(COUNTIFS(T_TTAFStock[RM_Code],$A87,T_TTAFStock[WeekIndex],7)&gt;0)&gt;0,SUMIFS(T_SelfStock[Self_Qty],T_SelfStock[RM_Code],$A87,T_SelfStock[WeekIndex],7)+SUMIFS(T_TTAFStock[TTAF_Qty],T_TTAFStock[RM_Code],$A87,T_TTAFStock[WeekIndex],7),G87+'Grid_Incoming'!H87-'Grid_Requirement'!H87))</f>
        <v/>
      </c>
      <c r="I87">
        <f>IF(COUNTIFS(T_StockCount[RM_Code],$A87,T_StockCount[WeekIndex],8)&gt;0,SUMIFS(T_StockCount[CountedQty],T_StockCount[RM_Code],$A87,T_StockCount[WeekIndex],8),IF((COUNTIFS(T_SelfStock[RM_Code],$A87,T_SelfStock[WeekIndex],8)&gt;0)*(COUNTIFS(T_TTAFStock[RM_Code],$A87,T_TTAFStock[WeekIndex],8)&gt;0)&gt;0,SUMIFS(T_SelfStock[Self_Qty],T_SelfStock[RM_Code],$A87,T_SelfStock[WeekIndex],8)+SUMIFS(T_TTAFStock[TTAF_Qty],T_TTAFStock[RM_Code],$A87,T_TTAFStock[WeekIndex],8),H87+'Grid_Incoming'!I87-'Grid_Requirement'!I87))</f>
        <v/>
      </c>
      <c r="J87">
        <f>IF(COUNTIFS(T_StockCount[RM_Code],$A87,T_StockCount[WeekIndex],9)&gt;0,SUMIFS(T_StockCount[CountedQty],T_StockCount[RM_Code],$A87,T_StockCount[WeekIndex],9),IF((COUNTIFS(T_SelfStock[RM_Code],$A87,T_SelfStock[WeekIndex],9)&gt;0)*(COUNTIFS(T_TTAFStock[RM_Code],$A87,T_TTAFStock[WeekIndex],9)&gt;0)&gt;0,SUMIFS(T_SelfStock[Self_Qty],T_SelfStock[RM_Code],$A87,T_SelfStock[WeekIndex],9)+SUMIFS(T_TTAFStock[TTAF_Qty],T_TTAFStock[RM_Code],$A87,T_TTAFStock[WeekIndex],9),I87+'Grid_Incoming'!J87-'Grid_Requirement'!J87))</f>
        <v/>
      </c>
      <c r="K87">
        <f>IF(COUNTIFS(T_StockCount[RM_Code],$A87,T_StockCount[WeekIndex],10)&gt;0,SUMIFS(T_StockCount[CountedQty],T_StockCount[RM_Code],$A87,T_StockCount[WeekIndex],10),IF((COUNTIFS(T_SelfStock[RM_Code],$A87,T_SelfStock[WeekIndex],10)&gt;0)*(COUNTIFS(T_TTAFStock[RM_Code],$A87,T_TTAFStock[WeekIndex],10)&gt;0)&gt;0,SUMIFS(T_SelfStock[Self_Qty],T_SelfStock[RM_Code],$A87,T_SelfStock[WeekIndex],10)+SUMIFS(T_TTAFStock[TTAF_Qty],T_TTAFStock[RM_Code],$A87,T_TTAFStock[WeekIndex],10),J87+'Grid_Incoming'!K87-'Grid_Requirement'!K87))</f>
        <v/>
      </c>
      <c r="L87">
        <f>IF(COUNTIFS(T_StockCount[RM_Code],$A87,T_StockCount[WeekIndex],11)&gt;0,SUMIFS(T_StockCount[CountedQty],T_StockCount[RM_Code],$A87,T_StockCount[WeekIndex],11),IF((COUNTIFS(T_SelfStock[RM_Code],$A87,T_SelfStock[WeekIndex],11)&gt;0)*(COUNTIFS(T_TTAFStock[RM_Code],$A87,T_TTAFStock[WeekIndex],11)&gt;0)&gt;0,SUMIFS(T_SelfStock[Self_Qty],T_SelfStock[RM_Code],$A87,T_SelfStock[WeekIndex],11)+SUMIFS(T_TTAFStock[TTAF_Qty],T_TTAFStock[RM_Code],$A87,T_TTAFStock[WeekIndex],11),K87+'Grid_Incoming'!L87-'Grid_Requirement'!L87))</f>
        <v/>
      </c>
      <c r="M87">
        <f>IF(COUNTIFS(T_StockCount[RM_Code],$A87,T_StockCount[WeekIndex],12)&gt;0,SUMIFS(T_StockCount[CountedQty],T_StockCount[RM_Code],$A87,T_StockCount[WeekIndex],12),IF((COUNTIFS(T_SelfStock[RM_Code],$A87,T_SelfStock[WeekIndex],12)&gt;0)*(COUNTIFS(T_TTAFStock[RM_Code],$A87,T_TTAFStock[WeekIndex],12)&gt;0)&gt;0,SUMIFS(T_SelfStock[Self_Qty],T_SelfStock[RM_Code],$A87,T_SelfStock[WeekIndex],12)+SUMIFS(T_TTAFStock[TTAF_Qty],T_TTAFStock[RM_Code],$A87,T_TTAFStock[WeekIndex],12),L87+'Grid_Incoming'!M87-'Grid_Requirement'!M87))</f>
        <v/>
      </c>
      <c r="N87">
        <f>IF(COUNTIFS(T_StockCount[RM_Code],$A87,T_StockCount[WeekIndex],13)&gt;0,SUMIFS(T_StockCount[CountedQty],T_StockCount[RM_Code],$A87,T_StockCount[WeekIndex],13),IF((COUNTIFS(T_SelfStock[RM_Code],$A87,T_SelfStock[WeekIndex],13)&gt;0)*(COUNTIFS(T_TTAFStock[RM_Code],$A87,T_TTAFStock[WeekIndex],13)&gt;0)&gt;0,SUMIFS(T_SelfStock[Self_Qty],T_SelfStock[RM_Code],$A87,T_SelfStock[WeekIndex],13)+SUMIFS(T_TTAFStock[TTAF_Qty],T_TTAFStock[RM_Code],$A87,T_TTAFStock[WeekIndex],13),M87+'Grid_Incoming'!N87-'Grid_Requirement'!N87))</f>
        <v/>
      </c>
      <c r="O87">
        <f>IF(COUNTIFS(T_StockCount[RM_Code],$A87,T_StockCount[WeekIndex],14)&gt;0,SUMIFS(T_StockCount[CountedQty],T_StockCount[RM_Code],$A87,T_StockCount[WeekIndex],14),IF((COUNTIFS(T_SelfStock[RM_Code],$A87,T_SelfStock[WeekIndex],14)&gt;0)*(COUNTIFS(T_TTAFStock[RM_Code],$A87,T_TTAFStock[WeekIndex],14)&gt;0)&gt;0,SUMIFS(T_SelfStock[Self_Qty],T_SelfStock[RM_Code],$A87,T_SelfStock[WeekIndex],14)+SUMIFS(T_TTAFStock[TTAF_Qty],T_TTAFStock[RM_Code],$A87,T_TTAFStock[WeekIndex],14),N87+'Grid_Incoming'!O87-'Grid_Requirement'!O87))</f>
        <v/>
      </c>
      <c r="P87">
        <f>IF(COUNTIFS(T_StockCount[RM_Code],$A87,T_StockCount[WeekIndex],15)&gt;0,SUMIFS(T_StockCount[CountedQty],T_StockCount[RM_Code],$A87,T_StockCount[WeekIndex],15),IF((COUNTIFS(T_SelfStock[RM_Code],$A87,T_SelfStock[WeekIndex],15)&gt;0)*(COUNTIFS(T_TTAFStock[RM_Code],$A87,T_TTAFStock[WeekIndex],15)&gt;0)&gt;0,SUMIFS(T_SelfStock[Self_Qty],T_SelfStock[RM_Code],$A87,T_SelfStock[WeekIndex],15)+SUMIFS(T_TTAFStock[TTAF_Qty],T_TTAFStock[RM_Code],$A87,T_TTAFStock[WeekIndex],15),O87+'Grid_Incoming'!P87-'Grid_Requirement'!P87))</f>
        <v/>
      </c>
      <c r="Q87">
        <f>IF(COUNTIFS(T_StockCount[RM_Code],$A87,T_StockCount[WeekIndex],16)&gt;0,SUMIFS(T_StockCount[CountedQty],T_StockCount[RM_Code],$A87,T_StockCount[WeekIndex],16),IF((COUNTIFS(T_SelfStock[RM_Code],$A87,T_SelfStock[WeekIndex],16)&gt;0)*(COUNTIFS(T_TTAFStock[RM_Code],$A87,T_TTAFStock[WeekIndex],16)&gt;0)&gt;0,SUMIFS(T_SelfStock[Self_Qty],T_SelfStock[RM_Code],$A87,T_SelfStock[WeekIndex],16)+SUMIFS(T_TTAFStock[TTAF_Qty],T_TTAFStock[RM_Code],$A87,T_TTAFStock[WeekIndex],16),P87+'Grid_Incoming'!Q87-'Grid_Requirement'!Q87))</f>
        <v/>
      </c>
      <c r="R87">
        <f>IF(COUNTIFS(T_StockCount[RM_Code],$A87,T_StockCount[WeekIndex],17)&gt;0,SUMIFS(T_StockCount[CountedQty],T_StockCount[RM_Code],$A87,T_StockCount[WeekIndex],17),IF((COUNTIFS(T_SelfStock[RM_Code],$A87,T_SelfStock[WeekIndex],17)&gt;0)*(COUNTIFS(T_TTAFStock[RM_Code],$A87,T_TTAFStock[WeekIndex],17)&gt;0)&gt;0,SUMIFS(T_SelfStock[Self_Qty],T_SelfStock[RM_Code],$A87,T_SelfStock[WeekIndex],17)+SUMIFS(T_TTAFStock[TTAF_Qty],T_TTAFStock[RM_Code],$A87,T_TTAFStock[WeekIndex],17),Q87+'Grid_Incoming'!R87-'Grid_Requirement'!R87))</f>
        <v/>
      </c>
      <c r="S87">
        <f>IF(COUNTIFS(T_StockCount[RM_Code],$A87,T_StockCount[WeekIndex],18)&gt;0,SUMIFS(T_StockCount[CountedQty],T_StockCount[RM_Code],$A87,T_StockCount[WeekIndex],18),IF((COUNTIFS(T_SelfStock[RM_Code],$A87,T_SelfStock[WeekIndex],18)&gt;0)*(COUNTIFS(T_TTAFStock[RM_Code],$A87,T_TTAFStock[WeekIndex],18)&gt;0)&gt;0,SUMIFS(T_SelfStock[Self_Qty],T_SelfStock[RM_Code],$A87,T_SelfStock[WeekIndex],18)+SUMIFS(T_TTAFStock[TTAF_Qty],T_TTAFStock[RM_Code],$A87,T_TTAFStock[WeekIndex],18),R87+'Grid_Incoming'!S87-'Grid_Requirement'!S87))</f>
        <v/>
      </c>
      <c r="T87">
        <f>IF(COUNTIFS(T_StockCount[RM_Code],$A87,T_StockCount[WeekIndex],19)&gt;0,SUMIFS(T_StockCount[CountedQty],T_StockCount[RM_Code],$A87,T_StockCount[WeekIndex],19),IF((COUNTIFS(T_SelfStock[RM_Code],$A87,T_SelfStock[WeekIndex],19)&gt;0)*(COUNTIFS(T_TTAFStock[RM_Code],$A87,T_TTAFStock[WeekIndex],19)&gt;0)&gt;0,SUMIFS(T_SelfStock[Self_Qty],T_SelfStock[RM_Code],$A87,T_SelfStock[WeekIndex],19)+SUMIFS(T_TTAFStock[TTAF_Qty],T_TTAFStock[RM_Code],$A87,T_TTAFStock[WeekIndex],19),S87+'Grid_Incoming'!T87-'Grid_Requirement'!T87))</f>
        <v/>
      </c>
      <c r="U87">
        <f>IF(COUNTIFS(T_StockCount[RM_Code],$A87,T_StockCount[WeekIndex],20)&gt;0,SUMIFS(T_StockCount[CountedQty],T_StockCount[RM_Code],$A87,T_StockCount[WeekIndex],20),IF((COUNTIFS(T_SelfStock[RM_Code],$A87,T_SelfStock[WeekIndex],20)&gt;0)*(COUNTIFS(T_TTAFStock[RM_Code],$A87,T_TTAFStock[WeekIndex],20)&gt;0)&gt;0,SUMIFS(T_SelfStock[Self_Qty],T_SelfStock[RM_Code],$A87,T_SelfStock[WeekIndex],20)+SUMIFS(T_TTAFStock[TTAF_Qty],T_TTAFStock[RM_Code],$A87,T_TTAFStock[WeekIndex],20),T87+'Grid_Incoming'!U87-'Grid_Requirement'!U87))</f>
        <v/>
      </c>
      <c r="V87">
        <f>IF(COUNTIFS(T_StockCount[RM_Code],$A87,T_StockCount[WeekIndex],21)&gt;0,SUMIFS(T_StockCount[CountedQty],T_StockCount[RM_Code],$A87,T_StockCount[WeekIndex],21),IF((COUNTIFS(T_SelfStock[RM_Code],$A87,T_SelfStock[WeekIndex],21)&gt;0)*(COUNTIFS(T_TTAFStock[RM_Code],$A87,T_TTAFStock[WeekIndex],21)&gt;0)&gt;0,SUMIFS(T_SelfStock[Self_Qty],T_SelfStock[RM_Code],$A87,T_SelfStock[WeekIndex],21)+SUMIFS(T_TTAFStock[TTAF_Qty],T_TTAFStock[RM_Code],$A87,T_TTAFStock[WeekIndex],21),U87+'Grid_Incoming'!V87-'Grid_Requirement'!V87))</f>
        <v/>
      </c>
      <c r="W87">
        <f>IF(COUNTIFS(T_StockCount[RM_Code],$A87,T_StockCount[WeekIndex],22)&gt;0,SUMIFS(T_StockCount[CountedQty],T_StockCount[RM_Code],$A87,T_StockCount[WeekIndex],22),IF((COUNTIFS(T_SelfStock[RM_Code],$A87,T_SelfStock[WeekIndex],22)&gt;0)*(COUNTIFS(T_TTAFStock[RM_Code],$A87,T_TTAFStock[WeekIndex],22)&gt;0)&gt;0,SUMIFS(T_SelfStock[Self_Qty],T_SelfStock[RM_Code],$A87,T_SelfStock[WeekIndex],22)+SUMIFS(T_TTAFStock[TTAF_Qty],T_TTAFStock[RM_Code],$A87,T_TTAFStock[WeekIndex],22),V87+'Grid_Incoming'!W87-'Grid_Requirement'!W87))</f>
        <v/>
      </c>
      <c r="X87">
        <f>IF(COUNTIFS(T_StockCount[RM_Code],$A87,T_StockCount[WeekIndex],23)&gt;0,SUMIFS(T_StockCount[CountedQty],T_StockCount[RM_Code],$A87,T_StockCount[WeekIndex],23),IF((COUNTIFS(T_SelfStock[RM_Code],$A87,T_SelfStock[WeekIndex],23)&gt;0)*(COUNTIFS(T_TTAFStock[RM_Code],$A87,T_TTAFStock[WeekIndex],23)&gt;0)&gt;0,SUMIFS(T_SelfStock[Self_Qty],T_SelfStock[RM_Code],$A87,T_SelfStock[WeekIndex],23)+SUMIFS(T_TTAFStock[TTAF_Qty],T_TTAFStock[RM_Code],$A87,T_TTAFStock[WeekIndex],23),W87+'Grid_Incoming'!X87-'Grid_Requirement'!X87))</f>
        <v/>
      </c>
      <c r="Y87">
        <f>IF(COUNTIFS(T_StockCount[RM_Code],$A87,T_StockCount[WeekIndex],24)&gt;0,SUMIFS(T_StockCount[CountedQty],T_StockCount[RM_Code],$A87,T_StockCount[WeekIndex],24),IF((COUNTIFS(T_SelfStock[RM_Code],$A87,T_SelfStock[WeekIndex],24)&gt;0)*(COUNTIFS(T_TTAFStock[RM_Code],$A87,T_TTAFStock[WeekIndex],24)&gt;0)&gt;0,SUMIFS(T_SelfStock[Self_Qty],T_SelfStock[RM_Code],$A87,T_SelfStock[WeekIndex],24)+SUMIFS(T_TTAFStock[TTAF_Qty],T_TTAFStock[RM_Code],$A87,T_TTAFStock[WeekIndex],24),X87+'Grid_Incoming'!Y87-'Grid_Requirement'!Y87))</f>
        <v/>
      </c>
      <c r="Z87">
        <f>IF(COUNTIFS(T_StockCount[RM_Code],$A87,T_StockCount[WeekIndex],25)&gt;0,SUMIFS(T_StockCount[CountedQty],T_StockCount[RM_Code],$A87,T_StockCount[WeekIndex],25),IF((COUNTIFS(T_SelfStock[RM_Code],$A87,T_SelfStock[WeekIndex],25)&gt;0)*(COUNTIFS(T_TTAFStock[RM_Code],$A87,T_TTAFStock[WeekIndex],25)&gt;0)&gt;0,SUMIFS(T_SelfStock[Self_Qty],T_SelfStock[RM_Code],$A87,T_SelfStock[WeekIndex],25)+SUMIFS(T_TTAFStock[TTAF_Qty],T_TTAFStock[RM_Code],$A87,T_TTAFStock[WeekIndex],25),Y87+'Grid_Incoming'!Z87-'Grid_Requirement'!Z87))</f>
        <v/>
      </c>
      <c r="AA87">
        <f>IF(COUNTIFS(T_StockCount[RM_Code],$A87,T_StockCount[WeekIndex],26)&gt;0,SUMIFS(T_StockCount[CountedQty],T_StockCount[RM_Code],$A87,T_StockCount[WeekIndex],26),IF((COUNTIFS(T_SelfStock[RM_Code],$A87,T_SelfStock[WeekIndex],26)&gt;0)*(COUNTIFS(T_TTAFStock[RM_Code],$A87,T_TTAFStock[WeekIndex],26)&gt;0)&gt;0,SUMIFS(T_SelfStock[Self_Qty],T_SelfStock[RM_Code],$A87,T_SelfStock[WeekIndex],26)+SUMIFS(T_TTAFStock[TTAF_Qty],T_TTAFStock[RM_Code],$A87,T_TTAFStock[WeekIndex],26),Z87+'Grid_Incoming'!AA87-'Grid_Requirement'!AA87))</f>
        <v/>
      </c>
      <c r="AB87">
        <f>IF(COUNTIFS(T_StockCount[RM_Code],$A87,T_StockCount[WeekIndex],27)&gt;0,SUMIFS(T_StockCount[CountedQty],T_StockCount[RM_Code],$A87,T_StockCount[WeekIndex],27),IF((COUNTIFS(T_SelfStock[RM_Code],$A87,T_SelfStock[WeekIndex],27)&gt;0)*(COUNTIFS(T_TTAFStock[RM_Code],$A87,T_TTAFStock[WeekIndex],27)&gt;0)&gt;0,SUMIFS(T_SelfStock[Self_Qty],T_SelfStock[RM_Code],$A87,T_SelfStock[WeekIndex],27)+SUMIFS(T_TTAFStock[TTAF_Qty],T_TTAFStock[RM_Code],$A87,T_TTAFStock[WeekIndex],27),AA87+'Grid_Incoming'!AB87-'Grid_Requirement'!AB87))</f>
        <v/>
      </c>
      <c r="AC87">
        <f>IF(COUNTIFS(T_StockCount[RM_Code],$A87,T_StockCount[WeekIndex],28)&gt;0,SUMIFS(T_StockCount[CountedQty],T_StockCount[RM_Code],$A87,T_StockCount[WeekIndex],28),IF((COUNTIFS(T_SelfStock[RM_Code],$A87,T_SelfStock[WeekIndex],28)&gt;0)*(COUNTIFS(T_TTAFStock[RM_Code],$A87,T_TTAFStock[WeekIndex],28)&gt;0)&gt;0,SUMIFS(T_SelfStock[Self_Qty],T_SelfStock[RM_Code],$A87,T_SelfStock[WeekIndex],28)+SUMIFS(T_TTAFStock[TTAF_Qty],T_TTAFStock[RM_Code],$A87,T_TTAFStock[WeekIndex],28),AB87+'Grid_Incoming'!AC87-'Grid_Requirement'!AC87))</f>
        <v/>
      </c>
      <c r="AD87">
        <f>IF(COUNTIFS(T_StockCount[RM_Code],$A87,T_StockCount[WeekIndex],29)&gt;0,SUMIFS(T_StockCount[CountedQty],T_StockCount[RM_Code],$A87,T_StockCount[WeekIndex],29),IF((COUNTIFS(T_SelfStock[RM_Code],$A87,T_SelfStock[WeekIndex],29)&gt;0)*(COUNTIFS(T_TTAFStock[RM_Code],$A87,T_TTAFStock[WeekIndex],29)&gt;0)&gt;0,SUMIFS(T_SelfStock[Self_Qty],T_SelfStock[RM_Code],$A87,T_SelfStock[WeekIndex],29)+SUMIFS(T_TTAFStock[TTAF_Qty],T_TTAFStock[RM_Code],$A87,T_TTAFStock[WeekIndex],29),AC87+'Grid_Incoming'!AD87-'Grid_Requirement'!AD87))</f>
        <v/>
      </c>
      <c r="AE87">
        <f>IF(COUNTIFS(T_StockCount[RM_Code],$A87,T_StockCount[WeekIndex],30)&gt;0,SUMIFS(T_StockCount[CountedQty],T_StockCount[RM_Code],$A87,T_StockCount[WeekIndex],30),IF((COUNTIFS(T_SelfStock[RM_Code],$A87,T_SelfStock[WeekIndex],30)&gt;0)*(COUNTIFS(T_TTAFStock[RM_Code],$A87,T_TTAFStock[WeekIndex],30)&gt;0)&gt;0,SUMIFS(T_SelfStock[Self_Qty],T_SelfStock[RM_Code],$A87,T_SelfStock[WeekIndex],30)+SUMIFS(T_TTAFStock[TTAF_Qty],T_TTAFStock[RM_Code],$A87,T_TTAFStock[WeekIndex],30),AD87+'Grid_Incoming'!AE87-'Grid_Requirement'!AE87))</f>
        <v/>
      </c>
      <c r="AF87">
        <f>IF(COUNTIFS(T_StockCount[RM_Code],$A87,T_StockCount[WeekIndex],31)&gt;0,SUMIFS(T_StockCount[CountedQty],T_StockCount[RM_Code],$A87,T_StockCount[WeekIndex],31),IF((COUNTIFS(T_SelfStock[RM_Code],$A87,T_SelfStock[WeekIndex],31)&gt;0)*(COUNTIFS(T_TTAFStock[RM_Code],$A87,T_TTAFStock[WeekIndex],31)&gt;0)&gt;0,SUMIFS(T_SelfStock[Self_Qty],T_SelfStock[RM_Code],$A87,T_SelfStock[WeekIndex],31)+SUMIFS(T_TTAFStock[TTAF_Qty],T_TTAFStock[RM_Code],$A87,T_TTAFStock[WeekIndex],31),AE87+'Grid_Incoming'!AF87-'Grid_Requirement'!AF87))</f>
        <v/>
      </c>
      <c r="AG87">
        <f>IF(COUNTIFS(T_StockCount[RM_Code],$A87,T_StockCount[WeekIndex],32)&gt;0,SUMIFS(T_StockCount[CountedQty],T_StockCount[RM_Code],$A87,T_StockCount[WeekIndex],32),IF((COUNTIFS(T_SelfStock[RM_Code],$A87,T_SelfStock[WeekIndex],32)&gt;0)*(COUNTIFS(T_TTAFStock[RM_Code],$A87,T_TTAFStock[WeekIndex],32)&gt;0)&gt;0,SUMIFS(T_SelfStock[Self_Qty],T_SelfStock[RM_Code],$A87,T_SelfStock[WeekIndex],32)+SUMIFS(T_TTAFStock[TTAF_Qty],T_TTAFStock[RM_Code],$A87,T_TTAFStock[WeekIndex],32),AF87+'Grid_Incoming'!AG87-'Grid_Requirement'!AG87))</f>
        <v/>
      </c>
      <c r="AH87">
        <f>IF(COUNTIFS(T_StockCount[RM_Code],$A87,T_StockCount[WeekIndex],33)&gt;0,SUMIFS(T_StockCount[CountedQty],T_StockCount[RM_Code],$A87,T_StockCount[WeekIndex],33),IF((COUNTIFS(T_SelfStock[RM_Code],$A87,T_SelfStock[WeekIndex],33)&gt;0)*(COUNTIFS(T_TTAFStock[RM_Code],$A87,T_TTAFStock[WeekIndex],33)&gt;0)&gt;0,SUMIFS(T_SelfStock[Self_Qty],T_SelfStock[RM_Code],$A87,T_SelfStock[WeekIndex],33)+SUMIFS(T_TTAFStock[TTAF_Qty],T_TTAFStock[RM_Code],$A87,T_TTAFStock[WeekIndex],33),AG87+'Grid_Incoming'!AH87-'Grid_Requirement'!AH87))</f>
        <v/>
      </c>
      <c r="AI87">
        <f>IF(COUNTIFS(T_StockCount[RM_Code],$A87,T_StockCount[WeekIndex],34)&gt;0,SUMIFS(T_StockCount[CountedQty],T_StockCount[RM_Code],$A87,T_StockCount[WeekIndex],34),IF((COUNTIFS(T_SelfStock[RM_Code],$A87,T_SelfStock[WeekIndex],34)&gt;0)*(COUNTIFS(T_TTAFStock[RM_Code],$A87,T_TTAFStock[WeekIndex],34)&gt;0)&gt;0,SUMIFS(T_SelfStock[Self_Qty],T_SelfStock[RM_Code],$A87,T_SelfStock[WeekIndex],34)+SUMIFS(T_TTAFStock[TTAF_Qty],T_TTAFStock[RM_Code],$A87,T_TTAFStock[WeekIndex],34),AH87+'Grid_Incoming'!AI87-'Grid_Requirement'!AI87))</f>
        <v/>
      </c>
      <c r="AJ87">
        <f>IF(COUNTIFS(T_StockCount[RM_Code],$A87,T_StockCount[WeekIndex],35)&gt;0,SUMIFS(T_StockCount[CountedQty],T_StockCount[RM_Code],$A87,T_StockCount[WeekIndex],35),IF((COUNTIFS(T_SelfStock[RM_Code],$A87,T_SelfStock[WeekIndex],35)&gt;0)*(COUNTIFS(T_TTAFStock[RM_Code],$A87,T_TTAFStock[WeekIndex],35)&gt;0)&gt;0,SUMIFS(T_SelfStock[Self_Qty],T_SelfStock[RM_Code],$A87,T_SelfStock[WeekIndex],35)+SUMIFS(T_TTAFStock[TTAF_Qty],T_TTAFStock[RM_Code],$A87,T_TTAFStock[WeekIndex],35),AI87+'Grid_Incoming'!AJ87-'Grid_Requirement'!AJ87))</f>
        <v/>
      </c>
      <c r="AK87">
        <f>IF(COUNTIFS(T_StockCount[RM_Code],$A87,T_StockCount[WeekIndex],36)&gt;0,SUMIFS(T_StockCount[CountedQty],T_StockCount[RM_Code],$A87,T_StockCount[WeekIndex],36),IF((COUNTIFS(T_SelfStock[RM_Code],$A87,T_SelfStock[WeekIndex],36)&gt;0)*(COUNTIFS(T_TTAFStock[RM_Code],$A87,T_TTAFStock[WeekIndex],36)&gt;0)&gt;0,SUMIFS(T_SelfStock[Self_Qty],T_SelfStock[RM_Code],$A87,T_SelfStock[WeekIndex],36)+SUMIFS(T_TTAFStock[TTAF_Qty],T_TTAFStock[RM_Code],$A87,T_TTAFStock[WeekIndex],36),AJ87+'Grid_Incoming'!AK87-'Grid_Requirement'!AK87))</f>
        <v/>
      </c>
      <c r="AL87">
        <f>IF(COUNTIFS(T_StockCount[RM_Code],$A87,T_StockCount[WeekIndex],37)&gt;0,SUMIFS(T_StockCount[CountedQty],T_StockCount[RM_Code],$A87,T_StockCount[WeekIndex],37),IF((COUNTIFS(T_SelfStock[RM_Code],$A87,T_SelfStock[WeekIndex],37)&gt;0)*(COUNTIFS(T_TTAFStock[RM_Code],$A87,T_TTAFStock[WeekIndex],37)&gt;0)&gt;0,SUMIFS(T_SelfStock[Self_Qty],T_SelfStock[RM_Code],$A87,T_SelfStock[WeekIndex],37)+SUMIFS(T_TTAFStock[TTAF_Qty],T_TTAFStock[RM_Code],$A87,T_TTAFStock[WeekIndex],37),AK87+'Grid_Incoming'!AL87-'Grid_Requirement'!AL87))</f>
        <v/>
      </c>
      <c r="AM87">
        <f>IF(COUNTIFS(T_StockCount[RM_Code],$A87,T_StockCount[WeekIndex],38)&gt;0,SUMIFS(T_StockCount[CountedQty],T_StockCount[RM_Code],$A87,T_StockCount[WeekIndex],38),IF((COUNTIFS(T_SelfStock[RM_Code],$A87,T_SelfStock[WeekIndex],38)&gt;0)*(COUNTIFS(T_TTAFStock[RM_Code],$A87,T_TTAFStock[WeekIndex],38)&gt;0)&gt;0,SUMIFS(T_SelfStock[Self_Qty],T_SelfStock[RM_Code],$A87,T_SelfStock[WeekIndex],38)+SUMIFS(T_TTAFStock[TTAF_Qty],T_TTAFStock[RM_Code],$A87,T_TTAFStock[WeekIndex],38),AL87+'Grid_Incoming'!AM87-'Grid_Requirement'!AM87))</f>
        <v/>
      </c>
      <c r="AN87">
        <f>IF(COUNTIFS(T_StockCount[RM_Code],$A87,T_StockCount[WeekIndex],39)&gt;0,SUMIFS(T_StockCount[CountedQty],T_StockCount[RM_Code],$A87,T_StockCount[WeekIndex],39),IF((COUNTIFS(T_SelfStock[RM_Code],$A87,T_SelfStock[WeekIndex],39)&gt;0)*(COUNTIFS(T_TTAFStock[RM_Code],$A87,T_TTAFStock[WeekIndex],39)&gt;0)&gt;0,SUMIFS(T_SelfStock[Self_Qty],T_SelfStock[RM_Code],$A87,T_SelfStock[WeekIndex],39)+SUMIFS(T_TTAFStock[TTAF_Qty],T_TTAFStock[RM_Code],$A87,T_TTAFStock[WeekIndex],39),AM87+'Grid_Incoming'!AN87-'Grid_Requirement'!AN87))</f>
        <v/>
      </c>
      <c r="AO87">
        <f>IF(COUNTIFS(T_StockCount[RM_Code],$A87,T_StockCount[WeekIndex],40)&gt;0,SUMIFS(T_StockCount[CountedQty],T_StockCount[RM_Code],$A87,T_StockCount[WeekIndex],40),IF((COUNTIFS(T_SelfStock[RM_Code],$A87,T_SelfStock[WeekIndex],40)&gt;0)*(COUNTIFS(T_TTAFStock[RM_Code],$A87,T_TTAFStock[WeekIndex],40)&gt;0)&gt;0,SUMIFS(T_SelfStock[Self_Qty],T_SelfStock[RM_Code],$A87,T_SelfStock[WeekIndex],40)+SUMIFS(T_TTAFStock[TTAF_Qty],T_TTAFStock[RM_Code],$A87,T_TTAFStock[WeekIndex],40),AN87+'Grid_Incoming'!AO87-'Grid_Requirement'!AO87))</f>
        <v/>
      </c>
      <c r="AP87">
        <f>IF(COUNTIFS(T_StockCount[RM_Code],$A87,T_StockCount[WeekIndex],41)&gt;0,SUMIFS(T_StockCount[CountedQty],T_StockCount[RM_Code],$A87,T_StockCount[WeekIndex],41),IF((COUNTIFS(T_SelfStock[RM_Code],$A87,T_SelfStock[WeekIndex],41)&gt;0)*(COUNTIFS(T_TTAFStock[RM_Code],$A87,T_TTAFStock[WeekIndex],41)&gt;0)&gt;0,SUMIFS(T_SelfStock[Self_Qty],T_SelfStock[RM_Code],$A87,T_SelfStock[WeekIndex],41)+SUMIFS(T_TTAFStock[TTAF_Qty],T_TTAFStock[RM_Code],$A87,T_TTAFStock[WeekIndex],41),AO87+'Grid_Incoming'!AP87-'Grid_Requirement'!AP87))</f>
        <v/>
      </c>
      <c r="AQ87">
        <f>IF(COUNTIFS(T_StockCount[RM_Code],$A87,T_StockCount[WeekIndex],42)&gt;0,SUMIFS(T_StockCount[CountedQty],T_StockCount[RM_Code],$A87,T_StockCount[WeekIndex],42),IF((COUNTIFS(T_SelfStock[RM_Code],$A87,T_SelfStock[WeekIndex],42)&gt;0)*(COUNTIFS(T_TTAFStock[RM_Code],$A87,T_TTAFStock[WeekIndex],42)&gt;0)&gt;0,SUMIFS(T_SelfStock[Self_Qty],T_SelfStock[RM_Code],$A87,T_SelfStock[WeekIndex],42)+SUMIFS(T_TTAFStock[TTAF_Qty],T_TTAFStock[RM_Code],$A87,T_TTAFStock[WeekIndex],42),AP87+'Grid_Incoming'!AQ87-'Grid_Requirement'!AQ87))</f>
        <v/>
      </c>
      <c r="AR87">
        <f>IF(COUNTIFS(T_StockCount[RM_Code],$A87,T_StockCount[WeekIndex],43)&gt;0,SUMIFS(T_StockCount[CountedQty],T_StockCount[RM_Code],$A87,T_StockCount[WeekIndex],43),IF((COUNTIFS(T_SelfStock[RM_Code],$A87,T_SelfStock[WeekIndex],43)&gt;0)*(COUNTIFS(T_TTAFStock[RM_Code],$A87,T_TTAFStock[WeekIndex],43)&gt;0)&gt;0,SUMIFS(T_SelfStock[Self_Qty],T_SelfStock[RM_Code],$A87,T_SelfStock[WeekIndex],43)+SUMIFS(T_TTAFStock[TTAF_Qty],T_TTAFStock[RM_Code],$A87,T_TTAFStock[WeekIndex],43),AQ87+'Grid_Incoming'!AR87-'Grid_Requirement'!AR87))</f>
        <v/>
      </c>
      <c r="AS87">
        <f>IF(COUNTIFS(T_StockCount[RM_Code],$A87,T_StockCount[WeekIndex],44)&gt;0,SUMIFS(T_StockCount[CountedQty],T_StockCount[RM_Code],$A87,T_StockCount[WeekIndex],44),IF((COUNTIFS(T_SelfStock[RM_Code],$A87,T_SelfStock[WeekIndex],44)&gt;0)*(COUNTIFS(T_TTAFStock[RM_Code],$A87,T_TTAFStock[WeekIndex],44)&gt;0)&gt;0,SUMIFS(T_SelfStock[Self_Qty],T_SelfStock[RM_Code],$A87,T_SelfStock[WeekIndex],44)+SUMIFS(T_TTAFStock[TTAF_Qty],T_TTAFStock[RM_Code],$A87,T_TTAFStock[WeekIndex],44),AR87+'Grid_Incoming'!AS87-'Grid_Requirement'!AS87))</f>
        <v/>
      </c>
      <c r="AT87">
        <f>IF(COUNTIFS(T_StockCount[RM_Code],$A87,T_StockCount[WeekIndex],45)&gt;0,SUMIFS(T_StockCount[CountedQty],T_StockCount[RM_Code],$A87,T_StockCount[WeekIndex],45),IF((COUNTIFS(T_SelfStock[RM_Code],$A87,T_SelfStock[WeekIndex],45)&gt;0)*(COUNTIFS(T_TTAFStock[RM_Code],$A87,T_TTAFStock[WeekIndex],45)&gt;0)&gt;0,SUMIFS(T_SelfStock[Self_Qty],T_SelfStock[RM_Code],$A87,T_SelfStock[WeekIndex],45)+SUMIFS(T_TTAFStock[TTAF_Qty],T_TTAFStock[RM_Code],$A87,T_TTAFStock[WeekIndex],45),AS87+'Grid_Incoming'!AT87-'Grid_Requirement'!AT87))</f>
        <v/>
      </c>
      <c r="AU87">
        <f>IF(COUNTIFS(T_StockCount[RM_Code],$A87,T_StockCount[WeekIndex],46)&gt;0,SUMIFS(T_StockCount[CountedQty],T_StockCount[RM_Code],$A87,T_StockCount[WeekIndex],46),IF((COUNTIFS(T_SelfStock[RM_Code],$A87,T_SelfStock[WeekIndex],46)&gt;0)*(COUNTIFS(T_TTAFStock[RM_Code],$A87,T_TTAFStock[WeekIndex],46)&gt;0)&gt;0,SUMIFS(T_SelfStock[Self_Qty],T_SelfStock[RM_Code],$A87,T_SelfStock[WeekIndex],46)+SUMIFS(T_TTAFStock[TTAF_Qty],T_TTAFStock[RM_Code],$A87,T_TTAFStock[WeekIndex],46),AT87+'Grid_Incoming'!AU87-'Grid_Requirement'!AU87))</f>
        <v/>
      </c>
      <c r="AV87">
        <f>IF(COUNTIFS(T_StockCount[RM_Code],$A87,T_StockCount[WeekIndex],47)&gt;0,SUMIFS(T_StockCount[CountedQty],T_StockCount[RM_Code],$A87,T_StockCount[WeekIndex],47),IF((COUNTIFS(T_SelfStock[RM_Code],$A87,T_SelfStock[WeekIndex],47)&gt;0)*(COUNTIFS(T_TTAFStock[RM_Code],$A87,T_TTAFStock[WeekIndex],47)&gt;0)&gt;0,SUMIFS(T_SelfStock[Self_Qty],T_SelfStock[RM_Code],$A87,T_SelfStock[WeekIndex],47)+SUMIFS(T_TTAFStock[TTAF_Qty],T_TTAFStock[RM_Code],$A87,T_TTAFStock[WeekIndex],47),AU87+'Grid_Incoming'!AV87-'Grid_Requirement'!AV87))</f>
        <v/>
      </c>
      <c r="AW87">
        <f>IF(COUNTIFS(T_StockCount[RM_Code],$A87,T_StockCount[WeekIndex],48)&gt;0,SUMIFS(T_StockCount[CountedQty],T_StockCount[RM_Code],$A87,T_StockCount[WeekIndex],48),IF((COUNTIFS(T_SelfStock[RM_Code],$A87,T_SelfStock[WeekIndex],48)&gt;0)*(COUNTIFS(T_TTAFStock[RM_Code],$A87,T_TTAFStock[WeekIndex],48)&gt;0)&gt;0,SUMIFS(T_SelfStock[Self_Qty],T_SelfStock[RM_Code],$A87,T_SelfStock[WeekIndex],48)+SUMIFS(T_TTAFStock[TTAF_Qty],T_TTAFStock[RM_Code],$A87,T_TTAFStock[WeekIndex],48),AV87+'Grid_Incoming'!AW87-'Grid_Requirement'!AW87))</f>
        <v/>
      </c>
      <c r="AX87">
        <f>IF(COUNTIFS(T_StockCount[RM_Code],$A87,T_StockCount[WeekIndex],49)&gt;0,SUMIFS(T_StockCount[CountedQty],T_StockCount[RM_Code],$A87,T_StockCount[WeekIndex],49),IF((COUNTIFS(T_SelfStock[RM_Code],$A87,T_SelfStock[WeekIndex],49)&gt;0)*(COUNTIFS(T_TTAFStock[RM_Code],$A87,T_TTAFStock[WeekIndex],49)&gt;0)&gt;0,SUMIFS(T_SelfStock[Self_Qty],T_SelfStock[RM_Code],$A87,T_SelfStock[WeekIndex],49)+SUMIFS(T_TTAFStock[TTAF_Qty],T_TTAFStock[RM_Code],$A87,T_TTAFStock[WeekIndex],49),AW87+'Grid_Incoming'!AX87-'Grid_Requirement'!AX87))</f>
        <v/>
      </c>
      <c r="AY87">
        <f>IF(COUNTIFS(T_StockCount[RM_Code],$A87,T_StockCount[WeekIndex],50)&gt;0,SUMIFS(T_StockCount[CountedQty],T_StockCount[RM_Code],$A87,T_StockCount[WeekIndex],50),IF((COUNTIFS(T_SelfStock[RM_Code],$A87,T_SelfStock[WeekIndex],50)&gt;0)*(COUNTIFS(T_TTAFStock[RM_Code],$A87,T_TTAFStock[WeekIndex],50)&gt;0)&gt;0,SUMIFS(T_SelfStock[Self_Qty],T_SelfStock[RM_Code],$A87,T_SelfStock[WeekIndex],50)+SUMIFS(T_TTAFStock[TTAF_Qty],T_TTAFStock[RM_Code],$A87,T_TTAFStock[WeekIndex],50),AX87+'Grid_Incoming'!AY87-'Grid_Requirement'!AY87))</f>
        <v/>
      </c>
      <c r="AZ87">
        <f>IF(COUNTIFS(T_StockCount[RM_Code],$A87,T_StockCount[WeekIndex],51)&gt;0,SUMIFS(T_StockCount[CountedQty],T_StockCount[RM_Code],$A87,T_StockCount[WeekIndex],51),IF((COUNTIFS(T_SelfStock[RM_Code],$A87,T_SelfStock[WeekIndex],51)&gt;0)*(COUNTIFS(T_TTAFStock[RM_Code],$A87,T_TTAFStock[WeekIndex],51)&gt;0)&gt;0,SUMIFS(T_SelfStock[Self_Qty],T_SelfStock[RM_Code],$A87,T_SelfStock[WeekIndex],51)+SUMIFS(T_TTAFStock[TTAF_Qty],T_TTAFStock[RM_Code],$A87,T_TTAFStock[WeekIndex],51),AY87+'Grid_Incoming'!AZ87-'Grid_Requirement'!AZ87))</f>
        <v/>
      </c>
      <c r="BA87">
        <f>IF(COUNTIFS(T_StockCount[RM_Code],$A87,T_StockCount[WeekIndex],52)&gt;0,SUMIFS(T_StockCount[CountedQty],T_StockCount[RM_Code],$A87,T_StockCount[WeekIndex],52),IF((COUNTIFS(T_SelfStock[RM_Code],$A87,T_SelfStock[WeekIndex],52)&gt;0)*(COUNTIFS(T_TTAFStock[RM_Code],$A87,T_TTAFStock[WeekIndex],52)&gt;0)&gt;0,SUMIFS(T_SelfStock[Self_Qty],T_SelfStock[RM_Code],$A87,T_SelfStock[WeekIndex],52)+SUMIFS(T_TTAFStock[TTAF_Qty],T_TTAFStock[RM_Code],$A87,T_TTAFStock[WeekIndex],52),AZ87+'Grid_Incoming'!BA87-'Grid_Requirement'!BA87))</f>
        <v/>
      </c>
      <c r="BB87">
        <f>IF(COUNTIFS(T_StockCount[RM_Code],$A87,T_StockCount[WeekIndex],53)&gt;0,SUMIFS(T_StockCount[CountedQty],T_StockCount[RM_Code],$A87,T_StockCount[WeekIndex],53),IF((COUNTIFS(T_SelfStock[RM_Code],$A87,T_SelfStock[WeekIndex],53)&gt;0)*(COUNTIFS(T_TTAFStock[RM_Code],$A87,T_TTAFStock[WeekIndex],53)&gt;0)&gt;0,SUMIFS(T_SelfStock[Self_Qty],T_SelfStock[RM_Code],$A87,T_SelfStock[WeekIndex],53)+SUMIFS(T_TTAFStock[TTAF_Qty],T_TTAFStock[RM_Code],$A87,T_TTAFStock[WeekIndex],53),BA87+'Grid_Incoming'!BB87-'Grid_Requirement'!BB87))</f>
        <v/>
      </c>
      <c r="BC87">
        <f>IF(COUNTIFS(T_StockCount[RM_Code],$A87,T_StockCount[WeekIndex],54)&gt;0,SUMIFS(T_StockCount[CountedQty],T_StockCount[RM_Code],$A87,T_StockCount[WeekIndex],54),IF((COUNTIFS(T_SelfStock[RM_Code],$A87,T_SelfStock[WeekIndex],54)&gt;0)*(COUNTIFS(T_TTAFStock[RM_Code],$A87,T_TTAFStock[WeekIndex],54)&gt;0)&gt;0,SUMIFS(T_SelfStock[Self_Qty],T_SelfStock[RM_Code],$A87,T_SelfStock[WeekIndex],54)+SUMIFS(T_TTAFStock[TTAF_Qty],T_TTAFStock[RM_Code],$A87,T_TTAFStock[WeekIndex],54),BB87+'Grid_Incoming'!BC87-'Grid_Requirement'!BC87))</f>
        <v/>
      </c>
      <c r="BD87">
        <f>IF(COUNTIFS(T_StockCount[RM_Code],$A87,T_StockCount[WeekIndex],55)&gt;0,SUMIFS(T_StockCount[CountedQty],T_StockCount[RM_Code],$A87,T_StockCount[WeekIndex],55),IF((COUNTIFS(T_SelfStock[RM_Code],$A87,T_SelfStock[WeekIndex],55)&gt;0)*(COUNTIFS(T_TTAFStock[RM_Code],$A87,T_TTAFStock[WeekIndex],55)&gt;0)&gt;0,SUMIFS(T_SelfStock[Self_Qty],T_SelfStock[RM_Code],$A87,T_SelfStock[WeekIndex],55)+SUMIFS(T_TTAFStock[TTAF_Qty],T_TTAFStock[RM_Code],$A87,T_TTAFStock[WeekIndex],55),BC87+'Grid_Incoming'!BD87-'Grid_Requirement'!BD87))</f>
        <v/>
      </c>
      <c r="BE87">
        <f>IF(COUNTIFS(T_StockCount[RM_Code],$A87,T_StockCount[WeekIndex],56)&gt;0,SUMIFS(T_StockCount[CountedQty],T_StockCount[RM_Code],$A87,T_StockCount[WeekIndex],56),IF((COUNTIFS(T_SelfStock[RM_Code],$A87,T_SelfStock[WeekIndex],56)&gt;0)*(COUNTIFS(T_TTAFStock[RM_Code],$A87,T_TTAFStock[WeekIndex],56)&gt;0)&gt;0,SUMIFS(T_SelfStock[Self_Qty],T_SelfStock[RM_Code],$A87,T_SelfStock[WeekIndex],56)+SUMIFS(T_TTAFStock[TTAF_Qty],T_TTAFStock[RM_Code],$A87,T_TTAFStock[WeekIndex],56),BD87+'Grid_Incoming'!BE87-'Grid_Requirement'!BE87))</f>
        <v/>
      </c>
      <c r="BF87">
        <f>IF(COUNTIFS(T_StockCount[RM_Code],$A87,T_StockCount[WeekIndex],57)&gt;0,SUMIFS(T_StockCount[CountedQty],T_StockCount[RM_Code],$A87,T_StockCount[WeekIndex],57),IF((COUNTIFS(T_SelfStock[RM_Code],$A87,T_SelfStock[WeekIndex],57)&gt;0)*(COUNTIFS(T_TTAFStock[RM_Code],$A87,T_TTAFStock[WeekIndex],57)&gt;0)&gt;0,SUMIFS(T_SelfStock[Self_Qty],T_SelfStock[RM_Code],$A87,T_SelfStock[WeekIndex],57)+SUMIFS(T_TTAFStock[TTAF_Qty],T_TTAFStock[RM_Code],$A87,T_TTAFStock[WeekIndex],57),BE87+'Grid_Incoming'!BF87-'Grid_Requirement'!BF87))</f>
        <v/>
      </c>
      <c r="BG87">
        <f>IF(COUNTIFS(T_StockCount[RM_Code],$A87,T_StockCount[WeekIndex],58)&gt;0,SUMIFS(T_StockCount[CountedQty],T_StockCount[RM_Code],$A87,T_StockCount[WeekIndex],58),IF((COUNTIFS(T_SelfStock[RM_Code],$A87,T_SelfStock[WeekIndex],58)&gt;0)*(COUNTIFS(T_TTAFStock[RM_Code],$A87,T_TTAFStock[WeekIndex],58)&gt;0)&gt;0,SUMIFS(T_SelfStock[Self_Qty],T_SelfStock[RM_Code],$A87,T_SelfStock[WeekIndex],58)+SUMIFS(T_TTAFStock[TTAF_Qty],T_TTAFStock[RM_Code],$A87,T_TTAFStock[WeekIndex],58),BF87+'Grid_Incoming'!BG87-'Grid_Requirement'!BG87))</f>
        <v/>
      </c>
      <c r="BH87">
        <f>IF(COUNTIFS(T_StockCount[RM_Code],$A87,T_StockCount[WeekIndex],59)&gt;0,SUMIFS(T_StockCount[CountedQty],T_StockCount[RM_Code],$A87,T_StockCount[WeekIndex],59),IF((COUNTIFS(T_SelfStock[RM_Code],$A87,T_SelfStock[WeekIndex],59)&gt;0)*(COUNTIFS(T_TTAFStock[RM_Code],$A87,T_TTAFStock[WeekIndex],59)&gt;0)&gt;0,SUMIFS(T_SelfStock[Self_Qty],T_SelfStock[RM_Code],$A87,T_SelfStock[WeekIndex],59)+SUMIFS(T_TTAFStock[TTAF_Qty],T_TTAFStock[RM_Code],$A87,T_TTAFStock[WeekIndex],59),BG87+'Grid_Incoming'!BH87-'Grid_Requirement'!BH87))</f>
        <v/>
      </c>
      <c r="BI87">
        <f>IF(COUNTIFS(T_StockCount[RM_Code],$A87,T_StockCount[WeekIndex],60)&gt;0,SUMIFS(T_StockCount[CountedQty],T_StockCount[RM_Code],$A87,T_StockCount[WeekIndex],60),IF((COUNTIFS(T_SelfStock[RM_Code],$A87,T_SelfStock[WeekIndex],60)&gt;0)*(COUNTIFS(T_TTAFStock[RM_Code],$A87,T_TTAFStock[WeekIndex],60)&gt;0)&gt;0,SUMIFS(T_SelfStock[Self_Qty],T_SelfStock[RM_Code],$A87,T_SelfStock[WeekIndex],60)+SUMIFS(T_TTAFStock[TTAF_Qty],T_TTAFStock[RM_Code],$A87,T_TTAFStock[WeekIndex],60),BH87+'Grid_Incoming'!BI87-'Grid_Requirement'!BI87))</f>
        <v/>
      </c>
      <c r="BJ87">
        <f>IF(COUNTIFS(T_StockCount[RM_Code],$A87,T_StockCount[WeekIndex],61)&gt;0,SUMIFS(T_StockCount[CountedQty],T_StockCount[RM_Code],$A87,T_StockCount[WeekIndex],61),IF((COUNTIFS(T_SelfStock[RM_Code],$A87,T_SelfStock[WeekIndex],61)&gt;0)*(COUNTIFS(T_TTAFStock[RM_Code],$A87,T_TTAFStock[WeekIndex],61)&gt;0)&gt;0,SUMIFS(T_SelfStock[Self_Qty],T_SelfStock[RM_Code],$A87,T_SelfStock[WeekIndex],61)+SUMIFS(T_TTAFStock[TTAF_Qty],T_TTAFStock[RM_Code],$A87,T_TTAFStock[WeekIndex],61),BI87+'Grid_Incoming'!BJ87-'Grid_Requirement'!BJ87))</f>
        <v/>
      </c>
      <c r="BK87">
        <f>IF(COUNTIFS(T_StockCount[RM_Code],$A87,T_StockCount[WeekIndex],62)&gt;0,SUMIFS(T_StockCount[CountedQty],T_StockCount[RM_Code],$A87,T_StockCount[WeekIndex],62),IF((COUNTIFS(T_SelfStock[RM_Code],$A87,T_SelfStock[WeekIndex],62)&gt;0)*(COUNTIFS(T_TTAFStock[RM_Code],$A87,T_TTAFStock[WeekIndex],62)&gt;0)&gt;0,SUMIFS(T_SelfStock[Self_Qty],T_SelfStock[RM_Code],$A87,T_SelfStock[WeekIndex],62)+SUMIFS(T_TTAFStock[TTAF_Qty],T_TTAFStock[RM_Code],$A87,T_TTAFStock[WeekIndex],62),BJ87+'Grid_Incoming'!BK87-'Grid_Requirement'!BK87))</f>
        <v/>
      </c>
      <c r="BL87">
        <f>IF(COUNTIFS(T_StockCount[RM_Code],$A87,T_StockCount[WeekIndex],63)&gt;0,SUMIFS(T_StockCount[CountedQty],T_StockCount[RM_Code],$A87,T_StockCount[WeekIndex],63),IF((COUNTIFS(T_SelfStock[RM_Code],$A87,T_SelfStock[WeekIndex],63)&gt;0)*(COUNTIFS(T_TTAFStock[RM_Code],$A87,T_TTAFStock[WeekIndex],63)&gt;0)&gt;0,SUMIFS(T_SelfStock[Self_Qty],T_SelfStock[RM_Code],$A87,T_SelfStock[WeekIndex],63)+SUMIFS(T_TTAFStock[TTAF_Qty],T_TTAFStock[RM_Code],$A87,T_TTAFStock[WeekIndex],63),BK87+'Grid_Incoming'!BL87-'Grid_Requirement'!BL87))</f>
        <v/>
      </c>
      <c r="BM87">
        <f>IF(COUNTIFS(T_StockCount[RM_Code],$A87,T_StockCount[WeekIndex],64)&gt;0,SUMIFS(T_StockCount[CountedQty],T_StockCount[RM_Code],$A87,T_StockCount[WeekIndex],64),IF((COUNTIFS(T_SelfStock[RM_Code],$A87,T_SelfStock[WeekIndex],64)&gt;0)*(COUNTIFS(T_TTAFStock[RM_Code],$A87,T_TTAFStock[WeekIndex],64)&gt;0)&gt;0,SUMIFS(T_SelfStock[Self_Qty],T_SelfStock[RM_Code],$A87,T_SelfStock[WeekIndex],64)+SUMIFS(T_TTAFStock[TTAF_Qty],T_TTAFStock[RM_Code],$A87,T_TTAFStock[WeekIndex],64),BL87+'Grid_Incoming'!BM87-'Grid_Requirement'!BM87))</f>
        <v/>
      </c>
      <c r="BN87">
        <f>IF(COUNTIFS(T_StockCount[RM_Code],$A87,T_StockCount[WeekIndex],65)&gt;0,SUMIFS(T_StockCount[CountedQty],T_StockCount[RM_Code],$A87,T_StockCount[WeekIndex],65),IF((COUNTIFS(T_SelfStock[RM_Code],$A87,T_SelfStock[WeekIndex],65)&gt;0)*(COUNTIFS(T_TTAFStock[RM_Code],$A87,T_TTAFStock[WeekIndex],65)&gt;0)&gt;0,SUMIFS(T_SelfStock[Self_Qty],T_SelfStock[RM_Code],$A87,T_SelfStock[WeekIndex],65)+SUMIFS(T_TTAFStock[TTAF_Qty],T_TTAFStock[RM_Code],$A87,T_TTAFStock[WeekIndex],65),BM87+'Grid_Incoming'!BN87-'Grid_Requirement'!BN87))</f>
        <v/>
      </c>
      <c r="BO87">
        <f>IF(COUNTIFS(T_StockCount[RM_Code],$A87,T_StockCount[WeekIndex],66)&gt;0,SUMIFS(T_StockCount[CountedQty],T_StockCount[RM_Code],$A87,T_StockCount[WeekIndex],66),IF((COUNTIFS(T_SelfStock[RM_Code],$A87,T_SelfStock[WeekIndex],66)&gt;0)*(COUNTIFS(T_TTAFStock[RM_Code],$A87,T_TTAFStock[WeekIndex],66)&gt;0)&gt;0,SUMIFS(T_SelfStock[Self_Qty],T_SelfStock[RM_Code],$A87,T_SelfStock[WeekIndex],66)+SUMIFS(T_TTAFStock[TTAF_Qty],T_TTAFStock[RM_Code],$A87,T_TTAFStock[WeekIndex],66),BN87+'Grid_Incoming'!BO87-'Grid_Requirement'!BO87))</f>
        <v/>
      </c>
      <c r="BP87">
        <f>IF(COUNTIFS(T_StockCount[RM_Code],$A87,T_StockCount[WeekIndex],67)&gt;0,SUMIFS(T_StockCount[CountedQty],T_StockCount[RM_Code],$A87,T_StockCount[WeekIndex],67),IF((COUNTIFS(T_SelfStock[RM_Code],$A87,T_SelfStock[WeekIndex],67)&gt;0)*(COUNTIFS(T_TTAFStock[RM_Code],$A87,T_TTAFStock[WeekIndex],67)&gt;0)&gt;0,SUMIFS(T_SelfStock[Self_Qty],T_SelfStock[RM_Code],$A87,T_SelfStock[WeekIndex],67)+SUMIFS(T_TTAFStock[TTAF_Qty],T_TTAFStock[RM_Code],$A87,T_TTAFStock[WeekIndex],67),BO87+'Grid_Incoming'!BP87-'Grid_Requirement'!BP87))</f>
        <v/>
      </c>
      <c r="BQ87">
        <f>IF(COUNTIFS(T_StockCount[RM_Code],$A87,T_StockCount[WeekIndex],68)&gt;0,SUMIFS(T_StockCount[CountedQty],T_StockCount[RM_Code],$A87,T_StockCount[WeekIndex],68),IF((COUNTIFS(T_SelfStock[RM_Code],$A87,T_SelfStock[WeekIndex],68)&gt;0)*(COUNTIFS(T_TTAFStock[RM_Code],$A87,T_TTAFStock[WeekIndex],68)&gt;0)&gt;0,SUMIFS(T_SelfStock[Self_Qty],T_SelfStock[RM_Code],$A87,T_SelfStock[WeekIndex],68)+SUMIFS(T_TTAFStock[TTAF_Qty],T_TTAFStock[RM_Code],$A87,T_TTAFStock[WeekIndex],68),BP87+'Grid_Incoming'!BQ87-'Grid_Requirement'!BQ87))</f>
        <v/>
      </c>
      <c r="BR87">
        <f>IF(COUNTIFS(T_StockCount[RM_Code],$A87,T_StockCount[WeekIndex],69)&gt;0,SUMIFS(T_StockCount[CountedQty],T_StockCount[RM_Code],$A87,T_StockCount[WeekIndex],69),IF((COUNTIFS(T_SelfStock[RM_Code],$A87,T_SelfStock[WeekIndex],69)&gt;0)*(COUNTIFS(T_TTAFStock[RM_Code],$A87,T_TTAFStock[WeekIndex],69)&gt;0)&gt;0,SUMIFS(T_SelfStock[Self_Qty],T_SelfStock[RM_Code],$A87,T_SelfStock[WeekIndex],69)+SUMIFS(T_TTAFStock[TTAF_Qty],T_TTAFStock[RM_Code],$A87,T_TTAFStock[WeekIndex],69),BQ87+'Grid_Incoming'!BR87-'Grid_Requirement'!BR87))</f>
        <v/>
      </c>
      <c r="BS87">
        <f>IF(COUNTIFS(T_StockCount[RM_Code],$A87,T_StockCount[WeekIndex],70)&gt;0,SUMIFS(T_StockCount[CountedQty],T_StockCount[RM_Code],$A87,T_StockCount[WeekIndex],70),IF((COUNTIFS(T_SelfStock[RM_Code],$A87,T_SelfStock[WeekIndex],70)&gt;0)*(COUNTIFS(T_TTAFStock[RM_Code],$A87,T_TTAFStock[WeekIndex],70)&gt;0)&gt;0,SUMIFS(T_SelfStock[Self_Qty],T_SelfStock[RM_Code],$A87,T_SelfStock[WeekIndex],70)+SUMIFS(T_TTAFStock[TTAF_Qty],T_TTAFStock[RM_Code],$A87,T_TTAFStock[WeekIndex],70),BR87+'Grid_Incoming'!BS87-'Grid_Requirement'!BS87))</f>
        <v/>
      </c>
      <c r="BT87">
        <f>IF(COUNTIFS(T_StockCount[RM_Code],$A87,T_StockCount[WeekIndex],71)&gt;0,SUMIFS(T_StockCount[CountedQty],T_StockCount[RM_Code],$A87,T_StockCount[WeekIndex],71),IF((COUNTIFS(T_SelfStock[RM_Code],$A87,T_SelfStock[WeekIndex],71)&gt;0)*(COUNTIFS(T_TTAFStock[RM_Code],$A87,T_TTAFStock[WeekIndex],71)&gt;0)&gt;0,SUMIFS(T_SelfStock[Self_Qty],T_SelfStock[RM_Code],$A87,T_SelfStock[WeekIndex],71)+SUMIFS(T_TTAFStock[TTAF_Qty],T_TTAFStock[RM_Code],$A87,T_TTAFStock[WeekIndex],71),BS87+'Grid_Incoming'!BT87-'Grid_Requirement'!BT87))</f>
        <v/>
      </c>
      <c r="BU87">
        <f>IF(COUNTIFS(T_StockCount[RM_Code],$A87,T_StockCount[WeekIndex],72)&gt;0,SUMIFS(T_StockCount[CountedQty],T_StockCount[RM_Code],$A87,T_StockCount[WeekIndex],72),IF((COUNTIFS(T_SelfStock[RM_Code],$A87,T_SelfStock[WeekIndex],72)&gt;0)*(COUNTIFS(T_TTAFStock[RM_Code],$A87,T_TTAFStock[WeekIndex],72)&gt;0)&gt;0,SUMIFS(T_SelfStock[Self_Qty],T_SelfStock[RM_Code],$A87,T_SelfStock[WeekIndex],72)+SUMIFS(T_TTAFStock[TTAF_Qty],T_TTAFStock[RM_Code],$A87,T_TTAFStock[WeekIndex],72),BT87+'Grid_Incoming'!BU87-'Grid_Requirement'!BU87))</f>
        <v/>
      </c>
      <c r="BV87">
        <f>IF(COUNTIFS(T_StockCount[RM_Code],$A87,T_StockCount[WeekIndex],73)&gt;0,SUMIFS(T_StockCount[CountedQty],T_StockCount[RM_Code],$A87,T_StockCount[WeekIndex],73),IF((COUNTIFS(T_SelfStock[RM_Code],$A87,T_SelfStock[WeekIndex],73)&gt;0)*(COUNTIFS(T_TTAFStock[RM_Code],$A87,T_TTAFStock[WeekIndex],73)&gt;0)&gt;0,SUMIFS(T_SelfStock[Self_Qty],T_SelfStock[RM_Code],$A87,T_SelfStock[WeekIndex],73)+SUMIFS(T_TTAFStock[TTAF_Qty],T_TTAFStock[RM_Code],$A87,T_TTAFStock[WeekIndex],73),BU87+'Grid_Incoming'!BV87-'Grid_Requirement'!BV87))</f>
        <v/>
      </c>
      <c r="BW87">
        <f>IF(COUNTIFS(T_StockCount[RM_Code],$A87,T_StockCount[WeekIndex],74)&gt;0,SUMIFS(T_StockCount[CountedQty],T_StockCount[RM_Code],$A87,T_StockCount[WeekIndex],74),IF((COUNTIFS(T_SelfStock[RM_Code],$A87,T_SelfStock[WeekIndex],74)&gt;0)*(COUNTIFS(T_TTAFStock[RM_Code],$A87,T_TTAFStock[WeekIndex],74)&gt;0)&gt;0,SUMIFS(T_SelfStock[Self_Qty],T_SelfStock[RM_Code],$A87,T_SelfStock[WeekIndex],74)+SUMIFS(T_TTAFStock[TTAF_Qty],T_TTAFStock[RM_Code],$A87,T_TTAFStock[WeekIndex],74),BV87+'Grid_Incoming'!BW87-'Grid_Requirement'!BW87))</f>
        <v/>
      </c>
      <c r="BX87">
        <f>IF(COUNTIFS(T_StockCount[RM_Code],$A87,T_StockCount[WeekIndex],75)&gt;0,SUMIFS(T_StockCount[CountedQty],T_StockCount[RM_Code],$A87,T_StockCount[WeekIndex],75),IF((COUNTIFS(T_SelfStock[RM_Code],$A87,T_SelfStock[WeekIndex],75)&gt;0)*(COUNTIFS(T_TTAFStock[RM_Code],$A87,T_TTAFStock[WeekIndex],75)&gt;0)&gt;0,SUMIFS(T_SelfStock[Self_Qty],T_SelfStock[RM_Code],$A87,T_SelfStock[WeekIndex],75)+SUMIFS(T_TTAFStock[TTAF_Qty],T_TTAFStock[RM_Code],$A87,T_TTAFStock[WeekIndex],75),BW87+'Grid_Incoming'!BX87-'Grid_Requirement'!BX87))</f>
        <v/>
      </c>
      <c r="BY87">
        <f>IF(COUNTIFS(T_StockCount[RM_Code],$A87,T_StockCount[WeekIndex],76)&gt;0,SUMIFS(T_StockCount[CountedQty],T_StockCount[RM_Code],$A87,T_StockCount[WeekIndex],76),IF((COUNTIFS(T_SelfStock[RM_Code],$A87,T_SelfStock[WeekIndex],76)&gt;0)*(COUNTIFS(T_TTAFStock[RM_Code],$A87,T_TTAFStock[WeekIndex],76)&gt;0)&gt;0,SUMIFS(T_SelfStock[Self_Qty],T_SelfStock[RM_Code],$A87,T_SelfStock[WeekIndex],76)+SUMIFS(T_TTAFStock[TTAF_Qty],T_TTAFStock[RM_Code],$A87,T_TTAFStock[WeekIndex],76),BX87+'Grid_Incoming'!BY87-'Grid_Requirement'!BY87))</f>
        <v/>
      </c>
      <c r="BZ87">
        <f>IF(COUNTIFS(T_StockCount[RM_Code],$A87,T_StockCount[WeekIndex],77)&gt;0,SUMIFS(T_StockCount[CountedQty],T_StockCount[RM_Code],$A87,T_StockCount[WeekIndex],77),IF((COUNTIFS(T_SelfStock[RM_Code],$A87,T_SelfStock[WeekIndex],77)&gt;0)*(COUNTIFS(T_TTAFStock[RM_Code],$A87,T_TTAFStock[WeekIndex],77)&gt;0)&gt;0,SUMIFS(T_SelfStock[Self_Qty],T_SelfStock[RM_Code],$A87,T_SelfStock[WeekIndex],77)+SUMIFS(T_TTAFStock[TTAF_Qty],T_TTAFStock[RM_Code],$A87,T_TTAFStock[WeekIndex],77),BY87+'Grid_Incoming'!BZ87-'Grid_Requirement'!BZ87))</f>
        <v/>
      </c>
      <c r="CA87">
        <f>IF(COUNTIFS(T_StockCount[RM_Code],$A87,T_StockCount[WeekIndex],78)&gt;0,SUMIFS(T_StockCount[CountedQty],T_StockCount[RM_Code],$A87,T_StockCount[WeekIndex],78),IF((COUNTIFS(T_SelfStock[RM_Code],$A87,T_SelfStock[WeekIndex],78)&gt;0)*(COUNTIFS(T_TTAFStock[RM_Code],$A87,T_TTAFStock[WeekIndex],78)&gt;0)&gt;0,SUMIFS(T_SelfStock[Self_Qty],T_SelfStock[RM_Code],$A87,T_SelfStock[WeekIndex],78)+SUMIFS(T_TTAFStock[TTAF_Qty],T_TTAFStock[RM_Code],$A87,T_TTAFStock[WeekIndex],78),BZ87+'Grid_Incoming'!CA87-'Grid_Requirement'!CA87))</f>
        <v/>
      </c>
      <c r="CB87">
        <f>IF(COUNTIFS(T_StockCount[RM_Code],$A87,T_StockCount[WeekIndex],79)&gt;0,SUMIFS(T_StockCount[CountedQty],T_StockCount[RM_Code],$A87,T_StockCount[WeekIndex],79),IF((COUNTIFS(T_SelfStock[RM_Code],$A87,T_SelfStock[WeekIndex],79)&gt;0)*(COUNTIFS(T_TTAFStock[RM_Code],$A87,T_TTAFStock[WeekIndex],79)&gt;0)&gt;0,SUMIFS(T_SelfStock[Self_Qty],T_SelfStock[RM_Code],$A87,T_SelfStock[WeekIndex],79)+SUMIFS(T_TTAFStock[TTAF_Qty],T_TTAFStock[RM_Code],$A87,T_TTAFStock[WeekIndex],79),CA87+'Grid_Incoming'!CB87-'Grid_Requirement'!CB87))</f>
        <v/>
      </c>
      <c r="CC87">
        <f>IF(COUNTIFS(T_StockCount[RM_Code],$A87,T_StockCount[WeekIndex],80)&gt;0,SUMIFS(T_StockCount[CountedQty],T_StockCount[RM_Code],$A87,T_StockCount[WeekIndex],80),IF((COUNTIFS(T_SelfStock[RM_Code],$A87,T_SelfStock[WeekIndex],80)&gt;0)*(COUNTIFS(T_TTAFStock[RM_Code],$A87,T_TTAFStock[WeekIndex],80)&gt;0)&gt;0,SUMIFS(T_SelfStock[Self_Qty],T_SelfStock[RM_Code],$A87,T_SelfStock[WeekIndex],80)+SUMIFS(T_TTAFStock[TTAF_Qty],T_TTAFStock[RM_Code],$A87,T_TTAFStock[WeekIndex],80),CB87+'Grid_Incoming'!CC87-'Grid_Requirement'!CC87))</f>
        <v/>
      </c>
      <c r="CD87">
        <f>IF(COUNTIFS(T_StockCount[RM_Code],$A87,T_StockCount[WeekIndex],81)&gt;0,SUMIFS(T_StockCount[CountedQty],T_StockCount[RM_Code],$A87,T_StockCount[WeekIndex],81),IF((COUNTIFS(T_SelfStock[RM_Code],$A87,T_SelfStock[WeekIndex],81)&gt;0)*(COUNTIFS(T_TTAFStock[RM_Code],$A87,T_TTAFStock[WeekIndex],81)&gt;0)&gt;0,SUMIFS(T_SelfStock[Self_Qty],T_SelfStock[RM_Code],$A87,T_SelfStock[WeekIndex],81)+SUMIFS(T_TTAFStock[TTAF_Qty],T_TTAFStock[RM_Code],$A87,T_TTAFStock[WeekIndex],81),CC87+'Grid_Incoming'!CD87-'Grid_Requirement'!CD87))</f>
        <v/>
      </c>
      <c r="CE87">
        <f>IF(COUNTIFS(T_StockCount[RM_Code],$A87,T_StockCount[WeekIndex],82)&gt;0,SUMIFS(T_StockCount[CountedQty],T_StockCount[RM_Code],$A87,T_StockCount[WeekIndex],82),IF((COUNTIFS(T_SelfStock[RM_Code],$A87,T_SelfStock[WeekIndex],82)&gt;0)*(COUNTIFS(T_TTAFStock[RM_Code],$A87,T_TTAFStock[WeekIndex],82)&gt;0)&gt;0,SUMIFS(T_SelfStock[Self_Qty],T_SelfStock[RM_Code],$A87,T_SelfStock[WeekIndex],82)+SUMIFS(T_TTAFStock[TTAF_Qty],T_TTAFStock[RM_Code],$A87,T_TTAFStock[WeekIndex],82),CD87+'Grid_Incoming'!CE87-'Grid_Requirement'!CE87))</f>
        <v/>
      </c>
      <c r="CF87">
        <f>IF(COUNTIFS(T_StockCount[RM_Code],$A87,T_StockCount[WeekIndex],83)&gt;0,SUMIFS(T_StockCount[CountedQty],T_StockCount[RM_Code],$A87,T_StockCount[WeekIndex],83),IF((COUNTIFS(T_SelfStock[RM_Code],$A87,T_SelfStock[WeekIndex],83)&gt;0)*(COUNTIFS(T_TTAFStock[RM_Code],$A87,T_TTAFStock[WeekIndex],83)&gt;0)&gt;0,SUMIFS(T_SelfStock[Self_Qty],T_SelfStock[RM_Code],$A87,T_SelfStock[WeekIndex],83)+SUMIFS(T_TTAFStock[TTAF_Qty],T_TTAFStock[RM_Code],$A87,T_TTAFStock[WeekIndex],83),CE87+'Grid_Incoming'!CF87-'Grid_Requirement'!CF87))</f>
        <v/>
      </c>
      <c r="CG87">
        <f>IF(COUNTIFS(T_StockCount[RM_Code],$A87,T_StockCount[WeekIndex],84)&gt;0,SUMIFS(T_StockCount[CountedQty],T_StockCount[RM_Code],$A87,T_StockCount[WeekIndex],84),IF((COUNTIFS(T_SelfStock[RM_Code],$A87,T_SelfStock[WeekIndex],84)&gt;0)*(COUNTIFS(T_TTAFStock[RM_Code],$A87,T_TTAFStock[WeekIndex],84)&gt;0)&gt;0,SUMIFS(T_SelfStock[Self_Qty],T_SelfStock[RM_Code],$A87,T_SelfStock[WeekIndex],84)+SUMIFS(T_TTAFStock[TTAF_Qty],T_TTAFStock[RM_Code],$A87,T_TTAFStock[WeekIndex],84),CF87+'Grid_Incoming'!CG87-'Grid_Requirement'!CG87))</f>
        <v/>
      </c>
      <c r="CH87">
        <f>IF(COUNTIFS(T_StockCount[RM_Code],$A87,T_StockCount[WeekIndex],85)&gt;0,SUMIFS(T_StockCount[CountedQty],T_StockCount[RM_Code],$A87,T_StockCount[WeekIndex],85),IF((COUNTIFS(T_SelfStock[RM_Code],$A87,T_SelfStock[WeekIndex],85)&gt;0)*(COUNTIFS(T_TTAFStock[RM_Code],$A87,T_TTAFStock[WeekIndex],85)&gt;0)&gt;0,SUMIFS(T_SelfStock[Self_Qty],T_SelfStock[RM_Code],$A87,T_SelfStock[WeekIndex],85)+SUMIFS(T_TTAFStock[TTAF_Qty],T_TTAFStock[RM_Code],$A87,T_TTAFStock[WeekIndex],85),CG87+'Grid_Incoming'!CH87-'Grid_Requirement'!CH87))</f>
        <v/>
      </c>
      <c r="CI87">
        <f>IF(COUNTIFS(T_StockCount[RM_Code],$A87,T_StockCount[WeekIndex],86)&gt;0,SUMIFS(T_StockCount[CountedQty],T_StockCount[RM_Code],$A87,T_StockCount[WeekIndex],86),IF((COUNTIFS(T_SelfStock[RM_Code],$A87,T_SelfStock[WeekIndex],86)&gt;0)*(COUNTIFS(T_TTAFStock[RM_Code],$A87,T_TTAFStock[WeekIndex],86)&gt;0)&gt;0,SUMIFS(T_SelfStock[Self_Qty],T_SelfStock[RM_Code],$A87,T_SelfStock[WeekIndex],86)+SUMIFS(T_TTAFStock[TTAF_Qty],T_TTAFStock[RM_Code],$A87,T_TTAFStock[WeekIndex],86),CH87+'Grid_Incoming'!CI87-'Grid_Requirement'!CI87))</f>
        <v/>
      </c>
      <c r="CJ87">
        <f>IF(COUNTIFS(T_StockCount[RM_Code],$A87,T_StockCount[WeekIndex],87)&gt;0,SUMIFS(T_StockCount[CountedQty],T_StockCount[RM_Code],$A87,T_StockCount[WeekIndex],87),IF((COUNTIFS(T_SelfStock[RM_Code],$A87,T_SelfStock[WeekIndex],87)&gt;0)*(COUNTIFS(T_TTAFStock[RM_Code],$A87,T_TTAFStock[WeekIndex],87)&gt;0)&gt;0,SUMIFS(T_SelfStock[Self_Qty],T_SelfStock[RM_Code],$A87,T_SelfStock[WeekIndex],87)+SUMIFS(T_TTAFStock[TTAF_Qty],T_TTAFStock[RM_Code],$A87,T_TTAFStock[WeekIndex],87),CI87+'Grid_Incoming'!CJ87-'Grid_Requirement'!CJ87))</f>
        <v/>
      </c>
      <c r="CK87">
        <f>IF(COUNTIFS(T_StockCount[RM_Code],$A87,T_StockCount[WeekIndex],88)&gt;0,SUMIFS(T_StockCount[CountedQty],T_StockCount[RM_Code],$A87,T_StockCount[WeekIndex],88),IF((COUNTIFS(T_SelfStock[RM_Code],$A87,T_SelfStock[WeekIndex],88)&gt;0)*(COUNTIFS(T_TTAFStock[RM_Code],$A87,T_TTAFStock[WeekIndex],88)&gt;0)&gt;0,SUMIFS(T_SelfStock[Self_Qty],T_SelfStock[RM_Code],$A87,T_SelfStock[WeekIndex],88)+SUMIFS(T_TTAFStock[TTAF_Qty],T_TTAFStock[RM_Code],$A87,T_TTAFStock[WeekIndex],88),CJ87+'Grid_Incoming'!CK87-'Grid_Requirement'!CK87))</f>
        <v/>
      </c>
      <c r="CL87">
        <f>IF(COUNTIFS(T_StockCount[RM_Code],$A87,T_StockCount[WeekIndex],89)&gt;0,SUMIFS(T_StockCount[CountedQty],T_StockCount[RM_Code],$A87,T_StockCount[WeekIndex],89),IF((COUNTIFS(T_SelfStock[RM_Code],$A87,T_SelfStock[WeekIndex],89)&gt;0)*(COUNTIFS(T_TTAFStock[RM_Code],$A87,T_TTAFStock[WeekIndex],89)&gt;0)&gt;0,SUMIFS(T_SelfStock[Self_Qty],T_SelfStock[RM_Code],$A87,T_SelfStock[WeekIndex],89)+SUMIFS(T_TTAFStock[TTAF_Qty],T_TTAFStock[RM_Code],$A87,T_TTAFStock[WeekIndex],89),CK87+'Grid_Incoming'!CL87-'Grid_Requirement'!CL87))</f>
        <v/>
      </c>
      <c r="CM87">
        <f>IF(COUNTIFS(T_StockCount[RM_Code],$A87,T_StockCount[WeekIndex],90)&gt;0,SUMIFS(T_StockCount[CountedQty],T_StockCount[RM_Code],$A87,T_StockCount[WeekIndex],90),IF((COUNTIFS(T_SelfStock[RM_Code],$A87,T_SelfStock[WeekIndex],90)&gt;0)*(COUNTIFS(T_TTAFStock[RM_Code],$A87,T_TTAFStock[WeekIndex],90)&gt;0)&gt;0,SUMIFS(T_SelfStock[Self_Qty],T_SelfStock[RM_Code],$A87,T_SelfStock[WeekIndex],90)+SUMIFS(T_TTAFStock[TTAF_Qty],T_TTAFStock[RM_Code],$A87,T_TTAFStock[WeekIndex],90),CL87+'Grid_Incoming'!CM87-'Grid_Requirement'!CM87))</f>
        <v/>
      </c>
      <c r="CN87">
        <f>IF(COUNTIFS(T_StockCount[RM_Code],$A87,T_StockCount[WeekIndex],91)&gt;0,SUMIFS(T_StockCount[CountedQty],T_StockCount[RM_Code],$A87,T_StockCount[WeekIndex],91),IF((COUNTIFS(T_SelfStock[RM_Code],$A87,T_SelfStock[WeekIndex],91)&gt;0)*(COUNTIFS(T_TTAFStock[RM_Code],$A87,T_TTAFStock[WeekIndex],91)&gt;0)&gt;0,SUMIFS(T_SelfStock[Self_Qty],T_SelfStock[RM_Code],$A87,T_SelfStock[WeekIndex],91)+SUMIFS(T_TTAFStock[TTAF_Qty],T_TTAFStock[RM_Code],$A87,T_TTAFStock[WeekIndex],91),CM87+'Grid_Incoming'!CN87-'Grid_Requirement'!CN87))</f>
        <v/>
      </c>
      <c r="CO87">
        <f>IF(COUNTIFS(T_StockCount[RM_Code],$A87,T_StockCount[WeekIndex],92)&gt;0,SUMIFS(T_StockCount[CountedQty],T_StockCount[RM_Code],$A87,T_StockCount[WeekIndex],92),IF((COUNTIFS(T_SelfStock[RM_Code],$A87,T_SelfStock[WeekIndex],92)&gt;0)*(COUNTIFS(T_TTAFStock[RM_Code],$A87,T_TTAFStock[WeekIndex],92)&gt;0)&gt;0,SUMIFS(T_SelfStock[Self_Qty],T_SelfStock[RM_Code],$A87,T_SelfStock[WeekIndex],92)+SUMIFS(T_TTAFStock[TTAF_Qty],T_TTAFStock[RM_Code],$A87,T_TTAFStock[WeekIndex],92),CN87+'Grid_Incoming'!CO87-'Grid_Requirement'!CO87))</f>
        <v/>
      </c>
      <c r="CP87">
        <f>IF(COUNTIFS(T_StockCount[RM_Code],$A87,T_StockCount[WeekIndex],93)&gt;0,SUMIFS(T_StockCount[CountedQty],T_StockCount[RM_Code],$A87,T_StockCount[WeekIndex],93),IF((COUNTIFS(T_SelfStock[RM_Code],$A87,T_SelfStock[WeekIndex],93)&gt;0)*(COUNTIFS(T_TTAFStock[RM_Code],$A87,T_TTAFStock[WeekIndex],93)&gt;0)&gt;0,SUMIFS(T_SelfStock[Self_Qty],T_SelfStock[RM_Code],$A87,T_SelfStock[WeekIndex],93)+SUMIFS(T_TTAFStock[TTAF_Qty],T_TTAFStock[RM_Code],$A87,T_TTAFStock[WeekIndex],93),CO87+'Grid_Incoming'!CP87-'Grid_Requirement'!CP87))</f>
        <v/>
      </c>
      <c r="CQ87">
        <f>IF(COUNTIFS(T_StockCount[RM_Code],$A87,T_StockCount[WeekIndex],94)&gt;0,SUMIFS(T_StockCount[CountedQty],T_StockCount[RM_Code],$A87,T_StockCount[WeekIndex],94),IF((COUNTIFS(T_SelfStock[RM_Code],$A87,T_SelfStock[WeekIndex],94)&gt;0)*(COUNTIFS(T_TTAFStock[RM_Code],$A87,T_TTAFStock[WeekIndex],94)&gt;0)&gt;0,SUMIFS(T_SelfStock[Self_Qty],T_SelfStock[RM_Code],$A87,T_SelfStock[WeekIndex],94)+SUMIFS(T_TTAFStock[TTAF_Qty],T_TTAFStock[RM_Code],$A87,T_TTAFStock[WeekIndex],94),CP87+'Grid_Incoming'!CQ87-'Grid_Requirement'!CQ87))</f>
        <v/>
      </c>
      <c r="CR87">
        <f>IF(COUNTIFS(T_StockCount[RM_Code],$A87,T_StockCount[WeekIndex],95)&gt;0,SUMIFS(T_StockCount[CountedQty],T_StockCount[RM_Code],$A87,T_StockCount[WeekIndex],95),IF((COUNTIFS(T_SelfStock[RM_Code],$A87,T_SelfStock[WeekIndex],95)&gt;0)*(COUNTIFS(T_TTAFStock[RM_Code],$A87,T_TTAFStock[WeekIndex],95)&gt;0)&gt;0,SUMIFS(T_SelfStock[Self_Qty],T_SelfStock[RM_Code],$A87,T_SelfStock[WeekIndex],95)+SUMIFS(T_TTAFStock[TTAF_Qty],T_TTAFStock[RM_Code],$A87,T_TTAFStock[WeekIndex],95),CQ87+'Grid_Incoming'!CR87-'Grid_Requirement'!CR87))</f>
        <v/>
      </c>
      <c r="CS87">
        <f>IF(COUNTIFS(T_StockCount[RM_Code],$A87,T_StockCount[WeekIndex],96)&gt;0,SUMIFS(T_StockCount[CountedQty],T_StockCount[RM_Code],$A87,T_StockCount[WeekIndex],96),IF((COUNTIFS(T_SelfStock[RM_Code],$A87,T_SelfStock[WeekIndex],96)&gt;0)*(COUNTIFS(T_TTAFStock[RM_Code],$A87,T_TTAFStock[WeekIndex],96)&gt;0)&gt;0,SUMIFS(T_SelfStock[Self_Qty],T_SelfStock[RM_Code],$A87,T_SelfStock[WeekIndex],96)+SUMIFS(T_TTAFStock[TTAF_Qty],T_TTAFStock[RM_Code],$A87,T_TTAFStock[WeekIndex],96),CR87+'Grid_Incoming'!CS87-'Grid_Requirement'!CS87))</f>
        <v/>
      </c>
      <c r="CT87">
        <f>IF(COUNTIFS(T_StockCount[RM_Code],$A87,T_StockCount[WeekIndex],97)&gt;0,SUMIFS(T_StockCount[CountedQty],T_StockCount[RM_Code],$A87,T_StockCount[WeekIndex],97),IF((COUNTIFS(T_SelfStock[RM_Code],$A87,T_SelfStock[WeekIndex],97)&gt;0)*(COUNTIFS(T_TTAFStock[RM_Code],$A87,T_TTAFStock[WeekIndex],97)&gt;0)&gt;0,SUMIFS(T_SelfStock[Self_Qty],T_SelfStock[RM_Code],$A87,T_SelfStock[WeekIndex],97)+SUMIFS(T_TTAFStock[TTAF_Qty],T_TTAFStock[RM_Code],$A87,T_TTAFStock[WeekIndex],97),CS87+'Grid_Incoming'!CT87-'Grid_Requirement'!CT87))</f>
        <v/>
      </c>
      <c r="CU87">
        <f>IF(COUNTIFS(T_StockCount[RM_Code],$A87,T_StockCount[WeekIndex],98)&gt;0,SUMIFS(T_StockCount[CountedQty],T_StockCount[RM_Code],$A87,T_StockCount[WeekIndex],98),IF((COUNTIFS(T_SelfStock[RM_Code],$A87,T_SelfStock[WeekIndex],98)&gt;0)*(COUNTIFS(T_TTAFStock[RM_Code],$A87,T_TTAFStock[WeekIndex],98)&gt;0)&gt;0,SUMIFS(T_SelfStock[Self_Qty],T_SelfStock[RM_Code],$A87,T_SelfStock[WeekIndex],98)+SUMIFS(T_TTAFStock[TTAF_Qty],T_TTAFStock[RM_Code],$A87,T_TTAFStock[WeekIndex],98),CT87+'Grid_Incoming'!CU87-'Grid_Requirement'!CU87))</f>
        <v/>
      </c>
      <c r="CV87">
        <f>IF(COUNTIFS(T_StockCount[RM_Code],$A87,T_StockCount[WeekIndex],99)&gt;0,SUMIFS(T_StockCount[CountedQty],T_StockCount[RM_Code],$A87,T_StockCount[WeekIndex],99),IF((COUNTIFS(T_SelfStock[RM_Code],$A87,T_SelfStock[WeekIndex],99)&gt;0)*(COUNTIFS(T_TTAFStock[RM_Code],$A87,T_TTAFStock[WeekIndex],99)&gt;0)&gt;0,SUMIFS(T_SelfStock[Self_Qty],T_SelfStock[RM_Code],$A87,T_SelfStock[WeekIndex],99)+SUMIFS(T_TTAFStock[TTAF_Qty],T_TTAFStock[RM_Code],$A87,T_TTAFStock[WeekIndex],99),CU87+'Grid_Incoming'!CV87-'Grid_Requirement'!CV87))</f>
        <v/>
      </c>
      <c r="CW87">
        <f>IF(COUNTIFS(T_StockCount[RM_Code],$A87,T_StockCount[WeekIndex],100)&gt;0,SUMIFS(T_StockCount[CountedQty],T_StockCount[RM_Code],$A87,T_StockCount[WeekIndex],100),IF((COUNTIFS(T_SelfStock[RM_Code],$A87,T_SelfStock[WeekIndex],100)&gt;0)*(COUNTIFS(T_TTAFStock[RM_Code],$A87,T_TTAFStock[WeekIndex],100)&gt;0)&gt;0,SUMIFS(T_SelfStock[Self_Qty],T_SelfStock[RM_Code],$A87,T_SelfStock[WeekIndex],100)+SUMIFS(T_TTAFStock[TTAF_Qty],T_TTAFStock[RM_Code],$A87,T_TTAFStock[WeekIndex],100),CV87+'Grid_Incoming'!CW87-'Grid_Requirement'!CW87))</f>
        <v/>
      </c>
      <c r="CX87">
        <f>IF(COUNTIFS(T_StockCount[RM_Code],$A87,T_StockCount[WeekIndex],101)&gt;0,SUMIFS(T_StockCount[CountedQty],T_StockCount[RM_Code],$A87,T_StockCount[WeekIndex],101),IF((COUNTIFS(T_SelfStock[RM_Code],$A87,T_SelfStock[WeekIndex],101)&gt;0)*(COUNTIFS(T_TTAFStock[RM_Code],$A87,T_TTAFStock[WeekIndex],101)&gt;0)&gt;0,SUMIFS(T_SelfStock[Self_Qty],T_SelfStock[RM_Code],$A87,T_SelfStock[WeekIndex],101)+SUMIFS(T_TTAFStock[TTAF_Qty],T_TTAFStock[RM_Code],$A87,T_TTAFStock[WeekIndex],101),CW87+'Grid_Incoming'!CX87-'Grid_Requirement'!CX87))</f>
        <v/>
      </c>
      <c r="CY87">
        <f>IF(COUNTIFS(T_StockCount[RM_Code],$A87,T_StockCount[WeekIndex],102)&gt;0,SUMIFS(T_StockCount[CountedQty],T_StockCount[RM_Code],$A87,T_StockCount[WeekIndex],102),IF((COUNTIFS(T_SelfStock[RM_Code],$A87,T_SelfStock[WeekIndex],102)&gt;0)*(COUNTIFS(T_TTAFStock[RM_Code],$A87,T_TTAFStock[WeekIndex],102)&gt;0)&gt;0,SUMIFS(T_SelfStock[Self_Qty],T_SelfStock[RM_Code],$A87,T_SelfStock[WeekIndex],102)+SUMIFS(T_TTAFStock[TTAF_Qty],T_TTAFStock[RM_Code],$A87,T_TTAFStock[WeekIndex],102),CX87+'Grid_Incoming'!CY87-'Grid_Requirement'!CY87))</f>
        <v/>
      </c>
      <c r="CZ87">
        <f>IF(COUNTIFS(T_StockCount[RM_Code],$A87,T_StockCount[WeekIndex],103)&gt;0,SUMIFS(T_StockCount[CountedQty],T_StockCount[RM_Code],$A87,T_StockCount[WeekIndex],103),IF((COUNTIFS(T_SelfStock[RM_Code],$A87,T_SelfStock[WeekIndex],103)&gt;0)*(COUNTIFS(T_TTAFStock[RM_Code],$A87,T_TTAFStock[WeekIndex],103)&gt;0)&gt;0,SUMIFS(T_SelfStock[Self_Qty],T_SelfStock[RM_Code],$A87,T_SelfStock[WeekIndex],103)+SUMIFS(T_TTAFStock[TTAF_Qty],T_TTAFStock[RM_Code],$A87,T_TTAFStock[WeekIndex],103),CY87+'Grid_Incoming'!CZ87-'Grid_Requirement'!CZ87))</f>
        <v/>
      </c>
      <c r="DA87">
        <f>IF(COUNTIFS(T_StockCount[RM_Code],$A87,T_StockCount[WeekIndex],104)&gt;0,SUMIFS(T_StockCount[CountedQty],T_StockCount[RM_Code],$A87,T_StockCount[WeekIndex],104),IF((COUNTIFS(T_SelfStock[RM_Code],$A87,T_SelfStock[WeekIndex],104)&gt;0)*(COUNTIFS(T_TTAFStock[RM_Code],$A87,T_TTAFStock[WeekIndex],104)&gt;0)&gt;0,SUMIFS(T_SelfStock[Self_Qty],T_SelfStock[RM_Code],$A87,T_SelfStock[WeekIndex],104)+SUMIFS(T_TTAFStock[TTAF_Qty],T_TTAFStock[RM_Code],$A87,T_TTAFStock[WeekIndex],104),CZ87+'Grid_Incoming'!DA87-'Grid_Requirement'!DA87))</f>
        <v/>
      </c>
    </row>
    <row r="88">
      <c r="A88" t="inlineStr">
        <is>
          <t>TSZ-938</t>
        </is>
      </c>
      <c r="B88">
        <f>IF(COUNTIFS(T_StockCount[RM_Code],$A88,T_StockCount[WeekIndex],1)&gt;0,SUMIFS(T_StockCount[CountedQty],T_StockCount[RM_Code],$A88,T_StockCount[WeekIndex],1),IF((COUNTIFS(T_SelfStock[RM_Code],$A88,T_SelfStock[WeekIndex],1)&gt;0)*(COUNTIFS(T_TTAFStock[RM_Code],$A88,T_TTAFStock[WeekIndex],1)&gt;0)&gt;0,SUMIFS(T_SelfStock[Self_Qty],T_SelfStock[RM_Code],$A88,T_SelfStock[WeekIndex],1)+SUMIFS(T_TTAFStock[TTAF_Qty],T_TTAFStock[RM_Code],$A88,T_TTAFStock[WeekIndex],1),IFERROR(INDEX(T_OpeningStock[Opening_Qty],MATCH($A88,T_OpeningStock[RM_Code],0)),0)+'Grid_Incoming'!B88-'Grid_Requirement'!B88))</f>
        <v/>
      </c>
      <c r="C88">
        <f>IF(COUNTIFS(T_StockCount[RM_Code],$A88,T_StockCount[WeekIndex],2)&gt;0,SUMIFS(T_StockCount[CountedQty],T_StockCount[RM_Code],$A88,T_StockCount[WeekIndex],2),IF((COUNTIFS(T_SelfStock[RM_Code],$A88,T_SelfStock[WeekIndex],2)&gt;0)*(COUNTIFS(T_TTAFStock[RM_Code],$A88,T_TTAFStock[WeekIndex],2)&gt;0)&gt;0,SUMIFS(T_SelfStock[Self_Qty],T_SelfStock[RM_Code],$A88,T_SelfStock[WeekIndex],2)+SUMIFS(T_TTAFStock[TTAF_Qty],T_TTAFStock[RM_Code],$A88,T_TTAFStock[WeekIndex],2),B88+'Grid_Incoming'!C88-'Grid_Requirement'!C88))</f>
        <v/>
      </c>
      <c r="D88">
        <f>IF(COUNTIFS(T_StockCount[RM_Code],$A88,T_StockCount[WeekIndex],3)&gt;0,SUMIFS(T_StockCount[CountedQty],T_StockCount[RM_Code],$A88,T_StockCount[WeekIndex],3),IF((COUNTIFS(T_SelfStock[RM_Code],$A88,T_SelfStock[WeekIndex],3)&gt;0)*(COUNTIFS(T_TTAFStock[RM_Code],$A88,T_TTAFStock[WeekIndex],3)&gt;0)&gt;0,SUMIFS(T_SelfStock[Self_Qty],T_SelfStock[RM_Code],$A88,T_SelfStock[WeekIndex],3)+SUMIFS(T_TTAFStock[TTAF_Qty],T_TTAFStock[RM_Code],$A88,T_TTAFStock[WeekIndex],3),C88+'Grid_Incoming'!D88-'Grid_Requirement'!D88))</f>
        <v/>
      </c>
      <c r="E88">
        <f>IF(COUNTIFS(T_StockCount[RM_Code],$A88,T_StockCount[WeekIndex],4)&gt;0,SUMIFS(T_StockCount[CountedQty],T_StockCount[RM_Code],$A88,T_StockCount[WeekIndex],4),IF((COUNTIFS(T_SelfStock[RM_Code],$A88,T_SelfStock[WeekIndex],4)&gt;0)*(COUNTIFS(T_TTAFStock[RM_Code],$A88,T_TTAFStock[WeekIndex],4)&gt;0)&gt;0,SUMIFS(T_SelfStock[Self_Qty],T_SelfStock[RM_Code],$A88,T_SelfStock[WeekIndex],4)+SUMIFS(T_TTAFStock[TTAF_Qty],T_TTAFStock[RM_Code],$A88,T_TTAFStock[WeekIndex],4),D88+'Grid_Incoming'!E88-'Grid_Requirement'!E88))</f>
        <v/>
      </c>
      <c r="F88">
        <f>IF(COUNTIFS(T_StockCount[RM_Code],$A88,T_StockCount[WeekIndex],5)&gt;0,SUMIFS(T_StockCount[CountedQty],T_StockCount[RM_Code],$A88,T_StockCount[WeekIndex],5),IF((COUNTIFS(T_SelfStock[RM_Code],$A88,T_SelfStock[WeekIndex],5)&gt;0)*(COUNTIFS(T_TTAFStock[RM_Code],$A88,T_TTAFStock[WeekIndex],5)&gt;0)&gt;0,SUMIFS(T_SelfStock[Self_Qty],T_SelfStock[RM_Code],$A88,T_SelfStock[WeekIndex],5)+SUMIFS(T_TTAFStock[TTAF_Qty],T_TTAFStock[RM_Code],$A88,T_TTAFStock[WeekIndex],5),E88+'Grid_Incoming'!F88-'Grid_Requirement'!F88))</f>
        <v/>
      </c>
      <c r="G88">
        <f>IF(COUNTIFS(T_StockCount[RM_Code],$A88,T_StockCount[WeekIndex],6)&gt;0,SUMIFS(T_StockCount[CountedQty],T_StockCount[RM_Code],$A88,T_StockCount[WeekIndex],6),IF((COUNTIFS(T_SelfStock[RM_Code],$A88,T_SelfStock[WeekIndex],6)&gt;0)*(COUNTIFS(T_TTAFStock[RM_Code],$A88,T_TTAFStock[WeekIndex],6)&gt;0)&gt;0,SUMIFS(T_SelfStock[Self_Qty],T_SelfStock[RM_Code],$A88,T_SelfStock[WeekIndex],6)+SUMIFS(T_TTAFStock[TTAF_Qty],T_TTAFStock[RM_Code],$A88,T_TTAFStock[WeekIndex],6),F88+'Grid_Incoming'!G88-'Grid_Requirement'!G88))</f>
        <v/>
      </c>
      <c r="H88">
        <f>IF(COUNTIFS(T_StockCount[RM_Code],$A88,T_StockCount[WeekIndex],7)&gt;0,SUMIFS(T_StockCount[CountedQty],T_StockCount[RM_Code],$A88,T_StockCount[WeekIndex],7),IF((COUNTIFS(T_SelfStock[RM_Code],$A88,T_SelfStock[WeekIndex],7)&gt;0)*(COUNTIFS(T_TTAFStock[RM_Code],$A88,T_TTAFStock[WeekIndex],7)&gt;0)&gt;0,SUMIFS(T_SelfStock[Self_Qty],T_SelfStock[RM_Code],$A88,T_SelfStock[WeekIndex],7)+SUMIFS(T_TTAFStock[TTAF_Qty],T_TTAFStock[RM_Code],$A88,T_TTAFStock[WeekIndex],7),G88+'Grid_Incoming'!H88-'Grid_Requirement'!H88))</f>
        <v/>
      </c>
      <c r="I88">
        <f>IF(COUNTIFS(T_StockCount[RM_Code],$A88,T_StockCount[WeekIndex],8)&gt;0,SUMIFS(T_StockCount[CountedQty],T_StockCount[RM_Code],$A88,T_StockCount[WeekIndex],8),IF((COUNTIFS(T_SelfStock[RM_Code],$A88,T_SelfStock[WeekIndex],8)&gt;0)*(COUNTIFS(T_TTAFStock[RM_Code],$A88,T_TTAFStock[WeekIndex],8)&gt;0)&gt;0,SUMIFS(T_SelfStock[Self_Qty],T_SelfStock[RM_Code],$A88,T_SelfStock[WeekIndex],8)+SUMIFS(T_TTAFStock[TTAF_Qty],T_TTAFStock[RM_Code],$A88,T_TTAFStock[WeekIndex],8),H88+'Grid_Incoming'!I88-'Grid_Requirement'!I88))</f>
        <v/>
      </c>
      <c r="J88">
        <f>IF(COUNTIFS(T_StockCount[RM_Code],$A88,T_StockCount[WeekIndex],9)&gt;0,SUMIFS(T_StockCount[CountedQty],T_StockCount[RM_Code],$A88,T_StockCount[WeekIndex],9),IF((COUNTIFS(T_SelfStock[RM_Code],$A88,T_SelfStock[WeekIndex],9)&gt;0)*(COUNTIFS(T_TTAFStock[RM_Code],$A88,T_TTAFStock[WeekIndex],9)&gt;0)&gt;0,SUMIFS(T_SelfStock[Self_Qty],T_SelfStock[RM_Code],$A88,T_SelfStock[WeekIndex],9)+SUMIFS(T_TTAFStock[TTAF_Qty],T_TTAFStock[RM_Code],$A88,T_TTAFStock[WeekIndex],9),I88+'Grid_Incoming'!J88-'Grid_Requirement'!J88))</f>
        <v/>
      </c>
      <c r="K88">
        <f>IF(COUNTIFS(T_StockCount[RM_Code],$A88,T_StockCount[WeekIndex],10)&gt;0,SUMIFS(T_StockCount[CountedQty],T_StockCount[RM_Code],$A88,T_StockCount[WeekIndex],10),IF((COUNTIFS(T_SelfStock[RM_Code],$A88,T_SelfStock[WeekIndex],10)&gt;0)*(COUNTIFS(T_TTAFStock[RM_Code],$A88,T_TTAFStock[WeekIndex],10)&gt;0)&gt;0,SUMIFS(T_SelfStock[Self_Qty],T_SelfStock[RM_Code],$A88,T_SelfStock[WeekIndex],10)+SUMIFS(T_TTAFStock[TTAF_Qty],T_TTAFStock[RM_Code],$A88,T_TTAFStock[WeekIndex],10),J88+'Grid_Incoming'!K88-'Grid_Requirement'!K88))</f>
        <v/>
      </c>
      <c r="L88">
        <f>IF(COUNTIFS(T_StockCount[RM_Code],$A88,T_StockCount[WeekIndex],11)&gt;0,SUMIFS(T_StockCount[CountedQty],T_StockCount[RM_Code],$A88,T_StockCount[WeekIndex],11),IF((COUNTIFS(T_SelfStock[RM_Code],$A88,T_SelfStock[WeekIndex],11)&gt;0)*(COUNTIFS(T_TTAFStock[RM_Code],$A88,T_TTAFStock[WeekIndex],11)&gt;0)&gt;0,SUMIFS(T_SelfStock[Self_Qty],T_SelfStock[RM_Code],$A88,T_SelfStock[WeekIndex],11)+SUMIFS(T_TTAFStock[TTAF_Qty],T_TTAFStock[RM_Code],$A88,T_TTAFStock[WeekIndex],11),K88+'Grid_Incoming'!L88-'Grid_Requirement'!L88))</f>
        <v/>
      </c>
      <c r="M88">
        <f>IF(COUNTIFS(T_StockCount[RM_Code],$A88,T_StockCount[WeekIndex],12)&gt;0,SUMIFS(T_StockCount[CountedQty],T_StockCount[RM_Code],$A88,T_StockCount[WeekIndex],12),IF((COUNTIFS(T_SelfStock[RM_Code],$A88,T_SelfStock[WeekIndex],12)&gt;0)*(COUNTIFS(T_TTAFStock[RM_Code],$A88,T_TTAFStock[WeekIndex],12)&gt;0)&gt;0,SUMIFS(T_SelfStock[Self_Qty],T_SelfStock[RM_Code],$A88,T_SelfStock[WeekIndex],12)+SUMIFS(T_TTAFStock[TTAF_Qty],T_TTAFStock[RM_Code],$A88,T_TTAFStock[WeekIndex],12),L88+'Grid_Incoming'!M88-'Grid_Requirement'!M88))</f>
        <v/>
      </c>
      <c r="N88">
        <f>IF(COUNTIFS(T_StockCount[RM_Code],$A88,T_StockCount[WeekIndex],13)&gt;0,SUMIFS(T_StockCount[CountedQty],T_StockCount[RM_Code],$A88,T_StockCount[WeekIndex],13),IF((COUNTIFS(T_SelfStock[RM_Code],$A88,T_SelfStock[WeekIndex],13)&gt;0)*(COUNTIFS(T_TTAFStock[RM_Code],$A88,T_TTAFStock[WeekIndex],13)&gt;0)&gt;0,SUMIFS(T_SelfStock[Self_Qty],T_SelfStock[RM_Code],$A88,T_SelfStock[WeekIndex],13)+SUMIFS(T_TTAFStock[TTAF_Qty],T_TTAFStock[RM_Code],$A88,T_TTAFStock[WeekIndex],13),M88+'Grid_Incoming'!N88-'Grid_Requirement'!N88))</f>
        <v/>
      </c>
      <c r="O88">
        <f>IF(COUNTIFS(T_StockCount[RM_Code],$A88,T_StockCount[WeekIndex],14)&gt;0,SUMIFS(T_StockCount[CountedQty],T_StockCount[RM_Code],$A88,T_StockCount[WeekIndex],14),IF((COUNTIFS(T_SelfStock[RM_Code],$A88,T_SelfStock[WeekIndex],14)&gt;0)*(COUNTIFS(T_TTAFStock[RM_Code],$A88,T_TTAFStock[WeekIndex],14)&gt;0)&gt;0,SUMIFS(T_SelfStock[Self_Qty],T_SelfStock[RM_Code],$A88,T_SelfStock[WeekIndex],14)+SUMIFS(T_TTAFStock[TTAF_Qty],T_TTAFStock[RM_Code],$A88,T_TTAFStock[WeekIndex],14),N88+'Grid_Incoming'!O88-'Grid_Requirement'!O88))</f>
        <v/>
      </c>
      <c r="P88">
        <f>IF(COUNTIFS(T_StockCount[RM_Code],$A88,T_StockCount[WeekIndex],15)&gt;0,SUMIFS(T_StockCount[CountedQty],T_StockCount[RM_Code],$A88,T_StockCount[WeekIndex],15),IF((COUNTIFS(T_SelfStock[RM_Code],$A88,T_SelfStock[WeekIndex],15)&gt;0)*(COUNTIFS(T_TTAFStock[RM_Code],$A88,T_TTAFStock[WeekIndex],15)&gt;0)&gt;0,SUMIFS(T_SelfStock[Self_Qty],T_SelfStock[RM_Code],$A88,T_SelfStock[WeekIndex],15)+SUMIFS(T_TTAFStock[TTAF_Qty],T_TTAFStock[RM_Code],$A88,T_TTAFStock[WeekIndex],15),O88+'Grid_Incoming'!P88-'Grid_Requirement'!P88))</f>
        <v/>
      </c>
      <c r="Q88">
        <f>IF(COUNTIFS(T_StockCount[RM_Code],$A88,T_StockCount[WeekIndex],16)&gt;0,SUMIFS(T_StockCount[CountedQty],T_StockCount[RM_Code],$A88,T_StockCount[WeekIndex],16),IF((COUNTIFS(T_SelfStock[RM_Code],$A88,T_SelfStock[WeekIndex],16)&gt;0)*(COUNTIFS(T_TTAFStock[RM_Code],$A88,T_TTAFStock[WeekIndex],16)&gt;0)&gt;0,SUMIFS(T_SelfStock[Self_Qty],T_SelfStock[RM_Code],$A88,T_SelfStock[WeekIndex],16)+SUMIFS(T_TTAFStock[TTAF_Qty],T_TTAFStock[RM_Code],$A88,T_TTAFStock[WeekIndex],16),P88+'Grid_Incoming'!Q88-'Grid_Requirement'!Q88))</f>
        <v/>
      </c>
      <c r="R88">
        <f>IF(COUNTIFS(T_StockCount[RM_Code],$A88,T_StockCount[WeekIndex],17)&gt;0,SUMIFS(T_StockCount[CountedQty],T_StockCount[RM_Code],$A88,T_StockCount[WeekIndex],17),IF((COUNTIFS(T_SelfStock[RM_Code],$A88,T_SelfStock[WeekIndex],17)&gt;0)*(COUNTIFS(T_TTAFStock[RM_Code],$A88,T_TTAFStock[WeekIndex],17)&gt;0)&gt;0,SUMIFS(T_SelfStock[Self_Qty],T_SelfStock[RM_Code],$A88,T_SelfStock[WeekIndex],17)+SUMIFS(T_TTAFStock[TTAF_Qty],T_TTAFStock[RM_Code],$A88,T_TTAFStock[WeekIndex],17),Q88+'Grid_Incoming'!R88-'Grid_Requirement'!R88))</f>
        <v/>
      </c>
      <c r="S88">
        <f>IF(COUNTIFS(T_StockCount[RM_Code],$A88,T_StockCount[WeekIndex],18)&gt;0,SUMIFS(T_StockCount[CountedQty],T_StockCount[RM_Code],$A88,T_StockCount[WeekIndex],18),IF((COUNTIFS(T_SelfStock[RM_Code],$A88,T_SelfStock[WeekIndex],18)&gt;0)*(COUNTIFS(T_TTAFStock[RM_Code],$A88,T_TTAFStock[WeekIndex],18)&gt;0)&gt;0,SUMIFS(T_SelfStock[Self_Qty],T_SelfStock[RM_Code],$A88,T_SelfStock[WeekIndex],18)+SUMIFS(T_TTAFStock[TTAF_Qty],T_TTAFStock[RM_Code],$A88,T_TTAFStock[WeekIndex],18),R88+'Grid_Incoming'!S88-'Grid_Requirement'!S88))</f>
        <v/>
      </c>
      <c r="T88">
        <f>IF(COUNTIFS(T_StockCount[RM_Code],$A88,T_StockCount[WeekIndex],19)&gt;0,SUMIFS(T_StockCount[CountedQty],T_StockCount[RM_Code],$A88,T_StockCount[WeekIndex],19),IF((COUNTIFS(T_SelfStock[RM_Code],$A88,T_SelfStock[WeekIndex],19)&gt;0)*(COUNTIFS(T_TTAFStock[RM_Code],$A88,T_TTAFStock[WeekIndex],19)&gt;0)&gt;0,SUMIFS(T_SelfStock[Self_Qty],T_SelfStock[RM_Code],$A88,T_SelfStock[WeekIndex],19)+SUMIFS(T_TTAFStock[TTAF_Qty],T_TTAFStock[RM_Code],$A88,T_TTAFStock[WeekIndex],19),S88+'Grid_Incoming'!T88-'Grid_Requirement'!T88))</f>
        <v/>
      </c>
      <c r="U88">
        <f>IF(COUNTIFS(T_StockCount[RM_Code],$A88,T_StockCount[WeekIndex],20)&gt;0,SUMIFS(T_StockCount[CountedQty],T_StockCount[RM_Code],$A88,T_StockCount[WeekIndex],20),IF((COUNTIFS(T_SelfStock[RM_Code],$A88,T_SelfStock[WeekIndex],20)&gt;0)*(COUNTIFS(T_TTAFStock[RM_Code],$A88,T_TTAFStock[WeekIndex],20)&gt;0)&gt;0,SUMIFS(T_SelfStock[Self_Qty],T_SelfStock[RM_Code],$A88,T_SelfStock[WeekIndex],20)+SUMIFS(T_TTAFStock[TTAF_Qty],T_TTAFStock[RM_Code],$A88,T_TTAFStock[WeekIndex],20),T88+'Grid_Incoming'!U88-'Grid_Requirement'!U88))</f>
        <v/>
      </c>
      <c r="V88">
        <f>IF(COUNTIFS(T_StockCount[RM_Code],$A88,T_StockCount[WeekIndex],21)&gt;0,SUMIFS(T_StockCount[CountedQty],T_StockCount[RM_Code],$A88,T_StockCount[WeekIndex],21),IF((COUNTIFS(T_SelfStock[RM_Code],$A88,T_SelfStock[WeekIndex],21)&gt;0)*(COUNTIFS(T_TTAFStock[RM_Code],$A88,T_TTAFStock[WeekIndex],21)&gt;0)&gt;0,SUMIFS(T_SelfStock[Self_Qty],T_SelfStock[RM_Code],$A88,T_SelfStock[WeekIndex],21)+SUMIFS(T_TTAFStock[TTAF_Qty],T_TTAFStock[RM_Code],$A88,T_TTAFStock[WeekIndex],21),U88+'Grid_Incoming'!V88-'Grid_Requirement'!V88))</f>
        <v/>
      </c>
      <c r="W88">
        <f>IF(COUNTIFS(T_StockCount[RM_Code],$A88,T_StockCount[WeekIndex],22)&gt;0,SUMIFS(T_StockCount[CountedQty],T_StockCount[RM_Code],$A88,T_StockCount[WeekIndex],22),IF((COUNTIFS(T_SelfStock[RM_Code],$A88,T_SelfStock[WeekIndex],22)&gt;0)*(COUNTIFS(T_TTAFStock[RM_Code],$A88,T_TTAFStock[WeekIndex],22)&gt;0)&gt;0,SUMIFS(T_SelfStock[Self_Qty],T_SelfStock[RM_Code],$A88,T_SelfStock[WeekIndex],22)+SUMIFS(T_TTAFStock[TTAF_Qty],T_TTAFStock[RM_Code],$A88,T_TTAFStock[WeekIndex],22),V88+'Grid_Incoming'!W88-'Grid_Requirement'!W88))</f>
        <v/>
      </c>
      <c r="X88">
        <f>IF(COUNTIFS(T_StockCount[RM_Code],$A88,T_StockCount[WeekIndex],23)&gt;0,SUMIFS(T_StockCount[CountedQty],T_StockCount[RM_Code],$A88,T_StockCount[WeekIndex],23),IF((COUNTIFS(T_SelfStock[RM_Code],$A88,T_SelfStock[WeekIndex],23)&gt;0)*(COUNTIFS(T_TTAFStock[RM_Code],$A88,T_TTAFStock[WeekIndex],23)&gt;0)&gt;0,SUMIFS(T_SelfStock[Self_Qty],T_SelfStock[RM_Code],$A88,T_SelfStock[WeekIndex],23)+SUMIFS(T_TTAFStock[TTAF_Qty],T_TTAFStock[RM_Code],$A88,T_TTAFStock[WeekIndex],23),W88+'Grid_Incoming'!X88-'Grid_Requirement'!X88))</f>
        <v/>
      </c>
      <c r="Y88">
        <f>IF(COUNTIFS(T_StockCount[RM_Code],$A88,T_StockCount[WeekIndex],24)&gt;0,SUMIFS(T_StockCount[CountedQty],T_StockCount[RM_Code],$A88,T_StockCount[WeekIndex],24),IF((COUNTIFS(T_SelfStock[RM_Code],$A88,T_SelfStock[WeekIndex],24)&gt;0)*(COUNTIFS(T_TTAFStock[RM_Code],$A88,T_TTAFStock[WeekIndex],24)&gt;0)&gt;0,SUMIFS(T_SelfStock[Self_Qty],T_SelfStock[RM_Code],$A88,T_SelfStock[WeekIndex],24)+SUMIFS(T_TTAFStock[TTAF_Qty],T_TTAFStock[RM_Code],$A88,T_TTAFStock[WeekIndex],24),X88+'Grid_Incoming'!Y88-'Grid_Requirement'!Y88))</f>
        <v/>
      </c>
      <c r="Z88">
        <f>IF(COUNTIFS(T_StockCount[RM_Code],$A88,T_StockCount[WeekIndex],25)&gt;0,SUMIFS(T_StockCount[CountedQty],T_StockCount[RM_Code],$A88,T_StockCount[WeekIndex],25),IF((COUNTIFS(T_SelfStock[RM_Code],$A88,T_SelfStock[WeekIndex],25)&gt;0)*(COUNTIFS(T_TTAFStock[RM_Code],$A88,T_TTAFStock[WeekIndex],25)&gt;0)&gt;0,SUMIFS(T_SelfStock[Self_Qty],T_SelfStock[RM_Code],$A88,T_SelfStock[WeekIndex],25)+SUMIFS(T_TTAFStock[TTAF_Qty],T_TTAFStock[RM_Code],$A88,T_TTAFStock[WeekIndex],25),Y88+'Grid_Incoming'!Z88-'Grid_Requirement'!Z88))</f>
        <v/>
      </c>
      <c r="AA88">
        <f>IF(COUNTIFS(T_StockCount[RM_Code],$A88,T_StockCount[WeekIndex],26)&gt;0,SUMIFS(T_StockCount[CountedQty],T_StockCount[RM_Code],$A88,T_StockCount[WeekIndex],26),IF((COUNTIFS(T_SelfStock[RM_Code],$A88,T_SelfStock[WeekIndex],26)&gt;0)*(COUNTIFS(T_TTAFStock[RM_Code],$A88,T_TTAFStock[WeekIndex],26)&gt;0)&gt;0,SUMIFS(T_SelfStock[Self_Qty],T_SelfStock[RM_Code],$A88,T_SelfStock[WeekIndex],26)+SUMIFS(T_TTAFStock[TTAF_Qty],T_TTAFStock[RM_Code],$A88,T_TTAFStock[WeekIndex],26),Z88+'Grid_Incoming'!AA88-'Grid_Requirement'!AA88))</f>
        <v/>
      </c>
      <c r="AB88">
        <f>IF(COUNTIFS(T_StockCount[RM_Code],$A88,T_StockCount[WeekIndex],27)&gt;0,SUMIFS(T_StockCount[CountedQty],T_StockCount[RM_Code],$A88,T_StockCount[WeekIndex],27),IF((COUNTIFS(T_SelfStock[RM_Code],$A88,T_SelfStock[WeekIndex],27)&gt;0)*(COUNTIFS(T_TTAFStock[RM_Code],$A88,T_TTAFStock[WeekIndex],27)&gt;0)&gt;0,SUMIFS(T_SelfStock[Self_Qty],T_SelfStock[RM_Code],$A88,T_SelfStock[WeekIndex],27)+SUMIFS(T_TTAFStock[TTAF_Qty],T_TTAFStock[RM_Code],$A88,T_TTAFStock[WeekIndex],27),AA88+'Grid_Incoming'!AB88-'Grid_Requirement'!AB88))</f>
        <v/>
      </c>
      <c r="AC88">
        <f>IF(COUNTIFS(T_StockCount[RM_Code],$A88,T_StockCount[WeekIndex],28)&gt;0,SUMIFS(T_StockCount[CountedQty],T_StockCount[RM_Code],$A88,T_StockCount[WeekIndex],28),IF((COUNTIFS(T_SelfStock[RM_Code],$A88,T_SelfStock[WeekIndex],28)&gt;0)*(COUNTIFS(T_TTAFStock[RM_Code],$A88,T_TTAFStock[WeekIndex],28)&gt;0)&gt;0,SUMIFS(T_SelfStock[Self_Qty],T_SelfStock[RM_Code],$A88,T_SelfStock[WeekIndex],28)+SUMIFS(T_TTAFStock[TTAF_Qty],T_TTAFStock[RM_Code],$A88,T_TTAFStock[WeekIndex],28),AB88+'Grid_Incoming'!AC88-'Grid_Requirement'!AC88))</f>
        <v/>
      </c>
      <c r="AD88">
        <f>IF(COUNTIFS(T_StockCount[RM_Code],$A88,T_StockCount[WeekIndex],29)&gt;0,SUMIFS(T_StockCount[CountedQty],T_StockCount[RM_Code],$A88,T_StockCount[WeekIndex],29),IF((COUNTIFS(T_SelfStock[RM_Code],$A88,T_SelfStock[WeekIndex],29)&gt;0)*(COUNTIFS(T_TTAFStock[RM_Code],$A88,T_TTAFStock[WeekIndex],29)&gt;0)&gt;0,SUMIFS(T_SelfStock[Self_Qty],T_SelfStock[RM_Code],$A88,T_SelfStock[WeekIndex],29)+SUMIFS(T_TTAFStock[TTAF_Qty],T_TTAFStock[RM_Code],$A88,T_TTAFStock[WeekIndex],29),AC88+'Grid_Incoming'!AD88-'Grid_Requirement'!AD88))</f>
        <v/>
      </c>
      <c r="AE88">
        <f>IF(COUNTIFS(T_StockCount[RM_Code],$A88,T_StockCount[WeekIndex],30)&gt;0,SUMIFS(T_StockCount[CountedQty],T_StockCount[RM_Code],$A88,T_StockCount[WeekIndex],30),IF((COUNTIFS(T_SelfStock[RM_Code],$A88,T_SelfStock[WeekIndex],30)&gt;0)*(COUNTIFS(T_TTAFStock[RM_Code],$A88,T_TTAFStock[WeekIndex],30)&gt;0)&gt;0,SUMIFS(T_SelfStock[Self_Qty],T_SelfStock[RM_Code],$A88,T_SelfStock[WeekIndex],30)+SUMIFS(T_TTAFStock[TTAF_Qty],T_TTAFStock[RM_Code],$A88,T_TTAFStock[WeekIndex],30),AD88+'Grid_Incoming'!AE88-'Grid_Requirement'!AE88))</f>
        <v/>
      </c>
      <c r="AF88">
        <f>IF(COUNTIFS(T_StockCount[RM_Code],$A88,T_StockCount[WeekIndex],31)&gt;0,SUMIFS(T_StockCount[CountedQty],T_StockCount[RM_Code],$A88,T_StockCount[WeekIndex],31),IF((COUNTIFS(T_SelfStock[RM_Code],$A88,T_SelfStock[WeekIndex],31)&gt;0)*(COUNTIFS(T_TTAFStock[RM_Code],$A88,T_TTAFStock[WeekIndex],31)&gt;0)&gt;0,SUMIFS(T_SelfStock[Self_Qty],T_SelfStock[RM_Code],$A88,T_SelfStock[WeekIndex],31)+SUMIFS(T_TTAFStock[TTAF_Qty],T_TTAFStock[RM_Code],$A88,T_TTAFStock[WeekIndex],31),AE88+'Grid_Incoming'!AF88-'Grid_Requirement'!AF88))</f>
        <v/>
      </c>
      <c r="AG88">
        <f>IF(COUNTIFS(T_StockCount[RM_Code],$A88,T_StockCount[WeekIndex],32)&gt;0,SUMIFS(T_StockCount[CountedQty],T_StockCount[RM_Code],$A88,T_StockCount[WeekIndex],32),IF((COUNTIFS(T_SelfStock[RM_Code],$A88,T_SelfStock[WeekIndex],32)&gt;0)*(COUNTIFS(T_TTAFStock[RM_Code],$A88,T_TTAFStock[WeekIndex],32)&gt;0)&gt;0,SUMIFS(T_SelfStock[Self_Qty],T_SelfStock[RM_Code],$A88,T_SelfStock[WeekIndex],32)+SUMIFS(T_TTAFStock[TTAF_Qty],T_TTAFStock[RM_Code],$A88,T_TTAFStock[WeekIndex],32),AF88+'Grid_Incoming'!AG88-'Grid_Requirement'!AG88))</f>
        <v/>
      </c>
      <c r="AH88">
        <f>IF(COUNTIFS(T_StockCount[RM_Code],$A88,T_StockCount[WeekIndex],33)&gt;0,SUMIFS(T_StockCount[CountedQty],T_StockCount[RM_Code],$A88,T_StockCount[WeekIndex],33),IF((COUNTIFS(T_SelfStock[RM_Code],$A88,T_SelfStock[WeekIndex],33)&gt;0)*(COUNTIFS(T_TTAFStock[RM_Code],$A88,T_TTAFStock[WeekIndex],33)&gt;0)&gt;0,SUMIFS(T_SelfStock[Self_Qty],T_SelfStock[RM_Code],$A88,T_SelfStock[WeekIndex],33)+SUMIFS(T_TTAFStock[TTAF_Qty],T_TTAFStock[RM_Code],$A88,T_TTAFStock[WeekIndex],33),AG88+'Grid_Incoming'!AH88-'Grid_Requirement'!AH88))</f>
        <v/>
      </c>
      <c r="AI88">
        <f>IF(COUNTIFS(T_StockCount[RM_Code],$A88,T_StockCount[WeekIndex],34)&gt;0,SUMIFS(T_StockCount[CountedQty],T_StockCount[RM_Code],$A88,T_StockCount[WeekIndex],34),IF((COUNTIFS(T_SelfStock[RM_Code],$A88,T_SelfStock[WeekIndex],34)&gt;0)*(COUNTIFS(T_TTAFStock[RM_Code],$A88,T_TTAFStock[WeekIndex],34)&gt;0)&gt;0,SUMIFS(T_SelfStock[Self_Qty],T_SelfStock[RM_Code],$A88,T_SelfStock[WeekIndex],34)+SUMIFS(T_TTAFStock[TTAF_Qty],T_TTAFStock[RM_Code],$A88,T_TTAFStock[WeekIndex],34),AH88+'Grid_Incoming'!AI88-'Grid_Requirement'!AI88))</f>
        <v/>
      </c>
      <c r="AJ88">
        <f>IF(COUNTIFS(T_StockCount[RM_Code],$A88,T_StockCount[WeekIndex],35)&gt;0,SUMIFS(T_StockCount[CountedQty],T_StockCount[RM_Code],$A88,T_StockCount[WeekIndex],35),IF((COUNTIFS(T_SelfStock[RM_Code],$A88,T_SelfStock[WeekIndex],35)&gt;0)*(COUNTIFS(T_TTAFStock[RM_Code],$A88,T_TTAFStock[WeekIndex],35)&gt;0)&gt;0,SUMIFS(T_SelfStock[Self_Qty],T_SelfStock[RM_Code],$A88,T_SelfStock[WeekIndex],35)+SUMIFS(T_TTAFStock[TTAF_Qty],T_TTAFStock[RM_Code],$A88,T_TTAFStock[WeekIndex],35),AI88+'Grid_Incoming'!AJ88-'Grid_Requirement'!AJ88))</f>
        <v/>
      </c>
      <c r="AK88">
        <f>IF(COUNTIFS(T_StockCount[RM_Code],$A88,T_StockCount[WeekIndex],36)&gt;0,SUMIFS(T_StockCount[CountedQty],T_StockCount[RM_Code],$A88,T_StockCount[WeekIndex],36),IF((COUNTIFS(T_SelfStock[RM_Code],$A88,T_SelfStock[WeekIndex],36)&gt;0)*(COUNTIFS(T_TTAFStock[RM_Code],$A88,T_TTAFStock[WeekIndex],36)&gt;0)&gt;0,SUMIFS(T_SelfStock[Self_Qty],T_SelfStock[RM_Code],$A88,T_SelfStock[WeekIndex],36)+SUMIFS(T_TTAFStock[TTAF_Qty],T_TTAFStock[RM_Code],$A88,T_TTAFStock[WeekIndex],36),AJ88+'Grid_Incoming'!AK88-'Grid_Requirement'!AK88))</f>
        <v/>
      </c>
      <c r="AL88">
        <f>IF(COUNTIFS(T_StockCount[RM_Code],$A88,T_StockCount[WeekIndex],37)&gt;0,SUMIFS(T_StockCount[CountedQty],T_StockCount[RM_Code],$A88,T_StockCount[WeekIndex],37),IF((COUNTIFS(T_SelfStock[RM_Code],$A88,T_SelfStock[WeekIndex],37)&gt;0)*(COUNTIFS(T_TTAFStock[RM_Code],$A88,T_TTAFStock[WeekIndex],37)&gt;0)&gt;0,SUMIFS(T_SelfStock[Self_Qty],T_SelfStock[RM_Code],$A88,T_SelfStock[WeekIndex],37)+SUMIFS(T_TTAFStock[TTAF_Qty],T_TTAFStock[RM_Code],$A88,T_TTAFStock[WeekIndex],37),AK88+'Grid_Incoming'!AL88-'Grid_Requirement'!AL88))</f>
        <v/>
      </c>
      <c r="AM88">
        <f>IF(COUNTIFS(T_StockCount[RM_Code],$A88,T_StockCount[WeekIndex],38)&gt;0,SUMIFS(T_StockCount[CountedQty],T_StockCount[RM_Code],$A88,T_StockCount[WeekIndex],38),IF((COUNTIFS(T_SelfStock[RM_Code],$A88,T_SelfStock[WeekIndex],38)&gt;0)*(COUNTIFS(T_TTAFStock[RM_Code],$A88,T_TTAFStock[WeekIndex],38)&gt;0)&gt;0,SUMIFS(T_SelfStock[Self_Qty],T_SelfStock[RM_Code],$A88,T_SelfStock[WeekIndex],38)+SUMIFS(T_TTAFStock[TTAF_Qty],T_TTAFStock[RM_Code],$A88,T_TTAFStock[WeekIndex],38),AL88+'Grid_Incoming'!AM88-'Grid_Requirement'!AM88))</f>
        <v/>
      </c>
      <c r="AN88">
        <f>IF(COUNTIFS(T_StockCount[RM_Code],$A88,T_StockCount[WeekIndex],39)&gt;0,SUMIFS(T_StockCount[CountedQty],T_StockCount[RM_Code],$A88,T_StockCount[WeekIndex],39),IF((COUNTIFS(T_SelfStock[RM_Code],$A88,T_SelfStock[WeekIndex],39)&gt;0)*(COUNTIFS(T_TTAFStock[RM_Code],$A88,T_TTAFStock[WeekIndex],39)&gt;0)&gt;0,SUMIFS(T_SelfStock[Self_Qty],T_SelfStock[RM_Code],$A88,T_SelfStock[WeekIndex],39)+SUMIFS(T_TTAFStock[TTAF_Qty],T_TTAFStock[RM_Code],$A88,T_TTAFStock[WeekIndex],39),AM88+'Grid_Incoming'!AN88-'Grid_Requirement'!AN88))</f>
        <v/>
      </c>
      <c r="AO88">
        <f>IF(COUNTIFS(T_StockCount[RM_Code],$A88,T_StockCount[WeekIndex],40)&gt;0,SUMIFS(T_StockCount[CountedQty],T_StockCount[RM_Code],$A88,T_StockCount[WeekIndex],40),IF((COUNTIFS(T_SelfStock[RM_Code],$A88,T_SelfStock[WeekIndex],40)&gt;0)*(COUNTIFS(T_TTAFStock[RM_Code],$A88,T_TTAFStock[WeekIndex],40)&gt;0)&gt;0,SUMIFS(T_SelfStock[Self_Qty],T_SelfStock[RM_Code],$A88,T_SelfStock[WeekIndex],40)+SUMIFS(T_TTAFStock[TTAF_Qty],T_TTAFStock[RM_Code],$A88,T_TTAFStock[WeekIndex],40),AN88+'Grid_Incoming'!AO88-'Grid_Requirement'!AO88))</f>
        <v/>
      </c>
      <c r="AP88">
        <f>IF(COUNTIFS(T_StockCount[RM_Code],$A88,T_StockCount[WeekIndex],41)&gt;0,SUMIFS(T_StockCount[CountedQty],T_StockCount[RM_Code],$A88,T_StockCount[WeekIndex],41),IF((COUNTIFS(T_SelfStock[RM_Code],$A88,T_SelfStock[WeekIndex],41)&gt;0)*(COUNTIFS(T_TTAFStock[RM_Code],$A88,T_TTAFStock[WeekIndex],41)&gt;0)&gt;0,SUMIFS(T_SelfStock[Self_Qty],T_SelfStock[RM_Code],$A88,T_SelfStock[WeekIndex],41)+SUMIFS(T_TTAFStock[TTAF_Qty],T_TTAFStock[RM_Code],$A88,T_TTAFStock[WeekIndex],41),AO88+'Grid_Incoming'!AP88-'Grid_Requirement'!AP88))</f>
        <v/>
      </c>
      <c r="AQ88">
        <f>IF(COUNTIFS(T_StockCount[RM_Code],$A88,T_StockCount[WeekIndex],42)&gt;0,SUMIFS(T_StockCount[CountedQty],T_StockCount[RM_Code],$A88,T_StockCount[WeekIndex],42),IF((COUNTIFS(T_SelfStock[RM_Code],$A88,T_SelfStock[WeekIndex],42)&gt;0)*(COUNTIFS(T_TTAFStock[RM_Code],$A88,T_TTAFStock[WeekIndex],42)&gt;0)&gt;0,SUMIFS(T_SelfStock[Self_Qty],T_SelfStock[RM_Code],$A88,T_SelfStock[WeekIndex],42)+SUMIFS(T_TTAFStock[TTAF_Qty],T_TTAFStock[RM_Code],$A88,T_TTAFStock[WeekIndex],42),AP88+'Grid_Incoming'!AQ88-'Grid_Requirement'!AQ88))</f>
        <v/>
      </c>
      <c r="AR88">
        <f>IF(COUNTIFS(T_StockCount[RM_Code],$A88,T_StockCount[WeekIndex],43)&gt;0,SUMIFS(T_StockCount[CountedQty],T_StockCount[RM_Code],$A88,T_StockCount[WeekIndex],43),IF((COUNTIFS(T_SelfStock[RM_Code],$A88,T_SelfStock[WeekIndex],43)&gt;0)*(COUNTIFS(T_TTAFStock[RM_Code],$A88,T_TTAFStock[WeekIndex],43)&gt;0)&gt;0,SUMIFS(T_SelfStock[Self_Qty],T_SelfStock[RM_Code],$A88,T_SelfStock[WeekIndex],43)+SUMIFS(T_TTAFStock[TTAF_Qty],T_TTAFStock[RM_Code],$A88,T_TTAFStock[WeekIndex],43),AQ88+'Grid_Incoming'!AR88-'Grid_Requirement'!AR88))</f>
        <v/>
      </c>
      <c r="AS88">
        <f>IF(COUNTIFS(T_StockCount[RM_Code],$A88,T_StockCount[WeekIndex],44)&gt;0,SUMIFS(T_StockCount[CountedQty],T_StockCount[RM_Code],$A88,T_StockCount[WeekIndex],44),IF((COUNTIFS(T_SelfStock[RM_Code],$A88,T_SelfStock[WeekIndex],44)&gt;0)*(COUNTIFS(T_TTAFStock[RM_Code],$A88,T_TTAFStock[WeekIndex],44)&gt;0)&gt;0,SUMIFS(T_SelfStock[Self_Qty],T_SelfStock[RM_Code],$A88,T_SelfStock[WeekIndex],44)+SUMIFS(T_TTAFStock[TTAF_Qty],T_TTAFStock[RM_Code],$A88,T_TTAFStock[WeekIndex],44),AR88+'Grid_Incoming'!AS88-'Grid_Requirement'!AS88))</f>
        <v/>
      </c>
      <c r="AT88">
        <f>IF(COUNTIFS(T_StockCount[RM_Code],$A88,T_StockCount[WeekIndex],45)&gt;0,SUMIFS(T_StockCount[CountedQty],T_StockCount[RM_Code],$A88,T_StockCount[WeekIndex],45),IF((COUNTIFS(T_SelfStock[RM_Code],$A88,T_SelfStock[WeekIndex],45)&gt;0)*(COUNTIFS(T_TTAFStock[RM_Code],$A88,T_TTAFStock[WeekIndex],45)&gt;0)&gt;0,SUMIFS(T_SelfStock[Self_Qty],T_SelfStock[RM_Code],$A88,T_SelfStock[WeekIndex],45)+SUMIFS(T_TTAFStock[TTAF_Qty],T_TTAFStock[RM_Code],$A88,T_TTAFStock[WeekIndex],45),AS88+'Grid_Incoming'!AT88-'Grid_Requirement'!AT88))</f>
        <v/>
      </c>
      <c r="AU88">
        <f>IF(COUNTIFS(T_StockCount[RM_Code],$A88,T_StockCount[WeekIndex],46)&gt;0,SUMIFS(T_StockCount[CountedQty],T_StockCount[RM_Code],$A88,T_StockCount[WeekIndex],46),IF((COUNTIFS(T_SelfStock[RM_Code],$A88,T_SelfStock[WeekIndex],46)&gt;0)*(COUNTIFS(T_TTAFStock[RM_Code],$A88,T_TTAFStock[WeekIndex],46)&gt;0)&gt;0,SUMIFS(T_SelfStock[Self_Qty],T_SelfStock[RM_Code],$A88,T_SelfStock[WeekIndex],46)+SUMIFS(T_TTAFStock[TTAF_Qty],T_TTAFStock[RM_Code],$A88,T_TTAFStock[WeekIndex],46),AT88+'Grid_Incoming'!AU88-'Grid_Requirement'!AU88))</f>
        <v/>
      </c>
      <c r="AV88">
        <f>IF(COUNTIFS(T_StockCount[RM_Code],$A88,T_StockCount[WeekIndex],47)&gt;0,SUMIFS(T_StockCount[CountedQty],T_StockCount[RM_Code],$A88,T_StockCount[WeekIndex],47),IF((COUNTIFS(T_SelfStock[RM_Code],$A88,T_SelfStock[WeekIndex],47)&gt;0)*(COUNTIFS(T_TTAFStock[RM_Code],$A88,T_TTAFStock[WeekIndex],47)&gt;0)&gt;0,SUMIFS(T_SelfStock[Self_Qty],T_SelfStock[RM_Code],$A88,T_SelfStock[WeekIndex],47)+SUMIFS(T_TTAFStock[TTAF_Qty],T_TTAFStock[RM_Code],$A88,T_TTAFStock[WeekIndex],47),AU88+'Grid_Incoming'!AV88-'Grid_Requirement'!AV88))</f>
        <v/>
      </c>
      <c r="AW88">
        <f>IF(COUNTIFS(T_StockCount[RM_Code],$A88,T_StockCount[WeekIndex],48)&gt;0,SUMIFS(T_StockCount[CountedQty],T_StockCount[RM_Code],$A88,T_StockCount[WeekIndex],48),IF((COUNTIFS(T_SelfStock[RM_Code],$A88,T_SelfStock[WeekIndex],48)&gt;0)*(COUNTIFS(T_TTAFStock[RM_Code],$A88,T_TTAFStock[WeekIndex],48)&gt;0)&gt;0,SUMIFS(T_SelfStock[Self_Qty],T_SelfStock[RM_Code],$A88,T_SelfStock[WeekIndex],48)+SUMIFS(T_TTAFStock[TTAF_Qty],T_TTAFStock[RM_Code],$A88,T_TTAFStock[WeekIndex],48),AV88+'Grid_Incoming'!AW88-'Grid_Requirement'!AW88))</f>
        <v/>
      </c>
      <c r="AX88">
        <f>IF(COUNTIFS(T_StockCount[RM_Code],$A88,T_StockCount[WeekIndex],49)&gt;0,SUMIFS(T_StockCount[CountedQty],T_StockCount[RM_Code],$A88,T_StockCount[WeekIndex],49),IF((COUNTIFS(T_SelfStock[RM_Code],$A88,T_SelfStock[WeekIndex],49)&gt;0)*(COUNTIFS(T_TTAFStock[RM_Code],$A88,T_TTAFStock[WeekIndex],49)&gt;0)&gt;0,SUMIFS(T_SelfStock[Self_Qty],T_SelfStock[RM_Code],$A88,T_SelfStock[WeekIndex],49)+SUMIFS(T_TTAFStock[TTAF_Qty],T_TTAFStock[RM_Code],$A88,T_TTAFStock[WeekIndex],49),AW88+'Grid_Incoming'!AX88-'Grid_Requirement'!AX88))</f>
        <v/>
      </c>
      <c r="AY88">
        <f>IF(COUNTIFS(T_StockCount[RM_Code],$A88,T_StockCount[WeekIndex],50)&gt;0,SUMIFS(T_StockCount[CountedQty],T_StockCount[RM_Code],$A88,T_StockCount[WeekIndex],50),IF((COUNTIFS(T_SelfStock[RM_Code],$A88,T_SelfStock[WeekIndex],50)&gt;0)*(COUNTIFS(T_TTAFStock[RM_Code],$A88,T_TTAFStock[WeekIndex],50)&gt;0)&gt;0,SUMIFS(T_SelfStock[Self_Qty],T_SelfStock[RM_Code],$A88,T_SelfStock[WeekIndex],50)+SUMIFS(T_TTAFStock[TTAF_Qty],T_TTAFStock[RM_Code],$A88,T_TTAFStock[WeekIndex],50),AX88+'Grid_Incoming'!AY88-'Grid_Requirement'!AY88))</f>
        <v/>
      </c>
      <c r="AZ88">
        <f>IF(COUNTIFS(T_StockCount[RM_Code],$A88,T_StockCount[WeekIndex],51)&gt;0,SUMIFS(T_StockCount[CountedQty],T_StockCount[RM_Code],$A88,T_StockCount[WeekIndex],51),IF((COUNTIFS(T_SelfStock[RM_Code],$A88,T_SelfStock[WeekIndex],51)&gt;0)*(COUNTIFS(T_TTAFStock[RM_Code],$A88,T_TTAFStock[WeekIndex],51)&gt;0)&gt;0,SUMIFS(T_SelfStock[Self_Qty],T_SelfStock[RM_Code],$A88,T_SelfStock[WeekIndex],51)+SUMIFS(T_TTAFStock[TTAF_Qty],T_TTAFStock[RM_Code],$A88,T_TTAFStock[WeekIndex],51),AY88+'Grid_Incoming'!AZ88-'Grid_Requirement'!AZ88))</f>
        <v/>
      </c>
      <c r="BA88">
        <f>IF(COUNTIFS(T_StockCount[RM_Code],$A88,T_StockCount[WeekIndex],52)&gt;0,SUMIFS(T_StockCount[CountedQty],T_StockCount[RM_Code],$A88,T_StockCount[WeekIndex],52),IF((COUNTIFS(T_SelfStock[RM_Code],$A88,T_SelfStock[WeekIndex],52)&gt;0)*(COUNTIFS(T_TTAFStock[RM_Code],$A88,T_TTAFStock[WeekIndex],52)&gt;0)&gt;0,SUMIFS(T_SelfStock[Self_Qty],T_SelfStock[RM_Code],$A88,T_SelfStock[WeekIndex],52)+SUMIFS(T_TTAFStock[TTAF_Qty],T_TTAFStock[RM_Code],$A88,T_TTAFStock[WeekIndex],52),AZ88+'Grid_Incoming'!BA88-'Grid_Requirement'!BA88))</f>
        <v/>
      </c>
      <c r="BB88">
        <f>IF(COUNTIFS(T_StockCount[RM_Code],$A88,T_StockCount[WeekIndex],53)&gt;0,SUMIFS(T_StockCount[CountedQty],T_StockCount[RM_Code],$A88,T_StockCount[WeekIndex],53),IF((COUNTIFS(T_SelfStock[RM_Code],$A88,T_SelfStock[WeekIndex],53)&gt;0)*(COUNTIFS(T_TTAFStock[RM_Code],$A88,T_TTAFStock[WeekIndex],53)&gt;0)&gt;0,SUMIFS(T_SelfStock[Self_Qty],T_SelfStock[RM_Code],$A88,T_SelfStock[WeekIndex],53)+SUMIFS(T_TTAFStock[TTAF_Qty],T_TTAFStock[RM_Code],$A88,T_TTAFStock[WeekIndex],53),BA88+'Grid_Incoming'!BB88-'Grid_Requirement'!BB88))</f>
        <v/>
      </c>
      <c r="BC88">
        <f>IF(COUNTIFS(T_StockCount[RM_Code],$A88,T_StockCount[WeekIndex],54)&gt;0,SUMIFS(T_StockCount[CountedQty],T_StockCount[RM_Code],$A88,T_StockCount[WeekIndex],54),IF((COUNTIFS(T_SelfStock[RM_Code],$A88,T_SelfStock[WeekIndex],54)&gt;0)*(COUNTIFS(T_TTAFStock[RM_Code],$A88,T_TTAFStock[WeekIndex],54)&gt;0)&gt;0,SUMIFS(T_SelfStock[Self_Qty],T_SelfStock[RM_Code],$A88,T_SelfStock[WeekIndex],54)+SUMIFS(T_TTAFStock[TTAF_Qty],T_TTAFStock[RM_Code],$A88,T_TTAFStock[WeekIndex],54),BB88+'Grid_Incoming'!BC88-'Grid_Requirement'!BC88))</f>
        <v/>
      </c>
      <c r="BD88">
        <f>IF(COUNTIFS(T_StockCount[RM_Code],$A88,T_StockCount[WeekIndex],55)&gt;0,SUMIFS(T_StockCount[CountedQty],T_StockCount[RM_Code],$A88,T_StockCount[WeekIndex],55),IF((COUNTIFS(T_SelfStock[RM_Code],$A88,T_SelfStock[WeekIndex],55)&gt;0)*(COUNTIFS(T_TTAFStock[RM_Code],$A88,T_TTAFStock[WeekIndex],55)&gt;0)&gt;0,SUMIFS(T_SelfStock[Self_Qty],T_SelfStock[RM_Code],$A88,T_SelfStock[WeekIndex],55)+SUMIFS(T_TTAFStock[TTAF_Qty],T_TTAFStock[RM_Code],$A88,T_TTAFStock[WeekIndex],55),BC88+'Grid_Incoming'!BD88-'Grid_Requirement'!BD88))</f>
        <v/>
      </c>
      <c r="BE88">
        <f>IF(COUNTIFS(T_StockCount[RM_Code],$A88,T_StockCount[WeekIndex],56)&gt;0,SUMIFS(T_StockCount[CountedQty],T_StockCount[RM_Code],$A88,T_StockCount[WeekIndex],56),IF((COUNTIFS(T_SelfStock[RM_Code],$A88,T_SelfStock[WeekIndex],56)&gt;0)*(COUNTIFS(T_TTAFStock[RM_Code],$A88,T_TTAFStock[WeekIndex],56)&gt;0)&gt;0,SUMIFS(T_SelfStock[Self_Qty],T_SelfStock[RM_Code],$A88,T_SelfStock[WeekIndex],56)+SUMIFS(T_TTAFStock[TTAF_Qty],T_TTAFStock[RM_Code],$A88,T_TTAFStock[WeekIndex],56),BD88+'Grid_Incoming'!BE88-'Grid_Requirement'!BE88))</f>
        <v/>
      </c>
      <c r="BF88">
        <f>IF(COUNTIFS(T_StockCount[RM_Code],$A88,T_StockCount[WeekIndex],57)&gt;0,SUMIFS(T_StockCount[CountedQty],T_StockCount[RM_Code],$A88,T_StockCount[WeekIndex],57),IF((COUNTIFS(T_SelfStock[RM_Code],$A88,T_SelfStock[WeekIndex],57)&gt;0)*(COUNTIFS(T_TTAFStock[RM_Code],$A88,T_TTAFStock[WeekIndex],57)&gt;0)&gt;0,SUMIFS(T_SelfStock[Self_Qty],T_SelfStock[RM_Code],$A88,T_SelfStock[WeekIndex],57)+SUMIFS(T_TTAFStock[TTAF_Qty],T_TTAFStock[RM_Code],$A88,T_TTAFStock[WeekIndex],57),BE88+'Grid_Incoming'!BF88-'Grid_Requirement'!BF88))</f>
        <v/>
      </c>
      <c r="BG88">
        <f>IF(COUNTIFS(T_StockCount[RM_Code],$A88,T_StockCount[WeekIndex],58)&gt;0,SUMIFS(T_StockCount[CountedQty],T_StockCount[RM_Code],$A88,T_StockCount[WeekIndex],58),IF((COUNTIFS(T_SelfStock[RM_Code],$A88,T_SelfStock[WeekIndex],58)&gt;0)*(COUNTIFS(T_TTAFStock[RM_Code],$A88,T_TTAFStock[WeekIndex],58)&gt;0)&gt;0,SUMIFS(T_SelfStock[Self_Qty],T_SelfStock[RM_Code],$A88,T_SelfStock[WeekIndex],58)+SUMIFS(T_TTAFStock[TTAF_Qty],T_TTAFStock[RM_Code],$A88,T_TTAFStock[WeekIndex],58),BF88+'Grid_Incoming'!BG88-'Grid_Requirement'!BG88))</f>
        <v/>
      </c>
      <c r="BH88">
        <f>IF(COUNTIFS(T_StockCount[RM_Code],$A88,T_StockCount[WeekIndex],59)&gt;0,SUMIFS(T_StockCount[CountedQty],T_StockCount[RM_Code],$A88,T_StockCount[WeekIndex],59),IF((COUNTIFS(T_SelfStock[RM_Code],$A88,T_SelfStock[WeekIndex],59)&gt;0)*(COUNTIFS(T_TTAFStock[RM_Code],$A88,T_TTAFStock[WeekIndex],59)&gt;0)&gt;0,SUMIFS(T_SelfStock[Self_Qty],T_SelfStock[RM_Code],$A88,T_SelfStock[WeekIndex],59)+SUMIFS(T_TTAFStock[TTAF_Qty],T_TTAFStock[RM_Code],$A88,T_TTAFStock[WeekIndex],59),BG88+'Grid_Incoming'!BH88-'Grid_Requirement'!BH88))</f>
        <v/>
      </c>
      <c r="BI88">
        <f>IF(COUNTIFS(T_StockCount[RM_Code],$A88,T_StockCount[WeekIndex],60)&gt;0,SUMIFS(T_StockCount[CountedQty],T_StockCount[RM_Code],$A88,T_StockCount[WeekIndex],60),IF((COUNTIFS(T_SelfStock[RM_Code],$A88,T_SelfStock[WeekIndex],60)&gt;0)*(COUNTIFS(T_TTAFStock[RM_Code],$A88,T_TTAFStock[WeekIndex],60)&gt;0)&gt;0,SUMIFS(T_SelfStock[Self_Qty],T_SelfStock[RM_Code],$A88,T_SelfStock[WeekIndex],60)+SUMIFS(T_TTAFStock[TTAF_Qty],T_TTAFStock[RM_Code],$A88,T_TTAFStock[WeekIndex],60),BH88+'Grid_Incoming'!BI88-'Grid_Requirement'!BI88))</f>
        <v/>
      </c>
      <c r="BJ88">
        <f>IF(COUNTIFS(T_StockCount[RM_Code],$A88,T_StockCount[WeekIndex],61)&gt;0,SUMIFS(T_StockCount[CountedQty],T_StockCount[RM_Code],$A88,T_StockCount[WeekIndex],61),IF((COUNTIFS(T_SelfStock[RM_Code],$A88,T_SelfStock[WeekIndex],61)&gt;0)*(COUNTIFS(T_TTAFStock[RM_Code],$A88,T_TTAFStock[WeekIndex],61)&gt;0)&gt;0,SUMIFS(T_SelfStock[Self_Qty],T_SelfStock[RM_Code],$A88,T_SelfStock[WeekIndex],61)+SUMIFS(T_TTAFStock[TTAF_Qty],T_TTAFStock[RM_Code],$A88,T_TTAFStock[WeekIndex],61),BI88+'Grid_Incoming'!BJ88-'Grid_Requirement'!BJ88))</f>
        <v/>
      </c>
      <c r="BK88">
        <f>IF(COUNTIFS(T_StockCount[RM_Code],$A88,T_StockCount[WeekIndex],62)&gt;0,SUMIFS(T_StockCount[CountedQty],T_StockCount[RM_Code],$A88,T_StockCount[WeekIndex],62),IF((COUNTIFS(T_SelfStock[RM_Code],$A88,T_SelfStock[WeekIndex],62)&gt;0)*(COUNTIFS(T_TTAFStock[RM_Code],$A88,T_TTAFStock[WeekIndex],62)&gt;0)&gt;0,SUMIFS(T_SelfStock[Self_Qty],T_SelfStock[RM_Code],$A88,T_SelfStock[WeekIndex],62)+SUMIFS(T_TTAFStock[TTAF_Qty],T_TTAFStock[RM_Code],$A88,T_TTAFStock[WeekIndex],62),BJ88+'Grid_Incoming'!BK88-'Grid_Requirement'!BK88))</f>
        <v/>
      </c>
      <c r="BL88">
        <f>IF(COUNTIFS(T_StockCount[RM_Code],$A88,T_StockCount[WeekIndex],63)&gt;0,SUMIFS(T_StockCount[CountedQty],T_StockCount[RM_Code],$A88,T_StockCount[WeekIndex],63),IF((COUNTIFS(T_SelfStock[RM_Code],$A88,T_SelfStock[WeekIndex],63)&gt;0)*(COUNTIFS(T_TTAFStock[RM_Code],$A88,T_TTAFStock[WeekIndex],63)&gt;0)&gt;0,SUMIFS(T_SelfStock[Self_Qty],T_SelfStock[RM_Code],$A88,T_SelfStock[WeekIndex],63)+SUMIFS(T_TTAFStock[TTAF_Qty],T_TTAFStock[RM_Code],$A88,T_TTAFStock[WeekIndex],63),BK88+'Grid_Incoming'!BL88-'Grid_Requirement'!BL88))</f>
        <v/>
      </c>
      <c r="BM88">
        <f>IF(COUNTIFS(T_StockCount[RM_Code],$A88,T_StockCount[WeekIndex],64)&gt;0,SUMIFS(T_StockCount[CountedQty],T_StockCount[RM_Code],$A88,T_StockCount[WeekIndex],64),IF((COUNTIFS(T_SelfStock[RM_Code],$A88,T_SelfStock[WeekIndex],64)&gt;0)*(COUNTIFS(T_TTAFStock[RM_Code],$A88,T_TTAFStock[WeekIndex],64)&gt;0)&gt;0,SUMIFS(T_SelfStock[Self_Qty],T_SelfStock[RM_Code],$A88,T_SelfStock[WeekIndex],64)+SUMIFS(T_TTAFStock[TTAF_Qty],T_TTAFStock[RM_Code],$A88,T_TTAFStock[WeekIndex],64),BL88+'Grid_Incoming'!BM88-'Grid_Requirement'!BM88))</f>
        <v/>
      </c>
      <c r="BN88">
        <f>IF(COUNTIFS(T_StockCount[RM_Code],$A88,T_StockCount[WeekIndex],65)&gt;0,SUMIFS(T_StockCount[CountedQty],T_StockCount[RM_Code],$A88,T_StockCount[WeekIndex],65),IF((COUNTIFS(T_SelfStock[RM_Code],$A88,T_SelfStock[WeekIndex],65)&gt;0)*(COUNTIFS(T_TTAFStock[RM_Code],$A88,T_TTAFStock[WeekIndex],65)&gt;0)&gt;0,SUMIFS(T_SelfStock[Self_Qty],T_SelfStock[RM_Code],$A88,T_SelfStock[WeekIndex],65)+SUMIFS(T_TTAFStock[TTAF_Qty],T_TTAFStock[RM_Code],$A88,T_TTAFStock[WeekIndex],65),BM88+'Grid_Incoming'!BN88-'Grid_Requirement'!BN88))</f>
        <v/>
      </c>
      <c r="BO88">
        <f>IF(COUNTIFS(T_StockCount[RM_Code],$A88,T_StockCount[WeekIndex],66)&gt;0,SUMIFS(T_StockCount[CountedQty],T_StockCount[RM_Code],$A88,T_StockCount[WeekIndex],66),IF((COUNTIFS(T_SelfStock[RM_Code],$A88,T_SelfStock[WeekIndex],66)&gt;0)*(COUNTIFS(T_TTAFStock[RM_Code],$A88,T_TTAFStock[WeekIndex],66)&gt;0)&gt;0,SUMIFS(T_SelfStock[Self_Qty],T_SelfStock[RM_Code],$A88,T_SelfStock[WeekIndex],66)+SUMIFS(T_TTAFStock[TTAF_Qty],T_TTAFStock[RM_Code],$A88,T_TTAFStock[WeekIndex],66),BN88+'Grid_Incoming'!BO88-'Grid_Requirement'!BO88))</f>
        <v/>
      </c>
      <c r="BP88">
        <f>IF(COUNTIFS(T_StockCount[RM_Code],$A88,T_StockCount[WeekIndex],67)&gt;0,SUMIFS(T_StockCount[CountedQty],T_StockCount[RM_Code],$A88,T_StockCount[WeekIndex],67),IF((COUNTIFS(T_SelfStock[RM_Code],$A88,T_SelfStock[WeekIndex],67)&gt;0)*(COUNTIFS(T_TTAFStock[RM_Code],$A88,T_TTAFStock[WeekIndex],67)&gt;0)&gt;0,SUMIFS(T_SelfStock[Self_Qty],T_SelfStock[RM_Code],$A88,T_SelfStock[WeekIndex],67)+SUMIFS(T_TTAFStock[TTAF_Qty],T_TTAFStock[RM_Code],$A88,T_TTAFStock[WeekIndex],67),BO88+'Grid_Incoming'!BP88-'Grid_Requirement'!BP88))</f>
        <v/>
      </c>
      <c r="BQ88">
        <f>IF(COUNTIFS(T_StockCount[RM_Code],$A88,T_StockCount[WeekIndex],68)&gt;0,SUMIFS(T_StockCount[CountedQty],T_StockCount[RM_Code],$A88,T_StockCount[WeekIndex],68),IF((COUNTIFS(T_SelfStock[RM_Code],$A88,T_SelfStock[WeekIndex],68)&gt;0)*(COUNTIFS(T_TTAFStock[RM_Code],$A88,T_TTAFStock[WeekIndex],68)&gt;0)&gt;0,SUMIFS(T_SelfStock[Self_Qty],T_SelfStock[RM_Code],$A88,T_SelfStock[WeekIndex],68)+SUMIFS(T_TTAFStock[TTAF_Qty],T_TTAFStock[RM_Code],$A88,T_TTAFStock[WeekIndex],68),BP88+'Grid_Incoming'!BQ88-'Grid_Requirement'!BQ88))</f>
        <v/>
      </c>
      <c r="BR88">
        <f>IF(COUNTIFS(T_StockCount[RM_Code],$A88,T_StockCount[WeekIndex],69)&gt;0,SUMIFS(T_StockCount[CountedQty],T_StockCount[RM_Code],$A88,T_StockCount[WeekIndex],69),IF((COUNTIFS(T_SelfStock[RM_Code],$A88,T_SelfStock[WeekIndex],69)&gt;0)*(COUNTIFS(T_TTAFStock[RM_Code],$A88,T_TTAFStock[WeekIndex],69)&gt;0)&gt;0,SUMIFS(T_SelfStock[Self_Qty],T_SelfStock[RM_Code],$A88,T_SelfStock[WeekIndex],69)+SUMIFS(T_TTAFStock[TTAF_Qty],T_TTAFStock[RM_Code],$A88,T_TTAFStock[WeekIndex],69),BQ88+'Grid_Incoming'!BR88-'Grid_Requirement'!BR88))</f>
        <v/>
      </c>
      <c r="BS88">
        <f>IF(COUNTIFS(T_StockCount[RM_Code],$A88,T_StockCount[WeekIndex],70)&gt;0,SUMIFS(T_StockCount[CountedQty],T_StockCount[RM_Code],$A88,T_StockCount[WeekIndex],70),IF((COUNTIFS(T_SelfStock[RM_Code],$A88,T_SelfStock[WeekIndex],70)&gt;0)*(COUNTIFS(T_TTAFStock[RM_Code],$A88,T_TTAFStock[WeekIndex],70)&gt;0)&gt;0,SUMIFS(T_SelfStock[Self_Qty],T_SelfStock[RM_Code],$A88,T_SelfStock[WeekIndex],70)+SUMIFS(T_TTAFStock[TTAF_Qty],T_TTAFStock[RM_Code],$A88,T_TTAFStock[WeekIndex],70),BR88+'Grid_Incoming'!BS88-'Grid_Requirement'!BS88))</f>
        <v/>
      </c>
      <c r="BT88">
        <f>IF(COUNTIFS(T_StockCount[RM_Code],$A88,T_StockCount[WeekIndex],71)&gt;0,SUMIFS(T_StockCount[CountedQty],T_StockCount[RM_Code],$A88,T_StockCount[WeekIndex],71),IF((COUNTIFS(T_SelfStock[RM_Code],$A88,T_SelfStock[WeekIndex],71)&gt;0)*(COUNTIFS(T_TTAFStock[RM_Code],$A88,T_TTAFStock[WeekIndex],71)&gt;0)&gt;0,SUMIFS(T_SelfStock[Self_Qty],T_SelfStock[RM_Code],$A88,T_SelfStock[WeekIndex],71)+SUMIFS(T_TTAFStock[TTAF_Qty],T_TTAFStock[RM_Code],$A88,T_TTAFStock[WeekIndex],71),BS88+'Grid_Incoming'!BT88-'Grid_Requirement'!BT88))</f>
        <v/>
      </c>
      <c r="BU88">
        <f>IF(COUNTIFS(T_StockCount[RM_Code],$A88,T_StockCount[WeekIndex],72)&gt;0,SUMIFS(T_StockCount[CountedQty],T_StockCount[RM_Code],$A88,T_StockCount[WeekIndex],72),IF((COUNTIFS(T_SelfStock[RM_Code],$A88,T_SelfStock[WeekIndex],72)&gt;0)*(COUNTIFS(T_TTAFStock[RM_Code],$A88,T_TTAFStock[WeekIndex],72)&gt;0)&gt;0,SUMIFS(T_SelfStock[Self_Qty],T_SelfStock[RM_Code],$A88,T_SelfStock[WeekIndex],72)+SUMIFS(T_TTAFStock[TTAF_Qty],T_TTAFStock[RM_Code],$A88,T_TTAFStock[WeekIndex],72),BT88+'Grid_Incoming'!BU88-'Grid_Requirement'!BU88))</f>
        <v/>
      </c>
      <c r="BV88">
        <f>IF(COUNTIFS(T_StockCount[RM_Code],$A88,T_StockCount[WeekIndex],73)&gt;0,SUMIFS(T_StockCount[CountedQty],T_StockCount[RM_Code],$A88,T_StockCount[WeekIndex],73),IF((COUNTIFS(T_SelfStock[RM_Code],$A88,T_SelfStock[WeekIndex],73)&gt;0)*(COUNTIFS(T_TTAFStock[RM_Code],$A88,T_TTAFStock[WeekIndex],73)&gt;0)&gt;0,SUMIFS(T_SelfStock[Self_Qty],T_SelfStock[RM_Code],$A88,T_SelfStock[WeekIndex],73)+SUMIFS(T_TTAFStock[TTAF_Qty],T_TTAFStock[RM_Code],$A88,T_TTAFStock[WeekIndex],73),BU88+'Grid_Incoming'!BV88-'Grid_Requirement'!BV88))</f>
        <v/>
      </c>
      <c r="BW88">
        <f>IF(COUNTIFS(T_StockCount[RM_Code],$A88,T_StockCount[WeekIndex],74)&gt;0,SUMIFS(T_StockCount[CountedQty],T_StockCount[RM_Code],$A88,T_StockCount[WeekIndex],74),IF((COUNTIFS(T_SelfStock[RM_Code],$A88,T_SelfStock[WeekIndex],74)&gt;0)*(COUNTIFS(T_TTAFStock[RM_Code],$A88,T_TTAFStock[WeekIndex],74)&gt;0)&gt;0,SUMIFS(T_SelfStock[Self_Qty],T_SelfStock[RM_Code],$A88,T_SelfStock[WeekIndex],74)+SUMIFS(T_TTAFStock[TTAF_Qty],T_TTAFStock[RM_Code],$A88,T_TTAFStock[WeekIndex],74),BV88+'Grid_Incoming'!BW88-'Grid_Requirement'!BW88))</f>
        <v/>
      </c>
      <c r="BX88">
        <f>IF(COUNTIFS(T_StockCount[RM_Code],$A88,T_StockCount[WeekIndex],75)&gt;0,SUMIFS(T_StockCount[CountedQty],T_StockCount[RM_Code],$A88,T_StockCount[WeekIndex],75),IF((COUNTIFS(T_SelfStock[RM_Code],$A88,T_SelfStock[WeekIndex],75)&gt;0)*(COUNTIFS(T_TTAFStock[RM_Code],$A88,T_TTAFStock[WeekIndex],75)&gt;0)&gt;0,SUMIFS(T_SelfStock[Self_Qty],T_SelfStock[RM_Code],$A88,T_SelfStock[WeekIndex],75)+SUMIFS(T_TTAFStock[TTAF_Qty],T_TTAFStock[RM_Code],$A88,T_TTAFStock[WeekIndex],75),BW88+'Grid_Incoming'!BX88-'Grid_Requirement'!BX88))</f>
        <v/>
      </c>
      <c r="BY88">
        <f>IF(COUNTIFS(T_StockCount[RM_Code],$A88,T_StockCount[WeekIndex],76)&gt;0,SUMIFS(T_StockCount[CountedQty],T_StockCount[RM_Code],$A88,T_StockCount[WeekIndex],76),IF((COUNTIFS(T_SelfStock[RM_Code],$A88,T_SelfStock[WeekIndex],76)&gt;0)*(COUNTIFS(T_TTAFStock[RM_Code],$A88,T_TTAFStock[WeekIndex],76)&gt;0)&gt;0,SUMIFS(T_SelfStock[Self_Qty],T_SelfStock[RM_Code],$A88,T_SelfStock[WeekIndex],76)+SUMIFS(T_TTAFStock[TTAF_Qty],T_TTAFStock[RM_Code],$A88,T_TTAFStock[WeekIndex],76),BX88+'Grid_Incoming'!BY88-'Grid_Requirement'!BY88))</f>
        <v/>
      </c>
      <c r="BZ88">
        <f>IF(COUNTIFS(T_StockCount[RM_Code],$A88,T_StockCount[WeekIndex],77)&gt;0,SUMIFS(T_StockCount[CountedQty],T_StockCount[RM_Code],$A88,T_StockCount[WeekIndex],77),IF((COUNTIFS(T_SelfStock[RM_Code],$A88,T_SelfStock[WeekIndex],77)&gt;0)*(COUNTIFS(T_TTAFStock[RM_Code],$A88,T_TTAFStock[WeekIndex],77)&gt;0)&gt;0,SUMIFS(T_SelfStock[Self_Qty],T_SelfStock[RM_Code],$A88,T_SelfStock[WeekIndex],77)+SUMIFS(T_TTAFStock[TTAF_Qty],T_TTAFStock[RM_Code],$A88,T_TTAFStock[WeekIndex],77),BY88+'Grid_Incoming'!BZ88-'Grid_Requirement'!BZ88))</f>
        <v/>
      </c>
      <c r="CA88">
        <f>IF(COUNTIFS(T_StockCount[RM_Code],$A88,T_StockCount[WeekIndex],78)&gt;0,SUMIFS(T_StockCount[CountedQty],T_StockCount[RM_Code],$A88,T_StockCount[WeekIndex],78),IF((COUNTIFS(T_SelfStock[RM_Code],$A88,T_SelfStock[WeekIndex],78)&gt;0)*(COUNTIFS(T_TTAFStock[RM_Code],$A88,T_TTAFStock[WeekIndex],78)&gt;0)&gt;0,SUMIFS(T_SelfStock[Self_Qty],T_SelfStock[RM_Code],$A88,T_SelfStock[WeekIndex],78)+SUMIFS(T_TTAFStock[TTAF_Qty],T_TTAFStock[RM_Code],$A88,T_TTAFStock[WeekIndex],78),BZ88+'Grid_Incoming'!CA88-'Grid_Requirement'!CA88))</f>
        <v/>
      </c>
      <c r="CB88">
        <f>IF(COUNTIFS(T_StockCount[RM_Code],$A88,T_StockCount[WeekIndex],79)&gt;0,SUMIFS(T_StockCount[CountedQty],T_StockCount[RM_Code],$A88,T_StockCount[WeekIndex],79),IF((COUNTIFS(T_SelfStock[RM_Code],$A88,T_SelfStock[WeekIndex],79)&gt;0)*(COUNTIFS(T_TTAFStock[RM_Code],$A88,T_TTAFStock[WeekIndex],79)&gt;0)&gt;0,SUMIFS(T_SelfStock[Self_Qty],T_SelfStock[RM_Code],$A88,T_SelfStock[WeekIndex],79)+SUMIFS(T_TTAFStock[TTAF_Qty],T_TTAFStock[RM_Code],$A88,T_TTAFStock[WeekIndex],79),CA88+'Grid_Incoming'!CB88-'Grid_Requirement'!CB88))</f>
        <v/>
      </c>
      <c r="CC88">
        <f>IF(COUNTIFS(T_StockCount[RM_Code],$A88,T_StockCount[WeekIndex],80)&gt;0,SUMIFS(T_StockCount[CountedQty],T_StockCount[RM_Code],$A88,T_StockCount[WeekIndex],80),IF((COUNTIFS(T_SelfStock[RM_Code],$A88,T_SelfStock[WeekIndex],80)&gt;0)*(COUNTIFS(T_TTAFStock[RM_Code],$A88,T_TTAFStock[WeekIndex],80)&gt;0)&gt;0,SUMIFS(T_SelfStock[Self_Qty],T_SelfStock[RM_Code],$A88,T_SelfStock[WeekIndex],80)+SUMIFS(T_TTAFStock[TTAF_Qty],T_TTAFStock[RM_Code],$A88,T_TTAFStock[WeekIndex],80),CB88+'Grid_Incoming'!CC88-'Grid_Requirement'!CC88))</f>
        <v/>
      </c>
      <c r="CD88">
        <f>IF(COUNTIFS(T_StockCount[RM_Code],$A88,T_StockCount[WeekIndex],81)&gt;0,SUMIFS(T_StockCount[CountedQty],T_StockCount[RM_Code],$A88,T_StockCount[WeekIndex],81),IF((COUNTIFS(T_SelfStock[RM_Code],$A88,T_SelfStock[WeekIndex],81)&gt;0)*(COUNTIFS(T_TTAFStock[RM_Code],$A88,T_TTAFStock[WeekIndex],81)&gt;0)&gt;0,SUMIFS(T_SelfStock[Self_Qty],T_SelfStock[RM_Code],$A88,T_SelfStock[WeekIndex],81)+SUMIFS(T_TTAFStock[TTAF_Qty],T_TTAFStock[RM_Code],$A88,T_TTAFStock[WeekIndex],81),CC88+'Grid_Incoming'!CD88-'Grid_Requirement'!CD88))</f>
        <v/>
      </c>
      <c r="CE88">
        <f>IF(COUNTIFS(T_StockCount[RM_Code],$A88,T_StockCount[WeekIndex],82)&gt;0,SUMIFS(T_StockCount[CountedQty],T_StockCount[RM_Code],$A88,T_StockCount[WeekIndex],82),IF((COUNTIFS(T_SelfStock[RM_Code],$A88,T_SelfStock[WeekIndex],82)&gt;0)*(COUNTIFS(T_TTAFStock[RM_Code],$A88,T_TTAFStock[WeekIndex],82)&gt;0)&gt;0,SUMIFS(T_SelfStock[Self_Qty],T_SelfStock[RM_Code],$A88,T_SelfStock[WeekIndex],82)+SUMIFS(T_TTAFStock[TTAF_Qty],T_TTAFStock[RM_Code],$A88,T_TTAFStock[WeekIndex],82),CD88+'Grid_Incoming'!CE88-'Grid_Requirement'!CE88))</f>
        <v/>
      </c>
      <c r="CF88">
        <f>IF(COUNTIFS(T_StockCount[RM_Code],$A88,T_StockCount[WeekIndex],83)&gt;0,SUMIFS(T_StockCount[CountedQty],T_StockCount[RM_Code],$A88,T_StockCount[WeekIndex],83),IF((COUNTIFS(T_SelfStock[RM_Code],$A88,T_SelfStock[WeekIndex],83)&gt;0)*(COUNTIFS(T_TTAFStock[RM_Code],$A88,T_TTAFStock[WeekIndex],83)&gt;0)&gt;0,SUMIFS(T_SelfStock[Self_Qty],T_SelfStock[RM_Code],$A88,T_SelfStock[WeekIndex],83)+SUMIFS(T_TTAFStock[TTAF_Qty],T_TTAFStock[RM_Code],$A88,T_TTAFStock[WeekIndex],83),CE88+'Grid_Incoming'!CF88-'Grid_Requirement'!CF88))</f>
        <v/>
      </c>
      <c r="CG88">
        <f>IF(COUNTIFS(T_StockCount[RM_Code],$A88,T_StockCount[WeekIndex],84)&gt;0,SUMIFS(T_StockCount[CountedQty],T_StockCount[RM_Code],$A88,T_StockCount[WeekIndex],84),IF((COUNTIFS(T_SelfStock[RM_Code],$A88,T_SelfStock[WeekIndex],84)&gt;0)*(COUNTIFS(T_TTAFStock[RM_Code],$A88,T_TTAFStock[WeekIndex],84)&gt;0)&gt;0,SUMIFS(T_SelfStock[Self_Qty],T_SelfStock[RM_Code],$A88,T_SelfStock[WeekIndex],84)+SUMIFS(T_TTAFStock[TTAF_Qty],T_TTAFStock[RM_Code],$A88,T_TTAFStock[WeekIndex],84),CF88+'Grid_Incoming'!CG88-'Grid_Requirement'!CG88))</f>
        <v/>
      </c>
      <c r="CH88">
        <f>IF(COUNTIFS(T_StockCount[RM_Code],$A88,T_StockCount[WeekIndex],85)&gt;0,SUMIFS(T_StockCount[CountedQty],T_StockCount[RM_Code],$A88,T_StockCount[WeekIndex],85),IF((COUNTIFS(T_SelfStock[RM_Code],$A88,T_SelfStock[WeekIndex],85)&gt;0)*(COUNTIFS(T_TTAFStock[RM_Code],$A88,T_TTAFStock[WeekIndex],85)&gt;0)&gt;0,SUMIFS(T_SelfStock[Self_Qty],T_SelfStock[RM_Code],$A88,T_SelfStock[WeekIndex],85)+SUMIFS(T_TTAFStock[TTAF_Qty],T_TTAFStock[RM_Code],$A88,T_TTAFStock[WeekIndex],85),CG88+'Grid_Incoming'!CH88-'Grid_Requirement'!CH88))</f>
        <v/>
      </c>
      <c r="CI88">
        <f>IF(COUNTIFS(T_StockCount[RM_Code],$A88,T_StockCount[WeekIndex],86)&gt;0,SUMIFS(T_StockCount[CountedQty],T_StockCount[RM_Code],$A88,T_StockCount[WeekIndex],86),IF((COUNTIFS(T_SelfStock[RM_Code],$A88,T_SelfStock[WeekIndex],86)&gt;0)*(COUNTIFS(T_TTAFStock[RM_Code],$A88,T_TTAFStock[WeekIndex],86)&gt;0)&gt;0,SUMIFS(T_SelfStock[Self_Qty],T_SelfStock[RM_Code],$A88,T_SelfStock[WeekIndex],86)+SUMIFS(T_TTAFStock[TTAF_Qty],T_TTAFStock[RM_Code],$A88,T_TTAFStock[WeekIndex],86),CH88+'Grid_Incoming'!CI88-'Grid_Requirement'!CI88))</f>
        <v/>
      </c>
      <c r="CJ88">
        <f>IF(COUNTIFS(T_StockCount[RM_Code],$A88,T_StockCount[WeekIndex],87)&gt;0,SUMIFS(T_StockCount[CountedQty],T_StockCount[RM_Code],$A88,T_StockCount[WeekIndex],87),IF((COUNTIFS(T_SelfStock[RM_Code],$A88,T_SelfStock[WeekIndex],87)&gt;0)*(COUNTIFS(T_TTAFStock[RM_Code],$A88,T_TTAFStock[WeekIndex],87)&gt;0)&gt;0,SUMIFS(T_SelfStock[Self_Qty],T_SelfStock[RM_Code],$A88,T_SelfStock[WeekIndex],87)+SUMIFS(T_TTAFStock[TTAF_Qty],T_TTAFStock[RM_Code],$A88,T_TTAFStock[WeekIndex],87),CI88+'Grid_Incoming'!CJ88-'Grid_Requirement'!CJ88))</f>
        <v/>
      </c>
      <c r="CK88">
        <f>IF(COUNTIFS(T_StockCount[RM_Code],$A88,T_StockCount[WeekIndex],88)&gt;0,SUMIFS(T_StockCount[CountedQty],T_StockCount[RM_Code],$A88,T_StockCount[WeekIndex],88),IF((COUNTIFS(T_SelfStock[RM_Code],$A88,T_SelfStock[WeekIndex],88)&gt;0)*(COUNTIFS(T_TTAFStock[RM_Code],$A88,T_TTAFStock[WeekIndex],88)&gt;0)&gt;0,SUMIFS(T_SelfStock[Self_Qty],T_SelfStock[RM_Code],$A88,T_SelfStock[WeekIndex],88)+SUMIFS(T_TTAFStock[TTAF_Qty],T_TTAFStock[RM_Code],$A88,T_TTAFStock[WeekIndex],88),CJ88+'Grid_Incoming'!CK88-'Grid_Requirement'!CK88))</f>
        <v/>
      </c>
      <c r="CL88">
        <f>IF(COUNTIFS(T_StockCount[RM_Code],$A88,T_StockCount[WeekIndex],89)&gt;0,SUMIFS(T_StockCount[CountedQty],T_StockCount[RM_Code],$A88,T_StockCount[WeekIndex],89),IF((COUNTIFS(T_SelfStock[RM_Code],$A88,T_SelfStock[WeekIndex],89)&gt;0)*(COUNTIFS(T_TTAFStock[RM_Code],$A88,T_TTAFStock[WeekIndex],89)&gt;0)&gt;0,SUMIFS(T_SelfStock[Self_Qty],T_SelfStock[RM_Code],$A88,T_SelfStock[WeekIndex],89)+SUMIFS(T_TTAFStock[TTAF_Qty],T_TTAFStock[RM_Code],$A88,T_TTAFStock[WeekIndex],89),CK88+'Grid_Incoming'!CL88-'Grid_Requirement'!CL88))</f>
        <v/>
      </c>
      <c r="CM88">
        <f>IF(COUNTIFS(T_StockCount[RM_Code],$A88,T_StockCount[WeekIndex],90)&gt;0,SUMIFS(T_StockCount[CountedQty],T_StockCount[RM_Code],$A88,T_StockCount[WeekIndex],90),IF((COUNTIFS(T_SelfStock[RM_Code],$A88,T_SelfStock[WeekIndex],90)&gt;0)*(COUNTIFS(T_TTAFStock[RM_Code],$A88,T_TTAFStock[WeekIndex],90)&gt;0)&gt;0,SUMIFS(T_SelfStock[Self_Qty],T_SelfStock[RM_Code],$A88,T_SelfStock[WeekIndex],90)+SUMIFS(T_TTAFStock[TTAF_Qty],T_TTAFStock[RM_Code],$A88,T_TTAFStock[WeekIndex],90),CL88+'Grid_Incoming'!CM88-'Grid_Requirement'!CM88))</f>
        <v/>
      </c>
      <c r="CN88">
        <f>IF(COUNTIFS(T_StockCount[RM_Code],$A88,T_StockCount[WeekIndex],91)&gt;0,SUMIFS(T_StockCount[CountedQty],T_StockCount[RM_Code],$A88,T_StockCount[WeekIndex],91),IF((COUNTIFS(T_SelfStock[RM_Code],$A88,T_SelfStock[WeekIndex],91)&gt;0)*(COUNTIFS(T_TTAFStock[RM_Code],$A88,T_TTAFStock[WeekIndex],91)&gt;0)&gt;0,SUMIFS(T_SelfStock[Self_Qty],T_SelfStock[RM_Code],$A88,T_SelfStock[WeekIndex],91)+SUMIFS(T_TTAFStock[TTAF_Qty],T_TTAFStock[RM_Code],$A88,T_TTAFStock[WeekIndex],91),CM88+'Grid_Incoming'!CN88-'Grid_Requirement'!CN88))</f>
        <v/>
      </c>
      <c r="CO88">
        <f>IF(COUNTIFS(T_StockCount[RM_Code],$A88,T_StockCount[WeekIndex],92)&gt;0,SUMIFS(T_StockCount[CountedQty],T_StockCount[RM_Code],$A88,T_StockCount[WeekIndex],92),IF((COUNTIFS(T_SelfStock[RM_Code],$A88,T_SelfStock[WeekIndex],92)&gt;0)*(COUNTIFS(T_TTAFStock[RM_Code],$A88,T_TTAFStock[WeekIndex],92)&gt;0)&gt;0,SUMIFS(T_SelfStock[Self_Qty],T_SelfStock[RM_Code],$A88,T_SelfStock[WeekIndex],92)+SUMIFS(T_TTAFStock[TTAF_Qty],T_TTAFStock[RM_Code],$A88,T_TTAFStock[WeekIndex],92),CN88+'Grid_Incoming'!CO88-'Grid_Requirement'!CO88))</f>
        <v/>
      </c>
      <c r="CP88">
        <f>IF(COUNTIFS(T_StockCount[RM_Code],$A88,T_StockCount[WeekIndex],93)&gt;0,SUMIFS(T_StockCount[CountedQty],T_StockCount[RM_Code],$A88,T_StockCount[WeekIndex],93),IF((COUNTIFS(T_SelfStock[RM_Code],$A88,T_SelfStock[WeekIndex],93)&gt;0)*(COUNTIFS(T_TTAFStock[RM_Code],$A88,T_TTAFStock[WeekIndex],93)&gt;0)&gt;0,SUMIFS(T_SelfStock[Self_Qty],T_SelfStock[RM_Code],$A88,T_SelfStock[WeekIndex],93)+SUMIFS(T_TTAFStock[TTAF_Qty],T_TTAFStock[RM_Code],$A88,T_TTAFStock[WeekIndex],93),CO88+'Grid_Incoming'!CP88-'Grid_Requirement'!CP88))</f>
        <v/>
      </c>
      <c r="CQ88">
        <f>IF(COUNTIFS(T_StockCount[RM_Code],$A88,T_StockCount[WeekIndex],94)&gt;0,SUMIFS(T_StockCount[CountedQty],T_StockCount[RM_Code],$A88,T_StockCount[WeekIndex],94),IF((COUNTIFS(T_SelfStock[RM_Code],$A88,T_SelfStock[WeekIndex],94)&gt;0)*(COUNTIFS(T_TTAFStock[RM_Code],$A88,T_TTAFStock[WeekIndex],94)&gt;0)&gt;0,SUMIFS(T_SelfStock[Self_Qty],T_SelfStock[RM_Code],$A88,T_SelfStock[WeekIndex],94)+SUMIFS(T_TTAFStock[TTAF_Qty],T_TTAFStock[RM_Code],$A88,T_TTAFStock[WeekIndex],94),CP88+'Grid_Incoming'!CQ88-'Grid_Requirement'!CQ88))</f>
        <v/>
      </c>
      <c r="CR88">
        <f>IF(COUNTIFS(T_StockCount[RM_Code],$A88,T_StockCount[WeekIndex],95)&gt;0,SUMIFS(T_StockCount[CountedQty],T_StockCount[RM_Code],$A88,T_StockCount[WeekIndex],95),IF((COUNTIFS(T_SelfStock[RM_Code],$A88,T_SelfStock[WeekIndex],95)&gt;0)*(COUNTIFS(T_TTAFStock[RM_Code],$A88,T_TTAFStock[WeekIndex],95)&gt;0)&gt;0,SUMIFS(T_SelfStock[Self_Qty],T_SelfStock[RM_Code],$A88,T_SelfStock[WeekIndex],95)+SUMIFS(T_TTAFStock[TTAF_Qty],T_TTAFStock[RM_Code],$A88,T_TTAFStock[WeekIndex],95),CQ88+'Grid_Incoming'!CR88-'Grid_Requirement'!CR88))</f>
        <v/>
      </c>
      <c r="CS88">
        <f>IF(COUNTIFS(T_StockCount[RM_Code],$A88,T_StockCount[WeekIndex],96)&gt;0,SUMIFS(T_StockCount[CountedQty],T_StockCount[RM_Code],$A88,T_StockCount[WeekIndex],96),IF((COUNTIFS(T_SelfStock[RM_Code],$A88,T_SelfStock[WeekIndex],96)&gt;0)*(COUNTIFS(T_TTAFStock[RM_Code],$A88,T_TTAFStock[WeekIndex],96)&gt;0)&gt;0,SUMIFS(T_SelfStock[Self_Qty],T_SelfStock[RM_Code],$A88,T_SelfStock[WeekIndex],96)+SUMIFS(T_TTAFStock[TTAF_Qty],T_TTAFStock[RM_Code],$A88,T_TTAFStock[WeekIndex],96),CR88+'Grid_Incoming'!CS88-'Grid_Requirement'!CS88))</f>
        <v/>
      </c>
      <c r="CT88">
        <f>IF(COUNTIFS(T_StockCount[RM_Code],$A88,T_StockCount[WeekIndex],97)&gt;0,SUMIFS(T_StockCount[CountedQty],T_StockCount[RM_Code],$A88,T_StockCount[WeekIndex],97),IF((COUNTIFS(T_SelfStock[RM_Code],$A88,T_SelfStock[WeekIndex],97)&gt;0)*(COUNTIFS(T_TTAFStock[RM_Code],$A88,T_TTAFStock[WeekIndex],97)&gt;0)&gt;0,SUMIFS(T_SelfStock[Self_Qty],T_SelfStock[RM_Code],$A88,T_SelfStock[WeekIndex],97)+SUMIFS(T_TTAFStock[TTAF_Qty],T_TTAFStock[RM_Code],$A88,T_TTAFStock[WeekIndex],97),CS88+'Grid_Incoming'!CT88-'Grid_Requirement'!CT88))</f>
        <v/>
      </c>
      <c r="CU88">
        <f>IF(COUNTIFS(T_StockCount[RM_Code],$A88,T_StockCount[WeekIndex],98)&gt;0,SUMIFS(T_StockCount[CountedQty],T_StockCount[RM_Code],$A88,T_StockCount[WeekIndex],98),IF((COUNTIFS(T_SelfStock[RM_Code],$A88,T_SelfStock[WeekIndex],98)&gt;0)*(COUNTIFS(T_TTAFStock[RM_Code],$A88,T_TTAFStock[WeekIndex],98)&gt;0)&gt;0,SUMIFS(T_SelfStock[Self_Qty],T_SelfStock[RM_Code],$A88,T_SelfStock[WeekIndex],98)+SUMIFS(T_TTAFStock[TTAF_Qty],T_TTAFStock[RM_Code],$A88,T_TTAFStock[WeekIndex],98),CT88+'Grid_Incoming'!CU88-'Grid_Requirement'!CU88))</f>
        <v/>
      </c>
      <c r="CV88">
        <f>IF(COUNTIFS(T_StockCount[RM_Code],$A88,T_StockCount[WeekIndex],99)&gt;0,SUMIFS(T_StockCount[CountedQty],T_StockCount[RM_Code],$A88,T_StockCount[WeekIndex],99),IF((COUNTIFS(T_SelfStock[RM_Code],$A88,T_SelfStock[WeekIndex],99)&gt;0)*(COUNTIFS(T_TTAFStock[RM_Code],$A88,T_TTAFStock[WeekIndex],99)&gt;0)&gt;0,SUMIFS(T_SelfStock[Self_Qty],T_SelfStock[RM_Code],$A88,T_SelfStock[WeekIndex],99)+SUMIFS(T_TTAFStock[TTAF_Qty],T_TTAFStock[RM_Code],$A88,T_TTAFStock[WeekIndex],99),CU88+'Grid_Incoming'!CV88-'Grid_Requirement'!CV88))</f>
        <v/>
      </c>
      <c r="CW88">
        <f>IF(COUNTIFS(T_StockCount[RM_Code],$A88,T_StockCount[WeekIndex],100)&gt;0,SUMIFS(T_StockCount[CountedQty],T_StockCount[RM_Code],$A88,T_StockCount[WeekIndex],100),IF((COUNTIFS(T_SelfStock[RM_Code],$A88,T_SelfStock[WeekIndex],100)&gt;0)*(COUNTIFS(T_TTAFStock[RM_Code],$A88,T_TTAFStock[WeekIndex],100)&gt;0)&gt;0,SUMIFS(T_SelfStock[Self_Qty],T_SelfStock[RM_Code],$A88,T_SelfStock[WeekIndex],100)+SUMIFS(T_TTAFStock[TTAF_Qty],T_TTAFStock[RM_Code],$A88,T_TTAFStock[WeekIndex],100),CV88+'Grid_Incoming'!CW88-'Grid_Requirement'!CW88))</f>
        <v/>
      </c>
      <c r="CX88">
        <f>IF(COUNTIFS(T_StockCount[RM_Code],$A88,T_StockCount[WeekIndex],101)&gt;0,SUMIFS(T_StockCount[CountedQty],T_StockCount[RM_Code],$A88,T_StockCount[WeekIndex],101),IF((COUNTIFS(T_SelfStock[RM_Code],$A88,T_SelfStock[WeekIndex],101)&gt;0)*(COUNTIFS(T_TTAFStock[RM_Code],$A88,T_TTAFStock[WeekIndex],101)&gt;0)&gt;0,SUMIFS(T_SelfStock[Self_Qty],T_SelfStock[RM_Code],$A88,T_SelfStock[WeekIndex],101)+SUMIFS(T_TTAFStock[TTAF_Qty],T_TTAFStock[RM_Code],$A88,T_TTAFStock[WeekIndex],101),CW88+'Grid_Incoming'!CX88-'Grid_Requirement'!CX88))</f>
        <v/>
      </c>
      <c r="CY88">
        <f>IF(COUNTIFS(T_StockCount[RM_Code],$A88,T_StockCount[WeekIndex],102)&gt;0,SUMIFS(T_StockCount[CountedQty],T_StockCount[RM_Code],$A88,T_StockCount[WeekIndex],102),IF((COUNTIFS(T_SelfStock[RM_Code],$A88,T_SelfStock[WeekIndex],102)&gt;0)*(COUNTIFS(T_TTAFStock[RM_Code],$A88,T_TTAFStock[WeekIndex],102)&gt;0)&gt;0,SUMIFS(T_SelfStock[Self_Qty],T_SelfStock[RM_Code],$A88,T_SelfStock[WeekIndex],102)+SUMIFS(T_TTAFStock[TTAF_Qty],T_TTAFStock[RM_Code],$A88,T_TTAFStock[WeekIndex],102),CX88+'Grid_Incoming'!CY88-'Grid_Requirement'!CY88))</f>
        <v/>
      </c>
      <c r="CZ88">
        <f>IF(COUNTIFS(T_StockCount[RM_Code],$A88,T_StockCount[WeekIndex],103)&gt;0,SUMIFS(T_StockCount[CountedQty],T_StockCount[RM_Code],$A88,T_StockCount[WeekIndex],103),IF((COUNTIFS(T_SelfStock[RM_Code],$A88,T_SelfStock[WeekIndex],103)&gt;0)*(COUNTIFS(T_TTAFStock[RM_Code],$A88,T_TTAFStock[WeekIndex],103)&gt;0)&gt;0,SUMIFS(T_SelfStock[Self_Qty],T_SelfStock[RM_Code],$A88,T_SelfStock[WeekIndex],103)+SUMIFS(T_TTAFStock[TTAF_Qty],T_TTAFStock[RM_Code],$A88,T_TTAFStock[WeekIndex],103),CY88+'Grid_Incoming'!CZ88-'Grid_Requirement'!CZ88))</f>
        <v/>
      </c>
      <c r="DA88">
        <f>IF(COUNTIFS(T_StockCount[RM_Code],$A88,T_StockCount[WeekIndex],104)&gt;0,SUMIFS(T_StockCount[CountedQty],T_StockCount[RM_Code],$A88,T_StockCount[WeekIndex],104),IF((COUNTIFS(T_SelfStock[RM_Code],$A88,T_SelfStock[WeekIndex],104)&gt;0)*(COUNTIFS(T_TTAFStock[RM_Code],$A88,T_TTAFStock[WeekIndex],104)&gt;0)&gt;0,SUMIFS(T_SelfStock[Self_Qty],T_SelfStock[RM_Code],$A88,T_SelfStock[WeekIndex],104)+SUMIFS(T_TTAFStock[TTAF_Qty],T_TTAFStock[RM_Code],$A88,T_TTAFStock[WeekIndex],104),CZ88+'Grid_Incoming'!DA88-'Grid_Requirement'!DA88))</f>
        <v/>
      </c>
    </row>
    <row r="89">
      <c r="A89" t="inlineStr">
        <is>
          <t>CHEM-1460</t>
        </is>
      </c>
      <c r="B89">
        <f>IF(COUNTIFS(T_StockCount[RM_Code],$A89,T_StockCount[WeekIndex],1)&gt;0,SUMIFS(T_StockCount[CountedQty],T_StockCount[RM_Code],$A89,T_StockCount[WeekIndex],1),IF((COUNTIFS(T_SelfStock[RM_Code],$A89,T_SelfStock[WeekIndex],1)&gt;0)*(COUNTIFS(T_TTAFStock[RM_Code],$A89,T_TTAFStock[WeekIndex],1)&gt;0)&gt;0,SUMIFS(T_SelfStock[Self_Qty],T_SelfStock[RM_Code],$A89,T_SelfStock[WeekIndex],1)+SUMIFS(T_TTAFStock[TTAF_Qty],T_TTAFStock[RM_Code],$A89,T_TTAFStock[WeekIndex],1),IFERROR(INDEX(T_OpeningStock[Opening_Qty],MATCH($A89,T_OpeningStock[RM_Code],0)),0)+'Grid_Incoming'!B89-'Grid_Requirement'!B89))</f>
        <v/>
      </c>
      <c r="C89">
        <f>IF(COUNTIFS(T_StockCount[RM_Code],$A89,T_StockCount[WeekIndex],2)&gt;0,SUMIFS(T_StockCount[CountedQty],T_StockCount[RM_Code],$A89,T_StockCount[WeekIndex],2),IF((COUNTIFS(T_SelfStock[RM_Code],$A89,T_SelfStock[WeekIndex],2)&gt;0)*(COUNTIFS(T_TTAFStock[RM_Code],$A89,T_TTAFStock[WeekIndex],2)&gt;0)&gt;0,SUMIFS(T_SelfStock[Self_Qty],T_SelfStock[RM_Code],$A89,T_SelfStock[WeekIndex],2)+SUMIFS(T_TTAFStock[TTAF_Qty],T_TTAFStock[RM_Code],$A89,T_TTAFStock[WeekIndex],2),B89+'Grid_Incoming'!C89-'Grid_Requirement'!C89))</f>
        <v/>
      </c>
      <c r="D89">
        <f>IF(COUNTIFS(T_StockCount[RM_Code],$A89,T_StockCount[WeekIndex],3)&gt;0,SUMIFS(T_StockCount[CountedQty],T_StockCount[RM_Code],$A89,T_StockCount[WeekIndex],3),IF((COUNTIFS(T_SelfStock[RM_Code],$A89,T_SelfStock[WeekIndex],3)&gt;0)*(COUNTIFS(T_TTAFStock[RM_Code],$A89,T_TTAFStock[WeekIndex],3)&gt;0)&gt;0,SUMIFS(T_SelfStock[Self_Qty],T_SelfStock[RM_Code],$A89,T_SelfStock[WeekIndex],3)+SUMIFS(T_TTAFStock[TTAF_Qty],T_TTAFStock[RM_Code],$A89,T_TTAFStock[WeekIndex],3),C89+'Grid_Incoming'!D89-'Grid_Requirement'!D89))</f>
        <v/>
      </c>
      <c r="E89">
        <f>IF(COUNTIFS(T_StockCount[RM_Code],$A89,T_StockCount[WeekIndex],4)&gt;0,SUMIFS(T_StockCount[CountedQty],T_StockCount[RM_Code],$A89,T_StockCount[WeekIndex],4),IF((COUNTIFS(T_SelfStock[RM_Code],$A89,T_SelfStock[WeekIndex],4)&gt;0)*(COUNTIFS(T_TTAFStock[RM_Code],$A89,T_TTAFStock[WeekIndex],4)&gt;0)&gt;0,SUMIFS(T_SelfStock[Self_Qty],T_SelfStock[RM_Code],$A89,T_SelfStock[WeekIndex],4)+SUMIFS(T_TTAFStock[TTAF_Qty],T_TTAFStock[RM_Code],$A89,T_TTAFStock[WeekIndex],4),D89+'Grid_Incoming'!E89-'Grid_Requirement'!E89))</f>
        <v/>
      </c>
      <c r="F89">
        <f>IF(COUNTIFS(T_StockCount[RM_Code],$A89,T_StockCount[WeekIndex],5)&gt;0,SUMIFS(T_StockCount[CountedQty],T_StockCount[RM_Code],$A89,T_StockCount[WeekIndex],5),IF((COUNTIFS(T_SelfStock[RM_Code],$A89,T_SelfStock[WeekIndex],5)&gt;0)*(COUNTIFS(T_TTAFStock[RM_Code],$A89,T_TTAFStock[WeekIndex],5)&gt;0)&gt;0,SUMIFS(T_SelfStock[Self_Qty],T_SelfStock[RM_Code],$A89,T_SelfStock[WeekIndex],5)+SUMIFS(T_TTAFStock[TTAF_Qty],T_TTAFStock[RM_Code],$A89,T_TTAFStock[WeekIndex],5),E89+'Grid_Incoming'!F89-'Grid_Requirement'!F89))</f>
        <v/>
      </c>
      <c r="G89">
        <f>IF(COUNTIFS(T_StockCount[RM_Code],$A89,T_StockCount[WeekIndex],6)&gt;0,SUMIFS(T_StockCount[CountedQty],T_StockCount[RM_Code],$A89,T_StockCount[WeekIndex],6),IF((COUNTIFS(T_SelfStock[RM_Code],$A89,T_SelfStock[WeekIndex],6)&gt;0)*(COUNTIFS(T_TTAFStock[RM_Code],$A89,T_TTAFStock[WeekIndex],6)&gt;0)&gt;0,SUMIFS(T_SelfStock[Self_Qty],T_SelfStock[RM_Code],$A89,T_SelfStock[WeekIndex],6)+SUMIFS(T_TTAFStock[TTAF_Qty],T_TTAFStock[RM_Code],$A89,T_TTAFStock[WeekIndex],6),F89+'Grid_Incoming'!G89-'Grid_Requirement'!G89))</f>
        <v/>
      </c>
      <c r="H89">
        <f>IF(COUNTIFS(T_StockCount[RM_Code],$A89,T_StockCount[WeekIndex],7)&gt;0,SUMIFS(T_StockCount[CountedQty],T_StockCount[RM_Code],$A89,T_StockCount[WeekIndex],7),IF((COUNTIFS(T_SelfStock[RM_Code],$A89,T_SelfStock[WeekIndex],7)&gt;0)*(COUNTIFS(T_TTAFStock[RM_Code],$A89,T_TTAFStock[WeekIndex],7)&gt;0)&gt;0,SUMIFS(T_SelfStock[Self_Qty],T_SelfStock[RM_Code],$A89,T_SelfStock[WeekIndex],7)+SUMIFS(T_TTAFStock[TTAF_Qty],T_TTAFStock[RM_Code],$A89,T_TTAFStock[WeekIndex],7),G89+'Grid_Incoming'!H89-'Grid_Requirement'!H89))</f>
        <v/>
      </c>
      <c r="I89">
        <f>IF(COUNTIFS(T_StockCount[RM_Code],$A89,T_StockCount[WeekIndex],8)&gt;0,SUMIFS(T_StockCount[CountedQty],T_StockCount[RM_Code],$A89,T_StockCount[WeekIndex],8),IF((COUNTIFS(T_SelfStock[RM_Code],$A89,T_SelfStock[WeekIndex],8)&gt;0)*(COUNTIFS(T_TTAFStock[RM_Code],$A89,T_TTAFStock[WeekIndex],8)&gt;0)&gt;0,SUMIFS(T_SelfStock[Self_Qty],T_SelfStock[RM_Code],$A89,T_SelfStock[WeekIndex],8)+SUMIFS(T_TTAFStock[TTAF_Qty],T_TTAFStock[RM_Code],$A89,T_TTAFStock[WeekIndex],8),H89+'Grid_Incoming'!I89-'Grid_Requirement'!I89))</f>
        <v/>
      </c>
      <c r="J89">
        <f>IF(COUNTIFS(T_StockCount[RM_Code],$A89,T_StockCount[WeekIndex],9)&gt;0,SUMIFS(T_StockCount[CountedQty],T_StockCount[RM_Code],$A89,T_StockCount[WeekIndex],9),IF((COUNTIFS(T_SelfStock[RM_Code],$A89,T_SelfStock[WeekIndex],9)&gt;0)*(COUNTIFS(T_TTAFStock[RM_Code],$A89,T_TTAFStock[WeekIndex],9)&gt;0)&gt;0,SUMIFS(T_SelfStock[Self_Qty],T_SelfStock[RM_Code],$A89,T_SelfStock[WeekIndex],9)+SUMIFS(T_TTAFStock[TTAF_Qty],T_TTAFStock[RM_Code],$A89,T_TTAFStock[WeekIndex],9),I89+'Grid_Incoming'!J89-'Grid_Requirement'!J89))</f>
        <v/>
      </c>
      <c r="K89">
        <f>IF(COUNTIFS(T_StockCount[RM_Code],$A89,T_StockCount[WeekIndex],10)&gt;0,SUMIFS(T_StockCount[CountedQty],T_StockCount[RM_Code],$A89,T_StockCount[WeekIndex],10),IF((COUNTIFS(T_SelfStock[RM_Code],$A89,T_SelfStock[WeekIndex],10)&gt;0)*(COUNTIFS(T_TTAFStock[RM_Code],$A89,T_TTAFStock[WeekIndex],10)&gt;0)&gt;0,SUMIFS(T_SelfStock[Self_Qty],T_SelfStock[RM_Code],$A89,T_SelfStock[WeekIndex],10)+SUMIFS(T_TTAFStock[TTAF_Qty],T_TTAFStock[RM_Code],$A89,T_TTAFStock[WeekIndex],10),J89+'Grid_Incoming'!K89-'Grid_Requirement'!K89))</f>
        <v/>
      </c>
      <c r="L89">
        <f>IF(COUNTIFS(T_StockCount[RM_Code],$A89,T_StockCount[WeekIndex],11)&gt;0,SUMIFS(T_StockCount[CountedQty],T_StockCount[RM_Code],$A89,T_StockCount[WeekIndex],11),IF((COUNTIFS(T_SelfStock[RM_Code],$A89,T_SelfStock[WeekIndex],11)&gt;0)*(COUNTIFS(T_TTAFStock[RM_Code],$A89,T_TTAFStock[WeekIndex],11)&gt;0)&gt;0,SUMIFS(T_SelfStock[Self_Qty],T_SelfStock[RM_Code],$A89,T_SelfStock[WeekIndex],11)+SUMIFS(T_TTAFStock[TTAF_Qty],T_TTAFStock[RM_Code],$A89,T_TTAFStock[WeekIndex],11),K89+'Grid_Incoming'!L89-'Grid_Requirement'!L89))</f>
        <v/>
      </c>
      <c r="M89">
        <f>IF(COUNTIFS(T_StockCount[RM_Code],$A89,T_StockCount[WeekIndex],12)&gt;0,SUMIFS(T_StockCount[CountedQty],T_StockCount[RM_Code],$A89,T_StockCount[WeekIndex],12),IF((COUNTIFS(T_SelfStock[RM_Code],$A89,T_SelfStock[WeekIndex],12)&gt;0)*(COUNTIFS(T_TTAFStock[RM_Code],$A89,T_TTAFStock[WeekIndex],12)&gt;0)&gt;0,SUMIFS(T_SelfStock[Self_Qty],T_SelfStock[RM_Code],$A89,T_SelfStock[WeekIndex],12)+SUMIFS(T_TTAFStock[TTAF_Qty],T_TTAFStock[RM_Code],$A89,T_TTAFStock[WeekIndex],12),L89+'Grid_Incoming'!M89-'Grid_Requirement'!M89))</f>
        <v/>
      </c>
      <c r="N89">
        <f>IF(COUNTIFS(T_StockCount[RM_Code],$A89,T_StockCount[WeekIndex],13)&gt;0,SUMIFS(T_StockCount[CountedQty],T_StockCount[RM_Code],$A89,T_StockCount[WeekIndex],13),IF((COUNTIFS(T_SelfStock[RM_Code],$A89,T_SelfStock[WeekIndex],13)&gt;0)*(COUNTIFS(T_TTAFStock[RM_Code],$A89,T_TTAFStock[WeekIndex],13)&gt;0)&gt;0,SUMIFS(T_SelfStock[Self_Qty],T_SelfStock[RM_Code],$A89,T_SelfStock[WeekIndex],13)+SUMIFS(T_TTAFStock[TTAF_Qty],T_TTAFStock[RM_Code],$A89,T_TTAFStock[WeekIndex],13),M89+'Grid_Incoming'!N89-'Grid_Requirement'!N89))</f>
        <v/>
      </c>
      <c r="O89">
        <f>IF(COUNTIFS(T_StockCount[RM_Code],$A89,T_StockCount[WeekIndex],14)&gt;0,SUMIFS(T_StockCount[CountedQty],T_StockCount[RM_Code],$A89,T_StockCount[WeekIndex],14),IF((COUNTIFS(T_SelfStock[RM_Code],$A89,T_SelfStock[WeekIndex],14)&gt;0)*(COUNTIFS(T_TTAFStock[RM_Code],$A89,T_TTAFStock[WeekIndex],14)&gt;0)&gt;0,SUMIFS(T_SelfStock[Self_Qty],T_SelfStock[RM_Code],$A89,T_SelfStock[WeekIndex],14)+SUMIFS(T_TTAFStock[TTAF_Qty],T_TTAFStock[RM_Code],$A89,T_TTAFStock[WeekIndex],14),N89+'Grid_Incoming'!O89-'Grid_Requirement'!O89))</f>
        <v/>
      </c>
      <c r="P89">
        <f>IF(COUNTIFS(T_StockCount[RM_Code],$A89,T_StockCount[WeekIndex],15)&gt;0,SUMIFS(T_StockCount[CountedQty],T_StockCount[RM_Code],$A89,T_StockCount[WeekIndex],15),IF((COUNTIFS(T_SelfStock[RM_Code],$A89,T_SelfStock[WeekIndex],15)&gt;0)*(COUNTIFS(T_TTAFStock[RM_Code],$A89,T_TTAFStock[WeekIndex],15)&gt;0)&gt;0,SUMIFS(T_SelfStock[Self_Qty],T_SelfStock[RM_Code],$A89,T_SelfStock[WeekIndex],15)+SUMIFS(T_TTAFStock[TTAF_Qty],T_TTAFStock[RM_Code],$A89,T_TTAFStock[WeekIndex],15),O89+'Grid_Incoming'!P89-'Grid_Requirement'!P89))</f>
        <v/>
      </c>
      <c r="Q89">
        <f>IF(COUNTIFS(T_StockCount[RM_Code],$A89,T_StockCount[WeekIndex],16)&gt;0,SUMIFS(T_StockCount[CountedQty],T_StockCount[RM_Code],$A89,T_StockCount[WeekIndex],16),IF((COUNTIFS(T_SelfStock[RM_Code],$A89,T_SelfStock[WeekIndex],16)&gt;0)*(COUNTIFS(T_TTAFStock[RM_Code],$A89,T_TTAFStock[WeekIndex],16)&gt;0)&gt;0,SUMIFS(T_SelfStock[Self_Qty],T_SelfStock[RM_Code],$A89,T_SelfStock[WeekIndex],16)+SUMIFS(T_TTAFStock[TTAF_Qty],T_TTAFStock[RM_Code],$A89,T_TTAFStock[WeekIndex],16),P89+'Grid_Incoming'!Q89-'Grid_Requirement'!Q89))</f>
        <v/>
      </c>
      <c r="R89">
        <f>IF(COUNTIFS(T_StockCount[RM_Code],$A89,T_StockCount[WeekIndex],17)&gt;0,SUMIFS(T_StockCount[CountedQty],T_StockCount[RM_Code],$A89,T_StockCount[WeekIndex],17),IF((COUNTIFS(T_SelfStock[RM_Code],$A89,T_SelfStock[WeekIndex],17)&gt;0)*(COUNTIFS(T_TTAFStock[RM_Code],$A89,T_TTAFStock[WeekIndex],17)&gt;0)&gt;0,SUMIFS(T_SelfStock[Self_Qty],T_SelfStock[RM_Code],$A89,T_SelfStock[WeekIndex],17)+SUMIFS(T_TTAFStock[TTAF_Qty],T_TTAFStock[RM_Code],$A89,T_TTAFStock[WeekIndex],17),Q89+'Grid_Incoming'!R89-'Grid_Requirement'!R89))</f>
        <v/>
      </c>
      <c r="S89">
        <f>IF(COUNTIFS(T_StockCount[RM_Code],$A89,T_StockCount[WeekIndex],18)&gt;0,SUMIFS(T_StockCount[CountedQty],T_StockCount[RM_Code],$A89,T_StockCount[WeekIndex],18),IF((COUNTIFS(T_SelfStock[RM_Code],$A89,T_SelfStock[WeekIndex],18)&gt;0)*(COUNTIFS(T_TTAFStock[RM_Code],$A89,T_TTAFStock[WeekIndex],18)&gt;0)&gt;0,SUMIFS(T_SelfStock[Self_Qty],T_SelfStock[RM_Code],$A89,T_SelfStock[WeekIndex],18)+SUMIFS(T_TTAFStock[TTAF_Qty],T_TTAFStock[RM_Code],$A89,T_TTAFStock[WeekIndex],18),R89+'Grid_Incoming'!S89-'Grid_Requirement'!S89))</f>
        <v/>
      </c>
      <c r="T89">
        <f>IF(COUNTIFS(T_StockCount[RM_Code],$A89,T_StockCount[WeekIndex],19)&gt;0,SUMIFS(T_StockCount[CountedQty],T_StockCount[RM_Code],$A89,T_StockCount[WeekIndex],19),IF((COUNTIFS(T_SelfStock[RM_Code],$A89,T_SelfStock[WeekIndex],19)&gt;0)*(COUNTIFS(T_TTAFStock[RM_Code],$A89,T_TTAFStock[WeekIndex],19)&gt;0)&gt;0,SUMIFS(T_SelfStock[Self_Qty],T_SelfStock[RM_Code],$A89,T_SelfStock[WeekIndex],19)+SUMIFS(T_TTAFStock[TTAF_Qty],T_TTAFStock[RM_Code],$A89,T_TTAFStock[WeekIndex],19),S89+'Grid_Incoming'!T89-'Grid_Requirement'!T89))</f>
        <v/>
      </c>
      <c r="U89">
        <f>IF(COUNTIFS(T_StockCount[RM_Code],$A89,T_StockCount[WeekIndex],20)&gt;0,SUMIFS(T_StockCount[CountedQty],T_StockCount[RM_Code],$A89,T_StockCount[WeekIndex],20),IF((COUNTIFS(T_SelfStock[RM_Code],$A89,T_SelfStock[WeekIndex],20)&gt;0)*(COUNTIFS(T_TTAFStock[RM_Code],$A89,T_TTAFStock[WeekIndex],20)&gt;0)&gt;0,SUMIFS(T_SelfStock[Self_Qty],T_SelfStock[RM_Code],$A89,T_SelfStock[WeekIndex],20)+SUMIFS(T_TTAFStock[TTAF_Qty],T_TTAFStock[RM_Code],$A89,T_TTAFStock[WeekIndex],20),T89+'Grid_Incoming'!U89-'Grid_Requirement'!U89))</f>
        <v/>
      </c>
      <c r="V89">
        <f>IF(COUNTIFS(T_StockCount[RM_Code],$A89,T_StockCount[WeekIndex],21)&gt;0,SUMIFS(T_StockCount[CountedQty],T_StockCount[RM_Code],$A89,T_StockCount[WeekIndex],21),IF((COUNTIFS(T_SelfStock[RM_Code],$A89,T_SelfStock[WeekIndex],21)&gt;0)*(COUNTIFS(T_TTAFStock[RM_Code],$A89,T_TTAFStock[WeekIndex],21)&gt;0)&gt;0,SUMIFS(T_SelfStock[Self_Qty],T_SelfStock[RM_Code],$A89,T_SelfStock[WeekIndex],21)+SUMIFS(T_TTAFStock[TTAF_Qty],T_TTAFStock[RM_Code],$A89,T_TTAFStock[WeekIndex],21),U89+'Grid_Incoming'!V89-'Grid_Requirement'!V89))</f>
        <v/>
      </c>
      <c r="W89">
        <f>IF(COUNTIFS(T_StockCount[RM_Code],$A89,T_StockCount[WeekIndex],22)&gt;0,SUMIFS(T_StockCount[CountedQty],T_StockCount[RM_Code],$A89,T_StockCount[WeekIndex],22),IF((COUNTIFS(T_SelfStock[RM_Code],$A89,T_SelfStock[WeekIndex],22)&gt;0)*(COUNTIFS(T_TTAFStock[RM_Code],$A89,T_TTAFStock[WeekIndex],22)&gt;0)&gt;0,SUMIFS(T_SelfStock[Self_Qty],T_SelfStock[RM_Code],$A89,T_SelfStock[WeekIndex],22)+SUMIFS(T_TTAFStock[TTAF_Qty],T_TTAFStock[RM_Code],$A89,T_TTAFStock[WeekIndex],22),V89+'Grid_Incoming'!W89-'Grid_Requirement'!W89))</f>
        <v/>
      </c>
      <c r="X89">
        <f>IF(COUNTIFS(T_StockCount[RM_Code],$A89,T_StockCount[WeekIndex],23)&gt;0,SUMIFS(T_StockCount[CountedQty],T_StockCount[RM_Code],$A89,T_StockCount[WeekIndex],23),IF((COUNTIFS(T_SelfStock[RM_Code],$A89,T_SelfStock[WeekIndex],23)&gt;0)*(COUNTIFS(T_TTAFStock[RM_Code],$A89,T_TTAFStock[WeekIndex],23)&gt;0)&gt;0,SUMIFS(T_SelfStock[Self_Qty],T_SelfStock[RM_Code],$A89,T_SelfStock[WeekIndex],23)+SUMIFS(T_TTAFStock[TTAF_Qty],T_TTAFStock[RM_Code],$A89,T_TTAFStock[WeekIndex],23),W89+'Grid_Incoming'!X89-'Grid_Requirement'!X89))</f>
        <v/>
      </c>
      <c r="Y89">
        <f>IF(COUNTIFS(T_StockCount[RM_Code],$A89,T_StockCount[WeekIndex],24)&gt;0,SUMIFS(T_StockCount[CountedQty],T_StockCount[RM_Code],$A89,T_StockCount[WeekIndex],24),IF((COUNTIFS(T_SelfStock[RM_Code],$A89,T_SelfStock[WeekIndex],24)&gt;0)*(COUNTIFS(T_TTAFStock[RM_Code],$A89,T_TTAFStock[WeekIndex],24)&gt;0)&gt;0,SUMIFS(T_SelfStock[Self_Qty],T_SelfStock[RM_Code],$A89,T_SelfStock[WeekIndex],24)+SUMIFS(T_TTAFStock[TTAF_Qty],T_TTAFStock[RM_Code],$A89,T_TTAFStock[WeekIndex],24),X89+'Grid_Incoming'!Y89-'Grid_Requirement'!Y89))</f>
        <v/>
      </c>
      <c r="Z89">
        <f>IF(COUNTIFS(T_StockCount[RM_Code],$A89,T_StockCount[WeekIndex],25)&gt;0,SUMIFS(T_StockCount[CountedQty],T_StockCount[RM_Code],$A89,T_StockCount[WeekIndex],25),IF((COUNTIFS(T_SelfStock[RM_Code],$A89,T_SelfStock[WeekIndex],25)&gt;0)*(COUNTIFS(T_TTAFStock[RM_Code],$A89,T_TTAFStock[WeekIndex],25)&gt;0)&gt;0,SUMIFS(T_SelfStock[Self_Qty],T_SelfStock[RM_Code],$A89,T_SelfStock[WeekIndex],25)+SUMIFS(T_TTAFStock[TTAF_Qty],T_TTAFStock[RM_Code],$A89,T_TTAFStock[WeekIndex],25),Y89+'Grid_Incoming'!Z89-'Grid_Requirement'!Z89))</f>
        <v/>
      </c>
      <c r="AA89">
        <f>IF(COUNTIFS(T_StockCount[RM_Code],$A89,T_StockCount[WeekIndex],26)&gt;0,SUMIFS(T_StockCount[CountedQty],T_StockCount[RM_Code],$A89,T_StockCount[WeekIndex],26),IF((COUNTIFS(T_SelfStock[RM_Code],$A89,T_SelfStock[WeekIndex],26)&gt;0)*(COUNTIFS(T_TTAFStock[RM_Code],$A89,T_TTAFStock[WeekIndex],26)&gt;0)&gt;0,SUMIFS(T_SelfStock[Self_Qty],T_SelfStock[RM_Code],$A89,T_SelfStock[WeekIndex],26)+SUMIFS(T_TTAFStock[TTAF_Qty],T_TTAFStock[RM_Code],$A89,T_TTAFStock[WeekIndex],26),Z89+'Grid_Incoming'!AA89-'Grid_Requirement'!AA89))</f>
        <v/>
      </c>
      <c r="AB89">
        <f>IF(COUNTIFS(T_StockCount[RM_Code],$A89,T_StockCount[WeekIndex],27)&gt;0,SUMIFS(T_StockCount[CountedQty],T_StockCount[RM_Code],$A89,T_StockCount[WeekIndex],27),IF((COUNTIFS(T_SelfStock[RM_Code],$A89,T_SelfStock[WeekIndex],27)&gt;0)*(COUNTIFS(T_TTAFStock[RM_Code],$A89,T_TTAFStock[WeekIndex],27)&gt;0)&gt;0,SUMIFS(T_SelfStock[Self_Qty],T_SelfStock[RM_Code],$A89,T_SelfStock[WeekIndex],27)+SUMIFS(T_TTAFStock[TTAF_Qty],T_TTAFStock[RM_Code],$A89,T_TTAFStock[WeekIndex],27),AA89+'Grid_Incoming'!AB89-'Grid_Requirement'!AB89))</f>
        <v/>
      </c>
      <c r="AC89">
        <f>IF(COUNTIFS(T_StockCount[RM_Code],$A89,T_StockCount[WeekIndex],28)&gt;0,SUMIFS(T_StockCount[CountedQty],T_StockCount[RM_Code],$A89,T_StockCount[WeekIndex],28),IF((COUNTIFS(T_SelfStock[RM_Code],$A89,T_SelfStock[WeekIndex],28)&gt;0)*(COUNTIFS(T_TTAFStock[RM_Code],$A89,T_TTAFStock[WeekIndex],28)&gt;0)&gt;0,SUMIFS(T_SelfStock[Self_Qty],T_SelfStock[RM_Code],$A89,T_SelfStock[WeekIndex],28)+SUMIFS(T_TTAFStock[TTAF_Qty],T_TTAFStock[RM_Code],$A89,T_TTAFStock[WeekIndex],28),AB89+'Grid_Incoming'!AC89-'Grid_Requirement'!AC89))</f>
        <v/>
      </c>
      <c r="AD89">
        <f>IF(COUNTIFS(T_StockCount[RM_Code],$A89,T_StockCount[WeekIndex],29)&gt;0,SUMIFS(T_StockCount[CountedQty],T_StockCount[RM_Code],$A89,T_StockCount[WeekIndex],29),IF((COUNTIFS(T_SelfStock[RM_Code],$A89,T_SelfStock[WeekIndex],29)&gt;0)*(COUNTIFS(T_TTAFStock[RM_Code],$A89,T_TTAFStock[WeekIndex],29)&gt;0)&gt;0,SUMIFS(T_SelfStock[Self_Qty],T_SelfStock[RM_Code],$A89,T_SelfStock[WeekIndex],29)+SUMIFS(T_TTAFStock[TTAF_Qty],T_TTAFStock[RM_Code],$A89,T_TTAFStock[WeekIndex],29),AC89+'Grid_Incoming'!AD89-'Grid_Requirement'!AD89))</f>
        <v/>
      </c>
      <c r="AE89">
        <f>IF(COUNTIFS(T_StockCount[RM_Code],$A89,T_StockCount[WeekIndex],30)&gt;0,SUMIFS(T_StockCount[CountedQty],T_StockCount[RM_Code],$A89,T_StockCount[WeekIndex],30),IF((COUNTIFS(T_SelfStock[RM_Code],$A89,T_SelfStock[WeekIndex],30)&gt;0)*(COUNTIFS(T_TTAFStock[RM_Code],$A89,T_TTAFStock[WeekIndex],30)&gt;0)&gt;0,SUMIFS(T_SelfStock[Self_Qty],T_SelfStock[RM_Code],$A89,T_SelfStock[WeekIndex],30)+SUMIFS(T_TTAFStock[TTAF_Qty],T_TTAFStock[RM_Code],$A89,T_TTAFStock[WeekIndex],30),AD89+'Grid_Incoming'!AE89-'Grid_Requirement'!AE89))</f>
        <v/>
      </c>
      <c r="AF89">
        <f>IF(COUNTIFS(T_StockCount[RM_Code],$A89,T_StockCount[WeekIndex],31)&gt;0,SUMIFS(T_StockCount[CountedQty],T_StockCount[RM_Code],$A89,T_StockCount[WeekIndex],31),IF((COUNTIFS(T_SelfStock[RM_Code],$A89,T_SelfStock[WeekIndex],31)&gt;0)*(COUNTIFS(T_TTAFStock[RM_Code],$A89,T_TTAFStock[WeekIndex],31)&gt;0)&gt;0,SUMIFS(T_SelfStock[Self_Qty],T_SelfStock[RM_Code],$A89,T_SelfStock[WeekIndex],31)+SUMIFS(T_TTAFStock[TTAF_Qty],T_TTAFStock[RM_Code],$A89,T_TTAFStock[WeekIndex],31),AE89+'Grid_Incoming'!AF89-'Grid_Requirement'!AF89))</f>
        <v/>
      </c>
      <c r="AG89">
        <f>IF(COUNTIFS(T_StockCount[RM_Code],$A89,T_StockCount[WeekIndex],32)&gt;0,SUMIFS(T_StockCount[CountedQty],T_StockCount[RM_Code],$A89,T_StockCount[WeekIndex],32),IF((COUNTIFS(T_SelfStock[RM_Code],$A89,T_SelfStock[WeekIndex],32)&gt;0)*(COUNTIFS(T_TTAFStock[RM_Code],$A89,T_TTAFStock[WeekIndex],32)&gt;0)&gt;0,SUMIFS(T_SelfStock[Self_Qty],T_SelfStock[RM_Code],$A89,T_SelfStock[WeekIndex],32)+SUMIFS(T_TTAFStock[TTAF_Qty],T_TTAFStock[RM_Code],$A89,T_TTAFStock[WeekIndex],32),AF89+'Grid_Incoming'!AG89-'Grid_Requirement'!AG89))</f>
        <v/>
      </c>
      <c r="AH89">
        <f>IF(COUNTIFS(T_StockCount[RM_Code],$A89,T_StockCount[WeekIndex],33)&gt;0,SUMIFS(T_StockCount[CountedQty],T_StockCount[RM_Code],$A89,T_StockCount[WeekIndex],33),IF((COUNTIFS(T_SelfStock[RM_Code],$A89,T_SelfStock[WeekIndex],33)&gt;0)*(COUNTIFS(T_TTAFStock[RM_Code],$A89,T_TTAFStock[WeekIndex],33)&gt;0)&gt;0,SUMIFS(T_SelfStock[Self_Qty],T_SelfStock[RM_Code],$A89,T_SelfStock[WeekIndex],33)+SUMIFS(T_TTAFStock[TTAF_Qty],T_TTAFStock[RM_Code],$A89,T_TTAFStock[WeekIndex],33),AG89+'Grid_Incoming'!AH89-'Grid_Requirement'!AH89))</f>
        <v/>
      </c>
      <c r="AI89">
        <f>IF(COUNTIFS(T_StockCount[RM_Code],$A89,T_StockCount[WeekIndex],34)&gt;0,SUMIFS(T_StockCount[CountedQty],T_StockCount[RM_Code],$A89,T_StockCount[WeekIndex],34),IF((COUNTIFS(T_SelfStock[RM_Code],$A89,T_SelfStock[WeekIndex],34)&gt;0)*(COUNTIFS(T_TTAFStock[RM_Code],$A89,T_TTAFStock[WeekIndex],34)&gt;0)&gt;0,SUMIFS(T_SelfStock[Self_Qty],T_SelfStock[RM_Code],$A89,T_SelfStock[WeekIndex],34)+SUMIFS(T_TTAFStock[TTAF_Qty],T_TTAFStock[RM_Code],$A89,T_TTAFStock[WeekIndex],34),AH89+'Grid_Incoming'!AI89-'Grid_Requirement'!AI89))</f>
        <v/>
      </c>
      <c r="AJ89">
        <f>IF(COUNTIFS(T_StockCount[RM_Code],$A89,T_StockCount[WeekIndex],35)&gt;0,SUMIFS(T_StockCount[CountedQty],T_StockCount[RM_Code],$A89,T_StockCount[WeekIndex],35),IF((COUNTIFS(T_SelfStock[RM_Code],$A89,T_SelfStock[WeekIndex],35)&gt;0)*(COUNTIFS(T_TTAFStock[RM_Code],$A89,T_TTAFStock[WeekIndex],35)&gt;0)&gt;0,SUMIFS(T_SelfStock[Self_Qty],T_SelfStock[RM_Code],$A89,T_SelfStock[WeekIndex],35)+SUMIFS(T_TTAFStock[TTAF_Qty],T_TTAFStock[RM_Code],$A89,T_TTAFStock[WeekIndex],35),AI89+'Grid_Incoming'!AJ89-'Grid_Requirement'!AJ89))</f>
        <v/>
      </c>
      <c r="AK89">
        <f>IF(COUNTIFS(T_StockCount[RM_Code],$A89,T_StockCount[WeekIndex],36)&gt;0,SUMIFS(T_StockCount[CountedQty],T_StockCount[RM_Code],$A89,T_StockCount[WeekIndex],36),IF((COUNTIFS(T_SelfStock[RM_Code],$A89,T_SelfStock[WeekIndex],36)&gt;0)*(COUNTIFS(T_TTAFStock[RM_Code],$A89,T_TTAFStock[WeekIndex],36)&gt;0)&gt;0,SUMIFS(T_SelfStock[Self_Qty],T_SelfStock[RM_Code],$A89,T_SelfStock[WeekIndex],36)+SUMIFS(T_TTAFStock[TTAF_Qty],T_TTAFStock[RM_Code],$A89,T_TTAFStock[WeekIndex],36),AJ89+'Grid_Incoming'!AK89-'Grid_Requirement'!AK89))</f>
        <v/>
      </c>
      <c r="AL89">
        <f>IF(COUNTIFS(T_StockCount[RM_Code],$A89,T_StockCount[WeekIndex],37)&gt;0,SUMIFS(T_StockCount[CountedQty],T_StockCount[RM_Code],$A89,T_StockCount[WeekIndex],37),IF((COUNTIFS(T_SelfStock[RM_Code],$A89,T_SelfStock[WeekIndex],37)&gt;0)*(COUNTIFS(T_TTAFStock[RM_Code],$A89,T_TTAFStock[WeekIndex],37)&gt;0)&gt;0,SUMIFS(T_SelfStock[Self_Qty],T_SelfStock[RM_Code],$A89,T_SelfStock[WeekIndex],37)+SUMIFS(T_TTAFStock[TTAF_Qty],T_TTAFStock[RM_Code],$A89,T_TTAFStock[WeekIndex],37),AK89+'Grid_Incoming'!AL89-'Grid_Requirement'!AL89))</f>
        <v/>
      </c>
      <c r="AM89">
        <f>IF(COUNTIFS(T_StockCount[RM_Code],$A89,T_StockCount[WeekIndex],38)&gt;0,SUMIFS(T_StockCount[CountedQty],T_StockCount[RM_Code],$A89,T_StockCount[WeekIndex],38),IF((COUNTIFS(T_SelfStock[RM_Code],$A89,T_SelfStock[WeekIndex],38)&gt;0)*(COUNTIFS(T_TTAFStock[RM_Code],$A89,T_TTAFStock[WeekIndex],38)&gt;0)&gt;0,SUMIFS(T_SelfStock[Self_Qty],T_SelfStock[RM_Code],$A89,T_SelfStock[WeekIndex],38)+SUMIFS(T_TTAFStock[TTAF_Qty],T_TTAFStock[RM_Code],$A89,T_TTAFStock[WeekIndex],38),AL89+'Grid_Incoming'!AM89-'Grid_Requirement'!AM89))</f>
        <v/>
      </c>
      <c r="AN89">
        <f>IF(COUNTIFS(T_StockCount[RM_Code],$A89,T_StockCount[WeekIndex],39)&gt;0,SUMIFS(T_StockCount[CountedQty],T_StockCount[RM_Code],$A89,T_StockCount[WeekIndex],39),IF((COUNTIFS(T_SelfStock[RM_Code],$A89,T_SelfStock[WeekIndex],39)&gt;0)*(COUNTIFS(T_TTAFStock[RM_Code],$A89,T_TTAFStock[WeekIndex],39)&gt;0)&gt;0,SUMIFS(T_SelfStock[Self_Qty],T_SelfStock[RM_Code],$A89,T_SelfStock[WeekIndex],39)+SUMIFS(T_TTAFStock[TTAF_Qty],T_TTAFStock[RM_Code],$A89,T_TTAFStock[WeekIndex],39),AM89+'Grid_Incoming'!AN89-'Grid_Requirement'!AN89))</f>
        <v/>
      </c>
      <c r="AO89">
        <f>IF(COUNTIFS(T_StockCount[RM_Code],$A89,T_StockCount[WeekIndex],40)&gt;0,SUMIFS(T_StockCount[CountedQty],T_StockCount[RM_Code],$A89,T_StockCount[WeekIndex],40),IF((COUNTIFS(T_SelfStock[RM_Code],$A89,T_SelfStock[WeekIndex],40)&gt;0)*(COUNTIFS(T_TTAFStock[RM_Code],$A89,T_TTAFStock[WeekIndex],40)&gt;0)&gt;0,SUMIFS(T_SelfStock[Self_Qty],T_SelfStock[RM_Code],$A89,T_SelfStock[WeekIndex],40)+SUMIFS(T_TTAFStock[TTAF_Qty],T_TTAFStock[RM_Code],$A89,T_TTAFStock[WeekIndex],40),AN89+'Grid_Incoming'!AO89-'Grid_Requirement'!AO89))</f>
        <v/>
      </c>
      <c r="AP89">
        <f>IF(COUNTIFS(T_StockCount[RM_Code],$A89,T_StockCount[WeekIndex],41)&gt;0,SUMIFS(T_StockCount[CountedQty],T_StockCount[RM_Code],$A89,T_StockCount[WeekIndex],41),IF((COUNTIFS(T_SelfStock[RM_Code],$A89,T_SelfStock[WeekIndex],41)&gt;0)*(COUNTIFS(T_TTAFStock[RM_Code],$A89,T_TTAFStock[WeekIndex],41)&gt;0)&gt;0,SUMIFS(T_SelfStock[Self_Qty],T_SelfStock[RM_Code],$A89,T_SelfStock[WeekIndex],41)+SUMIFS(T_TTAFStock[TTAF_Qty],T_TTAFStock[RM_Code],$A89,T_TTAFStock[WeekIndex],41),AO89+'Grid_Incoming'!AP89-'Grid_Requirement'!AP89))</f>
        <v/>
      </c>
      <c r="AQ89">
        <f>IF(COUNTIFS(T_StockCount[RM_Code],$A89,T_StockCount[WeekIndex],42)&gt;0,SUMIFS(T_StockCount[CountedQty],T_StockCount[RM_Code],$A89,T_StockCount[WeekIndex],42),IF((COUNTIFS(T_SelfStock[RM_Code],$A89,T_SelfStock[WeekIndex],42)&gt;0)*(COUNTIFS(T_TTAFStock[RM_Code],$A89,T_TTAFStock[WeekIndex],42)&gt;0)&gt;0,SUMIFS(T_SelfStock[Self_Qty],T_SelfStock[RM_Code],$A89,T_SelfStock[WeekIndex],42)+SUMIFS(T_TTAFStock[TTAF_Qty],T_TTAFStock[RM_Code],$A89,T_TTAFStock[WeekIndex],42),AP89+'Grid_Incoming'!AQ89-'Grid_Requirement'!AQ89))</f>
        <v/>
      </c>
      <c r="AR89">
        <f>IF(COUNTIFS(T_StockCount[RM_Code],$A89,T_StockCount[WeekIndex],43)&gt;0,SUMIFS(T_StockCount[CountedQty],T_StockCount[RM_Code],$A89,T_StockCount[WeekIndex],43),IF((COUNTIFS(T_SelfStock[RM_Code],$A89,T_SelfStock[WeekIndex],43)&gt;0)*(COUNTIFS(T_TTAFStock[RM_Code],$A89,T_TTAFStock[WeekIndex],43)&gt;0)&gt;0,SUMIFS(T_SelfStock[Self_Qty],T_SelfStock[RM_Code],$A89,T_SelfStock[WeekIndex],43)+SUMIFS(T_TTAFStock[TTAF_Qty],T_TTAFStock[RM_Code],$A89,T_TTAFStock[WeekIndex],43),AQ89+'Grid_Incoming'!AR89-'Grid_Requirement'!AR89))</f>
        <v/>
      </c>
      <c r="AS89">
        <f>IF(COUNTIFS(T_StockCount[RM_Code],$A89,T_StockCount[WeekIndex],44)&gt;0,SUMIFS(T_StockCount[CountedQty],T_StockCount[RM_Code],$A89,T_StockCount[WeekIndex],44),IF((COUNTIFS(T_SelfStock[RM_Code],$A89,T_SelfStock[WeekIndex],44)&gt;0)*(COUNTIFS(T_TTAFStock[RM_Code],$A89,T_TTAFStock[WeekIndex],44)&gt;0)&gt;0,SUMIFS(T_SelfStock[Self_Qty],T_SelfStock[RM_Code],$A89,T_SelfStock[WeekIndex],44)+SUMIFS(T_TTAFStock[TTAF_Qty],T_TTAFStock[RM_Code],$A89,T_TTAFStock[WeekIndex],44),AR89+'Grid_Incoming'!AS89-'Grid_Requirement'!AS89))</f>
        <v/>
      </c>
      <c r="AT89">
        <f>IF(COUNTIFS(T_StockCount[RM_Code],$A89,T_StockCount[WeekIndex],45)&gt;0,SUMIFS(T_StockCount[CountedQty],T_StockCount[RM_Code],$A89,T_StockCount[WeekIndex],45),IF((COUNTIFS(T_SelfStock[RM_Code],$A89,T_SelfStock[WeekIndex],45)&gt;0)*(COUNTIFS(T_TTAFStock[RM_Code],$A89,T_TTAFStock[WeekIndex],45)&gt;0)&gt;0,SUMIFS(T_SelfStock[Self_Qty],T_SelfStock[RM_Code],$A89,T_SelfStock[WeekIndex],45)+SUMIFS(T_TTAFStock[TTAF_Qty],T_TTAFStock[RM_Code],$A89,T_TTAFStock[WeekIndex],45),AS89+'Grid_Incoming'!AT89-'Grid_Requirement'!AT89))</f>
        <v/>
      </c>
      <c r="AU89">
        <f>IF(COUNTIFS(T_StockCount[RM_Code],$A89,T_StockCount[WeekIndex],46)&gt;0,SUMIFS(T_StockCount[CountedQty],T_StockCount[RM_Code],$A89,T_StockCount[WeekIndex],46),IF((COUNTIFS(T_SelfStock[RM_Code],$A89,T_SelfStock[WeekIndex],46)&gt;0)*(COUNTIFS(T_TTAFStock[RM_Code],$A89,T_TTAFStock[WeekIndex],46)&gt;0)&gt;0,SUMIFS(T_SelfStock[Self_Qty],T_SelfStock[RM_Code],$A89,T_SelfStock[WeekIndex],46)+SUMIFS(T_TTAFStock[TTAF_Qty],T_TTAFStock[RM_Code],$A89,T_TTAFStock[WeekIndex],46),AT89+'Grid_Incoming'!AU89-'Grid_Requirement'!AU89))</f>
        <v/>
      </c>
      <c r="AV89">
        <f>IF(COUNTIFS(T_StockCount[RM_Code],$A89,T_StockCount[WeekIndex],47)&gt;0,SUMIFS(T_StockCount[CountedQty],T_StockCount[RM_Code],$A89,T_StockCount[WeekIndex],47),IF((COUNTIFS(T_SelfStock[RM_Code],$A89,T_SelfStock[WeekIndex],47)&gt;0)*(COUNTIFS(T_TTAFStock[RM_Code],$A89,T_TTAFStock[WeekIndex],47)&gt;0)&gt;0,SUMIFS(T_SelfStock[Self_Qty],T_SelfStock[RM_Code],$A89,T_SelfStock[WeekIndex],47)+SUMIFS(T_TTAFStock[TTAF_Qty],T_TTAFStock[RM_Code],$A89,T_TTAFStock[WeekIndex],47),AU89+'Grid_Incoming'!AV89-'Grid_Requirement'!AV89))</f>
        <v/>
      </c>
      <c r="AW89">
        <f>IF(COUNTIFS(T_StockCount[RM_Code],$A89,T_StockCount[WeekIndex],48)&gt;0,SUMIFS(T_StockCount[CountedQty],T_StockCount[RM_Code],$A89,T_StockCount[WeekIndex],48),IF((COUNTIFS(T_SelfStock[RM_Code],$A89,T_SelfStock[WeekIndex],48)&gt;0)*(COUNTIFS(T_TTAFStock[RM_Code],$A89,T_TTAFStock[WeekIndex],48)&gt;0)&gt;0,SUMIFS(T_SelfStock[Self_Qty],T_SelfStock[RM_Code],$A89,T_SelfStock[WeekIndex],48)+SUMIFS(T_TTAFStock[TTAF_Qty],T_TTAFStock[RM_Code],$A89,T_TTAFStock[WeekIndex],48),AV89+'Grid_Incoming'!AW89-'Grid_Requirement'!AW89))</f>
        <v/>
      </c>
      <c r="AX89">
        <f>IF(COUNTIFS(T_StockCount[RM_Code],$A89,T_StockCount[WeekIndex],49)&gt;0,SUMIFS(T_StockCount[CountedQty],T_StockCount[RM_Code],$A89,T_StockCount[WeekIndex],49),IF((COUNTIFS(T_SelfStock[RM_Code],$A89,T_SelfStock[WeekIndex],49)&gt;0)*(COUNTIFS(T_TTAFStock[RM_Code],$A89,T_TTAFStock[WeekIndex],49)&gt;0)&gt;0,SUMIFS(T_SelfStock[Self_Qty],T_SelfStock[RM_Code],$A89,T_SelfStock[WeekIndex],49)+SUMIFS(T_TTAFStock[TTAF_Qty],T_TTAFStock[RM_Code],$A89,T_TTAFStock[WeekIndex],49),AW89+'Grid_Incoming'!AX89-'Grid_Requirement'!AX89))</f>
        <v/>
      </c>
      <c r="AY89">
        <f>IF(COUNTIFS(T_StockCount[RM_Code],$A89,T_StockCount[WeekIndex],50)&gt;0,SUMIFS(T_StockCount[CountedQty],T_StockCount[RM_Code],$A89,T_StockCount[WeekIndex],50),IF((COUNTIFS(T_SelfStock[RM_Code],$A89,T_SelfStock[WeekIndex],50)&gt;0)*(COUNTIFS(T_TTAFStock[RM_Code],$A89,T_TTAFStock[WeekIndex],50)&gt;0)&gt;0,SUMIFS(T_SelfStock[Self_Qty],T_SelfStock[RM_Code],$A89,T_SelfStock[WeekIndex],50)+SUMIFS(T_TTAFStock[TTAF_Qty],T_TTAFStock[RM_Code],$A89,T_TTAFStock[WeekIndex],50),AX89+'Grid_Incoming'!AY89-'Grid_Requirement'!AY89))</f>
        <v/>
      </c>
      <c r="AZ89">
        <f>IF(COUNTIFS(T_StockCount[RM_Code],$A89,T_StockCount[WeekIndex],51)&gt;0,SUMIFS(T_StockCount[CountedQty],T_StockCount[RM_Code],$A89,T_StockCount[WeekIndex],51),IF((COUNTIFS(T_SelfStock[RM_Code],$A89,T_SelfStock[WeekIndex],51)&gt;0)*(COUNTIFS(T_TTAFStock[RM_Code],$A89,T_TTAFStock[WeekIndex],51)&gt;0)&gt;0,SUMIFS(T_SelfStock[Self_Qty],T_SelfStock[RM_Code],$A89,T_SelfStock[WeekIndex],51)+SUMIFS(T_TTAFStock[TTAF_Qty],T_TTAFStock[RM_Code],$A89,T_TTAFStock[WeekIndex],51),AY89+'Grid_Incoming'!AZ89-'Grid_Requirement'!AZ89))</f>
        <v/>
      </c>
      <c r="BA89">
        <f>IF(COUNTIFS(T_StockCount[RM_Code],$A89,T_StockCount[WeekIndex],52)&gt;0,SUMIFS(T_StockCount[CountedQty],T_StockCount[RM_Code],$A89,T_StockCount[WeekIndex],52),IF((COUNTIFS(T_SelfStock[RM_Code],$A89,T_SelfStock[WeekIndex],52)&gt;0)*(COUNTIFS(T_TTAFStock[RM_Code],$A89,T_TTAFStock[WeekIndex],52)&gt;0)&gt;0,SUMIFS(T_SelfStock[Self_Qty],T_SelfStock[RM_Code],$A89,T_SelfStock[WeekIndex],52)+SUMIFS(T_TTAFStock[TTAF_Qty],T_TTAFStock[RM_Code],$A89,T_TTAFStock[WeekIndex],52),AZ89+'Grid_Incoming'!BA89-'Grid_Requirement'!BA89))</f>
        <v/>
      </c>
      <c r="BB89">
        <f>IF(COUNTIFS(T_StockCount[RM_Code],$A89,T_StockCount[WeekIndex],53)&gt;0,SUMIFS(T_StockCount[CountedQty],T_StockCount[RM_Code],$A89,T_StockCount[WeekIndex],53),IF((COUNTIFS(T_SelfStock[RM_Code],$A89,T_SelfStock[WeekIndex],53)&gt;0)*(COUNTIFS(T_TTAFStock[RM_Code],$A89,T_TTAFStock[WeekIndex],53)&gt;0)&gt;0,SUMIFS(T_SelfStock[Self_Qty],T_SelfStock[RM_Code],$A89,T_SelfStock[WeekIndex],53)+SUMIFS(T_TTAFStock[TTAF_Qty],T_TTAFStock[RM_Code],$A89,T_TTAFStock[WeekIndex],53),BA89+'Grid_Incoming'!BB89-'Grid_Requirement'!BB89))</f>
        <v/>
      </c>
      <c r="BC89">
        <f>IF(COUNTIFS(T_StockCount[RM_Code],$A89,T_StockCount[WeekIndex],54)&gt;0,SUMIFS(T_StockCount[CountedQty],T_StockCount[RM_Code],$A89,T_StockCount[WeekIndex],54),IF((COUNTIFS(T_SelfStock[RM_Code],$A89,T_SelfStock[WeekIndex],54)&gt;0)*(COUNTIFS(T_TTAFStock[RM_Code],$A89,T_TTAFStock[WeekIndex],54)&gt;0)&gt;0,SUMIFS(T_SelfStock[Self_Qty],T_SelfStock[RM_Code],$A89,T_SelfStock[WeekIndex],54)+SUMIFS(T_TTAFStock[TTAF_Qty],T_TTAFStock[RM_Code],$A89,T_TTAFStock[WeekIndex],54),BB89+'Grid_Incoming'!BC89-'Grid_Requirement'!BC89))</f>
        <v/>
      </c>
      <c r="BD89">
        <f>IF(COUNTIFS(T_StockCount[RM_Code],$A89,T_StockCount[WeekIndex],55)&gt;0,SUMIFS(T_StockCount[CountedQty],T_StockCount[RM_Code],$A89,T_StockCount[WeekIndex],55),IF((COUNTIFS(T_SelfStock[RM_Code],$A89,T_SelfStock[WeekIndex],55)&gt;0)*(COUNTIFS(T_TTAFStock[RM_Code],$A89,T_TTAFStock[WeekIndex],55)&gt;0)&gt;0,SUMIFS(T_SelfStock[Self_Qty],T_SelfStock[RM_Code],$A89,T_SelfStock[WeekIndex],55)+SUMIFS(T_TTAFStock[TTAF_Qty],T_TTAFStock[RM_Code],$A89,T_TTAFStock[WeekIndex],55),BC89+'Grid_Incoming'!BD89-'Grid_Requirement'!BD89))</f>
        <v/>
      </c>
      <c r="BE89">
        <f>IF(COUNTIFS(T_StockCount[RM_Code],$A89,T_StockCount[WeekIndex],56)&gt;0,SUMIFS(T_StockCount[CountedQty],T_StockCount[RM_Code],$A89,T_StockCount[WeekIndex],56),IF((COUNTIFS(T_SelfStock[RM_Code],$A89,T_SelfStock[WeekIndex],56)&gt;0)*(COUNTIFS(T_TTAFStock[RM_Code],$A89,T_TTAFStock[WeekIndex],56)&gt;0)&gt;0,SUMIFS(T_SelfStock[Self_Qty],T_SelfStock[RM_Code],$A89,T_SelfStock[WeekIndex],56)+SUMIFS(T_TTAFStock[TTAF_Qty],T_TTAFStock[RM_Code],$A89,T_TTAFStock[WeekIndex],56),BD89+'Grid_Incoming'!BE89-'Grid_Requirement'!BE89))</f>
        <v/>
      </c>
      <c r="BF89">
        <f>IF(COUNTIFS(T_StockCount[RM_Code],$A89,T_StockCount[WeekIndex],57)&gt;0,SUMIFS(T_StockCount[CountedQty],T_StockCount[RM_Code],$A89,T_StockCount[WeekIndex],57),IF((COUNTIFS(T_SelfStock[RM_Code],$A89,T_SelfStock[WeekIndex],57)&gt;0)*(COUNTIFS(T_TTAFStock[RM_Code],$A89,T_TTAFStock[WeekIndex],57)&gt;0)&gt;0,SUMIFS(T_SelfStock[Self_Qty],T_SelfStock[RM_Code],$A89,T_SelfStock[WeekIndex],57)+SUMIFS(T_TTAFStock[TTAF_Qty],T_TTAFStock[RM_Code],$A89,T_TTAFStock[WeekIndex],57),BE89+'Grid_Incoming'!BF89-'Grid_Requirement'!BF89))</f>
        <v/>
      </c>
      <c r="BG89">
        <f>IF(COUNTIFS(T_StockCount[RM_Code],$A89,T_StockCount[WeekIndex],58)&gt;0,SUMIFS(T_StockCount[CountedQty],T_StockCount[RM_Code],$A89,T_StockCount[WeekIndex],58),IF((COUNTIFS(T_SelfStock[RM_Code],$A89,T_SelfStock[WeekIndex],58)&gt;0)*(COUNTIFS(T_TTAFStock[RM_Code],$A89,T_TTAFStock[WeekIndex],58)&gt;0)&gt;0,SUMIFS(T_SelfStock[Self_Qty],T_SelfStock[RM_Code],$A89,T_SelfStock[WeekIndex],58)+SUMIFS(T_TTAFStock[TTAF_Qty],T_TTAFStock[RM_Code],$A89,T_TTAFStock[WeekIndex],58),BF89+'Grid_Incoming'!BG89-'Grid_Requirement'!BG89))</f>
        <v/>
      </c>
      <c r="BH89">
        <f>IF(COUNTIFS(T_StockCount[RM_Code],$A89,T_StockCount[WeekIndex],59)&gt;0,SUMIFS(T_StockCount[CountedQty],T_StockCount[RM_Code],$A89,T_StockCount[WeekIndex],59),IF((COUNTIFS(T_SelfStock[RM_Code],$A89,T_SelfStock[WeekIndex],59)&gt;0)*(COUNTIFS(T_TTAFStock[RM_Code],$A89,T_TTAFStock[WeekIndex],59)&gt;0)&gt;0,SUMIFS(T_SelfStock[Self_Qty],T_SelfStock[RM_Code],$A89,T_SelfStock[WeekIndex],59)+SUMIFS(T_TTAFStock[TTAF_Qty],T_TTAFStock[RM_Code],$A89,T_TTAFStock[WeekIndex],59),BG89+'Grid_Incoming'!BH89-'Grid_Requirement'!BH89))</f>
        <v/>
      </c>
      <c r="BI89">
        <f>IF(COUNTIFS(T_StockCount[RM_Code],$A89,T_StockCount[WeekIndex],60)&gt;0,SUMIFS(T_StockCount[CountedQty],T_StockCount[RM_Code],$A89,T_StockCount[WeekIndex],60),IF((COUNTIFS(T_SelfStock[RM_Code],$A89,T_SelfStock[WeekIndex],60)&gt;0)*(COUNTIFS(T_TTAFStock[RM_Code],$A89,T_TTAFStock[WeekIndex],60)&gt;0)&gt;0,SUMIFS(T_SelfStock[Self_Qty],T_SelfStock[RM_Code],$A89,T_SelfStock[WeekIndex],60)+SUMIFS(T_TTAFStock[TTAF_Qty],T_TTAFStock[RM_Code],$A89,T_TTAFStock[WeekIndex],60),BH89+'Grid_Incoming'!BI89-'Grid_Requirement'!BI89))</f>
        <v/>
      </c>
      <c r="BJ89">
        <f>IF(COUNTIFS(T_StockCount[RM_Code],$A89,T_StockCount[WeekIndex],61)&gt;0,SUMIFS(T_StockCount[CountedQty],T_StockCount[RM_Code],$A89,T_StockCount[WeekIndex],61),IF((COUNTIFS(T_SelfStock[RM_Code],$A89,T_SelfStock[WeekIndex],61)&gt;0)*(COUNTIFS(T_TTAFStock[RM_Code],$A89,T_TTAFStock[WeekIndex],61)&gt;0)&gt;0,SUMIFS(T_SelfStock[Self_Qty],T_SelfStock[RM_Code],$A89,T_SelfStock[WeekIndex],61)+SUMIFS(T_TTAFStock[TTAF_Qty],T_TTAFStock[RM_Code],$A89,T_TTAFStock[WeekIndex],61),BI89+'Grid_Incoming'!BJ89-'Grid_Requirement'!BJ89))</f>
        <v/>
      </c>
      <c r="BK89">
        <f>IF(COUNTIFS(T_StockCount[RM_Code],$A89,T_StockCount[WeekIndex],62)&gt;0,SUMIFS(T_StockCount[CountedQty],T_StockCount[RM_Code],$A89,T_StockCount[WeekIndex],62),IF((COUNTIFS(T_SelfStock[RM_Code],$A89,T_SelfStock[WeekIndex],62)&gt;0)*(COUNTIFS(T_TTAFStock[RM_Code],$A89,T_TTAFStock[WeekIndex],62)&gt;0)&gt;0,SUMIFS(T_SelfStock[Self_Qty],T_SelfStock[RM_Code],$A89,T_SelfStock[WeekIndex],62)+SUMIFS(T_TTAFStock[TTAF_Qty],T_TTAFStock[RM_Code],$A89,T_TTAFStock[WeekIndex],62),BJ89+'Grid_Incoming'!BK89-'Grid_Requirement'!BK89))</f>
        <v/>
      </c>
      <c r="BL89">
        <f>IF(COUNTIFS(T_StockCount[RM_Code],$A89,T_StockCount[WeekIndex],63)&gt;0,SUMIFS(T_StockCount[CountedQty],T_StockCount[RM_Code],$A89,T_StockCount[WeekIndex],63),IF((COUNTIFS(T_SelfStock[RM_Code],$A89,T_SelfStock[WeekIndex],63)&gt;0)*(COUNTIFS(T_TTAFStock[RM_Code],$A89,T_TTAFStock[WeekIndex],63)&gt;0)&gt;0,SUMIFS(T_SelfStock[Self_Qty],T_SelfStock[RM_Code],$A89,T_SelfStock[WeekIndex],63)+SUMIFS(T_TTAFStock[TTAF_Qty],T_TTAFStock[RM_Code],$A89,T_TTAFStock[WeekIndex],63),BK89+'Grid_Incoming'!BL89-'Grid_Requirement'!BL89))</f>
        <v/>
      </c>
      <c r="BM89">
        <f>IF(COUNTIFS(T_StockCount[RM_Code],$A89,T_StockCount[WeekIndex],64)&gt;0,SUMIFS(T_StockCount[CountedQty],T_StockCount[RM_Code],$A89,T_StockCount[WeekIndex],64),IF((COUNTIFS(T_SelfStock[RM_Code],$A89,T_SelfStock[WeekIndex],64)&gt;0)*(COUNTIFS(T_TTAFStock[RM_Code],$A89,T_TTAFStock[WeekIndex],64)&gt;0)&gt;0,SUMIFS(T_SelfStock[Self_Qty],T_SelfStock[RM_Code],$A89,T_SelfStock[WeekIndex],64)+SUMIFS(T_TTAFStock[TTAF_Qty],T_TTAFStock[RM_Code],$A89,T_TTAFStock[WeekIndex],64),BL89+'Grid_Incoming'!BM89-'Grid_Requirement'!BM89))</f>
        <v/>
      </c>
      <c r="BN89">
        <f>IF(COUNTIFS(T_StockCount[RM_Code],$A89,T_StockCount[WeekIndex],65)&gt;0,SUMIFS(T_StockCount[CountedQty],T_StockCount[RM_Code],$A89,T_StockCount[WeekIndex],65),IF((COUNTIFS(T_SelfStock[RM_Code],$A89,T_SelfStock[WeekIndex],65)&gt;0)*(COUNTIFS(T_TTAFStock[RM_Code],$A89,T_TTAFStock[WeekIndex],65)&gt;0)&gt;0,SUMIFS(T_SelfStock[Self_Qty],T_SelfStock[RM_Code],$A89,T_SelfStock[WeekIndex],65)+SUMIFS(T_TTAFStock[TTAF_Qty],T_TTAFStock[RM_Code],$A89,T_TTAFStock[WeekIndex],65),BM89+'Grid_Incoming'!BN89-'Grid_Requirement'!BN89))</f>
        <v/>
      </c>
      <c r="BO89">
        <f>IF(COUNTIFS(T_StockCount[RM_Code],$A89,T_StockCount[WeekIndex],66)&gt;0,SUMIFS(T_StockCount[CountedQty],T_StockCount[RM_Code],$A89,T_StockCount[WeekIndex],66),IF((COUNTIFS(T_SelfStock[RM_Code],$A89,T_SelfStock[WeekIndex],66)&gt;0)*(COUNTIFS(T_TTAFStock[RM_Code],$A89,T_TTAFStock[WeekIndex],66)&gt;0)&gt;0,SUMIFS(T_SelfStock[Self_Qty],T_SelfStock[RM_Code],$A89,T_SelfStock[WeekIndex],66)+SUMIFS(T_TTAFStock[TTAF_Qty],T_TTAFStock[RM_Code],$A89,T_TTAFStock[WeekIndex],66),BN89+'Grid_Incoming'!BO89-'Grid_Requirement'!BO89))</f>
        <v/>
      </c>
      <c r="BP89">
        <f>IF(COUNTIFS(T_StockCount[RM_Code],$A89,T_StockCount[WeekIndex],67)&gt;0,SUMIFS(T_StockCount[CountedQty],T_StockCount[RM_Code],$A89,T_StockCount[WeekIndex],67),IF((COUNTIFS(T_SelfStock[RM_Code],$A89,T_SelfStock[WeekIndex],67)&gt;0)*(COUNTIFS(T_TTAFStock[RM_Code],$A89,T_TTAFStock[WeekIndex],67)&gt;0)&gt;0,SUMIFS(T_SelfStock[Self_Qty],T_SelfStock[RM_Code],$A89,T_SelfStock[WeekIndex],67)+SUMIFS(T_TTAFStock[TTAF_Qty],T_TTAFStock[RM_Code],$A89,T_TTAFStock[WeekIndex],67),BO89+'Grid_Incoming'!BP89-'Grid_Requirement'!BP89))</f>
        <v/>
      </c>
      <c r="BQ89">
        <f>IF(COUNTIFS(T_StockCount[RM_Code],$A89,T_StockCount[WeekIndex],68)&gt;0,SUMIFS(T_StockCount[CountedQty],T_StockCount[RM_Code],$A89,T_StockCount[WeekIndex],68),IF((COUNTIFS(T_SelfStock[RM_Code],$A89,T_SelfStock[WeekIndex],68)&gt;0)*(COUNTIFS(T_TTAFStock[RM_Code],$A89,T_TTAFStock[WeekIndex],68)&gt;0)&gt;0,SUMIFS(T_SelfStock[Self_Qty],T_SelfStock[RM_Code],$A89,T_SelfStock[WeekIndex],68)+SUMIFS(T_TTAFStock[TTAF_Qty],T_TTAFStock[RM_Code],$A89,T_TTAFStock[WeekIndex],68),BP89+'Grid_Incoming'!BQ89-'Grid_Requirement'!BQ89))</f>
        <v/>
      </c>
      <c r="BR89">
        <f>IF(COUNTIFS(T_StockCount[RM_Code],$A89,T_StockCount[WeekIndex],69)&gt;0,SUMIFS(T_StockCount[CountedQty],T_StockCount[RM_Code],$A89,T_StockCount[WeekIndex],69),IF((COUNTIFS(T_SelfStock[RM_Code],$A89,T_SelfStock[WeekIndex],69)&gt;0)*(COUNTIFS(T_TTAFStock[RM_Code],$A89,T_TTAFStock[WeekIndex],69)&gt;0)&gt;0,SUMIFS(T_SelfStock[Self_Qty],T_SelfStock[RM_Code],$A89,T_SelfStock[WeekIndex],69)+SUMIFS(T_TTAFStock[TTAF_Qty],T_TTAFStock[RM_Code],$A89,T_TTAFStock[WeekIndex],69),BQ89+'Grid_Incoming'!BR89-'Grid_Requirement'!BR89))</f>
        <v/>
      </c>
      <c r="BS89">
        <f>IF(COUNTIFS(T_StockCount[RM_Code],$A89,T_StockCount[WeekIndex],70)&gt;0,SUMIFS(T_StockCount[CountedQty],T_StockCount[RM_Code],$A89,T_StockCount[WeekIndex],70),IF((COUNTIFS(T_SelfStock[RM_Code],$A89,T_SelfStock[WeekIndex],70)&gt;0)*(COUNTIFS(T_TTAFStock[RM_Code],$A89,T_TTAFStock[WeekIndex],70)&gt;0)&gt;0,SUMIFS(T_SelfStock[Self_Qty],T_SelfStock[RM_Code],$A89,T_SelfStock[WeekIndex],70)+SUMIFS(T_TTAFStock[TTAF_Qty],T_TTAFStock[RM_Code],$A89,T_TTAFStock[WeekIndex],70),BR89+'Grid_Incoming'!BS89-'Grid_Requirement'!BS89))</f>
        <v/>
      </c>
      <c r="BT89">
        <f>IF(COUNTIFS(T_StockCount[RM_Code],$A89,T_StockCount[WeekIndex],71)&gt;0,SUMIFS(T_StockCount[CountedQty],T_StockCount[RM_Code],$A89,T_StockCount[WeekIndex],71),IF((COUNTIFS(T_SelfStock[RM_Code],$A89,T_SelfStock[WeekIndex],71)&gt;0)*(COUNTIFS(T_TTAFStock[RM_Code],$A89,T_TTAFStock[WeekIndex],71)&gt;0)&gt;0,SUMIFS(T_SelfStock[Self_Qty],T_SelfStock[RM_Code],$A89,T_SelfStock[WeekIndex],71)+SUMIFS(T_TTAFStock[TTAF_Qty],T_TTAFStock[RM_Code],$A89,T_TTAFStock[WeekIndex],71),BS89+'Grid_Incoming'!BT89-'Grid_Requirement'!BT89))</f>
        <v/>
      </c>
      <c r="BU89">
        <f>IF(COUNTIFS(T_StockCount[RM_Code],$A89,T_StockCount[WeekIndex],72)&gt;0,SUMIFS(T_StockCount[CountedQty],T_StockCount[RM_Code],$A89,T_StockCount[WeekIndex],72),IF((COUNTIFS(T_SelfStock[RM_Code],$A89,T_SelfStock[WeekIndex],72)&gt;0)*(COUNTIFS(T_TTAFStock[RM_Code],$A89,T_TTAFStock[WeekIndex],72)&gt;0)&gt;0,SUMIFS(T_SelfStock[Self_Qty],T_SelfStock[RM_Code],$A89,T_SelfStock[WeekIndex],72)+SUMIFS(T_TTAFStock[TTAF_Qty],T_TTAFStock[RM_Code],$A89,T_TTAFStock[WeekIndex],72),BT89+'Grid_Incoming'!BU89-'Grid_Requirement'!BU89))</f>
        <v/>
      </c>
      <c r="BV89">
        <f>IF(COUNTIFS(T_StockCount[RM_Code],$A89,T_StockCount[WeekIndex],73)&gt;0,SUMIFS(T_StockCount[CountedQty],T_StockCount[RM_Code],$A89,T_StockCount[WeekIndex],73),IF((COUNTIFS(T_SelfStock[RM_Code],$A89,T_SelfStock[WeekIndex],73)&gt;0)*(COUNTIFS(T_TTAFStock[RM_Code],$A89,T_TTAFStock[WeekIndex],73)&gt;0)&gt;0,SUMIFS(T_SelfStock[Self_Qty],T_SelfStock[RM_Code],$A89,T_SelfStock[WeekIndex],73)+SUMIFS(T_TTAFStock[TTAF_Qty],T_TTAFStock[RM_Code],$A89,T_TTAFStock[WeekIndex],73),BU89+'Grid_Incoming'!BV89-'Grid_Requirement'!BV89))</f>
        <v/>
      </c>
      <c r="BW89">
        <f>IF(COUNTIFS(T_StockCount[RM_Code],$A89,T_StockCount[WeekIndex],74)&gt;0,SUMIFS(T_StockCount[CountedQty],T_StockCount[RM_Code],$A89,T_StockCount[WeekIndex],74),IF((COUNTIFS(T_SelfStock[RM_Code],$A89,T_SelfStock[WeekIndex],74)&gt;0)*(COUNTIFS(T_TTAFStock[RM_Code],$A89,T_TTAFStock[WeekIndex],74)&gt;0)&gt;0,SUMIFS(T_SelfStock[Self_Qty],T_SelfStock[RM_Code],$A89,T_SelfStock[WeekIndex],74)+SUMIFS(T_TTAFStock[TTAF_Qty],T_TTAFStock[RM_Code],$A89,T_TTAFStock[WeekIndex],74),BV89+'Grid_Incoming'!BW89-'Grid_Requirement'!BW89))</f>
        <v/>
      </c>
      <c r="BX89">
        <f>IF(COUNTIFS(T_StockCount[RM_Code],$A89,T_StockCount[WeekIndex],75)&gt;0,SUMIFS(T_StockCount[CountedQty],T_StockCount[RM_Code],$A89,T_StockCount[WeekIndex],75),IF((COUNTIFS(T_SelfStock[RM_Code],$A89,T_SelfStock[WeekIndex],75)&gt;0)*(COUNTIFS(T_TTAFStock[RM_Code],$A89,T_TTAFStock[WeekIndex],75)&gt;0)&gt;0,SUMIFS(T_SelfStock[Self_Qty],T_SelfStock[RM_Code],$A89,T_SelfStock[WeekIndex],75)+SUMIFS(T_TTAFStock[TTAF_Qty],T_TTAFStock[RM_Code],$A89,T_TTAFStock[WeekIndex],75),BW89+'Grid_Incoming'!BX89-'Grid_Requirement'!BX89))</f>
        <v/>
      </c>
      <c r="BY89">
        <f>IF(COUNTIFS(T_StockCount[RM_Code],$A89,T_StockCount[WeekIndex],76)&gt;0,SUMIFS(T_StockCount[CountedQty],T_StockCount[RM_Code],$A89,T_StockCount[WeekIndex],76),IF((COUNTIFS(T_SelfStock[RM_Code],$A89,T_SelfStock[WeekIndex],76)&gt;0)*(COUNTIFS(T_TTAFStock[RM_Code],$A89,T_TTAFStock[WeekIndex],76)&gt;0)&gt;0,SUMIFS(T_SelfStock[Self_Qty],T_SelfStock[RM_Code],$A89,T_SelfStock[WeekIndex],76)+SUMIFS(T_TTAFStock[TTAF_Qty],T_TTAFStock[RM_Code],$A89,T_TTAFStock[WeekIndex],76),BX89+'Grid_Incoming'!BY89-'Grid_Requirement'!BY89))</f>
        <v/>
      </c>
      <c r="BZ89">
        <f>IF(COUNTIFS(T_StockCount[RM_Code],$A89,T_StockCount[WeekIndex],77)&gt;0,SUMIFS(T_StockCount[CountedQty],T_StockCount[RM_Code],$A89,T_StockCount[WeekIndex],77),IF((COUNTIFS(T_SelfStock[RM_Code],$A89,T_SelfStock[WeekIndex],77)&gt;0)*(COUNTIFS(T_TTAFStock[RM_Code],$A89,T_TTAFStock[WeekIndex],77)&gt;0)&gt;0,SUMIFS(T_SelfStock[Self_Qty],T_SelfStock[RM_Code],$A89,T_SelfStock[WeekIndex],77)+SUMIFS(T_TTAFStock[TTAF_Qty],T_TTAFStock[RM_Code],$A89,T_TTAFStock[WeekIndex],77),BY89+'Grid_Incoming'!BZ89-'Grid_Requirement'!BZ89))</f>
        <v/>
      </c>
      <c r="CA89">
        <f>IF(COUNTIFS(T_StockCount[RM_Code],$A89,T_StockCount[WeekIndex],78)&gt;0,SUMIFS(T_StockCount[CountedQty],T_StockCount[RM_Code],$A89,T_StockCount[WeekIndex],78),IF((COUNTIFS(T_SelfStock[RM_Code],$A89,T_SelfStock[WeekIndex],78)&gt;0)*(COUNTIFS(T_TTAFStock[RM_Code],$A89,T_TTAFStock[WeekIndex],78)&gt;0)&gt;0,SUMIFS(T_SelfStock[Self_Qty],T_SelfStock[RM_Code],$A89,T_SelfStock[WeekIndex],78)+SUMIFS(T_TTAFStock[TTAF_Qty],T_TTAFStock[RM_Code],$A89,T_TTAFStock[WeekIndex],78),BZ89+'Grid_Incoming'!CA89-'Grid_Requirement'!CA89))</f>
        <v/>
      </c>
      <c r="CB89">
        <f>IF(COUNTIFS(T_StockCount[RM_Code],$A89,T_StockCount[WeekIndex],79)&gt;0,SUMIFS(T_StockCount[CountedQty],T_StockCount[RM_Code],$A89,T_StockCount[WeekIndex],79),IF((COUNTIFS(T_SelfStock[RM_Code],$A89,T_SelfStock[WeekIndex],79)&gt;0)*(COUNTIFS(T_TTAFStock[RM_Code],$A89,T_TTAFStock[WeekIndex],79)&gt;0)&gt;0,SUMIFS(T_SelfStock[Self_Qty],T_SelfStock[RM_Code],$A89,T_SelfStock[WeekIndex],79)+SUMIFS(T_TTAFStock[TTAF_Qty],T_TTAFStock[RM_Code],$A89,T_TTAFStock[WeekIndex],79),CA89+'Grid_Incoming'!CB89-'Grid_Requirement'!CB89))</f>
        <v/>
      </c>
      <c r="CC89">
        <f>IF(COUNTIFS(T_StockCount[RM_Code],$A89,T_StockCount[WeekIndex],80)&gt;0,SUMIFS(T_StockCount[CountedQty],T_StockCount[RM_Code],$A89,T_StockCount[WeekIndex],80),IF((COUNTIFS(T_SelfStock[RM_Code],$A89,T_SelfStock[WeekIndex],80)&gt;0)*(COUNTIFS(T_TTAFStock[RM_Code],$A89,T_TTAFStock[WeekIndex],80)&gt;0)&gt;0,SUMIFS(T_SelfStock[Self_Qty],T_SelfStock[RM_Code],$A89,T_SelfStock[WeekIndex],80)+SUMIFS(T_TTAFStock[TTAF_Qty],T_TTAFStock[RM_Code],$A89,T_TTAFStock[WeekIndex],80),CB89+'Grid_Incoming'!CC89-'Grid_Requirement'!CC89))</f>
        <v/>
      </c>
      <c r="CD89">
        <f>IF(COUNTIFS(T_StockCount[RM_Code],$A89,T_StockCount[WeekIndex],81)&gt;0,SUMIFS(T_StockCount[CountedQty],T_StockCount[RM_Code],$A89,T_StockCount[WeekIndex],81),IF((COUNTIFS(T_SelfStock[RM_Code],$A89,T_SelfStock[WeekIndex],81)&gt;0)*(COUNTIFS(T_TTAFStock[RM_Code],$A89,T_TTAFStock[WeekIndex],81)&gt;0)&gt;0,SUMIFS(T_SelfStock[Self_Qty],T_SelfStock[RM_Code],$A89,T_SelfStock[WeekIndex],81)+SUMIFS(T_TTAFStock[TTAF_Qty],T_TTAFStock[RM_Code],$A89,T_TTAFStock[WeekIndex],81),CC89+'Grid_Incoming'!CD89-'Grid_Requirement'!CD89))</f>
        <v/>
      </c>
      <c r="CE89">
        <f>IF(COUNTIFS(T_StockCount[RM_Code],$A89,T_StockCount[WeekIndex],82)&gt;0,SUMIFS(T_StockCount[CountedQty],T_StockCount[RM_Code],$A89,T_StockCount[WeekIndex],82),IF((COUNTIFS(T_SelfStock[RM_Code],$A89,T_SelfStock[WeekIndex],82)&gt;0)*(COUNTIFS(T_TTAFStock[RM_Code],$A89,T_TTAFStock[WeekIndex],82)&gt;0)&gt;0,SUMIFS(T_SelfStock[Self_Qty],T_SelfStock[RM_Code],$A89,T_SelfStock[WeekIndex],82)+SUMIFS(T_TTAFStock[TTAF_Qty],T_TTAFStock[RM_Code],$A89,T_TTAFStock[WeekIndex],82),CD89+'Grid_Incoming'!CE89-'Grid_Requirement'!CE89))</f>
        <v/>
      </c>
      <c r="CF89">
        <f>IF(COUNTIFS(T_StockCount[RM_Code],$A89,T_StockCount[WeekIndex],83)&gt;0,SUMIFS(T_StockCount[CountedQty],T_StockCount[RM_Code],$A89,T_StockCount[WeekIndex],83),IF((COUNTIFS(T_SelfStock[RM_Code],$A89,T_SelfStock[WeekIndex],83)&gt;0)*(COUNTIFS(T_TTAFStock[RM_Code],$A89,T_TTAFStock[WeekIndex],83)&gt;0)&gt;0,SUMIFS(T_SelfStock[Self_Qty],T_SelfStock[RM_Code],$A89,T_SelfStock[WeekIndex],83)+SUMIFS(T_TTAFStock[TTAF_Qty],T_TTAFStock[RM_Code],$A89,T_TTAFStock[WeekIndex],83),CE89+'Grid_Incoming'!CF89-'Grid_Requirement'!CF89))</f>
        <v/>
      </c>
      <c r="CG89">
        <f>IF(COUNTIFS(T_StockCount[RM_Code],$A89,T_StockCount[WeekIndex],84)&gt;0,SUMIFS(T_StockCount[CountedQty],T_StockCount[RM_Code],$A89,T_StockCount[WeekIndex],84),IF((COUNTIFS(T_SelfStock[RM_Code],$A89,T_SelfStock[WeekIndex],84)&gt;0)*(COUNTIFS(T_TTAFStock[RM_Code],$A89,T_TTAFStock[WeekIndex],84)&gt;0)&gt;0,SUMIFS(T_SelfStock[Self_Qty],T_SelfStock[RM_Code],$A89,T_SelfStock[WeekIndex],84)+SUMIFS(T_TTAFStock[TTAF_Qty],T_TTAFStock[RM_Code],$A89,T_TTAFStock[WeekIndex],84),CF89+'Grid_Incoming'!CG89-'Grid_Requirement'!CG89))</f>
        <v/>
      </c>
      <c r="CH89">
        <f>IF(COUNTIFS(T_StockCount[RM_Code],$A89,T_StockCount[WeekIndex],85)&gt;0,SUMIFS(T_StockCount[CountedQty],T_StockCount[RM_Code],$A89,T_StockCount[WeekIndex],85),IF((COUNTIFS(T_SelfStock[RM_Code],$A89,T_SelfStock[WeekIndex],85)&gt;0)*(COUNTIFS(T_TTAFStock[RM_Code],$A89,T_TTAFStock[WeekIndex],85)&gt;0)&gt;0,SUMIFS(T_SelfStock[Self_Qty],T_SelfStock[RM_Code],$A89,T_SelfStock[WeekIndex],85)+SUMIFS(T_TTAFStock[TTAF_Qty],T_TTAFStock[RM_Code],$A89,T_TTAFStock[WeekIndex],85),CG89+'Grid_Incoming'!CH89-'Grid_Requirement'!CH89))</f>
        <v/>
      </c>
      <c r="CI89">
        <f>IF(COUNTIFS(T_StockCount[RM_Code],$A89,T_StockCount[WeekIndex],86)&gt;0,SUMIFS(T_StockCount[CountedQty],T_StockCount[RM_Code],$A89,T_StockCount[WeekIndex],86),IF((COUNTIFS(T_SelfStock[RM_Code],$A89,T_SelfStock[WeekIndex],86)&gt;0)*(COUNTIFS(T_TTAFStock[RM_Code],$A89,T_TTAFStock[WeekIndex],86)&gt;0)&gt;0,SUMIFS(T_SelfStock[Self_Qty],T_SelfStock[RM_Code],$A89,T_SelfStock[WeekIndex],86)+SUMIFS(T_TTAFStock[TTAF_Qty],T_TTAFStock[RM_Code],$A89,T_TTAFStock[WeekIndex],86),CH89+'Grid_Incoming'!CI89-'Grid_Requirement'!CI89))</f>
        <v/>
      </c>
      <c r="CJ89">
        <f>IF(COUNTIFS(T_StockCount[RM_Code],$A89,T_StockCount[WeekIndex],87)&gt;0,SUMIFS(T_StockCount[CountedQty],T_StockCount[RM_Code],$A89,T_StockCount[WeekIndex],87),IF((COUNTIFS(T_SelfStock[RM_Code],$A89,T_SelfStock[WeekIndex],87)&gt;0)*(COUNTIFS(T_TTAFStock[RM_Code],$A89,T_TTAFStock[WeekIndex],87)&gt;0)&gt;0,SUMIFS(T_SelfStock[Self_Qty],T_SelfStock[RM_Code],$A89,T_SelfStock[WeekIndex],87)+SUMIFS(T_TTAFStock[TTAF_Qty],T_TTAFStock[RM_Code],$A89,T_TTAFStock[WeekIndex],87),CI89+'Grid_Incoming'!CJ89-'Grid_Requirement'!CJ89))</f>
        <v/>
      </c>
      <c r="CK89">
        <f>IF(COUNTIFS(T_StockCount[RM_Code],$A89,T_StockCount[WeekIndex],88)&gt;0,SUMIFS(T_StockCount[CountedQty],T_StockCount[RM_Code],$A89,T_StockCount[WeekIndex],88),IF((COUNTIFS(T_SelfStock[RM_Code],$A89,T_SelfStock[WeekIndex],88)&gt;0)*(COUNTIFS(T_TTAFStock[RM_Code],$A89,T_TTAFStock[WeekIndex],88)&gt;0)&gt;0,SUMIFS(T_SelfStock[Self_Qty],T_SelfStock[RM_Code],$A89,T_SelfStock[WeekIndex],88)+SUMIFS(T_TTAFStock[TTAF_Qty],T_TTAFStock[RM_Code],$A89,T_TTAFStock[WeekIndex],88),CJ89+'Grid_Incoming'!CK89-'Grid_Requirement'!CK89))</f>
        <v/>
      </c>
      <c r="CL89">
        <f>IF(COUNTIFS(T_StockCount[RM_Code],$A89,T_StockCount[WeekIndex],89)&gt;0,SUMIFS(T_StockCount[CountedQty],T_StockCount[RM_Code],$A89,T_StockCount[WeekIndex],89),IF((COUNTIFS(T_SelfStock[RM_Code],$A89,T_SelfStock[WeekIndex],89)&gt;0)*(COUNTIFS(T_TTAFStock[RM_Code],$A89,T_TTAFStock[WeekIndex],89)&gt;0)&gt;0,SUMIFS(T_SelfStock[Self_Qty],T_SelfStock[RM_Code],$A89,T_SelfStock[WeekIndex],89)+SUMIFS(T_TTAFStock[TTAF_Qty],T_TTAFStock[RM_Code],$A89,T_TTAFStock[WeekIndex],89),CK89+'Grid_Incoming'!CL89-'Grid_Requirement'!CL89))</f>
        <v/>
      </c>
      <c r="CM89">
        <f>IF(COUNTIFS(T_StockCount[RM_Code],$A89,T_StockCount[WeekIndex],90)&gt;0,SUMIFS(T_StockCount[CountedQty],T_StockCount[RM_Code],$A89,T_StockCount[WeekIndex],90),IF((COUNTIFS(T_SelfStock[RM_Code],$A89,T_SelfStock[WeekIndex],90)&gt;0)*(COUNTIFS(T_TTAFStock[RM_Code],$A89,T_TTAFStock[WeekIndex],90)&gt;0)&gt;0,SUMIFS(T_SelfStock[Self_Qty],T_SelfStock[RM_Code],$A89,T_SelfStock[WeekIndex],90)+SUMIFS(T_TTAFStock[TTAF_Qty],T_TTAFStock[RM_Code],$A89,T_TTAFStock[WeekIndex],90),CL89+'Grid_Incoming'!CM89-'Grid_Requirement'!CM89))</f>
        <v/>
      </c>
      <c r="CN89">
        <f>IF(COUNTIFS(T_StockCount[RM_Code],$A89,T_StockCount[WeekIndex],91)&gt;0,SUMIFS(T_StockCount[CountedQty],T_StockCount[RM_Code],$A89,T_StockCount[WeekIndex],91),IF((COUNTIFS(T_SelfStock[RM_Code],$A89,T_SelfStock[WeekIndex],91)&gt;0)*(COUNTIFS(T_TTAFStock[RM_Code],$A89,T_TTAFStock[WeekIndex],91)&gt;0)&gt;0,SUMIFS(T_SelfStock[Self_Qty],T_SelfStock[RM_Code],$A89,T_SelfStock[WeekIndex],91)+SUMIFS(T_TTAFStock[TTAF_Qty],T_TTAFStock[RM_Code],$A89,T_TTAFStock[WeekIndex],91),CM89+'Grid_Incoming'!CN89-'Grid_Requirement'!CN89))</f>
        <v/>
      </c>
      <c r="CO89">
        <f>IF(COUNTIFS(T_StockCount[RM_Code],$A89,T_StockCount[WeekIndex],92)&gt;0,SUMIFS(T_StockCount[CountedQty],T_StockCount[RM_Code],$A89,T_StockCount[WeekIndex],92),IF((COUNTIFS(T_SelfStock[RM_Code],$A89,T_SelfStock[WeekIndex],92)&gt;0)*(COUNTIFS(T_TTAFStock[RM_Code],$A89,T_TTAFStock[WeekIndex],92)&gt;0)&gt;0,SUMIFS(T_SelfStock[Self_Qty],T_SelfStock[RM_Code],$A89,T_SelfStock[WeekIndex],92)+SUMIFS(T_TTAFStock[TTAF_Qty],T_TTAFStock[RM_Code],$A89,T_TTAFStock[WeekIndex],92),CN89+'Grid_Incoming'!CO89-'Grid_Requirement'!CO89))</f>
        <v/>
      </c>
      <c r="CP89">
        <f>IF(COUNTIFS(T_StockCount[RM_Code],$A89,T_StockCount[WeekIndex],93)&gt;0,SUMIFS(T_StockCount[CountedQty],T_StockCount[RM_Code],$A89,T_StockCount[WeekIndex],93),IF((COUNTIFS(T_SelfStock[RM_Code],$A89,T_SelfStock[WeekIndex],93)&gt;0)*(COUNTIFS(T_TTAFStock[RM_Code],$A89,T_TTAFStock[WeekIndex],93)&gt;0)&gt;0,SUMIFS(T_SelfStock[Self_Qty],T_SelfStock[RM_Code],$A89,T_SelfStock[WeekIndex],93)+SUMIFS(T_TTAFStock[TTAF_Qty],T_TTAFStock[RM_Code],$A89,T_TTAFStock[WeekIndex],93),CO89+'Grid_Incoming'!CP89-'Grid_Requirement'!CP89))</f>
        <v/>
      </c>
      <c r="CQ89">
        <f>IF(COUNTIFS(T_StockCount[RM_Code],$A89,T_StockCount[WeekIndex],94)&gt;0,SUMIFS(T_StockCount[CountedQty],T_StockCount[RM_Code],$A89,T_StockCount[WeekIndex],94),IF((COUNTIFS(T_SelfStock[RM_Code],$A89,T_SelfStock[WeekIndex],94)&gt;0)*(COUNTIFS(T_TTAFStock[RM_Code],$A89,T_TTAFStock[WeekIndex],94)&gt;0)&gt;0,SUMIFS(T_SelfStock[Self_Qty],T_SelfStock[RM_Code],$A89,T_SelfStock[WeekIndex],94)+SUMIFS(T_TTAFStock[TTAF_Qty],T_TTAFStock[RM_Code],$A89,T_TTAFStock[WeekIndex],94),CP89+'Grid_Incoming'!CQ89-'Grid_Requirement'!CQ89))</f>
        <v/>
      </c>
      <c r="CR89">
        <f>IF(COUNTIFS(T_StockCount[RM_Code],$A89,T_StockCount[WeekIndex],95)&gt;0,SUMIFS(T_StockCount[CountedQty],T_StockCount[RM_Code],$A89,T_StockCount[WeekIndex],95),IF((COUNTIFS(T_SelfStock[RM_Code],$A89,T_SelfStock[WeekIndex],95)&gt;0)*(COUNTIFS(T_TTAFStock[RM_Code],$A89,T_TTAFStock[WeekIndex],95)&gt;0)&gt;0,SUMIFS(T_SelfStock[Self_Qty],T_SelfStock[RM_Code],$A89,T_SelfStock[WeekIndex],95)+SUMIFS(T_TTAFStock[TTAF_Qty],T_TTAFStock[RM_Code],$A89,T_TTAFStock[WeekIndex],95),CQ89+'Grid_Incoming'!CR89-'Grid_Requirement'!CR89))</f>
        <v/>
      </c>
      <c r="CS89">
        <f>IF(COUNTIFS(T_StockCount[RM_Code],$A89,T_StockCount[WeekIndex],96)&gt;0,SUMIFS(T_StockCount[CountedQty],T_StockCount[RM_Code],$A89,T_StockCount[WeekIndex],96),IF((COUNTIFS(T_SelfStock[RM_Code],$A89,T_SelfStock[WeekIndex],96)&gt;0)*(COUNTIFS(T_TTAFStock[RM_Code],$A89,T_TTAFStock[WeekIndex],96)&gt;0)&gt;0,SUMIFS(T_SelfStock[Self_Qty],T_SelfStock[RM_Code],$A89,T_SelfStock[WeekIndex],96)+SUMIFS(T_TTAFStock[TTAF_Qty],T_TTAFStock[RM_Code],$A89,T_TTAFStock[WeekIndex],96),CR89+'Grid_Incoming'!CS89-'Grid_Requirement'!CS89))</f>
        <v/>
      </c>
      <c r="CT89">
        <f>IF(COUNTIFS(T_StockCount[RM_Code],$A89,T_StockCount[WeekIndex],97)&gt;0,SUMIFS(T_StockCount[CountedQty],T_StockCount[RM_Code],$A89,T_StockCount[WeekIndex],97),IF((COUNTIFS(T_SelfStock[RM_Code],$A89,T_SelfStock[WeekIndex],97)&gt;0)*(COUNTIFS(T_TTAFStock[RM_Code],$A89,T_TTAFStock[WeekIndex],97)&gt;0)&gt;0,SUMIFS(T_SelfStock[Self_Qty],T_SelfStock[RM_Code],$A89,T_SelfStock[WeekIndex],97)+SUMIFS(T_TTAFStock[TTAF_Qty],T_TTAFStock[RM_Code],$A89,T_TTAFStock[WeekIndex],97),CS89+'Grid_Incoming'!CT89-'Grid_Requirement'!CT89))</f>
        <v/>
      </c>
      <c r="CU89">
        <f>IF(COUNTIFS(T_StockCount[RM_Code],$A89,T_StockCount[WeekIndex],98)&gt;0,SUMIFS(T_StockCount[CountedQty],T_StockCount[RM_Code],$A89,T_StockCount[WeekIndex],98),IF((COUNTIFS(T_SelfStock[RM_Code],$A89,T_SelfStock[WeekIndex],98)&gt;0)*(COUNTIFS(T_TTAFStock[RM_Code],$A89,T_TTAFStock[WeekIndex],98)&gt;0)&gt;0,SUMIFS(T_SelfStock[Self_Qty],T_SelfStock[RM_Code],$A89,T_SelfStock[WeekIndex],98)+SUMIFS(T_TTAFStock[TTAF_Qty],T_TTAFStock[RM_Code],$A89,T_TTAFStock[WeekIndex],98),CT89+'Grid_Incoming'!CU89-'Grid_Requirement'!CU89))</f>
        <v/>
      </c>
      <c r="CV89">
        <f>IF(COUNTIFS(T_StockCount[RM_Code],$A89,T_StockCount[WeekIndex],99)&gt;0,SUMIFS(T_StockCount[CountedQty],T_StockCount[RM_Code],$A89,T_StockCount[WeekIndex],99),IF((COUNTIFS(T_SelfStock[RM_Code],$A89,T_SelfStock[WeekIndex],99)&gt;0)*(COUNTIFS(T_TTAFStock[RM_Code],$A89,T_TTAFStock[WeekIndex],99)&gt;0)&gt;0,SUMIFS(T_SelfStock[Self_Qty],T_SelfStock[RM_Code],$A89,T_SelfStock[WeekIndex],99)+SUMIFS(T_TTAFStock[TTAF_Qty],T_TTAFStock[RM_Code],$A89,T_TTAFStock[WeekIndex],99),CU89+'Grid_Incoming'!CV89-'Grid_Requirement'!CV89))</f>
        <v/>
      </c>
      <c r="CW89">
        <f>IF(COUNTIFS(T_StockCount[RM_Code],$A89,T_StockCount[WeekIndex],100)&gt;0,SUMIFS(T_StockCount[CountedQty],T_StockCount[RM_Code],$A89,T_StockCount[WeekIndex],100),IF((COUNTIFS(T_SelfStock[RM_Code],$A89,T_SelfStock[WeekIndex],100)&gt;0)*(COUNTIFS(T_TTAFStock[RM_Code],$A89,T_TTAFStock[WeekIndex],100)&gt;0)&gt;0,SUMIFS(T_SelfStock[Self_Qty],T_SelfStock[RM_Code],$A89,T_SelfStock[WeekIndex],100)+SUMIFS(T_TTAFStock[TTAF_Qty],T_TTAFStock[RM_Code],$A89,T_TTAFStock[WeekIndex],100),CV89+'Grid_Incoming'!CW89-'Grid_Requirement'!CW89))</f>
        <v/>
      </c>
      <c r="CX89">
        <f>IF(COUNTIFS(T_StockCount[RM_Code],$A89,T_StockCount[WeekIndex],101)&gt;0,SUMIFS(T_StockCount[CountedQty],T_StockCount[RM_Code],$A89,T_StockCount[WeekIndex],101),IF((COUNTIFS(T_SelfStock[RM_Code],$A89,T_SelfStock[WeekIndex],101)&gt;0)*(COUNTIFS(T_TTAFStock[RM_Code],$A89,T_TTAFStock[WeekIndex],101)&gt;0)&gt;0,SUMIFS(T_SelfStock[Self_Qty],T_SelfStock[RM_Code],$A89,T_SelfStock[WeekIndex],101)+SUMIFS(T_TTAFStock[TTAF_Qty],T_TTAFStock[RM_Code],$A89,T_TTAFStock[WeekIndex],101),CW89+'Grid_Incoming'!CX89-'Grid_Requirement'!CX89))</f>
        <v/>
      </c>
      <c r="CY89">
        <f>IF(COUNTIFS(T_StockCount[RM_Code],$A89,T_StockCount[WeekIndex],102)&gt;0,SUMIFS(T_StockCount[CountedQty],T_StockCount[RM_Code],$A89,T_StockCount[WeekIndex],102),IF((COUNTIFS(T_SelfStock[RM_Code],$A89,T_SelfStock[WeekIndex],102)&gt;0)*(COUNTIFS(T_TTAFStock[RM_Code],$A89,T_TTAFStock[WeekIndex],102)&gt;0)&gt;0,SUMIFS(T_SelfStock[Self_Qty],T_SelfStock[RM_Code],$A89,T_SelfStock[WeekIndex],102)+SUMIFS(T_TTAFStock[TTAF_Qty],T_TTAFStock[RM_Code],$A89,T_TTAFStock[WeekIndex],102),CX89+'Grid_Incoming'!CY89-'Grid_Requirement'!CY89))</f>
        <v/>
      </c>
      <c r="CZ89">
        <f>IF(COUNTIFS(T_StockCount[RM_Code],$A89,T_StockCount[WeekIndex],103)&gt;0,SUMIFS(T_StockCount[CountedQty],T_StockCount[RM_Code],$A89,T_StockCount[WeekIndex],103),IF((COUNTIFS(T_SelfStock[RM_Code],$A89,T_SelfStock[WeekIndex],103)&gt;0)*(COUNTIFS(T_TTAFStock[RM_Code],$A89,T_TTAFStock[WeekIndex],103)&gt;0)&gt;0,SUMIFS(T_SelfStock[Self_Qty],T_SelfStock[RM_Code],$A89,T_SelfStock[WeekIndex],103)+SUMIFS(T_TTAFStock[TTAF_Qty],T_TTAFStock[RM_Code],$A89,T_TTAFStock[WeekIndex],103),CY89+'Grid_Incoming'!CZ89-'Grid_Requirement'!CZ89))</f>
        <v/>
      </c>
      <c r="DA89">
        <f>IF(COUNTIFS(T_StockCount[RM_Code],$A89,T_StockCount[WeekIndex],104)&gt;0,SUMIFS(T_StockCount[CountedQty],T_StockCount[RM_Code],$A89,T_StockCount[WeekIndex],104),IF((COUNTIFS(T_SelfStock[RM_Code],$A89,T_SelfStock[WeekIndex],104)&gt;0)*(COUNTIFS(T_TTAFStock[RM_Code],$A89,T_TTAFStock[WeekIndex],104)&gt;0)&gt;0,SUMIFS(T_SelfStock[Self_Qty],T_SelfStock[RM_Code],$A89,T_SelfStock[WeekIndex],104)+SUMIFS(T_TTAFStock[TTAF_Qty],T_TTAFStock[RM_Code],$A89,T_TTAFStock[WeekIndex],104),CZ89+'Grid_Incoming'!DA89-'Grid_Requirement'!DA89))</f>
        <v/>
      </c>
    </row>
    <row r="90">
      <c r="A90" t="inlineStr">
        <is>
          <t>CHEM-1490</t>
        </is>
      </c>
      <c r="B90">
        <f>IF(COUNTIFS(T_StockCount[RM_Code],$A90,T_StockCount[WeekIndex],1)&gt;0,SUMIFS(T_StockCount[CountedQty],T_StockCount[RM_Code],$A90,T_StockCount[WeekIndex],1),IF((COUNTIFS(T_SelfStock[RM_Code],$A90,T_SelfStock[WeekIndex],1)&gt;0)*(COUNTIFS(T_TTAFStock[RM_Code],$A90,T_TTAFStock[WeekIndex],1)&gt;0)&gt;0,SUMIFS(T_SelfStock[Self_Qty],T_SelfStock[RM_Code],$A90,T_SelfStock[WeekIndex],1)+SUMIFS(T_TTAFStock[TTAF_Qty],T_TTAFStock[RM_Code],$A90,T_TTAFStock[WeekIndex],1),IFERROR(INDEX(T_OpeningStock[Opening_Qty],MATCH($A90,T_OpeningStock[RM_Code],0)),0)+'Grid_Incoming'!B90-'Grid_Requirement'!B90))</f>
        <v/>
      </c>
      <c r="C90">
        <f>IF(COUNTIFS(T_StockCount[RM_Code],$A90,T_StockCount[WeekIndex],2)&gt;0,SUMIFS(T_StockCount[CountedQty],T_StockCount[RM_Code],$A90,T_StockCount[WeekIndex],2),IF((COUNTIFS(T_SelfStock[RM_Code],$A90,T_SelfStock[WeekIndex],2)&gt;0)*(COUNTIFS(T_TTAFStock[RM_Code],$A90,T_TTAFStock[WeekIndex],2)&gt;0)&gt;0,SUMIFS(T_SelfStock[Self_Qty],T_SelfStock[RM_Code],$A90,T_SelfStock[WeekIndex],2)+SUMIFS(T_TTAFStock[TTAF_Qty],T_TTAFStock[RM_Code],$A90,T_TTAFStock[WeekIndex],2),B90+'Grid_Incoming'!C90-'Grid_Requirement'!C90))</f>
        <v/>
      </c>
      <c r="D90">
        <f>IF(COUNTIFS(T_StockCount[RM_Code],$A90,T_StockCount[WeekIndex],3)&gt;0,SUMIFS(T_StockCount[CountedQty],T_StockCount[RM_Code],$A90,T_StockCount[WeekIndex],3),IF((COUNTIFS(T_SelfStock[RM_Code],$A90,T_SelfStock[WeekIndex],3)&gt;0)*(COUNTIFS(T_TTAFStock[RM_Code],$A90,T_TTAFStock[WeekIndex],3)&gt;0)&gt;0,SUMIFS(T_SelfStock[Self_Qty],T_SelfStock[RM_Code],$A90,T_SelfStock[WeekIndex],3)+SUMIFS(T_TTAFStock[TTAF_Qty],T_TTAFStock[RM_Code],$A90,T_TTAFStock[WeekIndex],3),C90+'Grid_Incoming'!D90-'Grid_Requirement'!D90))</f>
        <v/>
      </c>
      <c r="E90">
        <f>IF(COUNTIFS(T_StockCount[RM_Code],$A90,T_StockCount[WeekIndex],4)&gt;0,SUMIFS(T_StockCount[CountedQty],T_StockCount[RM_Code],$A90,T_StockCount[WeekIndex],4),IF((COUNTIFS(T_SelfStock[RM_Code],$A90,T_SelfStock[WeekIndex],4)&gt;0)*(COUNTIFS(T_TTAFStock[RM_Code],$A90,T_TTAFStock[WeekIndex],4)&gt;0)&gt;0,SUMIFS(T_SelfStock[Self_Qty],T_SelfStock[RM_Code],$A90,T_SelfStock[WeekIndex],4)+SUMIFS(T_TTAFStock[TTAF_Qty],T_TTAFStock[RM_Code],$A90,T_TTAFStock[WeekIndex],4),D90+'Grid_Incoming'!E90-'Grid_Requirement'!E90))</f>
        <v/>
      </c>
      <c r="F90">
        <f>IF(COUNTIFS(T_StockCount[RM_Code],$A90,T_StockCount[WeekIndex],5)&gt;0,SUMIFS(T_StockCount[CountedQty],T_StockCount[RM_Code],$A90,T_StockCount[WeekIndex],5),IF((COUNTIFS(T_SelfStock[RM_Code],$A90,T_SelfStock[WeekIndex],5)&gt;0)*(COUNTIFS(T_TTAFStock[RM_Code],$A90,T_TTAFStock[WeekIndex],5)&gt;0)&gt;0,SUMIFS(T_SelfStock[Self_Qty],T_SelfStock[RM_Code],$A90,T_SelfStock[WeekIndex],5)+SUMIFS(T_TTAFStock[TTAF_Qty],T_TTAFStock[RM_Code],$A90,T_TTAFStock[WeekIndex],5),E90+'Grid_Incoming'!F90-'Grid_Requirement'!F90))</f>
        <v/>
      </c>
      <c r="G90">
        <f>IF(COUNTIFS(T_StockCount[RM_Code],$A90,T_StockCount[WeekIndex],6)&gt;0,SUMIFS(T_StockCount[CountedQty],T_StockCount[RM_Code],$A90,T_StockCount[WeekIndex],6),IF((COUNTIFS(T_SelfStock[RM_Code],$A90,T_SelfStock[WeekIndex],6)&gt;0)*(COUNTIFS(T_TTAFStock[RM_Code],$A90,T_TTAFStock[WeekIndex],6)&gt;0)&gt;0,SUMIFS(T_SelfStock[Self_Qty],T_SelfStock[RM_Code],$A90,T_SelfStock[WeekIndex],6)+SUMIFS(T_TTAFStock[TTAF_Qty],T_TTAFStock[RM_Code],$A90,T_TTAFStock[WeekIndex],6),F90+'Grid_Incoming'!G90-'Grid_Requirement'!G90))</f>
        <v/>
      </c>
      <c r="H90">
        <f>IF(COUNTIFS(T_StockCount[RM_Code],$A90,T_StockCount[WeekIndex],7)&gt;0,SUMIFS(T_StockCount[CountedQty],T_StockCount[RM_Code],$A90,T_StockCount[WeekIndex],7),IF((COUNTIFS(T_SelfStock[RM_Code],$A90,T_SelfStock[WeekIndex],7)&gt;0)*(COUNTIFS(T_TTAFStock[RM_Code],$A90,T_TTAFStock[WeekIndex],7)&gt;0)&gt;0,SUMIFS(T_SelfStock[Self_Qty],T_SelfStock[RM_Code],$A90,T_SelfStock[WeekIndex],7)+SUMIFS(T_TTAFStock[TTAF_Qty],T_TTAFStock[RM_Code],$A90,T_TTAFStock[WeekIndex],7),G90+'Grid_Incoming'!H90-'Grid_Requirement'!H90))</f>
        <v/>
      </c>
      <c r="I90">
        <f>IF(COUNTIFS(T_StockCount[RM_Code],$A90,T_StockCount[WeekIndex],8)&gt;0,SUMIFS(T_StockCount[CountedQty],T_StockCount[RM_Code],$A90,T_StockCount[WeekIndex],8),IF((COUNTIFS(T_SelfStock[RM_Code],$A90,T_SelfStock[WeekIndex],8)&gt;0)*(COUNTIFS(T_TTAFStock[RM_Code],$A90,T_TTAFStock[WeekIndex],8)&gt;0)&gt;0,SUMIFS(T_SelfStock[Self_Qty],T_SelfStock[RM_Code],$A90,T_SelfStock[WeekIndex],8)+SUMIFS(T_TTAFStock[TTAF_Qty],T_TTAFStock[RM_Code],$A90,T_TTAFStock[WeekIndex],8),H90+'Grid_Incoming'!I90-'Grid_Requirement'!I90))</f>
        <v/>
      </c>
      <c r="J90">
        <f>IF(COUNTIFS(T_StockCount[RM_Code],$A90,T_StockCount[WeekIndex],9)&gt;0,SUMIFS(T_StockCount[CountedQty],T_StockCount[RM_Code],$A90,T_StockCount[WeekIndex],9),IF((COUNTIFS(T_SelfStock[RM_Code],$A90,T_SelfStock[WeekIndex],9)&gt;0)*(COUNTIFS(T_TTAFStock[RM_Code],$A90,T_TTAFStock[WeekIndex],9)&gt;0)&gt;0,SUMIFS(T_SelfStock[Self_Qty],T_SelfStock[RM_Code],$A90,T_SelfStock[WeekIndex],9)+SUMIFS(T_TTAFStock[TTAF_Qty],T_TTAFStock[RM_Code],$A90,T_TTAFStock[WeekIndex],9),I90+'Grid_Incoming'!J90-'Grid_Requirement'!J90))</f>
        <v/>
      </c>
      <c r="K90">
        <f>IF(COUNTIFS(T_StockCount[RM_Code],$A90,T_StockCount[WeekIndex],10)&gt;0,SUMIFS(T_StockCount[CountedQty],T_StockCount[RM_Code],$A90,T_StockCount[WeekIndex],10),IF((COUNTIFS(T_SelfStock[RM_Code],$A90,T_SelfStock[WeekIndex],10)&gt;0)*(COUNTIFS(T_TTAFStock[RM_Code],$A90,T_TTAFStock[WeekIndex],10)&gt;0)&gt;0,SUMIFS(T_SelfStock[Self_Qty],T_SelfStock[RM_Code],$A90,T_SelfStock[WeekIndex],10)+SUMIFS(T_TTAFStock[TTAF_Qty],T_TTAFStock[RM_Code],$A90,T_TTAFStock[WeekIndex],10),J90+'Grid_Incoming'!K90-'Grid_Requirement'!K90))</f>
        <v/>
      </c>
      <c r="L90">
        <f>IF(COUNTIFS(T_StockCount[RM_Code],$A90,T_StockCount[WeekIndex],11)&gt;0,SUMIFS(T_StockCount[CountedQty],T_StockCount[RM_Code],$A90,T_StockCount[WeekIndex],11),IF((COUNTIFS(T_SelfStock[RM_Code],$A90,T_SelfStock[WeekIndex],11)&gt;0)*(COUNTIFS(T_TTAFStock[RM_Code],$A90,T_TTAFStock[WeekIndex],11)&gt;0)&gt;0,SUMIFS(T_SelfStock[Self_Qty],T_SelfStock[RM_Code],$A90,T_SelfStock[WeekIndex],11)+SUMIFS(T_TTAFStock[TTAF_Qty],T_TTAFStock[RM_Code],$A90,T_TTAFStock[WeekIndex],11),K90+'Grid_Incoming'!L90-'Grid_Requirement'!L90))</f>
        <v/>
      </c>
      <c r="M90">
        <f>IF(COUNTIFS(T_StockCount[RM_Code],$A90,T_StockCount[WeekIndex],12)&gt;0,SUMIFS(T_StockCount[CountedQty],T_StockCount[RM_Code],$A90,T_StockCount[WeekIndex],12),IF((COUNTIFS(T_SelfStock[RM_Code],$A90,T_SelfStock[WeekIndex],12)&gt;0)*(COUNTIFS(T_TTAFStock[RM_Code],$A90,T_TTAFStock[WeekIndex],12)&gt;0)&gt;0,SUMIFS(T_SelfStock[Self_Qty],T_SelfStock[RM_Code],$A90,T_SelfStock[WeekIndex],12)+SUMIFS(T_TTAFStock[TTAF_Qty],T_TTAFStock[RM_Code],$A90,T_TTAFStock[WeekIndex],12),L90+'Grid_Incoming'!M90-'Grid_Requirement'!M90))</f>
        <v/>
      </c>
      <c r="N90">
        <f>IF(COUNTIFS(T_StockCount[RM_Code],$A90,T_StockCount[WeekIndex],13)&gt;0,SUMIFS(T_StockCount[CountedQty],T_StockCount[RM_Code],$A90,T_StockCount[WeekIndex],13),IF((COUNTIFS(T_SelfStock[RM_Code],$A90,T_SelfStock[WeekIndex],13)&gt;0)*(COUNTIFS(T_TTAFStock[RM_Code],$A90,T_TTAFStock[WeekIndex],13)&gt;0)&gt;0,SUMIFS(T_SelfStock[Self_Qty],T_SelfStock[RM_Code],$A90,T_SelfStock[WeekIndex],13)+SUMIFS(T_TTAFStock[TTAF_Qty],T_TTAFStock[RM_Code],$A90,T_TTAFStock[WeekIndex],13),M90+'Grid_Incoming'!N90-'Grid_Requirement'!N90))</f>
        <v/>
      </c>
      <c r="O90">
        <f>IF(COUNTIFS(T_StockCount[RM_Code],$A90,T_StockCount[WeekIndex],14)&gt;0,SUMIFS(T_StockCount[CountedQty],T_StockCount[RM_Code],$A90,T_StockCount[WeekIndex],14),IF((COUNTIFS(T_SelfStock[RM_Code],$A90,T_SelfStock[WeekIndex],14)&gt;0)*(COUNTIFS(T_TTAFStock[RM_Code],$A90,T_TTAFStock[WeekIndex],14)&gt;0)&gt;0,SUMIFS(T_SelfStock[Self_Qty],T_SelfStock[RM_Code],$A90,T_SelfStock[WeekIndex],14)+SUMIFS(T_TTAFStock[TTAF_Qty],T_TTAFStock[RM_Code],$A90,T_TTAFStock[WeekIndex],14),N90+'Grid_Incoming'!O90-'Grid_Requirement'!O90))</f>
        <v/>
      </c>
      <c r="P90">
        <f>IF(COUNTIFS(T_StockCount[RM_Code],$A90,T_StockCount[WeekIndex],15)&gt;0,SUMIFS(T_StockCount[CountedQty],T_StockCount[RM_Code],$A90,T_StockCount[WeekIndex],15),IF((COUNTIFS(T_SelfStock[RM_Code],$A90,T_SelfStock[WeekIndex],15)&gt;0)*(COUNTIFS(T_TTAFStock[RM_Code],$A90,T_TTAFStock[WeekIndex],15)&gt;0)&gt;0,SUMIFS(T_SelfStock[Self_Qty],T_SelfStock[RM_Code],$A90,T_SelfStock[WeekIndex],15)+SUMIFS(T_TTAFStock[TTAF_Qty],T_TTAFStock[RM_Code],$A90,T_TTAFStock[WeekIndex],15),O90+'Grid_Incoming'!P90-'Grid_Requirement'!P90))</f>
        <v/>
      </c>
      <c r="Q90">
        <f>IF(COUNTIFS(T_StockCount[RM_Code],$A90,T_StockCount[WeekIndex],16)&gt;0,SUMIFS(T_StockCount[CountedQty],T_StockCount[RM_Code],$A90,T_StockCount[WeekIndex],16),IF((COUNTIFS(T_SelfStock[RM_Code],$A90,T_SelfStock[WeekIndex],16)&gt;0)*(COUNTIFS(T_TTAFStock[RM_Code],$A90,T_TTAFStock[WeekIndex],16)&gt;0)&gt;0,SUMIFS(T_SelfStock[Self_Qty],T_SelfStock[RM_Code],$A90,T_SelfStock[WeekIndex],16)+SUMIFS(T_TTAFStock[TTAF_Qty],T_TTAFStock[RM_Code],$A90,T_TTAFStock[WeekIndex],16),P90+'Grid_Incoming'!Q90-'Grid_Requirement'!Q90))</f>
        <v/>
      </c>
      <c r="R90">
        <f>IF(COUNTIFS(T_StockCount[RM_Code],$A90,T_StockCount[WeekIndex],17)&gt;0,SUMIFS(T_StockCount[CountedQty],T_StockCount[RM_Code],$A90,T_StockCount[WeekIndex],17),IF((COUNTIFS(T_SelfStock[RM_Code],$A90,T_SelfStock[WeekIndex],17)&gt;0)*(COUNTIFS(T_TTAFStock[RM_Code],$A90,T_TTAFStock[WeekIndex],17)&gt;0)&gt;0,SUMIFS(T_SelfStock[Self_Qty],T_SelfStock[RM_Code],$A90,T_SelfStock[WeekIndex],17)+SUMIFS(T_TTAFStock[TTAF_Qty],T_TTAFStock[RM_Code],$A90,T_TTAFStock[WeekIndex],17),Q90+'Grid_Incoming'!R90-'Grid_Requirement'!R90))</f>
        <v/>
      </c>
      <c r="S90">
        <f>IF(COUNTIFS(T_StockCount[RM_Code],$A90,T_StockCount[WeekIndex],18)&gt;0,SUMIFS(T_StockCount[CountedQty],T_StockCount[RM_Code],$A90,T_StockCount[WeekIndex],18),IF((COUNTIFS(T_SelfStock[RM_Code],$A90,T_SelfStock[WeekIndex],18)&gt;0)*(COUNTIFS(T_TTAFStock[RM_Code],$A90,T_TTAFStock[WeekIndex],18)&gt;0)&gt;0,SUMIFS(T_SelfStock[Self_Qty],T_SelfStock[RM_Code],$A90,T_SelfStock[WeekIndex],18)+SUMIFS(T_TTAFStock[TTAF_Qty],T_TTAFStock[RM_Code],$A90,T_TTAFStock[WeekIndex],18),R90+'Grid_Incoming'!S90-'Grid_Requirement'!S90))</f>
        <v/>
      </c>
      <c r="T90">
        <f>IF(COUNTIFS(T_StockCount[RM_Code],$A90,T_StockCount[WeekIndex],19)&gt;0,SUMIFS(T_StockCount[CountedQty],T_StockCount[RM_Code],$A90,T_StockCount[WeekIndex],19),IF((COUNTIFS(T_SelfStock[RM_Code],$A90,T_SelfStock[WeekIndex],19)&gt;0)*(COUNTIFS(T_TTAFStock[RM_Code],$A90,T_TTAFStock[WeekIndex],19)&gt;0)&gt;0,SUMIFS(T_SelfStock[Self_Qty],T_SelfStock[RM_Code],$A90,T_SelfStock[WeekIndex],19)+SUMIFS(T_TTAFStock[TTAF_Qty],T_TTAFStock[RM_Code],$A90,T_TTAFStock[WeekIndex],19),S90+'Grid_Incoming'!T90-'Grid_Requirement'!T90))</f>
        <v/>
      </c>
      <c r="U90">
        <f>IF(COUNTIFS(T_StockCount[RM_Code],$A90,T_StockCount[WeekIndex],20)&gt;0,SUMIFS(T_StockCount[CountedQty],T_StockCount[RM_Code],$A90,T_StockCount[WeekIndex],20),IF((COUNTIFS(T_SelfStock[RM_Code],$A90,T_SelfStock[WeekIndex],20)&gt;0)*(COUNTIFS(T_TTAFStock[RM_Code],$A90,T_TTAFStock[WeekIndex],20)&gt;0)&gt;0,SUMIFS(T_SelfStock[Self_Qty],T_SelfStock[RM_Code],$A90,T_SelfStock[WeekIndex],20)+SUMIFS(T_TTAFStock[TTAF_Qty],T_TTAFStock[RM_Code],$A90,T_TTAFStock[WeekIndex],20),T90+'Grid_Incoming'!U90-'Grid_Requirement'!U90))</f>
        <v/>
      </c>
      <c r="V90">
        <f>IF(COUNTIFS(T_StockCount[RM_Code],$A90,T_StockCount[WeekIndex],21)&gt;0,SUMIFS(T_StockCount[CountedQty],T_StockCount[RM_Code],$A90,T_StockCount[WeekIndex],21),IF((COUNTIFS(T_SelfStock[RM_Code],$A90,T_SelfStock[WeekIndex],21)&gt;0)*(COUNTIFS(T_TTAFStock[RM_Code],$A90,T_TTAFStock[WeekIndex],21)&gt;0)&gt;0,SUMIFS(T_SelfStock[Self_Qty],T_SelfStock[RM_Code],$A90,T_SelfStock[WeekIndex],21)+SUMIFS(T_TTAFStock[TTAF_Qty],T_TTAFStock[RM_Code],$A90,T_TTAFStock[WeekIndex],21),U90+'Grid_Incoming'!V90-'Grid_Requirement'!V90))</f>
        <v/>
      </c>
      <c r="W90">
        <f>IF(COUNTIFS(T_StockCount[RM_Code],$A90,T_StockCount[WeekIndex],22)&gt;0,SUMIFS(T_StockCount[CountedQty],T_StockCount[RM_Code],$A90,T_StockCount[WeekIndex],22),IF((COUNTIFS(T_SelfStock[RM_Code],$A90,T_SelfStock[WeekIndex],22)&gt;0)*(COUNTIFS(T_TTAFStock[RM_Code],$A90,T_TTAFStock[WeekIndex],22)&gt;0)&gt;0,SUMIFS(T_SelfStock[Self_Qty],T_SelfStock[RM_Code],$A90,T_SelfStock[WeekIndex],22)+SUMIFS(T_TTAFStock[TTAF_Qty],T_TTAFStock[RM_Code],$A90,T_TTAFStock[WeekIndex],22),V90+'Grid_Incoming'!W90-'Grid_Requirement'!W90))</f>
        <v/>
      </c>
      <c r="X90">
        <f>IF(COUNTIFS(T_StockCount[RM_Code],$A90,T_StockCount[WeekIndex],23)&gt;0,SUMIFS(T_StockCount[CountedQty],T_StockCount[RM_Code],$A90,T_StockCount[WeekIndex],23),IF((COUNTIFS(T_SelfStock[RM_Code],$A90,T_SelfStock[WeekIndex],23)&gt;0)*(COUNTIFS(T_TTAFStock[RM_Code],$A90,T_TTAFStock[WeekIndex],23)&gt;0)&gt;0,SUMIFS(T_SelfStock[Self_Qty],T_SelfStock[RM_Code],$A90,T_SelfStock[WeekIndex],23)+SUMIFS(T_TTAFStock[TTAF_Qty],T_TTAFStock[RM_Code],$A90,T_TTAFStock[WeekIndex],23),W90+'Grid_Incoming'!X90-'Grid_Requirement'!X90))</f>
        <v/>
      </c>
      <c r="Y90">
        <f>IF(COUNTIFS(T_StockCount[RM_Code],$A90,T_StockCount[WeekIndex],24)&gt;0,SUMIFS(T_StockCount[CountedQty],T_StockCount[RM_Code],$A90,T_StockCount[WeekIndex],24),IF((COUNTIFS(T_SelfStock[RM_Code],$A90,T_SelfStock[WeekIndex],24)&gt;0)*(COUNTIFS(T_TTAFStock[RM_Code],$A90,T_TTAFStock[WeekIndex],24)&gt;0)&gt;0,SUMIFS(T_SelfStock[Self_Qty],T_SelfStock[RM_Code],$A90,T_SelfStock[WeekIndex],24)+SUMIFS(T_TTAFStock[TTAF_Qty],T_TTAFStock[RM_Code],$A90,T_TTAFStock[WeekIndex],24),X90+'Grid_Incoming'!Y90-'Grid_Requirement'!Y90))</f>
        <v/>
      </c>
      <c r="Z90">
        <f>IF(COUNTIFS(T_StockCount[RM_Code],$A90,T_StockCount[WeekIndex],25)&gt;0,SUMIFS(T_StockCount[CountedQty],T_StockCount[RM_Code],$A90,T_StockCount[WeekIndex],25),IF((COUNTIFS(T_SelfStock[RM_Code],$A90,T_SelfStock[WeekIndex],25)&gt;0)*(COUNTIFS(T_TTAFStock[RM_Code],$A90,T_TTAFStock[WeekIndex],25)&gt;0)&gt;0,SUMIFS(T_SelfStock[Self_Qty],T_SelfStock[RM_Code],$A90,T_SelfStock[WeekIndex],25)+SUMIFS(T_TTAFStock[TTAF_Qty],T_TTAFStock[RM_Code],$A90,T_TTAFStock[WeekIndex],25),Y90+'Grid_Incoming'!Z90-'Grid_Requirement'!Z90))</f>
        <v/>
      </c>
      <c r="AA90">
        <f>IF(COUNTIFS(T_StockCount[RM_Code],$A90,T_StockCount[WeekIndex],26)&gt;0,SUMIFS(T_StockCount[CountedQty],T_StockCount[RM_Code],$A90,T_StockCount[WeekIndex],26),IF((COUNTIFS(T_SelfStock[RM_Code],$A90,T_SelfStock[WeekIndex],26)&gt;0)*(COUNTIFS(T_TTAFStock[RM_Code],$A90,T_TTAFStock[WeekIndex],26)&gt;0)&gt;0,SUMIFS(T_SelfStock[Self_Qty],T_SelfStock[RM_Code],$A90,T_SelfStock[WeekIndex],26)+SUMIFS(T_TTAFStock[TTAF_Qty],T_TTAFStock[RM_Code],$A90,T_TTAFStock[WeekIndex],26),Z90+'Grid_Incoming'!AA90-'Grid_Requirement'!AA90))</f>
        <v/>
      </c>
      <c r="AB90">
        <f>IF(COUNTIFS(T_StockCount[RM_Code],$A90,T_StockCount[WeekIndex],27)&gt;0,SUMIFS(T_StockCount[CountedQty],T_StockCount[RM_Code],$A90,T_StockCount[WeekIndex],27),IF((COUNTIFS(T_SelfStock[RM_Code],$A90,T_SelfStock[WeekIndex],27)&gt;0)*(COUNTIFS(T_TTAFStock[RM_Code],$A90,T_TTAFStock[WeekIndex],27)&gt;0)&gt;0,SUMIFS(T_SelfStock[Self_Qty],T_SelfStock[RM_Code],$A90,T_SelfStock[WeekIndex],27)+SUMIFS(T_TTAFStock[TTAF_Qty],T_TTAFStock[RM_Code],$A90,T_TTAFStock[WeekIndex],27),AA90+'Grid_Incoming'!AB90-'Grid_Requirement'!AB90))</f>
        <v/>
      </c>
      <c r="AC90">
        <f>IF(COUNTIFS(T_StockCount[RM_Code],$A90,T_StockCount[WeekIndex],28)&gt;0,SUMIFS(T_StockCount[CountedQty],T_StockCount[RM_Code],$A90,T_StockCount[WeekIndex],28),IF((COUNTIFS(T_SelfStock[RM_Code],$A90,T_SelfStock[WeekIndex],28)&gt;0)*(COUNTIFS(T_TTAFStock[RM_Code],$A90,T_TTAFStock[WeekIndex],28)&gt;0)&gt;0,SUMIFS(T_SelfStock[Self_Qty],T_SelfStock[RM_Code],$A90,T_SelfStock[WeekIndex],28)+SUMIFS(T_TTAFStock[TTAF_Qty],T_TTAFStock[RM_Code],$A90,T_TTAFStock[WeekIndex],28),AB90+'Grid_Incoming'!AC90-'Grid_Requirement'!AC90))</f>
        <v/>
      </c>
      <c r="AD90">
        <f>IF(COUNTIFS(T_StockCount[RM_Code],$A90,T_StockCount[WeekIndex],29)&gt;0,SUMIFS(T_StockCount[CountedQty],T_StockCount[RM_Code],$A90,T_StockCount[WeekIndex],29),IF((COUNTIFS(T_SelfStock[RM_Code],$A90,T_SelfStock[WeekIndex],29)&gt;0)*(COUNTIFS(T_TTAFStock[RM_Code],$A90,T_TTAFStock[WeekIndex],29)&gt;0)&gt;0,SUMIFS(T_SelfStock[Self_Qty],T_SelfStock[RM_Code],$A90,T_SelfStock[WeekIndex],29)+SUMIFS(T_TTAFStock[TTAF_Qty],T_TTAFStock[RM_Code],$A90,T_TTAFStock[WeekIndex],29),AC90+'Grid_Incoming'!AD90-'Grid_Requirement'!AD90))</f>
        <v/>
      </c>
      <c r="AE90">
        <f>IF(COUNTIFS(T_StockCount[RM_Code],$A90,T_StockCount[WeekIndex],30)&gt;0,SUMIFS(T_StockCount[CountedQty],T_StockCount[RM_Code],$A90,T_StockCount[WeekIndex],30),IF((COUNTIFS(T_SelfStock[RM_Code],$A90,T_SelfStock[WeekIndex],30)&gt;0)*(COUNTIFS(T_TTAFStock[RM_Code],$A90,T_TTAFStock[WeekIndex],30)&gt;0)&gt;0,SUMIFS(T_SelfStock[Self_Qty],T_SelfStock[RM_Code],$A90,T_SelfStock[WeekIndex],30)+SUMIFS(T_TTAFStock[TTAF_Qty],T_TTAFStock[RM_Code],$A90,T_TTAFStock[WeekIndex],30),AD90+'Grid_Incoming'!AE90-'Grid_Requirement'!AE90))</f>
        <v/>
      </c>
      <c r="AF90">
        <f>IF(COUNTIFS(T_StockCount[RM_Code],$A90,T_StockCount[WeekIndex],31)&gt;0,SUMIFS(T_StockCount[CountedQty],T_StockCount[RM_Code],$A90,T_StockCount[WeekIndex],31),IF((COUNTIFS(T_SelfStock[RM_Code],$A90,T_SelfStock[WeekIndex],31)&gt;0)*(COUNTIFS(T_TTAFStock[RM_Code],$A90,T_TTAFStock[WeekIndex],31)&gt;0)&gt;0,SUMIFS(T_SelfStock[Self_Qty],T_SelfStock[RM_Code],$A90,T_SelfStock[WeekIndex],31)+SUMIFS(T_TTAFStock[TTAF_Qty],T_TTAFStock[RM_Code],$A90,T_TTAFStock[WeekIndex],31),AE90+'Grid_Incoming'!AF90-'Grid_Requirement'!AF90))</f>
        <v/>
      </c>
      <c r="AG90">
        <f>IF(COUNTIFS(T_StockCount[RM_Code],$A90,T_StockCount[WeekIndex],32)&gt;0,SUMIFS(T_StockCount[CountedQty],T_StockCount[RM_Code],$A90,T_StockCount[WeekIndex],32),IF((COUNTIFS(T_SelfStock[RM_Code],$A90,T_SelfStock[WeekIndex],32)&gt;0)*(COUNTIFS(T_TTAFStock[RM_Code],$A90,T_TTAFStock[WeekIndex],32)&gt;0)&gt;0,SUMIFS(T_SelfStock[Self_Qty],T_SelfStock[RM_Code],$A90,T_SelfStock[WeekIndex],32)+SUMIFS(T_TTAFStock[TTAF_Qty],T_TTAFStock[RM_Code],$A90,T_TTAFStock[WeekIndex],32),AF90+'Grid_Incoming'!AG90-'Grid_Requirement'!AG90))</f>
        <v/>
      </c>
      <c r="AH90">
        <f>IF(COUNTIFS(T_StockCount[RM_Code],$A90,T_StockCount[WeekIndex],33)&gt;0,SUMIFS(T_StockCount[CountedQty],T_StockCount[RM_Code],$A90,T_StockCount[WeekIndex],33),IF((COUNTIFS(T_SelfStock[RM_Code],$A90,T_SelfStock[WeekIndex],33)&gt;0)*(COUNTIFS(T_TTAFStock[RM_Code],$A90,T_TTAFStock[WeekIndex],33)&gt;0)&gt;0,SUMIFS(T_SelfStock[Self_Qty],T_SelfStock[RM_Code],$A90,T_SelfStock[WeekIndex],33)+SUMIFS(T_TTAFStock[TTAF_Qty],T_TTAFStock[RM_Code],$A90,T_TTAFStock[WeekIndex],33),AG90+'Grid_Incoming'!AH90-'Grid_Requirement'!AH90))</f>
        <v/>
      </c>
      <c r="AI90">
        <f>IF(COUNTIFS(T_StockCount[RM_Code],$A90,T_StockCount[WeekIndex],34)&gt;0,SUMIFS(T_StockCount[CountedQty],T_StockCount[RM_Code],$A90,T_StockCount[WeekIndex],34),IF((COUNTIFS(T_SelfStock[RM_Code],$A90,T_SelfStock[WeekIndex],34)&gt;0)*(COUNTIFS(T_TTAFStock[RM_Code],$A90,T_TTAFStock[WeekIndex],34)&gt;0)&gt;0,SUMIFS(T_SelfStock[Self_Qty],T_SelfStock[RM_Code],$A90,T_SelfStock[WeekIndex],34)+SUMIFS(T_TTAFStock[TTAF_Qty],T_TTAFStock[RM_Code],$A90,T_TTAFStock[WeekIndex],34),AH90+'Grid_Incoming'!AI90-'Grid_Requirement'!AI90))</f>
        <v/>
      </c>
      <c r="AJ90">
        <f>IF(COUNTIFS(T_StockCount[RM_Code],$A90,T_StockCount[WeekIndex],35)&gt;0,SUMIFS(T_StockCount[CountedQty],T_StockCount[RM_Code],$A90,T_StockCount[WeekIndex],35),IF((COUNTIFS(T_SelfStock[RM_Code],$A90,T_SelfStock[WeekIndex],35)&gt;0)*(COUNTIFS(T_TTAFStock[RM_Code],$A90,T_TTAFStock[WeekIndex],35)&gt;0)&gt;0,SUMIFS(T_SelfStock[Self_Qty],T_SelfStock[RM_Code],$A90,T_SelfStock[WeekIndex],35)+SUMIFS(T_TTAFStock[TTAF_Qty],T_TTAFStock[RM_Code],$A90,T_TTAFStock[WeekIndex],35),AI90+'Grid_Incoming'!AJ90-'Grid_Requirement'!AJ90))</f>
        <v/>
      </c>
      <c r="AK90">
        <f>IF(COUNTIFS(T_StockCount[RM_Code],$A90,T_StockCount[WeekIndex],36)&gt;0,SUMIFS(T_StockCount[CountedQty],T_StockCount[RM_Code],$A90,T_StockCount[WeekIndex],36),IF((COUNTIFS(T_SelfStock[RM_Code],$A90,T_SelfStock[WeekIndex],36)&gt;0)*(COUNTIFS(T_TTAFStock[RM_Code],$A90,T_TTAFStock[WeekIndex],36)&gt;0)&gt;0,SUMIFS(T_SelfStock[Self_Qty],T_SelfStock[RM_Code],$A90,T_SelfStock[WeekIndex],36)+SUMIFS(T_TTAFStock[TTAF_Qty],T_TTAFStock[RM_Code],$A90,T_TTAFStock[WeekIndex],36),AJ90+'Grid_Incoming'!AK90-'Grid_Requirement'!AK90))</f>
        <v/>
      </c>
      <c r="AL90">
        <f>IF(COUNTIFS(T_StockCount[RM_Code],$A90,T_StockCount[WeekIndex],37)&gt;0,SUMIFS(T_StockCount[CountedQty],T_StockCount[RM_Code],$A90,T_StockCount[WeekIndex],37),IF((COUNTIFS(T_SelfStock[RM_Code],$A90,T_SelfStock[WeekIndex],37)&gt;0)*(COUNTIFS(T_TTAFStock[RM_Code],$A90,T_TTAFStock[WeekIndex],37)&gt;0)&gt;0,SUMIFS(T_SelfStock[Self_Qty],T_SelfStock[RM_Code],$A90,T_SelfStock[WeekIndex],37)+SUMIFS(T_TTAFStock[TTAF_Qty],T_TTAFStock[RM_Code],$A90,T_TTAFStock[WeekIndex],37),AK90+'Grid_Incoming'!AL90-'Grid_Requirement'!AL90))</f>
        <v/>
      </c>
      <c r="AM90">
        <f>IF(COUNTIFS(T_StockCount[RM_Code],$A90,T_StockCount[WeekIndex],38)&gt;0,SUMIFS(T_StockCount[CountedQty],T_StockCount[RM_Code],$A90,T_StockCount[WeekIndex],38),IF((COUNTIFS(T_SelfStock[RM_Code],$A90,T_SelfStock[WeekIndex],38)&gt;0)*(COUNTIFS(T_TTAFStock[RM_Code],$A90,T_TTAFStock[WeekIndex],38)&gt;0)&gt;0,SUMIFS(T_SelfStock[Self_Qty],T_SelfStock[RM_Code],$A90,T_SelfStock[WeekIndex],38)+SUMIFS(T_TTAFStock[TTAF_Qty],T_TTAFStock[RM_Code],$A90,T_TTAFStock[WeekIndex],38),AL90+'Grid_Incoming'!AM90-'Grid_Requirement'!AM90))</f>
        <v/>
      </c>
      <c r="AN90">
        <f>IF(COUNTIFS(T_StockCount[RM_Code],$A90,T_StockCount[WeekIndex],39)&gt;0,SUMIFS(T_StockCount[CountedQty],T_StockCount[RM_Code],$A90,T_StockCount[WeekIndex],39),IF((COUNTIFS(T_SelfStock[RM_Code],$A90,T_SelfStock[WeekIndex],39)&gt;0)*(COUNTIFS(T_TTAFStock[RM_Code],$A90,T_TTAFStock[WeekIndex],39)&gt;0)&gt;0,SUMIFS(T_SelfStock[Self_Qty],T_SelfStock[RM_Code],$A90,T_SelfStock[WeekIndex],39)+SUMIFS(T_TTAFStock[TTAF_Qty],T_TTAFStock[RM_Code],$A90,T_TTAFStock[WeekIndex],39),AM90+'Grid_Incoming'!AN90-'Grid_Requirement'!AN90))</f>
        <v/>
      </c>
      <c r="AO90">
        <f>IF(COUNTIFS(T_StockCount[RM_Code],$A90,T_StockCount[WeekIndex],40)&gt;0,SUMIFS(T_StockCount[CountedQty],T_StockCount[RM_Code],$A90,T_StockCount[WeekIndex],40),IF((COUNTIFS(T_SelfStock[RM_Code],$A90,T_SelfStock[WeekIndex],40)&gt;0)*(COUNTIFS(T_TTAFStock[RM_Code],$A90,T_TTAFStock[WeekIndex],40)&gt;0)&gt;0,SUMIFS(T_SelfStock[Self_Qty],T_SelfStock[RM_Code],$A90,T_SelfStock[WeekIndex],40)+SUMIFS(T_TTAFStock[TTAF_Qty],T_TTAFStock[RM_Code],$A90,T_TTAFStock[WeekIndex],40),AN90+'Grid_Incoming'!AO90-'Grid_Requirement'!AO90))</f>
        <v/>
      </c>
      <c r="AP90">
        <f>IF(COUNTIFS(T_StockCount[RM_Code],$A90,T_StockCount[WeekIndex],41)&gt;0,SUMIFS(T_StockCount[CountedQty],T_StockCount[RM_Code],$A90,T_StockCount[WeekIndex],41),IF((COUNTIFS(T_SelfStock[RM_Code],$A90,T_SelfStock[WeekIndex],41)&gt;0)*(COUNTIFS(T_TTAFStock[RM_Code],$A90,T_TTAFStock[WeekIndex],41)&gt;0)&gt;0,SUMIFS(T_SelfStock[Self_Qty],T_SelfStock[RM_Code],$A90,T_SelfStock[WeekIndex],41)+SUMIFS(T_TTAFStock[TTAF_Qty],T_TTAFStock[RM_Code],$A90,T_TTAFStock[WeekIndex],41),AO90+'Grid_Incoming'!AP90-'Grid_Requirement'!AP90))</f>
        <v/>
      </c>
      <c r="AQ90">
        <f>IF(COUNTIFS(T_StockCount[RM_Code],$A90,T_StockCount[WeekIndex],42)&gt;0,SUMIFS(T_StockCount[CountedQty],T_StockCount[RM_Code],$A90,T_StockCount[WeekIndex],42),IF((COUNTIFS(T_SelfStock[RM_Code],$A90,T_SelfStock[WeekIndex],42)&gt;0)*(COUNTIFS(T_TTAFStock[RM_Code],$A90,T_TTAFStock[WeekIndex],42)&gt;0)&gt;0,SUMIFS(T_SelfStock[Self_Qty],T_SelfStock[RM_Code],$A90,T_SelfStock[WeekIndex],42)+SUMIFS(T_TTAFStock[TTAF_Qty],T_TTAFStock[RM_Code],$A90,T_TTAFStock[WeekIndex],42),AP90+'Grid_Incoming'!AQ90-'Grid_Requirement'!AQ90))</f>
        <v/>
      </c>
      <c r="AR90">
        <f>IF(COUNTIFS(T_StockCount[RM_Code],$A90,T_StockCount[WeekIndex],43)&gt;0,SUMIFS(T_StockCount[CountedQty],T_StockCount[RM_Code],$A90,T_StockCount[WeekIndex],43),IF((COUNTIFS(T_SelfStock[RM_Code],$A90,T_SelfStock[WeekIndex],43)&gt;0)*(COUNTIFS(T_TTAFStock[RM_Code],$A90,T_TTAFStock[WeekIndex],43)&gt;0)&gt;0,SUMIFS(T_SelfStock[Self_Qty],T_SelfStock[RM_Code],$A90,T_SelfStock[WeekIndex],43)+SUMIFS(T_TTAFStock[TTAF_Qty],T_TTAFStock[RM_Code],$A90,T_TTAFStock[WeekIndex],43),AQ90+'Grid_Incoming'!AR90-'Grid_Requirement'!AR90))</f>
        <v/>
      </c>
      <c r="AS90">
        <f>IF(COUNTIFS(T_StockCount[RM_Code],$A90,T_StockCount[WeekIndex],44)&gt;0,SUMIFS(T_StockCount[CountedQty],T_StockCount[RM_Code],$A90,T_StockCount[WeekIndex],44),IF((COUNTIFS(T_SelfStock[RM_Code],$A90,T_SelfStock[WeekIndex],44)&gt;0)*(COUNTIFS(T_TTAFStock[RM_Code],$A90,T_TTAFStock[WeekIndex],44)&gt;0)&gt;0,SUMIFS(T_SelfStock[Self_Qty],T_SelfStock[RM_Code],$A90,T_SelfStock[WeekIndex],44)+SUMIFS(T_TTAFStock[TTAF_Qty],T_TTAFStock[RM_Code],$A90,T_TTAFStock[WeekIndex],44),AR90+'Grid_Incoming'!AS90-'Grid_Requirement'!AS90))</f>
        <v/>
      </c>
      <c r="AT90">
        <f>IF(COUNTIFS(T_StockCount[RM_Code],$A90,T_StockCount[WeekIndex],45)&gt;0,SUMIFS(T_StockCount[CountedQty],T_StockCount[RM_Code],$A90,T_StockCount[WeekIndex],45),IF((COUNTIFS(T_SelfStock[RM_Code],$A90,T_SelfStock[WeekIndex],45)&gt;0)*(COUNTIFS(T_TTAFStock[RM_Code],$A90,T_TTAFStock[WeekIndex],45)&gt;0)&gt;0,SUMIFS(T_SelfStock[Self_Qty],T_SelfStock[RM_Code],$A90,T_SelfStock[WeekIndex],45)+SUMIFS(T_TTAFStock[TTAF_Qty],T_TTAFStock[RM_Code],$A90,T_TTAFStock[WeekIndex],45),AS90+'Grid_Incoming'!AT90-'Grid_Requirement'!AT90))</f>
        <v/>
      </c>
      <c r="AU90">
        <f>IF(COUNTIFS(T_StockCount[RM_Code],$A90,T_StockCount[WeekIndex],46)&gt;0,SUMIFS(T_StockCount[CountedQty],T_StockCount[RM_Code],$A90,T_StockCount[WeekIndex],46),IF((COUNTIFS(T_SelfStock[RM_Code],$A90,T_SelfStock[WeekIndex],46)&gt;0)*(COUNTIFS(T_TTAFStock[RM_Code],$A90,T_TTAFStock[WeekIndex],46)&gt;0)&gt;0,SUMIFS(T_SelfStock[Self_Qty],T_SelfStock[RM_Code],$A90,T_SelfStock[WeekIndex],46)+SUMIFS(T_TTAFStock[TTAF_Qty],T_TTAFStock[RM_Code],$A90,T_TTAFStock[WeekIndex],46),AT90+'Grid_Incoming'!AU90-'Grid_Requirement'!AU90))</f>
        <v/>
      </c>
      <c r="AV90">
        <f>IF(COUNTIFS(T_StockCount[RM_Code],$A90,T_StockCount[WeekIndex],47)&gt;0,SUMIFS(T_StockCount[CountedQty],T_StockCount[RM_Code],$A90,T_StockCount[WeekIndex],47),IF((COUNTIFS(T_SelfStock[RM_Code],$A90,T_SelfStock[WeekIndex],47)&gt;0)*(COUNTIFS(T_TTAFStock[RM_Code],$A90,T_TTAFStock[WeekIndex],47)&gt;0)&gt;0,SUMIFS(T_SelfStock[Self_Qty],T_SelfStock[RM_Code],$A90,T_SelfStock[WeekIndex],47)+SUMIFS(T_TTAFStock[TTAF_Qty],T_TTAFStock[RM_Code],$A90,T_TTAFStock[WeekIndex],47),AU90+'Grid_Incoming'!AV90-'Grid_Requirement'!AV90))</f>
        <v/>
      </c>
      <c r="AW90">
        <f>IF(COUNTIFS(T_StockCount[RM_Code],$A90,T_StockCount[WeekIndex],48)&gt;0,SUMIFS(T_StockCount[CountedQty],T_StockCount[RM_Code],$A90,T_StockCount[WeekIndex],48),IF((COUNTIFS(T_SelfStock[RM_Code],$A90,T_SelfStock[WeekIndex],48)&gt;0)*(COUNTIFS(T_TTAFStock[RM_Code],$A90,T_TTAFStock[WeekIndex],48)&gt;0)&gt;0,SUMIFS(T_SelfStock[Self_Qty],T_SelfStock[RM_Code],$A90,T_SelfStock[WeekIndex],48)+SUMIFS(T_TTAFStock[TTAF_Qty],T_TTAFStock[RM_Code],$A90,T_TTAFStock[WeekIndex],48),AV90+'Grid_Incoming'!AW90-'Grid_Requirement'!AW90))</f>
        <v/>
      </c>
      <c r="AX90">
        <f>IF(COUNTIFS(T_StockCount[RM_Code],$A90,T_StockCount[WeekIndex],49)&gt;0,SUMIFS(T_StockCount[CountedQty],T_StockCount[RM_Code],$A90,T_StockCount[WeekIndex],49),IF((COUNTIFS(T_SelfStock[RM_Code],$A90,T_SelfStock[WeekIndex],49)&gt;0)*(COUNTIFS(T_TTAFStock[RM_Code],$A90,T_TTAFStock[WeekIndex],49)&gt;0)&gt;0,SUMIFS(T_SelfStock[Self_Qty],T_SelfStock[RM_Code],$A90,T_SelfStock[WeekIndex],49)+SUMIFS(T_TTAFStock[TTAF_Qty],T_TTAFStock[RM_Code],$A90,T_TTAFStock[WeekIndex],49),AW90+'Grid_Incoming'!AX90-'Grid_Requirement'!AX90))</f>
        <v/>
      </c>
      <c r="AY90">
        <f>IF(COUNTIFS(T_StockCount[RM_Code],$A90,T_StockCount[WeekIndex],50)&gt;0,SUMIFS(T_StockCount[CountedQty],T_StockCount[RM_Code],$A90,T_StockCount[WeekIndex],50),IF((COUNTIFS(T_SelfStock[RM_Code],$A90,T_SelfStock[WeekIndex],50)&gt;0)*(COUNTIFS(T_TTAFStock[RM_Code],$A90,T_TTAFStock[WeekIndex],50)&gt;0)&gt;0,SUMIFS(T_SelfStock[Self_Qty],T_SelfStock[RM_Code],$A90,T_SelfStock[WeekIndex],50)+SUMIFS(T_TTAFStock[TTAF_Qty],T_TTAFStock[RM_Code],$A90,T_TTAFStock[WeekIndex],50),AX90+'Grid_Incoming'!AY90-'Grid_Requirement'!AY90))</f>
        <v/>
      </c>
      <c r="AZ90">
        <f>IF(COUNTIFS(T_StockCount[RM_Code],$A90,T_StockCount[WeekIndex],51)&gt;0,SUMIFS(T_StockCount[CountedQty],T_StockCount[RM_Code],$A90,T_StockCount[WeekIndex],51),IF((COUNTIFS(T_SelfStock[RM_Code],$A90,T_SelfStock[WeekIndex],51)&gt;0)*(COUNTIFS(T_TTAFStock[RM_Code],$A90,T_TTAFStock[WeekIndex],51)&gt;0)&gt;0,SUMIFS(T_SelfStock[Self_Qty],T_SelfStock[RM_Code],$A90,T_SelfStock[WeekIndex],51)+SUMIFS(T_TTAFStock[TTAF_Qty],T_TTAFStock[RM_Code],$A90,T_TTAFStock[WeekIndex],51),AY90+'Grid_Incoming'!AZ90-'Grid_Requirement'!AZ90))</f>
        <v/>
      </c>
      <c r="BA90">
        <f>IF(COUNTIFS(T_StockCount[RM_Code],$A90,T_StockCount[WeekIndex],52)&gt;0,SUMIFS(T_StockCount[CountedQty],T_StockCount[RM_Code],$A90,T_StockCount[WeekIndex],52),IF((COUNTIFS(T_SelfStock[RM_Code],$A90,T_SelfStock[WeekIndex],52)&gt;0)*(COUNTIFS(T_TTAFStock[RM_Code],$A90,T_TTAFStock[WeekIndex],52)&gt;0)&gt;0,SUMIFS(T_SelfStock[Self_Qty],T_SelfStock[RM_Code],$A90,T_SelfStock[WeekIndex],52)+SUMIFS(T_TTAFStock[TTAF_Qty],T_TTAFStock[RM_Code],$A90,T_TTAFStock[WeekIndex],52),AZ90+'Grid_Incoming'!BA90-'Grid_Requirement'!BA90))</f>
        <v/>
      </c>
      <c r="BB90">
        <f>IF(COUNTIFS(T_StockCount[RM_Code],$A90,T_StockCount[WeekIndex],53)&gt;0,SUMIFS(T_StockCount[CountedQty],T_StockCount[RM_Code],$A90,T_StockCount[WeekIndex],53),IF((COUNTIFS(T_SelfStock[RM_Code],$A90,T_SelfStock[WeekIndex],53)&gt;0)*(COUNTIFS(T_TTAFStock[RM_Code],$A90,T_TTAFStock[WeekIndex],53)&gt;0)&gt;0,SUMIFS(T_SelfStock[Self_Qty],T_SelfStock[RM_Code],$A90,T_SelfStock[WeekIndex],53)+SUMIFS(T_TTAFStock[TTAF_Qty],T_TTAFStock[RM_Code],$A90,T_TTAFStock[WeekIndex],53),BA90+'Grid_Incoming'!BB90-'Grid_Requirement'!BB90))</f>
        <v/>
      </c>
      <c r="BC90">
        <f>IF(COUNTIFS(T_StockCount[RM_Code],$A90,T_StockCount[WeekIndex],54)&gt;0,SUMIFS(T_StockCount[CountedQty],T_StockCount[RM_Code],$A90,T_StockCount[WeekIndex],54),IF((COUNTIFS(T_SelfStock[RM_Code],$A90,T_SelfStock[WeekIndex],54)&gt;0)*(COUNTIFS(T_TTAFStock[RM_Code],$A90,T_TTAFStock[WeekIndex],54)&gt;0)&gt;0,SUMIFS(T_SelfStock[Self_Qty],T_SelfStock[RM_Code],$A90,T_SelfStock[WeekIndex],54)+SUMIFS(T_TTAFStock[TTAF_Qty],T_TTAFStock[RM_Code],$A90,T_TTAFStock[WeekIndex],54),BB90+'Grid_Incoming'!BC90-'Grid_Requirement'!BC90))</f>
        <v/>
      </c>
      <c r="BD90">
        <f>IF(COUNTIFS(T_StockCount[RM_Code],$A90,T_StockCount[WeekIndex],55)&gt;0,SUMIFS(T_StockCount[CountedQty],T_StockCount[RM_Code],$A90,T_StockCount[WeekIndex],55),IF((COUNTIFS(T_SelfStock[RM_Code],$A90,T_SelfStock[WeekIndex],55)&gt;0)*(COUNTIFS(T_TTAFStock[RM_Code],$A90,T_TTAFStock[WeekIndex],55)&gt;0)&gt;0,SUMIFS(T_SelfStock[Self_Qty],T_SelfStock[RM_Code],$A90,T_SelfStock[WeekIndex],55)+SUMIFS(T_TTAFStock[TTAF_Qty],T_TTAFStock[RM_Code],$A90,T_TTAFStock[WeekIndex],55),BC90+'Grid_Incoming'!BD90-'Grid_Requirement'!BD90))</f>
        <v/>
      </c>
      <c r="BE90">
        <f>IF(COUNTIFS(T_StockCount[RM_Code],$A90,T_StockCount[WeekIndex],56)&gt;0,SUMIFS(T_StockCount[CountedQty],T_StockCount[RM_Code],$A90,T_StockCount[WeekIndex],56),IF((COUNTIFS(T_SelfStock[RM_Code],$A90,T_SelfStock[WeekIndex],56)&gt;0)*(COUNTIFS(T_TTAFStock[RM_Code],$A90,T_TTAFStock[WeekIndex],56)&gt;0)&gt;0,SUMIFS(T_SelfStock[Self_Qty],T_SelfStock[RM_Code],$A90,T_SelfStock[WeekIndex],56)+SUMIFS(T_TTAFStock[TTAF_Qty],T_TTAFStock[RM_Code],$A90,T_TTAFStock[WeekIndex],56),BD90+'Grid_Incoming'!BE90-'Grid_Requirement'!BE90))</f>
        <v/>
      </c>
      <c r="BF90">
        <f>IF(COUNTIFS(T_StockCount[RM_Code],$A90,T_StockCount[WeekIndex],57)&gt;0,SUMIFS(T_StockCount[CountedQty],T_StockCount[RM_Code],$A90,T_StockCount[WeekIndex],57),IF((COUNTIFS(T_SelfStock[RM_Code],$A90,T_SelfStock[WeekIndex],57)&gt;0)*(COUNTIFS(T_TTAFStock[RM_Code],$A90,T_TTAFStock[WeekIndex],57)&gt;0)&gt;0,SUMIFS(T_SelfStock[Self_Qty],T_SelfStock[RM_Code],$A90,T_SelfStock[WeekIndex],57)+SUMIFS(T_TTAFStock[TTAF_Qty],T_TTAFStock[RM_Code],$A90,T_TTAFStock[WeekIndex],57),BE90+'Grid_Incoming'!BF90-'Grid_Requirement'!BF90))</f>
        <v/>
      </c>
      <c r="BG90">
        <f>IF(COUNTIFS(T_StockCount[RM_Code],$A90,T_StockCount[WeekIndex],58)&gt;0,SUMIFS(T_StockCount[CountedQty],T_StockCount[RM_Code],$A90,T_StockCount[WeekIndex],58),IF((COUNTIFS(T_SelfStock[RM_Code],$A90,T_SelfStock[WeekIndex],58)&gt;0)*(COUNTIFS(T_TTAFStock[RM_Code],$A90,T_TTAFStock[WeekIndex],58)&gt;0)&gt;0,SUMIFS(T_SelfStock[Self_Qty],T_SelfStock[RM_Code],$A90,T_SelfStock[WeekIndex],58)+SUMIFS(T_TTAFStock[TTAF_Qty],T_TTAFStock[RM_Code],$A90,T_TTAFStock[WeekIndex],58),BF90+'Grid_Incoming'!BG90-'Grid_Requirement'!BG90))</f>
        <v/>
      </c>
      <c r="BH90">
        <f>IF(COUNTIFS(T_StockCount[RM_Code],$A90,T_StockCount[WeekIndex],59)&gt;0,SUMIFS(T_StockCount[CountedQty],T_StockCount[RM_Code],$A90,T_StockCount[WeekIndex],59),IF((COUNTIFS(T_SelfStock[RM_Code],$A90,T_SelfStock[WeekIndex],59)&gt;0)*(COUNTIFS(T_TTAFStock[RM_Code],$A90,T_TTAFStock[WeekIndex],59)&gt;0)&gt;0,SUMIFS(T_SelfStock[Self_Qty],T_SelfStock[RM_Code],$A90,T_SelfStock[WeekIndex],59)+SUMIFS(T_TTAFStock[TTAF_Qty],T_TTAFStock[RM_Code],$A90,T_TTAFStock[WeekIndex],59),BG90+'Grid_Incoming'!BH90-'Grid_Requirement'!BH90))</f>
        <v/>
      </c>
      <c r="BI90">
        <f>IF(COUNTIFS(T_StockCount[RM_Code],$A90,T_StockCount[WeekIndex],60)&gt;0,SUMIFS(T_StockCount[CountedQty],T_StockCount[RM_Code],$A90,T_StockCount[WeekIndex],60),IF((COUNTIFS(T_SelfStock[RM_Code],$A90,T_SelfStock[WeekIndex],60)&gt;0)*(COUNTIFS(T_TTAFStock[RM_Code],$A90,T_TTAFStock[WeekIndex],60)&gt;0)&gt;0,SUMIFS(T_SelfStock[Self_Qty],T_SelfStock[RM_Code],$A90,T_SelfStock[WeekIndex],60)+SUMIFS(T_TTAFStock[TTAF_Qty],T_TTAFStock[RM_Code],$A90,T_TTAFStock[WeekIndex],60),BH90+'Grid_Incoming'!BI90-'Grid_Requirement'!BI90))</f>
        <v/>
      </c>
      <c r="BJ90">
        <f>IF(COUNTIFS(T_StockCount[RM_Code],$A90,T_StockCount[WeekIndex],61)&gt;0,SUMIFS(T_StockCount[CountedQty],T_StockCount[RM_Code],$A90,T_StockCount[WeekIndex],61),IF((COUNTIFS(T_SelfStock[RM_Code],$A90,T_SelfStock[WeekIndex],61)&gt;0)*(COUNTIFS(T_TTAFStock[RM_Code],$A90,T_TTAFStock[WeekIndex],61)&gt;0)&gt;0,SUMIFS(T_SelfStock[Self_Qty],T_SelfStock[RM_Code],$A90,T_SelfStock[WeekIndex],61)+SUMIFS(T_TTAFStock[TTAF_Qty],T_TTAFStock[RM_Code],$A90,T_TTAFStock[WeekIndex],61),BI90+'Grid_Incoming'!BJ90-'Grid_Requirement'!BJ90))</f>
        <v/>
      </c>
      <c r="BK90">
        <f>IF(COUNTIFS(T_StockCount[RM_Code],$A90,T_StockCount[WeekIndex],62)&gt;0,SUMIFS(T_StockCount[CountedQty],T_StockCount[RM_Code],$A90,T_StockCount[WeekIndex],62),IF((COUNTIFS(T_SelfStock[RM_Code],$A90,T_SelfStock[WeekIndex],62)&gt;0)*(COUNTIFS(T_TTAFStock[RM_Code],$A90,T_TTAFStock[WeekIndex],62)&gt;0)&gt;0,SUMIFS(T_SelfStock[Self_Qty],T_SelfStock[RM_Code],$A90,T_SelfStock[WeekIndex],62)+SUMIFS(T_TTAFStock[TTAF_Qty],T_TTAFStock[RM_Code],$A90,T_TTAFStock[WeekIndex],62),BJ90+'Grid_Incoming'!BK90-'Grid_Requirement'!BK90))</f>
        <v/>
      </c>
      <c r="BL90">
        <f>IF(COUNTIFS(T_StockCount[RM_Code],$A90,T_StockCount[WeekIndex],63)&gt;0,SUMIFS(T_StockCount[CountedQty],T_StockCount[RM_Code],$A90,T_StockCount[WeekIndex],63),IF((COUNTIFS(T_SelfStock[RM_Code],$A90,T_SelfStock[WeekIndex],63)&gt;0)*(COUNTIFS(T_TTAFStock[RM_Code],$A90,T_TTAFStock[WeekIndex],63)&gt;0)&gt;0,SUMIFS(T_SelfStock[Self_Qty],T_SelfStock[RM_Code],$A90,T_SelfStock[WeekIndex],63)+SUMIFS(T_TTAFStock[TTAF_Qty],T_TTAFStock[RM_Code],$A90,T_TTAFStock[WeekIndex],63),BK90+'Grid_Incoming'!BL90-'Grid_Requirement'!BL90))</f>
        <v/>
      </c>
      <c r="BM90">
        <f>IF(COUNTIFS(T_StockCount[RM_Code],$A90,T_StockCount[WeekIndex],64)&gt;0,SUMIFS(T_StockCount[CountedQty],T_StockCount[RM_Code],$A90,T_StockCount[WeekIndex],64),IF((COUNTIFS(T_SelfStock[RM_Code],$A90,T_SelfStock[WeekIndex],64)&gt;0)*(COUNTIFS(T_TTAFStock[RM_Code],$A90,T_TTAFStock[WeekIndex],64)&gt;0)&gt;0,SUMIFS(T_SelfStock[Self_Qty],T_SelfStock[RM_Code],$A90,T_SelfStock[WeekIndex],64)+SUMIFS(T_TTAFStock[TTAF_Qty],T_TTAFStock[RM_Code],$A90,T_TTAFStock[WeekIndex],64),BL90+'Grid_Incoming'!BM90-'Grid_Requirement'!BM90))</f>
        <v/>
      </c>
      <c r="BN90">
        <f>IF(COUNTIFS(T_StockCount[RM_Code],$A90,T_StockCount[WeekIndex],65)&gt;0,SUMIFS(T_StockCount[CountedQty],T_StockCount[RM_Code],$A90,T_StockCount[WeekIndex],65),IF((COUNTIFS(T_SelfStock[RM_Code],$A90,T_SelfStock[WeekIndex],65)&gt;0)*(COUNTIFS(T_TTAFStock[RM_Code],$A90,T_TTAFStock[WeekIndex],65)&gt;0)&gt;0,SUMIFS(T_SelfStock[Self_Qty],T_SelfStock[RM_Code],$A90,T_SelfStock[WeekIndex],65)+SUMIFS(T_TTAFStock[TTAF_Qty],T_TTAFStock[RM_Code],$A90,T_TTAFStock[WeekIndex],65),BM90+'Grid_Incoming'!BN90-'Grid_Requirement'!BN90))</f>
        <v/>
      </c>
      <c r="BO90">
        <f>IF(COUNTIFS(T_StockCount[RM_Code],$A90,T_StockCount[WeekIndex],66)&gt;0,SUMIFS(T_StockCount[CountedQty],T_StockCount[RM_Code],$A90,T_StockCount[WeekIndex],66),IF((COUNTIFS(T_SelfStock[RM_Code],$A90,T_SelfStock[WeekIndex],66)&gt;0)*(COUNTIFS(T_TTAFStock[RM_Code],$A90,T_TTAFStock[WeekIndex],66)&gt;0)&gt;0,SUMIFS(T_SelfStock[Self_Qty],T_SelfStock[RM_Code],$A90,T_SelfStock[WeekIndex],66)+SUMIFS(T_TTAFStock[TTAF_Qty],T_TTAFStock[RM_Code],$A90,T_TTAFStock[WeekIndex],66),BN90+'Grid_Incoming'!BO90-'Grid_Requirement'!BO90))</f>
        <v/>
      </c>
      <c r="BP90">
        <f>IF(COUNTIFS(T_StockCount[RM_Code],$A90,T_StockCount[WeekIndex],67)&gt;0,SUMIFS(T_StockCount[CountedQty],T_StockCount[RM_Code],$A90,T_StockCount[WeekIndex],67),IF((COUNTIFS(T_SelfStock[RM_Code],$A90,T_SelfStock[WeekIndex],67)&gt;0)*(COUNTIFS(T_TTAFStock[RM_Code],$A90,T_TTAFStock[WeekIndex],67)&gt;0)&gt;0,SUMIFS(T_SelfStock[Self_Qty],T_SelfStock[RM_Code],$A90,T_SelfStock[WeekIndex],67)+SUMIFS(T_TTAFStock[TTAF_Qty],T_TTAFStock[RM_Code],$A90,T_TTAFStock[WeekIndex],67),BO90+'Grid_Incoming'!BP90-'Grid_Requirement'!BP90))</f>
        <v/>
      </c>
      <c r="BQ90">
        <f>IF(COUNTIFS(T_StockCount[RM_Code],$A90,T_StockCount[WeekIndex],68)&gt;0,SUMIFS(T_StockCount[CountedQty],T_StockCount[RM_Code],$A90,T_StockCount[WeekIndex],68),IF((COUNTIFS(T_SelfStock[RM_Code],$A90,T_SelfStock[WeekIndex],68)&gt;0)*(COUNTIFS(T_TTAFStock[RM_Code],$A90,T_TTAFStock[WeekIndex],68)&gt;0)&gt;0,SUMIFS(T_SelfStock[Self_Qty],T_SelfStock[RM_Code],$A90,T_SelfStock[WeekIndex],68)+SUMIFS(T_TTAFStock[TTAF_Qty],T_TTAFStock[RM_Code],$A90,T_TTAFStock[WeekIndex],68),BP90+'Grid_Incoming'!BQ90-'Grid_Requirement'!BQ90))</f>
        <v/>
      </c>
      <c r="BR90">
        <f>IF(COUNTIFS(T_StockCount[RM_Code],$A90,T_StockCount[WeekIndex],69)&gt;0,SUMIFS(T_StockCount[CountedQty],T_StockCount[RM_Code],$A90,T_StockCount[WeekIndex],69),IF((COUNTIFS(T_SelfStock[RM_Code],$A90,T_SelfStock[WeekIndex],69)&gt;0)*(COUNTIFS(T_TTAFStock[RM_Code],$A90,T_TTAFStock[WeekIndex],69)&gt;0)&gt;0,SUMIFS(T_SelfStock[Self_Qty],T_SelfStock[RM_Code],$A90,T_SelfStock[WeekIndex],69)+SUMIFS(T_TTAFStock[TTAF_Qty],T_TTAFStock[RM_Code],$A90,T_TTAFStock[WeekIndex],69),BQ90+'Grid_Incoming'!BR90-'Grid_Requirement'!BR90))</f>
        <v/>
      </c>
      <c r="BS90">
        <f>IF(COUNTIFS(T_StockCount[RM_Code],$A90,T_StockCount[WeekIndex],70)&gt;0,SUMIFS(T_StockCount[CountedQty],T_StockCount[RM_Code],$A90,T_StockCount[WeekIndex],70),IF((COUNTIFS(T_SelfStock[RM_Code],$A90,T_SelfStock[WeekIndex],70)&gt;0)*(COUNTIFS(T_TTAFStock[RM_Code],$A90,T_TTAFStock[WeekIndex],70)&gt;0)&gt;0,SUMIFS(T_SelfStock[Self_Qty],T_SelfStock[RM_Code],$A90,T_SelfStock[WeekIndex],70)+SUMIFS(T_TTAFStock[TTAF_Qty],T_TTAFStock[RM_Code],$A90,T_TTAFStock[WeekIndex],70),BR90+'Grid_Incoming'!BS90-'Grid_Requirement'!BS90))</f>
        <v/>
      </c>
      <c r="BT90">
        <f>IF(COUNTIFS(T_StockCount[RM_Code],$A90,T_StockCount[WeekIndex],71)&gt;0,SUMIFS(T_StockCount[CountedQty],T_StockCount[RM_Code],$A90,T_StockCount[WeekIndex],71),IF((COUNTIFS(T_SelfStock[RM_Code],$A90,T_SelfStock[WeekIndex],71)&gt;0)*(COUNTIFS(T_TTAFStock[RM_Code],$A90,T_TTAFStock[WeekIndex],71)&gt;0)&gt;0,SUMIFS(T_SelfStock[Self_Qty],T_SelfStock[RM_Code],$A90,T_SelfStock[WeekIndex],71)+SUMIFS(T_TTAFStock[TTAF_Qty],T_TTAFStock[RM_Code],$A90,T_TTAFStock[WeekIndex],71),BS90+'Grid_Incoming'!BT90-'Grid_Requirement'!BT90))</f>
        <v/>
      </c>
      <c r="BU90">
        <f>IF(COUNTIFS(T_StockCount[RM_Code],$A90,T_StockCount[WeekIndex],72)&gt;0,SUMIFS(T_StockCount[CountedQty],T_StockCount[RM_Code],$A90,T_StockCount[WeekIndex],72),IF((COUNTIFS(T_SelfStock[RM_Code],$A90,T_SelfStock[WeekIndex],72)&gt;0)*(COUNTIFS(T_TTAFStock[RM_Code],$A90,T_TTAFStock[WeekIndex],72)&gt;0)&gt;0,SUMIFS(T_SelfStock[Self_Qty],T_SelfStock[RM_Code],$A90,T_SelfStock[WeekIndex],72)+SUMIFS(T_TTAFStock[TTAF_Qty],T_TTAFStock[RM_Code],$A90,T_TTAFStock[WeekIndex],72),BT90+'Grid_Incoming'!BU90-'Grid_Requirement'!BU90))</f>
        <v/>
      </c>
      <c r="BV90">
        <f>IF(COUNTIFS(T_StockCount[RM_Code],$A90,T_StockCount[WeekIndex],73)&gt;0,SUMIFS(T_StockCount[CountedQty],T_StockCount[RM_Code],$A90,T_StockCount[WeekIndex],73),IF((COUNTIFS(T_SelfStock[RM_Code],$A90,T_SelfStock[WeekIndex],73)&gt;0)*(COUNTIFS(T_TTAFStock[RM_Code],$A90,T_TTAFStock[WeekIndex],73)&gt;0)&gt;0,SUMIFS(T_SelfStock[Self_Qty],T_SelfStock[RM_Code],$A90,T_SelfStock[WeekIndex],73)+SUMIFS(T_TTAFStock[TTAF_Qty],T_TTAFStock[RM_Code],$A90,T_TTAFStock[WeekIndex],73),BU90+'Grid_Incoming'!BV90-'Grid_Requirement'!BV90))</f>
        <v/>
      </c>
      <c r="BW90">
        <f>IF(COUNTIFS(T_StockCount[RM_Code],$A90,T_StockCount[WeekIndex],74)&gt;0,SUMIFS(T_StockCount[CountedQty],T_StockCount[RM_Code],$A90,T_StockCount[WeekIndex],74),IF((COUNTIFS(T_SelfStock[RM_Code],$A90,T_SelfStock[WeekIndex],74)&gt;0)*(COUNTIFS(T_TTAFStock[RM_Code],$A90,T_TTAFStock[WeekIndex],74)&gt;0)&gt;0,SUMIFS(T_SelfStock[Self_Qty],T_SelfStock[RM_Code],$A90,T_SelfStock[WeekIndex],74)+SUMIFS(T_TTAFStock[TTAF_Qty],T_TTAFStock[RM_Code],$A90,T_TTAFStock[WeekIndex],74),BV90+'Grid_Incoming'!BW90-'Grid_Requirement'!BW90))</f>
        <v/>
      </c>
      <c r="BX90">
        <f>IF(COUNTIFS(T_StockCount[RM_Code],$A90,T_StockCount[WeekIndex],75)&gt;0,SUMIFS(T_StockCount[CountedQty],T_StockCount[RM_Code],$A90,T_StockCount[WeekIndex],75),IF((COUNTIFS(T_SelfStock[RM_Code],$A90,T_SelfStock[WeekIndex],75)&gt;0)*(COUNTIFS(T_TTAFStock[RM_Code],$A90,T_TTAFStock[WeekIndex],75)&gt;0)&gt;0,SUMIFS(T_SelfStock[Self_Qty],T_SelfStock[RM_Code],$A90,T_SelfStock[WeekIndex],75)+SUMIFS(T_TTAFStock[TTAF_Qty],T_TTAFStock[RM_Code],$A90,T_TTAFStock[WeekIndex],75),BW90+'Grid_Incoming'!BX90-'Grid_Requirement'!BX90))</f>
        <v/>
      </c>
      <c r="BY90">
        <f>IF(COUNTIFS(T_StockCount[RM_Code],$A90,T_StockCount[WeekIndex],76)&gt;0,SUMIFS(T_StockCount[CountedQty],T_StockCount[RM_Code],$A90,T_StockCount[WeekIndex],76),IF((COUNTIFS(T_SelfStock[RM_Code],$A90,T_SelfStock[WeekIndex],76)&gt;0)*(COUNTIFS(T_TTAFStock[RM_Code],$A90,T_TTAFStock[WeekIndex],76)&gt;0)&gt;0,SUMIFS(T_SelfStock[Self_Qty],T_SelfStock[RM_Code],$A90,T_SelfStock[WeekIndex],76)+SUMIFS(T_TTAFStock[TTAF_Qty],T_TTAFStock[RM_Code],$A90,T_TTAFStock[WeekIndex],76),BX90+'Grid_Incoming'!BY90-'Grid_Requirement'!BY90))</f>
        <v/>
      </c>
      <c r="BZ90">
        <f>IF(COUNTIFS(T_StockCount[RM_Code],$A90,T_StockCount[WeekIndex],77)&gt;0,SUMIFS(T_StockCount[CountedQty],T_StockCount[RM_Code],$A90,T_StockCount[WeekIndex],77),IF((COUNTIFS(T_SelfStock[RM_Code],$A90,T_SelfStock[WeekIndex],77)&gt;0)*(COUNTIFS(T_TTAFStock[RM_Code],$A90,T_TTAFStock[WeekIndex],77)&gt;0)&gt;0,SUMIFS(T_SelfStock[Self_Qty],T_SelfStock[RM_Code],$A90,T_SelfStock[WeekIndex],77)+SUMIFS(T_TTAFStock[TTAF_Qty],T_TTAFStock[RM_Code],$A90,T_TTAFStock[WeekIndex],77),BY90+'Grid_Incoming'!BZ90-'Grid_Requirement'!BZ90))</f>
        <v/>
      </c>
      <c r="CA90">
        <f>IF(COUNTIFS(T_StockCount[RM_Code],$A90,T_StockCount[WeekIndex],78)&gt;0,SUMIFS(T_StockCount[CountedQty],T_StockCount[RM_Code],$A90,T_StockCount[WeekIndex],78),IF((COUNTIFS(T_SelfStock[RM_Code],$A90,T_SelfStock[WeekIndex],78)&gt;0)*(COUNTIFS(T_TTAFStock[RM_Code],$A90,T_TTAFStock[WeekIndex],78)&gt;0)&gt;0,SUMIFS(T_SelfStock[Self_Qty],T_SelfStock[RM_Code],$A90,T_SelfStock[WeekIndex],78)+SUMIFS(T_TTAFStock[TTAF_Qty],T_TTAFStock[RM_Code],$A90,T_TTAFStock[WeekIndex],78),BZ90+'Grid_Incoming'!CA90-'Grid_Requirement'!CA90))</f>
        <v/>
      </c>
      <c r="CB90">
        <f>IF(COUNTIFS(T_StockCount[RM_Code],$A90,T_StockCount[WeekIndex],79)&gt;0,SUMIFS(T_StockCount[CountedQty],T_StockCount[RM_Code],$A90,T_StockCount[WeekIndex],79),IF((COUNTIFS(T_SelfStock[RM_Code],$A90,T_SelfStock[WeekIndex],79)&gt;0)*(COUNTIFS(T_TTAFStock[RM_Code],$A90,T_TTAFStock[WeekIndex],79)&gt;0)&gt;0,SUMIFS(T_SelfStock[Self_Qty],T_SelfStock[RM_Code],$A90,T_SelfStock[WeekIndex],79)+SUMIFS(T_TTAFStock[TTAF_Qty],T_TTAFStock[RM_Code],$A90,T_TTAFStock[WeekIndex],79),CA90+'Grid_Incoming'!CB90-'Grid_Requirement'!CB90))</f>
        <v/>
      </c>
      <c r="CC90">
        <f>IF(COUNTIFS(T_StockCount[RM_Code],$A90,T_StockCount[WeekIndex],80)&gt;0,SUMIFS(T_StockCount[CountedQty],T_StockCount[RM_Code],$A90,T_StockCount[WeekIndex],80),IF((COUNTIFS(T_SelfStock[RM_Code],$A90,T_SelfStock[WeekIndex],80)&gt;0)*(COUNTIFS(T_TTAFStock[RM_Code],$A90,T_TTAFStock[WeekIndex],80)&gt;0)&gt;0,SUMIFS(T_SelfStock[Self_Qty],T_SelfStock[RM_Code],$A90,T_SelfStock[WeekIndex],80)+SUMIFS(T_TTAFStock[TTAF_Qty],T_TTAFStock[RM_Code],$A90,T_TTAFStock[WeekIndex],80),CB90+'Grid_Incoming'!CC90-'Grid_Requirement'!CC90))</f>
        <v/>
      </c>
      <c r="CD90">
        <f>IF(COUNTIFS(T_StockCount[RM_Code],$A90,T_StockCount[WeekIndex],81)&gt;0,SUMIFS(T_StockCount[CountedQty],T_StockCount[RM_Code],$A90,T_StockCount[WeekIndex],81),IF((COUNTIFS(T_SelfStock[RM_Code],$A90,T_SelfStock[WeekIndex],81)&gt;0)*(COUNTIFS(T_TTAFStock[RM_Code],$A90,T_TTAFStock[WeekIndex],81)&gt;0)&gt;0,SUMIFS(T_SelfStock[Self_Qty],T_SelfStock[RM_Code],$A90,T_SelfStock[WeekIndex],81)+SUMIFS(T_TTAFStock[TTAF_Qty],T_TTAFStock[RM_Code],$A90,T_TTAFStock[WeekIndex],81),CC90+'Grid_Incoming'!CD90-'Grid_Requirement'!CD90))</f>
        <v/>
      </c>
      <c r="CE90">
        <f>IF(COUNTIFS(T_StockCount[RM_Code],$A90,T_StockCount[WeekIndex],82)&gt;0,SUMIFS(T_StockCount[CountedQty],T_StockCount[RM_Code],$A90,T_StockCount[WeekIndex],82),IF((COUNTIFS(T_SelfStock[RM_Code],$A90,T_SelfStock[WeekIndex],82)&gt;0)*(COUNTIFS(T_TTAFStock[RM_Code],$A90,T_TTAFStock[WeekIndex],82)&gt;0)&gt;0,SUMIFS(T_SelfStock[Self_Qty],T_SelfStock[RM_Code],$A90,T_SelfStock[WeekIndex],82)+SUMIFS(T_TTAFStock[TTAF_Qty],T_TTAFStock[RM_Code],$A90,T_TTAFStock[WeekIndex],82),CD90+'Grid_Incoming'!CE90-'Grid_Requirement'!CE90))</f>
        <v/>
      </c>
      <c r="CF90">
        <f>IF(COUNTIFS(T_StockCount[RM_Code],$A90,T_StockCount[WeekIndex],83)&gt;0,SUMIFS(T_StockCount[CountedQty],T_StockCount[RM_Code],$A90,T_StockCount[WeekIndex],83),IF((COUNTIFS(T_SelfStock[RM_Code],$A90,T_SelfStock[WeekIndex],83)&gt;0)*(COUNTIFS(T_TTAFStock[RM_Code],$A90,T_TTAFStock[WeekIndex],83)&gt;0)&gt;0,SUMIFS(T_SelfStock[Self_Qty],T_SelfStock[RM_Code],$A90,T_SelfStock[WeekIndex],83)+SUMIFS(T_TTAFStock[TTAF_Qty],T_TTAFStock[RM_Code],$A90,T_TTAFStock[WeekIndex],83),CE90+'Grid_Incoming'!CF90-'Grid_Requirement'!CF90))</f>
        <v/>
      </c>
      <c r="CG90">
        <f>IF(COUNTIFS(T_StockCount[RM_Code],$A90,T_StockCount[WeekIndex],84)&gt;0,SUMIFS(T_StockCount[CountedQty],T_StockCount[RM_Code],$A90,T_StockCount[WeekIndex],84),IF((COUNTIFS(T_SelfStock[RM_Code],$A90,T_SelfStock[WeekIndex],84)&gt;0)*(COUNTIFS(T_TTAFStock[RM_Code],$A90,T_TTAFStock[WeekIndex],84)&gt;0)&gt;0,SUMIFS(T_SelfStock[Self_Qty],T_SelfStock[RM_Code],$A90,T_SelfStock[WeekIndex],84)+SUMIFS(T_TTAFStock[TTAF_Qty],T_TTAFStock[RM_Code],$A90,T_TTAFStock[WeekIndex],84),CF90+'Grid_Incoming'!CG90-'Grid_Requirement'!CG90))</f>
        <v/>
      </c>
      <c r="CH90">
        <f>IF(COUNTIFS(T_StockCount[RM_Code],$A90,T_StockCount[WeekIndex],85)&gt;0,SUMIFS(T_StockCount[CountedQty],T_StockCount[RM_Code],$A90,T_StockCount[WeekIndex],85),IF((COUNTIFS(T_SelfStock[RM_Code],$A90,T_SelfStock[WeekIndex],85)&gt;0)*(COUNTIFS(T_TTAFStock[RM_Code],$A90,T_TTAFStock[WeekIndex],85)&gt;0)&gt;0,SUMIFS(T_SelfStock[Self_Qty],T_SelfStock[RM_Code],$A90,T_SelfStock[WeekIndex],85)+SUMIFS(T_TTAFStock[TTAF_Qty],T_TTAFStock[RM_Code],$A90,T_TTAFStock[WeekIndex],85),CG90+'Grid_Incoming'!CH90-'Grid_Requirement'!CH90))</f>
        <v/>
      </c>
      <c r="CI90">
        <f>IF(COUNTIFS(T_StockCount[RM_Code],$A90,T_StockCount[WeekIndex],86)&gt;0,SUMIFS(T_StockCount[CountedQty],T_StockCount[RM_Code],$A90,T_StockCount[WeekIndex],86),IF((COUNTIFS(T_SelfStock[RM_Code],$A90,T_SelfStock[WeekIndex],86)&gt;0)*(COUNTIFS(T_TTAFStock[RM_Code],$A90,T_TTAFStock[WeekIndex],86)&gt;0)&gt;0,SUMIFS(T_SelfStock[Self_Qty],T_SelfStock[RM_Code],$A90,T_SelfStock[WeekIndex],86)+SUMIFS(T_TTAFStock[TTAF_Qty],T_TTAFStock[RM_Code],$A90,T_TTAFStock[WeekIndex],86),CH90+'Grid_Incoming'!CI90-'Grid_Requirement'!CI90))</f>
        <v/>
      </c>
      <c r="CJ90">
        <f>IF(COUNTIFS(T_StockCount[RM_Code],$A90,T_StockCount[WeekIndex],87)&gt;0,SUMIFS(T_StockCount[CountedQty],T_StockCount[RM_Code],$A90,T_StockCount[WeekIndex],87),IF((COUNTIFS(T_SelfStock[RM_Code],$A90,T_SelfStock[WeekIndex],87)&gt;0)*(COUNTIFS(T_TTAFStock[RM_Code],$A90,T_TTAFStock[WeekIndex],87)&gt;0)&gt;0,SUMIFS(T_SelfStock[Self_Qty],T_SelfStock[RM_Code],$A90,T_SelfStock[WeekIndex],87)+SUMIFS(T_TTAFStock[TTAF_Qty],T_TTAFStock[RM_Code],$A90,T_TTAFStock[WeekIndex],87),CI90+'Grid_Incoming'!CJ90-'Grid_Requirement'!CJ90))</f>
        <v/>
      </c>
      <c r="CK90">
        <f>IF(COUNTIFS(T_StockCount[RM_Code],$A90,T_StockCount[WeekIndex],88)&gt;0,SUMIFS(T_StockCount[CountedQty],T_StockCount[RM_Code],$A90,T_StockCount[WeekIndex],88),IF((COUNTIFS(T_SelfStock[RM_Code],$A90,T_SelfStock[WeekIndex],88)&gt;0)*(COUNTIFS(T_TTAFStock[RM_Code],$A90,T_TTAFStock[WeekIndex],88)&gt;0)&gt;0,SUMIFS(T_SelfStock[Self_Qty],T_SelfStock[RM_Code],$A90,T_SelfStock[WeekIndex],88)+SUMIFS(T_TTAFStock[TTAF_Qty],T_TTAFStock[RM_Code],$A90,T_TTAFStock[WeekIndex],88),CJ90+'Grid_Incoming'!CK90-'Grid_Requirement'!CK90))</f>
        <v/>
      </c>
      <c r="CL90">
        <f>IF(COUNTIFS(T_StockCount[RM_Code],$A90,T_StockCount[WeekIndex],89)&gt;0,SUMIFS(T_StockCount[CountedQty],T_StockCount[RM_Code],$A90,T_StockCount[WeekIndex],89),IF((COUNTIFS(T_SelfStock[RM_Code],$A90,T_SelfStock[WeekIndex],89)&gt;0)*(COUNTIFS(T_TTAFStock[RM_Code],$A90,T_TTAFStock[WeekIndex],89)&gt;0)&gt;0,SUMIFS(T_SelfStock[Self_Qty],T_SelfStock[RM_Code],$A90,T_SelfStock[WeekIndex],89)+SUMIFS(T_TTAFStock[TTAF_Qty],T_TTAFStock[RM_Code],$A90,T_TTAFStock[WeekIndex],89),CK90+'Grid_Incoming'!CL90-'Grid_Requirement'!CL90))</f>
        <v/>
      </c>
      <c r="CM90">
        <f>IF(COUNTIFS(T_StockCount[RM_Code],$A90,T_StockCount[WeekIndex],90)&gt;0,SUMIFS(T_StockCount[CountedQty],T_StockCount[RM_Code],$A90,T_StockCount[WeekIndex],90),IF((COUNTIFS(T_SelfStock[RM_Code],$A90,T_SelfStock[WeekIndex],90)&gt;0)*(COUNTIFS(T_TTAFStock[RM_Code],$A90,T_TTAFStock[WeekIndex],90)&gt;0)&gt;0,SUMIFS(T_SelfStock[Self_Qty],T_SelfStock[RM_Code],$A90,T_SelfStock[WeekIndex],90)+SUMIFS(T_TTAFStock[TTAF_Qty],T_TTAFStock[RM_Code],$A90,T_TTAFStock[WeekIndex],90),CL90+'Grid_Incoming'!CM90-'Grid_Requirement'!CM90))</f>
        <v/>
      </c>
      <c r="CN90">
        <f>IF(COUNTIFS(T_StockCount[RM_Code],$A90,T_StockCount[WeekIndex],91)&gt;0,SUMIFS(T_StockCount[CountedQty],T_StockCount[RM_Code],$A90,T_StockCount[WeekIndex],91),IF((COUNTIFS(T_SelfStock[RM_Code],$A90,T_SelfStock[WeekIndex],91)&gt;0)*(COUNTIFS(T_TTAFStock[RM_Code],$A90,T_TTAFStock[WeekIndex],91)&gt;0)&gt;0,SUMIFS(T_SelfStock[Self_Qty],T_SelfStock[RM_Code],$A90,T_SelfStock[WeekIndex],91)+SUMIFS(T_TTAFStock[TTAF_Qty],T_TTAFStock[RM_Code],$A90,T_TTAFStock[WeekIndex],91),CM90+'Grid_Incoming'!CN90-'Grid_Requirement'!CN90))</f>
        <v/>
      </c>
      <c r="CO90">
        <f>IF(COUNTIFS(T_StockCount[RM_Code],$A90,T_StockCount[WeekIndex],92)&gt;0,SUMIFS(T_StockCount[CountedQty],T_StockCount[RM_Code],$A90,T_StockCount[WeekIndex],92),IF((COUNTIFS(T_SelfStock[RM_Code],$A90,T_SelfStock[WeekIndex],92)&gt;0)*(COUNTIFS(T_TTAFStock[RM_Code],$A90,T_TTAFStock[WeekIndex],92)&gt;0)&gt;0,SUMIFS(T_SelfStock[Self_Qty],T_SelfStock[RM_Code],$A90,T_SelfStock[WeekIndex],92)+SUMIFS(T_TTAFStock[TTAF_Qty],T_TTAFStock[RM_Code],$A90,T_TTAFStock[WeekIndex],92),CN90+'Grid_Incoming'!CO90-'Grid_Requirement'!CO90))</f>
        <v/>
      </c>
      <c r="CP90">
        <f>IF(COUNTIFS(T_StockCount[RM_Code],$A90,T_StockCount[WeekIndex],93)&gt;0,SUMIFS(T_StockCount[CountedQty],T_StockCount[RM_Code],$A90,T_StockCount[WeekIndex],93),IF((COUNTIFS(T_SelfStock[RM_Code],$A90,T_SelfStock[WeekIndex],93)&gt;0)*(COUNTIFS(T_TTAFStock[RM_Code],$A90,T_TTAFStock[WeekIndex],93)&gt;0)&gt;0,SUMIFS(T_SelfStock[Self_Qty],T_SelfStock[RM_Code],$A90,T_SelfStock[WeekIndex],93)+SUMIFS(T_TTAFStock[TTAF_Qty],T_TTAFStock[RM_Code],$A90,T_TTAFStock[WeekIndex],93),CO90+'Grid_Incoming'!CP90-'Grid_Requirement'!CP90))</f>
        <v/>
      </c>
      <c r="CQ90">
        <f>IF(COUNTIFS(T_StockCount[RM_Code],$A90,T_StockCount[WeekIndex],94)&gt;0,SUMIFS(T_StockCount[CountedQty],T_StockCount[RM_Code],$A90,T_StockCount[WeekIndex],94),IF((COUNTIFS(T_SelfStock[RM_Code],$A90,T_SelfStock[WeekIndex],94)&gt;0)*(COUNTIFS(T_TTAFStock[RM_Code],$A90,T_TTAFStock[WeekIndex],94)&gt;0)&gt;0,SUMIFS(T_SelfStock[Self_Qty],T_SelfStock[RM_Code],$A90,T_SelfStock[WeekIndex],94)+SUMIFS(T_TTAFStock[TTAF_Qty],T_TTAFStock[RM_Code],$A90,T_TTAFStock[WeekIndex],94),CP90+'Grid_Incoming'!CQ90-'Grid_Requirement'!CQ90))</f>
        <v/>
      </c>
      <c r="CR90">
        <f>IF(COUNTIFS(T_StockCount[RM_Code],$A90,T_StockCount[WeekIndex],95)&gt;0,SUMIFS(T_StockCount[CountedQty],T_StockCount[RM_Code],$A90,T_StockCount[WeekIndex],95),IF((COUNTIFS(T_SelfStock[RM_Code],$A90,T_SelfStock[WeekIndex],95)&gt;0)*(COUNTIFS(T_TTAFStock[RM_Code],$A90,T_TTAFStock[WeekIndex],95)&gt;0)&gt;0,SUMIFS(T_SelfStock[Self_Qty],T_SelfStock[RM_Code],$A90,T_SelfStock[WeekIndex],95)+SUMIFS(T_TTAFStock[TTAF_Qty],T_TTAFStock[RM_Code],$A90,T_TTAFStock[WeekIndex],95),CQ90+'Grid_Incoming'!CR90-'Grid_Requirement'!CR90))</f>
        <v/>
      </c>
      <c r="CS90">
        <f>IF(COUNTIFS(T_StockCount[RM_Code],$A90,T_StockCount[WeekIndex],96)&gt;0,SUMIFS(T_StockCount[CountedQty],T_StockCount[RM_Code],$A90,T_StockCount[WeekIndex],96),IF((COUNTIFS(T_SelfStock[RM_Code],$A90,T_SelfStock[WeekIndex],96)&gt;0)*(COUNTIFS(T_TTAFStock[RM_Code],$A90,T_TTAFStock[WeekIndex],96)&gt;0)&gt;0,SUMIFS(T_SelfStock[Self_Qty],T_SelfStock[RM_Code],$A90,T_SelfStock[WeekIndex],96)+SUMIFS(T_TTAFStock[TTAF_Qty],T_TTAFStock[RM_Code],$A90,T_TTAFStock[WeekIndex],96),CR90+'Grid_Incoming'!CS90-'Grid_Requirement'!CS90))</f>
        <v/>
      </c>
      <c r="CT90">
        <f>IF(COUNTIFS(T_StockCount[RM_Code],$A90,T_StockCount[WeekIndex],97)&gt;0,SUMIFS(T_StockCount[CountedQty],T_StockCount[RM_Code],$A90,T_StockCount[WeekIndex],97),IF((COUNTIFS(T_SelfStock[RM_Code],$A90,T_SelfStock[WeekIndex],97)&gt;0)*(COUNTIFS(T_TTAFStock[RM_Code],$A90,T_TTAFStock[WeekIndex],97)&gt;0)&gt;0,SUMIFS(T_SelfStock[Self_Qty],T_SelfStock[RM_Code],$A90,T_SelfStock[WeekIndex],97)+SUMIFS(T_TTAFStock[TTAF_Qty],T_TTAFStock[RM_Code],$A90,T_TTAFStock[WeekIndex],97),CS90+'Grid_Incoming'!CT90-'Grid_Requirement'!CT90))</f>
        <v/>
      </c>
      <c r="CU90">
        <f>IF(COUNTIFS(T_StockCount[RM_Code],$A90,T_StockCount[WeekIndex],98)&gt;0,SUMIFS(T_StockCount[CountedQty],T_StockCount[RM_Code],$A90,T_StockCount[WeekIndex],98),IF((COUNTIFS(T_SelfStock[RM_Code],$A90,T_SelfStock[WeekIndex],98)&gt;0)*(COUNTIFS(T_TTAFStock[RM_Code],$A90,T_TTAFStock[WeekIndex],98)&gt;0)&gt;0,SUMIFS(T_SelfStock[Self_Qty],T_SelfStock[RM_Code],$A90,T_SelfStock[WeekIndex],98)+SUMIFS(T_TTAFStock[TTAF_Qty],T_TTAFStock[RM_Code],$A90,T_TTAFStock[WeekIndex],98),CT90+'Grid_Incoming'!CU90-'Grid_Requirement'!CU90))</f>
        <v/>
      </c>
      <c r="CV90">
        <f>IF(COUNTIFS(T_StockCount[RM_Code],$A90,T_StockCount[WeekIndex],99)&gt;0,SUMIFS(T_StockCount[CountedQty],T_StockCount[RM_Code],$A90,T_StockCount[WeekIndex],99),IF((COUNTIFS(T_SelfStock[RM_Code],$A90,T_SelfStock[WeekIndex],99)&gt;0)*(COUNTIFS(T_TTAFStock[RM_Code],$A90,T_TTAFStock[WeekIndex],99)&gt;0)&gt;0,SUMIFS(T_SelfStock[Self_Qty],T_SelfStock[RM_Code],$A90,T_SelfStock[WeekIndex],99)+SUMIFS(T_TTAFStock[TTAF_Qty],T_TTAFStock[RM_Code],$A90,T_TTAFStock[WeekIndex],99),CU90+'Grid_Incoming'!CV90-'Grid_Requirement'!CV90))</f>
        <v/>
      </c>
      <c r="CW90">
        <f>IF(COUNTIFS(T_StockCount[RM_Code],$A90,T_StockCount[WeekIndex],100)&gt;0,SUMIFS(T_StockCount[CountedQty],T_StockCount[RM_Code],$A90,T_StockCount[WeekIndex],100),IF((COUNTIFS(T_SelfStock[RM_Code],$A90,T_SelfStock[WeekIndex],100)&gt;0)*(COUNTIFS(T_TTAFStock[RM_Code],$A90,T_TTAFStock[WeekIndex],100)&gt;0)&gt;0,SUMIFS(T_SelfStock[Self_Qty],T_SelfStock[RM_Code],$A90,T_SelfStock[WeekIndex],100)+SUMIFS(T_TTAFStock[TTAF_Qty],T_TTAFStock[RM_Code],$A90,T_TTAFStock[WeekIndex],100),CV90+'Grid_Incoming'!CW90-'Grid_Requirement'!CW90))</f>
        <v/>
      </c>
      <c r="CX90">
        <f>IF(COUNTIFS(T_StockCount[RM_Code],$A90,T_StockCount[WeekIndex],101)&gt;0,SUMIFS(T_StockCount[CountedQty],T_StockCount[RM_Code],$A90,T_StockCount[WeekIndex],101),IF((COUNTIFS(T_SelfStock[RM_Code],$A90,T_SelfStock[WeekIndex],101)&gt;0)*(COUNTIFS(T_TTAFStock[RM_Code],$A90,T_TTAFStock[WeekIndex],101)&gt;0)&gt;0,SUMIFS(T_SelfStock[Self_Qty],T_SelfStock[RM_Code],$A90,T_SelfStock[WeekIndex],101)+SUMIFS(T_TTAFStock[TTAF_Qty],T_TTAFStock[RM_Code],$A90,T_TTAFStock[WeekIndex],101),CW90+'Grid_Incoming'!CX90-'Grid_Requirement'!CX90))</f>
        <v/>
      </c>
      <c r="CY90">
        <f>IF(COUNTIFS(T_StockCount[RM_Code],$A90,T_StockCount[WeekIndex],102)&gt;0,SUMIFS(T_StockCount[CountedQty],T_StockCount[RM_Code],$A90,T_StockCount[WeekIndex],102),IF((COUNTIFS(T_SelfStock[RM_Code],$A90,T_SelfStock[WeekIndex],102)&gt;0)*(COUNTIFS(T_TTAFStock[RM_Code],$A90,T_TTAFStock[WeekIndex],102)&gt;0)&gt;0,SUMIFS(T_SelfStock[Self_Qty],T_SelfStock[RM_Code],$A90,T_SelfStock[WeekIndex],102)+SUMIFS(T_TTAFStock[TTAF_Qty],T_TTAFStock[RM_Code],$A90,T_TTAFStock[WeekIndex],102),CX90+'Grid_Incoming'!CY90-'Grid_Requirement'!CY90))</f>
        <v/>
      </c>
      <c r="CZ90">
        <f>IF(COUNTIFS(T_StockCount[RM_Code],$A90,T_StockCount[WeekIndex],103)&gt;0,SUMIFS(T_StockCount[CountedQty],T_StockCount[RM_Code],$A90,T_StockCount[WeekIndex],103),IF((COUNTIFS(T_SelfStock[RM_Code],$A90,T_SelfStock[WeekIndex],103)&gt;0)*(COUNTIFS(T_TTAFStock[RM_Code],$A90,T_TTAFStock[WeekIndex],103)&gt;0)&gt;0,SUMIFS(T_SelfStock[Self_Qty],T_SelfStock[RM_Code],$A90,T_SelfStock[WeekIndex],103)+SUMIFS(T_TTAFStock[TTAF_Qty],T_TTAFStock[RM_Code],$A90,T_TTAFStock[WeekIndex],103),CY90+'Grid_Incoming'!CZ90-'Grid_Requirement'!CZ90))</f>
        <v/>
      </c>
      <c r="DA90">
        <f>IF(COUNTIFS(T_StockCount[RM_Code],$A90,T_StockCount[WeekIndex],104)&gt;0,SUMIFS(T_StockCount[CountedQty],T_StockCount[RM_Code],$A90,T_StockCount[WeekIndex],104),IF((COUNTIFS(T_SelfStock[RM_Code],$A90,T_SelfStock[WeekIndex],104)&gt;0)*(COUNTIFS(T_TTAFStock[RM_Code],$A90,T_TTAFStock[WeekIndex],104)&gt;0)&gt;0,SUMIFS(T_SelfStock[Self_Qty],T_SelfStock[RM_Code],$A90,T_SelfStock[WeekIndex],104)+SUMIFS(T_TTAFStock[TTAF_Qty],T_TTAFStock[RM_Code],$A90,T_TTAFStock[WeekIndex],104),CZ90+'Grid_Incoming'!DA90-'Grid_Requirement'!DA90))</f>
        <v/>
      </c>
    </row>
    <row r="91">
      <c r="A91" t="inlineStr">
        <is>
          <t>CHEM-1610</t>
        </is>
      </c>
      <c r="B91">
        <f>IF(COUNTIFS(T_StockCount[RM_Code],$A91,T_StockCount[WeekIndex],1)&gt;0,SUMIFS(T_StockCount[CountedQty],T_StockCount[RM_Code],$A91,T_StockCount[WeekIndex],1),IF((COUNTIFS(T_SelfStock[RM_Code],$A91,T_SelfStock[WeekIndex],1)&gt;0)*(COUNTIFS(T_TTAFStock[RM_Code],$A91,T_TTAFStock[WeekIndex],1)&gt;0)&gt;0,SUMIFS(T_SelfStock[Self_Qty],T_SelfStock[RM_Code],$A91,T_SelfStock[WeekIndex],1)+SUMIFS(T_TTAFStock[TTAF_Qty],T_TTAFStock[RM_Code],$A91,T_TTAFStock[WeekIndex],1),IFERROR(INDEX(T_OpeningStock[Opening_Qty],MATCH($A91,T_OpeningStock[RM_Code],0)),0)+'Grid_Incoming'!B91-'Grid_Requirement'!B91))</f>
        <v/>
      </c>
      <c r="C91">
        <f>IF(COUNTIFS(T_StockCount[RM_Code],$A91,T_StockCount[WeekIndex],2)&gt;0,SUMIFS(T_StockCount[CountedQty],T_StockCount[RM_Code],$A91,T_StockCount[WeekIndex],2),IF((COUNTIFS(T_SelfStock[RM_Code],$A91,T_SelfStock[WeekIndex],2)&gt;0)*(COUNTIFS(T_TTAFStock[RM_Code],$A91,T_TTAFStock[WeekIndex],2)&gt;0)&gt;0,SUMIFS(T_SelfStock[Self_Qty],T_SelfStock[RM_Code],$A91,T_SelfStock[WeekIndex],2)+SUMIFS(T_TTAFStock[TTAF_Qty],T_TTAFStock[RM_Code],$A91,T_TTAFStock[WeekIndex],2),B91+'Grid_Incoming'!C91-'Grid_Requirement'!C91))</f>
        <v/>
      </c>
      <c r="D91">
        <f>IF(COUNTIFS(T_StockCount[RM_Code],$A91,T_StockCount[WeekIndex],3)&gt;0,SUMIFS(T_StockCount[CountedQty],T_StockCount[RM_Code],$A91,T_StockCount[WeekIndex],3),IF((COUNTIFS(T_SelfStock[RM_Code],$A91,T_SelfStock[WeekIndex],3)&gt;0)*(COUNTIFS(T_TTAFStock[RM_Code],$A91,T_TTAFStock[WeekIndex],3)&gt;0)&gt;0,SUMIFS(T_SelfStock[Self_Qty],T_SelfStock[RM_Code],$A91,T_SelfStock[WeekIndex],3)+SUMIFS(T_TTAFStock[TTAF_Qty],T_TTAFStock[RM_Code],$A91,T_TTAFStock[WeekIndex],3),C91+'Grid_Incoming'!D91-'Grid_Requirement'!D91))</f>
        <v/>
      </c>
      <c r="E91">
        <f>IF(COUNTIFS(T_StockCount[RM_Code],$A91,T_StockCount[WeekIndex],4)&gt;0,SUMIFS(T_StockCount[CountedQty],T_StockCount[RM_Code],$A91,T_StockCount[WeekIndex],4),IF((COUNTIFS(T_SelfStock[RM_Code],$A91,T_SelfStock[WeekIndex],4)&gt;0)*(COUNTIFS(T_TTAFStock[RM_Code],$A91,T_TTAFStock[WeekIndex],4)&gt;0)&gt;0,SUMIFS(T_SelfStock[Self_Qty],T_SelfStock[RM_Code],$A91,T_SelfStock[WeekIndex],4)+SUMIFS(T_TTAFStock[TTAF_Qty],T_TTAFStock[RM_Code],$A91,T_TTAFStock[WeekIndex],4),D91+'Grid_Incoming'!E91-'Grid_Requirement'!E91))</f>
        <v/>
      </c>
      <c r="F91">
        <f>IF(COUNTIFS(T_StockCount[RM_Code],$A91,T_StockCount[WeekIndex],5)&gt;0,SUMIFS(T_StockCount[CountedQty],T_StockCount[RM_Code],$A91,T_StockCount[WeekIndex],5),IF((COUNTIFS(T_SelfStock[RM_Code],$A91,T_SelfStock[WeekIndex],5)&gt;0)*(COUNTIFS(T_TTAFStock[RM_Code],$A91,T_TTAFStock[WeekIndex],5)&gt;0)&gt;0,SUMIFS(T_SelfStock[Self_Qty],T_SelfStock[RM_Code],$A91,T_SelfStock[WeekIndex],5)+SUMIFS(T_TTAFStock[TTAF_Qty],T_TTAFStock[RM_Code],$A91,T_TTAFStock[WeekIndex],5),E91+'Grid_Incoming'!F91-'Grid_Requirement'!F91))</f>
        <v/>
      </c>
      <c r="G91">
        <f>IF(COUNTIFS(T_StockCount[RM_Code],$A91,T_StockCount[WeekIndex],6)&gt;0,SUMIFS(T_StockCount[CountedQty],T_StockCount[RM_Code],$A91,T_StockCount[WeekIndex],6),IF((COUNTIFS(T_SelfStock[RM_Code],$A91,T_SelfStock[WeekIndex],6)&gt;0)*(COUNTIFS(T_TTAFStock[RM_Code],$A91,T_TTAFStock[WeekIndex],6)&gt;0)&gt;0,SUMIFS(T_SelfStock[Self_Qty],T_SelfStock[RM_Code],$A91,T_SelfStock[WeekIndex],6)+SUMIFS(T_TTAFStock[TTAF_Qty],T_TTAFStock[RM_Code],$A91,T_TTAFStock[WeekIndex],6),F91+'Grid_Incoming'!G91-'Grid_Requirement'!G91))</f>
        <v/>
      </c>
      <c r="H91">
        <f>IF(COUNTIFS(T_StockCount[RM_Code],$A91,T_StockCount[WeekIndex],7)&gt;0,SUMIFS(T_StockCount[CountedQty],T_StockCount[RM_Code],$A91,T_StockCount[WeekIndex],7),IF((COUNTIFS(T_SelfStock[RM_Code],$A91,T_SelfStock[WeekIndex],7)&gt;0)*(COUNTIFS(T_TTAFStock[RM_Code],$A91,T_TTAFStock[WeekIndex],7)&gt;0)&gt;0,SUMIFS(T_SelfStock[Self_Qty],T_SelfStock[RM_Code],$A91,T_SelfStock[WeekIndex],7)+SUMIFS(T_TTAFStock[TTAF_Qty],T_TTAFStock[RM_Code],$A91,T_TTAFStock[WeekIndex],7),G91+'Grid_Incoming'!H91-'Grid_Requirement'!H91))</f>
        <v/>
      </c>
      <c r="I91">
        <f>IF(COUNTIFS(T_StockCount[RM_Code],$A91,T_StockCount[WeekIndex],8)&gt;0,SUMIFS(T_StockCount[CountedQty],T_StockCount[RM_Code],$A91,T_StockCount[WeekIndex],8),IF((COUNTIFS(T_SelfStock[RM_Code],$A91,T_SelfStock[WeekIndex],8)&gt;0)*(COUNTIFS(T_TTAFStock[RM_Code],$A91,T_TTAFStock[WeekIndex],8)&gt;0)&gt;0,SUMIFS(T_SelfStock[Self_Qty],T_SelfStock[RM_Code],$A91,T_SelfStock[WeekIndex],8)+SUMIFS(T_TTAFStock[TTAF_Qty],T_TTAFStock[RM_Code],$A91,T_TTAFStock[WeekIndex],8),H91+'Grid_Incoming'!I91-'Grid_Requirement'!I91))</f>
        <v/>
      </c>
      <c r="J91">
        <f>IF(COUNTIFS(T_StockCount[RM_Code],$A91,T_StockCount[WeekIndex],9)&gt;0,SUMIFS(T_StockCount[CountedQty],T_StockCount[RM_Code],$A91,T_StockCount[WeekIndex],9),IF((COUNTIFS(T_SelfStock[RM_Code],$A91,T_SelfStock[WeekIndex],9)&gt;0)*(COUNTIFS(T_TTAFStock[RM_Code],$A91,T_TTAFStock[WeekIndex],9)&gt;0)&gt;0,SUMIFS(T_SelfStock[Self_Qty],T_SelfStock[RM_Code],$A91,T_SelfStock[WeekIndex],9)+SUMIFS(T_TTAFStock[TTAF_Qty],T_TTAFStock[RM_Code],$A91,T_TTAFStock[WeekIndex],9),I91+'Grid_Incoming'!J91-'Grid_Requirement'!J91))</f>
        <v/>
      </c>
      <c r="K91">
        <f>IF(COUNTIFS(T_StockCount[RM_Code],$A91,T_StockCount[WeekIndex],10)&gt;0,SUMIFS(T_StockCount[CountedQty],T_StockCount[RM_Code],$A91,T_StockCount[WeekIndex],10),IF((COUNTIFS(T_SelfStock[RM_Code],$A91,T_SelfStock[WeekIndex],10)&gt;0)*(COUNTIFS(T_TTAFStock[RM_Code],$A91,T_TTAFStock[WeekIndex],10)&gt;0)&gt;0,SUMIFS(T_SelfStock[Self_Qty],T_SelfStock[RM_Code],$A91,T_SelfStock[WeekIndex],10)+SUMIFS(T_TTAFStock[TTAF_Qty],T_TTAFStock[RM_Code],$A91,T_TTAFStock[WeekIndex],10),J91+'Grid_Incoming'!K91-'Grid_Requirement'!K91))</f>
        <v/>
      </c>
      <c r="L91">
        <f>IF(COUNTIFS(T_StockCount[RM_Code],$A91,T_StockCount[WeekIndex],11)&gt;0,SUMIFS(T_StockCount[CountedQty],T_StockCount[RM_Code],$A91,T_StockCount[WeekIndex],11),IF((COUNTIFS(T_SelfStock[RM_Code],$A91,T_SelfStock[WeekIndex],11)&gt;0)*(COUNTIFS(T_TTAFStock[RM_Code],$A91,T_TTAFStock[WeekIndex],11)&gt;0)&gt;0,SUMIFS(T_SelfStock[Self_Qty],T_SelfStock[RM_Code],$A91,T_SelfStock[WeekIndex],11)+SUMIFS(T_TTAFStock[TTAF_Qty],T_TTAFStock[RM_Code],$A91,T_TTAFStock[WeekIndex],11),K91+'Grid_Incoming'!L91-'Grid_Requirement'!L91))</f>
        <v/>
      </c>
      <c r="M91">
        <f>IF(COUNTIFS(T_StockCount[RM_Code],$A91,T_StockCount[WeekIndex],12)&gt;0,SUMIFS(T_StockCount[CountedQty],T_StockCount[RM_Code],$A91,T_StockCount[WeekIndex],12),IF((COUNTIFS(T_SelfStock[RM_Code],$A91,T_SelfStock[WeekIndex],12)&gt;0)*(COUNTIFS(T_TTAFStock[RM_Code],$A91,T_TTAFStock[WeekIndex],12)&gt;0)&gt;0,SUMIFS(T_SelfStock[Self_Qty],T_SelfStock[RM_Code],$A91,T_SelfStock[WeekIndex],12)+SUMIFS(T_TTAFStock[TTAF_Qty],T_TTAFStock[RM_Code],$A91,T_TTAFStock[WeekIndex],12),L91+'Grid_Incoming'!M91-'Grid_Requirement'!M91))</f>
        <v/>
      </c>
      <c r="N91">
        <f>IF(COUNTIFS(T_StockCount[RM_Code],$A91,T_StockCount[WeekIndex],13)&gt;0,SUMIFS(T_StockCount[CountedQty],T_StockCount[RM_Code],$A91,T_StockCount[WeekIndex],13),IF((COUNTIFS(T_SelfStock[RM_Code],$A91,T_SelfStock[WeekIndex],13)&gt;0)*(COUNTIFS(T_TTAFStock[RM_Code],$A91,T_TTAFStock[WeekIndex],13)&gt;0)&gt;0,SUMIFS(T_SelfStock[Self_Qty],T_SelfStock[RM_Code],$A91,T_SelfStock[WeekIndex],13)+SUMIFS(T_TTAFStock[TTAF_Qty],T_TTAFStock[RM_Code],$A91,T_TTAFStock[WeekIndex],13),M91+'Grid_Incoming'!N91-'Grid_Requirement'!N91))</f>
        <v/>
      </c>
      <c r="O91">
        <f>IF(COUNTIFS(T_StockCount[RM_Code],$A91,T_StockCount[WeekIndex],14)&gt;0,SUMIFS(T_StockCount[CountedQty],T_StockCount[RM_Code],$A91,T_StockCount[WeekIndex],14),IF((COUNTIFS(T_SelfStock[RM_Code],$A91,T_SelfStock[WeekIndex],14)&gt;0)*(COUNTIFS(T_TTAFStock[RM_Code],$A91,T_TTAFStock[WeekIndex],14)&gt;0)&gt;0,SUMIFS(T_SelfStock[Self_Qty],T_SelfStock[RM_Code],$A91,T_SelfStock[WeekIndex],14)+SUMIFS(T_TTAFStock[TTAF_Qty],T_TTAFStock[RM_Code],$A91,T_TTAFStock[WeekIndex],14),N91+'Grid_Incoming'!O91-'Grid_Requirement'!O91))</f>
        <v/>
      </c>
      <c r="P91">
        <f>IF(COUNTIFS(T_StockCount[RM_Code],$A91,T_StockCount[WeekIndex],15)&gt;0,SUMIFS(T_StockCount[CountedQty],T_StockCount[RM_Code],$A91,T_StockCount[WeekIndex],15),IF((COUNTIFS(T_SelfStock[RM_Code],$A91,T_SelfStock[WeekIndex],15)&gt;0)*(COUNTIFS(T_TTAFStock[RM_Code],$A91,T_TTAFStock[WeekIndex],15)&gt;0)&gt;0,SUMIFS(T_SelfStock[Self_Qty],T_SelfStock[RM_Code],$A91,T_SelfStock[WeekIndex],15)+SUMIFS(T_TTAFStock[TTAF_Qty],T_TTAFStock[RM_Code],$A91,T_TTAFStock[WeekIndex],15),O91+'Grid_Incoming'!P91-'Grid_Requirement'!P91))</f>
        <v/>
      </c>
      <c r="Q91">
        <f>IF(COUNTIFS(T_StockCount[RM_Code],$A91,T_StockCount[WeekIndex],16)&gt;0,SUMIFS(T_StockCount[CountedQty],T_StockCount[RM_Code],$A91,T_StockCount[WeekIndex],16),IF((COUNTIFS(T_SelfStock[RM_Code],$A91,T_SelfStock[WeekIndex],16)&gt;0)*(COUNTIFS(T_TTAFStock[RM_Code],$A91,T_TTAFStock[WeekIndex],16)&gt;0)&gt;0,SUMIFS(T_SelfStock[Self_Qty],T_SelfStock[RM_Code],$A91,T_SelfStock[WeekIndex],16)+SUMIFS(T_TTAFStock[TTAF_Qty],T_TTAFStock[RM_Code],$A91,T_TTAFStock[WeekIndex],16),P91+'Grid_Incoming'!Q91-'Grid_Requirement'!Q91))</f>
        <v/>
      </c>
      <c r="R91">
        <f>IF(COUNTIFS(T_StockCount[RM_Code],$A91,T_StockCount[WeekIndex],17)&gt;0,SUMIFS(T_StockCount[CountedQty],T_StockCount[RM_Code],$A91,T_StockCount[WeekIndex],17),IF((COUNTIFS(T_SelfStock[RM_Code],$A91,T_SelfStock[WeekIndex],17)&gt;0)*(COUNTIFS(T_TTAFStock[RM_Code],$A91,T_TTAFStock[WeekIndex],17)&gt;0)&gt;0,SUMIFS(T_SelfStock[Self_Qty],T_SelfStock[RM_Code],$A91,T_SelfStock[WeekIndex],17)+SUMIFS(T_TTAFStock[TTAF_Qty],T_TTAFStock[RM_Code],$A91,T_TTAFStock[WeekIndex],17),Q91+'Grid_Incoming'!R91-'Grid_Requirement'!R91))</f>
        <v/>
      </c>
      <c r="S91">
        <f>IF(COUNTIFS(T_StockCount[RM_Code],$A91,T_StockCount[WeekIndex],18)&gt;0,SUMIFS(T_StockCount[CountedQty],T_StockCount[RM_Code],$A91,T_StockCount[WeekIndex],18),IF((COUNTIFS(T_SelfStock[RM_Code],$A91,T_SelfStock[WeekIndex],18)&gt;0)*(COUNTIFS(T_TTAFStock[RM_Code],$A91,T_TTAFStock[WeekIndex],18)&gt;0)&gt;0,SUMIFS(T_SelfStock[Self_Qty],T_SelfStock[RM_Code],$A91,T_SelfStock[WeekIndex],18)+SUMIFS(T_TTAFStock[TTAF_Qty],T_TTAFStock[RM_Code],$A91,T_TTAFStock[WeekIndex],18),R91+'Grid_Incoming'!S91-'Grid_Requirement'!S91))</f>
        <v/>
      </c>
      <c r="T91">
        <f>IF(COUNTIFS(T_StockCount[RM_Code],$A91,T_StockCount[WeekIndex],19)&gt;0,SUMIFS(T_StockCount[CountedQty],T_StockCount[RM_Code],$A91,T_StockCount[WeekIndex],19),IF((COUNTIFS(T_SelfStock[RM_Code],$A91,T_SelfStock[WeekIndex],19)&gt;0)*(COUNTIFS(T_TTAFStock[RM_Code],$A91,T_TTAFStock[WeekIndex],19)&gt;0)&gt;0,SUMIFS(T_SelfStock[Self_Qty],T_SelfStock[RM_Code],$A91,T_SelfStock[WeekIndex],19)+SUMIFS(T_TTAFStock[TTAF_Qty],T_TTAFStock[RM_Code],$A91,T_TTAFStock[WeekIndex],19),S91+'Grid_Incoming'!T91-'Grid_Requirement'!T91))</f>
        <v/>
      </c>
      <c r="U91">
        <f>IF(COUNTIFS(T_StockCount[RM_Code],$A91,T_StockCount[WeekIndex],20)&gt;0,SUMIFS(T_StockCount[CountedQty],T_StockCount[RM_Code],$A91,T_StockCount[WeekIndex],20),IF((COUNTIFS(T_SelfStock[RM_Code],$A91,T_SelfStock[WeekIndex],20)&gt;0)*(COUNTIFS(T_TTAFStock[RM_Code],$A91,T_TTAFStock[WeekIndex],20)&gt;0)&gt;0,SUMIFS(T_SelfStock[Self_Qty],T_SelfStock[RM_Code],$A91,T_SelfStock[WeekIndex],20)+SUMIFS(T_TTAFStock[TTAF_Qty],T_TTAFStock[RM_Code],$A91,T_TTAFStock[WeekIndex],20),T91+'Grid_Incoming'!U91-'Grid_Requirement'!U91))</f>
        <v/>
      </c>
      <c r="V91">
        <f>IF(COUNTIFS(T_StockCount[RM_Code],$A91,T_StockCount[WeekIndex],21)&gt;0,SUMIFS(T_StockCount[CountedQty],T_StockCount[RM_Code],$A91,T_StockCount[WeekIndex],21),IF((COUNTIFS(T_SelfStock[RM_Code],$A91,T_SelfStock[WeekIndex],21)&gt;0)*(COUNTIFS(T_TTAFStock[RM_Code],$A91,T_TTAFStock[WeekIndex],21)&gt;0)&gt;0,SUMIFS(T_SelfStock[Self_Qty],T_SelfStock[RM_Code],$A91,T_SelfStock[WeekIndex],21)+SUMIFS(T_TTAFStock[TTAF_Qty],T_TTAFStock[RM_Code],$A91,T_TTAFStock[WeekIndex],21),U91+'Grid_Incoming'!V91-'Grid_Requirement'!V91))</f>
        <v/>
      </c>
      <c r="W91">
        <f>IF(COUNTIFS(T_StockCount[RM_Code],$A91,T_StockCount[WeekIndex],22)&gt;0,SUMIFS(T_StockCount[CountedQty],T_StockCount[RM_Code],$A91,T_StockCount[WeekIndex],22),IF((COUNTIFS(T_SelfStock[RM_Code],$A91,T_SelfStock[WeekIndex],22)&gt;0)*(COUNTIFS(T_TTAFStock[RM_Code],$A91,T_TTAFStock[WeekIndex],22)&gt;0)&gt;0,SUMIFS(T_SelfStock[Self_Qty],T_SelfStock[RM_Code],$A91,T_SelfStock[WeekIndex],22)+SUMIFS(T_TTAFStock[TTAF_Qty],T_TTAFStock[RM_Code],$A91,T_TTAFStock[WeekIndex],22),V91+'Grid_Incoming'!W91-'Grid_Requirement'!W91))</f>
        <v/>
      </c>
      <c r="X91">
        <f>IF(COUNTIFS(T_StockCount[RM_Code],$A91,T_StockCount[WeekIndex],23)&gt;0,SUMIFS(T_StockCount[CountedQty],T_StockCount[RM_Code],$A91,T_StockCount[WeekIndex],23),IF((COUNTIFS(T_SelfStock[RM_Code],$A91,T_SelfStock[WeekIndex],23)&gt;0)*(COUNTIFS(T_TTAFStock[RM_Code],$A91,T_TTAFStock[WeekIndex],23)&gt;0)&gt;0,SUMIFS(T_SelfStock[Self_Qty],T_SelfStock[RM_Code],$A91,T_SelfStock[WeekIndex],23)+SUMIFS(T_TTAFStock[TTAF_Qty],T_TTAFStock[RM_Code],$A91,T_TTAFStock[WeekIndex],23),W91+'Grid_Incoming'!X91-'Grid_Requirement'!X91))</f>
        <v/>
      </c>
      <c r="Y91">
        <f>IF(COUNTIFS(T_StockCount[RM_Code],$A91,T_StockCount[WeekIndex],24)&gt;0,SUMIFS(T_StockCount[CountedQty],T_StockCount[RM_Code],$A91,T_StockCount[WeekIndex],24),IF((COUNTIFS(T_SelfStock[RM_Code],$A91,T_SelfStock[WeekIndex],24)&gt;0)*(COUNTIFS(T_TTAFStock[RM_Code],$A91,T_TTAFStock[WeekIndex],24)&gt;0)&gt;0,SUMIFS(T_SelfStock[Self_Qty],T_SelfStock[RM_Code],$A91,T_SelfStock[WeekIndex],24)+SUMIFS(T_TTAFStock[TTAF_Qty],T_TTAFStock[RM_Code],$A91,T_TTAFStock[WeekIndex],24),X91+'Grid_Incoming'!Y91-'Grid_Requirement'!Y91))</f>
        <v/>
      </c>
      <c r="Z91">
        <f>IF(COUNTIFS(T_StockCount[RM_Code],$A91,T_StockCount[WeekIndex],25)&gt;0,SUMIFS(T_StockCount[CountedQty],T_StockCount[RM_Code],$A91,T_StockCount[WeekIndex],25),IF((COUNTIFS(T_SelfStock[RM_Code],$A91,T_SelfStock[WeekIndex],25)&gt;0)*(COUNTIFS(T_TTAFStock[RM_Code],$A91,T_TTAFStock[WeekIndex],25)&gt;0)&gt;0,SUMIFS(T_SelfStock[Self_Qty],T_SelfStock[RM_Code],$A91,T_SelfStock[WeekIndex],25)+SUMIFS(T_TTAFStock[TTAF_Qty],T_TTAFStock[RM_Code],$A91,T_TTAFStock[WeekIndex],25),Y91+'Grid_Incoming'!Z91-'Grid_Requirement'!Z91))</f>
        <v/>
      </c>
      <c r="AA91">
        <f>IF(COUNTIFS(T_StockCount[RM_Code],$A91,T_StockCount[WeekIndex],26)&gt;0,SUMIFS(T_StockCount[CountedQty],T_StockCount[RM_Code],$A91,T_StockCount[WeekIndex],26),IF((COUNTIFS(T_SelfStock[RM_Code],$A91,T_SelfStock[WeekIndex],26)&gt;0)*(COUNTIFS(T_TTAFStock[RM_Code],$A91,T_TTAFStock[WeekIndex],26)&gt;0)&gt;0,SUMIFS(T_SelfStock[Self_Qty],T_SelfStock[RM_Code],$A91,T_SelfStock[WeekIndex],26)+SUMIFS(T_TTAFStock[TTAF_Qty],T_TTAFStock[RM_Code],$A91,T_TTAFStock[WeekIndex],26),Z91+'Grid_Incoming'!AA91-'Grid_Requirement'!AA91))</f>
        <v/>
      </c>
      <c r="AB91">
        <f>IF(COUNTIFS(T_StockCount[RM_Code],$A91,T_StockCount[WeekIndex],27)&gt;0,SUMIFS(T_StockCount[CountedQty],T_StockCount[RM_Code],$A91,T_StockCount[WeekIndex],27),IF((COUNTIFS(T_SelfStock[RM_Code],$A91,T_SelfStock[WeekIndex],27)&gt;0)*(COUNTIFS(T_TTAFStock[RM_Code],$A91,T_TTAFStock[WeekIndex],27)&gt;0)&gt;0,SUMIFS(T_SelfStock[Self_Qty],T_SelfStock[RM_Code],$A91,T_SelfStock[WeekIndex],27)+SUMIFS(T_TTAFStock[TTAF_Qty],T_TTAFStock[RM_Code],$A91,T_TTAFStock[WeekIndex],27),AA91+'Grid_Incoming'!AB91-'Grid_Requirement'!AB91))</f>
        <v/>
      </c>
      <c r="AC91">
        <f>IF(COUNTIFS(T_StockCount[RM_Code],$A91,T_StockCount[WeekIndex],28)&gt;0,SUMIFS(T_StockCount[CountedQty],T_StockCount[RM_Code],$A91,T_StockCount[WeekIndex],28),IF((COUNTIFS(T_SelfStock[RM_Code],$A91,T_SelfStock[WeekIndex],28)&gt;0)*(COUNTIFS(T_TTAFStock[RM_Code],$A91,T_TTAFStock[WeekIndex],28)&gt;0)&gt;0,SUMIFS(T_SelfStock[Self_Qty],T_SelfStock[RM_Code],$A91,T_SelfStock[WeekIndex],28)+SUMIFS(T_TTAFStock[TTAF_Qty],T_TTAFStock[RM_Code],$A91,T_TTAFStock[WeekIndex],28),AB91+'Grid_Incoming'!AC91-'Grid_Requirement'!AC91))</f>
        <v/>
      </c>
      <c r="AD91">
        <f>IF(COUNTIFS(T_StockCount[RM_Code],$A91,T_StockCount[WeekIndex],29)&gt;0,SUMIFS(T_StockCount[CountedQty],T_StockCount[RM_Code],$A91,T_StockCount[WeekIndex],29),IF((COUNTIFS(T_SelfStock[RM_Code],$A91,T_SelfStock[WeekIndex],29)&gt;0)*(COUNTIFS(T_TTAFStock[RM_Code],$A91,T_TTAFStock[WeekIndex],29)&gt;0)&gt;0,SUMIFS(T_SelfStock[Self_Qty],T_SelfStock[RM_Code],$A91,T_SelfStock[WeekIndex],29)+SUMIFS(T_TTAFStock[TTAF_Qty],T_TTAFStock[RM_Code],$A91,T_TTAFStock[WeekIndex],29),AC91+'Grid_Incoming'!AD91-'Grid_Requirement'!AD91))</f>
        <v/>
      </c>
      <c r="AE91">
        <f>IF(COUNTIFS(T_StockCount[RM_Code],$A91,T_StockCount[WeekIndex],30)&gt;0,SUMIFS(T_StockCount[CountedQty],T_StockCount[RM_Code],$A91,T_StockCount[WeekIndex],30),IF((COUNTIFS(T_SelfStock[RM_Code],$A91,T_SelfStock[WeekIndex],30)&gt;0)*(COUNTIFS(T_TTAFStock[RM_Code],$A91,T_TTAFStock[WeekIndex],30)&gt;0)&gt;0,SUMIFS(T_SelfStock[Self_Qty],T_SelfStock[RM_Code],$A91,T_SelfStock[WeekIndex],30)+SUMIFS(T_TTAFStock[TTAF_Qty],T_TTAFStock[RM_Code],$A91,T_TTAFStock[WeekIndex],30),AD91+'Grid_Incoming'!AE91-'Grid_Requirement'!AE91))</f>
        <v/>
      </c>
      <c r="AF91">
        <f>IF(COUNTIFS(T_StockCount[RM_Code],$A91,T_StockCount[WeekIndex],31)&gt;0,SUMIFS(T_StockCount[CountedQty],T_StockCount[RM_Code],$A91,T_StockCount[WeekIndex],31),IF((COUNTIFS(T_SelfStock[RM_Code],$A91,T_SelfStock[WeekIndex],31)&gt;0)*(COUNTIFS(T_TTAFStock[RM_Code],$A91,T_TTAFStock[WeekIndex],31)&gt;0)&gt;0,SUMIFS(T_SelfStock[Self_Qty],T_SelfStock[RM_Code],$A91,T_SelfStock[WeekIndex],31)+SUMIFS(T_TTAFStock[TTAF_Qty],T_TTAFStock[RM_Code],$A91,T_TTAFStock[WeekIndex],31),AE91+'Grid_Incoming'!AF91-'Grid_Requirement'!AF91))</f>
        <v/>
      </c>
      <c r="AG91">
        <f>IF(COUNTIFS(T_StockCount[RM_Code],$A91,T_StockCount[WeekIndex],32)&gt;0,SUMIFS(T_StockCount[CountedQty],T_StockCount[RM_Code],$A91,T_StockCount[WeekIndex],32),IF((COUNTIFS(T_SelfStock[RM_Code],$A91,T_SelfStock[WeekIndex],32)&gt;0)*(COUNTIFS(T_TTAFStock[RM_Code],$A91,T_TTAFStock[WeekIndex],32)&gt;0)&gt;0,SUMIFS(T_SelfStock[Self_Qty],T_SelfStock[RM_Code],$A91,T_SelfStock[WeekIndex],32)+SUMIFS(T_TTAFStock[TTAF_Qty],T_TTAFStock[RM_Code],$A91,T_TTAFStock[WeekIndex],32),AF91+'Grid_Incoming'!AG91-'Grid_Requirement'!AG91))</f>
        <v/>
      </c>
      <c r="AH91">
        <f>IF(COUNTIFS(T_StockCount[RM_Code],$A91,T_StockCount[WeekIndex],33)&gt;0,SUMIFS(T_StockCount[CountedQty],T_StockCount[RM_Code],$A91,T_StockCount[WeekIndex],33),IF((COUNTIFS(T_SelfStock[RM_Code],$A91,T_SelfStock[WeekIndex],33)&gt;0)*(COUNTIFS(T_TTAFStock[RM_Code],$A91,T_TTAFStock[WeekIndex],33)&gt;0)&gt;0,SUMIFS(T_SelfStock[Self_Qty],T_SelfStock[RM_Code],$A91,T_SelfStock[WeekIndex],33)+SUMIFS(T_TTAFStock[TTAF_Qty],T_TTAFStock[RM_Code],$A91,T_TTAFStock[WeekIndex],33),AG91+'Grid_Incoming'!AH91-'Grid_Requirement'!AH91))</f>
        <v/>
      </c>
      <c r="AI91">
        <f>IF(COUNTIFS(T_StockCount[RM_Code],$A91,T_StockCount[WeekIndex],34)&gt;0,SUMIFS(T_StockCount[CountedQty],T_StockCount[RM_Code],$A91,T_StockCount[WeekIndex],34),IF((COUNTIFS(T_SelfStock[RM_Code],$A91,T_SelfStock[WeekIndex],34)&gt;0)*(COUNTIFS(T_TTAFStock[RM_Code],$A91,T_TTAFStock[WeekIndex],34)&gt;0)&gt;0,SUMIFS(T_SelfStock[Self_Qty],T_SelfStock[RM_Code],$A91,T_SelfStock[WeekIndex],34)+SUMIFS(T_TTAFStock[TTAF_Qty],T_TTAFStock[RM_Code],$A91,T_TTAFStock[WeekIndex],34),AH91+'Grid_Incoming'!AI91-'Grid_Requirement'!AI91))</f>
        <v/>
      </c>
      <c r="AJ91">
        <f>IF(COUNTIFS(T_StockCount[RM_Code],$A91,T_StockCount[WeekIndex],35)&gt;0,SUMIFS(T_StockCount[CountedQty],T_StockCount[RM_Code],$A91,T_StockCount[WeekIndex],35),IF((COUNTIFS(T_SelfStock[RM_Code],$A91,T_SelfStock[WeekIndex],35)&gt;0)*(COUNTIFS(T_TTAFStock[RM_Code],$A91,T_TTAFStock[WeekIndex],35)&gt;0)&gt;0,SUMIFS(T_SelfStock[Self_Qty],T_SelfStock[RM_Code],$A91,T_SelfStock[WeekIndex],35)+SUMIFS(T_TTAFStock[TTAF_Qty],T_TTAFStock[RM_Code],$A91,T_TTAFStock[WeekIndex],35),AI91+'Grid_Incoming'!AJ91-'Grid_Requirement'!AJ91))</f>
        <v/>
      </c>
      <c r="AK91">
        <f>IF(COUNTIFS(T_StockCount[RM_Code],$A91,T_StockCount[WeekIndex],36)&gt;0,SUMIFS(T_StockCount[CountedQty],T_StockCount[RM_Code],$A91,T_StockCount[WeekIndex],36),IF((COUNTIFS(T_SelfStock[RM_Code],$A91,T_SelfStock[WeekIndex],36)&gt;0)*(COUNTIFS(T_TTAFStock[RM_Code],$A91,T_TTAFStock[WeekIndex],36)&gt;0)&gt;0,SUMIFS(T_SelfStock[Self_Qty],T_SelfStock[RM_Code],$A91,T_SelfStock[WeekIndex],36)+SUMIFS(T_TTAFStock[TTAF_Qty],T_TTAFStock[RM_Code],$A91,T_TTAFStock[WeekIndex],36),AJ91+'Grid_Incoming'!AK91-'Grid_Requirement'!AK91))</f>
        <v/>
      </c>
      <c r="AL91">
        <f>IF(COUNTIFS(T_StockCount[RM_Code],$A91,T_StockCount[WeekIndex],37)&gt;0,SUMIFS(T_StockCount[CountedQty],T_StockCount[RM_Code],$A91,T_StockCount[WeekIndex],37),IF((COUNTIFS(T_SelfStock[RM_Code],$A91,T_SelfStock[WeekIndex],37)&gt;0)*(COUNTIFS(T_TTAFStock[RM_Code],$A91,T_TTAFStock[WeekIndex],37)&gt;0)&gt;0,SUMIFS(T_SelfStock[Self_Qty],T_SelfStock[RM_Code],$A91,T_SelfStock[WeekIndex],37)+SUMIFS(T_TTAFStock[TTAF_Qty],T_TTAFStock[RM_Code],$A91,T_TTAFStock[WeekIndex],37),AK91+'Grid_Incoming'!AL91-'Grid_Requirement'!AL91))</f>
        <v/>
      </c>
      <c r="AM91">
        <f>IF(COUNTIFS(T_StockCount[RM_Code],$A91,T_StockCount[WeekIndex],38)&gt;0,SUMIFS(T_StockCount[CountedQty],T_StockCount[RM_Code],$A91,T_StockCount[WeekIndex],38),IF((COUNTIFS(T_SelfStock[RM_Code],$A91,T_SelfStock[WeekIndex],38)&gt;0)*(COUNTIFS(T_TTAFStock[RM_Code],$A91,T_TTAFStock[WeekIndex],38)&gt;0)&gt;0,SUMIFS(T_SelfStock[Self_Qty],T_SelfStock[RM_Code],$A91,T_SelfStock[WeekIndex],38)+SUMIFS(T_TTAFStock[TTAF_Qty],T_TTAFStock[RM_Code],$A91,T_TTAFStock[WeekIndex],38),AL91+'Grid_Incoming'!AM91-'Grid_Requirement'!AM91))</f>
        <v/>
      </c>
      <c r="AN91">
        <f>IF(COUNTIFS(T_StockCount[RM_Code],$A91,T_StockCount[WeekIndex],39)&gt;0,SUMIFS(T_StockCount[CountedQty],T_StockCount[RM_Code],$A91,T_StockCount[WeekIndex],39),IF((COUNTIFS(T_SelfStock[RM_Code],$A91,T_SelfStock[WeekIndex],39)&gt;0)*(COUNTIFS(T_TTAFStock[RM_Code],$A91,T_TTAFStock[WeekIndex],39)&gt;0)&gt;0,SUMIFS(T_SelfStock[Self_Qty],T_SelfStock[RM_Code],$A91,T_SelfStock[WeekIndex],39)+SUMIFS(T_TTAFStock[TTAF_Qty],T_TTAFStock[RM_Code],$A91,T_TTAFStock[WeekIndex],39),AM91+'Grid_Incoming'!AN91-'Grid_Requirement'!AN91))</f>
        <v/>
      </c>
      <c r="AO91">
        <f>IF(COUNTIFS(T_StockCount[RM_Code],$A91,T_StockCount[WeekIndex],40)&gt;0,SUMIFS(T_StockCount[CountedQty],T_StockCount[RM_Code],$A91,T_StockCount[WeekIndex],40),IF((COUNTIFS(T_SelfStock[RM_Code],$A91,T_SelfStock[WeekIndex],40)&gt;0)*(COUNTIFS(T_TTAFStock[RM_Code],$A91,T_TTAFStock[WeekIndex],40)&gt;0)&gt;0,SUMIFS(T_SelfStock[Self_Qty],T_SelfStock[RM_Code],$A91,T_SelfStock[WeekIndex],40)+SUMIFS(T_TTAFStock[TTAF_Qty],T_TTAFStock[RM_Code],$A91,T_TTAFStock[WeekIndex],40),AN91+'Grid_Incoming'!AO91-'Grid_Requirement'!AO91))</f>
        <v/>
      </c>
      <c r="AP91">
        <f>IF(COUNTIFS(T_StockCount[RM_Code],$A91,T_StockCount[WeekIndex],41)&gt;0,SUMIFS(T_StockCount[CountedQty],T_StockCount[RM_Code],$A91,T_StockCount[WeekIndex],41),IF((COUNTIFS(T_SelfStock[RM_Code],$A91,T_SelfStock[WeekIndex],41)&gt;0)*(COUNTIFS(T_TTAFStock[RM_Code],$A91,T_TTAFStock[WeekIndex],41)&gt;0)&gt;0,SUMIFS(T_SelfStock[Self_Qty],T_SelfStock[RM_Code],$A91,T_SelfStock[WeekIndex],41)+SUMIFS(T_TTAFStock[TTAF_Qty],T_TTAFStock[RM_Code],$A91,T_TTAFStock[WeekIndex],41),AO91+'Grid_Incoming'!AP91-'Grid_Requirement'!AP91))</f>
        <v/>
      </c>
      <c r="AQ91">
        <f>IF(COUNTIFS(T_StockCount[RM_Code],$A91,T_StockCount[WeekIndex],42)&gt;0,SUMIFS(T_StockCount[CountedQty],T_StockCount[RM_Code],$A91,T_StockCount[WeekIndex],42),IF((COUNTIFS(T_SelfStock[RM_Code],$A91,T_SelfStock[WeekIndex],42)&gt;0)*(COUNTIFS(T_TTAFStock[RM_Code],$A91,T_TTAFStock[WeekIndex],42)&gt;0)&gt;0,SUMIFS(T_SelfStock[Self_Qty],T_SelfStock[RM_Code],$A91,T_SelfStock[WeekIndex],42)+SUMIFS(T_TTAFStock[TTAF_Qty],T_TTAFStock[RM_Code],$A91,T_TTAFStock[WeekIndex],42),AP91+'Grid_Incoming'!AQ91-'Grid_Requirement'!AQ91))</f>
        <v/>
      </c>
      <c r="AR91">
        <f>IF(COUNTIFS(T_StockCount[RM_Code],$A91,T_StockCount[WeekIndex],43)&gt;0,SUMIFS(T_StockCount[CountedQty],T_StockCount[RM_Code],$A91,T_StockCount[WeekIndex],43),IF((COUNTIFS(T_SelfStock[RM_Code],$A91,T_SelfStock[WeekIndex],43)&gt;0)*(COUNTIFS(T_TTAFStock[RM_Code],$A91,T_TTAFStock[WeekIndex],43)&gt;0)&gt;0,SUMIFS(T_SelfStock[Self_Qty],T_SelfStock[RM_Code],$A91,T_SelfStock[WeekIndex],43)+SUMIFS(T_TTAFStock[TTAF_Qty],T_TTAFStock[RM_Code],$A91,T_TTAFStock[WeekIndex],43),AQ91+'Grid_Incoming'!AR91-'Grid_Requirement'!AR91))</f>
        <v/>
      </c>
      <c r="AS91">
        <f>IF(COUNTIFS(T_StockCount[RM_Code],$A91,T_StockCount[WeekIndex],44)&gt;0,SUMIFS(T_StockCount[CountedQty],T_StockCount[RM_Code],$A91,T_StockCount[WeekIndex],44),IF((COUNTIFS(T_SelfStock[RM_Code],$A91,T_SelfStock[WeekIndex],44)&gt;0)*(COUNTIFS(T_TTAFStock[RM_Code],$A91,T_TTAFStock[WeekIndex],44)&gt;0)&gt;0,SUMIFS(T_SelfStock[Self_Qty],T_SelfStock[RM_Code],$A91,T_SelfStock[WeekIndex],44)+SUMIFS(T_TTAFStock[TTAF_Qty],T_TTAFStock[RM_Code],$A91,T_TTAFStock[WeekIndex],44),AR91+'Grid_Incoming'!AS91-'Grid_Requirement'!AS91))</f>
        <v/>
      </c>
      <c r="AT91">
        <f>IF(COUNTIFS(T_StockCount[RM_Code],$A91,T_StockCount[WeekIndex],45)&gt;0,SUMIFS(T_StockCount[CountedQty],T_StockCount[RM_Code],$A91,T_StockCount[WeekIndex],45),IF((COUNTIFS(T_SelfStock[RM_Code],$A91,T_SelfStock[WeekIndex],45)&gt;0)*(COUNTIFS(T_TTAFStock[RM_Code],$A91,T_TTAFStock[WeekIndex],45)&gt;0)&gt;0,SUMIFS(T_SelfStock[Self_Qty],T_SelfStock[RM_Code],$A91,T_SelfStock[WeekIndex],45)+SUMIFS(T_TTAFStock[TTAF_Qty],T_TTAFStock[RM_Code],$A91,T_TTAFStock[WeekIndex],45),AS91+'Grid_Incoming'!AT91-'Grid_Requirement'!AT91))</f>
        <v/>
      </c>
      <c r="AU91">
        <f>IF(COUNTIFS(T_StockCount[RM_Code],$A91,T_StockCount[WeekIndex],46)&gt;0,SUMIFS(T_StockCount[CountedQty],T_StockCount[RM_Code],$A91,T_StockCount[WeekIndex],46),IF((COUNTIFS(T_SelfStock[RM_Code],$A91,T_SelfStock[WeekIndex],46)&gt;0)*(COUNTIFS(T_TTAFStock[RM_Code],$A91,T_TTAFStock[WeekIndex],46)&gt;0)&gt;0,SUMIFS(T_SelfStock[Self_Qty],T_SelfStock[RM_Code],$A91,T_SelfStock[WeekIndex],46)+SUMIFS(T_TTAFStock[TTAF_Qty],T_TTAFStock[RM_Code],$A91,T_TTAFStock[WeekIndex],46),AT91+'Grid_Incoming'!AU91-'Grid_Requirement'!AU91))</f>
        <v/>
      </c>
      <c r="AV91">
        <f>IF(COUNTIFS(T_StockCount[RM_Code],$A91,T_StockCount[WeekIndex],47)&gt;0,SUMIFS(T_StockCount[CountedQty],T_StockCount[RM_Code],$A91,T_StockCount[WeekIndex],47),IF((COUNTIFS(T_SelfStock[RM_Code],$A91,T_SelfStock[WeekIndex],47)&gt;0)*(COUNTIFS(T_TTAFStock[RM_Code],$A91,T_TTAFStock[WeekIndex],47)&gt;0)&gt;0,SUMIFS(T_SelfStock[Self_Qty],T_SelfStock[RM_Code],$A91,T_SelfStock[WeekIndex],47)+SUMIFS(T_TTAFStock[TTAF_Qty],T_TTAFStock[RM_Code],$A91,T_TTAFStock[WeekIndex],47),AU91+'Grid_Incoming'!AV91-'Grid_Requirement'!AV91))</f>
        <v/>
      </c>
      <c r="AW91">
        <f>IF(COUNTIFS(T_StockCount[RM_Code],$A91,T_StockCount[WeekIndex],48)&gt;0,SUMIFS(T_StockCount[CountedQty],T_StockCount[RM_Code],$A91,T_StockCount[WeekIndex],48),IF((COUNTIFS(T_SelfStock[RM_Code],$A91,T_SelfStock[WeekIndex],48)&gt;0)*(COUNTIFS(T_TTAFStock[RM_Code],$A91,T_TTAFStock[WeekIndex],48)&gt;0)&gt;0,SUMIFS(T_SelfStock[Self_Qty],T_SelfStock[RM_Code],$A91,T_SelfStock[WeekIndex],48)+SUMIFS(T_TTAFStock[TTAF_Qty],T_TTAFStock[RM_Code],$A91,T_TTAFStock[WeekIndex],48),AV91+'Grid_Incoming'!AW91-'Grid_Requirement'!AW91))</f>
        <v/>
      </c>
      <c r="AX91">
        <f>IF(COUNTIFS(T_StockCount[RM_Code],$A91,T_StockCount[WeekIndex],49)&gt;0,SUMIFS(T_StockCount[CountedQty],T_StockCount[RM_Code],$A91,T_StockCount[WeekIndex],49),IF((COUNTIFS(T_SelfStock[RM_Code],$A91,T_SelfStock[WeekIndex],49)&gt;0)*(COUNTIFS(T_TTAFStock[RM_Code],$A91,T_TTAFStock[WeekIndex],49)&gt;0)&gt;0,SUMIFS(T_SelfStock[Self_Qty],T_SelfStock[RM_Code],$A91,T_SelfStock[WeekIndex],49)+SUMIFS(T_TTAFStock[TTAF_Qty],T_TTAFStock[RM_Code],$A91,T_TTAFStock[WeekIndex],49),AW91+'Grid_Incoming'!AX91-'Grid_Requirement'!AX91))</f>
        <v/>
      </c>
      <c r="AY91">
        <f>IF(COUNTIFS(T_StockCount[RM_Code],$A91,T_StockCount[WeekIndex],50)&gt;0,SUMIFS(T_StockCount[CountedQty],T_StockCount[RM_Code],$A91,T_StockCount[WeekIndex],50),IF((COUNTIFS(T_SelfStock[RM_Code],$A91,T_SelfStock[WeekIndex],50)&gt;0)*(COUNTIFS(T_TTAFStock[RM_Code],$A91,T_TTAFStock[WeekIndex],50)&gt;0)&gt;0,SUMIFS(T_SelfStock[Self_Qty],T_SelfStock[RM_Code],$A91,T_SelfStock[WeekIndex],50)+SUMIFS(T_TTAFStock[TTAF_Qty],T_TTAFStock[RM_Code],$A91,T_TTAFStock[WeekIndex],50),AX91+'Grid_Incoming'!AY91-'Grid_Requirement'!AY91))</f>
        <v/>
      </c>
      <c r="AZ91">
        <f>IF(COUNTIFS(T_StockCount[RM_Code],$A91,T_StockCount[WeekIndex],51)&gt;0,SUMIFS(T_StockCount[CountedQty],T_StockCount[RM_Code],$A91,T_StockCount[WeekIndex],51),IF((COUNTIFS(T_SelfStock[RM_Code],$A91,T_SelfStock[WeekIndex],51)&gt;0)*(COUNTIFS(T_TTAFStock[RM_Code],$A91,T_TTAFStock[WeekIndex],51)&gt;0)&gt;0,SUMIFS(T_SelfStock[Self_Qty],T_SelfStock[RM_Code],$A91,T_SelfStock[WeekIndex],51)+SUMIFS(T_TTAFStock[TTAF_Qty],T_TTAFStock[RM_Code],$A91,T_TTAFStock[WeekIndex],51),AY91+'Grid_Incoming'!AZ91-'Grid_Requirement'!AZ91))</f>
        <v/>
      </c>
      <c r="BA91">
        <f>IF(COUNTIFS(T_StockCount[RM_Code],$A91,T_StockCount[WeekIndex],52)&gt;0,SUMIFS(T_StockCount[CountedQty],T_StockCount[RM_Code],$A91,T_StockCount[WeekIndex],52),IF((COUNTIFS(T_SelfStock[RM_Code],$A91,T_SelfStock[WeekIndex],52)&gt;0)*(COUNTIFS(T_TTAFStock[RM_Code],$A91,T_TTAFStock[WeekIndex],52)&gt;0)&gt;0,SUMIFS(T_SelfStock[Self_Qty],T_SelfStock[RM_Code],$A91,T_SelfStock[WeekIndex],52)+SUMIFS(T_TTAFStock[TTAF_Qty],T_TTAFStock[RM_Code],$A91,T_TTAFStock[WeekIndex],52),AZ91+'Grid_Incoming'!BA91-'Grid_Requirement'!BA91))</f>
        <v/>
      </c>
      <c r="BB91">
        <f>IF(COUNTIFS(T_StockCount[RM_Code],$A91,T_StockCount[WeekIndex],53)&gt;0,SUMIFS(T_StockCount[CountedQty],T_StockCount[RM_Code],$A91,T_StockCount[WeekIndex],53),IF((COUNTIFS(T_SelfStock[RM_Code],$A91,T_SelfStock[WeekIndex],53)&gt;0)*(COUNTIFS(T_TTAFStock[RM_Code],$A91,T_TTAFStock[WeekIndex],53)&gt;0)&gt;0,SUMIFS(T_SelfStock[Self_Qty],T_SelfStock[RM_Code],$A91,T_SelfStock[WeekIndex],53)+SUMIFS(T_TTAFStock[TTAF_Qty],T_TTAFStock[RM_Code],$A91,T_TTAFStock[WeekIndex],53),BA91+'Grid_Incoming'!BB91-'Grid_Requirement'!BB91))</f>
        <v/>
      </c>
      <c r="BC91">
        <f>IF(COUNTIFS(T_StockCount[RM_Code],$A91,T_StockCount[WeekIndex],54)&gt;0,SUMIFS(T_StockCount[CountedQty],T_StockCount[RM_Code],$A91,T_StockCount[WeekIndex],54),IF((COUNTIFS(T_SelfStock[RM_Code],$A91,T_SelfStock[WeekIndex],54)&gt;0)*(COUNTIFS(T_TTAFStock[RM_Code],$A91,T_TTAFStock[WeekIndex],54)&gt;0)&gt;0,SUMIFS(T_SelfStock[Self_Qty],T_SelfStock[RM_Code],$A91,T_SelfStock[WeekIndex],54)+SUMIFS(T_TTAFStock[TTAF_Qty],T_TTAFStock[RM_Code],$A91,T_TTAFStock[WeekIndex],54),BB91+'Grid_Incoming'!BC91-'Grid_Requirement'!BC91))</f>
        <v/>
      </c>
      <c r="BD91">
        <f>IF(COUNTIFS(T_StockCount[RM_Code],$A91,T_StockCount[WeekIndex],55)&gt;0,SUMIFS(T_StockCount[CountedQty],T_StockCount[RM_Code],$A91,T_StockCount[WeekIndex],55),IF((COUNTIFS(T_SelfStock[RM_Code],$A91,T_SelfStock[WeekIndex],55)&gt;0)*(COUNTIFS(T_TTAFStock[RM_Code],$A91,T_TTAFStock[WeekIndex],55)&gt;0)&gt;0,SUMIFS(T_SelfStock[Self_Qty],T_SelfStock[RM_Code],$A91,T_SelfStock[WeekIndex],55)+SUMIFS(T_TTAFStock[TTAF_Qty],T_TTAFStock[RM_Code],$A91,T_TTAFStock[WeekIndex],55),BC91+'Grid_Incoming'!BD91-'Grid_Requirement'!BD91))</f>
        <v/>
      </c>
      <c r="BE91">
        <f>IF(COUNTIFS(T_StockCount[RM_Code],$A91,T_StockCount[WeekIndex],56)&gt;0,SUMIFS(T_StockCount[CountedQty],T_StockCount[RM_Code],$A91,T_StockCount[WeekIndex],56),IF((COUNTIFS(T_SelfStock[RM_Code],$A91,T_SelfStock[WeekIndex],56)&gt;0)*(COUNTIFS(T_TTAFStock[RM_Code],$A91,T_TTAFStock[WeekIndex],56)&gt;0)&gt;0,SUMIFS(T_SelfStock[Self_Qty],T_SelfStock[RM_Code],$A91,T_SelfStock[WeekIndex],56)+SUMIFS(T_TTAFStock[TTAF_Qty],T_TTAFStock[RM_Code],$A91,T_TTAFStock[WeekIndex],56),BD91+'Grid_Incoming'!BE91-'Grid_Requirement'!BE91))</f>
        <v/>
      </c>
      <c r="BF91">
        <f>IF(COUNTIFS(T_StockCount[RM_Code],$A91,T_StockCount[WeekIndex],57)&gt;0,SUMIFS(T_StockCount[CountedQty],T_StockCount[RM_Code],$A91,T_StockCount[WeekIndex],57),IF((COUNTIFS(T_SelfStock[RM_Code],$A91,T_SelfStock[WeekIndex],57)&gt;0)*(COUNTIFS(T_TTAFStock[RM_Code],$A91,T_TTAFStock[WeekIndex],57)&gt;0)&gt;0,SUMIFS(T_SelfStock[Self_Qty],T_SelfStock[RM_Code],$A91,T_SelfStock[WeekIndex],57)+SUMIFS(T_TTAFStock[TTAF_Qty],T_TTAFStock[RM_Code],$A91,T_TTAFStock[WeekIndex],57),BE91+'Grid_Incoming'!BF91-'Grid_Requirement'!BF91))</f>
        <v/>
      </c>
      <c r="BG91">
        <f>IF(COUNTIFS(T_StockCount[RM_Code],$A91,T_StockCount[WeekIndex],58)&gt;0,SUMIFS(T_StockCount[CountedQty],T_StockCount[RM_Code],$A91,T_StockCount[WeekIndex],58),IF((COUNTIFS(T_SelfStock[RM_Code],$A91,T_SelfStock[WeekIndex],58)&gt;0)*(COUNTIFS(T_TTAFStock[RM_Code],$A91,T_TTAFStock[WeekIndex],58)&gt;0)&gt;0,SUMIFS(T_SelfStock[Self_Qty],T_SelfStock[RM_Code],$A91,T_SelfStock[WeekIndex],58)+SUMIFS(T_TTAFStock[TTAF_Qty],T_TTAFStock[RM_Code],$A91,T_TTAFStock[WeekIndex],58),BF91+'Grid_Incoming'!BG91-'Grid_Requirement'!BG91))</f>
        <v/>
      </c>
      <c r="BH91">
        <f>IF(COUNTIFS(T_StockCount[RM_Code],$A91,T_StockCount[WeekIndex],59)&gt;0,SUMIFS(T_StockCount[CountedQty],T_StockCount[RM_Code],$A91,T_StockCount[WeekIndex],59),IF((COUNTIFS(T_SelfStock[RM_Code],$A91,T_SelfStock[WeekIndex],59)&gt;0)*(COUNTIFS(T_TTAFStock[RM_Code],$A91,T_TTAFStock[WeekIndex],59)&gt;0)&gt;0,SUMIFS(T_SelfStock[Self_Qty],T_SelfStock[RM_Code],$A91,T_SelfStock[WeekIndex],59)+SUMIFS(T_TTAFStock[TTAF_Qty],T_TTAFStock[RM_Code],$A91,T_TTAFStock[WeekIndex],59),BG91+'Grid_Incoming'!BH91-'Grid_Requirement'!BH91))</f>
        <v/>
      </c>
      <c r="BI91">
        <f>IF(COUNTIFS(T_StockCount[RM_Code],$A91,T_StockCount[WeekIndex],60)&gt;0,SUMIFS(T_StockCount[CountedQty],T_StockCount[RM_Code],$A91,T_StockCount[WeekIndex],60),IF((COUNTIFS(T_SelfStock[RM_Code],$A91,T_SelfStock[WeekIndex],60)&gt;0)*(COUNTIFS(T_TTAFStock[RM_Code],$A91,T_TTAFStock[WeekIndex],60)&gt;0)&gt;0,SUMIFS(T_SelfStock[Self_Qty],T_SelfStock[RM_Code],$A91,T_SelfStock[WeekIndex],60)+SUMIFS(T_TTAFStock[TTAF_Qty],T_TTAFStock[RM_Code],$A91,T_TTAFStock[WeekIndex],60),BH91+'Grid_Incoming'!BI91-'Grid_Requirement'!BI91))</f>
        <v/>
      </c>
      <c r="BJ91">
        <f>IF(COUNTIFS(T_StockCount[RM_Code],$A91,T_StockCount[WeekIndex],61)&gt;0,SUMIFS(T_StockCount[CountedQty],T_StockCount[RM_Code],$A91,T_StockCount[WeekIndex],61),IF((COUNTIFS(T_SelfStock[RM_Code],$A91,T_SelfStock[WeekIndex],61)&gt;0)*(COUNTIFS(T_TTAFStock[RM_Code],$A91,T_TTAFStock[WeekIndex],61)&gt;0)&gt;0,SUMIFS(T_SelfStock[Self_Qty],T_SelfStock[RM_Code],$A91,T_SelfStock[WeekIndex],61)+SUMIFS(T_TTAFStock[TTAF_Qty],T_TTAFStock[RM_Code],$A91,T_TTAFStock[WeekIndex],61),BI91+'Grid_Incoming'!BJ91-'Grid_Requirement'!BJ91))</f>
        <v/>
      </c>
      <c r="BK91">
        <f>IF(COUNTIFS(T_StockCount[RM_Code],$A91,T_StockCount[WeekIndex],62)&gt;0,SUMIFS(T_StockCount[CountedQty],T_StockCount[RM_Code],$A91,T_StockCount[WeekIndex],62),IF((COUNTIFS(T_SelfStock[RM_Code],$A91,T_SelfStock[WeekIndex],62)&gt;0)*(COUNTIFS(T_TTAFStock[RM_Code],$A91,T_TTAFStock[WeekIndex],62)&gt;0)&gt;0,SUMIFS(T_SelfStock[Self_Qty],T_SelfStock[RM_Code],$A91,T_SelfStock[WeekIndex],62)+SUMIFS(T_TTAFStock[TTAF_Qty],T_TTAFStock[RM_Code],$A91,T_TTAFStock[WeekIndex],62),BJ91+'Grid_Incoming'!BK91-'Grid_Requirement'!BK91))</f>
        <v/>
      </c>
      <c r="BL91">
        <f>IF(COUNTIFS(T_StockCount[RM_Code],$A91,T_StockCount[WeekIndex],63)&gt;0,SUMIFS(T_StockCount[CountedQty],T_StockCount[RM_Code],$A91,T_StockCount[WeekIndex],63),IF((COUNTIFS(T_SelfStock[RM_Code],$A91,T_SelfStock[WeekIndex],63)&gt;0)*(COUNTIFS(T_TTAFStock[RM_Code],$A91,T_TTAFStock[WeekIndex],63)&gt;0)&gt;0,SUMIFS(T_SelfStock[Self_Qty],T_SelfStock[RM_Code],$A91,T_SelfStock[WeekIndex],63)+SUMIFS(T_TTAFStock[TTAF_Qty],T_TTAFStock[RM_Code],$A91,T_TTAFStock[WeekIndex],63),BK91+'Grid_Incoming'!BL91-'Grid_Requirement'!BL91))</f>
        <v/>
      </c>
      <c r="BM91">
        <f>IF(COUNTIFS(T_StockCount[RM_Code],$A91,T_StockCount[WeekIndex],64)&gt;0,SUMIFS(T_StockCount[CountedQty],T_StockCount[RM_Code],$A91,T_StockCount[WeekIndex],64),IF((COUNTIFS(T_SelfStock[RM_Code],$A91,T_SelfStock[WeekIndex],64)&gt;0)*(COUNTIFS(T_TTAFStock[RM_Code],$A91,T_TTAFStock[WeekIndex],64)&gt;0)&gt;0,SUMIFS(T_SelfStock[Self_Qty],T_SelfStock[RM_Code],$A91,T_SelfStock[WeekIndex],64)+SUMIFS(T_TTAFStock[TTAF_Qty],T_TTAFStock[RM_Code],$A91,T_TTAFStock[WeekIndex],64),BL91+'Grid_Incoming'!BM91-'Grid_Requirement'!BM91))</f>
        <v/>
      </c>
      <c r="BN91">
        <f>IF(COUNTIFS(T_StockCount[RM_Code],$A91,T_StockCount[WeekIndex],65)&gt;0,SUMIFS(T_StockCount[CountedQty],T_StockCount[RM_Code],$A91,T_StockCount[WeekIndex],65),IF((COUNTIFS(T_SelfStock[RM_Code],$A91,T_SelfStock[WeekIndex],65)&gt;0)*(COUNTIFS(T_TTAFStock[RM_Code],$A91,T_TTAFStock[WeekIndex],65)&gt;0)&gt;0,SUMIFS(T_SelfStock[Self_Qty],T_SelfStock[RM_Code],$A91,T_SelfStock[WeekIndex],65)+SUMIFS(T_TTAFStock[TTAF_Qty],T_TTAFStock[RM_Code],$A91,T_TTAFStock[WeekIndex],65),BM91+'Grid_Incoming'!BN91-'Grid_Requirement'!BN91))</f>
        <v/>
      </c>
      <c r="BO91">
        <f>IF(COUNTIFS(T_StockCount[RM_Code],$A91,T_StockCount[WeekIndex],66)&gt;0,SUMIFS(T_StockCount[CountedQty],T_StockCount[RM_Code],$A91,T_StockCount[WeekIndex],66),IF((COUNTIFS(T_SelfStock[RM_Code],$A91,T_SelfStock[WeekIndex],66)&gt;0)*(COUNTIFS(T_TTAFStock[RM_Code],$A91,T_TTAFStock[WeekIndex],66)&gt;0)&gt;0,SUMIFS(T_SelfStock[Self_Qty],T_SelfStock[RM_Code],$A91,T_SelfStock[WeekIndex],66)+SUMIFS(T_TTAFStock[TTAF_Qty],T_TTAFStock[RM_Code],$A91,T_TTAFStock[WeekIndex],66),BN91+'Grid_Incoming'!BO91-'Grid_Requirement'!BO91))</f>
        <v/>
      </c>
      <c r="BP91">
        <f>IF(COUNTIFS(T_StockCount[RM_Code],$A91,T_StockCount[WeekIndex],67)&gt;0,SUMIFS(T_StockCount[CountedQty],T_StockCount[RM_Code],$A91,T_StockCount[WeekIndex],67),IF((COUNTIFS(T_SelfStock[RM_Code],$A91,T_SelfStock[WeekIndex],67)&gt;0)*(COUNTIFS(T_TTAFStock[RM_Code],$A91,T_TTAFStock[WeekIndex],67)&gt;0)&gt;0,SUMIFS(T_SelfStock[Self_Qty],T_SelfStock[RM_Code],$A91,T_SelfStock[WeekIndex],67)+SUMIFS(T_TTAFStock[TTAF_Qty],T_TTAFStock[RM_Code],$A91,T_TTAFStock[WeekIndex],67),BO91+'Grid_Incoming'!BP91-'Grid_Requirement'!BP91))</f>
        <v/>
      </c>
      <c r="BQ91">
        <f>IF(COUNTIFS(T_StockCount[RM_Code],$A91,T_StockCount[WeekIndex],68)&gt;0,SUMIFS(T_StockCount[CountedQty],T_StockCount[RM_Code],$A91,T_StockCount[WeekIndex],68),IF((COUNTIFS(T_SelfStock[RM_Code],$A91,T_SelfStock[WeekIndex],68)&gt;0)*(COUNTIFS(T_TTAFStock[RM_Code],$A91,T_TTAFStock[WeekIndex],68)&gt;0)&gt;0,SUMIFS(T_SelfStock[Self_Qty],T_SelfStock[RM_Code],$A91,T_SelfStock[WeekIndex],68)+SUMIFS(T_TTAFStock[TTAF_Qty],T_TTAFStock[RM_Code],$A91,T_TTAFStock[WeekIndex],68),BP91+'Grid_Incoming'!BQ91-'Grid_Requirement'!BQ91))</f>
        <v/>
      </c>
      <c r="BR91">
        <f>IF(COUNTIFS(T_StockCount[RM_Code],$A91,T_StockCount[WeekIndex],69)&gt;0,SUMIFS(T_StockCount[CountedQty],T_StockCount[RM_Code],$A91,T_StockCount[WeekIndex],69),IF((COUNTIFS(T_SelfStock[RM_Code],$A91,T_SelfStock[WeekIndex],69)&gt;0)*(COUNTIFS(T_TTAFStock[RM_Code],$A91,T_TTAFStock[WeekIndex],69)&gt;0)&gt;0,SUMIFS(T_SelfStock[Self_Qty],T_SelfStock[RM_Code],$A91,T_SelfStock[WeekIndex],69)+SUMIFS(T_TTAFStock[TTAF_Qty],T_TTAFStock[RM_Code],$A91,T_TTAFStock[WeekIndex],69),BQ91+'Grid_Incoming'!BR91-'Grid_Requirement'!BR91))</f>
        <v/>
      </c>
      <c r="BS91">
        <f>IF(COUNTIFS(T_StockCount[RM_Code],$A91,T_StockCount[WeekIndex],70)&gt;0,SUMIFS(T_StockCount[CountedQty],T_StockCount[RM_Code],$A91,T_StockCount[WeekIndex],70),IF((COUNTIFS(T_SelfStock[RM_Code],$A91,T_SelfStock[WeekIndex],70)&gt;0)*(COUNTIFS(T_TTAFStock[RM_Code],$A91,T_TTAFStock[WeekIndex],70)&gt;0)&gt;0,SUMIFS(T_SelfStock[Self_Qty],T_SelfStock[RM_Code],$A91,T_SelfStock[WeekIndex],70)+SUMIFS(T_TTAFStock[TTAF_Qty],T_TTAFStock[RM_Code],$A91,T_TTAFStock[WeekIndex],70),BR91+'Grid_Incoming'!BS91-'Grid_Requirement'!BS91))</f>
        <v/>
      </c>
      <c r="BT91">
        <f>IF(COUNTIFS(T_StockCount[RM_Code],$A91,T_StockCount[WeekIndex],71)&gt;0,SUMIFS(T_StockCount[CountedQty],T_StockCount[RM_Code],$A91,T_StockCount[WeekIndex],71),IF((COUNTIFS(T_SelfStock[RM_Code],$A91,T_SelfStock[WeekIndex],71)&gt;0)*(COUNTIFS(T_TTAFStock[RM_Code],$A91,T_TTAFStock[WeekIndex],71)&gt;0)&gt;0,SUMIFS(T_SelfStock[Self_Qty],T_SelfStock[RM_Code],$A91,T_SelfStock[WeekIndex],71)+SUMIFS(T_TTAFStock[TTAF_Qty],T_TTAFStock[RM_Code],$A91,T_TTAFStock[WeekIndex],71),BS91+'Grid_Incoming'!BT91-'Grid_Requirement'!BT91))</f>
        <v/>
      </c>
      <c r="BU91">
        <f>IF(COUNTIFS(T_StockCount[RM_Code],$A91,T_StockCount[WeekIndex],72)&gt;0,SUMIFS(T_StockCount[CountedQty],T_StockCount[RM_Code],$A91,T_StockCount[WeekIndex],72),IF((COUNTIFS(T_SelfStock[RM_Code],$A91,T_SelfStock[WeekIndex],72)&gt;0)*(COUNTIFS(T_TTAFStock[RM_Code],$A91,T_TTAFStock[WeekIndex],72)&gt;0)&gt;0,SUMIFS(T_SelfStock[Self_Qty],T_SelfStock[RM_Code],$A91,T_SelfStock[WeekIndex],72)+SUMIFS(T_TTAFStock[TTAF_Qty],T_TTAFStock[RM_Code],$A91,T_TTAFStock[WeekIndex],72),BT91+'Grid_Incoming'!BU91-'Grid_Requirement'!BU91))</f>
        <v/>
      </c>
      <c r="BV91">
        <f>IF(COUNTIFS(T_StockCount[RM_Code],$A91,T_StockCount[WeekIndex],73)&gt;0,SUMIFS(T_StockCount[CountedQty],T_StockCount[RM_Code],$A91,T_StockCount[WeekIndex],73),IF((COUNTIFS(T_SelfStock[RM_Code],$A91,T_SelfStock[WeekIndex],73)&gt;0)*(COUNTIFS(T_TTAFStock[RM_Code],$A91,T_TTAFStock[WeekIndex],73)&gt;0)&gt;0,SUMIFS(T_SelfStock[Self_Qty],T_SelfStock[RM_Code],$A91,T_SelfStock[WeekIndex],73)+SUMIFS(T_TTAFStock[TTAF_Qty],T_TTAFStock[RM_Code],$A91,T_TTAFStock[WeekIndex],73),BU91+'Grid_Incoming'!BV91-'Grid_Requirement'!BV91))</f>
        <v/>
      </c>
      <c r="BW91">
        <f>IF(COUNTIFS(T_StockCount[RM_Code],$A91,T_StockCount[WeekIndex],74)&gt;0,SUMIFS(T_StockCount[CountedQty],T_StockCount[RM_Code],$A91,T_StockCount[WeekIndex],74),IF((COUNTIFS(T_SelfStock[RM_Code],$A91,T_SelfStock[WeekIndex],74)&gt;0)*(COUNTIFS(T_TTAFStock[RM_Code],$A91,T_TTAFStock[WeekIndex],74)&gt;0)&gt;0,SUMIFS(T_SelfStock[Self_Qty],T_SelfStock[RM_Code],$A91,T_SelfStock[WeekIndex],74)+SUMIFS(T_TTAFStock[TTAF_Qty],T_TTAFStock[RM_Code],$A91,T_TTAFStock[WeekIndex],74),BV91+'Grid_Incoming'!BW91-'Grid_Requirement'!BW91))</f>
        <v/>
      </c>
      <c r="BX91">
        <f>IF(COUNTIFS(T_StockCount[RM_Code],$A91,T_StockCount[WeekIndex],75)&gt;0,SUMIFS(T_StockCount[CountedQty],T_StockCount[RM_Code],$A91,T_StockCount[WeekIndex],75),IF((COUNTIFS(T_SelfStock[RM_Code],$A91,T_SelfStock[WeekIndex],75)&gt;0)*(COUNTIFS(T_TTAFStock[RM_Code],$A91,T_TTAFStock[WeekIndex],75)&gt;0)&gt;0,SUMIFS(T_SelfStock[Self_Qty],T_SelfStock[RM_Code],$A91,T_SelfStock[WeekIndex],75)+SUMIFS(T_TTAFStock[TTAF_Qty],T_TTAFStock[RM_Code],$A91,T_TTAFStock[WeekIndex],75),BW91+'Grid_Incoming'!BX91-'Grid_Requirement'!BX91))</f>
        <v/>
      </c>
      <c r="BY91">
        <f>IF(COUNTIFS(T_StockCount[RM_Code],$A91,T_StockCount[WeekIndex],76)&gt;0,SUMIFS(T_StockCount[CountedQty],T_StockCount[RM_Code],$A91,T_StockCount[WeekIndex],76),IF((COUNTIFS(T_SelfStock[RM_Code],$A91,T_SelfStock[WeekIndex],76)&gt;0)*(COUNTIFS(T_TTAFStock[RM_Code],$A91,T_TTAFStock[WeekIndex],76)&gt;0)&gt;0,SUMIFS(T_SelfStock[Self_Qty],T_SelfStock[RM_Code],$A91,T_SelfStock[WeekIndex],76)+SUMIFS(T_TTAFStock[TTAF_Qty],T_TTAFStock[RM_Code],$A91,T_TTAFStock[WeekIndex],76),BX91+'Grid_Incoming'!BY91-'Grid_Requirement'!BY91))</f>
        <v/>
      </c>
      <c r="BZ91">
        <f>IF(COUNTIFS(T_StockCount[RM_Code],$A91,T_StockCount[WeekIndex],77)&gt;0,SUMIFS(T_StockCount[CountedQty],T_StockCount[RM_Code],$A91,T_StockCount[WeekIndex],77),IF((COUNTIFS(T_SelfStock[RM_Code],$A91,T_SelfStock[WeekIndex],77)&gt;0)*(COUNTIFS(T_TTAFStock[RM_Code],$A91,T_TTAFStock[WeekIndex],77)&gt;0)&gt;0,SUMIFS(T_SelfStock[Self_Qty],T_SelfStock[RM_Code],$A91,T_SelfStock[WeekIndex],77)+SUMIFS(T_TTAFStock[TTAF_Qty],T_TTAFStock[RM_Code],$A91,T_TTAFStock[WeekIndex],77),BY91+'Grid_Incoming'!BZ91-'Grid_Requirement'!BZ91))</f>
        <v/>
      </c>
      <c r="CA91">
        <f>IF(COUNTIFS(T_StockCount[RM_Code],$A91,T_StockCount[WeekIndex],78)&gt;0,SUMIFS(T_StockCount[CountedQty],T_StockCount[RM_Code],$A91,T_StockCount[WeekIndex],78),IF((COUNTIFS(T_SelfStock[RM_Code],$A91,T_SelfStock[WeekIndex],78)&gt;0)*(COUNTIFS(T_TTAFStock[RM_Code],$A91,T_TTAFStock[WeekIndex],78)&gt;0)&gt;0,SUMIFS(T_SelfStock[Self_Qty],T_SelfStock[RM_Code],$A91,T_SelfStock[WeekIndex],78)+SUMIFS(T_TTAFStock[TTAF_Qty],T_TTAFStock[RM_Code],$A91,T_TTAFStock[WeekIndex],78),BZ91+'Grid_Incoming'!CA91-'Grid_Requirement'!CA91))</f>
        <v/>
      </c>
      <c r="CB91">
        <f>IF(COUNTIFS(T_StockCount[RM_Code],$A91,T_StockCount[WeekIndex],79)&gt;0,SUMIFS(T_StockCount[CountedQty],T_StockCount[RM_Code],$A91,T_StockCount[WeekIndex],79),IF((COUNTIFS(T_SelfStock[RM_Code],$A91,T_SelfStock[WeekIndex],79)&gt;0)*(COUNTIFS(T_TTAFStock[RM_Code],$A91,T_TTAFStock[WeekIndex],79)&gt;0)&gt;0,SUMIFS(T_SelfStock[Self_Qty],T_SelfStock[RM_Code],$A91,T_SelfStock[WeekIndex],79)+SUMIFS(T_TTAFStock[TTAF_Qty],T_TTAFStock[RM_Code],$A91,T_TTAFStock[WeekIndex],79),CA91+'Grid_Incoming'!CB91-'Grid_Requirement'!CB91))</f>
        <v/>
      </c>
      <c r="CC91">
        <f>IF(COUNTIFS(T_StockCount[RM_Code],$A91,T_StockCount[WeekIndex],80)&gt;0,SUMIFS(T_StockCount[CountedQty],T_StockCount[RM_Code],$A91,T_StockCount[WeekIndex],80),IF((COUNTIFS(T_SelfStock[RM_Code],$A91,T_SelfStock[WeekIndex],80)&gt;0)*(COUNTIFS(T_TTAFStock[RM_Code],$A91,T_TTAFStock[WeekIndex],80)&gt;0)&gt;0,SUMIFS(T_SelfStock[Self_Qty],T_SelfStock[RM_Code],$A91,T_SelfStock[WeekIndex],80)+SUMIFS(T_TTAFStock[TTAF_Qty],T_TTAFStock[RM_Code],$A91,T_TTAFStock[WeekIndex],80),CB91+'Grid_Incoming'!CC91-'Grid_Requirement'!CC91))</f>
        <v/>
      </c>
      <c r="CD91">
        <f>IF(COUNTIFS(T_StockCount[RM_Code],$A91,T_StockCount[WeekIndex],81)&gt;0,SUMIFS(T_StockCount[CountedQty],T_StockCount[RM_Code],$A91,T_StockCount[WeekIndex],81),IF((COUNTIFS(T_SelfStock[RM_Code],$A91,T_SelfStock[WeekIndex],81)&gt;0)*(COUNTIFS(T_TTAFStock[RM_Code],$A91,T_TTAFStock[WeekIndex],81)&gt;0)&gt;0,SUMIFS(T_SelfStock[Self_Qty],T_SelfStock[RM_Code],$A91,T_SelfStock[WeekIndex],81)+SUMIFS(T_TTAFStock[TTAF_Qty],T_TTAFStock[RM_Code],$A91,T_TTAFStock[WeekIndex],81),CC91+'Grid_Incoming'!CD91-'Grid_Requirement'!CD91))</f>
        <v/>
      </c>
      <c r="CE91">
        <f>IF(COUNTIFS(T_StockCount[RM_Code],$A91,T_StockCount[WeekIndex],82)&gt;0,SUMIFS(T_StockCount[CountedQty],T_StockCount[RM_Code],$A91,T_StockCount[WeekIndex],82),IF((COUNTIFS(T_SelfStock[RM_Code],$A91,T_SelfStock[WeekIndex],82)&gt;0)*(COUNTIFS(T_TTAFStock[RM_Code],$A91,T_TTAFStock[WeekIndex],82)&gt;0)&gt;0,SUMIFS(T_SelfStock[Self_Qty],T_SelfStock[RM_Code],$A91,T_SelfStock[WeekIndex],82)+SUMIFS(T_TTAFStock[TTAF_Qty],T_TTAFStock[RM_Code],$A91,T_TTAFStock[WeekIndex],82),CD91+'Grid_Incoming'!CE91-'Grid_Requirement'!CE91))</f>
        <v/>
      </c>
      <c r="CF91">
        <f>IF(COUNTIFS(T_StockCount[RM_Code],$A91,T_StockCount[WeekIndex],83)&gt;0,SUMIFS(T_StockCount[CountedQty],T_StockCount[RM_Code],$A91,T_StockCount[WeekIndex],83),IF((COUNTIFS(T_SelfStock[RM_Code],$A91,T_SelfStock[WeekIndex],83)&gt;0)*(COUNTIFS(T_TTAFStock[RM_Code],$A91,T_TTAFStock[WeekIndex],83)&gt;0)&gt;0,SUMIFS(T_SelfStock[Self_Qty],T_SelfStock[RM_Code],$A91,T_SelfStock[WeekIndex],83)+SUMIFS(T_TTAFStock[TTAF_Qty],T_TTAFStock[RM_Code],$A91,T_TTAFStock[WeekIndex],83),CE91+'Grid_Incoming'!CF91-'Grid_Requirement'!CF91))</f>
        <v/>
      </c>
      <c r="CG91">
        <f>IF(COUNTIFS(T_StockCount[RM_Code],$A91,T_StockCount[WeekIndex],84)&gt;0,SUMIFS(T_StockCount[CountedQty],T_StockCount[RM_Code],$A91,T_StockCount[WeekIndex],84),IF((COUNTIFS(T_SelfStock[RM_Code],$A91,T_SelfStock[WeekIndex],84)&gt;0)*(COUNTIFS(T_TTAFStock[RM_Code],$A91,T_TTAFStock[WeekIndex],84)&gt;0)&gt;0,SUMIFS(T_SelfStock[Self_Qty],T_SelfStock[RM_Code],$A91,T_SelfStock[WeekIndex],84)+SUMIFS(T_TTAFStock[TTAF_Qty],T_TTAFStock[RM_Code],$A91,T_TTAFStock[WeekIndex],84),CF91+'Grid_Incoming'!CG91-'Grid_Requirement'!CG91))</f>
        <v/>
      </c>
      <c r="CH91">
        <f>IF(COUNTIFS(T_StockCount[RM_Code],$A91,T_StockCount[WeekIndex],85)&gt;0,SUMIFS(T_StockCount[CountedQty],T_StockCount[RM_Code],$A91,T_StockCount[WeekIndex],85),IF((COUNTIFS(T_SelfStock[RM_Code],$A91,T_SelfStock[WeekIndex],85)&gt;0)*(COUNTIFS(T_TTAFStock[RM_Code],$A91,T_TTAFStock[WeekIndex],85)&gt;0)&gt;0,SUMIFS(T_SelfStock[Self_Qty],T_SelfStock[RM_Code],$A91,T_SelfStock[WeekIndex],85)+SUMIFS(T_TTAFStock[TTAF_Qty],T_TTAFStock[RM_Code],$A91,T_TTAFStock[WeekIndex],85),CG91+'Grid_Incoming'!CH91-'Grid_Requirement'!CH91))</f>
        <v/>
      </c>
      <c r="CI91">
        <f>IF(COUNTIFS(T_StockCount[RM_Code],$A91,T_StockCount[WeekIndex],86)&gt;0,SUMIFS(T_StockCount[CountedQty],T_StockCount[RM_Code],$A91,T_StockCount[WeekIndex],86),IF((COUNTIFS(T_SelfStock[RM_Code],$A91,T_SelfStock[WeekIndex],86)&gt;0)*(COUNTIFS(T_TTAFStock[RM_Code],$A91,T_TTAFStock[WeekIndex],86)&gt;0)&gt;0,SUMIFS(T_SelfStock[Self_Qty],T_SelfStock[RM_Code],$A91,T_SelfStock[WeekIndex],86)+SUMIFS(T_TTAFStock[TTAF_Qty],T_TTAFStock[RM_Code],$A91,T_TTAFStock[WeekIndex],86),CH91+'Grid_Incoming'!CI91-'Grid_Requirement'!CI91))</f>
        <v/>
      </c>
      <c r="CJ91">
        <f>IF(COUNTIFS(T_StockCount[RM_Code],$A91,T_StockCount[WeekIndex],87)&gt;0,SUMIFS(T_StockCount[CountedQty],T_StockCount[RM_Code],$A91,T_StockCount[WeekIndex],87),IF((COUNTIFS(T_SelfStock[RM_Code],$A91,T_SelfStock[WeekIndex],87)&gt;0)*(COUNTIFS(T_TTAFStock[RM_Code],$A91,T_TTAFStock[WeekIndex],87)&gt;0)&gt;0,SUMIFS(T_SelfStock[Self_Qty],T_SelfStock[RM_Code],$A91,T_SelfStock[WeekIndex],87)+SUMIFS(T_TTAFStock[TTAF_Qty],T_TTAFStock[RM_Code],$A91,T_TTAFStock[WeekIndex],87),CI91+'Grid_Incoming'!CJ91-'Grid_Requirement'!CJ91))</f>
        <v/>
      </c>
      <c r="CK91">
        <f>IF(COUNTIFS(T_StockCount[RM_Code],$A91,T_StockCount[WeekIndex],88)&gt;0,SUMIFS(T_StockCount[CountedQty],T_StockCount[RM_Code],$A91,T_StockCount[WeekIndex],88),IF((COUNTIFS(T_SelfStock[RM_Code],$A91,T_SelfStock[WeekIndex],88)&gt;0)*(COUNTIFS(T_TTAFStock[RM_Code],$A91,T_TTAFStock[WeekIndex],88)&gt;0)&gt;0,SUMIFS(T_SelfStock[Self_Qty],T_SelfStock[RM_Code],$A91,T_SelfStock[WeekIndex],88)+SUMIFS(T_TTAFStock[TTAF_Qty],T_TTAFStock[RM_Code],$A91,T_TTAFStock[WeekIndex],88),CJ91+'Grid_Incoming'!CK91-'Grid_Requirement'!CK91))</f>
        <v/>
      </c>
      <c r="CL91">
        <f>IF(COUNTIFS(T_StockCount[RM_Code],$A91,T_StockCount[WeekIndex],89)&gt;0,SUMIFS(T_StockCount[CountedQty],T_StockCount[RM_Code],$A91,T_StockCount[WeekIndex],89),IF((COUNTIFS(T_SelfStock[RM_Code],$A91,T_SelfStock[WeekIndex],89)&gt;0)*(COUNTIFS(T_TTAFStock[RM_Code],$A91,T_TTAFStock[WeekIndex],89)&gt;0)&gt;0,SUMIFS(T_SelfStock[Self_Qty],T_SelfStock[RM_Code],$A91,T_SelfStock[WeekIndex],89)+SUMIFS(T_TTAFStock[TTAF_Qty],T_TTAFStock[RM_Code],$A91,T_TTAFStock[WeekIndex],89),CK91+'Grid_Incoming'!CL91-'Grid_Requirement'!CL91))</f>
        <v/>
      </c>
      <c r="CM91">
        <f>IF(COUNTIFS(T_StockCount[RM_Code],$A91,T_StockCount[WeekIndex],90)&gt;0,SUMIFS(T_StockCount[CountedQty],T_StockCount[RM_Code],$A91,T_StockCount[WeekIndex],90),IF((COUNTIFS(T_SelfStock[RM_Code],$A91,T_SelfStock[WeekIndex],90)&gt;0)*(COUNTIFS(T_TTAFStock[RM_Code],$A91,T_TTAFStock[WeekIndex],90)&gt;0)&gt;0,SUMIFS(T_SelfStock[Self_Qty],T_SelfStock[RM_Code],$A91,T_SelfStock[WeekIndex],90)+SUMIFS(T_TTAFStock[TTAF_Qty],T_TTAFStock[RM_Code],$A91,T_TTAFStock[WeekIndex],90),CL91+'Grid_Incoming'!CM91-'Grid_Requirement'!CM91))</f>
        <v/>
      </c>
      <c r="CN91">
        <f>IF(COUNTIFS(T_StockCount[RM_Code],$A91,T_StockCount[WeekIndex],91)&gt;0,SUMIFS(T_StockCount[CountedQty],T_StockCount[RM_Code],$A91,T_StockCount[WeekIndex],91),IF((COUNTIFS(T_SelfStock[RM_Code],$A91,T_SelfStock[WeekIndex],91)&gt;0)*(COUNTIFS(T_TTAFStock[RM_Code],$A91,T_TTAFStock[WeekIndex],91)&gt;0)&gt;0,SUMIFS(T_SelfStock[Self_Qty],T_SelfStock[RM_Code],$A91,T_SelfStock[WeekIndex],91)+SUMIFS(T_TTAFStock[TTAF_Qty],T_TTAFStock[RM_Code],$A91,T_TTAFStock[WeekIndex],91),CM91+'Grid_Incoming'!CN91-'Grid_Requirement'!CN91))</f>
        <v/>
      </c>
      <c r="CO91">
        <f>IF(COUNTIFS(T_StockCount[RM_Code],$A91,T_StockCount[WeekIndex],92)&gt;0,SUMIFS(T_StockCount[CountedQty],T_StockCount[RM_Code],$A91,T_StockCount[WeekIndex],92),IF((COUNTIFS(T_SelfStock[RM_Code],$A91,T_SelfStock[WeekIndex],92)&gt;0)*(COUNTIFS(T_TTAFStock[RM_Code],$A91,T_TTAFStock[WeekIndex],92)&gt;0)&gt;0,SUMIFS(T_SelfStock[Self_Qty],T_SelfStock[RM_Code],$A91,T_SelfStock[WeekIndex],92)+SUMIFS(T_TTAFStock[TTAF_Qty],T_TTAFStock[RM_Code],$A91,T_TTAFStock[WeekIndex],92),CN91+'Grid_Incoming'!CO91-'Grid_Requirement'!CO91))</f>
        <v/>
      </c>
      <c r="CP91">
        <f>IF(COUNTIFS(T_StockCount[RM_Code],$A91,T_StockCount[WeekIndex],93)&gt;0,SUMIFS(T_StockCount[CountedQty],T_StockCount[RM_Code],$A91,T_StockCount[WeekIndex],93),IF((COUNTIFS(T_SelfStock[RM_Code],$A91,T_SelfStock[WeekIndex],93)&gt;0)*(COUNTIFS(T_TTAFStock[RM_Code],$A91,T_TTAFStock[WeekIndex],93)&gt;0)&gt;0,SUMIFS(T_SelfStock[Self_Qty],T_SelfStock[RM_Code],$A91,T_SelfStock[WeekIndex],93)+SUMIFS(T_TTAFStock[TTAF_Qty],T_TTAFStock[RM_Code],$A91,T_TTAFStock[WeekIndex],93),CO91+'Grid_Incoming'!CP91-'Grid_Requirement'!CP91))</f>
        <v/>
      </c>
      <c r="CQ91">
        <f>IF(COUNTIFS(T_StockCount[RM_Code],$A91,T_StockCount[WeekIndex],94)&gt;0,SUMIFS(T_StockCount[CountedQty],T_StockCount[RM_Code],$A91,T_StockCount[WeekIndex],94),IF((COUNTIFS(T_SelfStock[RM_Code],$A91,T_SelfStock[WeekIndex],94)&gt;0)*(COUNTIFS(T_TTAFStock[RM_Code],$A91,T_TTAFStock[WeekIndex],94)&gt;0)&gt;0,SUMIFS(T_SelfStock[Self_Qty],T_SelfStock[RM_Code],$A91,T_SelfStock[WeekIndex],94)+SUMIFS(T_TTAFStock[TTAF_Qty],T_TTAFStock[RM_Code],$A91,T_TTAFStock[WeekIndex],94),CP91+'Grid_Incoming'!CQ91-'Grid_Requirement'!CQ91))</f>
        <v/>
      </c>
      <c r="CR91">
        <f>IF(COUNTIFS(T_StockCount[RM_Code],$A91,T_StockCount[WeekIndex],95)&gt;0,SUMIFS(T_StockCount[CountedQty],T_StockCount[RM_Code],$A91,T_StockCount[WeekIndex],95),IF((COUNTIFS(T_SelfStock[RM_Code],$A91,T_SelfStock[WeekIndex],95)&gt;0)*(COUNTIFS(T_TTAFStock[RM_Code],$A91,T_TTAFStock[WeekIndex],95)&gt;0)&gt;0,SUMIFS(T_SelfStock[Self_Qty],T_SelfStock[RM_Code],$A91,T_SelfStock[WeekIndex],95)+SUMIFS(T_TTAFStock[TTAF_Qty],T_TTAFStock[RM_Code],$A91,T_TTAFStock[WeekIndex],95),CQ91+'Grid_Incoming'!CR91-'Grid_Requirement'!CR91))</f>
        <v/>
      </c>
      <c r="CS91">
        <f>IF(COUNTIFS(T_StockCount[RM_Code],$A91,T_StockCount[WeekIndex],96)&gt;0,SUMIFS(T_StockCount[CountedQty],T_StockCount[RM_Code],$A91,T_StockCount[WeekIndex],96),IF((COUNTIFS(T_SelfStock[RM_Code],$A91,T_SelfStock[WeekIndex],96)&gt;0)*(COUNTIFS(T_TTAFStock[RM_Code],$A91,T_TTAFStock[WeekIndex],96)&gt;0)&gt;0,SUMIFS(T_SelfStock[Self_Qty],T_SelfStock[RM_Code],$A91,T_SelfStock[WeekIndex],96)+SUMIFS(T_TTAFStock[TTAF_Qty],T_TTAFStock[RM_Code],$A91,T_TTAFStock[WeekIndex],96),CR91+'Grid_Incoming'!CS91-'Grid_Requirement'!CS91))</f>
        <v/>
      </c>
      <c r="CT91">
        <f>IF(COUNTIFS(T_StockCount[RM_Code],$A91,T_StockCount[WeekIndex],97)&gt;0,SUMIFS(T_StockCount[CountedQty],T_StockCount[RM_Code],$A91,T_StockCount[WeekIndex],97),IF((COUNTIFS(T_SelfStock[RM_Code],$A91,T_SelfStock[WeekIndex],97)&gt;0)*(COUNTIFS(T_TTAFStock[RM_Code],$A91,T_TTAFStock[WeekIndex],97)&gt;0)&gt;0,SUMIFS(T_SelfStock[Self_Qty],T_SelfStock[RM_Code],$A91,T_SelfStock[WeekIndex],97)+SUMIFS(T_TTAFStock[TTAF_Qty],T_TTAFStock[RM_Code],$A91,T_TTAFStock[WeekIndex],97),CS91+'Grid_Incoming'!CT91-'Grid_Requirement'!CT91))</f>
        <v/>
      </c>
      <c r="CU91">
        <f>IF(COUNTIFS(T_StockCount[RM_Code],$A91,T_StockCount[WeekIndex],98)&gt;0,SUMIFS(T_StockCount[CountedQty],T_StockCount[RM_Code],$A91,T_StockCount[WeekIndex],98),IF((COUNTIFS(T_SelfStock[RM_Code],$A91,T_SelfStock[WeekIndex],98)&gt;0)*(COUNTIFS(T_TTAFStock[RM_Code],$A91,T_TTAFStock[WeekIndex],98)&gt;0)&gt;0,SUMIFS(T_SelfStock[Self_Qty],T_SelfStock[RM_Code],$A91,T_SelfStock[WeekIndex],98)+SUMIFS(T_TTAFStock[TTAF_Qty],T_TTAFStock[RM_Code],$A91,T_TTAFStock[WeekIndex],98),CT91+'Grid_Incoming'!CU91-'Grid_Requirement'!CU91))</f>
        <v/>
      </c>
      <c r="CV91">
        <f>IF(COUNTIFS(T_StockCount[RM_Code],$A91,T_StockCount[WeekIndex],99)&gt;0,SUMIFS(T_StockCount[CountedQty],T_StockCount[RM_Code],$A91,T_StockCount[WeekIndex],99),IF((COUNTIFS(T_SelfStock[RM_Code],$A91,T_SelfStock[WeekIndex],99)&gt;0)*(COUNTIFS(T_TTAFStock[RM_Code],$A91,T_TTAFStock[WeekIndex],99)&gt;0)&gt;0,SUMIFS(T_SelfStock[Self_Qty],T_SelfStock[RM_Code],$A91,T_SelfStock[WeekIndex],99)+SUMIFS(T_TTAFStock[TTAF_Qty],T_TTAFStock[RM_Code],$A91,T_TTAFStock[WeekIndex],99),CU91+'Grid_Incoming'!CV91-'Grid_Requirement'!CV91))</f>
        <v/>
      </c>
      <c r="CW91">
        <f>IF(COUNTIFS(T_StockCount[RM_Code],$A91,T_StockCount[WeekIndex],100)&gt;0,SUMIFS(T_StockCount[CountedQty],T_StockCount[RM_Code],$A91,T_StockCount[WeekIndex],100),IF((COUNTIFS(T_SelfStock[RM_Code],$A91,T_SelfStock[WeekIndex],100)&gt;0)*(COUNTIFS(T_TTAFStock[RM_Code],$A91,T_TTAFStock[WeekIndex],100)&gt;0)&gt;0,SUMIFS(T_SelfStock[Self_Qty],T_SelfStock[RM_Code],$A91,T_SelfStock[WeekIndex],100)+SUMIFS(T_TTAFStock[TTAF_Qty],T_TTAFStock[RM_Code],$A91,T_TTAFStock[WeekIndex],100),CV91+'Grid_Incoming'!CW91-'Grid_Requirement'!CW91))</f>
        <v/>
      </c>
      <c r="CX91">
        <f>IF(COUNTIFS(T_StockCount[RM_Code],$A91,T_StockCount[WeekIndex],101)&gt;0,SUMIFS(T_StockCount[CountedQty],T_StockCount[RM_Code],$A91,T_StockCount[WeekIndex],101),IF((COUNTIFS(T_SelfStock[RM_Code],$A91,T_SelfStock[WeekIndex],101)&gt;0)*(COUNTIFS(T_TTAFStock[RM_Code],$A91,T_TTAFStock[WeekIndex],101)&gt;0)&gt;0,SUMIFS(T_SelfStock[Self_Qty],T_SelfStock[RM_Code],$A91,T_SelfStock[WeekIndex],101)+SUMIFS(T_TTAFStock[TTAF_Qty],T_TTAFStock[RM_Code],$A91,T_TTAFStock[WeekIndex],101),CW91+'Grid_Incoming'!CX91-'Grid_Requirement'!CX91))</f>
        <v/>
      </c>
      <c r="CY91">
        <f>IF(COUNTIFS(T_StockCount[RM_Code],$A91,T_StockCount[WeekIndex],102)&gt;0,SUMIFS(T_StockCount[CountedQty],T_StockCount[RM_Code],$A91,T_StockCount[WeekIndex],102),IF((COUNTIFS(T_SelfStock[RM_Code],$A91,T_SelfStock[WeekIndex],102)&gt;0)*(COUNTIFS(T_TTAFStock[RM_Code],$A91,T_TTAFStock[WeekIndex],102)&gt;0)&gt;0,SUMIFS(T_SelfStock[Self_Qty],T_SelfStock[RM_Code],$A91,T_SelfStock[WeekIndex],102)+SUMIFS(T_TTAFStock[TTAF_Qty],T_TTAFStock[RM_Code],$A91,T_TTAFStock[WeekIndex],102),CX91+'Grid_Incoming'!CY91-'Grid_Requirement'!CY91))</f>
        <v/>
      </c>
      <c r="CZ91">
        <f>IF(COUNTIFS(T_StockCount[RM_Code],$A91,T_StockCount[WeekIndex],103)&gt;0,SUMIFS(T_StockCount[CountedQty],T_StockCount[RM_Code],$A91,T_StockCount[WeekIndex],103),IF((COUNTIFS(T_SelfStock[RM_Code],$A91,T_SelfStock[WeekIndex],103)&gt;0)*(COUNTIFS(T_TTAFStock[RM_Code],$A91,T_TTAFStock[WeekIndex],103)&gt;0)&gt;0,SUMIFS(T_SelfStock[Self_Qty],T_SelfStock[RM_Code],$A91,T_SelfStock[WeekIndex],103)+SUMIFS(T_TTAFStock[TTAF_Qty],T_TTAFStock[RM_Code],$A91,T_TTAFStock[WeekIndex],103),CY91+'Grid_Incoming'!CZ91-'Grid_Requirement'!CZ91))</f>
        <v/>
      </c>
      <c r="DA91">
        <f>IF(COUNTIFS(T_StockCount[RM_Code],$A91,T_StockCount[WeekIndex],104)&gt;0,SUMIFS(T_StockCount[CountedQty],T_StockCount[RM_Code],$A91,T_StockCount[WeekIndex],104),IF((COUNTIFS(T_SelfStock[RM_Code],$A91,T_SelfStock[WeekIndex],104)&gt;0)*(COUNTIFS(T_TTAFStock[RM_Code],$A91,T_TTAFStock[WeekIndex],104)&gt;0)&gt;0,SUMIFS(T_SelfStock[Self_Qty],T_SelfStock[RM_Code],$A91,T_SelfStock[WeekIndex],104)+SUMIFS(T_TTAFStock[TTAF_Qty],T_TTAFStock[RM_Code],$A91,T_TTAFStock[WeekIndex],104),CZ91+'Grid_Incoming'!DA91-'Grid_Requirement'!DA91))</f>
        <v/>
      </c>
    </row>
    <row r="92">
      <c r="A92" t="inlineStr">
        <is>
          <t>CHEM-1640</t>
        </is>
      </c>
      <c r="B92">
        <f>IF(COUNTIFS(T_StockCount[RM_Code],$A92,T_StockCount[WeekIndex],1)&gt;0,SUMIFS(T_StockCount[CountedQty],T_StockCount[RM_Code],$A92,T_StockCount[WeekIndex],1),IF((COUNTIFS(T_SelfStock[RM_Code],$A92,T_SelfStock[WeekIndex],1)&gt;0)*(COUNTIFS(T_TTAFStock[RM_Code],$A92,T_TTAFStock[WeekIndex],1)&gt;0)&gt;0,SUMIFS(T_SelfStock[Self_Qty],T_SelfStock[RM_Code],$A92,T_SelfStock[WeekIndex],1)+SUMIFS(T_TTAFStock[TTAF_Qty],T_TTAFStock[RM_Code],$A92,T_TTAFStock[WeekIndex],1),IFERROR(INDEX(T_OpeningStock[Opening_Qty],MATCH($A92,T_OpeningStock[RM_Code],0)),0)+'Grid_Incoming'!B92-'Grid_Requirement'!B92))</f>
        <v/>
      </c>
      <c r="C92">
        <f>IF(COUNTIFS(T_StockCount[RM_Code],$A92,T_StockCount[WeekIndex],2)&gt;0,SUMIFS(T_StockCount[CountedQty],T_StockCount[RM_Code],$A92,T_StockCount[WeekIndex],2),IF((COUNTIFS(T_SelfStock[RM_Code],$A92,T_SelfStock[WeekIndex],2)&gt;0)*(COUNTIFS(T_TTAFStock[RM_Code],$A92,T_TTAFStock[WeekIndex],2)&gt;0)&gt;0,SUMIFS(T_SelfStock[Self_Qty],T_SelfStock[RM_Code],$A92,T_SelfStock[WeekIndex],2)+SUMIFS(T_TTAFStock[TTAF_Qty],T_TTAFStock[RM_Code],$A92,T_TTAFStock[WeekIndex],2),B92+'Grid_Incoming'!C92-'Grid_Requirement'!C92))</f>
        <v/>
      </c>
      <c r="D92">
        <f>IF(COUNTIFS(T_StockCount[RM_Code],$A92,T_StockCount[WeekIndex],3)&gt;0,SUMIFS(T_StockCount[CountedQty],T_StockCount[RM_Code],$A92,T_StockCount[WeekIndex],3),IF((COUNTIFS(T_SelfStock[RM_Code],$A92,T_SelfStock[WeekIndex],3)&gt;0)*(COUNTIFS(T_TTAFStock[RM_Code],$A92,T_TTAFStock[WeekIndex],3)&gt;0)&gt;0,SUMIFS(T_SelfStock[Self_Qty],T_SelfStock[RM_Code],$A92,T_SelfStock[WeekIndex],3)+SUMIFS(T_TTAFStock[TTAF_Qty],T_TTAFStock[RM_Code],$A92,T_TTAFStock[WeekIndex],3),C92+'Grid_Incoming'!D92-'Grid_Requirement'!D92))</f>
        <v/>
      </c>
      <c r="E92">
        <f>IF(COUNTIFS(T_StockCount[RM_Code],$A92,T_StockCount[WeekIndex],4)&gt;0,SUMIFS(T_StockCount[CountedQty],T_StockCount[RM_Code],$A92,T_StockCount[WeekIndex],4),IF((COUNTIFS(T_SelfStock[RM_Code],$A92,T_SelfStock[WeekIndex],4)&gt;0)*(COUNTIFS(T_TTAFStock[RM_Code],$A92,T_TTAFStock[WeekIndex],4)&gt;0)&gt;0,SUMIFS(T_SelfStock[Self_Qty],T_SelfStock[RM_Code],$A92,T_SelfStock[WeekIndex],4)+SUMIFS(T_TTAFStock[TTAF_Qty],T_TTAFStock[RM_Code],$A92,T_TTAFStock[WeekIndex],4),D92+'Grid_Incoming'!E92-'Grid_Requirement'!E92))</f>
        <v/>
      </c>
      <c r="F92">
        <f>IF(COUNTIFS(T_StockCount[RM_Code],$A92,T_StockCount[WeekIndex],5)&gt;0,SUMIFS(T_StockCount[CountedQty],T_StockCount[RM_Code],$A92,T_StockCount[WeekIndex],5),IF((COUNTIFS(T_SelfStock[RM_Code],$A92,T_SelfStock[WeekIndex],5)&gt;0)*(COUNTIFS(T_TTAFStock[RM_Code],$A92,T_TTAFStock[WeekIndex],5)&gt;0)&gt;0,SUMIFS(T_SelfStock[Self_Qty],T_SelfStock[RM_Code],$A92,T_SelfStock[WeekIndex],5)+SUMIFS(T_TTAFStock[TTAF_Qty],T_TTAFStock[RM_Code],$A92,T_TTAFStock[WeekIndex],5),E92+'Grid_Incoming'!F92-'Grid_Requirement'!F92))</f>
        <v/>
      </c>
      <c r="G92">
        <f>IF(COUNTIFS(T_StockCount[RM_Code],$A92,T_StockCount[WeekIndex],6)&gt;0,SUMIFS(T_StockCount[CountedQty],T_StockCount[RM_Code],$A92,T_StockCount[WeekIndex],6),IF((COUNTIFS(T_SelfStock[RM_Code],$A92,T_SelfStock[WeekIndex],6)&gt;0)*(COUNTIFS(T_TTAFStock[RM_Code],$A92,T_TTAFStock[WeekIndex],6)&gt;0)&gt;0,SUMIFS(T_SelfStock[Self_Qty],T_SelfStock[RM_Code],$A92,T_SelfStock[WeekIndex],6)+SUMIFS(T_TTAFStock[TTAF_Qty],T_TTAFStock[RM_Code],$A92,T_TTAFStock[WeekIndex],6),F92+'Grid_Incoming'!G92-'Grid_Requirement'!G92))</f>
        <v/>
      </c>
      <c r="H92">
        <f>IF(COUNTIFS(T_StockCount[RM_Code],$A92,T_StockCount[WeekIndex],7)&gt;0,SUMIFS(T_StockCount[CountedQty],T_StockCount[RM_Code],$A92,T_StockCount[WeekIndex],7),IF((COUNTIFS(T_SelfStock[RM_Code],$A92,T_SelfStock[WeekIndex],7)&gt;0)*(COUNTIFS(T_TTAFStock[RM_Code],$A92,T_TTAFStock[WeekIndex],7)&gt;0)&gt;0,SUMIFS(T_SelfStock[Self_Qty],T_SelfStock[RM_Code],$A92,T_SelfStock[WeekIndex],7)+SUMIFS(T_TTAFStock[TTAF_Qty],T_TTAFStock[RM_Code],$A92,T_TTAFStock[WeekIndex],7),G92+'Grid_Incoming'!H92-'Grid_Requirement'!H92))</f>
        <v/>
      </c>
      <c r="I92">
        <f>IF(COUNTIFS(T_StockCount[RM_Code],$A92,T_StockCount[WeekIndex],8)&gt;0,SUMIFS(T_StockCount[CountedQty],T_StockCount[RM_Code],$A92,T_StockCount[WeekIndex],8),IF((COUNTIFS(T_SelfStock[RM_Code],$A92,T_SelfStock[WeekIndex],8)&gt;0)*(COUNTIFS(T_TTAFStock[RM_Code],$A92,T_TTAFStock[WeekIndex],8)&gt;0)&gt;0,SUMIFS(T_SelfStock[Self_Qty],T_SelfStock[RM_Code],$A92,T_SelfStock[WeekIndex],8)+SUMIFS(T_TTAFStock[TTAF_Qty],T_TTAFStock[RM_Code],$A92,T_TTAFStock[WeekIndex],8),H92+'Grid_Incoming'!I92-'Grid_Requirement'!I92))</f>
        <v/>
      </c>
      <c r="J92">
        <f>IF(COUNTIFS(T_StockCount[RM_Code],$A92,T_StockCount[WeekIndex],9)&gt;0,SUMIFS(T_StockCount[CountedQty],T_StockCount[RM_Code],$A92,T_StockCount[WeekIndex],9),IF((COUNTIFS(T_SelfStock[RM_Code],$A92,T_SelfStock[WeekIndex],9)&gt;0)*(COUNTIFS(T_TTAFStock[RM_Code],$A92,T_TTAFStock[WeekIndex],9)&gt;0)&gt;0,SUMIFS(T_SelfStock[Self_Qty],T_SelfStock[RM_Code],$A92,T_SelfStock[WeekIndex],9)+SUMIFS(T_TTAFStock[TTAF_Qty],T_TTAFStock[RM_Code],$A92,T_TTAFStock[WeekIndex],9),I92+'Grid_Incoming'!J92-'Grid_Requirement'!J92))</f>
        <v/>
      </c>
      <c r="K92">
        <f>IF(COUNTIFS(T_StockCount[RM_Code],$A92,T_StockCount[WeekIndex],10)&gt;0,SUMIFS(T_StockCount[CountedQty],T_StockCount[RM_Code],$A92,T_StockCount[WeekIndex],10),IF((COUNTIFS(T_SelfStock[RM_Code],$A92,T_SelfStock[WeekIndex],10)&gt;0)*(COUNTIFS(T_TTAFStock[RM_Code],$A92,T_TTAFStock[WeekIndex],10)&gt;0)&gt;0,SUMIFS(T_SelfStock[Self_Qty],T_SelfStock[RM_Code],$A92,T_SelfStock[WeekIndex],10)+SUMIFS(T_TTAFStock[TTAF_Qty],T_TTAFStock[RM_Code],$A92,T_TTAFStock[WeekIndex],10),J92+'Grid_Incoming'!K92-'Grid_Requirement'!K92))</f>
        <v/>
      </c>
      <c r="L92">
        <f>IF(COUNTIFS(T_StockCount[RM_Code],$A92,T_StockCount[WeekIndex],11)&gt;0,SUMIFS(T_StockCount[CountedQty],T_StockCount[RM_Code],$A92,T_StockCount[WeekIndex],11),IF((COUNTIFS(T_SelfStock[RM_Code],$A92,T_SelfStock[WeekIndex],11)&gt;0)*(COUNTIFS(T_TTAFStock[RM_Code],$A92,T_TTAFStock[WeekIndex],11)&gt;0)&gt;0,SUMIFS(T_SelfStock[Self_Qty],T_SelfStock[RM_Code],$A92,T_SelfStock[WeekIndex],11)+SUMIFS(T_TTAFStock[TTAF_Qty],T_TTAFStock[RM_Code],$A92,T_TTAFStock[WeekIndex],11),K92+'Grid_Incoming'!L92-'Grid_Requirement'!L92))</f>
        <v/>
      </c>
      <c r="M92">
        <f>IF(COUNTIFS(T_StockCount[RM_Code],$A92,T_StockCount[WeekIndex],12)&gt;0,SUMIFS(T_StockCount[CountedQty],T_StockCount[RM_Code],$A92,T_StockCount[WeekIndex],12),IF((COUNTIFS(T_SelfStock[RM_Code],$A92,T_SelfStock[WeekIndex],12)&gt;0)*(COUNTIFS(T_TTAFStock[RM_Code],$A92,T_TTAFStock[WeekIndex],12)&gt;0)&gt;0,SUMIFS(T_SelfStock[Self_Qty],T_SelfStock[RM_Code],$A92,T_SelfStock[WeekIndex],12)+SUMIFS(T_TTAFStock[TTAF_Qty],T_TTAFStock[RM_Code],$A92,T_TTAFStock[WeekIndex],12),L92+'Grid_Incoming'!M92-'Grid_Requirement'!M92))</f>
        <v/>
      </c>
      <c r="N92">
        <f>IF(COUNTIFS(T_StockCount[RM_Code],$A92,T_StockCount[WeekIndex],13)&gt;0,SUMIFS(T_StockCount[CountedQty],T_StockCount[RM_Code],$A92,T_StockCount[WeekIndex],13),IF((COUNTIFS(T_SelfStock[RM_Code],$A92,T_SelfStock[WeekIndex],13)&gt;0)*(COUNTIFS(T_TTAFStock[RM_Code],$A92,T_TTAFStock[WeekIndex],13)&gt;0)&gt;0,SUMIFS(T_SelfStock[Self_Qty],T_SelfStock[RM_Code],$A92,T_SelfStock[WeekIndex],13)+SUMIFS(T_TTAFStock[TTAF_Qty],T_TTAFStock[RM_Code],$A92,T_TTAFStock[WeekIndex],13),M92+'Grid_Incoming'!N92-'Grid_Requirement'!N92))</f>
        <v/>
      </c>
      <c r="O92">
        <f>IF(COUNTIFS(T_StockCount[RM_Code],$A92,T_StockCount[WeekIndex],14)&gt;0,SUMIFS(T_StockCount[CountedQty],T_StockCount[RM_Code],$A92,T_StockCount[WeekIndex],14),IF((COUNTIFS(T_SelfStock[RM_Code],$A92,T_SelfStock[WeekIndex],14)&gt;0)*(COUNTIFS(T_TTAFStock[RM_Code],$A92,T_TTAFStock[WeekIndex],14)&gt;0)&gt;0,SUMIFS(T_SelfStock[Self_Qty],T_SelfStock[RM_Code],$A92,T_SelfStock[WeekIndex],14)+SUMIFS(T_TTAFStock[TTAF_Qty],T_TTAFStock[RM_Code],$A92,T_TTAFStock[WeekIndex],14),N92+'Grid_Incoming'!O92-'Grid_Requirement'!O92))</f>
        <v/>
      </c>
      <c r="P92">
        <f>IF(COUNTIFS(T_StockCount[RM_Code],$A92,T_StockCount[WeekIndex],15)&gt;0,SUMIFS(T_StockCount[CountedQty],T_StockCount[RM_Code],$A92,T_StockCount[WeekIndex],15),IF((COUNTIFS(T_SelfStock[RM_Code],$A92,T_SelfStock[WeekIndex],15)&gt;0)*(COUNTIFS(T_TTAFStock[RM_Code],$A92,T_TTAFStock[WeekIndex],15)&gt;0)&gt;0,SUMIFS(T_SelfStock[Self_Qty],T_SelfStock[RM_Code],$A92,T_SelfStock[WeekIndex],15)+SUMIFS(T_TTAFStock[TTAF_Qty],T_TTAFStock[RM_Code],$A92,T_TTAFStock[WeekIndex],15),O92+'Grid_Incoming'!P92-'Grid_Requirement'!P92))</f>
        <v/>
      </c>
      <c r="Q92">
        <f>IF(COUNTIFS(T_StockCount[RM_Code],$A92,T_StockCount[WeekIndex],16)&gt;0,SUMIFS(T_StockCount[CountedQty],T_StockCount[RM_Code],$A92,T_StockCount[WeekIndex],16),IF((COUNTIFS(T_SelfStock[RM_Code],$A92,T_SelfStock[WeekIndex],16)&gt;0)*(COUNTIFS(T_TTAFStock[RM_Code],$A92,T_TTAFStock[WeekIndex],16)&gt;0)&gt;0,SUMIFS(T_SelfStock[Self_Qty],T_SelfStock[RM_Code],$A92,T_SelfStock[WeekIndex],16)+SUMIFS(T_TTAFStock[TTAF_Qty],T_TTAFStock[RM_Code],$A92,T_TTAFStock[WeekIndex],16),P92+'Grid_Incoming'!Q92-'Grid_Requirement'!Q92))</f>
        <v/>
      </c>
      <c r="R92">
        <f>IF(COUNTIFS(T_StockCount[RM_Code],$A92,T_StockCount[WeekIndex],17)&gt;0,SUMIFS(T_StockCount[CountedQty],T_StockCount[RM_Code],$A92,T_StockCount[WeekIndex],17),IF((COUNTIFS(T_SelfStock[RM_Code],$A92,T_SelfStock[WeekIndex],17)&gt;0)*(COUNTIFS(T_TTAFStock[RM_Code],$A92,T_TTAFStock[WeekIndex],17)&gt;0)&gt;0,SUMIFS(T_SelfStock[Self_Qty],T_SelfStock[RM_Code],$A92,T_SelfStock[WeekIndex],17)+SUMIFS(T_TTAFStock[TTAF_Qty],T_TTAFStock[RM_Code],$A92,T_TTAFStock[WeekIndex],17),Q92+'Grid_Incoming'!R92-'Grid_Requirement'!R92))</f>
        <v/>
      </c>
      <c r="S92">
        <f>IF(COUNTIFS(T_StockCount[RM_Code],$A92,T_StockCount[WeekIndex],18)&gt;0,SUMIFS(T_StockCount[CountedQty],T_StockCount[RM_Code],$A92,T_StockCount[WeekIndex],18),IF((COUNTIFS(T_SelfStock[RM_Code],$A92,T_SelfStock[WeekIndex],18)&gt;0)*(COUNTIFS(T_TTAFStock[RM_Code],$A92,T_TTAFStock[WeekIndex],18)&gt;0)&gt;0,SUMIFS(T_SelfStock[Self_Qty],T_SelfStock[RM_Code],$A92,T_SelfStock[WeekIndex],18)+SUMIFS(T_TTAFStock[TTAF_Qty],T_TTAFStock[RM_Code],$A92,T_TTAFStock[WeekIndex],18),R92+'Grid_Incoming'!S92-'Grid_Requirement'!S92))</f>
        <v/>
      </c>
      <c r="T92">
        <f>IF(COUNTIFS(T_StockCount[RM_Code],$A92,T_StockCount[WeekIndex],19)&gt;0,SUMIFS(T_StockCount[CountedQty],T_StockCount[RM_Code],$A92,T_StockCount[WeekIndex],19),IF((COUNTIFS(T_SelfStock[RM_Code],$A92,T_SelfStock[WeekIndex],19)&gt;0)*(COUNTIFS(T_TTAFStock[RM_Code],$A92,T_TTAFStock[WeekIndex],19)&gt;0)&gt;0,SUMIFS(T_SelfStock[Self_Qty],T_SelfStock[RM_Code],$A92,T_SelfStock[WeekIndex],19)+SUMIFS(T_TTAFStock[TTAF_Qty],T_TTAFStock[RM_Code],$A92,T_TTAFStock[WeekIndex],19),S92+'Grid_Incoming'!T92-'Grid_Requirement'!T92))</f>
        <v/>
      </c>
      <c r="U92">
        <f>IF(COUNTIFS(T_StockCount[RM_Code],$A92,T_StockCount[WeekIndex],20)&gt;0,SUMIFS(T_StockCount[CountedQty],T_StockCount[RM_Code],$A92,T_StockCount[WeekIndex],20),IF((COUNTIFS(T_SelfStock[RM_Code],$A92,T_SelfStock[WeekIndex],20)&gt;0)*(COUNTIFS(T_TTAFStock[RM_Code],$A92,T_TTAFStock[WeekIndex],20)&gt;0)&gt;0,SUMIFS(T_SelfStock[Self_Qty],T_SelfStock[RM_Code],$A92,T_SelfStock[WeekIndex],20)+SUMIFS(T_TTAFStock[TTAF_Qty],T_TTAFStock[RM_Code],$A92,T_TTAFStock[WeekIndex],20),T92+'Grid_Incoming'!U92-'Grid_Requirement'!U92))</f>
        <v/>
      </c>
      <c r="V92">
        <f>IF(COUNTIFS(T_StockCount[RM_Code],$A92,T_StockCount[WeekIndex],21)&gt;0,SUMIFS(T_StockCount[CountedQty],T_StockCount[RM_Code],$A92,T_StockCount[WeekIndex],21),IF((COUNTIFS(T_SelfStock[RM_Code],$A92,T_SelfStock[WeekIndex],21)&gt;0)*(COUNTIFS(T_TTAFStock[RM_Code],$A92,T_TTAFStock[WeekIndex],21)&gt;0)&gt;0,SUMIFS(T_SelfStock[Self_Qty],T_SelfStock[RM_Code],$A92,T_SelfStock[WeekIndex],21)+SUMIFS(T_TTAFStock[TTAF_Qty],T_TTAFStock[RM_Code],$A92,T_TTAFStock[WeekIndex],21),U92+'Grid_Incoming'!V92-'Grid_Requirement'!V92))</f>
        <v/>
      </c>
      <c r="W92">
        <f>IF(COUNTIFS(T_StockCount[RM_Code],$A92,T_StockCount[WeekIndex],22)&gt;0,SUMIFS(T_StockCount[CountedQty],T_StockCount[RM_Code],$A92,T_StockCount[WeekIndex],22),IF((COUNTIFS(T_SelfStock[RM_Code],$A92,T_SelfStock[WeekIndex],22)&gt;0)*(COUNTIFS(T_TTAFStock[RM_Code],$A92,T_TTAFStock[WeekIndex],22)&gt;0)&gt;0,SUMIFS(T_SelfStock[Self_Qty],T_SelfStock[RM_Code],$A92,T_SelfStock[WeekIndex],22)+SUMIFS(T_TTAFStock[TTAF_Qty],T_TTAFStock[RM_Code],$A92,T_TTAFStock[WeekIndex],22),V92+'Grid_Incoming'!W92-'Grid_Requirement'!W92))</f>
        <v/>
      </c>
      <c r="X92">
        <f>IF(COUNTIFS(T_StockCount[RM_Code],$A92,T_StockCount[WeekIndex],23)&gt;0,SUMIFS(T_StockCount[CountedQty],T_StockCount[RM_Code],$A92,T_StockCount[WeekIndex],23),IF((COUNTIFS(T_SelfStock[RM_Code],$A92,T_SelfStock[WeekIndex],23)&gt;0)*(COUNTIFS(T_TTAFStock[RM_Code],$A92,T_TTAFStock[WeekIndex],23)&gt;0)&gt;0,SUMIFS(T_SelfStock[Self_Qty],T_SelfStock[RM_Code],$A92,T_SelfStock[WeekIndex],23)+SUMIFS(T_TTAFStock[TTAF_Qty],T_TTAFStock[RM_Code],$A92,T_TTAFStock[WeekIndex],23),W92+'Grid_Incoming'!X92-'Grid_Requirement'!X92))</f>
        <v/>
      </c>
      <c r="Y92">
        <f>IF(COUNTIFS(T_StockCount[RM_Code],$A92,T_StockCount[WeekIndex],24)&gt;0,SUMIFS(T_StockCount[CountedQty],T_StockCount[RM_Code],$A92,T_StockCount[WeekIndex],24),IF((COUNTIFS(T_SelfStock[RM_Code],$A92,T_SelfStock[WeekIndex],24)&gt;0)*(COUNTIFS(T_TTAFStock[RM_Code],$A92,T_TTAFStock[WeekIndex],24)&gt;0)&gt;0,SUMIFS(T_SelfStock[Self_Qty],T_SelfStock[RM_Code],$A92,T_SelfStock[WeekIndex],24)+SUMIFS(T_TTAFStock[TTAF_Qty],T_TTAFStock[RM_Code],$A92,T_TTAFStock[WeekIndex],24),X92+'Grid_Incoming'!Y92-'Grid_Requirement'!Y92))</f>
        <v/>
      </c>
      <c r="Z92">
        <f>IF(COUNTIFS(T_StockCount[RM_Code],$A92,T_StockCount[WeekIndex],25)&gt;0,SUMIFS(T_StockCount[CountedQty],T_StockCount[RM_Code],$A92,T_StockCount[WeekIndex],25),IF((COUNTIFS(T_SelfStock[RM_Code],$A92,T_SelfStock[WeekIndex],25)&gt;0)*(COUNTIFS(T_TTAFStock[RM_Code],$A92,T_TTAFStock[WeekIndex],25)&gt;0)&gt;0,SUMIFS(T_SelfStock[Self_Qty],T_SelfStock[RM_Code],$A92,T_SelfStock[WeekIndex],25)+SUMIFS(T_TTAFStock[TTAF_Qty],T_TTAFStock[RM_Code],$A92,T_TTAFStock[WeekIndex],25),Y92+'Grid_Incoming'!Z92-'Grid_Requirement'!Z92))</f>
        <v/>
      </c>
      <c r="AA92">
        <f>IF(COUNTIFS(T_StockCount[RM_Code],$A92,T_StockCount[WeekIndex],26)&gt;0,SUMIFS(T_StockCount[CountedQty],T_StockCount[RM_Code],$A92,T_StockCount[WeekIndex],26),IF((COUNTIFS(T_SelfStock[RM_Code],$A92,T_SelfStock[WeekIndex],26)&gt;0)*(COUNTIFS(T_TTAFStock[RM_Code],$A92,T_TTAFStock[WeekIndex],26)&gt;0)&gt;0,SUMIFS(T_SelfStock[Self_Qty],T_SelfStock[RM_Code],$A92,T_SelfStock[WeekIndex],26)+SUMIFS(T_TTAFStock[TTAF_Qty],T_TTAFStock[RM_Code],$A92,T_TTAFStock[WeekIndex],26),Z92+'Grid_Incoming'!AA92-'Grid_Requirement'!AA92))</f>
        <v/>
      </c>
      <c r="AB92">
        <f>IF(COUNTIFS(T_StockCount[RM_Code],$A92,T_StockCount[WeekIndex],27)&gt;0,SUMIFS(T_StockCount[CountedQty],T_StockCount[RM_Code],$A92,T_StockCount[WeekIndex],27),IF((COUNTIFS(T_SelfStock[RM_Code],$A92,T_SelfStock[WeekIndex],27)&gt;0)*(COUNTIFS(T_TTAFStock[RM_Code],$A92,T_TTAFStock[WeekIndex],27)&gt;0)&gt;0,SUMIFS(T_SelfStock[Self_Qty],T_SelfStock[RM_Code],$A92,T_SelfStock[WeekIndex],27)+SUMIFS(T_TTAFStock[TTAF_Qty],T_TTAFStock[RM_Code],$A92,T_TTAFStock[WeekIndex],27),AA92+'Grid_Incoming'!AB92-'Grid_Requirement'!AB92))</f>
        <v/>
      </c>
      <c r="AC92">
        <f>IF(COUNTIFS(T_StockCount[RM_Code],$A92,T_StockCount[WeekIndex],28)&gt;0,SUMIFS(T_StockCount[CountedQty],T_StockCount[RM_Code],$A92,T_StockCount[WeekIndex],28),IF((COUNTIFS(T_SelfStock[RM_Code],$A92,T_SelfStock[WeekIndex],28)&gt;0)*(COUNTIFS(T_TTAFStock[RM_Code],$A92,T_TTAFStock[WeekIndex],28)&gt;0)&gt;0,SUMIFS(T_SelfStock[Self_Qty],T_SelfStock[RM_Code],$A92,T_SelfStock[WeekIndex],28)+SUMIFS(T_TTAFStock[TTAF_Qty],T_TTAFStock[RM_Code],$A92,T_TTAFStock[WeekIndex],28),AB92+'Grid_Incoming'!AC92-'Grid_Requirement'!AC92))</f>
        <v/>
      </c>
      <c r="AD92">
        <f>IF(COUNTIFS(T_StockCount[RM_Code],$A92,T_StockCount[WeekIndex],29)&gt;0,SUMIFS(T_StockCount[CountedQty],T_StockCount[RM_Code],$A92,T_StockCount[WeekIndex],29),IF((COUNTIFS(T_SelfStock[RM_Code],$A92,T_SelfStock[WeekIndex],29)&gt;0)*(COUNTIFS(T_TTAFStock[RM_Code],$A92,T_TTAFStock[WeekIndex],29)&gt;0)&gt;0,SUMIFS(T_SelfStock[Self_Qty],T_SelfStock[RM_Code],$A92,T_SelfStock[WeekIndex],29)+SUMIFS(T_TTAFStock[TTAF_Qty],T_TTAFStock[RM_Code],$A92,T_TTAFStock[WeekIndex],29),AC92+'Grid_Incoming'!AD92-'Grid_Requirement'!AD92))</f>
        <v/>
      </c>
      <c r="AE92">
        <f>IF(COUNTIFS(T_StockCount[RM_Code],$A92,T_StockCount[WeekIndex],30)&gt;0,SUMIFS(T_StockCount[CountedQty],T_StockCount[RM_Code],$A92,T_StockCount[WeekIndex],30),IF((COUNTIFS(T_SelfStock[RM_Code],$A92,T_SelfStock[WeekIndex],30)&gt;0)*(COUNTIFS(T_TTAFStock[RM_Code],$A92,T_TTAFStock[WeekIndex],30)&gt;0)&gt;0,SUMIFS(T_SelfStock[Self_Qty],T_SelfStock[RM_Code],$A92,T_SelfStock[WeekIndex],30)+SUMIFS(T_TTAFStock[TTAF_Qty],T_TTAFStock[RM_Code],$A92,T_TTAFStock[WeekIndex],30),AD92+'Grid_Incoming'!AE92-'Grid_Requirement'!AE92))</f>
        <v/>
      </c>
      <c r="AF92">
        <f>IF(COUNTIFS(T_StockCount[RM_Code],$A92,T_StockCount[WeekIndex],31)&gt;0,SUMIFS(T_StockCount[CountedQty],T_StockCount[RM_Code],$A92,T_StockCount[WeekIndex],31),IF((COUNTIFS(T_SelfStock[RM_Code],$A92,T_SelfStock[WeekIndex],31)&gt;0)*(COUNTIFS(T_TTAFStock[RM_Code],$A92,T_TTAFStock[WeekIndex],31)&gt;0)&gt;0,SUMIFS(T_SelfStock[Self_Qty],T_SelfStock[RM_Code],$A92,T_SelfStock[WeekIndex],31)+SUMIFS(T_TTAFStock[TTAF_Qty],T_TTAFStock[RM_Code],$A92,T_TTAFStock[WeekIndex],31),AE92+'Grid_Incoming'!AF92-'Grid_Requirement'!AF92))</f>
        <v/>
      </c>
      <c r="AG92">
        <f>IF(COUNTIFS(T_StockCount[RM_Code],$A92,T_StockCount[WeekIndex],32)&gt;0,SUMIFS(T_StockCount[CountedQty],T_StockCount[RM_Code],$A92,T_StockCount[WeekIndex],32),IF((COUNTIFS(T_SelfStock[RM_Code],$A92,T_SelfStock[WeekIndex],32)&gt;0)*(COUNTIFS(T_TTAFStock[RM_Code],$A92,T_TTAFStock[WeekIndex],32)&gt;0)&gt;0,SUMIFS(T_SelfStock[Self_Qty],T_SelfStock[RM_Code],$A92,T_SelfStock[WeekIndex],32)+SUMIFS(T_TTAFStock[TTAF_Qty],T_TTAFStock[RM_Code],$A92,T_TTAFStock[WeekIndex],32),AF92+'Grid_Incoming'!AG92-'Grid_Requirement'!AG92))</f>
        <v/>
      </c>
      <c r="AH92">
        <f>IF(COUNTIFS(T_StockCount[RM_Code],$A92,T_StockCount[WeekIndex],33)&gt;0,SUMIFS(T_StockCount[CountedQty],T_StockCount[RM_Code],$A92,T_StockCount[WeekIndex],33),IF((COUNTIFS(T_SelfStock[RM_Code],$A92,T_SelfStock[WeekIndex],33)&gt;0)*(COUNTIFS(T_TTAFStock[RM_Code],$A92,T_TTAFStock[WeekIndex],33)&gt;0)&gt;0,SUMIFS(T_SelfStock[Self_Qty],T_SelfStock[RM_Code],$A92,T_SelfStock[WeekIndex],33)+SUMIFS(T_TTAFStock[TTAF_Qty],T_TTAFStock[RM_Code],$A92,T_TTAFStock[WeekIndex],33),AG92+'Grid_Incoming'!AH92-'Grid_Requirement'!AH92))</f>
        <v/>
      </c>
      <c r="AI92">
        <f>IF(COUNTIFS(T_StockCount[RM_Code],$A92,T_StockCount[WeekIndex],34)&gt;0,SUMIFS(T_StockCount[CountedQty],T_StockCount[RM_Code],$A92,T_StockCount[WeekIndex],34),IF((COUNTIFS(T_SelfStock[RM_Code],$A92,T_SelfStock[WeekIndex],34)&gt;0)*(COUNTIFS(T_TTAFStock[RM_Code],$A92,T_TTAFStock[WeekIndex],34)&gt;0)&gt;0,SUMIFS(T_SelfStock[Self_Qty],T_SelfStock[RM_Code],$A92,T_SelfStock[WeekIndex],34)+SUMIFS(T_TTAFStock[TTAF_Qty],T_TTAFStock[RM_Code],$A92,T_TTAFStock[WeekIndex],34),AH92+'Grid_Incoming'!AI92-'Grid_Requirement'!AI92))</f>
        <v/>
      </c>
      <c r="AJ92">
        <f>IF(COUNTIFS(T_StockCount[RM_Code],$A92,T_StockCount[WeekIndex],35)&gt;0,SUMIFS(T_StockCount[CountedQty],T_StockCount[RM_Code],$A92,T_StockCount[WeekIndex],35),IF((COUNTIFS(T_SelfStock[RM_Code],$A92,T_SelfStock[WeekIndex],35)&gt;0)*(COUNTIFS(T_TTAFStock[RM_Code],$A92,T_TTAFStock[WeekIndex],35)&gt;0)&gt;0,SUMIFS(T_SelfStock[Self_Qty],T_SelfStock[RM_Code],$A92,T_SelfStock[WeekIndex],35)+SUMIFS(T_TTAFStock[TTAF_Qty],T_TTAFStock[RM_Code],$A92,T_TTAFStock[WeekIndex],35),AI92+'Grid_Incoming'!AJ92-'Grid_Requirement'!AJ92))</f>
        <v/>
      </c>
      <c r="AK92">
        <f>IF(COUNTIFS(T_StockCount[RM_Code],$A92,T_StockCount[WeekIndex],36)&gt;0,SUMIFS(T_StockCount[CountedQty],T_StockCount[RM_Code],$A92,T_StockCount[WeekIndex],36),IF((COUNTIFS(T_SelfStock[RM_Code],$A92,T_SelfStock[WeekIndex],36)&gt;0)*(COUNTIFS(T_TTAFStock[RM_Code],$A92,T_TTAFStock[WeekIndex],36)&gt;0)&gt;0,SUMIFS(T_SelfStock[Self_Qty],T_SelfStock[RM_Code],$A92,T_SelfStock[WeekIndex],36)+SUMIFS(T_TTAFStock[TTAF_Qty],T_TTAFStock[RM_Code],$A92,T_TTAFStock[WeekIndex],36),AJ92+'Grid_Incoming'!AK92-'Grid_Requirement'!AK92))</f>
        <v/>
      </c>
      <c r="AL92">
        <f>IF(COUNTIFS(T_StockCount[RM_Code],$A92,T_StockCount[WeekIndex],37)&gt;0,SUMIFS(T_StockCount[CountedQty],T_StockCount[RM_Code],$A92,T_StockCount[WeekIndex],37),IF((COUNTIFS(T_SelfStock[RM_Code],$A92,T_SelfStock[WeekIndex],37)&gt;0)*(COUNTIFS(T_TTAFStock[RM_Code],$A92,T_TTAFStock[WeekIndex],37)&gt;0)&gt;0,SUMIFS(T_SelfStock[Self_Qty],T_SelfStock[RM_Code],$A92,T_SelfStock[WeekIndex],37)+SUMIFS(T_TTAFStock[TTAF_Qty],T_TTAFStock[RM_Code],$A92,T_TTAFStock[WeekIndex],37),AK92+'Grid_Incoming'!AL92-'Grid_Requirement'!AL92))</f>
        <v/>
      </c>
      <c r="AM92">
        <f>IF(COUNTIFS(T_StockCount[RM_Code],$A92,T_StockCount[WeekIndex],38)&gt;0,SUMIFS(T_StockCount[CountedQty],T_StockCount[RM_Code],$A92,T_StockCount[WeekIndex],38),IF((COUNTIFS(T_SelfStock[RM_Code],$A92,T_SelfStock[WeekIndex],38)&gt;0)*(COUNTIFS(T_TTAFStock[RM_Code],$A92,T_TTAFStock[WeekIndex],38)&gt;0)&gt;0,SUMIFS(T_SelfStock[Self_Qty],T_SelfStock[RM_Code],$A92,T_SelfStock[WeekIndex],38)+SUMIFS(T_TTAFStock[TTAF_Qty],T_TTAFStock[RM_Code],$A92,T_TTAFStock[WeekIndex],38),AL92+'Grid_Incoming'!AM92-'Grid_Requirement'!AM92))</f>
        <v/>
      </c>
      <c r="AN92">
        <f>IF(COUNTIFS(T_StockCount[RM_Code],$A92,T_StockCount[WeekIndex],39)&gt;0,SUMIFS(T_StockCount[CountedQty],T_StockCount[RM_Code],$A92,T_StockCount[WeekIndex],39),IF((COUNTIFS(T_SelfStock[RM_Code],$A92,T_SelfStock[WeekIndex],39)&gt;0)*(COUNTIFS(T_TTAFStock[RM_Code],$A92,T_TTAFStock[WeekIndex],39)&gt;0)&gt;0,SUMIFS(T_SelfStock[Self_Qty],T_SelfStock[RM_Code],$A92,T_SelfStock[WeekIndex],39)+SUMIFS(T_TTAFStock[TTAF_Qty],T_TTAFStock[RM_Code],$A92,T_TTAFStock[WeekIndex],39),AM92+'Grid_Incoming'!AN92-'Grid_Requirement'!AN92))</f>
        <v/>
      </c>
      <c r="AO92">
        <f>IF(COUNTIFS(T_StockCount[RM_Code],$A92,T_StockCount[WeekIndex],40)&gt;0,SUMIFS(T_StockCount[CountedQty],T_StockCount[RM_Code],$A92,T_StockCount[WeekIndex],40),IF((COUNTIFS(T_SelfStock[RM_Code],$A92,T_SelfStock[WeekIndex],40)&gt;0)*(COUNTIFS(T_TTAFStock[RM_Code],$A92,T_TTAFStock[WeekIndex],40)&gt;0)&gt;0,SUMIFS(T_SelfStock[Self_Qty],T_SelfStock[RM_Code],$A92,T_SelfStock[WeekIndex],40)+SUMIFS(T_TTAFStock[TTAF_Qty],T_TTAFStock[RM_Code],$A92,T_TTAFStock[WeekIndex],40),AN92+'Grid_Incoming'!AO92-'Grid_Requirement'!AO92))</f>
        <v/>
      </c>
      <c r="AP92">
        <f>IF(COUNTIFS(T_StockCount[RM_Code],$A92,T_StockCount[WeekIndex],41)&gt;0,SUMIFS(T_StockCount[CountedQty],T_StockCount[RM_Code],$A92,T_StockCount[WeekIndex],41),IF((COUNTIFS(T_SelfStock[RM_Code],$A92,T_SelfStock[WeekIndex],41)&gt;0)*(COUNTIFS(T_TTAFStock[RM_Code],$A92,T_TTAFStock[WeekIndex],41)&gt;0)&gt;0,SUMIFS(T_SelfStock[Self_Qty],T_SelfStock[RM_Code],$A92,T_SelfStock[WeekIndex],41)+SUMIFS(T_TTAFStock[TTAF_Qty],T_TTAFStock[RM_Code],$A92,T_TTAFStock[WeekIndex],41),AO92+'Grid_Incoming'!AP92-'Grid_Requirement'!AP92))</f>
        <v/>
      </c>
      <c r="AQ92">
        <f>IF(COUNTIFS(T_StockCount[RM_Code],$A92,T_StockCount[WeekIndex],42)&gt;0,SUMIFS(T_StockCount[CountedQty],T_StockCount[RM_Code],$A92,T_StockCount[WeekIndex],42),IF((COUNTIFS(T_SelfStock[RM_Code],$A92,T_SelfStock[WeekIndex],42)&gt;0)*(COUNTIFS(T_TTAFStock[RM_Code],$A92,T_TTAFStock[WeekIndex],42)&gt;0)&gt;0,SUMIFS(T_SelfStock[Self_Qty],T_SelfStock[RM_Code],$A92,T_SelfStock[WeekIndex],42)+SUMIFS(T_TTAFStock[TTAF_Qty],T_TTAFStock[RM_Code],$A92,T_TTAFStock[WeekIndex],42),AP92+'Grid_Incoming'!AQ92-'Grid_Requirement'!AQ92))</f>
        <v/>
      </c>
      <c r="AR92">
        <f>IF(COUNTIFS(T_StockCount[RM_Code],$A92,T_StockCount[WeekIndex],43)&gt;0,SUMIFS(T_StockCount[CountedQty],T_StockCount[RM_Code],$A92,T_StockCount[WeekIndex],43),IF((COUNTIFS(T_SelfStock[RM_Code],$A92,T_SelfStock[WeekIndex],43)&gt;0)*(COUNTIFS(T_TTAFStock[RM_Code],$A92,T_TTAFStock[WeekIndex],43)&gt;0)&gt;0,SUMIFS(T_SelfStock[Self_Qty],T_SelfStock[RM_Code],$A92,T_SelfStock[WeekIndex],43)+SUMIFS(T_TTAFStock[TTAF_Qty],T_TTAFStock[RM_Code],$A92,T_TTAFStock[WeekIndex],43),AQ92+'Grid_Incoming'!AR92-'Grid_Requirement'!AR92))</f>
        <v/>
      </c>
      <c r="AS92">
        <f>IF(COUNTIFS(T_StockCount[RM_Code],$A92,T_StockCount[WeekIndex],44)&gt;0,SUMIFS(T_StockCount[CountedQty],T_StockCount[RM_Code],$A92,T_StockCount[WeekIndex],44),IF((COUNTIFS(T_SelfStock[RM_Code],$A92,T_SelfStock[WeekIndex],44)&gt;0)*(COUNTIFS(T_TTAFStock[RM_Code],$A92,T_TTAFStock[WeekIndex],44)&gt;0)&gt;0,SUMIFS(T_SelfStock[Self_Qty],T_SelfStock[RM_Code],$A92,T_SelfStock[WeekIndex],44)+SUMIFS(T_TTAFStock[TTAF_Qty],T_TTAFStock[RM_Code],$A92,T_TTAFStock[WeekIndex],44),AR92+'Grid_Incoming'!AS92-'Grid_Requirement'!AS92))</f>
        <v/>
      </c>
      <c r="AT92">
        <f>IF(COUNTIFS(T_StockCount[RM_Code],$A92,T_StockCount[WeekIndex],45)&gt;0,SUMIFS(T_StockCount[CountedQty],T_StockCount[RM_Code],$A92,T_StockCount[WeekIndex],45),IF((COUNTIFS(T_SelfStock[RM_Code],$A92,T_SelfStock[WeekIndex],45)&gt;0)*(COUNTIFS(T_TTAFStock[RM_Code],$A92,T_TTAFStock[WeekIndex],45)&gt;0)&gt;0,SUMIFS(T_SelfStock[Self_Qty],T_SelfStock[RM_Code],$A92,T_SelfStock[WeekIndex],45)+SUMIFS(T_TTAFStock[TTAF_Qty],T_TTAFStock[RM_Code],$A92,T_TTAFStock[WeekIndex],45),AS92+'Grid_Incoming'!AT92-'Grid_Requirement'!AT92))</f>
        <v/>
      </c>
      <c r="AU92">
        <f>IF(COUNTIFS(T_StockCount[RM_Code],$A92,T_StockCount[WeekIndex],46)&gt;0,SUMIFS(T_StockCount[CountedQty],T_StockCount[RM_Code],$A92,T_StockCount[WeekIndex],46),IF((COUNTIFS(T_SelfStock[RM_Code],$A92,T_SelfStock[WeekIndex],46)&gt;0)*(COUNTIFS(T_TTAFStock[RM_Code],$A92,T_TTAFStock[WeekIndex],46)&gt;0)&gt;0,SUMIFS(T_SelfStock[Self_Qty],T_SelfStock[RM_Code],$A92,T_SelfStock[WeekIndex],46)+SUMIFS(T_TTAFStock[TTAF_Qty],T_TTAFStock[RM_Code],$A92,T_TTAFStock[WeekIndex],46),AT92+'Grid_Incoming'!AU92-'Grid_Requirement'!AU92))</f>
        <v/>
      </c>
      <c r="AV92">
        <f>IF(COUNTIFS(T_StockCount[RM_Code],$A92,T_StockCount[WeekIndex],47)&gt;0,SUMIFS(T_StockCount[CountedQty],T_StockCount[RM_Code],$A92,T_StockCount[WeekIndex],47),IF((COUNTIFS(T_SelfStock[RM_Code],$A92,T_SelfStock[WeekIndex],47)&gt;0)*(COUNTIFS(T_TTAFStock[RM_Code],$A92,T_TTAFStock[WeekIndex],47)&gt;0)&gt;0,SUMIFS(T_SelfStock[Self_Qty],T_SelfStock[RM_Code],$A92,T_SelfStock[WeekIndex],47)+SUMIFS(T_TTAFStock[TTAF_Qty],T_TTAFStock[RM_Code],$A92,T_TTAFStock[WeekIndex],47),AU92+'Grid_Incoming'!AV92-'Grid_Requirement'!AV92))</f>
        <v/>
      </c>
      <c r="AW92">
        <f>IF(COUNTIFS(T_StockCount[RM_Code],$A92,T_StockCount[WeekIndex],48)&gt;0,SUMIFS(T_StockCount[CountedQty],T_StockCount[RM_Code],$A92,T_StockCount[WeekIndex],48),IF((COUNTIFS(T_SelfStock[RM_Code],$A92,T_SelfStock[WeekIndex],48)&gt;0)*(COUNTIFS(T_TTAFStock[RM_Code],$A92,T_TTAFStock[WeekIndex],48)&gt;0)&gt;0,SUMIFS(T_SelfStock[Self_Qty],T_SelfStock[RM_Code],$A92,T_SelfStock[WeekIndex],48)+SUMIFS(T_TTAFStock[TTAF_Qty],T_TTAFStock[RM_Code],$A92,T_TTAFStock[WeekIndex],48),AV92+'Grid_Incoming'!AW92-'Grid_Requirement'!AW92))</f>
        <v/>
      </c>
      <c r="AX92">
        <f>IF(COUNTIFS(T_StockCount[RM_Code],$A92,T_StockCount[WeekIndex],49)&gt;0,SUMIFS(T_StockCount[CountedQty],T_StockCount[RM_Code],$A92,T_StockCount[WeekIndex],49),IF((COUNTIFS(T_SelfStock[RM_Code],$A92,T_SelfStock[WeekIndex],49)&gt;0)*(COUNTIFS(T_TTAFStock[RM_Code],$A92,T_TTAFStock[WeekIndex],49)&gt;0)&gt;0,SUMIFS(T_SelfStock[Self_Qty],T_SelfStock[RM_Code],$A92,T_SelfStock[WeekIndex],49)+SUMIFS(T_TTAFStock[TTAF_Qty],T_TTAFStock[RM_Code],$A92,T_TTAFStock[WeekIndex],49),AW92+'Grid_Incoming'!AX92-'Grid_Requirement'!AX92))</f>
        <v/>
      </c>
      <c r="AY92">
        <f>IF(COUNTIFS(T_StockCount[RM_Code],$A92,T_StockCount[WeekIndex],50)&gt;0,SUMIFS(T_StockCount[CountedQty],T_StockCount[RM_Code],$A92,T_StockCount[WeekIndex],50),IF((COUNTIFS(T_SelfStock[RM_Code],$A92,T_SelfStock[WeekIndex],50)&gt;0)*(COUNTIFS(T_TTAFStock[RM_Code],$A92,T_TTAFStock[WeekIndex],50)&gt;0)&gt;0,SUMIFS(T_SelfStock[Self_Qty],T_SelfStock[RM_Code],$A92,T_SelfStock[WeekIndex],50)+SUMIFS(T_TTAFStock[TTAF_Qty],T_TTAFStock[RM_Code],$A92,T_TTAFStock[WeekIndex],50),AX92+'Grid_Incoming'!AY92-'Grid_Requirement'!AY92))</f>
        <v/>
      </c>
      <c r="AZ92">
        <f>IF(COUNTIFS(T_StockCount[RM_Code],$A92,T_StockCount[WeekIndex],51)&gt;0,SUMIFS(T_StockCount[CountedQty],T_StockCount[RM_Code],$A92,T_StockCount[WeekIndex],51),IF((COUNTIFS(T_SelfStock[RM_Code],$A92,T_SelfStock[WeekIndex],51)&gt;0)*(COUNTIFS(T_TTAFStock[RM_Code],$A92,T_TTAFStock[WeekIndex],51)&gt;0)&gt;0,SUMIFS(T_SelfStock[Self_Qty],T_SelfStock[RM_Code],$A92,T_SelfStock[WeekIndex],51)+SUMIFS(T_TTAFStock[TTAF_Qty],T_TTAFStock[RM_Code],$A92,T_TTAFStock[WeekIndex],51),AY92+'Grid_Incoming'!AZ92-'Grid_Requirement'!AZ92))</f>
        <v/>
      </c>
      <c r="BA92">
        <f>IF(COUNTIFS(T_StockCount[RM_Code],$A92,T_StockCount[WeekIndex],52)&gt;0,SUMIFS(T_StockCount[CountedQty],T_StockCount[RM_Code],$A92,T_StockCount[WeekIndex],52),IF((COUNTIFS(T_SelfStock[RM_Code],$A92,T_SelfStock[WeekIndex],52)&gt;0)*(COUNTIFS(T_TTAFStock[RM_Code],$A92,T_TTAFStock[WeekIndex],52)&gt;0)&gt;0,SUMIFS(T_SelfStock[Self_Qty],T_SelfStock[RM_Code],$A92,T_SelfStock[WeekIndex],52)+SUMIFS(T_TTAFStock[TTAF_Qty],T_TTAFStock[RM_Code],$A92,T_TTAFStock[WeekIndex],52),AZ92+'Grid_Incoming'!BA92-'Grid_Requirement'!BA92))</f>
        <v/>
      </c>
      <c r="BB92">
        <f>IF(COUNTIFS(T_StockCount[RM_Code],$A92,T_StockCount[WeekIndex],53)&gt;0,SUMIFS(T_StockCount[CountedQty],T_StockCount[RM_Code],$A92,T_StockCount[WeekIndex],53),IF((COUNTIFS(T_SelfStock[RM_Code],$A92,T_SelfStock[WeekIndex],53)&gt;0)*(COUNTIFS(T_TTAFStock[RM_Code],$A92,T_TTAFStock[WeekIndex],53)&gt;0)&gt;0,SUMIFS(T_SelfStock[Self_Qty],T_SelfStock[RM_Code],$A92,T_SelfStock[WeekIndex],53)+SUMIFS(T_TTAFStock[TTAF_Qty],T_TTAFStock[RM_Code],$A92,T_TTAFStock[WeekIndex],53),BA92+'Grid_Incoming'!BB92-'Grid_Requirement'!BB92))</f>
        <v/>
      </c>
      <c r="BC92">
        <f>IF(COUNTIFS(T_StockCount[RM_Code],$A92,T_StockCount[WeekIndex],54)&gt;0,SUMIFS(T_StockCount[CountedQty],T_StockCount[RM_Code],$A92,T_StockCount[WeekIndex],54),IF((COUNTIFS(T_SelfStock[RM_Code],$A92,T_SelfStock[WeekIndex],54)&gt;0)*(COUNTIFS(T_TTAFStock[RM_Code],$A92,T_TTAFStock[WeekIndex],54)&gt;0)&gt;0,SUMIFS(T_SelfStock[Self_Qty],T_SelfStock[RM_Code],$A92,T_SelfStock[WeekIndex],54)+SUMIFS(T_TTAFStock[TTAF_Qty],T_TTAFStock[RM_Code],$A92,T_TTAFStock[WeekIndex],54),BB92+'Grid_Incoming'!BC92-'Grid_Requirement'!BC92))</f>
        <v/>
      </c>
      <c r="BD92">
        <f>IF(COUNTIFS(T_StockCount[RM_Code],$A92,T_StockCount[WeekIndex],55)&gt;0,SUMIFS(T_StockCount[CountedQty],T_StockCount[RM_Code],$A92,T_StockCount[WeekIndex],55),IF((COUNTIFS(T_SelfStock[RM_Code],$A92,T_SelfStock[WeekIndex],55)&gt;0)*(COUNTIFS(T_TTAFStock[RM_Code],$A92,T_TTAFStock[WeekIndex],55)&gt;0)&gt;0,SUMIFS(T_SelfStock[Self_Qty],T_SelfStock[RM_Code],$A92,T_SelfStock[WeekIndex],55)+SUMIFS(T_TTAFStock[TTAF_Qty],T_TTAFStock[RM_Code],$A92,T_TTAFStock[WeekIndex],55),BC92+'Grid_Incoming'!BD92-'Grid_Requirement'!BD92))</f>
        <v/>
      </c>
      <c r="BE92">
        <f>IF(COUNTIFS(T_StockCount[RM_Code],$A92,T_StockCount[WeekIndex],56)&gt;0,SUMIFS(T_StockCount[CountedQty],T_StockCount[RM_Code],$A92,T_StockCount[WeekIndex],56),IF((COUNTIFS(T_SelfStock[RM_Code],$A92,T_SelfStock[WeekIndex],56)&gt;0)*(COUNTIFS(T_TTAFStock[RM_Code],$A92,T_TTAFStock[WeekIndex],56)&gt;0)&gt;0,SUMIFS(T_SelfStock[Self_Qty],T_SelfStock[RM_Code],$A92,T_SelfStock[WeekIndex],56)+SUMIFS(T_TTAFStock[TTAF_Qty],T_TTAFStock[RM_Code],$A92,T_TTAFStock[WeekIndex],56),BD92+'Grid_Incoming'!BE92-'Grid_Requirement'!BE92))</f>
        <v/>
      </c>
      <c r="BF92">
        <f>IF(COUNTIFS(T_StockCount[RM_Code],$A92,T_StockCount[WeekIndex],57)&gt;0,SUMIFS(T_StockCount[CountedQty],T_StockCount[RM_Code],$A92,T_StockCount[WeekIndex],57),IF((COUNTIFS(T_SelfStock[RM_Code],$A92,T_SelfStock[WeekIndex],57)&gt;0)*(COUNTIFS(T_TTAFStock[RM_Code],$A92,T_TTAFStock[WeekIndex],57)&gt;0)&gt;0,SUMIFS(T_SelfStock[Self_Qty],T_SelfStock[RM_Code],$A92,T_SelfStock[WeekIndex],57)+SUMIFS(T_TTAFStock[TTAF_Qty],T_TTAFStock[RM_Code],$A92,T_TTAFStock[WeekIndex],57),BE92+'Grid_Incoming'!BF92-'Grid_Requirement'!BF92))</f>
        <v/>
      </c>
      <c r="BG92">
        <f>IF(COUNTIFS(T_StockCount[RM_Code],$A92,T_StockCount[WeekIndex],58)&gt;0,SUMIFS(T_StockCount[CountedQty],T_StockCount[RM_Code],$A92,T_StockCount[WeekIndex],58),IF((COUNTIFS(T_SelfStock[RM_Code],$A92,T_SelfStock[WeekIndex],58)&gt;0)*(COUNTIFS(T_TTAFStock[RM_Code],$A92,T_TTAFStock[WeekIndex],58)&gt;0)&gt;0,SUMIFS(T_SelfStock[Self_Qty],T_SelfStock[RM_Code],$A92,T_SelfStock[WeekIndex],58)+SUMIFS(T_TTAFStock[TTAF_Qty],T_TTAFStock[RM_Code],$A92,T_TTAFStock[WeekIndex],58),BF92+'Grid_Incoming'!BG92-'Grid_Requirement'!BG92))</f>
        <v/>
      </c>
      <c r="BH92">
        <f>IF(COUNTIFS(T_StockCount[RM_Code],$A92,T_StockCount[WeekIndex],59)&gt;0,SUMIFS(T_StockCount[CountedQty],T_StockCount[RM_Code],$A92,T_StockCount[WeekIndex],59),IF((COUNTIFS(T_SelfStock[RM_Code],$A92,T_SelfStock[WeekIndex],59)&gt;0)*(COUNTIFS(T_TTAFStock[RM_Code],$A92,T_TTAFStock[WeekIndex],59)&gt;0)&gt;0,SUMIFS(T_SelfStock[Self_Qty],T_SelfStock[RM_Code],$A92,T_SelfStock[WeekIndex],59)+SUMIFS(T_TTAFStock[TTAF_Qty],T_TTAFStock[RM_Code],$A92,T_TTAFStock[WeekIndex],59),BG92+'Grid_Incoming'!BH92-'Grid_Requirement'!BH92))</f>
        <v/>
      </c>
      <c r="BI92">
        <f>IF(COUNTIFS(T_StockCount[RM_Code],$A92,T_StockCount[WeekIndex],60)&gt;0,SUMIFS(T_StockCount[CountedQty],T_StockCount[RM_Code],$A92,T_StockCount[WeekIndex],60),IF((COUNTIFS(T_SelfStock[RM_Code],$A92,T_SelfStock[WeekIndex],60)&gt;0)*(COUNTIFS(T_TTAFStock[RM_Code],$A92,T_TTAFStock[WeekIndex],60)&gt;0)&gt;0,SUMIFS(T_SelfStock[Self_Qty],T_SelfStock[RM_Code],$A92,T_SelfStock[WeekIndex],60)+SUMIFS(T_TTAFStock[TTAF_Qty],T_TTAFStock[RM_Code],$A92,T_TTAFStock[WeekIndex],60),BH92+'Grid_Incoming'!BI92-'Grid_Requirement'!BI92))</f>
        <v/>
      </c>
      <c r="BJ92">
        <f>IF(COUNTIFS(T_StockCount[RM_Code],$A92,T_StockCount[WeekIndex],61)&gt;0,SUMIFS(T_StockCount[CountedQty],T_StockCount[RM_Code],$A92,T_StockCount[WeekIndex],61),IF((COUNTIFS(T_SelfStock[RM_Code],$A92,T_SelfStock[WeekIndex],61)&gt;0)*(COUNTIFS(T_TTAFStock[RM_Code],$A92,T_TTAFStock[WeekIndex],61)&gt;0)&gt;0,SUMIFS(T_SelfStock[Self_Qty],T_SelfStock[RM_Code],$A92,T_SelfStock[WeekIndex],61)+SUMIFS(T_TTAFStock[TTAF_Qty],T_TTAFStock[RM_Code],$A92,T_TTAFStock[WeekIndex],61),BI92+'Grid_Incoming'!BJ92-'Grid_Requirement'!BJ92))</f>
        <v/>
      </c>
      <c r="BK92">
        <f>IF(COUNTIFS(T_StockCount[RM_Code],$A92,T_StockCount[WeekIndex],62)&gt;0,SUMIFS(T_StockCount[CountedQty],T_StockCount[RM_Code],$A92,T_StockCount[WeekIndex],62),IF((COUNTIFS(T_SelfStock[RM_Code],$A92,T_SelfStock[WeekIndex],62)&gt;0)*(COUNTIFS(T_TTAFStock[RM_Code],$A92,T_TTAFStock[WeekIndex],62)&gt;0)&gt;0,SUMIFS(T_SelfStock[Self_Qty],T_SelfStock[RM_Code],$A92,T_SelfStock[WeekIndex],62)+SUMIFS(T_TTAFStock[TTAF_Qty],T_TTAFStock[RM_Code],$A92,T_TTAFStock[WeekIndex],62),BJ92+'Grid_Incoming'!BK92-'Grid_Requirement'!BK92))</f>
        <v/>
      </c>
      <c r="BL92">
        <f>IF(COUNTIFS(T_StockCount[RM_Code],$A92,T_StockCount[WeekIndex],63)&gt;0,SUMIFS(T_StockCount[CountedQty],T_StockCount[RM_Code],$A92,T_StockCount[WeekIndex],63),IF((COUNTIFS(T_SelfStock[RM_Code],$A92,T_SelfStock[WeekIndex],63)&gt;0)*(COUNTIFS(T_TTAFStock[RM_Code],$A92,T_TTAFStock[WeekIndex],63)&gt;0)&gt;0,SUMIFS(T_SelfStock[Self_Qty],T_SelfStock[RM_Code],$A92,T_SelfStock[WeekIndex],63)+SUMIFS(T_TTAFStock[TTAF_Qty],T_TTAFStock[RM_Code],$A92,T_TTAFStock[WeekIndex],63),BK92+'Grid_Incoming'!BL92-'Grid_Requirement'!BL92))</f>
        <v/>
      </c>
      <c r="BM92">
        <f>IF(COUNTIFS(T_StockCount[RM_Code],$A92,T_StockCount[WeekIndex],64)&gt;0,SUMIFS(T_StockCount[CountedQty],T_StockCount[RM_Code],$A92,T_StockCount[WeekIndex],64),IF((COUNTIFS(T_SelfStock[RM_Code],$A92,T_SelfStock[WeekIndex],64)&gt;0)*(COUNTIFS(T_TTAFStock[RM_Code],$A92,T_TTAFStock[WeekIndex],64)&gt;0)&gt;0,SUMIFS(T_SelfStock[Self_Qty],T_SelfStock[RM_Code],$A92,T_SelfStock[WeekIndex],64)+SUMIFS(T_TTAFStock[TTAF_Qty],T_TTAFStock[RM_Code],$A92,T_TTAFStock[WeekIndex],64),BL92+'Grid_Incoming'!BM92-'Grid_Requirement'!BM92))</f>
        <v/>
      </c>
      <c r="BN92">
        <f>IF(COUNTIFS(T_StockCount[RM_Code],$A92,T_StockCount[WeekIndex],65)&gt;0,SUMIFS(T_StockCount[CountedQty],T_StockCount[RM_Code],$A92,T_StockCount[WeekIndex],65),IF((COUNTIFS(T_SelfStock[RM_Code],$A92,T_SelfStock[WeekIndex],65)&gt;0)*(COUNTIFS(T_TTAFStock[RM_Code],$A92,T_TTAFStock[WeekIndex],65)&gt;0)&gt;0,SUMIFS(T_SelfStock[Self_Qty],T_SelfStock[RM_Code],$A92,T_SelfStock[WeekIndex],65)+SUMIFS(T_TTAFStock[TTAF_Qty],T_TTAFStock[RM_Code],$A92,T_TTAFStock[WeekIndex],65),BM92+'Grid_Incoming'!BN92-'Grid_Requirement'!BN92))</f>
        <v/>
      </c>
      <c r="BO92">
        <f>IF(COUNTIFS(T_StockCount[RM_Code],$A92,T_StockCount[WeekIndex],66)&gt;0,SUMIFS(T_StockCount[CountedQty],T_StockCount[RM_Code],$A92,T_StockCount[WeekIndex],66),IF((COUNTIFS(T_SelfStock[RM_Code],$A92,T_SelfStock[WeekIndex],66)&gt;0)*(COUNTIFS(T_TTAFStock[RM_Code],$A92,T_TTAFStock[WeekIndex],66)&gt;0)&gt;0,SUMIFS(T_SelfStock[Self_Qty],T_SelfStock[RM_Code],$A92,T_SelfStock[WeekIndex],66)+SUMIFS(T_TTAFStock[TTAF_Qty],T_TTAFStock[RM_Code],$A92,T_TTAFStock[WeekIndex],66),BN92+'Grid_Incoming'!BO92-'Grid_Requirement'!BO92))</f>
        <v/>
      </c>
      <c r="BP92">
        <f>IF(COUNTIFS(T_StockCount[RM_Code],$A92,T_StockCount[WeekIndex],67)&gt;0,SUMIFS(T_StockCount[CountedQty],T_StockCount[RM_Code],$A92,T_StockCount[WeekIndex],67),IF((COUNTIFS(T_SelfStock[RM_Code],$A92,T_SelfStock[WeekIndex],67)&gt;0)*(COUNTIFS(T_TTAFStock[RM_Code],$A92,T_TTAFStock[WeekIndex],67)&gt;0)&gt;0,SUMIFS(T_SelfStock[Self_Qty],T_SelfStock[RM_Code],$A92,T_SelfStock[WeekIndex],67)+SUMIFS(T_TTAFStock[TTAF_Qty],T_TTAFStock[RM_Code],$A92,T_TTAFStock[WeekIndex],67),BO92+'Grid_Incoming'!BP92-'Grid_Requirement'!BP92))</f>
        <v/>
      </c>
      <c r="BQ92">
        <f>IF(COUNTIFS(T_StockCount[RM_Code],$A92,T_StockCount[WeekIndex],68)&gt;0,SUMIFS(T_StockCount[CountedQty],T_StockCount[RM_Code],$A92,T_StockCount[WeekIndex],68),IF((COUNTIFS(T_SelfStock[RM_Code],$A92,T_SelfStock[WeekIndex],68)&gt;0)*(COUNTIFS(T_TTAFStock[RM_Code],$A92,T_TTAFStock[WeekIndex],68)&gt;0)&gt;0,SUMIFS(T_SelfStock[Self_Qty],T_SelfStock[RM_Code],$A92,T_SelfStock[WeekIndex],68)+SUMIFS(T_TTAFStock[TTAF_Qty],T_TTAFStock[RM_Code],$A92,T_TTAFStock[WeekIndex],68),BP92+'Grid_Incoming'!BQ92-'Grid_Requirement'!BQ92))</f>
        <v/>
      </c>
      <c r="BR92">
        <f>IF(COUNTIFS(T_StockCount[RM_Code],$A92,T_StockCount[WeekIndex],69)&gt;0,SUMIFS(T_StockCount[CountedQty],T_StockCount[RM_Code],$A92,T_StockCount[WeekIndex],69),IF((COUNTIFS(T_SelfStock[RM_Code],$A92,T_SelfStock[WeekIndex],69)&gt;0)*(COUNTIFS(T_TTAFStock[RM_Code],$A92,T_TTAFStock[WeekIndex],69)&gt;0)&gt;0,SUMIFS(T_SelfStock[Self_Qty],T_SelfStock[RM_Code],$A92,T_SelfStock[WeekIndex],69)+SUMIFS(T_TTAFStock[TTAF_Qty],T_TTAFStock[RM_Code],$A92,T_TTAFStock[WeekIndex],69),BQ92+'Grid_Incoming'!BR92-'Grid_Requirement'!BR92))</f>
        <v/>
      </c>
      <c r="BS92">
        <f>IF(COUNTIFS(T_StockCount[RM_Code],$A92,T_StockCount[WeekIndex],70)&gt;0,SUMIFS(T_StockCount[CountedQty],T_StockCount[RM_Code],$A92,T_StockCount[WeekIndex],70),IF((COUNTIFS(T_SelfStock[RM_Code],$A92,T_SelfStock[WeekIndex],70)&gt;0)*(COUNTIFS(T_TTAFStock[RM_Code],$A92,T_TTAFStock[WeekIndex],70)&gt;0)&gt;0,SUMIFS(T_SelfStock[Self_Qty],T_SelfStock[RM_Code],$A92,T_SelfStock[WeekIndex],70)+SUMIFS(T_TTAFStock[TTAF_Qty],T_TTAFStock[RM_Code],$A92,T_TTAFStock[WeekIndex],70),BR92+'Grid_Incoming'!BS92-'Grid_Requirement'!BS92))</f>
        <v/>
      </c>
      <c r="BT92">
        <f>IF(COUNTIFS(T_StockCount[RM_Code],$A92,T_StockCount[WeekIndex],71)&gt;0,SUMIFS(T_StockCount[CountedQty],T_StockCount[RM_Code],$A92,T_StockCount[WeekIndex],71),IF((COUNTIFS(T_SelfStock[RM_Code],$A92,T_SelfStock[WeekIndex],71)&gt;0)*(COUNTIFS(T_TTAFStock[RM_Code],$A92,T_TTAFStock[WeekIndex],71)&gt;0)&gt;0,SUMIFS(T_SelfStock[Self_Qty],T_SelfStock[RM_Code],$A92,T_SelfStock[WeekIndex],71)+SUMIFS(T_TTAFStock[TTAF_Qty],T_TTAFStock[RM_Code],$A92,T_TTAFStock[WeekIndex],71),BS92+'Grid_Incoming'!BT92-'Grid_Requirement'!BT92))</f>
        <v/>
      </c>
      <c r="BU92">
        <f>IF(COUNTIFS(T_StockCount[RM_Code],$A92,T_StockCount[WeekIndex],72)&gt;0,SUMIFS(T_StockCount[CountedQty],T_StockCount[RM_Code],$A92,T_StockCount[WeekIndex],72),IF((COUNTIFS(T_SelfStock[RM_Code],$A92,T_SelfStock[WeekIndex],72)&gt;0)*(COUNTIFS(T_TTAFStock[RM_Code],$A92,T_TTAFStock[WeekIndex],72)&gt;0)&gt;0,SUMIFS(T_SelfStock[Self_Qty],T_SelfStock[RM_Code],$A92,T_SelfStock[WeekIndex],72)+SUMIFS(T_TTAFStock[TTAF_Qty],T_TTAFStock[RM_Code],$A92,T_TTAFStock[WeekIndex],72),BT92+'Grid_Incoming'!BU92-'Grid_Requirement'!BU92))</f>
        <v/>
      </c>
      <c r="BV92">
        <f>IF(COUNTIFS(T_StockCount[RM_Code],$A92,T_StockCount[WeekIndex],73)&gt;0,SUMIFS(T_StockCount[CountedQty],T_StockCount[RM_Code],$A92,T_StockCount[WeekIndex],73),IF((COUNTIFS(T_SelfStock[RM_Code],$A92,T_SelfStock[WeekIndex],73)&gt;0)*(COUNTIFS(T_TTAFStock[RM_Code],$A92,T_TTAFStock[WeekIndex],73)&gt;0)&gt;0,SUMIFS(T_SelfStock[Self_Qty],T_SelfStock[RM_Code],$A92,T_SelfStock[WeekIndex],73)+SUMIFS(T_TTAFStock[TTAF_Qty],T_TTAFStock[RM_Code],$A92,T_TTAFStock[WeekIndex],73),BU92+'Grid_Incoming'!BV92-'Grid_Requirement'!BV92))</f>
        <v/>
      </c>
      <c r="BW92">
        <f>IF(COUNTIFS(T_StockCount[RM_Code],$A92,T_StockCount[WeekIndex],74)&gt;0,SUMIFS(T_StockCount[CountedQty],T_StockCount[RM_Code],$A92,T_StockCount[WeekIndex],74),IF((COUNTIFS(T_SelfStock[RM_Code],$A92,T_SelfStock[WeekIndex],74)&gt;0)*(COUNTIFS(T_TTAFStock[RM_Code],$A92,T_TTAFStock[WeekIndex],74)&gt;0)&gt;0,SUMIFS(T_SelfStock[Self_Qty],T_SelfStock[RM_Code],$A92,T_SelfStock[WeekIndex],74)+SUMIFS(T_TTAFStock[TTAF_Qty],T_TTAFStock[RM_Code],$A92,T_TTAFStock[WeekIndex],74),BV92+'Grid_Incoming'!BW92-'Grid_Requirement'!BW92))</f>
        <v/>
      </c>
      <c r="BX92">
        <f>IF(COUNTIFS(T_StockCount[RM_Code],$A92,T_StockCount[WeekIndex],75)&gt;0,SUMIFS(T_StockCount[CountedQty],T_StockCount[RM_Code],$A92,T_StockCount[WeekIndex],75),IF((COUNTIFS(T_SelfStock[RM_Code],$A92,T_SelfStock[WeekIndex],75)&gt;0)*(COUNTIFS(T_TTAFStock[RM_Code],$A92,T_TTAFStock[WeekIndex],75)&gt;0)&gt;0,SUMIFS(T_SelfStock[Self_Qty],T_SelfStock[RM_Code],$A92,T_SelfStock[WeekIndex],75)+SUMIFS(T_TTAFStock[TTAF_Qty],T_TTAFStock[RM_Code],$A92,T_TTAFStock[WeekIndex],75),BW92+'Grid_Incoming'!BX92-'Grid_Requirement'!BX92))</f>
        <v/>
      </c>
      <c r="BY92">
        <f>IF(COUNTIFS(T_StockCount[RM_Code],$A92,T_StockCount[WeekIndex],76)&gt;0,SUMIFS(T_StockCount[CountedQty],T_StockCount[RM_Code],$A92,T_StockCount[WeekIndex],76),IF((COUNTIFS(T_SelfStock[RM_Code],$A92,T_SelfStock[WeekIndex],76)&gt;0)*(COUNTIFS(T_TTAFStock[RM_Code],$A92,T_TTAFStock[WeekIndex],76)&gt;0)&gt;0,SUMIFS(T_SelfStock[Self_Qty],T_SelfStock[RM_Code],$A92,T_SelfStock[WeekIndex],76)+SUMIFS(T_TTAFStock[TTAF_Qty],T_TTAFStock[RM_Code],$A92,T_TTAFStock[WeekIndex],76),BX92+'Grid_Incoming'!BY92-'Grid_Requirement'!BY92))</f>
        <v/>
      </c>
      <c r="BZ92">
        <f>IF(COUNTIFS(T_StockCount[RM_Code],$A92,T_StockCount[WeekIndex],77)&gt;0,SUMIFS(T_StockCount[CountedQty],T_StockCount[RM_Code],$A92,T_StockCount[WeekIndex],77),IF((COUNTIFS(T_SelfStock[RM_Code],$A92,T_SelfStock[WeekIndex],77)&gt;0)*(COUNTIFS(T_TTAFStock[RM_Code],$A92,T_TTAFStock[WeekIndex],77)&gt;0)&gt;0,SUMIFS(T_SelfStock[Self_Qty],T_SelfStock[RM_Code],$A92,T_SelfStock[WeekIndex],77)+SUMIFS(T_TTAFStock[TTAF_Qty],T_TTAFStock[RM_Code],$A92,T_TTAFStock[WeekIndex],77),BY92+'Grid_Incoming'!BZ92-'Grid_Requirement'!BZ92))</f>
        <v/>
      </c>
      <c r="CA92">
        <f>IF(COUNTIFS(T_StockCount[RM_Code],$A92,T_StockCount[WeekIndex],78)&gt;0,SUMIFS(T_StockCount[CountedQty],T_StockCount[RM_Code],$A92,T_StockCount[WeekIndex],78),IF((COUNTIFS(T_SelfStock[RM_Code],$A92,T_SelfStock[WeekIndex],78)&gt;0)*(COUNTIFS(T_TTAFStock[RM_Code],$A92,T_TTAFStock[WeekIndex],78)&gt;0)&gt;0,SUMIFS(T_SelfStock[Self_Qty],T_SelfStock[RM_Code],$A92,T_SelfStock[WeekIndex],78)+SUMIFS(T_TTAFStock[TTAF_Qty],T_TTAFStock[RM_Code],$A92,T_TTAFStock[WeekIndex],78),BZ92+'Grid_Incoming'!CA92-'Grid_Requirement'!CA92))</f>
        <v/>
      </c>
      <c r="CB92">
        <f>IF(COUNTIFS(T_StockCount[RM_Code],$A92,T_StockCount[WeekIndex],79)&gt;0,SUMIFS(T_StockCount[CountedQty],T_StockCount[RM_Code],$A92,T_StockCount[WeekIndex],79),IF((COUNTIFS(T_SelfStock[RM_Code],$A92,T_SelfStock[WeekIndex],79)&gt;0)*(COUNTIFS(T_TTAFStock[RM_Code],$A92,T_TTAFStock[WeekIndex],79)&gt;0)&gt;0,SUMIFS(T_SelfStock[Self_Qty],T_SelfStock[RM_Code],$A92,T_SelfStock[WeekIndex],79)+SUMIFS(T_TTAFStock[TTAF_Qty],T_TTAFStock[RM_Code],$A92,T_TTAFStock[WeekIndex],79),CA92+'Grid_Incoming'!CB92-'Grid_Requirement'!CB92))</f>
        <v/>
      </c>
      <c r="CC92">
        <f>IF(COUNTIFS(T_StockCount[RM_Code],$A92,T_StockCount[WeekIndex],80)&gt;0,SUMIFS(T_StockCount[CountedQty],T_StockCount[RM_Code],$A92,T_StockCount[WeekIndex],80),IF((COUNTIFS(T_SelfStock[RM_Code],$A92,T_SelfStock[WeekIndex],80)&gt;0)*(COUNTIFS(T_TTAFStock[RM_Code],$A92,T_TTAFStock[WeekIndex],80)&gt;0)&gt;0,SUMIFS(T_SelfStock[Self_Qty],T_SelfStock[RM_Code],$A92,T_SelfStock[WeekIndex],80)+SUMIFS(T_TTAFStock[TTAF_Qty],T_TTAFStock[RM_Code],$A92,T_TTAFStock[WeekIndex],80),CB92+'Grid_Incoming'!CC92-'Grid_Requirement'!CC92))</f>
        <v/>
      </c>
      <c r="CD92">
        <f>IF(COUNTIFS(T_StockCount[RM_Code],$A92,T_StockCount[WeekIndex],81)&gt;0,SUMIFS(T_StockCount[CountedQty],T_StockCount[RM_Code],$A92,T_StockCount[WeekIndex],81),IF((COUNTIFS(T_SelfStock[RM_Code],$A92,T_SelfStock[WeekIndex],81)&gt;0)*(COUNTIFS(T_TTAFStock[RM_Code],$A92,T_TTAFStock[WeekIndex],81)&gt;0)&gt;0,SUMIFS(T_SelfStock[Self_Qty],T_SelfStock[RM_Code],$A92,T_SelfStock[WeekIndex],81)+SUMIFS(T_TTAFStock[TTAF_Qty],T_TTAFStock[RM_Code],$A92,T_TTAFStock[WeekIndex],81),CC92+'Grid_Incoming'!CD92-'Grid_Requirement'!CD92))</f>
        <v/>
      </c>
      <c r="CE92">
        <f>IF(COUNTIFS(T_StockCount[RM_Code],$A92,T_StockCount[WeekIndex],82)&gt;0,SUMIFS(T_StockCount[CountedQty],T_StockCount[RM_Code],$A92,T_StockCount[WeekIndex],82),IF((COUNTIFS(T_SelfStock[RM_Code],$A92,T_SelfStock[WeekIndex],82)&gt;0)*(COUNTIFS(T_TTAFStock[RM_Code],$A92,T_TTAFStock[WeekIndex],82)&gt;0)&gt;0,SUMIFS(T_SelfStock[Self_Qty],T_SelfStock[RM_Code],$A92,T_SelfStock[WeekIndex],82)+SUMIFS(T_TTAFStock[TTAF_Qty],T_TTAFStock[RM_Code],$A92,T_TTAFStock[WeekIndex],82),CD92+'Grid_Incoming'!CE92-'Grid_Requirement'!CE92))</f>
        <v/>
      </c>
      <c r="CF92">
        <f>IF(COUNTIFS(T_StockCount[RM_Code],$A92,T_StockCount[WeekIndex],83)&gt;0,SUMIFS(T_StockCount[CountedQty],T_StockCount[RM_Code],$A92,T_StockCount[WeekIndex],83),IF((COUNTIFS(T_SelfStock[RM_Code],$A92,T_SelfStock[WeekIndex],83)&gt;0)*(COUNTIFS(T_TTAFStock[RM_Code],$A92,T_TTAFStock[WeekIndex],83)&gt;0)&gt;0,SUMIFS(T_SelfStock[Self_Qty],T_SelfStock[RM_Code],$A92,T_SelfStock[WeekIndex],83)+SUMIFS(T_TTAFStock[TTAF_Qty],T_TTAFStock[RM_Code],$A92,T_TTAFStock[WeekIndex],83),CE92+'Grid_Incoming'!CF92-'Grid_Requirement'!CF92))</f>
        <v/>
      </c>
      <c r="CG92">
        <f>IF(COUNTIFS(T_StockCount[RM_Code],$A92,T_StockCount[WeekIndex],84)&gt;0,SUMIFS(T_StockCount[CountedQty],T_StockCount[RM_Code],$A92,T_StockCount[WeekIndex],84),IF((COUNTIFS(T_SelfStock[RM_Code],$A92,T_SelfStock[WeekIndex],84)&gt;0)*(COUNTIFS(T_TTAFStock[RM_Code],$A92,T_TTAFStock[WeekIndex],84)&gt;0)&gt;0,SUMIFS(T_SelfStock[Self_Qty],T_SelfStock[RM_Code],$A92,T_SelfStock[WeekIndex],84)+SUMIFS(T_TTAFStock[TTAF_Qty],T_TTAFStock[RM_Code],$A92,T_TTAFStock[WeekIndex],84),CF92+'Grid_Incoming'!CG92-'Grid_Requirement'!CG92))</f>
        <v/>
      </c>
      <c r="CH92">
        <f>IF(COUNTIFS(T_StockCount[RM_Code],$A92,T_StockCount[WeekIndex],85)&gt;0,SUMIFS(T_StockCount[CountedQty],T_StockCount[RM_Code],$A92,T_StockCount[WeekIndex],85),IF((COUNTIFS(T_SelfStock[RM_Code],$A92,T_SelfStock[WeekIndex],85)&gt;0)*(COUNTIFS(T_TTAFStock[RM_Code],$A92,T_TTAFStock[WeekIndex],85)&gt;0)&gt;0,SUMIFS(T_SelfStock[Self_Qty],T_SelfStock[RM_Code],$A92,T_SelfStock[WeekIndex],85)+SUMIFS(T_TTAFStock[TTAF_Qty],T_TTAFStock[RM_Code],$A92,T_TTAFStock[WeekIndex],85),CG92+'Grid_Incoming'!CH92-'Grid_Requirement'!CH92))</f>
        <v/>
      </c>
      <c r="CI92">
        <f>IF(COUNTIFS(T_StockCount[RM_Code],$A92,T_StockCount[WeekIndex],86)&gt;0,SUMIFS(T_StockCount[CountedQty],T_StockCount[RM_Code],$A92,T_StockCount[WeekIndex],86),IF((COUNTIFS(T_SelfStock[RM_Code],$A92,T_SelfStock[WeekIndex],86)&gt;0)*(COUNTIFS(T_TTAFStock[RM_Code],$A92,T_TTAFStock[WeekIndex],86)&gt;0)&gt;0,SUMIFS(T_SelfStock[Self_Qty],T_SelfStock[RM_Code],$A92,T_SelfStock[WeekIndex],86)+SUMIFS(T_TTAFStock[TTAF_Qty],T_TTAFStock[RM_Code],$A92,T_TTAFStock[WeekIndex],86),CH92+'Grid_Incoming'!CI92-'Grid_Requirement'!CI92))</f>
        <v/>
      </c>
      <c r="CJ92">
        <f>IF(COUNTIFS(T_StockCount[RM_Code],$A92,T_StockCount[WeekIndex],87)&gt;0,SUMIFS(T_StockCount[CountedQty],T_StockCount[RM_Code],$A92,T_StockCount[WeekIndex],87),IF((COUNTIFS(T_SelfStock[RM_Code],$A92,T_SelfStock[WeekIndex],87)&gt;0)*(COUNTIFS(T_TTAFStock[RM_Code],$A92,T_TTAFStock[WeekIndex],87)&gt;0)&gt;0,SUMIFS(T_SelfStock[Self_Qty],T_SelfStock[RM_Code],$A92,T_SelfStock[WeekIndex],87)+SUMIFS(T_TTAFStock[TTAF_Qty],T_TTAFStock[RM_Code],$A92,T_TTAFStock[WeekIndex],87),CI92+'Grid_Incoming'!CJ92-'Grid_Requirement'!CJ92))</f>
        <v/>
      </c>
      <c r="CK92">
        <f>IF(COUNTIFS(T_StockCount[RM_Code],$A92,T_StockCount[WeekIndex],88)&gt;0,SUMIFS(T_StockCount[CountedQty],T_StockCount[RM_Code],$A92,T_StockCount[WeekIndex],88),IF((COUNTIFS(T_SelfStock[RM_Code],$A92,T_SelfStock[WeekIndex],88)&gt;0)*(COUNTIFS(T_TTAFStock[RM_Code],$A92,T_TTAFStock[WeekIndex],88)&gt;0)&gt;0,SUMIFS(T_SelfStock[Self_Qty],T_SelfStock[RM_Code],$A92,T_SelfStock[WeekIndex],88)+SUMIFS(T_TTAFStock[TTAF_Qty],T_TTAFStock[RM_Code],$A92,T_TTAFStock[WeekIndex],88),CJ92+'Grid_Incoming'!CK92-'Grid_Requirement'!CK92))</f>
        <v/>
      </c>
      <c r="CL92">
        <f>IF(COUNTIFS(T_StockCount[RM_Code],$A92,T_StockCount[WeekIndex],89)&gt;0,SUMIFS(T_StockCount[CountedQty],T_StockCount[RM_Code],$A92,T_StockCount[WeekIndex],89),IF((COUNTIFS(T_SelfStock[RM_Code],$A92,T_SelfStock[WeekIndex],89)&gt;0)*(COUNTIFS(T_TTAFStock[RM_Code],$A92,T_TTAFStock[WeekIndex],89)&gt;0)&gt;0,SUMIFS(T_SelfStock[Self_Qty],T_SelfStock[RM_Code],$A92,T_SelfStock[WeekIndex],89)+SUMIFS(T_TTAFStock[TTAF_Qty],T_TTAFStock[RM_Code],$A92,T_TTAFStock[WeekIndex],89),CK92+'Grid_Incoming'!CL92-'Grid_Requirement'!CL92))</f>
        <v/>
      </c>
      <c r="CM92">
        <f>IF(COUNTIFS(T_StockCount[RM_Code],$A92,T_StockCount[WeekIndex],90)&gt;0,SUMIFS(T_StockCount[CountedQty],T_StockCount[RM_Code],$A92,T_StockCount[WeekIndex],90),IF((COUNTIFS(T_SelfStock[RM_Code],$A92,T_SelfStock[WeekIndex],90)&gt;0)*(COUNTIFS(T_TTAFStock[RM_Code],$A92,T_TTAFStock[WeekIndex],90)&gt;0)&gt;0,SUMIFS(T_SelfStock[Self_Qty],T_SelfStock[RM_Code],$A92,T_SelfStock[WeekIndex],90)+SUMIFS(T_TTAFStock[TTAF_Qty],T_TTAFStock[RM_Code],$A92,T_TTAFStock[WeekIndex],90),CL92+'Grid_Incoming'!CM92-'Grid_Requirement'!CM92))</f>
        <v/>
      </c>
      <c r="CN92">
        <f>IF(COUNTIFS(T_StockCount[RM_Code],$A92,T_StockCount[WeekIndex],91)&gt;0,SUMIFS(T_StockCount[CountedQty],T_StockCount[RM_Code],$A92,T_StockCount[WeekIndex],91),IF((COUNTIFS(T_SelfStock[RM_Code],$A92,T_SelfStock[WeekIndex],91)&gt;0)*(COUNTIFS(T_TTAFStock[RM_Code],$A92,T_TTAFStock[WeekIndex],91)&gt;0)&gt;0,SUMIFS(T_SelfStock[Self_Qty],T_SelfStock[RM_Code],$A92,T_SelfStock[WeekIndex],91)+SUMIFS(T_TTAFStock[TTAF_Qty],T_TTAFStock[RM_Code],$A92,T_TTAFStock[WeekIndex],91),CM92+'Grid_Incoming'!CN92-'Grid_Requirement'!CN92))</f>
        <v/>
      </c>
      <c r="CO92">
        <f>IF(COUNTIFS(T_StockCount[RM_Code],$A92,T_StockCount[WeekIndex],92)&gt;0,SUMIFS(T_StockCount[CountedQty],T_StockCount[RM_Code],$A92,T_StockCount[WeekIndex],92),IF((COUNTIFS(T_SelfStock[RM_Code],$A92,T_SelfStock[WeekIndex],92)&gt;0)*(COUNTIFS(T_TTAFStock[RM_Code],$A92,T_TTAFStock[WeekIndex],92)&gt;0)&gt;0,SUMIFS(T_SelfStock[Self_Qty],T_SelfStock[RM_Code],$A92,T_SelfStock[WeekIndex],92)+SUMIFS(T_TTAFStock[TTAF_Qty],T_TTAFStock[RM_Code],$A92,T_TTAFStock[WeekIndex],92),CN92+'Grid_Incoming'!CO92-'Grid_Requirement'!CO92))</f>
        <v/>
      </c>
      <c r="CP92">
        <f>IF(COUNTIFS(T_StockCount[RM_Code],$A92,T_StockCount[WeekIndex],93)&gt;0,SUMIFS(T_StockCount[CountedQty],T_StockCount[RM_Code],$A92,T_StockCount[WeekIndex],93),IF((COUNTIFS(T_SelfStock[RM_Code],$A92,T_SelfStock[WeekIndex],93)&gt;0)*(COUNTIFS(T_TTAFStock[RM_Code],$A92,T_TTAFStock[WeekIndex],93)&gt;0)&gt;0,SUMIFS(T_SelfStock[Self_Qty],T_SelfStock[RM_Code],$A92,T_SelfStock[WeekIndex],93)+SUMIFS(T_TTAFStock[TTAF_Qty],T_TTAFStock[RM_Code],$A92,T_TTAFStock[WeekIndex],93),CO92+'Grid_Incoming'!CP92-'Grid_Requirement'!CP92))</f>
        <v/>
      </c>
      <c r="CQ92">
        <f>IF(COUNTIFS(T_StockCount[RM_Code],$A92,T_StockCount[WeekIndex],94)&gt;0,SUMIFS(T_StockCount[CountedQty],T_StockCount[RM_Code],$A92,T_StockCount[WeekIndex],94),IF((COUNTIFS(T_SelfStock[RM_Code],$A92,T_SelfStock[WeekIndex],94)&gt;0)*(COUNTIFS(T_TTAFStock[RM_Code],$A92,T_TTAFStock[WeekIndex],94)&gt;0)&gt;0,SUMIFS(T_SelfStock[Self_Qty],T_SelfStock[RM_Code],$A92,T_SelfStock[WeekIndex],94)+SUMIFS(T_TTAFStock[TTAF_Qty],T_TTAFStock[RM_Code],$A92,T_TTAFStock[WeekIndex],94),CP92+'Grid_Incoming'!CQ92-'Grid_Requirement'!CQ92))</f>
        <v/>
      </c>
      <c r="CR92">
        <f>IF(COUNTIFS(T_StockCount[RM_Code],$A92,T_StockCount[WeekIndex],95)&gt;0,SUMIFS(T_StockCount[CountedQty],T_StockCount[RM_Code],$A92,T_StockCount[WeekIndex],95),IF((COUNTIFS(T_SelfStock[RM_Code],$A92,T_SelfStock[WeekIndex],95)&gt;0)*(COUNTIFS(T_TTAFStock[RM_Code],$A92,T_TTAFStock[WeekIndex],95)&gt;0)&gt;0,SUMIFS(T_SelfStock[Self_Qty],T_SelfStock[RM_Code],$A92,T_SelfStock[WeekIndex],95)+SUMIFS(T_TTAFStock[TTAF_Qty],T_TTAFStock[RM_Code],$A92,T_TTAFStock[WeekIndex],95),CQ92+'Grid_Incoming'!CR92-'Grid_Requirement'!CR92))</f>
        <v/>
      </c>
      <c r="CS92">
        <f>IF(COUNTIFS(T_StockCount[RM_Code],$A92,T_StockCount[WeekIndex],96)&gt;0,SUMIFS(T_StockCount[CountedQty],T_StockCount[RM_Code],$A92,T_StockCount[WeekIndex],96),IF((COUNTIFS(T_SelfStock[RM_Code],$A92,T_SelfStock[WeekIndex],96)&gt;0)*(COUNTIFS(T_TTAFStock[RM_Code],$A92,T_TTAFStock[WeekIndex],96)&gt;0)&gt;0,SUMIFS(T_SelfStock[Self_Qty],T_SelfStock[RM_Code],$A92,T_SelfStock[WeekIndex],96)+SUMIFS(T_TTAFStock[TTAF_Qty],T_TTAFStock[RM_Code],$A92,T_TTAFStock[WeekIndex],96),CR92+'Grid_Incoming'!CS92-'Grid_Requirement'!CS92))</f>
        <v/>
      </c>
      <c r="CT92">
        <f>IF(COUNTIFS(T_StockCount[RM_Code],$A92,T_StockCount[WeekIndex],97)&gt;0,SUMIFS(T_StockCount[CountedQty],T_StockCount[RM_Code],$A92,T_StockCount[WeekIndex],97),IF((COUNTIFS(T_SelfStock[RM_Code],$A92,T_SelfStock[WeekIndex],97)&gt;0)*(COUNTIFS(T_TTAFStock[RM_Code],$A92,T_TTAFStock[WeekIndex],97)&gt;0)&gt;0,SUMIFS(T_SelfStock[Self_Qty],T_SelfStock[RM_Code],$A92,T_SelfStock[WeekIndex],97)+SUMIFS(T_TTAFStock[TTAF_Qty],T_TTAFStock[RM_Code],$A92,T_TTAFStock[WeekIndex],97),CS92+'Grid_Incoming'!CT92-'Grid_Requirement'!CT92))</f>
        <v/>
      </c>
      <c r="CU92">
        <f>IF(COUNTIFS(T_StockCount[RM_Code],$A92,T_StockCount[WeekIndex],98)&gt;0,SUMIFS(T_StockCount[CountedQty],T_StockCount[RM_Code],$A92,T_StockCount[WeekIndex],98),IF((COUNTIFS(T_SelfStock[RM_Code],$A92,T_SelfStock[WeekIndex],98)&gt;0)*(COUNTIFS(T_TTAFStock[RM_Code],$A92,T_TTAFStock[WeekIndex],98)&gt;0)&gt;0,SUMIFS(T_SelfStock[Self_Qty],T_SelfStock[RM_Code],$A92,T_SelfStock[WeekIndex],98)+SUMIFS(T_TTAFStock[TTAF_Qty],T_TTAFStock[RM_Code],$A92,T_TTAFStock[WeekIndex],98),CT92+'Grid_Incoming'!CU92-'Grid_Requirement'!CU92))</f>
        <v/>
      </c>
      <c r="CV92">
        <f>IF(COUNTIFS(T_StockCount[RM_Code],$A92,T_StockCount[WeekIndex],99)&gt;0,SUMIFS(T_StockCount[CountedQty],T_StockCount[RM_Code],$A92,T_StockCount[WeekIndex],99),IF((COUNTIFS(T_SelfStock[RM_Code],$A92,T_SelfStock[WeekIndex],99)&gt;0)*(COUNTIFS(T_TTAFStock[RM_Code],$A92,T_TTAFStock[WeekIndex],99)&gt;0)&gt;0,SUMIFS(T_SelfStock[Self_Qty],T_SelfStock[RM_Code],$A92,T_SelfStock[WeekIndex],99)+SUMIFS(T_TTAFStock[TTAF_Qty],T_TTAFStock[RM_Code],$A92,T_TTAFStock[WeekIndex],99),CU92+'Grid_Incoming'!CV92-'Grid_Requirement'!CV92))</f>
        <v/>
      </c>
      <c r="CW92">
        <f>IF(COUNTIFS(T_StockCount[RM_Code],$A92,T_StockCount[WeekIndex],100)&gt;0,SUMIFS(T_StockCount[CountedQty],T_StockCount[RM_Code],$A92,T_StockCount[WeekIndex],100),IF((COUNTIFS(T_SelfStock[RM_Code],$A92,T_SelfStock[WeekIndex],100)&gt;0)*(COUNTIFS(T_TTAFStock[RM_Code],$A92,T_TTAFStock[WeekIndex],100)&gt;0)&gt;0,SUMIFS(T_SelfStock[Self_Qty],T_SelfStock[RM_Code],$A92,T_SelfStock[WeekIndex],100)+SUMIFS(T_TTAFStock[TTAF_Qty],T_TTAFStock[RM_Code],$A92,T_TTAFStock[WeekIndex],100),CV92+'Grid_Incoming'!CW92-'Grid_Requirement'!CW92))</f>
        <v/>
      </c>
      <c r="CX92">
        <f>IF(COUNTIFS(T_StockCount[RM_Code],$A92,T_StockCount[WeekIndex],101)&gt;0,SUMIFS(T_StockCount[CountedQty],T_StockCount[RM_Code],$A92,T_StockCount[WeekIndex],101),IF((COUNTIFS(T_SelfStock[RM_Code],$A92,T_SelfStock[WeekIndex],101)&gt;0)*(COUNTIFS(T_TTAFStock[RM_Code],$A92,T_TTAFStock[WeekIndex],101)&gt;0)&gt;0,SUMIFS(T_SelfStock[Self_Qty],T_SelfStock[RM_Code],$A92,T_SelfStock[WeekIndex],101)+SUMIFS(T_TTAFStock[TTAF_Qty],T_TTAFStock[RM_Code],$A92,T_TTAFStock[WeekIndex],101),CW92+'Grid_Incoming'!CX92-'Grid_Requirement'!CX92))</f>
        <v/>
      </c>
      <c r="CY92">
        <f>IF(COUNTIFS(T_StockCount[RM_Code],$A92,T_StockCount[WeekIndex],102)&gt;0,SUMIFS(T_StockCount[CountedQty],T_StockCount[RM_Code],$A92,T_StockCount[WeekIndex],102),IF((COUNTIFS(T_SelfStock[RM_Code],$A92,T_SelfStock[WeekIndex],102)&gt;0)*(COUNTIFS(T_TTAFStock[RM_Code],$A92,T_TTAFStock[WeekIndex],102)&gt;0)&gt;0,SUMIFS(T_SelfStock[Self_Qty],T_SelfStock[RM_Code],$A92,T_SelfStock[WeekIndex],102)+SUMIFS(T_TTAFStock[TTAF_Qty],T_TTAFStock[RM_Code],$A92,T_TTAFStock[WeekIndex],102),CX92+'Grid_Incoming'!CY92-'Grid_Requirement'!CY92))</f>
        <v/>
      </c>
      <c r="CZ92">
        <f>IF(COUNTIFS(T_StockCount[RM_Code],$A92,T_StockCount[WeekIndex],103)&gt;0,SUMIFS(T_StockCount[CountedQty],T_StockCount[RM_Code],$A92,T_StockCount[WeekIndex],103),IF((COUNTIFS(T_SelfStock[RM_Code],$A92,T_SelfStock[WeekIndex],103)&gt;0)*(COUNTIFS(T_TTAFStock[RM_Code],$A92,T_TTAFStock[WeekIndex],103)&gt;0)&gt;0,SUMIFS(T_SelfStock[Self_Qty],T_SelfStock[RM_Code],$A92,T_SelfStock[WeekIndex],103)+SUMIFS(T_TTAFStock[TTAF_Qty],T_TTAFStock[RM_Code],$A92,T_TTAFStock[WeekIndex],103),CY92+'Grid_Incoming'!CZ92-'Grid_Requirement'!CZ92))</f>
        <v/>
      </c>
      <c r="DA92">
        <f>IF(COUNTIFS(T_StockCount[RM_Code],$A92,T_StockCount[WeekIndex],104)&gt;0,SUMIFS(T_StockCount[CountedQty],T_StockCount[RM_Code],$A92,T_StockCount[WeekIndex],104),IF((COUNTIFS(T_SelfStock[RM_Code],$A92,T_SelfStock[WeekIndex],104)&gt;0)*(COUNTIFS(T_TTAFStock[RM_Code],$A92,T_TTAFStock[WeekIndex],104)&gt;0)&gt;0,SUMIFS(T_SelfStock[Self_Qty],T_SelfStock[RM_Code],$A92,T_SelfStock[WeekIndex],104)+SUMIFS(T_TTAFStock[TTAF_Qty],T_TTAFStock[RM_Code],$A92,T_TTAFStock[WeekIndex],104),CZ92+'Grid_Incoming'!DA92-'Grid_Requirement'!DA92))</f>
        <v/>
      </c>
    </row>
    <row r="93">
      <c r="A93" t="inlineStr">
        <is>
          <t>CHEM-1030</t>
        </is>
      </c>
      <c r="B93">
        <f>IF(COUNTIFS(T_StockCount[RM_Code],$A93,T_StockCount[WeekIndex],1)&gt;0,SUMIFS(T_StockCount[CountedQty],T_StockCount[RM_Code],$A93,T_StockCount[WeekIndex],1),IF((COUNTIFS(T_SelfStock[RM_Code],$A93,T_SelfStock[WeekIndex],1)&gt;0)*(COUNTIFS(T_TTAFStock[RM_Code],$A93,T_TTAFStock[WeekIndex],1)&gt;0)&gt;0,SUMIFS(T_SelfStock[Self_Qty],T_SelfStock[RM_Code],$A93,T_SelfStock[WeekIndex],1)+SUMIFS(T_TTAFStock[TTAF_Qty],T_TTAFStock[RM_Code],$A93,T_TTAFStock[WeekIndex],1),IFERROR(INDEX(T_OpeningStock[Opening_Qty],MATCH($A93,T_OpeningStock[RM_Code],0)),0)+'Grid_Incoming'!B93-'Grid_Requirement'!B93))</f>
        <v/>
      </c>
      <c r="C93">
        <f>IF(COUNTIFS(T_StockCount[RM_Code],$A93,T_StockCount[WeekIndex],2)&gt;0,SUMIFS(T_StockCount[CountedQty],T_StockCount[RM_Code],$A93,T_StockCount[WeekIndex],2),IF((COUNTIFS(T_SelfStock[RM_Code],$A93,T_SelfStock[WeekIndex],2)&gt;0)*(COUNTIFS(T_TTAFStock[RM_Code],$A93,T_TTAFStock[WeekIndex],2)&gt;0)&gt;0,SUMIFS(T_SelfStock[Self_Qty],T_SelfStock[RM_Code],$A93,T_SelfStock[WeekIndex],2)+SUMIFS(T_TTAFStock[TTAF_Qty],T_TTAFStock[RM_Code],$A93,T_TTAFStock[WeekIndex],2),B93+'Grid_Incoming'!C93-'Grid_Requirement'!C93))</f>
        <v/>
      </c>
      <c r="D93">
        <f>IF(COUNTIFS(T_StockCount[RM_Code],$A93,T_StockCount[WeekIndex],3)&gt;0,SUMIFS(T_StockCount[CountedQty],T_StockCount[RM_Code],$A93,T_StockCount[WeekIndex],3),IF((COUNTIFS(T_SelfStock[RM_Code],$A93,T_SelfStock[WeekIndex],3)&gt;0)*(COUNTIFS(T_TTAFStock[RM_Code],$A93,T_TTAFStock[WeekIndex],3)&gt;0)&gt;0,SUMIFS(T_SelfStock[Self_Qty],T_SelfStock[RM_Code],$A93,T_SelfStock[WeekIndex],3)+SUMIFS(T_TTAFStock[TTAF_Qty],T_TTAFStock[RM_Code],$A93,T_TTAFStock[WeekIndex],3),C93+'Grid_Incoming'!D93-'Grid_Requirement'!D93))</f>
        <v/>
      </c>
      <c r="E93">
        <f>IF(COUNTIFS(T_StockCount[RM_Code],$A93,T_StockCount[WeekIndex],4)&gt;0,SUMIFS(T_StockCount[CountedQty],T_StockCount[RM_Code],$A93,T_StockCount[WeekIndex],4),IF((COUNTIFS(T_SelfStock[RM_Code],$A93,T_SelfStock[WeekIndex],4)&gt;0)*(COUNTIFS(T_TTAFStock[RM_Code],$A93,T_TTAFStock[WeekIndex],4)&gt;0)&gt;0,SUMIFS(T_SelfStock[Self_Qty],T_SelfStock[RM_Code],$A93,T_SelfStock[WeekIndex],4)+SUMIFS(T_TTAFStock[TTAF_Qty],T_TTAFStock[RM_Code],$A93,T_TTAFStock[WeekIndex],4),D93+'Grid_Incoming'!E93-'Grid_Requirement'!E93))</f>
        <v/>
      </c>
      <c r="F93">
        <f>IF(COUNTIFS(T_StockCount[RM_Code],$A93,T_StockCount[WeekIndex],5)&gt;0,SUMIFS(T_StockCount[CountedQty],T_StockCount[RM_Code],$A93,T_StockCount[WeekIndex],5),IF((COUNTIFS(T_SelfStock[RM_Code],$A93,T_SelfStock[WeekIndex],5)&gt;0)*(COUNTIFS(T_TTAFStock[RM_Code],$A93,T_TTAFStock[WeekIndex],5)&gt;0)&gt;0,SUMIFS(T_SelfStock[Self_Qty],T_SelfStock[RM_Code],$A93,T_SelfStock[WeekIndex],5)+SUMIFS(T_TTAFStock[TTAF_Qty],T_TTAFStock[RM_Code],$A93,T_TTAFStock[WeekIndex],5),E93+'Grid_Incoming'!F93-'Grid_Requirement'!F93))</f>
        <v/>
      </c>
      <c r="G93">
        <f>IF(COUNTIFS(T_StockCount[RM_Code],$A93,T_StockCount[WeekIndex],6)&gt;0,SUMIFS(T_StockCount[CountedQty],T_StockCount[RM_Code],$A93,T_StockCount[WeekIndex],6),IF((COUNTIFS(T_SelfStock[RM_Code],$A93,T_SelfStock[WeekIndex],6)&gt;0)*(COUNTIFS(T_TTAFStock[RM_Code],$A93,T_TTAFStock[WeekIndex],6)&gt;0)&gt;0,SUMIFS(T_SelfStock[Self_Qty],T_SelfStock[RM_Code],$A93,T_SelfStock[WeekIndex],6)+SUMIFS(T_TTAFStock[TTAF_Qty],T_TTAFStock[RM_Code],$A93,T_TTAFStock[WeekIndex],6),F93+'Grid_Incoming'!G93-'Grid_Requirement'!G93))</f>
        <v/>
      </c>
      <c r="H93">
        <f>IF(COUNTIFS(T_StockCount[RM_Code],$A93,T_StockCount[WeekIndex],7)&gt;0,SUMIFS(T_StockCount[CountedQty],T_StockCount[RM_Code],$A93,T_StockCount[WeekIndex],7),IF((COUNTIFS(T_SelfStock[RM_Code],$A93,T_SelfStock[WeekIndex],7)&gt;0)*(COUNTIFS(T_TTAFStock[RM_Code],$A93,T_TTAFStock[WeekIndex],7)&gt;0)&gt;0,SUMIFS(T_SelfStock[Self_Qty],T_SelfStock[RM_Code],$A93,T_SelfStock[WeekIndex],7)+SUMIFS(T_TTAFStock[TTAF_Qty],T_TTAFStock[RM_Code],$A93,T_TTAFStock[WeekIndex],7),G93+'Grid_Incoming'!H93-'Grid_Requirement'!H93))</f>
        <v/>
      </c>
      <c r="I93">
        <f>IF(COUNTIFS(T_StockCount[RM_Code],$A93,T_StockCount[WeekIndex],8)&gt;0,SUMIFS(T_StockCount[CountedQty],T_StockCount[RM_Code],$A93,T_StockCount[WeekIndex],8),IF((COUNTIFS(T_SelfStock[RM_Code],$A93,T_SelfStock[WeekIndex],8)&gt;0)*(COUNTIFS(T_TTAFStock[RM_Code],$A93,T_TTAFStock[WeekIndex],8)&gt;0)&gt;0,SUMIFS(T_SelfStock[Self_Qty],T_SelfStock[RM_Code],$A93,T_SelfStock[WeekIndex],8)+SUMIFS(T_TTAFStock[TTAF_Qty],T_TTAFStock[RM_Code],$A93,T_TTAFStock[WeekIndex],8),H93+'Grid_Incoming'!I93-'Grid_Requirement'!I93))</f>
        <v/>
      </c>
      <c r="J93">
        <f>IF(COUNTIFS(T_StockCount[RM_Code],$A93,T_StockCount[WeekIndex],9)&gt;0,SUMIFS(T_StockCount[CountedQty],T_StockCount[RM_Code],$A93,T_StockCount[WeekIndex],9),IF((COUNTIFS(T_SelfStock[RM_Code],$A93,T_SelfStock[WeekIndex],9)&gt;0)*(COUNTIFS(T_TTAFStock[RM_Code],$A93,T_TTAFStock[WeekIndex],9)&gt;0)&gt;0,SUMIFS(T_SelfStock[Self_Qty],T_SelfStock[RM_Code],$A93,T_SelfStock[WeekIndex],9)+SUMIFS(T_TTAFStock[TTAF_Qty],T_TTAFStock[RM_Code],$A93,T_TTAFStock[WeekIndex],9),I93+'Grid_Incoming'!J93-'Grid_Requirement'!J93))</f>
        <v/>
      </c>
      <c r="K93">
        <f>IF(COUNTIFS(T_StockCount[RM_Code],$A93,T_StockCount[WeekIndex],10)&gt;0,SUMIFS(T_StockCount[CountedQty],T_StockCount[RM_Code],$A93,T_StockCount[WeekIndex],10),IF((COUNTIFS(T_SelfStock[RM_Code],$A93,T_SelfStock[WeekIndex],10)&gt;0)*(COUNTIFS(T_TTAFStock[RM_Code],$A93,T_TTAFStock[WeekIndex],10)&gt;0)&gt;0,SUMIFS(T_SelfStock[Self_Qty],T_SelfStock[RM_Code],$A93,T_SelfStock[WeekIndex],10)+SUMIFS(T_TTAFStock[TTAF_Qty],T_TTAFStock[RM_Code],$A93,T_TTAFStock[WeekIndex],10),J93+'Grid_Incoming'!K93-'Grid_Requirement'!K93))</f>
        <v/>
      </c>
      <c r="L93">
        <f>IF(COUNTIFS(T_StockCount[RM_Code],$A93,T_StockCount[WeekIndex],11)&gt;0,SUMIFS(T_StockCount[CountedQty],T_StockCount[RM_Code],$A93,T_StockCount[WeekIndex],11),IF((COUNTIFS(T_SelfStock[RM_Code],$A93,T_SelfStock[WeekIndex],11)&gt;0)*(COUNTIFS(T_TTAFStock[RM_Code],$A93,T_TTAFStock[WeekIndex],11)&gt;0)&gt;0,SUMIFS(T_SelfStock[Self_Qty],T_SelfStock[RM_Code],$A93,T_SelfStock[WeekIndex],11)+SUMIFS(T_TTAFStock[TTAF_Qty],T_TTAFStock[RM_Code],$A93,T_TTAFStock[WeekIndex],11),K93+'Grid_Incoming'!L93-'Grid_Requirement'!L93))</f>
        <v/>
      </c>
      <c r="M93">
        <f>IF(COUNTIFS(T_StockCount[RM_Code],$A93,T_StockCount[WeekIndex],12)&gt;0,SUMIFS(T_StockCount[CountedQty],T_StockCount[RM_Code],$A93,T_StockCount[WeekIndex],12),IF((COUNTIFS(T_SelfStock[RM_Code],$A93,T_SelfStock[WeekIndex],12)&gt;0)*(COUNTIFS(T_TTAFStock[RM_Code],$A93,T_TTAFStock[WeekIndex],12)&gt;0)&gt;0,SUMIFS(T_SelfStock[Self_Qty],T_SelfStock[RM_Code],$A93,T_SelfStock[WeekIndex],12)+SUMIFS(T_TTAFStock[TTAF_Qty],T_TTAFStock[RM_Code],$A93,T_TTAFStock[WeekIndex],12),L93+'Grid_Incoming'!M93-'Grid_Requirement'!M93))</f>
        <v/>
      </c>
      <c r="N93">
        <f>IF(COUNTIFS(T_StockCount[RM_Code],$A93,T_StockCount[WeekIndex],13)&gt;0,SUMIFS(T_StockCount[CountedQty],T_StockCount[RM_Code],$A93,T_StockCount[WeekIndex],13),IF((COUNTIFS(T_SelfStock[RM_Code],$A93,T_SelfStock[WeekIndex],13)&gt;0)*(COUNTIFS(T_TTAFStock[RM_Code],$A93,T_TTAFStock[WeekIndex],13)&gt;0)&gt;0,SUMIFS(T_SelfStock[Self_Qty],T_SelfStock[RM_Code],$A93,T_SelfStock[WeekIndex],13)+SUMIFS(T_TTAFStock[TTAF_Qty],T_TTAFStock[RM_Code],$A93,T_TTAFStock[WeekIndex],13),M93+'Grid_Incoming'!N93-'Grid_Requirement'!N93))</f>
        <v/>
      </c>
      <c r="O93">
        <f>IF(COUNTIFS(T_StockCount[RM_Code],$A93,T_StockCount[WeekIndex],14)&gt;0,SUMIFS(T_StockCount[CountedQty],T_StockCount[RM_Code],$A93,T_StockCount[WeekIndex],14),IF((COUNTIFS(T_SelfStock[RM_Code],$A93,T_SelfStock[WeekIndex],14)&gt;0)*(COUNTIFS(T_TTAFStock[RM_Code],$A93,T_TTAFStock[WeekIndex],14)&gt;0)&gt;0,SUMIFS(T_SelfStock[Self_Qty],T_SelfStock[RM_Code],$A93,T_SelfStock[WeekIndex],14)+SUMIFS(T_TTAFStock[TTAF_Qty],T_TTAFStock[RM_Code],$A93,T_TTAFStock[WeekIndex],14),N93+'Grid_Incoming'!O93-'Grid_Requirement'!O93))</f>
        <v/>
      </c>
      <c r="P93">
        <f>IF(COUNTIFS(T_StockCount[RM_Code],$A93,T_StockCount[WeekIndex],15)&gt;0,SUMIFS(T_StockCount[CountedQty],T_StockCount[RM_Code],$A93,T_StockCount[WeekIndex],15),IF((COUNTIFS(T_SelfStock[RM_Code],$A93,T_SelfStock[WeekIndex],15)&gt;0)*(COUNTIFS(T_TTAFStock[RM_Code],$A93,T_TTAFStock[WeekIndex],15)&gt;0)&gt;0,SUMIFS(T_SelfStock[Self_Qty],T_SelfStock[RM_Code],$A93,T_SelfStock[WeekIndex],15)+SUMIFS(T_TTAFStock[TTAF_Qty],T_TTAFStock[RM_Code],$A93,T_TTAFStock[WeekIndex],15),O93+'Grid_Incoming'!P93-'Grid_Requirement'!P93))</f>
        <v/>
      </c>
      <c r="Q93">
        <f>IF(COUNTIFS(T_StockCount[RM_Code],$A93,T_StockCount[WeekIndex],16)&gt;0,SUMIFS(T_StockCount[CountedQty],T_StockCount[RM_Code],$A93,T_StockCount[WeekIndex],16),IF((COUNTIFS(T_SelfStock[RM_Code],$A93,T_SelfStock[WeekIndex],16)&gt;0)*(COUNTIFS(T_TTAFStock[RM_Code],$A93,T_TTAFStock[WeekIndex],16)&gt;0)&gt;0,SUMIFS(T_SelfStock[Self_Qty],T_SelfStock[RM_Code],$A93,T_SelfStock[WeekIndex],16)+SUMIFS(T_TTAFStock[TTAF_Qty],T_TTAFStock[RM_Code],$A93,T_TTAFStock[WeekIndex],16),P93+'Grid_Incoming'!Q93-'Grid_Requirement'!Q93))</f>
        <v/>
      </c>
      <c r="R93">
        <f>IF(COUNTIFS(T_StockCount[RM_Code],$A93,T_StockCount[WeekIndex],17)&gt;0,SUMIFS(T_StockCount[CountedQty],T_StockCount[RM_Code],$A93,T_StockCount[WeekIndex],17),IF((COUNTIFS(T_SelfStock[RM_Code],$A93,T_SelfStock[WeekIndex],17)&gt;0)*(COUNTIFS(T_TTAFStock[RM_Code],$A93,T_TTAFStock[WeekIndex],17)&gt;0)&gt;0,SUMIFS(T_SelfStock[Self_Qty],T_SelfStock[RM_Code],$A93,T_SelfStock[WeekIndex],17)+SUMIFS(T_TTAFStock[TTAF_Qty],T_TTAFStock[RM_Code],$A93,T_TTAFStock[WeekIndex],17),Q93+'Grid_Incoming'!R93-'Grid_Requirement'!R93))</f>
        <v/>
      </c>
      <c r="S93">
        <f>IF(COUNTIFS(T_StockCount[RM_Code],$A93,T_StockCount[WeekIndex],18)&gt;0,SUMIFS(T_StockCount[CountedQty],T_StockCount[RM_Code],$A93,T_StockCount[WeekIndex],18),IF((COUNTIFS(T_SelfStock[RM_Code],$A93,T_SelfStock[WeekIndex],18)&gt;0)*(COUNTIFS(T_TTAFStock[RM_Code],$A93,T_TTAFStock[WeekIndex],18)&gt;0)&gt;0,SUMIFS(T_SelfStock[Self_Qty],T_SelfStock[RM_Code],$A93,T_SelfStock[WeekIndex],18)+SUMIFS(T_TTAFStock[TTAF_Qty],T_TTAFStock[RM_Code],$A93,T_TTAFStock[WeekIndex],18),R93+'Grid_Incoming'!S93-'Grid_Requirement'!S93))</f>
        <v/>
      </c>
      <c r="T93">
        <f>IF(COUNTIFS(T_StockCount[RM_Code],$A93,T_StockCount[WeekIndex],19)&gt;0,SUMIFS(T_StockCount[CountedQty],T_StockCount[RM_Code],$A93,T_StockCount[WeekIndex],19),IF((COUNTIFS(T_SelfStock[RM_Code],$A93,T_SelfStock[WeekIndex],19)&gt;0)*(COUNTIFS(T_TTAFStock[RM_Code],$A93,T_TTAFStock[WeekIndex],19)&gt;0)&gt;0,SUMIFS(T_SelfStock[Self_Qty],T_SelfStock[RM_Code],$A93,T_SelfStock[WeekIndex],19)+SUMIFS(T_TTAFStock[TTAF_Qty],T_TTAFStock[RM_Code],$A93,T_TTAFStock[WeekIndex],19),S93+'Grid_Incoming'!T93-'Grid_Requirement'!T93))</f>
        <v/>
      </c>
      <c r="U93">
        <f>IF(COUNTIFS(T_StockCount[RM_Code],$A93,T_StockCount[WeekIndex],20)&gt;0,SUMIFS(T_StockCount[CountedQty],T_StockCount[RM_Code],$A93,T_StockCount[WeekIndex],20),IF((COUNTIFS(T_SelfStock[RM_Code],$A93,T_SelfStock[WeekIndex],20)&gt;0)*(COUNTIFS(T_TTAFStock[RM_Code],$A93,T_TTAFStock[WeekIndex],20)&gt;0)&gt;0,SUMIFS(T_SelfStock[Self_Qty],T_SelfStock[RM_Code],$A93,T_SelfStock[WeekIndex],20)+SUMIFS(T_TTAFStock[TTAF_Qty],T_TTAFStock[RM_Code],$A93,T_TTAFStock[WeekIndex],20),T93+'Grid_Incoming'!U93-'Grid_Requirement'!U93))</f>
        <v/>
      </c>
      <c r="V93">
        <f>IF(COUNTIFS(T_StockCount[RM_Code],$A93,T_StockCount[WeekIndex],21)&gt;0,SUMIFS(T_StockCount[CountedQty],T_StockCount[RM_Code],$A93,T_StockCount[WeekIndex],21),IF((COUNTIFS(T_SelfStock[RM_Code],$A93,T_SelfStock[WeekIndex],21)&gt;0)*(COUNTIFS(T_TTAFStock[RM_Code],$A93,T_TTAFStock[WeekIndex],21)&gt;0)&gt;0,SUMIFS(T_SelfStock[Self_Qty],T_SelfStock[RM_Code],$A93,T_SelfStock[WeekIndex],21)+SUMIFS(T_TTAFStock[TTAF_Qty],T_TTAFStock[RM_Code],$A93,T_TTAFStock[WeekIndex],21),U93+'Grid_Incoming'!V93-'Grid_Requirement'!V93))</f>
        <v/>
      </c>
      <c r="W93">
        <f>IF(COUNTIFS(T_StockCount[RM_Code],$A93,T_StockCount[WeekIndex],22)&gt;0,SUMIFS(T_StockCount[CountedQty],T_StockCount[RM_Code],$A93,T_StockCount[WeekIndex],22),IF((COUNTIFS(T_SelfStock[RM_Code],$A93,T_SelfStock[WeekIndex],22)&gt;0)*(COUNTIFS(T_TTAFStock[RM_Code],$A93,T_TTAFStock[WeekIndex],22)&gt;0)&gt;0,SUMIFS(T_SelfStock[Self_Qty],T_SelfStock[RM_Code],$A93,T_SelfStock[WeekIndex],22)+SUMIFS(T_TTAFStock[TTAF_Qty],T_TTAFStock[RM_Code],$A93,T_TTAFStock[WeekIndex],22),V93+'Grid_Incoming'!W93-'Grid_Requirement'!W93))</f>
        <v/>
      </c>
      <c r="X93">
        <f>IF(COUNTIFS(T_StockCount[RM_Code],$A93,T_StockCount[WeekIndex],23)&gt;0,SUMIFS(T_StockCount[CountedQty],T_StockCount[RM_Code],$A93,T_StockCount[WeekIndex],23),IF((COUNTIFS(T_SelfStock[RM_Code],$A93,T_SelfStock[WeekIndex],23)&gt;0)*(COUNTIFS(T_TTAFStock[RM_Code],$A93,T_TTAFStock[WeekIndex],23)&gt;0)&gt;0,SUMIFS(T_SelfStock[Self_Qty],T_SelfStock[RM_Code],$A93,T_SelfStock[WeekIndex],23)+SUMIFS(T_TTAFStock[TTAF_Qty],T_TTAFStock[RM_Code],$A93,T_TTAFStock[WeekIndex],23),W93+'Grid_Incoming'!X93-'Grid_Requirement'!X93))</f>
        <v/>
      </c>
      <c r="Y93">
        <f>IF(COUNTIFS(T_StockCount[RM_Code],$A93,T_StockCount[WeekIndex],24)&gt;0,SUMIFS(T_StockCount[CountedQty],T_StockCount[RM_Code],$A93,T_StockCount[WeekIndex],24),IF((COUNTIFS(T_SelfStock[RM_Code],$A93,T_SelfStock[WeekIndex],24)&gt;0)*(COUNTIFS(T_TTAFStock[RM_Code],$A93,T_TTAFStock[WeekIndex],24)&gt;0)&gt;0,SUMIFS(T_SelfStock[Self_Qty],T_SelfStock[RM_Code],$A93,T_SelfStock[WeekIndex],24)+SUMIFS(T_TTAFStock[TTAF_Qty],T_TTAFStock[RM_Code],$A93,T_TTAFStock[WeekIndex],24),X93+'Grid_Incoming'!Y93-'Grid_Requirement'!Y93))</f>
        <v/>
      </c>
      <c r="Z93">
        <f>IF(COUNTIFS(T_StockCount[RM_Code],$A93,T_StockCount[WeekIndex],25)&gt;0,SUMIFS(T_StockCount[CountedQty],T_StockCount[RM_Code],$A93,T_StockCount[WeekIndex],25),IF((COUNTIFS(T_SelfStock[RM_Code],$A93,T_SelfStock[WeekIndex],25)&gt;0)*(COUNTIFS(T_TTAFStock[RM_Code],$A93,T_TTAFStock[WeekIndex],25)&gt;0)&gt;0,SUMIFS(T_SelfStock[Self_Qty],T_SelfStock[RM_Code],$A93,T_SelfStock[WeekIndex],25)+SUMIFS(T_TTAFStock[TTAF_Qty],T_TTAFStock[RM_Code],$A93,T_TTAFStock[WeekIndex],25),Y93+'Grid_Incoming'!Z93-'Grid_Requirement'!Z93))</f>
        <v/>
      </c>
      <c r="AA93">
        <f>IF(COUNTIFS(T_StockCount[RM_Code],$A93,T_StockCount[WeekIndex],26)&gt;0,SUMIFS(T_StockCount[CountedQty],T_StockCount[RM_Code],$A93,T_StockCount[WeekIndex],26),IF((COUNTIFS(T_SelfStock[RM_Code],$A93,T_SelfStock[WeekIndex],26)&gt;0)*(COUNTIFS(T_TTAFStock[RM_Code],$A93,T_TTAFStock[WeekIndex],26)&gt;0)&gt;0,SUMIFS(T_SelfStock[Self_Qty],T_SelfStock[RM_Code],$A93,T_SelfStock[WeekIndex],26)+SUMIFS(T_TTAFStock[TTAF_Qty],T_TTAFStock[RM_Code],$A93,T_TTAFStock[WeekIndex],26),Z93+'Grid_Incoming'!AA93-'Grid_Requirement'!AA93))</f>
        <v/>
      </c>
      <c r="AB93">
        <f>IF(COUNTIFS(T_StockCount[RM_Code],$A93,T_StockCount[WeekIndex],27)&gt;0,SUMIFS(T_StockCount[CountedQty],T_StockCount[RM_Code],$A93,T_StockCount[WeekIndex],27),IF((COUNTIFS(T_SelfStock[RM_Code],$A93,T_SelfStock[WeekIndex],27)&gt;0)*(COUNTIFS(T_TTAFStock[RM_Code],$A93,T_TTAFStock[WeekIndex],27)&gt;0)&gt;0,SUMIFS(T_SelfStock[Self_Qty],T_SelfStock[RM_Code],$A93,T_SelfStock[WeekIndex],27)+SUMIFS(T_TTAFStock[TTAF_Qty],T_TTAFStock[RM_Code],$A93,T_TTAFStock[WeekIndex],27),AA93+'Grid_Incoming'!AB93-'Grid_Requirement'!AB93))</f>
        <v/>
      </c>
      <c r="AC93">
        <f>IF(COUNTIFS(T_StockCount[RM_Code],$A93,T_StockCount[WeekIndex],28)&gt;0,SUMIFS(T_StockCount[CountedQty],T_StockCount[RM_Code],$A93,T_StockCount[WeekIndex],28),IF((COUNTIFS(T_SelfStock[RM_Code],$A93,T_SelfStock[WeekIndex],28)&gt;0)*(COUNTIFS(T_TTAFStock[RM_Code],$A93,T_TTAFStock[WeekIndex],28)&gt;0)&gt;0,SUMIFS(T_SelfStock[Self_Qty],T_SelfStock[RM_Code],$A93,T_SelfStock[WeekIndex],28)+SUMIFS(T_TTAFStock[TTAF_Qty],T_TTAFStock[RM_Code],$A93,T_TTAFStock[WeekIndex],28),AB93+'Grid_Incoming'!AC93-'Grid_Requirement'!AC93))</f>
        <v/>
      </c>
      <c r="AD93">
        <f>IF(COUNTIFS(T_StockCount[RM_Code],$A93,T_StockCount[WeekIndex],29)&gt;0,SUMIFS(T_StockCount[CountedQty],T_StockCount[RM_Code],$A93,T_StockCount[WeekIndex],29),IF((COUNTIFS(T_SelfStock[RM_Code],$A93,T_SelfStock[WeekIndex],29)&gt;0)*(COUNTIFS(T_TTAFStock[RM_Code],$A93,T_TTAFStock[WeekIndex],29)&gt;0)&gt;0,SUMIFS(T_SelfStock[Self_Qty],T_SelfStock[RM_Code],$A93,T_SelfStock[WeekIndex],29)+SUMIFS(T_TTAFStock[TTAF_Qty],T_TTAFStock[RM_Code],$A93,T_TTAFStock[WeekIndex],29),AC93+'Grid_Incoming'!AD93-'Grid_Requirement'!AD93))</f>
        <v/>
      </c>
      <c r="AE93">
        <f>IF(COUNTIFS(T_StockCount[RM_Code],$A93,T_StockCount[WeekIndex],30)&gt;0,SUMIFS(T_StockCount[CountedQty],T_StockCount[RM_Code],$A93,T_StockCount[WeekIndex],30),IF((COUNTIFS(T_SelfStock[RM_Code],$A93,T_SelfStock[WeekIndex],30)&gt;0)*(COUNTIFS(T_TTAFStock[RM_Code],$A93,T_TTAFStock[WeekIndex],30)&gt;0)&gt;0,SUMIFS(T_SelfStock[Self_Qty],T_SelfStock[RM_Code],$A93,T_SelfStock[WeekIndex],30)+SUMIFS(T_TTAFStock[TTAF_Qty],T_TTAFStock[RM_Code],$A93,T_TTAFStock[WeekIndex],30),AD93+'Grid_Incoming'!AE93-'Grid_Requirement'!AE93))</f>
        <v/>
      </c>
      <c r="AF93">
        <f>IF(COUNTIFS(T_StockCount[RM_Code],$A93,T_StockCount[WeekIndex],31)&gt;0,SUMIFS(T_StockCount[CountedQty],T_StockCount[RM_Code],$A93,T_StockCount[WeekIndex],31),IF((COUNTIFS(T_SelfStock[RM_Code],$A93,T_SelfStock[WeekIndex],31)&gt;0)*(COUNTIFS(T_TTAFStock[RM_Code],$A93,T_TTAFStock[WeekIndex],31)&gt;0)&gt;0,SUMIFS(T_SelfStock[Self_Qty],T_SelfStock[RM_Code],$A93,T_SelfStock[WeekIndex],31)+SUMIFS(T_TTAFStock[TTAF_Qty],T_TTAFStock[RM_Code],$A93,T_TTAFStock[WeekIndex],31),AE93+'Grid_Incoming'!AF93-'Grid_Requirement'!AF93))</f>
        <v/>
      </c>
      <c r="AG93">
        <f>IF(COUNTIFS(T_StockCount[RM_Code],$A93,T_StockCount[WeekIndex],32)&gt;0,SUMIFS(T_StockCount[CountedQty],T_StockCount[RM_Code],$A93,T_StockCount[WeekIndex],32),IF((COUNTIFS(T_SelfStock[RM_Code],$A93,T_SelfStock[WeekIndex],32)&gt;0)*(COUNTIFS(T_TTAFStock[RM_Code],$A93,T_TTAFStock[WeekIndex],32)&gt;0)&gt;0,SUMIFS(T_SelfStock[Self_Qty],T_SelfStock[RM_Code],$A93,T_SelfStock[WeekIndex],32)+SUMIFS(T_TTAFStock[TTAF_Qty],T_TTAFStock[RM_Code],$A93,T_TTAFStock[WeekIndex],32),AF93+'Grid_Incoming'!AG93-'Grid_Requirement'!AG93))</f>
        <v/>
      </c>
      <c r="AH93">
        <f>IF(COUNTIFS(T_StockCount[RM_Code],$A93,T_StockCount[WeekIndex],33)&gt;0,SUMIFS(T_StockCount[CountedQty],T_StockCount[RM_Code],$A93,T_StockCount[WeekIndex],33),IF((COUNTIFS(T_SelfStock[RM_Code],$A93,T_SelfStock[WeekIndex],33)&gt;0)*(COUNTIFS(T_TTAFStock[RM_Code],$A93,T_TTAFStock[WeekIndex],33)&gt;0)&gt;0,SUMIFS(T_SelfStock[Self_Qty],T_SelfStock[RM_Code],$A93,T_SelfStock[WeekIndex],33)+SUMIFS(T_TTAFStock[TTAF_Qty],T_TTAFStock[RM_Code],$A93,T_TTAFStock[WeekIndex],33),AG93+'Grid_Incoming'!AH93-'Grid_Requirement'!AH93))</f>
        <v/>
      </c>
      <c r="AI93">
        <f>IF(COUNTIFS(T_StockCount[RM_Code],$A93,T_StockCount[WeekIndex],34)&gt;0,SUMIFS(T_StockCount[CountedQty],T_StockCount[RM_Code],$A93,T_StockCount[WeekIndex],34),IF((COUNTIFS(T_SelfStock[RM_Code],$A93,T_SelfStock[WeekIndex],34)&gt;0)*(COUNTIFS(T_TTAFStock[RM_Code],$A93,T_TTAFStock[WeekIndex],34)&gt;0)&gt;0,SUMIFS(T_SelfStock[Self_Qty],T_SelfStock[RM_Code],$A93,T_SelfStock[WeekIndex],34)+SUMIFS(T_TTAFStock[TTAF_Qty],T_TTAFStock[RM_Code],$A93,T_TTAFStock[WeekIndex],34),AH93+'Grid_Incoming'!AI93-'Grid_Requirement'!AI93))</f>
        <v/>
      </c>
      <c r="AJ93">
        <f>IF(COUNTIFS(T_StockCount[RM_Code],$A93,T_StockCount[WeekIndex],35)&gt;0,SUMIFS(T_StockCount[CountedQty],T_StockCount[RM_Code],$A93,T_StockCount[WeekIndex],35),IF((COUNTIFS(T_SelfStock[RM_Code],$A93,T_SelfStock[WeekIndex],35)&gt;0)*(COUNTIFS(T_TTAFStock[RM_Code],$A93,T_TTAFStock[WeekIndex],35)&gt;0)&gt;0,SUMIFS(T_SelfStock[Self_Qty],T_SelfStock[RM_Code],$A93,T_SelfStock[WeekIndex],35)+SUMIFS(T_TTAFStock[TTAF_Qty],T_TTAFStock[RM_Code],$A93,T_TTAFStock[WeekIndex],35),AI93+'Grid_Incoming'!AJ93-'Grid_Requirement'!AJ93))</f>
        <v/>
      </c>
      <c r="AK93">
        <f>IF(COUNTIFS(T_StockCount[RM_Code],$A93,T_StockCount[WeekIndex],36)&gt;0,SUMIFS(T_StockCount[CountedQty],T_StockCount[RM_Code],$A93,T_StockCount[WeekIndex],36),IF((COUNTIFS(T_SelfStock[RM_Code],$A93,T_SelfStock[WeekIndex],36)&gt;0)*(COUNTIFS(T_TTAFStock[RM_Code],$A93,T_TTAFStock[WeekIndex],36)&gt;0)&gt;0,SUMIFS(T_SelfStock[Self_Qty],T_SelfStock[RM_Code],$A93,T_SelfStock[WeekIndex],36)+SUMIFS(T_TTAFStock[TTAF_Qty],T_TTAFStock[RM_Code],$A93,T_TTAFStock[WeekIndex],36),AJ93+'Grid_Incoming'!AK93-'Grid_Requirement'!AK93))</f>
        <v/>
      </c>
      <c r="AL93">
        <f>IF(COUNTIFS(T_StockCount[RM_Code],$A93,T_StockCount[WeekIndex],37)&gt;0,SUMIFS(T_StockCount[CountedQty],T_StockCount[RM_Code],$A93,T_StockCount[WeekIndex],37),IF((COUNTIFS(T_SelfStock[RM_Code],$A93,T_SelfStock[WeekIndex],37)&gt;0)*(COUNTIFS(T_TTAFStock[RM_Code],$A93,T_TTAFStock[WeekIndex],37)&gt;0)&gt;0,SUMIFS(T_SelfStock[Self_Qty],T_SelfStock[RM_Code],$A93,T_SelfStock[WeekIndex],37)+SUMIFS(T_TTAFStock[TTAF_Qty],T_TTAFStock[RM_Code],$A93,T_TTAFStock[WeekIndex],37),AK93+'Grid_Incoming'!AL93-'Grid_Requirement'!AL93))</f>
        <v/>
      </c>
      <c r="AM93">
        <f>IF(COUNTIFS(T_StockCount[RM_Code],$A93,T_StockCount[WeekIndex],38)&gt;0,SUMIFS(T_StockCount[CountedQty],T_StockCount[RM_Code],$A93,T_StockCount[WeekIndex],38),IF((COUNTIFS(T_SelfStock[RM_Code],$A93,T_SelfStock[WeekIndex],38)&gt;0)*(COUNTIFS(T_TTAFStock[RM_Code],$A93,T_TTAFStock[WeekIndex],38)&gt;0)&gt;0,SUMIFS(T_SelfStock[Self_Qty],T_SelfStock[RM_Code],$A93,T_SelfStock[WeekIndex],38)+SUMIFS(T_TTAFStock[TTAF_Qty],T_TTAFStock[RM_Code],$A93,T_TTAFStock[WeekIndex],38),AL93+'Grid_Incoming'!AM93-'Grid_Requirement'!AM93))</f>
        <v/>
      </c>
      <c r="AN93">
        <f>IF(COUNTIFS(T_StockCount[RM_Code],$A93,T_StockCount[WeekIndex],39)&gt;0,SUMIFS(T_StockCount[CountedQty],T_StockCount[RM_Code],$A93,T_StockCount[WeekIndex],39),IF((COUNTIFS(T_SelfStock[RM_Code],$A93,T_SelfStock[WeekIndex],39)&gt;0)*(COUNTIFS(T_TTAFStock[RM_Code],$A93,T_TTAFStock[WeekIndex],39)&gt;0)&gt;0,SUMIFS(T_SelfStock[Self_Qty],T_SelfStock[RM_Code],$A93,T_SelfStock[WeekIndex],39)+SUMIFS(T_TTAFStock[TTAF_Qty],T_TTAFStock[RM_Code],$A93,T_TTAFStock[WeekIndex],39),AM93+'Grid_Incoming'!AN93-'Grid_Requirement'!AN93))</f>
        <v/>
      </c>
      <c r="AO93">
        <f>IF(COUNTIFS(T_StockCount[RM_Code],$A93,T_StockCount[WeekIndex],40)&gt;0,SUMIFS(T_StockCount[CountedQty],T_StockCount[RM_Code],$A93,T_StockCount[WeekIndex],40),IF((COUNTIFS(T_SelfStock[RM_Code],$A93,T_SelfStock[WeekIndex],40)&gt;0)*(COUNTIFS(T_TTAFStock[RM_Code],$A93,T_TTAFStock[WeekIndex],40)&gt;0)&gt;0,SUMIFS(T_SelfStock[Self_Qty],T_SelfStock[RM_Code],$A93,T_SelfStock[WeekIndex],40)+SUMIFS(T_TTAFStock[TTAF_Qty],T_TTAFStock[RM_Code],$A93,T_TTAFStock[WeekIndex],40),AN93+'Grid_Incoming'!AO93-'Grid_Requirement'!AO93))</f>
        <v/>
      </c>
      <c r="AP93">
        <f>IF(COUNTIFS(T_StockCount[RM_Code],$A93,T_StockCount[WeekIndex],41)&gt;0,SUMIFS(T_StockCount[CountedQty],T_StockCount[RM_Code],$A93,T_StockCount[WeekIndex],41),IF((COUNTIFS(T_SelfStock[RM_Code],$A93,T_SelfStock[WeekIndex],41)&gt;0)*(COUNTIFS(T_TTAFStock[RM_Code],$A93,T_TTAFStock[WeekIndex],41)&gt;0)&gt;0,SUMIFS(T_SelfStock[Self_Qty],T_SelfStock[RM_Code],$A93,T_SelfStock[WeekIndex],41)+SUMIFS(T_TTAFStock[TTAF_Qty],T_TTAFStock[RM_Code],$A93,T_TTAFStock[WeekIndex],41),AO93+'Grid_Incoming'!AP93-'Grid_Requirement'!AP93))</f>
        <v/>
      </c>
      <c r="AQ93">
        <f>IF(COUNTIFS(T_StockCount[RM_Code],$A93,T_StockCount[WeekIndex],42)&gt;0,SUMIFS(T_StockCount[CountedQty],T_StockCount[RM_Code],$A93,T_StockCount[WeekIndex],42),IF((COUNTIFS(T_SelfStock[RM_Code],$A93,T_SelfStock[WeekIndex],42)&gt;0)*(COUNTIFS(T_TTAFStock[RM_Code],$A93,T_TTAFStock[WeekIndex],42)&gt;0)&gt;0,SUMIFS(T_SelfStock[Self_Qty],T_SelfStock[RM_Code],$A93,T_SelfStock[WeekIndex],42)+SUMIFS(T_TTAFStock[TTAF_Qty],T_TTAFStock[RM_Code],$A93,T_TTAFStock[WeekIndex],42),AP93+'Grid_Incoming'!AQ93-'Grid_Requirement'!AQ93))</f>
        <v/>
      </c>
      <c r="AR93">
        <f>IF(COUNTIFS(T_StockCount[RM_Code],$A93,T_StockCount[WeekIndex],43)&gt;0,SUMIFS(T_StockCount[CountedQty],T_StockCount[RM_Code],$A93,T_StockCount[WeekIndex],43),IF((COUNTIFS(T_SelfStock[RM_Code],$A93,T_SelfStock[WeekIndex],43)&gt;0)*(COUNTIFS(T_TTAFStock[RM_Code],$A93,T_TTAFStock[WeekIndex],43)&gt;0)&gt;0,SUMIFS(T_SelfStock[Self_Qty],T_SelfStock[RM_Code],$A93,T_SelfStock[WeekIndex],43)+SUMIFS(T_TTAFStock[TTAF_Qty],T_TTAFStock[RM_Code],$A93,T_TTAFStock[WeekIndex],43),AQ93+'Grid_Incoming'!AR93-'Grid_Requirement'!AR93))</f>
        <v/>
      </c>
      <c r="AS93">
        <f>IF(COUNTIFS(T_StockCount[RM_Code],$A93,T_StockCount[WeekIndex],44)&gt;0,SUMIFS(T_StockCount[CountedQty],T_StockCount[RM_Code],$A93,T_StockCount[WeekIndex],44),IF((COUNTIFS(T_SelfStock[RM_Code],$A93,T_SelfStock[WeekIndex],44)&gt;0)*(COUNTIFS(T_TTAFStock[RM_Code],$A93,T_TTAFStock[WeekIndex],44)&gt;0)&gt;0,SUMIFS(T_SelfStock[Self_Qty],T_SelfStock[RM_Code],$A93,T_SelfStock[WeekIndex],44)+SUMIFS(T_TTAFStock[TTAF_Qty],T_TTAFStock[RM_Code],$A93,T_TTAFStock[WeekIndex],44),AR93+'Grid_Incoming'!AS93-'Grid_Requirement'!AS93))</f>
        <v/>
      </c>
      <c r="AT93">
        <f>IF(COUNTIFS(T_StockCount[RM_Code],$A93,T_StockCount[WeekIndex],45)&gt;0,SUMIFS(T_StockCount[CountedQty],T_StockCount[RM_Code],$A93,T_StockCount[WeekIndex],45),IF((COUNTIFS(T_SelfStock[RM_Code],$A93,T_SelfStock[WeekIndex],45)&gt;0)*(COUNTIFS(T_TTAFStock[RM_Code],$A93,T_TTAFStock[WeekIndex],45)&gt;0)&gt;0,SUMIFS(T_SelfStock[Self_Qty],T_SelfStock[RM_Code],$A93,T_SelfStock[WeekIndex],45)+SUMIFS(T_TTAFStock[TTAF_Qty],T_TTAFStock[RM_Code],$A93,T_TTAFStock[WeekIndex],45),AS93+'Grid_Incoming'!AT93-'Grid_Requirement'!AT93))</f>
        <v/>
      </c>
      <c r="AU93">
        <f>IF(COUNTIFS(T_StockCount[RM_Code],$A93,T_StockCount[WeekIndex],46)&gt;0,SUMIFS(T_StockCount[CountedQty],T_StockCount[RM_Code],$A93,T_StockCount[WeekIndex],46),IF((COUNTIFS(T_SelfStock[RM_Code],$A93,T_SelfStock[WeekIndex],46)&gt;0)*(COUNTIFS(T_TTAFStock[RM_Code],$A93,T_TTAFStock[WeekIndex],46)&gt;0)&gt;0,SUMIFS(T_SelfStock[Self_Qty],T_SelfStock[RM_Code],$A93,T_SelfStock[WeekIndex],46)+SUMIFS(T_TTAFStock[TTAF_Qty],T_TTAFStock[RM_Code],$A93,T_TTAFStock[WeekIndex],46),AT93+'Grid_Incoming'!AU93-'Grid_Requirement'!AU93))</f>
        <v/>
      </c>
      <c r="AV93">
        <f>IF(COUNTIFS(T_StockCount[RM_Code],$A93,T_StockCount[WeekIndex],47)&gt;0,SUMIFS(T_StockCount[CountedQty],T_StockCount[RM_Code],$A93,T_StockCount[WeekIndex],47),IF((COUNTIFS(T_SelfStock[RM_Code],$A93,T_SelfStock[WeekIndex],47)&gt;0)*(COUNTIFS(T_TTAFStock[RM_Code],$A93,T_TTAFStock[WeekIndex],47)&gt;0)&gt;0,SUMIFS(T_SelfStock[Self_Qty],T_SelfStock[RM_Code],$A93,T_SelfStock[WeekIndex],47)+SUMIFS(T_TTAFStock[TTAF_Qty],T_TTAFStock[RM_Code],$A93,T_TTAFStock[WeekIndex],47),AU93+'Grid_Incoming'!AV93-'Grid_Requirement'!AV93))</f>
        <v/>
      </c>
      <c r="AW93">
        <f>IF(COUNTIFS(T_StockCount[RM_Code],$A93,T_StockCount[WeekIndex],48)&gt;0,SUMIFS(T_StockCount[CountedQty],T_StockCount[RM_Code],$A93,T_StockCount[WeekIndex],48),IF((COUNTIFS(T_SelfStock[RM_Code],$A93,T_SelfStock[WeekIndex],48)&gt;0)*(COUNTIFS(T_TTAFStock[RM_Code],$A93,T_TTAFStock[WeekIndex],48)&gt;0)&gt;0,SUMIFS(T_SelfStock[Self_Qty],T_SelfStock[RM_Code],$A93,T_SelfStock[WeekIndex],48)+SUMIFS(T_TTAFStock[TTAF_Qty],T_TTAFStock[RM_Code],$A93,T_TTAFStock[WeekIndex],48),AV93+'Grid_Incoming'!AW93-'Grid_Requirement'!AW93))</f>
        <v/>
      </c>
      <c r="AX93">
        <f>IF(COUNTIFS(T_StockCount[RM_Code],$A93,T_StockCount[WeekIndex],49)&gt;0,SUMIFS(T_StockCount[CountedQty],T_StockCount[RM_Code],$A93,T_StockCount[WeekIndex],49),IF((COUNTIFS(T_SelfStock[RM_Code],$A93,T_SelfStock[WeekIndex],49)&gt;0)*(COUNTIFS(T_TTAFStock[RM_Code],$A93,T_TTAFStock[WeekIndex],49)&gt;0)&gt;0,SUMIFS(T_SelfStock[Self_Qty],T_SelfStock[RM_Code],$A93,T_SelfStock[WeekIndex],49)+SUMIFS(T_TTAFStock[TTAF_Qty],T_TTAFStock[RM_Code],$A93,T_TTAFStock[WeekIndex],49),AW93+'Grid_Incoming'!AX93-'Grid_Requirement'!AX93))</f>
        <v/>
      </c>
      <c r="AY93">
        <f>IF(COUNTIFS(T_StockCount[RM_Code],$A93,T_StockCount[WeekIndex],50)&gt;0,SUMIFS(T_StockCount[CountedQty],T_StockCount[RM_Code],$A93,T_StockCount[WeekIndex],50),IF((COUNTIFS(T_SelfStock[RM_Code],$A93,T_SelfStock[WeekIndex],50)&gt;0)*(COUNTIFS(T_TTAFStock[RM_Code],$A93,T_TTAFStock[WeekIndex],50)&gt;0)&gt;0,SUMIFS(T_SelfStock[Self_Qty],T_SelfStock[RM_Code],$A93,T_SelfStock[WeekIndex],50)+SUMIFS(T_TTAFStock[TTAF_Qty],T_TTAFStock[RM_Code],$A93,T_TTAFStock[WeekIndex],50),AX93+'Grid_Incoming'!AY93-'Grid_Requirement'!AY93))</f>
        <v/>
      </c>
      <c r="AZ93">
        <f>IF(COUNTIFS(T_StockCount[RM_Code],$A93,T_StockCount[WeekIndex],51)&gt;0,SUMIFS(T_StockCount[CountedQty],T_StockCount[RM_Code],$A93,T_StockCount[WeekIndex],51),IF((COUNTIFS(T_SelfStock[RM_Code],$A93,T_SelfStock[WeekIndex],51)&gt;0)*(COUNTIFS(T_TTAFStock[RM_Code],$A93,T_TTAFStock[WeekIndex],51)&gt;0)&gt;0,SUMIFS(T_SelfStock[Self_Qty],T_SelfStock[RM_Code],$A93,T_SelfStock[WeekIndex],51)+SUMIFS(T_TTAFStock[TTAF_Qty],T_TTAFStock[RM_Code],$A93,T_TTAFStock[WeekIndex],51),AY93+'Grid_Incoming'!AZ93-'Grid_Requirement'!AZ93))</f>
        <v/>
      </c>
      <c r="BA93">
        <f>IF(COUNTIFS(T_StockCount[RM_Code],$A93,T_StockCount[WeekIndex],52)&gt;0,SUMIFS(T_StockCount[CountedQty],T_StockCount[RM_Code],$A93,T_StockCount[WeekIndex],52),IF((COUNTIFS(T_SelfStock[RM_Code],$A93,T_SelfStock[WeekIndex],52)&gt;0)*(COUNTIFS(T_TTAFStock[RM_Code],$A93,T_TTAFStock[WeekIndex],52)&gt;0)&gt;0,SUMIFS(T_SelfStock[Self_Qty],T_SelfStock[RM_Code],$A93,T_SelfStock[WeekIndex],52)+SUMIFS(T_TTAFStock[TTAF_Qty],T_TTAFStock[RM_Code],$A93,T_TTAFStock[WeekIndex],52),AZ93+'Grid_Incoming'!BA93-'Grid_Requirement'!BA93))</f>
        <v/>
      </c>
      <c r="BB93">
        <f>IF(COUNTIFS(T_StockCount[RM_Code],$A93,T_StockCount[WeekIndex],53)&gt;0,SUMIFS(T_StockCount[CountedQty],T_StockCount[RM_Code],$A93,T_StockCount[WeekIndex],53),IF((COUNTIFS(T_SelfStock[RM_Code],$A93,T_SelfStock[WeekIndex],53)&gt;0)*(COUNTIFS(T_TTAFStock[RM_Code],$A93,T_TTAFStock[WeekIndex],53)&gt;0)&gt;0,SUMIFS(T_SelfStock[Self_Qty],T_SelfStock[RM_Code],$A93,T_SelfStock[WeekIndex],53)+SUMIFS(T_TTAFStock[TTAF_Qty],T_TTAFStock[RM_Code],$A93,T_TTAFStock[WeekIndex],53),BA93+'Grid_Incoming'!BB93-'Grid_Requirement'!BB93))</f>
        <v/>
      </c>
      <c r="BC93">
        <f>IF(COUNTIFS(T_StockCount[RM_Code],$A93,T_StockCount[WeekIndex],54)&gt;0,SUMIFS(T_StockCount[CountedQty],T_StockCount[RM_Code],$A93,T_StockCount[WeekIndex],54),IF((COUNTIFS(T_SelfStock[RM_Code],$A93,T_SelfStock[WeekIndex],54)&gt;0)*(COUNTIFS(T_TTAFStock[RM_Code],$A93,T_TTAFStock[WeekIndex],54)&gt;0)&gt;0,SUMIFS(T_SelfStock[Self_Qty],T_SelfStock[RM_Code],$A93,T_SelfStock[WeekIndex],54)+SUMIFS(T_TTAFStock[TTAF_Qty],T_TTAFStock[RM_Code],$A93,T_TTAFStock[WeekIndex],54),BB93+'Grid_Incoming'!BC93-'Grid_Requirement'!BC93))</f>
        <v/>
      </c>
      <c r="BD93">
        <f>IF(COUNTIFS(T_StockCount[RM_Code],$A93,T_StockCount[WeekIndex],55)&gt;0,SUMIFS(T_StockCount[CountedQty],T_StockCount[RM_Code],$A93,T_StockCount[WeekIndex],55),IF((COUNTIFS(T_SelfStock[RM_Code],$A93,T_SelfStock[WeekIndex],55)&gt;0)*(COUNTIFS(T_TTAFStock[RM_Code],$A93,T_TTAFStock[WeekIndex],55)&gt;0)&gt;0,SUMIFS(T_SelfStock[Self_Qty],T_SelfStock[RM_Code],$A93,T_SelfStock[WeekIndex],55)+SUMIFS(T_TTAFStock[TTAF_Qty],T_TTAFStock[RM_Code],$A93,T_TTAFStock[WeekIndex],55),BC93+'Grid_Incoming'!BD93-'Grid_Requirement'!BD93))</f>
        <v/>
      </c>
      <c r="BE93">
        <f>IF(COUNTIFS(T_StockCount[RM_Code],$A93,T_StockCount[WeekIndex],56)&gt;0,SUMIFS(T_StockCount[CountedQty],T_StockCount[RM_Code],$A93,T_StockCount[WeekIndex],56),IF((COUNTIFS(T_SelfStock[RM_Code],$A93,T_SelfStock[WeekIndex],56)&gt;0)*(COUNTIFS(T_TTAFStock[RM_Code],$A93,T_TTAFStock[WeekIndex],56)&gt;0)&gt;0,SUMIFS(T_SelfStock[Self_Qty],T_SelfStock[RM_Code],$A93,T_SelfStock[WeekIndex],56)+SUMIFS(T_TTAFStock[TTAF_Qty],T_TTAFStock[RM_Code],$A93,T_TTAFStock[WeekIndex],56),BD93+'Grid_Incoming'!BE93-'Grid_Requirement'!BE93))</f>
        <v/>
      </c>
      <c r="BF93">
        <f>IF(COUNTIFS(T_StockCount[RM_Code],$A93,T_StockCount[WeekIndex],57)&gt;0,SUMIFS(T_StockCount[CountedQty],T_StockCount[RM_Code],$A93,T_StockCount[WeekIndex],57),IF((COUNTIFS(T_SelfStock[RM_Code],$A93,T_SelfStock[WeekIndex],57)&gt;0)*(COUNTIFS(T_TTAFStock[RM_Code],$A93,T_TTAFStock[WeekIndex],57)&gt;0)&gt;0,SUMIFS(T_SelfStock[Self_Qty],T_SelfStock[RM_Code],$A93,T_SelfStock[WeekIndex],57)+SUMIFS(T_TTAFStock[TTAF_Qty],T_TTAFStock[RM_Code],$A93,T_TTAFStock[WeekIndex],57),BE93+'Grid_Incoming'!BF93-'Grid_Requirement'!BF93))</f>
        <v/>
      </c>
      <c r="BG93">
        <f>IF(COUNTIFS(T_StockCount[RM_Code],$A93,T_StockCount[WeekIndex],58)&gt;0,SUMIFS(T_StockCount[CountedQty],T_StockCount[RM_Code],$A93,T_StockCount[WeekIndex],58),IF((COUNTIFS(T_SelfStock[RM_Code],$A93,T_SelfStock[WeekIndex],58)&gt;0)*(COUNTIFS(T_TTAFStock[RM_Code],$A93,T_TTAFStock[WeekIndex],58)&gt;0)&gt;0,SUMIFS(T_SelfStock[Self_Qty],T_SelfStock[RM_Code],$A93,T_SelfStock[WeekIndex],58)+SUMIFS(T_TTAFStock[TTAF_Qty],T_TTAFStock[RM_Code],$A93,T_TTAFStock[WeekIndex],58),BF93+'Grid_Incoming'!BG93-'Grid_Requirement'!BG93))</f>
        <v/>
      </c>
      <c r="BH93">
        <f>IF(COUNTIFS(T_StockCount[RM_Code],$A93,T_StockCount[WeekIndex],59)&gt;0,SUMIFS(T_StockCount[CountedQty],T_StockCount[RM_Code],$A93,T_StockCount[WeekIndex],59),IF((COUNTIFS(T_SelfStock[RM_Code],$A93,T_SelfStock[WeekIndex],59)&gt;0)*(COUNTIFS(T_TTAFStock[RM_Code],$A93,T_TTAFStock[WeekIndex],59)&gt;0)&gt;0,SUMIFS(T_SelfStock[Self_Qty],T_SelfStock[RM_Code],$A93,T_SelfStock[WeekIndex],59)+SUMIFS(T_TTAFStock[TTAF_Qty],T_TTAFStock[RM_Code],$A93,T_TTAFStock[WeekIndex],59),BG93+'Grid_Incoming'!BH93-'Grid_Requirement'!BH93))</f>
        <v/>
      </c>
      <c r="BI93">
        <f>IF(COUNTIFS(T_StockCount[RM_Code],$A93,T_StockCount[WeekIndex],60)&gt;0,SUMIFS(T_StockCount[CountedQty],T_StockCount[RM_Code],$A93,T_StockCount[WeekIndex],60),IF((COUNTIFS(T_SelfStock[RM_Code],$A93,T_SelfStock[WeekIndex],60)&gt;0)*(COUNTIFS(T_TTAFStock[RM_Code],$A93,T_TTAFStock[WeekIndex],60)&gt;0)&gt;0,SUMIFS(T_SelfStock[Self_Qty],T_SelfStock[RM_Code],$A93,T_SelfStock[WeekIndex],60)+SUMIFS(T_TTAFStock[TTAF_Qty],T_TTAFStock[RM_Code],$A93,T_TTAFStock[WeekIndex],60),BH93+'Grid_Incoming'!BI93-'Grid_Requirement'!BI93))</f>
        <v/>
      </c>
      <c r="BJ93">
        <f>IF(COUNTIFS(T_StockCount[RM_Code],$A93,T_StockCount[WeekIndex],61)&gt;0,SUMIFS(T_StockCount[CountedQty],T_StockCount[RM_Code],$A93,T_StockCount[WeekIndex],61),IF((COUNTIFS(T_SelfStock[RM_Code],$A93,T_SelfStock[WeekIndex],61)&gt;0)*(COUNTIFS(T_TTAFStock[RM_Code],$A93,T_TTAFStock[WeekIndex],61)&gt;0)&gt;0,SUMIFS(T_SelfStock[Self_Qty],T_SelfStock[RM_Code],$A93,T_SelfStock[WeekIndex],61)+SUMIFS(T_TTAFStock[TTAF_Qty],T_TTAFStock[RM_Code],$A93,T_TTAFStock[WeekIndex],61),BI93+'Grid_Incoming'!BJ93-'Grid_Requirement'!BJ93))</f>
        <v/>
      </c>
      <c r="BK93">
        <f>IF(COUNTIFS(T_StockCount[RM_Code],$A93,T_StockCount[WeekIndex],62)&gt;0,SUMIFS(T_StockCount[CountedQty],T_StockCount[RM_Code],$A93,T_StockCount[WeekIndex],62),IF((COUNTIFS(T_SelfStock[RM_Code],$A93,T_SelfStock[WeekIndex],62)&gt;0)*(COUNTIFS(T_TTAFStock[RM_Code],$A93,T_TTAFStock[WeekIndex],62)&gt;0)&gt;0,SUMIFS(T_SelfStock[Self_Qty],T_SelfStock[RM_Code],$A93,T_SelfStock[WeekIndex],62)+SUMIFS(T_TTAFStock[TTAF_Qty],T_TTAFStock[RM_Code],$A93,T_TTAFStock[WeekIndex],62),BJ93+'Grid_Incoming'!BK93-'Grid_Requirement'!BK93))</f>
        <v/>
      </c>
      <c r="BL93">
        <f>IF(COUNTIFS(T_StockCount[RM_Code],$A93,T_StockCount[WeekIndex],63)&gt;0,SUMIFS(T_StockCount[CountedQty],T_StockCount[RM_Code],$A93,T_StockCount[WeekIndex],63),IF((COUNTIFS(T_SelfStock[RM_Code],$A93,T_SelfStock[WeekIndex],63)&gt;0)*(COUNTIFS(T_TTAFStock[RM_Code],$A93,T_TTAFStock[WeekIndex],63)&gt;0)&gt;0,SUMIFS(T_SelfStock[Self_Qty],T_SelfStock[RM_Code],$A93,T_SelfStock[WeekIndex],63)+SUMIFS(T_TTAFStock[TTAF_Qty],T_TTAFStock[RM_Code],$A93,T_TTAFStock[WeekIndex],63),BK93+'Grid_Incoming'!BL93-'Grid_Requirement'!BL93))</f>
        <v/>
      </c>
      <c r="BM93">
        <f>IF(COUNTIFS(T_StockCount[RM_Code],$A93,T_StockCount[WeekIndex],64)&gt;0,SUMIFS(T_StockCount[CountedQty],T_StockCount[RM_Code],$A93,T_StockCount[WeekIndex],64),IF((COUNTIFS(T_SelfStock[RM_Code],$A93,T_SelfStock[WeekIndex],64)&gt;0)*(COUNTIFS(T_TTAFStock[RM_Code],$A93,T_TTAFStock[WeekIndex],64)&gt;0)&gt;0,SUMIFS(T_SelfStock[Self_Qty],T_SelfStock[RM_Code],$A93,T_SelfStock[WeekIndex],64)+SUMIFS(T_TTAFStock[TTAF_Qty],T_TTAFStock[RM_Code],$A93,T_TTAFStock[WeekIndex],64),BL93+'Grid_Incoming'!BM93-'Grid_Requirement'!BM93))</f>
        <v/>
      </c>
      <c r="BN93">
        <f>IF(COUNTIFS(T_StockCount[RM_Code],$A93,T_StockCount[WeekIndex],65)&gt;0,SUMIFS(T_StockCount[CountedQty],T_StockCount[RM_Code],$A93,T_StockCount[WeekIndex],65),IF((COUNTIFS(T_SelfStock[RM_Code],$A93,T_SelfStock[WeekIndex],65)&gt;0)*(COUNTIFS(T_TTAFStock[RM_Code],$A93,T_TTAFStock[WeekIndex],65)&gt;0)&gt;0,SUMIFS(T_SelfStock[Self_Qty],T_SelfStock[RM_Code],$A93,T_SelfStock[WeekIndex],65)+SUMIFS(T_TTAFStock[TTAF_Qty],T_TTAFStock[RM_Code],$A93,T_TTAFStock[WeekIndex],65),BM93+'Grid_Incoming'!BN93-'Grid_Requirement'!BN93))</f>
        <v/>
      </c>
      <c r="BO93">
        <f>IF(COUNTIFS(T_StockCount[RM_Code],$A93,T_StockCount[WeekIndex],66)&gt;0,SUMIFS(T_StockCount[CountedQty],T_StockCount[RM_Code],$A93,T_StockCount[WeekIndex],66),IF((COUNTIFS(T_SelfStock[RM_Code],$A93,T_SelfStock[WeekIndex],66)&gt;0)*(COUNTIFS(T_TTAFStock[RM_Code],$A93,T_TTAFStock[WeekIndex],66)&gt;0)&gt;0,SUMIFS(T_SelfStock[Self_Qty],T_SelfStock[RM_Code],$A93,T_SelfStock[WeekIndex],66)+SUMIFS(T_TTAFStock[TTAF_Qty],T_TTAFStock[RM_Code],$A93,T_TTAFStock[WeekIndex],66),BN93+'Grid_Incoming'!BO93-'Grid_Requirement'!BO93))</f>
        <v/>
      </c>
      <c r="BP93">
        <f>IF(COUNTIFS(T_StockCount[RM_Code],$A93,T_StockCount[WeekIndex],67)&gt;0,SUMIFS(T_StockCount[CountedQty],T_StockCount[RM_Code],$A93,T_StockCount[WeekIndex],67),IF((COUNTIFS(T_SelfStock[RM_Code],$A93,T_SelfStock[WeekIndex],67)&gt;0)*(COUNTIFS(T_TTAFStock[RM_Code],$A93,T_TTAFStock[WeekIndex],67)&gt;0)&gt;0,SUMIFS(T_SelfStock[Self_Qty],T_SelfStock[RM_Code],$A93,T_SelfStock[WeekIndex],67)+SUMIFS(T_TTAFStock[TTAF_Qty],T_TTAFStock[RM_Code],$A93,T_TTAFStock[WeekIndex],67),BO93+'Grid_Incoming'!BP93-'Grid_Requirement'!BP93))</f>
        <v/>
      </c>
      <c r="BQ93">
        <f>IF(COUNTIFS(T_StockCount[RM_Code],$A93,T_StockCount[WeekIndex],68)&gt;0,SUMIFS(T_StockCount[CountedQty],T_StockCount[RM_Code],$A93,T_StockCount[WeekIndex],68),IF((COUNTIFS(T_SelfStock[RM_Code],$A93,T_SelfStock[WeekIndex],68)&gt;0)*(COUNTIFS(T_TTAFStock[RM_Code],$A93,T_TTAFStock[WeekIndex],68)&gt;0)&gt;0,SUMIFS(T_SelfStock[Self_Qty],T_SelfStock[RM_Code],$A93,T_SelfStock[WeekIndex],68)+SUMIFS(T_TTAFStock[TTAF_Qty],T_TTAFStock[RM_Code],$A93,T_TTAFStock[WeekIndex],68),BP93+'Grid_Incoming'!BQ93-'Grid_Requirement'!BQ93))</f>
        <v/>
      </c>
      <c r="BR93">
        <f>IF(COUNTIFS(T_StockCount[RM_Code],$A93,T_StockCount[WeekIndex],69)&gt;0,SUMIFS(T_StockCount[CountedQty],T_StockCount[RM_Code],$A93,T_StockCount[WeekIndex],69),IF((COUNTIFS(T_SelfStock[RM_Code],$A93,T_SelfStock[WeekIndex],69)&gt;0)*(COUNTIFS(T_TTAFStock[RM_Code],$A93,T_TTAFStock[WeekIndex],69)&gt;0)&gt;0,SUMIFS(T_SelfStock[Self_Qty],T_SelfStock[RM_Code],$A93,T_SelfStock[WeekIndex],69)+SUMIFS(T_TTAFStock[TTAF_Qty],T_TTAFStock[RM_Code],$A93,T_TTAFStock[WeekIndex],69),BQ93+'Grid_Incoming'!BR93-'Grid_Requirement'!BR93))</f>
        <v/>
      </c>
      <c r="BS93">
        <f>IF(COUNTIFS(T_StockCount[RM_Code],$A93,T_StockCount[WeekIndex],70)&gt;0,SUMIFS(T_StockCount[CountedQty],T_StockCount[RM_Code],$A93,T_StockCount[WeekIndex],70),IF((COUNTIFS(T_SelfStock[RM_Code],$A93,T_SelfStock[WeekIndex],70)&gt;0)*(COUNTIFS(T_TTAFStock[RM_Code],$A93,T_TTAFStock[WeekIndex],70)&gt;0)&gt;0,SUMIFS(T_SelfStock[Self_Qty],T_SelfStock[RM_Code],$A93,T_SelfStock[WeekIndex],70)+SUMIFS(T_TTAFStock[TTAF_Qty],T_TTAFStock[RM_Code],$A93,T_TTAFStock[WeekIndex],70),BR93+'Grid_Incoming'!BS93-'Grid_Requirement'!BS93))</f>
        <v/>
      </c>
      <c r="BT93">
        <f>IF(COUNTIFS(T_StockCount[RM_Code],$A93,T_StockCount[WeekIndex],71)&gt;0,SUMIFS(T_StockCount[CountedQty],T_StockCount[RM_Code],$A93,T_StockCount[WeekIndex],71),IF((COUNTIFS(T_SelfStock[RM_Code],$A93,T_SelfStock[WeekIndex],71)&gt;0)*(COUNTIFS(T_TTAFStock[RM_Code],$A93,T_TTAFStock[WeekIndex],71)&gt;0)&gt;0,SUMIFS(T_SelfStock[Self_Qty],T_SelfStock[RM_Code],$A93,T_SelfStock[WeekIndex],71)+SUMIFS(T_TTAFStock[TTAF_Qty],T_TTAFStock[RM_Code],$A93,T_TTAFStock[WeekIndex],71),BS93+'Grid_Incoming'!BT93-'Grid_Requirement'!BT93))</f>
        <v/>
      </c>
      <c r="BU93">
        <f>IF(COUNTIFS(T_StockCount[RM_Code],$A93,T_StockCount[WeekIndex],72)&gt;0,SUMIFS(T_StockCount[CountedQty],T_StockCount[RM_Code],$A93,T_StockCount[WeekIndex],72),IF((COUNTIFS(T_SelfStock[RM_Code],$A93,T_SelfStock[WeekIndex],72)&gt;0)*(COUNTIFS(T_TTAFStock[RM_Code],$A93,T_TTAFStock[WeekIndex],72)&gt;0)&gt;0,SUMIFS(T_SelfStock[Self_Qty],T_SelfStock[RM_Code],$A93,T_SelfStock[WeekIndex],72)+SUMIFS(T_TTAFStock[TTAF_Qty],T_TTAFStock[RM_Code],$A93,T_TTAFStock[WeekIndex],72),BT93+'Grid_Incoming'!BU93-'Grid_Requirement'!BU93))</f>
        <v/>
      </c>
      <c r="BV93">
        <f>IF(COUNTIFS(T_StockCount[RM_Code],$A93,T_StockCount[WeekIndex],73)&gt;0,SUMIFS(T_StockCount[CountedQty],T_StockCount[RM_Code],$A93,T_StockCount[WeekIndex],73),IF((COUNTIFS(T_SelfStock[RM_Code],$A93,T_SelfStock[WeekIndex],73)&gt;0)*(COUNTIFS(T_TTAFStock[RM_Code],$A93,T_TTAFStock[WeekIndex],73)&gt;0)&gt;0,SUMIFS(T_SelfStock[Self_Qty],T_SelfStock[RM_Code],$A93,T_SelfStock[WeekIndex],73)+SUMIFS(T_TTAFStock[TTAF_Qty],T_TTAFStock[RM_Code],$A93,T_TTAFStock[WeekIndex],73),BU93+'Grid_Incoming'!BV93-'Grid_Requirement'!BV93))</f>
        <v/>
      </c>
      <c r="BW93">
        <f>IF(COUNTIFS(T_StockCount[RM_Code],$A93,T_StockCount[WeekIndex],74)&gt;0,SUMIFS(T_StockCount[CountedQty],T_StockCount[RM_Code],$A93,T_StockCount[WeekIndex],74),IF((COUNTIFS(T_SelfStock[RM_Code],$A93,T_SelfStock[WeekIndex],74)&gt;0)*(COUNTIFS(T_TTAFStock[RM_Code],$A93,T_TTAFStock[WeekIndex],74)&gt;0)&gt;0,SUMIFS(T_SelfStock[Self_Qty],T_SelfStock[RM_Code],$A93,T_SelfStock[WeekIndex],74)+SUMIFS(T_TTAFStock[TTAF_Qty],T_TTAFStock[RM_Code],$A93,T_TTAFStock[WeekIndex],74),BV93+'Grid_Incoming'!BW93-'Grid_Requirement'!BW93))</f>
        <v/>
      </c>
      <c r="BX93">
        <f>IF(COUNTIFS(T_StockCount[RM_Code],$A93,T_StockCount[WeekIndex],75)&gt;0,SUMIFS(T_StockCount[CountedQty],T_StockCount[RM_Code],$A93,T_StockCount[WeekIndex],75),IF((COUNTIFS(T_SelfStock[RM_Code],$A93,T_SelfStock[WeekIndex],75)&gt;0)*(COUNTIFS(T_TTAFStock[RM_Code],$A93,T_TTAFStock[WeekIndex],75)&gt;0)&gt;0,SUMIFS(T_SelfStock[Self_Qty],T_SelfStock[RM_Code],$A93,T_SelfStock[WeekIndex],75)+SUMIFS(T_TTAFStock[TTAF_Qty],T_TTAFStock[RM_Code],$A93,T_TTAFStock[WeekIndex],75),BW93+'Grid_Incoming'!BX93-'Grid_Requirement'!BX93))</f>
        <v/>
      </c>
      <c r="BY93">
        <f>IF(COUNTIFS(T_StockCount[RM_Code],$A93,T_StockCount[WeekIndex],76)&gt;0,SUMIFS(T_StockCount[CountedQty],T_StockCount[RM_Code],$A93,T_StockCount[WeekIndex],76),IF((COUNTIFS(T_SelfStock[RM_Code],$A93,T_SelfStock[WeekIndex],76)&gt;0)*(COUNTIFS(T_TTAFStock[RM_Code],$A93,T_TTAFStock[WeekIndex],76)&gt;0)&gt;0,SUMIFS(T_SelfStock[Self_Qty],T_SelfStock[RM_Code],$A93,T_SelfStock[WeekIndex],76)+SUMIFS(T_TTAFStock[TTAF_Qty],T_TTAFStock[RM_Code],$A93,T_TTAFStock[WeekIndex],76),BX93+'Grid_Incoming'!BY93-'Grid_Requirement'!BY93))</f>
        <v/>
      </c>
      <c r="BZ93">
        <f>IF(COUNTIFS(T_StockCount[RM_Code],$A93,T_StockCount[WeekIndex],77)&gt;0,SUMIFS(T_StockCount[CountedQty],T_StockCount[RM_Code],$A93,T_StockCount[WeekIndex],77),IF((COUNTIFS(T_SelfStock[RM_Code],$A93,T_SelfStock[WeekIndex],77)&gt;0)*(COUNTIFS(T_TTAFStock[RM_Code],$A93,T_TTAFStock[WeekIndex],77)&gt;0)&gt;0,SUMIFS(T_SelfStock[Self_Qty],T_SelfStock[RM_Code],$A93,T_SelfStock[WeekIndex],77)+SUMIFS(T_TTAFStock[TTAF_Qty],T_TTAFStock[RM_Code],$A93,T_TTAFStock[WeekIndex],77),BY93+'Grid_Incoming'!BZ93-'Grid_Requirement'!BZ93))</f>
        <v/>
      </c>
      <c r="CA93">
        <f>IF(COUNTIFS(T_StockCount[RM_Code],$A93,T_StockCount[WeekIndex],78)&gt;0,SUMIFS(T_StockCount[CountedQty],T_StockCount[RM_Code],$A93,T_StockCount[WeekIndex],78),IF((COUNTIFS(T_SelfStock[RM_Code],$A93,T_SelfStock[WeekIndex],78)&gt;0)*(COUNTIFS(T_TTAFStock[RM_Code],$A93,T_TTAFStock[WeekIndex],78)&gt;0)&gt;0,SUMIFS(T_SelfStock[Self_Qty],T_SelfStock[RM_Code],$A93,T_SelfStock[WeekIndex],78)+SUMIFS(T_TTAFStock[TTAF_Qty],T_TTAFStock[RM_Code],$A93,T_TTAFStock[WeekIndex],78),BZ93+'Grid_Incoming'!CA93-'Grid_Requirement'!CA93))</f>
        <v/>
      </c>
      <c r="CB93">
        <f>IF(COUNTIFS(T_StockCount[RM_Code],$A93,T_StockCount[WeekIndex],79)&gt;0,SUMIFS(T_StockCount[CountedQty],T_StockCount[RM_Code],$A93,T_StockCount[WeekIndex],79),IF((COUNTIFS(T_SelfStock[RM_Code],$A93,T_SelfStock[WeekIndex],79)&gt;0)*(COUNTIFS(T_TTAFStock[RM_Code],$A93,T_TTAFStock[WeekIndex],79)&gt;0)&gt;0,SUMIFS(T_SelfStock[Self_Qty],T_SelfStock[RM_Code],$A93,T_SelfStock[WeekIndex],79)+SUMIFS(T_TTAFStock[TTAF_Qty],T_TTAFStock[RM_Code],$A93,T_TTAFStock[WeekIndex],79),CA93+'Grid_Incoming'!CB93-'Grid_Requirement'!CB93))</f>
        <v/>
      </c>
      <c r="CC93">
        <f>IF(COUNTIFS(T_StockCount[RM_Code],$A93,T_StockCount[WeekIndex],80)&gt;0,SUMIFS(T_StockCount[CountedQty],T_StockCount[RM_Code],$A93,T_StockCount[WeekIndex],80),IF((COUNTIFS(T_SelfStock[RM_Code],$A93,T_SelfStock[WeekIndex],80)&gt;0)*(COUNTIFS(T_TTAFStock[RM_Code],$A93,T_TTAFStock[WeekIndex],80)&gt;0)&gt;0,SUMIFS(T_SelfStock[Self_Qty],T_SelfStock[RM_Code],$A93,T_SelfStock[WeekIndex],80)+SUMIFS(T_TTAFStock[TTAF_Qty],T_TTAFStock[RM_Code],$A93,T_TTAFStock[WeekIndex],80),CB93+'Grid_Incoming'!CC93-'Grid_Requirement'!CC93))</f>
        <v/>
      </c>
      <c r="CD93">
        <f>IF(COUNTIFS(T_StockCount[RM_Code],$A93,T_StockCount[WeekIndex],81)&gt;0,SUMIFS(T_StockCount[CountedQty],T_StockCount[RM_Code],$A93,T_StockCount[WeekIndex],81),IF((COUNTIFS(T_SelfStock[RM_Code],$A93,T_SelfStock[WeekIndex],81)&gt;0)*(COUNTIFS(T_TTAFStock[RM_Code],$A93,T_TTAFStock[WeekIndex],81)&gt;0)&gt;0,SUMIFS(T_SelfStock[Self_Qty],T_SelfStock[RM_Code],$A93,T_SelfStock[WeekIndex],81)+SUMIFS(T_TTAFStock[TTAF_Qty],T_TTAFStock[RM_Code],$A93,T_TTAFStock[WeekIndex],81),CC93+'Grid_Incoming'!CD93-'Grid_Requirement'!CD93))</f>
        <v/>
      </c>
      <c r="CE93">
        <f>IF(COUNTIFS(T_StockCount[RM_Code],$A93,T_StockCount[WeekIndex],82)&gt;0,SUMIFS(T_StockCount[CountedQty],T_StockCount[RM_Code],$A93,T_StockCount[WeekIndex],82),IF((COUNTIFS(T_SelfStock[RM_Code],$A93,T_SelfStock[WeekIndex],82)&gt;0)*(COUNTIFS(T_TTAFStock[RM_Code],$A93,T_TTAFStock[WeekIndex],82)&gt;0)&gt;0,SUMIFS(T_SelfStock[Self_Qty],T_SelfStock[RM_Code],$A93,T_SelfStock[WeekIndex],82)+SUMIFS(T_TTAFStock[TTAF_Qty],T_TTAFStock[RM_Code],$A93,T_TTAFStock[WeekIndex],82),CD93+'Grid_Incoming'!CE93-'Grid_Requirement'!CE93))</f>
        <v/>
      </c>
      <c r="CF93">
        <f>IF(COUNTIFS(T_StockCount[RM_Code],$A93,T_StockCount[WeekIndex],83)&gt;0,SUMIFS(T_StockCount[CountedQty],T_StockCount[RM_Code],$A93,T_StockCount[WeekIndex],83),IF((COUNTIFS(T_SelfStock[RM_Code],$A93,T_SelfStock[WeekIndex],83)&gt;0)*(COUNTIFS(T_TTAFStock[RM_Code],$A93,T_TTAFStock[WeekIndex],83)&gt;0)&gt;0,SUMIFS(T_SelfStock[Self_Qty],T_SelfStock[RM_Code],$A93,T_SelfStock[WeekIndex],83)+SUMIFS(T_TTAFStock[TTAF_Qty],T_TTAFStock[RM_Code],$A93,T_TTAFStock[WeekIndex],83),CE93+'Grid_Incoming'!CF93-'Grid_Requirement'!CF93))</f>
        <v/>
      </c>
      <c r="CG93">
        <f>IF(COUNTIFS(T_StockCount[RM_Code],$A93,T_StockCount[WeekIndex],84)&gt;0,SUMIFS(T_StockCount[CountedQty],T_StockCount[RM_Code],$A93,T_StockCount[WeekIndex],84),IF((COUNTIFS(T_SelfStock[RM_Code],$A93,T_SelfStock[WeekIndex],84)&gt;0)*(COUNTIFS(T_TTAFStock[RM_Code],$A93,T_TTAFStock[WeekIndex],84)&gt;0)&gt;0,SUMIFS(T_SelfStock[Self_Qty],T_SelfStock[RM_Code],$A93,T_SelfStock[WeekIndex],84)+SUMIFS(T_TTAFStock[TTAF_Qty],T_TTAFStock[RM_Code],$A93,T_TTAFStock[WeekIndex],84),CF93+'Grid_Incoming'!CG93-'Grid_Requirement'!CG93))</f>
        <v/>
      </c>
      <c r="CH93">
        <f>IF(COUNTIFS(T_StockCount[RM_Code],$A93,T_StockCount[WeekIndex],85)&gt;0,SUMIFS(T_StockCount[CountedQty],T_StockCount[RM_Code],$A93,T_StockCount[WeekIndex],85),IF((COUNTIFS(T_SelfStock[RM_Code],$A93,T_SelfStock[WeekIndex],85)&gt;0)*(COUNTIFS(T_TTAFStock[RM_Code],$A93,T_TTAFStock[WeekIndex],85)&gt;0)&gt;0,SUMIFS(T_SelfStock[Self_Qty],T_SelfStock[RM_Code],$A93,T_SelfStock[WeekIndex],85)+SUMIFS(T_TTAFStock[TTAF_Qty],T_TTAFStock[RM_Code],$A93,T_TTAFStock[WeekIndex],85),CG93+'Grid_Incoming'!CH93-'Grid_Requirement'!CH93))</f>
        <v/>
      </c>
      <c r="CI93">
        <f>IF(COUNTIFS(T_StockCount[RM_Code],$A93,T_StockCount[WeekIndex],86)&gt;0,SUMIFS(T_StockCount[CountedQty],T_StockCount[RM_Code],$A93,T_StockCount[WeekIndex],86),IF((COUNTIFS(T_SelfStock[RM_Code],$A93,T_SelfStock[WeekIndex],86)&gt;0)*(COUNTIFS(T_TTAFStock[RM_Code],$A93,T_TTAFStock[WeekIndex],86)&gt;0)&gt;0,SUMIFS(T_SelfStock[Self_Qty],T_SelfStock[RM_Code],$A93,T_SelfStock[WeekIndex],86)+SUMIFS(T_TTAFStock[TTAF_Qty],T_TTAFStock[RM_Code],$A93,T_TTAFStock[WeekIndex],86),CH93+'Grid_Incoming'!CI93-'Grid_Requirement'!CI93))</f>
        <v/>
      </c>
      <c r="CJ93">
        <f>IF(COUNTIFS(T_StockCount[RM_Code],$A93,T_StockCount[WeekIndex],87)&gt;0,SUMIFS(T_StockCount[CountedQty],T_StockCount[RM_Code],$A93,T_StockCount[WeekIndex],87),IF((COUNTIFS(T_SelfStock[RM_Code],$A93,T_SelfStock[WeekIndex],87)&gt;0)*(COUNTIFS(T_TTAFStock[RM_Code],$A93,T_TTAFStock[WeekIndex],87)&gt;0)&gt;0,SUMIFS(T_SelfStock[Self_Qty],T_SelfStock[RM_Code],$A93,T_SelfStock[WeekIndex],87)+SUMIFS(T_TTAFStock[TTAF_Qty],T_TTAFStock[RM_Code],$A93,T_TTAFStock[WeekIndex],87),CI93+'Grid_Incoming'!CJ93-'Grid_Requirement'!CJ93))</f>
        <v/>
      </c>
      <c r="CK93">
        <f>IF(COUNTIFS(T_StockCount[RM_Code],$A93,T_StockCount[WeekIndex],88)&gt;0,SUMIFS(T_StockCount[CountedQty],T_StockCount[RM_Code],$A93,T_StockCount[WeekIndex],88),IF((COUNTIFS(T_SelfStock[RM_Code],$A93,T_SelfStock[WeekIndex],88)&gt;0)*(COUNTIFS(T_TTAFStock[RM_Code],$A93,T_TTAFStock[WeekIndex],88)&gt;0)&gt;0,SUMIFS(T_SelfStock[Self_Qty],T_SelfStock[RM_Code],$A93,T_SelfStock[WeekIndex],88)+SUMIFS(T_TTAFStock[TTAF_Qty],T_TTAFStock[RM_Code],$A93,T_TTAFStock[WeekIndex],88),CJ93+'Grid_Incoming'!CK93-'Grid_Requirement'!CK93))</f>
        <v/>
      </c>
      <c r="CL93">
        <f>IF(COUNTIFS(T_StockCount[RM_Code],$A93,T_StockCount[WeekIndex],89)&gt;0,SUMIFS(T_StockCount[CountedQty],T_StockCount[RM_Code],$A93,T_StockCount[WeekIndex],89),IF((COUNTIFS(T_SelfStock[RM_Code],$A93,T_SelfStock[WeekIndex],89)&gt;0)*(COUNTIFS(T_TTAFStock[RM_Code],$A93,T_TTAFStock[WeekIndex],89)&gt;0)&gt;0,SUMIFS(T_SelfStock[Self_Qty],T_SelfStock[RM_Code],$A93,T_SelfStock[WeekIndex],89)+SUMIFS(T_TTAFStock[TTAF_Qty],T_TTAFStock[RM_Code],$A93,T_TTAFStock[WeekIndex],89),CK93+'Grid_Incoming'!CL93-'Grid_Requirement'!CL93))</f>
        <v/>
      </c>
      <c r="CM93">
        <f>IF(COUNTIFS(T_StockCount[RM_Code],$A93,T_StockCount[WeekIndex],90)&gt;0,SUMIFS(T_StockCount[CountedQty],T_StockCount[RM_Code],$A93,T_StockCount[WeekIndex],90),IF((COUNTIFS(T_SelfStock[RM_Code],$A93,T_SelfStock[WeekIndex],90)&gt;0)*(COUNTIFS(T_TTAFStock[RM_Code],$A93,T_TTAFStock[WeekIndex],90)&gt;0)&gt;0,SUMIFS(T_SelfStock[Self_Qty],T_SelfStock[RM_Code],$A93,T_SelfStock[WeekIndex],90)+SUMIFS(T_TTAFStock[TTAF_Qty],T_TTAFStock[RM_Code],$A93,T_TTAFStock[WeekIndex],90),CL93+'Grid_Incoming'!CM93-'Grid_Requirement'!CM93))</f>
        <v/>
      </c>
      <c r="CN93">
        <f>IF(COUNTIFS(T_StockCount[RM_Code],$A93,T_StockCount[WeekIndex],91)&gt;0,SUMIFS(T_StockCount[CountedQty],T_StockCount[RM_Code],$A93,T_StockCount[WeekIndex],91),IF((COUNTIFS(T_SelfStock[RM_Code],$A93,T_SelfStock[WeekIndex],91)&gt;0)*(COUNTIFS(T_TTAFStock[RM_Code],$A93,T_TTAFStock[WeekIndex],91)&gt;0)&gt;0,SUMIFS(T_SelfStock[Self_Qty],T_SelfStock[RM_Code],$A93,T_SelfStock[WeekIndex],91)+SUMIFS(T_TTAFStock[TTAF_Qty],T_TTAFStock[RM_Code],$A93,T_TTAFStock[WeekIndex],91),CM93+'Grid_Incoming'!CN93-'Grid_Requirement'!CN93))</f>
        <v/>
      </c>
      <c r="CO93">
        <f>IF(COUNTIFS(T_StockCount[RM_Code],$A93,T_StockCount[WeekIndex],92)&gt;0,SUMIFS(T_StockCount[CountedQty],T_StockCount[RM_Code],$A93,T_StockCount[WeekIndex],92),IF((COUNTIFS(T_SelfStock[RM_Code],$A93,T_SelfStock[WeekIndex],92)&gt;0)*(COUNTIFS(T_TTAFStock[RM_Code],$A93,T_TTAFStock[WeekIndex],92)&gt;0)&gt;0,SUMIFS(T_SelfStock[Self_Qty],T_SelfStock[RM_Code],$A93,T_SelfStock[WeekIndex],92)+SUMIFS(T_TTAFStock[TTAF_Qty],T_TTAFStock[RM_Code],$A93,T_TTAFStock[WeekIndex],92),CN93+'Grid_Incoming'!CO93-'Grid_Requirement'!CO93))</f>
        <v/>
      </c>
      <c r="CP93">
        <f>IF(COUNTIFS(T_StockCount[RM_Code],$A93,T_StockCount[WeekIndex],93)&gt;0,SUMIFS(T_StockCount[CountedQty],T_StockCount[RM_Code],$A93,T_StockCount[WeekIndex],93),IF((COUNTIFS(T_SelfStock[RM_Code],$A93,T_SelfStock[WeekIndex],93)&gt;0)*(COUNTIFS(T_TTAFStock[RM_Code],$A93,T_TTAFStock[WeekIndex],93)&gt;0)&gt;0,SUMIFS(T_SelfStock[Self_Qty],T_SelfStock[RM_Code],$A93,T_SelfStock[WeekIndex],93)+SUMIFS(T_TTAFStock[TTAF_Qty],T_TTAFStock[RM_Code],$A93,T_TTAFStock[WeekIndex],93),CO93+'Grid_Incoming'!CP93-'Grid_Requirement'!CP93))</f>
        <v/>
      </c>
      <c r="CQ93">
        <f>IF(COUNTIFS(T_StockCount[RM_Code],$A93,T_StockCount[WeekIndex],94)&gt;0,SUMIFS(T_StockCount[CountedQty],T_StockCount[RM_Code],$A93,T_StockCount[WeekIndex],94),IF((COUNTIFS(T_SelfStock[RM_Code],$A93,T_SelfStock[WeekIndex],94)&gt;0)*(COUNTIFS(T_TTAFStock[RM_Code],$A93,T_TTAFStock[WeekIndex],94)&gt;0)&gt;0,SUMIFS(T_SelfStock[Self_Qty],T_SelfStock[RM_Code],$A93,T_SelfStock[WeekIndex],94)+SUMIFS(T_TTAFStock[TTAF_Qty],T_TTAFStock[RM_Code],$A93,T_TTAFStock[WeekIndex],94),CP93+'Grid_Incoming'!CQ93-'Grid_Requirement'!CQ93))</f>
        <v/>
      </c>
      <c r="CR93">
        <f>IF(COUNTIFS(T_StockCount[RM_Code],$A93,T_StockCount[WeekIndex],95)&gt;0,SUMIFS(T_StockCount[CountedQty],T_StockCount[RM_Code],$A93,T_StockCount[WeekIndex],95),IF((COUNTIFS(T_SelfStock[RM_Code],$A93,T_SelfStock[WeekIndex],95)&gt;0)*(COUNTIFS(T_TTAFStock[RM_Code],$A93,T_TTAFStock[WeekIndex],95)&gt;0)&gt;0,SUMIFS(T_SelfStock[Self_Qty],T_SelfStock[RM_Code],$A93,T_SelfStock[WeekIndex],95)+SUMIFS(T_TTAFStock[TTAF_Qty],T_TTAFStock[RM_Code],$A93,T_TTAFStock[WeekIndex],95),CQ93+'Grid_Incoming'!CR93-'Grid_Requirement'!CR93))</f>
        <v/>
      </c>
      <c r="CS93">
        <f>IF(COUNTIFS(T_StockCount[RM_Code],$A93,T_StockCount[WeekIndex],96)&gt;0,SUMIFS(T_StockCount[CountedQty],T_StockCount[RM_Code],$A93,T_StockCount[WeekIndex],96),IF((COUNTIFS(T_SelfStock[RM_Code],$A93,T_SelfStock[WeekIndex],96)&gt;0)*(COUNTIFS(T_TTAFStock[RM_Code],$A93,T_TTAFStock[WeekIndex],96)&gt;0)&gt;0,SUMIFS(T_SelfStock[Self_Qty],T_SelfStock[RM_Code],$A93,T_SelfStock[WeekIndex],96)+SUMIFS(T_TTAFStock[TTAF_Qty],T_TTAFStock[RM_Code],$A93,T_TTAFStock[WeekIndex],96),CR93+'Grid_Incoming'!CS93-'Grid_Requirement'!CS93))</f>
        <v/>
      </c>
      <c r="CT93">
        <f>IF(COUNTIFS(T_StockCount[RM_Code],$A93,T_StockCount[WeekIndex],97)&gt;0,SUMIFS(T_StockCount[CountedQty],T_StockCount[RM_Code],$A93,T_StockCount[WeekIndex],97),IF((COUNTIFS(T_SelfStock[RM_Code],$A93,T_SelfStock[WeekIndex],97)&gt;0)*(COUNTIFS(T_TTAFStock[RM_Code],$A93,T_TTAFStock[WeekIndex],97)&gt;0)&gt;0,SUMIFS(T_SelfStock[Self_Qty],T_SelfStock[RM_Code],$A93,T_SelfStock[WeekIndex],97)+SUMIFS(T_TTAFStock[TTAF_Qty],T_TTAFStock[RM_Code],$A93,T_TTAFStock[WeekIndex],97),CS93+'Grid_Incoming'!CT93-'Grid_Requirement'!CT93))</f>
        <v/>
      </c>
      <c r="CU93">
        <f>IF(COUNTIFS(T_StockCount[RM_Code],$A93,T_StockCount[WeekIndex],98)&gt;0,SUMIFS(T_StockCount[CountedQty],T_StockCount[RM_Code],$A93,T_StockCount[WeekIndex],98),IF((COUNTIFS(T_SelfStock[RM_Code],$A93,T_SelfStock[WeekIndex],98)&gt;0)*(COUNTIFS(T_TTAFStock[RM_Code],$A93,T_TTAFStock[WeekIndex],98)&gt;0)&gt;0,SUMIFS(T_SelfStock[Self_Qty],T_SelfStock[RM_Code],$A93,T_SelfStock[WeekIndex],98)+SUMIFS(T_TTAFStock[TTAF_Qty],T_TTAFStock[RM_Code],$A93,T_TTAFStock[WeekIndex],98),CT93+'Grid_Incoming'!CU93-'Grid_Requirement'!CU93))</f>
        <v/>
      </c>
      <c r="CV93">
        <f>IF(COUNTIFS(T_StockCount[RM_Code],$A93,T_StockCount[WeekIndex],99)&gt;0,SUMIFS(T_StockCount[CountedQty],T_StockCount[RM_Code],$A93,T_StockCount[WeekIndex],99),IF((COUNTIFS(T_SelfStock[RM_Code],$A93,T_SelfStock[WeekIndex],99)&gt;0)*(COUNTIFS(T_TTAFStock[RM_Code],$A93,T_TTAFStock[WeekIndex],99)&gt;0)&gt;0,SUMIFS(T_SelfStock[Self_Qty],T_SelfStock[RM_Code],$A93,T_SelfStock[WeekIndex],99)+SUMIFS(T_TTAFStock[TTAF_Qty],T_TTAFStock[RM_Code],$A93,T_TTAFStock[WeekIndex],99),CU93+'Grid_Incoming'!CV93-'Grid_Requirement'!CV93))</f>
        <v/>
      </c>
      <c r="CW93">
        <f>IF(COUNTIFS(T_StockCount[RM_Code],$A93,T_StockCount[WeekIndex],100)&gt;0,SUMIFS(T_StockCount[CountedQty],T_StockCount[RM_Code],$A93,T_StockCount[WeekIndex],100),IF((COUNTIFS(T_SelfStock[RM_Code],$A93,T_SelfStock[WeekIndex],100)&gt;0)*(COUNTIFS(T_TTAFStock[RM_Code],$A93,T_TTAFStock[WeekIndex],100)&gt;0)&gt;0,SUMIFS(T_SelfStock[Self_Qty],T_SelfStock[RM_Code],$A93,T_SelfStock[WeekIndex],100)+SUMIFS(T_TTAFStock[TTAF_Qty],T_TTAFStock[RM_Code],$A93,T_TTAFStock[WeekIndex],100),CV93+'Grid_Incoming'!CW93-'Grid_Requirement'!CW93))</f>
        <v/>
      </c>
      <c r="CX93">
        <f>IF(COUNTIFS(T_StockCount[RM_Code],$A93,T_StockCount[WeekIndex],101)&gt;0,SUMIFS(T_StockCount[CountedQty],T_StockCount[RM_Code],$A93,T_StockCount[WeekIndex],101),IF((COUNTIFS(T_SelfStock[RM_Code],$A93,T_SelfStock[WeekIndex],101)&gt;0)*(COUNTIFS(T_TTAFStock[RM_Code],$A93,T_TTAFStock[WeekIndex],101)&gt;0)&gt;0,SUMIFS(T_SelfStock[Self_Qty],T_SelfStock[RM_Code],$A93,T_SelfStock[WeekIndex],101)+SUMIFS(T_TTAFStock[TTAF_Qty],T_TTAFStock[RM_Code],$A93,T_TTAFStock[WeekIndex],101),CW93+'Grid_Incoming'!CX93-'Grid_Requirement'!CX93))</f>
        <v/>
      </c>
      <c r="CY93">
        <f>IF(COUNTIFS(T_StockCount[RM_Code],$A93,T_StockCount[WeekIndex],102)&gt;0,SUMIFS(T_StockCount[CountedQty],T_StockCount[RM_Code],$A93,T_StockCount[WeekIndex],102),IF((COUNTIFS(T_SelfStock[RM_Code],$A93,T_SelfStock[WeekIndex],102)&gt;0)*(COUNTIFS(T_TTAFStock[RM_Code],$A93,T_TTAFStock[WeekIndex],102)&gt;0)&gt;0,SUMIFS(T_SelfStock[Self_Qty],T_SelfStock[RM_Code],$A93,T_SelfStock[WeekIndex],102)+SUMIFS(T_TTAFStock[TTAF_Qty],T_TTAFStock[RM_Code],$A93,T_TTAFStock[WeekIndex],102),CX93+'Grid_Incoming'!CY93-'Grid_Requirement'!CY93))</f>
        <v/>
      </c>
      <c r="CZ93">
        <f>IF(COUNTIFS(T_StockCount[RM_Code],$A93,T_StockCount[WeekIndex],103)&gt;0,SUMIFS(T_StockCount[CountedQty],T_StockCount[RM_Code],$A93,T_StockCount[WeekIndex],103),IF((COUNTIFS(T_SelfStock[RM_Code],$A93,T_SelfStock[WeekIndex],103)&gt;0)*(COUNTIFS(T_TTAFStock[RM_Code],$A93,T_TTAFStock[WeekIndex],103)&gt;0)&gt;0,SUMIFS(T_SelfStock[Self_Qty],T_SelfStock[RM_Code],$A93,T_SelfStock[WeekIndex],103)+SUMIFS(T_TTAFStock[TTAF_Qty],T_TTAFStock[RM_Code],$A93,T_TTAFStock[WeekIndex],103),CY93+'Grid_Incoming'!CZ93-'Grid_Requirement'!CZ93))</f>
        <v/>
      </c>
      <c r="DA93">
        <f>IF(COUNTIFS(T_StockCount[RM_Code],$A93,T_StockCount[WeekIndex],104)&gt;0,SUMIFS(T_StockCount[CountedQty],T_StockCount[RM_Code],$A93,T_StockCount[WeekIndex],104),IF((COUNTIFS(T_SelfStock[RM_Code],$A93,T_SelfStock[WeekIndex],104)&gt;0)*(COUNTIFS(T_TTAFStock[RM_Code],$A93,T_TTAFStock[WeekIndex],104)&gt;0)&gt;0,SUMIFS(T_SelfStock[Self_Qty],T_SelfStock[RM_Code],$A93,T_SelfStock[WeekIndex],104)+SUMIFS(T_TTAFStock[TTAF_Qty],T_TTAFStock[RM_Code],$A93,T_TTAFStock[WeekIndex],104),CZ93+'Grid_Incoming'!DA93-'Grid_Requirement'!DA93))</f>
        <v/>
      </c>
    </row>
    <row r="94">
      <c r="A94" t="inlineStr">
        <is>
          <t>CHEM-1800</t>
        </is>
      </c>
      <c r="B94">
        <f>IF(COUNTIFS(T_StockCount[RM_Code],$A94,T_StockCount[WeekIndex],1)&gt;0,SUMIFS(T_StockCount[CountedQty],T_StockCount[RM_Code],$A94,T_StockCount[WeekIndex],1),IF((COUNTIFS(T_SelfStock[RM_Code],$A94,T_SelfStock[WeekIndex],1)&gt;0)*(COUNTIFS(T_TTAFStock[RM_Code],$A94,T_TTAFStock[WeekIndex],1)&gt;0)&gt;0,SUMIFS(T_SelfStock[Self_Qty],T_SelfStock[RM_Code],$A94,T_SelfStock[WeekIndex],1)+SUMIFS(T_TTAFStock[TTAF_Qty],T_TTAFStock[RM_Code],$A94,T_TTAFStock[WeekIndex],1),IFERROR(INDEX(T_OpeningStock[Opening_Qty],MATCH($A94,T_OpeningStock[RM_Code],0)),0)+'Grid_Incoming'!B94-'Grid_Requirement'!B94))</f>
        <v/>
      </c>
      <c r="C94">
        <f>IF(COUNTIFS(T_StockCount[RM_Code],$A94,T_StockCount[WeekIndex],2)&gt;0,SUMIFS(T_StockCount[CountedQty],T_StockCount[RM_Code],$A94,T_StockCount[WeekIndex],2),IF((COUNTIFS(T_SelfStock[RM_Code],$A94,T_SelfStock[WeekIndex],2)&gt;0)*(COUNTIFS(T_TTAFStock[RM_Code],$A94,T_TTAFStock[WeekIndex],2)&gt;0)&gt;0,SUMIFS(T_SelfStock[Self_Qty],T_SelfStock[RM_Code],$A94,T_SelfStock[WeekIndex],2)+SUMIFS(T_TTAFStock[TTAF_Qty],T_TTAFStock[RM_Code],$A94,T_TTAFStock[WeekIndex],2),B94+'Grid_Incoming'!C94-'Grid_Requirement'!C94))</f>
        <v/>
      </c>
      <c r="D94">
        <f>IF(COUNTIFS(T_StockCount[RM_Code],$A94,T_StockCount[WeekIndex],3)&gt;0,SUMIFS(T_StockCount[CountedQty],T_StockCount[RM_Code],$A94,T_StockCount[WeekIndex],3),IF((COUNTIFS(T_SelfStock[RM_Code],$A94,T_SelfStock[WeekIndex],3)&gt;0)*(COUNTIFS(T_TTAFStock[RM_Code],$A94,T_TTAFStock[WeekIndex],3)&gt;0)&gt;0,SUMIFS(T_SelfStock[Self_Qty],T_SelfStock[RM_Code],$A94,T_SelfStock[WeekIndex],3)+SUMIFS(T_TTAFStock[TTAF_Qty],T_TTAFStock[RM_Code],$A94,T_TTAFStock[WeekIndex],3),C94+'Grid_Incoming'!D94-'Grid_Requirement'!D94))</f>
        <v/>
      </c>
      <c r="E94">
        <f>IF(COUNTIFS(T_StockCount[RM_Code],$A94,T_StockCount[WeekIndex],4)&gt;0,SUMIFS(T_StockCount[CountedQty],T_StockCount[RM_Code],$A94,T_StockCount[WeekIndex],4),IF((COUNTIFS(T_SelfStock[RM_Code],$A94,T_SelfStock[WeekIndex],4)&gt;0)*(COUNTIFS(T_TTAFStock[RM_Code],$A94,T_TTAFStock[WeekIndex],4)&gt;0)&gt;0,SUMIFS(T_SelfStock[Self_Qty],T_SelfStock[RM_Code],$A94,T_SelfStock[WeekIndex],4)+SUMIFS(T_TTAFStock[TTAF_Qty],T_TTAFStock[RM_Code],$A94,T_TTAFStock[WeekIndex],4),D94+'Grid_Incoming'!E94-'Grid_Requirement'!E94))</f>
        <v/>
      </c>
      <c r="F94">
        <f>IF(COUNTIFS(T_StockCount[RM_Code],$A94,T_StockCount[WeekIndex],5)&gt;0,SUMIFS(T_StockCount[CountedQty],T_StockCount[RM_Code],$A94,T_StockCount[WeekIndex],5),IF((COUNTIFS(T_SelfStock[RM_Code],$A94,T_SelfStock[WeekIndex],5)&gt;0)*(COUNTIFS(T_TTAFStock[RM_Code],$A94,T_TTAFStock[WeekIndex],5)&gt;0)&gt;0,SUMIFS(T_SelfStock[Self_Qty],T_SelfStock[RM_Code],$A94,T_SelfStock[WeekIndex],5)+SUMIFS(T_TTAFStock[TTAF_Qty],T_TTAFStock[RM_Code],$A94,T_TTAFStock[WeekIndex],5),E94+'Grid_Incoming'!F94-'Grid_Requirement'!F94))</f>
        <v/>
      </c>
      <c r="G94">
        <f>IF(COUNTIFS(T_StockCount[RM_Code],$A94,T_StockCount[WeekIndex],6)&gt;0,SUMIFS(T_StockCount[CountedQty],T_StockCount[RM_Code],$A94,T_StockCount[WeekIndex],6),IF((COUNTIFS(T_SelfStock[RM_Code],$A94,T_SelfStock[WeekIndex],6)&gt;0)*(COUNTIFS(T_TTAFStock[RM_Code],$A94,T_TTAFStock[WeekIndex],6)&gt;0)&gt;0,SUMIFS(T_SelfStock[Self_Qty],T_SelfStock[RM_Code],$A94,T_SelfStock[WeekIndex],6)+SUMIFS(T_TTAFStock[TTAF_Qty],T_TTAFStock[RM_Code],$A94,T_TTAFStock[WeekIndex],6),F94+'Grid_Incoming'!G94-'Grid_Requirement'!G94))</f>
        <v/>
      </c>
      <c r="H94">
        <f>IF(COUNTIFS(T_StockCount[RM_Code],$A94,T_StockCount[WeekIndex],7)&gt;0,SUMIFS(T_StockCount[CountedQty],T_StockCount[RM_Code],$A94,T_StockCount[WeekIndex],7),IF((COUNTIFS(T_SelfStock[RM_Code],$A94,T_SelfStock[WeekIndex],7)&gt;0)*(COUNTIFS(T_TTAFStock[RM_Code],$A94,T_TTAFStock[WeekIndex],7)&gt;0)&gt;0,SUMIFS(T_SelfStock[Self_Qty],T_SelfStock[RM_Code],$A94,T_SelfStock[WeekIndex],7)+SUMIFS(T_TTAFStock[TTAF_Qty],T_TTAFStock[RM_Code],$A94,T_TTAFStock[WeekIndex],7),G94+'Grid_Incoming'!H94-'Grid_Requirement'!H94))</f>
        <v/>
      </c>
      <c r="I94">
        <f>IF(COUNTIFS(T_StockCount[RM_Code],$A94,T_StockCount[WeekIndex],8)&gt;0,SUMIFS(T_StockCount[CountedQty],T_StockCount[RM_Code],$A94,T_StockCount[WeekIndex],8),IF((COUNTIFS(T_SelfStock[RM_Code],$A94,T_SelfStock[WeekIndex],8)&gt;0)*(COUNTIFS(T_TTAFStock[RM_Code],$A94,T_TTAFStock[WeekIndex],8)&gt;0)&gt;0,SUMIFS(T_SelfStock[Self_Qty],T_SelfStock[RM_Code],$A94,T_SelfStock[WeekIndex],8)+SUMIFS(T_TTAFStock[TTAF_Qty],T_TTAFStock[RM_Code],$A94,T_TTAFStock[WeekIndex],8),H94+'Grid_Incoming'!I94-'Grid_Requirement'!I94))</f>
        <v/>
      </c>
      <c r="J94">
        <f>IF(COUNTIFS(T_StockCount[RM_Code],$A94,T_StockCount[WeekIndex],9)&gt;0,SUMIFS(T_StockCount[CountedQty],T_StockCount[RM_Code],$A94,T_StockCount[WeekIndex],9),IF((COUNTIFS(T_SelfStock[RM_Code],$A94,T_SelfStock[WeekIndex],9)&gt;0)*(COUNTIFS(T_TTAFStock[RM_Code],$A94,T_TTAFStock[WeekIndex],9)&gt;0)&gt;0,SUMIFS(T_SelfStock[Self_Qty],T_SelfStock[RM_Code],$A94,T_SelfStock[WeekIndex],9)+SUMIFS(T_TTAFStock[TTAF_Qty],T_TTAFStock[RM_Code],$A94,T_TTAFStock[WeekIndex],9),I94+'Grid_Incoming'!J94-'Grid_Requirement'!J94))</f>
        <v/>
      </c>
      <c r="K94">
        <f>IF(COUNTIFS(T_StockCount[RM_Code],$A94,T_StockCount[WeekIndex],10)&gt;0,SUMIFS(T_StockCount[CountedQty],T_StockCount[RM_Code],$A94,T_StockCount[WeekIndex],10),IF((COUNTIFS(T_SelfStock[RM_Code],$A94,T_SelfStock[WeekIndex],10)&gt;0)*(COUNTIFS(T_TTAFStock[RM_Code],$A94,T_TTAFStock[WeekIndex],10)&gt;0)&gt;0,SUMIFS(T_SelfStock[Self_Qty],T_SelfStock[RM_Code],$A94,T_SelfStock[WeekIndex],10)+SUMIFS(T_TTAFStock[TTAF_Qty],T_TTAFStock[RM_Code],$A94,T_TTAFStock[WeekIndex],10),J94+'Grid_Incoming'!K94-'Grid_Requirement'!K94))</f>
        <v/>
      </c>
      <c r="L94">
        <f>IF(COUNTIFS(T_StockCount[RM_Code],$A94,T_StockCount[WeekIndex],11)&gt;0,SUMIFS(T_StockCount[CountedQty],T_StockCount[RM_Code],$A94,T_StockCount[WeekIndex],11),IF((COUNTIFS(T_SelfStock[RM_Code],$A94,T_SelfStock[WeekIndex],11)&gt;0)*(COUNTIFS(T_TTAFStock[RM_Code],$A94,T_TTAFStock[WeekIndex],11)&gt;0)&gt;0,SUMIFS(T_SelfStock[Self_Qty],T_SelfStock[RM_Code],$A94,T_SelfStock[WeekIndex],11)+SUMIFS(T_TTAFStock[TTAF_Qty],T_TTAFStock[RM_Code],$A94,T_TTAFStock[WeekIndex],11),K94+'Grid_Incoming'!L94-'Grid_Requirement'!L94))</f>
        <v/>
      </c>
      <c r="M94">
        <f>IF(COUNTIFS(T_StockCount[RM_Code],$A94,T_StockCount[WeekIndex],12)&gt;0,SUMIFS(T_StockCount[CountedQty],T_StockCount[RM_Code],$A94,T_StockCount[WeekIndex],12),IF((COUNTIFS(T_SelfStock[RM_Code],$A94,T_SelfStock[WeekIndex],12)&gt;0)*(COUNTIFS(T_TTAFStock[RM_Code],$A94,T_TTAFStock[WeekIndex],12)&gt;0)&gt;0,SUMIFS(T_SelfStock[Self_Qty],T_SelfStock[RM_Code],$A94,T_SelfStock[WeekIndex],12)+SUMIFS(T_TTAFStock[TTAF_Qty],T_TTAFStock[RM_Code],$A94,T_TTAFStock[WeekIndex],12),L94+'Grid_Incoming'!M94-'Grid_Requirement'!M94))</f>
        <v/>
      </c>
      <c r="N94">
        <f>IF(COUNTIFS(T_StockCount[RM_Code],$A94,T_StockCount[WeekIndex],13)&gt;0,SUMIFS(T_StockCount[CountedQty],T_StockCount[RM_Code],$A94,T_StockCount[WeekIndex],13),IF((COUNTIFS(T_SelfStock[RM_Code],$A94,T_SelfStock[WeekIndex],13)&gt;0)*(COUNTIFS(T_TTAFStock[RM_Code],$A94,T_TTAFStock[WeekIndex],13)&gt;0)&gt;0,SUMIFS(T_SelfStock[Self_Qty],T_SelfStock[RM_Code],$A94,T_SelfStock[WeekIndex],13)+SUMIFS(T_TTAFStock[TTAF_Qty],T_TTAFStock[RM_Code],$A94,T_TTAFStock[WeekIndex],13),M94+'Grid_Incoming'!N94-'Grid_Requirement'!N94))</f>
        <v/>
      </c>
      <c r="O94">
        <f>IF(COUNTIFS(T_StockCount[RM_Code],$A94,T_StockCount[WeekIndex],14)&gt;0,SUMIFS(T_StockCount[CountedQty],T_StockCount[RM_Code],$A94,T_StockCount[WeekIndex],14),IF((COUNTIFS(T_SelfStock[RM_Code],$A94,T_SelfStock[WeekIndex],14)&gt;0)*(COUNTIFS(T_TTAFStock[RM_Code],$A94,T_TTAFStock[WeekIndex],14)&gt;0)&gt;0,SUMIFS(T_SelfStock[Self_Qty],T_SelfStock[RM_Code],$A94,T_SelfStock[WeekIndex],14)+SUMIFS(T_TTAFStock[TTAF_Qty],T_TTAFStock[RM_Code],$A94,T_TTAFStock[WeekIndex],14),N94+'Grid_Incoming'!O94-'Grid_Requirement'!O94))</f>
        <v/>
      </c>
      <c r="P94">
        <f>IF(COUNTIFS(T_StockCount[RM_Code],$A94,T_StockCount[WeekIndex],15)&gt;0,SUMIFS(T_StockCount[CountedQty],T_StockCount[RM_Code],$A94,T_StockCount[WeekIndex],15),IF((COUNTIFS(T_SelfStock[RM_Code],$A94,T_SelfStock[WeekIndex],15)&gt;0)*(COUNTIFS(T_TTAFStock[RM_Code],$A94,T_TTAFStock[WeekIndex],15)&gt;0)&gt;0,SUMIFS(T_SelfStock[Self_Qty],T_SelfStock[RM_Code],$A94,T_SelfStock[WeekIndex],15)+SUMIFS(T_TTAFStock[TTAF_Qty],T_TTAFStock[RM_Code],$A94,T_TTAFStock[WeekIndex],15),O94+'Grid_Incoming'!P94-'Grid_Requirement'!P94))</f>
        <v/>
      </c>
      <c r="Q94">
        <f>IF(COUNTIFS(T_StockCount[RM_Code],$A94,T_StockCount[WeekIndex],16)&gt;0,SUMIFS(T_StockCount[CountedQty],T_StockCount[RM_Code],$A94,T_StockCount[WeekIndex],16),IF((COUNTIFS(T_SelfStock[RM_Code],$A94,T_SelfStock[WeekIndex],16)&gt;0)*(COUNTIFS(T_TTAFStock[RM_Code],$A94,T_TTAFStock[WeekIndex],16)&gt;0)&gt;0,SUMIFS(T_SelfStock[Self_Qty],T_SelfStock[RM_Code],$A94,T_SelfStock[WeekIndex],16)+SUMIFS(T_TTAFStock[TTAF_Qty],T_TTAFStock[RM_Code],$A94,T_TTAFStock[WeekIndex],16),P94+'Grid_Incoming'!Q94-'Grid_Requirement'!Q94))</f>
        <v/>
      </c>
      <c r="R94">
        <f>IF(COUNTIFS(T_StockCount[RM_Code],$A94,T_StockCount[WeekIndex],17)&gt;0,SUMIFS(T_StockCount[CountedQty],T_StockCount[RM_Code],$A94,T_StockCount[WeekIndex],17),IF((COUNTIFS(T_SelfStock[RM_Code],$A94,T_SelfStock[WeekIndex],17)&gt;0)*(COUNTIFS(T_TTAFStock[RM_Code],$A94,T_TTAFStock[WeekIndex],17)&gt;0)&gt;0,SUMIFS(T_SelfStock[Self_Qty],T_SelfStock[RM_Code],$A94,T_SelfStock[WeekIndex],17)+SUMIFS(T_TTAFStock[TTAF_Qty],T_TTAFStock[RM_Code],$A94,T_TTAFStock[WeekIndex],17),Q94+'Grid_Incoming'!R94-'Grid_Requirement'!R94))</f>
        <v/>
      </c>
      <c r="S94">
        <f>IF(COUNTIFS(T_StockCount[RM_Code],$A94,T_StockCount[WeekIndex],18)&gt;0,SUMIFS(T_StockCount[CountedQty],T_StockCount[RM_Code],$A94,T_StockCount[WeekIndex],18),IF((COUNTIFS(T_SelfStock[RM_Code],$A94,T_SelfStock[WeekIndex],18)&gt;0)*(COUNTIFS(T_TTAFStock[RM_Code],$A94,T_TTAFStock[WeekIndex],18)&gt;0)&gt;0,SUMIFS(T_SelfStock[Self_Qty],T_SelfStock[RM_Code],$A94,T_SelfStock[WeekIndex],18)+SUMIFS(T_TTAFStock[TTAF_Qty],T_TTAFStock[RM_Code],$A94,T_TTAFStock[WeekIndex],18),R94+'Grid_Incoming'!S94-'Grid_Requirement'!S94))</f>
        <v/>
      </c>
      <c r="T94">
        <f>IF(COUNTIFS(T_StockCount[RM_Code],$A94,T_StockCount[WeekIndex],19)&gt;0,SUMIFS(T_StockCount[CountedQty],T_StockCount[RM_Code],$A94,T_StockCount[WeekIndex],19),IF((COUNTIFS(T_SelfStock[RM_Code],$A94,T_SelfStock[WeekIndex],19)&gt;0)*(COUNTIFS(T_TTAFStock[RM_Code],$A94,T_TTAFStock[WeekIndex],19)&gt;0)&gt;0,SUMIFS(T_SelfStock[Self_Qty],T_SelfStock[RM_Code],$A94,T_SelfStock[WeekIndex],19)+SUMIFS(T_TTAFStock[TTAF_Qty],T_TTAFStock[RM_Code],$A94,T_TTAFStock[WeekIndex],19),S94+'Grid_Incoming'!T94-'Grid_Requirement'!T94))</f>
        <v/>
      </c>
      <c r="U94">
        <f>IF(COUNTIFS(T_StockCount[RM_Code],$A94,T_StockCount[WeekIndex],20)&gt;0,SUMIFS(T_StockCount[CountedQty],T_StockCount[RM_Code],$A94,T_StockCount[WeekIndex],20),IF((COUNTIFS(T_SelfStock[RM_Code],$A94,T_SelfStock[WeekIndex],20)&gt;0)*(COUNTIFS(T_TTAFStock[RM_Code],$A94,T_TTAFStock[WeekIndex],20)&gt;0)&gt;0,SUMIFS(T_SelfStock[Self_Qty],T_SelfStock[RM_Code],$A94,T_SelfStock[WeekIndex],20)+SUMIFS(T_TTAFStock[TTAF_Qty],T_TTAFStock[RM_Code],$A94,T_TTAFStock[WeekIndex],20),T94+'Grid_Incoming'!U94-'Grid_Requirement'!U94))</f>
        <v/>
      </c>
      <c r="V94">
        <f>IF(COUNTIFS(T_StockCount[RM_Code],$A94,T_StockCount[WeekIndex],21)&gt;0,SUMIFS(T_StockCount[CountedQty],T_StockCount[RM_Code],$A94,T_StockCount[WeekIndex],21),IF((COUNTIFS(T_SelfStock[RM_Code],$A94,T_SelfStock[WeekIndex],21)&gt;0)*(COUNTIFS(T_TTAFStock[RM_Code],$A94,T_TTAFStock[WeekIndex],21)&gt;0)&gt;0,SUMIFS(T_SelfStock[Self_Qty],T_SelfStock[RM_Code],$A94,T_SelfStock[WeekIndex],21)+SUMIFS(T_TTAFStock[TTAF_Qty],T_TTAFStock[RM_Code],$A94,T_TTAFStock[WeekIndex],21),U94+'Grid_Incoming'!V94-'Grid_Requirement'!V94))</f>
        <v/>
      </c>
      <c r="W94">
        <f>IF(COUNTIFS(T_StockCount[RM_Code],$A94,T_StockCount[WeekIndex],22)&gt;0,SUMIFS(T_StockCount[CountedQty],T_StockCount[RM_Code],$A94,T_StockCount[WeekIndex],22),IF((COUNTIFS(T_SelfStock[RM_Code],$A94,T_SelfStock[WeekIndex],22)&gt;0)*(COUNTIFS(T_TTAFStock[RM_Code],$A94,T_TTAFStock[WeekIndex],22)&gt;0)&gt;0,SUMIFS(T_SelfStock[Self_Qty],T_SelfStock[RM_Code],$A94,T_SelfStock[WeekIndex],22)+SUMIFS(T_TTAFStock[TTAF_Qty],T_TTAFStock[RM_Code],$A94,T_TTAFStock[WeekIndex],22),V94+'Grid_Incoming'!W94-'Grid_Requirement'!W94))</f>
        <v/>
      </c>
      <c r="X94">
        <f>IF(COUNTIFS(T_StockCount[RM_Code],$A94,T_StockCount[WeekIndex],23)&gt;0,SUMIFS(T_StockCount[CountedQty],T_StockCount[RM_Code],$A94,T_StockCount[WeekIndex],23),IF((COUNTIFS(T_SelfStock[RM_Code],$A94,T_SelfStock[WeekIndex],23)&gt;0)*(COUNTIFS(T_TTAFStock[RM_Code],$A94,T_TTAFStock[WeekIndex],23)&gt;0)&gt;0,SUMIFS(T_SelfStock[Self_Qty],T_SelfStock[RM_Code],$A94,T_SelfStock[WeekIndex],23)+SUMIFS(T_TTAFStock[TTAF_Qty],T_TTAFStock[RM_Code],$A94,T_TTAFStock[WeekIndex],23),W94+'Grid_Incoming'!X94-'Grid_Requirement'!X94))</f>
        <v/>
      </c>
      <c r="Y94">
        <f>IF(COUNTIFS(T_StockCount[RM_Code],$A94,T_StockCount[WeekIndex],24)&gt;0,SUMIFS(T_StockCount[CountedQty],T_StockCount[RM_Code],$A94,T_StockCount[WeekIndex],24),IF((COUNTIFS(T_SelfStock[RM_Code],$A94,T_SelfStock[WeekIndex],24)&gt;0)*(COUNTIFS(T_TTAFStock[RM_Code],$A94,T_TTAFStock[WeekIndex],24)&gt;0)&gt;0,SUMIFS(T_SelfStock[Self_Qty],T_SelfStock[RM_Code],$A94,T_SelfStock[WeekIndex],24)+SUMIFS(T_TTAFStock[TTAF_Qty],T_TTAFStock[RM_Code],$A94,T_TTAFStock[WeekIndex],24),X94+'Grid_Incoming'!Y94-'Grid_Requirement'!Y94))</f>
        <v/>
      </c>
      <c r="Z94">
        <f>IF(COUNTIFS(T_StockCount[RM_Code],$A94,T_StockCount[WeekIndex],25)&gt;0,SUMIFS(T_StockCount[CountedQty],T_StockCount[RM_Code],$A94,T_StockCount[WeekIndex],25),IF((COUNTIFS(T_SelfStock[RM_Code],$A94,T_SelfStock[WeekIndex],25)&gt;0)*(COUNTIFS(T_TTAFStock[RM_Code],$A94,T_TTAFStock[WeekIndex],25)&gt;0)&gt;0,SUMIFS(T_SelfStock[Self_Qty],T_SelfStock[RM_Code],$A94,T_SelfStock[WeekIndex],25)+SUMIFS(T_TTAFStock[TTAF_Qty],T_TTAFStock[RM_Code],$A94,T_TTAFStock[WeekIndex],25),Y94+'Grid_Incoming'!Z94-'Grid_Requirement'!Z94))</f>
        <v/>
      </c>
      <c r="AA94">
        <f>IF(COUNTIFS(T_StockCount[RM_Code],$A94,T_StockCount[WeekIndex],26)&gt;0,SUMIFS(T_StockCount[CountedQty],T_StockCount[RM_Code],$A94,T_StockCount[WeekIndex],26),IF((COUNTIFS(T_SelfStock[RM_Code],$A94,T_SelfStock[WeekIndex],26)&gt;0)*(COUNTIFS(T_TTAFStock[RM_Code],$A94,T_TTAFStock[WeekIndex],26)&gt;0)&gt;0,SUMIFS(T_SelfStock[Self_Qty],T_SelfStock[RM_Code],$A94,T_SelfStock[WeekIndex],26)+SUMIFS(T_TTAFStock[TTAF_Qty],T_TTAFStock[RM_Code],$A94,T_TTAFStock[WeekIndex],26),Z94+'Grid_Incoming'!AA94-'Grid_Requirement'!AA94))</f>
        <v/>
      </c>
      <c r="AB94">
        <f>IF(COUNTIFS(T_StockCount[RM_Code],$A94,T_StockCount[WeekIndex],27)&gt;0,SUMIFS(T_StockCount[CountedQty],T_StockCount[RM_Code],$A94,T_StockCount[WeekIndex],27),IF((COUNTIFS(T_SelfStock[RM_Code],$A94,T_SelfStock[WeekIndex],27)&gt;0)*(COUNTIFS(T_TTAFStock[RM_Code],$A94,T_TTAFStock[WeekIndex],27)&gt;0)&gt;0,SUMIFS(T_SelfStock[Self_Qty],T_SelfStock[RM_Code],$A94,T_SelfStock[WeekIndex],27)+SUMIFS(T_TTAFStock[TTAF_Qty],T_TTAFStock[RM_Code],$A94,T_TTAFStock[WeekIndex],27),AA94+'Grid_Incoming'!AB94-'Grid_Requirement'!AB94))</f>
        <v/>
      </c>
      <c r="AC94">
        <f>IF(COUNTIFS(T_StockCount[RM_Code],$A94,T_StockCount[WeekIndex],28)&gt;0,SUMIFS(T_StockCount[CountedQty],T_StockCount[RM_Code],$A94,T_StockCount[WeekIndex],28),IF((COUNTIFS(T_SelfStock[RM_Code],$A94,T_SelfStock[WeekIndex],28)&gt;0)*(COUNTIFS(T_TTAFStock[RM_Code],$A94,T_TTAFStock[WeekIndex],28)&gt;0)&gt;0,SUMIFS(T_SelfStock[Self_Qty],T_SelfStock[RM_Code],$A94,T_SelfStock[WeekIndex],28)+SUMIFS(T_TTAFStock[TTAF_Qty],T_TTAFStock[RM_Code],$A94,T_TTAFStock[WeekIndex],28),AB94+'Grid_Incoming'!AC94-'Grid_Requirement'!AC94))</f>
        <v/>
      </c>
      <c r="AD94">
        <f>IF(COUNTIFS(T_StockCount[RM_Code],$A94,T_StockCount[WeekIndex],29)&gt;0,SUMIFS(T_StockCount[CountedQty],T_StockCount[RM_Code],$A94,T_StockCount[WeekIndex],29),IF((COUNTIFS(T_SelfStock[RM_Code],$A94,T_SelfStock[WeekIndex],29)&gt;0)*(COUNTIFS(T_TTAFStock[RM_Code],$A94,T_TTAFStock[WeekIndex],29)&gt;0)&gt;0,SUMIFS(T_SelfStock[Self_Qty],T_SelfStock[RM_Code],$A94,T_SelfStock[WeekIndex],29)+SUMIFS(T_TTAFStock[TTAF_Qty],T_TTAFStock[RM_Code],$A94,T_TTAFStock[WeekIndex],29),AC94+'Grid_Incoming'!AD94-'Grid_Requirement'!AD94))</f>
        <v/>
      </c>
      <c r="AE94">
        <f>IF(COUNTIFS(T_StockCount[RM_Code],$A94,T_StockCount[WeekIndex],30)&gt;0,SUMIFS(T_StockCount[CountedQty],T_StockCount[RM_Code],$A94,T_StockCount[WeekIndex],30),IF((COUNTIFS(T_SelfStock[RM_Code],$A94,T_SelfStock[WeekIndex],30)&gt;0)*(COUNTIFS(T_TTAFStock[RM_Code],$A94,T_TTAFStock[WeekIndex],30)&gt;0)&gt;0,SUMIFS(T_SelfStock[Self_Qty],T_SelfStock[RM_Code],$A94,T_SelfStock[WeekIndex],30)+SUMIFS(T_TTAFStock[TTAF_Qty],T_TTAFStock[RM_Code],$A94,T_TTAFStock[WeekIndex],30),AD94+'Grid_Incoming'!AE94-'Grid_Requirement'!AE94))</f>
        <v/>
      </c>
      <c r="AF94">
        <f>IF(COUNTIFS(T_StockCount[RM_Code],$A94,T_StockCount[WeekIndex],31)&gt;0,SUMIFS(T_StockCount[CountedQty],T_StockCount[RM_Code],$A94,T_StockCount[WeekIndex],31),IF((COUNTIFS(T_SelfStock[RM_Code],$A94,T_SelfStock[WeekIndex],31)&gt;0)*(COUNTIFS(T_TTAFStock[RM_Code],$A94,T_TTAFStock[WeekIndex],31)&gt;0)&gt;0,SUMIFS(T_SelfStock[Self_Qty],T_SelfStock[RM_Code],$A94,T_SelfStock[WeekIndex],31)+SUMIFS(T_TTAFStock[TTAF_Qty],T_TTAFStock[RM_Code],$A94,T_TTAFStock[WeekIndex],31),AE94+'Grid_Incoming'!AF94-'Grid_Requirement'!AF94))</f>
        <v/>
      </c>
      <c r="AG94">
        <f>IF(COUNTIFS(T_StockCount[RM_Code],$A94,T_StockCount[WeekIndex],32)&gt;0,SUMIFS(T_StockCount[CountedQty],T_StockCount[RM_Code],$A94,T_StockCount[WeekIndex],32),IF((COUNTIFS(T_SelfStock[RM_Code],$A94,T_SelfStock[WeekIndex],32)&gt;0)*(COUNTIFS(T_TTAFStock[RM_Code],$A94,T_TTAFStock[WeekIndex],32)&gt;0)&gt;0,SUMIFS(T_SelfStock[Self_Qty],T_SelfStock[RM_Code],$A94,T_SelfStock[WeekIndex],32)+SUMIFS(T_TTAFStock[TTAF_Qty],T_TTAFStock[RM_Code],$A94,T_TTAFStock[WeekIndex],32),AF94+'Grid_Incoming'!AG94-'Grid_Requirement'!AG94))</f>
        <v/>
      </c>
      <c r="AH94">
        <f>IF(COUNTIFS(T_StockCount[RM_Code],$A94,T_StockCount[WeekIndex],33)&gt;0,SUMIFS(T_StockCount[CountedQty],T_StockCount[RM_Code],$A94,T_StockCount[WeekIndex],33),IF((COUNTIFS(T_SelfStock[RM_Code],$A94,T_SelfStock[WeekIndex],33)&gt;0)*(COUNTIFS(T_TTAFStock[RM_Code],$A94,T_TTAFStock[WeekIndex],33)&gt;0)&gt;0,SUMIFS(T_SelfStock[Self_Qty],T_SelfStock[RM_Code],$A94,T_SelfStock[WeekIndex],33)+SUMIFS(T_TTAFStock[TTAF_Qty],T_TTAFStock[RM_Code],$A94,T_TTAFStock[WeekIndex],33),AG94+'Grid_Incoming'!AH94-'Grid_Requirement'!AH94))</f>
        <v/>
      </c>
      <c r="AI94">
        <f>IF(COUNTIFS(T_StockCount[RM_Code],$A94,T_StockCount[WeekIndex],34)&gt;0,SUMIFS(T_StockCount[CountedQty],T_StockCount[RM_Code],$A94,T_StockCount[WeekIndex],34),IF((COUNTIFS(T_SelfStock[RM_Code],$A94,T_SelfStock[WeekIndex],34)&gt;0)*(COUNTIFS(T_TTAFStock[RM_Code],$A94,T_TTAFStock[WeekIndex],34)&gt;0)&gt;0,SUMIFS(T_SelfStock[Self_Qty],T_SelfStock[RM_Code],$A94,T_SelfStock[WeekIndex],34)+SUMIFS(T_TTAFStock[TTAF_Qty],T_TTAFStock[RM_Code],$A94,T_TTAFStock[WeekIndex],34),AH94+'Grid_Incoming'!AI94-'Grid_Requirement'!AI94))</f>
        <v/>
      </c>
      <c r="AJ94">
        <f>IF(COUNTIFS(T_StockCount[RM_Code],$A94,T_StockCount[WeekIndex],35)&gt;0,SUMIFS(T_StockCount[CountedQty],T_StockCount[RM_Code],$A94,T_StockCount[WeekIndex],35),IF((COUNTIFS(T_SelfStock[RM_Code],$A94,T_SelfStock[WeekIndex],35)&gt;0)*(COUNTIFS(T_TTAFStock[RM_Code],$A94,T_TTAFStock[WeekIndex],35)&gt;0)&gt;0,SUMIFS(T_SelfStock[Self_Qty],T_SelfStock[RM_Code],$A94,T_SelfStock[WeekIndex],35)+SUMIFS(T_TTAFStock[TTAF_Qty],T_TTAFStock[RM_Code],$A94,T_TTAFStock[WeekIndex],35),AI94+'Grid_Incoming'!AJ94-'Grid_Requirement'!AJ94))</f>
        <v/>
      </c>
      <c r="AK94">
        <f>IF(COUNTIFS(T_StockCount[RM_Code],$A94,T_StockCount[WeekIndex],36)&gt;0,SUMIFS(T_StockCount[CountedQty],T_StockCount[RM_Code],$A94,T_StockCount[WeekIndex],36),IF((COUNTIFS(T_SelfStock[RM_Code],$A94,T_SelfStock[WeekIndex],36)&gt;0)*(COUNTIFS(T_TTAFStock[RM_Code],$A94,T_TTAFStock[WeekIndex],36)&gt;0)&gt;0,SUMIFS(T_SelfStock[Self_Qty],T_SelfStock[RM_Code],$A94,T_SelfStock[WeekIndex],36)+SUMIFS(T_TTAFStock[TTAF_Qty],T_TTAFStock[RM_Code],$A94,T_TTAFStock[WeekIndex],36),AJ94+'Grid_Incoming'!AK94-'Grid_Requirement'!AK94))</f>
        <v/>
      </c>
      <c r="AL94">
        <f>IF(COUNTIFS(T_StockCount[RM_Code],$A94,T_StockCount[WeekIndex],37)&gt;0,SUMIFS(T_StockCount[CountedQty],T_StockCount[RM_Code],$A94,T_StockCount[WeekIndex],37),IF((COUNTIFS(T_SelfStock[RM_Code],$A94,T_SelfStock[WeekIndex],37)&gt;0)*(COUNTIFS(T_TTAFStock[RM_Code],$A94,T_TTAFStock[WeekIndex],37)&gt;0)&gt;0,SUMIFS(T_SelfStock[Self_Qty],T_SelfStock[RM_Code],$A94,T_SelfStock[WeekIndex],37)+SUMIFS(T_TTAFStock[TTAF_Qty],T_TTAFStock[RM_Code],$A94,T_TTAFStock[WeekIndex],37),AK94+'Grid_Incoming'!AL94-'Grid_Requirement'!AL94))</f>
        <v/>
      </c>
      <c r="AM94">
        <f>IF(COUNTIFS(T_StockCount[RM_Code],$A94,T_StockCount[WeekIndex],38)&gt;0,SUMIFS(T_StockCount[CountedQty],T_StockCount[RM_Code],$A94,T_StockCount[WeekIndex],38),IF((COUNTIFS(T_SelfStock[RM_Code],$A94,T_SelfStock[WeekIndex],38)&gt;0)*(COUNTIFS(T_TTAFStock[RM_Code],$A94,T_TTAFStock[WeekIndex],38)&gt;0)&gt;0,SUMIFS(T_SelfStock[Self_Qty],T_SelfStock[RM_Code],$A94,T_SelfStock[WeekIndex],38)+SUMIFS(T_TTAFStock[TTAF_Qty],T_TTAFStock[RM_Code],$A94,T_TTAFStock[WeekIndex],38),AL94+'Grid_Incoming'!AM94-'Grid_Requirement'!AM94))</f>
        <v/>
      </c>
      <c r="AN94">
        <f>IF(COUNTIFS(T_StockCount[RM_Code],$A94,T_StockCount[WeekIndex],39)&gt;0,SUMIFS(T_StockCount[CountedQty],T_StockCount[RM_Code],$A94,T_StockCount[WeekIndex],39),IF((COUNTIFS(T_SelfStock[RM_Code],$A94,T_SelfStock[WeekIndex],39)&gt;0)*(COUNTIFS(T_TTAFStock[RM_Code],$A94,T_TTAFStock[WeekIndex],39)&gt;0)&gt;0,SUMIFS(T_SelfStock[Self_Qty],T_SelfStock[RM_Code],$A94,T_SelfStock[WeekIndex],39)+SUMIFS(T_TTAFStock[TTAF_Qty],T_TTAFStock[RM_Code],$A94,T_TTAFStock[WeekIndex],39),AM94+'Grid_Incoming'!AN94-'Grid_Requirement'!AN94))</f>
        <v/>
      </c>
      <c r="AO94">
        <f>IF(COUNTIFS(T_StockCount[RM_Code],$A94,T_StockCount[WeekIndex],40)&gt;0,SUMIFS(T_StockCount[CountedQty],T_StockCount[RM_Code],$A94,T_StockCount[WeekIndex],40),IF((COUNTIFS(T_SelfStock[RM_Code],$A94,T_SelfStock[WeekIndex],40)&gt;0)*(COUNTIFS(T_TTAFStock[RM_Code],$A94,T_TTAFStock[WeekIndex],40)&gt;0)&gt;0,SUMIFS(T_SelfStock[Self_Qty],T_SelfStock[RM_Code],$A94,T_SelfStock[WeekIndex],40)+SUMIFS(T_TTAFStock[TTAF_Qty],T_TTAFStock[RM_Code],$A94,T_TTAFStock[WeekIndex],40),AN94+'Grid_Incoming'!AO94-'Grid_Requirement'!AO94))</f>
        <v/>
      </c>
      <c r="AP94">
        <f>IF(COUNTIFS(T_StockCount[RM_Code],$A94,T_StockCount[WeekIndex],41)&gt;0,SUMIFS(T_StockCount[CountedQty],T_StockCount[RM_Code],$A94,T_StockCount[WeekIndex],41),IF((COUNTIFS(T_SelfStock[RM_Code],$A94,T_SelfStock[WeekIndex],41)&gt;0)*(COUNTIFS(T_TTAFStock[RM_Code],$A94,T_TTAFStock[WeekIndex],41)&gt;0)&gt;0,SUMIFS(T_SelfStock[Self_Qty],T_SelfStock[RM_Code],$A94,T_SelfStock[WeekIndex],41)+SUMIFS(T_TTAFStock[TTAF_Qty],T_TTAFStock[RM_Code],$A94,T_TTAFStock[WeekIndex],41),AO94+'Grid_Incoming'!AP94-'Grid_Requirement'!AP94))</f>
        <v/>
      </c>
      <c r="AQ94">
        <f>IF(COUNTIFS(T_StockCount[RM_Code],$A94,T_StockCount[WeekIndex],42)&gt;0,SUMIFS(T_StockCount[CountedQty],T_StockCount[RM_Code],$A94,T_StockCount[WeekIndex],42),IF((COUNTIFS(T_SelfStock[RM_Code],$A94,T_SelfStock[WeekIndex],42)&gt;0)*(COUNTIFS(T_TTAFStock[RM_Code],$A94,T_TTAFStock[WeekIndex],42)&gt;0)&gt;0,SUMIFS(T_SelfStock[Self_Qty],T_SelfStock[RM_Code],$A94,T_SelfStock[WeekIndex],42)+SUMIFS(T_TTAFStock[TTAF_Qty],T_TTAFStock[RM_Code],$A94,T_TTAFStock[WeekIndex],42),AP94+'Grid_Incoming'!AQ94-'Grid_Requirement'!AQ94))</f>
        <v/>
      </c>
      <c r="AR94">
        <f>IF(COUNTIFS(T_StockCount[RM_Code],$A94,T_StockCount[WeekIndex],43)&gt;0,SUMIFS(T_StockCount[CountedQty],T_StockCount[RM_Code],$A94,T_StockCount[WeekIndex],43),IF((COUNTIFS(T_SelfStock[RM_Code],$A94,T_SelfStock[WeekIndex],43)&gt;0)*(COUNTIFS(T_TTAFStock[RM_Code],$A94,T_TTAFStock[WeekIndex],43)&gt;0)&gt;0,SUMIFS(T_SelfStock[Self_Qty],T_SelfStock[RM_Code],$A94,T_SelfStock[WeekIndex],43)+SUMIFS(T_TTAFStock[TTAF_Qty],T_TTAFStock[RM_Code],$A94,T_TTAFStock[WeekIndex],43),AQ94+'Grid_Incoming'!AR94-'Grid_Requirement'!AR94))</f>
        <v/>
      </c>
      <c r="AS94">
        <f>IF(COUNTIFS(T_StockCount[RM_Code],$A94,T_StockCount[WeekIndex],44)&gt;0,SUMIFS(T_StockCount[CountedQty],T_StockCount[RM_Code],$A94,T_StockCount[WeekIndex],44),IF((COUNTIFS(T_SelfStock[RM_Code],$A94,T_SelfStock[WeekIndex],44)&gt;0)*(COUNTIFS(T_TTAFStock[RM_Code],$A94,T_TTAFStock[WeekIndex],44)&gt;0)&gt;0,SUMIFS(T_SelfStock[Self_Qty],T_SelfStock[RM_Code],$A94,T_SelfStock[WeekIndex],44)+SUMIFS(T_TTAFStock[TTAF_Qty],T_TTAFStock[RM_Code],$A94,T_TTAFStock[WeekIndex],44),AR94+'Grid_Incoming'!AS94-'Grid_Requirement'!AS94))</f>
        <v/>
      </c>
      <c r="AT94">
        <f>IF(COUNTIFS(T_StockCount[RM_Code],$A94,T_StockCount[WeekIndex],45)&gt;0,SUMIFS(T_StockCount[CountedQty],T_StockCount[RM_Code],$A94,T_StockCount[WeekIndex],45),IF((COUNTIFS(T_SelfStock[RM_Code],$A94,T_SelfStock[WeekIndex],45)&gt;0)*(COUNTIFS(T_TTAFStock[RM_Code],$A94,T_TTAFStock[WeekIndex],45)&gt;0)&gt;0,SUMIFS(T_SelfStock[Self_Qty],T_SelfStock[RM_Code],$A94,T_SelfStock[WeekIndex],45)+SUMIFS(T_TTAFStock[TTAF_Qty],T_TTAFStock[RM_Code],$A94,T_TTAFStock[WeekIndex],45),AS94+'Grid_Incoming'!AT94-'Grid_Requirement'!AT94))</f>
        <v/>
      </c>
      <c r="AU94">
        <f>IF(COUNTIFS(T_StockCount[RM_Code],$A94,T_StockCount[WeekIndex],46)&gt;0,SUMIFS(T_StockCount[CountedQty],T_StockCount[RM_Code],$A94,T_StockCount[WeekIndex],46),IF((COUNTIFS(T_SelfStock[RM_Code],$A94,T_SelfStock[WeekIndex],46)&gt;0)*(COUNTIFS(T_TTAFStock[RM_Code],$A94,T_TTAFStock[WeekIndex],46)&gt;0)&gt;0,SUMIFS(T_SelfStock[Self_Qty],T_SelfStock[RM_Code],$A94,T_SelfStock[WeekIndex],46)+SUMIFS(T_TTAFStock[TTAF_Qty],T_TTAFStock[RM_Code],$A94,T_TTAFStock[WeekIndex],46),AT94+'Grid_Incoming'!AU94-'Grid_Requirement'!AU94))</f>
        <v/>
      </c>
      <c r="AV94">
        <f>IF(COUNTIFS(T_StockCount[RM_Code],$A94,T_StockCount[WeekIndex],47)&gt;0,SUMIFS(T_StockCount[CountedQty],T_StockCount[RM_Code],$A94,T_StockCount[WeekIndex],47),IF((COUNTIFS(T_SelfStock[RM_Code],$A94,T_SelfStock[WeekIndex],47)&gt;0)*(COUNTIFS(T_TTAFStock[RM_Code],$A94,T_TTAFStock[WeekIndex],47)&gt;0)&gt;0,SUMIFS(T_SelfStock[Self_Qty],T_SelfStock[RM_Code],$A94,T_SelfStock[WeekIndex],47)+SUMIFS(T_TTAFStock[TTAF_Qty],T_TTAFStock[RM_Code],$A94,T_TTAFStock[WeekIndex],47),AU94+'Grid_Incoming'!AV94-'Grid_Requirement'!AV94))</f>
        <v/>
      </c>
      <c r="AW94">
        <f>IF(COUNTIFS(T_StockCount[RM_Code],$A94,T_StockCount[WeekIndex],48)&gt;0,SUMIFS(T_StockCount[CountedQty],T_StockCount[RM_Code],$A94,T_StockCount[WeekIndex],48),IF((COUNTIFS(T_SelfStock[RM_Code],$A94,T_SelfStock[WeekIndex],48)&gt;0)*(COUNTIFS(T_TTAFStock[RM_Code],$A94,T_TTAFStock[WeekIndex],48)&gt;0)&gt;0,SUMIFS(T_SelfStock[Self_Qty],T_SelfStock[RM_Code],$A94,T_SelfStock[WeekIndex],48)+SUMIFS(T_TTAFStock[TTAF_Qty],T_TTAFStock[RM_Code],$A94,T_TTAFStock[WeekIndex],48),AV94+'Grid_Incoming'!AW94-'Grid_Requirement'!AW94))</f>
        <v/>
      </c>
      <c r="AX94">
        <f>IF(COUNTIFS(T_StockCount[RM_Code],$A94,T_StockCount[WeekIndex],49)&gt;0,SUMIFS(T_StockCount[CountedQty],T_StockCount[RM_Code],$A94,T_StockCount[WeekIndex],49),IF((COUNTIFS(T_SelfStock[RM_Code],$A94,T_SelfStock[WeekIndex],49)&gt;0)*(COUNTIFS(T_TTAFStock[RM_Code],$A94,T_TTAFStock[WeekIndex],49)&gt;0)&gt;0,SUMIFS(T_SelfStock[Self_Qty],T_SelfStock[RM_Code],$A94,T_SelfStock[WeekIndex],49)+SUMIFS(T_TTAFStock[TTAF_Qty],T_TTAFStock[RM_Code],$A94,T_TTAFStock[WeekIndex],49),AW94+'Grid_Incoming'!AX94-'Grid_Requirement'!AX94))</f>
        <v/>
      </c>
      <c r="AY94">
        <f>IF(COUNTIFS(T_StockCount[RM_Code],$A94,T_StockCount[WeekIndex],50)&gt;0,SUMIFS(T_StockCount[CountedQty],T_StockCount[RM_Code],$A94,T_StockCount[WeekIndex],50),IF((COUNTIFS(T_SelfStock[RM_Code],$A94,T_SelfStock[WeekIndex],50)&gt;0)*(COUNTIFS(T_TTAFStock[RM_Code],$A94,T_TTAFStock[WeekIndex],50)&gt;0)&gt;0,SUMIFS(T_SelfStock[Self_Qty],T_SelfStock[RM_Code],$A94,T_SelfStock[WeekIndex],50)+SUMIFS(T_TTAFStock[TTAF_Qty],T_TTAFStock[RM_Code],$A94,T_TTAFStock[WeekIndex],50),AX94+'Grid_Incoming'!AY94-'Grid_Requirement'!AY94))</f>
        <v/>
      </c>
      <c r="AZ94">
        <f>IF(COUNTIFS(T_StockCount[RM_Code],$A94,T_StockCount[WeekIndex],51)&gt;0,SUMIFS(T_StockCount[CountedQty],T_StockCount[RM_Code],$A94,T_StockCount[WeekIndex],51),IF((COUNTIFS(T_SelfStock[RM_Code],$A94,T_SelfStock[WeekIndex],51)&gt;0)*(COUNTIFS(T_TTAFStock[RM_Code],$A94,T_TTAFStock[WeekIndex],51)&gt;0)&gt;0,SUMIFS(T_SelfStock[Self_Qty],T_SelfStock[RM_Code],$A94,T_SelfStock[WeekIndex],51)+SUMIFS(T_TTAFStock[TTAF_Qty],T_TTAFStock[RM_Code],$A94,T_TTAFStock[WeekIndex],51),AY94+'Grid_Incoming'!AZ94-'Grid_Requirement'!AZ94))</f>
        <v/>
      </c>
      <c r="BA94">
        <f>IF(COUNTIFS(T_StockCount[RM_Code],$A94,T_StockCount[WeekIndex],52)&gt;0,SUMIFS(T_StockCount[CountedQty],T_StockCount[RM_Code],$A94,T_StockCount[WeekIndex],52),IF((COUNTIFS(T_SelfStock[RM_Code],$A94,T_SelfStock[WeekIndex],52)&gt;0)*(COUNTIFS(T_TTAFStock[RM_Code],$A94,T_TTAFStock[WeekIndex],52)&gt;0)&gt;0,SUMIFS(T_SelfStock[Self_Qty],T_SelfStock[RM_Code],$A94,T_SelfStock[WeekIndex],52)+SUMIFS(T_TTAFStock[TTAF_Qty],T_TTAFStock[RM_Code],$A94,T_TTAFStock[WeekIndex],52),AZ94+'Grid_Incoming'!BA94-'Grid_Requirement'!BA94))</f>
        <v/>
      </c>
      <c r="BB94">
        <f>IF(COUNTIFS(T_StockCount[RM_Code],$A94,T_StockCount[WeekIndex],53)&gt;0,SUMIFS(T_StockCount[CountedQty],T_StockCount[RM_Code],$A94,T_StockCount[WeekIndex],53),IF((COUNTIFS(T_SelfStock[RM_Code],$A94,T_SelfStock[WeekIndex],53)&gt;0)*(COUNTIFS(T_TTAFStock[RM_Code],$A94,T_TTAFStock[WeekIndex],53)&gt;0)&gt;0,SUMIFS(T_SelfStock[Self_Qty],T_SelfStock[RM_Code],$A94,T_SelfStock[WeekIndex],53)+SUMIFS(T_TTAFStock[TTAF_Qty],T_TTAFStock[RM_Code],$A94,T_TTAFStock[WeekIndex],53),BA94+'Grid_Incoming'!BB94-'Grid_Requirement'!BB94))</f>
        <v/>
      </c>
      <c r="BC94">
        <f>IF(COUNTIFS(T_StockCount[RM_Code],$A94,T_StockCount[WeekIndex],54)&gt;0,SUMIFS(T_StockCount[CountedQty],T_StockCount[RM_Code],$A94,T_StockCount[WeekIndex],54),IF((COUNTIFS(T_SelfStock[RM_Code],$A94,T_SelfStock[WeekIndex],54)&gt;0)*(COUNTIFS(T_TTAFStock[RM_Code],$A94,T_TTAFStock[WeekIndex],54)&gt;0)&gt;0,SUMIFS(T_SelfStock[Self_Qty],T_SelfStock[RM_Code],$A94,T_SelfStock[WeekIndex],54)+SUMIFS(T_TTAFStock[TTAF_Qty],T_TTAFStock[RM_Code],$A94,T_TTAFStock[WeekIndex],54),BB94+'Grid_Incoming'!BC94-'Grid_Requirement'!BC94))</f>
        <v/>
      </c>
      <c r="BD94">
        <f>IF(COUNTIFS(T_StockCount[RM_Code],$A94,T_StockCount[WeekIndex],55)&gt;0,SUMIFS(T_StockCount[CountedQty],T_StockCount[RM_Code],$A94,T_StockCount[WeekIndex],55),IF((COUNTIFS(T_SelfStock[RM_Code],$A94,T_SelfStock[WeekIndex],55)&gt;0)*(COUNTIFS(T_TTAFStock[RM_Code],$A94,T_TTAFStock[WeekIndex],55)&gt;0)&gt;0,SUMIFS(T_SelfStock[Self_Qty],T_SelfStock[RM_Code],$A94,T_SelfStock[WeekIndex],55)+SUMIFS(T_TTAFStock[TTAF_Qty],T_TTAFStock[RM_Code],$A94,T_TTAFStock[WeekIndex],55),BC94+'Grid_Incoming'!BD94-'Grid_Requirement'!BD94))</f>
        <v/>
      </c>
      <c r="BE94">
        <f>IF(COUNTIFS(T_StockCount[RM_Code],$A94,T_StockCount[WeekIndex],56)&gt;0,SUMIFS(T_StockCount[CountedQty],T_StockCount[RM_Code],$A94,T_StockCount[WeekIndex],56),IF((COUNTIFS(T_SelfStock[RM_Code],$A94,T_SelfStock[WeekIndex],56)&gt;0)*(COUNTIFS(T_TTAFStock[RM_Code],$A94,T_TTAFStock[WeekIndex],56)&gt;0)&gt;0,SUMIFS(T_SelfStock[Self_Qty],T_SelfStock[RM_Code],$A94,T_SelfStock[WeekIndex],56)+SUMIFS(T_TTAFStock[TTAF_Qty],T_TTAFStock[RM_Code],$A94,T_TTAFStock[WeekIndex],56),BD94+'Grid_Incoming'!BE94-'Grid_Requirement'!BE94))</f>
        <v/>
      </c>
      <c r="BF94">
        <f>IF(COUNTIFS(T_StockCount[RM_Code],$A94,T_StockCount[WeekIndex],57)&gt;0,SUMIFS(T_StockCount[CountedQty],T_StockCount[RM_Code],$A94,T_StockCount[WeekIndex],57),IF((COUNTIFS(T_SelfStock[RM_Code],$A94,T_SelfStock[WeekIndex],57)&gt;0)*(COUNTIFS(T_TTAFStock[RM_Code],$A94,T_TTAFStock[WeekIndex],57)&gt;0)&gt;0,SUMIFS(T_SelfStock[Self_Qty],T_SelfStock[RM_Code],$A94,T_SelfStock[WeekIndex],57)+SUMIFS(T_TTAFStock[TTAF_Qty],T_TTAFStock[RM_Code],$A94,T_TTAFStock[WeekIndex],57),BE94+'Grid_Incoming'!BF94-'Grid_Requirement'!BF94))</f>
        <v/>
      </c>
      <c r="BG94">
        <f>IF(COUNTIFS(T_StockCount[RM_Code],$A94,T_StockCount[WeekIndex],58)&gt;0,SUMIFS(T_StockCount[CountedQty],T_StockCount[RM_Code],$A94,T_StockCount[WeekIndex],58),IF((COUNTIFS(T_SelfStock[RM_Code],$A94,T_SelfStock[WeekIndex],58)&gt;0)*(COUNTIFS(T_TTAFStock[RM_Code],$A94,T_TTAFStock[WeekIndex],58)&gt;0)&gt;0,SUMIFS(T_SelfStock[Self_Qty],T_SelfStock[RM_Code],$A94,T_SelfStock[WeekIndex],58)+SUMIFS(T_TTAFStock[TTAF_Qty],T_TTAFStock[RM_Code],$A94,T_TTAFStock[WeekIndex],58),BF94+'Grid_Incoming'!BG94-'Grid_Requirement'!BG94))</f>
        <v/>
      </c>
      <c r="BH94">
        <f>IF(COUNTIFS(T_StockCount[RM_Code],$A94,T_StockCount[WeekIndex],59)&gt;0,SUMIFS(T_StockCount[CountedQty],T_StockCount[RM_Code],$A94,T_StockCount[WeekIndex],59),IF((COUNTIFS(T_SelfStock[RM_Code],$A94,T_SelfStock[WeekIndex],59)&gt;0)*(COUNTIFS(T_TTAFStock[RM_Code],$A94,T_TTAFStock[WeekIndex],59)&gt;0)&gt;0,SUMIFS(T_SelfStock[Self_Qty],T_SelfStock[RM_Code],$A94,T_SelfStock[WeekIndex],59)+SUMIFS(T_TTAFStock[TTAF_Qty],T_TTAFStock[RM_Code],$A94,T_TTAFStock[WeekIndex],59),BG94+'Grid_Incoming'!BH94-'Grid_Requirement'!BH94))</f>
        <v/>
      </c>
      <c r="BI94">
        <f>IF(COUNTIFS(T_StockCount[RM_Code],$A94,T_StockCount[WeekIndex],60)&gt;0,SUMIFS(T_StockCount[CountedQty],T_StockCount[RM_Code],$A94,T_StockCount[WeekIndex],60),IF((COUNTIFS(T_SelfStock[RM_Code],$A94,T_SelfStock[WeekIndex],60)&gt;0)*(COUNTIFS(T_TTAFStock[RM_Code],$A94,T_TTAFStock[WeekIndex],60)&gt;0)&gt;0,SUMIFS(T_SelfStock[Self_Qty],T_SelfStock[RM_Code],$A94,T_SelfStock[WeekIndex],60)+SUMIFS(T_TTAFStock[TTAF_Qty],T_TTAFStock[RM_Code],$A94,T_TTAFStock[WeekIndex],60),BH94+'Grid_Incoming'!BI94-'Grid_Requirement'!BI94))</f>
        <v/>
      </c>
      <c r="BJ94">
        <f>IF(COUNTIFS(T_StockCount[RM_Code],$A94,T_StockCount[WeekIndex],61)&gt;0,SUMIFS(T_StockCount[CountedQty],T_StockCount[RM_Code],$A94,T_StockCount[WeekIndex],61),IF((COUNTIFS(T_SelfStock[RM_Code],$A94,T_SelfStock[WeekIndex],61)&gt;0)*(COUNTIFS(T_TTAFStock[RM_Code],$A94,T_TTAFStock[WeekIndex],61)&gt;0)&gt;0,SUMIFS(T_SelfStock[Self_Qty],T_SelfStock[RM_Code],$A94,T_SelfStock[WeekIndex],61)+SUMIFS(T_TTAFStock[TTAF_Qty],T_TTAFStock[RM_Code],$A94,T_TTAFStock[WeekIndex],61),BI94+'Grid_Incoming'!BJ94-'Grid_Requirement'!BJ94))</f>
        <v/>
      </c>
      <c r="BK94">
        <f>IF(COUNTIFS(T_StockCount[RM_Code],$A94,T_StockCount[WeekIndex],62)&gt;0,SUMIFS(T_StockCount[CountedQty],T_StockCount[RM_Code],$A94,T_StockCount[WeekIndex],62),IF((COUNTIFS(T_SelfStock[RM_Code],$A94,T_SelfStock[WeekIndex],62)&gt;0)*(COUNTIFS(T_TTAFStock[RM_Code],$A94,T_TTAFStock[WeekIndex],62)&gt;0)&gt;0,SUMIFS(T_SelfStock[Self_Qty],T_SelfStock[RM_Code],$A94,T_SelfStock[WeekIndex],62)+SUMIFS(T_TTAFStock[TTAF_Qty],T_TTAFStock[RM_Code],$A94,T_TTAFStock[WeekIndex],62),BJ94+'Grid_Incoming'!BK94-'Grid_Requirement'!BK94))</f>
        <v/>
      </c>
      <c r="BL94">
        <f>IF(COUNTIFS(T_StockCount[RM_Code],$A94,T_StockCount[WeekIndex],63)&gt;0,SUMIFS(T_StockCount[CountedQty],T_StockCount[RM_Code],$A94,T_StockCount[WeekIndex],63),IF((COUNTIFS(T_SelfStock[RM_Code],$A94,T_SelfStock[WeekIndex],63)&gt;0)*(COUNTIFS(T_TTAFStock[RM_Code],$A94,T_TTAFStock[WeekIndex],63)&gt;0)&gt;0,SUMIFS(T_SelfStock[Self_Qty],T_SelfStock[RM_Code],$A94,T_SelfStock[WeekIndex],63)+SUMIFS(T_TTAFStock[TTAF_Qty],T_TTAFStock[RM_Code],$A94,T_TTAFStock[WeekIndex],63),BK94+'Grid_Incoming'!BL94-'Grid_Requirement'!BL94))</f>
        <v/>
      </c>
      <c r="BM94">
        <f>IF(COUNTIFS(T_StockCount[RM_Code],$A94,T_StockCount[WeekIndex],64)&gt;0,SUMIFS(T_StockCount[CountedQty],T_StockCount[RM_Code],$A94,T_StockCount[WeekIndex],64),IF((COUNTIFS(T_SelfStock[RM_Code],$A94,T_SelfStock[WeekIndex],64)&gt;0)*(COUNTIFS(T_TTAFStock[RM_Code],$A94,T_TTAFStock[WeekIndex],64)&gt;0)&gt;0,SUMIFS(T_SelfStock[Self_Qty],T_SelfStock[RM_Code],$A94,T_SelfStock[WeekIndex],64)+SUMIFS(T_TTAFStock[TTAF_Qty],T_TTAFStock[RM_Code],$A94,T_TTAFStock[WeekIndex],64),BL94+'Grid_Incoming'!BM94-'Grid_Requirement'!BM94))</f>
        <v/>
      </c>
      <c r="BN94">
        <f>IF(COUNTIFS(T_StockCount[RM_Code],$A94,T_StockCount[WeekIndex],65)&gt;0,SUMIFS(T_StockCount[CountedQty],T_StockCount[RM_Code],$A94,T_StockCount[WeekIndex],65),IF((COUNTIFS(T_SelfStock[RM_Code],$A94,T_SelfStock[WeekIndex],65)&gt;0)*(COUNTIFS(T_TTAFStock[RM_Code],$A94,T_TTAFStock[WeekIndex],65)&gt;0)&gt;0,SUMIFS(T_SelfStock[Self_Qty],T_SelfStock[RM_Code],$A94,T_SelfStock[WeekIndex],65)+SUMIFS(T_TTAFStock[TTAF_Qty],T_TTAFStock[RM_Code],$A94,T_TTAFStock[WeekIndex],65),BM94+'Grid_Incoming'!BN94-'Grid_Requirement'!BN94))</f>
        <v/>
      </c>
      <c r="BO94">
        <f>IF(COUNTIFS(T_StockCount[RM_Code],$A94,T_StockCount[WeekIndex],66)&gt;0,SUMIFS(T_StockCount[CountedQty],T_StockCount[RM_Code],$A94,T_StockCount[WeekIndex],66),IF((COUNTIFS(T_SelfStock[RM_Code],$A94,T_SelfStock[WeekIndex],66)&gt;0)*(COUNTIFS(T_TTAFStock[RM_Code],$A94,T_TTAFStock[WeekIndex],66)&gt;0)&gt;0,SUMIFS(T_SelfStock[Self_Qty],T_SelfStock[RM_Code],$A94,T_SelfStock[WeekIndex],66)+SUMIFS(T_TTAFStock[TTAF_Qty],T_TTAFStock[RM_Code],$A94,T_TTAFStock[WeekIndex],66),BN94+'Grid_Incoming'!BO94-'Grid_Requirement'!BO94))</f>
        <v/>
      </c>
      <c r="BP94">
        <f>IF(COUNTIFS(T_StockCount[RM_Code],$A94,T_StockCount[WeekIndex],67)&gt;0,SUMIFS(T_StockCount[CountedQty],T_StockCount[RM_Code],$A94,T_StockCount[WeekIndex],67),IF((COUNTIFS(T_SelfStock[RM_Code],$A94,T_SelfStock[WeekIndex],67)&gt;0)*(COUNTIFS(T_TTAFStock[RM_Code],$A94,T_TTAFStock[WeekIndex],67)&gt;0)&gt;0,SUMIFS(T_SelfStock[Self_Qty],T_SelfStock[RM_Code],$A94,T_SelfStock[WeekIndex],67)+SUMIFS(T_TTAFStock[TTAF_Qty],T_TTAFStock[RM_Code],$A94,T_TTAFStock[WeekIndex],67),BO94+'Grid_Incoming'!BP94-'Grid_Requirement'!BP94))</f>
        <v/>
      </c>
      <c r="BQ94">
        <f>IF(COUNTIFS(T_StockCount[RM_Code],$A94,T_StockCount[WeekIndex],68)&gt;0,SUMIFS(T_StockCount[CountedQty],T_StockCount[RM_Code],$A94,T_StockCount[WeekIndex],68),IF((COUNTIFS(T_SelfStock[RM_Code],$A94,T_SelfStock[WeekIndex],68)&gt;0)*(COUNTIFS(T_TTAFStock[RM_Code],$A94,T_TTAFStock[WeekIndex],68)&gt;0)&gt;0,SUMIFS(T_SelfStock[Self_Qty],T_SelfStock[RM_Code],$A94,T_SelfStock[WeekIndex],68)+SUMIFS(T_TTAFStock[TTAF_Qty],T_TTAFStock[RM_Code],$A94,T_TTAFStock[WeekIndex],68),BP94+'Grid_Incoming'!BQ94-'Grid_Requirement'!BQ94))</f>
        <v/>
      </c>
      <c r="BR94">
        <f>IF(COUNTIFS(T_StockCount[RM_Code],$A94,T_StockCount[WeekIndex],69)&gt;0,SUMIFS(T_StockCount[CountedQty],T_StockCount[RM_Code],$A94,T_StockCount[WeekIndex],69),IF((COUNTIFS(T_SelfStock[RM_Code],$A94,T_SelfStock[WeekIndex],69)&gt;0)*(COUNTIFS(T_TTAFStock[RM_Code],$A94,T_TTAFStock[WeekIndex],69)&gt;0)&gt;0,SUMIFS(T_SelfStock[Self_Qty],T_SelfStock[RM_Code],$A94,T_SelfStock[WeekIndex],69)+SUMIFS(T_TTAFStock[TTAF_Qty],T_TTAFStock[RM_Code],$A94,T_TTAFStock[WeekIndex],69),BQ94+'Grid_Incoming'!BR94-'Grid_Requirement'!BR94))</f>
        <v/>
      </c>
      <c r="BS94">
        <f>IF(COUNTIFS(T_StockCount[RM_Code],$A94,T_StockCount[WeekIndex],70)&gt;0,SUMIFS(T_StockCount[CountedQty],T_StockCount[RM_Code],$A94,T_StockCount[WeekIndex],70),IF((COUNTIFS(T_SelfStock[RM_Code],$A94,T_SelfStock[WeekIndex],70)&gt;0)*(COUNTIFS(T_TTAFStock[RM_Code],$A94,T_TTAFStock[WeekIndex],70)&gt;0)&gt;0,SUMIFS(T_SelfStock[Self_Qty],T_SelfStock[RM_Code],$A94,T_SelfStock[WeekIndex],70)+SUMIFS(T_TTAFStock[TTAF_Qty],T_TTAFStock[RM_Code],$A94,T_TTAFStock[WeekIndex],70),BR94+'Grid_Incoming'!BS94-'Grid_Requirement'!BS94))</f>
        <v/>
      </c>
      <c r="BT94">
        <f>IF(COUNTIFS(T_StockCount[RM_Code],$A94,T_StockCount[WeekIndex],71)&gt;0,SUMIFS(T_StockCount[CountedQty],T_StockCount[RM_Code],$A94,T_StockCount[WeekIndex],71),IF((COUNTIFS(T_SelfStock[RM_Code],$A94,T_SelfStock[WeekIndex],71)&gt;0)*(COUNTIFS(T_TTAFStock[RM_Code],$A94,T_TTAFStock[WeekIndex],71)&gt;0)&gt;0,SUMIFS(T_SelfStock[Self_Qty],T_SelfStock[RM_Code],$A94,T_SelfStock[WeekIndex],71)+SUMIFS(T_TTAFStock[TTAF_Qty],T_TTAFStock[RM_Code],$A94,T_TTAFStock[WeekIndex],71),BS94+'Grid_Incoming'!BT94-'Grid_Requirement'!BT94))</f>
        <v/>
      </c>
      <c r="BU94">
        <f>IF(COUNTIFS(T_StockCount[RM_Code],$A94,T_StockCount[WeekIndex],72)&gt;0,SUMIFS(T_StockCount[CountedQty],T_StockCount[RM_Code],$A94,T_StockCount[WeekIndex],72),IF((COUNTIFS(T_SelfStock[RM_Code],$A94,T_SelfStock[WeekIndex],72)&gt;0)*(COUNTIFS(T_TTAFStock[RM_Code],$A94,T_TTAFStock[WeekIndex],72)&gt;0)&gt;0,SUMIFS(T_SelfStock[Self_Qty],T_SelfStock[RM_Code],$A94,T_SelfStock[WeekIndex],72)+SUMIFS(T_TTAFStock[TTAF_Qty],T_TTAFStock[RM_Code],$A94,T_TTAFStock[WeekIndex],72),BT94+'Grid_Incoming'!BU94-'Grid_Requirement'!BU94))</f>
        <v/>
      </c>
      <c r="BV94">
        <f>IF(COUNTIFS(T_StockCount[RM_Code],$A94,T_StockCount[WeekIndex],73)&gt;0,SUMIFS(T_StockCount[CountedQty],T_StockCount[RM_Code],$A94,T_StockCount[WeekIndex],73),IF((COUNTIFS(T_SelfStock[RM_Code],$A94,T_SelfStock[WeekIndex],73)&gt;0)*(COUNTIFS(T_TTAFStock[RM_Code],$A94,T_TTAFStock[WeekIndex],73)&gt;0)&gt;0,SUMIFS(T_SelfStock[Self_Qty],T_SelfStock[RM_Code],$A94,T_SelfStock[WeekIndex],73)+SUMIFS(T_TTAFStock[TTAF_Qty],T_TTAFStock[RM_Code],$A94,T_TTAFStock[WeekIndex],73),BU94+'Grid_Incoming'!BV94-'Grid_Requirement'!BV94))</f>
        <v/>
      </c>
      <c r="BW94">
        <f>IF(COUNTIFS(T_StockCount[RM_Code],$A94,T_StockCount[WeekIndex],74)&gt;0,SUMIFS(T_StockCount[CountedQty],T_StockCount[RM_Code],$A94,T_StockCount[WeekIndex],74),IF((COUNTIFS(T_SelfStock[RM_Code],$A94,T_SelfStock[WeekIndex],74)&gt;0)*(COUNTIFS(T_TTAFStock[RM_Code],$A94,T_TTAFStock[WeekIndex],74)&gt;0)&gt;0,SUMIFS(T_SelfStock[Self_Qty],T_SelfStock[RM_Code],$A94,T_SelfStock[WeekIndex],74)+SUMIFS(T_TTAFStock[TTAF_Qty],T_TTAFStock[RM_Code],$A94,T_TTAFStock[WeekIndex],74),BV94+'Grid_Incoming'!BW94-'Grid_Requirement'!BW94))</f>
        <v/>
      </c>
      <c r="BX94">
        <f>IF(COUNTIFS(T_StockCount[RM_Code],$A94,T_StockCount[WeekIndex],75)&gt;0,SUMIFS(T_StockCount[CountedQty],T_StockCount[RM_Code],$A94,T_StockCount[WeekIndex],75),IF((COUNTIFS(T_SelfStock[RM_Code],$A94,T_SelfStock[WeekIndex],75)&gt;0)*(COUNTIFS(T_TTAFStock[RM_Code],$A94,T_TTAFStock[WeekIndex],75)&gt;0)&gt;0,SUMIFS(T_SelfStock[Self_Qty],T_SelfStock[RM_Code],$A94,T_SelfStock[WeekIndex],75)+SUMIFS(T_TTAFStock[TTAF_Qty],T_TTAFStock[RM_Code],$A94,T_TTAFStock[WeekIndex],75),BW94+'Grid_Incoming'!BX94-'Grid_Requirement'!BX94))</f>
        <v/>
      </c>
      <c r="BY94">
        <f>IF(COUNTIFS(T_StockCount[RM_Code],$A94,T_StockCount[WeekIndex],76)&gt;0,SUMIFS(T_StockCount[CountedQty],T_StockCount[RM_Code],$A94,T_StockCount[WeekIndex],76),IF((COUNTIFS(T_SelfStock[RM_Code],$A94,T_SelfStock[WeekIndex],76)&gt;0)*(COUNTIFS(T_TTAFStock[RM_Code],$A94,T_TTAFStock[WeekIndex],76)&gt;0)&gt;0,SUMIFS(T_SelfStock[Self_Qty],T_SelfStock[RM_Code],$A94,T_SelfStock[WeekIndex],76)+SUMIFS(T_TTAFStock[TTAF_Qty],T_TTAFStock[RM_Code],$A94,T_TTAFStock[WeekIndex],76),BX94+'Grid_Incoming'!BY94-'Grid_Requirement'!BY94))</f>
        <v/>
      </c>
      <c r="BZ94">
        <f>IF(COUNTIFS(T_StockCount[RM_Code],$A94,T_StockCount[WeekIndex],77)&gt;0,SUMIFS(T_StockCount[CountedQty],T_StockCount[RM_Code],$A94,T_StockCount[WeekIndex],77),IF((COUNTIFS(T_SelfStock[RM_Code],$A94,T_SelfStock[WeekIndex],77)&gt;0)*(COUNTIFS(T_TTAFStock[RM_Code],$A94,T_TTAFStock[WeekIndex],77)&gt;0)&gt;0,SUMIFS(T_SelfStock[Self_Qty],T_SelfStock[RM_Code],$A94,T_SelfStock[WeekIndex],77)+SUMIFS(T_TTAFStock[TTAF_Qty],T_TTAFStock[RM_Code],$A94,T_TTAFStock[WeekIndex],77),BY94+'Grid_Incoming'!BZ94-'Grid_Requirement'!BZ94))</f>
        <v/>
      </c>
      <c r="CA94">
        <f>IF(COUNTIFS(T_StockCount[RM_Code],$A94,T_StockCount[WeekIndex],78)&gt;0,SUMIFS(T_StockCount[CountedQty],T_StockCount[RM_Code],$A94,T_StockCount[WeekIndex],78),IF((COUNTIFS(T_SelfStock[RM_Code],$A94,T_SelfStock[WeekIndex],78)&gt;0)*(COUNTIFS(T_TTAFStock[RM_Code],$A94,T_TTAFStock[WeekIndex],78)&gt;0)&gt;0,SUMIFS(T_SelfStock[Self_Qty],T_SelfStock[RM_Code],$A94,T_SelfStock[WeekIndex],78)+SUMIFS(T_TTAFStock[TTAF_Qty],T_TTAFStock[RM_Code],$A94,T_TTAFStock[WeekIndex],78),BZ94+'Grid_Incoming'!CA94-'Grid_Requirement'!CA94))</f>
        <v/>
      </c>
      <c r="CB94">
        <f>IF(COUNTIFS(T_StockCount[RM_Code],$A94,T_StockCount[WeekIndex],79)&gt;0,SUMIFS(T_StockCount[CountedQty],T_StockCount[RM_Code],$A94,T_StockCount[WeekIndex],79),IF((COUNTIFS(T_SelfStock[RM_Code],$A94,T_SelfStock[WeekIndex],79)&gt;0)*(COUNTIFS(T_TTAFStock[RM_Code],$A94,T_TTAFStock[WeekIndex],79)&gt;0)&gt;0,SUMIFS(T_SelfStock[Self_Qty],T_SelfStock[RM_Code],$A94,T_SelfStock[WeekIndex],79)+SUMIFS(T_TTAFStock[TTAF_Qty],T_TTAFStock[RM_Code],$A94,T_TTAFStock[WeekIndex],79),CA94+'Grid_Incoming'!CB94-'Grid_Requirement'!CB94))</f>
        <v/>
      </c>
      <c r="CC94">
        <f>IF(COUNTIFS(T_StockCount[RM_Code],$A94,T_StockCount[WeekIndex],80)&gt;0,SUMIFS(T_StockCount[CountedQty],T_StockCount[RM_Code],$A94,T_StockCount[WeekIndex],80),IF((COUNTIFS(T_SelfStock[RM_Code],$A94,T_SelfStock[WeekIndex],80)&gt;0)*(COUNTIFS(T_TTAFStock[RM_Code],$A94,T_TTAFStock[WeekIndex],80)&gt;0)&gt;0,SUMIFS(T_SelfStock[Self_Qty],T_SelfStock[RM_Code],$A94,T_SelfStock[WeekIndex],80)+SUMIFS(T_TTAFStock[TTAF_Qty],T_TTAFStock[RM_Code],$A94,T_TTAFStock[WeekIndex],80),CB94+'Grid_Incoming'!CC94-'Grid_Requirement'!CC94))</f>
        <v/>
      </c>
      <c r="CD94">
        <f>IF(COUNTIFS(T_StockCount[RM_Code],$A94,T_StockCount[WeekIndex],81)&gt;0,SUMIFS(T_StockCount[CountedQty],T_StockCount[RM_Code],$A94,T_StockCount[WeekIndex],81),IF((COUNTIFS(T_SelfStock[RM_Code],$A94,T_SelfStock[WeekIndex],81)&gt;0)*(COUNTIFS(T_TTAFStock[RM_Code],$A94,T_TTAFStock[WeekIndex],81)&gt;0)&gt;0,SUMIFS(T_SelfStock[Self_Qty],T_SelfStock[RM_Code],$A94,T_SelfStock[WeekIndex],81)+SUMIFS(T_TTAFStock[TTAF_Qty],T_TTAFStock[RM_Code],$A94,T_TTAFStock[WeekIndex],81),CC94+'Grid_Incoming'!CD94-'Grid_Requirement'!CD94))</f>
        <v/>
      </c>
      <c r="CE94">
        <f>IF(COUNTIFS(T_StockCount[RM_Code],$A94,T_StockCount[WeekIndex],82)&gt;0,SUMIFS(T_StockCount[CountedQty],T_StockCount[RM_Code],$A94,T_StockCount[WeekIndex],82),IF((COUNTIFS(T_SelfStock[RM_Code],$A94,T_SelfStock[WeekIndex],82)&gt;0)*(COUNTIFS(T_TTAFStock[RM_Code],$A94,T_TTAFStock[WeekIndex],82)&gt;0)&gt;0,SUMIFS(T_SelfStock[Self_Qty],T_SelfStock[RM_Code],$A94,T_SelfStock[WeekIndex],82)+SUMIFS(T_TTAFStock[TTAF_Qty],T_TTAFStock[RM_Code],$A94,T_TTAFStock[WeekIndex],82),CD94+'Grid_Incoming'!CE94-'Grid_Requirement'!CE94))</f>
        <v/>
      </c>
      <c r="CF94">
        <f>IF(COUNTIFS(T_StockCount[RM_Code],$A94,T_StockCount[WeekIndex],83)&gt;0,SUMIFS(T_StockCount[CountedQty],T_StockCount[RM_Code],$A94,T_StockCount[WeekIndex],83),IF((COUNTIFS(T_SelfStock[RM_Code],$A94,T_SelfStock[WeekIndex],83)&gt;0)*(COUNTIFS(T_TTAFStock[RM_Code],$A94,T_TTAFStock[WeekIndex],83)&gt;0)&gt;0,SUMIFS(T_SelfStock[Self_Qty],T_SelfStock[RM_Code],$A94,T_SelfStock[WeekIndex],83)+SUMIFS(T_TTAFStock[TTAF_Qty],T_TTAFStock[RM_Code],$A94,T_TTAFStock[WeekIndex],83),CE94+'Grid_Incoming'!CF94-'Grid_Requirement'!CF94))</f>
        <v/>
      </c>
      <c r="CG94">
        <f>IF(COUNTIFS(T_StockCount[RM_Code],$A94,T_StockCount[WeekIndex],84)&gt;0,SUMIFS(T_StockCount[CountedQty],T_StockCount[RM_Code],$A94,T_StockCount[WeekIndex],84),IF((COUNTIFS(T_SelfStock[RM_Code],$A94,T_SelfStock[WeekIndex],84)&gt;0)*(COUNTIFS(T_TTAFStock[RM_Code],$A94,T_TTAFStock[WeekIndex],84)&gt;0)&gt;0,SUMIFS(T_SelfStock[Self_Qty],T_SelfStock[RM_Code],$A94,T_SelfStock[WeekIndex],84)+SUMIFS(T_TTAFStock[TTAF_Qty],T_TTAFStock[RM_Code],$A94,T_TTAFStock[WeekIndex],84),CF94+'Grid_Incoming'!CG94-'Grid_Requirement'!CG94))</f>
        <v/>
      </c>
      <c r="CH94">
        <f>IF(COUNTIFS(T_StockCount[RM_Code],$A94,T_StockCount[WeekIndex],85)&gt;0,SUMIFS(T_StockCount[CountedQty],T_StockCount[RM_Code],$A94,T_StockCount[WeekIndex],85),IF((COUNTIFS(T_SelfStock[RM_Code],$A94,T_SelfStock[WeekIndex],85)&gt;0)*(COUNTIFS(T_TTAFStock[RM_Code],$A94,T_TTAFStock[WeekIndex],85)&gt;0)&gt;0,SUMIFS(T_SelfStock[Self_Qty],T_SelfStock[RM_Code],$A94,T_SelfStock[WeekIndex],85)+SUMIFS(T_TTAFStock[TTAF_Qty],T_TTAFStock[RM_Code],$A94,T_TTAFStock[WeekIndex],85),CG94+'Grid_Incoming'!CH94-'Grid_Requirement'!CH94))</f>
        <v/>
      </c>
      <c r="CI94">
        <f>IF(COUNTIFS(T_StockCount[RM_Code],$A94,T_StockCount[WeekIndex],86)&gt;0,SUMIFS(T_StockCount[CountedQty],T_StockCount[RM_Code],$A94,T_StockCount[WeekIndex],86),IF((COUNTIFS(T_SelfStock[RM_Code],$A94,T_SelfStock[WeekIndex],86)&gt;0)*(COUNTIFS(T_TTAFStock[RM_Code],$A94,T_TTAFStock[WeekIndex],86)&gt;0)&gt;0,SUMIFS(T_SelfStock[Self_Qty],T_SelfStock[RM_Code],$A94,T_SelfStock[WeekIndex],86)+SUMIFS(T_TTAFStock[TTAF_Qty],T_TTAFStock[RM_Code],$A94,T_TTAFStock[WeekIndex],86),CH94+'Grid_Incoming'!CI94-'Grid_Requirement'!CI94))</f>
        <v/>
      </c>
      <c r="CJ94">
        <f>IF(COUNTIFS(T_StockCount[RM_Code],$A94,T_StockCount[WeekIndex],87)&gt;0,SUMIFS(T_StockCount[CountedQty],T_StockCount[RM_Code],$A94,T_StockCount[WeekIndex],87),IF((COUNTIFS(T_SelfStock[RM_Code],$A94,T_SelfStock[WeekIndex],87)&gt;0)*(COUNTIFS(T_TTAFStock[RM_Code],$A94,T_TTAFStock[WeekIndex],87)&gt;0)&gt;0,SUMIFS(T_SelfStock[Self_Qty],T_SelfStock[RM_Code],$A94,T_SelfStock[WeekIndex],87)+SUMIFS(T_TTAFStock[TTAF_Qty],T_TTAFStock[RM_Code],$A94,T_TTAFStock[WeekIndex],87),CI94+'Grid_Incoming'!CJ94-'Grid_Requirement'!CJ94))</f>
        <v/>
      </c>
      <c r="CK94">
        <f>IF(COUNTIFS(T_StockCount[RM_Code],$A94,T_StockCount[WeekIndex],88)&gt;0,SUMIFS(T_StockCount[CountedQty],T_StockCount[RM_Code],$A94,T_StockCount[WeekIndex],88),IF((COUNTIFS(T_SelfStock[RM_Code],$A94,T_SelfStock[WeekIndex],88)&gt;0)*(COUNTIFS(T_TTAFStock[RM_Code],$A94,T_TTAFStock[WeekIndex],88)&gt;0)&gt;0,SUMIFS(T_SelfStock[Self_Qty],T_SelfStock[RM_Code],$A94,T_SelfStock[WeekIndex],88)+SUMIFS(T_TTAFStock[TTAF_Qty],T_TTAFStock[RM_Code],$A94,T_TTAFStock[WeekIndex],88),CJ94+'Grid_Incoming'!CK94-'Grid_Requirement'!CK94))</f>
        <v/>
      </c>
      <c r="CL94">
        <f>IF(COUNTIFS(T_StockCount[RM_Code],$A94,T_StockCount[WeekIndex],89)&gt;0,SUMIFS(T_StockCount[CountedQty],T_StockCount[RM_Code],$A94,T_StockCount[WeekIndex],89),IF((COUNTIFS(T_SelfStock[RM_Code],$A94,T_SelfStock[WeekIndex],89)&gt;0)*(COUNTIFS(T_TTAFStock[RM_Code],$A94,T_TTAFStock[WeekIndex],89)&gt;0)&gt;0,SUMIFS(T_SelfStock[Self_Qty],T_SelfStock[RM_Code],$A94,T_SelfStock[WeekIndex],89)+SUMIFS(T_TTAFStock[TTAF_Qty],T_TTAFStock[RM_Code],$A94,T_TTAFStock[WeekIndex],89),CK94+'Grid_Incoming'!CL94-'Grid_Requirement'!CL94))</f>
        <v/>
      </c>
      <c r="CM94">
        <f>IF(COUNTIFS(T_StockCount[RM_Code],$A94,T_StockCount[WeekIndex],90)&gt;0,SUMIFS(T_StockCount[CountedQty],T_StockCount[RM_Code],$A94,T_StockCount[WeekIndex],90),IF((COUNTIFS(T_SelfStock[RM_Code],$A94,T_SelfStock[WeekIndex],90)&gt;0)*(COUNTIFS(T_TTAFStock[RM_Code],$A94,T_TTAFStock[WeekIndex],90)&gt;0)&gt;0,SUMIFS(T_SelfStock[Self_Qty],T_SelfStock[RM_Code],$A94,T_SelfStock[WeekIndex],90)+SUMIFS(T_TTAFStock[TTAF_Qty],T_TTAFStock[RM_Code],$A94,T_TTAFStock[WeekIndex],90),CL94+'Grid_Incoming'!CM94-'Grid_Requirement'!CM94))</f>
        <v/>
      </c>
      <c r="CN94">
        <f>IF(COUNTIFS(T_StockCount[RM_Code],$A94,T_StockCount[WeekIndex],91)&gt;0,SUMIFS(T_StockCount[CountedQty],T_StockCount[RM_Code],$A94,T_StockCount[WeekIndex],91),IF((COUNTIFS(T_SelfStock[RM_Code],$A94,T_SelfStock[WeekIndex],91)&gt;0)*(COUNTIFS(T_TTAFStock[RM_Code],$A94,T_TTAFStock[WeekIndex],91)&gt;0)&gt;0,SUMIFS(T_SelfStock[Self_Qty],T_SelfStock[RM_Code],$A94,T_SelfStock[WeekIndex],91)+SUMIFS(T_TTAFStock[TTAF_Qty],T_TTAFStock[RM_Code],$A94,T_TTAFStock[WeekIndex],91),CM94+'Grid_Incoming'!CN94-'Grid_Requirement'!CN94))</f>
        <v/>
      </c>
      <c r="CO94">
        <f>IF(COUNTIFS(T_StockCount[RM_Code],$A94,T_StockCount[WeekIndex],92)&gt;0,SUMIFS(T_StockCount[CountedQty],T_StockCount[RM_Code],$A94,T_StockCount[WeekIndex],92),IF((COUNTIFS(T_SelfStock[RM_Code],$A94,T_SelfStock[WeekIndex],92)&gt;0)*(COUNTIFS(T_TTAFStock[RM_Code],$A94,T_TTAFStock[WeekIndex],92)&gt;0)&gt;0,SUMIFS(T_SelfStock[Self_Qty],T_SelfStock[RM_Code],$A94,T_SelfStock[WeekIndex],92)+SUMIFS(T_TTAFStock[TTAF_Qty],T_TTAFStock[RM_Code],$A94,T_TTAFStock[WeekIndex],92),CN94+'Grid_Incoming'!CO94-'Grid_Requirement'!CO94))</f>
        <v/>
      </c>
      <c r="CP94">
        <f>IF(COUNTIFS(T_StockCount[RM_Code],$A94,T_StockCount[WeekIndex],93)&gt;0,SUMIFS(T_StockCount[CountedQty],T_StockCount[RM_Code],$A94,T_StockCount[WeekIndex],93),IF((COUNTIFS(T_SelfStock[RM_Code],$A94,T_SelfStock[WeekIndex],93)&gt;0)*(COUNTIFS(T_TTAFStock[RM_Code],$A94,T_TTAFStock[WeekIndex],93)&gt;0)&gt;0,SUMIFS(T_SelfStock[Self_Qty],T_SelfStock[RM_Code],$A94,T_SelfStock[WeekIndex],93)+SUMIFS(T_TTAFStock[TTAF_Qty],T_TTAFStock[RM_Code],$A94,T_TTAFStock[WeekIndex],93),CO94+'Grid_Incoming'!CP94-'Grid_Requirement'!CP94))</f>
        <v/>
      </c>
      <c r="CQ94">
        <f>IF(COUNTIFS(T_StockCount[RM_Code],$A94,T_StockCount[WeekIndex],94)&gt;0,SUMIFS(T_StockCount[CountedQty],T_StockCount[RM_Code],$A94,T_StockCount[WeekIndex],94),IF((COUNTIFS(T_SelfStock[RM_Code],$A94,T_SelfStock[WeekIndex],94)&gt;0)*(COUNTIFS(T_TTAFStock[RM_Code],$A94,T_TTAFStock[WeekIndex],94)&gt;0)&gt;0,SUMIFS(T_SelfStock[Self_Qty],T_SelfStock[RM_Code],$A94,T_SelfStock[WeekIndex],94)+SUMIFS(T_TTAFStock[TTAF_Qty],T_TTAFStock[RM_Code],$A94,T_TTAFStock[WeekIndex],94),CP94+'Grid_Incoming'!CQ94-'Grid_Requirement'!CQ94))</f>
        <v/>
      </c>
      <c r="CR94">
        <f>IF(COUNTIFS(T_StockCount[RM_Code],$A94,T_StockCount[WeekIndex],95)&gt;0,SUMIFS(T_StockCount[CountedQty],T_StockCount[RM_Code],$A94,T_StockCount[WeekIndex],95),IF((COUNTIFS(T_SelfStock[RM_Code],$A94,T_SelfStock[WeekIndex],95)&gt;0)*(COUNTIFS(T_TTAFStock[RM_Code],$A94,T_TTAFStock[WeekIndex],95)&gt;0)&gt;0,SUMIFS(T_SelfStock[Self_Qty],T_SelfStock[RM_Code],$A94,T_SelfStock[WeekIndex],95)+SUMIFS(T_TTAFStock[TTAF_Qty],T_TTAFStock[RM_Code],$A94,T_TTAFStock[WeekIndex],95),CQ94+'Grid_Incoming'!CR94-'Grid_Requirement'!CR94))</f>
        <v/>
      </c>
      <c r="CS94">
        <f>IF(COUNTIFS(T_StockCount[RM_Code],$A94,T_StockCount[WeekIndex],96)&gt;0,SUMIFS(T_StockCount[CountedQty],T_StockCount[RM_Code],$A94,T_StockCount[WeekIndex],96),IF((COUNTIFS(T_SelfStock[RM_Code],$A94,T_SelfStock[WeekIndex],96)&gt;0)*(COUNTIFS(T_TTAFStock[RM_Code],$A94,T_TTAFStock[WeekIndex],96)&gt;0)&gt;0,SUMIFS(T_SelfStock[Self_Qty],T_SelfStock[RM_Code],$A94,T_SelfStock[WeekIndex],96)+SUMIFS(T_TTAFStock[TTAF_Qty],T_TTAFStock[RM_Code],$A94,T_TTAFStock[WeekIndex],96),CR94+'Grid_Incoming'!CS94-'Grid_Requirement'!CS94))</f>
        <v/>
      </c>
      <c r="CT94">
        <f>IF(COUNTIFS(T_StockCount[RM_Code],$A94,T_StockCount[WeekIndex],97)&gt;0,SUMIFS(T_StockCount[CountedQty],T_StockCount[RM_Code],$A94,T_StockCount[WeekIndex],97),IF((COUNTIFS(T_SelfStock[RM_Code],$A94,T_SelfStock[WeekIndex],97)&gt;0)*(COUNTIFS(T_TTAFStock[RM_Code],$A94,T_TTAFStock[WeekIndex],97)&gt;0)&gt;0,SUMIFS(T_SelfStock[Self_Qty],T_SelfStock[RM_Code],$A94,T_SelfStock[WeekIndex],97)+SUMIFS(T_TTAFStock[TTAF_Qty],T_TTAFStock[RM_Code],$A94,T_TTAFStock[WeekIndex],97),CS94+'Grid_Incoming'!CT94-'Grid_Requirement'!CT94))</f>
        <v/>
      </c>
      <c r="CU94">
        <f>IF(COUNTIFS(T_StockCount[RM_Code],$A94,T_StockCount[WeekIndex],98)&gt;0,SUMIFS(T_StockCount[CountedQty],T_StockCount[RM_Code],$A94,T_StockCount[WeekIndex],98),IF((COUNTIFS(T_SelfStock[RM_Code],$A94,T_SelfStock[WeekIndex],98)&gt;0)*(COUNTIFS(T_TTAFStock[RM_Code],$A94,T_TTAFStock[WeekIndex],98)&gt;0)&gt;0,SUMIFS(T_SelfStock[Self_Qty],T_SelfStock[RM_Code],$A94,T_SelfStock[WeekIndex],98)+SUMIFS(T_TTAFStock[TTAF_Qty],T_TTAFStock[RM_Code],$A94,T_TTAFStock[WeekIndex],98),CT94+'Grid_Incoming'!CU94-'Grid_Requirement'!CU94))</f>
        <v/>
      </c>
      <c r="CV94">
        <f>IF(COUNTIFS(T_StockCount[RM_Code],$A94,T_StockCount[WeekIndex],99)&gt;0,SUMIFS(T_StockCount[CountedQty],T_StockCount[RM_Code],$A94,T_StockCount[WeekIndex],99),IF((COUNTIFS(T_SelfStock[RM_Code],$A94,T_SelfStock[WeekIndex],99)&gt;0)*(COUNTIFS(T_TTAFStock[RM_Code],$A94,T_TTAFStock[WeekIndex],99)&gt;0)&gt;0,SUMIFS(T_SelfStock[Self_Qty],T_SelfStock[RM_Code],$A94,T_SelfStock[WeekIndex],99)+SUMIFS(T_TTAFStock[TTAF_Qty],T_TTAFStock[RM_Code],$A94,T_TTAFStock[WeekIndex],99),CU94+'Grid_Incoming'!CV94-'Grid_Requirement'!CV94))</f>
        <v/>
      </c>
      <c r="CW94">
        <f>IF(COUNTIFS(T_StockCount[RM_Code],$A94,T_StockCount[WeekIndex],100)&gt;0,SUMIFS(T_StockCount[CountedQty],T_StockCount[RM_Code],$A94,T_StockCount[WeekIndex],100),IF((COUNTIFS(T_SelfStock[RM_Code],$A94,T_SelfStock[WeekIndex],100)&gt;0)*(COUNTIFS(T_TTAFStock[RM_Code],$A94,T_TTAFStock[WeekIndex],100)&gt;0)&gt;0,SUMIFS(T_SelfStock[Self_Qty],T_SelfStock[RM_Code],$A94,T_SelfStock[WeekIndex],100)+SUMIFS(T_TTAFStock[TTAF_Qty],T_TTAFStock[RM_Code],$A94,T_TTAFStock[WeekIndex],100),CV94+'Grid_Incoming'!CW94-'Grid_Requirement'!CW94))</f>
        <v/>
      </c>
      <c r="CX94">
        <f>IF(COUNTIFS(T_StockCount[RM_Code],$A94,T_StockCount[WeekIndex],101)&gt;0,SUMIFS(T_StockCount[CountedQty],T_StockCount[RM_Code],$A94,T_StockCount[WeekIndex],101),IF((COUNTIFS(T_SelfStock[RM_Code],$A94,T_SelfStock[WeekIndex],101)&gt;0)*(COUNTIFS(T_TTAFStock[RM_Code],$A94,T_TTAFStock[WeekIndex],101)&gt;0)&gt;0,SUMIFS(T_SelfStock[Self_Qty],T_SelfStock[RM_Code],$A94,T_SelfStock[WeekIndex],101)+SUMIFS(T_TTAFStock[TTAF_Qty],T_TTAFStock[RM_Code],$A94,T_TTAFStock[WeekIndex],101),CW94+'Grid_Incoming'!CX94-'Grid_Requirement'!CX94))</f>
        <v/>
      </c>
      <c r="CY94">
        <f>IF(COUNTIFS(T_StockCount[RM_Code],$A94,T_StockCount[WeekIndex],102)&gt;0,SUMIFS(T_StockCount[CountedQty],T_StockCount[RM_Code],$A94,T_StockCount[WeekIndex],102),IF((COUNTIFS(T_SelfStock[RM_Code],$A94,T_SelfStock[WeekIndex],102)&gt;0)*(COUNTIFS(T_TTAFStock[RM_Code],$A94,T_TTAFStock[WeekIndex],102)&gt;0)&gt;0,SUMIFS(T_SelfStock[Self_Qty],T_SelfStock[RM_Code],$A94,T_SelfStock[WeekIndex],102)+SUMIFS(T_TTAFStock[TTAF_Qty],T_TTAFStock[RM_Code],$A94,T_TTAFStock[WeekIndex],102),CX94+'Grid_Incoming'!CY94-'Grid_Requirement'!CY94))</f>
        <v/>
      </c>
      <c r="CZ94">
        <f>IF(COUNTIFS(T_StockCount[RM_Code],$A94,T_StockCount[WeekIndex],103)&gt;0,SUMIFS(T_StockCount[CountedQty],T_StockCount[RM_Code],$A94,T_StockCount[WeekIndex],103),IF((COUNTIFS(T_SelfStock[RM_Code],$A94,T_SelfStock[WeekIndex],103)&gt;0)*(COUNTIFS(T_TTAFStock[RM_Code],$A94,T_TTAFStock[WeekIndex],103)&gt;0)&gt;0,SUMIFS(T_SelfStock[Self_Qty],T_SelfStock[RM_Code],$A94,T_SelfStock[WeekIndex],103)+SUMIFS(T_TTAFStock[TTAF_Qty],T_TTAFStock[RM_Code],$A94,T_TTAFStock[WeekIndex],103),CY94+'Grid_Incoming'!CZ94-'Grid_Requirement'!CZ94))</f>
        <v/>
      </c>
      <c r="DA94">
        <f>IF(COUNTIFS(T_StockCount[RM_Code],$A94,T_StockCount[WeekIndex],104)&gt;0,SUMIFS(T_StockCount[CountedQty],T_StockCount[RM_Code],$A94,T_StockCount[WeekIndex],104),IF((COUNTIFS(T_SelfStock[RM_Code],$A94,T_SelfStock[WeekIndex],104)&gt;0)*(COUNTIFS(T_TTAFStock[RM_Code],$A94,T_TTAFStock[WeekIndex],104)&gt;0)&gt;0,SUMIFS(T_SelfStock[Self_Qty],T_SelfStock[RM_Code],$A94,T_SelfStock[WeekIndex],104)+SUMIFS(T_TTAFStock[TTAF_Qty],T_TTAFStock[RM_Code],$A94,T_TTAFStock[WeekIndex],104),CZ94+'Grid_Incoming'!DA94-'Grid_Requirement'!DA94))</f>
        <v/>
      </c>
    </row>
    <row r="95">
      <c r="A95" t="inlineStr">
        <is>
          <t>CHEM-1710</t>
        </is>
      </c>
      <c r="B95">
        <f>IF(COUNTIFS(T_StockCount[RM_Code],$A95,T_StockCount[WeekIndex],1)&gt;0,SUMIFS(T_StockCount[CountedQty],T_StockCount[RM_Code],$A95,T_StockCount[WeekIndex],1),IF((COUNTIFS(T_SelfStock[RM_Code],$A95,T_SelfStock[WeekIndex],1)&gt;0)*(COUNTIFS(T_TTAFStock[RM_Code],$A95,T_TTAFStock[WeekIndex],1)&gt;0)&gt;0,SUMIFS(T_SelfStock[Self_Qty],T_SelfStock[RM_Code],$A95,T_SelfStock[WeekIndex],1)+SUMIFS(T_TTAFStock[TTAF_Qty],T_TTAFStock[RM_Code],$A95,T_TTAFStock[WeekIndex],1),IFERROR(INDEX(T_OpeningStock[Opening_Qty],MATCH($A95,T_OpeningStock[RM_Code],0)),0)+'Grid_Incoming'!B95-'Grid_Requirement'!B95))</f>
        <v/>
      </c>
      <c r="C95">
        <f>IF(COUNTIFS(T_StockCount[RM_Code],$A95,T_StockCount[WeekIndex],2)&gt;0,SUMIFS(T_StockCount[CountedQty],T_StockCount[RM_Code],$A95,T_StockCount[WeekIndex],2),IF((COUNTIFS(T_SelfStock[RM_Code],$A95,T_SelfStock[WeekIndex],2)&gt;0)*(COUNTIFS(T_TTAFStock[RM_Code],$A95,T_TTAFStock[WeekIndex],2)&gt;0)&gt;0,SUMIFS(T_SelfStock[Self_Qty],T_SelfStock[RM_Code],$A95,T_SelfStock[WeekIndex],2)+SUMIFS(T_TTAFStock[TTAF_Qty],T_TTAFStock[RM_Code],$A95,T_TTAFStock[WeekIndex],2),B95+'Grid_Incoming'!C95-'Grid_Requirement'!C95))</f>
        <v/>
      </c>
      <c r="D95">
        <f>IF(COUNTIFS(T_StockCount[RM_Code],$A95,T_StockCount[WeekIndex],3)&gt;0,SUMIFS(T_StockCount[CountedQty],T_StockCount[RM_Code],$A95,T_StockCount[WeekIndex],3),IF((COUNTIFS(T_SelfStock[RM_Code],$A95,T_SelfStock[WeekIndex],3)&gt;0)*(COUNTIFS(T_TTAFStock[RM_Code],$A95,T_TTAFStock[WeekIndex],3)&gt;0)&gt;0,SUMIFS(T_SelfStock[Self_Qty],T_SelfStock[RM_Code],$A95,T_SelfStock[WeekIndex],3)+SUMIFS(T_TTAFStock[TTAF_Qty],T_TTAFStock[RM_Code],$A95,T_TTAFStock[WeekIndex],3),C95+'Grid_Incoming'!D95-'Grid_Requirement'!D95))</f>
        <v/>
      </c>
      <c r="E95">
        <f>IF(COUNTIFS(T_StockCount[RM_Code],$A95,T_StockCount[WeekIndex],4)&gt;0,SUMIFS(T_StockCount[CountedQty],T_StockCount[RM_Code],$A95,T_StockCount[WeekIndex],4),IF((COUNTIFS(T_SelfStock[RM_Code],$A95,T_SelfStock[WeekIndex],4)&gt;0)*(COUNTIFS(T_TTAFStock[RM_Code],$A95,T_TTAFStock[WeekIndex],4)&gt;0)&gt;0,SUMIFS(T_SelfStock[Self_Qty],T_SelfStock[RM_Code],$A95,T_SelfStock[WeekIndex],4)+SUMIFS(T_TTAFStock[TTAF_Qty],T_TTAFStock[RM_Code],$A95,T_TTAFStock[WeekIndex],4),D95+'Grid_Incoming'!E95-'Grid_Requirement'!E95))</f>
        <v/>
      </c>
      <c r="F95">
        <f>IF(COUNTIFS(T_StockCount[RM_Code],$A95,T_StockCount[WeekIndex],5)&gt;0,SUMIFS(T_StockCount[CountedQty],T_StockCount[RM_Code],$A95,T_StockCount[WeekIndex],5),IF((COUNTIFS(T_SelfStock[RM_Code],$A95,T_SelfStock[WeekIndex],5)&gt;0)*(COUNTIFS(T_TTAFStock[RM_Code],$A95,T_TTAFStock[WeekIndex],5)&gt;0)&gt;0,SUMIFS(T_SelfStock[Self_Qty],T_SelfStock[RM_Code],$A95,T_SelfStock[WeekIndex],5)+SUMIFS(T_TTAFStock[TTAF_Qty],T_TTAFStock[RM_Code],$A95,T_TTAFStock[WeekIndex],5),E95+'Grid_Incoming'!F95-'Grid_Requirement'!F95))</f>
        <v/>
      </c>
      <c r="G95">
        <f>IF(COUNTIFS(T_StockCount[RM_Code],$A95,T_StockCount[WeekIndex],6)&gt;0,SUMIFS(T_StockCount[CountedQty],T_StockCount[RM_Code],$A95,T_StockCount[WeekIndex],6),IF((COUNTIFS(T_SelfStock[RM_Code],$A95,T_SelfStock[WeekIndex],6)&gt;0)*(COUNTIFS(T_TTAFStock[RM_Code],$A95,T_TTAFStock[WeekIndex],6)&gt;0)&gt;0,SUMIFS(T_SelfStock[Self_Qty],T_SelfStock[RM_Code],$A95,T_SelfStock[WeekIndex],6)+SUMIFS(T_TTAFStock[TTAF_Qty],T_TTAFStock[RM_Code],$A95,T_TTAFStock[WeekIndex],6),F95+'Grid_Incoming'!G95-'Grid_Requirement'!G95))</f>
        <v/>
      </c>
      <c r="H95">
        <f>IF(COUNTIFS(T_StockCount[RM_Code],$A95,T_StockCount[WeekIndex],7)&gt;0,SUMIFS(T_StockCount[CountedQty],T_StockCount[RM_Code],$A95,T_StockCount[WeekIndex],7),IF((COUNTIFS(T_SelfStock[RM_Code],$A95,T_SelfStock[WeekIndex],7)&gt;0)*(COUNTIFS(T_TTAFStock[RM_Code],$A95,T_TTAFStock[WeekIndex],7)&gt;0)&gt;0,SUMIFS(T_SelfStock[Self_Qty],T_SelfStock[RM_Code],$A95,T_SelfStock[WeekIndex],7)+SUMIFS(T_TTAFStock[TTAF_Qty],T_TTAFStock[RM_Code],$A95,T_TTAFStock[WeekIndex],7),G95+'Grid_Incoming'!H95-'Grid_Requirement'!H95))</f>
        <v/>
      </c>
      <c r="I95">
        <f>IF(COUNTIFS(T_StockCount[RM_Code],$A95,T_StockCount[WeekIndex],8)&gt;0,SUMIFS(T_StockCount[CountedQty],T_StockCount[RM_Code],$A95,T_StockCount[WeekIndex],8),IF((COUNTIFS(T_SelfStock[RM_Code],$A95,T_SelfStock[WeekIndex],8)&gt;0)*(COUNTIFS(T_TTAFStock[RM_Code],$A95,T_TTAFStock[WeekIndex],8)&gt;0)&gt;0,SUMIFS(T_SelfStock[Self_Qty],T_SelfStock[RM_Code],$A95,T_SelfStock[WeekIndex],8)+SUMIFS(T_TTAFStock[TTAF_Qty],T_TTAFStock[RM_Code],$A95,T_TTAFStock[WeekIndex],8),H95+'Grid_Incoming'!I95-'Grid_Requirement'!I95))</f>
        <v/>
      </c>
      <c r="J95">
        <f>IF(COUNTIFS(T_StockCount[RM_Code],$A95,T_StockCount[WeekIndex],9)&gt;0,SUMIFS(T_StockCount[CountedQty],T_StockCount[RM_Code],$A95,T_StockCount[WeekIndex],9),IF((COUNTIFS(T_SelfStock[RM_Code],$A95,T_SelfStock[WeekIndex],9)&gt;0)*(COUNTIFS(T_TTAFStock[RM_Code],$A95,T_TTAFStock[WeekIndex],9)&gt;0)&gt;0,SUMIFS(T_SelfStock[Self_Qty],T_SelfStock[RM_Code],$A95,T_SelfStock[WeekIndex],9)+SUMIFS(T_TTAFStock[TTAF_Qty],T_TTAFStock[RM_Code],$A95,T_TTAFStock[WeekIndex],9),I95+'Grid_Incoming'!J95-'Grid_Requirement'!J95))</f>
        <v/>
      </c>
      <c r="K95">
        <f>IF(COUNTIFS(T_StockCount[RM_Code],$A95,T_StockCount[WeekIndex],10)&gt;0,SUMIFS(T_StockCount[CountedQty],T_StockCount[RM_Code],$A95,T_StockCount[WeekIndex],10),IF((COUNTIFS(T_SelfStock[RM_Code],$A95,T_SelfStock[WeekIndex],10)&gt;0)*(COUNTIFS(T_TTAFStock[RM_Code],$A95,T_TTAFStock[WeekIndex],10)&gt;0)&gt;0,SUMIFS(T_SelfStock[Self_Qty],T_SelfStock[RM_Code],$A95,T_SelfStock[WeekIndex],10)+SUMIFS(T_TTAFStock[TTAF_Qty],T_TTAFStock[RM_Code],$A95,T_TTAFStock[WeekIndex],10),J95+'Grid_Incoming'!K95-'Grid_Requirement'!K95))</f>
        <v/>
      </c>
      <c r="L95">
        <f>IF(COUNTIFS(T_StockCount[RM_Code],$A95,T_StockCount[WeekIndex],11)&gt;0,SUMIFS(T_StockCount[CountedQty],T_StockCount[RM_Code],$A95,T_StockCount[WeekIndex],11),IF((COUNTIFS(T_SelfStock[RM_Code],$A95,T_SelfStock[WeekIndex],11)&gt;0)*(COUNTIFS(T_TTAFStock[RM_Code],$A95,T_TTAFStock[WeekIndex],11)&gt;0)&gt;0,SUMIFS(T_SelfStock[Self_Qty],T_SelfStock[RM_Code],$A95,T_SelfStock[WeekIndex],11)+SUMIFS(T_TTAFStock[TTAF_Qty],T_TTAFStock[RM_Code],$A95,T_TTAFStock[WeekIndex],11),K95+'Grid_Incoming'!L95-'Grid_Requirement'!L95))</f>
        <v/>
      </c>
      <c r="M95">
        <f>IF(COUNTIFS(T_StockCount[RM_Code],$A95,T_StockCount[WeekIndex],12)&gt;0,SUMIFS(T_StockCount[CountedQty],T_StockCount[RM_Code],$A95,T_StockCount[WeekIndex],12),IF((COUNTIFS(T_SelfStock[RM_Code],$A95,T_SelfStock[WeekIndex],12)&gt;0)*(COUNTIFS(T_TTAFStock[RM_Code],$A95,T_TTAFStock[WeekIndex],12)&gt;0)&gt;0,SUMIFS(T_SelfStock[Self_Qty],T_SelfStock[RM_Code],$A95,T_SelfStock[WeekIndex],12)+SUMIFS(T_TTAFStock[TTAF_Qty],T_TTAFStock[RM_Code],$A95,T_TTAFStock[WeekIndex],12),L95+'Grid_Incoming'!M95-'Grid_Requirement'!M95))</f>
        <v/>
      </c>
      <c r="N95">
        <f>IF(COUNTIFS(T_StockCount[RM_Code],$A95,T_StockCount[WeekIndex],13)&gt;0,SUMIFS(T_StockCount[CountedQty],T_StockCount[RM_Code],$A95,T_StockCount[WeekIndex],13),IF((COUNTIFS(T_SelfStock[RM_Code],$A95,T_SelfStock[WeekIndex],13)&gt;0)*(COUNTIFS(T_TTAFStock[RM_Code],$A95,T_TTAFStock[WeekIndex],13)&gt;0)&gt;0,SUMIFS(T_SelfStock[Self_Qty],T_SelfStock[RM_Code],$A95,T_SelfStock[WeekIndex],13)+SUMIFS(T_TTAFStock[TTAF_Qty],T_TTAFStock[RM_Code],$A95,T_TTAFStock[WeekIndex],13),M95+'Grid_Incoming'!N95-'Grid_Requirement'!N95))</f>
        <v/>
      </c>
      <c r="O95">
        <f>IF(COUNTIFS(T_StockCount[RM_Code],$A95,T_StockCount[WeekIndex],14)&gt;0,SUMIFS(T_StockCount[CountedQty],T_StockCount[RM_Code],$A95,T_StockCount[WeekIndex],14),IF((COUNTIFS(T_SelfStock[RM_Code],$A95,T_SelfStock[WeekIndex],14)&gt;0)*(COUNTIFS(T_TTAFStock[RM_Code],$A95,T_TTAFStock[WeekIndex],14)&gt;0)&gt;0,SUMIFS(T_SelfStock[Self_Qty],T_SelfStock[RM_Code],$A95,T_SelfStock[WeekIndex],14)+SUMIFS(T_TTAFStock[TTAF_Qty],T_TTAFStock[RM_Code],$A95,T_TTAFStock[WeekIndex],14),N95+'Grid_Incoming'!O95-'Grid_Requirement'!O95))</f>
        <v/>
      </c>
      <c r="P95">
        <f>IF(COUNTIFS(T_StockCount[RM_Code],$A95,T_StockCount[WeekIndex],15)&gt;0,SUMIFS(T_StockCount[CountedQty],T_StockCount[RM_Code],$A95,T_StockCount[WeekIndex],15),IF((COUNTIFS(T_SelfStock[RM_Code],$A95,T_SelfStock[WeekIndex],15)&gt;0)*(COUNTIFS(T_TTAFStock[RM_Code],$A95,T_TTAFStock[WeekIndex],15)&gt;0)&gt;0,SUMIFS(T_SelfStock[Self_Qty],T_SelfStock[RM_Code],$A95,T_SelfStock[WeekIndex],15)+SUMIFS(T_TTAFStock[TTAF_Qty],T_TTAFStock[RM_Code],$A95,T_TTAFStock[WeekIndex],15),O95+'Grid_Incoming'!P95-'Grid_Requirement'!P95))</f>
        <v/>
      </c>
      <c r="Q95">
        <f>IF(COUNTIFS(T_StockCount[RM_Code],$A95,T_StockCount[WeekIndex],16)&gt;0,SUMIFS(T_StockCount[CountedQty],T_StockCount[RM_Code],$A95,T_StockCount[WeekIndex],16),IF((COUNTIFS(T_SelfStock[RM_Code],$A95,T_SelfStock[WeekIndex],16)&gt;0)*(COUNTIFS(T_TTAFStock[RM_Code],$A95,T_TTAFStock[WeekIndex],16)&gt;0)&gt;0,SUMIFS(T_SelfStock[Self_Qty],T_SelfStock[RM_Code],$A95,T_SelfStock[WeekIndex],16)+SUMIFS(T_TTAFStock[TTAF_Qty],T_TTAFStock[RM_Code],$A95,T_TTAFStock[WeekIndex],16),P95+'Grid_Incoming'!Q95-'Grid_Requirement'!Q95))</f>
        <v/>
      </c>
      <c r="R95">
        <f>IF(COUNTIFS(T_StockCount[RM_Code],$A95,T_StockCount[WeekIndex],17)&gt;0,SUMIFS(T_StockCount[CountedQty],T_StockCount[RM_Code],$A95,T_StockCount[WeekIndex],17),IF((COUNTIFS(T_SelfStock[RM_Code],$A95,T_SelfStock[WeekIndex],17)&gt;0)*(COUNTIFS(T_TTAFStock[RM_Code],$A95,T_TTAFStock[WeekIndex],17)&gt;0)&gt;0,SUMIFS(T_SelfStock[Self_Qty],T_SelfStock[RM_Code],$A95,T_SelfStock[WeekIndex],17)+SUMIFS(T_TTAFStock[TTAF_Qty],T_TTAFStock[RM_Code],$A95,T_TTAFStock[WeekIndex],17),Q95+'Grid_Incoming'!R95-'Grid_Requirement'!R95))</f>
        <v/>
      </c>
      <c r="S95">
        <f>IF(COUNTIFS(T_StockCount[RM_Code],$A95,T_StockCount[WeekIndex],18)&gt;0,SUMIFS(T_StockCount[CountedQty],T_StockCount[RM_Code],$A95,T_StockCount[WeekIndex],18),IF((COUNTIFS(T_SelfStock[RM_Code],$A95,T_SelfStock[WeekIndex],18)&gt;0)*(COUNTIFS(T_TTAFStock[RM_Code],$A95,T_TTAFStock[WeekIndex],18)&gt;0)&gt;0,SUMIFS(T_SelfStock[Self_Qty],T_SelfStock[RM_Code],$A95,T_SelfStock[WeekIndex],18)+SUMIFS(T_TTAFStock[TTAF_Qty],T_TTAFStock[RM_Code],$A95,T_TTAFStock[WeekIndex],18),R95+'Grid_Incoming'!S95-'Grid_Requirement'!S95))</f>
        <v/>
      </c>
      <c r="T95">
        <f>IF(COUNTIFS(T_StockCount[RM_Code],$A95,T_StockCount[WeekIndex],19)&gt;0,SUMIFS(T_StockCount[CountedQty],T_StockCount[RM_Code],$A95,T_StockCount[WeekIndex],19),IF((COUNTIFS(T_SelfStock[RM_Code],$A95,T_SelfStock[WeekIndex],19)&gt;0)*(COUNTIFS(T_TTAFStock[RM_Code],$A95,T_TTAFStock[WeekIndex],19)&gt;0)&gt;0,SUMIFS(T_SelfStock[Self_Qty],T_SelfStock[RM_Code],$A95,T_SelfStock[WeekIndex],19)+SUMIFS(T_TTAFStock[TTAF_Qty],T_TTAFStock[RM_Code],$A95,T_TTAFStock[WeekIndex],19),S95+'Grid_Incoming'!T95-'Grid_Requirement'!T95))</f>
        <v/>
      </c>
      <c r="U95">
        <f>IF(COUNTIFS(T_StockCount[RM_Code],$A95,T_StockCount[WeekIndex],20)&gt;0,SUMIFS(T_StockCount[CountedQty],T_StockCount[RM_Code],$A95,T_StockCount[WeekIndex],20),IF((COUNTIFS(T_SelfStock[RM_Code],$A95,T_SelfStock[WeekIndex],20)&gt;0)*(COUNTIFS(T_TTAFStock[RM_Code],$A95,T_TTAFStock[WeekIndex],20)&gt;0)&gt;0,SUMIFS(T_SelfStock[Self_Qty],T_SelfStock[RM_Code],$A95,T_SelfStock[WeekIndex],20)+SUMIFS(T_TTAFStock[TTAF_Qty],T_TTAFStock[RM_Code],$A95,T_TTAFStock[WeekIndex],20),T95+'Grid_Incoming'!U95-'Grid_Requirement'!U95))</f>
        <v/>
      </c>
      <c r="V95">
        <f>IF(COUNTIFS(T_StockCount[RM_Code],$A95,T_StockCount[WeekIndex],21)&gt;0,SUMIFS(T_StockCount[CountedQty],T_StockCount[RM_Code],$A95,T_StockCount[WeekIndex],21),IF((COUNTIFS(T_SelfStock[RM_Code],$A95,T_SelfStock[WeekIndex],21)&gt;0)*(COUNTIFS(T_TTAFStock[RM_Code],$A95,T_TTAFStock[WeekIndex],21)&gt;0)&gt;0,SUMIFS(T_SelfStock[Self_Qty],T_SelfStock[RM_Code],$A95,T_SelfStock[WeekIndex],21)+SUMIFS(T_TTAFStock[TTAF_Qty],T_TTAFStock[RM_Code],$A95,T_TTAFStock[WeekIndex],21),U95+'Grid_Incoming'!V95-'Grid_Requirement'!V95))</f>
        <v/>
      </c>
      <c r="W95">
        <f>IF(COUNTIFS(T_StockCount[RM_Code],$A95,T_StockCount[WeekIndex],22)&gt;0,SUMIFS(T_StockCount[CountedQty],T_StockCount[RM_Code],$A95,T_StockCount[WeekIndex],22),IF((COUNTIFS(T_SelfStock[RM_Code],$A95,T_SelfStock[WeekIndex],22)&gt;0)*(COUNTIFS(T_TTAFStock[RM_Code],$A95,T_TTAFStock[WeekIndex],22)&gt;0)&gt;0,SUMIFS(T_SelfStock[Self_Qty],T_SelfStock[RM_Code],$A95,T_SelfStock[WeekIndex],22)+SUMIFS(T_TTAFStock[TTAF_Qty],T_TTAFStock[RM_Code],$A95,T_TTAFStock[WeekIndex],22),V95+'Grid_Incoming'!W95-'Grid_Requirement'!W95))</f>
        <v/>
      </c>
      <c r="X95">
        <f>IF(COUNTIFS(T_StockCount[RM_Code],$A95,T_StockCount[WeekIndex],23)&gt;0,SUMIFS(T_StockCount[CountedQty],T_StockCount[RM_Code],$A95,T_StockCount[WeekIndex],23),IF((COUNTIFS(T_SelfStock[RM_Code],$A95,T_SelfStock[WeekIndex],23)&gt;0)*(COUNTIFS(T_TTAFStock[RM_Code],$A95,T_TTAFStock[WeekIndex],23)&gt;0)&gt;0,SUMIFS(T_SelfStock[Self_Qty],T_SelfStock[RM_Code],$A95,T_SelfStock[WeekIndex],23)+SUMIFS(T_TTAFStock[TTAF_Qty],T_TTAFStock[RM_Code],$A95,T_TTAFStock[WeekIndex],23),W95+'Grid_Incoming'!X95-'Grid_Requirement'!X95))</f>
        <v/>
      </c>
      <c r="Y95">
        <f>IF(COUNTIFS(T_StockCount[RM_Code],$A95,T_StockCount[WeekIndex],24)&gt;0,SUMIFS(T_StockCount[CountedQty],T_StockCount[RM_Code],$A95,T_StockCount[WeekIndex],24),IF((COUNTIFS(T_SelfStock[RM_Code],$A95,T_SelfStock[WeekIndex],24)&gt;0)*(COUNTIFS(T_TTAFStock[RM_Code],$A95,T_TTAFStock[WeekIndex],24)&gt;0)&gt;0,SUMIFS(T_SelfStock[Self_Qty],T_SelfStock[RM_Code],$A95,T_SelfStock[WeekIndex],24)+SUMIFS(T_TTAFStock[TTAF_Qty],T_TTAFStock[RM_Code],$A95,T_TTAFStock[WeekIndex],24),X95+'Grid_Incoming'!Y95-'Grid_Requirement'!Y95))</f>
        <v/>
      </c>
      <c r="Z95">
        <f>IF(COUNTIFS(T_StockCount[RM_Code],$A95,T_StockCount[WeekIndex],25)&gt;0,SUMIFS(T_StockCount[CountedQty],T_StockCount[RM_Code],$A95,T_StockCount[WeekIndex],25),IF((COUNTIFS(T_SelfStock[RM_Code],$A95,T_SelfStock[WeekIndex],25)&gt;0)*(COUNTIFS(T_TTAFStock[RM_Code],$A95,T_TTAFStock[WeekIndex],25)&gt;0)&gt;0,SUMIFS(T_SelfStock[Self_Qty],T_SelfStock[RM_Code],$A95,T_SelfStock[WeekIndex],25)+SUMIFS(T_TTAFStock[TTAF_Qty],T_TTAFStock[RM_Code],$A95,T_TTAFStock[WeekIndex],25),Y95+'Grid_Incoming'!Z95-'Grid_Requirement'!Z95))</f>
        <v/>
      </c>
      <c r="AA95">
        <f>IF(COUNTIFS(T_StockCount[RM_Code],$A95,T_StockCount[WeekIndex],26)&gt;0,SUMIFS(T_StockCount[CountedQty],T_StockCount[RM_Code],$A95,T_StockCount[WeekIndex],26),IF((COUNTIFS(T_SelfStock[RM_Code],$A95,T_SelfStock[WeekIndex],26)&gt;0)*(COUNTIFS(T_TTAFStock[RM_Code],$A95,T_TTAFStock[WeekIndex],26)&gt;0)&gt;0,SUMIFS(T_SelfStock[Self_Qty],T_SelfStock[RM_Code],$A95,T_SelfStock[WeekIndex],26)+SUMIFS(T_TTAFStock[TTAF_Qty],T_TTAFStock[RM_Code],$A95,T_TTAFStock[WeekIndex],26),Z95+'Grid_Incoming'!AA95-'Grid_Requirement'!AA95))</f>
        <v/>
      </c>
      <c r="AB95">
        <f>IF(COUNTIFS(T_StockCount[RM_Code],$A95,T_StockCount[WeekIndex],27)&gt;0,SUMIFS(T_StockCount[CountedQty],T_StockCount[RM_Code],$A95,T_StockCount[WeekIndex],27),IF((COUNTIFS(T_SelfStock[RM_Code],$A95,T_SelfStock[WeekIndex],27)&gt;0)*(COUNTIFS(T_TTAFStock[RM_Code],$A95,T_TTAFStock[WeekIndex],27)&gt;0)&gt;0,SUMIFS(T_SelfStock[Self_Qty],T_SelfStock[RM_Code],$A95,T_SelfStock[WeekIndex],27)+SUMIFS(T_TTAFStock[TTAF_Qty],T_TTAFStock[RM_Code],$A95,T_TTAFStock[WeekIndex],27),AA95+'Grid_Incoming'!AB95-'Grid_Requirement'!AB95))</f>
        <v/>
      </c>
      <c r="AC95">
        <f>IF(COUNTIFS(T_StockCount[RM_Code],$A95,T_StockCount[WeekIndex],28)&gt;0,SUMIFS(T_StockCount[CountedQty],T_StockCount[RM_Code],$A95,T_StockCount[WeekIndex],28),IF((COUNTIFS(T_SelfStock[RM_Code],$A95,T_SelfStock[WeekIndex],28)&gt;0)*(COUNTIFS(T_TTAFStock[RM_Code],$A95,T_TTAFStock[WeekIndex],28)&gt;0)&gt;0,SUMIFS(T_SelfStock[Self_Qty],T_SelfStock[RM_Code],$A95,T_SelfStock[WeekIndex],28)+SUMIFS(T_TTAFStock[TTAF_Qty],T_TTAFStock[RM_Code],$A95,T_TTAFStock[WeekIndex],28),AB95+'Grid_Incoming'!AC95-'Grid_Requirement'!AC95))</f>
        <v/>
      </c>
      <c r="AD95">
        <f>IF(COUNTIFS(T_StockCount[RM_Code],$A95,T_StockCount[WeekIndex],29)&gt;0,SUMIFS(T_StockCount[CountedQty],T_StockCount[RM_Code],$A95,T_StockCount[WeekIndex],29),IF((COUNTIFS(T_SelfStock[RM_Code],$A95,T_SelfStock[WeekIndex],29)&gt;0)*(COUNTIFS(T_TTAFStock[RM_Code],$A95,T_TTAFStock[WeekIndex],29)&gt;0)&gt;0,SUMIFS(T_SelfStock[Self_Qty],T_SelfStock[RM_Code],$A95,T_SelfStock[WeekIndex],29)+SUMIFS(T_TTAFStock[TTAF_Qty],T_TTAFStock[RM_Code],$A95,T_TTAFStock[WeekIndex],29),AC95+'Grid_Incoming'!AD95-'Grid_Requirement'!AD95))</f>
        <v/>
      </c>
      <c r="AE95">
        <f>IF(COUNTIFS(T_StockCount[RM_Code],$A95,T_StockCount[WeekIndex],30)&gt;0,SUMIFS(T_StockCount[CountedQty],T_StockCount[RM_Code],$A95,T_StockCount[WeekIndex],30),IF((COUNTIFS(T_SelfStock[RM_Code],$A95,T_SelfStock[WeekIndex],30)&gt;0)*(COUNTIFS(T_TTAFStock[RM_Code],$A95,T_TTAFStock[WeekIndex],30)&gt;0)&gt;0,SUMIFS(T_SelfStock[Self_Qty],T_SelfStock[RM_Code],$A95,T_SelfStock[WeekIndex],30)+SUMIFS(T_TTAFStock[TTAF_Qty],T_TTAFStock[RM_Code],$A95,T_TTAFStock[WeekIndex],30),AD95+'Grid_Incoming'!AE95-'Grid_Requirement'!AE95))</f>
        <v/>
      </c>
      <c r="AF95">
        <f>IF(COUNTIFS(T_StockCount[RM_Code],$A95,T_StockCount[WeekIndex],31)&gt;0,SUMIFS(T_StockCount[CountedQty],T_StockCount[RM_Code],$A95,T_StockCount[WeekIndex],31),IF((COUNTIFS(T_SelfStock[RM_Code],$A95,T_SelfStock[WeekIndex],31)&gt;0)*(COUNTIFS(T_TTAFStock[RM_Code],$A95,T_TTAFStock[WeekIndex],31)&gt;0)&gt;0,SUMIFS(T_SelfStock[Self_Qty],T_SelfStock[RM_Code],$A95,T_SelfStock[WeekIndex],31)+SUMIFS(T_TTAFStock[TTAF_Qty],T_TTAFStock[RM_Code],$A95,T_TTAFStock[WeekIndex],31),AE95+'Grid_Incoming'!AF95-'Grid_Requirement'!AF95))</f>
        <v/>
      </c>
      <c r="AG95">
        <f>IF(COUNTIFS(T_StockCount[RM_Code],$A95,T_StockCount[WeekIndex],32)&gt;0,SUMIFS(T_StockCount[CountedQty],T_StockCount[RM_Code],$A95,T_StockCount[WeekIndex],32),IF((COUNTIFS(T_SelfStock[RM_Code],$A95,T_SelfStock[WeekIndex],32)&gt;0)*(COUNTIFS(T_TTAFStock[RM_Code],$A95,T_TTAFStock[WeekIndex],32)&gt;0)&gt;0,SUMIFS(T_SelfStock[Self_Qty],T_SelfStock[RM_Code],$A95,T_SelfStock[WeekIndex],32)+SUMIFS(T_TTAFStock[TTAF_Qty],T_TTAFStock[RM_Code],$A95,T_TTAFStock[WeekIndex],32),AF95+'Grid_Incoming'!AG95-'Grid_Requirement'!AG95))</f>
        <v/>
      </c>
      <c r="AH95">
        <f>IF(COUNTIFS(T_StockCount[RM_Code],$A95,T_StockCount[WeekIndex],33)&gt;0,SUMIFS(T_StockCount[CountedQty],T_StockCount[RM_Code],$A95,T_StockCount[WeekIndex],33),IF((COUNTIFS(T_SelfStock[RM_Code],$A95,T_SelfStock[WeekIndex],33)&gt;0)*(COUNTIFS(T_TTAFStock[RM_Code],$A95,T_TTAFStock[WeekIndex],33)&gt;0)&gt;0,SUMIFS(T_SelfStock[Self_Qty],T_SelfStock[RM_Code],$A95,T_SelfStock[WeekIndex],33)+SUMIFS(T_TTAFStock[TTAF_Qty],T_TTAFStock[RM_Code],$A95,T_TTAFStock[WeekIndex],33),AG95+'Grid_Incoming'!AH95-'Grid_Requirement'!AH95))</f>
        <v/>
      </c>
      <c r="AI95">
        <f>IF(COUNTIFS(T_StockCount[RM_Code],$A95,T_StockCount[WeekIndex],34)&gt;0,SUMIFS(T_StockCount[CountedQty],T_StockCount[RM_Code],$A95,T_StockCount[WeekIndex],34),IF((COUNTIFS(T_SelfStock[RM_Code],$A95,T_SelfStock[WeekIndex],34)&gt;0)*(COUNTIFS(T_TTAFStock[RM_Code],$A95,T_TTAFStock[WeekIndex],34)&gt;0)&gt;0,SUMIFS(T_SelfStock[Self_Qty],T_SelfStock[RM_Code],$A95,T_SelfStock[WeekIndex],34)+SUMIFS(T_TTAFStock[TTAF_Qty],T_TTAFStock[RM_Code],$A95,T_TTAFStock[WeekIndex],34),AH95+'Grid_Incoming'!AI95-'Grid_Requirement'!AI95))</f>
        <v/>
      </c>
      <c r="AJ95">
        <f>IF(COUNTIFS(T_StockCount[RM_Code],$A95,T_StockCount[WeekIndex],35)&gt;0,SUMIFS(T_StockCount[CountedQty],T_StockCount[RM_Code],$A95,T_StockCount[WeekIndex],35),IF((COUNTIFS(T_SelfStock[RM_Code],$A95,T_SelfStock[WeekIndex],35)&gt;0)*(COUNTIFS(T_TTAFStock[RM_Code],$A95,T_TTAFStock[WeekIndex],35)&gt;0)&gt;0,SUMIFS(T_SelfStock[Self_Qty],T_SelfStock[RM_Code],$A95,T_SelfStock[WeekIndex],35)+SUMIFS(T_TTAFStock[TTAF_Qty],T_TTAFStock[RM_Code],$A95,T_TTAFStock[WeekIndex],35),AI95+'Grid_Incoming'!AJ95-'Grid_Requirement'!AJ95))</f>
        <v/>
      </c>
      <c r="AK95">
        <f>IF(COUNTIFS(T_StockCount[RM_Code],$A95,T_StockCount[WeekIndex],36)&gt;0,SUMIFS(T_StockCount[CountedQty],T_StockCount[RM_Code],$A95,T_StockCount[WeekIndex],36),IF((COUNTIFS(T_SelfStock[RM_Code],$A95,T_SelfStock[WeekIndex],36)&gt;0)*(COUNTIFS(T_TTAFStock[RM_Code],$A95,T_TTAFStock[WeekIndex],36)&gt;0)&gt;0,SUMIFS(T_SelfStock[Self_Qty],T_SelfStock[RM_Code],$A95,T_SelfStock[WeekIndex],36)+SUMIFS(T_TTAFStock[TTAF_Qty],T_TTAFStock[RM_Code],$A95,T_TTAFStock[WeekIndex],36),AJ95+'Grid_Incoming'!AK95-'Grid_Requirement'!AK95))</f>
        <v/>
      </c>
      <c r="AL95">
        <f>IF(COUNTIFS(T_StockCount[RM_Code],$A95,T_StockCount[WeekIndex],37)&gt;0,SUMIFS(T_StockCount[CountedQty],T_StockCount[RM_Code],$A95,T_StockCount[WeekIndex],37),IF((COUNTIFS(T_SelfStock[RM_Code],$A95,T_SelfStock[WeekIndex],37)&gt;0)*(COUNTIFS(T_TTAFStock[RM_Code],$A95,T_TTAFStock[WeekIndex],37)&gt;0)&gt;0,SUMIFS(T_SelfStock[Self_Qty],T_SelfStock[RM_Code],$A95,T_SelfStock[WeekIndex],37)+SUMIFS(T_TTAFStock[TTAF_Qty],T_TTAFStock[RM_Code],$A95,T_TTAFStock[WeekIndex],37),AK95+'Grid_Incoming'!AL95-'Grid_Requirement'!AL95))</f>
        <v/>
      </c>
      <c r="AM95">
        <f>IF(COUNTIFS(T_StockCount[RM_Code],$A95,T_StockCount[WeekIndex],38)&gt;0,SUMIFS(T_StockCount[CountedQty],T_StockCount[RM_Code],$A95,T_StockCount[WeekIndex],38),IF((COUNTIFS(T_SelfStock[RM_Code],$A95,T_SelfStock[WeekIndex],38)&gt;0)*(COUNTIFS(T_TTAFStock[RM_Code],$A95,T_TTAFStock[WeekIndex],38)&gt;0)&gt;0,SUMIFS(T_SelfStock[Self_Qty],T_SelfStock[RM_Code],$A95,T_SelfStock[WeekIndex],38)+SUMIFS(T_TTAFStock[TTAF_Qty],T_TTAFStock[RM_Code],$A95,T_TTAFStock[WeekIndex],38),AL95+'Grid_Incoming'!AM95-'Grid_Requirement'!AM95))</f>
        <v/>
      </c>
      <c r="AN95">
        <f>IF(COUNTIFS(T_StockCount[RM_Code],$A95,T_StockCount[WeekIndex],39)&gt;0,SUMIFS(T_StockCount[CountedQty],T_StockCount[RM_Code],$A95,T_StockCount[WeekIndex],39),IF((COUNTIFS(T_SelfStock[RM_Code],$A95,T_SelfStock[WeekIndex],39)&gt;0)*(COUNTIFS(T_TTAFStock[RM_Code],$A95,T_TTAFStock[WeekIndex],39)&gt;0)&gt;0,SUMIFS(T_SelfStock[Self_Qty],T_SelfStock[RM_Code],$A95,T_SelfStock[WeekIndex],39)+SUMIFS(T_TTAFStock[TTAF_Qty],T_TTAFStock[RM_Code],$A95,T_TTAFStock[WeekIndex],39),AM95+'Grid_Incoming'!AN95-'Grid_Requirement'!AN95))</f>
        <v/>
      </c>
      <c r="AO95">
        <f>IF(COUNTIFS(T_StockCount[RM_Code],$A95,T_StockCount[WeekIndex],40)&gt;0,SUMIFS(T_StockCount[CountedQty],T_StockCount[RM_Code],$A95,T_StockCount[WeekIndex],40),IF((COUNTIFS(T_SelfStock[RM_Code],$A95,T_SelfStock[WeekIndex],40)&gt;0)*(COUNTIFS(T_TTAFStock[RM_Code],$A95,T_TTAFStock[WeekIndex],40)&gt;0)&gt;0,SUMIFS(T_SelfStock[Self_Qty],T_SelfStock[RM_Code],$A95,T_SelfStock[WeekIndex],40)+SUMIFS(T_TTAFStock[TTAF_Qty],T_TTAFStock[RM_Code],$A95,T_TTAFStock[WeekIndex],40),AN95+'Grid_Incoming'!AO95-'Grid_Requirement'!AO95))</f>
        <v/>
      </c>
      <c r="AP95">
        <f>IF(COUNTIFS(T_StockCount[RM_Code],$A95,T_StockCount[WeekIndex],41)&gt;0,SUMIFS(T_StockCount[CountedQty],T_StockCount[RM_Code],$A95,T_StockCount[WeekIndex],41),IF((COUNTIFS(T_SelfStock[RM_Code],$A95,T_SelfStock[WeekIndex],41)&gt;0)*(COUNTIFS(T_TTAFStock[RM_Code],$A95,T_TTAFStock[WeekIndex],41)&gt;0)&gt;0,SUMIFS(T_SelfStock[Self_Qty],T_SelfStock[RM_Code],$A95,T_SelfStock[WeekIndex],41)+SUMIFS(T_TTAFStock[TTAF_Qty],T_TTAFStock[RM_Code],$A95,T_TTAFStock[WeekIndex],41),AO95+'Grid_Incoming'!AP95-'Grid_Requirement'!AP95))</f>
        <v/>
      </c>
      <c r="AQ95">
        <f>IF(COUNTIFS(T_StockCount[RM_Code],$A95,T_StockCount[WeekIndex],42)&gt;0,SUMIFS(T_StockCount[CountedQty],T_StockCount[RM_Code],$A95,T_StockCount[WeekIndex],42),IF((COUNTIFS(T_SelfStock[RM_Code],$A95,T_SelfStock[WeekIndex],42)&gt;0)*(COUNTIFS(T_TTAFStock[RM_Code],$A95,T_TTAFStock[WeekIndex],42)&gt;0)&gt;0,SUMIFS(T_SelfStock[Self_Qty],T_SelfStock[RM_Code],$A95,T_SelfStock[WeekIndex],42)+SUMIFS(T_TTAFStock[TTAF_Qty],T_TTAFStock[RM_Code],$A95,T_TTAFStock[WeekIndex],42),AP95+'Grid_Incoming'!AQ95-'Grid_Requirement'!AQ95))</f>
        <v/>
      </c>
      <c r="AR95">
        <f>IF(COUNTIFS(T_StockCount[RM_Code],$A95,T_StockCount[WeekIndex],43)&gt;0,SUMIFS(T_StockCount[CountedQty],T_StockCount[RM_Code],$A95,T_StockCount[WeekIndex],43),IF((COUNTIFS(T_SelfStock[RM_Code],$A95,T_SelfStock[WeekIndex],43)&gt;0)*(COUNTIFS(T_TTAFStock[RM_Code],$A95,T_TTAFStock[WeekIndex],43)&gt;0)&gt;0,SUMIFS(T_SelfStock[Self_Qty],T_SelfStock[RM_Code],$A95,T_SelfStock[WeekIndex],43)+SUMIFS(T_TTAFStock[TTAF_Qty],T_TTAFStock[RM_Code],$A95,T_TTAFStock[WeekIndex],43),AQ95+'Grid_Incoming'!AR95-'Grid_Requirement'!AR95))</f>
        <v/>
      </c>
      <c r="AS95">
        <f>IF(COUNTIFS(T_StockCount[RM_Code],$A95,T_StockCount[WeekIndex],44)&gt;0,SUMIFS(T_StockCount[CountedQty],T_StockCount[RM_Code],$A95,T_StockCount[WeekIndex],44),IF((COUNTIFS(T_SelfStock[RM_Code],$A95,T_SelfStock[WeekIndex],44)&gt;0)*(COUNTIFS(T_TTAFStock[RM_Code],$A95,T_TTAFStock[WeekIndex],44)&gt;0)&gt;0,SUMIFS(T_SelfStock[Self_Qty],T_SelfStock[RM_Code],$A95,T_SelfStock[WeekIndex],44)+SUMIFS(T_TTAFStock[TTAF_Qty],T_TTAFStock[RM_Code],$A95,T_TTAFStock[WeekIndex],44),AR95+'Grid_Incoming'!AS95-'Grid_Requirement'!AS95))</f>
        <v/>
      </c>
      <c r="AT95">
        <f>IF(COUNTIFS(T_StockCount[RM_Code],$A95,T_StockCount[WeekIndex],45)&gt;0,SUMIFS(T_StockCount[CountedQty],T_StockCount[RM_Code],$A95,T_StockCount[WeekIndex],45),IF((COUNTIFS(T_SelfStock[RM_Code],$A95,T_SelfStock[WeekIndex],45)&gt;0)*(COUNTIFS(T_TTAFStock[RM_Code],$A95,T_TTAFStock[WeekIndex],45)&gt;0)&gt;0,SUMIFS(T_SelfStock[Self_Qty],T_SelfStock[RM_Code],$A95,T_SelfStock[WeekIndex],45)+SUMIFS(T_TTAFStock[TTAF_Qty],T_TTAFStock[RM_Code],$A95,T_TTAFStock[WeekIndex],45),AS95+'Grid_Incoming'!AT95-'Grid_Requirement'!AT95))</f>
        <v/>
      </c>
      <c r="AU95">
        <f>IF(COUNTIFS(T_StockCount[RM_Code],$A95,T_StockCount[WeekIndex],46)&gt;0,SUMIFS(T_StockCount[CountedQty],T_StockCount[RM_Code],$A95,T_StockCount[WeekIndex],46),IF((COUNTIFS(T_SelfStock[RM_Code],$A95,T_SelfStock[WeekIndex],46)&gt;0)*(COUNTIFS(T_TTAFStock[RM_Code],$A95,T_TTAFStock[WeekIndex],46)&gt;0)&gt;0,SUMIFS(T_SelfStock[Self_Qty],T_SelfStock[RM_Code],$A95,T_SelfStock[WeekIndex],46)+SUMIFS(T_TTAFStock[TTAF_Qty],T_TTAFStock[RM_Code],$A95,T_TTAFStock[WeekIndex],46),AT95+'Grid_Incoming'!AU95-'Grid_Requirement'!AU95))</f>
        <v/>
      </c>
      <c r="AV95">
        <f>IF(COUNTIFS(T_StockCount[RM_Code],$A95,T_StockCount[WeekIndex],47)&gt;0,SUMIFS(T_StockCount[CountedQty],T_StockCount[RM_Code],$A95,T_StockCount[WeekIndex],47),IF((COUNTIFS(T_SelfStock[RM_Code],$A95,T_SelfStock[WeekIndex],47)&gt;0)*(COUNTIFS(T_TTAFStock[RM_Code],$A95,T_TTAFStock[WeekIndex],47)&gt;0)&gt;0,SUMIFS(T_SelfStock[Self_Qty],T_SelfStock[RM_Code],$A95,T_SelfStock[WeekIndex],47)+SUMIFS(T_TTAFStock[TTAF_Qty],T_TTAFStock[RM_Code],$A95,T_TTAFStock[WeekIndex],47),AU95+'Grid_Incoming'!AV95-'Grid_Requirement'!AV95))</f>
        <v/>
      </c>
      <c r="AW95">
        <f>IF(COUNTIFS(T_StockCount[RM_Code],$A95,T_StockCount[WeekIndex],48)&gt;0,SUMIFS(T_StockCount[CountedQty],T_StockCount[RM_Code],$A95,T_StockCount[WeekIndex],48),IF((COUNTIFS(T_SelfStock[RM_Code],$A95,T_SelfStock[WeekIndex],48)&gt;0)*(COUNTIFS(T_TTAFStock[RM_Code],$A95,T_TTAFStock[WeekIndex],48)&gt;0)&gt;0,SUMIFS(T_SelfStock[Self_Qty],T_SelfStock[RM_Code],$A95,T_SelfStock[WeekIndex],48)+SUMIFS(T_TTAFStock[TTAF_Qty],T_TTAFStock[RM_Code],$A95,T_TTAFStock[WeekIndex],48),AV95+'Grid_Incoming'!AW95-'Grid_Requirement'!AW95))</f>
        <v/>
      </c>
      <c r="AX95">
        <f>IF(COUNTIFS(T_StockCount[RM_Code],$A95,T_StockCount[WeekIndex],49)&gt;0,SUMIFS(T_StockCount[CountedQty],T_StockCount[RM_Code],$A95,T_StockCount[WeekIndex],49),IF((COUNTIFS(T_SelfStock[RM_Code],$A95,T_SelfStock[WeekIndex],49)&gt;0)*(COUNTIFS(T_TTAFStock[RM_Code],$A95,T_TTAFStock[WeekIndex],49)&gt;0)&gt;0,SUMIFS(T_SelfStock[Self_Qty],T_SelfStock[RM_Code],$A95,T_SelfStock[WeekIndex],49)+SUMIFS(T_TTAFStock[TTAF_Qty],T_TTAFStock[RM_Code],$A95,T_TTAFStock[WeekIndex],49),AW95+'Grid_Incoming'!AX95-'Grid_Requirement'!AX95))</f>
        <v/>
      </c>
      <c r="AY95">
        <f>IF(COUNTIFS(T_StockCount[RM_Code],$A95,T_StockCount[WeekIndex],50)&gt;0,SUMIFS(T_StockCount[CountedQty],T_StockCount[RM_Code],$A95,T_StockCount[WeekIndex],50),IF((COUNTIFS(T_SelfStock[RM_Code],$A95,T_SelfStock[WeekIndex],50)&gt;0)*(COUNTIFS(T_TTAFStock[RM_Code],$A95,T_TTAFStock[WeekIndex],50)&gt;0)&gt;0,SUMIFS(T_SelfStock[Self_Qty],T_SelfStock[RM_Code],$A95,T_SelfStock[WeekIndex],50)+SUMIFS(T_TTAFStock[TTAF_Qty],T_TTAFStock[RM_Code],$A95,T_TTAFStock[WeekIndex],50),AX95+'Grid_Incoming'!AY95-'Grid_Requirement'!AY95))</f>
        <v/>
      </c>
      <c r="AZ95">
        <f>IF(COUNTIFS(T_StockCount[RM_Code],$A95,T_StockCount[WeekIndex],51)&gt;0,SUMIFS(T_StockCount[CountedQty],T_StockCount[RM_Code],$A95,T_StockCount[WeekIndex],51),IF((COUNTIFS(T_SelfStock[RM_Code],$A95,T_SelfStock[WeekIndex],51)&gt;0)*(COUNTIFS(T_TTAFStock[RM_Code],$A95,T_TTAFStock[WeekIndex],51)&gt;0)&gt;0,SUMIFS(T_SelfStock[Self_Qty],T_SelfStock[RM_Code],$A95,T_SelfStock[WeekIndex],51)+SUMIFS(T_TTAFStock[TTAF_Qty],T_TTAFStock[RM_Code],$A95,T_TTAFStock[WeekIndex],51),AY95+'Grid_Incoming'!AZ95-'Grid_Requirement'!AZ95))</f>
        <v/>
      </c>
      <c r="BA95">
        <f>IF(COUNTIFS(T_StockCount[RM_Code],$A95,T_StockCount[WeekIndex],52)&gt;0,SUMIFS(T_StockCount[CountedQty],T_StockCount[RM_Code],$A95,T_StockCount[WeekIndex],52),IF((COUNTIFS(T_SelfStock[RM_Code],$A95,T_SelfStock[WeekIndex],52)&gt;0)*(COUNTIFS(T_TTAFStock[RM_Code],$A95,T_TTAFStock[WeekIndex],52)&gt;0)&gt;0,SUMIFS(T_SelfStock[Self_Qty],T_SelfStock[RM_Code],$A95,T_SelfStock[WeekIndex],52)+SUMIFS(T_TTAFStock[TTAF_Qty],T_TTAFStock[RM_Code],$A95,T_TTAFStock[WeekIndex],52),AZ95+'Grid_Incoming'!BA95-'Grid_Requirement'!BA95))</f>
        <v/>
      </c>
      <c r="BB95">
        <f>IF(COUNTIFS(T_StockCount[RM_Code],$A95,T_StockCount[WeekIndex],53)&gt;0,SUMIFS(T_StockCount[CountedQty],T_StockCount[RM_Code],$A95,T_StockCount[WeekIndex],53),IF((COUNTIFS(T_SelfStock[RM_Code],$A95,T_SelfStock[WeekIndex],53)&gt;0)*(COUNTIFS(T_TTAFStock[RM_Code],$A95,T_TTAFStock[WeekIndex],53)&gt;0)&gt;0,SUMIFS(T_SelfStock[Self_Qty],T_SelfStock[RM_Code],$A95,T_SelfStock[WeekIndex],53)+SUMIFS(T_TTAFStock[TTAF_Qty],T_TTAFStock[RM_Code],$A95,T_TTAFStock[WeekIndex],53),BA95+'Grid_Incoming'!BB95-'Grid_Requirement'!BB95))</f>
        <v/>
      </c>
      <c r="BC95">
        <f>IF(COUNTIFS(T_StockCount[RM_Code],$A95,T_StockCount[WeekIndex],54)&gt;0,SUMIFS(T_StockCount[CountedQty],T_StockCount[RM_Code],$A95,T_StockCount[WeekIndex],54),IF((COUNTIFS(T_SelfStock[RM_Code],$A95,T_SelfStock[WeekIndex],54)&gt;0)*(COUNTIFS(T_TTAFStock[RM_Code],$A95,T_TTAFStock[WeekIndex],54)&gt;0)&gt;0,SUMIFS(T_SelfStock[Self_Qty],T_SelfStock[RM_Code],$A95,T_SelfStock[WeekIndex],54)+SUMIFS(T_TTAFStock[TTAF_Qty],T_TTAFStock[RM_Code],$A95,T_TTAFStock[WeekIndex],54),BB95+'Grid_Incoming'!BC95-'Grid_Requirement'!BC95))</f>
        <v/>
      </c>
      <c r="BD95">
        <f>IF(COUNTIFS(T_StockCount[RM_Code],$A95,T_StockCount[WeekIndex],55)&gt;0,SUMIFS(T_StockCount[CountedQty],T_StockCount[RM_Code],$A95,T_StockCount[WeekIndex],55),IF((COUNTIFS(T_SelfStock[RM_Code],$A95,T_SelfStock[WeekIndex],55)&gt;0)*(COUNTIFS(T_TTAFStock[RM_Code],$A95,T_TTAFStock[WeekIndex],55)&gt;0)&gt;0,SUMIFS(T_SelfStock[Self_Qty],T_SelfStock[RM_Code],$A95,T_SelfStock[WeekIndex],55)+SUMIFS(T_TTAFStock[TTAF_Qty],T_TTAFStock[RM_Code],$A95,T_TTAFStock[WeekIndex],55),BC95+'Grid_Incoming'!BD95-'Grid_Requirement'!BD95))</f>
        <v/>
      </c>
      <c r="BE95">
        <f>IF(COUNTIFS(T_StockCount[RM_Code],$A95,T_StockCount[WeekIndex],56)&gt;0,SUMIFS(T_StockCount[CountedQty],T_StockCount[RM_Code],$A95,T_StockCount[WeekIndex],56),IF((COUNTIFS(T_SelfStock[RM_Code],$A95,T_SelfStock[WeekIndex],56)&gt;0)*(COUNTIFS(T_TTAFStock[RM_Code],$A95,T_TTAFStock[WeekIndex],56)&gt;0)&gt;0,SUMIFS(T_SelfStock[Self_Qty],T_SelfStock[RM_Code],$A95,T_SelfStock[WeekIndex],56)+SUMIFS(T_TTAFStock[TTAF_Qty],T_TTAFStock[RM_Code],$A95,T_TTAFStock[WeekIndex],56),BD95+'Grid_Incoming'!BE95-'Grid_Requirement'!BE95))</f>
        <v/>
      </c>
      <c r="BF95">
        <f>IF(COUNTIFS(T_StockCount[RM_Code],$A95,T_StockCount[WeekIndex],57)&gt;0,SUMIFS(T_StockCount[CountedQty],T_StockCount[RM_Code],$A95,T_StockCount[WeekIndex],57),IF((COUNTIFS(T_SelfStock[RM_Code],$A95,T_SelfStock[WeekIndex],57)&gt;0)*(COUNTIFS(T_TTAFStock[RM_Code],$A95,T_TTAFStock[WeekIndex],57)&gt;0)&gt;0,SUMIFS(T_SelfStock[Self_Qty],T_SelfStock[RM_Code],$A95,T_SelfStock[WeekIndex],57)+SUMIFS(T_TTAFStock[TTAF_Qty],T_TTAFStock[RM_Code],$A95,T_TTAFStock[WeekIndex],57),BE95+'Grid_Incoming'!BF95-'Grid_Requirement'!BF95))</f>
        <v/>
      </c>
      <c r="BG95">
        <f>IF(COUNTIFS(T_StockCount[RM_Code],$A95,T_StockCount[WeekIndex],58)&gt;0,SUMIFS(T_StockCount[CountedQty],T_StockCount[RM_Code],$A95,T_StockCount[WeekIndex],58),IF((COUNTIFS(T_SelfStock[RM_Code],$A95,T_SelfStock[WeekIndex],58)&gt;0)*(COUNTIFS(T_TTAFStock[RM_Code],$A95,T_TTAFStock[WeekIndex],58)&gt;0)&gt;0,SUMIFS(T_SelfStock[Self_Qty],T_SelfStock[RM_Code],$A95,T_SelfStock[WeekIndex],58)+SUMIFS(T_TTAFStock[TTAF_Qty],T_TTAFStock[RM_Code],$A95,T_TTAFStock[WeekIndex],58),BF95+'Grid_Incoming'!BG95-'Grid_Requirement'!BG95))</f>
        <v/>
      </c>
      <c r="BH95">
        <f>IF(COUNTIFS(T_StockCount[RM_Code],$A95,T_StockCount[WeekIndex],59)&gt;0,SUMIFS(T_StockCount[CountedQty],T_StockCount[RM_Code],$A95,T_StockCount[WeekIndex],59),IF((COUNTIFS(T_SelfStock[RM_Code],$A95,T_SelfStock[WeekIndex],59)&gt;0)*(COUNTIFS(T_TTAFStock[RM_Code],$A95,T_TTAFStock[WeekIndex],59)&gt;0)&gt;0,SUMIFS(T_SelfStock[Self_Qty],T_SelfStock[RM_Code],$A95,T_SelfStock[WeekIndex],59)+SUMIFS(T_TTAFStock[TTAF_Qty],T_TTAFStock[RM_Code],$A95,T_TTAFStock[WeekIndex],59),BG95+'Grid_Incoming'!BH95-'Grid_Requirement'!BH95))</f>
        <v/>
      </c>
      <c r="BI95">
        <f>IF(COUNTIFS(T_StockCount[RM_Code],$A95,T_StockCount[WeekIndex],60)&gt;0,SUMIFS(T_StockCount[CountedQty],T_StockCount[RM_Code],$A95,T_StockCount[WeekIndex],60),IF((COUNTIFS(T_SelfStock[RM_Code],$A95,T_SelfStock[WeekIndex],60)&gt;0)*(COUNTIFS(T_TTAFStock[RM_Code],$A95,T_TTAFStock[WeekIndex],60)&gt;0)&gt;0,SUMIFS(T_SelfStock[Self_Qty],T_SelfStock[RM_Code],$A95,T_SelfStock[WeekIndex],60)+SUMIFS(T_TTAFStock[TTAF_Qty],T_TTAFStock[RM_Code],$A95,T_TTAFStock[WeekIndex],60),BH95+'Grid_Incoming'!BI95-'Grid_Requirement'!BI95))</f>
        <v/>
      </c>
      <c r="BJ95">
        <f>IF(COUNTIFS(T_StockCount[RM_Code],$A95,T_StockCount[WeekIndex],61)&gt;0,SUMIFS(T_StockCount[CountedQty],T_StockCount[RM_Code],$A95,T_StockCount[WeekIndex],61),IF((COUNTIFS(T_SelfStock[RM_Code],$A95,T_SelfStock[WeekIndex],61)&gt;0)*(COUNTIFS(T_TTAFStock[RM_Code],$A95,T_TTAFStock[WeekIndex],61)&gt;0)&gt;0,SUMIFS(T_SelfStock[Self_Qty],T_SelfStock[RM_Code],$A95,T_SelfStock[WeekIndex],61)+SUMIFS(T_TTAFStock[TTAF_Qty],T_TTAFStock[RM_Code],$A95,T_TTAFStock[WeekIndex],61),BI95+'Grid_Incoming'!BJ95-'Grid_Requirement'!BJ95))</f>
        <v/>
      </c>
      <c r="BK95">
        <f>IF(COUNTIFS(T_StockCount[RM_Code],$A95,T_StockCount[WeekIndex],62)&gt;0,SUMIFS(T_StockCount[CountedQty],T_StockCount[RM_Code],$A95,T_StockCount[WeekIndex],62),IF((COUNTIFS(T_SelfStock[RM_Code],$A95,T_SelfStock[WeekIndex],62)&gt;0)*(COUNTIFS(T_TTAFStock[RM_Code],$A95,T_TTAFStock[WeekIndex],62)&gt;0)&gt;0,SUMIFS(T_SelfStock[Self_Qty],T_SelfStock[RM_Code],$A95,T_SelfStock[WeekIndex],62)+SUMIFS(T_TTAFStock[TTAF_Qty],T_TTAFStock[RM_Code],$A95,T_TTAFStock[WeekIndex],62),BJ95+'Grid_Incoming'!BK95-'Grid_Requirement'!BK95))</f>
        <v/>
      </c>
      <c r="BL95">
        <f>IF(COUNTIFS(T_StockCount[RM_Code],$A95,T_StockCount[WeekIndex],63)&gt;0,SUMIFS(T_StockCount[CountedQty],T_StockCount[RM_Code],$A95,T_StockCount[WeekIndex],63),IF((COUNTIFS(T_SelfStock[RM_Code],$A95,T_SelfStock[WeekIndex],63)&gt;0)*(COUNTIFS(T_TTAFStock[RM_Code],$A95,T_TTAFStock[WeekIndex],63)&gt;0)&gt;0,SUMIFS(T_SelfStock[Self_Qty],T_SelfStock[RM_Code],$A95,T_SelfStock[WeekIndex],63)+SUMIFS(T_TTAFStock[TTAF_Qty],T_TTAFStock[RM_Code],$A95,T_TTAFStock[WeekIndex],63),BK95+'Grid_Incoming'!BL95-'Grid_Requirement'!BL95))</f>
        <v/>
      </c>
      <c r="BM95">
        <f>IF(COUNTIFS(T_StockCount[RM_Code],$A95,T_StockCount[WeekIndex],64)&gt;0,SUMIFS(T_StockCount[CountedQty],T_StockCount[RM_Code],$A95,T_StockCount[WeekIndex],64),IF((COUNTIFS(T_SelfStock[RM_Code],$A95,T_SelfStock[WeekIndex],64)&gt;0)*(COUNTIFS(T_TTAFStock[RM_Code],$A95,T_TTAFStock[WeekIndex],64)&gt;0)&gt;0,SUMIFS(T_SelfStock[Self_Qty],T_SelfStock[RM_Code],$A95,T_SelfStock[WeekIndex],64)+SUMIFS(T_TTAFStock[TTAF_Qty],T_TTAFStock[RM_Code],$A95,T_TTAFStock[WeekIndex],64),BL95+'Grid_Incoming'!BM95-'Grid_Requirement'!BM95))</f>
        <v/>
      </c>
      <c r="BN95">
        <f>IF(COUNTIFS(T_StockCount[RM_Code],$A95,T_StockCount[WeekIndex],65)&gt;0,SUMIFS(T_StockCount[CountedQty],T_StockCount[RM_Code],$A95,T_StockCount[WeekIndex],65),IF((COUNTIFS(T_SelfStock[RM_Code],$A95,T_SelfStock[WeekIndex],65)&gt;0)*(COUNTIFS(T_TTAFStock[RM_Code],$A95,T_TTAFStock[WeekIndex],65)&gt;0)&gt;0,SUMIFS(T_SelfStock[Self_Qty],T_SelfStock[RM_Code],$A95,T_SelfStock[WeekIndex],65)+SUMIFS(T_TTAFStock[TTAF_Qty],T_TTAFStock[RM_Code],$A95,T_TTAFStock[WeekIndex],65),BM95+'Grid_Incoming'!BN95-'Grid_Requirement'!BN95))</f>
        <v/>
      </c>
      <c r="BO95">
        <f>IF(COUNTIFS(T_StockCount[RM_Code],$A95,T_StockCount[WeekIndex],66)&gt;0,SUMIFS(T_StockCount[CountedQty],T_StockCount[RM_Code],$A95,T_StockCount[WeekIndex],66),IF((COUNTIFS(T_SelfStock[RM_Code],$A95,T_SelfStock[WeekIndex],66)&gt;0)*(COUNTIFS(T_TTAFStock[RM_Code],$A95,T_TTAFStock[WeekIndex],66)&gt;0)&gt;0,SUMIFS(T_SelfStock[Self_Qty],T_SelfStock[RM_Code],$A95,T_SelfStock[WeekIndex],66)+SUMIFS(T_TTAFStock[TTAF_Qty],T_TTAFStock[RM_Code],$A95,T_TTAFStock[WeekIndex],66),BN95+'Grid_Incoming'!BO95-'Grid_Requirement'!BO95))</f>
        <v/>
      </c>
      <c r="BP95">
        <f>IF(COUNTIFS(T_StockCount[RM_Code],$A95,T_StockCount[WeekIndex],67)&gt;0,SUMIFS(T_StockCount[CountedQty],T_StockCount[RM_Code],$A95,T_StockCount[WeekIndex],67),IF((COUNTIFS(T_SelfStock[RM_Code],$A95,T_SelfStock[WeekIndex],67)&gt;0)*(COUNTIFS(T_TTAFStock[RM_Code],$A95,T_TTAFStock[WeekIndex],67)&gt;0)&gt;0,SUMIFS(T_SelfStock[Self_Qty],T_SelfStock[RM_Code],$A95,T_SelfStock[WeekIndex],67)+SUMIFS(T_TTAFStock[TTAF_Qty],T_TTAFStock[RM_Code],$A95,T_TTAFStock[WeekIndex],67),BO95+'Grid_Incoming'!BP95-'Grid_Requirement'!BP95))</f>
        <v/>
      </c>
      <c r="BQ95">
        <f>IF(COUNTIFS(T_StockCount[RM_Code],$A95,T_StockCount[WeekIndex],68)&gt;0,SUMIFS(T_StockCount[CountedQty],T_StockCount[RM_Code],$A95,T_StockCount[WeekIndex],68),IF((COUNTIFS(T_SelfStock[RM_Code],$A95,T_SelfStock[WeekIndex],68)&gt;0)*(COUNTIFS(T_TTAFStock[RM_Code],$A95,T_TTAFStock[WeekIndex],68)&gt;0)&gt;0,SUMIFS(T_SelfStock[Self_Qty],T_SelfStock[RM_Code],$A95,T_SelfStock[WeekIndex],68)+SUMIFS(T_TTAFStock[TTAF_Qty],T_TTAFStock[RM_Code],$A95,T_TTAFStock[WeekIndex],68),BP95+'Grid_Incoming'!BQ95-'Grid_Requirement'!BQ95))</f>
        <v/>
      </c>
      <c r="BR95">
        <f>IF(COUNTIFS(T_StockCount[RM_Code],$A95,T_StockCount[WeekIndex],69)&gt;0,SUMIFS(T_StockCount[CountedQty],T_StockCount[RM_Code],$A95,T_StockCount[WeekIndex],69),IF((COUNTIFS(T_SelfStock[RM_Code],$A95,T_SelfStock[WeekIndex],69)&gt;0)*(COUNTIFS(T_TTAFStock[RM_Code],$A95,T_TTAFStock[WeekIndex],69)&gt;0)&gt;0,SUMIFS(T_SelfStock[Self_Qty],T_SelfStock[RM_Code],$A95,T_SelfStock[WeekIndex],69)+SUMIFS(T_TTAFStock[TTAF_Qty],T_TTAFStock[RM_Code],$A95,T_TTAFStock[WeekIndex],69),BQ95+'Grid_Incoming'!BR95-'Grid_Requirement'!BR95))</f>
        <v/>
      </c>
      <c r="BS95">
        <f>IF(COUNTIFS(T_StockCount[RM_Code],$A95,T_StockCount[WeekIndex],70)&gt;0,SUMIFS(T_StockCount[CountedQty],T_StockCount[RM_Code],$A95,T_StockCount[WeekIndex],70),IF((COUNTIFS(T_SelfStock[RM_Code],$A95,T_SelfStock[WeekIndex],70)&gt;0)*(COUNTIFS(T_TTAFStock[RM_Code],$A95,T_TTAFStock[WeekIndex],70)&gt;0)&gt;0,SUMIFS(T_SelfStock[Self_Qty],T_SelfStock[RM_Code],$A95,T_SelfStock[WeekIndex],70)+SUMIFS(T_TTAFStock[TTAF_Qty],T_TTAFStock[RM_Code],$A95,T_TTAFStock[WeekIndex],70),BR95+'Grid_Incoming'!BS95-'Grid_Requirement'!BS95))</f>
        <v/>
      </c>
      <c r="BT95">
        <f>IF(COUNTIFS(T_StockCount[RM_Code],$A95,T_StockCount[WeekIndex],71)&gt;0,SUMIFS(T_StockCount[CountedQty],T_StockCount[RM_Code],$A95,T_StockCount[WeekIndex],71),IF((COUNTIFS(T_SelfStock[RM_Code],$A95,T_SelfStock[WeekIndex],71)&gt;0)*(COUNTIFS(T_TTAFStock[RM_Code],$A95,T_TTAFStock[WeekIndex],71)&gt;0)&gt;0,SUMIFS(T_SelfStock[Self_Qty],T_SelfStock[RM_Code],$A95,T_SelfStock[WeekIndex],71)+SUMIFS(T_TTAFStock[TTAF_Qty],T_TTAFStock[RM_Code],$A95,T_TTAFStock[WeekIndex],71),BS95+'Grid_Incoming'!BT95-'Grid_Requirement'!BT95))</f>
        <v/>
      </c>
      <c r="BU95">
        <f>IF(COUNTIFS(T_StockCount[RM_Code],$A95,T_StockCount[WeekIndex],72)&gt;0,SUMIFS(T_StockCount[CountedQty],T_StockCount[RM_Code],$A95,T_StockCount[WeekIndex],72),IF((COUNTIFS(T_SelfStock[RM_Code],$A95,T_SelfStock[WeekIndex],72)&gt;0)*(COUNTIFS(T_TTAFStock[RM_Code],$A95,T_TTAFStock[WeekIndex],72)&gt;0)&gt;0,SUMIFS(T_SelfStock[Self_Qty],T_SelfStock[RM_Code],$A95,T_SelfStock[WeekIndex],72)+SUMIFS(T_TTAFStock[TTAF_Qty],T_TTAFStock[RM_Code],$A95,T_TTAFStock[WeekIndex],72),BT95+'Grid_Incoming'!BU95-'Grid_Requirement'!BU95))</f>
        <v/>
      </c>
      <c r="BV95">
        <f>IF(COUNTIFS(T_StockCount[RM_Code],$A95,T_StockCount[WeekIndex],73)&gt;0,SUMIFS(T_StockCount[CountedQty],T_StockCount[RM_Code],$A95,T_StockCount[WeekIndex],73),IF((COUNTIFS(T_SelfStock[RM_Code],$A95,T_SelfStock[WeekIndex],73)&gt;0)*(COUNTIFS(T_TTAFStock[RM_Code],$A95,T_TTAFStock[WeekIndex],73)&gt;0)&gt;0,SUMIFS(T_SelfStock[Self_Qty],T_SelfStock[RM_Code],$A95,T_SelfStock[WeekIndex],73)+SUMIFS(T_TTAFStock[TTAF_Qty],T_TTAFStock[RM_Code],$A95,T_TTAFStock[WeekIndex],73),BU95+'Grid_Incoming'!BV95-'Grid_Requirement'!BV95))</f>
        <v/>
      </c>
      <c r="BW95">
        <f>IF(COUNTIFS(T_StockCount[RM_Code],$A95,T_StockCount[WeekIndex],74)&gt;0,SUMIFS(T_StockCount[CountedQty],T_StockCount[RM_Code],$A95,T_StockCount[WeekIndex],74),IF((COUNTIFS(T_SelfStock[RM_Code],$A95,T_SelfStock[WeekIndex],74)&gt;0)*(COUNTIFS(T_TTAFStock[RM_Code],$A95,T_TTAFStock[WeekIndex],74)&gt;0)&gt;0,SUMIFS(T_SelfStock[Self_Qty],T_SelfStock[RM_Code],$A95,T_SelfStock[WeekIndex],74)+SUMIFS(T_TTAFStock[TTAF_Qty],T_TTAFStock[RM_Code],$A95,T_TTAFStock[WeekIndex],74),BV95+'Grid_Incoming'!BW95-'Grid_Requirement'!BW95))</f>
        <v/>
      </c>
      <c r="BX95">
        <f>IF(COUNTIFS(T_StockCount[RM_Code],$A95,T_StockCount[WeekIndex],75)&gt;0,SUMIFS(T_StockCount[CountedQty],T_StockCount[RM_Code],$A95,T_StockCount[WeekIndex],75),IF((COUNTIFS(T_SelfStock[RM_Code],$A95,T_SelfStock[WeekIndex],75)&gt;0)*(COUNTIFS(T_TTAFStock[RM_Code],$A95,T_TTAFStock[WeekIndex],75)&gt;0)&gt;0,SUMIFS(T_SelfStock[Self_Qty],T_SelfStock[RM_Code],$A95,T_SelfStock[WeekIndex],75)+SUMIFS(T_TTAFStock[TTAF_Qty],T_TTAFStock[RM_Code],$A95,T_TTAFStock[WeekIndex],75),BW95+'Grid_Incoming'!BX95-'Grid_Requirement'!BX95))</f>
        <v/>
      </c>
      <c r="BY95">
        <f>IF(COUNTIFS(T_StockCount[RM_Code],$A95,T_StockCount[WeekIndex],76)&gt;0,SUMIFS(T_StockCount[CountedQty],T_StockCount[RM_Code],$A95,T_StockCount[WeekIndex],76),IF((COUNTIFS(T_SelfStock[RM_Code],$A95,T_SelfStock[WeekIndex],76)&gt;0)*(COUNTIFS(T_TTAFStock[RM_Code],$A95,T_TTAFStock[WeekIndex],76)&gt;0)&gt;0,SUMIFS(T_SelfStock[Self_Qty],T_SelfStock[RM_Code],$A95,T_SelfStock[WeekIndex],76)+SUMIFS(T_TTAFStock[TTAF_Qty],T_TTAFStock[RM_Code],$A95,T_TTAFStock[WeekIndex],76),BX95+'Grid_Incoming'!BY95-'Grid_Requirement'!BY95))</f>
        <v/>
      </c>
      <c r="BZ95">
        <f>IF(COUNTIFS(T_StockCount[RM_Code],$A95,T_StockCount[WeekIndex],77)&gt;0,SUMIFS(T_StockCount[CountedQty],T_StockCount[RM_Code],$A95,T_StockCount[WeekIndex],77),IF((COUNTIFS(T_SelfStock[RM_Code],$A95,T_SelfStock[WeekIndex],77)&gt;0)*(COUNTIFS(T_TTAFStock[RM_Code],$A95,T_TTAFStock[WeekIndex],77)&gt;0)&gt;0,SUMIFS(T_SelfStock[Self_Qty],T_SelfStock[RM_Code],$A95,T_SelfStock[WeekIndex],77)+SUMIFS(T_TTAFStock[TTAF_Qty],T_TTAFStock[RM_Code],$A95,T_TTAFStock[WeekIndex],77),BY95+'Grid_Incoming'!BZ95-'Grid_Requirement'!BZ95))</f>
        <v/>
      </c>
      <c r="CA95">
        <f>IF(COUNTIFS(T_StockCount[RM_Code],$A95,T_StockCount[WeekIndex],78)&gt;0,SUMIFS(T_StockCount[CountedQty],T_StockCount[RM_Code],$A95,T_StockCount[WeekIndex],78),IF((COUNTIFS(T_SelfStock[RM_Code],$A95,T_SelfStock[WeekIndex],78)&gt;0)*(COUNTIFS(T_TTAFStock[RM_Code],$A95,T_TTAFStock[WeekIndex],78)&gt;0)&gt;0,SUMIFS(T_SelfStock[Self_Qty],T_SelfStock[RM_Code],$A95,T_SelfStock[WeekIndex],78)+SUMIFS(T_TTAFStock[TTAF_Qty],T_TTAFStock[RM_Code],$A95,T_TTAFStock[WeekIndex],78),BZ95+'Grid_Incoming'!CA95-'Grid_Requirement'!CA95))</f>
        <v/>
      </c>
      <c r="CB95">
        <f>IF(COUNTIFS(T_StockCount[RM_Code],$A95,T_StockCount[WeekIndex],79)&gt;0,SUMIFS(T_StockCount[CountedQty],T_StockCount[RM_Code],$A95,T_StockCount[WeekIndex],79),IF((COUNTIFS(T_SelfStock[RM_Code],$A95,T_SelfStock[WeekIndex],79)&gt;0)*(COUNTIFS(T_TTAFStock[RM_Code],$A95,T_TTAFStock[WeekIndex],79)&gt;0)&gt;0,SUMIFS(T_SelfStock[Self_Qty],T_SelfStock[RM_Code],$A95,T_SelfStock[WeekIndex],79)+SUMIFS(T_TTAFStock[TTAF_Qty],T_TTAFStock[RM_Code],$A95,T_TTAFStock[WeekIndex],79),CA95+'Grid_Incoming'!CB95-'Grid_Requirement'!CB95))</f>
        <v/>
      </c>
      <c r="CC95">
        <f>IF(COUNTIFS(T_StockCount[RM_Code],$A95,T_StockCount[WeekIndex],80)&gt;0,SUMIFS(T_StockCount[CountedQty],T_StockCount[RM_Code],$A95,T_StockCount[WeekIndex],80),IF((COUNTIFS(T_SelfStock[RM_Code],$A95,T_SelfStock[WeekIndex],80)&gt;0)*(COUNTIFS(T_TTAFStock[RM_Code],$A95,T_TTAFStock[WeekIndex],80)&gt;0)&gt;0,SUMIFS(T_SelfStock[Self_Qty],T_SelfStock[RM_Code],$A95,T_SelfStock[WeekIndex],80)+SUMIFS(T_TTAFStock[TTAF_Qty],T_TTAFStock[RM_Code],$A95,T_TTAFStock[WeekIndex],80),CB95+'Grid_Incoming'!CC95-'Grid_Requirement'!CC95))</f>
        <v/>
      </c>
      <c r="CD95">
        <f>IF(COUNTIFS(T_StockCount[RM_Code],$A95,T_StockCount[WeekIndex],81)&gt;0,SUMIFS(T_StockCount[CountedQty],T_StockCount[RM_Code],$A95,T_StockCount[WeekIndex],81),IF((COUNTIFS(T_SelfStock[RM_Code],$A95,T_SelfStock[WeekIndex],81)&gt;0)*(COUNTIFS(T_TTAFStock[RM_Code],$A95,T_TTAFStock[WeekIndex],81)&gt;0)&gt;0,SUMIFS(T_SelfStock[Self_Qty],T_SelfStock[RM_Code],$A95,T_SelfStock[WeekIndex],81)+SUMIFS(T_TTAFStock[TTAF_Qty],T_TTAFStock[RM_Code],$A95,T_TTAFStock[WeekIndex],81),CC95+'Grid_Incoming'!CD95-'Grid_Requirement'!CD95))</f>
        <v/>
      </c>
      <c r="CE95">
        <f>IF(COUNTIFS(T_StockCount[RM_Code],$A95,T_StockCount[WeekIndex],82)&gt;0,SUMIFS(T_StockCount[CountedQty],T_StockCount[RM_Code],$A95,T_StockCount[WeekIndex],82),IF((COUNTIFS(T_SelfStock[RM_Code],$A95,T_SelfStock[WeekIndex],82)&gt;0)*(COUNTIFS(T_TTAFStock[RM_Code],$A95,T_TTAFStock[WeekIndex],82)&gt;0)&gt;0,SUMIFS(T_SelfStock[Self_Qty],T_SelfStock[RM_Code],$A95,T_SelfStock[WeekIndex],82)+SUMIFS(T_TTAFStock[TTAF_Qty],T_TTAFStock[RM_Code],$A95,T_TTAFStock[WeekIndex],82),CD95+'Grid_Incoming'!CE95-'Grid_Requirement'!CE95))</f>
        <v/>
      </c>
      <c r="CF95">
        <f>IF(COUNTIFS(T_StockCount[RM_Code],$A95,T_StockCount[WeekIndex],83)&gt;0,SUMIFS(T_StockCount[CountedQty],T_StockCount[RM_Code],$A95,T_StockCount[WeekIndex],83),IF((COUNTIFS(T_SelfStock[RM_Code],$A95,T_SelfStock[WeekIndex],83)&gt;0)*(COUNTIFS(T_TTAFStock[RM_Code],$A95,T_TTAFStock[WeekIndex],83)&gt;0)&gt;0,SUMIFS(T_SelfStock[Self_Qty],T_SelfStock[RM_Code],$A95,T_SelfStock[WeekIndex],83)+SUMIFS(T_TTAFStock[TTAF_Qty],T_TTAFStock[RM_Code],$A95,T_TTAFStock[WeekIndex],83),CE95+'Grid_Incoming'!CF95-'Grid_Requirement'!CF95))</f>
        <v/>
      </c>
      <c r="CG95">
        <f>IF(COUNTIFS(T_StockCount[RM_Code],$A95,T_StockCount[WeekIndex],84)&gt;0,SUMIFS(T_StockCount[CountedQty],T_StockCount[RM_Code],$A95,T_StockCount[WeekIndex],84),IF((COUNTIFS(T_SelfStock[RM_Code],$A95,T_SelfStock[WeekIndex],84)&gt;0)*(COUNTIFS(T_TTAFStock[RM_Code],$A95,T_TTAFStock[WeekIndex],84)&gt;0)&gt;0,SUMIFS(T_SelfStock[Self_Qty],T_SelfStock[RM_Code],$A95,T_SelfStock[WeekIndex],84)+SUMIFS(T_TTAFStock[TTAF_Qty],T_TTAFStock[RM_Code],$A95,T_TTAFStock[WeekIndex],84),CF95+'Grid_Incoming'!CG95-'Grid_Requirement'!CG95))</f>
        <v/>
      </c>
      <c r="CH95">
        <f>IF(COUNTIFS(T_StockCount[RM_Code],$A95,T_StockCount[WeekIndex],85)&gt;0,SUMIFS(T_StockCount[CountedQty],T_StockCount[RM_Code],$A95,T_StockCount[WeekIndex],85),IF((COUNTIFS(T_SelfStock[RM_Code],$A95,T_SelfStock[WeekIndex],85)&gt;0)*(COUNTIFS(T_TTAFStock[RM_Code],$A95,T_TTAFStock[WeekIndex],85)&gt;0)&gt;0,SUMIFS(T_SelfStock[Self_Qty],T_SelfStock[RM_Code],$A95,T_SelfStock[WeekIndex],85)+SUMIFS(T_TTAFStock[TTAF_Qty],T_TTAFStock[RM_Code],$A95,T_TTAFStock[WeekIndex],85),CG95+'Grid_Incoming'!CH95-'Grid_Requirement'!CH95))</f>
        <v/>
      </c>
      <c r="CI95">
        <f>IF(COUNTIFS(T_StockCount[RM_Code],$A95,T_StockCount[WeekIndex],86)&gt;0,SUMIFS(T_StockCount[CountedQty],T_StockCount[RM_Code],$A95,T_StockCount[WeekIndex],86),IF((COUNTIFS(T_SelfStock[RM_Code],$A95,T_SelfStock[WeekIndex],86)&gt;0)*(COUNTIFS(T_TTAFStock[RM_Code],$A95,T_TTAFStock[WeekIndex],86)&gt;0)&gt;0,SUMIFS(T_SelfStock[Self_Qty],T_SelfStock[RM_Code],$A95,T_SelfStock[WeekIndex],86)+SUMIFS(T_TTAFStock[TTAF_Qty],T_TTAFStock[RM_Code],$A95,T_TTAFStock[WeekIndex],86),CH95+'Grid_Incoming'!CI95-'Grid_Requirement'!CI95))</f>
        <v/>
      </c>
      <c r="CJ95">
        <f>IF(COUNTIFS(T_StockCount[RM_Code],$A95,T_StockCount[WeekIndex],87)&gt;0,SUMIFS(T_StockCount[CountedQty],T_StockCount[RM_Code],$A95,T_StockCount[WeekIndex],87),IF((COUNTIFS(T_SelfStock[RM_Code],$A95,T_SelfStock[WeekIndex],87)&gt;0)*(COUNTIFS(T_TTAFStock[RM_Code],$A95,T_TTAFStock[WeekIndex],87)&gt;0)&gt;0,SUMIFS(T_SelfStock[Self_Qty],T_SelfStock[RM_Code],$A95,T_SelfStock[WeekIndex],87)+SUMIFS(T_TTAFStock[TTAF_Qty],T_TTAFStock[RM_Code],$A95,T_TTAFStock[WeekIndex],87),CI95+'Grid_Incoming'!CJ95-'Grid_Requirement'!CJ95))</f>
        <v/>
      </c>
      <c r="CK95">
        <f>IF(COUNTIFS(T_StockCount[RM_Code],$A95,T_StockCount[WeekIndex],88)&gt;0,SUMIFS(T_StockCount[CountedQty],T_StockCount[RM_Code],$A95,T_StockCount[WeekIndex],88),IF((COUNTIFS(T_SelfStock[RM_Code],$A95,T_SelfStock[WeekIndex],88)&gt;0)*(COUNTIFS(T_TTAFStock[RM_Code],$A95,T_TTAFStock[WeekIndex],88)&gt;0)&gt;0,SUMIFS(T_SelfStock[Self_Qty],T_SelfStock[RM_Code],$A95,T_SelfStock[WeekIndex],88)+SUMIFS(T_TTAFStock[TTAF_Qty],T_TTAFStock[RM_Code],$A95,T_TTAFStock[WeekIndex],88),CJ95+'Grid_Incoming'!CK95-'Grid_Requirement'!CK95))</f>
        <v/>
      </c>
      <c r="CL95">
        <f>IF(COUNTIFS(T_StockCount[RM_Code],$A95,T_StockCount[WeekIndex],89)&gt;0,SUMIFS(T_StockCount[CountedQty],T_StockCount[RM_Code],$A95,T_StockCount[WeekIndex],89),IF((COUNTIFS(T_SelfStock[RM_Code],$A95,T_SelfStock[WeekIndex],89)&gt;0)*(COUNTIFS(T_TTAFStock[RM_Code],$A95,T_TTAFStock[WeekIndex],89)&gt;0)&gt;0,SUMIFS(T_SelfStock[Self_Qty],T_SelfStock[RM_Code],$A95,T_SelfStock[WeekIndex],89)+SUMIFS(T_TTAFStock[TTAF_Qty],T_TTAFStock[RM_Code],$A95,T_TTAFStock[WeekIndex],89),CK95+'Grid_Incoming'!CL95-'Grid_Requirement'!CL95))</f>
        <v/>
      </c>
      <c r="CM95">
        <f>IF(COUNTIFS(T_StockCount[RM_Code],$A95,T_StockCount[WeekIndex],90)&gt;0,SUMIFS(T_StockCount[CountedQty],T_StockCount[RM_Code],$A95,T_StockCount[WeekIndex],90),IF((COUNTIFS(T_SelfStock[RM_Code],$A95,T_SelfStock[WeekIndex],90)&gt;0)*(COUNTIFS(T_TTAFStock[RM_Code],$A95,T_TTAFStock[WeekIndex],90)&gt;0)&gt;0,SUMIFS(T_SelfStock[Self_Qty],T_SelfStock[RM_Code],$A95,T_SelfStock[WeekIndex],90)+SUMIFS(T_TTAFStock[TTAF_Qty],T_TTAFStock[RM_Code],$A95,T_TTAFStock[WeekIndex],90),CL95+'Grid_Incoming'!CM95-'Grid_Requirement'!CM95))</f>
        <v/>
      </c>
      <c r="CN95">
        <f>IF(COUNTIFS(T_StockCount[RM_Code],$A95,T_StockCount[WeekIndex],91)&gt;0,SUMIFS(T_StockCount[CountedQty],T_StockCount[RM_Code],$A95,T_StockCount[WeekIndex],91),IF((COUNTIFS(T_SelfStock[RM_Code],$A95,T_SelfStock[WeekIndex],91)&gt;0)*(COUNTIFS(T_TTAFStock[RM_Code],$A95,T_TTAFStock[WeekIndex],91)&gt;0)&gt;0,SUMIFS(T_SelfStock[Self_Qty],T_SelfStock[RM_Code],$A95,T_SelfStock[WeekIndex],91)+SUMIFS(T_TTAFStock[TTAF_Qty],T_TTAFStock[RM_Code],$A95,T_TTAFStock[WeekIndex],91),CM95+'Grid_Incoming'!CN95-'Grid_Requirement'!CN95))</f>
        <v/>
      </c>
      <c r="CO95">
        <f>IF(COUNTIFS(T_StockCount[RM_Code],$A95,T_StockCount[WeekIndex],92)&gt;0,SUMIFS(T_StockCount[CountedQty],T_StockCount[RM_Code],$A95,T_StockCount[WeekIndex],92),IF((COUNTIFS(T_SelfStock[RM_Code],$A95,T_SelfStock[WeekIndex],92)&gt;0)*(COUNTIFS(T_TTAFStock[RM_Code],$A95,T_TTAFStock[WeekIndex],92)&gt;0)&gt;0,SUMIFS(T_SelfStock[Self_Qty],T_SelfStock[RM_Code],$A95,T_SelfStock[WeekIndex],92)+SUMIFS(T_TTAFStock[TTAF_Qty],T_TTAFStock[RM_Code],$A95,T_TTAFStock[WeekIndex],92),CN95+'Grid_Incoming'!CO95-'Grid_Requirement'!CO95))</f>
        <v/>
      </c>
      <c r="CP95">
        <f>IF(COUNTIFS(T_StockCount[RM_Code],$A95,T_StockCount[WeekIndex],93)&gt;0,SUMIFS(T_StockCount[CountedQty],T_StockCount[RM_Code],$A95,T_StockCount[WeekIndex],93),IF((COUNTIFS(T_SelfStock[RM_Code],$A95,T_SelfStock[WeekIndex],93)&gt;0)*(COUNTIFS(T_TTAFStock[RM_Code],$A95,T_TTAFStock[WeekIndex],93)&gt;0)&gt;0,SUMIFS(T_SelfStock[Self_Qty],T_SelfStock[RM_Code],$A95,T_SelfStock[WeekIndex],93)+SUMIFS(T_TTAFStock[TTAF_Qty],T_TTAFStock[RM_Code],$A95,T_TTAFStock[WeekIndex],93),CO95+'Grid_Incoming'!CP95-'Grid_Requirement'!CP95))</f>
        <v/>
      </c>
      <c r="CQ95">
        <f>IF(COUNTIFS(T_StockCount[RM_Code],$A95,T_StockCount[WeekIndex],94)&gt;0,SUMIFS(T_StockCount[CountedQty],T_StockCount[RM_Code],$A95,T_StockCount[WeekIndex],94),IF((COUNTIFS(T_SelfStock[RM_Code],$A95,T_SelfStock[WeekIndex],94)&gt;0)*(COUNTIFS(T_TTAFStock[RM_Code],$A95,T_TTAFStock[WeekIndex],94)&gt;0)&gt;0,SUMIFS(T_SelfStock[Self_Qty],T_SelfStock[RM_Code],$A95,T_SelfStock[WeekIndex],94)+SUMIFS(T_TTAFStock[TTAF_Qty],T_TTAFStock[RM_Code],$A95,T_TTAFStock[WeekIndex],94),CP95+'Grid_Incoming'!CQ95-'Grid_Requirement'!CQ95))</f>
        <v/>
      </c>
      <c r="CR95">
        <f>IF(COUNTIFS(T_StockCount[RM_Code],$A95,T_StockCount[WeekIndex],95)&gt;0,SUMIFS(T_StockCount[CountedQty],T_StockCount[RM_Code],$A95,T_StockCount[WeekIndex],95),IF((COUNTIFS(T_SelfStock[RM_Code],$A95,T_SelfStock[WeekIndex],95)&gt;0)*(COUNTIFS(T_TTAFStock[RM_Code],$A95,T_TTAFStock[WeekIndex],95)&gt;0)&gt;0,SUMIFS(T_SelfStock[Self_Qty],T_SelfStock[RM_Code],$A95,T_SelfStock[WeekIndex],95)+SUMIFS(T_TTAFStock[TTAF_Qty],T_TTAFStock[RM_Code],$A95,T_TTAFStock[WeekIndex],95),CQ95+'Grid_Incoming'!CR95-'Grid_Requirement'!CR95))</f>
        <v/>
      </c>
      <c r="CS95">
        <f>IF(COUNTIFS(T_StockCount[RM_Code],$A95,T_StockCount[WeekIndex],96)&gt;0,SUMIFS(T_StockCount[CountedQty],T_StockCount[RM_Code],$A95,T_StockCount[WeekIndex],96),IF((COUNTIFS(T_SelfStock[RM_Code],$A95,T_SelfStock[WeekIndex],96)&gt;0)*(COUNTIFS(T_TTAFStock[RM_Code],$A95,T_TTAFStock[WeekIndex],96)&gt;0)&gt;0,SUMIFS(T_SelfStock[Self_Qty],T_SelfStock[RM_Code],$A95,T_SelfStock[WeekIndex],96)+SUMIFS(T_TTAFStock[TTAF_Qty],T_TTAFStock[RM_Code],$A95,T_TTAFStock[WeekIndex],96),CR95+'Grid_Incoming'!CS95-'Grid_Requirement'!CS95))</f>
        <v/>
      </c>
      <c r="CT95">
        <f>IF(COUNTIFS(T_StockCount[RM_Code],$A95,T_StockCount[WeekIndex],97)&gt;0,SUMIFS(T_StockCount[CountedQty],T_StockCount[RM_Code],$A95,T_StockCount[WeekIndex],97),IF((COUNTIFS(T_SelfStock[RM_Code],$A95,T_SelfStock[WeekIndex],97)&gt;0)*(COUNTIFS(T_TTAFStock[RM_Code],$A95,T_TTAFStock[WeekIndex],97)&gt;0)&gt;0,SUMIFS(T_SelfStock[Self_Qty],T_SelfStock[RM_Code],$A95,T_SelfStock[WeekIndex],97)+SUMIFS(T_TTAFStock[TTAF_Qty],T_TTAFStock[RM_Code],$A95,T_TTAFStock[WeekIndex],97),CS95+'Grid_Incoming'!CT95-'Grid_Requirement'!CT95))</f>
        <v/>
      </c>
      <c r="CU95">
        <f>IF(COUNTIFS(T_StockCount[RM_Code],$A95,T_StockCount[WeekIndex],98)&gt;0,SUMIFS(T_StockCount[CountedQty],T_StockCount[RM_Code],$A95,T_StockCount[WeekIndex],98),IF((COUNTIFS(T_SelfStock[RM_Code],$A95,T_SelfStock[WeekIndex],98)&gt;0)*(COUNTIFS(T_TTAFStock[RM_Code],$A95,T_TTAFStock[WeekIndex],98)&gt;0)&gt;0,SUMIFS(T_SelfStock[Self_Qty],T_SelfStock[RM_Code],$A95,T_SelfStock[WeekIndex],98)+SUMIFS(T_TTAFStock[TTAF_Qty],T_TTAFStock[RM_Code],$A95,T_TTAFStock[WeekIndex],98),CT95+'Grid_Incoming'!CU95-'Grid_Requirement'!CU95))</f>
        <v/>
      </c>
      <c r="CV95">
        <f>IF(COUNTIFS(T_StockCount[RM_Code],$A95,T_StockCount[WeekIndex],99)&gt;0,SUMIFS(T_StockCount[CountedQty],T_StockCount[RM_Code],$A95,T_StockCount[WeekIndex],99),IF((COUNTIFS(T_SelfStock[RM_Code],$A95,T_SelfStock[WeekIndex],99)&gt;0)*(COUNTIFS(T_TTAFStock[RM_Code],$A95,T_TTAFStock[WeekIndex],99)&gt;0)&gt;0,SUMIFS(T_SelfStock[Self_Qty],T_SelfStock[RM_Code],$A95,T_SelfStock[WeekIndex],99)+SUMIFS(T_TTAFStock[TTAF_Qty],T_TTAFStock[RM_Code],$A95,T_TTAFStock[WeekIndex],99),CU95+'Grid_Incoming'!CV95-'Grid_Requirement'!CV95))</f>
        <v/>
      </c>
      <c r="CW95">
        <f>IF(COUNTIFS(T_StockCount[RM_Code],$A95,T_StockCount[WeekIndex],100)&gt;0,SUMIFS(T_StockCount[CountedQty],T_StockCount[RM_Code],$A95,T_StockCount[WeekIndex],100),IF((COUNTIFS(T_SelfStock[RM_Code],$A95,T_SelfStock[WeekIndex],100)&gt;0)*(COUNTIFS(T_TTAFStock[RM_Code],$A95,T_TTAFStock[WeekIndex],100)&gt;0)&gt;0,SUMIFS(T_SelfStock[Self_Qty],T_SelfStock[RM_Code],$A95,T_SelfStock[WeekIndex],100)+SUMIFS(T_TTAFStock[TTAF_Qty],T_TTAFStock[RM_Code],$A95,T_TTAFStock[WeekIndex],100),CV95+'Grid_Incoming'!CW95-'Grid_Requirement'!CW95))</f>
        <v/>
      </c>
      <c r="CX95">
        <f>IF(COUNTIFS(T_StockCount[RM_Code],$A95,T_StockCount[WeekIndex],101)&gt;0,SUMIFS(T_StockCount[CountedQty],T_StockCount[RM_Code],$A95,T_StockCount[WeekIndex],101),IF((COUNTIFS(T_SelfStock[RM_Code],$A95,T_SelfStock[WeekIndex],101)&gt;0)*(COUNTIFS(T_TTAFStock[RM_Code],$A95,T_TTAFStock[WeekIndex],101)&gt;0)&gt;0,SUMIFS(T_SelfStock[Self_Qty],T_SelfStock[RM_Code],$A95,T_SelfStock[WeekIndex],101)+SUMIFS(T_TTAFStock[TTAF_Qty],T_TTAFStock[RM_Code],$A95,T_TTAFStock[WeekIndex],101),CW95+'Grid_Incoming'!CX95-'Grid_Requirement'!CX95))</f>
        <v/>
      </c>
      <c r="CY95">
        <f>IF(COUNTIFS(T_StockCount[RM_Code],$A95,T_StockCount[WeekIndex],102)&gt;0,SUMIFS(T_StockCount[CountedQty],T_StockCount[RM_Code],$A95,T_StockCount[WeekIndex],102),IF((COUNTIFS(T_SelfStock[RM_Code],$A95,T_SelfStock[WeekIndex],102)&gt;0)*(COUNTIFS(T_TTAFStock[RM_Code],$A95,T_TTAFStock[WeekIndex],102)&gt;0)&gt;0,SUMIFS(T_SelfStock[Self_Qty],T_SelfStock[RM_Code],$A95,T_SelfStock[WeekIndex],102)+SUMIFS(T_TTAFStock[TTAF_Qty],T_TTAFStock[RM_Code],$A95,T_TTAFStock[WeekIndex],102),CX95+'Grid_Incoming'!CY95-'Grid_Requirement'!CY95))</f>
        <v/>
      </c>
      <c r="CZ95">
        <f>IF(COUNTIFS(T_StockCount[RM_Code],$A95,T_StockCount[WeekIndex],103)&gt;0,SUMIFS(T_StockCount[CountedQty],T_StockCount[RM_Code],$A95,T_StockCount[WeekIndex],103),IF((COUNTIFS(T_SelfStock[RM_Code],$A95,T_SelfStock[WeekIndex],103)&gt;0)*(COUNTIFS(T_TTAFStock[RM_Code],$A95,T_TTAFStock[WeekIndex],103)&gt;0)&gt;0,SUMIFS(T_SelfStock[Self_Qty],T_SelfStock[RM_Code],$A95,T_SelfStock[WeekIndex],103)+SUMIFS(T_TTAFStock[TTAF_Qty],T_TTAFStock[RM_Code],$A95,T_TTAFStock[WeekIndex],103),CY95+'Grid_Incoming'!CZ95-'Grid_Requirement'!CZ95))</f>
        <v/>
      </c>
      <c r="DA95">
        <f>IF(COUNTIFS(T_StockCount[RM_Code],$A95,T_StockCount[WeekIndex],104)&gt;0,SUMIFS(T_StockCount[CountedQty],T_StockCount[RM_Code],$A95,T_StockCount[WeekIndex],104),IF((COUNTIFS(T_SelfStock[RM_Code],$A95,T_SelfStock[WeekIndex],104)&gt;0)*(COUNTIFS(T_TTAFStock[RM_Code],$A95,T_TTAFStock[WeekIndex],104)&gt;0)&gt;0,SUMIFS(T_SelfStock[Self_Qty],T_SelfStock[RM_Code],$A95,T_SelfStock[WeekIndex],104)+SUMIFS(T_TTAFStock[TTAF_Qty],T_TTAFStock[RM_Code],$A95,T_TTAFStock[WeekIndex],104),CZ95+'Grid_Incoming'!DA95-'Grid_Requirement'!DA95))</f>
        <v/>
      </c>
    </row>
    <row r="96">
      <c r="A96" t="inlineStr">
        <is>
          <t>CHEM-1170</t>
        </is>
      </c>
      <c r="B96">
        <f>IF(COUNTIFS(T_StockCount[RM_Code],$A96,T_StockCount[WeekIndex],1)&gt;0,SUMIFS(T_StockCount[CountedQty],T_StockCount[RM_Code],$A96,T_StockCount[WeekIndex],1),IF((COUNTIFS(T_SelfStock[RM_Code],$A96,T_SelfStock[WeekIndex],1)&gt;0)*(COUNTIFS(T_TTAFStock[RM_Code],$A96,T_TTAFStock[WeekIndex],1)&gt;0)&gt;0,SUMIFS(T_SelfStock[Self_Qty],T_SelfStock[RM_Code],$A96,T_SelfStock[WeekIndex],1)+SUMIFS(T_TTAFStock[TTAF_Qty],T_TTAFStock[RM_Code],$A96,T_TTAFStock[WeekIndex],1),IFERROR(INDEX(T_OpeningStock[Opening_Qty],MATCH($A96,T_OpeningStock[RM_Code],0)),0)+'Grid_Incoming'!B96-'Grid_Requirement'!B96))</f>
        <v/>
      </c>
      <c r="C96">
        <f>IF(COUNTIFS(T_StockCount[RM_Code],$A96,T_StockCount[WeekIndex],2)&gt;0,SUMIFS(T_StockCount[CountedQty],T_StockCount[RM_Code],$A96,T_StockCount[WeekIndex],2),IF((COUNTIFS(T_SelfStock[RM_Code],$A96,T_SelfStock[WeekIndex],2)&gt;0)*(COUNTIFS(T_TTAFStock[RM_Code],$A96,T_TTAFStock[WeekIndex],2)&gt;0)&gt;0,SUMIFS(T_SelfStock[Self_Qty],T_SelfStock[RM_Code],$A96,T_SelfStock[WeekIndex],2)+SUMIFS(T_TTAFStock[TTAF_Qty],T_TTAFStock[RM_Code],$A96,T_TTAFStock[WeekIndex],2),B96+'Grid_Incoming'!C96-'Grid_Requirement'!C96))</f>
        <v/>
      </c>
      <c r="D96">
        <f>IF(COUNTIFS(T_StockCount[RM_Code],$A96,T_StockCount[WeekIndex],3)&gt;0,SUMIFS(T_StockCount[CountedQty],T_StockCount[RM_Code],$A96,T_StockCount[WeekIndex],3),IF((COUNTIFS(T_SelfStock[RM_Code],$A96,T_SelfStock[WeekIndex],3)&gt;0)*(COUNTIFS(T_TTAFStock[RM_Code],$A96,T_TTAFStock[WeekIndex],3)&gt;0)&gt;0,SUMIFS(T_SelfStock[Self_Qty],T_SelfStock[RM_Code],$A96,T_SelfStock[WeekIndex],3)+SUMIFS(T_TTAFStock[TTAF_Qty],T_TTAFStock[RM_Code],$A96,T_TTAFStock[WeekIndex],3),C96+'Grid_Incoming'!D96-'Grid_Requirement'!D96))</f>
        <v/>
      </c>
      <c r="E96">
        <f>IF(COUNTIFS(T_StockCount[RM_Code],$A96,T_StockCount[WeekIndex],4)&gt;0,SUMIFS(T_StockCount[CountedQty],T_StockCount[RM_Code],$A96,T_StockCount[WeekIndex],4),IF((COUNTIFS(T_SelfStock[RM_Code],$A96,T_SelfStock[WeekIndex],4)&gt;0)*(COUNTIFS(T_TTAFStock[RM_Code],$A96,T_TTAFStock[WeekIndex],4)&gt;0)&gt;0,SUMIFS(T_SelfStock[Self_Qty],T_SelfStock[RM_Code],$A96,T_SelfStock[WeekIndex],4)+SUMIFS(T_TTAFStock[TTAF_Qty],T_TTAFStock[RM_Code],$A96,T_TTAFStock[WeekIndex],4),D96+'Grid_Incoming'!E96-'Grid_Requirement'!E96))</f>
        <v/>
      </c>
      <c r="F96">
        <f>IF(COUNTIFS(T_StockCount[RM_Code],$A96,T_StockCount[WeekIndex],5)&gt;0,SUMIFS(T_StockCount[CountedQty],T_StockCount[RM_Code],$A96,T_StockCount[WeekIndex],5),IF((COUNTIFS(T_SelfStock[RM_Code],$A96,T_SelfStock[WeekIndex],5)&gt;0)*(COUNTIFS(T_TTAFStock[RM_Code],$A96,T_TTAFStock[WeekIndex],5)&gt;0)&gt;0,SUMIFS(T_SelfStock[Self_Qty],T_SelfStock[RM_Code],$A96,T_SelfStock[WeekIndex],5)+SUMIFS(T_TTAFStock[TTAF_Qty],T_TTAFStock[RM_Code],$A96,T_TTAFStock[WeekIndex],5),E96+'Grid_Incoming'!F96-'Grid_Requirement'!F96))</f>
        <v/>
      </c>
      <c r="G96">
        <f>IF(COUNTIFS(T_StockCount[RM_Code],$A96,T_StockCount[WeekIndex],6)&gt;0,SUMIFS(T_StockCount[CountedQty],T_StockCount[RM_Code],$A96,T_StockCount[WeekIndex],6),IF((COUNTIFS(T_SelfStock[RM_Code],$A96,T_SelfStock[WeekIndex],6)&gt;0)*(COUNTIFS(T_TTAFStock[RM_Code],$A96,T_TTAFStock[WeekIndex],6)&gt;0)&gt;0,SUMIFS(T_SelfStock[Self_Qty],T_SelfStock[RM_Code],$A96,T_SelfStock[WeekIndex],6)+SUMIFS(T_TTAFStock[TTAF_Qty],T_TTAFStock[RM_Code],$A96,T_TTAFStock[WeekIndex],6),F96+'Grid_Incoming'!G96-'Grid_Requirement'!G96))</f>
        <v/>
      </c>
      <c r="H96">
        <f>IF(COUNTIFS(T_StockCount[RM_Code],$A96,T_StockCount[WeekIndex],7)&gt;0,SUMIFS(T_StockCount[CountedQty],T_StockCount[RM_Code],$A96,T_StockCount[WeekIndex],7),IF((COUNTIFS(T_SelfStock[RM_Code],$A96,T_SelfStock[WeekIndex],7)&gt;0)*(COUNTIFS(T_TTAFStock[RM_Code],$A96,T_TTAFStock[WeekIndex],7)&gt;0)&gt;0,SUMIFS(T_SelfStock[Self_Qty],T_SelfStock[RM_Code],$A96,T_SelfStock[WeekIndex],7)+SUMIFS(T_TTAFStock[TTAF_Qty],T_TTAFStock[RM_Code],$A96,T_TTAFStock[WeekIndex],7),G96+'Grid_Incoming'!H96-'Grid_Requirement'!H96))</f>
        <v/>
      </c>
      <c r="I96">
        <f>IF(COUNTIFS(T_StockCount[RM_Code],$A96,T_StockCount[WeekIndex],8)&gt;0,SUMIFS(T_StockCount[CountedQty],T_StockCount[RM_Code],$A96,T_StockCount[WeekIndex],8),IF((COUNTIFS(T_SelfStock[RM_Code],$A96,T_SelfStock[WeekIndex],8)&gt;0)*(COUNTIFS(T_TTAFStock[RM_Code],$A96,T_TTAFStock[WeekIndex],8)&gt;0)&gt;0,SUMIFS(T_SelfStock[Self_Qty],T_SelfStock[RM_Code],$A96,T_SelfStock[WeekIndex],8)+SUMIFS(T_TTAFStock[TTAF_Qty],T_TTAFStock[RM_Code],$A96,T_TTAFStock[WeekIndex],8),H96+'Grid_Incoming'!I96-'Grid_Requirement'!I96))</f>
        <v/>
      </c>
      <c r="J96">
        <f>IF(COUNTIFS(T_StockCount[RM_Code],$A96,T_StockCount[WeekIndex],9)&gt;0,SUMIFS(T_StockCount[CountedQty],T_StockCount[RM_Code],$A96,T_StockCount[WeekIndex],9),IF((COUNTIFS(T_SelfStock[RM_Code],$A96,T_SelfStock[WeekIndex],9)&gt;0)*(COUNTIFS(T_TTAFStock[RM_Code],$A96,T_TTAFStock[WeekIndex],9)&gt;0)&gt;0,SUMIFS(T_SelfStock[Self_Qty],T_SelfStock[RM_Code],$A96,T_SelfStock[WeekIndex],9)+SUMIFS(T_TTAFStock[TTAF_Qty],T_TTAFStock[RM_Code],$A96,T_TTAFStock[WeekIndex],9),I96+'Grid_Incoming'!J96-'Grid_Requirement'!J96))</f>
        <v/>
      </c>
      <c r="K96">
        <f>IF(COUNTIFS(T_StockCount[RM_Code],$A96,T_StockCount[WeekIndex],10)&gt;0,SUMIFS(T_StockCount[CountedQty],T_StockCount[RM_Code],$A96,T_StockCount[WeekIndex],10),IF((COUNTIFS(T_SelfStock[RM_Code],$A96,T_SelfStock[WeekIndex],10)&gt;0)*(COUNTIFS(T_TTAFStock[RM_Code],$A96,T_TTAFStock[WeekIndex],10)&gt;0)&gt;0,SUMIFS(T_SelfStock[Self_Qty],T_SelfStock[RM_Code],$A96,T_SelfStock[WeekIndex],10)+SUMIFS(T_TTAFStock[TTAF_Qty],T_TTAFStock[RM_Code],$A96,T_TTAFStock[WeekIndex],10),J96+'Grid_Incoming'!K96-'Grid_Requirement'!K96))</f>
        <v/>
      </c>
      <c r="L96">
        <f>IF(COUNTIFS(T_StockCount[RM_Code],$A96,T_StockCount[WeekIndex],11)&gt;0,SUMIFS(T_StockCount[CountedQty],T_StockCount[RM_Code],$A96,T_StockCount[WeekIndex],11),IF((COUNTIFS(T_SelfStock[RM_Code],$A96,T_SelfStock[WeekIndex],11)&gt;0)*(COUNTIFS(T_TTAFStock[RM_Code],$A96,T_TTAFStock[WeekIndex],11)&gt;0)&gt;0,SUMIFS(T_SelfStock[Self_Qty],T_SelfStock[RM_Code],$A96,T_SelfStock[WeekIndex],11)+SUMIFS(T_TTAFStock[TTAF_Qty],T_TTAFStock[RM_Code],$A96,T_TTAFStock[WeekIndex],11),K96+'Grid_Incoming'!L96-'Grid_Requirement'!L96))</f>
        <v/>
      </c>
      <c r="M96">
        <f>IF(COUNTIFS(T_StockCount[RM_Code],$A96,T_StockCount[WeekIndex],12)&gt;0,SUMIFS(T_StockCount[CountedQty],T_StockCount[RM_Code],$A96,T_StockCount[WeekIndex],12),IF((COUNTIFS(T_SelfStock[RM_Code],$A96,T_SelfStock[WeekIndex],12)&gt;0)*(COUNTIFS(T_TTAFStock[RM_Code],$A96,T_TTAFStock[WeekIndex],12)&gt;0)&gt;0,SUMIFS(T_SelfStock[Self_Qty],T_SelfStock[RM_Code],$A96,T_SelfStock[WeekIndex],12)+SUMIFS(T_TTAFStock[TTAF_Qty],T_TTAFStock[RM_Code],$A96,T_TTAFStock[WeekIndex],12),L96+'Grid_Incoming'!M96-'Grid_Requirement'!M96))</f>
        <v/>
      </c>
      <c r="N96">
        <f>IF(COUNTIFS(T_StockCount[RM_Code],$A96,T_StockCount[WeekIndex],13)&gt;0,SUMIFS(T_StockCount[CountedQty],T_StockCount[RM_Code],$A96,T_StockCount[WeekIndex],13),IF((COUNTIFS(T_SelfStock[RM_Code],$A96,T_SelfStock[WeekIndex],13)&gt;0)*(COUNTIFS(T_TTAFStock[RM_Code],$A96,T_TTAFStock[WeekIndex],13)&gt;0)&gt;0,SUMIFS(T_SelfStock[Self_Qty],T_SelfStock[RM_Code],$A96,T_SelfStock[WeekIndex],13)+SUMIFS(T_TTAFStock[TTAF_Qty],T_TTAFStock[RM_Code],$A96,T_TTAFStock[WeekIndex],13),M96+'Grid_Incoming'!N96-'Grid_Requirement'!N96))</f>
        <v/>
      </c>
      <c r="O96">
        <f>IF(COUNTIFS(T_StockCount[RM_Code],$A96,T_StockCount[WeekIndex],14)&gt;0,SUMIFS(T_StockCount[CountedQty],T_StockCount[RM_Code],$A96,T_StockCount[WeekIndex],14),IF((COUNTIFS(T_SelfStock[RM_Code],$A96,T_SelfStock[WeekIndex],14)&gt;0)*(COUNTIFS(T_TTAFStock[RM_Code],$A96,T_TTAFStock[WeekIndex],14)&gt;0)&gt;0,SUMIFS(T_SelfStock[Self_Qty],T_SelfStock[RM_Code],$A96,T_SelfStock[WeekIndex],14)+SUMIFS(T_TTAFStock[TTAF_Qty],T_TTAFStock[RM_Code],$A96,T_TTAFStock[WeekIndex],14),N96+'Grid_Incoming'!O96-'Grid_Requirement'!O96))</f>
        <v/>
      </c>
      <c r="P96">
        <f>IF(COUNTIFS(T_StockCount[RM_Code],$A96,T_StockCount[WeekIndex],15)&gt;0,SUMIFS(T_StockCount[CountedQty],T_StockCount[RM_Code],$A96,T_StockCount[WeekIndex],15),IF((COUNTIFS(T_SelfStock[RM_Code],$A96,T_SelfStock[WeekIndex],15)&gt;0)*(COUNTIFS(T_TTAFStock[RM_Code],$A96,T_TTAFStock[WeekIndex],15)&gt;0)&gt;0,SUMIFS(T_SelfStock[Self_Qty],T_SelfStock[RM_Code],$A96,T_SelfStock[WeekIndex],15)+SUMIFS(T_TTAFStock[TTAF_Qty],T_TTAFStock[RM_Code],$A96,T_TTAFStock[WeekIndex],15),O96+'Grid_Incoming'!P96-'Grid_Requirement'!P96))</f>
        <v/>
      </c>
      <c r="Q96">
        <f>IF(COUNTIFS(T_StockCount[RM_Code],$A96,T_StockCount[WeekIndex],16)&gt;0,SUMIFS(T_StockCount[CountedQty],T_StockCount[RM_Code],$A96,T_StockCount[WeekIndex],16),IF((COUNTIFS(T_SelfStock[RM_Code],$A96,T_SelfStock[WeekIndex],16)&gt;0)*(COUNTIFS(T_TTAFStock[RM_Code],$A96,T_TTAFStock[WeekIndex],16)&gt;0)&gt;0,SUMIFS(T_SelfStock[Self_Qty],T_SelfStock[RM_Code],$A96,T_SelfStock[WeekIndex],16)+SUMIFS(T_TTAFStock[TTAF_Qty],T_TTAFStock[RM_Code],$A96,T_TTAFStock[WeekIndex],16),P96+'Grid_Incoming'!Q96-'Grid_Requirement'!Q96))</f>
        <v/>
      </c>
      <c r="R96">
        <f>IF(COUNTIFS(T_StockCount[RM_Code],$A96,T_StockCount[WeekIndex],17)&gt;0,SUMIFS(T_StockCount[CountedQty],T_StockCount[RM_Code],$A96,T_StockCount[WeekIndex],17),IF((COUNTIFS(T_SelfStock[RM_Code],$A96,T_SelfStock[WeekIndex],17)&gt;0)*(COUNTIFS(T_TTAFStock[RM_Code],$A96,T_TTAFStock[WeekIndex],17)&gt;0)&gt;0,SUMIFS(T_SelfStock[Self_Qty],T_SelfStock[RM_Code],$A96,T_SelfStock[WeekIndex],17)+SUMIFS(T_TTAFStock[TTAF_Qty],T_TTAFStock[RM_Code],$A96,T_TTAFStock[WeekIndex],17),Q96+'Grid_Incoming'!R96-'Grid_Requirement'!R96))</f>
        <v/>
      </c>
      <c r="S96">
        <f>IF(COUNTIFS(T_StockCount[RM_Code],$A96,T_StockCount[WeekIndex],18)&gt;0,SUMIFS(T_StockCount[CountedQty],T_StockCount[RM_Code],$A96,T_StockCount[WeekIndex],18),IF((COUNTIFS(T_SelfStock[RM_Code],$A96,T_SelfStock[WeekIndex],18)&gt;0)*(COUNTIFS(T_TTAFStock[RM_Code],$A96,T_TTAFStock[WeekIndex],18)&gt;0)&gt;0,SUMIFS(T_SelfStock[Self_Qty],T_SelfStock[RM_Code],$A96,T_SelfStock[WeekIndex],18)+SUMIFS(T_TTAFStock[TTAF_Qty],T_TTAFStock[RM_Code],$A96,T_TTAFStock[WeekIndex],18),R96+'Grid_Incoming'!S96-'Grid_Requirement'!S96))</f>
        <v/>
      </c>
      <c r="T96">
        <f>IF(COUNTIFS(T_StockCount[RM_Code],$A96,T_StockCount[WeekIndex],19)&gt;0,SUMIFS(T_StockCount[CountedQty],T_StockCount[RM_Code],$A96,T_StockCount[WeekIndex],19),IF((COUNTIFS(T_SelfStock[RM_Code],$A96,T_SelfStock[WeekIndex],19)&gt;0)*(COUNTIFS(T_TTAFStock[RM_Code],$A96,T_TTAFStock[WeekIndex],19)&gt;0)&gt;0,SUMIFS(T_SelfStock[Self_Qty],T_SelfStock[RM_Code],$A96,T_SelfStock[WeekIndex],19)+SUMIFS(T_TTAFStock[TTAF_Qty],T_TTAFStock[RM_Code],$A96,T_TTAFStock[WeekIndex],19),S96+'Grid_Incoming'!T96-'Grid_Requirement'!T96))</f>
        <v/>
      </c>
      <c r="U96">
        <f>IF(COUNTIFS(T_StockCount[RM_Code],$A96,T_StockCount[WeekIndex],20)&gt;0,SUMIFS(T_StockCount[CountedQty],T_StockCount[RM_Code],$A96,T_StockCount[WeekIndex],20),IF((COUNTIFS(T_SelfStock[RM_Code],$A96,T_SelfStock[WeekIndex],20)&gt;0)*(COUNTIFS(T_TTAFStock[RM_Code],$A96,T_TTAFStock[WeekIndex],20)&gt;0)&gt;0,SUMIFS(T_SelfStock[Self_Qty],T_SelfStock[RM_Code],$A96,T_SelfStock[WeekIndex],20)+SUMIFS(T_TTAFStock[TTAF_Qty],T_TTAFStock[RM_Code],$A96,T_TTAFStock[WeekIndex],20),T96+'Grid_Incoming'!U96-'Grid_Requirement'!U96))</f>
        <v/>
      </c>
      <c r="V96">
        <f>IF(COUNTIFS(T_StockCount[RM_Code],$A96,T_StockCount[WeekIndex],21)&gt;0,SUMIFS(T_StockCount[CountedQty],T_StockCount[RM_Code],$A96,T_StockCount[WeekIndex],21),IF((COUNTIFS(T_SelfStock[RM_Code],$A96,T_SelfStock[WeekIndex],21)&gt;0)*(COUNTIFS(T_TTAFStock[RM_Code],$A96,T_TTAFStock[WeekIndex],21)&gt;0)&gt;0,SUMIFS(T_SelfStock[Self_Qty],T_SelfStock[RM_Code],$A96,T_SelfStock[WeekIndex],21)+SUMIFS(T_TTAFStock[TTAF_Qty],T_TTAFStock[RM_Code],$A96,T_TTAFStock[WeekIndex],21),U96+'Grid_Incoming'!V96-'Grid_Requirement'!V96))</f>
        <v/>
      </c>
      <c r="W96">
        <f>IF(COUNTIFS(T_StockCount[RM_Code],$A96,T_StockCount[WeekIndex],22)&gt;0,SUMIFS(T_StockCount[CountedQty],T_StockCount[RM_Code],$A96,T_StockCount[WeekIndex],22),IF((COUNTIFS(T_SelfStock[RM_Code],$A96,T_SelfStock[WeekIndex],22)&gt;0)*(COUNTIFS(T_TTAFStock[RM_Code],$A96,T_TTAFStock[WeekIndex],22)&gt;0)&gt;0,SUMIFS(T_SelfStock[Self_Qty],T_SelfStock[RM_Code],$A96,T_SelfStock[WeekIndex],22)+SUMIFS(T_TTAFStock[TTAF_Qty],T_TTAFStock[RM_Code],$A96,T_TTAFStock[WeekIndex],22),V96+'Grid_Incoming'!W96-'Grid_Requirement'!W96))</f>
        <v/>
      </c>
      <c r="X96">
        <f>IF(COUNTIFS(T_StockCount[RM_Code],$A96,T_StockCount[WeekIndex],23)&gt;0,SUMIFS(T_StockCount[CountedQty],T_StockCount[RM_Code],$A96,T_StockCount[WeekIndex],23),IF((COUNTIFS(T_SelfStock[RM_Code],$A96,T_SelfStock[WeekIndex],23)&gt;0)*(COUNTIFS(T_TTAFStock[RM_Code],$A96,T_TTAFStock[WeekIndex],23)&gt;0)&gt;0,SUMIFS(T_SelfStock[Self_Qty],T_SelfStock[RM_Code],$A96,T_SelfStock[WeekIndex],23)+SUMIFS(T_TTAFStock[TTAF_Qty],T_TTAFStock[RM_Code],$A96,T_TTAFStock[WeekIndex],23),W96+'Grid_Incoming'!X96-'Grid_Requirement'!X96))</f>
        <v/>
      </c>
      <c r="Y96">
        <f>IF(COUNTIFS(T_StockCount[RM_Code],$A96,T_StockCount[WeekIndex],24)&gt;0,SUMIFS(T_StockCount[CountedQty],T_StockCount[RM_Code],$A96,T_StockCount[WeekIndex],24),IF((COUNTIFS(T_SelfStock[RM_Code],$A96,T_SelfStock[WeekIndex],24)&gt;0)*(COUNTIFS(T_TTAFStock[RM_Code],$A96,T_TTAFStock[WeekIndex],24)&gt;0)&gt;0,SUMIFS(T_SelfStock[Self_Qty],T_SelfStock[RM_Code],$A96,T_SelfStock[WeekIndex],24)+SUMIFS(T_TTAFStock[TTAF_Qty],T_TTAFStock[RM_Code],$A96,T_TTAFStock[WeekIndex],24),X96+'Grid_Incoming'!Y96-'Grid_Requirement'!Y96))</f>
        <v/>
      </c>
      <c r="Z96">
        <f>IF(COUNTIFS(T_StockCount[RM_Code],$A96,T_StockCount[WeekIndex],25)&gt;0,SUMIFS(T_StockCount[CountedQty],T_StockCount[RM_Code],$A96,T_StockCount[WeekIndex],25),IF((COUNTIFS(T_SelfStock[RM_Code],$A96,T_SelfStock[WeekIndex],25)&gt;0)*(COUNTIFS(T_TTAFStock[RM_Code],$A96,T_TTAFStock[WeekIndex],25)&gt;0)&gt;0,SUMIFS(T_SelfStock[Self_Qty],T_SelfStock[RM_Code],$A96,T_SelfStock[WeekIndex],25)+SUMIFS(T_TTAFStock[TTAF_Qty],T_TTAFStock[RM_Code],$A96,T_TTAFStock[WeekIndex],25),Y96+'Grid_Incoming'!Z96-'Grid_Requirement'!Z96))</f>
        <v/>
      </c>
      <c r="AA96">
        <f>IF(COUNTIFS(T_StockCount[RM_Code],$A96,T_StockCount[WeekIndex],26)&gt;0,SUMIFS(T_StockCount[CountedQty],T_StockCount[RM_Code],$A96,T_StockCount[WeekIndex],26),IF((COUNTIFS(T_SelfStock[RM_Code],$A96,T_SelfStock[WeekIndex],26)&gt;0)*(COUNTIFS(T_TTAFStock[RM_Code],$A96,T_TTAFStock[WeekIndex],26)&gt;0)&gt;0,SUMIFS(T_SelfStock[Self_Qty],T_SelfStock[RM_Code],$A96,T_SelfStock[WeekIndex],26)+SUMIFS(T_TTAFStock[TTAF_Qty],T_TTAFStock[RM_Code],$A96,T_TTAFStock[WeekIndex],26),Z96+'Grid_Incoming'!AA96-'Grid_Requirement'!AA96))</f>
        <v/>
      </c>
      <c r="AB96">
        <f>IF(COUNTIFS(T_StockCount[RM_Code],$A96,T_StockCount[WeekIndex],27)&gt;0,SUMIFS(T_StockCount[CountedQty],T_StockCount[RM_Code],$A96,T_StockCount[WeekIndex],27),IF((COUNTIFS(T_SelfStock[RM_Code],$A96,T_SelfStock[WeekIndex],27)&gt;0)*(COUNTIFS(T_TTAFStock[RM_Code],$A96,T_TTAFStock[WeekIndex],27)&gt;0)&gt;0,SUMIFS(T_SelfStock[Self_Qty],T_SelfStock[RM_Code],$A96,T_SelfStock[WeekIndex],27)+SUMIFS(T_TTAFStock[TTAF_Qty],T_TTAFStock[RM_Code],$A96,T_TTAFStock[WeekIndex],27),AA96+'Grid_Incoming'!AB96-'Grid_Requirement'!AB96))</f>
        <v/>
      </c>
      <c r="AC96">
        <f>IF(COUNTIFS(T_StockCount[RM_Code],$A96,T_StockCount[WeekIndex],28)&gt;0,SUMIFS(T_StockCount[CountedQty],T_StockCount[RM_Code],$A96,T_StockCount[WeekIndex],28),IF((COUNTIFS(T_SelfStock[RM_Code],$A96,T_SelfStock[WeekIndex],28)&gt;0)*(COUNTIFS(T_TTAFStock[RM_Code],$A96,T_TTAFStock[WeekIndex],28)&gt;0)&gt;0,SUMIFS(T_SelfStock[Self_Qty],T_SelfStock[RM_Code],$A96,T_SelfStock[WeekIndex],28)+SUMIFS(T_TTAFStock[TTAF_Qty],T_TTAFStock[RM_Code],$A96,T_TTAFStock[WeekIndex],28),AB96+'Grid_Incoming'!AC96-'Grid_Requirement'!AC96))</f>
        <v/>
      </c>
      <c r="AD96">
        <f>IF(COUNTIFS(T_StockCount[RM_Code],$A96,T_StockCount[WeekIndex],29)&gt;0,SUMIFS(T_StockCount[CountedQty],T_StockCount[RM_Code],$A96,T_StockCount[WeekIndex],29),IF((COUNTIFS(T_SelfStock[RM_Code],$A96,T_SelfStock[WeekIndex],29)&gt;0)*(COUNTIFS(T_TTAFStock[RM_Code],$A96,T_TTAFStock[WeekIndex],29)&gt;0)&gt;0,SUMIFS(T_SelfStock[Self_Qty],T_SelfStock[RM_Code],$A96,T_SelfStock[WeekIndex],29)+SUMIFS(T_TTAFStock[TTAF_Qty],T_TTAFStock[RM_Code],$A96,T_TTAFStock[WeekIndex],29),AC96+'Grid_Incoming'!AD96-'Grid_Requirement'!AD96))</f>
        <v/>
      </c>
      <c r="AE96">
        <f>IF(COUNTIFS(T_StockCount[RM_Code],$A96,T_StockCount[WeekIndex],30)&gt;0,SUMIFS(T_StockCount[CountedQty],T_StockCount[RM_Code],$A96,T_StockCount[WeekIndex],30),IF((COUNTIFS(T_SelfStock[RM_Code],$A96,T_SelfStock[WeekIndex],30)&gt;0)*(COUNTIFS(T_TTAFStock[RM_Code],$A96,T_TTAFStock[WeekIndex],30)&gt;0)&gt;0,SUMIFS(T_SelfStock[Self_Qty],T_SelfStock[RM_Code],$A96,T_SelfStock[WeekIndex],30)+SUMIFS(T_TTAFStock[TTAF_Qty],T_TTAFStock[RM_Code],$A96,T_TTAFStock[WeekIndex],30),AD96+'Grid_Incoming'!AE96-'Grid_Requirement'!AE96))</f>
        <v/>
      </c>
      <c r="AF96">
        <f>IF(COUNTIFS(T_StockCount[RM_Code],$A96,T_StockCount[WeekIndex],31)&gt;0,SUMIFS(T_StockCount[CountedQty],T_StockCount[RM_Code],$A96,T_StockCount[WeekIndex],31),IF((COUNTIFS(T_SelfStock[RM_Code],$A96,T_SelfStock[WeekIndex],31)&gt;0)*(COUNTIFS(T_TTAFStock[RM_Code],$A96,T_TTAFStock[WeekIndex],31)&gt;0)&gt;0,SUMIFS(T_SelfStock[Self_Qty],T_SelfStock[RM_Code],$A96,T_SelfStock[WeekIndex],31)+SUMIFS(T_TTAFStock[TTAF_Qty],T_TTAFStock[RM_Code],$A96,T_TTAFStock[WeekIndex],31),AE96+'Grid_Incoming'!AF96-'Grid_Requirement'!AF96))</f>
        <v/>
      </c>
      <c r="AG96">
        <f>IF(COUNTIFS(T_StockCount[RM_Code],$A96,T_StockCount[WeekIndex],32)&gt;0,SUMIFS(T_StockCount[CountedQty],T_StockCount[RM_Code],$A96,T_StockCount[WeekIndex],32),IF((COUNTIFS(T_SelfStock[RM_Code],$A96,T_SelfStock[WeekIndex],32)&gt;0)*(COUNTIFS(T_TTAFStock[RM_Code],$A96,T_TTAFStock[WeekIndex],32)&gt;0)&gt;0,SUMIFS(T_SelfStock[Self_Qty],T_SelfStock[RM_Code],$A96,T_SelfStock[WeekIndex],32)+SUMIFS(T_TTAFStock[TTAF_Qty],T_TTAFStock[RM_Code],$A96,T_TTAFStock[WeekIndex],32),AF96+'Grid_Incoming'!AG96-'Grid_Requirement'!AG96))</f>
        <v/>
      </c>
      <c r="AH96">
        <f>IF(COUNTIFS(T_StockCount[RM_Code],$A96,T_StockCount[WeekIndex],33)&gt;0,SUMIFS(T_StockCount[CountedQty],T_StockCount[RM_Code],$A96,T_StockCount[WeekIndex],33),IF((COUNTIFS(T_SelfStock[RM_Code],$A96,T_SelfStock[WeekIndex],33)&gt;0)*(COUNTIFS(T_TTAFStock[RM_Code],$A96,T_TTAFStock[WeekIndex],33)&gt;0)&gt;0,SUMIFS(T_SelfStock[Self_Qty],T_SelfStock[RM_Code],$A96,T_SelfStock[WeekIndex],33)+SUMIFS(T_TTAFStock[TTAF_Qty],T_TTAFStock[RM_Code],$A96,T_TTAFStock[WeekIndex],33),AG96+'Grid_Incoming'!AH96-'Grid_Requirement'!AH96))</f>
        <v/>
      </c>
      <c r="AI96">
        <f>IF(COUNTIFS(T_StockCount[RM_Code],$A96,T_StockCount[WeekIndex],34)&gt;0,SUMIFS(T_StockCount[CountedQty],T_StockCount[RM_Code],$A96,T_StockCount[WeekIndex],34),IF((COUNTIFS(T_SelfStock[RM_Code],$A96,T_SelfStock[WeekIndex],34)&gt;0)*(COUNTIFS(T_TTAFStock[RM_Code],$A96,T_TTAFStock[WeekIndex],34)&gt;0)&gt;0,SUMIFS(T_SelfStock[Self_Qty],T_SelfStock[RM_Code],$A96,T_SelfStock[WeekIndex],34)+SUMIFS(T_TTAFStock[TTAF_Qty],T_TTAFStock[RM_Code],$A96,T_TTAFStock[WeekIndex],34),AH96+'Grid_Incoming'!AI96-'Grid_Requirement'!AI96))</f>
        <v/>
      </c>
      <c r="AJ96">
        <f>IF(COUNTIFS(T_StockCount[RM_Code],$A96,T_StockCount[WeekIndex],35)&gt;0,SUMIFS(T_StockCount[CountedQty],T_StockCount[RM_Code],$A96,T_StockCount[WeekIndex],35),IF((COUNTIFS(T_SelfStock[RM_Code],$A96,T_SelfStock[WeekIndex],35)&gt;0)*(COUNTIFS(T_TTAFStock[RM_Code],$A96,T_TTAFStock[WeekIndex],35)&gt;0)&gt;0,SUMIFS(T_SelfStock[Self_Qty],T_SelfStock[RM_Code],$A96,T_SelfStock[WeekIndex],35)+SUMIFS(T_TTAFStock[TTAF_Qty],T_TTAFStock[RM_Code],$A96,T_TTAFStock[WeekIndex],35),AI96+'Grid_Incoming'!AJ96-'Grid_Requirement'!AJ96))</f>
        <v/>
      </c>
      <c r="AK96">
        <f>IF(COUNTIFS(T_StockCount[RM_Code],$A96,T_StockCount[WeekIndex],36)&gt;0,SUMIFS(T_StockCount[CountedQty],T_StockCount[RM_Code],$A96,T_StockCount[WeekIndex],36),IF((COUNTIFS(T_SelfStock[RM_Code],$A96,T_SelfStock[WeekIndex],36)&gt;0)*(COUNTIFS(T_TTAFStock[RM_Code],$A96,T_TTAFStock[WeekIndex],36)&gt;0)&gt;0,SUMIFS(T_SelfStock[Self_Qty],T_SelfStock[RM_Code],$A96,T_SelfStock[WeekIndex],36)+SUMIFS(T_TTAFStock[TTAF_Qty],T_TTAFStock[RM_Code],$A96,T_TTAFStock[WeekIndex],36),AJ96+'Grid_Incoming'!AK96-'Grid_Requirement'!AK96))</f>
        <v/>
      </c>
      <c r="AL96">
        <f>IF(COUNTIFS(T_StockCount[RM_Code],$A96,T_StockCount[WeekIndex],37)&gt;0,SUMIFS(T_StockCount[CountedQty],T_StockCount[RM_Code],$A96,T_StockCount[WeekIndex],37),IF((COUNTIFS(T_SelfStock[RM_Code],$A96,T_SelfStock[WeekIndex],37)&gt;0)*(COUNTIFS(T_TTAFStock[RM_Code],$A96,T_TTAFStock[WeekIndex],37)&gt;0)&gt;0,SUMIFS(T_SelfStock[Self_Qty],T_SelfStock[RM_Code],$A96,T_SelfStock[WeekIndex],37)+SUMIFS(T_TTAFStock[TTAF_Qty],T_TTAFStock[RM_Code],$A96,T_TTAFStock[WeekIndex],37),AK96+'Grid_Incoming'!AL96-'Grid_Requirement'!AL96))</f>
        <v/>
      </c>
      <c r="AM96">
        <f>IF(COUNTIFS(T_StockCount[RM_Code],$A96,T_StockCount[WeekIndex],38)&gt;0,SUMIFS(T_StockCount[CountedQty],T_StockCount[RM_Code],$A96,T_StockCount[WeekIndex],38),IF((COUNTIFS(T_SelfStock[RM_Code],$A96,T_SelfStock[WeekIndex],38)&gt;0)*(COUNTIFS(T_TTAFStock[RM_Code],$A96,T_TTAFStock[WeekIndex],38)&gt;0)&gt;0,SUMIFS(T_SelfStock[Self_Qty],T_SelfStock[RM_Code],$A96,T_SelfStock[WeekIndex],38)+SUMIFS(T_TTAFStock[TTAF_Qty],T_TTAFStock[RM_Code],$A96,T_TTAFStock[WeekIndex],38),AL96+'Grid_Incoming'!AM96-'Grid_Requirement'!AM96))</f>
        <v/>
      </c>
      <c r="AN96">
        <f>IF(COUNTIFS(T_StockCount[RM_Code],$A96,T_StockCount[WeekIndex],39)&gt;0,SUMIFS(T_StockCount[CountedQty],T_StockCount[RM_Code],$A96,T_StockCount[WeekIndex],39),IF((COUNTIFS(T_SelfStock[RM_Code],$A96,T_SelfStock[WeekIndex],39)&gt;0)*(COUNTIFS(T_TTAFStock[RM_Code],$A96,T_TTAFStock[WeekIndex],39)&gt;0)&gt;0,SUMIFS(T_SelfStock[Self_Qty],T_SelfStock[RM_Code],$A96,T_SelfStock[WeekIndex],39)+SUMIFS(T_TTAFStock[TTAF_Qty],T_TTAFStock[RM_Code],$A96,T_TTAFStock[WeekIndex],39),AM96+'Grid_Incoming'!AN96-'Grid_Requirement'!AN96))</f>
        <v/>
      </c>
      <c r="AO96">
        <f>IF(COUNTIFS(T_StockCount[RM_Code],$A96,T_StockCount[WeekIndex],40)&gt;0,SUMIFS(T_StockCount[CountedQty],T_StockCount[RM_Code],$A96,T_StockCount[WeekIndex],40),IF((COUNTIFS(T_SelfStock[RM_Code],$A96,T_SelfStock[WeekIndex],40)&gt;0)*(COUNTIFS(T_TTAFStock[RM_Code],$A96,T_TTAFStock[WeekIndex],40)&gt;0)&gt;0,SUMIFS(T_SelfStock[Self_Qty],T_SelfStock[RM_Code],$A96,T_SelfStock[WeekIndex],40)+SUMIFS(T_TTAFStock[TTAF_Qty],T_TTAFStock[RM_Code],$A96,T_TTAFStock[WeekIndex],40),AN96+'Grid_Incoming'!AO96-'Grid_Requirement'!AO96))</f>
        <v/>
      </c>
      <c r="AP96">
        <f>IF(COUNTIFS(T_StockCount[RM_Code],$A96,T_StockCount[WeekIndex],41)&gt;0,SUMIFS(T_StockCount[CountedQty],T_StockCount[RM_Code],$A96,T_StockCount[WeekIndex],41),IF((COUNTIFS(T_SelfStock[RM_Code],$A96,T_SelfStock[WeekIndex],41)&gt;0)*(COUNTIFS(T_TTAFStock[RM_Code],$A96,T_TTAFStock[WeekIndex],41)&gt;0)&gt;0,SUMIFS(T_SelfStock[Self_Qty],T_SelfStock[RM_Code],$A96,T_SelfStock[WeekIndex],41)+SUMIFS(T_TTAFStock[TTAF_Qty],T_TTAFStock[RM_Code],$A96,T_TTAFStock[WeekIndex],41),AO96+'Grid_Incoming'!AP96-'Grid_Requirement'!AP96))</f>
        <v/>
      </c>
      <c r="AQ96">
        <f>IF(COUNTIFS(T_StockCount[RM_Code],$A96,T_StockCount[WeekIndex],42)&gt;0,SUMIFS(T_StockCount[CountedQty],T_StockCount[RM_Code],$A96,T_StockCount[WeekIndex],42),IF((COUNTIFS(T_SelfStock[RM_Code],$A96,T_SelfStock[WeekIndex],42)&gt;0)*(COUNTIFS(T_TTAFStock[RM_Code],$A96,T_TTAFStock[WeekIndex],42)&gt;0)&gt;0,SUMIFS(T_SelfStock[Self_Qty],T_SelfStock[RM_Code],$A96,T_SelfStock[WeekIndex],42)+SUMIFS(T_TTAFStock[TTAF_Qty],T_TTAFStock[RM_Code],$A96,T_TTAFStock[WeekIndex],42),AP96+'Grid_Incoming'!AQ96-'Grid_Requirement'!AQ96))</f>
        <v/>
      </c>
      <c r="AR96">
        <f>IF(COUNTIFS(T_StockCount[RM_Code],$A96,T_StockCount[WeekIndex],43)&gt;0,SUMIFS(T_StockCount[CountedQty],T_StockCount[RM_Code],$A96,T_StockCount[WeekIndex],43),IF((COUNTIFS(T_SelfStock[RM_Code],$A96,T_SelfStock[WeekIndex],43)&gt;0)*(COUNTIFS(T_TTAFStock[RM_Code],$A96,T_TTAFStock[WeekIndex],43)&gt;0)&gt;0,SUMIFS(T_SelfStock[Self_Qty],T_SelfStock[RM_Code],$A96,T_SelfStock[WeekIndex],43)+SUMIFS(T_TTAFStock[TTAF_Qty],T_TTAFStock[RM_Code],$A96,T_TTAFStock[WeekIndex],43),AQ96+'Grid_Incoming'!AR96-'Grid_Requirement'!AR96))</f>
        <v/>
      </c>
      <c r="AS96">
        <f>IF(COUNTIFS(T_StockCount[RM_Code],$A96,T_StockCount[WeekIndex],44)&gt;0,SUMIFS(T_StockCount[CountedQty],T_StockCount[RM_Code],$A96,T_StockCount[WeekIndex],44),IF((COUNTIFS(T_SelfStock[RM_Code],$A96,T_SelfStock[WeekIndex],44)&gt;0)*(COUNTIFS(T_TTAFStock[RM_Code],$A96,T_TTAFStock[WeekIndex],44)&gt;0)&gt;0,SUMIFS(T_SelfStock[Self_Qty],T_SelfStock[RM_Code],$A96,T_SelfStock[WeekIndex],44)+SUMIFS(T_TTAFStock[TTAF_Qty],T_TTAFStock[RM_Code],$A96,T_TTAFStock[WeekIndex],44),AR96+'Grid_Incoming'!AS96-'Grid_Requirement'!AS96))</f>
        <v/>
      </c>
      <c r="AT96">
        <f>IF(COUNTIFS(T_StockCount[RM_Code],$A96,T_StockCount[WeekIndex],45)&gt;0,SUMIFS(T_StockCount[CountedQty],T_StockCount[RM_Code],$A96,T_StockCount[WeekIndex],45),IF((COUNTIFS(T_SelfStock[RM_Code],$A96,T_SelfStock[WeekIndex],45)&gt;0)*(COUNTIFS(T_TTAFStock[RM_Code],$A96,T_TTAFStock[WeekIndex],45)&gt;0)&gt;0,SUMIFS(T_SelfStock[Self_Qty],T_SelfStock[RM_Code],$A96,T_SelfStock[WeekIndex],45)+SUMIFS(T_TTAFStock[TTAF_Qty],T_TTAFStock[RM_Code],$A96,T_TTAFStock[WeekIndex],45),AS96+'Grid_Incoming'!AT96-'Grid_Requirement'!AT96))</f>
        <v/>
      </c>
      <c r="AU96">
        <f>IF(COUNTIFS(T_StockCount[RM_Code],$A96,T_StockCount[WeekIndex],46)&gt;0,SUMIFS(T_StockCount[CountedQty],T_StockCount[RM_Code],$A96,T_StockCount[WeekIndex],46),IF((COUNTIFS(T_SelfStock[RM_Code],$A96,T_SelfStock[WeekIndex],46)&gt;0)*(COUNTIFS(T_TTAFStock[RM_Code],$A96,T_TTAFStock[WeekIndex],46)&gt;0)&gt;0,SUMIFS(T_SelfStock[Self_Qty],T_SelfStock[RM_Code],$A96,T_SelfStock[WeekIndex],46)+SUMIFS(T_TTAFStock[TTAF_Qty],T_TTAFStock[RM_Code],$A96,T_TTAFStock[WeekIndex],46),AT96+'Grid_Incoming'!AU96-'Grid_Requirement'!AU96))</f>
        <v/>
      </c>
      <c r="AV96">
        <f>IF(COUNTIFS(T_StockCount[RM_Code],$A96,T_StockCount[WeekIndex],47)&gt;0,SUMIFS(T_StockCount[CountedQty],T_StockCount[RM_Code],$A96,T_StockCount[WeekIndex],47),IF((COUNTIFS(T_SelfStock[RM_Code],$A96,T_SelfStock[WeekIndex],47)&gt;0)*(COUNTIFS(T_TTAFStock[RM_Code],$A96,T_TTAFStock[WeekIndex],47)&gt;0)&gt;0,SUMIFS(T_SelfStock[Self_Qty],T_SelfStock[RM_Code],$A96,T_SelfStock[WeekIndex],47)+SUMIFS(T_TTAFStock[TTAF_Qty],T_TTAFStock[RM_Code],$A96,T_TTAFStock[WeekIndex],47),AU96+'Grid_Incoming'!AV96-'Grid_Requirement'!AV96))</f>
        <v/>
      </c>
      <c r="AW96">
        <f>IF(COUNTIFS(T_StockCount[RM_Code],$A96,T_StockCount[WeekIndex],48)&gt;0,SUMIFS(T_StockCount[CountedQty],T_StockCount[RM_Code],$A96,T_StockCount[WeekIndex],48),IF((COUNTIFS(T_SelfStock[RM_Code],$A96,T_SelfStock[WeekIndex],48)&gt;0)*(COUNTIFS(T_TTAFStock[RM_Code],$A96,T_TTAFStock[WeekIndex],48)&gt;0)&gt;0,SUMIFS(T_SelfStock[Self_Qty],T_SelfStock[RM_Code],$A96,T_SelfStock[WeekIndex],48)+SUMIFS(T_TTAFStock[TTAF_Qty],T_TTAFStock[RM_Code],$A96,T_TTAFStock[WeekIndex],48),AV96+'Grid_Incoming'!AW96-'Grid_Requirement'!AW96))</f>
        <v/>
      </c>
      <c r="AX96">
        <f>IF(COUNTIFS(T_StockCount[RM_Code],$A96,T_StockCount[WeekIndex],49)&gt;0,SUMIFS(T_StockCount[CountedQty],T_StockCount[RM_Code],$A96,T_StockCount[WeekIndex],49),IF((COUNTIFS(T_SelfStock[RM_Code],$A96,T_SelfStock[WeekIndex],49)&gt;0)*(COUNTIFS(T_TTAFStock[RM_Code],$A96,T_TTAFStock[WeekIndex],49)&gt;0)&gt;0,SUMIFS(T_SelfStock[Self_Qty],T_SelfStock[RM_Code],$A96,T_SelfStock[WeekIndex],49)+SUMIFS(T_TTAFStock[TTAF_Qty],T_TTAFStock[RM_Code],$A96,T_TTAFStock[WeekIndex],49),AW96+'Grid_Incoming'!AX96-'Grid_Requirement'!AX96))</f>
        <v/>
      </c>
      <c r="AY96">
        <f>IF(COUNTIFS(T_StockCount[RM_Code],$A96,T_StockCount[WeekIndex],50)&gt;0,SUMIFS(T_StockCount[CountedQty],T_StockCount[RM_Code],$A96,T_StockCount[WeekIndex],50),IF((COUNTIFS(T_SelfStock[RM_Code],$A96,T_SelfStock[WeekIndex],50)&gt;0)*(COUNTIFS(T_TTAFStock[RM_Code],$A96,T_TTAFStock[WeekIndex],50)&gt;0)&gt;0,SUMIFS(T_SelfStock[Self_Qty],T_SelfStock[RM_Code],$A96,T_SelfStock[WeekIndex],50)+SUMIFS(T_TTAFStock[TTAF_Qty],T_TTAFStock[RM_Code],$A96,T_TTAFStock[WeekIndex],50),AX96+'Grid_Incoming'!AY96-'Grid_Requirement'!AY96))</f>
        <v/>
      </c>
      <c r="AZ96">
        <f>IF(COUNTIFS(T_StockCount[RM_Code],$A96,T_StockCount[WeekIndex],51)&gt;0,SUMIFS(T_StockCount[CountedQty],T_StockCount[RM_Code],$A96,T_StockCount[WeekIndex],51),IF((COUNTIFS(T_SelfStock[RM_Code],$A96,T_SelfStock[WeekIndex],51)&gt;0)*(COUNTIFS(T_TTAFStock[RM_Code],$A96,T_TTAFStock[WeekIndex],51)&gt;0)&gt;0,SUMIFS(T_SelfStock[Self_Qty],T_SelfStock[RM_Code],$A96,T_SelfStock[WeekIndex],51)+SUMIFS(T_TTAFStock[TTAF_Qty],T_TTAFStock[RM_Code],$A96,T_TTAFStock[WeekIndex],51),AY96+'Grid_Incoming'!AZ96-'Grid_Requirement'!AZ96))</f>
        <v/>
      </c>
      <c r="BA96">
        <f>IF(COUNTIFS(T_StockCount[RM_Code],$A96,T_StockCount[WeekIndex],52)&gt;0,SUMIFS(T_StockCount[CountedQty],T_StockCount[RM_Code],$A96,T_StockCount[WeekIndex],52),IF((COUNTIFS(T_SelfStock[RM_Code],$A96,T_SelfStock[WeekIndex],52)&gt;0)*(COUNTIFS(T_TTAFStock[RM_Code],$A96,T_TTAFStock[WeekIndex],52)&gt;0)&gt;0,SUMIFS(T_SelfStock[Self_Qty],T_SelfStock[RM_Code],$A96,T_SelfStock[WeekIndex],52)+SUMIFS(T_TTAFStock[TTAF_Qty],T_TTAFStock[RM_Code],$A96,T_TTAFStock[WeekIndex],52),AZ96+'Grid_Incoming'!BA96-'Grid_Requirement'!BA96))</f>
        <v/>
      </c>
      <c r="BB96">
        <f>IF(COUNTIFS(T_StockCount[RM_Code],$A96,T_StockCount[WeekIndex],53)&gt;0,SUMIFS(T_StockCount[CountedQty],T_StockCount[RM_Code],$A96,T_StockCount[WeekIndex],53),IF((COUNTIFS(T_SelfStock[RM_Code],$A96,T_SelfStock[WeekIndex],53)&gt;0)*(COUNTIFS(T_TTAFStock[RM_Code],$A96,T_TTAFStock[WeekIndex],53)&gt;0)&gt;0,SUMIFS(T_SelfStock[Self_Qty],T_SelfStock[RM_Code],$A96,T_SelfStock[WeekIndex],53)+SUMIFS(T_TTAFStock[TTAF_Qty],T_TTAFStock[RM_Code],$A96,T_TTAFStock[WeekIndex],53),BA96+'Grid_Incoming'!BB96-'Grid_Requirement'!BB96))</f>
        <v/>
      </c>
      <c r="BC96">
        <f>IF(COUNTIFS(T_StockCount[RM_Code],$A96,T_StockCount[WeekIndex],54)&gt;0,SUMIFS(T_StockCount[CountedQty],T_StockCount[RM_Code],$A96,T_StockCount[WeekIndex],54),IF((COUNTIFS(T_SelfStock[RM_Code],$A96,T_SelfStock[WeekIndex],54)&gt;0)*(COUNTIFS(T_TTAFStock[RM_Code],$A96,T_TTAFStock[WeekIndex],54)&gt;0)&gt;0,SUMIFS(T_SelfStock[Self_Qty],T_SelfStock[RM_Code],$A96,T_SelfStock[WeekIndex],54)+SUMIFS(T_TTAFStock[TTAF_Qty],T_TTAFStock[RM_Code],$A96,T_TTAFStock[WeekIndex],54),BB96+'Grid_Incoming'!BC96-'Grid_Requirement'!BC96))</f>
        <v/>
      </c>
      <c r="BD96">
        <f>IF(COUNTIFS(T_StockCount[RM_Code],$A96,T_StockCount[WeekIndex],55)&gt;0,SUMIFS(T_StockCount[CountedQty],T_StockCount[RM_Code],$A96,T_StockCount[WeekIndex],55),IF((COUNTIFS(T_SelfStock[RM_Code],$A96,T_SelfStock[WeekIndex],55)&gt;0)*(COUNTIFS(T_TTAFStock[RM_Code],$A96,T_TTAFStock[WeekIndex],55)&gt;0)&gt;0,SUMIFS(T_SelfStock[Self_Qty],T_SelfStock[RM_Code],$A96,T_SelfStock[WeekIndex],55)+SUMIFS(T_TTAFStock[TTAF_Qty],T_TTAFStock[RM_Code],$A96,T_TTAFStock[WeekIndex],55),BC96+'Grid_Incoming'!BD96-'Grid_Requirement'!BD96))</f>
        <v/>
      </c>
      <c r="BE96">
        <f>IF(COUNTIFS(T_StockCount[RM_Code],$A96,T_StockCount[WeekIndex],56)&gt;0,SUMIFS(T_StockCount[CountedQty],T_StockCount[RM_Code],$A96,T_StockCount[WeekIndex],56),IF((COUNTIFS(T_SelfStock[RM_Code],$A96,T_SelfStock[WeekIndex],56)&gt;0)*(COUNTIFS(T_TTAFStock[RM_Code],$A96,T_TTAFStock[WeekIndex],56)&gt;0)&gt;0,SUMIFS(T_SelfStock[Self_Qty],T_SelfStock[RM_Code],$A96,T_SelfStock[WeekIndex],56)+SUMIFS(T_TTAFStock[TTAF_Qty],T_TTAFStock[RM_Code],$A96,T_TTAFStock[WeekIndex],56),BD96+'Grid_Incoming'!BE96-'Grid_Requirement'!BE96))</f>
        <v/>
      </c>
      <c r="BF96">
        <f>IF(COUNTIFS(T_StockCount[RM_Code],$A96,T_StockCount[WeekIndex],57)&gt;0,SUMIFS(T_StockCount[CountedQty],T_StockCount[RM_Code],$A96,T_StockCount[WeekIndex],57),IF((COUNTIFS(T_SelfStock[RM_Code],$A96,T_SelfStock[WeekIndex],57)&gt;0)*(COUNTIFS(T_TTAFStock[RM_Code],$A96,T_TTAFStock[WeekIndex],57)&gt;0)&gt;0,SUMIFS(T_SelfStock[Self_Qty],T_SelfStock[RM_Code],$A96,T_SelfStock[WeekIndex],57)+SUMIFS(T_TTAFStock[TTAF_Qty],T_TTAFStock[RM_Code],$A96,T_TTAFStock[WeekIndex],57),BE96+'Grid_Incoming'!BF96-'Grid_Requirement'!BF96))</f>
        <v/>
      </c>
      <c r="BG96">
        <f>IF(COUNTIFS(T_StockCount[RM_Code],$A96,T_StockCount[WeekIndex],58)&gt;0,SUMIFS(T_StockCount[CountedQty],T_StockCount[RM_Code],$A96,T_StockCount[WeekIndex],58),IF((COUNTIFS(T_SelfStock[RM_Code],$A96,T_SelfStock[WeekIndex],58)&gt;0)*(COUNTIFS(T_TTAFStock[RM_Code],$A96,T_TTAFStock[WeekIndex],58)&gt;0)&gt;0,SUMIFS(T_SelfStock[Self_Qty],T_SelfStock[RM_Code],$A96,T_SelfStock[WeekIndex],58)+SUMIFS(T_TTAFStock[TTAF_Qty],T_TTAFStock[RM_Code],$A96,T_TTAFStock[WeekIndex],58),BF96+'Grid_Incoming'!BG96-'Grid_Requirement'!BG96))</f>
        <v/>
      </c>
      <c r="BH96">
        <f>IF(COUNTIFS(T_StockCount[RM_Code],$A96,T_StockCount[WeekIndex],59)&gt;0,SUMIFS(T_StockCount[CountedQty],T_StockCount[RM_Code],$A96,T_StockCount[WeekIndex],59),IF((COUNTIFS(T_SelfStock[RM_Code],$A96,T_SelfStock[WeekIndex],59)&gt;0)*(COUNTIFS(T_TTAFStock[RM_Code],$A96,T_TTAFStock[WeekIndex],59)&gt;0)&gt;0,SUMIFS(T_SelfStock[Self_Qty],T_SelfStock[RM_Code],$A96,T_SelfStock[WeekIndex],59)+SUMIFS(T_TTAFStock[TTAF_Qty],T_TTAFStock[RM_Code],$A96,T_TTAFStock[WeekIndex],59),BG96+'Grid_Incoming'!BH96-'Grid_Requirement'!BH96))</f>
        <v/>
      </c>
      <c r="BI96">
        <f>IF(COUNTIFS(T_StockCount[RM_Code],$A96,T_StockCount[WeekIndex],60)&gt;0,SUMIFS(T_StockCount[CountedQty],T_StockCount[RM_Code],$A96,T_StockCount[WeekIndex],60),IF((COUNTIFS(T_SelfStock[RM_Code],$A96,T_SelfStock[WeekIndex],60)&gt;0)*(COUNTIFS(T_TTAFStock[RM_Code],$A96,T_TTAFStock[WeekIndex],60)&gt;0)&gt;0,SUMIFS(T_SelfStock[Self_Qty],T_SelfStock[RM_Code],$A96,T_SelfStock[WeekIndex],60)+SUMIFS(T_TTAFStock[TTAF_Qty],T_TTAFStock[RM_Code],$A96,T_TTAFStock[WeekIndex],60),BH96+'Grid_Incoming'!BI96-'Grid_Requirement'!BI96))</f>
        <v/>
      </c>
      <c r="BJ96">
        <f>IF(COUNTIFS(T_StockCount[RM_Code],$A96,T_StockCount[WeekIndex],61)&gt;0,SUMIFS(T_StockCount[CountedQty],T_StockCount[RM_Code],$A96,T_StockCount[WeekIndex],61),IF((COUNTIFS(T_SelfStock[RM_Code],$A96,T_SelfStock[WeekIndex],61)&gt;0)*(COUNTIFS(T_TTAFStock[RM_Code],$A96,T_TTAFStock[WeekIndex],61)&gt;0)&gt;0,SUMIFS(T_SelfStock[Self_Qty],T_SelfStock[RM_Code],$A96,T_SelfStock[WeekIndex],61)+SUMIFS(T_TTAFStock[TTAF_Qty],T_TTAFStock[RM_Code],$A96,T_TTAFStock[WeekIndex],61),BI96+'Grid_Incoming'!BJ96-'Grid_Requirement'!BJ96))</f>
        <v/>
      </c>
      <c r="BK96">
        <f>IF(COUNTIFS(T_StockCount[RM_Code],$A96,T_StockCount[WeekIndex],62)&gt;0,SUMIFS(T_StockCount[CountedQty],T_StockCount[RM_Code],$A96,T_StockCount[WeekIndex],62),IF((COUNTIFS(T_SelfStock[RM_Code],$A96,T_SelfStock[WeekIndex],62)&gt;0)*(COUNTIFS(T_TTAFStock[RM_Code],$A96,T_TTAFStock[WeekIndex],62)&gt;0)&gt;0,SUMIFS(T_SelfStock[Self_Qty],T_SelfStock[RM_Code],$A96,T_SelfStock[WeekIndex],62)+SUMIFS(T_TTAFStock[TTAF_Qty],T_TTAFStock[RM_Code],$A96,T_TTAFStock[WeekIndex],62),BJ96+'Grid_Incoming'!BK96-'Grid_Requirement'!BK96))</f>
        <v/>
      </c>
      <c r="BL96">
        <f>IF(COUNTIFS(T_StockCount[RM_Code],$A96,T_StockCount[WeekIndex],63)&gt;0,SUMIFS(T_StockCount[CountedQty],T_StockCount[RM_Code],$A96,T_StockCount[WeekIndex],63),IF((COUNTIFS(T_SelfStock[RM_Code],$A96,T_SelfStock[WeekIndex],63)&gt;0)*(COUNTIFS(T_TTAFStock[RM_Code],$A96,T_TTAFStock[WeekIndex],63)&gt;0)&gt;0,SUMIFS(T_SelfStock[Self_Qty],T_SelfStock[RM_Code],$A96,T_SelfStock[WeekIndex],63)+SUMIFS(T_TTAFStock[TTAF_Qty],T_TTAFStock[RM_Code],$A96,T_TTAFStock[WeekIndex],63),BK96+'Grid_Incoming'!BL96-'Grid_Requirement'!BL96))</f>
        <v/>
      </c>
      <c r="BM96">
        <f>IF(COUNTIFS(T_StockCount[RM_Code],$A96,T_StockCount[WeekIndex],64)&gt;0,SUMIFS(T_StockCount[CountedQty],T_StockCount[RM_Code],$A96,T_StockCount[WeekIndex],64),IF((COUNTIFS(T_SelfStock[RM_Code],$A96,T_SelfStock[WeekIndex],64)&gt;0)*(COUNTIFS(T_TTAFStock[RM_Code],$A96,T_TTAFStock[WeekIndex],64)&gt;0)&gt;0,SUMIFS(T_SelfStock[Self_Qty],T_SelfStock[RM_Code],$A96,T_SelfStock[WeekIndex],64)+SUMIFS(T_TTAFStock[TTAF_Qty],T_TTAFStock[RM_Code],$A96,T_TTAFStock[WeekIndex],64),BL96+'Grid_Incoming'!BM96-'Grid_Requirement'!BM96))</f>
        <v/>
      </c>
      <c r="BN96">
        <f>IF(COUNTIFS(T_StockCount[RM_Code],$A96,T_StockCount[WeekIndex],65)&gt;0,SUMIFS(T_StockCount[CountedQty],T_StockCount[RM_Code],$A96,T_StockCount[WeekIndex],65),IF((COUNTIFS(T_SelfStock[RM_Code],$A96,T_SelfStock[WeekIndex],65)&gt;0)*(COUNTIFS(T_TTAFStock[RM_Code],$A96,T_TTAFStock[WeekIndex],65)&gt;0)&gt;0,SUMIFS(T_SelfStock[Self_Qty],T_SelfStock[RM_Code],$A96,T_SelfStock[WeekIndex],65)+SUMIFS(T_TTAFStock[TTAF_Qty],T_TTAFStock[RM_Code],$A96,T_TTAFStock[WeekIndex],65),BM96+'Grid_Incoming'!BN96-'Grid_Requirement'!BN96))</f>
        <v/>
      </c>
      <c r="BO96">
        <f>IF(COUNTIFS(T_StockCount[RM_Code],$A96,T_StockCount[WeekIndex],66)&gt;0,SUMIFS(T_StockCount[CountedQty],T_StockCount[RM_Code],$A96,T_StockCount[WeekIndex],66),IF((COUNTIFS(T_SelfStock[RM_Code],$A96,T_SelfStock[WeekIndex],66)&gt;0)*(COUNTIFS(T_TTAFStock[RM_Code],$A96,T_TTAFStock[WeekIndex],66)&gt;0)&gt;0,SUMIFS(T_SelfStock[Self_Qty],T_SelfStock[RM_Code],$A96,T_SelfStock[WeekIndex],66)+SUMIFS(T_TTAFStock[TTAF_Qty],T_TTAFStock[RM_Code],$A96,T_TTAFStock[WeekIndex],66),BN96+'Grid_Incoming'!BO96-'Grid_Requirement'!BO96))</f>
        <v/>
      </c>
      <c r="BP96">
        <f>IF(COUNTIFS(T_StockCount[RM_Code],$A96,T_StockCount[WeekIndex],67)&gt;0,SUMIFS(T_StockCount[CountedQty],T_StockCount[RM_Code],$A96,T_StockCount[WeekIndex],67),IF((COUNTIFS(T_SelfStock[RM_Code],$A96,T_SelfStock[WeekIndex],67)&gt;0)*(COUNTIFS(T_TTAFStock[RM_Code],$A96,T_TTAFStock[WeekIndex],67)&gt;0)&gt;0,SUMIFS(T_SelfStock[Self_Qty],T_SelfStock[RM_Code],$A96,T_SelfStock[WeekIndex],67)+SUMIFS(T_TTAFStock[TTAF_Qty],T_TTAFStock[RM_Code],$A96,T_TTAFStock[WeekIndex],67),BO96+'Grid_Incoming'!BP96-'Grid_Requirement'!BP96))</f>
        <v/>
      </c>
      <c r="BQ96">
        <f>IF(COUNTIFS(T_StockCount[RM_Code],$A96,T_StockCount[WeekIndex],68)&gt;0,SUMIFS(T_StockCount[CountedQty],T_StockCount[RM_Code],$A96,T_StockCount[WeekIndex],68),IF((COUNTIFS(T_SelfStock[RM_Code],$A96,T_SelfStock[WeekIndex],68)&gt;0)*(COUNTIFS(T_TTAFStock[RM_Code],$A96,T_TTAFStock[WeekIndex],68)&gt;0)&gt;0,SUMIFS(T_SelfStock[Self_Qty],T_SelfStock[RM_Code],$A96,T_SelfStock[WeekIndex],68)+SUMIFS(T_TTAFStock[TTAF_Qty],T_TTAFStock[RM_Code],$A96,T_TTAFStock[WeekIndex],68),BP96+'Grid_Incoming'!BQ96-'Grid_Requirement'!BQ96))</f>
        <v/>
      </c>
      <c r="BR96">
        <f>IF(COUNTIFS(T_StockCount[RM_Code],$A96,T_StockCount[WeekIndex],69)&gt;0,SUMIFS(T_StockCount[CountedQty],T_StockCount[RM_Code],$A96,T_StockCount[WeekIndex],69),IF((COUNTIFS(T_SelfStock[RM_Code],$A96,T_SelfStock[WeekIndex],69)&gt;0)*(COUNTIFS(T_TTAFStock[RM_Code],$A96,T_TTAFStock[WeekIndex],69)&gt;0)&gt;0,SUMIFS(T_SelfStock[Self_Qty],T_SelfStock[RM_Code],$A96,T_SelfStock[WeekIndex],69)+SUMIFS(T_TTAFStock[TTAF_Qty],T_TTAFStock[RM_Code],$A96,T_TTAFStock[WeekIndex],69),BQ96+'Grid_Incoming'!BR96-'Grid_Requirement'!BR96))</f>
        <v/>
      </c>
      <c r="BS96">
        <f>IF(COUNTIFS(T_StockCount[RM_Code],$A96,T_StockCount[WeekIndex],70)&gt;0,SUMIFS(T_StockCount[CountedQty],T_StockCount[RM_Code],$A96,T_StockCount[WeekIndex],70),IF((COUNTIFS(T_SelfStock[RM_Code],$A96,T_SelfStock[WeekIndex],70)&gt;0)*(COUNTIFS(T_TTAFStock[RM_Code],$A96,T_TTAFStock[WeekIndex],70)&gt;0)&gt;0,SUMIFS(T_SelfStock[Self_Qty],T_SelfStock[RM_Code],$A96,T_SelfStock[WeekIndex],70)+SUMIFS(T_TTAFStock[TTAF_Qty],T_TTAFStock[RM_Code],$A96,T_TTAFStock[WeekIndex],70),BR96+'Grid_Incoming'!BS96-'Grid_Requirement'!BS96))</f>
        <v/>
      </c>
      <c r="BT96">
        <f>IF(COUNTIFS(T_StockCount[RM_Code],$A96,T_StockCount[WeekIndex],71)&gt;0,SUMIFS(T_StockCount[CountedQty],T_StockCount[RM_Code],$A96,T_StockCount[WeekIndex],71),IF((COUNTIFS(T_SelfStock[RM_Code],$A96,T_SelfStock[WeekIndex],71)&gt;0)*(COUNTIFS(T_TTAFStock[RM_Code],$A96,T_TTAFStock[WeekIndex],71)&gt;0)&gt;0,SUMIFS(T_SelfStock[Self_Qty],T_SelfStock[RM_Code],$A96,T_SelfStock[WeekIndex],71)+SUMIFS(T_TTAFStock[TTAF_Qty],T_TTAFStock[RM_Code],$A96,T_TTAFStock[WeekIndex],71),BS96+'Grid_Incoming'!BT96-'Grid_Requirement'!BT96))</f>
        <v/>
      </c>
      <c r="BU96">
        <f>IF(COUNTIFS(T_StockCount[RM_Code],$A96,T_StockCount[WeekIndex],72)&gt;0,SUMIFS(T_StockCount[CountedQty],T_StockCount[RM_Code],$A96,T_StockCount[WeekIndex],72),IF((COUNTIFS(T_SelfStock[RM_Code],$A96,T_SelfStock[WeekIndex],72)&gt;0)*(COUNTIFS(T_TTAFStock[RM_Code],$A96,T_TTAFStock[WeekIndex],72)&gt;0)&gt;0,SUMIFS(T_SelfStock[Self_Qty],T_SelfStock[RM_Code],$A96,T_SelfStock[WeekIndex],72)+SUMIFS(T_TTAFStock[TTAF_Qty],T_TTAFStock[RM_Code],$A96,T_TTAFStock[WeekIndex],72),BT96+'Grid_Incoming'!BU96-'Grid_Requirement'!BU96))</f>
        <v/>
      </c>
      <c r="BV96">
        <f>IF(COUNTIFS(T_StockCount[RM_Code],$A96,T_StockCount[WeekIndex],73)&gt;0,SUMIFS(T_StockCount[CountedQty],T_StockCount[RM_Code],$A96,T_StockCount[WeekIndex],73),IF((COUNTIFS(T_SelfStock[RM_Code],$A96,T_SelfStock[WeekIndex],73)&gt;0)*(COUNTIFS(T_TTAFStock[RM_Code],$A96,T_TTAFStock[WeekIndex],73)&gt;0)&gt;0,SUMIFS(T_SelfStock[Self_Qty],T_SelfStock[RM_Code],$A96,T_SelfStock[WeekIndex],73)+SUMIFS(T_TTAFStock[TTAF_Qty],T_TTAFStock[RM_Code],$A96,T_TTAFStock[WeekIndex],73),BU96+'Grid_Incoming'!BV96-'Grid_Requirement'!BV96))</f>
        <v/>
      </c>
      <c r="BW96">
        <f>IF(COUNTIFS(T_StockCount[RM_Code],$A96,T_StockCount[WeekIndex],74)&gt;0,SUMIFS(T_StockCount[CountedQty],T_StockCount[RM_Code],$A96,T_StockCount[WeekIndex],74),IF((COUNTIFS(T_SelfStock[RM_Code],$A96,T_SelfStock[WeekIndex],74)&gt;0)*(COUNTIFS(T_TTAFStock[RM_Code],$A96,T_TTAFStock[WeekIndex],74)&gt;0)&gt;0,SUMIFS(T_SelfStock[Self_Qty],T_SelfStock[RM_Code],$A96,T_SelfStock[WeekIndex],74)+SUMIFS(T_TTAFStock[TTAF_Qty],T_TTAFStock[RM_Code],$A96,T_TTAFStock[WeekIndex],74),BV96+'Grid_Incoming'!BW96-'Grid_Requirement'!BW96))</f>
        <v/>
      </c>
      <c r="BX96">
        <f>IF(COUNTIFS(T_StockCount[RM_Code],$A96,T_StockCount[WeekIndex],75)&gt;0,SUMIFS(T_StockCount[CountedQty],T_StockCount[RM_Code],$A96,T_StockCount[WeekIndex],75),IF((COUNTIFS(T_SelfStock[RM_Code],$A96,T_SelfStock[WeekIndex],75)&gt;0)*(COUNTIFS(T_TTAFStock[RM_Code],$A96,T_TTAFStock[WeekIndex],75)&gt;0)&gt;0,SUMIFS(T_SelfStock[Self_Qty],T_SelfStock[RM_Code],$A96,T_SelfStock[WeekIndex],75)+SUMIFS(T_TTAFStock[TTAF_Qty],T_TTAFStock[RM_Code],$A96,T_TTAFStock[WeekIndex],75),BW96+'Grid_Incoming'!BX96-'Grid_Requirement'!BX96))</f>
        <v/>
      </c>
      <c r="BY96">
        <f>IF(COUNTIFS(T_StockCount[RM_Code],$A96,T_StockCount[WeekIndex],76)&gt;0,SUMIFS(T_StockCount[CountedQty],T_StockCount[RM_Code],$A96,T_StockCount[WeekIndex],76),IF((COUNTIFS(T_SelfStock[RM_Code],$A96,T_SelfStock[WeekIndex],76)&gt;0)*(COUNTIFS(T_TTAFStock[RM_Code],$A96,T_TTAFStock[WeekIndex],76)&gt;0)&gt;0,SUMIFS(T_SelfStock[Self_Qty],T_SelfStock[RM_Code],$A96,T_SelfStock[WeekIndex],76)+SUMIFS(T_TTAFStock[TTAF_Qty],T_TTAFStock[RM_Code],$A96,T_TTAFStock[WeekIndex],76),BX96+'Grid_Incoming'!BY96-'Grid_Requirement'!BY96))</f>
        <v/>
      </c>
      <c r="BZ96">
        <f>IF(COUNTIFS(T_StockCount[RM_Code],$A96,T_StockCount[WeekIndex],77)&gt;0,SUMIFS(T_StockCount[CountedQty],T_StockCount[RM_Code],$A96,T_StockCount[WeekIndex],77),IF((COUNTIFS(T_SelfStock[RM_Code],$A96,T_SelfStock[WeekIndex],77)&gt;0)*(COUNTIFS(T_TTAFStock[RM_Code],$A96,T_TTAFStock[WeekIndex],77)&gt;0)&gt;0,SUMIFS(T_SelfStock[Self_Qty],T_SelfStock[RM_Code],$A96,T_SelfStock[WeekIndex],77)+SUMIFS(T_TTAFStock[TTAF_Qty],T_TTAFStock[RM_Code],$A96,T_TTAFStock[WeekIndex],77),BY96+'Grid_Incoming'!BZ96-'Grid_Requirement'!BZ96))</f>
        <v/>
      </c>
      <c r="CA96">
        <f>IF(COUNTIFS(T_StockCount[RM_Code],$A96,T_StockCount[WeekIndex],78)&gt;0,SUMIFS(T_StockCount[CountedQty],T_StockCount[RM_Code],$A96,T_StockCount[WeekIndex],78),IF((COUNTIFS(T_SelfStock[RM_Code],$A96,T_SelfStock[WeekIndex],78)&gt;0)*(COUNTIFS(T_TTAFStock[RM_Code],$A96,T_TTAFStock[WeekIndex],78)&gt;0)&gt;0,SUMIFS(T_SelfStock[Self_Qty],T_SelfStock[RM_Code],$A96,T_SelfStock[WeekIndex],78)+SUMIFS(T_TTAFStock[TTAF_Qty],T_TTAFStock[RM_Code],$A96,T_TTAFStock[WeekIndex],78),BZ96+'Grid_Incoming'!CA96-'Grid_Requirement'!CA96))</f>
        <v/>
      </c>
      <c r="CB96">
        <f>IF(COUNTIFS(T_StockCount[RM_Code],$A96,T_StockCount[WeekIndex],79)&gt;0,SUMIFS(T_StockCount[CountedQty],T_StockCount[RM_Code],$A96,T_StockCount[WeekIndex],79),IF((COUNTIFS(T_SelfStock[RM_Code],$A96,T_SelfStock[WeekIndex],79)&gt;0)*(COUNTIFS(T_TTAFStock[RM_Code],$A96,T_TTAFStock[WeekIndex],79)&gt;0)&gt;0,SUMIFS(T_SelfStock[Self_Qty],T_SelfStock[RM_Code],$A96,T_SelfStock[WeekIndex],79)+SUMIFS(T_TTAFStock[TTAF_Qty],T_TTAFStock[RM_Code],$A96,T_TTAFStock[WeekIndex],79),CA96+'Grid_Incoming'!CB96-'Grid_Requirement'!CB96))</f>
        <v/>
      </c>
      <c r="CC96">
        <f>IF(COUNTIFS(T_StockCount[RM_Code],$A96,T_StockCount[WeekIndex],80)&gt;0,SUMIFS(T_StockCount[CountedQty],T_StockCount[RM_Code],$A96,T_StockCount[WeekIndex],80),IF((COUNTIFS(T_SelfStock[RM_Code],$A96,T_SelfStock[WeekIndex],80)&gt;0)*(COUNTIFS(T_TTAFStock[RM_Code],$A96,T_TTAFStock[WeekIndex],80)&gt;0)&gt;0,SUMIFS(T_SelfStock[Self_Qty],T_SelfStock[RM_Code],$A96,T_SelfStock[WeekIndex],80)+SUMIFS(T_TTAFStock[TTAF_Qty],T_TTAFStock[RM_Code],$A96,T_TTAFStock[WeekIndex],80),CB96+'Grid_Incoming'!CC96-'Grid_Requirement'!CC96))</f>
        <v/>
      </c>
      <c r="CD96">
        <f>IF(COUNTIFS(T_StockCount[RM_Code],$A96,T_StockCount[WeekIndex],81)&gt;0,SUMIFS(T_StockCount[CountedQty],T_StockCount[RM_Code],$A96,T_StockCount[WeekIndex],81),IF((COUNTIFS(T_SelfStock[RM_Code],$A96,T_SelfStock[WeekIndex],81)&gt;0)*(COUNTIFS(T_TTAFStock[RM_Code],$A96,T_TTAFStock[WeekIndex],81)&gt;0)&gt;0,SUMIFS(T_SelfStock[Self_Qty],T_SelfStock[RM_Code],$A96,T_SelfStock[WeekIndex],81)+SUMIFS(T_TTAFStock[TTAF_Qty],T_TTAFStock[RM_Code],$A96,T_TTAFStock[WeekIndex],81),CC96+'Grid_Incoming'!CD96-'Grid_Requirement'!CD96))</f>
        <v/>
      </c>
      <c r="CE96">
        <f>IF(COUNTIFS(T_StockCount[RM_Code],$A96,T_StockCount[WeekIndex],82)&gt;0,SUMIFS(T_StockCount[CountedQty],T_StockCount[RM_Code],$A96,T_StockCount[WeekIndex],82),IF((COUNTIFS(T_SelfStock[RM_Code],$A96,T_SelfStock[WeekIndex],82)&gt;0)*(COUNTIFS(T_TTAFStock[RM_Code],$A96,T_TTAFStock[WeekIndex],82)&gt;0)&gt;0,SUMIFS(T_SelfStock[Self_Qty],T_SelfStock[RM_Code],$A96,T_SelfStock[WeekIndex],82)+SUMIFS(T_TTAFStock[TTAF_Qty],T_TTAFStock[RM_Code],$A96,T_TTAFStock[WeekIndex],82),CD96+'Grid_Incoming'!CE96-'Grid_Requirement'!CE96))</f>
        <v/>
      </c>
      <c r="CF96">
        <f>IF(COUNTIFS(T_StockCount[RM_Code],$A96,T_StockCount[WeekIndex],83)&gt;0,SUMIFS(T_StockCount[CountedQty],T_StockCount[RM_Code],$A96,T_StockCount[WeekIndex],83),IF((COUNTIFS(T_SelfStock[RM_Code],$A96,T_SelfStock[WeekIndex],83)&gt;0)*(COUNTIFS(T_TTAFStock[RM_Code],$A96,T_TTAFStock[WeekIndex],83)&gt;0)&gt;0,SUMIFS(T_SelfStock[Self_Qty],T_SelfStock[RM_Code],$A96,T_SelfStock[WeekIndex],83)+SUMIFS(T_TTAFStock[TTAF_Qty],T_TTAFStock[RM_Code],$A96,T_TTAFStock[WeekIndex],83),CE96+'Grid_Incoming'!CF96-'Grid_Requirement'!CF96))</f>
        <v/>
      </c>
      <c r="CG96">
        <f>IF(COUNTIFS(T_StockCount[RM_Code],$A96,T_StockCount[WeekIndex],84)&gt;0,SUMIFS(T_StockCount[CountedQty],T_StockCount[RM_Code],$A96,T_StockCount[WeekIndex],84),IF((COUNTIFS(T_SelfStock[RM_Code],$A96,T_SelfStock[WeekIndex],84)&gt;0)*(COUNTIFS(T_TTAFStock[RM_Code],$A96,T_TTAFStock[WeekIndex],84)&gt;0)&gt;0,SUMIFS(T_SelfStock[Self_Qty],T_SelfStock[RM_Code],$A96,T_SelfStock[WeekIndex],84)+SUMIFS(T_TTAFStock[TTAF_Qty],T_TTAFStock[RM_Code],$A96,T_TTAFStock[WeekIndex],84),CF96+'Grid_Incoming'!CG96-'Grid_Requirement'!CG96))</f>
        <v/>
      </c>
      <c r="CH96">
        <f>IF(COUNTIFS(T_StockCount[RM_Code],$A96,T_StockCount[WeekIndex],85)&gt;0,SUMIFS(T_StockCount[CountedQty],T_StockCount[RM_Code],$A96,T_StockCount[WeekIndex],85),IF((COUNTIFS(T_SelfStock[RM_Code],$A96,T_SelfStock[WeekIndex],85)&gt;0)*(COUNTIFS(T_TTAFStock[RM_Code],$A96,T_TTAFStock[WeekIndex],85)&gt;0)&gt;0,SUMIFS(T_SelfStock[Self_Qty],T_SelfStock[RM_Code],$A96,T_SelfStock[WeekIndex],85)+SUMIFS(T_TTAFStock[TTAF_Qty],T_TTAFStock[RM_Code],$A96,T_TTAFStock[WeekIndex],85),CG96+'Grid_Incoming'!CH96-'Grid_Requirement'!CH96))</f>
        <v/>
      </c>
      <c r="CI96">
        <f>IF(COUNTIFS(T_StockCount[RM_Code],$A96,T_StockCount[WeekIndex],86)&gt;0,SUMIFS(T_StockCount[CountedQty],T_StockCount[RM_Code],$A96,T_StockCount[WeekIndex],86),IF((COUNTIFS(T_SelfStock[RM_Code],$A96,T_SelfStock[WeekIndex],86)&gt;0)*(COUNTIFS(T_TTAFStock[RM_Code],$A96,T_TTAFStock[WeekIndex],86)&gt;0)&gt;0,SUMIFS(T_SelfStock[Self_Qty],T_SelfStock[RM_Code],$A96,T_SelfStock[WeekIndex],86)+SUMIFS(T_TTAFStock[TTAF_Qty],T_TTAFStock[RM_Code],$A96,T_TTAFStock[WeekIndex],86),CH96+'Grid_Incoming'!CI96-'Grid_Requirement'!CI96))</f>
        <v/>
      </c>
      <c r="CJ96">
        <f>IF(COUNTIFS(T_StockCount[RM_Code],$A96,T_StockCount[WeekIndex],87)&gt;0,SUMIFS(T_StockCount[CountedQty],T_StockCount[RM_Code],$A96,T_StockCount[WeekIndex],87),IF((COUNTIFS(T_SelfStock[RM_Code],$A96,T_SelfStock[WeekIndex],87)&gt;0)*(COUNTIFS(T_TTAFStock[RM_Code],$A96,T_TTAFStock[WeekIndex],87)&gt;0)&gt;0,SUMIFS(T_SelfStock[Self_Qty],T_SelfStock[RM_Code],$A96,T_SelfStock[WeekIndex],87)+SUMIFS(T_TTAFStock[TTAF_Qty],T_TTAFStock[RM_Code],$A96,T_TTAFStock[WeekIndex],87),CI96+'Grid_Incoming'!CJ96-'Grid_Requirement'!CJ96))</f>
        <v/>
      </c>
      <c r="CK96">
        <f>IF(COUNTIFS(T_StockCount[RM_Code],$A96,T_StockCount[WeekIndex],88)&gt;0,SUMIFS(T_StockCount[CountedQty],T_StockCount[RM_Code],$A96,T_StockCount[WeekIndex],88),IF((COUNTIFS(T_SelfStock[RM_Code],$A96,T_SelfStock[WeekIndex],88)&gt;0)*(COUNTIFS(T_TTAFStock[RM_Code],$A96,T_TTAFStock[WeekIndex],88)&gt;0)&gt;0,SUMIFS(T_SelfStock[Self_Qty],T_SelfStock[RM_Code],$A96,T_SelfStock[WeekIndex],88)+SUMIFS(T_TTAFStock[TTAF_Qty],T_TTAFStock[RM_Code],$A96,T_TTAFStock[WeekIndex],88),CJ96+'Grid_Incoming'!CK96-'Grid_Requirement'!CK96))</f>
        <v/>
      </c>
      <c r="CL96">
        <f>IF(COUNTIFS(T_StockCount[RM_Code],$A96,T_StockCount[WeekIndex],89)&gt;0,SUMIFS(T_StockCount[CountedQty],T_StockCount[RM_Code],$A96,T_StockCount[WeekIndex],89),IF((COUNTIFS(T_SelfStock[RM_Code],$A96,T_SelfStock[WeekIndex],89)&gt;0)*(COUNTIFS(T_TTAFStock[RM_Code],$A96,T_TTAFStock[WeekIndex],89)&gt;0)&gt;0,SUMIFS(T_SelfStock[Self_Qty],T_SelfStock[RM_Code],$A96,T_SelfStock[WeekIndex],89)+SUMIFS(T_TTAFStock[TTAF_Qty],T_TTAFStock[RM_Code],$A96,T_TTAFStock[WeekIndex],89),CK96+'Grid_Incoming'!CL96-'Grid_Requirement'!CL96))</f>
        <v/>
      </c>
      <c r="CM96">
        <f>IF(COUNTIFS(T_StockCount[RM_Code],$A96,T_StockCount[WeekIndex],90)&gt;0,SUMIFS(T_StockCount[CountedQty],T_StockCount[RM_Code],$A96,T_StockCount[WeekIndex],90),IF((COUNTIFS(T_SelfStock[RM_Code],$A96,T_SelfStock[WeekIndex],90)&gt;0)*(COUNTIFS(T_TTAFStock[RM_Code],$A96,T_TTAFStock[WeekIndex],90)&gt;0)&gt;0,SUMIFS(T_SelfStock[Self_Qty],T_SelfStock[RM_Code],$A96,T_SelfStock[WeekIndex],90)+SUMIFS(T_TTAFStock[TTAF_Qty],T_TTAFStock[RM_Code],$A96,T_TTAFStock[WeekIndex],90),CL96+'Grid_Incoming'!CM96-'Grid_Requirement'!CM96))</f>
        <v/>
      </c>
      <c r="CN96">
        <f>IF(COUNTIFS(T_StockCount[RM_Code],$A96,T_StockCount[WeekIndex],91)&gt;0,SUMIFS(T_StockCount[CountedQty],T_StockCount[RM_Code],$A96,T_StockCount[WeekIndex],91),IF((COUNTIFS(T_SelfStock[RM_Code],$A96,T_SelfStock[WeekIndex],91)&gt;0)*(COUNTIFS(T_TTAFStock[RM_Code],$A96,T_TTAFStock[WeekIndex],91)&gt;0)&gt;0,SUMIFS(T_SelfStock[Self_Qty],T_SelfStock[RM_Code],$A96,T_SelfStock[WeekIndex],91)+SUMIFS(T_TTAFStock[TTAF_Qty],T_TTAFStock[RM_Code],$A96,T_TTAFStock[WeekIndex],91),CM96+'Grid_Incoming'!CN96-'Grid_Requirement'!CN96))</f>
        <v/>
      </c>
      <c r="CO96">
        <f>IF(COUNTIFS(T_StockCount[RM_Code],$A96,T_StockCount[WeekIndex],92)&gt;0,SUMIFS(T_StockCount[CountedQty],T_StockCount[RM_Code],$A96,T_StockCount[WeekIndex],92),IF((COUNTIFS(T_SelfStock[RM_Code],$A96,T_SelfStock[WeekIndex],92)&gt;0)*(COUNTIFS(T_TTAFStock[RM_Code],$A96,T_TTAFStock[WeekIndex],92)&gt;0)&gt;0,SUMIFS(T_SelfStock[Self_Qty],T_SelfStock[RM_Code],$A96,T_SelfStock[WeekIndex],92)+SUMIFS(T_TTAFStock[TTAF_Qty],T_TTAFStock[RM_Code],$A96,T_TTAFStock[WeekIndex],92),CN96+'Grid_Incoming'!CO96-'Grid_Requirement'!CO96))</f>
        <v/>
      </c>
      <c r="CP96">
        <f>IF(COUNTIFS(T_StockCount[RM_Code],$A96,T_StockCount[WeekIndex],93)&gt;0,SUMIFS(T_StockCount[CountedQty],T_StockCount[RM_Code],$A96,T_StockCount[WeekIndex],93),IF((COUNTIFS(T_SelfStock[RM_Code],$A96,T_SelfStock[WeekIndex],93)&gt;0)*(COUNTIFS(T_TTAFStock[RM_Code],$A96,T_TTAFStock[WeekIndex],93)&gt;0)&gt;0,SUMIFS(T_SelfStock[Self_Qty],T_SelfStock[RM_Code],$A96,T_SelfStock[WeekIndex],93)+SUMIFS(T_TTAFStock[TTAF_Qty],T_TTAFStock[RM_Code],$A96,T_TTAFStock[WeekIndex],93),CO96+'Grid_Incoming'!CP96-'Grid_Requirement'!CP96))</f>
        <v/>
      </c>
      <c r="CQ96">
        <f>IF(COUNTIFS(T_StockCount[RM_Code],$A96,T_StockCount[WeekIndex],94)&gt;0,SUMIFS(T_StockCount[CountedQty],T_StockCount[RM_Code],$A96,T_StockCount[WeekIndex],94),IF((COUNTIFS(T_SelfStock[RM_Code],$A96,T_SelfStock[WeekIndex],94)&gt;0)*(COUNTIFS(T_TTAFStock[RM_Code],$A96,T_TTAFStock[WeekIndex],94)&gt;0)&gt;0,SUMIFS(T_SelfStock[Self_Qty],T_SelfStock[RM_Code],$A96,T_SelfStock[WeekIndex],94)+SUMIFS(T_TTAFStock[TTAF_Qty],T_TTAFStock[RM_Code],$A96,T_TTAFStock[WeekIndex],94),CP96+'Grid_Incoming'!CQ96-'Grid_Requirement'!CQ96))</f>
        <v/>
      </c>
      <c r="CR96">
        <f>IF(COUNTIFS(T_StockCount[RM_Code],$A96,T_StockCount[WeekIndex],95)&gt;0,SUMIFS(T_StockCount[CountedQty],T_StockCount[RM_Code],$A96,T_StockCount[WeekIndex],95),IF((COUNTIFS(T_SelfStock[RM_Code],$A96,T_SelfStock[WeekIndex],95)&gt;0)*(COUNTIFS(T_TTAFStock[RM_Code],$A96,T_TTAFStock[WeekIndex],95)&gt;0)&gt;0,SUMIFS(T_SelfStock[Self_Qty],T_SelfStock[RM_Code],$A96,T_SelfStock[WeekIndex],95)+SUMIFS(T_TTAFStock[TTAF_Qty],T_TTAFStock[RM_Code],$A96,T_TTAFStock[WeekIndex],95),CQ96+'Grid_Incoming'!CR96-'Grid_Requirement'!CR96))</f>
        <v/>
      </c>
      <c r="CS96">
        <f>IF(COUNTIFS(T_StockCount[RM_Code],$A96,T_StockCount[WeekIndex],96)&gt;0,SUMIFS(T_StockCount[CountedQty],T_StockCount[RM_Code],$A96,T_StockCount[WeekIndex],96),IF((COUNTIFS(T_SelfStock[RM_Code],$A96,T_SelfStock[WeekIndex],96)&gt;0)*(COUNTIFS(T_TTAFStock[RM_Code],$A96,T_TTAFStock[WeekIndex],96)&gt;0)&gt;0,SUMIFS(T_SelfStock[Self_Qty],T_SelfStock[RM_Code],$A96,T_SelfStock[WeekIndex],96)+SUMIFS(T_TTAFStock[TTAF_Qty],T_TTAFStock[RM_Code],$A96,T_TTAFStock[WeekIndex],96),CR96+'Grid_Incoming'!CS96-'Grid_Requirement'!CS96))</f>
        <v/>
      </c>
      <c r="CT96">
        <f>IF(COUNTIFS(T_StockCount[RM_Code],$A96,T_StockCount[WeekIndex],97)&gt;0,SUMIFS(T_StockCount[CountedQty],T_StockCount[RM_Code],$A96,T_StockCount[WeekIndex],97),IF((COUNTIFS(T_SelfStock[RM_Code],$A96,T_SelfStock[WeekIndex],97)&gt;0)*(COUNTIFS(T_TTAFStock[RM_Code],$A96,T_TTAFStock[WeekIndex],97)&gt;0)&gt;0,SUMIFS(T_SelfStock[Self_Qty],T_SelfStock[RM_Code],$A96,T_SelfStock[WeekIndex],97)+SUMIFS(T_TTAFStock[TTAF_Qty],T_TTAFStock[RM_Code],$A96,T_TTAFStock[WeekIndex],97),CS96+'Grid_Incoming'!CT96-'Grid_Requirement'!CT96))</f>
        <v/>
      </c>
      <c r="CU96">
        <f>IF(COUNTIFS(T_StockCount[RM_Code],$A96,T_StockCount[WeekIndex],98)&gt;0,SUMIFS(T_StockCount[CountedQty],T_StockCount[RM_Code],$A96,T_StockCount[WeekIndex],98),IF((COUNTIFS(T_SelfStock[RM_Code],$A96,T_SelfStock[WeekIndex],98)&gt;0)*(COUNTIFS(T_TTAFStock[RM_Code],$A96,T_TTAFStock[WeekIndex],98)&gt;0)&gt;0,SUMIFS(T_SelfStock[Self_Qty],T_SelfStock[RM_Code],$A96,T_SelfStock[WeekIndex],98)+SUMIFS(T_TTAFStock[TTAF_Qty],T_TTAFStock[RM_Code],$A96,T_TTAFStock[WeekIndex],98),CT96+'Grid_Incoming'!CU96-'Grid_Requirement'!CU96))</f>
        <v/>
      </c>
      <c r="CV96">
        <f>IF(COUNTIFS(T_StockCount[RM_Code],$A96,T_StockCount[WeekIndex],99)&gt;0,SUMIFS(T_StockCount[CountedQty],T_StockCount[RM_Code],$A96,T_StockCount[WeekIndex],99),IF((COUNTIFS(T_SelfStock[RM_Code],$A96,T_SelfStock[WeekIndex],99)&gt;0)*(COUNTIFS(T_TTAFStock[RM_Code],$A96,T_TTAFStock[WeekIndex],99)&gt;0)&gt;0,SUMIFS(T_SelfStock[Self_Qty],T_SelfStock[RM_Code],$A96,T_SelfStock[WeekIndex],99)+SUMIFS(T_TTAFStock[TTAF_Qty],T_TTAFStock[RM_Code],$A96,T_TTAFStock[WeekIndex],99),CU96+'Grid_Incoming'!CV96-'Grid_Requirement'!CV96))</f>
        <v/>
      </c>
      <c r="CW96">
        <f>IF(COUNTIFS(T_StockCount[RM_Code],$A96,T_StockCount[WeekIndex],100)&gt;0,SUMIFS(T_StockCount[CountedQty],T_StockCount[RM_Code],$A96,T_StockCount[WeekIndex],100),IF((COUNTIFS(T_SelfStock[RM_Code],$A96,T_SelfStock[WeekIndex],100)&gt;0)*(COUNTIFS(T_TTAFStock[RM_Code],$A96,T_TTAFStock[WeekIndex],100)&gt;0)&gt;0,SUMIFS(T_SelfStock[Self_Qty],T_SelfStock[RM_Code],$A96,T_SelfStock[WeekIndex],100)+SUMIFS(T_TTAFStock[TTAF_Qty],T_TTAFStock[RM_Code],$A96,T_TTAFStock[WeekIndex],100),CV96+'Grid_Incoming'!CW96-'Grid_Requirement'!CW96))</f>
        <v/>
      </c>
      <c r="CX96">
        <f>IF(COUNTIFS(T_StockCount[RM_Code],$A96,T_StockCount[WeekIndex],101)&gt;0,SUMIFS(T_StockCount[CountedQty],T_StockCount[RM_Code],$A96,T_StockCount[WeekIndex],101),IF((COUNTIFS(T_SelfStock[RM_Code],$A96,T_SelfStock[WeekIndex],101)&gt;0)*(COUNTIFS(T_TTAFStock[RM_Code],$A96,T_TTAFStock[WeekIndex],101)&gt;0)&gt;0,SUMIFS(T_SelfStock[Self_Qty],T_SelfStock[RM_Code],$A96,T_SelfStock[WeekIndex],101)+SUMIFS(T_TTAFStock[TTAF_Qty],T_TTAFStock[RM_Code],$A96,T_TTAFStock[WeekIndex],101),CW96+'Grid_Incoming'!CX96-'Grid_Requirement'!CX96))</f>
        <v/>
      </c>
      <c r="CY96">
        <f>IF(COUNTIFS(T_StockCount[RM_Code],$A96,T_StockCount[WeekIndex],102)&gt;0,SUMIFS(T_StockCount[CountedQty],T_StockCount[RM_Code],$A96,T_StockCount[WeekIndex],102),IF((COUNTIFS(T_SelfStock[RM_Code],$A96,T_SelfStock[WeekIndex],102)&gt;0)*(COUNTIFS(T_TTAFStock[RM_Code],$A96,T_TTAFStock[WeekIndex],102)&gt;0)&gt;0,SUMIFS(T_SelfStock[Self_Qty],T_SelfStock[RM_Code],$A96,T_SelfStock[WeekIndex],102)+SUMIFS(T_TTAFStock[TTAF_Qty],T_TTAFStock[RM_Code],$A96,T_TTAFStock[WeekIndex],102),CX96+'Grid_Incoming'!CY96-'Grid_Requirement'!CY96))</f>
        <v/>
      </c>
      <c r="CZ96">
        <f>IF(COUNTIFS(T_StockCount[RM_Code],$A96,T_StockCount[WeekIndex],103)&gt;0,SUMIFS(T_StockCount[CountedQty],T_StockCount[RM_Code],$A96,T_StockCount[WeekIndex],103),IF((COUNTIFS(T_SelfStock[RM_Code],$A96,T_SelfStock[WeekIndex],103)&gt;0)*(COUNTIFS(T_TTAFStock[RM_Code],$A96,T_TTAFStock[WeekIndex],103)&gt;0)&gt;0,SUMIFS(T_SelfStock[Self_Qty],T_SelfStock[RM_Code],$A96,T_SelfStock[WeekIndex],103)+SUMIFS(T_TTAFStock[TTAF_Qty],T_TTAFStock[RM_Code],$A96,T_TTAFStock[WeekIndex],103),CY96+'Grid_Incoming'!CZ96-'Grid_Requirement'!CZ96))</f>
        <v/>
      </c>
      <c r="DA96">
        <f>IF(COUNTIFS(T_StockCount[RM_Code],$A96,T_StockCount[WeekIndex],104)&gt;0,SUMIFS(T_StockCount[CountedQty],T_StockCount[RM_Code],$A96,T_StockCount[WeekIndex],104),IF((COUNTIFS(T_SelfStock[RM_Code],$A96,T_SelfStock[WeekIndex],104)&gt;0)*(COUNTIFS(T_TTAFStock[RM_Code],$A96,T_TTAFStock[WeekIndex],104)&gt;0)&gt;0,SUMIFS(T_SelfStock[Self_Qty],T_SelfStock[RM_Code],$A96,T_SelfStock[WeekIndex],104)+SUMIFS(T_TTAFStock[TTAF_Qty],T_TTAFStock[RM_Code],$A96,T_TTAFStock[WeekIndex],104),CZ96+'Grid_Incoming'!DA96-'Grid_Requirement'!DA96))</f>
        <v/>
      </c>
    </row>
    <row r="97">
      <c r="A97" t="inlineStr">
        <is>
          <t>CHEM-1620</t>
        </is>
      </c>
      <c r="B97">
        <f>IF(COUNTIFS(T_StockCount[RM_Code],$A97,T_StockCount[WeekIndex],1)&gt;0,SUMIFS(T_StockCount[CountedQty],T_StockCount[RM_Code],$A97,T_StockCount[WeekIndex],1),IF((COUNTIFS(T_SelfStock[RM_Code],$A97,T_SelfStock[WeekIndex],1)&gt;0)*(COUNTIFS(T_TTAFStock[RM_Code],$A97,T_TTAFStock[WeekIndex],1)&gt;0)&gt;0,SUMIFS(T_SelfStock[Self_Qty],T_SelfStock[RM_Code],$A97,T_SelfStock[WeekIndex],1)+SUMIFS(T_TTAFStock[TTAF_Qty],T_TTAFStock[RM_Code],$A97,T_TTAFStock[WeekIndex],1),IFERROR(INDEX(T_OpeningStock[Opening_Qty],MATCH($A97,T_OpeningStock[RM_Code],0)),0)+'Grid_Incoming'!B97-'Grid_Requirement'!B97))</f>
        <v/>
      </c>
      <c r="C97">
        <f>IF(COUNTIFS(T_StockCount[RM_Code],$A97,T_StockCount[WeekIndex],2)&gt;0,SUMIFS(T_StockCount[CountedQty],T_StockCount[RM_Code],$A97,T_StockCount[WeekIndex],2),IF((COUNTIFS(T_SelfStock[RM_Code],$A97,T_SelfStock[WeekIndex],2)&gt;0)*(COUNTIFS(T_TTAFStock[RM_Code],$A97,T_TTAFStock[WeekIndex],2)&gt;0)&gt;0,SUMIFS(T_SelfStock[Self_Qty],T_SelfStock[RM_Code],$A97,T_SelfStock[WeekIndex],2)+SUMIFS(T_TTAFStock[TTAF_Qty],T_TTAFStock[RM_Code],$A97,T_TTAFStock[WeekIndex],2),B97+'Grid_Incoming'!C97-'Grid_Requirement'!C97))</f>
        <v/>
      </c>
      <c r="D97">
        <f>IF(COUNTIFS(T_StockCount[RM_Code],$A97,T_StockCount[WeekIndex],3)&gt;0,SUMIFS(T_StockCount[CountedQty],T_StockCount[RM_Code],$A97,T_StockCount[WeekIndex],3),IF((COUNTIFS(T_SelfStock[RM_Code],$A97,T_SelfStock[WeekIndex],3)&gt;0)*(COUNTIFS(T_TTAFStock[RM_Code],$A97,T_TTAFStock[WeekIndex],3)&gt;0)&gt;0,SUMIFS(T_SelfStock[Self_Qty],T_SelfStock[RM_Code],$A97,T_SelfStock[WeekIndex],3)+SUMIFS(T_TTAFStock[TTAF_Qty],T_TTAFStock[RM_Code],$A97,T_TTAFStock[WeekIndex],3),C97+'Grid_Incoming'!D97-'Grid_Requirement'!D97))</f>
        <v/>
      </c>
      <c r="E97">
        <f>IF(COUNTIFS(T_StockCount[RM_Code],$A97,T_StockCount[WeekIndex],4)&gt;0,SUMIFS(T_StockCount[CountedQty],T_StockCount[RM_Code],$A97,T_StockCount[WeekIndex],4),IF((COUNTIFS(T_SelfStock[RM_Code],$A97,T_SelfStock[WeekIndex],4)&gt;0)*(COUNTIFS(T_TTAFStock[RM_Code],$A97,T_TTAFStock[WeekIndex],4)&gt;0)&gt;0,SUMIFS(T_SelfStock[Self_Qty],T_SelfStock[RM_Code],$A97,T_SelfStock[WeekIndex],4)+SUMIFS(T_TTAFStock[TTAF_Qty],T_TTAFStock[RM_Code],$A97,T_TTAFStock[WeekIndex],4),D97+'Grid_Incoming'!E97-'Grid_Requirement'!E97))</f>
        <v/>
      </c>
      <c r="F97">
        <f>IF(COUNTIFS(T_StockCount[RM_Code],$A97,T_StockCount[WeekIndex],5)&gt;0,SUMIFS(T_StockCount[CountedQty],T_StockCount[RM_Code],$A97,T_StockCount[WeekIndex],5),IF((COUNTIFS(T_SelfStock[RM_Code],$A97,T_SelfStock[WeekIndex],5)&gt;0)*(COUNTIFS(T_TTAFStock[RM_Code],$A97,T_TTAFStock[WeekIndex],5)&gt;0)&gt;0,SUMIFS(T_SelfStock[Self_Qty],T_SelfStock[RM_Code],$A97,T_SelfStock[WeekIndex],5)+SUMIFS(T_TTAFStock[TTAF_Qty],T_TTAFStock[RM_Code],$A97,T_TTAFStock[WeekIndex],5),E97+'Grid_Incoming'!F97-'Grid_Requirement'!F97))</f>
        <v/>
      </c>
      <c r="G97">
        <f>IF(COUNTIFS(T_StockCount[RM_Code],$A97,T_StockCount[WeekIndex],6)&gt;0,SUMIFS(T_StockCount[CountedQty],T_StockCount[RM_Code],$A97,T_StockCount[WeekIndex],6),IF((COUNTIFS(T_SelfStock[RM_Code],$A97,T_SelfStock[WeekIndex],6)&gt;0)*(COUNTIFS(T_TTAFStock[RM_Code],$A97,T_TTAFStock[WeekIndex],6)&gt;0)&gt;0,SUMIFS(T_SelfStock[Self_Qty],T_SelfStock[RM_Code],$A97,T_SelfStock[WeekIndex],6)+SUMIFS(T_TTAFStock[TTAF_Qty],T_TTAFStock[RM_Code],$A97,T_TTAFStock[WeekIndex],6),F97+'Grid_Incoming'!G97-'Grid_Requirement'!G97))</f>
        <v/>
      </c>
      <c r="H97">
        <f>IF(COUNTIFS(T_StockCount[RM_Code],$A97,T_StockCount[WeekIndex],7)&gt;0,SUMIFS(T_StockCount[CountedQty],T_StockCount[RM_Code],$A97,T_StockCount[WeekIndex],7),IF((COUNTIFS(T_SelfStock[RM_Code],$A97,T_SelfStock[WeekIndex],7)&gt;0)*(COUNTIFS(T_TTAFStock[RM_Code],$A97,T_TTAFStock[WeekIndex],7)&gt;0)&gt;0,SUMIFS(T_SelfStock[Self_Qty],T_SelfStock[RM_Code],$A97,T_SelfStock[WeekIndex],7)+SUMIFS(T_TTAFStock[TTAF_Qty],T_TTAFStock[RM_Code],$A97,T_TTAFStock[WeekIndex],7),G97+'Grid_Incoming'!H97-'Grid_Requirement'!H97))</f>
        <v/>
      </c>
      <c r="I97">
        <f>IF(COUNTIFS(T_StockCount[RM_Code],$A97,T_StockCount[WeekIndex],8)&gt;0,SUMIFS(T_StockCount[CountedQty],T_StockCount[RM_Code],$A97,T_StockCount[WeekIndex],8),IF((COUNTIFS(T_SelfStock[RM_Code],$A97,T_SelfStock[WeekIndex],8)&gt;0)*(COUNTIFS(T_TTAFStock[RM_Code],$A97,T_TTAFStock[WeekIndex],8)&gt;0)&gt;0,SUMIFS(T_SelfStock[Self_Qty],T_SelfStock[RM_Code],$A97,T_SelfStock[WeekIndex],8)+SUMIFS(T_TTAFStock[TTAF_Qty],T_TTAFStock[RM_Code],$A97,T_TTAFStock[WeekIndex],8),H97+'Grid_Incoming'!I97-'Grid_Requirement'!I97))</f>
        <v/>
      </c>
      <c r="J97">
        <f>IF(COUNTIFS(T_StockCount[RM_Code],$A97,T_StockCount[WeekIndex],9)&gt;0,SUMIFS(T_StockCount[CountedQty],T_StockCount[RM_Code],$A97,T_StockCount[WeekIndex],9),IF((COUNTIFS(T_SelfStock[RM_Code],$A97,T_SelfStock[WeekIndex],9)&gt;0)*(COUNTIFS(T_TTAFStock[RM_Code],$A97,T_TTAFStock[WeekIndex],9)&gt;0)&gt;0,SUMIFS(T_SelfStock[Self_Qty],T_SelfStock[RM_Code],$A97,T_SelfStock[WeekIndex],9)+SUMIFS(T_TTAFStock[TTAF_Qty],T_TTAFStock[RM_Code],$A97,T_TTAFStock[WeekIndex],9),I97+'Grid_Incoming'!J97-'Grid_Requirement'!J97))</f>
        <v/>
      </c>
      <c r="K97">
        <f>IF(COUNTIFS(T_StockCount[RM_Code],$A97,T_StockCount[WeekIndex],10)&gt;0,SUMIFS(T_StockCount[CountedQty],T_StockCount[RM_Code],$A97,T_StockCount[WeekIndex],10),IF((COUNTIFS(T_SelfStock[RM_Code],$A97,T_SelfStock[WeekIndex],10)&gt;0)*(COUNTIFS(T_TTAFStock[RM_Code],$A97,T_TTAFStock[WeekIndex],10)&gt;0)&gt;0,SUMIFS(T_SelfStock[Self_Qty],T_SelfStock[RM_Code],$A97,T_SelfStock[WeekIndex],10)+SUMIFS(T_TTAFStock[TTAF_Qty],T_TTAFStock[RM_Code],$A97,T_TTAFStock[WeekIndex],10),J97+'Grid_Incoming'!K97-'Grid_Requirement'!K97))</f>
        <v/>
      </c>
      <c r="L97">
        <f>IF(COUNTIFS(T_StockCount[RM_Code],$A97,T_StockCount[WeekIndex],11)&gt;0,SUMIFS(T_StockCount[CountedQty],T_StockCount[RM_Code],$A97,T_StockCount[WeekIndex],11),IF((COUNTIFS(T_SelfStock[RM_Code],$A97,T_SelfStock[WeekIndex],11)&gt;0)*(COUNTIFS(T_TTAFStock[RM_Code],$A97,T_TTAFStock[WeekIndex],11)&gt;0)&gt;0,SUMIFS(T_SelfStock[Self_Qty],T_SelfStock[RM_Code],$A97,T_SelfStock[WeekIndex],11)+SUMIFS(T_TTAFStock[TTAF_Qty],T_TTAFStock[RM_Code],$A97,T_TTAFStock[WeekIndex],11),K97+'Grid_Incoming'!L97-'Grid_Requirement'!L97))</f>
        <v/>
      </c>
      <c r="M97">
        <f>IF(COUNTIFS(T_StockCount[RM_Code],$A97,T_StockCount[WeekIndex],12)&gt;0,SUMIFS(T_StockCount[CountedQty],T_StockCount[RM_Code],$A97,T_StockCount[WeekIndex],12),IF((COUNTIFS(T_SelfStock[RM_Code],$A97,T_SelfStock[WeekIndex],12)&gt;0)*(COUNTIFS(T_TTAFStock[RM_Code],$A97,T_TTAFStock[WeekIndex],12)&gt;0)&gt;0,SUMIFS(T_SelfStock[Self_Qty],T_SelfStock[RM_Code],$A97,T_SelfStock[WeekIndex],12)+SUMIFS(T_TTAFStock[TTAF_Qty],T_TTAFStock[RM_Code],$A97,T_TTAFStock[WeekIndex],12),L97+'Grid_Incoming'!M97-'Grid_Requirement'!M97))</f>
        <v/>
      </c>
      <c r="N97">
        <f>IF(COUNTIFS(T_StockCount[RM_Code],$A97,T_StockCount[WeekIndex],13)&gt;0,SUMIFS(T_StockCount[CountedQty],T_StockCount[RM_Code],$A97,T_StockCount[WeekIndex],13),IF((COUNTIFS(T_SelfStock[RM_Code],$A97,T_SelfStock[WeekIndex],13)&gt;0)*(COUNTIFS(T_TTAFStock[RM_Code],$A97,T_TTAFStock[WeekIndex],13)&gt;0)&gt;0,SUMIFS(T_SelfStock[Self_Qty],T_SelfStock[RM_Code],$A97,T_SelfStock[WeekIndex],13)+SUMIFS(T_TTAFStock[TTAF_Qty],T_TTAFStock[RM_Code],$A97,T_TTAFStock[WeekIndex],13),M97+'Grid_Incoming'!N97-'Grid_Requirement'!N97))</f>
        <v/>
      </c>
      <c r="O97">
        <f>IF(COUNTIFS(T_StockCount[RM_Code],$A97,T_StockCount[WeekIndex],14)&gt;0,SUMIFS(T_StockCount[CountedQty],T_StockCount[RM_Code],$A97,T_StockCount[WeekIndex],14),IF((COUNTIFS(T_SelfStock[RM_Code],$A97,T_SelfStock[WeekIndex],14)&gt;0)*(COUNTIFS(T_TTAFStock[RM_Code],$A97,T_TTAFStock[WeekIndex],14)&gt;0)&gt;0,SUMIFS(T_SelfStock[Self_Qty],T_SelfStock[RM_Code],$A97,T_SelfStock[WeekIndex],14)+SUMIFS(T_TTAFStock[TTAF_Qty],T_TTAFStock[RM_Code],$A97,T_TTAFStock[WeekIndex],14),N97+'Grid_Incoming'!O97-'Grid_Requirement'!O97))</f>
        <v/>
      </c>
      <c r="P97">
        <f>IF(COUNTIFS(T_StockCount[RM_Code],$A97,T_StockCount[WeekIndex],15)&gt;0,SUMIFS(T_StockCount[CountedQty],T_StockCount[RM_Code],$A97,T_StockCount[WeekIndex],15),IF((COUNTIFS(T_SelfStock[RM_Code],$A97,T_SelfStock[WeekIndex],15)&gt;0)*(COUNTIFS(T_TTAFStock[RM_Code],$A97,T_TTAFStock[WeekIndex],15)&gt;0)&gt;0,SUMIFS(T_SelfStock[Self_Qty],T_SelfStock[RM_Code],$A97,T_SelfStock[WeekIndex],15)+SUMIFS(T_TTAFStock[TTAF_Qty],T_TTAFStock[RM_Code],$A97,T_TTAFStock[WeekIndex],15),O97+'Grid_Incoming'!P97-'Grid_Requirement'!P97))</f>
        <v/>
      </c>
      <c r="Q97">
        <f>IF(COUNTIFS(T_StockCount[RM_Code],$A97,T_StockCount[WeekIndex],16)&gt;0,SUMIFS(T_StockCount[CountedQty],T_StockCount[RM_Code],$A97,T_StockCount[WeekIndex],16),IF((COUNTIFS(T_SelfStock[RM_Code],$A97,T_SelfStock[WeekIndex],16)&gt;0)*(COUNTIFS(T_TTAFStock[RM_Code],$A97,T_TTAFStock[WeekIndex],16)&gt;0)&gt;0,SUMIFS(T_SelfStock[Self_Qty],T_SelfStock[RM_Code],$A97,T_SelfStock[WeekIndex],16)+SUMIFS(T_TTAFStock[TTAF_Qty],T_TTAFStock[RM_Code],$A97,T_TTAFStock[WeekIndex],16),P97+'Grid_Incoming'!Q97-'Grid_Requirement'!Q97))</f>
        <v/>
      </c>
      <c r="R97">
        <f>IF(COUNTIFS(T_StockCount[RM_Code],$A97,T_StockCount[WeekIndex],17)&gt;0,SUMIFS(T_StockCount[CountedQty],T_StockCount[RM_Code],$A97,T_StockCount[WeekIndex],17),IF((COUNTIFS(T_SelfStock[RM_Code],$A97,T_SelfStock[WeekIndex],17)&gt;0)*(COUNTIFS(T_TTAFStock[RM_Code],$A97,T_TTAFStock[WeekIndex],17)&gt;0)&gt;0,SUMIFS(T_SelfStock[Self_Qty],T_SelfStock[RM_Code],$A97,T_SelfStock[WeekIndex],17)+SUMIFS(T_TTAFStock[TTAF_Qty],T_TTAFStock[RM_Code],$A97,T_TTAFStock[WeekIndex],17),Q97+'Grid_Incoming'!R97-'Grid_Requirement'!R97))</f>
        <v/>
      </c>
      <c r="S97">
        <f>IF(COUNTIFS(T_StockCount[RM_Code],$A97,T_StockCount[WeekIndex],18)&gt;0,SUMIFS(T_StockCount[CountedQty],T_StockCount[RM_Code],$A97,T_StockCount[WeekIndex],18),IF((COUNTIFS(T_SelfStock[RM_Code],$A97,T_SelfStock[WeekIndex],18)&gt;0)*(COUNTIFS(T_TTAFStock[RM_Code],$A97,T_TTAFStock[WeekIndex],18)&gt;0)&gt;0,SUMIFS(T_SelfStock[Self_Qty],T_SelfStock[RM_Code],$A97,T_SelfStock[WeekIndex],18)+SUMIFS(T_TTAFStock[TTAF_Qty],T_TTAFStock[RM_Code],$A97,T_TTAFStock[WeekIndex],18),R97+'Grid_Incoming'!S97-'Grid_Requirement'!S97))</f>
        <v/>
      </c>
      <c r="T97">
        <f>IF(COUNTIFS(T_StockCount[RM_Code],$A97,T_StockCount[WeekIndex],19)&gt;0,SUMIFS(T_StockCount[CountedQty],T_StockCount[RM_Code],$A97,T_StockCount[WeekIndex],19),IF((COUNTIFS(T_SelfStock[RM_Code],$A97,T_SelfStock[WeekIndex],19)&gt;0)*(COUNTIFS(T_TTAFStock[RM_Code],$A97,T_TTAFStock[WeekIndex],19)&gt;0)&gt;0,SUMIFS(T_SelfStock[Self_Qty],T_SelfStock[RM_Code],$A97,T_SelfStock[WeekIndex],19)+SUMIFS(T_TTAFStock[TTAF_Qty],T_TTAFStock[RM_Code],$A97,T_TTAFStock[WeekIndex],19),S97+'Grid_Incoming'!T97-'Grid_Requirement'!T97))</f>
        <v/>
      </c>
      <c r="U97">
        <f>IF(COUNTIFS(T_StockCount[RM_Code],$A97,T_StockCount[WeekIndex],20)&gt;0,SUMIFS(T_StockCount[CountedQty],T_StockCount[RM_Code],$A97,T_StockCount[WeekIndex],20),IF((COUNTIFS(T_SelfStock[RM_Code],$A97,T_SelfStock[WeekIndex],20)&gt;0)*(COUNTIFS(T_TTAFStock[RM_Code],$A97,T_TTAFStock[WeekIndex],20)&gt;0)&gt;0,SUMIFS(T_SelfStock[Self_Qty],T_SelfStock[RM_Code],$A97,T_SelfStock[WeekIndex],20)+SUMIFS(T_TTAFStock[TTAF_Qty],T_TTAFStock[RM_Code],$A97,T_TTAFStock[WeekIndex],20),T97+'Grid_Incoming'!U97-'Grid_Requirement'!U97))</f>
        <v/>
      </c>
      <c r="V97">
        <f>IF(COUNTIFS(T_StockCount[RM_Code],$A97,T_StockCount[WeekIndex],21)&gt;0,SUMIFS(T_StockCount[CountedQty],T_StockCount[RM_Code],$A97,T_StockCount[WeekIndex],21),IF((COUNTIFS(T_SelfStock[RM_Code],$A97,T_SelfStock[WeekIndex],21)&gt;0)*(COUNTIFS(T_TTAFStock[RM_Code],$A97,T_TTAFStock[WeekIndex],21)&gt;0)&gt;0,SUMIFS(T_SelfStock[Self_Qty],T_SelfStock[RM_Code],$A97,T_SelfStock[WeekIndex],21)+SUMIFS(T_TTAFStock[TTAF_Qty],T_TTAFStock[RM_Code],$A97,T_TTAFStock[WeekIndex],21),U97+'Grid_Incoming'!V97-'Grid_Requirement'!V97))</f>
        <v/>
      </c>
      <c r="W97">
        <f>IF(COUNTIFS(T_StockCount[RM_Code],$A97,T_StockCount[WeekIndex],22)&gt;0,SUMIFS(T_StockCount[CountedQty],T_StockCount[RM_Code],$A97,T_StockCount[WeekIndex],22),IF((COUNTIFS(T_SelfStock[RM_Code],$A97,T_SelfStock[WeekIndex],22)&gt;0)*(COUNTIFS(T_TTAFStock[RM_Code],$A97,T_TTAFStock[WeekIndex],22)&gt;0)&gt;0,SUMIFS(T_SelfStock[Self_Qty],T_SelfStock[RM_Code],$A97,T_SelfStock[WeekIndex],22)+SUMIFS(T_TTAFStock[TTAF_Qty],T_TTAFStock[RM_Code],$A97,T_TTAFStock[WeekIndex],22),V97+'Grid_Incoming'!W97-'Grid_Requirement'!W97))</f>
        <v/>
      </c>
      <c r="X97">
        <f>IF(COUNTIFS(T_StockCount[RM_Code],$A97,T_StockCount[WeekIndex],23)&gt;0,SUMIFS(T_StockCount[CountedQty],T_StockCount[RM_Code],$A97,T_StockCount[WeekIndex],23),IF((COUNTIFS(T_SelfStock[RM_Code],$A97,T_SelfStock[WeekIndex],23)&gt;0)*(COUNTIFS(T_TTAFStock[RM_Code],$A97,T_TTAFStock[WeekIndex],23)&gt;0)&gt;0,SUMIFS(T_SelfStock[Self_Qty],T_SelfStock[RM_Code],$A97,T_SelfStock[WeekIndex],23)+SUMIFS(T_TTAFStock[TTAF_Qty],T_TTAFStock[RM_Code],$A97,T_TTAFStock[WeekIndex],23),W97+'Grid_Incoming'!X97-'Grid_Requirement'!X97))</f>
        <v/>
      </c>
      <c r="Y97">
        <f>IF(COUNTIFS(T_StockCount[RM_Code],$A97,T_StockCount[WeekIndex],24)&gt;0,SUMIFS(T_StockCount[CountedQty],T_StockCount[RM_Code],$A97,T_StockCount[WeekIndex],24),IF((COUNTIFS(T_SelfStock[RM_Code],$A97,T_SelfStock[WeekIndex],24)&gt;0)*(COUNTIFS(T_TTAFStock[RM_Code],$A97,T_TTAFStock[WeekIndex],24)&gt;0)&gt;0,SUMIFS(T_SelfStock[Self_Qty],T_SelfStock[RM_Code],$A97,T_SelfStock[WeekIndex],24)+SUMIFS(T_TTAFStock[TTAF_Qty],T_TTAFStock[RM_Code],$A97,T_TTAFStock[WeekIndex],24),X97+'Grid_Incoming'!Y97-'Grid_Requirement'!Y97))</f>
        <v/>
      </c>
      <c r="Z97">
        <f>IF(COUNTIFS(T_StockCount[RM_Code],$A97,T_StockCount[WeekIndex],25)&gt;0,SUMIFS(T_StockCount[CountedQty],T_StockCount[RM_Code],$A97,T_StockCount[WeekIndex],25),IF((COUNTIFS(T_SelfStock[RM_Code],$A97,T_SelfStock[WeekIndex],25)&gt;0)*(COUNTIFS(T_TTAFStock[RM_Code],$A97,T_TTAFStock[WeekIndex],25)&gt;0)&gt;0,SUMIFS(T_SelfStock[Self_Qty],T_SelfStock[RM_Code],$A97,T_SelfStock[WeekIndex],25)+SUMIFS(T_TTAFStock[TTAF_Qty],T_TTAFStock[RM_Code],$A97,T_TTAFStock[WeekIndex],25),Y97+'Grid_Incoming'!Z97-'Grid_Requirement'!Z97))</f>
        <v/>
      </c>
      <c r="AA97">
        <f>IF(COUNTIFS(T_StockCount[RM_Code],$A97,T_StockCount[WeekIndex],26)&gt;0,SUMIFS(T_StockCount[CountedQty],T_StockCount[RM_Code],$A97,T_StockCount[WeekIndex],26),IF((COUNTIFS(T_SelfStock[RM_Code],$A97,T_SelfStock[WeekIndex],26)&gt;0)*(COUNTIFS(T_TTAFStock[RM_Code],$A97,T_TTAFStock[WeekIndex],26)&gt;0)&gt;0,SUMIFS(T_SelfStock[Self_Qty],T_SelfStock[RM_Code],$A97,T_SelfStock[WeekIndex],26)+SUMIFS(T_TTAFStock[TTAF_Qty],T_TTAFStock[RM_Code],$A97,T_TTAFStock[WeekIndex],26),Z97+'Grid_Incoming'!AA97-'Grid_Requirement'!AA97))</f>
        <v/>
      </c>
      <c r="AB97">
        <f>IF(COUNTIFS(T_StockCount[RM_Code],$A97,T_StockCount[WeekIndex],27)&gt;0,SUMIFS(T_StockCount[CountedQty],T_StockCount[RM_Code],$A97,T_StockCount[WeekIndex],27),IF((COUNTIFS(T_SelfStock[RM_Code],$A97,T_SelfStock[WeekIndex],27)&gt;0)*(COUNTIFS(T_TTAFStock[RM_Code],$A97,T_TTAFStock[WeekIndex],27)&gt;0)&gt;0,SUMIFS(T_SelfStock[Self_Qty],T_SelfStock[RM_Code],$A97,T_SelfStock[WeekIndex],27)+SUMIFS(T_TTAFStock[TTAF_Qty],T_TTAFStock[RM_Code],$A97,T_TTAFStock[WeekIndex],27),AA97+'Grid_Incoming'!AB97-'Grid_Requirement'!AB97))</f>
        <v/>
      </c>
      <c r="AC97">
        <f>IF(COUNTIFS(T_StockCount[RM_Code],$A97,T_StockCount[WeekIndex],28)&gt;0,SUMIFS(T_StockCount[CountedQty],T_StockCount[RM_Code],$A97,T_StockCount[WeekIndex],28),IF((COUNTIFS(T_SelfStock[RM_Code],$A97,T_SelfStock[WeekIndex],28)&gt;0)*(COUNTIFS(T_TTAFStock[RM_Code],$A97,T_TTAFStock[WeekIndex],28)&gt;0)&gt;0,SUMIFS(T_SelfStock[Self_Qty],T_SelfStock[RM_Code],$A97,T_SelfStock[WeekIndex],28)+SUMIFS(T_TTAFStock[TTAF_Qty],T_TTAFStock[RM_Code],$A97,T_TTAFStock[WeekIndex],28),AB97+'Grid_Incoming'!AC97-'Grid_Requirement'!AC97))</f>
        <v/>
      </c>
      <c r="AD97">
        <f>IF(COUNTIFS(T_StockCount[RM_Code],$A97,T_StockCount[WeekIndex],29)&gt;0,SUMIFS(T_StockCount[CountedQty],T_StockCount[RM_Code],$A97,T_StockCount[WeekIndex],29),IF((COUNTIFS(T_SelfStock[RM_Code],$A97,T_SelfStock[WeekIndex],29)&gt;0)*(COUNTIFS(T_TTAFStock[RM_Code],$A97,T_TTAFStock[WeekIndex],29)&gt;0)&gt;0,SUMIFS(T_SelfStock[Self_Qty],T_SelfStock[RM_Code],$A97,T_SelfStock[WeekIndex],29)+SUMIFS(T_TTAFStock[TTAF_Qty],T_TTAFStock[RM_Code],$A97,T_TTAFStock[WeekIndex],29),AC97+'Grid_Incoming'!AD97-'Grid_Requirement'!AD97))</f>
        <v/>
      </c>
      <c r="AE97">
        <f>IF(COUNTIFS(T_StockCount[RM_Code],$A97,T_StockCount[WeekIndex],30)&gt;0,SUMIFS(T_StockCount[CountedQty],T_StockCount[RM_Code],$A97,T_StockCount[WeekIndex],30),IF((COUNTIFS(T_SelfStock[RM_Code],$A97,T_SelfStock[WeekIndex],30)&gt;0)*(COUNTIFS(T_TTAFStock[RM_Code],$A97,T_TTAFStock[WeekIndex],30)&gt;0)&gt;0,SUMIFS(T_SelfStock[Self_Qty],T_SelfStock[RM_Code],$A97,T_SelfStock[WeekIndex],30)+SUMIFS(T_TTAFStock[TTAF_Qty],T_TTAFStock[RM_Code],$A97,T_TTAFStock[WeekIndex],30),AD97+'Grid_Incoming'!AE97-'Grid_Requirement'!AE97))</f>
        <v/>
      </c>
      <c r="AF97">
        <f>IF(COUNTIFS(T_StockCount[RM_Code],$A97,T_StockCount[WeekIndex],31)&gt;0,SUMIFS(T_StockCount[CountedQty],T_StockCount[RM_Code],$A97,T_StockCount[WeekIndex],31),IF((COUNTIFS(T_SelfStock[RM_Code],$A97,T_SelfStock[WeekIndex],31)&gt;0)*(COUNTIFS(T_TTAFStock[RM_Code],$A97,T_TTAFStock[WeekIndex],31)&gt;0)&gt;0,SUMIFS(T_SelfStock[Self_Qty],T_SelfStock[RM_Code],$A97,T_SelfStock[WeekIndex],31)+SUMIFS(T_TTAFStock[TTAF_Qty],T_TTAFStock[RM_Code],$A97,T_TTAFStock[WeekIndex],31),AE97+'Grid_Incoming'!AF97-'Grid_Requirement'!AF97))</f>
        <v/>
      </c>
      <c r="AG97">
        <f>IF(COUNTIFS(T_StockCount[RM_Code],$A97,T_StockCount[WeekIndex],32)&gt;0,SUMIFS(T_StockCount[CountedQty],T_StockCount[RM_Code],$A97,T_StockCount[WeekIndex],32),IF((COUNTIFS(T_SelfStock[RM_Code],$A97,T_SelfStock[WeekIndex],32)&gt;0)*(COUNTIFS(T_TTAFStock[RM_Code],$A97,T_TTAFStock[WeekIndex],32)&gt;0)&gt;0,SUMIFS(T_SelfStock[Self_Qty],T_SelfStock[RM_Code],$A97,T_SelfStock[WeekIndex],32)+SUMIFS(T_TTAFStock[TTAF_Qty],T_TTAFStock[RM_Code],$A97,T_TTAFStock[WeekIndex],32),AF97+'Grid_Incoming'!AG97-'Grid_Requirement'!AG97))</f>
        <v/>
      </c>
      <c r="AH97">
        <f>IF(COUNTIFS(T_StockCount[RM_Code],$A97,T_StockCount[WeekIndex],33)&gt;0,SUMIFS(T_StockCount[CountedQty],T_StockCount[RM_Code],$A97,T_StockCount[WeekIndex],33),IF((COUNTIFS(T_SelfStock[RM_Code],$A97,T_SelfStock[WeekIndex],33)&gt;0)*(COUNTIFS(T_TTAFStock[RM_Code],$A97,T_TTAFStock[WeekIndex],33)&gt;0)&gt;0,SUMIFS(T_SelfStock[Self_Qty],T_SelfStock[RM_Code],$A97,T_SelfStock[WeekIndex],33)+SUMIFS(T_TTAFStock[TTAF_Qty],T_TTAFStock[RM_Code],$A97,T_TTAFStock[WeekIndex],33),AG97+'Grid_Incoming'!AH97-'Grid_Requirement'!AH97))</f>
        <v/>
      </c>
      <c r="AI97">
        <f>IF(COUNTIFS(T_StockCount[RM_Code],$A97,T_StockCount[WeekIndex],34)&gt;0,SUMIFS(T_StockCount[CountedQty],T_StockCount[RM_Code],$A97,T_StockCount[WeekIndex],34),IF((COUNTIFS(T_SelfStock[RM_Code],$A97,T_SelfStock[WeekIndex],34)&gt;0)*(COUNTIFS(T_TTAFStock[RM_Code],$A97,T_TTAFStock[WeekIndex],34)&gt;0)&gt;0,SUMIFS(T_SelfStock[Self_Qty],T_SelfStock[RM_Code],$A97,T_SelfStock[WeekIndex],34)+SUMIFS(T_TTAFStock[TTAF_Qty],T_TTAFStock[RM_Code],$A97,T_TTAFStock[WeekIndex],34),AH97+'Grid_Incoming'!AI97-'Grid_Requirement'!AI97))</f>
        <v/>
      </c>
      <c r="AJ97">
        <f>IF(COUNTIFS(T_StockCount[RM_Code],$A97,T_StockCount[WeekIndex],35)&gt;0,SUMIFS(T_StockCount[CountedQty],T_StockCount[RM_Code],$A97,T_StockCount[WeekIndex],35),IF((COUNTIFS(T_SelfStock[RM_Code],$A97,T_SelfStock[WeekIndex],35)&gt;0)*(COUNTIFS(T_TTAFStock[RM_Code],$A97,T_TTAFStock[WeekIndex],35)&gt;0)&gt;0,SUMIFS(T_SelfStock[Self_Qty],T_SelfStock[RM_Code],$A97,T_SelfStock[WeekIndex],35)+SUMIFS(T_TTAFStock[TTAF_Qty],T_TTAFStock[RM_Code],$A97,T_TTAFStock[WeekIndex],35),AI97+'Grid_Incoming'!AJ97-'Grid_Requirement'!AJ97))</f>
        <v/>
      </c>
      <c r="AK97">
        <f>IF(COUNTIFS(T_StockCount[RM_Code],$A97,T_StockCount[WeekIndex],36)&gt;0,SUMIFS(T_StockCount[CountedQty],T_StockCount[RM_Code],$A97,T_StockCount[WeekIndex],36),IF((COUNTIFS(T_SelfStock[RM_Code],$A97,T_SelfStock[WeekIndex],36)&gt;0)*(COUNTIFS(T_TTAFStock[RM_Code],$A97,T_TTAFStock[WeekIndex],36)&gt;0)&gt;0,SUMIFS(T_SelfStock[Self_Qty],T_SelfStock[RM_Code],$A97,T_SelfStock[WeekIndex],36)+SUMIFS(T_TTAFStock[TTAF_Qty],T_TTAFStock[RM_Code],$A97,T_TTAFStock[WeekIndex],36),AJ97+'Grid_Incoming'!AK97-'Grid_Requirement'!AK97))</f>
        <v/>
      </c>
      <c r="AL97">
        <f>IF(COUNTIFS(T_StockCount[RM_Code],$A97,T_StockCount[WeekIndex],37)&gt;0,SUMIFS(T_StockCount[CountedQty],T_StockCount[RM_Code],$A97,T_StockCount[WeekIndex],37),IF((COUNTIFS(T_SelfStock[RM_Code],$A97,T_SelfStock[WeekIndex],37)&gt;0)*(COUNTIFS(T_TTAFStock[RM_Code],$A97,T_TTAFStock[WeekIndex],37)&gt;0)&gt;0,SUMIFS(T_SelfStock[Self_Qty],T_SelfStock[RM_Code],$A97,T_SelfStock[WeekIndex],37)+SUMIFS(T_TTAFStock[TTAF_Qty],T_TTAFStock[RM_Code],$A97,T_TTAFStock[WeekIndex],37),AK97+'Grid_Incoming'!AL97-'Grid_Requirement'!AL97))</f>
        <v/>
      </c>
      <c r="AM97">
        <f>IF(COUNTIFS(T_StockCount[RM_Code],$A97,T_StockCount[WeekIndex],38)&gt;0,SUMIFS(T_StockCount[CountedQty],T_StockCount[RM_Code],$A97,T_StockCount[WeekIndex],38),IF((COUNTIFS(T_SelfStock[RM_Code],$A97,T_SelfStock[WeekIndex],38)&gt;0)*(COUNTIFS(T_TTAFStock[RM_Code],$A97,T_TTAFStock[WeekIndex],38)&gt;0)&gt;0,SUMIFS(T_SelfStock[Self_Qty],T_SelfStock[RM_Code],$A97,T_SelfStock[WeekIndex],38)+SUMIFS(T_TTAFStock[TTAF_Qty],T_TTAFStock[RM_Code],$A97,T_TTAFStock[WeekIndex],38),AL97+'Grid_Incoming'!AM97-'Grid_Requirement'!AM97))</f>
        <v/>
      </c>
      <c r="AN97">
        <f>IF(COUNTIFS(T_StockCount[RM_Code],$A97,T_StockCount[WeekIndex],39)&gt;0,SUMIFS(T_StockCount[CountedQty],T_StockCount[RM_Code],$A97,T_StockCount[WeekIndex],39),IF((COUNTIFS(T_SelfStock[RM_Code],$A97,T_SelfStock[WeekIndex],39)&gt;0)*(COUNTIFS(T_TTAFStock[RM_Code],$A97,T_TTAFStock[WeekIndex],39)&gt;0)&gt;0,SUMIFS(T_SelfStock[Self_Qty],T_SelfStock[RM_Code],$A97,T_SelfStock[WeekIndex],39)+SUMIFS(T_TTAFStock[TTAF_Qty],T_TTAFStock[RM_Code],$A97,T_TTAFStock[WeekIndex],39),AM97+'Grid_Incoming'!AN97-'Grid_Requirement'!AN97))</f>
        <v/>
      </c>
      <c r="AO97">
        <f>IF(COUNTIFS(T_StockCount[RM_Code],$A97,T_StockCount[WeekIndex],40)&gt;0,SUMIFS(T_StockCount[CountedQty],T_StockCount[RM_Code],$A97,T_StockCount[WeekIndex],40),IF((COUNTIFS(T_SelfStock[RM_Code],$A97,T_SelfStock[WeekIndex],40)&gt;0)*(COUNTIFS(T_TTAFStock[RM_Code],$A97,T_TTAFStock[WeekIndex],40)&gt;0)&gt;0,SUMIFS(T_SelfStock[Self_Qty],T_SelfStock[RM_Code],$A97,T_SelfStock[WeekIndex],40)+SUMIFS(T_TTAFStock[TTAF_Qty],T_TTAFStock[RM_Code],$A97,T_TTAFStock[WeekIndex],40),AN97+'Grid_Incoming'!AO97-'Grid_Requirement'!AO97))</f>
        <v/>
      </c>
      <c r="AP97">
        <f>IF(COUNTIFS(T_StockCount[RM_Code],$A97,T_StockCount[WeekIndex],41)&gt;0,SUMIFS(T_StockCount[CountedQty],T_StockCount[RM_Code],$A97,T_StockCount[WeekIndex],41),IF((COUNTIFS(T_SelfStock[RM_Code],$A97,T_SelfStock[WeekIndex],41)&gt;0)*(COUNTIFS(T_TTAFStock[RM_Code],$A97,T_TTAFStock[WeekIndex],41)&gt;0)&gt;0,SUMIFS(T_SelfStock[Self_Qty],T_SelfStock[RM_Code],$A97,T_SelfStock[WeekIndex],41)+SUMIFS(T_TTAFStock[TTAF_Qty],T_TTAFStock[RM_Code],$A97,T_TTAFStock[WeekIndex],41),AO97+'Grid_Incoming'!AP97-'Grid_Requirement'!AP97))</f>
        <v/>
      </c>
      <c r="AQ97">
        <f>IF(COUNTIFS(T_StockCount[RM_Code],$A97,T_StockCount[WeekIndex],42)&gt;0,SUMIFS(T_StockCount[CountedQty],T_StockCount[RM_Code],$A97,T_StockCount[WeekIndex],42),IF((COUNTIFS(T_SelfStock[RM_Code],$A97,T_SelfStock[WeekIndex],42)&gt;0)*(COUNTIFS(T_TTAFStock[RM_Code],$A97,T_TTAFStock[WeekIndex],42)&gt;0)&gt;0,SUMIFS(T_SelfStock[Self_Qty],T_SelfStock[RM_Code],$A97,T_SelfStock[WeekIndex],42)+SUMIFS(T_TTAFStock[TTAF_Qty],T_TTAFStock[RM_Code],$A97,T_TTAFStock[WeekIndex],42),AP97+'Grid_Incoming'!AQ97-'Grid_Requirement'!AQ97))</f>
        <v/>
      </c>
      <c r="AR97">
        <f>IF(COUNTIFS(T_StockCount[RM_Code],$A97,T_StockCount[WeekIndex],43)&gt;0,SUMIFS(T_StockCount[CountedQty],T_StockCount[RM_Code],$A97,T_StockCount[WeekIndex],43),IF((COUNTIFS(T_SelfStock[RM_Code],$A97,T_SelfStock[WeekIndex],43)&gt;0)*(COUNTIFS(T_TTAFStock[RM_Code],$A97,T_TTAFStock[WeekIndex],43)&gt;0)&gt;0,SUMIFS(T_SelfStock[Self_Qty],T_SelfStock[RM_Code],$A97,T_SelfStock[WeekIndex],43)+SUMIFS(T_TTAFStock[TTAF_Qty],T_TTAFStock[RM_Code],$A97,T_TTAFStock[WeekIndex],43),AQ97+'Grid_Incoming'!AR97-'Grid_Requirement'!AR97))</f>
        <v/>
      </c>
      <c r="AS97">
        <f>IF(COUNTIFS(T_StockCount[RM_Code],$A97,T_StockCount[WeekIndex],44)&gt;0,SUMIFS(T_StockCount[CountedQty],T_StockCount[RM_Code],$A97,T_StockCount[WeekIndex],44),IF((COUNTIFS(T_SelfStock[RM_Code],$A97,T_SelfStock[WeekIndex],44)&gt;0)*(COUNTIFS(T_TTAFStock[RM_Code],$A97,T_TTAFStock[WeekIndex],44)&gt;0)&gt;0,SUMIFS(T_SelfStock[Self_Qty],T_SelfStock[RM_Code],$A97,T_SelfStock[WeekIndex],44)+SUMIFS(T_TTAFStock[TTAF_Qty],T_TTAFStock[RM_Code],$A97,T_TTAFStock[WeekIndex],44),AR97+'Grid_Incoming'!AS97-'Grid_Requirement'!AS97))</f>
        <v/>
      </c>
      <c r="AT97">
        <f>IF(COUNTIFS(T_StockCount[RM_Code],$A97,T_StockCount[WeekIndex],45)&gt;0,SUMIFS(T_StockCount[CountedQty],T_StockCount[RM_Code],$A97,T_StockCount[WeekIndex],45),IF((COUNTIFS(T_SelfStock[RM_Code],$A97,T_SelfStock[WeekIndex],45)&gt;0)*(COUNTIFS(T_TTAFStock[RM_Code],$A97,T_TTAFStock[WeekIndex],45)&gt;0)&gt;0,SUMIFS(T_SelfStock[Self_Qty],T_SelfStock[RM_Code],$A97,T_SelfStock[WeekIndex],45)+SUMIFS(T_TTAFStock[TTAF_Qty],T_TTAFStock[RM_Code],$A97,T_TTAFStock[WeekIndex],45),AS97+'Grid_Incoming'!AT97-'Grid_Requirement'!AT97))</f>
        <v/>
      </c>
      <c r="AU97">
        <f>IF(COUNTIFS(T_StockCount[RM_Code],$A97,T_StockCount[WeekIndex],46)&gt;0,SUMIFS(T_StockCount[CountedQty],T_StockCount[RM_Code],$A97,T_StockCount[WeekIndex],46),IF((COUNTIFS(T_SelfStock[RM_Code],$A97,T_SelfStock[WeekIndex],46)&gt;0)*(COUNTIFS(T_TTAFStock[RM_Code],$A97,T_TTAFStock[WeekIndex],46)&gt;0)&gt;0,SUMIFS(T_SelfStock[Self_Qty],T_SelfStock[RM_Code],$A97,T_SelfStock[WeekIndex],46)+SUMIFS(T_TTAFStock[TTAF_Qty],T_TTAFStock[RM_Code],$A97,T_TTAFStock[WeekIndex],46),AT97+'Grid_Incoming'!AU97-'Grid_Requirement'!AU97))</f>
        <v/>
      </c>
      <c r="AV97">
        <f>IF(COUNTIFS(T_StockCount[RM_Code],$A97,T_StockCount[WeekIndex],47)&gt;0,SUMIFS(T_StockCount[CountedQty],T_StockCount[RM_Code],$A97,T_StockCount[WeekIndex],47),IF((COUNTIFS(T_SelfStock[RM_Code],$A97,T_SelfStock[WeekIndex],47)&gt;0)*(COUNTIFS(T_TTAFStock[RM_Code],$A97,T_TTAFStock[WeekIndex],47)&gt;0)&gt;0,SUMIFS(T_SelfStock[Self_Qty],T_SelfStock[RM_Code],$A97,T_SelfStock[WeekIndex],47)+SUMIFS(T_TTAFStock[TTAF_Qty],T_TTAFStock[RM_Code],$A97,T_TTAFStock[WeekIndex],47),AU97+'Grid_Incoming'!AV97-'Grid_Requirement'!AV97))</f>
        <v/>
      </c>
      <c r="AW97">
        <f>IF(COUNTIFS(T_StockCount[RM_Code],$A97,T_StockCount[WeekIndex],48)&gt;0,SUMIFS(T_StockCount[CountedQty],T_StockCount[RM_Code],$A97,T_StockCount[WeekIndex],48),IF((COUNTIFS(T_SelfStock[RM_Code],$A97,T_SelfStock[WeekIndex],48)&gt;0)*(COUNTIFS(T_TTAFStock[RM_Code],$A97,T_TTAFStock[WeekIndex],48)&gt;0)&gt;0,SUMIFS(T_SelfStock[Self_Qty],T_SelfStock[RM_Code],$A97,T_SelfStock[WeekIndex],48)+SUMIFS(T_TTAFStock[TTAF_Qty],T_TTAFStock[RM_Code],$A97,T_TTAFStock[WeekIndex],48),AV97+'Grid_Incoming'!AW97-'Grid_Requirement'!AW97))</f>
        <v/>
      </c>
      <c r="AX97">
        <f>IF(COUNTIFS(T_StockCount[RM_Code],$A97,T_StockCount[WeekIndex],49)&gt;0,SUMIFS(T_StockCount[CountedQty],T_StockCount[RM_Code],$A97,T_StockCount[WeekIndex],49),IF((COUNTIFS(T_SelfStock[RM_Code],$A97,T_SelfStock[WeekIndex],49)&gt;0)*(COUNTIFS(T_TTAFStock[RM_Code],$A97,T_TTAFStock[WeekIndex],49)&gt;0)&gt;0,SUMIFS(T_SelfStock[Self_Qty],T_SelfStock[RM_Code],$A97,T_SelfStock[WeekIndex],49)+SUMIFS(T_TTAFStock[TTAF_Qty],T_TTAFStock[RM_Code],$A97,T_TTAFStock[WeekIndex],49),AW97+'Grid_Incoming'!AX97-'Grid_Requirement'!AX97))</f>
        <v/>
      </c>
      <c r="AY97">
        <f>IF(COUNTIFS(T_StockCount[RM_Code],$A97,T_StockCount[WeekIndex],50)&gt;0,SUMIFS(T_StockCount[CountedQty],T_StockCount[RM_Code],$A97,T_StockCount[WeekIndex],50),IF((COUNTIFS(T_SelfStock[RM_Code],$A97,T_SelfStock[WeekIndex],50)&gt;0)*(COUNTIFS(T_TTAFStock[RM_Code],$A97,T_TTAFStock[WeekIndex],50)&gt;0)&gt;0,SUMIFS(T_SelfStock[Self_Qty],T_SelfStock[RM_Code],$A97,T_SelfStock[WeekIndex],50)+SUMIFS(T_TTAFStock[TTAF_Qty],T_TTAFStock[RM_Code],$A97,T_TTAFStock[WeekIndex],50),AX97+'Grid_Incoming'!AY97-'Grid_Requirement'!AY97))</f>
        <v/>
      </c>
      <c r="AZ97">
        <f>IF(COUNTIFS(T_StockCount[RM_Code],$A97,T_StockCount[WeekIndex],51)&gt;0,SUMIFS(T_StockCount[CountedQty],T_StockCount[RM_Code],$A97,T_StockCount[WeekIndex],51),IF((COUNTIFS(T_SelfStock[RM_Code],$A97,T_SelfStock[WeekIndex],51)&gt;0)*(COUNTIFS(T_TTAFStock[RM_Code],$A97,T_TTAFStock[WeekIndex],51)&gt;0)&gt;0,SUMIFS(T_SelfStock[Self_Qty],T_SelfStock[RM_Code],$A97,T_SelfStock[WeekIndex],51)+SUMIFS(T_TTAFStock[TTAF_Qty],T_TTAFStock[RM_Code],$A97,T_TTAFStock[WeekIndex],51),AY97+'Grid_Incoming'!AZ97-'Grid_Requirement'!AZ97))</f>
        <v/>
      </c>
      <c r="BA97">
        <f>IF(COUNTIFS(T_StockCount[RM_Code],$A97,T_StockCount[WeekIndex],52)&gt;0,SUMIFS(T_StockCount[CountedQty],T_StockCount[RM_Code],$A97,T_StockCount[WeekIndex],52),IF((COUNTIFS(T_SelfStock[RM_Code],$A97,T_SelfStock[WeekIndex],52)&gt;0)*(COUNTIFS(T_TTAFStock[RM_Code],$A97,T_TTAFStock[WeekIndex],52)&gt;0)&gt;0,SUMIFS(T_SelfStock[Self_Qty],T_SelfStock[RM_Code],$A97,T_SelfStock[WeekIndex],52)+SUMIFS(T_TTAFStock[TTAF_Qty],T_TTAFStock[RM_Code],$A97,T_TTAFStock[WeekIndex],52),AZ97+'Grid_Incoming'!BA97-'Grid_Requirement'!BA97))</f>
        <v/>
      </c>
      <c r="BB97">
        <f>IF(COUNTIFS(T_StockCount[RM_Code],$A97,T_StockCount[WeekIndex],53)&gt;0,SUMIFS(T_StockCount[CountedQty],T_StockCount[RM_Code],$A97,T_StockCount[WeekIndex],53),IF((COUNTIFS(T_SelfStock[RM_Code],$A97,T_SelfStock[WeekIndex],53)&gt;0)*(COUNTIFS(T_TTAFStock[RM_Code],$A97,T_TTAFStock[WeekIndex],53)&gt;0)&gt;0,SUMIFS(T_SelfStock[Self_Qty],T_SelfStock[RM_Code],$A97,T_SelfStock[WeekIndex],53)+SUMIFS(T_TTAFStock[TTAF_Qty],T_TTAFStock[RM_Code],$A97,T_TTAFStock[WeekIndex],53),BA97+'Grid_Incoming'!BB97-'Grid_Requirement'!BB97))</f>
        <v/>
      </c>
      <c r="BC97">
        <f>IF(COUNTIFS(T_StockCount[RM_Code],$A97,T_StockCount[WeekIndex],54)&gt;0,SUMIFS(T_StockCount[CountedQty],T_StockCount[RM_Code],$A97,T_StockCount[WeekIndex],54),IF((COUNTIFS(T_SelfStock[RM_Code],$A97,T_SelfStock[WeekIndex],54)&gt;0)*(COUNTIFS(T_TTAFStock[RM_Code],$A97,T_TTAFStock[WeekIndex],54)&gt;0)&gt;0,SUMIFS(T_SelfStock[Self_Qty],T_SelfStock[RM_Code],$A97,T_SelfStock[WeekIndex],54)+SUMIFS(T_TTAFStock[TTAF_Qty],T_TTAFStock[RM_Code],$A97,T_TTAFStock[WeekIndex],54),BB97+'Grid_Incoming'!BC97-'Grid_Requirement'!BC97))</f>
        <v/>
      </c>
      <c r="BD97">
        <f>IF(COUNTIFS(T_StockCount[RM_Code],$A97,T_StockCount[WeekIndex],55)&gt;0,SUMIFS(T_StockCount[CountedQty],T_StockCount[RM_Code],$A97,T_StockCount[WeekIndex],55),IF((COUNTIFS(T_SelfStock[RM_Code],$A97,T_SelfStock[WeekIndex],55)&gt;0)*(COUNTIFS(T_TTAFStock[RM_Code],$A97,T_TTAFStock[WeekIndex],55)&gt;0)&gt;0,SUMIFS(T_SelfStock[Self_Qty],T_SelfStock[RM_Code],$A97,T_SelfStock[WeekIndex],55)+SUMIFS(T_TTAFStock[TTAF_Qty],T_TTAFStock[RM_Code],$A97,T_TTAFStock[WeekIndex],55),BC97+'Grid_Incoming'!BD97-'Grid_Requirement'!BD97))</f>
        <v/>
      </c>
      <c r="BE97">
        <f>IF(COUNTIFS(T_StockCount[RM_Code],$A97,T_StockCount[WeekIndex],56)&gt;0,SUMIFS(T_StockCount[CountedQty],T_StockCount[RM_Code],$A97,T_StockCount[WeekIndex],56),IF((COUNTIFS(T_SelfStock[RM_Code],$A97,T_SelfStock[WeekIndex],56)&gt;0)*(COUNTIFS(T_TTAFStock[RM_Code],$A97,T_TTAFStock[WeekIndex],56)&gt;0)&gt;0,SUMIFS(T_SelfStock[Self_Qty],T_SelfStock[RM_Code],$A97,T_SelfStock[WeekIndex],56)+SUMIFS(T_TTAFStock[TTAF_Qty],T_TTAFStock[RM_Code],$A97,T_TTAFStock[WeekIndex],56),BD97+'Grid_Incoming'!BE97-'Grid_Requirement'!BE97))</f>
        <v/>
      </c>
      <c r="BF97">
        <f>IF(COUNTIFS(T_StockCount[RM_Code],$A97,T_StockCount[WeekIndex],57)&gt;0,SUMIFS(T_StockCount[CountedQty],T_StockCount[RM_Code],$A97,T_StockCount[WeekIndex],57),IF((COUNTIFS(T_SelfStock[RM_Code],$A97,T_SelfStock[WeekIndex],57)&gt;0)*(COUNTIFS(T_TTAFStock[RM_Code],$A97,T_TTAFStock[WeekIndex],57)&gt;0)&gt;0,SUMIFS(T_SelfStock[Self_Qty],T_SelfStock[RM_Code],$A97,T_SelfStock[WeekIndex],57)+SUMIFS(T_TTAFStock[TTAF_Qty],T_TTAFStock[RM_Code],$A97,T_TTAFStock[WeekIndex],57),BE97+'Grid_Incoming'!BF97-'Grid_Requirement'!BF97))</f>
        <v/>
      </c>
      <c r="BG97">
        <f>IF(COUNTIFS(T_StockCount[RM_Code],$A97,T_StockCount[WeekIndex],58)&gt;0,SUMIFS(T_StockCount[CountedQty],T_StockCount[RM_Code],$A97,T_StockCount[WeekIndex],58),IF((COUNTIFS(T_SelfStock[RM_Code],$A97,T_SelfStock[WeekIndex],58)&gt;0)*(COUNTIFS(T_TTAFStock[RM_Code],$A97,T_TTAFStock[WeekIndex],58)&gt;0)&gt;0,SUMIFS(T_SelfStock[Self_Qty],T_SelfStock[RM_Code],$A97,T_SelfStock[WeekIndex],58)+SUMIFS(T_TTAFStock[TTAF_Qty],T_TTAFStock[RM_Code],$A97,T_TTAFStock[WeekIndex],58),BF97+'Grid_Incoming'!BG97-'Grid_Requirement'!BG97))</f>
        <v/>
      </c>
      <c r="BH97">
        <f>IF(COUNTIFS(T_StockCount[RM_Code],$A97,T_StockCount[WeekIndex],59)&gt;0,SUMIFS(T_StockCount[CountedQty],T_StockCount[RM_Code],$A97,T_StockCount[WeekIndex],59),IF((COUNTIFS(T_SelfStock[RM_Code],$A97,T_SelfStock[WeekIndex],59)&gt;0)*(COUNTIFS(T_TTAFStock[RM_Code],$A97,T_TTAFStock[WeekIndex],59)&gt;0)&gt;0,SUMIFS(T_SelfStock[Self_Qty],T_SelfStock[RM_Code],$A97,T_SelfStock[WeekIndex],59)+SUMIFS(T_TTAFStock[TTAF_Qty],T_TTAFStock[RM_Code],$A97,T_TTAFStock[WeekIndex],59),BG97+'Grid_Incoming'!BH97-'Grid_Requirement'!BH97))</f>
        <v/>
      </c>
      <c r="BI97">
        <f>IF(COUNTIFS(T_StockCount[RM_Code],$A97,T_StockCount[WeekIndex],60)&gt;0,SUMIFS(T_StockCount[CountedQty],T_StockCount[RM_Code],$A97,T_StockCount[WeekIndex],60),IF((COUNTIFS(T_SelfStock[RM_Code],$A97,T_SelfStock[WeekIndex],60)&gt;0)*(COUNTIFS(T_TTAFStock[RM_Code],$A97,T_TTAFStock[WeekIndex],60)&gt;0)&gt;0,SUMIFS(T_SelfStock[Self_Qty],T_SelfStock[RM_Code],$A97,T_SelfStock[WeekIndex],60)+SUMIFS(T_TTAFStock[TTAF_Qty],T_TTAFStock[RM_Code],$A97,T_TTAFStock[WeekIndex],60),BH97+'Grid_Incoming'!BI97-'Grid_Requirement'!BI97))</f>
        <v/>
      </c>
      <c r="BJ97">
        <f>IF(COUNTIFS(T_StockCount[RM_Code],$A97,T_StockCount[WeekIndex],61)&gt;0,SUMIFS(T_StockCount[CountedQty],T_StockCount[RM_Code],$A97,T_StockCount[WeekIndex],61),IF((COUNTIFS(T_SelfStock[RM_Code],$A97,T_SelfStock[WeekIndex],61)&gt;0)*(COUNTIFS(T_TTAFStock[RM_Code],$A97,T_TTAFStock[WeekIndex],61)&gt;0)&gt;0,SUMIFS(T_SelfStock[Self_Qty],T_SelfStock[RM_Code],$A97,T_SelfStock[WeekIndex],61)+SUMIFS(T_TTAFStock[TTAF_Qty],T_TTAFStock[RM_Code],$A97,T_TTAFStock[WeekIndex],61),BI97+'Grid_Incoming'!BJ97-'Grid_Requirement'!BJ97))</f>
        <v/>
      </c>
      <c r="BK97">
        <f>IF(COUNTIFS(T_StockCount[RM_Code],$A97,T_StockCount[WeekIndex],62)&gt;0,SUMIFS(T_StockCount[CountedQty],T_StockCount[RM_Code],$A97,T_StockCount[WeekIndex],62),IF((COUNTIFS(T_SelfStock[RM_Code],$A97,T_SelfStock[WeekIndex],62)&gt;0)*(COUNTIFS(T_TTAFStock[RM_Code],$A97,T_TTAFStock[WeekIndex],62)&gt;0)&gt;0,SUMIFS(T_SelfStock[Self_Qty],T_SelfStock[RM_Code],$A97,T_SelfStock[WeekIndex],62)+SUMIFS(T_TTAFStock[TTAF_Qty],T_TTAFStock[RM_Code],$A97,T_TTAFStock[WeekIndex],62),BJ97+'Grid_Incoming'!BK97-'Grid_Requirement'!BK97))</f>
        <v/>
      </c>
      <c r="BL97">
        <f>IF(COUNTIFS(T_StockCount[RM_Code],$A97,T_StockCount[WeekIndex],63)&gt;0,SUMIFS(T_StockCount[CountedQty],T_StockCount[RM_Code],$A97,T_StockCount[WeekIndex],63),IF((COUNTIFS(T_SelfStock[RM_Code],$A97,T_SelfStock[WeekIndex],63)&gt;0)*(COUNTIFS(T_TTAFStock[RM_Code],$A97,T_TTAFStock[WeekIndex],63)&gt;0)&gt;0,SUMIFS(T_SelfStock[Self_Qty],T_SelfStock[RM_Code],$A97,T_SelfStock[WeekIndex],63)+SUMIFS(T_TTAFStock[TTAF_Qty],T_TTAFStock[RM_Code],$A97,T_TTAFStock[WeekIndex],63),BK97+'Grid_Incoming'!BL97-'Grid_Requirement'!BL97))</f>
        <v/>
      </c>
      <c r="BM97">
        <f>IF(COUNTIFS(T_StockCount[RM_Code],$A97,T_StockCount[WeekIndex],64)&gt;0,SUMIFS(T_StockCount[CountedQty],T_StockCount[RM_Code],$A97,T_StockCount[WeekIndex],64),IF((COUNTIFS(T_SelfStock[RM_Code],$A97,T_SelfStock[WeekIndex],64)&gt;0)*(COUNTIFS(T_TTAFStock[RM_Code],$A97,T_TTAFStock[WeekIndex],64)&gt;0)&gt;0,SUMIFS(T_SelfStock[Self_Qty],T_SelfStock[RM_Code],$A97,T_SelfStock[WeekIndex],64)+SUMIFS(T_TTAFStock[TTAF_Qty],T_TTAFStock[RM_Code],$A97,T_TTAFStock[WeekIndex],64),BL97+'Grid_Incoming'!BM97-'Grid_Requirement'!BM97))</f>
        <v/>
      </c>
      <c r="BN97">
        <f>IF(COUNTIFS(T_StockCount[RM_Code],$A97,T_StockCount[WeekIndex],65)&gt;0,SUMIFS(T_StockCount[CountedQty],T_StockCount[RM_Code],$A97,T_StockCount[WeekIndex],65),IF((COUNTIFS(T_SelfStock[RM_Code],$A97,T_SelfStock[WeekIndex],65)&gt;0)*(COUNTIFS(T_TTAFStock[RM_Code],$A97,T_TTAFStock[WeekIndex],65)&gt;0)&gt;0,SUMIFS(T_SelfStock[Self_Qty],T_SelfStock[RM_Code],$A97,T_SelfStock[WeekIndex],65)+SUMIFS(T_TTAFStock[TTAF_Qty],T_TTAFStock[RM_Code],$A97,T_TTAFStock[WeekIndex],65),BM97+'Grid_Incoming'!BN97-'Grid_Requirement'!BN97))</f>
        <v/>
      </c>
      <c r="BO97">
        <f>IF(COUNTIFS(T_StockCount[RM_Code],$A97,T_StockCount[WeekIndex],66)&gt;0,SUMIFS(T_StockCount[CountedQty],T_StockCount[RM_Code],$A97,T_StockCount[WeekIndex],66),IF((COUNTIFS(T_SelfStock[RM_Code],$A97,T_SelfStock[WeekIndex],66)&gt;0)*(COUNTIFS(T_TTAFStock[RM_Code],$A97,T_TTAFStock[WeekIndex],66)&gt;0)&gt;0,SUMIFS(T_SelfStock[Self_Qty],T_SelfStock[RM_Code],$A97,T_SelfStock[WeekIndex],66)+SUMIFS(T_TTAFStock[TTAF_Qty],T_TTAFStock[RM_Code],$A97,T_TTAFStock[WeekIndex],66),BN97+'Grid_Incoming'!BO97-'Grid_Requirement'!BO97))</f>
        <v/>
      </c>
      <c r="BP97">
        <f>IF(COUNTIFS(T_StockCount[RM_Code],$A97,T_StockCount[WeekIndex],67)&gt;0,SUMIFS(T_StockCount[CountedQty],T_StockCount[RM_Code],$A97,T_StockCount[WeekIndex],67),IF((COUNTIFS(T_SelfStock[RM_Code],$A97,T_SelfStock[WeekIndex],67)&gt;0)*(COUNTIFS(T_TTAFStock[RM_Code],$A97,T_TTAFStock[WeekIndex],67)&gt;0)&gt;0,SUMIFS(T_SelfStock[Self_Qty],T_SelfStock[RM_Code],$A97,T_SelfStock[WeekIndex],67)+SUMIFS(T_TTAFStock[TTAF_Qty],T_TTAFStock[RM_Code],$A97,T_TTAFStock[WeekIndex],67),BO97+'Grid_Incoming'!BP97-'Grid_Requirement'!BP97))</f>
        <v/>
      </c>
      <c r="BQ97">
        <f>IF(COUNTIFS(T_StockCount[RM_Code],$A97,T_StockCount[WeekIndex],68)&gt;0,SUMIFS(T_StockCount[CountedQty],T_StockCount[RM_Code],$A97,T_StockCount[WeekIndex],68),IF((COUNTIFS(T_SelfStock[RM_Code],$A97,T_SelfStock[WeekIndex],68)&gt;0)*(COUNTIFS(T_TTAFStock[RM_Code],$A97,T_TTAFStock[WeekIndex],68)&gt;0)&gt;0,SUMIFS(T_SelfStock[Self_Qty],T_SelfStock[RM_Code],$A97,T_SelfStock[WeekIndex],68)+SUMIFS(T_TTAFStock[TTAF_Qty],T_TTAFStock[RM_Code],$A97,T_TTAFStock[WeekIndex],68),BP97+'Grid_Incoming'!BQ97-'Grid_Requirement'!BQ97))</f>
        <v/>
      </c>
      <c r="BR97">
        <f>IF(COUNTIFS(T_StockCount[RM_Code],$A97,T_StockCount[WeekIndex],69)&gt;0,SUMIFS(T_StockCount[CountedQty],T_StockCount[RM_Code],$A97,T_StockCount[WeekIndex],69),IF((COUNTIFS(T_SelfStock[RM_Code],$A97,T_SelfStock[WeekIndex],69)&gt;0)*(COUNTIFS(T_TTAFStock[RM_Code],$A97,T_TTAFStock[WeekIndex],69)&gt;0)&gt;0,SUMIFS(T_SelfStock[Self_Qty],T_SelfStock[RM_Code],$A97,T_SelfStock[WeekIndex],69)+SUMIFS(T_TTAFStock[TTAF_Qty],T_TTAFStock[RM_Code],$A97,T_TTAFStock[WeekIndex],69),BQ97+'Grid_Incoming'!BR97-'Grid_Requirement'!BR97))</f>
        <v/>
      </c>
      <c r="BS97">
        <f>IF(COUNTIFS(T_StockCount[RM_Code],$A97,T_StockCount[WeekIndex],70)&gt;0,SUMIFS(T_StockCount[CountedQty],T_StockCount[RM_Code],$A97,T_StockCount[WeekIndex],70),IF((COUNTIFS(T_SelfStock[RM_Code],$A97,T_SelfStock[WeekIndex],70)&gt;0)*(COUNTIFS(T_TTAFStock[RM_Code],$A97,T_TTAFStock[WeekIndex],70)&gt;0)&gt;0,SUMIFS(T_SelfStock[Self_Qty],T_SelfStock[RM_Code],$A97,T_SelfStock[WeekIndex],70)+SUMIFS(T_TTAFStock[TTAF_Qty],T_TTAFStock[RM_Code],$A97,T_TTAFStock[WeekIndex],70),BR97+'Grid_Incoming'!BS97-'Grid_Requirement'!BS97))</f>
        <v/>
      </c>
      <c r="BT97">
        <f>IF(COUNTIFS(T_StockCount[RM_Code],$A97,T_StockCount[WeekIndex],71)&gt;0,SUMIFS(T_StockCount[CountedQty],T_StockCount[RM_Code],$A97,T_StockCount[WeekIndex],71),IF((COUNTIFS(T_SelfStock[RM_Code],$A97,T_SelfStock[WeekIndex],71)&gt;0)*(COUNTIFS(T_TTAFStock[RM_Code],$A97,T_TTAFStock[WeekIndex],71)&gt;0)&gt;0,SUMIFS(T_SelfStock[Self_Qty],T_SelfStock[RM_Code],$A97,T_SelfStock[WeekIndex],71)+SUMIFS(T_TTAFStock[TTAF_Qty],T_TTAFStock[RM_Code],$A97,T_TTAFStock[WeekIndex],71),BS97+'Grid_Incoming'!BT97-'Grid_Requirement'!BT97))</f>
        <v/>
      </c>
      <c r="BU97">
        <f>IF(COUNTIFS(T_StockCount[RM_Code],$A97,T_StockCount[WeekIndex],72)&gt;0,SUMIFS(T_StockCount[CountedQty],T_StockCount[RM_Code],$A97,T_StockCount[WeekIndex],72),IF((COUNTIFS(T_SelfStock[RM_Code],$A97,T_SelfStock[WeekIndex],72)&gt;0)*(COUNTIFS(T_TTAFStock[RM_Code],$A97,T_TTAFStock[WeekIndex],72)&gt;0)&gt;0,SUMIFS(T_SelfStock[Self_Qty],T_SelfStock[RM_Code],$A97,T_SelfStock[WeekIndex],72)+SUMIFS(T_TTAFStock[TTAF_Qty],T_TTAFStock[RM_Code],$A97,T_TTAFStock[WeekIndex],72),BT97+'Grid_Incoming'!BU97-'Grid_Requirement'!BU97))</f>
        <v/>
      </c>
      <c r="BV97">
        <f>IF(COUNTIFS(T_StockCount[RM_Code],$A97,T_StockCount[WeekIndex],73)&gt;0,SUMIFS(T_StockCount[CountedQty],T_StockCount[RM_Code],$A97,T_StockCount[WeekIndex],73),IF((COUNTIFS(T_SelfStock[RM_Code],$A97,T_SelfStock[WeekIndex],73)&gt;0)*(COUNTIFS(T_TTAFStock[RM_Code],$A97,T_TTAFStock[WeekIndex],73)&gt;0)&gt;0,SUMIFS(T_SelfStock[Self_Qty],T_SelfStock[RM_Code],$A97,T_SelfStock[WeekIndex],73)+SUMIFS(T_TTAFStock[TTAF_Qty],T_TTAFStock[RM_Code],$A97,T_TTAFStock[WeekIndex],73),BU97+'Grid_Incoming'!BV97-'Grid_Requirement'!BV97))</f>
        <v/>
      </c>
      <c r="BW97">
        <f>IF(COUNTIFS(T_StockCount[RM_Code],$A97,T_StockCount[WeekIndex],74)&gt;0,SUMIFS(T_StockCount[CountedQty],T_StockCount[RM_Code],$A97,T_StockCount[WeekIndex],74),IF((COUNTIFS(T_SelfStock[RM_Code],$A97,T_SelfStock[WeekIndex],74)&gt;0)*(COUNTIFS(T_TTAFStock[RM_Code],$A97,T_TTAFStock[WeekIndex],74)&gt;0)&gt;0,SUMIFS(T_SelfStock[Self_Qty],T_SelfStock[RM_Code],$A97,T_SelfStock[WeekIndex],74)+SUMIFS(T_TTAFStock[TTAF_Qty],T_TTAFStock[RM_Code],$A97,T_TTAFStock[WeekIndex],74),BV97+'Grid_Incoming'!BW97-'Grid_Requirement'!BW97))</f>
        <v/>
      </c>
      <c r="BX97">
        <f>IF(COUNTIFS(T_StockCount[RM_Code],$A97,T_StockCount[WeekIndex],75)&gt;0,SUMIFS(T_StockCount[CountedQty],T_StockCount[RM_Code],$A97,T_StockCount[WeekIndex],75),IF((COUNTIFS(T_SelfStock[RM_Code],$A97,T_SelfStock[WeekIndex],75)&gt;0)*(COUNTIFS(T_TTAFStock[RM_Code],$A97,T_TTAFStock[WeekIndex],75)&gt;0)&gt;0,SUMIFS(T_SelfStock[Self_Qty],T_SelfStock[RM_Code],$A97,T_SelfStock[WeekIndex],75)+SUMIFS(T_TTAFStock[TTAF_Qty],T_TTAFStock[RM_Code],$A97,T_TTAFStock[WeekIndex],75),BW97+'Grid_Incoming'!BX97-'Grid_Requirement'!BX97))</f>
        <v/>
      </c>
      <c r="BY97">
        <f>IF(COUNTIFS(T_StockCount[RM_Code],$A97,T_StockCount[WeekIndex],76)&gt;0,SUMIFS(T_StockCount[CountedQty],T_StockCount[RM_Code],$A97,T_StockCount[WeekIndex],76),IF((COUNTIFS(T_SelfStock[RM_Code],$A97,T_SelfStock[WeekIndex],76)&gt;0)*(COUNTIFS(T_TTAFStock[RM_Code],$A97,T_TTAFStock[WeekIndex],76)&gt;0)&gt;0,SUMIFS(T_SelfStock[Self_Qty],T_SelfStock[RM_Code],$A97,T_SelfStock[WeekIndex],76)+SUMIFS(T_TTAFStock[TTAF_Qty],T_TTAFStock[RM_Code],$A97,T_TTAFStock[WeekIndex],76),BX97+'Grid_Incoming'!BY97-'Grid_Requirement'!BY97))</f>
        <v/>
      </c>
      <c r="BZ97">
        <f>IF(COUNTIFS(T_StockCount[RM_Code],$A97,T_StockCount[WeekIndex],77)&gt;0,SUMIFS(T_StockCount[CountedQty],T_StockCount[RM_Code],$A97,T_StockCount[WeekIndex],77),IF((COUNTIFS(T_SelfStock[RM_Code],$A97,T_SelfStock[WeekIndex],77)&gt;0)*(COUNTIFS(T_TTAFStock[RM_Code],$A97,T_TTAFStock[WeekIndex],77)&gt;0)&gt;0,SUMIFS(T_SelfStock[Self_Qty],T_SelfStock[RM_Code],$A97,T_SelfStock[WeekIndex],77)+SUMIFS(T_TTAFStock[TTAF_Qty],T_TTAFStock[RM_Code],$A97,T_TTAFStock[WeekIndex],77),BY97+'Grid_Incoming'!BZ97-'Grid_Requirement'!BZ97))</f>
        <v/>
      </c>
      <c r="CA97">
        <f>IF(COUNTIFS(T_StockCount[RM_Code],$A97,T_StockCount[WeekIndex],78)&gt;0,SUMIFS(T_StockCount[CountedQty],T_StockCount[RM_Code],$A97,T_StockCount[WeekIndex],78),IF((COUNTIFS(T_SelfStock[RM_Code],$A97,T_SelfStock[WeekIndex],78)&gt;0)*(COUNTIFS(T_TTAFStock[RM_Code],$A97,T_TTAFStock[WeekIndex],78)&gt;0)&gt;0,SUMIFS(T_SelfStock[Self_Qty],T_SelfStock[RM_Code],$A97,T_SelfStock[WeekIndex],78)+SUMIFS(T_TTAFStock[TTAF_Qty],T_TTAFStock[RM_Code],$A97,T_TTAFStock[WeekIndex],78),BZ97+'Grid_Incoming'!CA97-'Grid_Requirement'!CA97))</f>
        <v/>
      </c>
      <c r="CB97">
        <f>IF(COUNTIFS(T_StockCount[RM_Code],$A97,T_StockCount[WeekIndex],79)&gt;0,SUMIFS(T_StockCount[CountedQty],T_StockCount[RM_Code],$A97,T_StockCount[WeekIndex],79),IF((COUNTIFS(T_SelfStock[RM_Code],$A97,T_SelfStock[WeekIndex],79)&gt;0)*(COUNTIFS(T_TTAFStock[RM_Code],$A97,T_TTAFStock[WeekIndex],79)&gt;0)&gt;0,SUMIFS(T_SelfStock[Self_Qty],T_SelfStock[RM_Code],$A97,T_SelfStock[WeekIndex],79)+SUMIFS(T_TTAFStock[TTAF_Qty],T_TTAFStock[RM_Code],$A97,T_TTAFStock[WeekIndex],79),CA97+'Grid_Incoming'!CB97-'Grid_Requirement'!CB97))</f>
        <v/>
      </c>
      <c r="CC97">
        <f>IF(COUNTIFS(T_StockCount[RM_Code],$A97,T_StockCount[WeekIndex],80)&gt;0,SUMIFS(T_StockCount[CountedQty],T_StockCount[RM_Code],$A97,T_StockCount[WeekIndex],80),IF((COUNTIFS(T_SelfStock[RM_Code],$A97,T_SelfStock[WeekIndex],80)&gt;0)*(COUNTIFS(T_TTAFStock[RM_Code],$A97,T_TTAFStock[WeekIndex],80)&gt;0)&gt;0,SUMIFS(T_SelfStock[Self_Qty],T_SelfStock[RM_Code],$A97,T_SelfStock[WeekIndex],80)+SUMIFS(T_TTAFStock[TTAF_Qty],T_TTAFStock[RM_Code],$A97,T_TTAFStock[WeekIndex],80),CB97+'Grid_Incoming'!CC97-'Grid_Requirement'!CC97))</f>
        <v/>
      </c>
      <c r="CD97">
        <f>IF(COUNTIFS(T_StockCount[RM_Code],$A97,T_StockCount[WeekIndex],81)&gt;0,SUMIFS(T_StockCount[CountedQty],T_StockCount[RM_Code],$A97,T_StockCount[WeekIndex],81),IF((COUNTIFS(T_SelfStock[RM_Code],$A97,T_SelfStock[WeekIndex],81)&gt;0)*(COUNTIFS(T_TTAFStock[RM_Code],$A97,T_TTAFStock[WeekIndex],81)&gt;0)&gt;0,SUMIFS(T_SelfStock[Self_Qty],T_SelfStock[RM_Code],$A97,T_SelfStock[WeekIndex],81)+SUMIFS(T_TTAFStock[TTAF_Qty],T_TTAFStock[RM_Code],$A97,T_TTAFStock[WeekIndex],81),CC97+'Grid_Incoming'!CD97-'Grid_Requirement'!CD97))</f>
        <v/>
      </c>
      <c r="CE97">
        <f>IF(COUNTIFS(T_StockCount[RM_Code],$A97,T_StockCount[WeekIndex],82)&gt;0,SUMIFS(T_StockCount[CountedQty],T_StockCount[RM_Code],$A97,T_StockCount[WeekIndex],82),IF((COUNTIFS(T_SelfStock[RM_Code],$A97,T_SelfStock[WeekIndex],82)&gt;0)*(COUNTIFS(T_TTAFStock[RM_Code],$A97,T_TTAFStock[WeekIndex],82)&gt;0)&gt;0,SUMIFS(T_SelfStock[Self_Qty],T_SelfStock[RM_Code],$A97,T_SelfStock[WeekIndex],82)+SUMIFS(T_TTAFStock[TTAF_Qty],T_TTAFStock[RM_Code],$A97,T_TTAFStock[WeekIndex],82),CD97+'Grid_Incoming'!CE97-'Grid_Requirement'!CE97))</f>
        <v/>
      </c>
      <c r="CF97">
        <f>IF(COUNTIFS(T_StockCount[RM_Code],$A97,T_StockCount[WeekIndex],83)&gt;0,SUMIFS(T_StockCount[CountedQty],T_StockCount[RM_Code],$A97,T_StockCount[WeekIndex],83),IF((COUNTIFS(T_SelfStock[RM_Code],$A97,T_SelfStock[WeekIndex],83)&gt;0)*(COUNTIFS(T_TTAFStock[RM_Code],$A97,T_TTAFStock[WeekIndex],83)&gt;0)&gt;0,SUMIFS(T_SelfStock[Self_Qty],T_SelfStock[RM_Code],$A97,T_SelfStock[WeekIndex],83)+SUMIFS(T_TTAFStock[TTAF_Qty],T_TTAFStock[RM_Code],$A97,T_TTAFStock[WeekIndex],83),CE97+'Grid_Incoming'!CF97-'Grid_Requirement'!CF97))</f>
        <v/>
      </c>
      <c r="CG97">
        <f>IF(COUNTIFS(T_StockCount[RM_Code],$A97,T_StockCount[WeekIndex],84)&gt;0,SUMIFS(T_StockCount[CountedQty],T_StockCount[RM_Code],$A97,T_StockCount[WeekIndex],84),IF((COUNTIFS(T_SelfStock[RM_Code],$A97,T_SelfStock[WeekIndex],84)&gt;0)*(COUNTIFS(T_TTAFStock[RM_Code],$A97,T_TTAFStock[WeekIndex],84)&gt;0)&gt;0,SUMIFS(T_SelfStock[Self_Qty],T_SelfStock[RM_Code],$A97,T_SelfStock[WeekIndex],84)+SUMIFS(T_TTAFStock[TTAF_Qty],T_TTAFStock[RM_Code],$A97,T_TTAFStock[WeekIndex],84),CF97+'Grid_Incoming'!CG97-'Grid_Requirement'!CG97))</f>
        <v/>
      </c>
      <c r="CH97">
        <f>IF(COUNTIFS(T_StockCount[RM_Code],$A97,T_StockCount[WeekIndex],85)&gt;0,SUMIFS(T_StockCount[CountedQty],T_StockCount[RM_Code],$A97,T_StockCount[WeekIndex],85),IF((COUNTIFS(T_SelfStock[RM_Code],$A97,T_SelfStock[WeekIndex],85)&gt;0)*(COUNTIFS(T_TTAFStock[RM_Code],$A97,T_TTAFStock[WeekIndex],85)&gt;0)&gt;0,SUMIFS(T_SelfStock[Self_Qty],T_SelfStock[RM_Code],$A97,T_SelfStock[WeekIndex],85)+SUMIFS(T_TTAFStock[TTAF_Qty],T_TTAFStock[RM_Code],$A97,T_TTAFStock[WeekIndex],85),CG97+'Grid_Incoming'!CH97-'Grid_Requirement'!CH97))</f>
        <v/>
      </c>
      <c r="CI97">
        <f>IF(COUNTIFS(T_StockCount[RM_Code],$A97,T_StockCount[WeekIndex],86)&gt;0,SUMIFS(T_StockCount[CountedQty],T_StockCount[RM_Code],$A97,T_StockCount[WeekIndex],86),IF((COUNTIFS(T_SelfStock[RM_Code],$A97,T_SelfStock[WeekIndex],86)&gt;0)*(COUNTIFS(T_TTAFStock[RM_Code],$A97,T_TTAFStock[WeekIndex],86)&gt;0)&gt;0,SUMIFS(T_SelfStock[Self_Qty],T_SelfStock[RM_Code],$A97,T_SelfStock[WeekIndex],86)+SUMIFS(T_TTAFStock[TTAF_Qty],T_TTAFStock[RM_Code],$A97,T_TTAFStock[WeekIndex],86),CH97+'Grid_Incoming'!CI97-'Grid_Requirement'!CI97))</f>
        <v/>
      </c>
      <c r="CJ97">
        <f>IF(COUNTIFS(T_StockCount[RM_Code],$A97,T_StockCount[WeekIndex],87)&gt;0,SUMIFS(T_StockCount[CountedQty],T_StockCount[RM_Code],$A97,T_StockCount[WeekIndex],87),IF((COUNTIFS(T_SelfStock[RM_Code],$A97,T_SelfStock[WeekIndex],87)&gt;0)*(COUNTIFS(T_TTAFStock[RM_Code],$A97,T_TTAFStock[WeekIndex],87)&gt;0)&gt;0,SUMIFS(T_SelfStock[Self_Qty],T_SelfStock[RM_Code],$A97,T_SelfStock[WeekIndex],87)+SUMIFS(T_TTAFStock[TTAF_Qty],T_TTAFStock[RM_Code],$A97,T_TTAFStock[WeekIndex],87),CI97+'Grid_Incoming'!CJ97-'Grid_Requirement'!CJ97))</f>
        <v/>
      </c>
      <c r="CK97">
        <f>IF(COUNTIFS(T_StockCount[RM_Code],$A97,T_StockCount[WeekIndex],88)&gt;0,SUMIFS(T_StockCount[CountedQty],T_StockCount[RM_Code],$A97,T_StockCount[WeekIndex],88),IF((COUNTIFS(T_SelfStock[RM_Code],$A97,T_SelfStock[WeekIndex],88)&gt;0)*(COUNTIFS(T_TTAFStock[RM_Code],$A97,T_TTAFStock[WeekIndex],88)&gt;0)&gt;0,SUMIFS(T_SelfStock[Self_Qty],T_SelfStock[RM_Code],$A97,T_SelfStock[WeekIndex],88)+SUMIFS(T_TTAFStock[TTAF_Qty],T_TTAFStock[RM_Code],$A97,T_TTAFStock[WeekIndex],88),CJ97+'Grid_Incoming'!CK97-'Grid_Requirement'!CK97))</f>
        <v/>
      </c>
      <c r="CL97">
        <f>IF(COUNTIFS(T_StockCount[RM_Code],$A97,T_StockCount[WeekIndex],89)&gt;0,SUMIFS(T_StockCount[CountedQty],T_StockCount[RM_Code],$A97,T_StockCount[WeekIndex],89),IF((COUNTIFS(T_SelfStock[RM_Code],$A97,T_SelfStock[WeekIndex],89)&gt;0)*(COUNTIFS(T_TTAFStock[RM_Code],$A97,T_TTAFStock[WeekIndex],89)&gt;0)&gt;0,SUMIFS(T_SelfStock[Self_Qty],T_SelfStock[RM_Code],$A97,T_SelfStock[WeekIndex],89)+SUMIFS(T_TTAFStock[TTAF_Qty],T_TTAFStock[RM_Code],$A97,T_TTAFStock[WeekIndex],89),CK97+'Grid_Incoming'!CL97-'Grid_Requirement'!CL97))</f>
        <v/>
      </c>
      <c r="CM97">
        <f>IF(COUNTIFS(T_StockCount[RM_Code],$A97,T_StockCount[WeekIndex],90)&gt;0,SUMIFS(T_StockCount[CountedQty],T_StockCount[RM_Code],$A97,T_StockCount[WeekIndex],90),IF((COUNTIFS(T_SelfStock[RM_Code],$A97,T_SelfStock[WeekIndex],90)&gt;0)*(COUNTIFS(T_TTAFStock[RM_Code],$A97,T_TTAFStock[WeekIndex],90)&gt;0)&gt;0,SUMIFS(T_SelfStock[Self_Qty],T_SelfStock[RM_Code],$A97,T_SelfStock[WeekIndex],90)+SUMIFS(T_TTAFStock[TTAF_Qty],T_TTAFStock[RM_Code],$A97,T_TTAFStock[WeekIndex],90),CL97+'Grid_Incoming'!CM97-'Grid_Requirement'!CM97))</f>
        <v/>
      </c>
      <c r="CN97">
        <f>IF(COUNTIFS(T_StockCount[RM_Code],$A97,T_StockCount[WeekIndex],91)&gt;0,SUMIFS(T_StockCount[CountedQty],T_StockCount[RM_Code],$A97,T_StockCount[WeekIndex],91),IF((COUNTIFS(T_SelfStock[RM_Code],$A97,T_SelfStock[WeekIndex],91)&gt;0)*(COUNTIFS(T_TTAFStock[RM_Code],$A97,T_TTAFStock[WeekIndex],91)&gt;0)&gt;0,SUMIFS(T_SelfStock[Self_Qty],T_SelfStock[RM_Code],$A97,T_SelfStock[WeekIndex],91)+SUMIFS(T_TTAFStock[TTAF_Qty],T_TTAFStock[RM_Code],$A97,T_TTAFStock[WeekIndex],91),CM97+'Grid_Incoming'!CN97-'Grid_Requirement'!CN97))</f>
        <v/>
      </c>
      <c r="CO97">
        <f>IF(COUNTIFS(T_StockCount[RM_Code],$A97,T_StockCount[WeekIndex],92)&gt;0,SUMIFS(T_StockCount[CountedQty],T_StockCount[RM_Code],$A97,T_StockCount[WeekIndex],92),IF((COUNTIFS(T_SelfStock[RM_Code],$A97,T_SelfStock[WeekIndex],92)&gt;0)*(COUNTIFS(T_TTAFStock[RM_Code],$A97,T_TTAFStock[WeekIndex],92)&gt;0)&gt;0,SUMIFS(T_SelfStock[Self_Qty],T_SelfStock[RM_Code],$A97,T_SelfStock[WeekIndex],92)+SUMIFS(T_TTAFStock[TTAF_Qty],T_TTAFStock[RM_Code],$A97,T_TTAFStock[WeekIndex],92),CN97+'Grid_Incoming'!CO97-'Grid_Requirement'!CO97))</f>
        <v/>
      </c>
      <c r="CP97">
        <f>IF(COUNTIFS(T_StockCount[RM_Code],$A97,T_StockCount[WeekIndex],93)&gt;0,SUMIFS(T_StockCount[CountedQty],T_StockCount[RM_Code],$A97,T_StockCount[WeekIndex],93),IF((COUNTIFS(T_SelfStock[RM_Code],$A97,T_SelfStock[WeekIndex],93)&gt;0)*(COUNTIFS(T_TTAFStock[RM_Code],$A97,T_TTAFStock[WeekIndex],93)&gt;0)&gt;0,SUMIFS(T_SelfStock[Self_Qty],T_SelfStock[RM_Code],$A97,T_SelfStock[WeekIndex],93)+SUMIFS(T_TTAFStock[TTAF_Qty],T_TTAFStock[RM_Code],$A97,T_TTAFStock[WeekIndex],93),CO97+'Grid_Incoming'!CP97-'Grid_Requirement'!CP97))</f>
        <v/>
      </c>
      <c r="CQ97">
        <f>IF(COUNTIFS(T_StockCount[RM_Code],$A97,T_StockCount[WeekIndex],94)&gt;0,SUMIFS(T_StockCount[CountedQty],T_StockCount[RM_Code],$A97,T_StockCount[WeekIndex],94),IF((COUNTIFS(T_SelfStock[RM_Code],$A97,T_SelfStock[WeekIndex],94)&gt;0)*(COUNTIFS(T_TTAFStock[RM_Code],$A97,T_TTAFStock[WeekIndex],94)&gt;0)&gt;0,SUMIFS(T_SelfStock[Self_Qty],T_SelfStock[RM_Code],$A97,T_SelfStock[WeekIndex],94)+SUMIFS(T_TTAFStock[TTAF_Qty],T_TTAFStock[RM_Code],$A97,T_TTAFStock[WeekIndex],94),CP97+'Grid_Incoming'!CQ97-'Grid_Requirement'!CQ97))</f>
        <v/>
      </c>
      <c r="CR97">
        <f>IF(COUNTIFS(T_StockCount[RM_Code],$A97,T_StockCount[WeekIndex],95)&gt;0,SUMIFS(T_StockCount[CountedQty],T_StockCount[RM_Code],$A97,T_StockCount[WeekIndex],95),IF((COUNTIFS(T_SelfStock[RM_Code],$A97,T_SelfStock[WeekIndex],95)&gt;0)*(COUNTIFS(T_TTAFStock[RM_Code],$A97,T_TTAFStock[WeekIndex],95)&gt;0)&gt;0,SUMIFS(T_SelfStock[Self_Qty],T_SelfStock[RM_Code],$A97,T_SelfStock[WeekIndex],95)+SUMIFS(T_TTAFStock[TTAF_Qty],T_TTAFStock[RM_Code],$A97,T_TTAFStock[WeekIndex],95),CQ97+'Grid_Incoming'!CR97-'Grid_Requirement'!CR97))</f>
        <v/>
      </c>
      <c r="CS97">
        <f>IF(COUNTIFS(T_StockCount[RM_Code],$A97,T_StockCount[WeekIndex],96)&gt;0,SUMIFS(T_StockCount[CountedQty],T_StockCount[RM_Code],$A97,T_StockCount[WeekIndex],96),IF((COUNTIFS(T_SelfStock[RM_Code],$A97,T_SelfStock[WeekIndex],96)&gt;0)*(COUNTIFS(T_TTAFStock[RM_Code],$A97,T_TTAFStock[WeekIndex],96)&gt;0)&gt;0,SUMIFS(T_SelfStock[Self_Qty],T_SelfStock[RM_Code],$A97,T_SelfStock[WeekIndex],96)+SUMIFS(T_TTAFStock[TTAF_Qty],T_TTAFStock[RM_Code],$A97,T_TTAFStock[WeekIndex],96),CR97+'Grid_Incoming'!CS97-'Grid_Requirement'!CS97))</f>
        <v/>
      </c>
      <c r="CT97">
        <f>IF(COUNTIFS(T_StockCount[RM_Code],$A97,T_StockCount[WeekIndex],97)&gt;0,SUMIFS(T_StockCount[CountedQty],T_StockCount[RM_Code],$A97,T_StockCount[WeekIndex],97),IF((COUNTIFS(T_SelfStock[RM_Code],$A97,T_SelfStock[WeekIndex],97)&gt;0)*(COUNTIFS(T_TTAFStock[RM_Code],$A97,T_TTAFStock[WeekIndex],97)&gt;0)&gt;0,SUMIFS(T_SelfStock[Self_Qty],T_SelfStock[RM_Code],$A97,T_SelfStock[WeekIndex],97)+SUMIFS(T_TTAFStock[TTAF_Qty],T_TTAFStock[RM_Code],$A97,T_TTAFStock[WeekIndex],97),CS97+'Grid_Incoming'!CT97-'Grid_Requirement'!CT97))</f>
        <v/>
      </c>
      <c r="CU97">
        <f>IF(COUNTIFS(T_StockCount[RM_Code],$A97,T_StockCount[WeekIndex],98)&gt;0,SUMIFS(T_StockCount[CountedQty],T_StockCount[RM_Code],$A97,T_StockCount[WeekIndex],98),IF((COUNTIFS(T_SelfStock[RM_Code],$A97,T_SelfStock[WeekIndex],98)&gt;0)*(COUNTIFS(T_TTAFStock[RM_Code],$A97,T_TTAFStock[WeekIndex],98)&gt;0)&gt;0,SUMIFS(T_SelfStock[Self_Qty],T_SelfStock[RM_Code],$A97,T_SelfStock[WeekIndex],98)+SUMIFS(T_TTAFStock[TTAF_Qty],T_TTAFStock[RM_Code],$A97,T_TTAFStock[WeekIndex],98),CT97+'Grid_Incoming'!CU97-'Grid_Requirement'!CU97))</f>
        <v/>
      </c>
      <c r="CV97">
        <f>IF(COUNTIFS(T_StockCount[RM_Code],$A97,T_StockCount[WeekIndex],99)&gt;0,SUMIFS(T_StockCount[CountedQty],T_StockCount[RM_Code],$A97,T_StockCount[WeekIndex],99),IF((COUNTIFS(T_SelfStock[RM_Code],$A97,T_SelfStock[WeekIndex],99)&gt;0)*(COUNTIFS(T_TTAFStock[RM_Code],$A97,T_TTAFStock[WeekIndex],99)&gt;0)&gt;0,SUMIFS(T_SelfStock[Self_Qty],T_SelfStock[RM_Code],$A97,T_SelfStock[WeekIndex],99)+SUMIFS(T_TTAFStock[TTAF_Qty],T_TTAFStock[RM_Code],$A97,T_TTAFStock[WeekIndex],99),CU97+'Grid_Incoming'!CV97-'Grid_Requirement'!CV97))</f>
        <v/>
      </c>
      <c r="CW97">
        <f>IF(COUNTIFS(T_StockCount[RM_Code],$A97,T_StockCount[WeekIndex],100)&gt;0,SUMIFS(T_StockCount[CountedQty],T_StockCount[RM_Code],$A97,T_StockCount[WeekIndex],100),IF((COUNTIFS(T_SelfStock[RM_Code],$A97,T_SelfStock[WeekIndex],100)&gt;0)*(COUNTIFS(T_TTAFStock[RM_Code],$A97,T_TTAFStock[WeekIndex],100)&gt;0)&gt;0,SUMIFS(T_SelfStock[Self_Qty],T_SelfStock[RM_Code],$A97,T_SelfStock[WeekIndex],100)+SUMIFS(T_TTAFStock[TTAF_Qty],T_TTAFStock[RM_Code],$A97,T_TTAFStock[WeekIndex],100),CV97+'Grid_Incoming'!CW97-'Grid_Requirement'!CW97))</f>
        <v/>
      </c>
      <c r="CX97">
        <f>IF(COUNTIFS(T_StockCount[RM_Code],$A97,T_StockCount[WeekIndex],101)&gt;0,SUMIFS(T_StockCount[CountedQty],T_StockCount[RM_Code],$A97,T_StockCount[WeekIndex],101),IF((COUNTIFS(T_SelfStock[RM_Code],$A97,T_SelfStock[WeekIndex],101)&gt;0)*(COUNTIFS(T_TTAFStock[RM_Code],$A97,T_TTAFStock[WeekIndex],101)&gt;0)&gt;0,SUMIFS(T_SelfStock[Self_Qty],T_SelfStock[RM_Code],$A97,T_SelfStock[WeekIndex],101)+SUMIFS(T_TTAFStock[TTAF_Qty],T_TTAFStock[RM_Code],$A97,T_TTAFStock[WeekIndex],101),CW97+'Grid_Incoming'!CX97-'Grid_Requirement'!CX97))</f>
        <v/>
      </c>
      <c r="CY97">
        <f>IF(COUNTIFS(T_StockCount[RM_Code],$A97,T_StockCount[WeekIndex],102)&gt;0,SUMIFS(T_StockCount[CountedQty],T_StockCount[RM_Code],$A97,T_StockCount[WeekIndex],102),IF((COUNTIFS(T_SelfStock[RM_Code],$A97,T_SelfStock[WeekIndex],102)&gt;0)*(COUNTIFS(T_TTAFStock[RM_Code],$A97,T_TTAFStock[WeekIndex],102)&gt;0)&gt;0,SUMIFS(T_SelfStock[Self_Qty],T_SelfStock[RM_Code],$A97,T_SelfStock[WeekIndex],102)+SUMIFS(T_TTAFStock[TTAF_Qty],T_TTAFStock[RM_Code],$A97,T_TTAFStock[WeekIndex],102),CX97+'Grid_Incoming'!CY97-'Grid_Requirement'!CY97))</f>
        <v/>
      </c>
      <c r="CZ97">
        <f>IF(COUNTIFS(T_StockCount[RM_Code],$A97,T_StockCount[WeekIndex],103)&gt;0,SUMIFS(T_StockCount[CountedQty],T_StockCount[RM_Code],$A97,T_StockCount[WeekIndex],103),IF((COUNTIFS(T_SelfStock[RM_Code],$A97,T_SelfStock[WeekIndex],103)&gt;0)*(COUNTIFS(T_TTAFStock[RM_Code],$A97,T_TTAFStock[WeekIndex],103)&gt;0)&gt;0,SUMIFS(T_SelfStock[Self_Qty],T_SelfStock[RM_Code],$A97,T_SelfStock[WeekIndex],103)+SUMIFS(T_TTAFStock[TTAF_Qty],T_TTAFStock[RM_Code],$A97,T_TTAFStock[WeekIndex],103),CY97+'Grid_Incoming'!CZ97-'Grid_Requirement'!CZ97))</f>
        <v/>
      </c>
      <c r="DA97">
        <f>IF(COUNTIFS(T_StockCount[RM_Code],$A97,T_StockCount[WeekIndex],104)&gt;0,SUMIFS(T_StockCount[CountedQty],T_StockCount[RM_Code],$A97,T_StockCount[WeekIndex],104),IF((COUNTIFS(T_SelfStock[RM_Code],$A97,T_SelfStock[WeekIndex],104)&gt;0)*(COUNTIFS(T_TTAFStock[RM_Code],$A97,T_TTAFStock[WeekIndex],104)&gt;0)&gt;0,SUMIFS(T_SelfStock[Self_Qty],T_SelfStock[RM_Code],$A97,T_SelfStock[WeekIndex],104)+SUMIFS(T_TTAFStock[TTAF_Qty],T_TTAFStock[RM_Code],$A97,T_TTAFStock[WeekIndex],104),CZ97+'Grid_Incoming'!DA97-'Grid_Requirement'!DA97))</f>
        <v/>
      </c>
    </row>
    <row r="98">
      <c r="A98" t="inlineStr">
        <is>
          <t>CHEM-1050</t>
        </is>
      </c>
      <c r="B98">
        <f>IF(COUNTIFS(T_StockCount[RM_Code],$A98,T_StockCount[WeekIndex],1)&gt;0,SUMIFS(T_StockCount[CountedQty],T_StockCount[RM_Code],$A98,T_StockCount[WeekIndex],1),IF((COUNTIFS(T_SelfStock[RM_Code],$A98,T_SelfStock[WeekIndex],1)&gt;0)*(COUNTIFS(T_TTAFStock[RM_Code],$A98,T_TTAFStock[WeekIndex],1)&gt;0)&gt;0,SUMIFS(T_SelfStock[Self_Qty],T_SelfStock[RM_Code],$A98,T_SelfStock[WeekIndex],1)+SUMIFS(T_TTAFStock[TTAF_Qty],T_TTAFStock[RM_Code],$A98,T_TTAFStock[WeekIndex],1),IFERROR(INDEX(T_OpeningStock[Opening_Qty],MATCH($A98,T_OpeningStock[RM_Code],0)),0)+'Grid_Incoming'!B98-'Grid_Requirement'!B98))</f>
        <v/>
      </c>
      <c r="C98">
        <f>IF(COUNTIFS(T_StockCount[RM_Code],$A98,T_StockCount[WeekIndex],2)&gt;0,SUMIFS(T_StockCount[CountedQty],T_StockCount[RM_Code],$A98,T_StockCount[WeekIndex],2),IF((COUNTIFS(T_SelfStock[RM_Code],$A98,T_SelfStock[WeekIndex],2)&gt;0)*(COUNTIFS(T_TTAFStock[RM_Code],$A98,T_TTAFStock[WeekIndex],2)&gt;0)&gt;0,SUMIFS(T_SelfStock[Self_Qty],T_SelfStock[RM_Code],$A98,T_SelfStock[WeekIndex],2)+SUMIFS(T_TTAFStock[TTAF_Qty],T_TTAFStock[RM_Code],$A98,T_TTAFStock[WeekIndex],2),B98+'Grid_Incoming'!C98-'Grid_Requirement'!C98))</f>
        <v/>
      </c>
      <c r="D98">
        <f>IF(COUNTIFS(T_StockCount[RM_Code],$A98,T_StockCount[WeekIndex],3)&gt;0,SUMIFS(T_StockCount[CountedQty],T_StockCount[RM_Code],$A98,T_StockCount[WeekIndex],3),IF((COUNTIFS(T_SelfStock[RM_Code],$A98,T_SelfStock[WeekIndex],3)&gt;0)*(COUNTIFS(T_TTAFStock[RM_Code],$A98,T_TTAFStock[WeekIndex],3)&gt;0)&gt;0,SUMIFS(T_SelfStock[Self_Qty],T_SelfStock[RM_Code],$A98,T_SelfStock[WeekIndex],3)+SUMIFS(T_TTAFStock[TTAF_Qty],T_TTAFStock[RM_Code],$A98,T_TTAFStock[WeekIndex],3),C98+'Grid_Incoming'!D98-'Grid_Requirement'!D98))</f>
        <v/>
      </c>
      <c r="E98">
        <f>IF(COUNTIFS(T_StockCount[RM_Code],$A98,T_StockCount[WeekIndex],4)&gt;0,SUMIFS(T_StockCount[CountedQty],T_StockCount[RM_Code],$A98,T_StockCount[WeekIndex],4),IF((COUNTIFS(T_SelfStock[RM_Code],$A98,T_SelfStock[WeekIndex],4)&gt;0)*(COUNTIFS(T_TTAFStock[RM_Code],$A98,T_TTAFStock[WeekIndex],4)&gt;0)&gt;0,SUMIFS(T_SelfStock[Self_Qty],T_SelfStock[RM_Code],$A98,T_SelfStock[WeekIndex],4)+SUMIFS(T_TTAFStock[TTAF_Qty],T_TTAFStock[RM_Code],$A98,T_TTAFStock[WeekIndex],4),D98+'Grid_Incoming'!E98-'Grid_Requirement'!E98))</f>
        <v/>
      </c>
      <c r="F98">
        <f>IF(COUNTIFS(T_StockCount[RM_Code],$A98,T_StockCount[WeekIndex],5)&gt;0,SUMIFS(T_StockCount[CountedQty],T_StockCount[RM_Code],$A98,T_StockCount[WeekIndex],5),IF((COUNTIFS(T_SelfStock[RM_Code],$A98,T_SelfStock[WeekIndex],5)&gt;0)*(COUNTIFS(T_TTAFStock[RM_Code],$A98,T_TTAFStock[WeekIndex],5)&gt;0)&gt;0,SUMIFS(T_SelfStock[Self_Qty],T_SelfStock[RM_Code],$A98,T_SelfStock[WeekIndex],5)+SUMIFS(T_TTAFStock[TTAF_Qty],T_TTAFStock[RM_Code],$A98,T_TTAFStock[WeekIndex],5),E98+'Grid_Incoming'!F98-'Grid_Requirement'!F98))</f>
        <v/>
      </c>
      <c r="G98">
        <f>IF(COUNTIFS(T_StockCount[RM_Code],$A98,T_StockCount[WeekIndex],6)&gt;0,SUMIFS(T_StockCount[CountedQty],T_StockCount[RM_Code],$A98,T_StockCount[WeekIndex],6),IF((COUNTIFS(T_SelfStock[RM_Code],$A98,T_SelfStock[WeekIndex],6)&gt;0)*(COUNTIFS(T_TTAFStock[RM_Code],$A98,T_TTAFStock[WeekIndex],6)&gt;0)&gt;0,SUMIFS(T_SelfStock[Self_Qty],T_SelfStock[RM_Code],$A98,T_SelfStock[WeekIndex],6)+SUMIFS(T_TTAFStock[TTAF_Qty],T_TTAFStock[RM_Code],$A98,T_TTAFStock[WeekIndex],6),F98+'Grid_Incoming'!G98-'Grid_Requirement'!G98))</f>
        <v/>
      </c>
      <c r="H98">
        <f>IF(COUNTIFS(T_StockCount[RM_Code],$A98,T_StockCount[WeekIndex],7)&gt;0,SUMIFS(T_StockCount[CountedQty],T_StockCount[RM_Code],$A98,T_StockCount[WeekIndex],7),IF((COUNTIFS(T_SelfStock[RM_Code],$A98,T_SelfStock[WeekIndex],7)&gt;0)*(COUNTIFS(T_TTAFStock[RM_Code],$A98,T_TTAFStock[WeekIndex],7)&gt;0)&gt;0,SUMIFS(T_SelfStock[Self_Qty],T_SelfStock[RM_Code],$A98,T_SelfStock[WeekIndex],7)+SUMIFS(T_TTAFStock[TTAF_Qty],T_TTAFStock[RM_Code],$A98,T_TTAFStock[WeekIndex],7),G98+'Grid_Incoming'!H98-'Grid_Requirement'!H98))</f>
        <v/>
      </c>
      <c r="I98">
        <f>IF(COUNTIFS(T_StockCount[RM_Code],$A98,T_StockCount[WeekIndex],8)&gt;0,SUMIFS(T_StockCount[CountedQty],T_StockCount[RM_Code],$A98,T_StockCount[WeekIndex],8),IF((COUNTIFS(T_SelfStock[RM_Code],$A98,T_SelfStock[WeekIndex],8)&gt;0)*(COUNTIFS(T_TTAFStock[RM_Code],$A98,T_TTAFStock[WeekIndex],8)&gt;0)&gt;0,SUMIFS(T_SelfStock[Self_Qty],T_SelfStock[RM_Code],$A98,T_SelfStock[WeekIndex],8)+SUMIFS(T_TTAFStock[TTAF_Qty],T_TTAFStock[RM_Code],$A98,T_TTAFStock[WeekIndex],8),H98+'Grid_Incoming'!I98-'Grid_Requirement'!I98))</f>
        <v/>
      </c>
      <c r="J98">
        <f>IF(COUNTIFS(T_StockCount[RM_Code],$A98,T_StockCount[WeekIndex],9)&gt;0,SUMIFS(T_StockCount[CountedQty],T_StockCount[RM_Code],$A98,T_StockCount[WeekIndex],9),IF((COUNTIFS(T_SelfStock[RM_Code],$A98,T_SelfStock[WeekIndex],9)&gt;0)*(COUNTIFS(T_TTAFStock[RM_Code],$A98,T_TTAFStock[WeekIndex],9)&gt;0)&gt;0,SUMIFS(T_SelfStock[Self_Qty],T_SelfStock[RM_Code],$A98,T_SelfStock[WeekIndex],9)+SUMIFS(T_TTAFStock[TTAF_Qty],T_TTAFStock[RM_Code],$A98,T_TTAFStock[WeekIndex],9),I98+'Grid_Incoming'!J98-'Grid_Requirement'!J98))</f>
        <v/>
      </c>
      <c r="K98">
        <f>IF(COUNTIFS(T_StockCount[RM_Code],$A98,T_StockCount[WeekIndex],10)&gt;0,SUMIFS(T_StockCount[CountedQty],T_StockCount[RM_Code],$A98,T_StockCount[WeekIndex],10),IF((COUNTIFS(T_SelfStock[RM_Code],$A98,T_SelfStock[WeekIndex],10)&gt;0)*(COUNTIFS(T_TTAFStock[RM_Code],$A98,T_TTAFStock[WeekIndex],10)&gt;0)&gt;0,SUMIFS(T_SelfStock[Self_Qty],T_SelfStock[RM_Code],$A98,T_SelfStock[WeekIndex],10)+SUMIFS(T_TTAFStock[TTAF_Qty],T_TTAFStock[RM_Code],$A98,T_TTAFStock[WeekIndex],10),J98+'Grid_Incoming'!K98-'Grid_Requirement'!K98))</f>
        <v/>
      </c>
      <c r="L98">
        <f>IF(COUNTIFS(T_StockCount[RM_Code],$A98,T_StockCount[WeekIndex],11)&gt;0,SUMIFS(T_StockCount[CountedQty],T_StockCount[RM_Code],$A98,T_StockCount[WeekIndex],11),IF((COUNTIFS(T_SelfStock[RM_Code],$A98,T_SelfStock[WeekIndex],11)&gt;0)*(COUNTIFS(T_TTAFStock[RM_Code],$A98,T_TTAFStock[WeekIndex],11)&gt;0)&gt;0,SUMIFS(T_SelfStock[Self_Qty],T_SelfStock[RM_Code],$A98,T_SelfStock[WeekIndex],11)+SUMIFS(T_TTAFStock[TTAF_Qty],T_TTAFStock[RM_Code],$A98,T_TTAFStock[WeekIndex],11),K98+'Grid_Incoming'!L98-'Grid_Requirement'!L98))</f>
        <v/>
      </c>
      <c r="M98">
        <f>IF(COUNTIFS(T_StockCount[RM_Code],$A98,T_StockCount[WeekIndex],12)&gt;0,SUMIFS(T_StockCount[CountedQty],T_StockCount[RM_Code],$A98,T_StockCount[WeekIndex],12),IF((COUNTIFS(T_SelfStock[RM_Code],$A98,T_SelfStock[WeekIndex],12)&gt;0)*(COUNTIFS(T_TTAFStock[RM_Code],$A98,T_TTAFStock[WeekIndex],12)&gt;0)&gt;0,SUMIFS(T_SelfStock[Self_Qty],T_SelfStock[RM_Code],$A98,T_SelfStock[WeekIndex],12)+SUMIFS(T_TTAFStock[TTAF_Qty],T_TTAFStock[RM_Code],$A98,T_TTAFStock[WeekIndex],12),L98+'Grid_Incoming'!M98-'Grid_Requirement'!M98))</f>
        <v/>
      </c>
      <c r="N98">
        <f>IF(COUNTIFS(T_StockCount[RM_Code],$A98,T_StockCount[WeekIndex],13)&gt;0,SUMIFS(T_StockCount[CountedQty],T_StockCount[RM_Code],$A98,T_StockCount[WeekIndex],13),IF((COUNTIFS(T_SelfStock[RM_Code],$A98,T_SelfStock[WeekIndex],13)&gt;0)*(COUNTIFS(T_TTAFStock[RM_Code],$A98,T_TTAFStock[WeekIndex],13)&gt;0)&gt;0,SUMIFS(T_SelfStock[Self_Qty],T_SelfStock[RM_Code],$A98,T_SelfStock[WeekIndex],13)+SUMIFS(T_TTAFStock[TTAF_Qty],T_TTAFStock[RM_Code],$A98,T_TTAFStock[WeekIndex],13),M98+'Grid_Incoming'!N98-'Grid_Requirement'!N98))</f>
        <v/>
      </c>
      <c r="O98">
        <f>IF(COUNTIFS(T_StockCount[RM_Code],$A98,T_StockCount[WeekIndex],14)&gt;0,SUMIFS(T_StockCount[CountedQty],T_StockCount[RM_Code],$A98,T_StockCount[WeekIndex],14),IF((COUNTIFS(T_SelfStock[RM_Code],$A98,T_SelfStock[WeekIndex],14)&gt;0)*(COUNTIFS(T_TTAFStock[RM_Code],$A98,T_TTAFStock[WeekIndex],14)&gt;0)&gt;0,SUMIFS(T_SelfStock[Self_Qty],T_SelfStock[RM_Code],$A98,T_SelfStock[WeekIndex],14)+SUMIFS(T_TTAFStock[TTAF_Qty],T_TTAFStock[RM_Code],$A98,T_TTAFStock[WeekIndex],14),N98+'Grid_Incoming'!O98-'Grid_Requirement'!O98))</f>
        <v/>
      </c>
      <c r="P98">
        <f>IF(COUNTIFS(T_StockCount[RM_Code],$A98,T_StockCount[WeekIndex],15)&gt;0,SUMIFS(T_StockCount[CountedQty],T_StockCount[RM_Code],$A98,T_StockCount[WeekIndex],15),IF((COUNTIFS(T_SelfStock[RM_Code],$A98,T_SelfStock[WeekIndex],15)&gt;0)*(COUNTIFS(T_TTAFStock[RM_Code],$A98,T_TTAFStock[WeekIndex],15)&gt;0)&gt;0,SUMIFS(T_SelfStock[Self_Qty],T_SelfStock[RM_Code],$A98,T_SelfStock[WeekIndex],15)+SUMIFS(T_TTAFStock[TTAF_Qty],T_TTAFStock[RM_Code],$A98,T_TTAFStock[WeekIndex],15),O98+'Grid_Incoming'!P98-'Grid_Requirement'!P98))</f>
        <v/>
      </c>
      <c r="Q98">
        <f>IF(COUNTIFS(T_StockCount[RM_Code],$A98,T_StockCount[WeekIndex],16)&gt;0,SUMIFS(T_StockCount[CountedQty],T_StockCount[RM_Code],$A98,T_StockCount[WeekIndex],16),IF((COUNTIFS(T_SelfStock[RM_Code],$A98,T_SelfStock[WeekIndex],16)&gt;0)*(COUNTIFS(T_TTAFStock[RM_Code],$A98,T_TTAFStock[WeekIndex],16)&gt;0)&gt;0,SUMIFS(T_SelfStock[Self_Qty],T_SelfStock[RM_Code],$A98,T_SelfStock[WeekIndex],16)+SUMIFS(T_TTAFStock[TTAF_Qty],T_TTAFStock[RM_Code],$A98,T_TTAFStock[WeekIndex],16),P98+'Grid_Incoming'!Q98-'Grid_Requirement'!Q98))</f>
        <v/>
      </c>
      <c r="R98">
        <f>IF(COUNTIFS(T_StockCount[RM_Code],$A98,T_StockCount[WeekIndex],17)&gt;0,SUMIFS(T_StockCount[CountedQty],T_StockCount[RM_Code],$A98,T_StockCount[WeekIndex],17),IF((COUNTIFS(T_SelfStock[RM_Code],$A98,T_SelfStock[WeekIndex],17)&gt;0)*(COUNTIFS(T_TTAFStock[RM_Code],$A98,T_TTAFStock[WeekIndex],17)&gt;0)&gt;0,SUMIFS(T_SelfStock[Self_Qty],T_SelfStock[RM_Code],$A98,T_SelfStock[WeekIndex],17)+SUMIFS(T_TTAFStock[TTAF_Qty],T_TTAFStock[RM_Code],$A98,T_TTAFStock[WeekIndex],17),Q98+'Grid_Incoming'!R98-'Grid_Requirement'!R98))</f>
        <v/>
      </c>
      <c r="S98">
        <f>IF(COUNTIFS(T_StockCount[RM_Code],$A98,T_StockCount[WeekIndex],18)&gt;0,SUMIFS(T_StockCount[CountedQty],T_StockCount[RM_Code],$A98,T_StockCount[WeekIndex],18),IF((COUNTIFS(T_SelfStock[RM_Code],$A98,T_SelfStock[WeekIndex],18)&gt;0)*(COUNTIFS(T_TTAFStock[RM_Code],$A98,T_TTAFStock[WeekIndex],18)&gt;0)&gt;0,SUMIFS(T_SelfStock[Self_Qty],T_SelfStock[RM_Code],$A98,T_SelfStock[WeekIndex],18)+SUMIFS(T_TTAFStock[TTAF_Qty],T_TTAFStock[RM_Code],$A98,T_TTAFStock[WeekIndex],18),R98+'Grid_Incoming'!S98-'Grid_Requirement'!S98))</f>
        <v/>
      </c>
      <c r="T98">
        <f>IF(COUNTIFS(T_StockCount[RM_Code],$A98,T_StockCount[WeekIndex],19)&gt;0,SUMIFS(T_StockCount[CountedQty],T_StockCount[RM_Code],$A98,T_StockCount[WeekIndex],19),IF((COUNTIFS(T_SelfStock[RM_Code],$A98,T_SelfStock[WeekIndex],19)&gt;0)*(COUNTIFS(T_TTAFStock[RM_Code],$A98,T_TTAFStock[WeekIndex],19)&gt;0)&gt;0,SUMIFS(T_SelfStock[Self_Qty],T_SelfStock[RM_Code],$A98,T_SelfStock[WeekIndex],19)+SUMIFS(T_TTAFStock[TTAF_Qty],T_TTAFStock[RM_Code],$A98,T_TTAFStock[WeekIndex],19),S98+'Grid_Incoming'!T98-'Grid_Requirement'!T98))</f>
        <v/>
      </c>
      <c r="U98">
        <f>IF(COUNTIFS(T_StockCount[RM_Code],$A98,T_StockCount[WeekIndex],20)&gt;0,SUMIFS(T_StockCount[CountedQty],T_StockCount[RM_Code],$A98,T_StockCount[WeekIndex],20),IF((COUNTIFS(T_SelfStock[RM_Code],$A98,T_SelfStock[WeekIndex],20)&gt;0)*(COUNTIFS(T_TTAFStock[RM_Code],$A98,T_TTAFStock[WeekIndex],20)&gt;0)&gt;0,SUMIFS(T_SelfStock[Self_Qty],T_SelfStock[RM_Code],$A98,T_SelfStock[WeekIndex],20)+SUMIFS(T_TTAFStock[TTAF_Qty],T_TTAFStock[RM_Code],$A98,T_TTAFStock[WeekIndex],20),T98+'Grid_Incoming'!U98-'Grid_Requirement'!U98))</f>
        <v/>
      </c>
      <c r="V98">
        <f>IF(COUNTIFS(T_StockCount[RM_Code],$A98,T_StockCount[WeekIndex],21)&gt;0,SUMIFS(T_StockCount[CountedQty],T_StockCount[RM_Code],$A98,T_StockCount[WeekIndex],21),IF((COUNTIFS(T_SelfStock[RM_Code],$A98,T_SelfStock[WeekIndex],21)&gt;0)*(COUNTIFS(T_TTAFStock[RM_Code],$A98,T_TTAFStock[WeekIndex],21)&gt;0)&gt;0,SUMIFS(T_SelfStock[Self_Qty],T_SelfStock[RM_Code],$A98,T_SelfStock[WeekIndex],21)+SUMIFS(T_TTAFStock[TTAF_Qty],T_TTAFStock[RM_Code],$A98,T_TTAFStock[WeekIndex],21),U98+'Grid_Incoming'!V98-'Grid_Requirement'!V98))</f>
        <v/>
      </c>
      <c r="W98">
        <f>IF(COUNTIFS(T_StockCount[RM_Code],$A98,T_StockCount[WeekIndex],22)&gt;0,SUMIFS(T_StockCount[CountedQty],T_StockCount[RM_Code],$A98,T_StockCount[WeekIndex],22),IF((COUNTIFS(T_SelfStock[RM_Code],$A98,T_SelfStock[WeekIndex],22)&gt;0)*(COUNTIFS(T_TTAFStock[RM_Code],$A98,T_TTAFStock[WeekIndex],22)&gt;0)&gt;0,SUMIFS(T_SelfStock[Self_Qty],T_SelfStock[RM_Code],$A98,T_SelfStock[WeekIndex],22)+SUMIFS(T_TTAFStock[TTAF_Qty],T_TTAFStock[RM_Code],$A98,T_TTAFStock[WeekIndex],22),V98+'Grid_Incoming'!W98-'Grid_Requirement'!W98))</f>
        <v/>
      </c>
      <c r="X98">
        <f>IF(COUNTIFS(T_StockCount[RM_Code],$A98,T_StockCount[WeekIndex],23)&gt;0,SUMIFS(T_StockCount[CountedQty],T_StockCount[RM_Code],$A98,T_StockCount[WeekIndex],23),IF((COUNTIFS(T_SelfStock[RM_Code],$A98,T_SelfStock[WeekIndex],23)&gt;0)*(COUNTIFS(T_TTAFStock[RM_Code],$A98,T_TTAFStock[WeekIndex],23)&gt;0)&gt;0,SUMIFS(T_SelfStock[Self_Qty],T_SelfStock[RM_Code],$A98,T_SelfStock[WeekIndex],23)+SUMIFS(T_TTAFStock[TTAF_Qty],T_TTAFStock[RM_Code],$A98,T_TTAFStock[WeekIndex],23),W98+'Grid_Incoming'!X98-'Grid_Requirement'!X98))</f>
        <v/>
      </c>
      <c r="Y98">
        <f>IF(COUNTIFS(T_StockCount[RM_Code],$A98,T_StockCount[WeekIndex],24)&gt;0,SUMIFS(T_StockCount[CountedQty],T_StockCount[RM_Code],$A98,T_StockCount[WeekIndex],24),IF((COUNTIFS(T_SelfStock[RM_Code],$A98,T_SelfStock[WeekIndex],24)&gt;0)*(COUNTIFS(T_TTAFStock[RM_Code],$A98,T_TTAFStock[WeekIndex],24)&gt;0)&gt;0,SUMIFS(T_SelfStock[Self_Qty],T_SelfStock[RM_Code],$A98,T_SelfStock[WeekIndex],24)+SUMIFS(T_TTAFStock[TTAF_Qty],T_TTAFStock[RM_Code],$A98,T_TTAFStock[WeekIndex],24),X98+'Grid_Incoming'!Y98-'Grid_Requirement'!Y98))</f>
        <v/>
      </c>
      <c r="Z98">
        <f>IF(COUNTIFS(T_StockCount[RM_Code],$A98,T_StockCount[WeekIndex],25)&gt;0,SUMIFS(T_StockCount[CountedQty],T_StockCount[RM_Code],$A98,T_StockCount[WeekIndex],25),IF((COUNTIFS(T_SelfStock[RM_Code],$A98,T_SelfStock[WeekIndex],25)&gt;0)*(COUNTIFS(T_TTAFStock[RM_Code],$A98,T_TTAFStock[WeekIndex],25)&gt;0)&gt;0,SUMIFS(T_SelfStock[Self_Qty],T_SelfStock[RM_Code],$A98,T_SelfStock[WeekIndex],25)+SUMIFS(T_TTAFStock[TTAF_Qty],T_TTAFStock[RM_Code],$A98,T_TTAFStock[WeekIndex],25),Y98+'Grid_Incoming'!Z98-'Grid_Requirement'!Z98))</f>
        <v/>
      </c>
      <c r="AA98">
        <f>IF(COUNTIFS(T_StockCount[RM_Code],$A98,T_StockCount[WeekIndex],26)&gt;0,SUMIFS(T_StockCount[CountedQty],T_StockCount[RM_Code],$A98,T_StockCount[WeekIndex],26),IF((COUNTIFS(T_SelfStock[RM_Code],$A98,T_SelfStock[WeekIndex],26)&gt;0)*(COUNTIFS(T_TTAFStock[RM_Code],$A98,T_TTAFStock[WeekIndex],26)&gt;0)&gt;0,SUMIFS(T_SelfStock[Self_Qty],T_SelfStock[RM_Code],$A98,T_SelfStock[WeekIndex],26)+SUMIFS(T_TTAFStock[TTAF_Qty],T_TTAFStock[RM_Code],$A98,T_TTAFStock[WeekIndex],26),Z98+'Grid_Incoming'!AA98-'Grid_Requirement'!AA98))</f>
        <v/>
      </c>
      <c r="AB98">
        <f>IF(COUNTIFS(T_StockCount[RM_Code],$A98,T_StockCount[WeekIndex],27)&gt;0,SUMIFS(T_StockCount[CountedQty],T_StockCount[RM_Code],$A98,T_StockCount[WeekIndex],27),IF((COUNTIFS(T_SelfStock[RM_Code],$A98,T_SelfStock[WeekIndex],27)&gt;0)*(COUNTIFS(T_TTAFStock[RM_Code],$A98,T_TTAFStock[WeekIndex],27)&gt;0)&gt;0,SUMIFS(T_SelfStock[Self_Qty],T_SelfStock[RM_Code],$A98,T_SelfStock[WeekIndex],27)+SUMIFS(T_TTAFStock[TTAF_Qty],T_TTAFStock[RM_Code],$A98,T_TTAFStock[WeekIndex],27),AA98+'Grid_Incoming'!AB98-'Grid_Requirement'!AB98))</f>
        <v/>
      </c>
      <c r="AC98">
        <f>IF(COUNTIFS(T_StockCount[RM_Code],$A98,T_StockCount[WeekIndex],28)&gt;0,SUMIFS(T_StockCount[CountedQty],T_StockCount[RM_Code],$A98,T_StockCount[WeekIndex],28),IF((COUNTIFS(T_SelfStock[RM_Code],$A98,T_SelfStock[WeekIndex],28)&gt;0)*(COUNTIFS(T_TTAFStock[RM_Code],$A98,T_TTAFStock[WeekIndex],28)&gt;0)&gt;0,SUMIFS(T_SelfStock[Self_Qty],T_SelfStock[RM_Code],$A98,T_SelfStock[WeekIndex],28)+SUMIFS(T_TTAFStock[TTAF_Qty],T_TTAFStock[RM_Code],$A98,T_TTAFStock[WeekIndex],28),AB98+'Grid_Incoming'!AC98-'Grid_Requirement'!AC98))</f>
        <v/>
      </c>
      <c r="AD98">
        <f>IF(COUNTIFS(T_StockCount[RM_Code],$A98,T_StockCount[WeekIndex],29)&gt;0,SUMIFS(T_StockCount[CountedQty],T_StockCount[RM_Code],$A98,T_StockCount[WeekIndex],29),IF((COUNTIFS(T_SelfStock[RM_Code],$A98,T_SelfStock[WeekIndex],29)&gt;0)*(COUNTIFS(T_TTAFStock[RM_Code],$A98,T_TTAFStock[WeekIndex],29)&gt;0)&gt;0,SUMIFS(T_SelfStock[Self_Qty],T_SelfStock[RM_Code],$A98,T_SelfStock[WeekIndex],29)+SUMIFS(T_TTAFStock[TTAF_Qty],T_TTAFStock[RM_Code],$A98,T_TTAFStock[WeekIndex],29),AC98+'Grid_Incoming'!AD98-'Grid_Requirement'!AD98))</f>
        <v/>
      </c>
      <c r="AE98">
        <f>IF(COUNTIFS(T_StockCount[RM_Code],$A98,T_StockCount[WeekIndex],30)&gt;0,SUMIFS(T_StockCount[CountedQty],T_StockCount[RM_Code],$A98,T_StockCount[WeekIndex],30),IF((COUNTIFS(T_SelfStock[RM_Code],$A98,T_SelfStock[WeekIndex],30)&gt;0)*(COUNTIFS(T_TTAFStock[RM_Code],$A98,T_TTAFStock[WeekIndex],30)&gt;0)&gt;0,SUMIFS(T_SelfStock[Self_Qty],T_SelfStock[RM_Code],$A98,T_SelfStock[WeekIndex],30)+SUMIFS(T_TTAFStock[TTAF_Qty],T_TTAFStock[RM_Code],$A98,T_TTAFStock[WeekIndex],30),AD98+'Grid_Incoming'!AE98-'Grid_Requirement'!AE98))</f>
        <v/>
      </c>
      <c r="AF98">
        <f>IF(COUNTIFS(T_StockCount[RM_Code],$A98,T_StockCount[WeekIndex],31)&gt;0,SUMIFS(T_StockCount[CountedQty],T_StockCount[RM_Code],$A98,T_StockCount[WeekIndex],31),IF((COUNTIFS(T_SelfStock[RM_Code],$A98,T_SelfStock[WeekIndex],31)&gt;0)*(COUNTIFS(T_TTAFStock[RM_Code],$A98,T_TTAFStock[WeekIndex],31)&gt;0)&gt;0,SUMIFS(T_SelfStock[Self_Qty],T_SelfStock[RM_Code],$A98,T_SelfStock[WeekIndex],31)+SUMIFS(T_TTAFStock[TTAF_Qty],T_TTAFStock[RM_Code],$A98,T_TTAFStock[WeekIndex],31),AE98+'Grid_Incoming'!AF98-'Grid_Requirement'!AF98))</f>
        <v/>
      </c>
      <c r="AG98">
        <f>IF(COUNTIFS(T_StockCount[RM_Code],$A98,T_StockCount[WeekIndex],32)&gt;0,SUMIFS(T_StockCount[CountedQty],T_StockCount[RM_Code],$A98,T_StockCount[WeekIndex],32),IF((COUNTIFS(T_SelfStock[RM_Code],$A98,T_SelfStock[WeekIndex],32)&gt;0)*(COUNTIFS(T_TTAFStock[RM_Code],$A98,T_TTAFStock[WeekIndex],32)&gt;0)&gt;0,SUMIFS(T_SelfStock[Self_Qty],T_SelfStock[RM_Code],$A98,T_SelfStock[WeekIndex],32)+SUMIFS(T_TTAFStock[TTAF_Qty],T_TTAFStock[RM_Code],$A98,T_TTAFStock[WeekIndex],32),AF98+'Grid_Incoming'!AG98-'Grid_Requirement'!AG98))</f>
        <v/>
      </c>
      <c r="AH98">
        <f>IF(COUNTIFS(T_StockCount[RM_Code],$A98,T_StockCount[WeekIndex],33)&gt;0,SUMIFS(T_StockCount[CountedQty],T_StockCount[RM_Code],$A98,T_StockCount[WeekIndex],33),IF((COUNTIFS(T_SelfStock[RM_Code],$A98,T_SelfStock[WeekIndex],33)&gt;0)*(COUNTIFS(T_TTAFStock[RM_Code],$A98,T_TTAFStock[WeekIndex],33)&gt;0)&gt;0,SUMIFS(T_SelfStock[Self_Qty],T_SelfStock[RM_Code],$A98,T_SelfStock[WeekIndex],33)+SUMIFS(T_TTAFStock[TTAF_Qty],T_TTAFStock[RM_Code],$A98,T_TTAFStock[WeekIndex],33),AG98+'Grid_Incoming'!AH98-'Grid_Requirement'!AH98))</f>
        <v/>
      </c>
      <c r="AI98">
        <f>IF(COUNTIFS(T_StockCount[RM_Code],$A98,T_StockCount[WeekIndex],34)&gt;0,SUMIFS(T_StockCount[CountedQty],T_StockCount[RM_Code],$A98,T_StockCount[WeekIndex],34),IF((COUNTIFS(T_SelfStock[RM_Code],$A98,T_SelfStock[WeekIndex],34)&gt;0)*(COUNTIFS(T_TTAFStock[RM_Code],$A98,T_TTAFStock[WeekIndex],34)&gt;0)&gt;0,SUMIFS(T_SelfStock[Self_Qty],T_SelfStock[RM_Code],$A98,T_SelfStock[WeekIndex],34)+SUMIFS(T_TTAFStock[TTAF_Qty],T_TTAFStock[RM_Code],$A98,T_TTAFStock[WeekIndex],34),AH98+'Grid_Incoming'!AI98-'Grid_Requirement'!AI98))</f>
        <v/>
      </c>
      <c r="AJ98">
        <f>IF(COUNTIFS(T_StockCount[RM_Code],$A98,T_StockCount[WeekIndex],35)&gt;0,SUMIFS(T_StockCount[CountedQty],T_StockCount[RM_Code],$A98,T_StockCount[WeekIndex],35),IF((COUNTIFS(T_SelfStock[RM_Code],$A98,T_SelfStock[WeekIndex],35)&gt;0)*(COUNTIFS(T_TTAFStock[RM_Code],$A98,T_TTAFStock[WeekIndex],35)&gt;0)&gt;0,SUMIFS(T_SelfStock[Self_Qty],T_SelfStock[RM_Code],$A98,T_SelfStock[WeekIndex],35)+SUMIFS(T_TTAFStock[TTAF_Qty],T_TTAFStock[RM_Code],$A98,T_TTAFStock[WeekIndex],35),AI98+'Grid_Incoming'!AJ98-'Grid_Requirement'!AJ98))</f>
        <v/>
      </c>
      <c r="AK98">
        <f>IF(COUNTIFS(T_StockCount[RM_Code],$A98,T_StockCount[WeekIndex],36)&gt;0,SUMIFS(T_StockCount[CountedQty],T_StockCount[RM_Code],$A98,T_StockCount[WeekIndex],36),IF((COUNTIFS(T_SelfStock[RM_Code],$A98,T_SelfStock[WeekIndex],36)&gt;0)*(COUNTIFS(T_TTAFStock[RM_Code],$A98,T_TTAFStock[WeekIndex],36)&gt;0)&gt;0,SUMIFS(T_SelfStock[Self_Qty],T_SelfStock[RM_Code],$A98,T_SelfStock[WeekIndex],36)+SUMIFS(T_TTAFStock[TTAF_Qty],T_TTAFStock[RM_Code],$A98,T_TTAFStock[WeekIndex],36),AJ98+'Grid_Incoming'!AK98-'Grid_Requirement'!AK98))</f>
        <v/>
      </c>
      <c r="AL98">
        <f>IF(COUNTIFS(T_StockCount[RM_Code],$A98,T_StockCount[WeekIndex],37)&gt;0,SUMIFS(T_StockCount[CountedQty],T_StockCount[RM_Code],$A98,T_StockCount[WeekIndex],37),IF((COUNTIFS(T_SelfStock[RM_Code],$A98,T_SelfStock[WeekIndex],37)&gt;0)*(COUNTIFS(T_TTAFStock[RM_Code],$A98,T_TTAFStock[WeekIndex],37)&gt;0)&gt;0,SUMIFS(T_SelfStock[Self_Qty],T_SelfStock[RM_Code],$A98,T_SelfStock[WeekIndex],37)+SUMIFS(T_TTAFStock[TTAF_Qty],T_TTAFStock[RM_Code],$A98,T_TTAFStock[WeekIndex],37),AK98+'Grid_Incoming'!AL98-'Grid_Requirement'!AL98))</f>
        <v/>
      </c>
      <c r="AM98">
        <f>IF(COUNTIFS(T_StockCount[RM_Code],$A98,T_StockCount[WeekIndex],38)&gt;0,SUMIFS(T_StockCount[CountedQty],T_StockCount[RM_Code],$A98,T_StockCount[WeekIndex],38),IF((COUNTIFS(T_SelfStock[RM_Code],$A98,T_SelfStock[WeekIndex],38)&gt;0)*(COUNTIFS(T_TTAFStock[RM_Code],$A98,T_TTAFStock[WeekIndex],38)&gt;0)&gt;0,SUMIFS(T_SelfStock[Self_Qty],T_SelfStock[RM_Code],$A98,T_SelfStock[WeekIndex],38)+SUMIFS(T_TTAFStock[TTAF_Qty],T_TTAFStock[RM_Code],$A98,T_TTAFStock[WeekIndex],38),AL98+'Grid_Incoming'!AM98-'Grid_Requirement'!AM98))</f>
        <v/>
      </c>
      <c r="AN98">
        <f>IF(COUNTIFS(T_StockCount[RM_Code],$A98,T_StockCount[WeekIndex],39)&gt;0,SUMIFS(T_StockCount[CountedQty],T_StockCount[RM_Code],$A98,T_StockCount[WeekIndex],39),IF((COUNTIFS(T_SelfStock[RM_Code],$A98,T_SelfStock[WeekIndex],39)&gt;0)*(COUNTIFS(T_TTAFStock[RM_Code],$A98,T_TTAFStock[WeekIndex],39)&gt;0)&gt;0,SUMIFS(T_SelfStock[Self_Qty],T_SelfStock[RM_Code],$A98,T_SelfStock[WeekIndex],39)+SUMIFS(T_TTAFStock[TTAF_Qty],T_TTAFStock[RM_Code],$A98,T_TTAFStock[WeekIndex],39),AM98+'Grid_Incoming'!AN98-'Grid_Requirement'!AN98))</f>
        <v/>
      </c>
      <c r="AO98">
        <f>IF(COUNTIFS(T_StockCount[RM_Code],$A98,T_StockCount[WeekIndex],40)&gt;0,SUMIFS(T_StockCount[CountedQty],T_StockCount[RM_Code],$A98,T_StockCount[WeekIndex],40),IF((COUNTIFS(T_SelfStock[RM_Code],$A98,T_SelfStock[WeekIndex],40)&gt;0)*(COUNTIFS(T_TTAFStock[RM_Code],$A98,T_TTAFStock[WeekIndex],40)&gt;0)&gt;0,SUMIFS(T_SelfStock[Self_Qty],T_SelfStock[RM_Code],$A98,T_SelfStock[WeekIndex],40)+SUMIFS(T_TTAFStock[TTAF_Qty],T_TTAFStock[RM_Code],$A98,T_TTAFStock[WeekIndex],40),AN98+'Grid_Incoming'!AO98-'Grid_Requirement'!AO98))</f>
        <v/>
      </c>
      <c r="AP98">
        <f>IF(COUNTIFS(T_StockCount[RM_Code],$A98,T_StockCount[WeekIndex],41)&gt;0,SUMIFS(T_StockCount[CountedQty],T_StockCount[RM_Code],$A98,T_StockCount[WeekIndex],41),IF((COUNTIFS(T_SelfStock[RM_Code],$A98,T_SelfStock[WeekIndex],41)&gt;0)*(COUNTIFS(T_TTAFStock[RM_Code],$A98,T_TTAFStock[WeekIndex],41)&gt;0)&gt;0,SUMIFS(T_SelfStock[Self_Qty],T_SelfStock[RM_Code],$A98,T_SelfStock[WeekIndex],41)+SUMIFS(T_TTAFStock[TTAF_Qty],T_TTAFStock[RM_Code],$A98,T_TTAFStock[WeekIndex],41),AO98+'Grid_Incoming'!AP98-'Grid_Requirement'!AP98))</f>
        <v/>
      </c>
      <c r="AQ98">
        <f>IF(COUNTIFS(T_StockCount[RM_Code],$A98,T_StockCount[WeekIndex],42)&gt;0,SUMIFS(T_StockCount[CountedQty],T_StockCount[RM_Code],$A98,T_StockCount[WeekIndex],42),IF((COUNTIFS(T_SelfStock[RM_Code],$A98,T_SelfStock[WeekIndex],42)&gt;0)*(COUNTIFS(T_TTAFStock[RM_Code],$A98,T_TTAFStock[WeekIndex],42)&gt;0)&gt;0,SUMIFS(T_SelfStock[Self_Qty],T_SelfStock[RM_Code],$A98,T_SelfStock[WeekIndex],42)+SUMIFS(T_TTAFStock[TTAF_Qty],T_TTAFStock[RM_Code],$A98,T_TTAFStock[WeekIndex],42),AP98+'Grid_Incoming'!AQ98-'Grid_Requirement'!AQ98))</f>
        <v/>
      </c>
      <c r="AR98">
        <f>IF(COUNTIFS(T_StockCount[RM_Code],$A98,T_StockCount[WeekIndex],43)&gt;0,SUMIFS(T_StockCount[CountedQty],T_StockCount[RM_Code],$A98,T_StockCount[WeekIndex],43),IF((COUNTIFS(T_SelfStock[RM_Code],$A98,T_SelfStock[WeekIndex],43)&gt;0)*(COUNTIFS(T_TTAFStock[RM_Code],$A98,T_TTAFStock[WeekIndex],43)&gt;0)&gt;0,SUMIFS(T_SelfStock[Self_Qty],T_SelfStock[RM_Code],$A98,T_SelfStock[WeekIndex],43)+SUMIFS(T_TTAFStock[TTAF_Qty],T_TTAFStock[RM_Code],$A98,T_TTAFStock[WeekIndex],43),AQ98+'Grid_Incoming'!AR98-'Grid_Requirement'!AR98))</f>
        <v/>
      </c>
      <c r="AS98">
        <f>IF(COUNTIFS(T_StockCount[RM_Code],$A98,T_StockCount[WeekIndex],44)&gt;0,SUMIFS(T_StockCount[CountedQty],T_StockCount[RM_Code],$A98,T_StockCount[WeekIndex],44),IF((COUNTIFS(T_SelfStock[RM_Code],$A98,T_SelfStock[WeekIndex],44)&gt;0)*(COUNTIFS(T_TTAFStock[RM_Code],$A98,T_TTAFStock[WeekIndex],44)&gt;0)&gt;0,SUMIFS(T_SelfStock[Self_Qty],T_SelfStock[RM_Code],$A98,T_SelfStock[WeekIndex],44)+SUMIFS(T_TTAFStock[TTAF_Qty],T_TTAFStock[RM_Code],$A98,T_TTAFStock[WeekIndex],44),AR98+'Grid_Incoming'!AS98-'Grid_Requirement'!AS98))</f>
        <v/>
      </c>
      <c r="AT98">
        <f>IF(COUNTIFS(T_StockCount[RM_Code],$A98,T_StockCount[WeekIndex],45)&gt;0,SUMIFS(T_StockCount[CountedQty],T_StockCount[RM_Code],$A98,T_StockCount[WeekIndex],45),IF((COUNTIFS(T_SelfStock[RM_Code],$A98,T_SelfStock[WeekIndex],45)&gt;0)*(COUNTIFS(T_TTAFStock[RM_Code],$A98,T_TTAFStock[WeekIndex],45)&gt;0)&gt;0,SUMIFS(T_SelfStock[Self_Qty],T_SelfStock[RM_Code],$A98,T_SelfStock[WeekIndex],45)+SUMIFS(T_TTAFStock[TTAF_Qty],T_TTAFStock[RM_Code],$A98,T_TTAFStock[WeekIndex],45),AS98+'Grid_Incoming'!AT98-'Grid_Requirement'!AT98))</f>
        <v/>
      </c>
      <c r="AU98">
        <f>IF(COUNTIFS(T_StockCount[RM_Code],$A98,T_StockCount[WeekIndex],46)&gt;0,SUMIFS(T_StockCount[CountedQty],T_StockCount[RM_Code],$A98,T_StockCount[WeekIndex],46),IF((COUNTIFS(T_SelfStock[RM_Code],$A98,T_SelfStock[WeekIndex],46)&gt;0)*(COUNTIFS(T_TTAFStock[RM_Code],$A98,T_TTAFStock[WeekIndex],46)&gt;0)&gt;0,SUMIFS(T_SelfStock[Self_Qty],T_SelfStock[RM_Code],$A98,T_SelfStock[WeekIndex],46)+SUMIFS(T_TTAFStock[TTAF_Qty],T_TTAFStock[RM_Code],$A98,T_TTAFStock[WeekIndex],46),AT98+'Grid_Incoming'!AU98-'Grid_Requirement'!AU98))</f>
        <v/>
      </c>
      <c r="AV98">
        <f>IF(COUNTIFS(T_StockCount[RM_Code],$A98,T_StockCount[WeekIndex],47)&gt;0,SUMIFS(T_StockCount[CountedQty],T_StockCount[RM_Code],$A98,T_StockCount[WeekIndex],47),IF((COUNTIFS(T_SelfStock[RM_Code],$A98,T_SelfStock[WeekIndex],47)&gt;0)*(COUNTIFS(T_TTAFStock[RM_Code],$A98,T_TTAFStock[WeekIndex],47)&gt;0)&gt;0,SUMIFS(T_SelfStock[Self_Qty],T_SelfStock[RM_Code],$A98,T_SelfStock[WeekIndex],47)+SUMIFS(T_TTAFStock[TTAF_Qty],T_TTAFStock[RM_Code],$A98,T_TTAFStock[WeekIndex],47),AU98+'Grid_Incoming'!AV98-'Grid_Requirement'!AV98))</f>
        <v/>
      </c>
      <c r="AW98">
        <f>IF(COUNTIFS(T_StockCount[RM_Code],$A98,T_StockCount[WeekIndex],48)&gt;0,SUMIFS(T_StockCount[CountedQty],T_StockCount[RM_Code],$A98,T_StockCount[WeekIndex],48),IF((COUNTIFS(T_SelfStock[RM_Code],$A98,T_SelfStock[WeekIndex],48)&gt;0)*(COUNTIFS(T_TTAFStock[RM_Code],$A98,T_TTAFStock[WeekIndex],48)&gt;0)&gt;0,SUMIFS(T_SelfStock[Self_Qty],T_SelfStock[RM_Code],$A98,T_SelfStock[WeekIndex],48)+SUMIFS(T_TTAFStock[TTAF_Qty],T_TTAFStock[RM_Code],$A98,T_TTAFStock[WeekIndex],48),AV98+'Grid_Incoming'!AW98-'Grid_Requirement'!AW98))</f>
        <v/>
      </c>
      <c r="AX98">
        <f>IF(COUNTIFS(T_StockCount[RM_Code],$A98,T_StockCount[WeekIndex],49)&gt;0,SUMIFS(T_StockCount[CountedQty],T_StockCount[RM_Code],$A98,T_StockCount[WeekIndex],49),IF((COUNTIFS(T_SelfStock[RM_Code],$A98,T_SelfStock[WeekIndex],49)&gt;0)*(COUNTIFS(T_TTAFStock[RM_Code],$A98,T_TTAFStock[WeekIndex],49)&gt;0)&gt;0,SUMIFS(T_SelfStock[Self_Qty],T_SelfStock[RM_Code],$A98,T_SelfStock[WeekIndex],49)+SUMIFS(T_TTAFStock[TTAF_Qty],T_TTAFStock[RM_Code],$A98,T_TTAFStock[WeekIndex],49),AW98+'Grid_Incoming'!AX98-'Grid_Requirement'!AX98))</f>
        <v/>
      </c>
      <c r="AY98">
        <f>IF(COUNTIFS(T_StockCount[RM_Code],$A98,T_StockCount[WeekIndex],50)&gt;0,SUMIFS(T_StockCount[CountedQty],T_StockCount[RM_Code],$A98,T_StockCount[WeekIndex],50),IF((COUNTIFS(T_SelfStock[RM_Code],$A98,T_SelfStock[WeekIndex],50)&gt;0)*(COUNTIFS(T_TTAFStock[RM_Code],$A98,T_TTAFStock[WeekIndex],50)&gt;0)&gt;0,SUMIFS(T_SelfStock[Self_Qty],T_SelfStock[RM_Code],$A98,T_SelfStock[WeekIndex],50)+SUMIFS(T_TTAFStock[TTAF_Qty],T_TTAFStock[RM_Code],$A98,T_TTAFStock[WeekIndex],50),AX98+'Grid_Incoming'!AY98-'Grid_Requirement'!AY98))</f>
        <v/>
      </c>
      <c r="AZ98">
        <f>IF(COUNTIFS(T_StockCount[RM_Code],$A98,T_StockCount[WeekIndex],51)&gt;0,SUMIFS(T_StockCount[CountedQty],T_StockCount[RM_Code],$A98,T_StockCount[WeekIndex],51),IF((COUNTIFS(T_SelfStock[RM_Code],$A98,T_SelfStock[WeekIndex],51)&gt;0)*(COUNTIFS(T_TTAFStock[RM_Code],$A98,T_TTAFStock[WeekIndex],51)&gt;0)&gt;0,SUMIFS(T_SelfStock[Self_Qty],T_SelfStock[RM_Code],$A98,T_SelfStock[WeekIndex],51)+SUMIFS(T_TTAFStock[TTAF_Qty],T_TTAFStock[RM_Code],$A98,T_TTAFStock[WeekIndex],51),AY98+'Grid_Incoming'!AZ98-'Grid_Requirement'!AZ98))</f>
        <v/>
      </c>
      <c r="BA98">
        <f>IF(COUNTIFS(T_StockCount[RM_Code],$A98,T_StockCount[WeekIndex],52)&gt;0,SUMIFS(T_StockCount[CountedQty],T_StockCount[RM_Code],$A98,T_StockCount[WeekIndex],52),IF((COUNTIFS(T_SelfStock[RM_Code],$A98,T_SelfStock[WeekIndex],52)&gt;0)*(COUNTIFS(T_TTAFStock[RM_Code],$A98,T_TTAFStock[WeekIndex],52)&gt;0)&gt;0,SUMIFS(T_SelfStock[Self_Qty],T_SelfStock[RM_Code],$A98,T_SelfStock[WeekIndex],52)+SUMIFS(T_TTAFStock[TTAF_Qty],T_TTAFStock[RM_Code],$A98,T_TTAFStock[WeekIndex],52),AZ98+'Grid_Incoming'!BA98-'Grid_Requirement'!BA98))</f>
        <v/>
      </c>
      <c r="BB98">
        <f>IF(COUNTIFS(T_StockCount[RM_Code],$A98,T_StockCount[WeekIndex],53)&gt;0,SUMIFS(T_StockCount[CountedQty],T_StockCount[RM_Code],$A98,T_StockCount[WeekIndex],53),IF((COUNTIFS(T_SelfStock[RM_Code],$A98,T_SelfStock[WeekIndex],53)&gt;0)*(COUNTIFS(T_TTAFStock[RM_Code],$A98,T_TTAFStock[WeekIndex],53)&gt;0)&gt;0,SUMIFS(T_SelfStock[Self_Qty],T_SelfStock[RM_Code],$A98,T_SelfStock[WeekIndex],53)+SUMIFS(T_TTAFStock[TTAF_Qty],T_TTAFStock[RM_Code],$A98,T_TTAFStock[WeekIndex],53),BA98+'Grid_Incoming'!BB98-'Grid_Requirement'!BB98))</f>
        <v/>
      </c>
      <c r="BC98">
        <f>IF(COUNTIFS(T_StockCount[RM_Code],$A98,T_StockCount[WeekIndex],54)&gt;0,SUMIFS(T_StockCount[CountedQty],T_StockCount[RM_Code],$A98,T_StockCount[WeekIndex],54),IF((COUNTIFS(T_SelfStock[RM_Code],$A98,T_SelfStock[WeekIndex],54)&gt;0)*(COUNTIFS(T_TTAFStock[RM_Code],$A98,T_TTAFStock[WeekIndex],54)&gt;0)&gt;0,SUMIFS(T_SelfStock[Self_Qty],T_SelfStock[RM_Code],$A98,T_SelfStock[WeekIndex],54)+SUMIFS(T_TTAFStock[TTAF_Qty],T_TTAFStock[RM_Code],$A98,T_TTAFStock[WeekIndex],54),BB98+'Grid_Incoming'!BC98-'Grid_Requirement'!BC98))</f>
        <v/>
      </c>
      <c r="BD98">
        <f>IF(COUNTIFS(T_StockCount[RM_Code],$A98,T_StockCount[WeekIndex],55)&gt;0,SUMIFS(T_StockCount[CountedQty],T_StockCount[RM_Code],$A98,T_StockCount[WeekIndex],55),IF((COUNTIFS(T_SelfStock[RM_Code],$A98,T_SelfStock[WeekIndex],55)&gt;0)*(COUNTIFS(T_TTAFStock[RM_Code],$A98,T_TTAFStock[WeekIndex],55)&gt;0)&gt;0,SUMIFS(T_SelfStock[Self_Qty],T_SelfStock[RM_Code],$A98,T_SelfStock[WeekIndex],55)+SUMIFS(T_TTAFStock[TTAF_Qty],T_TTAFStock[RM_Code],$A98,T_TTAFStock[WeekIndex],55),BC98+'Grid_Incoming'!BD98-'Grid_Requirement'!BD98))</f>
        <v/>
      </c>
      <c r="BE98">
        <f>IF(COUNTIFS(T_StockCount[RM_Code],$A98,T_StockCount[WeekIndex],56)&gt;0,SUMIFS(T_StockCount[CountedQty],T_StockCount[RM_Code],$A98,T_StockCount[WeekIndex],56),IF((COUNTIFS(T_SelfStock[RM_Code],$A98,T_SelfStock[WeekIndex],56)&gt;0)*(COUNTIFS(T_TTAFStock[RM_Code],$A98,T_TTAFStock[WeekIndex],56)&gt;0)&gt;0,SUMIFS(T_SelfStock[Self_Qty],T_SelfStock[RM_Code],$A98,T_SelfStock[WeekIndex],56)+SUMIFS(T_TTAFStock[TTAF_Qty],T_TTAFStock[RM_Code],$A98,T_TTAFStock[WeekIndex],56),BD98+'Grid_Incoming'!BE98-'Grid_Requirement'!BE98))</f>
        <v/>
      </c>
      <c r="BF98">
        <f>IF(COUNTIFS(T_StockCount[RM_Code],$A98,T_StockCount[WeekIndex],57)&gt;0,SUMIFS(T_StockCount[CountedQty],T_StockCount[RM_Code],$A98,T_StockCount[WeekIndex],57),IF((COUNTIFS(T_SelfStock[RM_Code],$A98,T_SelfStock[WeekIndex],57)&gt;0)*(COUNTIFS(T_TTAFStock[RM_Code],$A98,T_TTAFStock[WeekIndex],57)&gt;0)&gt;0,SUMIFS(T_SelfStock[Self_Qty],T_SelfStock[RM_Code],$A98,T_SelfStock[WeekIndex],57)+SUMIFS(T_TTAFStock[TTAF_Qty],T_TTAFStock[RM_Code],$A98,T_TTAFStock[WeekIndex],57),BE98+'Grid_Incoming'!BF98-'Grid_Requirement'!BF98))</f>
        <v/>
      </c>
      <c r="BG98">
        <f>IF(COUNTIFS(T_StockCount[RM_Code],$A98,T_StockCount[WeekIndex],58)&gt;0,SUMIFS(T_StockCount[CountedQty],T_StockCount[RM_Code],$A98,T_StockCount[WeekIndex],58),IF((COUNTIFS(T_SelfStock[RM_Code],$A98,T_SelfStock[WeekIndex],58)&gt;0)*(COUNTIFS(T_TTAFStock[RM_Code],$A98,T_TTAFStock[WeekIndex],58)&gt;0)&gt;0,SUMIFS(T_SelfStock[Self_Qty],T_SelfStock[RM_Code],$A98,T_SelfStock[WeekIndex],58)+SUMIFS(T_TTAFStock[TTAF_Qty],T_TTAFStock[RM_Code],$A98,T_TTAFStock[WeekIndex],58),BF98+'Grid_Incoming'!BG98-'Grid_Requirement'!BG98))</f>
        <v/>
      </c>
      <c r="BH98">
        <f>IF(COUNTIFS(T_StockCount[RM_Code],$A98,T_StockCount[WeekIndex],59)&gt;0,SUMIFS(T_StockCount[CountedQty],T_StockCount[RM_Code],$A98,T_StockCount[WeekIndex],59),IF((COUNTIFS(T_SelfStock[RM_Code],$A98,T_SelfStock[WeekIndex],59)&gt;0)*(COUNTIFS(T_TTAFStock[RM_Code],$A98,T_TTAFStock[WeekIndex],59)&gt;0)&gt;0,SUMIFS(T_SelfStock[Self_Qty],T_SelfStock[RM_Code],$A98,T_SelfStock[WeekIndex],59)+SUMIFS(T_TTAFStock[TTAF_Qty],T_TTAFStock[RM_Code],$A98,T_TTAFStock[WeekIndex],59),BG98+'Grid_Incoming'!BH98-'Grid_Requirement'!BH98))</f>
        <v/>
      </c>
      <c r="BI98">
        <f>IF(COUNTIFS(T_StockCount[RM_Code],$A98,T_StockCount[WeekIndex],60)&gt;0,SUMIFS(T_StockCount[CountedQty],T_StockCount[RM_Code],$A98,T_StockCount[WeekIndex],60),IF((COUNTIFS(T_SelfStock[RM_Code],$A98,T_SelfStock[WeekIndex],60)&gt;0)*(COUNTIFS(T_TTAFStock[RM_Code],$A98,T_TTAFStock[WeekIndex],60)&gt;0)&gt;0,SUMIFS(T_SelfStock[Self_Qty],T_SelfStock[RM_Code],$A98,T_SelfStock[WeekIndex],60)+SUMIFS(T_TTAFStock[TTAF_Qty],T_TTAFStock[RM_Code],$A98,T_TTAFStock[WeekIndex],60),BH98+'Grid_Incoming'!BI98-'Grid_Requirement'!BI98))</f>
        <v/>
      </c>
      <c r="BJ98">
        <f>IF(COUNTIFS(T_StockCount[RM_Code],$A98,T_StockCount[WeekIndex],61)&gt;0,SUMIFS(T_StockCount[CountedQty],T_StockCount[RM_Code],$A98,T_StockCount[WeekIndex],61),IF((COUNTIFS(T_SelfStock[RM_Code],$A98,T_SelfStock[WeekIndex],61)&gt;0)*(COUNTIFS(T_TTAFStock[RM_Code],$A98,T_TTAFStock[WeekIndex],61)&gt;0)&gt;0,SUMIFS(T_SelfStock[Self_Qty],T_SelfStock[RM_Code],$A98,T_SelfStock[WeekIndex],61)+SUMIFS(T_TTAFStock[TTAF_Qty],T_TTAFStock[RM_Code],$A98,T_TTAFStock[WeekIndex],61),BI98+'Grid_Incoming'!BJ98-'Grid_Requirement'!BJ98))</f>
        <v/>
      </c>
      <c r="BK98">
        <f>IF(COUNTIFS(T_StockCount[RM_Code],$A98,T_StockCount[WeekIndex],62)&gt;0,SUMIFS(T_StockCount[CountedQty],T_StockCount[RM_Code],$A98,T_StockCount[WeekIndex],62),IF((COUNTIFS(T_SelfStock[RM_Code],$A98,T_SelfStock[WeekIndex],62)&gt;0)*(COUNTIFS(T_TTAFStock[RM_Code],$A98,T_TTAFStock[WeekIndex],62)&gt;0)&gt;0,SUMIFS(T_SelfStock[Self_Qty],T_SelfStock[RM_Code],$A98,T_SelfStock[WeekIndex],62)+SUMIFS(T_TTAFStock[TTAF_Qty],T_TTAFStock[RM_Code],$A98,T_TTAFStock[WeekIndex],62),BJ98+'Grid_Incoming'!BK98-'Grid_Requirement'!BK98))</f>
        <v/>
      </c>
      <c r="BL98">
        <f>IF(COUNTIFS(T_StockCount[RM_Code],$A98,T_StockCount[WeekIndex],63)&gt;0,SUMIFS(T_StockCount[CountedQty],T_StockCount[RM_Code],$A98,T_StockCount[WeekIndex],63),IF((COUNTIFS(T_SelfStock[RM_Code],$A98,T_SelfStock[WeekIndex],63)&gt;0)*(COUNTIFS(T_TTAFStock[RM_Code],$A98,T_TTAFStock[WeekIndex],63)&gt;0)&gt;0,SUMIFS(T_SelfStock[Self_Qty],T_SelfStock[RM_Code],$A98,T_SelfStock[WeekIndex],63)+SUMIFS(T_TTAFStock[TTAF_Qty],T_TTAFStock[RM_Code],$A98,T_TTAFStock[WeekIndex],63),BK98+'Grid_Incoming'!BL98-'Grid_Requirement'!BL98))</f>
        <v/>
      </c>
      <c r="BM98">
        <f>IF(COUNTIFS(T_StockCount[RM_Code],$A98,T_StockCount[WeekIndex],64)&gt;0,SUMIFS(T_StockCount[CountedQty],T_StockCount[RM_Code],$A98,T_StockCount[WeekIndex],64),IF((COUNTIFS(T_SelfStock[RM_Code],$A98,T_SelfStock[WeekIndex],64)&gt;0)*(COUNTIFS(T_TTAFStock[RM_Code],$A98,T_TTAFStock[WeekIndex],64)&gt;0)&gt;0,SUMIFS(T_SelfStock[Self_Qty],T_SelfStock[RM_Code],$A98,T_SelfStock[WeekIndex],64)+SUMIFS(T_TTAFStock[TTAF_Qty],T_TTAFStock[RM_Code],$A98,T_TTAFStock[WeekIndex],64),BL98+'Grid_Incoming'!BM98-'Grid_Requirement'!BM98))</f>
        <v/>
      </c>
      <c r="BN98">
        <f>IF(COUNTIFS(T_StockCount[RM_Code],$A98,T_StockCount[WeekIndex],65)&gt;0,SUMIFS(T_StockCount[CountedQty],T_StockCount[RM_Code],$A98,T_StockCount[WeekIndex],65),IF((COUNTIFS(T_SelfStock[RM_Code],$A98,T_SelfStock[WeekIndex],65)&gt;0)*(COUNTIFS(T_TTAFStock[RM_Code],$A98,T_TTAFStock[WeekIndex],65)&gt;0)&gt;0,SUMIFS(T_SelfStock[Self_Qty],T_SelfStock[RM_Code],$A98,T_SelfStock[WeekIndex],65)+SUMIFS(T_TTAFStock[TTAF_Qty],T_TTAFStock[RM_Code],$A98,T_TTAFStock[WeekIndex],65),BM98+'Grid_Incoming'!BN98-'Grid_Requirement'!BN98))</f>
        <v/>
      </c>
      <c r="BO98">
        <f>IF(COUNTIFS(T_StockCount[RM_Code],$A98,T_StockCount[WeekIndex],66)&gt;0,SUMIFS(T_StockCount[CountedQty],T_StockCount[RM_Code],$A98,T_StockCount[WeekIndex],66),IF((COUNTIFS(T_SelfStock[RM_Code],$A98,T_SelfStock[WeekIndex],66)&gt;0)*(COUNTIFS(T_TTAFStock[RM_Code],$A98,T_TTAFStock[WeekIndex],66)&gt;0)&gt;0,SUMIFS(T_SelfStock[Self_Qty],T_SelfStock[RM_Code],$A98,T_SelfStock[WeekIndex],66)+SUMIFS(T_TTAFStock[TTAF_Qty],T_TTAFStock[RM_Code],$A98,T_TTAFStock[WeekIndex],66),BN98+'Grid_Incoming'!BO98-'Grid_Requirement'!BO98))</f>
        <v/>
      </c>
      <c r="BP98">
        <f>IF(COUNTIFS(T_StockCount[RM_Code],$A98,T_StockCount[WeekIndex],67)&gt;0,SUMIFS(T_StockCount[CountedQty],T_StockCount[RM_Code],$A98,T_StockCount[WeekIndex],67),IF((COUNTIFS(T_SelfStock[RM_Code],$A98,T_SelfStock[WeekIndex],67)&gt;0)*(COUNTIFS(T_TTAFStock[RM_Code],$A98,T_TTAFStock[WeekIndex],67)&gt;0)&gt;0,SUMIFS(T_SelfStock[Self_Qty],T_SelfStock[RM_Code],$A98,T_SelfStock[WeekIndex],67)+SUMIFS(T_TTAFStock[TTAF_Qty],T_TTAFStock[RM_Code],$A98,T_TTAFStock[WeekIndex],67),BO98+'Grid_Incoming'!BP98-'Grid_Requirement'!BP98))</f>
        <v/>
      </c>
      <c r="BQ98">
        <f>IF(COUNTIFS(T_StockCount[RM_Code],$A98,T_StockCount[WeekIndex],68)&gt;0,SUMIFS(T_StockCount[CountedQty],T_StockCount[RM_Code],$A98,T_StockCount[WeekIndex],68),IF((COUNTIFS(T_SelfStock[RM_Code],$A98,T_SelfStock[WeekIndex],68)&gt;0)*(COUNTIFS(T_TTAFStock[RM_Code],$A98,T_TTAFStock[WeekIndex],68)&gt;0)&gt;0,SUMIFS(T_SelfStock[Self_Qty],T_SelfStock[RM_Code],$A98,T_SelfStock[WeekIndex],68)+SUMIFS(T_TTAFStock[TTAF_Qty],T_TTAFStock[RM_Code],$A98,T_TTAFStock[WeekIndex],68),BP98+'Grid_Incoming'!BQ98-'Grid_Requirement'!BQ98))</f>
        <v/>
      </c>
      <c r="BR98">
        <f>IF(COUNTIFS(T_StockCount[RM_Code],$A98,T_StockCount[WeekIndex],69)&gt;0,SUMIFS(T_StockCount[CountedQty],T_StockCount[RM_Code],$A98,T_StockCount[WeekIndex],69),IF((COUNTIFS(T_SelfStock[RM_Code],$A98,T_SelfStock[WeekIndex],69)&gt;0)*(COUNTIFS(T_TTAFStock[RM_Code],$A98,T_TTAFStock[WeekIndex],69)&gt;0)&gt;0,SUMIFS(T_SelfStock[Self_Qty],T_SelfStock[RM_Code],$A98,T_SelfStock[WeekIndex],69)+SUMIFS(T_TTAFStock[TTAF_Qty],T_TTAFStock[RM_Code],$A98,T_TTAFStock[WeekIndex],69),BQ98+'Grid_Incoming'!BR98-'Grid_Requirement'!BR98))</f>
        <v/>
      </c>
      <c r="BS98">
        <f>IF(COUNTIFS(T_StockCount[RM_Code],$A98,T_StockCount[WeekIndex],70)&gt;0,SUMIFS(T_StockCount[CountedQty],T_StockCount[RM_Code],$A98,T_StockCount[WeekIndex],70),IF((COUNTIFS(T_SelfStock[RM_Code],$A98,T_SelfStock[WeekIndex],70)&gt;0)*(COUNTIFS(T_TTAFStock[RM_Code],$A98,T_TTAFStock[WeekIndex],70)&gt;0)&gt;0,SUMIFS(T_SelfStock[Self_Qty],T_SelfStock[RM_Code],$A98,T_SelfStock[WeekIndex],70)+SUMIFS(T_TTAFStock[TTAF_Qty],T_TTAFStock[RM_Code],$A98,T_TTAFStock[WeekIndex],70),BR98+'Grid_Incoming'!BS98-'Grid_Requirement'!BS98))</f>
        <v/>
      </c>
      <c r="BT98">
        <f>IF(COUNTIFS(T_StockCount[RM_Code],$A98,T_StockCount[WeekIndex],71)&gt;0,SUMIFS(T_StockCount[CountedQty],T_StockCount[RM_Code],$A98,T_StockCount[WeekIndex],71),IF((COUNTIFS(T_SelfStock[RM_Code],$A98,T_SelfStock[WeekIndex],71)&gt;0)*(COUNTIFS(T_TTAFStock[RM_Code],$A98,T_TTAFStock[WeekIndex],71)&gt;0)&gt;0,SUMIFS(T_SelfStock[Self_Qty],T_SelfStock[RM_Code],$A98,T_SelfStock[WeekIndex],71)+SUMIFS(T_TTAFStock[TTAF_Qty],T_TTAFStock[RM_Code],$A98,T_TTAFStock[WeekIndex],71),BS98+'Grid_Incoming'!BT98-'Grid_Requirement'!BT98))</f>
        <v/>
      </c>
      <c r="BU98">
        <f>IF(COUNTIFS(T_StockCount[RM_Code],$A98,T_StockCount[WeekIndex],72)&gt;0,SUMIFS(T_StockCount[CountedQty],T_StockCount[RM_Code],$A98,T_StockCount[WeekIndex],72),IF((COUNTIFS(T_SelfStock[RM_Code],$A98,T_SelfStock[WeekIndex],72)&gt;0)*(COUNTIFS(T_TTAFStock[RM_Code],$A98,T_TTAFStock[WeekIndex],72)&gt;0)&gt;0,SUMIFS(T_SelfStock[Self_Qty],T_SelfStock[RM_Code],$A98,T_SelfStock[WeekIndex],72)+SUMIFS(T_TTAFStock[TTAF_Qty],T_TTAFStock[RM_Code],$A98,T_TTAFStock[WeekIndex],72),BT98+'Grid_Incoming'!BU98-'Grid_Requirement'!BU98))</f>
        <v/>
      </c>
      <c r="BV98">
        <f>IF(COUNTIFS(T_StockCount[RM_Code],$A98,T_StockCount[WeekIndex],73)&gt;0,SUMIFS(T_StockCount[CountedQty],T_StockCount[RM_Code],$A98,T_StockCount[WeekIndex],73),IF((COUNTIFS(T_SelfStock[RM_Code],$A98,T_SelfStock[WeekIndex],73)&gt;0)*(COUNTIFS(T_TTAFStock[RM_Code],$A98,T_TTAFStock[WeekIndex],73)&gt;0)&gt;0,SUMIFS(T_SelfStock[Self_Qty],T_SelfStock[RM_Code],$A98,T_SelfStock[WeekIndex],73)+SUMIFS(T_TTAFStock[TTAF_Qty],T_TTAFStock[RM_Code],$A98,T_TTAFStock[WeekIndex],73),BU98+'Grid_Incoming'!BV98-'Grid_Requirement'!BV98))</f>
        <v/>
      </c>
      <c r="BW98">
        <f>IF(COUNTIFS(T_StockCount[RM_Code],$A98,T_StockCount[WeekIndex],74)&gt;0,SUMIFS(T_StockCount[CountedQty],T_StockCount[RM_Code],$A98,T_StockCount[WeekIndex],74),IF((COUNTIFS(T_SelfStock[RM_Code],$A98,T_SelfStock[WeekIndex],74)&gt;0)*(COUNTIFS(T_TTAFStock[RM_Code],$A98,T_TTAFStock[WeekIndex],74)&gt;0)&gt;0,SUMIFS(T_SelfStock[Self_Qty],T_SelfStock[RM_Code],$A98,T_SelfStock[WeekIndex],74)+SUMIFS(T_TTAFStock[TTAF_Qty],T_TTAFStock[RM_Code],$A98,T_TTAFStock[WeekIndex],74),BV98+'Grid_Incoming'!BW98-'Grid_Requirement'!BW98))</f>
        <v/>
      </c>
      <c r="BX98">
        <f>IF(COUNTIFS(T_StockCount[RM_Code],$A98,T_StockCount[WeekIndex],75)&gt;0,SUMIFS(T_StockCount[CountedQty],T_StockCount[RM_Code],$A98,T_StockCount[WeekIndex],75),IF((COUNTIFS(T_SelfStock[RM_Code],$A98,T_SelfStock[WeekIndex],75)&gt;0)*(COUNTIFS(T_TTAFStock[RM_Code],$A98,T_TTAFStock[WeekIndex],75)&gt;0)&gt;0,SUMIFS(T_SelfStock[Self_Qty],T_SelfStock[RM_Code],$A98,T_SelfStock[WeekIndex],75)+SUMIFS(T_TTAFStock[TTAF_Qty],T_TTAFStock[RM_Code],$A98,T_TTAFStock[WeekIndex],75),BW98+'Grid_Incoming'!BX98-'Grid_Requirement'!BX98))</f>
        <v/>
      </c>
      <c r="BY98">
        <f>IF(COUNTIFS(T_StockCount[RM_Code],$A98,T_StockCount[WeekIndex],76)&gt;0,SUMIFS(T_StockCount[CountedQty],T_StockCount[RM_Code],$A98,T_StockCount[WeekIndex],76),IF((COUNTIFS(T_SelfStock[RM_Code],$A98,T_SelfStock[WeekIndex],76)&gt;0)*(COUNTIFS(T_TTAFStock[RM_Code],$A98,T_TTAFStock[WeekIndex],76)&gt;0)&gt;0,SUMIFS(T_SelfStock[Self_Qty],T_SelfStock[RM_Code],$A98,T_SelfStock[WeekIndex],76)+SUMIFS(T_TTAFStock[TTAF_Qty],T_TTAFStock[RM_Code],$A98,T_TTAFStock[WeekIndex],76),BX98+'Grid_Incoming'!BY98-'Grid_Requirement'!BY98))</f>
        <v/>
      </c>
      <c r="BZ98">
        <f>IF(COUNTIFS(T_StockCount[RM_Code],$A98,T_StockCount[WeekIndex],77)&gt;0,SUMIFS(T_StockCount[CountedQty],T_StockCount[RM_Code],$A98,T_StockCount[WeekIndex],77),IF((COUNTIFS(T_SelfStock[RM_Code],$A98,T_SelfStock[WeekIndex],77)&gt;0)*(COUNTIFS(T_TTAFStock[RM_Code],$A98,T_TTAFStock[WeekIndex],77)&gt;0)&gt;0,SUMIFS(T_SelfStock[Self_Qty],T_SelfStock[RM_Code],$A98,T_SelfStock[WeekIndex],77)+SUMIFS(T_TTAFStock[TTAF_Qty],T_TTAFStock[RM_Code],$A98,T_TTAFStock[WeekIndex],77),BY98+'Grid_Incoming'!BZ98-'Grid_Requirement'!BZ98))</f>
        <v/>
      </c>
      <c r="CA98">
        <f>IF(COUNTIFS(T_StockCount[RM_Code],$A98,T_StockCount[WeekIndex],78)&gt;0,SUMIFS(T_StockCount[CountedQty],T_StockCount[RM_Code],$A98,T_StockCount[WeekIndex],78),IF((COUNTIFS(T_SelfStock[RM_Code],$A98,T_SelfStock[WeekIndex],78)&gt;0)*(COUNTIFS(T_TTAFStock[RM_Code],$A98,T_TTAFStock[WeekIndex],78)&gt;0)&gt;0,SUMIFS(T_SelfStock[Self_Qty],T_SelfStock[RM_Code],$A98,T_SelfStock[WeekIndex],78)+SUMIFS(T_TTAFStock[TTAF_Qty],T_TTAFStock[RM_Code],$A98,T_TTAFStock[WeekIndex],78),BZ98+'Grid_Incoming'!CA98-'Grid_Requirement'!CA98))</f>
        <v/>
      </c>
      <c r="CB98">
        <f>IF(COUNTIFS(T_StockCount[RM_Code],$A98,T_StockCount[WeekIndex],79)&gt;0,SUMIFS(T_StockCount[CountedQty],T_StockCount[RM_Code],$A98,T_StockCount[WeekIndex],79),IF((COUNTIFS(T_SelfStock[RM_Code],$A98,T_SelfStock[WeekIndex],79)&gt;0)*(COUNTIFS(T_TTAFStock[RM_Code],$A98,T_TTAFStock[WeekIndex],79)&gt;0)&gt;0,SUMIFS(T_SelfStock[Self_Qty],T_SelfStock[RM_Code],$A98,T_SelfStock[WeekIndex],79)+SUMIFS(T_TTAFStock[TTAF_Qty],T_TTAFStock[RM_Code],$A98,T_TTAFStock[WeekIndex],79),CA98+'Grid_Incoming'!CB98-'Grid_Requirement'!CB98))</f>
        <v/>
      </c>
      <c r="CC98">
        <f>IF(COUNTIFS(T_StockCount[RM_Code],$A98,T_StockCount[WeekIndex],80)&gt;0,SUMIFS(T_StockCount[CountedQty],T_StockCount[RM_Code],$A98,T_StockCount[WeekIndex],80),IF((COUNTIFS(T_SelfStock[RM_Code],$A98,T_SelfStock[WeekIndex],80)&gt;0)*(COUNTIFS(T_TTAFStock[RM_Code],$A98,T_TTAFStock[WeekIndex],80)&gt;0)&gt;0,SUMIFS(T_SelfStock[Self_Qty],T_SelfStock[RM_Code],$A98,T_SelfStock[WeekIndex],80)+SUMIFS(T_TTAFStock[TTAF_Qty],T_TTAFStock[RM_Code],$A98,T_TTAFStock[WeekIndex],80),CB98+'Grid_Incoming'!CC98-'Grid_Requirement'!CC98))</f>
        <v/>
      </c>
      <c r="CD98">
        <f>IF(COUNTIFS(T_StockCount[RM_Code],$A98,T_StockCount[WeekIndex],81)&gt;0,SUMIFS(T_StockCount[CountedQty],T_StockCount[RM_Code],$A98,T_StockCount[WeekIndex],81),IF((COUNTIFS(T_SelfStock[RM_Code],$A98,T_SelfStock[WeekIndex],81)&gt;0)*(COUNTIFS(T_TTAFStock[RM_Code],$A98,T_TTAFStock[WeekIndex],81)&gt;0)&gt;0,SUMIFS(T_SelfStock[Self_Qty],T_SelfStock[RM_Code],$A98,T_SelfStock[WeekIndex],81)+SUMIFS(T_TTAFStock[TTAF_Qty],T_TTAFStock[RM_Code],$A98,T_TTAFStock[WeekIndex],81),CC98+'Grid_Incoming'!CD98-'Grid_Requirement'!CD98))</f>
        <v/>
      </c>
      <c r="CE98">
        <f>IF(COUNTIFS(T_StockCount[RM_Code],$A98,T_StockCount[WeekIndex],82)&gt;0,SUMIFS(T_StockCount[CountedQty],T_StockCount[RM_Code],$A98,T_StockCount[WeekIndex],82),IF((COUNTIFS(T_SelfStock[RM_Code],$A98,T_SelfStock[WeekIndex],82)&gt;0)*(COUNTIFS(T_TTAFStock[RM_Code],$A98,T_TTAFStock[WeekIndex],82)&gt;0)&gt;0,SUMIFS(T_SelfStock[Self_Qty],T_SelfStock[RM_Code],$A98,T_SelfStock[WeekIndex],82)+SUMIFS(T_TTAFStock[TTAF_Qty],T_TTAFStock[RM_Code],$A98,T_TTAFStock[WeekIndex],82),CD98+'Grid_Incoming'!CE98-'Grid_Requirement'!CE98))</f>
        <v/>
      </c>
      <c r="CF98">
        <f>IF(COUNTIFS(T_StockCount[RM_Code],$A98,T_StockCount[WeekIndex],83)&gt;0,SUMIFS(T_StockCount[CountedQty],T_StockCount[RM_Code],$A98,T_StockCount[WeekIndex],83),IF((COUNTIFS(T_SelfStock[RM_Code],$A98,T_SelfStock[WeekIndex],83)&gt;0)*(COUNTIFS(T_TTAFStock[RM_Code],$A98,T_TTAFStock[WeekIndex],83)&gt;0)&gt;0,SUMIFS(T_SelfStock[Self_Qty],T_SelfStock[RM_Code],$A98,T_SelfStock[WeekIndex],83)+SUMIFS(T_TTAFStock[TTAF_Qty],T_TTAFStock[RM_Code],$A98,T_TTAFStock[WeekIndex],83),CE98+'Grid_Incoming'!CF98-'Grid_Requirement'!CF98))</f>
        <v/>
      </c>
      <c r="CG98">
        <f>IF(COUNTIFS(T_StockCount[RM_Code],$A98,T_StockCount[WeekIndex],84)&gt;0,SUMIFS(T_StockCount[CountedQty],T_StockCount[RM_Code],$A98,T_StockCount[WeekIndex],84),IF((COUNTIFS(T_SelfStock[RM_Code],$A98,T_SelfStock[WeekIndex],84)&gt;0)*(COUNTIFS(T_TTAFStock[RM_Code],$A98,T_TTAFStock[WeekIndex],84)&gt;0)&gt;0,SUMIFS(T_SelfStock[Self_Qty],T_SelfStock[RM_Code],$A98,T_SelfStock[WeekIndex],84)+SUMIFS(T_TTAFStock[TTAF_Qty],T_TTAFStock[RM_Code],$A98,T_TTAFStock[WeekIndex],84),CF98+'Grid_Incoming'!CG98-'Grid_Requirement'!CG98))</f>
        <v/>
      </c>
      <c r="CH98">
        <f>IF(COUNTIFS(T_StockCount[RM_Code],$A98,T_StockCount[WeekIndex],85)&gt;0,SUMIFS(T_StockCount[CountedQty],T_StockCount[RM_Code],$A98,T_StockCount[WeekIndex],85),IF((COUNTIFS(T_SelfStock[RM_Code],$A98,T_SelfStock[WeekIndex],85)&gt;0)*(COUNTIFS(T_TTAFStock[RM_Code],$A98,T_TTAFStock[WeekIndex],85)&gt;0)&gt;0,SUMIFS(T_SelfStock[Self_Qty],T_SelfStock[RM_Code],$A98,T_SelfStock[WeekIndex],85)+SUMIFS(T_TTAFStock[TTAF_Qty],T_TTAFStock[RM_Code],$A98,T_TTAFStock[WeekIndex],85),CG98+'Grid_Incoming'!CH98-'Grid_Requirement'!CH98))</f>
        <v/>
      </c>
      <c r="CI98">
        <f>IF(COUNTIFS(T_StockCount[RM_Code],$A98,T_StockCount[WeekIndex],86)&gt;0,SUMIFS(T_StockCount[CountedQty],T_StockCount[RM_Code],$A98,T_StockCount[WeekIndex],86),IF((COUNTIFS(T_SelfStock[RM_Code],$A98,T_SelfStock[WeekIndex],86)&gt;0)*(COUNTIFS(T_TTAFStock[RM_Code],$A98,T_TTAFStock[WeekIndex],86)&gt;0)&gt;0,SUMIFS(T_SelfStock[Self_Qty],T_SelfStock[RM_Code],$A98,T_SelfStock[WeekIndex],86)+SUMIFS(T_TTAFStock[TTAF_Qty],T_TTAFStock[RM_Code],$A98,T_TTAFStock[WeekIndex],86),CH98+'Grid_Incoming'!CI98-'Grid_Requirement'!CI98))</f>
        <v/>
      </c>
      <c r="CJ98">
        <f>IF(COUNTIFS(T_StockCount[RM_Code],$A98,T_StockCount[WeekIndex],87)&gt;0,SUMIFS(T_StockCount[CountedQty],T_StockCount[RM_Code],$A98,T_StockCount[WeekIndex],87),IF((COUNTIFS(T_SelfStock[RM_Code],$A98,T_SelfStock[WeekIndex],87)&gt;0)*(COUNTIFS(T_TTAFStock[RM_Code],$A98,T_TTAFStock[WeekIndex],87)&gt;0)&gt;0,SUMIFS(T_SelfStock[Self_Qty],T_SelfStock[RM_Code],$A98,T_SelfStock[WeekIndex],87)+SUMIFS(T_TTAFStock[TTAF_Qty],T_TTAFStock[RM_Code],$A98,T_TTAFStock[WeekIndex],87),CI98+'Grid_Incoming'!CJ98-'Grid_Requirement'!CJ98))</f>
        <v/>
      </c>
      <c r="CK98">
        <f>IF(COUNTIFS(T_StockCount[RM_Code],$A98,T_StockCount[WeekIndex],88)&gt;0,SUMIFS(T_StockCount[CountedQty],T_StockCount[RM_Code],$A98,T_StockCount[WeekIndex],88),IF((COUNTIFS(T_SelfStock[RM_Code],$A98,T_SelfStock[WeekIndex],88)&gt;0)*(COUNTIFS(T_TTAFStock[RM_Code],$A98,T_TTAFStock[WeekIndex],88)&gt;0)&gt;0,SUMIFS(T_SelfStock[Self_Qty],T_SelfStock[RM_Code],$A98,T_SelfStock[WeekIndex],88)+SUMIFS(T_TTAFStock[TTAF_Qty],T_TTAFStock[RM_Code],$A98,T_TTAFStock[WeekIndex],88),CJ98+'Grid_Incoming'!CK98-'Grid_Requirement'!CK98))</f>
        <v/>
      </c>
      <c r="CL98">
        <f>IF(COUNTIFS(T_StockCount[RM_Code],$A98,T_StockCount[WeekIndex],89)&gt;0,SUMIFS(T_StockCount[CountedQty],T_StockCount[RM_Code],$A98,T_StockCount[WeekIndex],89),IF((COUNTIFS(T_SelfStock[RM_Code],$A98,T_SelfStock[WeekIndex],89)&gt;0)*(COUNTIFS(T_TTAFStock[RM_Code],$A98,T_TTAFStock[WeekIndex],89)&gt;0)&gt;0,SUMIFS(T_SelfStock[Self_Qty],T_SelfStock[RM_Code],$A98,T_SelfStock[WeekIndex],89)+SUMIFS(T_TTAFStock[TTAF_Qty],T_TTAFStock[RM_Code],$A98,T_TTAFStock[WeekIndex],89),CK98+'Grid_Incoming'!CL98-'Grid_Requirement'!CL98))</f>
        <v/>
      </c>
      <c r="CM98">
        <f>IF(COUNTIFS(T_StockCount[RM_Code],$A98,T_StockCount[WeekIndex],90)&gt;0,SUMIFS(T_StockCount[CountedQty],T_StockCount[RM_Code],$A98,T_StockCount[WeekIndex],90),IF((COUNTIFS(T_SelfStock[RM_Code],$A98,T_SelfStock[WeekIndex],90)&gt;0)*(COUNTIFS(T_TTAFStock[RM_Code],$A98,T_TTAFStock[WeekIndex],90)&gt;0)&gt;0,SUMIFS(T_SelfStock[Self_Qty],T_SelfStock[RM_Code],$A98,T_SelfStock[WeekIndex],90)+SUMIFS(T_TTAFStock[TTAF_Qty],T_TTAFStock[RM_Code],$A98,T_TTAFStock[WeekIndex],90),CL98+'Grid_Incoming'!CM98-'Grid_Requirement'!CM98))</f>
        <v/>
      </c>
      <c r="CN98">
        <f>IF(COUNTIFS(T_StockCount[RM_Code],$A98,T_StockCount[WeekIndex],91)&gt;0,SUMIFS(T_StockCount[CountedQty],T_StockCount[RM_Code],$A98,T_StockCount[WeekIndex],91),IF((COUNTIFS(T_SelfStock[RM_Code],$A98,T_SelfStock[WeekIndex],91)&gt;0)*(COUNTIFS(T_TTAFStock[RM_Code],$A98,T_TTAFStock[WeekIndex],91)&gt;0)&gt;0,SUMIFS(T_SelfStock[Self_Qty],T_SelfStock[RM_Code],$A98,T_SelfStock[WeekIndex],91)+SUMIFS(T_TTAFStock[TTAF_Qty],T_TTAFStock[RM_Code],$A98,T_TTAFStock[WeekIndex],91),CM98+'Grid_Incoming'!CN98-'Grid_Requirement'!CN98))</f>
        <v/>
      </c>
      <c r="CO98">
        <f>IF(COUNTIFS(T_StockCount[RM_Code],$A98,T_StockCount[WeekIndex],92)&gt;0,SUMIFS(T_StockCount[CountedQty],T_StockCount[RM_Code],$A98,T_StockCount[WeekIndex],92),IF((COUNTIFS(T_SelfStock[RM_Code],$A98,T_SelfStock[WeekIndex],92)&gt;0)*(COUNTIFS(T_TTAFStock[RM_Code],$A98,T_TTAFStock[WeekIndex],92)&gt;0)&gt;0,SUMIFS(T_SelfStock[Self_Qty],T_SelfStock[RM_Code],$A98,T_SelfStock[WeekIndex],92)+SUMIFS(T_TTAFStock[TTAF_Qty],T_TTAFStock[RM_Code],$A98,T_TTAFStock[WeekIndex],92),CN98+'Grid_Incoming'!CO98-'Grid_Requirement'!CO98))</f>
        <v/>
      </c>
      <c r="CP98">
        <f>IF(COUNTIFS(T_StockCount[RM_Code],$A98,T_StockCount[WeekIndex],93)&gt;0,SUMIFS(T_StockCount[CountedQty],T_StockCount[RM_Code],$A98,T_StockCount[WeekIndex],93),IF((COUNTIFS(T_SelfStock[RM_Code],$A98,T_SelfStock[WeekIndex],93)&gt;0)*(COUNTIFS(T_TTAFStock[RM_Code],$A98,T_TTAFStock[WeekIndex],93)&gt;0)&gt;0,SUMIFS(T_SelfStock[Self_Qty],T_SelfStock[RM_Code],$A98,T_SelfStock[WeekIndex],93)+SUMIFS(T_TTAFStock[TTAF_Qty],T_TTAFStock[RM_Code],$A98,T_TTAFStock[WeekIndex],93),CO98+'Grid_Incoming'!CP98-'Grid_Requirement'!CP98))</f>
        <v/>
      </c>
      <c r="CQ98">
        <f>IF(COUNTIFS(T_StockCount[RM_Code],$A98,T_StockCount[WeekIndex],94)&gt;0,SUMIFS(T_StockCount[CountedQty],T_StockCount[RM_Code],$A98,T_StockCount[WeekIndex],94),IF((COUNTIFS(T_SelfStock[RM_Code],$A98,T_SelfStock[WeekIndex],94)&gt;0)*(COUNTIFS(T_TTAFStock[RM_Code],$A98,T_TTAFStock[WeekIndex],94)&gt;0)&gt;0,SUMIFS(T_SelfStock[Self_Qty],T_SelfStock[RM_Code],$A98,T_SelfStock[WeekIndex],94)+SUMIFS(T_TTAFStock[TTAF_Qty],T_TTAFStock[RM_Code],$A98,T_TTAFStock[WeekIndex],94),CP98+'Grid_Incoming'!CQ98-'Grid_Requirement'!CQ98))</f>
        <v/>
      </c>
      <c r="CR98">
        <f>IF(COUNTIFS(T_StockCount[RM_Code],$A98,T_StockCount[WeekIndex],95)&gt;0,SUMIFS(T_StockCount[CountedQty],T_StockCount[RM_Code],$A98,T_StockCount[WeekIndex],95),IF((COUNTIFS(T_SelfStock[RM_Code],$A98,T_SelfStock[WeekIndex],95)&gt;0)*(COUNTIFS(T_TTAFStock[RM_Code],$A98,T_TTAFStock[WeekIndex],95)&gt;0)&gt;0,SUMIFS(T_SelfStock[Self_Qty],T_SelfStock[RM_Code],$A98,T_SelfStock[WeekIndex],95)+SUMIFS(T_TTAFStock[TTAF_Qty],T_TTAFStock[RM_Code],$A98,T_TTAFStock[WeekIndex],95),CQ98+'Grid_Incoming'!CR98-'Grid_Requirement'!CR98))</f>
        <v/>
      </c>
      <c r="CS98">
        <f>IF(COUNTIFS(T_StockCount[RM_Code],$A98,T_StockCount[WeekIndex],96)&gt;0,SUMIFS(T_StockCount[CountedQty],T_StockCount[RM_Code],$A98,T_StockCount[WeekIndex],96),IF((COUNTIFS(T_SelfStock[RM_Code],$A98,T_SelfStock[WeekIndex],96)&gt;0)*(COUNTIFS(T_TTAFStock[RM_Code],$A98,T_TTAFStock[WeekIndex],96)&gt;0)&gt;0,SUMIFS(T_SelfStock[Self_Qty],T_SelfStock[RM_Code],$A98,T_SelfStock[WeekIndex],96)+SUMIFS(T_TTAFStock[TTAF_Qty],T_TTAFStock[RM_Code],$A98,T_TTAFStock[WeekIndex],96),CR98+'Grid_Incoming'!CS98-'Grid_Requirement'!CS98))</f>
        <v/>
      </c>
      <c r="CT98">
        <f>IF(COUNTIFS(T_StockCount[RM_Code],$A98,T_StockCount[WeekIndex],97)&gt;0,SUMIFS(T_StockCount[CountedQty],T_StockCount[RM_Code],$A98,T_StockCount[WeekIndex],97),IF((COUNTIFS(T_SelfStock[RM_Code],$A98,T_SelfStock[WeekIndex],97)&gt;0)*(COUNTIFS(T_TTAFStock[RM_Code],$A98,T_TTAFStock[WeekIndex],97)&gt;0)&gt;0,SUMIFS(T_SelfStock[Self_Qty],T_SelfStock[RM_Code],$A98,T_SelfStock[WeekIndex],97)+SUMIFS(T_TTAFStock[TTAF_Qty],T_TTAFStock[RM_Code],$A98,T_TTAFStock[WeekIndex],97),CS98+'Grid_Incoming'!CT98-'Grid_Requirement'!CT98))</f>
        <v/>
      </c>
      <c r="CU98">
        <f>IF(COUNTIFS(T_StockCount[RM_Code],$A98,T_StockCount[WeekIndex],98)&gt;0,SUMIFS(T_StockCount[CountedQty],T_StockCount[RM_Code],$A98,T_StockCount[WeekIndex],98),IF((COUNTIFS(T_SelfStock[RM_Code],$A98,T_SelfStock[WeekIndex],98)&gt;0)*(COUNTIFS(T_TTAFStock[RM_Code],$A98,T_TTAFStock[WeekIndex],98)&gt;0)&gt;0,SUMIFS(T_SelfStock[Self_Qty],T_SelfStock[RM_Code],$A98,T_SelfStock[WeekIndex],98)+SUMIFS(T_TTAFStock[TTAF_Qty],T_TTAFStock[RM_Code],$A98,T_TTAFStock[WeekIndex],98),CT98+'Grid_Incoming'!CU98-'Grid_Requirement'!CU98))</f>
        <v/>
      </c>
      <c r="CV98">
        <f>IF(COUNTIFS(T_StockCount[RM_Code],$A98,T_StockCount[WeekIndex],99)&gt;0,SUMIFS(T_StockCount[CountedQty],T_StockCount[RM_Code],$A98,T_StockCount[WeekIndex],99),IF((COUNTIFS(T_SelfStock[RM_Code],$A98,T_SelfStock[WeekIndex],99)&gt;0)*(COUNTIFS(T_TTAFStock[RM_Code],$A98,T_TTAFStock[WeekIndex],99)&gt;0)&gt;0,SUMIFS(T_SelfStock[Self_Qty],T_SelfStock[RM_Code],$A98,T_SelfStock[WeekIndex],99)+SUMIFS(T_TTAFStock[TTAF_Qty],T_TTAFStock[RM_Code],$A98,T_TTAFStock[WeekIndex],99),CU98+'Grid_Incoming'!CV98-'Grid_Requirement'!CV98))</f>
        <v/>
      </c>
      <c r="CW98">
        <f>IF(COUNTIFS(T_StockCount[RM_Code],$A98,T_StockCount[WeekIndex],100)&gt;0,SUMIFS(T_StockCount[CountedQty],T_StockCount[RM_Code],$A98,T_StockCount[WeekIndex],100),IF((COUNTIFS(T_SelfStock[RM_Code],$A98,T_SelfStock[WeekIndex],100)&gt;0)*(COUNTIFS(T_TTAFStock[RM_Code],$A98,T_TTAFStock[WeekIndex],100)&gt;0)&gt;0,SUMIFS(T_SelfStock[Self_Qty],T_SelfStock[RM_Code],$A98,T_SelfStock[WeekIndex],100)+SUMIFS(T_TTAFStock[TTAF_Qty],T_TTAFStock[RM_Code],$A98,T_TTAFStock[WeekIndex],100),CV98+'Grid_Incoming'!CW98-'Grid_Requirement'!CW98))</f>
        <v/>
      </c>
      <c r="CX98">
        <f>IF(COUNTIFS(T_StockCount[RM_Code],$A98,T_StockCount[WeekIndex],101)&gt;0,SUMIFS(T_StockCount[CountedQty],T_StockCount[RM_Code],$A98,T_StockCount[WeekIndex],101),IF((COUNTIFS(T_SelfStock[RM_Code],$A98,T_SelfStock[WeekIndex],101)&gt;0)*(COUNTIFS(T_TTAFStock[RM_Code],$A98,T_TTAFStock[WeekIndex],101)&gt;0)&gt;0,SUMIFS(T_SelfStock[Self_Qty],T_SelfStock[RM_Code],$A98,T_SelfStock[WeekIndex],101)+SUMIFS(T_TTAFStock[TTAF_Qty],T_TTAFStock[RM_Code],$A98,T_TTAFStock[WeekIndex],101),CW98+'Grid_Incoming'!CX98-'Grid_Requirement'!CX98))</f>
        <v/>
      </c>
      <c r="CY98">
        <f>IF(COUNTIFS(T_StockCount[RM_Code],$A98,T_StockCount[WeekIndex],102)&gt;0,SUMIFS(T_StockCount[CountedQty],T_StockCount[RM_Code],$A98,T_StockCount[WeekIndex],102),IF((COUNTIFS(T_SelfStock[RM_Code],$A98,T_SelfStock[WeekIndex],102)&gt;0)*(COUNTIFS(T_TTAFStock[RM_Code],$A98,T_TTAFStock[WeekIndex],102)&gt;0)&gt;0,SUMIFS(T_SelfStock[Self_Qty],T_SelfStock[RM_Code],$A98,T_SelfStock[WeekIndex],102)+SUMIFS(T_TTAFStock[TTAF_Qty],T_TTAFStock[RM_Code],$A98,T_TTAFStock[WeekIndex],102),CX98+'Grid_Incoming'!CY98-'Grid_Requirement'!CY98))</f>
        <v/>
      </c>
      <c r="CZ98">
        <f>IF(COUNTIFS(T_StockCount[RM_Code],$A98,T_StockCount[WeekIndex],103)&gt;0,SUMIFS(T_StockCount[CountedQty],T_StockCount[RM_Code],$A98,T_StockCount[WeekIndex],103),IF((COUNTIFS(T_SelfStock[RM_Code],$A98,T_SelfStock[WeekIndex],103)&gt;0)*(COUNTIFS(T_TTAFStock[RM_Code],$A98,T_TTAFStock[WeekIndex],103)&gt;0)&gt;0,SUMIFS(T_SelfStock[Self_Qty],T_SelfStock[RM_Code],$A98,T_SelfStock[WeekIndex],103)+SUMIFS(T_TTAFStock[TTAF_Qty],T_TTAFStock[RM_Code],$A98,T_TTAFStock[WeekIndex],103),CY98+'Grid_Incoming'!CZ98-'Grid_Requirement'!CZ98))</f>
        <v/>
      </c>
      <c r="DA98">
        <f>IF(COUNTIFS(T_StockCount[RM_Code],$A98,T_StockCount[WeekIndex],104)&gt;0,SUMIFS(T_StockCount[CountedQty],T_StockCount[RM_Code],$A98,T_StockCount[WeekIndex],104),IF((COUNTIFS(T_SelfStock[RM_Code],$A98,T_SelfStock[WeekIndex],104)&gt;0)*(COUNTIFS(T_TTAFStock[RM_Code],$A98,T_TTAFStock[WeekIndex],104)&gt;0)&gt;0,SUMIFS(T_SelfStock[Self_Qty],T_SelfStock[RM_Code],$A98,T_SelfStock[WeekIndex],104)+SUMIFS(T_TTAFStock[TTAF_Qty],T_TTAFStock[RM_Code],$A98,T_TTAFStock[WeekIndex],104),CZ98+'Grid_Incoming'!DA98-'Grid_Requirement'!DA98))</f>
        <v/>
      </c>
    </row>
    <row r="99">
      <c r="A99" t="inlineStr">
        <is>
          <t>CHEM-1190</t>
        </is>
      </c>
      <c r="B99">
        <f>IF(COUNTIFS(T_StockCount[RM_Code],$A99,T_StockCount[WeekIndex],1)&gt;0,SUMIFS(T_StockCount[CountedQty],T_StockCount[RM_Code],$A99,T_StockCount[WeekIndex],1),IF((COUNTIFS(T_SelfStock[RM_Code],$A99,T_SelfStock[WeekIndex],1)&gt;0)*(COUNTIFS(T_TTAFStock[RM_Code],$A99,T_TTAFStock[WeekIndex],1)&gt;0)&gt;0,SUMIFS(T_SelfStock[Self_Qty],T_SelfStock[RM_Code],$A99,T_SelfStock[WeekIndex],1)+SUMIFS(T_TTAFStock[TTAF_Qty],T_TTAFStock[RM_Code],$A99,T_TTAFStock[WeekIndex],1),IFERROR(INDEX(T_OpeningStock[Opening_Qty],MATCH($A99,T_OpeningStock[RM_Code],0)),0)+'Grid_Incoming'!B99-'Grid_Requirement'!B99))</f>
        <v/>
      </c>
      <c r="C99">
        <f>IF(COUNTIFS(T_StockCount[RM_Code],$A99,T_StockCount[WeekIndex],2)&gt;0,SUMIFS(T_StockCount[CountedQty],T_StockCount[RM_Code],$A99,T_StockCount[WeekIndex],2),IF((COUNTIFS(T_SelfStock[RM_Code],$A99,T_SelfStock[WeekIndex],2)&gt;0)*(COUNTIFS(T_TTAFStock[RM_Code],$A99,T_TTAFStock[WeekIndex],2)&gt;0)&gt;0,SUMIFS(T_SelfStock[Self_Qty],T_SelfStock[RM_Code],$A99,T_SelfStock[WeekIndex],2)+SUMIFS(T_TTAFStock[TTAF_Qty],T_TTAFStock[RM_Code],$A99,T_TTAFStock[WeekIndex],2),B99+'Grid_Incoming'!C99-'Grid_Requirement'!C99))</f>
        <v/>
      </c>
      <c r="D99">
        <f>IF(COUNTIFS(T_StockCount[RM_Code],$A99,T_StockCount[WeekIndex],3)&gt;0,SUMIFS(T_StockCount[CountedQty],T_StockCount[RM_Code],$A99,T_StockCount[WeekIndex],3),IF((COUNTIFS(T_SelfStock[RM_Code],$A99,T_SelfStock[WeekIndex],3)&gt;0)*(COUNTIFS(T_TTAFStock[RM_Code],$A99,T_TTAFStock[WeekIndex],3)&gt;0)&gt;0,SUMIFS(T_SelfStock[Self_Qty],T_SelfStock[RM_Code],$A99,T_SelfStock[WeekIndex],3)+SUMIFS(T_TTAFStock[TTAF_Qty],T_TTAFStock[RM_Code],$A99,T_TTAFStock[WeekIndex],3),C99+'Grid_Incoming'!D99-'Grid_Requirement'!D99))</f>
        <v/>
      </c>
      <c r="E99">
        <f>IF(COUNTIFS(T_StockCount[RM_Code],$A99,T_StockCount[WeekIndex],4)&gt;0,SUMIFS(T_StockCount[CountedQty],T_StockCount[RM_Code],$A99,T_StockCount[WeekIndex],4),IF((COUNTIFS(T_SelfStock[RM_Code],$A99,T_SelfStock[WeekIndex],4)&gt;0)*(COUNTIFS(T_TTAFStock[RM_Code],$A99,T_TTAFStock[WeekIndex],4)&gt;0)&gt;0,SUMIFS(T_SelfStock[Self_Qty],T_SelfStock[RM_Code],$A99,T_SelfStock[WeekIndex],4)+SUMIFS(T_TTAFStock[TTAF_Qty],T_TTAFStock[RM_Code],$A99,T_TTAFStock[WeekIndex],4),D99+'Grid_Incoming'!E99-'Grid_Requirement'!E99))</f>
        <v/>
      </c>
      <c r="F99">
        <f>IF(COUNTIFS(T_StockCount[RM_Code],$A99,T_StockCount[WeekIndex],5)&gt;0,SUMIFS(T_StockCount[CountedQty],T_StockCount[RM_Code],$A99,T_StockCount[WeekIndex],5),IF((COUNTIFS(T_SelfStock[RM_Code],$A99,T_SelfStock[WeekIndex],5)&gt;0)*(COUNTIFS(T_TTAFStock[RM_Code],$A99,T_TTAFStock[WeekIndex],5)&gt;0)&gt;0,SUMIFS(T_SelfStock[Self_Qty],T_SelfStock[RM_Code],$A99,T_SelfStock[WeekIndex],5)+SUMIFS(T_TTAFStock[TTAF_Qty],T_TTAFStock[RM_Code],$A99,T_TTAFStock[WeekIndex],5),E99+'Grid_Incoming'!F99-'Grid_Requirement'!F99))</f>
        <v/>
      </c>
      <c r="G99">
        <f>IF(COUNTIFS(T_StockCount[RM_Code],$A99,T_StockCount[WeekIndex],6)&gt;0,SUMIFS(T_StockCount[CountedQty],T_StockCount[RM_Code],$A99,T_StockCount[WeekIndex],6),IF((COUNTIFS(T_SelfStock[RM_Code],$A99,T_SelfStock[WeekIndex],6)&gt;0)*(COUNTIFS(T_TTAFStock[RM_Code],$A99,T_TTAFStock[WeekIndex],6)&gt;0)&gt;0,SUMIFS(T_SelfStock[Self_Qty],T_SelfStock[RM_Code],$A99,T_SelfStock[WeekIndex],6)+SUMIFS(T_TTAFStock[TTAF_Qty],T_TTAFStock[RM_Code],$A99,T_TTAFStock[WeekIndex],6),F99+'Grid_Incoming'!G99-'Grid_Requirement'!G99))</f>
        <v/>
      </c>
      <c r="H99">
        <f>IF(COUNTIFS(T_StockCount[RM_Code],$A99,T_StockCount[WeekIndex],7)&gt;0,SUMIFS(T_StockCount[CountedQty],T_StockCount[RM_Code],$A99,T_StockCount[WeekIndex],7),IF((COUNTIFS(T_SelfStock[RM_Code],$A99,T_SelfStock[WeekIndex],7)&gt;0)*(COUNTIFS(T_TTAFStock[RM_Code],$A99,T_TTAFStock[WeekIndex],7)&gt;0)&gt;0,SUMIFS(T_SelfStock[Self_Qty],T_SelfStock[RM_Code],$A99,T_SelfStock[WeekIndex],7)+SUMIFS(T_TTAFStock[TTAF_Qty],T_TTAFStock[RM_Code],$A99,T_TTAFStock[WeekIndex],7),G99+'Grid_Incoming'!H99-'Grid_Requirement'!H99))</f>
        <v/>
      </c>
      <c r="I99">
        <f>IF(COUNTIFS(T_StockCount[RM_Code],$A99,T_StockCount[WeekIndex],8)&gt;0,SUMIFS(T_StockCount[CountedQty],T_StockCount[RM_Code],$A99,T_StockCount[WeekIndex],8),IF((COUNTIFS(T_SelfStock[RM_Code],$A99,T_SelfStock[WeekIndex],8)&gt;0)*(COUNTIFS(T_TTAFStock[RM_Code],$A99,T_TTAFStock[WeekIndex],8)&gt;0)&gt;0,SUMIFS(T_SelfStock[Self_Qty],T_SelfStock[RM_Code],$A99,T_SelfStock[WeekIndex],8)+SUMIFS(T_TTAFStock[TTAF_Qty],T_TTAFStock[RM_Code],$A99,T_TTAFStock[WeekIndex],8),H99+'Grid_Incoming'!I99-'Grid_Requirement'!I99))</f>
        <v/>
      </c>
      <c r="J99">
        <f>IF(COUNTIFS(T_StockCount[RM_Code],$A99,T_StockCount[WeekIndex],9)&gt;0,SUMIFS(T_StockCount[CountedQty],T_StockCount[RM_Code],$A99,T_StockCount[WeekIndex],9),IF((COUNTIFS(T_SelfStock[RM_Code],$A99,T_SelfStock[WeekIndex],9)&gt;0)*(COUNTIFS(T_TTAFStock[RM_Code],$A99,T_TTAFStock[WeekIndex],9)&gt;0)&gt;0,SUMIFS(T_SelfStock[Self_Qty],T_SelfStock[RM_Code],$A99,T_SelfStock[WeekIndex],9)+SUMIFS(T_TTAFStock[TTAF_Qty],T_TTAFStock[RM_Code],$A99,T_TTAFStock[WeekIndex],9),I99+'Grid_Incoming'!J99-'Grid_Requirement'!J99))</f>
        <v/>
      </c>
      <c r="K99">
        <f>IF(COUNTIFS(T_StockCount[RM_Code],$A99,T_StockCount[WeekIndex],10)&gt;0,SUMIFS(T_StockCount[CountedQty],T_StockCount[RM_Code],$A99,T_StockCount[WeekIndex],10),IF((COUNTIFS(T_SelfStock[RM_Code],$A99,T_SelfStock[WeekIndex],10)&gt;0)*(COUNTIFS(T_TTAFStock[RM_Code],$A99,T_TTAFStock[WeekIndex],10)&gt;0)&gt;0,SUMIFS(T_SelfStock[Self_Qty],T_SelfStock[RM_Code],$A99,T_SelfStock[WeekIndex],10)+SUMIFS(T_TTAFStock[TTAF_Qty],T_TTAFStock[RM_Code],$A99,T_TTAFStock[WeekIndex],10),J99+'Grid_Incoming'!K99-'Grid_Requirement'!K99))</f>
        <v/>
      </c>
      <c r="L99">
        <f>IF(COUNTIFS(T_StockCount[RM_Code],$A99,T_StockCount[WeekIndex],11)&gt;0,SUMIFS(T_StockCount[CountedQty],T_StockCount[RM_Code],$A99,T_StockCount[WeekIndex],11),IF((COUNTIFS(T_SelfStock[RM_Code],$A99,T_SelfStock[WeekIndex],11)&gt;0)*(COUNTIFS(T_TTAFStock[RM_Code],$A99,T_TTAFStock[WeekIndex],11)&gt;0)&gt;0,SUMIFS(T_SelfStock[Self_Qty],T_SelfStock[RM_Code],$A99,T_SelfStock[WeekIndex],11)+SUMIFS(T_TTAFStock[TTAF_Qty],T_TTAFStock[RM_Code],$A99,T_TTAFStock[WeekIndex],11),K99+'Grid_Incoming'!L99-'Grid_Requirement'!L99))</f>
        <v/>
      </c>
      <c r="M99">
        <f>IF(COUNTIFS(T_StockCount[RM_Code],$A99,T_StockCount[WeekIndex],12)&gt;0,SUMIFS(T_StockCount[CountedQty],T_StockCount[RM_Code],$A99,T_StockCount[WeekIndex],12),IF((COUNTIFS(T_SelfStock[RM_Code],$A99,T_SelfStock[WeekIndex],12)&gt;0)*(COUNTIFS(T_TTAFStock[RM_Code],$A99,T_TTAFStock[WeekIndex],12)&gt;0)&gt;0,SUMIFS(T_SelfStock[Self_Qty],T_SelfStock[RM_Code],$A99,T_SelfStock[WeekIndex],12)+SUMIFS(T_TTAFStock[TTAF_Qty],T_TTAFStock[RM_Code],$A99,T_TTAFStock[WeekIndex],12),L99+'Grid_Incoming'!M99-'Grid_Requirement'!M99))</f>
        <v/>
      </c>
      <c r="N99">
        <f>IF(COUNTIFS(T_StockCount[RM_Code],$A99,T_StockCount[WeekIndex],13)&gt;0,SUMIFS(T_StockCount[CountedQty],T_StockCount[RM_Code],$A99,T_StockCount[WeekIndex],13),IF((COUNTIFS(T_SelfStock[RM_Code],$A99,T_SelfStock[WeekIndex],13)&gt;0)*(COUNTIFS(T_TTAFStock[RM_Code],$A99,T_TTAFStock[WeekIndex],13)&gt;0)&gt;0,SUMIFS(T_SelfStock[Self_Qty],T_SelfStock[RM_Code],$A99,T_SelfStock[WeekIndex],13)+SUMIFS(T_TTAFStock[TTAF_Qty],T_TTAFStock[RM_Code],$A99,T_TTAFStock[WeekIndex],13),M99+'Grid_Incoming'!N99-'Grid_Requirement'!N99))</f>
        <v/>
      </c>
      <c r="O99">
        <f>IF(COUNTIFS(T_StockCount[RM_Code],$A99,T_StockCount[WeekIndex],14)&gt;0,SUMIFS(T_StockCount[CountedQty],T_StockCount[RM_Code],$A99,T_StockCount[WeekIndex],14),IF((COUNTIFS(T_SelfStock[RM_Code],$A99,T_SelfStock[WeekIndex],14)&gt;0)*(COUNTIFS(T_TTAFStock[RM_Code],$A99,T_TTAFStock[WeekIndex],14)&gt;0)&gt;0,SUMIFS(T_SelfStock[Self_Qty],T_SelfStock[RM_Code],$A99,T_SelfStock[WeekIndex],14)+SUMIFS(T_TTAFStock[TTAF_Qty],T_TTAFStock[RM_Code],$A99,T_TTAFStock[WeekIndex],14),N99+'Grid_Incoming'!O99-'Grid_Requirement'!O99))</f>
        <v/>
      </c>
      <c r="P99">
        <f>IF(COUNTIFS(T_StockCount[RM_Code],$A99,T_StockCount[WeekIndex],15)&gt;0,SUMIFS(T_StockCount[CountedQty],T_StockCount[RM_Code],$A99,T_StockCount[WeekIndex],15),IF((COUNTIFS(T_SelfStock[RM_Code],$A99,T_SelfStock[WeekIndex],15)&gt;0)*(COUNTIFS(T_TTAFStock[RM_Code],$A99,T_TTAFStock[WeekIndex],15)&gt;0)&gt;0,SUMIFS(T_SelfStock[Self_Qty],T_SelfStock[RM_Code],$A99,T_SelfStock[WeekIndex],15)+SUMIFS(T_TTAFStock[TTAF_Qty],T_TTAFStock[RM_Code],$A99,T_TTAFStock[WeekIndex],15),O99+'Grid_Incoming'!P99-'Grid_Requirement'!P99))</f>
        <v/>
      </c>
      <c r="Q99">
        <f>IF(COUNTIFS(T_StockCount[RM_Code],$A99,T_StockCount[WeekIndex],16)&gt;0,SUMIFS(T_StockCount[CountedQty],T_StockCount[RM_Code],$A99,T_StockCount[WeekIndex],16),IF((COUNTIFS(T_SelfStock[RM_Code],$A99,T_SelfStock[WeekIndex],16)&gt;0)*(COUNTIFS(T_TTAFStock[RM_Code],$A99,T_TTAFStock[WeekIndex],16)&gt;0)&gt;0,SUMIFS(T_SelfStock[Self_Qty],T_SelfStock[RM_Code],$A99,T_SelfStock[WeekIndex],16)+SUMIFS(T_TTAFStock[TTAF_Qty],T_TTAFStock[RM_Code],$A99,T_TTAFStock[WeekIndex],16),P99+'Grid_Incoming'!Q99-'Grid_Requirement'!Q99))</f>
        <v/>
      </c>
      <c r="R99">
        <f>IF(COUNTIFS(T_StockCount[RM_Code],$A99,T_StockCount[WeekIndex],17)&gt;0,SUMIFS(T_StockCount[CountedQty],T_StockCount[RM_Code],$A99,T_StockCount[WeekIndex],17),IF((COUNTIFS(T_SelfStock[RM_Code],$A99,T_SelfStock[WeekIndex],17)&gt;0)*(COUNTIFS(T_TTAFStock[RM_Code],$A99,T_TTAFStock[WeekIndex],17)&gt;0)&gt;0,SUMIFS(T_SelfStock[Self_Qty],T_SelfStock[RM_Code],$A99,T_SelfStock[WeekIndex],17)+SUMIFS(T_TTAFStock[TTAF_Qty],T_TTAFStock[RM_Code],$A99,T_TTAFStock[WeekIndex],17),Q99+'Grid_Incoming'!R99-'Grid_Requirement'!R99))</f>
        <v/>
      </c>
      <c r="S99">
        <f>IF(COUNTIFS(T_StockCount[RM_Code],$A99,T_StockCount[WeekIndex],18)&gt;0,SUMIFS(T_StockCount[CountedQty],T_StockCount[RM_Code],$A99,T_StockCount[WeekIndex],18),IF((COUNTIFS(T_SelfStock[RM_Code],$A99,T_SelfStock[WeekIndex],18)&gt;0)*(COUNTIFS(T_TTAFStock[RM_Code],$A99,T_TTAFStock[WeekIndex],18)&gt;0)&gt;0,SUMIFS(T_SelfStock[Self_Qty],T_SelfStock[RM_Code],$A99,T_SelfStock[WeekIndex],18)+SUMIFS(T_TTAFStock[TTAF_Qty],T_TTAFStock[RM_Code],$A99,T_TTAFStock[WeekIndex],18),R99+'Grid_Incoming'!S99-'Grid_Requirement'!S99))</f>
        <v/>
      </c>
      <c r="T99">
        <f>IF(COUNTIFS(T_StockCount[RM_Code],$A99,T_StockCount[WeekIndex],19)&gt;0,SUMIFS(T_StockCount[CountedQty],T_StockCount[RM_Code],$A99,T_StockCount[WeekIndex],19),IF((COUNTIFS(T_SelfStock[RM_Code],$A99,T_SelfStock[WeekIndex],19)&gt;0)*(COUNTIFS(T_TTAFStock[RM_Code],$A99,T_TTAFStock[WeekIndex],19)&gt;0)&gt;0,SUMIFS(T_SelfStock[Self_Qty],T_SelfStock[RM_Code],$A99,T_SelfStock[WeekIndex],19)+SUMIFS(T_TTAFStock[TTAF_Qty],T_TTAFStock[RM_Code],$A99,T_TTAFStock[WeekIndex],19),S99+'Grid_Incoming'!T99-'Grid_Requirement'!T99))</f>
        <v/>
      </c>
      <c r="U99">
        <f>IF(COUNTIFS(T_StockCount[RM_Code],$A99,T_StockCount[WeekIndex],20)&gt;0,SUMIFS(T_StockCount[CountedQty],T_StockCount[RM_Code],$A99,T_StockCount[WeekIndex],20),IF((COUNTIFS(T_SelfStock[RM_Code],$A99,T_SelfStock[WeekIndex],20)&gt;0)*(COUNTIFS(T_TTAFStock[RM_Code],$A99,T_TTAFStock[WeekIndex],20)&gt;0)&gt;0,SUMIFS(T_SelfStock[Self_Qty],T_SelfStock[RM_Code],$A99,T_SelfStock[WeekIndex],20)+SUMIFS(T_TTAFStock[TTAF_Qty],T_TTAFStock[RM_Code],$A99,T_TTAFStock[WeekIndex],20),T99+'Grid_Incoming'!U99-'Grid_Requirement'!U99))</f>
        <v/>
      </c>
      <c r="V99">
        <f>IF(COUNTIFS(T_StockCount[RM_Code],$A99,T_StockCount[WeekIndex],21)&gt;0,SUMIFS(T_StockCount[CountedQty],T_StockCount[RM_Code],$A99,T_StockCount[WeekIndex],21),IF((COUNTIFS(T_SelfStock[RM_Code],$A99,T_SelfStock[WeekIndex],21)&gt;0)*(COUNTIFS(T_TTAFStock[RM_Code],$A99,T_TTAFStock[WeekIndex],21)&gt;0)&gt;0,SUMIFS(T_SelfStock[Self_Qty],T_SelfStock[RM_Code],$A99,T_SelfStock[WeekIndex],21)+SUMIFS(T_TTAFStock[TTAF_Qty],T_TTAFStock[RM_Code],$A99,T_TTAFStock[WeekIndex],21),U99+'Grid_Incoming'!V99-'Grid_Requirement'!V99))</f>
        <v/>
      </c>
      <c r="W99">
        <f>IF(COUNTIFS(T_StockCount[RM_Code],$A99,T_StockCount[WeekIndex],22)&gt;0,SUMIFS(T_StockCount[CountedQty],T_StockCount[RM_Code],$A99,T_StockCount[WeekIndex],22),IF((COUNTIFS(T_SelfStock[RM_Code],$A99,T_SelfStock[WeekIndex],22)&gt;0)*(COUNTIFS(T_TTAFStock[RM_Code],$A99,T_TTAFStock[WeekIndex],22)&gt;0)&gt;0,SUMIFS(T_SelfStock[Self_Qty],T_SelfStock[RM_Code],$A99,T_SelfStock[WeekIndex],22)+SUMIFS(T_TTAFStock[TTAF_Qty],T_TTAFStock[RM_Code],$A99,T_TTAFStock[WeekIndex],22),V99+'Grid_Incoming'!W99-'Grid_Requirement'!W99))</f>
        <v/>
      </c>
      <c r="X99">
        <f>IF(COUNTIFS(T_StockCount[RM_Code],$A99,T_StockCount[WeekIndex],23)&gt;0,SUMIFS(T_StockCount[CountedQty],T_StockCount[RM_Code],$A99,T_StockCount[WeekIndex],23),IF((COUNTIFS(T_SelfStock[RM_Code],$A99,T_SelfStock[WeekIndex],23)&gt;0)*(COUNTIFS(T_TTAFStock[RM_Code],$A99,T_TTAFStock[WeekIndex],23)&gt;0)&gt;0,SUMIFS(T_SelfStock[Self_Qty],T_SelfStock[RM_Code],$A99,T_SelfStock[WeekIndex],23)+SUMIFS(T_TTAFStock[TTAF_Qty],T_TTAFStock[RM_Code],$A99,T_TTAFStock[WeekIndex],23),W99+'Grid_Incoming'!X99-'Grid_Requirement'!X99))</f>
        <v/>
      </c>
      <c r="Y99">
        <f>IF(COUNTIFS(T_StockCount[RM_Code],$A99,T_StockCount[WeekIndex],24)&gt;0,SUMIFS(T_StockCount[CountedQty],T_StockCount[RM_Code],$A99,T_StockCount[WeekIndex],24),IF((COUNTIFS(T_SelfStock[RM_Code],$A99,T_SelfStock[WeekIndex],24)&gt;0)*(COUNTIFS(T_TTAFStock[RM_Code],$A99,T_TTAFStock[WeekIndex],24)&gt;0)&gt;0,SUMIFS(T_SelfStock[Self_Qty],T_SelfStock[RM_Code],$A99,T_SelfStock[WeekIndex],24)+SUMIFS(T_TTAFStock[TTAF_Qty],T_TTAFStock[RM_Code],$A99,T_TTAFStock[WeekIndex],24),X99+'Grid_Incoming'!Y99-'Grid_Requirement'!Y99))</f>
        <v/>
      </c>
      <c r="Z99">
        <f>IF(COUNTIFS(T_StockCount[RM_Code],$A99,T_StockCount[WeekIndex],25)&gt;0,SUMIFS(T_StockCount[CountedQty],T_StockCount[RM_Code],$A99,T_StockCount[WeekIndex],25),IF((COUNTIFS(T_SelfStock[RM_Code],$A99,T_SelfStock[WeekIndex],25)&gt;0)*(COUNTIFS(T_TTAFStock[RM_Code],$A99,T_TTAFStock[WeekIndex],25)&gt;0)&gt;0,SUMIFS(T_SelfStock[Self_Qty],T_SelfStock[RM_Code],$A99,T_SelfStock[WeekIndex],25)+SUMIFS(T_TTAFStock[TTAF_Qty],T_TTAFStock[RM_Code],$A99,T_TTAFStock[WeekIndex],25),Y99+'Grid_Incoming'!Z99-'Grid_Requirement'!Z99))</f>
        <v/>
      </c>
      <c r="AA99">
        <f>IF(COUNTIFS(T_StockCount[RM_Code],$A99,T_StockCount[WeekIndex],26)&gt;0,SUMIFS(T_StockCount[CountedQty],T_StockCount[RM_Code],$A99,T_StockCount[WeekIndex],26),IF((COUNTIFS(T_SelfStock[RM_Code],$A99,T_SelfStock[WeekIndex],26)&gt;0)*(COUNTIFS(T_TTAFStock[RM_Code],$A99,T_TTAFStock[WeekIndex],26)&gt;0)&gt;0,SUMIFS(T_SelfStock[Self_Qty],T_SelfStock[RM_Code],$A99,T_SelfStock[WeekIndex],26)+SUMIFS(T_TTAFStock[TTAF_Qty],T_TTAFStock[RM_Code],$A99,T_TTAFStock[WeekIndex],26),Z99+'Grid_Incoming'!AA99-'Grid_Requirement'!AA99))</f>
        <v/>
      </c>
      <c r="AB99">
        <f>IF(COUNTIFS(T_StockCount[RM_Code],$A99,T_StockCount[WeekIndex],27)&gt;0,SUMIFS(T_StockCount[CountedQty],T_StockCount[RM_Code],$A99,T_StockCount[WeekIndex],27),IF((COUNTIFS(T_SelfStock[RM_Code],$A99,T_SelfStock[WeekIndex],27)&gt;0)*(COUNTIFS(T_TTAFStock[RM_Code],$A99,T_TTAFStock[WeekIndex],27)&gt;0)&gt;0,SUMIFS(T_SelfStock[Self_Qty],T_SelfStock[RM_Code],$A99,T_SelfStock[WeekIndex],27)+SUMIFS(T_TTAFStock[TTAF_Qty],T_TTAFStock[RM_Code],$A99,T_TTAFStock[WeekIndex],27),AA99+'Grid_Incoming'!AB99-'Grid_Requirement'!AB99))</f>
        <v/>
      </c>
      <c r="AC99">
        <f>IF(COUNTIFS(T_StockCount[RM_Code],$A99,T_StockCount[WeekIndex],28)&gt;0,SUMIFS(T_StockCount[CountedQty],T_StockCount[RM_Code],$A99,T_StockCount[WeekIndex],28),IF((COUNTIFS(T_SelfStock[RM_Code],$A99,T_SelfStock[WeekIndex],28)&gt;0)*(COUNTIFS(T_TTAFStock[RM_Code],$A99,T_TTAFStock[WeekIndex],28)&gt;0)&gt;0,SUMIFS(T_SelfStock[Self_Qty],T_SelfStock[RM_Code],$A99,T_SelfStock[WeekIndex],28)+SUMIFS(T_TTAFStock[TTAF_Qty],T_TTAFStock[RM_Code],$A99,T_TTAFStock[WeekIndex],28),AB99+'Grid_Incoming'!AC99-'Grid_Requirement'!AC99))</f>
        <v/>
      </c>
      <c r="AD99">
        <f>IF(COUNTIFS(T_StockCount[RM_Code],$A99,T_StockCount[WeekIndex],29)&gt;0,SUMIFS(T_StockCount[CountedQty],T_StockCount[RM_Code],$A99,T_StockCount[WeekIndex],29),IF((COUNTIFS(T_SelfStock[RM_Code],$A99,T_SelfStock[WeekIndex],29)&gt;0)*(COUNTIFS(T_TTAFStock[RM_Code],$A99,T_TTAFStock[WeekIndex],29)&gt;0)&gt;0,SUMIFS(T_SelfStock[Self_Qty],T_SelfStock[RM_Code],$A99,T_SelfStock[WeekIndex],29)+SUMIFS(T_TTAFStock[TTAF_Qty],T_TTAFStock[RM_Code],$A99,T_TTAFStock[WeekIndex],29),AC99+'Grid_Incoming'!AD99-'Grid_Requirement'!AD99))</f>
        <v/>
      </c>
      <c r="AE99">
        <f>IF(COUNTIFS(T_StockCount[RM_Code],$A99,T_StockCount[WeekIndex],30)&gt;0,SUMIFS(T_StockCount[CountedQty],T_StockCount[RM_Code],$A99,T_StockCount[WeekIndex],30),IF((COUNTIFS(T_SelfStock[RM_Code],$A99,T_SelfStock[WeekIndex],30)&gt;0)*(COUNTIFS(T_TTAFStock[RM_Code],$A99,T_TTAFStock[WeekIndex],30)&gt;0)&gt;0,SUMIFS(T_SelfStock[Self_Qty],T_SelfStock[RM_Code],$A99,T_SelfStock[WeekIndex],30)+SUMIFS(T_TTAFStock[TTAF_Qty],T_TTAFStock[RM_Code],$A99,T_TTAFStock[WeekIndex],30),AD99+'Grid_Incoming'!AE99-'Grid_Requirement'!AE99))</f>
        <v/>
      </c>
      <c r="AF99">
        <f>IF(COUNTIFS(T_StockCount[RM_Code],$A99,T_StockCount[WeekIndex],31)&gt;0,SUMIFS(T_StockCount[CountedQty],T_StockCount[RM_Code],$A99,T_StockCount[WeekIndex],31),IF((COUNTIFS(T_SelfStock[RM_Code],$A99,T_SelfStock[WeekIndex],31)&gt;0)*(COUNTIFS(T_TTAFStock[RM_Code],$A99,T_TTAFStock[WeekIndex],31)&gt;0)&gt;0,SUMIFS(T_SelfStock[Self_Qty],T_SelfStock[RM_Code],$A99,T_SelfStock[WeekIndex],31)+SUMIFS(T_TTAFStock[TTAF_Qty],T_TTAFStock[RM_Code],$A99,T_TTAFStock[WeekIndex],31),AE99+'Grid_Incoming'!AF99-'Grid_Requirement'!AF99))</f>
        <v/>
      </c>
      <c r="AG99">
        <f>IF(COUNTIFS(T_StockCount[RM_Code],$A99,T_StockCount[WeekIndex],32)&gt;0,SUMIFS(T_StockCount[CountedQty],T_StockCount[RM_Code],$A99,T_StockCount[WeekIndex],32),IF((COUNTIFS(T_SelfStock[RM_Code],$A99,T_SelfStock[WeekIndex],32)&gt;0)*(COUNTIFS(T_TTAFStock[RM_Code],$A99,T_TTAFStock[WeekIndex],32)&gt;0)&gt;0,SUMIFS(T_SelfStock[Self_Qty],T_SelfStock[RM_Code],$A99,T_SelfStock[WeekIndex],32)+SUMIFS(T_TTAFStock[TTAF_Qty],T_TTAFStock[RM_Code],$A99,T_TTAFStock[WeekIndex],32),AF99+'Grid_Incoming'!AG99-'Grid_Requirement'!AG99))</f>
        <v/>
      </c>
      <c r="AH99">
        <f>IF(COUNTIFS(T_StockCount[RM_Code],$A99,T_StockCount[WeekIndex],33)&gt;0,SUMIFS(T_StockCount[CountedQty],T_StockCount[RM_Code],$A99,T_StockCount[WeekIndex],33),IF((COUNTIFS(T_SelfStock[RM_Code],$A99,T_SelfStock[WeekIndex],33)&gt;0)*(COUNTIFS(T_TTAFStock[RM_Code],$A99,T_TTAFStock[WeekIndex],33)&gt;0)&gt;0,SUMIFS(T_SelfStock[Self_Qty],T_SelfStock[RM_Code],$A99,T_SelfStock[WeekIndex],33)+SUMIFS(T_TTAFStock[TTAF_Qty],T_TTAFStock[RM_Code],$A99,T_TTAFStock[WeekIndex],33),AG99+'Grid_Incoming'!AH99-'Grid_Requirement'!AH99))</f>
        <v/>
      </c>
      <c r="AI99">
        <f>IF(COUNTIFS(T_StockCount[RM_Code],$A99,T_StockCount[WeekIndex],34)&gt;0,SUMIFS(T_StockCount[CountedQty],T_StockCount[RM_Code],$A99,T_StockCount[WeekIndex],34),IF((COUNTIFS(T_SelfStock[RM_Code],$A99,T_SelfStock[WeekIndex],34)&gt;0)*(COUNTIFS(T_TTAFStock[RM_Code],$A99,T_TTAFStock[WeekIndex],34)&gt;0)&gt;0,SUMIFS(T_SelfStock[Self_Qty],T_SelfStock[RM_Code],$A99,T_SelfStock[WeekIndex],34)+SUMIFS(T_TTAFStock[TTAF_Qty],T_TTAFStock[RM_Code],$A99,T_TTAFStock[WeekIndex],34),AH99+'Grid_Incoming'!AI99-'Grid_Requirement'!AI99))</f>
        <v/>
      </c>
      <c r="AJ99">
        <f>IF(COUNTIFS(T_StockCount[RM_Code],$A99,T_StockCount[WeekIndex],35)&gt;0,SUMIFS(T_StockCount[CountedQty],T_StockCount[RM_Code],$A99,T_StockCount[WeekIndex],35),IF((COUNTIFS(T_SelfStock[RM_Code],$A99,T_SelfStock[WeekIndex],35)&gt;0)*(COUNTIFS(T_TTAFStock[RM_Code],$A99,T_TTAFStock[WeekIndex],35)&gt;0)&gt;0,SUMIFS(T_SelfStock[Self_Qty],T_SelfStock[RM_Code],$A99,T_SelfStock[WeekIndex],35)+SUMIFS(T_TTAFStock[TTAF_Qty],T_TTAFStock[RM_Code],$A99,T_TTAFStock[WeekIndex],35),AI99+'Grid_Incoming'!AJ99-'Grid_Requirement'!AJ99))</f>
        <v/>
      </c>
      <c r="AK99">
        <f>IF(COUNTIFS(T_StockCount[RM_Code],$A99,T_StockCount[WeekIndex],36)&gt;0,SUMIFS(T_StockCount[CountedQty],T_StockCount[RM_Code],$A99,T_StockCount[WeekIndex],36),IF((COUNTIFS(T_SelfStock[RM_Code],$A99,T_SelfStock[WeekIndex],36)&gt;0)*(COUNTIFS(T_TTAFStock[RM_Code],$A99,T_TTAFStock[WeekIndex],36)&gt;0)&gt;0,SUMIFS(T_SelfStock[Self_Qty],T_SelfStock[RM_Code],$A99,T_SelfStock[WeekIndex],36)+SUMIFS(T_TTAFStock[TTAF_Qty],T_TTAFStock[RM_Code],$A99,T_TTAFStock[WeekIndex],36),AJ99+'Grid_Incoming'!AK99-'Grid_Requirement'!AK99))</f>
        <v/>
      </c>
      <c r="AL99">
        <f>IF(COUNTIFS(T_StockCount[RM_Code],$A99,T_StockCount[WeekIndex],37)&gt;0,SUMIFS(T_StockCount[CountedQty],T_StockCount[RM_Code],$A99,T_StockCount[WeekIndex],37),IF((COUNTIFS(T_SelfStock[RM_Code],$A99,T_SelfStock[WeekIndex],37)&gt;0)*(COUNTIFS(T_TTAFStock[RM_Code],$A99,T_TTAFStock[WeekIndex],37)&gt;0)&gt;0,SUMIFS(T_SelfStock[Self_Qty],T_SelfStock[RM_Code],$A99,T_SelfStock[WeekIndex],37)+SUMIFS(T_TTAFStock[TTAF_Qty],T_TTAFStock[RM_Code],$A99,T_TTAFStock[WeekIndex],37),AK99+'Grid_Incoming'!AL99-'Grid_Requirement'!AL99))</f>
        <v/>
      </c>
      <c r="AM99">
        <f>IF(COUNTIFS(T_StockCount[RM_Code],$A99,T_StockCount[WeekIndex],38)&gt;0,SUMIFS(T_StockCount[CountedQty],T_StockCount[RM_Code],$A99,T_StockCount[WeekIndex],38),IF((COUNTIFS(T_SelfStock[RM_Code],$A99,T_SelfStock[WeekIndex],38)&gt;0)*(COUNTIFS(T_TTAFStock[RM_Code],$A99,T_TTAFStock[WeekIndex],38)&gt;0)&gt;0,SUMIFS(T_SelfStock[Self_Qty],T_SelfStock[RM_Code],$A99,T_SelfStock[WeekIndex],38)+SUMIFS(T_TTAFStock[TTAF_Qty],T_TTAFStock[RM_Code],$A99,T_TTAFStock[WeekIndex],38),AL99+'Grid_Incoming'!AM99-'Grid_Requirement'!AM99))</f>
        <v/>
      </c>
      <c r="AN99">
        <f>IF(COUNTIFS(T_StockCount[RM_Code],$A99,T_StockCount[WeekIndex],39)&gt;0,SUMIFS(T_StockCount[CountedQty],T_StockCount[RM_Code],$A99,T_StockCount[WeekIndex],39),IF((COUNTIFS(T_SelfStock[RM_Code],$A99,T_SelfStock[WeekIndex],39)&gt;0)*(COUNTIFS(T_TTAFStock[RM_Code],$A99,T_TTAFStock[WeekIndex],39)&gt;0)&gt;0,SUMIFS(T_SelfStock[Self_Qty],T_SelfStock[RM_Code],$A99,T_SelfStock[WeekIndex],39)+SUMIFS(T_TTAFStock[TTAF_Qty],T_TTAFStock[RM_Code],$A99,T_TTAFStock[WeekIndex],39),AM99+'Grid_Incoming'!AN99-'Grid_Requirement'!AN99))</f>
        <v/>
      </c>
      <c r="AO99">
        <f>IF(COUNTIFS(T_StockCount[RM_Code],$A99,T_StockCount[WeekIndex],40)&gt;0,SUMIFS(T_StockCount[CountedQty],T_StockCount[RM_Code],$A99,T_StockCount[WeekIndex],40),IF((COUNTIFS(T_SelfStock[RM_Code],$A99,T_SelfStock[WeekIndex],40)&gt;0)*(COUNTIFS(T_TTAFStock[RM_Code],$A99,T_TTAFStock[WeekIndex],40)&gt;0)&gt;0,SUMIFS(T_SelfStock[Self_Qty],T_SelfStock[RM_Code],$A99,T_SelfStock[WeekIndex],40)+SUMIFS(T_TTAFStock[TTAF_Qty],T_TTAFStock[RM_Code],$A99,T_TTAFStock[WeekIndex],40),AN99+'Grid_Incoming'!AO99-'Grid_Requirement'!AO99))</f>
        <v/>
      </c>
      <c r="AP99">
        <f>IF(COUNTIFS(T_StockCount[RM_Code],$A99,T_StockCount[WeekIndex],41)&gt;0,SUMIFS(T_StockCount[CountedQty],T_StockCount[RM_Code],$A99,T_StockCount[WeekIndex],41),IF((COUNTIFS(T_SelfStock[RM_Code],$A99,T_SelfStock[WeekIndex],41)&gt;0)*(COUNTIFS(T_TTAFStock[RM_Code],$A99,T_TTAFStock[WeekIndex],41)&gt;0)&gt;0,SUMIFS(T_SelfStock[Self_Qty],T_SelfStock[RM_Code],$A99,T_SelfStock[WeekIndex],41)+SUMIFS(T_TTAFStock[TTAF_Qty],T_TTAFStock[RM_Code],$A99,T_TTAFStock[WeekIndex],41),AO99+'Grid_Incoming'!AP99-'Grid_Requirement'!AP99))</f>
        <v/>
      </c>
      <c r="AQ99">
        <f>IF(COUNTIFS(T_StockCount[RM_Code],$A99,T_StockCount[WeekIndex],42)&gt;0,SUMIFS(T_StockCount[CountedQty],T_StockCount[RM_Code],$A99,T_StockCount[WeekIndex],42),IF((COUNTIFS(T_SelfStock[RM_Code],$A99,T_SelfStock[WeekIndex],42)&gt;0)*(COUNTIFS(T_TTAFStock[RM_Code],$A99,T_TTAFStock[WeekIndex],42)&gt;0)&gt;0,SUMIFS(T_SelfStock[Self_Qty],T_SelfStock[RM_Code],$A99,T_SelfStock[WeekIndex],42)+SUMIFS(T_TTAFStock[TTAF_Qty],T_TTAFStock[RM_Code],$A99,T_TTAFStock[WeekIndex],42),AP99+'Grid_Incoming'!AQ99-'Grid_Requirement'!AQ99))</f>
        <v/>
      </c>
      <c r="AR99">
        <f>IF(COUNTIFS(T_StockCount[RM_Code],$A99,T_StockCount[WeekIndex],43)&gt;0,SUMIFS(T_StockCount[CountedQty],T_StockCount[RM_Code],$A99,T_StockCount[WeekIndex],43),IF((COUNTIFS(T_SelfStock[RM_Code],$A99,T_SelfStock[WeekIndex],43)&gt;0)*(COUNTIFS(T_TTAFStock[RM_Code],$A99,T_TTAFStock[WeekIndex],43)&gt;0)&gt;0,SUMIFS(T_SelfStock[Self_Qty],T_SelfStock[RM_Code],$A99,T_SelfStock[WeekIndex],43)+SUMIFS(T_TTAFStock[TTAF_Qty],T_TTAFStock[RM_Code],$A99,T_TTAFStock[WeekIndex],43),AQ99+'Grid_Incoming'!AR99-'Grid_Requirement'!AR99))</f>
        <v/>
      </c>
      <c r="AS99">
        <f>IF(COUNTIFS(T_StockCount[RM_Code],$A99,T_StockCount[WeekIndex],44)&gt;0,SUMIFS(T_StockCount[CountedQty],T_StockCount[RM_Code],$A99,T_StockCount[WeekIndex],44),IF((COUNTIFS(T_SelfStock[RM_Code],$A99,T_SelfStock[WeekIndex],44)&gt;0)*(COUNTIFS(T_TTAFStock[RM_Code],$A99,T_TTAFStock[WeekIndex],44)&gt;0)&gt;0,SUMIFS(T_SelfStock[Self_Qty],T_SelfStock[RM_Code],$A99,T_SelfStock[WeekIndex],44)+SUMIFS(T_TTAFStock[TTAF_Qty],T_TTAFStock[RM_Code],$A99,T_TTAFStock[WeekIndex],44),AR99+'Grid_Incoming'!AS99-'Grid_Requirement'!AS99))</f>
        <v/>
      </c>
      <c r="AT99">
        <f>IF(COUNTIFS(T_StockCount[RM_Code],$A99,T_StockCount[WeekIndex],45)&gt;0,SUMIFS(T_StockCount[CountedQty],T_StockCount[RM_Code],$A99,T_StockCount[WeekIndex],45),IF((COUNTIFS(T_SelfStock[RM_Code],$A99,T_SelfStock[WeekIndex],45)&gt;0)*(COUNTIFS(T_TTAFStock[RM_Code],$A99,T_TTAFStock[WeekIndex],45)&gt;0)&gt;0,SUMIFS(T_SelfStock[Self_Qty],T_SelfStock[RM_Code],$A99,T_SelfStock[WeekIndex],45)+SUMIFS(T_TTAFStock[TTAF_Qty],T_TTAFStock[RM_Code],$A99,T_TTAFStock[WeekIndex],45),AS99+'Grid_Incoming'!AT99-'Grid_Requirement'!AT99))</f>
        <v/>
      </c>
      <c r="AU99">
        <f>IF(COUNTIFS(T_StockCount[RM_Code],$A99,T_StockCount[WeekIndex],46)&gt;0,SUMIFS(T_StockCount[CountedQty],T_StockCount[RM_Code],$A99,T_StockCount[WeekIndex],46),IF((COUNTIFS(T_SelfStock[RM_Code],$A99,T_SelfStock[WeekIndex],46)&gt;0)*(COUNTIFS(T_TTAFStock[RM_Code],$A99,T_TTAFStock[WeekIndex],46)&gt;0)&gt;0,SUMIFS(T_SelfStock[Self_Qty],T_SelfStock[RM_Code],$A99,T_SelfStock[WeekIndex],46)+SUMIFS(T_TTAFStock[TTAF_Qty],T_TTAFStock[RM_Code],$A99,T_TTAFStock[WeekIndex],46),AT99+'Grid_Incoming'!AU99-'Grid_Requirement'!AU99))</f>
        <v/>
      </c>
      <c r="AV99">
        <f>IF(COUNTIFS(T_StockCount[RM_Code],$A99,T_StockCount[WeekIndex],47)&gt;0,SUMIFS(T_StockCount[CountedQty],T_StockCount[RM_Code],$A99,T_StockCount[WeekIndex],47),IF((COUNTIFS(T_SelfStock[RM_Code],$A99,T_SelfStock[WeekIndex],47)&gt;0)*(COUNTIFS(T_TTAFStock[RM_Code],$A99,T_TTAFStock[WeekIndex],47)&gt;0)&gt;0,SUMIFS(T_SelfStock[Self_Qty],T_SelfStock[RM_Code],$A99,T_SelfStock[WeekIndex],47)+SUMIFS(T_TTAFStock[TTAF_Qty],T_TTAFStock[RM_Code],$A99,T_TTAFStock[WeekIndex],47),AU99+'Grid_Incoming'!AV99-'Grid_Requirement'!AV99))</f>
        <v/>
      </c>
      <c r="AW99">
        <f>IF(COUNTIFS(T_StockCount[RM_Code],$A99,T_StockCount[WeekIndex],48)&gt;0,SUMIFS(T_StockCount[CountedQty],T_StockCount[RM_Code],$A99,T_StockCount[WeekIndex],48),IF((COUNTIFS(T_SelfStock[RM_Code],$A99,T_SelfStock[WeekIndex],48)&gt;0)*(COUNTIFS(T_TTAFStock[RM_Code],$A99,T_TTAFStock[WeekIndex],48)&gt;0)&gt;0,SUMIFS(T_SelfStock[Self_Qty],T_SelfStock[RM_Code],$A99,T_SelfStock[WeekIndex],48)+SUMIFS(T_TTAFStock[TTAF_Qty],T_TTAFStock[RM_Code],$A99,T_TTAFStock[WeekIndex],48),AV99+'Grid_Incoming'!AW99-'Grid_Requirement'!AW99))</f>
        <v/>
      </c>
      <c r="AX99">
        <f>IF(COUNTIFS(T_StockCount[RM_Code],$A99,T_StockCount[WeekIndex],49)&gt;0,SUMIFS(T_StockCount[CountedQty],T_StockCount[RM_Code],$A99,T_StockCount[WeekIndex],49),IF((COUNTIFS(T_SelfStock[RM_Code],$A99,T_SelfStock[WeekIndex],49)&gt;0)*(COUNTIFS(T_TTAFStock[RM_Code],$A99,T_TTAFStock[WeekIndex],49)&gt;0)&gt;0,SUMIFS(T_SelfStock[Self_Qty],T_SelfStock[RM_Code],$A99,T_SelfStock[WeekIndex],49)+SUMIFS(T_TTAFStock[TTAF_Qty],T_TTAFStock[RM_Code],$A99,T_TTAFStock[WeekIndex],49),AW99+'Grid_Incoming'!AX99-'Grid_Requirement'!AX99))</f>
        <v/>
      </c>
      <c r="AY99">
        <f>IF(COUNTIFS(T_StockCount[RM_Code],$A99,T_StockCount[WeekIndex],50)&gt;0,SUMIFS(T_StockCount[CountedQty],T_StockCount[RM_Code],$A99,T_StockCount[WeekIndex],50),IF((COUNTIFS(T_SelfStock[RM_Code],$A99,T_SelfStock[WeekIndex],50)&gt;0)*(COUNTIFS(T_TTAFStock[RM_Code],$A99,T_TTAFStock[WeekIndex],50)&gt;0)&gt;0,SUMIFS(T_SelfStock[Self_Qty],T_SelfStock[RM_Code],$A99,T_SelfStock[WeekIndex],50)+SUMIFS(T_TTAFStock[TTAF_Qty],T_TTAFStock[RM_Code],$A99,T_TTAFStock[WeekIndex],50),AX99+'Grid_Incoming'!AY99-'Grid_Requirement'!AY99))</f>
        <v/>
      </c>
      <c r="AZ99">
        <f>IF(COUNTIFS(T_StockCount[RM_Code],$A99,T_StockCount[WeekIndex],51)&gt;0,SUMIFS(T_StockCount[CountedQty],T_StockCount[RM_Code],$A99,T_StockCount[WeekIndex],51),IF((COUNTIFS(T_SelfStock[RM_Code],$A99,T_SelfStock[WeekIndex],51)&gt;0)*(COUNTIFS(T_TTAFStock[RM_Code],$A99,T_TTAFStock[WeekIndex],51)&gt;0)&gt;0,SUMIFS(T_SelfStock[Self_Qty],T_SelfStock[RM_Code],$A99,T_SelfStock[WeekIndex],51)+SUMIFS(T_TTAFStock[TTAF_Qty],T_TTAFStock[RM_Code],$A99,T_TTAFStock[WeekIndex],51),AY99+'Grid_Incoming'!AZ99-'Grid_Requirement'!AZ99))</f>
        <v/>
      </c>
      <c r="BA99">
        <f>IF(COUNTIFS(T_StockCount[RM_Code],$A99,T_StockCount[WeekIndex],52)&gt;0,SUMIFS(T_StockCount[CountedQty],T_StockCount[RM_Code],$A99,T_StockCount[WeekIndex],52),IF((COUNTIFS(T_SelfStock[RM_Code],$A99,T_SelfStock[WeekIndex],52)&gt;0)*(COUNTIFS(T_TTAFStock[RM_Code],$A99,T_TTAFStock[WeekIndex],52)&gt;0)&gt;0,SUMIFS(T_SelfStock[Self_Qty],T_SelfStock[RM_Code],$A99,T_SelfStock[WeekIndex],52)+SUMIFS(T_TTAFStock[TTAF_Qty],T_TTAFStock[RM_Code],$A99,T_TTAFStock[WeekIndex],52),AZ99+'Grid_Incoming'!BA99-'Grid_Requirement'!BA99))</f>
        <v/>
      </c>
      <c r="BB99">
        <f>IF(COUNTIFS(T_StockCount[RM_Code],$A99,T_StockCount[WeekIndex],53)&gt;0,SUMIFS(T_StockCount[CountedQty],T_StockCount[RM_Code],$A99,T_StockCount[WeekIndex],53),IF((COUNTIFS(T_SelfStock[RM_Code],$A99,T_SelfStock[WeekIndex],53)&gt;0)*(COUNTIFS(T_TTAFStock[RM_Code],$A99,T_TTAFStock[WeekIndex],53)&gt;0)&gt;0,SUMIFS(T_SelfStock[Self_Qty],T_SelfStock[RM_Code],$A99,T_SelfStock[WeekIndex],53)+SUMIFS(T_TTAFStock[TTAF_Qty],T_TTAFStock[RM_Code],$A99,T_TTAFStock[WeekIndex],53),BA99+'Grid_Incoming'!BB99-'Grid_Requirement'!BB99))</f>
        <v/>
      </c>
      <c r="BC99">
        <f>IF(COUNTIFS(T_StockCount[RM_Code],$A99,T_StockCount[WeekIndex],54)&gt;0,SUMIFS(T_StockCount[CountedQty],T_StockCount[RM_Code],$A99,T_StockCount[WeekIndex],54),IF((COUNTIFS(T_SelfStock[RM_Code],$A99,T_SelfStock[WeekIndex],54)&gt;0)*(COUNTIFS(T_TTAFStock[RM_Code],$A99,T_TTAFStock[WeekIndex],54)&gt;0)&gt;0,SUMIFS(T_SelfStock[Self_Qty],T_SelfStock[RM_Code],$A99,T_SelfStock[WeekIndex],54)+SUMIFS(T_TTAFStock[TTAF_Qty],T_TTAFStock[RM_Code],$A99,T_TTAFStock[WeekIndex],54),BB99+'Grid_Incoming'!BC99-'Grid_Requirement'!BC99))</f>
        <v/>
      </c>
      <c r="BD99">
        <f>IF(COUNTIFS(T_StockCount[RM_Code],$A99,T_StockCount[WeekIndex],55)&gt;0,SUMIFS(T_StockCount[CountedQty],T_StockCount[RM_Code],$A99,T_StockCount[WeekIndex],55),IF((COUNTIFS(T_SelfStock[RM_Code],$A99,T_SelfStock[WeekIndex],55)&gt;0)*(COUNTIFS(T_TTAFStock[RM_Code],$A99,T_TTAFStock[WeekIndex],55)&gt;0)&gt;0,SUMIFS(T_SelfStock[Self_Qty],T_SelfStock[RM_Code],$A99,T_SelfStock[WeekIndex],55)+SUMIFS(T_TTAFStock[TTAF_Qty],T_TTAFStock[RM_Code],$A99,T_TTAFStock[WeekIndex],55),BC99+'Grid_Incoming'!BD99-'Grid_Requirement'!BD99))</f>
        <v/>
      </c>
      <c r="BE99">
        <f>IF(COUNTIFS(T_StockCount[RM_Code],$A99,T_StockCount[WeekIndex],56)&gt;0,SUMIFS(T_StockCount[CountedQty],T_StockCount[RM_Code],$A99,T_StockCount[WeekIndex],56),IF((COUNTIFS(T_SelfStock[RM_Code],$A99,T_SelfStock[WeekIndex],56)&gt;0)*(COUNTIFS(T_TTAFStock[RM_Code],$A99,T_TTAFStock[WeekIndex],56)&gt;0)&gt;0,SUMIFS(T_SelfStock[Self_Qty],T_SelfStock[RM_Code],$A99,T_SelfStock[WeekIndex],56)+SUMIFS(T_TTAFStock[TTAF_Qty],T_TTAFStock[RM_Code],$A99,T_TTAFStock[WeekIndex],56),BD99+'Grid_Incoming'!BE99-'Grid_Requirement'!BE99))</f>
        <v/>
      </c>
      <c r="BF99">
        <f>IF(COUNTIFS(T_StockCount[RM_Code],$A99,T_StockCount[WeekIndex],57)&gt;0,SUMIFS(T_StockCount[CountedQty],T_StockCount[RM_Code],$A99,T_StockCount[WeekIndex],57),IF((COUNTIFS(T_SelfStock[RM_Code],$A99,T_SelfStock[WeekIndex],57)&gt;0)*(COUNTIFS(T_TTAFStock[RM_Code],$A99,T_TTAFStock[WeekIndex],57)&gt;0)&gt;0,SUMIFS(T_SelfStock[Self_Qty],T_SelfStock[RM_Code],$A99,T_SelfStock[WeekIndex],57)+SUMIFS(T_TTAFStock[TTAF_Qty],T_TTAFStock[RM_Code],$A99,T_TTAFStock[WeekIndex],57),BE99+'Grid_Incoming'!BF99-'Grid_Requirement'!BF99))</f>
        <v/>
      </c>
      <c r="BG99">
        <f>IF(COUNTIFS(T_StockCount[RM_Code],$A99,T_StockCount[WeekIndex],58)&gt;0,SUMIFS(T_StockCount[CountedQty],T_StockCount[RM_Code],$A99,T_StockCount[WeekIndex],58),IF((COUNTIFS(T_SelfStock[RM_Code],$A99,T_SelfStock[WeekIndex],58)&gt;0)*(COUNTIFS(T_TTAFStock[RM_Code],$A99,T_TTAFStock[WeekIndex],58)&gt;0)&gt;0,SUMIFS(T_SelfStock[Self_Qty],T_SelfStock[RM_Code],$A99,T_SelfStock[WeekIndex],58)+SUMIFS(T_TTAFStock[TTAF_Qty],T_TTAFStock[RM_Code],$A99,T_TTAFStock[WeekIndex],58),BF99+'Grid_Incoming'!BG99-'Grid_Requirement'!BG99))</f>
        <v/>
      </c>
      <c r="BH99">
        <f>IF(COUNTIFS(T_StockCount[RM_Code],$A99,T_StockCount[WeekIndex],59)&gt;0,SUMIFS(T_StockCount[CountedQty],T_StockCount[RM_Code],$A99,T_StockCount[WeekIndex],59),IF((COUNTIFS(T_SelfStock[RM_Code],$A99,T_SelfStock[WeekIndex],59)&gt;0)*(COUNTIFS(T_TTAFStock[RM_Code],$A99,T_TTAFStock[WeekIndex],59)&gt;0)&gt;0,SUMIFS(T_SelfStock[Self_Qty],T_SelfStock[RM_Code],$A99,T_SelfStock[WeekIndex],59)+SUMIFS(T_TTAFStock[TTAF_Qty],T_TTAFStock[RM_Code],$A99,T_TTAFStock[WeekIndex],59),BG99+'Grid_Incoming'!BH99-'Grid_Requirement'!BH99))</f>
        <v/>
      </c>
      <c r="BI99">
        <f>IF(COUNTIFS(T_StockCount[RM_Code],$A99,T_StockCount[WeekIndex],60)&gt;0,SUMIFS(T_StockCount[CountedQty],T_StockCount[RM_Code],$A99,T_StockCount[WeekIndex],60),IF((COUNTIFS(T_SelfStock[RM_Code],$A99,T_SelfStock[WeekIndex],60)&gt;0)*(COUNTIFS(T_TTAFStock[RM_Code],$A99,T_TTAFStock[WeekIndex],60)&gt;0)&gt;0,SUMIFS(T_SelfStock[Self_Qty],T_SelfStock[RM_Code],$A99,T_SelfStock[WeekIndex],60)+SUMIFS(T_TTAFStock[TTAF_Qty],T_TTAFStock[RM_Code],$A99,T_TTAFStock[WeekIndex],60),BH99+'Grid_Incoming'!BI99-'Grid_Requirement'!BI99))</f>
        <v/>
      </c>
      <c r="BJ99">
        <f>IF(COUNTIFS(T_StockCount[RM_Code],$A99,T_StockCount[WeekIndex],61)&gt;0,SUMIFS(T_StockCount[CountedQty],T_StockCount[RM_Code],$A99,T_StockCount[WeekIndex],61),IF((COUNTIFS(T_SelfStock[RM_Code],$A99,T_SelfStock[WeekIndex],61)&gt;0)*(COUNTIFS(T_TTAFStock[RM_Code],$A99,T_TTAFStock[WeekIndex],61)&gt;0)&gt;0,SUMIFS(T_SelfStock[Self_Qty],T_SelfStock[RM_Code],$A99,T_SelfStock[WeekIndex],61)+SUMIFS(T_TTAFStock[TTAF_Qty],T_TTAFStock[RM_Code],$A99,T_TTAFStock[WeekIndex],61),BI99+'Grid_Incoming'!BJ99-'Grid_Requirement'!BJ99))</f>
        <v/>
      </c>
      <c r="BK99">
        <f>IF(COUNTIFS(T_StockCount[RM_Code],$A99,T_StockCount[WeekIndex],62)&gt;0,SUMIFS(T_StockCount[CountedQty],T_StockCount[RM_Code],$A99,T_StockCount[WeekIndex],62),IF((COUNTIFS(T_SelfStock[RM_Code],$A99,T_SelfStock[WeekIndex],62)&gt;0)*(COUNTIFS(T_TTAFStock[RM_Code],$A99,T_TTAFStock[WeekIndex],62)&gt;0)&gt;0,SUMIFS(T_SelfStock[Self_Qty],T_SelfStock[RM_Code],$A99,T_SelfStock[WeekIndex],62)+SUMIFS(T_TTAFStock[TTAF_Qty],T_TTAFStock[RM_Code],$A99,T_TTAFStock[WeekIndex],62),BJ99+'Grid_Incoming'!BK99-'Grid_Requirement'!BK99))</f>
        <v/>
      </c>
      <c r="BL99">
        <f>IF(COUNTIFS(T_StockCount[RM_Code],$A99,T_StockCount[WeekIndex],63)&gt;0,SUMIFS(T_StockCount[CountedQty],T_StockCount[RM_Code],$A99,T_StockCount[WeekIndex],63),IF((COUNTIFS(T_SelfStock[RM_Code],$A99,T_SelfStock[WeekIndex],63)&gt;0)*(COUNTIFS(T_TTAFStock[RM_Code],$A99,T_TTAFStock[WeekIndex],63)&gt;0)&gt;0,SUMIFS(T_SelfStock[Self_Qty],T_SelfStock[RM_Code],$A99,T_SelfStock[WeekIndex],63)+SUMIFS(T_TTAFStock[TTAF_Qty],T_TTAFStock[RM_Code],$A99,T_TTAFStock[WeekIndex],63),BK99+'Grid_Incoming'!BL99-'Grid_Requirement'!BL99))</f>
        <v/>
      </c>
      <c r="BM99">
        <f>IF(COUNTIFS(T_StockCount[RM_Code],$A99,T_StockCount[WeekIndex],64)&gt;0,SUMIFS(T_StockCount[CountedQty],T_StockCount[RM_Code],$A99,T_StockCount[WeekIndex],64),IF((COUNTIFS(T_SelfStock[RM_Code],$A99,T_SelfStock[WeekIndex],64)&gt;0)*(COUNTIFS(T_TTAFStock[RM_Code],$A99,T_TTAFStock[WeekIndex],64)&gt;0)&gt;0,SUMIFS(T_SelfStock[Self_Qty],T_SelfStock[RM_Code],$A99,T_SelfStock[WeekIndex],64)+SUMIFS(T_TTAFStock[TTAF_Qty],T_TTAFStock[RM_Code],$A99,T_TTAFStock[WeekIndex],64),BL99+'Grid_Incoming'!BM99-'Grid_Requirement'!BM99))</f>
        <v/>
      </c>
      <c r="BN99">
        <f>IF(COUNTIFS(T_StockCount[RM_Code],$A99,T_StockCount[WeekIndex],65)&gt;0,SUMIFS(T_StockCount[CountedQty],T_StockCount[RM_Code],$A99,T_StockCount[WeekIndex],65),IF((COUNTIFS(T_SelfStock[RM_Code],$A99,T_SelfStock[WeekIndex],65)&gt;0)*(COUNTIFS(T_TTAFStock[RM_Code],$A99,T_TTAFStock[WeekIndex],65)&gt;0)&gt;0,SUMIFS(T_SelfStock[Self_Qty],T_SelfStock[RM_Code],$A99,T_SelfStock[WeekIndex],65)+SUMIFS(T_TTAFStock[TTAF_Qty],T_TTAFStock[RM_Code],$A99,T_TTAFStock[WeekIndex],65),BM99+'Grid_Incoming'!BN99-'Grid_Requirement'!BN99))</f>
        <v/>
      </c>
      <c r="BO99">
        <f>IF(COUNTIFS(T_StockCount[RM_Code],$A99,T_StockCount[WeekIndex],66)&gt;0,SUMIFS(T_StockCount[CountedQty],T_StockCount[RM_Code],$A99,T_StockCount[WeekIndex],66),IF((COUNTIFS(T_SelfStock[RM_Code],$A99,T_SelfStock[WeekIndex],66)&gt;0)*(COUNTIFS(T_TTAFStock[RM_Code],$A99,T_TTAFStock[WeekIndex],66)&gt;0)&gt;0,SUMIFS(T_SelfStock[Self_Qty],T_SelfStock[RM_Code],$A99,T_SelfStock[WeekIndex],66)+SUMIFS(T_TTAFStock[TTAF_Qty],T_TTAFStock[RM_Code],$A99,T_TTAFStock[WeekIndex],66),BN99+'Grid_Incoming'!BO99-'Grid_Requirement'!BO99))</f>
        <v/>
      </c>
      <c r="BP99">
        <f>IF(COUNTIFS(T_StockCount[RM_Code],$A99,T_StockCount[WeekIndex],67)&gt;0,SUMIFS(T_StockCount[CountedQty],T_StockCount[RM_Code],$A99,T_StockCount[WeekIndex],67),IF((COUNTIFS(T_SelfStock[RM_Code],$A99,T_SelfStock[WeekIndex],67)&gt;0)*(COUNTIFS(T_TTAFStock[RM_Code],$A99,T_TTAFStock[WeekIndex],67)&gt;0)&gt;0,SUMIFS(T_SelfStock[Self_Qty],T_SelfStock[RM_Code],$A99,T_SelfStock[WeekIndex],67)+SUMIFS(T_TTAFStock[TTAF_Qty],T_TTAFStock[RM_Code],$A99,T_TTAFStock[WeekIndex],67),BO99+'Grid_Incoming'!BP99-'Grid_Requirement'!BP99))</f>
        <v/>
      </c>
      <c r="BQ99">
        <f>IF(COUNTIFS(T_StockCount[RM_Code],$A99,T_StockCount[WeekIndex],68)&gt;0,SUMIFS(T_StockCount[CountedQty],T_StockCount[RM_Code],$A99,T_StockCount[WeekIndex],68),IF((COUNTIFS(T_SelfStock[RM_Code],$A99,T_SelfStock[WeekIndex],68)&gt;0)*(COUNTIFS(T_TTAFStock[RM_Code],$A99,T_TTAFStock[WeekIndex],68)&gt;0)&gt;0,SUMIFS(T_SelfStock[Self_Qty],T_SelfStock[RM_Code],$A99,T_SelfStock[WeekIndex],68)+SUMIFS(T_TTAFStock[TTAF_Qty],T_TTAFStock[RM_Code],$A99,T_TTAFStock[WeekIndex],68),BP99+'Grid_Incoming'!BQ99-'Grid_Requirement'!BQ99))</f>
        <v/>
      </c>
      <c r="BR99">
        <f>IF(COUNTIFS(T_StockCount[RM_Code],$A99,T_StockCount[WeekIndex],69)&gt;0,SUMIFS(T_StockCount[CountedQty],T_StockCount[RM_Code],$A99,T_StockCount[WeekIndex],69),IF((COUNTIFS(T_SelfStock[RM_Code],$A99,T_SelfStock[WeekIndex],69)&gt;0)*(COUNTIFS(T_TTAFStock[RM_Code],$A99,T_TTAFStock[WeekIndex],69)&gt;0)&gt;0,SUMIFS(T_SelfStock[Self_Qty],T_SelfStock[RM_Code],$A99,T_SelfStock[WeekIndex],69)+SUMIFS(T_TTAFStock[TTAF_Qty],T_TTAFStock[RM_Code],$A99,T_TTAFStock[WeekIndex],69),BQ99+'Grid_Incoming'!BR99-'Grid_Requirement'!BR99))</f>
        <v/>
      </c>
      <c r="BS99">
        <f>IF(COUNTIFS(T_StockCount[RM_Code],$A99,T_StockCount[WeekIndex],70)&gt;0,SUMIFS(T_StockCount[CountedQty],T_StockCount[RM_Code],$A99,T_StockCount[WeekIndex],70),IF((COUNTIFS(T_SelfStock[RM_Code],$A99,T_SelfStock[WeekIndex],70)&gt;0)*(COUNTIFS(T_TTAFStock[RM_Code],$A99,T_TTAFStock[WeekIndex],70)&gt;0)&gt;0,SUMIFS(T_SelfStock[Self_Qty],T_SelfStock[RM_Code],$A99,T_SelfStock[WeekIndex],70)+SUMIFS(T_TTAFStock[TTAF_Qty],T_TTAFStock[RM_Code],$A99,T_TTAFStock[WeekIndex],70),BR99+'Grid_Incoming'!BS99-'Grid_Requirement'!BS99))</f>
        <v/>
      </c>
      <c r="BT99">
        <f>IF(COUNTIFS(T_StockCount[RM_Code],$A99,T_StockCount[WeekIndex],71)&gt;0,SUMIFS(T_StockCount[CountedQty],T_StockCount[RM_Code],$A99,T_StockCount[WeekIndex],71),IF((COUNTIFS(T_SelfStock[RM_Code],$A99,T_SelfStock[WeekIndex],71)&gt;0)*(COUNTIFS(T_TTAFStock[RM_Code],$A99,T_TTAFStock[WeekIndex],71)&gt;0)&gt;0,SUMIFS(T_SelfStock[Self_Qty],T_SelfStock[RM_Code],$A99,T_SelfStock[WeekIndex],71)+SUMIFS(T_TTAFStock[TTAF_Qty],T_TTAFStock[RM_Code],$A99,T_TTAFStock[WeekIndex],71),BS99+'Grid_Incoming'!BT99-'Grid_Requirement'!BT99))</f>
        <v/>
      </c>
      <c r="BU99">
        <f>IF(COUNTIFS(T_StockCount[RM_Code],$A99,T_StockCount[WeekIndex],72)&gt;0,SUMIFS(T_StockCount[CountedQty],T_StockCount[RM_Code],$A99,T_StockCount[WeekIndex],72),IF((COUNTIFS(T_SelfStock[RM_Code],$A99,T_SelfStock[WeekIndex],72)&gt;0)*(COUNTIFS(T_TTAFStock[RM_Code],$A99,T_TTAFStock[WeekIndex],72)&gt;0)&gt;0,SUMIFS(T_SelfStock[Self_Qty],T_SelfStock[RM_Code],$A99,T_SelfStock[WeekIndex],72)+SUMIFS(T_TTAFStock[TTAF_Qty],T_TTAFStock[RM_Code],$A99,T_TTAFStock[WeekIndex],72),BT99+'Grid_Incoming'!BU99-'Grid_Requirement'!BU99))</f>
        <v/>
      </c>
      <c r="BV99">
        <f>IF(COUNTIFS(T_StockCount[RM_Code],$A99,T_StockCount[WeekIndex],73)&gt;0,SUMIFS(T_StockCount[CountedQty],T_StockCount[RM_Code],$A99,T_StockCount[WeekIndex],73),IF((COUNTIFS(T_SelfStock[RM_Code],$A99,T_SelfStock[WeekIndex],73)&gt;0)*(COUNTIFS(T_TTAFStock[RM_Code],$A99,T_TTAFStock[WeekIndex],73)&gt;0)&gt;0,SUMIFS(T_SelfStock[Self_Qty],T_SelfStock[RM_Code],$A99,T_SelfStock[WeekIndex],73)+SUMIFS(T_TTAFStock[TTAF_Qty],T_TTAFStock[RM_Code],$A99,T_TTAFStock[WeekIndex],73),BU99+'Grid_Incoming'!BV99-'Grid_Requirement'!BV99))</f>
        <v/>
      </c>
      <c r="BW99">
        <f>IF(COUNTIFS(T_StockCount[RM_Code],$A99,T_StockCount[WeekIndex],74)&gt;0,SUMIFS(T_StockCount[CountedQty],T_StockCount[RM_Code],$A99,T_StockCount[WeekIndex],74),IF((COUNTIFS(T_SelfStock[RM_Code],$A99,T_SelfStock[WeekIndex],74)&gt;0)*(COUNTIFS(T_TTAFStock[RM_Code],$A99,T_TTAFStock[WeekIndex],74)&gt;0)&gt;0,SUMIFS(T_SelfStock[Self_Qty],T_SelfStock[RM_Code],$A99,T_SelfStock[WeekIndex],74)+SUMIFS(T_TTAFStock[TTAF_Qty],T_TTAFStock[RM_Code],$A99,T_TTAFStock[WeekIndex],74),BV99+'Grid_Incoming'!BW99-'Grid_Requirement'!BW99))</f>
        <v/>
      </c>
      <c r="BX99">
        <f>IF(COUNTIFS(T_StockCount[RM_Code],$A99,T_StockCount[WeekIndex],75)&gt;0,SUMIFS(T_StockCount[CountedQty],T_StockCount[RM_Code],$A99,T_StockCount[WeekIndex],75),IF((COUNTIFS(T_SelfStock[RM_Code],$A99,T_SelfStock[WeekIndex],75)&gt;0)*(COUNTIFS(T_TTAFStock[RM_Code],$A99,T_TTAFStock[WeekIndex],75)&gt;0)&gt;0,SUMIFS(T_SelfStock[Self_Qty],T_SelfStock[RM_Code],$A99,T_SelfStock[WeekIndex],75)+SUMIFS(T_TTAFStock[TTAF_Qty],T_TTAFStock[RM_Code],$A99,T_TTAFStock[WeekIndex],75),BW99+'Grid_Incoming'!BX99-'Grid_Requirement'!BX99))</f>
        <v/>
      </c>
      <c r="BY99">
        <f>IF(COUNTIFS(T_StockCount[RM_Code],$A99,T_StockCount[WeekIndex],76)&gt;0,SUMIFS(T_StockCount[CountedQty],T_StockCount[RM_Code],$A99,T_StockCount[WeekIndex],76),IF((COUNTIFS(T_SelfStock[RM_Code],$A99,T_SelfStock[WeekIndex],76)&gt;0)*(COUNTIFS(T_TTAFStock[RM_Code],$A99,T_TTAFStock[WeekIndex],76)&gt;0)&gt;0,SUMIFS(T_SelfStock[Self_Qty],T_SelfStock[RM_Code],$A99,T_SelfStock[WeekIndex],76)+SUMIFS(T_TTAFStock[TTAF_Qty],T_TTAFStock[RM_Code],$A99,T_TTAFStock[WeekIndex],76),BX99+'Grid_Incoming'!BY99-'Grid_Requirement'!BY99))</f>
        <v/>
      </c>
      <c r="BZ99">
        <f>IF(COUNTIFS(T_StockCount[RM_Code],$A99,T_StockCount[WeekIndex],77)&gt;0,SUMIFS(T_StockCount[CountedQty],T_StockCount[RM_Code],$A99,T_StockCount[WeekIndex],77),IF((COUNTIFS(T_SelfStock[RM_Code],$A99,T_SelfStock[WeekIndex],77)&gt;0)*(COUNTIFS(T_TTAFStock[RM_Code],$A99,T_TTAFStock[WeekIndex],77)&gt;0)&gt;0,SUMIFS(T_SelfStock[Self_Qty],T_SelfStock[RM_Code],$A99,T_SelfStock[WeekIndex],77)+SUMIFS(T_TTAFStock[TTAF_Qty],T_TTAFStock[RM_Code],$A99,T_TTAFStock[WeekIndex],77),BY99+'Grid_Incoming'!BZ99-'Grid_Requirement'!BZ99))</f>
        <v/>
      </c>
      <c r="CA99">
        <f>IF(COUNTIFS(T_StockCount[RM_Code],$A99,T_StockCount[WeekIndex],78)&gt;0,SUMIFS(T_StockCount[CountedQty],T_StockCount[RM_Code],$A99,T_StockCount[WeekIndex],78),IF((COUNTIFS(T_SelfStock[RM_Code],$A99,T_SelfStock[WeekIndex],78)&gt;0)*(COUNTIFS(T_TTAFStock[RM_Code],$A99,T_TTAFStock[WeekIndex],78)&gt;0)&gt;0,SUMIFS(T_SelfStock[Self_Qty],T_SelfStock[RM_Code],$A99,T_SelfStock[WeekIndex],78)+SUMIFS(T_TTAFStock[TTAF_Qty],T_TTAFStock[RM_Code],$A99,T_TTAFStock[WeekIndex],78),BZ99+'Grid_Incoming'!CA99-'Grid_Requirement'!CA99))</f>
        <v/>
      </c>
      <c r="CB99">
        <f>IF(COUNTIFS(T_StockCount[RM_Code],$A99,T_StockCount[WeekIndex],79)&gt;0,SUMIFS(T_StockCount[CountedQty],T_StockCount[RM_Code],$A99,T_StockCount[WeekIndex],79),IF((COUNTIFS(T_SelfStock[RM_Code],$A99,T_SelfStock[WeekIndex],79)&gt;0)*(COUNTIFS(T_TTAFStock[RM_Code],$A99,T_TTAFStock[WeekIndex],79)&gt;0)&gt;0,SUMIFS(T_SelfStock[Self_Qty],T_SelfStock[RM_Code],$A99,T_SelfStock[WeekIndex],79)+SUMIFS(T_TTAFStock[TTAF_Qty],T_TTAFStock[RM_Code],$A99,T_TTAFStock[WeekIndex],79),CA99+'Grid_Incoming'!CB99-'Grid_Requirement'!CB99))</f>
        <v/>
      </c>
      <c r="CC99">
        <f>IF(COUNTIFS(T_StockCount[RM_Code],$A99,T_StockCount[WeekIndex],80)&gt;0,SUMIFS(T_StockCount[CountedQty],T_StockCount[RM_Code],$A99,T_StockCount[WeekIndex],80),IF((COUNTIFS(T_SelfStock[RM_Code],$A99,T_SelfStock[WeekIndex],80)&gt;0)*(COUNTIFS(T_TTAFStock[RM_Code],$A99,T_TTAFStock[WeekIndex],80)&gt;0)&gt;0,SUMIFS(T_SelfStock[Self_Qty],T_SelfStock[RM_Code],$A99,T_SelfStock[WeekIndex],80)+SUMIFS(T_TTAFStock[TTAF_Qty],T_TTAFStock[RM_Code],$A99,T_TTAFStock[WeekIndex],80),CB99+'Grid_Incoming'!CC99-'Grid_Requirement'!CC99))</f>
        <v/>
      </c>
      <c r="CD99">
        <f>IF(COUNTIFS(T_StockCount[RM_Code],$A99,T_StockCount[WeekIndex],81)&gt;0,SUMIFS(T_StockCount[CountedQty],T_StockCount[RM_Code],$A99,T_StockCount[WeekIndex],81),IF((COUNTIFS(T_SelfStock[RM_Code],$A99,T_SelfStock[WeekIndex],81)&gt;0)*(COUNTIFS(T_TTAFStock[RM_Code],$A99,T_TTAFStock[WeekIndex],81)&gt;0)&gt;0,SUMIFS(T_SelfStock[Self_Qty],T_SelfStock[RM_Code],$A99,T_SelfStock[WeekIndex],81)+SUMIFS(T_TTAFStock[TTAF_Qty],T_TTAFStock[RM_Code],$A99,T_TTAFStock[WeekIndex],81),CC99+'Grid_Incoming'!CD99-'Grid_Requirement'!CD99))</f>
        <v/>
      </c>
      <c r="CE99">
        <f>IF(COUNTIFS(T_StockCount[RM_Code],$A99,T_StockCount[WeekIndex],82)&gt;0,SUMIFS(T_StockCount[CountedQty],T_StockCount[RM_Code],$A99,T_StockCount[WeekIndex],82),IF((COUNTIFS(T_SelfStock[RM_Code],$A99,T_SelfStock[WeekIndex],82)&gt;0)*(COUNTIFS(T_TTAFStock[RM_Code],$A99,T_TTAFStock[WeekIndex],82)&gt;0)&gt;0,SUMIFS(T_SelfStock[Self_Qty],T_SelfStock[RM_Code],$A99,T_SelfStock[WeekIndex],82)+SUMIFS(T_TTAFStock[TTAF_Qty],T_TTAFStock[RM_Code],$A99,T_TTAFStock[WeekIndex],82),CD99+'Grid_Incoming'!CE99-'Grid_Requirement'!CE99))</f>
        <v/>
      </c>
      <c r="CF99">
        <f>IF(COUNTIFS(T_StockCount[RM_Code],$A99,T_StockCount[WeekIndex],83)&gt;0,SUMIFS(T_StockCount[CountedQty],T_StockCount[RM_Code],$A99,T_StockCount[WeekIndex],83),IF((COUNTIFS(T_SelfStock[RM_Code],$A99,T_SelfStock[WeekIndex],83)&gt;0)*(COUNTIFS(T_TTAFStock[RM_Code],$A99,T_TTAFStock[WeekIndex],83)&gt;0)&gt;0,SUMIFS(T_SelfStock[Self_Qty],T_SelfStock[RM_Code],$A99,T_SelfStock[WeekIndex],83)+SUMIFS(T_TTAFStock[TTAF_Qty],T_TTAFStock[RM_Code],$A99,T_TTAFStock[WeekIndex],83),CE99+'Grid_Incoming'!CF99-'Grid_Requirement'!CF99))</f>
        <v/>
      </c>
      <c r="CG99">
        <f>IF(COUNTIFS(T_StockCount[RM_Code],$A99,T_StockCount[WeekIndex],84)&gt;0,SUMIFS(T_StockCount[CountedQty],T_StockCount[RM_Code],$A99,T_StockCount[WeekIndex],84),IF((COUNTIFS(T_SelfStock[RM_Code],$A99,T_SelfStock[WeekIndex],84)&gt;0)*(COUNTIFS(T_TTAFStock[RM_Code],$A99,T_TTAFStock[WeekIndex],84)&gt;0)&gt;0,SUMIFS(T_SelfStock[Self_Qty],T_SelfStock[RM_Code],$A99,T_SelfStock[WeekIndex],84)+SUMIFS(T_TTAFStock[TTAF_Qty],T_TTAFStock[RM_Code],$A99,T_TTAFStock[WeekIndex],84),CF99+'Grid_Incoming'!CG99-'Grid_Requirement'!CG99))</f>
        <v/>
      </c>
      <c r="CH99">
        <f>IF(COUNTIFS(T_StockCount[RM_Code],$A99,T_StockCount[WeekIndex],85)&gt;0,SUMIFS(T_StockCount[CountedQty],T_StockCount[RM_Code],$A99,T_StockCount[WeekIndex],85),IF((COUNTIFS(T_SelfStock[RM_Code],$A99,T_SelfStock[WeekIndex],85)&gt;0)*(COUNTIFS(T_TTAFStock[RM_Code],$A99,T_TTAFStock[WeekIndex],85)&gt;0)&gt;0,SUMIFS(T_SelfStock[Self_Qty],T_SelfStock[RM_Code],$A99,T_SelfStock[WeekIndex],85)+SUMIFS(T_TTAFStock[TTAF_Qty],T_TTAFStock[RM_Code],$A99,T_TTAFStock[WeekIndex],85),CG99+'Grid_Incoming'!CH99-'Grid_Requirement'!CH99))</f>
        <v/>
      </c>
      <c r="CI99">
        <f>IF(COUNTIFS(T_StockCount[RM_Code],$A99,T_StockCount[WeekIndex],86)&gt;0,SUMIFS(T_StockCount[CountedQty],T_StockCount[RM_Code],$A99,T_StockCount[WeekIndex],86),IF((COUNTIFS(T_SelfStock[RM_Code],$A99,T_SelfStock[WeekIndex],86)&gt;0)*(COUNTIFS(T_TTAFStock[RM_Code],$A99,T_TTAFStock[WeekIndex],86)&gt;0)&gt;0,SUMIFS(T_SelfStock[Self_Qty],T_SelfStock[RM_Code],$A99,T_SelfStock[WeekIndex],86)+SUMIFS(T_TTAFStock[TTAF_Qty],T_TTAFStock[RM_Code],$A99,T_TTAFStock[WeekIndex],86),CH99+'Grid_Incoming'!CI99-'Grid_Requirement'!CI99))</f>
        <v/>
      </c>
      <c r="CJ99">
        <f>IF(COUNTIFS(T_StockCount[RM_Code],$A99,T_StockCount[WeekIndex],87)&gt;0,SUMIFS(T_StockCount[CountedQty],T_StockCount[RM_Code],$A99,T_StockCount[WeekIndex],87),IF((COUNTIFS(T_SelfStock[RM_Code],$A99,T_SelfStock[WeekIndex],87)&gt;0)*(COUNTIFS(T_TTAFStock[RM_Code],$A99,T_TTAFStock[WeekIndex],87)&gt;0)&gt;0,SUMIFS(T_SelfStock[Self_Qty],T_SelfStock[RM_Code],$A99,T_SelfStock[WeekIndex],87)+SUMIFS(T_TTAFStock[TTAF_Qty],T_TTAFStock[RM_Code],$A99,T_TTAFStock[WeekIndex],87),CI99+'Grid_Incoming'!CJ99-'Grid_Requirement'!CJ99))</f>
        <v/>
      </c>
      <c r="CK99">
        <f>IF(COUNTIFS(T_StockCount[RM_Code],$A99,T_StockCount[WeekIndex],88)&gt;0,SUMIFS(T_StockCount[CountedQty],T_StockCount[RM_Code],$A99,T_StockCount[WeekIndex],88),IF((COUNTIFS(T_SelfStock[RM_Code],$A99,T_SelfStock[WeekIndex],88)&gt;0)*(COUNTIFS(T_TTAFStock[RM_Code],$A99,T_TTAFStock[WeekIndex],88)&gt;0)&gt;0,SUMIFS(T_SelfStock[Self_Qty],T_SelfStock[RM_Code],$A99,T_SelfStock[WeekIndex],88)+SUMIFS(T_TTAFStock[TTAF_Qty],T_TTAFStock[RM_Code],$A99,T_TTAFStock[WeekIndex],88),CJ99+'Grid_Incoming'!CK99-'Grid_Requirement'!CK99))</f>
        <v/>
      </c>
      <c r="CL99">
        <f>IF(COUNTIFS(T_StockCount[RM_Code],$A99,T_StockCount[WeekIndex],89)&gt;0,SUMIFS(T_StockCount[CountedQty],T_StockCount[RM_Code],$A99,T_StockCount[WeekIndex],89),IF((COUNTIFS(T_SelfStock[RM_Code],$A99,T_SelfStock[WeekIndex],89)&gt;0)*(COUNTIFS(T_TTAFStock[RM_Code],$A99,T_TTAFStock[WeekIndex],89)&gt;0)&gt;0,SUMIFS(T_SelfStock[Self_Qty],T_SelfStock[RM_Code],$A99,T_SelfStock[WeekIndex],89)+SUMIFS(T_TTAFStock[TTAF_Qty],T_TTAFStock[RM_Code],$A99,T_TTAFStock[WeekIndex],89),CK99+'Grid_Incoming'!CL99-'Grid_Requirement'!CL99))</f>
        <v/>
      </c>
      <c r="CM99">
        <f>IF(COUNTIFS(T_StockCount[RM_Code],$A99,T_StockCount[WeekIndex],90)&gt;0,SUMIFS(T_StockCount[CountedQty],T_StockCount[RM_Code],$A99,T_StockCount[WeekIndex],90),IF((COUNTIFS(T_SelfStock[RM_Code],$A99,T_SelfStock[WeekIndex],90)&gt;0)*(COUNTIFS(T_TTAFStock[RM_Code],$A99,T_TTAFStock[WeekIndex],90)&gt;0)&gt;0,SUMIFS(T_SelfStock[Self_Qty],T_SelfStock[RM_Code],$A99,T_SelfStock[WeekIndex],90)+SUMIFS(T_TTAFStock[TTAF_Qty],T_TTAFStock[RM_Code],$A99,T_TTAFStock[WeekIndex],90),CL99+'Grid_Incoming'!CM99-'Grid_Requirement'!CM99))</f>
        <v/>
      </c>
      <c r="CN99">
        <f>IF(COUNTIFS(T_StockCount[RM_Code],$A99,T_StockCount[WeekIndex],91)&gt;0,SUMIFS(T_StockCount[CountedQty],T_StockCount[RM_Code],$A99,T_StockCount[WeekIndex],91),IF((COUNTIFS(T_SelfStock[RM_Code],$A99,T_SelfStock[WeekIndex],91)&gt;0)*(COUNTIFS(T_TTAFStock[RM_Code],$A99,T_TTAFStock[WeekIndex],91)&gt;0)&gt;0,SUMIFS(T_SelfStock[Self_Qty],T_SelfStock[RM_Code],$A99,T_SelfStock[WeekIndex],91)+SUMIFS(T_TTAFStock[TTAF_Qty],T_TTAFStock[RM_Code],$A99,T_TTAFStock[WeekIndex],91),CM99+'Grid_Incoming'!CN99-'Grid_Requirement'!CN99))</f>
        <v/>
      </c>
      <c r="CO99">
        <f>IF(COUNTIFS(T_StockCount[RM_Code],$A99,T_StockCount[WeekIndex],92)&gt;0,SUMIFS(T_StockCount[CountedQty],T_StockCount[RM_Code],$A99,T_StockCount[WeekIndex],92),IF((COUNTIFS(T_SelfStock[RM_Code],$A99,T_SelfStock[WeekIndex],92)&gt;0)*(COUNTIFS(T_TTAFStock[RM_Code],$A99,T_TTAFStock[WeekIndex],92)&gt;0)&gt;0,SUMIFS(T_SelfStock[Self_Qty],T_SelfStock[RM_Code],$A99,T_SelfStock[WeekIndex],92)+SUMIFS(T_TTAFStock[TTAF_Qty],T_TTAFStock[RM_Code],$A99,T_TTAFStock[WeekIndex],92),CN99+'Grid_Incoming'!CO99-'Grid_Requirement'!CO99))</f>
        <v/>
      </c>
      <c r="CP99">
        <f>IF(COUNTIFS(T_StockCount[RM_Code],$A99,T_StockCount[WeekIndex],93)&gt;0,SUMIFS(T_StockCount[CountedQty],T_StockCount[RM_Code],$A99,T_StockCount[WeekIndex],93),IF((COUNTIFS(T_SelfStock[RM_Code],$A99,T_SelfStock[WeekIndex],93)&gt;0)*(COUNTIFS(T_TTAFStock[RM_Code],$A99,T_TTAFStock[WeekIndex],93)&gt;0)&gt;0,SUMIFS(T_SelfStock[Self_Qty],T_SelfStock[RM_Code],$A99,T_SelfStock[WeekIndex],93)+SUMIFS(T_TTAFStock[TTAF_Qty],T_TTAFStock[RM_Code],$A99,T_TTAFStock[WeekIndex],93),CO99+'Grid_Incoming'!CP99-'Grid_Requirement'!CP99))</f>
        <v/>
      </c>
      <c r="CQ99">
        <f>IF(COUNTIFS(T_StockCount[RM_Code],$A99,T_StockCount[WeekIndex],94)&gt;0,SUMIFS(T_StockCount[CountedQty],T_StockCount[RM_Code],$A99,T_StockCount[WeekIndex],94),IF((COUNTIFS(T_SelfStock[RM_Code],$A99,T_SelfStock[WeekIndex],94)&gt;0)*(COUNTIFS(T_TTAFStock[RM_Code],$A99,T_TTAFStock[WeekIndex],94)&gt;0)&gt;0,SUMIFS(T_SelfStock[Self_Qty],T_SelfStock[RM_Code],$A99,T_SelfStock[WeekIndex],94)+SUMIFS(T_TTAFStock[TTAF_Qty],T_TTAFStock[RM_Code],$A99,T_TTAFStock[WeekIndex],94),CP99+'Grid_Incoming'!CQ99-'Grid_Requirement'!CQ99))</f>
        <v/>
      </c>
      <c r="CR99">
        <f>IF(COUNTIFS(T_StockCount[RM_Code],$A99,T_StockCount[WeekIndex],95)&gt;0,SUMIFS(T_StockCount[CountedQty],T_StockCount[RM_Code],$A99,T_StockCount[WeekIndex],95),IF((COUNTIFS(T_SelfStock[RM_Code],$A99,T_SelfStock[WeekIndex],95)&gt;0)*(COUNTIFS(T_TTAFStock[RM_Code],$A99,T_TTAFStock[WeekIndex],95)&gt;0)&gt;0,SUMIFS(T_SelfStock[Self_Qty],T_SelfStock[RM_Code],$A99,T_SelfStock[WeekIndex],95)+SUMIFS(T_TTAFStock[TTAF_Qty],T_TTAFStock[RM_Code],$A99,T_TTAFStock[WeekIndex],95),CQ99+'Grid_Incoming'!CR99-'Grid_Requirement'!CR99))</f>
        <v/>
      </c>
      <c r="CS99">
        <f>IF(COUNTIFS(T_StockCount[RM_Code],$A99,T_StockCount[WeekIndex],96)&gt;0,SUMIFS(T_StockCount[CountedQty],T_StockCount[RM_Code],$A99,T_StockCount[WeekIndex],96),IF((COUNTIFS(T_SelfStock[RM_Code],$A99,T_SelfStock[WeekIndex],96)&gt;0)*(COUNTIFS(T_TTAFStock[RM_Code],$A99,T_TTAFStock[WeekIndex],96)&gt;0)&gt;0,SUMIFS(T_SelfStock[Self_Qty],T_SelfStock[RM_Code],$A99,T_SelfStock[WeekIndex],96)+SUMIFS(T_TTAFStock[TTAF_Qty],T_TTAFStock[RM_Code],$A99,T_TTAFStock[WeekIndex],96),CR99+'Grid_Incoming'!CS99-'Grid_Requirement'!CS99))</f>
        <v/>
      </c>
      <c r="CT99">
        <f>IF(COUNTIFS(T_StockCount[RM_Code],$A99,T_StockCount[WeekIndex],97)&gt;0,SUMIFS(T_StockCount[CountedQty],T_StockCount[RM_Code],$A99,T_StockCount[WeekIndex],97),IF((COUNTIFS(T_SelfStock[RM_Code],$A99,T_SelfStock[WeekIndex],97)&gt;0)*(COUNTIFS(T_TTAFStock[RM_Code],$A99,T_TTAFStock[WeekIndex],97)&gt;0)&gt;0,SUMIFS(T_SelfStock[Self_Qty],T_SelfStock[RM_Code],$A99,T_SelfStock[WeekIndex],97)+SUMIFS(T_TTAFStock[TTAF_Qty],T_TTAFStock[RM_Code],$A99,T_TTAFStock[WeekIndex],97),CS99+'Grid_Incoming'!CT99-'Grid_Requirement'!CT99))</f>
        <v/>
      </c>
      <c r="CU99">
        <f>IF(COUNTIFS(T_StockCount[RM_Code],$A99,T_StockCount[WeekIndex],98)&gt;0,SUMIFS(T_StockCount[CountedQty],T_StockCount[RM_Code],$A99,T_StockCount[WeekIndex],98),IF((COUNTIFS(T_SelfStock[RM_Code],$A99,T_SelfStock[WeekIndex],98)&gt;0)*(COUNTIFS(T_TTAFStock[RM_Code],$A99,T_TTAFStock[WeekIndex],98)&gt;0)&gt;0,SUMIFS(T_SelfStock[Self_Qty],T_SelfStock[RM_Code],$A99,T_SelfStock[WeekIndex],98)+SUMIFS(T_TTAFStock[TTAF_Qty],T_TTAFStock[RM_Code],$A99,T_TTAFStock[WeekIndex],98),CT99+'Grid_Incoming'!CU99-'Grid_Requirement'!CU99))</f>
        <v/>
      </c>
      <c r="CV99">
        <f>IF(COUNTIFS(T_StockCount[RM_Code],$A99,T_StockCount[WeekIndex],99)&gt;0,SUMIFS(T_StockCount[CountedQty],T_StockCount[RM_Code],$A99,T_StockCount[WeekIndex],99),IF((COUNTIFS(T_SelfStock[RM_Code],$A99,T_SelfStock[WeekIndex],99)&gt;0)*(COUNTIFS(T_TTAFStock[RM_Code],$A99,T_TTAFStock[WeekIndex],99)&gt;0)&gt;0,SUMIFS(T_SelfStock[Self_Qty],T_SelfStock[RM_Code],$A99,T_SelfStock[WeekIndex],99)+SUMIFS(T_TTAFStock[TTAF_Qty],T_TTAFStock[RM_Code],$A99,T_TTAFStock[WeekIndex],99),CU99+'Grid_Incoming'!CV99-'Grid_Requirement'!CV99))</f>
        <v/>
      </c>
      <c r="CW99">
        <f>IF(COUNTIFS(T_StockCount[RM_Code],$A99,T_StockCount[WeekIndex],100)&gt;0,SUMIFS(T_StockCount[CountedQty],T_StockCount[RM_Code],$A99,T_StockCount[WeekIndex],100),IF((COUNTIFS(T_SelfStock[RM_Code],$A99,T_SelfStock[WeekIndex],100)&gt;0)*(COUNTIFS(T_TTAFStock[RM_Code],$A99,T_TTAFStock[WeekIndex],100)&gt;0)&gt;0,SUMIFS(T_SelfStock[Self_Qty],T_SelfStock[RM_Code],$A99,T_SelfStock[WeekIndex],100)+SUMIFS(T_TTAFStock[TTAF_Qty],T_TTAFStock[RM_Code],$A99,T_TTAFStock[WeekIndex],100),CV99+'Grid_Incoming'!CW99-'Grid_Requirement'!CW99))</f>
        <v/>
      </c>
      <c r="CX99">
        <f>IF(COUNTIFS(T_StockCount[RM_Code],$A99,T_StockCount[WeekIndex],101)&gt;0,SUMIFS(T_StockCount[CountedQty],T_StockCount[RM_Code],$A99,T_StockCount[WeekIndex],101),IF((COUNTIFS(T_SelfStock[RM_Code],$A99,T_SelfStock[WeekIndex],101)&gt;0)*(COUNTIFS(T_TTAFStock[RM_Code],$A99,T_TTAFStock[WeekIndex],101)&gt;0)&gt;0,SUMIFS(T_SelfStock[Self_Qty],T_SelfStock[RM_Code],$A99,T_SelfStock[WeekIndex],101)+SUMIFS(T_TTAFStock[TTAF_Qty],T_TTAFStock[RM_Code],$A99,T_TTAFStock[WeekIndex],101),CW99+'Grid_Incoming'!CX99-'Grid_Requirement'!CX99))</f>
        <v/>
      </c>
      <c r="CY99">
        <f>IF(COUNTIFS(T_StockCount[RM_Code],$A99,T_StockCount[WeekIndex],102)&gt;0,SUMIFS(T_StockCount[CountedQty],T_StockCount[RM_Code],$A99,T_StockCount[WeekIndex],102),IF((COUNTIFS(T_SelfStock[RM_Code],$A99,T_SelfStock[WeekIndex],102)&gt;0)*(COUNTIFS(T_TTAFStock[RM_Code],$A99,T_TTAFStock[WeekIndex],102)&gt;0)&gt;0,SUMIFS(T_SelfStock[Self_Qty],T_SelfStock[RM_Code],$A99,T_SelfStock[WeekIndex],102)+SUMIFS(T_TTAFStock[TTAF_Qty],T_TTAFStock[RM_Code],$A99,T_TTAFStock[WeekIndex],102),CX99+'Grid_Incoming'!CY99-'Grid_Requirement'!CY99))</f>
        <v/>
      </c>
      <c r="CZ99">
        <f>IF(COUNTIFS(T_StockCount[RM_Code],$A99,T_StockCount[WeekIndex],103)&gt;0,SUMIFS(T_StockCount[CountedQty],T_StockCount[RM_Code],$A99,T_StockCount[WeekIndex],103),IF((COUNTIFS(T_SelfStock[RM_Code],$A99,T_SelfStock[WeekIndex],103)&gt;0)*(COUNTIFS(T_TTAFStock[RM_Code],$A99,T_TTAFStock[WeekIndex],103)&gt;0)&gt;0,SUMIFS(T_SelfStock[Self_Qty],T_SelfStock[RM_Code],$A99,T_SelfStock[WeekIndex],103)+SUMIFS(T_TTAFStock[TTAF_Qty],T_TTAFStock[RM_Code],$A99,T_TTAFStock[WeekIndex],103),CY99+'Grid_Incoming'!CZ99-'Grid_Requirement'!CZ99))</f>
        <v/>
      </c>
      <c r="DA99">
        <f>IF(COUNTIFS(T_StockCount[RM_Code],$A99,T_StockCount[WeekIndex],104)&gt;0,SUMIFS(T_StockCount[CountedQty],T_StockCount[RM_Code],$A99,T_StockCount[WeekIndex],104),IF((COUNTIFS(T_SelfStock[RM_Code],$A99,T_SelfStock[WeekIndex],104)&gt;0)*(COUNTIFS(T_TTAFStock[RM_Code],$A99,T_TTAFStock[WeekIndex],104)&gt;0)&gt;0,SUMIFS(T_SelfStock[Self_Qty],T_SelfStock[RM_Code],$A99,T_SelfStock[WeekIndex],104)+SUMIFS(T_TTAFStock[TTAF_Qty],T_TTAFStock[RM_Code],$A99,T_TTAFStock[WeekIndex],104),CZ99+'Grid_Incoming'!DA99-'Grid_Requirement'!DA99))</f>
        <v/>
      </c>
    </row>
    <row r="100">
      <c r="A100" t="inlineStr">
        <is>
          <t>CHEM-1630</t>
        </is>
      </c>
      <c r="B100">
        <f>IF(COUNTIFS(T_StockCount[RM_Code],$A100,T_StockCount[WeekIndex],1)&gt;0,SUMIFS(T_StockCount[CountedQty],T_StockCount[RM_Code],$A100,T_StockCount[WeekIndex],1),IF((COUNTIFS(T_SelfStock[RM_Code],$A100,T_SelfStock[WeekIndex],1)&gt;0)*(COUNTIFS(T_TTAFStock[RM_Code],$A100,T_TTAFStock[WeekIndex],1)&gt;0)&gt;0,SUMIFS(T_SelfStock[Self_Qty],T_SelfStock[RM_Code],$A100,T_SelfStock[WeekIndex],1)+SUMIFS(T_TTAFStock[TTAF_Qty],T_TTAFStock[RM_Code],$A100,T_TTAFStock[WeekIndex],1),IFERROR(INDEX(T_OpeningStock[Opening_Qty],MATCH($A100,T_OpeningStock[RM_Code],0)),0)+'Grid_Incoming'!B100-'Grid_Requirement'!B100))</f>
        <v/>
      </c>
      <c r="C100">
        <f>IF(COUNTIFS(T_StockCount[RM_Code],$A100,T_StockCount[WeekIndex],2)&gt;0,SUMIFS(T_StockCount[CountedQty],T_StockCount[RM_Code],$A100,T_StockCount[WeekIndex],2),IF((COUNTIFS(T_SelfStock[RM_Code],$A100,T_SelfStock[WeekIndex],2)&gt;0)*(COUNTIFS(T_TTAFStock[RM_Code],$A100,T_TTAFStock[WeekIndex],2)&gt;0)&gt;0,SUMIFS(T_SelfStock[Self_Qty],T_SelfStock[RM_Code],$A100,T_SelfStock[WeekIndex],2)+SUMIFS(T_TTAFStock[TTAF_Qty],T_TTAFStock[RM_Code],$A100,T_TTAFStock[WeekIndex],2),B100+'Grid_Incoming'!C100-'Grid_Requirement'!C100))</f>
        <v/>
      </c>
      <c r="D100">
        <f>IF(COUNTIFS(T_StockCount[RM_Code],$A100,T_StockCount[WeekIndex],3)&gt;0,SUMIFS(T_StockCount[CountedQty],T_StockCount[RM_Code],$A100,T_StockCount[WeekIndex],3),IF((COUNTIFS(T_SelfStock[RM_Code],$A100,T_SelfStock[WeekIndex],3)&gt;0)*(COUNTIFS(T_TTAFStock[RM_Code],$A100,T_TTAFStock[WeekIndex],3)&gt;0)&gt;0,SUMIFS(T_SelfStock[Self_Qty],T_SelfStock[RM_Code],$A100,T_SelfStock[WeekIndex],3)+SUMIFS(T_TTAFStock[TTAF_Qty],T_TTAFStock[RM_Code],$A100,T_TTAFStock[WeekIndex],3),C100+'Grid_Incoming'!D100-'Grid_Requirement'!D100))</f>
        <v/>
      </c>
      <c r="E100">
        <f>IF(COUNTIFS(T_StockCount[RM_Code],$A100,T_StockCount[WeekIndex],4)&gt;0,SUMIFS(T_StockCount[CountedQty],T_StockCount[RM_Code],$A100,T_StockCount[WeekIndex],4),IF((COUNTIFS(T_SelfStock[RM_Code],$A100,T_SelfStock[WeekIndex],4)&gt;0)*(COUNTIFS(T_TTAFStock[RM_Code],$A100,T_TTAFStock[WeekIndex],4)&gt;0)&gt;0,SUMIFS(T_SelfStock[Self_Qty],T_SelfStock[RM_Code],$A100,T_SelfStock[WeekIndex],4)+SUMIFS(T_TTAFStock[TTAF_Qty],T_TTAFStock[RM_Code],$A100,T_TTAFStock[WeekIndex],4),D100+'Grid_Incoming'!E100-'Grid_Requirement'!E100))</f>
        <v/>
      </c>
      <c r="F100">
        <f>IF(COUNTIFS(T_StockCount[RM_Code],$A100,T_StockCount[WeekIndex],5)&gt;0,SUMIFS(T_StockCount[CountedQty],T_StockCount[RM_Code],$A100,T_StockCount[WeekIndex],5),IF((COUNTIFS(T_SelfStock[RM_Code],$A100,T_SelfStock[WeekIndex],5)&gt;0)*(COUNTIFS(T_TTAFStock[RM_Code],$A100,T_TTAFStock[WeekIndex],5)&gt;0)&gt;0,SUMIFS(T_SelfStock[Self_Qty],T_SelfStock[RM_Code],$A100,T_SelfStock[WeekIndex],5)+SUMIFS(T_TTAFStock[TTAF_Qty],T_TTAFStock[RM_Code],$A100,T_TTAFStock[WeekIndex],5),E100+'Grid_Incoming'!F100-'Grid_Requirement'!F100))</f>
        <v/>
      </c>
      <c r="G100">
        <f>IF(COUNTIFS(T_StockCount[RM_Code],$A100,T_StockCount[WeekIndex],6)&gt;0,SUMIFS(T_StockCount[CountedQty],T_StockCount[RM_Code],$A100,T_StockCount[WeekIndex],6),IF((COUNTIFS(T_SelfStock[RM_Code],$A100,T_SelfStock[WeekIndex],6)&gt;0)*(COUNTIFS(T_TTAFStock[RM_Code],$A100,T_TTAFStock[WeekIndex],6)&gt;0)&gt;0,SUMIFS(T_SelfStock[Self_Qty],T_SelfStock[RM_Code],$A100,T_SelfStock[WeekIndex],6)+SUMIFS(T_TTAFStock[TTAF_Qty],T_TTAFStock[RM_Code],$A100,T_TTAFStock[WeekIndex],6),F100+'Grid_Incoming'!G100-'Grid_Requirement'!G100))</f>
        <v/>
      </c>
      <c r="H100">
        <f>IF(COUNTIFS(T_StockCount[RM_Code],$A100,T_StockCount[WeekIndex],7)&gt;0,SUMIFS(T_StockCount[CountedQty],T_StockCount[RM_Code],$A100,T_StockCount[WeekIndex],7),IF((COUNTIFS(T_SelfStock[RM_Code],$A100,T_SelfStock[WeekIndex],7)&gt;0)*(COUNTIFS(T_TTAFStock[RM_Code],$A100,T_TTAFStock[WeekIndex],7)&gt;0)&gt;0,SUMIFS(T_SelfStock[Self_Qty],T_SelfStock[RM_Code],$A100,T_SelfStock[WeekIndex],7)+SUMIFS(T_TTAFStock[TTAF_Qty],T_TTAFStock[RM_Code],$A100,T_TTAFStock[WeekIndex],7),G100+'Grid_Incoming'!H100-'Grid_Requirement'!H100))</f>
        <v/>
      </c>
      <c r="I100">
        <f>IF(COUNTIFS(T_StockCount[RM_Code],$A100,T_StockCount[WeekIndex],8)&gt;0,SUMIFS(T_StockCount[CountedQty],T_StockCount[RM_Code],$A100,T_StockCount[WeekIndex],8),IF((COUNTIFS(T_SelfStock[RM_Code],$A100,T_SelfStock[WeekIndex],8)&gt;0)*(COUNTIFS(T_TTAFStock[RM_Code],$A100,T_TTAFStock[WeekIndex],8)&gt;0)&gt;0,SUMIFS(T_SelfStock[Self_Qty],T_SelfStock[RM_Code],$A100,T_SelfStock[WeekIndex],8)+SUMIFS(T_TTAFStock[TTAF_Qty],T_TTAFStock[RM_Code],$A100,T_TTAFStock[WeekIndex],8),H100+'Grid_Incoming'!I100-'Grid_Requirement'!I100))</f>
        <v/>
      </c>
      <c r="J100">
        <f>IF(COUNTIFS(T_StockCount[RM_Code],$A100,T_StockCount[WeekIndex],9)&gt;0,SUMIFS(T_StockCount[CountedQty],T_StockCount[RM_Code],$A100,T_StockCount[WeekIndex],9),IF((COUNTIFS(T_SelfStock[RM_Code],$A100,T_SelfStock[WeekIndex],9)&gt;0)*(COUNTIFS(T_TTAFStock[RM_Code],$A100,T_TTAFStock[WeekIndex],9)&gt;0)&gt;0,SUMIFS(T_SelfStock[Self_Qty],T_SelfStock[RM_Code],$A100,T_SelfStock[WeekIndex],9)+SUMIFS(T_TTAFStock[TTAF_Qty],T_TTAFStock[RM_Code],$A100,T_TTAFStock[WeekIndex],9),I100+'Grid_Incoming'!J100-'Grid_Requirement'!J100))</f>
        <v/>
      </c>
      <c r="K100">
        <f>IF(COUNTIFS(T_StockCount[RM_Code],$A100,T_StockCount[WeekIndex],10)&gt;0,SUMIFS(T_StockCount[CountedQty],T_StockCount[RM_Code],$A100,T_StockCount[WeekIndex],10),IF((COUNTIFS(T_SelfStock[RM_Code],$A100,T_SelfStock[WeekIndex],10)&gt;0)*(COUNTIFS(T_TTAFStock[RM_Code],$A100,T_TTAFStock[WeekIndex],10)&gt;0)&gt;0,SUMIFS(T_SelfStock[Self_Qty],T_SelfStock[RM_Code],$A100,T_SelfStock[WeekIndex],10)+SUMIFS(T_TTAFStock[TTAF_Qty],T_TTAFStock[RM_Code],$A100,T_TTAFStock[WeekIndex],10),J100+'Grid_Incoming'!K100-'Grid_Requirement'!K100))</f>
        <v/>
      </c>
      <c r="L100">
        <f>IF(COUNTIFS(T_StockCount[RM_Code],$A100,T_StockCount[WeekIndex],11)&gt;0,SUMIFS(T_StockCount[CountedQty],T_StockCount[RM_Code],$A100,T_StockCount[WeekIndex],11),IF((COUNTIFS(T_SelfStock[RM_Code],$A100,T_SelfStock[WeekIndex],11)&gt;0)*(COUNTIFS(T_TTAFStock[RM_Code],$A100,T_TTAFStock[WeekIndex],11)&gt;0)&gt;0,SUMIFS(T_SelfStock[Self_Qty],T_SelfStock[RM_Code],$A100,T_SelfStock[WeekIndex],11)+SUMIFS(T_TTAFStock[TTAF_Qty],T_TTAFStock[RM_Code],$A100,T_TTAFStock[WeekIndex],11),K100+'Grid_Incoming'!L100-'Grid_Requirement'!L100))</f>
        <v/>
      </c>
      <c r="M100">
        <f>IF(COUNTIFS(T_StockCount[RM_Code],$A100,T_StockCount[WeekIndex],12)&gt;0,SUMIFS(T_StockCount[CountedQty],T_StockCount[RM_Code],$A100,T_StockCount[WeekIndex],12),IF((COUNTIFS(T_SelfStock[RM_Code],$A100,T_SelfStock[WeekIndex],12)&gt;0)*(COUNTIFS(T_TTAFStock[RM_Code],$A100,T_TTAFStock[WeekIndex],12)&gt;0)&gt;0,SUMIFS(T_SelfStock[Self_Qty],T_SelfStock[RM_Code],$A100,T_SelfStock[WeekIndex],12)+SUMIFS(T_TTAFStock[TTAF_Qty],T_TTAFStock[RM_Code],$A100,T_TTAFStock[WeekIndex],12),L100+'Grid_Incoming'!M100-'Grid_Requirement'!M100))</f>
        <v/>
      </c>
      <c r="N100">
        <f>IF(COUNTIFS(T_StockCount[RM_Code],$A100,T_StockCount[WeekIndex],13)&gt;0,SUMIFS(T_StockCount[CountedQty],T_StockCount[RM_Code],$A100,T_StockCount[WeekIndex],13),IF((COUNTIFS(T_SelfStock[RM_Code],$A100,T_SelfStock[WeekIndex],13)&gt;0)*(COUNTIFS(T_TTAFStock[RM_Code],$A100,T_TTAFStock[WeekIndex],13)&gt;0)&gt;0,SUMIFS(T_SelfStock[Self_Qty],T_SelfStock[RM_Code],$A100,T_SelfStock[WeekIndex],13)+SUMIFS(T_TTAFStock[TTAF_Qty],T_TTAFStock[RM_Code],$A100,T_TTAFStock[WeekIndex],13),M100+'Grid_Incoming'!N100-'Grid_Requirement'!N100))</f>
        <v/>
      </c>
      <c r="O100">
        <f>IF(COUNTIFS(T_StockCount[RM_Code],$A100,T_StockCount[WeekIndex],14)&gt;0,SUMIFS(T_StockCount[CountedQty],T_StockCount[RM_Code],$A100,T_StockCount[WeekIndex],14),IF((COUNTIFS(T_SelfStock[RM_Code],$A100,T_SelfStock[WeekIndex],14)&gt;0)*(COUNTIFS(T_TTAFStock[RM_Code],$A100,T_TTAFStock[WeekIndex],14)&gt;0)&gt;0,SUMIFS(T_SelfStock[Self_Qty],T_SelfStock[RM_Code],$A100,T_SelfStock[WeekIndex],14)+SUMIFS(T_TTAFStock[TTAF_Qty],T_TTAFStock[RM_Code],$A100,T_TTAFStock[WeekIndex],14),N100+'Grid_Incoming'!O100-'Grid_Requirement'!O100))</f>
        <v/>
      </c>
      <c r="P100">
        <f>IF(COUNTIFS(T_StockCount[RM_Code],$A100,T_StockCount[WeekIndex],15)&gt;0,SUMIFS(T_StockCount[CountedQty],T_StockCount[RM_Code],$A100,T_StockCount[WeekIndex],15),IF((COUNTIFS(T_SelfStock[RM_Code],$A100,T_SelfStock[WeekIndex],15)&gt;0)*(COUNTIFS(T_TTAFStock[RM_Code],$A100,T_TTAFStock[WeekIndex],15)&gt;0)&gt;0,SUMIFS(T_SelfStock[Self_Qty],T_SelfStock[RM_Code],$A100,T_SelfStock[WeekIndex],15)+SUMIFS(T_TTAFStock[TTAF_Qty],T_TTAFStock[RM_Code],$A100,T_TTAFStock[WeekIndex],15),O100+'Grid_Incoming'!P100-'Grid_Requirement'!P100))</f>
        <v/>
      </c>
      <c r="Q100">
        <f>IF(COUNTIFS(T_StockCount[RM_Code],$A100,T_StockCount[WeekIndex],16)&gt;0,SUMIFS(T_StockCount[CountedQty],T_StockCount[RM_Code],$A100,T_StockCount[WeekIndex],16),IF((COUNTIFS(T_SelfStock[RM_Code],$A100,T_SelfStock[WeekIndex],16)&gt;0)*(COUNTIFS(T_TTAFStock[RM_Code],$A100,T_TTAFStock[WeekIndex],16)&gt;0)&gt;0,SUMIFS(T_SelfStock[Self_Qty],T_SelfStock[RM_Code],$A100,T_SelfStock[WeekIndex],16)+SUMIFS(T_TTAFStock[TTAF_Qty],T_TTAFStock[RM_Code],$A100,T_TTAFStock[WeekIndex],16),P100+'Grid_Incoming'!Q100-'Grid_Requirement'!Q100))</f>
        <v/>
      </c>
      <c r="R100">
        <f>IF(COUNTIFS(T_StockCount[RM_Code],$A100,T_StockCount[WeekIndex],17)&gt;0,SUMIFS(T_StockCount[CountedQty],T_StockCount[RM_Code],$A100,T_StockCount[WeekIndex],17),IF((COUNTIFS(T_SelfStock[RM_Code],$A100,T_SelfStock[WeekIndex],17)&gt;0)*(COUNTIFS(T_TTAFStock[RM_Code],$A100,T_TTAFStock[WeekIndex],17)&gt;0)&gt;0,SUMIFS(T_SelfStock[Self_Qty],T_SelfStock[RM_Code],$A100,T_SelfStock[WeekIndex],17)+SUMIFS(T_TTAFStock[TTAF_Qty],T_TTAFStock[RM_Code],$A100,T_TTAFStock[WeekIndex],17),Q100+'Grid_Incoming'!R100-'Grid_Requirement'!R100))</f>
        <v/>
      </c>
      <c r="S100">
        <f>IF(COUNTIFS(T_StockCount[RM_Code],$A100,T_StockCount[WeekIndex],18)&gt;0,SUMIFS(T_StockCount[CountedQty],T_StockCount[RM_Code],$A100,T_StockCount[WeekIndex],18),IF((COUNTIFS(T_SelfStock[RM_Code],$A100,T_SelfStock[WeekIndex],18)&gt;0)*(COUNTIFS(T_TTAFStock[RM_Code],$A100,T_TTAFStock[WeekIndex],18)&gt;0)&gt;0,SUMIFS(T_SelfStock[Self_Qty],T_SelfStock[RM_Code],$A100,T_SelfStock[WeekIndex],18)+SUMIFS(T_TTAFStock[TTAF_Qty],T_TTAFStock[RM_Code],$A100,T_TTAFStock[WeekIndex],18),R100+'Grid_Incoming'!S100-'Grid_Requirement'!S100))</f>
        <v/>
      </c>
      <c r="T100">
        <f>IF(COUNTIFS(T_StockCount[RM_Code],$A100,T_StockCount[WeekIndex],19)&gt;0,SUMIFS(T_StockCount[CountedQty],T_StockCount[RM_Code],$A100,T_StockCount[WeekIndex],19),IF((COUNTIFS(T_SelfStock[RM_Code],$A100,T_SelfStock[WeekIndex],19)&gt;0)*(COUNTIFS(T_TTAFStock[RM_Code],$A100,T_TTAFStock[WeekIndex],19)&gt;0)&gt;0,SUMIFS(T_SelfStock[Self_Qty],T_SelfStock[RM_Code],$A100,T_SelfStock[WeekIndex],19)+SUMIFS(T_TTAFStock[TTAF_Qty],T_TTAFStock[RM_Code],$A100,T_TTAFStock[WeekIndex],19),S100+'Grid_Incoming'!T100-'Grid_Requirement'!T100))</f>
        <v/>
      </c>
      <c r="U100">
        <f>IF(COUNTIFS(T_StockCount[RM_Code],$A100,T_StockCount[WeekIndex],20)&gt;0,SUMIFS(T_StockCount[CountedQty],T_StockCount[RM_Code],$A100,T_StockCount[WeekIndex],20),IF((COUNTIFS(T_SelfStock[RM_Code],$A100,T_SelfStock[WeekIndex],20)&gt;0)*(COUNTIFS(T_TTAFStock[RM_Code],$A100,T_TTAFStock[WeekIndex],20)&gt;0)&gt;0,SUMIFS(T_SelfStock[Self_Qty],T_SelfStock[RM_Code],$A100,T_SelfStock[WeekIndex],20)+SUMIFS(T_TTAFStock[TTAF_Qty],T_TTAFStock[RM_Code],$A100,T_TTAFStock[WeekIndex],20),T100+'Grid_Incoming'!U100-'Grid_Requirement'!U100))</f>
        <v/>
      </c>
      <c r="V100">
        <f>IF(COUNTIFS(T_StockCount[RM_Code],$A100,T_StockCount[WeekIndex],21)&gt;0,SUMIFS(T_StockCount[CountedQty],T_StockCount[RM_Code],$A100,T_StockCount[WeekIndex],21),IF((COUNTIFS(T_SelfStock[RM_Code],$A100,T_SelfStock[WeekIndex],21)&gt;0)*(COUNTIFS(T_TTAFStock[RM_Code],$A100,T_TTAFStock[WeekIndex],21)&gt;0)&gt;0,SUMIFS(T_SelfStock[Self_Qty],T_SelfStock[RM_Code],$A100,T_SelfStock[WeekIndex],21)+SUMIFS(T_TTAFStock[TTAF_Qty],T_TTAFStock[RM_Code],$A100,T_TTAFStock[WeekIndex],21),U100+'Grid_Incoming'!V100-'Grid_Requirement'!V100))</f>
        <v/>
      </c>
      <c r="W100">
        <f>IF(COUNTIFS(T_StockCount[RM_Code],$A100,T_StockCount[WeekIndex],22)&gt;0,SUMIFS(T_StockCount[CountedQty],T_StockCount[RM_Code],$A100,T_StockCount[WeekIndex],22),IF((COUNTIFS(T_SelfStock[RM_Code],$A100,T_SelfStock[WeekIndex],22)&gt;0)*(COUNTIFS(T_TTAFStock[RM_Code],$A100,T_TTAFStock[WeekIndex],22)&gt;0)&gt;0,SUMIFS(T_SelfStock[Self_Qty],T_SelfStock[RM_Code],$A100,T_SelfStock[WeekIndex],22)+SUMIFS(T_TTAFStock[TTAF_Qty],T_TTAFStock[RM_Code],$A100,T_TTAFStock[WeekIndex],22),V100+'Grid_Incoming'!W100-'Grid_Requirement'!W100))</f>
        <v/>
      </c>
      <c r="X100">
        <f>IF(COUNTIFS(T_StockCount[RM_Code],$A100,T_StockCount[WeekIndex],23)&gt;0,SUMIFS(T_StockCount[CountedQty],T_StockCount[RM_Code],$A100,T_StockCount[WeekIndex],23),IF((COUNTIFS(T_SelfStock[RM_Code],$A100,T_SelfStock[WeekIndex],23)&gt;0)*(COUNTIFS(T_TTAFStock[RM_Code],$A100,T_TTAFStock[WeekIndex],23)&gt;0)&gt;0,SUMIFS(T_SelfStock[Self_Qty],T_SelfStock[RM_Code],$A100,T_SelfStock[WeekIndex],23)+SUMIFS(T_TTAFStock[TTAF_Qty],T_TTAFStock[RM_Code],$A100,T_TTAFStock[WeekIndex],23),W100+'Grid_Incoming'!X100-'Grid_Requirement'!X100))</f>
        <v/>
      </c>
      <c r="Y100">
        <f>IF(COUNTIFS(T_StockCount[RM_Code],$A100,T_StockCount[WeekIndex],24)&gt;0,SUMIFS(T_StockCount[CountedQty],T_StockCount[RM_Code],$A100,T_StockCount[WeekIndex],24),IF((COUNTIFS(T_SelfStock[RM_Code],$A100,T_SelfStock[WeekIndex],24)&gt;0)*(COUNTIFS(T_TTAFStock[RM_Code],$A100,T_TTAFStock[WeekIndex],24)&gt;0)&gt;0,SUMIFS(T_SelfStock[Self_Qty],T_SelfStock[RM_Code],$A100,T_SelfStock[WeekIndex],24)+SUMIFS(T_TTAFStock[TTAF_Qty],T_TTAFStock[RM_Code],$A100,T_TTAFStock[WeekIndex],24),X100+'Grid_Incoming'!Y100-'Grid_Requirement'!Y100))</f>
        <v/>
      </c>
      <c r="Z100">
        <f>IF(COUNTIFS(T_StockCount[RM_Code],$A100,T_StockCount[WeekIndex],25)&gt;0,SUMIFS(T_StockCount[CountedQty],T_StockCount[RM_Code],$A100,T_StockCount[WeekIndex],25),IF((COUNTIFS(T_SelfStock[RM_Code],$A100,T_SelfStock[WeekIndex],25)&gt;0)*(COUNTIFS(T_TTAFStock[RM_Code],$A100,T_TTAFStock[WeekIndex],25)&gt;0)&gt;0,SUMIFS(T_SelfStock[Self_Qty],T_SelfStock[RM_Code],$A100,T_SelfStock[WeekIndex],25)+SUMIFS(T_TTAFStock[TTAF_Qty],T_TTAFStock[RM_Code],$A100,T_TTAFStock[WeekIndex],25),Y100+'Grid_Incoming'!Z100-'Grid_Requirement'!Z100))</f>
        <v/>
      </c>
      <c r="AA100">
        <f>IF(COUNTIFS(T_StockCount[RM_Code],$A100,T_StockCount[WeekIndex],26)&gt;0,SUMIFS(T_StockCount[CountedQty],T_StockCount[RM_Code],$A100,T_StockCount[WeekIndex],26),IF((COUNTIFS(T_SelfStock[RM_Code],$A100,T_SelfStock[WeekIndex],26)&gt;0)*(COUNTIFS(T_TTAFStock[RM_Code],$A100,T_TTAFStock[WeekIndex],26)&gt;0)&gt;0,SUMIFS(T_SelfStock[Self_Qty],T_SelfStock[RM_Code],$A100,T_SelfStock[WeekIndex],26)+SUMIFS(T_TTAFStock[TTAF_Qty],T_TTAFStock[RM_Code],$A100,T_TTAFStock[WeekIndex],26),Z100+'Grid_Incoming'!AA100-'Grid_Requirement'!AA100))</f>
        <v/>
      </c>
      <c r="AB100">
        <f>IF(COUNTIFS(T_StockCount[RM_Code],$A100,T_StockCount[WeekIndex],27)&gt;0,SUMIFS(T_StockCount[CountedQty],T_StockCount[RM_Code],$A100,T_StockCount[WeekIndex],27),IF((COUNTIFS(T_SelfStock[RM_Code],$A100,T_SelfStock[WeekIndex],27)&gt;0)*(COUNTIFS(T_TTAFStock[RM_Code],$A100,T_TTAFStock[WeekIndex],27)&gt;0)&gt;0,SUMIFS(T_SelfStock[Self_Qty],T_SelfStock[RM_Code],$A100,T_SelfStock[WeekIndex],27)+SUMIFS(T_TTAFStock[TTAF_Qty],T_TTAFStock[RM_Code],$A100,T_TTAFStock[WeekIndex],27),AA100+'Grid_Incoming'!AB100-'Grid_Requirement'!AB100))</f>
        <v/>
      </c>
      <c r="AC100">
        <f>IF(COUNTIFS(T_StockCount[RM_Code],$A100,T_StockCount[WeekIndex],28)&gt;0,SUMIFS(T_StockCount[CountedQty],T_StockCount[RM_Code],$A100,T_StockCount[WeekIndex],28),IF((COUNTIFS(T_SelfStock[RM_Code],$A100,T_SelfStock[WeekIndex],28)&gt;0)*(COUNTIFS(T_TTAFStock[RM_Code],$A100,T_TTAFStock[WeekIndex],28)&gt;0)&gt;0,SUMIFS(T_SelfStock[Self_Qty],T_SelfStock[RM_Code],$A100,T_SelfStock[WeekIndex],28)+SUMIFS(T_TTAFStock[TTAF_Qty],T_TTAFStock[RM_Code],$A100,T_TTAFStock[WeekIndex],28),AB100+'Grid_Incoming'!AC100-'Grid_Requirement'!AC100))</f>
        <v/>
      </c>
      <c r="AD100">
        <f>IF(COUNTIFS(T_StockCount[RM_Code],$A100,T_StockCount[WeekIndex],29)&gt;0,SUMIFS(T_StockCount[CountedQty],T_StockCount[RM_Code],$A100,T_StockCount[WeekIndex],29),IF((COUNTIFS(T_SelfStock[RM_Code],$A100,T_SelfStock[WeekIndex],29)&gt;0)*(COUNTIFS(T_TTAFStock[RM_Code],$A100,T_TTAFStock[WeekIndex],29)&gt;0)&gt;0,SUMIFS(T_SelfStock[Self_Qty],T_SelfStock[RM_Code],$A100,T_SelfStock[WeekIndex],29)+SUMIFS(T_TTAFStock[TTAF_Qty],T_TTAFStock[RM_Code],$A100,T_TTAFStock[WeekIndex],29),AC100+'Grid_Incoming'!AD100-'Grid_Requirement'!AD100))</f>
        <v/>
      </c>
      <c r="AE100">
        <f>IF(COUNTIFS(T_StockCount[RM_Code],$A100,T_StockCount[WeekIndex],30)&gt;0,SUMIFS(T_StockCount[CountedQty],T_StockCount[RM_Code],$A100,T_StockCount[WeekIndex],30),IF((COUNTIFS(T_SelfStock[RM_Code],$A100,T_SelfStock[WeekIndex],30)&gt;0)*(COUNTIFS(T_TTAFStock[RM_Code],$A100,T_TTAFStock[WeekIndex],30)&gt;0)&gt;0,SUMIFS(T_SelfStock[Self_Qty],T_SelfStock[RM_Code],$A100,T_SelfStock[WeekIndex],30)+SUMIFS(T_TTAFStock[TTAF_Qty],T_TTAFStock[RM_Code],$A100,T_TTAFStock[WeekIndex],30),AD100+'Grid_Incoming'!AE100-'Grid_Requirement'!AE100))</f>
        <v/>
      </c>
      <c r="AF100">
        <f>IF(COUNTIFS(T_StockCount[RM_Code],$A100,T_StockCount[WeekIndex],31)&gt;0,SUMIFS(T_StockCount[CountedQty],T_StockCount[RM_Code],$A100,T_StockCount[WeekIndex],31),IF((COUNTIFS(T_SelfStock[RM_Code],$A100,T_SelfStock[WeekIndex],31)&gt;0)*(COUNTIFS(T_TTAFStock[RM_Code],$A100,T_TTAFStock[WeekIndex],31)&gt;0)&gt;0,SUMIFS(T_SelfStock[Self_Qty],T_SelfStock[RM_Code],$A100,T_SelfStock[WeekIndex],31)+SUMIFS(T_TTAFStock[TTAF_Qty],T_TTAFStock[RM_Code],$A100,T_TTAFStock[WeekIndex],31),AE100+'Grid_Incoming'!AF100-'Grid_Requirement'!AF100))</f>
        <v/>
      </c>
      <c r="AG100">
        <f>IF(COUNTIFS(T_StockCount[RM_Code],$A100,T_StockCount[WeekIndex],32)&gt;0,SUMIFS(T_StockCount[CountedQty],T_StockCount[RM_Code],$A100,T_StockCount[WeekIndex],32),IF((COUNTIFS(T_SelfStock[RM_Code],$A100,T_SelfStock[WeekIndex],32)&gt;0)*(COUNTIFS(T_TTAFStock[RM_Code],$A100,T_TTAFStock[WeekIndex],32)&gt;0)&gt;0,SUMIFS(T_SelfStock[Self_Qty],T_SelfStock[RM_Code],$A100,T_SelfStock[WeekIndex],32)+SUMIFS(T_TTAFStock[TTAF_Qty],T_TTAFStock[RM_Code],$A100,T_TTAFStock[WeekIndex],32),AF100+'Grid_Incoming'!AG100-'Grid_Requirement'!AG100))</f>
        <v/>
      </c>
      <c r="AH100">
        <f>IF(COUNTIFS(T_StockCount[RM_Code],$A100,T_StockCount[WeekIndex],33)&gt;0,SUMIFS(T_StockCount[CountedQty],T_StockCount[RM_Code],$A100,T_StockCount[WeekIndex],33),IF((COUNTIFS(T_SelfStock[RM_Code],$A100,T_SelfStock[WeekIndex],33)&gt;0)*(COUNTIFS(T_TTAFStock[RM_Code],$A100,T_TTAFStock[WeekIndex],33)&gt;0)&gt;0,SUMIFS(T_SelfStock[Self_Qty],T_SelfStock[RM_Code],$A100,T_SelfStock[WeekIndex],33)+SUMIFS(T_TTAFStock[TTAF_Qty],T_TTAFStock[RM_Code],$A100,T_TTAFStock[WeekIndex],33),AG100+'Grid_Incoming'!AH100-'Grid_Requirement'!AH100))</f>
        <v/>
      </c>
      <c r="AI100">
        <f>IF(COUNTIFS(T_StockCount[RM_Code],$A100,T_StockCount[WeekIndex],34)&gt;0,SUMIFS(T_StockCount[CountedQty],T_StockCount[RM_Code],$A100,T_StockCount[WeekIndex],34),IF((COUNTIFS(T_SelfStock[RM_Code],$A100,T_SelfStock[WeekIndex],34)&gt;0)*(COUNTIFS(T_TTAFStock[RM_Code],$A100,T_TTAFStock[WeekIndex],34)&gt;0)&gt;0,SUMIFS(T_SelfStock[Self_Qty],T_SelfStock[RM_Code],$A100,T_SelfStock[WeekIndex],34)+SUMIFS(T_TTAFStock[TTAF_Qty],T_TTAFStock[RM_Code],$A100,T_TTAFStock[WeekIndex],34),AH100+'Grid_Incoming'!AI100-'Grid_Requirement'!AI100))</f>
        <v/>
      </c>
      <c r="AJ100">
        <f>IF(COUNTIFS(T_StockCount[RM_Code],$A100,T_StockCount[WeekIndex],35)&gt;0,SUMIFS(T_StockCount[CountedQty],T_StockCount[RM_Code],$A100,T_StockCount[WeekIndex],35),IF((COUNTIFS(T_SelfStock[RM_Code],$A100,T_SelfStock[WeekIndex],35)&gt;0)*(COUNTIFS(T_TTAFStock[RM_Code],$A100,T_TTAFStock[WeekIndex],35)&gt;0)&gt;0,SUMIFS(T_SelfStock[Self_Qty],T_SelfStock[RM_Code],$A100,T_SelfStock[WeekIndex],35)+SUMIFS(T_TTAFStock[TTAF_Qty],T_TTAFStock[RM_Code],$A100,T_TTAFStock[WeekIndex],35),AI100+'Grid_Incoming'!AJ100-'Grid_Requirement'!AJ100))</f>
        <v/>
      </c>
      <c r="AK100">
        <f>IF(COUNTIFS(T_StockCount[RM_Code],$A100,T_StockCount[WeekIndex],36)&gt;0,SUMIFS(T_StockCount[CountedQty],T_StockCount[RM_Code],$A100,T_StockCount[WeekIndex],36),IF((COUNTIFS(T_SelfStock[RM_Code],$A100,T_SelfStock[WeekIndex],36)&gt;0)*(COUNTIFS(T_TTAFStock[RM_Code],$A100,T_TTAFStock[WeekIndex],36)&gt;0)&gt;0,SUMIFS(T_SelfStock[Self_Qty],T_SelfStock[RM_Code],$A100,T_SelfStock[WeekIndex],36)+SUMIFS(T_TTAFStock[TTAF_Qty],T_TTAFStock[RM_Code],$A100,T_TTAFStock[WeekIndex],36),AJ100+'Grid_Incoming'!AK100-'Grid_Requirement'!AK100))</f>
        <v/>
      </c>
      <c r="AL100">
        <f>IF(COUNTIFS(T_StockCount[RM_Code],$A100,T_StockCount[WeekIndex],37)&gt;0,SUMIFS(T_StockCount[CountedQty],T_StockCount[RM_Code],$A100,T_StockCount[WeekIndex],37),IF((COUNTIFS(T_SelfStock[RM_Code],$A100,T_SelfStock[WeekIndex],37)&gt;0)*(COUNTIFS(T_TTAFStock[RM_Code],$A100,T_TTAFStock[WeekIndex],37)&gt;0)&gt;0,SUMIFS(T_SelfStock[Self_Qty],T_SelfStock[RM_Code],$A100,T_SelfStock[WeekIndex],37)+SUMIFS(T_TTAFStock[TTAF_Qty],T_TTAFStock[RM_Code],$A100,T_TTAFStock[WeekIndex],37),AK100+'Grid_Incoming'!AL100-'Grid_Requirement'!AL100))</f>
        <v/>
      </c>
      <c r="AM100">
        <f>IF(COUNTIFS(T_StockCount[RM_Code],$A100,T_StockCount[WeekIndex],38)&gt;0,SUMIFS(T_StockCount[CountedQty],T_StockCount[RM_Code],$A100,T_StockCount[WeekIndex],38),IF((COUNTIFS(T_SelfStock[RM_Code],$A100,T_SelfStock[WeekIndex],38)&gt;0)*(COUNTIFS(T_TTAFStock[RM_Code],$A100,T_TTAFStock[WeekIndex],38)&gt;0)&gt;0,SUMIFS(T_SelfStock[Self_Qty],T_SelfStock[RM_Code],$A100,T_SelfStock[WeekIndex],38)+SUMIFS(T_TTAFStock[TTAF_Qty],T_TTAFStock[RM_Code],$A100,T_TTAFStock[WeekIndex],38),AL100+'Grid_Incoming'!AM100-'Grid_Requirement'!AM100))</f>
        <v/>
      </c>
      <c r="AN100">
        <f>IF(COUNTIFS(T_StockCount[RM_Code],$A100,T_StockCount[WeekIndex],39)&gt;0,SUMIFS(T_StockCount[CountedQty],T_StockCount[RM_Code],$A100,T_StockCount[WeekIndex],39),IF((COUNTIFS(T_SelfStock[RM_Code],$A100,T_SelfStock[WeekIndex],39)&gt;0)*(COUNTIFS(T_TTAFStock[RM_Code],$A100,T_TTAFStock[WeekIndex],39)&gt;0)&gt;0,SUMIFS(T_SelfStock[Self_Qty],T_SelfStock[RM_Code],$A100,T_SelfStock[WeekIndex],39)+SUMIFS(T_TTAFStock[TTAF_Qty],T_TTAFStock[RM_Code],$A100,T_TTAFStock[WeekIndex],39),AM100+'Grid_Incoming'!AN100-'Grid_Requirement'!AN100))</f>
        <v/>
      </c>
      <c r="AO100">
        <f>IF(COUNTIFS(T_StockCount[RM_Code],$A100,T_StockCount[WeekIndex],40)&gt;0,SUMIFS(T_StockCount[CountedQty],T_StockCount[RM_Code],$A100,T_StockCount[WeekIndex],40),IF((COUNTIFS(T_SelfStock[RM_Code],$A100,T_SelfStock[WeekIndex],40)&gt;0)*(COUNTIFS(T_TTAFStock[RM_Code],$A100,T_TTAFStock[WeekIndex],40)&gt;0)&gt;0,SUMIFS(T_SelfStock[Self_Qty],T_SelfStock[RM_Code],$A100,T_SelfStock[WeekIndex],40)+SUMIFS(T_TTAFStock[TTAF_Qty],T_TTAFStock[RM_Code],$A100,T_TTAFStock[WeekIndex],40),AN100+'Grid_Incoming'!AO100-'Grid_Requirement'!AO100))</f>
        <v/>
      </c>
      <c r="AP100">
        <f>IF(COUNTIFS(T_StockCount[RM_Code],$A100,T_StockCount[WeekIndex],41)&gt;0,SUMIFS(T_StockCount[CountedQty],T_StockCount[RM_Code],$A100,T_StockCount[WeekIndex],41),IF((COUNTIFS(T_SelfStock[RM_Code],$A100,T_SelfStock[WeekIndex],41)&gt;0)*(COUNTIFS(T_TTAFStock[RM_Code],$A100,T_TTAFStock[WeekIndex],41)&gt;0)&gt;0,SUMIFS(T_SelfStock[Self_Qty],T_SelfStock[RM_Code],$A100,T_SelfStock[WeekIndex],41)+SUMIFS(T_TTAFStock[TTAF_Qty],T_TTAFStock[RM_Code],$A100,T_TTAFStock[WeekIndex],41),AO100+'Grid_Incoming'!AP100-'Grid_Requirement'!AP100))</f>
        <v/>
      </c>
      <c r="AQ100">
        <f>IF(COUNTIFS(T_StockCount[RM_Code],$A100,T_StockCount[WeekIndex],42)&gt;0,SUMIFS(T_StockCount[CountedQty],T_StockCount[RM_Code],$A100,T_StockCount[WeekIndex],42),IF((COUNTIFS(T_SelfStock[RM_Code],$A100,T_SelfStock[WeekIndex],42)&gt;0)*(COUNTIFS(T_TTAFStock[RM_Code],$A100,T_TTAFStock[WeekIndex],42)&gt;0)&gt;0,SUMIFS(T_SelfStock[Self_Qty],T_SelfStock[RM_Code],$A100,T_SelfStock[WeekIndex],42)+SUMIFS(T_TTAFStock[TTAF_Qty],T_TTAFStock[RM_Code],$A100,T_TTAFStock[WeekIndex],42),AP100+'Grid_Incoming'!AQ100-'Grid_Requirement'!AQ100))</f>
        <v/>
      </c>
      <c r="AR100">
        <f>IF(COUNTIFS(T_StockCount[RM_Code],$A100,T_StockCount[WeekIndex],43)&gt;0,SUMIFS(T_StockCount[CountedQty],T_StockCount[RM_Code],$A100,T_StockCount[WeekIndex],43),IF((COUNTIFS(T_SelfStock[RM_Code],$A100,T_SelfStock[WeekIndex],43)&gt;0)*(COUNTIFS(T_TTAFStock[RM_Code],$A100,T_TTAFStock[WeekIndex],43)&gt;0)&gt;0,SUMIFS(T_SelfStock[Self_Qty],T_SelfStock[RM_Code],$A100,T_SelfStock[WeekIndex],43)+SUMIFS(T_TTAFStock[TTAF_Qty],T_TTAFStock[RM_Code],$A100,T_TTAFStock[WeekIndex],43),AQ100+'Grid_Incoming'!AR100-'Grid_Requirement'!AR100))</f>
        <v/>
      </c>
      <c r="AS100">
        <f>IF(COUNTIFS(T_StockCount[RM_Code],$A100,T_StockCount[WeekIndex],44)&gt;0,SUMIFS(T_StockCount[CountedQty],T_StockCount[RM_Code],$A100,T_StockCount[WeekIndex],44),IF((COUNTIFS(T_SelfStock[RM_Code],$A100,T_SelfStock[WeekIndex],44)&gt;0)*(COUNTIFS(T_TTAFStock[RM_Code],$A100,T_TTAFStock[WeekIndex],44)&gt;0)&gt;0,SUMIFS(T_SelfStock[Self_Qty],T_SelfStock[RM_Code],$A100,T_SelfStock[WeekIndex],44)+SUMIFS(T_TTAFStock[TTAF_Qty],T_TTAFStock[RM_Code],$A100,T_TTAFStock[WeekIndex],44),AR100+'Grid_Incoming'!AS100-'Grid_Requirement'!AS100))</f>
        <v/>
      </c>
      <c r="AT100">
        <f>IF(COUNTIFS(T_StockCount[RM_Code],$A100,T_StockCount[WeekIndex],45)&gt;0,SUMIFS(T_StockCount[CountedQty],T_StockCount[RM_Code],$A100,T_StockCount[WeekIndex],45),IF((COUNTIFS(T_SelfStock[RM_Code],$A100,T_SelfStock[WeekIndex],45)&gt;0)*(COUNTIFS(T_TTAFStock[RM_Code],$A100,T_TTAFStock[WeekIndex],45)&gt;0)&gt;0,SUMIFS(T_SelfStock[Self_Qty],T_SelfStock[RM_Code],$A100,T_SelfStock[WeekIndex],45)+SUMIFS(T_TTAFStock[TTAF_Qty],T_TTAFStock[RM_Code],$A100,T_TTAFStock[WeekIndex],45),AS100+'Grid_Incoming'!AT100-'Grid_Requirement'!AT100))</f>
        <v/>
      </c>
      <c r="AU100">
        <f>IF(COUNTIFS(T_StockCount[RM_Code],$A100,T_StockCount[WeekIndex],46)&gt;0,SUMIFS(T_StockCount[CountedQty],T_StockCount[RM_Code],$A100,T_StockCount[WeekIndex],46),IF((COUNTIFS(T_SelfStock[RM_Code],$A100,T_SelfStock[WeekIndex],46)&gt;0)*(COUNTIFS(T_TTAFStock[RM_Code],$A100,T_TTAFStock[WeekIndex],46)&gt;0)&gt;0,SUMIFS(T_SelfStock[Self_Qty],T_SelfStock[RM_Code],$A100,T_SelfStock[WeekIndex],46)+SUMIFS(T_TTAFStock[TTAF_Qty],T_TTAFStock[RM_Code],$A100,T_TTAFStock[WeekIndex],46),AT100+'Grid_Incoming'!AU100-'Grid_Requirement'!AU100))</f>
        <v/>
      </c>
      <c r="AV100">
        <f>IF(COUNTIFS(T_StockCount[RM_Code],$A100,T_StockCount[WeekIndex],47)&gt;0,SUMIFS(T_StockCount[CountedQty],T_StockCount[RM_Code],$A100,T_StockCount[WeekIndex],47),IF((COUNTIFS(T_SelfStock[RM_Code],$A100,T_SelfStock[WeekIndex],47)&gt;0)*(COUNTIFS(T_TTAFStock[RM_Code],$A100,T_TTAFStock[WeekIndex],47)&gt;0)&gt;0,SUMIFS(T_SelfStock[Self_Qty],T_SelfStock[RM_Code],$A100,T_SelfStock[WeekIndex],47)+SUMIFS(T_TTAFStock[TTAF_Qty],T_TTAFStock[RM_Code],$A100,T_TTAFStock[WeekIndex],47),AU100+'Grid_Incoming'!AV100-'Grid_Requirement'!AV100))</f>
        <v/>
      </c>
      <c r="AW100">
        <f>IF(COUNTIFS(T_StockCount[RM_Code],$A100,T_StockCount[WeekIndex],48)&gt;0,SUMIFS(T_StockCount[CountedQty],T_StockCount[RM_Code],$A100,T_StockCount[WeekIndex],48),IF((COUNTIFS(T_SelfStock[RM_Code],$A100,T_SelfStock[WeekIndex],48)&gt;0)*(COUNTIFS(T_TTAFStock[RM_Code],$A100,T_TTAFStock[WeekIndex],48)&gt;0)&gt;0,SUMIFS(T_SelfStock[Self_Qty],T_SelfStock[RM_Code],$A100,T_SelfStock[WeekIndex],48)+SUMIFS(T_TTAFStock[TTAF_Qty],T_TTAFStock[RM_Code],$A100,T_TTAFStock[WeekIndex],48),AV100+'Grid_Incoming'!AW100-'Grid_Requirement'!AW100))</f>
        <v/>
      </c>
      <c r="AX100">
        <f>IF(COUNTIFS(T_StockCount[RM_Code],$A100,T_StockCount[WeekIndex],49)&gt;0,SUMIFS(T_StockCount[CountedQty],T_StockCount[RM_Code],$A100,T_StockCount[WeekIndex],49),IF((COUNTIFS(T_SelfStock[RM_Code],$A100,T_SelfStock[WeekIndex],49)&gt;0)*(COUNTIFS(T_TTAFStock[RM_Code],$A100,T_TTAFStock[WeekIndex],49)&gt;0)&gt;0,SUMIFS(T_SelfStock[Self_Qty],T_SelfStock[RM_Code],$A100,T_SelfStock[WeekIndex],49)+SUMIFS(T_TTAFStock[TTAF_Qty],T_TTAFStock[RM_Code],$A100,T_TTAFStock[WeekIndex],49),AW100+'Grid_Incoming'!AX100-'Grid_Requirement'!AX100))</f>
        <v/>
      </c>
      <c r="AY100">
        <f>IF(COUNTIFS(T_StockCount[RM_Code],$A100,T_StockCount[WeekIndex],50)&gt;0,SUMIFS(T_StockCount[CountedQty],T_StockCount[RM_Code],$A100,T_StockCount[WeekIndex],50),IF((COUNTIFS(T_SelfStock[RM_Code],$A100,T_SelfStock[WeekIndex],50)&gt;0)*(COUNTIFS(T_TTAFStock[RM_Code],$A100,T_TTAFStock[WeekIndex],50)&gt;0)&gt;0,SUMIFS(T_SelfStock[Self_Qty],T_SelfStock[RM_Code],$A100,T_SelfStock[WeekIndex],50)+SUMIFS(T_TTAFStock[TTAF_Qty],T_TTAFStock[RM_Code],$A100,T_TTAFStock[WeekIndex],50),AX100+'Grid_Incoming'!AY100-'Grid_Requirement'!AY100))</f>
        <v/>
      </c>
      <c r="AZ100">
        <f>IF(COUNTIFS(T_StockCount[RM_Code],$A100,T_StockCount[WeekIndex],51)&gt;0,SUMIFS(T_StockCount[CountedQty],T_StockCount[RM_Code],$A100,T_StockCount[WeekIndex],51),IF((COUNTIFS(T_SelfStock[RM_Code],$A100,T_SelfStock[WeekIndex],51)&gt;0)*(COUNTIFS(T_TTAFStock[RM_Code],$A100,T_TTAFStock[WeekIndex],51)&gt;0)&gt;0,SUMIFS(T_SelfStock[Self_Qty],T_SelfStock[RM_Code],$A100,T_SelfStock[WeekIndex],51)+SUMIFS(T_TTAFStock[TTAF_Qty],T_TTAFStock[RM_Code],$A100,T_TTAFStock[WeekIndex],51),AY100+'Grid_Incoming'!AZ100-'Grid_Requirement'!AZ100))</f>
        <v/>
      </c>
      <c r="BA100">
        <f>IF(COUNTIFS(T_StockCount[RM_Code],$A100,T_StockCount[WeekIndex],52)&gt;0,SUMIFS(T_StockCount[CountedQty],T_StockCount[RM_Code],$A100,T_StockCount[WeekIndex],52),IF((COUNTIFS(T_SelfStock[RM_Code],$A100,T_SelfStock[WeekIndex],52)&gt;0)*(COUNTIFS(T_TTAFStock[RM_Code],$A100,T_TTAFStock[WeekIndex],52)&gt;0)&gt;0,SUMIFS(T_SelfStock[Self_Qty],T_SelfStock[RM_Code],$A100,T_SelfStock[WeekIndex],52)+SUMIFS(T_TTAFStock[TTAF_Qty],T_TTAFStock[RM_Code],$A100,T_TTAFStock[WeekIndex],52),AZ100+'Grid_Incoming'!BA100-'Grid_Requirement'!BA100))</f>
        <v/>
      </c>
      <c r="BB100">
        <f>IF(COUNTIFS(T_StockCount[RM_Code],$A100,T_StockCount[WeekIndex],53)&gt;0,SUMIFS(T_StockCount[CountedQty],T_StockCount[RM_Code],$A100,T_StockCount[WeekIndex],53),IF((COUNTIFS(T_SelfStock[RM_Code],$A100,T_SelfStock[WeekIndex],53)&gt;0)*(COUNTIFS(T_TTAFStock[RM_Code],$A100,T_TTAFStock[WeekIndex],53)&gt;0)&gt;0,SUMIFS(T_SelfStock[Self_Qty],T_SelfStock[RM_Code],$A100,T_SelfStock[WeekIndex],53)+SUMIFS(T_TTAFStock[TTAF_Qty],T_TTAFStock[RM_Code],$A100,T_TTAFStock[WeekIndex],53),BA100+'Grid_Incoming'!BB100-'Grid_Requirement'!BB100))</f>
        <v/>
      </c>
      <c r="BC100">
        <f>IF(COUNTIFS(T_StockCount[RM_Code],$A100,T_StockCount[WeekIndex],54)&gt;0,SUMIFS(T_StockCount[CountedQty],T_StockCount[RM_Code],$A100,T_StockCount[WeekIndex],54),IF((COUNTIFS(T_SelfStock[RM_Code],$A100,T_SelfStock[WeekIndex],54)&gt;0)*(COUNTIFS(T_TTAFStock[RM_Code],$A100,T_TTAFStock[WeekIndex],54)&gt;0)&gt;0,SUMIFS(T_SelfStock[Self_Qty],T_SelfStock[RM_Code],$A100,T_SelfStock[WeekIndex],54)+SUMIFS(T_TTAFStock[TTAF_Qty],T_TTAFStock[RM_Code],$A100,T_TTAFStock[WeekIndex],54),BB100+'Grid_Incoming'!BC100-'Grid_Requirement'!BC100))</f>
        <v/>
      </c>
      <c r="BD100">
        <f>IF(COUNTIFS(T_StockCount[RM_Code],$A100,T_StockCount[WeekIndex],55)&gt;0,SUMIFS(T_StockCount[CountedQty],T_StockCount[RM_Code],$A100,T_StockCount[WeekIndex],55),IF((COUNTIFS(T_SelfStock[RM_Code],$A100,T_SelfStock[WeekIndex],55)&gt;0)*(COUNTIFS(T_TTAFStock[RM_Code],$A100,T_TTAFStock[WeekIndex],55)&gt;0)&gt;0,SUMIFS(T_SelfStock[Self_Qty],T_SelfStock[RM_Code],$A100,T_SelfStock[WeekIndex],55)+SUMIFS(T_TTAFStock[TTAF_Qty],T_TTAFStock[RM_Code],$A100,T_TTAFStock[WeekIndex],55),BC100+'Grid_Incoming'!BD100-'Grid_Requirement'!BD100))</f>
        <v/>
      </c>
      <c r="BE100">
        <f>IF(COUNTIFS(T_StockCount[RM_Code],$A100,T_StockCount[WeekIndex],56)&gt;0,SUMIFS(T_StockCount[CountedQty],T_StockCount[RM_Code],$A100,T_StockCount[WeekIndex],56),IF((COUNTIFS(T_SelfStock[RM_Code],$A100,T_SelfStock[WeekIndex],56)&gt;0)*(COUNTIFS(T_TTAFStock[RM_Code],$A100,T_TTAFStock[WeekIndex],56)&gt;0)&gt;0,SUMIFS(T_SelfStock[Self_Qty],T_SelfStock[RM_Code],$A100,T_SelfStock[WeekIndex],56)+SUMIFS(T_TTAFStock[TTAF_Qty],T_TTAFStock[RM_Code],$A100,T_TTAFStock[WeekIndex],56),BD100+'Grid_Incoming'!BE100-'Grid_Requirement'!BE100))</f>
        <v/>
      </c>
      <c r="BF100">
        <f>IF(COUNTIFS(T_StockCount[RM_Code],$A100,T_StockCount[WeekIndex],57)&gt;0,SUMIFS(T_StockCount[CountedQty],T_StockCount[RM_Code],$A100,T_StockCount[WeekIndex],57),IF((COUNTIFS(T_SelfStock[RM_Code],$A100,T_SelfStock[WeekIndex],57)&gt;0)*(COUNTIFS(T_TTAFStock[RM_Code],$A100,T_TTAFStock[WeekIndex],57)&gt;0)&gt;0,SUMIFS(T_SelfStock[Self_Qty],T_SelfStock[RM_Code],$A100,T_SelfStock[WeekIndex],57)+SUMIFS(T_TTAFStock[TTAF_Qty],T_TTAFStock[RM_Code],$A100,T_TTAFStock[WeekIndex],57),BE100+'Grid_Incoming'!BF100-'Grid_Requirement'!BF100))</f>
        <v/>
      </c>
      <c r="BG100">
        <f>IF(COUNTIFS(T_StockCount[RM_Code],$A100,T_StockCount[WeekIndex],58)&gt;0,SUMIFS(T_StockCount[CountedQty],T_StockCount[RM_Code],$A100,T_StockCount[WeekIndex],58),IF((COUNTIFS(T_SelfStock[RM_Code],$A100,T_SelfStock[WeekIndex],58)&gt;0)*(COUNTIFS(T_TTAFStock[RM_Code],$A100,T_TTAFStock[WeekIndex],58)&gt;0)&gt;0,SUMIFS(T_SelfStock[Self_Qty],T_SelfStock[RM_Code],$A100,T_SelfStock[WeekIndex],58)+SUMIFS(T_TTAFStock[TTAF_Qty],T_TTAFStock[RM_Code],$A100,T_TTAFStock[WeekIndex],58),BF100+'Grid_Incoming'!BG100-'Grid_Requirement'!BG100))</f>
        <v/>
      </c>
      <c r="BH100">
        <f>IF(COUNTIFS(T_StockCount[RM_Code],$A100,T_StockCount[WeekIndex],59)&gt;0,SUMIFS(T_StockCount[CountedQty],T_StockCount[RM_Code],$A100,T_StockCount[WeekIndex],59),IF((COUNTIFS(T_SelfStock[RM_Code],$A100,T_SelfStock[WeekIndex],59)&gt;0)*(COUNTIFS(T_TTAFStock[RM_Code],$A100,T_TTAFStock[WeekIndex],59)&gt;0)&gt;0,SUMIFS(T_SelfStock[Self_Qty],T_SelfStock[RM_Code],$A100,T_SelfStock[WeekIndex],59)+SUMIFS(T_TTAFStock[TTAF_Qty],T_TTAFStock[RM_Code],$A100,T_TTAFStock[WeekIndex],59),BG100+'Grid_Incoming'!BH100-'Grid_Requirement'!BH100))</f>
        <v/>
      </c>
      <c r="BI100">
        <f>IF(COUNTIFS(T_StockCount[RM_Code],$A100,T_StockCount[WeekIndex],60)&gt;0,SUMIFS(T_StockCount[CountedQty],T_StockCount[RM_Code],$A100,T_StockCount[WeekIndex],60),IF((COUNTIFS(T_SelfStock[RM_Code],$A100,T_SelfStock[WeekIndex],60)&gt;0)*(COUNTIFS(T_TTAFStock[RM_Code],$A100,T_TTAFStock[WeekIndex],60)&gt;0)&gt;0,SUMIFS(T_SelfStock[Self_Qty],T_SelfStock[RM_Code],$A100,T_SelfStock[WeekIndex],60)+SUMIFS(T_TTAFStock[TTAF_Qty],T_TTAFStock[RM_Code],$A100,T_TTAFStock[WeekIndex],60),BH100+'Grid_Incoming'!BI100-'Grid_Requirement'!BI100))</f>
        <v/>
      </c>
      <c r="BJ100">
        <f>IF(COUNTIFS(T_StockCount[RM_Code],$A100,T_StockCount[WeekIndex],61)&gt;0,SUMIFS(T_StockCount[CountedQty],T_StockCount[RM_Code],$A100,T_StockCount[WeekIndex],61),IF((COUNTIFS(T_SelfStock[RM_Code],$A100,T_SelfStock[WeekIndex],61)&gt;0)*(COUNTIFS(T_TTAFStock[RM_Code],$A100,T_TTAFStock[WeekIndex],61)&gt;0)&gt;0,SUMIFS(T_SelfStock[Self_Qty],T_SelfStock[RM_Code],$A100,T_SelfStock[WeekIndex],61)+SUMIFS(T_TTAFStock[TTAF_Qty],T_TTAFStock[RM_Code],$A100,T_TTAFStock[WeekIndex],61),BI100+'Grid_Incoming'!BJ100-'Grid_Requirement'!BJ100))</f>
        <v/>
      </c>
      <c r="BK100">
        <f>IF(COUNTIFS(T_StockCount[RM_Code],$A100,T_StockCount[WeekIndex],62)&gt;0,SUMIFS(T_StockCount[CountedQty],T_StockCount[RM_Code],$A100,T_StockCount[WeekIndex],62),IF((COUNTIFS(T_SelfStock[RM_Code],$A100,T_SelfStock[WeekIndex],62)&gt;0)*(COUNTIFS(T_TTAFStock[RM_Code],$A100,T_TTAFStock[WeekIndex],62)&gt;0)&gt;0,SUMIFS(T_SelfStock[Self_Qty],T_SelfStock[RM_Code],$A100,T_SelfStock[WeekIndex],62)+SUMIFS(T_TTAFStock[TTAF_Qty],T_TTAFStock[RM_Code],$A100,T_TTAFStock[WeekIndex],62),BJ100+'Grid_Incoming'!BK100-'Grid_Requirement'!BK100))</f>
        <v/>
      </c>
      <c r="BL100">
        <f>IF(COUNTIFS(T_StockCount[RM_Code],$A100,T_StockCount[WeekIndex],63)&gt;0,SUMIFS(T_StockCount[CountedQty],T_StockCount[RM_Code],$A100,T_StockCount[WeekIndex],63),IF((COUNTIFS(T_SelfStock[RM_Code],$A100,T_SelfStock[WeekIndex],63)&gt;0)*(COUNTIFS(T_TTAFStock[RM_Code],$A100,T_TTAFStock[WeekIndex],63)&gt;0)&gt;0,SUMIFS(T_SelfStock[Self_Qty],T_SelfStock[RM_Code],$A100,T_SelfStock[WeekIndex],63)+SUMIFS(T_TTAFStock[TTAF_Qty],T_TTAFStock[RM_Code],$A100,T_TTAFStock[WeekIndex],63),BK100+'Grid_Incoming'!BL100-'Grid_Requirement'!BL100))</f>
        <v/>
      </c>
      <c r="BM100">
        <f>IF(COUNTIFS(T_StockCount[RM_Code],$A100,T_StockCount[WeekIndex],64)&gt;0,SUMIFS(T_StockCount[CountedQty],T_StockCount[RM_Code],$A100,T_StockCount[WeekIndex],64),IF((COUNTIFS(T_SelfStock[RM_Code],$A100,T_SelfStock[WeekIndex],64)&gt;0)*(COUNTIFS(T_TTAFStock[RM_Code],$A100,T_TTAFStock[WeekIndex],64)&gt;0)&gt;0,SUMIFS(T_SelfStock[Self_Qty],T_SelfStock[RM_Code],$A100,T_SelfStock[WeekIndex],64)+SUMIFS(T_TTAFStock[TTAF_Qty],T_TTAFStock[RM_Code],$A100,T_TTAFStock[WeekIndex],64),BL100+'Grid_Incoming'!BM100-'Grid_Requirement'!BM100))</f>
        <v/>
      </c>
      <c r="BN100">
        <f>IF(COUNTIFS(T_StockCount[RM_Code],$A100,T_StockCount[WeekIndex],65)&gt;0,SUMIFS(T_StockCount[CountedQty],T_StockCount[RM_Code],$A100,T_StockCount[WeekIndex],65),IF((COUNTIFS(T_SelfStock[RM_Code],$A100,T_SelfStock[WeekIndex],65)&gt;0)*(COUNTIFS(T_TTAFStock[RM_Code],$A100,T_TTAFStock[WeekIndex],65)&gt;0)&gt;0,SUMIFS(T_SelfStock[Self_Qty],T_SelfStock[RM_Code],$A100,T_SelfStock[WeekIndex],65)+SUMIFS(T_TTAFStock[TTAF_Qty],T_TTAFStock[RM_Code],$A100,T_TTAFStock[WeekIndex],65),BM100+'Grid_Incoming'!BN100-'Grid_Requirement'!BN100))</f>
        <v/>
      </c>
      <c r="BO100">
        <f>IF(COUNTIFS(T_StockCount[RM_Code],$A100,T_StockCount[WeekIndex],66)&gt;0,SUMIFS(T_StockCount[CountedQty],T_StockCount[RM_Code],$A100,T_StockCount[WeekIndex],66),IF((COUNTIFS(T_SelfStock[RM_Code],$A100,T_SelfStock[WeekIndex],66)&gt;0)*(COUNTIFS(T_TTAFStock[RM_Code],$A100,T_TTAFStock[WeekIndex],66)&gt;0)&gt;0,SUMIFS(T_SelfStock[Self_Qty],T_SelfStock[RM_Code],$A100,T_SelfStock[WeekIndex],66)+SUMIFS(T_TTAFStock[TTAF_Qty],T_TTAFStock[RM_Code],$A100,T_TTAFStock[WeekIndex],66),BN100+'Grid_Incoming'!BO100-'Grid_Requirement'!BO100))</f>
        <v/>
      </c>
      <c r="BP100">
        <f>IF(COUNTIFS(T_StockCount[RM_Code],$A100,T_StockCount[WeekIndex],67)&gt;0,SUMIFS(T_StockCount[CountedQty],T_StockCount[RM_Code],$A100,T_StockCount[WeekIndex],67),IF((COUNTIFS(T_SelfStock[RM_Code],$A100,T_SelfStock[WeekIndex],67)&gt;0)*(COUNTIFS(T_TTAFStock[RM_Code],$A100,T_TTAFStock[WeekIndex],67)&gt;0)&gt;0,SUMIFS(T_SelfStock[Self_Qty],T_SelfStock[RM_Code],$A100,T_SelfStock[WeekIndex],67)+SUMIFS(T_TTAFStock[TTAF_Qty],T_TTAFStock[RM_Code],$A100,T_TTAFStock[WeekIndex],67),BO100+'Grid_Incoming'!BP100-'Grid_Requirement'!BP100))</f>
        <v/>
      </c>
      <c r="BQ100">
        <f>IF(COUNTIFS(T_StockCount[RM_Code],$A100,T_StockCount[WeekIndex],68)&gt;0,SUMIFS(T_StockCount[CountedQty],T_StockCount[RM_Code],$A100,T_StockCount[WeekIndex],68),IF((COUNTIFS(T_SelfStock[RM_Code],$A100,T_SelfStock[WeekIndex],68)&gt;0)*(COUNTIFS(T_TTAFStock[RM_Code],$A100,T_TTAFStock[WeekIndex],68)&gt;0)&gt;0,SUMIFS(T_SelfStock[Self_Qty],T_SelfStock[RM_Code],$A100,T_SelfStock[WeekIndex],68)+SUMIFS(T_TTAFStock[TTAF_Qty],T_TTAFStock[RM_Code],$A100,T_TTAFStock[WeekIndex],68),BP100+'Grid_Incoming'!BQ100-'Grid_Requirement'!BQ100))</f>
        <v/>
      </c>
      <c r="BR100">
        <f>IF(COUNTIFS(T_StockCount[RM_Code],$A100,T_StockCount[WeekIndex],69)&gt;0,SUMIFS(T_StockCount[CountedQty],T_StockCount[RM_Code],$A100,T_StockCount[WeekIndex],69),IF((COUNTIFS(T_SelfStock[RM_Code],$A100,T_SelfStock[WeekIndex],69)&gt;0)*(COUNTIFS(T_TTAFStock[RM_Code],$A100,T_TTAFStock[WeekIndex],69)&gt;0)&gt;0,SUMIFS(T_SelfStock[Self_Qty],T_SelfStock[RM_Code],$A100,T_SelfStock[WeekIndex],69)+SUMIFS(T_TTAFStock[TTAF_Qty],T_TTAFStock[RM_Code],$A100,T_TTAFStock[WeekIndex],69),BQ100+'Grid_Incoming'!BR100-'Grid_Requirement'!BR100))</f>
        <v/>
      </c>
      <c r="BS100">
        <f>IF(COUNTIFS(T_StockCount[RM_Code],$A100,T_StockCount[WeekIndex],70)&gt;0,SUMIFS(T_StockCount[CountedQty],T_StockCount[RM_Code],$A100,T_StockCount[WeekIndex],70),IF((COUNTIFS(T_SelfStock[RM_Code],$A100,T_SelfStock[WeekIndex],70)&gt;0)*(COUNTIFS(T_TTAFStock[RM_Code],$A100,T_TTAFStock[WeekIndex],70)&gt;0)&gt;0,SUMIFS(T_SelfStock[Self_Qty],T_SelfStock[RM_Code],$A100,T_SelfStock[WeekIndex],70)+SUMIFS(T_TTAFStock[TTAF_Qty],T_TTAFStock[RM_Code],$A100,T_TTAFStock[WeekIndex],70),BR100+'Grid_Incoming'!BS100-'Grid_Requirement'!BS100))</f>
        <v/>
      </c>
      <c r="BT100">
        <f>IF(COUNTIFS(T_StockCount[RM_Code],$A100,T_StockCount[WeekIndex],71)&gt;0,SUMIFS(T_StockCount[CountedQty],T_StockCount[RM_Code],$A100,T_StockCount[WeekIndex],71),IF((COUNTIFS(T_SelfStock[RM_Code],$A100,T_SelfStock[WeekIndex],71)&gt;0)*(COUNTIFS(T_TTAFStock[RM_Code],$A100,T_TTAFStock[WeekIndex],71)&gt;0)&gt;0,SUMIFS(T_SelfStock[Self_Qty],T_SelfStock[RM_Code],$A100,T_SelfStock[WeekIndex],71)+SUMIFS(T_TTAFStock[TTAF_Qty],T_TTAFStock[RM_Code],$A100,T_TTAFStock[WeekIndex],71),BS100+'Grid_Incoming'!BT100-'Grid_Requirement'!BT100))</f>
        <v/>
      </c>
      <c r="BU100">
        <f>IF(COUNTIFS(T_StockCount[RM_Code],$A100,T_StockCount[WeekIndex],72)&gt;0,SUMIFS(T_StockCount[CountedQty],T_StockCount[RM_Code],$A100,T_StockCount[WeekIndex],72),IF((COUNTIFS(T_SelfStock[RM_Code],$A100,T_SelfStock[WeekIndex],72)&gt;0)*(COUNTIFS(T_TTAFStock[RM_Code],$A100,T_TTAFStock[WeekIndex],72)&gt;0)&gt;0,SUMIFS(T_SelfStock[Self_Qty],T_SelfStock[RM_Code],$A100,T_SelfStock[WeekIndex],72)+SUMIFS(T_TTAFStock[TTAF_Qty],T_TTAFStock[RM_Code],$A100,T_TTAFStock[WeekIndex],72),BT100+'Grid_Incoming'!BU100-'Grid_Requirement'!BU100))</f>
        <v/>
      </c>
      <c r="BV100">
        <f>IF(COUNTIFS(T_StockCount[RM_Code],$A100,T_StockCount[WeekIndex],73)&gt;0,SUMIFS(T_StockCount[CountedQty],T_StockCount[RM_Code],$A100,T_StockCount[WeekIndex],73),IF((COUNTIFS(T_SelfStock[RM_Code],$A100,T_SelfStock[WeekIndex],73)&gt;0)*(COUNTIFS(T_TTAFStock[RM_Code],$A100,T_TTAFStock[WeekIndex],73)&gt;0)&gt;0,SUMIFS(T_SelfStock[Self_Qty],T_SelfStock[RM_Code],$A100,T_SelfStock[WeekIndex],73)+SUMIFS(T_TTAFStock[TTAF_Qty],T_TTAFStock[RM_Code],$A100,T_TTAFStock[WeekIndex],73),BU100+'Grid_Incoming'!BV100-'Grid_Requirement'!BV100))</f>
        <v/>
      </c>
      <c r="BW100">
        <f>IF(COUNTIFS(T_StockCount[RM_Code],$A100,T_StockCount[WeekIndex],74)&gt;0,SUMIFS(T_StockCount[CountedQty],T_StockCount[RM_Code],$A100,T_StockCount[WeekIndex],74),IF((COUNTIFS(T_SelfStock[RM_Code],$A100,T_SelfStock[WeekIndex],74)&gt;0)*(COUNTIFS(T_TTAFStock[RM_Code],$A100,T_TTAFStock[WeekIndex],74)&gt;0)&gt;0,SUMIFS(T_SelfStock[Self_Qty],T_SelfStock[RM_Code],$A100,T_SelfStock[WeekIndex],74)+SUMIFS(T_TTAFStock[TTAF_Qty],T_TTAFStock[RM_Code],$A100,T_TTAFStock[WeekIndex],74),BV100+'Grid_Incoming'!BW100-'Grid_Requirement'!BW100))</f>
        <v/>
      </c>
      <c r="BX100">
        <f>IF(COUNTIFS(T_StockCount[RM_Code],$A100,T_StockCount[WeekIndex],75)&gt;0,SUMIFS(T_StockCount[CountedQty],T_StockCount[RM_Code],$A100,T_StockCount[WeekIndex],75),IF((COUNTIFS(T_SelfStock[RM_Code],$A100,T_SelfStock[WeekIndex],75)&gt;0)*(COUNTIFS(T_TTAFStock[RM_Code],$A100,T_TTAFStock[WeekIndex],75)&gt;0)&gt;0,SUMIFS(T_SelfStock[Self_Qty],T_SelfStock[RM_Code],$A100,T_SelfStock[WeekIndex],75)+SUMIFS(T_TTAFStock[TTAF_Qty],T_TTAFStock[RM_Code],$A100,T_TTAFStock[WeekIndex],75),BW100+'Grid_Incoming'!BX100-'Grid_Requirement'!BX100))</f>
        <v/>
      </c>
      <c r="BY100">
        <f>IF(COUNTIFS(T_StockCount[RM_Code],$A100,T_StockCount[WeekIndex],76)&gt;0,SUMIFS(T_StockCount[CountedQty],T_StockCount[RM_Code],$A100,T_StockCount[WeekIndex],76),IF((COUNTIFS(T_SelfStock[RM_Code],$A100,T_SelfStock[WeekIndex],76)&gt;0)*(COUNTIFS(T_TTAFStock[RM_Code],$A100,T_TTAFStock[WeekIndex],76)&gt;0)&gt;0,SUMIFS(T_SelfStock[Self_Qty],T_SelfStock[RM_Code],$A100,T_SelfStock[WeekIndex],76)+SUMIFS(T_TTAFStock[TTAF_Qty],T_TTAFStock[RM_Code],$A100,T_TTAFStock[WeekIndex],76),BX100+'Grid_Incoming'!BY100-'Grid_Requirement'!BY100))</f>
        <v/>
      </c>
      <c r="BZ100">
        <f>IF(COUNTIFS(T_StockCount[RM_Code],$A100,T_StockCount[WeekIndex],77)&gt;0,SUMIFS(T_StockCount[CountedQty],T_StockCount[RM_Code],$A100,T_StockCount[WeekIndex],77),IF((COUNTIFS(T_SelfStock[RM_Code],$A100,T_SelfStock[WeekIndex],77)&gt;0)*(COUNTIFS(T_TTAFStock[RM_Code],$A100,T_TTAFStock[WeekIndex],77)&gt;0)&gt;0,SUMIFS(T_SelfStock[Self_Qty],T_SelfStock[RM_Code],$A100,T_SelfStock[WeekIndex],77)+SUMIFS(T_TTAFStock[TTAF_Qty],T_TTAFStock[RM_Code],$A100,T_TTAFStock[WeekIndex],77),BY100+'Grid_Incoming'!BZ100-'Grid_Requirement'!BZ100))</f>
        <v/>
      </c>
      <c r="CA100">
        <f>IF(COUNTIFS(T_StockCount[RM_Code],$A100,T_StockCount[WeekIndex],78)&gt;0,SUMIFS(T_StockCount[CountedQty],T_StockCount[RM_Code],$A100,T_StockCount[WeekIndex],78),IF((COUNTIFS(T_SelfStock[RM_Code],$A100,T_SelfStock[WeekIndex],78)&gt;0)*(COUNTIFS(T_TTAFStock[RM_Code],$A100,T_TTAFStock[WeekIndex],78)&gt;0)&gt;0,SUMIFS(T_SelfStock[Self_Qty],T_SelfStock[RM_Code],$A100,T_SelfStock[WeekIndex],78)+SUMIFS(T_TTAFStock[TTAF_Qty],T_TTAFStock[RM_Code],$A100,T_TTAFStock[WeekIndex],78),BZ100+'Grid_Incoming'!CA100-'Grid_Requirement'!CA100))</f>
        <v/>
      </c>
      <c r="CB100">
        <f>IF(COUNTIFS(T_StockCount[RM_Code],$A100,T_StockCount[WeekIndex],79)&gt;0,SUMIFS(T_StockCount[CountedQty],T_StockCount[RM_Code],$A100,T_StockCount[WeekIndex],79),IF((COUNTIFS(T_SelfStock[RM_Code],$A100,T_SelfStock[WeekIndex],79)&gt;0)*(COUNTIFS(T_TTAFStock[RM_Code],$A100,T_TTAFStock[WeekIndex],79)&gt;0)&gt;0,SUMIFS(T_SelfStock[Self_Qty],T_SelfStock[RM_Code],$A100,T_SelfStock[WeekIndex],79)+SUMIFS(T_TTAFStock[TTAF_Qty],T_TTAFStock[RM_Code],$A100,T_TTAFStock[WeekIndex],79),CA100+'Grid_Incoming'!CB100-'Grid_Requirement'!CB100))</f>
        <v/>
      </c>
      <c r="CC100">
        <f>IF(COUNTIFS(T_StockCount[RM_Code],$A100,T_StockCount[WeekIndex],80)&gt;0,SUMIFS(T_StockCount[CountedQty],T_StockCount[RM_Code],$A100,T_StockCount[WeekIndex],80),IF((COUNTIFS(T_SelfStock[RM_Code],$A100,T_SelfStock[WeekIndex],80)&gt;0)*(COUNTIFS(T_TTAFStock[RM_Code],$A100,T_TTAFStock[WeekIndex],80)&gt;0)&gt;0,SUMIFS(T_SelfStock[Self_Qty],T_SelfStock[RM_Code],$A100,T_SelfStock[WeekIndex],80)+SUMIFS(T_TTAFStock[TTAF_Qty],T_TTAFStock[RM_Code],$A100,T_TTAFStock[WeekIndex],80),CB100+'Grid_Incoming'!CC100-'Grid_Requirement'!CC100))</f>
        <v/>
      </c>
      <c r="CD100">
        <f>IF(COUNTIFS(T_StockCount[RM_Code],$A100,T_StockCount[WeekIndex],81)&gt;0,SUMIFS(T_StockCount[CountedQty],T_StockCount[RM_Code],$A100,T_StockCount[WeekIndex],81),IF((COUNTIFS(T_SelfStock[RM_Code],$A100,T_SelfStock[WeekIndex],81)&gt;0)*(COUNTIFS(T_TTAFStock[RM_Code],$A100,T_TTAFStock[WeekIndex],81)&gt;0)&gt;0,SUMIFS(T_SelfStock[Self_Qty],T_SelfStock[RM_Code],$A100,T_SelfStock[WeekIndex],81)+SUMIFS(T_TTAFStock[TTAF_Qty],T_TTAFStock[RM_Code],$A100,T_TTAFStock[WeekIndex],81),CC100+'Grid_Incoming'!CD100-'Grid_Requirement'!CD100))</f>
        <v/>
      </c>
      <c r="CE100">
        <f>IF(COUNTIFS(T_StockCount[RM_Code],$A100,T_StockCount[WeekIndex],82)&gt;0,SUMIFS(T_StockCount[CountedQty],T_StockCount[RM_Code],$A100,T_StockCount[WeekIndex],82),IF((COUNTIFS(T_SelfStock[RM_Code],$A100,T_SelfStock[WeekIndex],82)&gt;0)*(COUNTIFS(T_TTAFStock[RM_Code],$A100,T_TTAFStock[WeekIndex],82)&gt;0)&gt;0,SUMIFS(T_SelfStock[Self_Qty],T_SelfStock[RM_Code],$A100,T_SelfStock[WeekIndex],82)+SUMIFS(T_TTAFStock[TTAF_Qty],T_TTAFStock[RM_Code],$A100,T_TTAFStock[WeekIndex],82),CD100+'Grid_Incoming'!CE100-'Grid_Requirement'!CE100))</f>
        <v/>
      </c>
      <c r="CF100">
        <f>IF(COUNTIFS(T_StockCount[RM_Code],$A100,T_StockCount[WeekIndex],83)&gt;0,SUMIFS(T_StockCount[CountedQty],T_StockCount[RM_Code],$A100,T_StockCount[WeekIndex],83),IF((COUNTIFS(T_SelfStock[RM_Code],$A100,T_SelfStock[WeekIndex],83)&gt;0)*(COUNTIFS(T_TTAFStock[RM_Code],$A100,T_TTAFStock[WeekIndex],83)&gt;0)&gt;0,SUMIFS(T_SelfStock[Self_Qty],T_SelfStock[RM_Code],$A100,T_SelfStock[WeekIndex],83)+SUMIFS(T_TTAFStock[TTAF_Qty],T_TTAFStock[RM_Code],$A100,T_TTAFStock[WeekIndex],83),CE100+'Grid_Incoming'!CF100-'Grid_Requirement'!CF100))</f>
        <v/>
      </c>
      <c r="CG100">
        <f>IF(COUNTIFS(T_StockCount[RM_Code],$A100,T_StockCount[WeekIndex],84)&gt;0,SUMIFS(T_StockCount[CountedQty],T_StockCount[RM_Code],$A100,T_StockCount[WeekIndex],84),IF((COUNTIFS(T_SelfStock[RM_Code],$A100,T_SelfStock[WeekIndex],84)&gt;0)*(COUNTIFS(T_TTAFStock[RM_Code],$A100,T_TTAFStock[WeekIndex],84)&gt;0)&gt;0,SUMIFS(T_SelfStock[Self_Qty],T_SelfStock[RM_Code],$A100,T_SelfStock[WeekIndex],84)+SUMIFS(T_TTAFStock[TTAF_Qty],T_TTAFStock[RM_Code],$A100,T_TTAFStock[WeekIndex],84),CF100+'Grid_Incoming'!CG100-'Grid_Requirement'!CG100))</f>
        <v/>
      </c>
      <c r="CH100">
        <f>IF(COUNTIFS(T_StockCount[RM_Code],$A100,T_StockCount[WeekIndex],85)&gt;0,SUMIFS(T_StockCount[CountedQty],T_StockCount[RM_Code],$A100,T_StockCount[WeekIndex],85),IF((COUNTIFS(T_SelfStock[RM_Code],$A100,T_SelfStock[WeekIndex],85)&gt;0)*(COUNTIFS(T_TTAFStock[RM_Code],$A100,T_TTAFStock[WeekIndex],85)&gt;0)&gt;0,SUMIFS(T_SelfStock[Self_Qty],T_SelfStock[RM_Code],$A100,T_SelfStock[WeekIndex],85)+SUMIFS(T_TTAFStock[TTAF_Qty],T_TTAFStock[RM_Code],$A100,T_TTAFStock[WeekIndex],85),CG100+'Grid_Incoming'!CH100-'Grid_Requirement'!CH100))</f>
        <v/>
      </c>
      <c r="CI100">
        <f>IF(COUNTIFS(T_StockCount[RM_Code],$A100,T_StockCount[WeekIndex],86)&gt;0,SUMIFS(T_StockCount[CountedQty],T_StockCount[RM_Code],$A100,T_StockCount[WeekIndex],86),IF((COUNTIFS(T_SelfStock[RM_Code],$A100,T_SelfStock[WeekIndex],86)&gt;0)*(COUNTIFS(T_TTAFStock[RM_Code],$A100,T_TTAFStock[WeekIndex],86)&gt;0)&gt;0,SUMIFS(T_SelfStock[Self_Qty],T_SelfStock[RM_Code],$A100,T_SelfStock[WeekIndex],86)+SUMIFS(T_TTAFStock[TTAF_Qty],T_TTAFStock[RM_Code],$A100,T_TTAFStock[WeekIndex],86),CH100+'Grid_Incoming'!CI100-'Grid_Requirement'!CI100))</f>
        <v/>
      </c>
      <c r="CJ100">
        <f>IF(COUNTIFS(T_StockCount[RM_Code],$A100,T_StockCount[WeekIndex],87)&gt;0,SUMIFS(T_StockCount[CountedQty],T_StockCount[RM_Code],$A100,T_StockCount[WeekIndex],87),IF((COUNTIFS(T_SelfStock[RM_Code],$A100,T_SelfStock[WeekIndex],87)&gt;0)*(COUNTIFS(T_TTAFStock[RM_Code],$A100,T_TTAFStock[WeekIndex],87)&gt;0)&gt;0,SUMIFS(T_SelfStock[Self_Qty],T_SelfStock[RM_Code],$A100,T_SelfStock[WeekIndex],87)+SUMIFS(T_TTAFStock[TTAF_Qty],T_TTAFStock[RM_Code],$A100,T_TTAFStock[WeekIndex],87),CI100+'Grid_Incoming'!CJ100-'Grid_Requirement'!CJ100))</f>
        <v/>
      </c>
      <c r="CK100">
        <f>IF(COUNTIFS(T_StockCount[RM_Code],$A100,T_StockCount[WeekIndex],88)&gt;0,SUMIFS(T_StockCount[CountedQty],T_StockCount[RM_Code],$A100,T_StockCount[WeekIndex],88),IF((COUNTIFS(T_SelfStock[RM_Code],$A100,T_SelfStock[WeekIndex],88)&gt;0)*(COUNTIFS(T_TTAFStock[RM_Code],$A100,T_TTAFStock[WeekIndex],88)&gt;0)&gt;0,SUMIFS(T_SelfStock[Self_Qty],T_SelfStock[RM_Code],$A100,T_SelfStock[WeekIndex],88)+SUMIFS(T_TTAFStock[TTAF_Qty],T_TTAFStock[RM_Code],$A100,T_TTAFStock[WeekIndex],88),CJ100+'Grid_Incoming'!CK100-'Grid_Requirement'!CK100))</f>
        <v/>
      </c>
      <c r="CL100">
        <f>IF(COUNTIFS(T_StockCount[RM_Code],$A100,T_StockCount[WeekIndex],89)&gt;0,SUMIFS(T_StockCount[CountedQty],T_StockCount[RM_Code],$A100,T_StockCount[WeekIndex],89),IF((COUNTIFS(T_SelfStock[RM_Code],$A100,T_SelfStock[WeekIndex],89)&gt;0)*(COUNTIFS(T_TTAFStock[RM_Code],$A100,T_TTAFStock[WeekIndex],89)&gt;0)&gt;0,SUMIFS(T_SelfStock[Self_Qty],T_SelfStock[RM_Code],$A100,T_SelfStock[WeekIndex],89)+SUMIFS(T_TTAFStock[TTAF_Qty],T_TTAFStock[RM_Code],$A100,T_TTAFStock[WeekIndex],89),CK100+'Grid_Incoming'!CL100-'Grid_Requirement'!CL100))</f>
        <v/>
      </c>
      <c r="CM100">
        <f>IF(COUNTIFS(T_StockCount[RM_Code],$A100,T_StockCount[WeekIndex],90)&gt;0,SUMIFS(T_StockCount[CountedQty],T_StockCount[RM_Code],$A100,T_StockCount[WeekIndex],90),IF((COUNTIFS(T_SelfStock[RM_Code],$A100,T_SelfStock[WeekIndex],90)&gt;0)*(COUNTIFS(T_TTAFStock[RM_Code],$A100,T_TTAFStock[WeekIndex],90)&gt;0)&gt;0,SUMIFS(T_SelfStock[Self_Qty],T_SelfStock[RM_Code],$A100,T_SelfStock[WeekIndex],90)+SUMIFS(T_TTAFStock[TTAF_Qty],T_TTAFStock[RM_Code],$A100,T_TTAFStock[WeekIndex],90),CL100+'Grid_Incoming'!CM100-'Grid_Requirement'!CM100))</f>
        <v/>
      </c>
      <c r="CN100">
        <f>IF(COUNTIFS(T_StockCount[RM_Code],$A100,T_StockCount[WeekIndex],91)&gt;0,SUMIFS(T_StockCount[CountedQty],T_StockCount[RM_Code],$A100,T_StockCount[WeekIndex],91),IF((COUNTIFS(T_SelfStock[RM_Code],$A100,T_SelfStock[WeekIndex],91)&gt;0)*(COUNTIFS(T_TTAFStock[RM_Code],$A100,T_TTAFStock[WeekIndex],91)&gt;0)&gt;0,SUMIFS(T_SelfStock[Self_Qty],T_SelfStock[RM_Code],$A100,T_SelfStock[WeekIndex],91)+SUMIFS(T_TTAFStock[TTAF_Qty],T_TTAFStock[RM_Code],$A100,T_TTAFStock[WeekIndex],91),CM100+'Grid_Incoming'!CN100-'Grid_Requirement'!CN100))</f>
        <v/>
      </c>
      <c r="CO100">
        <f>IF(COUNTIFS(T_StockCount[RM_Code],$A100,T_StockCount[WeekIndex],92)&gt;0,SUMIFS(T_StockCount[CountedQty],T_StockCount[RM_Code],$A100,T_StockCount[WeekIndex],92),IF((COUNTIFS(T_SelfStock[RM_Code],$A100,T_SelfStock[WeekIndex],92)&gt;0)*(COUNTIFS(T_TTAFStock[RM_Code],$A100,T_TTAFStock[WeekIndex],92)&gt;0)&gt;0,SUMIFS(T_SelfStock[Self_Qty],T_SelfStock[RM_Code],$A100,T_SelfStock[WeekIndex],92)+SUMIFS(T_TTAFStock[TTAF_Qty],T_TTAFStock[RM_Code],$A100,T_TTAFStock[WeekIndex],92),CN100+'Grid_Incoming'!CO100-'Grid_Requirement'!CO100))</f>
        <v/>
      </c>
      <c r="CP100">
        <f>IF(COUNTIFS(T_StockCount[RM_Code],$A100,T_StockCount[WeekIndex],93)&gt;0,SUMIFS(T_StockCount[CountedQty],T_StockCount[RM_Code],$A100,T_StockCount[WeekIndex],93),IF((COUNTIFS(T_SelfStock[RM_Code],$A100,T_SelfStock[WeekIndex],93)&gt;0)*(COUNTIFS(T_TTAFStock[RM_Code],$A100,T_TTAFStock[WeekIndex],93)&gt;0)&gt;0,SUMIFS(T_SelfStock[Self_Qty],T_SelfStock[RM_Code],$A100,T_SelfStock[WeekIndex],93)+SUMIFS(T_TTAFStock[TTAF_Qty],T_TTAFStock[RM_Code],$A100,T_TTAFStock[WeekIndex],93),CO100+'Grid_Incoming'!CP100-'Grid_Requirement'!CP100))</f>
        <v/>
      </c>
      <c r="CQ100">
        <f>IF(COUNTIFS(T_StockCount[RM_Code],$A100,T_StockCount[WeekIndex],94)&gt;0,SUMIFS(T_StockCount[CountedQty],T_StockCount[RM_Code],$A100,T_StockCount[WeekIndex],94),IF((COUNTIFS(T_SelfStock[RM_Code],$A100,T_SelfStock[WeekIndex],94)&gt;0)*(COUNTIFS(T_TTAFStock[RM_Code],$A100,T_TTAFStock[WeekIndex],94)&gt;0)&gt;0,SUMIFS(T_SelfStock[Self_Qty],T_SelfStock[RM_Code],$A100,T_SelfStock[WeekIndex],94)+SUMIFS(T_TTAFStock[TTAF_Qty],T_TTAFStock[RM_Code],$A100,T_TTAFStock[WeekIndex],94),CP100+'Grid_Incoming'!CQ100-'Grid_Requirement'!CQ100))</f>
        <v/>
      </c>
      <c r="CR100">
        <f>IF(COUNTIFS(T_StockCount[RM_Code],$A100,T_StockCount[WeekIndex],95)&gt;0,SUMIFS(T_StockCount[CountedQty],T_StockCount[RM_Code],$A100,T_StockCount[WeekIndex],95),IF((COUNTIFS(T_SelfStock[RM_Code],$A100,T_SelfStock[WeekIndex],95)&gt;0)*(COUNTIFS(T_TTAFStock[RM_Code],$A100,T_TTAFStock[WeekIndex],95)&gt;0)&gt;0,SUMIFS(T_SelfStock[Self_Qty],T_SelfStock[RM_Code],$A100,T_SelfStock[WeekIndex],95)+SUMIFS(T_TTAFStock[TTAF_Qty],T_TTAFStock[RM_Code],$A100,T_TTAFStock[WeekIndex],95),CQ100+'Grid_Incoming'!CR100-'Grid_Requirement'!CR100))</f>
        <v/>
      </c>
      <c r="CS100">
        <f>IF(COUNTIFS(T_StockCount[RM_Code],$A100,T_StockCount[WeekIndex],96)&gt;0,SUMIFS(T_StockCount[CountedQty],T_StockCount[RM_Code],$A100,T_StockCount[WeekIndex],96),IF((COUNTIFS(T_SelfStock[RM_Code],$A100,T_SelfStock[WeekIndex],96)&gt;0)*(COUNTIFS(T_TTAFStock[RM_Code],$A100,T_TTAFStock[WeekIndex],96)&gt;0)&gt;0,SUMIFS(T_SelfStock[Self_Qty],T_SelfStock[RM_Code],$A100,T_SelfStock[WeekIndex],96)+SUMIFS(T_TTAFStock[TTAF_Qty],T_TTAFStock[RM_Code],$A100,T_TTAFStock[WeekIndex],96),CR100+'Grid_Incoming'!CS100-'Grid_Requirement'!CS100))</f>
        <v/>
      </c>
      <c r="CT100">
        <f>IF(COUNTIFS(T_StockCount[RM_Code],$A100,T_StockCount[WeekIndex],97)&gt;0,SUMIFS(T_StockCount[CountedQty],T_StockCount[RM_Code],$A100,T_StockCount[WeekIndex],97),IF((COUNTIFS(T_SelfStock[RM_Code],$A100,T_SelfStock[WeekIndex],97)&gt;0)*(COUNTIFS(T_TTAFStock[RM_Code],$A100,T_TTAFStock[WeekIndex],97)&gt;0)&gt;0,SUMIFS(T_SelfStock[Self_Qty],T_SelfStock[RM_Code],$A100,T_SelfStock[WeekIndex],97)+SUMIFS(T_TTAFStock[TTAF_Qty],T_TTAFStock[RM_Code],$A100,T_TTAFStock[WeekIndex],97),CS100+'Grid_Incoming'!CT100-'Grid_Requirement'!CT100))</f>
        <v/>
      </c>
      <c r="CU100">
        <f>IF(COUNTIFS(T_StockCount[RM_Code],$A100,T_StockCount[WeekIndex],98)&gt;0,SUMIFS(T_StockCount[CountedQty],T_StockCount[RM_Code],$A100,T_StockCount[WeekIndex],98),IF((COUNTIFS(T_SelfStock[RM_Code],$A100,T_SelfStock[WeekIndex],98)&gt;0)*(COUNTIFS(T_TTAFStock[RM_Code],$A100,T_TTAFStock[WeekIndex],98)&gt;0)&gt;0,SUMIFS(T_SelfStock[Self_Qty],T_SelfStock[RM_Code],$A100,T_SelfStock[WeekIndex],98)+SUMIFS(T_TTAFStock[TTAF_Qty],T_TTAFStock[RM_Code],$A100,T_TTAFStock[WeekIndex],98),CT100+'Grid_Incoming'!CU100-'Grid_Requirement'!CU100))</f>
        <v/>
      </c>
      <c r="CV100">
        <f>IF(COUNTIFS(T_StockCount[RM_Code],$A100,T_StockCount[WeekIndex],99)&gt;0,SUMIFS(T_StockCount[CountedQty],T_StockCount[RM_Code],$A100,T_StockCount[WeekIndex],99),IF((COUNTIFS(T_SelfStock[RM_Code],$A100,T_SelfStock[WeekIndex],99)&gt;0)*(COUNTIFS(T_TTAFStock[RM_Code],$A100,T_TTAFStock[WeekIndex],99)&gt;0)&gt;0,SUMIFS(T_SelfStock[Self_Qty],T_SelfStock[RM_Code],$A100,T_SelfStock[WeekIndex],99)+SUMIFS(T_TTAFStock[TTAF_Qty],T_TTAFStock[RM_Code],$A100,T_TTAFStock[WeekIndex],99),CU100+'Grid_Incoming'!CV100-'Grid_Requirement'!CV100))</f>
        <v/>
      </c>
      <c r="CW100">
        <f>IF(COUNTIFS(T_StockCount[RM_Code],$A100,T_StockCount[WeekIndex],100)&gt;0,SUMIFS(T_StockCount[CountedQty],T_StockCount[RM_Code],$A100,T_StockCount[WeekIndex],100),IF((COUNTIFS(T_SelfStock[RM_Code],$A100,T_SelfStock[WeekIndex],100)&gt;0)*(COUNTIFS(T_TTAFStock[RM_Code],$A100,T_TTAFStock[WeekIndex],100)&gt;0)&gt;0,SUMIFS(T_SelfStock[Self_Qty],T_SelfStock[RM_Code],$A100,T_SelfStock[WeekIndex],100)+SUMIFS(T_TTAFStock[TTAF_Qty],T_TTAFStock[RM_Code],$A100,T_TTAFStock[WeekIndex],100),CV100+'Grid_Incoming'!CW100-'Grid_Requirement'!CW100))</f>
        <v/>
      </c>
      <c r="CX100">
        <f>IF(COUNTIFS(T_StockCount[RM_Code],$A100,T_StockCount[WeekIndex],101)&gt;0,SUMIFS(T_StockCount[CountedQty],T_StockCount[RM_Code],$A100,T_StockCount[WeekIndex],101),IF((COUNTIFS(T_SelfStock[RM_Code],$A100,T_SelfStock[WeekIndex],101)&gt;0)*(COUNTIFS(T_TTAFStock[RM_Code],$A100,T_TTAFStock[WeekIndex],101)&gt;0)&gt;0,SUMIFS(T_SelfStock[Self_Qty],T_SelfStock[RM_Code],$A100,T_SelfStock[WeekIndex],101)+SUMIFS(T_TTAFStock[TTAF_Qty],T_TTAFStock[RM_Code],$A100,T_TTAFStock[WeekIndex],101),CW100+'Grid_Incoming'!CX100-'Grid_Requirement'!CX100))</f>
        <v/>
      </c>
      <c r="CY100">
        <f>IF(COUNTIFS(T_StockCount[RM_Code],$A100,T_StockCount[WeekIndex],102)&gt;0,SUMIFS(T_StockCount[CountedQty],T_StockCount[RM_Code],$A100,T_StockCount[WeekIndex],102),IF((COUNTIFS(T_SelfStock[RM_Code],$A100,T_SelfStock[WeekIndex],102)&gt;0)*(COUNTIFS(T_TTAFStock[RM_Code],$A100,T_TTAFStock[WeekIndex],102)&gt;0)&gt;0,SUMIFS(T_SelfStock[Self_Qty],T_SelfStock[RM_Code],$A100,T_SelfStock[WeekIndex],102)+SUMIFS(T_TTAFStock[TTAF_Qty],T_TTAFStock[RM_Code],$A100,T_TTAFStock[WeekIndex],102),CX100+'Grid_Incoming'!CY100-'Grid_Requirement'!CY100))</f>
        <v/>
      </c>
      <c r="CZ100">
        <f>IF(COUNTIFS(T_StockCount[RM_Code],$A100,T_StockCount[WeekIndex],103)&gt;0,SUMIFS(T_StockCount[CountedQty],T_StockCount[RM_Code],$A100,T_StockCount[WeekIndex],103),IF((COUNTIFS(T_SelfStock[RM_Code],$A100,T_SelfStock[WeekIndex],103)&gt;0)*(COUNTIFS(T_TTAFStock[RM_Code],$A100,T_TTAFStock[WeekIndex],103)&gt;0)&gt;0,SUMIFS(T_SelfStock[Self_Qty],T_SelfStock[RM_Code],$A100,T_SelfStock[WeekIndex],103)+SUMIFS(T_TTAFStock[TTAF_Qty],T_TTAFStock[RM_Code],$A100,T_TTAFStock[WeekIndex],103),CY100+'Grid_Incoming'!CZ100-'Grid_Requirement'!CZ100))</f>
        <v/>
      </c>
      <c r="DA100">
        <f>IF(COUNTIFS(T_StockCount[RM_Code],$A100,T_StockCount[WeekIndex],104)&gt;0,SUMIFS(T_StockCount[CountedQty],T_StockCount[RM_Code],$A100,T_StockCount[WeekIndex],104),IF((COUNTIFS(T_SelfStock[RM_Code],$A100,T_SelfStock[WeekIndex],104)&gt;0)*(COUNTIFS(T_TTAFStock[RM_Code],$A100,T_TTAFStock[WeekIndex],104)&gt;0)&gt;0,SUMIFS(T_SelfStock[Self_Qty],T_SelfStock[RM_Code],$A100,T_SelfStock[WeekIndex],104)+SUMIFS(T_TTAFStock[TTAF_Qty],T_TTAFStock[RM_Code],$A100,T_TTAFStock[WeekIndex],104),CZ100+'Grid_Incoming'!DA100-'Grid_Requirement'!DA100))</f>
        <v/>
      </c>
    </row>
    <row r="101">
      <c r="A101" t="inlineStr">
        <is>
          <t>CHEM-1090</t>
        </is>
      </c>
      <c r="B101">
        <f>IF(COUNTIFS(T_StockCount[RM_Code],$A101,T_StockCount[WeekIndex],1)&gt;0,SUMIFS(T_StockCount[CountedQty],T_StockCount[RM_Code],$A101,T_StockCount[WeekIndex],1),IF((COUNTIFS(T_SelfStock[RM_Code],$A101,T_SelfStock[WeekIndex],1)&gt;0)*(COUNTIFS(T_TTAFStock[RM_Code],$A101,T_TTAFStock[WeekIndex],1)&gt;0)&gt;0,SUMIFS(T_SelfStock[Self_Qty],T_SelfStock[RM_Code],$A101,T_SelfStock[WeekIndex],1)+SUMIFS(T_TTAFStock[TTAF_Qty],T_TTAFStock[RM_Code],$A101,T_TTAFStock[WeekIndex],1),IFERROR(INDEX(T_OpeningStock[Opening_Qty],MATCH($A101,T_OpeningStock[RM_Code],0)),0)+'Grid_Incoming'!B101-'Grid_Requirement'!B101))</f>
        <v/>
      </c>
      <c r="C101">
        <f>IF(COUNTIFS(T_StockCount[RM_Code],$A101,T_StockCount[WeekIndex],2)&gt;0,SUMIFS(T_StockCount[CountedQty],T_StockCount[RM_Code],$A101,T_StockCount[WeekIndex],2),IF((COUNTIFS(T_SelfStock[RM_Code],$A101,T_SelfStock[WeekIndex],2)&gt;0)*(COUNTIFS(T_TTAFStock[RM_Code],$A101,T_TTAFStock[WeekIndex],2)&gt;0)&gt;0,SUMIFS(T_SelfStock[Self_Qty],T_SelfStock[RM_Code],$A101,T_SelfStock[WeekIndex],2)+SUMIFS(T_TTAFStock[TTAF_Qty],T_TTAFStock[RM_Code],$A101,T_TTAFStock[WeekIndex],2),B101+'Grid_Incoming'!C101-'Grid_Requirement'!C101))</f>
        <v/>
      </c>
      <c r="D101">
        <f>IF(COUNTIFS(T_StockCount[RM_Code],$A101,T_StockCount[WeekIndex],3)&gt;0,SUMIFS(T_StockCount[CountedQty],T_StockCount[RM_Code],$A101,T_StockCount[WeekIndex],3),IF((COUNTIFS(T_SelfStock[RM_Code],$A101,T_SelfStock[WeekIndex],3)&gt;0)*(COUNTIFS(T_TTAFStock[RM_Code],$A101,T_TTAFStock[WeekIndex],3)&gt;0)&gt;0,SUMIFS(T_SelfStock[Self_Qty],T_SelfStock[RM_Code],$A101,T_SelfStock[WeekIndex],3)+SUMIFS(T_TTAFStock[TTAF_Qty],T_TTAFStock[RM_Code],$A101,T_TTAFStock[WeekIndex],3),C101+'Grid_Incoming'!D101-'Grid_Requirement'!D101))</f>
        <v/>
      </c>
      <c r="E101">
        <f>IF(COUNTIFS(T_StockCount[RM_Code],$A101,T_StockCount[WeekIndex],4)&gt;0,SUMIFS(T_StockCount[CountedQty],T_StockCount[RM_Code],$A101,T_StockCount[WeekIndex],4),IF((COUNTIFS(T_SelfStock[RM_Code],$A101,T_SelfStock[WeekIndex],4)&gt;0)*(COUNTIFS(T_TTAFStock[RM_Code],$A101,T_TTAFStock[WeekIndex],4)&gt;0)&gt;0,SUMIFS(T_SelfStock[Self_Qty],T_SelfStock[RM_Code],$A101,T_SelfStock[WeekIndex],4)+SUMIFS(T_TTAFStock[TTAF_Qty],T_TTAFStock[RM_Code],$A101,T_TTAFStock[WeekIndex],4),D101+'Grid_Incoming'!E101-'Grid_Requirement'!E101))</f>
        <v/>
      </c>
      <c r="F101">
        <f>IF(COUNTIFS(T_StockCount[RM_Code],$A101,T_StockCount[WeekIndex],5)&gt;0,SUMIFS(T_StockCount[CountedQty],T_StockCount[RM_Code],$A101,T_StockCount[WeekIndex],5),IF((COUNTIFS(T_SelfStock[RM_Code],$A101,T_SelfStock[WeekIndex],5)&gt;0)*(COUNTIFS(T_TTAFStock[RM_Code],$A101,T_TTAFStock[WeekIndex],5)&gt;0)&gt;0,SUMIFS(T_SelfStock[Self_Qty],T_SelfStock[RM_Code],$A101,T_SelfStock[WeekIndex],5)+SUMIFS(T_TTAFStock[TTAF_Qty],T_TTAFStock[RM_Code],$A101,T_TTAFStock[WeekIndex],5),E101+'Grid_Incoming'!F101-'Grid_Requirement'!F101))</f>
        <v/>
      </c>
      <c r="G101">
        <f>IF(COUNTIFS(T_StockCount[RM_Code],$A101,T_StockCount[WeekIndex],6)&gt;0,SUMIFS(T_StockCount[CountedQty],T_StockCount[RM_Code],$A101,T_StockCount[WeekIndex],6),IF((COUNTIFS(T_SelfStock[RM_Code],$A101,T_SelfStock[WeekIndex],6)&gt;0)*(COUNTIFS(T_TTAFStock[RM_Code],$A101,T_TTAFStock[WeekIndex],6)&gt;0)&gt;0,SUMIFS(T_SelfStock[Self_Qty],T_SelfStock[RM_Code],$A101,T_SelfStock[WeekIndex],6)+SUMIFS(T_TTAFStock[TTAF_Qty],T_TTAFStock[RM_Code],$A101,T_TTAFStock[WeekIndex],6),F101+'Grid_Incoming'!G101-'Grid_Requirement'!G101))</f>
        <v/>
      </c>
      <c r="H101">
        <f>IF(COUNTIFS(T_StockCount[RM_Code],$A101,T_StockCount[WeekIndex],7)&gt;0,SUMIFS(T_StockCount[CountedQty],T_StockCount[RM_Code],$A101,T_StockCount[WeekIndex],7),IF((COUNTIFS(T_SelfStock[RM_Code],$A101,T_SelfStock[WeekIndex],7)&gt;0)*(COUNTIFS(T_TTAFStock[RM_Code],$A101,T_TTAFStock[WeekIndex],7)&gt;0)&gt;0,SUMIFS(T_SelfStock[Self_Qty],T_SelfStock[RM_Code],$A101,T_SelfStock[WeekIndex],7)+SUMIFS(T_TTAFStock[TTAF_Qty],T_TTAFStock[RM_Code],$A101,T_TTAFStock[WeekIndex],7),G101+'Grid_Incoming'!H101-'Grid_Requirement'!H101))</f>
        <v/>
      </c>
      <c r="I101">
        <f>IF(COUNTIFS(T_StockCount[RM_Code],$A101,T_StockCount[WeekIndex],8)&gt;0,SUMIFS(T_StockCount[CountedQty],T_StockCount[RM_Code],$A101,T_StockCount[WeekIndex],8),IF((COUNTIFS(T_SelfStock[RM_Code],$A101,T_SelfStock[WeekIndex],8)&gt;0)*(COUNTIFS(T_TTAFStock[RM_Code],$A101,T_TTAFStock[WeekIndex],8)&gt;0)&gt;0,SUMIFS(T_SelfStock[Self_Qty],T_SelfStock[RM_Code],$A101,T_SelfStock[WeekIndex],8)+SUMIFS(T_TTAFStock[TTAF_Qty],T_TTAFStock[RM_Code],$A101,T_TTAFStock[WeekIndex],8),H101+'Grid_Incoming'!I101-'Grid_Requirement'!I101))</f>
        <v/>
      </c>
      <c r="J101">
        <f>IF(COUNTIFS(T_StockCount[RM_Code],$A101,T_StockCount[WeekIndex],9)&gt;0,SUMIFS(T_StockCount[CountedQty],T_StockCount[RM_Code],$A101,T_StockCount[WeekIndex],9),IF((COUNTIFS(T_SelfStock[RM_Code],$A101,T_SelfStock[WeekIndex],9)&gt;0)*(COUNTIFS(T_TTAFStock[RM_Code],$A101,T_TTAFStock[WeekIndex],9)&gt;0)&gt;0,SUMIFS(T_SelfStock[Self_Qty],T_SelfStock[RM_Code],$A101,T_SelfStock[WeekIndex],9)+SUMIFS(T_TTAFStock[TTAF_Qty],T_TTAFStock[RM_Code],$A101,T_TTAFStock[WeekIndex],9),I101+'Grid_Incoming'!J101-'Grid_Requirement'!J101))</f>
        <v/>
      </c>
      <c r="K101">
        <f>IF(COUNTIFS(T_StockCount[RM_Code],$A101,T_StockCount[WeekIndex],10)&gt;0,SUMIFS(T_StockCount[CountedQty],T_StockCount[RM_Code],$A101,T_StockCount[WeekIndex],10),IF((COUNTIFS(T_SelfStock[RM_Code],$A101,T_SelfStock[WeekIndex],10)&gt;0)*(COUNTIFS(T_TTAFStock[RM_Code],$A101,T_TTAFStock[WeekIndex],10)&gt;0)&gt;0,SUMIFS(T_SelfStock[Self_Qty],T_SelfStock[RM_Code],$A101,T_SelfStock[WeekIndex],10)+SUMIFS(T_TTAFStock[TTAF_Qty],T_TTAFStock[RM_Code],$A101,T_TTAFStock[WeekIndex],10),J101+'Grid_Incoming'!K101-'Grid_Requirement'!K101))</f>
        <v/>
      </c>
      <c r="L101">
        <f>IF(COUNTIFS(T_StockCount[RM_Code],$A101,T_StockCount[WeekIndex],11)&gt;0,SUMIFS(T_StockCount[CountedQty],T_StockCount[RM_Code],$A101,T_StockCount[WeekIndex],11),IF((COUNTIFS(T_SelfStock[RM_Code],$A101,T_SelfStock[WeekIndex],11)&gt;0)*(COUNTIFS(T_TTAFStock[RM_Code],$A101,T_TTAFStock[WeekIndex],11)&gt;0)&gt;0,SUMIFS(T_SelfStock[Self_Qty],T_SelfStock[RM_Code],$A101,T_SelfStock[WeekIndex],11)+SUMIFS(T_TTAFStock[TTAF_Qty],T_TTAFStock[RM_Code],$A101,T_TTAFStock[WeekIndex],11),K101+'Grid_Incoming'!L101-'Grid_Requirement'!L101))</f>
        <v/>
      </c>
      <c r="M101">
        <f>IF(COUNTIFS(T_StockCount[RM_Code],$A101,T_StockCount[WeekIndex],12)&gt;0,SUMIFS(T_StockCount[CountedQty],T_StockCount[RM_Code],$A101,T_StockCount[WeekIndex],12),IF((COUNTIFS(T_SelfStock[RM_Code],$A101,T_SelfStock[WeekIndex],12)&gt;0)*(COUNTIFS(T_TTAFStock[RM_Code],$A101,T_TTAFStock[WeekIndex],12)&gt;0)&gt;0,SUMIFS(T_SelfStock[Self_Qty],T_SelfStock[RM_Code],$A101,T_SelfStock[WeekIndex],12)+SUMIFS(T_TTAFStock[TTAF_Qty],T_TTAFStock[RM_Code],$A101,T_TTAFStock[WeekIndex],12),L101+'Grid_Incoming'!M101-'Grid_Requirement'!M101))</f>
        <v/>
      </c>
      <c r="N101">
        <f>IF(COUNTIFS(T_StockCount[RM_Code],$A101,T_StockCount[WeekIndex],13)&gt;0,SUMIFS(T_StockCount[CountedQty],T_StockCount[RM_Code],$A101,T_StockCount[WeekIndex],13),IF((COUNTIFS(T_SelfStock[RM_Code],$A101,T_SelfStock[WeekIndex],13)&gt;0)*(COUNTIFS(T_TTAFStock[RM_Code],$A101,T_TTAFStock[WeekIndex],13)&gt;0)&gt;0,SUMIFS(T_SelfStock[Self_Qty],T_SelfStock[RM_Code],$A101,T_SelfStock[WeekIndex],13)+SUMIFS(T_TTAFStock[TTAF_Qty],T_TTAFStock[RM_Code],$A101,T_TTAFStock[WeekIndex],13),M101+'Grid_Incoming'!N101-'Grid_Requirement'!N101))</f>
        <v/>
      </c>
      <c r="O101">
        <f>IF(COUNTIFS(T_StockCount[RM_Code],$A101,T_StockCount[WeekIndex],14)&gt;0,SUMIFS(T_StockCount[CountedQty],T_StockCount[RM_Code],$A101,T_StockCount[WeekIndex],14),IF((COUNTIFS(T_SelfStock[RM_Code],$A101,T_SelfStock[WeekIndex],14)&gt;0)*(COUNTIFS(T_TTAFStock[RM_Code],$A101,T_TTAFStock[WeekIndex],14)&gt;0)&gt;0,SUMIFS(T_SelfStock[Self_Qty],T_SelfStock[RM_Code],$A101,T_SelfStock[WeekIndex],14)+SUMIFS(T_TTAFStock[TTAF_Qty],T_TTAFStock[RM_Code],$A101,T_TTAFStock[WeekIndex],14),N101+'Grid_Incoming'!O101-'Grid_Requirement'!O101))</f>
        <v/>
      </c>
      <c r="P101">
        <f>IF(COUNTIFS(T_StockCount[RM_Code],$A101,T_StockCount[WeekIndex],15)&gt;0,SUMIFS(T_StockCount[CountedQty],T_StockCount[RM_Code],$A101,T_StockCount[WeekIndex],15),IF((COUNTIFS(T_SelfStock[RM_Code],$A101,T_SelfStock[WeekIndex],15)&gt;0)*(COUNTIFS(T_TTAFStock[RM_Code],$A101,T_TTAFStock[WeekIndex],15)&gt;0)&gt;0,SUMIFS(T_SelfStock[Self_Qty],T_SelfStock[RM_Code],$A101,T_SelfStock[WeekIndex],15)+SUMIFS(T_TTAFStock[TTAF_Qty],T_TTAFStock[RM_Code],$A101,T_TTAFStock[WeekIndex],15),O101+'Grid_Incoming'!P101-'Grid_Requirement'!P101))</f>
        <v/>
      </c>
      <c r="Q101">
        <f>IF(COUNTIFS(T_StockCount[RM_Code],$A101,T_StockCount[WeekIndex],16)&gt;0,SUMIFS(T_StockCount[CountedQty],T_StockCount[RM_Code],$A101,T_StockCount[WeekIndex],16),IF((COUNTIFS(T_SelfStock[RM_Code],$A101,T_SelfStock[WeekIndex],16)&gt;0)*(COUNTIFS(T_TTAFStock[RM_Code],$A101,T_TTAFStock[WeekIndex],16)&gt;0)&gt;0,SUMIFS(T_SelfStock[Self_Qty],T_SelfStock[RM_Code],$A101,T_SelfStock[WeekIndex],16)+SUMIFS(T_TTAFStock[TTAF_Qty],T_TTAFStock[RM_Code],$A101,T_TTAFStock[WeekIndex],16),P101+'Grid_Incoming'!Q101-'Grid_Requirement'!Q101))</f>
        <v/>
      </c>
      <c r="R101">
        <f>IF(COUNTIFS(T_StockCount[RM_Code],$A101,T_StockCount[WeekIndex],17)&gt;0,SUMIFS(T_StockCount[CountedQty],T_StockCount[RM_Code],$A101,T_StockCount[WeekIndex],17),IF((COUNTIFS(T_SelfStock[RM_Code],$A101,T_SelfStock[WeekIndex],17)&gt;0)*(COUNTIFS(T_TTAFStock[RM_Code],$A101,T_TTAFStock[WeekIndex],17)&gt;0)&gt;0,SUMIFS(T_SelfStock[Self_Qty],T_SelfStock[RM_Code],$A101,T_SelfStock[WeekIndex],17)+SUMIFS(T_TTAFStock[TTAF_Qty],T_TTAFStock[RM_Code],$A101,T_TTAFStock[WeekIndex],17),Q101+'Grid_Incoming'!R101-'Grid_Requirement'!R101))</f>
        <v/>
      </c>
      <c r="S101">
        <f>IF(COUNTIFS(T_StockCount[RM_Code],$A101,T_StockCount[WeekIndex],18)&gt;0,SUMIFS(T_StockCount[CountedQty],T_StockCount[RM_Code],$A101,T_StockCount[WeekIndex],18),IF((COUNTIFS(T_SelfStock[RM_Code],$A101,T_SelfStock[WeekIndex],18)&gt;0)*(COUNTIFS(T_TTAFStock[RM_Code],$A101,T_TTAFStock[WeekIndex],18)&gt;0)&gt;0,SUMIFS(T_SelfStock[Self_Qty],T_SelfStock[RM_Code],$A101,T_SelfStock[WeekIndex],18)+SUMIFS(T_TTAFStock[TTAF_Qty],T_TTAFStock[RM_Code],$A101,T_TTAFStock[WeekIndex],18),R101+'Grid_Incoming'!S101-'Grid_Requirement'!S101))</f>
        <v/>
      </c>
      <c r="T101">
        <f>IF(COUNTIFS(T_StockCount[RM_Code],$A101,T_StockCount[WeekIndex],19)&gt;0,SUMIFS(T_StockCount[CountedQty],T_StockCount[RM_Code],$A101,T_StockCount[WeekIndex],19),IF((COUNTIFS(T_SelfStock[RM_Code],$A101,T_SelfStock[WeekIndex],19)&gt;0)*(COUNTIFS(T_TTAFStock[RM_Code],$A101,T_TTAFStock[WeekIndex],19)&gt;0)&gt;0,SUMIFS(T_SelfStock[Self_Qty],T_SelfStock[RM_Code],$A101,T_SelfStock[WeekIndex],19)+SUMIFS(T_TTAFStock[TTAF_Qty],T_TTAFStock[RM_Code],$A101,T_TTAFStock[WeekIndex],19),S101+'Grid_Incoming'!T101-'Grid_Requirement'!T101))</f>
        <v/>
      </c>
      <c r="U101">
        <f>IF(COUNTIFS(T_StockCount[RM_Code],$A101,T_StockCount[WeekIndex],20)&gt;0,SUMIFS(T_StockCount[CountedQty],T_StockCount[RM_Code],$A101,T_StockCount[WeekIndex],20),IF((COUNTIFS(T_SelfStock[RM_Code],$A101,T_SelfStock[WeekIndex],20)&gt;0)*(COUNTIFS(T_TTAFStock[RM_Code],$A101,T_TTAFStock[WeekIndex],20)&gt;0)&gt;0,SUMIFS(T_SelfStock[Self_Qty],T_SelfStock[RM_Code],$A101,T_SelfStock[WeekIndex],20)+SUMIFS(T_TTAFStock[TTAF_Qty],T_TTAFStock[RM_Code],$A101,T_TTAFStock[WeekIndex],20),T101+'Grid_Incoming'!U101-'Grid_Requirement'!U101))</f>
        <v/>
      </c>
      <c r="V101">
        <f>IF(COUNTIFS(T_StockCount[RM_Code],$A101,T_StockCount[WeekIndex],21)&gt;0,SUMIFS(T_StockCount[CountedQty],T_StockCount[RM_Code],$A101,T_StockCount[WeekIndex],21),IF((COUNTIFS(T_SelfStock[RM_Code],$A101,T_SelfStock[WeekIndex],21)&gt;0)*(COUNTIFS(T_TTAFStock[RM_Code],$A101,T_TTAFStock[WeekIndex],21)&gt;0)&gt;0,SUMIFS(T_SelfStock[Self_Qty],T_SelfStock[RM_Code],$A101,T_SelfStock[WeekIndex],21)+SUMIFS(T_TTAFStock[TTAF_Qty],T_TTAFStock[RM_Code],$A101,T_TTAFStock[WeekIndex],21),U101+'Grid_Incoming'!V101-'Grid_Requirement'!V101))</f>
        <v/>
      </c>
      <c r="W101">
        <f>IF(COUNTIFS(T_StockCount[RM_Code],$A101,T_StockCount[WeekIndex],22)&gt;0,SUMIFS(T_StockCount[CountedQty],T_StockCount[RM_Code],$A101,T_StockCount[WeekIndex],22),IF((COUNTIFS(T_SelfStock[RM_Code],$A101,T_SelfStock[WeekIndex],22)&gt;0)*(COUNTIFS(T_TTAFStock[RM_Code],$A101,T_TTAFStock[WeekIndex],22)&gt;0)&gt;0,SUMIFS(T_SelfStock[Self_Qty],T_SelfStock[RM_Code],$A101,T_SelfStock[WeekIndex],22)+SUMIFS(T_TTAFStock[TTAF_Qty],T_TTAFStock[RM_Code],$A101,T_TTAFStock[WeekIndex],22),V101+'Grid_Incoming'!W101-'Grid_Requirement'!W101))</f>
        <v/>
      </c>
      <c r="X101">
        <f>IF(COUNTIFS(T_StockCount[RM_Code],$A101,T_StockCount[WeekIndex],23)&gt;0,SUMIFS(T_StockCount[CountedQty],T_StockCount[RM_Code],$A101,T_StockCount[WeekIndex],23),IF((COUNTIFS(T_SelfStock[RM_Code],$A101,T_SelfStock[WeekIndex],23)&gt;0)*(COUNTIFS(T_TTAFStock[RM_Code],$A101,T_TTAFStock[WeekIndex],23)&gt;0)&gt;0,SUMIFS(T_SelfStock[Self_Qty],T_SelfStock[RM_Code],$A101,T_SelfStock[WeekIndex],23)+SUMIFS(T_TTAFStock[TTAF_Qty],T_TTAFStock[RM_Code],$A101,T_TTAFStock[WeekIndex],23),W101+'Grid_Incoming'!X101-'Grid_Requirement'!X101))</f>
        <v/>
      </c>
      <c r="Y101">
        <f>IF(COUNTIFS(T_StockCount[RM_Code],$A101,T_StockCount[WeekIndex],24)&gt;0,SUMIFS(T_StockCount[CountedQty],T_StockCount[RM_Code],$A101,T_StockCount[WeekIndex],24),IF((COUNTIFS(T_SelfStock[RM_Code],$A101,T_SelfStock[WeekIndex],24)&gt;0)*(COUNTIFS(T_TTAFStock[RM_Code],$A101,T_TTAFStock[WeekIndex],24)&gt;0)&gt;0,SUMIFS(T_SelfStock[Self_Qty],T_SelfStock[RM_Code],$A101,T_SelfStock[WeekIndex],24)+SUMIFS(T_TTAFStock[TTAF_Qty],T_TTAFStock[RM_Code],$A101,T_TTAFStock[WeekIndex],24),X101+'Grid_Incoming'!Y101-'Grid_Requirement'!Y101))</f>
        <v/>
      </c>
      <c r="Z101">
        <f>IF(COUNTIFS(T_StockCount[RM_Code],$A101,T_StockCount[WeekIndex],25)&gt;0,SUMIFS(T_StockCount[CountedQty],T_StockCount[RM_Code],$A101,T_StockCount[WeekIndex],25),IF((COUNTIFS(T_SelfStock[RM_Code],$A101,T_SelfStock[WeekIndex],25)&gt;0)*(COUNTIFS(T_TTAFStock[RM_Code],$A101,T_TTAFStock[WeekIndex],25)&gt;0)&gt;0,SUMIFS(T_SelfStock[Self_Qty],T_SelfStock[RM_Code],$A101,T_SelfStock[WeekIndex],25)+SUMIFS(T_TTAFStock[TTAF_Qty],T_TTAFStock[RM_Code],$A101,T_TTAFStock[WeekIndex],25),Y101+'Grid_Incoming'!Z101-'Grid_Requirement'!Z101))</f>
        <v/>
      </c>
      <c r="AA101">
        <f>IF(COUNTIFS(T_StockCount[RM_Code],$A101,T_StockCount[WeekIndex],26)&gt;0,SUMIFS(T_StockCount[CountedQty],T_StockCount[RM_Code],$A101,T_StockCount[WeekIndex],26),IF((COUNTIFS(T_SelfStock[RM_Code],$A101,T_SelfStock[WeekIndex],26)&gt;0)*(COUNTIFS(T_TTAFStock[RM_Code],$A101,T_TTAFStock[WeekIndex],26)&gt;0)&gt;0,SUMIFS(T_SelfStock[Self_Qty],T_SelfStock[RM_Code],$A101,T_SelfStock[WeekIndex],26)+SUMIFS(T_TTAFStock[TTAF_Qty],T_TTAFStock[RM_Code],$A101,T_TTAFStock[WeekIndex],26),Z101+'Grid_Incoming'!AA101-'Grid_Requirement'!AA101))</f>
        <v/>
      </c>
      <c r="AB101">
        <f>IF(COUNTIFS(T_StockCount[RM_Code],$A101,T_StockCount[WeekIndex],27)&gt;0,SUMIFS(T_StockCount[CountedQty],T_StockCount[RM_Code],$A101,T_StockCount[WeekIndex],27),IF((COUNTIFS(T_SelfStock[RM_Code],$A101,T_SelfStock[WeekIndex],27)&gt;0)*(COUNTIFS(T_TTAFStock[RM_Code],$A101,T_TTAFStock[WeekIndex],27)&gt;0)&gt;0,SUMIFS(T_SelfStock[Self_Qty],T_SelfStock[RM_Code],$A101,T_SelfStock[WeekIndex],27)+SUMIFS(T_TTAFStock[TTAF_Qty],T_TTAFStock[RM_Code],$A101,T_TTAFStock[WeekIndex],27),AA101+'Grid_Incoming'!AB101-'Grid_Requirement'!AB101))</f>
        <v/>
      </c>
      <c r="AC101">
        <f>IF(COUNTIFS(T_StockCount[RM_Code],$A101,T_StockCount[WeekIndex],28)&gt;0,SUMIFS(T_StockCount[CountedQty],T_StockCount[RM_Code],$A101,T_StockCount[WeekIndex],28),IF((COUNTIFS(T_SelfStock[RM_Code],$A101,T_SelfStock[WeekIndex],28)&gt;0)*(COUNTIFS(T_TTAFStock[RM_Code],$A101,T_TTAFStock[WeekIndex],28)&gt;0)&gt;0,SUMIFS(T_SelfStock[Self_Qty],T_SelfStock[RM_Code],$A101,T_SelfStock[WeekIndex],28)+SUMIFS(T_TTAFStock[TTAF_Qty],T_TTAFStock[RM_Code],$A101,T_TTAFStock[WeekIndex],28),AB101+'Grid_Incoming'!AC101-'Grid_Requirement'!AC101))</f>
        <v/>
      </c>
      <c r="AD101">
        <f>IF(COUNTIFS(T_StockCount[RM_Code],$A101,T_StockCount[WeekIndex],29)&gt;0,SUMIFS(T_StockCount[CountedQty],T_StockCount[RM_Code],$A101,T_StockCount[WeekIndex],29),IF((COUNTIFS(T_SelfStock[RM_Code],$A101,T_SelfStock[WeekIndex],29)&gt;0)*(COUNTIFS(T_TTAFStock[RM_Code],$A101,T_TTAFStock[WeekIndex],29)&gt;0)&gt;0,SUMIFS(T_SelfStock[Self_Qty],T_SelfStock[RM_Code],$A101,T_SelfStock[WeekIndex],29)+SUMIFS(T_TTAFStock[TTAF_Qty],T_TTAFStock[RM_Code],$A101,T_TTAFStock[WeekIndex],29),AC101+'Grid_Incoming'!AD101-'Grid_Requirement'!AD101))</f>
        <v/>
      </c>
      <c r="AE101">
        <f>IF(COUNTIFS(T_StockCount[RM_Code],$A101,T_StockCount[WeekIndex],30)&gt;0,SUMIFS(T_StockCount[CountedQty],T_StockCount[RM_Code],$A101,T_StockCount[WeekIndex],30),IF((COUNTIFS(T_SelfStock[RM_Code],$A101,T_SelfStock[WeekIndex],30)&gt;0)*(COUNTIFS(T_TTAFStock[RM_Code],$A101,T_TTAFStock[WeekIndex],30)&gt;0)&gt;0,SUMIFS(T_SelfStock[Self_Qty],T_SelfStock[RM_Code],$A101,T_SelfStock[WeekIndex],30)+SUMIFS(T_TTAFStock[TTAF_Qty],T_TTAFStock[RM_Code],$A101,T_TTAFStock[WeekIndex],30),AD101+'Grid_Incoming'!AE101-'Grid_Requirement'!AE101))</f>
        <v/>
      </c>
      <c r="AF101">
        <f>IF(COUNTIFS(T_StockCount[RM_Code],$A101,T_StockCount[WeekIndex],31)&gt;0,SUMIFS(T_StockCount[CountedQty],T_StockCount[RM_Code],$A101,T_StockCount[WeekIndex],31),IF((COUNTIFS(T_SelfStock[RM_Code],$A101,T_SelfStock[WeekIndex],31)&gt;0)*(COUNTIFS(T_TTAFStock[RM_Code],$A101,T_TTAFStock[WeekIndex],31)&gt;0)&gt;0,SUMIFS(T_SelfStock[Self_Qty],T_SelfStock[RM_Code],$A101,T_SelfStock[WeekIndex],31)+SUMIFS(T_TTAFStock[TTAF_Qty],T_TTAFStock[RM_Code],$A101,T_TTAFStock[WeekIndex],31),AE101+'Grid_Incoming'!AF101-'Grid_Requirement'!AF101))</f>
        <v/>
      </c>
      <c r="AG101">
        <f>IF(COUNTIFS(T_StockCount[RM_Code],$A101,T_StockCount[WeekIndex],32)&gt;0,SUMIFS(T_StockCount[CountedQty],T_StockCount[RM_Code],$A101,T_StockCount[WeekIndex],32),IF((COUNTIFS(T_SelfStock[RM_Code],$A101,T_SelfStock[WeekIndex],32)&gt;0)*(COUNTIFS(T_TTAFStock[RM_Code],$A101,T_TTAFStock[WeekIndex],32)&gt;0)&gt;0,SUMIFS(T_SelfStock[Self_Qty],T_SelfStock[RM_Code],$A101,T_SelfStock[WeekIndex],32)+SUMIFS(T_TTAFStock[TTAF_Qty],T_TTAFStock[RM_Code],$A101,T_TTAFStock[WeekIndex],32),AF101+'Grid_Incoming'!AG101-'Grid_Requirement'!AG101))</f>
        <v/>
      </c>
      <c r="AH101">
        <f>IF(COUNTIFS(T_StockCount[RM_Code],$A101,T_StockCount[WeekIndex],33)&gt;0,SUMIFS(T_StockCount[CountedQty],T_StockCount[RM_Code],$A101,T_StockCount[WeekIndex],33),IF((COUNTIFS(T_SelfStock[RM_Code],$A101,T_SelfStock[WeekIndex],33)&gt;0)*(COUNTIFS(T_TTAFStock[RM_Code],$A101,T_TTAFStock[WeekIndex],33)&gt;0)&gt;0,SUMIFS(T_SelfStock[Self_Qty],T_SelfStock[RM_Code],$A101,T_SelfStock[WeekIndex],33)+SUMIFS(T_TTAFStock[TTAF_Qty],T_TTAFStock[RM_Code],$A101,T_TTAFStock[WeekIndex],33),AG101+'Grid_Incoming'!AH101-'Grid_Requirement'!AH101))</f>
        <v/>
      </c>
      <c r="AI101">
        <f>IF(COUNTIFS(T_StockCount[RM_Code],$A101,T_StockCount[WeekIndex],34)&gt;0,SUMIFS(T_StockCount[CountedQty],T_StockCount[RM_Code],$A101,T_StockCount[WeekIndex],34),IF((COUNTIFS(T_SelfStock[RM_Code],$A101,T_SelfStock[WeekIndex],34)&gt;0)*(COUNTIFS(T_TTAFStock[RM_Code],$A101,T_TTAFStock[WeekIndex],34)&gt;0)&gt;0,SUMIFS(T_SelfStock[Self_Qty],T_SelfStock[RM_Code],$A101,T_SelfStock[WeekIndex],34)+SUMIFS(T_TTAFStock[TTAF_Qty],T_TTAFStock[RM_Code],$A101,T_TTAFStock[WeekIndex],34),AH101+'Grid_Incoming'!AI101-'Grid_Requirement'!AI101))</f>
        <v/>
      </c>
      <c r="AJ101">
        <f>IF(COUNTIFS(T_StockCount[RM_Code],$A101,T_StockCount[WeekIndex],35)&gt;0,SUMIFS(T_StockCount[CountedQty],T_StockCount[RM_Code],$A101,T_StockCount[WeekIndex],35),IF((COUNTIFS(T_SelfStock[RM_Code],$A101,T_SelfStock[WeekIndex],35)&gt;0)*(COUNTIFS(T_TTAFStock[RM_Code],$A101,T_TTAFStock[WeekIndex],35)&gt;0)&gt;0,SUMIFS(T_SelfStock[Self_Qty],T_SelfStock[RM_Code],$A101,T_SelfStock[WeekIndex],35)+SUMIFS(T_TTAFStock[TTAF_Qty],T_TTAFStock[RM_Code],$A101,T_TTAFStock[WeekIndex],35),AI101+'Grid_Incoming'!AJ101-'Grid_Requirement'!AJ101))</f>
        <v/>
      </c>
      <c r="AK101">
        <f>IF(COUNTIFS(T_StockCount[RM_Code],$A101,T_StockCount[WeekIndex],36)&gt;0,SUMIFS(T_StockCount[CountedQty],T_StockCount[RM_Code],$A101,T_StockCount[WeekIndex],36),IF((COUNTIFS(T_SelfStock[RM_Code],$A101,T_SelfStock[WeekIndex],36)&gt;0)*(COUNTIFS(T_TTAFStock[RM_Code],$A101,T_TTAFStock[WeekIndex],36)&gt;0)&gt;0,SUMIFS(T_SelfStock[Self_Qty],T_SelfStock[RM_Code],$A101,T_SelfStock[WeekIndex],36)+SUMIFS(T_TTAFStock[TTAF_Qty],T_TTAFStock[RM_Code],$A101,T_TTAFStock[WeekIndex],36),AJ101+'Grid_Incoming'!AK101-'Grid_Requirement'!AK101))</f>
        <v/>
      </c>
      <c r="AL101">
        <f>IF(COUNTIFS(T_StockCount[RM_Code],$A101,T_StockCount[WeekIndex],37)&gt;0,SUMIFS(T_StockCount[CountedQty],T_StockCount[RM_Code],$A101,T_StockCount[WeekIndex],37),IF((COUNTIFS(T_SelfStock[RM_Code],$A101,T_SelfStock[WeekIndex],37)&gt;0)*(COUNTIFS(T_TTAFStock[RM_Code],$A101,T_TTAFStock[WeekIndex],37)&gt;0)&gt;0,SUMIFS(T_SelfStock[Self_Qty],T_SelfStock[RM_Code],$A101,T_SelfStock[WeekIndex],37)+SUMIFS(T_TTAFStock[TTAF_Qty],T_TTAFStock[RM_Code],$A101,T_TTAFStock[WeekIndex],37),AK101+'Grid_Incoming'!AL101-'Grid_Requirement'!AL101))</f>
        <v/>
      </c>
      <c r="AM101">
        <f>IF(COUNTIFS(T_StockCount[RM_Code],$A101,T_StockCount[WeekIndex],38)&gt;0,SUMIFS(T_StockCount[CountedQty],T_StockCount[RM_Code],$A101,T_StockCount[WeekIndex],38),IF((COUNTIFS(T_SelfStock[RM_Code],$A101,T_SelfStock[WeekIndex],38)&gt;0)*(COUNTIFS(T_TTAFStock[RM_Code],$A101,T_TTAFStock[WeekIndex],38)&gt;0)&gt;0,SUMIFS(T_SelfStock[Self_Qty],T_SelfStock[RM_Code],$A101,T_SelfStock[WeekIndex],38)+SUMIFS(T_TTAFStock[TTAF_Qty],T_TTAFStock[RM_Code],$A101,T_TTAFStock[WeekIndex],38),AL101+'Grid_Incoming'!AM101-'Grid_Requirement'!AM101))</f>
        <v/>
      </c>
      <c r="AN101">
        <f>IF(COUNTIFS(T_StockCount[RM_Code],$A101,T_StockCount[WeekIndex],39)&gt;0,SUMIFS(T_StockCount[CountedQty],T_StockCount[RM_Code],$A101,T_StockCount[WeekIndex],39),IF((COUNTIFS(T_SelfStock[RM_Code],$A101,T_SelfStock[WeekIndex],39)&gt;0)*(COUNTIFS(T_TTAFStock[RM_Code],$A101,T_TTAFStock[WeekIndex],39)&gt;0)&gt;0,SUMIFS(T_SelfStock[Self_Qty],T_SelfStock[RM_Code],$A101,T_SelfStock[WeekIndex],39)+SUMIFS(T_TTAFStock[TTAF_Qty],T_TTAFStock[RM_Code],$A101,T_TTAFStock[WeekIndex],39),AM101+'Grid_Incoming'!AN101-'Grid_Requirement'!AN101))</f>
        <v/>
      </c>
      <c r="AO101">
        <f>IF(COUNTIFS(T_StockCount[RM_Code],$A101,T_StockCount[WeekIndex],40)&gt;0,SUMIFS(T_StockCount[CountedQty],T_StockCount[RM_Code],$A101,T_StockCount[WeekIndex],40),IF((COUNTIFS(T_SelfStock[RM_Code],$A101,T_SelfStock[WeekIndex],40)&gt;0)*(COUNTIFS(T_TTAFStock[RM_Code],$A101,T_TTAFStock[WeekIndex],40)&gt;0)&gt;0,SUMIFS(T_SelfStock[Self_Qty],T_SelfStock[RM_Code],$A101,T_SelfStock[WeekIndex],40)+SUMIFS(T_TTAFStock[TTAF_Qty],T_TTAFStock[RM_Code],$A101,T_TTAFStock[WeekIndex],40),AN101+'Grid_Incoming'!AO101-'Grid_Requirement'!AO101))</f>
        <v/>
      </c>
      <c r="AP101">
        <f>IF(COUNTIFS(T_StockCount[RM_Code],$A101,T_StockCount[WeekIndex],41)&gt;0,SUMIFS(T_StockCount[CountedQty],T_StockCount[RM_Code],$A101,T_StockCount[WeekIndex],41),IF((COUNTIFS(T_SelfStock[RM_Code],$A101,T_SelfStock[WeekIndex],41)&gt;0)*(COUNTIFS(T_TTAFStock[RM_Code],$A101,T_TTAFStock[WeekIndex],41)&gt;0)&gt;0,SUMIFS(T_SelfStock[Self_Qty],T_SelfStock[RM_Code],$A101,T_SelfStock[WeekIndex],41)+SUMIFS(T_TTAFStock[TTAF_Qty],T_TTAFStock[RM_Code],$A101,T_TTAFStock[WeekIndex],41),AO101+'Grid_Incoming'!AP101-'Grid_Requirement'!AP101))</f>
        <v/>
      </c>
      <c r="AQ101">
        <f>IF(COUNTIFS(T_StockCount[RM_Code],$A101,T_StockCount[WeekIndex],42)&gt;0,SUMIFS(T_StockCount[CountedQty],T_StockCount[RM_Code],$A101,T_StockCount[WeekIndex],42),IF((COUNTIFS(T_SelfStock[RM_Code],$A101,T_SelfStock[WeekIndex],42)&gt;0)*(COUNTIFS(T_TTAFStock[RM_Code],$A101,T_TTAFStock[WeekIndex],42)&gt;0)&gt;0,SUMIFS(T_SelfStock[Self_Qty],T_SelfStock[RM_Code],$A101,T_SelfStock[WeekIndex],42)+SUMIFS(T_TTAFStock[TTAF_Qty],T_TTAFStock[RM_Code],$A101,T_TTAFStock[WeekIndex],42),AP101+'Grid_Incoming'!AQ101-'Grid_Requirement'!AQ101))</f>
        <v/>
      </c>
      <c r="AR101">
        <f>IF(COUNTIFS(T_StockCount[RM_Code],$A101,T_StockCount[WeekIndex],43)&gt;0,SUMIFS(T_StockCount[CountedQty],T_StockCount[RM_Code],$A101,T_StockCount[WeekIndex],43),IF((COUNTIFS(T_SelfStock[RM_Code],$A101,T_SelfStock[WeekIndex],43)&gt;0)*(COUNTIFS(T_TTAFStock[RM_Code],$A101,T_TTAFStock[WeekIndex],43)&gt;0)&gt;0,SUMIFS(T_SelfStock[Self_Qty],T_SelfStock[RM_Code],$A101,T_SelfStock[WeekIndex],43)+SUMIFS(T_TTAFStock[TTAF_Qty],T_TTAFStock[RM_Code],$A101,T_TTAFStock[WeekIndex],43),AQ101+'Grid_Incoming'!AR101-'Grid_Requirement'!AR101))</f>
        <v/>
      </c>
      <c r="AS101">
        <f>IF(COUNTIFS(T_StockCount[RM_Code],$A101,T_StockCount[WeekIndex],44)&gt;0,SUMIFS(T_StockCount[CountedQty],T_StockCount[RM_Code],$A101,T_StockCount[WeekIndex],44),IF((COUNTIFS(T_SelfStock[RM_Code],$A101,T_SelfStock[WeekIndex],44)&gt;0)*(COUNTIFS(T_TTAFStock[RM_Code],$A101,T_TTAFStock[WeekIndex],44)&gt;0)&gt;0,SUMIFS(T_SelfStock[Self_Qty],T_SelfStock[RM_Code],$A101,T_SelfStock[WeekIndex],44)+SUMIFS(T_TTAFStock[TTAF_Qty],T_TTAFStock[RM_Code],$A101,T_TTAFStock[WeekIndex],44),AR101+'Grid_Incoming'!AS101-'Grid_Requirement'!AS101))</f>
        <v/>
      </c>
      <c r="AT101">
        <f>IF(COUNTIFS(T_StockCount[RM_Code],$A101,T_StockCount[WeekIndex],45)&gt;0,SUMIFS(T_StockCount[CountedQty],T_StockCount[RM_Code],$A101,T_StockCount[WeekIndex],45),IF((COUNTIFS(T_SelfStock[RM_Code],$A101,T_SelfStock[WeekIndex],45)&gt;0)*(COUNTIFS(T_TTAFStock[RM_Code],$A101,T_TTAFStock[WeekIndex],45)&gt;0)&gt;0,SUMIFS(T_SelfStock[Self_Qty],T_SelfStock[RM_Code],$A101,T_SelfStock[WeekIndex],45)+SUMIFS(T_TTAFStock[TTAF_Qty],T_TTAFStock[RM_Code],$A101,T_TTAFStock[WeekIndex],45),AS101+'Grid_Incoming'!AT101-'Grid_Requirement'!AT101))</f>
        <v/>
      </c>
      <c r="AU101">
        <f>IF(COUNTIFS(T_StockCount[RM_Code],$A101,T_StockCount[WeekIndex],46)&gt;0,SUMIFS(T_StockCount[CountedQty],T_StockCount[RM_Code],$A101,T_StockCount[WeekIndex],46),IF((COUNTIFS(T_SelfStock[RM_Code],$A101,T_SelfStock[WeekIndex],46)&gt;0)*(COUNTIFS(T_TTAFStock[RM_Code],$A101,T_TTAFStock[WeekIndex],46)&gt;0)&gt;0,SUMIFS(T_SelfStock[Self_Qty],T_SelfStock[RM_Code],$A101,T_SelfStock[WeekIndex],46)+SUMIFS(T_TTAFStock[TTAF_Qty],T_TTAFStock[RM_Code],$A101,T_TTAFStock[WeekIndex],46),AT101+'Grid_Incoming'!AU101-'Grid_Requirement'!AU101))</f>
        <v/>
      </c>
      <c r="AV101">
        <f>IF(COUNTIFS(T_StockCount[RM_Code],$A101,T_StockCount[WeekIndex],47)&gt;0,SUMIFS(T_StockCount[CountedQty],T_StockCount[RM_Code],$A101,T_StockCount[WeekIndex],47),IF((COUNTIFS(T_SelfStock[RM_Code],$A101,T_SelfStock[WeekIndex],47)&gt;0)*(COUNTIFS(T_TTAFStock[RM_Code],$A101,T_TTAFStock[WeekIndex],47)&gt;0)&gt;0,SUMIFS(T_SelfStock[Self_Qty],T_SelfStock[RM_Code],$A101,T_SelfStock[WeekIndex],47)+SUMIFS(T_TTAFStock[TTAF_Qty],T_TTAFStock[RM_Code],$A101,T_TTAFStock[WeekIndex],47),AU101+'Grid_Incoming'!AV101-'Grid_Requirement'!AV101))</f>
        <v/>
      </c>
      <c r="AW101">
        <f>IF(COUNTIFS(T_StockCount[RM_Code],$A101,T_StockCount[WeekIndex],48)&gt;0,SUMIFS(T_StockCount[CountedQty],T_StockCount[RM_Code],$A101,T_StockCount[WeekIndex],48),IF((COUNTIFS(T_SelfStock[RM_Code],$A101,T_SelfStock[WeekIndex],48)&gt;0)*(COUNTIFS(T_TTAFStock[RM_Code],$A101,T_TTAFStock[WeekIndex],48)&gt;0)&gt;0,SUMIFS(T_SelfStock[Self_Qty],T_SelfStock[RM_Code],$A101,T_SelfStock[WeekIndex],48)+SUMIFS(T_TTAFStock[TTAF_Qty],T_TTAFStock[RM_Code],$A101,T_TTAFStock[WeekIndex],48),AV101+'Grid_Incoming'!AW101-'Grid_Requirement'!AW101))</f>
        <v/>
      </c>
      <c r="AX101">
        <f>IF(COUNTIFS(T_StockCount[RM_Code],$A101,T_StockCount[WeekIndex],49)&gt;0,SUMIFS(T_StockCount[CountedQty],T_StockCount[RM_Code],$A101,T_StockCount[WeekIndex],49),IF((COUNTIFS(T_SelfStock[RM_Code],$A101,T_SelfStock[WeekIndex],49)&gt;0)*(COUNTIFS(T_TTAFStock[RM_Code],$A101,T_TTAFStock[WeekIndex],49)&gt;0)&gt;0,SUMIFS(T_SelfStock[Self_Qty],T_SelfStock[RM_Code],$A101,T_SelfStock[WeekIndex],49)+SUMIFS(T_TTAFStock[TTAF_Qty],T_TTAFStock[RM_Code],$A101,T_TTAFStock[WeekIndex],49),AW101+'Grid_Incoming'!AX101-'Grid_Requirement'!AX101))</f>
        <v/>
      </c>
      <c r="AY101">
        <f>IF(COUNTIFS(T_StockCount[RM_Code],$A101,T_StockCount[WeekIndex],50)&gt;0,SUMIFS(T_StockCount[CountedQty],T_StockCount[RM_Code],$A101,T_StockCount[WeekIndex],50),IF((COUNTIFS(T_SelfStock[RM_Code],$A101,T_SelfStock[WeekIndex],50)&gt;0)*(COUNTIFS(T_TTAFStock[RM_Code],$A101,T_TTAFStock[WeekIndex],50)&gt;0)&gt;0,SUMIFS(T_SelfStock[Self_Qty],T_SelfStock[RM_Code],$A101,T_SelfStock[WeekIndex],50)+SUMIFS(T_TTAFStock[TTAF_Qty],T_TTAFStock[RM_Code],$A101,T_TTAFStock[WeekIndex],50),AX101+'Grid_Incoming'!AY101-'Grid_Requirement'!AY101))</f>
        <v/>
      </c>
      <c r="AZ101">
        <f>IF(COUNTIFS(T_StockCount[RM_Code],$A101,T_StockCount[WeekIndex],51)&gt;0,SUMIFS(T_StockCount[CountedQty],T_StockCount[RM_Code],$A101,T_StockCount[WeekIndex],51),IF((COUNTIFS(T_SelfStock[RM_Code],$A101,T_SelfStock[WeekIndex],51)&gt;0)*(COUNTIFS(T_TTAFStock[RM_Code],$A101,T_TTAFStock[WeekIndex],51)&gt;0)&gt;0,SUMIFS(T_SelfStock[Self_Qty],T_SelfStock[RM_Code],$A101,T_SelfStock[WeekIndex],51)+SUMIFS(T_TTAFStock[TTAF_Qty],T_TTAFStock[RM_Code],$A101,T_TTAFStock[WeekIndex],51),AY101+'Grid_Incoming'!AZ101-'Grid_Requirement'!AZ101))</f>
        <v/>
      </c>
      <c r="BA101">
        <f>IF(COUNTIFS(T_StockCount[RM_Code],$A101,T_StockCount[WeekIndex],52)&gt;0,SUMIFS(T_StockCount[CountedQty],T_StockCount[RM_Code],$A101,T_StockCount[WeekIndex],52),IF((COUNTIFS(T_SelfStock[RM_Code],$A101,T_SelfStock[WeekIndex],52)&gt;0)*(COUNTIFS(T_TTAFStock[RM_Code],$A101,T_TTAFStock[WeekIndex],52)&gt;0)&gt;0,SUMIFS(T_SelfStock[Self_Qty],T_SelfStock[RM_Code],$A101,T_SelfStock[WeekIndex],52)+SUMIFS(T_TTAFStock[TTAF_Qty],T_TTAFStock[RM_Code],$A101,T_TTAFStock[WeekIndex],52),AZ101+'Grid_Incoming'!BA101-'Grid_Requirement'!BA101))</f>
        <v/>
      </c>
      <c r="BB101">
        <f>IF(COUNTIFS(T_StockCount[RM_Code],$A101,T_StockCount[WeekIndex],53)&gt;0,SUMIFS(T_StockCount[CountedQty],T_StockCount[RM_Code],$A101,T_StockCount[WeekIndex],53),IF((COUNTIFS(T_SelfStock[RM_Code],$A101,T_SelfStock[WeekIndex],53)&gt;0)*(COUNTIFS(T_TTAFStock[RM_Code],$A101,T_TTAFStock[WeekIndex],53)&gt;0)&gt;0,SUMIFS(T_SelfStock[Self_Qty],T_SelfStock[RM_Code],$A101,T_SelfStock[WeekIndex],53)+SUMIFS(T_TTAFStock[TTAF_Qty],T_TTAFStock[RM_Code],$A101,T_TTAFStock[WeekIndex],53),BA101+'Grid_Incoming'!BB101-'Grid_Requirement'!BB101))</f>
        <v/>
      </c>
      <c r="BC101">
        <f>IF(COUNTIFS(T_StockCount[RM_Code],$A101,T_StockCount[WeekIndex],54)&gt;0,SUMIFS(T_StockCount[CountedQty],T_StockCount[RM_Code],$A101,T_StockCount[WeekIndex],54),IF((COUNTIFS(T_SelfStock[RM_Code],$A101,T_SelfStock[WeekIndex],54)&gt;0)*(COUNTIFS(T_TTAFStock[RM_Code],$A101,T_TTAFStock[WeekIndex],54)&gt;0)&gt;0,SUMIFS(T_SelfStock[Self_Qty],T_SelfStock[RM_Code],$A101,T_SelfStock[WeekIndex],54)+SUMIFS(T_TTAFStock[TTAF_Qty],T_TTAFStock[RM_Code],$A101,T_TTAFStock[WeekIndex],54),BB101+'Grid_Incoming'!BC101-'Grid_Requirement'!BC101))</f>
        <v/>
      </c>
      <c r="BD101">
        <f>IF(COUNTIFS(T_StockCount[RM_Code],$A101,T_StockCount[WeekIndex],55)&gt;0,SUMIFS(T_StockCount[CountedQty],T_StockCount[RM_Code],$A101,T_StockCount[WeekIndex],55),IF((COUNTIFS(T_SelfStock[RM_Code],$A101,T_SelfStock[WeekIndex],55)&gt;0)*(COUNTIFS(T_TTAFStock[RM_Code],$A101,T_TTAFStock[WeekIndex],55)&gt;0)&gt;0,SUMIFS(T_SelfStock[Self_Qty],T_SelfStock[RM_Code],$A101,T_SelfStock[WeekIndex],55)+SUMIFS(T_TTAFStock[TTAF_Qty],T_TTAFStock[RM_Code],$A101,T_TTAFStock[WeekIndex],55),BC101+'Grid_Incoming'!BD101-'Grid_Requirement'!BD101))</f>
        <v/>
      </c>
      <c r="BE101">
        <f>IF(COUNTIFS(T_StockCount[RM_Code],$A101,T_StockCount[WeekIndex],56)&gt;0,SUMIFS(T_StockCount[CountedQty],T_StockCount[RM_Code],$A101,T_StockCount[WeekIndex],56),IF((COUNTIFS(T_SelfStock[RM_Code],$A101,T_SelfStock[WeekIndex],56)&gt;0)*(COUNTIFS(T_TTAFStock[RM_Code],$A101,T_TTAFStock[WeekIndex],56)&gt;0)&gt;0,SUMIFS(T_SelfStock[Self_Qty],T_SelfStock[RM_Code],$A101,T_SelfStock[WeekIndex],56)+SUMIFS(T_TTAFStock[TTAF_Qty],T_TTAFStock[RM_Code],$A101,T_TTAFStock[WeekIndex],56),BD101+'Grid_Incoming'!BE101-'Grid_Requirement'!BE101))</f>
        <v/>
      </c>
      <c r="BF101">
        <f>IF(COUNTIFS(T_StockCount[RM_Code],$A101,T_StockCount[WeekIndex],57)&gt;0,SUMIFS(T_StockCount[CountedQty],T_StockCount[RM_Code],$A101,T_StockCount[WeekIndex],57),IF((COUNTIFS(T_SelfStock[RM_Code],$A101,T_SelfStock[WeekIndex],57)&gt;0)*(COUNTIFS(T_TTAFStock[RM_Code],$A101,T_TTAFStock[WeekIndex],57)&gt;0)&gt;0,SUMIFS(T_SelfStock[Self_Qty],T_SelfStock[RM_Code],$A101,T_SelfStock[WeekIndex],57)+SUMIFS(T_TTAFStock[TTAF_Qty],T_TTAFStock[RM_Code],$A101,T_TTAFStock[WeekIndex],57),BE101+'Grid_Incoming'!BF101-'Grid_Requirement'!BF101))</f>
        <v/>
      </c>
      <c r="BG101">
        <f>IF(COUNTIFS(T_StockCount[RM_Code],$A101,T_StockCount[WeekIndex],58)&gt;0,SUMIFS(T_StockCount[CountedQty],T_StockCount[RM_Code],$A101,T_StockCount[WeekIndex],58),IF((COUNTIFS(T_SelfStock[RM_Code],$A101,T_SelfStock[WeekIndex],58)&gt;0)*(COUNTIFS(T_TTAFStock[RM_Code],$A101,T_TTAFStock[WeekIndex],58)&gt;0)&gt;0,SUMIFS(T_SelfStock[Self_Qty],T_SelfStock[RM_Code],$A101,T_SelfStock[WeekIndex],58)+SUMIFS(T_TTAFStock[TTAF_Qty],T_TTAFStock[RM_Code],$A101,T_TTAFStock[WeekIndex],58),BF101+'Grid_Incoming'!BG101-'Grid_Requirement'!BG101))</f>
        <v/>
      </c>
      <c r="BH101">
        <f>IF(COUNTIFS(T_StockCount[RM_Code],$A101,T_StockCount[WeekIndex],59)&gt;0,SUMIFS(T_StockCount[CountedQty],T_StockCount[RM_Code],$A101,T_StockCount[WeekIndex],59),IF((COUNTIFS(T_SelfStock[RM_Code],$A101,T_SelfStock[WeekIndex],59)&gt;0)*(COUNTIFS(T_TTAFStock[RM_Code],$A101,T_TTAFStock[WeekIndex],59)&gt;0)&gt;0,SUMIFS(T_SelfStock[Self_Qty],T_SelfStock[RM_Code],$A101,T_SelfStock[WeekIndex],59)+SUMIFS(T_TTAFStock[TTAF_Qty],T_TTAFStock[RM_Code],$A101,T_TTAFStock[WeekIndex],59),BG101+'Grid_Incoming'!BH101-'Grid_Requirement'!BH101))</f>
        <v/>
      </c>
      <c r="BI101">
        <f>IF(COUNTIFS(T_StockCount[RM_Code],$A101,T_StockCount[WeekIndex],60)&gt;0,SUMIFS(T_StockCount[CountedQty],T_StockCount[RM_Code],$A101,T_StockCount[WeekIndex],60),IF((COUNTIFS(T_SelfStock[RM_Code],$A101,T_SelfStock[WeekIndex],60)&gt;0)*(COUNTIFS(T_TTAFStock[RM_Code],$A101,T_TTAFStock[WeekIndex],60)&gt;0)&gt;0,SUMIFS(T_SelfStock[Self_Qty],T_SelfStock[RM_Code],$A101,T_SelfStock[WeekIndex],60)+SUMIFS(T_TTAFStock[TTAF_Qty],T_TTAFStock[RM_Code],$A101,T_TTAFStock[WeekIndex],60),BH101+'Grid_Incoming'!BI101-'Grid_Requirement'!BI101))</f>
        <v/>
      </c>
      <c r="BJ101">
        <f>IF(COUNTIFS(T_StockCount[RM_Code],$A101,T_StockCount[WeekIndex],61)&gt;0,SUMIFS(T_StockCount[CountedQty],T_StockCount[RM_Code],$A101,T_StockCount[WeekIndex],61),IF((COUNTIFS(T_SelfStock[RM_Code],$A101,T_SelfStock[WeekIndex],61)&gt;0)*(COUNTIFS(T_TTAFStock[RM_Code],$A101,T_TTAFStock[WeekIndex],61)&gt;0)&gt;0,SUMIFS(T_SelfStock[Self_Qty],T_SelfStock[RM_Code],$A101,T_SelfStock[WeekIndex],61)+SUMIFS(T_TTAFStock[TTAF_Qty],T_TTAFStock[RM_Code],$A101,T_TTAFStock[WeekIndex],61),BI101+'Grid_Incoming'!BJ101-'Grid_Requirement'!BJ101))</f>
        <v/>
      </c>
      <c r="BK101">
        <f>IF(COUNTIFS(T_StockCount[RM_Code],$A101,T_StockCount[WeekIndex],62)&gt;0,SUMIFS(T_StockCount[CountedQty],T_StockCount[RM_Code],$A101,T_StockCount[WeekIndex],62),IF((COUNTIFS(T_SelfStock[RM_Code],$A101,T_SelfStock[WeekIndex],62)&gt;0)*(COUNTIFS(T_TTAFStock[RM_Code],$A101,T_TTAFStock[WeekIndex],62)&gt;0)&gt;0,SUMIFS(T_SelfStock[Self_Qty],T_SelfStock[RM_Code],$A101,T_SelfStock[WeekIndex],62)+SUMIFS(T_TTAFStock[TTAF_Qty],T_TTAFStock[RM_Code],$A101,T_TTAFStock[WeekIndex],62),BJ101+'Grid_Incoming'!BK101-'Grid_Requirement'!BK101))</f>
        <v/>
      </c>
      <c r="BL101">
        <f>IF(COUNTIFS(T_StockCount[RM_Code],$A101,T_StockCount[WeekIndex],63)&gt;0,SUMIFS(T_StockCount[CountedQty],T_StockCount[RM_Code],$A101,T_StockCount[WeekIndex],63),IF((COUNTIFS(T_SelfStock[RM_Code],$A101,T_SelfStock[WeekIndex],63)&gt;0)*(COUNTIFS(T_TTAFStock[RM_Code],$A101,T_TTAFStock[WeekIndex],63)&gt;0)&gt;0,SUMIFS(T_SelfStock[Self_Qty],T_SelfStock[RM_Code],$A101,T_SelfStock[WeekIndex],63)+SUMIFS(T_TTAFStock[TTAF_Qty],T_TTAFStock[RM_Code],$A101,T_TTAFStock[WeekIndex],63),BK101+'Grid_Incoming'!BL101-'Grid_Requirement'!BL101))</f>
        <v/>
      </c>
      <c r="BM101">
        <f>IF(COUNTIFS(T_StockCount[RM_Code],$A101,T_StockCount[WeekIndex],64)&gt;0,SUMIFS(T_StockCount[CountedQty],T_StockCount[RM_Code],$A101,T_StockCount[WeekIndex],64),IF((COUNTIFS(T_SelfStock[RM_Code],$A101,T_SelfStock[WeekIndex],64)&gt;0)*(COUNTIFS(T_TTAFStock[RM_Code],$A101,T_TTAFStock[WeekIndex],64)&gt;0)&gt;0,SUMIFS(T_SelfStock[Self_Qty],T_SelfStock[RM_Code],$A101,T_SelfStock[WeekIndex],64)+SUMIFS(T_TTAFStock[TTAF_Qty],T_TTAFStock[RM_Code],$A101,T_TTAFStock[WeekIndex],64),BL101+'Grid_Incoming'!BM101-'Grid_Requirement'!BM101))</f>
        <v/>
      </c>
      <c r="BN101">
        <f>IF(COUNTIFS(T_StockCount[RM_Code],$A101,T_StockCount[WeekIndex],65)&gt;0,SUMIFS(T_StockCount[CountedQty],T_StockCount[RM_Code],$A101,T_StockCount[WeekIndex],65),IF((COUNTIFS(T_SelfStock[RM_Code],$A101,T_SelfStock[WeekIndex],65)&gt;0)*(COUNTIFS(T_TTAFStock[RM_Code],$A101,T_TTAFStock[WeekIndex],65)&gt;0)&gt;0,SUMIFS(T_SelfStock[Self_Qty],T_SelfStock[RM_Code],$A101,T_SelfStock[WeekIndex],65)+SUMIFS(T_TTAFStock[TTAF_Qty],T_TTAFStock[RM_Code],$A101,T_TTAFStock[WeekIndex],65),BM101+'Grid_Incoming'!BN101-'Grid_Requirement'!BN101))</f>
        <v/>
      </c>
      <c r="BO101">
        <f>IF(COUNTIFS(T_StockCount[RM_Code],$A101,T_StockCount[WeekIndex],66)&gt;0,SUMIFS(T_StockCount[CountedQty],T_StockCount[RM_Code],$A101,T_StockCount[WeekIndex],66),IF((COUNTIFS(T_SelfStock[RM_Code],$A101,T_SelfStock[WeekIndex],66)&gt;0)*(COUNTIFS(T_TTAFStock[RM_Code],$A101,T_TTAFStock[WeekIndex],66)&gt;0)&gt;0,SUMIFS(T_SelfStock[Self_Qty],T_SelfStock[RM_Code],$A101,T_SelfStock[WeekIndex],66)+SUMIFS(T_TTAFStock[TTAF_Qty],T_TTAFStock[RM_Code],$A101,T_TTAFStock[WeekIndex],66),BN101+'Grid_Incoming'!BO101-'Grid_Requirement'!BO101))</f>
        <v/>
      </c>
      <c r="BP101">
        <f>IF(COUNTIFS(T_StockCount[RM_Code],$A101,T_StockCount[WeekIndex],67)&gt;0,SUMIFS(T_StockCount[CountedQty],T_StockCount[RM_Code],$A101,T_StockCount[WeekIndex],67),IF((COUNTIFS(T_SelfStock[RM_Code],$A101,T_SelfStock[WeekIndex],67)&gt;0)*(COUNTIFS(T_TTAFStock[RM_Code],$A101,T_TTAFStock[WeekIndex],67)&gt;0)&gt;0,SUMIFS(T_SelfStock[Self_Qty],T_SelfStock[RM_Code],$A101,T_SelfStock[WeekIndex],67)+SUMIFS(T_TTAFStock[TTAF_Qty],T_TTAFStock[RM_Code],$A101,T_TTAFStock[WeekIndex],67),BO101+'Grid_Incoming'!BP101-'Grid_Requirement'!BP101))</f>
        <v/>
      </c>
      <c r="BQ101">
        <f>IF(COUNTIFS(T_StockCount[RM_Code],$A101,T_StockCount[WeekIndex],68)&gt;0,SUMIFS(T_StockCount[CountedQty],T_StockCount[RM_Code],$A101,T_StockCount[WeekIndex],68),IF((COUNTIFS(T_SelfStock[RM_Code],$A101,T_SelfStock[WeekIndex],68)&gt;0)*(COUNTIFS(T_TTAFStock[RM_Code],$A101,T_TTAFStock[WeekIndex],68)&gt;0)&gt;0,SUMIFS(T_SelfStock[Self_Qty],T_SelfStock[RM_Code],$A101,T_SelfStock[WeekIndex],68)+SUMIFS(T_TTAFStock[TTAF_Qty],T_TTAFStock[RM_Code],$A101,T_TTAFStock[WeekIndex],68),BP101+'Grid_Incoming'!BQ101-'Grid_Requirement'!BQ101))</f>
        <v/>
      </c>
      <c r="BR101">
        <f>IF(COUNTIFS(T_StockCount[RM_Code],$A101,T_StockCount[WeekIndex],69)&gt;0,SUMIFS(T_StockCount[CountedQty],T_StockCount[RM_Code],$A101,T_StockCount[WeekIndex],69),IF((COUNTIFS(T_SelfStock[RM_Code],$A101,T_SelfStock[WeekIndex],69)&gt;0)*(COUNTIFS(T_TTAFStock[RM_Code],$A101,T_TTAFStock[WeekIndex],69)&gt;0)&gt;0,SUMIFS(T_SelfStock[Self_Qty],T_SelfStock[RM_Code],$A101,T_SelfStock[WeekIndex],69)+SUMIFS(T_TTAFStock[TTAF_Qty],T_TTAFStock[RM_Code],$A101,T_TTAFStock[WeekIndex],69),BQ101+'Grid_Incoming'!BR101-'Grid_Requirement'!BR101))</f>
        <v/>
      </c>
      <c r="BS101">
        <f>IF(COUNTIFS(T_StockCount[RM_Code],$A101,T_StockCount[WeekIndex],70)&gt;0,SUMIFS(T_StockCount[CountedQty],T_StockCount[RM_Code],$A101,T_StockCount[WeekIndex],70),IF((COUNTIFS(T_SelfStock[RM_Code],$A101,T_SelfStock[WeekIndex],70)&gt;0)*(COUNTIFS(T_TTAFStock[RM_Code],$A101,T_TTAFStock[WeekIndex],70)&gt;0)&gt;0,SUMIFS(T_SelfStock[Self_Qty],T_SelfStock[RM_Code],$A101,T_SelfStock[WeekIndex],70)+SUMIFS(T_TTAFStock[TTAF_Qty],T_TTAFStock[RM_Code],$A101,T_TTAFStock[WeekIndex],70),BR101+'Grid_Incoming'!BS101-'Grid_Requirement'!BS101))</f>
        <v/>
      </c>
      <c r="BT101">
        <f>IF(COUNTIFS(T_StockCount[RM_Code],$A101,T_StockCount[WeekIndex],71)&gt;0,SUMIFS(T_StockCount[CountedQty],T_StockCount[RM_Code],$A101,T_StockCount[WeekIndex],71),IF((COUNTIFS(T_SelfStock[RM_Code],$A101,T_SelfStock[WeekIndex],71)&gt;0)*(COUNTIFS(T_TTAFStock[RM_Code],$A101,T_TTAFStock[WeekIndex],71)&gt;0)&gt;0,SUMIFS(T_SelfStock[Self_Qty],T_SelfStock[RM_Code],$A101,T_SelfStock[WeekIndex],71)+SUMIFS(T_TTAFStock[TTAF_Qty],T_TTAFStock[RM_Code],$A101,T_TTAFStock[WeekIndex],71),BS101+'Grid_Incoming'!BT101-'Grid_Requirement'!BT101))</f>
        <v/>
      </c>
      <c r="BU101">
        <f>IF(COUNTIFS(T_StockCount[RM_Code],$A101,T_StockCount[WeekIndex],72)&gt;0,SUMIFS(T_StockCount[CountedQty],T_StockCount[RM_Code],$A101,T_StockCount[WeekIndex],72),IF((COUNTIFS(T_SelfStock[RM_Code],$A101,T_SelfStock[WeekIndex],72)&gt;0)*(COUNTIFS(T_TTAFStock[RM_Code],$A101,T_TTAFStock[WeekIndex],72)&gt;0)&gt;0,SUMIFS(T_SelfStock[Self_Qty],T_SelfStock[RM_Code],$A101,T_SelfStock[WeekIndex],72)+SUMIFS(T_TTAFStock[TTAF_Qty],T_TTAFStock[RM_Code],$A101,T_TTAFStock[WeekIndex],72),BT101+'Grid_Incoming'!BU101-'Grid_Requirement'!BU101))</f>
        <v/>
      </c>
      <c r="BV101">
        <f>IF(COUNTIFS(T_StockCount[RM_Code],$A101,T_StockCount[WeekIndex],73)&gt;0,SUMIFS(T_StockCount[CountedQty],T_StockCount[RM_Code],$A101,T_StockCount[WeekIndex],73),IF((COUNTIFS(T_SelfStock[RM_Code],$A101,T_SelfStock[WeekIndex],73)&gt;0)*(COUNTIFS(T_TTAFStock[RM_Code],$A101,T_TTAFStock[WeekIndex],73)&gt;0)&gt;0,SUMIFS(T_SelfStock[Self_Qty],T_SelfStock[RM_Code],$A101,T_SelfStock[WeekIndex],73)+SUMIFS(T_TTAFStock[TTAF_Qty],T_TTAFStock[RM_Code],$A101,T_TTAFStock[WeekIndex],73),BU101+'Grid_Incoming'!BV101-'Grid_Requirement'!BV101))</f>
        <v/>
      </c>
      <c r="BW101">
        <f>IF(COUNTIFS(T_StockCount[RM_Code],$A101,T_StockCount[WeekIndex],74)&gt;0,SUMIFS(T_StockCount[CountedQty],T_StockCount[RM_Code],$A101,T_StockCount[WeekIndex],74),IF((COUNTIFS(T_SelfStock[RM_Code],$A101,T_SelfStock[WeekIndex],74)&gt;0)*(COUNTIFS(T_TTAFStock[RM_Code],$A101,T_TTAFStock[WeekIndex],74)&gt;0)&gt;0,SUMIFS(T_SelfStock[Self_Qty],T_SelfStock[RM_Code],$A101,T_SelfStock[WeekIndex],74)+SUMIFS(T_TTAFStock[TTAF_Qty],T_TTAFStock[RM_Code],$A101,T_TTAFStock[WeekIndex],74),BV101+'Grid_Incoming'!BW101-'Grid_Requirement'!BW101))</f>
        <v/>
      </c>
      <c r="BX101">
        <f>IF(COUNTIFS(T_StockCount[RM_Code],$A101,T_StockCount[WeekIndex],75)&gt;0,SUMIFS(T_StockCount[CountedQty],T_StockCount[RM_Code],$A101,T_StockCount[WeekIndex],75),IF((COUNTIFS(T_SelfStock[RM_Code],$A101,T_SelfStock[WeekIndex],75)&gt;0)*(COUNTIFS(T_TTAFStock[RM_Code],$A101,T_TTAFStock[WeekIndex],75)&gt;0)&gt;0,SUMIFS(T_SelfStock[Self_Qty],T_SelfStock[RM_Code],$A101,T_SelfStock[WeekIndex],75)+SUMIFS(T_TTAFStock[TTAF_Qty],T_TTAFStock[RM_Code],$A101,T_TTAFStock[WeekIndex],75),BW101+'Grid_Incoming'!BX101-'Grid_Requirement'!BX101))</f>
        <v/>
      </c>
      <c r="BY101">
        <f>IF(COUNTIFS(T_StockCount[RM_Code],$A101,T_StockCount[WeekIndex],76)&gt;0,SUMIFS(T_StockCount[CountedQty],T_StockCount[RM_Code],$A101,T_StockCount[WeekIndex],76),IF((COUNTIFS(T_SelfStock[RM_Code],$A101,T_SelfStock[WeekIndex],76)&gt;0)*(COUNTIFS(T_TTAFStock[RM_Code],$A101,T_TTAFStock[WeekIndex],76)&gt;0)&gt;0,SUMIFS(T_SelfStock[Self_Qty],T_SelfStock[RM_Code],$A101,T_SelfStock[WeekIndex],76)+SUMIFS(T_TTAFStock[TTAF_Qty],T_TTAFStock[RM_Code],$A101,T_TTAFStock[WeekIndex],76),BX101+'Grid_Incoming'!BY101-'Grid_Requirement'!BY101))</f>
        <v/>
      </c>
      <c r="BZ101">
        <f>IF(COUNTIFS(T_StockCount[RM_Code],$A101,T_StockCount[WeekIndex],77)&gt;0,SUMIFS(T_StockCount[CountedQty],T_StockCount[RM_Code],$A101,T_StockCount[WeekIndex],77),IF((COUNTIFS(T_SelfStock[RM_Code],$A101,T_SelfStock[WeekIndex],77)&gt;0)*(COUNTIFS(T_TTAFStock[RM_Code],$A101,T_TTAFStock[WeekIndex],77)&gt;0)&gt;0,SUMIFS(T_SelfStock[Self_Qty],T_SelfStock[RM_Code],$A101,T_SelfStock[WeekIndex],77)+SUMIFS(T_TTAFStock[TTAF_Qty],T_TTAFStock[RM_Code],$A101,T_TTAFStock[WeekIndex],77),BY101+'Grid_Incoming'!BZ101-'Grid_Requirement'!BZ101))</f>
        <v/>
      </c>
      <c r="CA101">
        <f>IF(COUNTIFS(T_StockCount[RM_Code],$A101,T_StockCount[WeekIndex],78)&gt;0,SUMIFS(T_StockCount[CountedQty],T_StockCount[RM_Code],$A101,T_StockCount[WeekIndex],78),IF((COUNTIFS(T_SelfStock[RM_Code],$A101,T_SelfStock[WeekIndex],78)&gt;0)*(COUNTIFS(T_TTAFStock[RM_Code],$A101,T_TTAFStock[WeekIndex],78)&gt;0)&gt;0,SUMIFS(T_SelfStock[Self_Qty],T_SelfStock[RM_Code],$A101,T_SelfStock[WeekIndex],78)+SUMIFS(T_TTAFStock[TTAF_Qty],T_TTAFStock[RM_Code],$A101,T_TTAFStock[WeekIndex],78),BZ101+'Grid_Incoming'!CA101-'Grid_Requirement'!CA101))</f>
        <v/>
      </c>
      <c r="CB101">
        <f>IF(COUNTIFS(T_StockCount[RM_Code],$A101,T_StockCount[WeekIndex],79)&gt;0,SUMIFS(T_StockCount[CountedQty],T_StockCount[RM_Code],$A101,T_StockCount[WeekIndex],79),IF((COUNTIFS(T_SelfStock[RM_Code],$A101,T_SelfStock[WeekIndex],79)&gt;0)*(COUNTIFS(T_TTAFStock[RM_Code],$A101,T_TTAFStock[WeekIndex],79)&gt;0)&gt;0,SUMIFS(T_SelfStock[Self_Qty],T_SelfStock[RM_Code],$A101,T_SelfStock[WeekIndex],79)+SUMIFS(T_TTAFStock[TTAF_Qty],T_TTAFStock[RM_Code],$A101,T_TTAFStock[WeekIndex],79),CA101+'Grid_Incoming'!CB101-'Grid_Requirement'!CB101))</f>
        <v/>
      </c>
      <c r="CC101">
        <f>IF(COUNTIFS(T_StockCount[RM_Code],$A101,T_StockCount[WeekIndex],80)&gt;0,SUMIFS(T_StockCount[CountedQty],T_StockCount[RM_Code],$A101,T_StockCount[WeekIndex],80),IF((COUNTIFS(T_SelfStock[RM_Code],$A101,T_SelfStock[WeekIndex],80)&gt;0)*(COUNTIFS(T_TTAFStock[RM_Code],$A101,T_TTAFStock[WeekIndex],80)&gt;0)&gt;0,SUMIFS(T_SelfStock[Self_Qty],T_SelfStock[RM_Code],$A101,T_SelfStock[WeekIndex],80)+SUMIFS(T_TTAFStock[TTAF_Qty],T_TTAFStock[RM_Code],$A101,T_TTAFStock[WeekIndex],80),CB101+'Grid_Incoming'!CC101-'Grid_Requirement'!CC101))</f>
        <v/>
      </c>
      <c r="CD101">
        <f>IF(COUNTIFS(T_StockCount[RM_Code],$A101,T_StockCount[WeekIndex],81)&gt;0,SUMIFS(T_StockCount[CountedQty],T_StockCount[RM_Code],$A101,T_StockCount[WeekIndex],81),IF((COUNTIFS(T_SelfStock[RM_Code],$A101,T_SelfStock[WeekIndex],81)&gt;0)*(COUNTIFS(T_TTAFStock[RM_Code],$A101,T_TTAFStock[WeekIndex],81)&gt;0)&gt;0,SUMIFS(T_SelfStock[Self_Qty],T_SelfStock[RM_Code],$A101,T_SelfStock[WeekIndex],81)+SUMIFS(T_TTAFStock[TTAF_Qty],T_TTAFStock[RM_Code],$A101,T_TTAFStock[WeekIndex],81),CC101+'Grid_Incoming'!CD101-'Grid_Requirement'!CD101))</f>
        <v/>
      </c>
      <c r="CE101">
        <f>IF(COUNTIFS(T_StockCount[RM_Code],$A101,T_StockCount[WeekIndex],82)&gt;0,SUMIFS(T_StockCount[CountedQty],T_StockCount[RM_Code],$A101,T_StockCount[WeekIndex],82),IF((COUNTIFS(T_SelfStock[RM_Code],$A101,T_SelfStock[WeekIndex],82)&gt;0)*(COUNTIFS(T_TTAFStock[RM_Code],$A101,T_TTAFStock[WeekIndex],82)&gt;0)&gt;0,SUMIFS(T_SelfStock[Self_Qty],T_SelfStock[RM_Code],$A101,T_SelfStock[WeekIndex],82)+SUMIFS(T_TTAFStock[TTAF_Qty],T_TTAFStock[RM_Code],$A101,T_TTAFStock[WeekIndex],82),CD101+'Grid_Incoming'!CE101-'Grid_Requirement'!CE101))</f>
        <v/>
      </c>
      <c r="CF101">
        <f>IF(COUNTIFS(T_StockCount[RM_Code],$A101,T_StockCount[WeekIndex],83)&gt;0,SUMIFS(T_StockCount[CountedQty],T_StockCount[RM_Code],$A101,T_StockCount[WeekIndex],83),IF((COUNTIFS(T_SelfStock[RM_Code],$A101,T_SelfStock[WeekIndex],83)&gt;0)*(COUNTIFS(T_TTAFStock[RM_Code],$A101,T_TTAFStock[WeekIndex],83)&gt;0)&gt;0,SUMIFS(T_SelfStock[Self_Qty],T_SelfStock[RM_Code],$A101,T_SelfStock[WeekIndex],83)+SUMIFS(T_TTAFStock[TTAF_Qty],T_TTAFStock[RM_Code],$A101,T_TTAFStock[WeekIndex],83),CE101+'Grid_Incoming'!CF101-'Grid_Requirement'!CF101))</f>
        <v/>
      </c>
      <c r="CG101">
        <f>IF(COUNTIFS(T_StockCount[RM_Code],$A101,T_StockCount[WeekIndex],84)&gt;0,SUMIFS(T_StockCount[CountedQty],T_StockCount[RM_Code],$A101,T_StockCount[WeekIndex],84),IF((COUNTIFS(T_SelfStock[RM_Code],$A101,T_SelfStock[WeekIndex],84)&gt;0)*(COUNTIFS(T_TTAFStock[RM_Code],$A101,T_TTAFStock[WeekIndex],84)&gt;0)&gt;0,SUMIFS(T_SelfStock[Self_Qty],T_SelfStock[RM_Code],$A101,T_SelfStock[WeekIndex],84)+SUMIFS(T_TTAFStock[TTAF_Qty],T_TTAFStock[RM_Code],$A101,T_TTAFStock[WeekIndex],84),CF101+'Grid_Incoming'!CG101-'Grid_Requirement'!CG101))</f>
        <v/>
      </c>
      <c r="CH101">
        <f>IF(COUNTIFS(T_StockCount[RM_Code],$A101,T_StockCount[WeekIndex],85)&gt;0,SUMIFS(T_StockCount[CountedQty],T_StockCount[RM_Code],$A101,T_StockCount[WeekIndex],85),IF((COUNTIFS(T_SelfStock[RM_Code],$A101,T_SelfStock[WeekIndex],85)&gt;0)*(COUNTIFS(T_TTAFStock[RM_Code],$A101,T_TTAFStock[WeekIndex],85)&gt;0)&gt;0,SUMIFS(T_SelfStock[Self_Qty],T_SelfStock[RM_Code],$A101,T_SelfStock[WeekIndex],85)+SUMIFS(T_TTAFStock[TTAF_Qty],T_TTAFStock[RM_Code],$A101,T_TTAFStock[WeekIndex],85),CG101+'Grid_Incoming'!CH101-'Grid_Requirement'!CH101))</f>
        <v/>
      </c>
      <c r="CI101">
        <f>IF(COUNTIFS(T_StockCount[RM_Code],$A101,T_StockCount[WeekIndex],86)&gt;0,SUMIFS(T_StockCount[CountedQty],T_StockCount[RM_Code],$A101,T_StockCount[WeekIndex],86),IF((COUNTIFS(T_SelfStock[RM_Code],$A101,T_SelfStock[WeekIndex],86)&gt;0)*(COUNTIFS(T_TTAFStock[RM_Code],$A101,T_TTAFStock[WeekIndex],86)&gt;0)&gt;0,SUMIFS(T_SelfStock[Self_Qty],T_SelfStock[RM_Code],$A101,T_SelfStock[WeekIndex],86)+SUMIFS(T_TTAFStock[TTAF_Qty],T_TTAFStock[RM_Code],$A101,T_TTAFStock[WeekIndex],86),CH101+'Grid_Incoming'!CI101-'Grid_Requirement'!CI101))</f>
        <v/>
      </c>
      <c r="CJ101">
        <f>IF(COUNTIFS(T_StockCount[RM_Code],$A101,T_StockCount[WeekIndex],87)&gt;0,SUMIFS(T_StockCount[CountedQty],T_StockCount[RM_Code],$A101,T_StockCount[WeekIndex],87),IF((COUNTIFS(T_SelfStock[RM_Code],$A101,T_SelfStock[WeekIndex],87)&gt;0)*(COUNTIFS(T_TTAFStock[RM_Code],$A101,T_TTAFStock[WeekIndex],87)&gt;0)&gt;0,SUMIFS(T_SelfStock[Self_Qty],T_SelfStock[RM_Code],$A101,T_SelfStock[WeekIndex],87)+SUMIFS(T_TTAFStock[TTAF_Qty],T_TTAFStock[RM_Code],$A101,T_TTAFStock[WeekIndex],87),CI101+'Grid_Incoming'!CJ101-'Grid_Requirement'!CJ101))</f>
        <v/>
      </c>
      <c r="CK101">
        <f>IF(COUNTIFS(T_StockCount[RM_Code],$A101,T_StockCount[WeekIndex],88)&gt;0,SUMIFS(T_StockCount[CountedQty],T_StockCount[RM_Code],$A101,T_StockCount[WeekIndex],88),IF((COUNTIFS(T_SelfStock[RM_Code],$A101,T_SelfStock[WeekIndex],88)&gt;0)*(COUNTIFS(T_TTAFStock[RM_Code],$A101,T_TTAFStock[WeekIndex],88)&gt;0)&gt;0,SUMIFS(T_SelfStock[Self_Qty],T_SelfStock[RM_Code],$A101,T_SelfStock[WeekIndex],88)+SUMIFS(T_TTAFStock[TTAF_Qty],T_TTAFStock[RM_Code],$A101,T_TTAFStock[WeekIndex],88),CJ101+'Grid_Incoming'!CK101-'Grid_Requirement'!CK101))</f>
        <v/>
      </c>
      <c r="CL101">
        <f>IF(COUNTIFS(T_StockCount[RM_Code],$A101,T_StockCount[WeekIndex],89)&gt;0,SUMIFS(T_StockCount[CountedQty],T_StockCount[RM_Code],$A101,T_StockCount[WeekIndex],89),IF((COUNTIFS(T_SelfStock[RM_Code],$A101,T_SelfStock[WeekIndex],89)&gt;0)*(COUNTIFS(T_TTAFStock[RM_Code],$A101,T_TTAFStock[WeekIndex],89)&gt;0)&gt;0,SUMIFS(T_SelfStock[Self_Qty],T_SelfStock[RM_Code],$A101,T_SelfStock[WeekIndex],89)+SUMIFS(T_TTAFStock[TTAF_Qty],T_TTAFStock[RM_Code],$A101,T_TTAFStock[WeekIndex],89),CK101+'Grid_Incoming'!CL101-'Grid_Requirement'!CL101))</f>
        <v/>
      </c>
      <c r="CM101">
        <f>IF(COUNTIFS(T_StockCount[RM_Code],$A101,T_StockCount[WeekIndex],90)&gt;0,SUMIFS(T_StockCount[CountedQty],T_StockCount[RM_Code],$A101,T_StockCount[WeekIndex],90),IF((COUNTIFS(T_SelfStock[RM_Code],$A101,T_SelfStock[WeekIndex],90)&gt;0)*(COUNTIFS(T_TTAFStock[RM_Code],$A101,T_TTAFStock[WeekIndex],90)&gt;0)&gt;0,SUMIFS(T_SelfStock[Self_Qty],T_SelfStock[RM_Code],$A101,T_SelfStock[WeekIndex],90)+SUMIFS(T_TTAFStock[TTAF_Qty],T_TTAFStock[RM_Code],$A101,T_TTAFStock[WeekIndex],90),CL101+'Grid_Incoming'!CM101-'Grid_Requirement'!CM101))</f>
        <v/>
      </c>
      <c r="CN101">
        <f>IF(COUNTIFS(T_StockCount[RM_Code],$A101,T_StockCount[WeekIndex],91)&gt;0,SUMIFS(T_StockCount[CountedQty],T_StockCount[RM_Code],$A101,T_StockCount[WeekIndex],91),IF((COUNTIFS(T_SelfStock[RM_Code],$A101,T_SelfStock[WeekIndex],91)&gt;0)*(COUNTIFS(T_TTAFStock[RM_Code],$A101,T_TTAFStock[WeekIndex],91)&gt;0)&gt;0,SUMIFS(T_SelfStock[Self_Qty],T_SelfStock[RM_Code],$A101,T_SelfStock[WeekIndex],91)+SUMIFS(T_TTAFStock[TTAF_Qty],T_TTAFStock[RM_Code],$A101,T_TTAFStock[WeekIndex],91),CM101+'Grid_Incoming'!CN101-'Grid_Requirement'!CN101))</f>
        <v/>
      </c>
      <c r="CO101">
        <f>IF(COUNTIFS(T_StockCount[RM_Code],$A101,T_StockCount[WeekIndex],92)&gt;0,SUMIFS(T_StockCount[CountedQty],T_StockCount[RM_Code],$A101,T_StockCount[WeekIndex],92),IF((COUNTIFS(T_SelfStock[RM_Code],$A101,T_SelfStock[WeekIndex],92)&gt;0)*(COUNTIFS(T_TTAFStock[RM_Code],$A101,T_TTAFStock[WeekIndex],92)&gt;0)&gt;0,SUMIFS(T_SelfStock[Self_Qty],T_SelfStock[RM_Code],$A101,T_SelfStock[WeekIndex],92)+SUMIFS(T_TTAFStock[TTAF_Qty],T_TTAFStock[RM_Code],$A101,T_TTAFStock[WeekIndex],92),CN101+'Grid_Incoming'!CO101-'Grid_Requirement'!CO101))</f>
        <v/>
      </c>
      <c r="CP101">
        <f>IF(COUNTIFS(T_StockCount[RM_Code],$A101,T_StockCount[WeekIndex],93)&gt;0,SUMIFS(T_StockCount[CountedQty],T_StockCount[RM_Code],$A101,T_StockCount[WeekIndex],93),IF((COUNTIFS(T_SelfStock[RM_Code],$A101,T_SelfStock[WeekIndex],93)&gt;0)*(COUNTIFS(T_TTAFStock[RM_Code],$A101,T_TTAFStock[WeekIndex],93)&gt;0)&gt;0,SUMIFS(T_SelfStock[Self_Qty],T_SelfStock[RM_Code],$A101,T_SelfStock[WeekIndex],93)+SUMIFS(T_TTAFStock[TTAF_Qty],T_TTAFStock[RM_Code],$A101,T_TTAFStock[WeekIndex],93),CO101+'Grid_Incoming'!CP101-'Grid_Requirement'!CP101))</f>
        <v/>
      </c>
      <c r="CQ101">
        <f>IF(COUNTIFS(T_StockCount[RM_Code],$A101,T_StockCount[WeekIndex],94)&gt;0,SUMIFS(T_StockCount[CountedQty],T_StockCount[RM_Code],$A101,T_StockCount[WeekIndex],94),IF((COUNTIFS(T_SelfStock[RM_Code],$A101,T_SelfStock[WeekIndex],94)&gt;0)*(COUNTIFS(T_TTAFStock[RM_Code],$A101,T_TTAFStock[WeekIndex],94)&gt;0)&gt;0,SUMIFS(T_SelfStock[Self_Qty],T_SelfStock[RM_Code],$A101,T_SelfStock[WeekIndex],94)+SUMIFS(T_TTAFStock[TTAF_Qty],T_TTAFStock[RM_Code],$A101,T_TTAFStock[WeekIndex],94),CP101+'Grid_Incoming'!CQ101-'Grid_Requirement'!CQ101))</f>
        <v/>
      </c>
      <c r="CR101">
        <f>IF(COUNTIFS(T_StockCount[RM_Code],$A101,T_StockCount[WeekIndex],95)&gt;0,SUMIFS(T_StockCount[CountedQty],T_StockCount[RM_Code],$A101,T_StockCount[WeekIndex],95),IF((COUNTIFS(T_SelfStock[RM_Code],$A101,T_SelfStock[WeekIndex],95)&gt;0)*(COUNTIFS(T_TTAFStock[RM_Code],$A101,T_TTAFStock[WeekIndex],95)&gt;0)&gt;0,SUMIFS(T_SelfStock[Self_Qty],T_SelfStock[RM_Code],$A101,T_SelfStock[WeekIndex],95)+SUMIFS(T_TTAFStock[TTAF_Qty],T_TTAFStock[RM_Code],$A101,T_TTAFStock[WeekIndex],95),CQ101+'Grid_Incoming'!CR101-'Grid_Requirement'!CR101))</f>
        <v/>
      </c>
      <c r="CS101">
        <f>IF(COUNTIFS(T_StockCount[RM_Code],$A101,T_StockCount[WeekIndex],96)&gt;0,SUMIFS(T_StockCount[CountedQty],T_StockCount[RM_Code],$A101,T_StockCount[WeekIndex],96),IF((COUNTIFS(T_SelfStock[RM_Code],$A101,T_SelfStock[WeekIndex],96)&gt;0)*(COUNTIFS(T_TTAFStock[RM_Code],$A101,T_TTAFStock[WeekIndex],96)&gt;0)&gt;0,SUMIFS(T_SelfStock[Self_Qty],T_SelfStock[RM_Code],$A101,T_SelfStock[WeekIndex],96)+SUMIFS(T_TTAFStock[TTAF_Qty],T_TTAFStock[RM_Code],$A101,T_TTAFStock[WeekIndex],96),CR101+'Grid_Incoming'!CS101-'Grid_Requirement'!CS101))</f>
        <v/>
      </c>
      <c r="CT101">
        <f>IF(COUNTIFS(T_StockCount[RM_Code],$A101,T_StockCount[WeekIndex],97)&gt;0,SUMIFS(T_StockCount[CountedQty],T_StockCount[RM_Code],$A101,T_StockCount[WeekIndex],97),IF((COUNTIFS(T_SelfStock[RM_Code],$A101,T_SelfStock[WeekIndex],97)&gt;0)*(COUNTIFS(T_TTAFStock[RM_Code],$A101,T_TTAFStock[WeekIndex],97)&gt;0)&gt;0,SUMIFS(T_SelfStock[Self_Qty],T_SelfStock[RM_Code],$A101,T_SelfStock[WeekIndex],97)+SUMIFS(T_TTAFStock[TTAF_Qty],T_TTAFStock[RM_Code],$A101,T_TTAFStock[WeekIndex],97),CS101+'Grid_Incoming'!CT101-'Grid_Requirement'!CT101))</f>
        <v/>
      </c>
      <c r="CU101">
        <f>IF(COUNTIFS(T_StockCount[RM_Code],$A101,T_StockCount[WeekIndex],98)&gt;0,SUMIFS(T_StockCount[CountedQty],T_StockCount[RM_Code],$A101,T_StockCount[WeekIndex],98),IF((COUNTIFS(T_SelfStock[RM_Code],$A101,T_SelfStock[WeekIndex],98)&gt;0)*(COUNTIFS(T_TTAFStock[RM_Code],$A101,T_TTAFStock[WeekIndex],98)&gt;0)&gt;0,SUMIFS(T_SelfStock[Self_Qty],T_SelfStock[RM_Code],$A101,T_SelfStock[WeekIndex],98)+SUMIFS(T_TTAFStock[TTAF_Qty],T_TTAFStock[RM_Code],$A101,T_TTAFStock[WeekIndex],98),CT101+'Grid_Incoming'!CU101-'Grid_Requirement'!CU101))</f>
        <v/>
      </c>
      <c r="CV101">
        <f>IF(COUNTIFS(T_StockCount[RM_Code],$A101,T_StockCount[WeekIndex],99)&gt;0,SUMIFS(T_StockCount[CountedQty],T_StockCount[RM_Code],$A101,T_StockCount[WeekIndex],99),IF((COUNTIFS(T_SelfStock[RM_Code],$A101,T_SelfStock[WeekIndex],99)&gt;0)*(COUNTIFS(T_TTAFStock[RM_Code],$A101,T_TTAFStock[WeekIndex],99)&gt;0)&gt;0,SUMIFS(T_SelfStock[Self_Qty],T_SelfStock[RM_Code],$A101,T_SelfStock[WeekIndex],99)+SUMIFS(T_TTAFStock[TTAF_Qty],T_TTAFStock[RM_Code],$A101,T_TTAFStock[WeekIndex],99),CU101+'Grid_Incoming'!CV101-'Grid_Requirement'!CV101))</f>
        <v/>
      </c>
      <c r="CW101">
        <f>IF(COUNTIFS(T_StockCount[RM_Code],$A101,T_StockCount[WeekIndex],100)&gt;0,SUMIFS(T_StockCount[CountedQty],T_StockCount[RM_Code],$A101,T_StockCount[WeekIndex],100),IF((COUNTIFS(T_SelfStock[RM_Code],$A101,T_SelfStock[WeekIndex],100)&gt;0)*(COUNTIFS(T_TTAFStock[RM_Code],$A101,T_TTAFStock[WeekIndex],100)&gt;0)&gt;0,SUMIFS(T_SelfStock[Self_Qty],T_SelfStock[RM_Code],$A101,T_SelfStock[WeekIndex],100)+SUMIFS(T_TTAFStock[TTAF_Qty],T_TTAFStock[RM_Code],$A101,T_TTAFStock[WeekIndex],100),CV101+'Grid_Incoming'!CW101-'Grid_Requirement'!CW101))</f>
        <v/>
      </c>
      <c r="CX101">
        <f>IF(COUNTIFS(T_StockCount[RM_Code],$A101,T_StockCount[WeekIndex],101)&gt;0,SUMIFS(T_StockCount[CountedQty],T_StockCount[RM_Code],$A101,T_StockCount[WeekIndex],101),IF((COUNTIFS(T_SelfStock[RM_Code],$A101,T_SelfStock[WeekIndex],101)&gt;0)*(COUNTIFS(T_TTAFStock[RM_Code],$A101,T_TTAFStock[WeekIndex],101)&gt;0)&gt;0,SUMIFS(T_SelfStock[Self_Qty],T_SelfStock[RM_Code],$A101,T_SelfStock[WeekIndex],101)+SUMIFS(T_TTAFStock[TTAF_Qty],T_TTAFStock[RM_Code],$A101,T_TTAFStock[WeekIndex],101),CW101+'Grid_Incoming'!CX101-'Grid_Requirement'!CX101))</f>
        <v/>
      </c>
      <c r="CY101">
        <f>IF(COUNTIFS(T_StockCount[RM_Code],$A101,T_StockCount[WeekIndex],102)&gt;0,SUMIFS(T_StockCount[CountedQty],T_StockCount[RM_Code],$A101,T_StockCount[WeekIndex],102),IF((COUNTIFS(T_SelfStock[RM_Code],$A101,T_SelfStock[WeekIndex],102)&gt;0)*(COUNTIFS(T_TTAFStock[RM_Code],$A101,T_TTAFStock[WeekIndex],102)&gt;0)&gt;0,SUMIFS(T_SelfStock[Self_Qty],T_SelfStock[RM_Code],$A101,T_SelfStock[WeekIndex],102)+SUMIFS(T_TTAFStock[TTAF_Qty],T_TTAFStock[RM_Code],$A101,T_TTAFStock[WeekIndex],102),CX101+'Grid_Incoming'!CY101-'Grid_Requirement'!CY101))</f>
        <v/>
      </c>
      <c r="CZ101">
        <f>IF(COUNTIFS(T_StockCount[RM_Code],$A101,T_StockCount[WeekIndex],103)&gt;0,SUMIFS(T_StockCount[CountedQty],T_StockCount[RM_Code],$A101,T_StockCount[WeekIndex],103),IF((COUNTIFS(T_SelfStock[RM_Code],$A101,T_SelfStock[WeekIndex],103)&gt;0)*(COUNTIFS(T_TTAFStock[RM_Code],$A101,T_TTAFStock[WeekIndex],103)&gt;0)&gt;0,SUMIFS(T_SelfStock[Self_Qty],T_SelfStock[RM_Code],$A101,T_SelfStock[WeekIndex],103)+SUMIFS(T_TTAFStock[TTAF_Qty],T_TTAFStock[RM_Code],$A101,T_TTAFStock[WeekIndex],103),CY101+'Grid_Incoming'!CZ101-'Grid_Requirement'!CZ101))</f>
        <v/>
      </c>
      <c r="DA101">
        <f>IF(COUNTIFS(T_StockCount[RM_Code],$A101,T_StockCount[WeekIndex],104)&gt;0,SUMIFS(T_StockCount[CountedQty],T_StockCount[RM_Code],$A101,T_StockCount[WeekIndex],104),IF((COUNTIFS(T_SelfStock[RM_Code],$A101,T_SelfStock[WeekIndex],104)&gt;0)*(COUNTIFS(T_TTAFStock[RM_Code],$A101,T_TTAFStock[WeekIndex],104)&gt;0)&gt;0,SUMIFS(T_SelfStock[Self_Qty],T_SelfStock[RM_Code],$A101,T_SelfStock[WeekIndex],104)+SUMIFS(T_TTAFStock[TTAF_Qty],T_TTAFStock[RM_Code],$A101,T_TTAFStock[WeekIndex],104),CZ101+'Grid_Incoming'!DA101-'Grid_Requirement'!DA101))</f>
        <v/>
      </c>
    </row>
    <row r="102">
      <c r="A102" t="inlineStr">
        <is>
          <t>CHEM-1310</t>
        </is>
      </c>
      <c r="B102">
        <f>IF(COUNTIFS(T_StockCount[RM_Code],$A102,T_StockCount[WeekIndex],1)&gt;0,SUMIFS(T_StockCount[CountedQty],T_StockCount[RM_Code],$A102,T_StockCount[WeekIndex],1),IF((COUNTIFS(T_SelfStock[RM_Code],$A102,T_SelfStock[WeekIndex],1)&gt;0)*(COUNTIFS(T_TTAFStock[RM_Code],$A102,T_TTAFStock[WeekIndex],1)&gt;0)&gt;0,SUMIFS(T_SelfStock[Self_Qty],T_SelfStock[RM_Code],$A102,T_SelfStock[WeekIndex],1)+SUMIFS(T_TTAFStock[TTAF_Qty],T_TTAFStock[RM_Code],$A102,T_TTAFStock[WeekIndex],1),IFERROR(INDEX(T_OpeningStock[Opening_Qty],MATCH($A102,T_OpeningStock[RM_Code],0)),0)+'Grid_Incoming'!B102-'Grid_Requirement'!B102))</f>
        <v/>
      </c>
      <c r="C102">
        <f>IF(COUNTIFS(T_StockCount[RM_Code],$A102,T_StockCount[WeekIndex],2)&gt;0,SUMIFS(T_StockCount[CountedQty],T_StockCount[RM_Code],$A102,T_StockCount[WeekIndex],2),IF((COUNTIFS(T_SelfStock[RM_Code],$A102,T_SelfStock[WeekIndex],2)&gt;0)*(COUNTIFS(T_TTAFStock[RM_Code],$A102,T_TTAFStock[WeekIndex],2)&gt;0)&gt;0,SUMIFS(T_SelfStock[Self_Qty],T_SelfStock[RM_Code],$A102,T_SelfStock[WeekIndex],2)+SUMIFS(T_TTAFStock[TTAF_Qty],T_TTAFStock[RM_Code],$A102,T_TTAFStock[WeekIndex],2),B102+'Grid_Incoming'!C102-'Grid_Requirement'!C102))</f>
        <v/>
      </c>
      <c r="D102">
        <f>IF(COUNTIFS(T_StockCount[RM_Code],$A102,T_StockCount[WeekIndex],3)&gt;0,SUMIFS(T_StockCount[CountedQty],T_StockCount[RM_Code],$A102,T_StockCount[WeekIndex],3),IF((COUNTIFS(T_SelfStock[RM_Code],$A102,T_SelfStock[WeekIndex],3)&gt;0)*(COUNTIFS(T_TTAFStock[RM_Code],$A102,T_TTAFStock[WeekIndex],3)&gt;0)&gt;0,SUMIFS(T_SelfStock[Self_Qty],T_SelfStock[RM_Code],$A102,T_SelfStock[WeekIndex],3)+SUMIFS(T_TTAFStock[TTAF_Qty],T_TTAFStock[RM_Code],$A102,T_TTAFStock[WeekIndex],3),C102+'Grid_Incoming'!D102-'Grid_Requirement'!D102))</f>
        <v/>
      </c>
      <c r="E102">
        <f>IF(COUNTIFS(T_StockCount[RM_Code],$A102,T_StockCount[WeekIndex],4)&gt;0,SUMIFS(T_StockCount[CountedQty],T_StockCount[RM_Code],$A102,T_StockCount[WeekIndex],4),IF((COUNTIFS(T_SelfStock[RM_Code],$A102,T_SelfStock[WeekIndex],4)&gt;0)*(COUNTIFS(T_TTAFStock[RM_Code],$A102,T_TTAFStock[WeekIndex],4)&gt;0)&gt;0,SUMIFS(T_SelfStock[Self_Qty],T_SelfStock[RM_Code],$A102,T_SelfStock[WeekIndex],4)+SUMIFS(T_TTAFStock[TTAF_Qty],T_TTAFStock[RM_Code],$A102,T_TTAFStock[WeekIndex],4),D102+'Grid_Incoming'!E102-'Grid_Requirement'!E102))</f>
        <v/>
      </c>
      <c r="F102">
        <f>IF(COUNTIFS(T_StockCount[RM_Code],$A102,T_StockCount[WeekIndex],5)&gt;0,SUMIFS(T_StockCount[CountedQty],T_StockCount[RM_Code],$A102,T_StockCount[WeekIndex],5),IF((COUNTIFS(T_SelfStock[RM_Code],$A102,T_SelfStock[WeekIndex],5)&gt;0)*(COUNTIFS(T_TTAFStock[RM_Code],$A102,T_TTAFStock[WeekIndex],5)&gt;0)&gt;0,SUMIFS(T_SelfStock[Self_Qty],T_SelfStock[RM_Code],$A102,T_SelfStock[WeekIndex],5)+SUMIFS(T_TTAFStock[TTAF_Qty],T_TTAFStock[RM_Code],$A102,T_TTAFStock[WeekIndex],5),E102+'Grid_Incoming'!F102-'Grid_Requirement'!F102))</f>
        <v/>
      </c>
      <c r="G102">
        <f>IF(COUNTIFS(T_StockCount[RM_Code],$A102,T_StockCount[WeekIndex],6)&gt;0,SUMIFS(T_StockCount[CountedQty],T_StockCount[RM_Code],$A102,T_StockCount[WeekIndex],6),IF((COUNTIFS(T_SelfStock[RM_Code],$A102,T_SelfStock[WeekIndex],6)&gt;0)*(COUNTIFS(T_TTAFStock[RM_Code],$A102,T_TTAFStock[WeekIndex],6)&gt;0)&gt;0,SUMIFS(T_SelfStock[Self_Qty],T_SelfStock[RM_Code],$A102,T_SelfStock[WeekIndex],6)+SUMIFS(T_TTAFStock[TTAF_Qty],T_TTAFStock[RM_Code],$A102,T_TTAFStock[WeekIndex],6),F102+'Grid_Incoming'!G102-'Grid_Requirement'!G102))</f>
        <v/>
      </c>
      <c r="H102">
        <f>IF(COUNTIFS(T_StockCount[RM_Code],$A102,T_StockCount[WeekIndex],7)&gt;0,SUMIFS(T_StockCount[CountedQty],T_StockCount[RM_Code],$A102,T_StockCount[WeekIndex],7),IF((COUNTIFS(T_SelfStock[RM_Code],$A102,T_SelfStock[WeekIndex],7)&gt;0)*(COUNTIFS(T_TTAFStock[RM_Code],$A102,T_TTAFStock[WeekIndex],7)&gt;0)&gt;0,SUMIFS(T_SelfStock[Self_Qty],T_SelfStock[RM_Code],$A102,T_SelfStock[WeekIndex],7)+SUMIFS(T_TTAFStock[TTAF_Qty],T_TTAFStock[RM_Code],$A102,T_TTAFStock[WeekIndex],7),G102+'Grid_Incoming'!H102-'Grid_Requirement'!H102))</f>
        <v/>
      </c>
      <c r="I102">
        <f>IF(COUNTIFS(T_StockCount[RM_Code],$A102,T_StockCount[WeekIndex],8)&gt;0,SUMIFS(T_StockCount[CountedQty],T_StockCount[RM_Code],$A102,T_StockCount[WeekIndex],8),IF((COUNTIFS(T_SelfStock[RM_Code],$A102,T_SelfStock[WeekIndex],8)&gt;0)*(COUNTIFS(T_TTAFStock[RM_Code],$A102,T_TTAFStock[WeekIndex],8)&gt;0)&gt;0,SUMIFS(T_SelfStock[Self_Qty],T_SelfStock[RM_Code],$A102,T_SelfStock[WeekIndex],8)+SUMIFS(T_TTAFStock[TTAF_Qty],T_TTAFStock[RM_Code],$A102,T_TTAFStock[WeekIndex],8),H102+'Grid_Incoming'!I102-'Grid_Requirement'!I102))</f>
        <v/>
      </c>
      <c r="J102">
        <f>IF(COUNTIFS(T_StockCount[RM_Code],$A102,T_StockCount[WeekIndex],9)&gt;0,SUMIFS(T_StockCount[CountedQty],T_StockCount[RM_Code],$A102,T_StockCount[WeekIndex],9),IF((COUNTIFS(T_SelfStock[RM_Code],$A102,T_SelfStock[WeekIndex],9)&gt;0)*(COUNTIFS(T_TTAFStock[RM_Code],$A102,T_TTAFStock[WeekIndex],9)&gt;0)&gt;0,SUMIFS(T_SelfStock[Self_Qty],T_SelfStock[RM_Code],$A102,T_SelfStock[WeekIndex],9)+SUMIFS(T_TTAFStock[TTAF_Qty],T_TTAFStock[RM_Code],$A102,T_TTAFStock[WeekIndex],9),I102+'Grid_Incoming'!J102-'Grid_Requirement'!J102))</f>
        <v/>
      </c>
      <c r="K102">
        <f>IF(COUNTIFS(T_StockCount[RM_Code],$A102,T_StockCount[WeekIndex],10)&gt;0,SUMIFS(T_StockCount[CountedQty],T_StockCount[RM_Code],$A102,T_StockCount[WeekIndex],10),IF((COUNTIFS(T_SelfStock[RM_Code],$A102,T_SelfStock[WeekIndex],10)&gt;0)*(COUNTIFS(T_TTAFStock[RM_Code],$A102,T_TTAFStock[WeekIndex],10)&gt;0)&gt;0,SUMIFS(T_SelfStock[Self_Qty],T_SelfStock[RM_Code],$A102,T_SelfStock[WeekIndex],10)+SUMIFS(T_TTAFStock[TTAF_Qty],T_TTAFStock[RM_Code],$A102,T_TTAFStock[WeekIndex],10),J102+'Grid_Incoming'!K102-'Grid_Requirement'!K102))</f>
        <v/>
      </c>
      <c r="L102">
        <f>IF(COUNTIFS(T_StockCount[RM_Code],$A102,T_StockCount[WeekIndex],11)&gt;0,SUMIFS(T_StockCount[CountedQty],T_StockCount[RM_Code],$A102,T_StockCount[WeekIndex],11),IF((COUNTIFS(T_SelfStock[RM_Code],$A102,T_SelfStock[WeekIndex],11)&gt;0)*(COUNTIFS(T_TTAFStock[RM_Code],$A102,T_TTAFStock[WeekIndex],11)&gt;0)&gt;0,SUMIFS(T_SelfStock[Self_Qty],T_SelfStock[RM_Code],$A102,T_SelfStock[WeekIndex],11)+SUMIFS(T_TTAFStock[TTAF_Qty],T_TTAFStock[RM_Code],$A102,T_TTAFStock[WeekIndex],11),K102+'Grid_Incoming'!L102-'Grid_Requirement'!L102))</f>
        <v/>
      </c>
      <c r="M102">
        <f>IF(COUNTIFS(T_StockCount[RM_Code],$A102,T_StockCount[WeekIndex],12)&gt;0,SUMIFS(T_StockCount[CountedQty],T_StockCount[RM_Code],$A102,T_StockCount[WeekIndex],12),IF((COUNTIFS(T_SelfStock[RM_Code],$A102,T_SelfStock[WeekIndex],12)&gt;0)*(COUNTIFS(T_TTAFStock[RM_Code],$A102,T_TTAFStock[WeekIndex],12)&gt;0)&gt;0,SUMIFS(T_SelfStock[Self_Qty],T_SelfStock[RM_Code],$A102,T_SelfStock[WeekIndex],12)+SUMIFS(T_TTAFStock[TTAF_Qty],T_TTAFStock[RM_Code],$A102,T_TTAFStock[WeekIndex],12),L102+'Grid_Incoming'!M102-'Grid_Requirement'!M102))</f>
        <v/>
      </c>
      <c r="N102">
        <f>IF(COUNTIFS(T_StockCount[RM_Code],$A102,T_StockCount[WeekIndex],13)&gt;0,SUMIFS(T_StockCount[CountedQty],T_StockCount[RM_Code],$A102,T_StockCount[WeekIndex],13),IF((COUNTIFS(T_SelfStock[RM_Code],$A102,T_SelfStock[WeekIndex],13)&gt;0)*(COUNTIFS(T_TTAFStock[RM_Code],$A102,T_TTAFStock[WeekIndex],13)&gt;0)&gt;0,SUMIFS(T_SelfStock[Self_Qty],T_SelfStock[RM_Code],$A102,T_SelfStock[WeekIndex],13)+SUMIFS(T_TTAFStock[TTAF_Qty],T_TTAFStock[RM_Code],$A102,T_TTAFStock[WeekIndex],13),M102+'Grid_Incoming'!N102-'Grid_Requirement'!N102))</f>
        <v/>
      </c>
      <c r="O102">
        <f>IF(COUNTIFS(T_StockCount[RM_Code],$A102,T_StockCount[WeekIndex],14)&gt;0,SUMIFS(T_StockCount[CountedQty],T_StockCount[RM_Code],$A102,T_StockCount[WeekIndex],14),IF((COUNTIFS(T_SelfStock[RM_Code],$A102,T_SelfStock[WeekIndex],14)&gt;0)*(COUNTIFS(T_TTAFStock[RM_Code],$A102,T_TTAFStock[WeekIndex],14)&gt;0)&gt;0,SUMIFS(T_SelfStock[Self_Qty],T_SelfStock[RM_Code],$A102,T_SelfStock[WeekIndex],14)+SUMIFS(T_TTAFStock[TTAF_Qty],T_TTAFStock[RM_Code],$A102,T_TTAFStock[WeekIndex],14),N102+'Grid_Incoming'!O102-'Grid_Requirement'!O102))</f>
        <v/>
      </c>
      <c r="P102">
        <f>IF(COUNTIFS(T_StockCount[RM_Code],$A102,T_StockCount[WeekIndex],15)&gt;0,SUMIFS(T_StockCount[CountedQty],T_StockCount[RM_Code],$A102,T_StockCount[WeekIndex],15),IF((COUNTIFS(T_SelfStock[RM_Code],$A102,T_SelfStock[WeekIndex],15)&gt;0)*(COUNTIFS(T_TTAFStock[RM_Code],$A102,T_TTAFStock[WeekIndex],15)&gt;0)&gt;0,SUMIFS(T_SelfStock[Self_Qty],T_SelfStock[RM_Code],$A102,T_SelfStock[WeekIndex],15)+SUMIFS(T_TTAFStock[TTAF_Qty],T_TTAFStock[RM_Code],$A102,T_TTAFStock[WeekIndex],15),O102+'Grid_Incoming'!P102-'Grid_Requirement'!P102))</f>
        <v/>
      </c>
      <c r="Q102">
        <f>IF(COUNTIFS(T_StockCount[RM_Code],$A102,T_StockCount[WeekIndex],16)&gt;0,SUMIFS(T_StockCount[CountedQty],T_StockCount[RM_Code],$A102,T_StockCount[WeekIndex],16),IF((COUNTIFS(T_SelfStock[RM_Code],$A102,T_SelfStock[WeekIndex],16)&gt;0)*(COUNTIFS(T_TTAFStock[RM_Code],$A102,T_TTAFStock[WeekIndex],16)&gt;0)&gt;0,SUMIFS(T_SelfStock[Self_Qty],T_SelfStock[RM_Code],$A102,T_SelfStock[WeekIndex],16)+SUMIFS(T_TTAFStock[TTAF_Qty],T_TTAFStock[RM_Code],$A102,T_TTAFStock[WeekIndex],16),P102+'Grid_Incoming'!Q102-'Grid_Requirement'!Q102))</f>
        <v/>
      </c>
      <c r="R102">
        <f>IF(COUNTIFS(T_StockCount[RM_Code],$A102,T_StockCount[WeekIndex],17)&gt;0,SUMIFS(T_StockCount[CountedQty],T_StockCount[RM_Code],$A102,T_StockCount[WeekIndex],17),IF((COUNTIFS(T_SelfStock[RM_Code],$A102,T_SelfStock[WeekIndex],17)&gt;0)*(COUNTIFS(T_TTAFStock[RM_Code],$A102,T_TTAFStock[WeekIndex],17)&gt;0)&gt;0,SUMIFS(T_SelfStock[Self_Qty],T_SelfStock[RM_Code],$A102,T_SelfStock[WeekIndex],17)+SUMIFS(T_TTAFStock[TTAF_Qty],T_TTAFStock[RM_Code],$A102,T_TTAFStock[WeekIndex],17),Q102+'Grid_Incoming'!R102-'Grid_Requirement'!R102))</f>
        <v/>
      </c>
      <c r="S102">
        <f>IF(COUNTIFS(T_StockCount[RM_Code],$A102,T_StockCount[WeekIndex],18)&gt;0,SUMIFS(T_StockCount[CountedQty],T_StockCount[RM_Code],$A102,T_StockCount[WeekIndex],18),IF((COUNTIFS(T_SelfStock[RM_Code],$A102,T_SelfStock[WeekIndex],18)&gt;0)*(COUNTIFS(T_TTAFStock[RM_Code],$A102,T_TTAFStock[WeekIndex],18)&gt;0)&gt;0,SUMIFS(T_SelfStock[Self_Qty],T_SelfStock[RM_Code],$A102,T_SelfStock[WeekIndex],18)+SUMIFS(T_TTAFStock[TTAF_Qty],T_TTAFStock[RM_Code],$A102,T_TTAFStock[WeekIndex],18),R102+'Grid_Incoming'!S102-'Grid_Requirement'!S102))</f>
        <v/>
      </c>
      <c r="T102">
        <f>IF(COUNTIFS(T_StockCount[RM_Code],$A102,T_StockCount[WeekIndex],19)&gt;0,SUMIFS(T_StockCount[CountedQty],T_StockCount[RM_Code],$A102,T_StockCount[WeekIndex],19),IF((COUNTIFS(T_SelfStock[RM_Code],$A102,T_SelfStock[WeekIndex],19)&gt;0)*(COUNTIFS(T_TTAFStock[RM_Code],$A102,T_TTAFStock[WeekIndex],19)&gt;0)&gt;0,SUMIFS(T_SelfStock[Self_Qty],T_SelfStock[RM_Code],$A102,T_SelfStock[WeekIndex],19)+SUMIFS(T_TTAFStock[TTAF_Qty],T_TTAFStock[RM_Code],$A102,T_TTAFStock[WeekIndex],19),S102+'Grid_Incoming'!T102-'Grid_Requirement'!T102))</f>
        <v/>
      </c>
      <c r="U102">
        <f>IF(COUNTIFS(T_StockCount[RM_Code],$A102,T_StockCount[WeekIndex],20)&gt;0,SUMIFS(T_StockCount[CountedQty],T_StockCount[RM_Code],$A102,T_StockCount[WeekIndex],20),IF((COUNTIFS(T_SelfStock[RM_Code],$A102,T_SelfStock[WeekIndex],20)&gt;0)*(COUNTIFS(T_TTAFStock[RM_Code],$A102,T_TTAFStock[WeekIndex],20)&gt;0)&gt;0,SUMIFS(T_SelfStock[Self_Qty],T_SelfStock[RM_Code],$A102,T_SelfStock[WeekIndex],20)+SUMIFS(T_TTAFStock[TTAF_Qty],T_TTAFStock[RM_Code],$A102,T_TTAFStock[WeekIndex],20),T102+'Grid_Incoming'!U102-'Grid_Requirement'!U102))</f>
        <v/>
      </c>
      <c r="V102">
        <f>IF(COUNTIFS(T_StockCount[RM_Code],$A102,T_StockCount[WeekIndex],21)&gt;0,SUMIFS(T_StockCount[CountedQty],T_StockCount[RM_Code],$A102,T_StockCount[WeekIndex],21),IF((COUNTIFS(T_SelfStock[RM_Code],$A102,T_SelfStock[WeekIndex],21)&gt;0)*(COUNTIFS(T_TTAFStock[RM_Code],$A102,T_TTAFStock[WeekIndex],21)&gt;0)&gt;0,SUMIFS(T_SelfStock[Self_Qty],T_SelfStock[RM_Code],$A102,T_SelfStock[WeekIndex],21)+SUMIFS(T_TTAFStock[TTAF_Qty],T_TTAFStock[RM_Code],$A102,T_TTAFStock[WeekIndex],21),U102+'Grid_Incoming'!V102-'Grid_Requirement'!V102))</f>
        <v/>
      </c>
      <c r="W102">
        <f>IF(COUNTIFS(T_StockCount[RM_Code],$A102,T_StockCount[WeekIndex],22)&gt;0,SUMIFS(T_StockCount[CountedQty],T_StockCount[RM_Code],$A102,T_StockCount[WeekIndex],22),IF((COUNTIFS(T_SelfStock[RM_Code],$A102,T_SelfStock[WeekIndex],22)&gt;0)*(COUNTIFS(T_TTAFStock[RM_Code],$A102,T_TTAFStock[WeekIndex],22)&gt;0)&gt;0,SUMIFS(T_SelfStock[Self_Qty],T_SelfStock[RM_Code],$A102,T_SelfStock[WeekIndex],22)+SUMIFS(T_TTAFStock[TTAF_Qty],T_TTAFStock[RM_Code],$A102,T_TTAFStock[WeekIndex],22),V102+'Grid_Incoming'!W102-'Grid_Requirement'!W102))</f>
        <v/>
      </c>
      <c r="X102">
        <f>IF(COUNTIFS(T_StockCount[RM_Code],$A102,T_StockCount[WeekIndex],23)&gt;0,SUMIFS(T_StockCount[CountedQty],T_StockCount[RM_Code],$A102,T_StockCount[WeekIndex],23),IF((COUNTIFS(T_SelfStock[RM_Code],$A102,T_SelfStock[WeekIndex],23)&gt;0)*(COUNTIFS(T_TTAFStock[RM_Code],$A102,T_TTAFStock[WeekIndex],23)&gt;0)&gt;0,SUMIFS(T_SelfStock[Self_Qty],T_SelfStock[RM_Code],$A102,T_SelfStock[WeekIndex],23)+SUMIFS(T_TTAFStock[TTAF_Qty],T_TTAFStock[RM_Code],$A102,T_TTAFStock[WeekIndex],23),W102+'Grid_Incoming'!X102-'Grid_Requirement'!X102))</f>
        <v/>
      </c>
      <c r="Y102">
        <f>IF(COUNTIFS(T_StockCount[RM_Code],$A102,T_StockCount[WeekIndex],24)&gt;0,SUMIFS(T_StockCount[CountedQty],T_StockCount[RM_Code],$A102,T_StockCount[WeekIndex],24),IF((COUNTIFS(T_SelfStock[RM_Code],$A102,T_SelfStock[WeekIndex],24)&gt;0)*(COUNTIFS(T_TTAFStock[RM_Code],$A102,T_TTAFStock[WeekIndex],24)&gt;0)&gt;0,SUMIFS(T_SelfStock[Self_Qty],T_SelfStock[RM_Code],$A102,T_SelfStock[WeekIndex],24)+SUMIFS(T_TTAFStock[TTAF_Qty],T_TTAFStock[RM_Code],$A102,T_TTAFStock[WeekIndex],24),X102+'Grid_Incoming'!Y102-'Grid_Requirement'!Y102))</f>
        <v/>
      </c>
      <c r="Z102">
        <f>IF(COUNTIFS(T_StockCount[RM_Code],$A102,T_StockCount[WeekIndex],25)&gt;0,SUMIFS(T_StockCount[CountedQty],T_StockCount[RM_Code],$A102,T_StockCount[WeekIndex],25),IF((COUNTIFS(T_SelfStock[RM_Code],$A102,T_SelfStock[WeekIndex],25)&gt;0)*(COUNTIFS(T_TTAFStock[RM_Code],$A102,T_TTAFStock[WeekIndex],25)&gt;0)&gt;0,SUMIFS(T_SelfStock[Self_Qty],T_SelfStock[RM_Code],$A102,T_SelfStock[WeekIndex],25)+SUMIFS(T_TTAFStock[TTAF_Qty],T_TTAFStock[RM_Code],$A102,T_TTAFStock[WeekIndex],25),Y102+'Grid_Incoming'!Z102-'Grid_Requirement'!Z102))</f>
        <v/>
      </c>
      <c r="AA102">
        <f>IF(COUNTIFS(T_StockCount[RM_Code],$A102,T_StockCount[WeekIndex],26)&gt;0,SUMIFS(T_StockCount[CountedQty],T_StockCount[RM_Code],$A102,T_StockCount[WeekIndex],26),IF((COUNTIFS(T_SelfStock[RM_Code],$A102,T_SelfStock[WeekIndex],26)&gt;0)*(COUNTIFS(T_TTAFStock[RM_Code],$A102,T_TTAFStock[WeekIndex],26)&gt;0)&gt;0,SUMIFS(T_SelfStock[Self_Qty],T_SelfStock[RM_Code],$A102,T_SelfStock[WeekIndex],26)+SUMIFS(T_TTAFStock[TTAF_Qty],T_TTAFStock[RM_Code],$A102,T_TTAFStock[WeekIndex],26),Z102+'Grid_Incoming'!AA102-'Grid_Requirement'!AA102))</f>
        <v/>
      </c>
      <c r="AB102">
        <f>IF(COUNTIFS(T_StockCount[RM_Code],$A102,T_StockCount[WeekIndex],27)&gt;0,SUMIFS(T_StockCount[CountedQty],T_StockCount[RM_Code],$A102,T_StockCount[WeekIndex],27),IF((COUNTIFS(T_SelfStock[RM_Code],$A102,T_SelfStock[WeekIndex],27)&gt;0)*(COUNTIFS(T_TTAFStock[RM_Code],$A102,T_TTAFStock[WeekIndex],27)&gt;0)&gt;0,SUMIFS(T_SelfStock[Self_Qty],T_SelfStock[RM_Code],$A102,T_SelfStock[WeekIndex],27)+SUMIFS(T_TTAFStock[TTAF_Qty],T_TTAFStock[RM_Code],$A102,T_TTAFStock[WeekIndex],27),AA102+'Grid_Incoming'!AB102-'Grid_Requirement'!AB102))</f>
        <v/>
      </c>
      <c r="AC102">
        <f>IF(COUNTIFS(T_StockCount[RM_Code],$A102,T_StockCount[WeekIndex],28)&gt;0,SUMIFS(T_StockCount[CountedQty],T_StockCount[RM_Code],$A102,T_StockCount[WeekIndex],28),IF((COUNTIFS(T_SelfStock[RM_Code],$A102,T_SelfStock[WeekIndex],28)&gt;0)*(COUNTIFS(T_TTAFStock[RM_Code],$A102,T_TTAFStock[WeekIndex],28)&gt;0)&gt;0,SUMIFS(T_SelfStock[Self_Qty],T_SelfStock[RM_Code],$A102,T_SelfStock[WeekIndex],28)+SUMIFS(T_TTAFStock[TTAF_Qty],T_TTAFStock[RM_Code],$A102,T_TTAFStock[WeekIndex],28),AB102+'Grid_Incoming'!AC102-'Grid_Requirement'!AC102))</f>
        <v/>
      </c>
      <c r="AD102">
        <f>IF(COUNTIFS(T_StockCount[RM_Code],$A102,T_StockCount[WeekIndex],29)&gt;0,SUMIFS(T_StockCount[CountedQty],T_StockCount[RM_Code],$A102,T_StockCount[WeekIndex],29),IF((COUNTIFS(T_SelfStock[RM_Code],$A102,T_SelfStock[WeekIndex],29)&gt;0)*(COUNTIFS(T_TTAFStock[RM_Code],$A102,T_TTAFStock[WeekIndex],29)&gt;0)&gt;0,SUMIFS(T_SelfStock[Self_Qty],T_SelfStock[RM_Code],$A102,T_SelfStock[WeekIndex],29)+SUMIFS(T_TTAFStock[TTAF_Qty],T_TTAFStock[RM_Code],$A102,T_TTAFStock[WeekIndex],29),AC102+'Grid_Incoming'!AD102-'Grid_Requirement'!AD102))</f>
        <v/>
      </c>
      <c r="AE102">
        <f>IF(COUNTIFS(T_StockCount[RM_Code],$A102,T_StockCount[WeekIndex],30)&gt;0,SUMIFS(T_StockCount[CountedQty],T_StockCount[RM_Code],$A102,T_StockCount[WeekIndex],30),IF((COUNTIFS(T_SelfStock[RM_Code],$A102,T_SelfStock[WeekIndex],30)&gt;0)*(COUNTIFS(T_TTAFStock[RM_Code],$A102,T_TTAFStock[WeekIndex],30)&gt;0)&gt;0,SUMIFS(T_SelfStock[Self_Qty],T_SelfStock[RM_Code],$A102,T_SelfStock[WeekIndex],30)+SUMIFS(T_TTAFStock[TTAF_Qty],T_TTAFStock[RM_Code],$A102,T_TTAFStock[WeekIndex],30),AD102+'Grid_Incoming'!AE102-'Grid_Requirement'!AE102))</f>
        <v/>
      </c>
      <c r="AF102">
        <f>IF(COUNTIFS(T_StockCount[RM_Code],$A102,T_StockCount[WeekIndex],31)&gt;0,SUMIFS(T_StockCount[CountedQty],T_StockCount[RM_Code],$A102,T_StockCount[WeekIndex],31),IF((COUNTIFS(T_SelfStock[RM_Code],$A102,T_SelfStock[WeekIndex],31)&gt;0)*(COUNTIFS(T_TTAFStock[RM_Code],$A102,T_TTAFStock[WeekIndex],31)&gt;0)&gt;0,SUMIFS(T_SelfStock[Self_Qty],T_SelfStock[RM_Code],$A102,T_SelfStock[WeekIndex],31)+SUMIFS(T_TTAFStock[TTAF_Qty],T_TTAFStock[RM_Code],$A102,T_TTAFStock[WeekIndex],31),AE102+'Grid_Incoming'!AF102-'Grid_Requirement'!AF102))</f>
        <v/>
      </c>
      <c r="AG102">
        <f>IF(COUNTIFS(T_StockCount[RM_Code],$A102,T_StockCount[WeekIndex],32)&gt;0,SUMIFS(T_StockCount[CountedQty],T_StockCount[RM_Code],$A102,T_StockCount[WeekIndex],32),IF((COUNTIFS(T_SelfStock[RM_Code],$A102,T_SelfStock[WeekIndex],32)&gt;0)*(COUNTIFS(T_TTAFStock[RM_Code],$A102,T_TTAFStock[WeekIndex],32)&gt;0)&gt;0,SUMIFS(T_SelfStock[Self_Qty],T_SelfStock[RM_Code],$A102,T_SelfStock[WeekIndex],32)+SUMIFS(T_TTAFStock[TTAF_Qty],T_TTAFStock[RM_Code],$A102,T_TTAFStock[WeekIndex],32),AF102+'Grid_Incoming'!AG102-'Grid_Requirement'!AG102))</f>
        <v/>
      </c>
      <c r="AH102">
        <f>IF(COUNTIFS(T_StockCount[RM_Code],$A102,T_StockCount[WeekIndex],33)&gt;0,SUMIFS(T_StockCount[CountedQty],T_StockCount[RM_Code],$A102,T_StockCount[WeekIndex],33),IF((COUNTIFS(T_SelfStock[RM_Code],$A102,T_SelfStock[WeekIndex],33)&gt;0)*(COUNTIFS(T_TTAFStock[RM_Code],$A102,T_TTAFStock[WeekIndex],33)&gt;0)&gt;0,SUMIFS(T_SelfStock[Self_Qty],T_SelfStock[RM_Code],$A102,T_SelfStock[WeekIndex],33)+SUMIFS(T_TTAFStock[TTAF_Qty],T_TTAFStock[RM_Code],$A102,T_TTAFStock[WeekIndex],33),AG102+'Grid_Incoming'!AH102-'Grid_Requirement'!AH102))</f>
        <v/>
      </c>
      <c r="AI102">
        <f>IF(COUNTIFS(T_StockCount[RM_Code],$A102,T_StockCount[WeekIndex],34)&gt;0,SUMIFS(T_StockCount[CountedQty],T_StockCount[RM_Code],$A102,T_StockCount[WeekIndex],34),IF((COUNTIFS(T_SelfStock[RM_Code],$A102,T_SelfStock[WeekIndex],34)&gt;0)*(COUNTIFS(T_TTAFStock[RM_Code],$A102,T_TTAFStock[WeekIndex],34)&gt;0)&gt;0,SUMIFS(T_SelfStock[Self_Qty],T_SelfStock[RM_Code],$A102,T_SelfStock[WeekIndex],34)+SUMIFS(T_TTAFStock[TTAF_Qty],T_TTAFStock[RM_Code],$A102,T_TTAFStock[WeekIndex],34),AH102+'Grid_Incoming'!AI102-'Grid_Requirement'!AI102))</f>
        <v/>
      </c>
      <c r="AJ102">
        <f>IF(COUNTIFS(T_StockCount[RM_Code],$A102,T_StockCount[WeekIndex],35)&gt;0,SUMIFS(T_StockCount[CountedQty],T_StockCount[RM_Code],$A102,T_StockCount[WeekIndex],35),IF((COUNTIFS(T_SelfStock[RM_Code],$A102,T_SelfStock[WeekIndex],35)&gt;0)*(COUNTIFS(T_TTAFStock[RM_Code],$A102,T_TTAFStock[WeekIndex],35)&gt;0)&gt;0,SUMIFS(T_SelfStock[Self_Qty],T_SelfStock[RM_Code],$A102,T_SelfStock[WeekIndex],35)+SUMIFS(T_TTAFStock[TTAF_Qty],T_TTAFStock[RM_Code],$A102,T_TTAFStock[WeekIndex],35),AI102+'Grid_Incoming'!AJ102-'Grid_Requirement'!AJ102))</f>
        <v/>
      </c>
      <c r="AK102">
        <f>IF(COUNTIFS(T_StockCount[RM_Code],$A102,T_StockCount[WeekIndex],36)&gt;0,SUMIFS(T_StockCount[CountedQty],T_StockCount[RM_Code],$A102,T_StockCount[WeekIndex],36),IF((COUNTIFS(T_SelfStock[RM_Code],$A102,T_SelfStock[WeekIndex],36)&gt;0)*(COUNTIFS(T_TTAFStock[RM_Code],$A102,T_TTAFStock[WeekIndex],36)&gt;0)&gt;0,SUMIFS(T_SelfStock[Self_Qty],T_SelfStock[RM_Code],$A102,T_SelfStock[WeekIndex],36)+SUMIFS(T_TTAFStock[TTAF_Qty],T_TTAFStock[RM_Code],$A102,T_TTAFStock[WeekIndex],36),AJ102+'Grid_Incoming'!AK102-'Grid_Requirement'!AK102))</f>
        <v/>
      </c>
      <c r="AL102">
        <f>IF(COUNTIFS(T_StockCount[RM_Code],$A102,T_StockCount[WeekIndex],37)&gt;0,SUMIFS(T_StockCount[CountedQty],T_StockCount[RM_Code],$A102,T_StockCount[WeekIndex],37),IF((COUNTIFS(T_SelfStock[RM_Code],$A102,T_SelfStock[WeekIndex],37)&gt;0)*(COUNTIFS(T_TTAFStock[RM_Code],$A102,T_TTAFStock[WeekIndex],37)&gt;0)&gt;0,SUMIFS(T_SelfStock[Self_Qty],T_SelfStock[RM_Code],$A102,T_SelfStock[WeekIndex],37)+SUMIFS(T_TTAFStock[TTAF_Qty],T_TTAFStock[RM_Code],$A102,T_TTAFStock[WeekIndex],37),AK102+'Grid_Incoming'!AL102-'Grid_Requirement'!AL102))</f>
        <v/>
      </c>
      <c r="AM102">
        <f>IF(COUNTIFS(T_StockCount[RM_Code],$A102,T_StockCount[WeekIndex],38)&gt;0,SUMIFS(T_StockCount[CountedQty],T_StockCount[RM_Code],$A102,T_StockCount[WeekIndex],38),IF((COUNTIFS(T_SelfStock[RM_Code],$A102,T_SelfStock[WeekIndex],38)&gt;0)*(COUNTIFS(T_TTAFStock[RM_Code],$A102,T_TTAFStock[WeekIndex],38)&gt;0)&gt;0,SUMIFS(T_SelfStock[Self_Qty],T_SelfStock[RM_Code],$A102,T_SelfStock[WeekIndex],38)+SUMIFS(T_TTAFStock[TTAF_Qty],T_TTAFStock[RM_Code],$A102,T_TTAFStock[WeekIndex],38),AL102+'Grid_Incoming'!AM102-'Grid_Requirement'!AM102))</f>
        <v/>
      </c>
      <c r="AN102">
        <f>IF(COUNTIFS(T_StockCount[RM_Code],$A102,T_StockCount[WeekIndex],39)&gt;0,SUMIFS(T_StockCount[CountedQty],T_StockCount[RM_Code],$A102,T_StockCount[WeekIndex],39),IF((COUNTIFS(T_SelfStock[RM_Code],$A102,T_SelfStock[WeekIndex],39)&gt;0)*(COUNTIFS(T_TTAFStock[RM_Code],$A102,T_TTAFStock[WeekIndex],39)&gt;0)&gt;0,SUMIFS(T_SelfStock[Self_Qty],T_SelfStock[RM_Code],$A102,T_SelfStock[WeekIndex],39)+SUMIFS(T_TTAFStock[TTAF_Qty],T_TTAFStock[RM_Code],$A102,T_TTAFStock[WeekIndex],39),AM102+'Grid_Incoming'!AN102-'Grid_Requirement'!AN102))</f>
        <v/>
      </c>
      <c r="AO102">
        <f>IF(COUNTIFS(T_StockCount[RM_Code],$A102,T_StockCount[WeekIndex],40)&gt;0,SUMIFS(T_StockCount[CountedQty],T_StockCount[RM_Code],$A102,T_StockCount[WeekIndex],40),IF((COUNTIFS(T_SelfStock[RM_Code],$A102,T_SelfStock[WeekIndex],40)&gt;0)*(COUNTIFS(T_TTAFStock[RM_Code],$A102,T_TTAFStock[WeekIndex],40)&gt;0)&gt;0,SUMIFS(T_SelfStock[Self_Qty],T_SelfStock[RM_Code],$A102,T_SelfStock[WeekIndex],40)+SUMIFS(T_TTAFStock[TTAF_Qty],T_TTAFStock[RM_Code],$A102,T_TTAFStock[WeekIndex],40),AN102+'Grid_Incoming'!AO102-'Grid_Requirement'!AO102))</f>
        <v/>
      </c>
      <c r="AP102">
        <f>IF(COUNTIFS(T_StockCount[RM_Code],$A102,T_StockCount[WeekIndex],41)&gt;0,SUMIFS(T_StockCount[CountedQty],T_StockCount[RM_Code],$A102,T_StockCount[WeekIndex],41),IF((COUNTIFS(T_SelfStock[RM_Code],$A102,T_SelfStock[WeekIndex],41)&gt;0)*(COUNTIFS(T_TTAFStock[RM_Code],$A102,T_TTAFStock[WeekIndex],41)&gt;0)&gt;0,SUMIFS(T_SelfStock[Self_Qty],T_SelfStock[RM_Code],$A102,T_SelfStock[WeekIndex],41)+SUMIFS(T_TTAFStock[TTAF_Qty],T_TTAFStock[RM_Code],$A102,T_TTAFStock[WeekIndex],41),AO102+'Grid_Incoming'!AP102-'Grid_Requirement'!AP102))</f>
        <v/>
      </c>
      <c r="AQ102">
        <f>IF(COUNTIFS(T_StockCount[RM_Code],$A102,T_StockCount[WeekIndex],42)&gt;0,SUMIFS(T_StockCount[CountedQty],T_StockCount[RM_Code],$A102,T_StockCount[WeekIndex],42),IF((COUNTIFS(T_SelfStock[RM_Code],$A102,T_SelfStock[WeekIndex],42)&gt;0)*(COUNTIFS(T_TTAFStock[RM_Code],$A102,T_TTAFStock[WeekIndex],42)&gt;0)&gt;0,SUMIFS(T_SelfStock[Self_Qty],T_SelfStock[RM_Code],$A102,T_SelfStock[WeekIndex],42)+SUMIFS(T_TTAFStock[TTAF_Qty],T_TTAFStock[RM_Code],$A102,T_TTAFStock[WeekIndex],42),AP102+'Grid_Incoming'!AQ102-'Grid_Requirement'!AQ102))</f>
        <v/>
      </c>
      <c r="AR102">
        <f>IF(COUNTIFS(T_StockCount[RM_Code],$A102,T_StockCount[WeekIndex],43)&gt;0,SUMIFS(T_StockCount[CountedQty],T_StockCount[RM_Code],$A102,T_StockCount[WeekIndex],43),IF((COUNTIFS(T_SelfStock[RM_Code],$A102,T_SelfStock[WeekIndex],43)&gt;0)*(COUNTIFS(T_TTAFStock[RM_Code],$A102,T_TTAFStock[WeekIndex],43)&gt;0)&gt;0,SUMIFS(T_SelfStock[Self_Qty],T_SelfStock[RM_Code],$A102,T_SelfStock[WeekIndex],43)+SUMIFS(T_TTAFStock[TTAF_Qty],T_TTAFStock[RM_Code],$A102,T_TTAFStock[WeekIndex],43),AQ102+'Grid_Incoming'!AR102-'Grid_Requirement'!AR102))</f>
        <v/>
      </c>
      <c r="AS102">
        <f>IF(COUNTIFS(T_StockCount[RM_Code],$A102,T_StockCount[WeekIndex],44)&gt;0,SUMIFS(T_StockCount[CountedQty],T_StockCount[RM_Code],$A102,T_StockCount[WeekIndex],44),IF((COUNTIFS(T_SelfStock[RM_Code],$A102,T_SelfStock[WeekIndex],44)&gt;0)*(COUNTIFS(T_TTAFStock[RM_Code],$A102,T_TTAFStock[WeekIndex],44)&gt;0)&gt;0,SUMIFS(T_SelfStock[Self_Qty],T_SelfStock[RM_Code],$A102,T_SelfStock[WeekIndex],44)+SUMIFS(T_TTAFStock[TTAF_Qty],T_TTAFStock[RM_Code],$A102,T_TTAFStock[WeekIndex],44),AR102+'Grid_Incoming'!AS102-'Grid_Requirement'!AS102))</f>
        <v/>
      </c>
      <c r="AT102">
        <f>IF(COUNTIFS(T_StockCount[RM_Code],$A102,T_StockCount[WeekIndex],45)&gt;0,SUMIFS(T_StockCount[CountedQty],T_StockCount[RM_Code],$A102,T_StockCount[WeekIndex],45),IF((COUNTIFS(T_SelfStock[RM_Code],$A102,T_SelfStock[WeekIndex],45)&gt;0)*(COUNTIFS(T_TTAFStock[RM_Code],$A102,T_TTAFStock[WeekIndex],45)&gt;0)&gt;0,SUMIFS(T_SelfStock[Self_Qty],T_SelfStock[RM_Code],$A102,T_SelfStock[WeekIndex],45)+SUMIFS(T_TTAFStock[TTAF_Qty],T_TTAFStock[RM_Code],$A102,T_TTAFStock[WeekIndex],45),AS102+'Grid_Incoming'!AT102-'Grid_Requirement'!AT102))</f>
        <v/>
      </c>
      <c r="AU102">
        <f>IF(COUNTIFS(T_StockCount[RM_Code],$A102,T_StockCount[WeekIndex],46)&gt;0,SUMIFS(T_StockCount[CountedQty],T_StockCount[RM_Code],$A102,T_StockCount[WeekIndex],46),IF((COUNTIFS(T_SelfStock[RM_Code],$A102,T_SelfStock[WeekIndex],46)&gt;0)*(COUNTIFS(T_TTAFStock[RM_Code],$A102,T_TTAFStock[WeekIndex],46)&gt;0)&gt;0,SUMIFS(T_SelfStock[Self_Qty],T_SelfStock[RM_Code],$A102,T_SelfStock[WeekIndex],46)+SUMIFS(T_TTAFStock[TTAF_Qty],T_TTAFStock[RM_Code],$A102,T_TTAFStock[WeekIndex],46),AT102+'Grid_Incoming'!AU102-'Grid_Requirement'!AU102))</f>
        <v/>
      </c>
      <c r="AV102">
        <f>IF(COUNTIFS(T_StockCount[RM_Code],$A102,T_StockCount[WeekIndex],47)&gt;0,SUMIFS(T_StockCount[CountedQty],T_StockCount[RM_Code],$A102,T_StockCount[WeekIndex],47),IF((COUNTIFS(T_SelfStock[RM_Code],$A102,T_SelfStock[WeekIndex],47)&gt;0)*(COUNTIFS(T_TTAFStock[RM_Code],$A102,T_TTAFStock[WeekIndex],47)&gt;0)&gt;0,SUMIFS(T_SelfStock[Self_Qty],T_SelfStock[RM_Code],$A102,T_SelfStock[WeekIndex],47)+SUMIFS(T_TTAFStock[TTAF_Qty],T_TTAFStock[RM_Code],$A102,T_TTAFStock[WeekIndex],47),AU102+'Grid_Incoming'!AV102-'Grid_Requirement'!AV102))</f>
        <v/>
      </c>
      <c r="AW102">
        <f>IF(COUNTIFS(T_StockCount[RM_Code],$A102,T_StockCount[WeekIndex],48)&gt;0,SUMIFS(T_StockCount[CountedQty],T_StockCount[RM_Code],$A102,T_StockCount[WeekIndex],48),IF((COUNTIFS(T_SelfStock[RM_Code],$A102,T_SelfStock[WeekIndex],48)&gt;0)*(COUNTIFS(T_TTAFStock[RM_Code],$A102,T_TTAFStock[WeekIndex],48)&gt;0)&gt;0,SUMIFS(T_SelfStock[Self_Qty],T_SelfStock[RM_Code],$A102,T_SelfStock[WeekIndex],48)+SUMIFS(T_TTAFStock[TTAF_Qty],T_TTAFStock[RM_Code],$A102,T_TTAFStock[WeekIndex],48),AV102+'Grid_Incoming'!AW102-'Grid_Requirement'!AW102))</f>
        <v/>
      </c>
      <c r="AX102">
        <f>IF(COUNTIFS(T_StockCount[RM_Code],$A102,T_StockCount[WeekIndex],49)&gt;0,SUMIFS(T_StockCount[CountedQty],T_StockCount[RM_Code],$A102,T_StockCount[WeekIndex],49),IF((COUNTIFS(T_SelfStock[RM_Code],$A102,T_SelfStock[WeekIndex],49)&gt;0)*(COUNTIFS(T_TTAFStock[RM_Code],$A102,T_TTAFStock[WeekIndex],49)&gt;0)&gt;0,SUMIFS(T_SelfStock[Self_Qty],T_SelfStock[RM_Code],$A102,T_SelfStock[WeekIndex],49)+SUMIFS(T_TTAFStock[TTAF_Qty],T_TTAFStock[RM_Code],$A102,T_TTAFStock[WeekIndex],49),AW102+'Grid_Incoming'!AX102-'Grid_Requirement'!AX102))</f>
        <v/>
      </c>
      <c r="AY102">
        <f>IF(COUNTIFS(T_StockCount[RM_Code],$A102,T_StockCount[WeekIndex],50)&gt;0,SUMIFS(T_StockCount[CountedQty],T_StockCount[RM_Code],$A102,T_StockCount[WeekIndex],50),IF((COUNTIFS(T_SelfStock[RM_Code],$A102,T_SelfStock[WeekIndex],50)&gt;0)*(COUNTIFS(T_TTAFStock[RM_Code],$A102,T_TTAFStock[WeekIndex],50)&gt;0)&gt;0,SUMIFS(T_SelfStock[Self_Qty],T_SelfStock[RM_Code],$A102,T_SelfStock[WeekIndex],50)+SUMIFS(T_TTAFStock[TTAF_Qty],T_TTAFStock[RM_Code],$A102,T_TTAFStock[WeekIndex],50),AX102+'Grid_Incoming'!AY102-'Grid_Requirement'!AY102))</f>
        <v/>
      </c>
      <c r="AZ102">
        <f>IF(COUNTIFS(T_StockCount[RM_Code],$A102,T_StockCount[WeekIndex],51)&gt;0,SUMIFS(T_StockCount[CountedQty],T_StockCount[RM_Code],$A102,T_StockCount[WeekIndex],51),IF((COUNTIFS(T_SelfStock[RM_Code],$A102,T_SelfStock[WeekIndex],51)&gt;0)*(COUNTIFS(T_TTAFStock[RM_Code],$A102,T_TTAFStock[WeekIndex],51)&gt;0)&gt;0,SUMIFS(T_SelfStock[Self_Qty],T_SelfStock[RM_Code],$A102,T_SelfStock[WeekIndex],51)+SUMIFS(T_TTAFStock[TTAF_Qty],T_TTAFStock[RM_Code],$A102,T_TTAFStock[WeekIndex],51),AY102+'Grid_Incoming'!AZ102-'Grid_Requirement'!AZ102))</f>
        <v/>
      </c>
      <c r="BA102">
        <f>IF(COUNTIFS(T_StockCount[RM_Code],$A102,T_StockCount[WeekIndex],52)&gt;0,SUMIFS(T_StockCount[CountedQty],T_StockCount[RM_Code],$A102,T_StockCount[WeekIndex],52),IF((COUNTIFS(T_SelfStock[RM_Code],$A102,T_SelfStock[WeekIndex],52)&gt;0)*(COUNTIFS(T_TTAFStock[RM_Code],$A102,T_TTAFStock[WeekIndex],52)&gt;0)&gt;0,SUMIFS(T_SelfStock[Self_Qty],T_SelfStock[RM_Code],$A102,T_SelfStock[WeekIndex],52)+SUMIFS(T_TTAFStock[TTAF_Qty],T_TTAFStock[RM_Code],$A102,T_TTAFStock[WeekIndex],52),AZ102+'Grid_Incoming'!BA102-'Grid_Requirement'!BA102))</f>
        <v/>
      </c>
      <c r="BB102">
        <f>IF(COUNTIFS(T_StockCount[RM_Code],$A102,T_StockCount[WeekIndex],53)&gt;0,SUMIFS(T_StockCount[CountedQty],T_StockCount[RM_Code],$A102,T_StockCount[WeekIndex],53),IF((COUNTIFS(T_SelfStock[RM_Code],$A102,T_SelfStock[WeekIndex],53)&gt;0)*(COUNTIFS(T_TTAFStock[RM_Code],$A102,T_TTAFStock[WeekIndex],53)&gt;0)&gt;0,SUMIFS(T_SelfStock[Self_Qty],T_SelfStock[RM_Code],$A102,T_SelfStock[WeekIndex],53)+SUMIFS(T_TTAFStock[TTAF_Qty],T_TTAFStock[RM_Code],$A102,T_TTAFStock[WeekIndex],53),BA102+'Grid_Incoming'!BB102-'Grid_Requirement'!BB102))</f>
        <v/>
      </c>
      <c r="BC102">
        <f>IF(COUNTIFS(T_StockCount[RM_Code],$A102,T_StockCount[WeekIndex],54)&gt;0,SUMIFS(T_StockCount[CountedQty],T_StockCount[RM_Code],$A102,T_StockCount[WeekIndex],54),IF((COUNTIFS(T_SelfStock[RM_Code],$A102,T_SelfStock[WeekIndex],54)&gt;0)*(COUNTIFS(T_TTAFStock[RM_Code],$A102,T_TTAFStock[WeekIndex],54)&gt;0)&gt;0,SUMIFS(T_SelfStock[Self_Qty],T_SelfStock[RM_Code],$A102,T_SelfStock[WeekIndex],54)+SUMIFS(T_TTAFStock[TTAF_Qty],T_TTAFStock[RM_Code],$A102,T_TTAFStock[WeekIndex],54),BB102+'Grid_Incoming'!BC102-'Grid_Requirement'!BC102))</f>
        <v/>
      </c>
      <c r="BD102">
        <f>IF(COUNTIFS(T_StockCount[RM_Code],$A102,T_StockCount[WeekIndex],55)&gt;0,SUMIFS(T_StockCount[CountedQty],T_StockCount[RM_Code],$A102,T_StockCount[WeekIndex],55),IF((COUNTIFS(T_SelfStock[RM_Code],$A102,T_SelfStock[WeekIndex],55)&gt;0)*(COUNTIFS(T_TTAFStock[RM_Code],$A102,T_TTAFStock[WeekIndex],55)&gt;0)&gt;0,SUMIFS(T_SelfStock[Self_Qty],T_SelfStock[RM_Code],$A102,T_SelfStock[WeekIndex],55)+SUMIFS(T_TTAFStock[TTAF_Qty],T_TTAFStock[RM_Code],$A102,T_TTAFStock[WeekIndex],55),BC102+'Grid_Incoming'!BD102-'Grid_Requirement'!BD102))</f>
        <v/>
      </c>
      <c r="BE102">
        <f>IF(COUNTIFS(T_StockCount[RM_Code],$A102,T_StockCount[WeekIndex],56)&gt;0,SUMIFS(T_StockCount[CountedQty],T_StockCount[RM_Code],$A102,T_StockCount[WeekIndex],56),IF((COUNTIFS(T_SelfStock[RM_Code],$A102,T_SelfStock[WeekIndex],56)&gt;0)*(COUNTIFS(T_TTAFStock[RM_Code],$A102,T_TTAFStock[WeekIndex],56)&gt;0)&gt;0,SUMIFS(T_SelfStock[Self_Qty],T_SelfStock[RM_Code],$A102,T_SelfStock[WeekIndex],56)+SUMIFS(T_TTAFStock[TTAF_Qty],T_TTAFStock[RM_Code],$A102,T_TTAFStock[WeekIndex],56),BD102+'Grid_Incoming'!BE102-'Grid_Requirement'!BE102))</f>
        <v/>
      </c>
      <c r="BF102">
        <f>IF(COUNTIFS(T_StockCount[RM_Code],$A102,T_StockCount[WeekIndex],57)&gt;0,SUMIFS(T_StockCount[CountedQty],T_StockCount[RM_Code],$A102,T_StockCount[WeekIndex],57),IF((COUNTIFS(T_SelfStock[RM_Code],$A102,T_SelfStock[WeekIndex],57)&gt;0)*(COUNTIFS(T_TTAFStock[RM_Code],$A102,T_TTAFStock[WeekIndex],57)&gt;0)&gt;0,SUMIFS(T_SelfStock[Self_Qty],T_SelfStock[RM_Code],$A102,T_SelfStock[WeekIndex],57)+SUMIFS(T_TTAFStock[TTAF_Qty],T_TTAFStock[RM_Code],$A102,T_TTAFStock[WeekIndex],57),BE102+'Grid_Incoming'!BF102-'Grid_Requirement'!BF102))</f>
        <v/>
      </c>
      <c r="BG102">
        <f>IF(COUNTIFS(T_StockCount[RM_Code],$A102,T_StockCount[WeekIndex],58)&gt;0,SUMIFS(T_StockCount[CountedQty],T_StockCount[RM_Code],$A102,T_StockCount[WeekIndex],58),IF((COUNTIFS(T_SelfStock[RM_Code],$A102,T_SelfStock[WeekIndex],58)&gt;0)*(COUNTIFS(T_TTAFStock[RM_Code],$A102,T_TTAFStock[WeekIndex],58)&gt;0)&gt;0,SUMIFS(T_SelfStock[Self_Qty],T_SelfStock[RM_Code],$A102,T_SelfStock[WeekIndex],58)+SUMIFS(T_TTAFStock[TTAF_Qty],T_TTAFStock[RM_Code],$A102,T_TTAFStock[WeekIndex],58),BF102+'Grid_Incoming'!BG102-'Grid_Requirement'!BG102))</f>
        <v/>
      </c>
      <c r="BH102">
        <f>IF(COUNTIFS(T_StockCount[RM_Code],$A102,T_StockCount[WeekIndex],59)&gt;0,SUMIFS(T_StockCount[CountedQty],T_StockCount[RM_Code],$A102,T_StockCount[WeekIndex],59),IF((COUNTIFS(T_SelfStock[RM_Code],$A102,T_SelfStock[WeekIndex],59)&gt;0)*(COUNTIFS(T_TTAFStock[RM_Code],$A102,T_TTAFStock[WeekIndex],59)&gt;0)&gt;0,SUMIFS(T_SelfStock[Self_Qty],T_SelfStock[RM_Code],$A102,T_SelfStock[WeekIndex],59)+SUMIFS(T_TTAFStock[TTAF_Qty],T_TTAFStock[RM_Code],$A102,T_TTAFStock[WeekIndex],59),BG102+'Grid_Incoming'!BH102-'Grid_Requirement'!BH102))</f>
        <v/>
      </c>
      <c r="BI102">
        <f>IF(COUNTIFS(T_StockCount[RM_Code],$A102,T_StockCount[WeekIndex],60)&gt;0,SUMIFS(T_StockCount[CountedQty],T_StockCount[RM_Code],$A102,T_StockCount[WeekIndex],60),IF((COUNTIFS(T_SelfStock[RM_Code],$A102,T_SelfStock[WeekIndex],60)&gt;0)*(COUNTIFS(T_TTAFStock[RM_Code],$A102,T_TTAFStock[WeekIndex],60)&gt;0)&gt;0,SUMIFS(T_SelfStock[Self_Qty],T_SelfStock[RM_Code],$A102,T_SelfStock[WeekIndex],60)+SUMIFS(T_TTAFStock[TTAF_Qty],T_TTAFStock[RM_Code],$A102,T_TTAFStock[WeekIndex],60),BH102+'Grid_Incoming'!BI102-'Grid_Requirement'!BI102))</f>
        <v/>
      </c>
      <c r="BJ102">
        <f>IF(COUNTIFS(T_StockCount[RM_Code],$A102,T_StockCount[WeekIndex],61)&gt;0,SUMIFS(T_StockCount[CountedQty],T_StockCount[RM_Code],$A102,T_StockCount[WeekIndex],61),IF((COUNTIFS(T_SelfStock[RM_Code],$A102,T_SelfStock[WeekIndex],61)&gt;0)*(COUNTIFS(T_TTAFStock[RM_Code],$A102,T_TTAFStock[WeekIndex],61)&gt;0)&gt;0,SUMIFS(T_SelfStock[Self_Qty],T_SelfStock[RM_Code],$A102,T_SelfStock[WeekIndex],61)+SUMIFS(T_TTAFStock[TTAF_Qty],T_TTAFStock[RM_Code],$A102,T_TTAFStock[WeekIndex],61),BI102+'Grid_Incoming'!BJ102-'Grid_Requirement'!BJ102))</f>
        <v/>
      </c>
      <c r="BK102">
        <f>IF(COUNTIFS(T_StockCount[RM_Code],$A102,T_StockCount[WeekIndex],62)&gt;0,SUMIFS(T_StockCount[CountedQty],T_StockCount[RM_Code],$A102,T_StockCount[WeekIndex],62),IF((COUNTIFS(T_SelfStock[RM_Code],$A102,T_SelfStock[WeekIndex],62)&gt;0)*(COUNTIFS(T_TTAFStock[RM_Code],$A102,T_TTAFStock[WeekIndex],62)&gt;0)&gt;0,SUMIFS(T_SelfStock[Self_Qty],T_SelfStock[RM_Code],$A102,T_SelfStock[WeekIndex],62)+SUMIFS(T_TTAFStock[TTAF_Qty],T_TTAFStock[RM_Code],$A102,T_TTAFStock[WeekIndex],62),BJ102+'Grid_Incoming'!BK102-'Grid_Requirement'!BK102))</f>
        <v/>
      </c>
      <c r="BL102">
        <f>IF(COUNTIFS(T_StockCount[RM_Code],$A102,T_StockCount[WeekIndex],63)&gt;0,SUMIFS(T_StockCount[CountedQty],T_StockCount[RM_Code],$A102,T_StockCount[WeekIndex],63),IF((COUNTIFS(T_SelfStock[RM_Code],$A102,T_SelfStock[WeekIndex],63)&gt;0)*(COUNTIFS(T_TTAFStock[RM_Code],$A102,T_TTAFStock[WeekIndex],63)&gt;0)&gt;0,SUMIFS(T_SelfStock[Self_Qty],T_SelfStock[RM_Code],$A102,T_SelfStock[WeekIndex],63)+SUMIFS(T_TTAFStock[TTAF_Qty],T_TTAFStock[RM_Code],$A102,T_TTAFStock[WeekIndex],63),BK102+'Grid_Incoming'!BL102-'Grid_Requirement'!BL102))</f>
        <v/>
      </c>
      <c r="BM102">
        <f>IF(COUNTIFS(T_StockCount[RM_Code],$A102,T_StockCount[WeekIndex],64)&gt;0,SUMIFS(T_StockCount[CountedQty],T_StockCount[RM_Code],$A102,T_StockCount[WeekIndex],64),IF((COUNTIFS(T_SelfStock[RM_Code],$A102,T_SelfStock[WeekIndex],64)&gt;0)*(COUNTIFS(T_TTAFStock[RM_Code],$A102,T_TTAFStock[WeekIndex],64)&gt;0)&gt;0,SUMIFS(T_SelfStock[Self_Qty],T_SelfStock[RM_Code],$A102,T_SelfStock[WeekIndex],64)+SUMIFS(T_TTAFStock[TTAF_Qty],T_TTAFStock[RM_Code],$A102,T_TTAFStock[WeekIndex],64),BL102+'Grid_Incoming'!BM102-'Grid_Requirement'!BM102))</f>
        <v/>
      </c>
      <c r="BN102">
        <f>IF(COUNTIFS(T_StockCount[RM_Code],$A102,T_StockCount[WeekIndex],65)&gt;0,SUMIFS(T_StockCount[CountedQty],T_StockCount[RM_Code],$A102,T_StockCount[WeekIndex],65),IF((COUNTIFS(T_SelfStock[RM_Code],$A102,T_SelfStock[WeekIndex],65)&gt;0)*(COUNTIFS(T_TTAFStock[RM_Code],$A102,T_TTAFStock[WeekIndex],65)&gt;0)&gt;0,SUMIFS(T_SelfStock[Self_Qty],T_SelfStock[RM_Code],$A102,T_SelfStock[WeekIndex],65)+SUMIFS(T_TTAFStock[TTAF_Qty],T_TTAFStock[RM_Code],$A102,T_TTAFStock[WeekIndex],65),BM102+'Grid_Incoming'!BN102-'Grid_Requirement'!BN102))</f>
        <v/>
      </c>
      <c r="BO102">
        <f>IF(COUNTIFS(T_StockCount[RM_Code],$A102,T_StockCount[WeekIndex],66)&gt;0,SUMIFS(T_StockCount[CountedQty],T_StockCount[RM_Code],$A102,T_StockCount[WeekIndex],66),IF((COUNTIFS(T_SelfStock[RM_Code],$A102,T_SelfStock[WeekIndex],66)&gt;0)*(COUNTIFS(T_TTAFStock[RM_Code],$A102,T_TTAFStock[WeekIndex],66)&gt;0)&gt;0,SUMIFS(T_SelfStock[Self_Qty],T_SelfStock[RM_Code],$A102,T_SelfStock[WeekIndex],66)+SUMIFS(T_TTAFStock[TTAF_Qty],T_TTAFStock[RM_Code],$A102,T_TTAFStock[WeekIndex],66),BN102+'Grid_Incoming'!BO102-'Grid_Requirement'!BO102))</f>
        <v/>
      </c>
      <c r="BP102">
        <f>IF(COUNTIFS(T_StockCount[RM_Code],$A102,T_StockCount[WeekIndex],67)&gt;0,SUMIFS(T_StockCount[CountedQty],T_StockCount[RM_Code],$A102,T_StockCount[WeekIndex],67),IF((COUNTIFS(T_SelfStock[RM_Code],$A102,T_SelfStock[WeekIndex],67)&gt;0)*(COUNTIFS(T_TTAFStock[RM_Code],$A102,T_TTAFStock[WeekIndex],67)&gt;0)&gt;0,SUMIFS(T_SelfStock[Self_Qty],T_SelfStock[RM_Code],$A102,T_SelfStock[WeekIndex],67)+SUMIFS(T_TTAFStock[TTAF_Qty],T_TTAFStock[RM_Code],$A102,T_TTAFStock[WeekIndex],67),BO102+'Grid_Incoming'!BP102-'Grid_Requirement'!BP102))</f>
        <v/>
      </c>
      <c r="BQ102">
        <f>IF(COUNTIFS(T_StockCount[RM_Code],$A102,T_StockCount[WeekIndex],68)&gt;0,SUMIFS(T_StockCount[CountedQty],T_StockCount[RM_Code],$A102,T_StockCount[WeekIndex],68),IF((COUNTIFS(T_SelfStock[RM_Code],$A102,T_SelfStock[WeekIndex],68)&gt;0)*(COUNTIFS(T_TTAFStock[RM_Code],$A102,T_TTAFStock[WeekIndex],68)&gt;0)&gt;0,SUMIFS(T_SelfStock[Self_Qty],T_SelfStock[RM_Code],$A102,T_SelfStock[WeekIndex],68)+SUMIFS(T_TTAFStock[TTAF_Qty],T_TTAFStock[RM_Code],$A102,T_TTAFStock[WeekIndex],68),BP102+'Grid_Incoming'!BQ102-'Grid_Requirement'!BQ102))</f>
        <v/>
      </c>
      <c r="BR102">
        <f>IF(COUNTIFS(T_StockCount[RM_Code],$A102,T_StockCount[WeekIndex],69)&gt;0,SUMIFS(T_StockCount[CountedQty],T_StockCount[RM_Code],$A102,T_StockCount[WeekIndex],69),IF((COUNTIFS(T_SelfStock[RM_Code],$A102,T_SelfStock[WeekIndex],69)&gt;0)*(COUNTIFS(T_TTAFStock[RM_Code],$A102,T_TTAFStock[WeekIndex],69)&gt;0)&gt;0,SUMIFS(T_SelfStock[Self_Qty],T_SelfStock[RM_Code],$A102,T_SelfStock[WeekIndex],69)+SUMIFS(T_TTAFStock[TTAF_Qty],T_TTAFStock[RM_Code],$A102,T_TTAFStock[WeekIndex],69),BQ102+'Grid_Incoming'!BR102-'Grid_Requirement'!BR102))</f>
        <v/>
      </c>
      <c r="BS102">
        <f>IF(COUNTIFS(T_StockCount[RM_Code],$A102,T_StockCount[WeekIndex],70)&gt;0,SUMIFS(T_StockCount[CountedQty],T_StockCount[RM_Code],$A102,T_StockCount[WeekIndex],70),IF((COUNTIFS(T_SelfStock[RM_Code],$A102,T_SelfStock[WeekIndex],70)&gt;0)*(COUNTIFS(T_TTAFStock[RM_Code],$A102,T_TTAFStock[WeekIndex],70)&gt;0)&gt;0,SUMIFS(T_SelfStock[Self_Qty],T_SelfStock[RM_Code],$A102,T_SelfStock[WeekIndex],70)+SUMIFS(T_TTAFStock[TTAF_Qty],T_TTAFStock[RM_Code],$A102,T_TTAFStock[WeekIndex],70),BR102+'Grid_Incoming'!BS102-'Grid_Requirement'!BS102))</f>
        <v/>
      </c>
      <c r="BT102">
        <f>IF(COUNTIFS(T_StockCount[RM_Code],$A102,T_StockCount[WeekIndex],71)&gt;0,SUMIFS(T_StockCount[CountedQty],T_StockCount[RM_Code],$A102,T_StockCount[WeekIndex],71),IF((COUNTIFS(T_SelfStock[RM_Code],$A102,T_SelfStock[WeekIndex],71)&gt;0)*(COUNTIFS(T_TTAFStock[RM_Code],$A102,T_TTAFStock[WeekIndex],71)&gt;0)&gt;0,SUMIFS(T_SelfStock[Self_Qty],T_SelfStock[RM_Code],$A102,T_SelfStock[WeekIndex],71)+SUMIFS(T_TTAFStock[TTAF_Qty],T_TTAFStock[RM_Code],$A102,T_TTAFStock[WeekIndex],71),BS102+'Grid_Incoming'!BT102-'Grid_Requirement'!BT102))</f>
        <v/>
      </c>
      <c r="BU102">
        <f>IF(COUNTIFS(T_StockCount[RM_Code],$A102,T_StockCount[WeekIndex],72)&gt;0,SUMIFS(T_StockCount[CountedQty],T_StockCount[RM_Code],$A102,T_StockCount[WeekIndex],72),IF((COUNTIFS(T_SelfStock[RM_Code],$A102,T_SelfStock[WeekIndex],72)&gt;0)*(COUNTIFS(T_TTAFStock[RM_Code],$A102,T_TTAFStock[WeekIndex],72)&gt;0)&gt;0,SUMIFS(T_SelfStock[Self_Qty],T_SelfStock[RM_Code],$A102,T_SelfStock[WeekIndex],72)+SUMIFS(T_TTAFStock[TTAF_Qty],T_TTAFStock[RM_Code],$A102,T_TTAFStock[WeekIndex],72),BT102+'Grid_Incoming'!BU102-'Grid_Requirement'!BU102))</f>
        <v/>
      </c>
      <c r="BV102">
        <f>IF(COUNTIFS(T_StockCount[RM_Code],$A102,T_StockCount[WeekIndex],73)&gt;0,SUMIFS(T_StockCount[CountedQty],T_StockCount[RM_Code],$A102,T_StockCount[WeekIndex],73),IF((COUNTIFS(T_SelfStock[RM_Code],$A102,T_SelfStock[WeekIndex],73)&gt;0)*(COUNTIFS(T_TTAFStock[RM_Code],$A102,T_TTAFStock[WeekIndex],73)&gt;0)&gt;0,SUMIFS(T_SelfStock[Self_Qty],T_SelfStock[RM_Code],$A102,T_SelfStock[WeekIndex],73)+SUMIFS(T_TTAFStock[TTAF_Qty],T_TTAFStock[RM_Code],$A102,T_TTAFStock[WeekIndex],73),BU102+'Grid_Incoming'!BV102-'Grid_Requirement'!BV102))</f>
        <v/>
      </c>
      <c r="BW102">
        <f>IF(COUNTIFS(T_StockCount[RM_Code],$A102,T_StockCount[WeekIndex],74)&gt;0,SUMIFS(T_StockCount[CountedQty],T_StockCount[RM_Code],$A102,T_StockCount[WeekIndex],74),IF((COUNTIFS(T_SelfStock[RM_Code],$A102,T_SelfStock[WeekIndex],74)&gt;0)*(COUNTIFS(T_TTAFStock[RM_Code],$A102,T_TTAFStock[WeekIndex],74)&gt;0)&gt;0,SUMIFS(T_SelfStock[Self_Qty],T_SelfStock[RM_Code],$A102,T_SelfStock[WeekIndex],74)+SUMIFS(T_TTAFStock[TTAF_Qty],T_TTAFStock[RM_Code],$A102,T_TTAFStock[WeekIndex],74),BV102+'Grid_Incoming'!BW102-'Grid_Requirement'!BW102))</f>
        <v/>
      </c>
      <c r="BX102">
        <f>IF(COUNTIFS(T_StockCount[RM_Code],$A102,T_StockCount[WeekIndex],75)&gt;0,SUMIFS(T_StockCount[CountedQty],T_StockCount[RM_Code],$A102,T_StockCount[WeekIndex],75),IF((COUNTIFS(T_SelfStock[RM_Code],$A102,T_SelfStock[WeekIndex],75)&gt;0)*(COUNTIFS(T_TTAFStock[RM_Code],$A102,T_TTAFStock[WeekIndex],75)&gt;0)&gt;0,SUMIFS(T_SelfStock[Self_Qty],T_SelfStock[RM_Code],$A102,T_SelfStock[WeekIndex],75)+SUMIFS(T_TTAFStock[TTAF_Qty],T_TTAFStock[RM_Code],$A102,T_TTAFStock[WeekIndex],75),BW102+'Grid_Incoming'!BX102-'Grid_Requirement'!BX102))</f>
        <v/>
      </c>
      <c r="BY102">
        <f>IF(COUNTIFS(T_StockCount[RM_Code],$A102,T_StockCount[WeekIndex],76)&gt;0,SUMIFS(T_StockCount[CountedQty],T_StockCount[RM_Code],$A102,T_StockCount[WeekIndex],76),IF((COUNTIFS(T_SelfStock[RM_Code],$A102,T_SelfStock[WeekIndex],76)&gt;0)*(COUNTIFS(T_TTAFStock[RM_Code],$A102,T_TTAFStock[WeekIndex],76)&gt;0)&gt;0,SUMIFS(T_SelfStock[Self_Qty],T_SelfStock[RM_Code],$A102,T_SelfStock[WeekIndex],76)+SUMIFS(T_TTAFStock[TTAF_Qty],T_TTAFStock[RM_Code],$A102,T_TTAFStock[WeekIndex],76),BX102+'Grid_Incoming'!BY102-'Grid_Requirement'!BY102))</f>
        <v/>
      </c>
      <c r="BZ102">
        <f>IF(COUNTIFS(T_StockCount[RM_Code],$A102,T_StockCount[WeekIndex],77)&gt;0,SUMIFS(T_StockCount[CountedQty],T_StockCount[RM_Code],$A102,T_StockCount[WeekIndex],77),IF((COUNTIFS(T_SelfStock[RM_Code],$A102,T_SelfStock[WeekIndex],77)&gt;0)*(COUNTIFS(T_TTAFStock[RM_Code],$A102,T_TTAFStock[WeekIndex],77)&gt;0)&gt;0,SUMIFS(T_SelfStock[Self_Qty],T_SelfStock[RM_Code],$A102,T_SelfStock[WeekIndex],77)+SUMIFS(T_TTAFStock[TTAF_Qty],T_TTAFStock[RM_Code],$A102,T_TTAFStock[WeekIndex],77),BY102+'Grid_Incoming'!BZ102-'Grid_Requirement'!BZ102))</f>
        <v/>
      </c>
      <c r="CA102">
        <f>IF(COUNTIFS(T_StockCount[RM_Code],$A102,T_StockCount[WeekIndex],78)&gt;0,SUMIFS(T_StockCount[CountedQty],T_StockCount[RM_Code],$A102,T_StockCount[WeekIndex],78),IF((COUNTIFS(T_SelfStock[RM_Code],$A102,T_SelfStock[WeekIndex],78)&gt;0)*(COUNTIFS(T_TTAFStock[RM_Code],$A102,T_TTAFStock[WeekIndex],78)&gt;0)&gt;0,SUMIFS(T_SelfStock[Self_Qty],T_SelfStock[RM_Code],$A102,T_SelfStock[WeekIndex],78)+SUMIFS(T_TTAFStock[TTAF_Qty],T_TTAFStock[RM_Code],$A102,T_TTAFStock[WeekIndex],78),BZ102+'Grid_Incoming'!CA102-'Grid_Requirement'!CA102))</f>
        <v/>
      </c>
      <c r="CB102">
        <f>IF(COUNTIFS(T_StockCount[RM_Code],$A102,T_StockCount[WeekIndex],79)&gt;0,SUMIFS(T_StockCount[CountedQty],T_StockCount[RM_Code],$A102,T_StockCount[WeekIndex],79),IF((COUNTIFS(T_SelfStock[RM_Code],$A102,T_SelfStock[WeekIndex],79)&gt;0)*(COUNTIFS(T_TTAFStock[RM_Code],$A102,T_TTAFStock[WeekIndex],79)&gt;0)&gt;0,SUMIFS(T_SelfStock[Self_Qty],T_SelfStock[RM_Code],$A102,T_SelfStock[WeekIndex],79)+SUMIFS(T_TTAFStock[TTAF_Qty],T_TTAFStock[RM_Code],$A102,T_TTAFStock[WeekIndex],79),CA102+'Grid_Incoming'!CB102-'Grid_Requirement'!CB102))</f>
        <v/>
      </c>
      <c r="CC102">
        <f>IF(COUNTIFS(T_StockCount[RM_Code],$A102,T_StockCount[WeekIndex],80)&gt;0,SUMIFS(T_StockCount[CountedQty],T_StockCount[RM_Code],$A102,T_StockCount[WeekIndex],80),IF((COUNTIFS(T_SelfStock[RM_Code],$A102,T_SelfStock[WeekIndex],80)&gt;0)*(COUNTIFS(T_TTAFStock[RM_Code],$A102,T_TTAFStock[WeekIndex],80)&gt;0)&gt;0,SUMIFS(T_SelfStock[Self_Qty],T_SelfStock[RM_Code],$A102,T_SelfStock[WeekIndex],80)+SUMIFS(T_TTAFStock[TTAF_Qty],T_TTAFStock[RM_Code],$A102,T_TTAFStock[WeekIndex],80),CB102+'Grid_Incoming'!CC102-'Grid_Requirement'!CC102))</f>
        <v/>
      </c>
      <c r="CD102">
        <f>IF(COUNTIFS(T_StockCount[RM_Code],$A102,T_StockCount[WeekIndex],81)&gt;0,SUMIFS(T_StockCount[CountedQty],T_StockCount[RM_Code],$A102,T_StockCount[WeekIndex],81),IF((COUNTIFS(T_SelfStock[RM_Code],$A102,T_SelfStock[WeekIndex],81)&gt;0)*(COUNTIFS(T_TTAFStock[RM_Code],$A102,T_TTAFStock[WeekIndex],81)&gt;0)&gt;0,SUMIFS(T_SelfStock[Self_Qty],T_SelfStock[RM_Code],$A102,T_SelfStock[WeekIndex],81)+SUMIFS(T_TTAFStock[TTAF_Qty],T_TTAFStock[RM_Code],$A102,T_TTAFStock[WeekIndex],81),CC102+'Grid_Incoming'!CD102-'Grid_Requirement'!CD102))</f>
        <v/>
      </c>
      <c r="CE102">
        <f>IF(COUNTIFS(T_StockCount[RM_Code],$A102,T_StockCount[WeekIndex],82)&gt;0,SUMIFS(T_StockCount[CountedQty],T_StockCount[RM_Code],$A102,T_StockCount[WeekIndex],82),IF((COUNTIFS(T_SelfStock[RM_Code],$A102,T_SelfStock[WeekIndex],82)&gt;0)*(COUNTIFS(T_TTAFStock[RM_Code],$A102,T_TTAFStock[WeekIndex],82)&gt;0)&gt;0,SUMIFS(T_SelfStock[Self_Qty],T_SelfStock[RM_Code],$A102,T_SelfStock[WeekIndex],82)+SUMIFS(T_TTAFStock[TTAF_Qty],T_TTAFStock[RM_Code],$A102,T_TTAFStock[WeekIndex],82),CD102+'Grid_Incoming'!CE102-'Grid_Requirement'!CE102))</f>
        <v/>
      </c>
      <c r="CF102">
        <f>IF(COUNTIFS(T_StockCount[RM_Code],$A102,T_StockCount[WeekIndex],83)&gt;0,SUMIFS(T_StockCount[CountedQty],T_StockCount[RM_Code],$A102,T_StockCount[WeekIndex],83),IF((COUNTIFS(T_SelfStock[RM_Code],$A102,T_SelfStock[WeekIndex],83)&gt;0)*(COUNTIFS(T_TTAFStock[RM_Code],$A102,T_TTAFStock[WeekIndex],83)&gt;0)&gt;0,SUMIFS(T_SelfStock[Self_Qty],T_SelfStock[RM_Code],$A102,T_SelfStock[WeekIndex],83)+SUMIFS(T_TTAFStock[TTAF_Qty],T_TTAFStock[RM_Code],$A102,T_TTAFStock[WeekIndex],83),CE102+'Grid_Incoming'!CF102-'Grid_Requirement'!CF102))</f>
        <v/>
      </c>
      <c r="CG102">
        <f>IF(COUNTIFS(T_StockCount[RM_Code],$A102,T_StockCount[WeekIndex],84)&gt;0,SUMIFS(T_StockCount[CountedQty],T_StockCount[RM_Code],$A102,T_StockCount[WeekIndex],84),IF((COUNTIFS(T_SelfStock[RM_Code],$A102,T_SelfStock[WeekIndex],84)&gt;0)*(COUNTIFS(T_TTAFStock[RM_Code],$A102,T_TTAFStock[WeekIndex],84)&gt;0)&gt;0,SUMIFS(T_SelfStock[Self_Qty],T_SelfStock[RM_Code],$A102,T_SelfStock[WeekIndex],84)+SUMIFS(T_TTAFStock[TTAF_Qty],T_TTAFStock[RM_Code],$A102,T_TTAFStock[WeekIndex],84),CF102+'Grid_Incoming'!CG102-'Grid_Requirement'!CG102))</f>
        <v/>
      </c>
      <c r="CH102">
        <f>IF(COUNTIFS(T_StockCount[RM_Code],$A102,T_StockCount[WeekIndex],85)&gt;0,SUMIFS(T_StockCount[CountedQty],T_StockCount[RM_Code],$A102,T_StockCount[WeekIndex],85),IF((COUNTIFS(T_SelfStock[RM_Code],$A102,T_SelfStock[WeekIndex],85)&gt;0)*(COUNTIFS(T_TTAFStock[RM_Code],$A102,T_TTAFStock[WeekIndex],85)&gt;0)&gt;0,SUMIFS(T_SelfStock[Self_Qty],T_SelfStock[RM_Code],$A102,T_SelfStock[WeekIndex],85)+SUMIFS(T_TTAFStock[TTAF_Qty],T_TTAFStock[RM_Code],$A102,T_TTAFStock[WeekIndex],85),CG102+'Grid_Incoming'!CH102-'Grid_Requirement'!CH102))</f>
        <v/>
      </c>
      <c r="CI102">
        <f>IF(COUNTIFS(T_StockCount[RM_Code],$A102,T_StockCount[WeekIndex],86)&gt;0,SUMIFS(T_StockCount[CountedQty],T_StockCount[RM_Code],$A102,T_StockCount[WeekIndex],86),IF((COUNTIFS(T_SelfStock[RM_Code],$A102,T_SelfStock[WeekIndex],86)&gt;0)*(COUNTIFS(T_TTAFStock[RM_Code],$A102,T_TTAFStock[WeekIndex],86)&gt;0)&gt;0,SUMIFS(T_SelfStock[Self_Qty],T_SelfStock[RM_Code],$A102,T_SelfStock[WeekIndex],86)+SUMIFS(T_TTAFStock[TTAF_Qty],T_TTAFStock[RM_Code],$A102,T_TTAFStock[WeekIndex],86),CH102+'Grid_Incoming'!CI102-'Grid_Requirement'!CI102))</f>
        <v/>
      </c>
      <c r="CJ102">
        <f>IF(COUNTIFS(T_StockCount[RM_Code],$A102,T_StockCount[WeekIndex],87)&gt;0,SUMIFS(T_StockCount[CountedQty],T_StockCount[RM_Code],$A102,T_StockCount[WeekIndex],87),IF((COUNTIFS(T_SelfStock[RM_Code],$A102,T_SelfStock[WeekIndex],87)&gt;0)*(COUNTIFS(T_TTAFStock[RM_Code],$A102,T_TTAFStock[WeekIndex],87)&gt;0)&gt;0,SUMIFS(T_SelfStock[Self_Qty],T_SelfStock[RM_Code],$A102,T_SelfStock[WeekIndex],87)+SUMIFS(T_TTAFStock[TTAF_Qty],T_TTAFStock[RM_Code],$A102,T_TTAFStock[WeekIndex],87),CI102+'Grid_Incoming'!CJ102-'Grid_Requirement'!CJ102))</f>
        <v/>
      </c>
      <c r="CK102">
        <f>IF(COUNTIFS(T_StockCount[RM_Code],$A102,T_StockCount[WeekIndex],88)&gt;0,SUMIFS(T_StockCount[CountedQty],T_StockCount[RM_Code],$A102,T_StockCount[WeekIndex],88),IF((COUNTIFS(T_SelfStock[RM_Code],$A102,T_SelfStock[WeekIndex],88)&gt;0)*(COUNTIFS(T_TTAFStock[RM_Code],$A102,T_TTAFStock[WeekIndex],88)&gt;0)&gt;0,SUMIFS(T_SelfStock[Self_Qty],T_SelfStock[RM_Code],$A102,T_SelfStock[WeekIndex],88)+SUMIFS(T_TTAFStock[TTAF_Qty],T_TTAFStock[RM_Code],$A102,T_TTAFStock[WeekIndex],88),CJ102+'Grid_Incoming'!CK102-'Grid_Requirement'!CK102))</f>
        <v/>
      </c>
      <c r="CL102">
        <f>IF(COUNTIFS(T_StockCount[RM_Code],$A102,T_StockCount[WeekIndex],89)&gt;0,SUMIFS(T_StockCount[CountedQty],T_StockCount[RM_Code],$A102,T_StockCount[WeekIndex],89),IF((COUNTIFS(T_SelfStock[RM_Code],$A102,T_SelfStock[WeekIndex],89)&gt;0)*(COUNTIFS(T_TTAFStock[RM_Code],$A102,T_TTAFStock[WeekIndex],89)&gt;0)&gt;0,SUMIFS(T_SelfStock[Self_Qty],T_SelfStock[RM_Code],$A102,T_SelfStock[WeekIndex],89)+SUMIFS(T_TTAFStock[TTAF_Qty],T_TTAFStock[RM_Code],$A102,T_TTAFStock[WeekIndex],89),CK102+'Grid_Incoming'!CL102-'Grid_Requirement'!CL102))</f>
        <v/>
      </c>
      <c r="CM102">
        <f>IF(COUNTIFS(T_StockCount[RM_Code],$A102,T_StockCount[WeekIndex],90)&gt;0,SUMIFS(T_StockCount[CountedQty],T_StockCount[RM_Code],$A102,T_StockCount[WeekIndex],90),IF((COUNTIFS(T_SelfStock[RM_Code],$A102,T_SelfStock[WeekIndex],90)&gt;0)*(COUNTIFS(T_TTAFStock[RM_Code],$A102,T_TTAFStock[WeekIndex],90)&gt;0)&gt;0,SUMIFS(T_SelfStock[Self_Qty],T_SelfStock[RM_Code],$A102,T_SelfStock[WeekIndex],90)+SUMIFS(T_TTAFStock[TTAF_Qty],T_TTAFStock[RM_Code],$A102,T_TTAFStock[WeekIndex],90),CL102+'Grid_Incoming'!CM102-'Grid_Requirement'!CM102))</f>
        <v/>
      </c>
      <c r="CN102">
        <f>IF(COUNTIFS(T_StockCount[RM_Code],$A102,T_StockCount[WeekIndex],91)&gt;0,SUMIFS(T_StockCount[CountedQty],T_StockCount[RM_Code],$A102,T_StockCount[WeekIndex],91),IF((COUNTIFS(T_SelfStock[RM_Code],$A102,T_SelfStock[WeekIndex],91)&gt;0)*(COUNTIFS(T_TTAFStock[RM_Code],$A102,T_TTAFStock[WeekIndex],91)&gt;0)&gt;0,SUMIFS(T_SelfStock[Self_Qty],T_SelfStock[RM_Code],$A102,T_SelfStock[WeekIndex],91)+SUMIFS(T_TTAFStock[TTAF_Qty],T_TTAFStock[RM_Code],$A102,T_TTAFStock[WeekIndex],91),CM102+'Grid_Incoming'!CN102-'Grid_Requirement'!CN102))</f>
        <v/>
      </c>
      <c r="CO102">
        <f>IF(COUNTIFS(T_StockCount[RM_Code],$A102,T_StockCount[WeekIndex],92)&gt;0,SUMIFS(T_StockCount[CountedQty],T_StockCount[RM_Code],$A102,T_StockCount[WeekIndex],92),IF((COUNTIFS(T_SelfStock[RM_Code],$A102,T_SelfStock[WeekIndex],92)&gt;0)*(COUNTIFS(T_TTAFStock[RM_Code],$A102,T_TTAFStock[WeekIndex],92)&gt;0)&gt;0,SUMIFS(T_SelfStock[Self_Qty],T_SelfStock[RM_Code],$A102,T_SelfStock[WeekIndex],92)+SUMIFS(T_TTAFStock[TTAF_Qty],T_TTAFStock[RM_Code],$A102,T_TTAFStock[WeekIndex],92),CN102+'Grid_Incoming'!CO102-'Grid_Requirement'!CO102))</f>
        <v/>
      </c>
      <c r="CP102">
        <f>IF(COUNTIFS(T_StockCount[RM_Code],$A102,T_StockCount[WeekIndex],93)&gt;0,SUMIFS(T_StockCount[CountedQty],T_StockCount[RM_Code],$A102,T_StockCount[WeekIndex],93),IF((COUNTIFS(T_SelfStock[RM_Code],$A102,T_SelfStock[WeekIndex],93)&gt;0)*(COUNTIFS(T_TTAFStock[RM_Code],$A102,T_TTAFStock[WeekIndex],93)&gt;0)&gt;0,SUMIFS(T_SelfStock[Self_Qty],T_SelfStock[RM_Code],$A102,T_SelfStock[WeekIndex],93)+SUMIFS(T_TTAFStock[TTAF_Qty],T_TTAFStock[RM_Code],$A102,T_TTAFStock[WeekIndex],93),CO102+'Grid_Incoming'!CP102-'Grid_Requirement'!CP102))</f>
        <v/>
      </c>
      <c r="CQ102">
        <f>IF(COUNTIFS(T_StockCount[RM_Code],$A102,T_StockCount[WeekIndex],94)&gt;0,SUMIFS(T_StockCount[CountedQty],T_StockCount[RM_Code],$A102,T_StockCount[WeekIndex],94),IF((COUNTIFS(T_SelfStock[RM_Code],$A102,T_SelfStock[WeekIndex],94)&gt;0)*(COUNTIFS(T_TTAFStock[RM_Code],$A102,T_TTAFStock[WeekIndex],94)&gt;0)&gt;0,SUMIFS(T_SelfStock[Self_Qty],T_SelfStock[RM_Code],$A102,T_SelfStock[WeekIndex],94)+SUMIFS(T_TTAFStock[TTAF_Qty],T_TTAFStock[RM_Code],$A102,T_TTAFStock[WeekIndex],94),CP102+'Grid_Incoming'!CQ102-'Grid_Requirement'!CQ102))</f>
        <v/>
      </c>
      <c r="CR102">
        <f>IF(COUNTIFS(T_StockCount[RM_Code],$A102,T_StockCount[WeekIndex],95)&gt;0,SUMIFS(T_StockCount[CountedQty],T_StockCount[RM_Code],$A102,T_StockCount[WeekIndex],95),IF((COUNTIFS(T_SelfStock[RM_Code],$A102,T_SelfStock[WeekIndex],95)&gt;0)*(COUNTIFS(T_TTAFStock[RM_Code],$A102,T_TTAFStock[WeekIndex],95)&gt;0)&gt;0,SUMIFS(T_SelfStock[Self_Qty],T_SelfStock[RM_Code],$A102,T_SelfStock[WeekIndex],95)+SUMIFS(T_TTAFStock[TTAF_Qty],T_TTAFStock[RM_Code],$A102,T_TTAFStock[WeekIndex],95),CQ102+'Grid_Incoming'!CR102-'Grid_Requirement'!CR102))</f>
        <v/>
      </c>
      <c r="CS102">
        <f>IF(COUNTIFS(T_StockCount[RM_Code],$A102,T_StockCount[WeekIndex],96)&gt;0,SUMIFS(T_StockCount[CountedQty],T_StockCount[RM_Code],$A102,T_StockCount[WeekIndex],96),IF((COUNTIFS(T_SelfStock[RM_Code],$A102,T_SelfStock[WeekIndex],96)&gt;0)*(COUNTIFS(T_TTAFStock[RM_Code],$A102,T_TTAFStock[WeekIndex],96)&gt;0)&gt;0,SUMIFS(T_SelfStock[Self_Qty],T_SelfStock[RM_Code],$A102,T_SelfStock[WeekIndex],96)+SUMIFS(T_TTAFStock[TTAF_Qty],T_TTAFStock[RM_Code],$A102,T_TTAFStock[WeekIndex],96),CR102+'Grid_Incoming'!CS102-'Grid_Requirement'!CS102))</f>
        <v/>
      </c>
      <c r="CT102">
        <f>IF(COUNTIFS(T_StockCount[RM_Code],$A102,T_StockCount[WeekIndex],97)&gt;0,SUMIFS(T_StockCount[CountedQty],T_StockCount[RM_Code],$A102,T_StockCount[WeekIndex],97),IF((COUNTIFS(T_SelfStock[RM_Code],$A102,T_SelfStock[WeekIndex],97)&gt;0)*(COUNTIFS(T_TTAFStock[RM_Code],$A102,T_TTAFStock[WeekIndex],97)&gt;0)&gt;0,SUMIFS(T_SelfStock[Self_Qty],T_SelfStock[RM_Code],$A102,T_SelfStock[WeekIndex],97)+SUMIFS(T_TTAFStock[TTAF_Qty],T_TTAFStock[RM_Code],$A102,T_TTAFStock[WeekIndex],97),CS102+'Grid_Incoming'!CT102-'Grid_Requirement'!CT102))</f>
        <v/>
      </c>
      <c r="CU102">
        <f>IF(COUNTIFS(T_StockCount[RM_Code],$A102,T_StockCount[WeekIndex],98)&gt;0,SUMIFS(T_StockCount[CountedQty],T_StockCount[RM_Code],$A102,T_StockCount[WeekIndex],98),IF((COUNTIFS(T_SelfStock[RM_Code],$A102,T_SelfStock[WeekIndex],98)&gt;0)*(COUNTIFS(T_TTAFStock[RM_Code],$A102,T_TTAFStock[WeekIndex],98)&gt;0)&gt;0,SUMIFS(T_SelfStock[Self_Qty],T_SelfStock[RM_Code],$A102,T_SelfStock[WeekIndex],98)+SUMIFS(T_TTAFStock[TTAF_Qty],T_TTAFStock[RM_Code],$A102,T_TTAFStock[WeekIndex],98),CT102+'Grid_Incoming'!CU102-'Grid_Requirement'!CU102))</f>
        <v/>
      </c>
      <c r="CV102">
        <f>IF(COUNTIFS(T_StockCount[RM_Code],$A102,T_StockCount[WeekIndex],99)&gt;0,SUMIFS(T_StockCount[CountedQty],T_StockCount[RM_Code],$A102,T_StockCount[WeekIndex],99),IF((COUNTIFS(T_SelfStock[RM_Code],$A102,T_SelfStock[WeekIndex],99)&gt;0)*(COUNTIFS(T_TTAFStock[RM_Code],$A102,T_TTAFStock[WeekIndex],99)&gt;0)&gt;0,SUMIFS(T_SelfStock[Self_Qty],T_SelfStock[RM_Code],$A102,T_SelfStock[WeekIndex],99)+SUMIFS(T_TTAFStock[TTAF_Qty],T_TTAFStock[RM_Code],$A102,T_TTAFStock[WeekIndex],99),CU102+'Grid_Incoming'!CV102-'Grid_Requirement'!CV102))</f>
        <v/>
      </c>
      <c r="CW102">
        <f>IF(COUNTIFS(T_StockCount[RM_Code],$A102,T_StockCount[WeekIndex],100)&gt;0,SUMIFS(T_StockCount[CountedQty],T_StockCount[RM_Code],$A102,T_StockCount[WeekIndex],100),IF((COUNTIFS(T_SelfStock[RM_Code],$A102,T_SelfStock[WeekIndex],100)&gt;0)*(COUNTIFS(T_TTAFStock[RM_Code],$A102,T_TTAFStock[WeekIndex],100)&gt;0)&gt;0,SUMIFS(T_SelfStock[Self_Qty],T_SelfStock[RM_Code],$A102,T_SelfStock[WeekIndex],100)+SUMIFS(T_TTAFStock[TTAF_Qty],T_TTAFStock[RM_Code],$A102,T_TTAFStock[WeekIndex],100),CV102+'Grid_Incoming'!CW102-'Grid_Requirement'!CW102))</f>
        <v/>
      </c>
      <c r="CX102">
        <f>IF(COUNTIFS(T_StockCount[RM_Code],$A102,T_StockCount[WeekIndex],101)&gt;0,SUMIFS(T_StockCount[CountedQty],T_StockCount[RM_Code],$A102,T_StockCount[WeekIndex],101),IF((COUNTIFS(T_SelfStock[RM_Code],$A102,T_SelfStock[WeekIndex],101)&gt;0)*(COUNTIFS(T_TTAFStock[RM_Code],$A102,T_TTAFStock[WeekIndex],101)&gt;0)&gt;0,SUMIFS(T_SelfStock[Self_Qty],T_SelfStock[RM_Code],$A102,T_SelfStock[WeekIndex],101)+SUMIFS(T_TTAFStock[TTAF_Qty],T_TTAFStock[RM_Code],$A102,T_TTAFStock[WeekIndex],101),CW102+'Grid_Incoming'!CX102-'Grid_Requirement'!CX102))</f>
        <v/>
      </c>
      <c r="CY102">
        <f>IF(COUNTIFS(T_StockCount[RM_Code],$A102,T_StockCount[WeekIndex],102)&gt;0,SUMIFS(T_StockCount[CountedQty],T_StockCount[RM_Code],$A102,T_StockCount[WeekIndex],102),IF((COUNTIFS(T_SelfStock[RM_Code],$A102,T_SelfStock[WeekIndex],102)&gt;0)*(COUNTIFS(T_TTAFStock[RM_Code],$A102,T_TTAFStock[WeekIndex],102)&gt;0)&gt;0,SUMIFS(T_SelfStock[Self_Qty],T_SelfStock[RM_Code],$A102,T_SelfStock[WeekIndex],102)+SUMIFS(T_TTAFStock[TTAF_Qty],T_TTAFStock[RM_Code],$A102,T_TTAFStock[WeekIndex],102),CX102+'Grid_Incoming'!CY102-'Grid_Requirement'!CY102))</f>
        <v/>
      </c>
      <c r="CZ102">
        <f>IF(COUNTIFS(T_StockCount[RM_Code],$A102,T_StockCount[WeekIndex],103)&gt;0,SUMIFS(T_StockCount[CountedQty],T_StockCount[RM_Code],$A102,T_StockCount[WeekIndex],103),IF((COUNTIFS(T_SelfStock[RM_Code],$A102,T_SelfStock[WeekIndex],103)&gt;0)*(COUNTIFS(T_TTAFStock[RM_Code],$A102,T_TTAFStock[WeekIndex],103)&gt;0)&gt;0,SUMIFS(T_SelfStock[Self_Qty],T_SelfStock[RM_Code],$A102,T_SelfStock[WeekIndex],103)+SUMIFS(T_TTAFStock[TTAF_Qty],T_TTAFStock[RM_Code],$A102,T_TTAFStock[WeekIndex],103),CY102+'Grid_Incoming'!CZ102-'Grid_Requirement'!CZ102))</f>
        <v/>
      </c>
      <c r="DA102">
        <f>IF(COUNTIFS(T_StockCount[RM_Code],$A102,T_StockCount[WeekIndex],104)&gt;0,SUMIFS(T_StockCount[CountedQty],T_StockCount[RM_Code],$A102,T_StockCount[WeekIndex],104),IF((COUNTIFS(T_SelfStock[RM_Code],$A102,T_SelfStock[WeekIndex],104)&gt;0)*(COUNTIFS(T_TTAFStock[RM_Code],$A102,T_TTAFStock[WeekIndex],104)&gt;0)&gt;0,SUMIFS(T_SelfStock[Self_Qty],T_SelfStock[RM_Code],$A102,T_SelfStock[WeekIndex],104)+SUMIFS(T_TTAFStock[TTAF_Qty],T_TTAFStock[RM_Code],$A102,T_TTAFStock[WeekIndex],104),CZ102+'Grid_Incoming'!DA102-'Grid_Requirement'!DA102)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2026-07-20T10:21:20Z</dcterms:created>
  <dcterms:modified xsi:type="dcterms:W3CDTF">2026-07-20T10:21:22Z</dcterms:modified>
</cp:coreProperties>
</file>